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https://d.docs.live.net/c4ef08bedd379b4f/Documents/Orthopaedics/Website/Website II/PROMs Data/January 2024/"/>
    </mc:Choice>
  </mc:AlternateContent>
  <xr:revisionPtr revIDLastSave="6" documentId="8_{FF92A54F-CED8-4D80-B5B1-771CB4D4E5A5}" xr6:coauthVersionLast="47" xr6:coauthVersionMax="47" xr10:uidLastSave="{D904E870-4941-4466-BC72-2FC0B3D92A8C}"/>
  <bookViews>
    <workbookView xWindow="-110" yWindow="-110" windowWidth="22780" windowHeight="14540" tabRatio="922" firstSheet="11" activeTab="16" xr2:uid="{00000000-000D-0000-FFFF-FFFF00000000}"/>
  </bookViews>
  <sheets>
    <sheet name="How to use" sheetId="1" state="hidden" r:id="rId1"/>
    <sheet name="Participation - Raw Data" sheetId="2" state="hidden" r:id="rId2"/>
    <sheet name="Provider Commission - Raw Data" sheetId="3" state="hidden" r:id="rId3"/>
    <sheet name="Provider Commission - NewChart" sheetId="4" state="hidden" r:id="rId4"/>
    <sheet name="Funnel setup" sheetId="5" state="hidden" r:id="rId5"/>
    <sheet name="Reference" sheetId="6" state="hidden" r:id="rId6"/>
    <sheet name="Supplier_Note" sheetId="7" state="hidden" r:id="rId7"/>
    <sheet name="ProvCommData" sheetId="8" state="hidden" r:id="rId8"/>
    <sheet name="Chart data" sheetId="9" state="hidden" r:id="rId9"/>
    <sheet name="Provider Commission - Lookup" sheetId="10" state="hidden" r:id="rId10"/>
    <sheet name="Funnel Lookup" sheetId="11" state="hidden" r:id="rId11"/>
    <sheet name="Title Sheet" sheetId="12" r:id="rId12"/>
    <sheet name="Guide - Key Facts" sheetId="13" r:id="rId13"/>
    <sheet name="Adjusted Health Gain Chart" sheetId="14" r:id="rId14"/>
    <sheet name="Key Facts" sheetId="15" r:id="rId15"/>
    <sheet name="Guide -  Select 10 Table" sheetId="16" r:id="rId16"/>
    <sheet name="Select 10 table" sheetId="17" r:id="rId17"/>
    <sheet name="Guide - Funnel Plot" sheetId="18" r:id="rId18"/>
    <sheet name="Funnel Plot" sheetId="19" r:id="rId19"/>
    <sheet name="Funnel Data" sheetId="20" r:id="rId20"/>
  </sheets>
  <externalReferences>
    <externalReference r:id="rId21"/>
    <externalReference r:id="rId22"/>
  </externalReferences>
  <definedNames>
    <definedName name="_xlnm._FilterDatabase" localSheetId="1" hidden="1">'Participation - Raw Data'!$A$1:$BM$317</definedName>
    <definedName name="_xlnm._FilterDatabase" localSheetId="3" hidden="1">'Provider Commission - NewChart'!$A$1:$Q$7768</definedName>
    <definedName name="_xlnm._FilterDatabase" localSheetId="2" hidden="1">'Provider Commission - Raw Data'!$C$1:$Q$7768</definedName>
    <definedName name="_xlnm._FilterDatabase" localSheetId="6" hidden="1">Supplier_Note!$A$1:$B$306</definedName>
    <definedName name="CCG">INDIRECT("Reference!$H$2:$H$"&amp;Reference!$I$2+1)</definedName>
    <definedName name="Chart1b">[1]Hip!#REF!</definedName>
    <definedName name="ColCat">OFFSET('[2]Column Chart'!$A$2,0,0,COUNTA('[2]Column Chart'!$A:$A)-1,1)</definedName>
    <definedName name="ColData">OFFSET('[2]Column Chart'!$B$2,0,0,COUNTA('[2]Column Chart'!$B:$B)-1,1)</definedName>
    <definedName name="ColStand">OFFSET('[2]Column Chart'!$C$2,0,0,COUNTA('[2]Column Chart'!$A:$A)-1,1)</definedName>
    <definedName name="DonutCat">OFFSET('[2]Donut &amp; Pie'!$A$2,0,0,COUNTA('[2]Donut &amp; Pie'!$A:$A)-1,1)</definedName>
    <definedName name="DonutData">OFFSET('[2]Donut &amp; Pie'!$B$2,0,0,COUNTA('[2]Donut &amp; Pie'!$A:$A)-1,1)</definedName>
    <definedName name="Funnel_Data" localSheetId="7">INDIRECT("'Provider Commission - Raw Data'!$A$1:$Q$"&amp;ProvCommData!$B$61)</definedName>
    <definedName name="Funnel_Data">INDIRECT("'Provider Commission - Raw Data'!$A$1:$Q$"&amp;'Chart data'!$B$47)</definedName>
    <definedName name="Funnel_Organisation_Level">INDIRECT("Reference!$AF$2:$AF$"&amp;Reference!$AG$2+1)</definedName>
    <definedName name="Funnel_Plot_Org" localSheetId="7">OFFSET(IF('Funnel Plot'!$F$11=Reference!$AA$3,Reference!$N$2,IF('Funnel Plot'!$F$11=Reference!$AA$4,Reference!$K$2,IF('Funnel Plot'!$F$11=Reference!$AA$5,Reference!$H$2,Reference!$E$2))),0,0,ProvCommData!$B$76,1)</definedName>
    <definedName name="Funnel_Plot_Org">OFFSET(IF('Funnel Plot'!$F$11=Reference!$AA$3,Reference!$N$2,IF('Funnel Plot'!$F$11=Reference!$AA$4,Reference!$K$2,IF('Funnel Plot'!$F$11=Reference!$AA$5,Reference!$H$2,Reference!$E$2))),0,0,'Chart data'!$B$62,1)</definedName>
    <definedName name="Funnel_Plot_score">OFFSET(IF('Funnel Plot'!$B$11=Reference!$Y$13,Reference!$U$2,IF('Funnel Plot'!$B$11 = Reference!$Y$14,Reference!$U$7,IF('Funnel Plot'!$B$11 = Reference!$Y$15,Reference!$U$7,IF('Funnel Plot'!$B$11 = Reference!$Y$16,Reference!$U$12,IF('Funnel Plot'!$B$11 = Reference!$Y$17,Reference!$U$12,Reference!$U$17))))),0,0,Reference!$V$2,1)</definedName>
    <definedName name="HbarCat">OFFSET('[2]H Bar Chart'!$A$2,0,0,COUNTA('[2]H Bar Chart'!$A:$A)-1,1)</definedName>
    <definedName name="HbarData">OFFSET('[2]H Bar Chart'!$B$2,0,0,COUNTA('[2]H Bar Chart'!$A:$A)-1,1)</definedName>
    <definedName name="HBarStand">OFFSET('[2]H Bar Chart'!$C$2,0,0,COUNTA('[2]H Bar Chart'!$A:$A)-1,1)</definedName>
    <definedName name="HBarStandx">OFFSET('[2]H Bar Chart'!$C$2,0,0,COUNTA('[2]H Bar Chart'!$A:$A)-1,1)</definedName>
    <definedName name="HBarStandY">OFFSET('[2]H Bar Chart'!$D$2,0,0,COUNTA('[2]H Bar Chart'!$A:$A)-1,1)</definedName>
    <definedName name="KeyFacts_Organisation_Level">INDIRECT("Reference!$AC$2:$AC$"&amp;Reference!$AD$2+1)</definedName>
    <definedName name="KeyFacts_RawData">INDIRECT("'Key Facts - Raw Data'!$A$1:$M$"&amp;'Chart data'!$B$41)</definedName>
    <definedName name="KeyFacts_Validation" localSheetId="13">OFFSET(IF('Adjusted Health Gain Chart'!$B$11=Reference!$AA$2,Reference!$Q$2,IF('Adjusted Health Gain Chart'!$B$11=Reference!$AA$3,Reference!$N$2,IF('Adjusted Health Gain Chart'!$B$11=Reference!$AA$4,Reference!$K$2,IF('Adjusted Health Gain Chart'!$B$11=Reference!$AA$5,Reference!$H$2,Reference!$E$2)))),0,0,ProvCommData!$B$4,1)</definedName>
    <definedName name="KeyFacts_Validation" localSheetId="7">OFFSET(IF('Adjusted Health Gain Chart'!$B$11=Reference!$AA$2,Reference!$Q$2,IF('Adjusted Health Gain Chart'!$B$11=Reference!$AA$3,Reference!$N$2,IF('Adjusted Health Gain Chart'!$B$11=Reference!$AA$4,Reference!$K$2,IF('Adjusted Health Gain Chart'!$B$11=Reference!$AA$5,Reference!$H$2,Reference!$E$2)))),0,0,'Chart data'!$B$4,1)</definedName>
    <definedName name="KeyFacts_Validation">OFFSET(IF(#REF!=Reference!$AA$2,Reference!$Q$2,IF(#REF!=Reference!$AA$3,Reference!$N$2,IF(#REF!=Reference!$AA$4,Reference!$K$2,IF(#REF!=Reference!$AA$5,Reference!$H$2,Reference!$E$2)))),0,0,'Chart data'!$B$4,1)</definedName>
    <definedName name="MPTS_Data1">OFFSET('[2]Multi-series Line Chart'!$B$2,0,0,COUNTA('[2]Multi-series Line Chart'!$B:$B)-1,1)</definedName>
    <definedName name="MPTS_Data10">OFFSET('[2]Multi-series Line Chart'!$K$2,0,0,COUNTA('[2]Multi-series Line Chart'!$K:$K)-1,1)</definedName>
    <definedName name="MPTS_Data11">OFFSET('[2]Multi-series Line Chart'!$L$2,0,0,COUNTA('[2]Multi-series Line Chart'!$L:$L)-1,1)</definedName>
    <definedName name="MPTS_Data12">OFFSET('[2]Multi-series Line Chart'!$M$2,0,0,COUNTA('[2]Multi-series Line Chart'!$M:$M)-1,1)</definedName>
    <definedName name="MPTS_Data13">OFFSET('[2]Multi-series Line Chart'!$N$2,0,0,COUNTA('[2]Multi-series Line Chart'!$N:$N)-1,1)</definedName>
    <definedName name="MPTS_Data14">OFFSET('[2]Multi-series Line Chart'!$O$2,0,0,COUNTA('[2]Multi-series Line Chart'!$O:$O)-1,1)</definedName>
    <definedName name="MPTS_Data15">OFFSET('[2]Multi-series Line Chart'!$P$2,0,0,COUNTA('[2]Multi-series Line Chart'!$P:$P)-1,1)</definedName>
    <definedName name="MPTS_Data2">OFFSET('[2]Multi-series Line Chart'!$C$2,0,0,COUNTA('[2]Multi-series Line Chart'!$C:$C)-1,1)</definedName>
    <definedName name="MPTS_Data3">OFFSET('[2]Multi-series Line Chart'!$D$2,0,0,COUNTA('[2]Multi-series Line Chart'!$D:$D)-1,1)</definedName>
    <definedName name="MPTS_Data4">OFFSET('[2]Multi-series Line Chart'!$E$2,0,0,COUNTA('[2]Multi-series Line Chart'!$E:$E)-1,1)</definedName>
    <definedName name="MPTS_Data5">OFFSET('[2]Multi-series Line Chart'!$F$2,0,0,COUNTA('[2]Multi-series Line Chart'!$F:$F)-1,1)</definedName>
    <definedName name="MPTS_Data6">OFFSET('[2]Multi-series Line Chart'!$G$2,0,0,COUNTA('[2]Multi-series Line Chart'!$G:$G)-1,1)</definedName>
    <definedName name="MPTS_Data7">OFFSET('[2]Multi-series Line Chart'!$H$2,0,0,COUNTA('[2]Multi-series Line Chart'!$H:$H)-1,1)</definedName>
    <definedName name="MPTS_Data8">OFFSET('[2]Multi-series Line Chart'!$I$2,0,0,COUNTA('[2]Multi-series Line Chart'!$I:$I)-1,1)</definedName>
    <definedName name="MPTS_Data9">OFFSET('[2]Multi-series Line Chart'!$J$2,0,0,COUNTA('[2]Multi-series Line Chart'!$J:$J)-1,1)</definedName>
    <definedName name="MPTS_Period">OFFSET('[2]Multi-series Line Chart'!$A$2,0,0,COUNTA('[2]Multi-series Line Chart'!$A:$A)-1,1)</definedName>
    <definedName name="MPTSStand">OFFSET('[2]Multi-series Line Chart'!$Q$2,0,0,COUNTA('[2]Multi-series Line Chart'!$A:$A)-1,1)</definedName>
    <definedName name="Participation_Data" localSheetId="7">INDIRECT("'Participation - Raw Data'!$B$1:$Bm$"&amp;ProvCommData!$B$58)</definedName>
    <definedName name="Participation_Data">INDIRECT("'Participation - Raw Data'!$B$1:$Bm$"&amp;'Chart data'!$B$44)</definedName>
    <definedName name="PCTs">INDIRECT("Reference!$K$2:$K$"&amp;Reference!$L$2+1)</definedName>
    <definedName name="_xlnm.Print_Area" localSheetId="13">'Adjusted Health Gain Chart'!$A$1:$G$86</definedName>
    <definedName name="_xlnm.Print_Area" localSheetId="19">'Funnel Data'!$A$1:$K$414</definedName>
    <definedName name="_xlnm.Print_Area" localSheetId="18">'Funnel Plot'!$A$1:$H$28</definedName>
    <definedName name="_xlnm.Print_Area" localSheetId="15">'Guide -  Select 10 Table'!$A$1:$O$52</definedName>
    <definedName name="_xlnm.Print_Area" localSheetId="17">'Guide - Funnel Plot'!$A$1:$I$43</definedName>
    <definedName name="_xlnm.Print_Area" localSheetId="12">'Guide - Key Facts'!$A$3:$L$49</definedName>
    <definedName name="_xlnm.Print_Area" localSheetId="14">'Key Facts'!$A$1:$S$57</definedName>
    <definedName name="_xlnm.Print_Area" localSheetId="16">'Select 10 table'!$A$1:$N$31</definedName>
    <definedName name="_xlnm.Print_Titles" localSheetId="19">'Funnel Data'!$2:$9</definedName>
    <definedName name="Procedure_List">Reference!$Y$13:$Y$18</definedName>
    <definedName name="ProviderCommissionerNewChart">'Provider Commission - NewChart'!$B$2:$Q$7585</definedName>
    <definedName name="Providers">INDIRECT("Reference!$E$2:$E$"&amp;Reference!$F$2+1)</definedName>
    <definedName name="ScatItem">OFFSET([2]Scatterplot!$A$2,0,0,COUNTA([2]Scatterplot!$A:$A)-1,1)</definedName>
    <definedName name="ScatX">OFFSET([2]Scatterplot!$B$2,0,0,COUNTA([2]Scatterplot!$A:$A)-1,1)</definedName>
    <definedName name="ScatY">OFFSET([2]Scatterplot!$C$2,0,0,COUNTA([2]Scatterplot!$A:$A)-1,1)</definedName>
    <definedName name="ScatYG1">OFFSET([2]Scatterplot!$E$2,0,0,COUNTA([2]Scatterplot!$A:$A)-1,1)</definedName>
    <definedName name="ScatYG2">OFFSET([2]Scatterplot!$F$2,0,0,COUNTA([2]Scatterplot!$A:$A)-1,1)</definedName>
    <definedName name="ScatYG3">OFFSET([2]Scatterplot!$G$2,0,0,COUNTA([2]Scatterplot!$A:$A)-1,1)</definedName>
    <definedName name="ScatYG4">OFFSET([2]Scatterplot!$H$2,0,0,COUNTA([2]Scatterplot!$A:$A)-1,1)</definedName>
    <definedName name="SCTSData1">OFFSET('[2]Area Chart or Column'!$B$2,0,0,COUNTA('[2]Area Chart or Column'!$A:$A)-1,1)</definedName>
    <definedName name="SCTSData2">OFFSET('[2]Area Chart or Column'!$C$2,0,0,COUNTA('[2]Area Chart or Column'!$A:$A)-1,1)</definedName>
    <definedName name="SCTSData3">OFFSET('[2]Area Chart or Column'!$D$2,0,0,COUNTA('[2]Area Chart or Column'!$A:$A)-1,1)</definedName>
    <definedName name="SCTSPeriod">OFFSET('[2]Area Chart or Column'!$A$2,0,0,COUNTA('[2]Area Chart or Column'!$A:$A)-1,1)</definedName>
    <definedName name="Select10_OrgName01" localSheetId="7">OFFSET(IF('Select 10 table'!$B$17=Reference!$AA$3,Reference!$N$2,IF('Select 10 table'!$B$17=Reference!$AA$4,Reference!$K$2,IF('Select 10 table'!$B$17=Reference!$AA$5,Reference!$H$2,Reference!$E$2))),0,0,ProvCommData!$B$64,1)</definedName>
    <definedName name="Select10_OrgName01">OFFSET(IF('Select 10 table'!$B$17=Reference!$AA$3,Reference!$N$2,IF('Select 10 table'!$B$17=Reference!$AA$4,Reference!$K$2,IF('Select 10 table'!$B$17=Reference!$AA$5,Reference!$H$2,Reference!$E$2))),0,0,'Chart data'!$B$50,1)</definedName>
    <definedName name="Select10_OrgName02" localSheetId="7">OFFSET(IF('Select 10 table'!$B$18=Reference!$AA$3,Reference!$N$2,IF('Select 10 table'!$B$18=Reference!$AA$4,Reference!$K$2,IF('Select 10 table'!$B$18=Reference!$AA$5,Reference!$H$2,Reference!$E$2))),0,0,ProvCommData!$B$65,1)</definedName>
    <definedName name="Select10_OrgName02">OFFSET(IF('Select 10 table'!$B$18=Reference!$AA$3,Reference!$N$2,IF('Select 10 table'!$B$18=Reference!$AA$4,Reference!$K$2,IF('Select 10 table'!$B$18=Reference!$AA$5,Reference!$H$2,Reference!$E$2))),0,0,'Chart data'!$B$51,1)</definedName>
    <definedName name="Select10_OrgName03" localSheetId="7">OFFSET(IF('Select 10 table'!$B$19=Reference!$AA$3,Reference!$N$2,IF('Select 10 table'!$B$19=Reference!$AA$4,Reference!$K$2,IF('Select 10 table'!$B$19=Reference!$AA$5,Reference!$H$2,Reference!$E$2))),0,0,ProvCommData!$B$66,1)</definedName>
    <definedName name="Select10_OrgName03">OFFSET(IF('Select 10 table'!$B$19=Reference!$AA$3,Reference!$N$2,IF('Select 10 table'!$B$19=Reference!$AA$4,Reference!$K$2,IF('Select 10 table'!$B$19=Reference!$AA$5,Reference!$H$2,Reference!$E$2))),0,0,'Chart data'!$B$52,1)</definedName>
    <definedName name="Select10_OrgName04" localSheetId="7">OFFSET(IF('Select 10 table'!$B$20=Reference!$AA$3,Reference!$N$2,IF('Select 10 table'!$B$20=Reference!$AA$4,Reference!$K$2,IF('Select 10 table'!$B$20=Reference!$AA$5,Reference!$H$2,Reference!$E$2))),0,0,ProvCommData!$B$67,1)</definedName>
    <definedName name="Select10_OrgName04">OFFSET(IF('Select 10 table'!$B$20=Reference!$AA$3,Reference!$N$2,IF('Select 10 table'!$B$20=Reference!$AA$4,Reference!$K$2,IF('Select 10 table'!$B$20=Reference!$AA$5,Reference!$H$2,Reference!$E$2))),0,0,'Chart data'!$B$53,1)</definedName>
    <definedName name="Select10_OrgName05" localSheetId="7">OFFSET(IF('Select 10 table'!$B$21=Reference!$AA$3,Reference!$N$2,IF('Select 10 table'!$B$21=Reference!$AA$4,Reference!$K$2,IF('Select 10 table'!$B$21=Reference!$AA$5,Reference!$H$2,Reference!$E$2))),0,0,ProvCommData!$B$68,1)</definedName>
    <definedName name="Select10_OrgName05">OFFSET(IF('Select 10 table'!$B$21=Reference!$AA$3,Reference!$N$2,IF('Select 10 table'!$B$21=Reference!$AA$4,Reference!$K$2,IF('Select 10 table'!$B$21=Reference!$AA$5,Reference!$H$2,Reference!$E$2))),0,0,'Chart data'!$B$54,1)</definedName>
    <definedName name="Select10_OrgName06" localSheetId="7">OFFSET(IF('Select 10 table'!$B$22=Reference!$AA$3,Reference!$N$2,IF('Select 10 table'!$B$22=Reference!$AA$4,Reference!$K$2,IF('Select 10 table'!$B$22=Reference!$AA$5,Reference!$H$2,Reference!$E$2))),0,0,ProvCommData!$B$69,1)</definedName>
    <definedName name="Select10_OrgName06">OFFSET(IF('Select 10 table'!$B$22=Reference!$AA$3,Reference!$N$2,IF('Select 10 table'!$B$22=Reference!$AA$4,Reference!$K$2,IF('Select 10 table'!$B$22=Reference!$AA$5,Reference!$H$2,Reference!$E$2))),0,0,'Chart data'!$B$55,1)</definedName>
    <definedName name="Select10_OrgName07" localSheetId="7">OFFSET(IF('Select 10 table'!$B$23=Reference!$AA$3,Reference!$N$2,IF('Select 10 table'!$B$23=Reference!$AA$4,Reference!$K$2,IF('Select 10 table'!$B$23=Reference!$AA$5,Reference!$H$2,Reference!$E$2))),0,0,ProvCommData!$B$70,1)</definedName>
    <definedName name="Select10_OrgName07">OFFSET(IF('Select 10 table'!$B$23=Reference!$AA$3,Reference!$N$2,IF('Select 10 table'!$B$23=Reference!$AA$4,Reference!$K$2,IF('Select 10 table'!$B$23=Reference!$AA$5,Reference!$H$2,Reference!$E$2))),0,0,'Chart data'!$B$56,1)</definedName>
    <definedName name="Select10_OrgName08" localSheetId="7">OFFSET(IF('Select 10 table'!$B$24=Reference!$AA$3,Reference!$N$2,IF('Select 10 table'!$B$24=Reference!$AA$4,Reference!$K$2,IF('Select 10 table'!$B$24=Reference!$AA$5,Reference!$H$2,Reference!$E$2))),0,0,ProvCommData!$B$71,1)</definedName>
    <definedName name="Select10_OrgName08">OFFSET(IF('Select 10 table'!$B$24=Reference!$AA$3,Reference!$N$2,IF('Select 10 table'!$B$24=Reference!$AA$4,Reference!$K$2,IF('Select 10 table'!$B$24=Reference!$AA$5,Reference!$H$2,Reference!$E$2))),0,0,'Chart data'!$B$57,1)</definedName>
    <definedName name="Select10_OrgName09" localSheetId="7">OFFSET(IF('Select 10 table'!$B$25=Reference!$AA$3,Reference!$N$2,IF('Select 10 table'!$B$25=Reference!$AA$4,Reference!$K$2,IF('Select 10 table'!$B$25=Reference!$AA$5,Reference!$H$2,Reference!$E$2))),0,0,ProvCommData!$B$72,1)</definedName>
    <definedName name="Select10_OrgName09">OFFSET(IF('Select 10 table'!$B$25=Reference!$AA$3,Reference!$N$2,IF('Select 10 table'!$B$25=Reference!$AA$4,Reference!$K$2,IF('Select 10 table'!$B$25=Reference!$AA$5,Reference!$H$2,Reference!$E$2))),0,0,'Chart data'!$B$58,1)</definedName>
    <definedName name="Select10_OrgName10" localSheetId="7">OFFSET(IF('Select 10 table'!$B$26=Reference!$AA$3,Reference!$N$2,IF('Select 10 table'!$B$26=Reference!$AA$4,Reference!$K$2,IF('Select 10 table'!$B$26=Reference!$AA$5,Reference!$H$2,Reference!$E$2))),0,0,ProvCommData!$B$73,1)</definedName>
    <definedName name="Select10_OrgName10">OFFSET(IF('Select 10 table'!$B$26=Reference!$AA$3,Reference!$N$2,IF('Select 10 table'!$B$26=Reference!$AA$4,Reference!$K$2,IF('Select 10 table'!$B$26=Reference!$AA$5,Reference!$H$2,Reference!$E$2))),0,0,'Chart data'!$B$59,1)</definedName>
    <definedName name="Select10_Score">OFFSET(IF('Select 10 table'!$B$13=Reference!$Y$13,Reference!$U$2,IF('Select 10 table'!$B$13 = Reference!$Y$14,Reference!$U$7,IF('Select 10 table'!$B$13 = Reference!$Y$15,Reference!$U$7,IF('Select 10 table'!$B$13 = Reference!$Y$16,Reference!$U$12,IF('Select 10 table'!$B$13 = Reference!$Y$17,Reference!$U$12,Reference!$U$17))))),0,0,Reference!$W$2,1)</definedName>
    <definedName name="SHAs">Reference!$N$2:$N$10</definedName>
    <definedName name="STSPeriod">OFFSET('[2]Stacked TS'!$A$2,0,0,COUNTA('[2]Stacked TS'!$A$1:$A$13)-1,1)</definedName>
    <definedName name="STSYear1">OFFSET('[2]Stacked TS'!$B$2,0,0,COUNTA('[2]Stacked TS'!$A$1:$A$13)-1,1)</definedName>
    <definedName name="STSYear2">OFFSET('[2]Stacked TS'!$C$2,0,0,COUNTA('[2]Stacked TS'!$A$1:$A$13)-1,1)</definedName>
    <definedName name="STSYear3">OFFSET('[2]Stacked TS'!$D$2,0,0,COUNTA('[2]Stacked TS'!$A$1:$A$13)-1,1)</definedName>
    <definedName name="STSYear4">OFFSET('[2]Stacked TS'!$E$2,0,0,COUNTA('[2]Stacked TS'!$A$1:$A$13)-1,1)</definedName>
    <definedName name="STSYear5">OFFSET('[2]Stacked TS'!#REF!,0,0,COUNTA('[2]Stacked TS'!$A$1:$A$13)-1,1)</definedName>
    <definedName name="STSYear6">OFFSET('[2]Stacked TS'!#REF!,0,0,COUNTA('[2]Stacked TS'!$A$1:$A$13)-1,1)</definedName>
    <definedName name="STSYear7">OFFSET('[2]Stacked TS'!#REF!,0,0,COUNTA('[2]Stacked TS'!$A$1:$A$13)-1,1)</definedName>
    <definedName name="TableandCharts_RawData" localSheetId="7">INDIRECT("'Provider Commission - Raw Data'!$B$1:$Q$"&amp;ProvCommData!$B$61)</definedName>
    <definedName name="TableandCharts_RawData">INDIRECT("'Provider Commission - Raw Data'!$B$1:$Q$"&amp;'Chart data'!$B$47)</definedName>
    <definedName name="TSData">OFFSET([1]Hip!$B$2,0,0,COUNTA([1]Hip!$B:$B)-1,1)</definedName>
    <definedName name="TSLCI">OFFSET([1]Hip!#REF!,0,0,COUNTA([1]Hip!#REF!)-1,1)</definedName>
    <definedName name="TSPeriod">OFFSET([1]Hip!$A$2,0,0,COUNTA([1]Hip!$A:$A)-1,1)</definedName>
    <definedName name="TSStand">OFFSET([1]Hip!#REF!,0,0,COUNTA([1]Hip!#REF!)-1,1)</definedName>
    <definedName name="TSUCI">OFFSET([1]Hip!#REF!,0,0,COUNTA([1]Hip!#REF!)-1,1)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2" l="1"/>
  <c r="B7" i="20" s="1"/>
  <c r="J413" i="20"/>
  <c r="I413" i="20"/>
  <c r="H413" i="20"/>
  <c r="G413" i="20"/>
  <c r="J412" i="20"/>
  <c r="I412" i="20"/>
  <c r="H412" i="20"/>
  <c r="G412" i="20"/>
  <c r="F411" i="20"/>
  <c r="E411" i="20"/>
  <c r="D411" i="20"/>
  <c r="K411" i="20" s="1"/>
  <c r="C411" i="20"/>
  <c r="B411" i="20"/>
  <c r="B9" i="15"/>
  <c r="U35" i="13"/>
  <c r="B11" i="12"/>
  <c r="B10" i="12"/>
  <c r="C18" i="10"/>
  <c r="B18" i="10"/>
  <c r="C17" i="10"/>
  <c r="B17" i="10"/>
  <c r="C16" i="10"/>
  <c r="B16" i="10"/>
  <c r="C15" i="10"/>
  <c r="B15" i="10"/>
  <c r="C14" i="10"/>
  <c r="B14" i="10"/>
  <c r="C13" i="10"/>
  <c r="B13" i="10"/>
  <c r="C12" i="10"/>
  <c r="B12" i="10"/>
  <c r="C11" i="10"/>
  <c r="B11" i="10"/>
  <c r="C10" i="10"/>
  <c r="B10" i="10"/>
  <c r="C9" i="10"/>
  <c r="B9" i="10"/>
  <c r="C4" i="10"/>
  <c r="C3" i="10"/>
  <c r="B47" i="9"/>
  <c r="B44" i="9"/>
  <c r="B41" i="9"/>
  <c r="B8" i="9"/>
  <c r="B7" i="9"/>
  <c r="B6" i="9"/>
  <c r="B4" i="9"/>
  <c r="B3" i="9"/>
  <c r="B71" i="8"/>
  <c r="B61" i="8"/>
  <c r="B58" i="8"/>
  <c r="B55" i="8"/>
  <c r="E31" i="8"/>
  <c r="E32" i="8" s="1"/>
  <c r="E33" i="8" s="1"/>
  <c r="E34" i="8" s="1"/>
  <c r="E35" i="8" s="1"/>
  <c r="A30" i="8"/>
  <c r="E23" i="8"/>
  <c r="E24" i="8" s="1"/>
  <c r="E25" i="8" s="1"/>
  <c r="E26" i="8" s="1"/>
  <c r="E27" i="8" s="1"/>
  <c r="M22" i="8"/>
  <c r="E18" i="8"/>
  <c r="E19" i="8" s="1"/>
  <c r="E17" i="8"/>
  <c r="B15" i="8"/>
  <c r="E14" i="8"/>
  <c r="I12" i="8"/>
  <c r="J12" i="8" s="1"/>
  <c r="K12" i="8" s="1"/>
  <c r="K13" i="8" s="1"/>
  <c r="K14" i="8" s="1"/>
  <c r="K15" i="8" s="1"/>
  <c r="K16" i="8" s="1"/>
  <c r="K17" i="8" s="1"/>
  <c r="K18" i="8" s="1"/>
  <c r="K19" i="8" s="1"/>
  <c r="K20" i="8" s="1"/>
  <c r="K21" i="8" s="1"/>
  <c r="K22" i="8" s="1"/>
  <c r="K23" i="8" s="1"/>
  <c r="K24" i="8" s="1"/>
  <c r="K25" i="8" s="1"/>
  <c r="K26" i="8" s="1"/>
  <c r="K27" i="8" s="1"/>
  <c r="K28" i="8" s="1"/>
  <c r="K29" i="8" s="1"/>
  <c r="K30" i="8" s="1"/>
  <c r="K31" i="8" s="1"/>
  <c r="K32" i="8" s="1"/>
  <c r="K33" i="8" s="1"/>
  <c r="K34" i="8" s="1"/>
  <c r="K35" i="8" s="1"/>
  <c r="B7" i="8"/>
  <c r="B6" i="8"/>
  <c r="B8" i="8" s="1"/>
  <c r="A11" i="6"/>
  <c r="B414" i="20" s="1"/>
  <c r="AG2" i="6"/>
  <c r="AD2" i="6"/>
  <c r="W2" i="6"/>
  <c r="V2" i="6"/>
  <c r="O2" i="6"/>
  <c r="L2" i="6"/>
  <c r="I2" i="6"/>
  <c r="F2" i="6"/>
  <c r="B58" i="9" s="1"/>
  <c r="A21" i="5"/>
  <c r="A20" i="5"/>
  <c r="A19" i="5"/>
  <c r="A18" i="5"/>
  <c r="A17" i="5"/>
  <c r="A16" i="5"/>
  <c r="K15" i="5"/>
  <c r="A15" i="5"/>
  <c r="A14" i="5"/>
  <c r="A13" i="5"/>
  <c r="A12" i="5"/>
  <c r="A11" i="5"/>
  <c r="A10" i="5"/>
  <c r="A9" i="5"/>
  <c r="A8" i="5"/>
  <c r="K7" i="5"/>
  <c r="A7" i="5"/>
  <c r="K6" i="5"/>
  <c r="A7731" i="4" s="1"/>
  <c r="A6" i="5"/>
  <c r="A5" i="5"/>
  <c r="K9" i="5" s="1"/>
  <c r="K4" i="5"/>
  <c r="K16" i="5" s="1"/>
  <c r="A4" i="5"/>
  <c r="K3" i="5"/>
  <c r="A7767" i="4" s="1"/>
  <c r="B7768" i="4"/>
  <c r="A7768" i="4"/>
  <c r="B7767" i="4"/>
  <c r="B7766" i="4"/>
  <c r="B7765" i="4"/>
  <c r="B7764" i="4"/>
  <c r="A7764" i="4"/>
  <c r="B7763" i="4"/>
  <c r="B7762" i="4"/>
  <c r="B7761" i="4"/>
  <c r="B7760" i="4"/>
  <c r="A7760" i="4"/>
  <c r="B7759" i="4"/>
  <c r="B7758" i="4"/>
  <c r="B7757" i="4"/>
  <c r="B7756" i="4"/>
  <c r="A7756" i="4"/>
  <c r="B7755" i="4"/>
  <c r="B7754" i="4"/>
  <c r="B7753" i="4"/>
  <c r="B7752" i="4"/>
  <c r="A7752" i="4"/>
  <c r="B7751" i="4"/>
  <c r="B7750" i="4"/>
  <c r="B7749" i="4"/>
  <c r="B7748" i="4"/>
  <c r="A7748" i="4"/>
  <c r="B7747" i="4"/>
  <c r="B7746" i="4"/>
  <c r="B7745" i="4"/>
  <c r="B7744" i="4"/>
  <c r="A7744" i="4"/>
  <c r="B7743" i="4"/>
  <c r="B7742" i="4"/>
  <c r="B7741" i="4"/>
  <c r="B7740" i="4"/>
  <c r="A7740" i="4"/>
  <c r="B7739" i="4"/>
  <c r="B7738" i="4"/>
  <c r="B7737" i="4"/>
  <c r="B7736" i="4"/>
  <c r="A7736" i="4"/>
  <c r="B7735" i="4"/>
  <c r="B7734" i="4"/>
  <c r="B7733" i="4"/>
  <c r="B7732" i="4"/>
  <c r="A7732" i="4"/>
  <c r="B7731" i="4"/>
  <c r="B7730" i="4"/>
  <c r="B7729" i="4"/>
  <c r="B7728" i="4"/>
  <c r="A7728" i="4"/>
  <c r="B7727" i="4"/>
  <c r="B7726" i="4"/>
  <c r="B7725" i="4"/>
  <c r="B7724" i="4"/>
  <c r="A7724" i="4"/>
  <c r="B7723" i="4"/>
  <c r="B7722" i="4"/>
  <c r="B7721" i="4"/>
  <c r="B7720" i="4"/>
  <c r="A7720" i="4"/>
  <c r="B7719" i="4"/>
  <c r="B7718" i="4"/>
  <c r="B7717" i="4"/>
  <c r="B7716" i="4"/>
  <c r="A7716" i="4"/>
  <c r="B7715" i="4"/>
  <c r="B7714" i="4"/>
  <c r="B7713" i="4"/>
  <c r="B7712" i="4"/>
  <c r="A7712" i="4"/>
  <c r="B7711" i="4"/>
  <c r="B7710" i="4"/>
  <c r="B7709" i="4"/>
  <c r="B7708" i="4"/>
  <c r="A7708" i="4"/>
  <c r="B7707" i="4"/>
  <c r="B7706" i="4"/>
  <c r="B7705" i="4"/>
  <c r="B7704" i="4"/>
  <c r="A7704" i="4"/>
  <c r="B7703" i="4"/>
  <c r="B7702" i="4"/>
  <c r="B7701" i="4"/>
  <c r="B7700" i="4"/>
  <c r="A7700" i="4"/>
  <c r="B7699" i="4"/>
  <c r="B7698" i="4"/>
  <c r="B7697" i="4"/>
  <c r="B7696" i="4"/>
  <c r="A7696" i="4"/>
  <c r="B7695" i="4"/>
  <c r="B7694" i="4"/>
  <c r="B7693" i="4"/>
  <c r="B7692" i="4"/>
  <c r="A7692" i="4"/>
  <c r="B7691" i="4"/>
  <c r="B7690" i="4"/>
  <c r="B7689" i="4"/>
  <c r="B7688" i="4"/>
  <c r="A7688" i="4"/>
  <c r="B7687" i="4"/>
  <c r="B7686" i="4"/>
  <c r="B7685" i="4"/>
  <c r="B7684" i="4"/>
  <c r="A7684" i="4"/>
  <c r="B7683" i="4"/>
  <c r="B7682" i="4"/>
  <c r="B7681" i="4"/>
  <c r="B7680" i="4"/>
  <c r="A7680" i="4"/>
  <c r="B7679" i="4"/>
  <c r="B7678" i="4"/>
  <c r="B7677" i="4"/>
  <c r="B7676" i="4"/>
  <c r="A7676" i="4"/>
  <c r="B7675" i="4"/>
  <c r="B7674" i="4"/>
  <c r="B7673" i="4"/>
  <c r="B7672" i="4"/>
  <c r="A7672" i="4"/>
  <c r="B7671" i="4"/>
  <c r="B7670" i="4"/>
  <c r="B7669" i="4"/>
  <c r="B7668" i="4"/>
  <c r="A7668" i="4"/>
  <c r="B7667" i="4"/>
  <c r="B7666" i="4"/>
  <c r="B7665" i="4"/>
  <c r="B7664" i="4"/>
  <c r="A7664" i="4"/>
  <c r="B7663" i="4"/>
  <c r="B7662" i="4"/>
  <c r="B7661" i="4"/>
  <c r="B7660" i="4"/>
  <c r="A7660" i="4"/>
  <c r="B7659" i="4"/>
  <c r="B7658" i="4"/>
  <c r="B7657" i="4"/>
  <c r="B7656" i="4"/>
  <c r="A7656" i="4"/>
  <c r="B7655" i="4"/>
  <c r="B7654" i="4"/>
  <c r="B7653" i="4"/>
  <c r="B7652" i="4"/>
  <c r="A7652" i="4"/>
  <c r="B7651" i="4"/>
  <c r="B7650" i="4"/>
  <c r="B7649" i="4"/>
  <c r="B7648" i="4"/>
  <c r="A7648" i="4"/>
  <c r="B7647" i="4"/>
  <c r="B7646" i="4"/>
  <c r="B7645" i="4"/>
  <c r="B7644" i="4"/>
  <c r="A7644" i="4"/>
  <c r="B7643" i="4"/>
  <c r="B7642" i="4"/>
  <c r="B7641" i="4"/>
  <c r="B7640" i="4"/>
  <c r="A7640" i="4"/>
  <c r="B7639" i="4"/>
  <c r="B7638" i="4"/>
  <c r="B7637" i="4"/>
  <c r="B7636" i="4"/>
  <c r="A7636" i="4"/>
  <c r="B7635" i="4"/>
  <c r="B7634" i="4"/>
  <c r="B7633" i="4"/>
  <c r="B7632" i="4"/>
  <c r="A7632" i="4"/>
  <c r="B7631" i="4"/>
  <c r="B7630" i="4"/>
  <c r="B7629" i="4"/>
  <c r="B7628" i="4"/>
  <c r="A7628" i="4"/>
  <c r="B7627" i="4"/>
  <c r="B7626" i="4"/>
  <c r="B7625" i="4"/>
  <c r="B7624" i="4"/>
  <c r="A7624" i="4"/>
  <c r="B7623" i="4"/>
  <c r="B7622" i="4"/>
  <c r="B7621" i="4"/>
  <c r="B7620" i="4"/>
  <c r="A7620" i="4"/>
  <c r="B7619" i="4"/>
  <c r="B7618" i="4"/>
  <c r="B7617" i="4"/>
  <c r="A7617" i="4"/>
  <c r="B7616" i="4"/>
  <c r="A7616" i="4"/>
  <c r="B7615" i="4"/>
  <c r="B7614" i="4"/>
  <c r="B7613" i="4"/>
  <c r="A7613" i="4"/>
  <c r="B7612" i="4"/>
  <c r="A7612" i="4"/>
  <c r="B7611" i="4"/>
  <c r="B7610" i="4"/>
  <c r="B7609" i="4"/>
  <c r="A7609" i="4"/>
  <c r="B7608" i="4"/>
  <c r="A7608" i="4"/>
  <c r="B7607" i="4"/>
  <c r="B7606" i="4"/>
  <c r="B7605" i="4"/>
  <c r="A7605" i="4"/>
  <c r="B7604" i="4"/>
  <c r="A7604" i="4"/>
  <c r="B7603" i="4"/>
  <c r="B7602" i="4"/>
  <c r="B7601" i="4"/>
  <c r="A7601" i="4"/>
  <c r="B7600" i="4"/>
  <c r="A7600" i="4"/>
  <c r="B7599" i="4"/>
  <c r="B7598" i="4"/>
  <c r="B7597" i="4"/>
  <c r="A7597" i="4"/>
  <c r="B7596" i="4"/>
  <c r="A7596" i="4"/>
  <c r="B7595" i="4"/>
  <c r="A7595" i="4"/>
  <c r="B7594" i="4"/>
  <c r="B7593" i="4"/>
  <c r="A7593" i="4"/>
  <c r="B7592" i="4"/>
  <c r="A7592" i="4"/>
  <c r="B7591" i="4"/>
  <c r="A7591" i="4"/>
  <c r="B7590" i="4"/>
  <c r="A7590" i="4"/>
  <c r="B7589" i="4"/>
  <c r="A7589" i="4"/>
  <c r="B7588" i="4"/>
  <c r="A7588" i="4"/>
  <c r="B7587" i="4"/>
  <c r="A7587" i="4"/>
  <c r="B7586" i="4"/>
  <c r="A7586" i="4"/>
  <c r="B7585" i="4"/>
  <c r="A7585" i="4"/>
  <c r="B7584" i="4"/>
  <c r="A7584" i="4"/>
  <c r="B7583" i="4"/>
  <c r="A7583" i="4"/>
  <c r="B7582" i="4"/>
  <c r="A7582" i="4"/>
  <c r="B7581" i="4"/>
  <c r="A7581" i="4"/>
  <c r="B7580" i="4"/>
  <c r="A7580" i="4"/>
  <c r="B7579" i="4"/>
  <c r="A7579" i="4"/>
  <c r="B7578" i="4"/>
  <c r="A7578" i="4"/>
  <c r="B7577" i="4"/>
  <c r="A7577" i="4"/>
  <c r="B7576" i="4"/>
  <c r="A7576" i="4"/>
  <c r="B7575" i="4"/>
  <c r="A7575" i="4"/>
  <c r="B7574" i="4"/>
  <c r="A7574" i="4"/>
  <c r="B7573" i="4"/>
  <c r="A7573" i="4"/>
  <c r="B7572" i="4"/>
  <c r="A7572" i="4"/>
  <c r="B7571" i="4"/>
  <c r="A7571" i="4"/>
  <c r="B7570" i="4"/>
  <c r="A7570" i="4"/>
  <c r="B7569" i="4"/>
  <c r="A7569" i="4"/>
  <c r="B7568" i="4"/>
  <c r="A7568" i="4"/>
  <c r="B7567" i="4"/>
  <c r="A7567" i="4"/>
  <c r="B7566" i="4"/>
  <c r="A7566" i="4"/>
  <c r="B7565" i="4"/>
  <c r="A7565" i="4"/>
  <c r="B7564" i="4"/>
  <c r="A7564" i="4"/>
  <c r="B7563" i="4"/>
  <c r="A7563" i="4"/>
  <c r="B7562" i="4"/>
  <c r="A7562" i="4"/>
  <c r="B7561" i="4"/>
  <c r="A7561" i="4"/>
  <c r="B7560" i="4"/>
  <c r="A7560" i="4"/>
  <c r="B7559" i="4"/>
  <c r="A7559" i="4"/>
  <c r="B7558" i="4"/>
  <c r="A7558" i="4"/>
  <c r="B7557" i="4"/>
  <c r="A7557" i="4"/>
  <c r="B7556" i="4"/>
  <c r="A7556" i="4"/>
  <c r="B7555" i="4"/>
  <c r="A7555" i="4"/>
  <c r="B7554" i="4"/>
  <c r="A7554" i="4"/>
  <c r="B7553" i="4"/>
  <c r="A7553" i="4"/>
  <c r="B7552" i="4"/>
  <c r="A7552" i="4"/>
  <c r="B7551" i="4"/>
  <c r="A7551" i="4"/>
  <c r="B7550" i="4"/>
  <c r="A7550" i="4"/>
  <c r="B7549" i="4"/>
  <c r="A7549" i="4"/>
  <c r="B7548" i="4"/>
  <c r="A7548" i="4"/>
  <c r="B7547" i="4"/>
  <c r="A7547" i="4"/>
  <c r="B7546" i="4"/>
  <c r="A7546" i="4"/>
  <c r="B7545" i="4"/>
  <c r="A7545" i="4"/>
  <c r="B7544" i="4"/>
  <c r="A7544" i="4"/>
  <c r="B7543" i="4"/>
  <c r="A7543" i="4"/>
  <c r="B7542" i="4"/>
  <c r="A7542" i="4"/>
  <c r="B7541" i="4"/>
  <c r="A7541" i="4"/>
  <c r="B7540" i="4"/>
  <c r="A7540" i="4"/>
  <c r="B7539" i="4"/>
  <c r="A7539" i="4"/>
  <c r="B7538" i="4"/>
  <c r="A7538" i="4"/>
  <c r="B7537" i="4"/>
  <c r="A7537" i="4"/>
  <c r="B7536" i="4"/>
  <c r="A7536" i="4"/>
  <c r="B7535" i="4"/>
  <c r="A7535" i="4"/>
  <c r="B7534" i="4"/>
  <c r="A7534" i="4"/>
  <c r="B7533" i="4"/>
  <c r="A7533" i="4"/>
  <c r="B7532" i="4"/>
  <c r="A7532" i="4"/>
  <c r="B7531" i="4"/>
  <c r="A7531" i="4"/>
  <c r="B7530" i="4"/>
  <c r="A7530" i="4"/>
  <c r="B7529" i="4"/>
  <c r="A7529" i="4"/>
  <c r="B7528" i="4"/>
  <c r="A7528" i="4"/>
  <c r="B7527" i="4"/>
  <c r="A7527" i="4"/>
  <c r="B7526" i="4"/>
  <c r="A7526" i="4"/>
  <c r="B7525" i="4"/>
  <c r="A7525" i="4"/>
  <c r="B7524" i="4"/>
  <c r="A7524" i="4"/>
  <c r="B7523" i="4"/>
  <c r="A7523" i="4"/>
  <c r="B7522" i="4"/>
  <c r="A7522" i="4"/>
  <c r="B7521" i="4"/>
  <c r="A7521" i="4"/>
  <c r="B7520" i="4"/>
  <c r="A7520" i="4"/>
  <c r="B7519" i="4"/>
  <c r="A7519" i="4"/>
  <c r="B7518" i="4"/>
  <c r="A7518" i="4"/>
  <c r="B7517" i="4"/>
  <c r="A7517" i="4"/>
  <c r="B7516" i="4"/>
  <c r="A7516" i="4"/>
  <c r="B7515" i="4"/>
  <c r="A7515" i="4"/>
  <c r="B7514" i="4"/>
  <c r="A7514" i="4"/>
  <c r="B7513" i="4"/>
  <c r="A7513" i="4"/>
  <c r="B7512" i="4"/>
  <c r="A7512" i="4"/>
  <c r="B7511" i="4"/>
  <c r="A7511" i="4"/>
  <c r="B7510" i="4"/>
  <c r="A7510" i="4"/>
  <c r="B7509" i="4"/>
  <c r="A7509" i="4"/>
  <c r="B7508" i="4"/>
  <c r="A7508" i="4"/>
  <c r="B7507" i="4"/>
  <c r="A7507" i="4"/>
  <c r="B7506" i="4"/>
  <c r="A7506" i="4"/>
  <c r="B7505" i="4"/>
  <c r="A7505" i="4"/>
  <c r="B7504" i="4"/>
  <c r="A7504" i="4"/>
  <c r="B7503" i="4"/>
  <c r="A7503" i="4"/>
  <c r="B7502" i="4"/>
  <c r="A7502" i="4"/>
  <c r="B7501" i="4"/>
  <c r="A7501" i="4"/>
  <c r="B7500" i="4"/>
  <c r="A7500" i="4"/>
  <c r="B7499" i="4"/>
  <c r="A7499" i="4"/>
  <c r="B7498" i="4"/>
  <c r="A7498" i="4"/>
  <c r="B7497" i="4"/>
  <c r="A7497" i="4"/>
  <c r="B7496" i="4"/>
  <c r="A7496" i="4"/>
  <c r="B7495" i="4"/>
  <c r="A7495" i="4"/>
  <c r="B7494" i="4"/>
  <c r="A7494" i="4"/>
  <c r="B7493" i="4"/>
  <c r="A7493" i="4"/>
  <c r="B7492" i="4"/>
  <c r="A7492" i="4"/>
  <c r="B7491" i="4"/>
  <c r="A7491" i="4"/>
  <c r="B7490" i="4"/>
  <c r="A7490" i="4"/>
  <c r="B7489" i="4"/>
  <c r="A7489" i="4"/>
  <c r="B7488" i="4"/>
  <c r="A7488" i="4"/>
  <c r="B7487" i="4"/>
  <c r="A7487" i="4"/>
  <c r="B7486" i="4"/>
  <c r="A7486" i="4"/>
  <c r="B7485" i="4"/>
  <c r="A7485" i="4"/>
  <c r="B7484" i="4"/>
  <c r="A7484" i="4"/>
  <c r="B7483" i="4"/>
  <c r="A7483" i="4"/>
  <c r="B7482" i="4"/>
  <c r="A7482" i="4"/>
  <c r="B7481" i="4"/>
  <c r="A7481" i="4"/>
  <c r="B7480" i="4"/>
  <c r="A7480" i="4"/>
  <c r="B7479" i="4"/>
  <c r="A7479" i="4"/>
  <c r="B7478" i="4"/>
  <c r="A7478" i="4"/>
  <c r="B7477" i="4"/>
  <c r="A7477" i="4"/>
  <c r="B7476" i="4"/>
  <c r="A7476" i="4"/>
  <c r="B7475" i="4"/>
  <c r="A7475" i="4"/>
  <c r="B7474" i="4"/>
  <c r="A7474" i="4"/>
  <c r="B7473" i="4"/>
  <c r="A7473" i="4"/>
  <c r="B7472" i="4"/>
  <c r="A7472" i="4"/>
  <c r="B7471" i="4"/>
  <c r="A7471" i="4"/>
  <c r="B7470" i="4"/>
  <c r="A7470" i="4"/>
  <c r="B7469" i="4"/>
  <c r="A7469" i="4"/>
  <c r="B7468" i="4"/>
  <c r="A7468" i="4"/>
  <c r="B7467" i="4"/>
  <c r="A7467" i="4"/>
  <c r="B7466" i="4"/>
  <c r="A7466" i="4"/>
  <c r="B7465" i="4"/>
  <c r="A7465" i="4"/>
  <c r="B7464" i="4"/>
  <c r="A7464" i="4"/>
  <c r="B7463" i="4"/>
  <c r="A7463" i="4"/>
  <c r="B7462" i="4"/>
  <c r="A7462" i="4"/>
  <c r="B7461" i="4"/>
  <c r="A7461" i="4"/>
  <c r="B7460" i="4"/>
  <c r="A7460" i="4"/>
  <c r="B7459" i="4"/>
  <c r="A7459" i="4"/>
  <c r="B7458" i="4"/>
  <c r="A7458" i="4"/>
  <c r="B7457" i="4"/>
  <c r="A7457" i="4"/>
  <c r="B7456" i="4"/>
  <c r="A7456" i="4"/>
  <c r="B7455" i="4"/>
  <c r="A7455" i="4"/>
  <c r="B7454" i="4"/>
  <c r="A7454" i="4"/>
  <c r="B7453" i="4"/>
  <c r="A7453" i="4"/>
  <c r="B7452" i="4"/>
  <c r="A7452" i="4"/>
  <c r="B7451" i="4"/>
  <c r="A7451" i="4"/>
  <c r="B7450" i="4"/>
  <c r="A7450" i="4"/>
  <c r="B7449" i="4"/>
  <c r="A7449" i="4"/>
  <c r="B7448" i="4"/>
  <c r="A7448" i="4"/>
  <c r="B7447" i="4"/>
  <c r="A7447" i="4"/>
  <c r="B7446" i="4"/>
  <c r="A7446" i="4"/>
  <c r="B7445" i="4"/>
  <c r="A7445" i="4"/>
  <c r="B7444" i="4"/>
  <c r="A7444" i="4"/>
  <c r="B7443" i="4"/>
  <c r="A7443" i="4"/>
  <c r="B7442" i="4"/>
  <c r="A7442" i="4"/>
  <c r="B7441" i="4"/>
  <c r="A7441" i="4"/>
  <c r="B7440" i="4"/>
  <c r="A7440" i="4"/>
  <c r="B7439" i="4"/>
  <c r="A7439" i="4"/>
  <c r="B7438" i="4"/>
  <c r="A7438" i="4"/>
  <c r="B7437" i="4"/>
  <c r="A7437" i="4"/>
  <c r="B7436" i="4"/>
  <c r="A7436" i="4"/>
  <c r="B7435" i="4"/>
  <c r="A7435" i="4"/>
  <c r="B7434" i="4"/>
  <c r="A7434" i="4"/>
  <c r="B7433" i="4"/>
  <c r="A7433" i="4"/>
  <c r="B7432" i="4"/>
  <c r="A7432" i="4"/>
  <c r="B7431" i="4"/>
  <c r="A7431" i="4"/>
  <c r="B7430" i="4"/>
  <c r="A7430" i="4"/>
  <c r="B7429" i="4"/>
  <c r="A7429" i="4"/>
  <c r="B7428" i="4"/>
  <c r="A7428" i="4"/>
  <c r="B7427" i="4"/>
  <c r="A7427" i="4"/>
  <c r="B7426" i="4"/>
  <c r="A7426" i="4"/>
  <c r="B7425" i="4"/>
  <c r="A7425" i="4"/>
  <c r="B7424" i="4"/>
  <c r="A7424" i="4"/>
  <c r="B7423" i="4"/>
  <c r="A7423" i="4"/>
  <c r="B7422" i="4"/>
  <c r="A7422" i="4"/>
  <c r="B7421" i="4"/>
  <c r="A7421" i="4"/>
  <c r="B7420" i="4"/>
  <c r="A7420" i="4"/>
  <c r="B7419" i="4"/>
  <c r="A7419" i="4"/>
  <c r="B7418" i="4"/>
  <c r="A7418" i="4"/>
  <c r="B7417" i="4"/>
  <c r="A7417" i="4"/>
  <c r="B7416" i="4"/>
  <c r="A7416" i="4"/>
  <c r="B7415" i="4"/>
  <c r="A7415" i="4"/>
  <c r="B7414" i="4"/>
  <c r="A7414" i="4"/>
  <c r="B7413" i="4"/>
  <c r="A7413" i="4"/>
  <c r="B7412" i="4"/>
  <c r="A7412" i="4"/>
  <c r="B7411" i="4"/>
  <c r="A7411" i="4"/>
  <c r="B7410" i="4"/>
  <c r="A7410" i="4"/>
  <c r="B7409" i="4"/>
  <c r="A7409" i="4"/>
  <c r="B7408" i="4"/>
  <c r="A7408" i="4"/>
  <c r="B7407" i="4"/>
  <c r="A7407" i="4"/>
  <c r="B7406" i="4"/>
  <c r="A7406" i="4"/>
  <c r="B7405" i="4"/>
  <c r="A7405" i="4"/>
  <c r="B7404" i="4"/>
  <c r="A7404" i="4"/>
  <c r="B7403" i="4"/>
  <c r="A7403" i="4"/>
  <c r="B7402" i="4"/>
  <c r="A7402" i="4"/>
  <c r="B7401" i="4"/>
  <c r="A7401" i="4"/>
  <c r="B7400" i="4"/>
  <c r="A7400" i="4"/>
  <c r="B7399" i="4"/>
  <c r="A7399" i="4"/>
  <c r="B7398" i="4"/>
  <c r="A7398" i="4"/>
  <c r="B7397" i="4"/>
  <c r="A7397" i="4"/>
  <c r="B7396" i="4"/>
  <c r="A7396" i="4"/>
  <c r="B7395" i="4"/>
  <c r="A7395" i="4"/>
  <c r="B7394" i="4"/>
  <c r="A7394" i="4"/>
  <c r="B7393" i="4"/>
  <c r="A7393" i="4"/>
  <c r="B7392" i="4"/>
  <c r="A7392" i="4"/>
  <c r="B7391" i="4"/>
  <c r="A7391" i="4"/>
  <c r="B7390" i="4"/>
  <c r="A7390" i="4"/>
  <c r="B7389" i="4"/>
  <c r="A7389" i="4"/>
  <c r="B7388" i="4"/>
  <c r="A7388" i="4"/>
  <c r="B7387" i="4"/>
  <c r="A7387" i="4"/>
  <c r="B7386" i="4"/>
  <c r="A7386" i="4"/>
  <c r="B7385" i="4"/>
  <c r="A7385" i="4"/>
  <c r="B7384" i="4"/>
  <c r="A7384" i="4"/>
  <c r="B7383" i="4"/>
  <c r="A7383" i="4"/>
  <c r="B7382" i="4"/>
  <c r="A7382" i="4"/>
  <c r="B7381" i="4"/>
  <c r="A7381" i="4"/>
  <c r="B7380" i="4"/>
  <c r="A7380" i="4"/>
  <c r="B7379" i="4"/>
  <c r="A7379" i="4"/>
  <c r="B7378" i="4"/>
  <c r="A7378" i="4"/>
  <c r="B7377" i="4"/>
  <c r="A7377" i="4"/>
  <c r="B7376" i="4"/>
  <c r="A7376" i="4"/>
  <c r="B7375" i="4"/>
  <c r="A7375" i="4"/>
  <c r="B7374" i="4"/>
  <c r="A7374" i="4"/>
  <c r="B7373" i="4"/>
  <c r="A7373" i="4"/>
  <c r="B7372" i="4"/>
  <c r="A7372" i="4"/>
  <c r="B7371" i="4"/>
  <c r="A7371" i="4"/>
  <c r="B7370" i="4"/>
  <c r="A7370" i="4"/>
  <c r="B7369" i="4"/>
  <c r="A7369" i="4"/>
  <c r="B7368" i="4"/>
  <c r="A7368" i="4"/>
  <c r="B7367" i="4"/>
  <c r="A7367" i="4"/>
  <c r="B7366" i="4"/>
  <c r="A7366" i="4"/>
  <c r="B7365" i="4"/>
  <c r="A7365" i="4"/>
  <c r="B7364" i="4"/>
  <c r="A7364" i="4"/>
  <c r="B7363" i="4"/>
  <c r="A7363" i="4"/>
  <c r="B7362" i="4"/>
  <c r="A7362" i="4"/>
  <c r="B7361" i="4"/>
  <c r="A7361" i="4"/>
  <c r="B7360" i="4"/>
  <c r="A7360" i="4"/>
  <c r="B7359" i="4"/>
  <c r="A7359" i="4"/>
  <c r="B7358" i="4"/>
  <c r="A7358" i="4"/>
  <c r="B7357" i="4"/>
  <c r="A7357" i="4"/>
  <c r="B7356" i="4"/>
  <c r="A7356" i="4"/>
  <c r="B7355" i="4"/>
  <c r="A7355" i="4"/>
  <c r="B7354" i="4"/>
  <c r="A7354" i="4"/>
  <c r="B7353" i="4"/>
  <c r="A7353" i="4"/>
  <c r="B7352" i="4"/>
  <c r="A7352" i="4"/>
  <c r="B7351" i="4"/>
  <c r="A7351" i="4"/>
  <c r="B7350" i="4"/>
  <c r="A7350" i="4"/>
  <c r="B7349" i="4"/>
  <c r="A7349" i="4"/>
  <c r="B7348" i="4"/>
  <c r="A7348" i="4"/>
  <c r="B7347" i="4"/>
  <c r="A7347" i="4"/>
  <c r="B7346" i="4"/>
  <c r="A7346" i="4"/>
  <c r="B7345" i="4"/>
  <c r="A7345" i="4"/>
  <c r="B7344" i="4"/>
  <c r="A7344" i="4"/>
  <c r="B7343" i="4"/>
  <c r="A7343" i="4"/>
  <c r="B7342" i="4"/>
  <c r="A7342" i="4"/>
  <c r="B7341" i="4"/>
  <c r="A7341" i="4"/>
  <c r="B7340" i="4"/>
  <c r="A7340" i="4"/>
  <c r="B7339" i="4"/>
  <c r="A7339" i="4"/>
  <c r="B7338" i="4"/>
  <c r="A7338" i="4"/>
  <c r="B7337" i="4"/>
  <c r="A7337" i="4"/>
  <c r="B7336" i="4"/>
  <c r="A7336" i="4"/>
  <c r="B7335" i="4"/>
  <c r="A7335" i="4"/>
  <c r="B7334" i="4"/>
  <c r="A7334" i="4"/>
  <c r="B7333" i="4"/>
  <c r="A7333" i="4"/>
  <c r="B7332" i="4"/>
  <c r="A7332" i="4"/>
  <c r="B7331" i="4"/>
  <c r="A7331" i="4"/>
  <c r="B7330" i="4"/>
  <c r="A7330" i="4"/>
  <c r="B7329" i="4"/>
  <c r="A7329" i="4"/>
  <c r="B7328" i="4"/>
  <c r="A7328" i="4"/>
  <c r="B7327" i="4"/>
  <c r="A7327" i="4"/>
  <c r="B7326" i="4"/>
  <c r="A7326" i="4"/>
  <c r="B7325" i="4"/>
  <c r="A7325" i="4"/>
  <c r="B7324" i="4"/>
  <c r="A7324" i="4"/>
  <c r="B7323" i="4"/>
  <c r="A7323" i="4"/>
  <c r="B7322" i="4"/>
  <c r="A7322" i="4"/>
  <c r="B7321" i="4"/>
  <c r="A7321" i="4"/>
  <c r="B7320" i="4"/>
  <c r="A7320" i="4"/>
  <c r="B7319" i="4"/>
  <c r="A7319" i="4"/>
  <c r="B7318" i="4"/>
  <c r="A7318" i="4"/>
  <c r="B7317" i="4"/>
  <c r="A7317" i="4"/>
  <c r="B7316" i="4"/>
  <c r="A7316" i="4"/>
  <c r="B7315" i="4"/>
  <c r="A7315" i="4"/>
  <c r="B7314" i="4"/>
  <c r="A7314" i="4"/>
  <c r="B7313" i="4"/>
  <c r="A7313" i="4"/>
  <c r="B7312" i="4"/>
  <c r="A7312" i="4"/>
  <c r="B7311" i="4"/>
  <c r="A7311" i="4"/>
  <c r="B7310" i="4"/>
  <c r="A7310" i="4"/>
  <c r="B7309" i="4"/>
  <c r="A7309" i="4"/>
  <c r="B7308" i="4"/>
  <c r="A7308" i="4"/>
  <c r="B7307" i="4"/>
  <c r="A7307" i="4"/>
  <c r="B7306" i="4"/>
  <c r="A7306" i="4"/>
  <c r="B7305" i="4"/>
  <c r="A7305" i="4"/>
  <c r="B7304" i="4"/>
  <c r="A7304" i="4"/>
  <c r="B7303" i="4"/>
  <c r="A7303" i="4"/>
  <c r="B7302" i="4"/>
  <c r="A7302" i="4"/>
  <c r="B7301" i="4"/>
  <c r="A7301" i="4"/>
  <c r="B7300" i="4"/>
  <c r="A7300" i="4"/>
  <c r="B7299" i="4"/>
  <c r="A7299" i="4"/>
  <c r="B7298" i="4"/>
  <c r="A7298" i="4"/>
  <c r="B7297" i="4"/>
  <c r="A7297" i="4"/>
  <c r="B7296" i="4"/>
  <c r="A7296" i="4"/>
  <c r="B7295" i="4"/>
  <c r="A7295" i="4"/>
  <c r="B7294" i="4"/>
  <c r="A7294" i="4"/>
  <c r="B7293" i="4"/>
  <c r="A7293" i="4"/>
  <c r="B7292" i="4"/>
  <c r="A7292" i="4"/>
  <c r="B7291" i="4"/>
  <c r="A7291" i="4"/>
  <c r="B7290" i="4"/>
  <c r="A7290" i="4"/>
  <c r="B7289" i="4"/>
  <c r="A7289" i="4"/>
  <c r="B7288" i="4"/>
  <c r="A7288" i="4"/>
  <c r="B7287" i="4"/>
  <c r="A7287" i="4"/>
  <c r="B7286" i="4"/>
  <c r="A7286" i="4"/>
  <c r="B7285" i="4"/>
  <c r="A7285" i="4"/>
  <c r="B7284" i="4"/>
  <c r="A7284" i="4"/>
  <c r="B7283" i="4"/>
  <c r="A7283" i="4"/>
  <c r="B7282" i="4"/>
  <c r="A7282" i="4"/>
  <c r="B7281" i="4"/>
  <c r="A7281" i="4"/>
  <c r="B7280" i="4"/>
  <c r="A7280" i="4"/>
  <c r="B7279" i="4"/>
  <c r="A7279" i="4"/>
  <c r="B7278" i="4"/>
  <c r="A7278" i="4"/>
  <c r="B7277" i="4"/>
  <c r="A7277" i="4"/>
  <c r="B7276" i="4"/>
  <c r="A7276" i="4"/>
  <c r="B7275" i="4"/>
  <c r="A7275" i="4"/>
  <c r="B7274" i="4"/>
  <c r="A7274" i="4"/>
  <c r="B7273" i="4"/>
  <c r="A7273" i="4"/>
  <c r="B7272" i="4"/>
  <c r="A7272" i="4"/>
  <c r="B7271" i="4"/>
  <c r="A7271" i="4"/>
  <c r="B7270" i="4"/>
  <c r="A7270" i="4"/>
  <c r="B7269" i="4"/>
  <c r="A7269" i="4"/>
  <c r="B7268" i="4"/>
  <c r="A7268" i="4"/>
  <c r="B7267" i="4"/>
  <c r="A7267" i="4"/>
  <c r="B7266" i="4"/>
  <c r="A7266" i="4"/>
  <c r="B7265" i="4"/>
  <c r="A7265" i="4"/>
  <c r="B7264" i="4"/>
  <c r="A7264" i="4"/>
  <c r="B7263" i="4"/>
  <c r="A7263" i="4"/>
  <c r="B7262" i="4"/>
  <c r="A7262" i="4"/>
  <c r="B7261" i="4"/>
  <c r="A7261" i="4"/>
  <c r="B7260" i="4"/>
  <c r="A7260" i="4"/>
  <c r="B7259" i="4"/>
  <c r="A7259" i="4"/>
  <c r="B7258" i="4"/>
  <c r="A7258" i="4"/>
  <c r="B7257" i="4"/>
  <c r="A7257" i="4"/>
  <c r="B7256" i="4"/>
  <c r="A7256" i="4"/>
  <c r="B7255" i="4"/>
  <c r="A7255" i="4"/>
  <c r="B7254" i="4"/>
  <c r="A7254" i="4"/>
  <c r="B7253" i="4"/>
  <c r="A7253" i="4"/>
  <c r="B7252" i="4"/>
  <c r="A7252" i="4"/>
  <c r="B7251" i="4"/>
  <c r="A7251" i="4"/>
  <c r="B7250" i="4"/>
  <c r="A7250" i="4"/>
  <c r="B7249" i="4"/>
  <c r="A7249" i="4"/>
  <c r="B7248" i="4"/>
  <c r="A7248" i="4"/>
  <c r="B7247" i="4"/>
  <c r="A7247" i="4"/>
  <c r="B7246" i="4"/>
  <c r="A7246" i="4"/>
  <c r="B7245" i="4"/>
  <c r="A7245" i="4"/>
  <c r="B7244" i="4"/>
  <c r="A7244" i="4"/>
  <c r="B7243" i="4"/>
  <c r="A7243" i="4"/>
  <c r="B7242" i="4"/>
  <c r="A7242" i="4"/>
  <c r="B7241" i="4"/>
  <c r="A7241" i="4"/>
  <c r="B7240" i="4"/>
  <c r="A7240" i="4"/>
  <c r="B7239" i="4"/>
  <c r="A7239" i="4"/>
  <c r="B7238" i="4"/>
  <c r="A7238" i="4"/>
  <c r="B7237" i="4"/>
  <c r="A7237" i="4"/>
  <c r="B7236" i="4"/>
  <c r="A7236" i="4"/>
  <c r="B7235" i="4"/>
  <c r="A7235" i="4"/>
  <c r="B7234" i="4"/>
  <c r="A7234" i="4"/>
  <c r="B7233" i="4"/>
  <c r="A7233" i="4"/>
  <c r="B7232" i="4"/>
  <c r="A7232" i="4"/>
  <c r="B7231" i="4"/>
  <c r="A7231" i="4"/>
  <c r="B7230" i="4"/>
  <c r="A7230" i="4"/>
  <c r="B7229" i="4"/>
  <c r="A7229" i="4"/>
  <c r="B7228" i="4"/>
  <c r="A7228" i="4"/>
  <c r="B7227" i="4"/>
  <c r="A7227" i="4"/>
  <c r="B7226" i="4"/>
  <c r="A7226" i="4"/>
  <c r="B7225" i="4"/>
  <c r="A7225" i="4"/>
  <c r="B7224" i="4"/>
  <c r="A7224" i="4"/>
  <c r="B7223" i="4"/>
  <c r="A7223" i="4"/>
  <c r="B7222" i="4"/>
  <c r="A7222" i="4"/>
  <c r="B7221" i="4"/>
  <c r="A7221" i="4"/>
  <c r="B7220" i="4"/>
  <c r="A7220" i="4"/>
  <c r="B7219" i="4"/>
  <c r="A7219" i="4"/>
  <c r="B7218" i="4"/>
  <c r="A7218" i="4"/>
  <c r="B7217" i="4"/>
  <c r="A7217" i="4"/>
  <c r="B7216" i="4"/>
  <c r="A7216" i="4"/>
  <c r="B7215" i="4"/>
  <c r="A7215" i="4"/>
  <c r="B7214" i="4"/>
  <c r="A7214" i="4"/>
  <c r="B7213" i="4"/>
  <c r="A7213" i="4"/>
  <c r="B7212" i="4"/>
  <c r="A7212" i="4"/>
  <c r="B7211" i="4"/>
  <c r="A7211" i="4"/>
  <c r="B7210" i="4"/>
  <c r="A7210" i="4"/>
  <c r="B7209" i="4"/>
  <c r="A7209" i="4"/>
  <c r="B7208" i="4"/>
  <c r="A7208" i="4"/>
  <c r="B7207" i="4"/>
  <c r="A7207" i="4"/>
  <c r="B7206" i="4"/>
  <c r="A7206" i="4"/>
  <c r="B7205" i="4"/>
  <c r="A7205" i="4"/>
  <c r="B7204" i="4"/>
  <c r="A7204" i="4"/>
  <c r="B7203" i="4"/>
  <c r="A7203" i="4"/>
  <c r="B7202" i="4"/>
  <c r="A7202" i="4"/>
  <c r="B7201" i="4"/>
  <c r="A7201" i="4"/>
  <c r="B7200" i="4"/>
  <c r="A7200" i="4"/>
  <c r="B7199" i="4"/>
  <c r="A7199" i="4"/>
  <c r="B7198" i="4"/>
  <c r="A7198" i="4"/>
  <c r="B7197" i="4"/>
  <c r="A7197" i="4"/>
  <c r="B7196" i="4"/>
  <c r="A7196" i="4"/>
  <c r="B7195" i="4"/>
  <c r="A7195" i="4"/>
  <c r="B7194" i="4"/>
  <c r="A7194" i="4"/>
  <c r="B7193" i="4"/>
  <c r="A7193" i="4"/>
  <c r="B7192" i="4"/>
  <c r="A7192" i="4"/>
  <c r="B7191" i="4"/>
  <c r="A7191" i="4"/>
  <c r="B7190" i="4"/>
  <c r="A7190" i="4"/>
  <c r="B7189" i="4"/>
  <c r="A7189" i="4"/>
  <c r="B7188" i="4"/>
  <c r="A7188" i="4"/>
  <c r="B7187" i="4"/>
  <c r="A7187" i="4"/>
  <c r="B7186" i="4"/>
  <c r="A7186" i="4"/>
  <c r="B7185" i="4"/>
  <c r="A7185" i="4"/>
  <c r="B7184" i="4"/>
  <c r="A7184" i="4"/>
  <c r="B7183" i="4"/>
  <c r="A7183" i="4"/>
  <c r="B7182" i="4"/>
  <c r="A7182" i="4"/>
  <c r="B7181" i="4"/>
  <c r="A7181" i="4"/>
  <c r="B7180" i="4"/>
  <c r="A7180" i="4"/>
  <c r="B7179" i="4"/>
  <c r="A7179" i="4"/>
  <c r="B7178" i="4"/>
  <c r="A7178" i="4"/>
  <c r="B7177" i="4"/>
  <c r="A7177" i="4"/>
  <c r="B7176" i="4"/>
  <c r="A7176" i="4"/>
  <c r="B7175" i="4"/>
  <c r="A7175" i="4"/>
  <c r="B7174" i="4"/>
  <c r="A7174" i="4"/>
  <c r="B7173" i="4"/>
  <c r="A7173" i="4"/>
  <c r="B7172" i="4"/>
  <c r="A7172" i="4"/>
  <c r="B7171" i="4"/>
  <c r="A7171" i="4"/>
  <c r="B7170" i="4"/>
  <c r="A7170" i="4"/>
  <c r="B7169" i="4"/>
  <c r="A7169" i="4"/>
  <c r="B7168" i="4"/>
  <c r="A7168" i="4"/>
  <c r="B7167" i="4"/>
  <c r="A7167" i="4"/>
  <c r="B7166" i="4"/>
  <c r="A7166" i="4"/>
  <c r="B7165" i="4"/>
  <c r="A7165" i="4"/>
  <c r="B7164" i="4"/>
  <c r="A7164" i="4"/>
  <c r="B7163" i="4"/>
  <c r="A7163" i="4"/>
  <c r="B7162" i="4"/>
  <c r="A7162" i="4"/>
  <c r="B7161" i="4"/>
  <c r="A7161" i="4"/>
  <c r="B7160" i="4"/>
  <c r="A7160" i="4"/>
  <c r="B7159" i="4"/>
  <c r="A7159" i="4"/>
  <c r="B7158" i="4"/>
  <c r="A7158" i="4"/>
  <c r="B7157" i="4"/>
  <c r="A7157" i="4"/>
  <c r="B7156" i="4"/>
  <c r="A7156" i="4"/>
  <c r="B7155" i="4"/>
  <c r="A7155" i="4"/>
  <c r="B7154" i="4"/>
  <c r="A7154" i="4"/>
  <c r="B7153" i="4"/>
  <c r="A7153" i="4"/>
  <c r="B7152" i="4"/>
  <c r="A7152" i="4"/>
  <c r="B7151" i="4"/>
  <c r="A7151" i="4"/>
  <c r="B7150" i="4"/>
  <c r="A7150" i="4"/>
  <c r="B7149" i="4"/>
  <c r="A7149" i="4"/>
  <c r="B7148" i="4"/>
  <c r="A7148" i="4"/>
  <c r="B7147" i="4"/>
  <c r="A7147" i="4"/>
  <c r="B7146" i="4"/>
  <c r="A7146" i="4"/>
  <c r="B7145" i="4"/>
  <c r="A7145" i="4"/>
  <c r="B7144" i="4"/>
  <c r="A7144" i="4"/>
  <c r="B7143" i="4"/>
  <c r="A7143" i="4"/>
  <c r="B7142" i="4"/>
  <c r="A7142" i="4"/>
  <c r="B7141" i="4"/>
  <c r="A7141" i="4"/>
  <c r="B7140" i="4"/>
  <c r="A7140" i="4"/>
  <c r="B7139" i="4"/>
  <c r="A7139" i="4"/>
  <c r="B7138" i="4"/>
  <c r="A7138" i="4"/>
  <c r="B7137" i="4"/>
  <c r="A7137" i="4"/>
  <c r="B7136" i="4"/>
  <c r="A7136" i="4"/>
  <c r="B7135" i="4"/>
  <c r="A7135" i="4"/>
  <c r="B7134" i="4"/>
  <c r="A7134" i="4"/>
  <c r="B7133" i="4"/>
  <c r="A7133" i="4"/>
  <c r="B7132" i="4"/>
  <c r="A7132" i="4"/>
  <c r="B7131" i="4"/>
  <c r="A7131" i="4"/>
  <c r="B7130" i="4"/>
  <c r="A7130" i="4"/>
  <c r="B7129" i="4"/>
  <c r="A7129" i="4"/>
  <c r="B7128" i="4"/>
  <c r="A7128" i="4"/>
  <c r="B7127" i="4"/>
  <c r="A7127" i="4"/>
  <c r="B7126" i="4"/>
  <c r="A7126" i="4"/>
  <c r="B7125" i="4"/>
  <c r="A7125" i="4"/>
  <c r="B7124" i="4"/>
  <c r="A7124" i="4"/>
  <c r="B7123" i="4"/>
  <c r="A7123" i="4"/>
  <c r="B7122" i="4"/>
  <c r="A7122" i="4"/>
  <c r="B7121" i="4"/>
  <c r="A7121" i="4"/>
  <c r="B7120" i="4"/>
  <c r="A7120" i="4"/>
  <c r="B7119" i="4"/>
  <c r="A7119" i="4"/>
  <c r="B7118" i="4"/>
  <c r="A7118" i="4"/>
  <c r="B7117" i="4"/>
  <c r="A7117" i="4"/>
  <c r="B7116" i="4"/>
  <c r="A7116" i="4"/>
  <c r="B7115" i="4"/>
  <c r="A7115" i="4"/>
  <c r="B7114" i="4"/>
  <c r="A7114" i="4"/>
  <c r="B7113" i="4"/>
  <c r="A7113" i="4"/>
  <c r="B7112" i="4"/>
  <c r="A7112" i="4"/>
  <c r="B7111" i="4"/>
  <c r="A7111" i="4"/>
  <c r="B7110" i="4"/>
  <c r="A7110" i="4"/>
  <c r="B7109" i="4"/>
  <c r="A7109" i="4"/>
  <c r="B7108" i="4"/>
  <c r="A7108" i="4"/>
  <c r="B7107" i="4"/>
  <c r="A7107" i="4"/>
  <c r="B7106" i="4"/>
  <c r="A7106" i="4"/>
  <c r="B7105" i="4"/>
  <c r="A7105" i="4"/>
  <c r="B7104" i="4"/>
  <c r="A7104" i="4"/>
  <c r="B7103" i="4"/>
  <c r="A7103" i="4"/>
  <c r="B7102" i="4"/>
  <c r="A7102" i="4"/>
  <c r="B7101" i="4"/>
  <c r="A7101" i="4"/>
  <c r="B7100" i="4"/>
  <c r="A7100" i="4"/>
  <c r="B7099" i="4"/>
  <c r="A7099" i="4"/>
  <c r="B7098" i="4"/>
  <c r="A7098" i="4"/>
  <c r="B7097" i="4"/>
  <c r="A7097" i="4"/>
  <c r="B7096" i="4"/>
  <c r="A7096" i="4"/>
  <c r="B7095" i="4"/>
  <c r="A7095" i="4"/>
  <c r="B7094" i="4"/>
  <c r="A7094" i="4"/>
  <c r="B7093" i="4"/>
  <c r="A7093" i="4"/>
  <c r="B7092" i="4"/>
  <c r="A7092" i="4"/>
  <c r="B7091" i="4"/>
  <c r="A7091" i="4"/>
  <c r="B7090" i="4"/>
  <c r="A7090" i="4"/>
  <c r="B7089" i="4"/>
  <c r="A7089" i="4"/>
  <c r="B7088" i="4"/>
  <c r="A7088" i="4"/>
  <c r="B7087" i="4"/>
  <c r="A7087" i="4"/>
  <c r="B7086" i="4"/>
  <c r="A7086" i="4"/>
  <c r="B7085" i="4"/>
  <c r="A7085" i="4"/>
  <c r="B7084" i="4"/>
  <c r="A7084" i="4"/>
  <c r="B7083" i="4"/>
  <c r="A7083" i="4"/>
  <c r="B7082" i="4"/>
  <c r="A7082" i="4"/>
  <c r="B7081" i="4"/>
  <c r="A7081" i="4"/>
  <c r="B7080" i="4"/>
  <c r="A7080" i="4"/>
  <c r="B7079" i="4"/>
  <c r="A7079" i="4"/>
  <c r="B7078" i="4"/>
  <c r="A7078" i="4"/>
  <c r="B7077" i="4"/>
  <c r="A7077" i="4"/>
  <c r="B7076" i="4"/>
  <c r="A7076" i="4"/>
  <c r="B7075" i="4"/>
  <c r="A7075" i="4"/>
  <c r="B7074" i="4"/>
  <c r="A7074" i="4"/>
  <c r="B7073" i="4"/>
  <c r="A7073" i="4"/>
  <c r="B7072" i="4"/>
  <c r="A7072" i="4"/>
  <c r="B7071" i="4"/>
  <c r="A7071" i="4"/>
  <c r="B7070" i="4"/>
  <c r="A7070" i="4"/>
  <c r="B7069" i="4"/>
  <c r="A7069" i="4"/>
  <c r="B7068" i="4"/>
  <c r="A7068" i="4"/>
  <c r="B7067" i="4"/>
  <c r="A7067" i="4"/>
  <c r="B7066" i="4"/>
  <c r="A7066" i="4"/>
  <c r="B7065" i="4"/>
  <c r="A7065" i="4"/>
  <c r="B7064" i="4"/>
  <c r="A7064" i="4"/>
  <c r="B7063" i="4"/>
  <c r="A7063" i="4"/>
  <c r="B7062" i="4"/>
  <c r="A7062" i="4"/>
  <c r="B7061" i="4"/>
  <c r="A7061" i="4"/>
  <c r="B7060" i="4"/>
  <c r="A7060" i="4"/>
  <c r="B7059" i="4"/>
  <c r="A7059" i="4"/>
  <c r="B7058" i="4"/>
  <c r="A7058" i="4"/>
  <c r="B7057" i="4"/>
  <c r="A7057" i="4"/>
  <c r="B7056" i="4"/>
  <c r="A7056" i="4"/>
  <c r="B7055" i="4"/>
  <c r="A7055" i="4"/>
  <c r="B7054" i="4"/>
  <c r="A7054" i="4"/>
  <c r="B7053" i="4"/>
  <c r="A7053" i="4"/>
  <c r="B7052" i="4"/>
  <c r="A7052" i="4"/>
  <c r="B7051" i="4"/>
  <c r="A7051" i="4"/>
  <c r="B7050" i="4"/>
  <c r="A7050" i="4"/>
  <c r="B7049" i="4"/>
  <c r="A7049" i="4"/>
  <c r="B7048" i="4"/>
  <c r="A7048" i="4"/>
  <c r="B7047" i="4"/>
  <c r="A7047" i="4"/>
  <c r="B7046" i="4"/>
  <c r="A7046" i="4"/>
  <c r="B7045" i="4"/>
  <c r="A7045" i="4"/>
  <c r="B7044" i="4"/>
  <c r="A7044" i="4"/>
  <c r="B7043" i="4"/>
  <c r="A7043" i="4"/>
  <c r="B7042" i="4"/>
  <c r="A7042" i="4"/>
  <c r="B7041" i="4"/>
  <c r="A7041" i="4"/>
  <c r="B7040" i="4"/>
  <c r="A7040" i="4"/>
  <c r="B7039" i="4"/>
  <c r="A7039" i="4"/>
  <c r="B7038" i="4"/>
  <c r="A7038" i="4"/>
  <c r="B7037" i="4"/>
  <c r="A7037" i="4"/>
  <c r="B7036" i="4"/>
  <c r="A7036" i="4"/>
  <c r="B7035" i="4"/>
  <c r="A7035" i="4"/>
  <c r="B7034" i="4"/>
  <c r="A7034" i="4"/>
  <c r="B7033" i="4"/>
  <c r="A7033" i="4"/>
  <c r="B7032" i="4"/>
  <c r="A7032" i="4"/>
  <c r="B7031" i="4"/>
  <c r="A7031" i="4"/>
  <c r="B7030" i="4"/>
  <c r="A7030" i="4"/>
  <c r="B7029" i="4"/>
  <c r="A7029" i="4"/>
  <c r="B7028" i="4"/>
  <c r="A7028" i="4"/>
  <c r="B7027" i="4"/>
  <c r="A7027" i="4"/>
  <c r="B7026" i="4"/>
  <c r="A7026" i="4"/>
  <c r="B7025" i="4"/>
  <c r="A7025" i="4"/>
  <c r="B7024" i="4"/>
  <c r="A7024" i="4"/>
  <c r="B7023" i="4"/>
  <c r="A7023" i="4"/>
  <c r="B7022" i="4"/>
  <c r="A7022" i="4"/>
  <c r="B7021" i="4"/>
  <c r="A7021" i="4"/>
  <c r="B7020" i="4"/>
  <c r="A7020" i="4"/>
  <c r="B7019" i="4"/>
  <c r="A7019" i="4"/>
  <c r="B7018" i="4"/>
  <c r="A7018" i="4"/>
  <c r="B7017" i="4"/>
  <c r="A7017" i="4"/>
  <c r="B7016" i="4"/>
  <c r="A7016" i="4"/>
  <c r="B7015" i="4"/>
  <c r="A7015" i="4"/>
  <c r="B7014" i="4"/>
  <c r="A7014" i="4"/>
  <c r="B7013" i="4"/>
  <c r="A7013" i="4"/>
  <c r="B7012" i="4"/>
  <c r="A7012" i="4"/>
  <c r="B7011" i="4"/>
  <c r="A7011" i="4"/>
  <c r="B7010" i="4"/>
  <c r="A7010" i="4"/>
  <c r="B7009" i="4"/>
  <c r="A7009" i="4"/>
  <c r="B7008" i="4"/>
  <c r="A7008" i="4"/>
  <c r="B7007" i="4"/>
  <c r="A7007" i="4"/>
  <c r="B7006" i="4"/>
  <c r="A7006" i="4"/>
  <c r="B7005" i="4"/>
  <c r="A7005" i="4"/>
  <c r="B7004" i="4"/>
  <c r="A7004" i="4"/>
  <c r="B7003" i="4"/>
  <c r="A7003" i="4"/>
  <c r="B7002" i="4"/>
  <c r="A7002" i="4"/>
  <c r="B7001" i="4"/>
  <c r="A7001" i="4"/>
  <c r="B7000" i="4"/>
  <c r="A7000" i="4"/>
  <c r="B6999" i="4"/>
  <c r="A6999" i="4"/>
  <c r="B6998" i="4"/>
  <c r="A6998" i="4"/>
  <c r="B6997" i="4"/>
  <c r="A6997" i="4"/>
  <c r="B6996" i="4"/>
  <c r="A6996" i="4"/>
  <c r="B6995" i="4"/>
  <c r="A6995" i="4"/>
  <c r="B6994" i="4"/>
  <c r="A6994" i="4"/>
  <c r="B6993" i="4"/>
  <c r="A6993" i="4"/>
  <c r="B6992" i="4"/>
  <c r="A6992" i="4"/>
  <c r="B6991" i="4"/>
  <c r="A6991" i="4"/>
  <c r="B6990" i="4"/>
  <c r="A6990" i="4"/>
  <c r="B6989" i="4"/>
  <c r="A6989" i="4"/>
  <c r="B6988" i="4"/>
  <c r="A6988" i="4"/>
  <c r="B6987" i="4"/>
  <c r="A6987" i="4"/>
  <c r="B6986" i="4"/>
  <c r="A6986" i="4"/>
  <c r="B6985" i="4"/>
  <c r="A6985" i="4"/>
  <c r="B6984" i="4"/>
  <c r="A6984" i="4"/>
  <c r="B6983" i="4"/>
  <c r="A6983" i="4"/>
  <c r="B6982" i="4"/>
  <c r="A6982" i="4"/>
  <c r="B6981" i="4"/>
  <c r="A6981" i="4"/>
  <c r="B6980" i="4"/>
  <c r="A6980" i="4"/>
  <c r="B6979" i="4"/>
  <c r="A6979" i="4"/>
  <c r="B6978" i="4"/>
  <c r="A6978" i="4"/>
  <c r="B6977" i="4"/>
  <c r="A6977" i="4"/>
  <c r="B6976" i="4"/>
  <c r="A6976" i="4"/>
  <c r="B6975" i="4"/>
  <c r="A6975" i="4"/>
  <c r="B6974" i="4"/>
  <c r="A6974" i="4"/>
  <c r="B6973" i="4"/>
  <c r="A6973" i="4"/>
  <c r="B6972" i="4"/>
  <c r="A6972" i="4"/>
  <c r="B6971" i="4"/>
  <c r="A6971" i="4"/>
  <c r="B6970" i="4"/>
  <c r="A6970" i="4"/>
  <c r="B6969" i="4"/>
  <c r="A6969" i="4"/>
  <c r="B6968" i="4"/>
  <c r="A6968" i="4"/>
  <c r="B6967" i="4"/>
  <c r="A6967" i="4"/>
  <c r="B6966" i="4"/>
  <c r="A6966" i="4"/>
  <c r="B6965" i="4"/>
  <c r="A6965" i="4"/>
  <c r="B6964" i="4"/>
  <c r="A6964" i="4"/>
  <c r="B6963" i="4"/>
  <c r="A6963" i="4"/>
  <c r="B6962" i="4"/>
  <c r="A6962" i="4"/>
  <c r="B6961" i="4"/>
  <c r="A6961" i="4"/>
  <c r="B6960" i="4"/>
  <c r="A6960" i="4"/>
  <c r="B6959" i="4"/>
  <c r="A6959" i="4"/>
  <c r="B6958" i="4"/>
  <c r="A6958" i="4"/>
  <c r="B6957" i="4"/>
  <c r="A6957" i="4"/>
  <c r="B6956" i="4"/>
  <c r="A6956" i="4"/>
  <c r="B6955" i="4"/>
  <c r="A6955" i="4"/>
  <c r="B6954" i="4"/>
  <c r="A6954" i="4"/>
  <c r="B6953" i="4"/>
  <c r="A6953" i="4"/>
  <c r="B6952" i="4"/>
  <c r="A6952" i="4"/>
  <c r="B6951" i="4"/>
  <c r="A6951" i="4"/>
  <c r="B6950" i="4"/>
  <c r="A6950" i="4"/>
  <c r="B6949" i="4"/>
  <c r="A6949" i="4"/>
  <c r="B6948" i="4"/>
  <c r="A6948" i="4"/>
  <c r="B6947" i="4"/>
  <c r="A6947" i="4"/>
  <c r="B6946" i="4"/>
  <c r="A6946" i="4"/>
  <c r="B6945" i="4"/>
  <c r="A6945" i="4"/>
  <c r="B6944" i="4"/>
  <c r="A6944" i="4"/>
  <c r="B6943" i="4"/>
  <c r="A6943" i="4"/>
  <c r="B6942" i="4"/>
  <c r="A6942" i="4"/>
  <c r="B6941" i="4"/>
  <c r="A6941" i="4"/>
  <c r="B6940" i="4"/>
  <c r="A6940" i="4"/>
  <c r="B6939" i="4"/>
  <c r="A6939" i="4"/>
  <c r="B6938" i="4"/>
  <c r="A6938" i="4"/>
  <c r="B6937" i="4"/>
  <c r="A6937" i="4"/>
  <c r="B6936" i="4"/>
  <c r="A6936" i="4"/>
  <c r="B6935" i="4"/>
  <c r="A6935" i="4"/>
  <c r="B6934" i="4"/>
  <c r="A6934" i="4"/>
  <c r="B6933" i="4"/>
  <c r="A6933" i="4"/>
  <c r="B6932" i="4"/>
  <c r="A6932" i="4"/>
  <c r="B6931" i="4"/>
  <c r="A6931" i="4"/>
  <c r="B6930" i="4"/>
  <c r="A6930" i="4"/>
  <c r="B6929" i="4"/>
  <c r="A6929" i="4"/>
  <c r="B6928" i="4"/>
  <c r="A6928" i="4"/>
  <c r="B6927" i="4"/>
  <c r="A6927" i="4"/>
  <c r="B6926" i="4"/>
  <c r="A6926" i="4"/>
  <c r="B6925" i="4"/>
  <c r="A6925" i="4"/>
  <c r="B6924" i="4"/>
  <c r="A6924" i="4"/>
  <c r="B6923" i="4"/>
  <c r="A6923" i="4"/>
  <c r="B6922" i="4"/>
  <c r="A6922" i="4"/>
  <c r="B6921" i="4"/>
  <c r="A6921" i="4"/>
  <c r="B6920" i="4"/>
  <c r="A6920" i="4"/>
  <c r="B6919" i="4"/>
  <c r="A6919" i="4"/>
  <c r="B6918" i="4"/>
  <c r="A6918" i="4"/>
  <c r="B6917" i="4"/>
  <c r="A6917" i="4"/>
  <c r="B6916" i="4"/>
  <c r="A6916" i="4"/>
  <c r="B6915" i="4"/>
  <c r="A6915" i="4"/>
  <c r="B6914" i="4"/>
  <c r="A6914" i="4"/>
  <c r="B6913" i="4"/>
  <c r="A6913" i="4"/>
  <c r="B6912" i="4"/>
  <c r="A6912" i="4"/>
  <c r="B6911" i="4"/>
  <c r="A6911" i="4"/>
  <c r="B6910" i="4"/>
  <c r="A6910" i="4"/>
  <c r="B6909" i="4"/>
  <c r="A6909" i="4"/>
  <c r="B6908" i="4"/>
  <c r="A6908" i="4"/>
  <c r="B6907" i="4"/>
  <c r="A6907" i="4"/>
  <c r="B6906" i="4"/>
  <c r="A6906" i="4"/>
  <c r="B6905" i="4"/>
  <c r="A6905" i="4"/>
  <c r="B6904" i="4"/>
  <c r="A6904" i="4"/>
  <c r="B6903" i="4"/>
  <c r="A6903" i="4"/>
  <c r="B6902" i="4"/>
  <c r="A6902" i="4"/>
  <c r="B6901" i="4"/>
  <c r="A6901" i="4"/>
  <c r="B6900" i="4"/>
  <c r="A6900" i="4"/>
  <c r="B6899" i="4"/>
  <c r="A6899" i="4"/>
  <c r="B6898" i="4"/>
  <c r="A6898" i="4"/>
  <c r="B6897" i="4"/>
  <c r="A6897" i="4"/>
  <c r="B6896" i="4"/>
  <c r="A6896" i="4"/>
  <c r="B6895" i="4"/>
  <c r="A6895" i="4"/>
  <c r="B6894" i="4"/>
  <c r="A6894" i="4"/>
  <c r="B6893" i="4"/>
  <c r="A6893" i="4"/>
  <c r="B6892" i="4"/>
  <c r="A6892" i="4"/>
  <c r="B6891" i="4"/>
  <c r="A6891" i="4"/>
  <c r="B6890" i="4"/>
  <c r="A6890" i="4"/>
  <c r="B6889" i="4"/>
  <c r="A6889" i="4"/>
  <c r="B6888" i="4"/>
  <c r="A6888" i="4"/>
  <c r="B6887" i="4"/>
  <c r="A6887" i="4"/>
  <c r="B6886" i="4"/>
  <c r="A6886" i="4"/>
  <c r="B6885" i="4"/>
  <c r="A6885" i="4"/>
  <c r="B6884" i="4"/>
  <c r="A6884" i="4"/>
  <c r="B6883" i="4"/>
  <c r="A6883" i="4"/>
  <c r="B6882" i="4"/>
  <c r="A6882" i="4"/>
  <c r="B6881" i="4"/>
  <c r="A6881" i="4"/>
  <c r="B6880" i="4"/>
  <c r="A6880" i="4"/>
  <c r="B6879" i="4"/>
  <c r="A6879" i="4"/>
  <c r="B6878" i="4"/>
  <c r="A6878" i="4"/>
  <c r="B6877" i="4"/>
  <c r="A6877" i="4"/>
  <c r="B6876" i="4"/>
  <c r="A6876" i="4"/>
  <c r="B6875" i="4"/>
  <c r="A6875" i="4"/>
  <c r="B6874" i="4"/>
  <c r="A6874" i="4"/>
  <c r="B6873" i="4"/>
  <c r="A6873" i="4"/>
  <c r="B6872" i="4"/>
  <c r="A6872" i="4"/>
  <c r="B6871" i="4"/>
  <c r="A6871" i="4"/>
  <c r="B6870" i="4"/>
  <c r="A6870" i="4"/>
  <c r="B6869" i="4"/>
  <c r="A6869" i="4"/>
  <c r="B6868" i="4"/>
  <c r="A6868" i="4"/>
  <c r="B6867" i="4"/>
  <c r="A6867" i="4"/>
  <c r="B6866" i="4"/>
  <c r="A6866" i="4"/>
  <c r="B6865" i="4"/>
  <c r="A6865" i="4"/>
  <c r="B6864" i="4"/>
  <c r="A6864" i="4"/>
  <c r="B6863" i="4"/>
  <c r="A6863" i="4"/>
  <c r="B6862" i="4"/>
  <c r="A6862" i="4"/>
  <c r="B6861" i="4"/>
  <c r="A6861" i="4"/>
  <c r="B6860" i="4"/>
  <c r="A6860" i="4"/>
  <c r="B6859" i="4"/>
  <c r="A6859" i="4"/>
  <c r="B6858" i="4"/>
  <c r="A6858" i="4"/>
  <c r="B6857" i="4"/>
  <c r="A6857" i="4"/>
  <c r="B6856" i="4"/>
  <c r="A6856" i="4"/>
  <c r="B6855" i="4"/>
  <c r="A6855" i="4"/>
  <c r="B6854" i="4"/>
  <c r="A6854" i="4"/>
  <c r="B6853" i="4"/>
  <c r="A6853" i="4"/>
  <c r="B6852" i="4"/>
  <c r="A6852" i="4"/>
  <c r="B6851" i="4"/>
  <c r="A6851" i="4"/>
  <c r="B6850" i="4"/>
  <c r="A6850" i="4"/>
  <c r="B6849" i="4"/>
  <c r="A6849" i="4"/>
  <c r="B6848" i="4"/>
  <c r="A6848" i="4"/>
  <c r="B6847" i="4"/>
  <c r="A6847" i="4"/>
  <c r="B6846" i="4"/>
  <c r="A6846" i="4"/>
  <c r="B6845" i="4"/>
  <c r="A6845" i="4"/>
  <c r="B6844" i="4"/>
  <c r="A6844" i="4"/>
  <c r="B6843" i="4"/>
  <c r="A6843" i="4"/>
  <c r="B6842" i="4"/>
  <c r="A6842" i="4"/>
  <c r="B6841" i="4"/>
  <c r="A6841" i="4"/>
  <c r="B6840" i="4"/>
  <c r="A6840" i="4"/>
  <c r="B6839" i="4"/>
  <c r="A6839" i="4"/>
  <c r="B6838" i="4"/>
  <c r="A6838" i="4"/>
  <c r="B6837" i="4"/>
  <c r="A6837" i="4"/>
  <c r="B6836" i="4"/>
  <c r="A6836" i="4"/>
  <c r="B6835" i="4"/>
  <c r="A6835" i="4"/>
  <c r="B6834" i="4"/>
  <c r="A6834" i="4"/>
  <c r="B6833" i="4"/>
  <c r="A6833" i="4"/>
  <c r="B6832" i="4"/>
  <c r="A6832" i="4"/>
  <c r="B6831" i="4"/>
  <c r="A6831" i="4"/>
  <c r="B6830" i="4"/>
  <c r="A6830" i="4"/>
  <c r="B6829" i="4"/>
  <c r="A6829" i="4"/>
  <c r="B6828" i="4"/>
  <c r="A6828" i="4"/>
  <c r="B6827" i="4"/>
  <c r="A6827" i="4"/>
  <c r="B6826" i="4"/>
  <c r="A6826" i="4"/>
  <c r="B6825" i="4"/>
  <c r="A6825" i="4"/>
  <c r="B6824" i="4"/>
  <c r="A6824" i="4"/>
  <c r="B6823" i="4"/>
  <c r="A6823" i="4"/>
  <c r="B6822" i="4"/>
  <c r="A6822" i="4"/>
  <c r="B6821" i="4"/>
  <c r="A6821" i="4"/>
  <c r="B6820" i="4"/>
  <c r="A6820" i="4"/>
  <c r="B6819" i="4"/>
  <c r="A6819" i="4"/>
  <c r="B6818" i="4"/>
  <c r="A6818" i="4"/>
  <c r="B6817" i="4"/>
  <c r="A6817" i="4"/>
  <c r="B6816" i="4"/>
  <c r="A6816" i="4"/>
  <c r="B6815" i="4"/>
  <c r="A6815" i="4"/>
  <c r="B6814" i="4"/>
  <c r="A6814" i="4"/>
  <c r="B6813" i="4"/>
  <c r="A6813" i="4"/>
  <c r="B6812" i="4"/>
  <c r="A6812" i="4"/>
  <c r="B6811" i="4"/>
  <c r="A6811" i="4"/>
  <c r="B6810" i="4"/>
  <c r="A6810" i="4"/>
  <c r="B6809" i="4"/>
  <c r="A6809" i="4"/>
  <c r="B6808" i="4"/>
  <c r="A6808" i="4"/>
  <c r="B6807" i="4"/>
  <c r="A6807" i="4"/>
  <c r="B6806" i="4"/>
  <c r="A6806" i="4"/>
  <c r="B6805" i="4"/>
  <c r="A6805" i="4"/>
  <c r="B6804" i="4"/>
  <c r="A6804" i="4"/>
  <c r="B6803" i="4"/>
  <c r="A6803" i="4"/>
  <c r="B6802" i="4"/>
  <c r="A6802" i="4"/>
  <c r="B6801" i="4"/>
  <c r="A6801" i="4"/>
  <c r="B6800" i="4"/>
  <c r="A6800" i="4"/>
  <c r="B6799" i="4"/>
  <c r="A6799" i="4"/>
  <c r="B6798" i="4"/>
  <c r="A6798" i="4"/>
  <c r="B6797" i="4"/>
  <c r="A6797" i="4"/>
  <c r="B6796" i="4"/>
  <c r="A6796" i="4"/>
  <c r="B6795" i="4"/>
  <c r="A6795" i="4"/>
  <c r="B6794" i="4"/>
  <c r="A6794" i="4"/>
  <c r="B6793" i="4"/>
  <c r="A6793" i="4"/>
  <c r="B6792" i="4"/>
  <c r="A6792" i="4"/>
  <c r="B6791" i="4"/>
  <c r="A6791" i="4"/>
  <c r="B6790" i="4"/>
  <c r="A6790" i="4"/>
  <c r="B6789" i="4"/>
  <c r="A6789" i="4"/>
  <c r="B6788" i="4"/>
  <c r="A6788" i="4"/>
  <c r="B6787" i="4"/>
  <c r="A6787" i="4"/>
  <c r="B6786" i="4"/>
  <c r="A6786" i="4"/>
  <c r="B6785" i="4"/>
  <c r="A6785" i="4"/>
  <c r="B6784" i="4"/>
  <c r="A6784" i="4"/>
  <c r="B6783" i="4"/>
  <c r="A6783" i="4"/>
  <c r="B6782" i="4"/>
  <c r="A6782" i="4"/>
  <c r="B6781" i="4"/>
  <c r="A6781" i="4"/>
  <c r="B6780" i="4"/>
  <c r="A6780" i="4"/>
  <c r="B6779" i="4"/>
  <c r="A6779" i="4"/>
  <c r="B6778" i="4"/>
  <c r="A6778" i="4"/>
  <c r="B6777" i="4"/>
  <c r="A6777" i="4"/>
  <c r="B6776" i="4"/>
  <c r="A6776" i="4"/>
  <c r="B6775" i="4"/>
  <c r="A6775" i="4"/>
  <c r="B6774" i="4"/>
  <c r="A6774" i="4"/>
  <c r="B6773" i="4"/>
  <c r="A6773" i="4"/>
  <c r="B6772" i="4"/>
  <c r="A6772" i="4"/>
  <c r="B6771" i="4"/>
  <c r="A6771" i="4"/>
  <c r="B6770" i="4"/>
  <c r="A6770" i="4"/>
  <c r="B6769" i="4"/>
  <c r="A6769" i="4"/>
  <c r="B6768" i="4"/>
  <c r="A6768" i="4"/>
  <c r="B6767" i="4"/>
  <c r="A6767" i="4"/>
  <c r="B6766" i="4"/>
  <c r="A6766" i="4"/>
  <c r="B6765" i="4"/>
  <c r="A6765" i="4"/>
  <c r="B6764" i="4"/>
  <c r="A6764" i="4"/>
  <c r="B6763" i="4"/>
  <c r="A6763" i="4"/>
  <c r="B6762" i="4"/>
  <c r="A6762" i="4"/>
  <c r="B6761" i="4"/>
  <c r="A6761" i="4"/>
  <c r="B6760" i="4"/>
  <c r="A6760" i="4"/>
  <c r="B6759" i="4"/>
  <c r="A6759" i="4"/>
  <c r="B6758" i="4"/>
  <c r="A6758" i="4"/>
  <c r="B6757" i="4"/>
  <c r="A6757" i="4"/>
  <c r="B6756" i="4"/>
  <c r="A6756" i="4"/>
  <c r="B6755" i="4"/>
  <c r="A6755" i="4"/>
  <c r="B6754" i="4"/>
  <c r="A6754" i="4"/>
  <c r="B6753" i="4"/>
  <c r="A6753" i="4"/>
  <c r="B6752" i="4"/>
  <c r="A6752" i="4"/>
  <c r="B6751" i="4"/>
  <c r="A6751" i="4"/>
  <c r="B6750" i="4"/>
  <c r="A6750" i="4"/>
  <c r="B6749" i="4"/>
  <c r="A6749" i="4"/>
  <c r="B6748" i="4"/>
  <c r="A6748" i="4"/>
  <c r="B6747" i="4"/>
  <c r="A6747" i="4"/>
  <c r="B6746" i="4"/>
  <c r="A6746" i="4"/>
  <c r="B6745" i="4"/>
  <c r="A6745" i="4"/>
  <c r="B6744" i="4"/>
  <c r="A6744" i="4"/>
  <c r="B6743" i="4"/>
  <c r="A6743" i="4"/>
  <c r="B6742" i="4"/>
  <c r="A6742" i="4"/>
  <c r="B6741" i="4"/>
  <c r="A6741" i="4"/>
  <c r="B6740" i="4"/>
  <c r="A6740" i="4"/>
  <c r="B6739" i="4"/>
  <c r="A6739" i="4"/>
  <c r="B6738" i="4"/>
  <c r="A6738" i="4"/>
  <c r="B6737" i="4"/>
  <c r="A6737" i="4"/>
  <c r="B6736" i="4"/>
  <c r="A6736" i="4"/>
  <c r="B6735" i="4"/>
  <c r="A6735" i="4"/>
  <c r="B6734" i="4"/>
  <c r="A6734" i="4"/>
  <c r="B6733" i="4"/>
  <c r="A6733" i="4"/>
  <c r="B6732" i="4"/>
  <c r="A6732" i="4"/>
  <c r="B6731" i="4"/>
  <c r="A6731" i="4"/>
  <c r="B6730" i="4"/>
  <c r="A6730" i="4"/>
  <c r="B6729" i="4"/>
  <c r="A6729" i="4"/>
  <c r="B6728" i="4"/>
  <c r="A6728" i="4"/>
  <c r="B6727" i="4"/>
  <c r="A6727" i="4"/>
  <c r="B6726" i="4"/>
  <c r="A6726" i="4"/>
  <c r="B6725" i="4"/>
  <c r="A6725" i="4"/>
  <c r="B6724" i="4"/>
  <c r="A6724" i="4"/>
  <c r="B6723" i="4"/>
  <c r="A6723" i="4"/>
  <c r="B6722" i="4"/>
  <c r="A6722" i="4"/>
  <c r="B6721" i="4"/>
  <c r="A6721" i="4"/>
  <c r="B6720" i="4"/>
  <c r="A6720" i="4"/>
  <c r="B6719" i="4"/>
  <c r="A6719" i="4"/>
  <c r="B6718" i="4"/>
  <c r="A6718" i="4"/>
  <c r="B6717" i="4"/>
  <c r="A6717" i="4"/>
  <c r="B6716" i="4"/>
  <c r="A6716" i="4"/>
  <c r="B6715" i="4"/>
  <c r="A6715" i="4"/>
  <c r="B6714" i="4"/>
  <c r="A6714" i="4"/>
  <c r="B6713" i="4"/>
  <c r="A6713" i="4"/>
  <c r="B6712" i="4"/>
  <c r="A6712" i="4"/>
  <c r="B6711" i="4"/>
  <c r="A6711" i="4"/>
  <c r="B6710" i="4"/>
  <c r="A6710" i="4"/>
  <c r="B6709" i="4"/>
  <c r="A6709" i="4"/>
  <c r="B6708" i="4"/>
  <c r="A6708" i="4"/>
  <c r="B6707" i="4"/>
  <c r="A6707" i="4"/>
  <c r="B6706" i="4"/>
  <c r="A6706" i="4"/>
  <c r="B6705" i="4"/>
  <c r="A6705" i="4"/>
  <c r="B6704" i="4"/>
  <c r="A6704" i="4"/>
  <c r="B6703" i="4"/>
  <c r="A6703" i="4"/>
  <c r="B6702" i="4"/>
  <c r="A6702" i="4"/>
  <c r="B6701" i="4"/>
  <c r="A6701" i="4"/>
  <c r="B6700" i="4"/>
  <c r="A6700" i="4"/>
  <c r="B6699" i="4"/>
  <c r="A6699" i="4"/>
  <c r="B6698" i="4"/>
  <c r="A6698" i="4"/>
  <c r="B6697" i="4"/>
  <c r="A6697" i="4"/>
  <c r="B6696" i="4"/>
  <c r="A6696" i="4"/>
  <c r="B6695" i="4"/>
  <c r="A6695" i="4"/>
  <c r="B6694" i="4"/>
  <c r="A6694" i="4"/>
  <c r="B6693" i="4"/>
  <c r="A6693" i="4"/>
  <c r="B6692" i="4"/>
  <c r="A6692" i="4"/>
  <c r="B6691" i="4"/>
  <c r="A6691" i="4"/>
  <c r="B6690" i="4"/>
  <c r="A6690" i="4"/>
  <c r="B6689" i="4"/>
  <c r="A6689" i="4"/>
  <c r="B6688" i="4"/>
  <c r="A6688" i="4"/>
  <c r="B6687" i="4"/>
  <c r="A6687" i="4"/>
  <c r="B6686" i="4"/>
  <c r="A6686" i="4"/>
  <c r="B6685" i="4"/>
  <c r="A6685" i="4"/>
  <c r="B6684" i="4"/>
  <c r="A6684" i="4"/>
  <c r="B6683" i="4"/>
  <c r="A6683" i="4"/>
  <c r="B6682" i="4"/>
  <c r="A6682" i="4"/>
  <c r="B6681" i="4"/>
  <c r="A6681" i="4"/>
  <c r="B6680" i="4"/>
  <c r="A6680" i="4"/>
  <c r="B6679" i="4"/>
  <c r="A6679" i="4"/>
  <c r="B6678" i="4"/>
  <c r="A6678" i="4"/>
  <c r="B6677" i="4"/>
  <c r="A6677" i="4"/>
  <c r="B6676" i="4"/>
  <c r="A6676" i="4"/>
  <c r="B6675" i="4"/>
  <c r="A6675" i="4"/>
  <c r="B6674" i="4"/>
  <c r="A6674" i="4"/>
  <c r="B6673" i="4"/>
  <c r="A6673" i="4"/>
  <c r="B6672" i="4"/>
  <c r="A6672" i="4"/>
  <c r="B6671" i="4"/>
  <c r="A6671" i="4"/>
  <c r="B6670" i="4"/>
  <c r="A6670" i="4"/>
  <c r="B6669" i="4"/>
  <c r="A6669" i="4"/>
  <c r="B6668" i="4"/>
  <c r="A6668" i="4"/>
  <c r="B6667" i="4"/>
  <c r="A6667" i="4"/>
  <c r="B6666" i="4"/>
  <c r="A6666" i="4"/>
  <c r="B6665" i="4"/>
  <c r="A6665" i="4"/>
  <c r="B6664" i="4"/>
  <c r="A6664" i="4"/>
  <c r="B6663" i="4"/>
  <c r="A6663" i="4"/>
  <c r="B6662" i="4"/>
  <c r="A6662" i="4"/>
  <c r="B6661" i="4"/>
  <c r="A6661" i="4"/>
  <c r="B6660" i="4"/>
  <c r="A6660" i="4"/>
  <c r="B6659" i="4"/>
  <c r="A6659" i="4"/>
  <c r="B6658" i="4"/>
  <c r="A6658" i="4"/>
  <c r="B6657" i="4"/>
  <c r="A6657" i="4"/>
  <c r="B6656" i="4"/>
  <c r="A6656" i="4"/>
  <c r="B6655" i="4"/>
  <c r="A6655" i="4"/>
  <c r="B6654" i="4"/>
  <c r="A6654" i="4"/>
  <c r="B6653" i="4"/>
  <c r="A6653" i="4"/>
  <c r="B6652" i="4"/>
  <c r="A6652" i="4"/>
  <c r="B6651" i="4"/>
  <c r="A6651" i="4"/>
  <c r="B6650" i="4"/>
  <c r="A6650" i="4"/>
  <c r="B6649" i="4"/>
  <c r="A6649" i="4"/>
  <c r="B6648" i="4"/>
  <c r="A6648" i="4"/>
  <c r="B6647" i="4"/>
  <c r="A6647" i="4"/>
  <c r="B6646" i="4"/>
  <c r="A6646" i="4"/>
  <c r="B6645" i="4"/>
  <c r="A6645" i="4"/>
  <c r="B6644" i="4"/>
  <c r="A6644" i="4"/>
  <c r="B6643" i="4"/>
  <c r="A6643" i="4"/>
  <c r="B6642" i="4"/>
  <c r="A6642" i="4"/>
  <c r="B6641" i="4"/>
  <c r="A6641" i="4"/>
  <c r="B6640" i="4"/>
  <c r="A6640" i="4"/>
  <c r="B6639" i="4"/>
  <c r="A6639" i="4"/>
  <c r="B6638" i="4"/>
  <c r="A6638" i="4"/>
  <c r="B6637" i="4"/>
  <c r="A6637" i="4"/>
  <c r="B6636" i="4"/>
  <c r="A6636" i="4"/>
  <c r="B6635" i="4"/>
  <c r="A6635" i="4"/>
  <c r="B6634" i="4"/>
  <c r="A6634" i="4"/>
  <c r="B6633" i="4"/>
  <c r="A6633" i="4"/>
  <c r="B6632" i="4"/>
  <c r="A6632" i="4"/>
  <c r="B6631" i="4"/>
  <c r="A6631" i="4"/>
  <c r="B6630" i="4"/>
  <c r="A6630" i="4"/>
  <c r="B6629" i="4"/>
  <c r="A6629" i="4"/>
  <c r="B6628" i="4"/>
  <c r="A6628" i="4"/>
  <c r="B6627" i="4"/>
  <c r="A6627" i="4"/>
  <c r="B6626" i="4"/>
  <c r="A6626" i="4"/>
  <c r="B6625" i="4"/>
  <c r="A6625" i="4"/>
  <c r="B6624" i="4"/>
  <c r="A6624" i="4"/>
  <c r="B6623" i="4"/>
  <c r="A6623" i="4"/>
  <c r="B6622" i="4"/>
  <c r="A6622" i="4"/>
  <c r="B6621" i="4"/>
  <c r="A6621" i="4"/>
  <c r="B6620" i="4"/>
  <c r="A6620" i="4"/>
  <c r="B6619" i="4"/>
  <c r="A6619" i="4"/>
  <c r="B6618" i="4"/>
  <c r="A6618" i="4"/>
  <c r="B6617" i="4"/>
  <c r="A6617" i="4"/>
  <c r="B6616" i="4"/>
  <c r="A6616" i="4"/>
  <c r="B6615" i="4"/>
  <c r="A6615" i="4"/>
  <c r="B6614" i="4"/>
  <c r="A6614" i="4"/>
  <c r="B6613" i="4"/>
  <c r="A6613" i="4"/>
  <c r="B6612" i="4"/>
  <c r="A6612" i="4"/>
  <c r="B6611" i="4"/>
  <c r="A6611" i="4"/>
  <c r="B6610" i="4"/>
  <c r="A6610" i="4"/>
  <c r="B6609" i="4"/>
  <c r="A6609" i="4"/>
  <c r="B6608" i="4"/>
  <c r="A6608" i="4"/>
  <c r="B6607" i="4"/>
  <c r="A6607" i="4"/>
  <c r="B6606" i="4"/>
  <c r="A6606" i="4"/>
  <c r="B6605" i="4"/>
  <c r="A6605" i="4"/>
  <c r="B6604" i="4"/>
  <c r="A6604" i="4"/>
  <c r="B6603" i="4"/>
  <c r="A6603" i="4"/>
  <c r="B6602" i="4"/>
  <c r="A6602" i="4"/>
  <c r="B6601" i="4"/>
  <c r="A6601" i="4"/>
  <c r="B6600" i="4"/>
  <c r="A6600" i="4"/>
  <c r="B6599" i="4"/>
  <c r="A6599" i="4"/>
  <c r="B6598" i="4"/>
  <c r="A6598" i="4"/>
  <c r="B6597" i="4"/>
  <c r="A6597" i="4"/>
  <c r="B6596" i="4"/>
  <c r="A6596" i="4"/>
  <c r="B6595" i="4"/>
  <c r="A6595" i="4"/>
  <c r="B6594" i="4"/>
  <c r="A6594" i="4"/>
  <c r="B6593" i="4"/>
  <c r="A6593" i="4"/>
  <c r="B6592" i="4"/>
  <c r="A6592" i="4"/>
  <c r="B6591" i="4"/>
  <c r="A6591" i="4"/>
  <c r="B6590" i="4"/>
  <c r="A6590" i="4"/>
  <c r="B6589" i="4"/>
  <c r="A6589" i="4"/>
  <c r="B6588" i="4"/>
  <c r="A6588" i="4"/>
  <c r="B6587" i="4"/>
  <c r="A6587" i="4"/>
  <c r="B6586" i="4"/>
  <c r="A6586" i="4"/>
  <c r="B6585" i="4"/>
  <c r="A6585" i="4"/>
  <c r="B6584" i="4"/>
  <c r="A6584" i="4"/>
  <c r="B6583" i="4"/>
  <c r="A6583" i="4"/>
  <c r="B6582" i="4"/>
  <c r="A6582" i="4"/>
  <c r="B6581" i="4"/>
  <c r="A6581" i="4"/>
  <c r="B6580" i="4"/>
  <c r="A6580" i="4"/>
  <c r="B6579" i="4"/>
  <c r="A6579" i="4"/>
  <c r="B6578" i="4"/>
  <c r="A6578" i="4"/>
  <c r="B6577" i="4"/>
  <c r="A6577" i="4"/>
  <c r="B6576" i="4"/>
  <c r="A6576" i="4"/>
  <c r="B6575" i="4"/>
  <c r="A6575" i="4"/>
  <c r="B6574" i="4"/>
  <c r="A6574" i="4"/>
  <c r="B6573" i="4"/>
  <c r="A6573" i="4"/>
  <c r="B6572" i="4"/>
  <c r="A6572" i="4"/>
  <c r="B6571" i="4"/>
  <c r="A6571" i="4"/>
  <c r="B6570" i="4"/>
  <c r="A6570" i="4"/>
  <c r="B6569" i="4"/>
  <c r="A6569" i="4"/>
  <c r="B6568" i="4"/>
  <c r="A6568" i="4"/>
  <c r="B6567" i="4"/>
  <c r="A6567" i="4"/>
  <c r="B6566" i="4"/>
  <c r="A6566" i="4"/>
  <c r="B6565" i="4"/>
  <c r="A6565" i="4"/>
  <c r="B6564" i="4"/>
  <c r="A6564" i="4"/>
  <c r="B6563" i="4"/>
  <c r="A6563" i="4"/>
  <c r="B6562" i="4"/>
  <c r="A6562" i="4"/>
  <c r="B6561" i="4"/>
  <c r="A6561" i="4"/>
  <c r="B6560" i="4"/>
  <c r="A6560" i="4"/>
  <c r="B6559" i="4"/>
  <c r="A6559" i="4"/>
  <c r="B6558" i="4"/>
  <c r="A6558" i="4"/>
  <c r="B6557" i="4"/>
  <c r="A6557" i="4"/>
  <c r="B6556" i="4"/>
  <c r="A6556" i="4"/>
  <c r="B6555" i="4"/>
  <c r="A6555" i="4"/>
  <c r="B6554" i="4"/>
  <c r="A6554" i="4"/>
  <c r="B6553" i="4"/>
  <c r="A6553" i="4"/>
  <c r="B6552" i="4"/>
  <c r="A6552" i="4"/>
  <c r="B6551" i="4"/>
  <c r="A6551" i="4"/>
  <c r="B6550" i="4"/>
  <c r="A6550" i="4"/>
  <c r="B6549" i="4"/>
  <c r="A6549" i="4"/>
  <c r="B6548" i="4"/>
  <c r="A6548" i="4"/>
  <c r="B6547" i="4"/>
  <c r="A6547" i="4"/>
  <c r="B6546" i="4"/>
  <c r="A6546" i="4"/>
  <c r="B6545" i="4"/>
  <c r="A6545" i="4"/>
  <c r="B6544" i="4"/>
  <c r="A6544" i="4"/>
  <c r="B6543" i="4"/>
  <c r="A6543" i="4"/>
  <c r="B6542" i="4"/>
  <c r="A6542" i="4"/>
  <c r="B6541" i="4"/>
  <c r="A6541" i="4"/>
  <c r="B6540" i="4"/>
  <c r="A6540" i="4"/>
  <c r="B6539" i="4"/>
  <c r="A6539" i="4"/>
  <c r="B6538" i="4"/>
  <c r="A6538" i="4"/>
  <c r="B6537" i="4"/>
  <c r="A6537" i="4"/>
  <c r="B6536" i="4"/>
  <c r="A6536" i="4"/>
  <c r="B6535" i="4"/>
  <c r="A6535" i="4"/>
  <c r="B6534" i="4"/>
  <c r="A6534" i="4"/>
  <c r="B6533" i="4"/>
  <c r="A6533" i="4"/>
  <c r="B6532" i="4"/>
  <c r="A6532" i="4"/>
  <c r="B6531" i="4"/>
  <c r="A6531" i="4"/>
  <c r="B6530" i="4"/>
  <c r="A6530" i="4"/>
  <c r="B6529" i="4"/>
  <c r="A6529" i="4"/>
  <c r="B6528" i="4"/>
  <c r="A6528" i="4"/>
  <c r="B6527" i="4"/>
  <c r="A6527" i="4"/>
  <c r="B6526" i="4"/>
  <c r="A6526" i="4"/>
  <c r="B6525" i="4"/>
  <c r="A6525" i="4"/>
  <c r="B6524" i="4"/>
  <c r="A6524" i="4"/>
  <c r="B6523" i="4"/>
  <c r="A6523" i="4"/>
  <c r="B6522" i="4"/>
  <c r="A6522" i="4"/>
  <c r="B6521" i="4"/>
  <c r="A6521" i="4"/>
  <c r="B6520" i="4"/>
  <c r="A6520" i="4"/>
  <c r="B6519" i="4"/>
  <c r="A6519" i="4"/>
  <c r="B6518" i="4"/>
  <c r="A6518" i="4"/>
  <c r="B6517" i="4"/>
  <c r="A6517" i="4"/>
  <c r="B6516" i="4"/>
  <c r="A6516" i="4"/>
  <c r="B6515" i="4"/>
  <c r="A6515" i="4"/>
  <c r="B6514" i="4"/>
  <c r="A6514" i="4"/>
  <c r="B6513" i="4"/>
  <c r="A6513" i="4"/>
  <c r="B6512" i="4"/>
  <c r="A6512" i="4"/>
  <c r="B6511" i="4"/>
  <c r="A6511" i="4"/>
  <c r="B6510" i="4"/>
  <c r="A6510" i="4"/>
  <c r="B6509" i="4"/>
  <c r="A6509" i="4"/>
  <c r="B6508" i="4"/>
  <c r="A6508" i="4"/>
  <c r="B6507" i="4"/>
  <c r="A6507" i="4"/>
  <c r="B6506" i="4"/>
  <c r="A6506" i="4"/>
  <c r="B6505" i="4"/>
  <c r="A6505" i="4"/>
  <c r="B6504" i="4"/>
  <c r="A6504" i="4"/>
  <c r="B6503" i="4"/>
  <c r="A6503" i="4"/>
  <c r="B6502" i="4"/>
  <c r="A6502" i="4"/>
  <c r="B6501" i="4"/>
  <c r="A6501" i="4"/>
  <c r="B6500" i="4"/>
  <c r="A6500" i="4"/>
  <c r="B6499" i="4"/>
  <c r="A6499" i="4"/>
  <c r="B6498" i="4"/>
  <c r="A6498" i="4"/>
  <c r="B6497" i="4"/>
  <c r="A6497" i="4"/>
  <c r="B6496" i="4"/>
  <c r="A6496" i="4"/>
  <c r="B6495" i="4"/>
  <c r="A6495" i="4"/>
  <c r="B6494" i="4"/>
  <c r="A6494" i="4"/>
  <c r="B6493" i="4"/>
  <c r="A6493" i="4"/>
  <c r="B6492" i="4"/>
  <c r="A6492" i="4"/>
  <c r="B6491" i="4"/>
  <c r="A6491" i="4"/>
  <c r="B6490" i="4"/>
  <c r="A6490" i="4"/>
  <c r="B6489" i="4"/>
  <c r="A6489" i="4"/>
  <c r="B6488" i="4"/>
  <c r="A6488" i="4"/>
  <c r="B6487" i="4"/>
  <c r="A6487" i="4"/>
  <c r="B6486" i="4"/>
  <c r="A6486" i="4"/>
  <c r="B6485" i="4"/>
  <c r="A6485" i="4"/>
  <c r="B6484" i="4"/>
  <c r="A6484" i="4"/>
  <c r="B6483" i="4"/>
  <c r="A6483" i="4"/>
  <c r="B6482" i="4"/>
  <c r="A6482" i="4"/>
  <c r="B6481" i="4"/>
  <c r="A6481" i="4"/>
  <c r="B6480" i="4"/>
  <c r="A6480" i="4"/>
  <c r="B6479" i="4"/>
  <c r="A6479" i="4"/>
  <c r="B6478" i="4"/>
  <c r="A6478" i="4"/>
  <c r="B6477" i="4"/>
  <c r="A6477" i="4"/>
  <c r="B6476" i="4"/>
  <c r="A6476" i="4"/>
  <c r="B6475" i="4"/>
  <c r="A6475" i="4"/>
  <c r="B6474" i="4"/>
  <c r="A6474" i="4"/>
  <c r="B6473" i="4"/>
  <c r="A6473" i="4"/>
  <c r="B6472" i="4"/>
  <c r="A6472" i="4"/>
  <c r="B6471" i="4"/>
  <c r="A6471" i="4"/>
  <c r="B6470" i="4"/>
  <c r="A6470" i="4"/>
  <c r="B6469" i="4"/>
  <c r="A6469" i="4"/>
  <c r="B6468" i="4"/>
  <c r="A6468" i="4"/>
  <c r="B6467" i="4"/>
  <c r="A6467" i="4"/>
  <c r="B6466" i="4"/>
  <c r="A6466" i="4"/>
  <c r="B6465" i="4"/>
  <c r="A6465" i="4"/>
  <c r="B6464" i="4"/>
  <c r="A6464" i="4"/>
  <c r="B6463" i="4"/>
  <c r="A6463" i="4"/>
  <c r="B6462" i="4"/>
  <c r="A6462" i="4"/>
  <c r="B6461" i="4"/>
  <c r="A6461" i="4"/>
  <c r="B6460" i="4"/>
  <c r="A6460" i="4"/>
  <c r="B6459" i="4"/>
  <c r="A6459" i="4"/>
  <c r="B6458" i="4"/>
  <c r="A6458" i="4"/>
  <c r="B6457" i="4"/>
  <c r="A6457" i="4"/>
  <c r="B6456" i="4"/>
  <c r="A6456" i="4"/>
  <c r="B6455" i="4"/>
  <c r="A6455" i="4"/>
  <c r="B6454" i="4"/>
  <c r="A6454" i="4"/>
  <c r="B6453" i="4"/>
  <c r="A6453" i="4"/>
  <c r="B6452" i="4"/>
  <c r="A6452" i="4"/>
  <c r="B6451" i="4"/>
  <c r="A6451" i="4"/>
  <c r="B6450" i="4"/>
  <c r="A6450" i="4"/>
  <c r="B6449" i="4"/>
  <c r="A6449" i="4"/>
  <c r="B6448" i="4"/>
  <c r="A6448" i="4"/>
  <c r="B6447" i="4"/>
  <c r="A6447" i="4"/>
  <c r="B6446" i="4"/>
  <c r="A6446" i="4"/>
  <c r="B6445" i="4"/>
  <c r="A6445" i="4"/>
  <c r="B6444" i="4"/>
  <c r="A6444" i="4"/>
  <c r="B6443" i="4"/>
  <c r="A6443" i="4"/>
  <c r="B6442" i="4"/>
  <c r="A6442" i="4"/>
  <c r="B6441" i="4"/>
  <c r="A6441" i="4"/>
  <c r="B6440" i="4"/>
  <c r="A6440" i="4"/>
  <c r="B6439" i="4"/>
  <c r="A6439" i="4"/>
  <c r="B6438" i="4"/>
  <c r="A6438" i="4"/>
  <c r="B6437" i="4"/>
  <c r="A6437" i="4"/>
  <c r="B6436" i="4"/>
  <c r="A6436" i="4"/>
  <c r="B6435" i="4"/>
  <c r="A6435" i="4"/>
  <c r="B6434" i="4"/>
  <c r="A6434" i="4"/>
  <c r="B6433" i="4"/>
  <c r="A6433" i="4"/>
  <c r="B6432" i="4"/>
  <c r="A6432" i="4"/>
  <c r="B6431" i="4"/>
  <c r="A6431" i="4"/>
  <c r="B6430" i="4"/>
  <c r="A6430" i="4"/>
  <c r="B6429" i="4"/>
  <c r="A6429" i="4"/>
  <c r="B6428" i="4"/>
  <c r="A6428" i="4"/>
  <c r="B6427" i="4"/>
  <c r="A6427" i="4"/>
  <c r="B6426" i="4"/>
  <c r="A6426" i="4"/>
  <c r="B6425" i="4"/>
  <c r="A6425" i="4"/>
  <c r="B6424" i="4"/>
  <c r="A6424" i="4"/>
  <c r="B6423" i="4"/>
  <c r="A6423" i="4"/>
  <c r="B6422" i="4"/>
  <c r="A6422" i="4"/>
  <c r="B6421" i="4"/>
  <c r="A6421" i="4"/>
  <c r="B6420" i="4"/>
  <c r="A6420" i="4"/>
  <c r="B6419" i="4"/>
  <c r="A6419" i="4"/>
  <c r="B6418" i="4"/>
  <c r="A6418" i="4"/>
  <c r="B6417" i="4"/>
  <c r="A6417" i="4"/>
  <c r="B6416" i="4"/>
  <c r="A6416" i="4"/>
  <c r="B6415" i="4"/>
  <c r="A6415" i="4"/>
  <c r="B6414" i="4"/>
  <c r="A6414" i="4"/>
  <c r="B6413" i="4"/>
  <c r="A6413" i="4"/>
  <c r="B6412" i="4"/>
  <c r="A6412" i="4"/>
  <c r="B6411" i="4"/>
  <c r="A6411" i="4"/>
  <c r="B6410" i="4"/>
  <c r="A6410" i="4"/>
  <c r="B6409" i="4"/>
  <c r="A6409" i="4"/>
  <c r="B6408" i="4"/>
  <c r="A6408" i="4"/>
  <c r="B6407" i="4"/>
  <c r="A6407" i="4"/>
  <c r="B6406" i="4"/>
  <c r="A6406" i="4"/>
  <c r="B6405" i="4"/>
  <c r="A6405" i="4"/>
  <c r="B6404" i="4"/>
  <c r="A6404" i="4"/>
  <c r="B6403" i="4"/>
  <c r="A6403" i="4"/>
  <c r="B6402" i="4"/>
  <c r="A6402" i="4"/>
  <c r="B6401" i="4"/>
  <c r="A6401" i="4"/>
  <c r="B6400" i="4"/>
  <c r="A6400" i="4"/>
  <c r="B6399" i="4"/>
  <c r="A6399" i="4"/>
  <c r="B6398" i="4"/>
  <c r="A6398" i="4"/>
  <c r="B6397" i="4"/>
  <c r="A6397" i="4"/>
  <c r="B6396" i="4"/>
  <c r="A6396" i="4"/>
  <c r="B6395" i="4"/>
  <c r="A6395" i="4"/>
  <c r="B6394" i="4"/>
  <c r="A6394" i="4"/>
  <c r="B6393" i="4"/>
  <c r="A6393" i="4"/>
  <c r="B6392" i="4"/>
  <c r="A6392" i="4"/>
  <c r="B6391" i="4"/>
  <c r="A6391" i="4"/>
  <c r="B6390" i="4"/>
  <c r="A6390" i="4"/>
  <c r="B6389" i="4"/>
  <c r="A6389" i="4"/>
  <c r="B6388" i="4"/>
  <c r="A6388" i="4"/>
  <c r="B6387" i="4"/>
  <c r="A6387" i="4"/>
  <c r="B6386" i="4"/>
  <c r="A6386" i="4"/>
  <c r="B6385" i="4"/>
  <c r="A6385" i="4"/>
  <c r="B6384" i="4"/>
  <c r="A6384" i="4"/>
  <c r="B6383" i="4"/>
  <c r="A6383" i="4"/>
  <c r="B6382" i="4"/>
  <c r="A6382" i="4"/>
  <c r="B6381" i="4"/>
  <c r="A6381" i="4"/>
  <c r="B6380" i="4"/>
  <c r="A6380" i="4"/>
  <c r="B6379" i="4"/>
  <c r="A6379" i="4"/>
  <c r="B6378" i="4"/>
  <c r="A6378" i="4"/>
  <c r="B6377" i="4"/>
  <c r="A6377" i="4"/>
  <c r="B6376" i="4"/>
  <c r="A6376" i="4"/>
  <c r="B6375" i="4"/>
  <c r="A6375" i="4"/>
  <c r="B6374" i="4"/>
  <c r="A6374" i="4"/>
  <c r="B6373" i="4"/>
  <c r="A6373" i="4"/>
  <c r="B6372" i="4"/>
  <c r="A6372" i="4"/>
  <c r="B6371" i="4"/>
  <c r="A6371" i="4"/>
  <c r="B6370" i="4"/>
  <c r="A6370" i="4"/>
  <c r="B6369" i="4"/>
  <c r="A6369" i="4"/>
  <c r="B6368" i="4"/>
  <c r="A6368" i="4"/>
  <c r="B6367" i="4"/>
  <c r="A6367" i="4"/>
  <c r="B6366" i="4"/>
  <c r="A6366" i="4"/>
  <c r="B6365" i="4"/>
  <c r="A6365" i="4"/>
  <c r="B6364" i="4"/>
  <c r="A6364" i="4"/>
  <c r="B6363" i="4"/>
  <c r="A6363" i="4"/>
  <c r="B6362" i="4"/>
  <c r="A6362" i="4"/>
  <c r="B6361" i="4"/>
  <c r="A6361" i="4"/>
  <c r="B6360" i="4"/>
  <c r="A6360" i="4"/>
  <c r="B6359" i="4"/>
  <c r="A6359" i="4"/>
  <c r="B6358" i="4"/>
  <c r="A6358" i="4"/>
  <c r="B6357" i="4"/>
  <c r="A6357" i="4"/>
  <c r="B6356" i="4"/>
  <c r="A6356" i="4"/>
  <c r="B6355" i="4"/>
  <c r="A6355" i="4"/>
  <c r="B6354" i="4"/>
  <c r="A6354" i="4"/>
  <c r="B6353" i="4"/>
  <c r="A6353" i="4"/>
  <c r="B6352" i="4"/>
  <c r="A6352" i="4"/>
  <c r="B6351" i="4"/>
  <c r="A6351" i="4"/>
  <c r="B6350" i="4"/>
  <c r="A6350" i="4"/>
  <c r="B6349" i="4"/>
  <c r="A6349" i="4"/>
  <c r="B6348" i="4"/>
  <c r="A6348" i="4"/>
  <c r="B6347" i="4"/>
  <c r="A6347" i="4"/>
  <c r="B6346" i="4"/>
  <c r="A6346" i="4"/>
  <c r="B6345" i="4"/>
  <c r="A6345" i="4"/>
  <c r="B6344" i="4"/>
  <c r="A6344" i="4"/>
  <c r="B6343" i="4"/>
  <c r="A6343" i="4"/>
  <c r="B6342" i="4"/>
  <c r="A6342" i="4"/>
  <c r="B6341" i="4"/>
  <c r="A6341" i="4"/>
  <c r="B6340" i="4"/>
  <c r="A6340" i="4"/>
  <c r="B6339" i="4"/>
  <c r="A6339" i="4"/>
  <c r="B6338" i="4"/>
  <c r="A6338" i="4"/>
  <c r="B6337" i="4"/>
  <c r="A6337" i="4"/>
  <c r="B6336" i="4"/>
  <c r="A6336" i="4"/>
  <c r="B6335" i="4"/>
  <c r="A6335" i="4"/>
  <c r="B6334" i="4"/>
  <c r="A6334" i="4"/>
  <c r="B6333" i="4"/>
  <c r="A6333" i="4"/>
  <c r="B6332" i="4"/>
  <c r="A6332" i="4"/>
  <c r="B6331" i="4"/>
  <c r="A6331" i="4"/>
  <c r="B6330" i="4"/>
  <c r="A6330" i="4"/>
  <c r="B6329" i="4"/>
  <c r="A6329" i="4"/>
  <c r="B6328" i="4"/>
  <c r="A6328" i="4"/>
  <c r="B6327" i="4"/>
  <c r="A6327" i="4"/>
  <c r="B6326" i="4"/>
  <c r="A6326" i="4"/>
  <c r="B6325" i="4"/>
  <c r="A6325" i="4"/>
  <c r="B6324" i="4"/>
  <c r="A6324" i="4"/>
  <c r="B6323" i="4"/>
  <c r="A6323" i="4"/>
  <c r="B6322" i="4"/>
  <c r="A6322" i="4"/>
  <c r="B6321" i="4"/>
  <c r="A6321" i="4"/>
  <c r="B6320" i="4"/>
  <c r="A6320" i="4"/>
  <c r="B6319" i="4"/>
  <c r="A6319" i="4"/>
  <c r="B6318" i="4"/>
  <c r="A6318" i="4"/>
  <c r="B6317" i="4"/>
  <c r="A6317" i="4"/>
  <c r="B6316" i="4"/>
  <c r="A6316" i="4"/>
  <c r="B6315" i="4"/>
  <c r="A6315" i="4"/>
  <c r="B6314" i="4"/>
  <c r="A6314" i="4"/>
  <c r="B6313" i="4"/>
  <c r="A6313" i="4"/>
  <c r="B6312" i="4"/>
  <c r="A6312" i="4"/>
  <c r="B6311" i="4"/>
  <c r="A6311" i="4"/>
  <c r="B6310" i="4"/>
  <c r="A6310" i="4"/>
  <c r="B6309" i="4"/>
  <c r="A6309" i="4"/>
  <c r="B6308" i="4"/>
  <c r="A6308" i="4"/>
  <c r="B6307" i="4"/>
  <c r="A6307" i="4"/>
  <c r="B6306" i="4"/>
  <c r="A6306" i="4"/>
  <c r="B6305" i="4"/>
  <c r="A6305" i="4"/>
  <c r="B6304" i="4"/>
  <c r="A6304" i="4"/>
  <c r="B6303" i="4"/>
  <c r="A6303" i="4"/>
  <c r="B6302" i="4"/>
  <c r="A6302" i="4"/>
  <c r="B6301" i="4"/>
  <c r="A6301" i="4"/>
  <c r="B6300" i="4"/>
  <c r="A6300" i="4"/>
  <c r="B6299" i="4"/>
  <c r="A6299" i="4"/>
  <c r="B6298" i="4"/>
  <c r="A6298" i="4"/>
  <c r="B6297" i="4"/>
  <c r="A6297" i="4"/>
  <c r="B6296" i="4"/>
  <c r="A6296" i="4"/>
  <c r="B6295" i="4"/>
  <c r="A6295" i="4"/>
  <c r="B6294" i="4"/>
  <c r="A6294" i="4"/>
  <c r="B6293" i="4"/>
  <c r="A6293" i="4"/>
  <c r="B6292" i="4"/>
  <c r="A6292" i="4"/>
  <c r="B6291" i="4"/>
  <c r="A6291" i="4"/>
  <c r="B6290" i="4"/>
  <c r="A6290" i="4"/>
  <c r="B6289" i="4"/>
  <c r="A6289" i="4"/>
  <c r="B6288" i="4"/>
  <c r="A6288" i="4"/>
  <c r="B6287" i="4"/>
  <c r="A6287" i="4"/>
  <c r="B6286" i="4"/>
  <c r="A6286" i="4"/>
  <c r="B6285" i="4"/>
  <c r="A6285" i="4"/>
  <c r="B6284" i="4"/>
  <c r="A6284" i="4"/>
  <c r="B6283" i="4"/>
  <c r="A6283" i="4"/>
  <c r="B6282" i="4"/>
  <c r="A6282" i="4"/>
  <c r="B6281" i="4"/>
  <c r="A6281" i="4"/>
  <c r="B6280" i="4"/>
  <c r="A6280" i="4"/>
  <c r="B6279" i="4"/>
  <c r="A6279" i="4"/>
  <c r="B6278" i="4"/>
  <c r="A6278" i="4"/>
  <c r="B6277" i="4"/>
  <c r="A6277" i="4"/>
  <c r="B6276" i="4"/>
  <c r="A6276" i="4"/>
  <c r="B6275" i="4"/>
  <c r="A6275" i="4"/>
  <c r="B6274" i="4"/>
  <c r="A6274" i="4"/>
  <c r="B6273" i="4"/>
  <c r="A6273" i="4"/>
  <c r="B6272" i="4"/>
  <c r="A6272" i="4"/>
  <c r="B6271" i="4"/>
  <c r="A6271" i="4"/>
  <c r="B6270" i="4"/>
  <c r="A6270" i="4"/>
  <c r="B6269" i="4"/>
  <c r="A6269" i="4"/>
  <c r="B6268" i="4"/>
  <c r="A6268" i="4"/>
  <c r="B6267" i="4"/>
  <c r="A6267" i="4"/>
  <c r="B6266" i="4"/>
  <c r="A6266" i="4"/>
  <c r="B6265" i="4"/>
  <c r="A6265" i="4"/>
  <c r="B6264" i="4"/>
  <c r="A6264" i="4"/>
  <c r="B6263" i="4"/>
  <c r="A6263" i="4"/>
  <c r="B6262" i="4"/>
  <c r="A6262" i="4"/>
  <c r="B6261" i="4"/>
  <c r="A6261" i="4"/>
  <c r="B6260" i="4"/>
  <c r="A6260" i="4"/>
  <c r="B6259" i="4"/>
  <c r="A6259" i="4"/>
  <c r="B6258" i="4"/>
  <c r="A6258" i="4"/>
  <c r="B6257" i="4"/>
  <c r="A6257" i="4"/>
  <c r="B6256" i="4"/>
  <c r="A6256" i="4"/>
  <c r="B6255" i="4"/>
  <c r="A6255" i="4"/>
  <c r="B6254" i="4"/>
  <c r="A6254" i="4"/>
  <c r="B6253" i="4"/>
  <c r="A6253" i="4"/>
  <c r="B6252" i="4"/>
  <c r="A6252" i="4"/>
  <c r="B6251" i="4"/>
  <c r="A6251" i="4"/>
  <c r="B6250" i="4"/>
  <c r="A6250" i="4"/>
  <c r="B6249" i="4"/>
  <c r="A6249" i="4"/>
  <c r="B6248" i="4"/>
  <c r="A6248" i="4"/>
  <c r="B6247" i="4"/>
  <c r="A6247" i="4"/>
  <c r="B6246" i="4"/>
  <c r="A6246" i="4"/>
  <c r="B6245" i="4"/>
  <c r="A6245" i="4"/>
  <c r="B6244" i="4"/>
  <c r="A6244" i="4"/>
  <c r="B6243" i="4"/>
  <c r="A6243" i="4"/>
  <c r="B6242" i="4"/>
  <c r="A6242" i="4"/>
  <c r="B6241" i="4"/>
  <c r="A6241" i="4"/>
  <c r="B6240" i="4"/>
  <c r="A6240" i="4"/>
  <c r="B6239" i="4"/>
  <c r="A6239" i="4"/>
  <c r="B6238" i="4"/>
  <c r="A6238" i="4"/>
  <c r="B6237" i="4"/>
  <c r="A6237" i="4"/>
  <c r="B6236" i="4"/>
  <c r="A6236" i="4"/>
  <c r="B6235" i="4"/>
  <c r="A6235" i="4"/>
  <c r="B6234" i="4"/>
  <c r="A6234" i="4"/>
  <c r="B6233" i="4"/>
  <c r="A6233" i="4"/>
  <c r="B6232" i="4"/>
  <c r="A6232" i="4"/>
  <c r="B6231" i="4"/>
  <c r="A6231" i="4"/>
  <c r="B6230" i="4"/>
  <c r="A6230" i="4"/>
  <c r="B6229" i="4"/>
  <c r="A6229" i="4"/>
  <c r="B6228" i="4"/>
  <c r="A6228" i="4"/>
  <c r="B6227" i="4"/>
  <c r="A6227" i="4"/>
  <c r="B6226" i="4"/>
  <c r="A6226" i="4"/>
  <c r="B6225" i="4"/>
  <c r="A6225" i="4"/>
  <c r="B6224" i="4"/>
  <c r="A6224" i="4"/>
  <c r="B6223" i="4"/>
  <c r="A6223" i="4"/>
  <c r="B6222" i="4"/>
  <c r="A6222" i="4"/>
  <c r="B6221" i="4"/>
  <c r="A6221" i="4"/>
  <c r="B6220" i="4"/>
  <c r="A6220" i="4"/>
  <c r="B6219" i="4"/>
  <c r="A6219" i="4"/>
  <c r="B6218" i="4"/>
  <c r="A6218" i="4"/>
  <c r="B6217" i="4"/>
  <c r="A6217" i="4"/>
  <c r="B6216" i="4"/>
  <c r="A6216" i="4"/>
  <c r="B6215" i="4"/>
  <c r="A6215" i="4"/>
  <c r="B6214" i="4"/>
  <c r="A6214" i="4"/>
  <c r="B6213" i="4"/>
  <c r="A6213" i="4"/>
  <c r="B6212" i="4"/>
  <c r="A6212" i="4"/>
  <c r="B6211" i="4"/>
  <c r="A6211" i="4"/>
  <c r="B6210" i="4"/>
  <c r="A6210" i="4"/>
  <c r="B6209" i="4"/>
  <c r="A6209" i="4"/>
  <c r="B6208" i="4"/>
  <c r="A6208" i="4"/>
  <c r="B6207" i="4"/>
  <c r="A6207" i="4"/>
  <c r="B6206" i="4"/>
  <c r="A6206" i="4"/>
  <c r="B6205" i="4"/>
  <c r="A6205" i="4"/>
  <c r="B6204" i="4"/>
  <c r="A6204" i="4"/>
  <c r="B6203" i="4"/>
  <c r="A6203" i="4"/>
  <c r="B6202" i="4"/>
  <c r="A6202" i="4"/>
  <c r="B6201" i="4"/>
  <c r="A6201" i="4"/>
  <c r="B6200" i="4"/>
  <c r="A6200" i="4"/>
  <c r="B6199" i="4"/>
  <c r="A6199" i="4"/>
  <c r="B6198" i="4"/>
  <c r="A6198" i="4"/>
  <c r="B6197" i="4"/>
  <c r="A6197" i="4"/>
  <c r="B6196" i="4"/>
  <c r="A6196" i="4"/>
  <c r="B6195" i="4"/>
  <c r="A6195" i="4"/>
  <c r="B6194" i="4"/>
  <c r="A6194" i="4"/>
  <c r="B6193" i="4"/>
  <c r="A6193" i="4"/>
  <c r="B6192" i="4"/>
  <c r="A6192" i="4"/>
  <c r="B6191" i="4"/>
  <c r="A6191" i="4"/>
  <c r="B6190" i="4"/>
  <c r="A6190" i="4"/>
  <c r="B6189" i="4"/>
  <c r="A6189" i="4"/>
  <c r="B6188" i="4"/>
  <c r="A6188" i="4"/>
  <c r="B6187" i="4"/>
  <c r="A6187" i="4"/>
  <c r="B6186" i="4"/>
  <c r="A6186" i="4"/>
  <c r="B6185" i="4"/>
  <c r="A6185" i="4"/>
  <c r="B6184" i="4"/>
  <c r="A6184" i="4"/>
  <c r="B6183" i="4"/>
  <c r="A6183" i="4"/>
  <c r="B6182" i="4"/>
  <c r="A6182" i="4"/>
  <c r="B6181" i="4"/>
  <c r="A6181" i="4"/>
  <c r="B6180" i="4"/>
  <c r="A6180" i="4"/>
  <c r="B6179" i="4"/>
  <c r="A6179" i="4"/>
  <c r="B6178" i="4"/>
  <c r="A6178" i="4"/>
  <c r="B6177" i="4"/>
  <c r="A6177" i="4"/>
  <c r="B6176" i="4"/>
  <c r="A6176" i="4"/>
  <c r="B6175" i="4"/>
  <c r="A6175" i="4"/>
  <c r="B6174" i="4"/>
  <c r="A6174" i="4"/>
  <c r="B6173" i="4"/>
  <c r="A6173" i="4"/>
  <c r="B6172" i="4"/>
  <c r="A6172" i="4"/>
  <c r="B6171" i="4"/>
  <c r="A6171" i="4"/>
  <c r="B6170" i="4"/>
  <c r="A6170" i="4"/>
  <c r="B6169" i="4"/>
  <c r="A6169" i="4"/>
  <c r="B6168" i="4"/>
  <c r="A6168" i="4"/>
  <c r="B6167" i="4"/>
  <c r="A6167" i="4"/>
  <c r="B6166" i="4"/>
  <c r="A6166" i="4"/>
  <c r="B6165" i="4"/>
  <c r="A6165" i="4"/>
  <c r="B6164" i="4"/>
  <c r="A6164" i="4"/>
  <c r="B6163" i="4"/>
  <c r="A6163" i="4"/>
  <c r="B6162" i="4"/>
  <c r="A6162" i="4"/>
  <c r="B6161" i="4"/>
  <c r="A6161" i="4"/>
  <c r="B6160" i="4"/>
  <c r="A6160" i="4"/>
  <c r="B6159" i="4"/>
  <c r="A6159" i="4"/>
  <c r="B6158" i="4"/>
  <c r="A6158" i="4"/>
  <c r="B6157" i="4"/>
  <c r="A6157" i="4"/>
  <c r="B6156" i="4"/>
  <c r="A6156" i="4"/>
  <c r="B6155" i="4"/>
  <c r="A6155" i="4"/>
  <c r="B6154" i="4"/>
  <c r="A6154" i="4"/>
  <c r="B6153" i="4"/>
  <c r="A6153" i="4"/>
  <c r="B6152" i="4"/>
  <c r="A6152" i="4"/>
  <c r="B6151" i="4"/>
  <c r="A6151" i="4"/>
  <c r="B6150" i="4"/>
  <c r="A6150" i="4"/>
  <c r="B6149" i="4"/>
  <c r="A6149" i="4"/>
  <c r="B6148" i="4"/>
  <c r="A6148" i="4"/>
  <c r="B6147" i="4"/>
  <c r="A6147" i="4"/>
  <c r="B6146" i="4"/>
  <c r="A6146" i="4"/>
  <c r="B6145" i="4"/>
  <c r="A6145" i="4"/>
  <c r="B6144" i="4"/>
  <c r="A6144" i="4"/>
  <c r="B6143" i="4"/>
  <c r="A6143" i="4"/>
  <c r="B6142" i="4"/>
  <c r="A6142" i="4"/>
  <c r="B6141" i="4"/>
  <c r="A6141" i="4"/>
  <c r="B6140" i="4"/>
  <c r="A6140" i="4"/>
  <c r="B6139" i="4"/>
  <c r="A6139" i="4"/>
  <c r="B6138" i="4"/>
  <c r="A6138" i="4"/>
  <c r="B6137" i="4"/>
  <c r="A6137" i="4"/>
  <c r="B6136" i="4"/>
  <c r="A6136" i="4"/>
  <c r="B6135" i="4"/>
  <c r="A6135" i="4"/>
  <c r="B6134" i="4"/>
  <c r="A6134" i="4"/>
  <c r="B6133" i="4"/>
  <c r="A6133" i="4"/>
  <c r="B6132" i="4"/>
  <c r="A6132" i="4"/>
  <c r="B6131" i="4"/>
  <c r="A6131" i="4"/>
  <c r="B6130" i="4"/>
  <c r="A6130" i="4"/>
  <c r="B6129" i="4"/>
  <c r="A6129" i="4"/>
  <c r="B6128" i="4"/>
  <c r="A6128" i="4"/>
  <c r="B6127" i="4"/>
  <c r="A6127" i="4"/>
  <c r="B6126" i="4"/>
  <c r="A6126" i="4"/>
  <c r="B6125" i="4"/>
  <c r="A6125" i="4"/>
  <c r="B6124" i="4"/>
  <c r="A6124" i="4"/>
  <c r="B6123" i="4"/>
  <c r="A6123" i="4"/>
  <c r="B6122" i="4"/>
  <c r="A6122" i="4"/>
  <c r="B6121" i="4"/>
  <c r="A6121" i="4"/>
  <c r="B6120" i="4"/>
  <c r="A6120" i="4"/>
  <c r="B6119" i="4"/>
  <c r="A6119" i="4"/>
  <c r="B6118" i="4"/>
  <c r="A6118" i="4"/>
  <c r="B6117" i="4"/>
  <c r="A6117" i="4"/>
  <c r="B6116" i="4"/>
  <c r="A6116" i="4"/>
  <c r="B6115" i="4"/>
  <c r="A6115" i="4"/>
  <c r="B6114" i="4"/>
  <c r="A6114" i="4"/>
  <c r="B6113" i="4"/>
  <c r="A6113" i="4"/>
  <c r="B6112" i="4"/>
  <c r="A6112" i="4"/>
  <c r="B6111" i="4"/>
  <c r="A6111" i="4"/>
  <c r="B6110" i="4"/>
  <c r="A6110" i="4"/>
  <c r="B6109" i="4"/>
  <c r="A6109" i="4"/>
  <c r="B6108" i="4"/>
  <c r="A6108" i="4"/>
  <c r="B6107" i="4"/>
  <c r="A6107" i="4"/>
  <c r="B6106" i="4"/>
  <c r="A6106" i="4"/>
  <c r="B6105" i="4"/>
  <c r="A6105" i="4"/>
  <c r="B6104" i="4"/>
  <c r="A6104" i="4"/>
  <c r="B6103" i="4"/>
  <c r="A6103" i="4"/>
  <c r="B6102" i="4"/>
  <c r="A6102" i="4"/>
  <c r="B6101" i="4"/>
  <c r="A6101" i="4"/>
  <c r="B6100" i="4"/>
  <c r="A6100" i="4"/>
  <c r="B6099" i="4"/>
  <c r="A6099" i="4"/>
  <c r="B6098" i="4"/>
  <c r="A6098" i="4"/>
  <c r="B6097" i="4"/>
  <c r="A6097" i="4"/>
  <c r="B6096" i="4"/>
  <c r="A6096" i="4"/>
  <c r="B6095" i="4"/>
  <c r="A6095" i="4"/>
  <c r="B6094" i="4"/>
  <c r="A6094" i="4"/>
  <c r="B6093" i="4"/>
  <c r="A6093" i="4"/>
  <c r="B6092" i="4"/>
  <c r="A6092" i="4"/>
  <c r="B6091" i="4"/>
  <c r="A6091" i="4"/>
  <c r="B6090" i="4"/>
  <c r="A6090" i="4"/>
  <c r="B6089" i="4"/>
  <c r="A6089" i="4"/>
  <c r="B6088" i="4"/>
  <c r="A6088" i="4"/>
  <c r="B6087" i="4"/>
  <c r="A6087" i="4"/>
  <c r="B6086" i="4"/>
  <c r="A6086" i="4"/>
  <c r="B6085" i="4"/>
  <c r="A6085" i="4"/>
  <c r="B6084" i="4"/>
  <c r="A6084" i="4"/>
  <c r="B6083" i="4"/>
  <c r="A6083" i="4"/>
  <c r="B6082" i="4"/>
  <c r="A6082" i="4"/>
  <c r="B6081" i="4"/>
  <c r="A6081" i="4"/>
  <c r="B6080" i="4"/>
  <c r="A6080" i="4"/>
  <c r="B6079" i="4"/>
  <c r="A6079" i="4"/>
  <c r="B6078" i="4"/>
  <c r="A6078" i="4"/>
  <c r="B6077" i="4"/>
  <c r="A6077" i="4"/>
  <c r="B6076" i="4"/>
  <c r="A6076" i="4"/>
  <c r="B6075" i="4"/>
  <c r="A6075" i="4"/>
  <c r="B6074" i="4"/>
  <c r="A6074" i="4"/>
  <c r="B6073" i="4"/>
  <c r="A6073" i="4"/>
  <c r="B6072" i="4"/>
  <c r="A6072" i="4"/>
  <c r="B6071" i="4"/>
  <c r="A6071" i="4"/>
  <c r="B6070" i="4"/>
  <c r="A6070" i="4"/>
  <c r="B6069" i="4"/>
  <c r="A6069" i="4"/>
  <c r="B6068" i="4"/>
  <c r="A6068" i="4"/>
  <c r="B6067" i="4"/>
  <c r="A6067" i="4"/>
  <c r="B6066" i="4"/>
  <c r="A6066" i="4"/>
  <c r="B6065" i="4"/>
  <c r="A6065" i="4"/>
  <c r="B6064" i="4"/>
  <c r="A6064" i="4"/>
  <c r="B6063" i="4"/>
  <c r="A6063" i="4"/>
  <c r="B6062" i="4"/>
  <c r="A6062" i="4"/>
  <c r="B6061" i="4"/>
  <c r="A6061" i="4"/>
  <c r="B6060" i="4"/>
  <c r="A6060" i="4"/>
  <c r="B6059" i="4"/>
  <c r="A6059" i="4"/>
  <c r="B6058" i="4"/>
  <c r="A6058" i="4"/>
  <c r="B6057" i="4"/>
  <c r="A6057" i="4"/>
  <c r="B6056" i="4"/>
  <c r="A6056" i="4"/>
  <c r="B6055" i="4"/>
  <c r="A6055" i="4"/>
  <c r="B6054" i="4"/>
  <c r="A6054" i="4"/>
  <c r="B6053" i="4"/>
  <c r="A6053" i="4"/>
  <c r="B6052" i="4"/>
  <c r="A6052" i="4"/>
  <c r="B6051" i="4"/>
  <c r="A6051" i="4"/>
  <c r="B6050" i="4"/>
  <c r="A6050" i="4"/>
  <c r="B6049" i="4"/>
  <c r="A6049" i="4"/>
  <c r="B6048" i="4"/>
  <c r="A6048" i="4"/>
  <c r="B6047" i="4"/>
  <c r="A6047" i="4"/>
  <c r="B6046" i="4"/>
  <c r="A6046" i="4"/>
  <c r="B6045" i="4"/>
  <c r="A6045" i="4"/>
  <c r="B6044" i="4"/>
  <c r="A6044" i="4"/>
  <c r="B6043" i="4"/>
  <c r="A6043" i="4"/>
  <c r="B6042" i="4"/>
  <c r="A6042" i="4"/>
  <c r="B6041" i="4"/>
  <c r="A6041" i="4"/>
  <c r="B6040" i="4"/>
  <c r="A6040" i="4"/>
  <c r="B6039" i="4"/>
  <c r="A6039" i="4"/>
  <c r="B6038" i="4"/>
  <c r="A6038" i="4"/>
  <c r="B6037" i="4"/>
  <c r="A6037" i="4"/>
  <c r="B6036" i="4"/>
  <c r="A6036" i="4"/>
  <c r="B6035" i="4"/>
  <c r="A6035" i="4"/>
  <c r="B6034" i="4"/>
  <c r="A6034" i="4"/>
  <c r="B6033" i="4"/>
  <c r="A6033" i="4"/>
  <c r="B6032" i="4"/>
  <c r="A6032" i="4"/>
  <c r="B6031" i="4"/>
  <c r="A6031" i="4"/>
  <c r="B6030" i="4"/>
  <c r="A6030" i="4"/>
  <c r="B6029" i="4"/>
  <c r="A6029" i="4"/>
  <c r="B6028" i="4"/>
  <c r="A6028" i="4"/>
  <c r="B6027" i="4"/>
  <c r="A6027" i="4"/>
  <c r="B6026" i="4"/>
  <c r="A6026" i="4"/>
  <c r="B6025" i="4"/>
  <c r="A6025" i="4"/>
  <c r="B6024" i="4"/>
  <c r="A6024" i="4"/>
  <c r="B6023" i="4"/>
  <c r="A6023" i="4"/>
  <c r="B6022" i="4"/>
  <c r="A6022" i="4"/>
  <c r="B6021" i="4"/>
  <c r="A6021" i="4"/>
  <c r="B6020" i="4"/>
  <c r="A6020" i="4"/>
  <c r="B6019" i="4"/>
  <c r="A6019" i="4"/>
  <c r="B6018" i="4"/>
  <c r="A6018" i="4"/>
  <c r="B6017" i="4"/>
  <c r="A6017" i="4"/>
  <c r="B6016" i="4"/>
  <c r="A6016" i="4"/>
  <c r="B6015" i="4"/>
  <c r="A6015" i="4"/>
  <c r="B6014" i="4"/>
  <c r="A6014" i="4"/>
  <c r="B6013" i="4"/>
  <c r="A6013" i="4"/>
  <c r="B6012" i="4"/>
  <c r="A6012" i="4"/>
  <c r="B6011" i="4"/>
  <c r="A6011" i="4"/>
  <c r="B6010" i="4"/>
  <c r="A6010" i="4"/>
  <c r="B6009" i="4"/>
  <c r="A6009" i="4"/>
  <c r="B6008" i="4"/>
  <c r="A6008" i="4"/>
  <c r="B6007" i="4"/>
  <c r="A6007" i="4"/>
  <c r="B6006" i="4"/>
  <c r="A6006" i="4"/>
  <c r="B6005" i="4"/>
  <c r="A6005" i="4"/>
  <c r="B6004" i="4"/>
  <c r="A6004" i="4"/>
  <c r="B6003" i="4"/>
  <c r="A6003" i="4"/>
  <c r="B6002" i="4"/>
  <c r="A6002" i="4"/>
  <c r="B6001" i="4"/>
  <c r="A6001" i="4"/>
  <c r="B6000" i="4"/>
  <c r="A6000" i="4"/>
  <c r="B5999" i="4"/>
  <c r="A5999" i="4"/>
  <c r="B5998" i="4"/>
  <c r="A5998" i="4"/>
  <c r="B5997" i="4"/>
  <c r="A5997" i="4"/>
  <c r="B5996" i="4"/>
  <c r="A5996" i="4"/>
  <c r="B5995" i="4"/>
  <c r="A5995" i="4"/>
  <c r="B5994" i="4"/>
  <c r="A5994" i="4"/>
  <c r="B5993" i="4"/>
  <c r="A5993" i="4"/>
  <c r="B5992" i="4"/>
  <c r="A5992" i="4"/>
  <c r="B5991" i="4"/>
  <c r="A5991" i="4"/>
  <c r="B5990" i="4"/>
  <c r="A5990" i="4"/>
  <c r="B5989" i="4"/>
  <c r="A5989" i="4"/>
  <c r="B5988" i="4"/>
  <c r="A5988" i="4"/>
  <c r="B5987" i="4"/>
  <c r="A5987" i="4"/>
  <c r="B5986" i="4"/>
  <c r="A5986" i="4"/>
  <c r="B5985" i="4"/>
  <c r="A5985" i="4"/>
  <c r="B5984" i="4"/>
  <c r="A5984" i="4"/>
  <c r="B5983" i="4"/>
  <c r="A5983" i="4"/>
  <c r="B5982" i="4"/>
  <c r="A5982" i="4"/>
  <c r="B5981" i="4"/>
  <c r="A5981" i="4"/>
  <c r="B5980" i="4"/>
  <c r="A5980" i="4"/>
  <c r="B5979" i="4"/>
  <c r="A5979" i="4"/>
  <c r="B5978" i="4"/>
  <c r="A5978" i="4"/>
  <c r="B5977" i="4"/>
  <c r="A5977" i="4"/>
  <c r="B5976" i="4"/>
  <c r="A5976" i="4"/>
  <c r="B5975" i="4"/>
  <c r="A5975" i="4"/>
  <c r="B5974" i="4"/>
  <c r="A5974" i="4"/>
  <c r="B5973" i="4"/>
  <c r="A5973" i="4"/>
  <c r="B5972" i="4"/>
  <c r="A5972" i="4"/>
  <c r="B5971" i="4"/>
  <c r="A5971" i="4"/>
  <c r="B5970" i="4"/>
  <c r="A5970" i="4"/>
  <c r="B5969" i="4"/>
  <c r="A5969" i="4"/>
  <c r="B5968" i="4"/>
  <c r="A5968" i="4"/>
  <c r="B5967" i="4"/>
  <c r="A5967" i="4"/>
  <c r="B5966" i="4"/>
  <c r="A5966" i="4"/>
  <c r="B5965" i="4"/>
  <c r="A5965" i="4"/>
  <c r="B5964" i="4"/>
  <c r="A5964" i="4"/>
  <c r="B5963" i="4"/>
  <c r="A5963" i="4"/>
  <c r="B5962" i="4"/>
  <c r="A5962" i="4"/>
  <c r="B5961" i="4"/>
  <c r="A5961" i="4"/>
  <c r="B5960" i="4"/>
  <c r="A5960" i="4"/>
  <c r="B5959" i="4"/>
  <c r="A5959" i="4"/>
  <c r="B5958" i="4"/>
  <c r="A5958" i="4"/>
  <c r="B5957" i="4"/>
  <c r="A5957" i="4"/>
  <c r="B5956" i="4"/>
  <c r="A5956" i="4"/>
  <c r="B5955" i="4"/>
  <c r="A5955" i="4"/>
  <c r="B5954" i="4"/>
  <c r="A5954" i="4"/>
  <c r="B5953" i="4"/>
  <c r="A5953" i="4"/>
  <c r="B5952" i="4"/>
  <c r="A5952" i="4"/>
  <c r="B5951" i="4"/>
  <c r="A5951" i="4"/>
  <c r="B5950" i="4"/>
  <c r="A5950" i="4"/>
  <c r="B5949" i="4"/>
  <c r="A5949" i="4"/>
  <c r="B5948" i="4"/>
  <c r="A5948" i="4"/>
  <c r="B5947" i="4"/>
  <c r="A5947" i="4"/>
  <c r="B5946" i="4"/>
  <c r="A5946" i="4"/>
  <c r="B5945" i="4"/>
  <c r="A5945" i="4"/>
  <c r="B5944" i="4"/>
  <c r="A5944" i="4"/>
  <c r="B5943" i="4"/>
  <c r="A5943" i="4"/>
  <c r="B5942" i="4"/>
  <c r="A5942" i="4"/>
  <c r="B5941" i="4"/>
  <c r="A5941" i="4"/>
  <c r="B5940" i="4"/>
  <c r="A5940" i="4"/>
  <c r="B5939" i="4"/>
  <c r="A5939" i="4"/>
  <c r="B5938" i="4"/>
  <c r="A5938" i="4"/>
  <c r="B5937" i="4"/>
  <c r="A5937" i="4"/>
  <c r="B5936" i="4"/>
  <c r="A5936" i="4"/>
  <c r="B5935" i="4"/>
  <c r="A5935" i="4"/>
  <c r="B5934" i="4"/>
  <c r="A5934" i="4"/>
  <c r="B5933" i="4"/>
  <c r="A5933" i="4"/>
  <c r="B5932" i="4"/>
  <c r="A5932" i="4"/>
  <c r="B5931" i="4"/>
  <c r="A5931" i="4"/>
  <c r="B5930" i="4"/>
  <c r="A5930" i="4"/>
  <c r="B5929" i="4"/>
  <c r="A5929" i="4"/>
  <c r="B5928" i="4"/>
  <c r="A5928" i="4"/>
  <c r="B5927" i="4"/>
  <c r="A5927" i="4"/>
  <c r="B5926" i="4"/>
  <c r="A5926" i="4"/>
  <c r="B5925" i="4"/>
  <c r="A5925" i="4"/>
  <c r="B5924" i="4"/>
  <c r="A5924" i="4"/>
  <c r="B5923" i="4"/>
  <c r="A5923" i="4"/>
  <c r="B5922" i="4"/>
  <c r="A5922" i="4"/>
  <c r="B5921" i="4"/>
  <c r="A5921" i="4"/>
  <c r="B5920" i="4"/>
  <c r="A5920" i="4"/>
  <c r="B5919" i="4"/>
  <c r="A5919" i="4"/>
  <c r="B5918" i="4"/>
  <c r="A5918" i="4"/>
  <c r="B5917" i="4"/>
  <c r="A5917" i="4"/>
  <c r="B5916" i="4"/>
  <c r="A5916" i="4"/>
  <c r="B5915" i="4"/>
  <c r="A5915" i="4"/>
  <c r="B5914" i="4"/>
  <c r="A5914" i="4"/>
  <c r="B5913" i="4"/>
  <c r="A5913" i="4"/>
  <c r="B5912" i="4"/>
  <c r="A5912" i="4"/>
  <c r="B5911" i="4"/>
  <c r="A5911" i="4"/>
  <c r="B5910" i="4"/>
  <c r="A5910" i="4"/>
  <c r="B5909" i="4"/>
  <c r="A5909" i="4"/>
  <c r="B5908" i="4"/>
  <c r="A5908" i="4"/>
  <c r="B5907" i="4"/>
  <c r="A5907" i="4"/>
  <c r="B5906" i="4"/>
  <c r="A5906" i="4"/>
  <c r="B5905" i="4"/>
  <c r="A5905" i="4"/>
  <c r="B5904" i="4"/>
  <c r="A5904" i="4"/>
  <c r="B5903" i="4"/>
  <c r="A5903" i="4"/>
  <c r="B5902" i="4"/>
  <c r="A5902" i="4"/>
  <c r="B5901" i="4"/>
  <c r="A5901" i="4"/>
  <c r="B5900" i="4"/>
  <c r="A5900" i="4"/>
  <c r="B5899" i="4"/>
  <c r="A5899" i="4"/>
  <c r="B5898" i="4"/>
  <c r="A5898" i="4"/>
  <c r="B5897" i="4"/>
  <c r="A5897" i="4"/>
  <c r="B5896" i="4"/>
  <c r="A5896" i="4"/>
  <c r="B5895" i="4"/>
  <c r="A5895" i="4"/>
  <c r="B5894" i="4"/>
  <c r="A5894" i="4"/>
  <c r="B5893" i="4"/>
  <c r="A5893" i="4"/>
  <c r="B5892" i="4"/>
  <c r="A5892" i="4"/>
  <c r="B5891" i="4"/>
  <c r="A5891" i="4"/>
  <c r="B5890" i="4"/>
  <c r="A5890" i="4"/>
  <c r="B5889" i="4"/>
  <c r="A5889" i="4"/>
  <c r="B5888" i="4"/>
  <c r="A5888" i="4"/>
  <c r="B5887" i="4"/>
  <c r="A5887" i="4"/>
  <c r="B5886" i="4"/>
  <c r="A5886" i="4"/>
  <c r="B5885" i="4"/>
  <c r="A5885" i="4"/>
  <c r="B5884" i="4"/>
  <c r="A5884" i="4"/>
  <c r="B5883" i="4"/>
  <c r="A5883" i="4"/>
  <c r="B5882" i="4"/>
  <c r="A5882" i="4"/>
  <c r="B5881" i="4"/>
  <c r="A5881" i="4"/>
  <c r="B5880" i="4"/>
  <c r="A5880" i="4"/>
  <c r="B5879" i="4"/>
  <c r="A5879" i="4"/>
  <c r="B5878" i="4"/>
  <c r="A5878" i="4"/>
  <c r="B5877" i="4"/>
  <c r="A5877" i="4"/>
  <c r="B5876" i="4"/>
  <c r="A5876" i="4"/>
  <c r="B5875" i="4"/>
  <c r="A5875" i="4"/>
  <c r="B5874" i="4"/>
  <c r="A5874" i="4"/>
  <c r="B5873" i="4"/>
  <c r="A5873" i="4"/>
  <c r="B5872" i="4"/>
  <c r="A5872" i="4"/>
  <c r="B5871" i="4"/>
  <c r="A5871" i="4"/>
  <c r="B5870" i="4"/>
  <c r="A5870" i="4"/>
  <c r="B5869" i="4"/>
  <c r="A5869" i="4"/>
  <c r="B5868" i="4"/>
  <c r="A5868" i="4"/>
  <c r="B5867" i="4"/>
  <c r="A5867" i="4"/>
  <c r="B5866" i="4"/>
  <c r="A5866" i="4"/>
  <c r="B5865" i="4"/>
  <c r="A5865" i="4"/>
  <c r="B5864" i="4"/>
  <c r="A5864" i="4"/>
  <c r="B5863" i="4"/>
  <c r="A5863" i="4"/>
  <c r="B5862" i="4"/>
  <c r="A5862" i="4"/>
  <c r="B5861" i="4"/>
  <c r="A5861" i="4"/>
  <c r="B5860" i="4"/>
  <c r="A5860" i="4"/>
  <c r="B5859" i="4"/>
  <c r="A5859" i="4"/>
  <c r="B5858" i="4"/>
  <c r="A5858" i="4"/>
  <c r="B5857" i="4"/>
  <c r="A5857" i="4"/>
  <c r="B5856" i="4"/>
  <c r="A5856" i="4"/>
  <c r="B5855" i="4"/>
  <c r="A5855" i="4"/>
  <c r="B5854" i="4"/>
  <c r="A5854" i="4"/>
  <c r="B5853" i="4"/>
  <c r="A5853" i="4"/>
  <c r="B5852" i="4"/>
  <c r="A5852" i="4"/>
  <c r="B5851" i="4"/>
  <c r="A5851" i="4"/>
  <c r="B5850" i="4"/>
  <c r="A5850" i="4"/>
  <c r="B5849" i="4"/>
  <c r="A5849" i="4"/>
  <c r="B5848" i="4"/>
  <c r="A5848" i="4"/>
  <c r="B5847" i="4"/>
  <c r="A5847" i="4"/>
  <c r="B5846" i="4"/>
  <c r="A5846" i="4"/>
  <c r="B5845" i="4"/>
  <c r="A5845" i="4"/>
  <c r="B5844" i="4"/>
  <c r="A5844" i="4"/>
  <c r="B5843" i="4"/>
  <c r="A5843" i="4"/>
  <c r="B5842" i="4"/>
  <c r="A5842" i="4"/>
  <c r="B5841" i="4"/>
  <c r="A5841" i="4"/>
  <c r="B5840" i="4"/>
  <c r="A5840" i="4"/>
  <c r="B5839" i="4"/>
  <c r="A5839" i="4"/>
  <c r="B5838" i="4"/>
  <c r="A5838" i="4"/>
  <c r="B5837" i="4"/>
  <c r="A5837" i="4"/>
  <c r="B5836" i="4"/>
  <c r="A5836" i="4"/>
  <c r="B5835" i="4"/>
  <c r="A5835" i="4"/>
  <c r="B5834" i="4"/>
  <c r="A5834" i="4"/>
  <c r="B5833" i="4"/>
  <c r="A5833" i="4"/>
  <c r="B5832" i="4"/>
  <c r="A5832" i="4"/>
  <c r="B5831" i="4"/>
  <c r="A5831" i="4"/>
  <c r="B5830" i="4"/>
  <c r="A5830" i="4"/>
  <c r="B5829" i="4"/>
  <c r="A5829" i="4"/>
  <c r="B5828" i="4"/>
  <c r="A5828" i="4"/>
  <c r="B5827" i="4"/>
  <c r="A5827" i="4"/>
  <c r="B5826" i="4"/>
  <c r="A5826" i="4"/>
  <c r="B5825" i="4"/>
  <c r="A5825" i="4"/>
  <c r="B5824" i="4"/>
  <c r="A5824" i="4"/>
  <c r="B5823" i="4"/>
  <c r="A5823" i="4"/>
  <c r="B5822" i="4"/>
  <c r="A5822" i="4"/>
  <c r="B5821" i="4"/>
  <c r="A5821" i="4"/>
  <c r="B5820" i="4"/>
  <c r="A5820" i="4"/>
  <c r="B5819" i="4"/>
  <c r="A5819" i="4"/>
  <c r="B5818" i="4"/>
  <c r="A5818" i="4"/>
  <c r="B5817" i="4"/>
  <c r="A5817" i="4"/>
  <c r="B5816" i="4"/>
  <c r="A5816" i="4"/>
  <c r="B5815" i="4"/>
  <c r="A5815" i="4"/>
  <c r="B5814" i="4"/>
  <c r="A5814" i="4"/>
  <c r="B5813" i="4"/>
  <c r="A5813" i="4"/>
  <c r="B5812" i="4"/>
  <c r="A5812" i="4"/>
  <c r="B5811" i="4"/>
  <c r="A5811" i="4"/>
  <c r="B5810" i="4"/>
  <c r="A5810" i="4"/>
  <c r="B5809" i="4"/>
  <c r="A5809" i="4"/>
  <c r="B5808" i="4"/>
  <c r="A5808" i="4"/>
  <c r="B5807" i="4"/>
  <c r="A5807" i="4"/>
  <c r="B5806" i="4"/>
  <c r="A5806" i="4"/>
  <c r="B5805" i="4"/>
  <c r="A5805" i="4"/>
  <c r="B5804" i="4"/>
  <c r="A5804" i="4"/>
  <c r="B5803" i="4"/>
  <c r="A5803" i="4"/>
  <c r="B5802" i="4"/>
  <c r="A5802" i="4"/>
  <c r="B5801" i="4"/>
  <c r="A5801" i="4"/>
  <c r="B5800" i="4"/>
  <c r="A5800" i="4"/>
  <c r="B5799" i="4"/>
  <c r="A5799" i="4"/>
  <c r="B5798" i="4"/>
  <c r="A5798" i="4"/>
  <c r="B5797" i="4"/>
  <c r="A5797" i="4"/>
  <c r="B5796" i="4"/>
  <c r="A5796" i="4"/>
  <c r="B5795" i="4"/>
  <c r="A5795" i="4"/>
  <c r="B5794" i="4"/>
  <c r="A5794" i="4"/>
  <c r="B5793" i="4"/>
  <c r="A5793" i="4"/>
  <c r="B5792" i="4"/>
  <c r="A5792" i="4"/>
  <c r="B5791" i="4"/>
  <c r="A5791" i="4"/>
  <c r="B5790" i="4"/>
  <c r="A5790" i="4"/>
  <c r="B5789" i="4"/>
  <c r="A5789" i="4"/>
  <c r="B5788" i="4"/>
  <c r="A5788" i="4"/>
  <c r="B5787" i="4"/>
  <c r="A5787" i="4"/>
  <c r="B5786" i="4"/>
  <c r="A5786" i="4"/>
  <c r="B5785" i="4"/>
  <c r="A5785" i="4"/>
  <c r="B5784" i="4"/>
  <c r="A5784" i="4"/>
  <c r="B5783" i="4"/>
  <c r="A5783" i="4"/>
  <c r="B5782" i="4"/>
  <c r="A5782" i="4"/>
  <c r="B5781" i="4"/>
  <c r="A5781" i="4"/>
  <c r="B5780" i="4"/>
  <c r="A5780" i="4"/>
  <c r="B5779" i="4"/>
  <c r="A5779" i="4"/>
  <c r="B5778" i="4"/>
  <c r="A5778" i="4"/>
  <c r="B5777" i="4"/>
  <c r="A5777" i="4"/>
  <c r="B5776" i="4"/>
  <c r="A5776" i="4"/>
  <c r="B5775" i="4"/>
  <c r="A5775" i="4"/>
  <c r="B5774" i="4"/>
  <c r="A5774" i="4"/>
  <c r="B5773" i="4"/>
  <c r="A5773" i="4"/>
  <c r="B5772" i="4"/>
  <c r="A5772" i="4"/>
  <c r="B5771" i="4"/>
  <c r="A5771" i="4"/>
  <c r="B5770" i="4"/>
  <c r="A5770" i="4"/>
  <c r="B5769" i="4"/>
  <c r="A5769" i="4"/>
  <c r="B5768" i="4"/>
  <c r="A5768" i="4"/>
  <c r="B5767" i="4"/>
  <c r="A5767" i="4"/>
  <c r="B5766" i="4"/>
  <c r="A5766" i="4"/>
  <c r="B5765" i="4"/>
  <c r="A5765" i="4"/>
  <c r="B5764" i="4"/>
  <c r="A5764" i="4"/>
  <c r="B5763" i="4"/>
  <c r="A5763" i="4"/>
  <c r="B5762" i="4"/>
  <c r="A5762" i="4"/>
  <c r="B5761" i="4"/>
  <c r="A5761" i="4"/>
  <c r="B5760" i="4"/>
  <c r="A5760" i="4"/>
  <c r="B5759" i="4"/>
  <c r="A5759" i="4"/>
  <c r="B5758" i="4"/>
  <c r="A5758" i="4"/>
  <c r="B5757" i="4"/>
  <c r="A5757" i="4"/>
  <c r="B5756" i="4"/>
  <c r="A5756" i="4"/>
  <c r="B5755" i="4"/>
  <c r="A5755" i="4"/>
  <c r="B5754" i="4"/>
  <c r="A5754" i="4"/>
  <c r="B5753" i="4"/>
  <c r="A5753" i="4"/>
  <c r="B5752" i="4"/>
  <c r="A5752" i="4"/>
  <c r="B5751" i="4"/>
  <c r="A5751" i="4"/>
  <c r="B5750" i="4"/>
  <c r="A5750" i="4"/>
  <c r="B5749" i="4"/>
  <c r="A5749" i="4"/>
  <c r="B5748" i="4"/>
  <c r="A5748" i="4"/>
  <c r="B5747" i="4"/>
  <c r="A5747" i="4"/>
  <c r="B5746" i="4"/>
  <c r="A5746" i="4"/>
  <c r="B5745" i="4"/>
  <c r="A5745" i="4"/>
  <c r="B5744" i="4"/>
  <c r="A5744" i="4"/>
  <c r="B5743" i="4"/>
  <c r="A5743" i="4"/>
  <c r="B5742" i="4"/>
  <c r="A5742" i="4"/>
  <c r="B5741" i="4"/>
  <c r="A5741" i="4"/>
  <c r="B5740" i="4"/>
  <c r="A5740" i="4"/>
  <c r="B5739" i="4"/>
  <c r="A5739" i="4"/>
  <c r="B5738" i="4"/>
  <c r="A5738" i="4"/>
  <c r="B5737" i="4"/>
  <c r="A5737" i="4"/>
  <c r="B5736" i="4"/>
  <c r="A5736" i="4"/>
  <c r="B5735" i="4"/>
  <c r="A5735" i="4"/>
  <c r="B5734" i="4"/>
  <c r="A5734" i="4"/>
  <c r="B5733" i="4"/>
  <c r="A5733" i="4"/>
  <c r="B5732" i="4"/>
  <c r="A5732" i="4"/>
  <c r="B5731" i="4"/>
  <c r="A5731" i="4"/>
  <c r="B5730" i="4"/>
  <c r="A5730" i="4"/>
  <c r="B5729" i="4"/>
  <c r="A5729" i="4"/>
  <c r="B5728" i="4"/>
  <c r="A5728" i="4"/>
  <c r="B5727" i="4"/>
  <c r="A5727" i="4"/>
  <c r="B5726" i="4"/>
  <c r="A5726" i="4"/>
  <c r="B5725" i="4"/>
  <c r="A5725" i="4"/>
  <c r="B5724" i="4"/>
  <c r="A5724" i="4"/>
  <c r="B5723" i="4"/>
  <c r="A5723" i="4"/>
  <c r="B5722" i="4"/>
  <c r="A5722" i="4"/>
  <c r="B5721" i="4"/>
  <c r="A5721" i="4"/>
  <c r="B5720" i="4"/>
  <c r="A5720" i="4"/>
  <c r="B5719" i="4"/>
  <c r="A5719" i="4"/>
  <c r="B5718" i="4"/>
  <c r="A5718" i="4"/>
  <c r="B5717" i="4"/>
  <c r="A5717" i="4"/>
  <c r="B5716" i="4"/>
  <c r="A5716" i="4"/>
  <c r="B5715" i="4"/>
  <c r="A5715" i="4"/>
  <c r="B5714" i="4"/>
  <c r="A5714" i="4"/>
  <c r="B5713" i="4"/>
  <c r="A5713" i="4"/>
  <c r="B5712" i="4"/>
  <c r="A5712" i="4"/>
  <c r="B5711" i="4"/>
  <c r="A5711" i="4"/>
  <c r="B5710" i="4"/>
  <c r="A5710" i="4"/>
  <c r="B5709" i="4"/>
  <c r="A5709" i="4"/>
  <c r="B5708" i="4"/>
  <c r="A5708" i="4"/>
  <c r="B5707" i="4"/>
  <c r="A5707" i="4"/>
  <c r="B5706" i="4"/>
  <c r="A5706" i="4"/>
  <c r="B5705" i="4"/>
  <c r="A5705" i="4"/>
  <c r="B5704" i="4"/>
  <c r="A5704" i="4"/>
  <c r="B5703" i="4"/>
  <c r="A5703" i="4"/>
  <c r="B5702" i="4"/>
  <c r="A5702" i="4"/>
  <c r="B5701" i="4"/>
  <c r="A5701" i="4"/>
  <c r="B5700" i="4"/>
  <c r="A5700" i="4"/>
  <c r="B5699" i="4"/>
  <c r="A5699" i="4"/>
  <c r="B5698" i="4"/>
  <c r="A5698" i="4"/>
  <c r="B5697" i="4"/>
  <c r="A5697" i="4"/>
  <c r="B5696" i="4"/>
  <c r="A5696" i="4"/>
  <c r="B5695" i="4"/>
  <c r="A5695" i="4"/>
  <c r="B5694" i="4"/>
  <c r="A5694" i="4"/>
  <c r="B5693" i="4"/>
  <c r="A5693" i="4"/>
  <c r="B5692" i="4"/>
  <c r="A5692" i="4"/>
  <c r="B5691" i="4"/>
  <c r="A5691" i="4"/>
  <c r="B5690" i="4"/>
  <c r="A5690" i="4"/>
  <c r="B5689" i="4"/>
  <c r="A5689" i="4"/>
  <c r="B5688" i="4"/>
  <c r="A5688" i="4"/>
  <c r="B5687" i="4"/>
  <c r="A5687" i="4"/>
  <c r="B5686" i="4"/>
  <c r="A5686" i="4"/>
  <c r="B5685" i="4"/>
  <c r="A5685" i="4"/>
  <c r="B5684" i="4"/>
  <c r="A5684" i="4"/>
  <c r="B5683" i="4"/>
  <c r="A5683" i="4"/>
  <c r="B5682" i="4"/>
  <c r="A5682" i="4"/>
  <c r="B5681" i="4"/>
  <c r="A5681" i="4"/>
  <c r="B5680" i="4"/>
  <c r="A5680" i="4"/>
  <c r="B5679" i="4"/>
  <c r="A5679" i="4"/>
  <c r="B5678" i="4"/>
  <c r="A5678" i="4"/>
  <c r="B5677" i="4"/>
  <c r="A5677" i="4"/>
  <c r="B5676" i="4"/>
  <c r="A5676" i="4"/>
  <c r="B5675" i="4"/>
  <c r="A5675" i="4"/>
  <c r="B5674" i="4"/>
  <c r="A5674" i="4"/>
  <c r="B5673" i="4"/>
  <c r="A5673" i="4"/>
  <c r="B5672" i="4"/>
  <c r="A5672" i="4"/>
  <c r="B5671" i="4"/>
  <c r="A5671" i="4"/>
  <c r="B5670" i="4"/>
  <c r="A5670" i="4"/>
  <c r="B5669" i="4"/>
  <c r="A5669" i="4"/>
  <c r="B5668" i="4"/>
  <c r="A5668" i="4"/>
  <c r="B5667" i="4"/>
  <c r="A5667" i="4"/>
  <c r="B5666" i="4"/>
  <c r="A5666" i="4"/>
  <c r="B5665" i="4"/>
  <c r="A5665" i="4"/>
  <c r="B5664" i="4"/>
  <c r="A5664" i="4"/>
  <c r="B5663" i="4"/>
  <c r="A5663" i="4"/>
  <c r="B5662" i="4"/>
  <c r="A5662" i="4"/>
  <c r="B5661" i="4"/>
  <c r="A5661" i="4"/>
  <c r="B5660" i="4"/>
  <c r="A5660" i="4"/>
  <c r="B5659" i="4"/>
  <c r="A5659" i="4"/>
  <c r="B5658" i="4"/>
  <c r="A5658" i="4"/>
  <c r="B5657" i="4"/>
  <c r="A5657" i="4"/>
  <c r="B5656" i="4"/>
  <c r="A5656" i="4"/>
  <c r="B5655" i="4"/>
  <c r="A5655" i="4"/>
  <c r="B5654" i="4"/>
  <c r="A5654" i="4"/>
  <c r="B5653" i="4"/>
  <c r="A5653" i="4"/>
  <c r="B5652" i="4"/>
  <c r="A5652" i="4"/>
  <c r="B5651" i="4"/>
  <c r="A5651" i="4"/>
  <c r="B5650" i="4"/>
  <c r="A5650" i="4"/>
  <c r="B5649" i="4"/>
  <c r="A5649" i="4"/>
  <c r="B5648" i="4"/>
  <c r="A5648" i="4"/>
  <c r="B5647" i="4"/>
  <c r="A5647" i="4"/>
  <c r="B5646" i="4"/>
  <c r="A5646" i="4"/>
  <c r="B5645" i="4"/>
  <c r="A5645" i="4"/>
  <c r="B5644" i="4"/>
  <c r="A5644" i="4"/>
  <c r="B5643" i="4"/>
  <c r="A5643" i="4"/>
  <c r="B5642" i="4"/>
  <c r="A5642" i="4"/>
  <c r="B5641" i="4"/>
  <c r="A5641" i="4"/>
  <c r="B5640" i="4"/>
  <c r="A5640" i="4"/>
  <c r="B5639" i="4"/>
  <c r="A5639" i="4"/>
  <c r="B5638" i="4"/>
  <c r="A5638" i="4"/>
  <c r="B5637" i="4"/>
  <c r="A5637" i="4"/>
  <c r="B5636" i="4"/>
  <c r="A5636" i="4"/>
  <c r="B5635" i="4"/>
  <c r="A5635" i="4"/>
  <c r="B5634" i="4"/>
  <c r="A5634" i="4"/>
  <c r="B5633" i="4"/>
  <c r="A5633" i="4"/>
  <c r="B5632" i="4"/>
  <c r="A5632" i="4"/>
  <c r="B5631" i="4"/>
  <c r="A5631" i="4"/>
  <c r="B5630" i="4"/>
  <c r="A5630" i="4"/>
  <c r="B5629" i="4"/>
  <c r="A5629" i="4"/>
  <c r="B5628" i="4"/>
  <c r="A5628" i="4"/>
  <c r="B5627" i="4"/>
  <c r="A5627" i="4"/>
  <c r="B5626" i="4"/>
  <c r="A5626" i="4"/>
  <c r="B5625" i="4"/>
  <c r="A5625" i="4"/>
  <c r="B5624" i="4"/>
  <c r="A5624" i="4"/>
  <c r="B5623" i="4"/>
  <c r="A5623" i="4"/>
  <c r="B5622" i="4"/>
  <c r="A5622" i="4"/>
  <c r="B5621" i="4"/>
  <c r="A5621" i="4"/>
  <c r="B5620" i="4"/>
  <c r="A5620" i="4"/>
  <c r="B5619" i="4"/>
  <c r="A5619" i="4"/>
  <c r="B5618" i="4"/>
  <c r="A5618" i="4"/>
  <c r="B5617" i="4"/>
  <c r="A5617" i="4"/>
  <c r="B5616" i="4"/>
  <c r="A5616" i="4"/>
  <c r="B5615" i="4"/>
  <c r="A5615" i="4"/>
  <c r="B5614" i="4"/>
  <c r="A5614" i="4"/>
  <c r="B5613" i="4"/>
  <c r="A5613" i="4"/>
  <c r="B5612" i="4"/>
  <c r="A5612" i="4"/>
  <c r="B5611" i="4"/>
  <c r="A5611" i="4"/>
  <c r="B5610" i="4"/>
  <c r="A5610" i="4"/>
  <c r="B5609" i="4"/>
  <c r="A5609" i="4"/>
  <c r="B5608" i="4"/>
  <c r="A5608" i="4"/>
  <c r="B5607" i="4"/>
  <c r="A5607" i="4"/>
  <c r="B5606" i="4"/>
  <c r="A5606" i="4"/>
  <c r="B5605" i="4"/>
  <c r="A5605" i="4"/>
  <c r="B5604" i="4"/>
  <c r="A5604" i="4"/>
  <c r="B5603" i="4"/>
  <c r="A5603" i="4"/>
  <c r="B5602" i="4"/>
  <c r="A5602" i="4"/>
  <c r="B5601" i="4"/>
  <c r="A5601" i="4"/>
  <c r="B5600" i="4"/>
  <c r="A5600" i="4"/>
  <c r="B5599" i="4"/>
  <c r="A5599" i="4"/>
  <c r="B5598" i="4"/>
  <c r="A5598" i="4"/>
  <c r="B5597" i="4"/>
  <c r="A5597" i="4"/>
  <c r="B5596" i="4"/>
  <c r="A5596" i="4"/>
  <c r="B5595" i="4"/>
  <c r="A5595" i="4"/>
  <c r="B5594" i="4"/>
  <c r="A5594" i="4"/>
  <c r="B5593" i="4"/>
  <c r="A5593" i="4"/>
  <c r="B5592" i="4"/>
  <c r="A5592" i="4"/>
  <c r="B5591" i="4"/>
  <c r="A5591" i="4"/>
  <c r="B5590" i="4"/>
  <c r="A5590" i="4"/>
  <c r="B5589" i="4"/>
  <c r="A5589" i="4"/>
  <c r="B5588" i="4"/>
  <c r="A5588" i="4"/>
  <c r="B5587" i="4"/>
  <c r="A5587" i="4"/>
  <c r="B5586" i="4"/>
  <c r="A5586" i="4"/>
  <c r="B5585" i="4"/>
  <c r="A5585" i="4"/>
  <c r="B5584" i="4"/>
  <c r="A5584" i="4"/>
  <c r="B5583" i="4"/>
  <c r="A5583" i="4"/>
  <c r="B5582" i="4"/>
  <c r="A5582" i="4"/>
  <c r="B5581" i="4"/>
  <c r="A5581" i="4"/>
  <c r="B5580" i="4"/>
  <c r="A5580" i="4"/>
  <c r="B5579" i="4"/>
  <c r="A5579" i="4"/>
  <c r="B5578" i="4"/>
  <c r="A5578" i="4"/>
  <c r="B5577" i="4"/>
  <c r="A5577" i="4"/>
  <c r="B5576" i="4"/>
  <c r="A5576" i="4"/>
  <c r="B5575" i="4"/>
  <c r="A5575" i="4"/>
  <c r="B5574" i="4"/>
  <c r="A5574" i="4"/>
  <c r="B5573" i="4"/>
  <c r="A5573" i="4"/>
  <c r="B5572" i="4"/>
  <c r="A5572" i="4"/>
  <c r="B5571" i="4"/>
  <c r="A5571" i="4"/>
  <c r="B5570" i="4"/>
  <c r="A5570" i="4"/>
  <c r="B5569" i="4"/>
  <c r="A5569" i="4"/>
  <c r="B5568" i="4"/>
  <c r="A5568" i="4"/>
  <c r="B5567" i="4"/>
  <c r="A5567" i="4"/>
  <c r="B5566" i="4"/>
  <c r="A5566" i="4"/>
  <c r="B5565" i="4"/>
  <c r="A5565" i="4"/>
  <c r="B5564" i="4"/>
  <c r="A5564" i="4"/>
  <c r="B5563" i="4"/>
  <c r="A5563" i="4"/>
  <c r="B5562" i="4"/>
  <c r="A5562" i="4"/>
  <c r="B5561" i="4"/>
  <c r="A5561" i="4"/>
  <c r="B5560" i="4"/>
  <c r="A5560" i="4"/>
  <c r="B5559" i="4"/>
  <c r="A5559" i="4"/>
  <c r="B5558" i="4"/>
  <c r="A5558" i="4"/>
  <c r="B5557" i="4"/>
  <c r="A5557" i="4"/>
  <c r="B5556" i="4"/>
  <c r="A5556" i="4"/>
  <c r="B5555" i="4"/>
  <c r="A5555" i="4"/>
  <c r="B5554" i="4"/>
  <c r="A5554" i="4"/>
  <c r="B5553" i="4"/>
  <c r="A5553" i="4"/>
  <c r="B5552" i="4"/>
  <c r="A5552" i="4"/>
  <c r="B5551" i="4"/>
  <c r="A5551" i="4"/>
  <c r="B5550" i="4"/>
  <c r="A5550" i="4"/>
  <c r="B5549" i="4"/>
  <c r="A5549" i="4"/>
  <c r="B5548" i="4"/>
  <c r="A5548" i="4"/>
  <c r="B5547" i="4"/>
  <c r="A5547" i="4"/>
  <c r="B5546" i="4"/>
  <c r="A5546" i="4"/>
  <c r="B5545" i="4"/>
  <c r="A5545" i="4"/>
  <c r="B5544" i="4"/>
  <c r="A5544" i="4"/>
  <c r="B5543" i="4"/>
  <c r="A5543" i="4"/>
  <c r="B5542" i="4"/>
  <c r="A5542" i="4"/>
  <c r="B5541" i="4"/>
  <c r="A5541" i="4"/>
  <c r="B5540" i="4"/>
  <c r="A5540" i="4"/>
  <c r="B5539" i="4"/>
  <c r="A5539" i="4"/>
  <c r="B5538" i="4"/>
  <c r="A5538" i="4"/>
  <c r="B5537" i="4"/>
  <c r="A5537" i="4"/>
  <c r="B5536" i="4"/>
  <c r="A5536" i="4"/>
  <c r="B5535" i="4"/>
  <c r="A5535" i="4"/>
  <c r="B5534" i="4"/>
  <c r="A5534" i="4"/>
  <c r="B5533" i="4"/>
  <c r="A5533" i="4"/>
  <c r="B5532" i="4"/>
  <c r="A5532" i="4"/>
  <c r="B5531" i="4"/>
  <c r="A5531" i="4"/>
  <c r="B5530" i="4"/>
  <c r="A5530" i="4"/>
  <c r="B5529" i="4"/>
  <c r="A5529" i="4"/>
  <c r="B5528" i="4"/>
  <c r="A5528" i="4"/>
  <c r="B5527" i="4"/>
  <c r="A5527" i="4"/>
  <c r="B5526" i="4"/>
  <c r="A5526" i="4"/>
  <c r="B5525" i="4"/>
  <c r="A5525" i="4"/>
  <c r="B5524" i="4"/>
  <c r="A5524" i="4"/>
  <c r="B5523" i="4"/>
  <c r="A5523" i="4"/>
  <c r="B5522" i="4"/>
  <c r="A5522" i="4"/>
  <c r="B5521" i="4"/>
  <c r="A5521" i="4"/>
  <c r="B5520" i="4"/>
  <c r="A5520" i="4"/>
  <c r="B5519" i="4"/>
  <c r="A5519" i="4"/>
  <c r="B5518" i="4"/>
  <c r="A5518" i="4"/>
  <c r="B5517" i="4"/>
  <c r="A5517" i="4"/>
  <c r="B5516" i="4"/>
  <c r="A5516" i="4"/>
  <c r="B5515" i="4"/>
  <c r="A5515" i="4"/>
  <c r="B5514" i="4"/>
  <c r="A5514" i="4"/>
  <c r="B5513" i="4"/>
  <c r="A5513" i="4"/>
  <c r="B5512" i="4"/>
  <c r="A5512" i="4"/>
  <c r="B5511" i="4"/>
  <c r="A5511" i="4"/>
  <c r="B5510" i="4"/>
  <c r="A5510" i="4"/>
  <c r="B5509" i="4"/>
  <c r="A5509" i="4"/>
  <c r="B5508" i="4"/>
  <c r="A5508" i="4"/>
  <c r="B5507" i="4"/>
  <c r="A5507" i="4"/>
  <c r="B5506" i="4"/>
  <c r="A5506" i="4"/>
  <c r="B5505" i="4"/>
  <c r="A5505" i="4"/>
  <c r="B5504" i="4"/>
  <c r="A5504" i="4"/>
  <c r="B5503" i="4"/>
  <c r="A5503" i="4"/>
  <c r="B5502" i="4"/>
  <c r="A5502" i="4"/>
  <c r="B5501" i="4"/>
  <c r="A5501" i="4"/>
  <c r="B5500" i="4"/>
  <c r="A5500" i="4"/>
  <c r="B5499" i="4"/>
  <c r="A5499" i="4"/>
  <c r="B5498" i="4"/>
  <c r="A5498" i="4"/>
  <c r="B5497" i="4"/>
  <c r="A5497" i="4"/>
  <c r="B5496" i="4"/>
  <c r="A5496" i="4"/>
  <c r="B5495" i="4"/>
  <c r="A5495" i="4"/>
  <c r="B5494" i="4"/>
  <c r="A5494" i="4"/>
  <c r="B5493" i="4"/>
  <c r="A5493" i="4"/>
  <c r="B5492" i="4"/>
  <c r="A5492" i="4"/>
  <c r="B5491" i="4"/>
  <c r="A5491" i="4"/>
  <c r="B5490" i="4"/>
  <c r="A5490" i="4"/>
  <c r="B5489" i="4"/>
  <c r="A5489" i="4"/>
  <c r="B5488" i="4"/>
  <c r="A5488" i="4"/>
  <c r="B5487" i="4"/>
  <c r="A5487" i="4"/>
  <c r="B5486" i="4"/>
  <c r="A5486" i="4"/>
  <c r="B5485" i="4"/>
  <c r="A5485" i="4"/>
  <c r="B5484" i="4"/>
  <c r="A5484" i="4"/>
  <c r="B5483" i="4"/>
  <c r="A5483" i="4"/>
  <c r="B5482" i="4"/>
  <c r="A5482" i="4"/>
  <c r="B5481" i="4"/>
  <c r="A5481" i="4"/>
  <c r="B5480" i="4"/>
  <c r="A5480" i="4"/>
  <c r="B5479" i="4"/>
  <c r="A5479" i="4"/>
  <c r="B5478" i="4"/>
  <c r="A5478" i="4"/>
  <c r="B5477" i="4"/>
  <c r="A5477" i="4"/>
  <c r="B5476" i="4"/>
  <c r="A5476" i="4"/>
  <c r="B5475" i="4"/>
  <c r="A5475" i="4"/>
  <c r="B5474" i="4"/>
  <c r="A5474" i="4"/>
  <c r="B5473" i="4"/>
  <c r="A5473" i="4"/>
  <c r="B5472" i="4"/>
  <c r="A5472" i="4"/>
  <c r="B5471" i="4"/>
  <c r="A5471" i="4"/>
  <c r="B5470" i="4"/>
  <c r="A5470" i="4"/>
  <c r="B5469" i="4"/>
  <c r="A5469" i="4"/>
  <c r="B5468" i="4"/>
  <c r="A5468" i="4"/>
  <c r="B5467" i="4"/>
  <c r="A5467" i="4"/>
  <c r="B5466" i="4"/>
  <c r="A5466" i="4"/>
  <c r="B5465" i="4"/>
  <c r="A5465" i="4"/>
  <c r="B5464" i="4"/>
  <c r="A5464" i="4"/>
  <c r="B5463" i="4"/>
  <c r="A5463" i="4"/>
  <c r="B5462" i="4"/>
  <c r="A5462" i="4"/>
  <c r="B5461" i="4"/>
  <c r="A5461" i="4"/>
  <c r="B5460" i="4"/>
  <c r="A5460" i="4"/>
  <c r="B5459" i="4"/>
  <c r="A5459" i="4"/>
  <c r="B5458" i="4"/>
  <c r="A5458" i="4"/>
  <c r="B5457" i="4"/>
  <c r="A5457" i="4"/>
  <c r="B5456" i="4"/>
  <c r="A5456" i="4"/>
  <c r="B5455" i="4"/>
  <c r="A5455" i="4"/>
  <c r="B5454" i="4"/>
  <c r="A5454" i="4"/>
  <c r="B5453" i="4"/>
  <c r="A5453" i="4"/>
  <c r="B5452" i="4"/>
  <c r="A5452" i="4"/>
  <c r="B5451" i="4"/>
  <c r="A5451" i="4"/>
  <c r="B5450" i="4"/>
  <c r="A5450" i="4"/>
  <c r="B5449" i="4"/>
  <c r="A5449" i="4"/>
  <c r="B5448" i="4"/>
  <c r="A5448" i="4"/>
  <c r="B5447" i="4"/>
  <c r="A5447" i="4"/>
  <c r="B5446" i="4"/>
  <c r="A5446" i="4"/>
  <c r="B5445" i="4"/>
  <c r="A5445" i="4"/>
  <c r="B5444" i="4"/>
  <c r="A5444" i="4"/>
  <c r="B5443" i="4"/>
  <c r="A5443" i="4"/>
  <c r="B5442" i="4"/>
  <c r="A5442" i="4"/>
  <c r="B5441" i="4"/>
  <c r="A5441" i="4"/>
  <c r="B5440" i="4"/>
  <c r="A5440" i="4"/>
  <c r="B5439" i="4"/>
  <c r="A5439" i="4"/>
  <c r="B5438" i="4"/>
  <c r="A5438" i="4"/>
  <c r="B5437" i="4"/>
  <c r="A5437" i="4"/>
  <c r="B5436" i="4"/>
  <c r="A5436" i="4"/>
  <c r="B5435" i="4"/>
  <c r="A5435" i="4"/>
  <c r="B5434" i="4"/>
  <c r="A5434" i="4"/>
  <c r="B5433" i="4"/>
  <c r="A5433" i="4"/>
  <c r="B5432" i="4"/>
  <c r="A5432" i="4"/>
  <c r="B5431" i="4"/>
  <c r="A5431" i="4"/>
  <c r="B5430" i="4"/>
  <c r="A5430" i="4"/>
  <c r="B5429" i="4"/>
  <c r="A5429" i="4"/>
  <c r="B5428" i="4"/>
  <c r="A5428" i="4"/>
  <c r="B5427" i="4"/>
  <c r="A5427" i="4"/>
  <c r="B5426" i="4"/>
  <c r="A5426" i="4"/>
  <c r="B5425" i="4"/>
  <c r="A5425" i="4"/>
  <c r="B5424" i="4"/>
  <c r="A5424" i="4"/>
  <c r="B5423" i="4"/>
  <c r="A5423" i="4"/>
  <c r="B5422" i="4"/>
  <c r="A5422" i="4"/>
  <c r="B5421" i="4"/>
  <c r="A5421" i="4"/>
  <c r="B5420" i="4"/>
  <c r="A5420" i="4"/>
  <c r="B5419" i="4"/>
  <c r="A5419" i="4"/>
  <c r="B5418" i="4"/>
  <c r="A5418" i="4"/>
  <c r="B5417" i="4"/>
  <c r="A5417" i="4"/>
  <c r="B5416" i="4"/>
  <c r="A5416" i="4"/>
  <c r="B5415" i="4"/>
  <c r="A5415" i="4"/>
  <c r="B5414" i="4"/>
  <c r="A5414" i="4"/>
  <c r="B5413" i="4"/>
  <c r="A5413" i="4"/>
  <c r="B5412" i="4"/>
  <c r="A5412" i="4"/>
  <c r="B5411" i="4"/>
  <c r="A5411" i="4"/>
  <c r="B5410" i="4"/>
  <c r="A5410" i="4"/>
  <c r="B5409" i="4"/>
  <c r="A5409" i="4"/>
  <c r="B5408" i="4"/>
  <c r="A5408" i="4"/>
  <c r="B5407" i="4"/>
  <c r="A5407" i="4"/>
  <c r="B5406" i="4"/>
  <c r="A5406" i="4"/>
  <c r="B5405" i="4"/>
  <c r="A5405" i="4"/>
  <c r="B5404" i="4"/>
  <c r="A5404" i="4"/>
  <c r="B5403" i="4"/>
  <c r="A5403" i="4"/>
  <c r="B5402" i="4"/>
  <c r="A5402" i="4"/>
  <c r="B5401" i="4"/>
  <c r="A5401" i="4"/>
  <c r="B5400" i="4"/>
  <c r="A5400" i="4"/>
  <c r="B5399" i="4"/>
  <c r="A5399" i="4"/>
  <c r="B5398" i="4"/>
  <c r="A5398" i="4"/>
  <c r="B5397" i="4"/>
  <c r="A5397" i="4"/>
  <c r="B5396" i="4"/>
  <c r="A5396" i="4"/>
  <c r="B5395" i="4"/>
  <c r="A5395" i="4"/>
  <c r="B5394" i="4"/>
  <c r="A5394" i="4"/>
  <c r="B5393" i="4"/>
  <c r="A5393" i="4"/>
  <c r="B5392" i="4"/>
  <c r="A5392" i="4"/>
  <c r="B5391" i="4"/>
  <c r="A5391" i="4"/>
  <c r="B5390" i="4"/>
  <c r="A5390" i="4"/>
  <c r="B5389" i="4"/>
  <c r="A5389" i="4"/>
  <c r="B5388" i="4"/>
  <c r="A5388" i="4"/>
  <c r="B5387" i="4"/>
  <c r="A5387" i="4"/>
  <c r="B5386" i="4"/>
  <c r="A5386" i="4"/>
  <c r="B5385" i="4"/>
  <c r="A5385" i="4"/>
  <c r="B5384" i="4"/>
  <c r="A5384" i="4"/>
  <c r="B5383" i="4"/>
  <c r="A5383" i="4"/>
  <c r="B5382" i="4"/>
  <c r="A5382" i="4"/>
  <c r="B5381" i="4"/>
  <c r="A5381" i="4"/>
  <c r="B5380" i="4"/>
  <c r="A5380" i="4"/>
  <c r="B5379" i="4"/>
  <c r="A5379" i="4"/>
  <c r="B5378" i="4"/>
  <c r="A5378" i="4"/>
  <c r="B5377" i="4"/>
  <c r="A5377" i="4"/>
  <c r="B5376" i="4"/>
  <c r="A5376" i="4"/>
  <c r="B5375" i="4"/>
  <c r="A5375" i="4"/>
  <c r="B5374" i="4"/>
  <c r="A5374" i="4"/>
  <c r="B5373" i="4"/>
  <c r="A5373" i="4"/>
  <c r="B5372" i="4"/>
  <c r="A5372" i="4"/>
  <c r="B5371" i="4"/>
  <c r="A5371" i="4"/>
  <c r="B5370" i="4"/>
  <c r="A5370" i="4"/>
  <c r="B5369" i="4"/>
  <c r="A5369" i="4"/>
  <c r="B5368" i="4"/>
  <c r="A5368" i="4"/>
  <c r="B5367" i="4"/>
  <c r="A5367" i="4"/>
  <c r="B5366" i="4"/>
  <c r="A5366" i="4"/>
  <c r="B5365" i="4"/>
  <c r="A5365" i="4"/>
  <c r="B5364" i="4"/>
  <c r="A5364" i="4"/>
  <c r="B5363" i="4"/>
  <c r="A5363" i="4"/>
  <c r="B5362" i="4"/>
  <c r="A5362" i="4"/>
  <c r="B5361" i="4"/>
  <c r="A5361" i="4"/>
  <c r="B5360" i="4"/>
  <c r="A5360" i="4"/>
  <c r="B5359" i="4"/>
  <c r="A5359" i="4"/>
  <c r="B5358" i="4"/>
  <c r="A5358" i="4"/>
  <c r="B5357" i="4"/>
  <c r="A5357" i="4"/>
  <c r="B5356" i="4"/>
  <c r="A5356" i="4"/>
  <c r="B5355" i="4"/>
  <c r="A5355" i="4"/>
  <c r="B5354" i="4"/>
  <c r="A5354" i="4"/>
  <c r="B5353" i="4"/>
  <c r="A5353" i="4"/>
  <c r="B5352" i="4"/>
  <c r="A5352" i="4"/>
  <c r="B5351" i="4"/>
  <c r="A5351" i="4"/>
  <c r="B5350" i="4"/>
  <c r="A5350" i="4"/>
  <c r="B5349" i="4"/>
  <c r="A5349" i="4"/>
  <c r="B5348" i="4"/>
  <c r="A5348" i="4"/>
  <c r="B5347" i="4"/>
  <c r="A5347" i="4"/>
  <c r="B5346" i="4"/>
  <c r="A5346" i="4"/>
  <c r="B5345" i="4"/>
  <c r="A5345" i="4"/>
  <c r="B5344" i="4"/>
  <c r="A5344" i="4"/>
  <c r="B5343" i="4"/>
  <c r="A5343" i="4"/>
  <c r="B5342" i="4"/>
  <c r="A5342" i="4"/>
  <c r="B5341" i="4"/>
  <c r="A5341" i="4"/>
  <c r="B5340" i="4"/>
  <c r="A5340" i="4"/>
  <c r="B5339" i="4"/>
  <c r="A5339" i="4"/>
  <c r="B5338" i="4"/>
  <c r="A5338" i="4"/>
  <c r="B5337" i="4"/>
  <c r="A5337" i="4"/>
  <c r="B5336" i="4"/>
  <c r="A5336" i="4"/>
  <c r="B5335" i="4"/>
  <c r="A5335" i="4"/>
  <c r="B5334" i="4"/>
  <c r="A5334" i="4"/>
  <c r="B5333" i="4"/>
  <c r="A5333" i="4"/>
  <c r="B5332" i="4"/>
  <c r="A5332" i="4"/>
  <c r="B5331" i="4"/>
  <c r="A5331" i="4"/>
  <c r="B5330" i="4"/>
  <c r="A5330" i="4"/>
  <c r="B5329" i="4"/>
  <c r="A5329" i="4"/>
  <c r="B5328" i="4"/>
  <c r="A5328" i="4"/>
  <c r="B5327" i="4"/>
  <c r="A5327" i="4"/>
  <c r="B5326" i="4"/>
  <c r="A5326" i="4"/>
  <c r="B5325" i="4"/>
  <c r="A5325" i="4"/>
  <c r="B5324" i="4"/>
  <c r="A5324" i="4"/>
  <c r="B5323" i="4"/>
  <c r="A5323" i="4"/>
  <c r="B5322" i="4"/>
  <c r="A5322" i="4"/>
  <c r="B5321" i="4"/>
  <c r="A5321" i="4"/>
  <c r="B5320" i="4"/>
  <c r="A5320" i="4"/>
  <c r="B5319" i="4"/>
  <c r="A5319" i="4"/>
  <c r="B5318" i="4"/>
  <c r="A5318" i="4"/>
  <c r="B5317" i="4"/>
  <c r="A5317" i="4"/>
  <c r="B5316" i="4"/>
  <c r="A5316" i="4"/>
  <c r="B5315" i="4"/>
  <c r="A5315" i="4"/>
  <c r="B5314" i="4"/>
  <c r="A5314" i="4"/>
  <c r="B5313" i="4"/>
  <c r="A5313" i="4"/>
  <c r="B5312" i="4"/>
  <c r="A5312" i="4"/>
  <c r="B5311" i="4"/>
  <c r="A5311" i="4"/>
  <c r="B5310" i="4"/>
  <c r="A5310" i="4"/>
  <c r="B5309" i="4"/>
  <c r="A5309" i="4"/>
  <c r="B5308" i="4"/>
  <c r="A5308" i="4"/>
  <c r="B5307" i="4"/>
  <c r="A5307" i="4"/>
  <c r="B5306" i="4"/>
  <c r="A5306" i="4"/>
  <c r="B5305" i="4"/>
  <c r="A5305" i="4"/>
  <c r="B5304" i="4"/>
  <c r="A5304" i="4"/>
  <c r="B5303" i="4"/>
  <c r="A5303" i="4"/>
  <c r="B5302" i="4"/>
  <c r="A5302" i="4"/>
  <c r="B5301" i="4"/>
  <c r="A5301" i="4"/>
  <c r="B5300" i="4"/>
  <c r="A5300" i="4"/>
  <c r="B5299" i="4"/>
  <c r="A5299" i="4"/>
  <c r="B5298" i="4"/>
  <c r="A5298" i="4"/>
  <c r="B5297" i="4"/>
  <c r="A5297" i="4"/>
  <c r="B5296" i="4"/>
  <c r="A5296" i="4"/>
  <c r="B5295" i="4"/>
  <c r="A5295" i="4"/>
  <c r="B5294" i="4"/>
  <c r="A5294" i="4"/>
  <c r="B5293" i="4"/>
  <c r="A5293" i="4"/>
  <c r="B5292" i="4"/>
  <c r="A5292" i="4"/>
  <c r="B5291" i="4"/>
  <c r="A5291" i="4"/>
  <c r="B5290" i="4"/>
  <c r="A5290" i="4"/>
  <c r="B5289" i="4"/>
  <c r="A5289" i="4"/>
  <c r="B5288" i="4"/>
  <c r="A5288" i="4"/>
  <c r="B5287" i="4"/>
  <c r="A5287" i="4"/>
  <c r="B5286" i="4"/>
  <c r="A5286" i="4"/>
  <c r="B5285" i="4"/>
  <c r="A5285" i="4"/>
  <c r="B5284" i="4"/>
  <c r="A5284" i="4"/>
  <c r="B5283" i="4"/>
  <c r="A5283" i="4"/>
  <c r="B5282" i="4"/>
  <c r="A5282" i="4"/>
  <c r="B5281" i="4"/>
  <c r="A5281" i="4"/>
  <c r="B5280" i="4"/>
  <c r="A5280" i="4"/>
  <c r="B5279" i="4"/>
  <c r="A5279" i="4"/>
  <c r="B5278" i="4"/>
  <c r="A5278" i="4"/>
  <c r="B5277" i="4"/>
  <c r="A5277" i="4"/>
  <c r="B5276" i="4"/>
  <c r="A5276" i="4"/>
  <c r="B5275" i="4"/>
  <c r="A5275" i="4"/>
  <c r="B5274" i="4"/>
  <c r="A5274" i="4"/>
  <c r="B5273" i="4"/>
  <c r="A5273" i="4"/>
  <c r="B5272" i="4"/>
  <c r="A5272" i="4"/>
  <c r="B5271" i="4"/>
  <c r="A5271" i="4"/>
  <c r="B5270" i="4"/>
  <c r="A5270" i="4"/>
  <c r="B5269" i="4"/>
  <c r="A5269" i="4"/>
  <c r="B5268" i="4"/>
  <c r="A5268" i="4"/>
  <c r="B5267" i="4"/>
  <c r="A5267" i="4"/>
  <c r="B5266" i="4"/>
  <c r="A5266" i="4"/>
  <c r="B5265" i="4"/>
  <c r="A5265" i="4"/>
  <c r="B5264" i="4"/>
  <c r="A5264" i="4"/>
  <c r="B5263" i="4"/>
  <c r="A5263" i="4"/>
  <c r="B5262" i="4"/>
  <c r="A5262" i="4"/>
  <c r="B5261" i="4"/>
  <c r="A5261" i="4"/>
  <c r="B5260" i="4"/>
  <c r="A5260" i="4"/>
  <c r="B5259" i="4"/>
  <c r="A5259" i="4"/>
  <c r="B5258" i="4"/>
  <c r="A5258" i="4"/>
  <c r="B5257" i="4"/>
  <c r="A5257" i="4"/>
  <c r="B5256" i="4"/>
  <c r="A5256" i="4"/>
  <c r="B5255" i="4"/>
  <c r="A5255" i="4"/>
  <c r="B5254" i="4"/>
  <c r="A5254" i="4"/>
  <c r="B5253" i="4"/>
  <c r="A5253" i="4"/>
  <c r="B5252" i="4"/>
  <c r="A5252" i="4"/>
  <c r="B5251" i="4"/>
  <c r="A5251" i="4"/>
  <c r="B5250" i="4"/>
  <c r="A5250" i="4"/>
  <c r="B5249" i="4"/>
  <c r="A5249" i="4"/>
  <c r="B5248" i="4"/>
  <c r="A5248" i="4"/>
  <c r="B5247" i="4"/>
  <c r="A5247" i="4"/>
  <c r="B5246" i="4"/>
  <c r="A5246" i="4"/>
  <c r="B5245" i="4"/>
  <c r="A5245" i="4"/>
  <c r="B5244" i="4"/>
  <c r="A5244" i="4"/>
  <c r="B5243" i="4"/>
  <c r="A5243" i="4"/>
  <c r="B5242" i="4"/>
  <c r="A5242" i="4"/>
  <c r="B5241" i="4"/>
  <c r="A5241" i="4"/>
  <c r="B5240" i="4"/>
  <c r="A5240" i="4"/>
  <c r="B5239" i="4"/>
  <c r="A5239" i="4"/>
  <c r="B5238" i="4"/>
  <c r="A5238" i="4"/>
  <c r="B5237" i="4"/>
  <c r="A5237" i="4"/>
  <c r="B5236" i="4"/>
  <c r="A5236" i="4"/>
  <c r="B5235" i="4"/>
  <c r="A5235" i="4"/>
  <c r="B5234" i="4"/>
  <c r="A5234" i="4"/>
  <c r="B5233" i="4"/>
  <c r="A5233" i="4"/>
  <c r="B5232" i="4"/>
  <c r="A5232" i="4"/>
  <c r="B5231" i="4"/>
  <c r="A5231" i="4"/>
  <c r="B5230" i="4"/>
  <c r="A5230" i="4"/>
  <c r="B5229" i="4"/>
  <c r="A5229" i="4"/>
  <c r="B5228" i="4"/>
  <c r="A5228" i="4"/>
  <c r="B5227" i="4"/>
  <c r="A5227" i="4"/>
  <c r="B5226" i="4"/>
  <c r="A5226" i="4"/>
  <c r="B5225" i="4"/>
  <c r="A5225" i="4"/>
  <c r="B5224" i="4"/>
  <c r="A5224" i="4"/>
  <c r="B5223" i="4"/>
  <c r="A5223" i="4"/>
  <c r="B5222" i="4"/>
  <c r="A5222" i="4"/>
  <c r="B5221" i="4"/>
  <c r="A5221" i="4"/>
  <c r="B5220" i="4"/>
  <c r="A5220" i="4"/>
  <c r="B5219" i="4"/>
  <c r="A5219" i="4"/>
  <c r="B5218" i="4"/>
  <c r="A5218" i="4"/>
  <c r="B5217" i="4"/>
  <c r="A5217" i="4"/>
  <c r="B5216" i="4"/>
  <c r="A5216" i="4"/>
  <c r="B5215" i="4"/>
  <c r="A5215" i="4"/>
  <c r="B5214" i="4"/>
  <c r="A5214" i="4"/>
  <c r="B5213" i="4"/>
  <c r="A5213" i="4"/>
  <c r="B5212" i="4"/>
  <c r="A5212" i="4"/>
  <c r="B5211" i="4"/>
  <c r="A5211" i="4"/>
  <c r="B5210" i="4"/>
  <c r="A5210" i="4"/>
  <c r="B5209" i="4"/>
  <c r="A5209" i="4"/>
  <c r="B5208" i="4"/>
  <c r="A5208" i="4"/>
  <c r="B5207" i="4"/>
  <c r="A5207" i="4"/>
  <c r="B5206" i="4"/>
  <c r="A5206" i="4"/>
  <c r="B5205" i="4"/>
  <c r="A5205" i="4"/>
  <c r="B5204" i="4"/>
  <c r="A5204" i="4"/>
  <c r="B5203" i="4"/>
  <c r="A5203" i="4"/>
  <c r="B5202" i="4"/>
  <c r="A5202" i="4"/>
  <c r="B5201" i="4"/>
  <c r="A5201" i="4"/>
  <c r="B5200" i="4"/>
  <c r="A5200" i="4"/>
  <c r="B5199" i="4"/>
  <c r="A5199" i="4"/>
  <c r="B5198" i="4"/>
  <c r="A5198" i="4"/>
  <c r="B5197" i="4"/>
  <c r="A5197" i="4"/>
  <c r="B5196" i="4"/>
  <c r="A5196" i="4"/>
  <c r="B5195" i="4"/>
  <c r="A5195" i="4"/>
  <c r="B5194" i="4"/>
  <c r="A5194" i="4"/>
  <c r="B5193" i="4"/>
  <c r="A5193" i="4"/>
  <c r="B5192" i="4"/>
  <c r="A5192" i="4"/>
  <c r="B5191" i="4"/>
  <c r="A5191" i="4"/>
  <c r="B5190" i="4"/>
  <c r="A5190" i="4"/>
  <c r="B5189" i="4"/>
  <c r="A5189" i="4"/>
  <c r="B5188" i="4"/>
  <c r="A5188" i="4"/>
  <c r="B5187" i="4"/>
  <c r="A5187" i="4"/>
  <c r="B5186" i="4"/>
  <c r="A5186" i="4"/>
  <c r="B5185" i="4"/>
  <c r="A5185" i="4"/>
  <c r="B5184" i="4"/>
  <c r="A5184" i="4"/>
  <c r="B5183" i="4"/>
  <c r="A5183" i="4"/>
  <c r="B5182" i="4"/>
  <c r="A5182" i="4"/>
  <c r="B5181" i="4"/>
  <c r="A5181" i="4"/>
  <c r="B5180" i="4"/>
  <c r="A5180" i="4"/>
  <c r="B5179" i="4"/>
  <c r="A5179" i="4"/>
  <c r="B5178" i="4"/>
  <c r="A5178" i="4"/>
  <c r="B5177" i="4"/>
  <c r="A5177" i="4"/>
  <c r="B5176" i="4"/>
  <c r="A5176" i="4"/>
  <c r="B5175" i="4"/>
  <c r="A5175" i="4"/>
  <c r="B5174" i="4"/>
  <c r="A5174" i="4"/>
  <c r="B5173" i="4"/>
  <c r="A5173" i="4"/>
  <c r="B5172" i="4"/>
  <c r="A5172" i="4"/>
  <c r="B5171" i="4"/>
  <c r="A5171" i="4"/>
  <c r="B5170" i="4"/>
  <c r="A5170" i="4"/>
  <c r="B5169" i="4"/>
  <c r="A5169" i="4"/>
  <c r="B5168" i="4"/>
  <c r="A5168" i="4"/>
  <c r="B5167" i="4"/>
  <c r="A5167" i="4"/>
  <c r="B5166" i="4"/>
  <c r="A5166" i="4"/>
  <c r="B5165" i="4"/>
  <c r="A5165" i="4"/>
  <c r="B5164" i="4"/>
  <c r="A5164" i="4"/>
  <c r="B5163" i="4"/>
  <c r="A5163" i="4"/>
  <c r="B5162" i="4"/>
  <c r="A5162" i="4"/>
  <c r="B5161" i="4"/>
  <c r="A5161" i="4"/>
  <c r="B5160" i="4"/>
  <c r="A5160" i="4"/>
  <c r="B5159" i="4"/>
  <c r="A5159" i="4"/>
  <c r="B5158" i="4"/>
  <c r="A5158" i="4"/>
  <c r="B5157" i="4"/>
  <c r="A5157" i="4"/>
  <c r="B5156" i="4"/>
  <c r="A5156" i="4"/>
  <c r="B5155" i="4"/>
  <c r="A5155" i="4"/>
  <c r="B5154" i="4"/>
  <c r="A5154" i="4"/>
  <c r="B5153" i="4"/>
  <c r="A5153" i="4"/>
  <c r="B5152" i="4"/>
  <c r="A5152" i="4"/>
  <c r="B5151" i="4"/>
  <c r="A5151" i="4"/>
  <c r="B5150" i="4"/>
  <c r="A5150" i="4"/>
  <c r="B5149" i="4"/>
  <c r="A5149" i="4"/>
  <c r="B5148" i="4"/>
  <c r="A5148" i="4"/>
  <c r="B5147" i="4"/>
  <c r="A5147" i="4"/>
  <c r="B5146" i="4"/>
  <c r="A5146" i="4"/>
  <c r="B5145" i="4"/>
  <c r="A5145" i="4"/>
  <c r="B5144" i="4"/>
  <c r="A5144" i="4"/>
  <c r="B5143" i="4"/>
  <c r="A5143" i="4"/>
  <c r="B5142" i="4"/>
  <c r="A5142" i="4"/>
  <c r="B5141" i="4"/>
  <c r="A5141" i="4"/>
  <c r="B5140" i="4"/>
  <c r="A5140" i="4"/>
  <c r="B5139" i="4"/>
  <c r="A5139" i="4"/>
  <c r="B5138" i="4"/>
  <c r="A5138" i="4"/>
  <c r="B5137" i="4"/>
  <c r="A5137" i="4"/>
  <c r="B5136" i="4"/>
  <c r="A5136" i="4"/>
  <c r="B5135" i="4"/>
  <c r="A5135" i="4"/>
  <c r="B5134" i="4"/>
  <c r="A5134" i="4"/>
  <c r="B5133" i="4"/>
  <c r="A5133" i="4"/>
  <c r="B5132" i="4"/>
  <c r="A5132" i="4"/>
  <c r="B5131" i="4"/>
  <c r="A5131" i="4"/>
  <c r="B5130" i="4"/>
  <c r="A5130" i="4"/>
  <c r="B5129" i="4"/>
  <c r="A5129" i="4"/>
  <c r="B5128" i="4"/>
  <c r="A5128" i="4"/>
  <c r="B5127" i="4"/>
  <c r="A5127" i="4"/>
  <c r="B5126" i="4"/>
  <c r="A5126" i="4"/>
  <c r="B5125" i="4"/>
  <c r="A5125" i="4"/>
  <c r="B5124" i="4"/>
  <c r="A5124" i="4"/>
  <c r="B5123" i="4"/>
  <c r="A5123" i="4"/>
  <c r="B5122" i="4"/>
  <c r="A5122" i="4"/>
  <c r="B5121" i="4"/>
  <c r="A5121" i="4"/>
  <c r="B5120" i="4"/>
  <c r="A5120" i="4"/>
  <c r="B5119" i="4"/>
  <c r="A5119" i="4"/>
  <c r="B5118" i="4"/>
  <c r="A5118" i="4"/>
  <c r="B5117" i="4"/>
  <c r="A5117" i="4"/>
  <c r="B5116" i="4"/>
  <c r="A5116" i="4"/>
  <c r="B5115" i="4"/>
  <c r="A5115" i="4"/>
  <c r="B5114" i="4"/>
  <c r="A5114" i="4"/>
  <c r="B5113" i="4"/>
  <c r="A5113" i="4"/>
  <c r="B5112" i="4"/>
  <c r="A5112" i="4"/>
  <c r="B5111" i="4"/>
  <c r="A5111" i="4"/>
  <c r="B5110" i="4"/>
  <c r="A5110" i="4"/>
  <c r="B5109" i="4"/>
  <c r="A5109" i="4"/>
  <c r="B5108" i="4"/>
  <c r="A5108" i="4"/>
  <c r="B5107" i="4"/>
  <c r="A5107" i="4"/>
  <c r="B5106" i="4"/>
  <c r="A5106" i="4"/>
  <c r="B5105" i="4"/>
  <c r="A5105" i="4"/>
  <c r="B5104" i="4"/>
  <c r="A5104" i="4"/>
  <c r="B5103" i="4"/>
  <c r="A5103" i="4"/>
  <c r="B5102" i="4"/>
  <c r="A5102" i="4"/>
  <c r="B5101" i="4"/>
  <c r="A5101" i="4"/>
  <c r="B5100" i="4"/>
  <c r="A5100" i="4"/>
  <c r="B5099" i="4"/>
  <c r="A5099" i="4"/>
  <c r="B5098" i="4"/>
  <c r="A5098" i="4"/>
  <c r="B5097" i="4"/>
  <c r="A5097" i="4"/>
  <c r="B5096" i="4"/>
  <c r="A5096" i="4"/>
  <c r="B5095" i="4"/>
  <c r="A5095" i="4"/>
  <c r="B5094" i="4"/>
  <c r="A5094" i="4"/>
  <c r="B5093" i="4"/>
  <c r="A5093" i="4"/>
  <c r="B5092" i="4"/>
  <c r="A5092" i="4"/>
  <c r="B5091" i="4"/>
  <c r="A5091" i="4"/>
  <c r="B5090" i="4"/>
  <c r="A5090" i="4"/>
  <c r="B5089" i="4"/>
  <c r="A5089" i="4"/>
  <c r="B5088" i="4"/>
  <c r="A5088" i="4"/>
  <c r="B5087" i="4"/>
  <c r="A5087" i="4"/>
  <c r="B5086" i="4"/>
  <c r="A5086" i="4"/>
  <c r="B5085" i="4"/>
  <c r="A5085" i="4"/>
  <c r="B5084" i="4"/>
  <c r="A5084" i="4"/>
  <c r="B5083" i="4"/>
  <c r="A5083" i="4"/>
  <c r="B5082" i="4"/>
  <c r="A5082" i="4"/>
  <c r="B5081" i="4"/>
  <c r="A5081" i="4"/>
  <c r="B5080" i="4"/>
  <c r="A5080" i="4"/>
  <c r="B5079" i="4"/>
  <c r="A5079" i="4"/>
  <c r="B5078" i="4"/>
  <c r="A5078" i="4"/>
  <c r="B5077" i="4"/>
  <c r="A5077" i="4"/>
  <c r="B5076" i="4"/>
  <c r="A5076" i="4"/>
  <c r="B5075" i="4"/>
  <c r="A5075" i="4"/>
  <c r="B5074" i="4"/>
  <c r="A5074" i="4"/>
  <c r="B5073" i="4"/>
  <c r="A5073" i="4"/>
  <c r="B5072" i="4"/>
  <c r="A5072" i="4"/>
  <c r="B5071" i="4"/>
  <c r="A5071" i="4"/>
  <c r="B5070" i="4"/>
  <c r="A5070" i="4"/>
  <c r="B5069" i="4"/>
  <c r="A5069" i="4"/>
  <c r="B5068" i="4"/>
  <c r="A5068" i="4"/>
  <c r="B5067" i="4"/>
  <c r="A5067" i="4"/>
  <c r="B5066" i="4"/>
  <c r="A5066" i="4"/>
  <c r="B5065" i="4"/>
  <c r="A5065" i="4"/>
  <c r="B5064" i="4"/>
  <c r="A5064" i="4"/>
  <c r="B5063" i="4"/>
  <c r="A5063" i="4"/>
  <c r="B5062" i="4"/>
  <c r="A5062" i="4"/>
  <c r="B5061" i="4"/>
  <c r="A5061" i="4"/>
  <c r="B5060" i="4"/>
  <c r="A5060" i="4"/>
  <c r="B5059" i="4"/>
  <c r="A5059" i="4"/>
  <c r="B5058" i="4"/>
  <c r="A5058" i="4"/>
  <c r="B5057" i="4"/>
  <c r="A5057" i="4"/>
  <c r="B5056" i="4"/>
  <c r="A5056" i="4"/>
  <c r="B5055" i="4"/>
  <c r="A5055" i="4"/>
  <c r="B5054" i="4"/>
  <c r="A5054" i="4"/>
  <c r="B5053" i="4"/>
  <c r="A5053" i="4"/>
  <c r="B5052" i="4"/>
  <c r="A5052" i="4"/>
  <c r="B5051" i="4"/>
  <c r="A5051" i="4"/>
  <c r="B5050" i="4"/>
  <c r="A5050" i="4"/>
  <c r="B5049" i="4"/>
  <c r="A5049" i="4"/>
  <c r="B5048" i="4"/>
  <c r="A5048" i="4"/>
  <c r="B5047" i="4"/>
  <c r="A5047" i="4"/>
  <c r="B5046" i="4"/>
  <c r="A5046" i="4"/>
  <c r="B5045" i="4"/>
  <c r="A5045" i="4"/>
  <c r="B5044" i="4"/>
  <c r="A5044" i="4"/>
  <c r="B5043" i="4"/>
  <c r="A5043" i="4"/>
  <c r="B5042" i="4"/>
  <c r="A5042" i="4"/>
  <c r="B5041" i="4"/>
  <c r="A5041" i="4"/>
  <c r="B5040" i="4"/>
  <c r="A5040" i="4"/>
  <c r="B5039" i="4"/>
  <c r="A5039" i="4"/>
  <c r="B5038" i="4"/>
  <c r="A5038" i="4"/>
  <c r="B5037" i="4"/>
  <c r="A5037" i="4"/>
  <c r="B5036" i="4"/>
  <c r="A5036" i="4"/>
  <c r="B5035" i="4"/>
  <c r="A5035" i="4"/>
  <c r="B5034" i="4"/>
  <c r="A5034" i="4"/>
  <c r="B5033" i="4"/>
  <c r="A5033" i="4"/>
  <c r="B5032" i="4"/>
  <c r="A5032" i="4"/>
  <c r="B5031" i="4"/>
  <c r="A5031" i="4"/>
  <c r="B5030" i="4"/>
  <c r="A5030" i="4"/>
  <c r="B5029" i="4"/>
  <c r="A5029" i="4"/>
  <c r="B5028" i="4"/>
  <c r="A5028" i="4"/>
  <c r="B5027" i="4"/>
  <c r="A5027" i="4"/>
  <c r="B5026" i="4"/>
  <c r="A5026" i="4"/>
  <c r="B5025" i="4"/>
  <c r="A5025" i="4"/>
  <c r="B5024" i="4"/>
  <c r="A5024" i="4"/>
  <c r="B5023" i="4"/>
  <c r="A5023" i="4"/>
  <c r="B5022" i="4"/>
  <c r="A5022" i="4"/>
  <c r="B5021" i="4"/>
  <c r="A5021" i="4"/>
  <c r="B5020" i="4"/>
  <c r="A5020" i="4"/>
  <c r="B5019" i="4"/>
  <c r="A5019" i="4"/>
  <c r="B5018" i="4"/>
  <c r="A5018" i="4"/>
  <c r="B5017" i="4"/>
  <c r="A5017" i="4"/>
  <c r="B5016" i="4"/>
  <c r="A5016" i="4"/>
  <c r="B5015" i="4"/>
  <c r="A5015" i="4"/>
  <c r="B5014" i="4"/>
  <c r="A5014" i="4"/>
  <c r="B5013" i="4"/>
  <c r="A5013" i="4"/>
  <c r="B5012" i="4"/>
  <c r="A5012" i="4"/>
  <c r="B5011" i="4"/>
  <c r="A5011" i="4"/>
  <c r="B5010" i="4"/>
  <c r="A5010" i="4"/>
  <c r="B5009" i="4"/>
  <c r="A5009" i="4"/>
  <c r="B5008" i="4"/>
  <c r="A5008" i="4"/>
  <c r="B5007" i="4"/>
  <c r="A5007" i="4"/>
  <c r="B5006" i="4"/>
  <c r="A5006" i="4"/>
  <c r="B5005" i="4"/>
  <c r="A5005" i="4"/>
  <c r="B5004" i="4"/>
  <c r="A5004" i="4"/>
  <c r="B5003" i="4"/>
  <c r="A5003" i="4"/>
  <c r="B5002" i="4"/>
  <c r="A5002" i="4"/>
  <c r="B5001" i="4"/>
  <c r="A5001" i="4"/>
  <c r="B5000" i="4"/>
  <c r="A5000" i="4"/>
  <c r="B4999" i="4"/>
  <c r="A4999" i="4"/>
  <c r="B4998" i="4"/>
  <c r="A4998" i="4"/>
  <c r="B4997" i="4"/>
  <c r="A4997" i="4"/>
  <c r="B4996" i="4"/>
  <c r="A4996" i="4"/>
  <c r="B4995" i="4"/>
  <c r="A4995" i="4"/>
  <c r="B4994" i="4"/>
  <c r="A4994" i="4"/>
  <c r="B4993" i="4"/>
  <c r="A4993" i="4"/>
  <c r="B4992" i="4"/>
  <c r="A4992" i="4"/>
  <c r="B4991" i="4"/>
  <c r="A4991" i="4"/>
  <c r="B4990" i="4"/>
  <c r="A4990" i="4"/>
  <c r="B4989" i="4"/>
  <c r="A4989" i="4"/>
  <c r="B4988" i="4"/>
  <c r="A4988" i="4"/>
  <c r="B4987" i="4"/>
  <c r="A4987" i="4"/>
  <c r="B4986" i="4"/>
  <c r="A4986" i="4"/>
  <c r="B4985" i="4"/>
  <c r="A4985" i="4"/>
  <c r="B4984" i="4"/>
  <c r="A4984" i="4"/>
  <c r="B4983" i="4"/>
  <c r="A4983" i="4"/>
  <c r="B4982" i="4"/>
  <c r="A4982" i="4"/>
  <c r="B4981" i="4"/>
  <c r="A4981" i="4"/>
  <c r="B4980" i="4"/>
  <c r="A4980" i="4"/>
  <c r="B4979" i="4"/>
  <c r="A4979" i="4"/>
  <c r="B4978" i="4"/>
  <c r="A4978" i="4"/>
  <c r="B4977" i="4"/>
  <c r="A4977" i="4"/>
  <c r="B4976" i="4"/>
  <c r="A4976" i="4"/>
  <c r="B4975" i="4"/>
  <c r="A4975" i="4"/>
  <c r="B4974" i="4"/>
  <c r="A4974" i="4"/>
  <c r="B4973" i="4"/>
  <c r="A4973" i="4"/>
  <c r="B4972" i="4"/>
  <c r="A4972" i="4"/>
  <c r="B4971" i="4"/>
  <c r="A4971" i="4"/>
  <c r="B4970" i="4"/>
  <c r="A4970" i="4"/>
  <c r="B4969" i="4"/>
  <c r="A4969" i="4"/>
  <c r="B4968" i="4"/>
  <c r="A4968" i="4"/>
  <c r="B4967" i="4"/>
  <c r="A4967" i="4"/>
  <c r="B4966" i="4"/>
  <c r="A4966" i="4"/>
  <c r="B4965" i="4"/>
  <c r="A4965" i="4"/>
  <c r="B4964" i="4"/>
  <c r="A4964" i="4"/>
  <c r="B4963" i="4"/>
  <c r="A4963" i="4"/>
  <c r="B4962" i="4"/>
  <c r="A4962" i="4"/>
  <c r="B4961" i="4"/>
  <c r="A4961" i="4"/>
  <c r="B4960" i="4"/>
  <c r="A4960" i="4"/>
  <c r="B4959" i="4"/>
  <c r="A4959" i="4"/>
  <c r="B4958" i="4"/>
  <c r="A4958" i="4"/>
  <c r="B4957" i="4"/>
  <c r="A4957" i="4"/>
  <c r="B4956" i="4"/>
  <c r="A4956" i="4"/>
  <c r="B4955" i="4"/>
  <c r="A4955" i="4"/>
  <c r="B4954" i="4"/>
  <c r="A4954" i="4"/>
  <c r="B4953" i="4"/>
  <c r="A4953" i="4"/>
  <c r="B4952" i="4"/>
  <c r="A4952" i="4"/>
  <c r="B4951" i="4"/>
  <c r="A4951" i="4"/>
  <c r="B4950" i="4"/>
  <c r="A4950" i="4"/>
  <c r="B4949" i="4"/>
  <c r="A4949" i="4"/>
  <c r="B4948" i="4"/>
  <c r="A4948" i="4"/>
  <c r="B4947" i="4"/>
  <c r="A4947" i="4"/>
  <c r="B4946" i="4"/>
  <c r="A4946" i="4"/>
  <c r="B4945" i="4"/>
  <c r="A4945" i="4"/>
  <c r="B4944" i="4"/>
  <c r="A4944" i="4"/>
  <c r="B4943" i="4"/>
  <c r="A4943" i="4"/>
  <c r="B4942" i="4"/>
  <c r="A4942" i="4"/>
  <c r="B4941" i="4"/>
  <c r="A4941" i="4"/>
  <c r="B4940" i="4"/>
  <c r="A4940" i="4"/>
  <c r="B4939" i="4"/>
  <c r="A4939" i="4"/>
  <c r="B4938" i="4"/>
  <c r="A4938" i="4"/>
  <c r="B4937" i="4"/>
  <c r="A4937" i="4"/>
  <c r="B4936" i="4"/>
  <c r="A4936" i="4"/>
  <c r="B4935" i="4"/>
  <c r="A4935" i="4"/>
  <c r="B4934" i="4"/>
  <c r="A4934" i="4"/>
  <c r="B4933" i="4"/>
  <c r="A4933" i="4"/>
  <c r="B4932" i="4"/>
  <c r="A4932" i="4"/>
  <c r="B4931" i="4"/>
  <c r="A4931" i="4"/>
  <c r="B4930" i="4"/>
  <c r="A4930" i="4"/>
  <c r="B4929" i="4"/>
  <c r="A4929" i="4"/>
  <c r="B4928" i="4"/>
  <c r="A4928" i="4"/>
  <c r="B4927" i="4"/>
  <c r="A4927" i="4"/>
  <c r="B4926" i="4"/>
  <c r="A4926" i="4"/>
  <c r="B4925" i="4"/>
  <c r="A4925" i="4"/>
  <c r="B4924" i="4"/>
  <c r="A4924" i="4"/>
  <c r="B4923" i="4"/>
  <c r="A4923" i="4"/>
  <c r="B4922" i="4"/>
  <c r="A4922" i="4"/>
  <c r="B4921" i="4"/>
  <c r="A4921" i="4"/>
  <c r="B4920" i="4"/>
  <c r="A4920" i="4"/>
  <c r="B4919" i="4"/>
  <c r="A4919" i="4"/>
  <c r="B4918" i="4"/>
  <c r="A4918" i="4"/>
  <c r="B4917" i="4"/>
  <c r="A4917" i="4"/>
  <c r="B4916" i="4"/>
  <c r="A4916" i="4"/>
  <c r="B4915" i="4"/>
  <c r="A4915" i="4"/>
  <c r="B4914" i="4"/>
  <c r="A4914" i="4"/>
  <c r="B4913" i="4"/>
  <c r="A4913" i="4"/>
  <c r="B4912" i="4"/>
  <c r="A4912" i="4"/>
  <c r="B4911" i="4"/>
  <c r="A4911" i="4"/>
  <c r="B4910" i="4"/>
  <c r="A4910" i="4"/>
  <c r="B4909" i="4"/>
  <c r="A4909" i="4"/>
  <c r="B4908" i="4"/>
  <c r="A4908" i="4"/>
  <c r="B4907" i="4"/>
  <c r="A4907" i="4"/>
  <c r="B4906" i="4"/>
  <c r="A4906" i="4"/>
  <c r="B4905" i="4"/>
  <c r="A4905" i="4"/>
  <c r="B4904" i="4"/>
  <c r="A4904" i="4"/>
  <c r="B4903" i="4"/>
  <c r="A4903" i="4"/>
  <c r="B4902" i="4"/>
  <c r="A4902" i="4"/>
  <c r="B4901" i="4"/>
  <c r="A4901" i="4"/>
  <c r="B4900" i="4"/>
  <c r="A4900" i="4"/>
  <c r="B4899" i="4"/>
  <c r="A4899" i="4"/>
  <c r="B4898" i="4"/>
  <c r="A4898" i="4"/>
  <c r="B4897" i="4"/>
  <c r="A4897" i="4"/>
  <c r="B4896" i="4"/>
  <c r="A4896" i="4"/>
  <c r="B4895" i="4"/>
  <c r="A4895" i="4"/>
  <c r="B4894" i="4"/>
  <c r="A4894" i="4"/>
  <c r="B4893" i="4"/>
  <c r="A4893" i="4"/>
  <c r="B4892" i="4"/>
  <c r="A4892" i="4"/>
  <c r="B4891" i="4"/>
  <c r="A4891" i="4"/>
  <c r="B4890" i="4"/>
  <c r="A4890" i="4"/>
  <c r="B4889" i="4"/>
  <c r="A4889" i="4"/>
  <c r="B4888" i="4"/>
  <c r="A4888" i="4"/>
  <c r="B4887" i="4"/>
  <c r="A4887" i="4"/>
  <c r="B4886" i="4"/>
  <c r="A4886" i="4"/>
  <c r="B4885" i="4"/>
  <c r="A4885" i="4"/>
  <c r="B4884" i="4"/>
  <c r="A4884" i="4"/>
  <c r="B4883" i="4"/>
  <c r="A4883" i="4"/>
  <c r="B4882" i="4"/>
  <c r="A4882" i="4"/>
  <c r="B4881" i="4"/>
  <c r="A4881" i="4"/>
  <c r="B4880" i="4"/>
  <c r="A4880" i="4"/>
  <c r="B4879" i="4"/>
  <c r="A4879" i="4"/>
  <c r="B4878" i="4"/>
  <c r="A4878" i="4"/>
  <c r="B4877" i="4"/>
  <c r="A4877" i="4"/>
  <c r="B4876" i="4"/>
  <c r="A4876" i="4"/>
  <c r="B4875" i="4"/>
  <c r="A4875" i="4"/>
  <c r="B4874" i="4"/>
  <c r="A4874" i="4"/>
  <c r="B4873" i="4"/>
  <c r="A4873" i="4"/>
  <c r="B4872" i="4"/>
  <c r="A4872" i="4"/>
  <c r="B4871" i="4"/>
  <c r="A4871" i="4"/>
  <c r="B4870" i="4"/>
  <c r="A4870" i="4"/>
  <c r="B4869" i="4"/>
  <c r="A4869" i="4"/>
  <c r="B4868" i="4"/>
  <c r="A4868" i="4"/>
  <c r="B4867" i="4"/>
  <c r="A4867" i="4"/>
  <c r="B4866" i="4"/>
  <c r="A4866" i="4"/>
  <c r="B4865" i="4"/>
  <c r="A4865" i="4"/>
  <c r="B4864" i="4"/>
  <c r="A4864" i="4"/>
  <c r="B4863" i="4"/>
  <c r="A4863" i="4"/>
  <c r="B4862" i="4"/>
  <c r="A4862" i="4"/>
  <c r="B4861" i="4"/>
  <c r="A4861" i="4"/>
  <c r="B4860" i="4"/>
  <c r="A4860" i="4"/>
  <c r="B4859" i="4"/>
  <c r="A4859" i="4"/>
  <c r="B4858" i="4"/>
  <c r="A4858" i="4"/>
  <c r="B4857" i="4"/>
  <c r="A4857" i="4"/>
  <c r="B4856" i="4"/>
  <c r="A4856" i="4"/>
  <c r="B4855" i="4"/>
  <c r="A4855" i="4"/>
  <c r="B4854" i="4"/>
  <c r="A4854" i="4"/>
  <c r="B4853" i="4"/>
  <c r="A4853" i="4"/>
  <c r="B4852" i="4"/>
  <c r="A4852" i="4"/>
  <c r="B4851" i="4"/>
  <c r="A4851" i="4"/>
  <c r="B4850" i="4"/>
  <c r="A4850" i="4"/>
  <c r="B4849" i="4"/>
  <c r="A4849" i="4"/>
  <c r="B4848" i="4"/>
  <c r="A4848" i="4"/>
  <c r="B4847" i="4"/>
  <c r="A4847" i="4"/>
  <c r="B4846" i="4"/>
  <c r="A4846" i="4"/>
  <c r="B4845" i="4"/>
  <c r="A4845" i="4"/>
  <c r="B4844" i="4"/>
  <c r="A4844" i="4"/>
  <c r="B4843" i="4"/>
  <c r="A4843" i="4"/>
  <c r="B4842" i="4"/>
  <c r="A4842" i="4"/>
  <c r="B4841" i="4"/>
  <c r="A4841" i="4"/>
  <c r="B4840" i="4"/>
  <c r="A4840" i="4"/>
  <c r="B4839" i="4"/>
  <c r="A4839" i="4"/>
  <c r="B4838" i="4"/>
  <c r="A4838" i="4"/>
  <c r="B4837" i="4"/>
  <c r="A4837" i="4"/>
  <c r="B4836" i="4"/>
  <c r="A4836" i="4"/>
  <c r="B4835" i="4"/>
  <c r="A4835" i="4"/>
  <c r="B4834" i="4"/>
  <c r="A4834" i="4"/>
  <c r="B4833" i="4"/>
  <c r="A4833" i="4"/>
  <c r="B4832" i="4"/>
  <c r="A4832" i="4"/>
  <c r="B4831" i="4"/>
  <c r="A4831" i="4"/>
  <c r="B4830" i="4"/>
  <c r="A4830" i="4"/>
  <c r="B4829" i="4"/>
  <c r="A4829" i="4"/>
  <c r="B4828" i="4"/>
  <c r="A4828" i="4"/>
  <c r="B4827" i="4"/>
  <c r="A4827" i="4"/>
  <c r="B4826" i="4"/>
  <c r="A4826" i="4"/>
  <c r="B4825" i="4"/>
  <c r="A4825" i="4"/>
  <c r="B4824" i="4"/>
  <c r="A4824" i="4"/>
  <c r="B4823" i="4"/>
  <c r="A4823" i="4"/>
  <c r="B4822" i="4"/>
  <c r="A4822" i="4"/>
  <c r="B4821" i="4"/>
  <c r="A4821" i="4"/>
  <c r="B4820" i="4"/>
  <c r="A4820" i="4"/>
  <c r="B4819" i="4"/>
  <c r="A4819" i="4"/>
  <c r="B4818" i="4"/>
  <c r="A4818" i="4"/>
  <c r="B4817" i="4"/>
  <c r="A4817" i="4"/>
  <c r="B4816" i="4"/>
  <c r="A4816" i="4"/>
  <c r="B4815" i="4"/>
  <c r="A4815" i="4"/>
  <c r="B4814" i="4"/>
  <c r="A4814" i="4"/>
  <c r="B4813" i="4"/>
  <c r="A4813" i="4"/>
  <c r="B4812" i="4"/>
  <c r="A4812" i="4"/>
  <c r="B4811" i="4"/>
  <c r="A4811" i="4"/>
  <c r="B4810" i="4"/>
  <c r="A4810" i="4"/>
  <c r="B4809" i="4"/>
  <c r="A4809" i="4"/>
  <c r="B4808" i="4"/>
  <c r="A4808" i="4"/>
  <c r="B4807" i="4"/>
  <c r="A4807" i="4"/>
  <c r="B4806" i="4"/>
  <c r="A4806" i="4"/>
  <c r="B4805" i="4"/>
  <c r="A4805" i="4"/>
  <c r="B4804" i="4"/>
  <c r="A4804" i="4"/>
  <c r="B4803" i="4"/>
  <c r="A4803" i="4"/>
  <c r="B4802" i="4"/>
  <c r="A4802" i="4"/>
  <c r="B4801" i="4"/>
  <c r="A4801" i="4"/>
  <c r="B4800" i="4"/>
  <c r="A4800" i="4"/>
  <c r="B4799" i="4"/>
  <c r="A4799" i="4"/>
  <c r="B4798" i="4"/>
  <c r="A4798" i="4"/>
  <c r="B4797" i="4"/>
  <c r="A4797" i="4"/>
  <c r="B4796" i="4"/>
  <c r="A4796" i="4"/>
  <c r="B4795" i="4"/>
  <c r="A4795" i="4"/>
  <c r="B4794" i="4"/>
  <c r="A4794" i="4"/>
  <c r="B4793" i="4"/>
  <c r="A4793" i="4"/>
  <c r="B4792" i="4"/>
  <c r="A4792" i="4"/>
  <c r="B4791" i="4"/>
  <c r="A4791" i="4"/>
  <c r="B4790" i="4"/>
  <c r="A4790" i="4"/>
  <c r="B4789" i="4"/>
  <c r="A4789" i="4"/>
  <c r="B4788" i="4"/>
  <c r="A4788" i="4"/>
  <c r="B4787" i="4"/>
  <c r="A4787" i="4"/>
  <c r="B4786" i="4"/>
  <c r="A4786" i="4"/>
  <c r="B4785" i="4"/>
  <c r="A4785" i="4"/>
  <c r="B4784" i="4"/>
  <c r="A4784" i="4"/>
  <c r="B4783" i="4"/>
  <c r="A4783" i="4"/>
  <c r="B4782" i="4"/>
  <c r="A4782" i="4"/>
  <c r="B4781" i="4"/>
  <c r="A4781" i="4"/>
  <c r="B4780" i="4"/>
  <c r="A4780" i="4"/>
  <c r="B4779" i="4"/>
  <c r="A4779" i="4"/>
  <c r="B4778" i="4"/>
  <c r="A4778" i="4"/>
  <c r="B4777" i="4"/>
  <c r="A4777" i="4"/>
  <c r="B4776" i="4"/>
  <c r="A4776" i="4"/>
  <c r="B4775" i="4"/>
  <c r="A4775" i="4"/>
  <c r="B4774" i="4"/>
  <c r="A4774" i="4"/>
  <c r="B4773" i="4"/>
  <c r="A4773" i="4"/>
  <c r="B4772" i="4"/>
  <c r="A4772" i="4"/>
  <c r="B4771" i="4"/>
  <c r="A4771" i="4"/>
  <c r="B4770" i="4"/>
  <c r="A4770" i="4"/>
  <c r="B4769" i="4"/>
  <c r="A4769" i="4"/>
  <c r="B4768" i="4"/>
  <c r="A4768" i="4"/>
  <c r="B4767" i="4"/>
  <c r="A4767" i="4"/>
  <c r="B4766" i="4"/>
  <c r="A4766" i="4"/>
  <c r="B4765" i="4"/>
  <c r="A4765" i="4"/>
  <c r="B4764" i="4"/>
  <c r="A4764" i="4"/>
  <c r="B4763" i="4"/>
  <c r="A4763" i="4"/>
  <c r="B4762" i="4"/>
  <c r="A4762" i="4"/>
  <c r="B4761" i="4"/>
  <c r="A4761" i="4"/>
  <c r="B4760" i="4"/>
  <c r="A4760" i="4"/>
  <c r="B4759" i="4"/>
  <c r="A4759" i="4"/>
  <c r="B4758" i="4"/>
  <c r="A4758" i="4"/>
  <c r="B4757" i="4"/>
  <c r="A4757" i="4"/>
  <c r="B4756" i="4"/>
  <c r="A4756" i="4"/>
  <c r="B4755" i="4"/>
  <c r="A4755" i="4"/>
  <c r="B4754" i="4"/>
  <c r="A4754" i="4"/>
  <c r="B4753" i="4"/>
  <c r="A4753" i="4"/>
  <c r="B4752" i="4"/>
  <c r="A4752" i="4"/>
  <c r="B4751" i="4"/>
  <c r="A4751" i="4"/>
  <c r="B4750" i="4"/>
  <c r="A4750" i="4"/>
  <c r="B4749" i="4"/>
  <c r="A4749" i="4"/>
  <c r="B4748" i="4"/>
  <c r="A4748" i="4"/>
  <c r="B4747" i="4"/>
  <c r="A4747" i="4"/>
  <c r="B4746" i="4"/>
  <c r="A4746" i="4"/>
  <c r="B4745" i="4"/>
  <c r="A4745" i="4"/>
  <c r="B4744" i="4"/>
  <c r="A4744" i="4"/>
  <c r="B4743" i="4"/>
  <c r="A4743" i="4"/>
  <c r="B4742" i="4"/>
  <c r="A4742" i="4"/>
  <c r="B4741" i="4"/>
  <c r="A4741" i="4"/>
  <c r="B4740" i="4"/>
  <c r="A4740" i="4"/>
  <c r="B4739" i="4"/>
  <c r="A4739" i="4"/>
  <c r="B4738" i="4"/>
  <c r="A4738" i="4"/>
  <c r="B4737" i="4"/>
  <c r="A4737" i="4"/>
  <c r="B4736" i="4"/>
  <c r="A4736" i="4"/>
  <c r="B4735" i="4"/>
  <c r="A4735" i="4"/>
  <c r="B4734" i="4"/>
  <c r="A4734" i="4"/>
  <c r="B4733" i="4"/>
  <c r="A4733" i="4"/>
  <c r="B4732" i="4"/>
  <c r="A4732" i="4"/>
  <c r="B4731" i="4"/>
  <c r="A4731" i="4"/>
  <c r="B4730" i="4"/>
  <c r="A4730" i="4"/>
  <c r="B4729" i="4"/>
  <c r="A4729" i="4"/>
  <c r="B4728" i="4"/>
  <c r="A4728" i="4"/>
  <c r="B4727" i="4"/>
  <c r="A4727" i="4"/>
  <c r="B4726" i="4"/>
  <c r="A4726" i="4"/>
  <c r="B4725" i="4"/>
  <c r="A4725" i="4"/>
  <c r="B4724" i="4"/>
  <c r="A4724" i="4"/>
  <c r="B4723" i="4"/>
  <c r="A4723" i="4"/>
  <c r="B4722" i="4"/>
  <c r="A4722" i="4"/>
  <c r="B4721" i="4"/>
  <c r="A4721" i="4"/>
  <c r="B4720" i="4"/>
  <c r="A4720" i="4"/>
  <c r="B4719" i="4"/>
  <c r="A4719" i="4"/>
  <c r="B4718" i="4"/>
  <c r="A4718" i="4"/>
  <c r="B4717" i="4"/>
  <c r="A4717" i="4"/>
  <c r="B4716" i="4"/>
  <c r="A4716" i="4"/>
  <c r="B4715" i="4"/>
  <c r="A4715" i="4"/>
  <c r="B4714" i="4"/>
  <c r="A4714" i="4"/>
  <c r="B4713" i="4"/>
  <c r="A4713" i="4"/>
  <c r="B4712" i="4"/>
  <c r="A4712" i="4"/>
  <c r="B4711" i="4"/>
  <c r="A4711" i="4"/>
  <c r="B4710" i="4"/>
  <c r="A4710" i="4"/>
  <c r="B4709" i="4"/>
  <c r="A4709" i="4"/>
  <c r="B4708" i="4"/>
  <c r="A4708" i="4"/>
  <c r="B4707" i="4"/>
  <c r="A4707" i="4"/>
  <c r="B4706" i="4"/>
  <c r="A4706" i="4"/>
  <c r="B4705" i="4"/>
  <c r="A4705" i="4"/>
  <c r="B4704" i="4"/>
  <c r="A4704" i="4"/>
  <c r="B4703" i="4"/>
  <c r="A4703" i="4"/>
  <c r="B4702" i="4"/>
  <c r="A4702" i="4"/>
  <c r="B4701" i="4"/>
  <c r="A4701" i="4"/>
  <c r="B4700" i="4"/>
  <c r="A4700" i="4"/>
  <c r="B4699" i="4"/>
  <c r="A4699" i="4"/>
  <c r="B4698" i="4"/>
  <c r="A4698" i="4"/>
  <c r="B4697" i="4"/>
  <c r="A4697" i="4"/>
  <c r="B4696" i="4"/>
  <c r="A4696" i="4"/>
  <c r="B4695" i="4"/>
  <c r="A4695" i="4"/>
  <c r="B4694" i="4"/>
  <c r="A4694" i="4"/>
  <c r="B4693" i="4"/>
  <c r="A4693" i="4"/>
  <c r="B4692" i="4"/>
  <c r="A4692" i="4"/>
  <c r="B4691" i="4"/>
  <c r="A4691" i="4"/>
  <c r="B4690" i="4"/>
  <c r="A4690" i="4"/>
  <c r="B4689" i="4"/>
  <c r="A4689" i="4"/>
  <c r="B4688" i="4"/>
  <c r="A4688" i="4"/>
  <c r="B4687" i="4"/>
  <c r="A4687" i="4"/>
  <c r="B4686" i="4"/>
  <c r="A4686" i="4"/>
  <c r="B4685" i="4"/>
  <c r="A4685" i="4"/>
  <c r="B4684" i="4"/>
  <c r="A4684" i="4"/>
  <c r="B4683" i="4"/>
  <c r="A4683" i="4"/>
  <c r="B4682" i="4"/>
  <c r="A4682" i="4"/>
  <c r="B4681" i="4"/>
  <c r="A4681" i="4"/>
  <c r="B4680" i="4"/>
  <c r="A4680" i="4"/>
  <c r="B4679" i="4"/>
  <c r="A4679" i="4"/>
  <c r="B4678" i="4"/>
  <c r="A4678" i="4"/>
  <c r="B4677" i="4"/>
  <c r="A4677" i="4"/>
  <c r="B4676" i="4"/>
  <c r="A4676" i="4"/>
  <c r="B4675" i="4"/>
  <c r="A4675" i="4"/>
  <c r="B4674" i="4"/>
  <c r="A4674" i="4"/>
  <c r="B4673" i="4"/>
  <c r="A4673" i="4"/>
  <c r="B4672" i="4"/>
  <c r="A4672" i="4"/>
  <c r="B4671" i="4"/>
  <c r="A4671" i="4"/>
  <c r="B4670" i="4"/>
  <c r="A4670" i="4"/>
  <c r="B4669" i="4"/>
  <c r="A4669" i="4"/>
  <c r="B4668" i="4"/>
  <c r="A4668" i="4"/>
  <c r="B4667" i="4"/>
  <c r="A4667" i="4"/>
  <c r="B4666" i="4"/>
  <c r="A4666" i="4"/>
  <c r="B4665" i="4"/>
  <c r="A4665" i="4"/>
  <c r="B4664" i="4"/>
  <c r="A4664" i="4"/>
  <c r="B4663" i="4"/>
  <c r="A4663" i="4"/>
  <c r="B4662" i="4"/>
  <c r="A4662" i="4"/>
  <c r="B4661" i="4"/>
  <c r="A4661" i="4"/>
  <c r="B4660" i="4"/>
  <c r="A4660" i="4"/>
  <c r="B4659" i="4"/>
  <c r="A4659" i="4"/>
  <c r="B4658" i="4"/>
  <c r="A4658" i="4"/>
  <c r="B4657" i="4"/>
  <c r="A4657" i="4"/>
  <c r="B4656" i="4"/>
  <c r="A4656" i="4"/>
  <c r="B4655" i="4"/>
  <c r="A4655" i="4"/>
  <c r="B4654" i="4"/>
  <c r="A4654" i="4"/>
  <c r="B4653" i="4"/>
  <c r="A4653" i="4"/>
  <c r="B4652" i="4"/>
  <c r="A4652" i="4"/>
  <c r="B4651" i="4"/>
  <c r="A4651" i="4"/>
  <c r="B4650" i="4"/>
  <c r="A4650" i="4"/>
  <c r="B4649" i="4"/>
  <c r="A4649" i="4"/>
  <c r="B4648" i="4"/>
  <c r="A4648" i="4"/>
  <c r="B4647" i="4"/>
  <c r="A4647" i="4"/>
  <c r="B4646" i="4"/>
  <c r="A4646" i="4"/>
  <c r="B4645" i="4"/>
  <c r="A4645" i="4"/>
  <c r="B4644" i="4"/>
  <c r="A4644" i="4"/>
  <c r="B4643" i="4"/>
  <c r="A4643" i="4"/>
  <c r="B4642" i="4"/>
  <c r="A4642" i="4"/>
  <c r="B4641" i="4"/>
  <c r="A4641" i="4"/>
  <c r="B4640" i="4"/>
  <c r="A4640" i="4"/>
  <c r="B4639" i="4"/>
  <c r="A4639" i="4"/>
  <c r="B4638" i="4"/>
  <c r="A4638" i="4"/>
  <c r="B4637" i="4"/>
  <c r="A4637" i="4"/>
  <c r="B4636" i="4"/>
  <c r="A4636" i="4"/>
  <c r="B4635" i="4"/>
  <c r="A4635" i="4"/>
  <c r="B4634" i="4"/>
  <c r="A4634" i="4"/>
  <c r="B4633" i="4"/>
  <c r="A4633" i="4"/>
  <c r="B4632" i="4"/>
  <c r="A4632" i="4"/>
  <c r="B4631" i="4"/>
  <c r="A4631" i="4"/>
  <c r="B4630" i="4"/>
  <c r="A4630" i="4"/>
  <c r="B4629" i="4"/>
  <c r="A4629" i="4"/>
  <c r="B4628" i="4"/>
  <c r="A4628" i="4"/>
  <c r="B4627" i="4"/>
  <c r="A4627" i="4"/>
  <c r="B4626" i="4"/>
  <c r="A4626" i="4"/>
  <c r="B4625" i="4"/>
  <c r="A4625" i="4"/>
  <c r="B4624" i="4"/>
  <c r="A4624" i="4"/>
  <c r="B4623" i="4"/>
  <c r="A4623" i="4"/>
  <c r="B4622" i="4"/>
  <c r="A4622" i="4"/>
  <c r="B4621" i="4"/>
  <c r="A4621" i="4"/>
  <c r="B4620" i="4"/>
  <c r="A4620" i="4"/>
  <c r="B4619" i="4"/>
  <c r="A4619" i="4"/>
  <c r="B4618" i="4"/>
  <c r="A4618" i="4"/>
  <c r="B4617" i="4"/>
  <c r="A4617" i="4"/>
  <c r="B4616" i="4"/>
  <c r="A4616" i="4"/>
  <c r="B4615" i="4"/>
  <c r="A4615" i="4"/>
  <c r="B4614" i="4"/>
  <c r="A4614" i="4"/>
  <c r="B4613" i="4"/>
  <c r="A4613" i="4"/>
  <c r="B4612" i="4"/>
  <c r="A4612" i="4"/>
  <c r="B4611" i="4"/>
  <c r="A4611" i="4"/>
  <c r="B4610" i="4"/>
  <c r="A4610" i="4"/>
  <c r="B4609" i="4"/>
  <c r="A4609" i="4"/>
  <c r="B4608" i="4"/>
  <c r="A4608" i="4"/>
  <c r="B4607" i="4"/>
  <c r="A4607" i="4"/>
  <c r="B4606" i="4"/>
  <c r="A4606" i="4"/>
  <c r="B4605" i="4"/>
  <c r="A4605" i="4"/>
  <c r="B4604" i="4"/>
  <c r="A4604" i="4"/>
  <c r="B4603" i="4"/>
  <c r="A4603" i="4"/>
  <c r="B4602" i="4"/>
  <c r="A4602" i="4"/>
  <c r="B4601" i="4"/>
  <c r="A4601" i="4"/>
  <c r="B4600" i="4"/>
  <c r="A4600" i="4"/>
  <c r="B4599" i="4"/>
  <c r="A4599" i="4"/>
  <c r="B4598" i="4"/>
  <c r="A4598" i="4"/>
  <c r="B4597" i="4"/>
  <c r="A4597" i="4"/>
  <c r="B4596" i="4"/>
  <c r="A4596" i="4"/>
  <c r="B4595" i="4"/>
  <c r="A4595" i="4"/>
  <c r="B4594" i="4"/>
  <c r="A4594" i="4"/>
  <c r="B4593" i="4"/>
  <c r="A4593" i="4"/>
  <c r="B4592" i="4"/>
  <c r="A4592" i="4"/>
  <c r="B4591" i="4"/>
  <c r="A4591" i="4"/>
  <c r="B4590" i="4"/>
  <c r="A4590" i="4"/>
  <c r="B4589" i="4"/>
  <c r="A4589" i="4"/>
  <c r="B4588" i="4"/>
  <c r="A4588" i="4"/>
  <c r="B4587" i="4"/>
  <c r="A4587" i="4"/>
  <c r="B4586" i="4"/>
  <c r="A4586" i="4"/>
  <c r="B4585" i="4"/>
  <c r="A4585" i="4"/>
  <c r="B4584" i="4"/>
  <c r="A4584" i="4"/>
  <c r="B4583" i="4"/>
  <c r="A4583" i="4"/>
  <c r="B4582" i="4"/>
  <c r="A4582" i="4"/>
  <c r="B4581" i="4"/>
  <c r="A4581" i="4"/>
  <c r="B4580" i="4"/>
  <c r="A4580" i="4"/>
  <c r="B4579" i="4"/>
  <c r="A4579" i="4"/>
  <c r="B4578" i="4"/>
  <c r="A4578" i="4"/>
  <c r="B4577" i="4"/>
  <c r="A4577" i="4"/>
  <c r="B4576" i="4"/>
  <c r="A4576" i="4"/>
  <c r="B4575" i="4"/>
  <c r="A4575" i="4"/>
  <c r="B4574" i="4"/>
  <c r="A4574" i="4"/>
  <c r="B4573" i="4"/>
  <c r="A4573" i="4"/>
  <c r="B4572" i="4"/>
  <c r="A4572" i="4"/>
  <c r="B4571" i="4"/>
  <c r="A4571" i="4"/>
  <c r="B4570" i="4"/>
  <c r="A4570" i="4"/>
  <c r="B4569" i="4"/>
  <c r="A4569" i="4"/>
  <c r="B4568" i="4"/>
  <c r="A4568" i="4"/>
  <c r="B4567" i="4"/>
  <c r="A4567" i="4"/>
  <c r="B4566" i="4"/>
  <c r="A4566" i="4"/>
  <c r="B4565" i="4"/>
  <c r="A4565" i="4"/>
  <c r="B4564" i="4"/>
  <c r="A4564" i="4"/>
  <c r="B4563" i="4"/>
  <c r="A4563" i="4"/>
  <c r="B4562" i="4"/>
  <c r="A4562" i="4"/>
  <c r="B4561" i="4"/>
  <c r="A4561" i="4"/>
  <c r="B4560" i="4"/>
  <c r="A4560" i="4"/>
  <c r="B4559" i="4"/>
  <c r="A4559" i="4"/>
  <c r="B4558" i="4"/>
  <c r="A4558" i="4"/>
  <c r="B4557" i="4"/>
  <c r="A4557" i="4"/>
  <c r="B4556" i="4"/>
  <c r="A4556" i="4"/>
  <c r="B4555" i="4"/>
  <c r="A4555" i="4"/>
  <c r="B4554" i="4"/>
  <c r="A4554" i="4"/>
  <c r="B4553" i="4"/>
  <c r="A4553" i="4"/>
  <c r="B4552" i="4"/>
  <c r="A4552" i="4"/>
  <c r="B4551" i="4"/>
  <c r="A4551" i="4"/>
  <c r="B4550" i="4"/>
  <c r="A4550" i="4"/>
  <c r="B4549" i="4"/>
  <c r="A4549" i="4"/>
  <c r="B4548" i="4"/>
  <c r="A4548" i="4"/>
  <c r="B4547" i="4"/>
  <c r="A4547" i="4"/>
  <c r="B4546" i="4"/>
  <c r="A4546" i="4"/>
  <c r="B4545" i="4"/>
  <c r="A4545" i="4"/>
  <c r="B4544" i="4"/>
  <c r="A4544" i="4"/>
  <c r="B4543" i="4"/>
  <c r="A4543" i="4"/>
  <c r="B4542" i="4"/>
  <c r="A4542" i="4"/>
  <c r="B4541" i="4"/>
  <c r="A4541" i="4"/>
  <c r="B4540" i="4"/>
  <c r="A4540" i="4"/>
  <c r="B4539" i="4"/>
  <c r="A4539" i="4"/>
  <c r="B4538" i="4"/>
  <c r="A4538" i="4"/>
  <c r="B4537" i="4"/>
  <c r="A4537" i="4"/>
  <c r="B4536" i="4"/>
  <c r="A4536" i="4"/>
  <c r="B4535" i="4"/>
  <c r="A4535" i="4"/>
  <c r="B4534" i="4"/>
  <c r="A4534" i="4"/>
  <c r="B4533" i="4"/>
  <c r="A4533" i="4"/>
  <c r="B4532" i="4"/>
  <c r="A4532" i="4"/>
  <c r="B4531" i="4"/>
  <c r="A4531" i="4"/>
  <c r="B4530" i="4"/>
  <c r="A4530" i="4"/>
  <c r="B4529" i="4"/>
  <c r="A4529" i="4"/>
  <c r="B4528" i="4"/>
  <c r="A4528" i="4"/>
  <c r="B4527" i="4"/>
  <c r="A4527" i="4"/>
  <c r="B4526" i="4"/>
  <c r="A4526" i="4"/>
  <c r="B4525" i="4"/>
  <c r="A4525" i="4"/>
  <c r="B4524" i="4"/>
  <c r="A4524" i="4"/>
  <c r="B4523" i="4"/>
  <c r="A4523" i="4"/>
  <c r="B4522" i="4"/>
  <c r="A4522" i="4"/>
  <c r="B4521" i="4"/>
  <c r="A4521" i="4"/>
  <c r="B4520" i="4"/>
  <c r="A4520" i="4"/>
  <c r="B4519" i="4"/>
  <c r="A4519" i="4"/>
  <c r="B4518" i="4"/>
  <c r="A4518" i="4"/>
  <c r="B4517" i="4"/>
  <c r="A4517" i="4"/>
  <c r="B4516" i="4"/>
  <c r="A4516" i="4"/>
  <c r="B4515" i="4"/>
  <c r="A4515" i="4"/>
  <c r="B4514" i="4"/>
  <c r="A4514" i="4"/>
  <c r="B4513" i="4"/>
  <c r="A4513" i="4"/>
  <c r="B4512" i="4"/>
  <c r="A4512" i="4"/>
  <c r="B4511" i="4"/>
  <c r="A4511" i="4"/>
  <c r="B4510" i="4"/>
  <c r="A4510" i="4"/>
  <c r="B4509" i="4"/>
  <c r="A4509" i="4"/>
  <c r="B4508" i="4"/>
  <c r="A4508" i="4"/>
  <c r="B4507" i="4"/>
  <c r="A4507" i="4"/>
  <c r="B4506" i="4"/>
  <c r="A4506" i="4"/>
  <c r="B4505" i="4"/>
  <c r="A4505" i="4"/>
  <c r="B4504" i="4"/>
  <c r="A4504" i="4"/>
  <c r="B4503" i="4"/>
  <c r="A4503" i="4"/>
  <c r="B4502" i="4"/>
  <c r="A4502" i="4"/>
  <c r="B4501" i="4"/>
  <c r="A4501" i="4"/>
  <c r="B4500" i="4"/>
  <c r="A4500" i="4"/>
  <c r="B4499" i="4"/>
  <c r="A4499" i="4"/>
  <c r="B4498" i="4"/>
  <c r="A4498" i="4"/>
  <c r="B4497" i="4"/>
  <c r="A4497" i="4"/>
  <c r="B4496" i="4"/>
  <c r="A4496" i="4"/>
  <c r="B4495" i="4"/>
  <c r="A4495" i="4"/>
  <c r="B4494" i="4"/>
  <c r="A4494" i="4"/>
  <c r="B4493" i="4"/>
  <c r="A4493" i="4"/>
  <c r="B4492" i="4"/>
  <c r="A4492" i="4"/>
  <c r="B4491" i="4"/>
  <c r="A4491" i="4"/>
  <c r="B4490" i="4"/>
  <c r="A4490" i="4"/>
  <c r="B4489" i="4"/>
  <c r="A4489" i="4"/>
  <c r="B4488" i="4"/>
  <c r="A4488" i="4"/>
  <c r="B4487" i="4"/>
  <c r="A4487" i="4"/>
  <c r="B4486" i="4"/>
  <c r="A4486" i="4"/>
  <c r="B4485" i="4"/>
  <c r="A4485" i="4"/>
  <c r="B4484" i="4"/>
  <c r="A4484" i="4"/>
  <c r="B4483" i="4"/>
  <c r="A4483" i="4"/>
  <c r="B4482" i="4"/>
  <c r="A4482" i="4"/>
  <c r="B4481" i="4"/>
  <c r="A4481" i="4"/>
  <c r="B4480" i="4"/>
  <c r="A4480" i="4"/>
  <c r="B4479" i="4"/>
  <c r="A4479" i="4"/>
  <c r="B4478" i="4"/>
  <c r="A4478" i="4"/>
  <c r="B4477" i="4"/>
  <c r="A4477" i="4"/>
  <c r="B4476" i="4"/>
  <c r="A4476" i="4"/>
  <c r="B4475" i="4"/>
  <c r="A4475" i="4"/>
  <c r="B4474" i="4"/>
  <c r="A4474" i="4"/>
  <c r="B4473" i="4"/>
  <c r="A4473" i="4"/>
  <c r="B4472" i="4"/>
  <c r="A4472" i="4"/>
  <c r="B4471" i="4"/>
  <c r="A4471" i="4"/>
  <c r="B4470" i="4"/>
  <c r="A4470" i="4"/>
  <c r="B4469" i="4"/>
  <c r="A4469" i="4"/>
  <c r="B4468" i="4"/>
  <c r="A4468" i="4"/>
  <c r="B4467" i="4"/>
  <c r="A4467" i="4"/>
  <c r="B4466" i="4"/>
  <c r="A4466" i="4"/>
  <c r="B4465" i="4"/>
  <c r="A4465" i="4"/>
  <c r="B4464" i="4"/>
  <c r="A4464" i="4"/>
  <c r="B4463" i="4"/>
  <c r="A4463" i="4"/>
  <c r="B4462" i="4"/>
  <c r="A4462" i="4"/>
  <c r="B4461" i="4"/>
  <c r="A4461" i="4"/>
  <c r="B4460" i="4"/>
  <c r="A4460" i="4"/>
  <c r="B4459" i="4"/>
  <c r="A4459" i="4"/>
  <c r="B4458" i="4"/>
  <c r="A4458" i="4"/>
  <c r="B4457" i="4"/>
  <c r="A4457" i="4"/>
  <c r="B4456" i="4"/>
  <c r="A4456" i="4"/>
  <c r="B4455" i="4"/>
  <c r="A4455" i="4"/>
  <c r="B4454" i="4"/>
  <c r="A4454" i="4"/>
  <c r="B4453" i="4"/>
  <c r="A4453" i="4"/>
  <c r="B4452" i="4"/>
  <c r="A4452" i="4"/>
  <c r="B4451" i="4"/>
  <c r="A4451" i="4"/>
  <c r="B4450" i="4"/>
  <c r="A4450" i="4"/>
  <c r="B4449" i="4"/>
  <c r="A4449" i="4"/>
  <c r="B4448" i="4"/>
  <c r="A4448" i="4"/>
  <c r="B4447" i="4"/>
  <c r="A4447" i="4"/>
  <c r="B4446" i="4"/>
  <c r="A4446" i="4"/>
  <c r="B4445" i="4"/>
  <c r="A4445" i="4"/>
  <c r="B4444" i="4"/>
  <c r="A4444" i="4"/>
  <c r="B4443" i="4"/>
  <c r="A4443" i="4"/>
  <c r="B4442" i="4"/>
  <c r="A4442" i="4"/>
  <c r="B4441" i="4"/>
  <c r="A4441" i="4"/>
  <c r="B4440" i="4"/>
  <c r="A4440" i="4"/>
  <c r="B4439" i="4"/>
  <c r="A4439" i="4"/>
  <c r="B4438" i="4"/>
  <c r="A4438" i="4"/>
  <c r="B4437" i="4"/>
  <c r="A4437" i="4"/>
  <c r="B4436" i="4"/>
  <c r="A4436" i="4"/>
  <c r="B4435" i="4"/>
  <c r="B4434" i="4"/>
  <c r="B4433" i="4"/>
  <c r="B4432" i="4"/>
  <c r="B4431" i="4"/>
  <c r="B4430" i="4"/>
  <c r="B4429" i="4"/>
  <c r="B4428" i="4"/>
  <c r="B4427" i="4"/>
  <c r="B4426" i="4"/>
  <c r="B4425" i="4"/>
  <c r="B4424" i="4"/>
  <c r="B4423" i="4"/>
  <c r="B4422" i="4"/>
  <c r="B4421" i="4"/>
  <c r="B4420" i="4"/>
  <c r="B4419" i="4"/>
  <c r="B4418" i="4"/>
  <c r="B4417" i="4"/>
  <c r="B4416" i="4"/>
  <c r="B4415" i="4"/>
  <c r="B4414" i="4"/>
  <c r="B4413" i="4"/>
  <c r="B4412" i="4"/>
  <c r="B4411" i="4"/>
  <c r="B4410" i="4"/>
  <c r="B4409" i="4"/>
  <c r="B4408" i="4"/>
  <c r="B4407" i="4"/>
  <c r="B4406" i="4"/>
  <c r="B4405" i="4"/>
  <c r="B4404" i="4"/>
  <c r="B4403" i="4"/>
  <c r="B4402" i="4"/>
  <c r="B4401" i="4"/>
  <c r="B4400" i="4"/>
  <c r="B4399" i="4"/>
  <c r="B4398" i="4"/>
  <c r="B4397" i="4"/>
  <c r="B4396" i="4"/>
  <c r="B4395" i="4"/>
  <c r="B4394" i="4"/>
  <c r="B4393" i="4"/>
  <c r="B4392" i="4"/>
  <c r="B4391" i="4"/>
  <c r="B4390" i="4"/>
  <c r="B4389" i="4"/>
  <c r="B4388" i="4"/>
  <c r="B4387" i="4"/>
  <c r="B4386" i="4"/>
  <c r="B4385" i="4"/>
  <c r="B4384" i="4"/>
  <c r="B4383" i="4"/>
  <c r="B4382" i="4"/>
  <c r="B4381" i="4"/>
  <c r="B4380" i="4"/>
  <c r="B4379" i="4"/>
  <c r="B4378" i="4"/>
  <c r="B4377" i="4"/>
  <c r="B4376" i="4"/>
  <c r="B4375" i="4"/>
  <c r="B4374" i="4"/>
  <c r="B4373" i="4"/>
  <c r="B4372" i="4"/>
  <c r="B4371" i="4"/>
  <c r="B4370" i="4"/>
  <c r="B4369" i="4"/>
  <c r="B4368" i="4"/>
  <c r="B4367" i="4"/>
  <c r="B4366" i="4"/>
  <c r="B4365" i="4"/>
  <c r="B4364" i="4"/>
  <c r="B4363" i="4"/>
  <c r="B4362" i="4"/>
  <c r="B4361" i="4"/>
  <c r="B4360" i="4"/>
  <c r="B4359" i="4"/>
  <c r="B4358" i="4"/>
  <c r="B4357" i="4"/>
  <c r="B4356" i="4"/>
  <c r="B4355" i="4"/>
  <c r="B4354" i="4"/>
  <c r="B4353" i="4"/>
  <c r="B4352" i="4"/>
  <c r="B4351" i="4"/>
  <c r="B4350" i="4"/>
  <c r="B4349" i="4"/>
  <c r="B4348" i="4"/>
  <c r="B4347" i="4"/>
  <c r="B4346" i="4"/>
  <c r="B4345" i="4"/>
  <c r="B4344" i="4"/>
  <c r="B4343" i="4"/>
  <c r="B4342" i="4"/>
  <c r="B4341" i="4"/>
  <c r="B4340" i="4"/>
  <c r="B4339" i="4"/>
  <c r="B4338" i="4"/>
  <c r="B4337" i="4"/>
  <c r="B4336" i="4"/>
  <c r="B4335" i="4"/>
  <c r="B4334" i="4"/>
  <c r="B4333" i="4"/>
  <c r="B4332" i="4"/>
  <c r="B4331" i="4"/>
  <c r="B4330" i="4"/>
  <c r="B4329" i="4"/>
  <c r="B4328" i="4"/>
  <c r="B4327" i="4"/>
  <c r="B4326" i="4"/>
  <c r="B4325" i="4"/>
  <c r="B4324" i="4"/>
  <c r="B4323" i="4"/>
  <c r="B4322" i="4"/>
  <c r="B4321" i="4"/>
  <c r="B4320" i="4"/>
  <c r="B4319" i="4"/>
  <c r="B4318" i="4"/>
  <c r="B4317" i="4"/>
  <c r="B4316" i="4"/>
  <c r="B4315" i="4"/>
  <c r="B4314" i="4"/>
  <c r="B4313" i="4"/>
  <c r="B4312" i="4"/>
  <c r="B4311" i="4"/>
  <c r="B4310" i="4"/>
  <c r="B4309" i="4"/>
  <c r="B4308" i="4"/>
  <c r="B4307" i="4"/>
  <c r="B4306" i="4"/>
  <c r="B4305" i="4"/>
  <c r="B4304" i="4"/>
  <c r="B4303" i="4"/>
  <c r="B4302" i="4"/>
  <c r="B4301" i="4"/>
  <c r="B4300" i="4"/>
  <c r="B4299" i="4"/>
  <c r="B4298" i="4"/>
  <c r="B4297" i="4"/>
  <c r="B4296" i="4"/>
  <c r="B4295" i="4"/>
  <c r="B4294" i="4"/>
  <c r="B4293" i="4"/>
  <c r="B4292" i="4"/>
  <c r="B4291" i="4"/>
  <c r="B4290" i="4"/>
  <c r="B4289" i="4"/>
  <c r="B4288" i="4"/>
  <c r="B4287" i="4"/>
  <c r="B4286" i="4"/>
  <c r="B4285" i="4"/>
  <c r="B4284" i="4"/>
  <c r="B4283" i="4"/>
  <c r="B4282" i="4"/>
  <c r="B4281" i="4"/>
  <c r="B4280" i="4"/>
  <c r="B4279" i="4"/>
  <c r="B4278" i="4"/>
  <c r="B4277" i="4"/>
  <c r="B4276" i="4"/>
  <c r="B4275" i="4"/>
  <c r="B4274" i="4"/>
  <c r="B4273" i="4"/>
  <c r="B4272" i="4"/>
  <c r="B4271" i="4"/>
  <c r="B4270" i="4"/>
  <c r="B4269" i="4"/>
  <c r="B4268" i="4"/>
  <c r="B4267" i="4"/>
  <c r="B4266" i="4"/>
  <c r="B4265" i="4"/>
  <c r="B4264" i="4"/>
  <c r="B4263" i="4"/>
  <c r="B4262" i="4"/>
  <c r="B4261" i="4"/>
  <c r="B4260" i="4"/>
  <c r="B4259" i="4"/>
  <c r="B4258" i="4"/>
  <c r="B4257" i="4"/>
  <c r="B4256" i="4"/>
  <c r="B4255" i="4"/>
  <c r="B4254" i="4"/>
  <c r="B4253" i="4"/>
  <c r="B4252" i="4"/>
  <c r="B4251" i="4"/>
  <c r="B4250" i="4"/>
  <c r="B4249" i="4"/>
  <c r="B4248" i="4"/>
  <c r="B4247" i="4"/>
  <c r="B4246" i="4"/>
  <c r="B4245" i="4"/>
  <c r="B4244" i="4"/>
  <c r="B4243" i="4"/>
  <c r="B4242" i="4"/>
  <c r="B4241" i="4"/>
  <c r="B4240" i="4"/>
  <c r="B4239" i="4"/>
  <c r="B4238" i="4"/>
  <c r="B4237" i="4"/>
  <c r="B4236" i="4"/>
  <c r="B4235" i="4"/>
  <c r="B4234" i="4"/>
  <c r="B4233" i="4"/>
  <c r="B4232" i="4"/>
  <c r="B4231" i="4"/>
  <c r="B4230" i="4"/>
  <c r="B4229" i="4"/>
  <c r="B4228" i="4"/>
  <c r="B4227" i="4"/>
  <c r="B4226" i="4"/>
  <c r="B4225" i="4"/>
  <c r="B4224" i="4"/>
  <c r="B4223" i="4"/>
  <c r="B4222" i="4"/>
  <c r="B4221" i="4"/>
  <c r="B4220" i="4"/>
  <c r="B4219" i="4"/>
  <c r="B4218" i="4"/>
  <c r="B4217" i="4"/>
  <c r="B4216" i="4"/>
  <c r="B4215" i="4"/>
  <c r="B4214" i="4"/>
  <c r="B4213" i="4"/>
  <c r="B4212" i="4"/>
  <c r="B4211" i="4"/>
  <c r="B4210" i="4"/>
  <c r="B4209" i="4"/>
  <c r="B4208" i="4"/>
  <c r="B4207" i="4"/>
  <c r="B4206" i="4"/>
  <c r="B4205" i="4"/>
  <c r="B4204" i="4"/>
  <c r="B4203" i="4"/>
  <c r="B4202" i="4"/>
  <c r="B4201" i="4"/>
  <c r="B4200" i="4"/>
  <c r="B4199" i="4"/>
  <c r="B4198" i="4"/>
  <c r="B4197" i="4"/>
  <c r="B4196" i="4"/>
  <c r="B4195" i="4"/>
  <c r="B4194" i="4"/>
  <c r="B4193" i="4"/>
  <c r="B4192" i="4"/>
  <c r="B4191" i="4"/>
  <c r="B4190" i="4"/>
  <c r="B4189" i="4"/>
  <c r="B4188" i="4"/>
  <c r="B4187" i="4"/>
  <c r="B4186" i="4"/>
  <c r="B4185" i="4"/>
  <c r="B4184" i="4"/>
  <c r="B4183" i="4"/>
  <c r="A4183" i="4"/>
  <c r="A4184" i="4" s="1"/>
  <c r="A4185" i="4" s="1"/>
  <c r="A4186" i="4" s="1"/>
  <c r="A4187" i="4" s="1"/>
  <c r="A4188" i="4" s="1"/>
  <c r="A4189" i="4" s="1"/>
  <c r="A4190" i="4" s="1"/>
  <c r="A4191" i="4" s="1"/>
  <c r="A4192" i="4" s="1"/>
  <c r="A4193" i="4" s="1"/>
  <c r="A4194" i="4" s="1"/>
  <c r="A4195" i="4" s="1"/>
  <c r="A4196" i="4" s="1"/>
  <c r="A4197" i="4" s="1"/>
  <c r="A4198" i="4" s="1"/>
  <c r="A4199" i="4" s="1"/>
  <c r="A4200" i="4" s="1"/>
  <c r="A4201" i="4" s="1"/>
  <c r="A4202" i="4" s="1"/>
  <c r="A4203" i="4" s="1"/>
  <c r="A4204" i="4" s="1"/>
  <c r="A4205" i="4" s="1"/>
  <c r="A4206" i="4" s="1"/>
  <c r="A4207" i="4" s="1"/>
  <c r="A4208" i="4" s="1"/>
  <c r="A4209" i="4" s="1"/>
  <c r="A4210" i="4" s="1"/>
  <c r="A4211" i="4" s="1"/>
  <c r="A4212" i="4" s="1"/>
  <c r="A4213" i="4" s="1"/>
  <c r="A4214" i="4" s="1"/>
  <c r="A4215" i="4" s="1"/>
  <c r="A4216" i="4" s="1"/>
  <c r="A4217" i="4" s="1"/>
  <c r="A4218" i="4" s="1"/>
  <c r="A4219" i="4" s="1"/>
  <c r="A4220" i="4" s="1"/>
  <c r="A4221" i="4" s="1"/>
  <c r="A4222" i="4" s="1"/>
  <c r="A4223" i="4" s="1"/>
  <c r="A4224" i="4" s="1"/>
  <c r="A4225" i="4" s="1"/>
  <c r="A4226" i="4" s="1"/>
  <c r="A4227" i="4" s="1"/>
  <c r="A4228" i="4" s="1"/>
  <c r="A4229" i="4" s="1"/>
  <c r="A4230" i="4" s="1"/>
  <c r="A4231" i="4" s="1"/>
  <c r="A4232" i="4" s="1"/>
  <c r="A4233" i="4" s="1"/>
  <c r="A4234" i="4" s="1"/>
  <c r="A4235" i="4" s="1"/>
  <c r="A4236" i="4" s="1"/>
  <c r="A4237" i="4" s="1"/>
  <c r="A4238" i="4" s="1"/>
  <c r="A4239" i="4" s="1"/>
  <c r="A4240" i="4" s="1"/>
  <c r="A4241" i="4" s="1"/>
  <c r="A4242" i="4" s="1"/>
  <c r="A4243" i="4" s="1"/>
  <c r="A4244" i="4" s="1"/>
  <c r="A4245" i="4" s="1"/>
  <c r="A4246" i="4" s="1"/>
  <c r="A4247" i="4" s="1"/>
  <c r="A4248" i="4" s="1"/>
  <c r="A4249" i="4" s="1"/>
  <c r="A4250" i="4" s="1"/>
  <c r="A4251" i="4" s="1"/>
  <c r="A4252" i="4" s="1"/>
  <c r="A4253" i="4" s="1"/>
  <c r="A4254" i="4" s="1"/>
  <c r="A4255" i="4" s="1"/>
  <c r="A4256" i="4" s="1"/>
  <c r="A4257" i="4" s="1"/>
  <c r="A4258" i="4" s="1"/>
  <c r="A4259" i="4" s="1"/>
  <c r="A4260" i="4" s="1"/>
  <c r="A4261" i="4" s="1"/>
  <c r="A4262" i="4" s="1"/>
  <c r="A4263" i="4" s="1"/>
  <c r="A4264" i="4" s="1"/>
  <c r="A4265" i="4" s="1"/>
  <c r="A4266" i="4" s="1"/>
  <c r="A4267" i="4" s="1"/>
  <c r="A4268" i="4" s="1"/>
  <c r="A4269" i="4" s="1"/>
  <c r="A4270" i="4" s="1"/>
  <c r="A4271" i="4" s="1"/>
  <c r="A4272" i="4" s="1"/>
  <c r="A4273" i="4" s="1"/>
  <c r="A4274" i="4" s="1"/>
  <c r="A4275" i="4" s="1"/>
  <c r="A4276" i="4" s="1"/>
  <c r="A4277" i="4" s="1"/>
  <c r="A4278" i="4" s="1"/>
  <c r="A4279" i="4" s="1"/>
  <c r="A4280" i="4" s="1"/>
  <c r="A4281" i="4" s="1"/>
  <c r="A4282" i="4" s="1"/>
  <c r="A4283" i="4" s="1"/>
  <c r="A4284" i="4" s="1"/>
  <c r="A4285" i="4" s="1"/>
  <c r="A4286" i="4" s="1"/>
  <c r="A4287" i="4" s="1"/>
  <c r="A4288" i="4" s="1"/>
  <c r="A4289" i="4" s="1"/>
  <c r="A4290" i="4" s="1"/>
  <c r="A4291" i="4" s="1"/>
  <c r="A4292" i="4" s="1"/>
  <c r="A4293" i="4" s="1"/>
  <c r="A4294" i="4" s="1"/>
  <c r="A4295" i="4" s="1"/>
  <c r="A4296" i="4" s="1"/>
  <c r="A4297" i="4" s="1"/>
  <c r="A4298" i="4" s="1"/>
  <c r="A4299" i="4" s="1"/>
  <c r="A4300" i="4" s="1"/>
  <c r="A4301" i="4" s="1"/>
  <c r="A4302" i="4" s="1"/>
  <c r="A4303" i="4" s="1"/>
  <c r="A4304" i="4" s="1"/>
  <c r="A4305" i="4" s="1"/>
  <c r="A4306" i="4" s="1"/>
  <c r="A4307" i="4" s="1"/>
  <c r="A4308" i="4" s="1"/>
  <c r="A4309" i="4" s="1"/>
  <c r="A4310" i="4" s="1"/>
  <c r="A4311" i="4" s="1"/>
  <c r="A4312" i="4" s="1"/>
  <c r="A4313" i="4" s="1"/>
  <c r="A4314" i="4" s="1"/>
  <c r="A4315" i="4" s="1"/>
  <c r="A4316" i="4" s="1"/>
  <c r="A4317" i="4" s="1"/>
  <c r="A4318" i="4" s="1"/>
  <c r="A4319" i="4" s="1"/>
  <c r="A4320" i="4" s="1"/>
  <c r="A4321" i="4" s="1"/>
  <c r="A4322" i="4" s="1"/>
  <c r="A4323" i="4" s="1"/>
  <c r="A4324" i="4" s="1"/>
  <c r="A4325" i="4" s="1"/>
  <c r="A4326" i="4" s="1"/>
  <c r="A4327" i="4" s="1"/>
  <c r="A4328" i="4" s="1"/>
  <c r="A4329" i="4" s="1"/>
  <c r="A4330" i="4" s="1"/>
  <c r="A4331" i="4" s="1"/>
  <c r="A4332" i="4" s="1"/>
  <c r="A4333" i="4" s="1"/>
  <c r="A4334" i="4" s="1"/>
  <c r="A4335" i="4" s="1"/>
  <c r="A4336" i="4" s="1"/>
  <c r="A4337" i="4" s="1"/>
  <c r="A4338" i="4" s="1"/>
  <c r="A4339" i="4" s="1"/>
  <c r="A4340" i="4" s="1"/>
  <c r="A4341" i="4" s="1"/>
  <c r="A4342" i="4" s="1"/>
  <c r="A4343" i="4" s="1"/>
  <c r="A4344" i="4" s="1"/>
  <c r="A4345" i="4" s="1"/>
  <c r="A4346" i="4" s="1"/>
  <c r="A4347" i="4" s="1"/>
  <c r="A4348" i="4" s="1"/>
  <c r="A4349" i="4" s="1"/>
  <c r="A4350" i="4" s="1"/>
  <c r="A4351" i="4" s="1"/>
  <c r="A4352" i="4" s="1"/>
  <c r="A4353" i="4" s="1"/>
  <c r="A4354" i="4" s="1"/>
  <c r="A4355" i="4" s="1"/>
  <c r="A4356" i="4" s="1"/>
  <c r="A4357" i="4" s="1"/>
  <c r="A4358" i="4" s="1"/>
  <c r="A4359" i="4" s="1"/>
  <c r="A4360" i="4" s="1"/>
  <c r="A4361" i="4" s="1"/>
  <c r="A4362" i="4" s="1"/>
  <c r="A4363" i="4" s="1"/>
  <c r="A4364" i="4" s="1"/>
  <c r="A4365" i="4" s="1"/>
  <c r="A4366" i="4" s="1"/>
  <c r="A4367" i="4" s="1"/>
  <c r="A4368" i="4" s="1"/>
  <c r="A4369" i="4" s="1"/>
  <c r="A4370" i="4" s="1"/>
  <c r="A4371" i="4" s="1"/>
  <c r="A4372" i="4" s="1"/>
  <c r="A4373" i="4" s="1"/>
  <c r="A4374" i="4" s="1"/>
  <c r="A4375" i="4" s="1"/>
  <c r="A4376" i="4" s="1"/>
  <c r="A4377" i="4" s="1"/>
  <c r="A4378" i="4" s="1"/>
  <c r="A4379" i="4" s="1"/>
  <c r="A4380" i="4" s="1"/>
  <c r="A4381" i="4" s="1"/>
  <c r="A4382" i="4" s="1"/>
  <c r="A4383" i="4" s="1"/>
  <c r="A4384" i="4" s="1"/>
  <c r="A4385" i="4" s="1"/>
  <c r="A4386" i="4" s="1"/>
  <c r="A4387" i="4" s="1"/>
  <c r="A4388" i="4" s="1"/>
  <c r="A4389" i="4" s="1"/>
  <c r="A4390" i="4" s="1"/>
  <c r="A4391" i="4" s="1"/>
  <c r="A4392" i="4" s="1"/>
  <c r="A4393" i="4" s="1"/>
  <c r="A4394" i="4" s="1"/>
  <c r="A4395" i="4" s="1"/>
  <c r="A4396" i="4" s="1"/>
  <c r="A4397" i="4" s="1"/>
  <c r="A4398" i="4" s="1"/>
  <c r="A4399" i="4" s="1"/>
  <c r="A4400" i="4" s="1"/>
  <c r="A4401" i="4" s="1"/>
  <c r="A4402" i="4" s="1"/>
  <c r="A4403" i="4" s="1"/>
  <c r="A4404" i="4" s="1"/>
  <c r="A4405" i="4" s="1"/>
  <c r="A4406" i="4" s="1"/>
  <c r="A4407" i="4" s="1"/>
  <c r="A4408" i="4" s="1"/>
  <c r="A4409" i="4" s="1"/>
  <c r="A4410" i="4" s="1"/>
  <c r="A4411" i="4" s="1"/>
  <c r="A4412" i="4" s="1"/>
  <c r="A4413" i="4" s="1"/>
  <c r="A4414" i="4" s="1"/>
  <c r="A4415" i="4" s="1"/>
  <c r="A4416" i="4" s="1"/>
  <c r="A4417" i="4" s="1"/>
  <c r="A4418" i="4" s="1"/>
  <c r="A4419" i="4" s="1"/>
  <c r="A4420" i="4" s="1"/>
  <c r="A4421" i="4" s="1"/>
  <c r="A4422" i="4" s="1"/>
  <c r="A4423" i="4" s="1"/>
  <c r="A4424" i="4" s="1"/>
  <c r="A4425" i="4" s="1"/>
  <c r="A4426" i="4" s="1"/>
  <c r="A4427" i="4" s="1"/>
  <c r="A4428" i="4" s="1"/>
  <c r="A4429" i="4" s="1"/>
  <c r="A4430" i="4" s="1"/>
  <c r="A4431" i="4" s="1"/>
  <c r="A4432" i="4" s="1"/>
  <c r="A4433" i="4" s="1"/>
  <c r="A4434" i="4" s="1"/>
  <c r="A4435" i="4" s="1"/>
  <c r="B4182" i="4"/>
  <c r="A4182" i="4"/>
  <c r="B4181" i="4"/>
  <c r="A4181" i="4"/>
  <c r="B4180" i="4"/>
  <c r="A4180" i="4"/>
  <c r="B4179" i="4"/>
  <c r="A4179" i="4"/>
  <c r="B4178" i="4"/>
  <c r="A4178" i="4"/>
  <c r="B4177" i="4"/>
  <c r="A4177" i="4"/>
  <c r="B4176" i="4"/>
  <c r="A4176" i="4"/>
  <c r="B4175" i="4"/>
  <c r="A4175" i="4"/>
  <c r="B4174" i="4"/>
  <c r="A4174" i="4"/>
  <c r="B4173" i="4"/>
  <c r="A4173" i="4"/>
  <c r="B4172" i="4"/>
  <c r="A4172" i="4"/>
  <c r="B4171" i="4"/>
  <c r="A4171" i="4"/>
  <c r="B4170" i="4"/>
  <c r="A4170" i="4"/>
  <c r="B4169" i="4"/>
  <c r="A4169" i="4"/>
  <c r="B4168" i="4"/>
  <c r="A4168" i="4"/>
  <c r="B4167" i="4"/>
  <c r="A4167" i="4"/>
  <c r="B4166" i="4"/>
  <c r="A4166" i="4"/>
  <c r="B4165" i="4"/>
  <c r="A4165" i="4"/>
  <c r="B4164" i="4"/>
  <c r="A4164" i="4"/>
  <c r="B4163" i="4"/>
  <c r="A4163" i="4"/>
  <c r="B4162" i="4"/>
  <c r="A4162" i="4"/>
  <c r="B4161" i="4"/>
  <c r="A4161" i="4"/>
  <c r="B4160" i="4"/>
  <c r="A4160" i="4"/>
  <c r="B4159" i="4"/>
  <c r="A4159" i="4"/>
  <c r="B4158" i="4"/>
  <c r="A4158" i="4"/>
  <c r="B4157" i="4"/>
  <c r="A4157" i="4"/>
  <c r="B4156" i="4"/>
  <c r="A4156" i="4"/>
  <c r="B4155" i="4"/>
  <c r="A4155" i="4"/>
  <c r="B4154" i="4"/>
  <c r="A4154" i="4"/>
  <c r="B4153" i="4"/>
  <c r="A4153" i="4"/>
  <c r="B4152" i="4"/>
  <c r="A4152" i="4"/>
  <c r="B4151" i="4"/>
  <c r="A4151" i="4"/>
  <c r="B4150" i="4"/>
  <c r="A4150" i="4"/>
  <c r="B4149" i="4"/>
  <c r="A4149" i="4"/>
  <c r="B4148" i="4"/>
  <c r="A4148" i="4"/>
  <c r="B4147" i="4"/>
  <c r="A4147" i="4"/>
  <c r="B4146" i="4"/>
  <c r="A4146" i="4"/>
  <c r="B4145" i="4"/>
  <c r="A4145" i="4"/>
  <c r="B4144" i="4"/>
  <c r="A4144" i="4"/>
  <c r="B4143" i="4"/>
  <c r="A4143" i="4"/>
  <c r="B4142" i="4"/>
  <c r="A4142" i="4"/>
  <c r="B4141" i="4"/>
  <c r="A4141" i="4"/>
  <c r="B4140" i="4"/>
  <c r="A4140" i="4"/>
  <c r="B4139" i="4"/>
  <c r="A4139" i="4"/>
  <c r="B4138" i="4"/>
  <c r="A4138" i="4"/>
  <c r="B4137" i="4"/>
  <c r="A4137" i="4"/>
  <c r="B4136" i="4"/>
  <c r="A4136" i="4"/>
  <c r="B4135" i="4"/>
  <c r="A4135" i="4"/>
  <c r="B4134" i="4"/>
  <c r="A4134" i="4"/>
  <c r="B4133" i="4"/>
  <c r="A4133" i="4"/>
  <c r="B4132" i="4"/>
  <c r="A4132" i="4"/>
  <c r="B4131" i="4"/>
  <c r="A4131" i="4"/>
  <c r="B4130" i="4"/>
  <c r="A4130" i="4"/>
  <c r="B4129" i="4"/>
  <c r="A4129" i="4"/>
  <c r="B4128" i="4"/>
  <c r="A4128" i="4"/>
  <c r="B4127" i="4"/>
  <c r="A4127" i="4"/>
  <c r="B4126" i="4"/>
  <c r="A4126" i="4"/>
  <c r="B4125" i="4"/>
  <c r="A4125" i="4"/>
  <c r="B4124" i="4"/>
  <c r="A4124" i="4"/>
  <c r="B4123" i="4"/>
  <c r="A4123" i="4"/>
  <c r="B4122" i="4"/>
  <c r="A4122" i="4"/>
  <c r="B4121" i="4"/>
  <c r="A4121" i="4"/>
  <c r="B4120" i="4"/>
  <c r="A4120" i="4"/>
  <c r="B4119" i="4"/>
  <c r="A4119" i="4"/>
  <c r="B4118" i="4"/>
  <c r="A4118" i="4"/>
  <c r="B4117" i="4"/>
  <c r="A4117" i="4"/>
  <c r="B4116" i="4"/>
  <c r="A4116" i="4"/>
  <c r="B4115" i="4"/>
  <c r="A4115" i="4"/>
  <c r="B4114" i="4"/>
  <c r="A4114" i="4"/>
  <c r="B4113" i="4"/>
  <c r="A4113" i="4"/>
  <c r="B4112" i="4"/>
  <c r="A4112" i="4"/>
  <c r="B4111" i="4"/>
  <c r="A4111" i="4"/>
  <c r="B4110" i="4"/>
  <c r="A4110" i="4"/>
  <c r="B4109" i="4"/>
  <c r="A4109" i="4"/>
  <c r="B4108" i="4"/>
  <c r="A4108" i="4"/>
  <c r="B4107" i="4"/>
  <c r="A4107" i="4"/>
  <c r="B4106" i="4"/>
  <c r="A4106" i="4"/>
  <c r="B4105" i="4"/>
  <c r="A4105" i="4"/>
  <c r="B4104" i="4"/>
  <c r="A4104" i="4"/>
  <c r="B4103" i="4"/>
  <c r="A4103" i="4"/>
  <c r="B4102" i="4"/>
  <c r="A4102" i="4"/>
  <c r="B4101" i="4"/>
  <c r="A4101" i="4"/>
  <c r="B4100" i="4"/>
  <c r="A4100" i="4"/>
  <c r="B4099" i="4"/>
  <c r="A4099" i="4"/>
  <c r="B4098" i="4"/>
  <c r="A4098" i="4"/>
  <c r="B4097" i="4"/>
  <c r="A4097" i="4"/>
  <c r="B4096" i="4"/>
  <c r="A4096" i="4"/>
  <c r="B4095" i="4"/>
  <c r="A4095" i="4"/>
  <c r="B4094" i="4"/>
  <c r="A4094" i="4"/>
  <c r="B4093" i="4"/>
  <c r="A4093" i="4"/>
  <c r="B4092" i="4"/>
  <c r="A4092" i="4"/>
  <c r="B4091" i="4"/>
  <c r="A4091" i="4"/>
  <c r="B4090" i="4"/>
  <c r="A4090" i="4"/>
  <c r="B4089" i="4"/>
  <c r="A4089" i="4"/>
  <c r="B4088" i="4"/>
  <c r="A4088" i="4"/>
  <c r="B4087" i="4"/>
  <c r="A4087" i="4"/>
  <c r="B4086" i="4"/>
  <c r="A4086" i="4"/>
  <c r="B4085" i="4"/>
  <c r="A4085" i="4"/>
  <c r="B4084" i="4"/>
  <c r="A4084" i="4"/>
  <c r="B4083" i="4"/>
  <c r="A4083" i="4"/>
  <c r="B4082" i="4"/>
  <c r="A4082" i="4"/>
  <c r="B4081" i="4"/>
  <c r="A4081" i="4"/>
  <c r="B4080" i="4"/>
  <c r="A4080" i="4"/>
  <c r="B4079" i="4"/>
  <c r="A4079" i="4"/>
  <c r="B4078" i="4"/>
  <c r="A4078" i="4"/>
  <c r="B4077" i="4"/>
  <c r="A4077" i="4"/>
  <c r="B4076" i="4"/>
  <c r="A4076" i="4"/>
  <c r="B4075" i="4"/>
  <c r="A4075" i="4"/>
  <c r="B4074" i="4"/>
  <c r="A4074" i="4"/>
  <c r="B4073" i="4"/>
  <c r="A4073" i="4"/>
  <c r="B4072" i="4"/>
  <c r="A4072" i="4"/>
  <c r="B4071" i="4"/>
  <c r="A4071" i="4"/>
  <c r="B4070" i="4"/>
  <c r="A4070" i="4"/>
  <c r="B4069" i="4"/>
  <c r="A4069" i="4"/>
  <c r="B4068" i="4"/>
  <c r="A4068" i="4"/>
  <c r="B4067" i="4"/>
  <c r="A4067" i="4"/>
  <c r="B4066" i="4"/>
  <c r="A4066" i="4"/>
  <c r="B4065" i="4"/>
  <c r="A4065" i="4"/>
  <c r="B4064" i="4"/>
  <c r="A4064" i="4"/>
  <c r="B4063" i="4"/>
  <c r="A4063" i="4"/>
  <c r="B4062" i="4"/>
  <c r="A4062" i="4"/>
  <c r="B4061" i="4"/>
  <c r="A4061" i="4"/>
  <c r="B4060" i="4"/>
  <c r="A4060" i="4"/>
  <c r="B4059" i="4"/>
  <c r="A4059" i="4"/>
  <c r="B4058" i="4"/>
  <c r="A4058" i="4"/>
  <c r="B4057" i="4"/>
  <c r="A4057" i="4"/>
  <c r="B4056" i="4"/>
  <c r="A4056" i="4"/>
  <c r="B4055" i="4"/>
  <c r="A4055" i="4"/>
  <c r="B4054" i="4"/>
  <c r="A4054" i="4"/>
  <c r="B4053" i="4"/>
  <c r="A4053" i="4"/>
  <c r="B4052" i="4"/>
  <c r="A4052" i="4"/>
  <c r="B4051" i="4"/>
  <c r="A4051" i="4"/>
  <c r="B4050" i="4"/>
  <c r="A4050" i="4"/>
  <c r="B4049" i="4"/>
  <c r="A4049" i="4"/>
  <c r="B4048" i="4"/>
  <c r="A4048" i="4"/>
  <c r="B4047" i="4"/>
  <c r="A4047" i="4"/>
  <c r="B4046" i="4"/>
  <c r="A4046" i="4"/>
  <c r="B4045" i="4"/>
  <c r="A4045" i="4"/>
  <c r="B4044" i="4"/>
  <c r="A4044" i="4"/>
  <c r="B4043" i="4"/>
  <c r="A4043" i="4"/>
  <c r="B4042" i="4"/>
  <c r="A4042" i="4"/>
  <c r="B4041" i="4"/>
  <c r="A4041" i="4"/>
  <c r="B4040" i="4"/>
  <c r="A4040" i="4"/>
  <c r="B4039" i="4"/>
  <c r="A4039" i="4"/>
  <c r="B4038" i="4"/>
  <c r="A4038" i="4"/>
  <c r="B4037" i="4"/>
  <c r="A4037" i="4"/>
  <c r="B4036" i="4"/>
  <c r="A4036" i="4"/>
  <c r="B4035" i="4"/>
  <c r="A4035" i="4"/>
  <c r="B4034" i="4"/>
  <c r="A4034" i="4"/>
  <c r="B4033" i="4"/>
  <c r="A4033" i="4"/>
  <c r="B4032" i="4"/>
  <c r="A4032" i="4"/>
  <c r="B4031" i="4"/>
  <c r="A4031" i="4"/>
  <c r="B4030" i="4"/>
  <c r="A4030" i="4"/>
  <c r="B4029" i="4"/>
  <c r="A4029" i="4"/>
  <c r="B4028" i="4"/>
  <c r="A4028" i="4"/>
  <c r="B4027" i="4"/>
  <c r="A4027" i="4"/>
  <c r="B4026" i="4"/>
  <c r="A4026" i="4"/>
  <c r="B4025" i="4"/>
  <c r="A4025" i="4"/>
  <c r="B4024" i="4"/>
  <c r="A4024" i="4"/>
  <c r="B4023" i="4"/>
  <c r="A4023" i="4"/>
  <c r="B4022" i="4"/>
  <c r="A4022" i="4"/>
  <c r="B4021" i="4"/>
  <c r="A4021" i="4"/>
  <c r="B4020" i="4"/>
  <c r="A4020" i="4"/>
  <c r="B4019" i="4"/>
  <c r="A4019" i="4"/>
  <c r="B4018" i="4"/>
  <c r="A4018" i="4"/>
  <c r="B4017" i="4"/>
  <c r="A4017" i="4"/>
  <c r="B4016" i="4"/>
  <c r="A4016" i="4"/>
  <c r="B4015" i="4"/>
  <c r="A4015" i="4"/>
  <c r="B4014" i="4"/>
  <c r="A4014" i="4"/>
  <c r="B4013" i="4"/>
  <c r="A4013" i="4"/>
  <c r="B4012" i="4"/>
  <c r="A4012" i="4"/>
  <c r="B4011" i="4"/>
  <c r="A4011" i="4"/>
  <c r="B4010" i="4"/>
  <c r="A4010" i="4"/>
  <c r="B4009" i="4"/>
  <c r="A4009" i="4"/>
  <c r="B4008" i="4"/>
  <c r="A4008" i="4"/>
  <c r="B4007" i="4"/>
  <c r="A4007" i="4"/>
  <c r="B4006" i="4"/>
  <c r="A4006" i="4"/>
  <c r="B4005" i="4"/>
  <c r="A4005" i="4"/>
  <c r="B4004" i="4"/>
  <c r="A4004" i="4"/>
  <c r="B4003" i="4"/>
  <c r="A4003" i="4"/>
  <c r="B4002" i="4"/>
  <c r="A4002" i="4"/>
  <c r="B4001" i="4"/>
  <c r="A4001" i="4"/>
  <c r="B4000" i="4"/>
  <c r="A4000" i="4"/>
  <c r="B3999" i="4"/>
  <c r="A3999" i="4"/>
  <c r="B3998" i="4"/>
  <c r="A3998" i="4"/>
  <c r="B3997" i="4"/>
  <c r="A3997" i="4"/>
  <c r="B3996" i="4"/>
  <c r="A3996" i="4"/>
  <c r="B3995" i="4"/>
  <c r="A3995" i="4"/>
  <c r="B3994" i="4"/>
  <c r="A3994" i="4"/>
  <c r="B3993" i="4"/>
  <c r="A3993" i="4"/>
  <c r="B3992" i="4"/>
  <c r="A3992" i="4"/>
  <c r="B3991" i="4"/>
  <c r="A3991" i="4"/>
  <c r="B3990" i="4"/>
  <c r="A3990" i="4"/>
  <c r="B3989" i="4"/>
  <c r="A3989" i="4"/>
  <c r="B3988" i="4"/>
  <c r="A3988" i="4"/>
  <c r="B3987" i="4"/>
  <c r="A3987" i="4"/>
  <c r="B3986" i="4"/>
  <c r="A3986" i="4"/>
  <c r="B3985" i="4"/>
  <c r="A3985" i="4"/>
  <c r="B3984" i="4"/>
  <c r="A3984" i="4"/>
  <c r="B3983" i="4"/>
  <c r="A3983" i="4"/>
  <c r="B3982" i="4"/>
  <c r="A3982" i="4"/>
  <c r="B3981" i="4"/>
  <c r="A3981" i="4"/>
  <c r="B3980" i="4"/>
  <c r="A3980" i="4"/>
  <c r="B3979" i="4"/>
  <c r="A3979" i="4"/>
  <c r="B3978" i="4"/>
  <c r="A3978" i="4"/>
  <c r="B3977" i="4"/>
  <c r="A3977" i="4"/>
  <c r="B3976" i="4"/>
  <c r="A3976" i="4"/>
  <c r="B3975" i="4"/>
  <c r="A3975" i="4"/>
  <c r="B3974" i="4"/>
  <c r="A3974" i="4"/>
  <c r="B3973" i="4"/>
  <c r="A3973" i="4"/>
  <c r="B3972" i="4"/>
  <c r="A3972" i="4"/>
  <c r="B3971" i="4"/>
  <c r="A3971" i="4"/>
  <c r="B3970" i="4"/>
  <c r="A3970" i="4"/>
  <c r="B3969" i="4"/>
  <c r="A3969" i="4"/>
  <c r="B3968" i="4"/>
  <c r="A3968" i="4"/>
  <c r="B3967" i="4"/>
  <c r="A3967" i="4"/>
  <c r="B3966" i="4"/>
  <c r="A3966" i="4"/>
  <c r="B3965" i="4"/>
  <c r="A3965" i="4"/>
  <c r="B3964" i="4"/>
  <c r="A3964" i="4"/>
  <c r="B3963" i="4"/>
  <c r="A3963" i="4"/>
  <c r="B3962" i="4"/>
  <c r="A3962" i="4"/>
  <c r="B3961" i="4"/>
  <c r="A3961" i="4"/>
  <c r="B3960" i="4"/>
  <c r="A3960" i="4"/>
  <c r="B3959" i="4"/>
  <c r="A3959" i="4"/>
  <c r="B3958" i="4"/>
  <c r="A3958" i="4"/>
  <c r="B3957" i="4"/>
  <c r="A3957" i="4"/>
  <c r="B3956" i="4"/>
  <c r="A3956" i="4"/>
  <c r="B3955" i="4"/>
  <c r="A3955" i="4"/>
  <c r="B3954" i="4"/>
  <c r="A3954" i="4"/>
  <c r="B3953" i="4"/>
  <c r="A3953" i="4"/>
  <c r="B3952" i="4"/>
  <c r="A3952" i="4"/>
  <c r="B3951" i="4"/>
  <c r="A3951" i="4"/>
  <c r="B3950" i="4"/>
  <c r="A3950" i="4"/>
  <c r="B3949" i="4"/>
  <c r="A3949" i="4"/>
  <c r="B3948" i="4"/>
  <c r="A3948" i="4"/>
  <c r="B3947" i="4"/>
  <c r="A3947" i="4"/>
  <c r="B3946" i="4"/>
  <c r="A3946" i="4"/>
  <c r="B3945" i="4"/>
  <c r="A3945" i="4"/>
  <c r="B3944" i="4"/>
  <c r="A3944" i="4"/>
  <c r="B3943" i="4"/>
  <c r="A3943" i="4"/>
  <c r="B3942" i="4"/>
  <c r="A3942" i="4"/>
  <c r="B3941" i="4"/>
  <c r="A3941" i="4"/>
  <c r="B3940" i="4"/>
  <c r="A3940" i="4"/>
  <c r="B3939" i="4"/>
  <c r="A3939" i="4"/>
  <c r="B3938" i="4"/>
  <c r="A3938" i="4"/>
  <c r="B3937" i="4"/>
  <c r="A3937" i="4"/>
  <c r="B3936" i="4"/>
  <c r="A3936" i="4"/>
  <c r="B3935" i="4"/>
  <c r="A3935" i="4"/>
  <c r="B3934" i="4"/>
  <c r="A3934" i="4"/>
  <c r="B3933" i="4"/>
  <c r="A3933" i="4"/>
  <c r="B3932" i="4"/>
  <c r="A3932" i="4"/>
  <c r="B3931" i="4"/>
  <c r="A3931" i="4"/>
  <c r="B3930" i="4"/>
  <c r="A3930" i="4"/>
  <c r="B3929" i="4"/>
  <c r="A3929" i="4"/>
  <c r="B3928" i="4"/>
  <c r="A3928" i="4"/>
  <c r="B3927" i="4"/>
  <c r="A3927" i="4"/>
  <c r="B3926" i="4"/>
  <c r="A3926" i="4"/>
  <c r="B3925" i="4"/>
  <c r="A3925" i="4"/>
  <c r="B3924" i="4"/>
  <c r="A3924" i="4"/>
  <c r="B3923" i="4"/>
  <c r="A3923" i="4"/>
  <c r="B3922" i="4"/>
  <c r="A3922" i="4"/>
  <c r="B3921" i="4"/>
  <c r="A3921" i="4"/>
  <c r="B3920" i="4"/>
  <c r="A3920" i="4"/>
  <c r="B3919" i="4"/>
  <c r="A3919" i="4"/>
  <c r="B3918" i="4"/>
  <c r="A3918" i="4"/>
  <c r="B3917" i="4"/>
  <c r="A3917" i="4"/>
  <c r="B3916" i="4"/>
  <c r="A3916" i="4"/>
  <c r="B3915" i="4"/>
  <c r="A3915" i="4"/>
  <c r="B3914" i="4"/>
  <c r="A3914" i="4"/>
  <c r="B3913" i="4"/>
  <c r="A3913" i="4"/>
  <c r="B3912" i="4"/>
  <c r="A3912" i="4"/>
  <c r="B3911" i="4"/>
  <c r="A3911" i="4"/>
  <c r="B3910" i="4"/>
  <c r="A3910" i="4"/>
  <c r="B3909" i="4"/>
  <c r="A3909" i="4"/>
  <c r="B3908" i="4"/>
  <c r="A3908" i="4"/>
  <c r="B3907" i="4"/>
  <c r="A3907" i="4"/>
  <c r="B3906" i="4"/>
  <c r="A3906" i="4"/>
  <c r="B3905" i="4"/>
  <c r="A3905" i="4"/>
  <c r="B3904" i="4"/>
  <c r="A3904" i="4"/>
  <c r="B3903" i="4"/>
  <c r="A3903" i="4"/>
  <c r="B3902" i="4"/>
  <c r="A3902" i="4"/>
  <c r="B3901" i="4"/>
  <c r="A3901" i="4"/>
  <c r="B3900" i="4"/>
  <c r="A3900" i="4"/>
  <c r="B3899" i="4"/>
  <c r="A3899" i="4"/>
  <c r="B3898" i="4"/>
  <c r="A3898" i="4"/>
  <c r="B3897" i="4"/>
  <c r="A3897" i="4"/>
  <c r="B3896" i="4"/>
  <c r="A3896" i="4"/>
  <c r="B3895" i="4"/>
  <c r="A3895" i="4"/>
  <c r="B3894" i="4"/>
  <c r="A3894" i="4"/>
  <c r="B3893" i="4"/>
  <c r="A3893" i="4"/>
  <c r="B3892" i="4"/>
  <c r="A3892" i="4"/>
  <c r="B3891" i="4"/>
  <c r="A3891" i="4"/>
  <c r="B3890" i="4"/>
  <c r="A3890" i="4"/>
  <c r="B3889" i="4"/>
  <c r="A3889" i="4"/>
  <c r="B3888" i="4"/>
  <c r="A3888" i="4"/>
  <c r="B3887" i="4"/>
  <c r="A3887" i="4"/>
  <c r="B3886" i="4"/>
  <c r="A3886" i="4"/>
  <c r="B3885" i="4"/>
  <c r="A3885" i="4"/>
  <c r="B3884" i="4"/>
  <c r="A3884" i="4"/>
  <c r="B3883" i="4"/>
  <c r="A3883" i="4"/>
  <c r="B3882" i="4"/>
  <c r="A3882" i="4"/>
  <c r="B3881" i="4"/>
  <c r="A3881" i="4"/>
  <c r="B3880" i="4"/>
  <c r="A3880" i="4"/>
  <c r="B3879" i="4"/>
  <c r="A3879" i="4"/>
  <c r="B3878" i="4"/>
  <c r="A3878" i="4"/>
  <c r="B3877" i="4"/>
  <c r="A3877" i="4"/>
  <c r="B3876" i="4"/>
  <c r="A3876" i="4"/>
  <c r="B3875" i="4"/>
  <c r="A3875" i="4"/>
  <c r="B3874" i="4"/>
  <c r="A3874" i="4"/>
  <c r="B3873" i="4"/>
  <c r="A3873" i="4"/>
  <c r="B3872" i="4"/>
  <c r="A3872" i="4"/>
  <c r="B3871" i="4"/>
  <c r="A3871" i="4"/>
  <c r="B3870" i="4"/>
  <c r="A3870" i="4"/>
  <c r="B3869" i="4"/>
  <c r="A3869" i="4"/>
  <c r="B3868" i="4"/>
  <c r="A3868" i="4"/>
  <c r="B3867" i="4"/>
  <c r="A3867" i="4"/>
  <c r="B3866" i="4"/>
  <c r="A3866" i="4"/>
  <c r="B3865" i="4"/>
  <c r="A3865" i="4"/>
  <c r="B3864" i="4"/>
  <c r="A3864" i="4"/>
  <c r="B3863" i="4"/>
  <c r="A3863" i="4"/>
  <c r="B3862" i="4"/>
  <c r="A3862" i="4"/>
  <c r="B3861" i="4"/>
  <c r="A3861" i="4"/>
  <c r="B3860" i="4"/>
  <c r="A3860" i="4"/>
  <c r="B3859" i="4"/>
  <c r="A3859" i="4"/>
  <c r="B3858" i="4"/>
  <c r="A3858" i="4"/>
  <c r="B3857" i="4"/>
  <c r="A3857" i="4"/>
  <c r="B3856" i="4"/>
  <c r="A3856" i="4"/>
  <c r="B3855" i="4"/>
  <c r="A3855" i="4"/>
  <c r="B3854" i="4"/>
  <c r="A3854" i="4"/>
  <c r="B3853" i="4"/>
  <c r="A3853" i="4"/>
  <c r="B3852" i="4"/>
  <c r="A3852" i="4"/>
  <c r="B3851" i="4"/>
  <c r="A3851" i="4"/>
  <c r="B3850" i="4"/>
  <c r="A3850" i="4"/>
  <c r="B3849" i="4"/>
  <c r="A3849" i="4"/>
  <c r="B3848" i="4"/>
  <c r="A3848" i="4"/>
  <c r="B3847" i="4"/>
  <c r="A3847" i="4"/>
  <c r="B3846" i="4"/>
  <c r="A3846" i="4"/>
  <c r="B3845" i="4"/>
  <c r="A3845" i="4"/>
  <c r="B3844" i="4"/>
  <c r="A3844" i="4"/>
  <c r="B3843" i="4"/>
  <c r="A3843" i="4"/>
  <c r="B3842" i="4"/>
  <c r="A3842" i="4"/>
  <c r="B3841" i="4"/>
  <c r="A3841" i="4"/>
  <c r="B3840" i="4"/>
  <c r="A3840" i="4"/>
  <c r="B3839" i="4"/>
  <c r="A3839" i="4"/>
  <c r="B3838" i="4"/>
  <c r="A3838" i="4"/>
  <c r="B3837" i="4"/>
  <c r="A3837" i="4"/>
  <c r="B3836" i="4"/>
  <c r="A3836" i="4"/>
  <c r="B3835" i="4"/>
  <c r="A3835" i="4"/>
  <c r="B3834" i="4"/>
  <c r="A3834" i="4"/>
  <c r="B3833" i="4"/>
  <c r="A3833" i="4"/>
  <c r="B3832" i="4"/>
  <c r="A3832" i="4"/>
  <c r="B3831" i="4"/>
  <c r="A3831" i="4"/>
  <c r="B3830" i="4"/>
  <c r="A3830" i="4"/>
  <c r="B3829" i="4"/>
  <c r="A3829" i="4"/>
  <c r="B3828" i="4"/>
  <c r="A3828" i="4"/>
  <c r="B3827" i="4"/>
  <c r="A3827" i="4"/>
  <c r="B3826" i="4"/>
  <c r="A3826" i="4"/>
  <c r="B3825" i="4"/>
  <c r="A3825" i="4"/>
  <c r="B3824" i="4"/>
  <c r="A3824" i="4"/>
  <c r="B3823" i="4"/>
  <c r="A3823" i="4"/>
  <c r="B3822" i="4"/>
  <c r="A3822" i="4"/>
  <c r="B3821" i="4"/>
  <c r="A3821" i="4"/>
  <c r="B3820" i="4"/>
  <c r="A3820" i="4"/>
  <c r="B3819" i="4"/>
  <c r="A3819" i="4"/>
  <c r="B3818" i="4"/>
  <c r="A3818" i="4"/>
  <c r="B3817" i="4"/>
  <c r="A3817" i="4"/>
  <c r="B3816" i="4"/>
  <c r="A3816" i="4"/>
  <c r="B3815" i="4"/>
  <c r="A3815" i="4"/>
  <c r="B3814" i="4"/>
  <c r="A3814" i="4"/>
  <c r="B3813" i="4"/>
  <c r="A3813" i="4"/>
  <c r="B3812" i="4"/>
  <c r="A3812" i="4"/>
  <c r="B3811" i="4"/>
  <c r="A3811" i="4"/>
  <c r="B3810" i="4"/>
  <c r="A3810" i="4"/>
  <c r="B3809" i="4"/>
  <c r="A3809" i="4"/>
  <c r="B3808" i="4"/>
  <c r="A3808" i="4"/>
  <c r="B3807" i="4"/>
  <c r="A3807" i="4"/>
  <c r="B3806" i="4"/>
  <c r="A3806" i="4"/>
  <c r="B3805" i="4"/>
  <c r="A3805" i="4"/>
  <c r="B3804" i="4"/>
  <c r="A3804" i="4"/>
  <c r="B3803" i="4"/>
  <c r="A3803" i="4"/>
  <c r="B3802" i="4"/>
  <c r="A3802" i="4"/>
  <c r="B3801" i="4"/>
  <c r="A3801" i="4"/>
  <c r="B3800" i="4"/>
  <c r="A3800" i="4"/>
  <c r="B3799" i="4"/>
  <c r="A3799" i="4"/>
  <c r="B3798" i="4"/>
  <c r="A3798" i="4"/>
  <c r="B3797" i="4"/>
  <c r="A3797" i="4"/>
  <c r="B3796" i="4"/>
  <c r="A3796" i="4"/>
  <c r="B3795" i="4"/>
  <c r="A3795" i="4"/>
  <c r="B3794" i="4"/>
  <c r="A3794" i="4"/>
  <c r="B3793" i="4"/>
  <c r="A3793" i="4"/>
  <c r="B3792" i="4"/>
  <c r="A3792" i="4"/>
  <c r="B3791" i="4"/>
  <c r="A3791" i="4"/>
  <c r="B3790" i="4"/>
  <c r="A3790" i="4"/>
  <c r="B3789" i="4"/>
  <c r="A3789" i="4"/>
  <c r="B3788" i="4"/>
  <c r="A3788" i="4"/>
  <c r="B3787" i="4"/>
  <c r="A3787" i="4"/>
  <c r="B3786" i="4"/>
  <c r="A3786" i="4"/>
  <c r="B3785" i="4"/>
  <c r="A3785" i="4"/>
  <c r="B3784" i="4"/>
  <c r="A3784" i="4"/>
  <c r="B3783" i="4"/>
  <c r="A3783" i="4"/>
  <c r="B3782" i="4"/>
  <c r="A3782" i="4"/>
  <c r="B3781" i="4"/>
  <c r="A3781" i="4"/>
  <c r="B3780" i="4"/>
  <c r="A3780" i="4"/>
  <c r="B3779" i="4"/>
  <c r="A3779" i="4"/>
  <c r="B3778" i="4"/>
  <c r="A3778" i="4"/>
  <c r="B3777" i="4"/>
  <c r="A3777" i="4"/>
  <c r="B3776" i="4"/>
  <c r="A3776" i="4"/>
  <c r="B3775" i="4"/>
  <c r="A3775" i="4"/>
  <c r="B3774" i="4"/>
  <c r="A3774" i="4"/>
  <c r="B3773" i="4"/>
  <c r="A3773" i="4"/>
  <c r="B3772" i="4"/>
  <c r="A3772" i="4"/>
  <c r="B3771" i="4"/>
  <c r="A3771" i="4"/>
  <c r="B3770" i="4"/>
  <c r="A3770" i="4"/>
  <c r="B3769" i="4"/>
  <c r="A3769" i="4"/>
  <c r="B3768" i="4"/>
  <c r="A3768" i="4"/>
  <c r="B3767" i="4"/>
  <c r="A3767" i="4"/>
  <c r="B3766" i="4"/>
  <c r="A3766" i="4"/>
  <c r="B3765" i="4"/>
  <c r="A3765" i="4"/>
  <c r="B3764" i="4"/>
  <c r="A3764" i="4"/>
  <c r="B3763" i="4"/>
  <c r="A3763" i="4"/>
  <c r="B3762" i="4"/>
  <c r="A3762" i="4"/>
  <c r="B3761" i="4"/>
  <c r="A3761" i="4"/>
  <c r="B3760" i="4"/>
  <c r="A3760" i="4"/>
  <c r="B3759" i="4"/>
  <c r="A3759" i="4"/>
  <c r="B3758" i="4"/>
  <c r="A3758" i="4"/>
  <c r="B3757" i="4"/>
  <c r="A3757" i="4"/>
  <c r="B3756" i="4"/>
  <c r="A3756" i="4"/>
  <c r="B3755" i="4"/>
  <c r="A3755" i="4"/>
  <c r="B3754" i="4"/>
  <c r="A3754" i="4"/>
  <c r="B3753" i="4"/>
  <c r="A3753" i="4"/>
  <c r="B3752" i="4"/>
  <c r="A3752" i="4"/>
  <c r="B3751" i="4"/>
  <c r="A3751" i="4"/>
  <c r="B3750" i="4"/>
  <c r="A3750" i="4"/>
  <c r="B3749" i="4"/>
  <c r="A3749" i="4"/>
  <c r="B3748" i="4"/>
  <c r="A3748" i="4"/>
  <c r="B3747" i="4"/>
  <c r="A3747" i="4"/>
  <c r="B3746" i="4"/>
  <c r="A3746" i="4"/>
  <c r="B3745" i="4"/>
  <c r="A3745" i="4"/>
  <c r="B3744" i="4"/>
  <c r="A3744" i="4"/>
  <c r="B3743" i="4"/>
  <c r="A3743" i="4"/>
  <c r="B3742" i="4"/>
  <c r="A3742" i="4"/>
  <c r="B3741" i="4"/>
  <c r="A3741" i="4"/>
  <c r="B3740" i="4"/>
  <c r="A3740" i="4"/>
  <c r="B3739" i="4"/>
  <c r="A3739" i="4"/>
  <c r="B3738" i="4"/>
  <c r="A3738" i="4"/>
  <c r="B3737" i="4"/>
  <c r="A3737" i="4"/>
  <c r="B3736" i="4"/>
  <c r="A3736" i="4"/>
  <c r="B3735" i="4"/>
  <c r="A3735" i="4"/>
  <c r="B3734" i="4"/>
  <c r="A3734" i="4"/>
  <c r="B3733" i="4"/>
  <c r="A3733" i="4"/>
  <c r="B3732" i="4"/>
  <c r="A3732" i="4"/>
  <c r="B3731" i="4"/>
  <c r="A3731" i="4"/>
  <c r="B3730" i="4"/>
  <c r="A3730" i="4"/>
  <c r="B3729" i="4"/>
  <c r="A3729" i="4"/>
  <c r="B3728" i="4"/>
  <c r="A3728" i="4"/>
  <c r="B3727" i="4"/>
  <c r="A3727" i="4"/>
  <c r="B3726" i="4"/>
  <c r="A3726" i="4"/>
  <c r="B3725" i="4"/>
  <c r="A3725" i="4"/>
  <c r="B3724" i="4"/>
  <c r="A3724" i="4"/>
  <c r="B3723" i="4"/>
  <c r="A3723" i="4"/>
  <c r="B3722" i="4"/>
  <c r="A3722" i="4"/>
  <c r="B3721" i="4"/>
  <c r="A3721" i="4"/>
  <c r="B3720" i="4"/>
  <c r="A3720" i="4"/>
  <c r="B3719" i="4"/>
  <c r="A3719" i="4"/>
  <c r="B3718" i="4"/>
  <c r="A3718" i="4"/>
  <c r="B3717" i="4"/>
  <c r="A3717" i="4"/>
  <c r="B3716" i="4"/>
  <c r="A3716" i="4"/>
  <c r="B3715" i="4"/>
  <c r="A3715" i="4"/>
  <c r="B3714" i="4"/>
  <c r="A3714" i="4"/>
  <c r="B3713" i="4"/>
  <c r="A3713" i="4"/>
  <c r="B3712" i="4"/>
  <c r="A3712" i="4"/>
  <c r="B3711" i="4"/>
  <c r="A3711" i="4"/>
  <c r="B3710" i="4"/>
  <c r="A3710" i="4"/>
  <c r="B3709" i="4"/>
  <c r="A3709" i="4"/>
  <c r="B3708" i="4"/>
  <c r="A3708" i="4"/>
  <c r="B3707" i="4"/>
  <c r="A3707" i="4"/>
  <c r="B3706" i="4"/>
  <c r="A3706" i="4"/>
  <c r="B3705" i="4"/>
  <c r="A3705" i="4"/>
  <c r="B3704" i="4"/>
  <c r="A3704" i="4"/>
  <c r="B3703" i="4"/>
  <c r="A3703" i="4"/>
  <c r="B3702" i="4"/>
  <c r="A3702" i="4"/>
  <c r="B3701" i="4"/>
  <c r="A3701" i="4"/>
  <c r="B3700" i="4"/>
  <c r="A3700" i="4"/>
  <c r="B3699" i="4"/>
  <c r="A3699" i="4"/>
  <c r="B3698" i="4"/>
  <c r="A3698" i="4"/>
  <c r="B3697" i="4"/>
  <c r="A3697" i="4"/>
  <c r="B3696" i="4"/>
  <c r="A3696" i="4"/>
  <c r="B3695" i="4"/>
  <c r="A3695" i="4"/>
  <c r="B3694" i="4"/>
  <c r="A3694" i="4"/>
  <c r="B3693" i="4"/>
  <c r="A3693" i="4"/>
  <c r="B3692" i="4"/>
  <c r="A3692" i="4"/>
  <c r="B3691" i="4"/>
  <c r="A3691" i="4"/>
  <c r="B3690" i="4"/>
  <c r="A3690" i="4"/>
  <c r="B3689" i="4"/>
  <c r="A3689" i="4"/>
  <c r="B3688" i="4"/>
  <c r="A3688" i="4"/>
  <c r="B3687" i="4"/>
  <c r="A3687" i="4"/>
  <c r="B3686" i="4"/>
  <c r="A3686" i="4"/>
  <c r="B3685" i="4"/>
  <c r="A3685" i="4"/>
  <c r="B3684" i="4"/>
  <c r="A3684" i="4"/>
  <c r="B3683" i="4"/>
  <c r="A3683" i="4"/>
  <c r="B3682" i="4"/>
  <c r="A3682" i="4"/>
  <c r="B3681" i="4"/>
  <c r="A3681" i="4"/>
  <c r="B3680" i="4"/>
  <c r="A3680" i="4"/>
  <c r="B3679" i="4"/>
  <c r="A3679" i="4"/>
  <c r="B3678" i="4"/>
  <c r="A3678" i="4"/>
  <c r="B3677" i="4"/>
  <c r="A3677" i="4"/>
  <c r="B3676" i="4"/>
  <c r="A3676" i="4"/>
  <c r="B3675" i="4"/>
  <c r="A3675" i="4"/>
  <c r="B3674" i="4"/>
  <c r="A3674" i="4"/>
  <c r="B3673" i="4"/>
  <c r="A3673" i="4"/>
  <c r="B3672" i="4"/>
  <c r="A3672" i="4"/>
  <c r="B3671" i="4"/>
  <c r="A3671" i="4"/>
  <c r="B3670" i="4"/>
  <c r="A3670" i="4"/>
  <c r="B3669" i="4"/>
  <c r="A3669" i="4"/>
  <c r="B3668" i="4"/>
  <c r="A3668" i="4"/>
  <c r="B3667" i="4"/>
  <c r="A3667" i="4"/>
  <c r="B3666" i="4"/>
  <c r="A3666" i="4"/>
  <c r="B3665" i="4"/>
  <c r="A3665" i="4"/>
  <c r="B3664" i="4"/>
  <c r="A3664" i="4"/>
  <c r="B3663" i="4"/>
  <c r="A3663" i="4"/>
  <c r="B3662" i="4"/>
  <c r="A3662" i="4"/>
  <c r="B3661" i="4"/>
  <c r="A3661" i="4"/>
  <c r="B3660" i="4"/>
  <c r="A3660" i="4"/>
  <c r="B3659" i="4"/>
  <c r="A3659" i="4"/>
  <c r="B3658" i="4"/>
  <c r="A3658" i="4"/>
  <c r="B3657" i="4"/>
  <c r="A3657" i="4"/>
  <c r="B3656" i="4"/>
  <c r="A3656" i="4"/>
  <c r="B3655" i="4"/>
  <c r="A3655" i="4"/>
  <c r="B3654" i="4"/>
  <c r="A3654" i="4"/>
  <c r="B3653" i="4"/>
  <c r="A3653" i="4"/>
  <c r="B3652" i="4"/>
  <c r="A3652" i="4"/>
  <c r="B3651" i="4"/>
  <c r="A3651" i="4"/>
  <c r="B3650" i="4"/>
  <c r="A3650" i="4"/>
  <c r="B3649" i="4"/>
  <c r="A3649" i="4"/>
  <c r="B3648" i="4"/>
  <c r="A3648" i="4"/>
  <c r="B3647" i="4"/>
  <c r="A3647" i="4"/>
  <c r="B3646" i="4"/>
  <c r="A3646" i="4"/>
  <c r="B3645" i="4"/>
  <c r="A3645" i="4"/>
  <c r="B3644" i="4"/>
  <c r="A3644" i="4"/>
  <c r="B3643" i="4"/>
  <c r="A3643" i="4"/>
  <c r="B3642" i="4"/>
  <c r="A3642" i="4"/>
  <c r="B3641" i="4"/>
  <c r="A3641" i="4"/>
  <c r="B3640" i="4"/>
  <c r="A3640" i="4"/>
  <c r="B3639" i="4"/>
  <c r="A3639" i="4"/>
  <c r="B3638" i="4"/>
  <c r="A3638" i="4"/>
  <c r="B3637" i="4"/>
  <c r="A3637" i="4"/>
  <c r="B3636" i="4"/>
  <c r="A3636" i="4"/>
  <c r="B3635" i="4"/>
  <c r="A3635" i="4"/>
  <c r="B3634" i="4"/>
  <c r="A3634" i="4"/>
  <c r="B3633" i="4"/>
  <c r="A3633" i="4"/>
  <c r="B3632" i="4"/>
  <c r="A3632" i="4"/>
  <c r="B3631" i="4"/>
  <c r="A3631" i="4"/>
  <c r="B3630" i="4"/>
  <c r="A3630" i="4"/>
  <c r="B3629" i="4"/>
  <c r="A3629" i="4"/>
  <c r="B3628" i="4"/>
  <c r="A3628" i="4"/>
  <c r="B3627" i="4"/>
  <c r="A3627" i="4"/>
  <c r="B3626" i="4"/>
  <c r="A3626" i="4"/>
  <c r="B3625" i="4"/>
  <c r="A3625" i="4"/>
  <c r="B3624" i="4"/>
  <c r="A3624" i="4"/>
  <c r="B3623" i="4"/>
  <c r="A3623" i="4"/>
  <c r="B3622" i="4"/>
  <c r="A3622" i="4"/>
  <c r="B3621" i="4"/>
  <c r="A3621" i="4"/>
  <c r="B3620" i="4"/>
  <c r="A3620" i="4"/>
  <c r="B3619" i="4"/>
  <c r="A3619" i="4"/>
  <c r="B3618" i="4"/>
  <c r="A3618" i="4"/>
  <c r="B3617" i="4"/>
  <c r="A3617" i="4"/>
  <c r="B3616" i="4"/>
  <c r="A3616" i="4"/>
  <c r="B3615" i="4"/>
  <c r="A3615" i="4"/>
  <c r="B3614" i="4"/>
  <c r="A3614" i="4"/>
  <c r="B3613" i="4"/>
  <c r="A3613" i="4"/>
  <c r="B3612" i="4"/>
  <c r="A3612" i="4"/>
  <c r="B3611" i="4"/>
  <c r="A3611" i="4"/>
  <c r="B3610" i="4"/>
  <c r="A3610" i="4"/>
  <c r="B3609" i="4"/>
  <c r="A3609" i="4"/>
  <c r="B3608" i="4"/>
  <c r="A3608" i="4"/>
  <c r="B3607" i="4"/>
  <c r="A3607" i="4"/>
  <c r="B3606" i="4"/>
  <c r="A3606" i="4"/>
  <c r="B3605" i="4"/>
  <c r="A3605" i="4"/>
  <c r="B3604" i="4"/>
  <c r="A3604" i="4"/>
  <c r="B3603" i="4"/>
  <c r="A3603" i="4"/>
  <c r="B3602" i="4"/>
  <c r="A3602" i="4"/>
  <c r="B3601" i="4"/>
  <c r="A3601" i="4"/>
  <c r="B3600" i="4"/>
  <c r="A3600" i="4"/>
  <c r="B3599" i="4"/>
  <c r="A3599" i="4"/>
  <c r="B3598" i="4"/>
  <c r="A3598" i="4"/>
  <c r="B3597" i="4"/>
  <c r="A3597" i="4"/>
  <c r="B3596" i="4"/>
  <c r="A3596" i="4"/>
  <c r="B3595" i="4"/>
  <c r="A3595" i="4"/>
  <c r="B3594" i="4"/>
  <c r="A3594" i="4"/>
  <c r="B3593" i="4"/>
  <c r="A3593" i="4"/>
  <c r="B3592" i="4"/>
  <c r="A3592" i="4"/>
  <c r="B3591" i="4"/>
  <c r="A3591" i="4"/>
  <c r="B3590" i="4"/>
  <c r="A3590" i="4"/>
  <c r="B3589" i="4"/>
  <c r="A3589" i="4"/>
  <c r="B3588" i="4"/>
  <c r="A3588" i="4"/>
  <c r="B3587" i="4"/>
  <c r="A3587" i="4"/>
  <c r="B3586" i="4"/>
  <c r="A3586" i="4"/>
  <c r="B3585" i="4"/>
  <c r="A3585" i="4"/>
  <c r="B3584" i="4"/>
  <c r="A3584" i="4"/>
  <c r="B3583" i="4"/>
  <c r="A3583" i="4"/>
  <c r="B3582" i="4"/>
  <c r="A3582" i="4"/>
  <c r="B3581" i="4"/>
  <c r="A3581" i="4"/>
  <c r="B3580" i="4"/>
  <c r="A3580" i="4"/>
  <c r="B3579" i="4"/>
  <c r="A3579" i="4"/>
  <c r="B3578" i="4"/>
  <c r="A3578" i="4"/>
  <c r="B3577" i="4"/>
  <c r="A3577" i="4"/>
  <c r="B3576" i="4"/>
  <c r="A3576" i="4"/>
  <c r="B3575" i="4"/>
  <c r="A3575" i="4"/>
  <c r="B3574" i="4"/>
  <c r="A3574" i="4"/>
  <c r="B3573" i="4"/>
  <c r="A3573" i="4"/>
  <c r="B3572" i="4"/>
  <c r="A3572" i="4"/>
  <c r="B3571" i="4"/>
  <c r="A3571" i="4"/>
  <c r="B3570" i="4"/>
  <c r="A3570" i="4"/>
  <c r="B3569" i="4"/>
  <c r="A3569" i="4"/>
  <c r="B3568" i="4"/>
  <c r="A3568" i="4"/>
  <c r="B3567" i="4"/>
  <c r="A3567" i="4"/>
  <c r="B3566" i="4"/>
  <c r="A3566" i="4"/>
  <c r="B3565" i="4"/>
  <c r="A3565" i="4"/>
  <c r="B3564" i="4"/>
  <c r="A3564" i="4"/>
  <c r="B3563" i="4"/>
  <c r="A3563" i="4"/>
  <c r="B3562" i="4"/>
  <c r="A3562" i="4"/>
  <c r="B3561" i="4"/>
  <c r="A3561" i="4"/>
  <c r="B3560" i="4"/>
  <c r="A3560" i="4"/>
  <c r="B3559" i="4"/>
  <c r="A3559" i="4"/>
  <c r="B3558" i="4"/>
  <c r="A3558" i="4"/>
  <c r="B3557" i="4"/>
  <c r="A3557" i="4"/>
  <c r="B3556" i="4"/>
  <c r="A3556" i="4"/>
  <c r="B3555" i="4"/>
  <c r="A3555" i="4"/>
  <c r="B3554" i="4"/>
  <c r="A3554" i="4"/>
  <c r="B3553" i="4"/>
  <c r="A3553" i="4"/>
  <c r="B3552" i="4"/>
  <c r="A3552" i="4"/>
  <c r="B3551" i="4"/>
  <c r="A3551" i="4"/>
  <c r="B3550" i="4"/>
  <c r="A3550" i="4"/>
  <c r="B3549" i="4"/>
  <c r="A3549" i="4"/>
  <c r="B3548" i="4"/>
  <c r="A3548" i="4"/>
  <c r="B3547" i="4"/>
  <c r="A3547" i="4"/>
  <c r="B3546" i="4"/>
  <c r="A3546" i="4"/>
  <c r="B3545" i="4"/>
  <c r="A3545" i="4"/>
  <c r="B3544" i="4"/>
  <c r="A3544" i="4"/>
  <c r="B3543" i="4"/>
  <c r="A3543" i="4"/>
  <c r="B3542" i="4"/>
  <c r="A3542" i="4"/>
  <c r="B3541" i="4"/>
  <c r="A3541" i="4"/>
  <c r="B3540" i="4"/>
  <c r="A3540" i="4"/>
  <c r="B3539" i="4"/>
  <c r="A3539" i="4"/>
  <c r="B3538" i="4"/>
  <c r="A3538" i="4"/>
  <c r="B3537" i="4"/>
  <c r="A3537" i="4"/>
  <c r="B3536" i="4"/>
  <c r="A3536" i="4"/>
  <c r="B3535" i="4"/>
  <c r="A3535" i="4"/>
  <c r="B3534" i="4"/>
  <c r="A3534" i="4"/>
  <c r="B3533" i="4"/>
  <c r="A3533" i="4"/>
  <c r="B3532" i="4"/>
  <c r="A3532" i="4"/>
  <c r="B3531" i="4"/>
  <c r="A3531" i="4"/>
  <c r="B3530" i="4"/>
  <c r="A3530" i="4"/>
  <c r="B3529" i="4"/>
  <c r="A3529" i="4"/>
  <c r="B3528" i="4"/>
  <c r="A3528" i="4"/>
  <c r="B3527" i="4"/>
  <c r="A3527" i="4"/>
  <c r="B3526" i="4"/>
  <c r="A3526" i="4"/>
  <c r="B3525" i="4"/>
  <c r="A3525" i="4"/>
  <c r="B3524" i="4"/>
  <c r="A3524" i="4"/>
  <c r="B3523" i="4"/>
  <c r="A3523" i="4"/>
  <c r="B3522" i="4"/>
  <c r="A3522" i="4"/>
  <c r="B3521" i="4"/>
  <c r="A3521" i="4"/>
  <c r="B3520" i="4"/>
  <c r="A3520" i="4"/>
  <c r="B3519" i="4"/>
  <c r="A3519" i="4"/>
  <c r="B3518" i="4"/>
  <c r="A3518" i="4"/>
  <c r="B3517" i="4"/>
  <c r="A3517" i="4"/>
  <c r="B3516" i="4"/>
  <c r="A3516" i="4"/>
  <c r="B3515" i="4"/>
  <c r="A3515" i="4"/>
  <c r="B3514" i="4"/>
  <c r="A3514" i="4"/>
  <c r="B3513" i="4"/>
  <c r="A3513" i="4"/>
  <c r="B3512" i="4"/>
  <c r="A3512" i="4"/>
  <c r="B3511" i="4"/>
  <c r="A3511" i="4"/>
  <c r="B3510" i="4"/>
  <c r="A3510" i="4"/>
  <c r="B3509" i="4"/>
  <c r="A3509" i="4"/>
  <c r="B3508" i="4"/>
  <c r="A3508" i="4"/>
  <c r="B3507" i="4"/>
  <c r="A3507" i="4"/>
  <c r="B3506" i="4"/>
  <c r="A3506" i="4"/>
  <c r="B3505" i="4"/>
  <c r="A3505" i="4"/>
  <c r="B3504" i="4"/>
  <c r="A3504" i="4"/>
  <c r="B3503" i="4"/>
  <c r="A3503" i="4"/>
  <c r="B3502" i="4"/>
  <c r="A3502" i="4"/>
  <c r="B3501" i="4"/>
  <c r="A3501" i="4"/>
  <c r="B3500" i="4"/>
  <c r="A3500" i="4"/>
  <c r="B3499" i="4"/>
  <c r="A3499" i="4"/>
  <c r="B3498" i="4"/>
  <c r="A3498" i="4"/>
  <c r="B3497" i="4"/>
  <c r="A3497" i="4"/>
  <c r="B3496" i="4"/>
  <c r="A3496" i="4"/>
  <c r="B3495" i="4"/>
  <c r="A3495" i="4"/>
  <c r="B3494" i="4"/>
  <c r="A3494" i="4"/>
  <c r="B3493" i="4"/>
  <c r="A3493" i="4"/>
  <c r="B3492" i="4"/>
  <c r="A3492" i="4"/>
  <c r="B3491" i="4"/>
  <c r="A3491" i="4"/>
  <c r="B3490" i="4"/>
  <c r="A3490" i="4"/>
  <c r="B3489" i="4"/>
  <c r="A3489" i="4"/>
  <c r="B3488" i="4"/>
  <c r="A3488" i="4"/>
  <c r="B3487" i="4"/>
  <c r="A3487" i="4"/>
  <c r="B3486" i="4"/>
  <c r="A3486" i="4"/>
  <c r="B3485" i="4"/>
  <c r="A3485" i="4"/>
  <c r="B3484" i="4"/>
  <c r="A3484" i="4"/>
  <c r="B3483" i="4"/>
  <c r="A3483" i="4"/>
  <c r="B3482" i="4"/>
  <c r="A3482" i="4"/>
  <c r="B3481" i="4"/>
  <c r="A3481" i="4"/>
  <c r="B3480" i="4"/>
  <c r="A3480" i="4"/>
  <c r="B3479" i="4"/>
  <c r="A3479" i="4"/>
  <c r="B3478" i="4"/>
  <c r="A3478" i="4"/>
  <c r="B3477" i="4"/>
  <c r="A3477" i="4"/>
  <c r="B3476" i="4"/>
  <c r="A3476" i="4"/>
  <c r="B3475" i="4"/>
  <c r="A3475" i="4"/>
  <c r="B3474" i="4"/>
  <c r="A3474" i="4"/>
  <c r="B3473" i="4"/>
  <c r="A3473" i="4"/>
  <c r="B3472" i="4"/>
  <c r="A3472" i="4"/>
  <c r="B3471" i="4"/>
  <c r="A3471" i="4"/>
  <c r="B3470" i="4"/>
  <c r="A3470" i="4"/>
  <c r="B3469" i="4"/>
  <c r="A3469" i="4"/>
  <c r="B3468" i="4"/>
  <c r="A3468" i="4"/>
  <c r="B3467" i="4"/>
  <c r="A3467" i="4"/>
  <c r="B3466" i="4"/>
  <c r="A3466" i="4"/>
  <c r="B3465" i="4"/>
  <c r="A3465" i="4"/>
  <c r="B3464" i="4"/>
  <c r="A3464" i="4"/>
  <c r="B3463" i="4"/>
  <c r="A3463" i="4"/>
  <c r="B3462" i="4"/>
  <c r="A3462" i="4"/>
  <c r="B3461" i="4"/>
  <c r="A3461" i="4"/>
  <c r="B3460" i="4"/>
  <c r="A3460" i="4"/>
  <c r="B3459" i="4"/>
  <c r="A3459" i="4"/>
  <c r="B3458" i="4"/>
  <c r="A3458" i="4"/>
  <c r="B3457" i="4"/>
  <c r="A3457" i="4"/>
  <c r="B3456" i="4"/>
  <c r="A3456" i="4"/>
  <c r="B3455" i="4"/>
  <c r="A3455" i="4"/>
  <c r="B3454" i="4"/>
  <c r="A3454" i="4"/>
  <c r="B3453" i="4"/>
  <c r="A3453" i="4"/>
  <c r="B3452" i="4"/>
  <c r="A3452" i="4"/>
  <c r="B3451" i="4"/>
  <c r="A3451" i="4"/>
  <c r="B3450" i="4"/>
  <c r="A3450" i="4"/>
  <c r="B3449" i="4"/>
  <c r="A3449" i="4"/>
  <c r="B3448" i="4"/>
  <c r="A3448" i="4"/>
  <c r="B3447" i="4"/>
  <c r="A3447" i="4"/>
  <c r="B3446" i="4"/>
  <c r="A3446" i="4"/>
  <c r="B3445" i="4"/>
  <c r="A3445" i="4"/>
  <c r="B3444" i="4"/>
  <c r="A3444" i="4"/>
  <c r="B3443" i="4"/>
  <c r="A3443" i="4"/>
  <c r="B3442" i="4"/>
  <c r="A3442" i="4"/>
  <c r="B3441" i="4"/>
  <c r="A3441" i="4"/>
  <c r="B3440" i="4"/>
  <c r="A3440" i="4"/>
  <c r="B3439" i="4"/>
  <c r="A3439" i="4"/>
  <c r="B3438" i="4"/>
  <c r="A3438" i="4"/>
  <c r="B3437" i="4"/>
  <c r="A3437" i="4"/>
  <c r="B3436" i="4"/>
  <c r="A3436" i="4"/>
  <c r="B3435" i="4"/>
  <c r="A3435" i="4"/>
  <c r="B3434" i="4"/>
  <c r="A3434" i="4"/>
  <c r="B3433" i="4"/>
  <c r="A3433" i="4"/>
  <c r="B3432" i="4"/>
  <c r="A3432" i="4"/>
  <c r="B3431" i="4"/>
  <c r="A3431" i="4"/>
  <c r="B3430" i="4"/>
  <c r="A3430" i="4"/>
  <c r="B3429" i="4"/>
  <c r="A3429" i="4"/>
  <c r="B3428" i="4"/>
  <c r="A3428" i="4"/>
  <c r="B3427" i="4"/>
  <c r="A3427" i="4"/>
  <c r="B3426" i="4"/>
  <c r="A3426" i="4"/>
  <c r="B3425" i="4"/>
  <c r="A3425" i="4"/>
  <c r="B3424" i="4"/>
  <c r="A3424" i="4"/>
  <c r="B3423" i="4"/>
  <c r="A3423" i="4"/>
  <c r="B3422" i="4"/>
  <c r="A3422" i="4"/>
  <c r="B3421" i="4"/>
  <c r="A3421" i="4"/>
  <c r="B3420" i="4"/>
  <c r="A3420" i="4"/>
  <c r="B3419" i="4"/>
  <c r="A3419" i="4"/>
  <c r="B3418" i="4"/>
  <c r="A3418" i="4"/>
  <c r="B3417" i="4"/>
  <c r="A3417" i="4"/>
  <c r="B3416" i="4"/>
  <c r="A3416" i="4"/>
  <c r="B3415" i="4"/>
  <c r="A3415" i="4"/>
  <c r="B3414" i="4"/>
  <c r="A3414" i="4"/>
  <c r="B3413" i="4"/>
  <c r="A3413" i="4"/>
  <c r="B3412" i="4"/>
  <c r="A3412" i="4"/>
  <c r="B3411" i="4"/>
  <c r="A3411" i="4"/>
  <c r="B3410" i="4"/>
  <c r="A3410" i="4"/>
  <c r="B3409" i="4"/>
  <c r="A3409" i="4"/>
  <c r="B3408" i="4"/>
  <c r="A3408" i="4"/>
  <c r="B3407" i="4"/>
  <c r="A3407" i="4"/>
  <c r="B3406" i="4"/>
  <c r="A3406" i="4"/>
  <c r="B3405" i="4"/>
  <c r="A3405" i="4"/>
  <c r="B3404" i="4"/>
  <c r="A3404" i="4"/>
  <c r="B3403" i="4"/>
  <c r="A3403" i="4"/>
  <c r="B3402" i="4"/>
  <c r="A3402" i="4"/>
  <c r="B3401" i="4"/>
  <c r="A3401" i="4"/>
  <c r="B3400" i="4"/>
  <c r="A3400" i="4"/>
  <c r="B3399" i="4"/>
  <c r="A3399" i="4"/>
  <c r="B3398" i="4"/>
  <c r="A3398" i="4"/>
  <c r="B3397" i="4"/>
  <c r="A3397" i="4"/>
  <c r="B3396" i="4"/>
  <c r="A3396" i="4"/>
  <c r="B3395" i="4"/>
  <c r="A3395" i="4"/>
  <c r="B3394" i="4"/>
  <c r="A3394" i="4"/>
  <c r="B3393" i="4"/>
  <c r="A3393" i="4"/>
  <c r="B3392" i="4"/>
  <c r="A3392" i="4"/>
  <c r="B3391" i="4"/>
  <c r="A3391" i="4"/>
  <c r="B3390" i="4"/>
  <c r="A3390" i="4"/>
  <c r="B3389" i="4"/>
  <c r="A3389" i="4"/>
  <c r="B3388" i="4"/>
  <c r="A3388" i="4"/>
  <c r="B3387" i="4"/>
  <c r="A3387" i="4"/>
  <c r="B3386" i="4"/>
  <c r="A3386" i="4"/>
  <c r="B3385" i="4"/>
  <c r="A3385" i="4"/>
  <c r="B3384" i="4"/>
  <c r="A3384" i="4"/>
  <c r="B3383" i="4"/>
  <c r="A3383" i="4"/>
  <c r="B3382" i="4"/>
  <c r="A3382" i="4"/>
  <c r="B3381" i="4"/>
  <c r="A3381" i="4"/>
  <c r="B3380" i="4"/>
  <c r="A3380" i="4"/>
  <c r="B3379" i="4"/>
  <c r="A3379" i="4"/>
  <c r="B3378" i="4"/>
  <c r="A3378" i="4"/>
  <c r="B3377" i="4"/>
  <c r="A3377" i="4"/>
  <c r="B3376" i="4"/>
  <c r="A3376" i="4"/>
  <c r="B3375" i="4"/>
  <c r="A3375" i="4"/>
  <c r="B3374" i="4"/>
  <c r="A3374" i="4"/>
  <c r="B3373" i="4"/>
  <c r="A3373" i="4"/>
  <c r="B3372" i="4"/>
  <c r="A3372" i="4"/>
  <c r="B3371" i="4"/>
  <c r="A3371" i="4"/>
  <c r="B3370" i="4"/>
  <c r="A3370" i="4"/>
  <c r="B3369" i="4"/>
  <c r="A3369" i="4"/>
  <c r="B3368" i="4"/>
  <c r="A3368" i="4"/>
  <c r="B3367" i="4"/>
  <c r="A3367" i="4"/>
  <c r="B3366" i="4"/>
  <c r="A3366" i="4"/>
  <c r="B3365" i="4"/>
  <c r="A3365" i="4"/>
  <c r="B3364" i="4"/>
  <c r="A3364" i="4"/>
  <c r="B3363" i="4"/>
  <c r="A3363" i="4"/>
  <c r="B3362" i="4"/>
  <c r="A3362" i="4"/>
  <c r="B3361" i="4"/>
  <c r="A3361" i="4"/>
  <c r="B3360" i="4"/>
  <c r="A3360" i="4"/>
  <c r="B3359" i="4"/>
  <c r="A3359" i="4"/>
  <c r="B3358" i="4"/>
  <c r="A3358" i="4"/>
  <c r="B3357" i="4"/>
  <c r="A3357" i="4"/>
  <c r="B3356" i="4"/>
  <c r="A3356" i="4"/>
  <c r="B3355" i="4"/>
  <c r="A3355" i="4"/>
  <c r="B3354" i="4"/>
  <c r="A3354" i="4"/>
  <c r="B3353" i="4"/>
  <c r="A3353" i="4"/>
  <c r="B3352" i="4"/>
  <c r="A3352" i="4"/>
  <c r="B3351" i="4"/>
  <c r="A3351" i="4"/>
  <c r="B3350" i="4"/>
  <c r="A3350" i="4"/>
  <c r="B3349" i="4"/>
  <c r="A3349" i="4"/>
  <c r="B3348" i="4"/>
  <c r="A3348" i="4"/>
  <c r="B3347" i="4"/>
  <c r="A3347" i="4"/>
  <c r="B3346" i="4"/>
  <c r="A3346" i="4"/>
  <c r="B3345" i="4"/>
  <c r="A3345" i="4"/>
  <c r="B3344" i="4"/>
  <c r="A3344" i="4"/>
  <c r="B3343" i="4"/>
  <c r="A3343" i="4"/>
  <c r="B3342" i="4"/>
  <c r="A3342" i="4"/>
  <c r="B3341" i="4"/>
  <c r="A3341" i="4"/>
  <c r="B3340" i="4"/>
  <c r="A3340" i="4"/>
  <c r="B3339" i="4"/>
  <c r="A3339" i="4"/>
  <c r="B3338" i="4"/>
  <c r="A3338" i="4"/>
  <c r="B3337" i="4"/>
  <c r="A3337" i="4"/>
  <c r="B3336" i="4"/>
  <c r="A3336" i="4"/>
  <c r="B3335" i="4"/>
  <c r="A3335" i="4"/>
  <c r="B3334" i="4"/>
  <c r="A3334" i="4"/>
  <c r="B3333" i="4"/>
  <c r="A3333" i="4"/>
  <c r="B3332" i="4"/>
  <c r="A3332" i="4"/>
  <c r="B3331" i="4"/>
  <c r="A3331" i="4"/>
  <c r="B3330" i="4"/>
  <c r="A3330" i="4"/>
  <c r="B3329" i="4"/>
  <c r="A3329" i="4"/>
  <c r="B3328" i="4"/>
  <c r="A3328" i="4"/>
  <c r="B3327" i="4"/>
  <c r="A3327" i="4"/>
  <c r="B3326" i="4"/>
  <c r="A3326" i="4"/>
  <c r="B3325" i="4"/>
  <c r="A3325" i="4"/>
  <c r="B3324" i="4"/>
  <c r="A3324" i="4"/>
  <c r="B3323" i="4"/>
  <c r="A3323" i="4"/>
  <c r="B3322" i="4"/>
  <c r="A3322" i="4"/>
  <c r="B3321" i="4"/>
  <c r="A3321" i="4"/>
  <c r="B3320" i="4"/>
  <c r="A3320" i="4"/>
  <c r="B3319" i="4"/>
  <c r="A3319" i="4"/>
  <c r="B3318" i="4"/>
  <c r="A3318" i="4"/>
  <c r="B3317" i="4"/>
  <c r="A3317" i="4"/>
  <c r="B3316" i="4"/>
  <c r="A3316" i="4"/>
  <c r="B3315" i="4"/>
  <c r="A3315" i="4"/>
  <c r="B3314" i="4"/>
  <c r="A3314" i="4"/>
  <c r="B3313" i="4"/>
  <c r="A3313" i="4"/>
  <c r="B3312" i="4"/>
  <c r="A3312" i="4"/>
  <c r="B3311" i="4"/>
  <c r="A3311" i="4"/>
  <c r="B3310" i="4"/>
  <c r="A3310" i="4"/>
  <c r="B3309" i="4"/>
  <c r="A3309" i="4"/>
  <c r="B3308" i="4"/>
  <c r="A3308" i="4"/>
  <c r="B3307" i="4"/>
  <c r="A3307" i="4"/>
  <c r="B3306" i="4"/>
  <c r="A3306" i="4"/>
  <c r="B3305" i="4"/>
  <c r="A3305" i="4"/>
  <c r="B3304" i="4"/>
  <c r="A3304" i="4"/>
  <c r="B3303" i="4"/>
  <c r="A3303" i="4"/>
  <c r="B3302" i="4"/>
  <c r="A3302" i="4"/>
  <c r="B3301" i="4"/>
  <c r="A3301" i="4"/>
  <c r="B3300" i="4"/>
  <c r="A3300" i="4"/>
  <c r="B3299" i="4"/>
  <c r="A3299" i="4"/>
  <c r="B3298" i="4"/>
  <c r="A3298" i="4"/>
  <c r="B3297" i="4"/>
  <c r="A3297" i="4"/>
  <c r="B3296" i="4"/>
  <c r="A3296" i="4"/>
  <c r="B3295" i="4"/>
  <c r="A3295" i="4"/>
  <c r="B3294" i="4"/>
  <c r="A3294" i="4"/>
  <c r="B3293" i="4"/>
  <c r="A3293" i="4"/>
  <c r="B3292" i="4"/>
  <c r="A3292" i="4"/>
  <c r="B3291" i="4"/>
  <c r="A3291" i="4"/>
  <c r="B3290" i="4"/>
  <c r="A3290" i="4"/>
  <c r="B3289" i="4"/>
  <c r="A3289" i="4"/>
  <c r="B3288" i="4"/>
  <c r="A3288" i="4"/>
  <c r="B3287" i="4"/>
  <c r="A3287" i="4"/>
  <c r="B3286" i="4"/>
  <c r="A3286" i="4"/>
  <c r="B3285" i="4"/>
  <c r="A3285" i="4"/>
  <c r="B3284" i="4"/>
  <c r="A3284" i="4"/>
  <c r="B3283" i="4"/>
  <c r="A3283" i="4"/>
  <c r="B3282" i="4"/>
  <c r="A3282" i="4"/>
  <c r="B3281" i="4"/>
  <c r="A3281" i="4"/>
  <c r="B3280" i="4"/>
  <c r="A3280" i="4"/>
  <c r="B3279" i="4"/>
  <c r="A3279" i="4"/>
  <c r="B3278" i="4"/>
  <c r="A3278" i="4"/>
  <c r="B3277" i="4"/>
  <c r="A3277" i="4"/>
  <c r="B3276" i="4"/>
  <c r="A3276" i="4"/>
  <c r="B3275" i="4"/>
  <c r="A3275" i="4"/>
  <c r="B3274" i="4"/>
  <c r="A3274" i="4"/>
  <c r="B3273" i="4"/>
  <c r="A3273" i="4"/>
  <c r="B3272" i="4"/>
  <c r="A3272" i="4"/>
  <c r="B3271" i="4"/>
  <c r="A3271" i="4"/>
  <c r="B3270" i="4"/>
  <c r="A3270" i="4"/>
  <c r="B3269" i="4"/>
  <c r="A3269" i="4"/>
  <c r="B3268" i="4"/>
  <c r="A3268" i="4"/>
  <c r="B3267" i="4"/>
  <c r="A3267" i="4"/>
  <c r="B3266" i="4"/>
  <c r="A3266" i="4"/>
  <c r="B3265" i="4"/>
  <c r="A3265" i="4"/>
  <c r="B3264" i="4"/>
  <c r="A3264" i="4"/>
  <c r="B3263" i="4"/>
  <c r="A3263" i="4"/>
  <c r="B3262" i="4"/>
  <c r="A3262" i="4"/>
  <c r="B3261" i="4"/>
  <c r="A3261" i="4"/>
  <c r="B3260" i="4"/>
  <c r="A3260" i="4"/>
  <c r="B3259" i="4"/>
  <c r="A3259" i="4"/>
  <c r="B3258" i="4"/>
  <c r="A3258" i="4"/>
  <c r="B3257" i="4"/>
  <c r="A3257" i="4"/>
  <c r="B3256" i="4"/>
  <c r="A3256" i="4"/>
  <c r="B3255" i="4"/>
  <c r="A3255" i="4"/>
  <c r="B3254" i="4"/>
  <c r="A3254" i="4"/>
  <c r="B3253" i="4"/>
  <c r="A3253" i="4"/>
  <c r="B3252" i="4"/>
  <c r="A3252" i="4"/>
  <c r="B3251" i="4"/>
  <c r="A3251" i="4"/>
  <c r="B3250" i="4"/>
  <c r="A3250" i="4"/>
  <c r="B3249" i="4"/>
  <c r="A3249" i="4"/>
  <c r="B3248" i="4"/>
  <c r="A3248" i="4"/>
  <c r="B3247" i="4"/>
  <c r="A3247" i="4"/>
  <c r="B3246" i="4"/>
  <c r="A3246" i="4"/>
  <c r="B3245" i="4"/>
  <c r="A3245" i="4"/>
  <c r="B3244" i="4"/>
  <c r="A3244" i="4"/>
  <c r="B3243" i="4"/>
  <c r="A3243" i="4"/>
  <c r="B3242" i="4"/>
  <c r="A3242" i="4"/>
  <c r="B3241" i="4"/>
  <c r="A3241" i="4"/>
  <c r="B3240" i="4"/>
  <c r="A3240" i="4"/>
  <c r="B3239" i="4"/>
  <c r="A3239" i="4"/>
  <c r="B3238" i="4"/>
  <c r="A3238" i="4"/>
  <c r="B3237" i="4"/>
  <c r="A3237" i="4"/>
  <c r="B3236" i="4"/>
  <c r="A3236" i="4"/>
  <c r="B3235" i="4"/>
  <c r="A3235" i="4"/>
  <c r="B3234" i="4"/>
  <c r="A3234" i="4"/>
  <c r="B3233" i="4"/>
  <c r="A3233" i="4"/>
  <c r="B3232" i="4"/>
  <c r="A3232" i="4"/>
  <c r="B3231" i="4"/>
  <c r="A3231" i="4"/>
  <c r="B3230" i="4"/>
  <c r="A3230" i="4"/>
  <c r="B3229" i="4"/>
  <c r="A3229" i="4"/>
  <c r="B3228" i="4"/>
  <c r="A3228" i="4"/>
  <c r="B3227" i="4"/>
  <c r="A3227" i="4"/>
  <c r="B3226" i="4"/>
  <c r="A3226" i="4"/>
  <c r="B3225" i="4"/>
  <c r="A3225" i="4"/>
  <c r="B3224" i="4"/>
  <c r="A3224" i="4"/>
  <c r="B3223" i="4"/>
  <c r="A3223" i="4"/>
  <c r="B3222" i="4"/>
  <c r="A3222" i="4"/>
  <c r="B3221" i="4"/>
  <c r="A3221" i="4"/>
  <c r="B3220" i="4"/>
  <c r="A3220" i="4"/>
  <c r="B3219" i="4"/>
  <c r="A3219" i="4"/>
  <c r="B3218" i="4"/>
  <c r="A3218" i="4"/>
  <c r="B3217" i="4"/>
  <c r="A3217" i="4"/>
  <c r="B3216" i="4"/>
  <c r="A3216" i="4"/>
  <c r="B3215" i="4"/>
  <c r="A3215" i="4"/>
  <c r="B3214" i="4"/>
  <c r="A3214" i="4"/>
  <c r="B3213" i="4"/>
  <c r="A3213" i="4"/>
  <c r="B3212" i="4"/>
  <c r="A3212" i="4"/>
  <c r="B3211" i="4"/>
  <c r="A3211" i="4"/>
  <c r="B3210" i="4"/>
  <c r="A3210" i="4"/>
  <c r="B3209" i="4"/>
  <c r="A3209" i="4"/>
  <c r="B3208" i="4"/>
  <c r="A3208" i="4"/>
  <c r="B3207" i="4"/>
  <c r="A3207" i="4"/>
  <c r="B3206" i="4"/>
  <c r="A3206" i="4"/>
  <c r="B3205" i="4"/>
  <c r="A3205" i="4"/>
  <c r="B3204" i="4"/>
  <c r="A3204" i="4"/>
  <c r="B3203" i="4"/>
  <c r="A3203" i="4"/>
  <c r="B3202" i="4"/>
  <c r="A3202" i="4"/>
  <c r="B3201" i="4"/>
  <c r="A3201" i="4"/>
  <c r="B3200" i="4"/>
  <c r="A3200" i="4"/>
  <c r="B3199" i="4"/>
  <c r="A3199" i="4"/>
  <c r="B3198" i="4"/>
  <c r="A3198" i="4"/>
  <c r="B3197" i="4"/>
  <c r="A3197" i="4"/>
  <c r="B3196" i="4"/>
  <c r="A3196" i="4"/>
  <c r="B3195" i="4"/>
  <c r="A3195" i="4"/>
  <c r="B3194" i="4"/>
  <c r="A3194" i="4"/>
  <c r="B3193" i="4"/>
  <c r="A3193" i="4"/>
  <c r="B3192" i="4"/>
  <c r="A3192" i="4"/>
  <c r="B3191" i="4"/>
  <c r="A3191" i="4"/>
  <c r="B3190" i="4"/>
  <c r="A3190" i="4"/>
  <c r="B3189" i="4"/>
  <c r="A3189" i="4"/>
  <c r="B3188" i="4"/>
  <c r="A3188" i="4"/>
  <c r="B3187" i="4"/>
  <c r="A3187" i="4"/>
  <c r="B3186" i="4"/>
  <c r="A3186" i="4"/>
  <c r="B3185" i="4"/>
  <c r="A3185" i="4"/>
  <c r="B3184" i="4"/>
  <c r="A3184" i="4"/>
  <c r="B3183" i="4"/>
  <c r="A3183" i="4"/>
  <c r="B3182" i="4"/>
  <c r="A3182" i="4"/>
  <c r="B3181" i="4"/>
  <c r="A3181" i="4"/>
  <c r="B3180" i="4"/>
  <c r="A3180" i="4"/>
  <c r="B3179" i="4"/>
  <c r="A3179" i="4"/>
  <c r="B3178" i="4"/>
  <c r="A3178" i="4"/>
  <c r="B3177" i="4"/>
  <c r="A3177" i="4"/>
  <c r="B3176" i="4"/>
  <c r="A3176" i="4"/>
  <c r="B3175" i="4"/>
  <c r="A3175" i="4"/>
  <c r="B3174" i="4"/>
  <c r="A3174" i="4"/>
  <c r="B3173" i="4"/>
  <c r="A3173" i="4"/>
  <c r="B3172" i="4"/>
  <c r="A3172" i="4"/>
  <c r="B3171" i="4"/>
  <c r="A3171" i="4"/>
  <c r="B3170" i="4"/>
  <c r="A3170" i="4"/>
  <c r="B3169" i="4"/>
  <c r="A3169" i="4"/>
  <c r="B3168" i="4"/>
  <c r="A3168" i="4"/>
  <c r="B3167" i="4"/>
  <c r="A3167" i="4"/>
  <c r="B3166" i="4"/>
  <c r="A3166" i="4"/>
  <c r="B3165" i="4"/>
  <c r="A3165" i="4"/>
  <c r="B3164" i="4"/>
  <c r="A3164" i="4"/>
  <c r="B3163" i="4"/>
  <c r="A3163" i="4"/>
  <c r="B3162" i="4"/>
  <c r="A3162" i="4"/>
  <c r="B3161" i="4"/>
  <c r="A3161" i="4"/>
  <c r="B3160" i="4"/>
  <c r="A3160" i="4"/>
  <c r="B3159" i="4"/>
  <c r="A3159" i="4"/>
  <c r="B3158" i="4"/>
  <c r="A3158" i="4"/>
  <c r="B3157" i="4"/>
  <c r="A3157" i="4"/>
  <c r="B3156" i="4"/>
  <c r="A3156" i="4"/>
  <c r="B3155" i="4"/>
  <c r="A3155" i="4"/>
  <c r="B3154" i="4"/>
  <c r="A3154" i="4"/>
  <c r="B3153" i="4"/>
  <c r="A3153" i="4"/>
  <c r="B3152" i="4"/>
  <c r="A3152" i="4"/>
  <c r="B3151" i="4"/>
  <c r="A3151" i="4"/>
  <c r="B3150" i="4"/>
  <c r="A3150" i="4"/>
  <c r="B3149" i="4"/>
  <c r="A3149" i="4"/>
  <c r="B3148" i="4"/>
  <c r="A3148" i="4"/>
  <c r="B3147" i="4"/>
  <c r="A3147" i="4"/>
  <c r="B3146" i="4"/>
  <c r="A3146" i="4"/>
  <c r="B3145" i="4"/>
  <c r="A3145" i="4"/>
  <c r="B3144" i="4"/>
  <c r="A3144" i="4"/>
  <c r="B3143" i="4"/>
  <c r="A3143" i="4"/>
  <c r="B3142" i="4"/>
  <c r="A3142" i="4"/>
  <c r="B3141" i="4"/>
  <c r="A3141" i="4"/>
  <c r="B3140" i="4"/>
  <c r="A3140" i="4"/>
  <c r="B3139" i="4"/>
  <c r="A3139" i="4"/>
  <c r="B3138" i="4"/>
  <c r="A3138" i="4"/>
  <c r="B3137" i="4"/>
  <c r="A3137" i="4"/>
  <c r="B3136" i="4"/>
  <c r="A3136" i="4"/>
  <c r="B3135" i="4"/>
  <c r="A3135" i="4"/>
  <c r="B3134" i="4"/>
  <c r="A3134" i="4"/>
  <c r="B3133" i="4"/>
  <c r="A3133" i="4"/>
  <c r="B3132" i="4"/>
  <c r="A3132" i="4"/>
  <c r="B3131" i="4"/>
  <c r="A3131" i="4"/>
  <c r="B3130" i="4"/>
  <c r="A3130" i="4"/>
  <c r="B3129" i="4"/>
  <c r="A3129" i="4"/>
  <c r="B3128" i="4"/>
  <c r="A3128" i="4"/>
  <c r="B3127" i="4"/>
  <c r="A3127" i="4"/>
  <c r="B3126" i="4"/>
  <c r="A3126" i="4"/>
  <c r="B3125" i="4"/>
  <c r="A3125" i="4"/>
  <c r="B3124" i="4"/>
  <c r="A3124" i="4"/>
  <c r="B3123" i="4"/>
  <c r="A3123" i="4"/>
  <c r="B3122" i="4"/>
  <c r="A3122" i="4"/>
  <c r="B3121" i="4"/>
  <c r="A3121" i="4"/>
  <c r="B3120" i="4"/>
  <c r="A3120" i="4"/>
  <c r="B3119" i="4"/>
  <c r="A3119" i="4"/>
  <c r="B3118" i="4"/>
  <c r="A3118" i="4"/>
  <c r="B3117" i="4"/>
  <c r="A3117" i="4"/>
  <c r="B3116" i="4"/>
  <c r="A3116" i="4"/>
  <c r="B3115" i="4"/>
  <c r="A3115" i="4"/>
  <c r="B3114" i="4"/>
  <c r="A3114" i="4"/>
  <c r="B3113" i="4"/>
  <c r="A3113" i="4"/>
  <c r="B3112" i="4"/>
  <c r="A3112" i="4"/>
  <c r="B3111" i="4"/>
  <c r="A3111" i="4"/>
  <c r="B3110" i="4"/>
  <c r="A3110" i="4"/>
  <c r="B3109" i="4"/>
  <c r="A3109" i="4"/>
  <c r="B3108" i="4"/>
  <c r="A3108" i="4"/>
  <c r="B3107" i="4"/>
  <c r="A3107" i="4"/>
  <c r="B3106" i="4"/>
  <c r="A3106" i="4"/>
  <c r="B3105" i="4"/>
  <c r="A3105" i="4"/>
  <c r="B3104" i="4"/>
  <c r="A3104" i="4"/>
  <c r="B3103" i="4"/>
  <c r="A3103" i="4"/>
  <c r="B3102" i="4"/>
  <c r="A3102" i="4"/>
  <c r="B3101" i="4"/>
  <c r="A3101" i="4"/>
  <c r="B3100" i="4"/>
  <c r="A3100" i="4"/>
  <c r="B3099" i="4"/>
  <c r="A3099" i="4"/>
  <c r="B3098" i="4"/>
  <c r="A3098" i="4"/>
  <c r="B3097" i="4"/>
  <c r="A3097" i="4"/>
  <c r="B3096" i="4"/>
  <c r="A3096" i="4"/>
  <c r="B3095" i="4"/>
  <c r="A3095" i="4"/>
  <c r="B3094" i="4"/>
  <c r="A3094" i="4"/>
  <c r="B3093" i="4"/>
  <c r="A3093" i="4"/>
  <c r="B3092" i="4"/>
  <c r="A3092" i="4"/>
  <c r="B3091" i="4"/>
  <c r="A3091" i="4"/>
  <c r="B3090" i="4"/>
  <c r="A3090" i="4"/>
  <c r="B3089" i="4"/>
  <c r="A3089" i="4"/>
  <c r="B3088" i="4"/>
  <c r="A3088" i="4"/>
  <c r="B3087" i="4"/>
  <c r="A3087" i="4"/>
  <c r="B3086" i="4"/>
  <c r="A3086" i="4"/>
  <c r="B3085" i="4"/>
  <c r="A3085" i="4"/>
  <c r="B3084" i="4"/>
  <c r="A3084" i="4"/>
  <c r="B3083" i="4"/>
  <c r="A3083" i="4"/>
  <c r="B3082" i="4"/>
  <c r="A3082" i="4"/>
  <c r="B3081" i="4"/>
  <c r="A3081" i="4"/>
  <c r="B3080" i="4"/>
  <c r="A3080" i="4"/>
  <c r="B3079" i="4"/>
  <c r="A3079" i="4"/>
  <c r="B3078" i="4"/>
  <c r="A3078" i="4"/>
  <c r="B3077" i="4"/>
  <c r="A3077" i="4"/>
  <c r="B3076" i="4"/>
  <c r="A3076" i="4"/>
  <c r="B3075" i="4"/>
  <c r="A3075" i="4"/>
  <c r="B3074" i="4"/>
  <c r="A3074" i="4"/>
  <c r="B3073" i="4"/>
  <c r="A3073" i="4"/>
  <c r="B3072" i="4"/>
  <c r="A3072" i="4"/>
  <c r="B3071" i="4"/>
  <c r="A3071" i="4"/>
  <c r="B3070" i="4"/>
  <c r="A3070" i="4"/>
  <c r="B3069" i="4"/>
  <c r="A3069" i="4"/>
  <c r="B3068" i="4"/>
  <c r="A3068" i="4"/>
  <c r="B3067" i="4"/>
  <c r="A3067" i="4"/>
  <c r="B3066" i="4"/>
  <c r="A3066" i="4"/>
  <c r="B3065" i="4"/>
  <c r="A3065" i="4"/>
  <c r="B3064" i="4"/>
  <c r="A3064" i="4"/>
  <c r="B3063" i="4"/>
  <c r="A3063" i="4"/>
  <c r="B3062" i="4"/>
  <c r="A3062" i="4"/>
  <c r="B3061" i="4"/>
  <c r="A3061" i="4"/>
  <c r="B3060" i="4"/>
  <c r="A3060" i="4"/>
  <c r="B3059" i="4"/>
  <c r="A3059" i="4"/>
  <c r="B3058" i="4"/>
  <c r="A3058" i="4"/>
  <c r="B3057" i="4"/>
  <c r="A3057" i="4"/>
  <c r="B3056" i="4"/>
  <c r="A3056" i="4"/>
  <c r="B3055" i="4"/>
  <c r="A3055" i="4"/>
  <c r="B3054" i="4"/>
  <c r="A3054" i="4"/>
  <c r="B3053" i="4"/>
  <c r="A3053" i="4"/>
  <c r="B3052" i="4"/>
  <c r="A3052" i="4"/>
  <c r="B3051" i="4"/>
  <c r="A3051" i="4"/>
  <c r="B3050" i="4"/>
  <c r="A3050" i="4"/>
  <c r="B3049" i="4"/>
  <c r="A3049" i="4"/>
  <c r="B3048" i="4"/>
  <c r="A3048" i="4"/>
  <c r="B3047" i="4"/>
  <c r="A3047" i="4"/>
  <c r="B3046" i="4"/>
  <c r="A3046" i="4"/>
  <c r="B3045" i="4"/>
  <c r="A3045" i="4"/>
  <c r="B3044" i="4"/>
  <c r="A3044" i="4"/>
  <c r="B3043" i="4"/>
  <c r="A3043" i="4"/>
  <c r="B3042" i="4"/>
  <c r="A3042" i="4"/>
  <c r="B3041" i="4"/>
  <c r="A3041" i="4"/>
  <c r="B3040" i="4"/>
  <c r="A3040" i="4"/>
  <c r="B3039" i="4"/>
  <c r="A3039" i="4"/>
  <c r="B3038" i="4"/>
  <c r="A3038" i="4"/>
  <c r="B3037" i="4"/>
  <c r="A3037" i="4"/>
  <c r="B3036" i="4"/>
  <c r="A3036" i="4"/>
  <c r="B3035" i="4"/>
  <c r="A3035" i="4"/>
  <c r="B3034" i="4"/>
  <c r="A3034" i="4"/>
  <c r="B3033" i="4"/>
  <c r="A3033" i="4"/>
  <c r="B3032" i="4"/>
  <c r="A3032" i="4"/>
  <c r="B3031" i="4"/>
  <c r="A3031" i="4"/>
  <c r="B3030" i="4"/>
  <c r="A3030" i="4"/>
  <c r="B3029" i="4"/>
  <c r="A3029" i="4"/>
  <c r="B3028" i="4"/>
  <c r="A3028" i="4"/>
  <c r="B3027" i="4"/>
  <c r="A3027" i="4"/>
  <c r="B3026" i="4"/>
  <c r="A3026" i="4"/>
  <c r="B3025" i="4"/>
  <c r="A3025" i="4"/>
  <c r="B3024" i="4"/>
  <c r="A3024" i="4"/>
  <c r="B3023" i="4"/>
  <c r="A3023" i="4"/>
  <c r="B3022" i="4"/>
  <c r="A3022" i="4"/>
  <c r="B3021" i="4"/>
  <c r="A3021" i="4"/>
  <c r="B3020" i="4"/>
  <c r="A3020" i="4"/>
  <c r="B3019" i="4"/>
  <c r="A3019" i="4"/>
  <c r="B3018" i="4"/>
  <c r="A3018" i="4"/>
  <c r="B3017" i="4"/>
  <c r="A3017" i="4"/>
  <c r="B3016" i="4"/>
  <c r="A3016" i="4"/>
  <c r="B3015" i="4"/>
  <c r="A3015" i="4"/>
  <c r="B3014" i="4"/>
  <c r="A3014" i="4"/>
  <c r="B3013" i="4"/>
  <c r="A3013" i="4"/>
  <c r="B3012" i="4"/>
  <c r="A3012" i="4"/>
  <c r="B3011" i="4"/>
  <c r="A3011" i="4"/>
  <c r="B3010" i="4"/>
  <c r="A3010" i="4"/>
  <c r="B3009" i="4"/>
  <c r="A3009" i="4"/>
  <c r="B3008" i="4"/>
  <c r="A3008" i="4"/>
  <c r="B3007" i="4"/>
  <c r="A3007" i="4"/>
  <c r="B3006" i="4"/>
  <c r="A3006" i="4"/>
  <c r="B3005" i="4"/>
  <c r="A3005" i="4"/>
  <c r="B3004" i="4"/>
  <c r="A3004" i="4"/>
  <c r="B3003" i="4"/>
  <c r="A3003" i="4"/>
  <c r="B3002" i="4"/>
  <c r="A3002" i="4"/>
  <c r="B3001" i="4"/>
  <c r="A3001" i="4"/>
  <c r="B3000" i="4"/>
  <c r="A3000" i="4"/>
  <c r="B2999" i="4"/>
  <c r="A2999" i="4"/>
  <c r="B2998" i="4"/>
  <c r="A2998" i="4"/>
  <c r="B2997" i="4"/>
  <c r="A2997" i="4"/>
  <c r="B2996" i="4"/>
  <c r="A2996" i="4"/>
  <c r="B2995" i="4"/>
  <c r="A2995" i="4"/>
  <c r="B2994" i="4"/>
  <c r="A2994" i="4"/>
  <c r="B2993" i="4"/>
  <c r="A2993" i="4"/>
  <c r="B2992" i="4"/>
  <c r="A2992" i="4"/>
  <c r="B2991" i="4"/>
  <c r="A2991" i="4"/>
  <c r="B2990" i="4"/>
  <c r="A2990" i="4"/>
  <c r="B2989" i="4"/>
  <c r="A2989" i="4"/>
  <c r="B2988" i="4"/>
  <c r="A2988" i="4"/>
  <c r="B2987" i="4"/>
  <c r="A2987" i="4"/>
  <c r="B2986" i="4"/>
  <c r="A2986" i="4"/>
  <c r="B2985" i="4"/>
  <c r="A2985" i="4"/>
  <c r="B2984" i="4"/>
  <c r="A2984" i="4"/>
  <c r="B2983" i="4"/>
  <c r="A2983" i="4"/>
  <c r="B2982" i="4"/>
  <c r="A2982" i="4"/>
  <c r="B2981" i="4"/>
  <c r="A2981" i="4"/>
  <c r="B2980" i="4"/>
  <c r="A2980" i="4"/>
  <c r="B2979" i="4"/>
  <c r="A2979" i="4"/>
  <c r="B2978" i="4"/>
  <c r="A2978" i="4"/>
  <c r="B2977" i="4"/>
  <c r="A2977" i="4"/>
  <c r="B2976" i="4"/>
  <c r="A2976" i="4"/>
  <c r="B2975" i="4"/>
  <c r="A2975" i="4"/>
  <c r="B2974" i="4"/>
  <c r="A2974" i="4"/>
  <c r="B2973" i="4"/>
  <c r="A2973" i="4"/>
  <c r="B2972" i="4"/>
  <c r="A2972" i="4"/>
  <c r="B2971" i="4"/>
  <c r="A2971" i="4"/>
  <c r="B2970" i="4"/>
  <c r="A2970" i="4"/>
  <c r="B2969" i="4"/>
  <c r="A2969" i="4"/>
  <c r="B2968" i="4"/>
  <c r="A2968" i="4"/>
  <c r="B2967" i="4"/>
  <c r="A2967" i="4"/>
  <c r="B2966" i="4"/>
  <c r="A2966" i="4"/>
  <c r="B2965" i="4"/>
  <c r="A2965" i="4"/>
  <c r="B2964" i="4"/>
  <c r="A2964" i="4"/>
  <c r="B2963" i="4"/>
  <c r="A2963" i="4"/>
  <c r="B2962" i="4"/>
  <c r="A2962" i="4"/>
  <c r="B2961" i="4"/>
  <c r="A2961" i="4"/>
  <c r="B2960" i="4"/>
  <c r="A2960" i="4"/>
  <c r="B2959" i="4"/>
  <c r="A2959" i="4"/>
  <c r="B2958" i="4"/>
  <c r="A2958" i="4"/>
  <c r="B2957" i="4"/>
  <c r="A2957" i="4"/>
  <c r="B2956" i="4"/>
  <c r="A2956" i="4"/>
  <c r="B2955" i="4"/>
  <c r="A2955" i="4"/>
  <c r="B2954" i="4"/>
  <c r="A2954" i="4"/>
  <c r="B2953" i="4"/>
  <c r="A2953" i="4"/>
  <c r="B2952" i="4"/>
  <c r="A2952" i="4"/>
  <c r="B2951" i="4"/>
  <c r="A2951" i="4"/>
  <c r="B2950" i="4"/>
  <c r="A2950" i="4"/>
  <c r="B2949" i="4"/>
  <c r="A2949" i="4"/>
  <c r="B2948" i="4"/>
  <c r="A2948" i="4"/>
  <c r="B2947" i="4"/>
  <c r="A2947" i="4"/>
  <c r="B2946" i="4"/>
  <c r="A2946" i="4"/>
  <c r="B2945" i="4"/>
  <c r="A2945" i="4"/>
  <c r="B2944" i="4"/>
  <c r="A2944" i="4"/>
  <c r="B2943" i="4"/>
  <c r="A2943" i="4"/>
  <c r="B2942" i="4"/>
  <c r="A2942" i="4"/>
  <c r="B2941" i="4"/>
  <c r="A2941" i="4"/>
  <c r="B2940" i="4"/>
  <c r="A2940" i="4"/>
  <c r="B2939" i="4"/>
  <c r="A2939" i="4"/>
  <c r="B2938" i="4"/>
  <c r="A2938" i="4"/>
  <c r="B2937" i="4"/>
  <c r="A2937" i="4"/>
  <c r="B2936" i="4"/>
  <c r="A2936" i="4"/>
  <c r="B2935" i="4"/>
  <c r="A2935" i="4"/>
  <c r="B2934" i="4"/>
  <c r="A2934" i="4"/>
  <c r="B2933" i="4"/>
  <c r="A2933" i="4"/>
  <c r="B2932" i="4"/>
  <c r="A2932" i="4"/>
  <c r="B2931" i="4"/>
  <c r="A2931" i="4"/>
  <c r="B2930" i="4"/>
  <c r="A2930" i="4"/>
  <c r="B2929" i="4"/>
  <c r="A2929" i="4"/>
  <c r="B2928" i="4"/>
  <c r="A2928" i="4"/>
  <c r="B2927" i="4"/>
  <c r="A2927" i="4"/>
  <c r="B2926" i="4"/>
  <c r="A2926" i="4"/>
  <c r="B2925" i="4"/>
  <c r="A2925" i="4"/>
  <c r="B2924" i="4"/>
  <c r="A2924" i="4"/>
  <c r="B2923" i="4"/>
  <c r="A2923" i="4"/>
  <c r="B2922" i="4"/>
  <c r="A2922" i="4"/>
  <c r="B2921" i="4"/>
  <c r="A2921" i="4"/>
  <c r="B2920" i="4"/>
  <c r="A2920" i="4"/>
  <c r="B2919" i="4"/>
  <c r="A2919" i="4"/>
  <c r="B2918" i="4"/>
  <c r="A2918" i="4"/>
  <c r="B2917" i="4"/>
  <c r="A2917" i="4"/>
  <c r="B2916" i="4"/>
  <c r="A2916" i="4"/>
  <c r="B2915" i="4"/>
  <c r="A2915" i="4"/>
  <c r="B2914" i="4"/>
  <c r="A2914" i="4"/>
  <c r="B2913" i="4"/>
  <c r="A2913" i="4"/>
  <c r="B2912" i="4"/>
  <c r="A2912" i="4"/>
  <c r="B2911" i="4"/>
  <c r="A2911" i="4"/>
  <c r="B2910" i="4"/>
  <c r="A2910" i="4"/>
  <c r="B2909" i="4"/>
  <c r="A2909" i="4"/>
  <c r="B2908" i="4"/>
  <c r="A2908" i="4"/>
  <c r="B2907" i="4"/>
  <c r="A2907" i="4"/>
  <c r="B2906" i="4"/>
  <c r="A2906" i="4"/>
  <c r="B2905" i="4"/>
  <c r="A2905" i="4"/>
  <c r="B2904" i="4"/>
  <c r="A2904" i="4"/>
  <c r="B2903" i="4"/>
  <c r="A2903" i="4"/>
  <c r="B2902" i="4"/>
  <c r="A2902" i="4"/>
  <c r="B2901" i="4"/>
  <c r="A2901" i="4"/>
  <c r="B2900" i="4"/>
  <c r="A2900" i="4"/>
  <c r="B2899" i="4"/>
  <c r="A2899" i="4"/>
  <c r="B2898" i="4"/>
  <c r="A2898" i="4"/>
  <c r="B2897" i="4"/>
  <c r="A2897" i="4"/>
  <c r="B2896" i="4"/>
  <c r="A2896" i="4"/>
  <c r="B2895" i="4"/>
  <c r="A2895" i="4"/>
  <c r="B2894" i="4"/>
  <c r="A2894" i="4"/>
  <c r="B2893" i="4"/>
  <c r="A2893" i="4"/>
  <c r="B2892" i="4"/>
  <c r="A2892" i="4"/>
  <c r="B2891" i="4"/>
  <c r="A2891" i="4"/>
  <c r="B2890" i="4"/>
  <c r="A2890" i="4"/>
  <c r="B2889" i="4"/>
  <c r="A2889" i="4"/>
  <c r="B2888" i="4"/>
  <c r="A2888" i="4"/>
  <c r="B2887" i="4"/>
  <c r="A2887" i="4"/>
  <c r="B2886" i="4"/>
  <c r="A2886" i="4"/>
  <c r="B2885" i="4"/>
  <c r="A2885" i="4"/>
  <c r="B2884" i="4"/>
  <c r="A2884" i="4"/>
  <c r="B2883" i="4"/>
  <c r="A2883" i="4"/>
  <c r="B2882" i="4"/>
  <c r="A2882" i="4"/>
  <c r="B2881" i="4"/>
  <c r="A2881" i="4"/>
  <c r="B2880" i="4"/>
  <c r="A2880" i="4"/>
  <c r="B2879" i="4"/>
  <c r="A2879" i="4"/>
  <c r="B2878" i="4"/>
  <c r="A2878" i="4"/>
  <c r="B2877" i="4"/>
  <c r="A2877" i="4"/>
  <c r="B2876" i="4"/>
  <c r="A2876" i="4"/>
  <c r="B2875" i="4"/>
  <c r="A2875" i="4"/>
  <c r="B2874" i="4"/>
  <c r="A2874" i="4"/>
  <c r="B2873" i="4"/>
  <c r="A2873" i="4"/>
  <c r="B2872" i="4"/>
  <c r="A2872" i="4"/>
  <c r="B2871" i="4"/>
  <c r="A2871" i="4"/>
  <c r="B2870" i="4"/>
  <c r="A2870" i="4"/>
  <c r="B2869" i="4"/>
  <c r="A2869" i="4"/>
  <c r="B2868" i="4"/>
  <c r="A2868" i="4"/>
  <c r="B2867" i="4"/>
  <c r="A2867" i="4"/>
  <c r="B2866" i="4"/>
  <c r="A2866" i="4"/>
  <c r="B2865" i="4"/>
  <c r="A2865" i="4"/>
  <c r="B2864" i="4"/>
  <c r="A2864" i="4"/>
  <c r="B2863" i="4"/>
  <c r="A2863" i="4"/>
  <c r="B2862" i="4"/>
  <c r="A2862" i="4"/>
  <c r="B2861" i="4"/>
  <c r="A2861" i="4"/>
  <c r="B2860" i="4"/>
  <c r="A2860" i="4"/>
  <c r="B2859" i="4"/>
  <c r="A2859" i="4"/>
  <c r="B2858" i="4"/>
  <c r="A2858" i="4"/>
  <c r="B2857" i="4"/>
  <c r="A2857" i="4"/>
  <c r="B2856" i="4"/>
  <c r="A2856" i="4"/>
  <c r="B2855" i="4"/>
  <c r="A2855" i="4"/>
  <c r="B2854" i="4"/>
  <c r="A2854" i="4"/>
  <c r="B2853" i="4"/>
  <c r="A2853" i="4"/>
  <c r="B2852" i="4"/>
  <c r="A2852" i="4"/>
  <c r="B2851" i="4"/>
  <c r="A2851" i="4"/>
  <c r="B2850" i="4"/>
  <c r="A2850" i="4"/>
  <c r="B2849" i="4"/>
  <c r="A2849" i="4"/>
  <c r="B2848" i="4"/>
  <c r="A2848" i="4"/>
  <c r="B2847" i="4"/>
  <c r="A2847" i="4"/>
  <c r="B2846" i="4"/>
  <c r="A2846" i="4"/>
  <c r="B2845" i="4"/>
  <c r="A2845" i="4"/>
  <c r="B2844" i="4"/>
  <c r="A2844" i="4"/>
  <c r="B2843" i="4"/>
  <c r="A2843" i="4"/>
  <c r="B2842" i="4"/>
  <c r="A2842" i="4"/>
  <c r="B2841" i="4"/>
  <c r="A2841" i="4"/>
  <c r="B2840" i="4"/>
  <c r="A2840" i="4"/>
  <c r="B2839" i="4"/>
  <c r="A2839" i="4"/>
  <c r="B2838" i="4"/>
  <c r="A2838" i="4"/>
  <c r="B2837" i="4"/>
  <c r="A2837" i="4"/>
  <c r="B2836" i="4"/>
  <c r="A2836" i="4"/>
  <c r="B2835" i="4"/>
  <c r="A2835" i="4"/>
  <c r="B2834" i="4"/>
  <c r="A2834" i="4"/>
  <c r="B2833" i="4"/>
  <c r="A2833" i="4"/>
  <c r="B2832" i="4"/>
  <c r="A2832" i="4"/>
  <c r="B2831" i="4"/>
  <c r="A2831" i="4"/>
  <c r="B2830" i="4"/>
  <c r="A2830" i="4"/>
  <c r="B2829" i="4"/>
  <c r="A2829" i="4"/>
  <c r="B2828" i="4"/>
  <c r="A2828" i="4"/>
  <c r="B2827" i="4"/>
  <c r="A2827" i="4"/>
  <c r="B2826" i="4"/>
  <c r="A2826" i="4"/>
  <c r="B2825" i="4"/>
  <c r="A2825" i="4"/>
  <c r="B2824" i="4"/>
  <c r="A2824" i="4"/>
  <c r="B2823" i="4"/>
  <c r="A2823" i="4"/>
  <c r="B2822" i="4"/>
  <c r="A2822" i="4"/>
  <c r="B2821" i="4"/>
  <c r="A2821" i="4"/>
  <c r="B2820" i="4"/>
  <c r="A2820" i="4"/>
  <c r="B2819" i="4"/>
  <c r="A2819" i="4"/>
  <c r="B2818" i="4"/>
  <c r="A2818" i="4"/>
  <c r="B2817" i="4"/>
  <c r="A2817" i="4"/>
  <c r="B2816" i="4"/>
  <c r="A2816" i="4"/>
  <c r="B2815" i="4"/>
  <c r="A2815" i="4"/>
  <c r="B2814" i="4"/>
  <c r="A2814" i="4"/>
  <c r="B2813" i="4"/>
  <c r="A2813" i="4"/>
  <c r="B2812" i="4"/>
  <c r="A2812" i="4"/>
  <c r="B2811" i="4"/>
  <c r="A2811" i="4"/>
  <c r="B2810" i="4"/>
  <c r="A2810" i="4"/>
  <c r="B2809" i="4"/>
  <c r="A2809" i="4"/>
  <c r="B2808" i="4"/>
  <c r="A2808" i="4"/>
  <c r="B2807" i="4"/>
  <c r="A2807" i="4"/>
  <c r="B2806" i="4"/>
  <c r="A2806" i="4"/>
  <c r="B2805" i="4"/>
  <c r="A2805" i="4"/>
  <c r="B2804" i="4"/>
  <c r="A2804" i="4"/>
  <c r="B2803" i="4"/>
  <c r="A2803" i="4"/>
  <c r="B2802" i="4"/>
  <c r="A2802" i="4"/>
  <c r="B2801" i="4"/>
  <c r="A2801" i="4"/>
  <c r="B2800" i="4"/>
  <c r="A2800" i="4"/>
  <c r="B2799" i="4"/>
  <c r="A2799" i="4"/>
  <c r="B2798" i="4"/>
  <c r="A2798" i="4"/>
  <c r="B2797" i="4"/>
  <c r="A2797" i="4"/>
  <c r="B2796" i="4"/>
  <c r="A2796" i="4"/>
  <c r="B2795" i="4"/>
  <c r="A2795" i="4"/>
  <c r="B2794" i="4"/>
  <c r="A2794" i="4"/>
  <c r="B2793" i="4"/>
  <c r="A2793" i="4"/>
  <c r="B2792" i="4"/>
  <c r="A2792" i="4"/>
  <c r="B2791" i="4"/>
  <c r="A2791" i="4"/>
  <c r="B2790" i="4"/>
  <c r="A2790" i="4"/>
  <c r="B2789" i="4"/>
  <c r="A2789" i="4"/>
  <c r="B2788" i="4"/>
  <c r="A2788" i="4"/>
  <c r="B2787" i="4"/>
  <c r="A2787" i="4"/>
  <c r="B2786" i="4"/>
  <c r="A2786" i="4"/>
  <c r="B2785" i="4"/>
  <c r="A2785" i="4"/>
  <c r="B2784" i="4"/>
  <c r="A2784" i="4"/>
  <c r="B2783" i="4"/>
  <c r="A2783" i="4"/>
  <c r="B2782" i="4"/>
  <c r="A2782" i="4"/>
  <c r="B2781" i="4"/>
  <c r="A2781" i="4"/>
  <c r="B2780" i="4"/>
  <c r="A2780" i="4"/>
  <c r="B2779" i="4"/>
  <c r="A2779" i="4"/>
  <c r="B2778" i="4"/>
  <c r="A2778" i="4"/>
  <c r="B2777" i="4"/>
  <c r="A2777" i="4"/>
  <c r="B2776" i="4"/>
  <c r="A2776" i="4"/>
  <c r="B2775" i="4"/>
  <c r="A2775" i="4"/>
  <c r="B2774" i="4"/>
  <c r="A2774" i="4"/>
  <c r="B2773" i="4"/>
  <c r="A2773" i="4"/>
  <c r="B2772" i="4"/>
  <c r="A2772" i="4"/>
  <c r="B2771" i="4"/>
  <c r="A2771" i="4"/>
  <c r="B2770" i="4"/>
  <c r="A2770" i="4"/>
  <c r="B2769" i="4"/>
  <c r="A2769" i="4"/>
  <c r="B2768" i="4"/>
  <c r="A2768" i="4"/>
  <c r="B2767" i="4"/>
  <c r="A2767" i="4"/>
  <c r="B2766" i="4"/>
  <c r="A2766" i="4"/>
  <c r="B2765" i="4"/>
  <c r="A2765" i="4"/>
  <c r="B2764" i="4"/>
  <c r="A2764" i="4"/>
  <c r="B2763" i="4"/>
  <c r="A2763" i="4"/>
  <c r="B2762" i="4"/>
  <c r="A2762" i="4"/>
  <c r="B2761" i="4"/>
  <c r="A2761" i="4"/>
  <c r="B2760" i="4"/>
  <c r="A2760" i="4"/>
  <c r="B2759" i="4"/>
  <c r="A2759" i="4"/>
  <c r="B2758" i="4"/>
  <c r="A2758" i="4"/>
  <c r="B2757" i="4"/>
  <c r="A2757" i="4"/>
  <c r="B2756" i="4"/>
  <c r="A2756" i="4"/>
  <c r="B2755" i="4"/>
  <c r="A2755" i="4"/>
  <c r="B2754" i="4"/>
  <c r="A2754" i="4"/>
  <c r="B2753" i="4"/>
  <c r="A2753" i="4"/>
  <c r="B2752" i="4"/>
  <c r="A2752" i="4"/>
  <c r="B2751" i="4"/>
  <c r="A2751" i="4"/>
  <c r="B2750" i="4"/>
  <c r="A2750" i="4"/>
  <c r="B2749" i="4"/>
  <c r="A2749" i="4"/>
  <c r="B2748" i="4"/>
  <c r="A2748" i="4"/>
  <c r="B2747" i="4"/>
  <c r="A2747" i="4"/>
  <c r="B2746" i="4"/>
  <c r="A2746" i="4"/>
  <c r="B2745" i="4"/>
  <c r="A2745" i="4"/>
  <c r="B2744" i="4"/>
  <c r="A2744" i="4"/>
  <c r="B2743" i="4"/>
  <c r="A2743" i="4"/>
  <c r="B2742" i="4"/>
  <c r="A2742" i="4"/>
  <c r="B2741" i="4"/>
  <c r="A2741" i="4"/>
  <c r="B2740" i="4"/>
  <c r="A2740" i="4"/>
  <c r="B2739" i="4"/>
  <c r="A2739" i="4"/>
  <c r="B2738" i="4"/>
  <c r="A2738" i="4"/>
  <c r="B2737" i="4"/>
  <c r="A2737" i="4"/>
  <c r="B2736" i="4"/>
  <c r="A2736" i="4"/>
  <c r="B2735" i="4"/>
  <c r="A2735" i="4"/>
  <c r="B2734" i="4"/>
  <c r="A2734" i="4"/>
  <c r="B2733" i="4"/>
  <c r="A2733" i="4"/>
  <c r="B2732" i="4"/>
  <c r="A2732" i="4"/>
  <c r="B2731" i="4"/>
  <c r="A2731" i="4"/>
  <c r="B2730" i="4"/>
  <c r="A2730" i="4"/>
  <c r="B2729" i="4"/>
  <c r="A2729" i="4"/>
  <c r="B2728" i="4"/>
  <c r="A2728" i="4"/>
  <c r="B2727" i="4"/>
  <c r="A2727" i="4"/>
  <c r="B2726" i="4"/>
  <c r="A2726" i="4"/>
  <c r="B2725" i="4"/>
  <c r="A2725" i="4"/>
  <c r="B2724" i="4"/>
  <c r="A2724" i="4"/>
  <c r="B2723" i="4"/>
  <c r="A2723" i="4"/>
  <c r="B2722" i="4"/>
  <c r="A2722" i="4"/>
  <c r="B2721" i="4"/>
  <c r="A2721" i="4"/>
  <c r="B2720" i="4"/>
  <c r="A2720" i="4"/>
  <c r="B2719" i="4"/>
  <c r="A2719" i="4"/>
  <c r="B2718" i="4"/>
  <c r="A2718" i="4"/>
  <c r="B2717" i="4"/>
  <c r="A2717" i="4"/>
  <c r="B2716" i="4"/>
  <c r="A2716" i="4"/>
  <c r="B2715" i="4"/>
  <c r="A2715" i="4"/>
  <c r="B2714" i="4"/>
  <c r="A2714" i="4"/>
  <c r="B2713" i="4"/>
  <c r="A2713" i="4"/>
  <c r="B2712" i="4"/>
  <c r="A2712" i="4"/>
  <c r="B2711" i="4"/>
  <c r="A2711" i="4"/>
  <c r="B2710" i="4"/>
  <c r="A2710" i="4"/>
  <c r="B2709" i="4"/>
  <c r="A2709" i="4"/>
  <c r="B2708" i="4"/>
  <c r="A2708" i="4"/>
  <c r="B2707" i="4"/>
  <c r="A2707" i="4"/>
  <c r="B2706" i="4"/>
  <c r="A2706" i="4"/>
  <c r="B2705" i="4"/>
  <c r="A2705" i="4"/>
  <c r="B2704" i="4"/>
  <c r="A2704" i="4"/>
  <c r="B2703" i="4"/>
  <c r="A2703" i="4"/>
  <c r="B2702" i="4"/>
  <c r="A2702" i="4"/>
  <c r="B2701" i="4"/>
  <c r="A2701" i="4"/>
  <c r="B2700" i="4"/>
  <c r="A2700" i="4"/>
  <c r="B2699" i="4"/>
  <c r="A2699" i="4"/>
  <c r="B2698" i="4"/>
  <c r="A2698" i="4"/>
  <c r="B2697" i="4"/>
  <c r="A2697" i="4"/>
  <c r="B2696" i="4"/>
  <c r="A2696" i="4"/>
  <c r="B2695" i="4"/>
  <c r="A2695" i="4"/>
  <c r="B2694" i="4"/>
  <c r="A2694" i="4"/>
  <c r="B2693" i="4"/>
  <c r="A2693" i="4"/>
  <c r="B2692" i="4"/>
  <c r="A2692" i="4"/>
  <c r="B2691" i="4"/>
  <c r="A2691" i="4"/>
  <c r="B2690" i="4"/>
  <c r="A2690" i="4"/>
  <c r="B2689" i="4"/>
  <c r="A2689" i="4"/>
  <c r="B2688" i="4"/>
  <c r="A2688" i="4"/>
  <c r="B2687" i="4"/>
  <c r="A2687" i="4"/>
  <c r="B2686" i="4"/>
  <c r="A2686" i="4"/>
  <c r="B2685" i="4"/>
  <c r="A2685" i="4"/>
  <c r="B2684" i="4"/>
  <c r="A2684" i="4"/>
  <c r="B2683" i="4"/>
  <c r="A2683" i="4"/>
  <c r="B2682" i="4"/>
  <c r="A2682" i="4"/>
  <c r="B2681" i="4"/>
  <c r="A2681" i="4"/>
  <c r="B2680" i="4"/>
  <c r="A2680" i="4"/>
  <c r="B2679" i="4"/>
  <c r="A2679" i="4"/>
  <c r="B2678" i="4"/>
  <c r="A2678" i="4"/>
  <c r="B2677" i="4"/>
  <c r="A2677" i="4"/>
  <c r="B2676" i="4"/>
  <c r="A2676" i="4"/>
  <c r="B2675" i="4"/>
  <c r="A2675" i="4"/>
  <c r="B2674" i="4"/>
  <c r="A2674" i="4"/>
  <c r="B2673" i="4"/>
  <c r="A2673" i="4"/>
  <c r="B2672" i="4"/>
  <c r="A2672" i="4"/>
  <c r="B2671" i="4"/>
  <c r="A2671" i="4"/>
  <c r="B2670" i="4"/>
  <c r="A2670" i="4"/>
  <c r="B2669" i="4"/>
  <c r="A2669" i="4"/>
  <c r="B2668" i="4"/>
  <c r="A2668" i="4"/>
  <c r="B2667" i="4"/>
  <c r="A2667" i="4"/>
  <c r="B2666" i="4"/>
  <c r="A2666" i="4"/>
  <c r="B2665" i="4"/>
  <c r="A2665" i="4"/>
  <c r="B2664" i="4"/>
  <c r="A2664" i="4"/>
  <c r="B2663" i="4"/>
  <c r="A2663" i="4"/>
  <c r="B2662" i="4"/>
  <c r="A2662" i="4"/>
  <c r="B2661" i="4"/>
  <c r="A2661" i="4"/>
  <c r="B2660" i="4"/>
  <c r="A2660" i="4"/>
  <c r="B2659" i="4"/>
  <c r="A2659" i="4"/>
  <c r="B2658" i="4"/>
  <c r="A2658" i="4"/>
  <c r="B2657" i="4"/>
  <c r="A2657" i="4"/>
  <c r="B2656" i="4"/>
  <c r="A2656" i="4"/>
  <c r="B2655" i="4"/>
  <c r="A2655" i="4"/>
  <c r="B2654" i="4"/>
  <c r="A2654" i="4"/>
  <c r="B2653" i="4"/>
  <c r="A2653" i="4"/>
  <c r="B2652" i="4"/>
  <c r="A2652" i="4"/>
  <c r="B2651" i="4"/>
  <c r="A2651" i="4"/>
  <c r="B2650" i="4"/>
  <c r="A2650" i="4"/>
  <c r="B2649" i="4"/>
  <c r="A2649" i="4"/>
  <c r="B2648" i="4"/>
  <c r="A2648" i="4"/>
  <c r="B2647" i="4"/>
  <c r="A2647" i="4"/>
  <c r="B2646" i="4"/>
  <c r="A2646" i="4"/>
  <c r="B2645" i="4"/>
  <c r="A2645" i="4"/>
  <c r="B2644" i="4"/>
  <c r="A2644" i="4"/>
  <c r="B2643" i="4"/>
  <c r="A2643" i="4"/>
  <c r="B2642" i="4"/>
  <c r="A2642" i="4"/>
  <c r="B2641" i="4"/>
  <c r="A2641" i="4"/>
  <c r="B2640" i="4"/>
  <c r="A2640" i="4"/>
  <c r="B2639" i="4"/>
  <c r="A2639" i="4"/>
  <c r="B2638" i="4"/>
  <c r="A2638" i="4"/>
  <c r="B2637" i="4"/>
  <c r="A2637" i="4"/>
  <c r="B2636" i="4"/>
  <c r="A2636" i="4"/>
  <c r="B2635" i="4"/>
  <c r="A2635" i="4"/>
  <c r="B2634" i="4"/>
  <c r="A2634" i="4"/>
  <c r="B2633" i="4"/>
  <c r="A2633" i="4"/>
  <c r="B2632" i="4"/>
  <c r="A2632" i="4"/>
  <c r="B2631" i="4"/>
  <c r="A2631" i="4"/>
  <c r="B2630" i="4"/>
  <c r="A2630" i="4"/>
  <c r="B2629" i="4"/>
  <c r="A2629" i="4"/>
  <c r="B2628" i="4"/>
  <c r="A2628" i="4"/>
  <c r="B2627" i="4"/>
  <c r="A2627" i="4"/>
  <c r="B2626" i="4"/>
  <c r="A2626" i="4"/>
  <c r="B2625" i="4"/>
  <c r="A2625" i="4"/>
  <c r="B2624" i="4"/>
  <c r="A2624" i="4"/>
  <c r="B2623" i="4"/>
  <c r="A2623" i="4"/>
  <c r="B2622" i="4"/>
  <c r="A2622" i="4"/>
  <c r="B2621" i="4"/>
  <c r="A2621" i="4"/>
  <c r="B2620" i="4"/>
  <c r="A2620" i="4"/>
  <c r="B2619" i="4"/>
  <c r="A2619" i="4"/>
  <c r="B2618" i="4"/>
  <c r="A2618" i="4"/>
  <c r="B2617" i="4"/>
  <c r="A2617" i="4"/>
  <c r="B2616" i="4"/>
  <c r="A2616" i="4"/>
  <c r="B2615" i="4"/>
  <c r="A2615" i="4"/>
  <c r="B2614" i="4"/>
  <c r="A2614" i="4"/>
  <c r="B2613" i="4"/>
  <c r="A2613" i="4"/>
  <c r="B2612" i="4"/>
  <c r="A2612" i="4"/>
  <c r="B2611" i="4"/>
  <c r="A2611" i="4"/>
  <c r="B2610" i="4"/>
  <c r="A2610" i="4"/>
  <c r="B2609" i="4"/>
  <c r="A2609" i="4"/>
  <c r="B2608" i="4"/>
  <c r="A2608" i="4"/>
  <c r="B2607" i="4"/>
  <c r="A2607" i="4"/>
  <c r="B2606" i="4"/>
  <c r="A2606" i="4"/>
  <c r="B2605" i="4"/>
  <c r="A2605" i="4"/>
  <c r="B2604" i="4"/>
  <c r="A2604" i="4"/>
  <c r="B2603" i="4"/>
  <c r="A2603" i="4"/>
  <c r="B2602" i="4"/>
  <c r="A2602" i="4"/>
  <c r="B2601" i="4"/>
  <c r="A2601" i="4"/>
  <c r="B2600" i="4"/>
  <c r="A2600" i="4"/>
  <c r="B2599" i="4"/>
  <c r="A2599" i="4"/>
  <c r="B2598" i="4"/>
  <c r="A2598" i="4"/>
  <c r="B2597" i="4"/>
  <c r="A2597" i="4"/>
  <c r="B2596" i="4"/>
  <c r="A2596" i="4"/>
  <c r="B2595" i="4"/>
  <c r="A2595" i="4"/>
  <c r="B2594" i="4"/>
  <c r="A2594" i="4"/>
  <c r="B2593" i="4"/>
  <c r="A2593" i="4"/>
  <c r="B2592" i="4"/>
  <c r="A2592" i="4"/>
  <c r="B2591" i="4"/>
  <c r="A2591" i="4"/>
  <c r="B2590" i="4"/>
  <c r="A2590" i="4"/>
  <c r="B2589" i="4"/>
  <c r="A2589" i="4"/>
  <c r="B2588" i="4"/>
  <c r="A2588" i="4"/>
  <c r="B2587" i="4"/>
  <c r="A2587" i="4"/>
  <c r="B2586" i="4"/>
  <c r="A2586" i="4"/>
  <c r="B2585" i="4"/>
  <c r="A2585" i="4"/>
  <c r="B2584" i="4"/>
  <c r="A2584" i="4"/>
  <c r="B2583" i="4"/>
  <c r="A2583" i="4"/>
  <c r="B2582" i="4"/>
  <c r="A2582" i="4"/>
  <c r="B2581" i="4"/>
  <c r="A2581" i="4"/>
  <c r="B2580" i="4"/>
  <c r="A2580" i="4"/>
  <c r="B2579" i="4"/>
  <c r="A2579" i="4"/>
  <c r="B2578" i="4"/>
  <c r="A2578" i="4"/>
  <c r="B2577" i="4"/>
  <c r="A2577" i="4"/>
  <c r="B2576" i="4"/>
  <c r="A2576" i="4"/>
  <c r="B2575" i="4"/>
  <c r="A2575" i="4"/>
  <c r="B2574" i="4"/>
  <c r="A2574" i="4"/>
  <c r="B2573" i="4"/>
  <c r="A2573" i="4"/>
  <c r="B2572" i="4"/>
  <c r="A2572" i="4"/>
  <c r="B2571" i="4"/>
  <c r="A2571" i="4"/>
  <c r="B2570" i="4"/>
  <c r="A2570" i="4"/>
  <c r="B2569" i="4"/>
  <c r="A2569" i="4"/>
  <c r="B2568" i="4"/>
  <c r="A2568" i="4"/>
  <c r="B2567" i="4"/>
  <c r="A2567" i="4"/>
  <c r="B2566" i="4"/>
  <c r="A2566" i="4"/>
  <c r="B2565" i="4"/>
  <c r="A2565" i="4"/>
  <c r="B2564" i="4"/>
  <c r="A2564" i="4"/>
  <c r="B2563" i="4"/>
  <c r="A2563" i="4"/>
  <c r="B2562" i="4"/>
  <c r="A2562" i="4"/>
  <c r="B2561" i="4"/>
  <c r="A2561" i="4"/>
  <c r="B2560" i="4"/>
  <c r="A2560" i="4"/>
  <c r="B2559" i="4"/>
  <c r="A2559" i="4"/>
  <c r="B2558" i="4"/>
  <c r="A2558" i="4"/>
  <c r="B2557" i="4"/>
  <c r="A2557" i="4"/>
  <c r="B2556" i="4"/>
  <c r="A2556" i="4"/>
  <c r="B2555" i="4"/>
  <c r="A2555" i="4"/>
  <c r="B2554" i="4"/>
  <c r="A2554" i="4"/>
  <c r="B2553" i="4"/>
  <c r="A2553" i="4"/>
  <c r="B2552" i="4"/>
  <c r="A2552" i="4"/>
  <c r="B2551" i="4"/>
  <c r="A2551" i="4"/>
  <c r="B2550" i="4"/>
  <c r="A2550" i="4"/>
  <c r="B2549" i="4"/>
  <c r="A2549" i="4"/>
  <c r="B2548" i="4"/>
  <c r="A2548" i="4"/>
  <c r="B2547" i="4"/>
  <c r="A2547" i="4"/>
  <c r="B2546" i="4"/>
  <c r="A2546" i="4"/>
  <c r="B2545" i="4"/>
  <c r="A2545" i="4"/>
  <c r="B2544" i="4"/>
  <c r="A2544" i="4"/>
  <c r="B2543" i="4"/>
  <c r="A2543" i="4"/>
  <c r="B2542" i="4"/>
  <c r="A2542" i="4"/>
  <c r="B2541" i="4"/>
  <c r="A2541" i="4"/>
  <c r="B2540" i="4"/>
  <c r="A2540" i="4"/>
  <c r="B2539" i="4"/>
  <c r="A2539" i="4"/>
  <c r="B2538" i="4"/>
  <c r="A2538" i="4"/>
  <c r="B2537" i="4"/>
  <c r="A2537" i="4"/>
  <c r="B2536" i="4"/>
  <c r="A2536" i="4"/>
  <c r="B2535" i="4"/>
  <c r="A2535" i="4"/>
  <c r="B2534" i="4"/>
  <c r="A2534" i="4"/>
  <c r="B2533" i="4"/>
  <c r="A2533" i="4"/>
  <c r="B2532" i="4"/>
  <c r="A2532" i="4"/>
  <c r="B2531" i="4"/>
  <c r="A2531" i="4"/>
  <c r="B2530" i="4"/>
  <c r="A2530" i="4"/>
  <c r="B2529" i="4"/>
  <c r="A2529" i="4"/>
  <c r="B2528" i="4"/>
  <c r="A2528" i="4"/>
  <c r="B2527" i="4"/>
  <c r="A2527" i="4"/>
  <c r="B2526" i="4"/>
  <c r="A2526" i="4"/>
  <c r="B2525" i="4"/>
  <c r="A2525" i="4"/>
  <c r="B2524" i="4"/>
  <c r="A2524" i="4"/>
  <c r="B2523" i="4"/>
  <c r="A2523" i="4"/>
  <c r="B2522" i="4"/>
  <c r="A2522" i="4"/>
  <c r="B2521" i="4"/>
  <c r="A2521" i="4"/>
  <c r="B2520" i="4"/>
  <c r="A2520" i="4"/>
  <c r="B2519" i="4"/>
  <c r="A2519" i="4"/>
  <c r="B2518" i="4"/>
  <c r="A2518" i="4"/>
  <c r="B2517" i="4"/>
  <c r="A2517" i="4"/>
  <c r="B2516" i="4"/>
  <c r="A2516" i="4"/>
  <c r="B2515" i="4"/>
  <c r="A2515" i="4"/>
  <c r="B2514" i="4"/>
  <c r="A2514" i="4"/>
  <c r="B2513" i="4"/>
  <c r="A2513" i="4"/>
  <c r="B2512" i="4"/>
  <c r="A2512" i="4"/>
  <c r="B2511" i="4"/>
  <c r="A2511" i="4"/>
  <c r="B2510" i="4"/>
  <c r="A2510" i="4"/>
  <c r="B2509" i="4"/>
  <c r="A2509" i="4"/>
  <c r="B2508" i="4"/>
  <c r="A2508" i="4"/>
  <c r="B2507" i="4"/>
  <c r="A2507" i="4"/>
  <c r="B2506" i="4"/>
  <c r="A2506" i="4"/>
  <c r="B2505" i="4"/>
  <c r="A2505" i="4"/>
  <c r="B2504" i="4"/>
  <c r="A2504" i="4"/>
  <c r="B2503" i="4"/>
  <c r="A2503" i="4"/>
  <c r="B2502" i="4"/>
  <c r="A2502" i="4"/>
  <c r="B2501" i="4"/>
  <c r="A2501" i="4"/>
  <c r="B2500" i="4"/>
  <c r="A2500" i="4"/>
  <c r="B2499" i="4"/>
  <c r="A2499" i="4"/>
  <c r="B2498" i="4"/>
  <c r="A2498" i="4"/>
  <c r="B2497" i="4"/>
  <c r="A2497" i="4"/>
  <c r="B2496" i="4"/>
  <c r="A2496" i="4"/>
  <c r="B2495" i="4"/>
  <c r="A2495" i="4"/>
  <c r="B2494" i="4"/>
  <c r="A2494" i="4"/>
  <c r="B2493" i="4"/>
  <c r="A2493" i="4"/>
  <c r="B2492" i="4"/>
  <c r="A2492" i="4"/>
  <c r="B2491" i="4"/>
  <c r="A2491" i="4"/>
  <c r="B2490" i="4"/>
  <c r="A2490" i="4"/>
  <c r="B2489" i="4"/>
  <c r="A2489" i="4"/>
  <c r="B2488" i="4"/>
  <c r="A2488" i="4"/>
  <c r="B2487" i="4"/>
  <c r="A2487" i="4"/>
  <c r="B2486" i="4"/>
  <c r="A2486" i="4"/>
  <c r="B2485" i="4"/>
  <c r="A2485" i="4"/>
  <c r="B2484" i="4"/>
  <c r="A2484" i="4"/>
  <c r="B2483" i="4"/>
  <c r="A2483" i="4"/>
  <c r="B2482" i="4"/>
  <c r="A2482" i="4"/>
  <c r="B2481" i="4"/>
  <c r="A2481" i="4"/>
  <c r="B2480" i="4"/>
  <c r="A2480" i="4"/>
  <c r="B2479" i="4"/>
  <c r="A2479" i="4"/>
  <c r="B2478" i="4"/>
  <c r="A2478" i="4"/>
  <c r="B2477" i="4"/>
  <c r="A2477" i="4"/>
  <c r="B2476" i="4"/>
  <c r="A2476" i="4"/>
  <c r="B2475" i="4"/>
  <c r="A2475" i="4"/>
  <c r="B2474" i="4"/>
  <c r="A2474" i="4"/>
  <c r="B2473" i="4"/>
  <c r="A2473" i="4"/>
  <c r="B2472" i="4"/>
  <c r="A2472" i="4"/>
  <c r="B2471" i="4"/>
  <c r="A2471" i="4"/>
  <c r="B2470" i="4"/>
  <c r="A2470" i="4"/>
  <c r="B2469" i="4"/>
  <c r="A2469" i="4"/>
  <c r="B2468" i="4"/>
  <c r="A2468" i="4"/>
  <c r="B2467" i="4"/>
  <c r="A2467" i="4"/>
  <c r="B2466" i="4"/>
  <c r="A2466" i="4"/>
  <c r="B2465" i="4"/>
  <c r="A2465" i="4"/>
  <c r="B2464" i="4"/>
  <c r="A2464" i="4"/>
  <c r="B2463" i="4"/>
  <c r="A2463" i="4"/>
  <c r="B2462" i="4"/>
  <c r="A2462" i="4"/>
  <c r="B2461" i="4"/>
  <c r="A2461" i="4"/>
  <c r="B2460" i="4"/>
  <c r="A2460" i="4"/>
  <c r="B2459" i="4"/>
  <c r="A2459" i="4"/>
  <c r="B2458" i="4"/>
  <c r="A2458" i="4"/>
  <c r="B2457" i="4"/>
  <c r="A2457" i="4"/>
  <c r="B2456" i="4"/>
  <c r="A2456" i="4"/>
  <c r="B2455" i="4"/>
  <c r="A2455" i="4"/>
  <c r="B2454" i="4"/>
  <c r="A2454" i="4"/>
  <c r="B2453" i="4"/>
  <c r="A2453" i="4"/>
  <c r="B2452" i="4"/>
  <c r="A2452" i="4"/>
  <c r="B2451" i="4"/>
  <c r="A2451" i="4"/>
  <c r="B2450" i="4"/>
  <c r="A2450" i="4"/>
  <c r="B2449" i="4"/>
  <c r="A2449" i="4"/>
  <c r="B2448" i="4"/>
  <c r="A2448" i="4"/>
  <c r="B2447" i="4"/>
  <c r="A2447" i="4"/>
  <c r="B2446" i="4"/>
  <c r="A2446" i="4"/>
  <c r="B2445" i="4"/>
  <c r="A2445" i="4"/>
  <c r="B2444" i="4"/>
  <c r="A2444" i="4"/>
  <c r="B2443" i="4"/>
  <c r="A2443" i="4"/>
  <c r="B2442" i="4"/>
  <c r="A2442" i="4"/>
  <c r="B2441" i="4"/>
  <c r="A2441" i="4"/>
  <c r="B2440" i="4"/>
  <c r="A2440" i="4"/>
  <c r="B2439" i="4"/>
  <c r="A2439" i="4"/>
  <c r="B2438" i="4"/>
  <c r="A2438" i="4"/>
  <c r="B2437" i="4"/>
  <c r="A2437" i="4"/>
  <c r="B2436" i="4"/>
  <c r="A2436" i="4"/>
  <c r="B2435" i="4"/>
  <c r="A2435" i="4"/>
  <c r="B2434" i="4"/>
  <c r="A2434" i="4"/>
  <c r="B2433" i="4"/>
  <c r="A2433" i="4"/>
  <c r="B2432" i="4"/>
  <c r="A2432" i="4"/>
  <c r="B2431" i="4"/>
  <c r="A2431" i="4"/>
  <c r="B2430" i="4"/>
  <c r="A2430" i="4"/>
  <c r="B2429" i="4"/>
  <c r="A2429" i="4"/>
  <c r="B2428" i="4"/>
  <c r="A2428" i="4"/>
  <c r="B2427" i="4"/>
  <c r="A2427" i="4"/>
  <c r="B2426" i="4"/>
  <c r="A2426" i="4"/>
  <c r="B2425" i="4"/>
  <c r="A2425" i="4"/>
  <c r="B2424" i="4"/>
  <c r="A2424" i="4"/>
  <c r="B2423" i="4"/>
  <c r="A2423" i="4"/>
  <c r="B2422" i="4"/>
  <c r="A2422" i="4"/>
  <c r="B2421" i="4"/>
  <c r="A2421" i="4"/>
  <c r="B2420" i="4"/>
  <c r="A2420" i="4"/>
  <c r="B2419" i="4"/>
  <c r="A2419" i="4"/>
  <c r="B2418" i="4"/>
  <c r="A2418" i="4"/>
  <c r="B2417" i="4"/>
  <c r="A2417" i="4"/>
  <c r="B2416" i="4"/>
  <c r="A2416" i="4"/>
  <c r="B2415" i="4"/>
  <c r="A2415" i="4"/>
  <c r="B2414" i="4"/>
  <c r="A2414" i="4"/>
  <c r="B2413" i="4"/>
  <c r="A2413" i="4"/>
  <c r="B2412" i="4"/>
  <c r="A2412" i="4"/>
  <c r="B2411" i="4"/>
  <c r="A2411" i="4"/>
  <c r="B2410" i="4"/>
  <c r="A2410" i="4"/>
  <c r="B2409" i="4"/>
  <c r="A2409" i="4"/>
  <c r="B2408" i="4"/>
  <c r="A2408" i="4"/>
  <c r="B2407" i="4"/>
  <c r="A2407" i="4"/>
  <c r="B2406" i="4"/>
  <c r="A2406" i="4"/>
  <c r="B2405" i="4"/>
  <c r="A2405" i="4"/>
  <c r="B2404" i="4"/>
  <c r="A2404" i="4"/>
  <c r="B2403" i="4"/>
  <c r="A2403" i="4"/>
  <c r="B2402" i="4"/>
  <c r="A2402" i="4"/>
  <c r="B2401" i="4"/>
  <c r="A2401" i="4"/>
  <c r="B2400" i="4"/>
  <c r="A2400" i="4"/>
  <c r="B2399" i="4"/>
  <c r="A2399" i="4"/>
  <c r="B2398" i="4"/>
  <c r="A2398" i="4"/>
  <c r="B2397" i="4"/>
  <c r="A2397" i="4"/>
  <c r="B2396" i="4"/>
  <c r="A2396" i="4"/>
  <c r="B2395" i="4"/>
  <c r="A2395" i="4"/>
  <c r="B2394" i="4"/>
  <c r="A2394" i="4"/>
  <c r="B2393" i="4"/>
  <c r="A2393" i="4"/>
  <c r="B2392" i="4"/>
  <c r="A2392" i="4"/>
  <c r="B2391" i="4"/>
  <c r="A2391" i="4"/>
  <c r="B2390" i="4"/>
  <c r="A2390" i="4"/>
  <c r="B2389" i="4"/>
  <c r="A2389" i="4"/>
  <c r="B2388" i="4"/>
  <c r="A2388" i="4"/>
  <c r="B2387" i="4"/>
  <c r="A2387" i="4"/>
  <c r="B2386" i="4"/>
  <c r="A2386" i="4"/>
  <c r="B2385" i="4"/>
  <c r="A2385" i="4"/>
  <c r="B2384" i="4"/>
  <c r="A2384" i="4"/>
  <c r="B2383" i="4"/>
  <c r="A2383" i="4"/>
  <c r="B2382" i="4"/>
  <c r="A2382" i="4"/>
  <c r="B2381" i="4"/>
  <c r="A2381" i="4"/>
  <c r="B2380" i="4"/>
  <c r="A2380" i="4"/>
  <c r="B2379" i="4"/>
  <c r="A2379" i="4"/>
  <c r="B2378" i="4"/>
  <c r="A2378" i="4"/>
  <c r="B2377" i="4"/>
  <c r="A2377" i="4"/>
  <c r="B2376" i="4"/>
  <c r="A2376" i="4"/>
  <c r="B2375" i="4"/>
  <c r="A2375" i="4"/>
  <c r="B2374" i="4"/>
  <c r="A2374" i="4"/>
  <c r="B2373" i="4"/>
  <c r="A2373" i="4"/>
  <c r="B2372" i="4"/>
  <c r="A2372" i="4"/>
  <c r="B2371" i="4"/>
  <c r="A2371" i="4"/>
  <c r="B2370" i="4"/>
  <c r="A2370" i="4"/>
  <c r="B2369" i="4"/>
  <c r="A2369" i="4"/>
  <c r="B2368" i="4"/>
  <c r="A2368" i="4"/>
  <c r="B2367" i="4"/>
  <c r="A2367" i="4"/>
  <c r="B2366" i="4"/>
  <c r="A2366" i="4"/>
  <c r="B2365" i="4"/>
  <c r="A2365" i="4"/>
  <c r="B2364" i="4"/>
  <c r="A2364" i="4"/>
  <c r="B2363" i="4"/>
  <c r="A2363" i="4"/>
  <c r="B2362" i="4"/>
  <c r="A2362" i="4"/>
  <c r="B2361" i="4"/>
  <c r="A2361" i="4"/>
  <c r="B2360" i="4"/>
  <c r="A2360" i="4"/>
  <c r="B2359" i="4"/>
  <c r="A2359" i="4"/>
  <c r="B2358" i="4"/>
  <c r="A2358" i="4"/>
  <c r="B2357" i="4"/>
  <c r="A2357" i="4"/>
  <c r="B2356" i="4"/>
  <c r="A2356" i="4"/>
  <c r="B2355" i="4"/>
  <c r="A2355" i="4"/>
  <c r="B2354" i="4"/>
  <c r="A2354" i="4"/>
  <c r="B2353" i="4"/>
  <c r="A2353" i="4"/>
  <c r="B2352" i="4"/>
  <c r="A2352" i="4"/>
  <c r="B2351" i="4"/>
  <c r="A2351" i="4"/>
  <c r="B2350" i="4"/>
  <c r="A2350" i="4"/>
  <c r="B2349" i="4"/>
  <c r="A2349" i="4"/>
  <c r="B2348" i="4"/>
  <c r="A2348" i="4"/>
  <c r="B2347" i="4"/>
  <c r="A2347" i="4"/>
  <c r="B2346" i="4"/>
  <c r="A2346" i="4"/>
  <c r="B2345" i="4"/>
  <c r="A2345" i="4"/>
  <c r="B2344" i="4"/>
  <c r="A2344" i="4"/>
  <c r="B2343" i="4"/>
  <c r="A2343" i="4"/>
  <c r="B2342" i="4"/>
  <c r="A2342" i="4"/>
  <c r="B2341" i="4"/>
  <c r="A2341" i="4"/>
  <c r="B2340" i="4"/>
  <c r="A2340" i="4"/>
  <c r="B2339" i="4"/>
  <c r="A2339" i="4"/>
  <c r="B2338" i="4"/>
  <c r="A2338" i="4"/>
  <c r="B2337" i="4"/>
  <c r="A2337" i="4"/>
  <c r="B2336" i="4"/>
  <c r="A2336" i="4"/>
  <c r="B2335" i="4"/>
  <c r="A2335" i="4"/>
  <c r="B2334" i="4"/>
  <c r="A2334" i="4"/>
  <c r="B2333" i="4"/>
  <c r="A2333" i="4"/>
  <c r="B2332" i="4"/>
  <c r="A2332" i="4"/>
  <c r="B2331" i="4"/>
  <c r="A2331" i="4"/>
  <c r="B2330" i="4"/>
  <c r="A2330" i="4"/>
  <c r="B2329" i="4"/>
  <c r="A2329" i="4"/>
  <c r="B2328" i="4"/>
  <c r="A2328" i="4"/>
  <c r="B2327" i="4"/>
  <c r="A2327" i="4"/>
  <c r="B2326" i="4"/>
  <c r="A2326" i="4"/>
  <c r="B2325" i="4"/>
  <c r="A2325" i="4"/>
  <c r="B2324" i="4"/>
  <c r="A2324" i="4"/>
  <c r="B2323" i="4"/>
  <c r="A2323" i="4"/>
  <c r="B2322" i="4"/>
  <c r="A2322" i="4"/>
  <c r="B2321" i="4"/>
  <c r="A2321" i="4"/>
  <c r="B2320" i="4"/>
  <c r="A2320" i="4"/>
  <c r="B2319" i="4"/>
  <c r="A2319" i="4"/>
  <c r="B2318" i="4"/>
  <c r="A2318" i="4"/>
  <c r="B2317" i="4"/>
  <c r="A2317" i="4"/>
  <c r="B2316" i="4"/>
  <c r="A2316" i="4"/>
  <c r="B2315" i="4"/>
  <c r="A2315" i="4"/>
  <c r="B2314" i="4"/>
  <c r="A2314" i="4"/>
  <c r="B2313" i="4"/>
  <c r="A2313" i="4"/>
  <c r="B2312" i="4"/>
  <c r="A2312" i="4"/>
  <c r="B2311" i="4"/>
  <c r="A2311" i="4"/>
  <c r="B2310" i="4"/>
  <c r="A2310" i="4"/>
  <c r="B2309" i="4"/>
  <c r="A2309" i="4"/>
  <c r="B2308" i="4"/>
  <c r="A2308" i="4"/>
  <c r="B2307" i="4"/>
  <c r="A2307" i="4"/>
  <c r="B2306" i="4"/>
  <c r="A2306" i="4"/>
  <c r="B2305" i="4"/>
  <c r="A2305" i="4"/>
  <c r="B2304" i="4"/>
  <c r="A2304" i="4"/>
  <c r="B2303" i="4"/>
  <c r="A2303" i="4"/>
  <c r="B2302" i="4"/>
  <c r="A2302" i="4"/>
  <c r="B2301" i="4"/>
  <c r="A2301" i="4"/>
  <c r="B2300" i="4"/>
  <c r="A2300" i="4"/>
  <c r="B2299" i="4"/>
  <c r="A2299" i="4"/>
  <c r="B2298" i="4"/>
  <c r="A2298" i="4"/>
  <c r="B2297" i="4"/>
  <c r="A2297" i="4"/>
  <c r="B2296" i="4"/>
  <c r="A2296" i="4"/>
  <c r="B2295" i="4"/>
  <c r="A2295" i="4"/>
  <c r="B2294" i="4"/>
  <c r="A2294" i="4"/>
  <c r="B2293" i="4"/>
  <c r="A2293" i="4"/>
  <c r="B2292" i="4"/>
  <c r="A2292" i="4"/>
  <c r="B2291" i="4"/>
  <c r="A2291" i="4"/>
  <c r="B2290" i="4"/>
  <c r="A2290" i="4"/>
  <c r="B2289" i="4"/>
  <c r="A2289" i="4"/>
  <c r="B2288" i="4"/>
  <c r="A2288" i="4"/>
  <c r="B2287" i="4"/>
  <c r="A2287" i="4"/>
  <c r="B2286" i="4"/>
  <c r="A2286" i="4"/>
  <c r="B2285" i="4"/>
  <c r="A2285" i="4"/>
  <c r="B2284" i="4"/>
  <c r="A2284" i="4"/>
  <c r="B2283" i="4"/>
  <c r="A2283" i="4"/>
  <c r="B2282" i="4"/>
  <c r="A2282" i="4"/>
  <c r="B2281" i="4"/>
  <c r="A2281" i="4"/>
  <c r="B2280" i="4"/>
  <c r="A2280" i="4"/>
  <c r="B2279" i="4"/>
  <c r="A2279" i="4"/>
  <c r="B2278" i="4"/>
  <c r="A2278" i="4"/>
  <c r="B2277" i="4"/>
  <c r="A2277" i="4"/>
  <c r="B2276" i="4"/>
  <c r="A2276" i="4"/>
  <c r="B2275" i="4"/>
  <c r="A2275" i="4"/>
  <c r="B2274" i="4"/>
  <c r="A2274" i="4"/>
  <c r="B2273" i="4"/>
  <c r="A2273" i="4"/>
  <c r="B2272" i="4"/>
  <c r="A2272" i="4"/>
  <c r="B2271" i="4"/>
  <c r="A2271" i="4"/>
  <c r="B2270" i="4"/>
  <c r="A2270" i="4"/>
  <c r="B2269" i="4"/>
  <c r="A2269" i="4"/>
  <c r="B2268" i="4"/>
  <c r="A2268" i="4"/>
  <c r="B2267" i="4"/>
  <c r="A2267" i="4"/>
  <c r="B2266" i="4"/>
  <c r="A2266" i="4"/>
  <c r="B2265" i="4"/>
  <c r="A2265" i="4"/>
  <c r="B2264" i="4"/>
  <c r="A2264" i="4"/>
  <c r="B2263" i="4"/>
  <c r="A2263" i="4"/>
  <c r="B2262" i="4"/>
  <c r="A2262" i="4"/>
  <c r="B2261" i="4"/>
  <c r="A2261" i="4"/>
  <c r="B2260" i="4"/>
  <c r="A2260" i="4"/>
  <c r="B2259" i="4"/>
  <c r="A2259" i="4"/>
  <c r="B2258" i="4"/>
  <c r="A2258" i="4"/>
  <c r="B2257" i="4"/>
  <c r="A2257" i="4"/>
  <c r="B2256" i="4"/>
  <c r="A2256" i="4"/>
  <c r="B2255" i="4"/>
  <c r="A2255" i="4"/>
  <c r="B2254" i="4"/>
  <c r="A2254" i="4"/>
  <c r="B2253" i="4"/>
  <c r="A2253" i="4"/>
  <c r="B2252" i="4"/>
  <c r="A2252" i="4"/>
  <c r="B2251" i="4"/>
  <c r="A2251" i="4"/>
  <c r="B2250" i="4"/>
  <c r="A2250" i="4"/>
  <c r="B2249" i="4"/>
  <c r="A2249" i="4"/>
  <c r="B2248" i="4"/>
  <c r="A2248" i="4"/>
  <c r="B2247" i="4"/>
  <c r="A2247" i="4"/>
  <c r="B2246" i="4"/>
  <c r="A2246" i="4"/>
  <c r="B2245" i="4"/>
  <c r="A2245" i="4"/>
  <c r="B2244" i="4"/>
  <c r="A2244" i="4"/>
  <c r="B2243" i="4"/>
  <c r="A2243" i="4"/>
  <c r="B2242" i="4"/>
  <c r="A2242" i="4"/>
  <c r="B2241" i="4"/>
  <c r="A2241" i="4"/>
  <c r="B2240" i="4"/>
  <c r="A2240" i="4"/>
  <c r="B2239" i="4"/>
  <c r="A2239" i="4"/>
  <c r="B2238" i="4"/>
  <c r="A2238" i="4"/>
  <c r="B2237" i="4"/>
  <c r="A2237" i="4"/>
  <c r="B2236" i="4"/>
  <c r="A2236" i="4"/>
  <c r="B2235" i="4"/>
  <c r="A2235" i="4"/>
  <c r="B2234" i="4"/>
  <c r="A2234" i="4"/>
  <c r="B2233" i="4"/>
  <c r="A2233" i="4"/>
  <c r="B2232" i="4"/>
  <c r="A2232" i="4"/>
  <c r="B2231" i="4"/>
  <c r="A2231" i="4"/>
  <c r="B2230" i="4"/>
  <c r="A2230" i="4"/>
  <c r="B2229" i="4"/>
  <c r="A2229" i="4"/>
  <c r="B2228" i="4"/>
  <c r="A2228" i="4"/>
  <c r="B2227" i="4"/>
  <c r="A2227" i="4"/>
  <c r="B2226" i="4"/>
  <c r="A2226" i="4"/>
  <c r="B2225" i="4"/>
  <c r="A2225" i="4"/>
  <c r="B2224" i="4"/>
  <c r="A2224" i="4"/>
  <c r="B2223" i="4"/>
  <c r="A2223" i="4"/>
  <c r="B2222" i="4"/>
  <c r="A2222" i="4"/>
  <c r="B2221" i="4"/>
  <c r="A2221" i="4"/>
  <c r="B2220" i="4"/>
  <c r="A2220" i="4"/>
  <c r="B2219" i="4"/>
  <c r="A2219" i="4"/>
  <c r="B2218" i="4"/>
  <c r="A2218" i="4"/>
  <c r="B2217" i="4"/>
  <c r="A2217" i="4"/>
  <c r="B2216" i="4"/>
  <c r="A2216" i="4"/>
  <c r="B2215" i="4"/>
  <c r="A2215" i="4"/>
  <c r="B2214" i="4"/>
  <c r="A2214" i="4"/>
  <c r="B2213" i="4"/>
  <c r="A2213" i="4"/>
  <c r="B2212" i="4"/>
  <c r="A2212" i="4"/>
  <c r="B2211" i="4"/>
  <c r="A2211" i="4"/>
  <c r="B2210" i="4"/>
  <c r="A2210" i="4"/>
  <c r="B2209" i="4"/>
  <c r="A2209" i="4"/>
  <c r="B2208" i="4"/>
  <c r="A2208" i="4"/>
  <c r="B2207" i="4"/>
  <c r="A2207" i="4"/>
  <c r="B2206" i="4"/>
  <c r="A2206" i="4"/>
  <c r="B2205" i="4"/>
  <c r="A2205" i="4"/>
  <c r="B2204" i="4"/>
  <c r="A2204" i="4"/>
  <c r="B2203" i="4"/>
  <c r="A2203" i="4"/>
  <c r="B2202" i="4"/>
  <c r="A2202" i="4"/>
  <c r="B2201" i="4"/>
  <c r="A2201" i="4"/>
  <c r="B2200" i="4"/>
  <c r="A2200" i="4"/>
  <c r="B2199" i="4"/>
  <c r="A2199" i="4"/>
  <c r="B2198" i="4"/>
  <c r="A2198" i="4"/>
  <c r="B2197" i="4"/>
  <c r="A2197" i="4"/>
  <c r="B2196" i="4"/>
  <c r="A2196" i="4"/>
  <c r="B2195" i="4"/>
  <c r="A2195" i="4"/>
  <c r="B2194" i="4"/>
  <c r="A2194" i="4"/>
  <c r="B2193" i="4"/>
  <c r="A2193" i="4"/>
  <c r="B2192" i="4"/>
  <c r="A2192" i="4"/>
  <c r="B2191" i="4"/>
  <c r="A2191" i="4"/>
  <c r="B2190" i="4"/>
  <c r="A2190" i="4"/>
  <c r="B2189" i="4"/>
  <c r="A2189" i="4"/>
  <c r="B2188" i="4"/>
  <c r="A2188" i="4"/>
  <c r="B2187" i="4"/>
  <c r="A2187" i="4"/>
  <c r="B2186" i="4"/>
  <c r="A2186" i="4"/>
  <c r="B2185" i="4"/>
  <c r="A2185" i="4"/>
  <c r="B2184" i="4"/>
  <c r="A2184" i="4"/>
  <c r="B2183" i="4"/>
  <c r="A2183" i="4"/>
  <c r="B2182" i="4"/>
  <c r="A2182" i="4"/>
  <c r="B2181" i="4"/>
  <c r="A2181" i="4"/>
  <c r="B2180" i="4"/>
  <c r="A2180" i="4"/>
  <c r="B2179" i="4"/>
  <c r="A2179" i="4"/>
  <c r="B2178" i="4"/>
  <c r="A2178" i="4"/>
  <c r="B2177" i="4"/>
  <c r="A2177" i="4"/>
  <c r="B2176" i="4"/>
  <c r="A2176" i="4"/>
  <c r="B2175" i="4"/>
  <c r="A2175" i="4"/>
  <c r="B2174" i="4"/>
  <c r="A2174" i="4"/>
  <c r="B2173" i="4"/>
  <c r="A2173" i="4"/>
  <c r="B2172" i="4"/>
  <c r="A2172" i="4"/>
  <c r="B2171" i="4"/>
  <c r="A2171" i="4"/>
  <c r="B2170" i="4"/>
  <c r="A2170" i="4"/>
  <c r="B2169" i="4"/>
  <c r="A2169" i="4"/>
  <c r="B2168" i="4"/>
  <c r="A2168" i="4"/>
  <c r="B2167" i="4"/>
  <c r="A2167" i="4"/>
  <c r="B2166" i="4"/>
  <c r="A2166" i="4"/>
  <c r="B2165" i="4"/>
  <c r="A2165" i="4"/>
  <c r="B2164" i="4"/>
  <c r="A2164" i="4"/>
  <c r="B2163" i="4"/>
  <c r="A2163" i="4"/>
  <c r="B2162" i="4"/>
  <c r="A2162" i="4"/>
  <c r="B2161" i="4"/>
  <c r="A2161" i="4"/>
  <c r="B2160" i="4"/>
  <c r="A2160" i="4"/>
  <c r="B2159" i="4"/>
  <c r="A2159" i="4"/>
  <c r="B2158" i="4"/>
  <c r="A2158" i="4"/>
  <c r="B2157" i="4"/>
  <c r="A2157" i="4"/>
  <c r="B2156" i="4"/>
  <c r="A2156" i="4"/>
  <c r="B2155" i="4"/>
  <c r="A2155" i="4"/>
  <c r="B2154" i="4"/>
  <c r="A2154" i="4"/>
  <c r="B2153" i="4"/>
  <c r="A2153" i="4"/>
  <c r="B2152" i="4"/>
  <c r="A2152" i="4"/>
  <c r="B2151" i="4"/>
  <c r="A2151" i="4"/>
  <c r="B2150" i="4"/>
  <c r="A2150" i="4"/>
  <c r="B2149" i="4"/>
  <c r="A2149" i="4"/>
  <c r="B2148" i="4"/>
  <c r="A2148" i="4"/>
  <c r="B2147" i="4"/>
  <c r="A2147" i="4"/>
  <c r="B2146" i="4"/>
  <c r="A2146" i="4"/>
  <c r="B2145" i="4"/>
  <c r="A2145" i="4"/>
  <c r="B2144" i="4"/>
  <c r="A2144" i="4"/>
  <c r="B2143" i="4"/>
  <c r="A2143" i="4"/>
  <c r="B2142" i="4"/>
  <c r="A2142" i="4"/>
  <c r="B2141" i="4"/>
  <c r="A2141" i="4"/>
  <c r="B2140" i="4"/>
  <c r="A2140" i="4"/>
  <c r="B2139" i="4"/>
  <c r="A2139" i="4"/>
  <c r="B2138" i="4"/>
  <c r="A2138" i="4"/>
  <c r="B2137" i="4"/>
  <c r="A2137" i="4"/>
  <c r="B2136" i="4"/>
  <c r="A2136" i="4"/>
  <c r="B2135" i="4"/>
  <c r="A2135" i="4"/>
  <c r="B2134" i="4"/>
  <c r="A2134" i="4"/>
  <c r="B2133" i="4"/>
  <c r="A2133" i="4"/>
  <c r="B2132" i="4"/>
  <c r="A2132" i="4"/>
  <c r="B2131" i="4"/>
  <c r="A2131" i="4"/>
  <c r="B2130" i="4"/>
  <c r="A2130" i="4"/>
  <c r="B2129" i="4"/>
  <c r="A2129" i="4"/>
  <c r="B2128" i="4"/>
  <c r="A2128" i="4"/>
  <c r="B2127" i="4"/>
  <c r="A2127" i="4"/>
  <c r="B2126" i="4"/>
  <c r="A2126" i="4"/>
  <c r="B2125" i="4"/>
  <c r="A2125" i="4"/>
  <c r="B2124" i="4"/>
  <c r="A2124" i="4"/>
  <c r="B2123" i="4"/>
  <c r="A2123" i="4"/>
  <c r="B2122" i="4"/>
  <c r="A2122" i="4"/>
  <c r="B2121" i="4"/>
  <c r="A2121" i="4"/>
  <c r="B2120" i="4"/>
  <c r="A2120" i="4"/>
  <c r="B2119" i="4"/>
  <c r="A2119" i="4"/>
  <c r="B2118" i="4"/>
  <c r="A2118" i="4"/>
  <c r="B2117" i="4"/>
  <c r="A2117" i="4"/>
  <c r="B2116" i="4"/>
  <c r="A2116" i="4"/>
  <c r="B2115" i="4"/>
  <c r="A2115" i="4"/>
  <c r="B2114" i="4"/>
  <c r="A2114" i="4"/>
  <c r="B2113" i="4"/>
  <c r="A2113" i="4"/>
  <c r="B2112" i="4"/>
  <c r="A2112" i="4"/>
  <c r="B2111" i="4"/>
  <c r="A2111" i="4"/>
  <c r="B2110" i="4"/>
  <c r="A2110" i="4"/>
  <c r="B2109" i="4"/>
  <c r="A2109" i="4"/>
  <c r="B2108" i="4"/>
  <c r="A2108" i="4"/>
  <c r="B2107" i="4"/>
  <c r="A2107" i="4"/>
  <c r="B2106" i="4"/>
  <c r="A2106" i="4"/>
  <c r="B2105" i="4"/>
  <c r="A2105" i="4"/>
  <c r="B2104" i="4"/>
  <c r="A2104" i="4"/>
  <c r="B2103" i="4"/>
  <c r="A2103" i="4"/>
  <c r="B2102" i="4"/>
  <c r="A2102" i="4"/>
  <c r="B2101" i="4"/>
  <c r="A2101" i="4"/>
  <c r="B2100" i="4"/>
  <c r="A2100" i="4"/>
  <c r="B2099" i="4"/>
  <c r="A2099" i="4"/>
  <c r="B2098" i="4"/>
  <c r="A2098" i="4"/>
  <c r="B2097" i="4"/>
  <c r="A2097" i="4"/>
  <c r="B2096" i="4"/>
  <c r="A2096" i="4"/>
  <c r="B2095" i="4"/>
  <c r="A2095" i="4"/>
  <c r="B2094" i="4"/>
  <c r="A2094" i="4"/>
  <c r="B2093" i="4"/>
  <c r="A2093" i="4"/>
  <c r="B2092" i="4"/>
  <c r="A2092" i="4"/>
  <c r="B2091" i="4"/>
  <c r="A2091" i="4"/>
  <c r="B2090" i="4"/>
  <c r="A2090" i="4"/>
  <c r="B2089" i="4"/>
  <c r="A2089" i="4"/>
  <c r="B2088" i="4"/>
  <c r="A2088" i="4"/>
  <c r="B2087" i="4"/>
  <c r="A2087" i="4"/>
  <c r="B2086" i="4"/>
  <c r="A2086" i="4"/>
  <c r="B2085" i="4"/>
  <c r="A2085" i="4"/>
  <c r="B2084" i="4"/>
  <c r="A2084" i="4"/>
  <c r="B2083" i="4"/>
  <c r="A2083" i="4"/>
  <c r="B2082" i="4"/>
  <c r="A2082" i="4"/>
  <c r="B2081" i="4"/>
  <c r="A2081" i="4"/>
  <c r="B2080" i="4"/>
  <c r="A2080" i="4"/>
  <c r="B2079" i="4"/>
  <c r="A2079" i="4"/>
  <c r="B2078" i="4"/>
  <c r="A2078" i="4"/>
  <c r="B2077" i="4"/>
  <c r="A2077" i="4"/>
  <c r="B2076" i="4"/>
  <c r="A2076" i="4"/>
  <c r="B2075" i="4"/>
  <c r="A2075" i="4"/>
  <c r="B2074" i="4"/>
  <c r="A2074" i="4"/>
  <c r="B2073" i="4"/>
  <c r="A2073" i="4"/>
  <c r="B2072" i="4"/>
  <c r="A2072" i="4"/>
  <c r="B2071" i="4"/>
  <c r="A2071" i="4"/>
  <c r="B2070" i="4"/>
  <c r="A2070" i="4"/>
  <c r="B2069" i="4"/>
  <c r="A2069" i="4"/>
  <c r="B2068" i="4"/>
  <c r="A2068" i="4"/>
  <c r="B2067" i="4"/>
  <c r="A2067" i="4"/>
  <c r="B2066" i="4"/>
  <c r="A2066" i="4"/>
  <c r="B2065" i="4"/>
  <c r="A2065" i="4"/>
  <c r="B2064" i="4"/>
  <c r="A2064" i="4"/>
  <c r="B2063" i="4"/>
  <c r="A2063" i="4"/>
  <c r="B2062" i="4"/>
  <c r="A2062" i="4"/>
  <c r="B2061" i="4"/>
  <c r="A2061" i="4"/>
  <c r="B2060" i="4"/>
  <c r="A2060" i="4"/>
  <c r="B2059" i="4"/>
  <c r="A2059" i="4"/>
  <c r="B2058" i="4"/>
  <c r="A2058" i="4"/>
  <c r="B2057" i="4"/>
  <c r="A2057" i="4"/>
  <c r="B2056" i="4"/>
  <c r="A2056" i="4"/>
  <c r="B2055" i="4"/>
  <c r="A2055" i="4"/>
  <c r="B2054" i="4"/>
  <c r="A2054" i="4"/>
  <c r="B2053" i="4"/>
  <c r="A2053" i="4"/>
  <c r="B2052" i="4"/>
  <c r="A2052" i="4"/>
  <c r="B2051" i="4"/>
  <c r="A2051" i="4"/>
  <c r="B2050" i="4"/>
  <c r="A2050" i="4"/>
  <c r="B2049" i="4"/>
  <c r="A2049" i="4"/>
  <c r="B2048" i="4"/>
  <c r="A2048" i="4"/>
  <c r="B2047" i="4"/>
  <c r="A2047" i="4"/>
  <c r="B2046" i="4"/>
  <c r="A2046" i="4"/>
  <c r="B2045" i="4"/>
  <c r="A2045" i="4"/>
  <c r="B2044" i="4"/>
  <c r="A2044" i="4"/>
  <c r="B2043" i="4"/>
  <c r="A2043" i="4"/>
  <c r="B2042" i="4"/>
  <c r="A2042" i="4"/>
  <c r="B2041" i="4"/>
  <c r="A2041" i="4"/>
  <c r="B2040" i="4"/>
  <c r="A2040" i="4"/>
  <c r="B2039" i="4"/>
  <c r="A2039" i="4"/>
  <c r="B2038" i="4"/>
  <c r="A2038" i="4"/>
  <c r="B2037" i="4"/>
  <c r="A2037" i="4"/>
  <c r="B2036" i="4"/>
  <c r="A2036" i="4"/>
  <c r="B2035" i="4"/>
  <c r="A2035" i="4"/>
  <c r="B2034" i="4"/>
  <c r="A2034" i="4"/>
  <c r="B2033" i="4"/>
  <c r="A2033" i="4"/>
  <c r="B2032" i="4"/>
  <c r="A2032" i="4"/>
  <c r="B2031" i="4"/>
  <c r="A2031" i="4"/>
  <c r="B2030" i="4"/>
  <c r="A2030" i="4"/>
  <c r="B2029" i="4"/>
  <c r="A2029" i="4"/>
  <c r="B2028" i="4"/>
  <c r="A2028" i="4"/>
  <c r="B2027" i="4"/>
  <c r="A2027" i="4"/>
  <c r="B2026" i="4"/>
  <c r="A2026" i="4"/>
  <c r="B2025" i="4"/>
  <c r="A2025" i="4"/>
  <c r="B2024" i="4"/>
  <c r="A2024" i="4"/>
  <c r="B2023" i="4"/>
  <c r="A2023" i="4"/>
  <c r="B2022" i="4"/>
  <c r="A2022" i="4"/>
  <c r="B2021" i="4"/>
  <c r="A2021" i="4"/>
  <c r="B2020" i="4"/>
  <c r="A2020" i="4"/>
  <c r="B2019" i="4"/>
  <c r="A2019" i="4"/>
  <c r="B2018" i="4"/>
  <c r="A2018" i="4"/>
  <c r="B2017" i="4"/>
  <c r="A2017" i="4"/>
  <c r="B2016" i="4"/>
  <c r="A2016" i="4"/>
  <c r="B2015" i="4"/>
  <c r="A2015" i="4"/>
  <c r="B2014" i="4"/>
  <c r="A2014" i="4"/>
  <c r="B2013" i="4"/>
  <c r="A2013" i="4"/>
  <c r="B2012" i="4"/>
  <c r="A2012" i="4"/>
  <c r="B2011" i="4"/>
  <c r="A2011" i="4"/>
  <c r="B2010" i="4"/>
  <c r="A2010" i="4"/>
  <c r="B2009" i="4"/>
  <c r="A2009" i="4"/>
  <c r="B2008" i="4"/>
  <c r="A2008" i="4"/>
  <c r="B2007" i="4"/>
  <c r="A2007" i="4"/>
  <c r="B2006" i="4"/>
  <c r="A2006" i="4"/>
  <c r="B2005" i="4"/>
  <c r="A2005" i="4"/>
  <c r="B2004" i="4"/>
  <c r="A2004" i="4"/>
  <c r="B2003" i="4"/>
  <c r="A2003" i="4"/>
  <c r="B2002" i="4"/>
  <c r="A2002" i="4"/>
  <c r="B2001" i="4"/>
  <c r="A2001" i="4"/>
  <c r="B2000" i="4"/>
  <c r="A2000" i="4"/>
  <c r="B1999" i="4"/>
  <c r="A1999" i="4"/>
  <c r="B1998" i="4"/>
  <c r="A1998" i="4"/>
  <c r="B1997" i="4"/>
  <c r="A1997" i="4"/>
  <c r="B1996" i="4"/>
  <c r="A1996" i="4"/>
  <c r="B1995" i="4"/>
  <c r="A1995" i="4"/>
  <c r="B1994" i="4"/>
  <c r="A1994" i="4"/>
  <c r="B1993" i="4"/>
  <c r="A1993" i="4"/>
  <c r="B1992" i="4"/>
  <c r="A1992" i="4"/>
  <c r="B1991" i="4"/>
  <c r="A1991" i="4"/>
  <c r="B1990" i="4"/>
  <c r="A1990" i="4"/>
  <c r="B1989" i="4"/>
  <c r="A1989" i="4"/>
  <c r="B1988" i="4"/>
  <c r="A1988" i="4"/>
  <c r="B1987" i="4"/>
  <c r="A1987" i="4"/>
  <c r="B1986" i="4"/>
  <c r="A1986" i="4"/>
  <c r="B1985" i="4"/>
  <c r="A1985" i="4"/>
  <c r="B1984" i="4"/>
  <c r="A1984" i="4"/>
  <c r="B1983" i="4"/>
  <c r="A1983" i="4"/>
  <c r="B1982" i="4"/>
  <c r="A1982" i="4"/>
  <c r="B1981" i="4"/>
  <c r="A1981" i="4"/>
  <c r="B1980" i="4"/>
  <c r="A1980" i="4"/>
  <c r="B1979" i="4"/>
  <c r="A1979" i="4"/>
  <c r="B1978" i="4"/>
  <c r="A1978" i="4"/>
  <c r="B1977" i="4"/>
  <c r="A1977" i="4"/>
  <c r="B1976" i="4"/>
  <c r="A1976" i="4"/>
  <c r="B1975" i="4"/>
  <c r="A1975" i="4"/>
  <c r="B1974" i="4"/>
  <c r="A1974" i="4"/>
  <c r="B1973" i="4"/>
  <c r="A1973" i="4"/>
  <c r="B1972" i="4"/>
  <c r="A1972" i="4"/>
  <c r="B1971" i="4"/>
  <c r="A1971" i="4"/>
  <c r="B1970" i="4"/>
  <c r="A1970" i="4"/>
  <c r="B1969" i="4"/>
  <c r="A1969" i="4"/>
  <c r="B1968" i="4"/>
  <c r="A1968" i="4"/>
  <c r="B1967" i="4"/>
  <c r="A1967" i="4"/>
  <c r="B1966" i="4"/>
  <c r="A1966" i="4"/>
  <c r="B1965" i="4"/>
  <c r="A1965" i="4"/>
  <c r="B1964" i="4"/>
  <c r="A1964" i="4"/>
  <c r="B1963" i="4"/>
  <c r="A1963" i="4"/>
  <c r="B1962" i="4"/>
  <c r="A1962" i="4"/>
  <c r="B1961" i="4"/>
  <c r="A1961" i="4"/>
  <c r="B1960" i="4"/>
  <c r="A1960" i="4"/>
  <c r="B1959" i="4"/>
  <c r="A1959" i="4"/>
  <c r="B1958" i="4"/>
  <c r="A1958" i="4"/>
  <c r="B1957" i="4"/>
  <c r="A1957" i="4"/>
  <c r="B1956" i="4"/>
  <c r="A1956" i="4"/>
  <c r="B1955" i="4"/>
  <c r="A1955" i="4"/>
  <c r="B1954" i="4"/>
  <c r="A1954" i="4"/>
  <c r="B1953" i="4"/>
  <c r="A1953" i="4"/>
  <c r="B1952" i="4"/>
  <c r="A1952" i="4"/>
  <c r="B1951" i="4"/>
  <c r="A1951" i="4"/>
  <c r="B1950" i="4"/>
  <c r="A1950" i="4"/>
  <c r="B1949" i="4"/>
  <c r="A1949" i="4"/>
  <c r="B1948" i="4"/>
  <c r="A1948" i="4"/>
  <c r="B1947" i="4"/>
  <c r="A1947" i="4"/>
  <c r="B1946" i="4"/>
  <c r="A1946" i="4"/>
  <c r="B1945" i="4"/>
  <c r="A1945" i="4"/>
  <c r="B1944" i="4"/>
  <c r="A1944" i="4"/>
  <c r="B1943" i="4"/>
  <c r="A1943" i="4"/>
  <c r="B1942" i="4"/>
  <c r="A1942" i="4"/>
  <c r="B1941" i="4"/>
  <c r="A1941" i="4"/>
  <c r="B1940" i="4"/>
  <c r="A1940" i="4"/>
  <c r="B1939" i="4"/>
  <c r="A1939" i="4"/>
  <c r="B1938" i="4"/>
  <c r="A1938" i="4"/>
  <c r="B1937" i="4"/>
  <c r="A1937" i="4"/>
  <c r="B1936" i="4"/>
  <c r="A1936" i="4"/>
  <c r="B1935" i="4"/>
  <c r="A1935" i="4"/>
  <c r="B1934" i="4"/>
  <c r="A1934" i="4"/>
  <c r="B1933" i="4"/>
  <c r="A1933" i="4"/>
  <c r="B1932" i="4"/>
  <c r="A1932" i="4"/>
  <c r="B1931" i="4"/>
  <c r="A1931" i="4"/>
  <c r="B1930" i="4"/>
  <c r="A1930" i="4"/>
  <c r="B1929" i="4"/>
  <c r="A1929" i="4"/>
  <c r="B1928" i="4"/>
  <c r="A1928" i="4"/>
  <c r="B1927" i="4"/>
  <c r="A1927" i="4"/>
  <c r="B1926" i="4"/>
  <c r="A1926" i="4"/>
  <c r="B1925" i="4"/>
  <c r="A1925" i="4"/>
  <c r="B1924" i="4"/>
  <c r="A1924" i="4"/>
  <c r="B1923" i="4"/>
  <c r="A1923" i="4"/>
  <c r="B1922" i="4"/>
  <c r="A1922" i="4"/>
  <c r="B1921" i="4"/>
  <c r="A1921" i="4"/>
  <c r="B1920" i="4"/>
  <c r="A1920" i="4"/>
  <c r="B1919" i="4"/>
  <c r="A1919" i="4"/>
  <c r="B1918" i="4"/>
  <c r="A1918" i="4"/>
  <c r="B1917" i="4"/>
  <c r="A1917" i="4"/>
  <c r="B1916" i="4"/>
  <c r="A1916" i="4"/>
  <c r="B1915" i="4"/>
  <c r="A1915" i="4"/>
  <c r="B1914" i="4"/>
  <c r="A1914" i="4"/>
  <c r="B1913" i="4"/>
  <c r="A1913" i="4"/>
  <c r="B1912" i="4"/>
  <c r="A1912" i="4"/>
  <c r="B1911" i="4"/>
  <c r="A1911" i="4"/>
  <c r="B1910" i="4"/>
  <c r="A1910" i="4"/>
  <c r="B1909" i="4"/>
  <c r="A1909" i="4"/>
  <c r="B1908" i="4"/>
  <c r="A1908" i="4"/>
  <c r="B1907" i="4"/>
  <c r="A1907" i="4"/>
  <c r="B1906" i="4"/>
  <c r="A1906" i="4"/>
  <c r="B1905" i="4"/>
  <c r="A1905" i="4"/>
  <c r="B1904" i="4"/>
  <c r="A1904" i="4"/>
  <c r="B1903" i="4"/>
  <c r="A1903" i="4"/>
  <c r="B1902" i="4"/>
  <c r="A1902" i="4"/>
  <c r="B1901" i="4"/>
  <c r="A1901" i="4"/>
  <c r="B1900" i="4"/>
  <c r="A1900" i="4"/>
  <c r="B1899" i="4"/>
  <c r="A1899" i="4"/>
  <c r="B1898" i="4"/>
  <c r="A1898" i="4"/>
  <c r="B1897" i="4"/>
  <c r="A1897" i="4"/>
  <c r="B1896" i="4"/>
  <c r="A1896" i="4"/>
  <c r="B1895" i="4"/>
  <c r="A1895" i="4"/>
  <c r="B1894" i="4"/>
  <c r="A1894" i="4"/>
  <c r="B1893" i="4"/>
  <c r="A1893" i="4"/>
  <c r="B1892" i="4"/>
  <c r="A1892" i="4"/>
  <c r="B1891" i="4"/>
  <c r="A1891" i="4"/>
  <c r="B1890" i="4"/>
  <c r="A1890" i="4"/>
  <c r="B1889" i="4"/>
  <c r="A1889" i="4"/>
  <c r="B1888" i="4"/>
  <c r="A1888" i="4"/>
  <c r="B1887" i="4"/>
  <c r="A1887" i="4"/>
  <c r="B1886" i="4"/>
  <c r="A1886" i="4"/>
  <c r="B1885" i="4"/>
  <c r="A1885" i="4"/>
  <c r="B1884" i="4"/>
  <c r="A1884" i="4"/>
  <c r="B1883" i="4"/>
  <c r="A1883" i="4"/>
  <c r="B1882" i="4"/>
  <c r="A1882" i="4"/>
  <c r="B1881" i="4"/>
  <c r="A1881" i="4"/>
  <c r="B1880" i="4"/>
  <c r="A1880" i="4"/>
  <c r="B1879" i="4"/>
  <c r="A1879" i="4"/>
  <c r="B1878" i="4"/>
  <c r="A1878" i="4"/>
  <c r="B1877" i="4"/>
  <c r="A1877" i="4"/>
  <c r="B1876" i="4"/>
  <c r="A1876" i="4"/>
  <c r="B1875" i="4"/>
  <c r="A1875" i="4"/>
  <c r="B1874" i="4"/>
  <c r="A1874" i="4"/>
  <c r="B1873" i="4"/>
  <c r="A1873" i="4"/>
  <c r="B1872" i="4"/>
  <c r="A1872" i="4"/>
  <c r="B1871" i="4"/>
  <c r="A1871" i="4"/>
  <c r="B1870" i="4"/>
  <c r="A1870" i="4"/>
  <c r="B1869" i="4"/>
  <c r="A1869" i="4"/>
  <c r="B1868" i="4"/>
  <c r="A1868" i="4"/>
  <c r="B1867" i="4"/>
  <c r="A1867" i="4"/>
  <c r="B1866" i="4"/>
  <c r="A1866" i="4"/>
  <c r="B1865" i="4"/>
  <c r="A1865" i="4"/>
  <c r="B1864" i="4"/>
  <c r="A1864" i="4"/>
  <c r="B1863" i="4"/>
  <c r="A1863" i="4"/>
  <c r="B1862" i="4"/>
  <c r="A1862" i="4"/>
  <c r="B1861" i="4"/>
  <c r="A1861" i="4"/>
  <c r="B1860" i="4"/>
  <c r="A1860" i="4"/>
  <c r="B1859" i="4"/>
  <c r="A1859" i="4"/>
  <c r="B1858" i="4"/>
  <c r="A1858" i="4"/>
  <c r="B1857" i="4"/>
  <c r="A1857" i="4"/>
  <c r="B1856" i="4"/>
  <c r="A1856" i="4"/>
  <c r="B1855" i="4"/>
  <c r="A1855" i="4"/>
  <c r="B1854" i="4"/>
  <c r="A1854" i="4"/>
  <c r="B1853" i="4"/>
  <c r="A1853" i="4"/>
  <c r="B1852" i="4"/>
  <c r="A1852" i="4"/>
  <c r="B1851" i="4"/>
  <c r="A1851" i="4"/>
  <c r="B1850" i="4"/>
  <c r="A1850" i="4"/>
  <c r="B1849" i="4"/>
  <c r="A1849" i="4"/>
  <c r="B1848" i="4"/>
  <c r="A1848" i="4"/>
  <c r="B1847" i="4"/>
  <c r="A1847" i="4"/>
  <c r="B1846" i="4"/>
  <c r="A1846" i="4"/>
  <c r="B1845" i="4"/>
  <c r="A1845" i="4"/>
  <c r="B1844" i="4"/>
  <c r="A1844" i="4"/>
  <c r="B1843" i="4"/>
  <c r="A1843" i="4"/>
  <c r="B1842" i="4"/>
  <c r="A1842" i="4"/>
  <c r="B1841" i="4"/>
  <c r="A1841" i="4"/>
  <c r="B1840" i="4"/>
  <c r="A1840" i="4"/>
  <c r="B1839" i="4"/>
  <c r="A1839" i="4"/>
  <c r="B1838" i="4"/>
  <c r="A1838" i="4"/>
  <c r="B1837" i="4"/>
  <c r="A1837" i="4"/>
  <c r="B1836" i="4"/>
  <c r="A1836" i="4"/>
  <c r="B1835" i="4"/>
  <c r="A1835" i="4"/>
  <c r="B1834" i="4"/>
  <c r="A1834" i="4"/>
  <c r="B1833" i="4"/>
  <c r="A1833" i="4"/>
  <c r="B1832" i="4"/>
  <c r="A1832" i="4"/>
  <c r="B1831" i="4"/>
  <c r="A1831" i="4"/>
  <c r="B1830" i="4"/>
  <c r="A1830" i="4"/>
  <c r="B1829" i="4"/>
  <c r="A1829" i="4"/>
  <c r="B1828" i="4"/>
  <c r="A1828" i="4"/>
  <c r="B1827" i="4"/>
  <c r="A1827" i="4"/>
  <c r="B1826" i="4"/>
  <c r="A1826" i="4"/>
  <c r="B1825" i="4"/>
  <c r="A1825" i="4"/>
  <c r="B1824" i="4"/>
  <c r="A1824" i="4"/>
  <c r="B1823" i="4"/>
  <c r="A1823" i="4"/>
  <c r="B1822" i="4"/>
  <c r="A1822" i="4"/>
  <c r="B1821" i="4"/>
  <c r="A1821" i="4"/>
  <c r="B1820" i="4"/>
  <c r="A1820" i="4"/>
  <c r="B1819" i="4"/>
  <c r="A1819" i="4"/>
  <c r="B1818" i="4"/>
  <c r="A1818" i="4"/>
  <c r="B1817" i="4"/>
  <c r="A1817" i="4"/>
  <c r="B1816" i="4"/>
  <c r="A1816" i="4"/>
  <c r="B1815" i="4"/>
  <c r="A1815" i="4"/>
  <c r="B1814" i="4"/>
  <c r="A1814" i="4"/>
  <c r="B1813" i="4"/>
  <c r="A1813" i="4"/>
  <c r="B1812" i="4"/>
  <c r="A1812" i="4"/>
  <c r="B1811" i="4"/>
  <c r="A1811" i="4"/>
  <c r="B1810" i="4"/>
  <c r="A1810" i="4"/>
  <c r="B1809" i="4"/>
  <c r="A1809" i="4"/>
  <c r="B1808" i="4"/>
  <c r="A1808" i="4"/>
  <c r="B1807" i="4"/>
  <c r="A1807" i="4"/>
  <c r="B1806" i="4"/>
  <c r="A1806" i="4"/>
  <c r="B1805" i="4"/>
  <c r="A1805" i="4"/>
  <c r="B1804" i="4"/>
  <c r="A1804" i="4"/>
  <c r="B1803" i="4"/>
  <c r="A1803" i="4"/>
  <c r="B1802" i="4"/>
  <c r="A1802" i="4"/>
  <c r="B1801" i="4"/>
  <c r="A1801" i="4"/>
  <c r="B1800" i="4"/>
  <c r="A1800" i="4"/>
  <c r="B1799" i="4"/>
  <c r="A1799" i="4"/>
  <c r="B1798" i="4"/>
  <c r="A1798" i="4"/>
  <c r="B1797" i="4"/>
  <c r="A1797" i="4"/>
  <c r="B1796" i="4"/>
  <c r="A1796" i="4"/>
  <c r="B1795" i="4"/>
  <c r="A1795" i="4"/>
  <c r="B1794" i="4"/>
  <c r="A1794" i="4"/>
  <c r="B1793" i="4"/>
  <c r="A1793" i="4"/>
  <c r="B1792" i="4"/>
  <c r="A1792" i="4"/>
  <c r="B1791" i="4"/>
  <c r="A1791" i="4"/>
  <c r="B1790" i="4"/>
  <c r="A1790" i="4"/>
  <c r="B1789" i="4"/>
  <c r="A1789" i="4"/>
  <c r="B1788" i="4"/>
  <c r="A1788" i="4"/>
  <c r="B1787" i="4"/>
  <c r="A1787" i="4"/>
  <c r="B1786" i="4"/>
  <c r="A1786" i="4"/>
  <c r="B1785" i="4"/>
  <c r="A1785" i="4"/>
  <c r="B1784" i="4"/>
  <c r="A1784" i="4"/>
  <c r="B1783" i="4"/>
  <c r="A1783" i="4"/>
  <c r="B1782" i="4"/>
  <c r="A1782" i="4"/>
  <c r="B1781" i="4"/>
  <c r="A1781" i="4"/>
  <c r="B1780" i="4"/>
  <c r="A1780" i="4"/>
  <c r="B1779" i="4"/>
  <c r="A1779" i="4"/>
  <c r="B1778" i="4"/>
  <c r="A1778" i="4"/>
  <c r="B1777" i="4"/>
  <c r="A1777" i="4"/>
  <c r="B1776" i="4"/>
  <c r="A1776" i="4"/>
  <c r="B1775" i="4"/>
  <c r="A1775" i="4"/>
  <c r="B1774" i="4"/>
  <c r="A1774" i="4"/>
  <c r="B1773" i="4"/>
  <c r="A1773" i="4"/>
  <c r="B1772" i="4"/>
  <c r="A1772" i="4"/>
  <c r="B1771" i="4"/>
  <c r="A1771" i="4"/>
  <c r="B1770" i="4"/>
  <c r="A1770" i="4"/>
  <c r="B1769" i="4"/>
  <c r="A1769" i="4"/>
  <c r="B1768" i="4"/>
  <c r="A1768" i="4"/>
  <c r="B1767" i="4"/>
  <c r="A1767" i="4"/>
  <c r="B1766" i="4"/>
  <c r="A1766" i="4"/>
  <c r="B1765" i="4"/>
  <c r="A1765" i="4"/>
  <c r="B1764" i="4"/>
  <c r="A1764" i="4"/>
  <c r="B1763" i="4"/>
  <c r="A1763" i="4"/>
  <c r="B1762" i="4"/>
  <c r="A1762" i="4"/>
  <c r="B1761" i="4"/>
  <c r="A1761" i="4"/>
  <c r="B1760" i="4"/>
  <c r="A1760" i="4"/>
  <c r="B1759" i="4"/>
  <c r="A1759" i="4"/>
  <c r="B1758" i="4"/>
  <c r="A1758" i="4"/>
  <c r="B1757" i="4"/>
  <c r="A1757" i="4"/>
  <c r="B1756" i="4"/>
  <c r="A1756" i="4"/>
  <c r="B1755" i="4"/>
  <c r="A1755" i="4"/>
  <c r="B1754" i="4"/>
  <c r="A1754" i="4"/>
  <c r="B1753" i="4"/>
  <c r="A1753" i="4"/>
  <c r="B1752" i="4"/>
  <c r="A1752" i="4"/>
  <c r="B1751" i="4"/>
  <c r="A1751" i="4"/>
  <c r="B1750" i="4"/>
  <c r="A1750" i="4"/>
  <c r="B1749" i="4"/>
  <c r="A1749" i="4"/>
  <c r="B1748" i="4"/>
  <c r="A1748" i="4"/>
  <c r="B1747" i="4"/>
  <c r="A1747" i="4"/>
  <c r="B1746" i="4"/>
  <c r="A1746" i="4"/>
  <c r="B1745" i="4"/>
  <c r="A1745" i="4"/>
  <c r="B1744" i="4"/>
  <c r="A1744" i="4"/>
  <c r="B1743" i="4"/>
  <c r="A1743" i="4"/>
  <c r="B1742" i="4"/>
  <c r="A1742" i="4"/>
  <c r="B1741" i="4"/>
  <c r="A1741" i="4"/>
  <c r="B1740" i="4"/>
  <c r="A1740" i="4"/>
  <c r="B1739" i="4"/>
  <c r="A1739" i="4"/>
  <c r="B1738" i="4"/>
  <c r="A1738" i="4"/>
  <c r="B1737" i="4"/>
  <c r="A1737" i="4"/>
  <c r="B1736" i="4"/>
  <c r="A1736" i="4"/>
  <c r="B1735" i="4"/>
  <c r="A1735" i="4"/>
  <c r="B1734" i="4"/>
  <c r="A1734" i="4"/>
  <c r="B1733" i="4"/>
  <c r="A1733" i="4"/>
  <c r="B1732" i="4"/>
  <c r="A1732" i="4"/>
  <c r="B1731" i="4"/>
  <c r="A1731" i="4"/>
  <c r="B1730" i="4"/>
  <c r="A1730" i="4"/>
  <c r="B1729" i="4"/>
  <c r="A1729" i="4"/>
  <c r="B1728" i="4"/>
  <c r="A1728" i="4"/>
  <c r="B1727" i="4"/>
  <c r="A1727" i="4"/>
  <c r="B1726" i="4"/>
  <c r="A1726" i="4"/>
  <c r="B1725" i="4"/>
  <c r="A1725" i="4"/>
  <c r="B1724" i="4"/>
  <c r="A1724" i="4"/>
  <c r="B1723" i="4"/>
  <c r="A1723" i="4"/>
  <c r="B1722" i="4"/>
  <c r="A1722" i="4"/>
  <c r="B1721" i="4"/>
  <c r="A1721" i="4"/>
  <c r="B1720" i="4"/>
  <c r="A1720" i="4"/>
  <c r="B1719" i="4"/>
  <c r="A1719" i="4"/>
  <c r="B1718" i="4"/>
  <c r="A1718" i="4"/>
  <c r="B1717" i="4"/>
  <c r="A1717" i="4"/>
  <c r="B1716" i="4"/>
  <c r="A1716" i="4"/>
  <c r="B1715" i="4"/>
  <c r="A1715" i="4"/>
  <c r="B1714" i="4"/>
  <c r="A1714" i="4"/>
  <c r="B1713" i="4"/>
  <c r="A1713" i="4"/>
  <c r="B1712" i="4"/>
  <c r="A1712" i="4"/>
  <c r="B1711" i="4"/>
  <c r="A1711" i="4"/>
  <c r="B1710" i="4"/>
  <c r="A1710" i="4"/>
  <c r="B1709" i="4"/>
  <c r="A1709" i="4"/>
  <c r="B1708" i="4"/>
  <c r="A1708" i="4"/>
  <c r="B1707" i="4"/>
  <c r="A1707" i="4"/>
  <c r="B1706" i="4"/>
  <c r="A1706" i="4"/>
  <c r="B1705" i="4"/>
  <c r="A1705" i="4"/>
  <c r="B1704" i="4"/>
  <c r="A1704" i="4"/>
  <c r="B1703" i="4"/>
  <c r="A1703" i="4"/>
  <c r="B1702" i="4"/>
  <c r="A1702" i="4"/>
  <c r="B1701" i="4"/>
  <c r="A1701" i="4"/>
  <c r="B1700" i="4"/>
  <c r="A1700" i="4"/>
  <c r="B1699" i="4"/>
  <c r="A1699" i="4"/>
  <c r="B1698" i="4"/>
  <c r="A1698" i="4"/>
  <c r="B1697" i="4"/>
  <c r="A1697" i="4"/>
  <c r="B1696" i="4"/>
  <c r="A1696" i="4"/>
  <c r="B1695" i="4"/>
  <c r="A1695" i="4"/>
  <c r="B1694" i="4"/>
  <c r="A1694" i="4"/>
  <c r="B1693" i="4"/>
  <c r="A1693" i="4"/>
  <c r="B1692" i="4"/>
  <c r="A1692" i="4"/>
  <c r="B1691" i="4"/>
  <c r="A1691" i="4"/>
  <c r="B1690" i="4"/>
  <c r="A1690" i="4"/>
  <c r="B1689" i="4"/>
  <c r="A1689" i="4"/>
  <c r="B1688" i="4"/>
  <c r="A1688" i="4"/>
  <c r="B1687" i="4"/>
  <c r="A1687" i="4"/>
  <c r="B1686" i="4"/>
  <c r="A1686" i="4"/>
  <c r="B1685" i="4"/>
  <c r="A1685" i="4"/>
  <c r="B1684" i="4"/>
  <c r="A1684" i="4"/>
  <c r="B1683" i="4"/>
  <c r="A1683" i="4"/>
  <c r="B1682" i="4"/>
  <c r="A1682" i="4"/>
  <c r="B1681" i="4"/>
  <c r="A1681" i="4"/>
  <c r="B1680" i="4"/>
  <c r="A1680" i="4"/>
  <c r="B1679" i="4"/>
  <c r="A1679" i="4"/>
  <c r="B1678" i="4"/>
  <c r="A1678" i="4"/>
  <c r="B1677" i="4"/>
  <c r="A1677" i="4"/>
  <c r="B1676" i="4"/>
  <c r="A1676" i="4"/>
  <c r="B1675" i="4"/>
  <c r="A1675" i="4"/>
  <c r="B1674" i="4"/>
  <c r="A1674" i="4"/>
  <c r="B1673" i="4"/>
  <c r="A1673" i="4"/>
  <c r="B1672" i="4"/>
  <c r="A1672" i="4"/>
  <c r="B1671" i="4"/>
  <c r="A1671" i="4"/>
  <c r="B1670" i="4"/>
  <c r="A1670" i="4"/>
  <c r="B1669" i="4"/>
  <c r="A1669" i="4"/>
  <c r="B1668" i="4"/>
  <c r="A1668" i="4"/>
  <c r="B1667" i="4"/>
  <c r="A1667" i="4"/>
  <c r="B1666" i="4"/>
  <c r="A1666" i="4"/>
  <c r="B1665" i="4"/>
  <c r="A1665" i="4"/>
  <c r="B1664" i="4"/>
  <c r="A1664" i="4"/>
  <c r="B1663" i="4"/>
  <c r="A1663" i="4"/>
  <c r="B1662" i="4"/>
  <c r="A1662" i="4"/>
  <c r="B1661" i="4"/>
  <c r="A1661" i="4"/>
  <c r="B1660" i="4"/>
  <c r="A1660" i="4"/>
  <c r="B1659" i="4"/>
  <c r="A1659" i="4"/>
  <c r="B1658" i="4"/>
  <c r="A1658" i="4"/>
  <c r="B1657" i="4"/>
  <c r="A1657" i="4"/>
  <c r="B1656" i="4"/>
  <c r="A1656" i="4"/>
  <c r="B1655" i="4"/>
  <c r="A1655" i="4"/>
  <c r="B1654" i="4"/>
  <c r="A1654" i="4"/>
  <c r="B1653" i="4"/>
  <c r="A1653" i="4"/>
  <c r="B1652" i="4"/>
  <c r="A1652" i="4"/>
  <c r="B1651" i="4"/>
  <c r="A1651" i="4"/>
  <c r="B1650" i="4"/>
  <c r="A1650" i="4"/>
  <c r="B1649" i="4"/>
  <c r="A1649" i="4"/>
  <c r="B1648" i="4"/>
  <c r="A1648" i="4"/>
  <c r="B1647" i="4"/>
  <c r="A1647" i="4"/>
  <c r="B1646" i="4"/>
  <c r="A1646" i="4"/>
  <c r="B1645" i="4"/>
  <c r="A1645" i="4"/>
  <c r="B1644" i="4"/>
  <c r="A1644" i="4"/>
  <c r="B1643" i="4"/>
  <c r="A1643" i="4"/>
  <c r="B1642" i="4"/>
  <c r="A1642" i="4"/>
  <c r="B1641" i="4"/>
  <c r="A1641" i="4"/>
  <c r="B1640" i="4"/>
  <c r="A1640" i="4"/>
  <c r="B1639" i="4"/>
  <c r="A1639" i="4"/>
  <c r="B1638" i="4"/>
  <c r="A1638" i="4"/>
  <c r="B1637" i="4"/>
  <c r="A1637" i="4"/>
  <c r="B1636" i="4"/>
  <c r="A1636" i="4"/>
  <c r="B1635" i="4"/>
  <c r="A1635" i="4"/>
  <c r="B1634" i="4"/>
  <c r="A1634" i="4"/>
  <c r="B1633" i="4"/>
  <c r="A1633" i="4"/>
  <c r="B1632" i="4"/>
  <c r="A1632" i="4"/>
  <c r="B1631" i="4"/>
  <c r="A1631" i="4"/>
  <c r="B1630" i="4"/>
  <c r="A1630" i="4"/>
  <c r="B1629" i="4"/>
  <c r="A1629" i="4"/>
  <c r="B1628" i="4"/>
  <c r="A1628" i="4"/>
  <c r="B1627" i="4"/>
  <c r="A1627" i="4"/>
  <c r="B1626" i="4"/>
  <c r="A1626" i="4"/>
  <c r="B1625" i="4"/>
  <c r="A1625" i="4"/>
  <c r="B1624" i="4"/>
  <c r="A1624" i="4"/>
  <c r="B1623" i="4"/>
  <c r="A1623" i="4"/>
  <c r="B1622" i="4"/>
  <c r="A1622" i="4"/>
  <c r="B1621" i="4"/>
  <c r="A1621" i="4"/>
  <c r="B1620" i="4"/>
  <c r="A1620" i="4"/>
  <c r="B1619" i="4"/>
  <c r="A1619" i="4"/>
  <c r="B1618" i="4"/>
  <c r="A1618" i="4"/>
  <c r="B1617" i="4"/>
  <c r="A1617" i="4"/>
  <c r="B1616" i="4"/>
  <c r="A1616" i="4"/>
  <c r="B1615" i="4"/>
  <c r="A1615" i="4"/>
  <c r="B1614" i="4"/>
  <c r="A1614" i="4"/>
  <c r="B1613" i="4"/>
  <c r="A1613" i="4"/>
  <c r="B1612" i="4"/>
  <c r="A1612" i="4"/>
  <c r="B1611" i="4"/>
  <c r="A1611" i="4"/>
  <c r="B1610" i="4"/>
  <c r="A1610" i="4"/>
  <c r="B1609" i="4"/>
  <c r="A1609" i="4"/>
  <c r="B1608" i="4"/>
  <c r="A1608" i="4"/>
  <c r="B1607" i="4"/>
  <c r="A1607" i="4"/>
  <c r="B1606" i="4"/>
  <c r="A1606" i="4"/>
  <c r="B1605" i="4"/>
  <c r="A1605" i="4"/>
  <c r="B1604" i="4"/>
  <c r="A1604" i="4"/>
  <c r="B1603" i="4"/>
  <c r="A1603" i="4"/>
  <c r="B1602" i="4"/>
  <c r="A1602" i="4"/>
  <c r="B1601" i="4"/>
  <c r="A1601" i="4"/>
  <c r="B1600" i="4"/>
  <c r="A1600" i="4"/>
  <c r="B1599" i="4"/>
  <c r="A1599" i="4"/>
  <c r="B1598" i="4"/>
  <c r="A1598" i="4"/>
  <c r="B1597" i="4"/>
  <c r="A1597" i="4"/>
  <c r="B1596" i="4"/>
  <c r="A1596" i="4"/>
  <c r="B1595" i="4"/>
  <c r="A1595" i="4"/>
  <c r="B1594" i="4"/>
  <c r="A1594" i="4"/>
  <c r="B1593" i="4"/>
  <c r="A1593" i="4"/>
  <c r="B1592" i="4"/>
  <c r="A1592" i="4"/>
  <c r="B1591" i="4"/>
  <c r="A1591" i="4"/>
  <c r="B1590" i="4"/>
  <c r="A1590" i="4"/>
  <c r="B1589" i="4"/>
  <c r="A1589" i="4"/>
  <c r="B1588" i="4"/>
  <c r="A1588" i="4"/>
  <c r="B1587" i="4"/>
  <c r="A1587" i="4"/>
  <c r="B1586" i="4"/>
  <c r="A1586" i="4"/>
  <c r="B1585" i="4"/>
  <c r="A1585" i="4"/>
  <c r="B1584" i="4"/>
  <c r="A1584" i="4"/>
  <c r="B1583" i="4"/>
  <c r="A1583" i="4"/>
  <c r="B1582" i="4"/>
  <c r="A1582" i="4"/>
  <c r="B1581" i="4"/>
  <c r="A1581" i="4"/>
  <c r="B1580" i="4"/>
  <c r="A1580" i="4"/>
  <c r="B1579" i="4"/>
  <c r="A1579" i="4"/>
  <c r="B1578" i="4"/>
  <c r="A1578" i="4"/>
  <c r="B1577" i="4"/>
  <c r="A1577" i="4"/>
  <c r="B1576" i="4"/>
  <c r="A1576" i="4"/>
  <c r="B1575" i="4"/>
  <c r="A1575" i="4"/>
  <c r="B1574" i="4"/>
  <c r="A1574" i="4"/>
  <c r="B1573" i="4"/>
  <c r="A1573" i="4"/>
  <c r="B1572" i="4"/>
  <c r="A1572" i="4"/>
  <c r="B1571" i="4"/>
  <c r="A1571" i="4"/>
  <c r="B1570" i="4"/>
  <c r="A1570" i="4"/>
  <c r="B1569" i="4"/>
  <c r="A1569" i="4"/>
  <c r="B1568" i="4"/>
  <c r="A1568" i="4"/>
  <c r="B1567" i="4"/>
  <c r="A1567" i="4"/>
  <c r="B1566" i="4"/>
  <c r="A1566" i="4"/>
  <c r="B1565" i="4"/>
  <c r="A1565" i="4"/>
  <c r="B1564" i="4"/>
  <c r="A1564" i="4"/>
  <c r="B1563" i="4"/>
  <c r="A1563" i="4"/>
  <c r="B1562" i="4"/>
  <c r="A1562" i="4"/>
  <c r="B1561" i="4"/>
  <c r="A1561" i="4"/>
  <c r="B1560" i="4"/>
  <c r="A1560" i="4"/>
  <c r="B1559" i="4"/>
  <c r="A1559" i="4"/>
  <c r="B1558" i="4"/>
  <c r="A1558" i="4"/>
  <c r="B1557" i="4"/>
  <c r="A1557" i="4"/>
  <c r="B1556" i="4"/>
  <c r="A1556" i="4"/>
  <c r="B1555" i="4"/>
  <c r="A1555" i="4"/>
  <c r="B1554" i="4"/>
  <c r="A1554" i="4"/>
  <c r="B1553" i="4"/>
  <c r="A1553" i="4"/>
  <c r="B1552" i="4"/>
  <c r="A1552" i="4"/>
  <c r="B1551" i="4"/>
  <c r="A1551" i="4"/>
  <c r="B1550" i="4"/>
  <c r="A1550" i="4"/>
  <c r="B1549" i="4"/>
  <c r="A1549" i="4"/>
  <c r="B1548" i="4"/>
  <c r="A1548" i="4"/>
  <c r="B1547" i="4"/>
  <c r="A1547" i="4"/>
  <c r="B1546" i="4"/>
  <c r="A1546" i="4"/>
  <c r="B1545" i="4"/>
  <c r="A1545" i="4"/>
  <c r="B1544" i="4"/>
  <c r="A1544" i="4"/>
  <c r="B1543" i="4"/>
  <c r="A1543" i="4"/>
  <c r="B1542" i="4"/>
  <c r="A1542" i="4"/>
  <c r="B1541" i="4"/>
  <c r="A1541" i="4"/>
  <c r="B1540" i="4"/>
  <c r="A1540" i="4"/>
  <c r="B1539" i="4"/>
  <c r="A1539" i="4"/>
  <c r="B1538" i="4"/>
  <c r="A1538" i="4"/>
  <c r="B1537" i="4"/>
  <c r="A1537" i="4"/>
  <c r="B1536" i="4"/>
  <c r="A1536" i="4"/>
  <c r="B1535" i="4"/>
  <c r="A1535" i="4"/>
  <c r="B1534" i="4"/>
  <c r="A1534" i="4"/>
  <c r="B1533" i="4"/>
  <c r="A1533" i="4"/>
  <c r="B1532" i="4"/>
  <c r="A1532" i="4"/>
  <c r="B1531" i="4"/>
  <c r="A1531" i="4"/>
  <c r="B1530" i="4"/>
  <c r="A1530" i="4"/>
  <c r="B1529" i="4"/>
  <c r="A1529" i="4"/>
  <c r="B1528" i="4"/>
  <c r="A1528" i="4"/>
  <c r="B1527" i="4"/>
  <c r="A1527" i="4"/>
  <c r="B1526" i="4"/>
  <c r="A1526" i="4"/>
  <c r="B1525" i="4"/>
  <c r="A1525" i="4"/>
  <c r="B1524" i="4"/>
  <c r="A1524" i="4"/>
  <c r="B1523" i="4"/>
  <c r="A1523" i="4"/>
  <c r="B1522" i="4"/>
  <c r="A1522" i="4"/>
  <c r="B1521" i="4"/>
  <c r="A1521" i="4"/>
  <c r="B1520" i="4"/>
  <c r="A1520" i="4"/>
  <c r="B1519" i="4"/>
  <c r="A1519" i="4"/>
  <c r="B1518" i="4"/>
  <c r="A1518" i="4"/>
  <c r="B1517" i="4"/>
  <c r="A1517" i="4"/>
  <c r="B1516" i="4"/>
  <c r="A1516" i="4"/>
  <c r="B1515" i="4"/>
  <c r="A1515" i="4"/>
  <c r="B1514" i="4"/>
  <c r="A1514" i="4"/>
  <c r="B1513" i="4"/>
  <c r="A1513" i="4"/>
  <c r="B1512" i="4"/>
  <c r="A1512" i="4"/>
  <c r="B1511" i="4"/>
  <c r="A1511" i="4"/>
  <c r="B1510" i="4"/>
  <c r="A1510" i="4"/>
  <c r="B1509" i="4"/>
  <c r="A1509" i="4"/>
  <c r="B1508" i="4"/>
  <c r="A1508" i="4"/>
  <c r="B1507" i="4"/>
  <c r="A1507" i="4"/>
  <c r="B1506" i="4"/>
  <c r="A1506" i="4"/>
  <c r="B1505" i="4"/>
  <c r="A1505" i="4"/>
  <c r="B1504" i="4"/>
  <c r="A1504" i="4"/>
  <c r="B1503" i="4"/>
  <c r="A1503" i="4"/>
  <c r="B1502" i="4"/>
  <c r="A1502" i="4"/>
  <c r="B1501" i="4"/>
  <c r="A1501" i="4"/>
  <c r="B1500" i="4"/>
  <c r="A1500" i="4"/>
  <c r="B1499" i="4"/>
  <c r="A1499" i="4"/>
  <c r="B1498" i="4"/>
  <c r="A1498" i="4"/>
  <c r="B1497" i="4"/>
  <c r="A1497" i="4"/>
  <c r="B1496" i="4"/>
  <c r="A1496" i="4"/>
  <c r="B1495" i="4"/>
  <c r="A1495" i="4"/>
  <c r="B1494" i="4"/>
  <c r="A1494" i="4"/>
  <c r="B1493" i="4"/>
  <c r="A1493" i="4"/>
  <c r="B1492" i="4"/>
  <c r="A1492" i="4"/>
  <c r="B1491" i="4"/>
  <c r="A1491" i="4"/>
  <c r="B1490" i="4"/>
  <c r="A1490" i="4"/>
  <c r="B1489" i="4"/>
  <c r="A1489" i="4"/>
  <c r="B1488" i="4"/>
  <c r="A1488" i="4"/>
  <c r="B1487" i="4"/>
  <c r="A1487" i="4"/>
  <c r="B1486" i="4"/>
  <c r="A1486" i="4"/>
  <c r="B1485" i="4"/>
  <c r="A1485" i="4"/>
  <c r="B1484" i="4"/>
  <c r="A1484" i="4"/>
  <c r="B1483" i="4"/>
  <c r="A1483" i="4"/>
  <c r="B1482" i="4"/>
  <c r="A1482" i="4"/>
  <c r="B1481" i="4"/>
  <c r="A1481" i="4"/>
  <c r="B1480" i="4"/>
  <c r="A1480" i="4"/>
  <c r="B1479" i="4"/>
  <c r="A1479" i="4"/>
  <c r="B1478" i="4"/>
  <c r="A1478" i="4"/>
  <c r="B1477" i="4"/>
  <c r="A1477" i="4"/>
  <c r="B1476" i="4"/>
  <c r="A1476" i="4"/>
  <c r="B1475" i="4"/>
  <c r="A1475" i="4"/>
  <c r="B1474" i="4"/>
  <c r="A1474" i="4"/>
  <c r="B1473" i="4"/>
  <c r="A1473" i="4"/>
  <c r="B1472" i="4"/>
  <c r="A1472" i="4"/>
  <c r="B1471" i="4"/>
  <c r="A1471" i="4"/>
  <c r="B1470" i="4"/>
  <c r="A1470" i="4"/>
  <c r="B1469" i="4"/>
  <c r="A1469" i="4"/>
  <c r="B1468" i="4"/>
  <c r="A1468" i="4"/>
  <c r="B1467" i="4"/>
  <c r="A1467" i="4"/>
  <c r="B1466" i="4"/>
  <c r="A1466" i="4"/>
  <c r="B1465" i="4"/>
  <c r="A1465" i="4"/>
  <c r="B1464" i="4"/>
  <c r="A1464" i="4"/>
  <c r="B1463" i="4"/>
  <c r="A1463" i="4"/>
  <c r="B1462" i="4"/>
  <c r="A1462" i="4"/>
  <c r="B1461" i="4"/>
  <c r="A1461" i="4"/>
  <c r="B1460" i="4"/>
  <c r="A1460" i="4"/>
  <c r="B1459" i="4"/>
  <c r="A1459" i="4"/>
  <c r="B1458" i="4"/>
  <c r="A1458" i="4"/>
  <c r="B1457" i="4"/>
  <c r="A1457" i="4"/>
  <c r="B1456" i="4"/>
  <c r="A1456" i="4"/>
  <c r="B1455" i="4"/>
  <c r="A1455" i="4"/>
  <c r="B1454" i="4"/>
  <c r="A1454" i="4"/>
  <c r="B1453" i="4"/>
  <c r="A1453" i="4"/>
  <c r="B1452" i="4"/>
  <c r="A1452" i="4"/>
  <c r="B1451" i="4"/>
  <c r="A1451" i="4"/>
  <c r="B1450" i="4"/>
  <c r="A1450" i="4"/>
  <c r="B1449" i="4"/>
  <c r="A1449" i="4"/>
  <c r="B1448" i="4"/>
  <c r="A1448" i="4"/>
  <c r="B1447" i="4"/>
  <c r="A1447" i="4"/>
  <c r="B1446" i="4"/>
  <c r="A1446" i="4"/>
  <c r="B1445" i="4"/>
  <c r="A1445" i="4"/>
  <c r="B1444" i="4"/>
  <c r="A1444" i="4"/>
  <c r="B1443" i="4"/>
  <c r="A1443" i="4"/>
  <c r="B1442" i="4"/>
  <c r="A1442" i="4"/>
  <c r="B1441" i="4"/>
  <c r="A1441" i="4"/>
  <c r="B1440" i="4"/>
  <c r="A1440" i="4"/>
  <c r="B1439" i="4"/>
  <c r="A1439" i="4"/>
  <c r="B1438" i="4"/>
  <c r="A1438" i="4"/>
  <c r="B1437" i="4"/>
  <c r="A1437" i="4"/>
  <c r="B1436" i="4"/>
  <c r="A1436" i="4"/>
  <c r="B1435" i="4"/>
  <c r="A1435" i="4"/>
  <c r="B1434" i="4"/>
  <c r="A1434" i="4"/>
  <c r="B1433" i="4"/>
  <c r="A1433" i="4"/>
  <c r="B1432" i="4"/>
  <c r="A1432" i="4"/>
  <c r="B1431" i="4"/>
  <c r="A1431" i="4"/>
  <c r="B1430" i="4"/>
  <c r="A1430" i="4"/>
  <c r="B1429" i="4"/>
  <c r="A1429" i="4"/>
  <c r="B1428" i="4"/>
  <c r="A1428" i="4"/>
  <c r="B1427" i="4"/>
  <c r="A1427" i="4"/>
  <c r="B1426" i="4"/>
  <c r="A1426" i="4"/>
  <c r="B1425" i="4"/>
  <c r="A1425" i="4"/>
  <c r="B1424" i="4"/>
  <c r="A1424" i="4"/>
  <c r="B1423" i="4"/>
  <c r="A1423" i="4"/>
  <c r="B1422" i="4"/>
  <c r="A1422" i="4"/>
  <c r="B1421" i="4"/>
  <c r="A1421" i="4"/>
  <c r="B1420" i="4"/>
  <c r="A1420" i="4"/>
  <c r="B1419" i="4"/>
  <c r="A1419" i="4"/>
  <c r="B1418" i="4"/>
  <c r="A1418" i="4"/>
  <c r="B1417" i="4"/>
  <c r="A1417" i="4"/>
  <c r="B1416" i="4"/>
  <c r="A1416" i="4"/>
  <c r="B1415" i="4"/>
  <c r="A1415" i="4"/>
  <c r="B1414" i="4"/>
  <c r="A1414" i="4"/>
  <c r="B1413" i="4"/>
  <c r="A1413" i="4"/>
  <c r="B1412" i="4"/>
  <c r="A1412" i="4"/>
  <c r="B1411" i="4"/>
  <c r="A1411" i="4"/>
  <c r="B1410" i="4"/>
  <c r="A1410" i="4"/>
  <c r="B1409" i="4"/>
  <c r="A1409" i="4"/>
  <c r="B1408" i="4"/>
  <c r="A1408" i="4"/>
  <c r="B1407" i="4"/>
  <c r="A1407" i="4"/>
  <c r="B1406" i="4"/>
  <c r="A1406" i="4"/>
  <c r="B1405" i="4"/>
  <c r="A1405" i="4"/>
  <c r="B1404" i="4"/>
  <c r="A1404" i="4"/>
  <c r="B1403" i="4"/>
  <c r="A1403" i="4"/>
  <c r="B1402" i="4"/>
  <c r="A1402" i="4"/>
  <c r="B1401" i="4"/>
  <c r="A1401" i="4"/>
  <c r="B1400" i="4"/>
  <c r="A1400" i="4"/>
  <c r="B1399" i="4"/>
  <c r="A1399" i="4"/>
  <c r="B1398" i="4"/>
  <c r="A1398" i="4"/>
  <c r="B1397" i="4"/>
  <c r="A1397" i="4"/>
  <c r="B1396" i="4"/>
  <c r="A1396" i="4"/>
  <c r="B1395" i="4"/>
  <c r="A1395" i="4"/>
  <c r="B1394" i="4"/>
  <c r="A1394" i="4"/>
  <c r="B1393" i="4"/>
  <c r="A1393" i="4"/>
  <c r="B1392" i="4"/>
  <c r="A1392" i="4"/>
  <c r="B1391" i="4"/>
  <c r="A1391" i="4"/>
  <c r="B1390" i="4"/>
  <c r="A1390" i="4"/>
  <c r="B1389" i="4"/>
  <c r="A1389" i="4"/>
  <c r="B1388" i="4"/>
  <c r="A1388" i="4"/>
  <c r="B1387" i="4"/>
  <c r="A1387" i="4"/>
  <c r="B1386" i="4"/>
  <c r="A1386" i="4"/>
  <c r="B1385" i="4"/>
  <c r="A1385" i="4"/>
  <c r="B1384" i="4"/>
  <c r="A1384" i="4"/>
  <c r="B1383" i="4"/>
  <c r="A1383" i="4"/>
  <c r="B1382" i="4"/>
  <c r="A1382" i="4"/>
  <c r="B1381" i="4"/>
  <c r="A1381" i="4"/>
  <c r="B1380" i="4"/>
  <c r="A1380" i="4"/>
  <c r="B1379" i="4"/>
  <c r="A1379" i="4"/>
  <c r="B1378" i="4"/>
  <c r="A1378" i="4"/>
  <c r="B1377" i="4"/>
  <c r="A1377" i="4"/>
  <c r="B1376" i="4"/>
  <c r="A1376" i="4"/>
  <c r="B1375" i="4"/>
  <c r="A1375" i="4"/>
  <c r="B1374" i="4"/>
  <c r="A1374" i="4"/>
  <c r="B1373" i="4"/>
  <c r="A1373" i="4"/>
  <c r="B1372" i="4"/>
  <c r="A1372" i="4"/>
  <c r="B1371" i="4"/>
  <c r="A1371" i="4"/>
  <c r="B1370" i="4"/>
  <c r="A1370" i="4"/>
  <c r="B1369" i="4"/>
  <c r="A1369" i="4"/>
  <c r="B1368" i="4"/>
  <c r="A1368" i="4"/>
  <c r="B1367" i="4"/>
  <c r="A1367" i="4"/>
  <c r="B1366" i="4"/>
  <c r="A1366" i="4"/>
  <c r="B1365" i="4"/>
  <c r="A1365" i="4"/>
  <c r="B1364" i="4"/>
  <c r="A1364" i="4"/>
  <c r="B1363" i="4"/>
  <c r="A1363" i="4"/>
  <c r="B1362" i="4"/>
  <c r="A1362" i="4"/>
  <c r="B1361" i="4"/>
  <c r="A1361" i="4"/>
  <c r="B1360" i="4"/>
  <c r="A1360" i="4"/>
  <c r="B1359" i="4"/>
  <c r="A1359" i="4"/>
  <c r="B1358" i="4"/>
  <c r="A1358" i="4"/>
  <c r="B1357" i="4"/>
  <c r="A1357" i="4"/>
  <c r="B1356" i="4"/>
  <c r="A1356" i="4"/>
  <c r="B1355" i="4"/>
  <c r="A1355" i="4"/>
  <c r="B1354" i="4"/>
  <c r="A1354" i="4"/>
  <c r="B1353" i="4"/>
  <c r="A1353" i="4"/>
  <c r="B1352" i="4"/>
  <c r="A1352" i="4"/>
  <c r="B1351" i="4"/>
  <c r="A1351" i="4"/>
  <c r="B1350" i="4"/>
  <c r="A1350" i="4"/>
  <c r="B1349" i="4"/>
  <c r="A1349" i="4"/>
  <c r="B1348" i="4"/>
  <c r="A1348" i="4"/>
  <c r="B1347" i="4"/>
  <c r="A1347" i="4"/>
  <c r="B1346" i="4"/>
  <c r="A1346" i="4"/>
  <c r="B1345" i="4"/>
  <c r="A1345" i="4"/>
  <c r="B1344" i="4"/>
  <c r="A1344" i="4"/>
  <c r="B1343" i="4"/>
  <c r="A1343" i="4"/>
  <c r="B1342" i="4"/>
  <c r="A1342" i="4"/>
  <c r="B1341" i="4"/>
  <c r="A1341" i="4"/>
  <c r="B1340" i="4"/>
  <c r="A1340" i="4"/>
  <c r="B1339" i="4"/>
  <c r="A1339" i="4"/>
  <c r="B1338" i="4"/>
  <c r="A1338" i="4"/>
  <c r="B1337" i="4"/>
  <c r="A1337" i="4"/>
  <c r="B1336" i="4"/>
  <c r="A1336" i="4"/>
  <c r="B1335" i="4"/>
  <c r="A1335" i="4"/>
  <c r="B1334" i="4"/>
  <c r="A1334" i="4"/>
  <c r="B1333" i="4"/>
  <c r="A1333" i="4"/>
  <c r="B1332" i="4"/>
  <c r="A1332" i="4"/>
  <c r="B1331" i="4"/>
  <c r="A1331" i="4"/>
  <c r="B1330" i="4"/>
  <c r="A1330" i="4"/>
  <c r="B1329" i="4"/>
  <c r="A1329" i="4"/>
  <c r="B1328" i="4"/>
  <c r="A1328" i="4"/>
  <c r="B1327" i="4"/>
  <c r="A1327" i="4"/>
  <c r="B1326" i="4"/>
  <c r="A1326" i="4"/>
  <c r="B1325" i="4"/>
  <c r="A1325" i="4"/>
  <c r="B1324" i="4"/>
  <c r="A1324" i="4"/>
  <c r="B1323" i="4"/>
  <c r="A1323" i="4"/>
  <c r="B1322" i="4"/>
  <c r="A1322" i="4"/>
  <c r="B1321" i="4"/>
  <c r="A1321" i="4"/>
  <c r="B1320" i="4"/>
  <c r="A1320" i="4"/>
  <c r="B1319" i="4"/>
  <c r="A1319" i="4"/>
  <c r="B1318" i="4"/>
  <c r="A1318" i="4"/>
  <c r="B1317" i="4"/>
  <c r="A1317" i="4"/>
  <c r="B1316" i="4"/>
  <c r="A1316" i="4"/>
  <c r="B1315" i="4"/>
  <c r="A1315" i="4"/>
  <c r="B1314" i="4"/>
  <c r="A1314" i="4"/>
  <c r="B1313" i="4"/>
  <c r="A1313" i="4"/>
  <c r="B1312" i="4"/>
  <c r="A1312" i="4"/>
  <c r="B1311" i="4"/>
  <c r="A1311" i="4"/>
  <c r="B1310" i="4"/>
  <c r="A1310" i="4"/>
  <c r="B1309" i="4"/>
  <c r="A1309" i="4"/>
  <c r="B1308" i="4"/>
  <c r="A1308" i="4"/>
  <c r="B1307" i="4"/>
  <c r="A1307" i="4"/>
  <c r="B1306" i="4"/>
  <c r="A1306" i="4"/>
  <c r="B1305" i="4"/>
  <c r="A1305" i="4"/>
  <c r="B1304" i="4"/>
  <c r="A1304" i="4"/>
  <c r="B1303" i="4"/>
  <c r="A1303" i="4"/>
  <c r="B1302" i="4"/>
  <c r="A1302" i="4"/>
  <c r="B1301" i="4"/>
  <c r="A1301" i="4"/>
  <c r="B1300" i="4"/>
  <c r="A1300" i="4"/>
  <c r="B1299" i="4"/>
  <c r="A1299" i="4"/>
  <c r="B1298" i="4"/>
  <c r="A1298" i="4"/>
  <c r="B1297" i="4"/>
  <c r="A1297" i="4"/>
  <c r="B1296" i="4"/>
  <c r="A1296" i="4"/>
  <c r="B1295" i="4"/>
  <c r="A1295" i="4"/>
  <c r="B1294" i="4"/>
  <c r="A1294" i="4"/>
  <c r="B1293" i="4"/>
  <c r="A1293" i="4"/>
  <c r="B1292" i="4"/>
  <c r="A1292" i="4"/>
  <c r="B1291" i="4"/>
  <c r="A1291" i="4"/>
  <c r="B1290" i="4"/>
  <c r="A1290" i="4"/>
  <c r="B1289" i="4"/>
  <c r="A1289" i="4"/>
  <c r="B1288" i="4"/>
  <c r="A1288" i="4"/>
  <c r="B1287" i="4"/>
  <c r="A1287" i="4"/>
  <c r="B1286" i="4"/>
  <c r="A1286" i="4"/>
  <c r="B1285" i="4"/>
  <c r="A1285" i="4"/>
  <c r="B1284" i="4"/>
  <c r="A1284" i="4"/>
  <c r="B1283" i="4"/>
  <c r="A1283" i="4"/>
  <c r="B1282" i="4"/>
  <c r="A1282" i="4"/>
  <c r="B1281" i="4"/>
  <c r="A1281" i="4"/>
  <c r="B1280" i="4"/>
  <c r="A1280" i="4"/>
  <c r="B1279" i="4"/>
  <c r="A1279" i="4"/>
  <c r="B1278" i="4"/>
  <c r="A1278" i="4"/>
  <c r="B1277" i="4"/>
  <c r="A1277" i="4"/>
  <c r="B1276" i="4"/>
  <c r="A1276" i="4"/>
  <c r="B1275" i="4"/>
  <c r="A1275" i="4"/>
  <c r="B1274" i="4"/>
  <c r="A1274" i="4"/>
  <c r="B1273" i="4"/>
  <c r="A1273" i="4"/>
  <c r="B1272" i="4"/>
  <c r="A1272" i="4"/>
  <c r="B1271" i="4"/>
  <c r="A1271" i="4"/>
  <c r="B1270" i="4"/>
  <c r="A1270" i="4"/>
  <c r="B1269" i="4"/>
  <c r="A1269" i="4"/>
  <c r="B1268" i="4"/>
  <c r="A1268" i="4"/>
  <c r="B1267" i="4"/>
  <c r="A1267" i="4"/>
  <c r="B1266" i="4"/>
  <c r="A1266" i="4"/>
  <c r="B1265" i="4"/>
  <c r="A1265" i="4"/>
  <c r="B1264" i="4"/>
  <c r="A1264" i="4"/>
  <c r="B1263" i="4"/>
  <c r="A1263" i="4"/>
  <c r="B1262" i="4"/>
  <c r="A1262" i="4"/>
  <c r="B1261" i="4"/>
  <c r="A1261" i="4"/>
  <c r="B1260" i="4"/>
  <c r="A1260" i="4"/>
  <c r="B1259" i="4"/>
  <c r="A1259" i="4"/>
  <c r="B1258" i="4"/>
  <c r="A1258" i="4"/>
  <c r="B1257" i="4"/>
  <c r="A1257" i="4"/>
  <c r="B1256" i="4"/>
  <c r="A1256" i="4"/>
  <c r="B1255" i="4"/>
  <c r="A1255" i="4"/>
  <c r="B1254" i="4"/>
  <c r="A1254" i="4"/>
  <c r="B1253" i="4"/>
  <c r="A1253" i="4"/>
  <c r="B1252" i="4"/>
  <c r="A1252" i="4"/>
  <c r="B1251" i="4"/>
  <c r="A1251" i="4"/>
  <c r="B1250" i="4"/>
  <c r="A1250" i="4"/>
  <c r="B1249" i="4"/>
  <c r="A1249" i="4"/>
  <c r="B1248" i="4"/>
  <c r="A1248" i="4"/>
  <c r="B1247" i="4"/>
  <c r="A1247" i="4"/>
  <c r="B1246" i="4"/>
  <c r="A1246" i="4"/>
  <c r="B1245" i="4"/>
  <c r="A1245" i="4"/>
  <c r="B1244" i="4"/>
  <c r="A1244" i="4"/>
  <c r="B1243" i="4"/>
  <c r="A1243" i="4"/>
  <c r="B1242" i="4"/>
  <c r="A1242" i="4"/>
  <c r="B1241" i="4"/>
  <c r="A1241" i="4"/>
  <c r="B1240" i="4"/>
  <c r="A1240" i="4"/>
  <c r="B1239" i="4"/>
  <c r="A1239" i="4"/>
  <c r="B1238" i="4"/>
  <c r="A1238" i="4"/>
  <c r="B1237" i="4"/>
  <c r="A1237" i="4"/>
  <c r="B1236" i="4"/>
  <c r="A1236" i="4"/>
  <c r="B1235" i="4"/>
  <c r="A1235" i="4"/>
  <c r="B1234" i="4"/>
  <c r="A1234" i="4"/>
  <c r="B1233" i="4"/>
  <c r="A1233" i="4"/>
  <c r="B1232" i="4"/>
  <c r="A1232" i="4"/>
  <c r="B1231" i="4"/>
  <c r="A1231" i="4"/>
  <c r="B1230" i="4"/>
  <c r="A1230" i="4"/>
  <c r="B1229" i="4"/>
  <c r="A1229" i="4"/>
  <c r="B1228" i="4"/>
  <c r="A1228" i="4"/>
  <c r="B1227" i="4"/>
  <c r="A1227" i="4"/>
  <c r="B1226" i="4"/>
  <c r="A1226" i="4"/>
  <c r="B1225" i="4"/>
  <c r="A1225" i="4"/>
  <c r="B1224" i="4"/>
  <c r="A1224" i="4"/>
  <c r="B1223" i="4"/>
  <c r="A1223" i="4"/>
  <c r="B1222" i="4"/>
  <c r="A1222" i="4"/>
  <c r="B1221" i="4"/>
  <c r="A1221" i="4"/>
  <c r="B1220" i="4"/>
  <c r="A1220" i="4"/>
  <c r="B1219" i="4"/>
  <c r="A1219" i="4"/>
  <c r="B1218" i="4"/>
  <c r="A1218" i="4"/>
  <c r="B1217" i="4"/>
  <c r="A1217" i="4"/>
  <c r="B1216" i="4"/>
  <c r="A1216" i="4"/>
  <c r="B1215" i="4"/>
  <c r="A1215" i="4"/>
  <c r="B1214" i="4"/>
  <c r="A1214" i="4"/>
  <c r="B1213" i="4"/>
  <c r="A1213" i="4"/>
  <c r="B1212" i="4"/>
  <c r="A1212" i="4"/>
  <c r="B1211" i="4"/>
  <c r="A1211" i="4"/>
  <c r="B1210" i="4"/>
  <c r="A1210" i="4"/>
  <c r="B1209" i="4"/>
  <c r="A1209" i="4"/>
  <c r="B1208" i="4"/>
  <c r="A1208" i="4"/>
  <c r="B1207" i="4"/>
  <c r="A1207" i="4"/>
  <c r="B1206" i="4"/>
  <c r="A1206" i="4"/>
  <c r="B1205" i="4"/>
  <c r="A1205" i="4"/>
  <c r="B1204" i="4"/>
  <c r="A1204" i="4"/>
  <c r="B1203" i="4"/>
  <c r="A1203" i="4"/>
  <c r="B1202" i="4"/>
  <c r="A1202" i="4"/>
  <c r="B1201" i="4"/>
  <c r="A1201" i="4"/>
  <c r="B1200" i="4"/>
  <c r="A1200" i="4"/>
  <c r="B1199" i="4"/>
  <c r="A1199" i="4"/>
  <c r="B1198" i="4"/>
  <c r="A1198" i="4"/>
  <c r="B1197" i="4"/>
  <c r="A1197" i="4"/>
  <c r="B1196" i="4"/>
  <c r="A1196" i="4"/>
  <c r="B1195" i="4"/>
  <c r="A1195" i="4"/>
  <c r="B1194" i="4"/>
  <c r="A1194" i="4"/>
  <c r="B1193" i="4"/>
  <c r="A1193" i="4"/>
  <c r="B1192" i="4"/>
  <c r="A1192" i="4"/>
  <c r="B1191" i="4"/>
  <c r="A1191" i="4"/>
  <c r="B1190" i="4"/>
  <c r="A1190" i="4"/>
  <c r="B1189" i="4"/>
  <c r="A1189" i="4"/>
  <c r="B1188" i="4"/>
  <c r="A1188" i="4"/>
  <c r="B1187" i="4"/>
  <c r="A1187" i="4"/>
  <c r="B1186" i="4"/>
  <c r="A1186" i="4"/>
  <c r="B1185" i="4"/>
  <c r="A1185" i="4"/>
  <c r="B1184" i="4"/>
  <c r="A1184" i="4"/>
  <c r="B1183" i="4"/>
  <c r="A1183" i="4"/>
  <c r="B1182" i="4"/>
  <c r="A1182" i="4"/>
  <c r="B1181" i="4"/>
  <c r="A1181" i="4"/>
  <c r="B1180" i="4"/>
  <c r="A1180" i="4"/>
  <c r="B1179" i="4"/>
  <c r="A1179" i="4"/>
  <c r="B1178" i="4"/>
  <c r="A1178" i="4"/>
  <c r="B1177" i="4"/>
  <c r="A1177" i="4"/>
  <c r="B1176" i="4"/>
  <c r="A1176" i="4"/>
  <c r="B1175" i="4"/>
  <c r="A1175" i="4"/>
  <c r="B1174" i="4"/>
  <c r="A1174" i="4"/>
  <c r="B1173" i="4"/>
  <c r="A1173" i="4"/>
  <c r="B1172" i="4"/>
  <c r="A1172" i="4"/>
  <c r="B1171" i="4"/>
  <c r="A1171" i="4"/>
  <c r="B1170" i="4"/>
  <c r="A1170" i="4"/>
  <c r="B1169" i="4"/>
  <c r="A1169" i="4"/>
  <c r="B1168" i="4"/>
  <c r="A1168" i="4"/>
  <c r="B1167" i="4"/>
  <c r="A1167" i="4"/>
  <c r="B1166" i="4"/>
  <c r="A1166" i="4"/>
  <c r="B1165" i="4"/>
  <c r="A1165" i="4"/>
  <c r="B1164" i="4"/>
  <c r="A1164" i="4"/>
  <c r="B1163" i="4"/>
  <c r="A1163" i="4"/>
  <c r="B1162" i="4"/>
  <c r="A1162" i="4"/>
  <c r="B1161" i="4"/>
  <c r="A1161" i="4"/>
  <c r="B1160" i="4"/>
  <c r="A1160" i="4"/>
  <c r="B1159" i="4"/>
  <c r="A1159" i="4"/>
  <c r="B1158" i="4"/>
  <c r="A1158" i="4"/>
  <c r="B1157" i="4"/>
  <c r="A1157" i="4"/>
  <c r="B1156" i="4"/>
  <c r="A1156" i="4"/>
  <c r="B1155" i="4"/>
  <c r="A1155" i="4"/>
  <c r="B1154" i="4"/>
  <c r="A1154" i="4"/>
  <c r="B1153" i="4"/>
  <c r="A1153" i="4"/>
  <c r="B1152" i="4"/>
  <c r="A1152" i="4"/>
  <c r="B1151" i="4"/>
  <c r="A1151" i="4"/>
  <c r="B1150" i="4"/>
  <c r="A1150" i="4"/>
  <c r="B1149" i="4"/>
  <c r="A1149" i="4"/>
  <c r="B1148" i="4"/>
  <c r="A1148" i="4"/>
  <c r="B1147" i="4"/>
  <c r="A1147" i="4"/>
  <c r="B1146" i="4"/>
  <c r="A1146" i="4"/>
  <c r="B1145" i="4"/>
  <c r="A1145" i="4"/>
  <c r="B1144" i="4"/>
  <c r="A1144" i="4"/>
  <c r="B1143" i="4"/>
  <c r="A1143" i="4"/>
  <c r="B1142" i="4"/>
  <c r="A1142" i="4"/>
  <c r="B1141" i="4"/>
  <c r="A1141" i="4"/>
  <c r="B1140" i="4"/>
  <c r="A1140" i="4"/>
  <c r="B1139" i="4"/>
  <c r="A1139" i="4"/>
  <c r="B1138" i="4"/>
  <c r="A1138" i="4"/>
  <c r="B1137" i="4"/>
  <c r="A1137" i="4"/>
  <c r="B1136" i="4"/>
  <c r="A1136" i="4"/>
  <c r="B1135" i="4"/>
  <c r="A1135" i="4"/>
  <c r="B1134" i="4"/>
  <c r="A1134" i="4"/>
  <c r="B1133" i="4"/>
  <c r="A1133" i="4"/>
  <c r="B1132" i="4"/>
  <c r="A1132" i="4"/>
  <c r="B1131" i="4"/>
  <c r="A1131" i="4"/>
  <c r="B1130" i="4"/>
  <c r="A1130" i="4"/>
  <c r="B1129" i="4"/>
  <c r="A1129" i="4"/>
  <c r="B1128" i="4"/>
  <c r="A1128" i="4"/>
  <c r="B1127" i="4"/>
  <c r="A1127" i="4"/>
  <c r="B1126" i="4"/>
  <c r="A1126" i="4"/>
  <c r="B1125" i="4"/>
  <c r="A1125" i="4"/>
  <c r="B1124" i="4"/>
  <c r="A1124" i="4"/>
  <c r="B1123" i="4"/>
  <c r="A1123" i="4"/>
  <c r="B1122" i="4"/>
  <c r="A1122" i="4"/>
  <c r="B1121" i="4"/>
  <c r="A1121" i="4"/>
  <c r="B1120" i="4"/>
  <c r="A1120" i="4"/>
  <c r="B1119" i="4"/>
  <c r="A1119" i="4"/>
  <c r="B1118" i="4"/>
  <c r="A1118" i="4"/>
  <c r="B1117" i="4"/>
  <c r="A1117" i="4"/>
  <c r="B1116" i="4"/>
  <c r="A1116" i="4"/>
  <c r="B1115" i="4"/>
  <c r="A1115" i="4"/>
  <c r="B1114" i="4"/>
  <c r="A1114" i="4"/>
  <c r="B1113" i="4"/>
  <c r="A1113" i="4"/>
  <c r="B1112" i="4"/>
  <c r="A1112" i="4"/>
  <c r="B1111" i="4"/>
  <c r="A1111" i="4"/>
  <c r="B1110" i="4"/>
  <c r="A1110" i="4"/>
  <c r="B1109" i="4"/>
  <c r="A1109" i="4"/>
  <c r="B1108" i="4"/>
  <c r="A1108" i="4"/>
  <c r="B1107" i="4"/>
  <c r="A1107" i="4"/>
  <c r="B1106" i="4"/>
  <c r="A1106" i="4"/>
  <c r="B1105" i="4"/>
  <c r="A1105" i="4"/>
  <c r="B1104" i="4"/>
  <c r="A1104" i="4"/>
  <c r="B1103" i="4"/>
  <c r="A1103" i="4"/>
  <c r="B1102" i="4"/>
  <c r="A1102" i="4"/>
  <c r="B1101" i="4"/>
  <c r="A1101" i="4"/>
  <c r="B1100" i="4"/>
  <c r="A1100" i="4"/>
  <c r="B1099" i="4"/>
  <c r="A1099" i="4"/>
  <c r="B1098" i="4"/>
  <c r="A1098" i="4"/>
  <c r="B1097" i="4"/>
  <c r="A1097" i="4"/>
  <c r="B1096" i="4"/>
  <c r="A1096" i="4"/>
  <c r="B1095" i="4"/>
  <c r="A1095" i="4"/>
  <c r="B1094" i="4"/>
  <c r="A1094" i="4"/>
  <c r="B1093" i="4"/>
  <c r="A1093" i="4"/>
  <c r="B1092" i="4"/>
  <c r="A1092" i="4"/>
  <c r="B1091" i="4"/>
  <c r="A1091" i="4"/>
  <c r="B1090" i="4"/>
  <c r="A1090" i="4"/>
  <c r="B1089" i="4"/>
  <c r="A1089" i="4"/>
  <c r="B1088" i="4"/>
  <c r="A1088" i="4"/>
  <c r="B1087" i="4"/>
  <c r="A1087" i="4"/>
  <c r="B1086" i="4"/>
  <c r="A1086" i="4"/>
  <c r="B1085" i="4"/>
  <c r="A1085" i="4"/>
  <c r="B1084" i="4"/>
  <c r="A1084" i="4"/>
  <c r="B1083" i="4"/>
  <c r="A1083" i="4"/>
  <c r="B1082" i="4"/>
  <c r="A1082" i="4"/>
  <c r="B1081" i="4"/>
  <c r="A1081" i="4"/>
  <c r="B1080" i="4"/>
  <c r="A1080" i="4"/>
  <c r="B1079" i="4"/>
  <c r="A1079" i="4"/>
  <c r="B1078" i="4"/>
  <c r="A1078" i="4"/>
  <c r="B1077" i="4"/>
  <c r="A1077" i="4"/>
  <c r="B1076" i="4"/>
  <c r="A1076" i="4"/>
  <c r="B1075" i="4"/>
  <c r="A1075" i="4"/>
  <c r="B1074" i="4"/>
  <c r="A1074" i="4"/>
  <c r="B1073" i="4"/>
  <c r="A1073" i="4"/>
  <c r="B1072" i="4"/>
  <c r="A1072" i="4"/>
  <c r="B1071" i="4"/>
  <c r="A1071" i="4"/>
  <c r="B1070" i="4"/>
  <c r="A1070" i="4"/>
  <c r="B1069" i="4"/>
  <c r="A1069" i="4"/>
  <c r="B1068" i="4"/>
  <c r="A1068" i="4"/>
  <c r="B1067" i="4"/>
  <c r="A1067" i="4"/>
  <c r="B1066" i="4"/>
  <c r="A1066" i="4"/>
  <c r="B1065" i="4"/>
  <c r="A1065" i="4"/>
  <c r="B1064" i="4"/>
  <c r="A1064" i="4"/>
  <c r="B1063" i="4"/>
  <c r="A1063" i="4"/>
  <c r="B1062" i="4"/>
  <c r="A1062" i="4"/>
  <c r="B1061" i="4"/>
  <c r="A1061" i="4"/>
  <c r="B1060" i="4"/>
  <c r="A1060" i="4"/>
  <c r="B1059" i="4"/>
  <c r="A1059" i="4"/>
  <c r="B1058" i="4"/>
  <c r="A1058" i="4"/>
  <c r="B1057" i="4"/>
  <c r="A1057" i="4"/>
  <c r="B1056" i="4"/>
  <c r="A1056" i="4"/>
  <c r="B1055" i="4"/>
  <c r="A1055" i="4"/>
  <c r="B1054" i="4"/>
  <c r="A1054" i="4"/>
  <c r="B1053" i="4"/>
  <c r="A1053" i="4"/>
  <c r="B1052" i="4"/>
  <c r="A1052" i="4"/>
  <c r="B1051" i="4"/>
  <c r="A1051" i="4"/>
  <c r="B1050" i="4"/>
  <c r="A1050" i="4"/>
  <c r="B1049" i="4"/>
  <c r="A1049" i="4"/>
  <c r="B1048" i="4"/>
  <c r="A1048" i="4"/>
  <c r="B1047" i="4"/>
  <c r="A1047" i="4"/>
  <c r="B1046" i="4"/>
  <c r="A1046" i="4"/>
  <c r="B1045" i="4"/>
  <c r="A1045" i="4"/>
  <c r="B1044" i="4"/>
  <c r="A1044" i="4"/>
  <c r="B1043" i="4"/>
  <c r="A1043" i="4"/>
  <c r="B1042" i="4"/>
  <c r="A1042" i="4"/>
  <c r="B1041" i="4"/>
  <c r="A1041" i="4"/>
  <c r="B1040" i="4"/>
  <c r="A1040" i="4"/>
  <c r="B1039" i="4"/>
  <c r="A1039" i="4"/>
  <c r="B1038" i="4"/>
  <c r="A1038" i="4"/>
  <c r="B1037" i="4"/>
  <c r="A1037" i="4"/>
  <c r="B1036" i="4"/>
  <c r="A1036" i="4"/>
  <c r="B1035" i="4"/>
  <c r="A1035" i="4"/>
  <c r="B1034" i="4"/>
  <c r="A1034" i="4"/>
  <c r="B1033" i="4"/>
  <c r="A1033" i="4"/>
  <c r="B1032" i="4"/>
  <c r="A1032" i="4"/>
  <c r="B1031" i="4"/>
  <c r="A1031" i="4"/>
  <c r="B1030" i="4"/>
  <c r="A1030" i="4"/>
  <c r="B1029" i="4"/>
  <c r="A1029" i="4"/>
  <c r="B1028" i="4"/>
  <c r="A1028" i="4"/>
  <c r="B1027" i="4"/>
  <c r="A1027" i="4"/>
  <c r="B1026" i="4"/>
  <c r="A1026" i="4"/>
  <c r="B1025" i="4"/>
  <c r="A1025" i="4"/>
  <c r="B1024" i="4"/>
  <c r="A1024" i="4"/>
  <c r="B1023" i="4"/>
  <c r="A1023" i="4"/>
  <c r="B1022" i="4"/>
  <c r="A1022" i="4"/>
  <c r="B1021" i="4"/>
  <c r="A1021" i="4"/>
  <c r="B1020" i="4"/>
  <c r="A1020" i="4"/>
  <c r="B1019" i="4"/>
  <c r="A1019" i="4"/>
  <c r="B1018" i="4"/>
  <c r="A1018" i="4"/>
  <c r="B1017" i="4"/>
  <c r="A1017" i="4"/>
  <c r="B1016" i="4"/>
  <c r="A1016" i="4"/>
  <c r="B1015" i="4"/>
  <c r="A1015" i="4"/>
  <c r="B1014" i="4"/>
  <c r="A1014" i="4"/>
  <c r="B1013" i="4"/>
  <c r="A1013" i="4"/>
  <c r="B1012" i="4"/>
  <c r="A1012" i="4"/>
  <c r="B1011" i="4"/>
  <c r="A1011" i="4"/>
  <c r="B1010" i="4"/>
  <c r="A1010" i="4"/>
  <c r="B1009" i="4"/>
  <c r="A1009" i="4"/>
  <c r="B1008" i="4"/>
  <c r="A1008" i="4"/>
  <c r="B1007" i="4"/>
  <c r="A1007" i="4"/>
  <c r="B1006" i="4"/>
  <c r="A1006" i="4"/>
  <c r="B1005" i="4"/>
  <c r="A1005" i="4"/>
  <c r="B1004" i="4"/>
  <c r="A1004" i="4"/>
  <c r="B1003" i="4"/>
  <c r="A1003" i="4"/>
  <c r="B1002" i="4"/>
  <c r="A1002" i="4"/>
  <c r="B1001" i="4"/>
  <c r="A1001" i="4"/>
  <c r="B1000" i="4"/>
  <c r="A1000" i="4"/>
  <c r="B999" i="4"/>
  <c r="A999" i="4"/>
  <c r="B998" i="4"/>
  <c r="A998" i="4"/>
  <c r="B997" i="4"/>
  <c r="A997" i="4"/>
  <c r="B996" i="4"/>
  <c r="A996" i="4"/>
  <c r="B995" i="4"/>
  <c r="A995" i="4"/>
  <c r="B994" i="4"/>
  <c r="A994" i="4"/>
  <c r="B993" i="4"/>
  <c r="A993" i="4"/>
  <c r="B992" i="4"/>
  <c r="A992" i="4"/>
  <c r="B991" i="4"/>
  <c r="A991" i="4"/>
  <c r="B990" i="4"/>
  <c r="A990" i="4"/>
  <c r="B989" i="4"/>
  <c r="A989" i="4"/>
  <c r="B988" i="4"/>
  <c r="A988" i="4"/>
  <c r="B987" i="4"/>
  <c r="A987" i="4"/>
  <c r="B986" i="4"/>
  <c r="A986" i="4"/>
  <c r="B985" i="4"/>
  <c r="A985" i="4"/>
  <c r="B984" i="4"/>
  <c r="A984" i="4"/>
  <c r="B983" i="4"/>
  <c r="A983" i="4"/>
  <c r="B982" i="4"/>
  <c r="A982" i="4"/>
  <c r="B981" i="4"/>
  <c r="A981" i="4"/>
  <c r="B980" i="4"/>
  <c r="A980" i="4"/>
  <c r="B979" i="4"/>
  <c r="A979" i="4"/>
  <c r="B978" i="4"/>
  <c r="A978" i="4"/>
  <c r="B977" i="4"/>
  <c r="A977" i="4"/>
  <c r="B976" i="4"/>
  <c r="A976" i="4"/>
  <c r="B975" i="4"/>
  <c r="A975" i="4"/>
  <c r="B974" i="4"/>
  <c r="A974" i="4"/>
  <c r="B973" i="4"/>
  <c r="A973" i="4"/>
  <c r="B972" i="4"/>
  <c r="A972" i="4"/>
  <c r="B971" i="4"/>
  <c r="A971" i="4"/>
  <c r="B970" i="4"/>
  <c r="A970" i="4"/>
  <c r="B969" i="4"/>
  <c r="A969" i="4"/>
  <c r="B968" i="4"/>
  <c r="A968" i="4"/>
  <c r="B967" i="4"/>
  <c r="A967" i="4"/>
  <c r="B966" i="4"/>
  <c r="A966" i="4"/>
  <c r="B965" i="4"/>
  <c r="A965" i="4"/>
  <c r="B964" i="4"/>
  <c r="A964" i="4"/>
  <c r="B963" i="4"/>
  <c r="A963" i="4"/>
  <c r="B962" i="4"/>
  <c r="A962" i="4"/>
  <c r="B961" i="4"/>
  <c r="A961" i="4"/>
  <c r="B960" i="4"/>
  <c r="A960" i="4"/>
  <c r="B959" i="4"/>
  <c r="A959" i="4"/>
  <c r="B958" i="4"/>
  <c r="A958" i="4"/>
  <c r="B957" i="4"/>
  <c r="A957" i="4"/>
  <c r="B956" i="4"/>
  <c r="A956" i="4"/>
  <c r="B955" i="4"/>
  <c r="A955" i="4"/>
  <c r="B954" i="4"/>
  <c r="A954" i="4"/>
  <c r="B953" i="4"/>
  <c r="A953" i="4"/>
  <c r="B952" i="4"/>
  <c r="A952" i="4"/>
  <c r="B951" i="4"/>
  <c r="A951" i="4"/>
  <c r="B950" i="4"/>
  <c r="A950" i="4"/>
  <c r="B949" i="4"/>
  <c r="A949" i="4"/>
  <c r="B948" i="4"/>
  <c r="A948" i="4"/>
  <c r="B947" i="4"/>
  <c r="A947" i="4"/>
  <c r="B946" i="4"/>
  <c r="A946" i="4"/>
  <c r="B945" i="4"/>
  <c r="A945" i="4"/>
  <c r="B944" i="4"/>
  <c r="A944" i="4"/>
  <c r="B943" i="4"/>
  <c r="A943" i="4"/>
  <c r="B942" i="4"/>
  <c r="A942" i="4"/>
  <c r="B941" i="4"/>
  <c r="A941" i="4"/>
  <c r="B940" i="4"/>
  <c r="A940" i="4"/>
  <c r="B939" i="4"/>
  <c r="A939" i="4"/>
  <c r="B938" i="4"/>
  <c r="A938" i="4"/>
  <c r="B937" i="4"/>
  <c r="A937" i="4"/>
  <c r="B936" i="4"/>
  <c r="A936" i="4"/>
  <c r="B935" i="4"/>
  <c r="A935" i="4"/>
  <c r="B934" i="4"/>
  <c r="A934" i="4"/>
  <c r="B933" i="4"/>
  <c r="A933" i="4"/>
  <c r="B932" i="4"/>
  <c r="A932" i="4"/>
  <c r="B931" i="4"/>
  <c r="A931" i="4"/>
  <c r="B930" i="4"/>
  <c r="A930" i="4"/>
  <c r="B929" i="4"/>
  <c r="A929" i="4"/>
  <c r="B928" i="4"/>
  <c r="A928" i="4"/>
  <c r="B927" i="4"/>
  <c r="A927" i="4"/>
  <c r="B926" i="4"/>
  <c r="A926" i="4"/>
  <c r="B925" i="4"/>
  <c r="A925" i="4"/>
  <c r="B924" i="4"/>
  <c r="A924" i="4"/>
  <c r="B923" i="4"/>
  <c r="A923" i="4"/>
  <c r="B922" i="4"/>
  <c r="A922" i="4"/>
  <c r="B921" i="4"/>
  <c r="A921" i="4"/>
  <c r="B920" i="4"/>
  <c r="A920" i="4"/>
  <c r="B919" i="4"/>
  <c r="A919" i="4"/>
  <c r="B918" i="4"/>
  <c r="A918" i="4"/>
  <c r="B917" i="4"/>
  <c r="A917" i="4"/>
  <c r="B916" i="4"/>
  <c r="A916" i="4"/>
  <c r="B915" i="4"/>
  <c r="A915" i="4"/>
  <c r="B914" i="4"/>
  <c r="A914" i="4"/>
  <c r="B913" i="4"/>
  <c r="A913" i="4"/>
  <c r="B912" i="4"/>
  <c r="A912" i="4"/>
  <c r="B911" i="4"/>
  <c r="A911" i="4"/>
  <c r="B910" i="4"/>
  <c r="A910" i="4"/>
  <c r="B909" i="4"/>
  <c r="A909" i="4"/>
  <c r="B908" i="4"/>
  <c r="A908" i="4"/>
  <c r="B907" i="4"/>
  <c r="A907" i="4"/>
  <c r="B906" i="4"/>
  <c r="A906" i="4"/>
  <c r="B905" i="4"/>
  <c r="A905" i="4"/>
  <c r="B904" i="4"/>
  <c r="A904" i="4"/>
  <c r="B903" i="4"/>
  <c r="A903" i="4"/>
  <c r="B902" i="4"/>
  <c r="A902" i="4"/>
  <c r="B901" i="4"/>
  <c r="A901" i="4"/>
  <c r="B900" i="4"/>
  <c r="A900" i="4"/>
  <c r="B899" i="4"/>
  <c r="A899" i="4"/>
  <c r="B898" i="4"/>
  <c r="A898" i="4"/>
  <c r="B897" i="4"/>
  <c r="A897" i="4"/>
  <c r="B896" i="4"/>
  <c r="A896" i="4"/>
  <c r="B895" i="4"/>
  <c r="A895" i="4"/>
  <c r="B894" i="4"/>
  <c r="A894" i="4"/>
  <c r="B893" i="4"/>
  <c r="A893" i="4"/>
  <c r="B892" i="4"/>
  <c r="A892" i="4"/>
  <c r="B891" i="4"/>
  <c r="A891" i="4"/>
  <c r="B890" i="4"/>
  <c r="A890" i="4"/>
  <c r="B889" i="4"/>
  <c r="A889" i="4"/>
  <c r="B888" i="4"/>
  <c r="A888" i="4"/>
  <c r="B887" i="4"/>
  <c r="A887" i="4"/>
  <c r="B886" i="4"/>
  <c r="A886" i="4"/>
  <c r="B885" i="4"/>
  <c r="A885" i="4"/>
  <c r="B884" i="4"/>
  <c r="A884" i="4"/>
  <c r="B883" i="4"/>
  <c r="A883" i="4"/>
  <c r="B882" i="4"/>
  <c r="A882" i="4"/>
  <c r="B881" i="4"/>
  <c r="A881" i="4"/>
  <c r="B880" i="4"/>
  <c r="A880" i="4"/>
  <c r="B879" i="4"/>
  <c r="A879" i="4"/>
  <c r="B878" i="4"/>
  <c r="A878" i="4"/>
  <c r="B877" i="4"/>
  <c r="A877" i="4"/>
  <c r="B876" i="4"/>
  <c r="A876" i="4"/>
  <c r="B875" i="4"/>
  <c r="A875" i="4"/>
  <c r="B874" i="4"/>
  <c r="A874" i="4"/>
  <c r="B873" i="4"/>
  <c r="A873" i="4"/>
  <c r="B872" i="4"/>
  <c r="A872" i="4"/>
  <c r="B871" i="4"/>
  <c r="A871" i="4"/>
  <c r="B870" i="4"/>
  <c r="A870" i="4"/>
  <c r="B869" i="4"/>
  <c r="A869" i="4"/>
  <c r="B868" i="4"/>
  <c r="A868" i="4"/>
  <c r="B867" i="4"/>
  <c r="A867" i="4"/>
  <c r="B866" i="4"/>
  <c r="A866" i="4"/>
  <c r="B865" i="4"/>
  <c r="A865" i="4"/>
  <c r="B864" i="4"/>
  <c r="A864" i="4"/>
  <c r="B863" i="4"/>
  <c r="A863" i="4"/>
  <c r="B862" i="4"/>
  <c r="A862" i="4"/>
  <c r="B861" i="4"/>
  <c r="A861" i="4"/>
  <c r="B860" i="4"/>
  <c r="A860" i="4"/>
  <c r="B859" i="4"/>
  <c r="A859" i="4"/>
  <c r="B858" i="4"/>
  <c r="A858" i="4"/>
  <c r="B857" i="4"/>
  <c r="A857" i="4"/>
  <c r="B856" i="4"/>
  <c r="A856" i="4"/>
  <c r="B855" i="4"/>
  <c r="A855" i="4"/>
  <c r="B854" i="4"/>
  <c r="A854" i="4"/>
  <c r="B853" i="4"/>
  <c r="A853" i="4"/>
  <c r="B852" i="4"/>
  <c r="A852" i="4"/>
  <c r="B851" i="4"/>
  <c r="A851" i="4"/>
  <c r="B850" i="4"/>
  <c r="A850" i="4"/>
  <c r="B849" i="4"/>
  <c r="A849" i="4"/>
  <c r="B848" i="4"/>
  <c r="A848" i="4"/>
  <c r="B847" i="4"/>
  <c r="A847" i="4"/>
  <c r="B846" i="4"/>
  <c r="A846" i="4"/>
  <c r="B845" i="4"/>
  <c r="A845" i="4"/>
  <c r="B844" i="4"/>
  <c r="A844" i="4"/>
  <c r="B843" i="4"/>
  <c r="A843" i="4"/>
  <c r="B842" i="4"/>
  <c r="A842" i="4"/>
  <c r="B841" i="4"/>
  <c r="A841" i="4"/>
  <c r="B840" i="4"/>
  <c r="A840" i="4"/>
  <c r="B839" i="4"/>
  <c r="A839" i="4"/>
  <c r="B838" i="4"/>
  <c r="A838" i="4"/>
  <c r="B837" i="4"/>
  <c r="A837" i="4"/>
  <c r="B836" i="4"/>
  <c r="A836" i="4"/>
  <c r="B835" i="4"/>
  <c r="A835" i="4"/>
  <c r="B834" i="4"/>
  <c r="A834" i="4"/>
  <c r="B833" i="4"/>
  <c r="A833" i="4"/>
  <c r="B832" i="4"/>
  <c r="A832" i="4"/>
  <c r="B831" i="4"/>
  <c r="A831" i="4"/>
  <c r="B830" i="4"/>
  <c r="A830" i="4"/>
  <c r="B829" i="4"/>
  <c r="A829" i="4"/>
  <c r="B828" i="4"/>
  <c r="A828" i="4"/>
  <c r="B827" i="4"/>
  <c r="A827" i="4"/>
  <c r="B826" i="4"/>
  <c r="A826" i="4"/>
  <c r="B825" i="4"/>
  <c r="A825" i="4"/>
  <c r="B824" i="4"/>
  <c r="A824" i="4"/>
  <c r="B823" i="4"/>
  <c r="A823" i="4"/>
  <c r="B822" i="4"/>
  <c r="A822" i="4"/>
  <c r="B821" i="4"/>
  <c r="A821" i="4"/>
  <c r="B820" i="4"/>
  <c r="A820" i="4"/>
  <c r="B819" i="4"/>
  <c r="A819" i="4"/>
  <c r="B818" i="4"/>
  <c r="A818" i="4"/>
  <c r="B817" i="4"/>
  <c r="A817" i="4"/>
  <c r="B816" i="4"/>
  <c r="A816" i="4"/>
  <c r="B815" i="4"/>
  <c r="A815" i="4"/>
  <c r="B814" i="4"/>
  <c r="A814" i="4"/>
  <c r="B813" i="4"/>
  <c r="A813" i="4"/>
  <c r="B812" i="4"/>
  <c r="A812" i="4"/>
  <c r="B811" i="4"/>
  <c r="A811" i="4"/>
  <c r="B810" i="4"/>
  <c r="A810" i="4"/>
  <c r="B809" i="4"/>
  <c r="A809" i="4"/>
  <c r="B808" i="4"/>
  <c r="A808" i="4"/>
  <c r="B807" i="4"/>
  <c r="A807" i="4"/>
  <c r="B806" i="4"/>
  <c r="A806" i="4"/>
  <c r="B805" i="4"/>
  <c r="A805" i="4"/>
  <c r="B804" i="4"/>
  <c r="A804" i="4"/>
  <c r="B803" i="4"/>
  <c r="A803" i="4"/>
  <c r="B802" i="4"/>
  <c r="A802" i="4"/>
  <c r="B801" i="4"/>
  <c r="A801" i="4"/>
  <c r="B800" i="4"/>
  <c r="A800" i="4"/>
  <c r="B799" i="4"/>
  <c r="A799" i="4"/>
  <c r="B798" i="4"/>
  <c r="A798" i="4"/>
  <c r="B797" i="4"/>
  <c r="A797" i="4"/>
  <c r="B796" i="4"/>
  <c r="A796" i="4"/>
  <c r="B795" i="4"/>
  <c r="A795" i="4"/>
  <c r="B794" i="4"/>
  <c r="A794" i="4"/>
  <c r="B793" i="4"/>
  <c r="A793" i="4"/>
  <c r="B792" i="4"/>
  <c r="A792" i="4"/>
  <c r="B791" i="4"/>
  <c r="A791" i="4"/>
  <c r="B790" i="4"/>
  <c r="A790" i="4"/>
  <c r="B789" i="4"/>
  <c r="A789" i="4"/>
  <c r="B788" i="4"/>
  <c r="A788" i="4"/>
  <c r="B787" i="4"/>
  <c r="A787" i="4"/>
  <c r="B786" i="4"/>
  <c r="A786" i="4"/>
  <c r="B785" i="4"/>
  <c r="A785" i="4"/>
  <c r="B784" i="4"/>
  <c r="A784" i="4"/>
  <c r="B783" i="4"/>
  <c r="A783" i="4"/>
  <c r="B782" i="4"/>
  <c r="A782" i="4"/>
  <c r="B781" i="4"/>
  <c r="A781" i="4"/>
  <c r="B780" i="4"/>
  <c r="A780" i="4"/>
  <c r="B779" i="4"/>
  <c r="A779" i="4"/>
  <c r="B778" i="4"/>
  <c r="A778" i="4"/>
  <c r="B777" i="4"/>
  <c r="A777" i="4"/>
  <c r="B776" i="4"/>
  <c r="A776" i="4"/>
  <c r="B775" i="4"/>
  <c r="A775" i="4"/>
  <c r="B774" i="4"/>
  <c r="A774" i="4"/>
  <c r="B773" i="4"/>
  <c r="A773" i="4"/>
  <c r="B772" i="4"/>
  <c r="A772" i="4"/>
  <c r="B771" i="4"/>
  <c r="A771" i="4"/>
  <c r="B770" i="4"/>
  <c r="A770" i="4"/>
  <c r="B769" i="4"/>
  <c r="A769" i="4"/>
  <c r="B768" i="4"/>
  <c r="A768" i="4"/>
  <c r="B767" i="4"/>
  <c r="A767" i="4"/>
  <c r="B766" i="4"/>
  <c r="A766" i="4"/>
  <c r="B765" i="4"/>
  <c r="A765" i="4"/>
  <c r="B764" i="4"/>
  <c r="A764" i="4"/>
  <c r="B763" i="4"/>
  <c r="A763" i="4"/>
  <c r="B762" i="4"/>
  <c r="A762" i="4"/>
  <c r="B761" i="4"/>
  <c r="A761" i="4"/>
  <c r="B760" i="4"/>
  <c r="A760" i="4"/>
  <c r="B759" i="4"/>
  <c r="A759" i="4"/>
  <c r="B758" i="4"/>
  <c r="A758" i="4"/>
  <c r="B757" i="4"/>
  <c r="A757" i="4"/>
  <c r="B756" i="4"/>
  <c r="A756" i="4"/>
  <c r="B755" i="4"/>
  <c r="A755" i="4"/>
  <c r="B754" i="4"/>
  <c r="A754" i="4"/>
  <c r="B753" i="4"/>
  <c r="A753" i="4"/>
  <c r="B752" i="4"/>
  <c r="A752" i="4"/>
  <c r="B751" i="4"/>
  <c r="A751" i="4"/>
  <c r="B750" i="4"/>
  <c r="A750" i="4"/>
  <c r="B749" i="4"/>
  <c r="A749" i="4"/>
  <c r="B748" i="4"/>
  <c r="A748" i="4"/>
  <c r="B747" i="4"/>
  <c r="A747" i="4"/>
  <c r="B746" i="4"/>
  <c r="A746" i="4"/>
  <c r="B745" i="4"/>
  <c r="A745" i="4"/>
  <c r="B744" i="4"/>
  <c r="A744" i="4"/>
  <c r="B743" i="4"/>
  <c r="A743" i="4"/>
  <c r="B742" i="4"/>
  <c r="A742" i="4"/>
  <c r="B741" i="4"/>
  <c r="A741" i="4"/>
  <c r="B740" i="4"/>
  <c r="A740" i="4"/>
  <c r="B739" i="4"/>
  <c r="A739" i="4"/>
  <c r="B738" i="4"/>
  <c r="A738" i="4"/>
  <c r="B737" i="4"/>
  <c r="A737" i="4"/>
  <c r="B736" i="4"/>
  <c r="A736" i="4"/>
  <c r="B735" i="4"/>
  <c r="A735" i="4"/>
  <c r="B734" i="4"/>
  <c r="A734" i="4"/>
  <c r="B733" i="4"/>
  <c r="A733" i="4"/>
  <c r="B732" i="4"/>
  <c r="A732" i="4"/>
  <c r="B731" i="4"/>
  <c r="A731" i="4"/>
  <c r="B730" i="4"/>
  <c r="A730" i="4"/>
  <c r="B729" i="4"/>
  <c r="A729" i="4"/>
  <c r="B728" i="4"/>
  <c r="A728" i="4"/>
  <c r="B727" i="4"/>
  <c r="A727" i="4"/>
  <c r="B726" i="4"/>
  <c r="A726" i="4"/>
  <c r="B725" i="4"/>
  <c r="A725" i="4"/>
  <c r="B724" i="4"/>
  <c r="A724" i="4"/>
  <c r="B723" i="4"/>
  <c r="A723" i="4"/>
  <c r="B722" i="4"/>
  <c r="A722" i="4"/>
  <c r="B721" i="4"/>
  <c r="A721" i="4"/>
  <c r="B720" i="4"/>
  <c r="A720" i="4"/>
  <c r="B719" i="4"/>
  <c r="A719" i="4"/>
  <c r="B718" i="4"/>
  <c r="A718" i="4"/>
  <c r="B717" i="4"/>
  <c r="A717" i="4"/>
  <c r="B716" i="4"/>
  <c r="A716" i="4"/>
  <c r="B715" i="4"/>
  <c r="A715" i="4"/>
  <c r="B714" i="4"/>
  <c r="A714" i="4"/>
  <c r="B713" i="4"/>
  <c r="A713" i="4"/>
  <c r="B712" i="4"/>
  <c r="A712" i="4"/>
  <c r="B711" i="4"/>
  <c r="A711" i="4"/>
  <c r="B710" i="4"/>
  <c r="A710" i="4"/>
  <c r="B709" i="4"/>
  <c r="A709" i="4"/>
  <c r="B708" i="4"/>
  <c r="A708" i="4"/>
  <c r="B707" i="4"/>
  <c r="A707" i="4"/>
  <c r="B706" i="4"/>
  <c r="A706" i="4"/>
  <c r="B705" i="4"/>
  <c r="A705" i="4"/>
  <c r="B704" i="4"/>
  <c r="A704" i="4"/>
  <c r="B703" i="4"/>
  <c r="A703" i="4"/>
  <c r="B702" i="4"/>
  <c r="A702" i="4"/>
  <c r="B701" i="4"/>
  <c r="A701" i="4"/>
  <c r="B700" i="4"/>
  <c r="A700" i="4"/>
  <c r="B699" i="4"/>
  <c r="A699" i="4"/>
  <c r="B698" i="4"/>
  <c r="A698" i="4"/>
  <c r="B697" i="4"/>
  <c r="A697" i="4"/>
  <c r="B696" i="4"/>
  <c r="A696" i="4"/>
  <c r="B695" i="4"/>
  <c r="A695" i="4"/>
  <c r="B694" i="4"/>
  <c r="A694" i="4"/>
  <c r="B693" i="4"/>
  <c r="A693" i="4"/>
  <c r="B692" i="4"/>
  <c r="A692" i="4"/>
  <c r="B691" i="4"/>
  <c r="A691" i="4"/>
  <c r="B690" i="4"/>
  <c r="A690" i="4"/>
  <c r="B689" i="4"/>
  <c r="A689" i="4"/>
  <c r="B688" i="4"/>
  <c r="A688" i="4"/>
  <c r="B687" i="4"/>
  <c r="A687" i="4"/>
  <c r="B686" i="4"/>
  <c r="A686" i="4"/>
  <c r="B685" i="4"/>
  <c r="A685" i="4"/>
  <c r="B684" i="4"/>
  <c r="A684" i="4"/>
  <c r="B683" i="4"/>
  <c r="A683" i="4"/>
  <c r="B682" i="4"/>
  <c r="A682" i="4"/>
  <c r="B681" i="4"/>
  <c r="A681" i="4"/>
  <c r="B680" i="4"/>
  <c r="A680" i="4"/>
  <c r="B679" i="4"/>
  <c r="A679" i="4"/>
  <c r="B678" i="4"/>
  <c r="A678" i="4"/>
  <c r="B677" i="4"/>
  <c r="A677" i="4"/>
  <c r="B676" i="4"/>
  <c r="A676" i="4"/>
  <c r="B675" i="4"/>
  <c r="A675" i="4"/>
  <c r="B674" i="4"/>
  <c r="A674" i="4"/>
  <c r="B673" i="4"/>
  <c r="A673" i="4"/>
  <c r="B672" i="4"/>
  <c r="A672" i="4"/>
  <c r="B671" i="4"/>
  <c r="A671" i="4"/>
  <c r="B670" i="4"/>
  <c r="A670" i="4"/>
  <c r="B669" i="4"/>
  <c r="A669" i="4"/>
  <c r="B668" i="4"/>
  <c r="A668" i="4"/>
  <c r="B667" i="4"/>
  <c r="A667" i="4"/>
  <c r="B666" i="4"/>
  <c r="A666" i="4"/>
  <c r="B665" i="4"/>
  <c r="A665" i="4"/>
  <c r="B664" i="4"/>
  <c r="A664" i="4"/>
  <c r="B663" i="4"/>
  <c r="A663" i="4"/>
  <c r="B662" i="4"/>
  <c r="A662" i="4"/>
  <c r="B661" i="4"/>
  <c r="A661" i="4"/>
  <c r="B660" i="4"/>
  <c r="A660" i="4"/>
  <c r="B659" i="4"/>
  <c r="A659" i="4"/>
  <c r="B658" i="4"/>
  <c r="A658" i="4"/>
  <c r="B657" i="4"/>
  <c r="A657" i="4"/>
  <c r="B656" i="4"/>
  <c r="A656" i="4"/>
  <c r="B655" i="4"/>
  <c r="A655" i="4"/>
  <c r="B654" i="4"/>
  <c r="A654" i="4"/>
  <c r="B653" i="4"/>
  <c r="A653" i="4"/>
  <c r="B652" i="4"/>
  <c r="A652" i="4"/>
  <c r="B651" i="4"/>
  <c r="A651" i="4"/>
  <c r="B650" i="4"/>
  <c r="A650" i="4"/>
  <c r="B649" i="4"/>
  <c r="A649" i="4"/>
  <c r="B648" i="4"/>
  <c r="A648" i="4"/>
  <c r="B647" i="4"/>
  <c r="A647" i="4"/>
  <c r="B646" i="4"/>
  <c r="A646" i="4"/>
  <c r="B645" i="4"/>
  <c r="A645" i="4"/>
  <c r="B644" i="4"/>
  <c r="A644" i="4"/>
  <c r="B643" i="4"/>
  <c r="A643" i="4"/>
  <c r="B642" i="4"/>
  <c r="A642" i="4"/>
  <c r="B641" i="4"/>
  <c r="A641" i="4"/>
  <c r="B640" i="4"/>
  <c r="A640" i="4"/>
  <c r="B639" i="4"/>
  <c r="A639" i="4"/>
  <c r="B638" i="4"/>
  <c r="A638" i="4"/>
  <c r="B637" i="4"/>
  <c r="A637" i="4"/>
  <c r="B636" i="4"/>
  <c r="A636" i="4"/>
  <c r="B635" i="4"/>
  <c r="A635" i="4"/>
  <c r="B634" i="4"/>
  <c r="A634" i="4"/>
  <c r="B633" i="4"/>
  <c r="A633" i="4"/>
  <c r="B632" i="4"/>
  <c r="A632" i="4"/>
  <c r="B631" i="4"/>
  <c r="A631" i="4"/>
  <c r="B630" i="4"/>
  <c r="A630" i="4"/>
  <c r="B629" i="4"/>
  <c r="A629" i="4"/>
  <c r="B628" i="4"/>
  <c r="A628" i="4"/>
  <c r="B627" i="4"/>
  <c r="A627" i="4"/>
  <c r="B626" i="4"/>
  <c r="A626" i="4"/>
  <c r="B625" i="4"/>
  <c r="A625" i="4"/>
  <c r="B624" i="4"/>
  <c r="A624" i="4"/>
  <c r="B623" i="4"/>
  <c r="A623" i="4"/>
  <c r="B622" i="4"/>
  <c r="A622" i="4"/>
  <c r="B621" i="4"/>
  <c r="A621" i="4"/>
  <c r="B620" i="4"/>
  <c r="A620" i="4"/>
  <c r="B619" i="4"/>
  <c r="A619" i="4"/>
  <c r="B618" i="4"/>
  <c r="A618" i="4"/>
  <c r="B617" i="4"/>
  <c r="A617" i="4"/>
  <c r="B616" i="4"/>
  <c r="A616" i="4"/>
  <c r="B615" i="4"/>
  <c r="A615" i="4"/>
  <c r="B614" i="4"/>
  <c r="A614" i="4"/>
  <c r="B613" i="4"/>
  <c r="A613" i="4"/>
  <c r="B612" i="4"/>
  <c r="A612" i="4"/>
  <c r="B611" i="4"/>
  <c r="A611" i="4"/>
  <c r="B610" i="4"/>
  <c r="A610" i="4"/>
  <c r="B609" i="4"/>
  <c r="A609" i="4"/>
  <c r="B608" i="4"/>
  <c r="A608" i="4"/>
  <c r="B607" i="4"/>
  <c r="A607" i="4"/>
  <c r="B606" i="4"/>
  <c r="A606" i="4"/>
  <c r="B605" i="4"/>
  <c r="A605" i="4"/>
  <c r="B604" i="4"/>
  <c r="A604" i="4"/>
  <c r="B603" i="4"/>
  <c r="A603" i="4"/>
  <c r="B602" i="4"/>
  <c r="A602" i="4"/>
  <c r="B601" i="4"/>
  <c r="A601" i="4"/>
  <c r="B600" i="4"/>
  <c r="A600" i="4"/>
  <c r="B599" i="4"/>
  <c r="A599" i="4"/>
  <c r="B598" i="4"/>
  <c r="A598" i="4"/>
  <c r="B597" i="4"/>
  <c r="A597" i="4"/>
  <c r="B596" i="4"/>
  <c r="A596" i="4"/>
  <c r="B595" i="4"/>
  <c r="A595" i="4"/>
  <c r="B594" i="4"/>
  <c r="A594" i="4"/>
  <c r="B593" i="4"/>
  <c r="A593" i="4"/>
  <c r="B592" i="4"/>
  <c r="A592" i="4"/>
  <c r="B591" i="4"/>
  <c r="A591" i="4"/>
  <c r="B590" i="4"/>
  <c r="A590" i="4"/>
  <c r="B589" i="4"/>
  <c r="A589" i="4"/>
  <c r="B588" i="4"/>
  <c r="A588" i="4"/>
  <c r="B587" i="4"/>
  <c r="A587" i="4"/>
  <c r="B586" i="4"/>
  <c r="A586" i="4"/>
  <c r="B585" i="4"/>
  <c r="A585" i="4"/>
  <c r="B584" i="4"/>
  <c r="A584" i="4"/>
  <c r="B583" i="4"/>
  <c r="A583" i="4"/>
  <c r="B582" i="4"/>
  <c r="A582" i="4"/>
  <c r="B581" i="4"/>
  <c r="A581" i="4"/>
  <c r="B580" i="4"/>
  <c r="A580" i="4"/>
  <c r="B579" i="4"/>
  <c r="A579" i="4"/>
  <c r="B578" i="4"/>
  <c r="A578" i="4"/>
  <c r="B577" i="4"/>
  <c r="A577" i="4"/>
  <c r="B576" i="4"/>
  <c r="A576" i="4"/>
  <c r="B575" i="4"/>
  <c r="A575" i="4"/>
  <c r="B574" i="4"/>
  <c r="A574" i="4"/>
  <c r="B573" i="4"/>
  <c r="A573" i="4"/>
  <c r="B572" i="4"/>
  <c r="A572" i="4"/>
  <c r="B571" i="4"/>
  <c r="A571" i="4"/>
  <c r="B570" i="4"/>
  <c r="A570" i="4"/>
  <c r="B569" i="4"/>
  <c r="A569" i="4"/>
  <c r="B568" i="4"/>
  <c r="A568" i="4"/>
  <c r="B567" i="4"/>
  <c r="A567" i="4"/>
  <c r="B566" i="4"/>
  <c r="A566" i="4"/>
  <c r="B565" i="4"/>
  <c r="A565" i="4"/>
  <c r="B564" i="4"/>
  <c r="A564" i="4"/>
  <c r="B563" i="4"/>
  <c r="A563" i="4"/>
  <c r="B562" i="4"/>
  <c r="A562" i="4"/>
  <c r="B561" i="4"/>
  <c r="A561" i="4"/>
  <c r="B560" i="4"/>
  <c r="A560" i="4"/>
  <c r="B559" i="4"/>
  <c r="A559" i="4"/>
  <c r="B558" i="4"/>
  <c r="A558" i="4"/>
  <c r="B557" i="4"/>
  <c r="A557" i="4"/>
  <c r="B556" i="4"/>
  <c r="A556" i="4"/>
  <c r="B555" i="4"/>
  <c r="A555" i="4"/>
  <c r="B554" i="4"/>
  <c r="A554" i="4"/>
  <c r="B553" i="4"/>
  <c r="A553" i="4"/>
  <c r="B552" i="4"/>
  <c r="A552" i="4"/>
  <c r="B551" i="4"/>
  <c r="A551" i="4"/>
  <c r="B550" i="4"/>
  <c r="A550" i="4"/>
  <c r="B549" i="4"/>
  <c r="A549" i="4"/>
  <c r="B548" i="4"/>
  <c r="A548" i="4"/>
  <c r="B547" i="4"/>
  <c r="A547" i="4"/>
  <c r="B546" i="4"/>
  <c r="A546" i="4"/>
  <c r="B545" i="4"/>
  <c r="A545" i="4"/>
  <c r="B544" i="4"/>
  <c r="A544" i="4"/>
  <c r="B543" i="4"/>
  <c r="A543" i="4"/>
  <c r="B542" i="4"/>
  <c r="A542" i="4"/>
  <c r="B541" i="4"/>
  <c r="A541" i="4"/>
  <c r="B540" i="4"/>
  <c r="A540" i="4"/>
  <c r="B539" i="4"/>
  <c r="A539" i="4"/>
  <c r="B538" i="4"/>
  <c r="A538" i="4"/>
  <c r="B537" i="4"/>
  <c r="A537" i="4"/>
  <c r="B536" i="4"/>
  <c r="A536" i="4"/>
  <c r="B535" i="4"/>
  <c r="A535" i="4"/>
  <c r="B534" i="4"/>
  <c r="A534" i="4"/>
  <c r="B533" i="4"/>
  <c r="A533" i="4"/>
  <c r="B532" i="4"/>
  <c r="A532" i="4"/>
  <c r="B531" i="4"/>
  <c r="A531" i="4"/>
  <c r="B530" i="4"/>
  <c r="A530" i="4"/>
  <c r="B529" i="4"/>
  <c r="A529" i="4"/>
  <c r="B528" i="4"/>
  <c r="A528" i="4"/>
  <c r="B527" i="4"/>
  <c r="A527" i="4"/>
  <c r="B526" i="4"/>
  <c r="A526" i="4"/>
  <c r="B525" i="4"/>
  <c r="A525" i="4"/>
  <c r="B524" i="4"/>
  <c r="A524" i="4"/>
  <c r="B523" i="4"/>
  <c r="A523" i="4"/>
  <c r="B522" i="4"/>
  <c r="A522" i="4"/>
  <c r="B521" i="4"/>
  <c r="A521" i="4"/>
  <c r="B520" i="4"/>
  <c r="A520" i="4"/>
  <c r="B519" i="4"/>
  <c r="A519" i="4"/>
  <c r="B518" i="4"/>
  <c r="A518" i="4"/>
  <c r="B517" i="4"/>
  <c r="A517" i="4"/>
  <c r="B516" i="4"/>
  <c r="A516" i="4"/>
  <c r="B515" i="4"/>
  <c r="A515" i="4"/>
  <c r="B514" i="4"/>
  <c r="A514" i="4"/>
  <c r="B513" i="4"/>
  <c r="A513" i="4"/>
  <c r="B512" i="4"/>
  <c r="A512" i="4"/>
  <c r="B511" i="4"/>
  <c r="A511" i="4"/>
  <c r="B510" i="4"/>
  <c r="A510" i="4"/>
  <c r="B509" i="4"/>
  <c r="A509" i="4"/>
  <c r="B508" i="4"/>
  <c r="A508" i="4"/>
  <c r="B507" i="4"/>
  <c r="A507" i="4"/>
  <c r="B506" i="4"/>
  <c r="A506" i="4"/>
  <c r="B505" i="4"/>
  <c r="A505" i="4"/>
  <c r="B504" i="4"/>
  <c r="A504" i="4"/>
  <c r="B503" i="4"/>
  <c r="A503" i="4"/>
  <c r="B502" i="4"/>
  <c r="A502" i="4"/>
  <c r="B501" i="4"/>
  <c r="A501" i="4"/>
  <c r="B500" i="4"/>
  <c r="A500" i="4"/>
  <c r="B499" i="4"/>
  <c r="A499" i="4"/>
  <c r="B498" i="4"/>
  <c r="A498" i="4"/>
  <c r="B497" i="4"/>
  <c r="A497" i="4"/>
  <c r="B496" i="4"/>
  <c r="A496" i="4"/>
  <c r="B495" i="4"/>
  <c r="A495" i="4"/>
  <c r="B494" i="4"/>
  <c r="A494" i="4"/>
  <c r="B493" i="4"/>
  <c r="A493" i="4"/>
  <c r="B492" i="4"/>
  <c r="A492" i="4"/>
  <c r="B491" i="4"/>
  <c r="A491" i="4"/>
  <c r="B490" i="4"/>
  <c r="A490" i="4"/>
  <c r="B489" i="4"/>
  <c r="A489" i="4"/>
  <c r="B488" i="4"/>
  <c r="A488" i="4"/>
  <c r="B487" i="4"/>
  <c r="A487" i="4"/>
  <c r="B486" i="4"/>
  <c r="A486" i="4"/>
  <c r="B485" i="4"/>
  <c r="A485" i="4"/>
  <c r="B484" i="4"/>
  <c r="A484" i="4"/>
  <c r="B483" i="4"/>
  <c r="A483" i="4"/>
  <c r="B482" i="4"/>
  <c r="A482" i="4"/>
  <c r="B481" i="4"/>
  <c r="A481" i="4"/>
  <c r="B480" i="4"/>
  <c r="A480" i="4"/>
  <c r="B479" i="4"/>
  <c r="A479" i="4"/>
  <c r="B478" i="4"/>
  <c r="A478" i="4"/>
  <c r="B477" i="4"/>
  <c r="A477" i="4"/>
  <c r="B476" i="4"/>
  <c r="A476" i="4"/>
  <c r="B475" i="4"/>
  <c r="A475" i="4"/>
  <c r="B474" i="4"/>
  <c r="A474" i="4"/>
  <c r="B473" i="4"/>
  <c r="A473" i="4"/>
  <c r="B472" i="4"/>
  <c r="A472" i="4"/>
  <c r="B471" i="4"/>
  <c r="A471" i="4"/>
  <c r="B470" i="4"/>
  <c r="A470" i="4"/>
  <c r="B469" i="4"/>
  <c r="A469" i="4"/>
  <c r="B468" i="4"/>
  <c r="A468" i="4"/>
  <c r="B467" i="4"/>
  <c r="A467" i="4"/>
  <c r="B466" i="4"/>
  <c r="A466" i="4"/>
  <c r="B465" i="4"/>
  <c r="A465" i="4"/>
  <c r="B464" i="4"/>
  <c r="A464" i="4"/>
  <c r="B463" i="4"/>
  <c r="A463" i="4"/>
  <c r="B462" i="4"/>
  <c r="A462" i="4"/>
  <c r="B461" i="4"/>
  <c r="A461" i="4"/>
  <c r="B460" i="4"/>
  <c r="A460" i="4"/>
  <c r="B459" i="4"/>
  <c r="A459" i="4"/>
  <c r="B458" i="4"/>
  <c r="A458" i="4"/>
  <c r="B457" i="4"/>
  <c r="A457" i="4"/>
  <c r="B456" i="4"/>
  <c r="A456" i="4"/>
  <c r="B455" i="4"/>
  <c r="A455" i="4"/>
  <c r="B454" i="4"/>
  <c r="A454" i="4"/>
  <c r="B453" i="4"/>
  <c r="A453" i="4"/>
  <c r="B452" i="4"/>
  <c r="A452" i="4"/>
  <c r="B451" i="4"/>
  <c r="A451" i="4"/>
  <c r="B450" i="4"/>
  <c r="A450" i="4"/>
  <c r="B449" i="4"/>
  <c r="A449" i="4"/>
  <c r="B448" i="4"/>
  <c r="A448" i="4"/>
  <c r="B447" i="4"/>
  <c r="A447" i="4"/>
  <c r="B446" i="4"/>
  <c r="A446" i="4"/>
  <c r="B445" i="4"/>
  <c r="A445" i="4"/>
  <c r="B444" i="4"/>
  <c r="A444" i="4"/>
  <c r="B443" i="4"/>
  <c r="A443" i="4"/>
  <c r="B442" i="4"/>
  <c r="A442" i="4"/>
  <c r="B441" i="4"/>
  <c r="A441" i="4"/>
  <c r="B440" i="4"/>
  <c r="A440" i="4"/>
  <c r="B439" i="4"/>
  <c r="A439" i="4"/>
  <c r="B438" i="4"/>
  <c r="A438" i="4"/>
  <c r="B437" i="4"/>
  <c r="A437" i="4"/>
  <c r="B436" i="4"/>
  <c r="A436" i="4"/>
  <c r="B435" i="4"/>
  <c r="A435" i="4"/>
  <c r="B434" i="4"/>
  <c r="A434" i="4"/>
  <c r="B433" i="4"/>
  <c r="A433" i="4"/>
  <c r="B432" i="4"/>
  <c r="A432" i="4"/>
  <c r="B431" i="4"/>
  <c r="A431" i="4"/>
  <c r="B430" i="4"/>
  <c r="A430" i="4"/>
  <c r="B429" i="4"/>
  <c r="A429" i="4"/>
  <c r="B428" i="4"/>
  <c r="A428" i="4"/>
  <c r="B427" i="4"/>
  <c r="A427" i="4"/>
  <c r="B426" i="4"/>
  <c r="A426" i="4"/>
  <c r="B425" i="4"/>
  <c r="A425" i="4"/>
  <c r="B424" i="4"/>
  <c r="A424" i="4"/>
  <c r="B423" i="4"/>
  <c r="A423" i="4"/>
  <c r="B422" i="4"/>
  <c r="A422" i="4"/>
  <c r="B421" i="4"/>
  <c r="A421" i="4"/>
  <c r="B420" i="4"/>
  <c r="A420" i="4"/>
  <c r="B419" i="4"/>
  <c r="A419" i="4"/>
  <c r="B418" i="4"/>
  <c r="A418" i="4"/>
  <c r="B417" i="4"/>
  <c r="A417" i="4"/>
  <c r="B416" i="4"/>
  <c r="A416" i="4"/>
  <c r="B415" i="4"/>
  <c r="A415" i="4"/>
  <c r="B414" i="4"/>
  <c r="A414" i="4"/>
  <c r="B413" i="4"/>
  <c r="A413" i="4"/>
  <c r="B412" i="4"/>
  <c r="A412" i="4"/>
  <c r="B411" i="4"/>
  <c r="A411" i="4"/>
  <c r="B410" i="4"/>
  <c r="A410" i="4"/>
  <c r="B409" i="4"/>
  <c r="A409" i="4"/>
  <c r="B408" i="4"/>
  <c r="A408" i="4"/>
  <c r="B407" i="4"/>
  <c r="A407" i="4"/>
  <c r="B406" i="4"/>
  <c r="A406" i="4"/>
  <c r="B405" i="4"/>
  <c r="A405" i="4"/>
  <c r="B404" i="4"/>
  <c r="A404" i="4"/>
  <c r="B403" i="4"/>
  <c r="A403" i="4"/>
  <c r="B402" i="4"/>
  <c r="A402" i="4"/>
  <c r="B401" i="4"/>
  <c r="A401" i="4"/>
  <c r="B400" i="4"/>
  <c r="A400" i="4"/>
  <c r="B399" i="4"/>
  <c r="A399" i="4"/>
  <c r="B398" i="4"/>
  <c r="A398" i="4"/>
  <c r="B397" i="4"/>
  <c r="A397" i="4"/>
  <c r="B396" i="4"/>
  <c r="A396" i="4"/>
  <c r="B395" i="4"/>
  <c r="A395" i="4"/>
  <c r="B394" i="4"/>
  <c r="A394" i="4"/>
  <c r="B393" i="4"/>
  <c r="A393" i="4"/>
  <c r="B392" i="4"/>
  <c r="A392" i="4"/>
  <c r="B391" i="4"/>
  <c r="A391" i="4"/>
  <c r="B390" i="4"/>
  <c r="A390" i="4"/>
  <c r="B389" i="4"/>
  <c r="A389" i="4"/>
  <c r="B388" i="4"/>
  <c r="A388" i="4"/>
  <c r="B387" i="4"/>
  <c r="A387" i="4"/>
  <c r="B386" i="4"/>
  <c r="A386" i="4"/>
  <c r="B385" i="4"/>
  <c r="A385" i="4"/>
  <c r="B384" i="4"/>
  <c r="A384" i="4"/>
  <c r="B383" i="4"/>
  <c r="A383" i="4"/>
  <c r="B382" i="4"/>
  <c r="A382" i="4"/>
  <c r="B381" i="4"/>
  <c r="A381" i="4"/>
  <c r="B380" i="4"/>
  <c r="A380" i="4"/>
  <c r="B379" i="4"/>
  <c r="A379" i="4"/>
  <c r="B378" i="4"/>
  <c r="A378" i="4"/>
  <c r="B377" i="4"/>
  <c r="A377" i="4"/>
  <c r="B376" i="4"/>
  <c r="A376" i="4"/>
  <c r="B375" i="4"/>
  <c r="A375" i="4"/>
  <c r="B374" i="4"/>
  <c r="A374" i="4"/>
  <c r="B373" i="4"/>
  <c r="A373" i="4"/>
  <c r="B372" i="4"/>
  <c r="A372" i="4"/>
  <c r="B371" i="4"/>
  <c r="A371" i="4"/>
  <c r="B370" i="4"/>
  <c r="A370" i="4"/>
  <c r="B369" i="4"/>
  <c r="A369" i="4"/>
  <c r="B368" i="4"/>
  <c r="A368" i="4"/>
  <c r="B367" i="4"/>
  <c r="A367" i="4"/>
  <c r="B366" i="4"/>
  <c r="A366" i="4"/>
  <c r="B365" i="4"/>
  <c r="A365" i="4"/>
  <c r="B364" i="4"/>
  <c r="A364" i="4"/>
  <c r="B363" i="4"/>
  <c r="A363" i="4"/>
  <c r="B362" i="4"/>
  <c r="A362" i="4"/>
  <c r="B361" i="4"/>
  <c r="A361" i="4"/>
  <c r="B360" i="4"/>
  <c r="A360" i="4"/>
  <c r="B359" i="4"/>
  <c r="A359" i="4"/>
  <c r="B358" i="4"/>
  <c r="A358" i="4"/>
  <c r="B357" i="4"/>
  <c r="A357" i="4"/>
  <c r="B356" i="4"/>
  <c r="A356" i="4"/>
  <c r="B355" i="4"/>
  <c r="A355" i="4"/>
  <c r="B354" i="4"/>
  <c r="A354" i="4"/>
  <c r="B353" i="4"/>
  <c r="A353" i="4"/>
  <c r="B352" i="4"/>
  <c r="A352" i="4"/>
  <c r="B351" i="4"/>
  <c r="A351" i="4"/>
  <c r="B350" i="4"/>
  <c r="A350" i="4"/>
  <c r="B349" i="4"/>
  <c r="A349" i="4"/>
  <c r="B348" i="4"/>
  <c r="A348" i="4"/>
  <c r="B347" i="4"/>
  <c r="A347" i="4"/>
  <c r="B346" i="4"/>
  <c r="A346" i="4"/>
  <c r="B345" i="4"/>
  <c r="A345" i="4"/>
  <c r="B344" i="4"/>
  <c r="A344" i="4"/>
  <c r="B343" i="4"/>
  <c r="A343" i="4"/>
  <c r="B342" i="4"/>
  <c r="A342" i="4"/>
  <c r="B341" i="4"/>
  <c r="A341" i="4"/>
  <c r="B340" i="4"/>
  <c r="A340" i="4"/>
  <c r="B339" i="4"/>
  <c r="A339" i="4"/>
  <c r="B338" i="4"/>
  <c r="A338" i="4"/>
  <c r="B337" i="4"/>
  <c r="A337" i="4"/>
  <c r="B336" i="4"/>
  <c r="A336" i="4"/>
  <c r="B335" i="4"/>
  <c r="A335" i="4"/>
  <c r="B334" i="4"/>
  <c r="A334" i="4"/>
  <c r="B333" i="4"/>
  <c r="A333" i="4"/>
  <c r="B332" i="4"/>
  <c r="A332" i="4"/>
  <c r="B331" i="4"/>
  <c r="A331" i="4"/>
  <c r="B330" i="4"/>
  <c r="A330" i="4"/>
  <c r="B329" i="4"/>
  <c r="A329" i="4"/>
  <c r="B328" i="4"/>
  <c r="A328" i="4"/>
  <c r="B327" i="4"/>
  <c r="A327" i="4"/>
  <c r="B326" i="4"/>
  <c r="A326" i="4"/>
  <c r="B325" i="4"/>
  <c r="A325" i="4"/>
  <c r="B324" i="4"/>
  <c r="A324" i="4"/>
  <c r="B323" i="4"/>
  <c r="A323" i="4"/>
  <c r="B322" i="4"/>
  <c r="A322" i="4"/>
  <c r="B321" i="4"/>
  <c r="A321" i="4"/>
  <c r="B320" i="4"/>
  <c r="A320" i="4"/>
  <c r="B319" i="4"/>
  <c r="A319" i="4"/>
  <c r="B318" i="4"/>
  <c r="A318" i="4"/>
  <c r="B317" i="4"/>
  <c r="A317" i="4"/>
  <c r="B316" i="4"/>
  <c r="A316" i="4"/>
  <c r="B315" i="4"/>
  <c r="A315" i="4"/>
  <c r="B314" i="4"/>
  <c r="A314" i="4"/>
  <c r="B313" i="4"/>
  <c r="A313" i="4"/>
  <c r="B312" i="4"/>
  <c r="A312" i="4"/>
  <c r="B311" i="4"/>
  <c r="A311" i="4"/>
  <c r="B310" i="4"/>
  <c r="A310" i="4"/>
  <c r="B309" i="4"/>
  <c r="A309" i="4"/>
  <c r="B308" i="4"/>
  <c r="A308" i="4"/>
  <c r="B307" i="4"/>
  <c r="A307" i="4"/>
  <c r="B306" i="4"/>
  <c r="A306" i="4"/>
  <c r="B305" i="4"/>
  <c r="A305" i="4"/>
  <c r="B304" i="4"/>
  <c r="A304" i="4"/>
  <c r="B303" i="4"/>
  <c r="A303" i="4"/>
  <c r="B302" i="4"/>
  <c r="A302" i="4"/>
  <c r="B301" i="4"/>
  <c r="A301" i="4"/>
  <c r="B300" i="4"/>
  <c r="A300" i="4"/>
  <c r="B299" i="4"/>
  <c r="A299" i="4"/>
  <c r="B298" i="4"/>
  <c r="A298" i="4"/>
  <c r="B297" i="4"/>
  <c r="A297" i="4"/>
  <c r="B296" i="4"/>
  <c r="A296" i="4"/>
  <c r="B295" i="4"/>
  <c r="A295" i="4"/>
  <c r="B294" i="4"/>
  <c r="A294" i="4"/>
  <c r="B293" i="4"/>
  <c r="A293" i="4"/>
  <c r="B292" i="4"/>
  <c r="A292" i="4"/>
  <c r="B291" i="4"/>
  <c r="A291" i="4"/>
  <c r="B290" i="4"/>
  <c r="A290" i="4"/>
  <c r="B289" i="4"/>
  <c r="A289" i="4"/>
  <c r="B288" i="4"/>
  <c r="A288" i="4"/>
  <c r="B287" i="4"/>
  <c r="A287" i="4"/>
  <c r="B286" i="4"/>
  <c r="A286" i="4"/>
  <c r="B285" i="4"/>
  <c r="A285" i="4"/>
  <c r="B284" i="4"/>
  <c r="A284" i="4"/>
  <c r="B283" i="4"/>
  <c r="A283" i="4"/>
  <c r="B282" i="4"/>
  <c r="A282" i="4"/>
  <c r="B281" i="4"/>
  <c r="A281" i="4"/>
  <c r="B280" i="4"/>
  <c r="A280" i="4"/>
  <c r="B279" i="4"/>
  <c r="A279" i="4"/>
  <c r="B278" i="4"/>
  <c r="A278" i="4"/>
  <c r="B277" i="4"/>
  <c r="A277" i="4"/>
  <c r="B276" i="4"/>
  <c r="A276" i="4"/>
  <c r="B275" i="4"/>
  <c r="A275" i="4"/>
  <c r="B274" i="4"/>
  <c r="A274" i="4"/>
  <c r="B273" i="4"/>
  <c r="A273" i="4"/>
  <c r="B272" i="4"/>
  <c r="A272" i="4"/>
  <c r="B271" i="4"/>
  <c r="A271" i="4"/>
  <c r="B270" i="4"/>
  <c r="A270" i="4"/>
  <c r="B269" i="4"/>
  <c r="A269" i="4"/>
  <c r="B268" i="4"/>
  <c r="A268" i="4"/>
  <c r="B267" i="4"/>
  <c r="A267" i="4"/>
  <c r="B266" i="4"/>
  <c r="A266" i="4"/>
  <c r="B265" i="4"/>
  <c r="A265" i="4"/>
  <c r="B264" i="4"/>
  <c r="A264" i="4"/>
  <c r="B263" i="4"/>
  <c r="A263" i="4"/>
  <c r="B262" i="4"/>
  <c r="A262" i="4"/>
  <c r="B261" i="4"/>
  <c r="A261" i="4"/>
  <c r="B260" i="4"/>
  <c r="A260" i="4"/>
  <c r="B259" i="4"/>
  <c r="A259" i="4"/>
  <c r="B258" i="4"/>
  <c r="A258" i="4"/>
  <c r="B257" i="4"/>
  <c r="A257" i="4"/>
  <c r="B256" i="4"/>
  <c r="A256" i="4"/>
  <c r="B255" i="4"/>
  <c r="A255" i="4"/>
  <c r="B254" i="4"/>
  <c r="A254" i="4"/>
  <c r="B253" i="4"/>
  <c r="A253" i="4"/>
  <c r="B252" i="4"/>
  <c r="A252" i="4"/>
  <c r="B251" i="4"/>
  <c r="A251" i="4"/>
  <c r="B250" i="4"/>
  <c r="A250" i="4"/>
  <c r="B249" i="4"/>
  <c r="A249" i="4"/>
  <c r="B248" i="4"/>
  <c r="A248" i="4"/>
  <c r="B247" i="4"/>
  <c r="A247" i="4"/>
  <c r="B246" i="4"/>
  <c r="A246" i="4"/>
  <c r="B245" i="4"/>
  <c r="A245" i="4"/>
  <c r="B244" i="4"/>
  <c r="A244" i="4"/>
  <c r="B243" i="4"/>
  <c r="A243" i="4"/>
  <c r="B242" i="4"/>
  <c r="A242" i="4"/>
  <c r="B241" i="4"/>
  <c r="A241" i="4"/>
  <c r="B240" i="4"/>
  <c r="A240" i="4"/>
  <c r="B239" i="4"/>
  <c r="A239" i="4"/>
  <c r="B238" i="4"/>
  <c r="A238" i="4"/>
  <c r="B237" i="4"/>
  <c r="A237" i="4"/>
  <c r="B236" i="4"/>
  <c r="A236" i="4"/>
  <c r="B235" i="4"/>
  <c r="A235" i="4"/>
  <c r="B234" i="4"/>
  <c r="A234" i="4"/>
  <c r="B233" i="4"/>
  <c r="A233" i="4"/>
  <c r="B232" i="4"/>
  <c r="A232" i="4"/>
  <c r="B231" i="4"/>
  <c r="A231" i="4"/>
  <c r="B230" i="4"/>
  <c r="A230" i="4"/>
  <c r="B229" i="4"/>
  <c r="A229" i="4"/>
  <c r="B228" i="4"/>
  <c r="A228" i="4"/>
  <c r="B227" i="4"/>
  <c r="A227" i="4"/>
  <c r="B226" i="4"/>
  <c r="A226" i="4"/>
  <c r="B225" i="4"/>
  <c r="A225" i="4"/>
  <c r="B224" i="4"/>
  <c r="A224" i="4"/>
  <c r="B223" i="4"/>
  <c r="A223" i="4"/>
  <c r="B222" i="4"/>
  <c r="A222" i="4"/>
  <c r="B221" i="4"/>
  <c r="A221" i="4"/>
  <c r="B220" i="4"/>
  <c r="A220" i="4"/>
  <c r="B219" i="4"/>
  <c r="A219" i="4"/>
  <c r="B218" i="4"/>
  <c r="A218" i="4"/>
  <c r="B217" i="4"/>
  <c r="A217" i="4"/>
  <c r="B216" i="4"/>
  <c r="A216" i="4"/>
  <c r="B215" i="4"/>
  <c r="A215" i="4"/>
  <c r="B214" i="4"/>
  <c r="A214" i="4"/>
  <c r="B213" i="4"/>
  <c r="A213" i="4"/>
  <c r="B212" i="4"/>
  <c r="A212" i="4"/>
  <c r="B211" i="4"/>
  <c r="A211" i="4"/>
  <c r="B210" i="4"/>
  <c r="A210" i="4"/>
  <c r="B209" i="4"/>
  <c r="A209" i="4"/>
  <c r="B208" i="4"/>
  <c r="A208" i="4"/>
  <c r="B207" i="4"/>
  <c r="A207" i="4"/>
  <c r="B206" i="4"/>
  <c r="A206" i="4"/>
  <c r="B205" i="4"/>
  <c r="A205" i="4"/>
  <c r="B204" i="4"/>
  <c r="A204" i="4"/>
  <c r="B203" i="4"/>
  <c r="A203" i="4"/>
  <c r="B202" i="4"/>
  <c r="A202" i="4"/>
  <c r="B201" i="4"/>
  <c r="A201" i="4"/>
  <c r="B200" i="4"/>
  <c r="A200" i="4"/>
  <c r="B199" i="4"/>
  <c r="A199" i="4"/>
  <c r="B198" i="4"/>
  <c r="A198" i="4"/>
  <c r="B197" i="4"/>
  <c r="A197" i="4"/>
  <c r="B196" i="4"/>
  <c r="A196" i="4"/>
  <c r="B195" i="4"/>
  <c r="A195" i="4"/>
  <c r="B194" i="4"/>
  <c r="A194" i="4"/>
  <c r="B193" i="4"/>
  <c r="A193" i="4"/>
  <c r="B192" i="4"/>
  <c r="A192" i="4"/>
  <c r="B191" i="4"/>
  <c r="A191" i="4"/>
  <c r="B190" i="4"/>
  <c r="A190" i="4"/>
  <c r="B189" i="4"/>
  <c r="A189" i="4"/>
  <c r="B188" i="4"/>
  <c r="A188" i="4"/>
  <c r="B187" i="4"/>
  <c r="A187" i="4"/>
  <c r="B186" i="4"/>
  <c r="A186" i="4"/>
  <c r="B185" i="4"/>
  <c r="A185" i="4"/>
  <c r="B184" i="4"/>
  <c r="A184" i="4"/>
  <c r="B183" i="4"/>
  <c r="A183" i="4"/>
  <c r="B182" i="4"/>
  <c r="A182" i="4"/>
  <c r="B181" i="4"/>
  <c r="A181" i="4"/>
  <c r="B180" i="4"/>
  <c r="A180" i="4"/>
  <c r="B179" i="4"/>
  <c r="A179" i="4"/>
  <c r="B178" i="4"/>
  <c r="A178" i="4"/>
  <c r="B177" i="4"/>
  <c r="A177" i="4"/>
  <c r="B176" i="4"/>
  <c r="A176" i="4"/>
  <c r="B175" i="4"/>
  <c r="A175" i="4"/>
  <c r="B174" i="4"/>
  <c r="A174" i="4"/>
  <c r="B173" i="4"/>
  <c r="A173" i="4"/>
  <c r="B172" i="4"/>
  <c r="A172" i="4"/>
  <c r="B171" i="4"/>
  <c r="A171" i="4"/>
  <c r="B170" i="4"/>
  <c r="A170" i="4"/>
  <c r="B169" i="4"/>
  <c r="A169" i="4"/>
  <c r="B168" i="4"/>
  <c r="A168" i="4"/>
  <c r="B167" i="4"/>
  <c r="A167" i="4"/>
  <c r="B166" i="4"/>
  <c r="A166" i="4"/>
  <c r="B165" i="4"/>
  <c r="A165" i="4"/>
  <c r="B164" i="4"/>
  <c r="A164" i="4"/>
  <c r="B163" i="4"/>
  <c r="A163" i="4"/>
  <c r="B162" i="4"/>
  <c r="A162" i="4"/>
  <c r="B161" i="4"/>
  <c r="A161" i="4"/>
  <c r="B160" i="4"/>
  <c r="A160" i="4"/>
  <c r="B159" i="4"/>
  <c r="A159" i="4"/>
  <c r="B158" i="4"/>
  <c r="A158" i="4"/>
  <c r="B157" i="4"/>
  <c r="A157" i="4"/>
  <c r="B156" i="4"/>
  <c r="A156" i="4"/>
  <c r="B155" i="4"/>
  <c r="A155" i="4"/>
  <c r="B154" i="4"/>
  <c r="A154" i="4"/>
  <c r="B153" i="4"/>
  <c r="A153" i="4"/>
  <c r="B152" i="4"/>
  <c r="A152" i="4"/>
  <c r="B151" i="4"/>
  <c r="A151" i="4"/>
  <c r="B150" i="4"/>
  <c r="A150" i="4"/>
  <c r="B149" i="4"/>
  <c r="A149" i="4"/>
  <c r="B148" i="4"/>
  <c r="A148" i="4"/>
  <c r="B147" i="4"/>
  <c r="A147" i="4"/>
  <c r="B146" i="4"/>
  <c r="A146" i="4"/>
  <c r="B145" i="4"/>
  <c r="A145" i="4"/>
  <c r="B144" i="4"/>
  <c r="A144" i="4"/>
  <c r="B143" i="4"/>
  <c r="A143" i="4"/>
  <c r="B142" i="4"/>
  <c r="A142" i="4"/>
  <c r="B141" i="4"/>
  <c r="A141" i="4"/>
  <c r="B140" i="4"/>
  <c r="A140" i="4"/>
  <c r="B139" i="4"/>
  <c r="A139" i="4"/>
  <c r="B138" i="4"/>
  <c r="A138" i="4"/>
  <c r="B137" i="4"/>
  <c r="A137" i="4"/>
  <c r="B136" i="4"/>
  <c r="A136" i="4"/>
  <c r="B135" i="4"/>
  <c r="A135" i="4"/>
  <c r="B134" i="4"/>
  <c r="A134" i="4"/>
  <c r="B133" i="4"/>
  <c r="A133" i="4"/>
  <c r="B132" i="4"/>
  <c r="A132" i="4"/>
  <c r="B131" i="4"/>
  <c r="A131" i="4"/>
  <c r="B130" i="4"/>
  <c r="A130" i="4"/>
  <c r="B129" i="4"/>
  <c r="A129" i="4"/>
  <c r="B128" i="4"/>
  <c r="A128" i="4"/>
  <c r="B127" i="4"/>
  <c r="A127" i="4"/>
  <c r="B126" i="4"/>
  <c r="A126" i="4"/>
  <c r="B125" i="4"/>
  <c r="A125" i="4"/>
  <c r="B124" i="4"/>
  <c r="A124" i="4"/>
  <c r="B123" i="4"/>
  <c r="A123" i="4"/>
  <c r="B122" i="4"/>
  <c r="A122" i="4"/>
  <c r="B121" i="4"/>
  <c r="A121" i="4"/>
  <c r="B120" i="4"/>
  <c r="A120" i="4"/>
  <c r="B119" i="4"/>
  <c r="A119" i="4"/>
  <c r="B118" i="4"/>
  <c r="A118" i="4"/>
  <c r="B117" i="4"/>
  <c r="A117" i="4"/>
  <c r="B116" i="4"/>
  <c r="A116" i="4"/>
  <c r="B115" i="4"/>
  <c r="A115" i="4"/>
  <c r="B114" i="4"/>
  <c r="A114" i="4"/>
  <c r="B113" i="4"/>
  <c r="A113" i="4"/>
  <c r="B112" i="4"/>
  <c r="A112" i="4"/>
  <c r="B111" i="4"/>
  <c r="A111" i="4"/>
  <c r="B110" i="4"/>
  <c r="A110" i="4"/>
  <c r="B109" i="4"/>
  <c r="A109" i="4"/>
  <c r="B108" i="4"/>
  <c r="A108" i="4"/>
  <c r="B107" i="4"/>
  <c r="A107" i="4"/>
  <c r="B106" i="4"/>
  <c r="A106" i="4"/>
  <c r="B105" i="4"/>
  <c r="A105" i="4"/>
  <c r="B104" i="4"/>
  <c r="A104" i="4"/>
  <c r="B103" i="4"/>
  <c r="A103" i="4"/>
  <c r="B102" i="4"/>
  <c r="A102" i="4"/>
  <c r="B101" i="4"/>
  <c r="A101" i="4"/>
  <c r="B100" i="4"/>
  <c r="A100" i="4"/>
  <c r="B99" i="4"/>
  <c r="A99" i="4"/>
  <c r="B98" i="4"/>
  <c r="A98" i="4"/>
  <c r="B97" i="4"/>
  <c r="A97" i="4"/>
  <c r="B96" i="4"/>
  <c r="A96" i="4"/>
  <c r="B95" i="4"/>
  <c r="A95" i="4"/>
  <c r="B94" i="4"/>
  <c r="A94" i="4"/>
  <c r="B93" i="4"/>
  <c r="A93" i="4"/>
  <c r="B92" i="4"/>
  <c r="A92" i="4"/>
  <c r="B91" i="4"/>
  <c r="A91" i="4"/>
  <c r="B90" i="4"/>
  <c r="A90" i="4"/>
  <c r="B89" i="4"/>
  <c r="A89" i="4"/>
  <c r="B88" i="4"/>
  <c r="A88" i="4"/>
  <c r="B87" i="4"/>
  <c r="A87" i="4"/>
  <c r="B86" i="4"/>
  <c r="A86" i="4"/>
  <c r="B85" i="4"/>
  <c r="A85" i="4"/>
  <c r="B84" i="4"/>
  <c r="A84" i="4"/>
  <c r="B83" i="4"/>
  <c r="A83" i="4"/>
  <c r="B82" i="4"/>
  <c r="A82" i="4"/>
  <c r="B81" i="4"/>
  <c r="A81" i="4"/>
  <c r="B80" i="4"/>
  <c r="A80" i="4"/>
  <c r="B79" i="4"/>
  <c r="A79" i="4"/>
  <c r="B78" i="4"/>
  <c r="A78" i="4"/>
  <c r="B77" i="4"/>
  <c r="A77" i="4"/>
  <c r="B76" i="4"/>
  <c r="A76" i="4"/>
  <c r="B75" i="4"/>
  <c r="A75" i="4"/>
  <c r="B74" i="4"/>
  <c r="A74" i="4"/>
  <c r="B73" i="4"/>
  <c r="A73" i="4"/>
  <c r="B72" i="4"/>
  <c r="A72" i="4"/>
  <c r="B71" i="4"/>
  <c r="A71" i="4"/>
  <c r="B70" i="4"/>
  <c r="A70" i="4"/>
  <c r="B69" i="4"/>
  <c r="A69" i="4"/>
  <c r="B68" i="4"/>
  <c r="A68" i="4"/>
  <c r="B67" i="4"/>
  <c r="A67" i="4"/>
  <c r="B66" i="4"/>
  <c r="A66" i="4"/>
  <c r="B65" i="4"/>
  <c r="A65" i="4"/>
  <c r="B64" i="4"/>
  <c r="A64" i="4"/>
  <c r="B63" i="4"/>
  <c r="A63" i="4"/>
  <c r="B62" i="4"/>
  <c r="A62" i="4"/>
  <c r="B61" i="4"/>
  <c r="A61" i="4"/>
  <c r="B60" i="4"/>
  <c r="A60" i="4"/>
  <c r="B59" i="4"/>
  <c r="A59" i="4"/>
  <c r="B58" i="4"/>
  <c r="A58" i="4"/>
  <c r="B57" i="4"/>
  <c r="A57" i="4"/>
  <c r="B56" i="4"/>
  <c r="A56" i="4"/>
  <c r="B55" i="4"/>
  <c r="A55" i="4"/>
  <c r="B54" i="4"/>
  <c r="A54" i="4"/>
  <c r="B53" i="4"/>
  <c r="A53" i="4"/>
  <c r="B52" i="4"/>
  <c r="A52" i="4"/>
  <c r="B51" i="4"/>
  <c r="A51" i="4"/>
  <c r="B50" i="4"/>
  <c r="A50" i="4"/>
  <c r="B49" i="4"/>
  <c r="A49" i="4"/>
  <c r="B48" i="4"/>
  <c r="A48" i="4"/>
  <c r="B47" i="4"/>
  <c r="A47" i="4"/>
  <c r="B46" i="4"/>
  <c r="A46" i="4"/>
  <c r="B45" i="4"/>
  <c r="A45" i="4"/>
  <c r="B44" i="4"/>
  <c r="A44" i="4"/>
  <c r="B43" i="4"/>
  <c r="A43" i="4"/>
  <c r="B42" i="4"/>
  <c r="A42" i="4"/>
  <c r="B41" i="4"/>
  <c r="A41" i="4"/>
  <c r="B40" i="4"/>
  <c r="A40" i="4"/>
  <c r="B39" i="4"/>
  <c r="A39" i="4"/>
  <c r="B38" i="4"/>
  <c r="A38" i="4"/>
  <c r="B37" i="4"/>
  <c r="A37" i="4"/>
  <c r="B36" i="4"/>
  <c r="A36" i="4"/>
  <c r="B35" i="4"/>
  <c r="A35" i="4"/>
  <c r="B34" i="4"/>
  <c r="A34" i="4"/>
  <c r="B33" i="4"/>
  <c r="A33" i="4"/>
  <c r="B32" i="4"/>
  <c r="A32" i="4"/>
  <c r="B31" i="4"/>
  <c r="A31" i="4"/>
  <c r="B30" i="4"/>
  <c r="A30" i="4"/>
  <c r="B29" i="4"/>
  <c r="A29" i="4"/>
  <c r="B28" i="4"/>
  <c r="A28" i="4"/>
  <c r="B27" i="4"/>
  <c r="A27" i="4"/>
  <c r="B26" i="4"/>
  <c r="A26" i="4"/>
  <c r="B25" i="4"/>
  <c r="A25" i="4"/>
  <c r="B24" i="4"/>
  <c r="A24" i="4"/>
  <c r="B23" i="4"/>
  <c r="A23" i="4"/>
  <c r="B22" i="4"/>
  <c r="A22" i="4"/>
  <c r="B21" i="4"/>
  <c r="A21" i="4"/>
  <c r="B20" i="4"/>
  <c r="A20" i="4"/>
  <c r="B19" i="4"/>
  <c r="A19" i="4"/>
  <c r="B18" i="4"/>
  <c r="A18" i="4"/>
  <c r="B17" i="4"/>
  <c r="A17" i="4"/>
  <c r="B16" i="4"/>
  <c r="A16" i="4"/>
  <c r="B15" i="4"/>
  <c r="A15" i="4"/>
  <c r="B14" i="4"/>
  <c r="A14" i="4"/>
  <c r="B13" i="4"/>
  <c r="A13" i="4"/>
  <c r="B12" i="4"/>
  <c r="A12" i="4"/>
  <c r="B11" i="4"/>
  <c r="A11" i="4"/>
  <c r="B10" i="4"/>
  <c r="A10" i="4"/>
  <c r="B9" i="4"/>
  <c r="A9" i="4"/>
  <c r="B8" i="4"/>
  <c r="A8" i="4"/>
  <c r="B7" i="4"/>
  <c r="A7" i="4"/>
  <c r="B6" i="4"/>
  <c r="A6" i="4"/>
  <c r="B5" i="4"/>
  <c r="A5" i="4"/>
  <c r="B4" i="4"/>
  <c r="A4" i="4"/>
  <c r="B3" i="4"/>
  <c r="A3" i="4"/>
  <c r="B2" i="4"/>
  <c r="A2" i="4"/>
  <c r="B7768" i="3"/>
  <c r="A7768" i="3"/>
  <c r="B7767" i="3"/>
  <c r="A7767" i="3"/>
  <c r="B7766" i="3"/>
  <c r="A7766" i="3"/>
  <c r="B7765" i="3"/>
  <c r="A7765" i="3"/>
  <c r="B7764" i="3"/>
  <c r="A7764" i="3"/>
  <c r="B7763" i="3"/>
  <c r="A7763" i="3"/>
  <c r="B7762" i="3"/>
  <c r="A7762" i="3"/>
  <c r="B7761" i="3"/>
  <c r="A7761" i="3"/>
  <c r="B7760" i="3"/>
  <c r="A7760" i="3"/>
  <c r="B7759" i="3"/>
  <c r="A7759" i="3"/>
  <c r="B7758" i="3"/>
  <c r="A7758" i="3"/>
  <c r="B7757" i="3"/>
  <c r="A7757" i="3"/>
  <c r="B7756" i="3"/>
  <c r="A7756" i="3"/>
  <c r="B7755" i="3"/>
  <c r="A7755" i="3"/>
  <c r="B7754" i="3"/>
  <c r="A7754" i="3"/>
  <c r="B7753" i="3"/>
  <c r="A7753" i="3"/>
  <c r="B7752" i="3"/>
  <c r="A7752" i="3"/>
  <c r="B7751" i="3"/>
  <c r="A7751" i="3"/>
  <c r="B7750" i="3"/>
  <c r="A7750" i="3"/>
  <c r="B7749" i="3"/>
  <c r="A7749" i="3"/>
  <c r="B7748" i="3"/>
  <c r="A7748" i="3"/>
  <c r="B7747" i="3"/>
  <c r="A7747" i="3"/>
  <c r="B7746" i="3"/>
  <c r="A7746" i="3"/>
  <c r="B7745" i="3"/>
  <c r="A7745" i="3"/>
  <c r="B7744" i="3"/>
  <c r="A7744" i="3"/>
  <c r="B7743" i="3"/>
  <c r="A7743" i="3"/>
  <c r="B7742" i="3"/>
  <c r="A7742" i="3"/>
  <c r="B7741" i="3"/>
  <c r="A7741" i="3"/>
  <c r="B7740" i="3"/>
  <c r="A7740" i="3"/>
  <c r="B7739" i="3"/>
  <c r="A7739" i="3"/>
  <c r="B7738" i="3"/>
  <c r="A7738" i="3"/>
  <c r="B7737" i="3"/>
  <c r="A7737" i="3"/>
  <c r="B7736" i="3"/>
  <c r="A7736" i="3"/>
  <c r="B7735" i="3"/>
  <c r="A7735" i="3"/>
  <c r="B7734" i="3"/>
  <c r="A7734" i="3"/>
  <c r="B7733" i="3"/>
  <c r="A7733" i="3"/>
  <c r="B7732" i="3"/>
  <c r="A7732" i="3"/>
  <c r="B7731" i="3"/>
  <c r="A7731" i="3"/>
  <c r="B7730" i="3"/>
  <c r="A7730" i="3"/>
  <c r="B7729" i="3"/>
  <c r="A7729" i="3"/>
  <c r="B7728" i="3"/>
  <c r="A7728" i="3"/>
  <c r="B7727" i="3"/>
  <c r="A7727" i="3"/>
  <c r="B7726" i="3"/>
  <c r="A7726" i="3"/>
  <c r="B7725" i="3"/>
  <c r="A7725" i="3"/>
  <c r="B7724" i="3"/>
  <c r="A7724" i="3"/>
  <c r="B7723" i="3"/>
  <c r="A7723" i="3"/>
  <c r="B7722" i="3"/>
  <c r="A7722" i="3"/>
  <c r="B7721" i="3"/>
  <c r="A7721" i="3"/>
  <c r="B7720" i="3"/>
  <c r="A7720" i="3"/>
  <c r="B7719" i="3"/>
  <c r="A7719" i="3"/>
  <c r="B7718" i="3"/>
  <c r="A7718" i="3"/>
  <c r="B7717" i="3"/>
  <c r="A7717" i="3"/>
  <c r="B7716" i="3"/>
  <c r="A7716" i="3"/>
  <c r="B7715" i="3"/>
  <c r="A7715" i="3"/>
  <c r="B7714" i="3"/>
  <c r="A7714" i="3"/>
  <c r="B7713" i="3"/>
  <c r="A7713" i="3"/>
  <c r="B7712" i="3"/>
  <c r="A7712" i="3"/>
  <c r="B7711" i="3"/>
  <c r="A7711" i="3"/>
  <c r="B7710" i="3"/>
  <c r="A7710" i="3"/>
  <c r="B7709" i="3"/>
  <c r="A7709" i="3"/>
  <c r="B7708" i="3"/>
  <c r="A7708" i="3"/>
  <c r="B7707" i="3"/>
  <c r="A7707" i="3"/>
  <c r="B7706" i="3"/>
  <c r="A7706" i="3"/>
  <c r="B7705" i="3"/>
  <c r="A7705" i="3"/>
  <c r="B7704" i="3"/>
  <c r="A7704" i="3"/>
  <c r="B7703" i="3"/>
  <c r="A7703" i="3"/>
  <c r="B7702" i="3"/>
  <c r="A7702" i="3"/>
  <c r="B7701" i="3"/>
  <c r="A7701" i="3"/>
  <c r="B7700" i="3"/>
  <c r="A7700" i="3"/>
  <c r="B7699" i="3"/>
  <c r="A7699" i="3"/>
  <c r="B7698" i="3"/>
  <c r="A7698" i="3"/>
  <c r="B7697" i="3"/>
  <c r="A7697" i="3"/>
  <c r="B7696" i="3"/>
  <c r="A7696" i="3"/>
  <c r="B7695" i="3"/>
  <c r="A7695" i="3"/>
  <c r="B7694" i="3"/>
  <c r="A7694" i="3"/>
  <c r="B7693" i="3"/>
  <c r="A7693" i="3"/>
  <c r="B7692" i="3"/>
  <c r="A7692" i="3"/>
  <c r="B7691" i="3"/>
  <c r="A7691" i="3"/>
  <c r="B7690" i="3"/>
  <c r="A7690" i="3"/>
  <c r="B7689" i="3"/>
  <c r="A7689" i="3"/>
  <c r="B7688" i="3"/>
  <c r="A7688" i="3"/>
  <c r="B7687" i="3"/>
  <c r="A7687" i="3"/>
  <c r="B7686" i="3"/>
  <c r="A7686" i="3"/>
  <c r="B7685" i="3"/>
  <c r="A7685" i="3"/>
  <c r="B7684" i="3"/>
  <c r="A7684" i="3"/>
  <c r="B7683" i="3"/>
  <c r="A7683" i="3"/>
  <c r="B7682" i="3"/>
  <c r="A7682" i="3"/>
  <c r="B7681" i="3"/>
  <c r="A7681" i="3"/>
  <c r="B7680" i="3"/>
  <c r="A7680" i="3"/>
  <c r="B7679" i="3"/>
  <c r="A7679" i="3"/>
  <c r="B7678" i="3"/>
  <c r="A7678" i="3"/>
  <c r="B7677" i="3"/>
  <c r="A7677" i="3"/>
  <c r="B7676" i="3"/>
  <c r="A7676" i="3"/>
  <c r="B7675" i="3"/>
  <c r="A7675" i="3"/>
  <c r="B7674" i="3"/>
  <c r="A7674" i="3"/>
  <c r="B7673" i="3"/>
  <c r="A7673" i="3"/>
  <c r="B7672" i="3"/>
  <c r="A7672" i="3"/>
  <c r="B7671" i="3"/>
  <c r="A7671" i="3"/>
  <c r="B7670" i="3"/>
  <c r="A7670" i="3"/>
  <c r="B7669" i="3"/>
  <c r="A7669" i="3"/>
  <c r="B7668" i="3"/>
  <c r="A7668" i="3"/>
  <c r="B7667" i="3"/>
  <c r="A7667" i="3"/>
  <c r="B7666" i="3"/>
  <c r="A7666" i="3"/>
  <c r="B7665" i="3"/>
  <c r="A7665" i="3"/>
  <c r="B7664" i="3"/>
  <c r="A7664" i="3"/>
  <c r="B7663" i="3"/>
  <c r="A7663" i="3"/>
  <c r="B7662" i="3"/>
  <c r="A7662" i="3"/>
  <c r="B7661" i="3"/>
  <c r="A7661" i="3"/>
  <c r="B7660" i="3"/>
  <c r="A7660" i="3"/>
  <c r="B7659" i="3"/>
  <c r="A7659" i="3"/>
  <c r="B7658" i="3"/>
  <c r="A7658" i="3"/>
  <c r="B7657" i="3"/>
  <c r="A7657" i="3"/>
  <c r="B7656" i="3"/>
  <c r="A7656" i="3"/>
  <c r="B7655" i="3"/>
  <c r="A7655" i="3"/>
  <c r="B7654" i="3"/>
  <c r="A7654" i="3"/>
  <c r="B7653" i="3"/>
  <c r="A7653" i="3"/>
  <c r="B7652" i="3"/>
  <c r="A7652" i="3"/>
  <c r="B7651" i="3"/>
  <c r="A7651" i="3"/>
  <c r="B7650" i="3"/>
  <c r="A7650" i="3"/>
  <c r="B7649" i="3"/>
  <c r="A7649" i="3"/>
  <c r="B7648" i="3"/>
  <c r="A7648" i="3"/>
  <c r="B7647" i="3"/>
  <c r="A7647" i="3"/>
  <c r="B7646" i="3"/>
  <c r="A7646" i="3"/>
  <c r="B7645" i="3"/>
  <c r="A7645" i="3"/>
  <c r="B7644" i="3"/>
  <c r="A7644" i="3"/>
  <c r="B7643" i="3"/>
  <c r="A7643" i="3"/>
  <c r="B7642" i="3"/>
  <c r="A7642" i="3"/>
  <c r="B7641" i="3"/>
  <c r="A7641" i="3"/>
  <c r="B7640" i="3"/>
  <c r="A7640" i="3"/>
  <c r="B7639" i="3"/>
  <c r="A7639" i="3"/>
  <c r="B7638" i="3"/>
  <c r="A7638" i="3"/>
  <c r="B7637" i="3"/>
  <c r="A7637" i="3"/>
  <c r="B7636" i="3"/>
  <c r="A7636" i="3"/>
  <c r="B7635" i="3"/>
  <c r="A7635" i="3"/>
  <c r="B7634" i="3"/>
  <c r="A7634" i="3"/>
  <c r="B7633" i="3"/>
  <c r="A7633" i="3"/>
  <c r="B7632" i="3"/>
  <c r="A7632" i="3"/>
  <c r="B7631" i="3"/>
  <c r="A7631" i="3"/>
  <c r="B7630" i="3"/>
  <c r="A7630" i="3"/>
  <c r="B7629" i="3"/>
  <c r="A7629" i="3"/>
  <c r="B7628" i="3"/>
  <c r="A7628" i="3"/>
  <c r="B7627" i="3"/>
  <c r="A7627" i="3"/>
  <c r="B7626" i="3"/>
  <c r="A7626" i="3"/>
  <c r="B7625" i="3"/>
  <c r="A7625" i="3"/>
  <c r="B7624" i="3"/>
  <c r="A7624" i="3"/>
  <c r="B7623" i="3"/>
  <c r="A7623" i="3"/>
  <c r="B7622" i="3"/>
  <c r="A7622" i="3"/>
  <c r="B7621" i="3"/>
  <c r="A7621" i="3"/>
  <c r="B7620" i="3"/>
  <c r="A7620" i="3"/>
  <c r="B7619" i="3"/>
  <c r="A7619" i="3"/>
  <c r="B7618" i="3"/>
  <c r="A7618" i="3"/>
  <c r="B7617" i="3"/>
  <c r="A7617" i="3"/>
  <c r="B7616" i="3"/>
  <c r="A7616" i="3"/>
  <c r="B7615" i="3"/>
  <c r="A7615" i="3"/>
  <c r="B7614" i="3"/>
  <c r="A7614" i="3"/>
  <c r="B7613" i="3"/>
  <c r="A7613" i="3"/>
  <c r="B7612" i="3"/>
  <c r="A7612" i="3"/>
  <c r="B7611" i="3"/>
  <c r="A7611" i="3"/>
  <c r="B7610" i="3"/>
  <c r="A7610" i="3"/>
  <c r="B7609" i="3"/>
  <c r="A7609" i="3"/>
  <c r="B7608" i="3"/>
  <c r="A7608" i="3"/>
  <c r="B7607" i="3"/>
  <c r="A7607" i="3"/>
  <c r="B7606" i="3"/>
  <c r="A7606" i="3"/>
  <c r="B7605" i="3"/>
  <c r="A7605" i="3"/>
  <c r="B7604" i="3"/>
  <c r="A7604" i="3"/>
  <c r="B7603" i="3"/>
  <c r="A7603" i="3"/>
  <c r="B7602" i="3"/>
  <c r="A7602" i="3"/>
  <c r="B7601" i="3"/>
  <c r="A7601" i="3"/>
  <c r="B7600" i="3"/>
  <c r="A7600" i="3"/>
  <c r="B7599" i="3"/>
  <c r="A7599" i="3"/>
  <c r="B7598" i="3"/>
  <c r="A7598" i="3"/>
  <c r="B7597" i="3"/>
  <c r="A7597" i="3"/>
  <c r="B7596" i="3"/>
  <c r="A7596" i="3"/>
  <c r="B7595" i="3"/>
  <c r="A7595" i="3"/>
  <c r="B7594" i="3"/>
  <c r="A7594" i="3"/>
  <c r="B7593" i="3"/>
  <c r="A7593" i="3"/>
  <c r="B7592" i="3"/>
  <c r="A7592" i="3"/>
  <c r="B7591" i="3"/>
  <c r="A7591" i="3"/>
  <c r="B7590" i="3"/>
  <c r="A7590" i="3"/>
  <c r="B7589" i="3"/>
  <c r="A7589" i="3"/>
  <c r="B7588" i="3"/>
  <c r="A7588" i="3"/>
  <c r="B7587" i="3"/>
  <c r="A7587" i="3"/>
  <c r="B7586" i="3"/>
  <c r="A7586" i="3"/>
  <c r="B7585" i="3"/>
  <c r="A7585" i="3"/>
  <c r="B7584" i="3"/>
  <c r="A7584" i="3"/>
  <c r="B7583" i="3"/>
  <c r="A7583" i="3"/>
  <c r="B7582" i="3"/>
  <c r="A7582" i="3"/>
  <c r="B7581" i="3"/>
  <c r="A7581" i="3"/>
  <c r="B7580" i="3"/>
  <c r="A7580" i="3"/>
  <c r="B7579" i="3"/>
  <c r="A7579" i="3"/>
  <c r="B7578" i="3"/>
  <c r="A7578" i="3"/>
  <c r="B7577" i="3"/>
  <c r="A7577" i="3"/>
  <c r="B7576" i="3"/>
  <c r="A7576" i="3"/>
  <c r="B7575" i="3"/>
  <c r="A7575" i="3"/>
  <c r="B7574" i="3"/>
  <c r="A7574" i="3"/>
  <c r="B7573" i="3"/>
  <c r="A7573" i="3"/>
  <c r="B7572" i="3"/>
  <c r="A7572" i="3"/>
  <c r="B7571" i="3"/>
  <c r="A7571" i="3"/>
  <c r="B7570" i="3"/>
  <c r="A7570" i="3"/>
  <c r="B7569" i="3"/>
  <c r="A7569" i="3"/>
  <c r="B7568" i="3"/>
  <c r="A7568" i="3"/>
  <c r="B7567" i="3"/>
  <c r="A7567" i="3"/>
  <c r="B7566" i="3"/>
  <c r="A7566" i="3"/>
  <c r="B7565" i="3"/>
  <c r="A7565" i="3"/>
  <c r="B7564" i="3"/>
  <c r="A7564" i="3"/>
  <c r="B7563" i="3"/>
  <c r="A7563" i="3"/>
  <c r="B7562" i="3"/>
  <c r="A7562" i="3"/>
  <c r="B7561" i="3"/>
  <c r="A7561" i="3"/>
  <c r="B7560" i="3"/>
  <c r="A7560" i="3"/>
  <c r="B7559" i="3"/>
  <c r="A7559" i="3"/>
  <c r="B7558" i="3"/>
  <c r="A7558" i="3"/>
  <c r="B7557" i="3"/>
  <c r="A7557" i="3"/>
  <c r="B7556" i="3"/>
  <c r="A7556" i="3"/>
  <c r="B7555" i="3"/>
  <c r="A7555" i="3"/>
  <c r="B7554" i="3"/>
  <c r="A7554" i="3"/>
  <c r="B7553" i="3"/>
  <c r="A7553" i="3"/>
  <c r="B7552" i="3"/>
  <c r="A7552" i="3"/>
  <c r="B7551" i="3"/>
  <c r="A7551" i="3"/>
  <c r="B7550" i="3"/>
  <c r="A7550" i="3"/>
  <c r="B7549" i="3"/>
  <c r="A7549" i="3"/>
  <c r="B7548" i="3"/>
  <c r="A7548" i="3"/>
  <c r="B7547" i="3"/>
  <c r="A7547" i="3"/>
  <c r="B7546" i="3"/>
  <c r="A7546" i="3"/>
  <c r="B7545" i="3"/>
  <c r="A7545" i="3"/>
  <c r="B7544" i="3"/>
  <c r="A7544" i="3"/>
  <c r="B7543" i="3"/>
  <c r="A7543" i="3"/>
  <c r="B7542" i="3"/>
  <c r="A7542" i="3"/>
  <c r="B7541" i="3"/>
  <c r="A7541" i="3"/>
  <c r="B7540" i="3"/>
  <c r="A7540" i="3"/>
  <c r="B7539" i="3"/>
  <c r="A7539" i="3"/>
  <c r="B7538" i="3"/>
  <c r="A7538" i="3"/>
  <c r="B7537" i="3"/>
  <c r="A7537" i="3"/>
  <c r="B7536" i="3"/>
  <c r="A7536" i="3"/>
  <c r="B7535" i="3"/>
  <c r="A7535" i="3"/>
  <c r="B7534" i="3"/>
  <c r="A7534" i="3"/>
  <c r="B7533" i="3"/>
  <c r="A7533" i="3"/>
  <c r="B7532" i="3"/>
  <c r="A7532" i="3"/>
  <c r="B7531" i="3"/>
  <c r="A7531" i="3"/>
  <c r="B7530" i="3"/>
  <c r="A7530" i="3"/>
  <c r="B7529" i="3"/>
  <c r="A7529" i="3"/>
  <c r="B7528" i="3"/>
  <c r="A7528" i="3"/>
  <c r="B7527" i="3"/>
  <c r="A7527" i="3"/>
  <c r="B7526" i="3"/>
  <c r="A7526" i="3"/>
  <c r="B7525" i="3"/>
  <c r="A7525" i="3"/>
  <c r="B7524" i="3"/>
  <c r="A7524" i="3"/>
  <c r="B7523" i="3"/>
  <c r="A7523" i="3"/>
  <c r="B7522" i="3"/>
  <c r="A7522" i="3"/>
  <c r="B7521" i="3"/>
  <c r="A7521" i="3"/>
  <c r="B7520" i="3"/>
  <c r="A7520" i="3"/>
  <c r="B7519" i="3"/>
  <c r="A7519" i="3"/>
  <c r="B7518" i="3"/>
  <c r="A7518" i="3"/>
  <c r="B7517" i="3"/>
  <c r="A7517" i="3"/>
  <c r="B7516" i="3"/>
  <c r="A7516" i="3"/>
  <c r="B7515" i="3"/>
  <c r="A7515" i="3"/>
  <c r="B7514" i="3"/>
  <c r="A7514" i="3"/>
  <c r="B7513" i="3"/>
  <c r="A7513" i="3"/>
  <c r="B7512" i="3"/>
  <c r="A7512" i="3"/>
  <c r="B7511" i="3"/>
  <c r="A7511" i="3"/>
  <c r="B7510" i="3"/>
  <c r="A7510" i="3"/>
  <c r="B7509" i="3"/>
  <c r="A7509" i="3"/>
  <c r="B7508" i="3"/>
  <c r="A7508" i="3"/>
  <c r="B7507" i="3"/>
  <c r="A7507" i="3"/>
  <c r="B7506" i="3"/>
  <c r="A7506" i="3"/>
  <c r="B7505" i="3"/>
  <c r="A7505" i="3"/>
  <c r="B7504" i="3"/>
  <c r="A7504" i="3"/>
  <c r="B7503" i="3"/>
  <c r="A7503" i="3"/>
  <c r="B7502" i="3"/>
  <c r="A7502" i="3"/>
  <c r="B7501" i="3"/>
  <c r="A7501" i="3"/>
  <c r="B7500" i="3"/>
  <c r="A7500" i="3"/>
  <c r="B7499" i="3"/>
  <c r="A7499" i="3"/>
  <c r="B7498" i="3"/>
  <c r="A7498" i="3"/>
  <c r="B7497" i="3"/>
  <c r="A7497" i="3"/>
  <c r="B7496" i="3"/>
  <c r="A7496" i="3"/>
  <c r="B7495" i="3"/>
  <c r="A7495" i="3"/>
  <c r="B7494" i="3"/>
  <c r="A7494" i="3"/>
  <c r="B7493" i="3"/>
  <c r="A7493" i="3"/>
  <c r="B7492" i="3"/>
  <c r="A7492" i="3"/>
  <c r="B7491" i="3"/>
  <c r="A7491" i="3"/>
  <c r="B7490" i="3"/>
  <c r="A7490" i="3"/>
  <c r="B7489" i="3"/>
  <c r="A7489" i="3"/>
  <c r="B7488" i="3"/>
  <c r="A7488" i="3"/>
  <c r="B7487" i="3"/>
  <c r="A7487" i="3"/>
  <c r="B7486" i="3"/>
  <c r="A7486" i="3"/>
  <c r="B7485" i="3"/>
  <c r="A7485" i="3"/>
  <c r="B7484" i="3"/>
  <c r="A7484" i="3"/>
  <c r="B7483" i="3"/>
  <c r="A7483" i="3"/>
  <c r="B7482" i="3"/>
  <c r="A7482" i="3"/>
  <c r="B7481" i="3"/>
  <c r="A7481" i="3"/>
  <c r="B7480" i="3"/>
  <c r="A7480" i="3"/>
  <c r="B7479" i="3"/>
  <c r="A7479" i="3"/>
  <c r="B7478" i="3"/>
  <c r="A7478" i="3"/>
  <c r="B7477" i="3"/>
  <c r="A7477" i="3"/>
  <c r="B7476" i="3"/>
  <c r="A7476" i="3"/>
  <c r="B7475" i="3"/>
  <c r="A7475" i="3"/>
  <c r="B7474" i="3"/>
  <c r="A7474" i="3"/>
  <c r="B7473" i="3"/>
  <c r="A7473" i="3"/>
  <c r="B7472" i="3"/>
  <c r="A7472" i="3"/>
  <c r="B7471" i="3"/>
  <c r="A7471" i="3"/>
  <c r="B7470" i="3"/>
  <c r="A7470" i="3"/>
  <c r="B7469" i="3"/>
  <c r="A7469" i="3"/>
  <c r="B7468" i="3"/>
  <c r="A7468" i="3"/>
  <c r="B7467" i="3"/>
  <c r="A7467" i="3"/>
  <c r="B7466" i="3"/>
  <c r="A7466" i="3"/>
  <c r="B7465" i="3"/>
  <c r="A7465" i="3"/>
  <c r="B7464" i="3"/>
  <c r="A7464" i="3"/>
  <c r="B7463" i="3"/>
  <c r="A7463" i="3"/>
  <c r="B7462" i="3"/>
  <c r="A7462" i="3"/>
  <c r="B7461" i="3"/>
  <c r="A7461" i="3"/>
  <c r="B7460" i="3"/>
  <c r="A7460" i="3"/>
  <c r="B7459" i="3"/>
  <c r="A7459" i="3"/>
  <c r="B7458" i="3"/>
  <c r="A7458" i="3"/>
  <c r="B7457" i="3"/>
  <c r="A7457" i="3"/>
  <c r="B7456" i="3"/>
  <c r="A7456" i="3"/>
  <c r="B7455" i="3"/>
  <c r="A7455" i="3"/>
  <c r="B7454" i="3"/>
  <c r="A7454" i="3"/>
  <c r="B7453" i="3"/>
  <c r="A7453" i="3"/>
  <c r="B7452" i="3"/>
  <c r="A7452" i="3"/>
  <c r="B7451" i="3"/>
  <c r="A7451" i="3"/>
  <c r="B7450" i="3"/>
  <c r="A7450" i="3"/>
  <c r="B7449" i="3"/>
  <c r="A7449" i="3"/>
  <c r="B7448" i="3"/>
  <c r="A7448" i="3"/>
  <c r="B7447" i="3"/>
  <c r="A7447" i="3"/>
  <c r="B7446" i="3"/>
  <c r="A7446" i="3"/>
  <c r="B7445" i="3"/>
  <c r="A7445" i="3"/>
  <c r="B7444" i="3"/>
  <c r="A7444" i="3"/>
  <c r="B7443" i="3"/>
  <c r="A7443" i="3"/>
  <c r="B7442" i="3"/>
  <c r="A7442" i="3"/>
  <c r="B7441" i="3"/>
  <c r="A7441" i="3"/>
  <c r="B7440" i="3"/>
  <c r="A7440" i="3"/>
  <c r="B7439" i="3"/>
  <c r="A7439" i="3"/>
  <c r="B7438" i="3"/>
  <c r="A7438" i="3"/>
  <c r="B7437" i="3"/>
  <c r="A7437" i="3"/>
  <c r="B7436" i="3"/>
  <c r="A7436" i="3"/>
  <c r="B7435" i="3"/>
  <c r="A7435" i="3"/>
  <c r="B7434" i="3"/>
  <c r="A7434" i="3"/>
  <c r="B7433" i="3"/>
  <c r="A7433" i="3"/>
  <c r="B7432" i="3"/>
  <c r="A7432" i="3"/>
  <c r="B7431" i="3"/>
  <c r="A7431" i="3"/>
  <c r="B7430" i="3"/>
  <c r="A7430" i="3"/>
  <c r="B7429" i="3"/>
  <c r="A7429" i="3"/>
  <c r="B7428" i="3"/>
  <c r="A7428" i="3"/>
  <c r="B7427" i="3"/>
  <c r="A7427" i="3"/>
  <c r="B7426" i="3"/>
  <c r="A7426" i="3"/>
  <c r="B7425" i="3"/>
  <c r="A7425" i="3"/>
  <c r="B7424" i="3"/>
  <c r="A7424" i="3"/>
  <c r="B7423" i="3"/>
  <c r="A7423" i="3"/>
  <c r="B7422" i="3"/>
  <c r="A7422" i="3"/>
  <c r="B7421" i="3"/>
  <c r="A7421" i="3"/>
  <c r="B7420" i="3"/>
  <c r="A7420" i="3"/>
  <c r="B7419" i="3"/>
  <c r="A7419" i="3"/>
  <c r="B7418" i="3"/>
  <c r="A7418" i="3"/>
  <c r="B7417" i="3"/>
  <c r="A7417" i="3"/>
  <c r="B7416" i="3"/>
  <c r="A7416" i="3"/>
  <c r="B7415" i="3"/>
  <c r="A7415" i="3"/>
  <c r="B7414" i="3"/>
  <c r="A7414" i="3"/>
  <c r="B7413" i="3"/>
  <c r="A7413" i="3"/>
  <c r="B7412" i="3"/>
  <c r="A7412" i="3"/>
  <c r="B7411" i="3"/>
  <c r="A7411" i="3"/>
  <c r="B7410" i="3"/>
  <c r="A7410" i="3"/>
  <c r="B7409" i="3"/>
  <c r="A7409" i="3"/>
  <c r="B7408" i="3"/>
  <c r="A7408" i="3"/>
  <c r="B7407" i="3"/>
  <c r="A7407" i="3"/>
  <c r="B7406" i="3"/>
  <c r="A7406" i="3"/>
  <c r="B7405" i="3"/>
  <c r="A7405" i="3"/>
  <c r="B7404" i="3"/>
  <c r="A7404" i="3"/>
  <c r="B7403" i="3"/>
  <c r="A7403" i="3"/>
  <c r="B7402" i="3"/>
  <c r="A7402" i="3"/>
  <c r="B7401" i="3"/>
  <c r="A7401" i="3"/>
  <c r="B7400" i="3"/>
  <c r="A7400" i="3"/>
  <c r="B7399" i="3"/>
  <c r="A7399" i="3"/>
  <c r="B7398" i="3"/>
  <c r="A7398" i="3"/>
  <c r="B7397" i="3"/>
  <c r="A7397" i="3"/>
  <c r="B7396" i="3"/>
  <c r="A7396" i="3"/>
  <c r="B7395" i="3"/>
  <c r="A7395" i="3"/>
  <c r="B7394" i="3"/>
  <c r="A7394" i="3"/>
  <c r="B7393" i="3"/>
  <c r="A7393" i="3"/>
  <c r="B7392" i="3"/>
  <c r="A7392" i="3"/>
  <c r="B7391" i="3"/>
  <c r="A7391" i="3"/>
  <c r="B7390" i="3"/>
  <c r="A7390" i="3"/>
  <c r="B7389" i="3"/>
  <c r="A7389" i="3"/>
  <c r="B7388" i="3"/>
  <c r="A7388" i="3"/>
  <c r="B7387" i="3"/>
  <c r="A7387" i="3"/>
  <c r="B7386" i="3"/>
  <c r="A7386" i="3"/>
  <c r="B7385" i="3"/>
  <c r="A7385" i="3"/>
  <c r="B7384" i="3"/>
  <c r="A7384" i="3"/>
  <c r="B7383" i="3"/>
  <c r="A7383" i="3"/>
  <c r="B7382" i="3"/>
  <c r="A7382" i="3"/>
  <c r="B7381" i="3"/>
  <c r="A7381" i="3"/>
  <c r="B7380" i="3"/>
  <c r="A7380" i="3"/>
  <c r="B7379" i="3"/>
  <c r="A7379" i="3"/>
  <c r="B7378" i="3"/>
  <c r="A7378" i="3"/>
  <c r="B7377" i="3"/>
  <c r="A7377" i="3"/>
  <c r="B7376" i="3"/>
  <c r="A7376" i="3"/>
  <c r="B7375" i="3"/>
  <c r="A7375" i="3"/>
  <c r="B7374" i="3"/>
  <c r="A7374" i="3"/>
  <c r="B7373" i="3"/>
  <c r="A7373" i="3"/>
  <c r="B7372" i="3"/>
  <c r="A7372" i="3"/>
  <c r="B7371" i="3"/>
  <c r="A7371" i="3"/>
  <c r="B7370" i="3"/>
  <c r="A7370" i="3"/>
  <c r="B7369" i="3"/>
  <c r="A7369" i="3"/>
  <c r="B7368" i="3"/>
  <c r="A7368" i="3"/>
  <c r="B7367" i="3"/>
  <c r="A7367" i="3"/>
  <c r="B7366" i="3"/>
  <c r="A7366" i="3"/>
  <c r="B7365" i="3"/>
  <c r="A7365" i="3"/>
  <c r="B7364" i="3"/>
  <c r="A7364" i="3"/>
  <c r="B7363" i="3"/>
  <c r="A7363" i="3"/>
  <c r="B7362" i="3"/>
  <c r="A7362" i="3"/>
  <c r="B7361" i="3"/>
  <c r="A7361" i="3"/>
  <c r="B7360" i="3"/>
  <c r="A7360" i="3"/>
  <c r="B7359" i="3"/>
  <c r="A7359" i="3"/>
  <c r="B7358" i="3"/>
  <c r="A7358" i="3"/>
  <c r="B7357" i="3"/>
  <c r="A7357" i="3"/>
  <c r="B7356" i="3"/>
  <c r="A7356" i="3"/>
  <c r="B7355" i="3"/>
  <c r="A7355" i="3"/>
  <c r="B7354" i="3"/>
  <c r="A7354" i="3"/>
  <c r="B7353" i="3"/>
  <c r="A7353" i="3"/>
  <c r="B7352" i="3"/>
  <c r="A7352" i="3"/>
  <c r="B7351" i="3"/>
  <c r="A7351" i="3"/>
  <c r="B7350" i="3"/>
  <c r="A7350" i="3"/>
  <c r="B7349" i="3"/>
  <c r="A7349" i="3"/>
  <c r="B7348" i="3"/>
  <c r="A7348" i="3"/>
  <c r="B7347" i="3"/>
  <c r="A7347" i="3"/>
  <c r="B7346" i="3"/>
  <c r="A7346" i="3"/>
  <c r="B7345" i="3"/>
  <c r="A7345" i="3"/>
  <c r="B7344" i="3"/>
  <c r="A7344" i="3"/>
  <c r="B7343" i="3"/>
  <c r="A7343" i="3"/>
  <c r="B7342" i="3"/>
  <c r="A7342" i="3"/>
  <c r="B7341" i="3"/>
  <c r="A7341" i="3"/>
  <c r="B7340" i="3"/>
  <c r="A7340" i="3"/>
  <c r="B7339" i="3"/>
  <c r="A7339" i="3"/>
  <c r="B7338" i="3"/>
  <c r="A7338" i="3"/>
  <c r="B7337" i="3"/>
  <c r="A7337" i="3"/>
  <c r="B7336" i="3"/>
  <c r="A7336" i="3"/>
  <c r="B7335" i="3"/>
  <c r="A7335" i="3"/>
  <c r="B7334" i="3"/>
  <c r="A7334" i="3"/>
  <c r="B7333" i="3"/>
  <c r="A7333" i="3"/>
  <c r="B7332" i="3"/>
  <c r="A7332" i="3"/>
  <c r="B7331" i="3"/>
  <c r="A7331" i="3"/>
  <c r="B7330" i="3"/>
  <c r="A7330" i="3"/>
  <c r="B7329" i="3"/>
  <c r="A7329" i="3"/>
  <c r="B7328" i="3"/>
  <c r="A7328" i="3"/>
  <c r="B7327" i="3"/>
  <c r="A7327" i="3"/>
  <c r="B7326" i="3"/>
  <c r="A7326" i="3"/>
  <c r="B7325" i="3"/>
  <c r="A7325" i="3"/>
  <c r="B7324" i="3"/>
  <c r="A7324" i="3"/>
  <c r="B7323" i="3"/>
  <c r="A7323" i="3"/>
  <c r="B7322" i="3"/>
  <c r="A7322" i="3"/>
  <c r="B7321" i="3"/>
  <c r="A7321" i="3"/>
  <c r="B7320" i="3"/>
  <c r="A7320" i="3"/>
  <c r="B7319" i="3"/>
  <c r="A7319" i="3"/>
  <c r="B7318" i="3"/>
  <c r="A7318" i="3"/>
  <c r="B7317" i="3"/>
  <c r="A7317" i="3"/>
  <c r="B7316" i="3"/>
  <c r="A7316" i="3"/>
  <c r="B7315" i="3"/>
  <c r="A7315" i="3"/>
  <c r="B7314" i="3"/>
  <c r="A7314" i="3"/>
  <c r="B7313" i="3"/>
  <c r="A7313" i="3"/>
  <c r="B7312" i="3"/>
  <c r="A7312" i="3"/>
  <c r="B7311" i="3"/>
  <c r="A7311" i="3"/>
  <c r="B7310" i="3"/>
  <c r="A7310" i="3"/>
  <c r="B7309" i="3"/>
  <c r="A7309" i="3"/>
  <c r="B7308" i="3"/>
  <c r="A7308" i="3"/>
  <c r="B7307" i="3"/>
  <c r="A7307" i="3"/>
  <c r="B7306" i="3"/>
  <c r="A7306" i="3"/>
  <c r="B7305" i="3"/>
  <c r="A7305" i="3"/>
  <c r="B7304" i="3"/>
  <c r="A7304" i="3"/>
  <c r="B7303" i="3"/>
  <c r="A7303" i="3"/>
  <c r="B7302" i="3"/>
  <c r="A7302" i="3"/>
  <c r="B7301" i="3"/>
  <c r="A7301" i="3"/>
  <c r="B7300" i="3"/>
  <c r="A7300" i="3"/>
  <c r="B7299" i="3"/>
  <c r="A7299" i="3"/>
  <c r="B7298" i="3"/>
  <c r="A7298" i="3"/>
  <c r="B7297" i="3"/>
  <c r="A7297" i="3"/>
  <c r="B7296" i="3"/>
  <c r="A7296" i="3"/>
  <c r="B7295" i="3"/>
  <c r="A7295" i="3"/>
  <c r="B7294" i="3"/>
  <c r="A7294" i="3"/>
  <c r="B7293" i="3"/>
  <c r="A7293" i="3"/>
  <c r="B7292" i="3"/>
  <c r="A7292" i="3"/>
  <c r="B7291" i="3"/>
  <c r="A7291" i="3"/>
  <c r="B7290" i="3"/>
  <c r="A7290" i="3"/>
  <c r="B7289" i="3"/>
  <c r="A7289" i="3"/>
  <c r="B7288" i="3"/>
  <c r="A7288" i="3"/>
  <c r="B7287" i="3"/>
  <c r="A7287" i="3"/>
  <c r="B7286" i="3"/>
  <c r="A7286" i="3"/>
  <c r="B7285" i="3"/>
  <c r="A7285" i="3"/>
  <c r="B7284" i="3"/>
  <c r="A7284" i="3"/>
  <c r="B7283" i="3"/>
  <c r="A7283" i="3"/>
  <c r="B7282" i="3"/>
  <c r="A7282" i="3"/>
  <c r="B7281" i="3"/>
  <c r="A7281" i="3"/>
  <c r="B7280" i="3"/>
  <c r="A7280" i="3"/>
  <c r="B7279" i="3"/>
  <c r="A7279" i="3"/>
  <c r="B7278" i="3"/>
  <c r="A7278" i="3"/>
  <c r="B7277" i="3"/>
  <c r="A7277" i="3"/>
  <c r="B7276" i="3"/>
  <c r="A7276" i="3"/>
  <c r="B7275" i="3"/>
  <c r="A7275" i="3"/>
  <c r="B7274" i="3"/>
  <c r="A7274" i="3"/>
  <c r="B7273" i="3"/>
  <c r="A7273" i="3"/>
  <c r="B7272" i="3"/>
  <c r="A7272" i="3"/>
  <c r="B7271" i="3"/>
  <c r="A7271" i="3"/>
  <c r="B7270" i="3"/>
  <c r="A7270" i="3"/>
  <c r="B7269" i="3"/>
  <c r="A7269" i="3"/>
  <c r="B7268" i="3"/>
  <c r="A7268" i="3"/>
  <c r="B7267" i="3"/>
  <c r="A7267" i="3"/>
  <c r="B7266" i="3"/>
  <c r="A7266" i="3"/>
  <c r="B7265" i="3"/>
  <c r="A7265" i="3"/>
  <c r="B7264" i="3"/>
  <c r="A7264" i="3"/>
  <c r="B7263" i="3"/>
  <c r="A7263" i="3"/>
  <c r="B7262" i="3"/>
  <c r="A7262" i="3"/>
  <c r="B7261" i="3"/>
  <c r="A7261" i="3"/>
  <c r="B7260" i="3"/>
  <c r="A7260" i="3"/>
  <c r="B7259" i="3"/>
  <c r="A7259" i="3"/>
  <c r="B7258" i="3"/>
  <c r="A7258" i="3"/>
  <c r="B7257" i="3"/>
  <c r="A7257" i="3"/>
  <c r="B7256" i="3"/>
  <c r="A7256" i="3"/>
  <c r="B7255" i="3"/>
  <c r="A7255" i="3"/>
  <c r="B7254" i="3"/>
  <c r="A7254" i="3"/>
  <c r="B7253" i="3"/>
  <c r="A7253" i="3"/>
  <c r="B7252" i="3"/>
  <c r="A7252" i="3"/>
  <c r="B7251" i="3"/>
  <c r="A7251" i="3"/>
  <c r="B7250" i="3"/>
  <c r="A7250" i="3"/>
  <c r="B7249" i="3"/>
  <c r="A7249" i="3"/>
  <c r="B7248" i="3"/>
  <c r="A7248" i="3"/>
  <c r="B7247" i="3"/>
  <c r="A7247" i="3"/>
  <c r="B7246" i="3"/>
  <c r="A7246" i="3"/>
  <c r="B7245" i="3"/>
  <c r="A7245" i="3"/>
  <c r="B7244" i="3"/>
  <c r="A7244" i="3"/>
  <c r="B7243" i="3"/>
  <c r="A7243" i="3"/>
  <c r="B7242" i="3"/>
  <c r="A7242" i="3"/>
  <c r="B7241" i="3"/>
  <c r="A7241" i="3"/>
  <c r="B7240" i="3"/>
  <c r="A7240" i="3"/>
  <c r="B7239" i="3"/>
  <c r="A7239" i="3"/>
  <c r="B7238" i="3"/>
  <c r="A7238" i="3"/>
  <c r="B7237" i="3"/>
  <c r="A7237" i="3"/>
  <c r="B7236" i="3"/>
  <c r="A7236" i="3"/>
  <c r="B7235" i="3"/>
  <c r="A7235" i="3"/>
  <c r="B7234" i="3"/>
  <c r="A7234" i="3"/>
  <c r="B7233" i="3"/>
  <c r="A7233" i="3"/>
  <c r="B7232" i="3"/>
  <c r="A7232" i="3"/>
  <c r="B7231" i="3"/>
  <c r="A7231" i="3"/>
  <c r="B7230" i="3"/>
  <c r="A7230" i="3"/>
  <c r="B7229" i="3"/>
  <c r="A7229" i="3"/>
  <c r="B7228" i="3"/>
  <c r="A7228" i="3"/>
  <c r="B7227" i="3"/>
  <c r="A7227" i="3"/>
  <c r="B7226" i="3"/>
  <c r="A7226" i="3"/>
  <c r="B7225" i="3"/>
  <c r="A7225" i="3"/>
  <c r="B7224" i="3"/>
  <c r="A7224" i="3"/>
  <c r="B7223" i="3"/>
  <c r="A7223" i="3"/>
  <c r="B7222" i="3"/>
  <c r="A7222" i="3"/>
  <c r="B7221" i="3"/>
  <c r="A7221" i="3"/>
  <c r="B7220" i="3"/>
  <c r="A7220" i="3"/>
  <c r="B7219" i="3"/>
  <c r="A7219" i="3"/>
  <c r="B7218" i="3"/>
  <c r="A7218" i="3"/>
  <c r="B7217" i="3"/>
  <c r="A7217" i="3"/>
  <c r="B7216" i="3"/>
  <c r="A7216" i="3"/>
  <c r="B7215" i="3"/>
  <c r="A7215" i="3"/>
  <c r="B7214" i="3"/>
  <c r="A7214" i="3"/>
  <c r="B7213" i="3"/>
  <c r="A7213" i="3"/>
  <c r="B7212" i="3"/>
  <c r="A7212" i="3"/>
  <c r="B7211" i="3"/>
  <c r="A7211" i="3"/>
  <c r="B7210" i="3"/>
  <c r="A7210" i="3"/>
  <c r="B7209" i="3"/>
  <c r="A7209" i="3"/>
  <c r="B7208" i="3"/>
  <c r="A7208" i="3"/>
  <c r="B7207" i="3"/>
  <c r="A7207" i="3"/>
  <c r="B7206" i="3"/>
  <c r="A7206" i="3"/>
  <c r="B7205" i="3"/>
  <c r="A7205" i="3"/>
  <c r="B7204" i="3"/>
  <c r="A7204" i="3"/>
  <c r="B7203" i="3"/>
  <c r="A7203" i="3"/>
  <c r="B7202" i="3"/>
  <c r="A7202" i="3"/>
  <c r="B7201" i="3"/>
  <c r="A7201" i="3"/>
  <c r="B7200" i="3"/>
  <c r="A7200" i="3"/>
  <c r="B7199" i="3"/>
  <c r="A7199" i="3"/>
  <c r="B7198" i="3"/>
  <c r="A7198" i="3"/>
  <c r="B7197" i="3"/>
  <c r="A7197" i="3"/>
  <c r="B7196" i="3"/>
  <c r="A7196" i="3"/>
  <c r="B7195" i="3"/>
  <c r="A7195" i="3"/>
  <c r="B7194" i="3"/>
  <c r="A7194" i="3"/>
  <c r="B7193" i="3"/>
  <c r="A7193" i="3"/>
  <c r="B7192" i="3"/>
  <c r="A7192" i="3"/>
  <c r="B7191" i="3"/>
  <c r="A7191" i="3"/>
  <c r="B7190" i="3"/>
  <c r="A7190" i="3"/>
  <c r="B7189" i="3"/>
  <c r="A7189" i="3"/>
  <c r="B7188" i="3"/>
  <c r="A7188" i="3"/>
  <c r="B7187" i="3"/>
  <c r="A7187" i="3"/>
  <c r="B7186" i="3"/>
  <c r="A7186" i="3"/>
  <c r="B7185" i="3"/>
  <c r="A7185" i="3"/>
  <c r="B7184" i="3"/>
  <c r="A7184" i="3"/>
  <c r="B7183" i="3"/>
  <c r="A7183" i="3"/>
  <c r="B7182" i="3"/>
  <c r="A7182" i="3"/>
  <c r="B7181" i="3"/>
  <c r="A7181" i="3"/>
  <c r="B7180" i="3"/>
  <c r="A7180" i="3"/>
  <c r="B7179" i="3"/>
  <c r="A7179" i="3"/>
  <c r="B7178" i="3"/>
  <c r="A7178" i="3"/>
  <c r="B7177" i="3"/>
  <c r="A7177" i="3"/>
  <c r="B7176" i="3"/>
  <c r="A7176" i="3"/>
  <c r="B7175" i="3"/>
  <c r="A7175" i="3"/>
  <c r="B7174" i="3"/>
  <c r="A7174" i="3"/>
  <c r="B7173" i="3"/>
  <c r="A7173" i="3"/>
  <c r="B7172" i="3"/>
  <c r="A7172" i="3"/>
  <c r="B7171" i="3"/>
  <c r="A7171" i="3"/>
  <c r="B7170" i="3"/>
  <c r="A7170" i="3"/>
  <c r="B7169" i="3"/>
  <c r="A7169" i="3"/>
  <c r="B7168" i="3"/>
  <c r="A7168" i="3"/>
  <c r="B7167" i="3"/>
  <c r="A7167" i="3"/>
  <c r="B7166" i="3"/>
  <c r="A7166" i="3"/>
  <c r="B7165" i="3"/>
  <c r="A7165" i="3"/>
  <c r="B7164" i="3"/>
  <c r="A7164" i="3"/>
  <c r="B7163" i="3"/>
  <c r="A7163" i="3"/>
  <c r="B7162" i="3"/>
  <c r="A7162" i="3"/>
  <c r="B7161" i="3"/>
  <c r="A7161" i="3"/>
  <c r="B7160" i="3"/>
  <c r="A7160" i="3"/>
  <c r="B7159" i="3"/>
  <c r="A7159" i="3"/>
  <c r="B7158" i="3"/>
  <c r="A7158" i="3"/>
  <c r="B7157" i="3"/>
  <c r="A7157" i="3"/>
  <c r="B7156" i="3"/>
  <c r="A7156" i="3"/>
  <c r="B7155" i="3"/>
  <c r="A7155" i="3"/>
  <c r="B7154" i="3"/>
  <c r="A7154" i="3"/>
  <c r="B7153" i="3"/>
  <c r="A7153" i="3"/>
  <c r="B7152" i="3"/>
  <c r="A7152" i="3"/>
  <c r="B7151" i="3"/>
  <c r="A7151" i="3"/>
  <c r="B7150" i="3"/>
  <c r="A7150" i="3"/>
  <c r="B7149" i="3"/>
  <c r="A7149" i="3"/>
  <c r="B7148" i="3"/>
  <c r="A7148" i="3"/>
  <c r="B7147" i="3"/>
  <c r="A7147" i="3"/>
  <c r="B7146" i="3"/>
  <c r="A7146" i="3"/>
  <c r="B7145" i="3"/>
  <c r="A7145" i="3"/>
  <c r="B7144" i="3"/>
  <c r="A7144" i="3"/>
  <c r="B7143" i="3"/>
  <c r="A7143" i="3"/>
  <c r="B7142" i="3"/>
  <c r="A7142" i="3"/>
  <c r="B7141" i="3"/>
  <c r="A7141" i="3"/>
  <c r="B7140" i="3"/>
  <c r="A7140" i="3"/>
  <c r="B7139" i="3"/>
  <c r="A7139" i="3"/>
  <c r="B7138" i="3"/>
  <c r="A7138" i="3"/>
  <c r="B7137" i="3"/>
  <c r="A7137" i="3"/>
  <c r="B7136" i="3"/>
  <c r="A7136" i="3"/>
  <c r="B7135" i="3"/>
  <c r="A7135" i="3"/>
  <c r="B7134" i="3"/>
  <c r="A7134" i="3"/>
  <c r="B7133" i="3"/>
  <c r="A7133" i="3"/>
  <c r="B7132" i="3"/>
  <c r="A7132" i="3"/>
  <c r="B7131" i="3"/>
  <c r="A7131" i="3"/>
  <c r="B7130" i="3"/>
  <c r="A7130" i="3"/>
  <c r="B7129" i="3"/>
  <c r="A7129" i="3"/>
  <c r="B7128" i="3"/>
  <c r="A7128" i="3"/>
  <c r="B7127" i="3"/>
  <c r="A7127" i="3"/>
  <c r="B7126" i="3"/>
  <c r="A7126" i="3"/>
  <c r="B7125" i="3"/>
  <c r="A7125" i="3"/>
  <c r="B7124" i="3"/>
  <c r="A7124" i="3"/>
  <c r="B7123" i="3"/>
  <c r="A7123" i="3"/>
  <c r="B7122" i="3"/>
  <c r="A7122" i="3"/>
  <c r="B7121" i="3"/>
  <c r="A7121" i="3"/>
  <c r="B7120" i="3"/>
  <c r="A7120" i="3"/>
  <c r="B7119" i="3"/>
  <c r="A7119" i="3"/>
  <c r="B7118" i="3"/>
  <c r="A7118" i="3"/>
  <c r="B7117" i="3"/>
  <c r="A7117" i="3"/>
  <c r="B7116" i="3"/>
  <c r="A7116" i="3"/>
  <c r="B7115" i="3"/>
  <c r="A7115" i="3"/>
  <c r="B7114" i="3"/>
  <c r="A7114" i="3"/>
  <c r="B7113" i="3"/>
  <c r="A7113" i="3"/>
  <c r="B7112" i="3"/>
  <c r="A7112" i="3"/>
  <c r="B7111" i="3"/>
  <c r="A7111" i="3"/>
  <c r="B7110" i="3"/>
  <c r="A7110" i="3"/>
  <c r="B7109" i="3"/>
  <c r="A7109" i="3"/>
  <c r="B7108" i="3"/>
  <c r="A7108" i="3"/>
  <c r="B7107" i="3"/>
  <c r="A7107" i="3"/>
  <c r="B7106" i="3"/>
  <c r="A7106" i="3"/>
  <c r="B7105" i="3"/>
  <c r="A7105" i="3"/>
  <c r="B7104" i="3"/>
  <c r="A7104" i="3"/>
  <c r="B7103" i="3"/>
  <c r="A7103" i="3"/>
  <c r="B7102" i="3"/>
  <c r="A7102" i="3"/>
  <c r="B7101" i="3"/>
  <c r="A7101" i="3"/>
  <c r="B7100" i="3"/>
  <c r="A7100" i="3"/>
  <c r="B7099" i="3"/>
  <c r="A7099" i="3"/>
  <c r="B7098" i="3"/>
  <c r="A7098" i="3"/>
  <c r="B7097" i="3"/>
  <c r="A7097" i="3"/>
  <c r="B7096" i="3"/>
  <c r="A7096" i="3"/>
  <c r="B7095" i="3"/>
  <c r="A7095" i="3"/>
  <c r="B7094" i="3"/>
  <c r="A7094" i="3"/>
  <c r="B7093" i="3"/>
  <c r="A7093" i="3"/>
  <c r="B7092" i="3"/>
  <c r="A7092" i="3"/>
  <c r="B7091" i="3"/>
  <c r="A7091" i="3"/>
  <c r="B7090" i="3"/>
  <c r="A7090" i="3"/>
  <c r="B7089" i="3"/>
  <c r="A7089" i="3"/>
  <c r="B7088" i="3"/>
  <c r="A7088" i="3"/>
  <c r="B7087" i="3"/>
  <c r="A7087" i="3"/>
  <c r="B7086" i="3"/>
  <c r="A7086" i="3"/>
  <c r="B7085" i="3"/>
  <c r="A7085" i="3"/>
  <c r="B7084" i="3"/>
  <c r="A7084" i="3"/>
  <c r="B7083" i="3"/>
  <c r="A7083" i="3"/>
  <c r="B7082" i="3"/>
  <c r="A7082" i="3"/>
  <c r="B7081" i="3"/>
  <c r="A7081" i="3"/>
  <c r="B7080" i="3"/>
  <c r="A7080" i="3"/>
  <c r="B7079" i="3"/>
  <c r="A7079" i="3"/>
  <c r="B7078" i="3"/>
  <c r="A7078" i="3"/>
  <c r="B7077" i="3"/>
  <c r="A7077" i="3"/>
  <c r="B7076" i="3"/>
  <c r="A7076" i="3"/>
  <c r="B7075" i="3"/>
  <c r="A7075" i="3"/>
  <c r="B7074" i="3"/>
  <c r="A7074" i="3"/>
  <c r="B7073" i="3"/>
  <c r="A7073" i="3"/>
  <c r="B7072" i="3"/>
  <c r="A7072" i="3"/>
  <c r="B7071" i="3"/>
  <c r="A7071" i="3"/>
  <c r="B7070" i="3"/>
  <c r="A7070" i="3"/>
  <c r="B7069" i="3"/>
  <c r="A7069" i="3"/>
  <c r="B7068" i="3"/>
  <c r="A7068" i="3"/>
  <c r="B7067" i="3"/>
  <c r="A7067" i="3"/>
  <c r="B7066" i="3"/>
  <c r="A7066" i="3"/>
  <c r="B7065" i="3"/>
  <c r="A7065" i="3"/>
  <c r="B7064" i="3"/>
  <c r="A7064" i="3"/>
  <c r="B7063" i="3"/>
  <c r="A7063" i="3"/>
  <c r="B7062" i="3"/>
  <c r="A7062" i="3"/>
  <c r="B7061" i="3"/>
  <c r="A7061" i="3"/>
  <c r="B7060" i="3"/>
  <c r="A7060" i="3"/>
  <c r="B7059" i="3"/>
  <c r="A7059" i="3"/>
  <c r="B7058" i="3"/>
  <c r="A7058" i="3"/>
  <c r="B7057" i="3"/>
  <c r="A7057" i="3"/>
  <c r="B7056" i="3"/>
  <c r="A7056" i="3"/>
  <c r="B7055" i="3"/>
  <c r="A7055" i="3"/>
  <c r="B7054" i="3"/>
  <c r="A7054" i="3"/>
  <c r="B7053" i="3"/>
  <c r="A7053" i="3"/>
  <c r="B7052" i="3"/>
  <c r="A7052" i="3"/>
  <c r="B7051" i="3"/>
  <c r="A7051" i="3"/>
  <c r="B7050" i="3"/>
  <c r="A7050" i="3"/>
  <c r="B7049" i="3"/>
  <c r="A7049" i="3"/>
  <c r="B7048" i="3"/>
  <c r="A7048" i="3"/>
  <c r="B7047" i="3"/>
  <c r="A7047" i="3"/>
  <c r="B7046" i="3"/>
  <c r="A7046" i="3"/>
  <c r="B7045" i="3"/>
  <c r="A7045" i="3"/>
  <c r="B7044" i="3"/>
  <c r="A7044" i="3"/>
  <c r="B7043" i="3"/>
  <c r="A7043" i="3"/>
  <c r="B7042" i="3"/>
  <c r="A7042" i="3"/>
  <c r="B7041" i="3"/>
  <c r="A7041" i="3"/>
  <c r="B7040" i="3"/>
  <c r="A7040" i="3"/>
  <c r="B7039" i="3"/>
  <c r="A7039" i="3"/>
  <c r="B7038" i="3"/>
  <c r="A7038" i="3"/>
  <c r="B7037" i="3"/>
  <c r="A7037" i="3"/>
  <c r="B7036" i="3"/>
  <c r="A7036" i="3"/>
  <c r="B7035" i="3"/>
  <c r="A7035" i="3"/>
  <c r="B7034" i="3"/>
  <c r="A7034" i="3"/>
  <c r="B7033" i="3"/>
  <c r="A7033" i="3"/>
  <c r="B7032" i="3"/>
  <c r="A7032" i="3"/>
  <c r="B7031" i="3"/>
  <c r="A7031" i="3"/>
  <c r="B7030" i="3"/>
  <c r="A7030" i="3"/>
  <c r="B7029" i="3"/>
  <c r="A7029" i="3"/>
  <c r="B7028" i="3"/>
  <c r="A7028" i="3"/>
  <c r="B7027" i="3"/>
  <c r="A7027" i="3"/>
  <c r="B7026" i="3"/>
  <c r="A7026" i="3"/>
  <c r="B7025" i="3"/>
  <c r="A7025" i="3"/>
  <c r="B7024" i="3"/>
  <c r="A7024" i="3"/>
  <c r="B7023" i="3"/>
  <c r="A7023" i="3"/>
  <c r="B7022" i="3"/>
  <c r="A7022" i="3"/>
  <c r="B7021" i="3"/>
  <c r="A7021" i="3"/>
  <c r="B7020" i="3"/>
  <c r="A7020" i="3"/>
  <c r="B7019" i="3"/>
  <c r="A7019" i="3"/>
  <c r="B7018" i="3"/>
  <c r="A7018" i="3"/>
  <c r="B7017" i="3"/>
  <c r="A7017" i="3"/>
  <c r="B7016" i="3"/>
  <c r="A7016" i="3"/>
  <c r="B7015" i="3"/>
  <c r="A7015" i="3"/>
  <c r="B7014" i="3"/>
  <c r="A7014" i="3"/>
  <c r="B7013" i="3"/>
  <c r="A7013" i="3"/>
  <c r="B7012" i="3"/>
  <c r="A7012" i="3"/>
  <c r="B7011" i="3"/>
  <c r="A7011" i="3"/>
  <c r="B7010" i="3"/>
  <c r="A7010" i="3"/>
  <c r="B7009" i="3"/>
  <c r="A7009" i="3"/>
  <c r="B7008" i="3"/>
  <c r="A7008" i="3"/>
  <c r="B7007" i="3"/>
  <c r="A7007" i="3"/>
  <c r="B7006" i="3"/>
  <c r="A7006" i="3"/>
  <c r="B7005" i="3"/>
  <c r="A7005" i="3"/>
  <c r="B7004" i="3"/>
  <c r="A7004" i="3"/>
  <c r="B7003" i="3"/>
  <c r="A7003" i="3"/>
  <c r="B7002" i="3"/>
  <c r="A7002" i="3"/>
  <c r="B7001" i="3"/>
  <c r="A7001" i="3"/>
  <c r="B7000" i="3"/>
  <c r="A7000" i="3"/>
  <c r="B6999" i="3"/>
  <c r="A6999" i="3"/>
  <c r="B6998" i="3"/>
  <c r="A6998" i="3"/>
  <c r="B6997" i="3"/>
  <c r="A6997" i="3"/>
  <c r="B6996" i="3"/>
  <c r="A6996" i="3"/>
  <c r="B6995" i="3"/>
  <c r="A6995" i="3"/>
  <c r="B6994" i="3"/>
  <c r="A6994" i="3"/>
  <c r="B6993" i="3"/>
  <c r="A6993" i="3"/>
  <c r="B6992" i="3"/>
  <c r="A6992" i="3"/>
  <c r="B6991" i="3"/>
  <c r="A6991" i="3"/>
  <c r="B6990" i="3"/>
  <c r="A6990" i="3"/>
  <c r="B6989" i="3"/>
  <c r="A6989" i="3"/>
  <c r="B6988" i="3"/>
  <c r="A6988" i="3"/>
  <c r="B6987" i="3"/>
  <c r="A6987" i="3"/>
  <c r="B6986" i="3"/>
  <c r="A6986" i="3"/>
  <c r="B6985" i="3"/>
  <c r="A6985" i="3"/>
  <c r="B6984" i="3"/>
  <c r="A6984" i="3"/>
  <c r="B6983" i="3"/>
  <c r="A6983" i="3"/>
  <c r="B6982" i="3"/>
  <c r="A6982" i="3"/>
  <c r="B6981" i="3"/>
  <c r="A6981" i="3"/>
  <c r="B6980" i="3"/>
  <c r="A6980" i="3"/>
  <c r="B6979" i="3"/>
  <c r="A6979" i="3"/>
  <c r="B6978" i="3"/>
  <c r="A6978" i="3"/>
  <c r="B6977" i="3"/>
  <c r="A6977" i="3"/>
  <c r="B6976" i="3"/>
  <c r="A6976" i="3"/>
  <c r="B6975" i="3"/>
  <c r="A6975" i="3"/>
  <c r="B6974" i="3"/>
  <c r="A6974" i="3"/>
  <c r="B6973" i="3"/>
  <c r="A6973" i="3"/>
  <c r="B6972" i="3"/>
  <c r="A6972" i="3"/>
  <c r="B6971" i="3"/>
  <c r="A6971" i="3"/>
  <c r="B6970" i="3"/>
  <c r="A6970" i="3"/>
  <c r="B6969" i="3"/>
  <c r="A6969" i="3"/>
  <c r="B6968" i="3"/>
  <c r="A6968" i="3"/>
  <c r="B6967" i="3"/>
  <c r="A6967" i="3"/>
  <c r="B6966" i="3"/>
  <c r="A6966" i="3"/>
  <c r="B6965" i="3"/>
  <c r="A6965" i="3"/>
  <c r="B6964" i="3"/>
  <c r="A6964" i="3"/>
  <c r="B6963" i="3"/>
  <c r="A6963" i="3"/>
  <c r="B6962" i="3"/>
  <c r="A6962" i="3"/>
  <c r="B6961" i="3"/>
  <c r="A6961" i="3"/>
  <c r="B6960" i="3"/>
  <c r="A6960" i="3"/>
  <c r="B6959" i="3"/>
  <c r="A6959" i="3"/>
  <c r="B6958" i="3"/>
  <c r="A6958" i="3"/>
  <c r="B6957" i="3"/>
  <c r="A6957" i="3"/>
  <c r="B6956" i="3"/>
  <c r="A6956" i="3"/>
  <c r="B6955" i="3"/>
  <c r="A6955" i="3"/>
  <c r="B6954" i="3"/>
  <c r="A6954" i="3"/>
  <c r="B6953" i="3"/>
  <c r="A6953" i="3"/>
  <c r="B6952" i="3"/>
  <c r="A6952" i="3"/>
  <c r="B6951" i="3"/>
  <c r="A6951" i="3"/>
  <c r="B6950" i="3"/>
  <c r="A6950" i="3"/>
  <c r="B6949" i="3"/>
  <c r="A6949" i="3"/>
  <c r="B6948" i="3"/>
  <c r="A6948" i="3"/>
  <c r="B6947" i="3"/>
  <c r="A6947" i="3"/>
  <c r="B6946" i="3"/>
  <c r="A6946" i="3"/>
  <c r="B6945" i="3"/>
  <c r="A6945" i="3"/>
  <c r="B6944" i="3"/>
  <c r="A6944" i="3"/>
  <c r="B6943" i="3"/>
  <c r="A6943" i="3"/>
  <c r="B6942" i="3"/>
  <c r="A6942" i="3"/>
  <c r="B6941" i="3"/>
  <c r="A6941" i="3"/>
  <c r="B6940" i="3"/>
  <c r="A6940" i="3"/>
  <c r="B6939" i="3"/>
  <c r="A6939" i="3"/>
  <c r="B6938" i="3"/>
  <c r="A6938" i="3"/>
  <c r="B6937" i="3"/>
  <c r="A6937" i="3"/>
  <c r="B6936" i="3"/>
  <c r="A6936" i="3"/>
  <c r="B6935" i="3"/>
  <c r="A6935" i="3"/>
  <c r="B6934" i="3"/>
  <c r="A6934" i="3"/>
  <c r="B6933" i="3"/>
  <c r="A6933" i="3"/>
  <c r="B6932" i="3"/>
  <c r="A6932" i="3"/>
  <c r="B6931" i="3"/>
  <c r="A6931" i="3"/>
  <c r="B6930" i="3"/>
  <c r="A6930" i="3"/>
  <c r="B6929" i="3"/>
  <c r="A6929" i="3"/>
  <c r="B6928" i="3"/>
  <c r="A6928" i="3"/>
  <c r="B6927" i="3"/>
  <c r="A6927" i="3"/>
  <c r="B6926" i="3"/>
  <c r="A6926" i="3"/>
  <c r="B6925" i="3"/>
  <c r="A6925" i="3"/>
  <c r="B6924" i="3"/>
  <c r="A6924" i="3"/>
  <c r="B6923" i="3"/>
  <c r="A6923" i="3"/>
  <c r="B6922" i="3"/>
  <c r="A6922" i="3"/>
  <c r="B6921" i="3"/>
  <c r="A6921" i="3"/>
  <c r="B6920" i="3"/>
  <c r="A6920" i="3"/>
  <c r="B6919" i="3"/>
  <c r="A6919" i="3"/>
  <c r="B6918" i="3"/>
  <c r="A6918" i="3"/>
  <c r="B6917" i="3"/>
  <c r="A6917" i="3"/>
  <c r="B6916" i="3"/>
  <c r="A6916" i="3"/>
  <c r="B6915" i="3"/>
  <c r="A6915" i="3"/>
  <c r="B6914" i="3"/>
  <c r="A6914" i="3"/>
  <c r="B6913" i="3"/>
  <c r="A6913" i="3"/>
  <c r="B6912" i="3"/>
  <c r="A6912" i="3"/>
  <c r="B6911" i="3"/>
  <c r="A6911" i="3"/>
  <c r="B6910" i="3"/>
  <c r="A6910" i="3"/>
  <c r="B6909" i="3"/>
  <c r="A6909" i="3"/>
  <c r="B6908" i="3"/>
  <c r="A6908" i="3"/>
  <c r="B6907" i="3"/>
  <c r="A6907" i="3"/>
  <c r="B6906" i="3"/>
  <c r="A6906" i="3"/>
  <c r="B6905" i="3"/>
  <c r="A6905" i="3"/>
  <c r="B6904" i="3"/>
  <c r="A6904" i="3"/>
  <c r="B6903" i="3"/>
  <c r="A6903" i="3"/>
  <c r="B6902" i="3"/>
  <c r="A6902" i="3"/>
  <c r="B6901" i="3"/>
  <c r="A6901" i="3"/>
  <c r="B6900" i="3"/>
  <c r="A6900" i="3"/>
  <c r="B6899" i="3"/>
  <c r="A6899" i="3"/>
  <c r="B6898" i="3"/>
  <c r="A6898" i="3"/>
  <c r="B6897" i="3"/>
  <c r="A6897" i="3"/>
  <c r="B6896" i="3"/>
  <c r="A6896" i="3"/>
  <c r="B6895" i="3"/>
  <c r="A6895" i="3"/>
  <c r="B6894" i="3"/>
  <c r="A6894" i="3"/>
  <c r="B6893" i="3"/>
  <c r="A6893" i="3"/>
  <c r="B6892" i="3"/>
  <c r="A6892" i="3"/>
  <c r="B6891" i="3"/>
  <c r="A6891" i="3"/>
  <c r="B6890" i="3"/>
  <c r="A6890" i="3"/>
  <c r="B6889" i="3"/>
  <c r="A6889" i="3"/>
  <c r="B6888" i="3"/>
  <c r="A6888" i="3"/>
  <c r="B6887" i="3"/>
  <c r="A6887" i="3"/>
  <c r="B6886" i="3"/>
  <c r="A6886" i="3"/>
  <c r="B6885" i="3"/>
  <c r="A6885" i="3"/>
  <c r="B6884" i="3"/>
  <c r="A6884" i="3"/>
  <c r="B6883" i="3"/>
  <c r="A6883" i="3"/>
  <c r="B6882" i="3"/>
  <c r="A6882" i="3"/>
  <c r="B6881" i="3"/>
  <c r="A6881" i="3"/>
  <c r="B6880" i="3"/>
  <c r="A6880" i="3"/>
  <c r="B6879" i="3"/>
  <c r="A6879" i="3"/>
  <c r="B6878" i="3"/>
  <c r="A6878" i="3"/>
  <c r="B6877" i="3"/>
  <c r="A6877" i="3"/>
  <c r="B6876" i="3"/>
  <c r="A6876" i="3"/>
  <c r="B6875" i="3"/>
  <c r="A6875" i="3"/>
  <c r="B6874" i="3"/>
  <c r="A6874" i="3"/>
  <c r="B6873" i="3"/>
  <c r="A6873" i="3"/>
  <c r="B6872" i="3"/>
  <c r="A6872" i="3"/>
  <c r="B6871" i="3"/>
  <c r="A6871" i="3"/>
  <c r="B6870" i="3"/>
  <c r="A6870" i="3"/>
  <c r="B6869" i="3"/>
  <c r="A6869" i="3"/>
  <c r="B6868" i="3"/>
  <c r="A6868" i="3"/>
  <c r="B6867" i="3"/>
  <c r="A6867" i="3"/>
  <c r="B6866" i="3"/>
  <c r="A6866" i="3"/>
  <c r="B6865" i="3"/>
  <c r="A6865" i="3"/>
  <c r="B6864" i="3"/>
  <c r="A6864" i="3"/>
  <c r="B6863" i="3"/>
  <c r="A6863" i="3"/>
  <c r="B6862" i="3"/>
  <c r="A6862" i="3"/>
  <c r="B6861" i="3"/>
  <c r="A6861" i="3"/>
  <c r="B6860" i="3"/>
  <c r="A6860" i="3"/>
  <c r="B6859" i="3"/>
  <c r="A6859" i="3"/>
  <c r="B6858" i="3"/>
  <c r="A6858" i="3"/>
  <c r="B6857" i="3"/>
  <c r="A6857" i="3"/>
  <c r="B6856" i="3"/>
  <c r="A6856" i="3"/>
  <c r="B6855" i="3"/>
  <c r="A6855" i="3"/>
  <c r="B6854" i="3"/>
  <c r="A6854" i="3"/>
  <c r="B6853" i="3"/>
  <c r="A6853" i="3"/>
  <c r="B6852" i="3"/>
  <c r="A6852" i="3"/>
  <c r="B6851" i="3"/>
  <c r="A6851" i="3"/>
  <c r="B6850" i="3"/>
  <c r="A6850" i="3"/>
  <c r="B6849" i="3"/>
  <c r="A6849" i="3"/>
  <c r="B6848" i="3"/>
  <c r="A6848" i="3"/>
  <c r="B6847" i="3"/>
  <c r="A6847" i="3"/>
  <c r="B6846" i="3"/>
  <c r="A6846" i="3"/>
  <c r="B6845" i="3"/>
  <c r="A6845" i="3"/>
  <c r="B6844" i="3"/>
  <c r="A6844" i="3"/>
  <c r="B6843" i="3"/>
  <c r="A6843" i="3"/>
  <c r="B6842" i="3"/>
  <c r="A6842" i="3"/>
  <c r="B6841" i="3"/>
  <c r="A6841" i="3"/>
  <c r="B6840" i="3"/>
  <c r="A6840" i="3"/>
  <c r="B6839" i="3"/>
  <c r="A6839" i="3"/>
  <c r="B6838" i="3"/>
  <c r="A6838" i="3"/>
  <c r="B6837" i="3"/>
  <c r="A6837" i="3"/>
  <c r="B6836" i="3"/>
  <c r="A6836" i="3"/>
  <c r="B6835" i="3"/>
  <c r="A6835" i="3"/>
  <c r="B6834" i="3"/>
  <c r="A6834" i="3"/>
  <c r="B6833" i="3"/>
  <c r="A6833" i="3"/>
  <c r="B6832" i="3"/>
  <c r="A6832" i="3"/>
  <c r="B6831" i="3"/>
  <c r="A6831" i="3"/>
  <c r="B6830" i="3"/>
  <c r="A6830" i="3"/>
  <c r="B6829" i="3"/>
  <c r="A6829" i="3"/>
  <c r="B6828" i="3"/>
  <c r="A6828" i="3"/>
  <c r="B6827" i="3"/>
  <c r="A6827" i="3"/>
  <c r="B6826" i="3"/>
  <c r="A6826" i="3"/>
  <c r="B6825" i="3"/>
  <c r="A6825" i="3"/>
  <c r="B6824" i="3"/>
  <c r="A6824" i="3"/>
  <c r="B6823" i="3"/>
  <c r="A6823" i="3"/>
  <c r="B6822" i="3"/>
  <c r="A6822" i="3"/>
  <c r="B6821" i="3"/>
  <c r="A6821" i="3"/>
  <c r="B6820" i="3"/>
  <c r="A6820" i="3"/>
  <c r="B6819" i="3"/>
  <c r="A6819" i="3"/>
  <c r="B6818" i="3"/>
  <c r="A6818" i="3"/>
  <c r="B6817" i="3"/>
  <c r="A6817" i="3"/>
  <c r="B6816" i="3"/>
  <c r="A6816" i="3"/>
  <c r="B6815" i="3"/>
  <c r="A6815" i="3"/>
  <c r="B6814" i="3"/>
  <c r="A6814" i="3"/>
  <c r="B6813" i="3"/>
  <c r="A6813" i="3"/>
  <c r="B6812" i="3"/>
  <c r="A6812" i="3"/>
  <c r="B6811" i="3"/>
  <c r="A6811" i="3"/>
  <c r="B6810" i="3"/>
  <c r="A6810" i="3"/>
  <c r="B6809" i="3"/>
  <c r="A6809" i="3"/>
  <c r="B6808" i="3"/>
  <c r="A6808" i="3"/>
  <c r="B6807" i="3"/>
  <c r="A6807" i="3"/>
  <c r="B6806" i="3"/>
  <c r="A6806" i="3"/>
  <c r="B6805" i="3"/>
  <c r="A6805" i="3"/>
  <c r="B6804" i="3"/>
  <c r="A6804" i="3"/>
  <c r="B6803" i="3"/>
  <c r="A6803" i="3"/>
  <c r="B6802" i="3"/>
  <c r="A6802" i="3"/>
  <c r="B6801" i="3"/>
  <c r="A6801" i="3"/>
  <c r="B6800" i="3"/>
  <c r="A6800" i="3"/>
  <c r="B6799" i="3"/>
  <c r="A6799" i="3"/>
  <c r="B6798" i="3"/>
  <c r="A6798" i="3"/>
  <c r="B6797" i="3"/>
  <c r="A6797" i="3"/>
  <c r="B6796" i="3"/>
  <c r="A6796" i="3"/>
  <c r="B6795" i="3"/>
  <c r="A6795" i="3"/>
  <c r="B6794" i="3"/>
  <c r="A6794" i="3"/>
  <c r="B6793" i="3"/>
  <c r="A6793" i="3"/>
  <c r="B6792" i="3"/>
  <c r="A6792" i="3"/>
  <c r="B6791" i="3"/>
  <c r="A6791" i="3"/>
  <c r="B6790" i="3"/>
  <c r="A6790" i="3"/>
  <c r="B6789" i="3"/>
  <c r="A6789" i="3"/>
  <c r="B6788" i="3"/>
  <c r="A6788" i="3"/>
  <c r="B6787" i="3"/>
  <c r="A6787" i="3"/>
  <c r="B6786" i="3"/>
  <c r="A6786" i="3"/>
  <c r="B6785" i="3"/>
  <c r="A6785" i="3"/>
  <c r="B6784" i="3"/>
  <c r="A6784" i="3"/>
  <c r="B6783" i="3"/>
  <c r="A6783" i="3"/>
  <c r="B6782" i="3"/>
  <c r="A6782" i="3"/>
  <c r="B6781" i="3"/>
  <c r="A6781" i="3"/>
  <c r="B6780" i="3"/>
  <c r="A6780" i="3"/>
  <c r="B6779" i="3"/>
  <c r="A6779" i="3"/>
  <c r="B6778" i="3"/>
  <c r="A6778" i="3"/>
  <c r="B6777" i="3"/>
  <c r="A6777" i="3"/>
  <c r="B6776" i="3"/>
  <c r="A6776" i="3"/>
  <c r="B6775" i="3"/>
  <c r="A6775" i="3"/>
  <c r="B6774" i="3"/>
  <c r="A6774" i="3"/>
  <c r="B6773" i="3"/>
  <c r="A6773" i="3"/>
  <c r="B6772" i="3"/>
  <c r="A6772" i="3"/>
  <c r="B6771" i="3"/>
  <c r="A6771" i="3"/>
  <c r="B6770" i="3"/>
  <c r="A6770" i="3"/>
  <c r="B6769" i="3"/>
  <c r="A6769" i="3"/>
  <c r="B6768" i="3"/>
  <c r="A6768" i="3"/>
  <c r="B6767" i="3"/>
  <c r="A6767" i="3"/>
  <c r="B6766" i="3"/>
  <c r="A6766" i="3"/>
  <c r="B6765" i="3"/>
  <c r="A6765" i="3"/>
  <c r="B6764" i="3"/>
  <c r="A6764" i="3"/>
  <c r="B6763" i="3"/>
  <c r="A6763" i="3"/>
  <c r="B6762" i="3"/>
  <c r="A6762" i="3"/>
  <c r="B6761" i="3"/>
  <c r="A6761" i="3"/>
  <c r="B6760" i="3"/>
  <c r="A6760" i="3"/>
  <c r="B6759" i="3"/>
  <c r="A6759" i="3"/>
  <c r="B6758" i="3"/>
  <c r="A6758" i="3"/>
  <c r="B6757" i="3"/>
  <c r="A6757" i="3"/>
  <c r="B6756" i="3"/>
  <c r="A6756" i="3"/>
  <c r="B6755" i="3"/>
  <c r="A6755" i="3"/>
  <c r="B6754" i="3"/>
  <c r="A6754" i="3"/>
  <c r="B6753" i="3"/>
  <c r="A6753" i="3"/>
  <c r="B6752" i="3"/>
  <c r="A6752" i="3"/>
  <c r="B6751" i="3"/>
  <c r="A6751" i="3"/>
  <c r="B6750" i="3"/>
  <c r="A6750" i="3"/>
  <c r="B6749" i="3"/>
  <c r="A6749" i="3"/>
  <c r="B6748" i="3"/>
  <c r="A6748" i="3"/>
  <c r="B6747" i="3"/>
  <c r="A6747" i="3"/>
  <c r="B6746" i="3"/>
  <c r="A6746" i="3"/>
  <c r="B6745" i="3"/>
  <c r="A6745" i="3"/>
  <c r="B6744" i="3"/>
  <c r="A6744" i="3"/>
  <c r="B6743" i="3"/>
  <c r="A6743" i="3"/>
  <c r="B6742" i="3"/>
  <c r="A6742" i="3"/>
  <c r="B6741" i="3"/>
  <c r="A6741" i="3"/>
  <c r="B6740" i="3"/>
  <c r="A6740" i="3"/>
  <c r="B6739" i="3"/>
  <c r="A6739" i="3"/>
  <c r="B6738" i="3"/>
  <c r="A6738" i="3"/>
  <c r="B6737" i="3"/>
  <c r="A6737" i="3"/>
  <c r="B6736" i="3"/>
  <c r="A6736" i="3"/>
  <c r="B6735" i="3"/>
  <c r="A6735" i="3"/>
  <c r="B6734" i="3"/>
  <c r="A6734" i="3"/>
  <c r="B6733" i="3"/>
  <c r="A6733" i="3"/>
  <c r="B6732" i="3"/>
  <c r="A6732" i="3"/>
  <c r="B6731" i="3"/>
  <c r="A6731" i="3"/>
  <c r="B6730" i="3"/>
  <c r="A6730" i="3"/>
  <c r="B6729" i="3"/>
  <c r="A6729" i="3"/>
  <c r="B6728" i="3"/>
  <c r="A6728" i="3"/>
  <c r="B6727" i="3"/>
  <c r="A6727" i="3"/>
  <c r="B6726" i="3"/>
  <c r="A6726" i="3"/>
  <c r="B6725" i="3"/>
  <c r="A6725" i="3"/>
  <c r="B6724" i="3"/>
  <c r="A6724" i="3"/>
  <c r="B6723" i="3"/>
  <c r="A6723" i="3"/>
  <c r="B6722" i="3"/>
  <c r="A6722" i="3"/>
  <c r="B6721" i="3"/>
  <c r="A6721" i="3"/>
  <c r="B6720" i="3"/>
  <c r="A6720" i="3"/>
  <c r="B6719" i="3"/>
  <c r="A6719" i="3"/>
  <c r="B6718" i="3"/>
  <c r="A6718" i="3"/>
  <c r="B6717" i="3"/>
  <c r="A6717" i="3"/>
  <c r="B6716" i="3"/>
  <c r="A6716" i="3"/>
  <c r="B6715" i="3"/>
  <c r="A6715" i="3"/>
  <c r="B6714" i="3"/>
  <c r="A6714" i="3"/>
  <c r="B6713" i="3"/>
  <c r="A6713" i="3"/>
  <c r="B6712" i="3"/>
  <c r="A6712" i="3"/>
  <c r="B6711" i="3"/>
  <c r="A6711" i="3"/>
  <c r="B6710" i="3"/>
  <c r="A6710" i="3"/>
  <c r="B6709" i="3"/>
  <c r="A6709" i="3"/>
  <c r="B6708" i="3"/>
  <c r="A6708" i="3"/>
  <c r="B6707" i="3"/>
  <c r="A6707" i="3"/>
  <c r="B6706" i="3"/>
  <c r="A6706" i="3"/>
  <c r="B6705" i="3"/>
  <c r="A6705" i="3"/>
  <c r="B6704" i="3"/>
  <c r="A6704" i="3"/>
  <c r="B6703" i="3"/>
  <c r="A6703" i="3"/>
  <c r="B6702" i="3"/>
  <c r="A6702" i="3"/>
  <c r="B6701" i="3"/>
  <c r="A6701" i="3"/>
  <c r="B6700" i="3"/>
  <c r="A6700" i="3"/>
  <c r="B6699" i="3"/>
  <c r="A6699" i="3"/>
  <c r="B6698" i="3"/>
  <c r="A6698" i="3"/>
  <c r="B6697" i="3"/>
  <c r="A6697" i="3"/>
  <c r="B6696" i="3"/>
  <c r="A6696" i="3"/>
  <c r="B6695" i="3"/>
  <c r="A6695" i="3"/>
  <c r="B6694" i="3"/>
  <c r="A6694" i="3"/>
  <c r="B6693" i="3"/>
  <c r="A6693" i="3"/>
  <c r="B6692" i="3"/>
  <c r="A6692" i="3"/>
  <c r="B6691" i="3"/>
  <c r="A6691" i="3"/>
  <c r="B6690" i="3"/>
  <c r="A6690" i="3"/>
  <c r="B6689" i="3"/>
  <c r="A6689" i="3"/>
  <c r="B6688" i="3"/>
  <c r="A6688" i="3"/>
  <c r="B6687" i="3"/>
  <c r="A6687" i="3"/>
  <c r="B6686" i="3"/>
  <c r="A6686" i="3"/>
  <c r="B6685" i="3"/>
  <c r="A6685" i="3"/>
  <c r="B6684" i="3"/>
  <c r="A6684" i="3"/>
  <c r="B6683" i="3"/>
  <c r="A6683" i="3"/>
  <c r="B6682" i="3"/>
  <c r="A6682" i="3"/>
  <c r="B6681" i="3"/>
  <c r="A6681" i="3"/>
  <c r="B6680" i="3"/>
  <c r="A6680" i="3"/>
  <c r="B6679" i="3"/>
  <c r="A6679" i="3"/>
  <c r="B6678" i="3"/>
  <c r="A6678" i="3"/>
  <c r="B6677" i="3"/>
  <c r="A6677" i="3"/>
  <c r="B6676" i="3"/>
  <c r="A6676" i="3"/>
  <c r="B6675" i="3"/>
  <c r="A6675" i="3"/>
  <c r="B6674" i="3"/>
  <c r="A6674" i="3"/>
  <c r="B6673" i="3"/>
  <c r="A6673" i="3"/>
  <c r="B6672" i="3"/>
  <c r="A6672" i="3"/>
  <c r="B6671" i="3"/>
  <c r="A6671" i="3"/>
  <c r="B6670" i="3"/>
  <c r="A6670" i="3"/>
  <c r="B6669" i="3"/>
  <c r="A6669" i="3"/>
  <c r="B6668" i="3"/>
  <c r="A6668" i="3"/>
  <c r="B6667" i="3"/>
  <c r="A6667" i="3"/>
  <c r="B6666" i="3"/>
  <c r="A6666" i="3"/>
  <c r="B6665" i="3"/>
  <c r="A6665" i="3"/>
  <c r="B6664" i="3"/>
  <c r="A6664" i="3"/>
  <c r="B6663" i="3"/>
  <c r="A6663" i="3"/>
  <c r="B6662" i="3"/>
  <c r="A6662" i="3"/>
  <c r="B6661" i="3"/>
  <c r="A6661" i="3"/>
  <c r="B6660" i="3"/>
  <c r="A6660" i="3"/>
  <c r="B6659" i="3"/>
  <c r="A6659" i="3"/>
  <c r="B6658" i="3"/>
  <c r="A6658" i="3"/>
  <c r="B6657" i="3"/>
  <c r="A6657" i="3"/>
  <c r="B6656" i="3"/>
  <c r="A6656" i="3"/>
  <c r="B6655" i="3"/>
  <c r="A6655" i="3"/>
  <c r="B6654" i="3"/>
  <c r="A6654" i="3"/>
  <c r="B6653" i="3"/>
  <c r="A6653" i="3"/>
  <c r="B6652" i="3"/>
  <c r="A6652" i="3"/>
  <c r="B6651" i="3"/>
  <c r="A6651" i="3"/>
  <c r="B6650" i="3"/>
  <c r="A6650" i="3"/>
  <c r="B6649" i="3"/>
  <c r="A6649" i="3"/>
  <c r="B6648" i="3"/>
  <c r="A6648" i="3"/>
  <c r="B6647" i="3"/>
  <c r="A6647" i="3"/>
  <c r="B6646" i="3"/>
  <c r="A6646" i="3"/>
  <c r="B6645" i="3"/>
  <c r="A6645" i="3"/>
  <c r="B6644" i="3"/>
  <c r="A6644" i="3"/>
  <c r="B6643" i="3"/>
  <c r="A6643" i="3"/>
  <c r="B6642" i="3"/>
  <c r="A6642" i="3"/>
  <c r="B6641" i="3"/>
  <c r="A6641" i="3"/>
  <c r="B6640" i="3"/>
  <c r="A6640" i="3"/>
  <c r="B6639" i="3"/>
  <c r="A6639" i="3"/>
  <c r="B6638" i="3"/>
  <c r="A6638" i="3"/>
  <c r="B6637" i="3"/>
  <c r="A6637" i="3"/>
  <c r="B6636" i="3"/>
  <c r="A6636" i="3"/>
  <c r="B6635" i="3"/>
  <c r="A6635" i="3"/>
  <c r="B6634" i="3"/>
  <c r="A6634" i="3"/>
  <c r="B6633" i="3"/>
  <c r="A6633" i="3"/>
  <c r="B6632" i="3"/>
  <c r="A6632" i="3"/>
  <c r="B6631" i="3"/>
  <c r="A6631" i="3"/>
  <c r="B6630" i="3"/>
  <c r="A6630" i="3"/>
  <c r="B6629" i="3"/>
  <c r="A6629" i="3"/>
  <c r="B6628" i="3"/>
  <c r="A6628" i="3"/>
  <c r="B6627" i="3"/>
  <c r="A6627" i="3"/>
  <c r="B6626" i="3"/>
  <c r="A6626" i="3"/>
  <c r="B6625" i="3"/>
  <c r="A6625" i="3"/>
  <c r="B6624" i="3"/>
  <c r="A6624" i="3"/>
  <c r="B6623" i="3"/>
  <c r="A6623" i="3"/>
  <c r="B6622" i="3"/>
  <c r="A6622" i="3"/>
  <c r="B6621" i="3"/>
  <c r="A6621" i="3"/>
  <c r="B6620" i="3"/>
  <c r="A6620" i="3"/>
  <c r="B6619" i="3"/>
  <c r="A6619" i="3"/>
  <c r="B6618" i="3"/>
  <c r="A6618" i="3"/>
  <c r="B6617" i="3"/>
  <c r="A6617" i="3"/>
  <c r="B6616" i="3"/>
  <c r="A6616" i="3"/>
  <c r="B6615" i="3"/>
  <c r="A6615" i="3"/>
  <c r="B6614" i="3"/>
  <c r="A6614" i="3"/>
  <c r="B6613" i="3"/>
  <c r="A6613" i="3"/>
  <c r="B6612" i="3"/>
  <c r="A6612" i="3"/>
  <c r="B6611" i="3"/>
  <c r="A6611" i="3"/>
  <c r="B6610" i="3"/>
  <c r="A6610" i="3"/>
  <c r="B6609" i="3"/>
  <c r="A6609" i="3"/>
  <c r="B6608" i="3"/>
  <c r="A6608" i="3"/>
  <c r="B6607" i="3"/>
  <c r="A6607" i="3"/>
  <c r="B6606" i="3"/>
  <c r="A6606" i="3"/>
  <c r="B6605" i="3"/>
  <c r="A6605" i="3"/>
  <c r="B6604" i="3"/>
  <c r="A6604" i="3"/>
  <c r="B6603" i="3"/>
  <c r="A6603" i="3"/>
  <c r="B6602" i="3"/>
  <c r="A6602" i="3"/>
  <c r="B6601" i="3"/>
  <c r="A6601" i="3"/>
  <c r="B6600" i="3"/>
  <c r="A6600" i="3"/>
  <c r="B6599" i="3"/>
  <c r="A6599" i="3"/>
  <c r="B6598" i="3"/>
  <c r="A6598" i="3"/>
  <c r="B6597" i="3"/>
  <c r="A6597" i="3"/>
  <c r="B6596" i="3"/>
  <c r="A6596" i="3"/>
  <c r="B6595" i="3"/>
  <c r="A6595" i="3"/>
  <c r="B6594" i="3"/>
  <c r="A6594" i="3"/>
  <c r="B6593" i="3"/>
  <c r="A6593" i="3"/>
  <c r="B6592" i="3"/>
  <c r="A6592" i="3"/>
  <c r="B6591" i="3"/>
  <c r="A6591" i="3"/>
  <c r="B6590" i="3"/>
  <c r="A6590" i="3"/>
  <c r="B6589" i="3"/>
  <c r="A6589" i="3"/>
  <c r="B6588" i="3"/>
  <c r="A6588" i="3"/>
  <c r="B6587" i="3"/>
  <c r="A6587" i="3"/>
  <c r="B6586" i="3"/>
  <c r="A6586" i="3"/>
  <c r="B6585" i="3"/>
  <c r="A6585" i="3"/>
  <c r="B6584" i="3"/>
  <c r="A6584" i="3"/>
  <c r="B6583" i="3"/>
  <c r="A6583" i="3"/>
  <c r="B6582" i="3"/>
  <c r="A6582" i="3"/>
  <c r="B6581" i="3"/>
  <c r="A6581" i="3"/>
  <c r="B6580" i="3"/>
  <c r="A6580" i="3"/>
  <c r="B6579" i="3"/>
  <c r="A6579" i="3"/>
  <c r="B6578" i="3"/>
  <c r="A6578" i="3"/>
  <c r="B6577" i="3"/>
  <c r="A6577" i="3"/>
  <c r="B6576" i="3"/>
  <c r="A6576" i="3"/>
  <c r="B6575" i="3"/>
  <c r="A6575" i="3"/>
  <c r="B6574" i="3"/>
  <c r="A6574" i="3"/>
  <c r="B6573" i="3"/>
  <c r="A6573" i="3"/>
  <c r="B6572" i="3"/>
  <c r="A6572" i="3"/>
  <c r="B6571" i="3"/>
  <c r="A6571" i="3"/>
  <c r="B6570" i="3"/>
  <c r="A6570" i="3"/>
  <c r="B6569" i="3"/>
  <c r="A6569" i="3"/>
  <c r="B6568" i="3"/>
  <c r="A6568" i="3"/>
  <c r="B6567" i="3"/>
  <c r="A6567" i="3"/>
  <c r="B6566" i="3"/>
  <c r="A6566" i="3"/>
  <c r="B6565" i="3"/>
  <c r="A6565" i="3"/>
  <c r="B6564" i="3"/>
  <c r="A6564" i="3"/>
  <c r="B6563" i="3"/>
  <c r="A6563" i="3"/>
  <c r="B6562" i="3"/>
  <c r="A6562" i="3"/>
  <c r="B6561" i="3"/>
  <c r="A6561" i="3"/>
  <c r="B6560" i="3"/>
  <c r="A6560" i="3"/>
  <c r="B6559" i="3"/>
  <c r="A6559" i="3"/>
  <c r="B6558" i="3"/>
  <c r="A6558" i="3"/>
  <c r="B6557" i="3"/>
  <c r="A6557" i="3"/>
  <c r="B6556" i="3"/>
  <c r="A6556" i="3"/>
  <c r="B6555" i="3"/>
  <c r="A6555" i="3"/>
  <c r="B6554" i="3"/>
  <c r="A6554" i="3"/>
  <c r="B6553" i="3"/>
  <c r="A6553" i="3"/>
  <c r="B6552" i="3"/>
  <c r="A6552" i="3"/>
  <c r="B6551" i="3"/>
  <c r="A6551" i="3"/>
  <c r="B6550" i="3"/>
  <c r="A6550" i="3"/>
  <c r="B6549" i="3"/>
  <c r="A6549" i="3"/>
  <c r="B6548" i="3"/>
  <c r="A6548" i="3"/>
  <c r="B6547" i="3"/>
  <c r="A6547" i="3"/>
  <c r="B6546" i="3"/>
  <c r="A6546" i="3"/>
  <c r="B6545" i="3"/>
  <c r="A6545" i="3"/>
  <c r="B6544" i="3"/>
  <c r="A6544" i="3"/>
  <c r="B6543" i="3"/>
  <c r="A6543" i="3"/>
  <c r="B6542" i="3"/>
  <c r="A6542" i="3"/>
  <c r="B6541" i="3"/>
  <c r="A6541" i="3"/>
  <c r="B6540" i="3"/>
  <c r="A6540" i="3"/>
  <c r="B6539" i="3"/>
  <c r="A6539" i="3"/>
  <c r="B6538" i="3"/>
  <c r="A6538" i="3"/>
  <c r="B6537" i="3"/>
  <c r="A6537" i="3"/>
  <c r="B6536" i="3"/>
  <c r="A6536" i="3"/>
  <c r="B6535" i="3"/>
  <c r="A6535" i="3"/>
  <c r="B6534" i="3"/>
  <c r="A6534" i="3"/>
  <c r="B6533" i="3"/>
  <c r="A6533" i="3"/>
  <c r="B6532" i="3"/>
  <c r="A6532" i="3"/>
  <c r="B6531" i="3"/>
  <c r="A6531" i="3"/>
  <c r="B6530" i="3"/>
  <c r="A6530" i="3"/>
  <c r="B6529" i="3"/>
  <c r="A6529" i="3"/>
  <c r="B6528" i="3"/>
  <c r="A6528" i="3"/>
  <c r="B6527" i="3"/>
  <c r="A6527" i="3"/>
  <c r="B6526" i="3"/>
  <c r="A6526" i="3"/>
  <c r="B6525" i="3"/>
  <c r="A6525" i="3"/>
  <c r="B6524" i="3"/>
  <c r="A6524" i="3"/>
  <c r="B6523" i="3"/>
  <c r="A6523" i="3"/>
  <c r="B6522" i="3"/>
  <c r="A6522" i="3"/>
  <c r="B6521" i="3"/>
  <c r="A6521" i="3"/>
  <c r="B6520" i="3"/>
  <c r="A6520" i="3"/>
  <c r="B6519" i="3"/>
  <c r="A6519" i="3"/>
  <c r="B6518" i="3"/>
  <c r="A6518" i="3"/>
  <c r="B6517" i="3"/>
  <c r="A6517" i="3"/>
  <c r="B6516" i="3"/>
  <c r="A6516" i="3"/>
  <c r="B6515" i="3"/>
  <c r="A6515" i="3"/>
  <c r="B6514" i="3"/>
  <c r="A6514" i="3"/>
  <c r="B6513" i="3"/>
  <c r="A6513" i="3"/>
  <c r="B6512" i="3"/>
  <c r="A6512" i="3"/>
  <c r="B6511" i="3"/>
  <c r="A6511" i="3"/>
  <c r="B6510" i="3"/>
  <c r="A6510" i="3"/>
  <c r="B6509" i="3"/>
  <c r="A6509" i="3"/>
  <c r="B6508" i="3"/>
  <c r="A6508" i="3"/>
  <c r="B6507" i="3"/>
  <c r="A6507" i="3"/>
  <c r="B6506" i="3"/>
  <c r="A6506" i="3"/>
  <c r="B6505" i="3"/>
  <c r="A6505" i="3"/>
  <c r="B6504" i="3"/>
  <c r="A6504" i="3"/>
  <c r="B6503" i="3"/>
  <c r="A6503" i="3"/>
  <c r="B6502" i="3"/>
  <c r="A6502" i="3"/>
  <c r="B6501" i="3"/>
  <c r="A6501" i="3"/>
  <c r="B6500" i="3"/>
  <c r="A6500" i="3"/>
  <c r="B6499" i="3"/>
  <c r="A6499" i="3"/>
  <c r="B6498" i="3"/>
  <c r="A6498" i="3"/>
  <c r="B6497" i="3"/>
  <c r="A6497" i="3"/>
  <c r="B6496" i="3"/>
  <c r="A6496" i="3"/>
  <c r="B6495" i="3"/>
  <c r="A6495" i="3"/>
  <c r="B6494" i="3"/>
  <c r="A6494" i="3"/>
  <c r="B6493" i="3"/>
  <c r="A6493" i="3"/>
  <c r="B6492" i="3"/>
  <c r="A6492" i="3"/>
  <c r="B6491" i="3"/>
  <c r="A6491" i="3"/>
  <c r="B6490" i="3"/>
  <c r="A6490" i="3"/>
  <c r="B6489" i="3"/>
  <c r="A6489" i="3"/>
  <c r="B6488" i="3"/>
  <c r="A6488" i="3"/>
  <c r="B6487" i="3"/>
  <c r="A6487" i="3"/>
  <c r="B6486" i="3"/>
  <c r="A6486" i="3"/>
  <c r="B6485" i="3"/>
  <c r="A6485" i="3"/>
  <c r="B6484" i="3"/>
  <c r="A6484" i="3"/>
  <c r="B6483" i="3"/>
  <c r="A6483" i="3"/>
  <c r="B6482" i="3"/>
  <c r="A6482" i="3"/>
  <c r="B6481" i="3"/>
  <c r="A6481" i="3"/>
  <c r="B6480" i="3"/>
  <c r="A6480" i="3"/>
  <c r="B6479" i="3"/>
  <c r="A6479" i="3"/>
  <c r="B6478" i="3"/>
  <c r="A6478" i="3"/>
  <c r="B6477" i="3"/>
  <c r="A6477" i="3"/>
  <c r="B6476" i="3"/>
  <c r="A6476" i="3"/>
  <c r="B6475" i="3"/>
  <c r="A6475" i="3"/>
  <c r="B6474" i="3"/>
  <c r="A6474" i="3"/>
  <c r="B6473" i="3"/>
  <c r="A6473" i="3"/>
  <c r="B6472" i="3"/>
  <c r="A6472" i="3"/>
  <c r="B6471" i="3"/>
  <c r="A6471" i="3"/>
  <c r="B6470" i="3"/>
  <c r="A6470" i="3"/>
  <c r="B6469" i="3"/>
  <c r="A6469" i="3"/>
  <c r="B6468" i="3"/>
  <c r="A6468" i="3"/>
  <c r="B6467" i="3"/>
  <c r="A6467" i="3"/>
  <c r="B6466" i="3"/>
  <c r="A6466" i="3"/>
  <c r="B6465" i="3"/>
  <c r="A6465" i="3"/>
  <c r="B6464" i="3"/>
  <c r="A6464" i="3"/>
  <c r="B6463" i="3"/>
  <c r="A6463" i="3"/>
  <c r="B6462" i="3"/>
  <c r="A6462" i="3"/>
  <c r="B6461" i="3"/>
  <c r="A6461" i="3"/>
  <c r="B6460" i="3"/>
  <c r="A6460" i="3"/>
  <c r="B6459" i="3"/>
  <c r="A6459" i="3"/>
  <c r="B6458" i="3"/>
  <c r="A6458" i="3"/>
  <c r="B6457" i="3"/>
  <c r="A6457" i="3"/>
  <c r="B6456" i="3"/>
  <c r="A6456" i="3"/>
  <c r="B6455" i="3"/>
  <c r="A6455" i="3"/>
  <c r="B6454" i="3"/>
  <c r="A6454" i="3"/>
  <c r="B6453" i="3"/>
  <c r="A6453" i="3"/>
  <c r="B6452" i="3"/>
  <c r="A6452" i="3"/>
  <c r="B6451" i="3"/>
  <c r="A6451" i="3"/>
  <c r="B6450" i="3"/>
  <c r="A6450" i="3"/>
  <c r="B6449" i="3"/>
  <c r="A6449" i="3"/>
  <c r="B6448" i="3"/>
  <c r="A6448" i="3"/>
  <c r="B6447" i="3"/>
  <c r="A6447" i="3"/>
  <c r="B6446" i="3"/>
  <c r="A6446" i="3"/>
  <c r="B6445" i="3"/>
  <c r="A6445" i="3"/>
  <c r="B6444" i="3"/>
  <c r="A6444" i="3"/>
  <c r="B6443" i="3"/>
  <c r="A6443" i="3"/>
  <c r="B6442" i="3"/>
  <c r="A6442" i="3"/>
  <c r="B6441" i="3"/>
  <c r="A6441" i="3"/>
  <c r="B6440" i="3"/>
  <c r="A6440" i="3"/>
  <c r="B6439" i="3"/>
  <c r="A6439" i="3"/>
  <c r="B6438" i="3"/>
  <c r="A6438" i="3"/>
  <c r="B6437" i="3"/>
  <c r="A6437" i="3"/>
  <c r="B6436" i="3"/>
  <c r="A6436" i="3"/>
  <c r="B6435" i="3"/>
  <c r="A6435" i="3"/>
  <c r="B6434" i="3"/>
  <c r="A6434" i="3"/>
  <c r="B6433" i="3"/>
  <c r="A6433" i="3"/>
  <c r="B6432" i="3"/>
  <c r="A6432" i="3"/>
  <c r="B6431" i="3"/>
  <c r="A6431" i="3"/>
  <c r="B6430" i="3"/>
  <c r="A6430" i="3"/>
  <c r="B6429" i="3"/>
  <c r="A6429" i="3"/>
  <c r="B6428" i="3"/>
  <c r="A6428" i="3"/>
  <c r="B6427" i="3"/>
  <c r="A6427" i="3"/>
  <c r="B6426" i="3"/>
  <c r="A6426" i="3"/>
  <c r="B6425" i="3"/>
  <c r="A6425" i="3"/>
  <c r="B6424" i="3"/>
  <c r="A6424" i="3"/>
  <c r="B6423" i="3"/>
  <c r="A6423" i="3"/>
  <c r="B6422" i="3"/>
  <c r="A6422" i="3"/>
  <c r="B6421" i="3"/>
  <c r="A6421" i="3"/>
  <c r="B6420" i="3"/>
  <c r="A6420" i="3"/>
  <c r="B6419" i="3"/>
  <c r="A6419" i="3"/>
  <c r="B6418" i="3"/>
  <c r="A6418" i="3"/>
  <c r="B6417" i="3"/>
  <c r="A6417" i="3"/>
  <c r="B6416" i="3"/>
  <c r="A6416" i="3"/>
  <c r="B6415" i="3"/>
  <c r="A6415" i="3"/>
  <c r="B6414" i="3"/>
  <c r="A6414" i="3"/>
  <c r="B6413" i="3"/>
  <c r="A6413" i="3"/>
  <c r="B6412" i="3"/>
  <c r="A6412" i="3"/>
  <c r="B6411" i="3"/>
  <c r="A6411" i="3"/>
  <c r="B6410" i="3"/>
  <c r="A6410" i="3"/>
  <c r="B6409" i="3"/>
  <c r="A6409" i="3"/>
  <c r="B6408" i="3"/>
  <c r="A6408" i="3"/>
  <c r="B6407" i="3"/>
  <c r="A6407" i="3"/>
  <c r="B6406" i="3"/>
  <c r="A6406" i="3"/>
  <c r="B6405" i="3"/>
  <c r="A6405" i="3"/>
  <c r="B6404" i="3"/>
  <c r="A6404" i="3"/>
  <c r="B6403" i="3"/>
  <c r="A6403" i="3"/>
  <c r="B6402" i="3"/>
  <c r="A6402" i="3"/>
  <c r="B6401" i="3"/>
  <c r="A6401" i="3"/>
  <c r="B6400" i="3"/>
  <c r="A6400" i="3"/>
  <c r="B6399" i="3"/>
  <c r="A6399" i="3"/>
  <c r="B6398" i="3"/>
  <c r="A6398" i="3"/>
  <c r="B6397" i="3"/>
  <c r="A6397" i="3"/>
  <c r="B6396" i="3"/>
  <c r="A6396" i="3"/>
  <c r="B6395" i="3"/>
  <c r="A6395" i="3"/>
  <c r="B6394" i="3"/>
  <c r="A6394" i="3"/>
  <c r="B6393" i="3"/>
  <c r="A6393" i="3"/>
  <c r="B6392" i="3"/>
  <c r="A6392" i="3"/>
  <c r="B6391" i="3"/>
  <c r="A6391" i="3"/>
  <c r="B6390" i="3"/>
  <c r="A6390" i="3"/>
  <c r="B6389" i="3"/>
  <c r="A6389" i="3"/>
  <c r="B6388" i="3"/>
  <c r="A6388" i="3"/>
  <c r="B6387" i="3"/>
  <c r="A6387" i="3"/>
  <c r="B6386" i="3"/>
  <c r="A6386" i="3"/>
  <c r="B6385" i="3"/>
  <c r="A6385" i="3"/>
  <c r="B6384" i="3"/>
  <c r="A6384" i="3"/>
  <c r="B6383" i="3"/>
  <c r="A6383" i="3"/>
  <c r="B6382" i="3"/>
  <c r="A6382" i="3"/>
  <c r="B6381" i="3"/>
  <c r="A6381" i="3"/>
  <c r="B6380" i="3"/>
  <c r="A6380" i="3"/>
  <c r="B6379" i="3"/>
  <c r="A6379" i="3"/>
  <c r="B6378" i="3"/>
  <c r="A6378" i="3"/>
  <c r="B6377" i="3"/>
  <c r="A6377" i="3"/>
  <c r="B6376" i="3"/>
  <c r="A6376" i="3"/>
  <c r="B6375" i="3"/>
  <c r="A6375" i="3"/>
  <c r="B6374" i="3"/>
  <c r="A6374" i="3"/>
  <c r="B6373" i="3"/>
  <c r="A6373" i="3"/>
  <c r="B6372" i="3"/>
  <c r="A6372" i="3"/>
  <c r="B6371" i="3"/>
  <c r="A6371" i="3"/>
  <c r="B6370" i="3"/>
  <c r="A6370" i="3"/>
  <c r="B6369" i="3"/>
  <c r="A6369" i="3"/>
  <c r="B6368" i="3"/>
  <c r="A6368" i="3"/>
  <c r="B6367" i="3"/>
  <c r="A6367" i="3"/>
  <c r="B6366" i="3"/>
  <c r="A6366" i="3"/>
  <c r="B6365" i="3"/>
  <c r="A6365" i="3"/>
  <c r="B6364" i="3"/>
  <c r="A6364" i="3"/>
  <c r="B6363" i="3"/>
  <c r="A6363" i="3"/>
  <c r="B6362" i="3"/>
  <c r="A6362" i="3"/>
  <c r="B6361" i="3"/>
  <c r="A6361" i="3"/>
  <c r="B6360" i="3"/>
  <c r="A6360" i="3"/>
  <c r="B6359" i="3"/>
  <c r="A6359" i="3"/>
  <c r="B6358" i="3"/>
  <c r="A6358" i="3"/>
  <c r="B6357" i="3"/>
  <c r="A6357" i="3"/>
  <c r="B6356" i="3"/>
  <c r="A6356" i="3"/>
  <c r="B6355" i="3"/>
  <c r="A6355" i="3"/>
  <c r="B6354" i="3"/>
  <c r="A6354" i="3"/>
  <c r="B6353" i="3"/>
  <c r="A6353" i="3"/>
  <c r="B6352" i="3"/>
  <c r="A6352" i="3"/>
  <c r="B6351" i="3"/>
  <c r="A6351" i="3"/>
  <c r="B6350" i="3"/>
  <c r="A6350" i="3"/>
  <c r="B6349" i="3"/>
  <c r="A6349" i="3"/>
  <c r="B6348" i="3"/>
  <c r="A6348" i="3"/>
  <c r="B6347" i="3"/>
  <c r="A6347" i="3"/>
  <c r="B6346" i="3"/>
  <c r="A6346" i="3"/>
  <c r="B6345" i="3"/>
  <c r="A6345" i="3"/>
  <c r="B6344" i="3"/>
  <c r="A6344" i="3"/>
  <c r="B6343" i="3"/>
  <c r="A6343" i="3"/>
  <c r="B6342" i="3"/>
  <c r="A6342" i="3"/>
  <c r="B6341" i="3"/>
  <c r="A6341" i="3"/>
  <c r="B6340" i="3"/>
  <c r="A6340" i="3"/>
  <c r="B6339" i="3"/>
  <c r="A6339" i="3"/>
  <c r="B6338" i="3"/>
  <c r="A6338" i="3"/>
  <c r="B6337" i="3"/>
  <c r="A6337" i="3"/>
  <c r="B6336" i="3"/>
  <c r="A6336" i="3"/>
  <c r="B6335" i="3"/>
  <c r="A6335" i="3"/>
  <c r="B6334" i="3"/>
  <c r="A6334" i="3"/>
  <c r="B6333" i="3"/>
  <c r="A6333" i="3"/>
  <c r="B6332" i="3"/>
  <c r="A6332" i="3"/>
  <c r="B6331" i="3"/>
  <c r="A6331" i="3"/>
  <c r="B6330" i="3"/>
  <c r="A6330" i="3"/>
  <c r="B6329" i="3"/>
  <c r="A6329" i="3"/>
  <c r="B6328" i="3"/>
  <c r="A6328" i="3"/>
  <c r="B6327" i="3"/>
  <c r="A6327" i="3"/>
  <c r="B6326" i="3"/>
  <c r="A6326" i="3"/>
  <c r="B6325" i="3"/>
  <c r="A6325" i="3"/>
  <c r="B6324" i="3"/>
  <c r="A6324" i="3"/>
  <c r="B6323" i="3"/>
  <c r="A6323" i="3"/>
  <c r="B6322" i="3"/>
  <c r="A6322" i="3"/>
  <c r="B6321" i="3"/>
  <c r="A6321" i="3"/>
  <c r="B6320" i="3"/>
  <c r="A6320" i="3"/>
  <c r="B6319" i="3"/>
  <c r="A6319" i="3"/>
  <c r="B6318" i="3"/>
  <c r="A6318" i="3"/>
  <c r="B6317" i="3"/>
  <c r="A6317" i="3"/>
  <c r="B6316" i="3"/>
  <c r="A6316" i="3"/>
  <c r="B6315" i="3"/>
  <c r="A6315" i="3"/>
  <c r="B6314" i="3"/>
  <c r="A6314" i="3"/>
  <c r="B6313" i="3"/>
  <c r="A6313" i="3"/>
  <c r="B6312" i="3"/>
  <c r="A6312" i="3"/>
  <c r="B6311" i="3"/>
  <c r="A6311" i="3"/>
  <c r="B6310" i="3"/>
  <c r="A6310" i="3"/>
  <c r="B6309" i="3"/>
  <c r="A6309" i="3"/>
  <c r="B6308" i="3"/>
  <c r="A6308" i="3"/>
  <c r="B6307" i="3"/>
  <c r="A6307" i="3"/>
  <c r="B6306" i="3"/>
  <c r="A6306" i="3"/>
  <c r="B6305" i="3"/>
  <c r="A6305" i="3"/>
  <c r="B6304" i="3"/>
  <c r="A6304" i="3"/>
  <c r="B6303" i="3"/>
  <c r="A6303" i="3"/>
  <c r="B6302" i="3"/>
  <c r="A6302" i="3"/>
  <c r="B6301" i="3"/>
  <c r="A6301" i="3"/>
  <c r="B6300" i="3"/>
  <c r="A6300" i="3"/>
  <c r="B6299" i="3"/>
  <c r="A6299" i="3"/>
  <c r="B6298" i="3"/>
  <c r="A6298" i="3"/>
  <c r="B6297" i="3"/>
  <c r="A6297" i="3"/>
  <c r="B6296" i="3"/>
  <c r="A6296" i="3"/>
  <c r="B6295" i="3"/>
  <c r="A6295" i="3"/>
  <c r="B6294" i="3"/>
  <c r="A6294" i="3"/>
  <c r="B6293" i="3"/>
  <c r="A6293" i="3"/>
  <c r="B6292" i="3"/>
  <c r="A6292" i="3"/>
  <c r="B6291" i="3"/>
  <c r="A6291" i="3"/>
  <c r="B6290" i="3"/>
  <c r="A6290" i="3"/>
  <c r="B6289" i="3"/>
  <c r="A6289" i="3"/>
  <c r="B6288" i="3"/>
  <c r="A6288" i="3"/>
  <c r="B6287" i="3"/>
  <c r="A6287" i="3"/>
  <c r="B6286" i="3"/>
  <c r="A6286" i="3"/>
  <c r="B6285" i="3"/>
  <c r="A6285" i="3"/>
  <c r="B6284" i="3"/>
  <c r="A6284" i="3"/>
  <c r="B6283" i="3"/>
  <c r="A6283" i="3"/>
  <c r="B6282" i="3"/>
  <c r="A6282" i="3"/>
  <c r="B6281" i="3"/>
  <c r="A6281" i="3"/>
  <c r="B6280" i="3"/>
  <c r="A6280" i="3"/>
  <c r="B6279" i="3"/>
  <c r="A6279" i="3"/>
  <c r="B6278" i="3"/>
  <c r="A6278" i="3"/>
  <c r="B6277" i="3"/>
  <c r="A6277" i="3"/>
  <c r="B6276" i="3"/>
  <c r="A6276" i="3"/>
  <c r="B6275" i="3"/>
  <c r="A6275" i="3"/>
  <c r="B6274" i="3"/>
  <c r="A6274" i="3"/>
  <c r="B6273" i="3"/>
  <c r="A6273" i="3"/>
  <c r="B6272" i="3"/>
  <c r="A6272" i="3"/>
  <c r="B6271" i="3"/>
  <c r="A6271" i="3"/>
  <c r="B6270" i="3"/>
  <c r="A6270" i="3"/>
  <c r="B6269" i="3"/>
  <c r="A6269" i="3"/>
  <c r="B6268" i="3"/>
  <c r="A6268" i="3"/>
  <c r="B6267" i="3"/>
  <c r="A6267" i="3"/>
  <c r="B6266" i="3"/>
  <c r="A6266" i="3"/>
  <c r="B6265" i="3"/>
  <c r="A6265" i="3"/>
  <c r="B6264" i="3"/>
  <c r="A6264" i="3"/>
  <c r="B6263" i="3"/>
  <c r="A6263" i="3"/>
  <c r="B6262" i="3"/>
  <c r="A6262" i="3"/>
  <c r="B6261" i="3"/>
  <c r="A6261" i="3"/>
  <c r="B6260" i="3"/>
  <c r="A6260" i="3"/>
  <c r="B6259" i="3"/>
  <c r="A6259" i="3"/>
  <c r="B6258" i="3"/>
  <c r="A6258" i="3"/>
  <c r="B6257" i="3"/>
  <c r="A6257" i="3"/>
  <c r="B6256" i="3"/>
  <c r="A6256" i="3"/>
  <c r="B6255" i="3"/>
  <c r="A6255" i="3"/>
  <c r="B6254" i="3"/>
  <c r="A6254" i="3"/>
  <c r="B6253" i="3"/>
  <c r="A6253" i="3"/>
  <c r="B6252" i="3"/>
  <c r="A6252" i="3"/>
  <c r="B6251" i="3"/>
  <c r="A6251" i="3"/>
  <c r="B6250" i="3"/>
  <c r="A6250" i="3"/>
  <c r="B6249" i="3"/>
  <c r="A6249" i="3"/>
  <c r="B6248" i="3"/>
  <c r="A6248" i="3"/>
  <c r="B6247" i="3"/>
  <c r="A6247" i="3"/>
  <c r="B6246" i="3"/>
  <c r="A6246" i="3"/>
  <c r="B6245" i="3"/>
  <c r="A6245" i="3"/>
  <c r="B6244" i="3"/>
  <c r="A6244" i="3"/>
  <c r="B6243" i="3"/>
  <c r="A6243" i="3"/>
  <c r="B6242" i="3"/>
  <c r="A6242" i="3"/>
  <c r="B6241" i="3"/>
  <c r="A6241" i="3"/>
  <c r="B6240" i="3"/>
  <c r="A6240" i="3"/>
  <c r="B6239" i="3"/>
  <c r="A6239" i="3"/>
  <c r="B6238" i="3"/>
  <c r="A6238" i="3"/>
  <c r="B6237" i="3"/>
  <c r="A6237" i="3"/>
  <c r="B6236" i="3"/>
  <c r="A6236" i="3"/>
  <c r="B6235" i="3"/>
  <c r="A6235" i="3"/>
  <c r="B6234" i="3"/>
  <c r="A6234" i="3"/>
  <c r="B6233" i="3"/>
  <c r="A6233" i="3"/>
  <c r="B6232" i="3"/>
  <c r="A6232" i="3"/>
  <c r="B6231" i="3"/>
  <c r="A6231" i="3"/>
  <c r="B6230" i="3"/>
  <c r="A6230" i="3"/>
  <c r="B6229" i="3"/>
  <c r="A6229" i="3"/>
  <c r="B6228" i="3"/>
  <c r="A6228" i="3"/>
  <c r="B6227" i="3"/>
  <c r="A6227" i="3"/>
  <c r="B6226" i="3"/>
  <c r="A6226" i="3"/>
  <c r="B6225" i="3"/>
  <c r="A6225" i="3"/>
  <c r="B6224" i="3"/>
  <c r="A6224" i="3"/>
  <c r="B6223" i="3"/>
  <c r="A6223" i="3"/>
  <c r="B6222" i="3"/>
  <c r="A6222" i="3"/>
  <c r="B6221" i="3"/>
  <c r="A6221" i="3"/>
  <c r="B6220" i="3"/>
  <c r="A6220" i="3"/>
  <c r="B6219" i="3"/>
  <c r="A6219" i="3"/>
  <c r="B6218" i="3"/>
  <c r="A6218" i="3"/>
  <c r="B6217" i="3"/>
  <c r="A6217" i="3"/>
  <c r="B6216" i="3"/>
  <c r="A6216" i="3"/>
  <c r="B6215" i="3"/>
  <c r="A6215" i="3"/>
  <c r="B6214" i="3"/>
  <c r="A6214" i="3"/>
  <c r="B6213" i="3"/>
  <c r="A6213" i="3"/>
  <c r="B6212" i="3"/>
  <c r="A6212" i="3"/>
  <c r="B6211" i="3"/>
  <c r="A6211" i="3"/>
  <c r="B6210" i="3"/>
  <c r="A6210" i="3"/>
  <c r="B6209" i="3"/>
  <c r="A6209" i="3"/>
  <c r="B6208" i="3"/>
  <c r="A6208" i="3"/>
  <c r="B6207" i="3"/>
  <c r="A6207" i="3"/>
  <c r="B6206" i="3"/>
  <c r="A6206" i="3"/>
  <c r="B6205" i="3"/>
  <c r="A6205" i="3"/>
  <c r="B6204" i="3"/>
  <c r="A6204" i="3"/>
  <c r="B6203" i="3"/>
  <c r="A6203" i="3"/>
  <c r="B6202" i="3"/>
  <c r="A6202" i="3"/>
  <c r="B6201" i="3"/>
  <c r="A6201" i="3"/>
  <c r="B6200" i="3"/>
  <c r="A6200" i="3"/>
  <c r="B6199" i="3"/>
  <c r="A6199" i="3"/>
  <c r="B6198" i="3"/>
  <c r="A6198" i="3"/>
  <c r="B6197" i="3"/>
  <c r="A6197" i="3"/>
  <c r="B6196" i="3"/>
  <c r="A6196" i="3"/>
  <c r="B6195" i="3"/>
  <c r="A6195" i="3"/>
  <c r="B6194" i="3"/>
  <c r="A6194" i="3"/>
  <c r="B6193" i="3"/>
  <c r="A6193" i="3"/>
  <c r="B6192" i="3"/>
  <c r="A6192" i="3"/>
  <c r="B6191" i="3"/>
  <c r="A6191" i="3"/>
  <c r="B6190" i="3"/>
  <c r="A6190" i="3"/>
  <c r="B6189" i="3"/>
  <c r="A6189" i="3"/>
  <c r="B6188" i="3"/>
  <c r="A6188" i="3"/>
  <c r="B6187" i="3"/>
  <c r="A6187" i="3"/>
  <c r="B6186" i="3"/>
  <c r="A6186" i="3"/>
  <c r="B6185" i="3"/>
  <c r="A6185" i="3"/>
  <c r="B6184" i="3"/>
  <c r="A6184" i="3"/>
  <c r="B6183" i="3"/>
  <c r="A6183" i="3"/>
  <c r="B6182" i="3"/>
  <c r="A6182" i="3"/>
  <c r="B6181" i="3"/>
  <c r="A6181" i="3"/>
  <c r="B6180" i="3"/>
  <c r="A6180" i="3"/>
  <c r="B6179" i="3"/>
  <c r="A6179" i="3"/>
  <c r="B6178" i="3"/>
  <c r="A6178" i="3"/>
  <c r="B6177" i="3"/>
  <c r="A6177" i="3"/>
  <c r="B6176" i="3"/>
  <c r="A6176" i="3"/>
  <c r="B6175" i="3"/>
  <c r="A6175" i="3"/>
  <c r="B6174" i="3"/>
  <c r="A6174" i="3"/>
  <c r="B6173" i="3"/>
  <c r="A6173" i="3"/>
  <c r="B6172" i="3"/>
  <c r="A6172" i="3"/>
  <c r="B6171" i="3"/>
  <c r="A6171" i="3"/>
  <c r="B6170" i="3"/>
  <c r="A6170" i="3"/>
  <c r="B6169" i="3"/>
  <c r="A6169" i="3"/>
  <c r="B6168" i="3"/>
  <c r="A6168" i="3"/>
  <c r="B6167" i="3"/>
  <c r="A6167" i="3"/>
  <c r="B6166" i="3"/>
  <c r="A6166" i="3"/>
  <c r="B6165" i="3"/>
  <c r="A6165" i="3"/>
  <c r="B6164" i="3"/>
  <c r="A6164" i="3"/>
  <c r="B6163" i="3"/>
  <c r="A6163" i="3"/>
  <c r="B6162" i="3"/>
  <c r="A6162" i="3"/>
  <c r="B6161" i="3"/>
  <c r="A6161" i="3"/>
  <c r="B6160" i="3"/>
  <c r="A6160" i="3"/>
  <c r="B6159" i="3"/>
  <c r="A6159" i="3"/>
  <c r="B6158" i="3"/>
  <c r="A6158" i="3"/>
  <c r="B6157" i="3"/>
  <c r="A6157" i="3"/>
  <c r="B6156" i="3"/>
  <c r="A6156" i="3"/>
  <c r="B6155" i="3"/>
  <c r="A6155" i="3"/>
  <c r="B6154" i="3"/>
  <c r="A6154" i="3"/>
  <c r="B6153" i="3"/>
  <c r="A6153" i="3"/>
  <c r="B6152" i="3"/>
  <c r="A6152" i="3"/>
  <c r="B6151" i="3"/>
  <c r="A6151" i="3"/>
  <c r="B6150" i="3"/>
  <c r="A6150" i="3"/>
  <c r="B6149" i="3"/>
  <c r="A6149" i="3"/>
  <c r="B6148" i="3"/>
  <c r="A6148" i="3"/>
  <c r="B6147" i="3"/>
  <c r="A6147" i="3"/>
  <c r="B6146" i="3"/>
  <c r="A6146" i="3"/>
  <c r="B6145" i="3"/>
  <c r="A6145" i="3"/>
  <c r="B6144" i="3"/>
  <c r="A6144" i="3"/>
  <c r="B6143" i="3"/>
  <c r="A6143" i="3"/>
  <c r="B6142" i="3"/>
  <c r="A6142" i="3"/>
  <c r="B6141" i="3"/>
  <c r="A6141" i="3"/>
  <c r="B6140" i="3"/>
  <c r="A6140" i="3"/>
  <c r="B6139" i="3"/>
  <c r="A6139" i="3"/>
  <c r="B6138" i="3"/>
  <c r="A6138" i="3"/>
  <c r="B6137" i="3"/>
  <c r="A6137" i="3"/>
  <c r="B6136" i="3"/>
  <c r="A6136" i="3"/>
  <c r="B6135" i="3"/>
  <c r="A6135" i="3"/>
  <c r="B6134" i="3"/>
  <c r="A6134" i="3"/>
  <c r="B6133" i="3"/>
  <c r="A6133" i="3"/>
  <c r="B6132" i="3"/>
  <c r="A6132" i="3"/>
  <c r="B6131" i="3"/>
  <c r="A6131" i="3"/>
  <c r="B6130" i="3"/>
  <c r="A6130" i="3"/>
  <c r="B6129" i="3"/>
  <c r="A6129" i="3"/>
  <c r="B6128" i="3"/>
  <c r="A6128" i="3"/>
  <c r="B6127" i="3"/>
  <c r="A6127" i="3"/>
  <c r="B6126" i="3"/>
  <c r="A6126" i="3"/>
  <c r="B6125" i="3"/>
  <c r="A6125" i="3"/>
  <c r="B6124" i="3"/>
  <c r="A6124" i="3"/>
  <c r="B6123" i="3"/>
  <c r="A6123" i="3"/>
  <c r="B6122" i="3"/>
  <c r="A6122" i="3"/>
  <c r="B6121" i="3"/>
  <c r="A6121" i="3"/>
  <c r="B6120" i="3"/>
  <c r="A6120" i="3"/>
  <c r="B6119" i="3"/>
  <c r="A6119" i="3"/>
  <c r="B6118" i="3"/>
  <c r="A6118" i="3"/>
  <c r="B6117" i="3"/>
  <c r="A6117" i="3"/>
  <c r="B6116" i="3"/>
  <c r="A6116" i="3"/>
  <c r="B6115" i="3"/>
  <c r="A6115" i="3"/>
  <c r="B6114" i="3"/>
  <c r="A6114" i="3"/>
  <c r="B6113" i="3"/>
  <c r="A6113" i="3"/>
  <c r="B6112" i="3"/>
  <c r="A6112" i="3"/>
  <c r="B6111" i="3"/>
  <c r="A6111" i="3"/>
  <c r="B6110" i="3"/>
  <c r="A6110" i="3"/>
  <c r="B6109" i="3"/>
  <c r="A6109" i="3"/>
  <c r="B6108" i="3"/>
  <c r="A6108" i="3"/>
  <c r="B6107" i="3"/>
  <c r="A6107" i="3"/>
  <c r="B6106" i="3"/>
  <c r="A6106" i="3"/>
  <c r="B6105" i="3"/>
  <c r="A6105" i="3"/>
  <c r="B6104" i="3"/>
  <c r="A6104" i="3"/>
  <c r="B6103" i="3"/>
  <c r="A6103" i="3"/>
  <c r="B6102" i="3"/>
  <c r="A6102" i="3"/>
  <c r="B6101" i="3"/>
  <c r="A6101" i="3"/>
  <c r="B6100" i="3"/>
  <c r="A6100" i="3"/>
  <c r="B6099" i="3"/>
  <c r="A6099" i="3"/>
  <c r="B6098" i="3"/>
  <c r="A6098" i="3"/>
  <c r="B6097" i="3"/>
  <c r="A6097" i="3"/>
  <c r="B6096" i="3"/>
  <c r="A6096" i="3"/>
  <c r="B6095" i="3"/>
  <c r="A6095" i="3"/>
  <c r="B6094" i="3"/>
  <c r="A6094" i="3"/>
  <c r="B6093" i="3"/>
  <c r="A6093" i="3"/>
  <c r="B6092" i="3"/>
  <c r="A6092" i="3"/>
  <c r="B6091" i="3"/>
  <c r="A6091" i="3"/>
  <c r="B6090" i="3"/>
  <c r="A6090" i="3"/>
  <c r="B6089" i="3"/>
  <c r="A6089" i="3"/>
  <c r="B6088" i="3"/>
  <c r="A6088" i="3"/>
  <c r="B6087" i="3"/>
  <c r="A6087" i="3"/>
  <c r="B6086" i="3"/>
  <c r="A6086" i="3"/>
  <c r="B6085" i="3"/>
  <c r="A6085" i="3"/>
  <c r="B6084" i="3"/>
  <c r="A6084" i="3"/>
  <c r="B6083" i="3"/>
  <c r="A6083" i="3"/>
  <c r="B6082" i="3"/>
  <c r="A6082" i="3"/>
  <c r="B6081" i="3"/>
  <c r="A6081" i="3"/>
  <c r="B6080" i="3"/>
  <c r="A6080" i="3"/>
  <c r="B6079" i="3"/>
  <c r="A6079" i="3"/>
  <c r="B6078" i="3"/>
  <c r="A6078" i="3"/>
  <c r="B6077" i="3"/>
  <c r="A6077" i="3"/>
  <c r="B6076" i="3"/>
  <c r="A6076" i="3"/>
  <c r="B6075" i="3"/>
  <c r="A6075" i="3"/>
  <c r="B6074" i="3"/>
  <c r="A6074" i="3"/>
  <c r="B6073" i="3"/>
  <c r="A6073" i="3"/>
  <c r="B6072" i="3"/>
  <c r="A6072" i="3"/>
  <c r="B6071" i="3"/>
  <c r="A6071" i="3"/>
  <c r="B6070" i="3"/>
  <c r="A6070" i="3"/>
  <c r="B6069" i="3"/>
  <c r="A6069" i="3"/>
  <c r="B6068" i="3"/>
  <c r="A6068" i="3"/>
  <c r="B6067" i="3"/>
  <c r="A6067" i="3"/>
  <c r="B6066" i="3"/>
  <c r="A6066" i="3"/>
  <c r="B6065" i="3"/>
  <c r="A6065" i="3"/>
  <c r="B6064" i="3"/>
  <c r="A6064" i="3"/>
  <c r="B6063" i="3"/>
  <c r="A6063" i="3"/>
  <c r="B6062" i="3"/>
  <c r="A6062" i="3"/>
  <c r="B6061" i="3"/>
  <c r="A6061" i="3"/>
  <c r="B6060" i="3"/>
  <c r="A6060" i="3"/>
  <c r="B6059" i="3"/>
  <c r="A6059" i="3"/>
  <c r="B6058" i="3"/>
  <c r="A6058" i="3"/>
  <c r="B6057" i="3"/>
  <c r="A6057" i="3"/>
  <c r="B6056" i="3"/>
  <c r="A6056" i="3"/>
  <c r="B6055" i="3"/>
  <c r="A6055" i="3"/>
  <c r="B6054" i="3"/>
  <c r="A6054" i="3"/>
  <c r="B6053" i="3"/>
  <c r="A6053" i="3"/>
  <c r="B6052" i="3"/>
  <c r="A6052" i="3"/>
  <c r="B6051" i="3"/>
  <c r="A6051" i="3"/>
  <c r="B6050" i="3"/>
  <c r="A6050" i="3"/>
  <c r="B6049" i="3"/>
  <c r="A6049" i="3"/>
  <c r="B6048" i="3"/>
  <c r="A6048" i="3"/>
  <c r="B6047" i="3"/>
  <c r="A6047" i="3"/>
  <c r="B6046" i="3"/>
  <c r="A6046" i="3"/>
  <c r="B6045" i="3"/>
  <c r="A6045" i="3"/>
  <c r="B6044" i="3"/>
  <c r="A6044" i="3"/>
  <c r="B6043" i="3"/>
  <c r="A6043" i="3"/>
  <c r="B6042" i="3"/>
  <c r="A6042" i="3"/>
  <c r="B6041" i="3"/>
  <c r="A6041" i="3"/>
  <c r="B6040" i="3"/>
  <c r="A6040" i="3"/>
  <c r="B6039" i="3"/>
  <c r="A6039" i="3"/>
  <c r="B6038" i="3"/>
  <c r="A6038" i="3"/>
  <c r="B6037" i="3"/>
  <c r="A6037" i="3"/>
  <c r="B6036" i="3"/>
  <c r="A6036" i="3"/>
  <c r="B6035" i="3"/>
  <c r="A6035" i="3"/>
  <c r="B6034" i="3"/>
  <c r="A6034" i="3"/>
  <c r="B6033" i="3"/>
  <c r="A6033" i="3"/>
  <c r="B6032" i="3"/>
  <c r="A6032" i="3"/>
  <c r="B6031" i="3"/>
  <c r="A6031" i="3"/>
  <c r="B6030" i="3"/>
  <c r="A6030" i="3"/>
  <c r="B6029" i="3"/>
  <c r="A6029" i="3"/>
  <c r="B6028" i="3"/>
  <c r="A6028" i="3"/>
  <c r="B6027" i="3"/>
  <c r="A6027" i="3"/>
  <c r="B6026" i="3"/>
  <c r="A6026" i="3"/>
  <c r="B6025" i="3"/>
  <c r="A6025" i="3"/>
  <c r="B6024" i="3"/>
  <c r="A6024" i="3"/>
  <c r="B6023" i="3"/>
  <c r="A6023" i="3"/>
  <c r="B6022" i="3"/>
  <c r="A6022" i="3"/>
  <c r="B6021" i="3"/>
  <c r="A6021" i="3"/>
  <c r="B6020" i="3"/>
  <c r="A6020" i="3"/>
  <c r="B6019" i="3"/>
  <c r="A6019" i="3"/>
  <c r="B6018" i="3"/>
  <c r="A6018" i="3"/>
  <c r="B6017" i="3"/>
  <c r="A6017" i="3"/>
  <c r="B6016" i="3"/>
  <c r="A6016" i="3"/>
  <c r="B6015" i="3"/>
  <c r="A6015" i="3"/>
  <c r="B6014" i="3"/>
  <c r="A6014" i="3"/>
  <c r="B6013" i="3"/>
  <c r="A6013" i="3"/>
  <c r="B6012" i="3"/>
  <c r="A6012" i="3"/>
  <c r="B6011" i="3"/>
  <c r="A6011" i="3"/>
  <c r="B6010" i="3"/>
  <c r="A6010" i="3"/>
  <c r="B6009" i="3"/>
  <c r="A6009" i="3"/>
  <c r="B6008" i="3"/>
  <c r="A6008" i="3"/>
  <c r="B6007" i="3"/>
  <c r="A6007" i="3"/>
  <c r="B6006" i="3"/>
  <c r="A6006" i="3"/>
  <c r="B6005" i="3"/>
  <c r="A6005" i="3"/>
  <c r="B6004" i="3"/>
  <c r="A6004" i="3"/>
  <c r="B6003" i="3"/>
  <c r="A6003" i="3"/>
  <c r="B6002" i="3"/>
  <c r="A6002" i="3"/>
  <c r="B6001" i="3"/>
  <c r="A6001" i="3"/>
  <c r="B6000" i="3"/>
  <c r="A6000" i="3"/>
  <c r="B5999" i="3"/>
  <c r="A5999" i="3"/>
  <c r="B5998" i="3"/>
  <c r="A5998" i="3"/>
  <c r="B5997" i="3"/>
  <c r="A5997" i="3"/>
  <c r="B5996" i="3"/>
  <c r="A5996" i="3"/>
  <c r="B5995" i="3"/>
  <c r="A5995" i="3"/>
  <c r="B5994" i="3"/>
  <c r="A5994" i="3"/>
  <c r="B5993" i="3"/>
  <c r="A5993" i="3"/>
  <c r="B5992" i="3"/>
  <c r="A5992" i="3"/>
  <c r="B5991" i="3"/>
  <c r="A5991" i="3"/>
  <c r="B5990" i="3"/>
  <c r="A5990" i="3"/>
  <c r="B5989" i="3"/>
  <c r="A5989" i="3"/>
  <c r="B5988" i="3"/>
  <c r="A5988" i="3"/>
  <c r="B5987" i="3"/>
  <c r="A5987" i="3"/>
  <c r="B5986" i="3"/>
  <c r="A5986" i="3"/>
  <c r="B5985" i="3"/>
  <c r="A5985" i="3"/>
  <c r="B5984" i="3"/>
  <c r="A5984" i="3"/>
  <c r="B5983" i="3"/>
  <c r="A5983" i="3"/>
  <c r="B5982" i="3"/>
  <c r="A5982" i="3"/>
  <c r="B5981" i="3"/>
  <c r="A5981" i="3"/>
  <c r="B5980" i="3"/>
  <c r="A5980" i="3"/>
  <c r="B5979" i="3"/>
  <c r="A5979" i="3"/>
  <c r="B5978" i="3"/>
  <c r="A5978" i="3"/>
  <c r="B5977" i="3"/>
  <c r="A5977" i="3"/>
  <c r="B5976" i="3"/>
  <c r="A5976" i="3"/>
  <c r="B5975" i="3"/>
  <c r="A5975" i="3"/>
  <c r="B5974" i="3"/>
  <c r="A5974" i="3"/>
  <c r="B5973" i="3"/>
  <c r="A5973" i="3"/>
  <c r="B5972" i="3"/>
  <c r="A5972" i="3"/>
  <c r="B5971" i="3"/>
  <c r="A5971" i="3"/>
  <c r="B5970" i="3"/>
  <c r="A5970" i="3"/>
  <c r="B5969" i="3"/>
  <c r="A5969" i="3"/>
  <c r="B5968" i="3"/>
  <c r="A5968" i="3"/>
  <c r="B5967" i="3"/>
  <c r="A5967" i="3"/>
  <c r="B5966" i="3"/>
  <c r="A5966" i="3"/>
  <c r="B5965" i="3"/>
  <c r="A5965" i="3"/>
  <c r="B5964" i="3"/>
  <c r="A5964" i="3"/>
  <c r="B5963" i="3"/>
  <c r="A5963" i="3"/>
  <c r="B5962" i="3"/>
  <c r="A5962" i="3"/>
  <c r="B5961" i="3"/>
  <c r="A5961" i="3"/>
  <c r="B5960" i="3"/>
  <c r="A5960" i="3"/>
  <c r="B5959" i="3"/>
  <c r="A5959" i="3"/>
  <c r="B5958" i="3"/>
  <c r="A5958" i="3"/>
  <c r="B5957" i="3"/>
  <c r="A5957" i="3"/>
  <c r="B5956" i="3"/>
  <c r="A5956" i="3"/>
  <c r="B5955" i="3"/>
  <c r="A5955" i="3"/>
  <c r="B5954" i="3"/>
  <c r="A5954" i="3"/>
  <c r="B5953" i="3"/>
  <c r="A5953" i="3"/>
  <c r="B5952" i="3"/>
  <c r="A5952" i="3"/>
  <c r="B5951" i="3"/>
  <c r="A5951" i="3"/>
  <c r="B5950" i="3"/>
  <c r="A5950" i="3"/>
  <c r="B5949" i="3"/>
  <c r="A5949" i="3"/>
  <c r="B5948" i="3"/>
  <c r="A5948" i="3"/>
  <c r="B5947" i="3"/>
  <c r="A5947" i="3"/>
  <c r="B5946" i="3"/>
  <c r="A5946" i="3"/>
  <c r="B5945" i="3"/>
  <c r="A5945" i="3"/>
  <c r="B5944" i="3"/>
  <c r="A5944" i="3"/>
  <c r="B5943" i="3"/>
  <c r="A5943" i="3"/>
  <c r="B5942" i="3"/>
  <c r="A5942" i="3"/>
  <c r="B5941" i="3"/>
  <c r="A5941" i="3"/>
  <c r="B5940" i="3"/>
  <c r="A5940" i="3"/>
  <c r="B5939" i="3"/>
  <c r="A5939" i="3"/>
  <c r="B5938" i="3"/>
  <c r="A5938" i="3"/>
  <c r="B5937" i="3"/>
  <c r="A5937" i="3"/>
  <c r="B5936" i="3"/>
  <c r="A5936" i="3"/>
  <c r="B5935" i="3"/>
  <c r="A5935" i="3"/>
  <c r="B5934" i="3"/>
  <c r="A5934" i="3"/>
  <c r="B5933" i="3"/>
  <c r="A5933" i="3"/>
  <c r="B5932" i="3"/>
  <c r="A5932" i="3"/>
  <c r="B5931" i="3"/>
  <c r="A5931" i="3"/>
  <c r="B5930" i="3"/>
  <c r="A5930" i="3"/>
  <c r="B5929" i="3"/>
  <c r="A5929" i="3"/>
  <c r="B5928" i="3"/>
  <c r="A5928" i="3"/>
  <c r="B5927" i="3"/>
  <c r="A5927" i="3"/>
  <c r="B5926" i="3"/>
  <c r="A5926" i="3"/>
  <c r="B5925" i="3"/>
  <c r="A5925" i="3"/>
  <c r="B5924" i="3"/>
  <c r="A5924" i="3"/>
  <c r="B5923" i="3"/>
  <c r="A5923" i="3"/>
  <c r="B5922" i="3"/>
  <c r="A5922" i="3"/>
  <c r="B5921" i="3"/>
  <c r="A5921" i="3"/>
  <c r="B5920" i="3"/>
  <c r="A5920" i="3"/>
  <c r="B5919" i="3"/>
  <c r="A5919" i="3"/>
  <c r="B5918" i="3"/>
  <c r="A5918" i="3"/>
  <c r="B5917" i="3"/>
  <c r="A5917" i="3"/>
  <c r="B5916" i="3"/>
  <c r="A5916" i="3"/>
  <c r="B5915" i="3"/>
  <c r="A5915" i="3"/>
  <c r="B5914" i="3"/>
  <c r="A5914" i="3"/>
  <c r="B5913" i="3"/>
  <c r="A5913" i="3"/>
  <c r="B5912" i="3"/>
  <c r="A5912" i="3"/>
  <c r="B5911" i="3"/>
  <c r="A5911" i="3"/>
  <c r="B5910" i="3"/>
  <c r="A5910" i="3"/>
  <c r="B5909" i="3"/>
  <c r="A5909" i="3"/>
  <c r="B5908" i="3"/>
  <c r="A5908" i="3"/>
  <c r="B5907" i="3"/>
  <c r="A5907" i="3"/>
  <c r="B5906" i="3"/>
  <c r="A5906" i="3"/>
  <c r="B5905" i="3"/>
  <c r="A5905" i="3"/>
  <c r="B5904" i="3"/>
  <c r="A5904" i="3"/>
  <c r="B5903" i="3"/>
  <c r="A5903" i="3"/>
  <c r="B5902" i="3"/>
  <c r="A5902" i="3"/>
  <c r="B5901" i="3"/>
  <c r="A5901" i="3"/>
  <c r="B5900" i="3"/>
  <c r="A5900" i="3"/>
  <c r="B5899" i="3"/>
  <c r="A5899" i="3"/>
  <c r="B5898" i="3"/>
  <c r="A5898" i="3"/>
  <c r="B5897" i="3"/>
  <c r="A5897" i="3"/>
  <c r="B5896" i="3"/>
  <c r="A5896" i="3"/>
  <c r="B5895" i="3"/>
  <c r="A5895" i="3"/>
  <c r="B5894" i="3"/>
  <c r="A5894" i="3"/>
  <c r="B5893" i="3"/>
  <c r="A5893" i="3"/>
  <c r="B5892" i="3"/>
  <c r="A5892" i="3"/>
  <c r="B5891" i="3"/>
  <c r="A5891" i="3"/>
  <c r="B5890" i="3"/>
  <c r="A5890" i="3"/>
  <c r="B5889" i="3"/>
  <c r="A5889" i="3"/>
  <c r="B5888" i="3"/>
  <c r="A5888" i="3"/>
  <c r="B5887" i="3"/>
  <c r="A5887" i="3"/>
  <c r="B5886" i="3"/>
  <c r="A5886" i="3"/>
  <c r="B5885" i="3"/>
  <c r="A5885" i="3"/>
  <c r="B5884" i="3"/>
  <c r="A5884" i="3"/>
  <c r="B5883" i="3"/>
  <c r="A5883" i="3"/>
  <c r="B5882" i="3"/>
  <c r="A5882" i="3"/>
  <c r="B5881" i="3"/>
  <c r="A5881" i="3"/>
  <c r="B5880" i="3"/>
  <c r="A5880" i="3"/>
  <c r="B5879" i="3"/>
  <c r="A5879" i="3"/>
  <c r="B5878" i="3"/>
  <c r="A5878" i="3"/>
  <c r="B5877" i="3"/>
  <c r="A5877" i="3"/>
  <c r="B5876" i="3"/>
  <c r="A5876" i="3"/>
  <c r="B5875" i="3"/>
  <c r="A5875" i="3"/>
  <c r="B5874" i="3"/>
  <c r="A5874" i="3"/>
  <c r="B5873" i="3"/>
  <c r="A5873" i="3"/>
  <c r="B5872" i="3"/>
  <c r="A5872" i="3"/>
  <c r="B5871" i="3"/>
  <c r="A5871" i="3"/>
  <c r="B5870" i="3"/>
  <c r="A5870" i="3"/>
  <c r="B5869" i="3"/>
  <c r="A5869" i="3"/>
  <c r="B5868" i="3"/>
  <c r="A5868" i="3"/>
  <c r="B5867" i="3"/>
  <c r="A5867" i="3"/>
  <c r="B5866" i="3"/>
  <c r="A5866" i="3"/>
  <c r="B5865" i="3"/>
  <c r="A5865" i="3"/>
  <c r="B5864" i="3"/>
  <c r="A5864" i="3"/>
  <c r="B5863" i="3"/>
  <c r="A5863" i="3"/>
  <c r="B5862" i="3"/>
  <c r="A5862" i="3"/>
  <c r="B5861" i="3"/>
  <c r="A5861" i="3"/>
  <c r="B5860" i="3"/>
  <c r="A5860" i="3"/>
  <c r="B5859" i="3"/>
  <c r="A5859" i="3"/>
  <c r="B5858" i="3"/>
  <c r="A5858" i="3"/>
  <c r="B5857" i="3"/>
  <c r="A5857" i="3"/>
  <c r="B5856" i="3"/>
  <c r="A5856" i="3"/>
  <c r="B5855" i="3"/>
  <c r="A5855" i="3"/>
  <c r="B5854" i="3"/>
  <c r="A5854" i="3"/>
  <c r="B5853" i="3"/>
  <c r="A5853" i="3"/>
  <c r="B5852" i="3"/>
  <c r="A5852" i="3"/>
  <c r="B5851" i="3"/>
  <c r="A5851" i="3"/>
  <c r="B5850" i="3"/>
  <c r="A5850" i="3"/>
  <c r="B5849" i="3"/>
  <c r="A5849" i="3"/>
  <c r="B5848" i="3"/>
  <c r="A5848" i="3"/>
  <c r="B5847" i="3"/>
  <c r="A5847" i="3"/>
  <c r="B5846" i="3"/>
  <c r="A5846" i="3"/>
  <c r="B5845" i="3"/>
  <c r="A5845" i="3"/>
  <c r="B5844" i="3"/>
  <c r="A5844" i="3"/>
  <c r="B5843" i="3"/>
  <c r="A5843" i="3"/>
  <c r="B5842" i="3"/>
  <c r="A5842" i="3"/>
  <c r="B5841" i="3"/>
  <c r="A5841" i="3"/>
  <c r="B5840" i="3"/>
  <c r="A5840" i="3"/>
  <c r="B5839" i="3"/>
  <c r="A5839" i="3"/>
  <c r="B5838" i="3"/>
  <c r="A5838" i="3"/>
  <c r="B5837" i="3"/>
  <c r="A5837" i="3"/>
  <c r="B5836" i="3"/>
  <c r="A5836" i="3"/>
  <c r="B5835" i="3"/>
  <c r="A5835" i="3"/>
  <c r="B5834" i="3"/>
  <c r="A5834" i="3"/>
  <c r="B5833" i="3"/>
  <c r="A5833" i="3"/>
  <c r="B5832" i="3"/>
  <c r="A5832" i="3"/>
  <c r="B5831" i="3"/>
  <c r="A5831" i="3"/>
  <c r="B5830" i="3"/>
  <c r="A5830" i="3"/>
  <c r="B5829" i="3"/>
  <c r="A5829" i="3"/>
  <c r="B5828" i="3"/>
  <c r="A5828" i="3"/>
  <c r="B5827" i="3"/>
  <c r="A5827" i="3"/>
  <c r="B5826" i="3"/>
  <c r="A5826" i="3"/>
  <c r="B5825" i="3"/>
  <c r="A5825" i="3"/>
  <c r="B5824" i="3"/>
  <c r="A5824" i="3"/>
  <c r="B5823" i="3"/>
  <c r="A5823" i="3"/>
  <c r="B5822" i="3"/>
  <c r="A5822" i="3"/>
  <c r="B5821" i="3"/>
  <c r="A5821" i="3"/>
  <c r="B5820" i="3"/>
  <c r="A5820" i="3"/>
  <c r="B5819" i="3"/>
  <c r="A5819" i="3"/>
  <c r="B5818" i="3"/>
  <c r="A5818" i="3"/>
  <c r="B5817" i="3"/>
  <c r="A5817" i="3"/>
  <c r="B5816" i="3"/>
  <c r="A5816" i="3"/>
  <c r="B5815" i="3"/>
  <c r="A5815" i="3"/>
  <c r="B5814" i="3"/>
  <c r="A5814" i="3"/>
  <c r="B5813" i="3"/>
  <c r="A5813" i="3"/>
  <c r="B5812" i="3"/>
  <c r="A5812" i="3"/>
  <c r="B5811" i="3"/>
  <c r="A5811" i="3"/>
  <c r="B5810" i="3"/>
  <c r="A5810" i="3"/>
  <c r="B5809" i="3"/>
  <c r="A5809" i="3"/>
  <c r="B5808" i="3"/>
  <c r="A5808" i="3"/>
  <c r="B5807" i="3"/>
  <c r="A5807" i="3"/>
  <c r="B5806" i="3"/>
  <c r="A5806" i="3"/>
  <c r="B5805" i="3"/>
  <c r="A5805" i="3"/>
  <c r="B5804" i="3"/>
  <c r="A5804" i="3"/>
  <c r="B5803" i="3"/>
  <c r="A5803" i="3"/>
  <c r="B5802" i="3"/>
  <c r="A5802" i="3"/>
  <c r="B5801" i="3"/>
  <c r="A5801" i="3"/>
  <c r="B5800" i="3"/>
  <c r="A5800" i="3"/>
  <c r="B5799" i="3"/>
  <c r="A5799" i="3"/>
  <c r="B5798" i="3"/>
  <c r="A5798" i="3"/>
  <c r="B5797" i="3"/>
  <c r="A5797" i="3"/>
  <c r="B5796" i="3"/>
  <c r="A5796" i="3"/>
  <c r="B5795" i="3"/>
  <c r="A5795" i="3"/>
  <c r="B5794" i="3"/>
  <c r="A5794" i="3"/>
  <c r="B5793" i="3"/>
  <c r="A5793" i="3"/>
  <c r="B5792" i="3"/>
  <c r="A5792" i="3"/>
  <c r="B5791" i="3"/>
  <c r="A5791" i="3"/>
  <c r="B5790" i="3"/>
  <c r="A5790" i="3"/>
  <c r="B5789" i="3"/>
  <c r="A5789" i="3"/>
  <c r="B5788" i="3"/>
  <c r="A5788" i="3"/>
  <c r="B5787" i="3"/>
  <c r="A5787" i="3"/>
  <c r="B5786" i="3"/>
  <c r="A5786" i="3"/>
  <c r="B5785" i="3"/>
  <c r="A5785" i="3"/>
  <c r="B5784" i="3"/>
  <c r="A5784" i="3"/>
  <c r="B5783" i="3"/>
  <c r="A5783" i="3"/>
  <c r="B5782" i="3"/>
  <c r="A5782" i="3"/>
  <c r="B5781" i="3"/>
  <c r="A5781" i="3"/>
  <c r="B5780" i="3"/>
  <c r="A5780" i="3"/>
  <c r="B5779" i="3"/>
  <c r="A5779" i="3"/>
  <c r="B5778" i="3"/>
  <c r="A5778" i="3"/>
  <c r="B5777" i="3"/>
  <c r="A5777" i="3"/>
  <c r="B5776" i="3"/>
  <c r="A5776" i="3"/>
  <c r="B5775" i="3"/>
  <c r="A5775" i="3"/>
  <c r="B5774" i="3"/>
  <c r="A5774" i="3"/>
  <c r="B5773" i="3"/>
  <c r="A5773" i="3"/>
  <c r="B5772" i="3"/>
  <c r="A5772" i="3"/>
  <c r="B5771" i="3"/>
  <c r="A5771" i="3"/>
  <c r="B5770" i="3"/>
  <c r="A5770" i="3"/>
  <c r="B5769" i="3"/>
  <c r="A5769" i="3"/>
  <c r="B5768" i="3"/>
  <c r="A5768" i="3"/>
  <c r="B5767" i="3"/>
  <c r="A5767" i="3"/>
  <c r="B5766" i="3"/>
  <c r="A5766" i="3"/>
  <c r="B5765" i="3"/>
  <c r="A5765" i="3"/>
  <c r="B5764" i="3"/>
  <c r="A5764" i="3"/>
  <c r="B5763" i="3"/>
  <c r="A5763" i="3"/>
  <c r="B5762" i="3"/>
  <c r="A5762" i="3"/>
  <c r="B5761" i="3"/>
  <c r="A5761" i="3"/>
  <c r="B5760" i="3"/>
  <c r="A5760" i="3"/>
  <c r="B5759" i="3"/>
  <c r="A5759" i="3"/>
  <c r="B5758" i="3"/>
  <c r="A5758" i="3"/>
  <c r="B5757" i="3"/>
  <c r="A5757" i="3"/>
  <c r="B5756" i="3"/>
  <c r="A5756" i="3"/>
  <c r="B5755" i="3"/>
  <c r="A5755" i="3"/>
  <c r="B5754" i="3"/>
  <c r="A5754" i="3"/>
  <c r="B5753" i="3"/>
  <c r="A5753" i="3"/>
  <c r="B5752" i="3"/>
  <c r="A5752" i="3"/>
  <c r="B5751" i="3"/>
  <c r="A5751" i="3"/>
  <c r="B5750" i="3"/>
  <c r="A5750" i="3"/>
  <c r="B5749" i="3"/>
  <c r="A5749" i="3"/>
  <c r="B5748" i="3"/>
  <c r="A5748" i="3"/>
  <c r="B5747" i="3"/>
  <c r="A5747" i="3"/>
  <c r="B5746" i="3"/>
  <c r="A5746" i="3"/>
  <c r="B5745" i="3"/>
  <c r="A5745" i="3"/>
  <c r="B5744" i="3"/>
  <c r="A5744" i="3"/>
  <c r="B5743" i="3"/>
  <c r="A5743" i="3"/>
  <c r="B5742" i="3"/>
  <c r="A5742" i="3"/>
  <c r="B5741" i="3"/>
  <c r="A5741" i="3"/>
  <c r="B5740" i="3"/>
  <c r="A5740" i="3"/>
  <c r="B5739" i="3"/>
  <c r="A5739" i="3"/>
  <c r="B5738" i="3"/>
  <c r="A5738" i="3"/>
  <c r="B5737" i="3"/>
  <c r="A5737" i="3"/>
  <c r="B5736" i="3"/>
  <c r="A5736" i="3"/>
  <c r="B5735" i="3"/>
  <c r="A5735" i="3"/>
  <c r="B5734" i="3"/>
  <c r="A5734" i="3"/>
  <c r="B5733" i="3"/>
  <c r="A5733" i="3"/>
  <c r="B5732" i="3"/>
  <c r="A5732" i="3"/>
  <c r="B5731" i="3"/>
  <c r="A5731" i="3"/>
  <c r="B5730" i="3"/>
  <c r="A5730" i="3"/>
  <c r="B5729" i="3"/>
  <c r="A5729" i="3"/>
  <c r="B5728" i="3"/>
  <c r="A5728" i="3"/>
  <c r="B5727" i="3"/>
  <c r="A5727" i="3"/>
  <c r="B5726" i="3"/>
  <c r="A5726" i="3"/>
  <c r="B5725" i="3"/>
  <c r="A5725" i="3"/>
  <c r="B5724" i="3"/>
  <c r="A5724" i="3"/>
  <c r="B5723" i="3"/>
  <c r="A5723" i="3"/>
  <c r="B5722" i="3"/>
  <c r="A5722" i="3"/>
  <c r="B5721" i="3"/>
  <c r="A5721" i="3"/>
  <c r="B5720" i="3"/>
  <c r="A5720" i="3"/>
  <c r="B5719" i="3"/>
  <c r="A5719" i="3"/>
  <c r="B5718" i="3"/>
  <c r="A5718" i="3"/>
  <c r="B5717" i="3"/>
  <c r="A5717" i="3"/>
  <c r="B5716" i="3"/>
  <c r="A5716" i="3"/>
  <c r="B5715" i="3"/>
  <c r="A5715" i="3"/>
  <c r="B5714" i="3"/>
  <c r="A5714" i="3"/>
  <c r="B5713" i="3"/>
  <c r="A5713" i="3"/>
  <c r="B5712" i="3"/>
  <c r="A5712" i="3"/>
  <c r="B5711" i="3"/>
  <c r="A5711" i="3"/>
  <c r="B5710" i="3"/>
  <c r="A5710" i="3"/>
  <c r="B5709" i="3"/>
  <c r="A5709" i="3"/>
  <c r="B5708" i="3"/>
  <c r="A5708" i="3"/>
  <c r="B5707" i="3"/>
  <c r="A5707" i="3"/>
  <c r="B5706" i="3"/>
  <c r="A5706" i="3"/>
  <c r="B5705" i="3"/>
  <c r="A5705" i="3"/>
  <c r="B5704" i="3"/>
  <c r="A5704" i="3"/>
  <c r="B5703" i="3"/>
  <c r="A5703" i="3"/>
  <c r="B5702" i="3"/>
  <c r="A5702" i="3"/>
  <c r="B5701" i="3"/>
  <c r="A5701" i="3"/>
  <c r="B5700" i="3"/>
  <c r="A5700" i="3"/>
  <c r="B5699" i="3"/>
  <c r="A5699" i="3"/>
  <c r="B5698" i="3"/>
  <c r="A5698" i="3"/>
  <c r="B5697" i="3"/>
  <c r="A5697" i="3"/>
  <c r="B5696" i="3"/>
  <c r="A5696" i="3"/>
  <c r="B5695" i="3"/>
  <c r="A5695" i="3"/>
  <c r="B5694" i="3"/>
  <c r="A5694" i="3"/>
  <c r="B5693" i="3"/>
  <c r="A5693" i="3"/>
  <c r="B5692" i="3"/>
  <c r="A5692" i="3"/>
  <c r="B5691" i="3"/>
  <c r="A5691" i="3"/>
  <c r="B5690" i="3"/>
  <c r="A5690" i="3"/>
  <c r="B5689" i="3"/>
  <c r="A5689" i="3"/>
  <c r="B5688" i="3"/>
  <c r="A5688" i="3"/>
  <c r="B5687" i="3"/>
  <c r="A5687" i="3"/>
  <c r="B5686" i="3"/>
  <c r="A5686" i="3"/>
  <c r="B5685" i="3"/>
  <c r="A5685" i="3"/>
  <c r="B5684" i="3"/>
  <c r="A5684" i="3"/>
  <c r="B5683" i="3"/>
  <c r="A5683" i="3"/>
  <c r="B5682" i="3"/>
  <c r="A5682" i="3"/>
  <c r="B5681" i="3"/>
  <c r="A5681" i="3"/>
  <c r="B5680" i="3"/>
  <c r="A5680" i="3"/>
  <c r="B5679" i="3"/>
  <c r="A5679" i="3"/>
  <c r="B5678" i="3"/>
  <c r="A5678" i="3"/>
  <c r="B5677" i="3"/>
  <c r="A5677" i="3"/>
  <c r="B5676" i="3"/>
  <c r="A5676" i="3"/>
  <c r="B5675" i="3"/>
  <c r="A5675" i="3"/>
  <c r="B5674" i="3"/>
  <c r="A5674" i="3"/>
  <c r="B5673" i="3"/>
  <c r="A5673" i="3"/>
  <c r="B5672" i="3"/>
  <c r="A5672" i="3"/>
  <c r="B5671" i="3"/>
  <c r="A5671" i="3"/>
  <c r="B5670" i="3"/>
  <c r="A5670" i="3"/>
  <c r="B5669" i="3"/>
  <c r="A5669" i="3"/>
  <c r="B5668" i="3"/>
  <c r="A5668" i="3"/>
  <c r="B5667" i="3"/>
  <c r="A5667" i="3"/>
  <c r="B5666" i="3"/>
  <c r="A5666" i="3"/>
  <c r="B5665" i="3"/>
  <c r="A5665" i="3"/>
  <c r="B5664" i="3"/>
  <c r="A5664" i="3"/>
  <c r="B5663" i="3"/>
  <c r="A5663" i="3"/>
  <c r="B5662" i="3"/>
  <c r="A5662" i="3"/>
  <c r="B5661" i="3"/>
  <c r="A5661" i="3"/>
  <c r="B5660" i="3"/>
  <c r="A5660" i="3"/>
  <c r="B5659" i="3"/>
  <c r="A5659" i="3"/>
  <c r="B5658" i="3"/>
  <c r="A5658" i="3"/>
  <c r="B5657" i="3"/>
  <c r="A5657" i="3"/>
  <c r="B5656" i="3"/>
  <c r="A5656" i="3"/>
  <c r="B5655" i="3"/>
  <c r="A5655" i="3"/>
  <c r="B5654" i="3"/>
  <c r="A5654" i="3"/>
  <c r="B5653" i="3"/>
  <c r="A5653" i="3"/>
  <c r="B5652" i="3"/>
  <c r="A5652" i="3"/>
  <c r="B5651" i="3"/>
  <c r="A5651" i="3"/>
  <c r="B5650" i="3"/>
  <c r="A5650" i="3"/>
  <c r="B5649" i="3"/>
  <c r="A5649" i="3"/>
  <c r="B5648" i="3"/>
  <c r="A5648" i="3"/>
  <c r="B5647" i="3"/>
  <c r="A5647" i="3"/>
  <c r="B5646" i="3"/>
  <c r="A5646" i="3"/>
  <c r="B5645" i="3"/>
  <c r="A5645" i="3"/>
  <c r="B5644" i="3"/>
  <c r="A5644" i="3"/>
  <c r="B5643" i="3"/>
  <c r="A5643" i="3"/>
  <c r="B5642" i="3"/>
  <c r="A5642" i="3"/>
  <c r="B5641" i="3"/>
  <c r="A5641" i="3"/>
  <c r="B5640" i="3"/>
  <c r="A5640" i="3"/>
  <c r="B5639" i="3"/>
  <c r="A5639" i="3"/>
  <c r="B5638" i="3"/>
  <c r="A5638" i="3"/>
  <c r="B5637" i="3"/>
  <c r="A5637" i="3"/>
  <c r="B5636" i="3"/>
  <c r="A5636" i="3"/>
  <c r="B5635" i="3"/>
  <c r="A5635" i="3"/>
  <c r="B5634" i="3"/>
  <c r="A5634" i="3"/>
  <c r="B5633" i="3"/>
  <c r="A5633" i="3"/>
  <c r="B5632" i="3"/>
  <c r="A5632" i="3"/>
  <c r="B5631" i="3"/>
  <c r="A5631" i="3"/>
  <c r="B5630" i="3"/>
  <c r="A5630" i="3"/>
  <c r="B5629" i="3"/>
  <c r="A5629" i="3"/>
  <c r="B5628" i="3"/>
  <c r="A5628" i="3"/>
  <c r="B5627" i="3"/>
  <c r="A5627" i="3"/>
  <c r="B5626" i="3"/>
  <c r="A5626" i="3"/>
  <c r="B5625" i="3"/>
  <c r="A5625" i="3"/>
  <c r="B5624" i="3"/>
  <c r="A5624" i="3"/>
  <c r="B5623" i="3"/>
  <c r="A5623" i="3"/>
  <c r="B5622" i="3"/>
  <c r="A5622" i="3"/>
  <c r="B5621" i="3"/>
  <c r="A5621" i="3"/>
  <c r="B5620" i="3"/>
  <c r="A5620" i="3"/>
  <c r="B5619" i="3"/>
  <c r="A5619" i="3"/>
  <c r="B5618" i="3"/>
  <c r="A5618" i="3"/>
  <c r="B5617" i="3"/>
  <c r="A5617" i="3"/>
  <c r="B5616" i="3"/>
  <c r="A5616" i="3"/>
  <c r="B5615" i="3"/>
  <c r="A5615" i="3"/>
  <c r="B5614" i="3"/>
  <c r="A5614" i="3"/>
  <c r="B5613" i="3"/>
  <c r="A5613" i="3"/>
  <c r="B5612" i="3"/>
  <c r="A5612" i="3"/>
  <c r="B5611" i="3"/>
  <c r="A5611" i="3"/>
  <c r="B5610" i="3"/>
  <c r="A5610" i="3"/>
  <c r="B5609" i="3"/>
  <c r="A5609" i="3"/>
  <c r="B5608" i="3"/>
  <c r="A5608" i="3"/>
  <c r="B5607" i="3"/>
  <c r="A5607" i="3"/>
  <c r="B5606" i="3"/>
  <c r="A5606" i="3"/>
  <c r="B5605" i="3"/>
  <c r="A5605" i="3"/>
  <c r="B5604" i="3"/>
  <c r="A5604" i="3"/>
  <c r="B5603" i="3"/>
  <c r="A5603" i="3"/>
  <c r="B5602" i="3"/>
  <c r="A5602" i="3"/>
  <c r="B5601" i="3"/>
  <c r="A5601" i="3"/>
  <c r="B5600" i="3"/>
  <c r="A5600" i="3"/>
  <c r="B5599" i="3"/>
  <c r="A5599" i="3"/>
  <c r="B5598" i="3"/>
  <c r="A5598" i="3"/>
  <c r="B5597" i="3"/>
  <c r="A5597" i="3"/>
  <c r="B5596" i="3"/>
  <c r="A5596" i="3"/>
  <c r="B5595" i="3"/>
  <c r="A5595" i="3"/>
  <c r="B5594" i="3"/>
  <c r="A5594" i="3"/>
  <c r="B5593" i="3"/>
  <c r="A5593" i="3"/>
  <c r="B5592" i="3"/>
  <c r="A5592" i="3"/>
  <c r="B5591" i="3"/>
  <c r="A5591" i="3"/>
  <c r="B5590" i="3"/>
  <c r="A5590" i="3"/>
  <c r="B5589" i="3"/>
  <c r="A5589" i="3"/>
  <c r="B5588" i="3"/>
  <c r="A5588" i="3"/>
  <c r="B5587" i="3"/>
  <c r="A5587" i="3"/>
  <c r="B5586" i="3"/>
  <c r="A5586" i="3"/>
  <c r="B5585" i="3"/>
  <c r="A5585" i="3"/>
  <c r="B5584" i="3"/>
  <c r="A5584" i="3"/>
  <c r="B5583" i="3"/>
  <c r="A5583" i="3"/>
  <c r="B5582" i="3"/>
  <c r="A5582" i="3"/>
  <c r="B5581" i="3"/>
  <c r="A5581" i="3"/>
  <c r="B5580" i="3"/>
  <c r="A5580" i="3"/>
  <c r="B5579" i="3"/>
  <c r="A5579" i="3"/>
  <c r="B5578" i="3"/>
  <c r="A5578" i="3"/>
  <c r="B5577" i="3"/>
  <c r="A5577" i="3"/>
  <c r="B5576" i="3"/>
  <c r="A5576" i="3"/>
  <c r="B5575" i="3"/>
  <c r="A5575" i="3"/>
  <c r="B5574" i="3"/>
  <c r="A5574" i="3"/>
  <c r="B5573" i="3"/>
  <c r="A5573" i="3"/>
  <c r="B5572" i="3"/>
  <c r="A5572" i="3"/>
  <c r="B5571" i="3"/>
  <c r="A5571" i="3"/>
  <c r="B5570" i="3"/>
  <c r="A5570" i="3"/>
  <c r="B5569" i="3"/>
  <c r="A5569" i="3"/>
  <c r="B5568" i="3"/>
  <c r="A5568" i="3"/>
  <c r="B5567" i="3"/>
  <c r="A5567" i="3"/>
  <c r="B5566" i="3"/>
  <c r="A5566" i="3"/>
  <c r="B5565" i="3"/>
  <c r="A5565" i="3"/>
  <c r="B5564" i="3"/>
  <c r="A5564" i="3"/>
  <c r="B5563" i="3"/>
  <c r="A5563" i="3"/>
  <c r="B5562" i="3"/>
  <c r="A5562" i="3"/>
  <c r="B5561" i="3"/>
  <c r="A5561" i="3"/>
  <c r="B5560" i="3"/>
  <c r="A5560" i="3"/>
  <c r="B5559" i="3"/>
  <c r="A5559" i="3"/>
  <c r="B5558" i="3"/>
  <c r="A5558" i="3"/>
  <c r="B5557" i="3"/>
  <c r="A5557" i="3"/>
  <c r="B5556" i="3"/>
  <c r="A5556" i="3"/>
  <c r="B5555" i="3"/>
  <c r="A5555" i="3"/>
  <c r="B5554" i="3"/>
  <c r="A5554" i="3"/>
  <c r="B5553" i="3"/>
  <c r="A5553" i="3"/>
  <c r="B5552" i="3"/>
  <c r="A5552" i="3"/>
  <c r="B5551" i="3"/>
  <c r="A5551" i="3"/>
  <c r="B5550" i="3"/>
  <c r="A5550" i="3"/>
  <c r="B5549" i="3"/>
  <c r="A5549" i="3"/>
  <c r="B5548" i="3"/>
  <c r="A5548" i="3"/>
  <c r="B5547" i="3"/>
  <c r="A5547" i="3"/>
  <c r="B5546" i="3"/>
  <c r="A5546" i="3"/>
  <c r="B5545" i="3"/>
  <c r="A5545" i="3"/>
  <c r="B5544" i="3"/>
  <c r="A5544" i="3"/>
  <c r="B5543" i="3"/>
  <c r="A5543" i="3"/>
  <c r="B5542" i="3"/>
  <c r="A5542" i="3"/>
  <c r="B5541" i="3"/>
  <c r="A5541" i="3"/>
  <c r="B5540" i="3"/>
  <c r="A5540" i="3"/>
  <c r="B5539" i="3"/>
  <c r="A5539" i="3"/>
  <c r="B5538" i="3"/>
  <c r="A5538" i="3"/>
  <c r="B5537" i="3"/>
  <c r="A5537" i="3"/>
  <c r="B5536" i="3"/>
  <c r="A5536" i="3"/>
  <c r="B5535" i="3"/>
  <c r="A5535" i="3"/>
  <c r="B5534" i="3"/>
  <c r="A5534" i="3"/>
  <c r="B5533" i="3"/>
  <c r="A5533" i="3"/>
  <c r="B5532" i="3"/>
  <c r="A5532" i="3"/>
  <c r="B5531" i="3"/>
  <c r="A5531" i="3"/>
  <c r="B5530" i="3"/>
  <c r="A5530" i="3"/>
  <c r="B5529" i="3"/>
  <c r="A5529" i="3"/>
  <c r="B5528" i="3"/>
  <c r="A5528" i="3"/>
  <c r="B5527" i="3"/>
  <c r="A5527" i="3"/>
  <c r="B5526" i="3"/>
  <c r="A5526" i="3"/>
  <c r="B5525" i="3"/>
  <c r="A5525" i="3"/>
  <c r="B5524" i="3"/>
  <c r="A5524" i="3"/>
  <c r="B5523" i="3"/>
  <c r="A5523" i="3"/>
  <c r="B5522" i="3"/>
  <c r="A5522" i="3"/>
  <c r="B5521" i="3"/>
  <c r="A5521" i="3"/>
  <c r="B5520" i="3"/>
  <c r="A5520" i="3"/>
  <c r="B5519" i="3"/>
  <c r="A5519" i="3"/>
  <c r="B5518" i="3"/>
  <c r="A5518" i="3"/>
  <c r="B5517" i="3"/>
  <c r="A5517" i="3"/>
  <c r="B5516" i="3"/>
  <c r="A5516" i="3"/>
  <c r="B5515" i="3"/>
  <c r="A5515" i="3"/>
  <c r="B5514" i="3"/>
  <c r="A5514" i="3"/>
  <c r="B5513" i="3"/>
  <c r="A5513" i="3"/>
  <c r="B5512" i="3"/>
  <c r="A5512" i="3"/>
  <c r="B5511" i="3"/>
  <c r="A5511" i="3"/>
  <c r="B5510" i="3"/>
  <c r="A5510" i="3"/>
  <c r="B5509" i="3"/>
  <c r="A5509" i="3"/>
  <c r="B5508" i="3"/>
  <c r="A5508" i="3"/>
  <c r="B5507" i="3"/>
  <c r="A5507" i="3"/>
  <c r="B5506" i="3"/>
  <c r="A5506" i="3"/>
  <c r="B5505" i="3"/>
  <c r="A5505" i="3"/>
  <c r="B5504" i="3"/>
  <c r="A5504" i="3"/>
  <c r="B5503" i="3"/>
  <c r="A5503" i="3"/>
  <c r="B5502" i="3"/>
  <c r="A5502" i="3"/>
  <c r="B5501" i="3"/>
  <c r="A5501" i="3"/>
  <c r="B5500" i="3"/>
  <c r="A5500" i="3"/>
  <c r="B5499" i="3"/>
  <c r="A5499" i="3"/>
  <c r="B5498" i="3"/>
  <c r="A5498" i="3"/>
  <c r="B5497" i="3"/>
  <c r="A5497" i="3"/>
  <c r="B5496" i="3"/>
  <c r="A5496" i="3"/>
  <c r="B5495" i="3"/>
  <c r="A5495" i="3"/>
  <c r="B5494" i="3"/>
  <c r="A5494" i="3"/>
  <c r="B5493" i="3"/>
  <c r="A5493" i="3"/>
  <c r="B5492" i="3"/>
  <c r="A5492" i="3"/>
  <c r="B5491" i="3"/>
  <c r="A5491" i="3"/>
  <c r="B5490" i="3"/>
  <c r="A5490" i="3"/>
  <c r="B5489" i="3"/>
  <c r="A5489" i="3"/>
  <c r="B5488" i="3"/>
  <c r="A5488" i="3"/>
  <c r="B5487" i="3"/>
  <c r="A5487" i="3"/>
  <c r="B5486" i="3"/>
  <c r="A5486" i="3"/>
  <c r="B5485" i="3"/>
  <c r="A5485" i="3"/>
  <c r="B5484" i="3"/>
  <c r="A5484" i="3"/>
  <c r="B5483" i="3"/>
  <c r="A5483" i="3"/>
  <c r="B5482" i="3"/>
  <c r="A5482" i="3"/>
  <c r="B5481" i="3"/>
  <c r="A5481" i="3"/>
  <c r="B5480" i="3"/>
  <c r="A5480" i="3"/>
  <c r="B5479" i="3"/>
  <c r="A5479" i="3"/>
  <c r="B5478" i="3"/>
  <c r="A5478" i="3"/>
  <c r="B5477" i="3"/>
  <c r="A5477" i="3"/>
  <c r="B5476" i="3"/>
  <c r="A5476" i="3"/>
  <c r="B5475" i="3"/>
  <c r="A5475" i="3"/>
  <c r="B5474" i="3"/>
  <c r="A5474" i="3"/>
  <c r="B5473" i="3"/>
  <c r="A5473" i="3"/>
  <c r="B5472" i="3"/>
  <c r="A5472" i="3"/>
  <c r="B5471" i="3"/>
  <c r="A5471" i="3"/>
  <c r="B5470" i="3"/>
  <c r="A5470" i="3"/>
  <c r="B5469" i="3"/>
  <c r="A5469" i="3"/>
  <c r="B5468" i="3"/>
  <c r="A5468" i="3"/>
  <c r="B5467" i="3"/>
  <c r="A5467" i="3"/>
  <c r="B5466" i="3"/>
  <c r="A5466" i="3"/>
  <c r="B5465" i="3"/>
  <c r="A5465" i="3"/>
  <c r="B5464" i="3"/>
  <c r="A5464" i="3"/>
  <c r="B5463" i="3"/>
  <c r="A5463" i="3"/>
  <c r="B5462" i="3"/>
  <c r="A5462" i="3"/>
  <c r="B5461" i="3"/>
  <c r="A5461" i="3"/>
  <c r="B5460" i="3"/>
  <c r="A5460" i="3"/>
  <c r="B5459" i="3"/>
  <c r="A5459" i="3"/>
  <c r="B5458" i="3"/>
  <c r="A5458" i="3"/>
  <c r="B5457" i="3"/>
  <c r="A5457" i="3"/>
  <c r="B5456" i="3"/>
  <c r="A5456" i="3"/>
  <c r="B5455" i="3"/>
  <c r="A5455" i="3"/>
  <c r="B5454" i="3"/>
  <c r="A5454" i="3"/>
  <c r="B5453" i="3"/>
  <c r="A5453" i="3"/>
  <c r="B5452" i="3"/>
  <c r="A5452" i="3"/>
  <c r="B5451" i="3"/>
  <c r="A5451" i="3"/>
  <c r="B5450" i="3"/>
  <c r="A5450" i="3"/>
  <c r="B5449" i="3"/>
  <c r="A5449" i="3"/>
  <c r="B5448" i="3"/>
  <c r="A5448" i="3"/>
  <c r="B5447" i="3"/>
  <c r="A5447" i="3"/>
  <c r="B5446" i="3"/>
  <c r="A5446" i="3"/>
  <c r="B5445" i="3"/>
  <c r="A5445" i="3"/>
  <c r="B5444" i="3"/>
  <c r="A5444" i="3"/>
  <c r="B5443" i="3"/>
  <c r="A5443" i="3"/>
  <c r="B5442" i="3"/>
  <c r="A5442" i="3"/>
  <c r="B5441" i="3"/>
  <c r="A5441" i="3"/>
  <c r="B5440" i="3"/>
  <c r="A5440" i="3"/>
  <c r="B5439" i="3"/>
  <c r="A5439" i="3"/>
  <c r="B5438" i="3"/>
  <c r="A5438" i="3"/>
  <c r="B5437" i="3"/>
  <c r="A5437" i="3"/>
  <c r="B5436" i="3"/>
  <c r="A5436" i="3"/>
  <c r="B5435" i="3"/>
  <c r="A5435" i="3"/>
  <c r="B5434" i="3"/>
  <c r="A5434" i="3"/>
  <c r="B5433" i="3"/>
  <c r="A5433" i="3"/>
  <c r="B5432" i="3"/>
  <c r="A5432" i="3"/>
  <c r="B5431" i="3"/>
  <c r="A5431" i="3"/>
  <c r="B5430" i="3"/>
  <c r="A5430" i="3"/>
  <c r="B5429" i="3"/>
  <c r="A5429" i="3"/>
  <c r="B5428" i="3"/>
  <c r="A5428" i="3"/>
  <c r="B5427" i="3"/>
  <c r="A5427" i="3"/>
  <c r="B5426" i="3"/>
  <c r="A5426" i="3"/>
  <c r="B5425" i="3"/>
  <c r="A5425" i="3"/>
  <c r="B5424" i="3"/>
  <c r="A5424" i="3"/>
  <c r="B5423" i="3"/>
  <c r="A5423" i="3"/>
  <c r="B5422" i="3"/>
  <c r="A5422" i="3"/>
  <c r="B5421" i="3"/>
  <c r="A5421" i="3"/>
  <c r="B5420" i="3"/>
  <c r="A5420" i="3"/>
  <c r="B5419" i="3"/>
  <c r="A5419" i="3"/>
  <c r="B5418" i="3"/>
  <c r="A5418" i="3"/>
  <c r="B5417" i="3"/>
  <c r="A5417" i="3"/>
  <c r="B5416" i="3"/>
  <c r="A5416" i="3"/>
  <c r="B5415" i="3"/>
  <c r="A5415" i="3"/>
  <c r="B5414" i="3"/>
  <c r="A5414" i="3"/>
  <c r="B5413" i="3"/>
  <c r="A5413" i="3"/>
  <c r="B5412" i="3"/>
  <c r="A5412" i="3"/>
  <c r="B5411" i="3"/>
  <c r="A5411" i="3"/>
  <c r="B5410" i="3"/>
  <c r="A5410" i="3"/>
  <c r="B5409" i="3"/>
  <c r="A5409" i="3"/>
  <c r="B5408" i="3"/>
  <c r="A5408" i="3"/>
  <c r="B5407" i="3"/>
  <c r="A5407" i="3"/>
  <c r="B5406" i="3"/>
  <c r="A5406" i="3"/>
  <c r="B5405" i="3"/>
  <c r="A5405" i="3"/>
  <c r="B5404" i="3"/>
  <c r="A5404" i="3"/>
  <c r="B5403" i="3"/>
  <c r="A5403" i="3"/>
  <c r="B5402" i="3"/>
  <c r="A5402" i="3"/>
  <c r="B5401" i="3"/>
  <c r="A5401" i="3"/>
  <c r="B5400" i="3"/>
  <c r="A5400" i="3"/>
  <c r="B5399" i="3"/>
  <c r="A5399" i="3"/>
  <c r="B5398" i="3"/>
  <c r="A5398" i="3"/>
  <c r="B5397" i="3"/>
  <c r="A5397" i="3"/>
  <c r="B5396" i="3"/>
  <c r="A5396" i="3"/>
  <c r="B5395" i="3"/>
  <c r="A5395" i="3"/>
  <c r="B5394" i="3"/>
  <c r="A5394" i="3"/>
  <c r="B5393" i="3"/>
  <c r="A5393" i="3"/>
  <c r="B5392" i="3"/>
  <c r="A5392" i="3"/>
  <c r="B5391" i="3"/>
  <c r="A5391" i="3"/>
  <c r="B5390" i="3"/>
  <c r="A5390" i="3"/>
  <c r="B5389" i="3"/>
  <c r="A5389" i="3"/>
  <c r="B5388" i="3"/>
  <c r="A5388" i="3"/>
  <c r="B5387" i="3"/>
  <c r="A5387" i="3"/>
  <c r="B5386" i="3"/>
  <c r="A5386" i="3"/>
  <c r="B5385" i="3"/>
  <c r="A5385" i="3"/>
  <c r="B5384" i="3"/>
  <c r="A5384" i="3"/>
  <c r="B5383" i="3"/>
  <c r="A5383" i="3"/>
  <c r="B5382" i="3"/>
  <c r="A5382" i="3"/>
  <c r="B5381" i="3"/>
  <c r="A5381" i="3"/>
  <c r="B5380" i="3"/>
  <c r="A5380" i="3"/>
  <c r="B5379" i="3"/>
  <c r="A5379" i="3"/>
  <c r="B5378" i="3"/>
  <c r="A5378" i="3"/>
  <c r="B5377" i="3"/>
  <c r="A5377" i="3"/>
  <c r="B5376" i="3"/>
  <c r="A5376" i="3"/>
  <c r="B5375" i="3"/>
  <c r="A5375" i="3"/>
  <c r="B5374" i="3"/>
  <c r="A5374" i="3"/>
  <c r="B5373" i="3"/>
  <c r="A5373" i="3"/>
  <c r="B5372" i="3"/>
  <c r="A5372" i="3"/>
  <c r="B5371" i="3"/>
  <c r="A5371" i="3"/>
  <c r="B5370" i="3"/>
  <c r="A5370" i="3"/>
  <c r="B5369" i="3"/>
  <c r="A5369" i="3"/>
  <c r="B5368" i="3"/>
  <c r="A5368" i="3"/>
  <c r="B5367" i="3"/>
  <c r="A5367" i="3"/>
  <c r="B5366" i="3"/>
  <c r="A5366" i="3"/>
  <c r="B5365" i="3"/>
  <c r="A5365" i="3"/>
  <c r="B5364" i="3"/>
  <c r="A5364" i="3"/>
  <c r="B5363" i="3"/>
  <c r="A5363" i="3"/>
  <c r="B5362" i="3"/>
  <c r="A5362" i="3"/>
  <c r="B5361" i="3"/>
  <c r="A5361" i="3"/>
  <c r="B5360" i="3"/>
  <c r="A5360" i="3"/>
  <c r="B5359" i="3"/>
  <c r="A5359" i="3"/>
  <c r="B5358" i="3"/>
  <c r="A5358" i="3"/>
  <c r="B5357" i="3"/>
  <c r="A5357" i="3"/>
  <c r="B5356" i="3"/>
  <c r="A5356" i="3"/>
  <c r="B5355" i="3"/>
  <c r="A5355" i="3"/>
  <c r="B5354" i="3"/>
  <c r="A5354" i="3"/>
  <c r="B5353" i="3"/>
  <c r="A5353" i="3"/>
  <c r="B5352" i="3"/>
  <c r="A5352" i="3"/>
  <c r="B5351" i="3"/>
  <c r="A5351" i="3"/>
  <c r="B5350" i="3"/>
  <c r="A5350" i="3"/>
  <c r="B5349" i="3"/>
  <c r="A5349" i="3"/>
  <c r="B5348" i="3"/>
  <c r="A5348" i="3"/>
  <c r="B5347" i="3"/>
  <c r="A5347" i="3"/>
  <c r="B5346" i="3"/>
  <c r="A5346" i="3"/>
  <c r="B5345" i="3"/>
  <c r="A5345" i="3"/>
  <c r="B5344" i="3"/>
  <c r="A5344" i="3"/>
  <c r="B5343" i="3"/>
  <c r="A5343" i="3"/>
  <c r="B5342" i="3"/>
  <c r="A5342" i="3"/>
  <c r="B5341" i="3"/>
  <c r="A5341" i="3"/>
  <c r="B5340" i="3"/>
  <c r="A5340" i="3"/>
  <c r="B5339" i="3"/>
  <c r="A5339" i="3"/>
  <c r="B5338" i="3"/>
  <c r="A5338" i="3"/>
  <c r="B5337" i="3"/>
  <c r="A5337" i="3"/>
  <c r="B5336" i="3"/>
  <c r="A5336" i="3"/>
  <c r="B5335" i="3"/>
  <c r="A5335" i="3"/>
  <c r="B5334" i="3"/>
  <c r="A5334" i="3"/>
  <c r="B5333" i="3"/>
  <c r="A5333" i="3"/>
  <c r="B5332" i="3"/>
  <c r="A5332" i="3"/>
  <c r="B5331" i="3"/>
  <c r="A5331" i="3"/>
  <c r="B5330" i="3"/>
  <c r="A5330" i="3"/>
  <c r="B5329" i="3"/>
  <c r="A5329" i="3"/>
  <c r="B5328" i="3"/>
  <c r="A5328" i="3"/>
  <c r="B5327" i="3"/>
  <c r="A5327" i="3"/>
  <c r="B5326" i="3"/>
  <c r="A5326" i="3"/>
  <c r="B5325" i="3"/>
  <c r="A5325" i="3"/>
  <c r="B5324" i="3"/>
  <c r="A5324" i="3"/>
  <c r="B5323" i="3"/>
  <c r="A5323" i="3"/>
  <c r="B5322" i="3"/>
  <c r="A5322" i="3"/>
  <c r="B5321" i="3"/>
  <c r="A5321" i="3"/>
  <c r="B5320" i="3"/>
  <c r="A5320" i="3"/>
  <c r="B5319" i="3"/>
  <c r="A5319" i="3"/>
  <c r="B5318" i="3"/>
  <c r="A5318" i="3"/>
  <c r="B5317" i="3"/>
  <c r="A5317" i="3"/>
  <c r="B5316" i="3"/>
  <c r="A5316" i="3"/>
  <c r="B5315" i="3"/>
  <c r="A5315" i="3"/>
  <c r="B5314" i="3"/>
  <c r="A5314" i="3"/>
  <c r="B5313" i="3"/>
  <c r="A5313" i="3"/>
  <c r="B5312" i="3"/>
  <c r="A5312" i="3"/>
  <c r="B5311" i="3"/>
  <c r="A5311" i="3"/>
  <c r="B5310" i="3"/>
  <c r="A5310" i="3"/>
  <c r="B5309" i="3"/>
  <c r="A5309" i="3"/>
  <c r="B5308" i="3"/>
  <c r="A5308" i="3"/>
  <c r="B5307" i="3"/>
  <c r="A5307" i="3"/>
  <c r="B5306" i="3"/>
  <c r="A5306" i="3"/>
  <c r="B5305" i="3"/>
  <c r="A5305" i="3"/>
  <c r="B5304" i="3"/>
  <c r="A5304" i="3"/>
  <c r="B5303" i="3"/>
  <c r="A5303" i="3"/>
  <c r="B5302" i="3"/>
  <c r="A5302" i="3"/>
  <c r="B5301" i="3"/>
  <c r="A5301" i="3"/>
  <c r="B5300" i="3"/>
  <c r="A5300" i="3"/>
  <c r="B5299" i="3"/>
  <c r="A5299" i="3"/>
  <c r="B5298" i="3"/>
  <c r="A5298" i="3"/>
  <c r="B5297" i="3"/>
  <c r="A5297" i="3"/>
  <c r="B5296" i="3"/>
  <c r="A5296" i="3"/>
  <c r="B5295" i="3"/>
  <c r="A5295" i="3"/>
  <c r="B5294" i="3"/>
  <c r="A5294" i="3"/>
  <c r="B5293" i="3"/>
  <c r="A5293" i="3"/>
  <c r="B5292" i="3"/>
  <c r="A5292" i="3"/>
  <c r="B5291" i="3"/>
  <c r="A5291" i="3"/>
  <c r="B5290" i="3"/>
  <c r="A5290" i="3"/>
  <c r="B5289" i="3"/>
  <c r="A5289" i="3"/>
  <c r="B5288" i="3"/>
  <c r="A5288" i="3"/>
  <c r="B5287" i="3"/>
  <c r="A5287" i="3"/>
  <c r="B5286" i="3"/>
  <c r="A5286" i="3"/>
  <c r="B5285" i="3"/>
  <c r="A5285" i="3"/>
  <c r="B5284" i="3"/>
  <c r="A5284" i="3"/>
  <c r="B5283" i="3"/>
  <c r="A5283" i="3"/>
  <c r="B5282" i="3"/>
  <c r="A5282" i="3"/>
  <c r="B5281" i="3"/>
  <c r="A5281" i="3"/>
  <c r="B5280" i="3"/>
  <c r="A5280" i="3"/>
  <c r="B5279" i="3"/>
  <c r="A5279" i="3"/>
  <c r="B5278" i="3"/>
  <c r="A5278" i="3"/>
  <c r="B5277" i="3"/>
  <c r="A5277" i="3"/>
  <c r="B5276" i="3"/>
  <c r="A5276" i="3"/>
  <c r="B5275" i="3"/>
  <c r="A5275" i="3"/>
  <c r="B5274" i="3"/>
  <c r="A5274" i="3"/>
  <c r="B5273" i="3"/>
  <c r="A5273" i="3"/>
  <c r="B5272" i="3"/>
  <c r="A5272" i="3"/>
  <c r="B5271" i="3"/>
  <c r="A5271" i="3"/>
  <c r="B5270" i="3"/>
  <c r="A5270" i="3"/>
  <c r="B5269" i="3"/>
  <c r="A5269" i="3"/>
  <c r="B5268" i="3"/>
  <c r="A5268" i="3"/>
  <c r="B5267" i="3"/>
  <c r="A5267" i="3"/>
  <c r="B5266" i="3"/>
  <c r="A5266" i="3"/>
  <c r="B5265" i="3"/>
  <c r="A5265" i="3"/>
  <c r="B5264" i="3"/>
  <c r="A5264" i="3"/>
  <c r="B5263" i="3"/>
  <c r="A5263" i="3"/>
  <c r="B5262" i="3"/>
  <c r="A5262" i="3"/>
  <c r="B5261" i="3"/>
  <c r="A5261" i="3"/>
  <c r="B5260" i="3"/>
  <c r="A5260" i="3"/>
  <c r="B5259" i="3"/>
  <c r="A5259" i="3"/>
  <c r="B5258" i="3"/>
  <c r="A5258" i="3"/>
  <c r="B5257" i="3"/>
  <c r="A5257" i="3"/>
  <c r="B5256" i="3"/>
  <c r="A5256" i="3"/>
  <c r="B5255" i="3"/>
  <c r="A5255" i="3"/>
  <c r="B5254" i="3"/>
  <c r="A5254" i="3"/>
  <c r="B5253" i="3"/>
  <c r="A5253" i="3"/>
  <c r="B5252" i="3"/>
  <c r="A5252" i="3"/>
  <c r="B5251" i="3"/>
  <c r="A5251" i="3"/>
  <c r="B5250" i="3"/>
  <c r="A5250" i="3"/>
  <c r="B5249" i="3"/>
  <c r="A5249" i="3"/>
  <c r="B5248" i="3"/>
  <c r="A5248" i="3"/>
  <c r="B5247" i="3"/>
  <c r="A5247" i="3"/>
  <c r="B5246" i="3"/>
  <c r="A5246" i="3"/>
  <c r="B5245" i="3"/>
  <c r="A5245" i="3"/>
  <c r="B5244" i="3"/>
  <c r="A5244" i="3"/>
  <c r="B5243" i="3"/>
  <c r="A5243" i="3"/>
  <c r="B5242" i="3"/>
  <c r="A5242" i="3"/>
  <c r="B5241" i="3"/>
  <c r="A5241" i="3"/>
  <c r="B5240" i="3"/>
  <c r="A5240" i="3"/>
  <c r="B5239" i="3"/>
  <c r="A5239" i="3"/>
  <c r="B5238" i="3"/>
  <c r="A5238" i="3"/>
  <c r="B5237" i="3"/>
  <c r="A5237" i="3"/>
  <c r="B5236" i="3"/>
  <c r="A5236" i="3"/>
  <c r="B5235" i="3"/>
  <c r="A5235" i="3"/>
  <c r="B5234" i="3"/>
  <c r="A5234" i="3"/>
  <c r="B5233" i="3"/>
  <c r="A5233" i="3"/>
  <c r="B5232" i="3"/>
  <c r="A5232" i="3"/>
  <c r="B5231" i="3"/>
  <c r="A5231" i="3"/>
  <c r="B5230" i="3"/>
  <c r="A5230" i="3"/>
  <c r="B5229" i="3"/>
  <c r="A5229" i="3"/>
  <c r="B5228" i="3"/>
  <c r="A5228" i="3"/>
  <c r="B5227" i="3"/>
  <c r="A5227" i="3"/>
  <c r="B5226" i="3"/>
  <c r="A5226" i="3"/>
  <c r="B5225" i="3"/>
  <c r="A5225" i="3"/>
  <c r="B5224" i="3"/>
  <c r="A5224" i="3"/>
  <c r="B5223" i="3"/>
  <c r="A5223" i="3"/>
  <c r="B5222" i="3"/>
  <c r="A5222" i="3"/>
  <c r="B5221" i="3"/>
  <c r="A5221" i="3"/>
  <c r="B5220" i="3"/>
  <c r="A5220" i="3"/>
  <c r="B5219" i="3"/>
  <c r="A5219" i="3"/>
  <c r="B5218" i="3"/>
  <c r="A5218" i="3"/>
  <c r="B5217" i="3"/>
  <c r="A5217" i="3"/>
  <c r="B5216" i="3"/>
  <c r="A5216" i="3"/>
  <c r="B5215" i="3"/>
  <c r="A5215" i="3"/>
  <c r="B5214" i="3"/>
  <c r="A5214" i="3"/>
  <c r="B5213" i="3"/>
  <c r="A5213" i="3"/>
  <c r="B5212" i="3"/>
  <c r="A5212" i="3"/>
  <c r="B5211" i="3"/>
  <c r="A5211" i="3"/>
  <c r="B5210" i="3"/>
  <c r="A5210" i="3"/>
  <c r="B5209" i="3"/>
  <c r="A5209" i="3"/>
  <c r="B5208" i="3"/>
  <c r="A5208" i="3"/>
  <c r="B5207" i="3"/>
  <c r="A5207" i="3"/>
  <c r="B5206" i="3"/>
  <c r="A5206" i="3"/>
  <c r="B5205" i="3"/>
  <c r="A5205" i="3"/>
  <c r="B5204" i="3"/>
  <c r="A5204" i="3"/>
  <c r="B5203" i="3"/>
  <c r="A5203" i="3"/>
  <c r="B5202" i="3"/>
  <c r="A5202" i="3"/>
  <c r="B5201" i="3"/>
  <c r="A5201" i="3"/>
  <c r="B5200" i="3"/>
  <c r="A5200" i="3"/>
  <c r="B5199" i="3"/>
  <c r="A5199" i="3"/>
  <c r="B5198" i="3"/>
  <c r="A5198" i="3"/>
  <c r="B5197" i="3"/>
  <c r="A5197" i="3"/>
  <c r="B5196" i="3"/>
  <c r="A5196" i="3"/>
  <c r="B5195" i="3"/>
  <c r="A5195" i="3"/>
  <c r="B5194" i="3"/>
  <c r="A5194" i="3"/>
  <c r="B5193" i="3"/>
  <c r="A5193" i="3"/>
  <c r="B5192" i="3"/>
  <c r="A5192" i="3"/>
  <c r="B5191" i="3"/>
  <c r="A5191" i="3"/>
  <c r="B5190" i="3"/>
  <c r="A5190" i="3"/>
  <c r="B5189" i="3"/>
  <c r="A5189" i="3"/>
  <c r="B5188" i="3"/>
  <c r="A5188" i="3"/>
  <c r="B5187" i="3"/>
  <c r="A5187" i="3"/>
  <c r="B5186" i="3"/>
  <c r="A5186" i="3"/>
  <c r="B5185" i="3"/>
  <c r="A5185" i="3"/>
  <c r="B5184" i="3"/>
  <c r="A5184" i="3"/>
  <c r="B5183" i="3"/>
  <c r="A5183" i="3"/>
  <c r="B5182" i="3"/>
  <c r="A5182" i="3"/>
  <c r="B5181" i="3"/>
  <c r="A5181" i="3"/>
  <c r="B5180" i="3"/>
  <c r="A5180" i="3"/>
  <c r="B5179" i="3"/>
  <c r="A5179" i="3"/>
  <c r="B5178" i="3"/>
  <c r="A5178" i="3"/>
  <c r="B5177" i="3"/>
  <c r="A5177" i="3"/>
  <c r="B5176" i="3"/>
  <c r="A5176" i="3"/>
  <c r="B5175" i="3"/>
  <c r="A5175" i="3"/>
  <c r="B5174" i="3"/>
  <c r="A5174" i="3"/>
  <c r="B5173" i="3"/>
  <c r="A5173" i="3"/>
  <c r="B5172" i="3"/>
  <c r="A5172" i="3"/>
  <c r="B5171" i="3"/>
  <c r="A5171" i="3"/>
  <c r="B5170" i="3"/>
  <c r="A5170" i="3"/>
  <c r="B5169" i="3"/>
  <c r="A5169" i="3"/>
  <c r="B5168" i="3"/>
  <c r="A5168" i="3"/>
  <c r="B5167" i="3"/>
  <c r="A5167" i="3"/>
  <c r="B5166" i="3"/>
  <c r="A5166" i="3"/>
  <c r="B5165" i="3"/>
  <c r="A5165" i="3"/>
  <c r="B5164" i="3"/>
  <c r="A5164" i="3"/>
  <c r="B5163" i="3"/>
  <c r="A5163" i="3"/>
  <c r="B5162" i="3"/>
  <c r="A5162" i="3"/>
  <c r="B5161" i="3"/>
  <c r="A5161" i="3"/>
  <c r="B5160" i="3"/>
  <c r="A5160" i="3"/>
  <c r="B5159" i="3"/>
  <c r="A5159" i="3"/>
  <c r="B5158" i="3"/>
  <c r="A5158" i="3"/>
  <c r="B5157" i="3"/>
  <c r="A5157" i="3"/>
  <c r="B5156" i="3"/>
  <c r="A5156" i="3"/>
  <c r="B5155" i="3"/>
  <c r="A5155" i="3"/>
  <c r="B5154" i="3"/>
  <c r="A5154" i="3"/>
  <c r="B5153" i="3"/>
  <c r="A5153" i="3"/>
  <c r="B5152" i="3"/>
  <c r="A5152" i="3"/>
  <c r="B5151" i="3"/>
  <c r="A5151" i="3"/>
  <c r="B5150" i="3"/>
  <c r="A5150" i="3"/>
  <c r="B5149" i="3"/>
  <c r="A5149" i="3"/>
  <c r="B5148" i="3"/>
  <c r="A5148" i="3"/>
  <c r="B5147" i="3"/>
  <c r="A5147" i="3"/>
  <c r="B5146" i="3"/>
  <c r="A5146" i="3"/>
  <c r="B5145" i="3"/>
  <c r="A5145" i="3"/>
  <c r="B5144" i="3"/>
  <c r="A5144" i="3"/>
  <c r="B5143" i="3"/>
  <c r="A5143" i="3"/>
  <c r="B5142" i="3"/>
  <c r="A5142" i="3"/>
  <c r="B5141" i="3"/>
  <c r="A5141" i="3"/>
  <c r="B5140" i="3"/>
  <c r="A5140" i="3"/>
  <c r="B5139" i="3"/>
  <c r="A5139" i="3"/>
  <c r="B5138" i="3"/>
  <c r="A5138" i="3"/>
  <c r="B5137" i="3"/>
  <c r="A5137" i="3"/>
  <c r="B5136" i="3"/>
  <c r="A5136" i="3"/>
  <c r="B5135" i="3"/>
  <c r="A5135" i="3"/>
  <c r="B5134" i="3"/>
  <c r="A5134" i="3"/>
  <c r="B5133" i="3"/>
  <c r="A5133" i="3"/>
  <c r="B5132" i="3"/>
  <c r="A5132" i="3"/>
  <c r="B5131" i="3"/>
  <c r="A5131" i="3"/>
  <c r="B5130" i="3"/>
  <c r="A5130" i="3"/>
  <c r="B5129" i="3"/>
  <c r="A5129" i="3"/>
  <c r="B5128" i="3"/>
  <c r="A5128" i="3"/>
  <c r="B5127" i="3"/>
  <c r="A5127" i="3"/>
  <c r="B5126" i="3"/>
  <c r="A5126" i="3"/>
  <c r="B5125" i="3"/>
  <c r="A5125" i="3"/>
  <c r="B5124" i="3"/>
  <c r="A5124" i="3"/>
  <c r="B5123" i="3"/>
  <c r="A5123" i="3"/>
  <c r="B5122" i="3"/>
  <c r="A5122" i="3"/>
  <c r="B5121" i="3"/>
  <c r="A5121" i="3"/>
  <c r="B5120" i="3"/>
  <c r="A5120" i="3"/>
  <c r="B5119" i="3"/>
  <c r="A5119" i="3"/>
  <c r="B5118" i="3"/>
  <c r="A5118" i="3"/>
  <c r="B5117" i="3"/>
  <c r="A5117" i="3"/>
  <c r="B5116" i="3"/>
  <c r="A5116" i="3"/>
  <c r="B5115" i="3"/>
  <c r="A5115" i="3"/>
  <c r="B5114" i="3"/>
  <c r="A5114" i="3"/>
  <c r="B5113" i="3"/>
  <c r="A5113" i="3"/>
  <c r="B5112" i="3"/>
  <c r="A5112" i="3"/>
  <c r="B5111" i="3"/>
  <c r="A5111" i="3"/>
  <c r="B5110" i="3"/>
  <c r="A5110" i="3"/>
  <c r="B5109" i="3"/>
  <c r="A5109" i="3"/>
  <c r="B5108" i="3"/>
  <c r="A5108" i="3"/>
  <c r="B5107" i="3"/>
  <c r="A5107" i="3"/>
  <c r="B5106" i="3"/>
  <c r="A5106" i="3"/>
  <c r="B5105" i="3"/>
  <c r="A5105" i="3"/>
  <c r="B5104" i="3"/>
  <c r="A5104" i="3"/>
  <c r="B5103" i="3"/>
  <c r="A5103" i="3"/>
  <c r="B5102" i="3"/>
  <c r="A5102" i="3"/>
  <c r="B5101" i="3"/>
  <c r="A5101" i="3"/>
  <c r="B5100" i="3"/>
  <c r="A5100" i="3"/>
  <c r="B5099" i="3"/>
  <c r="A5099" i="3"/>
  <c r="B5098" i="3"/>
  <c r="A5098" i="3"/>
  <c r="B5097" i="3"/>
  <c r="A5097" i="3"/>
  <c r="B5096" i="3"/>
  <c r="A5096" i="3"/>
  <c r="B5095" i="3"/>
  <c r="A5095" i="3"/>
  <c r="B5094" i="3"/>
  <c r="A5094" i="3"/>
  <c r="B5093" i="3"/>
  <c r="A5093" i="3"/>
  <c r="B5092" i="3"/>
  <c r="A5092" i="3"/>
  <c r="B5091" i="3"/>
  <c r="A5091" i="3"/>
  <c r="B5090" i="3"/>
  <c r="A5090" i="3"/>
  <c r="B5089" i="3"/>
  <c r="A5089" i="3"/>
  <c r="B5088" i="3"/>
  <c r="A5088" i="3"/>
  <c r="B5087" i="3"/>
  <c r="A5087" i="3"/>
  <c r="B5086" i="3"/>
  <c r="A5086" i="3"/>
  <c r="B5085" i="3"/>
  <c r="A5085" i="3"/>
  <c r="B5084" i="3"/>
  <c r="A5084" i="3"/>
  <c r="B5083" i="3"/>
  <c r="A5083" i="3"/>
  <c r="B5082" i="3"/>
  <c r="A5082" i="3"/>
  <c r="B5081" i="3"/>
  <c r="A5081" i="3"/>
  <c r="B5080" i="3"/>
  <c r="A5080" i="3"/>
  <c r="B5079" i="3"/>
  <c r="A5079" i="3"/>
  <c r="B5078" i="3"/>
  <c r="A5078" i="3"/>
  <c r="B5077" i="3"/>
  <c r="A5077" i="3"/>
  <c r="B5076" i="3"/>
  <c r="A5076" i="3"/>
  <c r="B5075" i="3"/>
  <c r="A5075" i="3"/>
  <c r="B5074" i="3"/>
  <c r="A5074" i="3"/>
  <c r="B5073" i="3"/>
  <c r="A5073" i="3"/>
  <c r="B5072" i="3"/>
  <c r="A5072" i="3"/>
  <c r="B5071" i="3"/>
  <c r="A5071" i="3"/>
  <c r="B5070" i="3"/>
  <c r="A5070" i="3"/>
  <c r="B5069" i="3"/>
  <c r="A5069" i="3"/>
  <c r="B5068" i="3"/>
  <c r="A5068" i="3"/>
  <c r="B5067" i="3"/>
  <c r="A5067" i="3"/>
  <c r="B5066" i="3"/>
  <c r="A5066" i="3"/>
  <c r="B5065" i="3"/>
  <c r="A5065" i="3"/>
  <c r="B5064" i="3"/>
  <c r="A5064" i="3"/>
  <c r="B5063" i="3"/>
  <c r="A5063" i="3"/>
  <c r="B5062" i="3"/>
  <c r="A5062" i="3"/>
  <c r="B5061" i="3"/>
  <c r="A5061" i="3"/>
  <c r="B5060" i="3"/>
  <c r="A5060" i="3"/>
  <c r="B5059" i="3"/>
  <c r="A5059" i="3"/>
  <c r="B5058" i="3"/>
  <c r="A5058" i="3"/>
  <c r="B5057" i="3"/>
  <c r="A5057" i="3"/>
  <c r="B5056" i="3"/>
  <c r="A5056" i="3"/>
  <c r="B5055" i="3"/>
  <c r="A5055" i="3"/>
  <c r="B5054" i="3"/>
  <c r="A5054" i="3"/>
  <c r="B5053" i="3"/>
  <c r="A5053" i="3"/>
  <c r="B5052" i="3"/>
  <c r="A5052" i="3"/>
  <c r="B5051" i="3"/>
  <c r="A5051" i="3"/>
  <c r="B5050" i="3"/>
  <c r="A5050" i="3"/>
  <c r="B5049" i="3"/>
  <c r="A5049" i="3"/>
  <c r="B5048" i="3"/>
  <c r="A5048" i="3"/>
  <c r="B5047" i="3"/>
  <c r="A5047" i="3"/>
  <c r="B5046" i="3"/>
  <c r="A5046" i="3"/>
  <c r="B5045" i="3"/>
  <c r="A5045" i="3"/>
  <c r="B5044" i="3"/>
  <c r="A5044" i="3"/>
  <c r="B5043" i="3"/>
  <c r="A5043" i="3"/>
  <c r="B5042" i="3"/>
  <c r="A5042" i="3"/>
  <c r="B5041" i="3"/>
  <c r="A5041" i="3"/>
  <c r="B5040" i="3"/>
  <c r="A5040" i="3"/>
  <c r="B5039" i="3"/>
  <c r="A5039" i="3"/>
  <c r="B5038" i="3"/>
  <c r="A5038" i="3"/>
  <c r="B5037" i="3"/>
  <c r="A5037" i="3"/>
  <c r="B5036" i="3"/>
  <c r="A5036" i="3"/>
  <c r="B5035" i="3"/>
  <c r="A5035" i="3"/>
  <c r="B5034" i="3"/>
  <c r="A5034" i="3"/>
  <c r="B5033" i="3"/>
  <c r="A5033" i="3"/>
  <c r="B5032" i="3"/>
  <c r="A5032" i="3"/>
  <c r="B5031" i="3"/>
  <c r="A5031" i="3"/>
  <c r="B5030" i="3"/>
  <c r="A5030" i="3"/>
  <c r="B5029" i="3"/>
  <c r="A5029" i="3"/>
  <c r="B5028" i="3"/>
  <c r="A5028" i="3"/>
  <c r="B5027" i="3"/>
  <c r="A5027" i="3"/>
  <c r="B5026" i="3"/>
  <c r="A5026" i="3"/>
  <c r="B5025" i="3"/>
  <c r="A5025" i="3"/>
  <c r="B5024" i="3"/>
  <c r="A5024" i="3"/>
  <c r="B5023" i="3"/>
  <c r="A5023" i="3"/>
  <c r="B5022" i="3"/>
  <c r="A5022" i="3"/>
  <c r="B5021" i="3"/>
  <c r="A5021" i="3"/>
  <c r="B5020" i="3"/>
  <c r="A5020" i="3"/>
  <c r="B5019" i="3"/>
  <c r="A5019" i="3"/>
  <c r="B5018" i="3"/>
  <c r="A5018" i="3"/>
  <c r="B5017" i="3"/>
  <c r="A5017" i="3"/>
  <c r="B5016" i="3"/>
  <c r="A5016" i="3"/>
  <c r="B5015" i="3"/>
  <c r="A5015" i="3"/>
  <c r="B5014" i="3"/>
  <c r="A5014" i="3"/>
  <c r="B5013" i="3"/>
  <c r="A5013" i="3"/>
  <c r="B5012" i="3"/>
  <c r="A5012" i="3"/>
  <c r="B5011" i="3"/>
  <c r="A5011" i="3"/>
  <c r="B5010" i="3"/>
  <c r="A5010" i="3"/>
  <c r="B5009" i="3"/>
  <c r="A5009" i="3"/>
  <c r="B5008" i="3"/>
  <c r="A5008" i="3"/>
  <c r="B5007" i="3"/>
  <c r="A5007" i="3"/>
  <c r="B5006" i="3"/>
  <c r="A5006" i="3"/>
  <c r="B5005" i="3"/>
  <c r="A5005" i="3"/>
  <c r="B5004" i="3"/>
  <c r="A5004" i="3"/>
  <c r="B5003" i="3"/>
  <c r="A5003" i="3"/>
  <c r="B5002" i="3"/>
  <c r="A5002" i="3"/>
  <c r="B5001" i="3"/>
  <c r="A5001" i="3"/>
  <c r="B5000" i="3"/>
  <c r="A5000" i="3"/>
  <c r="B4999" i="3"/>
  <c r="A4999" i="3"/>
  <c r="B4998" i="3"/>
  <c r="A4998" i="3"/>
  <c r="B4997" i="3"/>
  <c r="A4997" i="3"/>
  <c r="B4996" i="3"/>
  <c r="A4996" i="3"/>
  <c r="B4995" i="3"/>
  <c r="A4995" i="3"/>
  <c r="B4994" i="3"/>
  <c r="A4994" i="3"/>
  <c r="B4993" i="3"/>
  <c r="A4993" i="3"/>
  <c r="B4992" i="3"/>
  <c r="A4992" i="3"/>
  <c r="B4991" i="3"/>
  <c r="A4991" i="3"/>
  <c r="B4990" i="3"/>
  <c r="A4990" i="3"/>
  <c r="B4989" i="3"/>
  <c r="A4989" i="3"/>
  <c r="B4988" i="3"/>
  <c r="A4988" i="3"/>
  <c r="B4987" i="3"/>
  <c r="A4987" i="3"/>
  <c r="B4986" i="3"/>
  <c r="A4986" i="3"/>
  <c r="B4985" i="3"/>
  <c r="A4985" i="3"/>
  <c r="B4984" i="3"/>
  <c r="A4984" i="3"/>
  <c r="B4983" i="3"/>
  <c r="A4983" i="3"/>
  <c r="B4982" i="3"/>
  <c r="A4982" i="3"/>
  <c r="B4981" i="3"/>
  <c r="A4981" i="3"/>
  <c r="B4980" i="3"/>
  <c r="A4980" i="3"/>
  <c r="B4979" i="3"/>
  <c r="A4979" i="3"/>
  <c r="B4978" i="3"/>
  <c r="A4978" i="3"/>
  <c r="B4977" i="3"/>
  <c r="A4977" i="3"/>
  <c r="B4976" i="3"/>
  <c r="A4976" i="3"/>
  <c r="B4975" i="3"/>
  <c r="A4975" i="3"/>
  <c r="B4974" i="3"/>
  <c r="A4974" i="3"/>
  <c r="B4973" i="3"/>
  <c r="A4973" i="3"/>
  <c r="B4972" i="3"/>
  <c r="A4972" i="3"/>
  <c r="B4971" i="3"/>
  <c r="A4971" i="3"/>
  <c r="B4970" i="3"/>
  <c r="A4970" i="3"/>
  <c r="B4969" i="3"/>
  <c r="A4969" i="3"/>
  <c r="B4968" i="3"/>
  <c r="A4968" i="3"/>
  <c r="B4967" i="3"/>
  <c r="A4967" i="3"/>
  <c r="B4966" i="3"/>
  <c r="A4966" i="3"/>
  <c r="B4965" i="3"/>
  <c r="A4965" i="3"/>
  <c r="B4964" i="3"/>
  <c r="A4964" i="3"/>
  <c r="B4963" i="3"/>
  <c r="A4963" i="3"/>
  <c r="B4962" i="3"/>
  <c r="A4962" i="3"/>
  <c r="B4961" i="3"/>
  <c r="A4961" i="3"/>
  <c r="B4960" i="3"/>
  <c r="A4960" i="3"/>
  <c r="B4959" i="3"/>
  <c r="A4959" i="3"/>
  <c r="B4958" i="3"/>
  <c r="A4958" i="3"/>
  <c r="B4957" i="3"/>
  <c r="A4957" i="3"/>
  <c r="B4956" i="3"/>
  <c r="A4956" i="3"/>
  <c r="B4955" i="3"/>
  <c r="A4955" i="3"/>
  <c r="B4954" i="3"/>
  <c r="A4954" i="3"/>
  <c r="B4953" i="3"/>
  <c r="A4953" i="3"/>
  <c r="B4952" i="3"/>
  <c r="A4952" i="3"/>
  <c r="B4951" i="3"/>
  <c r="A4951" i="3"/>
  <c r="B4950" i="3"/>
  <c r="A4950" i="3"/>
  <c r="B4949" i="3"/>
  <c r="A4949" i="3"/>
  <c r="B4948" i="3"/>
  <c r="A4948" i="3"/>
  <c r="B4947" i="3"/>
  <c r="A4947" i="3"/>
  <c r="B4946" i="3"/>
  <c r="A4946" i="3"/>
  <c r="B4945" i="3"/>
  <c r="A4945" i="3"/>
  <c r="B4944" i="3"/>
  <c r="A4944" i="3"/>
  <c r="B4943" i="3"/>
  <c r="A4943" i="3"/>
  <c r="B4942" i="3"/>
  <c r="A4942" i="3"/>
  <c r="B4941" i="3"/>
  <c r="A4941" i="3"/>
  <c r="B4940" i="3"/>
  <c r="A4940" i="3"/>
  <c r="B4939" i="3"/>
  <c r="A4939" i="3"/>
  <c r="B4938" i="3"/>
  <c r="A4938" i="3"/>
  <c r="B4937" i="3"/>
  <c r="A4937" i="3"/>
  <c r="B4936" i="3"/>
  <c r="A4936" i="3"/>
  <c r="B4935" i="3"/>
  <c r="A4935" i="3"/>
  <c r="B4934" i="3"/>
  <c r="A4934" i="3"/>
  <c r="B4933" i="3"/>
  <c r="A4933" i="3"/>
  <c r="B4932" i="3"/>
  <c r="A4932" i="3"/>
  <c r="B4931" i="3"/>
  <c r="A4931" i="3"/>
  <c r="B4930" i="3"/>
  <c r="A4930" i="3"/>
  <c r="B4929" i="3"/>
  <c r="A4929" i="3"/>
  <c r="B4928" i="3"/>
  <c r="A4928" i="3"/>
  <c r="B4927" i="3"/>
  <c r="A4927" i="3"/>
  <c r="B4926" i="3"/>
  <c r="A4926" i="3"/>
  <c r="B4925" i="3"/>
  <c r="A4925" i="3"/>
  <c r="B4924" i="3"/>
  <c r="A4924" i="3"/>
  <c r="B4923" i="3"/>
  <c r="A4923" i="3"/>
  <c r="B4922" i="3"/>
  <c r="A4922" i="3"/>
  <c r="B4921" i="3"/>
  <c r="A4921" i="3"/>
  <c r="B4920" i="3"/>
  <c r="A4920" i="3"/>
  <c r="B4919" i="3"/>
  <c r="A4919" i="3"/>
  <c r="B4918" i="3"/>
  <c r="A4918" i="3"/>
  <c r="B4917" i="3"/>
  <c r="A4917" i="3"/>
  <c r="B4916" i="3"/>
  <c r="A4916" i="3"/>
  <c r="B4915" i="3"/>
  <c r="A4915" i="3"/>
  <c r="B4914" i="3"/>
  <c r="A4914" i="3"/>
  <c r="B4913" i="3"/>
  <c r="A4913" i="3"/>
  <c r="B4912" i="3"/>
  <c r="A4912" i="3"/>
  <c r="B4911" i="3"/>
  <c r="A4911" i="3"/>
  <c r="B4910" i="3"/>
  <c r="A4910" i="3"/>
  <c r="B4909" i="3"/>
  <c r="A4909" i="3"/>
  <c r="B4908" i="3"/>
  <c r="A4908" i="3"/>
  <c r="B4907" i="3"/>
  <c r="A4907" i="3"/>
  <c r="B4906" i="3"/>
  <c r="A4906" i="3"/>
  <c r="B4905" i="3"/>
  <c r="A4905" i="3"/>
  <c r="B4904" i="3"/>
  <c r="A4904" i="3"/>
  <c r="B4903" i="3"/>
  <c r="A4903" i="3"/>
  <c r="B4902" i="3"/>
  <c r="A4902" i="3"/>
  <c r="B4901" i="3"/>
  <c r="A4901" i="3"/>
  <c r="B4900" i="3"/>
  <c r="A4900" i="3"/>
  <c r="B4899" i="3"/>
  <c r="A4899" i="3"/>
  <c r="B4898" i="3"/>
  <c r="A4898" i="3"/>
  <c r="B4897" i="3"/>
  <c r="A4897" i="3"/>
  <c r="B4896" i="3"/>
  <c r="A4896" i="3"/>
  <c r="B4895" i="3"/>
  <c r="A4895" i="3"/>
  <c r="B4894" i="3"/>
  <c r="A4894" i="3"/>
  <c r="B4893" i="3"/>
  <c r="A4893" i="3"/>
  <c r="B4892" i="3"/>
  <c r="A4892" i="3"/>
  <c r="B4891" i="3"/>
  <c r="A4891" i="3"/>
  <c r="B4890" i="3"/>
  <c r="A4890" i="3"/>
  <c r="B4889" i="3"/>
  <c r="A4889" i="3"/>
  <c r="B4888" i="3"/>
  <c r="A4888" i="3"/>
  <c r="B4887" i="3"/>
  <c r="A4887" i="3"/>
  <c r="B4886" i="3"/>
  <c r="A4886" i="3"/>
  <c r="B4885" i="3"/>
  <c r="A4885" i="3"/>
  <c r="B4884" i="3"/>
  <c r="A4884" i="3"/>
  <c r="B4883" i="3"/>
  <c r="A4883" i="3"/>
  <c r="B4882" i="3"/>
  <c r="A4882" i="3"/>
  <c r="B4881" i="3"/>
  <c r="A4881" i="3"/>
  <c r="B4880" i="3"/>
  <c r="A4880" i="3"/>
  <c r="B4879" i="3"/>
  <c r="A4879" i="3"/>
  <c r="B4878" i="3"/>
  <c r="A4878" i="3"/>
  <c r="B4877" i="3"/>
  <c r="A4877" i="3"/>
  <c r="B4876" i="3"/>
  <c r="A4876" i="3"/>
  <c r="B4875" i="3"/>
  <c r="A4875" i="3"/>
  <c r="B4874" i="3"/>
  <c r="A4874" i="3"/>
  <c r="B4873" i="3"/>
  <c r="A4873" i="3"/>
  <c r="B4872" i="3"/>
  <c r="A4872" i="3"/>
  <c r="B4871" i="3"/>
  <c r="A4871" i="3"/>
  <c r="B4870" i="3"/>
  <c r="A4870" i="3"/>
  <c r="B4869" i="3"/>
  <c r="A4869" i="3"/>
  <c r="B4868" i="3"/>
  <c r="A4868" i="3"/>
  <c r="B4867" i="3"/>
  <c r="A4867" i="3"/>
  <c r="B4866" i="3"/>
  <c r="A4866" i="3"/>
  <c r="B4865" i="3"/>
  <c r="A4865" i="3"/>
  <c r="B4864" i="3"/>
  <c r="A4864" i="3"/>
  <c r="B4863" i="3"/>
  <c r="A4863" i="3"/>
  <c r="B4862" i="3"/>
  <c r="A4862" i="3"/>
  <c r="B4861" i="3"/>
  <c r="A4861" i="3"/>
  <c r="B4860" i="3"/>
  <c r="A4860" i="3"/>
  <c r="B4859" i="3"/>
  <c r="A4859" i="3"/>
  <c r="B4858" i="3"/>
  <c r="A4858" i="3"/>
  <c r="B4857" i="3"/>
  <c r="A4857" i="3"/>
  <c r="B4856" i="3"/>
  <c r="A4856" i="3"/>
  <c r="B4855" i="3"/>
  <c r="A4855" i="3"/>
  <c r="B4854" i="3"/>
  <c r="A4854" i="3"/>
  <c r="B4853" i="3"/>
  <c r="A4853" i="3"/>
  <c r="B4852" i="3"/>
  <c r="A4852" i="3"/>
  <c r="B4851" i="3"/>
  <c r="A4851" i="3"/>
  <c r="B4850" i="3"/>
  <c r="A4850" i="3"/>
  <c r="B4849" i="3"/>
  <c r="A4849" i="3"/>
  <c r="B4848" i="3"/>
  <c r="A4848" i="3"/>
  <c r="B4847" i="3"/>
  <c r="A4847" i="3"/>
  <c r="B4846" i="3"/>
  <c r="A4846" i="3"/>
  <c r="B4845" i="3"/>
  <c r="A4845" i="3"/>
  <c r="B4844" i="3"/>
  <c r="A4844" i="3"/>
  <c r="B4843" i="3"/>
  <c r="A4843" i="3"/>
  <c r="B4842" i="3"/>
  <c r="A4842" i="3"/>
  <c r="B4841" i="3"/>
  <c r="A4841" i="3"/>
  <c r="B4840" i="3"/>
  <c r="A4840" i="3"/>
  <c r="B4839" i="3"/>
  <c r="A4839" i="3"/>
  <c r="B4838" i="3"/>
  <c r="A4838" i="3"/>
  <c r="B4837" i="3"/>
  <c r="A4837" i="3"/>
  <c r="B4836" i="3"/>
  <c r="A4836" i="3"/>
  <c r="B4835" i="3"/>
  <c r="A4835" i="3"/>
  <c r="B4834" i="3"/>
  <c r="A4834" i="3"/>
  <c r="B4833" i="3"/>
  <c r="A4833" i="3"/>
  <c r="B4832" i="3"/>
  <c r="A4832" i="3"/>
  <c r="B4831" i="3"/>
  <c r="A4831" i="3"/>
  <c r="B4830" i="3"/>
  <c r="A4830" i="3"/>
  <c r="B4829" i="3"/>
  <c r="A4829" i="3"/>
  <c r="B4828" i="3"/>
  <c r="A4828" i="3"/>
  <c r="B4827" i="3"/>
  <c r="A4827" i="3"/>
  <c r="B4826" i="3"/>
  <c r="A4826" i="3"/>
  <c r="B4825" i="3"/>
  <c r="A4825" i="3"/>
  <c r="B4824" i="3"/>
  <c r="A4824" i="3"/>
  <c r="B4823" i="3"/>
  <c r="A4823" i="3"/>
  <c r="B4822" i="3"/>
  <c r="A4822" i="3"/>
  <c r="B4821" i="3"/>
  <c r="A4821" i="3"/>
  <c r="B4820" i="3"/>
  <c r="A4820" i="3"/>
  <c r="B4819" i="3"/>
  <c r="A4819" i="3"/>
  <c r="B4818" i="3"/>
  <c r="A4818" i="3"/>
  <c r="B4817" i="3"/>
  <c r="A4817" i="3"/>
  <c r="B4816" i="3"/>
  <c r="A4816" i="3"/>
  <c r="B4815" i="3"/>
  <c r="A4815" i="3"/>
  <c r="B4814" i="3"/>
  <c r="A4814" i="3"/>
  <c r="B4813" i="3"/>
  <c r="A4813" i="3"/>
  <c r="B4812" i="3"/>
  <c r="A4812" i="3"/>
  <c r="B4811" i="3"/>
  <c r="A4811" i="3"/>
  <c r="B4810" i="3"/>
  <c r="A4810" i="3"/>
  <c r="B4809" i="3"/>
  <c r="A4809" i="3"/>
  <c r="B4808" i="3"/>
  <c r="A4808" i="3"/>
  <c r="B4807" i="3"/>
  <c r="A4807" i="3"/>
  <c r="B4806" i="3"/>
  <c r="A4806" i="3"/>
  <c r="B4805" i="3"/>
  <c r="A4805" i="3"/>
  <c r="B4804" i="3"/>
  <c r="A4804" i="3"/>
  <c r="B4803" i="3"/>
  <c r="A4803" i="3"/>
  <c r="B4802" i="3"/>
  <c r="A4802" i="3"/>
  <c r="B4801" i="3"/>
  <c r="A4801" i="3"/>
  <c r="B4800" i="3"/>
  <c r="A4800" i="3"/>
  <c r="B4799" i="3"/>
  <c r="A4799" i="3"/>
  <c r="B4798" i="3"/>
  <c r="A4798" i="3"/>
  <c r="B4797" i="3"/>
  <c r="A4797" i="3"/>
  <c r="B4796" i="3"/>
  <c r="A4796" i="3"/>
  <c r="B4795" i="3"/>
  <c r="A4795" i="3"/>
  <c r="B4794" i="3"/>
  <c r="A4794" i="3"/>
  <c r="B4793" i="3"/>
  <c r="A4793" i="3"/>
  <c r="B4792" i="3"/>
  <c r="A4792" i="3"/>
  <c r="B4791" i="3"/>
  <c r="A4791" i="3"/>
  <c r="B4790" i="3"/>
  <c r="A4790" i="3"/>
  <c r="B4789" i="3"/>
  <c r="A4789" i="3"/>
  <c r="B4788" i="3"/>
  <c r="A4788" i="3"/>
  <c r="B4787" i="3"/>
  <c r="A4787" i="3"/>
  <c r="B4786" i="3"/>
  <c r="A4786" i="3"/>
  <c r="B4785" i="3"/>
  <c r="A4785" i="3"/>
  <c r="B4784" i="3"/>
  <c r="A4784" i="3"/>
  <c r="B4783" i="3"/>
  <c r="A4783" i="3"/>
  <c r="B4782" i="3"/>
  <c r="A4782" i="3"/>
  <c r="B4781" i="3"/>
  <c r="A4781" i="3"/>
  <c r="B4780" i="3"/>
  <c r="A4780" i="3"/>
  <c r="B4779" i="3"/>
  <c r="A4779" i="3"/>
  <c r="B4778" i="3"/>
  <c r="A4778" i="3"/>
  <c r="B4777" i="3"/>
  <c r="A4777" i="3"/>
  <c r="B4776" i="3"/>
  <c r="A4776" i="3"/>
  <c r="B4775" i="3"/>
  <c r="A4775" i="3"/>
  <c r="B4774" i="3"/>
  <c r="A4774" i="3"/>
  <c r="B4773" i="3"/>
  <c r="A4773" i="3"/>
  <c r="B4772" i="3"/>
  <c r="A4772" i="3"/>
  <c r="B4771" i="3"/>
  <c r="A4771" i="3"/>
  <c r="B4770" i="3"/>
  <c r="A4770" i="3"/>
  <c r="B4769" i="3"/>
  <c r="A4769" i="3"/>
  <c r="B4768" i="3"/>
  <c r="A4768" i="3"/>
  <c r="B4767" i="3"/>
  <c r="A4767" i="3"/>
  <c r="B4766" i="3"/>
  <c r="A4766" i="3"/>
  <c r="B4765" i="3"/>
  <c r="A4765" i="3"/>
  <c r="B4764" i="3"/>
  <c r="A4764" i="3"/>
  <c r="B4763" i="3"/>
  <c r="A4763" i="3"/>
  <c r="B4762" i="3"/>
  <c r="A4762" i="3"/>
  <c r="B4761" i="3"/>
  <c r="A4761" i="3"/>
  <c r="B4760" i="3"/>
  <c r="A4760" i="3"/>
  <c r="B4759" i="3"/>
  <c r="A4759" i="3"/>
  <c r="B4758" i="3"/>
  <c r="A4758" i="3"/>
  <c r="B4757" i="3"/>
  <c r="A4757" i="3"/>
  <c r="B4756" i="3"/>
  <c r="A4756" i="3"/>
  <c r="B4755" i="3"/>
  <c r="A4755" i="3"/>
  <c r="B4754" i="3"/>
  <c r="A4754" i="3"/>
  <c r="B4753" i="3"/>
  <c r="A4753" i="3"/>
  <c r="B4752" i="3"/>
  <c r="A4752" i="3"/>
  <c r="B4751" i="3"/>
  <c r="A4751" i="3"/>
  <c r="B4750" i="3"/>
  <c r="A4750" i="3"/>
  <c r="B4749" i="3"/>
  <c r="A4749" i="3"/>
  <c r="B4748" i="3"/>
  <c r="A4748" i="3"/>
  <c r="B4747" i="3"/>
  <c r="A4747" i="3"/>
  <c r="B4746" i="3"/>
  <c r="A4746" i="3"/>
  <c r="B4745" i="3"/>
  <c r="A4745" i="3"/>
  <c r="B4744" i="3"/>
  <c r="A4744" i="3"/>
  <c r="B4743" i="3"/>
  <c r="A4743" i="3"/>
  <c r="B4742" i="3"/>
  <c r="A4742" i="3"/>
  <c r="B4741" i="3"/>
  <c r="A4741" i="3"/>
  <c r="B4740" i="3"/>
  <c r="A4740" i="3"/>
  <c r="B4739" i="3"/>
  <c r="A4739" i="3"/>
  <c r="B4738" i="3"/>
  <c r="A4738" i="3"/>
  <c r="B4737" i="3"/>
  <c r="A4737" i="3"/>
  <c r="B4736" i="3"/>
  <c r="A4736" i="3"/>
  <c r="B4735" i="3"/>
  <c r="A4735" i="3"/>
  <c r="B4734" i="3"/>
  <c r="A4734" i="3"/>
  <c r="B4733" i="3"/>
  <c r="A4733" i="3"/>
  <c r="B4732" i="3"/>
  <c r="A4732" i="3"/>
  <c r="B4731" i="3"/>
  <c r="A4731" i="3"/>
  <c r="B4730" i="3"/>
  <c r="A4730" i="3"/>
  <c r="B4729" i="3"/>
  <c r="A4729" i="3"/>
  <c r="B4728" i="3"/>
  <c r="A4728" i="3"/>
  <c r="B4727" i="3"/>
  <c r="A4727" i="3"/>
  <c r="B4726" i="3"/>
  <c r="A4726" i="3"/>
  <c r="B4725" i="3"/>
  <c r="A4725" i="3"/>
  <c r="B4724" i="3"/>
  <c r="A4724" i="3"/>
  <c r="B4723" i="3"/>
  <c r="A4723" i="3"/>
  <c r="B4722" i="3"/>
  <c r="A4722" i="3"/>
  <c r="B4721" i="3"/>
  <c r="A4721" i="3"/>
  <c r="B4720" i="3"/>
  <c r="A4720" i="3"/>
  <c r="B4719" i="3"/>
  <c r="A4719" i="3"/>
  <c r="B4718" i="3"/>
  <c r="A4718" i="3"/>
  <c r="B4717" i="3"/>
  <c r="A4717" i="3"/>
  <c r="B4716" i="3"/>
  <c r="A4716" i="3"/>
  <c r="B4715" i="3"/>
  <c r="A4715" i="3"/>
  <c r="B4714" i="3"/>
  <c r="A4714" i="3"/>
  <c r="B4713" i="3"/>
  <c r="A4713" i="3"/>
  <c r="B4712" i="3"/>
  <c r="A4712" i="3"/>
  <c r="B4711" i="3"/>
  <c r="A4711" i="3"/>
  <c r="B4710" i="3"/>
  <c r="A4710" i="3"/>
  <c r="B4709" i="3"/>
  <c r="A4709" i="3"/>
  <c r="B4708" i="3"/>
  <c r="A4708" i="3"/>
  <c r="B4707" i="3"/>
  <c r="A4707" i="3"/>
  <c r="B4706" i="3"/>
  <c r="A4706" i="3"/>
  <c r="B4705" i="3"/>
  <c r="A4705" i="3"/>
  <c r="B4704" i="3"/>
  <c r="A4704" i="3"/>
  <c r="B4703" i="3"/>
  <c r="A4703" i="3"/>
  <c r="B4702" i="3"/>
  <c r="A4702" i="3"/>
  <c r="B4701" i="3"/>
  <c r="A4701" i="3"/>
  <c r="B4700" i="3"/>
  <c r="A4700" i="3"/>
  <c r="B4699" i="3"/>
  <c r="A4699" i="3"/>
  <c r="B4698" i="3"/>
  <c r="A4698" i="3"/>
  <c r="B4697" i="3"/>
  <c r="A4697" i="3"/>
  <c r="B4696" i="3"/>
  <c r="A4696" i="3"/>
  <c r="B4695" i="3"/>
  <c r="A4695" i="3"/>
  <c r="B4694" i="3"/>
  <c r="A4694" i="3"/>
  <c r="B4693" i="3"/>
  <c r="A4693" i="3"/>
  <c r="B4692" i="3"/>
  <c r="A4692" i="3"/>
  <c r="B4691" i="3"/>
  <c r="A4691" i="3"/>
  <c r="B4690" i="3"/>
  <c r="A4690" i="3"/>
  <c r="B4689" i="3"/>
  <c r="A4689" i="3"/>
  <c r="B4688" i="3"/>
  <c r="A4688" i="3"/>
  <c r="B4687" i="3"/>
  <c r="A4687" i="3"/>
  <c r="B4686" i="3"/>
  <c r="A4686" i="3"/>
  <c r="B4685" i="3"/>
  <c r="A4685" i="3"/>
  <c r="B4684" i="3"/>
  <c r="A4684" i="3"/>
  <c r="B4683" i="3"/>
  <c r="A4683" i="3"/>
  <c r="B4682" i="3"/>
  <c r="A4682" i="3"/>
  <c r="B4681" i="3"/>
  <c r="A4681" i="3"/>
  <c r="B4680" i="3"/>
  <c r="A4680" i="3"/>
  <c r="B4679" i="3"/>
  <c r="A4679" i="3"/>
  <c r="B4678" i="3"/>
  <c r="A4678" i="3"/>
  <c r="B4677" i="3"/>
  <c r="A4677" i="3"/>
  <c r="B4676" i="3"/>
  <c r="A4676" i="3"/>
  <c r="B4675" i="3"/>
  <c r="A4675" i="3"/>
  <c r="B4674" i="3"/>
  <c r="A4674" i="3"/>
  <c r="B4673" i="3"/>
  <c r="A4673" i="3"/>
  <c r="B4672" i="3"/>
  <c r="A4672" i="3"/>
  <c r="B4671" i="3"/>
  <c r="A4671" i="3"/>
  <c r="B4670" i="3"/>
  <c r="A4670" i="3"/>
  <c r="B4669" i="3"/>
  <c r="A4669" i="3"/>
  <c r="B4668" i="3"/>
  <c r="A4668" i="3"/>
  <c r="B4667" i="3"/>
  <c r="A4667" i="3"/>
  <c r="B4666" i="3"/>
  <c r="A4666" i="3"/>
  <c r="B4665" i="3"/>
  <c r="A4665" i="3"/>
  <c r="B4664" i="3"/>
  <c r="A4664" i="3"/>
  <c r="B4663" i="3"/>
  <c r="A4663" i="3"/>
  <c r="B4662" i="3"/>
  <c r="A4662" i="3"/>
  <c r="B4661" i="3"/>
  <c r="A4661" i="3"/>
  <c r="B4660" i="3"/>
  <c r="A4660" i="3"/>
  <c r="B4659" i="3"/>
  <c r="A4659" i="3"/>
  <c r="B4658" i="3"/>
  <c r="A4658" i="3"/>
  <c r="B4657" i="3"/>
  <c r="A4657" i="3"/>
  <c r="B4656" i="3"/>
  <c r="A4656" i="3"/>
  <c r="B4655" i="3"/>
  <c r="A4655" i="3"/>
  <c r="B4654" i="3"/>
  <c r="A4654" i="3"/>
  <c r="B4653" i="3"/>
  <c r="A4653" i="3"/>
  <c r="B4652" i="3"/>
  <c r="A4652" i="3"/>
  <c r="B4651" i="3"/>
  <c r="A4651" i="3"/>
  <c r="B4650" i="3"/>
  <c r="A4650" i="3"/>
  <c r="B4649" i="3"/>
  <c r="A4649" i="3"/>
  <c r="B4648" i="3"/>
  <c r="A4648" i="3"/>
  <c r="B4647" i="3"/>
  <c r="A4647" i="3"/>
  <c r="B4646" i="3"/>
  <c r="A4646" i="3"/>
  <c r="B4645" i="3"/>
  <c r="A4645" i="3"/>
  <c r="B4644" i="3"/>
  <c r="A4644" i="3"/>
  <c r="B4643" i="3"/>
  <c r="A4643" i="3"/>
  <c r="B4642" i="3"/>
  <c r="A4642" i="3"/>
  <c r="B4641" i="3"/>
  <c r="A4641" i="3"/>
  <c r="B4640" i="3"/>
  <c r="A4640" i="3"/>
  <c r="B4639" i="3"/>
  <c r="A4639" i="3"/>
  <c r="B4638" i="3"/>
  <c r="A4638" i="3"/>
  <c r="B4637" i="3"/>
  <c r="A4637" i="3"/>
  <c r="B4636" i="3"/>
  <c r="A4636" i="3"/>
  <c r="B4635" i="3"/>
  <c r="A4635" i="3"/>
  <c r="B4634" i="3"/>
  <c r="A4634" i="3"/>
  <c r="B4633" i="3"/>
  <c r="A4633" i="3"/>
  <c r="B4632" i="3"/>
  <c r="A4632" i="3"/>
  <c r="B4631" i="3"/>
  <c r="A4631" i="3"/>
  <c r="B4630" i="3"/>
  <c r="A4630" i="3"/>
  <c r="B4629" i="3"/>
  <c r="A4629" i="3"/>
  <c r="B4628" i="3"/>
  <c r="A4628" i="3"/>
  <c r="B4627" i="3"/>
  <c r="A4627" i="3"/>
  <c r="B4626" i="3"/>
  <c r="A4626" i="3"/>
  <c r="B4625" i="3"/>
  <c r="A4625" i="3"/>
  <c r="B4624" i="3"/>
  <c r="A4624" i="3"/>
  <c r="B4623" i="3"/>
  <c r="A4623" i="3"/>
  <c r="B4622" i="3"/>
  <c r="A4622" i="3"/>
  <c r="B4621" i="3"/>
  <c r="A4621" i="3"/>
  <c r="B4620" i="3"/>
  <c r="A4620" i="3"/>
  <c r="B4619" i="3"/>
  <c r="A4619" i="3"/>
  <c r="B4618" i="3"/>
  <c r="A4618" i="3"/>
  <c r="B4617" i="3"/>
  <c r="A4617" i="3"/>
  <c r="B4616" i="3"/>
  <c r="A4616" i="3"/>
  <c r="B4615" i="3"/>
  <c r="A4615" i="3"/>
  <c r="B4614" i="3"/>
  <c r="A4614" i="3"/>
  <c r="B4613" i="3"/>
  <c r="A4613" i="3"/>
  <c r="B4612" i="3"/>
  <c r="A4612" i="3"/>
  <c r="B4611" i="3"/>
  <c r="A4611" i="3"/>
  <c r="B4610" i="3"/>
  <c r="A4610" i="3"/>
  <c r="B4609" i="3"/>
  <c r="A4609" i="3"/>
  <c r="B4608" i="3"/>
  <c r="A4608" i="3"/>
  <c r="B4607" i="3"/>
  <c r="A4607" i="3"/>
  <c r="B4606" i="3"/>
  <c r="A4606" i="3"/>
  <c r="B4605" i="3"/>
  <c r="A4605" i="3"/>
  <c r="B4604" i="3"/>
  <c r="A4604" i="3"/>
  <c r="B4603" i="3"/>
  <c r="A4603" i="3"/>
  <c r="B4602" i="3"/>
  <c r="A4602" i="3"/>
  <c r="B4601" i="3"/>
  <c r="A4601" i="3"/>
  <c r="B4600" i="3"/>
  <c r="A4600" i="3"/>
  <c r="B4599" i="3"/>
  <c r="A4599" i="3"/>
  <c r="B4598" i="3"/>
  <c r="A4598" i="3"/>
  <c r="B4597" i="3"/>
  <c r="A4597" i="3"/>
  <c r="B4596" i="3"/>
  <c r="A4596" i="3"/>
  <c r="B4595" i="3"/>
  <c r="A4595" i="3"/>
  <c r="B4594" i="3"/>
  <c r="A4594" i="3"/>
  <c r="B4593" i="3"/>
  <c r="A4593" i="3"/>
  <c r="B4592" i="3"/>
  <c r="A4592" i="3"/>
  <c r="B4591" i="3"/>
  <c r="A4591" i="3"/>
  <c r="B4590" i="3"/>
  <c r="A4590" i="3"/>
  <c r="B4589" i="3"/>
  <c r="A4589" i="3"/>
  <c r="B4588" i="3"/>
  <c r="A4588" i="3"/>
  <c r="B4587" i="3"/>
  <c r="A4587" i="3"/>
  <c r="B4586" i="3"/>
  <c r="A4586" i="3"/>
  <c r="B4585" i="3"/>
  <c r="A4585" i="3"/>
  <c r="B4584" i="3"/>
  <c r="A4584" i="3"/>
  <c r="B4583" i="3"/>
  <c r="A4583" i="3"/>
  <c r="B4582" i="3"/>
  <c r="A4582" i="3"/>
  <c r="B4581" i="3"/>
  <c r="A4581" i="3"/>
  <c r="B4580" i="3"/>
  <c r="A4580" i="3"/>
  <c r="B4579" i="3"/>
  <c r="A4579" i="3"/>
  <c r="B4578" i="3"/>
  <c r="A4578" i="3"/>
  <c r="B4577" i="3"/>
  <c r="A4577" i="3"/>
  <c r="B4576" i="3"/>
  <c r="A4576" i="3"/>
  <c r="B4575" i="3"/>
  <c r="A4575" i="3"/>
  <c r="B4574" i="3"/>
  <c r="A4574" i="3"/>
  <c r="B4573" i="3"/>
  <c r="A4573" i="3"/>
  <c r="B4572" i="3"/>
  <c r="A4572" i="3"/>
  <c r="B4571" i="3"/>
  <c r="A4571" i="3"/>
  <c r="B4570" i="3"/>
  <c r="A4570" i="3"/>
  <c r="B4569" i="3"/>
  <c r="A4569" i="3"/>
  <c r="B4568" i="3"/>
  <c r="A4568" i="3"/>
  <c r="B4567" i="3"/>
  <c r="A4567" i="3"/>
  <c r="B4566" i="3"/>
  <c r="A4566" i="3"/>
  <c r="B4565" i="3"/>
  <c r="A4565" i="3"/>
  <c r="B4564" i="3"/>
  <c r="A4564" i="3"/>
  <c r="B4563" i="3"/>
  <c r="A4563" i="3"/>
  <c r="B4562" i="3"/>
  <c r="A4562" i="3"/>
  <c r="B4561" i="3"/>
  <c r="A4561" i="3"/>
  <c r="B4560" i="3"/>
  <c r="A4560" i="3"/>
  <c r="B4559" i="3"/>
  <c r="A4559" i="3"/>
  <c r="B4558" i="3"/>
  <c r="A4558" i="3"/>
  <c r="B4557" i="3"/>
  <c r="A4557" i="3"/>
  <c r="B4556" i="3"/>
  <c r="A4556" i="3"/>
  <c r="B4555" i="3"/>
  <c r="A4555" i="3"/>
  <c r="B4554" i="3"/>
  <c r="A4554" i="3"/>
  <c r="B4553" i="3"/>
  <c r="A4553" i="3"/>
  <c r="B4552" i="3"/>
  <c r="A4552" i="3"/>
  <c r="B4551" i="3"/>
  <c r="A4551" i="3"/>
  <c r="B4550" i="3"/>
  <c r="A4550" i="3"/>
  <c r="B4549" i="3"/>
  <c r="A4549" i="3"/>
  <c r="B4548" i="3"/>
  <c r="A4548" i="3"/>
  <c r="B4547" i="3"/>
  <c r="A4547" i="3"/>
  <c r="B4546" i="3"/>
  <c r="A4546" i="3"/>
  <c r="B4545" i="3"/>
  <c r="A4545" i="3"/>
  <c r="B4544" i="3"/>
  <c r="A4544" i="3"/>
  <c r="B4543" i="3"/>
  <c r="A4543" i="3"/>
  <c r="B4542" i="3"/>
  <c r="A4542" i="3"/>
  <c r="B4541" i="3"/>
  <c r="A4541" i="3"/>
  <c r="B4540" i="3"/>
  <c r="A4540" i="3"/>
  <c r="B4539" i="3"/>
  <c r="A4539" i="3"/>
  <c r="B4538" i="3"/>
  <c r="A4538" i="3"/>
  <c r="B4537" i="3"/>
  <c r="A4537" i="3"/>
  <c r="B4536" i="3"/>
  <c r="A4536" i="3"/>
  <c r="B4535" i="3"/>
  <c r="A4535" i="3"/>
  <c r="B4534" i="3"/>
  <c r="A4534" i="3"/>
  <c r="B4533" i="3"/>
  <c r="A4533" i="3"/>
  <c r="B4532" i="3"/>
  <c r="A4532" i="3"/>
  <c r="B4531" i="3"/>
  <c r="A4531" i="3"/>
  <c r="B4530" i="3"/>
  <c r="A4530" i="3"/>
  <c r="B4529" i="3"/>
  <c r="A4529" i="3"/>
  <c r="B4528" i="3"/>
  <c r="A4528" i="3"/>
  <c r="B4527" i="3"/>
  <c r="A4527" i="3"/>
  <c r="B4526" i="3"/>
  <c r="A4526" i="3"/>
  <c r="B4525" i="3"/>
  <c r="A4525" i="3"/>
  <c r="B4524" i="3"/>
  <c r="A4524" i="3"/>
  <c r="B4523" i="3"/>
  <c r="A4523" i="3"/>
  <c r="B4522" i="3"/>
  <c r="A4522" i="3"/>
  <c r="B4521" i="3"/>
  <c r="A4521" i="3"/>
  <c r="B4520" i="3"/>
  <c r="A4520" i="3"/>
  <c r="B4519" i="3"/>
  <c r="A4519" i="3"/>
  <c r="B4518" i="3"/>
  <c r="A4518" i="3"/>
  <c r="B4517" i="3"/>
  <c r="A4517" i="3"/>
  <c r="B4516" i="3"/>
  <c r="A4516" i="3"/>
  <c r="B4515" i="3"/>
  <c r="A4515" i="3"/>
  <c r="B4514" i="3"/>
  <c r="A4514" i="3"/>
  <c r="B4513" i="3"/>
  <c r="A4513" i="3"/>
  <c r="B4512" i="3"/>
  <c r="A4512" i="3"/>
  <c r="B4511" i="3"/>
  <c r="A4511" i="3"/>
  <c r="B4510" i="3"/>
  <c r="A4510" i="3"/>
  <c r="B4509" i="3"/>
  <c r="A4509" i="3"/>
  <c r="B4508" i="3"/>
  <c r="A4508" i="3"/>
  <c r="B4507" i="3"/>
  <c r="A4507" i="3"/>
  <c r="B4506" i="3"/>
  <c r="A4506" i="3"/>
  <c r="B4505" i="3"/>
  <c r="A4505" i="3"/>
  <c r="B4504" i="3"/>
  <c r="A4504" i="3"/>
  <c r="B4503" i="3"/>
  <c r="A4503" i="3"/>
  <c r="B4502" i="3"/>
  <c r="A4502" i="3"/>
  <c r="B4501" i="3"/>
  <c r="A4501" i="3"/>
  <c r="B4500" i="3"/>
  <c r="A4500" i="3"/>
  <c r="B4499" i="3"/>
  <c r="A4499" i="3"/>
  <c r="B4498" i="3"/>
  <c r="A4498" i="3"/>
  <c r="B4497" i="3"/>
  <c r="A4497" i="3"/>
  <c r="B4496" i="3"/>
  <c r="A4496" i="3"/>
  <c r="B4495" i="3"/>
  <c r="A4495" i="3"/>
  <c r="B4494" i="3"/>
  <c r="A4494" i="3"/>
  <c r="B4493" i="3"/>
  <c r="A4493" i="3"/>
  <c r="B4492" i="3"/>
  <c r="A4492" i="3"/>
  <c r="B4491" i="3"/>
  <c r="A4491" i="3"/>
  <c r="B4490" i="3"/>
  <c r="A4490" i="3"/>
  <c r="B4489" i="3"/>
  <c r="A4489" i="3"/>
  <c r="B4488" i="3"/>
  <c r="A4488" i="3"/>
  <c r="B4487" i="3"/>
  <c r="A4487" i="3"/>
  <c r="B4486" i="3"/>
  <c r="A4486" i="3"/>
  <c r="B4485" i="3"/>
  <c r="A4485" i="3"/>
  <c r="B4484" i="3"/>
  <c r="A4484" i="3"/>
  <c r="B4483" i="3"/>
  <c r="A4483" i="3"/>
  <c r="B4482" i="3"/>
  <c r="A4482" i="3"/>
  <c r="B4481" i="3"/>
  <c r="A4481" i="3"/>
  <c r="B4480" i="3"/>
  <c r="A4480" i="3"/>
  <c r="B4479" i="3"/>
  <c r="A4479" i="3"/>
  <c r="B4478" i="3"/>
  <c r="A4478" i="3"/>
  <c r="B4477" i="3"/>
  <c r="A4477" i="3"/>
  <c r="B4476" i="3"/>
  <c r="A4476" i="3"/>
  <c r="B4475" i="3"/>
  <c r="A4475" i="3"/>
  <c r="B4474" i="3"/>
  <c r="A4474" i="3"/>
  <c r="B4473" i="3"/>
  <c r="A4473" i="3"/>
  <c r="B4472" i="3"/>
  <c r="A4472" i="3"/>
  <c r="B4471" i="3"/>
  <c r="A4471" i="3"/>
  <c r="B4470" i="3"/>
  <c r="A4470" i="3"/>
  <c r="B4469" i="3"/>
  <c r="A4469" i="3"/>
  <c r="B4468" i="3"/>
  <c r="A4468" i="3"/>
  <c r="B4467" i="3"/>
  <c r="A4467" i="3"/>
  <c r="B4466" i="3"/>
  <c r="A4466" i="3"/>
  <c r="B4465" i="3"/>
  <c r="A4465" i="3"/>
  <c r="B4464" i="3"/>
  <c r="A4464" i="3"/>
  <c r="B4463" i="3"/>
  <c r="A4463" i="3"/>
  <c r="B4462" i="3"/>
  <c r="A4462" i="3"/>
  <c r="B4461" i="3"/>
  <c r="A4461" i="3"/>
  <c r="B4460" i="3"/>
  <c r="A4460" i="3"/>
  <c r="B4459" i="3"/>
  <c r="A4459" i="3"/>
  <c r="B4458" i="3"/>
  <c r="A4458" i="3"/>
  <c r="B4457" i="3"/>
  <c r="A4457" i="3"/>
  <c r="B4456" i="3"/>
  <c r="A4456" i="3"/>
  <c r="B4455" i="3"/>
  <c r="A4455" i="3"/>
  <c r="B4454" i="3"/>
  <c r="A4454" i="3"/>
  <c r="B4453" i="3"/>
  <c r="A4453" i="3"/>
  <c r="B4452" i="3"/>
  <c r="A4452" i="3"/>
  <c r="B4451" i="3"/>
  <c r="A4451" i="3"/>
  <c r="B4450" i="3"/>
  <c r="A4450" i="3"/>
  <c r="B4449" i="3"/>
  <c r="A4449" i="3"/>
  <c r="B4448" i="3"/>
  <c r="A4448" i="3"/>
  <c r="B4447" i="3"/>
  <c r="A4447" i="3"/>
  <c r="B4446" i="3"/>
  <c r="A4446" i="3"/>
  <c r="B4445" i="3"/>
  <c r="A4445" i="3"/>
  <c r="B4444" i="3"/>
  <c r="A4444" i="3"/>
  <c r="B4443" i="3"/>
  <c r="A4443" i="3"/>
  <c r="B4442" i="3"/>
  <c r="A4442" i="3"/>
  <c r="B4441" i="3"/>
  <c r="A4441" i="3"/>
  <c r="B4440" i="3"/>
  <c r="A4440" i="3"/>
  <c r="B4439" i="3"/>
  <c r="A4439" i="3"/>
  <c r="B4438" i="3"/>
  <c r="A4438" i="3"/>
  <c r="B4437" i="3"/>
  <c r="A4437" i="3"/>
  <c r="B4436" i="3"/>
  <c r="A4436" i="3"/>
  <c r="B4435" i="3"/>
  <c r="B4434" i="3"/>
  <c r="B4433" i="3"/>
  <c r="B4432" i="3"/>
  <c r="B4431" i="3"/>
  <c r="B4430" i="3"/>
  <c r="B4429" i="3"/>
  <c r="B4428" i="3"/>
  <c r="B4427" i="3"/>
  <c r="B4426" i="3"/>
  <c r="B4425" i="3"/>
  <c r="B4424" i="3"/>
  <c r="B4423" i="3"/>
  <c r="B4422" i="3"/>
  <c r="B4421" i="3"/>
  <c r="B4420" i="3"/>
  <c r="B4419" i="3"/>
  <c r="B4418" i="3"/>
  <c r="B4417" i="3"/>
  <c r="B4416" i="3"/>
  <c r="B4415" i="3"/>
  <c r="B4414" i="3"/>
  <c r="B4413" i="3"/>
  <c r="B4412" i="3"/>
  <c r="B4411" i="3"/>
  <c r="B4410" i="3"/>
  <c r="B4409" i="3"/>
  <c r="B4408" i="3"/>
  <c r="B4407" i="3"/>
  <c r="B4406" i="3"/>
  <c r="B4405" i="3"/>
  <c r="B4404" i="3"/>
  <c r="B4403" i="3"/>
  <c r="B4402" i="3"/>
  <c r="B4401" i="3"/>
  <c r="B4400" i="3"/>
  <c r="B4399" i="3"/>
  <c r="B4398" i="3"/>
  <c r="B4397" i="3"/>
  <c r="B4396" i="3"/>
  <c r="B4395" i="3"/>
  <c r="B4394" i="3"/>
  <c r="B4393" i="3"/>
  <c r="B4392" i="3"/>
  <c r="B4391" i="3"/>
  <c r="B4390" i="3"/>
  <c r="B4389" i="3"/>
  <c r="B4388" i="3"/>
  <c r="B4387" i="3"/>
  <c r="B4386" i="3"/>
  <c r="B4385" i="3"/>
  <c r="B4384" i="3"/>
  <c r="B4383" i="3"/>
  <c r="B4382" i="3"/>
  <c r="B4381" i="3"/>
  <c r="B4380" i="3"/>
  <c r="B4379" i="3"/>
  <c r="B4378" i="3"/>
  <c r="B4377" i="3"/>
  <c r="B4376" i="3"/>
  <c r="B4375" i="3"/>
  <c r="B4374" i="3"/>
  <c r="B4373" i="3"/>
  <c r="B4372" i="3"/>
  <c r="B4371" i="3"/>
  <c r="B4370" i="3"/>
  <c r="B4369" i="3"/>
  <c r="B4368" i="3"/>
  <c r="B4367" i="3"/>
  <c r="B4366" i="3"/>
  <c r="B4365" i="3"/>
  <c r="B4364" i="3"/>
  <c r="B4363" i="3"/>
  <c r="B4362" i="3"/>
  <c r="B4361" i="3"/>
  <c r="B4360" i="3"/>
  <c r="B4359" i="3"/>
  <c r="B4358" i="3"/>
  <c r="B4357" i="3"/>
  <c r="B4356" i="3"/>
  <c r="B4355" i="3"/>
  <c r="B4354" i="3"/>
  <c r="B4353" i="3"/>
  <c r="B4352" i="3"/>
  <c r="B4351" i="3"/>
  <c r="B4350" i="3"/>
  <c r="B4349" i="3"/>
  <c r="B4348" i="3"/>
  <c r="B4347" i="3"/>
  <c r="B4346" i="3"/>
  <c r="B4345" i="3"/>
  <c r="B4344" i="3"/>
  <c r="B4343" i="3"/>
  <c r="B4342" i="3"/>
  <c r="B4341" i="3"/>
  <c r="B4340" i="3"/>
  <c r="B4339" i="3"/>
  <c r="B4338" i="3"/>
  <c r="B4337" i="3"/>
  <c r="B4336" i="3"/>
  <c r="B4335" i="3"/>
  <c r="B4334" i="3"/>
  <c r="B4333" i="3"/>
  <c r="B4332" i="3"/>
  <c r="B4331" i="3"/>
  <c r="B4330" i="3"/>
  <c r="B4329" i="3"/>
  <c r="B4328" i="3"/>
  <c r="B4327" i="3"/>
  <c r="B4326" i="3"/>
  <c r="B4325" i="3"/>
  <c r="B4324" i="3"/>
  <c r="B4323" i="3"/>
  <c r="B4322" i="3"/>
  <c r="B4321" i="3"/>
  <c r="B4320" i="3"/>
  <c r="B4319" i="3"/>
  <c r="B4318" i="3"/>
  <c r="B4317" i="3"/>
  <c r="B4316" i="3"/>
  <c r="B4315" i="3"/>
  <c r="B4314" i="3"/>
  <c r="B4313" i="3"/>
  <c r="B4312" i="3"/>
  <c r="B4311" i="3"/>
  <c r="B4310" i="3"/>
  <c r="B4309" i="3"/>
  <c r="B4308" i="3"/>
  <c r="B4307" i="3"/>
  <c r="B4306" i="3"/>
  <c r="B4305" i="3"/>
  <c r="B4304" i="3"/>
  <c r="B4303" i="3"/>
  <c r="B4302" i="3"/>
  <c r="B4301" i="3"/>
  <c r="B4300" i="3"/>
  <c r="B4299" i="3"/>
  <c r="B4298" i="3"/>
  <c r="B4297" i="3"/>
  <c r="B4296" i="3"/>
  <c r="B4295" i="3"/>
  <c r="B4294" i="3"/>
  <c r="B4293" i="3"/>
  <c r="B4292" i="3"/>
  <c r="B4291" i="3"/>
  <c r="B4290" i="3"/>
  <c r="B4289" i="3"/>
  <c r="B4288" i="3"/>
  <c r="B4287" i="3"/>
  <c r="B4286" i="3"/>
  <c r="B4285" i="3"/>
  <c r="B4284" i="3"/>
  <c r="B4283" i="3"/>
  <c r="B4282" i="3"/>
  <c r="B4281" i="3"/>
  <c r="B4280" i="3"/>
  <c r="B4279" i="3"/>
  <c r="B4278" i="3"/>
  <c r="B4277" i="3"/>
  <c r="B4276" i="3"/>
  <c r="B4275" i="3"/>
  <c r="B4274" i="3"/>
  <c r="B4273" i="3"/>
  <c r="B4272" i="3"/>
  <c r="B4271" i="3"/>
  <c r="B4270" i="3"/>
  <c r="B4269" i="3"/>
  <c r="B4268" i="3"/>
  <c r="B4267" i="3"/>
  <c r="B4266" i="3"/>
  <c r="B4265" i="3"/>
  <c r="B4264" i="3"/>
  <c r="B4263" i="3"/>
  <c r="B4262" i="3"/>
  <c r="B4261" i="3"/>
  <c r="B4260" i="3"/>
  <c r="B4259" i="3"/>
  <c r="B4258" i="3"/>
  <c r="B4257" i="3"/>
  <c r="B4256" i="3"/>
  <c r="B4255" i="3"/>
  <c r="B4254" i="3"/>
  <c r="B4253" i="3"/>
  <c r="B4252" i="3"/>
  <c r="B4251" i="3"/>
  <c r="B4250" i="3"/>
  <c r="B4249" i="3"/>
  <c r="B4248" i="3"/>
  <c r="B4247" i="3"/>
  <c r="B4246" i="3"/>
  <c r="B4245" i="3"/>
  <c r="B4244" i="3"/>
  <c r="B4243" i="3"/>
  <c r="B4242" i="3"/>
  <c r="B4241" i="3"/>
  <c r="B4240" i="3"/>
  <c r="B4239" i="3"/>
  <c r="B4238" i="3"/>
  <c r="B4237" i="3"/>
  <c r="B4236" i="3"/>
  <c r="B4235" i="3"/>
  <c r="B4234" i="3"/>
  <c r="B4233" i="3"/>
  <c r="B4232" i="3"/>
  <c r="B4231" i="3"/>
  <c r="B4230" i="3"/>
  <c r="B4229" i="3"/>
  <c r="B4228" i="3"/>
  <c r="B4227" i="3"/>
  <c r="B4226" i="3"/>
  <c r="B4225" i="3"/>
  <c r="B4224" i="3"/>
  <c r="B4223" i="3"/>
  <c r="B4222" i="3"/>
  <c r="B4221" i="3"/>
  <c r="B4220" i="3"/>
  <c r="B4219" i="3"/>
  <c r="B4218" i="3"/>
  <c r="B4217" i="3"/>
  <c r="B4216" i="3"/>
  <c r="B4215" i="3"/>
  <c r="B4214" i="3"/>
  <c r="B4213" i="3"/>
  <c r="B4212" i="3"/>
  <c r="B4211" i="3"/>
  <c r="B4210" i="3"/>
  <c r="B4209" i="3"/>
  <c r="B4208" i="3"/>
  <c r="B4207" i="3"/>
  <c r="B4206" i="3"/>
  <c r="B4205" i="3"/>
  <c r="B4204" i="3"/>
  <c r="B4203" i="3"/>
  <c r="B4202" i="3"/>
  <c r="B4201" i="3"/>
  <c r="B4200" i="3"/>
  <c r="B4199" i="3"/>
  <c r="B4198" i="3"/>
  <c r="B4197" i="3"/>
  <c r="B4196" i="3"/>
  <c r="B4195" i="3"/>
  <c r="B4194" i="3"/>
  <c r="B4193" i="3"/>
  <c r="B4192" i="3"/>
  <c r="B4191" i="3"/>
  <c r="B4190" i="3"/>
  <c r="B4189" i="3"/>
  <c r="B4188" i="3"/>
  <c r="B4187" i="3"/>
  <c r="B4186" i="3"/>
  <c r="B4185" i="3"/>
  <c r="B4184" i="3"/>
  <c r="B4183" i="3"/>
  <c r="A4183" i="3"/>
  <c r="A4184" i="3" s="1"/>
  <c r="A4185" i="3" s="1"/>
  <c r="A4186" i="3" s="1"/>
  <c r="A4187" i="3" s="1"/>
  <c r="A4188" i="3" s="1"/>
  <c r="A4189" i="3" s="1"/>
  <c r="A4190" i="3" s="1"/>
  <c r="A4191" i="3" s="1"/>
  <c r="A4192" i="3" s="1"/>
  <c r="A4193" i="3" s="1"/>
  <c r="A4194" i="3" s="1"/>
  <c r="A4195" i="3" s="1"/>
  <c r="A4196" i="3" s="1"/>
  <c r="A4197" i="3" s="1"/>
  <c r="A4198" i="3" s="1"/>
  <c r="A4199" i="3" s="1"/>
  <c r="A4200" i="3" s="1"/>
  <c r="A4201" i="3" s="1"/>
  <c r="A4202" i="3" s="1"/>
  <c r="A4203" i="3" s="1"/>
  <c r="A4204" i="3" s="1"/>
  <c r="A4205" i="3" s="1"/>
  <c r="A4206" i="3" s="1"/>
  <c r="A4207" i="3" s="1"/>
  <c r="A4208" i="3" s="1"/>
  <c r="A4209" i="3" s="1"/>
  <c r="A4210" i="3" s="1"/>
  <c r="A4211" i="3" s="1"/>
  <c r="A4212" i="3" s="1"/>
  <c r="A4213" i="3" s="1"/>
  <c r="A4214" i="3" s="1"/>
  <c r="A4215" i="3" s="1"/>
  <c r="A4216" i="3" s="1"/>
  <c r="A4217" i="3" s="1"/>
  <c r="A4218" i="3" s="1"/>
  <c r="A4219" i="3" s="1"/>
  <c r="A4220" i="3" s="1"/>
  <c r="A4221" i="3" s="1"/>
  <c r="A4222" i="3" s="1"/>
  <c r="A4223" i="3" s="1"/>
  <c r="A4224" i="3" s="1"/>
  <c r="A4225" i="3" s="1"/>
  <c r="A4226" i="3" s="1"/>
  <c r="A4227" i="3" s="1"/>
  <c r="A4228" i="3" s="1"/>
  <c r="A4229" i="3" s="1"/>
  <c r="A4230" i="3" s="1"/>
  <c r="A4231" i="3" s="1"/>
  <c r="A4232" i="3" s="1"/>
  <c r="A4233" i="3" s="1"/>
  <c r="A4234" i="3" s="1"/>
  <c r="A4235" i="3" s="1"/>
  <c r="A4236" i="3" s="1"/>
  <c r="A4237" i="3" s="1"/>
  <c r="A4238" i="3" s="1"/>
  <c r="A4239" i="3" s="1"/>
  <c r="A4240" i="3" s="1"/>
  <c r="A4241" i="3" s="1"/>
  <c r="A4242" i="3" s="1"/>
  <c r="A4243" i="3" s="1"/>
  <c r="A4244" i="3" s="1"/>
  <c r="A4245" i="3" s="1"/>
  <c r="A4246" i="3" s="1"/>
  <c r="A4247" i="3" s="1"/>
  <c r="A4248" i="3" s="1"/>
  <c r="A4249" i="3" s="1"/>
  <c r="A4250" i="3" s="1"/>
  <c r="A4251" i="3" s="1"/>
  <c r="A4252" i="3" s="1"/>
  <c r="A4253" i="3" s="1"/>
  <c r="A4254" i="3" s="1"/>
  <c r="A4255" i="3" s="1"/>
  <c r="A4256" i="3" s="1"/>
  <c r="A4257" i="3" s="1"/>
  <c r="A4258" i="3" s="1"/>
  <c r="A4259" i="3" s="1"/>
  <c r="A4260" i="3" s="1"/>
  <c r="A4261" i="3" s="1"/>
  <c r="A4262" i="3" s="1"/>
  <c r="A4263" i="3" s="1"/>
  <c r="A4264" i="3" s="1"/>
  <c r="A4265" i="3" s="1"/>
  <c r="A4266" i="3" s="1"/>
  <c r="A4267" i="3" s="1"/>
  <c r="A4268" i="3" s="1"/>
  <c r="A4269" i="3" s="1"/>
  <c r="A4270" i="3" s="1"/>
  <c r="A4271" i="3" s="1"/>
  <c r="A4272" i="3" s="1"/>
  <c r="A4273" i="3" s="1"/>
  <c r="A4274" i="3" s="1"/>
  <c r="A4275" i="3" s="1"/>
  <c r="A4276" i="3" s="1"/>
  <c r="A4277" i="3" s="1"/>
  <c r="A4278" i="3" s="1"/>
  <c r="A4279" i="3" s="1"/>
  <c r="A4280" i="3" s="1"/>
  <c r="A4281" i="3" s="1"/>
  <c r="A4282" i="3" s="1"/>
  <c r="A4283" i="3" s="1"/>
  <c r="A4284" i="3" s="1"/>
  <c r="A4285" i="3" s="1"/>
  <c r="A4286" i="3" s="1"/>
  <c r="A4287" i="3" s="1"/>
  <c r="A4288" i="3" s="1"/>
  <c r="A4289" i="3" s="1"/>
  <c r="A4290" i="3" s="1"/>
  <c r="A4291" i="3" s="1"/>
  <c r="A4292" i="3" s="1"/>
  <c r="A4293" i="3" s="1"/>
  <c r="A4294" i="3" s="1"/>
  <c r="A4295" i="3" s="1"/>
  <c r="A4296" i="3" s="1"/>
  <c r="A4297" i="3" s="1"/>
  <c r="A4298" i="3" s="1"/>
  <c r="A4299" i="3" s="1"/>
  <c r="A4300" i="3" s="1"/>
  <c r="A4301" i="3" s="1"/>
  <c r="A4302" i="3" s="1"/>
  <c r="A4303" i="3" s="1"/>
  <c r="A4304" i="3" s="1"/>
  <c r="A4305" i="3" s="1"/>
  <c r="A4306" i="3" s="1"/>
  <c r="A4307" i="3" s="1"/>
  <c r="A4308" i="3" s="1"/>
  <c r="A4309" i="3" s="1"/>
  <c r="A4310" i="3" s="1"/>
  <c r="A4311" i="3" s="1"/>
  <c r="A4312" i="3" s="1"/>
  <c r="A4313" i="3" s="1"/>
  <c r="A4314" i="3" s="1"/>
  <c r="A4315" i="3" s="1"/>
  <c r="A4316" i="3" s="1"/>
  <c r="A4317" i="3" s="1"/>
  <c r="A4318" i="3" s="1"/>
  <c r="A4319" i="3" s="1"/>
  <c r="A4320" i="3" s="1"/>
  <c r="A4321" i="3" s="1"/>
  <c r="A4322" i="3" s="1"/>
  <c r="A4323" i="3" s="1"/>
  <c r="A4324" i="3" s="1"/>
  <c r="A4325" i="3" s="1"/>
  <c r="A4326" i="3" s="1"/>
  <c r="A4327" i="3" s="1"/>
  <c r="A4328" i="3" s="1"/>
  <c r="A4329" i="3" s="1"/>
  <c r="A4330" i="3" s="1"/>
  <c r="A4331" i="3" s="1"/>
  <c r="A4332" i="3" s="1"/>
  <c r="A4333" i="3" s="1"/>
  <c r="A4334" i="3" s="1"/>
  <c r="A4335" i="3" s="1"/>
  <c r="A4336" i="3" s="1"/>
  <c r="A4337" i="3" s="1"/>
  <c r="A4338" i="3" s="1"/>
  <c r="A4339" i="3" s="1"/>
  <c r="A4340" i="3" s="1"/>
  <c r="A4341" i="3" s="1"/>
  <c r="A4342" i="3" s="1"/>
  <c r="A4343" i="3" s="1"/>
  <c r="A4344" i="3" s="1"/>
  <c r="A4345" i="3" s="1"/>
  <c r="A4346" i="3" s="1"/>
  <c r="A4347" i="3" s="1"/>
  <c r="A4348" i="3" s="1"/>
  <c r="A4349" i="3" s="1"/>
  <c r="A4350" i="3" s="1"/>
  <c r="A4351" i="3" s="1"/>
  <c r="A4352" i="3" s="1"/>
  <c r="A4353" i="3" s="1"/>
  <c r="A4354" i="3" s="1"/>
  <c r="A4355" i="3" s="1"/>
  <c r="A4356" i="3" s="1"/>
  <c r="A4357" i="3" s="1"/>
  <c r="A4358" i="3" s="1"/>
  <c r="A4359" i="3" s="1"/>
  <c r="A4360" i="3" s="1"/>
  <c r="A4361" i="3" s="1"/>
  <c r="A4362" i="3" s="1"/>
  <c r="A4363" i="3" s="1"/>
  <c r="A4364" i="3" s="1"/>
  <c r="A4365" i="3" s="1"/>
  <c r="A4366" i="3" s="1"/>
  <c r="A4367" i="3" s="1"/>
  <c r="A4368" i="3" s="1"/>
  <c r="A4369" i="3" s="1"/>
  <c r="A4370" i="3" s="1"/>
  <c r="A4371" i="3" s="1"/>
  <c r="A4372" i="3" s="1"/>
  <c r="A4373" i="3" s="1"/>
  <c r="A4374" i="3" s="1"/>
  <c r="A4375" i="3" s="1"/>
  <c r="A4376" i="3" s="1"/>
  <c r="A4377" i="3" s="1"/>
  <c r="A4378" i="3" s="1"/>
  <c r="A4379" i="3" s="1"/>
  <c r="A4380" i="3" s="1"/>
  <c r="A4381" i="3" s="1"/>
  <c r="A4382" i="3" s="1"/>
  <c r="A4383" i="3" s="1"/>
  <c r="A4384" i="3" s="1"/>
  <c r="A4385" i="3" s="1"/>
  <c r="A4386" i="3" s="1"/>
  <c r="A4387" i="3" s="1"/>
  <c r="A4388" i="3" s="1"/>
  <c r="A4389" i="3" s="1"/>
  <c r="A4390" i="3" s="1"/>
  <c r="A4391" i="3" s="1"/>
  <c r="A4392" i="3" s="1"/>
  <c r="A4393" i="3" s="1"/>
  <c r="A4394" i="3" s="1"/>
  <c r="A4395" i="3" s="1"/>
  <c r="A4396" i="3" s="1"/>
  <c r="A4397" i="3" s="1"/>
  <c r="A4398" i="3" s="1"/>
  <c r="A4399" i="3" s="1"/>
  <c r="A4400" i="3" s="1"/>
  <c r="A4401" i="3" s="1"/>
  <c r="A4402" i="3" s="1"/>
  <c r="A4403" i="3" s="1"/>
  <c r="A4404" i="3" s="1"/>
  <c r="A4405" i="3" s="1"/>
  <c r="A4406" i="3" s="1"/>
  <c r="A4407" i="3" s="1"/>
  <c r="A4408" i="3" s="1"/>
  <c r="A4409" i="3" s="1"/>
  <c r="A4410" i="3" s="1"/>
  <c r="A4411" i="3" s="1"/>
  <c r="A4412" i="3" s="1"/>
  <c r="A4413" i="3" s="1"/>
  <c r="A4414" i="3" s="1"/>
  <c r="A4415" i="3" s="1"/>
  <c r="A4416" i="3" s="1"/>
  <c r="A4417" i="3" s="1"/>
  <c r="A4418" i="3" s="1"/>
  <c r="A4419" i="3" s="1"/>
  <c r="A4420" i="3" s="1"/>
  <c r="A4421" i="3" s="1"/>
  <c r="A4422" i="3" s="1"/>
  <c r="A4423" i="3" s="1"/>
  <c r="A4424" i="3" s="1"/>
  <c r="A4425" i="3" s="1"/>
  <c r="A4426" i="3" s="1"/>
  <c r="A4427" i="3" s="1"/>
  <c r="A4428" i="3" s="1"/>
  <c r="A4429" i="3" s="1"/>
  <c r="A4430" i="3" s="1"/>
  <c r="A4431" i="3" s="1"/>
  <c r="A4432" i="3" s="1"/>
  <c r="A4433" i="3" s="1"/>
  <c r="A4434" i="3" s="1"/>
  <c r="A4435" i="3" s="1"/>
  <c r="B4182" i="3"/>
  <c r="A4182" i="3"/>
  <c r="B4181" i="3"/>
  <c r="A4181" i="3"/>
  <c r="B4180" i="3"/>
  <c r="A4180" i="3"/>
  <c r="B4179" i="3"/>
  <c r="A4179" i="3"/>
  <c r="B4178" i="3"/>
  <c r="A4178" i="3"/>
  <c r="B4177" i="3"/>
  <c r="A4177" i="3"/>
  <c r="B4176" i="3"/>
  <c r="A4176" i="3"/>
  <c r="B4175" i="3"/>
  <c r="A4175" i="3"/>
  <c r="B4174" i="3"/>
  <c r="A4174" i="3"/>
  <c r="B4173" i="3"/>
  <c r="A4173" i="3"/>
  <c r="B4172" i="3"/>
  <c r="A4172" i="3"/>
  <c r="B4171" i="3"/>
  <c r="A4171" i="3"/>
  <c r="B4170" i="3"/>
  <c r="A4170" i="3"/>
  <c r="B4169" i="3"/>
  <c r="A4169" i="3"/>
  <c r="B4168" i="3"/>
  <c r="A4168" i="3"/>
  <c r="B4167" i="3"/>
  <c r="A4167" i="3"/>
  <c r="B4166" i="3"/>
  <c r="A4166" i="3"/>
  <c r="B4165" i="3"/>
  <c r="A4165" i="3"/>
  <c r="B4164" i="3"/>
  <c r="A4164" i="3"/>
  <c r="B4163" i="3"/>
  <c r="A4163" i="3"/>
  <c r="B4162" i="3"/>
  <c r="A4162" i="3"/>
  <c r="B4161" i="3"/>
  <c r="A4161" i="3"/>
  <c r="B4160" i="3"/>
  <c r="A4160" i="3"/>
  <c r="B4159" i="3"/>
  <c r="A4159" i="3"/>
  <c r="B4158" i="3"/>
  <c r="A4158" i="3"/>
  <c r="B4157" i="3"/>
  <c r="A4157" i="3"/>
  <c r="B4156" i="3"/>
  <c r="A4156" i="3"/>
  <c r="B4155" i="3"/>
  <c r="A4155" i="3"/>
  <c r="B4154" i="3"/>
  <c r="A4154" i="3"/>
  <c r="B4153" i="3"/>
  <c r="A4153" i="3"/>
  <c r="B4152" i="3"/>
  <c r="A4152" i="3"/>
  <c r="B4151" i="3"/>
  <c r="A4151" i="3"/>
  <c r="B4150" i="3"/>
  <c r="A4150" i="3"/>
  <c r="B4149" i="3"/>
  <c r="A4149" i="3"/>
  <c r="B4148" i="3"/>
  <c r="A4148" i="3"/>
  <c r="B4147" i="3"/>
  <c r="A4147" i="3"/>
  <c r="B4146" i="3"/>
  <c r="A4146" i="3"/>
  <c r="B4145" i="3"/>
  <c r="A4145" i="3"/>
  <c r="B4144" i="3"/>
  <c r="A4144" i="3"/>
  <c r="B4143" i="3"/>
  <c r="A4143" i="3"/>
  <c r="B4142" i="3"/>
  <c r="A4142" i="3"/>
  <c r="B4141" i="3"/>
  <c r="A4141" i="3"/>
  <c r="B4140" i="3"/>
  <c r="A4140" i="3"/>
  <c r="B4139" i="3"/>
  <c r="A4139" i="3"/>
  <c r="B4138" i="3"/>
  <c r="A4138" i="3"/>
  <c r="B4137" i="3"/>
  <c r="A4137" i="3"/>
  <c r="B4136" i="3"/>
  <c r="A4136" i="3"/>
  <c r="B4135" i="3"/>
  <c r="A4135" i="3"/>
  <c r="B4134" i="3"/>
  <c r="A4134" i="3"/>
  <c r="B4133" i="3"/>
  <c r="A4133" i="3"/>
  <c r="B4132" i="3"/>
  <c r="A4132" i="3"/>
  <c r="B4131" i="3"/>
  <c r="A4131" i="3"/>
  <c r="B4130" i="3"/>
  <c r="A4130" i="3"/>
  <c r="B4129" i="3"/>
  <c r="A4129" i="3"/>
  <c r="B4128" i="3"/>
  <c r="A4128" i="3"/>
  <c r="B4127" i="3"/>
  <c r="A4127" i="3"/>
  <c r="B4126" i="3"/>
  <c r="A4126" i="3"/>
  <c r="B4125" i="3"/>
  <c r="A4125" i="3"/>
  <c r="B4124" i="3"/>
  <c r="A4124" i="3"/>
  <c r="B4123" i="3"/>
  <c r="A4123" i="3"/>
  <c r="B4122" i="3"/>
  <c r="A4122" i="3"/>
  <c r="B4121" i="3"/>
  <c r="A4121" i="3"/>
  <c r="B4120" i="3"/>
  <c r="A4120" i="3"/>
  <c r="B4119" i="3"/>
  <c r="A4119" i="3"/>
  <c r="B4118" i="3"/>
  <c r="A4118" i="3"/>
  <c r="B4117" i="3"/>
  <c r="A4117" i="3"/>
  <c r="B4116" i="3"/>
  <c r="A4116" i="3"/>
  <c r="B4115" i="3"/>
  <c r="A4115" i="3"/>
  <c r="B4114" i="3"/>
  <c r="A4114" i="3"/>
  <c r="B4113" i="3"/>
  <c r="A4113" i="3"/>
  <c r="B4112" i="3"/>
  <c r="A4112" i="3"/>
  <c r="B4111" i="3"/>
  <c r="A4111" i="3"/>
  <c r="B4110" i="3"/>
  <c r="A4110" i="3"/>
  <c r="B4109" i="3"/>
  <c r="A4109" i="3"/>
  <c r="B4108" i="3"/>
  <c r="A4108" i="3"/>
  <c r="B4107" i="3"/>
  <c r="A4107" i="3"/>
  <c r="B4106" i="3"/>
  <c r="A4106" i="3"/>
  <c r="B4105" i="3"/>
  <c r="A4105" i="3"/>
  <c r="B4104" i="3"/>
  <c r="A4104" i="3"/>
  <c r="B4103" i="3"/>
  <c r="A4103" i="3"/>
  <c r="B4102" i="3"/>
  <c r="A4102" i="3"/>
  <c r="B4101" i="3"/>
  <c r="A4101" i="3"/>
  <c r="B4100" i="3"/>
  <c r="A4100" i="3"/>
  <c r="B4099" i="3"/>
  <c r="A4099" i="3"/>
  <c r="B4098" i="3"/>
  <c r="A4098" i="3"/>
  <c r="B4097" i="3"/>
  <c r="A4097" i="3"/>
  <c r="B4096" i="3"/>
  <c r="A4096" i="3"/>
  <c r="B4095" i="3"/>
  <c r="A4095" i="3"/>
  <c r="B4094" i="3"/>
  <c r="A4094" i="3"/>
  <c r="B4093" i="3"/>
  <c r="A4093" i="3"/>
  <c r="B4092" i="3"/>
  <c r="A4092" i="3"/>
  <c r="B4091" i="3"/>
  <c r="A4091" i="3"/>
  <c r="B4090" i="3"/>
  <c r="A4090" i="3"/>
  <c r="B4089" i="3"/>
  <c r="A4089" i="3"/>
  <c r="B4088" i="3"/>
  <c r="A4088" i="3"/>
  <c r="B4087" i="3"/>
  <c r="A4087" i="3"/>
  <c r="B4086" i="3"/>
  <c r="A4086" i="3"/>
  <c r="B4085" i="3"/>
  <c r="A4085" i="3"/>
  <c r="B4084" i="3"/>
  <c r="A4084" i="3"/>
  <c r="B4083" i="3"/>
  <c r="A4083" i="3"/>
  <c r="B4082" i="3"/>
  <c r="A4082" i="3"/>
  <c r="B4081" i="3"/>
  <c r="A4081" i="3"/>
  <c r="B4080" i="3"/>
  <c r="A4080" i="3"/>
  <c r="B4079" i="3"/>
  <c r="A4079" i="3"/>
  <c r="B4078" i="3"/>
  <c r="A4078" i="3"/>
  <c r="B4077" i="3"/>
  <c r="A4077" i="3"/>
  <c r="B4076" i="3"/>
  <c r="A4076" i="3"/>
  <c r="B4075" i="3"/>
  <c r="A4075" i="3"/>
  <c r="B4074" i="3"/>
  <c r="A4074" i="3"/>
  <c r="B4073" i="3"/>
  <c r="A4073" i="3"/>
  <c r="B4072" i="3"/>
  <c r="A4072" i="3"/>
  <c r="B4071" i="3"/>
  <c r="A4071" i="3"/>
  <c r="B4070" i="3"/>
  <c r="A4070" i="3"/>
  <c r="B4069" i="3"/>
  <c r="A4069" i="3"/>
  <c r="B4068" i="3"/>
  <c r="A4068" i="3"/>
  <c r="B4067" i="3"/>
  <c r="A4067" i="3"/>
  <c r="B4066" i="3"/>
  <c r="A4066" i="3"/>
  <c r="B4065" i="3"/>
  <c r="A4065" i="3"/>
  <c r="B4064" i="3"/>
  <c r="A4064" i="3"/>
  <c r="B4063" i="3"/>
  <c r="A4063" i="3"/>
  <c r="B4062" i="3"/>
  <c r="A4062" i="3"/>
  <c r="B4061" i="3"/>
  <c r="A4061" i="3"/>
  <c r="B4060" i="3"/>
  <c r="A4060" i="3"/>
  <c r="B4059" i="3"/>
  <c r="A4059" i="3"/>
  <c r="B4058" i="3"/>
  <c r="A4058" i="3"/>
  <c r="B4057" i="3"/>
  <c r="A4057" i="3"/>
  <c r="B4056" i="3"/>
  <c r="A4056" i="3"/>
  <c r="B4055" i="3"/>
  <c r="A4055" i="3"/>
  <c r="B4054" i="3"/>
  <c r="A4054" i="3"/>
  <c r="B4053" i="3"/>
  <c r="A4053" i="3"/>
  <c r="B4052" i="3"/>
  <c r="A4052" i="3"/>
  <c r="B4051" i="3"/>
  <c r="A4051" i="3"/>
  <c r="B4050" i="3"/>
  <c r="A4050" i="3"/>
  <c r="B4049" i="3"/>
  <c r="A4049" i="3"/>
  <c r="B4048" i="3"/>
  <c r="A4048" i="3"/>
  <c r="B4047" i="3"/>
  <c r="A4047" i="3"/>
  <c r="B4046" i="3"/>
  <c r="A4046" i="3"/>
  <c r="B4045" i="3"/>
  <c r="A4045" i="3"/>
  <c r="B4044" i="3"/>
  <c r="A4044" i="3"/>
  <c r="B4043" i="3"/>
  <c r="A4043" i="3"/>
  <c r="B4042" i="3"/>
  <c r="A4042" i="3"/>
  <c r="B4041" i="3"/>
  <c r="A4041" i="3"/>
  <c r="B4040" i="3"/>
  <c r="A4040" i="3"/>
  <c r="B4039" i="3"/>
  <c r="A4039" i="3"/>
  <c r="B4038" i="3"/>
  <c r="A4038" i="3"/>
  <c r="B4037" i="3"/>
  <c r="A4037" i="3"/>
  <c r="B4036" i="3"/>
  <c r="A4036" i="3"/>
  <c r="B4035" i="3"/>
  <c r="A4035" i="3"/>
  <c r="B4034" i="3"/>
  <c r="A4034" i="3"/>
  <c r="B4033" i="3"/>
  <c r="A4033" i="3"/>
  <c r="B4032" i="3"/>
  <c r="A4032" i="3"/>
  <c r="B4031" i="3"/>
  <c r="A4031" i="3"/>
  <c r="B4030" i="3"/>
  <c r="A4030" i="3"/>
  <c r="B4029" i="3"/>
  <c r="A4029" i="3"/>
  <c r="B4028" i="3"/>
  <c r="A4028" i="3"/>
  <c r="B4027" i="3"/>
  <c r="A4027" i="3"/>
  <c r="B4026" i="3"/>
  <c r="A4026" i="3"/>
  <c r="B4025" i="3"/>
  <c r="A4025" i="3"/>
  <c r="B4024" i="3"/>
  <c r="A4024" i="3"/>
  <c r="B4023" i="3"/>
  <c r="A4023" i="3"/>
  <c r="B4022" i="3"/>
  <c r="A4022" i="3"/>
  <c r="B4021" i="3"/>
  <c r="A4021" i="3"/>
  <c r="B4020" i="3"/>
  <c r="A4020" i="3"/>
  <c r="B4019" i="3"/>
  <c r="A4019" i="3"/>
  <c r="B4018" i="3"/>
  <c r="A4018" i="3"/>
  <c r="B4017" i="3"/>
  <c r="A4017" i="3"/>
  <c r="B4016" i="3"/>
  <c r="A4016" i="3"/>
  <c r="B4015" i="3"/>
  <c r="A4015" i="3"/>
  <c r="B4014" i="3"/>
  <c r="A4014" i="3"/>
  <c r="B4013" i="3"/>
  <c r="A4013" i="3"/>
  <c r="B4012" i="3"/>
  <c r="A4012" i="3"/>
  <c r="B4011" i="3"/>
  <c r="A4011" i="3"/>
  <c r="B4010" i="3"/>
  <c r="A4010" i="3"/>
  <c r="B4009" i="3"/>
  <c r="A4009" i="3"/>
  <c r="B4008" i="3"/>
  <c r="A4008" i="3"/>
  <c r="B4007" i="3"/>
  <c r="A4007" i="3"/>
  <c r="B4006" i="3"/>
  <c r="A4006" i="3"/>
  <c r="B4005" i="3"/>
  <c r="A4005" i="3"/>
  <c r="B4004" i="3"/>
  <c r="A4004" i="3"/>
  <c r="B4003" i="3"/>
  <c r="A4003" i="3"/>
  <c r="B4002" i="3"/>
  <c r="A4002" i="3"/>
  <c r="B4001" i="3"/>
  <c r="A4001" i="3"/>
  <c r="B4000" i="3"/>
  <c r="A4000" i="3"/>
  <c r="B3999" i="3"/>
  <c r="A3999" i="3"/>
  <c r="B3998" i="3"/>
  <c r="A3998" i="3"/>
  <c r="B3997" i="3"/>
  <c r="A3997" i="3"/>
  <c r="B3996" i="3"/>
  <c r="A3996" i="3"/>
  <c r="B3995" i="3"/>
  <c r="A3995" i="3"/>
  <c r="B3994" i="3"/>
  <c r="A3994" i="3"/>
  <c r="B3993" i="3"/>
  <c r="A3993" i="3"/>
  <c r="B3992" i="3"/>
  <c r="A3992" i="3"/>
  <c r="B3991" i="3"/>
  <c r="A3991" i="3"/>
  <c r="B3990" i="3"/>
  <c r="A3990" i="3"/>
  <c r="B3989" i="3"/>
  <c r="A3989" i="3"/>
  <c r="B3988" i="3"/>
  <c r="A3988" i="3"/>
  <c r="B3987" i="3"/>
  <c r="A3987" i="3"/>
  <c r="B3986" i="3"/>
  <c r="A3986" i="3"/>
  <c r="B3985" i="3"/>
  <c r="A3985" i="3"/>
  <c r="B3984" i="3"/>
  <c r="A3984" i="3"/>
  <c r="B3983" i="3"/>
  <c r="A3983" i="3"/>
  <c r="B3982" i="3"/>
  <c r="A3982" i="3"/>
  <c r="B3981" i="3"/>
  <c r="A3981" i="3"/>
  <c r="B3980" i="3"/>
  <c r="A3980" i="3"/>
  <c r="B3979" i="3"/>
  <c r="A3979" i="3"/>
  <c r="B3978" i="3"/>
  <c r="A3978" i="3"/>
  <c r="B3977" i="3"/>
  <c r="A3977" i="3"/>
  <c r="B3976" i="3"/>
  <c r="A3976" i="3"/>
  <c r="B3975" i="3"/>
  <c r="A3975" i="3"/>
  <c r="B3974" i="3"/>
  <c r="A3974" i="3"/>
  <c r="B3973" i="3"/>
  <c r="A3973" i="3"/>
  <c r="B3972" i="3"/>
  <c r="A3972" i="3"/>
  <c r="B3971" i="3"/>
  <c r="A3971" i="3"/>
  <c r="B3970" i="3"/>
  <c r="A3970" i="3"/>
  <c r="B3969" i="3"/>
  <c r="A3969" i="3"/>
  <c r="B3968" i="3"/>
  <c r="A3968" i="3"/>
  <c r="B3967" i="3"/>
  <c r="A3967" i="3"/>
  <c r="B3966" i="3"/>
  <c r="A3966" i="3"/>
  <c r="B3965" i="3"/>
  <c r="A3965" i="3"/>
  <c r="B3964" i="3"/>
  <c r="A3964" i="3"/>
  <c r="B3963" i="3"/>
  <c r="A3963" i="3"/>
  <c r="B3962" i="3"/>
  <c r="A3962" i="3"/>
  <c r="B3961" i="3"/>
  <c r="A3961" i="3"/>
  <c r="B3960" i="3"/>
  <c r="A3960" i="3"/>
  <c r="B3959" i="3"/>
  <c r="A3959" i="3"/>
  <c r="B3958" i="3"/>
  <c r="A3958" i="3"/>
  <c r="B3957" i="3"/>
  <c r="A3957" i="3"/>
  <c r="B3956" i="3"/>
  <c r="A3956" i="3"/>
  <c r="B3955" i="3"/>
  <c r="A3955" i="3"/>
  <c r="B3954" i="3"/>
  <c r="A3954" i="3"/>
  <c r="B3953" i="3"/>
  <c r="A3953" i="3"/>
  <c r="B3952" i="3"/>
  <c r="A3952" i="3"/>
  <c r="B3951" i="3"/>
  <c r="A3951" i="3"/>
  <c r="B3950" i="3"/>
  <c r="A3950" i="3"/>
  <c r="B3949" i="3"/>
  <c r="A3949" i="3"/>
  <c r="B3948" i="3"/>
  <c r="A3948" i="3"/>
  <c r="B3947" i="3"/>
  <c r="A3947" i="3"/>
  <c r="B3946" i="3"/>
  <c r="A3946" i="3"/>
  <c r="B3945" i="3"/>
  <c r="A3945" i="3"/>
  <c r="B3944" i="3"/>
  <c r="A3944" i="3"/>
  <c r="B3943" i="3"/>
  <c r="A3943" i="3"/>
  <c r="B3942" i="3"/>
  <c r="A3942" i="3"/>
  <c r="B3941" i="3"/>
  <c r="A3941" i="3"/>
  <c r="B3940" i="3"/>
  <c r="A3940" i="3"/>
  <c r="B3939" i="3"/>
  <c r="A3939" i="3"/>
  <c r="B3938" i="3"/>
  <c r="A3938" i="3"/>
  <c r="B3937" i="3"/>
  <c r="A3937" i="3"/>
  <c r="B3936" i="3"/>
  <c r="A3936" i="3"/>
  <c r="B3935" i="3"/>
  <c r="A3935" i="3"/>
  <c r="B3934" i="3"/>
  <c r="A3934" i="3"/>
  <c r="B3933" i="3"/>
  <c r="A3933" i="3"/>
  <c r="B3932" i="3"/>
  <c r="A3932" i="3"/>
  <c r="B3931" i="3"/>
  <c r="A3931" i="3"/>
  <c r="B3930" i="3"/>
  <c r="A3930" i="3"/>
  <c r="B3929" i="3"/>
  <c r="A3929" i="3"/>
  <c r="B3928" i="3"/>
  <c r="A3928" i="3"/>
  <c r="B3927" i="3"/>
  <c r="A3927" i="3"/>
  <c r="B3926" i="3"/>
  <c r="A3926" i="3"/>
  <c r="B3925" i="3"/>
  <c r="A3925" i="3"/>
  <c r="B3924" i="3"/>
  <c r="A3924" i="3"/>
  <c r="B3923" i="3"/>
  <c r="A3923" i="3"/>
  <c r="B3922" i="3"/>
  <c r="A3922" i="3"/>
  <c r="B3921" i="3"/>
  <c r="A3921" i="3"/>
  <c r="B3920" i="3"/>
  <c r="A3920" i="3"/>
  <c r="B3919" i="3"/>
  <c r="A3919" i="3"/>
  <c r="B3918" i="3"/>
  <c r="A3918" i="3"/>
  <c r="B3917" i="3"/>
  <c r="A3917" i="3"/>
  <c r="B3916" i="3"/>
  <c r="A3916" i="3"/>
  <c r="B3915" i="3"/>
  <c r="A3915" i="3"/>
  <c r="B3914" i="3"/>
  <c r="A3914" i="3"/>
  <c r="B3913" i="3"/>
  <c r="A3913" i="3"/>
  <c r="B3912" i="3"/>
  <c r="A3912" i="3"/>
  <c r="B3911" i="3"/>
  <c r="A3911" i="3"/>
  <c r="B3910" i="3"/>
  <c r="A3910" i="3"/>
  <c r="B3909" i="3"/>
  <c r="A3909" i="3"/>
  <c r="B3908" i="3"/>
  <c r="A3908" i="3"/>
  <c r="B3907" i="3"/>
  <c r="A3907" i="3"/>
  <c r="B3906" i="3"/>
  <c r="A3906" i="3"/>
  <c r="B3905" i="3"/>
  <c r="A3905" i="3"/>
  <c r="B3904" i="3"/>
  <c r="A3904" i="3"/>
  <c r="B3903" i="3"/>
  <c r="A3903" i="3"/>
  <c r="B3902" i="3"/>
  <c r="A3902" i="3"/>
  <c r="B3901" i="3"/>
  <c r="A3901" i="3"/>
  <c r="B3900" i="3"/>
  <c r="A3900" i="3"/>
  <c r="B3899" i="3"/>
  <c r="A3899" i="3"/>
  <c r="B3898" i="3"/>
  <c r="A3898" i="3"/>
  <c r="B3897" i="3"/>
  <c r="A3897" i="3"/>
  <c r="B3896" i="3"/>
  <c r="A3896" i="3"/>
  <c r="B3895" i="3"/>
  <c r="A3895" i="3"/>
  <c r="B3894" i="3"/>
  <c r="A3894" i="3"/>
  <c r="B3893" i="3"/>
  <c r="A3893" i="3"/>
  <c r="B3892" i="3"/>
  <c r="A3892" i="3"/>
  <c r="B3891" i="3"/>
  <c r="A3891" i="3"/>
  <c r="B3890" i="3"/>
  <c r="A3890" i="3"/>
  <c r="B3889" i="3"/>
  <c r="A3889" i="3"/>
  <c r="B3888" i="3"/>
  <c r="A3888" i="3"/>
  <c r="B3887" i="3"/>
  <c r="A3887" i="3"/>
  <c r="B3886" i="3"/>
  <c r="A3886" i="3"/>
  <c r="B3885" i="3"/>
  <c r="A3885" i="3"/>
  <c r="B3884" i="3"/>
  <c r="A3884" i="3"/>
  <c r="B3883" i="3"/>
  <c r="A3883" i="3"/>
  <c r="B3882" i="3"/>
  <c r="A3882" i="3"/>
  <c r="B3881" i="3"/>
  <c r="A3881" i="3"/>
  <c r="B3880" i="3"/>
  <c r="A3880" i="3"/>
  <c r="B3879" i="3"/>
  <c r="A3879" i="3"/>
  <c r="B3878" i="3"/>
  <c r="A3878" i="3"/>
  <c r="B3877" i="3"/>
  <c r="A3877" i="3"/>
  <c r="B3876" i="3"/>
  <c r="A3876" i="3"/>
  <c r="B3875" i="3"/>
  <c r="A3875" i="3"/>
  <c r="B3874" i="3"/>
  <c r="A3874" i="3"/>
  <c r="B3873" i="3"/>
  <c r="A3873" i="3"/>
  <c r="B3872" i="3"/>
  <c r="A3872" i="3"/>
  <c r="B3871" i="3"/>
  <c r="A3871" i="3"/>
  <c r="B3870" i="3"/>
  <c r="A3870" i="3"/>
  <c r="B3869" i="3"/>
  <c r="A3869" i="3"/>
  <c r="B3868" i="3"/>
  <c r="A3868" i="3"/>
  <c r="B3867" i="3"/>
  <c r="A3867" i="3"/>
  <c r="B3866" i="3"/>
  <c r="A3866" i="3"/>
  <c r="B3865" i="3"/>
  <c r="A3865" i="3"/>
  <c r="B3864" i="3"/>
  <c r="A3864" i="3"/>
  <c r="B3863" i="3"/>
  <c r="A3863" i="3"/>
  <c r="B3862" i="3"/>
  <c r="A3862" i="3"/>
  <c r="B3861" i="3"/>
  <c r="A3861" i="3"/>
  <c r="B3860" i="3"/>
  <c r="A3860" i="3"/>
  <c r="B3859" i="3"/>
  <c r="A3859" i="3"/>
  <c r="B3858" i="3"/>
  <c r="A3858" i="3"/>
  <c r="B3857" i="3"/>
  <c r="A3857" i="3"/>
  <c r="B3856" i="3"/>
  <c r="A3856" i="3"/>
  <c r="B3855" i="3"/>
  <c r="A3855" i="3"/>
  <c r="B3854" i="3"/>
  <c r="A3854" i="3"/>
  <c r="B3853" i="3"/>
  <c r="A3853" i="3"/>
  <c r="B3852" i="3"/>
  <c r="A3852" i="3"/>
  <c r="B3851" i="3"/>
  <c r="A3851" i="3"/>
  <c r="B3850" i="3"/>
  <c r="A3850" i="3"/>
  <c r="B3849" i="3"/>
  <c r="A3849" i="3"/>
  <c r="B3848" i="3"/>
  <c r="A3848" i="3"/>
  <c r="B3847" i="3"/>
  <c r="A3847" i="3"/>
  <c r="B3846" i="3"/>
  <c r="A3846" i="3"/>
  <c r="B3845" i="3"/>
  <c r="A3845" i="3"/>
  <c r="B3844" i="3"/>
  <c r="A3844" i="3"/>
  <c r="B3843" i="3"/>
  <c r="A3843" i="3"/>
  <c r="B3842" i="3"/>
  <c r="A3842" i="3"/>
  <c r="B3841" i="3"/>
  <c r="A3841" i="3"/>
  <c r="B3840" i="3"/>
  <c r="A3840" i="3"/>
  <c r="B3839" i="3"/>
  <c r="A3839" i="3"/>
  <c r="B3838" i="3"/>
  <c r="A3838" i="3"/>
  <c r="B3837" i="3"/>
  <c r="A3837" i="3"/>
  <c r="B3836" i="3"/>
  <c r="A3836" i="3"/>
  <c r="B3835" i="3"/>
  <c r="A3835" i="3"/>
  <c r="B3834" i="3"/>
  <c r="A3834" i="3"/>
  <c r="B3833" i="3"/>
  <c r="A3833" i="3"/>
  <c r="B3832" i="3"/>
  <c r="A3832" i="3"/>
  <c r="B3831" i="3"/>
  <c r="A3831" i="3"/>
  <c r="B3830" i="3"/>
  <c r="A3830" i="3"/>
  <c r="B3829" i="3"/>
  <c r="A3829" i="3"/>
  <c r="B3828" i="3"/>
  <c r="A3828" i="3"/>
  <c r="B3827" i="3"/>
  <c r="A3827" i="3"/>
  <c r="B3826" i="3"/>
  <c r="A3826" i="3"/>
  <c r="B3825" i="3"/>
  <c r="A3825" i="3"/>
  <c r="B3824" i="3"/>
  <c r="A3824" i="3"/>
  <c r="B3823" i="3"/>
  <c r="A3823" i="3"/>
  <c r="B3822" i="3"/>
  <c r="A3822" i="3"/>
  <c r="B3821" i="3"/>
  <c r="A3821" i="3"/>
  <c r="B3820" i="3"/>
  <c r="A3820" i="3"/>
  <c r="B3819" i="3"/>
  <c r="A3819" i="3"/>
  <c r="B3818" i="3"/>
  <c r="A3818" i="3"/>
  <c r="B3817" i="3"/>
  <c r="A3817" i="3"/>
  <c r="B3816" i="3"/>
  <c r="A3816" i="3"/>
  <c r="B3815" i="3"/>
  <c r="A3815" i="3"/>
  <c r="B3814" i="3"/>
  <c r="A3814" i="3"/>
  <c r="B3813" i="3"/>
  <c r="A3813" i="3"/>
  <c r="B3812" i="3"/>
  <c r="A3812" i="3"/>
  <c r="B3811" i="3"/>
  <c r="A3811" i="3"/>
  <c r="B3810" i="3"/>
  <c r="A3810" i="3"/>
  <c r="B3809" i="3"/>
  <c r="A3809" i="3"/>
  <c r="B3808" i="3"/>
  <c r="A3808" i="3"/>
  <c r="B3807" i="3"/>
  <c r="A3807" i="3"/>
  <c r="B3806" i="3"/>
  <c r="A3806" i="3"/>
  <c r="B3805" i="3"/>
  <c r="A3805" i="3"/>
  <c r="B3804" i="3"/>
  <c r="A3804" i="3"/>
  <c r="B3803" i="3"/>
  <c r="A3803" i="3"/>
  <c r="B3802" i="3"/>
  <c r="A3802" i="3"/>
  <c r="B3801" i="3"/>
  <c r="A3801" i="3"/>
  <c r="B3800" i="3"/>
  <c r="A3800" i="3"/>
  <c r="B3799" i="3"/>
  <c r="A3799" i="3"/>
  <c r="B3798" i="3"/>
  <c r="A3798" i="3"/>
  <c r="B3797" i="3"/>
  <c r="A3797" i="3"/>
  <c r="B3796" i="3"/>
  <c r="A3796" i="3"/>
  <c r="B3795" i="3"/>
  <c r="A3795" i="3"/>
  <c r="B3794" i="3"/>
  <c r="A3794" i="3"/>
  <c r="B3793" i="3"/>
  <c r="A3793" i="3"/>
  <c r="B3792" i="3"/>
  <c r="A3792" i="3"/>
  <c r="B3791" i="3"/>
  <c r="A3791" i="3"/>
  <c r="B3790" i="3"/>
  <c r="A3790" i="3"/>
  <c r="B3789" i="3"/>
  <c r="A3789" i="3"/>
  <c r="B3788" i="3"/>
  <c r="A3788" i="3"/>
  <c r="B3787" i="3"/>
  <c r="A3787" i="3"/>
  <c r="B3786" i="3"/>
  <c r="A3786" i="3"/>
  <c r="B3785" i="3"/>
  <c r="A3785" i="3"/>
  <c r="B3784" i="3"/>
  <c r="A3784" i="3"/>
  <c r="B3783" i="3"/>
  <c r="A3783" i="3"/>
  <c r="B3782" i="3"/>
  <c r="A3782" i="3"/>
  <c r="B3781" i="3"/>
  <c r="A3781" i="3"/>
  <c r="B3780" i="3"/>
  <c r="A3780" i="3"/>
  <c r="B3779" i="3"/>
  <c r="A3779" i="3"/>
  <c r="B3778" i="3"/>
  <c r="A3778" i="3"/>
  <c r="B3777" i="3"/>
  <c r="A3777" i="3"/>
  <c r="B3776" i="3"/>
  <c r="A3776" i="3"/>
  <c r="B3775" i="3"/>
  <c r="A3775" i="3"/>
  <c r="B3774" i="3"/>
  <c r="A3774" i="3"/>
  <c r="B3773" i="3"/>
  <c r="A3773" i="3"/>
  <c r="B3772" i="3"/>
  <c r="A3772" i="3"/>
  <c r="B3771" i="3"/>
  <c r="A3771" i="3"/>
  <c r="B3770" i="3"/>
  <c r="A3770" i="3"/>
  <c r="B3769" i="3"/>
  <c r="A3769" i="3"/>
  <c r="B3768" i="3"/>
  <c r="A3768" i="3"/>
  <c r="B3767" i="3"/>
  <c r="A3767" i="3"/>
  <c r="B3766" i="3"/>
  <c r="A3766" i="3"/>
  <c r="B3765" i="3"/>
  <c r="A3765" i="3"/>
  <c r="B3764" i="3"/>
  <c r="A3764" i="3"/>
  <c r="B3763" i="3"/>
  <c r="A3763" i="3"/>
  <c r="B3762" i="3"/>
  <c r="A3762" i="3"/>
  <c r="B3761" i="3"/>
  <c r="A3761" i="3"/>
  <c r="B3760" i="3"/>
  <c r="A3760" i="3"/>
  <c r="B3759" i="3"/>
  <c r="A3759" i="3"/>
  <c r="B3758" i="3"/>
  <c r="A3758" i="3"/>
  <c r="B3757" i="3"/>
  <c r="A3757" i="3"/>
  <c r="B3756" i="3"/>
  <c r="A3756" i="3"/>
  <c r="B3755" i="3"/>
  <c r="A3755" i="3"/>
  <c r="B3754" i="3"/>
  <c r="A3754" i="3"/>
  <c r="B3753" i="3"/>
  <c r="A3753" i="3"/>
  <c r="B3752" i="3"/>
  <c r="A3752" i="3"/>
  <c r="B3751" i="3"/>
  <c r="A3751" i="3"/>
  <c r="B3750" i="3"/>
  <c r="A3750" i="3"/>
  <c r="B3749" i="3"/>
  <c r="A3749" i="3"/>
  <c r="B3748" i="3"/>
  <c r="A3748" i="3"/>
  <c r="B3747" i="3"/>
  <c r="A3747" i="3"/>
  <c r="B3746" i="3"/>
  <c r="A3746" i="3"/>
  <c r="B3745" i="3"/>
  <c r="A3745" i="3"/>
  <c r="B3744" i="3"/>
  <c r="A3744" i="3"/>
  <c r="B3743" i="3"/>
  <c r="A3743" i="3"/>
  <c r="B3742" i="3"/>
  <c r="A3742" i="3"/>
  <c r="B3741" i="3"/>
  <c r="A3741" i="3"/>
  <c r="B3740" i="3"/>
  <c r="A3740" i="3"/>
  <c r="B3739" i="3"/>
  <c r="A3739" i="3"/>
  <c r="B3738" i="3"/>
  <c r="A3738" i="3"/>
  <c r="B3737" i="3"/>
  <c r="A3737" i="3"/>
  <c r="B3736" i="3"/>
  <c r="A3736" i="3"/>
  <c r="B3735" i="3"/>
  <c r="A3735" i="3"/>
  <c r="B3734" i="3"/>
  <c r="A3734" i="3"/>
  <c r="B3733" i="3"/>
  <c r="A3733" i="3"/>
  <c r="B3732" i="3"/>
  <c r="A3732" i="3"/>
  <c r="B3731" i="3"/>
  <c r="A3731" i="3"/>
  <c r="B3730" i="3"/>
  <c r="A3730" i="3"/>
  <c r="B3729" i="3"/>
  <c r="A3729" i="3"/>
  <c r="B3728" i="3"/>
  <c r="A3728" i="3"/>
  <c r="B3727" i="3"/>
  <c r="A3727" i="3"/>
  <c r="B3726" i="3"/>
  <c r="A3726" i="3"/>
  <c r="B3725" i="3"/>
  <c r="A3725" i="3"/>
  <c r="B3724" i="3"/>
  <c r="A3724" i="3"/>
  <c r="B3723" i="3"/>
  <c r="A3723" i="3"/>
  <c r="B3722" i="3"/>
  <c r="A3722" i="3"/>
  <c r="B3721" i="3"/>
  <c r="A3721" i="3"/>
  <c r="B3720" i="3"/>
  <c r="A3720" i="3"/>
  <c r="B3719" i="3"/>
  <c r="A3719" i="3"/>
  <c r="B3718" i="3"/>
  <c r="A3718" i="3"/>
  <c r="B3717" i="3"/>
  <c r="A3717" i="3"/>
  <c r="B3716" i="3"/>
  <c r="A3716" i="3"/>
  <c r="B3715" i="3"/>
  <c r="A3715" i="3"/>
  <c r="B3714" i="3"/>
  <c r="A3714" i="3"/>
  <c r="B3713" i="3"/>
  <c r="A3713" i="3"/>
  <c r="B3712" i="3"/>
  <c r="A3712" i="3"/>
  <c r="B3711" i="3"/>
  <c r="A3711" i="3"/>
  <c r="B3710" i="3"/>
  <c r="A3710" i="3"/>
  <c r="B3709" i="3"/>
  <c r="A3709" i="3"/>
  <c r="B3708" i="3"/>
  <c r="A3708" i="3"/>
  <c r="B3707" i="3"/>
  <c r="A3707" i="3"/>
  <c r="B3706" i="3"/>
  <c r="A3706" i="3"/>
  <c r="B3705" i="3"/>
  <c r="A3705" i="3"/>
  <c r="B3704" i="3"/>
  <c r="A3704" i="3"/>
  <c r="B3703" i="3"/>
  <c r="A3703" i="3"/>
  <c r="B3702" i="3"/>
  <c r="A3702" i="3"/>
  <c r="B3701" i="3"/>
  <c r="A3701" i="3"/>
  <c r="B3700" i="3"/>
  <c r="A3700" i="3"/>
  <c r="B3699" i="3"/>
  <c r="A3699" i="3"/>
  <c r="B3698" i="3"/>
  <c r="A3698" i="3"/>
  <c r="B3697" i="3"/>
  <c r="A3697" i="3"/>
  <c r="B3696" i="3"/>
  <c r="A3696" i="3"/>
  <c r="B3695" i="3"/>
  <c r="A3695" i="3"/>
  <c r="B3694" i="3"/>
  <c r="A3694" i="3"/>
  <c r="B3693" i="3"/>
  <c r="A3693" i="3"/>
  <c r="B3692" i="3"/>
  <c r="A3692" i="3"/>
  <c r="B3691" i="3"/>
  <c r="A3691" i="3"/>
  <c r="B3690" i="3"/>
  <c r="A3690" i="3"/>
  <c r="B3689" i="3"/>
  <c r="A3689" i="3"/>
  <c r="B3688" i="3"/>
  <c r="A3688" i="3"/>
  <c r="B3687" i="3"/>
  <c r="A3687" i="3"/>
  <c r="B3686" i="3"/>
  <c r="A3686" i="3"/>
  <c r="B3685" i="3"/>
  <c r="A3685" i="3"/>
  <c r="B3684" i="3"/>
  <c r="A3684" i="3"/>
  <c r="B3683" i="3"/>
  <c r="A3683" i="3"/>
  <c r="B3682" i="3"/>
  <c r="A3682" i="3"/>
  <c r="B3681" i="3"/>
  <c r="A3681" i="3"/>
  <c r="B3680" i="3"/>
  <c r="A3680" i="3"/>
  <c r="B3679" i="3"/>
  <c r="A3679" i="3"/>
  <c r="B3678" i="3"/>
  <c r="A3678" i="3"/>
  <c r="B3677" i="3"/>
  <c r="A3677" i="3"/>
  <c r="B3676" i="3"/>
  <c r="A3676" i="3"/>
  <c r="B3675" i="3"/>
  <c r="A3675" i="3"/>
  <c r="B3674" i="3"/>
  <c r="A3674" i="3"/>
  <c r="B3673" i="3"/>
  <c r="A3673" i="3"/>
  <c r="B3672" i="3"/>
  <c r="A3672" i="3"/>
  <c r="B3671" i="3"/>
  <c r="A3671" i="3"/>
  <c r="B3670" i="3"/>
  <c r="A3670" i="3"/>
  <c r="B3669" i="3"/>
  <c r="A3669" i="3"/>
  <c r="B3668" i="3"/>
  <c r="A3668" i="3"/>
  <c r="B3667" i="3"/>
  <c r="A3667" i="3"/>
  <c r="B3666" i="3"/>
  <c r="A3666" i="3"/>
  <c r="B3665" i="3"/>
  <c r="A3665" i="3"/>
  <c r="B3664" i="3"/>
  <c r="A3664" i="3"/>
  <c r="B3663" i="3"/>
  <c r="A3663" i="3"/>
  <c r="B3662" i="3"/>
  <c r="A3662" i="3"/>
  <c r="B3661" i="3"/>
  <c r="A3661" i="3"/>
  <c r="B3660" i="3"/>
  <c r="A3660" i="3"/>
  <c r="B3659" i="3"/>
  <c r="A3659" i="3"/>
  <c r="B3658" i="3"/>
  <c r="A3658" i="3"/>
  <c r="B3657" i="3"/>
  <c r="A3657" i="3"/>
  <c r="B3656" i="3"/>
  <c r="A3656" i="3"/>
  <c r="B3655" i="3"/>
  <c r="A3655" i="3"/>
  <c r="B3654" i="3"/>
  <c r="A3654" i="3"/>
  <c r="B3653" i="3"/>
  <c r="A3653" i="3"/>
  <c r="B3652" i="3"/>
  <c r="A3652" i="3"/>
  <c r="B3651" i="3"/>
  <c r="A3651" i="3"/>
  <c r="B3650" i="3"/>
  <c r="A3650" i="3"/>
  <c r="B3649" i="3"/>
  <c r="A3649" i="3"/>
  <c r="B3648" i="3"/>
  <c r="A3648" i="3"/>
  <c r="B3647" i="3"/>
  <c r="A3647" i="3"/>
  <c r="B3646" i="3"/>
  <c r="A3646" i="3"/>
  <c r="B3645" i="3"/>
  <c r="A3645" i="3"/>
  <c r="B3644" i="3"/>
  <c r="A3644" i="3"/>
  <c r="B3643" i="3"/>
  <c r="A3643" i="3"/>
  <c r="B3642" i="3"/>
  <c r="A3642" i="3"/>
  <c r="B3641" i="3"/>
  <c r="A3641" i="3"/>
  <c r="B3640" i="3"/>
  <c r="A3640" i="3"/>
  <c r="B3639" i="3"/>
  <c r="A3639" i="3"/>
  <c r="B3638" i="3"/>
  <c r="A3638" i="3"/>
  <c r="B3637" i="3"/>
  <c r="A3637" i="3"/>
  <c r="B3636" i="3"/>
  <c r="A3636" i="3"/>
  <c r="B3635" i="3"/>
  <c r="A3635" i="3"/>
  <c r="B3634" i="3"/>
  <c r="A3634" i="3"/>
  <c r="B3633" i="3"/>
  <c r="A3633" i="3"/>
  <c r="B3632" i="3"/>
  <c r="A3632" i="3"/>
  <c r="B3631" i="3"/>
  <c r="A3631" i="3"/>
  <c r="B3630" i="3"/>
  <c r="A3630" i="3"/>
  <c r="B3629" i="3"/>
  <c r="A3629" i="3"/>
  <c r="B3628" i="3"/>
  <c r="A3628" i="3"/>
  <c r="B3627" i="3"/>
  <c r="A3627" i="3"/>
  <c r="B3626" i="3"/>
  <c r="A3626" i="3"/>
  <c r="B3625" i="3"/>
  <c r="A3625" i="3"/>
  <c r="B3624" i="3"/>
  <c r="A3624" i="3"/>
  <c r="B3623" i="3"/>
  <c r="A3623" i="3"/>
  <c r="B3622" i="3"/>
  <c r="A3622" i="3"/>
  <c r="B3621" i="3"/>
  <c r="A3621" i="3"/>
  <c r="B3620" i="3"/>
  <c r="A3620" i="3"/>
  <c r="B3619" i="3"/>
  <c r="A3619" i="3"/>
  <c r="B3618" i="3"/>
  <c r="A3618" i="3"/>
  <c r="B3617" i="3"/>
  <c r="A3617" i="3"/>
  <c r="B3616" i="3"/>
  <c r="A3616" i="3"/>
  <c r="B3615" i="3"/>
  <c r="A3615" i="3"/>
  <c r="B3614" i="3"/>
  <c r="A3614" i="3"/>
  <c r="B3613" i="3"/>
  <c r="A3613" i="3"/>
  <c r="B3612" i="3"/>
  <c r="A3612" i="3"/>
  <c r="B3611" i="3"/>
  <c r="A3611" i="3"/>
  <c r="B3610" i="3"/>
  <c r="A3610" i="3"/>
  <c r="B3609" i="3"/>
  <c r="A3609" i="3"/>
  <c r="B3608" i="3"/>
  <c r="A3608" i="3"/>
  <c r="B3607" i="3"/>
  <c r="A3607" i="3"/>
  <c r="B3606" i="3"/>
  <c r="A3606" i="3"/>
  <c r="B3605" i="3"/>
  <c r="A3605" i="3"/>
  <c r="B3604" i="3"/>
  <c r="A3604" i="3"/>
  <c r="B3603" i="3"/>
  <c r="A3603" i="3"/>
  <c r="B3602" i="3"/>
  <c r="A3602" i="3"/>
  <c r="B3601" i="3"/>
  <c r="A3601" i="3"/>
  <c r="B3600" i="3"/>
  <c r="A3600" i="3"/>
  <c r="B3599" i="3"/>
  <c r="A3599" i="3"/>
  <c r="B3598" i="3"/>
  <c r="A3598" i="3"/>
  <c r="B3597" i="3"/>
  <c r="A3597" i="3"/>
  <c r="B3596" i="3"/>
  <c r="A3596" i="3"/>
  <c r="B3595" i="3"/>
  <c r="A3595" i="3"/>
  <c r="B3594" i="3"/>
  <c r="A3594" i="3"/>
  <c r="B3593" i="3"/>
  <c r="A3593" i="3"/>
  <c r="B3592" i="3"/>
  <c r="A3592" i="3"/>
  <c r="B3591" i="3"/>
  <c r="A3591" i="3"/>
  <c r="B3590" i="3"/>
  <c r="A3590" i="3"/>
  <c r="B3589" i="3"/>
  <c r="A3589" i="3"/>
  <c r="B3588" i="3"/>
  <c r="A3588" i="3"/>
  <c r="B3587" i="3"/>
  <c r="A3587" i="3"/>
  <c r="B3586" i="3"/>
  <c r="A3586" i="3"/>
  <c r="B3585" i="3"/>
  <c r="A3585" i="3"/>
  <c r="B3584" i="3"/>
  <c r="A3584" i="3"/>
  <c r="B3583" i="3"/>
  <c r="A3583" i="3"/>
  <c r="B3582" i="3"/>
  <c r="A3582" i="3"/>
  <c r="B3581" i="3"/>
  <c r="A3581" i="3"/>
  <c r="B3580" i="3"/>
  <c r="A3580" i="3"/>
  <c r="B3579" i="3"/>
  <c r="A3579" i="3"/>
  <c r="B3578" i="3"/>
  <c r="A3578" i="3"/>
  <c r="B3577" i="3"/>
  <c r="A3577" i="3"/>
  <c r="B3576" i="3"/>
  <c r="A3576" i="3"/>
  <c r="B3575" i="3"/>
  <c r="A3575" i="3"/>
  <c r="B3574" i="3"/>
  <c r="A3574" i="3"/>
  <c r="B3573" i="3"/>
  <c r="A3573" i="3"/>
  <c r="B3572" i="3"/>
  <c r="A3572" i="3"/>
  <c r="B3571" i="3"/>
  <c r="A3571" i="3"/>
  <c r="B3570" i="3"/>
  <c r="A3570" i="3"/>
  <c r="B3569" i="3"/>
  <c r="A3569" i="3"/>
  <c r="B3568" i="3"/>
  <c r="A3568" i="3"/>
  <c r="B3567" i="3"/>
  <c r="A3567" i="3"/>
  <c r="B3566" i="3"/>
  <c r="A3566" i="3"/>
  <c r="B3565" i="3"/>
  <c r="A3565" i="3"/>
  <c r="B3564" i="3"/>
  <c r="A3564" i="3"/>
  <c r="B3563" i="3"/>
  <c r="A3563" i="3"/>
  <c r="B3562" i="3"/>
  <c r="A3562" i="3"/>
  <c r="B3561" i="3"/>
  <c r="A3561" i="3"/>
  <c r="B3560" i="3"/>
  <c r="A3560" i="3"/>
  <c r="B3559" i="3"/>
  <c r="A3559" i="3"/>
  <c r="B3558" i="3"/>
  <c r="A3558" i="3"/>
  <c r="B3557" i="3"/>
  <c r="A3557" i="3"/>
  <c r="B3556" i="3"/>
  <c r="A3556" i="3"/>
  <c r="B3555" i="3"/>
  <c r="A3555" i="3"/>
  <c r="B3554" i="3"/>
  <c r="A3554" i="3"/>
  <c r="B3553" i="3"/>
  <c r="A3553" i="3"/>
  <c r="B3552" i="3"/>
  <c r="A3552" i="3"/>
  <c r="B3551" i="3"/>
  <c r="A3551" i="3"/>
  <c r="B3550" i="3"/>
  <c r="A3550" i="3"/>
  <c r="B3549" i="3"/>
  <c r="A3549" i="3"/>
  <c r="B3548" i="3"/>
  <c r="A3548" i="3"/>
  <c r="B3547" i="3"/>
  <c r="A3547" i="3"/>
  <c r="B3546" i="3"/>
  <c r="A3546" i="3"/>
  <c r="B3545" i="3"/>
  <c r="A3545" i="3"/>
  <c r="B3544" i="3"/>
  <c r="A3544" i="3"/>
  <c r="B3543" i="3"/>
  <c r="A3543" i="3"/>
  <c r="B3542" i="3"/>
  <c r="A3542" i="3"/>
  <c r="B3541" i="3"/>
  <c r="A3541" i="3"/>
  <c r="B3540" i="3"/>
  <c r="A3540" i="3"/>
  <c r="B3539" i="3"/>
  <c r="A3539" i="3"/>
  <c r="B3538" i="3"/>
  <c r="A3538" i="3"/>
  <c r="B3537" i="3"/>
  <c r="A3537" i="3"/>
  <c r="B3536" i="3"/>
  <c r="A3536" i="3"/>
  <c r="B3535" i="3"/>
  <c r="A3535" i="3"/>
  <c r="B3534" i="3"/>
  <c r="A3534" i="3"/>
  <c r="B3533" i="3"/>
  <c r="A3533" i="3"/>
  <c r="B3532" i="3"/>
  <c r="A3532" i="3"/>
  <c r="B3531" i="3"/>
  <c r="A3531" i="3"/>
  <c r="B3530" i="3"/>
  <c r="A3530" i="3"/>
  <c r="B3529" i="3"/>
  <c r="A3529" i="3"/>
  <c r="B3528" i="3"/>
  <c r="A3528" i="3"/>
  <c r="B3527" i="3"/>
  <c r="A3527" i="3"/>
  <c r="B3526" i="3"/>
  <c r="A3526" i="3"/>
  <c r="B3525" i="3"/>
  <c r="A3525" i="3"/>
  <c r="B3524" i="3"/>
  <c r="A3524" i="3"/>
  <c r="B3523" i="3"/>
  <c r="A3523" i="3"/>
  <c r="B3522" i="3"/>
  <c r="A3522" i="3"/>
  <c r="B3521" i="3"/>
  <c r="A3521" i="3"/>
  <c r="B3520" i="3"/>
  <c r="A3520" i="3"/>
  <c r="B3519" i="3"/>
  <c r="A3519" i="3"/>
  <c r="B3518" i="3"/>
  <c r="A3518" i="3"/>
  <c r="B3517" i="3"/>
  <c r="A3517" i="3"/>
  <c r="B3516" i="3"/>
  <c r="A3516" i="3"/>
  <c r="B3515" i="3"/>
  <c r="A3515" i="3"/>
  <c r="B3514" i="3"/>
  <c r="A3514" i="3"/>
  <c r="B3513" i="3"/>
  <c r="A3513" i="3"/>
  <c r="B3512" i="3"/>
  <c r="A3512" i="3"/>
  <c r="B3511" i="3"/>
  <c r="A3511" i="3"/>
  <c r="B3510" i="3"/>
  <c r="A3510" i="3"/>
  <c r="B3509" i="3"/>
  <c r="A3509" i="3"/>
  <c r="B3508" i="3"/>
  <c r="A3508" i="3"/>
  <c r="B3507" i="3"/>
  <c r="A3507" i="3"/>
  <c r="B3506" i="3"/>
  <c r="A3506" i="3"/>
  <c r="B3505" i="3"/>
  <c r="A3505" i="3"/>
  <c r="B3504" i="3"/>
  <c r="A3504" i="3"/>
  <c r="B3503" i="3"/>
  <c r="A3503" i="3"/>
  <c r="B3502" i="3"/>
  <c r="A3502" i="3"/>
  <c r="B3501" i="3"/>
  <c r="A3501" i="3"/>
  <c r="B3500" i="3"/>
  <c r="A3500" i="3"/>
  <c r="B3499" i="3"/>
  <c r="A3499" i="3"/>
  <c r="B3498" i="3"/>
  <c r="A3498" i="3"/>
  <c r="B3497" i="3"/>
  <c r="A3497" i="3"/>
  <c r="B3496" i="3"/>
  <c r="A3496" i="3"/>
  <c r="B3495" i="3"/>
  <c r="A3495" i="3"/>
  <c r="B3494" i="3"/>
  <c r="A3494" i="3"/>
  <c r="B3493" i="3"/>
  <c r="A3493" i="3"/>
  <c r="B3492" i="3"/>
  <c r="A3492" i="3"/>
  <c r="B3491" i="3"/>
  <c r="A3491" i="3"/>
  <c r="B3490" i="3"/>
  <c r="A3490" i="3"/>
  <c r="B3489" i="3"/>
  <c r="A3489" i="3"/>
  <c r="B3488" i="3"/>
  <c r="A3488" i="3"/>
  <c r="B3487" i="3"/>
  <c r="A3487" i="3"/>
  <c r="B3486" i="3"/>
  <c r="A3486" i="3"/>
  <c r="B3485" i="3"/>
  <c r="A3485" i="3"/>
  <c r="B3484" i="3"/>
  <c r="A3484" i="3"/>
  <c r="B3483" i="3"/>
  <c r="A3483" i="3"/>
  <c r="B3482" i="3"/>
  <c r="A3482" i="3"/>
  <c r="B3481" i="3"/>
  <c r="A3481" i="3"/>
  <c r="B3480" i="3"/>
  <c r="A3480" i="3"/>
  <c r="B3479" i="3"/>
  <c r="A3479" i="3"/>
  <c r="B3478" i="3"/>
  <c r="A3478" i="3"/>
  <c r="B3477" i="3"/>
  <c r="A3477" i="3"/>
  <c r="B3476" i="3"/>
  <c r="A3476" i="3"/>
  <c r="B3475" i="3"/>
  <c r="A3475" i="3"/>
  <c r="B3474" i="3"/>
  <c r="A3474" i="3"/>
  <c r="B3473" i="3"/>
  <c r="A3473" i="3"/>
  <c r="B3472" i="3"/>
  <c r="A3472" i="3"/>
  <c r="B3471" i="3"/>
  <c r="A3471" i="3"/>
  <c r="B3470" i="3"/>
  <c r="A3470" i="3"/>
  <c r="B3469" i="3"/>
  <c r="A3469" i="3"/>
  <c r="B3468" i="3"/>
  <c r="A3468" i="3"/>
  <c r="B3467" i="3"/>
  <c r="A3467" i="3"/>
  <c r="B3466" i="3"/>
  <c r="A3466" i="3"/>
  <c r="B3465" i="3"/>
  <c r="A3465" i="3"/>
  <c r="B3464" i="3"/>
  <c r="A3464" i="3"/>
  <c r="B3463" i="3"/>
  <c r="A3463" i="3"/>
  <c r="B3462" i="3"/>
  <c r="A3462" i="3"/>
  <c r="B3461" i="3"/>
  <c r="A3461" i="3"/>
  <c r="B3460" i="3"/>
  <c r="A3460" i="3"/>
  <c r="B3459" i="3"/>
  <c r="A3459" i="3"/>
  <c r="B3458" i="3"/>
  <c r="A3458" i="3"/>
  <c r="B3457" i="3"/>
  <c r="A3457" i="3"/>
  <c r="B3456" i="3"/>
  <c r="A3456" i="3"/>
  <c r="B3455" i="3"/>
  <c r="A3455" i="3"/>
  <c r="B3454" i="3"/>
  <c r="A3454" i="3"/>
  <c r="B3453" i="3"/>
  <c r="A3453" i="3"/>
  <c r="B3452" i="3"/>
  <c r="A3452" i="3"/>
  <c r="B3451" i="3"/>
  <c r="A3451" i="3"/>
  <c r="B3450" i="3"/>
  <c r="A3450" i="3"/>
  <c r="B3449" i="3"/>
  <c r="A3449" i="3"/>
  <c r="B3448" i="3"/>
  <c r="A3448" i="3"/>
  <c r="B3447" i="3"/>
  <c r="A3447" i="3"/>
  <c r="B3446" i="3"/>
  <c r="A3446" i="3"/>
  <c r="B3445" i="3"/>
  <c r="A3445" i="3"/>
  <c r="B3444" i="3"/>
  <c r="A3444" i="3"/>
  <c r="B3443" i="3"/>
  <c r="A3443" i="3"/>
  <c r="B3442" i="3"/>
  <c r="A3442" i="3"/>
  <c r="B3441" i="3"/>
  <c r="A3441" i="3"/>
  <c r="B3440" i="3"/>
  <c r="A3440" i="3"/>
  <c r="B3439" i="3"/>
  <c r="A3439" i="3"/>
  <c r="B3438" i="3"/>
  <c r="A3438" i="3"/>
  <c r="B3437" i="3"/>
  <c r="A3437" i="3"/>
  <c r="B3436" i="3"/>
  <c r="A3436" i="3"/>
  <c r="B3435" i="3"/>
  <c r="A3435" i="3"/>
  <c r="B3434" i="3"/>
  <c r="A3434" i="3"/>
  <c r="B3433" i="3"/>
  <c r="A3433" i="3"/>
  <c r="B3432" i="3"/>
  <c r="A3432" i="3"/>
  <c r="B3431" i="3"/>
  <c r="A3431" i="3"/>
  <c r="B3430" i="3"/>
  <c r="A3430" i="3"/>
  <c r="B3429" i="3"/>
  <c r="A3429" i="3"/>
  <c r="B3428" i="3"/>
  <c r="A3428" i="3"/>
  <c r="B3427" i="3"/>
  <c r="A3427" i="3"/>
  <c r="B3426" i="3"/>
  <c r="A3426" i="3"/>
  <c r="B3425" i="3"/>
  <c r="A3425" i="3"/>
  <c r="B3424" i="3"/>
  <c r="A3424" i="3"/>
  <c r="B3423" i="3"/>
  <c r="A3423" i="3"/>
  <c r="B3422" i="3"/>
  <c r="A3422" i="3"/>
  <c r="B3421" i="3"/>
  <c r="A3421" i="3"/>
  <c r="B3420" i="3"/>
  <c r="A3420" i="3"/>
  <c r="B3419" i="3"/>
  <c r="A3419" i="3"/>
  <c r="B3418" i="3"/>
  <c r="A3418" i="3"/>
  <c r="B3417" i="3"/>
  <c r="A3417" i="3"/>
  <c r="B3416" i="3"/>
  <c r="A3416" i="3"/>
  <c r="B3415" i="3"/>
  <c r="A3415" i="3"/>
  <c r="B3414" i="3"/>
  <c r="A3414" i="3"/>
  <c r="B3413" i="3"/>
  <c r="A3413" i="3"/>
  <c r="B3412" i="3"/>
  <c r="A3412" i="3"/>
  <c r="B3411" i="3"/>
  <c r="A3411" i="3"/>
  <c r="B3410" i="3"/>
  <c r="A3410" i="3"/>
  <c r="B3409" i="3"/>
  <c r="A3409" i="3"/>
  <c r="B3408" i="3"/>
  <c r="A3408" i="3"/>
  <c r="B3407" i="3"/>
  <c r="A3407" i="3"/>
  <c r="B3406" i="3"/>
  <c r="A3406" i="3"/>
  <c r="B3405" i="3"/>
  <c r="A3405" i="3"/>
  <c r="B3404" i="3"/>
  <c r="A3404" i="3"/>
  <c r="B3403" i="3"/>
  <c r="A3403" i="3"/>
  <c r="B3402" i="3"/>
  <c r="A3402" i="3"/>
  <c r="B3401" i="3"/>
  <c r="A3401" i="3"/>
  <c r="B3400" i="3"/>
  <c r="A3400" i="3"/>
  <c r="B3399" i="3"/>
  <c r="A3399" i="3"/>
  <c r="B3398" i="3"/>
  <c r="A3398" i="3"/>
  <c r="B3397" i="3"/>
  <c r="A3397" i="3"/>
  <c r="B3396" i="3"/>
  <c r="A3396" i="3"/>
  <c r="B3395" i="3"/>
  <c r="A3395" i="3"/>
  <c r="B3394" i="3"/>
  <c r="A3394" i="3"/>
  <c r="B3393" i="3"/>
  <c r="A3393" i="3"/>
  <c r="B3392" i="3"/>
  <c r="A3392" i="3"/>
  <c r="B3391" i="3"/>
  <c r="A3391" i="3"/>
  <c r="B3390" i="3"/>
  <c r="A3390" i="3"/>
  <c r="B3389" i="3"/>
  <c r="A3389" i="3"/>
  <c r="B3388" i="3"/>
  <c r="A3388" i="3"/>
  <c r="B3387" i="3"/>
  <c r="A3387" i="3"/>
  <c r="B3386" i="3"/>
  <c r="A3386" i="3"/>
  <c r="B3385" i="3"/>
  <c r="A3385" i="3"/>
  <c r="B3384" i="3"/>
  <c r="A3384" i="3"/>
  <c r="B3383" i="3"/>
  <c r="A3383" i="3"/>
  <c r="B3382" i="3"/>
  <c r="A3382" i="3"/>
  <c r="B3381" i="3"/>
  <c r="A3381" i="3"/>
  <c r="B3380" i="3"/>
  <c r="A3380" i="3"/>
  <c r="B3379" i="3"/>
  <c r="A3379" i="3"/>
  <c r="B3378" i="3"/>
  <c r="A3378" i="3"/>
  <c r="B3377" i="3"/>
  <c r="A3377" i="3"/>
  <c r="B3376" i="3"/>
  <c r="A3376" i="3"/>
  <c r="B3375" i="3"/>
  <c r="A3375" i="3"/>
  <c r="B3374" i="3"/>
  <c r="A3374" i="3"/>
  <c r="B3373" i="3"/>
  <c r="A3373" i="3"/>
  <c r="B3372" i="3"/>
  <c r="A3372" i="3"/>
  <c r="B3371" i="3"/>
  <c r="A3371" i="3"/>
  <c r="B3370" i="3"/>
  <c r="A3370" i="3"/>
  <c r="B3369" i="3"/>
  <c r="A3369" i="3"/>
  <c r="B3368" i="3"/>
  <c r="A3368" i="3"/>
  <c r="B3367" i="3"/>
  <c r="A3367" i="3"/>
  <c r="B3366" i="3"/>
  <c r="A3366" i="3"/>
  <c r="B3365" i="3"/>
  <c r="A3365" i="3"/>
  <c r="B3364" i="3"/>
  <c r="A3364" i="3"/>
  <c r="B3363" i="3"/>
  <c r="A3363" i="3"/>
  <c r="B3362" i="3"/>
  <c r="A3362" i="3"/>
  <c r="B3361" i="3"/>
  <c r="A3361" i="3"/>
  <c r="B3360" i="3"/>
  <c r="A3360" i="3"/>
  <c r="B3359" i="3"/>
  <c r="A3359" i="3"/>
  <c r="B3358" i="3"/>
  <c r="A3358" i="3"/>
  <c r="B3357" i="3"/>
  <c r="A3357" i="3"/>
  <c r="B3356" i="3"/>
  <c r="A3356" i="3"/>
  <c r="B3355" i="3"/>
  <c r="A3355" i="3"/>
  <c r="B3354" i="3"/>
  <c r="A3354" i="3"/>
  <c r="B3353" i="3"/>
  <c r="A3353" i="3"/>
  <c r="B3352" i="3"/>
  <c r="A3352" i="3"/>
  <c r="B3351" i="3"/>
  <c r="A3351" i="3"/>
  <c r="B3350" i="3"/>
  <c r="A3350" i="3"/>
  <c r="B3349" i="3"/>
  <c r="A3349" i="3"/>
  <c r="B3348" i="3"/>
  <c r="A3348" i="3"/>
  <c r="B3347" i="3"/>
  <c r="A3347" i="3"/>
  <c r="B3346" i="3"/>
  <c r="A3346" i="3"/>
  <c r="B3345" i="3"/>
  <c r="A3345" i="3"/>
  <c r="B3344" i="3"/>
  <c r="A3344" i="3"/>
  <c r="B3343" i="3"/>
  <c r="A3343" i="3"/>
  <c r="B3342" i="3"/>
  <c r="A3342" i="3"/>
  <c r="B3341" i="3"/>
  <c r="A3341" i="3"/>
  <c r="B3340" i="3"/>
  <c r="A3340" i="3"/>
  <c r="B3339" i="3"/>
  <c r="A3339" i="3"/>
  <c r="B3338" i="3"/>
  <c r="A3338" i="3"/>
  <c r="B3337" i="3"/>
  <c r="A3337" i="3"/>
  <c r="B3336" i="3"/>
  <c r="A3336" i="3"/>
  <c r="B3335" i="3"/>
  <c r="A3335" i="3"/>
  <c r="B3334" i="3"/>
  <c r="A3334" i="3"/>
  <c r="B3333" i="3"/>
  <c r="A3333" i="3"/>
  <c r="B3332" i="3"/>
  <c r="A3332" i="3"/>
  <c r="B3331" i="3"/>
  <c r="A3331" i="3"/>
  <c r="B3330" i="3"/>
  <c r="A3330" i="3"/>
  <c r="B3329" i="3"/>
  <c r="A3329" i="3"/>
  <c r="B3328" i="3"/>
  <c r="A3328" i="3"/>
  <c r="B3327" i="3"/>
  <c r="A3327" i="3"/>
  <c r="B3326" i="3"/>
  <c r="A3326" i="3"/>
  <c r="B3325" i="3"/>
  <c r="A3325" i="3"/>
  <c r="B3324" i="3"/>
  <c r="A3324" i="3"/>
  <c r="B3323" i="3"/>
  <c r="A3323" i="3"/>
  <c r="B3322" i="3"/>
  <c r="A3322" i="3"/>
  <c r="B3321" i="3"/>
  <c r="A3321" i="3"/>
  <c r="B3320" i="3"/>
  <c r="A3320" i="3"/>
  <c r="B3319" i="3"/>
  <c r="A3319" i="3"/>
  <c r="B3318" i="3"/>
  <c r="A3318" i="3"/>
  <c r="B3317" i="3"/>
  <c r="A3317" i="3"/>
  <c r="B3316" i="3"/>
  <c r="A3316" i="3"/>
  <c r="B3315" i="3"/>
  <c r="A3315" i="3"/>
  <c r="B3314" i="3"/>
  <c r="A3314" i="3"/>
  <c r="B3313" i="3"/>
  <c r="A3313" i="3"/>
  <c r="B3312" i="3"/>
  <c r="A3312" i="3"/>
  <c r="B3311" i="3"/>
  <c r="A3311" i="3"/>
  <c r="B3310" i="3"/>
  <c r="A3310" i="3"/>
  <c r="B3309" i="3"/>
  <c r="A3309" i="3"/>
  <c r="B3308" i="3"/>
  <c r="A3308" i="3"/>
  <c r="B3307" i="3"/>
  <c r="A3307" i="3"/>
  <c r="B3306" i="3"/>
  <c r="A3306" i="3"/>
  <c r="B3305" i="3"/>
  <c r="A3305" i="3"/>
  <c r="B3304" i="3"/>
  <c r="A3304" i="3"/>
  <c r="B3303" i="3"/>
  <c r="A3303" i="3"/>
  <c r="B3302" i="3"/>
  <c r="A3302" i="3"/>
  <c r="B3301" i="3"/>
  <c r="A3301" i="3"/>
  <c r="B3300" i="3"/>
  <c r="A3300" i="3"/>
  <c r="B3299" i="3"/>
  <c r="A3299" i="3"/>
  <c r="B3298" i="3"/>
  <c r="A3298" i="3"/>
  <c r="B3297" i="3"/>
  <c r="A3297" i="3"/>
  <c r="B3296" i="3"/>
  <c r="A3296" i="3"/>
  <c r="B3295" i="3"/>
  <c r="A3295" i="3"/>
  <c r="B3294" i="3"/>
  <c r="A3294" i="3"/>
  <c r="B3293" i="3"/>
  <c r="A3293" i="3"/>
  <c r="B3292" i="3"/>
  <c r="A3292" i="3"/>
  <c r="B3291" i="3"/>
  <c r="A3291" i="3"/>
  <c r="B3290" i="3"/>
  <c r="A3290" i="3"/>
  <c r="B3289" i="3"/>
  <c r="A3289" i="3"/>
  <c r="B3288" i="3"/>
  <c r="A3288" i="3"/>
  <c r="B3287" i="3"/>
  <c r="A3287" i="3"/>
  <c r="B3286" i="3"/>
  <c r="A3286" i="3"/>
  <c r="B3285" i="3"/>
  <c r="A3285" i="3"/>
  <c r="B3284" i="3"/>
  <c r="A3284" i="3"/>
  <c r="B3283" i="3"/>
  <c r="A3283" i="3"/>
  <c r="B3282" i="3"/>
  <c r="A3282" i="3"/>
  <c r="B3281" i="3"/>
  <c r="A3281" i="3"/>
  <c r="B3280" i="3"/>
  <c r="A3280" i="3"/>
  <c r="B3279" i="3"/>
  <c r="A3279" i="3"/>
  <c r="B3278" i="3"/>
  <c r="A3278" i="3"/>
  <c r="B3277" i="3"/>
  <c r="A3277" i="3"/>
  <c r="B3276" i="3"/>
  <c r="A3276" i="3"/>
  <c r="B3275" i="3"/>
  <c r="A3275" i="3"/>
  <c r="B3274" i="3"/>
  <c r="A3274" i="3"/>
  <c r="B3273" i="3"/>
  <c r="A3273" i="3"/>
  <c r="B3272" i="3"/>
  <c r="A3272" i="3"/>
  <c r="B3271" i="3"/>
  <c r="A3271" i="3"/>
  <c r="B3270" i="3"/>
  <c r="A3270" i="3"/>
  <c r="B3269" i="3"/>
  <c r="A3269" i="3"/>
  <c r="B3268" i="3"/>
  <c r="A3268" i="3"/>
  <c r="B3267" i="3"/>
  <c r="A3267" i="3"/>
  <c r="B3266" i="3"/>
  <c r="A3266" i="3"/>
  <c r="B3265" i="3"/>
  <c r="A3265" i="3"/>
  <c r="B3264" i="3"/>
  <c r="A3264" i="3"/>
  <c r="B3263" i="3"/>
  <c r="A3263" i="3"/>
  <c r="B3262" i="3"/>
  <c r="A3262" i="3"/>
  <c r="B3261" i="3"/>
  <c r="A3261" i="3"/>
  <c r="B3260" i="3"/>
  <c r="A3260" i="3"/>
  <c r="B3259" i="3"/>
  <c r="A3259" i="3"/>
  <c r="B3258" i="3"/>
  <c r="A3258" i="3"/>
  <c r="B3257" i="3"/>
  <c r="A3257" i="3"/>
  <c r="B3256" i="3"/>
  <c r="A3256" i="3"/>
  <c r="B3255" i="3"/>
  <c r="A3255" i="3"/>
  <c r="B3254" i="3"/>
  <c r="A3254" i="3"/>
  <c r="B3253" i="3"/>
  <c r="A3253" i="3"/>
  <c r="B3252" i="3"/>
  <c r="A3252" i="3"/>
  <c r="B3251" i="3"/>
  <c r="A3251" i="3"/>
  <c r="B3250" i="3"/>
  <c r="A3250" i="3"/>
  <c r="B3249" i="3"/>
  <c r="A3249" i="3"/>
  <c r="B3248" i="3"/>
  <c r="A3248" i="3"/>
  <c r="B3247" i="3"/>
  <c r="A3247" i="3"/>
  <c r="B3246" i="3"/>
  <c r="A3246" i="3"/>
  <c r="B3245" i="3"/>
  <c r="A3245" i="3"/>
  <c r="B3244" i="3"/>
  <c r="A3244" i="3"/>
  <c r="B3243" i="3"/>
  <c r="A3243" i="3"/>
  <c r="B3242" i="3"/>
  <c r="A3242" i="3"/>
  <c r="B3241" i="3"/>
  <c r="A3241" i="3"/>
  <c r="B3240" i="3"/>
  <c r="A3240" i="3"/>
  <c r="B3239" i="3"/>
  <c r="A3239" i="3"/>
  <c r="B3238" i="3"/>
  <c r="A3238" i="3"/>
  <c r="B3237" i="3"/>
  <c r="A3237" i="3"/>
  <c r="B3236" i="3"/>
  <c r="A3236" i="3"/>
  <c r="B3235" i="3"/>
  <c r="A3235" i="3"/>
  <c r="B3234" i="3"/>
  <c r="A3234" i="3"/>
  <c r="B3233" i="3"/>
  <c r="A3233" i="3"/>
  <c r="B3232" i="3"/>
  <c r="A3232" i="3"/>
  <c r="B3231" i="3"/>
  <c r="A3231" i="3"/>
  <c r="B3230" i="3"/>
  <c r="A3230" i="3"/>
  <c r="B3229" i="3"/>
  <c r="A3229" i="3"/>
  <c r="B3228" i="3"/>
  <c r="A3228" i="3"/>
  <c r="B3227" i="3"/>
  <c r="A3227" i="3"/>
  <c r="B3226" i="3"/>
  <c r="A3226" i="3"/>
  <c r="B3225" i="3"/>
  <c r="A3225" i="3"/>
  <c r="B3224" i="3"/>
  <c r="A3224" i="3"/>
  <c r="B3223" i="3"/>
  <c r="A3223" i="3"/>
  <c r="B3222" i="3"/>
  <c r="A3222" i="3"/>
  <c r="B3221" i="3"/>
  <c r="A3221" i="3"/>
  <c r="B3220" i="3"/>
  <c r="A3220" i="3"/>
  <c r="B3219" i="3"/>
  <c r="A3219" i="3"/>
  <c r="B3218" i="3"/>
  <c r="A3218" i="3"/>
  <c r="B3217" i="3"/>
  <c r="A3217" i="3"/>
  <c r="B3216" i="3"/>
  <c r="A3216" i="3"/>
  <c r="B3215" i="3"/>
  <c r="A3215" i="3"/>
  <c r="B3214" i="3"/>
  <c r="A3214" i="3"/>
  <c r="B3213" i="3"/>
  <c r="A3213" i="3"/>
  <c r="B3212" i="3"/>
  <c r="A3212" i="3"/>
  <c r="B3211" i="3"/>
  <c r="A3211" i="3"/>
  <c r="B3210" i="3"/>
  <c r="A3210" i="3"/>
  <c r="B3209" i="3"/>
  <c r="A3209" i="3"/>
  <c r="B3208" i="3"/>
  <c r="A3208" i="3"/>
  <c r="B3207" i="3"/>
  <c r="A3207" i="3"/>
  <c r="B3206" i="3"/>
  <c r="A3206" i="3"/>
  <c r="B3205" i="3"/>
  <c r="A3205" i="3"/>
  <c r="B3204" i="3"/>
  <c r="A3204" i="3"/>
  <c r="B3203" i="3"/>
  <c r="A3203" i="3"/>
  <c r="B3202" i="3"/>
  <c r="A3202" i="3"/>
  <c r="B3201" i="3"/>
  <c r="A3201" i="3"/>
  <c r="B3200" i="3"/>
  <c r="A3200" i="3"/>
  <c r="B3199" i="3"/>
  <c r="A3199" i="3"/>
  <c r="B3198" i="3"/>
  <c r="A3198" i="3"/>
  <c r="B3197" i="3"/>
  <c r="A3197" i="3"/>
  <c r="B3196" i="3"/>
  <c r="A3196" i="3"/>
  <c r="B3195" i="3"/>
  <c r="A3195" i="3"/>
  <c r="B3194" i="3"/>
  <c r="A3194" i="3"/>
  <c r="B3193" i="3"/>
  <c r="A3193" i="3"/>
  <c r="B3192" i="3"/>
  <c r="A3192" i="3"/>
  <c r="B3191" i="3"/>
  <c r="A3191" i="3"/>
  <c r="B3190" i="3"/>
  <c r="A3190" i="3"/>
  <c r="B3189" i="3"/>
  <c r="A3189" i="3"/>
  <c r="B3188" i="3"/>
  <c r="A3188" i="3"/>
  <c r="B3187" i="3"/>
  <c r="A3187" i="3"/>
  <c r="B3186" i="3"/>
  <c r="A3186" i="3"/>
  <c r="B3185" i="3"/>
  <c r="A3185" i="3"/>
  <c r="B3184" i="3"/>
  <c r="A3184" i="3"/>
  <c r="B3183" i="3"/>
  <c r="A3183" i="3"/>
  <c r="B3182" i="3"/>
  <c r="A3182" i="3"/>
  <c r="B3181" i="3"/>
  <c r="A3181" i="3"/>
  <c r="B3180" i="3"/>
  <c r="A3180" i="3"/>
  <c r="B3179" i="3"/>
  <c r="A3179" i="3"/>
  <c r="B3178" i="3"/>
  <c r="A3178" i="3"/>
  <c r="B3177" i="3"/>
  <c r="A3177" i="3"/>
  <c r="B3176" i="3"/>
  <c r="A3176" i="3"/>
  <c r="B3175" i="3"/>
  <c r="A3175" i="3"/>
  <c r="B3174" i="3"/>
  <c r="A3174" i="3"/>
  <c r="B3173" i="3"/>
  <c r="A3173" i="3"/>
  <c r="B3172" i="3"/>
  <c r="A3172" i="3"/>
  <c r="B3171" i="3"/>
  <c r="A3171" i="3"/>
  <c r="B3170" i="3"/>
  <c r="A3170" i="3"/>
  <c r="B3169" i="3"/>
  <c r="A3169" i="3"/>
  <c r="B3168" i="3"/>
  <c r="A3168" i="3"/>
  <c r="B3167" i="3"/>
  <c r="A3167" i="3"/>
  <c r="B3166" i="3"/>
  <c r="A3166" i="3"/>
  <c r="B3165" i="3"/>
  <c r="A3165" i="3"/>
  <c r="B3164" i="3"/>
  <c r="A3164" i="3"/>
  <c r="B3163" i="3"/>
  <c r="A3163" i="3"/>
  <c r="B3162" i="3"/>
  <c r="A3162" i="3"/>
  <c r="B3161" i="3"/>
  <c r="A3161" i="3"/>
  <c r="B3160" i="3"/>
  <c r="A3160" i="3"/>
  <c r="B3159" i="3"/>
  <c r="A3159" i="3"/>
  <c r="B3158" i="3"/>
  <c r="A3158" i="3"/>
  <c r="B3157" i="3"/>
  <c r="A3157" i="3"/>
  <c r="B3156" i="3"/>
  <c r="A3156" i="3"/>
  <c r="B3155" i="3"/>
  <c r="A3155" i="3"/>
  <c r="B3154" i="3"/>
  <c r="A3154" i="3"/>
  <c r="B3153" i="3"/>
  <c r="A3153" i="3"/>
  <c r="B3152" i="3"/>
  <c r="A3152" i="3"/>
  <c r="B3151" i="3"/>
  <c r="A3151" i="3"/>
  <c r="B3150" i="3"/>
  <c r="A3150" i="3"/>
  <c r="B3149" i="3"/>
  <c r="A3149" i="3"/>
  <c r="B3148" i="3"/>
  <c r="A3148" i="3"/>
  <c r="B3147" i="3"/>
  <c r="A3147" i="3"/>
  <c r="B3146" i="3"/>
  <c r="A3146" i="3"/>
  <c r="B3145" i="3"/>
  <c r="A3145" i="3"/>
  <c r="B3144" i="3"/>
  <c r="A3144" i="3"/>
  <c r="B3143" i="3"/>
  <c r="A3143" i="3"/>
  <c r="B3142" i="3"/>
  <c r="A3142" i="3"/>
  <c r="B3141" i="3"/>
  <c r="A3141" i="3"/>
  <c r="B3140" i="3"/>
  <c r="A3140" i="3"/>
  <c r="B3139" i="3"/>
  <c r="A3139" i="3"/>
  <c r="B3138" i="3"/>
  <c r="A3138" i="3"/>
  <c r="B3137" i="3"/>
  <c r="A3137" i="3"/>
  <c r="B3136" i="3"/>
  <c r="A3136" i="3"/>
  <c r="B3135" i="3"/>
  <c r="A3135" i="3"/>
  <c r="B3134" i="3"/>
  <c r="A3134" i="3"/>
  <c r="B3133" i="3"/>
  <c r="A3133" i="3"/>
  <c r="B3132" i="3"/>
  <c r="A3132" i="3"/>
  <c r="B3131" i="3"/>
  <c r="A3131" i="3"/>
  <c r="B3130" i="3"/>
  <c r="A3130" i="3"/>
  <c r="B3129" i="3"/>
  <c r="A3129" i="3"/>
  <c r="B3128" i="3"/>
  <c r="A3128" i="3"/>
  <c r="B3127" i="3"/>
  <c r="A3127" i="3"/>
  <c r="B3126" i="3"/>
  <c r="A3126" i="3"/>
  <c r="B3125" i="3"/>
  <c r="A3125" i="3"/>
  <c r="B3124" i="3"/>
  <c r="A3124" i="3"/>
  <c r="B3123" i="3"/>
  <c r="A3123" i="3"/>
  <c r="B3122" i="3"/>
  <c r="A3122" i="3"/>
  <c r="B3121" i="3"/>
  <c r="A3121" i="3"/>
  <c r="B3120" i="3"/>
  <c r="A3120" i="3"/>
  <c r="B3119" i="3"/>
  <c r="A3119" i="3"/>
  <c r="B3118" i="3"/>
  <c r="A3118" i="3"/>
  <c r="B3117" i="3"/>
  <c r="A3117" i="3"/>
  <c r="B3116" i="3"/>
  <c r="A3116" i="3"/>
  <c r="B3115" i="3"/>
  <c r="A3115" i="3"/>
  <c r="B3114" i="3"/>
  <c r="A3114" i="3"/>
  <c r="B3113" i="3"/>
  <c r="A3113" i="3"/>
  <c r="B3112" i="3"/>
  <c r="A3112" i="3"/>
  <c r="B3111" i="3"/>
  <c r="A3111" i="3"/>
  <c r="B3110" i="3"/>
  <c r="A3110" i="3"/>
  <c r="B3109" i="3"/>
  <c r="A3109" i="3"/>
  <c r="B3108" i="3"/>
  <c r="A3108" i="3"/>
  <c r="B3107" i="3"/>
  <c r="A3107" i="3"/>
  <c r="B3106" i="3"/>
  <c r="A3106" i="3"/>
  <c r="B3105" i="3"/>
  <c r="A3105" i="3"/>
  <c r="B3104" i="3"/>
  <c r="A3104" i="3"/>
  <c r="B3103" i="3"/>
  <c r="A3103" i="3"/>
  <c r="B3102" i="3"/>
  <c r="A3102" i="3"/>
  <c r="B3101" i="3"/>
  <c r="A3101" i="3"/>
  <c r="B3100" i="3"/>
  <c r="A3100" i="3"/>
  <c r="B3099" i="3"/>
  <c r="A3099" i="3"/>
  <c r="B3098" i="3"/>
  <c r="A3098" i="3"/>
  <c r="B3097" i="3"/>
  <c r="A3097" i="3"/>
  <c r="B3096" i="3"/>
  <c r="A3096" i="3"/>
  <c r="B3095" i="3"/>
  <c r="A3095" i="3"/>
  <c r="B3094" i="3"/>
  <c r="A3094" i="3"/>
  <c r="B3093" i="3"/>
  <c r="A3093" i="3"/>
  <c r="B3092" i="3"/>
  <c r="A3092" i="3"/>
  <c r="B3091" i="3"/>
  <c r="A3091" i="3"/>
  <c r="B3090" i="3"/>
  <c r="A3090" i="3"/>
  <c r="B3089" i="3"/>
  <c r="A3089" i="3"/>
  <c r="B3088" i="3"/>
  <c r="A3088" i="3"/>
  <c r="B3087" i="3"/>
  <c r="A3087" i="3"/>
  <c r="B3086" i="3"/>
  <c r="A3086" i="3"/>
  <c r="B3085" i="3"/>
  <c r="A3085" i="3"/>
  <c r="B3084" i="3"/>
  <c r="A3084" i="3"/>
  <c r="B3083" i="3"/>
  <c r="A3083" i="3"/>
  <c r="B3082" i="3"/>
  <c r="A3082" i="3"/>
  <c r="B3081" i="3"/>
  <c r="A3081" i="3"/>
  <c r="B3080" i="3"/>
  <c r="A3080" i="3"/>
  <c r="B3079" i="3"/>
  <c r="A3079" i="3"/>
  <c r="B3078" i="3"/>
  <c r="A3078" i="3"/>
  <c r="B3077" i="3"/>
  <c r="A3077" i="3"/>
  <c r="B3076" i="3"/>
  <c r="A3076" i="3"/>
  <c r="B3075" i="3"/>
  <c r="A3075" i="3"/>
  <c r="B3074" i="3"/>
  <c r="A3074" i="3"/>
  <c r="B3073" i="3"/>
  <c r="A3073" i="3"/>
  <c r="B3072" i="3"/>
  <c r="A3072" i="3"/>
  <c r="B3071" i="3"/>
  <c r="A3071" i="3"/>
  <c r="B3070" i="3"/>
  <c r="A3070" i="3"/>
  <c r="B3069" i="3"/>
  <c r="A3069" i="3"/>
  <c r="B3068" i="3"/>
  <c r="A3068" i="3"/>
  <c r="B3067" i="3"/>
  <c r="A3067" i="3"/>
  <c r="B3066" i="3"/>
  <c r="A3066" i="3"/>
  <c r="B3065" i="3"/>
  <c r="A3065" i="3"/>
  <c r="B3064" i="3"/>
  <c r="A3064" i="3"/>
  <c r="B3063" i="3"/>
  <c r="A3063" i="3"/>
  <c r="B3062" i="3"/>
  <c r="A3062" i="3"/>
  <c r="B3061" i="3"/>
  <c r="A3061" i="3"/>
  <c r="B3060" i="3"/>
  <c r="A3060" i="3"/>
  <c r="B3059" i="3"/>
  <c r="A3059" i="3"/>
  <c r="B3058" i="3"/>
  <c r="A3058" i="3"/>
  <c r="B3057" i="3"/>
  <c r="A3057" i="3"/>
  <c r="B3056" i="3"/>
  <c r="A3056" i="3"/>
  <c r="B3055" i="3"/>
  <c r="A3055" i="3"/>
  <c r="B3054" i="3"/>
  <c r="A3054" i="3"/>
  <c r="B3053" i="3"/>
  <c r="A3053" i="3"/>
  <c r="B3052" i="3"/>
  <c r="A3052" i="3"/>
  <c r="B3051" i="3"/>
  <c r="A3051" i="3"/>
  <c r="B3050" i="3"/>
  <c r="A3050" i="3"/>
  <c r="B3049" i="3"/>
  <c r="A3049" i="3"/>
  <c r="B3048" i="3"/>
  <c r="A3048" i="3"/>
  <c r="B3047" i="3"/>
  <c r="A3047" i="3"/>
  <c r="B3046" i="3"/>
  <c r="A3046" i="3"/>
  <c r="B3045" i="3"/>
  <c r="A3045" i="3"/>
  <c r="B3044" i="3"/>
  <c r="A3044" i="3"/>
  <c r="B3043" i="3"/>
  <c r="A3043" i="3"/>
  <c r="B3042" i="3"/>
  <c r="A3042" i="3"/>
  <c r="B3041" i="3"/>
  <c r="A3041" i="3"/>
  <c r="B3040" i="3"/>
  <c r="A3040" i="3"/>
  <c r="B3039" i="3"/>
  <c r="A3039" i="3"/>
  <c r="B3038" i="3"/>
  <c r="A3038" i="3"/>
  <c r="B3037" i="3"/>
  <c r="A3037" i="3"/>
  <c r="B3036" i="3"/>
  <c r="A3036" i="3"/>
  <c r="B3035" i="3"/>
  <c r="A3035" i="3"/>
  <c r="B3034" i="3"/>
  <c r="A3034" i="3"/>
  <c r="B3033" i="3"/>
  <c r="A3033" i="3"/>
  <c r="B3032" i="3"/>
  <c r="A3032" i="3"/>
  <c r="B3031" i="3"/>
  <c r="A3031" i="3"/>
  <c r="B3030" i="3"/>
  <c r="A3030" i="3"/>
  <c r="B3029" i="3"/>
  <c r="A3029" i="3"/>
  <c r="B3028" i="3"/>
  <c r="A3028" i="3"/>
  <c r="B3027" i="3"/>
  <c r="A3027" i="3"/>
  <c r="B3026" i="3"/>
  <c r="A3026" i="3"/>
  <c r="B3025" i="3"/>
  <c r="A3025" i="3"/>
  <c r="B3024" i="3"/>
  <c r="A3024" i="3"/>
  <c r="B3023" i="3"/>
  <c r="A3023" i="3"/>
  <c r="B3022" i="3"/>
  <c r="A3022" i="3"/>
  <c r="B3021" i="3"/>
  <c r="A3021" i="3"/>
  <c r="B3020" i="3"/>
  <c r="A3020" i="3"/>
  <c r="B3019" i="3"/>
  <c r="A3019" i="3"/>
  <c r="B3018" i="3"/>
  <c r="A3018" i="3"/>
  <c r="B3017" i="3"/>
  <c r="A3017" i="3"/>
  <c r="B3016" i="3"/>
  <c r="A3016" i="3"/>
  <c r="B3015" i="3"/>
  <c r="A3015" i="3"/>
  <c r="B3014" i="3"/>
  <c r="A3014" i="3"/>
  <c r="B3013" i="3"/>
  <c r="A3013" i="3"/>
  <c r="B3012" i="3"/>
  <c r="A3012" i="3"/>
  <c r="B3011" i="3"/>
  <c r="A3011" i="3"/>
  <c r="B3010" i="3"/>
  <c r="A3010" i="3"/>
  <c r="B3009" i="3"/>
  <c r="A3009" i="3"/>
  <c r="B3008" i="3"/>
  <c r="A3008" i="3"/>
  <c r="B3007" i="3"/>
  <c r="A3007" i="3"/>
  <c r="B3006" i="3"/>
  <c r="A3006" i="3"/>
  <c r="B3005" i="3"/>
  <c r="A3005" i="3"/>
  <c r="B3004" i="3"/>
  <c r="A3004" i="3"/>
  <c r="B3003" i="3"/>
  <c r="A3003" i="3"/>
  <c r="B3002" i="3"/>
  <c r="A3002" i="3"/>
  <c r="B3001" i="3"/>
  <c r="A3001" i="3"/>
  <c r="B3000" i="3"/>
  <c r="A3000" i="3"/>
  <c r="B2999" i="3"/>
  <c r="A2999" i="3"/>
  <c r="B2998" i="3"/>
  <c r="A2998" i="3"/>
  <c r="B2997" i="3"/>
  <c r="A2997" i="3"/>
  <c r="B2996" i="3"/>
  <c r="A2996" i="3"/>
  <c r="B2995" i="3"/>
  <c r="A2995" i="3"/>
  <c r="B2994" i="3"/>
  <c r="A2994" i="3"/>
  <c r="B2993" i="3"/>
  <c r="A2993" i="3"/>
  <c r="B2992" i="3"/>
  <c r="A2992" i="3"/>
  <c r="B2991" i="3"/>
  <c r="A2991" i="3"/>
  <c r="B2990" i="3"/>
  <c r="A2990" i="3"/>
  <c r="B2989" i="3"/>
  <c r="A2989" i="3"/>
  <c r="B2988" i="3"/>
  <c r="A2988" i="3"/>
  <c r="B2987" i="3"/>
  <c r="A2987" i="3"/>
  <c r="B2986" i="3"/>
  <c r="A2986" i="3"/>
  <c r="B2985" i="3"/>
  <c r="A2985" i="3"/>
  <c r="B2984" i="3"/>
  <c r="A2984" i="3"/>
  <c r="B2983" i="3"/>
  <c r="A2983" i="3"/>
  <c r="B2982" i="3"/>
  <c r="A2982" i="3"/>
  <c r="B2981" i="3"/>
  <c r="A2981" i="3"/>
  <c r="B2980" i="3"/>
  <c r="A2980" i="3"/>
  <c r="B2979" i="3"/>
  <c r="A2979" i="3"/>
  <c r="B2978" i="3"/>
  <c r="A2978" i="3"/>
  <c r="B2977" i="3"/>
  <c r="A2977" i="3"/>
  <c r="B2976" i="3"/>
  <c r="A2976" i="3"/>
  <c r="B2975" i="3"/>
  <c r="A2975" i="3"/>
  <c r="B2974" i="3"/>
  <c r="A2974" i="3"/>
  <c r="B2973" i="3"/>
  <c r="A2973" i="3"/>
  <c r="B2972" i="3"/>
  <c r="A2972" i="3"/>
  <c r="B2971" i="3"/>
  <c r="A2971" i="3"/>
  <c r="B2970" i="3"/>
  <c r="A2970" i="3"/>
  <c r="B2969" i="3"/>
  <c r="A2969" i="3"/>
  <c r="B2968" i="3"/>
  <c r="A2968" i="3"/>
  <c r="B2967" i="3"/>
  <c r="A2967" i="3"/>
  <c r="B2966" i="3"/>
  <c r="A2966" i="3"/>
  <c r="B2965" i="3"/>
  <c r="A2965" i="3"/>
  <c r="B2964" i="3"/>
  <c r="A2964" i="3"/>
  <c r="B2963" i="3"/>
  <c r="A2963" i="3"/>
  <c r="B2962" i="3"/>
  <c r="A2962" i="3"/>
  <c r="B2961" i="3"/>
  <c r="A2961" i="3"/>
  <c r="B2960" i="3"/>
  <c r="A2960" i="3"/>
  <c r="B2959" i="3"/>
  <c r="A2959" i="3"/>
  <c r="B2958" i="3"/>
  <c r="A2958" i="3"/>
  <c r="B2957" i="3"/>
  <c r="A2957" i="3"/>
  <c r="B2956" i="3"/>
  <c r="A2956" i="3"/>
  <c r="B2955" i="3"/>
  <c r="A2955" i="3"/>
  <c r="B2954" i="3"/>
  <c r="A2954" i="3"/>
  <c r="B2953" i="3"/>
  <c r="A2953" i="3"/>
  <c r="B2952" i="3"/>
  <c r="A2952" i="3"/>
  <c r="B2951" i="3"/>
  <c r="A2951" i="3"/>
  <c r="B2950" i="3"/>
  <c r="A2950" i="3"/>
  <c r="B2949" i="3"/>
  <c r="A2949" i="3"/>
  <c r="B2948" i="3"/>
  <c r="A2948" i="3"/>
  <c r="B2947" i="3"/>
  <c r="A2947" i="3"/>
  <c r="B2946" i="3"/>
  <c r="A2946" i="3"/>
  <c r="B2945" i="3"/>
  <c r="A2945" i="3"/>
  <c r="B2944" i="3"/>
  <c r="A2944" i="3"/>
  <c r="B2943" i="3"/>
  <c r="A2943" i="3"/>
  <c r="B2942" i="3"/>
  <c r="A2942" i="3"/>
  <c r="B2941" i="3"/>
  <c r="A2941" i="3"/>
  <c r="B2940" i="3"/>
  <c r="A2940" i="3"/>
  <c r="B2939" i="3"/>
  <c r="A2939" i="3"/>
  <c r="B2938" i="3"/>
  <c r="A2938" i="3"/>
  <c r="B2937" i="3"/>
  <c r="A2937" i="3"/>
  <c r="B2936" i="3"/>
  <c r="A2936" i="3"/>
  <c r="B2935" i="3"/>
  <c r="A2935" i="3"/>
  <c r="B2934" i="3"/>
  <c r="A2934" i="3"/>
  <c r="B2933" i="3"/>
  <c r="A2933" i="3"/>
  <c r="B2932" i="3"/>
  <c r="A2932" i="3"/>
  <c r="B2931" i="3"/>
  <c r="A2931" i="3"/>
  <c r="B2930" i="3"/>
  <c r="A2930" i="3"/>
  <c r="B2929" i="3"/>
  <c r="A2929" i="3"/>
  <c r="B2928" i="3"/>
  <c r="A2928" i="3"/>
  <c r="B2927" i="3"/>
  <c r="A2927" i="3"/>
  <c r="B2926" i="3"/>
  <c r="A2926" i="3"/>
  <c r="B2925" i="3"/>
  <c r="A2925" i="3"/>
  <c r="B2924" i="3"/>
  <c r="A2924" i="3"/>
  <c r="B2923" i="3"/>
  <c r="A2923" i="3"/>
  <c r="B2922" i="3"/>
  <c r="A2922" i="3"/>
  <c r="B2921" i="3"/>
  <c r="A2921" i="3"/>
  <c r="B2920" i="3"/>
  <c r="A2920" i="3"/>
  <c r="B2919" i="3"/>
  <c r="A2919" i="3"/>
  <c r="B2918" i="3"/>
  <c r="A2918" i="3"/>
  <c r="B2917" i="3"/>
  <c r="A2917" i="3"/>
  <c r="B2916" i="3"/>
  <c r="A2916" i="3"/>
  <c r="B2915" i="3"/>
  <c r="A2915" i="3"/>
  <c r="B2914" i="3"/>
  <c r="A2914" i="3"/>
  <c r="B2913" i="3"/>
  <c r="A2913" i="3"/>
  <c r="B2912" i="3"/>
  <c r="A2912" i="3"/>
  <c r="B2911" i="3"/>
  <c r="A2911" i="3"/>
  <c r="B2910" i="3"/>
  <c r="A2910" i="3"/>
  <c r="B2909" i="3"/>
  <c r="A2909" i="3"/>
  <c r="B2908" i="3"/>
  <c r="A2908" i="3"/>
  <c r="B2907" i="3"/>
  <c r="A2907" i="3"/>
  <c r="B2906" i="3"/>
  <c r="A2906" i="3"/>
  <c r="B2905" i="3"/>
  <c r="A2905" i="3"/>
  <c r="B2904" i="3"/>
  <c r="A2904" i="3"/>
  <c r="B2903" i="3"/>
  <c r="A2903" i="3"/>
  <c r="B2902" i="3"/>
  <c r="A2902" i="3"/>
  <c r="B2901" i="3"/>
  <c r="A2901" i="3"/>
  <c r="B2900" i="3"/>
  <c r="A2900" i="3"/>
  <c r="B2899" i="3"/>
  <c r="A2899" i="3"/>
  <c r="B2898" i="3"/>
  <c r="A2898" i="3"/>
  <c r="B2897" i="3"/>
  <c r="A2897" i="3"/>
  <c r="B2896" i="3"/>
  <c r="A2896" i="3"/>
  <c r="B2895" i="3"/>
  <c r="A2895" i="3"/>
  <c r="B2894" i="3"/>
  <c r="A2894" i="3"/>
  <c r="B2893" i="3"/>
  <c r="A2893" i="3"/>
  <c r="B2892" i="3"/>
  <c r="A2892" i="3"/>
  <c r="B2891" i="3"/>
  <c r="A2891" i="3"/>
  <c r="B2890" i="3"/>
  <c r="A2890" i="3"/>
  <c r="B2889" i="3"/>
  <c r="A2889" i="3"/>
  <c r="B2888" i="3"/>
  <c r="A2888" i="3"/>
  <c r="B2887" i="3"/>
  <c r="A2887" i="3"/>
  <c r="B2886" i="3"/>
  <c r="A2886" i="3"/>
  <c r="B2885" i="3"/>
  <c r="A2885" i="3"/>
  <c r="B2884" i="3"/>
  <c r="A2884" i="3"/>
  <c r="B2883" i="3"/>
  <c r="A2883" i="3"/>
  <c r="B2882" i="3"/>
  <c r="A2882" i="3"/>
  <c r="B2881" i="3"/>
  <c r="A2881" i="3"/>
  <c r="B2880" i="3"/>
  <c r="A2880" i="3"/>
  <c r="B2879" i="3"/>
  <c r="A2879" i="3"/>
  <c r="B2878" i="3"/>
  <c r="A2878" i="3"/>
  <c r="B2877" i="3"/>
  <c r="A2877" i="3"/>
  <c r="B2876" i="3"/>
  <c r="A2876" i="3"/>
  <c r="B2875" i="3"/>
  <c r="A2875" i="3"/>
  <c r="B2874" i="3"/>
  <c r="A2874" i="3"/>
  <c r="B2873" i="3"/>
  <c r="A2873" i="3"/>
  <c r="B2872" i="3"/>
  <c r="A2872" i="3"/>
  <c r="B2871" i="3"/>
  <c r="A2871" i="3"/>
  <c r="B2870" i="3"/>
  <c r="A2870" i="3"/>
  <c r="B2869" i="3"/>
  <c r="A2869" i="3"/>
  <c r="B2868" i="3"/>
  <c r="A2868" i="3"/>
  <c r="B2867" i="3"/>
  <c r="A2867" i="3"/>
  <c r="B2866" i="3"/>
  <c r="A2866" i="3"/>
  <c r="B2865" i="3"/>
  <c r="A2865" i="3"/>
  <c r="B2864" i="3"/>
  <c r="A2864" i="3"/>
  <c r="B2863" i="3"/>
  <c r="A2863" i="3"/>
  <c r="B2862" i="3"/>
  <c r="A2862" i="3"/>
  <c r="B2861" i="3"/>
  <c r="A2861" i="3"/>
  <c r="B2860" i="3"/>
  <c r="A2860" i="3"/>
  <c r="B2859" i="3"/>
  <c r="A2859" i="3"/>
  <c r="B2858" i="3"/>
  <c r="A2858" i="3"/>
  <c r="B2857" i="3"/>
  <c r="A2857" i="3"/>
  <c r="B2856" i="3"/>
  <c r="A2856" i="3"/>
  <c r="B2855" i="3"/>
  <c r="A2855" i="3"/>
  <c r="B2854" i="3"/>
  <c r="A2854" i="3"/>
  <c r="B2853" i="3"/>
  <c r="A2853" i="3"/>
  <c r="B2852" i="3"/>
  <c r="A2852" i="3"/>
  <c r="B2851" i="3"/>
  <c r="A2851" i="3"/>
  <c r="B2850" i="3"/>
  <c r="A2850" i="3"/>
  <c r="B2849" i="3"/>
  <c r="A2849" i="3"/>
  <c r="B2848" i="3"/>
  <c r="A2848" i="3"/>
  <c r="B2847" i="3"/>
  <c r="A2847" i="3"/>
  <c r="B2846" i="3"/>
  <c r="A2846" i="3"/>
  <c r="B2845" i="3"/>
  <c r="A2845" i="3"/>
  <c r="B2844" i="3"/>
  <c r="A2844" i="3"/>
  <c r="B2843" i="3"/>
  <c r="A2843" i="3"/>
  <c r="B2842" i="3"/>
  <c r="A2842" i="3"/>
  <c r="B2841" i="3"/>
  <c r="A2841" i="3"/>
  <c r="B2840" i="3"/>
  <c r="A2840" i="3"/>
  <c r="B2839" i="3"/>
  <c r="A2839" i="3"/>
  <c r="B2838" i="3"/>
  <c r="A2838" i="3"/>
  <c r="B2837" i="3"/>
  <c r="A2837" i="3"/>
  <c r="B2836" i="3"/>
  <c r="A2836" i="3"/>
  <c r="B2835" i="3"/>
  <c r="A2835" i="3"/>
  <c r="B2834" i="3"/>
  <c r="A2834" i="3"/>
  <c r="B2833" i="3"/>
  <c r="A2833" i="3"/>
  <c r="B2832" i="3"/>
  <c r="A2832" i="3"/>
  <c r="B2831" i="3"/>
  <c r="A2831" i="3"/>
  <c r="B2830" i="3"/>
  <c r="A2830" i="3"/>
  <c r="B2829" i="3"/>
  <c r="A2829" i="3"/>
  <c r="B2828" i="3"/>
  <c r="A2828" i="3"/>
  <c r="B2827" i="3"/>
  <c r="A2827" i="3"/>
  <c r="B2826" i="3"/>
  <c r="A2826" i="3"/>
  <c r="B2825" i="3"/>
  <c r="A2825" i="3"/>
  <c r="B2824" i="3"/>
  <c r="A2824" i="3"/>
  <c r="B2823" i="3"/>
  <c r="A2823" i="3"/>
  <c r="B2822" i="3"/>
  <c r="A2822" i="3"/>
  <c r="B2821" i="3"/>
  <c r="A2821" i="3"/>
  <c r="B2820" i="3"/>
  <c r="A2820" i="3"/>
  <c r="B2819" i="3"/>
  <c r="A2819" i="3"/>
  <c r="B2818" i="3"/>
  <c r="A2818" i="3"/>
  <c r="B2817" i="3"/>
  <c r="A2817" i="3"/>
  <c r="B2816" i="3"/>
  <c r="A2816" i="3"/>
  <c r="B2815" i="3"/>
  <c r="A2815" i="3"/>
  <c r="B2814" i="3"/>
  <c r="A2814" i="3"/>
  <c r="B2813" i="3"/>
  <c r="A2813" i="3"/>
  <c r="B2812" i="3"/>
  <c r="A2812" i="3"/>
  <c r="B2811" i="3"/>
  <c r="A2811" i="3"/>
  <c r="B2810" i="3"/>
  <c r="A2810" i="3"/>
  <c r="B2809" i="3"/>
  <c r="A2809" i="3"/>
  <c r="B2808" i="3"/>
  <c r="A2808" i="3"/>
  <c r="B2807" i="3"/>
  <c r="A2807" i="3"/>
  <c r="B2806" i="3"/>
  <c r="A2806" i="3"/>
  <c r="B2805" i="3"/>
  <c r="A2805" i="3"/>
  <c r="B2804" i="3"/>
  <c r="A2804" i="3"/>
  <c r="B2803" i="3"/>
  <c r="A2803" i="3"/>
  <c r="B2802" i="3"/>
  <c r="A2802" i="3"/>
  <c r="B2801" i="3"/>
  <c r="A2801" i="3"/>
  <c r="B2800" i="3"/>
  <c r="A2800" i="3"/>
  <c r="B2799" i="3"/>
  <c r="A2799" i="3"/>
  <c r="B2798" i="3"/>
  <c r="A2798" i="3"/>
  <c r="B2797" i="3"/>
  <c r="A2797" i="3"/>
  <c r="B2796" i="3"/>
  <c r="A2796" i="3"/>
  <c r="B2795" i="3"/>
  <c r="A2795" i="3"/>
  <c r="B2794" i="3"/>
  <c r="A2794" i="3"/>
  <c r="B2793" i="3"/>
  <c r="A2793" i="3"/>
  <c r="B2792" i="3"/>
  <c r="A2792" i="3"/>
  <c r="B2791" i="3"/>
  <c r="A2791" i="3"/>
  <c r="B2790" i="3"/>
  <c r="A2790" i="3"/>
  <c r="B2789" i="3"/>
  <c r="A2789" i="3"/>
  <c r="B2788" i="3"/>
  <c r="A2788" i="3"/>
  <c r="B2787" i="3"/>
  <c r="A2787" i="3"/>
  <c r="B2786" i="3"/>
  <c r="A2786" i="3"/>
  <c r="B2785" i="3"/>
  <c r="A2785" i="3"/>
  <c r="B2784" i="3"/>
  <c r="A2784" i="3"/>
  <c r="B2783" i="3"/>
  <c r="A2783" i="3"/>
  <c r="B2782" i="3"/>
  <c r="A2782" i="3"/>
  <c r="B2781" i="3"/>
  <c r="A2781" i="3"/>
  <c r="B2780" i="3"/>
  <c r="A2780" i="3"/>
  <c r="B2779" i="3"/>
  <c r="A2779" i="3"/>
  <c r="B2778" i="3"/>
  <c r="A2778" i="3"/>
  <c r="B2777" i="3"/>
  <c r="A2777" i="3"/>
  <c r="B2776" i="3"/>
  <c r="A2776" i="3"/>
  <c r="B2775" i="3"/>
  <c r="A2775" i="3"/>
  <c r="B2774" i="3"/>
  <c r="A2774" i="3"/>
  <c r="B2773" i="3"/>
  <c r="A2773" i="3"/>
  <c r="B2772" i="3"/>
  <c r="A2772" i="3"/>
  <c r="B2771" i="3"/>
  <c r="A2771" i="3"/>
  <c r="B2770" i="3"/>
  <c r="A2770" i="3"/>
  <c r="B2769" i="3"/>
  <c r="A2769" i="3"/>
  <c r="B2768" i="3"/>
  <c r="A2768" i="3"/>
  <c r="B2767" i="3"/>
  <c r="A2767" i="3"/>
  <c r="B2766" i="3"/>
  <c r="A2766" i="3"/>
  <c r="B2765" i="3"/>
  <c r="A2765" i="3"/>
  <c r="B2764" i="3"/>
  <c r="A2764" i="3"/>
  <c r="B2763" i="3"/>
  <c r="A2763" i="3"/>
  <c r="B2762" i="3"/>
  <c r="A2762" i="3"/>
  <c r="B2761" i="3"/>
  <c r="A2761" i="3"/>
  <c r="B2760" i="3"/>
  <c r="A2760" i="3"/>
  <c r="B2759" i="3"/>
  <c r="A2759" i="3"/>
  <c r="B2758" i="3"/>
  <c r="A2758" i="3"/>
  <c r="B2757" i="3"/>
  <c r="A2757" i="3"/>
  <c r="B2756" i="3"/>
  <c r="A2756" i="3"/>
  <c r="B2755" i="3"/>
  <c r="A2755" i="3"/>
  <c r="B2754" i="3"/>
  <c r="A2754" i="3"/>
  <c r="B2753" i="3"/>
  <c r="A2753" i="3"/>
  <c r="B2752" i="3"/>
  <c r="A2752" i="3"/>
  <c r="B2751" i="3"/>
  <c r="A2751" i="3"/>
  <c r="B2750" i="3"/>
  <c r="A2750" i="3"/>
  <c r="B2749" i="3"/>
  <c r="A2749" i="3"/>
  <c r="B2748" i="3"/>
  <c r="A2748" i="3"/>
  <c r="B2747" i="3"/>
  <c r="A2747" i="3"/>
  <c r="B2746" i="3"/>
  <c r="A2746" i="3"/>
  <c r="B2745" i="3"/>
  <c r="A2745" i="3"/>
  <c r="B2744" i="3"/>
  <c r="A2744" i="3"/>
  <c r="B2743" i="3"/>
  <c r="A2743" i="3"/>
  <c r="B2742" i="3"/>
  <c r="A2742" i="3"/>
  <c r="B2741" i="3"/>
  <c r="A2741" i="3"/>
  <c r="B2740" i="3"/>
  <c r="A2740" i="3"/>
  <c r="B2739" i="3"/>
  <c r="A2739" i="3"/>
  <c r="B2738" i="3"/>
  <c r="A2738" i="3"/>
  <c r="B2737" i="3"/>
  <c r="A2737" i="3"/>
  <c r="B2736" i="3"/>
  <c r="A2736" i="3"/>
  <c r="B2735" i="3"/>
  <c r="A2735" i="3"/>
  <c r="B2734" i="3"/>
  <c r="A2734" i="3"/>
  <c r="B2733" i="3"/>
  <c r="A2733" i="3"/>
  <c r="B2732" i="3"/>
  <c r="A2732" i="3"/>
  <c r="B2731" i="3"/>
  <c r="A2731" i="3"/>
  <c r="B2730" i="3"/>
  <c r="A2730" i="3"/>
  <c r="B2729" i="3"/>
  <c r="A2729" i="3"/>
  <c r="B2728" i="3"/>
  <c r="A2728" i="3"/>
  <c r="B2727" i="3"/>
  <c r="A2727" i="3"/>
  <c r="B2726" i="3"/>
  <c r="A2726" i="3"/>
  <c r="B2725" i="3"/>
  <c r="A2725" i="3"/>
  <c r="B2724" i="3"/>
  <c r="A2724" i="3"/>
  <c r="B2723" i="3"/>
  <c r="A2723" i="3"/>
  <c r="B2722" i="3"/>
  <c r="A2722" i="3"/>
  <c r="B2721" i="3"/>
  <c r="A2721" i="3"/>
  <c r="B2720" i="3"/>
  <c r="A2720" i="3"/>
  <c r="B2719" i="3"/>
  <c r="A2719" i="3"/>
  <c r="B2718" i="3"/>
  <c r="A2718" i="3"/>
  <c r="B2717" i="3"/>
  <c r="A2717" i="3"/>
  <c r="B2716" i="3"/>
  <c r="A2716" i="3"/>
  <c r="B2715" i="3"/>
  <c r="A2715" i="3"/>
  <c r="B2714" i="3"/>
  <c r="A2714" i="3"/>
  <c r="B2713" i="3"/>
  <c r="A2713" i="3"/>
  <c r="B2712" i="3"/>
  <c r="A2712" i="3"/>
  <c r="B2711" i="3"/>
  <c r="A2711" i="3"/>
  <c r="B2710" i="3"/>
  <c r="A2710" i="3"/>
  <c r="B2709" i="3"/>
  <c r="A2709" i="3"/>
  <c r="B2708" i="3"/>
  <c r="A2708" i="3"/>
  <c r="B2707" i="3"/>
  <c r="A2707" i="3"/>
  <c r="B2706" i="3"/>
  <c r="A2706" i="3"/>
  <c r="B2705" i="3"/>
  <c r="A2705" i="3"/>
  <c r="B2704" i="3"/>
  <c r="A2704" i="3"/>
  <c r="B2703" i="3"/>
  <c r="A2703" i="3"/>
  <c r="B2702" i="3"/>
  <c r="A2702" i="3"/>
  <c r="B2701" i="3"/>
  <c r="A2701" i="3"/>
  <c r="B2700" i="3"/>
  <c r="A2700" i="3"/>
  <c r="B2699" i="3"/>
  <c r="A2699" i="3"/>
  <c r="B2698" i="3"/>
  <c r="A2698" i="3"/>
  <c r="B2697" i="3"/>
  <c r="A2697" i="3"/>
  <c r="B2696" i="3"/>
  <c r="A2696" i="3"/>
  <c r="B2695" i="3"/>
  <c r="A2695" i="3"/>
  <c r="B2694" i="3"/>
  <c r="A2694" i="3"/>
  <c r="B2693" i="3"/>
  <c r="A2693" i="3"/>
  <c r="B2692" i="3"/>
  <c r="A2692" i="3"/>
  <c r="B2691" i="3"/>
  <c r="A2691" i="3"/>
  <c r="B2690" i="3"/>
  <c r="A2690" i="3"/>
  <c r="B2689" i="3"/>
  <c r="A2689" i="3"/>
  <c r="B2688" i="3"/>
  <c r="A2688" i="3"/>
  <c r="B2687" i="3"/>
  <c r="A2687" i="3"/>
  <c r="B2686" i="3"/>
  <c r="A2686" i="3"/>
  <c r="B2685" i="3"/>
  <c r="A2685" i="3"/>
  <c r="B2684" i="3"/>
  <c r="A2684" i="3"/>
  <c r="B2683" i="3"/>
  <c r="A2683" i="3"/>
  <c r="B2682" i="3"/>
  <c r="A2682" i="3"/>
  <c r="B2681" i="3"/>
  <c r="A2681" i="3"/>
  <c r="B2680" i="3"/>
  <c r="A2680" i="3"/>
  <c r="B2679" i="3"/>
  <c r="A2679" i="3"/>
  <c r="B2678" i="3"/>
  <c r="A2678" i="3"/>
  <c r="B2677" i="3"/>
  <c r="A2677" i="3"/>
  <c r="B2676" i="3"/>
  <c r="A2676" i="3"/>
  <c r="B2675" i="3"/>
  <c r="A2675" i="3"/>
  <c r="B2674" i="3"/>
  <c r="A2674" i="3"/>
  <c r="B2673" i="3"/>
  <c r="A2673" i="3"/>
  <c r="B2672" i="3"/>
  <c r="A2672" i="3"/>
  <c r="B2671" i="3"/>
  <c r="A2671" i="3"/>
  <c r="B2670" i="3"/>
  <c r="A2670" i="3"/>
  <c r="B2669" i="3"/>
  <c r="A2669" i="3"/>
  <c r="B2668" i="3"/>
  <c r="A2668" i="3"/>
  <c r="B2667" i="3"/>
  <c r="A2667" i="3"/>
  <c r="B2666" i="3"/>
  <c r="A2666" i="3"/>
  <c r="B2665" i="3"/>
  <c r="A2665" i="3"/>
  <c r="B2664" i="3"/>
  <c r="A2664" i="3"/>
  <c r="B2663" i="3"/>
  <c r="A2663" i="3"/>
  <c r="B2662" i="3"/>
  <c r="A2662" i="3"/>
  <c r="B2661" i="3"/>
  <c r="A2661" i="3"/>
  <c r="B2660" i="3"/>
  <c r="A2660" i="3"/>
  <c r="B2659" i="3"/>
  <c r="A2659" i="3"/>
  <c r="B2658" i="3"/>
  <c r="A2658" i="3"/>
  <c r="B2657" i="3"/>
  <c r="A2657" i="3"/>
  <c r="B2656" i="3"/>
  <c r="A2656" i="3"/>
  <c r="B2655" i="3"/>
  <c r="A2655" i="3"/>
  <c r="B2654" i="3"/>
  <c r="A2654" i="3"/>
  <c r="B2653" i="3"/>
  <c r="A2653" i="3"/>
  <c r="B2652" i="3"/>
  <c r="A2652" i="3"/>
  <c r="B2651" i="3"/>
  <c r="A2651" i="3"/>
  <c r="B2650" i="3"/>
  <c r="A2650" i="3"/>
  <c r="B2649" i="3"/>
  <c r="A2649" i="3"/>
  <c r="B2648" i="3"/>
  <c r="A2648" i="3"/>
  <c r="B2647" i="3"/>
  <c r="A2647" i="3"/>
  <c r="B2646" i="3"/>
  <c r="A2646" i="3"/>
  <c r="B2645" i="3"/>
  <c r="A2645" i="3"/>
  <c r="B2644" i="3"/>
  <c r="A2644" i="3"/>
  <c r="B2643" i="3"/>
  <c r="A2643" i="3"/>
  <c r="B2642" i="3"/>
  <c r="A2642" i="3"/>
  <c r="B2641" i="3"/>
  <c r="A2641" i="3"/>
  <c r="B2640" i="3"/>
  <c r="A2640" i="3"/>
  <c r="B2639" i="3"/>
  <c r="A2639" i="3"/>
  <c r="B2638" i="3"/>
  <c r="A2638" i="3"/>
  <c r="B2637" i="3"/>
  <c r="A2637" i="3"/>
  <c r="B2636" i="3"/>
  <c r="A2636" i="3"/>
  <c r="B2635" i="3"/>
  <c r="A2635" i="3"/>
  <c r="B2634" i="3"/>
  <c r="A2634" i="3"/>
  <c r="B2633" i="3"/>
  <c r="A2633" i="3"/>
  <c r="B2632" i="3"/>
  <c r="A2632" i="3"/>
  <c r="B2631" i="3"/>
  <c r="A2631" i="3"/>
  <c r="B2630" i="3"/>
  <c r="A2630" i="3"/>
  <c r="B2629" i="3"/>
  <c r="A2629" i="3"/>
  <c r="B2628" i="3"/>
  <c r="A2628" i="3"/>
  <c r="B2627" i="3"/>
  <c r="A2627" i="3"/>
  <c r="B2626" i="3"/>
  <c r="A2626" i="3"/>
  <c r="B2625" i="3"/>
  <c r="A2625" i="3"/>
  <c r="B2624" i="3"/>
  <c r="A2624" i="3"/>
  <c r="B2623" i="3"/>
  <c r="A2623" i="3"/>
  <c r="B2622" i="3"/>
  <c r="A2622" i="3"/>
  <c r="B2621" i="3"/>
  <c r="A2621" i="3"/>
  <c r="B2620" i="3"/>
  <c r="A2620" i="3"/>
  <c r="B2619" i="3"/>
  <c r="A2619" i="3"/>
  <c r="B2618" i="3"/>
  <c r="A2618" i="3"/>
  <c r="B2617" i="3"/>
  <c r="A2617" i="3"/>
  <c r="B2616" i="3"/>
  <c r="A2616" i="3"/>
  <c r="B2615" i="3"/>
  <c r="A2615" i="3"/>
  <c r="B2614" i="3"/>
  <c r="A2614" i="3"/>
  <c r="B2613" i="3"/>
  <c r="A2613" i="3"/>
  <c r="B2612" i="3"/>
  <c r="A2612" i="3"/>
  <c r="B2611" i="3"/>
  <c r="A2611" i="3"/>
  <c r="B2610" i="3"/>
  <c r="A2610" i="3"/>
  <c r="B2609" i="3"/>
  <c r="A2609" i="3"/>
  <c r="B2608" i="3"/>
  <c r="A2608" i="3"/>
  <c r="B2607" i="3"/>
  <c r="A2607" i="3"/>
  <c r="B2606" i="3"/>
  <c r="A2606" i="3"/>
  <c r="B2605" i="3"/>
  <c r="A2605" i="3"/>
  <c r="B2604" i="3"/>
  <c r="A2604" i="3"/>
  <c r="B2603" i="3"/>
  <c r="A2603" i="3"/>
  <c r="B2602" i="3"/>
  <c r="A2602" i="3"/>
  <c r="B2601" i="3"/>
  <c r="A2601" i="3"/>
  <c r="B2600" i="3"/>
  <c r="A2600" i="3"/>
  <c r="B2599" i="3"/>
  <c r="A2599" i="3"/>
  <c r="B2598" i="3"/>
  <c r="A2598" i="3"/>
  <c r="B2597" i="3"/>
  <c r="A2597" i="3"/>
  <c r="B2596" i="3"/>
  <c r="A2596" i="3"/>
  <c r="B2595" i="3"/>
  <c r="A2595" i="3"/>
  <c r="B2594" i="3"/>
  <c r="A2594" i="3"/>
  <c r="B2593" i="3"/>
  <c r="A2593" i="3"/>
  <c r="B2592" i="3"/>
  <c r="A2592" i="3"/>
  <c r="B2591" i="3"/>
  <c r="A2591" i="3"/>
  <c r="B2590" i="3"/>
  <c r="A2590" i="3"/>
  <c r="B2589" i="3"/>
  <c r="A2589" i="3"/>
  <c r="B2588" i="3"/>
  <c r="A2588" i="3"/>
  <c r="B2587" i="3"/>
  <c r="A2587" i="3"/>
  <c r="B2586" i="3"/>
  <c r="A2586" i="3"/>
  <c r="B2585" i="3"/>
  <c r="A2585" i="3"/>
  <c r="B2584" i="3"/>
  <c r="A2584" i="3"/>
  <c r="B2583" i="3"/>
  <c r="A2583" i="3"/>
  <c r="B2582" i="3"/>
  <c r="A2582" i="3"/>
  <c r="B2581" i="3"/>
  <c r="A2581" i="3"/>
  <c r="B2580" i="3"/>
  <c r="A2580" i="3"/>
  <c r="B2579" i="3"/>
  <c r="A2579" i="3"/>
  <c r="B2578" i="3"/>
  <c r="A2578" i="3"/>
  <c r="B2577" i="3"/>
  <c r="A2577" i="3"/>
  <c r="B2576" i="3"/>
  <c r="A2576" i="3"/>
  <c r="B2575" i="3"/>
  <c r="A2575" i="3"/>
  <c r="B2574" i="3"/>
  <c r="A2574" i="3"/>
  <c r="B2573" i="3"/>
  <c r="A2573" i="3"/>
  <c r="B2572" i="3"/>
  <c r="A2572" i="3"/>
  <c r="B2571" i="3"/>
  <c r="A2571" i="3"/>
  <c r="B2570" i="3"/>
  <c r="A2570" i="3"/>
  <c r="B2569" i="3"/>
  <c r="A2569" i="3"/>
  <c r="B2568" i="3"/>
  <c r="A2568" i="3"/>
  <c r="B2567" i="3"/>
  <c r="A2567" i="3"/>
  <c r="B2566" i="3"/>
  <c r="A2566" i="3"/>
  <c r="B2565" i="3"/>
  <c r="A2565" i="3"/>
  <c r="B2564" i="3"/>
  <c r="A2564" i="3"/>
  <c r="B2563" i="3"/>
  <c r="A2563" i="3"/>
  <c r="B2562" i="3"/>
  <c r="A2562" i="3"/>
  <c r="B2561" i="3"/>
  <c r="A2561" i="3"/>
  <c r="B2560" i="3"/>
  <c r="A2560" i="3"/>
  <c r="B2559" i="3"/>
  <c r="A2559" i="3"/>
  <c r="B2558" i="3"/>
  <c r="A2558" i="3"/>
  <c r="B2557" i="3"/>
  <c r="A2557" i="3"/>
  <c r="B2556" i="3"/>
  <c r="A2556" i="3"/>
  <c r="B2555" i="3"/>
  <c r="A2555" i="3"/>
  <c r="B2554" i="3"/>
  <c r="A2554" i="3"/>
  <c r="B2553" i="3"/>
  <c r="A2553" i="3"/>
  <c r="B2552" i="3"/>
  <c r="A2552" i="3"/>
  <c r="B2551" i="3"/>
  <c r="A2551" i="3"/>
  <c r="B2550" i="3"/>
  <c r="A2550" i="3"/>
  <c r="B2549" i="3"/>
  <c r="A2549" i="3"/>
  <c r="B2548" i="3"/>
  <c r="A2548" i="3"/>
  <c r="B2547" i="3"/>
  <c r="A2547" i="3"/>
  <c r="B2546" i="3"/>
  <c r="A2546" i="3"/>
  <c r="B2545" i="3"/>
  <c r="A2545" i="3"/>
  <c r="B2544" i="3"/>
  <c r="A2544" i="3"/>
  <c r="B2543" i="3"/>
  <c r="A2543" i="3"/>
  <c r="B2542" i="3"/>
  <c r="A2542" i="3"/>
  <c r="B2541" i="3"/>
  <c r="A2541" i="3"/>
  <c r="B2540" i="3"/>
  <c r="A2540" i="3"/>
  <c r="B2539" i="3"/>
  <c r="A2539" i="3"/>
  <c r="B2538" i="3"/>
  <c r="A2538" i="3"/>
  <c r="B2537" i="3"/>
  <c r="A2537" i="3"/>
  <c r="B2536" i="3"/>
  <c r="A2536" i="3"/>
  <c r="B2535" i="3"/>
  <c r="A2535" i="3"/>
  <c r="B2534" i="3"/>
  <c r="A2534" i="3"/>
  <c r="B2533" i="3"/>
  <c r="A2533" i="3"/>
  <c r="B2532" i="3"/>
  <c r="A2532" i="3"/>
  <c r="B2531" i="3"/>
  <c r="A2531" i="3"/>
  <c r="B2530" i="3"/>
  <c r="A2530" i="3"/>
  <c r="B2529" i="3"/>
  <c r="A2529" i="3"/>
  <c r="B2528" i="3"/>
  <c r="A2528" i="3"/>
  <c r="B2527" i="3"/>
  <c r="A2527" i="3"/>
  <c r="B2526" i="3"/>
  <c r="A2526" i="3"/>
  <c r="B2525" i="3"/>
  <c r="A2525" i="3"/>
  <c r="B2524" i="3"/>
  <c r="A2524" i="3"/>
  <c r="B2523" i="3"/>
  <c r="A2523" i="3"/>
  <c r="B2522" i="3"/>
  <c r="A2522" i="3"/>
  <c r="B2521" i="3"/>
  <c r="A2521" i="3"/>
  <c r="B2520" i="3"/>
  <c r="A2520" i="3"/>
  <c r="B2519" i="3"/>
  <c r="A2519" i="3"/>
  <c r="B2518" i="3"/>
  <c r="A2518" i="3"/>
  <c r="B2517" i="3"/>
  <c r="A2517" i="3"/>
  <c r="B2516" i="3"/>
  <c r="A2516" i="3"/>
  <c r="B2515" i="3"/>
  <c r="A2515" i="3"/>
  <c r="B2514" i="3"/>
  <c r="A2514" i="3"/>
  <c r="B2513" i="3"/>
  <c r="A2513" i="3"/>
  <c r="B2512" i="3"/>
  <c r="A2512" i="3"/>
  <c r="B2511" i="3"/>
  <c r="A2511" i="3"/>
  <c r="B2510" i="3"/>
  <c r="A2510" i="3"/>
  <c r="B2509" i="3"/>
  <c r="A2509" i="3"/>
  <c r="B2508" i="3"/>
  <c r="A2508" i="3"/>
  <c r="B2507" i="3"/>
  <c r="A2507" i="3"/>
  <c r="B2506" i="3"/>
  <c r="A2506" i="3"/>
  <c r="B2505" i="3"/>
  <c r="A2505" i="3"/>
  <c r="B2504" i="3"/>
  <c r="A2504" i="3"/>
  <c r="B2503" i="3"/>
  <c r="A2503" i="3"/>
  <c r="B2502" i="3"/>
  <c r="A2502" i="3"/>
  <c r="B2501" i="3"/>
  <c r="A2501" i="3"/>
  <c r="B2500" i="3"/>
  <c r="A2500" i="3"/>
  <c r="B2499" i="3"/>
  <c r="A2499" i="3"/>
  <c r="B2498" i="3"/>
  <c r="A2498" i="3"/>
  <c r="B2497" i="3"/>
  <c r="A2497" i="3"/>
  <c r="B2496" i="3"/>
  <c r="A2496" i="3"/>
  <c r="B2495" i="3"/>
  <c r="A2495" i="3"/>
  <c r="B2494" i="3"/>
  <c r="A2494" i="3"/>
  <c r="B2493" i="3"/>
  <c r="A2493" i="3"/>
  <c r="B2492" i="3"/>
  <c r="A2492" i="3"/>
  <c r="B2491" i="3"/>
  <c r="A2491" i="3"/>
  <c r="B2490" i="3"/>
  <c r="A2490" i="3"/>
  <c r="B2489" i="3"/>
  <c r="A2489" i="3"/>
  <c r="B2488" i="3"/>
  <c r="A2488" i="3"/>
  <c r="B2487" i="3"/>
  <c r="A2487" i="3"/>
  <c r="B2486" i="3"/>
  <c r="A2486" i="3"/>
  <c r="B2485" i="3"/>
  <c r="A2485" i="3"/>
  <c r="B2484" i="3"/>
  <c r="A2484" i="3"/>
  <c r="B2483" i="3"/>
  <c r="A2483" i="3"/>
  <c r="B2482" i="3"/>
  <c r="A2482" i="3"/>
  <c r="B2481" i="3"/>
  <c r="A2481" i="3"/>
  <c r="B2480" i="3"/>
  <c r="A2480" i="3"/>
  <c r="B2479" i="3"/>
  <c r="A2479" i="3"/>
  <c r="B2478" i="3"/>
  <c r="A2478" i="3"/>
  <c r="B2477" i="3"/>
  <c r="A2477" i="3"/>
  <c r="B2476" i="3"/>
  <c r="A2476" i="3"/>
  <c r="B2475" i="3"/>
  <c r="A2475" i="3"/>
  <c r="B2474" i="3"/>
  <c r="A2474" i="3"/>
  <c r="B2473" i="3"/>
  <c r="A2473" i="3"/>
  <c r="B2472" i="3"/>
  <c r="A2472" i="3"/>
  <c r="B2471" i="3"/>
  <c r="A2471" i="3"/>
  <c r="B2470" i="3"/>
  <c r="A2470" i="3"/>
  <c r="B2469" i="3"/>
  <c r="A2469" i="3"/>
  <c r="B2468" i="3"/>
  <c r="A2468" i="3"/>
  <c r="B2467" i="3"/>
  <c r="A2467" i="3"/>
  <c r="B2466" i="3"/>
  <c r="A2466" i="3"/>
  <c r="B2465" i="3"/>
  <c r="A2465" i="3"/>
  <c r="B2464" i="3"/>
  <c r="A2464" i="3"/>
  <c r="B2463" i="3"/>
  <c r="A2463" i="3"/>
  <c r="B2462" i="3"/>
  <c r="A2462" i="3"/>
  <c r="B2461" i="3"/>
  <c r="A2461" i="3"/>
  <c r="B2460" i="3"/>
  <c r="A2460" i="3"/>
  <c r="B2459" i="3"/>
  <c r="A2459" i="3"/>
  <c r="B2458" i="3"/>
  <c r="A2458" i="3"/>
  <c r="B2457" i="3"/>
  <c r="A2457" i="3"/>
  <c r="B2456" i="3"/>
  <c r="A2456" i="3"/>
  <c r="B2455" i="3"/>
  <c r="A2455" i="3"/>
  <c r="B2454" i="3"/>
  <c r="A2454" i="3"/>
  <c r="B2453" i="3"/>
  <c r="A2453" i="3"/>
  <c r="B2452" i="3"/>
  <c r="A2452" i="3"/>
  <c r="B2451" i="3"/>
  <c r="A2451" i="3"/>
  <c r="B2450" i="3"/>
  <c r="A2450" i="3"/>
  <c r="B2449" i="3"/>
  <c r="A2449" i="3"/>
  <c r="B2448" i="3"/>
  <c r="A2448" i="3"/>
  <c r="B2447" i="3"/>
  <c r="A2447" i="3"/>
  <c r="B2446" i="3"/>
  <c r="A2446" i="3"/>
  <c r="B2445" i="3"/>
  <c r="A2445" i="3"/>
  <c r="B2444" i="3"/>
  <c r="A2444" i="3"/>
  <c r="B2443" i="3"/>
  <c r="A2443" i="3"/>
  <c r="B2442" i="3"/>
  <c r="A2442" i="3"/>
  <c r="B2441" i="3"/>
  <c r="A2441" i="3"/>
  <c r="B2440" i="3"/>
  <c r="A2440" i="3"/>
  <c r="B2439" i="3"/>
  <c r="A2439" i="3"/>
  <c r="B2438" i="3"/>
  <c r="A2438" i="3"/>
  <c r="B2437" i="3"/>
  <c r="A2437" i="3"/>
  <c r="B2436" i="3"/>
  <c r="A2436" i="3"/>
  <c r="B2435" i="3"/>
  <c r="A2435" i="3"/>
  <c r="B2434" i="3"/>
  <c r="A2434" i="3"/>
  <c r="B2433" i="3"/>
  <c r="A2433" i="3"/>
  <c r="B2432" i="3"/>
  <c r="A2432" i="3"/>
  <c r="B2431" i="3"/>
  <c r="A2431" i="3"/>
  <c r="B2430" i="3"/>
  <c r="A2430" i="3"/>
  <c r="B2429" i="3"/>
  <c r="A2429" i="3"/>
  <c r="B2428" i="3"/>
  <c r="A2428" i="3"/>
  <c r="B2427" i="3"/>
  <c r="A2427" i="3"/>
  <c r="B2426" i="3"/>
  <c r="A2426" i="3"/>
  <c r="B2425" i="3"/>
  <c r="A2425" i="3"/>
  <c r="B2424" i="3"/>
  <c r="A2424" i="3"/>
  <c r="B2423" i="3"/>
  <c r="A2423" i="3"/>
  <c r="B2422" i="3"/>
  <c r="A2422" i="3"/>
  <c r="B2421" i="3"/>
  <c r="A2421" i="3"/>
  <c r="B2420" i="3"/>
  <c r="A2420" i="3"/>
  <c r="B2419" i="3"/>
  <c r="A2419" i="3"/>
  <c r="B2418" i="3"/>
  <c r="A2418" i="3"/>
  <c r="B2417" i="3"/>
  <c r="A2417" i="3"/>
  <c r="B2416" i="3"/>
  <c r="A2416" i="3"/>
  <c r="B2415" i="3"/>
  <c r="A2415" i="3"/>
  <c r="B2414" i="3"/>
  <c r="A2414" i="3"/>
  <c r="B2413" i="3"/>
  <c r="A2413" i="3"/>
  <c r="B2412" i="3"/>
  <c r="A2412" i="3"/>
  <c r="B2411" i="3"/>
  <c r="A2411" i="3"/>
  <c r="B2410" i="3"/>
  <c r="A2410" i="3"/>
  <c r="B2409" i="3"/>
  <c r="A2409" i="3"/>
  <c r="B2408" i="3"/>
  <c r="A2408" i="3"/>
  <c r="B2407" i="3"/>
  <c r="A2407" i="3"/>
  <c r="B2406" i="3"/>
  <c r="A2406" i="3"/>
  <c r="B2405" i="3"/>
  <c r="A2405" i="3"/>
  <c r="B2404" i="3"/>
  <c r="A2404" i="3"/>
  <c r="B2403" i="3"/>
  <c r="A2403" i="3"/>
  <c r="B2402" i="3"/>
  <c r="A2402" i="3"/>
  <c r="B2401" i="3"/>
  <c r="A2401" i="3"/>
  <c r="B2400" i="3"/>
  <c r="A2400" i="3"/>
  <c r="B2399" i="3"/>
  <c r="A2399" i="3"/>
  <c r="B2398" i="3"/>
  <c r="A2398" i="3"/>
  <c r="B2397" i="3"/>
  <c r="A2397" i="3"/>
  <c r="B2396" i="3"/>
  <c r="A2396" i="3"/>
  <c r="B2395" i="3"/>
  <c r="A2395" i="3"/>
  <c r="B2394" i="3"/>
  <c r="A2394" i="3"/>
  <c r="B2393" i="3"/>
  <c r="A2393" i="3"/>
  <c r="B2392" i="3"/>
  <c r="A2392" i="3"/>
  <c r="B2391" i="3"/>
  <c r="A2391" i="3"/>
  <c r="B2390" i="3"/>
  <c r="A2390" i="3"/>
  <c r="B2389" i="3"/>
  <c r="A2389" i="3"/>
  <c r="B2388" i="3"/>
  <c r="A2388" i="3"/>
  <c r="B2387" i="3"/>
  <c r="A2387" i="3"/>
  <c r="B2386" i="3"/>
  <c r="A2386" i="3"/>
  <c r="B2385" i="3"/>
  <c r="A2385" i="3"/>
  <c r="B2384" i="3"/>
  <c r="A2384" i="3"/>
  <c r="B2383" i="3"/>
  <c r="A2383" i="3"/>
  <c r="B2382" i="3"/>
  <c r="A2382" i="3"/>
  <c r="B2381" i="3"/>
  <c r="A2381" i="3"/>
  <c r="B2380" i="3"/>
  <c r="A2380" i="3"/>
  <c r="B2379" i="3"/>
  <c r="A2379" i="3"/>
  <c r="B2378" i="3"/>
  <c r="A2378" i="3"/>
  <c r="B2377" i="3"/>
  <c r="A2377" i="3"/>
  <c r="B2376" i="3"/>
  <c r="A2376" i="3"/>
  <c r="B2375" i="3"/>
  <c r="A2375" i="3"/>
  <c r="B2374" i="3"/>
  <c r="A2374" i="3"/>
  <c r="B2373" i="3"/>
  <c r="A2373" i="3"/>
  <c r="B2372" i="3"/>
  <c r="A2372" i="3"/>
  <c r="B2371" i="3"/>
  <c r="A2371" i="3"/>
  <c r="B2370" i="3"/>
  <c r="A2370" i="3"/>
  <c r="B2369" i="3"/>
  <c r="A2369" i="3"/>
  <c r="B2368" i="3"/>
  <c r="A2368" i="3"/>
  <c r="B2367" i="3"/>
  <c r="A2367" i="3"/>
  <c r="B2366" i="3"/>
  <c r="A2366" i="3"/>
  <c r="B2365" i="3"/>
  <c r="A2365" i="3"/>
  <c r="B2364" i="3"/>
  <c r="A2364" i="3"/>
  <c r="B2363" i="3"/>
  <c r="A2363" i="3"/>
  <c r="B2362" i="3"/>
  <c r="A2362" i="3"/>
  <c r="B2361" i="3"/>
  <c r="A2361" i="3"/>
  <c r="B2360" i="3"/>
  <c r="A2360" i="3"/>
  <c r="B2359" i="3"/>
  <c r="A2359" i="3"/>
  <c r="B2358" i="3"/>
  <c r="A2358" i="3"/>
  <c r="B2357" i="3"/>
  <c r="A2357" i="3"/>
  <c r="B2356" i="3"/>
  <c r="A2356" i="3"/>
  <c r="B2355" i="3"/>
  <c r="A2355" i="3"/>
  <c r="B2354" i="3"/>
  <c r="A2354" i="3"/>
  <c r="B2353" i="3"/>
  <c r="A2353" i="3"/>
  <c r="B2352" i="3"/>
  <c r="A2352" i="3"/>
  <c r="B2351" i="3"/>
  <c r="A2351" i="3"/>
  <c r="B2350" i="3"/>
  <c r="A2350" i="3"/>
  <c r="B2349" i="3"/>
  <c r="A2349" i="3"/>
  <c r="B2348" i="3"/>
  <c r="A2348" i="3"/>
  <c r="B2347" i="3"/>
  <c r="A2347" i="3"/>
  <c r="B2346" i="3"/>
  <c r="A2346" i="3"/>
  <c r="B2345" i="3"/>
  <c r="A2345" i="3"/>
  <c r="B2344" i="3"/>
  <c r="A2344" i="3"/>
  <c r="B2343" i="3"/>
  <c r="A2343" i="3"/>
  <c r="B2342" i="3"/>
  <c r="A2342" i="3"/>
  <c r="B2341" i="3"/>
  <c r="A2341" i="3"/>
  <c r="B2340" i="3"/>
  <c r="A2340" i="3"/>
  <c r="B2339" i="3"/>
  <c r="A2339" i="3"/>
  <c r="B2338" i="3"/>
  <c r="A2338" i="3"/>
  <c r="B2337" i="3"/>
  <c r="A2337" i="3"/>
  <c r="B2336" i="3"/>
  <c r="A2336" i="3"/>
  <c r="B2335" i="3"/>
  <c r="A2335" i="3"/>
  <c r="B2334" i="3"/>
  <c r="A2334" i="3"/>
  <c r="B2333" i="3"/>
  <c r="A2333" i="3"/>
  <c r="B2332" i="3"/>
  <c r="A2332" i="3"/>
  <c r="B2331" i="3"/>
  <c r="A2331" i="3"/>
  <c r="B2330" i="3"/>
  <c r="A2330" i="3"/>
  <c r="B2329" i="3"/>
  <c r="A2329" i="3"/>
  <c r="B2328" i="3"/>
  <c r="A2328" i="3"/>
  <c r="B2327" i="3"/>
  <c r="A2327" i="3"/>
  <c r="B2326" i="3"/>
  <c r="A2326" i="3"/>
  <c r="B2325" i="3"/>
  <c r="A2325" i="3"/>
  <c r="B2324" i="3"/>
  <c r="A2324" i="3"/>
  <c r="B2323" i="3"/>
  <c r="A2323" i="3"/>
  <c r="B2322" i="3"/>
  <c r="A2322" i="3"/>
  <c r="B2321" i="3"/>
  <c r="A2321" i="3"/>
  <c r="B2320" i="3"/>
  <c r="A2320" i="3"/>
  <c r="B2319" i="3"/>
  <c r="A2319" i="3"/>
  <c r="B2318" i="3"/>
  <c r="A2318" i="3"/>
  <c r="B2317" i="3"/>
  <c r="A2317" i="3"/>
  <c r="B2316" i="3"/>
  <c r="A2316" i="3"/>
  <c r="B2315" i="3"/>
  <c r="A2315" i="3"/>
  <c r="B2314" i="3"/>
  <c r="A2314" i="3"/>
  <c r="B2313" i="3"/>
  <c r="A2313" i="3"/>
  <c r="B2312" i="3"/>
  <c r="A2312" i="3"/>
  <c r="B2311" i="3"/>
  <c r="A2311" i="3"/>
  <c r="B2310" i="3"/>
  <c r="A2310" i="3"/>
  <c r="B2309" i="3"/>
  <c r="A2309" i="3"/>
  <c r="B2308" i="3"/>
  <c r="A2308" i="3"/>
  <c r="B2307" i="3"/>
  <c r="A2307" i="3"/>
  <c r="B2306" i="3"/>
  <c r="A2306" i="3"/>
  <c r="B2305" i="3"/>
  <c r="A2305" i="3"/>
  <c r="B2304" i="3"/>
  <c r="A2304" i="3"/>
  <c r="B2303" i="3"/>
  <c r="A2303" i="3"/>
  <c r="B2302" i="3"/>
  <c r="A2302" i="3"/>
  <c r="B2301" i="3"/>
  <c r="A2301" i="3"/>
  <c r="B2300" i="3"/>
  <c r="A2300" i="3"/>
  <c r="B2299" i="3"/>
  <c r="A2299" i="3"/>
  <c r="B2298" i="3"/>
  <c r="A2298" i="3"/>
  <c r="B2297" i="3"/>
  <c r="A2297" i="3"/>
  <c r="B2296" i="3"/>
  <c r="A2296" i="3"/>
  <c r="B2295" i="3"/>
  <c r="A2295" i="3"/>
  <c r="B2294" i="3"/>
  <c r="A2294" i="3"/>
  <c r="B2293" i="3"/>
  <c r="A2293" i="3"/>
  <c r="B2292" i="3"/>
  <c r="A2292" i="3"/>
  <c r="B2291" i="3"/>
  <c r="A2291" i="3"/>
  <c r="B2290" i="3"/>
  <c r="A2290" i="3"/>
  <c r="B2289" i="3"/>
  <c r="A2289" i="3"/>
  <c r="B2288" i="3"/>
  <c r="A2288" i="3"/>
  <c r="B2287" i="3"/>
  <c r="A2287" i="3"/>
  <c r="B2286" i="3"/>
  <c r="A2286" i="3"/>
  <c r="B2285" i="3"/>
  <c r="A2285" i="3"/>
  <c r="B2284" i="3"/>
  <c r="A2284" i="3"/>
  <c r="B2283" i="3"/>
  <c r="A2283" i="3"/>
  <c r="B2282" i="3"/>
  <c r="A2282" i="3"/>
  <c r="B2281" i="3"/>
  <c r="A2281" i="3"/>
  <c r="B2280" i="3"/>
  <c r="A2280" i="3"/>
  <c r="B2279" i="3"/>
  <c r="A2279" i="3"/>
  <c r="B2278" i="3"/>
  <c r="A2278" i="3"/>
  <c r="B2277" i="3"/>
  <c r="A2277" i="3"/>
  <c r="B2276" i="3"/>
  <c r="A2276" i="3"/>
  <c r="B2275" i="3"/>
  <c r="A2275" i="3"/>
  <c r="B2274" i="3"/>
  <c r="A2274" i="3"/>
  <c r="B2273" i="3"/>
  <c r="A2273" i="3"/>
  <c r="B2272" i="3"/>
  <c r="A2272" i="3"/>
  <c r="B2271" i="3"/>
  <c r="A2271" i="3"/>
  <c r="B2270" i="3"/>
  <c r="A2270" i="3"/>
  <c r="B2269" i="3"/>
  <c r="A2269" i="3"/>
  <c r="B2268" i="3"/>
  <c r="A2268" i="3"/>
  <c r="B2267" i="3"/>
  <c r="A2267" i="3"/>
  <c r="B2266" i="3"/>
  <c r="A2266" i="3"/>
  <c r="B2265" i="3"/>
  <c r="A2265" i="3"/>
  <c r="B2264" i="3"/>
  <c r="A2264" i="3"/>
  <c r="B2263" i="3"/>
  <c r="A2263" i="3"/>
  <c r="B2262" i="3"/>
  <c r="A2262" i="3"/>
  <c r="B2261" i="3"/>
  <c r="A2261" i="3"/>
  <c r="B2260" i="3"/>
  <c r="A2260" i="3"/>
  <c r="B2259" i="3"/>
  <c r="A2259" i="3"/>
  <c r="B2258" i="3"/>
  <c r="A2258" i="3"/>
  <c r="B2257" i="3"/>
  <c r="A2257" i="3"/>
  <c r="B2256" i="3"/>
  <c r="A2256" i="3"/>
  <c r="B2255" i="3"/>
  <c r="A2255" i="3"/>
  <c r="B2254" i="3"/>
  <c r="A2254" i="3"/>
  <c r="B2253" i="3"/>
  <c r="A2253" i="3"/>
  <c r="B2252" i="3"/>
  <c r="A2252" i="3"/>
  <c r="B2251" i="3"/>
  <c r="A2251" i="3"/>
  <c r="B2250" i="3"/>
  <c r="A2250" i="3"/>
  <c r="B2249" i="3"/>
  <c r="A2249" i="3"/>
  <c r="B2248" i="3"/>
  <c r="A2248" i="3"/>
  <c r="B2247" i="3"/>
  <c r="A2247" i="3"/>
  <c r="B2246" i="3"/>
  <c r="A2246" i="3"/>
  <c r="B2245" i="3"/>
  <c r="A2245" i="3"/>
  <c r="B2244" i="3"/>
  <c r="A2244" i="3"/>
  <c r="B2243" i="3"/>
  <c r="A2243" i="3"/>
  <c r="B2242" i="3"/>
  <c r="A2242" i="3"/>
  <c r="B2241" i="3"/>
  <c r="A2241" i="3"/>
  <c r="B2240" i="3"/>
  <c r="A2240" i="3"/>
  <c r="B2239" i="3"/>
  <c r="A2239" i="3"/>
  <c r="B2238" i="3"/>
  <c r="A2238" i="3"/>
  <c r="B2237" i="3"/>
  <c r="A2237" i="3"/>
  <c r="B2236" i="3"/>
  <c r="A2236" i="3"/>
  <c r="B2235" i="3"/>
  <c r="A2235" i="3"/>
  <c r="B2234" i="3"/>
  <c r="A2234" i="3"/>
  <c r="B2233" i="3"/>
  <c r="A2233" i="3"/>
  <c r="B2232" i="3"/>
  <c r="A2232" i="3"/>
  <c r="B2231" i="3"/>
  <c r="A2231" i="3"/>
  <c r="B2230" i="3"/>
  <c r="A2230" i="3"/>
  <c r="B2229" i="3"/>
  <c r="A2229" i="3"/>
  <c r="B2228" i="3"/>
  <c r="A2228" i="3"/>
  <c r="B2227" i="3"/>
  <c r="A2227" i="3"/>
  <c r="B2226" i="3"/>
  <c r="A2226" i="3"/>
  <c r="B2225" i="3"/>
  <c r="A2225" i="3"/>
  <c r="B2224" i="3"/>
  <c r="A2224" i="3"/>
  <c r="B2223" i="3"/>
  <c r="A2223" i="3"/>
  <c r="B2222" i="3"/>
  <c r="A2222" i="3"/>
  <c r="B2221" i="3"/>
  <c r="A2221" i="3"/>
  <c r="B2220" i="3"/>
  <c r="A2220" i="3"/>
  <c r="B2219" i="3"/>
  <c r="A2219" i="3"/>
  <c r="B2218" i="3"/>
  <c r="A2218" i="3"/>
  <c r="B2217" i="3"/>
  <c r="A2217" i="3"/>
  <c r="B2216" i="3"/>
  <c r="A2216" i="3"/>
  <c r="B2215" i="3"/>
  <c r="A2215" i="3"/>
  <c r="B2214" i="3"/>
  <c r="A2214" i="3"/>
  <c r="B2213" i="3"/>
  <c r="A2213" i="3"/>
  <c r="B2212" i="3"/>
  <c r="A2212" i="3"/>
  <c r="B2211" i="3"/>
  <c r="A2211" i="3"/>
  <c r="B2210" i="3"/>
  <c r="A2210" i="3"/>
  <c r="B2209" i="3"/>
  <c r="A2209" i="3"/>
  <c r="B2208" i="3"/>
  <c r="A2208" i="3"/>
  <c r="B2207" i="3"/>
  <c r="A2207" i="3"/>
  <c r="B2206" i="3"/>
  <c r="A2206" i="3"/>
  <c r="B2205" i="3"/>
  <c r="A2205" i="3"/>
  <c r="B2204" i="3"/>
  <c r="A2204" i="3"/>
  <c r="B2203" i="3"/>
  <c r="A2203" i="3"/>
  <c r="B2202" i="3"/>
  <c r="A2202" i="3"/>
  <c r="B2201" i="3"/>
  <c r="A2201" i="3"/>
  <c r="B2200" i="3"/>
  <c r="A2200" i="3"/>
  <c r="B2199" i="3"/>
  <c r="A2199" i="3"/>
  <c r="B2198" i="3"/>
  <c r="A2198" i="3"/>
  <c r="B2197" i="3"/>
  <c r="A2197" i="3"/>
  <c r="B2196" i="3"/>
  <c r="A2196" i="3"/>
  <c r="B2195" i="3"/>
  <c r="A2195" i="3"/>
  <c r="B2194" i="3"/>
  <c r="A2194" i="3"/>
  <c r="B2193" i="3"/>
  <c r="A2193" i="3"/>
  <c r="B2192" i="3"/>
  <c r="A2192" i="3"/>
  <c r="B2191" i="3"/>
  <c r="A2191" i="3"/>
  <c r="B2190" i="3"/>
  <c r="A2190" i="3"/>
  <c r="B2189" i="3"/>
  <c r="A2189" i="3"/>
  <c r="B2188" i="3"/>
  <c r="A2188" i="3"/>
  <c r="B2187" i="3"/>
  <c r="A2187" i="3"/>
  <c r="B2186" i="3"/>
  <c r="A2186" i="3"/>
  <c r="B2185" i="3"/>
  <c r="A2185" i="3"/>
  <c r="B2184" i="3"/>
  <c r="A2184" i="3"/>
  <c r="B2183" i="3"/>
  <c r="A2183" i="3"/>
  <c r="B2182" i="3"/>
  <c r="A2182" i="3"/>
  <c r="B2181" i="3"/>
  <c r="A2181" i="3"/>
  <c r="B2180" i="3"/>
  <c r="A2180" i="3"/>
  <c r="B2179" i="3"/>
  <c r="A2179" i="3"/>
  <c r="B2178" i="3"/>
  <c r="A2178" i="3"/>
  <c r="B2177" i="3"/>
  <c r="A2177" i="3"/>
  <c r="B2176" i="3"/>
  <c r="A2176" i="3"/>
  <c r="B2175" i="3"/>
  <c r="A2175" i="3"/>
  <c r="B2174" i="3"/>
  <c r="A2174" i="3"/>
  <c r="B2173" i="3"/>
  <c r="A2173" i="3"/>
  <c r="B2172" i="3"/>
  <c r="A2172" i="3"/>
  <c r="B2171" i="3"/>
  <c r="A2171" i="3"/>
  <c r="B2170" i="3"/>
  <c r="A2170" i="3"/>
  <c r="B2169" i="3"/>
  <c r="A2169" i="3"/>
  <c r="B2168" i="3"/>
  <c r="A2168" i="3"/>
  <c r="B2167" i="3"/>
  <c r="A2167" i="3"/>
  <c r="B2166" i="3"/>
  <c r="A2166" i="3"/>
  <c r="B2165" i="3"/>
  <c r="A2165" i="3"/>
  <c r="B2164" i="3"/>
  <c r="A2164" i="3"/>
  <c r="B2163" i="3"/>
  <c r="A2163" i="3"/>
  <c r="B2162" i="3"/>
  <c r="A2162" i="3"/>
  <c r="B2161" i="3"/>
  <c r="A2161" i="3"/>
  <c r="B2160" i="3"/>
  <c r="A2160" i="3"/>
  <c r="B2159" i="3"/>
  <c r="A2159" i="3"/>
  <c r="B2158" i="3"/>
  <c r="A2158" i="3"/>
  <c r="B2157" i="3"/>
  <c r="A2157" i="3"/>
  <c r="B2156" i="3"/>
  <c r="A2156" i="3"/>
  <c r="B2155" i="3"/>
  <c r="A2155" i="3"/>
  <c r="B2154" i="3"/>
  <c r="A2154" i="3"/>
  <c r="B2153" i="3"/>
  <c r="A2153" i="3"/>
  <c r="B2152" i="3"/>
  <c r="A2152" i="3"/>
  <c r="B2151" i="3"/>
  <c r="A2151" i="3"/>
  <c r="B2150" i="3"/>
  <c r="A2150" i="3"/>
  <c r="B2149" i="3"/>
  <c r="A2149" i="3"/>
  <c r="B2148" i="3"/>
  <c r="A2148" i="3"/>
  <c r="B2147" i="3"/>
  <c r="A2147" i="3"/>
  <c r="B2146" i="3"/>
  <c r="A2146" i="3"/>
  <c r="B2145" i="3"/>
  <c r="A2145" i="3"/>
  <c r="B2144" i="3"/>
  <c r="A2144" i="3"/>
  <c r="B2143" i="3"/>
  <c r="A2143" i="3"/>
  <c r="B2142" i="3"/>
  <c r="A2142" i="3"/>
  <c r="B2141" i="3"/>
  <c r="A2141" i="3"/>
  <c r="B2140" i="3"/>
  <c r="A2140" i="3"/>
  <c r="B2139" i="3"/>
  <c r="A2139" i="3"/>
  <c r="B2138" i="3"/>
  <c r="A2138" i="3"/>
  <c r="B2137" i="3"/>
  <c r="A2137" i="3"/>
  <c r="B2136" i="3"/>
  <c r="A2136" i="3"/>
  <c r="B2135" i="3"/>
  <c r="A2135" i="3"/>
  <c r="B2134" i="3"/>
  <c r="A2134" i="3"/>
  <c r="B2133" i="3"/>
  <c r="A2133" i="3"/>
  <c r="B2132" i="3"/>
  <c r="A2132" i="3"/>
  <c r="B2131" i="3"/>
  <c r="A2131" i="3"/>
  <c r="B2130" i="3"/>
  <c r="A2130" i="3"/>
  <c r="B2129" i="3"/>
  <c r="A2129" i="3"/>
  <c r="B2128" i="3"/>
  <c r="A2128" i="3"/>
  <c r="B2127" i="3"/>
  <c r="A2127" i="3"/>
  <c r="B2126" i="3"/>
  <c r="A2126" i="3"/>
  <c r="B2125" i="3"/>
  <c r="A2125" i="3"/>
  <c r="B2124" i="3"/>
  <c r="A2124" i="3"/>
  <c r="B2123" i="3"/>
  <c r="A2123" i="3"/>
  <c r="B2122" i="3"/>
  <c r="A2122" i="3"/>
  <c r="B2121" i="3"/>
  <c r="A2121" i="3"/>
  <c r="B2120" i="3"/>
  <c r="A2120" i="3"/>
  <c r="B2119" i="3"/>
  <c r="A2119" i="3"/>
  <c r="B2118" i="3"/>
  <c r="A2118" i="3"/>
  <c r="B2117" i="3"/>
  <c r="A2117" i="3"/>
  <c r="B2116" i="3"/>
  <c r="A2116" i="3"/>
  <c r="B2115" i="3"/>
  <c r="A2115" i="3"/>
  <c r="B2114" i="3"/>
  <c r="A2114" i="3"/>
  <c r="B2113" i="3"/>
  <c r="A2113" i="3"/>
  <c r="B2112" i="3"/>
  <c r="A2112" i="3"/>
  <c r="B2111" i="3"/>
  <c r="A2111" i="3"/>
  <c r="B2110" i="3"/>
  <c r="A2110" i="3"/>
  <c r="B2109" i="3"/>
  <c r="A2109" i="3"/>
  <c r="B2108" i="3"/>
  <c r="A2108" i="3"/>
  <c r="B2107" i="3"/>
  <c r="A2107" i="3"/>
  <c r="B2106" i="3"/>
  <c r="A2106" i="3"/>
  <c r="B2105" i="3"/>
  <c r="A2105" i="3"/>
  <c r="B2104" i="3"/>
  <c r="A2104" i="3"/>
  <c r="B2103" i="3"/>
  <c r="A2103" i="3"/>
  <c r="B2102" i="3"/>
  <c r="A2102" i="3"/>
  <c r="B2101" i="3"/>
  <c r="A2101" i="3"/>
  <c r="B2100" i="3"/>
  <c r="A2100" i="3"/>
  <c r="B2099" i="3"/>
  <c r="A2099" i="3"/>
  <c r="B2098" i="3"/>
  <c r="A2098" i="3"/>
  <c r="B2097" i="3"/>
  <c r="A2097" i="3"/>
  <c r="B2096" i="3"/>
  <c r="A2096" i="3"/>
  <c r="B2095" i="3"/>
  <c r="A2095" i="3"/>
  <c r="B2094" i="3"/>
  <c r="A2094" i="3"/>
  <c r="B2093" i="3"/>
  <c r="A2093" i="3"/>
  <c r="B2092" i="3"/>
  <c r="A2092" i="3"/>
  <c r="B2091" i="3"/>
  <c r="A2091" i="3"/>
  <c r="B2090" i="3"/>
  <c r="A2090" i="3"/>
  <c r="B2089" i="3"/>
  <c r="A2089" i="3"/>
  <c r="B2088" i="3"/>
  <c r="A2088" i="3"/>
  <c r="B2087" i="3"/>
  <c r="A2087" i="3"/>
  <c r="B2086" i="3"/>
  <c r="A2086" i="3"/>
  <c r="B2085" i="3"/>
  <c r="A2085" i="3"/>
  <c r="B2084" i="3"/>
  <c r="A2084" i="3"/>
  <c r="B2083" i="3"/>
  <c r="A2083" i="3"/>
  <c r="B2082" i="3"/>
  <c r="A2082" i="3"/>
  <c r="B2081" i="3"/>
  <c r="A2081" i="3"/>
  <c r="B2080" i="3"/>
  <c r="A2080" i="3"/>
  <c r="B2079" i="3"/>
  <c r="A2079" i="3"/>
  <c r="B2078" i="3"/>
  <c r="A2078" i="3"/>
  <c r="B2077" i="3"/>
  <c r="A2077" i="3"/>
  <c r="B2076" i="3"/>
  <c r="A2076" i="3"/>
  <c r="B2075" i="3"/>
  <c r="A2075" i="3"/>
  <c r="B2074" i="3"/>
  <c r="A2074" i="3"/>
  <c r="B2073" i="3"/>
  <c r="A2073" i="3"/>
  <c r="B2072" i="3"/>
  <c r="A2072" i="3"/>
  <c r="B2071" i="3"/>
  <c r="A2071" i="3"/>
  <c r="B2070" i="3"/>
  <c r="A2070" i="3"/>
  <c r="B2069" i="3"/>
  <c r="A2069" i="3"/>
  <c r="B2068" i="3"/>
  <c r="A2068" i="3"/>
  <c r="B2067" i="3"/>
  <c r="A2067" i="3"/>
  <c r="B2066" i="3"/>
  <c r="A2066" i="3"/>
  <c r="B2065" i="3"/>
  <c r="A2065" i="3"/>
  <c r="B2064" i="3"/>
  <c r="A2064" i="3"/>
  <c r="B2063" i="3"/>
  <c r="A2063" i="3"/>
  <c r="B2062" i="3"/>
  <c r="A2062" i="3"/>
  <c r="B2061" i="3"/>
  <c r="A2061" i="3"/>
  <c r="B2060" i="3"/>
  <c r="A2060" i="3"/>
  <c r="B2059" i="3"/>
  <c r="A2059" i="3"/>
  <c r="B2058" i="3"/>
  <c r="A2058" i="3"/>
  <c r="B2057" i="3"/>
  <c r="A2057" i="3"/>
  <c r="B2056" i="3"/>
  <c r="A2056" i="3"/>
  <c r="B2055" i="3"/>
  <c r="A2055" i="3"/>
  <c r="B2054" i="3"/>
  <c r="A2054" i="3"/>
  <c r="B2053" i="3"/>
  <c r="A2053" i="3"/>
  <c r="B2052" i="3"/>
  <c r="A2052" i="3"/>
  <c r="B2051" i="3"/>
  <c r="A2051" i="3"/>
  <c r="B2050" i="3"/>
  <c r="A2050" i="3"/>
  <c r="B2049" i="3"/>
  <c r="A2049" i="3"/>
  <c r="B2048" i="3"/>
  <c r="A2048" i="3"/>
  <c r="B2047" i="3"/>
  <c r="A2047" i="3"/>
  <c r="B2046" i="3"/>
  <c r="A2046" i="3"/>
  <c r="B2045" i="3"/>
  <c r="A2045" i="3"/>
  <c r="B2044" i="3"/>
  <c r="A2044" i="3"/>
  <c r="B2043" i="3"/>
  <c r="A2043" i="3"/>
  <c r="B2042" i="3"/>
  <c r="A2042" i="3"/>
  <c r="B2041" i="3"/>
  <c r="A2041" i="3"/>
  <c r="B2040" i="3"/>
  <c r="A2040" i="3"/>
  <c r="B2039" i="3"/>
  <c r="A2039" i="3"/>
  <c r="B2038" i="3"/>
  <c r="A2038" i="3"/>
  <c r="B2037" i="3"/>
  <c r="A2037" i="3"/>
  <c r="B2036" i="3"/>
  <c r="A2036" i="3"/>
  <c r="B2035" i="3"/>
  <c r="A2035" i="3"/>
  <c r="B2034" i="3"/>
  <c r="A2034" i="3"/>
  <c r="B2033" i="3"/>
  <c r="A2033" i="3"/>
  <c r="B2032" i="3"/>
  <c r="A2032" i="3"/>
  <c r="B2031" i="3"/>
  <c r="A2031" i="3"/>
  <c r="B2030" i="3"/>
  <c r="A2030" i="3"/>
  <c r="B2029" i="3"/>
  <c r="A2029" i="3"/>
  <c r="B2028" i="3"/>
  <c r="A2028" i="3"/>
  <c r="B2027" i="3"/>
  <c r="A2027" i="3"/>
  <c r="B2026" i="3"/>
  <c r="A2026" i="3"/>
  <c r="B2025" i="3"/>
  <c r="A2025" i="3"/>
  <c r="B2024" i="3"/>
  <c r="A2024" i="3"/>
  <c r="B2023" i="3"/>
  <c r="A2023" i="3"/>
  <c r="B2022" i="3"/>
  <c r="A2022" i="3"/>
  <c r="B2021" i="3"/>
  <c r="A2021" i="3"/>
  <c r="B2020" i="3"/>
  <c r="A2020" i="3"/>
  <c r="B2019" i="3"/>
  <c r="A2019" i="3"/>
  <c r="B2018" i="3"/>
  <c r="A2018" i="3"/>
  <c r="B2017" i="3"/>
  <c r="A2017" i="3"/>
  <c r="B2016" i="3"/>
  <c r="A2016" i="3"/>
  <c r="B2015" i="3"/>
  <c r="A2015" i="3"/>
  <c r="B2014" i="3"/>
  <c r="A2014" i="3"/>
  <c r="B2013" i="3"/>
  <c r="A2013" i="3"/>
  <c r="B2012" i="3"/>
  <c r="A2012" i="3"/>
  <c r="B2011" i="3"/>
  <c r="A2011" i="3"/>
  <c r="B2010" i="3"/>
  <c r="A2010" i="3"/>
  <c r="B2009" i="3"/>
  <c r="A2009" i="3"/>
  <c r="B2008" i="3"/>
  <c r="A2008" i="3"/>
  <c r="B2007" i="3"/>
  <c r="A2007" i="3"/>
  <c r="B2006" i="3"/>
  <c r="A2006" i="3"/>
  <c r="B2005" i="3"/>
  <c r="A2005" i="3"/>
  <c r="B2004" i="3"/>
  <c r="A2004" i="3"/>
  <c r="B2003" i="3"/>
  <c r="A2003" i="3"/>
  <c r="B2002" i="3"/>
  <c r="A2002" i="3"/>
  <c r="B2001" i="3"/>
  <c r="A2001" i="3"/>
  <c r="B2000" i="3"/>
  <c r="A2000" i="3"/>
  <c r="B1999" i="3"/>
  <c r="A1999" i="3"/>
  <c r="B1998" i="3"/>
  <c r="A1998" i="3"/>
  <c r="B1997" i="3"/>
  <c r="A1997" i="3"/>
  <c r="B1996" i="3"/>
  <c r="A1996" i="3"/>
  <c r="B1995" i="3"/>
  <c r="A1995" i="3"/>
  <c r="B1994" i="3"/>
  <c r="A1994" i="3"/>
  <c r="B1993" i="3"/>
  <c r="A1993" i="3"/>
  <c r="B1992" i="3"/>
  <c r="A1992" i="3"/>
  <c r="B1991" i="3"/>
  <c r="A1991" i="3"/>
  <c r="B1990" i="3"/>
  <c r="A1990" i="3"/>
  <c r="B1989" i="3"/>
  <c r="A1989" i="3"/>
  <c r="B1988" i="3"/>
  <c r="A1988" i="3"/>
  <c r="B1987" i="3"/>
  <c r="A1987" i="3"/>
  <c r="B1986" i="3"/>
  <c r="A1986" i="3"/>
  <c r="B1985" i="3"/>
  <c r="A1985" i="3"/>
  <c r="B1984" i="3"/>
  <c r="A1984" i="3"/>
  <c r="B1983" i="3"/>
  <c r="A1983" i="3"/>
  <c r="B1982" i="3"/>
  <c r="A1982" i="3"/>
  <c r="B1981" i="3"/>
  <c r="A1981" i="3"/>
  <c r="B1980" i="3"/>
  <c r="A1980" i="3"/>
  <c r="B1979" i="3"/>
  <c r="A1979" i="3"/>
  <c r="B1978" i="3"/>
  <c r="A1978" i="3"/>
  <c r="B1977" i="3"/>
  <c r="A1977" i="3"/>
  <c r="B1976" i="3"/>
  <c r="A1976" i="3"/>
  <c r="B1975" i="3"/>
  <c r="A1975" i="3"/>
  <c r="B1974" i="3"/>
  <c r="A1974" i="3"/>
  <c r="B1973" i="3"/>
  <c r="A1973" i="3"/>
  <c r="B1972" i="3"/>
  <c r="A1972" i="3"/>
  <c r="B1971" i="3"/>
  <c r="A1971" i="3"/>
  <c r="B1970" i="3"/>
  <c r="A1970" i="3"/>
  <c r="B1969" i="3"/>
  <c r="A1969" i="3"/>
  <c r="B1968" i="3"/>
  <c r="A1968" i="3"/>
  <c r="B1967" i="3"/>
  <c r="A1967" i="3"/>
  <c r="B1966" i="3"/>
  <c r="A1966" i="3"/>
  <c r="B1965" i="3"/>
  <c r="A1965" i="3"/>
  <c r="B1964" i="3"/>
  <c r="A1964" i="3"/>
  <c r="B1963" i="3"/>
  <c r="A1963" i="3"/>
  <c r="B1962" i="3"/>
  <c r="A1962" i="3"/>
  <c r="B1961" i="3"/>
  <c r="A1961" i="3"/>
  <c r="B1960" i="3"/>
  <c r="A1960" i="3"/>
  <c r="B1959" i="3"/>
  <c r="A1959" i="3"/>
  <c r="B1958" i="3"/>
  <c r="A1958" i="3"/>
  <c r="B1957" i="3"/>
  <c r="A1957" i="3"/>
  <c r="B1956" i="3"/>
  <c r="A1956" i="3"/>
  <c r="B1955" i="3"/>
  <c r="A1955" i="3"/>
  <c r="B1954" i="3"/>
  <c r="A1954" i="3"/>
  <c r="B1953" i="3"/>
  <c r="A1953" i="3"/>
  <c r="B1952" i="3"/>
  <c r="A1952" i="3"/>
  <c r="B1951" i="3"/>
  <c r="A1951" i="3"/>
  <c r="B1950" i="3"/>
  <c r="A1950" i="3"/>
  <c r="B1949" i="3"/>
  <c r="A1949" i="3"/>
  <c r="B1948" i="3"/>
  <c r="A1948" i="3"/>
  <c r="B1947" i="3"/>
  <c r="A1947" i="3"/>
  <c r="B1946" i="3"/>
  <c r="A1946" i="3"/>
  <c r="B1945" i="3"/>
  <c r="A1945" i="3"/>
  <c r="B1944" i="3"/>
  <c r="A1944" i="3"/>
  <c r="B1943" i="3"/>
  <c r="A1943" i="3"/>
  <c r="B1942" i="3"/>
  <c r="A1942" i="3"/>
  <c r="B1941" i="3"/>
  <c r="A1941" i="3"/>
  <c r="B1940" i="3"/>
  <c r="A1940" i="3"/>
  <c r="B1939" i="3"/>
  <c r="A1939" i="3"/>
  <c r="B1938" i="3"/>
  <c r="A1938" i="3"/>
  <c r="B1937" i="3"/>
  <c r="A1937" i="3"/>
  <c r="B1936" i="3"/>
  <c r="A1936" i="3"/>
  <c r="B1935" i="3"/>
  <c r="A1935" i="3"/>
  <c r="B1934" i="3"/>
  <c r="A1934" i="3"/>
  <c r="B1933" i="3"/>
  <c r="A1933" i="3"/>
  <c r="B1932" i="3"/>
  <c r="A1932" i="3"/>
  <c r="B1931" i="3"/>
  <c r="A1931" i="3"/>
  <c r="B1930" i="3"/>
  <c r="A1930" i="3"/>
  <c r="B1929" i="3"/>
  <c r="A1929" i="3"/>
  <c r="B1928" i="3"/>
  <c r="A1928" i="3"/>
  <c r="B1927" i="3"/>
  <c r="A1927" i="3"/>
  <c r="B1926" i="3"/>
  <c r="A1926" i="3"/>
  <c r="B1925" i="3"/>
  <c r="A1925" i="3"/>
  <c r="B1924" i="3"/>
  <c r="A1924" i="3"/>
  <c r="B1923" i="3"/>
  <c r="A1923" i="3"/>
  <c r="B1922" i="3"/>
  <c r="A1922" i="3"/>
  <c r="B1921" i="3"/>
  <c r="A1921" i="3"/>
  <c r="B1920" i="3"/>
  <c r="A1920" i="3"/>
  <c r="B1919" i="3"/>
  <c r="A1919" i="3"/>
  <c r="B1918" i="3"/>
  <c r="A1918" i="3"/>
  <c r="B1917" i="3"/>
  <c r="A1917" i="3"/>
  <c r="B1916" i="3"/>
  <c r="A1916" i="3"/>
  <c r="B1915" i="3"/>
  <c r="A1915" i="3"/>
  <c r="B1914" i="3"/>
  <c r="A1914" i="3"/>
  <c r="B1913" i="3"/>
  <c r="A1913" i="3"/>
  <c r="B1912" i="3"/>
  <c r="A1912" i="3"/>
  <c r="B1911" i="3"/>
  <c r="A1911" i="3"/>
  <c r="B1910" i="3"/>
  <c r="A1910" i="3"/>
  <c r="B1909" i="3"/>
  <c r="A1909" i="3"/>
  <c r="B1908" i="3"/>
  <c r="A1908" i="3"/>
  <c r="B1907" i="3"/>
  <c r="A1907" i="3"/>
  <c r="B1906" i="3"/>
  <c r="A1906" i="3"/>
  <c r="B1905" i="3"/>
  <c r="A1905" i="3"/>
  <c r="B1904" i="3"/>
  <c r="A1904" i="3"/>
  <c r="B1903" i="3"/>
  <c r="A1903" i="3"/>
  <c r="B1902" i="3"/>
  <c r="A1902" i="3"/>
  <c r="B1901" i="3"/>
  <c r="A1901" i="3"/>
  <c r="B1900" i="3"/>
  <c r="A1900" i="3"/>
  <c r="B1899" i="3"/>
  <c r="A1899" i="3"/>
  <c r="B1898" i="3"/>
  <c r="A1898" i="3"/>
  <c r="B1897" i="3"/>
  <c r="A1897" i="3"/>
  <c r="B1896" i="3"/>
  <c r="A1896" i="3"/>
  <c r="B1895" i="3"/>
  <c r="A1895" i="3"/>
  <c r="B1894" i="3"/>
  <c r="A1894" i="3"/>
  <c r="B1893" i="3"/>
  <c r="A1893" i="3"/>
  <c r="B1892" i="3"/>
  <c r="A1892" i="3"/>
  <c r="B1891" i="3"/>
  <c r="A1891" i="3"/>
  <c r="B1890" i="3"/>
  <c r="A1890" i="3"/>
  <c r="B1889" i="3"/>
  <c r="A1889" i="3"/>
  <c r="B1888" i="3"/>
  <c r="A1888" i="3"/>
  <c r="B1887" i="3"/>
  <c r="A1887" i="3"/>
  <c r="B1886" i="3"/>
  <c r="A1886" i="3"/>
  <c r="B1885" i="3"/>
  <c r="A1885" i="3"/>
  <c r="B1884" i="3"/>
  <c r="A1884" i="3"/>
  <c r="B1883" i="3"/>
  <c r="A1883" i="3"/>
  <c r="B1882" i="3"/>
  <c r="A1882" i="3"/>
  <c r="B1881" i="3"/>
  <c r="A1881" i="3"/>
  <c r="B1880" i="3"/>
  <c r="A1880" i="3"/>
  <c r="B1879" i="3"/>
  <c r="A1879" i="3"/>
  <c r="B1878" i="3"/>
  <c r="A1878" i="3"/>
  <c r="B1877" i="3"/>
  <c r="A1877" i="3"/>
  <c r="B1876" i="3"/>
  <c r="A1876" i="3"/>
  <c r="B1875" i="3"/>
  <c r="A1875" i="3"/>
  <c r="B1874" i="3"/>
  <c r="A1874" i="3"/>
  <c r="B1873" i="3"/>
  <c r="A1873" i="3"/>
  <c r="B1872" i="3"/>
  <c r="A1872" i="3"/>
  <c r="B1871" i="3"/>
  <c r="A1871" i="3"/>
  <c r="B1870" i="3"/>
  <c r="A1870" i="3"/>
  <c r="B1869" i="3"/>
  <c r="A1869" i="3"/>
  <c r="B1868" i="3"/>
  <c r="A1868" i="3"/>
  <c r="B1867" i="3"/>
  <c r="A1867" i="3"/>
  <c r="B1866" i="3"/>
  <c r="A1866" i="3"/>
  <c r="B1865" i="3"/>
  <c r="A1865" i="3"/>
  <c r="B1864" i="3"/>
  <c r="A1864" i="3"/>
  <c r="B1863" i="3"/>
  <c r="A1863" i="3"/>
  <c r="B1862" i="3"/>
  <c r="A1862" i="3"/>
  <c r="B1861" i="3"/>
  <c r="A1861" i="3"/>
  <c r="B1860" i="3"/>
  <c r="A1860" i="3"/>
  <c r="B1859" i="3"/>
  <c r="A1859" i="3"/>
  <c r="B1858" i="3"/>
  <c r="A1858" i="3"/>
  <c r="B1857" i="3"/>
  <c r="A1857" i="3"/>
  <c r="B1856" i="3"/>
  <c r="A1856" i="3"/>
  <c r="B1855" i="3"/>
  <c r="A1855" i="3"/>
  <c r="B1854" i="3"/>
  <c r="A1854" i="3"/>
  <c r="B1853" i="3"/>
  <c r="A1853" i="3"/>
  <c r="B1852" i="3"/>
  <c r="A1852" i="3"/>
  <c r="B1851" i="3"/>
  <c r="A1851" i="3"/>
  <c r="B1850" i="3"/>
  <c r="A1850" i="3"/>
  <c r="B1849" i="3"/>
  <c r="A1849" i="3"/>
  <c r="B1848" i="3"/>
  <c r="A1848" i="3"/>
  <c r="B1847" i="3"/>
  <c r="A1847" i="3"/>
  <c r="B1846" i="3"/>
  <c r="A1846" i="3"/>
  <c r="B1845" i="3"/>
  <c r="A1845" i="3"/>
  <c r="B1844" i="3"/>
  <c r="A1844" i="3"/>
  <c r="B1843" i="3"/>
  <c r="A1843" i="3"/>
  <c r="B1842" i="3"/>
  <c r="A1842" i="3"/>
  <c r="B1841" i="3"/>
  <c r="A1841" i="3"/>
  <c r="B1840" i="3"/>
  <c r="A1840" i="3"/>
  <c r="B1839" i="3"/>
  <c r="A1839" i="3"/>
  <c r="B1838" i="3"/>
  <c r="A1838" i="3"/>
  <c r="B1837" i="3"/>
  <c r="A1837" i="3"/>
  <c r="B1836" i="3"/>
  <c r="A1836" i="3"/>
  <c r="B1835" i="3"/>
  <c r="A1835" i="3"/>
  <c r="B1834" i="3"/>
  <c r="A1834" i="3"/>
  <c r="B1833" i="3"/>
  <c r="A1833" i="3"/>
  <c r="B1832" i="3"/>
  <c r="A1832" i="3"/>
  <c r="B1831" i="3"/>
  <c r="A1831" i="3"/>
  <c r="B1830" i="3"/>
  <c r="A1830" i="3"/>
  <c r="B1829" i="3"/>
  <c r="A1829" i="3"/>
  <c r="B1828" i="3"/>
  <c r="A1828" i="3"/>
  <c r="B1827" i="3"/>
  <c r="A1827" i="3"/>
  <c r="B1826" i="3"/>
  <c r="A1826" i="3"/>
  <c r="B1825" i="3"/>
  <c r="A1825" i="3"/>
  <c r="B1824" i="3"/>
  <c r="A1824" i="3"/>
  <c r="B1823" i="3"/>
  <c r="A1823" i="3"/>
  <c r="B1822" i="3"/>
  <c r="A1822" i="3"/>
  <c r="B1821" i="3"/>
  <c r="A1821" i="3"/>
  <c r="B1820" i="3"/>
  <c r="A1820" i="3"/>
  <c r="B1819" i="3"/>
  <c r="A1819" i="3"/>
  <c r="B1818" i="3"/>
  <c r="A1818" i="3"/>
  <c r="B1817" i="3"/>
  <c r="A1817" i="3"/>
  <c r="B1816" i="3"/>
  <c r="A1816" i="3"/>
  <c r="B1815" i="3"/>
  <c r="A1815" i="3"/>
  <c r="B1814" i="3"/>
  <c r="A1814" i="3"/>
  <c r="B1813" i="3"/>
  <c r="A1813" i="3"/>
  <c r="B1812" i="3"/>
  <c r="A1812" i="3"/>
  <c r="B1811" i="3"/>
  <c r="A1811" i="3"/>
  <c r="B1810" i="3"/>
  <c r="A1810" i="3"/>
  <c r="B1809" i="3"/>
  <c r="A1809" i="3"/>
  <c r="B1808" i="3"/>
  <c r="A1808" i="3"/>
  <c r="B1807" i="3"/>
  <c r="A1807" i="3"/>
  <c r="B1806" i="3"/>
  <c r="A1806" i="3"/>
  <c r="B1805" i="3"/>
  <c r="A1805" i="3"/>
  <c r="B1804" i="3"/>
  <c r="A1804" i="3"/>
  <c r="B1803" i="3"/>
  <c r="A1803" i="3"/>
  <c r="B1802" i="3"/>
  <c r="A1802" i="3"/>
  <c r="B1801" i="3"/>
  <c r="A1801" i="3"/>
  <c r="B1800" i="3"/>
  <c r="A1800" i="3"/>
  <c r="B1799" i="3"/>
  <c r="A1799" i="3"/>
  <c r="B1798" i="3"/>
  <c r="A1798" i="3"/>
  <c r="B1797" i="3"/>
  <c r="A1797" i="3"/>
  <c r="B1796" i="3"/>
  <c r="A1796" i="3"/>
  <c r="B1795" i="3"/>
  <c r="A1795" i="3"/>
  <c r="B1794" i="3"/>
  <c r="A1794" i="3"/>
  <c r="B1793" i="3"/>
  <c r="A1793" i="3"/>
  <c r="B1792" i="3"/>
  <c r="A1792" i="3"/>
  <c r="B1791" i="3"/>
  <c r="A1791" i="3"/>
  <c r="B1790" i="3"/>
  <c r="A1790" i="3"/>
  <c r="B1789" i="3"/>
  <c r="A1789" i="3"/>
  <c r="B1788" i="3"/>
  <c r="A1788" i="3"/>
  <c r="B1787" i="3"/>
  <c r="A1787" i="3"/>
  <c r="B1786" i="3"/>
  <c r="A1786" i="3"/>
  <c r="B1785" i="3"/>
  <c r="A1785" i="3"/>
  <c r="B1784" i="3"/>
  <c r="A1784" i="3"/>
  <c r="B1783" i="3"/>
  <c r="A1783" i="3"/>
  <c r="B1782" i="3"/>
  <c r="A1782" i="3"/>
  <c r="B1781" i="3"/>
  <c r="A1781" i="3"/>
  <c r="B1780" i="3"/>
  <c r="A1780" i="3"/>
  <c r="B1779" i="3"/>
  <c r="A1779" i="3"/>
  <c r="B1778" i="3"/>
  <c r="A1778" i="3"/>
  <c r="B1777" i="3"/>
  <c r="A1777" i="3"/>
  <c r="B1776" i="3"/>
  <c r="A1776" i="3"/>
  <c r="B1775" i="3"/>
  <c r="A1775" i="3"/>
  <c r="B1774" i="3"/>
  <c r="A1774" i="3"/>
  <c r="B1773" i="3"/>
  <c r="A1773" i="3"/>
  <c r="B1772" i="3"/>
  <c r="A1772" i="3"/>
  <c r="B1771" i="3"/>
  <c r="A1771" i="3"/>
  <c r="B1770" i="3"/>
  <c r="A1770" i="3"/>
  <c r="B1769" i="3"/>
  <c r="A1769" i="3"/>
  <c r="B1768" i="3"/>
  <c r="A1768" i="3"/>
  <c r="B1767" i="3"/>
  <c r="A1767" i="3"/>
  <c r="B1766" i="3"/>
  <c r="A1766" i="3"/>
  <c r="B1765" i="3"/>
  <c r="A1765" i="3"/>
  <c r="B1764" i="3"/>
  <c r="A1764" i="3"/>
  <c r="B1763" i="3"/>
  <c r="A1763" i="3"/>
  <c r="B1762" i="3"/>
  <c r="A1762" i="3"/>
  <c r="B1761" i="3"/>
  <c r="A1761" i="3"/>
  <c r="B1760" i="3"/>
  <c r="A1760" i="3"/>
  <c r="B1759" i="3"/>
  <c r="A1759" i="3"/>
  <c r="B1758" i="3"/>
  <c r="A1758" i="3"/>
  <c r="B1757" i="3"/>
  <c r="A1757" i="3"/>
  <c r="B1756" i="3"/>
  <c r="A1756" i="3"/>
  <c r="B1755" i="3"/>
  <c r="A1755" i="3"/>
  <c r="B1754" i="3"/>
  <c r="A1754" i="3"/>
  <c r="B1753" i="3"/>
  <c r="A1753" i="3"/>
  <c r="B1752" i="3"/>
  <c r="A1752" i="3"/>
  <c r="B1751" i="3"/>
  <c r="A1751" i="3"/>
  <c r="B1750" i="3"/>
  <c r="A1750" i="3"/>
  <c r="B1749" i="3"/>
  <c r="A1749" i="3"/>
  <c r="B1748" i="3"/>
  <c r="A1748" i="3"/>
  <c r="B1747" i="3"/>
  <c r="A1747" i="3"/>
  <c r="B1746" i="3"/>
  <c r="A1746" i="3"/>
  <c r="B1745" i="3"/>
  <c r="A1745" i="3"/>
  <c r="B1744" i="3"/>
  <c r="A1744" i="3"/>
  <c r="B1743" i="3"/>
  <c r="A1743" i="3"/>
  <c r="B1742" i="3"/>
  <c r="A1742" i="3"/>
  <c r="B1741" i="3"/>
  <c r="A1741" i="3"/>
  <c r="B1740" i="3"/>
  <c r="A1740" i="3"/>
  <c r="B1739" i="3"/>
  <c r="A1739" i="3"/>
  <c r="B1738" i="3"/>
  <c r="A1738" i="3"/>
  <c r="B1737" i="3"/>
  <c r="A1737" i="3"/>
  <c r="B1736" i="3"/>
  <c r="A1736" i="3"/>
  <c r="B1735" i="3"/>
  <c r="A1735" i="3"/>
  <c r="B1734" i="3"/>
  <c r="A1734" i="3"/>
  <c r="B1733" i="3"/>
  <c r="A1733" i="3"/>
  <c r="B1732" i="3"/>
  <c r="A1732" i="3"/>
  <c r="B1731" i="3"/>
  <c r="A1731" i="3"/>
  <c r="B1730" i="3"/>
  <c r="A1730" i="3"/>
  <c r="B1729" i="3"/>
  <c r="A1729" i="3"/>
  <c r="B1728" i="3"/>
  <c r="A1728" i="3"/>
  <c r="B1727" i="3"/>
  <c r="A1727" i="3"/>
  <c r="B1726" i="3"/>
  <c r="A1726" i="3"/>
  <c r="B1725" i="3"/>
  <c r="A1725" i="3"/>
  <c r="B1724" i="3"/>
  <c r="A1724" i="3"/>
  <c r="B1723" i="3"/>
  <c r="A1723" i="3"/>
  <c r="B1722" i="3"/>
  <c r="A1722" i="3"/>
  <c r="B1721" i="3"/>
  <c r="A1721" i="3"/>
  <c r="B1720" i="3"/>
  <c r="A1720" i="3"/>
  <c r="B1719" i="3"/>
  <c r="A1719" i="3"/>
  <c r="B1718" i="3"/>
  <c r="A1718" i="3"/>
  <c r="B1717" i="3"/>
  <c r="A1717" i="3"/>
  <c r="B1716" i="3"/>
  <c r="A1716" i="3"/>
  <c r="B1715" i="3"/>
  <c r="A1715" i="3"/>
  <c r="B1714" i="3"/>
  <c r="A1714" i="3"/>
  <c r="B1713" i="3"/>
  <c r="A1713" i="3"/>
  <c r="B1712" i="3"/>
  <c r="A1712" i="3"/>
  <c r="B1711" i="3"/>
  <c r="A1711" i="3"/>
  <c r="B1710" i="3"/>
  <c r="A1710" i="3"/>
  <c r="B1709" i="3"/>
  <c r="A1709" i="3"/>
  <c r="B1708" i="3"/>
  <c r="A1708" i="3"/>
  <c r="B1707" i="3"/>
  <c r="A1707" i="3"/>
  <c r="B1706" i="3"/>
  <c r="A1706" i="3"/>
  <c r="B1705" i="3"/>
  <c r="A1705" i="3"/>
  <c r="B1704" i="3"/>
  <c r="A1704" i="3"/>
  <c r="B1703" i="3"/>
  <c r="A1703" i="3"/>
  <c r="B1702" i="3"/>
  <c r="A1702" i="3"/>
  <c r="B1701" i="3"/>
  <c r="A1701" i="3"/>
  <c r="B1700" i="3"/>
  <c r="A1700" i="3"/>
  <c r="B1699" i="3"/>
  <c r="A1699" i="3"/>
  <c r="B1698" i="3"/>
  <c r="A1698" i="3"/>
  <c r="B1697" i="3"/>
  <c r="A1697" i="3"/>
  <c r="B1696" i="3"/>
  <c r="A1696" i="3"/>
  <c r="B1695" i="3"/>
  <c r="A1695" i="3"/>
  <c r="B1694" i="3"/>
  <c r="A1694" i="3"/>
  <c r="B1693" i="3"/>
  <c r="A1693" i="3"/>
  <c r="B1692" i="3"/>
  <c r="A1692" i="3"/>
  <c r="B1691" i="3"/>
  <c r="A1691" i="3"/>
  <c r="B1690" i="3"/>
  <c r="A1690" i="3"/>
  <c r="B1689" i="3"/>
  <c r="A1689" i="3"/>
  <c r="B1688" i="3"/>
  <c r="A1688" i="3"/>
  <c r="B1687" i="3"/>
  <c r="A1687" i="3"/>
  <c r="B1686" i="3"/>
  <c r="A1686" i="3"/>
  <c r="B1685" i="3"/>
  <c r="A1685" i="3"/>
  <c r="B1684" i="3"/>
  <c r="A1684" i="3"/>
  <c r="B1683" i="3"/>
  <c r="A1683" i="3"/>
  <c r="B1682" i="3"/>
  <c r="A1682" i="3"/>
  <c r="B1681" i="3"/>
  <c r="A1681" i="3"/>
  <c r="B1680" i="3"/>
  <c r="A1680" i="3"/>
  <c r="B1679" i="3"/>
  <c r="A1679" i="3"/>
  <c r="B1678" i="3"/>
  <c r="A1678" i="3"/>
  <c r="B1677" i="3"/>
  <c r="A1677" i="3"/>
  <c r="B1676" i="3"/>
  <c r="A1676" i="3"/>
  <c r="B1675" i="3"/>
  <c r="A1675" i="3"/>
  <c r="B1674" i="3"/>
  <c r="A1674" i="3"/>
  <c r="B1673" i="3"/>
  <c r="A1673" i="3"/>
  <c r="B1672" i="3"/>
  <c r="A1672" i="3"/>
  <c r="B1671" i="3"/>
  <c r="A1671" i="3"/>
  <c r="B1670" i="3"/>
  <c r="A1670" i="3"/>
  <c r="B1669" i="3"/>
  <c r="A1669" i="3"/>
  <c r="B1668" i="3"/>
  <c r="A1668" i="3"/>
  <c r="B1667" i="3"/>
  <c r="A1667" i="3"/>
  <c r="B1666" i="3"/>
  <c r="A1666" i="3"/>
  <c r="B1665" i="3"/>
  <c r="A1665" i="3"/>
  <c r="B1664" i="3"/>
  <c r="A1664" i="3"/>
  <c r="B1663" i="3"/>
  <c r="A1663" i="3"/>
  <c r="B1662" i="3"/>
  <c r="A1662" i="3"/>
  <c r="B1661" i="3"/>
  <c r="A1661" i="3"/>
  <c r="B1660" i="3"/>
  <c r="A1660" i="3"/>
  <c r="B1659" i="3"/>
  <c r="A1659" i="3"/>
  <c r="B1658" i="3"/>
  <c r="A1658" i="3"/>
  <c r="B1657" i="3"/>
  <c r="A1657" i="3"/>
  <c r="B1656" i="3"/>
  <c r="A1656" i="3"/>
  <c r="B1655" i="3"/>
  <c r="A1655" i="3"/>
  <c r="B1654" i="3"/>
  <c r="A1654" i="3"/>
  <c r="B1653" i="3"/>
  <c r="A1653" i="3"/>
  <c r="B1652" i="3"/>
  <c r="A1652" i="3"/>
  <c r="B1651" i="3"/>
  <c r="A1651" i="3"/>
  <c r="B1650" i="3"/>
  <c r="A1650" i="3"/>
  <c r="B1649" i="3"/>
  <c r="A1649" i="3"/>
  <c r="B1648" i="3"/>
  <c r="A1648" i="3"/>
  <c r="B1647" i="3"/>
  <c r="A1647" i="3"/>
  <c r="B1646" i="3"/>
  <c r="A1646" i="3"/>
  <c r="B1645" i="3"/>
  <c r="A1645" i="3"/>
  <c r="B1644" i="3"/>
  <c r="A1644" i="3"/>
  <c r="B1643" i="3"/>
  <c r="A1643" i="3"/>
  <c r="B1642" i="3"/>
  <c r="A1642" i="3"/>
  <c r="B1641" i="3"/>
  <c r="A1641" i="3"/>
  <c r="B1640" i="3"/>
  <c r="A1640" i="3"/>
  <c r="B1639" i="3"/>
  <c r="A1639" i="3"/>
  <c r="B1638" i="3"/>
  <c r="A1638" i="3"/>
  <c r="B1637" i="3"/>
  <c r="A1637" i="3"/>
  <c r="B1636" i="3"/>
  <c r="A1636" i="3"/>
  <c r="B1635" i="3"/>
  <c r="A1635" i="3"/>
  <c r="B1634" i="3"/>
  <c r="A1634" i="3"/>
  <c r="B1633" i="3"/>
  <c r="A1633" i="3"/>
  <c r="B1632" i="3"/>
  <c r="A1632" i="3"/>
  <c r="B1631" i="3"/>
  <c r="A1631" i="3"/>
  <c r="B1630" i="3"/>
  <c r="A1630" i="3"/>
  <c r="B1629" i="3"/>
  <c r="A1629" i="3"/>
  <c r="B1628" i="3"/>
  <c r="A1628" i="3"/>
  <c r="B1627" i="3"/>
  <c r="A1627" i="3"/>
  <c r="B1626" i="3"/>
  <c r="A1626" i="3"/>
  <c r="B1625" i="3"/>
  <c r="A1625" i="3"/>
  <c r="B1624" i="3"/>
  <c r="A1624" i="3"/>
  <c r="B1623" i="3"/>
  <c r="A1623" i="3"/>
  <c r="B1622" i="3"/>
  <c r="A1622" i="3"/>
  <c r="B1621" i="3"/>
  <c r="A1621" i="3"/>
  <c r="B1620" i="3"/>
  <c r="A1620" i="3"/>
  <c r="B1619" i="3"/>
  <c r="A1619" i="3"/>
  <c r="B1618" i="3"/>
  <c r="A1618" i="3"/>
  <c r="B1617" i="3"/>
  <c r="A1617" i="3"/>
  <c r="B1616" i="3"/>
  <c r="A1616" i="3"/>
  <c r="B1615" i="3"/>
  <c r="A1615" i="3"/>
  <c r="B1614" i="3"/>
  <c r="A1614" i="3"/>
  <c r="B1613" i="3"/>
  <c r="A1613" i="3"/>
  <c r="B1612" i="3"/>
  <c r="A1612" i="3"/>
  <c r="B1611" i="3"/>
  <c r="A1611" i="3"/>
  <c r="B1610" i="3"/>
  <c r="A1610" i="3"/>
  <c r="B1609" i="3"/>
  <c r="A1609" i="3"/>
  <c r="B1608" i="3"/>
  <c r="A1608" i="3"/>
  <c r="B1607" i="3"/>
  <c r="A1607" i="3"/>
  <c r="B1606" i="3"/>
  <c r="A1606" i="3"/>
  <c r="B1605" i="3"/>
  <c r="A1605" i="3"/>
  <c r="B1604" i="3"/>
  <c r="A1604" i="3"/>
  <c r="B1603" i="3"/>
  <c r="A1603" i="3"/>
  <c r="B1602" i="3"/>
  <c r="A1602" i="3"/>
  <c r="B1601" i="3"/>
  <c r="A1601" i="3"/>
  <c r="B1600" i="3"/>
  <c r="A1600" i="3"/>
  <c r="B1599" i="3"/>
  <c r="A1599" i="3"/>
  <c r="B1598" i="3"/>
  <c r="A1598" i="3"/>
  <c r="B1597" i="3"/>
  <c r="A1597" i="3"/>
  <c r="B1596" i="3"/>
  <c r="A1596" i="3"/>
  <c r="B1595" i="3"/>
  <c r="A1595" i="3"/>
  <c r="B1594" i="3"/>
  <c r="A1594" i="3"/>
  <c r="B1593" i="3"/>
  <c r="A1593" i="3"/>
  <c r="B1592" i="3"/>
  <c r="A1592" i="3"/>
  <c r="B1591" i="3"/>
  <c r="A1591" i="3"/>
  <c r="B1590" i="3"/>
  <c r="A1590" i="3"/>
  <c r="B1589" i="3"/>
  <c r="A1589" i="3"/>
  <c r="B1588" i="3"/>
  <c r="A1588" i="3"/>
  <c r="B1587" i="3"/>
  <c r="A1587" i="3"/>
  <c r="B1586" i="3"/>
  <c r="A1586" i="3"/>
  <c r="B1585" i="3"/>
  <c r="A1585" i="3"/>
  <c r="B1584" i="3"/>
  <c r="A1584" i="3"/>
  <c r="B1583" i="3"/>
  <c r="A1583" i="3"/>
  <c r="B1582" i="3"/>
  <c r="A1582" i="3"/>
  <c r="B1581" i="3"/>
  <c r="A1581" i="3"/>
  <c r="B1580" i="3"/>
  <c r="A1580" i="3"/>
  <c r="B1579" i="3"/>
  <c r="A1579" i="3"/>
  <c r="B1578" i="3"/>
  <c r="A1578" i="3"/>
  <c r="B1577" i="3"/>
  <c r="A1577" i="3"/>
  <c r="B1576" i="3"/>
  <c r="A1576" i="3"/>
  <c r="B1575" i="3"/>
  <c r="A1575" i="3"/>
  <c r="B1574" i="3"/>
  <c r="A1574" i="3"/>
  <c r="B1573" i="3"/>
  <c r="A1573" i="3"/>
  <c r="B1572" i="3"/>
  <c r="A1572" i="3"/>
  <c r="B1571" i="3"/>
  <c r="A1571" i="3"/>
  <c r="B1570" i="3"/>
  <c r="A1570" i="3"/>
  <c r="B1569" i="3"/>
  <c r="A1569" i="3"/>
  <c r="B1568" i="3"/>
  <c r="A1568" i="3"/>
  <c r="B1567" i="3"/>
  <c r="A1567" i="3"/>
  <c r="B1566" i="3"/>
  <c r="A1566" i="3"/>
  <c r="B1565" i="3"/>
  <c r="A1565" i="3"/>
  <c r="B1564" i="3"/>
  <c r="A1564" i="3"/>
  <c r="B1563" i="3"/>
  <c r="A1563" i="3"/>
  <c r="B1562" i="3"/>
  <c r="A1562" i="3"/>
  <c r="B1561" i="3"/>
  <c r="A1561" i="3"/>
  <c r="B1560" i="3"/>
  <c r="A1560" i="3"/>
  <c r="B1559" i="3"/>
  <c r="A1559" i="3"/>
  <c r="B1558" i="3"/>
  <c r="A1558" i="3"/>
  <c r="B1557" i="3"/>
  <c r="A1557" i="3"/>
  <c r="B1556" i="3"/>
  <c r="A1556" i="3"/>
  <c r="B1555" i="3"/>
  <c r="A1555" i="3"/>
  <c r="B1554" i="3"/>
  <c r="A1554" i="3"/>
  <c r="B1553" i="3"/>
  <c r="A1553" i="3"/>
  <c r="B1552" i="3"/>
  <c r="A1552" i="3"/>
  <c r="B1551" i="3"/>
  <c r="A1551" i="3"/>
  <c r="B1550" i="3"/>
  <c r="A1550" i="3"/>
  <c r="B1549" i="3"/>
  <c r="A1549" i="3"/>
  <c r="B1548" i="3"/>
  <c r="A1548" i="3"/>
  <c r="B1547" i="3"/>
  <c r="A1547" i="3"/>
  <c r="B1546" i="3"/>
  <c r="A1546" i="3"/>
  <c r="B1545" i="3"/>
  <c r="A1545" i="3"/>
  <c r="B1544" i="3"/>
  <c r="A1544" i="3"/>
  <c r="B1543" i="3"/>
  <c r="A1543" i="3"/>
  <c r="B1542" i="3"/>
  <c r="A1542" i="3"/>
  <c r="B1541" i="3"/>
  <c r="A1541" i="3"/>
  <c r="B1540" i="3"/>
  <c r="A1540" i="3"/>
  <c r="B1539" i="3"/>
  <c r="A1539" i="3"/>
  <c r="B1538" i="3"/>
  <c r="A1538" i="3"/>
  <c r="B1537" i="3"/>
  <c r="A1537" i="3"/>
  <c r="B1536" i="3"/>
  <c r="A1536" i="3"/>
  <c r="B1535" i="3"/>
  <c r="A1535" i="3"/>
  <c r="B1534" i="3"/>
  <c r="A1534" i="3"/>
  <c r="B1533" i="3"/>
  <c r="A1533" i="3"/>
  <c r="B1532" i="3"/>
  <c r="A1532" i="3"/>
  <c r="B1531" i="3"/>
  <c r="A1531" i="3"/>
  <c r="B1530" i="3"/>
  <c r="A1530" i="3"/>
  <c r="B1529" i="3"/>
  <c r="A1529" i="3"/>
  <c r="B1528" i="3"/>
  <c r="A1528" i="3"/>
  <c r="B1527" i="3"/>
  <c r="A1527" i="3"/>
  <c r="B1526" i="3"/>
  <c r="A1526" i="3"/>
  <c r="B1525" i="3"/>
  <c r="A1525" i="3"/>
  <c r="B1524" i="3"/>
  <c r="A1524" i="3"/>
  <c r="B1523" i="3"/>
  <c r="A1523" i="3"/>
  <c r="B1522" i="3"/>
  <c r="A1522" i="3"/>
  <c r="B1521" i="3"/>
  <c r="A1521" i="3"/>
  <c r="B1520" i="3"/>
  <c r="A1520" i="3"/>
  <c r="B1519" i="3"/>
  <c r="A1519" i="3"/>
  <c r="B1518" i="3"/>
  <c r="A1518" i="3"/>
  <c r="B1517" i="3"/>
  <c r="A1517" i="3"/>
  <c r="B1516" i="3"/>
  <c r="A1516" i="3"/>
  <c r="B1515" i="3"/>
  <c r="A1515" i="3"/>
  <c r="B1514" i="3"/>
  <c r="A1514" i="3"/>
  <c r="B1513" i="3"/>
  <c r="A1513" i="3"/>
  <c r="B1512" i="3"/>
  <c r="A1512" i="3"/>
  <c r="B1511" i="3"/>
  <c r="A1511" i="3"/>
  <c r="B1510" i="3"/>
  <c r="A1510" i="3"/>
  <c r="B1509" i="3"/>
  <c r="A1509" i="3"/>
  <c r="B1508" i="3"/>
  <c r="A1508" i="3"/>
  <c r="B1507" i="3"/>
  <c r="A1507" i="3"/>
  <c r="B1506" i="3"/>
  <c r="A1506" i="3"/>
  <c r="B1505" i="3"/>
  <c r="A1505" i="3"/>
  <c r="B1504" i="3"/>
  <c r="A1504" i="3"/>
  <c r="B1503" i="3"/>
  <c r="A1503" i="3"/>
  <c r="B1502" i="3"/>
  <c r="A1502" i="3"/>
  <c r="B1501" i="3"/>
  <c r="A1501" i="3"/>
  <c r="B1500" i="3"/>
  <c r="A1500" i="3"/>
  <c r="B1499" i="3"/>
  <c r="A1499" i="3"/>
  <c r="B1498" i="3"/>
  <c r="A1498" i="3"/>
  <c r="B1497" i="3"/>
  <c r="A1497" i="3"/>
  <c r="B1496" i="3"/>
  <c r="A1496" i="3"/>
  <c r="B1495" i="3"/>
  <c r="A1495" i="3"/>
  <c r="B1494" i="3"/>
  <c r="A1494" i="3"/>
  <c r="B1493" i="3"/>
  <c r="A1493" i="3"/>
  <c r="B1492" i="3"/>
  <c r="A1492" i="3"/>
  <c r="B1491" i="3"/>
  <c r="A1491" i="3"/>
  <c r="B1490" i="3"/>
  <c r="A1490" i="3"/>
  <c r="B1489" i="3"/>
  <c r="A1489" i="3"/>
  <c r="B1488" i="3"/>
  <c r="A1488" i="3"/>
  <c r="B1487" i="3"/>
  <c r="A1487" i="3"/>
  <c r="B1486" i="3"/>
  <c r="A1486" i="3"/>
  <c r="B1485" i="3"/>
  <c r="A1485" i="3"/>
  <c r="B1484" i="3"/>
  <c r="A1484" i="3"/>
  <c r="B1483" i="3"/>
  <c r="A1483" i="3"/>
  <c r="B1482" i="3"/>
  <c r="A1482" i="3"/>
  <c r="B1481" i="3"/>
  <c r="A1481" i="3"/>
  <c r="B1480" i="3"/>
  <c r="A1480" i="3"/>
  <c r="B1479" i="3"/>
  <c r="A1479" i="3"/>
  <c r="B1478" i="3"/>
  <c r="A1478" i="3"/>
  <c r="B1477" i="3"/>
  <c r="A1477" i="3"/>
  <c r="B1476" i="3"/>
  <c r="A1476" i="3"/>
  <c r="B1475" i="3"/>
  <c r="A1475" i="3"/>
  <c r="B1474" i="3"/>
  <c r="A1474" i="3"/>
  <c r="B1473" i="3"/>
  <c r="A1473" i="3"/>
  <c r="B1472" i="3"/>
  <c r="A1472" i="3"/>
  <c r="B1471" i="3"/>
  <c r="A1471" i="3"/>
  <c r="B1470" i="3"/>
  <c r="A1470" i="3"/>
  <c r="B1469" i="3"/>
  <c r="A1469" i="3"/>
  <c r="B1468" i="3"/>
  <c r="A1468" i="3"/>
  <c r="B1467" i="3"/>
  <c r="A1467" i="3"/>
  <c r="B1466" i="3"/>
  <c r="A1466" i="3"/>
  <c r="B1465" i="3"/>
  <c r="A1465" i="3"/>
  <c r="B1464" i="3"/>
  <c r="A1464" i="3"/>
  <c r="B1463" i="3"/>
  <c r="A1463" i="3"/>
  <c r="B1462" i="3"/>
  <c r="A1462" i="3"/>
  <c r="B1461" i="3"/>
  <c r="A1461" i="3"/>
  <c r="B1460" i="3"/>
  <c r="A1460" i="3"/>
  <c r="B1459" i="3"/>
  <c r="A1459" i="3"/>
  <c r="B1458" i="3"/>
  <c r="A1458" i="3"/>
  <c r="B1457" i="3"/>
  <c r="A1457" i="3"/>
  <c r="B1456" i="3"/>
  <c r="A1456" i="3"/>
  <c r="B1455" i="3"/>
  <c r="A1455" i="3"/>
  <c r="B1454" i="3"/>
  <c r="A1454" i="3"/>
  <c r="B1453" i="3"/>
  <c r="A1453" i="3"/>
  <c r="B1452" i="3"/>
  <c r="A1452" i="3"/>
  <c r="B1451" i="3"/>
  <c r="A1451" i="3"/>
  <c r="B1450" i="3"/>
  <c r="A1450" i="3"/>
  <c r="B1449" i="3"/>
  <c r="A1449" i="3"/>
  <c r="B1448" i="3"/>
  <c r="A1448" i="3"/>
  <c r="B1447" i="3"/>
  <c r="A1447" i="3"/>
  <c r="B1446" i="3"/>
  <c r="A1446" i="3"/>
  <c r="B1445" i="3"/>
  <c r="A1445" i="3"/>
  <c r="B1444" i="3"/>
  <c r="A1444" i="3"/>
  <c r="B1443" i="3"/>
  <c r="A1443" i="3"/>
  <c r="B1442" i="3"/>
  <c r="A1442" i="3"/>
  <c r="B1441" i="3"/>
  <c r="A1441" i="3"/>
  <c r="B1440" i="3"/>
  <c r="A1440" i="3"/>
  <c r="B1439" i="3"/>
  <c r="A1439" i="3"/>
  <c r="B1438" i="3"/>
  <c r="A1438" i="3"/>
  <c r="B1437" i="3"/>
  <c r="A1437" i="3"/>
  <c r="B1436" i="3"/>
  <c r="A1436" i="3"/>
  <c r="B1435" i="3"/>
  <c r="A1435" i="3"/>
  <c r="B1434" i="3"/>
  <c r="A1434" i="3"/>
  <c r="B1433" i="3"/>
  <c r="A1433" i="3"/>
  <c r="B1432" i="3"/>
  <c r="A1432" i="3"/>
  <c r="B1431" i="3"/>
  <c r="A1431" i="3"/>
  <c r="B1430" i="3"/>
  <c r="A1430" i="3"/>
  <c r="B1429" i="3"/>
  <c r="A1429" i="3"/>
  <c r="B1428" i="3"/>
  <c r="A1428" i="3"/>
  <c r="B1427" i="3"/>
  <c r="A1427" i="3"/>
  <c r="B1426" i="3"/>
  <c r="A1426" i="3"/>
  <c r="B1425" i="3"/>
  <c r="A1425" i="3"/>
  <c r="B1424" i="3"/>
  <c r="A1424" i="3"/>
  <c r="B1423" i="3"/>
  <c r="A1423" i="3"/>
  <c r="B1422" i="3"/>
  <c r="A1422" i="3"/>
  <c r="B1421" i="3"/>
  <c r="A1421" i="3"/>
  <c r="B1420" i="3"/>
  <c r="A1420" i="3"/>
  <c r="B1419" i="3"/>
  <c r="A1419" i="3"/>
  <c r="B1418" i="3"/>
  <c r="A1418" i="3"/>
  <c r="B1417" i="3"/>
  <c r="A1417" i="3"/>
  <c r="B1416" i="3"/>
  <c r="A1416" i="3"/>
  <c r="B1415" i="3"/>
  <c r="A1415" i="3"/>
  <c r="B1414" i="3"/>
  <c r="A1414" i="3"/>
  <c r="B1413" i="3"/>
  <c r="A1413" i="3"/>
  <c r="B1412" i="3"/>
  <c r="A1412" i="3"/>
  <c r="B1411" i="3"/>
  <c r="A1411" i="3"/>
  <c r="B1410" i="3"/>
  <c r="A1410" i="3"/>
  <c r="B1409" i="3"/>
  <c r="A1409" i="3"/>
  <c r="B1408" i="3"/>
  <c r="A1408" i="3"/>
  <c r="B1407" i="3"/>
  <c r="A1407" i="3"/>
  <c r="B1406" i="3"/>
  <c r="A1406" i="3"/>
  <c r="B1405" i="3"/>
  <c r="A1405" i="3"/>
  <c r="B1404" i="3"/>
  <c r="A1404" i="3"/>
  <c r="B1403" i="3"/>
  <c r="A1403" i="3"/>
  <c r="B1402" i="3"/>
  <c r="A1402" i="3"/>
  <c r="B1401" i="3"/>
  <c r="A1401" i="3"/>
  <c r="B1400" i="3"/>
  <c r="A1400" i="3"/>
  <c r="B1399" i="3"/>
  <c r="A1399" i="3"/>
  <c r="B1398" i="3"/>
  <c r="A1398" i="3"/>
  <c r="B1397" i="3"/>
  <c r="A1397" i="3"/>
  <c r="B1396" i="3"/>
  <c r="A1396" i="3"/>
  <c r="B1395" i="3"/>
  <c r="A1395" i="3"/>
  <c r="B1394" i="3"/>
  <c r="A1394" i="3"/>
  <c r="B1393" i="3"/>
  <c r="A1393" i="3"/>
  <c r="B1392" i="3"/>
  <c r="A1392" i="3"/>
  <c r="B1391" i="3"/>
  <c r="A1391" i="3"/>
  <c r="B1390" i="3"/>
  <c r="A1390" i="3"/>
  <c r="B1389" i="3"/>
  <c r="A1389" i="3"/>
  <c r="B1388" i="3"/>
  <c r="A1388" i="3"/>
  <c r="B1387" i="3"/>
  <c r="A1387" i="3"/>
  <c r="B1386" i="3"/>
  <c r="A1386" i="3"/>
  <c r="B1385" i="3"/>
  <c r="A1385" i="3"/>
  <c r="B1384" i="3"/>
  <c r="A1384" i="3"/>
  <c r="B1383" i="3"/>
  <c r="A1383" i="3"/>
  <c r="B1382" i="3"/>
  <c r="A1382" i="3"/>
  <c r="B1381" i="3"/>
  <c r="A1381" i="3"/>
  <c r="B1380" i="3"/>
  <c r="A1380" i="3"/>
  <c r="B1379" i="3"/>
  <c r="A1379" i="3"/>
  <c r="B1378" i="3"/>
  <c r="A1378" i="3"/>
  <c r="B1377" i="3"/>
  <c r="A1377" i="3"/>
  <c r="B1376" i="3"/>
  <c r="A1376" i="3"/>
  <c r="B1375" i="3"/>
  <c r="A1375" i="3"/>
  <c r="B1374" i="3"/>
  <c r="A1374" i="3"/>
  <c r="B1373" i="3"/>
  <c r="A1373" i="3"/>
  <c r="B1372" i="3"/>
  <c r="A1372" i="3"/>
  <c r="B1371" i="3"/>
  <c r="A1371" i="3"/>
  <c r="B1370" i="3"/>
  <c r="A1370" i="3"/>
  <c r="B1369" i="3"/>
  <c r="A1369" i="3"/>
  <c r="B1368" i="3"/>
  <c r="A1368" i="3"/>
  <c r="B1367" i="3"/>
  <c r="A1367" i="3"/>
  <c r="B1366" i="3"/>
  <c r="A1366" i="3"/>
  <c r="B1365" i="3"/>
  <c r="A1365" i="3"/>
  <c r="B1364" i="3"/>
  <c r="A1364" i="3"/>
  <c r="B1363" i="3"/>
  <c r="A1363" i="3"/>
  <c r="B1362" i="3"/>
  <c r="A1362" i="3"/>
  <c r="B1361" i="3"/>
  <c r="A1361" i="3"/>
  <c r="B1360" i="3"/>
  <c r="A1360" i="3"/>
  <c r="B1359" i="3"/>
  <c r="A1359" i="3"/>
  <c r="B1358" i="3"/>
  <c r="A1358" i="3"/>
  <c r="B1357" i="3"/>
  <c r="A1357" i="3"/>
  <c r="B1356" i="3"/>
  <c r="A1356" i="3"/>
  <c r="B1355" i="3"/>
  <c r="A1355" i="3"/>
  <c r="B1354" i="3"/>
  <c r="A1354" i="3"/>
  <c r="B1353" i="3"/>
  <c r="A1353" i="3"/>
  <c r="B1352" i="3"/>
  <c r="A1352" i="3"/>
  <c r="B1351" i="3"/>
  <c r="A1351" i="3"/>
  <c r="B1350" i="3"/>
  <c r="A1350" i="3"/>
  <c r="B1349" i="3"/>
  <c r="A1349" i="3"/>
  <c r="B1348" i="3"/>
  <c r="A1348" i="3"/>
  <c r="B1347" i="3"/>
  <c r="A1347" i="3"/>
  <c r="B1346" i="3"/>
  <c r="A1346" i="3"/>
  <c r="B1345" i="3"/>
  <c r="A1345" i="3"/>
  <c r="B1344" i="3"/>
  <c r="A1344" i="3"/>
  <c r="B1343" i="3"/>
  <c r="A1343" i="3"/>
  <c r="B1342" i="3"/>
  <c r="A1342" i="3"/>
  <c r="B1341" i="3"/>
  <c r="A1341" i="3"/>
  <c r="B1340" i="3"/>
  <c r="A1340" i="3"/>
  <c r="B1339" i="3"/>
  <c r="A1339" i="3"/>
  <c r="B1338" i="3"/>
  <c r="A1338" i="3"/>
  <c r="B1337" i="3"/>
  <c r="A1337" i="3"/>
  <c r="B1336" i="3"/>
  <c r="A1336" i="3"/>
  <c r="B1335" i="3"/>
  <c r="A1335" i="3"/>
  <c r="B1334" i="3"/>
  <c r="A1334" i="3"/>
  <c r="B1333" i="3"/>
  <c r="A1333" i="3"/>
  <c r="B1332" i="3"/>
  <c r="A1332" i="3"/>
  <c r="B1331" i="3"/>
  <c r="A1331" i="3"/>
  <c r="B1330" i="3"/>
  <c r="A1330" i="3"/>
  <c r="B1329" i="3"/>
  <c r="A1329" i="3"/>
  <c r="B1328" i="3"/>
  <c r="A1328" i="3"/>
  <c r="B1327" i="3"/>
  <c r="A1327" i="3"/>
  <c r="B1326" i="3"/>
  <c r="A1326" i="3"/>
  <c r="B1325" i="3"/>
  <c r="A1325" i="3"/>
  <c r="B1324" i="3"/>
  <c r="A1324" i="3"/>
  <c r="B1323" i="3"/>
  <c r="A1323" i="3"/>
  <c r="B1322" i="3"/>
  <c r="A1322" i="3"/>
  <c r="B1321" i="3"/>
  <c r="A1321" i="3"/>
  <c r="B1320" i="3"/>
  <c r="A1320" i="3"/>
  <c r="B1319" i="3"/>
  <c r="A1319" i="3"/>
  <c r="B1318" i="3"/>
  <c r="A1318" i="3"/>
  <c r="B1317" i="3"/>
  <c r="A1317" i="3"/>
  <c r="B1316" i="3"/>
  <c r="A1316" i="3"/>
  <c r="B1315" i="3"/>
  <c r="A1315" i="3"/>
  <c r="B1314" i="3"/>
  <c r="A1314" i="3"/>
  <c r="B1313" i="3"/>
  <c r="A1313" i="3"/>
  <c r="B1312" i="3"/>
  <c r="A1312" i="3"/>
  <c r="B1311" i="3"/>
  <c r="A1311" i="3"/>
  <c r="B1310" i="3"/>
  <c r="A1310" i="3"/>
  <c r="B1309" i="3"/>
  <c r="A1309" i="3"/>
  <c r="B1308" i="3"/>
  <c r="A1308" i="3"/>
  <c r="B1307" i="3"/>
  <c r="A1307" i="3"/>
  <c r="B1306" i="3"/>
  <c r="A1306" i="3"/>
  <c r="B1305" i="3"/>
  <c r="A1305" i="3"/>
  <c r="B1304" i="3"/>
  <c r="A1304" i="3"/>
  <c r="B1303" i="3"/>
  <c r="A1303" i="3"/>
  <c r="B1302" i="3"/>
  <c r="A1302" i="3"/>
  <c r="B1301" i="3"/>
  <c r="A1301" i="3"/>
  <c r="B1300" i="3"/>
  <c r="A1300" i="3"/>
  <c r="B1299" i="3"/>
  <c r="A1299" i="3"/>
  <c r="B1298" i="3"/>
  <c r="A1298" i="3"/>
  <c r="B1297" i="3"/>
  <c r="A1297" i="3"/>
  <c r="B1296" i="3"/>
  <c r="A1296" i="3"/>
  <c r="B1295" i="3"/>
  <c r="A1295" i="3"/>
  <c r="B1294" i="3"/>
  <c r="A1294" i="3"/>
  <c r="B1293" i="3"/>
  <c r="A1293" i="3"/>
  <c r="B1292" i="3"/>
  <c r="A1292" i="3"/>
  <c r="B1291" i="3"/>
  <c r="A1291" i="3"/>
  <c r="B1290" i="3"/>
  <c r="A1290" i="3"/>
  <c r="B1289" i="3"/>
  <c r="A1289" i="3"/>
  <c r="B1288" i="3"/>
  <c r="A1288" i="3"/>
  <c r="B1287" i="3"/>
  <c r="A1287" i="3"/>
  <c r="B1286" i="3"/>
  <c r="A1286" i="3"/>
  <c r="B1285" i="3"/>
  <c r="A1285" i="3"/>
  <c r="B1284" i="3"/>
  <c r="A1284" i="3"/>
  <c r="B1283" i="3"/>
  <c r="A1283" i="3"/>
  <c r="B1282" i="3"/>
  <c r="A1282" i="3"/>
  <c r="B1281" i="3"/>
  <c r="A1281" i="3"/>
  <c r="B1280" i="3"/>
  <c r="A1280" i="3"/>
  <c r="B1279" i="3"/>
  <c r="A1279" i="3"/>
  <c r="B1278" i="3"/>
  <c r="A1278" i="3"/>
  <c r="B1277" i="3"/>
  <c r="A1277" i="3"/>
  <c r="B1276" i="3"/>
  <c r="A1276" i="3"/>
  <c r="B1275" i="3"/>
  <c r="A1275" i="3"/>
  <c r="B1274" i="3"/>
  <c r="A1274" i="3"/>
  <c r="B1273" i="3"/>
  <c r="A1273" i="3"/>
  <c r="B1272" i="3"/>
  <c r="A1272" i="3"/>
  <c r="B1271" i="3"/>
  <c r="A1271" i="3"/>
  <c r="B1270" i="3"/>
  <c r="A1270" i="3"/>
  <c r="B1269" i="3"/>
  <c r="A1269" i="3"/>
  <c r="B1268" i="3"/>
  <c r="A1268" i="3"/>
  <c r="B1267" i="3"/>
  <c r="A1267" i="3"/>
  <c r="B1266" i="3"/>
  <c r="A1266" i="3"/>
  <c r="B1265" i="3"/>
  <c r="A1265" i="3"/>
  <c r="B1264" i="3"/>
  <c r="A1264" i="3"/>
  <c r="B1263" i="3"/>
  <c r="A1263" i="3"/>
  <c r="B1262" i="3"/>
  <c r="A1262" i="3"/>
  <c r="B1261" i="3"/>
  <c r="A1261" i="3"/>
  <c r="B1260" i="3"/>
  <c r="A1260" i="3"/>
  <c r="B1259" i="3"/>
  <c r="A1259" i="3"/>
  <c r="B1258" i="3"/>
  <c r="A1258" i="3"/>
  <c r="B1257" i="3"/>
  <c r="A1257" i="3"/>
  <c r="B1256" i="3"/>
  <c r="A1256" i="3"/>
  <c r="B1255" i="3"/>
  <c r="A1255" i="3"/>
  <c r="B1254" i="3"/>
  <c r="A1254" i="3"/>
  <c r="B1253" i="3"/>
  <c r="A1253" i="3"/>
  <c r="B1252" i="3"/>
  <c r="A1252" i="3"/>
  <c r="B1251" i="3"/>
  <c r="A1251" i="3"/>
  <c r="B1250" i="3"/>
  <c r="A1250" i="3"/>
  <c r="B1249" i="3"/>
  <c r="A1249" i="3"/>
  <c r="B1248" i="3"/>
  <c r="A1248" i="3"/>
  <c r="B1247" i="3"/>
  <c r="A1247" i="3"/>
  <c r="B1246" i="3"/>
  <c r="A1246" i="3"/>
  <c r="B1245" i="3"/>
  <c r="A1245" i="3"/>
  <c r="B1244" i="3"/>
  <c r="A1244" i="3"/>
  <c r="B1243" i="3"/>
  <c r="A1243" i="3"/>
  <c r="B1242" i="3"/>
  <c r="A1242" i="3"/>
  <c r="B1241" i="3"/>
  <c r="A1241" i="3"/>
  <c r="B1240" i="3"/>
  <c r="A1240" i="3"/>
  <c r="B1239" i="3"/>
  <c r="A1239" i="3"/>
  <c r="B1238" i="3"/>
  <c r="A1238" i="3"/>
  <c r="B1237" i="3"/>
  <c r="A1237" i="3"/>
  <c r="B1236" i="3"/>
  <c r="A1236" i="3"/>
  <c r="B1235" i="3"/>
  <c r="A1235" i="3"/>
  <c r="B1234" i="3"/>
  <c r="A1234" i="3"/>
  <c r="B1233" i="3"/>
  <c r="A1233" i="3"/>
  <c r="B1232" i="3"/>
  <c r="A1232" i="3"/>
  <c r="B1231" i="3"/>
  <c r="A1231" i="3"/>
  <c r="B1230" i="3"/>
  <c r="A1230" i="3"/>
  <c r="B1229" i="3"/>
  <c r="A1229" i="3"/>
  <c r="B1228" i="3"/>
  <c r="A1228" i="3"/>
  <c r="B1227" i="3"/>
  <c r="A1227" i="3"/>
  <c r="B1226" i="3"/>
  <c r="A1226" i="3"/>
  <c r="B1225" i="3"/>
  <c r="A1225" i="3"/>
  <c r="B1224" i="3"/>
  <c r="A1224" i="3"/>
  <c r="B1223" i="3"/>
  <c r="A1223" i="3"/>
  <c r="B1222" i="3"/>
  <c r="A1222" i="3"/>
  <c r="B1221" i="3"/>
  <c r="A1221" i="3"/>
  <c r="B1220" i="3"/>
  <c r="A1220" i="3"/>
  <c r="B1219" i="3"/>
  <c r="A1219" i="3"/>
  <c r="B1218" i="3"/>
  <c r="A1218" i="3"/>
  <c r="B1217" i="3"/>
  <c r="A1217" i="3"/>
  <c r="B1216" i="3"/>
  <c r="A1216" i="3"/>
  <c r="B1215" i="3"/>
  <c r="A1215" i="3"/>
  <c r="B1214" i="3"/>
  <c r="A1214" i="3"/>
  <c r="B1213" i="3"/>
  <c r="A1213" i="3"/>
  <c r="B1212" i="3"/>
  <c r="A1212" i="3"/>
  <c r="B1211" i="3"/>
  <c r="A1211" i="3"/>
  <c r="B1210" i="3"/>
  <c r="A1210" i="3"/>
  <c r="B1209" i="3"/>
  <c r="A1209" i="3"/>
  <c r="B1208" i="3"/>
  <c r="A1208" i="3"/>
  <c r="B1207" i="3"/>
  <c r="A1207" i="3"/>
  <c r="B1206" i="3"/>
  <c r="A1206" i="3"/>
  <c r="B1205" i="3"/>
  <c r="A1205" i="3"/>
  <c r="B1204" i="3"/>
  <c r="A1204" i="3"/>
  <c r="B1203" i="3"/>
  <c r="A1203" i="3"/>
  <c r="B1202" i="3"/>
  <c r="A1202" i="3"/>
  <c r="B1201" i="3"/>
  <c r="A1201" i="3"/>
  <c r="B1200" i="3"/>
  <c r="A1200" i="3"/>
  <c r="B1199" i="3"/>
  <c r="A1199" i="3"/>
  <c r="B1198" i="3"/>
  <c r="A1198" i="3"/>
  <c r="B1197" i="3"/>
  <c r="A1197" i="3"/>
  <c r="B1196" i="3"/>
  <c r="A1196" i="3"/>
  <c r="B1195" i="3"/>
  <c r="A1195" i="3"/>
  <c r="B1194" i="3"/>
  <c r="A1194" i="3"/>
  <c r="B1193" i="3"/>
  <c r="A1193" i="3"/>
  <c r="B1192" i="3"/>
  <c r="A1192" i="3"/>
  <c r="B1191" i="3"/>
  <c r="A1191" i="3"/>
  <c r="B1190" i="3"/>
  <c r="A1190" i="3"/>
  <c r="B1189" i="3"/>
  <c r="A1189" i="3"/>
  <c r="B1188" i="3"/>
  <c r="A1188" i="3"/>
  <c r="B1187" i="3"/>
  <c r="A1187" i="3"/>
  <c r="B1186" i="3"/>
  <c r="A1186" i="3"/>
  <c r="B1185" i="3"/>
  <c r="A1185" i="3"/>
  <c r="B1184" i="3"/>
  <c r="A1184" i="3"/>
  <c r="B1183" i="3"/>
  <c r="A1183" i="3"/>
  <c r="B1182" i="3"/>
  <c r="A1182" i="3"/>
  <c r="B1181" i="3"/>
  <c r="A1181" i="3"/>
  <c r="B1180" i="3"/>
  <c r="A1180" i="3"/>
  <c r="B1179" i="3"/>
  <c r="A1179" i="3"/>
  <c r="B1178" i="3"/>
  <c r="A1178" i="3"/>
  <c r="B1177" i="3"/>
  <c r="A1177" i="3"/>
  <c r="B1176" i="3"/>
  <c r="A1176" i="3"/>
  <c r="B1175" i="3"/>
  <c r="A1175" i="3"/>
  <c r="B1174" i="3"/>
  <c r="A1174" i="3"/>
  <c r="B1173" i="3"/>
  <c r="A1173" i="3"/>
  <c r="B1172" i="3"/>
  <c r="A1172" i="3"/>
  <c r="B1171" i="3"/>
  <c r="A1171" i="3"/>
  <c r="B1170" i="3"/>
  <c r="A1170" i="3"/>
  <c r="B1169" i="3"/>
  <c r="A1169" i="3"/>
  <c r="B1168" i="3"/>
  <c r="A1168" i="3"/>
  <c r="B1167" i="3"/>
  <c r="A1167" i="3"/>
  <c r="B1166" i="3"/>
  <c r="A1166" i="3"/>
  <c r="B1165" i="3"/>
  <c r="A1165" i="3"/>
  <c r="B1164" i="3"/>
  <c r="A1164" i="3"/>
  <c r="B1163" i="3"/>
  <c r="A1163" i="3"/>
  <c r="B1162" i="3"/>
  <c r="A1162" i="3"/>
  <c r="B1161" i="3"/>
  <c r="A1161" i="3"/>
  <c r="B1160" i="3"/>
  <c r="A1160" i="3"/>
  <c r="B1159" i="3"/>
  <c r="A1159" i="3"/>
  <c r="B1158" i="3"/>
  <c r="A1158" i="3"/>
  <c r="B1157" i="3"/>
  <c r="A1157" i="3"/>
  <c r="B1156" i="3"/>
  <c r="A1156" i="3"/>
  <c r="B1155" i="3"/>
  <c r="A1155" i="3"/>
  <c r="B1154" i="3"/>
  <c r="A1154" i="3"/>
  <c r="B1153" i="3"/>
  <c r="A1153" i="3"/>
  <c r="B1152" i="3"/>
  <c r="A1152" i="3"/>
  <c r="B1151" i="3"/>
  <c r="A1151" i="3"/>
  <c r="B1150" i="3"/>
  <c r="A1150" i="3"/>
  <c r="B1149" i="3"/>
  <c r="A1149" i="3"/>
  <c r="B1148" i="3"/>
  <c r="A1148" i="3"/>
  <c r="B1147" i="3"/>
  <c r="A1147" i="3"/>
  <c r="B1146" i="3"/>
  <c r="A1146" i="3"/>
  <c r="B1145" i="3"/>
  <c r="A1145" i="3"/>
  <c r="B1144" i="3"/>
  <c r="A1144" i="3"/>
  <c r="B1143" i="3"/>
  <c r="A1143" i="3"/>
  <c r="B1142" i="3"/>
  <c r="A1142" i="3"/>
  <c r="B1141" i="3"/>
  <c r="A1141" i="3"/>
  <c r="B1140" i="3"/>
  <c r="A1140" i="3"/>
  <c r="B1139" i="3"/>
  <c r="A1139" i="3"/>
  <c r="B1138" i="3"/>
  <c r="A1138" i="3"/>
  <c r="B1137" i="3"/>
  <c r="A1137" i="3"/>
  <c r="B1136" i="3"/>
  <c r="A1136" i="3"/>
  <c r="B1135" i="3"/>
  <c r="A1135" i="3"/>
  <c r="B1134" i="3"/>
  <c r="A1134" i="3"/>
  <c r="B1133" i="3"/>
  <c r="A1133" i="3"/>
  <c r="B1132" i="3"/>
  <c r="A1132" i="3"/>
  <c r="B1131" i="3"/>
  <c r="A1131" i="3"/>
  <c r="B1130" i="3"/>
  <c r="A1130" i="3"/>
  <c r="B1129" i="3"/>
  <c r="A1129" i="3"/>
  <c r="B1128" i="3"/>
  <c r="A1128" i="3"/>
  <c r="B1127" i="3"/>
  <c r="A1127" i="3"/>
  <c r="B1126" i="3"/>
  <c r="A1126" i="3"/>
  <c r="B1125" i="3"/>
  <c r="A1125" i="3"/>
  <c r="B1124" i="3"/>
  <c r="A1124" i="3"/>
  <c r="B1123" i="3"/>
  <c r="A1123" i="3"/>
  <c r="B1122" i="3"/>
  <c r="A1122" i="3"/>
  <c r="B1121" i="3"/>
  <c r="A1121" i="3"/>
  <c r="B1120" i="3"/>
  <c r="A1120" i="3"/>
  <c r="B1119" i="3"/>
  <c r="A1119" i="3"/>
  <c r="B1118" i="3"/>
  <c r="A1118" i="3"/>
  <c r="B1117" i="3"/>
  <c r="A1117" i="3"/>
  <c r="B1116" i="3"/>
  <c r="A1116" i="3"/>
  <c r="B1115" i="3"/>
  <c r="A1115" i="3"/>
  <c r="B1114" i="3"/>
  <c r="A1114" i="3"/>
  <c r="B1113" i="3"/>
  <c r="A1113" i="3"/>
  <c r="B1112" i="3"/>
  <c r="A1112" i="3"/>
  <c r="B1111" i="3"/>
  <c r="A1111" i="3"/>
  <c r="B1110" i="3"/>
  <c r="A1110" i="3"/>
  <c r="B1109" i="3"/>
  <c r="A1109" i="3"/>
  <c r="B1108" i="3"/>
  <c r="A1108" i="3"/>
  <c r="B1107" i="3"/>
  <c r="A1107" i="3"/>
  <c r="B1106" i="3"/>
  <c r="A1106" i="3"/>
  <c r="B1105" i="3"/>
  <c r="A1105" i="3"/>
  <c r="B1104" i="3"/>
  <c r="A1104" i="3"/>
  <c r="B1103" i="3"/>
  <c r="A1103" i="3"/>
  <c r="B1102" i="3"/>
  <c r="A1102" i="3"/>
  <c r="B1101" i="3"/>
  <c r="A1101" i="3"/>
  <c r="B1100" i="3"/>
  <c r="A1100" i="3"/>
  <c r="B1099" i="3"/>
  <c r="A1099" i="3"/>
  <c r="B1098" i="3"/>
  <c r="A1098" i="3"/>
  <c r="B1097" i="3"/>
  <c r="A1097" i="3"/>
  <c r="B1096" i="3"/>
  <c r="A1096" i="3"/>
  <c r="B1095" i="3"/>
  <c r="A1095" i="3"/>
  <c r="B1094" i="3"/>
  <c r="A1094" i="3"/>
  <c r="B1093" i="3"/>
  <c r="A1093" i="3"/>
  <c r="B1092" i="3"/>
  <c r="A1092" i="3"/>
  <c r="B1091" i="3"/>
  <c r="A1091" i="3"/>
  <c r="B1090" i="3"/>
  <c r="A1090" i="3"/>
  <c r="B1089" i="3"/>
  <c r="A1089" i="3"/>
  <c r="B1088" i="3"/>
  <c r="A1088" i="3"/>
  <c r="B1087" i="3"/>
  <c r="A1087" i="3"/>
  <c r="B1086" i="3"/>
  <c r="A1086" i="3"/>
  <c r="B1085" i="3"/>
  <c r="A1085" i="3"/>
  <c r="B1084" i="3"/>
  <c r="A1084" i="3"/>
  <c r="B1083" i="3"/>
  <c r="A1083" i="3"/>
  <c r="B1082" i="3"/>
  <c r="A1082" i="3"/>
  <c r="B1081" i="3"/>
  <c r="A1081" i="3"/>
  <c r="B1080" i="3"/>
  <c r="A1080" i="3"/>
  <c r="B1079" i="3"/>
  <c r="A1079" i="3"/>
  <c r="B1078" i="3"/>
  <c r="A1078" i="3"/>
  <c r="B1077" i="3"/>
  <c r="A1077" i="3"/>
  <c r="B1076" i="3"/>
  <c r="A1076" i="3"/>
  <c r="B1075" i="3"/>
  <c r="A1075" i="3"/>
  <c r="B1074" i="3"/>
  <c r="A1074" i="3"/>
  <c r="B1073" i="3"/>
  <c r="A1073" i="3"/>
  <c r="B1072" i="3"/>
  <c r="A1072" i="3"/>
  <c r="B1071" i="3"/>
  <c r="A1071" i="3"/>
  <c r="B1070" i="3"/>
  <c r="A1070" i="3"/>
  <c r="B1069" i="3"/>
  <c r="A1069" i="3"/>
  <c r="B1068" i="3"/>
  <c r="A1068" i="3"/>
  <c r="B1067" i="3"/>
  <c r="A1067" i="3"/>
  <c r="B1066" i="3"/>
  <c r="A1066" i="3"/>
  <c r="B1065" i="3"/>
  <c r="A1065" i="3"/>
  <c r="B1064" i="3"/>
  <c r="A1064" i="3"/>
  <c r="B1063" i="3"/>
  <c r="A1063" i="3"/>
  <c r="B1062" i="3"/>
  <c r="A1062" i="3"/>
  <c r="B1061" i="3"/>
  <c r="A1061" i="3"/>
  <c r="B1060" i="3"/>
  <c r="A1060" i="3"/>
  <c r="B1059" i="3"/>
  <c r="A1059" i="3"/>
  <c r="B1058" i="3"/>
  <c r="A1058" i="3"/>
  <c r="B1057" i="3"/>
  <c r="A1057" i="3"/>
  <c r="B1056" i="3"/>
  <c r="A1056" i="3"/>
  <c r="B1055" i="3"/>
  <c r="A1055" i="3"/>
  <c r="B1054" i="3"/>
  <c r="A1054" i="3"/>
  <c r="B1053" i="3"/>
  <c r="A1053" i="3"/>
  <c r="B1052" i="3"/>
  <c r="A1052" i="3"/>
  <c r="B1051" i="3"/>
  <c r="A1051" i="3"/>
  <c r="B1050" i="3"/>
  <c r="A1050" i="3"/>
  <c r="B1049" i="3"/>
  <c r="A1049" i="3"/>
  <c r="B1048" i="3"/>
  <c r="A1048" i="3"/>
  <c r="B1047" i="3"/>
  <c r="A1047" i="3"/>
  <c r="B1046" i="3"/>
  <c r="A1046" i="3"/>
  <c r="B1045" i="3"/>
  <c r="A1045" i="3"/>
  <c r="B1044" i="3"/>
  <c r="A1044" i="3"/>
  <c r="B1043" i="3"/>
  <c r="A1043" i="3"/>
  <c r="B1042" i="3"/>
  <c r="A1042" i="3"/>
  <c r="B1041" i="3"/>
  <c r="A1041" i="3"/>
  <c r="B1040" i="3"/>
  <c r="A1040" i="3"/>
  <c r="B1039" i="3"/>
  <c r="A1039" i="3"/>
  <c r="B1038" i="3"/>
  <c r="A1038" i="3"/>
  <c r="B1037" i="3"/>
  <c r="A1037" i="3"/>
  <c r="B1036" i="3"/>
  <c r="A1036" i="3"/>
  <c r="B1035" i="3"/>
  <c r="A1035" i="3"/>
  <c r="B1034" i="3"/>
  <c r="A1034" i="3"/>
  <c r="B1033" i="3"/>
  <c r="A1033" i="3"/>
  <c r="B1032" i="3"/>
  <c r="A1032" i="3"/>
  <c r="B1031" i="3"/>
  <c r="A1031" i="3"/>
  <c r="B1030" i="3"/>
  <c r="A1030" i="3"/>
  <c r="B1029" i="3"/>
  <c r="A1029" i="3"/>
  <c r="B1028" i="3"/>
  <c r="A1028" i="3"/>
  <c r="B1027" i="3"/>
  <c r="A1027" i="3"/>
  <c r="B1026" i="3"/>
  <c r="A1026" i="3"/>
  <c r="B1025" i="3"/>
  <c r="A1025" i="3"/>
  <c r="B1024" i="3"/>
  <c r="A1024" i="3"/>
  <c r="B1023" i="3"/>
  <c r="A1023" i="3"/>
  <c r="B1022" i="3"/>
  <c r="A1022" i="3"/>
  <c r="B1021" i="3"/>
  <c r="A1021" i="3"/>
  <c r="B1020" i="3"/>
  <c r="A1020" i="3"/>
  <c r="B1019" i="3"/>
  <c r="A1019" i="3"/>
  <c r="B1018" i="3"/>
  <c r="A1018" i="3"/>
  <c r="B1017" i="3"/>
  <c r="A1017" i="3"/>
  <c r="B1016" i="3"/>
  <c r="A1016" i="3"/>
  <c r="B1015" i="3"/>
  <c r="A1015" i="3"/>
  <c r="B1014" i="3"/>
  <c r="A1014" i="3"/>
  <c r="B1013" i="3"/>
  <c r="A1013" i="3"/>
  <c r="B1012" i="3"/>
  <c r="A1012" i="3"/>
  <c r="B1011" i="3"/>
  <c r="A1011" i="3"/>
  <c r="B1010" i="3"/>
  <c r="A1010" i="3"/>
  <c r="B1009" i="3"/>
  <c r="A1009" i="3"/>
  <c r="B1008" i="3"/>
  <c r="A1008" i="3"/>
  <c r="B1007" i="3"/>
  <c r="A1007" i="3"/>
  <c r="B1006" i="3"/>
  <c r="A1006" i="3"/>
  <c r="B1005" i="3"/>
  <c r="A1005" i="3"/>
  <c r="B1004" i="3"/>
  <c r="A1004" i="3"/>
  <c r="B1003" i="3"/>
  <c r="A1003" i="3"/>
  <c r="B1002" i="3"/>
  <c r="A1002" i="3"/>
  <c r="B1001" i="3"/>
  <c r="A1001" i="3"/>
  <c r="B1000" i="3"/>
  <c r="A1000" i="3"/>
  <c r="B999" i="3"/>
  <c r="A999" i="3"/>
  <c r="B998" i="3"/>
  <c r="A998" i="3"/>
  <c r="B997" i="3"/>
  <c r="A997" i="3"/>
  <c r="B996" i="3"/>
  <c r="A996" i="3"/>
  <c r="B995" i="3"/>
  <c r="A995" i="3"/>
  <c r="B994" i="3"/>
  <c r="A994" i="3"/>
  <c r="B993" i="3"/>
  <c r="A993" i="3"/>
  <c r="B992" i="3"/>
  <c r="A992" i="3"/>
  <c r="B991" i="3"/>
  <c r="A991" i="3"/>
  <c r="B990" i="3"/>
  <c r="A990" i="3"/>
  <c r="B989" i="3"/>
  <c r="A989" i="3"/>
  <c r="B988" i="3"/>
  <c r="A988" i="3"/>
  <c r="B987" i="3"/>
  <c r="A987" i="3"/>
  <c r="B986" i="3"/>
  <c r="A986" i="3"/>
  <c r="B985" i="3"/>
  <c r="A985" i="3"/>
  <c r="B984" i="3"/>
  <c r="A984" i="3"/>
  <c r="B983" i="3"/>
  <c r="A983" i="3"/>
  <c r="B982" i="3"/>
  <c r="A982" i="3"/>
  <c r="B981" i="3"/>
  <c r="A981" i="3"/>
  <c r="B980" i="3"/>
  <c r="A980" i="3"/>
  <c r="B979" i="3"/>
  <c r="A979" i="3"/>
  <c r="B978" i="3"/>
  <c r="A978" i="3"/>
  <c r="B977" i="3"/>
  <c r="A977" i="3"/>
  <c r="B976" i="3"/>
  <c r="A976" i="3"/>
  <c r="B975" i="3"/>
  <c r="A975" i="3"/>
  <c r="B974" i="3"/>
  <c r="A974" i="3"/>
  <c r="B973" i="3"/>
  <c r="A973" i="3"/>
  <c r="B972" i="3"/>
  <c r="A972" i="3"/>
  <c r="B971" i="3"/>
  <c r="A971" i="3"/>
  <c r="B970" i="3"/>
  <c r="A970" i="3"/>
  <c r="B969" i="3"/>
  <c r="A969" i="3"/>
  <c r="B968" i="3"/>
  <c r="A968" i="3"/>
  <c r="B967" i="3"/>
  <c r="A967" i="3"/>
  <c r="B966" i="3"/>
  <c r="A966" i="3"/>
  <c r="B965" i="3"/>
  <c r="A965" i="3"/>
  <c r="B964" i="3"/>
  <c r="A964" i="3"/>
  <c r="B963" i="3"/>
  <c r="A963" i="3"/>
  <c r="B962" i="3"/>
  <c r="A962" i="3"/>
  <c r="B961" i="3"/>
  <c r="A961" i="3"/>
  <c r="B960" i="3"/>
  <c r="A960" i="3"/>
  <c r="B959" i="3"/>
  <c r="A959" i="3"/>
  <c r="B958" i="3"/>
  <c r="A958" i="3"/>
  <c r="B957" i="3"/>
  <c r="A957" i="3"/>
  <c r="B956" i="3"/>
  <c r="A956" i="3"/>
  <c r="B955" i="3"/>
  <c r="A955" i="3"/>
  <c r="B954" i="3"/>
  <c r="A954" i="3"/>
  <c r="B953" i="3"/>
  <c r="A953" i="3"/>
  <c r="B952" i="3"/>
  <c r="A952" i="3"/>
  <c r="B951" i="3"/>
  <c r="A951" i="3"/>
  <c r="B950" i="3"/>
  <c r="A950" i="3"/>
  <c r="B949" i="3"/>
  <c r="A949" i="3"/>
  <c r="B948" i="3"/>
  <c r="A948" i="3"/>
  <c r="B947" i="3"/>
  <c r="A947" i="3"/>
  <c r="B946" i="3"/>
  <c r="A946" i="3"/>
  <c r="B945" i="3"/>
  <c r="A945" i="3"/>
  <c r="B944" i="3"/>
  <c r="A944" i="3"/>
  <c r="B943" i="3"/>
  <c r="A943" i="3"/>
  <c r="B942" i="3"/>
  <c r="A942" i="3"/>
  <c r="B941" i="3"/>
  <c r="A941" i="3"/>
  <c r="B940" i="3"/>
  <c r="A940" i="3"/>
  <c r="B939" i="3"/>
  <c r="A939" i="3"/>
  <c r="B938" i="3"/>
  <c r="A938" i="3"/>
  <c r="B937" i="3"/>
  <c r="A937" i="3"/>
  <c r="B936" i="3"/>
  <c r="A936" i="3"/>
  <c r="B935" i="3"/>
  <c r="A935" i="3"/>
  <c r="B934" i="3"/>
  <c r="A934" i="3"/>
  <c r="B933" i="3"/>
  <c r="A933" i="3"/>
  <c r="B932" i="3"/>
  <c r="A932" i="3"/>
  <c r="B931" i="3"/>
  <c r="A931" i="3"/>
  <c r="B930" i="3"/>
  <c r="A930" i="3"/>
  <c r="B929" i="3"/>
  <c r="A929" i="3"/>
  <c r="B928" i="3"/>
  <c r="A928" i="3"/>
  <c r="B927" i="3"/>
  <c r="A927" i="3"/>
  <c r="B926" i="3"/>
  <c r="A926" i="3"/>
  <c r="B925" i="3"/>
  <c r="A925" i="3"/>
  <c r="B924" i="3"/>
  <c r="A924" i="3"/>
  <c r="B923" i="3"/>
  <c r="A923" i="3"/>
  <c r="B922" i="3"/>
  <c r="A922" i="3"/>
  <c r="B921" i="3"/>
  <c r="A921" i="3"/>
  <c r="B920" i="3"/>
  <c r="A920" i="3"/>
  <c r="B919" i="3"/>
  <c r="A919" i="3"/>
  <c r="B918" i="3"/>
  <c r="A918" i="3"/>
  <c r="B917" i="3"/>
  <c r="A917" i="3"/>
  <c r="B916" i="3"/>
  <c r="A916" i="3"/>
  <c r="B915" i="3"/>
  <c r="A915" i="3"/>
  <c r="B914" i="3"/>
  <c r="A914" i="3"/>
  <c r="B913" i="3"/>
  <c r="A913" i="3"/>
  <c r="B912" i="3"/>
  <c r="A912" i="3"/>
  <c r="B911" i="3"/>
  <c r="A911" i="3"/>
  <c r="B910" i="3"/>
  <c r="A910" i="3"/>
  <c r="B909" i="3"/>
  <c r="A909" i="3"/>
  <c r="B908" i="3"/>
  <c r="A908" i="3"/>
  <c r="B907" i="3"/>
  <c r="A907" i="3"/>
  <c r="B906" i="3"/>
  <c r="A906" i="3"/>
  <c r="B905" i="3"/>
  <c r="A905" i="3"/>
  <c r="B904" i="3"/>
  <c r="A904" i="3"/>
  <c r="B903" i="3"/>
  <c r="A903" i="3"/>
  <c r="B902" i="3"/>
  <c r="A902" i="3"/>
  <c r="B901" i="3"/>
  <c r="A901" i="3"/>
  <c r="B900" i="3"/>
  <c r="A900" i="3"/>
  <c r="B899" i="3"/>
  <c r="A899" i="3"/>
  <c r="B898" i="3"/>
  <c r="A898" i="3"/>
  <c r="B897" i="3"/>
  <c r="A897" i="3"/>
  <c r="B896" i="3"/>
  <c r="A896" i="3"/>
  <c r="B895" i="3"/>
  <c r="A895" i="3"/>
  <c r="B894" i="3"/>
  <c r="A894" i="3"/>
  <c r="B893" i="3"/>
  <c r="A893" i="3"/>
  <c r="B892" i="3"/>
  <c r="A892" i="3"/>
  <c r="B891" i="3"/>
  <c r="A891" i="3"/>
  <c r="B890" i="3"/>
  <c r="A890" i="3"/>
  <c r="B889" i="3"/>
  <c r="A889" i="3"/>
  <c r="B888" i="3"/>
  <c r="A888" i="3"/>
  <c r="B887" i="3"/>
  <c r="A887" i="3"/>
  <c r="B886" i="3"/>
  <c r="A886" i="3"/>
  <c r="B885" i="3"/>
  <c r="A885" i="3"/>
  <c r="B884" i="3"/>
  <c r="A884" i="3"/>
  <c r="B883" i="3"/>
  <c r="A883" i="3"/>
  <c r="B882" i="3"/>
  <c r="A882" i="3"/>
  <c r="B881" i="3"/>
  <c r="A881" i="3"/>
  <c r="B880" i="3"/>
  <c r="A880" i="3"/>
  <c r="B879" i="3"/>
  <c r="A879" i="3"/>
  <c r="B878" i="3"/>
  <c r="A878" i="3"/>
  <c r="B877" i="3"/>
  <c r="A877" i="3"/>
  <c r="B876" i="3"/>
  <c r="A876" i="3"/>
  <c r="B875" i="3"/>
  <c r="A875" i="3"/>
  <c r="B874" i="3"/>
  <c r="A874" i="3"/>
  <c r="B873" i="3"/>
  <c r="A873" i="3"/>
  <c r="B872" i="3"/>
  <c r="A872" i="3"/>
  <c r="B871" i="3"/>
  <c r="A871" i="3"/>
  <c r="B870" i="3"/>
  <c r="A870" i="3"/>
  <c r="B869" i="3"/>
  <c r="A869" i="3"/>
  <c r="B868" i="3"/>
  <c r="A868" i="3"/>
  <c r="B867" i="3"/>
  <c r="A867" i="3"/>
  <c r="B866" i="3"/>
  <c r="A866" i="3"/>
  <c r="B865" i="3"/>
  <c r="A865" i="3"/>
  <c r="B864" i="3"/>
  <c r="A864" i="3"/>
  <c r="B863" i="3"/>
  <c r="A863" i="3"/>
  <c r="B862" i="3"/>
  <c r="A862" i="3"/>
  <c r="B861" i="3"/>
  <c r="A861" i="3"/>
  <c r="B860" i="3"/>
  <c r="A860" i="3"/>
  <c r="B859" i="3"/>
  <c r="A859" i="3"/>
  <c r="B858" i="3"/>
  <c r="A858" i="3"/>
  <c r="B857" i="3"/>
  <c r="A857" i="3"/>
  <c r="B856" i="3"/>
  <c r="A856" i="3"/>
  <c r="B855" i="3"/>
  <c r="A855" i="3"/>
  <c r="B854" i="3"/>
  <c r="A854" i="3"/>
  <c r="B853" i="3"/>
  <c r="A853" i="3"/>
  <c r="B852" i="3"/>
  <c r="A852" i="3"/>
  <c r="B851" i="3"/>
  <c r="A851" i="3"/>
  <c r="B850" i="3"/>
  <c r="A850" i="3"/>
  <c r="B849" i="3"/>
  <c r="A849" i="3"/>
  <c r="B848" i="3"/>
  <c r="A848" i="3"/>
  <c r="B847" i="3"/>
  <c r="A847" i="3"/>
  <c r="B846" i="3"/>
  <c r="A846" i="3"/>
  <c r="B845" i="3"/>
  <c r="A845" i="3"/>
  <c r="B844" i="3"/>
  <c r="A844" i="3"/>
  <c r="B843" i="3"/>
  <c r="A843" i="3"/>
  <c r="B842" i="3"/>
  <c r="A842" i="3"/>
  <c r="B841" i="3"/>
  <c r="A841" i="3"/>
  <c r="B840" i="3"/>
  <c r="A840" i="3"/>
  <c r="B839" i="3"/>
  <c r="A839" i="3"/>
  <c r="B838" i="3"/>
  <c r="A838" i="3"/>
  <c r="B837" i="3"/>
  <c r="A837" i="3"/>
  <c r="B836" i="3"/>
  <c r="A836" i="3"/>
  <c r="B835" i="3"/>
  <c r="A835" i="3"/>
  <c r="B834" i="3"/>
  <c r="A834" i="3"/>
  <c r="B833" i="3"/>
  <c r="A833" i="3"/>
  <c r="B832" i="3"/>
  <c r="A832" i="3"/>
  <c r="B831" i="3"/>
  <c r="A831" i="3"/>
  <c r="B830" i="3"/>
  <c r="A830" i="3"/>
  <c r="B829" i="3"/>
  <c r="A829" i="3"/>
  <c r="B828" i="3"/>
  <c r="A828" i="3"/>
  <c r="B827" i="3"/>
  <c r="A827" i="3"/>
  <c r="B826" i="3"/>
  <c r="A826" i="3"/>
  <c r="B825" i="3"/>
  <c r="A825" i="3"/>
  <c r="B824" i="3"/>
  <c r="A824" i="3"/>
  <c r="B823" i="3"/>
  <c r="A823" i="3"/>
  <c r="B822" i="3"/>
  <c r="A822" i="3"/>
  <c r="B821" i="3"/>
  <c r="A821" i="3"/>
  <c r="B820" i="3"/>
  <c r="A820" i="3"/>
  <c r="B819" i="3"/>
  <c r="A819" i="3"/>
  <c r="B818" i="3"/>
  <c r="A818" i="3"/>
  <c r="B817" i="3"/>
  <c r="A817" i="3"/>
  <c r="B816" i="3"/>
  <c r="A816" i="3"/>
  <c r="B815" i="3"/>
  <c r="A815" i="3"/>
  <c r="B814" i="3"/>
  <c r="A814" i="3"/>
  <c r="B813" i="3"/>
  <c r="A813" i="3"/>
  <c r="B812" i="3"/>
  <c r="A812" i="3"/>
  <c r="B811" i="3"/>
  <c r="A811" i="3"/>
  <c r="B810" i="3"/>
  <c r="A810" i="3"/>
  <c r="B809" i="3"/>
  <c r="A809" i="3"/>
  <c r="B808" i="3"/>
  <c r="A808" i="3"/>
  <c r="B807" i="3"/>
  <c r="A807" i="3"/>
  <c r="B806" i="3"/>
  <c r="A806" i="3"/>
  <c r="B805" i="3"/>
  <c r="A805" i="3"/>
  <c r="B804" i="3"/>
  <c r="A804" i="3"/>
  <c r="B803" i="3"/>
  <c r="A803" i="3"/>
  <c r="B802" i="3"/>
  <c r="A802" i="3"/>
  <c r="B801" i="3"/>
  <c r="A801" i="3"/>
  <c r="B800" i="3"/>
  <c r="A800" i="3"/>
  <c r="B799" i="3"/>
  <c r="A799" i="3"/>
  <c r="B798" i="3"/>
  <c r="A798" i="3"/>
  <c r="B797" i="3"/>
  <c r="A797" i="3"/>
  <c r="B796" i="3"/>
  <c r="A796" i="3"/>
  <c r="B795" i="3"/>
  <c r="A795" i="3"/>
  <c r="B794" i="3"/>
  <c r="A794" i="3"/>
  <c r="B793" i="3"/>
  <c r="A793" i="3"/>
  <c r="B792" i="3"/>
  <c r="A792" i="3"/>
  <c r="B791" i="3"/>
  <c r="A791" i="3"/>
  <c r="B790" i="3"/>
  <c r="A790" i="3"/>
  <c r="B789" i="3"/>
  <c r="A789" i="3"/>
  <c r="B788" i="3"/>
  <c r="A788" i="3"/>
  <c r="B787" i="3"/>
  <c r="A787" i="3"/>
  <c r="B786" i="3"/>
  <c r="A786" i="3"/>
  <c r="B785" i="3"/>
  <c r="A785" i="3"/>
  <c r="B784" i="3"/>
  <c r="A784" i="3"/>
  <c r="B783" i="3"/>
  <c r="A783" i="3"/>
  <c r="B782" i="3"/>
  <c r="A782" i="3"/>
  <c r="B781" i="3"/>
  <c r="A781" i="3"/>
  <c r="B780" i="3"/>
  <c r="A780" i="3"/>
  <c r="B779" i="3"/>
  <c r="A779" i="3"/>
  <c r="B778" i="3"/>
  <c r="A778" i="3"/>
  <c r="B777" i="3"/>
  <c r="A777" i="3"/>
  <c r="B776" i="3"/>
  <c r="A776" i="3"/>
  <c r="B775" i="3"/>
  <c r="A775" i="3"/>
  <c r="B774" i="3"/>
  <c r="A774" i="3"/>
  <c r="B773" i="3"/>
  <c r="A773" i="3"/>
  <c r="B772" i="3"/>
  <c r="A772" i="3"/>
  <c r="B771" i="3"/>
  <c r="A771" i="3"/>
  <c r="B770" i="3"/>
  <c r="A770" i="3"/>
  <c r="B769" i="3"/>
  <c r="A769" i="3"/>
  <c r="B768" i="3"/>
  <c r="A768" i="3"/>
  <c r="B767" i="3"/>
  <c r="A767" i="3"/>
  <c r="B766" i="3"/>
  <c r="A766" i="3"/>
  <c r="B765" i="3"/>
  <c r="A765" i="3"/>
  <c r="B764" i="3"/>
  <c r="A764" i="3"/>
  <c r="B763" i="3"/>
  <c r="A763" i="3"/>
  <c r="B762" i="3"/>
  <c r="A762" i="3"/>
  <c r="B761" i="3"/>
  <c r="A761" i="3"/>
  <c r="B760" i="3"/>
  <c r="A760" i="3"/>
  <c r="B759" i="3"/>
  <c r="A759" i="3"/>
  <c r="B758" i="3"/>
  <c r="A758" i="3"/>
  <c r="B757" i="3"/>
  <c r="A757" i="3"/>
  <c r="B756" i="3"/>
  <c r="A756" i="3"/>
  <c r="B755" i="3"/>
  <c r="A755" i="3"/>
  <c r="B754" i="3"/>
  <c r="A754" i="3"/>
  <c r="B753" i="3"/>
  <c r="A753" i="3"/>
  <c r="B752" i="3"/>
  <c r="A752" i="3"/>
  <c r="B751" i="3"/>
  <c r="A751" i="3"/>
  <c r="B750" i="3"/>
  <c r="A750" i="3"/>
  <c r="B749" i="3"/>
  <c r="A749" i="3"/>
  <c r="B748" i="3"/>
  <c r="A748" i="3"/>
  <c r="B747" i="3"/>
  <c r="A747" i="3"/>
  <c r="B746" i="3"/>
  <c r="A746" i="3"/>
  <c r="B745" i="3"/>
  <c r="A745" i="3"/>
  <c r="B744" i="3"/>
  <c r="A744" i="3"/>
  <c r="B743" i="3"/>
  <c r="A743" i="3"/>
  <c r="B742" i="3"/>
  <c r="A742" i="3"/>
  <c r="B741" i="3"/>
  <c r="A741" i="3"/>
  <c r="B740" i="3"/>
  <c r="A740" i="3"/>
  <c r="B739" i="3"/>
  <c r="A739" i="3"/>
  <c r="B738" i="3"/>
  <c r="A738" i="3"/>
  <c r="B737" i="3"/>
  <c r="A737" i="3"/>
  <c r="B736" i="3"/>
  <c r="A736" i="3"/>
  <c r="B735" i="3"/>
  <c r="A735" i="3"/>
  <c r="B734" i="3"/>
  <c r="A734" i="3"/>
  <c r="B733" i="3"/>
  <c r="A733" i="3"/>
  <c r="B732" i="3"/>
  <c r="A732" i="3"/>
  <c r="B731" i="3"/>
  <c r="A731" i="3"/>
  <c r="B730" i="3"/>
  <c r="A730" i="3"/>
  <c r="B729" i="3"/>
  <c r="A729" i="3"/>
  <c r="B728" i="3"/>
  <c r="A728" i="3"/>
  <c r="B727" i="3"/>
  <c r="A727" i="3"/>
  <c r="B726" i="3"/>
  <c r="A726" i="3"/>
  <c r="B725" i="3"/>
  <c r="A725" i="3"/>
  <c r="B724" i="3"/>
  <c r="A724" i="3"/>
  <c r="B723" i="3"/>
  <c r="A723" i="3"/>
  <c r="B722" i="3"/>
  <c r="A722" i="3"/>
  <c r="B721" i="3"/>
  <c r="A721" i="3"/>
  <c r="B720" i="3"/>
  <c r="A720" i="3"/>
  <c r="B719" i="3"/>
  <c r="A719" i="3"/>
  <c r="B718" i="3"/>
  <c r="A718" i="3"/>
  <c r="B717" i="3"/>
  <c r="A717" i="3"/>
  <c r="B716" i="3"/>
  <c r="A716" i="3"/>
  <c r="B715" i="3"/>
  <c r="A715" i="3"/>
  <c r="B714" i="3"/>
  <c r="A714" i="3"/>
  <c r="B713" i="3"/>
  <c r="A713" i="3"/>
  <c r="B712" i="3"/>
  <c r="A712" i="3"/>
  <c r="B711" i="3"/>
  <c r="A711" i="3"/>
  <c r="B710" i="3"/>
  <c r="A710" i="3"/>
  <c r="B709" i="3"/>
  <c r="A709" i="3"/>
  <c r="B708" i="3"/>
  <c r="A708" i="3"/>
  <c r="B707" i="3"/>
  <c r="A707" i="3"/>
  <c r="B706" i="3"/>
  <c r="A706" i="3"/>
  <c r="B705" i="3"/>
  <c r="A705" i="3"/>
  <c r="B704" i="3"/>
  <c r="A704" i="3"/>
  <c r="B703" i="3"/>
  <c r="A703" i="3"/>
  <c r="B702" i="3"/>
  <c r="A702" i="3"/>
  <c r="B701" i="3"/>
  <c r="A701" i="3"/>
  <c r="B700" i="3"/>
  <c r="A700" i="3"/>
  <c r="B699" i="3"/>
  <c r="A699" i="3"/>
  <c r="B698" i="3"/>
  <c r="A698" i="3"/>
  <c r="B697" i="3"/>
  <c r="A697" i="3"/>
  <c r="B696" i="3"/>
  <c r="A696" i="3"/>
  <c r="B695" i="3"/>
  <c r="A695" i="3"/>
  <c r="B694" i="3"/>
  <c r="A694" i="3"/>
  <c r="B693" i="3"/>
  <c r="A693" i="3"/>
  <c r="B692" i="3"/>
  <c r="A692" i="3"/>
  <c r="B691" i="3"/>
  <c r="A691" i="3"/>
  <c r="B690" i="3"/>
  <c r="A690" i="3"/>
  <c r="B689" i="3"/>
  <c r="A689" i="3"/>
  <c r="B688" i="3"/>
  <c r="A688" i="3"/>
  <c r="B687" i="3"/>
  <c r="A687" i="3"/>
  <c r="B686" i="3"/>
  <c r="A686" i="3"/>
  <c r="B685" i="3"/>
  <c r="A685" i="3"/>
  <c r="B684" i="3"/>
  <c r="A684" i="3"/>
  <c r="B683" i="3"/>
  <c r="A683" i="3"/>
  <c r="B682" i="3"/>
  <c r="A682" i="3"/>
  <c r="B681" i="3"/>
  <c r="A681" i="3"/>
  <c r="B680" i="3"/>
  <c r="A680" i="3"/>
  <c r="B679" i="3"/>
  <c r="A679" i="3"/>
  <c r="B678" i="3"/>
  <c r="A678" i="3"/>
  <c r="B677" i="3"/>
  <c r="A677" i="3"/>
  <c r="B676" i="3"/>
  <c r="A676" i="3"/>
  <c r="B675" i="3"/>
  <c r="A675" i="3"/>
  <c r="B674" i="3"/>
  <c r="A674" i="3"/>
  <c r="B673" i="3"/>
  <c r="A673" i="3"/>
  <c r="B672" i="3"/>
  <c r="A672" i="3"/>
  <c r="B671" i="3"/>
  <c r="A671" i="3"/>
  <c r="B670" i="3"/>
  <c r="A670" i="3"/>
  <c r="B669" i="3"/>
  <c r="A669" i="3"/>
  <c r="B668" i="3"/>
  <c r="A668" i="3"/>
  <c r="B667" i="3"/>
  <c r="A667" i="3"/>
  <c r="B666" i="3"/>
  <c r="A666" i="3"/>
  <c r="B665" i="3"/>
  <c r="A665" i="3"/>
  <c r="B664" i="3"/>
  <c r="A664" i="3"/>
  <c r="B663" i="3"/>
  <c r="A663" i="3"/>
  <c r="B662" i="3"/>
  <c r="A662" i="3"/>
  <c r="B661" i="3"/>
  <c r="A661" i="3"/>
  <c r="B660" i="3"/>
  <c r="A660" i="3"/>
  <c r="B659" i="3"/>
  <c r="A659" i="3"/>
  <c r="B658" i="3"/>
  <c r="A658" i="3"/>
  <c r="B657" i="3"/>
  <c r="A657" i="3"/>
  <c r="B656" i="3"/>
  <c r="A656" i="3"/>
  <c r="B655" i="3"/>
  <c r="A655" i="3"/>
  <c r="B654" i="3"/>
  <c r="A654" i="3"/>
  <c r="B653" i="3"/>
  <c r="A653" i="3"/>
  <c r="B652" i="3"/>
  <c r="A652" i="3"/>
  <c r="B651" i="3"/>
  <c r="A651" i="3"/>
  <c r="B650" i="3"/>
  <c r="A650" i="3"/>
  <c r="B649" i="3"/>
  <c r="A649" i="3"/>
  <c r="B648" i="3"/>
  <c r="A648" i="3"/>
  <c r="B647" i="3"/>
  <c r="A647" i="3"/>
  <c r="B646" i="3"/>
  <c r="A646" i="3"/>
  <c r="B645" i="3"/>
  <c r="A645" i="3"/>
  <c r="B644" i="3"/>
  <c r="A644" i="3"/>
  <c r="B643" i="3"/>
  <c r="A643" i="3"/>
  <c r="B642" i="3"/>
  <c r="A642" i="3"/>
  <c r="B641" i="3"/>
  <c r="A641" i="3"/>
  <c r="B640" i="3"/>
  <c r="A640" i="3"/>
  <c r="B639" i="3"/>
  <c r="A639" i="3"/>
  <c r="B638" i="3"/>
  <c r="A638" i="3"/>
  <c r="B637" i="3"/>
  <c r="A637" i="3"/>
  <c r="B636" i="3"/>
  <c r="A636" i="3"/>
  <c r="B635" i="3"/>
  <c r="A635" i="3"/>
  <c r="B634" i="3"/>
  <c r="A634" i="3"/>
  <c r="B633" i="3"/>
  <c r="A633" i="3"/>
  <c r="B632" i="3"/>
  <c r="A632" i="3"/>
  <c r="B631" i="3"/>
  <c r="A631" i="3"/>
  <c r="B630" i="3"/>
  <c r="A630" i="3"/>
  <c r="B629" i="3"/>
  <c r="A629" i="3"/>
  <c r="B628" i="3"/>
  <c r="A628" i="3"/>
  <c r="B627" i="3"/>
  <c r="A627" i="3"/>
  <c r="B626" i="3"/>
  <c r="A626" i="3"/>
  <c r="B625" i="3"/>
  <c r="A625" i="3"/>
  <c r="B624" i="3"/>
  <c r="A624" i="3"/>
  <c r="B623" i="3"/>
  <c r="A623" i="3"/>
  <c r="B622" i="3"/>
  <c r="A622" i="3"/>
  <c r="B621" i="3"/>
  <c r="A621" i="3"/>
  <c r="B620" i="3"/>
  <c r="A620" i="3"/>
  <c r="B619" i="3"/>
  <c r="A619" i="3"/>
  <c r="B618" i="3"/>
  <c r="A618" i="3"/>
  <c r="B617" i="3"/>
  <c r="A617" i="3"/>
  <c r="B616" i="3"/>
  <c r="A616" i="3"/>
  <c r="B615" i="3"/>
  <c r="A615" i="3"/>
  <c r="B614" i="3"/>
  <c r="A614" i="3"/>
  <c r="B613" i="3"/>
  <c r="A613" i="3"/>
  <c r="B612" i="3"/>
  <c r="A612" i="3"/>
  <c r="B611" i="3"/>
  <c r="A611" i="3"/>
  <c r="B610" i="3"/>
  <c r="A610" i="3"/>
  <c r="B609" i="3"/>
  <c r="A609" i="3"/>
  <c r="B608" i="3"/>
  <c r="A608" i="3"/>
  <c r="B607" i="3"/>
  <c r="A607" i="3"/>
  <c r="B606" i="3"/>
  <c r="A606" i="3"/>
  <c r="B605" i="3"/>
  <c r="A605" i="3"/>
  <c r="B604" i="3"/>
  <c r="A604" i="3"/>
  <c r="B603" i="3"/>
  <c r="A603" i="3"/>
  <c r="B602" i="3"/>
  <c r="A602" i="3"/>
  <c r="B601" i="3"/>
  <c r="A601" i="3"/>
  <c r="B600" i="3"/>
  <c r="A600" i="3"/>
  <c r="B599" i="3"/>
  <c r="A599" i="3"/>
  <c r="B598" i="3"/>
  <c r="A598" i="3"/>
  <c r="B597" i="3"/>
  <c r="A597" i="3"/>
  <c r="B596" i="3"/>
  <c r="A596" i="3"/>
  <c r="B595" i="3"/>
  <c r="A595" i="3"/>
  <c r="B594" i="3"/>
  <c r="A594" i="3"/>
  <c r="B593" i="3"/>
  <c r="A593" i="3"/>
  <c r="B592" i="3"/>
  <c r="A592" i="3"/>
  <c r="B591" i="3"/>
  <c r="A591" i="3"/>
  <c r="B590" i="3"/>
  <c r="A590" i="3"/>
  <c r="B589" i="3"/>
  <c r="A589" i="3"/>
  <c r="B588" i="3"/>
  <c r="A588" i="3"/>
  <c r="B587" i="3"/>
  <c r="A587" i="3"/>
  <c r="B586" i="3"/>
  <c r="A586" i="3"/>
  <c r="B585" i="3"/>
  <c r="A585" i="3"/>
  <c r="B584" i="3"/>
  <c r="A584" i="3"/>
  <c r="B583" i="3"/>
  <c r="A583" i="3"/>
  <c r="B582" i="3"/>
  <c r="A582" i="3"/>
  <c r="B581" i="3"/>
  <c r="A581" i="3"/>
  <c r="B580" i="3"/>
  <c r="A580" i="3"/>
  <c r="B579" i="3"/>
  <c r="A579" i="3"/>
  <c r="B578" i="3"/>
  <c r="A578" i="3"/>
  <c r="B577" i="3"/>
  <c r="A577" i="3"/>
  <c r="B576" i="3"/>
  <c r="A576" i="3"/>
  <c r="B575" i="3"/>
  <c r="A575" i="3"/>
  <c r="B574" i="3"/>
  <c r="A574" i="3"/>
  <c r="B573" i="3"/>
  <c r="A573" i="3"/>
  <c r="B572" i="3"/>
  <c r="A572" i="3"/>
  <c r="B571" i="3"/>
  <c r="A571" i="3"/>
  <c r="B570" i="3"/>
  <c r="A570" i="3"/>
  <c r="B569" i="3"/>
  <c r="A569" i="3"/>
  <c r="B568" i="3"/>
  <c r="A568" i="3"/>
  <c r="B567" i="3"/>
  <c r="A567" i="3"/>
  <c r="B566" i="3"/>
  <c r="A566" i="3"/>
  <c r="B565" i="3"/>
  <c r="A565" i="3"/>
  <c r="B564" i="3"/>
  <c r="A564" i="3"/>
  <c r="B563" i="3"/>
  <c r="A563" i="3"/>
  <c r="B562" i="3"/>
  <c r="A562" i="3"/>
  <c r="B561" i="3"/>
  <c r="A561" i="3"/>
  <c r="B560" i="3"/>
  <c r="A560" i="3"/>
  <c r="B559" i="3"/>
  <c r="A559" i="3"/>
  <c r="B558" i="3"/>
  <c r="A558" i="3"/>
  <c r="B557" i="3"/>
  <c r="A557" i="3"/>
  <c r="B556" i="3"/>
  <c r="A556" i="3"/>
  <c r="B555" i="3"/>
  <c r="A555" i="3"/>
  <c r="B554" i="3"/>
  <c r="A554" i="3"/>
  <c r="B553" i="3"/>
  <c r="A553" i="3"/>
  <c r="B552" i="3"/>
  <c r="A552" i="3"/>
  <c r="B551" i="3"/>
  <c r="A551" i="3"/>
  <c r="B550" i="3"/>
  <c r="A550" i="3"/>
  <c r="B549" i="3"/>
  <c r="A549" i="3"/>
  <c r="B548" i="3"/>
  <c r="A548" i="3"/>
  <c r="B547" i="3"/>
  <c r="A547" i="3"/>
  <c r="B546" i="3"/>
  <c r="A546" i="3"/>
  <c r="B545" i="3"/>
  <c r="A545" i="3"/>
  <c r="B544" i="3"/>
  <c r="A544" i="3"/>
  <c r="B543" i="3"/>
  <c r="A543" i="3"/>
  <c r="B542" i="3"/>
  <c r="A542" i="3"/>
  <c r="B541" i="3"/>
  <c r="A541" i="3"/>
  <c r="B540" i="3"/>
  <c r="A540" i="3"/>
  <c r="B539" i="3"/>
  <c r="A539" i="3"/>
  <c r="B538" i="3"/>
  <c r="A538" i="3"/>
  <c r="B537" i="3"/>
  <c r="A537" i="3"/>
  <c r="B536" i="3"/>
  <c r="A536" i="3"/>
  <c r="B535" i="3"/>
  <c r="A535" i="3"/>
  <c r="B534" i="3"/>
  <c r="A534" i="3"/>
  <c r="B533" i="3"/>
  <c r="A533" i="3"/>
  <c r="B532" i="3"/>
  <c r="A532" i="3"/>
  <c r="B531" i="3"/>
  <c r="A531" i="3"/>
  <c r="B530" i="3"/>
  <c r="A530" i="3"/>
  <c r="B529" i="3"/>
  <c r="A529" i="3"/>
  <c r="B528" i="3"/>
  <c r="A528" i="3"/>
  <c r="B527" i="3"/>
  <c r="A527" i="3"/>
  <c r="B526" i="3"/>
  <c r="A526" i="3"/>
  <c r="B525" i="3"/>
  <c r="A525" i="3"/>
  <c r="B524" i="3"/>
  <c r="A524" i="3"/>
  <c r="B523" i="3"/>
  <c r="A523" i="3"/>
  <c r="B522" i="3"/>
  <c r="A522" i="3"/>
  <c r="B521" i="3"/>
  <c r="A521" i="3"/>
  <c r="B520" i="3"/>
  <c r="A520" i="3"/>
  <c r="B519" i="3"/>
  <c r="A519" i="3"/>
  <c r="B518" i="3"/>
  <c r="A518" i="3"/>
  <c r="B517" i="3"/>
  <c r="A517" i="3"/>
  <c r="B516" i="3"/>
  <c r="A516" i="3"/>
  <c r="B515" i="3"/>
  <c r="A515" i="3"/>
  <c r="B514" i="3"/>
  <c r="A514" i="3"/>
  <c r="B513" i="3"/>
  <c r="A513" i="3"/>
  <c r="B512" i="3"/>
  <c r="A512" i="3"/>
  <c r="B511" i="3"/>
  <c r="A511" i="3"/>
  <c r="B510" i="3"/>
  <c r="A510" i="3"/>
  <c r="B509" i="3"/>
  <c r="A509" i="3"/>
  <c r="B508" i="3"/>
  <c r="A508" i="3"/>
  <c r="B507" i="3"/>
  <c r="A507" i="3"/>
  <c r="B506" i="3"/>
  <c r="A506" i="3"/>
  <c r="B505" i="3"/>
  <c r="A505" i="3"/>
  <c r="B504" i="3"/>
  <c r="A504" i="3"/>
  <c r="B503" i="3"/>
  <c r="A503" i="3"/>
  <c r="B502" i="3"/>
  <c r="A502" i="3"/>
  <c r="B501" i="3"/>
  <c r="A501" i="3"/>
  <c r="B500" i="3"/>
  <c r="A500" i="3"/>
  <c r="B499" i="3"/>
  <c r="A499" i="3"/>
  <c r="B498" i="3"/>
  <c r="A498" i="3"/>
  <c r="B497" i="3"/>
  <c r="A497" i="3"/>
  <c r="B496" i="3"/>
  <c r="A496" i="3"/>
  <c r="B495" i="3"/>
  <c r="A495" i="3"/>
  <c r="B494" i="3"/>
  <c r="A494" i="3"/>
  <c r="B493" i="3"/>
  <c r="A493" i="3"/>
  <c r="B492" i="3"/>
  <c r="A492" i="3"/>
  <c r="B491" i="3"/>
  <c r="A491" i="3"/>
  <c r="B490" i="3"/>
  <c r="A490" i="3"/>
  <c r="B489" i="3"/>
  <c r="A489" i="3"/>
  <c r="B488" i="3"/>
  <c r="A488" i="3"/>
  <c r="B487" i="3"/>
  <c r="A487" i="3"/>
  <c r="B486" i="3"/>
  <c r="A486" i="3"/>
  <c r="B485" i="3"/>
  <c r="A485" i="3"/>
  <c r="B484" i="3"/>
  <c r="A484" i="3"/>
  <c r="B483" i="3"/>
  <c r="A483" i="3"/>
  <c r="B482" i="3"/>
  <c r="A482" i="3"/>
  <c r="B481" i="3"/>
  <c r="A481" i="3"/>
  <c r="B480" i="3"/>
  <c r="A480" i="3"/>
  <c r="B479" i="3"/>
  <c r="A479" i="3"/>
  <c r="B478" i="3"/>
  <c r="A478" i="3"/>
  <c r="B477" i="3"/>
  <c r="A477" i="3"/>
  <c r="B476" i="3"/>
  <c r="A476" i="3"/>
  <c r="B475" i="3"/>
  <c r="A475" i="3"/>
  <c r="B474" i="3"/>
  <c r="A474" i="3"/>
  <c r="B473" i="3"/>
  <c r="A473" i="3"/>
  <c r="B472" i="3"/>
  <c r="A472" i="3"/>
  <c r="B471" i="3"/>
  <c r="A471" i="3"/>
  <c r="B470" i="3"/>
  <c r="A470" i="3"/>
  <c r="B469" i="3"/>
  <c r="A469" i="3"/>
  <c r="B468" i="3"/>
  <c r="A468" i="3"/>
  <c r="B467" i="3"/>
  <c r="A467" i="3"/>
  <c r="B466" i="3"/>
  <c r="A466" i="3"/>
  <c r="B465" i="3"/>
  <c r="A465" i="3"/>
  <c r="B464" i="3"/>
  <c r="A464" i="3"/>
  <c r="B463" i="3"/>
  <c r="A463" i="3"/>
  <c r="B462" i="3"/>
  <c r="A462" i="3"/>
  <c r="B461" i="3"/>
  <c r="A461" i="3"/>
  <c r="B460" i="3"/>
  <c r="A460" i="3"/>
  <c r="B459" i="3"/>
  <c r="A459" i="3"/>
  <c r="B458" i="3"/>
  <c r="A458" i="3"/>
  <c r="B457" i="3"/>
  <c r="A457" i="3"/>
  <c r="B456" i="3"/>
  <c r="A456" i="3"/>
  <c r="B455" i="3"/>
  <c r="A455" i="3"/>
  <c r="B454" i="3"/>
  <c r="A454" i="3"/>
  <c r="B453" i="3"/>
  <c r="A453" i="3"/>
  <c r="B452" i="3"/>
  <c r="A452" i="3"/>
  <c r="B451" i="3"/>
  <c r="A451" i="3"/>
  <c r="B450" i="3"/>
  <c r="A450" i="3"/>
  <c r="B449" i="3"/>
  <c r="A449" i="3"/>
  <c r="B448" i="3"/>
  <c r="A448" i="3"/>
  <c r="B447" i="3"/>
  <c r="A447" i="3"/>
  <c r="B446" i="3"/>
  <c r="A446" i="3"/>
  <c r="B445" i="3"/>
  <c r="A445" i="3"/>
  <c r="B444" i="3"/>
  <c r="A444" i="3"/>
  <c r="B443" i="3"/>
  <c r="A443" i="3"/>
  <c r="B442" i="3"/>
  <c r="A442" i="3"/>
  <c r="B441" i="3"/>
  <c r="A441" i="3"/>
  <c r="B440" i="3"/>
  <c r="A440" i="3"/>
  <c r="B439" i="3"/>
  <c r="A439" i="3"/>
  <c r="B438" i="3"/>
  <c r="A438" i="3"/>
  <c r="B437" i="3"/>
  <c r="A437" i="3"/>
  <c r="B436" i="3"/>
  <c r="A436" i="3"/>
  <c r="B435" i="3"/>
  <c r="A435" i="3"/>
  <c r="B434" i="3"/>
  <c r="A434" i="3"/>
  <c r="B433" i="3"/>
  <c r="A433" i="3"/>
  <c r="B432" i="3"/>
  <c r="A432" i="3"/>
  <c r="B431" i="3"/>
  <c r="A431" i="3"/>
  <c r="B430" i="3"/>
  <c r="A430" i="3"/>
  <c r="B429" i="3"/>
  <c r="A429" i="3"/>
  <c r="B428" i="3"/>
  <c r="A428" i="3"/>
  <c r="B427" i="3"/>
  <c r="A427" i="3"/>
  <c r="B426" i="3"/>
  <c r="A426" i="3"/>
  <c r="B425" i="3"/>
  <c r="A425" i="3"/>
  <c r="B424" i="3"/>
  <c r="A424" i="3"/>
  <c r="B423" i="3"/>
  <c r="A423" i="3"/>
  <c r="B422" i="3"/>
  <c r="A422" i="3"/>
  <c r="B421" i="3"/>
  <c r="A421" i="3"/>
  <c r="B420" i="3"/>
  <c r="A420" i="3"/>
  <c r="B419" i="3"/>
  <c r="A419" i="3"/>
  <c r="B418" i="3"/>
  <c r="A418" i="3"/>
  <c r="B417" i="3"/>
  <c r="A417" i="3"/>
  <c r="B416" i="3"/>
  <c r="A416" i="3"/>
  <c r="B415" i="3"/>
  <c r="A415" i="3"/>
  <c r="B414" i="3"/>
  <c r="A414" i="3"/>
  <c r="B413" i="3"/>
  <c r="A413" i="3"/>
  <c r="B412" i="3"/>
  <c r="A412" i="3"/>
  <c r="B411" i="3"/>
  <c r="A411" i="3"/>
  <c r="B410" i="3"/>
  <c r="A410" i="3"/>
  <c r="B409" i="3"/>
  <c r="A409" i="3"/>
  <c r="B408" i="3"/>
  <c r="A408" i="3"/>
  <c r="B407" i="3"/>
  <c r="A407" i="3"/>
  <c r="B406" i="3"/>
  <c r="A406" i="3"/>
  <c r="B405" i="3"/>
  <c r="A405" i="3"/>
  <c r="B404" i="3"/>
  <c r="A404" i="3"/>
  <c r="B403" i="3"/>
  <c r="A403" i="3"/>
  <c r="B402" i="3"/>
  <c r="A402" i="3"/>
  <c r="B401" i="3"/>
  <c r="A401" i="3"/>
  <c r="B400" i="3"/>
  <c r="A400" i="3"/>
  <c r="B399" i="3"/>
  <c r="A399" i="3"/>
  <c r="B398" i="3"/>
  <c r="A398" i="3"/>
  <c r="B397" i="3"/>
  <c r="A397" i="3"/>
  <c r="B396" i="3"/>
  <c r="A396" i="3"/>
  <c r="B395" i="3"/>
  <c r="A395" i="3"/>
  <c r="B394" i="3"/>
  <c r="A394" i="3"/>
  <c r="B393" i="3"/>
  <c r="A393" i="3"/>
  <c r="B392" i="3"/>
  <c r="A392" i="3"/>
  <c r="B391" i="3"/>
  <c r="A391" i="3"/>
  <c r="B390" i="3"/>
  <c r="A390" i="3"/>
  <c r="B389" i="3"/>
  <c r="A389" i="3"/>
  <c r="B388" i="3"/>
  <c r="A388" i="3"/>
  <c r="B387" i="3"/>
  <c r="A387" i="3"/>
  <c r="B386" i="3"/>
  <c r="A386" i="3"/>
  <c r="B385" i="3"/>
  <c r="A385" i="3"/>
  <c r="B384" i="3"/>
  <c r="A384" i="3"/>
  <c r="B383" i="3"/>
  <c r="A383" i="3"/>
  <c r="B382" i="3"/>
  <c r="A382" i="3"/>
  <c r="B381" i="3"/>
  <c r="A381" i="3"/>
  <c r="B380" i="3"/>
  <c r="A380" i="3"/>
  <c r="B379" i="3"/>
  <c r="A379" i="3"/>
  <c r="B378" i="3"/>
  <c r="A378" i="3"/>
  <c r="B377" i="3"/>
  <c r="A377" i="3"/>
  <c r="B376" i="3"/>
  <c r="A376" i="3"/>
  <c r="B375" i="3"/>
  <c r="A375" i="3"/>
  <c r="B374" i="3"/>
  <c r="A374" i="3"/>
  <c r="B373" i="3"/>
  <c r="A373" i="3"/>
  <c r="B372" i="3"/>
  <c r="A372" i="3"/>
  <c r="B371" i="3"/>
  <c r="A371" i="3"/>
  <c r="B370" i="3"/>
  <c r="A370" i="3"/>
  <c r="B369" i="3"/>
  <c r="A369" i="3"/>
  <c r="B368" i="3"/>
  <c r="A368" i="3"/>
  <c r="B367" i="3"/>
  <c r="A367" i="3"/>
  <c r="B366" i="3"/>
  <c r="A366" i="3"/>
  <c r="B365" i="3"/>
  <c r="A365" i="3"/>
  <c r="B364" i="3"/>
  <c r="A364" i="3"/>
  <c r="B363" i="3"/>
  <c r="A363" i="3"/>
  <c r="B362" i="3"/>
  <c r="A362" i="3"/>
  <c r="B361" i="3"/>
  <c r="A361" i="3"/>
  <c r="B360" i="3"/>
  <c r="A360" i="3"/>
  <c r="B359" i="3"/>
  <c r="A359" i="3"/>
  <c r="B358" i="3"/>
  <c r="A358" i="3"/>
  <c r="B357" i="3"/>
  <c r="A357" i="3"/>
  <c r="B356" i="3"/>
  <c r="A356" i="3"/>
  <c r="B355" i="3"/>
  <c r="A355" i="3"/>
  <c r="B354" i="3"/>
  <c r="A354" i="3"/>
  <c r="B353" i="3"/>
  <c r="A353" i="3"/>
  <c r="B352" i="3"/>
  <c r="A352" i="3"/>
  <c r="B351" i="3"/>
  <c r="A351" i="3"/>
  <c r="B350" i="3"/>
  <c r="A350" i="3"/>
  <c r="B349" i="3"/>
  <c r="A349" i="3"/>
  <c r="B348" i="3"/>
  <c r="A348" i="3"/>
  <c r="B347" i="3"/>
  <c r="A347" i="3"/>
  <c r="B346" i="3"/>
  <c r="A346" i="3"/>
  <c r="B345" i="3"/>
  <c r="A345" i="3"/>
  <c r="B344" i="3"/>
  <c r="A344" i="3"/>
  <c r="B343" i="3"/>
  <c r="A343" i="3"/>
  <c r="B342" i="3"/>
  <c r="A342" i="3"/>
  <c r="B341" i="3"/>
  <c r="A341" i="3"/>
  <c r="B340" i="3"/>
  <c r="A340" i="3"/>
  <c r="B339" i="3"/>
  <c r="A339" i="3"/>
  <c r="B338" i="3"/>
  <c r="A338" i="3"/>
  <c r="B337" i="3"/>
  <c r="A337" i="3"/>
  <c r="B336" i="3"/>
  <c r="A336" i="3"/>
  <c r="B335" i="3"/>
  <c r="A335" i="3"/>
  <c r="B334" i="3"/>
  <c r="A334" i="3"/>
  <c r="B333" i="3"/>
  <c r="A333" i="3"/>
  <c r="B332" i="3"/>
  <c r="A332" i="3"/>
  <c r="B331" i="3"/>
  <c r="A331" i="3"/>
  <c r="B330" i="3"/>
  <c r="A330" i="3"/>
  <c r="B329" i="3"/>
  <c r="A329" i="3"/>
  <c r="B328" i="3"/>
  <c r="A328" i="3"/>
  <c r="B327" i="3"/>
  <c r="A327" i="3"/>
  <c r="B326" i="3"/>
  <c r="A326" i="3"/>
  <c r="B325" i="3"/>
  <c r="A325" i="3"/>
  <c r="B324" i="3"/>
  <c r="A324" i="3"/>
  <c r="B323" i="3"/>
  <c r="A323" i="3"/>
  <c r="B322" i="3"/>
  <c r="A322" i="3"/>
  <c r="B321" i="3"/>
  <c r="A321" i="3"/>
  <c r="B320" i="3"/>
  <c r="A320" i="3"/>
  <c r="B319" i="3"/>
  <c r="A319" i="3"/>
  <c r="B318" i="3"/>
  <c r="A318" i="3"/>
  <c r="B317" i="3"/>
  <c r="A317" i="3"/>
  <c r="B316" i="3"/>
  <c r="A316" i="3"/>
  <c r="B315" i="3"/>
  <c r="A315" i="3"/>
  <c r="B314" i="3"/>
  <c r="A314" i="3"/>
  <c r="B313" i="3"/>
  <c r="A313" i="3"/>
  <c r="B312" i="3"/>
  <c r="A312" i="3"/>
  <c r="B311" i="3"/>
  <c r="A311" i="3"/>
  <c r="B310" i="3"/>
  <c r="A310" i="3"/>
  <c r="B309" i="3"/>
  <c r="A309" i="3"/>
  <c r="B308" i="3"/>
  <c r="A308" i="3"/>
  <c r="B307" i="3"/>
  <c r="A307" i="3"/>
  <c r="B306" i="3"/>
  <c r="A306" i="3"/>
  <c r="B305" i="3"/>
  <c r="A305" i="3"/>
  <c r="B304" i="3"/>
  <c r="A304" i="3"/>
  <c r="B303" i="3"/>
  <c r="A303" i="3"/>
  <c r="B302" i="3"/>
  <c r="A302" i="3"/>
  <c r="B301" i="3"/>
  <c r="A301" i="3"/>
  <c r="B300" i="3"/>
  <c r="A300" i="3"/>
  <c r="B299" i="3"/>
  <c r="A299" i="3"/>
  <c r="B298" i="3"/>
  <c r="A298" i="3"/>
  <c r="B297" i="3"/>
  <c r="A297" i="3"/>
  <c r="B296" i="3"/>
  <c r="A296" i="3"/>
  <c r="B295" i="3"/>
  <c r="A295" i="3"/>
  <c r="B294" i="3"/>
  <c r="A294" i="3"/>
  <c r="B293" i="3"/>
  <c r="A293" i="3"/>
  <c r="B292" i="3"/>
  <c r="A292" i="3"/>
  <c r="B291" i="3"/>
  <c r="A291" i="3"/>
  <c r="B290" i="3"/>
  <c r="A290" i="3"/>
  <c r="B289" i="3"/>
  <c r="A289" i="3"/>
  <c r="B288" i="3"/>
  <c r="A288" i="3"/>
  <c r="B287" i="3"/>
  <c r="A287" i="3"/>
  <c r="B286" i="3"/>
  <c r="A286" i="3"/>
  <c r="B285" i="3"/>
  <c r="A285" i="3"/>
  <c r="B284" i="3"/>
  <c r="A284" i="3"/>
  <c r="B283" i="3"/>
  <c r="A283" i="3"/>
  <c r="B282" i="3"/>
  <c r="A282" i="3"/>
  <c r="B281" i="3"/>
  <c r="A281" i="3"/>
  <c r="B280" i="3"/>
  <c r="A280" i="3"/>
  <c r="B279" i="3"/>
  <c r="A279" i="3"/>
  <c r="B278" i="3"/>
  <c r="A278" i="3"/>
  <c r="B277" i="3"/>
  <c r="A277" i="3"/>
  <c r="B276" i="3"/>
  <c r="A276" i="3"/>
  <c r="B275" i="3"/>
  <c r="A275" i="3"/>
  <c r="B274" i="3"/>
  <c r="A274" i="3"/>
  <c r="B273" i="3"/>
  <c r="A273" i="3"/>
  <c r="B272" i="3"/>
  <c r="A272" i="3"/>
  <c r="B271" i="3"/>
  <c r="A271" i="3"/>
  <c r="B270" i="3"/>
  <c r="A270" i="3"/>
  <c r="B269" i="3"/>
  <c r="A269" i="3"/>
  <c r="B268" i="3"/>
  <c r="A268" i="3"/>
  <c r="B267" i="3"/>
  <c r="A267" i="3"/>
  <c r="B266" i="3"/>
  <c r="A266" i="3"/>
  <c r="B265" i="3"/>
  <c r="A265" i="3"/>
  <c r="B264" i="3"/>
  <c r="A264" i="3"/>
  <c r="B263" i="3"/>
  <c r="A263" i="3"/>
  <c r="B262" i="3"/>
  <c r="A262" i="3"/>
  <c r="B261" i="3"/>
  <c r="A261" i="3"/>
  <c r="B260" i="3"/>
  <c r="A260" i="3"/>
  <c r="B259" i="3"/>
  <c r="A259" i="3"/>
  <c r="B258" i="3"/>
  <c r="A258" i="3"/>
  <c r="B257" i="3"/>
  <c r="A257" i="3"/>
  <c r="B256" i="3"/>
  <c r="A256" i="3"/>
  <c r="B255" i="3"/>
  <c r="A255" i="3"/>
  <c r="B254" i="3"/>
  <c r="A254" i="3"/>
  <c r="B253" i="3"/>
  <c r="A253" i="3"/>
  <c r="B252" i="3"/>
  <c r="A252" i="3"/>
  <c r="B251" i="3"/>
  <c r="A251" i="3"/>
  <c r="B250" i="3"/>
  <c r="A250" i="3"/>
  <c r="B249" i="3"/>
  <c r="A249" i="3"/>
  <c r="B248" i="3"/>
  <c r="A248" i="3"/>
  <c r="B247" i="3"/>
  <c r="A247" i="3"/>
  <c r="B246" i="3"/>
  <c r="A246" i="3"/>
  <c r="B245" i="3"/>
  <c r="A245" i="3"/>
  <c r="B244" i="3"/>
  <c r="A244" i="3"/>
  <c r="B243" i="3"/>
  <c r="A243" i="3"/>
  <c r="B242" i="3"/>
  <c r="A242" i="3"/>
  <c r="B241" i="3"/>
  <c r="A241" i="3"/>
  <c r="B240" i="3"/>
  <c r="A240" i="3"/>
  <c r="B239" i="3"/>
  <c r="A239" i="3"/>
  <c r="B238" i="3"/>
  <c r="A238" i="3"/>
  <c r="B237" i="3"/>
  <c r="A237" i="3"/>
  <c r="B236" i="3"/>
  <c r="A236" i="3"/>
  <c r="B235" i="3"/>
  <c r="A235" i="3"/>
  <c r="B234" i="3"/>
  <c r="A234" i="3"/>
  <c r="B233" i="3"/>
  <c r="A233" i="3"/>
  <c r="B232" i="3"/>
  <c r="A232" i="3"/>
  <c r="B231" i="3"/>
  <c r="A231" i="3"/>
  <c r="B230" i="3"/>
  <c r="A230" i="3"/>
  <c r="B229" i="3"/>
  <c r="A229" i="3"/>
  <c r="B228" i="3"/>
  <c r="A228" i="3"/>
  <c r="B227" i="3"/>
  <c r="A227" i="3"/>
  <c r="B226" i="3"/>
  <c r="A226" i="3"/>
  <c r="B225" i="3"/>
  <c r="A225" i="3"/>
  <c r="B224" i="3"/>
  <c r="A224" i="3"/>
  <c r="B223" i="3"/>
  <c r="A223" i="3"/>
  <c r="B222" i="3"/>
  <c r="A222" i="3"/>
  <c r="B221" i="3"/>
  <c r="A221" i="3"/>
  <c r="B220" i="3"/>
  <c r="A220" i="3"/>
  <c r="B219" i="3"/>
  <c r="A219" i="3"/>
  <c r="B218" i="3"/>
  <c r="A218" i="3"/>
  <c r="B217" i="3"/>
  <c r="A217" i="3"/>
  <c r="B216" i="3"/>
  <c r="A216" i="3"/>
  <c r="B215" i="3"/>
  <c r="A215" i="3"/>
  <c r="B214" i="3"/>
  <c r="A214" i="3"/>
  <c r="B213" i="3"/>
  <c r="A213" i="3"/>
  <c r="B212" i="3"/>
  <c r="A212" i="3"/>
  <c r="B211" i="3"/>
  <c r="A211" i="3"/>
  <c r="B210" i="3"/>
  <c r="A210" i="3"/>
  <c r="B209" i="3"/>
  <c r="A209" i="3"/>
  <c r="B208" i="3"/>
  <c r="A208" i="3"/>
  <c r="B207" i="3"/>
  <c r="A207" i="3"/>
  <c r="B206" i="3"/>
  <c r="A206" i="3"/>
  <c r="B205" i="3"/>
  <c r="A205" i="3"/>
  <c r="B204" i="3"/>
  <c r="A204" i="3"/>
  <c r="B203" i="3"/>
  <c r="A203" i="3"/>
  <c r="B202" i="3"/>
  <c r="A202" i="3"/>
  <c r="B201" i="3"/>
  <c r="A201" i="3"/>
  <c r="B200" i="3"/>
  <c r="A200" i="3"/>
  <c r="B199" i="3"/>
  <c r="A199" i="3"/>
  <c r="B198" i="3"/>
  <c r="A198" i="3"/>
  <c r="B197" i="3"/>
  <c r="A197" i="3"/>
  <c r="B196" i="3"/>
  <c r="A196" i="3"/>
  <c r="B195" i="3"/>
  <c r="A195" i="3"/>
  <c r="B194" i="3"/>
  <c r="A194" i="3"/>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B5" i="3"/>
  <c r="A5" i="3"/>
  <c r="B4" i="3"/>
  <c r="A4" i="3"/>
  <c r="B3" i="3"/>
  <c r="A3" i="3"/>
  <c r="B2" i="3"/>
  <c r="A2" i="3"/>
  <c r="J96" i="11"/>
  <c r="F21" i="9"/>
  <c r="C37" i="9"/>
  <c r="F60" i="11"/>
  <c r="E14" i="9"/>
  <c r="F76" i="11"/>
  <c r="F13" i="9"/>
  <c r="R64" i="11"/>
  <c r="G103" i="11"/>
  <c r="L62" i="11"/>
  <c r="M17" i="11"/>
  <c r="B115" i="11"/>
  <c r="G12" i="10"/>
  <c r="G71" i="11"/>
  <c r="P98" i="11"/>
  <c r="R8" i="11"/>
  <c r="E33" i="11"/>
  <c r="M97" i="11"/>
  <c r="F20" i="9"/>
  <c r="D30" i="9"/>
  <c r="C35" i="11"/>
  <c r="N92" i="11"/>
  <c r="L113" i="11"/>
  <c r="E57" i="11"/>
  <c r="F36" i="11"/>
  <c r="I61" i="11"/>
  <c r="R88" i="11"/>
  <c r="E36" i="9"/>
  <c r="N68" i="11"/>
  <c r="F84" i="11"/>
  <c r="F26" i="9"/>
  <c r="I13" i="11"/>
  <c r="D26" i="9"/>
  <c r="F44" i="11"/>
  <c r="E29" i="9"/>
  <c r="Q128" i="11"/>
  <c r="H34" i="11"/>
  <c r="I5" i="11"/>
  <c r="C49" i="8"/>
  <c r="E65" i="11"/>
  <c r="P106" i="11"/>
  <c r="Q21" i="11"/>
  <c r="B32" i="11"/>
  <c r="R215" i="11"/>
  <c r="P42" i="11"/>
  <c r="K15" i="10"/>
  <c r="M57" i="11"/>
  <c r="I252" i="11"/>
  <c r="F18" i="9"/>
  <c r="Q69" i="11"/>
  <c r="M9" i="11"/>
  <c r="K67" i="11"/>
  <c r="J16" i="11"/>
  <c r="K99" i="11"/>
  <c r="P125" i="11"/>
  <c r="O23" i="11"/>
  <c r="L102" i="11"/>
  <c r="D94" i="11"/>
  <c r="O122" i="11"/>
  <c r="G130" i="11"/>
  <c r="E12" i="9"/>
  <c r="D22" i="11"/>
  <c r="E15" i="9"/>
  <c r="E35" i="9"/>
  <c r="E19" i="9"/>
  <c r="B8" i="11"/>
  <c r="L78" i="11"/>
  <c r="C91" i="11"/>
  <c r="B16" i="11"/>
  <c r="H42" i="11"/>
  <c r="N52" i="11"/>
  <c r="F20" i="11"/>
  <c r="E49" i="8"/>
  <c r="C51" i="8"/>
  <c r="H90" i="11"/>
  <c r="C118" i="11"/>
  <c r="R24" i="11"/>
  <c r="J64" i="11"/>
  <c r="Q53" i="11"/>
  <c r="F28" i="9"/>
  <c r="R16" i="11"/>
  <c r="N100" i="11"/>
  <c r="N119" i="11"/>
  <c r="M148" i="11"/>
  <c r="P26" i="11"/>
  <c r="C30" i="9"/>
  <c r="K43" i="11"/>
  <c r="C83" i="11"/>
  <c r="D36" i="9"/>
  <c r="P50" i="11"/>
  <c r="K11" i="11"/>
  <c r="O95" i="11"/>
  <c r="G26" i="9"/>
  <c r="I45" i="11"/>
  <c r="G15" i="11"/>
  <c r="L6" i="11"/>
  <c r="D86" i="11"/>
  <c r="F50" i="8"/>
  <c r="K75" i="11"/>
  <c r="L30" i="11"/>
  <c r="M33" i="11"/>
  <c r="C44" i="8"/>
  <c r="M25" i="11"/>
  <c r="E41" i="11"/>
  <c r="E308" i="11"/>
  <c r="C11" i="11"/>
  <c r="L38" i="11"/>
  <c r="B64" i="11"/>
  <c r="D42" i="8"/>
  <c r="K59" i="11"/>
  <c r="L14" i="11"/>
  <c r="H66" i="11"/>
  <c r="I69" i="11"/>
  <c r="O154" i="11"/>
  <c r="O15" i="11"/>
  <c r="G31" i="11"/>
  <c r="E124" i="11"/>
  <c r="K142" i="11"/>
  <c r="M89" i="11"/>
  <c r="G27" i="9"/>
  <c r="R104" i="11"/>
  <c r="J48" i="11"/>
  <c r="E28" i="9"/>
  <c r="M49" i="11"/>
  <c r="G7" i="11"/>
  <c r="J24" i="11"/>
  <c r="C59" i="11"/>
  <c r="N28" i="11"/>
  <c r="J191" i="11"/>
  <c r="M18" i="10"/>
  <c r="L86" i="11"/>
  <c r="C19" i="11"/>
  <c r="L46" i="11"/>
  <c r="H26" i="11"/>
  <c r="R32" i="11"/>
  <c r="O63" i="11"/>
  <c r="J72" i="11"/>
  <c r="G40" i="8"/>
  <c r="G47" i="11"/>
  <c r="F92" i="11"/>
  <c r="K17" i="10"/>
  <c r="C51" i="11"/>
  <c r="N36" i="11"/>
  <c r="E89" i="11"/>
  <c r="J32" i="11"/>
  <c r="F100" i="11"/>
  <c r="Q29" i="11"/>
  <c r="K11" i="10"/>
  <c r="I21" i="9"/>
  <c r="H58" i="11"/>
  <c r="G36" i="9"/>
  <c r="F14" i="9"/>
  <c r="H82" i="11"/>
  <c r="D14" i="11"/>
  <c r="C3" i="11"/>
  <c r="B40" i="11"/>
  <c r="O7" i="11"/>
  <c r="K107" i="11"/>
  <c r="C43" i="11"/>
  <c r="I101" i="11"/>
  <c r="E81" i="11"/>
  <c r="D54" i="11"/>
  <c r="E20" i="9"/>
  <c r="J139" i="11"/>
  <c r="K35" i="11"/>
  <c r="C75" i="11"/>
  <c r="M41" i="11"/>
  <c r="K110" i="11"/>
  <c r="R56" i="11"/>
  <c r="F42" i="8"/>
  <c r="Q37" i="11"/>
  <c r="E13" i="9"/>
  <c r="E40" i="8"/>
  <c r="B88" i="11"/>
  <c r="L70" i="11"/>
  <c r="K91" i="11"/>
  <c r="D102" i="11"/>
  <c r="G43" i="8"/>
  <c r="B80" i="11"/>
  <c r="E42" i="8"/>
  <c r="N76" i="11"/>
  <c r="P34" i="11"/>
  <c r="H74" i="11"/>
  <c r="F19" i="9"/>
  <c r="E73" i="11"/>
  <c r="I37" i="11"/>
  <c r="G79" i="11"/>
  <c r="J8" i="11"/>
  <c r="O39" i="11"/>
  <c r="E17" i="11"/>
  <c r="E48" i="8"/>
  <c r="B48" i="11"/>
  <c r="B167" i="11"/>
  <c r="B96" i="11"/>
  <c r="H50" i="11"/>
  <c r="G55" i="11"/>
  <c r="M105" i="11"/>
  <c r="I21" i="11"/>
  <c r="N12" i="11"/>
  <c r="F40" i="8"/>
  <c r="B72" i="11"/>
  <c r="P66" i="11"/>
  <c r="E17" i="9"/>
  <c r="P10" i="11"/>
  <c r="H133" i="11"/>
  <c r="N44" i="11"/>
  <c r="R96" i="11"/>
  <c r="O47" i="11"/>
  <c r="G16" i="10"/>
  <c r="E21" i="9"/>
  <c r="Q13" i="11"/>
  <c r="F36" i="9"/>
  <c r="J88" i="11"/>
  <c r="J80" i="11"/>
  <c r="Q61" i="11"/>
  <c r="H10" i="11"/>
  <c r="E50" i="8"/>
  <c r="P157" i="11"/>
  <c r="H18" i="11"/>
  <c r="R72" i="11"/>
  <c r="P58" i="11"/>
  <c r="B24" i="11"/>
  <c r="C27" i="11"/>
  <c r="F108" i="11"/>
  <c r="F34" i="9"/>
  <c r="G9" i="10"/>
  <c r="C67" i="11"/>
  <c r="L94" i="11"/>
  <c r="D70" i="11"/>
  <c r="D62" i="11"/>
  <c r="M65" i="11"/>
  <c r="G50" i="8"/>
  <c r="E47" i="8"/>
  <c r="M73" i="11"/>
  <c r="C99" i="11"/>
  <c r="I93" i="11"/>
  <c r="H98" i="11"/>
  <c r="F33" i="9"/>
  <c r="F22" i="9"/>
  <c r="O79" i="11"/>
  <c r="Q85" i="11"/>
  <c r="F16" i="9"/>
  <c r="D35" i="9"/>
  <c r="E105" i="11"/>
  <c r="D121" i="11"/>
  <c r="F179" i="11"/>
  <c r="I77" i="11"/>
  <c r="F68" i="11"/>
  <c r="I85" i="11"/>
  <c r="N20" i="11"/>
  <c r="G10" i="10"/>
  <c r="C107" i="11"/>
  <c r="O31" i="11"/>
  <c r="R48" i="11"/>
  <c r="R40" i="11"/>
  <c r="G39" i="11"/>
  <c r="P74" i="11"/>
  <c r="I53" i="11"/>
  <c r="R80" i="11"/>
  <c r="G47" i="8"/>
  <c r="K19" i="11"/>
  <c r="L145" i="11"/>
  <c r="G87" i="11"/>
  <c r="G18" i="10"/>
  <c r="D49" i="8"/>
  <c r="C41" i="8"/>
  <c r="F12" i="9"/>
  <c r="K3" i="11"/>
  <c r="F12" i="11"/>
  <c r="J40" i="11"/>
  <c r="B56" i="11"/>
  <c r="P90" i="11"/>
  <c r="Q93" i="11"/>
  <c r="F52" i="11"/>
  <c r="O55" i="11"/>
  <c r="K27" i="11"/>
  <c r="D78" i="11"/>
  <c r="D38" i="11"/>
  <c r="G23" i="11"/>
  <c r="E16" i="9"/>
  <c r="L22" i="11"/>
  <c r="K13" i="10"/>
  <c r="D33" i="9"/>
  <c r="F4" i="11"/>
  <c r="Q45" i="11"/>
  <c r="E49" i="11"/>
  <c r="D28" i="9"/>
  <c r="E33" i="9"/>
  <c r="O71" i="11"/>
  <c r="F127" i="11"/>
  <c r="N151" i="11"/>
  <c r="F47" i="8"/>
  <c r="J56" i="11"/>
  <c r="Q101" i="11"/>
  <c r="E240" i="11"/>
  <c r="F15" i="9"/>
  <c r="G33" i="9"/>
  <c r="M81" i="11"/>
  <c r="N60" i="11"/>
  <c r="F28" i="11"/>
  <c r="D6" i="11"/>
  <c r="E9" i="11"/>
  <c r="Q160" i="11"/>
  <c r="G14" i="10"/>
  <c r="N4" i="11"/>
  <c r="G95" i="11"/>
  <c r="D30" i="11"/>
  <c r="N203" i="11"/>
  <c r="Q5" i="11"/>
  <c r="D46" i="11"/>
  <c r="C27" i="9"/>
  <c r="C35" i="9"/>
  <c r="P82" i="11"/>
  <c r="F17" i="9"/>
  <c r="L54" i="11"/>
  <c r="M116" i="11"/>
  <c r="H106" i="11"/>
  <c r="J104" i="11"/>
  <c r="G29" i="9"/>
  <c r="G63" i="11"/>
  <c r="I136" i="11"/>
  <c r="B104" i="11"/>
  <c r="E22" i="9"/>
  <c r="D44" i="8"/>
  <c r="P18" i="11"/>
  <c r="E97" i="11"/>
  <c r="E18" i="9"/>
  <c r="C33" i="9"/>
  <c r="E25" i="11"/>
  <c r="O103" i="11"/>
  <c r="M264" i="11"/>
  <c r="Q77" i="11"/>
  <c r="O87" i="11"/>
  <c r="K83" i="11"/>
  <c r="N84" i="11"/>
  <c r="I29" i="11"/>
  <c r="K51" i="11"/>
  <c r="G411" i="20" l="1"/>
  <c r="B8" i="14"/>
  <c r="G31" i="8"/>
  <c r="J28" i="8" s="1"/>
  <c r="G23" i="8"/>
  <c r="I411" i="20"/>
  <c r="L21" i="17"/>
  <c r="L25" i="17"/>
  <c r="L23" i="17"/>
  <c r="T29" i="11"/>
  <c r="S29" i="11"/>
  <c r="T93" i="11"/>
  <c r="S93" i="11"/>
  <c r="N26" i="17"/>
  <c r="H18" i="17"/>
  <c r="H26" i="17"/>
  <c r="T5" i="11"/>
  <c r="S5" i="11"/>
  <c r="T69" i="11"/>
  <c r="S69" i="11"/>
  <c r="T45" i="11"/>
  <c r="S45" i="11"/>
  <c r="H24" i="17"/>
  <c r="T21" i="11"/>
  <c r="S21" i="11"/>
  <c r="T85" i="11"/>
  <c r="S85" i="11"/>
  <c r="L19" i="17"/>
  <c r="T61" i="11"/>
  <c r="S61" i="11"/>
  <c r="T128" i="11"/>
  <c r="S128" i="11"/>
  <c r="H17" i="17"/>
  <c r="H22" i="17"/>
  <c r="T37" i="11"/>
  <c r="S37" i="11"/>
  <c r="T101" i="11"/>
  <c r="S101" i="11"/>
  <c r="T13" i="11"/>
  <c r="S13" i="11"/>
  <c r="T77" i="11"/>
  <c r="S77" i="11"/>
  <c r="H20" i="17"/>
  <c r="T53" i="11"/>
  <c r="S53" i="11"/>
  <c r="T160" i="11"/>
  <c r="K11" i="5"/>
  <c r="P24" i="5" s="1"/>
  <c r="F10" i="20"/>
  <c r="O37" i="5"/>
  <c r="O29" i="5"/>
  <c r="O38" i="5"/>
  <c r="O30" i="5"/>
  <c r="O23" i="5"/>
  <c r="O39" i="5"/>
  <c r="O31" i="5"/>
  <c r="O40" i="5"/>
  <c r="O32" i="5"/>
  <c r="O24" i="5"/>
  <c r="O41" i="5"/>
  <c r="O33" i="5"/>
  <c r="O25" i="5"/>
  <c r="O42" i="5"/>
  <c r="O34" i="5"/>
  <c r="O26" i="5"/>
  <c r="O35" i="5"/>
  <c r="O27" i="5"/>
  <c r="O36" i="5"/>
  <c r="O28" i="5"/>
  <c r="C35" i="8"/>
  <c r="F30" i="8"/>
  <c r="B30" i="8" s="1"/>
  <c r="F25" i="8"/>
  <c r="B25" i="8" s="1"/>
  <c r="C22" i="8"/>
  <c r="C18" i="8"/>
  <c r="F31" i="8"/>
  <c r="B31" i="8" s="1"/>
  <c r="F26" i="8"/>
  <c r="B26" i="8" s="1"/>
  <c r="C23" i="8"/>
  <c r="C19" i="8"/>
  <c r="C14" i="8"/>
  <c r="F32" i="8"/>
  <c r="B32" i="8" s="1"/>
  <c r="C30" i="8"/>
  <c r="F27" i="8"/>
  <c r="B27" i="8" s="1"/>
  <c r="C24" i="8"/>
  <c r="F33" i="8"/>
  <c r="B33" i="8" s="1"/>
  <c r="C25" i="8"/>
  <c r="F34" i="8"/>
  <c r="B34" i="8" s="1"/>
  <c r="C31" i="8"/>
  <c r="C26" i="8"/>
  <c r="F17" i="8"/>
  <c r="B17" i="8" s="1"/>
  <c r="F35" i="8"/>
  <c r="B35" i="8" s="1"/>
  <c r="C32" i="8"/>
  <c r="C27" i="8"/>
  <c r="F18" i="8"/>
  <c r="B18" i="8" s="1"/>
  <c r="F13" i="8"/>
  <c r="B13" i="8" s="1"/>
  <c r="F12" i="8"/>
  <c r="B12" i="8" s="1"/>
  <c r="C33" i="8"/>
  <c r="F23" i="8"/>
  <c r="B23" i="8" s="1"/>
  <c r="F22" i="8"/>
  <c r="B22" i="8" s="1"/>
  <c r="F19" i="8"/>
  <c r="B19" i="8" s="1"/>
  <c r="F14" i="8"/>
  <c r="B14" i="8" s="1"/>
  <c r="C34" i="8"/>
  <c r="F24" i="8"/>
  <c r="B24" i="8" s="1"/>
  <c r="C17" i="8"/>
  <c r="C13" i="8"/>
  <c r="C12" i="8"/>
  <c r="K10" i="5"/>
  <c r="G25" i="8"/>
  <c r="D25" i="8" s="1"/>
  <c r="G30" i="8"/>
  <c r="D30" i="8" s="1"/>
  <c r="B70" i="8"/>
  <c r="B56" i="9"/>
  <c r="B54" i="9"/>
  <c r="B62" i="9"/>
  <c r="B52" i="9"/>
  <c r="G24" i="8"/>
  <c r="B55" i="9"/>
  <c r="B53" i="9"/>
  <c r="B59" i="9"/>
  <c r="B51" i="9"/>
  <c r="B57" i="9"/>
  <c r="G14" i="8"/>
  <c r="D14" i="8" s="1"/>
  <c r="G19" i="8"/>
  <c r="D19" i="8" s="1"/>
  <c r="G22" i="8"/>
  <c r="D22" i="8" s="1"/>
  <c r="B64" i="8"/>
  <c r="B72" i="8"/>
  <c r="A7621" i="4"/>
  <c r="A7625" i="4"/>
  <c r="A7629" i="4"/>
  <c r="A7633" i="4"/>
  <c r="A7637" i="4"/>
  <c r="A7641" i="4"/>
  <c r="A7645" i="4"/>
  <c r="A7649" i="4"/>
  <c r="A7653" i="4"/>
  <c r="A7657" i="4"/>
  <c r="A7661" i="4"/>
  <c r="A7665" i="4"/>
  <c r="A7669" i="4"/>
  <c r="A7673" i="4"/>
  <c r="A7677" i="4"/>
  <c r="A7681" i="4"/>
  <c r="A7685" i="4"/>
  <c r="A7689" i="4"/>
  <c r="A7693" i="4"/>
  <c r="A7697" i="4"/>
  <c r="A7701" i="4"/>
  <c r="A7705" i="4"/>
  <c r="A7709" i="4"/>
  <c r="A7713" i="4"/>
  <c r="A7717" i="4"/>
  <c r="A7721" i="4"/>
  <c r="A7725" i="4"/>
  <c r="A7729" i="4"/>
  <c r="A7733" i="4"/>
  <c r="A7737" i="4"/>
  <c r="A7741" i="4"/>
  <c r="A7745" i="4"/>
  <c r="A7749" i="4"/>
  <c r="A7753" i="4"/>
  <c r="A7757" i="4"/>
  <c r="A7761" i="4"/>
  <c r="A7765" i="4"/>
  <c r="B4" i="8"/>
  <c r="G12" i="8"/>
  <c r="D12" i="8" s="1"/>
  <c r="G13" i="8"/>
  <c r="D13" i="8" s="1"/>
  <c r="G18" i="8"/>
  <c r="D18" i="8" s="1"/>
  <c r="G35" i="8"/>
  <c r="D35" i="8" s="1"/>
  <c r="B65" i="8"/>
  <c r="B73" i="8"/>
  <c r="K8" i="5"/>
  <c r="G17" i="8"/>
  <c r="D17" i="8" s="1"/>
  <c r="G34" i="8"/>
  <c r="D34" i="8" s="1"/>
  <c r="B66" i="8"/>
  <c r="B76" i="8"/>
  <c r="A7594" i="4"/>
  <c r="A7598" i="4"/>
  <c r="A7602" i="4"/>
  <c r="A7606" i="4"/>
  <c r="A7610" i="4"/>
  <c r="A7614" i="4"/>
  <c r="A7618" i="4"/>
  <c r="A7622" i="4"/>
  <c r="A7626" i="4"/>
  <c r="A7630" i="4"/>
  <c r="A7634" i="4"/>
  <c r="A7638" i="4"/>
  <c r="A7642" i="4"/>
  <c r="A7646" i="4"/>
  <c r="A7650" i="4"/>
  <c r="A7654" i="4"/>
  <c r="A7658" i="4"/>
  <c r="A7662" i="4"/>
  <c r="A7666" i="4"/>
  <c r="A7670" i="4"/>
  <c r="A7674" i="4"/>
  <c r="A7678" i="4"/>
  <c r="A7682" i="4"/>
  <c r="A7686" i="4"/>
  <c r="A7690" i="4"/>
  <c r="A7694" i="4"/>
  <c r="A7698" i="4"/>
  <c r="A7702" i="4"/>
  <c r="A7706" i="4"/>
  <c r="A7710" i="4"/>
  <c r="A7714" i="4"/>
  <c r="A7718" i="4"/>
  <c r="A7722" i="4"/>
  <c r="A7726" i="4"/>
  <c r="A7730" i="4"/>
  <c r="A7734" i="4"/>
  <c r="A7738" i="4"/>
  <c r="A7742" i="4"/>
  <c r="A7746" i="4"/>
  <c r="A7750" i="4"/>
  <c r="A7754" i="4"/>
  <c r="A7758" i="4"/>
  <c r="A7762" i="4"/>
  <c r="A7766" i="4"/>
  <c r="G33" i="8"/>
  <c r="D33" i="8" s="1"/>
  <c r="B67" i="8"/>
  <c r="G27" i="8"/>
  <c r="D27" i="8" s="1"/>
  <c r="G32" i="8"/>
  <c r="B68" i="8"/>
  <c r="E10" i="20"/>
  <c r="B10" i="20"/>
  <c r="D10" i="20"/>
  <c r="C10" i="20"/>
  <c r="A7599" i="4"/>
  <c r="A7603" i="4"/>
  <c r="A7607" i="4"/>
  <c r="A7611" i="4"/>
  <c r="A7615" i="4"/>
  <c r="A7619" i="4"/>
  <c r="A7623" i="4"/>
  <c r="A7627" i="4"/>
  <c r="A7631" i="4"/>
  <c r="A7635" i="4"/>
  <c r="A7639" i="4"/>
  <c r="A7643" i="4"/>
  <c r="A7647" i="4"/>
  <c r="A7651" i="4"/>
  <c r="A7655" i="4"/>
  <c r="A7659" i="4"/>
  <c r="A7663" i="4"/>
  <c r="A7667" i="4"/>
  <c r="A7671" i="4"/>
  <c r="A7675" i="4"/>
  <c r="A7679" i="4"/>
  <c r="A7683" i="4"/>
  <c r="A7687" i="4"/>
  <c r="A7691" i="4"/>
  <c r="A7695" i="4"/>
  <c r="A7699" i="4"/>
  <c r="A7703" i="4"/>
  <c r="A7707" i="4"/>
  <c r="A7711" i="4"/>
  <c r="A7715" i="4"/>
  <c r="A7719" i="4"/>
  <c r="A7723" i="4"/>
  <c r="A7727" i="4"/>
  <c r="A7735" i="4"/>
  <c r="A7739" i="4"/>
  <c r="A7743" i="4"/>
  <c r="A7747" i="4"/>
  <c r="A7751" i="4"/>
  <c r="A7755" i="4"/>
  <c r="A7759" i="4"/>
  <c r="A7763" i="4"/>
  <c r="G26" i="8"/>
  <c r="D26" i="8" s="1"/>
  <c r="B69" i="8"/>
  <c r="B50" i="9"/>
  <c r="B7" i="15"/>
  <c r="B8" i="19"/>
  <c r="B8" i="17"/>
  <c r="H411" i="20"/>
  <c r="J411" i="20"/>
  <c r="J10" i="20" l="1"/>
  <c r="I10" i="20"/>
  <c r="H10" i="20"/>
  <c r="G10" i="20"/>
  <c r="D31" i="8"/>
  <c r="D32" i="8"/>
  <c r="K23" i="5"/>
  <c r="N23" i="5"/>
  <c r="L23" i="5"/>
  <c r="M23" i="5"/>
  <c r="D11" i="20"/>
  <c r="C11" i="20"/>
  <c r="B11" i="20"/>
  <c r="E11" i="20"/>
  <c r="F11" i="20"/>
  <c r="P25" i="5"/>
  <c r="D23" i="8"/>
  <c r="D24" i="8"/>
  <c r="K10" i="20" l="1"/>
  <c r="G11" i="20"/>
  <c r="J11" i="20"/>
  <c r="I11" i="20"/>
  <c r="B12" i="20"/>
  <c r="F12" i="20"/>
  <c r="E12" i="20"/>
  <c r="D12" i="20"/>
  <c r="C12" i="20"/>
  <c r="P26" i="5"/>
  <c r="H11" i="20"/>
  <c r="M203" i="11"/>
  <c r="N182" i="11"/>
  <c r="B170" i="11"/>
  <c r="F235" i="11"/>
  <c r="K186" i="11"/>
  <c r="P147" i="11"/>
  <c r="D135" i="11"/>
  <c r="R113" i="11"/>
  <c r="R260" i="11"/>
  <c r="B180" i="11"/>
  <c r="Q153" i="11"/>
  <c r="J132" i="11"/>
  <c r="I22" i="9"/>
  <c r="O254" i="11"/>
  <c r="N212" i="11"/>
  <c r="P297" i="11"/>
  <c r="K173" i="11"/>
  <c r="L253" i="11"/>
  <c r="E200" i="11"/>
  <c r="L151" i="11"/>
  <c r="M138" i="11"/>
  <c r="N117" i="11"/>
  <c r="G311" i="11"/>
  <c r="F192" i="11"/>
  <c r="E157" i="11"/>
  <c r="F136" i="11"/>
  <c r="H17" i="9"/>
  <c r="M268" i="11"/>
  <c r="E43" i="8"/>
  <c r="N155" i="11"/>
  <c r="L182" i="11"/>
  <c r="D47" i="8"/>
  <c r="F386" i="11"/>
  <c r="O373" i="11"/>
  <c r="O384" i="11"/>
  <c r="P371" i="11"/>
  <c r="H382" i="11"/>
  <c r="N401" i="11"/>
  <c r="O380" i="11"/>
  <c r="K397" i="11"/>
  <c r="M362" i="11"/>
  <c r="I350" i="11"/>
  <c r="B329" i="11"/>
  <c r="C316" i="11"/>
  <c r="D295" i="11"/>
  <c r="H291" i="11"/>
  <c r="E167" i="11"/>
  <c r="N368" i="11"/>
  <c r="O347" i="11"/>
  <c r="P334" i="11"/>
  <c r="Q313" i="11"/>
  <c r="R300" i="11"/>
  <c r="K279" i="11"/>
  <c r="I400" i="11"/>
  <c r="Q364" i="11"/>
  <c r="R351" i="11"/>
  <c r="K330" i="11"/>
  <c r="G318" i="11"/>
  <c r="M296" i="11"/>
  <c r="I284" i="11"/>
  <c r="I396" i="11"/>
  <c r="N208" i="11"/>
  <c r="O262" i="11"/>
  <c r="C386" i="11"/>
  <c r="O357" i="11"/>
  <c r="P344" i="11"/>
  <c r="Q323" i="11"/>
  <c r="R310" i="11"/>
  <c r="K289" i="11"/>
  <c r="G277" i="11"/>
  <c r="M324" i="11"/>
  <c r="C13" i="9"/>
  <c r="D13" i="9"/>
  <c r="C47" i="8"/>
  <c r="M399" i="11"/>
  <c r="N378" i="11"/>
  <c r="I398" i="11"/>
  <c r="B377" i="11"/>
  <c r="B396" i="11"/>
  <c r="P374" i="11"/>
  <c r="I394" i="11"/>
  <c r="B373" i="11"/>
  <c r="F382" i="11"/>
  <c r="H355" i="11"/>
  <c r="O177" i="11"/>
  <c r="Q227" i="11"/>
  <c r="H16" i="9"/>
  <c r="D15" i="9"/>
  <c r="D21" i="9"/>
  <c r="J382" i="11"/>
  <c r="R401" i="11"/>
  <c r="K380" i="11"/>
  <c r="K399" i="11"/>
  <c r="L378" i="11"/>
  <c r="R397" i="11"/>
  <c r="K376" i="11"/>
  <c r="C389" i="11"/>
  <c r="D359" i="11"/>
  <c r="E346" i="11"/>
  <c r="F325" i="11"/>
  <c r="F41" i="8"/>
  <c r="O197" i="11"/>
  <c r="Q278" i="11"/>
  <c r="J384" i="11"/>
  <c r="R364" i="11"/>
  <c r="K343" i="11"/>
  <c r="G331" i="11"/>
  <c r="M309" i="11"/>
  <c r="I297" i="11"/>
  <c r="B276" i="11"/>
  <c r="L393" i="11"/>
  <c r="M360" i="11"/>
  <c r="I348" i="11"/>
  <c r="B327" i="11"/>
  <c r="C314" i="11"/>
  <c r="D293" i="11"/>
  <c r="G118" i="11"/>
  <c r="O185" i="11"/>
  <c r="Q367" i="11"/>
  <c r="J346" i="11"/>
  <c r="K333" i="11"/>
  <c r="L312" i="11"/>
  <c r="M299" i="11"/>
  <c r="N278" i="11"/>
  <c r="B266" i="11"/>
  <c r="R365" i="11"/>
  <c r="F353" i="11"/>
  <c r="G332" i="11"/>
  <c r="H319" i="11"/>
  <c r="I298" i="11"/>
  <c r="J285" i="11"/>
  <c r="B400" i="11"/>
  <c r="G44" i="8"/>
  <c r="M120" i="11"/>
  <c r="Q384" i="11"/>
  <c r="M281" i="11"/>
  <c r="E257" i="11"/>
  <c r="F236" i="11"/>
  <c r="O223" i="11"/>
  <c r="H202" i="11"/>
  <c r="Q189" i="11"/>
  <c r="J168" i="11"/>
  <c r="J339" i="11"/>
  <c r="P261" i="11"/>
  <c r="D249" i="11"/>
  <c r="R227" i="11"/>
  <c r="F215" i="11"/>
  <c r="M338" i="11"/>
  <c r="N317" i="11"/>
  <c r="B305" i="11"/>
  <c r="P283" i="11"/>
  <c r="D271" i="11"/>
  <c r="D370" i="11"/>
  <c r="E357" i="11"/>
  <c r="F336" i="11"/>
  <c r="O323" i="11"/>
  <c r="H302" i="11"/>
  <c r="Q289" i="11"/>
  <c r="J268" i="11"/>
  <c r="G378" i="11"/>
  <c r="H353" i="11"/>
  <c r="P265" i="11"/>
  <c r="K245" i="11"/>
  <c r="K308" i="11"/>
  <c r="L287" i="11"/>
  <c r="M274" i="11"/>
  <c r="R376" i="11"/>
  <c r="I361" i="11"/>
  <c r="B340" i="11"/>
  <c r="C327" i="11"/>
  <c r="D306" i="11"/>
  <c r="E293" i="11"/>
  <c r="F272" i="11"/>
  <c r="D385" i="11"/>
  <c r="D357" i="11"/>
  <c r="E344" i="11"/>
  <c r="F323" i="11"/>
  <c r="I148" i="11"/>
  <c r="Q215" i="11"/>
  <c r="Q276" i="11"/>
  <c r="D381" i="11"/>
  <c r="M363" i="11"/>
  <c r="N342" i="11"/>
  <c r="B330" i="11"/>
  <c r="P308" i="11"/>
  <c r="D296" i="11"/>
  <c r="R274" i="11"/>
  <c r="M395" i="11"/>
  <c r="I362" i="11"/>
  <c r="J349" i="11"/>
  <c r="C328" i="11"/>
  <c r="L315" i="11"/>
  <c r="E294" i="11"/>
  <c r="B136" i="11"/>
  <c r="B151" i="11"/>
  <c r="R368" i="11"/>
  <c r="K347" i="11"/>
  <c r="F379" i="11"/>
  <c r="K353" i="11"/>
  <c r="G341" i="11"/>
  <c r="M319" i="11"/>
  <c r="I307" i="11"/>
  <c r="B286" i="11"/>
  <c r="C273" i="11"/>
  <c r="G306" i="11"/>
  <c r="C264" i="11"/>
  <c r="D243" i="11"/>
  <c r="E230" i="11"/>
  <c r="F209" i="11"/>
  <c r="E290" i="11"/>
  <c r="P138" i="11"/>
  <c r="L177" i="11"/>
  <c r="N340" i="11"/>
  <c r="G287" i="11"/>
  <c r="I251" i="11"/>
  <c r="J238" i="11"/>
  <c r="C217" i="11"/>
  <c r="L204" i="11"/>
  <c r="E183" i="11"/>
  <c r="N170" i="11"/>
  <c r="P317" i="11"/>
  <c r="O267" i="11"/>
  <c r="N245" i="11"/>
  <c r="B233" i="11"/>
  <c r="P211" i="11"/>
  <c r="D390" i="11"/>
  <c r="D29" i="11"/>
  <c r="F165" i="11"/>
  <c r="D294" i="11"/>
  <c r="H260" i="11"/>
  <c r="I239" i="11"/>
  <c r="J226" i="11"/>
  <c r="C205" i="11"/>
  <c r="L192" i="11"/>
  <c r="E171" i="11"/>
  <c r="K294" i="11"/>
  <c r="M192" i="11"/>
  <c r="N157" i="11"/>
  <c r="O136" i="11"/>
  <c r="P123" i="11"/>
  <c r="N268" i="11"/>
  <c r="E174" i="11"/>
  <c r="G323" i="11"/>
  <c r="H142" i="11"/>
  <c r="I121" i="11"/>
  <c r="I18" i="9"/>
  <c r="K210" i="11"/>
  <c r="H22" i="9"/>
  <c r="D16" i="9"/>
  <c r="H15" i="9"/>
  <c r="H392" i="11"/>
  <c r="I371" i="11"/>
  <c r="Q390" i="11"/>
  <c r="I401" i="11"/>
  <c r="J388" i="11"/>
  <c r="H399" i="11"/>
  <c r="P293" i="11"/>
  <c r="Q352" i="11"/>
  <c r="B369" i="11"/>
  <c r="P347" i="11"/>
  <c r="D335" i="11"/>
  <c r="R313" i="11"/>
  <c r="F301" i="11"/>
  <c r="G280" i="11"/>
  <c r="H267" i="11"/>
  <c r="H366" i="11"/>
  <c r="Q353" i="11"/>
  <c r="J332" i="11"/>
  <c r="K319" i="11"/>
  <c r="L298" i="11"/>
  <c r="M285" i="11"/>
  <c r="R395" i="11"/>
  <c r="B275" i="11"/>
  <c r="G303" i="11"/>
  <c r="M336" i="11"/>
  <c r="N315" i="11"/>
  <c r="B303" i="11"/>
  <c r="P281" i="11"/>
  <c r="D269" i="11"/>
  <c r="G369" i="11"/>
  <c r="H356" i="11"/>
  <c r="I335" i="11"/>
  <c r="J322" i="11"/>
  <c r="C301" i="11"/>
  <c r="L288" i="11"/>
  <c r="E267" i="11"/>
  <c r="H380" i="11"/>
  <c r="Q354" i="11"/>
  <c r="O108" i="11"/>
  <c r="B124" i="11"/>
  <c r="K306" i="11"/>
  <c r="L285" i="11"/>
  <c r="M272" i="11"/>
  <c r="G374" i="11"/>
  <c r="D360" i="11"/>
  <c r="R338" i="11"/>
  <c r="F326" i="11"/>
  <c r="G305" i="11"/>
  <c r="H292" i="11"/>
  <c r="I271" i="11"/>
  <c r="P388" i="11"/>
  <c r="E358" i="11"/>
  <c r="N345" i="11"/>
  <c r="O324" i="11"/>
  <c r="E173" i="11"/>
  <c r="H233" i="11"/>
  <c r="R277" i="11"/>
  <c r="R384" i="11"/>
  <c r="I365" i="11"/>
  <c r="L397" i="11"/>
  <c r="N371" i="11"/>
  <c r="B350" i="11"/>
  <c r="C337" i="11"/>
  <c r="D316" i="11"/>
  <c r="E303" i="11"/>
  <c r="F282" i="11"/>
  <c r="O269" i="11"/>
  <c r="C294" i="11"/>
  <c r="O260" i="11"/>
  <c r="H239" i="11"/>
  <c r="O320" i="11"/>
  <c r="H182" i="11"/>
  <c r="K192" i="11"/>
  <c r="L171" i="11"/>
  <c r="L353" i="11"/>
  <c r="D266" i="11"/>
  <c r="Q253" i="11"/>
  <c r="J232" i="11"/>
  <c r="K219" i="11"/>
  <c r="L198" i="11"/>
  <c r="M185" i="11"/>
  <c r="N164" i="11"/>
  <c r="E324" i="11"/>
  <c r="G258" i="11"/>
  <c r="H245" i="11"/>
  <c r="I224" i="11"/>
  <c r="E288" i="11"/>
  <c r="E14" i="11"/>
  <c r="H195" i="11"/>
  <c r="I174" i="11"/>
  <c r="E380" i="11"/>
  <c r="I277" i="11"/>
  <c r="L256" i="11"/>
  <c r="E235" i="11"/>
  <c r="N222" i="11"/>
  <c r="O201" i="11"/>
  <c r="P188" i="11"/>
  <c r="Q167" i="11"/>
  <c r="D261" i="11"/>
  <c r="G174" i="11"/>
  <c r="R153" i="11"/>
  <c r="K132" i="11"/>
  <c r="O204" i="11"/>
  <c r="F372" i="11"/>
  <c r="I201" i="11"/>
  <c r="C151" i="11"/>
  <c r="L138" i="11"/>
  <c r="E117" i="11"/>
  <c r="E41" i="8"/>
  <c r="P193" i="11"/>
  <c r="D41" i="8"/>
  <c r="C48" i="8"/>
  <c r="C401" i="11"/>
  <c r="L388" i="11"/>
  <c r="L399" i="11"/>
  <c r="M386" i="11"/>
  <c r="I338" i="11"/>
  <c r="B317" i="11"/>
  <c r="C304" i="11"/>
  <c r="D283" i="11"/>
  <c r="E270" i="11"/>
  <c r="H370" i="11"/>
  <c r="Q357" i="11"/>
  <c r="G382" i="11"/>
  <c r="Q363" i="11"/>
  <c r="J342" i="11"/>
  <c r="K329" i="11"/>
  <c r="L308" i="11"/>
  <c r="M295" i="11"/>
  <c r="N274" i="11"/>
  <c r="N390" i="11"/>
  <c r="J141" i="11"/>
  <c r="G308" i="11"/>
  <c r="M286" i="11"/>
  <c r="I274" i="11"/>
  <c r="E377" i="11"/>
  <c r="E361" i="11"/>
  <c r="D389" i="11"/>
  <c r="E367" i="11"/>
  <c r="F346" i="11"/>
  <c r="O333" i="11"/>
  <c r="H312" i="11"/>
  <c r="Q299" i="11"/>
  <c r="J278" i="11"/>
  <c r="P397" i="11"/>
  <c r="R275" i="11"/>
  <c r="Q350" i="11"/>
  <c r="H111" i="11"/>
  <c r="M222" i="11"/>
  <c r="N201" i="11"/>
  <c r="B189" i="11"/>
  <c r="P167" i="11"/>
  <c r="I333" i="11"/>
  <c r="L262" i="11"/>
  <c r="M249" i="11"/>
  <c r="N228" i="11"/>
  <c r="B216" i="11"/>
  <c r="P194" i="11"/>
  <c r="D182" i="11"/>
  <c r="R371" i="11"/>
  <c r="K310" i="11"/>
  <c r="C254" i="11"/>
  <c r="O318" i="11"/>
  <c r="I125" i="11"/>
  <c r="N207" i="11"/>
  <c r="O186" i="11"/>
  <c r="P173" i="11"/>
  <c r="H322" i="11"/>
  <c r="C275" i="11"/>
  <c r="E247" i="11"/>
  <c r="N234" i="11"/>
  <c r="O213" i="11"/>
  <c r="P200" i="11"/>
  <c r="Q179" i="11"/>
  <c r="R166" i="11"/>
  <c r="L305" i="11"/>
  <c r="D263" i="11"/>
  <c r="R241" i="11"/>
  <c r="N289" i="11"/>
  <c r="J10" i="10"/>
  <c r="C116" i="11"/>
  <c r="K239" i="11"/>
  <c r="O187" i="11"/>
  <c r="O147" i="11"/>
  <c r="P134" i="11"/>
  <c r="Q113" i="11"/>
  <c r="H13" i="9"/>
  <c r="L181" i="11"/>
  <c r="E332" i="11"/>
  <c r="R261" i="11"/>
  <c r="F249" i="11"/>
  <c r="G228" i="11"/>
  <c r="H215" i="11"/>
  <c r="I194" i="11"/>
  <c r="J181" i="11"/>
  <c r="O362" i="11"/>
  <c r="J304" i="11"/>
  <c r="G255" i="11"/>
  <c r="H242" i="11"/>
  <c r="I221" i="11"/>
  <c r="J208" i="11"/>
  <c r="C187" i="11"/>
  <c r="O386" i="11"/>
  <c r="H53" i="11"/>
  <c r="B253" i="11"/>
  <c r="P231" i="11"/>
  <c r="D219" i="11"/>
  <c r="R197" i="11"/>
  <c r="F185" i="11"/>
  <c r="G164" i="11"/>
  <c r="O319" i="11"/>
  <c r="P258" i="11"/>
  <c r="D246" i="11"/>
  <c r="R224" i="11"/>
  <c r="F212" i="11"/>
  <c r="G191" i="11"/>
  <c r="H178" i="11"/>
  <c r="B347" i="11"/>
  <c r="Q348" i="11"/>
  <c r="J83" i="11"/>
  <c r="P237" i="11"/>
  <c r="Q216" i="11"/>
  <c r="R203" i="11"/>
  <c r="K182" i="11"/>
  <c r="G170" i="11"/>
  <c r="D310" i="11"/>
  <c r="P264" i="11"/>
  <c r="Q243" i="11"/>
  <c r="R230" i="11"/>
  <c r="K209" i="11"/>
  <c r="G197" i="11"/>
  <c r="M175" i="11"/>
  <c r="I163" i="11"/>
  <c r="F287" i="11"/>
  <c r="P319" i="11"/>
  <c r="L96" i="11"/>
  <c r="J225" i="11"/>
  <c r="C204" i="11"/>
  <c r="L191" i="11"/>
  <c r="E170" i="11"/>
  <c r="F351" i="11"/>
  <c r="O265" i="11"/>
  <c r="P252" i="11"/>
  <c r="Q231" i="11"/>
  <c r="R218" i="11"/>
  <c r="K197" i="11"/>
  <c r="G185" i="11"/>
  <c r="M163" i="11"/>
  <c r="I244" i="11"/>
  <c r="M162" i="11"/>
  <c r="Q234" i="11"/>
  <c r="H379" i="11"/>
  <c r="M389" i="11"/>
  <c r="I377" i="11"/>
  <c r="G388" i="11"/>
  <c r="H375" i="11"/>
  <c r="E370" i="11"/>
  <c r="N357" i="11"/>
  <c r="O336" i="11"/>
  <c r="P323" i="11"/>
  <c r="Q302" i="11"/>
  <c r="R289" i="11"/>
  <c r="K268" i="11"/>
  <c r="I381" i="11"/>
  <c r="G355" i="11"/>
  <c r="Q290" i="11"/>
  <c r="P170" i="11"/>
  <c r="M316" i="11"/>
  <c r="I264" i="11"/>
  <c r="B243" i="11"/>
  <c r="C230" i="11"/>
  <c r="D209" i="11"/>
  <c r="E196" i="11"/>
  <c r="F175" i="11"/>
  <c r="L401" i="11"/>
  <c r="O279" i="11"/>
  <c r="C257" i="11"/>
  <c r="D236" i="11"/>
  <c r="E223" i="11"/>
  <c r="F202" i="11"/>
  <c r="K389" i="11"/>
  <c r="H36" i="11"/>
  <c r="L281" i="11"/>
  <c r="K246" i="11"/>
  <c r="G234" i="11"/>
  <c r="M212" i="11"/>
  <c r="I200" i="11"/>
  <c r="B179" i="11"/>
  <c r="C166" i="11"/>
  <c r="I293" i="11"/>
  <c r="G261" i="11"/>
  <c r="M239" i="11"/>
  <c r="I227" i="11"/>
  <c r="B206" i="11"/>
  <c r="C193" i="11"/>
  <c r="D172" i="11"/>
  <c r="R349" i="11"/>
  <c r="J66" i="11"/>
  <c r="L255" i="11"/>
  <c r="E234" i="11"/>
  <c r="N221" i="11"/>
  <c r="O200" i="11"/>
  <c r="P187" i="11"/>
  <c r="Q166" i="11"/>
  <c r="F332" i="11"/>
  <c r="K261" i="11"/>
  <c r="G249" i="11"/>
  <c r="M227" i="11"/>
  <c r="I215" i="11"/>
  <c r="B194" i="11"/>
  <c r="C181" i="11"/>
  <c r="Q312" i="11"/>
  <c r="K264" i="11"/>
  <c r="C348" i="11"/>
  <c r="E146" i="11"/>
  <c r="F125" i="11"/>
  <c r="O112" i="11"/>
  <c r="P222" i="11"/>
  <c r="J172" i="11"/>
  <c r="K143" i="11"/>
  <c r="H21" i="9"/>
  <c r="M109" i="11"/>
  <c r="C40" i="8"/>
  <c r="F163" i="11"/>
  <c r="C43" i="8"/>
  <c r="G49" i="8"/>
  <c r="K393" i="11"/>
  <c r="O310" i="11"/>
  <c r="L249" i="11"/>
  <c r="L338" i="11"/>
  <c r="E317" i="11"/>
  <c r="N304" i="11"/>
  <c r="O283" i="11"/>
  <c r="P270" i="11"/>
  <c r="E368" i="11"/>
  <c r="N355" i="11"/>
  <c r="O334" i="11"/>
  <c r="P321" i="11"/>
  <c r="Q300" i="11"/>
  <c r="R287" i="11"/>
  <c r="K266" i="11"/>
  <c r="C378" i="11"/>
  <c r="B354" i="11"/>
  <c r="Q143" i="11"/>
  <c r="I158" i="11"/>
  <c r="E307" i="11"/>
  <c r="F286" i="11"/>
  <c r="O273" i="11"/>
  <c r="L376" i="11"/>
  <c r="K360" i="11"/>
  <c r="L339" i="11"/>
  <c r="M326" i="11"/>
  <c r="N305" i="11"/>
  <c r="B293" i="11"/>
  <c r="P271" i="11"/>
  <c r="I389" i="11"/>
  <c r="G359" i="11"/>
  <c r="H401" i="11"/>
  <c r="G365" i="11"/>
  <c r="D391" i="11"/>
  <c r="J146" i="11"/>
  <c r="J318" i="11"/>
  <c r="C297" i="11"/>
  <c r="L284" i="11"/>
  <c r="D369" i="11"/>
  <c r="P301" i="11"/>
  <c r="E254" i="11"/>
  <c r="N241" i="11"/>
  <c r="O220" i="11"/>
  <c r="P207" i="11"/>
  <c r="Q186" i="11"/>
  <c r="R173" i="11"/>
  <c r="F324" i="11"/>
  <c r="K275" i="11"/>
  <c r="O247" i="11"/>
  <c r="F320" i="11"/>
  <c r="K113" i="11"/>
  <c r="R200" i="11"/>
  <c r="K179" i="11"/>
  <c r="G167" i="11"/>
  <c r="G298" i="11"/>
  <c r="E260" i="11"/>
  <c r="F239" i="11"/>
  <c r="O226" i="11"/>
  <c r="H205" i="11"/>
  <c r="Q192" i="11"/>
  <c r="J171" i="11"/>
  <c r="P349" i="11"/>
  <c r="P266" i="11"/>
  <c r="O253" i="11"/>
  <c r="H232" i="11"/>
  <c r="G289" i="11"/>
  <c r="F6" i="11"/>
  <c r="M226" i="11"/>
  <c r="H220" i="11"/>
  <c r="K196" i="11"/>
  <c r="F190" i="11"/>
  <c r="L210" i="11"/>
  <c r="O312" i="11"/>
  <c r="L371" i="11"/>
  <c r="H289" i="11"/>
  <c r="B357" i="11"/>
  <c r="F289" i="11"/>
  <c r="P395" i="11"/>
  <c r="J219" i="11"/>
  <c r="I261" i="11"/>
  <c r="L274" i="11"/>
  <c r="G221" i="11"/>
  <c r="Q336" i="11"/>
  <c r="E306" i="11"/>
  <c r="M252" i="11"/>
  <c r="K386" i="11"/>
  <c r="L215" i="11"/>
  <c r="M323" i="11"/>
  <c r="C349" i="11"/>
  <c r="M382" i="11"/>
  <c r="I383" i="11"/>
  <c r="D212" i="11"/>
  <c r="H331" i="11"/>
  <c r="J309" i="11"/>
  <c r="I296" i="11"/>
  <c r="N396" i="11"/>
  <c r="P362" i="11"/>
  <c r="Q206" i="11"/>
  <c r="B316" i="11"/>
  <c r="R334" i="11"/>
  <c r="H360" i="11"/>
  <c r="B367" i="11"/>
  <c r="I267" i="11"/>
  <c r="D200" i="11"/>
  <c r="F299" i="11"/>
  <c r="C224" i="11"/>
  <c r="P169" i="11"/>
  <c r="L352" i="11"/>
  <c r="L342" i="11"/>
  <c r="N248" i="11"/>
  <c r="P284" i="11"/>
  <c r="E217" i="11"/>
  <c r="P242" i="11"/>
  <c r="E280" i="11"/>
  <c r="P245" i="11"/>
  <c r="H268" i="11"/>
  <c r="E265" i="11"/>
  <c r="Q392" i="11"/>
  <c r="P333" i="11"/>
  <c r="B386" i="11"/>
  <c r="K304" i="11"/>
  <c r="M124" i="11"/>
  <c r="D331" i="11"/>
  <c r="C85" i="11"/>
  <c r="G353" i="11"/>
  <c r="M70" i="11"/>
  <c r="N110" i="11"/>
  <c r="J291" i="11"/>
  <c r="L168" i="11"/>
  <c r="N281" i="11"/>
  <c r="N215" i="11"/>
  <c r="B341" i="11"/>
  <c r="C235" i="11"/>
  <c r="G334" i="11"/>
  <c r="J253" i="11"/>
  <c r="R329" i="11"/>
  <c r="Q274" i="11"/>
  <c r="G14" i="11"/>
  <c r="B301" i="11"/>
  <c r="F143" i="11"/>
  <c r="R322" i="11"/>
  <c r="B101" i="11"/>
  <c r="L155" i="11"/>
  <c r="J149" i="11"/>
  <c r="B153" i="11"/>
  <c r="Q226" i="11"/>
  <c r="L185" i="11"/>
  <c r="O292" i="11"/>
  <c r="I205" i="11"/>
  <c r="G286" i="11"/>
  <c r="H223" i="11"/>
  <c r="J281" i="11"/>
  <c r="Q365" i="11"/>
  <c r="I44" i="11"/>
  <c r="M270" i="11"/>
  <c r="P17" i="11"/>
  <c r="P292" i="11"/>
  <c r="M17" i="10"/>
  <c r="L115" i="11"/>
  <c r="J109" i="11"/>
  <c r="E305" i="11"/>
  <c r="L241" i="11"/>
  <c r="M337" i="11"/>
  <c r="G381" i="11"/>
  <c r="G175" i="11"/>
  <c r="N358" i="11"/>
  <c r="F193" i="11"/>
  <c r="I353" i="11"/>
  <c r="Q380" i="11"/>
  <c r="C74" i="11"/>
  <c r="M361" i="11"/>
  <c r="R47" i="11"/>
  <c r="H396" i="11"/>
  <c r="L32" i="11"/>
  <c r="B164" i="11"/>
  <c r="N156" i="11"/>
  <c r="C143" i="11"/>
  <c r="I214" i="11"/>
  <c r="D300" i="11"/>
  <c r="G184" i="11"/>
  <c r="B270" i="11"/>
  <c r="I161" i="11"/>
  <c r="P325" i="11"/>
  <c r="Q366" i="11"/>
  <c r="K270" i="11"/>
  <c r="P335" i="11"/>
  <c r="I234" i="11"/>
  <c r="C355" i="11"/>
  <c r="F237" i="11"/>
  <c r="M305" i="11"/>
  <c r="N314" i="11"/>
  <c r="J361" i="11"/>
  <c r="F172" i="11"/>
  <c r="E304" i="11"/>
  <c r="O282" i="11"/>
  <c r="G204" i="11"/>
  <c r="D346" i="11"/>
  <c r="B312" i="11"/>
  <c r="L350" i="11"/>
  <c r="H278" i="11"/>
  <c r="M209" i="11"/>
  <c r="F230" i="11"/>
  <c r="H329" i="11"/>
  <c r="C286" i="11"/>
  <c r="R363" i="11"/>
  <c r="H393" i="11"/>
  <c r="L201" i="11"/>
  <c r="L127" i="11"/>
  <c r="R314" i="11"/>
  <c r="J262" i="11"/>
  <c r="P290" i="11"/>
  <c r="C368" i="11"/>
  <c r="N194" i="11"/>
  <c r="C22" i="9"/>
  <c r="O300" i="11"/>
  <c r="B257" i="11"/>
  <c r="R374" i="11"/>
  <c r="M353" i="11"/>
  <c r="F189" i="11"/>
  <c r="G371" i="11"/>
  <c r="B326" i="11"/>
  <c r="J250" i="11"/>
  <c r="K257" i="11"/>
  <c r="L389" i="11"/>
  <c r="L263" i="11"/>
  <c r="J211" i="11"/>
  <c r="G319" i="11"/>
  <c r="D383" i="11"/>
  <c r="C171" i="11"/>
  <c r="D352" i="11"/>
  <c r="N249" i="11"/>
  <c r="H323" i="11"/>
  <c r="F303" i="11"/>
  <c r="I366" i="11"/>
  <c r="H354" i="11"/>
  <c r="J55" i="11"/>
  <c r="K54" i="11"/>
  <c r="R59" i="11"/>
  <c r="B114" i="11"/>
  <c r="J392" i="11"/>
  <c r="J233" i="11"/>
  <c r="F229" i="11"/>
  <c r="F250" i="11"/>
  <c r="H342" i="11"/>
  <c r="B283" i="11"/>
  <c r="L304" i="11"/>
  <c r="L219" i="11"/>
  <c r="P275" i="11"/>
  <c r="R245" i="11"/>
  <c r="I318" i="11"/>
  <c r="D364" i="11"/>
  <c r="L85" i="11"/>
  <c r="D89" i="11"/>
  <c r="C94" i="11"/>
  <c r="M158" i="11"/>
  <c r="J205" i="11"/>
  <c r="H203" i="11"/>
  <c r="I150" i="11"/>
  <c r="D220" i="11"/>
  <c r="C341" i="11"/>
  <c r="C238" i="11"/>
  <c r="D384" i="11"/>
  <c r="J189" i="11"/>
  <c r="B348" i="11"/>
  <c r="P215" i="11"/>
  <c r="N269" i="11"/>
  <c r="B334" i="11"/>
  <c r="N386" i="11"/>
  <c r="E30" i="9"/>
  <c r="H14" i="10"/>
  <c r="E118" i="11"/>
  <c r="E220" i="11"/>
  <c r="F173" i="11"/>
  <c r="G392" i="11"/>
  <c r="B190" i="11"/>
  <c r="K394" i="11"/>
  <c r="I208" i="11"/>
  <c r="F329" i="11"/>
  <c r="M356" i="11"/>
  <c r="O299" i="11"/>
  <c r="N185" i="11"/>
  <c r="E341" i="11"/>
  <c r="M303" i="11"/>
  <c r="D402" i="11"/>
  <c r="O28" i="11"/>
  <c r="I34" i="11"/>
  <c r="P174" i="11"/>
  <c r="M134" i="11"/>
  <c r="H150" i="11"/>
  <c r="O110" i="11"/>
  <c r="B178" i="11"/>
  <c r="Q293" i="11"/>
  <c r="P195" i="11"/>
  <c r="Q317" i="11"/>
  <c r="R288" i="11"/>
  <c r="P234" i="11"/>
  <c r="O170" i="11"/>
  <c r="B269" i="11"/>
  <c r="H186" i="11"/>
  <c r="Q219" i="11"/>
  <c r="C82" i="11"/>
  <c r="J87" i="11"/>
  <c r="O60" i="11"/>
  <c r="Q383" i="11"/>
  <c r="B193" i="11"/>
  <c r="O395" i="11"/>
  <c r="K398" i="11"/>
  <c r="G380" i="11"/>
  <c r="B140" i="11"/>
  <c r="C377" i="11"/>
  <c r="R353" i="11"/>
  <c r="O337" i="11"/>
  <c r="D323" i="11"/>
  <c r="O397" i="11"/>
  <c r="D179" i="11"/>
  <c r="Q217" i="11"/>
  <c r="P391" i="11"/>
  <c r="C227" i="11"/>
  <c r="J359" i="11"/>
  <c r="I187" i="11"/>
  <c r="Q250" i="11"/>
  <c r="O272" i="11"/>
  <c r="B219" i="11"/>
  <c r="G345" i="11"/>
  <c r="R163" i="11"/>
  <c r="H189" i="11"/>
  <c r="C277" i="11"/>
  <c r="P224" i="11"/>
  <c r="G344" i="11"/>
  <c r="Q330" i="11"/>
  <c r="H349" i="11"/>
  <c r="C276" i="11"/>
  <c r="Q397" i="11"/>
  <c r="H219" i="11"/>
  <c r="N328" i="11"/>
  <c r="D356" i="11"/>
  <c r="N324" i="11"/>
  <c r="B177" i="11"/>
  <c r="H288" i="11"/>
  <c r="P212" i="11"/>
  <c r="R311" i="11"/>
  <c r="J245" i="11"/>
  <c r="B223" i="11"/>
  <c r="C365" i="11"/>
  <c r="N177" i="11"/>
  <c r="I110" i="11"/>
  <c r="O297" i="11"/>
  <c r="L238" i="11"/>
  <c r="N128" i="11"/>
  <c r="D154" i="11"/>
  <c r="H190" i="11"/>
  <c r="J247" i="11"/>
  <c r="C190" i="11"/>
  <c r="J169" i="11"/>
  <c r="Q393" i="11"/>
  <c r="F186" i="11"/>
  <c r="F312" i="11"/>
  <c r="Q264" i="11"/>
  <c r="Q386" i="11"/>
  <c r="K163" i="11"/>
  <c r="H340" i="11"/>
  <c r="I178" i="11"/>
  <c r="Q329" i="11"/>
  <c r="D72" i="11"/>
  <c r="C77" i="11"/>
  <c r="R51" i="11"/>
  <c r="M139" i="11"/>
  <c r="E154" i="11"/>
  <c r="G208" i="11"/>
  <c r="R272" i="11"/>
  <c r="I321" i="11"/>
  <c r="D345" i="11"/>
  <c r="I311" i="11"/>
  <c r="O234" i="11"/>
  <c r="D282" i="11"/>
  <c r="M260" i="11"/>
  <c r="M291" i="11"/>
  <c r="K307" i="11"/>
  <c r="I281" i="11"/>
  <c r="J106" i="11"/>
  <c r="C126" i="11"/>
  <c r="C86" i="11"/>
  <c r="K109" i="11"/>
  <c r="C124" i="11"/>
  <c r="B129" i="11"/>
  <c r="F238" i="11"/>
  <c r="D320" i="11"/>
  <c r="G256" i="11"/>
  <c r="H352" i="11"/>
  <c r="E204" i="11"/>
  <c r="G281" i="11"/>
  <c r="K230" i="11"/>
  <c r="J365" i="11"/>
  <c r="L246" i="11"/>
  <c r="J351" i="11"/>
  <c r="D13" i="11"/>
  <c r="K18" i="11"/>
  <c r="O238" i="11"/>
  <c r="M176" i="11"/>
  <c r="I233" i="11"/>
  <c r="Q140" i="11"/>
  <c r="D208" i="11"/>
  <c r="C361" i="11"/>
  <c r="R225" i="11"/>
  <c r="R264" i="11"/>
  <c r="C174" i="11"/>
  <c r="F322" i="11"/>
  <c r="Q200" i="11"/>
  <c r="J317" i="11"/>
  <c r="J216" i="11"/>
  <c r="R303" i="11"/>
  <c r="J47" i="11"/>
  <c r="D53" i="11"/>
  <c r="I26" i="11"/>
  <c r="M390" i="11"/>
  <c r="P185" i="11"/>
  <c r="C18" i="9"/>
  <c r="J143" i="11"/>
  <c r="J267" i="11"/>
  <c r="K116" i="11"/>
  <c r="N258" i="11"/>
  <c r="G386" i="11"/>
  <c r="Q213" i="11"/>
  <c r="C188" i="11"/>
  <c r="C17" i="9"/>
  <c r="C201" i="11"/>
  <c r="C265" i="11"/>
  <c r="O315" i="11"/>
  <c r="J81" i="11"/>
  <c r="J79" i="11"/>
  <c r="B379" i="11"/>
  <c r="D57" i="11"/>
  <c r="M282" i="11"/>
  <c r="C131" i="11"/>
  <c r="E381" i="11"/>
  <c r="N303" i="11"/>
  <c r="L123" i="11"/>
  <c r="G139" i="11"/>
  <c r="R149" i="11"/>
  <c r="K175" i="11"/>
  <c r="P121" i="11"/>
  <c r="C189" i="11"/>
  <c r="F396" i="11"/>
  <c r="F364" i="11"/>
  <c r="C279" i="11"/>
  <c r="F296" i="11"/>
  <c r="I346" i="11"/>
  <c r="F70" i="11"/>
  <c r="Q372" i="11"/>
  <c r="G52" i="11"/>
  <c r="P278" i="11"/>
  <c r="O34" i="11"/>
  <c r="N365" i="11"/>
  <c r="E126" i="11"/>
  <c r="P375" i="11"/>
  <c r="K152" i="11"/>
  <c r="D48" i="8"/>
  <c r="Q124" i="11"/>
  <c r="B259" i="11"/>
  <c r="J251" i="11"/>
  <c r="R366" i="11"/>
  <c r="E282" i="11"/>
  <c r="L313" i="11"/>
  <c r="P316" i="11"/>
  <c r="M166" i="11"/>
  <c r="C311" i="11"/>
  <c r="P288" i="11"/>
  <c r="D378" i="11"/>
  <c r="M334" i="11"/>
  <c r="O81" i="11"/>
  <c r="F361" i="11"/>
  <c r="I55" i="11"/>
  <c r="C394" i="11"/>
  <c r="K40" i="11"/>
  <c r="N150" i="11"/>
  <c r="L144" i="11"/>
  <c r="G217" i="11"/>
  <c r="E215" i="11"/>
  <c r="L116" i="11"/>
  <c r="E111" i="11"/>
  <c r="I285" i="11"/>
  <c r="L117" i="11"/>
  <c r="M28" i="11"/>
  <c r="K185" i="11"/>
  <c r="C180" i="11"/>
  <c r="N343" i="11"/>
  <c r="B320" i="11"/>
  <c r="J215" i="11"/>
  <c r="C16" i="9"/>
  <c r="C388" i="11"/>
  <c r="K332" i="11"/>
  <c r="H316" i="11"/>
  <c r="F271" i="11"/>
  <c r="G268" i="11"/>
  <c r="G194" i="11"/>
  <c r="R204" i="11"/>
  <c r="C287" i="11"/>
  <c r="F242" i="11"/>
  <c r="P280" i="11"/>
  <c r="L327" i="11"/>
  <c r="L265" i="11"/>
  <c r="O270" i="11"/>
  <c r="K236" i="11"/>
  <c r="I170" i="11"/>
  <c r="N181" i="11"/>
  <c r="D207" i="11"/>
  <c r="G231" i="11"/>
  <c r="R242" i="11"/>
  <c r="G342" i="11"/>
  <c r="C163" i="11"/>
  <c r="I175" i="11"/>
  <c r="C274" i="11"/>
  <c r="K222" i="11"/>
  <c r="C140" i="11"/>
  <c r="Q327" i="11"/>
  <c r="B336" i="11"/>
  <c r="P158" i="11"/>
  <c r="D250" i="11"/>
  <c r="M215" i="11"/>
  <c r="E224" i="11"/>
  <c r="F313" i="11"/>
  <c r="D313" i="11"/>
  <c r="D396" i="11"/>
  <c r="L366" i="11"/>
  <c r="E210" i="11"/>
  <c r="F392" i="11"/>
  <c r="N338" i="11"/>
  <c r="M289" i="11"/>
  <c r="M364" i="11"/>
  <c r="K202" i="11"/>
  <c r="I20" i="9"/>
  <c r="D117" i="11"/>
  <c r="F161" i="11"/>
  <c r="O219" i="11"/>
  <c r="M136" i="11"/>
  <c r="H204" i="11"/>
  <c r="G291" i="11"/>
  <c r="I328" i="11"/>
  <c r="D392" i="11"/>
  <c r="N178" i="11"/>
  <c r="R347" i="11"/>
  <c r="D193" i="11"/>
  <c r="Q297" i="11"/>
  <c r="O372" i="11"/>
  <c r="R84" i="11"/>
  <c r="C69" i="11"/>
  <c r="C385" i="11"/>
  <c r="M205" i="11"/>
  <c r="D131" i="11"/>
  <c r="L146" i="11"/>
  <c r="F340" i="11"/>
  <c r="F174" i="11"/>
  <c r="B290" i="11"/>
  <c r="C252" i="11"/>
  <c r="E388" i="11"/>
  <c r="O314" i="11"/>
  <c r="L174" i="11"/>
  <c r="B163" i="11"/>
  <c r="L296" i="11"/>
  <c r="K340" i="11"/>
  <c r="D153" i="11"/>
  <c r="Q103" i="11"/>
  <c r="H387" i="11"/>
  <c r="N142" i="11"/>
  <c r="N264" i="11"/>
  <c r="J116" i="11"/>
  <c r="J162" i="11"/>
  <c r="K218" i="11"/>
  <c r="I331" i="11"/>
  <c r="I222" i="11"/>
  <c r="Q391" i="11"/>
  <c r="O248" i="11"/>
  <c r="O189" i="11"/>
  <c r="O261" i="11"/>
  <c r="K337" i="11"/>
  <c r="C292" i="11"/>
  <c r="F21" i="11"/>
  <c r="K10" i="11"/>
  <c r="R388" i="11"/>
  <c r="L112" i="11"/>
  <c r="L158" i="11"/>
  <c r="I204" i="11"/>
  <c r="H132" i="11"/>
  <c r="M146" i="11"/>
  <c r="K243" i="11"/>
  <c r="G192" i="11"/>
  <c r="G301" i="11"/>
  <c r="E218" i="11"/>
  <c r="Q207" i="11"/>
  <c r="E231" i="11"/>
  <c r="H250" i="11"/>
  <c r="B364" i="11"/>
  <c r="H51" i="11"/>
  <c r="D45" i="11"/>
  <c r="H286" i="11"/>
  <c r="B27" i="11"/>
  <c r="B313" i="11"/>
  <c r="E161" i="11"/>
  <c r="P379" i="11"/>
  <c r="I135" i="11"/>
  <c r="N153" i="11"/>
  <c r="E189" i="11"/>
  <c r="L237" i="11"/>
  <c r="F109" i="11"/>
  <c r="R151" i="11"/>
  <c r="E219" i="11"/>
  <c r="D280" i="11"/>
  <c r="L291" i="11"/>
  <c r="L164" i="11"/>
  <c r="I360" i="11"/>
  <c r="O264" i="11"/>
  <c r="B258" i="11"/>
  <c r="H155" i="11"/>
  <c r="L329" i="11"/>
  <c r="L375" i="11"/>
  <c r="G320" i="11"/>
  <c r="Q303" i="11"/>
  <c r="D12" i="9"/>
  <c r="B213" i="11"/>
  <c r="P311" i="11"/>
  <c r="O44" i="11"/>
  <c r="E327" i="11"/>
  <c r="O377" i="11"/>
  <c r="E193" i="11"/>
  <c r="L325" i="11"/>
  <c r="K334" i="11"/>
  <c r="K216" i="11"/>
  <c r="P358" i="11"/>
  <c r="D185" i="11"/>
  <c r="K256" i="11"/>
  <c r="G128" i="11"/>
  <c r="B246" i="11"/>
  <c r="F365" i="11"/>
  <c r="H343" i="11"/>
  <c r="F178" i="11"/>
  <c r="J297" i="11"/>
  <c r="L275" i="11"/>
  <c r="O240" i="11"/>
  <c r="M349" i="11"/>
  <c r="P368" i="11"/>
  <c r="K172" i="11"/>
  <c r="O250" i="11"/>
  <c r="H116" i="11"/>
  <c r="B234" i="11"/>
  <c r="D333" i="11"/>
  <c r="I258" i="11"/>
  <c r="F166" i="11"/>
  <c r="P401" i="11"/>
  <c r="E190" i="11"/>
  <c r="H131" i="11"/>
  <c r="N318" i="11"/>
  <c r="C251" i="11"/>
  <c r="M149" i="11"/>
  <c r="Q138" i="11"/>
  <c r="F23" i="11"/>
  <c r="Q286" i="11"/>
  <c r="G135" i="11"/>
  <c r="I385" i="11"/>
  <c r="P108" i="11"/>
  <c r="P154" i="11"/>
  <c r="O190" i="11"/>
  <c r="G279" i="11"/>
  <c r="J170" i="11"/>
  <c r="H129" i="11"/>
  <c r="P196" i="11"/>
  <c r="N265" i="11"/>
  <c r="M210" i="11"/>
  <c r="N15" i="11"/>
  <c r="R362" i="11"/>
  <c r="P383" i="11"/>
  <c r="K400" i="11"/>
  <c r="D382" i="11"/>
  <c r="N192" i="11"/>
  <c r="D387" i="11"/>
  <c r="L173" i="11"/>
  <c r="H18" i="9"/>
  <c r="N139" i="11"/>
  <c r="N158" i="11"/>
  <c r="P201" i="11"/>
  <c r="G251" i="11"/>
  <c r="N166" i="11"/>
  <c r="Q328" i="11"/>
  <c r="K180" i="11"/>
  <c r="I12" i="10"/>
  <c r="J314" i="11"/>
  <c r="G352" i="11"/>
  <c r="O368" i="11"/>
  <c r="L346" i="11"/>
  <c r="D140" i="11"/>
  <c r="I375" i="11"/>
  <c r="R133" i="11"/>
  <c r="F43" i="8"/>
  <c r="L109" i="11"/>
  <c r="L128" i="11"/>
  <c r="D143" i="11"/>
  <c r="R154" i="11"/>
  <c r="L189" i="11"/>
  <c r="H168" i="11"/>
  <c r="M321" i="11"/>
  <c r="M391" i="11"/>
  <c r="R266" i="11"/>
  <c r="L303" i="11"/>
  <c r="B321" i="11"/>
  <c r="J316" i="11"/>
  <c r="B110" i="11"/>
  <c r="D343" i="11"/>
  <c r="F308" i="11"/>
  <c r="K377" i="11"/>
  <c r="C175" i="11"/>
  <c r="P249" i="11"/>
  <c r="B113" i="11"/>
  <c r="P124" i="11"/>
  <c r="H139" i="11"/>
  <c r="J186" i="11"/>
  <c r="O249" i="11"/>
  <c r="G358" i="11"/>
  <c r="G340" i="11"/>
  <c r="C379" i="11"/>
  <c r="B273" i="11"/>
  <c r="H325" i="11"/>
  <c r="Q301" i="11"/>
  <c r="P251" i="11"/>
  <c r="C245" i="11"/>
  <c r="Q142" i="11"/>
  <c r="I13" i="9"/>
  <c r="D386" i="11"/>
  <c r="M298" i="11"/>
  <c r="J282" i="11"/>
  <c r="R301" i="11"/>
  <c r="P384" i="11"/>
  <c r="G389" i="11"/>
  <c r="R380" i="11"/>
  <c r="B240" i="11"/>
  <c r="P373" i="11"/>
  <c r="H208" i="11"/>
  <c r="L289" i="11"/>
  <c r="N293" i="11"/>
  <c r="N231" i="11"/>
  <c r="K357" i="11"/>
  <c r="M202" i="11"/>
  <c r="L235" i="11"/>
  <c r="M143" i="11"/>
  <c r="D264" i="11"/>
  <c r="F363" i="11"/>
  <c r="B176" i="11"/>
  <c r="H196" i="11"/>
  <c r="J295" i="11"/>
  <c r="J235" i="11"/>
  <c r="J161" i="11"/>
  <c r="P348" i="11"/>
  <c r="N167" i="11"/>
  <c r="H230" i="11"/>
  <c r="Q188" i="11"/>
  <c r="K104" i="11"/>
  <c r="D20" i="9"/>
  <c r="E334" i="11"/>
  <c r="I376" i="11"/>
  <c r="C21" i="9"/>
  <c r="Q266" i="11"/>
  <c r="D223" i="11"/>
  <c r="F373" i="11"/>
  <c r="M359" i="11"/>
  <c r="R336" i="11"/>
  <c r="L400" i="11"/>
  <c r="Q394" i="11"/>
  <c r="D380" i="11"/>
  <c r="Q284" i="11"/>
  <c r="I18" i="11"/>
  <c r="N312" i="11"/>
  <c r="F14" i="10"/>
  <c r="H339" i="11"/>
  <c r="M261" i="11"/>
  <c r="H14" i="9"/>
  <c r="R135" i="11"/>
  <c r="C147" i="11"/>
  <c r="C162" i="11"/>
  <c r="C117" i="11"/>
  <c r="P131" i="11"/>
  <c r="Q267" i="11"/>
  <c r="G338" i="11"/>
  <c r="M376" i="11"/>
  <c r="B271" i="11"/>
  <c r="N379" i="11"/>
  <c r="C48" i="11"/>
  <c r="L282" i="11"/>
  <c r="K30" i="11"/>
  <c r="F309" i="11"/>
  <c r="Q157" i="11"/>
  <c r="C19" i="9"/>
  <c r="B328" i="11"/>
  <c r="E44" i="8"/>
  <c r="I132" i="11"/>
  <c r="B207" i="11"/>
  <c r="H262" i="11"/>
  <c r="G244" i="11"/>
  <c r="O236" i="11"/>
  <c r="K325" i="11"/>
  <c r="Q343" i="11"/>
  <c r="O345" i="11"/>
  <c r="E78" i="11"/>
  <c r="J371" i="11"/>
  <c r="M60" i="11"/>
  <c r="D279" i="11"/>
  <c r="R312" i="11"/>
  <c r="B374" i="11"/>
  <c r="O161" i="11"/>
  <c r="H400" i="11"/>
  <c r="K267" i="11"/>
  <c r="E142" i="11"/>
  <c r="M157" i="11"/>
  <c r="L195" i="11"/>
  <c r="G188" i="11"/>
  <c r="F278" i="11"/>
  <c r="I295" i="11"/>
  <c r="E315" i="11"/>
  <c r="L110" i="11"/>
  <c r="D341" i="11"/>
  <c r="B91" i="11"/>
  <c r="I369" i="11"/>
  <c r="N162" i="11"/>
  <c r="G376" i="11"/>
  <c r="E131" i="11"/>
  <c r="E402" i="11"/>
  <c r="K157" i="11"/>
  <c r="C112" i="11"/>
  <c r="K127" i="11"/>
  <c r="I301" i="11"/>
  <c r="J272" i="11"/>
  <c r="H351" i="11"/>
  <c r="P367" i="11"/>
  <c r="J326" i="11"/>
  <c r="J374" i="11"/>
  <c r="C312" i="11"/>
  <c r="D104" i="11"/>
  <c r="B338" i="11"/>
  <c r="R85" i="11"/>
  <c r="I305" i="11"/>
  <c r="I8" i="11"/>
  <c r="O331" i="11"/>
  <c r="G125" i="11"/>
  <c r="E354" i="11"/>
  <c r="D115" i="11"/>
  <c r="C228" i="11"/>
  <c r="K220" i="11"/>
  <c r="B232" i="11"/>
  <c r="D299" i="11"/>
  <c r="K260" i="11"/>
  <c r="F254" i="11"/>
  <c r="Q230" i="11"/>
  <c r="D224" i="11"/>
  <c r="J121" i="11"/>
  <c r="J159" i="11"/>
  <c r="E373" i="11"/>
  <c r="I286" i="11"/>
  <c r="K269" i="11"/>
  <c r="M246" i="11"/>
  <c r="L382" i="11"/>
  <c r="L390" i="11"/>
  <c r="J308" i="11"/>
  <c r="R254" i="11"/>
  <c r="O293" i="11"/>
  <c r="C340" i="11"/>
  <c r="G362" i="11"/>
  <c r="N291" i="11"/>
  <c r="J249" i="11"/>
  <c r="M182" i="11"/>
  <c r="E397" i="11"/>
  <c r="O113" i="11"/>
  <c r="Q74" i="11"/>
  <c r="G385" i="11"/>
  <c r="O364" i="11"/>
  <c r="R190" i="11"/>
  <c r="I310" i="11"/>
  <c r="K296" i="11"/>
  <c r="F253" i="11"/>
  <c r="L362" i="11"/>
  <c r="D350" i="11"/>
  <c r="J185" i="11"/>
  <c r="P294" i="11"/>
  <c r="N392" i="11"/>
  <c r="H89" i="11"/>
  <c r="P345" i="11"/>
  <c r="K318" i="11"/>
  <c r="R178" i="11"/>
  <c r="G278" i="11"/>
  <c r="L211" i="11"/>
  <c r="G144" i="11"/>
  <c r="E331" i="11"/>
  <c r="E289" i="11"/>
  <c r="L162" i="11"/>
  <c r="N398" i="11"/>
  <c r="D290" i="11"/>
  <c r="C346" i="11"/>
  <c r="R285" i="11"/>
  <c r="J18" i="10"/>
  <c r="Q311" i="11"/>
  <c r="P122" i="11"/>
  <c r="H337" i="11"/>
  <c r="K94" i="11"/>
  <c r="J305" i="11"/>
  <c r="M153" i="11"/>
  <c r="P331" i="11"/>
  <c r="C231" i="11"/>
  <c r="M394" i="11"/>
  <c r="F150" i="11"/>
  <c r="J395" i="11"/>
  <c r="L334" i="11"/>
  <c r="E271" i="11"/>
  <c r="M287" i="11"/>
  <c r="G383" i="11"/>
  <c r="M32" i="11"/>
  <c r="O281" i="11"/>
  <c r="K13" i="11"/>
  <c r="F307" i="11"/>
  <c r="D37" i="9"/>
  <c r="H275" i="11"/>
  <c r="Q265" i="11"/>
  <c r="N301" i="11"/>
  <c r="D150" i="11"/>
  <c r="J396" i="11"/>
  <c r="D120" i="11"/>
  <c r="I243" i="11"/>
  <c r="Q235" i="11"/>
  <c r="P247" i="11"/>
  <c r="F265" i="11"/>
  <c r="C402" i="11"/>
  <c r="B63" i="11"/>
  <c r="F374" i="11"/>
  <c r="M43" i="11"/>
  <c r="D277" i="11"/>
  <c r="N25" i="11"/>
  <c r="E365" i="11"/>
  <c r="R158" i="11"/>
  <c r="L271" i="11"/>
  <c r="M253" i="11"/>
  <c r="E398" i="11"/>
  <c r="E216" i="11"/>
  <c r="I195" i="11"/>
  <c r="Q187" i="11"/>
  <c r="H199" i="11"/>
  <c r="F217" i="11"/>
  <c r="L356" i="11"/>
  <c r="C12" i="9"/>
  <c r="E342" i="11"/>
  <c r="B74" i="11"/>
  <c r="D368" i="11"/>
  <c r="P55" i="11"/>
  <c r="C335" i="11"/>
  <c r="P128" i="11"/>
  <c r="Q361" i="11"/>
  <c r="I155" i="11"/>
  <c r="F398" i="11"/>
  <c r="F145" i="11"/>
  <c r="M308" i="11"/>
  <c r="C278" i="11"/>
  <c r="D318" i="11"/>
  <c r="L347" i="11"/>
  <c r="G239" i="11"/>
  <c r="N339" i="11"/>
  <c r="F257" i="11"/>
  <c r="G336" i="11"/>
  <c r="N387" i="11"/>
  <c r="O70" i="11"/>
  <c r="D304" i="11"/>
  <c r="L229" i="11"/>
  <c r="J330" i="11"/>
  <c r="J93" i="11"/>
  <c r="E352" i="11"/>
  <c r="N79" i="11"/>
  <c r="D253" i="11"/>
  <c r="F227" i="11"/>
  <c r="G232" i="11"/>
  <c r="O230" i="11"/>
  <c r="M223" i="11"/>
  <c r="F371" i="11"/>
  <c r="G242" i="11"/>
  <c r="R394" i="11"/>
  <c r="Q261" i="11"/>
  <c r="H381" i="11"/>
  <c r="I315" i="11"/>
  <c r="K388" i="11"/>
  <c r="O341" i="11"/>
  <c r="J398" i="11"/>
  <c r="L323" i="11"/>
  <c r="P92" i="11"/>
  <c r="Q155" i="11"/>
  <c r="B150" i="11"/>
  <c r="Q148" i="11"/>
  <c r="E144" i="11"/>
  <c r="M211" i="11"/>
  <c r="O351" i="11"/>
  <c r="N229" i="11"/>
  <c r="D199" i="11"/>
  <c r="J246" i="11"/>
  <c r="K345" i="11"/>
  <c r="Q197" i="11"/>
  <c r="P273" i="11"/>
  <c r="B224" i="11"/>
  <c r="I316" i="11"/>
  <c r="E238" i="11"/>
  <c r="R305" i="11"/>
  <c r="E3" i="11"/>
  <c r="L8" i="11"/>
  <c r="Q123" i="11"/>
  <c r="K316" i="11"/>
  <c r="D170" i="11"/>
  <c r="L383" i="11"/>
  <c r="R138" i="11"/>
  <c r="H246" i="11"/>
  <c r="N112" i="11"/>
  <c r="D133" i="11"/>
  <c r="L200" i="11"/>
  <c r="R124" i="11"/>
  <c r="R226" i="11"/>
  <c r="K320" i="11"/>
  <c r="B241" i="11"/>
  <c r="J231" i="11"/>
  <c r="C290" i="11"/>
  <c r="C399" i="11"/>
  <c r="J385" i="11"/>
  <c r="I363" i="11"/>
  <c r="J350" i="11"/>
  <c r="J343" i="11"/>
  <c r="H361" i="11"/>
  <c r="R302" i="11"/>
  <c r="E295" i="11"/>
  <c r="G248" i="11"/>
  <c r="O241" i="11"/>
  <c r="R217" i="11"/>
  <c r="E211" i="11"/>
  <c r="K108" i="11"/>
  <c r="C15" i="9"/>
  <c r="C384" i="11"/>
  <c r="O399" i="11"/>
  <c r="N369" i="11"/>
  <c r="I19" i="9"/>
  <c r="C200" i="11"/>
  <c r="F387" i="11"/>
  <c r="L348" i="11"/>
  <c r="D379" i="11"/>
  <c r="D206" i="11"/>
  <c r="C338" i="11"/>
  <c r="J174" i="11"/>
  <c r="R237" i="11"/>
  <c r="Q389" i="11"/>
  <c r="P197" i="11"/>
  <c r="R324" i="11"/>
  <c r="H350" i="11"/>
  <c r="F59" i="11"/>
  <c r="M380" i="11"/>
  <c r="I197" i="11"/>
  <c r="G209" i="11"/>
  <c r="I308" i="11"/>
  <c r="Q256" i="11"/>
  <c r="Q204" i="11"/>
  <c r="O361" i="11"/>
  <c r="M188" i="11"/>
  <c r="M329" i="11"/>
  <c r="K293" i="11"/>
  <c r="I319" i="11"/>
  <c r="O275" i="11"/>
  <c r="D347" i="11"/>
  <c r="B182" i="11"/>
  <c r="B3" i="8"/>
  <c r="H279" i="11"/>
  <c r="C244" i="11"/>
  <c r="E394" i="11"/>
  <c r="O374" i="11"/>
  <c r="O176" i="11"/>
  <c r="E390" i="11"/>
  <c r="P304" i="11"/>
  <c r="F330" i="11"/>
  <c r="P299" i="11"/>
  <c r="M230" i="11"/>
  <c r="F293" i="11"/>
  <c r="P352" i="11"/>
  <c r="C50" i="8"/>
  <c r="Q338" i="11"/>
  <c r="K77" i="11"/>
  <c r="J303" i="11"/>
  <c r="L13" i="10"/>
  <c r="P329" i="11"/>
  <c r="C102" i="11"/>
  <c r="D354" i="11"/>
  <c r="Q147" i="11"/>
  <c r="P164" i="11"/>
  <c r="E276" i="11"/>
  <c r="P165" i="11"/>
  <c r="J370" i="11"/>
  <c r="K200" i="11"/>
  <c r="M365" i="11"/>
  <c r="N322" i="11"/>
  <c r="O400" i="11"/>
  <c r="O308" i="11"/>
  <c r="M107" i="11"/>
  <c r="H273" i="11"/>
  <c r="J29" i="11"/>
  <c r="N299" i="11"/>
  <c r="D3" i="11"/>
  <c r="B324" i="11"/>
  <c r="O117" i="11"/>
  <c r="F149" i="11"/>
  <c r="N141" i="11"/>
  <c r="R246" i="11"/>
  <c r="B322" i="11"/>
  <c r="Q170" i="11"/>
  <c r="M317" i="11"/>
  <c r="L292" i="11"/>
  <c r="K383" i="11"/>
  <c r="E278" i="11"/>
  <c r="C10" i="11"/>
  <c r="H364" i="11"/>
  <c r="L59" i="11"/>
  <c r="L269" i="11"/>
  <c r="F33" i="11"/>
  <c r="M293" i="11"/>
  <c r="J19" i="11"/>
  <c r="G259" i="11"/>
  <c r="R228" i="11"/>
  <c r="R198" i="11"/>
  <c r="J274" i="11"/>
  <c r="L278" i="11"/>
  <c r="E269" i="11"/>
  <c r="B363" i="11"/>
  <c r="P396" i="11"/>
  <c r="E369" i="11"/>
  <c r="E40" i="11"/>
  <c r="F334" i="11"/>
  <c r="N89" i="11"/>
  <c r="L360" i="11"/>
  <c r="H63" i="11"/>
  <c r="G394" i="11"/>
  <c r="L49" i="11"/>
  <c r="O139" i="11"/>
  <c r="B132" i="11"/>
  <c r="Q320" i="11"/>
  <c r="H259" i="11"/>
  <c r="B254" i="11"/>
  <c r="L374" i="11"/>
  <c r="F295" i="11"/>
  <c r="F310" i="11"/>
  <c r="D163" i="11"/>
  <c r="Q305" i="11"/>
  <c r="C345" i="11"/>
  <c r="D17" i="9"/>
  <c r="I372" i="11"/>
  <c r="G78" i="11"/>
  <c r="N353" i="11"/>
  <c r="N62" i="11"/>
  <c r="I238" i="11"/>
  <c r="E166" i="11"/>
  <c r="P369" i="11"/>
  <c r="N385" i="11"/>
  <c r="M302" i="11"/>
  <c r="H296" i="11"/>
  <c r="F350" i="11"/>
  <c r="H113" i="11"/>
  <c r="M307" i="11"/>
  <c r="E353" i="11"/>
  <c r="P260" i="11"/>
  <c r="E301" i="11"/>
  <c r="I364" i="11"/>
  <c r="I171" i="11"/>
  <c r="P179" i="11"/>
  <c r="M102" i="11"/>
  <c r="M121" i="11"/>
  <c r="P178" i="11"/>
  <c r="D136" i="11"/>
  <c r="H174" i="11"/>
  <c r="R318" i="11"/>
  <c r="D218" i="11"/>
  <c r="R108" i="11"/>
  <c r="F270" i="11"/>
  <c r="Q340" i="11"/>
  <c r="M300" i="11"/>
  <c r="O303" i="11"/>
  <c r="N24" i="11"/>
  <c r="O366" i="11"/>
  <c r="K181" i="11"/>
  <c r="P342" i="11"/>
  <c r="K66" i="11"/>
  <c r="H216" i="11"/>
  <c r="G151" i="11"/>
  <c r="O98" i="11"/>
  <c r="M193" i="11"/>
  <c r="E147" i="11"/>
  <c r="C223" i="11"/>
  <c r="K37" i="11"/>
  <c r="L301" i="11"/>
  <c r="B399" i="11"/>
  <c r="D399" i="11"/>
  <c r="K361" i="11"/>
  <c r="R304" i="11"/>
  <c r="F376" i="11"/>
  <c r="O387" i="11"/>
  <c r="N373" i="11"/>
  <c r="N225" i="11"/>
  <c r="I218" i="11"/>
  <c r="H308" i="11"/>
  <c r="C325" i="11"/>
  <c r="K252" i="11"/>
  <c r="F245" i="11"/>
  <c r="B256" i="11"/>
  <c r="F292" i="11"/>
  <c r="R119" i="11"/>
  <c r="P113" i="11"/>
  <c r="P330" i="11"/>
  <c r="H171" i="11"/>
  <c r="C285" i="11"/>
  <c r="G339" i="11"/>
  <c r="C372" i="11"/>
  <c r="F228" i="11"/>
  <c r="G262" i="11"/>
  <c r="R208" i="11"/>
  <c r="D178" i="11"/>
  <c r="R21" i="11"/>
  <c r="G349" i="11"/>
  <c r="B169" i="11"/>
  <c r="O156" i="11"/>
  <c r="H300" i="11"/>
  <c r="Q342" i="11"/>
  <c r="K154" i="11"/>
  <c r="H145" i="11"/>
  <c r="N171" i="11"/>
  <c r="C272" i="11"/>
  <c r="K193" i="11"/>
  <c r="O381" i="11"/>
  <c r="Q36" i="11"/>
  <c r="O231" i="11"/>
  <c r="G155" i="11"/>
  <c r="E68" i="11"/>
  <c r="E311" i="11"/>
  <c r="J319" i="11"/>
  <c r="L142" i="11"/>
  <c r="P120" i="11"/>
  <c r="M383" i="11"/>
  <c r="B392" i="11"/>
  <c r="F147" i="11"/>
  <c r="K341" i="11"/>
  <c r="H287" i="11"/>
  <c r="J234" i="11"/>
  <c r="L335" i="11"/>
  <c r="H372" i="11"/>
  <c r="P208" i="11"/>
  <c r="P392" i="11"/>
  <c r="H25" i="11"/>
  <c r="B388" i="11"/>
  <c r="E319" i="11"/>
  <c r="E122" i="11"/>
  <c r="I332" i="11"/>
  <c r="I256" i="11"/>
  <c r="Q131" i="11"/>
  <c r="O278" i="11"/>
  <c r="P289" i="11"/>
  <c r="C306" i="11"/>
  <c r="C225" i="11"/>
  <c r="K217" i="11"/>
  <c r="J229" i="11"/>
  <c r="H247" i="11"/>
  <c r="H118" i="11"/>
  <c r="K111" i="11"/>
  <c r="O256" i="11"/>
  <c r="R291" i="11"/>
  <c r="B134" i="11"/>
  <c r="H128" i="11"/>
  <c r="F123" i="11"/>
  <c r="C291" i="11"/>
  <c r="G178" i="11"/>
  <c r="J336" i="11"/>
  <c r="F276" i="11"/>
  <c r="P306" i="11"/>
  <c r="B242" i="11"/>
  <c r="D50" i="8"/>
  <c r="O6" i="11"/>
  <c r="C307" i="11"/>
  <c r="H306" i="11"/>
  <c r="C38" i="11"/>
  <c r="D254" i="11"/>
  <c r="J321" i="11"/>
  <c r="N200" i="11"/>
  <c r="N97" i="11"/>
  <c r="J120" i="11"/>
  <c r="G51" i="8"/>
  <c r="D221" i="11"/>
  <c r="G375" i="11"/>
  <c r="K359" i="11"/>
  <c r="L264" i="11"/>
  <c r="D234" i="11"/>
  <c r="E51" i="11"/>
  <c r="R238" i="11"/>
  <c r="R220" i="11"/>
  <c r="Q10" i="11"/>
  <c r="L372" i="11"/>
  <c r="G350" i="11"/>
  <c r="C114" i="11"/>
  <c r="H157" i="11"/>
  <c r="F395" i="11"/>
  <c r="G120" i="11"/>
  <c r="I130" i="11"/>
  <c r="L333" i="11"/>
  <c r="R346" i="11"/>
  <c r="H317" i="11"/>
  <c r="I397" i="11"/>
  <c r="E385" i="11"/>
  <c r="D308" i="11"/>
  <c r="C214" i="11"/>
  <c r="G116" i="11"/>
  <c r="M244" i="11"/>
  <c r="R258" i="11"/>
  <c r="I358" i="11"/>
  <c r="F191" i="11"/>
  <c r="N306" i="11"/>
  <c r="L324" i="11"/>
  <c r="M130" i="11"/>
  <c r="H123" i="11"/>
  <c r="G229" i="11"/>
  <c r="O245" i="11"/>
  <c r="G143" i="11"/>
  <c r="R136" i="11"/>
  <c r="Q121" i="11"/>
  <c r="N136" i="11"/>
  <c r="D205" i="11"/>
  <c r="E37" i="9"/>
  <c r="P136" i="11"/>
  <c r="G149" i="11"/>
  <c r="C29" i="11"/>
  <c r="J34" i="11"/>
  <c r="D9" i="11"/>
  <c r="E115" i="11"/>
  <c r="J400" i="11"/>
  <c r="J100" i="11"/>
  <c r="O24" i="11"/>
  <c r="M84" i="11"/>
  <c r="L330" i="11"/>
  <c r="H11" i="11"/>
  <c r="L63" i="11"/>
  <c r="K168" i="11"/>
  <c r="O145" i="11"/>
  <c r="E139" i="11"/>
  <c r="J210" i="11"/>
  <c r="H228" i="11"/>
  <c r="R255" i="11"/>
  <c r="K234" i="11"/>
  <c r="C270" i="11"/>
  <c r="C173" i="11"/>
  <c r="H7" i="11"/>
  <c r="O12" i="11"/>
  <c r="D302" i="11"/>
  <c r="L349" i="11"/>
  <c r="C98" i="11"/>
  <c r="B103" i="11"/>
  <c r="J77" i="11"/>
  <c r="F248" i="11"/>
  <c r="Q308" i="11"/>
  <c r="R385" i="11"/>
  <c r="Q371" i="11"/>
  <c r="E151" i="11"/>
  <c r="H377" i="11"/>
  <c r="G396" i="11"/>
  <c r="J380" i="11"/>
  <c r="N118" i="11"/>
  <c r="E241" i="11"/>
  <c r="E11" i="11"/>
  <c r="K395" i="11"/>
  <c r="G82" i="11"/>
  <c r="K187" i="11"/>
  <c r="P46" i="11"/>
  <c r="D191" i="11"/>
  <c r="B10" i="11"/>
  <c r="L132" i="11"/>
  <c r="Q127" i="11"/>
  <c r="M62" i="11"/>
  <c r="N344" i="11"/>
  <c r="F120" i="11"/>
  <c r="M280" i="11"/>
  <c r="G288" i="11"/>
  <c r="N165" i="11"/>
  <c r="L379" i="11"/>
  <c r="C21" i="11"/>
  <c r="N276" i="11"/>
  <c r="K139" i="11"/>
  <c r="O111" i="11"/>
  <c r="E129" i="11"/>
  <c r="F380" i="11"/>
  <c r="B390" i="11"/>
  <c r="F367" i="11"/>
  <c r="O375" i="11"/>
  <c r="H335" i="11"/>
  <c r="P142" i="11"/>
  <c r="N363" i="11"/>
  <c r="B372" i="11"/>
  <c r="G257" i="11"/>
  <c r="I294" i="11"/>
  <c r="C26" i="9"/>
  <c r="K338" i="11"/>
  <c r="K262" i="11"/>
  <c r="D19" i="9"/>
  <c r="H100" i="11"/>
  <c r="P181" i="11"/>
  <c r="E253" i="11"/>
  <c r="Q64" i="11"/>
  <c r="L321" i="11"/>
  <c r="D146" i="11"/>
  <c r="Q122" i="11"/>
  <c r="L398" i="11"/>
  <c r="I402" i="11"/>
  <c r="B203" i="11"/>
  <c r="O153" i="11"/>
  <c r="O131" i="11"/>
  <c r="Q247" i="11"/>
  <c r="E119" i="11"/>
  <c r="M118" i="11"/>
  <c r="O193" i="11"/>
  <c r="O202" i="11"/>
  <c r="R219" i="11"/>
  <c r="O140" i="11"/>
  <c r="E134" i="11"/>
  <c r="Q134" i="11"/>
  <c r="O152" i="11"/>
  <c r="R45" i="11"/>
  <c r="D51" i="11"/>
  <c r="M145" i="11"/>
  <c r="I151" i="11"/>
  <c r="R390" i="11"/>
  <c r="E13" i="11"/>
  <c r="B155" i="11"/>
  <c r="Q398" i="11"/>
  <c r="N400" i="11"/>
  <c r="C47" i="11"/>
  <c r="J26" i="11"/>
  <c r="C109" i="11"/>
  <c r="C360" i="11"/>
  <c r="K105" i="11"/>
  <c r="K79" i="11"/>
  <c r="G90" i="11"/>
  <c r="Q306" i="11"/>
  <c r="B84" i="11"/>
  <c r="M50" i="11"/>
  <c r="M167" i="11"/>
  <c r="Q24" i="11"/>
  <c r="P29" i="11"/>
  <c r="P148" i="11"/>
  <c r="K167" i="11"/>
  <c r="F63" i="11"/>
  <c r="M68" i="11"/>
  <c r="H285" i="11"/>
  <c r="F118" i="11"/>
  <c r="C26" i="11"/>
  <c r="J31" i="11"/>
  <c r="O4" i="11"/>
  <c r="J299" i="11"/>
  <c r="B292" i="11"/>
  <c r="O96" i="11"/>
  <c r="R95" i="11"/>
  <c r="G333" i="11"/>
  <c r="O325" i="11"/>
  <c r="R319" i="11"/>
  <c r="E336" i="11"/>
  <c r="E279" i="11"/>
  <c r="M271" i="11"/>
  <c r="E400" i="11"/>
  <c r="K282" i="11"/>
  <c r="C133" i="11"/>
  <c r="E242" i="11"/>
  <c r="G81" i="11"/>
  <c r="F206" i="11"/>
  <c r="B133" i="11"/>
  <c r="H187" i="11"/>
  <c r="L16" i="10"/>
  <c r="H130" i="11"/>
  <c r="D401" i="11"/>
  <c r="J394" i="11"/>
  <c r="N88" i="11"/>
  <c r="O73" i="11"/>
  <c r="J357" i="11"/>
  <c r="O328" i="11"/>
  <c r="L12" i="10"/>
  <c r="N127" i="11"/>
  <c r="O382" i="11"/>
  <c r="N321" i="11"/>
  <c r="R356" i="11"/>
  <c r="H378" i="11"/>
  <c r="I336" i="11"/>
  <c r="J307" i="11"/>
  <c r="B352" i="11"/>
  <c r="J368" i="11"/>
  <c r="I183" i="11"/>
  <c r="Q175" i="11"/>
  <c r="I184" i="11"/>
  <c r="G202" i="11"/>
  <c r="B161" i="11"/>
  <c r="J153" i="11"/>
  <c r="I259" i="11"/>
  <c r="B304" i="11"/>
  <c r="F67" i="11"/>
  <c r="C351" i="11"/>
  <c r="K280" i="11"/>
  <c r="R292" i="11"/>
  <c r="N220" i="11"/>
  <c r="C320" i="11"/>
  <c r="N137" i="11"/>
  <c r="I282" i="11"/>
  <c r="H181" i="11"/>
  <c r="J204" i="11"/>
  <c r="G275" i="11"/>
  <c r="H321" i="11"/>
  <c r="G354" i="11"/>
  <c r="C324" i="11"/>
  <c r="J353" i="11"/>
  <c r="O402" i="11"/>
  <c r="B184" i="11"/>
  <c r="H162" i="11"/>
  <c r="F87" i="11"/>
  <c r="B197" i="11"/>
  <c r="R177" i="11"/>
  <c r="C160" i="11"/>
  <c r="B365" i="11"/>
  <c r="G271" i="11"/>
  <c r="C135" i="11"/>
  <c r="I292" i="11"/>
  <c r="I146" i="11"/>
  <c r="Q355" i="11"/>
  <c r="G265" i="11"/>
  <c r="K314" i="11"/>
  <c r="N341" i="11"/>
  <c r="L199" i="11"/>
  <c r="J369" i="11"/>
  <c r="Q47" i="11"/>
  <c r="O167" i="11"/>
  <c r="I217" i="11"/>
  <c r="I72" i="11"/>
  <c r="C208" i="11"/>
  <c r="Q315" i="11"/>
  <c r="K205" i="11"/>
  <c r="L17" i="11"/>
  <c r="E252" i="11"/>
  <c r="K231" i="11"/>
  <c r="P4" i="11"/>
  <c r="K198" i="11"/>
  <c r="F134" i="11"/>
  <c r="P204" i="11"/>
  <c r="K221" i="11"/>
  <c r="P101" i="11"/>
  <c r="J107" i="11"/>
  <c r="P143" i="11"/>
  <c r="K370" i="11"/>
  <c r="M64" i="11"/>
  <c r="G70" i="11"/>
  <c r="D43" i="11"/>
  <c r="F171" i="11"/>
  <c r="Q356" i="11"/>
  <c r="F402" i="11"/>
  <c r="G42" i="8"/>
  <c r="B311" i="11"/>
  <c r="Q377" i="11"/>
  <c r="J188" i="11"/>
  <c r="L250" i="11"/>
  <c r="D159" i="11"/>
  <c r="D40" i="11"/>
  <c r="D227" i="11"/>
  <c r="B371" i="11"/>
  <c r="E4" i="11"/>
  <c r="B274" i="11"/>
  <c r="K249" i="11"/>
  <c r="O246" i="11"/>
  <c r="C322" i="11"/>
  <c r="J198" i="11"/>
  <c r="N172" i="11"/>
  <c r="L183" i="11"/>
  <c r="M346" i="11"/>
  <c r="R373" i="11"/>
  <c r="R211" i="11"/>
  <c r="H127" i="11"/>
  <c r="O17" i="11"/>
  <c r="G285" i="11"/>
  <c r="N246" i="11"/>
  <c r="G42" i="11"/>
  <c r="J293" i="11"/>
  <c r="Q161" i="11"/>
  <c r="K253" i="11"/>
  <c r="G370" i="11"/>
  <c r="G316" i="11"/>
  <c r="O196" i="11"/>
  <c r="O120" i="11"/>
  <c r="J367" i="11"/>
  <c r="J279" i="11"/>
  <c r="J182" i="11"/>
  <c r="R361" i="11"/>
  <c r="J397" i="11"/>
  <c r="F223" i="11"/>
  <c r="O210" i="11"/>
  <c r="L25" i="11"/>
  <c r="R34" i="11"/>
  <c r="I255" i="11"/>
  <c r="P12" i="11"/>
  <c r="I395" i="11"/>
  <c r="G201" i="11"/>
  <c r="G34" i="11"/>
  <c r="D144" i="11"/>
  <c r="F158" i="11"/>
  <c r="K194" i="11"/>
  <c r="E34" i="9"/>
  <c r="J99" i="11"/>
  <c r="D257" i="11"/>
  <c r="J340" i="11"/>
  <c r="E66" i="11"/>
  <c r="G62" i="11"/>
  <c r="N367" i="11"/>
  <c r="M257" i="11"/>
  <c r="K273" i="11"/>
  <c r="O68" i="11"/>
  <c r="J320" i="11"/>
  <c r="H390" i="11"/>
  <c r="P259" i="11"/>
  <c r="J157" i="11"/>
  <c r="R139" i="11"/>
  <c r="K227" i="11"/>
  <c r="L228" i="11"/>
  <c r="R11" i="11"/>
  <c r="Q272" i="11"/>
  <c r="Q333" i="11"/>
  <c r="C172" i="11"/>
  <c r="B158" i="11"/>
  <c r="M344" i="11"/>
  <c r="P364" i="11"/>
  <c r="Q150" i="11"/>
  <c r="H383" i="11"/>
  <c r="R393" i="11"/>
  <c r="L212" i="11"/>
  <c r="P119" i="11"/>
  <c r="G25" i="11"/>
  <c r="H253" i="11"/>
  <c r="K369" i="11"/>
  <c r="Q249" i="11"/>
  <c r="E15" i="10"/>
  <c r="B261" i="11"/>
  <c r="H175" i="11"/>
  <c r="H136" i="11"/>
  <c r="K368" i="11"/>
  <c r="N384" i="11"/>
  <c r="J175" i="11"/>
  <c r="R359" i="11"/>
  <c r="N267" i="11"/>
  <c r="R161" i="11"/>
  <c r="C213" i="11"/>
  <c r="R42" i="11"/>
  <c r="B319" i="11"/>
  <c r="H254" i="11"/>
  <c r="J28" i="11"/>
  <c r="H385" i="11"/>
  <c r="P140" i="11"/>
  <c r="M51" i="11"/>
  <c r="G26" i="11"/>
  <c r="H327" i="11"/>
  <c r="E322" i="11"/>
  <c r="D18" i="10"/>
  <c r="I152" i="11"/>
  <c r="N334" i="11"/>
  <c r="D315" i="11"/>
  <c r="K351" i="11"/>
  <c r="F368" i="11"/>
  <c r="C318" i="11"/>
  <c r="N287" i="11"/>
  <c r="R399" i="11"/>
  <c r="C363" i="11"/>
  <c r="C222" i="11"/>
  <c r="K214" i="11"/>
  <c r="Q331" i="11"/>
  <c r="D348" i="11"/>
  <c r="I104" i="11"/>
  <c r="N152" i="11"/>
  <c r="M91" i="11"/>
  <c r="B351" i="11"/>
  <c r="N17" i="11"/>
  <c r="D305" i="11"/>
  <c r="Q6" i="11"/>
  <c r="N382" i="11"/>
  <c r="B149" i="11"/>
  <c r="N283" i="11"/>
  <c r="D394" i="11"/>
  <c r="M378" i="11"/>
  <c r="R75" i="11"/>
  <c r="I351" i="11"/>
  <c r="D371" i="11"/>
  <c r="B389" i="11"/>
  <c r="F177" i="11"/>
  <c r="N169" i="11"/>
  <c r="L392" i="11"/>
  <c r="P276" i="11"/>
  <c r="K204" i="11"/>
  <c r="F197" i="11"/>
  <c r="O207" i="11"/>
  <c r="E225" i="11"/>
  <c r="N176" i="11"/>
  <c r="Q159" i="11"/>
  <c r="R234" i="11"/>
  <c r="M251" i="11"/>
  <c r="L120" i="11"/>
  <c r="J114" i="11"/>
  <c r="H180" i="11"/>
  <c r="F198" i="11"/>
  <c r="F388" i="11"/>
  <c r="O150" i="11"/>
  <c r="C242" i="11"/>
  <c r="F116" i="11"/>
  <c r="M325" i="11"/>
  <c r="N126" i="11"/>
  <c r="L226" i="11"/>
  <c r="M367" i="11"/>
  <c r="B263" i="11"/>
  <c r="I260" i="11"/>
  <c r="N251" i="11"/>
  <c r="P326" i="11"/>
  <c r="C381" i="11"/>
  <c r="F291" i="11"/>
  <c r="E232" i="11"/>
  <c r="R308" i="11"/>
  <c r="F48" i="8"/>
  <c r="N242" i="11"/>
  <c r="M373" i="11"/>
  <c r="D34" i="9"/>
  <c r="K342" i="11"/>
  <c r="F180" i="11"/>
  <c r="K138" i="11"/>
  <c r="M94" i="11"/>
  <c r="F266" i="11"/>
  <c r="D374" i="11"/>
  <c r="G187" i="11"/>
  <c r="K277" i="11"/>
  <c r="R327" i="11"/>
  <c r="N230" i="11"/>
  <c r="C271" i="11"/>
  <c r="I382" i="11"/>
  <c r="E284" i="11"/>
  <c r="C261" i="11"/>
  <c r="Q115" i="11"/>
  <c r="K401" i="11"/>
  <c r="Q163" i="11"/>
  <c r="R315" i="11"/>
  <c r="I82" i="11"/>
  <c r="E201" i="11"/>
  <c r="L395" i="11"/>
  <c r="G243" i="11"/>
  <c r="C281" i="11"/>
  <c r="R341" i="11"/>
  <c r="B236" i="11"/>
  <c r="E20" i="11"/>
  <c r="P54" i="11"/>
  <c r="H336" i="11"/>
  <c r="Q7" i="11"/>
  <c r="F378" i="11"/>
  <c r="H301" i="11"/>
  <c r="F46" i="11"/>
  <c r="H62" i="11"/>
  <c r="E43" i="11"/>
  <c r="G89" i="11"/>
  <c r="G297" i="11"/>
  <c r="N333" i="11"/>
  <c r="D351" i="11"/>
  <c r="F252" i="11"/>
  <c r="N244" i="11"/>
  <c r="E326" i="11"/>
  <c r="C344" i="11"/>
  <c r="L318" i="11"/>
  <c r="B288" i="11"/>
  <c r="G330" i="11"/>
  <c r="H170" i="11"/>
  <c r="G225" i="11"/>
  <c r="O217" i="11"/>
  <c r="G226" i="11"/>
  <c r="R243" i="11"/>
  <c r="F37" i="9"/>
  <c r="H386" i="11"/>
  <c r="K248" i="11"/>
  <c r="L167" i="11"/>
  <c r="D37" i="11"/>
  <c r="F274" i="11"/>
  <c r="E233" i="11"/>
  <c r="K250" i="11"/>
  <c r="O309" i="11"/>
  <c r="B302" i="11"/>
  <c r="B295" i="11"/>
  <c r="M312" i="11"/>
  <c r="B323" i="11"/>
  <c r="M292" i="11"/>
  <c r="J362" i="11"/>
  <c r="Q388" i="11"/>
  <c r="P176" i="11"/>
  <c r="C169" i="11"/>
  <c r="B181" i="11"/>
  <c r="M198" i="11"/>
  <c r="H169" i="11"/>
  <c r="B159" i="11"/>
  <c r="O208" i="11"/>
  <c r="B225" i="11"/>
  <c r="F7" i="11"/>
  <c r="M12" i="11"/>
  <c r="Q185" i="11"/>
  <c r="E245" i="11"/>
  <c r="C46" i="11"/>
  <c r="J51" i="11"/>
  <c r="E123" i="11"/>
  <c r="B138" i="11"/>
  <c r="L355" i="11"/>
  <c r="M113" i="11"/>
  <c r="H84" i="11"/>
  <c r="B199" i="11"/>
  <c r="J301" i="11"/>
  <c r="B58" i="11"/>
  <c r="C34" i="11"/>
  <c r="E298" i="11"/>
  <c r="I288" i="11"/>
  <c r="H241" i="11"/>
  <c r="D377" i="11"/>
  <c r="D177" i="11"/>
  <c r="J137" i="11"/>
  <c r="R129" i="11"/>
  <c r="F234" i="11"/>
  <c r="D252" i="11"/>
  <c r="F148" i="11"/>
  <c r="Q141" i="11"/>
  <c r="H126" i="11"/>
  <c r="M141" i="11"/>
  <c r="O130" i="11"/>
  <c r="P241" i="11"/>
  <c r="G141" i="11"/>
  <c r="P267" i="11"/>
  <c r="R389" i="11"/>
  <c r="Q73" i="11"/>
  <c r="L56" i="11"/>
  <c r="P356" i="11"/>
  <c r="O352" i="11"/>
  <c r="O107" i="11"/>
  <c r="I95" i="11"/>
  <c r="G73" i="11"/>
  <c r="R400" i="11"/>
  <c r="F348" i="11"/>
  <c r="J11" i="11"/>
  <c r="L170" i="11"/>
  <c r="R282" i="11"/>
  <c r="Q15" i="11"/>
  <c r="B349" i="11"/>
  <c r="C93" i="11"/>
  <c r="N206" i="11"/>
  <c r="Q208" i="11"/>
  <c r="B255" i="11"/>
  <c r="K331" i="11"/>
  <c r="C263" i="11"/>
  <c r="K207" i="11"/>
  <c r="C80" i="11"/>
  <c r="J212" i="11"/>
  <c r="Q374" i="11"/>
  <c r="F22" i="11"/>
  <c r="K384" i="11"/>
  <c r="P60" i="11"/>
  <c r="K312" i="11"/>
  <c r="I38" i="11"/>
  <c r="C387" i="11"/>
  <c r="P8" i="11"/>
  <c r="D342" i="11"/>
  <c r="I64" i="11"/>
  <c r="D395" i="11"/>
  <c r="J230" i="11"/>
  <c r="F103" i="11"/>
  <c r="K356" i="11"/>
  <c r="G123" i="11"/>
  <c r="P65" i="11"/>
  <c r="E350" i="11"/>
  <c r="F138" i="11"/>
  <c r="C42" i="8"/>
  <c r="R176" i="11"/>
  <c r="E59" i="11"/>
  <c r="J271" i="11"/>
  <c r="E203" i="11"/>
  <c r="B98" i="11"/>
  <c r="J338" i="11"/>
  <c r="G238" i="11"/>
  <c r="N288" i="11"/>
  <c r="E42" i="11"/>
  <c r="M10" i="10"/>
  <c r="H117" i="11"/>
  <c r="N370" i="11"/>
  <c r="B54" i="11"/>
  <c r="H80" i="11"/>
  <c r="J201" i="11"/>
  <c r="H93" i="11"/>
  <c r="B99" i="11"/>
  <c r="I154" i="11"/>
  <c r="F187" i="11"/>
  <c r="H18" i="10"/>
  <c r="C8" i="11"/>
  <c r="B109" i="11"/>
  <c r="L351" i="11"/>
  <c r="O94" i="11"/>
  <c r="F99" i="11"/>
  <c r="F73" i="11"/>
  <c r="E128" i="11"/>
  <c r="P313" i="11"/>
  <c r="O392" i="11"/>
  <c r="P376" i="11"/>
  <c r="E262" i="11"/>
  <c r="M254" i="11"/>
  <c r="D344" i="11"/>
  <c r="B362" i="11"/>
  <c r="H207" i="11"/>
  <c r="P199" i="11"/>
  <c r="J290" i="11"/>
  <c r="R306" i="11"/>
  <c r="L194" i="11"/>
  <c r="P298" i="11"/>
  <c r="M55" i="11"/>
  <c r="D161" i="11"/>
  <c r="O227" i="11"/>
  <c r="P220" i="11"/>
  <c r="I287" i="11"/>
  <c r="D74" i="11"/>
  <c r="Q307" i="11"/>
  <c r="N285" i="11"/>
  <c r="B25" i="11"/>
  <c r="B15" i="11"/>
  <c r="D190" i="11"/>
  <c r="F352" i="11"/>
  <c r="M58" i="11"/>
  <c r="L53" i="11"/>
  <c r="D366" i="11"/>
  <c r="M400" i="11"/>
  <c r="P389" i="11"/>
  <c r="M277" i="11"/>
  <c r="B187" i="11"/>
  <c r="J179" i="11"/>
  <c r="R294" i="11"/>
  <c r="P312" i="11"/>
  <c r="D119" i="11"/>
  <c r="L111" i="11"/>
  <c r="P216" i="11"/>
  <c r="K233" i="11"/>
  <c r="K151" i="11"/>
  <c r="F144" i="11"/>
  <c r="O394" i="11"/>
  <c r="D180" i="11"/>
  <c r="D388" i="11"/>
  <c r="G186" i="11"/>
  <c r="B249" i="11"/>
  <c r="C125" i="11"/>
  <c r="H398" i="11"/>
  <c r="K169" i="11"/>
  <c r="G233" i="11"/>
  <c r="C120" i="11"/>
  <c r="D281" i="11"/>
  <c r="Q262" i="11"/>
  <c r="G295" i="11"/>
  <c r="O378" i="11"/>
  <c r="O216" i="11"/>
  <c r="B209" i="11"/>
  <c r="C219" i="11"/>
  <c r="I237" i="11"/>
  <c r="P214" i="11"/>
  <c r="R188" i="11"/>
  <c r="I247" i="11"/>
  <c r="Q263" i="11"/>
  <c r="N71" i="11"/>
  <c r="H77" i="11"/>
  <c r="I228" i="11"/>
  <c r="P377" i="11"/>
  <c r="G302" i="11"/>
  <c r="F397" i="11"/>
  <c r="Q368" i="11"/>
  <c r="E18" i="10"/>
  <c r="K235" i="11"/>
  <c r="J358" i="11"/>
  <c r="B42" i="11"/>
  <c r="P21" i="11"/>
  <c r="L80" i="11"/>
  <c r="E60" i="11"/>
  <c r="R273" i="11"/>
  <c r="J23" i="11"/>
  <c r="L267" i="11"/>
  <c r="N320" i="11"/>
  <c r="H221" i="11"/>
  <c r="N354" i="11"/>
  <c r="F167" i="11"/>
  <c r="L300" i="11"/>
  <c r="E109" i="11"/>
  <c r="Q279" i="11"/>
  <c r="J151" i="11"/>
  <c r="P393" i="11"/>
  <c r="P309" i="11"/>
  <c r="B82" i="11"/>
  <c r="J399" i="11"/>
  <c r="N145" i="11"/>
  <c r="B231" i="11"/>
  <c r="M331" i="11"/>
  <c r="N41" i="11"/>
  <c r="Q62" i="11"/>
  <c r="N316" i="11"/>
  <c r="G397" i="11"/>
  <c r="Q376" i="11"/>
  <c r="J177" i="11"/>
  <c r="B391" i="11"/>
  <c r="C289" i="11"/>
  <c r="I143" i="11"/>
  <c r="I327" i="11"/>
  <c r="L259" i="11"/>
  <c r="E248" i="11"/>
  <c r="R192" i="11"/>
  <c r="M29" i="11"/>
  <c r="P285" i="11"/>
  <c r="E99" i="11"/>
  <c r="I272" i="11"/>
  <c r="P99" i="11"/>
  <c r="J152" i="11"/>
  <c r="K162" i="11"/>
  <c r="L121" i="11"/>
  <c r="H149" i="11"/>
  <c r="O90" i="11"/>
  <c r="C78" i="11"/>
  <c r="G22" i="11"/>
  <c r="F27" i="11"/>
  <c r="D15" i="10"/>
  <c r="R174" i="11"/>
  <c r="D298" i="11"/>
  <c r="K92" i="11"/>
  <c r="I92" i="11"/>
  <c r="Q339" i="11"/>
  <c r="D332" i="11"/>
  <c r="D325" i="11"/>
  <c r="B343" i="11"/>
  <c r="L260" i="11"/>
  <c r="G253" i="11"/>
  <c r="E266" i="11"/>
  <c r="O330" i="11"/>
  <c r="R206" i="11"/>
  <c r="E199" i="11"/>
  <c r="D211" i="11"/>
  <c r="B229" i="11"/>
  <c r="Q82" i="11"/>
  <c r="I116" i="11"/>
  <c r="G379" i="11"/>
  <c r="G269" i="11"/>
  <c r="G314" i="11"/>
  <c r="E391" i="11"/>
  <c r="D330" i="11"/>
  <c r="C315" i="11"/>
  <c r="O376" i="11"/>
  <c r="G393" i="11"/>
  <c r="B297" i="11"/>
  <c r="M314" i="11"/>
  <c r="M392" i="11"/>
  <c r="P327" i="11"/>
  <c r="O363" i="11"/>
  <c r="G391" i="11"/>
  <c r="E396" i="11"/>
  <c r="R331" i="11"/>
  <c r="I357" i="11"/>
  <c r="K379" i="11"/>
  <c r="H188" i="11"/>
  <c r="P180" i="11"/>
  <c r="K190" i="11"/>
  <c r="F207" i="11"/>
  <c r="Q130" i="11"/>
  <c r="O124" i="11"/>
  <c r="M122" i="11"/>
  <c r="K140" i="11"/>
  <c r="D202" i="11"/>
  <c r="F176" i="11"/>
  <c r="O155" i="11"/>
  <c r="H198" i="11"/>
  <c r="C354" i="11"/>
  <c r="I149" i="11"/>
  <c r="J9" i="10"/>
  <c r="M59" i="11"/>
  <c r="I300" i="11"/>
  <c r="R134" i="11"/>
  <c r="J75" i="11"/>
  <c r="H200" i="11"/>
  <c r="E133" i="11"/>
  <c r="P126" i="11"/>
  <c r="H293" i="11"/>
  <c r="M388" i="11"/>
  <c r="B215" i="11"/>
  <c r="N187" i="11"/>
  <c r="C220" i="11"/>
  <c r="N237" i="11"/>
  <c r="F10" i="10"/>
  <c r="R3" i="11"/>
  <c r="J228" i="11"/>
  <c r="C358" i="11"/>
  <c r="O89" i="11"/>
  <c r="N94" i="11"/>
  <c r="H69" i="11"/>
  <c r="G212" i="11"/>
  <c r="M393" i="11"/>
  <c r="G40" i="11"/>
  <c r="R31" i="11"/>
  <c r="M196" i="11"/>
  <c r="F328" i="11"/>
  <c r="R73" i="11"/>
  <c r="B71" i="11"/>
  <c r="G390" i="11"/>
  <c r="H280" i="11"/>
  <c r="J192" i="11"/>
  <c r="R19" i="11"/>
  <c r="R253" i="11"/>
  <c r="L251" i="11"/>
  <c r="C374" i="11"/>
  <c r="B47" i="11"/>
  <c r="K237" i="11"/>
  <c r="O86" i="11"/>
  <c r="N91" i="11"/>
  <c r="K64" i="11"/>
  <c r="J239" i="11"/>
  <c r="H12" i="9"/>
  <c r="G17" i="10"/>
  <c r="H103" i="11"/>
  <c r="R212" i="11"/>
  <c r="R367" i="11"/>
  <c r="H320" i="11"/>
  <c r="F331" i="11"/>
  <c r="O370" i="11"/>
  <c r="L203" i="11"/>
  <c r="P235" i="11"/>
  <c r="F157" i="11"/>
  <c r="P382" i="11"/>
  <c r="I39" i="11"/>
  <c r="K381" i="11"/>
  <c r="F78" i="11"/>
  <c r="I370" i="11"/>
  <c r="D303" i="11"/>
  <c r="F196" i="11"/>
  <c r="P295" i="11"/>
  <c r="Q223" i="11"/>
  <c r="G250" i="11"/>
  <c r="G169" i="11"/>
  <c r="J195" i="11"/>
  <c r="N290" i="11"/>
  <c r="I167" i="11"/>
  <c r="D171" i="11"/>
  <c r="E141" i="11"/>
  <c r="B59" i="11"/>
  <c r="N377" i="11"/>
  <c r="N282" i="11"/>
  <c r="L97" i="11"/>
  <c r="P339" i="11"/>
  <c r="O252" i="11"/>
  <c r="Q60" i="11"/>
  <c r="B333" i="11"/>
  <c r="F319" i="11"/>
  <c r="C362" i="11"/>
  <c r="F359" i="11"/>
  <c r="O142" i="11"/>
  <c r="B278" i="11"/>
  <c r="R186" i="11"/>
  <c r="O26" i="11"/>
  <c r="C248" i="11"/>
  <c r="E168" i="11"/>
  <c r="M67" i="11"/>
  <c r="R193" i="11"/>
  <c r="B108" i="11"/>
  <c r="M229" i="11"/>
  <c r="O171" i="11"/>
  <c r="H274" i="11"/>
  <c r="J78" i="11"/>
  <c r="L40" i="11"/>
  <c r="J266" i="11"/>
  <c r="I334" i="11"/>
  <c r="C234" i="11"/>
  <c r="H108" i="11"/>
  <c r="O277" i="11"/>
  <c r="O280" i="11"/>
  <c r="K28" i="11"/>
  <c r="F19" i="11"/>
  <c r="K352" i="11"/>
  <c r="F273" i="11"/>
  <c r="E309" i="11"/>
  <c r="H326" i="11"/>
  <c r="B235" i="11"/>
  <c r="J227" i="11"/>
  <c r="E343" i="11"/>
  <c r="P360" i="11"/>
  <c r="H177" i="11"/>
  <c r="G160" i="11"/>
  <c r="H264" i="11"/>
  <c r="J328" i="11"/>
  <c r="J113" i="11"/>
  <c r="K323" i="11"/>
  <c r="N210" i="11"/>
  <c r="D228" i="11"/>
  <c r="I100" i="11"/>
  <c r="P186" i="11"/>
  <c r="H248" i="11"/>
  <c r="O134" i="11"/>
  <c r="R382" i="11"/>
  <c r="D169" i="11"/>
  <c r="R233" i="11"/>
  <c r="R114" i="11"/>
  <c r="R189" i="11"/>
  <c r="E182" i="11"/>
  <c r="D272" i="11"/>
  <c r="O289" i="11"/>
  <c r="B264" i="11"/>
  <c r="J256" i="11"/>
  <c r="D339" i="11"/>
  <c r="G356" i="11"/>
  <c r="I392" i="11"/>
  <c r="G335" i="11"/>
  <c r="Q165" i="11"/>
  <c r="G183" i="11"/>
  <c r="J130" i="11"/>
  <c r="H124" i="11"/>
  <c r="D192" i="11"/>
  <c r="B210" i="11"/>
  <c r="P114" i="11"/>
  <c r="E148" i="11"/>
  <c r="J133" i="11"/>
  <c r="G148" i="11"/>
  <c r="G20" i="11"/>
  <c r="F25" i="11"/>
  <c r="G211" i="11"/>
  <c r="C121" i="11"/>
  <c r="R377" i="11"/>
  <c r="N59" i="11"/>
  <c r="P14" i="11"/>
  <c r="I250" i="11"/>
  <c r="L387" i="11"/>
  <c r="G15" i="10"/>
  <c r="E53" i="11"/>
  <c r="I232" i="11"/>
  <c r="D158" i="11"/>
  <c r="B152" i="11"/>
  <c r="I137" i="11"/>
  <c r="L154" i="11"/>
  <c r="Q233" i="11"/>
  <c r="K215" i="11"/>
  <c r="P225" i="11"/>
  <c r="J323" i="11"/>
  <c r="D16" i="11"/>
  <c r="K21" i="11"/>
  <c r="R110" i="11"/>
  <c r="R295" i="11"/>
  <c r="C364" i="11"/>
  <c r="B100" i="11"/>
  <c r="N86" i="11"/>
  <c r="C395" i="11"/>
  <c r="R357" i="11"/>
  <c r="J273" i="11"/>
  <c r="M290" i="11"/>
  <c r="J298" i="11"/>
  <c r="H303" i="11"/>
  <c r="O339" i="11"/>
  <c r="J356" i="11"/>
  <c r="I276" i="11"/>
  <c r="I176" i="11"/>
  <c r="F339" i="11"/>
  <c r="G43" i="11"/>
  <c r="J283" i="11"/>
  <c r="N250" i="11"/>
  <c r="O191" i="11"/>
  <c r="R247" i="11"/>
  <c r="I235" i="11"/>
  <c r="H310" i="11"/>
  <c r="F85" i="11"/>
  <c r="N83" i="11"/>
  <c r="I223" i="11"/>
  <c r="L377" i="11"/>
  <c r="I16" i="9"/>
  <c r="R183" i="11"/>
  <c r="K297" i="11"/>
  <c r="F290" i="11"/>
  <c r="F283" i="11"/>
  <c r="D301" i="11"/>
  <c r="N218" i="11"/>
  <c r="I211" i="11"/>
  <c r="P223" i="11"/>
  <c r="K240" i="11"/>
  <c r="I113" i="11"/>
  <c r="P341" i="11"/>
  <c r="E250" i="11"/>
  <c r="L273" i="11"/>
  <c r="F155" i="11"/>
  <c r="D149" i="11"/>
  <c r="C196" i="11"/>
  <c r="F213" i="11"/>
  <c r="O388" i="11"/>
  <c r="M186" i="11"/>
  <c r="M154" i="11"/>
  <c r="E137" i="11"/>
  <c r="N349" i="11"/>
  <c r="M171" i="11"/>
  <c r="O274" i="11"/>
  <c r="L124" i="11"/>
  <c r="M385" i="11"/>
  <c r="L358" i="11"/>
  <c r="I273" i="11"/>
  <c r="L290" i="11"/>
  <c r="B358" i="11"/>
  <c r="M343" i="11"/>
  <c r="P337" i="11"/>
  <c r="K354" i="11"/>
  <c r="H290" i="11"/>
  <c r="K265" i="11"/>
  <c r="H309" i="11"/>
  <c r="J270" i="11"/>
  <c r="R164" i="11"/>
  <c r="B156" i="11"/>
  <c r="B174" i="11"/>
  <c r="M191" i="11"/>
  <c r="C398" i="11"/>
  <c r="J154" i="11"/>
  <c r="F246" i="11"/>
  <c r="F224" i="11"/>
  <c r="O42" i="11"/>
  <c r="H137" i="11"/>
  <c r="G214" i="11"/>
  <c r="H197" i="11"/>
  <c r="N330" i="11"/>
  <c r="F284" i="11"/>
  <c r="D276" i="11"/>
  <c r="D162" i="11"/>
  <c r="B198" i="11"/>
  <c r="J180" i="11"/>
  <c r="L245" i="11"/>
  <c r="F30" i="11"/>
  <c r="N114" i="11"/>
  <c r="P68" i="11"/>
  <c r="O50" i="11"/>
  <c r="D7" i="11"/>
  <c r="F102" i="11"/>
  <c r="N45" i="11"/>
  <c r="R248" i="11"/>
  <c r="H76" i="11"/>
  <c r="L368" i="11"/>
  <c r="M179" i="11"/>
  <c r="E140" i="11"/>
  <c r="B314" i="11"/>
  <c r="Q158" i="11"/>
  <c r="Q345" i="11"/>
  <c r="D262" i="11"/>
  <c r="C239" i="11"/>
  <c r="O390" i="11"/>
  <c r="K366" i="11"/>
  <c r="G235" i="11"/>
  <c r="M172" i="11"/>
  <c r="G129" i="11"/>
  <c r="D67" i="11"/>
  <c r="M247" i="11"/>
  <c r="G190" i="11"/>
  <c r="N47" i="11"/>
  <c r="Q156" i="11"/>
  <c r="C41" i="11"/>
  <c r="O359" i="11"/>
  <c r="M86" i="11"/>
  <c r="J111" i="11"/>
  <c r="I386" i="11"/>
  <c r="J315" i="11"/>
  <c r="P28" i="11"/>
  <c r="C309" i="11"/>
  <c r="J345" i="11"/>
  <c r="H363" i="11"/>
  <c r="C392" i="11"/>
  <c r="M379" i="11"/>
  <c r="P291" i="11"/>
  <c r="C308" i="11"/>
  <c r="H210" i="11"/>
  <c r="P202" i="11"/>
  <c r="O284" i="11"/>
  <c r="E302" i="11"/>
  <c r="P236" i="11"/>
  <c r="C229" i="11"/>
  <c r="K238" i="11"/>
  <c r="N255" i="11"/>
  <c r="I196" i="11"/>
  <c r="B175" i="11"/>
  <c r="N195" i="11"/>
  <c r="E264" i="11"/>
  <c r="J125" i="11"/>
  <c r="H119" i="11"/>
  <c r="F117" i="11"/>
  <c r="I134" i="11"/>
  <c r="B284" i="11"/>
  <c r="R141" i="11"/>
  <c r="M221" i="11"/>
  <c r="H217" i="11"/>
  <c r="N347" i="11"/>
  <c r="C139" i="11"/>
  <c r="K6" i="11"/>
  <c r="I202" i="11"/>
  <c r="L188" i="11"/>
  <c r="G181" i="11"/>
  <c r="N193" i="11"/>
  <c r="Q210" i="11"/>
  <c r="B265" i="11"/>
  <c r="J257" i="11"/>
  <c r="I269" i="11"/>
  <c r="B344" i="11"/>
  <c r="C130" i="11"/>
  <c r="N123" i="11"/>
  <c r="I166" i="11"/>
  <c r="D183" i="11"/>
  <c r="H37" i="11"/>
  <c r="B43" i="11"/>
  <c r="K133" i="11"/>
  <c r="H148" i="11"/>
  <c r="F13" i="10"/>
  <c r="L5" i="11"/>
  <c r="R107" i="11"/>
  <c r="N95" i="11"/>
  <c r="B39" i="11"/>
  <c r="Q44" i="11"/>
  <c r="F17" i="11"/>
  <c r="O369" i="11"/>
  <c r="J311" i="11"/>
  <c r="R112" i="11"/>
  <c r="R30" i="11"/>
  <c r="Q242" i="11"/>
  <c r="E384" i="11"/>
  <c r="I19" i="11"/>
  <c r="P64" i="11"/>
  <c r="O233" i="11"/>
  <c r="K32" i="11"/>
  <c r="E38" i="11"/>
  <c r="R160" i="11"/>
  <c r="Q209" i="11"/>
  <c r="P71" i="11"/>
  <c r="B77" i="11"/>
  <c r="K247" i="11"/>
  <c r="O143" i="11"/>
  <c r="E386" i="11"/>
  <c r="B36" i="11"/>
  <c r="C13" i="11"/>
  <c r="M6" i="11"/>
  <c r="E339" i="11"/>
  <c r="P380" i="11"/>
  <c r="F377" i="11"/>
  <c r="J165" i="11"/>
  <c r="J347" i="11"/>
  <c r="F369" i="11"/>
  <c r="O401" i="11"/>
  <c r="J240" i="11"/>
  <c r="R232" i="11"/>
  <c r="Q314" i="11"/>
  <c r="O332" i="11"/>
  <c r="L140" i="11"/>
  <c r="J178" i="11"/>
  <c r="J275" i="11"/>
  <c r="N159" i="11"/>
  <c r="G18" i="11"/>
  <c r="K156" i="11"/>
  <c r="F139" i="11"/>
  <c r="J393" i="11"/>
  <c r="E371" i="11"/>
  <c r="B285" i="11"/>
  <c r="Q321" i="11"/>
  <c r="D338" i="11"/>
  <c r="N372" i="11"/>
  <c r="J352" i="11"/>
  <c r="N399" i="11"/>
  <c r="J284" i="11"/>
  <c r="I192" i="11"/>
  <c r="Q184" i="11"/>
  <c r="O301" i="11"/>
  <c r="B318" i="11"/>
  <c r="N125" i="11"/>
  <c r="I118" i="11"/>
  <c r="J222" i="11"/>
  <c r="H240" i="11"/>
  <c r="M137" i="11"/>
  <c r="F132" i="11"/>
  <c r="B116" i="11"/>
  <c r="L130" i="11"/>
  <c r="P166" i="11"/>
  <c r="J158" i="11"/>
  <c r="G158" i="11"/>
  <c r="R199" i="11"/>
  <c r="P385" i="11"/>
  <c r="I32" i="11"/>
  <c r="E6" i="11"/>
  <c r="O78" i="11"/>
  <c r="P324" i="11"/>
  <c r="D110" i="11"/>
  <c r="G84" i="11"/>
  <c r="K120" i="11"/>
  <c r="Q173" i="11"/>
  <c r="D166" i="11"/>
  <c r="M369" i="11"/>
  <c r="H402" i="11"/>
  <c r="F247" i="11"/>
  <c r="N239" i="11"/>
  <c r="P137" i="11"/>
  <c r="D17" i="11"/>
  <c r="I225" i="11"/>
  <c r="C40" i="11"/>
  <c r="G34" i="9"/>
  <c r="M168" i="11"/>
  <c r="M8" i="11"/>
  <c r="I199" i="11"/>
  <c r="L225" i="11"/>
  <c r="M224" i="11"/>
  <c r="R171" i="11"/>
  <c r="E237" i="11"/>
  <c r="C299" i="11"/>
  <c r="J85" i="11"/>
  <c r="L396" i="11"/>
  <c r="O43" i="11"/>
  <c r="M357" i="11"/>
  <c r="E77" i="11"/>
  <c r="N55" i="11"/>
  <c r="C71" i="11"/>
  <c r="E107" i="11"/>
  <c r="L55" i="11"/>
  <c r="R249" i="11"/>
  <c r="C357" i="11"/>
  <c r="L385" i="11"/>
  <c r="R122" i="11"/>
  <c r="N302" i="11"/>
  <c r="G236" i="11"/>
  <c r="N374" i="11"/>
  <c r="P250" i="11"/>
  <c r="I262" i="11"/>
  <c r="R162" i="11"/>
  <c r="J312" i="11"/>
  <c r="R127" i="11"/>
  <c r="O285" i="11"/>
  <c r="I119" i="11"/>
  <c r="F39" i="11"/>
  <c r="P255" i="11"/>
  <c r="H159" i="11"/>
  <c r="P77" i="11"/>
  <c r="I138" i="11"/>
  <c r="I186" i="11"/>
  <c r="N247" i="11"/>
  <c r="H158" i="11"/>
  <c r="R103" i="11"/>
  <c r="M169" i="11"/>
  <c r="M231" i="11"/>
  <c r="E120" i="11"/>
  <c r="J237" i="11"/>
  <c r="R229" i="11"/>
  <c r="L320" i="11"/>
  <c r="G337" i="11"/>
  <c r="P183" i="11"/>
  <c r="C176" i="11"/>
  <c r="J402" i="11"/>
  <c r="E283" i="11"/>
  <c r="R209" i="11"/>
  <c r="E202" i="11"/>
  <c r="D214" i="11"/>
  <c r="L230" i="11"/>
  <c r="J196" i="11"/>
  <c r="B172" i="11"/>
  <c r="L240" i="11"/>
  <c r="J258" i="11"/>
  <c r="E76" i="11"/>
  <c r="L81" i="11"/>
  <c r="N211" i="11"/>
  <c r="F279" i="11"/>
  <c r="C142" i="11"/>
  <c r="K226" i="11"/>
  <c r="K128" i="11"/>
  <c r="K327" i="11"/>
  <c r="F394" i="11"/>
  <c r="L161" i="11"/>
  <c r="G94" i="11"/>
  <c r="F97" i="11"/>
  <c r="H371" i="11"/>
  <c r="I68" i="11"/>
  <c r="G19" i="11"/>
  <c r="Q194" i="11"/>
  <c r="L242" i="11"/>
  <c r="B212" i="11"/>
  <c r="H192" i="11"/>
  <c r="F210" i="11"/>
  <c r="F128" i="11"/>
  <c r="D122" i="11"/>
  <c r="M276" i="11"/>
  <c r="C342" i="11"/>
  <c r="J142" i="11"/>
  <c r="C137" i="11"/>
  <c r="L133" i="11"/>
  <c r="N147" i="11"/>
  <c r="N54" i="11"/>
  <c r="H60" i="11"/>
  <c r="B35" i="11"/>
  <c r="D267" i="11"/>
  <c r="Q310" i="11"/>
  <c r="R9" i="11"/>
  <c r="C36" i="9"/>
  <c r="R181" i="11"/>
  <c r="N380" i="11"/>
  <c r="P43" i="11"/>
  <c r="I36" i="11"/>
  <c r="J389" i="11"/>
  <c r="P328" i="11"/>
  <c r="G399" i="11"/>
  <c r="N115" i="11"/>
  <c r="H332" i="11"/>
  <c r="I275" i="11"/>
  <c r="E292" i="11"/>
  <c r="K62" i="11"/>
  <c r="F184" i="11"/>
  <c r="I52" i="11"/>
  <c r="H57" i="11"/>
  <c r="E30" i="11"/>
  <c r="D22" i="9"/>
  <c r="K90" i="11"/>
  <c r="J95" i="11"/>
  <c r="B69" i="11"/>
  <c r="O158" i="11"/>
  <c r="E320" i="11"/>
  <c r="N397" i="11"/>
  <c r="E383" i="11"/>
  <c r="P269" i="11"/>
  <c r="G260" i="11"/>
  <c r="N350" i="11"/>
  <c r="B154" i="11"/>
  <c r="C380" i="11"/>
  <c r="N174" i="11"/>
  <c r="F168" i="11"/>
  <c r="K170" i="11"/>
  <c r="K45" i="11"/>
  <c r="F160" i="11"/>
  <c r="I47" i="11"/>
  <c r="L9" i="11"/>
  <c r="F86" i="11"/>
  <c r="B291" i="11"/>
  <c r="O32" i="11"/>
  <c r="Q322" i="11"/>
  <c r="C303" i="11"/>
  <c r="M228" i="11"/>
  <c r="P336" i="11"/>
  <c r="K174" i="11"/>
  <c r="I283" i="11"/>
  <c r="J13" i="11"/>
  <c r="J108" i="11"/>
  <c r="O52" i="11"/>
  <c r="D60" i="11"/>
  <c r="O115" i="11"/>
  <c r="I312" i="11"/>
  <c r="N351" i="11"/>
  <c r="R43" i="11"/>
  <c r="K224" i="11"/>
  <c r="F141" i="11"/>
  <c r="H365" i="11"/>
  <c r="M250" i="11"/>
  <c r="O151" i="11"/>
  <c r="B360" i="11"/>
  <c r="B119" i="11"/>
  <c r="E121" i="11"/>
  <c r="E180" i="11"/>
  <c r="F47" i="11"/>
  <c r="G387" i="11"/>
  <c r="E255" i="11"/>
  <c r="P85" i="11"/>
  <c r="I391" i="11"/>
  <c r="P47" i="11"/>
  <c r="G137" i="11"/>
  <c r="L266" i="11"/>
  <c r="Q50" i="11"/>
  <c r="E277" i="11"/>
  <c r="G132" i="11"/>
  <c r="B188" i="11"/>
  <c r="P81" i="11"/>
  <c r="G237" i="11"/>
  <c r="O229" i="11"/>
  <c r="F241" i="11"/>
  <c r="D259" i="11"/>
  <c r="R182" i="11"/>
  <c r="E175" i="11"/>
  <c r="L187" i="11"/>
  <c r="B205" i="11"/>
  <c r="E192" i="11"/>
  <c r="G166" i="11"/>
  <c r="N213" i="11"/>
  <c r="L231" i="11"/>
  <c r="B3" i="11"/>
  <c r="Q8" i="11"/>
  <c r="D210" i="11"/>
  <c r="E273" i="11"/>
  <c r="K93" i="11"/>
  <c r="R98" i="11"/>
  <c r="L73" i="11"/>
  <c r="H61" i="11"/>
  <c r="Q4" i="11"/>
  <c r="P9" i="11"/>
  <c r="G119" i="11"/>
  <c r="I378" i="11"/>
  <c r="B359" i="11"/>
  <c r="P75" i="11"/>
  <c r="I15" i="10"/>
  <c r="G321" i="11"/>
  <c r="H305" i="11"/>
  <c r="F135" i="11"/>
  <c r="N34" i="11"/>
  <c r="F327" i="11"/>
  <c r="E110" i="11"/>
  <c r="H314" i="11"/>
  <c r="P254" i="11"/>
  <c r="P115" i="11"/>
  <c r="R152" i="11"/>
  <c r="P146" i="11"/>
  <c r="G131" i="11"/>
  <c r="J148" i="11"/>
  <c r="N116" i="11"/>
  <c r="Q136" i="11"/>
  <c r="C145" i="11"/>
  <c r="R297" i="11"/>
  <c r="O396" i="11"/>
  <c r="M69" i="11"/>
  <c r="H52" i="11"/>
  <c r="L21" i="11"/>
  <c r="H284" i="11"/>
  <c r="R321" i="11"/>
  <c r="E338" i="11"/>
  <c r="K335" i="11"/>
  <c r="P351" i="11"/>
  <c r="M266" i="11"/>
  <c r="K284" i="11"/>
  <c r="C375" i="11"/>
  <c r="Q224" i="11"/>
  <c r="P96" i="11"/>
  <c r="Q106" i="11"/>
  <c r="K349" i="11"/>
  <c r="L169" i="11"/>
  <c r="E363" i="11"/>
  <c r="N64" i="11"/>
  <c r="F220" i="11"/>
  <c r="H358" i="11"/>
  <c r="D55" i="11"/>
  <c r="H49" i="11"/>
  <c r="G205" i="11"/>
  <c r="K303" i="11"/>
  <c r="B89" i="11"/>
  <c r="R87" i="11"/>
  <c r="E351" i="11"/>
  <c r="F338" i="11"/>
  <c r="N331" i="11"/>
  <c r="D349" i="11"/>
  <c r="L270" i="11"/>
  <c r="Q259" i="11"/>
  <c r="K286" i="11"/>
  <c r="J379" i="11"/>
  <c r="R156" i="11"/>
  <c r="E149" i="11"/>
  <c r="P168" i="11"/>
  <c r="C185" i="11"/>
  <c r="Q360" i="11"/>
  <c r="H265" i="11"/>
  <c r="P243" i="11"/>
  <c r="N261" i="11"/>
  <c r="K372" i="11"/>
  <c r="P184" i="11"/>
  <c r="B250" i="11"/>
  <c r="N129" i="11"/>
  <c r="R381" i="11"/>
  <c r="M170" i="11"/>
  <c r="R137" i="11"/>
  <c r="E337" i="11"/>
  <c r="Q222" i="11"/>
  <c r="D215" i="11"/>
  <c r="M225" i="11"/>
  <c r="C243" i="11"/>
  <c r="G168" i="11"/>
  <c r="L369" i="11"/>
  <c r="K171" i="11"/>
  <c r="N188" i="11"/>
  <c r="Q135" i="11"/>
  <c r="O129" i="11"/>
  <c r="N198" i="11"/>
  <c r="D216" i="11"/>
  <c r="M327" i="11"/>
  <c r="H313" i="11"/>
  <c r="Q191" i="11"/>
  <c r="F232" i="11"/>
  <c r="D128" i="11"/>
  <c r="D5" i="11"/>
  <c r="G372" i="11"/>
  <c r="L58" i="11"/>
  <c r="I356" i="11"/>
  <c r="J92" i="11"/>
  <c r="G360" i="11"/>
  <c r="F285" i="11"/>
  <c r="K203" i="11"/>
  <c r="M278" i="11"/>
  <c r="I231" i="11"/>
  <c r="Q232" i="11"/>
  <c r="L176" i="11"/>
  <c r="O178" i="11"/>
  <c r="E32" i="11"/>
  <c r="J248" i="11"/>
  <c r="J71" i="11"/>
  <c r="F231" i="11"/>
  <c r="P45" i="11"/>
  <c r="O311" i="11"/>
  <c r="D393" i="11"/>
  <c r="R58" i="11"/>
  <c r="R222" i="11"/>
  <c r="O148" i="11"/>
  <c r="H258" i="11"/>
  <c r="R116" i="11"/>
  <c r="M38" i="11"/>
  <c r="I341" i="11"/>
  <c r="G133" i="11"/>
  <c r="H20" i="9"/>
  <c r="K125" i="11"/>
  <c r="L64" i="11"/>
  <c r="M288" i="11"/>
  <c r="N179" i="11"/>
  <c r="I103" i="11"/>
  <c r="E355" i="11"/>
  <c r="B332" i="11"/>
  <c r="O49" i="11"/>
  <c r="P25" i="11"/>
  <c r="N326" i="11"/>
  <c r="Q387" i="11"/>
  <c r="F11" i="10"/>
  <c r="L101" i="11"/>
  <c r="L272" i="11"/>
  <c r="L143" i="11"/>
  <c r="G136" i="11"/>
  <c r="P240" i="11"/>
  <c r="F258" i="11"/>
  <c r="C215" i="11"/>
  <c r="N184" i="11"/>
  <c r="N186" i="11"/>
  <c r="Q203" i="11"/>
  <c r="B220" i="11"/>
  <c r="E197" i="11"/>
  <c r="H201" i="11"/>
  <c r="Q260" i="11"/>
  <c r="H20" i="11"/>
  <c r="B26" i="11"/>
  <c r="J13" i="10"/>
  <c r="K402" i="11"/>
  <c r="Q358" i="11"/>
  <c r="K103" i="11"/>
  <c r="R90" i="11"/>
  <c r="D358" i="11"/>
  <c r="G304" i="11"/>
  <c r="N13" i="11"/>
  <c r="J16" i="10"/>
  <c r="I81" i="11"/>
  <c r="R383" i="11"/>
  <c r="R38" i="11"/>
  <c r="P72" i="11"/>
  <c r="F357" i="11"/>
  <c r="I323" i="11"/>
  <c r="B383" i="11"/>
  <c r="Q151" i="11"/>
  <c r="E329" i="11"/>
  <c r="H12" i="10"/>
  <c r="G4" i="11"/>
  <c r="N113" i="11"/>
  <c r="C128" i="11"/>
  <c r="J37" i="11"/>
  <c r="Q42" i="11"/>
  <c r="F156" i="11"/>
  <c r="L125" i="11"/>
  <c r="N402" i="11"/>
  <c r="M5" i="11"/>
  <c r="L107" i="11"/>
  <c r="H146" i="11"/>
  <c r="C266" i="11"/>
  <c r="K375" i="11"/>
  <c r="I393" i="11"/>
  <c r="R213" i="11"/>
  <c r="E206" i="11"/>
  <c r="Q295" i="11"/>
  <c r="O313" i="11"/>
  <c r="N359" i="11"/>
  <c r="P322" i="11"/>
  <c r="D363" i="11"/>
  <c r="F390" i="11"/>
  <c r="E261" i="11"/>
  <c r="B226" i="11"/>
  <c r="O286" i="11"/>
  <c r="B44" i="11"/>
  <c r="M135" i="11"/>
  <c r="H172" i="11"/>
  <c r="J187" i="11"/>
  <c r="R14" i="11"/>
  <c r="L309" i="11"/>
  <c r="J333" i="11"/>
  <c r="Q369" i="11"/>
  <c r="P402" i="11"/>
  <c r="H359" i="11"/>
  <c r="P279" i="11"/>
  <c r="G315" i="11"/>
  <c r="R332" i="11"/>
  <c r="Q240" i="11"/>
  <c r="D233" i="11"/>
  <c r="O349" i="11"/>
  <c r="J366" i="11"/>
  <c r="F203" i="11"/>
  <c r="Q172" i="11"/>
  <c r="P282" i="11"/>
  <c r="R355" i="11"/>
  <c r="K223" i="11"/>
  <c r="M197" i="11"/>
  <c r="N160" i="11"/>
  <c r="Q225" i="11"/>
  <c r="I133" i="11"/>
  <c r="C331" i="11"/>
  <c r="C111" i="11"/>
  <c r="M125" i="11"/>
  <c r="P305" i="11"/>
  <c r="E143" i="11"/>
  <c r="B67" i="11"/>
  <c r="H9" i="11"/>
  <c r="B375" i="11"/>
  <c r="Q40" i="11"/>
  <c r="H15" i="11"/>
  <c r="Q341" i="11"/>
  <c r="G230" i="11"/>
  <c r="J207" i="11"/>
  <c r="E226" i="11"/>
  <c r="H243" i="11"/>
  <c r="B135" i="11"/>
  <c r="M128" i="11"/>
  <c r="P171" i="11"/>
  <c r="N189" i="11"/>
  <c r="D33" i="11"/>
  <c r="K38" i="11"/>
  <c r="J138" i="11"/>
  <c r="G153" i="11"/>
  <c r="D29" i="9"/>
  <c r="F15" i="10"/>
  <c r="N103" i="11"/>
  <c r="B227" i="11"/>
  <c r="M333" i="11"/>
  <c r="I70" i="11"/>
  <c r="C66" i="11"/>
  <c r="Q214" i="11"/>
  <c r="F280" i="11"/>
  <c r="G104" i="11"/>
  <c r="J103" i="11"/>
  <c r="L276" i="11"/>
  <c r="N257" i="11"/>
  <c r="J209" i="11"/>
  <c r="I4" i="11"/>
  <c r="L252" i="11"/>
  <c r="D203" i="11"/>
  <c r="G142" i="11"/>
  <c r="R283" i="11"/>
  <c r="M263" i="11"/>
  <c r="R150" i="11"/>
  <c r="K145" i="11"/>
  <c r="B143" i="11"/>
  <c r="L157" i="11"/>
  <c r="H112" i="11"/>
  <c r="F12" i="10"/>
  <c r="P246" i="11"/>
  <c r="E112" i="11"/>
  <c r="P84" i="11"/>
  <c r="J90" i="11"/>
  <c r="D65" i="11"/>
  <c r="I242" i="11"/>
  <c r="C268" i="11"/>
  <c r="C36" i="11"/>
  <c r="N27" i="11"/>
  <c r="L160" i="11"/>
  <c r="P228" i="11"/>
  <c r="P307" i="11"/>
  <c r="N240" i="11"/>
  <c r="M377" i="11"/>
  <c r="J199" i="11"/>
  <c r="M204" i="11"/>
  <c r="C313" i="11"/>
  <c r="P314" i="11"/>
  <c r="F335" i="11"/>
  <c r="P190" i="11"/>
  <c r="L180" i="11"/>
  <c r="F200" i="11"/>
  <c r="C186" i="11"/>
  <c r="L24" i="11"/>
  <c r="M4" i="11"/>
  <c r="Q63" i="11"/>
  <c r="J43" i="11"/>
  <c r="I337" i="11"/>
  <c r="H59" i="11"/>
  <c r="G283" i="11"/>
  <c r="R97" i="11"/>
  <c r="H341" i="11"/>
  <c r="Q252" i="11"/>
  <c r="I56" i="11"/>
  <c r="C232" i="11"/>
  <c r="L139" i="11"/>
  <c r="F95" i="11"/>
  <c r="E258" i="11"/>
  <c r="M46" i="11"/>
  <c r="P57" i="11"/>
  <c r="D125" i="11"/>
  <c r="Q9" i="11"/>
  <c r="N272" i="11"/>
  <c r="L41" i="11"/>
  <c r="F401" i="11"/>
  <c r="F306" i="11"/>
  <c r="Q80" i="11"/>
  <c r="P363" i="11"/>
  <c r="R307" i="11"/>
  <c r="D307" i="11"/>
  <c r="J41" i="11"/>
  <c r="N93" i="11"/>
  <c r="R345" i="11"/>
  <c r="P353" i="11"/>
  <c r="G80" i="11"/>
  <c r="L4" i="11"/>
  <c r="J200" i="11"/>
  <c r="M150" i="11"/>
  <c r="C144" i="11"/>
  <c r="H147" i="11"/>
  <c r="O166" i="11"/>
  <c r="N332" i="11"/>
  <c r="L258" i="11"/>
  <c r="G227" i="11"/>
  <c r="Q110" i="11"/>
  <c r="G76" i="11"/>
  <c r="F81" i="11"/>
  <c r="E229" i="11"/>
  <c r="I17" i="9"/>
  <c r="F381" i="11"/>
  <c r="K39" i="11"/>
  <c r="B18" i="11"/>
  <c r="B37" i="11"/>
  <c r="P332" i="11"/>
  <c r="R369" i="11"/>
  <c r="R402" i="11"/>
  <c r="N51" i="11"/>
  <c r="I279" i="11"/>
  <c r="H315" i="11"/>
  <c r="F333" i="11"/>
  <c r="G65" i="11"/>
  <c r="Q296" i="11"/>
  <c r="Q78" i="11"/>
  <c r="B125" i="11"/>
  <c r="E379" i="11"/>
  <c r="G218" i="11"/>
  <c r="F119" i="11"/>
  <c r="K29" i="11"/>
  <c r="K122" i="11"/>
  <c r="H17" i="11"/>
  <c r="B23" i="11"/>
  <c r="D9" i="10"/>
  <c r="R120" i="11"/>
  <c r="E56" i="11"/>
  <c r="L61" i="11"/>
  <c r="Q34" i="11"/>
  <c r="G193" i="11"/>
  <c r="M368" i="11"/>
  <c r="C14" i="9"/>
  <c r="K10" i="10"/>
  <c r="I291" i="11"/>
  <c r="Q283" i="11"/>
  <c r="L277" i="11"/>
  <c r="O294" i="11"/>
  <c r="G213" i="11"/>
  <c r="O205" i="11"/>
  <c r="N217" i="11"/>
  <c r="D235" i="11"/>
  <c r="K358" i="11"/>
  <c r="G322" i="11"/>
  <c r="L163" i="11"/>
  <c r="O180" i="11"/>
  <c r="C158" i="11"/>
  <c r="B162" i="11"/>
  <c r="L354" i="11"/>
  <c r="R165" i="11"/>
  <c r="R26" i="11"/>
  <c r="D311" i="11"/>
  <c r="J383" i="11"/>
  <c r="N319" i="11"/>
  <c r="C283" i="11"/>
  <c r="G263" i="11"/>
  <c r="K344" i="11"/>
  <c r="Q362" i="11"/>
  <c r="O215" i="11"/>
  <c r="B208" i="11"/>
  <c r="D291" i="11"/>
  <c r="L307" i="11"/>
  <c r="E243" i="11"/>
  <c r="M235" i="11"/>
  <c r="E244" i="11"/>
  <c r="C262" i="11"/>
  <c r="P217" i="11"/>
  <c r="R191" i="11"/>
  <c r="L221" i="11"/>
  <c r="F343" i="11"/>
  <c r="P15" i="11"/>
  <c r="B21" i="11"/>
  <c r="O235" i="11"/>
  <c r="R387" i="11"/>
  <c r="E54" i="11"/>
  <c r="G60" i="11"/>
  <c r="J136" i="11"/>
  <c r="P272" i="11"/>
  <c r="F393" i="11"/>
  <c r="M232" i="11"/>
  <c r="I49" i="11"/>
  <c r="P248" i="11"/>
  <c r="P355" i="11"/>
  <c r="O35" i="11"/>
  <c r="K87" i="11"/>
  <c r="N183" i="11"/>
  <c r="C255" i="11"/>
  <c r="P230" i="11"/>
  <c r="B247" i="11"/>
  <c r="P110" i="11"/>
  <c r="N146" i="11"/>
  <c r="O141" i="11"/>
  <c r="C138" i="11"/>
  <c r="M152" i="11"/>
  <c r="J50" i="11"/>
  <c r="D56" i="11"/>
  <c r="C30" i="11"/>
  <c r="F297" i="11"/>
  <c r="P315" i="11"/>
  <c r="I6" i="11"/>
  <c r="F243" i="11"/>
  <c r="L328" i="11"/>
  <c r="R309" i="11"/>
  <c r="I345" i="11"/>
  <c r="G363" i="11"/>
  <c r="F305" i="11"/>
  <c r="Q381" i="11"/>
  <c r="O291" i="11"/>
  <c r="B308" i="11"/>
  <c r="J294" i="11"/>
  <c r="H256" i="11"/>
  <c r="N284" i="11"/>
  <c r="G96" i="11"/>
  <c r="E281" i="11"/>
  <c r="N202" i="11"/>
  <c r="O144" i="11"/>
  <c r="K311" i="11"/>
  <c r="C194" i="11"/>
  <c r="R101" i="11"/>
  <c r="D107" i="11"/>
  <c r="K153" i="11"/>
  <c r="R172" i="11"/>
  <c r="M11" i="11"/>
  <c r="G17" i="11"/>
  <c r="I367" i="11"/>
  <c r="D187" i="11"/>
  <c r="N260" i="11"/>
  <c r="L166" i="11"/>
  <c r="E313" i="11"/>
  <c r="I314" i="11"/>
  <c r="O391" i="11"/>
  <c r="R195" i="11"/>
  <c r="R290" i="11"/>
  <c r="B345" i="11"/>
  <c r="D238" i="11"/>
  <c r="N337" i="11"/>
  <c r="J184" i="11"/>
  <c r="G284" i="11"/>
  <c r="N163" i="11"/>
  <c r="K385" i="11"/>
  <c r="N375" i="11"/>
  <c r="B281" i="11"/>
  <c r="H19" i="9"/>
  <c r="D99" i="11"/>
  <c r="B393" i="11"/>
  <c r="H252" i="11"/>
  <c r="G106" i="11"/>
  <c r="D197" i="11"/>
  <c r="F251" i="11"/>
  <c r="G172" i="11"/>
  <c r="H214" i="11"/>
  <c r="K8" i="11"/>
  <c r="D198" i="11"/>
  <c r="L190" i="11"/>
  <c r="K272" i="11"/>
  <c r="I290" i="11"/>
  <c r="O290" i="11"/>
  <c r="F263" i="11"/>
  <c r="I388" i="11"/>
  <c r="N356" i="11"/>
  <c r="Q56" i="11"/>
  <c r="M114" i="11"/>
  <c r="P5" i="11"/>
  <c r="O304" i="11"/>
  <c r="E108" i="11"/>
  <c r="G147" i="11"/>
  <c r="R15" i="11"/>
  <c r="J327" i="11"/>
  <c r="D123" i="11"/>
  <c r="I182" i="11"/>
  <c r="P35" i="11"/>
  <c r="P152" i="11"/>
  <c r="L386" i="11"/>
  <c r="O266" i="11"/>
  <c r="B202" i="11"/>
  <c r="F83" i="11"/>
  <c r="R360" i="11"/>
  <c r="Q102" i="11"/>
  <c r="I35" i="11"/>
  <c r="P107" i="11"/>
  <c r="I347" i="11"/>
  <c r="R102" i="11"/>
  <c r="I188" i="11"/>
  <c r="J15" i="10"/>
  <c r="R207" i="11"/>
  <c r="P172" i="11"/>
  <c r="Q144" i="11"/>
  <c r="M36" i="11"/>
  <c r="M56" i="11"/>
  <c r="R4" i="11"/>
  <c r="E176" i="11"/>
  <c r="F58" i="11"/>
  <c r="P340" i="11"/>
  <c r="D288" i="11"/>
  <c r="H206" i="11"/>
  <c r="D27" i="9"/>
  <c r="L297" i="11"/>
  <c r="C226" i="11"/>
  <c r="R37" i="11"/>
  <c r="I23" i="11"/>
  <c r="N107" i="11"/>
  <c r="H333" i="11"/>
  <c r="R214" i="11"/>
  <c r="J331" i="11"/>
  <c r="L343" i="11"/>
  <c r="J44" i="11"/>
  <c r="N96" i="11"/>
  <c r="E145" i="11"/>
  <c r="R250" i="11"/>
  <c r="B401" i="11"/>
  <c r="P41" i="11"/>
  <c r="O157" i="11"/>
  <c r="M195" i="11"/>
  <c r="B237" i="11"/>
  <c r="B41" i="11"/>
  <c r="G368" i="11"/>
  <c r="M219" i="11"/>
  <c r="N144" i="11"/>
  <c r="J150" i="11"/>
  <c r="Q304" i="11"/>
  <c r="Q176" i="11"/>
  <c r="B95" i="11"/>
  <c r="N106" i="11"/>
  <c r="Q72" i="11"/>
  <c r="K48" i="11"/>
  <c r="C20" i="11"/>
  <c r="M31" i="11"/>
  <c r="N135" i="11"/>
  <c r="L103" i="11"/>
  <c r="L332" i="11"/>
  <c r="O258" i="11"/>
  <c r="R236" i="11"/>
  <c r="O342" i="11"/>
  <c r="P381" i="11"/>
  <c r="F15" i="11"/>
  <c r="Q137" i="11"/>
  <c r="C269" i="11"/>
  <c r="R86" i="11"/>
  <c r="B28" i="11"/>
  <c r="C5" i="11"/>
  <c r="C383" i="11"/>
  <c r="C382" i="11"/>
  <c r="D230" i="11"/>
  <c r="H44" i="11"/>
  <c r="H334" i="11"/>
  <c r="L280" i="11"/>
  <c r="H213" i="11"/>
  <c r="N294" i="11"/>
  <c r="H23" i="11"/>
  <c r="M11" i="10"/>
  <c r="P52" i="11"/>
  <c r="P357" i="11"/>
  <c r="D292" i="11"/>
  <c r="N391" i="11"/>
  <c r="C241" i="11"/>
  <c r="B186" i="11"/>
  <c r="O135" i="11"/>
  <c r="G328" i="11"/>
  <c r="D48" i="11"/>
  <c r="O212" i="11"/>
  <c r="Q319" i="11"/>
  <c r="D239" i="11"/>
  <c r="B268" i="11"/>
  <c r="B185" i="11"/>
  <c r="I213" i="11"/>
  <c r="F391" i="11"/>
  <c r="M164" i="11"/>
  <c r="K285" i="11"/>
  <c r="E316" i="11"/>
  <c r="K390" i="11"/>
  <c r="L137" i="11"/>
  <c r="O326" i="11"/>
  <c r="I115" i="11"/>
  <c r="D297" i="11"/>
  <c r="D213" i="11"/>
  <c r="J82" i="11"/>
  <c r="F170" i="11"/>
  <c r="K16" i="11"/>
  <c r="O296" i="11"/>
  <c r="I198" i="11"/>
  <c r="Q190" i="11"/>
  <c r="M201" i="11"/>
  <c r="P218" i="11"/>
  <c r="O295" i="11"/>
  <c r="G266" i="11"/>
  <c r="I304" i="11"/>
  <c r="I165" i="11"/>
  <c r="E91" i="11"/>
  <c r="K309" i="11"/>
  <c r="M351" i="11"/>
  <c r="O165" i="11"/>
  <c r="F17" i="10"/>
  <c r="H362" i="11"/>
  <c r="K232" i="11"/>
  <c r="C323" i="11"/>
  <c r="K56" i="11"/>
  <c r="C146" i="11"/>
  <c r="N82" i="11"/>
  <c r="B366" i="11"/>
  <c r="J287" i="11"/>
  <c r="B118" i="11"/>
  <c r="M92" i="11"/>
  <c r="C56" i="11"/>
  <c r="E169" i="11"/>
  <c r="G107" i="11"/>
  <c r="L178" i="11"/>
  <c r="F107" i="11"/>
  <c r="O242" i="11"/>
  <c r="M47" i="11"/>
  <c r="L89" i="11"/>
  <c r="L48" i="11"/>
  <c r="P310" i="11"/>
  <c r="O385" i="11"/>
  <c r="C198" i="11"/>
  <c r="M18" i="11"/>
  <c r="H17" i="10"/>
  <c r="Q251" i="11"/>
  <c r="G140" i="11"/>
  <c r="G161" i="11"/>
  <c r="E291" i="11"/>
  <c r="P31" i="11"/>
  <c r="M96" i="11"/>
  <c r="J76" i="11"/>
  <c r="O8" i="11"/>
  <c r="Q17" i="11"/>
  <c r="M13" i="11"/>
  <c r="C152" i="11"/>
  <c r="K271" i="11"/>
  <c r="N121" i="11"/>
  <c r="H160" i="11"/>
  <c r="K302" i="11"/>
  <c r="K317" i="11"/>
  <c r="P56" i="11"/>
  <c r="J102" i="11"/>
  <c r="L99" i="11"/>
  <c r="D242" i="11"/>
  <c r="E330" i="11"/>
  <c r="H231" i="11"/>
  <c r="O9" i="11"/>
  <c r="H391" i="11"/>
  <c r="M352" i="11"/>
  <c r="G215" i="11"/>
  <c r="I343" i="11"/>
  <c r="R83" i="11"/>
  <c r="I58" i="11"/>
  <c r="H5" i="11"/>
  <c r="J119" i="11"/>
  <c r="J144" i="11"/>
  <c r="C280" i="11"/>
  <c r="H65" i="11"/>
  <c r="K58" i="11"/>
  <c r="N364" i="11"/>
  <c r="H346" i="11"/>
  <c r="O225" i="11"/>
  <c r="L100" i="11"/>
  <c r="C207" i="11"/>
  <c r="E256" i="11"/>
  <c r="R344" i="11"/>
  <c r="C29" i="9"/>
  <c r="M397" i="11"/>
  <c r="Q76" i="11"/>
  <c r="C23" i="11"/>
  <c r="O346" i="11"/>
  <c r="H191" i="11"/>
  <c r="R130" i="11"/>
  <c r="Q22" i="11"/>
  <c r="K396" i="11"/>
  <c r="C249" i="11"/>
  <c r="R185" i="11"/>
  <c r="H193" i="11"/>
  <c r="H374" i="11"/>
  <c r="H235" i="11"/>
  <c r="O169" i="11"/>
  <c r="G110" i="11"/>
  <c r="F277" i="11"/>
  <c r="O91" i="11"/>
  <c r="G16" i="11"/>
  <c r="G165" i="11"/>
  <c r="G240" i="11"/>
  <c r="N22" i="11"/>
  <c r="C61" i="11"/>
  <c r="D222" i="11"/>
  <c r="B168" i="11"/>
  <c r="R194" i="11"/>
  <c r="P398" i="11"/>
  <c r="F129" i="11"/>
  <c r="R145" i="11"/>
  <c r="H55" i="11"/>
  <c r="K155" i="11"/>
  <c r="E94" i="11"/>
  <c r="Q168" i="11"/>
  <c r="C31" i="11"/>
  <c r="P155" i="11"/>
  <c r="H70" i="11"/>
  <c r="I114" i="11"/>
  <c r="D167" i="11"/>
  <c r="C195" i="11"/>
  <c r="G241" i="11"/>
  <c r="G9" i="11"/>
  <c r="N227" i="11"/>
  <c r="D73" i="11"/>
  <c r="E382" i="11"/>
  <c r="F240" i="11"/>
  <c r="N35" i="11"/>
  <c r="Q271" i="11"/>
  <c r="E160" i="11"/>
  <c r="P153" i="11"/>
  <c r="R201" i="11"/>
  <c r="P219" i="11"/>
  <c r="F115" i="11"/>
  <c r="Q108" i="11"/>
  <c r="I309" i="11"/>
  <c r="K164" i="11"/>
  <c r="C356" i="11"/>
  <c r="M187" i="11"/>
  <c r="G115" i="11"/>
  <c r="O133" i="11"/>
  <c r="I302" i="11"/>
  <c r="G163" i="11"/>
  <c r="P182" i="11"/>
  <c r="B51" i="11"/>
  <c r="N75" i="11"/>
  <c r="R328" i="11"/>
  <c r="I216" i="11"/>
  <c r="G327" i="11"/>
  <c r="M374" i="11"/>
  <c r="D10" i="11"/>
  <c r="M61" i="11"/>
  <c r="F113" i="11"/>
  <c r="R169" i="11"/>
  <c r="P91" i="11"/>
  <c r="N31" i="11"/>
  <c r="N140" i="11"/>
  <c r="H244" i="11"/>
  <c r="Q399" i="11"/>
  <c r="Q84" i="11"/>
  <c r="C400" i="11"/>
  <c r="M218" i="11"/>
  <c r="M256" i="11"/>
  <c r="I157" i="11"/>
  <c r="J391" i="11"/>
  <c r="C179" i="11"/>
  <c r="P63" i="11"/>
  <c r="L12" i="11"/>
  <c r="C154" i="11"/>
  <c r="D245" i="11"/>
  <c r="I7" i="11"/>
  <c r="M16" i="10"/>
  <c r="G85" i="11"/>
  <c r="N124" i="11"/>
  <c r="L299" i="11"/>
  <c r="C259" i="11"/>
  <c r="J59" i="11"/>
  <c r="B382" i="11"/>
  <c r="R7" i="11"/>
  <c r="J112" i="11"/>
  <c r="M345" i="11"/>
  <c r="P239" i="11"/>
  <c r="O209" i="11"/>
  <c r="R155" i="11"/>
  <c r="F49" i="8"/>
  <c r="Q248" i="11"/>
  <c r="M183" i="11"/>
  <c r="O179" i="11"/>
  <c r="I390" i="11"/>
  <c r="C233" i="11"/>
  <c r="O168" i="11"/>
  <c r="F268" i="11"/>
  <c r="N325" i="11"/>
  <c r="I57" i="11"/>
  <c r="F111" i="11"/>
  <c r="J183" i="11"/>
  <c r="I16" i="10"/>
  <c r="R63" i="11"/>
  <c r="M34" i="11"/>
  <c r="G348" i="11"/>
  <c r="M372" i="11"/>
  <c r="I11" i="11"/>
  <c r="O16" i="11"/>
  <c r="J254" i="11"/>
  <c r="N253" i="11"/>
  <c r="L247" i="11"/>
  <c r="H87" i="11"/>
  <c r="Q20" i="11"/>
  <c r="E114" i="11"/>
  <c r="K298" i="11"/>
  <c r="O162" i="11"/>
  <c r="J38" i="11"/>
  <c r="O173" i="11"/>
  <c r="J190" i="11"/>
  <c r="R231" i="11"/>
  <c r="N310" i="11"/>
  <c r="C330" i="11"/>
  <c r="N224" i="11"/>
  <c r="Q32" i="11"/>
  <c r="N102" i="11"/>
  <c r="N275" i="11"/>
  <c r="C6" i="11"/>
  <c r="E113" i="11"/>
  <c r="K291" i="11"/>
  <c r="Q375" i="11"/>
  <c r="F98" i="11"/>
  <c r="D58" i="11"/>
  <c r="I354" i="11"/>
  <c r="P51" i="11"/>
  <c r="C17" i="11"/>
  <c r="H237" i="11"/>
  <c r="E125" i="11"/>
  <c r="M126" i="11"/>
  <c r="R46" i="11"/>
  <c r="B107" i="11"/>
  <c r="M22" i="11"/>
  <c r="M108" i="11"/>
  <c r="L82" i="11"/>
  <c r="I30" i="11"/>
  <c r="E12" i="10"/>
  <c r="K391" i="11"/>
  <c r="L337" i="11"/>
  <c r="B218" i="11"/>
  <c r="G179" i="11"/>
  <c r="C367" i="11"/>
  <c r="L129" i="11"/>
  <c r="N37" i="11"/>
  <c r="R118" i="11"/>
  <c r="C258" i="11"/>
  <c r="F205" i="11"/>
  <c r="E71" i="11"/>
  <c r="N39" i="11"/>
  <c r="F133" i="11"/>
  <c r="K191" i="11"/>
  <c r="L384" i="11"/>
  <c r="G272" i="11"/>
  <c r="N219" i="11"/>
  <c r="M115" i="11"/>
  <c r="P93" i="11"/>
  <c r="B315" i="11"/>
  <c r="H179" i="11"/>
  <c r="K324" i="11"/>
  <c r="O97" i="11"/>
  <c r="K44" i="11"/>
  <c r="G111" i="11"/>
  <c r="L108" i="11"/>
  <c r="D92" i="11"/>
  <c r="P365" i="11"/>
  <c r="B244" i="11"/>
  <c r="I229" i="11"/>
  <c r="M258" i="11"/>
  <c r="D14" i="9"/>
  <c r="N366" i="11"/>
  <c r="D49" i="11"/>
  <c r="P23" i="11"/>
  <c r="R29" i="11"/>
  <c r="M294" i="11"/>
  <c r="Q112" i="11"/>
  <c r="C68" i="11"/>
  <c r="J74" i="11"/>
  <c r="D285" i="11"/>
  <c r="B384" i="11"/>
  <c r="B230" i="11"/>
  <c r="D129" i="11"/>
  <c r="K34" i="11"/>
  <c r="H73" i="11"/>
  <c r="D397" i="11"/>
  <c r="O329" i="11"/>
  <c r="L67" i="11"/>
  <c r="I106" i="11"/>
  <c r="Q402" i="11"/>
  <c r="P213" i="11"/>
  <c r="Q117" i="11"/>
  <c r="K373" i="11"/>
  <c r="K74" i="11"/>
  <c r="R270" i="11"/>
  <c r="B120" i="11"/>
  <c r="F383" i="11"/>
  <c r="O45" i="11"/>
  <c r="C148" i="11"/>
  <c r="E79" i="11"/>
  <c r="D111" i="11"/>
  <c r="G134" i="11"/>
  <c r="M194" i="11"/>
  <c r="O211" i="11"/>
  <c r="O389" i="11"/>
  <c r="M240" i="11"/>
  <c r="F96" i="11"/>
  <c r="R375" i="11"/>
  <c r="L11" i="11"/>
  <c r="L279" i="11"/>
  <c r="C192" i="11"/>
  <c r="L186" i="11"/>
  <c r="O163" i="11"/>
  <c r="Q164" i="11"/>
  <c r="O222" i="11"/>
  <c r="K129" i="11"/>
  <c r="D124" i="11"/>
  <c r="O118" i="11"/>
  <c r="Q132" i="11"/>
  <c r="R330" i="11"/>
  <c r="M100" i="11"/>
  <c r="L75" i="11"/>
  <c r="C15" i="11"/>
  <c r="H276" i="11"/>
  <c r="F49" i="11"/>
  <c r="D24" i="11"/>
  <c r="C202" i="11"/>
  <c r="C319" i="11"/>
  <c r="P116" i="11"/>
  <c r="R180" i="11"/>
  <c r="R296" i="11"/>
  <c r="F366" i="11"/>
  <c r="N26" i="11"/>
  <c r="H72" i="11"/>
  <c r="F65" i="11"/>
  <c r="E136" i="11"/>
  <c r="I14" i="9"/>
  <c r="J334" i="11"/>
  <c r="P103" i="11"/>
  <c r="G219" i="11"/>
  <c r="M306" i="11"/>
  <c r="E214" i="11"/>
  <c r="G270" i="11"/>
  <c r="K14" i="11"/>
  <c r="P177" i="11"/>
  <c r="R342" i="11"/>
  <c r="J140" i="11"/>
  <c r="K136" i="11"/>
  <c r="K123" i="11"/>
  <c r="F55" i="11"/>
  <c r="N108" i="11"/>
  <c r="B86" i="11"/>
  <c r="I180" i="11"/>
  <c r="K206" i="11"/>
  <c r="N69" i="11"/>
  <c r="I159" i="11"/>
  <c r="N133" i="11"/>
  <c r="J263" i="11"/>
  <c r="H318" i="11"/>
  <c r="F347" i="11"/>
  <c r="C84" i="11"/>
  <c r="H8" i="11"/>
  <c r="M174" i="11"/>
  <c r="B238" i="11"/>
  <c r="H173" i="11"/>
  <c r="P40" i="11"/>
  <c r="I384" i="11"/>
  <c r="O271" i="11"/>
  <c r="R142" i="11"/>
  <c r="O25" i="11"/>
  <c r="I324" i="11"/>
  <c r="M189" i="11"/>
  <c r="D41" i="11"/>
  <c r="E259" i="11"/>
  <c r="E299" i="11"/>
  <c r="D68" i="11"/>
  <c r="H125" i="11"/>
  <c r="I126" i="11"/>
  <c r="B17" i="11"/>
  <c r="L126" i="11"/>
  <c r="M220" i="11"/>
  <c r="R175" i="11"/>
  <c r="B122" i="11"/>
  <c r="O67" i="11"/>
  <c r="M348" i="11"/>
  <c r="I164" i="11"/>
  <c r="J57" i="11"/>
  <c r="P20" i="11"/>
  <c r="D8" i="10"/>
  <c r="M90" i="11"/>
  <c r="O14" i="11"/>
  <c r="G317" i="11"/>
  <c r="H328" i="11"/>
  <c r="H257" i="11"/>
  <c r="G74" i="11"/>
  <c r="M245" i="11"/>
  <c r="R13" i="11"/>
  <c r="N286" i="11"/>
  <c r="Q385" i="11"/>
  <c r="L93" i="11"/>
  <c r="K31" i="11"/>
  <c r="E185" i="11"/>
  <c r="M387" i="11"/>
  <c r="L18" i="11"/>
  <c r="P70" i="11"/>
  <c r="L286" i="11"/>
  <c r="B173" i="11"/>
  <c r="Q241" i="11"/>
  <c r="D87" i="11"/>
  <c r="K328" i="11"/>
  <c r="I340" i="11"/>
  <c r="I80" i="11"/>
  <c r="J214" i="11"/>
  <c r="R69" i="11"/>
  <c r="N3" i="11"/>
  <c r="O46" i="11"/>
  <c r="K274" i="11"/>
  <c r="O298" i="11"/>
  <c r="N173" i="11"/>
  <c r="J329" i="11"/>
  <c r="Q294" i="11"/>
  <c r="G156" i="11"/>
  <c r="G294" i="11"/>
  <c r="J126" i="11"/>
  <c r="E84" i="11"/>
  <c r="M161" i="11"/>
  <c r="M342" i="11"/>
  <c r="R147" i="11"/>
  <c r="B147" i="11"/>
  <c r="Q39" i="11"/>
  <c r="C359" i="11"/>
  <c r="O305" i="11"/>
  <c r="H229" i="11"/>
  <c r="N78" i="11"/>
  <c r="R391" i="11"/>
  <c r="J360" i="11"/>
  <c r="B214" i="11"/>
  <c r="H367" i="11"/>
  <c r="G92" i="11"/>
  <c r="E67" i="11"/>
  <c r="N393" i="11"/>
  <c r="J117" i="11"/>
  <c r="E36" i="11"/>
  <c r="D270" i="11"/>
  <c r="F311" i="11"/>
  <c r="Q379" i="11"/>
  <c r="K199" i="11"/>
  <c r="D116" i="11"/>
  <c r="C54" i="11"/>
  <c r="G173" i="11"/>
  <c r="I28" i="11"/>
  <c r="E184" i="11"/>
  <c r="C113" i="11"/>
  <c r="M63" i="11"/>
  <c r="F349" i="11"/>
  <c r="F40" i="11"/>
  <c r="B92" i="11"/>
  <c r="B196" i="11"/>
  <c r="G223" i="11"/>
  <c r="B106" i="11"/>
  <c r="R221" i="11"/>
  <c r="H388" i="11"/>
  <c r="E251" i="11"/>
  <c r="N216" i="11"/>
  <c r="K183" i="11"/>
  <c r="I326" i="11"/>
  <c r="P139" i="11"/>
  <c r="J135" i="11"/>
  <c r="E13" i="10"/>
  <c r="J300" i="11"/>
  <c r="B33" i="11"/>
  <c r="K84" i="11"/>
  <c r="N23" i="11"/>
  <c r="E80" i="11"/>
  <c r="I352" i="11"/>
  <c r="O232" i="11"/>
  <c r="Q334" i="11"/>
  <c r="L357" i="11"/>
  <c r="L214" i="11"/>
  <c r="I368" i="11"/>
  <c r="R271" i="11"/>
  <c r="G182" i="11"/>
  <c r="D327" i="11"/>
  <c r="Q245" i="11"/>
  <c r="F321" i="11"/>
  <c r="B192" i="11"/>
  <c r="I266" i="11"/>
  <c r="P13" i="11"/>
  <c r="R132" i="11"/>
  <c r="L65" i="11"/>
  <c r="Q48" i="11"/>
  <c r="L216" i="11"/>
  <c r="G37" i="9"/>
  <c r="O203" i="11"/>
  <c r="F32" i="11"/>
  <c r="J375" i="11"/>
  <c r="J67" i="11"/>
  <c r="O393" i="11"/>
  <c r="H165" i="11"/>
  <c r="O30" i="11"/>
  <c r="R378" i="11"/>
  <c r="O251" i="11"/>
  <c r="O84" i="11"/>
  <c r="I90" i="11"/>
  <c r="O195" i="11"/>
  <c r="J244" i="11"/>
  <c r="F30" i="9"/>
  <c r="I14" i="10"/>
  <c r="D132" i="11"/>
  <c r="R170" i="11"/>
  <c r="J313" i="11"/>
  <c r="Q65" i="11"/>
  <c r="L197" i="11"/>
  <c r="K160" i="11"/>
  <c r="K387" i="11"/>
  <c r="N104" i="11"/>
  <c r="F29" i="11"/>
  <c r="F35" i="9"/>
  <c r="I15" i="9"/>
  <c r="R66" i="11"/>
  <c r="K42" i="11"/>
  <c r="O356" i="11"/>
  <c r="C366" i="11"/>
  <c r="N191" i="11"/>
  <c r="D11" i="11"/>
  <c r="I84" i="11"/>
  <c r="K251" i="11"/>
  <c r="F183" i="11"/>
  <c r="F259" i="11"/>
  <c r="F44" i="8"/>
  <c r="L233" i="11"/>
  <c r="J166" i="11"/>
  <c r="D265" i="11"/>
  <c r="D376" i="11"/>
  <c r="P22" i="11"/>
  <c r="G75" i="11"/>
  <c r="R262" i="11"/>
  <c r="J61" i="11"/>
  <c r="I320" i="11"/>
  <c r="O105" i="11"/>
  <c r="C298" i="11"/>
  <c r="N266" i="11"/>
  <c r="O188" i="11"/>
  <c r="P6" i="11"/>
  <c r="G367" i="11"/>
  <c r="N388" i="11"/>
  <c r="B248" i="11"/>
  <c r="Q18" i="11"/>
  <c r="Q79" i="11"/>
  <c r="F256" i="11"/>
  <c r="O365" i="11"/>
  <c r="C65" i="11"/>
  <c r="M87" i="11"/>
  <c r="F31" i="11"/>
  <c r="B145" i="11"/>
  <c r="M208" i="11"/>
  <c r="K166" i="11"/>
  <c r="J401" i="11"/>
  <c r="M24" i="11"/>
  <c r="Q244" i="11"/>
  <c r="D275" i="11"/>
  <c r="O379" i="11"/>
  <c r="D101" i="11"/>
  <c r="J36" i="11"/>
  <c r="M284" i="11"/>
  <c r="J221" i="11"/>
  <c r="C247" i="11"/>
  <c r="K55" i="11"/>
  <c r="L52" i="11"/>
  <c r="D367" i="11"/>
  <c r="I156" i="11"/>
  <c r="M214" i="11"/>
  <c r="H16" i="10"/>
  <c r="F62" i="11"/>
  <c r="L156" i="11"/>
  <c r="J348" i="11"/>
  <c r="M384" i="11"/>
  <c r="C393" i="11"/>
  <c r="J280" i="11"/>
  <c r="R398" i="11"/>
  <c r="O257" i="11"/>
  <c r="Q326" i="11"/>
  <c r="E212" i="11"/>
  <c r="B398" i="11"/>
  <c r="L72" i="11"/>
  <c r="L104" i="11"/>
  <c r="M358" i="11"/>
  <c r="H304" i="11"/>
  <c r="N297" i="11"/>
  <c r="B287" i="11"/>
  <c r="M14" i="10"/>
  <c r="B46" i="11"/>
  <c r="M177" i="11"/>
  <c r="J354" i="11"/>
  <c r="F34" i="11"/>
  <c r="M79" i="11"/>
  <c r="J363" i="11"/>
  <c r="L172" i="11"/>
  <c r="K144" i="11"/>
  <c r="D324" i="11"/>
  <c r="J42" i="11"/>
  <c r="R39" i="11"/>
  <c r="B79" i="11"/>
  <c r="E15" i="11"/>
  <c r="C49" i="11"/>
  <c r="K72" i="11"/>
  <c r="O119" i="11"/>
  <c r="E187" i="11"/>
  <c r="G220" i="11"/>
  <c r="F302" i="11"/>
  <c r="Q246" i="11"/>
  <c r="E249" i="11"/>
  <c r="O192" i="11"/>
  <c r="K195" i="11"/>
  <c r="G57" i="11"/>
  <c r="N329" i="11"/>
  <c r="Q95" i="11"/>
  <c r="M335" i="11"/>
  <c r="C253" i="11"/>
  <c r="H141" i="11"/>
  <c r="R263" i="11"/>
  <c r="D372" i="11"/>
  <c r="K278" i="11"/>
  <c r="M370" i="11"/>
  <c r="M355" i="11"/>
  <c r="D168" i="11"/>
  <c r="L363" i="11"/>
  <c r="P175" i="11"/>
  <c r="M350" i="11"/>
  <c r="G102" i="11"/>
  <c r="K106" i="11"/>
  <c r="N81" i="11"/>
  <c r="G121" i="11"/>
  <c r="H384" i="11"/>
  <c r="I17" i="11"/>
  <c r="H266" i="11"/>
  <c r="E163" i="11"/>
  <c r="Q287" i="11"/>
  <c r="Q75" i="11"/>
  <c r="K85" i="11"/>
  <c r="Q154" i="11"/>
  <c r="D355" i="11"/>
  <c r="N111" i="11"/>
  <c r="F88" i="11"/>
  <c r="G124" i="11"/>
  <c r="R276" i="11"/>
  <c r="R49" i="11"/>
  <c r="I102" i="11"/>
  <c r="B378" i="11"/>
  <c r="E345" i="11"/>
  <c r="R293" i="11"/>
  <c r="G162" i="11"/>
  <c r="O307" i="11"/>
  <c r="N243" i="11"/>
  <c r="N148" i="11"/>
  <c r="B85" i="11"/>
  <c r="K374" i="11"/>
  <c r="B228" i="11"/>
  <c r="J134" i="11"/>
  <c r="L257" i="11"/>
  <c r="M347" i="11"/>
  <c r="B38" i="11"/>
  <c r="Q83" i="11"/>
  <c r="M206" i="11"/>
  <c r="G114" i="11"/>
  <c r="I78" i="11"/>
  <c r="R210" i="11"/>
  <c r="F262" i="11"/>
  <c r="K130" i="11"/>
  <c r="N271" i="11"/>
  <c r="L206" i="11"/>
  <c r="N279" i="11"/>
  <c r="B31" i="11"/>
  <c r="K96" i="11"/>
  <c r="I89" i="11"/>
  <c r="O56" i="11"/>
  <c r="G6" i="11"/>
  <c r="R259" i="11"/>
  <c r="N235" i="11"/>
  <c r="P198" i="11"/>
  <c r="K69" i="11"/>
  <c r="D309" i="11"/>
  <c r="H271" i="11"/>
  <c r="D322" i="11"/>
  <c r="J335" i="11"/>
  <c r="F93" i="11"/>
  <c r="M15" i="11"/>
  <c r="P370" i="11"/>
  <c r="H281" i="11"/>
  <c r="D4" i="11"/>
  <c r="K49" i="11"/>
  <c r="E356" i="11"/>
  <c r="L220" i="11"/>
  <c r="L223" i="11"/>
  <c r="P104" i="11"/>
  <c r="O76" i="11"/>
  <c r="J68" i="11"/>
  <c r="M54" i="11"/>
  <c r="K135" i="11"/>
  <c r="F80" i="11"/>
  <c r="G48" i="11"/>
  <c r="M155" i="11"/>
  <c r="I246" i="11"/>
  <c r="D138" i="11"/>
  <c r="E360" i="11"/>
  <c r="P7" i="11"/>
  <c r="M72" i="11"/>
  <c r="N132" i="11"/>
  <c r="I209" i="11"/>
  <c r="F214" i="11"/>
  <c r="G292" i="11"/>
  <c r="O99" i="11"/>
  <c r="R337" i="11"/>
  <c r="O198" i="11"/>
  <c r="P161" i="11"/>
  <c r="E333" i="11"/>
  <c r="C305" i="11"/>
  <c r="C240" i="11"/>
  <c r="P338" i="11"/>
  <c r="E393" i="11"/>
  <c r="E300" i="11"/>
  <c r="H224" i="11"/>
  <c r="C88" i="11"/>
  <c r="J91" i="11"/>
  <c r="I169" i="11"/>
  <c r="K5" i="11"/>
  <c r="N280" i="11"/>
  <c r="F169" i="11"/>
  <c r="F244" i="11"/>
  <c r="R279" i="11"/>
  <c r="I306" i="11"/>
  <c r="C296" i="11"/>
  <c r="K363" i="11"/>
  <c r="D66" i="11"/>
  <c r="P135" i="11"/>
  <c r="J129" i="11"/>
  <c r="I50" i="11"/>
  <c r="I141" i="11"/>
  <c r="K88" i="11"/>
  <c r="I177" i="11"/>
  <c r="B361" i="11"/>
  <c r="O83" i="11"/>
  <c r="H307" i="11"/>
  <c r="F29" i="9"/>
  <c r="Q174" i="11"/>
  <c r="E177" i="11"/>
  <c r="L248" i="11"/>
  <c r="I355" i="11"/>
  <c r="K283" i="11"/>
  <c r="L344" i="11"/>
  <c r="N308" i="11"/>
  <c r="G113" i="11"/>
  <c r="O164" i="11"/>
  <c r="C183" i="11"/>
  <c r="K244" i="11"/>
  <c r="E285" i="11"/>
  <c r="C100" i="11"/>
  <c r="N99" i="11"/>
  <c r="L135" i="11"/>
  <c r="O350" i="11"/>
  <c r="Q395" i="11"/>
  <c r="K9" i="10"/>
  <c r="E172" i="11"/>
  <c r="N209" i="11"/>
  <c r="K242" i="11"/>
  <c r="L98" i="11"/>
  <c r="L159" i="11"/>
  <c r="H330" i="11"/>
  <c r="F130" i="11"/>
  <c r="P32" i="11"/>
  <c r="P192" i="11"/>
  <c r="J376" i="11"/>
  <c r="O72" i="11"/>
  <c r="H16" i="11"/>
  <c r="I123" i="11"/>
  <c r="B331" i="11"/>
  <c r="M340" i="11"/>
  <c r="N204" i="11"/>
  <c r="E51" i="8"/>
  <c r="M83" i="11"/>
  <c r="I60" i="11"/>
  <c r="O184" i="11"/>
  <c r="C396" i="11"/>
  <c r="P33" i="11"/>
  <c r="K16" i="10"/>
  <c r="E376" i="11"/>
  <c r="H277" i="11"/>
  <c r="H176" i="11"/>
  <c r="I18" i="10"/>
  <c r="M74" i="11"/>
  <c r="M132" i="11"/>
  <c r="E207" i="11"/>
  <c r="F294" i="11"/>
  <c r="P61" i="11"/>
  <c r="E27" i="9"/>
  <c r="H212" i="11"/>
  <c r="J372" i="11"/>
  <c r="Q370" i="11"/>
  <c r="G88" i="11"/>
  <c r="G364" i="11"/>
  <c r="M95" i="11"/>
  <c r="J224" i="11"/>
  <c r="J160" i="11"/>
  <c r="N262" i="11"/>
  <c r="C97" i="11"/>
  <c r="E83" i="11"/>
  <c r="B402" i="11"/>
  <c r="Q269" i="11"/>
  <c r="O335" i="11"/>
  <c r="N77" i="11"/>
  <c r="C353" i="11"/>
  <c r="Q91" i="11"/>
  <c r="O114" i="11"/>
  <c r="R284" i="11"/>
  <c r="N298" i="11"/>
  <c r="P191" i="11"/>
  <c r="B144" i="11"/>
  <c r="I48" i="11"/>
  <c r="Q126" i="11"/>
  <c r="O259" i="11"/>
  <c r="B353" i="11"/>
  <c r="F54" i="11"/>
  <c r="D23" i="11"/>
  <c r="P83" i="11"/>
  <c r="R76" i="11"/>
  <c r="H88" i="11"/>
  <c r="K208" i="11"/>
  <c r="Q270" i="11"/>
  <c r="F16" i="10"/>
  <c r="R61" i="11"/>
  <c r="D59" i="11"/>
  <c r="L19" i="11"/>
  <c r="L34" i="11"/>
  <c r="H78" i="11"/>
  <c r="M9" i="10"/>
  <c r="G400" i="11"/>
  <c r="L306" i="11"/>
  <c r="O263" i="11"/>
  <c r="G313" i="11"/>
  <c r="D11" i="10"/>
  <c r="J101" i="11"/>
  <c r="P350" i="11"/>
  <c r="N199" i="11"/>
  <c r="J373" i="11"/>
  <c r="J39" i="11"/>
  <c r="J277" i="11"/>
  <c r="K299" i="11"/>
  <c r="R326" i="11"/>
  <c r="H27" i="11"/>
  <c r="J155" i="11"/>
  <c r="K288" i="11"/>
  <c r="C326" i="11"/>
  <c r="Q198" i="11"/>
  <c r="I65" i="11"/>
  <c r="M322" i="11"/>
  <c r="I40" i="11"/>
  <c r="K102" i="11"/>
  <c r="F27" i="9"/>
  <c r="C178" i="11"/>
  <c r="B102" i="11"/>
  <c r="D50" i="11"/>
  <c r="R17" i="11"/>
  <c r="H282" i="11"/>
  <c r="I10" i="10"/>
  <c r="G395" i="11"/>
  <c r="J17" i="11"/>
  <c r="L268" i="11"/>
  <c r="N223" i="11"/>
  <c r="L105" i="11"/>
  <c r="C302" i="11"/>
  <c r="H134" i="11"/>
  <c r="Q100" i="11"/>
  <c r="M233" i="11"/>
  <c r="G401" i="11"/>
  <c r="H14" i="11"/>
  <c r="L66" i="11"/>
  <c r="E186" i="11"/>
  <c r="M330" i="11"/>
  <c r="R52" i="11"/>
  <c r="I105" i="11"/>
  <c r="M112" i="11"/>
  <c r="I253" i="11"/>
  <c r="R53" i="11"/>
  <c r="K290" i="11"/>
  <c r="C246" i="11"/>
  <c r="E359" i="11"/>
  <c r="H81" i="11"/>
  <c r="B121" i="11"/>
  <c r="J10" i="11"/>
  <c r="E72" i="11"/>
  <c r="F69" i="11"/>
  <c r="G324" i="11"/>
  <c r="H298" i="11"/>
  <c r="H31" i="11"/>
  <c r="J286" i="11"/>
  <c r="C317" i="11"/>
  <c r="N105" i="11"/>
  <c r="E222" i="11"/>
  <c r="L244" i="11"/>
  <c r="P253" i="11"/>
  <c r="F18" i="11"/>
  <c r="L45" i="11"/>
  <c r="E268" i="11"/>
  <c r="B200" i="11"/>
  <c r="H227" i="11"/>
  <c r="D312" i="11"/>
  <c r="L60" i="11"/>
  <c r="F106" i="11"/>
  <c r="R143" i="11"/>
  <c r="J386" i="11"/>
  <c r="B13" i="11"/>
  <c r="L51" i="11"/>
  <c r="G61" i="11"/>
  <c r="R94" i="11"/>
  <c r="P262" i="11"/>
  <c r="O149" i="11"/>
  <c r="M381" i="11"/>
  <c r="O106" i="11"/>
  <c r="D139" i="11"/>
  <c r="D69" i="11"/>
  <c r="H47" i="11"/>
  <c r="P105" i="11"/>
  <c r="E86" i="11"/>
  <c r="D336" i="11"/>
  <c r="I91" i="11"/>
  <c r="B282" i="11"/>
  <c r="K18" i="10"/>
  <c r="I140" i="11"/>
  <c r="E178" i="11"/>
  <c r="M237" i="11"/>
  <c r="B251" i="11"/>
  <c r="G326" i="11"/>
  <c r="C267" i="11"/>
  <c r="R239" i="11"/>
  <c r="L311" i="11"/>
  <c r="Q400" i="11"/>
  <c r="K255" i="11"/>
  <c r="M310" i="11"/>
  <c r="P394" i="11"/>
  <c r="N296" i="11"/>
  <c r="L314" i="11"/>
  <c r="E392" i="11"/>
  <c r="H368" i="11"/>
  <c r="P361" i="11"/>
  <c r="J387" i="11"/>
  <c r="P189" i="11"/>
  <c r="M207" i="11"/>
  <c r="I191" i="11"/>
  <c r="G312" i="11"/>
  <c r="I212" i="11"/>
  <c r="B339" i="11"/>
  <c r="K137" i="11"/>
  <c r="N252" i="11"/>
  <c r="F151" i="11"/>
  <c r="I181" i="11"/>
  <c r="N72" i="11"/>
  <c r="L224" i="11"/>
  <c r="E35" i="11"/>
  <c r="H394" i="11"/>
  <c r="G329" i="11"/>
  <c r="L77" i="11"/>
  <c r="M396" i="11"/>
  <c r="E58" i="11"/>
  <c r="H114" i="11"/>
  <c r="Q273" i="11"/>
  <c r="M328" i="11"/>
  <c r="J97" i="11"/>
  <c r="Q19" i="11"/>
  <c r="G351" i="11"/>
  <c r="M273" i="11"/>
  <c r="I280" i="11"/>
  <c r="F53" i="11"/>
  <c r="H85" i="11"/>
  <c r="D80" i="11"/>
  <c r="H140" i="11"/>
  <c r="M71" i="11"/>
  <c r="M45" i="11"/>
  <c r="F13" i="11"/>
  <c r="J236" i="11"/>
  <c r="D244" i="11"/>
  <c r="D229" i="11"/>
  <c r="F124" i="11"/>
  <c r="J11" i="10"/>
  <c r="D97" i="11"/>
  <c r="I206" i="11"/>
  <c r="D91" i="11"/>
  <c r="D334" i="11"/>
  <c r="R386" i="11"/>
  <c r="M262" i="11"/>
  <c r="G361" i="11"/>
  <c r="G58" i="11"/>
  <c r="C32" i="11"/>
  <c r="F75" i="11"/>
  <c r="I248" i="11"/>
  <c r="G29" i="11"/>
  <c r="P37" i="11"/>
  <c r="P302" i="11"/>
  <c r="O194" i="11"/>
  <c r="F341" i="11"/>
  <c r="F91" i="11"/>
  <c r="R82" i="11"/>
  <c r="F358" i="11"/>
  <c r="G398" i="11"/>
  <c r="L196" i="11"/>
  <c r="G101" i="11"/>
  <c r="G122" i="11"/>
  <c r="G126" i="11"/>
  <c r="B142" i="11"/>
  <c r="E28" i="11"/>
  <c r="D278" i="11"/>
  <c r="K95" i="11"/>
  <c r="K15" i="11"/>
  <c r="R115" i="11"/>
  <c r="I107" i="11"/>
  <c r="Q109" i="11"/>
  <c r="F101" i="11"/>
  <c r="H22" i="11"/>
  <c r="H376" i="11"/>
  <c r="I325" i="11"/>
  <c r="B217" i="11"/>
  <c r="I145" i="11"/>
  <c r="L295" i="11"/>
  <c r="P78" i="11"/>
  <c r="H3" i="11"/>
  <c r="K161" i="11"/>
  <c r="J202" i="11"/>
  <c r="Q291" i="11"/>
  <c r="H19" i="11"/>
  <c r="J110" i="11"/>
  <c r="P233" i="11"/>
  <c r="N254" i="11"/>
  <c r="B94" i="11"/>
  <c r="L319" i="11"/>
  <c r="K124" i="11"/>
  <c r="C122" i="11"/>
  <c r="D25" i="11"/>
  <c r="L310" i="11"/>
  <c r="C177" i="11"/>
  <c r="L239" i="11"/>
  <c r="F71" i="11"/>
  <c r="C106" i="11"/>
  <c r="L26" i="11"/>
  <c r="G67" i="11"/>
  <c r="B62" i="11"/>
  <c r="C293" i="11"/>
  <c r="N175" i="11"/>
  <c r="O228" i="11"/>
  <c r="P256" i="11"/>
  <c r="K301" i="11"/>
  <c r="E164" i="11"/>
  <c r="M267" i="11"/>
  <c r="L90" i="11"/>
  <c r="F11" i="11"/>
  <c r="F370" i="11"/>
  <c r="F201" i="11"/>
  <c r="H226" i="11"/>
  <c r="Q359" i="11"/>
  <c r="J30" i="11"/>
  <c r="D76" i="11"/>
  <c r="M178" i="11"/>
  <c r="B306" i="11"/>
  <c r="H64" i="11"/>
  <c r="D113" i="11"/>
  <c r="J127" i="11"/>
  <c r="I254" i="11"/>
  <c r="I98" i="11"/>
  <c r="F221" i="11"/>
  <c r="C18" i="11"/>
  <c r="G373" i="11"/>
  <c r="G37" i="11"/>
  <c r="H144" i="11"/>
  <c r="N21" i="11"/>
  <c r="K150" i="11"/>
  <c r="F222" i="11"/>
  <c r="N149" i="11"/>
  <c r="Q111" i="11"/>
  <c r="L232" i="11"/>
  <c r="P76" i="11"/>
  <c r="D44" i="11"/>
  <c r="L10" i="10"/>
  <c r="C22" i="11"/>
  <c r="D151" i="11"/>
  <c r="M147" i="11"/>
  <c r="Q401" i="11"/>
  <c r="D362" i="11"/>
  <c r="B111" i="11"/>
  <c r="H151" i="11"/>
  <c r="Q237" i="11"/>
  <c r="F233" i="11"/>
  <c r="D337" i="11"/>
  <c r="N16" i="11"/>
  <c r="I190" i="11"/>
  <c r="L179" i="11"/>
  <c r="C136" i="11"/>
  <c r="J65" i="11"/>
  <c r="H39" i="11"/>
  <c r="K178" i="11"/>
  <c r="P286" i="11"/>
  <c r="K47" i="11"/>
  <c r="C150" i="11"/>
  <c r="C149" i="11"/>
  <c r="Q116" i="11"/>
  <c r="D118" i="11"/>
  <c r="B90" i="11"/>
  <c r="E5" i="11"/>
  <c r="R148" i="11"/>
  <c r="H45" i="11"/>
  <c r="B380" i="11"/>
  <c r="L184" i="11"/>
  <c r="J378" i="11"/>
  <c r="K159" i="11"/>
  <c r="R348" i="11"/>
  <c r="E50" i="11"/>
  <c r="N11" i="11"/>
  <c r="F159" i="11"/>
  <c r="H389" i="11"/>
  <c r="E375" i="11"/>
  <c r="G100" i="11"/>
  <c r="D96" i="11"/>
  <c r="B148" i="11"/>
  <c r="G53" i="11"/>
  <c r="C210" i="11"/>
  <c r="K98" i="11"/>
  <c r="R354" i="11"/>
  <c r="F41" i="11"/>
  <c r="P300" i="11"/>
  <c r="B130" i="11"/>
  <c r="G216" i="11"/>
  <c r="Q205" i="11"/>
  <c r="O338" i="11"/>
  <c r="R280" i="11"/>
  <c r="L302" i="11"/>
  <c r="D105" i="11"/>
  <c r="E135" i="11"/>
  <c r="G91" i="11"/>
  <c r="H299" i="11"/>
  <c r="O74" i="11"/>
  <c r="D13" i="10"/>
  <c r="G30" i="11"/>
  <c r="L326" i="11"/>
  <c r="E401" i="11"/>
  <c r="F208" i="11"/>
  <c r="C62" i="11"/>
  <c r="M283" i="11"/>
  <c r="J197" i="11"/>
  <c r="E213" i="11"/>
  <c r="I14" i="11"/>
  <c r="B61" i="11"/>
  <c r="L141" i="11"/>
  <c r="C105" i="11"/>
  <c r="Q280" i="11"/>
  <c r="B289" i="11"/>
  <c r="G83" i="11"/>
  <c r="L7" i="11"/>
  <c r="M159" i="11"/>
  <c r="O355" i="11"/>
  <c r="C28" i="9"/>
  <c r="I46" i="11"/>
  <c r="E9" i="10"/>
  <c r="C350" i="11"/>
  <c r="H35" i="11"/>
  <c r="D160" i="11"/>
  <c r="L213" i="11"/>
  <c r="G176" i="11"/>
  <c r="N66" i="11"/>
  <c r="R202" i="11"/>
  <c r="I20" i="11"/>
  <c r="M37" i="11"/>
  <c r="K17" i="11"/>
  <c r="O244" i="11"/>
  <c r="J296" i="11"/>
  <c r="G13" i="10"/>
  <c r="G152" i="11"/>
  <c r="P346" i="11"/>
  <c r="H91" i="11"/>
  <c r="B376" i="11"/>
  <c r="P109" i="11"/>
  <c r="J33" i="11"/>
  <c r="M40" i="11"/>
  <c r="K254" i="11"/>
  <c r="B14" i="11"/>
  <c r="H120" i="11"/>
  <c r="C284" i="11"/>
  <c r="M117" i="11"/>
  <c r="L136" i="11"/>
  <c r="M76" i="11"/>
  <c r="E349" i="11"/>
  <c r="I193" i="11"/>
  <c r="L131" i="11"/>
  <c r="R343" i="11"/>
  <c r="N323" i="11"/>
  <c r="N101" i="11"/>
  <c r="E23" i="11"/>
  <c r="K41" i="11"/>
  <c r="Q41" i="11"/>
  <c r="B9" i="11"/>
  <c r="L345" i="11"/>
  <c r="D260" i="11"/>
  <c r="H164" i="11"/>
  <c r="I179" i="11"/>
  <c r="D10" i="10"/>
  <c r="Q120" i="11"/>
  <c r="O160" i="11"/>
  <c r="L18" i="10"/>
  <c r="B20" i="11"/>
  <c r="E156" i="11"/>
  <c r="O33" i="11"/>
  <c r="K212" i="11"/>
  <c r="H110" i="11"/>
  <c r="H115" i="11"/>
  <c r="G300" i="11"/>
  <c r="I97" i="11"/>
  <c r="P59" i="11"/>
  <c r="D194" i="11"/>
  <c r="L208" i="11"/>
  <c r="D373" i="11"/>
  <c r="E26" i="9"/>
  <c r="L331" i="11"/>
  <c r="I15" i="11"/>
  <c r="C170" i="11"/>
  <c r="O183" i="11"/>
  <c r="D40" i="8"/>
  <c r="H92" i="11"/>
  <c r="Q68" i="11"/>
  <c r="F355" i="11"/>
  <c r="G293" i="11"/>
  <c r="O287" i="11"/>
  <c r="Q201" i="11"/>
  <c r="I63" i="11"/>
  <c r="L84" i="11"/>
  <c r="N295" i="11"/>
  <c r="D319" i="11"/>
  <c r="F114" i="11"/>
  <c r="J53" i="11"/>
  <c r="F314" i="11"/>
  <c r="G45" i="11"/>
  <c r="M320" i="11"/>
  <c r="I220" i="11"/>
  <c r="N29" i="11"/>
  <c r="K65" i="11"/>
  <c r="J341" i="11"/>
  <c r="P97" i="11"/>
  <c r="G347" i="11"/>
  <c r="N109" i="11"/>
  <c r="C110" i="11"/>
  <c r="B370" i="11"/>
  <c r="E69" i="11"/>
  <c r="I303" i="11"/>
  <c r="M269" i="11"/>
  <c r="F18" i="10"/>
  <c r="F8" i="11"/>
  <c r="Q382" i="11"/>
  <c r="L13" i="11"/>
  <c r="M213" i="11"/>
  <c r="E191" i="11"/>
  <c r="J6" i="11"/>
  <c r="E378" i="11"/>
  <c r="P127" i="11"/>
  <c r="R27" i="11"/>
  <c r="H56" i="11"/>
  <c r="J70" i="11"/>
  <c r="I322" i="11"/>
  <c r="L27" i="11"/>
  <c r="J276" i="11"/>
  <c r="C329" i="11"/>
  <c r="M123" i="11"/>
  <c r="D248" i="11"/>
  <c r="E209" i="11"/>
  <c r="J9" i="11"/>
  <c r="G200" i="11"/>
  <c r="E34" i="11"/>
  <c r="M19" i="11"/>
  <c r="O61" i="11"/>
  <c r="C73" i="11"/>
  <c r="R352" i="11"/>
  <c r="C321" i="11"/>
  <c r="D164" i="11"/>
  <c r="Q257" i="11"/>
  <c r="G180" i="11"/>
  <c r="K23" i="11"/>
  <c r="L91" i="11"/>
  <c r="J63" i="11"/>
  <c r="R68" i="11"/>
  <c r="R60" i="11"/>
  <c r="N236" i="11"/>
  <c r="C57" i="11"/>
  <c r="N50" i="11"/>
  <c r="Q316" i="11"/>
  <c r="I25" i="11"/>
  <c r="L152" i="11"/>
  <c r="C104" i="11"/>
  <c r="G38" i="11"/>
  <c r="P100" i="11"/>
  <c r="R125" i="11"/>
  <c r="C182" i="11"/>
  <c r="Q337" i="11"/>
  <c r="E263" i="11"/>
  <c r="D268" i="11"/>
  <c r="C33" i="11"/>
  <c r="E275" i="11"/>
  <c r="Q177" i="11"/>
  <c r="K12" i="10"/>
  <c r="G41" i="11"/>
  <c r="P144" i="11"/>
  <c r="M39" i="11"/>
  <c r="Q81" i="11"/>
  <c r="L222" i="11"/>
  <c r="M200" i="11"/>
  <c r="M366" i="11"/>
  <c r="E17" i="10"/>
  <c r="R55" i="11"/>
  <c r="F26" i="11"/>
  <c r="R22" i="11"/>
  <c r="M181" i="11"/>
  <c r="N63" i="11"/>
  <c r="C282" i="11"/>
  <c r="H101" i="11"/>
  <c r="H348" i="11"/>
  <c r="N49" i="11"/>
  <c r="B325" i="11"/>
  <c r="K20" i="11"/>
  <c r="I86" i="11"/>
  <c r="E52" i="11"/>
  <c r="D134" i="11"/>
  <c r="O127" i="11"/>
  <c r="G309" i="11"/>
  <c r="O64" i="11"/>
  <c r="N309" i="11"/>
  <c r="J242" i="11"/>
  <c r="Q26" i="11"/>
  <c r="F45" i="11"/>
  <c r="J337" i="11"/>
  <c r="R100" i="11"/>
  <c r="H283" i="11"/>
  <c r="D83" i="11"/>
  <c r="H4" i="11"/>
  <c r="N205" i="11"/>
  <c r="O322" i="11"/>
  <c r="N33" i="11"/>
  <c r="L294" i="11"/>
  <c r="B68" i="11"/>
  <c r="K100" i="11"/>
  <c r="F260" i="11"/>
  <c r="K382" i="11"/>
  <c r="Q55" i="11"/>
  <c r="B139" i="11"/>
  <c r="R12" i="11"/>
  <c r="J52" i="11"/>
  <c r="R167" i="11"/>
  <c r="L37" i="11"/>
  <c r="H46" i="11"/>
  <c r="B222" i="11"/>
  <c r="D196" i="11"/>
  <c r="P150" i="11"/>
  <c r="G310" i="11"/>
  <c r="R79" i="11"/>
  <c r="B267" i="11"/>
  <c r="F199" i="11"/>
  <c r="M248" i="11"/>
  <c r="I399" i="11"/>
  <c r="N90" i="11"/>
  <c r="I41" i="11"/>
  <c r="F154" i="11"/>
  <c r="I330" i="11"/>
  <c r="B87" i="11"/>
  <c r="G8" i="11"/>
  <c r="J252" i="11"/>
  <c r="E348" i="11"/>
  <c r="N10" i="11"/>
  <c r="H10" i="10"/>
  <c r="R92" i="11"/>
  <c r="D353" i="11"/>
  <c r="C339" i="11"/>
  <c r="I129" i="11"/>
  <c r="E90" i="11"/>
  <c r="I51" i="11"/>
  <c r="R99" i="11"/>
  <c r="H222" i="11"/>
  <c r="J288" i="11"/>
  <c r="E366" i="11"/>
  <c r="G11" i="11"/>
  <c r="B342" i="11"/>
  <c r="D340" i="11"/>
  <c r="O348" i="11"/>
  <c r="R123" i="11"/>
  <c r="E101" i="11"/>
  <c r="L150" i="11"/>
  <c r="D256" i="11"/>
  <c r="P141" i="11"/>
  <c r="K158" i="11"/>
  <c r="E387" i="11"/>
  <c r="D75" i="11"/>
  <c r="B50" i="11"/>
  <c r="G64" i="11"/>
  <c r="J325" i="11"/>
  <c r="Q23" i="11"/>
  <c r="J12" i="10"/>
  <c r="J390" i="11"/>
  <c r="L340" i="11"/>
  <c r="I128" i="11"/>
  <c r="J241" i="11"/>
  <c r="E87" i="11"/>
  <c r="J54" i="11"/>
  <c r="I268" i="11"/>
  <c r="L336" i="11"/>
  <c r="I241" i="11"/>
  <c r="J128" i="11"/>
  <c r="O57" i="11"/>
  <c r="D173" i="11"/>
  <c r="E274" i="11"/>
  <c r="I160" i="11"/>
  <c r="Q54" i="11"/>
  <c r="Q35" i="11"/>
  <c r="Q212" i="11"/>
  <c r="C295" i="11"/>
  <c r="O18" i="11"/>
  <c r="H79" i="11"/>
  <c r="D204" i="11"/>
  <c r="Q229" i="11"/>
  <c r="L88" i="11"/>
  <c r="R278" i="11"/>
  <c r="M15" i="10"/>
  <c r="D375" i="11"/>
  <c r="Q281" i="11"/>
  <c r="Q58" i="11"/>
  <c r="I313" i="11"/>
  <c r="G24" i="11"/>
  <c r="C76" i="11"/>
  <c r="K115" i="11"/>
  <c r="N383" i="11"/>
  <c r="D63" i="11"/>
  <c r="G138" i="11"/>
  <c r="F375" i="11"/>
  <c r="R187" i="11"/>
  <c r="F269" i="11"/>
  <c r="J4" i="11"/>
  <c r="E159" i="11"/>
  <c r="P112" i="11"/>
  <c r="P221" i="11"/>
  <c r="E61" i="11"/>
  <c r="O11" i="11"/>
  <c r="L106" i="11"/>
  <c r="O214" i="11"/>
  <c r="J243" i="11"/>
  <c r="F300" i="11"/>
  <c r="L391" i="11"/>
  <c r="B260" i="11"/>
  <c r="D181" i="11"/>
  <c r="K378" i="11"/>
  <c r="P27" i="11"/>
  <c r="M243" i="11"/>
  <c r="C161" i="11"/>
  <c r="B195" i="11"/>
  <c r="E227" i="11"/>
  <c r="E181" i="11"/>
  <c r="B34" i="11"/>
  <c r="M82" i="11"/>
  <c r="M21" i="11"/>
  <c r="M142" i="11"/>
  <c r="E18" i="11"/>
  <c r="B127" i="11"/>
  <c r="N32" i="11"/>
  <c r="H255" i="11"/>
  <c r="O172" i="11"/>
  <c r="K201" i="11"/>
  <c r="F3" i="11"/>
  <c r="E29" i="11"/>
  <c r="K82" i="11"/>
  <c r="C373" i="11"/>
  <c r="F216" i="11"/>
  <c r="L394" i="11"/>
  <c r="N197" i="11"/>
  <c r="C250" i="11"/>
  <c r="F288" i="11"/>
  <c r="O102" i="11"/>
  <c r="M339" i="11"/>
  <c r="O358" i="11"/>
  <c r="N18" i="11"/>
  <c r="P268" i="11"/>
  <c r="J377" i="11"/>
  <c r="K147" i="11"/>
  <c r="E205" i="11"/>
  <c r="M238" i="11"/>
  <c r="P399" i="11"/>
  <c r="I131" i="11"/>
  <c r="G36" i="11"/>
  <c r="P210" i="11"/>
  <c r="K80" i="11"/>
  <c r="M241" i="11"/>
  <c r="B70" i="11"/>
  <c r="O268" i="11"/>
  <c r="P226" i="11"/>
  <c r="N300" i="11"/>
  <c r="B239" i="11"/>
  <c r="D189" i="11"/>
  <c r="K362" i="11"/>
  <c r="L43" i="11"/>
  <c r="J62" i="11"/>
  <c r="H99" i="11"/>
  <c r="G117" i="11"/>
  <c r="I263" i="11"/>
  <c r="J292" i="11"/>
  <c r="O69" i="11"/>
  <c r="Q71" i="11"/>
  <c r="D112" i="11"/>
  <c r="F61" i="11"/>
  <c r="J49" i="11"/>
  <c r="R109" i="11"/>
  <c r="B277" i="11"/>
  <c r="M173" i="11"/>
  <c r="E127" i="11"/>
  <c r="L236" i="11"/>
  <c r="J289" i="11"/>
  <c r="B146" i="11"/>
  <c r="N327" i="11"/>
  <c r="J45" i="11"/>
  <c r="L227" i="11"/>
  <c r="H38" i="11"/>
  <c r="C119" i="11"/>
  <c r="D328" i="11"/>
  <c r="C397" i="11"/>
  <c r="G41" i="8"/>
  <c r="K263" i="11"/>
  <c r="N9" i="11"/>
  <c r="D108" i="11"/>
  <c r="F384" i="11"/>
  <c r="O65" i="11"/>
  <c r="P287" i="11"/>
  <c r="F337" i="11"/>
  <c r="K118" i="11"/>
  <c r="P232" i="11"/>
  <c r="Q59" i="11"/>
  <c r="K177" i="11"/>
  <c r="H272" i="11"/>
  <c r="M127" i="11"/>
  <c r="Q218" i="11"/>
  <c r="F121" i="11"/>
  <c r="O398" i="11"/>
  <c r="F211" i="11"/>
  <c r="O77" i="11"/>
  <c r="I87" i="11"/>
  <c r="D273" i="11"/>
  <c r="N130" i="11"/>
  <c r="G93" i="11"/>
  <c r="H83" i="11"/>
  <c r="H75" i="11"/>
  <c r="C236" i="11"/>
  <c r="C334" i="11"/>
  <c r="M98" i="11"/>
  <c r="N58" i="11"/>
  <c r="P69" i="11"/>
  <c r="P274" i="11"/>
  <c r="E100" i="11"/>
  <c r="O383" i="11"/>
  <c r="D314" i="11"/>
  <c r="E340" i="11"/>
  <c r="G159" i="11"/>
  <c r="Q238" i="11"/>
  <c r="K184" i="11"/>
  <c r="Q220" i="11"/>
  <c r="C44" i="11"/>
  <c r="H153" i="11"/>
  <c r="K259" i="11"/>
  <c r="G28" i="9"/>
  <c r="J364" i="11"/>
  <c r="N73" i="11"/>
  <c r="O126" i="11"/>
  <c r="H395" i="11"/>
  <c r="J302" i="11"/>
  <c r="D176" i="11"/>
  <c r="R111" i="11"/>
  <c r="E10" i="11"/>
  <c r="M180" i="11"/>
  <c r="M311" i="11"/>
  <c r="B4" i="11"/>
  <c r="C159" i="11"/>
  <c r="R18" i="11"/>
  <c r="M80" i="11"/>
  <c r="D284" i="11"/>
  <c r="M236" i="11"/>
  <c r="K188" i="11"/>
  <c r="R205" i="11"/>
  <c r="M313" i="11"/>
  <c r="B11" i="11"/>
  <c r="E55" i="11"/>
  <c r="H95" i="11"/>
  <c r="J260" i="11"/>
  <c r="M354" i="11"/>
  <c r="G343" i="11"/>
  <c r="N360" i="11"/>
  <c r="H185" i="11"/>
  <c r="R41" i="11"/>
  <c r="B93" i="11"/>
  <c r="G307" i="11"/>
  <c r="C28" i="11"/>
  <c r="O80" i="11"/>
  <c r="G48" i="8"/>
  <c r="E236" i="11"/>
  <c r="R62" i="11"/>
  <c r="G12" i="11"/>
  <c r="P159" i="11"/>
  <c r="P129" i="11"/>
  <c r="F267" i="11"/>
  <c r="E92" i="11"/>
  <c r="M88" i="11"/>
  <c r="F72" i="11"/>
  <c r="D398" i="11"/>
  <c r="I245" i="11"/>
  <c r="B307" i="11"/>
  <c r="E296" i="11"/>
  <c r="L234" i="11"/>
  <c r="G177" i="11"/>
  <c r="D237" i="11"/>
  <c r="F37" i="11"/>
  <c r="F24" i="11"/>
  <c r="K258" i="11"/>
  <c r="H225" i="11"/>
  <c r="I230" i="11"/>
  <c r="E48" i="11"/>
  <c r="H166" i="11"/>
  <c r="M402" i="11"/>
  <c r="R267" i="11"/>
  <c r="B201" i="11"/>
  <c r="C64" i="11"/>
  <c r="C288" i="11"/>
  <c r="P209" i="11"/>
  <c r="B81" i="11"/>
  <c r="K134" i="11"/>
  <c r="K355" i="11"/>
  <c r="I144" i="11"/>
  <c r="N42" i="11"/>
  <c r="C153" i="11"/>
  <c r="N190" i="11"/>
  <c r="K339" i="11"/>
  <c r="I62" i="11"/>
  <c r="E95" i="11"/>
  <c r="H29" i="11"/>
  <c r="J5" i="11"/>
  <c r="R131" i="11"/>
  <c r="D28" i="11"/>
  <c r="P117" i="11"/>
  <c r="E314" i="11"/>
  <c r="I249" i="11"/>
  <c r="P53" i="11"/>
  <c r="D18" i="11"/>
  <c r="E31" i="11"/>
  <c r="Q119" i="11"/>
  <c r="R35" i="11"/>
  <c r="B211" i="11"/>
  <c r="I10" i="11"/>
  <c r="I289" i="11"/>
  <c r="C155" i="11"/>
  <c r="F79" i="11"/>
  <c r="K14" i="10"/>
  <c r="B60" i="11"/>
  <c r="D52" i="11"/>
  <c r="D34" i="11"/>
  <c r="M13" i="10"/>
  <c r="O360" i="11"/>
  <c r="H48" i="11"/>
  <c r="J206" i="11"/>
  <c r="G282" i="11"/>
  <c r="B52" i="11"/>
  <c r="G267" i="11"/>
  <c r="R81" i="11"/>
  <c r="Q43" i="11"/>
  <c r="C103" i="11"/>
  <c r="K213" i="11"/>
  <c r="D88" i="11"/>
  <c r="L365" i="11"/>
  <c r="J27" i="11"/>
  <c r="P87" i="11"/>
  <c r="F137" i="11"/>
  <c r="O340" i="11"/>
  <c r="R251" i="11"/>
  <c r="G35" i="9"/>
  <c r="E246" i="11"/>
  <c r="R340" i="11"/>
  <c r="Q277" i="11"/>
  <c r="K57" i="11"/>
  <c r="P238" i="11"/>
  <c r="R126" i="11"/>
  <c r="M140" i="11"/>
  <c r="G3" i="11"/>
  <c r="D98" i="11"/>
  <c r="G98" i="11"/>
  <c r="L283" i="11"/>
  <c r="R244" i="11"/>
  <c r="N30" i="11"/>
  <c r="I265" i="11"/>
  <c r="O182" i="11"/>
  <c r="G247" i="11"/>
  <c r="M106" i="11"/>
  <c r="D127" i="11"/>
  <c r="E152" i="11"/>
  <c r="Q202" i="11"/>
  <c r="D103" i="11"/>
  <c r="B128" i="11"/>
  <c r="N65" i="11"/>
  <c r="P390" i="11"/>
  <c r="E162" i="11"/>
  <c r="N307" i="11"/>
  <c r="C165" i="11"/>
  <c r="K141" i="11"/>
  <c r="Q125" i="11"/>
  <c r="I111" i="11"/>
  <c r="E14" i="10"/>
  <c r="F399" i="11"/>
  <c r="N67" i="11"/>
  <c r="Q378" i="11"/>
  <c r="F140" i="11"/>
  <c r="D26" i="11"/>
  <c r="E116" i="11"/>
  <c r="M255" i="11"/>
  <c r="F51" i="8"/>
  <c r="I117" i="11"/>
  <c r="L17" i="10"/>
  <c r="K126" i="11"/>
  <c r="B123" i="11"/>
  <c r="B78" i="11"/>
  <c r="Q70" i="11"/>
  <c r="D184" i="11"/>
  <c r="B387" i="11"/>
  <c r="B55" i="11"/>
  <c r="O109" i="11"/>
  <c r="C96" i="11"/>
  <c r="E208" i="11"/>
  <c r="G384" i="11"/>
  <c r="C37" i="11"/>
  <c r="Q25" i="11"/>
  <c r="F56" i="11"/>
  <c r="E74" i="11"/>
  <c r="K149" i="11"/>
  <c r="K12" i="11"/>
  <c r="D156" i="11"/>
  <c r="L119" i="11"/>
  <c r="M77" i="11"/>
  <c r="K71" i="11"/>
  <c r="J213" i="11"/>
  <c r="R77" i="11"/>
  <c r="Q169" i="11"/>
  <c r="G30" i="9"/>
  <c r="O371" i="11"/>
  <c r="B112" i="11"/>
  <c r="L122" i="11"/>
  <c r="G206" i="11"/>
  <c r="R157" i="11"/>
  <c r="M104" i="11"/>
  <c r="J203" i="11"/>
  <c r="O101" i="11"/>
  <c r="G68" i="11"/>
  <c r="N70" i="11"/>
  <c r="D100" i="11"/>
  <c r="G402" i="11"/>
  <c r="D20" i="11"/>
  <c r="O132" i="11"/>
  <c r="E27" i="11"/>
  <c r="I31" i="11"/>
  <c r="O353" i="11"/>
  <c r="D400" i="11"/>
  <c r="O41" i="11"/>
  <c r="R320" i="11"/>
  <c r="Q14" i="11"/>
  <c r="F226" i="11"/>
  <c r="F82" i="11"/>
  <c r="K321" i="11"/>
  <c r="Q199" i="11"/>
  <c r="H369" i="11"/>
  <c r="R93" i="11"/>
  <c r="P133" i="11"/>
  <c r="J84" i="11"/>
  <c r="M190" i="11"/>
  <c r="K371" i="11"/>
  <c r="C376" i="11"/>
  <c r="R121" i="11"/>
  <c r="P318" i="11"/>
  <c r="G72" i="11"/>
  <c r="E138" i="11"/>
  <c r="F385" i="11"/>
  <c r="G195" i="11"/>
  <c r="Q180" i="11"/>
  <c r="F153" i="11"/>
  <c r="P156" i="11"/>
  <c r="E8" i="11"/>
  <c r="L11" i="10"/>
  <c r="C390" i="11"/>
  <c r="M26" i="11"/>
  <c r="C333" i="11"/>
  <c r="I79" i="11"/>
  <c r="O3" i="11"/>
  <c r="D365" i="11"/>
  <c r="Q347" i="11"/>
  <c r="R299" i="11"/>
  <c r="E132" i="11"/>
  <c r="O181" i="11"/>
  <c r="C256" i="11"/>
  <c r="L42" i="11"/>
  <c r="M99" i="11"/>
  <c r="B394" i="11"/>
  <c r="P320" i="11"/>
  <c r="G264" i="11"/>
  <c r="D51" i="8"/>
  <c r="E75" i="11"/>
  <c r="F51" i="11"/>
  <c r="D255" i="11"/>
  <c r="H184" i="11"/>
  <c r="K114" i="11"/>
  <c r="H311" i="11"/>
  <c r="M184" i="11"/>
  <c r="C260" i="11"/>
  <c r="E46" i="11"/>
  <c r="Q171" i="11"/>
  <c r="Q92" i="11"/>
  <c r="H218" i="11"/>
  <c r="F316" i="11"/>
  <c r="M160" i="11"/>
  <c r="K276" i="11"/>
  <c r="C371" i="11"/>
  <c r="K97" i="11"/>
  <c r="K26" i="11"/>
  <c r="E389" i="11"/>
  <c r="I67" i="11"/>
  <c r="G49" i="11"/>
  <c r="R25" i="11"/>
  <c r="J223" i="11"/>
  <c r="G299" i="11"/>
  <c r="B381" i="11"/>
  <c r="Q346" i="11"/>
  <c r="O128" i="11"/>
  <c r="N311" i="11"/>
  <c r="E12" i="11"/>
  <c r="I173" i="11"/>
  <c r="C20" i="9"/>
  <c r="H269" i="11"/>
  <c r="M199" i="11"/>
  <c r="F264" i="11"/>
  <c r="K336" i="11"/>
  <c r="Q344" i="11"/>
  <c r="D14" i="10"/>
  <c r="Q98" i="11"/>
  <c r="Q282" i="11"/>
  <c r="P3" i="11"/>
  <c r="R89" i="11"/>
  <c r="P130" i="11"/>
  <c r="N238" i="11"/>
  <c r="O288" i="11"/>
  <c r="J131" i="11"/>
  <c r="G5" i="11"/>
  <c r="M133" i="11"/>
  <c r="C157" i="11"/>
  <c r="Q66" i="11"/>
  <c r="I11" i="10"/>
  <c r="C81" i="11"/>
  <c r="J255" i="11"/>
  <c r="R223" i="11"/>
  <c r="F122" i="11"/>
  <c r="P386" i="11"/>
  <c r="R33" i="11"/>
  <c r="G189" i="11"/>
  <c r="J344" i="11"/>
  <c r="J89" i="11"/>
  <c r="E39" i="11"/>
  <c r="I270" i="11"/>
  <c r="E22" i="11"/>
  <c r="P257" i="11"/>
  <c r="L23" i="11"/>
  <c r="C352" i="11"/>
  <c r="R335" i="11"/>
  <c r="D258" i="11"/>
  <c r="I24" i="11"/>
  <c r="K131" i="11"/>
  <c r="M217" i="11"/>
  <c r="D21" i="11"/>
  <c r="L254" i="11"/>
  <c r="Q90" i="11"/>
  <c r="P162" i="11"/>
  <c r="D16" i="10"/>
  <c r="B183" i="11"/>
  <c r="F14" i="11"/>
  <c r="E395" i="11"/>
  <c r="E328" i="11"/>
  <c r="G199" i="11"/>
  <c r="O22" i="11"/>
  <c r="E24" i="11"/>
  <c r="C336" i="11"/>
  <c r="K146" i="11"/>
  <c r="E297" i="11"/>
  <c r="O85" i="11"/>
  <c r="D361" i="11"/>
  <c r="Q28" i="11"/>
  <c r="D42" i="11"/>
  <c r="G44" i="11"/>
  <c r="B29" i="11"/>
  <c r="F57" i="11"/>
  <c r="H86" i="11"/>
  <c r="G157" i="11"/>
  <c r="E26" i="11"/>
  <c r="P151" i="11"/>
  <c r="O54" i="11"/>
  <c r="C55" i="11"/>
  <c r="B395" i="11"/>
  <c r="C39" i="11"/>
  <c r="H347" i="11"/>
  <c r="P86" i="11"/>
  <c r="K52" i="11"/>
  <c r="E272" i="11"/>
  <c r="F281" i="11"/>
  <c r="K348" i="11"/>
  <c r="Q298" i="11"/>
  <c r="B30" i="11"/>
  <c r="Q181" i="11"/>
  <c r="B368" i="11"/>
  <c r="O38" i="11"/>
  <c r="N38" i="11"/>
  <c r="D27" i="11"/>
  <c r="D95" i="11"/>
  <c r="L71" i="11"/>
  <c r="R28" i="11"/>
  <c r="H9" i="10"/>
  <c r="G210" i="11"/>
  <c r="L380" i="11"/>
  <c r="O321" i="11"/>
  <c r="H11" i="10"/>
  <c r="D61" i="11"/>
  <c r="C237" i="11"/>
  <c r="Q139" i="11"/>
  <c r="M3" i="11"/>
  <c r="N14" i="11"/>
  <c r="N336" i="11"/>
  <c r="R44" i="11"/>
  <c r="L20" i="11"/>
  <c r="M103" i="11"/>
  <c r="F195" i="11"/>
  <c r="G198" i="11"/>
  <c r="H97" i="11"/>
  <c r="D321" i="11"/>
  <c r="L35" i="11"/>
  <c r="G97" i="11"/>
  <c r="M101" i="11"/>
  <c r="E165" i="11"/>
  <c r="C14" i="11"/>
  <c r="L44" i="11"/>
  <c r="M110" i="11"/>
  <c r="E239" i="11"/>
  <c r="C191" i="11"/>
  <c r="I42" i="11"/>
  <c r="J12" i="11"/>
  <c r="M20" i="11"/>
  <c r="R286" i="11"/>
  <c r="H122" i="11"/>
  <c r="C45" i="11"/>
  <c r="R6" i="11"/>
  <c r="K241" i="11"/>
  <c r="G196" i="11"/>
  <c r="K225" i="11"/>
  <c r="R67" i="11"/>
  <c r="D141" i="11"/>
  <c r="Q16" i="11"/>
  <c r="L16" i="11"/>
  <c r="F360" i="11"/>
  <c r="Q221" i="11"/>
  <c r="C108" i="11"/>
  <c r="F298" i="11"/>
  <c r="P79" i="11"/>
  <c r="R240" i="11"/>
  <c r="B279" i="11"/>
  <c r="F142" i="11"/>
  <c r="I94" i="11"/>
  <c r="D93" i="11"/>
  <c r="P94" i="11"/>
  <c r="I207" i="11"/>
  <c r="L322" i="11"/>
  <c r="E374" i="11"/>
  <c r="D64" i="11"/>
  <c r="N138" i="11"/>
  <c r="L50" i="11"/>
  <c r="L361" i="11"/>
  <c r="B22" i="11"/>
  <c r="N196" i="11"/>
  <c r="O51" i="11"/>
  <c r="O104" i="11"/>
  <c r="N292" i="11"/>
  <c r="E82" i="11"/>
  <c r="P244" i="11"/>
  <c r="D317" i="11"/>
  <c r="F5" i="11"/>
  <c r="J381" i="11"/>
  <c r="Q57" i="11"/>
  <c r="D286" i="11"/>
  <c r="K81" i="11"/>
  <c r="H251" i="11"/>
  <c r="J220" i="11"/>
  <c r="H236" i="11"/>
  <c r="O125" i="11"/>
  <c r="D12" i="10"/>
  <c r="P203" i="11"/>
  <c r="Q33" i="11"/>
  <c r="J261" i="11"/>
  <c r="E45" i="11"/>
  <c r="D145" i="11"/>
  <c r="K305" i="11"/>
  <c r="B12" i="11"/>
  <c r="H324" i="11"/>
  <c r="N98" i="11"/>
  <c r="G224" i="11"/>
  <c r="I172" i="11"/>
  <c r="O66" i="11"/>
  <c r="O146" i="11"/>
  <c r="E310" i="11"/>
  <c r="P11" i="11"/>
  <c r="C58" i="11"/>
  <c r="D32" i="11"/>
  <c r="E98" i="11"/>
  <c r="N214" i="11"/>
  <c r="M315" i="11"/>
  <c r="I359" i="11"/>
  <c r="C369" i="11"/>
  <c r="G56" i="11"/>
  <c r="G21" i="11"/>
  <c r="D240" i="11"/>
  <c r="F112" i="11"/>
  <c r="B117" i="11"/>
  <c r="D201" i="11"/>
  <c r="Q52" i="11"/>
  <c r="F317" i="11"/>
  <c r="H249" i="11"/>
  <c r="O344" i="11"/>
  <c r="N259" i="11"/>
  <c r="M216" i="11"/>
  <c r="F43" i="11"/>
  <c r="H270" i="11"/>
  <c r="I54" i="11"/>
  <c r="E106" i="11"/>
  <c r="O82" i="11"/>
  <c r="E221" i="11"/>
  <c r="P39" i="11"/>
  <c r="I329" i="11"/>
  <c r="L15" i="10"/>
  <c r="J124" i="11"/>
  <c r="P30" i="11"/>
  <c r="Q351" i="11"/>
  <c r="K295" i="11"/>
  <c r="I162" i="11"/>
  <c r="E364" i="11"/>
  <c r="D217" i="11"/>
  <c r="C310" i="11"/>
  <c r="Q193" i="11"/>
  <c r="P145" i="11"/>
  <c r="C25" i="11"/>
  <c r="G276" i="11"/>
  <c r="N154" i="11"/>
  <c r="N376" i="11"/>
  <c r="Q318" i="11"/>
  <c r="C141" i="11"/>
  <c r="B335" i="11"/>
  <c r="N226" i="11"/>
  <c r="D165" i="11"/>
  <c r="G154" i="11"/>
  <c r="R140" i="11"/>
  <c r="C50" i="11"/>
  <c r="O302" i="11"/>
  <c r="H397" i="11"/>
  <c r="P111" i="11"/>
  <c r="M151" i="11"/>
  <c r="N335" i="11"/>
  <c r="M265" i="11"/>
  <c r="Q88" i="11"/>
  <c r="H104" i="11"/>
  <c r="F162" i="11"/>
  <c r="C211" i="11"/>
  <c r="E64" i="11"/>
  <c r="D289" i="11"/>
  <c r="G108" i="11"/>
  <c r="L202" i="11"/>
  <c r="R281" i="11"/>
  <c r="E198" i="11"/>
  <c r="J3" i="11"/>
  <c r="L57" i="11"/>
  <c r="E63" i="11"/>
  <c r="Q183" i="11"/>
  <c r="F255" i="11"/>
  <c r="O48" i="11"/>
  <c r="N273" i="11"/>
  <c r="Q87" i="11"/>
  <c r="K7" i="11"/>
  <c r="R196" i="11"/>
  <c r="I257" i="11"/>
  <c r="K112" i="11"/>
  <c r="D79" i="11"/>
  <c r="E155" i="11"/>
  <c r="J145" i="11"/>
  <c r="B397" i="11"/>
  <c r="H41" i="11"/>
  <c r="D329" i="11"/>
  <c r="R216" i="11"/>
  <c r="K287" i="11"/>
  <c r="C391" i="11"/>
  <c r="D85" i="11"/>
  <c r="O27" i="11"/>
  <c r="J167" i="11"/>
  <c r="J217" i="11"/>
  <c r="N8" i="11"/>
  <c r="R252" i="11"/>
  <c r="B296" i="11"/>
  <c r="P163" i="11"/>
  <c r="M129" i="11"/>
  <c r="B83" i="11"/>
  <c r="B385" i="11"/>
  <c r="F218" i="11"/>
  <c r="O327" i="11"/>
  <c r="E150" i="11"/>
  <c r="P372" i="11"/>
  <c r="Q178" i="11"/>
  <c r="F48" i="11"/>
  <c r="Q105" i="11"/>
  <c r="P205" i="11"/>
  <c r="I203" i="11"/>
  <c r="D109" i="11"/>
  <c r="Q94" i="11"/>
  <c r="R54" i="11"/>
  <c r="B19" i="11"/>
  <c r="R370" i="11"/>
  <c r="Q258" i="11"/>
  <c r="N313" i="11"/>
  <c r="G59" i="11"/>
  <c r="J176" i="11"/>
  <c r="N256" i="11"/>
  <c r="H107" i="11"/>
  <c r="F66" i="11"/>
  <c r="F188" i="11"/>
  <c r="B165" i="11"/>
  <c r="F194" i="11"/>
  <c r="B160" i="11"/>
  <c r="F90" i="11"/>
  <c r="K148" i="11"/>
  <c r="F400" i="11"/>
  <c r="Q195" i="11"/>
  <c r="C132" i="11"/>
  <c r="R105" i="11"/>
  <c r="J14" i="10"/>
  <c r="O138" i="11"/>
  <c r="I13" i="10"/>
  <c r="O199" i="11"/>
  <c r="L14" i="10"/>
  <c r="O116" i="11"/>
  <c r="E10" i="10"/>
  <c r="I43" i="11"/>
  <c r="H294" i="11"/>
  <c r="Q31" i="11"/>
  <c r="J163" i="11"/>
  <c r="E195" i="11"/>
  <c r="C370" i="11"/>
  <c r="O343" i="11"/>
  <c r="L243" i="11"/>
  <c r="M93" i="11"/>
  <c r="E323" i="11"/>
  <c r="I226" i="11"/>
  <c r="I374" i="11"/>
  <c r="D114" i="11"/>
  <c r="O224" i="11"/>
  <c r="L36" i="11"/>
  <c r="H143" i="11"/>
  <c r="M35" i="11"/>
  <c r="H32" i="11"/>
  <c r="B57" i="11"/>
  <c r="Q97" i="11"/>
  <c r="B65" i="11"/>
  <c r="P36" i="11"/>
  <c r="K346" i="11"/>
  <c r="O159" i="11"/>
  <c r="D155" i="11"/>
  <c r="L10" i="11"/>
  <c r="M10" i="11"/>
  <c r="D39" i="11"/>
  <c r="J17" i="10"/>
  <c r="K121" i="11"/>
  <c r="O36" i="11"/>
  <c r="N53" i="11"/>
  <c r="C92" i="11"/>
  <c r="K25" i="11"/>
  <c r="P296" i="11"/>
  <c r="P44" i="11"/>
  <c r="F104" i="11"/>
  <c r="M242" i="11"/>
  <c r="P227" i="11"/>
  <c r="L3" i="11"/>
  <c r="R70" i="11"/>
  <c r="D18" i="9"/>
  <c r="R257" i="11"/>
  <c r="C70" i="11"/>
  <c r="G69" i="11"/>
  <c r="L87" i="11"/>
  <c r="L373" i="11"/>
  <c r="L68" i="11"/>
  <c r="Q288" i="11"/>
  <c r="O218" i="11"/>
  <c r="G109" i="11"/>
  <c r="N43" i="11"/>
  <c r="B75" i="11"/>
  <c r="M119" i="11"/>
  <c r="R36" i="11"/>
  <c r="B191" i="11"/>
  <c r="E47" i="11"/>
  <c r="Q309" i="11"/>
  <c r="R256" i="11"/>
  <c r="I108" i="11"/>
  <c r="J264" i="11"/>
  <c r="L28" i="11"/>
  <c r="B245" i="11"/>
  <c r="C90" i="11"/>
  <c r="I236" i="11"/>
  <c r="M234" i="11"/>
  <c r="N48" i="11"/>
  <c r="G150" i="11"/>
  <c r="M14" i="11"/>
  <c r="Q49" i="11"/>
  <c r="F344" i="11"/>
  <c r="C12" i="11"/>
  <c r="E188" i="11"/>
  <c r="L118" i="11"/>
  <c r="B171" i="11"/>
  <c r="N46" i="11"/>
  <c r="P378" i="11"/>
  <c r="Q292" i="11"/>
  <c r="G28" i="11"/>
  <c r="B166" i="11"/>
  <c r="M78" i="11"/>
  <c r="I12" i="11"/>
  <c r="L79" i="11"/>
  <c r="Q51" i="11"/>
  <c r="Q275" i="11"/>
  <c r="K46" i="11"/>
  <c r="F318" i="11"/>
  <c r="L165" i="11"/>
  <c r="O92" i="11"/>
  <c r="M48" i="11"/>
  <c r="O367" i="11"/>
  <c r="N85" i="11"/>
  <c r="Q27" i="11"/>
  <c r="H109" i="11"/>
  <c r="R333" i="11"/>
  <c r="E287" i="11"/>
  <c r="D231" i="11"/>
  <c r="N19" i="11"/>
  <c r="I339" i="11"/>
  <c r="C168" i="11"/>
  <c r="F219" i="11"/>
  <c r="I12" i="9"/>
  <c r="C101" i="11"/>
  <c r="D77" i="11"/>
  <c r="L367" i="11"/>
  <c r="N122" i="11"/>
  <c r="B45" i="11"/>
  <c r="B346" i="11"/>
  <c r="J22" i="11"/>
  <c r="H345" i="11"/>
  <c r="I76" i="11"/>
  <c r="E102" i="11"/>
  <c r="I120" i="11"/>
  <c r="F38" i="11"/>
  <c r="N361" i="11"/>
  <c r="G171" i="11"/>
  <c r="D17" i="10"/>
  <c r="B7" i="11"/>
  <c r="C347" i="11"/>
  <c r="C216" i="11"/>
  <c r="E321" i="11"/>
  <c r="M375" i="11"/>
  <c r="E16" i="11"/>
  <c r="N143" i="11"/>
  <c r="N120" i="11"/>
  <c r="R265" i="11"/>
  <c r="C34" i="9"/>
  <c r="B272" i="11"/>
  <c r="E158" i="11"/>
  <c r="C212" i="11"/>
  <c r="H30" i="11"/>
  <c r="O137" i="11"/>
  <c r="P400" i="11"/>
  <c r="L217" i="11"/>
  <c r="R323" i="11"/>
  <c r="G145" i="11"/>
  <c r="K322" i="11"/>
  <c r="K281" i="11"/>
  <c r="C221" i="11"/>
  <c r="P277" i="11"/>
  <c r="O316" i="11"/>
  <c r="P359" i="11"/>
  <c r="P263" i="11"/>
  <c r="C60" i="11"/>
  <c r="P24" i="11"/>
  <c r="H211" i="11"/>
  <c r="J324" i="11"/>
  <c r="N362" i="11"/>
  <c r="J265" i="11"/>
  <c r="Q46" i="11"/>
  <c r="Q254" i="11"/>
  <c r="K189" i="11"/>
  <c r="K367" i="11"/>
  <c r="I124" i="11"/>
  <c r="N161" i="11"/>
  <c r="F345" i="11"/>
  <c r="L293" i="11"/>
  <c r="I9" i="10"/>
  <c r="F42" i="11"/>
  <c r="M30" i="11"/>
  <c r="C218" i="11"/>
  <c r="D71" i="11"/>
  <c r="P303" i="11"/>
  <c r="J69" i="11"/>
  <c r="F131" i="11"/>
  <c r="I387" i="11"/>
  <c r="O317" i="11"/>
  <c r="L317" i="11"/>
  <c r="P160" i="11"/>
  <c r="G50" i="11"/>
  <c r="G325" i="11"/>
  <c r="Q236" i="11"/>
  <c r="M131" i="11"/>
  <c r="I33" i="11"/>
  <c r="G112" i="11"/>
  <c r="I127" i="11"/>
  <c r="L31" i="11"/>
  <c r="G245" i="11"/>
  <c r="H373" i="11"/>
  <c r="E21" i="11"/>
  <c r="H21" i="11"/>
  <c r="K229" i="11"/>
  <c r="M297" i="11"/>
  <c r="J25" i="11"/>
  <c r="Q99" i="11"/>
  <c r="F146" i="11"/>
  <c r="Q182" i="11"/>
  <c r="K176" i="11"/>
  <c r="H94" i="11"/>
  <c r="J18" i="11"/>
  <c r="J122" i="11"/>
  <c r="D148" i="11"/>
  <c r="F77" i="11"/>
  <c r="Q211" i="11"/>
  <c r="E19" i="11"/>
  <c r="E399" i="11"/>
  <c r="L148" i="11"/>
  <c r="D19" i="11"/>
  <c r="R179" i="11"/>
  <c r="L153" i="11"/>
  <c r="N395" i="11"/>
  <c r="Q114" i="11"/>
  <c r="D82" i="11"/>
  <c r="P366" i="11"/>
  <c r="O40" i="11"/>
  <c r="N134" i="11"/>
  <c r="D186" i="11"/>
  <c r="K292" i="11"/>
  <c r="E312" i="11"/>
  <c r="L134" i="11"/>
  <c r="Q96" i="11"/>
  <c r="G252" i="11"/>
  <c r="E347" i="11"/>
  <c r="G222" i="11"/>
  <c r="G51" i="11"/>
  <c r="C197" i="11"/>
  <c r="J164" i="11"/>
  <c r="I27" i="11"/>
  <c r="O75" i="11"/>
  <c r="O239" i="11"/>
  <c r="R235" i="11"/>
  <c r="H161" i="11"/>
  <c r="K68" i="11"/>
  <c r="F64" i="11"/>
  <c r="G254" i="11"/>
  <c r="E103" i="11"/>
  <c r="I240" i="11"/>
  <c r="K313" i="11"/>
  <c r="C164" i="11"/>
  <c r="D157" i="11"/>
  <c r="P132" i="11"/>
  <c r="J46" i="11"/>
  <c r="G35" i="11"/>
  <c r="P16" i="11"/>
  <c r="O37" i="11"/>
  <c r="P80" i="11"/>
  <c r="K9" i="11"/>
  <c r="H121" i="11"/>
  <c r="M332" i="11"/>
  <c r="J7" i="11"/>
  <c r="E335" i="11"/>
  <c r="H33" i="11"/>
  <c r="I139" i="11"/>
  <c r="B49" i="11"/>
  <c r="D188" i="11"/>
  <c r="O121" i="11"/>
  <c r="F9" i="11"/>
  <c r="H238" i="11"/>
  <c r="K165" i="11"/>
  <c r="K33" i="11"/>
  <c r="D130" i="11"/>
  <c r="B309" i="11"/>
  <c r="Q285" i="11"/>
  <c r="I189" i="11"/>
  <c r="E130" i="11"/>
  <c r="B5" i="11"/>
  <c r="N56" i="11"/>
  <c r="F10" i="11"/>
  <c r="D142" i="11"/>
  <c r="I342" i="11"/>
  <c r="H167" i="11"/>
  <c r="I71" i="11"/>
  <c r="D31" i="11"/>
  <c r="K119" i="11"/>
  <c r="Q332" i="11"/>
  <c r="B262" i="11"/>
  <c r="N6" i="11"/>
  <c r="O255" i="11"/>
  <c r="O221" i="11"/>
  <c r="L207" i="11"/>
  <c r="C87" i="11"/>
  <c r="N348" i="11"/>
  <c r="M318" i="11"/>
  <c r="H105" i="11"/>
  <c r="G346" i="11"/>
  <c r="I344" i="11"/>
  <c r="B298" i="11"/>
  <c r="K36" i="11"/>
  <c r="R50" i="11"/>
  <c r="M12" i="10"/>
  <c r="I73" i="11"/>
  <c r="C199" i="11"/>
  <c r="G246" i="11"/>
  <c r="Q86" i="11"/>
  <c r="F204" i="11"/>
  <c r="Q67" i="11"/>
  <c r="H297" i="11"/>
  <c r="I74" i="11"/>
  <c r="K300" i="11"/>
  <c r="L74" i="11"/>
  <c r="H13" i="10"/>
  <c r="J21" i="11"/>
  <c r="O175" i="11"/>
  <c r="M85" i="11"/>
  <c r="H209" i="11"/>
  <c r="C332" i="11"/>
  <c r="C156" i="11"/>
  <c r="L149" i="11"/>
  <c r="N7" i="11"/>
  <c r="N277" i="11"/>
  <c r="B299" i="11"/>
  <c r="F126" i="11"/>
  <c r="I379" i="11"/>
  <c r="E372" i="11"/>
  <c r="H67" i="11"/>
  <c r="O174" i="11"/>
  <c r="G27" i="11"/>
  <c r="C7" i="11"/>
  <c r="H102" i="11"/>
  <c r="G32" i="11"/>
  <c r="J259" i="11"/>
  <c r="H163" i="11"/>
  <c r="R298" i="11"/>
  <c r="Q12" i="11"/>
  <c r="N61" i="11"/>
  <c r="E7" i="11"/>
  <c r="O100" i="11"/>
  <c r="E104" i="11"/>
  <c r="N80" i="11"/>
  <c r="G296" i="11"/>
  <c r="Q145" i="11"/>
  <c r="H156" i="11"/>
  <c r="L370" i="11"/>
  <c r="L341" i="11"/>
  <c r="O88" i="11"/>
  <c r="D12" i="11"/>
  <c r="L9" i="10"/>
  <c r="Q129" i="11"/>
  <c r="I9" i="11"/>
  <c r="I380" i="11"/>
  <c r="D35" i="11"/>
  <c r="Q196" i="11"/>
  <c r="B97" i="11"/>
  <c r="E286" i="11"/>
  <c r="G366" i="11"/>
  <c r="I185" i="11"/>
  <c r="B126" i="11"/>
  <c r="L209" i="11"/>
  <c r="K315" i="11"/>
  <c r="M144" i="11"/>
  <c r="Q104" i="11"/>
  <c r="J173" i="11"/>
  <c r="I219" i="11"/>
  <c r="R106" i="11"/>
  <c r="R350" i="11"/>
  <c r="K365" i="11"/>
  <c r="E62" i="11"/>
  <c r="I16" i="11"/>
  <c r="K228" i="11"/>
  <c r="O123" i="11"/>
  <c r="K326" i="11"/>
  <c r="F110" i="11"/>
  <c r="Q149" i="11"/>
  <c r="P229" i="11"/>
  <c r="P343" i="11"/>
  <c r="E11" i="10"/>
  <c r="K101" i="11"/>
  <c r="R392" i="11"/>
  <c r="J310" i="11"/>
  <c r="M279" i="11"/>
  <c r="Q146" i="11"/>
  <c r="P49" i="11"/>
  <c r="D251" i="11"/>
  <c r="R184" i="11"/>
  <c r="B137" i="11"/>
  <c r="E88" i="11"/>
  <c r="H234" i="11"/>
  <c r="I168" i="11"/>
  <c r="L381" i="11"/>
  <c r="R372" i="11"/>
  <c r="I109" i="11"/>
  <c r="N40" i="11"/>
  <c r="H263" i="11"/>
  <c r="O354" i="11"/>
  <c r="K53" i="11"/>
  <c r="C167" i="11"/>
  <c r="Q373" i="11"/>
  <c r="P354" i="11"/>
  <c r="L261" i="11"/>
  <c r="F35" i="11"/>
  <c r="K364" i="11"/>
  <c r="K89" i="11"/>
  <c r="E318" i="11"/>
  <c r="K78" i="11"/>
  <c r="R10" i="11"/>
  <c r="O237" i="11"/>
  <c r="D126" i="11"/>
  <c r="P48" i="11"/>
  <c r="L69" i="11"/>
  <c r="R268" i="11"/>
  <c r="K392" i="11"/>
  <c r="L359" i="11"/>
  <c r="K61" i="11"/>
  <c r="Q152" i="11"/>
  <c r="C95" i="11"/>
  <c r="N87" i="11"/>
  <c r="K60" i="11"/>
  <c r="J115" i="11"/>
  <c r="P149" i="11"/>
  <c r="Q89" i="11"/>
  <c r="M371" i="11"/>
  <c r="J105" i="11"/>
  <c r="D274" i="11"/>
  <c r="R74" i="11"/>
  <c r="N352" i="11"/>
  <c r="I59" i="11"/>
  <c r="B105" i="11"/>
  <c r="K76" i="11"/>
  <c r="H357" i="11"/>
  <c r="I142" i="11"/>
  <c r="H152" i="11"/>
  <c r="R71" i="11"/>
  <c r="K63" i="11"/>
  <c r="I210" i="11"/>
  <c r="Q118" i="11"/>
  <c r="L29" i="11"/>
  <c r="Q396" i="11"/>
  <c r="I96" i="11"/>
  <c r="M27" i="11"/>
  <c r="C53" i="11"/>
  <c r="Q255" i="11"/>
  <c r="Q228" i="11"/>
  <c r="J123" i="11"/>
  <c r="N263" i="11"/>
  <c r="F225" i="11"/>
  <c r="G274" i="11"/>
  <c r="L33" i="11"/>
  <c r="H71" i="11"/>
  <c r="O306" i="11"/>
  <c r="Q268" i="11"/>
  <c r="E44" i="11"/>
  <c r="F105" i="11"/>
  <c r="D152" i="11"/>
  <c r="P38" i="11"/>
  <c r="D241" i="11"/>
  <c r="D137" i="11"/>
  <c r="I299" i="11"/>
  <c r="D225" i="11"/>
  <c r="N394" i="11"/>
  <c r="L218" i="11"/>
  <c r="I147" i="11"/>
  <c r="D174" i="11"/>
  <c r="O62" i="11"/>
  <c r="G46" i="11"/>
  <c r="L92" i="11"/>
  <c r="L402" i="11"/>
  <c r="Q38" i="11"/>
  <c r="B6" i="11"/>
  <c r="H344" i="11"/>
  <c r="F356" i="11"/>
  <c r="H194" i="11"/>
  <c r="C127" i="11"/>
  <c r="Q162" i="11"/>
  <c r="K211" i="11"/>
  <c r="K70" i="11"/>
  <c r="E96" i="11"/>
  <c r="L147" i="11"/>
  <c r="O10" i="11"/>
  <c r="L95" i="11"/>
  <c r="H28" i="11"/>
  <c r="N5" i="11"/>
  <c r="R57" i="11"/>
  <c r="L316" i="11"/>
  <c r="R159" i="11"/>
  <c r="B252" i="11"/>
  <c r="C129" i="11"/>
  <c r="R146" i="11"/>
  <c r="B310" i="11"/>
  <c r="R379" i="11"/>
  <c r="E153" i="11"/>
  <c r="Q324" i="11"/>
  <c r="D147" i="11"/>
  <c r="M42" i="11"/>
  <c r="N168" i="11"/>
  <c r="C203" i="11"/>
  <c r="B131" i="11"/>
  <c r="F315" i="11"/>
  <c r="N74" i="11"/>
  <c r="P118" i="11"/>
  <c r="F16" i="11"/>
  <c r="G77" i="11"/>
  <c r="Q335" i="11"/>
  <c r="B66" i="11"/>
  <c r="L39" i="11"/>
  <c r="B53" i="11"/>
  <c r="O59" i="11"/>
  <c r="H295" i="11"/>
  <c r="D36" i="11"/>
  <c r="L193" i="11"/>
  <c r="G105" i="11"/>
  <c r="H15" i="10"/>
  <c r="R78" i="11"/>
  <c r="M398" i="11"/>
  <c r="H183" i="11"/>
  <c r="N131" i="11"/>
  <c r="G11" i="10"/>
  <c r="L364" i="11"/>
  <c r="F152" i="11"/>
  <c r="B204" i="11"/>
  <c r="L114" i="11"/>
  <c r="P89" i="11"/>
  <c r="D287" i="11"/>
  <c r="H261" i="11"/>
  <c r="I66" i="11"/>
  <c r="R325" i="11"/>
  <c r="Q349" i="11"/>
  <c r="G207" i="11"/>
  <c r="J355" i="11"/>
  <c r="R23" i="11"/>
  <c r="Q325" i="11"/>
  <c r="Q3" i="11"/>
  <c r="F9" i="10"/>
  <c r="D90" i="11"/>
  <c r="Q133" i="11"/>
  <c r="C52" i="11"/>
  <c r="D15" i="11"/>
  <c r="B337" i="11"/>
  <c r="H338" i="11"/>
  <c r="C24" i="11"/>
  <c r="P19" i="11"/>
  <c r="J35" i="11"/>
  <c r="I122" i="11"/>
  <c r="K86" i="11"/>
  <c r="J94" i="11"/>
  <c r="F304" i="11"/>
  <c r="O276" i="11"/>
  <c r="J60" i="11"/>
  <c r="J269" i="11"/>
  <c r="F389" i="11"/>
  <c r="E179" i="11"/>
  <c r="N180" i="11"/>
  <c r="P102" i="11"/>
  <c r="O93" i="11"/>
  <c r="D175" i="11"/>
  <c r="R339" i="11"/>
  <c r="D43" i="8"/>
  <c r="J193" i="11"/>
  <c r="K22" i="11"/>
  <c r="E228" i="11"/>
  <c r="M259" i="11"/>
  <c r="F182" i="11"/>
  <c r="M275" i="11"/>
  <c r="I83" i="11"/>
  <c r="O19" i="11"/>
  <c r="R117" i="11"/>
  <c r="L175" i="11"/>
  <c r="R65" i="11"/>
  <c r="J118" i="11"/>
  <c r="J306" i="11"/>
  <c r="R5" i="11"/>
  <c r="C115" i="11"/>
  <c r="P62" i="11"/>
  <c r="G377" i="11"/>
  <c r="L83" i="11"/>
  <c r="J58" i="11"/>
  <c r="R20" i="11"/>
  <c r="I349" i="11"/>
  <c r="E16" i="10"/>
  <c r="F50" i="11"/>
  <c r="C79" i="11"/>
  <c r="H24" i="11"/>
  <c r="Q107" i="11"/>
  <c r="E362" i="11"/>
  <c r="B355" i="11"/>
  <c r="M44" i="11"/>
  <c r="O29" i="11"/>
  <c r="G66" i="11"/>
  <c r="P387" i="11"/>
  <c r="K117" i="11"/>
  <c r="M75" i="11"/>
  <c r="O5" i="11"/>
  <c r="P88" i="11"/>
  <c r="N270" i="11"/>
  <c r="N57" i="11"/>
  <c r="G33" i="11"/>
  <c r="L47" i="11"/>
  <c r="R358" i="11"/>
  <c r="L76" i="11"/>
  <c r="I99" i="11"/>
  <c r="J15" i="11"/>
  <c r="F354" i="11"/>
  <c r="C184" i="11"/>
  <c r="D232" i="11"/>
  <c r="G54" i="11"/>
  <c r="N233" i="11"/>
  <c r="R168" i="11"/>
  <c r="I317" i="11"/>
  <c r="N389" i="11"/>
  <c r="C42" i="11"/>
  <c r="H6" i="11"/>
  <c r="F342" i="11"/>
  <c r="M52" i="11"/>
  <c r="G127" i="11"/>
  <c r="C209" i="11"/>
  <c r="R396" i="11"/>
  <c r="G273" i="11"/>
  <c r="M66" i="11"/>
  <c r="H68" i="11"/>
  <c r="O21" i="11"/>
  <c r="G99" i="11"/>
  <c r="C343" i="11"/>
  <c r="G10" i="11"/>
  <c r="E70" i="11"/>
  <c r="I88" i="11"/>
  <c r="B300" i="11"/>
  <c r="N346" i="11"/>
  <c r="F181" i="11"/>
  <c r="E325" i="11"/>
  <c r="L15" i="11"/>
  <c r="P67" i="11"/>
  <c r="I278" i="11"/>
  <c r="C206" i="11"/>
  <c r="N381" i="11"/>
  <c r="G146" i="11"/>
  <c r="B356" i="11"/>
  <c r="O243" i="11"/>
  <c r="B141" i="11"/>
  <c r="C16" i="11"/>
  <c r="M301" i="11"/>
  <c r="L205" i="11"/>
  <c r="H138" i="11"/>
  <c r="F362" i="11"/>
  <c r="F275" i="11"/>
  <c r="M7" i="11"/>
  <c r="O53" i="11"/>
  <c r="G290" i="11"/>
  <c r="B76" i="11"/>
  <c r="H43" i="11"/>
  <c r="J218" i="11"/>
  <c r="F261" i="11"/>
  <c r="I153" i="11"/>
  <c r="R144" i="11"/>
  <c r="H40" i="11"/>
  <c r="G357" i="11"/>
  <c r="M111" i="11"/>
  <c r="M53" i="11"/>
  <c r="H54" i="11"/>
  <c r="I22" i="11"/>
  <c r="K24" i="11"/>
  <c r="M156" i="11"/>
  <c r="R128" i="11"/>
  <c r="C89" i="11"/>
  <c r="B280" i="11"/>
  <c r="O20" i="11"/>
  <c r="M304" i="11"/>
  <c r="D47" i="11"/>
  <c r="O13" i="11"/>
  <c r="R269" i="11"/>
  <c r="E93" i="11"/>
  <c r="J194" i="11"/>
  <c r="G86" i="11"/>
  <c r="G13" i="11"/>
  <c r="H96" i="11"/>
  <c r="C72" i="11"/>
  <c r="F164" i="11"/>
  <c r="E194" i="11"/>
  <c r="D81" i="11"/>
  <c r="F94" i="11"/>
  <c r="B221" i="11"/>
  <c r="I373" i="11"/>
  <c r="H135" i="11"/>
  <c r="D226" i="11"/>
  <c r="I3" i="11"/>
  <c r="O58" i="11"/>
  <c r="J147" i="11"/>
  <c r="K73" i="11"/>
  <c r="H13" i="11"/>
  <c r="P95" i="11"/>
  <c r="I17" i="10"/>
  <c r="M23" i="11"/>
  <c r="C63" i="11"/>
  <c r="Q30" i="11"/>
  <c r="B157" i="11"/>
  <c r="C300" i="11"/>
  <c r="M401" i="11"/>
  <c r="I75" i="11"/>
  <c r="D247" i="11"/>
  <c r="B294" i="11"/>
  <c r="F74" i="11"/>
  <c r="M165" i="11"/>
  <c r="H12" i="11"/>
  <c r="I112" i="11"/>
  <c r="Q11" i="11"/>
  <c r="E37" i="11"/>
  <c r="K4" i="11"/>
  <c r="K50" i="11"/>
  <c r="G203" i="11"/>
  <c r="N232" i="11"/>
  <c r="P206" i="11"/>
  <c r="D84" i="11"/>
  <c r="R91" i="11"/>
  <c r="C9" i="11"/>
  <c r="M341" i="11"/>
  <c r="J156" i="11"/>
  <c r="K350" i="11"/>
  <c r="E85" i="11"/>
  <c r="J20" i="11"/>
  <c r="J86" i="11"/>
  <c r="D326" i="11"/>
  <c r="J98" i="11"/>
  <c r="M16" i="11"/>
  <c r="D8" i="11"/>
  <c r="P73" i="11"/>
  <c r="C134" i="11"/>
  <c r="C123" i="11"/>
  <c r="B73" i="11"/>
  <c r="R316" i="11"/>
  <c r="O206" i="11"/>
  <c r="C4" i="11"/>
  <c r="D195" i="11"/>
  <c r="F89" i="11"/>
  <c r="J14" i="11"/>
  <c r="D106" i="11"/>
  <c r="J73" i="11"/>
  <c r="Q239" i="11"/>
  <c r="R317" i="11"/>
  <c r="H154" i="11"/>
  <c r="T239" i="11" l="1"/>
  <c r="S239" i="11"/>
  <c r="U4" i="11"/>
  <c r="V4" i="11"/>
  <c r="V123" i="11"/>
  <c r="U123" i="11"/>
  <c r="V134" i="11"/>
  <c r="U134" i="11"/>
  <c r="U9" i="11"/>
  <c r="V9" i="11"/>
  <c r="S11" i="11"/>
  <c r="T11" i="11"/>
  <c r="V75" i="11"/>
  <c r="U75" i="11"/>
  <c r="V300" i="11"/>
  <c r="U300" i="11"/>
  <c r="S30" i="11"/>
  <c r="T30" i="11"/>
  <c r="U63" i="11"/>
  <c r="V63" i="11"/>
  <c r="J25" i="17"/>
  <c r="U3" i="11"/>
  <c r="V3" i="11"/>
  <c r="V72" i="11"/>
  <c r="U72" i="11"/>
  <c r="V89" i="11"/>
  <c r="U89" i="11"/>
  <c r="V16" i="11"/>
  <c r="U16" i="11"/>
  <c r="U206" i="11"/>
  <c r="V206" i="11"/>
  <c r="V343" i="11"/>
  <c r="U343" i="11"/>
  <c r="U209" i="11"/>
  <c r="V209" i="11"/>
  <c r="V42" i="11"/>
  <c r="U42" i="11"/>
  <c r="U184" i="11"/>
  <c r="V184" i="11"/>
  <c r="U99" i="11"/>
  <c r="V99" i="11"/>
  <c r="S107" i="11"/>
  <c r="T107" i="11"/>
  <c r="V79" i="11"/>
  <c r="U79" i="11"/>
  <c r="F24" i="17"/>
  <c r="V115" i="11"/>
  <c r="U115" i="11"/>
  <c r="V83" i="11"/>
  <c r="U83" i="11"/>
  <c r="V24" i="11"/>
  <c r="U24" i="11"/>
  <c r="V52" i="11"/>
  <c r="U52" i="11"/>
  <c r="T133" i="11"/>
  <c r="S133" i="11"/>
  <c r="G17" i="17"/>
  <c r="S3" i="11"/>
  <c r="T3" i="11"/>
  <c r="S325" i="11"/>
  <c r="T325" i="11"/>
  <c r="S349" i="11"/>
  <c r="T349" i="11"/>
  <c r="H19" i="17"/>
  <c r="I23" i="17"/>
  <c r="T335" i="11"/>
  <c r="S335" i="11"/>
  <c r="U203" i="11"/>
  <c r="V203" i="11"/>
  <c r="S324" i="11"/>
  <c r="T324" i="11"/>
  <c r="V129" i="11"/>
  <c r="U129" i="11"/>
  <c r="T162" i="11"/>
  <c r="S162" i="11"/>
  <c r="U127" i="11"/>
  <c r="V127" i="11"/>
  <c r="S38" i="11"/>
  <c r="T38" i="11"/>
  <c r="S268" i="11"/>
  <c r="T268" i="11"/>
  <c r="T228" i="11"/>
  <c r="S228" i="11"/>
  <c r="T255" i="11"/>
  <c r="S255" i="11"/>
  <c r="V53" i="11"/>
  <c r="U53" i="11"/>
  <c r="S396" i="11"/>
  <c r="T396" i="11"/>
  <c r="T118" i="11"/>
  <c r="S118" i="11"/>
  <c r="V59" i="11"/>
  <c r="U59" i="11"/>
  <c r="S89" i="11"/>
  <c r="T89" i="11"/>
  <c r="V95" i="11"/>
  <c r="U95" i="11"/>
  <c r="T152" i="11"/>
  <c r="S152" i="11"/>
  <c r="S373" i="11"/>
  <c r="T373" i="11"/>
  <c r="V167" i="11"/>
  <c r="U167" i="11"/>
  <c r="T146" i="11"/>
  <c r="S146" i="11"/>
  <c r="F19" i="17"/>
  <c r="S149" i="11"/>
  <c r="T149" i="11"/>
  <c r="S104" i="11"/>
  <c r="T104" i="11"/>
  <c r="T196" i="11"/>
  <c r="S196" i="11"/>
  <c r="S129" i="11"/>
  <c r="T129" i="11"/>
  <c r="M17" i="17"/>
  <c r="S145" i="11"/>
  <c r="T145" i="11"/>
  <c r="T12" i="11"/>
  <c r="S12" i="11"/>
  <c r="U7" i="11"/>
  <c r="V7" i="11"/>
  <c r="V156" i="11"/>
  <c r="U156" i="11"/>
  <c r="V332" i="11"/>
  <c r="U332" i="11"/>
  <c r="I21" i="17"/>
  <c r="T67" i="11"/>
  <c r="S67" i="11"/>
  <c r="T86" i="11"/>
  <c r="S86" i="11"/>
  <c r="V199" i="11"/>
  <c r="U199" i="11"/>
  <c r="N20" i="17"/>
  <c r="U87" i="11"/>
  <c r="V87" i="11"/>
  <c r="T332" i="11"/>
  <c r="S332" i="11"/>
  <c r="T285" i="11"/>
  <c r="S285" i="11"/>
  <c r="V164" i="11"/>
  <c r="U164" i="11"/>
  <c r="V27" i="11"/>
  <c r="U27" i="11"/>
  <c r="V197" i="11"/>
  <c r="U197" i="11"/>
  <c r="T96" i="11"/>
  <c r="S96" i="11"/>
  <c r="T114" i="11"/>
  <c r="S114" i="11"/>
  <c r="T211" i="11"/>
  <c r="S211" i="11"/>
  <c r="S182" i="11"/>
  <c r="T182" i="11"/>
  <c r="S99" i="11"/>
  <c r="T99" i="11"/>
  <c r="S236" i="11"/>
  <c r="T236" i="11"/>
  <c r="V218" i="11"/>
  <c r="U218" i="11"/>
  <c r="J17" i="17"/>
  <c r="T254" i="11"/>
  <c r="S254" i="11"/>
  <c r="S46" i="11"/>
  <c r="T46" i="11"/>
  <c r="U60" i="11"/>
  <c r="V60" i="11"/>
  <c r="V221" i="11"/>
  <c r="U221" i="11"/>
  <c r="V212" i="11"/>
  <c r="U212" i="11"/>
  <c r="U216" i="11"/>
  <c r="V216" i="11"/>
  <c r="V347" i="11"/>
  <c r="U347" i="11"/>
  <c r="E25" i="17"/>
  <c r="V101" i="11"/>
  <c r="U101" i="11"/>
  <c r="V168" i="11"/>
  <c r="U168" i="11"/>
  <c r="T27" i="11"/>
  <c r="S27" i="11"/>
  <c r="T275" i="11"/>
  <c r="S275" i="11"/>
  <c r="S51" i="11"/>
  <c r="T51" i="11"/>
  <c r="T292" i="11"/>
  <c r="S292" i="11"/>
  <c r="U12" i="11"/>
  <c r="V12" i="11"/>
  <c r="S49" i="11"/>
  <c r="T49" i="11"/>
  <c r="V90" i="11"/>
  <c r="U90" i="11"/>
  <c r="T309" i="11"/>
  <c r="S309" i="11"/>
  <c r="T288" i="11"/>
  <c r="S288" i="11"/>
  <c r="U70" i="11"/>
  <c r="V70" i="11"/>
  <c r="U92" i="11"/>
  <c r="V92" i="11"/>
  <c r="K25" i="17"/>
  <c r="T97" i="11"/>
  <c r="S97" i="11"/>
  <c r="U370" i="11"/>
  <c r="V370" i="11"/>
  <c r="T31" i="11"/>
  <c r="S31" i="11"/>
  <c r="V43" i="11"/>
  <c r="U43" i="11"/>
  <c r="F18" i="17"/>
  <c r="M22" i="17"/>
  <c r="J21" i="17"/>
  <c r="K22" i="17"/>
  <c r="U132" i="11"/>
  <c r="V132" i="11"/>
  <c r="T195" i="11"/>
  <c r="S195" i="11"/>
  <c r="T258" i="11"/>
  <c r="S258" i="11"/>
  <c r="S94" i="11"/>
  <c r="T94" i="11"/>
  <c r="T105" i="11"/>
  <c r="S105" i="11"/>
  <c r="S178" i="11"/>
  <c r="T178" i="11"/>
  <c r="U391" i="11"/>
  <c r="V391" i="11"/>
  <c r="T87" i="11"/>
  <c r="S87" i="11"/>
  <c r="T183" i="11"/>
  <c r="S183" i="11"/>
  <c r="U211" i="11"/>
  <c r="V211" i="11"/>
  <c r="T88" i="11"/>
  <c r="S88" i="11"/>
  <c r="V50" i="11"/>
  <c r="U50" i="11"/>
  <c r="U141" i="11"/>
  <c r="V141" i="11"/>
  <c r="S318" i="11"/>
  <c r="T318" i="11"/>
  <c r="V25" i="11"/>
  <c r="U25" i="11"/>
  <c r="T193" i="11"/>
  <c r="S193" i="11"/>
  <c r="V310" i="11"/>
  <c r="U310" i="11"/>
  <c r="S351" i="11"/>
  <c r="T351" i="11"/>
  <c r="M23" i="17"/>
  <c r="S52" i="11"/>
  <c r="T52" i="11"/>
  <c r="V369" i="11"/>
  <c r="U369" i="11"/>
  <c r="V58" i="11"/>
  <c r="U58" i="11"/>
  <c r="T33" i="11"/>
  <c r="S33" i="11"/>
  <c r="E20" i="17"/>
  <c r="S57" i="11"/>
  <c r="T57" i="11"/>
  <c r="V108" i="11"/>
  <c r="U108" i="11"/>
  <c r="S221" i="11"/>
  <c r="T221" i="11"/>
  <c r="T16" i="11"/>
  <c r="S16" i="11"/>
  <c r="V45" i="11"/>
  <c r="U45" i="11"/>
  <c r="V191" i="11"/>
  <c r="U191" i="11"/>
  <c r="U14" i="11"/>
  <c r="V14" i="11"/>
  <c r="S139" i="11"/>
  <c r="T139" i="11"/>
  <c r="V237" i="11"/>
  <c r="U237" i="11"/>
  <c r="I19" i="17"/>
  <c r="I17" i="17"/>
  <c r="S181" i="11"/>
  <c r="T181" i="11"/>
  <c r="T298" i="11"/>
  <c r="S298" i="11"/>
  <c r="U39" i="11"/>
  <c r="V39" i="11"/>
  <c r="U55" i="11"/>
  <c r="V55" i="11"/>
  <c r="T28" i="11"/>
  <c r="S28" i="11"/>
  <c r="U336" i="11"/>
  <c r="V336" i="11"/>
  <c r="E24" i="17"/>
  <c r="T90" i="11"/>
  <c r="S90" i="11"/>
  <c r="V352" i="11"/>
  <c r="U352" i="11"/>
  <c r="V81" i="11"/>
  <c r="U81" i="11"/>
  <c r="J19" i="17"/>
  <c r="T66" i="11"/>
  <c r="S66" i="11"/>
  <c r="V157" i="11"/>
  <c r="U157" i="11"/>
  <c r="T282" i="11"/>
  <c r="S282" i="11"/>
  <c r="T98" i="11"/>
  <c r="S98" i="11"/>
  <c r="E22" i="17"/>
  <c r="S344" i="11"/>
  <c r="T344" i="11"/>
  <c r="T346" i="11"/>
  <c r="S346" i="11"/>
  <c r="V67" i="11"/>
  <c r="U67" i="11"/>
  <c r="V371" i="11"/>
  <c r="U371" i="11"/>
  <c r="T92" i="11"/>
  <c r="S92" i="11"/>
  <c r="S171" i="11"/>
  <c r="T171" i="11"/>
  <c r="U260" i="11"/>
  <c r="V260" i="11"/>
  <c r="U256" i="11"/>
  <c r="V256" i="11"/>
  <c r="S347" i="11"/>
  <c r="T347" i="11"/>
  <c r="V333" i="11"/>
  <c r="U333" i="11"/>
  <c r="V390" i="11"/>
  <c r="U390" i="11"/>
  <c r="M19" i="17"/>
  <c r="T180" i="11"/>
  <c r="S180" i="11"/>
  <c r="U376" i="11"/>
  <c r="V376" i="11"/>
  <c r="S199" i="11"/>
  <c r="T199" i="11"/>
  <c r="S14" i="11"/>
  <c r="T14" i="11"/>
  <c r="T169" i="11"/>
  <c r="S169" i="11"/>
  <c r="T25" i="11"/>
  <c r="S25" i="11"/>
  <c r="V37" i="11"/>
  <c r="U37" i="11"/>
  <c r="U96" i="11"/>
  <c r="V96" i="11"/>
  <c r="S70" i="11"/>
  <c r="T70" i="11"/>
  <c r="M25" i="17"/>
  <c r="T378" i="11"/>
  <c r="S378" i="11"/>
  <c r="F22" i="17"/>
  <c r="T125" i="11"/>
  <c r="S125" i="11"/>
  <c r="V165" i="11"/>
  <c r="U165" i="11"/>
  <c r="S202" i="11"/>
  <c r="T202" i="11"/>
  <c r="T277" i="11"/>
  <c r="S277" i="11"/>
  <c r="U103" i="11"/>
  <c r="V103" i="11"/>
  <c r="T43" i="11"/>
  <c r="S43" i="11"/>
  <c r="N21" i="17"/>
  <c r="L22" i="17"/>
  <c r="V155" i="11"/>
  <c r="U155" i="11"/>
  <c r="S119" i="11"/>
  <c r="T119" i="11"/>
  <c r="V153" i="11"/>
  <c r="U153" i="11"/>
  <c r="V288" i="11"/>
  <c r="U288" i="11"/>
  <c r="V64" i="11"/>
  <c r="U64" i="11"/>
  <c r="U28" i="11"/>
  <c r="V28" i="11"/>
  <c r="U159" i="11"/>
  <c r="V159" i="11"/>
  <c r="U44" i="11"/>
  <c r="V44" i="11"/>
  <c r="T220" i="11"/>
  <c r="S220" i="11"/>
  <c r="S238" i="11"/>
  <c r="T238" i="11"/>
  <c r="V334" i="11"/>
  <c r="U334" i="11"/>
  <c r="V236" i="11"/>
  <c r="U236" i="11"/>
  <c r="T218" i="11"/>
  <c r="S218" i="11"/>
  <c r="T59" i="11"/>
  <c r="S59" i="11"/>
  <c r="U397" i="11"/>
  <c r="V397" i="11"/>
  <c r="V119" i="11"/>
  <c r="U119" i="11"/>
  <c r="T71" i="11"/>
  <c r="S71" i="11"/>
  <c r="V250" i="11"/>
  <c r="U250" i="11"/>
  <c r="V373" i="11"/>
  <c r="U373" i="11"/>
  <c r="V161" i="11"/>
  <c r="U161" i="11"/>
  <c r="U76" i="11"/>
  <c r="V76" i="11"/>
  <c r="T58" i="11"/>
  <c r="S58" i="11"/>
  <c r="S281" i="11"/>
  <c r="T281" i="11"/>
  <c r="N23" i="17"/>
  <c r="S229" i="11"/>
  <c r="T229" i="11"/>
  <c r="U295" i="11"/>
  <c r="V295" i="11"/>
  <c r="S212" i="11"/>
  <c r="T212" i="11"/>
  <c r="T35" i="11"/>
  <c r="S35" i="11"/>
  <c r="S54" i="11"/>
  <c r="T54" i="11"/>
  <c r="S160" i="11"/>
  <c r="K20" i="17"/>
  <c r="T23" i="11"/>
  <c r="S23" i="11"/>
  <c r="V51" i="11"/>
  <c r="U51" i="11"/>
  <c r="V339" i="11"/>
  <c r="U339" i="11"/>
  <c r="I18" i="17"/>
  <c r="T55" i="11"/>
  <c r="S55" i="11"/>
  <c r="T26" i="11"/>
  <c r="S26" i="11"/>
  <c r="U282" i="11"/>
  <c r="V282" i="11"/>
  <c r="F25" i="17"/>
  <c r="S81" i="11"/>
  <c r="T81" i="11"/>
  <c r="L20" i="17"/>
  <c r="T177" i="11"/>
  <c r="S177" i="11"/>
  <c r="V33" i="11"/>
  <c r="U33" i="11"/>
  <c r="S337" i="11"/>
  <c r="T337" i="11"/>
  <c r="U182" i="11"/>
  <c r="V182" i="11"/>
  <c r="U104" i="11"/>
  <c r="V104" i="11"/>
  <c r="T316" i="11"/>
  <c r="S316" i="11"/>
  <c r="V57" i="11"/>
  <c r="U57" i="11"/>
  <c r="S257" i="11"/>
  <c r="T257" i="11"/>
  <c r="U321" i="11"/>
  <c r="V321" i="11"/>
  <c r="U73" i="11"/>
  <c r="V73" i="11"/>
  <c r="U329" i="11"/>
  <c r="V329" i="11"/>
  <c r="T382" i="11"/>
  <c r="S382" i="11"/>
  <c r="G26" i="17"/>
  <c r="V110" i="11"/>
  <c r="U110" i="11"/>
  <c r="T201" i="11"/>
  <c r="S201" i="11"/>
  <c r="T68" i="11"/>
  <c r="S68" i="11"/>
  <c r="V170" i="11"/>
  <c r="U170" i="11"/>
  <c r="M26" i="17"/>
  <c r="T120" i="11"/>
  <c r="S120" i="11"/>
  <c r="E18" i="17"/>
  <c r="T41" i="11"/>
  <c r="S41" i="11"/>
  <c r="V284" i="11"/>
  <c r="U284" i="11"/>
  <c r="H21" i="17"/>
  <c r="U350" i="11"/>
  <c r="V350" i="11"/>
  <c r="F17" i="17"/>
  <c r="S280" i="11"/>
  <c r="T280" i="11"/>
  <c r="V105" i="11"/>
  <c r="U105" i="11"/>
  <c r="U62" i="11"/>
  <c r="V62" i="11"/>
  <c r="E21" i="17"/>
  <c r="S205" i="11"/>
  <c r="T205" i="11"/>
  <c r="V210" i="11"/>
  <c r="U210" i="11"/>
  <c r="T116" i="11"/>
  <c r="S116" i="11"/>
  <c r="V149" i="11"/>
  <c r="U149" i="11"/>
  <c r="U150" i="11"/>
  <c r="V150" i="11"/>
  <c r="U136" i="11"/>
  <c r="V136" i="11"/>
  <c r="S237" i="11"/>
  <c r="T237" i="11"/>
  <c r="T401" i="11"/>
  <c r="S401" i="11"/>
  <c r="U22" i="11"/>
  <c r="V22" i="11"/>
  <c r="M18" i="17"/>
  <c r="T111" i="11"/>
  <c r="S111" i="11"/>
  <c r="V18" i="11"/>
  <c r="U18" i="11"/>
  <c r="T359" i="11"/>
  <c r="S359" i="11"/>
  <c r="V293" i="11"/>
  <c r="U293" i="11"/>
  <c r="U106" i="11"/>
  <c r="V106" i="11"/>
  <c r="V177" i="11"/>
  <c r="U177" i="11"/>
  <c r="V122" i="11"/>
  <c r="U122" i="11"/>
  <c r="S291" i="11"/>
  <c r="T291" i="11"/>
  <c r="T109" i="11"/>
  <c r="S109" i="11"/>
  <c r="V107" i="11"/>
  <c r="U107" i="11"/>
  <c r="U32" i="11"/>
  <c r="V32" i="11"/>
  <c r="K19" i="17"/>
  <c r="T19" i="11"/>
  <c r="S19" i="11"/>
  <c r="S273" i="11"/>
  <c r="T273" i="11"/>
  <c r="S400" i="11"/>
  <c r="T400" i="11"/>
  <c r="V267" i="11"/>
  <c r="U267" i="11"/>
  <c r="L26" i="17"/>
  <c r="V91" i="11"/>
  <c r="U91" i="11"/>
  <c r="V317" i="11"/>
  <c r="U317" i="11"/>
  <c r="V246" i="11"/>
  <c r="U246" i="11"/>
  <c r="T100" i="11"/>
  <c r="S100" i="11"/>
  <c r="V302" i="11"/>
  <c r="U302" i="11"/>
  <c r="J18" i="17"/>
  <c r="U178" i="11"/>
  <c r="V178" i="11"/>
  <c r="T198" i="11"/>
  <c r="S198" i="11"/>
  <c r="V326" i="11"/>
  <c r="U326" i="11"/>
  <c r="E19" i="17"/>
  <c r="N17" i="17"/>
  <c r="G24" i="17"/>
  <c r="T270" i="11"/>
  <c r="S270" i="11"/>
  <c r="S126" i="11"/>
  <c r="T126" i="11"/>
  <c r="T91" i="11"/>
  <c r="S91" i="11"/>
  <c r="V353" i="11"/>
  <c r="U353" i="11"/>
  <c r="T269" i="11"/>
  <c r="S269" i="11"/>
  <c r="V97" i="11"/>
  <c r="U97" i="11"/>
  <c r="T370" i="11"/>
  <c r="S370" i="11"/>
  <c r="J26" i="17"/>
  <c r="L24" i="17"/>
  <c r="V396" i="11"/>
  <c r="U396" i="11"/>
  <c r="L17" i="17"/>
  <c r="T395" i="11"/>
  <c r="S395" i="11"/>
  <c r="U100" i="11"/>
  <c r="V100" i="11"/>
  <c r="V183" i="11"/>
  <c r="U183" i="11"/>
  <c r="S174" i="11"/>
  <c r="T174" i="11"/>
  <c r="U296" i="11"/>
  <c r="V296" i="11"/>
  <c r="V88" i="11"/>
  <c r="U88" i="11"/>
  <c r="V240" i="11"/>
  <c r="U240" i="11"/>
  <c r="V305" i="11"/>
  <c r="U305" i="11"/>
  <c r="S83" i="11"/>
  <c r="T83" i="11"/>
  <c r="T154" i="11"/>
  <c r="S154" i="11"/>
  <c r="S75" i="11"/>
  <c r="T75" i="11"/>
  <c r="S287" i="11"/>
  <c r="T287" i="11"/>
  <c r="V253" i="11"/>
  <c r="U253" i="11"/>
  <c r="T95" i="11"/>
  <c r="S95" i="11"/>
  <c r="T246" i="11"/>
  <c r="S246" i="11"/>
  <c r="V49" i="11"/>
  <c r="U49" i="11"/>
  <c r="N22" i="17"/>
  <c r="T326" i="11"/>
  <c r="S326" i="11"/>
  <c r="U393" i="11"/>
  <c r="V393" i="11"/>
  <c r="I24" i="17"/>
  <c r="V247" i="11"/>
  <c r="U247" i="11"/>
  <c r="T244" i="11"/>
  <c r="S244" i="11"/>
  <c r="V65" i="11"/>
  <c r="U65" i="11"/>
  <c r="T79" i="11"/>
  <c r="S79" i="11"/>
  <c r="S18" i="11"/>
  <c r="T18" i="11"/>
  <c r="U298" i="11"/>
  <c r="V298" i="11"/>
  <c r="U366" i="11"/>
  <c r="V366" i="11"/>
  <c r="S65" i="11"/>
  <c r="T65" i="11"/>
  <c r="J22" i="17"/>
  <c r="T48" i="11"/>
  <c r="S48" i="11"/>
  <c r="T245" i="11"/>
  <c r="S245" i="11"/>
  <c r="T334" i="11"/>
  <c r="S334" i="11"/>
  <c r="F21" i="17"/>
  <c r="U113" i="11"/>
  <c r="V113" i="11"/>
  <c r="V54" i="11"/>
  <c r="U54" i="11"/>
  <c r="T379" i="11"/>
  <c r="S379" i="11"/>
  <c r="U359" i="11"/>
  <c r="V359" i="11"/>
  <c r="T39" i="11"/>
  <c r="S39" i="11"/>
  <c r="T294" i="11"/>
  <c r="S294" i="11"/>
  <c r="S241" i="11"/>
  <c r="T241" i="11"/>
  <c r="S385" i="11"/>
  <c r="T385" i="11"/>
  <c r="E16" i="17"/>
  <c r="V84" i="11"/>
  <c r="U84" i="11"/>
  <c r="U319" i="11"/>
  <c r="V319" i="11"/>
  <c r="U202" i="11"/>
  <c r="V202" i="11"/>
  <c r="V15" i="11"/>
  <c r="U15" i="11"/>
  <c r="T132" i="11"/>
  <c r="S132" i="11"/>
  <c r="T164" i="11"/>
  <c r="S164" i="11"/>
  <c r="V192" i="11"/>
  <c r="U192" i="11"/>
  <c r="U148" i="11"/>
  <c r="V148" i="11"/>
  <c r="T117" i="11"/>
  <c r="S117" i="11"/>
  <c r="T402" i="11"/>
  <c r="S402" i="11"/>
  <c r="V68" i="11"/>
  <c r="U68" i="11"/>
  <c r="T112" i="11"/>
  <c r="S112" i="11"/>
  <c r="U258" i="11"/>
  <c r="V258" i="11"/>
  <c r="U367" i="11"/>
  <c r="V367" i="11"/>
  <c r="F20" i="17"/>
  <c r="U17" i="11"/>
  <c r="V17" i="11"/>
  <c r="T375" i="11"/>
  <c r="S375" i="11"/>
  <c r="V6" i="11"/>
  <c r="U6" i="11"/>
  <c r="S32" i="11"/>
  <c r="T32" i="11"/>
  <c r="V330" i="11"/>
  <c r="U330" i="11"/>
  <c r="T20" i="11"/>
  <c r="S20" i="11"/>
  <c r="U11" i="11"/>
  <c r="V11" i="11"/>
  <c r="J24" i="17"/>
  <c r="U233" i="11"/>
  <c r="V233" i="11"/>
  <c r="S248" i="11"/>
  <c r="T248" i="11"/>
  <c r="U259" i="11"/>
  <c r="V259" i="11"/>
  <c r="N24" i="17"/>
  <c r="V154" i="11"/>
  <c r="U154" i="11"/>
  <c r="U179" i="11"/>
  <c r="V179" i="11"/>
  <c r="U400" i="11"/>
  <c r="V400" i="11"/>
  <c r="T84" i="11"/>
  <c r="S84" i="11"/>
  <c r="T399" i="11"/>
  <c r="S399" i="11"/>
  <c r="U356" i="11"/>
  <c r="V356" i="11"/>
  <c r="S108" i="11"/>
  <c r="T108" i="11"/>
  <c r="S271" i="11"/>
  <c r="T271" i="11"/>
  <c r="U195" i="11"/>
  <c r="V195" i="11"/>
  <c r="U31" i="11"/>
  <c r="V31" i="11"/>
  <c r="S168" i="11"/>
  <c r="T168" i="11"/>
  <c r="V61" i="11"/>
  <c r="U61" i="11"/>
  <c r="V249" i="11"/>
  <c r="U249" i="11"/>
  <c r="S22" i="11"/>
  <c r="T22" i="11"/>
  <c r="V23" i="11"/>
  <c r="U23" i="11"/>
  <c r="T76" i="11"/>
  <c r="S76" i="11"/>
  <c r="U207" i="11"/>
  <c r="V207" i="11"/>
  <c r="U280" i="11"/>
  <c r="V280" i="11"/>
  <c r="U152" i="11"/>
  <c r="V152" i="11"/>
  <c r="S17" i="11"/>
  <c r="T17" i="11"/>
  <c r="T251" i="11"/>
  <c r="S251" i="11"/>
  <c r="I25" i="17"/>
  <c r="V198" i="11"/>
  <c r="U198" i="11"/>
  <c r="V56" i="11"/>
  <c r="U56" i="11"/>
  <c r="U146" i="11"/>
  <c r="V146" i="11"/>
  <c r="V323" i="11"/>
  <c r="U323" i="11"/>
  <c r="G25" i="17"/>
  <c r="S190" i="11"/>
  <c r="T190" i="11"/>
  <c r="T319" i="11"/>
  <c r="S319" i="11"/>
  <c r="V241" i="11"/>
  <c r="U241" i="11"/>
  <c r="N19" i="17"/>
  <c r="U382" i="11"/>
  <c r="V382" i="11"/>
  <c r="U383" i="11"/>
  <c r="V383" i="11"/>
  <c r="V5" i="11"/>
  <c r="U5" i="11"/>
  <c r="U269" i="11"/>
  <c r="V269" i="11"/>
  <c r="S137" i="11"/>
  <c r="T137" i="11"/>
  <c r="U20" i="11"/>
  <c r="V20" i="11"/>
  <c r="T72" i="11"/>
  <c r="S72" i="11"/>
  <c r="S176" i="11"/>
  <c r="T176" i="11"/>
  <c r="T304" i="11"/>
  <c r="S304" i="11"/>
  <c r="V226" i="11"/>
  <c r="U226" i="11"/>
  <c r="T144" i="11"/>
  <c r="S144" i="11"/>
  <c r="K23" i="17"/>
  <c r="U35" i="11"/>
  <c r="V35" i="11"/>
  <c r="S102" i="11"/>
  <c r="T102" i="11"/>
  <c r="T56" i="11"/>
  <c r="S56" i="11"/>
  <c r="V194" i="11"/>
  <c r="U194" i="11"/>
  <c r="T381" i="11"/>
  <c r="S381" i="11"/>
  <c r="V30" i="11"/>
  <c r="U30" i="11"/>
  <c r="V138" i="11"/>
  <c r="U138" i="11"/>
  <c r="V255" i="11"/>
  <c r="U255" i="11"/>
  <c r="U262" i="11"/>
  <c r="V262" i="11"/>
  <c r="S362" i="11"/>
  <c r="T362" i="11"/>
  <c r="V283" i="11"/>
  <c r="U283" i="11"/>
  <c r="U158" i="11"/>
  <c r="V158" i="11"/>
  <c r="T283" i="11"/>
  <c r="S283" i="11"/>
  <c r="L18" i="17"/>
  <c r="S34" i="11"/>
  <c r="T34" i="11"/>
  <c r="E17" i="17"/>
  <c r="S78" i="11"/>
  <c r="T78" i="11"/>
  <c r="T296" i="11"/>
  <c r="S296" i="11"/>
  <c r="S110" i="11"/>
  <c r="T110" i="11"/>
  <c r="V144" i="11"/>
  <c r="U144" i="11"/>
  <c r="S80" i="11"/>
  <c r="T80" i="11"/>
  <c r="S9" i="11"/>
  <c r="T9" i="11"/>
  <c r="U232" i="11"/>
  <c r="V232" i="11"/>
  <c r="S252" i="11"/>
  <c r="T252" i="11"/>
  <c r="T63" i="11"/>
  <c r="S63" i="11"/>
  <c r="V186" i="11"/>
  <c r="U186" i="11"/>
  <c r="V313" i="11"/>
  <c r="U313" i="11"/>
  <c r="V36" i="11"/>
  <c r="U36" i="11"/>
  <c r="V268" i="11"/>
  <c r="U268" i="11"/>
  <c r="G20" i="17"/>
  <c r="T214" i="11"/>
  <c r="S214" i="11"/>
  <c r="V66" i="11"/>
  <c r="U66" i="11"/>
  <c r="G23" i="17"/>
  <c r="T341" i="11"/>
  <c r="S341" i="11"/>
  <c r="T40" i="11"/>
  <c r="S40" i="11"/>
  <c r="V111" i="11"/>
  <c r="U111" i="11"/>
  <c r="V331" i="11"/>
  <c r="U331" i="11"/>
  <c r="T225" i="11"/>
  <c r="S225" i="11"/>
  <c r="T172" i="11"/>
  <c r="S172" i="11"/>
  <c r="S240" i="11"/>
  <c r="T240" i="11"/>
  <c r="S369" i="11"/>
  <c r="T369" i="11"/>
  <c r="S295" i="11"/>
  <c r="T295" i="11"/>
  <c r="U266" i="11"/>
  <c r="V266" i="11"/>
  <c r="T42" i="11"/>
  <c r="S42" i="11"/>
  <c r="V128" i="11"/>
  <c r="U128" i="11"/>
  <c r="I20" i="17"/>
  <c r="S151" i="11"/>
  <c r="T151" i="11"/>
  <c r="K24" i="17"/>
  <c r="S358" i="11"/>
  <c r="T358" i="11"/>
  <c r="K21" i="17"/>
  <c r="T260" i="11"/>
  <c r="S260" i="11"/>
  <c r="T203" i="11"/>
  <c r="S203" i="11"/>
  <c r="U215" i="11"/>
  <c r="V215" i="11"/>
  <c r="G19" i="17"/>
  <c r="S387" i="11"/>
  <c r="T387" i="11"/>
  <c r="T232" i="11"/>
  <c r="S232" i="11"/>
  <c r="S191" i="11"/>
  <c r="T191" i="11"/>
  <c r="T135" i="11"/>
  <c r="S135" i="11"/>
  <c r="V243" i="11"/>
  <c r="U243" i="11"/>
  <c r="T222" i="11"/>
  <c r="S222" i="11"/>
  <c r="T360" i="11"/>
  <c r="S360" i="11"/>
  <c r="V185" i="11"/>
  <c r="U185" i="11"/>
  <c r="T259" i="11"/>
  <c r="S259" i="11"/>
  <c r="T106" i="11"/>
  <c r="S106" i="11"/>
  <c r="T224" i="11"/>
  <c r="S224" i="11"/>
  <c r="U375" i="11"/>
  <c r="V375" i="11"/>
  <c r="U145" i="11"/>
  <c r="V145" i="11"/>
  <c r="S136" i="11"/>
  <c r="T136" i="11"/>
  <c r="J23" i="17"/>
  <c r="S4" i="11"/>
  <c r="T4" i="11"/>
  <c r="T8" i="11"/>
  <c r="S8" i="11"/>
  <c r="T50" i="11"/>
  <c r="S50" i="11"/>
  <c r="V303" i="11"/>
  <c r="U303" i="11"/>
  <c r="T322" i="11"/>
  <c r="S322" i="11"/>
  <c r="V380" i="11"/>
  <c r="U380" i="11"/>
  <c r="S310" i="11"/>
  <c r="T310" i="11"/>
  <c r="V137" i="11"/>
  <c r="U137" i="11"/>
  <c r="V342" i="11"/>
  <c r="U342" i="11"/>
  <c r="S194" i="11"/>
  <c r="T194" i="11"/>
  <c r="V142" i="11"/>
  <c r="U142" i="11"/>
  <c r="U176" i="11"/>
  <c r="V176" i="11"/>
  <c r="V357" i="11"/>
  <c r="U357" i="11"/>
  <c r="U71" i="11"/>
  <c r="V71" i="11"/>
  <c r="U299" i="11"/>
  <c r="V299" i="11"/>
  <c r="U40" i="11"/>
  <c r="V40" i="11"/>
  <c r="S173" i="11"/>
  <c r="T173" i="11"/>
  <c r="U118" i="11"/>
  <c r="V118" i="11"/>
  <c r="T184" i="11"/>
  <c r="S184" i="11"/>
  <c r="S321" i="11"/>
  <c r="T321" i="11"/>
  <c r="S314" i="11"/>
  <c r="T314" i="11"/>
  <c r="V13" i="11"/>
  <c r="U13" i="11"/>
  <c r="T209" i="11"/>
  <c r="S209" i="11"/>
  <c r="V19" i="11"/>
  <c r="U19" i="11"/>
  <c r="S242" i="11"/>
  <c r="T242" i="11"/>
  <c r="T44" i="11"/>
  <c r="S44" i="11"/>
  <c r="G21" i="17"/>
  <c r="U130" i="11"/>
  <c r="V130" i="11"/>
  <c r="S210" i="11"/>
  <c r="T210" i="11"/>
  <c r="U139" i="11"/>
  <c r="V139" i="11"/>
  <c r="V229" i="11"/>
  <c r="U229" i="11"/>
  <c r="U308" i="11"/>
  <c r="V308" i="11"/>
  <c r="U392" i="11"/>
  <c r="V392" i="11"/>
  <c r="V309" i="11"/>
  <c r="U309" i="11"/>
  <c r="V41" i="11"/>
  <c r="U41" i="11"/>
  <c r="T156" i="11"/>
  <c r="S156" i="11"/>
  <c r="V239" i="11"/>
  <c r="U239" i="11"/>
  <c r="S345" i="11"/>
  <c r="T345" i="11"/>
  <c r="T158" i="11"/>
  <c r="S158" i="11"/>
  <c r="U398" i="11"/>
  <c r="V398" i="11"/>
  <c r="U196" i="11"/>
  <c r="V196" i="11"/>
  <c r="U395" i="11"/>
  <c r="V395" i="11"/>
  <c r="U364" i="11"/>
  <c r="V364" i="11"/>
  <c r="T233" i="11"/>
  <c r="S233" i="11"/>
  <c r="H23" i="17"/>
  <c r="V121" i="11"/>
  <c r="U121" i="11"/>
  <c r="T165" i="11"/>
  <c r="S165" i="11"/>
  <c r="V234" i="11"/>
  <c r="U234" i="11"/>
  <c r="U248" i="11"/>
  <c r="V248" i="11"/>
  <c r="U362" i="11"/>
  <c r="V362" i="11"/>
  <c r="T60" i="11"/>
  <c r="S60" i="11"/>
  <c r="T223" i="11"/>
  <c r="S223" i="11"/>
  <c r="H25" i="17"/>
  <c r="U374" i="11"/>
  <c r="V374" i="11"/>
  <c r="U358" i="11"/>
  <c r="V358" i="11"/>
  <c r="G18" i="17"/>
  <c r="U220" i="11"/>
  <c r="V220" i="11"/>
  <c r="K17" i="17"/>
  <c r="U354" i="11"/>
  <c r="V354" i="11"/>
  <c r="T130" i="11"/>
  <c r="S130" i="11"/>
  <c r="V315" i="11"/>
  <c r="U315" i="11"/>
  <c r="T82" i="11"/>
  <c r="S82" i="11"/>
  <c r="S339" i="11"/>
  <c r="T339" i="11"/>
  <c r="E23" i="17"/>
  <c r="V78" i="11"/>
  <c r="U78" i="11"/>
  <c r="U289" i="11"/>
  <c r="V289" i="11"/>
  <c r="S376" i="11"/>
  <c r="T376" i="11"/>
  <c r="T62" i="11"/>
  <c r="S62" i="11"/>
  <c r="T279" i="11"/>
  <c r="S279" i="11"/>
  <c r="F26" i="17"/>
  <c r="T368" i="11"/>
  <c r="S368" i="11"/>
  <c r="T263" i="11"/>
  <c r="S263" i="11"/>
  <c r="U219" i="11"/>
  <c r="V219" i="11"/>
  <c r="S262" i="11"/>
  <c r="T262" i="11"/>
  <c r="U120" i="11"/>
  <c r="V120" i="11"/>
  <c r="V125" i="11"/>
  <c r="U125" i="11"/>
  <c r="T307" i="11"/>
  <c r="S307" i="11"/>
  <c r="V8" i="11"/>
  <c r="U8" i="11"/>
  <c r="I26" i="17"/>
  <c r="N18" i="17"/>
  <c r="V387" i="11"/>
  <c r="U387" i="11"/>
  <c r="S374" i="11"/>
  <c r="T374" i="11"/>
  <c r="U80" i="11"/>
  <c r="V80" i="11"/>
  <c r="U263" i="11"/>
  <c r="V263" i="11"/>
  <c r="S208" i="11"/>
  <c r="T208" i="11"/>
  <c r="U93" i="11"/>
  <c r="V93" i="11"/>
  <c r="S15" i="11"/>
  <c r="T15" i="11"/>
  <c r="T73" i="11"/>
  <c r="S73" i="11"/>
  <c r="T141" i="11"/>
  <c r="S141" i="11"/>
  <c r="U34" i="11"/>
  <c r="V34" i="11"/>
  <c r="V46" i="11"/>
  <c r="U46" i="11"/>
  <c r="T185" i="11"/>
  <c r="S185" i="11"/>
  <c r="V169" i="11"/>
  <c r="U169" i="11"/>
  <c r="S388" i="11"/>
  <c r="T388" i="11"/>
  <c r="U344" i="11"/>
  <c r="V344" i="11"/>
  <c r="T7" i="11"/>
  <c r="S7" i="11"/>
  <c r="V281" i="11"/>
  <c r="U281" i="11"/>
  <c r="T163" i="11"/>
  <c r="S163" i="11"/>
  <c r="S115" i="11"/>
  <c r="T115" i="11"/>
  <c r="V261" i="11"/>
  <c r="U261" i="11"/>
  <c r="U271" i="11"/>
  <c r="V271" i="11"/>
  <c r="V381" i="11"/>
  <c r="U381" i="11"/>
  <c r="V242" i="11"/>
  <c r="U242" i="11"/>
  <c r="T159" i="11"/>
  <c r="S159" i="11"/>
  <c r="S6" i="11"/>
  <c r="T6" i="11"/>
  <c r="S331" i="11"/>
  <c r="T331" i="11"/>
  <c r="U222" i="11"/>
  <c r="V222" i="11"/>
  <c r="U363" i="11"/>
  <c r="V363" i="11"/>
  <c r="U318" i="11"/>
  <c r="V318" i="11"/>
  <c r="E26" i="17"/>
  <c r="U213" i="11"/>
  <c r="V213" i="11"/>
  <c r="F23" i="17"/>
  <c r="T249" i="11"/>
  <c r="S249" i="11"/>
  <c r="S150" i="11"/>
  <c r="T150" i="11"/>
  <c r="U172" i="11"/>
  <c r="V172" i="11"/>
  <c r="S333" i="11"/>
  <c r="T333" i="11"/>
  <c r="T272" i="11"/>
  <c r="S272" i="11"/>
  <c r="S161" i="11"/>
  <c r="T161" i="11"/>
  <c r="V322" i="11"/>
  <c r="U322" i="11"/>
  <c r="S377" i="11"/>
  <c r="T377" i="11"/>
  <c r="T356" i="11"/>
  <c r="S356" i="11"/>
  <c r="S315" i="11"/>
  <c r="T315" i="11"/>
  <c r="U208" i="11"/>
  <c r="V208" i="11"/>
  <c r="T47" i="11"/>
  <c r="S47" i="11"/>
  <c r="S355" i="11"/>
  <c r="T355" i="11"/>
  <c r="V135" i="11"/>
  <c r="U135" i="11"/>
  <c r="V160" i="11"/>
  <c r="U160" i="11"/>
  <c r="U324" i="11"/>
  <c r="V324" i="11"/>
  <c r="V320" i="11"/>
  <c r="U320" i="11"/>
  <c r="U351" i="11"/>
  <c r="V351" i="11"/>
  <c r="T175" i="11"/>
  <c r="S175" i="11"/>
  <c r="M20" i="17"/>
  <c r="M24" i="17"/>
  <c r="V133" i="11"/>
  <c r="U133" i="11"/>
  <c r="U26" i="11"/>
  <c r="V26" i="11"/>
  <c r="S24" i="11"/>
  <c r="T24" i="11"/>
  <c r="S306" i="11"/>
  <c r="T306" i="11"/>
  <c r="V360" i="11"/>
  <c r="U360" i="11"/>
  <c r="V109" i="11"/>
  <c r="U109" i="11"/>
  <c r="V47" i="11"/>
  <c r="U47" i="11"/>
  <c r="T398" i="11"/>
  <c r="S398" i="11"/>
  <c r="S134" i="11"/>
  <c r="T134" i="11"/>
  <c r="T247" i="11"/>
  <c r="S247" i="11"/>
  <c r="S122" i="11"/>
  <c r="T122" i="11"/>
  <c r="T64" i="11"/>
  <c r="S64" i="11"/>
  <c r="V21" i="11"/>
  <c r="U21" i="11"/>
  <c r="T127" i="11"/>
  <c r="S127" i="11"/>
  <c r="T371" i="11"/>
  <c r="S371" i="11"/>
  <c r="T308" i="11"/>
  <c r="S308" i="11"/>
  <c r="V98" i="11"/>
  <c r="U98" i="11"/>
  <c r="U173" i="11"/>
  <c r="V173" i="11"/>
  <c r="V270" i="11"/>
  <c r="U270" i="11"/>
  <c r="V29" i="11"/>
  <c r="U29" i="11"/>
  <c r="T121" i="11"/>
  <c r="S121" i="11"/>
  <c r="U214" i="11"/>
  <c r="V214" i="11"/>
  <c r="U114" i="11"/>
  <c r="V114" i="11"/>
  <c r="S10" i="11"/>
  <c r="T10" i="11"/>
  <c r="V38" i="11"/>
  <c r="U38" i="11"/>
  <c r="U307" i="11"/>
  <c r="V307" i="11"/>
  <c r="V291" i="11"/>
  <c r="U291" i="11"/>
  <c r="U225" i="11"/>
  <c r="V225" i="11"/>
  <c r="U306" i="11"/>
  <c r="V306" i="11"/>
  <c r="T131" i="11"/>
  <c r="S131" i="11"/>
  <c r="S36" i="11"/>
  <c r="T36" i="11"/>
  <c r="U272" i="11"/>
  <c r="V272" i="11"/>
  <c r="S342" i="11"/>
  <c r="T342" i="11"/>
  <c r="V372" i="11"/>
  <c r="U372" i="11"/>
  <c r="V285" i="11"/>
  <c r="U285" i="11"/>
  <c r="U325" i="11"/>
  <c r="V325" i="11"/>
  <c r="V223" i="11"/>
  <c r="U223" i="11"/>
  <c r="S340" i="11"/>
  <c r="T340" i="11"/>
  <c r="V345" i="11"/>
  <c r="U345" i="11"/>
  <c r="S305" i="11"/>
  <c r="T305" i="11"/>
  <c r="T320" i="11"/>
  <c r="S320" i="11"/>
  <c r="V10" i="11"/>
  <c r="U10" i="11"/>
  <c r="S170" i="11"/>
  <c r="T170" i="11"/>
  <c r="S147" i="11"/>
  <c r="T147" i="11"/>
  <c r="U102" i="11"/>
  <c r="V102" i="11"/>
  <c r="M21" i="17"/>
  <c r="T338" i="11"/>
  <c r="S338" i="11"/>
  <c r="U244" i="11"/>
  <c r="V244" i="11"/>
  <c r="B55" i="15"/>
  <c r="B43" i="15"/>
  <c r="B45" i="15"/>
  <c r="B50" i="15"/>
  <c r="B32" i="15"/>
  <c r="B46" i="15"/>
  <c r="B56" i="15"/>
  <c r="B33" i="15"/>
  <c r="B54" i="15"/>
  <c r="B37" i="15"/>
  <c r="B42" i="15"/>
  <c r="B34" i="15"/>
  <c r="B47" i="15"/>
  <c r="B51" i="15"/>
  <c r="B36" i="15"/>
  <c r="B38" i="15"/>
  <c r="B41" i="15"/>
  <c r="B52" i="15"/>
  <c r="S204" i="11"/>
  <c r="T204" i="11"/>
  <c r="S256" i="11"/>
  <c r="T256" i="11"/>
  <c r="T389" i="11"/>
  <c r="S389" i="11"/>
  <c r="U338" i="11"/>
  <c r="V338" i="11"/>
  <c r="V200" i="11"/>
  <c r="U200" i="11"/>
  <c r="V384" i="11"/>
  <c r="U384" i="11"/>
  <c r="V399" i="11"/>
  <c r="U399" i="11"/>
  <c r="V290" i="11"/>
  <c r="U290" i="11"/>
  <c r="T123" i="11"/>
  <c r="S123" i="11"/>
  <c r="S197" i="11"/>
  <c r="T197" i="11"/>
  <c r="T148" i="11"/>
  <c r="S148" i="11"/>
  <c r="T155" i="11"/>
  <c r="S155" i="11"/>
  <c r="T261" i="11"/>
  <c r="S261" i="11"/>
  <c r="U278" i="11"/>
  <c r="V278" i="11"/>
  <c r="S361" i="11"/>
  <c r="T361" i="11"/>
  <c r="U335" i="11"/>
  <c r="V335" i="11"/>
  <c r="T187" i="11"/>
  <c r="S187" i="11"/>
  <c r="V402" i="11"/>
  <c r="U402" i="11"/>
  <c r="T235" i="11"/>
  <c r="S235" i="11"/>
  <c r="T265" i="11"/>
  <c r="S265" i="11"/>
  <c r="V231" i="11"/>
  <c r="U231" i="11"/>
  <c r="T311" i="11"/>
  <c r="S311" i="11"/>
  <c r="K26" i="17"/>
  <c r="V346" i="11"/>
  <c r="U346" i="11"/>
  <c r="S74" i="11"/>
  <c r="T74" i="11"/>
  <c r="V340" i="11"/>
  <c r="U340" i="11"/>
  <c r="T230" i="11"/>
  <c r="S230" i="11"/>
  <c r="U228" i="11"/>
  <c r="V228" i="11"/>
  <c r="V312" i="11"/>
  <c r="U312" i="11"/>
  <c r="U112" i="11"/>
  <c r="V112" i="11"/>
  <c r="T343" i="11"/>
  <c r="S343" i="11"/>
  <c r="T157" i="11"/>
  <c r="S157" i="11"/>
  <c r="U48" i="11"/>
  <c r="V48" i="11"/>
  <c r="S267" i="11"/>
  <c r="T267" i="11"/>
  <c r="V117" i="11"/>
  <c r="U117" i="11"/>
  <c r="V162" i="11"/>
  <c r="U162" i="11"/>
  <c r="V147" i="11"/>
  <c r="U147" i="11"/>
  <c r="G22" i="17"/>
  <c r="T284" i="11"/>
  <c r="S284" i="11"/>
  <c r="T394" i="11"/>
  <c r="S394" i="11"/>
  <c r="S266" i="11"/>
  <c r="T266" i="11"/>
  <c r="T188" i="11"/>
  <c r="S188" i="11"/>
  <c r="S142" i="11"/>
  <c r="T142" i="11"/>
  <c r="V245" i="11"/>
  <c r="U245" i="11"/>
  <c r="S301" i="11"/>
  <c r="T301" i="11"/>
  <c r="V379" i="11"/>
  <c r="U379" i="11"/>
  <c r="U175" i="11"/>
  <c r="V175" i="11"/>
  <c r="J20" i="17"/>
  <c r="S328" i="11"/>
  <c r="T328" i="11"/>
  <c r="T286" i="11"/>
  <c r="S286" i="11"/>
  <c r="T138" i="11"/>
  <c r="S138" i="11"/>
  <c r="U251" i="11"/>
  <c r="V251" i="11"/>
  <c r="T303" i="11"/>
  <c r="S303" i="11"/>
  <c r="T207" i="11"/>
  <c r="S207" i="11"/>
  <c r="V292" i="11"/>
  <c r="U292" i="11"/>
  <c r="T391" i="11"/>
  <c r="S391" i="11"/>
  <c r="T103" i="11"/>
  <c r="S103" i="11"/>
  <c r="V252" i="11"/>
  <c r="U252" i="11"/>
  <c r="U385" i="11"/>
  <c r="V385" i="11"/>
  <c r="U69" i="11"/>
  <c r="V69" i="11"/>
  <c r="S297" i="11"/>
  <c r="T297" i="11"/>
  <c r="T327" i="11"/>
  <c r="S327" i="11"/>
  <c r="V140" i="11"/>
  <c r="U140" i="11"/>
  <c r="V274" i="11"/>
  <c r="U274" i="11"/>
  <c r="U163" i="11"/>
  <c r="V163" i="11"/>
  <c r="V287" i="11"/>
  <c r="U287" i="11"/>
  <c r="U388" i="11"/>
  <c r="V388" i="11"/>
  <c r="U180" i="11"/>
  <c r="V180" i="11"/>
  <c r="V394" i="11"/>
  <c r="U394" i="11"/>
  <c r="U311" i="11"/>
  <c r="V311" i="11"/>
  <c r="T124" i="11"/>
  <c r="S124" i="11"/>
  <c r="S372" i="11"/>
  <c r="T372" i="11"/>
  <c r="U279" i="11"/>
  <c r="V279" i="11"/>
  <c r="V189" i="11"/>
  <c r="U189" i="11"/>
  <c r="U131" i="11"/>
  <c r="V131" i="11"/>
  <c r="V265" i="11"/>
  <c r="U265" i="11"/>
  <c r="V201" i="11"/>
  <c r="U201" i="11"/>
  <c r="V188" i="11"/>
  <c r="U188" i="11"/>
  <c r="T213" i="11"/>
  <c r="S213" i="11"/>
  <c r="S200" i="11"/>
  <c r="T200" i="11"/>
  <c r="V174" i="11"/>
  <c r="U174" i="11"/>
  <c r="V361" i="11"/>
  <c r="U361" i="11"/>
  <c r="S140" i="11"/>
  <c r="T140" i="11"/>
  <c r="U124" i="11"/>
  <c r="V124" i="11"/>
  <c r="V86" i="11"/>
  <c r="U86" i="11"/>
  <c r="V126" i="11"/>
  <c r="U126" i="11"/>
  <c r="V77" i="11"/>
  <c r="U77" i="11"/>
  <c r="S329" i="11"/>
  <c r="T329" i="11"/>
  <c r="S386" i="11"/>
  <c r="T386" i="11"/>
  <c r="T264" i="11"/>
  <c r="S264" i="11"/>
  <c r="T393" i="11"/>
  <c r="S393" i="11"/>
  <c r="V190" i="11"/>
  <c r="U190" i="11"/>
  <c r="V365" i="11"/>
  <c r="U365" i="11"/>
  <c r="S397" i="11"/>
  <c r="T397" i="11"/>
  <c r="V276" i="11"/>
  <c r="U276" i="11"/>
  <c r="T330" i="11"/>
  <c r="S330" i="11"/>
  <c r="V277" i="11"/>
  <c r="U277" i="11"/>
  <c r="T250" i="11"/>
  <c r="S250" i="11"/>
  <c r="V227" i="11"/>
  <c r="U227" i="11"/>
  <c r="S217" i="11"/>
  <c r="T217" i="11"/>
  <c r="U377" i="11"/>
  <c r="V377" i="11"/>
  <c r="S383" i="11"/>
  <c r="T383" i="11"/>
  <c r="V82" i="11"/>
  <c r="U82" i="11"/>
  <c r="T219" i="11"/>
  <c r="S219" i="11"/>
  <c r="T317" i="11"/>
  <c r="S317" i="11"/>
  <c r="T293" i="11"/>
  <c r="S293" i="11"/>
  <c r="I22" i="17"/>
  <c r="U238" i="11"/>
  <c r="V238" i="11"/>
  <c r="U341" i="11"/>
  <c r="V341" i="11"/>
  <c r="V94" i="11"/>
  <c r="U94" i="11"/>
  <c r="U171" i="11"/>
  <c r="V171" i="11"/>
  <c r="U368" i="11"/>
  <c r="V368" i="11"/>
  <c r="V286" i="11"/>
  <c r="U286" i="11"/>
  <c r="U355" i="11"/>
  <c r="V355" i="11"/>
  <c r="S366" i="11"/>
  <c r="T366" i="11"/>
  <c r="V143" i="11"/>
  <c r="U143" i="11"/>
  <c r="V74" i="11"/>
  <c r="U74" i="11"/>
  <c r="T380" i="11"/>
  <c r="S380" i="11"/>
  <c r="N25" i="17"/>
  <c r="S365" i="11"/>
  <c r="T365" i="11"/>
  <c r="S226" i="11"/>
  <c r="T226" i="11"/>
  <c r="S274" i="11"/>
  <c r="T274" i="11"/>
  <c r="U235" i="11"/>
  <c r="V235" i="11"/>
  <c r="V85" i="11"/>
  <c r="U85" i="11"/>
  <c r="S392" i="11"/>
  <c r="T392" i="11"/>
  <c r="V224" i="11"/>
  <c r="U224" i="11"/>
  <c r="T206" i="11"/>
  <c r="S206" i="11"/>
  <c r="V349" i="11"/>
  <c r="U349" i="11"/>
  <c r="S336" i="11"/>
  <c r="T336" i="11"/>
  <c r="S192" i="11"/>
  <c r="T192" i="11"/>
  <c r="S186" i="11"/>
  <c r="T186" i="11"/>
  <c r="V297" i="11"/>
  <c r="U297" i="11"/>
  <c r="T143" i="11"/>
  <c r="S143" i="11"/>
  <c r="V378" i="11"/>
  <c r="U378" i="11"/>
  <c r="S300" i="11"/>
  <c r="T300" i="11"/>
  <c r="U348" i="11"/>
  <c r="V348" i="11"/>
  <c r="S312" i="11"/>
  <c r="T312" i="11"/>
  <c r="U181" i="11"/>
  <c r="V181" i="11"/>
  <c r="T166" i="11"/>
  <c r="S166" i="11"/>
  <c r="V193" i="11"/>
  <c r="U193" i="11"/>
  <c r="U166" i="11"/>
  <c r="V166" i="11"/>
  <c r="V257" i="11"/>
  <c r="U257" i="11"/>
  <c r="V230" i="11"/>
  <c r="U230" i="11"/>
  <c r="T290" i="11"/>
  <c r="S290" i="11"/>
  <c r="S302" i="11"/>
  <c r="T302" i="11"/>
  <c r="S234" i="11"/>
  <c r="T234" i="11"/>
  <c r="T231" i="11"/>
  <c r="S231" i="11"/>
  <c r="V204" i="11"/>
  <c r="U204" i="11"/>
  <c r="T243" i="11"/>
  <c r="S243" i="11"/>
  <c r="T216" i="11"/>
  <c r="S216" i="11"/>
  <c r="S348" i="11"/>
  <c r="T348" i="11"/>
  <c r="V187" i="11"/>
  <c r="U187" i="11"/>
  <c r="S113" i="11"/>
  <c r="T113" i="11"/>
  <c r="U116" i="11"/>
  <c r="V116" i="11"/>
  <c r="K18" i="17"/>
  <c r="T179" i="11"/>
  <c r="S179" i="11"/>
  <c r="V275" i="11"/>
  <c r="U275" i="11"/>
  <c r="U254" i="11"/>
  <c r="V254" i="11"/>
  <c r="S350" i="11"/>
  <c r="T350" i="11"/>
  <c r="T299" i="11"/>
  <c r="S299" i="11"/>
  <c r="T363" i="11"/>
  <c r="S363" i="11"/>
  <c r="S357" i="11"/>
  <c r="T357" i="11"/>
  <c r="U304" i="11"/>
  <c r="V304" i="11"/>
  <c r="V401" i="11"/>
  <c r="U401" i="11"/>
  <c r="U151" i="11"/>
  <c r="V151" i="11"/>
  <c r="T167" i="11"/>
  <c r="S167" i="11"/>
  <c r="S253" i="11"/>
  <c r="T253" i="11"/>
  <c r="V294" i="11"/>
  <c r="U294" i="11"/>
  <c r="V337" i="11"/>
  <c r="U337" i="11"/>
  <c r="S354" i="11"/>
  <c r="T354" i="11"/>
  <c r="V301" i="11"/>
  <c r="U301" i="11"/>
  <c r="S353" i="11"/>
  <c r="T353" i="11"/>
  <c r="S352" i="11"/>
  <c r="T352" i="11"/>
  <c r="T390" i="11"/>
  <c r="S390" i="11"/>
  <c r="V205" i="11"/>
  <c r="U205" i="11"/>
  <c r="V217" i="11"/>
  <c r="U217" i="11"/>
  <c r="V264" i="11"/>
  <c r="U264" i="11"/>
  <c r="V273" i="11"/>
  <c r="U273" i="11"/>
  <c r="U328" i="11"/>
  <c r="V328" i="11"/>
  <c r="T276" i="11"/>
  <c r="S276" i="11"/>
  <c r="T215" i="11"/>
  <c r="S215" i="11"/>
  <c r="V327" i="11"/>
  <c r="U327" i="11"/>
  <c r="T289" i="11"/>
  <c r="S289" i="11"/>
  <c r="S189" i="11"/>
  <c r="T189" i="11"/>
  <c r="S384" i="11"/>
  <c r="T384" i="11"/>
  <c r="T367" i="11"/>
  <c r="S367" i="11"/>
  <c r="U314" i="11"/>
  <c r="V314" i="11"/>
  <c r="T278" i="11"/>
  <c r="S278" i="11"/>
  <c r="V389" i="11"/>
  <c r="U389" i="11"/>
  <c r="S227" i="11"/>
  <c r="T227" i="11"/>
  <c r="T323" i="11"/>
  <c r="S323" i="11"/>
  <c r="V386" i="11"/>
  <c r="U386" i="11"/>
  <c r="S364" i="11"/>
  <c r="T364" i="11"/>
  <c r="T313" i="11"/>
  <c r="S313" i="11"/>
  <c r="V316" i="11"/>
  <c r="U316" i="11"/>
  <c r="S153" i="11"/>
  <c r="T153" i="11"/>
  <c r="I12" i="20"/>
  <c r="K11" i="20"/>
  <c r="H12" i="20"/>
  <c r="G12" i="20"/>
  <c r="J12" i="20"/>
  <c r="E13" i="20"/>
  <c r="D13" i="20"/>
  <c r="F13" i="20"/>
  <c r="C13" i="20"/>
  <c r="B13" i="20"/>
  <c r="P27" i="5"/>
  <c r="E8" i="10"/>
  <c r="G25" i="15"/>
  <c r="K18" i="15"/>
  <c r="N21" i="15"/>
  <c r="J23" i="15"/>
  <c r="C26" i="15"/>
  <c r="N16" i="15"/>
  <c r="F20" i="15"/>
  <c r="D18" i="15"/>
  <c r="G18" i="15"/>
  <c r="G16" i="15"/>
  <c r="L18" i="15"/>
  <c r="F21" i="15"/>
  <c r="N18" i="15"/>
  <c r="N26" i="15"/>
  <c r="E23" i="15"/>
  <c r="J25" i="15"/>
  <c r="I8" i="10"/>
  <c r="J8" i="10"/>
  <c r="J26" i="15"/>
  <c r="M25" i="15"/>
  <c r="K25" i="15"/>
  <c r="C18" i="15"/>
  <c r="F16" i="15"/>
  <c r="J21" i="15"/>
  <c r="L26" i="15"/>
  <c r="D21" i="15"/>
  <c r="D26" i="15"/>
  <c r="G21" i="15"/>
  <c r="G26" i="15"/>
  <c r="M26" i="15"/>
  <c r="K8" i="10"/>
  <c r="M21" i="15"/>
  <c r="E21" i="15"/>
  <c r="C23" i="15"/>
  <c r="C16" i="15"/>
  <c r="D16" i="15"/>
  <c r="L23" i="15"/>
  <c r="F18" i="15"/>
  <c r="L16" i="15"/>
  <c r="E25" i="15"/>
  <c r="K23" i="15"/>
  <c r="H8" i="10"/>
  <c r="M23" i="15"/>
  <c r="F26" i="15"/>
  <c r="N25" i="15"/>
  <c r="K26" i="15"/>
  <c r="E16" i="15"/>
  <c r="M20" i="15"/>
  <c r="K21" i="15"/>
  <c r="G8" i="10"/>
  <c r="L20" i="15"/>
  <c r="N23" i="15"/>
  <c r="J16" i="15"/>
  <c r="L25" i="15"/>
  <c r="M18" i="15"/>
  <c r="N20" i="15"/>
  <c r="F8" i="10"/>
  <c r="K20" i="15"/>
  <c r="L8" i="10"/>
  <c r="D20" i="15"/>
  <c r="E26" i="15"/>
  <c r="C25" i="15"/>
  <c r="F25" i="15"/>
  <c r="D25" i="15"/>
  <c r="G20" i="15"/>
  <c r="K16" i="15"/>
  <c r="C20" i="15"/>
  <c r="M8" i="10"/>
  <c r="J20" i="15"/>
  <c r="G23" i="15"/>
  <c r="D23" i="15"/>
  <c r="E18" i="15"/>
  <c r="F23" i="15"/>
  <c r="L21" i="15"/>
  <c r="C21" i="15"/>
  <c r="M16" i="15"/>
  <c r="E20" i="15"/>
  <c r="J18" i="15"/>
  <c r="K13" i="5" l="1" a="1"/>
  <c r="K13" i="5" s="1"/>
  <c r="K14" i="5" s="1"/>
  <c r="J24" i="5" s="1"/>
  <c r="J25" i="5" s="1"/>
  <c r="N25" i="5" s="1"/>
  <c r="N16" i="17"/>
  <c r="B15" i="14"/>
  <c r="M16" i="17"/>
  <c r="G16" i="17"/>
  <c r="H16" i="17"/>
  <c r="I16" i="17"/>
  <c r="B14" i="14"/>
  <c r="L16" i="17"/>
  <c r="K16" i="17"/>
  <c r="J16" i="17"/>
  <c r="F16" i="17"/>
  <c r="H13" i="20"/>
  <c r="K12" i="20"/>
  <c r="F14" i="20"/>
  <c r="E14" i="20"/>
  <c r="C14" i="20"/>
  <c r="B14" i="20"/>
  <c r="D14" i="20"/>
  <c r="P28" i="5"/>
  <c r="I13" i="20"/>
  <c r="J13" i="20"/>
  <c r="G13" i="20"/>
  <c r="J26" i="5" l="1"/>
  <c r="J27" i="5" s="1"/>
  <c r="N24" i="5"/>
  <c r="M25" i="5"/>
  <c r="K25" i="5"/>
  <c r="K24" i="5"/>
  <c r="L24" i="5"/>
  <c r="L25" i="5"/>
  <c r="M24" i="5"/>
  <c r="K13" i="20"/>
  <c r="H14" i="20"/>
  <c r="J14" i="20"/>
  <c r="G14" i="20"/>
  <c r="D15" i="20"/>
  <c r="C15" i="20"/>
  <c r="F15" i="20"/>
  <c r="E15" i="20"/>
  <c r="B15" i="20"/>
  <c r="P29" i="5"/>
  <c r="K14" i="20"/>
  <c r="I14" i="20"/>
  <c r="L26" i="5" l="1"/>
  <c r="K26" i="5"/>
  <c r="M26" i="5"/>
  <c r="N26" i="5"/>
  <c r="G15" i="20"/>
  <c r="J15" i="20"/>
  <c r="J28" i="5"/>
  <c r="M27" i="5"/>
  <c r="N27" i="5"/>
  <c r="L27" i="5"/>
  <c r="K27" i="5"/>
  <c r="H15" i="20"/>
  <c r="I15" i="20"/>
  <c r="B16" i="20"/>
  <c r="F16" i="20"/>
  <c r="C16" i="20"/>
  <c r="E16" i="20"/>
  <c r="D16" i="20"/>
  <c r="P30" i="5"/>
  <c r="J16" i="20" l="1"/>
  <c r="K15" i="20"/>
  <c r="G16" i="20"/>
  <c r="H16" i="20"/>
  <c r="E17" i="20"/>
  <c r="D17" i="20"/>
  <c r="F17" i="20"/>
  <c r="C17" i="20"/>
  <c r="B17" i="20"/>
  <c r="P31" i="5"/>
  <c r="I16" i="20"/>
  <c r="J29" i="5"/>
  <c r="N28" i="5"/>
  <c r="L28" i="5"/>
  <c r="K28" i="5"/>
  <c r="M28" i="5"/>
  <c r="I17" i="20" l="1"/>
  <c r="K16" i="20"/>
  <c r="J30" i="5"/>
  <c r="M29" i="5"/>
  <c r="N29" i="5"/>
  <c r="L29" i="5"/>
  <c r="K29" i="5"/>
  <c r="J17" i="20"/>
  <c r="G17" i="20"/>
  <c r="F18" i="20"/>
  <c r="E18" i="20"/>
  <c r="C18" i="20"/>
  <c r="B18" i="20"/>
  <c r="D18" i="20"/>
  <c r="P32" i="5"/>
  <c r="H17" i="20"/>
  <c r="K17" i="20" l="1"/>
  <c r="J31" i="5"/>
  <c r="M30" i="5"/>
  <c r="N30" i="5"/>
  <c r="K30" i="5"/>
  <c r="L30" i="5"/>
  <c r="G18" i="20"/>
  <c r="H18" i="20"/>
  <c r="I18" i="20"/>
  <c r="J18" i="20"/>
  <c r="D19" i="20"/>
  <c r="C19" i="20"/>
  <c r="B19" i="20"/>
  <c r="E19" i="20"/>
  <c r="F19" i="20"/>
  <c r="P33" i="5"/>
  <c r="K18" i="20" l="1"/>
  <c r="J32" i="5"/>
  <c r="L31" i="5"/>
  <c r="M31" i="5"/>
  <c r="K31" i="5"/>
  <c r="N31" i="5"/>
  <c r="J19" i="20"/>
  <c r="H19" i="20"/>
  <c r="I19" i="20"/>
  <c r="G19" i="20"/>
  <c r="B20" i="20"/>
  <c r="F20" i="20"/>
  <c r="E20" i="20"/>
  <c r="D20" i="20"/>
  <c r="C20" i="20"/>
  <c r="P34" i="5"/>
  <c r="K19" i="20" l="1"/>
  <c r="I20" i="20"/>
  <c r="J33" i="5"/>
  <c r="L32" i="5"/>
  <c r="M32" i="5"/>
  <c r="K32" i="5"/>
  <c r="N32" i="5"/>
  <c r="H20" i="20"/>
  <c r="J20" i="20"/>
  <c r="E21" i="20"/>
  <c r="D21" i="20"/>
  <c r="F21" i="20"/>
  <c r="B21" i="20"/>
  <c r="C21" i="20"/>
  <c r="P35" i="5"/>
  <c r="K20" i="20"/>
  <c r="G20" i="20"/>
  <c r="J21" i="20" l="1"/>
  <c r="H21" i="20"/>
  <c r="G21" i="20"/>
  <c r="J34" i="5"/>
  <c r="N33" i="5"/>
  <c r="M33" i="5"/>
  <c r="L33" i="5"/>
  <c r="K33" i="5"/>
  <c r="I21" i="20"/>
  <c r="F22" i="20"/>
  <c r="E22" i="20"/>
  <c r="C22" i="20"/>
  <c r="B22" i="20"/>
  <c r="D22" i="20"/>
  <c r="P36" i="5"/>
  <c r="I22" i="20" l="1"/>
  <c r="K21" i="20"/>
  <c r="J22" i="20"/>
  <c r="D23" i="20"/>
  <c r="C23" i="20"/>
  <c r="F23" i="20"/>
  <c r="E23" i="20"/>
  <c r="B23" i="20"/>
  <c r="P37" i="5"/>
  <c r="K22" i="20"/>
  <c r="J35" i="5"/>
  <c r="M34" i="5"/>
  <c r="K34" i="5"/>
  <c r="L34" i="5"/>
  <c r="N34" i="5"/>
  <c r="G22" i="20"/>
  <c r="H22" i="20"/>
  <c r="K23" i="20" l="1"/>
  <c r="G23" i="20"/>
  <c r="B24" i="20"/>
  <c r="F24" i="20"/>
  <c r="C24" i="20"/>
  <c r="E24" i="20"/>
  <c r="D24" i="20"/>
  <c r="P38" i="5"/>
  <c r="J23" i="20"/>
  <c r="J36" i="5"/>
  <c r="N35" i="5"/>
  <c r="L35" i="5"/>
  <c r="M35" i="5"/>
  <c r="K35" i="5"/>
  <c r="H23" i="20"/>
  <c r="I23" i="20"/>
  <c r="I24" i="20" l="1"/>
  <c r="G24" i="20"/>
  <c r="H24" i="20"/>
  <c r="K24" i="20"/>
  <c r="J24" i="20"/>
  <c r="J37" i="5"/>
  <c r="K36" i="5"/>
  <c r="L36" i="5"/>
  <c r="M36" i="5"/>
  <c r="N36" i="5"/>
  <c r="E25" i="20"/>
  <c r="D25" i="20"/>
  <c r="F25" i="20"/>
  <c r="C25" i="20"/>
  <c r="B25" i="20"/>
  <c r="P39" i="5"/>
  <c r="I25" i="20" l="1"/>
  <c r="J25" i="20"/>
  <c r="G25" i="20"/>
  <c r="H25" i="20"/>
  <c r="F26" i="20"/>
  <c r="E26" i="20"/>
  <c r="C26" i="20"/>
  <c r="B26" i="20"/>
  <c r="D26" i="20"/>
  <c r="P40" i="5"/>
  <c r="J38" i="5"/>
  <c r="L37" i="5"/>
  <c r="K37" i="5"/>
  <c r="M37" i="5"/>
  <c r="N37" i="5"/>
  <c r="I26" i="20" l="1"/>
  <c r="K25" i="20"/>
  <c r="J26" i="20"/>
  <c r="J39" i="5"/>
  <c r="L38" i="5"/>
  <c r="K38" i="5"/>
  <c r="N38" i="5"/>
  <c r="M38" i="5"/>
  <c r="D27" i="20"/>
  <c r="C27" i="20"/>
  <c r="B27" i="20"/>
  <c r="E27" i="20"/>
  <c r="F27" i="20"/>
  <c r="P41" i="5"/>
  <c r="G26" i="20"/>
  <c r="H26" i="20"/>
  <c r="K26" i="20" l="1"/>
  <c r="H27" i="20"/>
  <c r="I27" i="20"/>
  <c r="J40" i="5"/>
  <c r="M39" i="5"/>
  <c r="L39" i="5"/>
  <c r="K39" i="5"/>
  <c r="N39" i="5"/>
  <c r="B28" i="20"/>
  <c r="F28" i="20"/>
  <c r="E28" i="20"/>
  <c r="D28" i="20"/>
  <c r="C28" i="20"/>
  <c r="P42" i="5"/>
  <c r="G27" i="20"/>
  <c r="K27" i="20"/>
  <c r="J27" i="20"/>
  <c r="H28" i="20" l="1"/>
  <c r="G28" i="20"/>
  <c r="E29" i="20"/>
  <c r="D29" i="20"/>
  <c r="F29" i="20"/>
  <c r="C29" i="20"/>
  <c r="B29" i="20"/>
  <c r="P43" i="5"/>
  <c r="I28" i="20"/>
  <c r="J41" i="5"/>
  <c r="L40" i="5"/>
  <c r="N40" i="5"/>
  <c r="K40" i="5"/>
  <c r="M40" i="5"/>
  <c r="J28" i="20"/>
  <c r="K28" i="20" s="1"/>
  <c r="G29" i="20" l="1"/>
  <c r="J42" i="5"/>
  <c r="L41" i="5"/>
  <c r="N41" i="5"/>
  <c r="K41" i="5"/>
  <c r="M41" i="5"/>
  <c r="I29" i="20"/>
  <c r="F30" i="20"/>
  <c r="E30" i="20"/>
  <c r="C30" i="20"/>
  <c r="B30" i="20"/>
  <c r="D30" i="20"/>
  <c r="P44" i="5"/>
  <c r="H29" i="20"/>
  <c r="J29" i="20"/>
  <c r="K29" i="20" l="1"/>
  <c r="J30" i="20"/>
  <c r="K42" i="5"/>
  <c r="L42" i="5"/>
  <c r="N42" i="5"/>
  <c r="M42" i="5"/>
  <c r="I30" i="20"/>
  <c r="D31" i="20"/>
  <c r="C31" i="20"/>
  <c r="F31" i="20"/>
  <c r="E31" i="20"/>
  <c r="B31" i="20"/>
  <c r="P45" i="5"/>
  <c r="H30" i="20"/>
  <c r="G30" i="20"/>
  <c r="J31" i="20" l="1"/>
  <c r="K30" i="20"/>
  <c r="I31" i="20"/>
  <c r="H31" i="20"/>
  <c r="B32" i="20"/>
  <c r="F32" i="20"/>
  <c r="C32" i="20"/>
  <c r="E32" i="20"/>
  <c r="D32" i="20"/>
  <c r="P46" i="5"/>
  <c r="K31" i="20"/>
  <c r="G31" i="20"/>
  <c r="I32" i="20" l="1"/>
  <c r="H32" i="20"/>
  <c r="J32" i="20"/>
  <c r="G32" i="20"/>
  <c r="E33" i="20"/>
  <c r="D33" i="20"/>
  <c r="F33" i="20"/>
  <c r="C33" i="20"/>
  <c r="B33" i="20"/>
  <c r="P47" i="5"/>
  <c r="K32" i="20" l="1"/>
  <c r="I33" i="20"/>
  <c r="F34" i="20"/>
  <c r="E34" i="20"/>
  <c r="C34" i="20"/>
  <c r="B34" i="20"/>
  <c r="D34" i="20"/>
  <c r="P48" i="5"/>
  <c r="K33" i="20"/>
  <c r="G33" i="20"/>
  <c r="J33" i="20"/>
  <c r="H33" i="20"/>
  <c r="G34" i="20" l="1"/>
  <c r="H34" i="20"/>
  <c r="I34" i="20"/>
  <c r="J34" i="20"/>
  <c r="D35" i="20"/>
  <c r="C35" i="20"/>
  <c r="B35" i="20"/>
  <c r="E35" i="20"/>
  <c r="F35" i="20"/>
  <c r="P49" i="5"/>
  <c r="J35" i="20" l="1"/>
  <c r="K34" i="20"/>
  <c r="G35" i="20"/>
  <c r="I35" i="20"/>
  <c r="B36" i="20"/>
  <c r="F36" i="20"/>
  <c r="E36" i="20"/>
  <c r="D36" i="20"/>
  <c r="C36" i="20"/>
  <c r="P50" i="5"/>
  <c r="H35" i="20"/>
  <c r="K35" i="20" l="1"/>
  <c r="J36" i="20"/>
  <c r="H36" i="20"/>
  <c r="G36" i="20"/>
  <c r="E37" i="20"/>
  <c r="D37" i="20"/>
  <c r="F37" i="20"/>
  <c r="C37" i="20"/>
  <c r="B37" i="20"/>
  <c r="P51" i="5"/>
  <c r="I36" i="20"/>
  <c r="K36" i="20" l="1"/>
  <c r="I37" i="20"/>
  <c r="J37" i="20"/>
  <c r="K37" i="20"/>
  <c r="G37" i="20"/>
  <c r="H37" i="20"/>
  <c r="F38" i="20"/>
  <c r="E38" i="20"/>
  <c r="C38" i="20"/>
  <c r="B38" i="20"/>
  <c r="D38" i="20"/>
  <c r="P52" i="5"/>
  <c r="J38" i="20" l="1"/>
  <c r="D39" i="20"/>
  <c r="C39" i="20"/>
  <c r="F39" i="20"/>
  <c r="E39" i="20"/>
  <c r="K39" i="20" s="1"/>
  <c r="B39" i="20"/>
  <c r="P53" i="5"/>
  <c r="G38" i="20"/>
  <c r="H38" i="20"/>
  <c r="I38" i="20"/>
  <c r="K38" i="20" l="1"/>
  <c r="I39" i="20"/>
  <c r="G39" i="20"/>
  <c r="J39" i="20"/>
  <c r="H39" i="20"/>
  <c r="B40" i="20"/>
  <c r="F40" i="20"/>
  <c r="C40" i="20"/>
  <c r="D40" i="20"/>
  <c r="E40" i="20"/>
  <c r="P54" i="5"/>
  <c r="H40" i="20" l="1"/>
  <c r="G40" i="20"/>
  <c r="E41" i="20"/>
  <c r="D41" i="20"/>
  <c r="F41" i="20"/>
  <c r="C41" i="20"/>
  <c r="B41" i="20"/>
  <c r="P55" i="5"/>
  <c r="I40" i="20"/>
  <c r="J40" i="20"/>
  <c r="K40" i="20" l="1"/>
  <c r="I41" i="20"/>
  <c r="F42" i="20"/>
  <c r="E42" i="20"/>
  <c r="C42" i="20"/>
  <c r="B42" i="20"/>
  <c r="D42" i="20"/>
  <c r="P56" i="5"/>
  <c r="J41" i="20"/>
  <c r="G41" i="20"/>
  <c r="K41" i="20"/>
  <c r="H41" i="20"/>
  <c r="G42" i="20" l="1"/>
  <c r="H42" i="20"/>
  <c r="I42" i="20"/>
  <c r="J42" i="20"/>
  <c r="D43" i="20"/>
  <c r="C43" i="20"/>
  <c r="B43" i="20"/>
  <c r="E43" i="20"/>
  <c r="F43" i="20"/>
  <c r="P57" i="5"/>
  <c r="G43" i="20" l="1"/>
  <c r="K42" i="20"/>
  <c r="B44" i="20"/>
  <c r="F44" i="20"/>
  <c r="E44" i="20"/>
  <c r="D44" i="20"/>
  <c r="C44" i="20"/>
  <c r="P58" i="5"/>
  <c r="J43" i="20"/>
  <c r="H43" i="20"/>
  <c r="I43" i="20"/>
  <c r="K43" i="20" l="1"/>
  <c r="J44" i="20"/>
  <c r="H44" i="20"/>
  <c r="G44" i="20"/>
  <c r="E45" i="20"/>
  <c r="D45" i="20"/>
  <c r="F45" i="20"/>
  <c r="C45" i="20"/>
  <c r="B45" i="20"/>
  <c r="P59" i="5"/>
  <c r="I44" i="20"/>
  <c r="K44" i="20"/>
  <c r="I45" i="20" l="1"/>
  <c r="K45" i="20"/>
  <c r="G45" i="20"/>
  <c r="J45" i="20"/>
  <c r="H45" i="20"/>
  <c r="F46" i="20"/>
  <c r="E46" i="20"/>
  <c r="C46" i="20"/>
  <c r="B46" i="20"/>
  <c r="D46" i="20"/>
  <c r="P60" i="5"/>
  <c r="J46" i="20" l="1"/>
  <c r="D47" i="20"/>
  <c r="C47" i="20"/>
  <c r="F47" i="20"/>
  <c r="E47" i="20"/>
  <c r="B47" i="20"/>
  <c r="P61" i="5"/>
  <c r="K46" i="20"/>
  <c r="G46" i="20"/>
  <c r="I46" i="20"/>
  <c r="H46" i="20"/>
  <c r="K47" i="20" l="1"/>
  <c r="G47" i="20"/>
  <c r="J47" i="20"/>
  <c r="B48" i="20"/>
  <c r="F48" i="20"/>
  <c r="C48" i="20"/>
  <c r="E48" i="20"/>
  <c r="D48" i="20"/>
  <c r="P62" i="5"/>
  <c r="H47" i="20"/>
  <c r="I47" i="20"/>
  <c r="J48" i="20" l="1"/>
  <c r="H48" i="20"/>
  <c r="G48" i="20"/>
  <c r="E49" i="20"/>
  <c r="D49" i="20"/>
  <c r="F49" i="20"/>
  <c r="C49" i="20"/>
  <c r="B49" i="20"/>
  <c r="P63" i="5"/>
  <c r="I48" i="20"/>
  <c r="K48" i="20" l="1"/>
  <c r="I49" i="20"/>
  <c r="F50" i="20"/>
  <c r="E50" i="20"/>
  <c r="C50" i="20"/>
  <c r="B50" i="20"/>
  <c r="D50" i="20"/>
  <c r="P64" i="5"/>
  <c r="J49" i="20"/>
  <c r="G49" i="20"/>
  <c r="K49" i="20"/>
  <c r="H49" i="20"/>
  <c r="G50" i="20" l="1"/>
  <c r="H50" i="20"/>
  <c r="J50" i="20"/>
  <c r="I50" i="20"/>
  <c r="D51" i="20"/>
  <c r="C51" i="20"/>
  <c r="B51" i="20"/>
  <c r="E51" i="20"/>
  <c r="F51" i="20"/>
  <c r="P65" i="5"/>
  <c r="I51" i="20" l="1"/>
  <c r="K50" i="20"/>
  <c r="B52" i="20"/>
  <c r="F52" i="20"/>
  <c r="E52" i="20"/>
  <c r="D52" i="20"/>
  <c r="C52" i="20"/>
  <c r="P66" i="5"/>
  <c r="G51" i="20"/>
  <c r="J51" i="20"/>
  <c r="H51" i="20"/>
  <c r="J52" i="20" l="1"/>
  <c r="K51" i="20"/>
  <c r="H52" i="20"/>
  <c r="G52" i="20"/>
  <c r="E53" i="20"/>
  <c r="D53" i="20"/>
  <c r="F53" i="20"/>
  <c r="B53" i="20"/>
  <c r="C53" i="20"/>
  <c r="P67" i="5"/>
  <c r="I52" i="20"/>
  <c r="J53" i="20" l="1"/>
  <c r="K52" i="20"/>
  <c r="G53" i="20"/>
  <c r="H53" i="20"/>
  <c r="F54" i="20"/>
  <c r="E54" i="20"/>
  <c r="C54" i="20"/>
  <c r="B54" i="20"/>
  <c r="D54" i="20"/>
  <c r="P68" i="5"/>
  <c r="I53" i="20"/>
  <c r="H54" i="20" l="1"/>
  <c r="J54" i="20"/>
  <c r="K53" i="20"/>
  <c r="G54" i="20"/>
  <c r="D55" i="20"/>
  <c r="C55" i="20"/>
  <c r="F55" i="20"/>
  <c r="E55" i="20"/>
  <c r="B55" i="20"/>
  <c r="P69" i="5"/>
  <c r="I54" i="20"/>
  <c r="H55" i="20" l="1"/>
  <c r="K54" i="20"/>
  <c r="I55" i="20"/>
  <c r="G55" i="20"/>
  <c r="J55" i="20"/>
  <c r="B56" i="20"/>
  <c r="F56" i="20"/>
  <c r="C56" i="20"/>
  <c r="E56" i="20"/>
  <c r="D56" i="20"/>
  <c r="P70" i="5"/>
  <c r="K55" i="20" l="1"/>
  <c r="G56" i="20"/>
  <c r="E57" i="20"/>
  <c r="D57" i="20"/>
  <c r="F57" i="20"/>
  <c r="C57" i="20"/>
  <c r="B57" i="20"/>
  <c r="P71" i="5"/>
  <c r="I56" i="20"/>
  <c r="J56" i="20"/>
  <c r="H56" i="20"/>
  <c r="K56" i="20" l="1"/>
  <c r="I57" i="20"/>
  <c r="F58" i="20"/>
  <c r="E58" i="20"/>
  <c r="C58" i="20"/>
  <c r="B58" i="20"/>
  <c r="D58" i="20"/>
  <c r="P72" i="5"/>
  <c r="J57" i="20"/>
  <c r="G57" i="20"/>
  <c r="H57" i="20"/>
  <c r="G58" i="20" l="1"/>
  <c r="K57" i="20"/>
  <c r="H58" i="20"/>
  <c r="I58" i="20"/>
  <c r="J58" i="20"/>
  <c r="D59" i="20"/>
  <c r="C59" i="20"/>
  <c r="B59" i="20"/>
  <c r="E59" i="20"/>
  <c r="F59" i="20"/>
  <c r="P73" i="5"/>
  <c r="K58" i="20" l="1"/>
  <c r="I59" i="20"/>
  <c r="B60" i="20"/>
  <c r="F60" i="20"/>
  <c r="E60" i="20"/>
  <c r="D60" i="20"/>
  <c r="C60" i="20"/>
  <c r="P74" i="5"/>
  <c r="G59" i="20"/>
  <c r="H59" i="20"/>
  <c r="J59" i="20"/>
  <c r="J60" i="20" l="1"/>
  <c r="K59" i="20"/>
  <c r="H60" i="20"/>
  <c r="G60" i="20"/>
  <c r="E61" i="20"/>
  <c r="D61" i="20"/>
  <c r="F61" i="20"/>
  <c r="C61" i="20"/>
  <c r="B61" i="20"/>
  <c r="P75" i="5"/>
  <c r="I60" i="20"/>
  <c r="K60" i="20" l="1"/>
  <c r="I61" i="20"/>
  <c r="G61" i="20"/>
  <c r="H61" i="20"/>
  <c r="J61" i="20"/>
  <c r="F62" i="20"/>
  <c r="E62" i="20"/>
  <c r="C62" i="20"/>
  <c r="B62" i="20"/>
  <c r="D62" i="20"/>
  <c r="P76" i="5"/>
  <c r="K61" i="20" l="1"/>
  <c r="J62" i="20"/>
  <c r="D63" i="20"/>
  <c r="C63" i="20"/>
  <c r="E63" i="20"/>
  <c r="F63" i="20"/>
  <c r="B63" i="20"/>
  <c r="P77" i="5"/>
  <c r="K62" i="20"/>
  <c r="H62" i="20"/>
  <c r="I62" i="20"/>
  <c r="G62" i="20"/>
  <c r="G63" i="20" l="1"/>
  <c r="H63" i="20"/>
  <c r="I63" i="20"/>
  <c r="J63" i="20"/>
  <c r="B64" i="20"/>
  <c r="F64" i="20"/>
  <c r="C64" i="20"/>
  <c r="D64" i="20"/>
  <c r="E64" i="20"/>
  <c r="P78" i="5"/>
  <c r="K63" i="20" l="1"/>
  <c r="K64" i="20"/>
  <c r="G64" i="20"/>
  <c r="E65" i="20"/>
  <c r="D65" i="20"/>
  <c r="F65" i="20"/>
  <c r="C65" i="20"/>
  <c r="B65" i="20"/>
  <c r="P79" i="5"/>
  <c r="H64" i="20"/>
  <c r="J64" i="20"/>
  <c r="I64" i="20"/>
  <c r="H65" i="20" l="1"/>
  <c r="I65" i="20"/>
  <c r="J65" i="20"/>
  <c r="G65" i="20"/>
  <c r="F66" i="20"/>
  <c r="E66" i="20"/>
  <c r="D66" i="20"/>
  <c r="C66" i="20"/>
  <c r="B66" i="20"/>
  <c r="P80" i="5"/>
  <c r="J66" i="20" l="1"/>
  <c r="K65" i="20"/>
  <c r="K66" i="20"/>
  <c r="I66" i="20"/>
  <c r="G66" i="20"/>
  <c r="D67" i="20"/>
  <c r="C67" i="20"/>
  <c r="B67" i="20"/>
  <c r="E67" i="20"/>
  <c r="F67" i="20"/>
  <c r="P81" i="5"/>
  <c r="H66" i="20"/>
  <c r="I67" i="20" l="1"/>
  <c r="J67" i="20"/>
  <c r="G67" i="20"/>
  <c r="B68" i="20"/>
  <c r="F68" i="20"/>
  <c r="C68" i="20"/>
  <c r="E68" i="20"/>
  <c r="D68" i="20"/>
  <c r="P82" i="5"/>
  <c r="H67" i="20"/>
  <c r="K67" i="20" l="1"/>
  <c r="H68" i="20"/>
  <c r="F69" i="20"/>
  <c r="E69" i="20"/>
  <c r="D69" i="20"/>
  <c r="C69" i="20"/>
  <c r="B69" i="20"/>
  <c r="P83" i="5"/>
  <c r="I68" i="20"/>
  <c r="J68" i="20"/>
  <c r="G68" i="20"/>
  <c r="K68" i="20" l="1"/>
  <c r="J69" i="20"/>
  <c r="I69" i="20"/>
  <c r="K69" i="20"/>
  <c r="G69" i="20"/>
  <c r="H69" i="20"/>
  <c r="F70" i="20"/>
  <c r="E70" i="20"/>
  <c r="D70" i="20"/>
  <c r="C70" i="20"/>
  <c r="B70" i="20"/>
  <c r="P84" i="5"/>
  <c r="J70" i="20" l="1"/>
  <c r="I70" i="20"/>
  <c r="H70" i="20"/>
  <c r="G70" i="20"/>
  <c r="K70" i="20"/>
  <c r="D71" i="20"/>
  <c r="C71" i="20"/>
  <c r="B71" i="20"/>
  <c r="E71" i="20"/>
  <c r="F71" i="20"/>
  <c r="P85" i="5"/>
  <c r="I71" i="20" l="1"/>
  <c r="G71" i="20"/>
  <c r="J71" i="20"/>
  <c r="H71" i="20"/>
  <c r="B72" i="20"/>
  <c r="F72" i="20"/>
  <c r="C72" i="20"/>
  <c r="E72" i="20"/>
  <c r="D72" i="20"/>
  <c r="P86" i="5"/>
  <c r="K71" i="20" l="1"/>
  <c r="G72" i="20"/>
  <c r="H72" i="20"/>
  <c r="J72" i="20"/>
  <c r="I72" i="20"/>
  <c r="F73" i="20"/>
  <c r="E73" i="20"/>
  <c r="D73" i="20"/>
  <c r="B73" i="20"/>
  <c r="C73" i="20"/>
  <c r="P87" i="5"/>
  <c r="K72" i="20"/>
  <c r="I73" i="20" l="1"/>
  <c r="F74" i="20"/>
  <c r="E74" i="20"/>
  <c r="D74" i="20"/>
  <c r="C74" i="20"/>
  <c r="B74" i="20"/>
  <c r="P88" i="5"/>
  <c r="J73" i="20"/>
  <c r="G73" i="20"/>
  <c r="K73" i="20"/>
  <c r="H73" i="20"/>
  <c r="I74" i="20" l="1"/>
  <c r="G74" i="20"/>
  <c r="J74" i="20"/>
  <c r="D75" i="20"/>
  <c r="C75" i="20"/>
  <c r="B75" i="20"/>
  <c r="E75" i="20"/>
  <c r="F75" i="20"/>
  <c r="P89" i="5"/>
  <c r="H74" i="20"/>
  <c r="K74" i="20" l="1"/>
  <c r="I75" i="20"/>
  <c r="J75" i="20"/>
  <c r="B76" i="20"/>
  <c r="F76" i="20"/>
  <c r="C76" i="20"/>
  <c r="D76" i="20"/>
  <c r="E76" i="20"/>
  <c r="P90" i="5"/>
  <c r="G75" i="20"/>
  <c r="H75" i="20"/>
  <c r="K75" i="20" l="1"/>
  <c r="J76" i="20"/>
  <c r="H76" i="20"/>
  <c r="G76" i="20"/>
  <c r="F77" i="20"/>
  <c r="E77" i="20"/>
  <c r="D77" i="20"/>
  <c r="C77" i="20"/>
  <c r="B77" i="20"/>
  <c r="P91" i="5"/>
  <c r="I76" i="20"/>
  <c r="I77" i="20" l="1"/>
  <c r="K76" i="20"/>
  <c r="G77" i="20"/>
  <c r="H77" i="20"/>
  <c r="J77" i="20"/>
  <c r="F78" i="20"/>
  <c r="E78" i="20"/>
  <c r="D78" i="20"/>
  <c r="C78" i="20"/>
  <c r="B78" i="20"/>
  <c r="P92" i="5"/>
  <c r="K77" i="20"/>
  <c r="J78" i="20" l="1"/>
  <c r="D79" i="20"/>
  <c r="C79" i="20"/>
  <c r="B79" i="20"/>
  <c r="E79" i="20"/>
  <c r="F79" i="20"/>
  <c r="P93" i="5"/>
  <c r="I78" i="20"/>
  <c r="H78" i="20"/>
  <c r="K78" i="20"/>
  <c r="G78" i="20"/>
  <c r="I79" i="20" l="1"/>
  <c r="H79" i="20"/>
  <c r="J79" i="20"/>
  <c r="B80" i="20"/>
  <c r="F80" i="20"/>
  <c r="C80" i="20"/>
  <c r="D80" i="20"/>
  <c r="E80" i="20"/>
  <c r="P94" i="5"/>
  <c r="G79" i="20"/>
  <c r="K79" i="20" l="1"/>
  <c r="K80" i="20"/>
  <c r="G80" i="20"/>
  <c r="H80" i="20"/>
  <c r="I80" i="20"/>
  <c r="J80" i="20"/>
  <c r="F81" i="20"/>
  <c r="E81" i="20"/>
  <c r="D81" i="20"/>
  <c r="C81" i="20"/>
  <c r="B81" i="20"/>
  <c r="P95" i="5"/>
  <c r="I81" i="20" l="1"/>
  <c r="F82" i="20"/>
  <c r="E82" i="20"/>
  <c r="D82" i="20"/>
  <c r="C82" i="20"/>
  <c r="B82" i="20"/>
  <c r="P96" i="5"/>
  <c r="G81" i="20"/>
  <c r="H81" i="20"/>
  <c r="J81" i="20"/>
  <c r="H82" i="20" l="1"/>
  <c r="K81" i="20"/>
  <c r="G82" i="20"/>
  <c r="J82" i="20"/>
  <c r="K82" i="20"/>
  <c r="D83" i="20"/>
  <c r="C83" i="20"/>
  <c r="B83" i="20"/>
  <c r="E83" i="20"/>
  <c r="F83" i="20"/>
  <c r="P97" i="5"/>
  <c r="I82" i="20"/>
  <c r="I83" i="20" l="1"/>
  <c r="J83" i="20"/>
  <c r="B84" i="20"/>
  <c r="F84" i="20"/>
  <c r="C84" i="20"/>
  <c r="E84" i="20"/>
  <c r="D84" i="20"/>
  <c r="P98" i="5"/>
  <c r="G83" i="20"/>
  <c r="H83" i="20"/>
  <c r="K83" i="20" l="1"/>
  <c r="G84" i="20"/>
  <c r="H84" i="20"/>
  <c r="F85" i="20"/>
  <c r="E85" i="20"/>
  <c r="D85" i="20"/>
  <c r="C85" i="20"/>
  <c r="B85" i="20"/>
  <c r="P99" i="5"/>
  <c r="I84" i="20"/>
  <c r="J84" i="20"/>
  <c r="K84" i="20" l="1"/>
  <c r="I85" i="20"/>
  <c r="F86" i="20"/>
  <c r="E86" i="20"/>
  <c r="D86" i="20"/>
  <c r="C86" i="20"/>
  <c r="B86" i="20"/>
  <c r="P100" i="5"/>
  <c r="K85" i="20"/>
  <c r="G85" i="20"/>
  <c r="H85" i="20"/>
  <c r="J85" i="20"/>
  <c r="I86" i="20" l="1"/>
  <c r="G86" i="20"/>
  <c r="J86" i="20"/>
  <c r="D87" i="20"/>
  <c r="C87" i="20"/>
  <c r="B87" i="20"/>
  <c r="E87" i="20"/>
  <c r="F87" i="20"/>
  <c r="P101" i="5"/>
  <c r="H86" i="20"/>
  <c r="K86" i="20" l="1"/>
  <c r="I87" i="20"/>
  <c r="J87" i="20"/>
  <c r="B88" i="20"/>
  <c r="F88" i="20"/>
  <c r="C88" i="20"/>
  <c r="E88" i="20"/>
  <c r="D88" i="20"/>
  <c r="P102" i="5"/>
  <c r="G87" i="20"/>
  <c r="H87" i="20"/>
  <c r="K88" i="20" l="1"/>
  <c r="K87" i="20"/>
  <c r="G88" i="20"/>
  <c r="H88" i="20"/>
  <c r="F89" i="20"/>
  <c r="E89" i="20"/>
  <c r="D89" i="20"/>
  <c r="B89" i="20"/>
  <c r="C89" i="20"/>
  <c r="P103" i="5"/>
  <c r="I88" i="20"/>
  <c r="J88" i="20"/>
  <c r="I89" i="20" l="1"/>
  <c r="F90" i="20"/>
  <c r="E90" i="20"/>
  <c r="D90" i="20"/>
  <c r="C90" i="20"/>
  <c r="B90" i="20"/>
  <c r="P104" i="5"/>
  <c r="J89" i="20"/>
  <c r="G89" i="20"/>
  <c r="H89" i="20"/>
  <c r="I90" i="20" l="1"/>
  <c r="K89" i="20"/>
  <c r="G90" i="20"/>
  <c r="J90" i="20"/>
  <c r="K90" i="20"/>
  <c r="D91" i="20"/>
  <c r="C91" i="20"/>
  <c r="B91" i="20"/>
  <c r="E91" i="20"/>
  <c r="F91" i="20"/>
  <c r="P105" i="5"/>
  <c r="H90" i="20"/>
  <c r="I91" i="20" l="1"/>
  <c r="J91" i="20"/>
  <c r="B92" i="20"/>
  <c r="F92" i="20"/>
  <c r="C92" i="20"/>
  <c r="D92" i="20"/>
  <c r="E92" i="20"/>
  <c r="P106" i="5"/>
  <c r="H91" i="20"/>
  <c r="G91" i="20"/>
  <c r="K91" i="20" l="1"/>
  <c r="J92" i="20"/>
  <c r="G92" i="20"/>
  <c r="H92" i="20"/>
  <c r="F93" i="20"/>
  <c r="E93" i="20"/>
  <c r="D93" i="20"/>
  <c r="B93" i="20"/>
  <c r="C93" i="20"/>
  <c r="P107" i="5"/>
  <c r="I92" i="20"/>
  <c r="I93" i="20" l="1"/>
  <c r="K92" i="20"/>
  <c r="F94" i="20"/>
  <c r="E94" i="20"/>
  <c r="D94" i="20"/>
  <c r="C94" i="20"/>
  <c r="B94" i="20"/>
  <c r="P108" i="5"/>
  <c r="G93" i="20"/>
  <c r="H93" i="20"/>
  <c r="J93" i="20"/>
  <c r="I94" i="20" l="1"/>
  <c r="K93" i="20"/>
  <c r="G94" i="20"/>
  <c r="J94" i="20"/>
  <c r="D95" i="20"/>
  <c r="C95" i="20"/>
  <c r="B95" i="20"/>
  <c r="E95" i="20"/>
  <c r="F95" i="20"/>
  <c r="P109" i="5"/>
  <c r="H94" i="20"/>
  <c r="I95" i="20" l="1"/>
  <c r="K94" i="20"/>
  <c r="B96" i="20"/>
  <c r="F96" i="20"/>
  <c r="C96" i="20"/>
  <c r="E96" i="20"/>
  <c r="D96" i="20"/>
  <c r="P110" i="5"/>
  <c r="K95" i="20"/>
  <c r="G95" i="20"/>
  <c r="J95" i="20"/>
  <c r="H95" i="20"/>
  <c r="J96" i="20" l="1"/>
  <c r="G96" i="20"/>
  <c r="H96" i="20"/>
  <c r="F97" i="20"/>
  <c r="E97" i="20"/>
  <c r="D97" i="20"/>
  <c r="C97" i="20"/>
  <c r="B97" i="20"/>
  <c r="P111" i="5"/>
  <c r="I96" i="20"/>
  <c r="I97" i="20" l="1"/>
  <c r="K96" i="20"/>
  <c r="H97" i="20"/>
  <c r="F98" i="20"/>
  <c r="E98" i="20"/>
  <c r="D98" i="20"/>
  <c r="G98" i="20" s="1"/>
  <c r="C98" i="20"/>
  <c r="B98" i="20"/>
  <c r="P112" i="5"/>
  <c r="G97" i="20"/>
  <c r="J97" i="20"/>
  <c r="K97" i="20" l="1"/>
  <c r="J98" i="20"/>
  <c r="D99" i="20"/>
  <c r="C99" i="20"/>
  <c r="B99" i="20"/>
  <c r="E99" i="20"/>
  <c r="F99" i="20"/>
  <c r="P113" i="5"/>
  <c r="I98" i="20"/>
  <c r="H98" i="20"/>
  <c r="K98" i="20" l="1"/>
  <c r="H99" i="20"/>
  <c r="J99" i="20"/>
  <c r="I99" i="20"/>
  <c r="B100" i="20"/>
  <c r="F100" i="20"/>
  <c r="C100" i="20"/>
  <c r="E100" i="20"/>
  <c r="D100" i="20"/>
  <c r="P114" i="5"/>
  <c r="K99" i="20"/>
  <c r="G99" i="20"/>
  <c r="G100" i="20" l="1"/>
  <c r="H100" i="20"/>
  <c r="F101" i="20"/>
  <c r="E101" i="20"/>
  <c r="D101" i="20"/>
  <c r="C101" i="20"/>
  <c r="B101" i="20"/>
  <c r="P115" i="5"/>
  <c r="I100" i="20"/>
  <c r="J100" i="20"/>
  <c r="I101" i="20" l="1"/>
  <c r="K100" i="20"/>
  <c r="F102" i="20"/>
  <c r="E102" i="20"/>
  <c r="D102" i="20"/>
  <c r="C102" i="20"/>
  <c r="B102" i="20"/>
  <c r="P116" i="5"/>
  <c r="G101" i="20"/>
  <c r="H101" i="20"/>
  <c r="J101" i="20"/>
  <c r="I102" i="20" l="1"/>
  <c r="K101" i="20"/>
  <c r="G102" i="20"/>
  <c r="J102" i="20"/>
  <c r="K102" i="20"/>
  <c r="D103" i="20"/>
  <c r="C103" i="20"/>
  <c r="B103" i="20"/>
  <c r="E103" i="20"/>
  <c r="F103" i="20"/>
  <c r="P117" i="5"/>
  <c r="H102" i="20"/>
  <c r="I103" i="20" l="1"/>
  <c r="J103" i="20"/>
  <c r="G103" i="20"/>
  <c r="H103" i="20"/>
  <c r="B104" i="20"/>
  <c r="F104" i="20"/>
  <c r="C104" i="20"/>
  <c r="E104" i="20"/>
  <c r="D104" i="20"/>
  <c r="P118" i="5"/>
  <c r="K103" i="20" l="1"/>
  <c r="G104" i="20"/>
  <c r="F105" i="20"/>
  <c r="E105" i="20"/>
  <c r="D105" i="20"/>
  <c r="B105" i="20"/>
  <c r="C105" i="20"/>
  <c r="P119" i="5"/>
  <c r="J104" i="20"/>
  <c r="H104" i="20"/>
  <c r="I104" i="20"/>
  <c r="H105" i="20" l="1"/>
  <c r="K104" i="20"/>
  <c r="I105" i="20"/>
  <c r="G105" i="20"/>
  <c r="F106" i="20"/>
  <c r="E106" i="20"/>
  <c r="D106" i="20"/>
  <c r="C106" i="20"/>
  <c r="B106" i="20"/>
  <c r="P120" i="5"/>
  <c r="J105" i="20"/>
  <c r="G106" i="20" l="1"/>
  <c r="K105" i="20"/>
  <c r="J106" i="20"/>
  <c r="K106" i="20"/>
  <c r="H106" i="20"/>
  <c r="I106" i="20"/>
  <c r="D107" i="20"/>
  <c r="C107" i="20"/>
  <c r="B107" i="20"/>
  <c r="E107" i="20"/>
  <c r="F107" i="20"/>
  <c r="P121" i="5"/>
  <c r="I107" i="20" l="1"/>
  <c r="J107" i="20"/>
  <c r="G107" i="20"/>
  <c r="H107" i="20"/>
  <c r="B108" i="20"/>
  <c r="F108" i="20"/>
  <c r="C108" i="20"/>
  <c r="D108" i="20"/>
  <c r="E108" i="20"/>
  <c r="P122" i="5"/>
  <c r="K107" i="20" l="1"/>
  <c r="G108" i="20"/>
  <c r="H108" i="20"/>
  <c r="J108" i="20"/>
  <c r="F109" i="20"/>
  <c r="E109" i="20"/>
  <c r="D109" i="20"/>
  <c r="C109" i="20"/>
  <c r="B109" i="20"/>
  <c r="P123" i="5"/>
  <c r="I108" i="20"/>
  <c r="K108" i="20" l="1"/>
  <c r="I109" i="20"/>
  <c r="G109" i="20"/>
  <c r="H109" i="20"/>
  <c r="J109" i="20"/>
  <c r="K109" i="20" s="1"/>
  <c r="F110" i="20"/>
  <c r="E110" i="20"/>
  <c r="D110" i="20"/>
  <c r="C110" i="20"/>
  <c r="B110" i="20"/>
  <c r="P124" i="5"/>
  <c r="K110" i="20" l="1"/>
  <c r="H110" i="20"/>
  <c r="G110" i="20"/>
  <c r="J110" i="20"/>
  <c r="D111" i="20"/>
  <c r="C111" i="20"/>
  <c r="B111" i="20"/>
  <c r="E111" i="20"/>
  <c r="F111" i="20"/>
  <c r="P125" i="5"/>
  <c r="I110" i="20"/>
  <c r="I111" i="20" l="1"/>
  <c r="J111" i="20"/>
  <c r="G111" i="20"/>
  <c r="K111" i="20"/>
  <c r="B112" i="20"/>
  <c r="F112" i="20"/>
  <c r="C112" i="20"/>
  <c r="E112" i="20"/>
  <c r="D112" i="20"/>
  <c r="P126" i="5"/>
  <c r="H111" i="20"/>
  <c r="K112" i="20" l="1"/>
  <c r="G112" i="20"/>
  <c r="H112" i="20"/>
  <c r="I112" i="20"/>
  <c r="J112" i="20"/>
  <c r="F113" i="20"/>
  <c r="E113" i="20"/>
  <c r="D113" i="20"/>
  <c r="C113" i="20"/>
  <c r="B113" i="20"/>
  <c r="P127" i="5"/>
  <c r="I113" i="20" l="1"/>
  <c r="G113" i="20"/>
  <c r="H113" i="20"/>
  <c r="F114" i="20"/>
  <c r="E114" i="20"/>
  <c r="D114" i="20"/>
  <c r="C114" i="20"/>
  <c r="B114" i="20"/>
  <c r="P128" i="5"/>
  <c r="J113" i="20"/>
  <c r="K113" i="20"/>
  <c r="G114" i="20" l="1"/>
  <c r="J114" i="20"/>
  <c r="D115" i="20"/>
  <c r="C115" i="20"/>
  <c r="B115" i="20"/>
  <c r="E115" i="20"/>
  <c r="F115" i="20"/>
  <c r="P129" i="5"/>
  <c r="I114" i="20"/>
  <c r="H114" i="20"/>
  <c r="K114" i="20" s="1"/>
  <c r="H115" i="20" l="1"/>
  <c r="I115" i="20"/>
  <c r="J115" i="20"/>
  <c r="K115" i="20"/>
  <c r="B116" i="20"/>
  <c r="F116" i="20"/>
  <c r="C116" i="20"/>
  <c r="E116" i="20"/>
  <c r="D116" i="20"/>
  <c r="P130" i="5"/>
  <c r="G115" i="20"/>
  <c r="K116" i="20" l="1"/>
  <c r="G116" i="20"/>
  <c r="H116" i="20"/>
  <c r="F117" i="20"/>
  <c r="E117" i="20"/>
  <c r="D117" i="20"/>
  <c r="C117" i="20"/>
  <c r="B117" i="20"/>
  <c r="P131" i="5"/>
  <c r="J116" i="20"/>
  <c r="I116" i="20"/>
  <c r="J117" i="20" l="1"/>
  <c r="I117" i="20"/>
  <c r="K117" i="20"/>
  <c r="G117" i="20"/>
  <c r="H117" i="20"/>
  <c r="F118" i="20"/>
  <c r="E118" i="20"/>
  <c r="D118" i="20"/>
  <c r="C118" i="20"/>
  <c r="B118" i="20"/>
  <c r="P132" i="5"/>
  <c r="J118" i="20" l="1"/>
  <c r="H118" i="20"/>
  <c r="D119" i="20"/>
  <c r="C119" i="20"/>
  <c r="B119" i="20"/>
  <c r="E119" i="20"/>
  <c r="F119" i="20"/>
  <c r="P133" i="5"/>
  <c r="G118" i="20"/>
  <c r="I118" i="20"/>
  <c r="K119" i="20" l="1"/>
  <c r="K118" i="20"/>
  <c r="H119" i="20"/>
  <c r="G119" i="20"/>
  <c r="I119" i="20"/>
  <c r="J119" i="20"/>
  <c r="B120" i="20"/>
  <c r="F120" i="20"/>
  <c r="C120" i="20"/>
  <c r="E120" i="20"/>
  <c r="D120" i="20"/>
  <c r="P134" i="5"/>
  <c r="G120" i="20" l="1"/>
  <c r="H120" i="20"/>
  <c r="I120" i="20"/>
  <c r="J120" i="20"/>
  <c r="F121" i="20"/>
  <c r="E121" i="20"/>
  <c r="D121" i="20"/>
  <c r="B121" i="20"/>
  <c r="C121" i="20"/>
  <c r="P135" i="5"/>
  <c r="K120" i="20"/>
  <c r="I121" i="20" l="1"/>
  <c r="F122" i="20"/>
  <c r="E122" i="20"/>
  <c r="D122" i="20"/>
  <c r="C122" i="20"/>
  <c r="B122" i="20"/>
  <c r="P136" i="5"/>
  <c r="G121" i="20"/>
  <c r="J121" i="20"/>
  <c r="K121" i="20"/>
  <c r="H121" i="20"/>
  <c r="I122" i="20" l="1"/>
  <c r="G122" i="20"/>
  <c r="J122" i="20"/>
  <c r="K122" i="20"/>
  <c r="D123" i="20"/>
  <c r="C123" i="20"/>
  <c r="B123" i="20"/>
  <c r="E123" i="20"/>
  <c r="F123" i="20"/>
  <c r="P137" i="5"/>
  <c r="H122" i="20"/>
  <c r="H123" i="20" l="1"/>
  <c r="I123" i="20"/>
  <c r="J123" i="20"/>
  <c r="B124" i="20"/>
  <c r="F124" i="20"/>
  <c r="C124" i="20"/>
  <c r="D124" i="20"/>
  <c r="E124" i="20"/>
  <c r="P138" i="5"/>
  <c r="G123" i="20"/>
  <c r="K123" i="20" l="1"/>
  <c r="G124" i="20"/>
  <c r="H124" i="20"/>
  <c r="I124" i="20"/>
  <c r="J124" i="20"/>
  <c r="F125" i="20"/>
  <c r="E125" i="20"/>
  <c r="D125" i="20"/>
  <c r="C125" i="20"/>
  <c r="B125" i="20"/>
  <c r="P139" i="5"/>
  <c r="K124" i="20" l="1"/>
  <c r="I125" i="20"/>
  <c r="G125" i="20"/>
  <c r="H125" i="20"/>
  <c r="J125" i="20"/>
  <c r="F126" i="20"/>
  <c r="E126" i="20"/>
  <c r="D126" i="20"/>
  <c r="C126" i="20"/>
  <c r="B126" i="20"/>
  <c r="P140" i="5"/>
  <c r="K125" i="20" l="1"/>
  <c r="D127" i="20"/>
  <c r="F127" i="20"/>
  <c r="E127" i="20"/>
  <c r="C127" i="20"/>
  <c r="B127" i="20"/>
  <c r="P141" i="5"/>
  <c r="H126" i="20"/>
  <c r="I126" i="20"/>
  <c r="J126" i="20"/>
  <c r="G126" i="20"/>
  <c r="H127" i="20" l="1"/>
  <c r="K126" i="20"/>
  <c r="F128" i="20"/>
  <c r="E128" i="20"/>
  <c r="C128" i="20"/>
  <c r="B128" i="20"/>
  <c r="D128" i="20"/>
  <c r="H128" i="20" s="1"/>
  <c r="P142" i="5"/>
  <c r="J127" i="20"/>
  <c r="G127" i="20"/>
  <c r="I127" i="20"/>
  <c r="K127" i="20" l="1"/>
  <c r="I128" i="20"/>
  <c r="J128" i="20"/>
  <c r="K128" i="20"/>
  <c r="D129" i="20"/>
  <c r="C129" i="20"/>
  <c r="F129" i="20"/>
  <c r="E129" i="20"/>
  <c r="B129" i="20"/>
  <c r="P143" i="5"/>
  <c r="G128" i="20"/>
  <c r="G129" i="20" l="1"/>
  <c r="H129" i="20"/>
  <c r="I129" i="20"/>
  <c r="J129" i="20"/>
  <c r="K129" i="20"/>
  <c r="B130" i="20"/>
  <c r="F130" i="20"/>
  <c r="E130" i="20"/>
  <c r="D130" i="20"/>
  <c r="C130" i="20"/>
  <c r="P144" i="5"/>
  <c r="G130" i="20" l="1"/>
  <c r="E131" i="20"/>
  <c r="D131" i="20"/>
  <c r="C131" i="20"/>
  <c r="F131" i="20"/>
  <c r="B131" i="20"/>
  <c r="P145" i="5"/>
  <c r="I130" i="20"/>
  <c r="J130" i="20"/>
  <c r="H130" i="20"/>
  <c r="I131" i="20" l="1"/>
  <c r="K130" i="20"/>
  <c r="K131" i="20"/>
  <c r="F132" i="20"/>
  <c r="E132" i="20"/>
  <c r="C132" i="20"/>
  <c r="B132" i="20"/>
  <c r="D132" i="20"/>
  <c r="P146" i="5"/>
  <c r="G131" i="20"/>
  <c r="H131" i="20"/>
  <c r="J131" i="20"/>
  <c r="H132" i="20" l="1"/>
  <c r="I132" i="20"/>
  <c r="J132" i="20"/>
  <c r="K132" i="20"/>
  <c r="D133" i="20"/>
  <c r="C133" i="20"/>
  <c r="F133" i="20"/>
  <c r="E133" i="20"/>
  <c r="B133" i="20"/>
  <c r="P147" i="5"/>
  <c r="G132" i="20"/>
  <c r="G133" i="20" l="1"/>
  <c r="H133" i="20"/>
  <c r="I133" i="20"/>
  <c r="K133" i="20"/>
  <c r="B134" i="20"/>
  <c r="F134" i="20"/>
  <c r="E134" i="20"/>
  <c r="C134" i="20"/>
  <c r="D134" i="20"/>
  <c r="P148" i="5"/>
  <c r="J133" i="20"/>
  <c r="G134" i="20" l="1"/>
  <c r="E135" i="20"/>
  <c r="D135" i="20"/>
  <c r="C135" i="20"/>
  <c r="F135" i="20"/>
  <c r="B135" i="20"/>
  <c r="P149" i="5"/>
  <c r="I134" i="20"/>
  <c r="H134" i="20"/>
  <c r="J134" i="20"/>
  <c r="J135" i="20" l="1"/>
  <c r="K134" i="20"/>
  <c r="K135" i="20"/>
  <c r="F136" i="20"/>
  <c r="E136" i="20"/>
  <c r="C136" i="20"/>
  <c r="B136" i="20"/>
  <c r="D136" i="20"/>
  <c r="P150" i="5"/>
  <c r="G135" i="20"/>
  <c r="H135" i="20"/>
  <c r="I135" i="20"/>
  <c r="G136" i="20" l="1"/>
  <c r="I136" i="20"/>
  <c r="J136" i="20"/>
  <c r="D137" i="20"/>
  <c r="C137" i="20"/>
  <c r="F137" i="20"/>
  <c r="E137" i="20"/>
  <c r="B137" i="20"/>
  <c r="P151" i="5"/>
  <c r="H136" i="20"/>
  <c r="K136" i="20" l="1"/>
  <c r="J137" i="20"/>
  <c r="G137" i="20"/>
  <c r="H137" i="20"/>
  <c r="I137" i="20"/>
  <c r="B138" i="20"/>
  <c r="F138" i="20"/>
  <c r="E138" i="20"/>
  <c r="C138" i="20"/>
  <c r="D138" i="20"/>
  <c r="P152" i="5"/>
  <c r="K137" i="20" l="1"/>
  <c r="J138" i="20"/>
  <c r="G138" i="20"/>
  <c r="I138" i="20"/>
  <c r="E139" i="20"/>
  <c r="D139" i="20"/>
  <c r="C139" i="20"/>
  <c r="F139" i="20"/>
  <c r="B139" i="20"/>
  <c r="P153" i="5"/>
  <c r="K138" i="20"/>
  <c r="H138" i="20"/>
  <c r="J139" i="20" l="1"/>
  <c r="F140" i="20"/>
  <c r="E140" i="20"/>
  <c r="C140" i="20"/>
  <c r="B140" i="20"/>
  <c r="D140" i="20"/>
  <c r="P154" i="5"/>
  <c r="G139" i="20"/>
  <c r="H139" i="20"/>
  <c r="I139" i="20"/>
  <c r="G140" i="20" l="1"/>
  <c r="K139" i="20"/>
  <c r="J140" i="20"/>
  <c r="I140" i="20"/>
  <c r="K140" i="20"/>
  <c r="D141" i="20"/>
  <c r="C141" i="20"/>
  <c r="F141" i="20"/>
  <c r="E141" i="20"/>
  <c r="B141" i="20"/>
  <c r="P155" i="5"/>
  <c r="H140" i="20"/>
  <c r="G141" i="20" l="1"/>
  <c r="I141" i="20"/>
  <c r="H141" i="20"/>
  <c r="B142" i="20"/>
  <c r="F142" i="20"/>
  <c r="E142" i="20"/>
  <c r="D142" i="20"/>
  <c r="J142" i="20" s="1"/>
  <c r="C142" i="20"/>
  <c r="P156" i="5"/>
  <c r="J141" i="20"/>
  <c r="K141" i="20" l="1"/>
  <c r="G142" i="20"/>
  <c r="I142" i="20"/>
  <c r="E143" i="20"/>
  <c r="D143" i="20"/>
  <c r="C143" i="20"/>
  <c r="F143" i="20"/>
  <c r="B143" i="20"/>
  <c r="P157" i="5"/>
  <c r="H142" i="20"/>
  <c r="K142" i="20" l="1"/>
  <c r="K143" i="20"/>
  <c r="G143" i="20"/>
  <c r="H143" i="20"/>
  <c r="J143" i="20"/>
  <c r="D144" i="20"/>
  <c r="C144" i="20"/>
  <c r="F144" i="20"/>
  <c r="E144" i="20"/>
  <c r="B144" i="20"/>
  <c r="P158" i="5"/>
  <c r="I143" i="20"/>
  <c r="I144" i="20" l="1"/>
  <c r="J144" i="20"/>
  <c r="H144" i="20"/>
  <c r="B145" i="20"/>
  <c r="F145" i="20"/>
  <c r="E145" i="20"/>
  <c r="C145" i="20"/>
  <c r="D145" i="20"/>
  <c r="P159" i="5"/>
  <c r="G144" i="20"/>
  <c r="K144" i="20"/>
  <c r="K145" i="20" l="1"/>
  <c r="G145" i="20"/>
  <c r="H145" i="20"/>
  <c r="D146" i="20"/>
  <c r="C146" i="20"/>
  <c r="B146" i="20"/>
  <c r="F146" i="20"/>
  <c r="E146" i="20"/>
  <c r="P160" i="5"/>
  <c r="I145" i="20"/>
  <c r="J145" i="20"/>
  <c r="J146" i="20" l="1"/>
  <c r="K146" i="20"/>
  <c r="F147" i="20"/>
  <c r="E147" i="20"/>
  <c r="C147" i="20"/>
  <c r="B147" i="20"/>
  <c r="D147" i="20"/>
  <c r="P161" i="5"/>
  <c r="G146" i="20"/>
  <c r="H146" i="20"/>
  <c r="I146" i="20"/>
  <c r="G147" i="20" l="1"/>
  <c r="H147" i="20"/>
  <c r="J147" i="20"/>
  <c r="D148" i="20"/>
  <c r="C148" i="20"/>
  <c r="F148" i="20"/>
  <c r="E148" i="20"/>
  <c r="B148" i="20"/>
  <c r="P162" i="5"/>
  <c r="I147" i="20"/>
  <c r="K147" i="20" l="1"/>
  <c r="J148" i="20"/>
  <c r="B149" i="20"/>
  <c r="F149" i="20"/>
  <c r="D149" i="20"/>
  <c r="C149" i="20"/>
  <c r="E149" i="20"/>
  <c r="P163" i="5"/>
  <c r="G148" i="20"/>
  <c r="H148" i="20"/>
  <c r="I148" i="20"/>
  <c r="K148" i="20" l="1"/>
  <c r="J149" i="20"/>
  <c r="G149" i="20"/>
  <c r="E150" i="20"/>
  <c r="D150" i="20"/>
  <c r="C150" i="20"/>
  <c r="B150" i="20"/>
  <c r="F150" i="20"/>
  <c r="P164" i="5"/>
  <c r="I149" i="20"/>
  <c r="H149" i="20"/>
  <c r="J150" i="20" l="1"/>
  <c r="K149" i="20"/>
  <c r="I150" i="20"/>
  <c r="G150" i="20"/>
  <c r="H150" i="20"/>
  <c r="K150" i="20" s="1"/>
  <c r="F151" i="20"/>
  <c r="E151" i="20"/>
  <c r="C151" i="20"/>
  <c r="B151" i="20"/>
  <c r="D151" i="20"/>
  <c r="P165" i="5"/>
  <c r="J151" i="20" l="1"/>
  <c r="D152" i="20"/>
  <c r="C152" i="20"/>
  <c r="E152" i="20"/>
  <c r="F152" i="20"/>
  <c r="B152" i="20"/>
  <c r="P166" i="5"/>
  <c r="H151" i="20"/>
  <c r="K151" i="20" s="1"/>
  <c r="I151" i="20"/>
  <c r="G151" i="20"/>
  <c r="J152" i="20" l="1"/>
  <c r="H152" i="20"/>
  <c r="I152" i="20"/>
  <c r="B153" i="20"/>
  <c r="F153" i="20"/>
  <c r="C153" i="20"/>
  <c r="D153" i="20"/>
  <c r="E153" i="20"/>
  <c r="P167" i="5"/>
  <c r="G152" i="20"/>
  <c r="K153" i="20" l="1"/>
  <c r="K152" i="20"/>
  <c r="G153" i="20"/>
  <c r="I153" i="20"/>
  <c r="E154" i="20"/>
  <c r="D154" i="20"/>
  <c r="F154" i="20"/>
  <c r="C154" i="20"/>
  <c r="B154" i="20"/>
  <c r="P168" i="5"/>
  <c r="H153" i="20"/>
  <c r="J153" i="20"/>
  <c r="H154" i="20" l="1"/>
  <c r="K154" i="20"/>
  <c r="I154" i="20"/>
  <c r="F155" i="20"/>
  <c r="E155" i="20"/>
  <c r="C155" i="20"/>
  <c r="B155" i="20"/>
  <c r="D155" i="20"/>
  <c r="P169" i="5"/>
  <c r="J154" i="20"/>
  <c r="G154" i="20"/>
  <c r="G155" i="20" l="1"/>
  <c r="J155" i="20"/>
  <c r="D156" i="20"/>
  <c r="C156" i="20"/>
  <c r="E156" i="20"/>
  <c r="F156" i="20"/>
  <c r="B156" i="20"/>
  <c r="P170" i="5"/>
  <c r="H155" i="20"/>
  <c r="I155" i="20"/>
  <c r="K155" i="20" l="1"/>
  <c r="K156" i="20"/>
  <c r="G156" i="20"/>
  <c r="H156" i="20"/>
  <c r="I156" i="20"/>
  <c r="B157" i="20"/>
  <c r="F157" i="20"/>
  <c r="C157" i="20"/>
  <c r="E157" i="20"/>
  <c r="D157" i="20"/>
  <c r="P171" i="5"/>
  <c r="J156" i="20"/>
  <c r="H157" i="20" l="1"/>
  <c r="G157" i="20"/>
  <c r="E158" i="20"/>
  <c r="D158" i="20"/>
  <c r="F158" i="20"/>
  <c r="C158" i="20"/>
  <c r="B158" i="20"/>
  <c r="P172" i="5"/>
  <c r="I157" i="20"/>
  <c r="J157" i="20"/>
  <c r="H158" i="20" l="1"/>
  <c r="K157" i="20"/>
  <c r="J158" i="20"/>
  <c r="I158" i="20"/>
  <c r="F159" i="20"/>
  <c r="E159" i="20"/>
  <c r="C159" i="20"/>
  <c r="B159" i="20"/>
  <c r="D159" i="20"/>
  <c r="P173" i="5"/>
  <c r="G158" i="20"/>
  <c r="G159" i="20" l="1"/>
  <c r="K158" i="20"/>
  <c r="J159" i="20"/>
  <c r="K159" i="20"/>
  <c r="D160" i="20"/>
  <c r="C160" i="20"/>
  <c r="E160" i="20"/>
  <c r="F160" i="20"/>
  <c r="B160" i="20"/>
  <c r="P174" i="5"/>
  <c r="H159" i="20"/>
  <c r="I159" i="20"/>
  <c r="J160" i="20" l="1"/>
  <c r="H160" i="20"/>
  <c r="I160" i="20"/>
  <c r="G160" i="20"/>
  <c r="B161" i="20"/>
  <c r="F161" i="20"/>
  <c r="C161" i="20"/>
  <c r="E161" i="20"/>
  <c r="D161" i="20"/>
  <c r="P175" i="5"/>
  <c r="K161" i="20" l="1"/>
  <c r="K160" i="20"/>
  <c r="G161" i="20"/>
  <c r="J161" i="20"/>
  <c r="E162" i="20"/>
  <c r="D162" i="20"/>
  <c r="F162" i="20"/>
  <c r="C162" i="20"/>
  <c r="B162" i="20"/>
  <c r="P176" i="5"/>
  <c r="I161" i="20"/>
  <c r="H161" i="20"/>
  <c r="J162" i="20" l="1"/>
  <c r="I162" i="20"/>
  <c r="G162" i="20"/>
  <c r="H162" i="20"/>
  <c r="F163" i="20"/>
  <c r="E163" i="20"/>
  <c r="C163" i="20"/>
  <c r="B163" i="20"/>
  <c r="D163" i="20"/>
  <c r="P177" i="5"/>
  <c r="G163" i="20" l="1"/>
  <c r="K162" i="20"/>
  <c r="J163" i="20"/>
  <c r="H163" i="20"/>
  <c r="D164" i="20"/>
  <c r="C164" i="20"/>
  <c r="E164" i="20"/>
  <c r="F164" i="20"/>
  <c r="B164" i="20"/>
  <c r="P178" i="5"/>
  <c r="I163" i="20"/>
  <c r="J164" i="20" l="1"/>
  <c r="K163" i="20"/>
  <c r="I164" i="20"/>
  <c r="K164" i="20"/>
  <c r="B165" i="20"/>
  <c r="F165" i="20"/>
  <c r="C165" i="20"/>
  <c r="E165" i="20"/>
  <c r="D165" i="20"/>
  <c r="P179" i="5"/>
  <c r="H164" i="20"/>
  <c r="G164" i="20"/>
  <c r="H165" i="20" l="1"/>
  <c r="K165" i="20"/>
  <c r="G165" i="20"/>
  <c r="E166" i="20"/>
  <c r="D166" i="20"/>
  <c r="B166" i="20"/>
  <c r="F166" i="20"/>
  <c r="C166" i="20"/>
  <c r="P180" i="5"/>
  <c r="I165" i="20"/>
  <c r="J165" i="20"/>
  <c r="K166" i="20" l="1"/>
  <c r="I166" i="20"/>
  <c r="G166" i="20"/>
  <c r="H166" i="20"/>
  <c r="F167" i="20"/>
  <c r="E167" i="20"/>
  <c r="C167" i="20"/>
  <c r="B167" i="20"/>
  <c r="D167" i="20"/>
  <c r="P181" i="5"/>
  <c r="J166" i="20"/>
  <c r="G167" i="20" l="1"/>
  <c r="J167" i="20"/>
  <c r="H167" i="20"/>
  <c r="D168" i="20"/>
  <c r="C168" i="20"/>
  <c r="E168" i="20"/>
  <c r="B168" i="20"/>
  <c r="F168" i="20"/>
  <c r="P182" i="5"/>
  <c r="I167" i="20"/>
  <c r="K167" i="20" l="1"/>
  <c r="J168" i="20"/>
  <c r="H168" i="20"/>
  <c r="I168" i="20"/>
  <c r="B169" i="20"/>
  <c r="F169" i="20"/>
  <c r="C169" i="20"/>
  <c r="E169" i="20"/>
  <c r="D169" i="20"/>
  <c r="P183" i="5"/>
  <c r="G168" i="20"/>
  <c r="K168" i="20" l="1"/>
  <c r="H169" i="20"/>
  <c r="K169" i="20"/>
  <c r="G169" i="20"/>
  <c r="E170" i="20"/>
  <c r="D170" i="20"/>
  <c r="C170" i="20"/>
  <c r="B170" i="20"/>
  <c r="F170" i="20"/>
  <c r="P184" i="5"/>
  <c r="I169" i="20"/>
  <c r="J169" i="20"/>
  <c r="I170" i="20" l="1"/>
  <c r="F171" i="20"/>
  <c r="E171" i="20"/>
  <c r="C171" i="20"/>
  <c r="B171" i="20"/>
  <c r="D171" i="20"/>
  <c r="P185" i="5"/>
  <c r="G170" i="20"/>
  <c r="J170" i="20"/>
  <c r="H170" i="20"/>
  <c r="G171" i="20" l="1"/>
  <c r="K170" i="20"/>
  <c r="J171" i="20"/>
  <c r="D172" i="20"/>
  <c r="C172" i="20"/>
  <c r="E172" i="20"/>
  <c r="F172" i="20"/>
  <c r="B172" i="20"/>
  <c r="P186" i="5"/>
  <c r="H171" i="20"/>
  <c r="I171" i="20"/>
  <c r="J172" i="20" l="1"/>
  <c r="K171" i="20"/>
  <c r="H172" i="20"/>
  <c r="I172" i="20"/>
  <c r="B173" i="20"/>
  <c r="F173" i="20"/>
  <c r="C173" i="20"/>
  <c r="E173" i="20"/>
  <c r="D173" i="20"/>
  <c r="P187" i="5"/>
  <c r="G172" i="20"/>
  <c r="K172" i="20"/>
  <c r="H173" i="20" l="1"/>
  <c r="G173" i="20"/>
  <c r="K173" i="20"/>
  <c r="E174" i="20"/>
  <c r="D174" i="20"/>
  <c r="F174" i="20"/>
  <c r="C174" i="20"/>
  <c r="B174" i="20"/>
  <c r="P188" i="5"/>
  <c r="I173" i="20"/>
  <c r="J173" i="20"/>
  <c r="H174" i="20" l="1"/>
  <c r="I174" i="20"/>
  <c r="F175" i="20"/>
  <c r="E175" i="20"/>
  <c r="C175" i="20"/>
  <c r="B175" i="20"/>
  <c r="D175" i="20"/>
  <c r="P189" i="5"/>
  <c r="G174" i="20"/>
  <c r="J174" i="20"/>
  <c r="K174" i="20" s="1"/>
  <c r="I175" i="20" l="1"/>
  <c r="G175" i="20"/>
  <c r="J175" i="20"/>
  <c r="D176" i="20"/>
  <c r="C176" i="20"/>
  <c r="E176" i="20"/>
  <c r="F176" i="20"/>
  <c r="B176" i="20"/>
  <c r="P190" i="5"/>
  <c r="K175" i="20"/>
  <c r="H175" i="20"/>
  <c r="G176" i="20" l="1"/>
  <c r="H176" i="20"/>
  <c r="I176" i="20"/>
  <c r="J176" i="20"/>
  <c r="B177" i="20"/>
  <c r="F177" i="20"/>
  <c r="C177" i="20"/>
  <c r="E177" i="20"/>
  <c r="D177" i="20"/>
  <c r="P191" i="5"/>
  <c r="K176" i="20" l="1"/>
  <c r="K177" i="20"/>
  <c r="G177" i="20"/>
  <c r="I177" i="20"/>
  <c r="J177" i="20"/>
  <c r="E178" i="20"/>
  <c r="D178" i="20"/>
  <c r="F178" i="20"/>
  <c r="C178" i="20"/>
  <c r="B178" i="20"/>
  <c r="P192" i="5"/>
  <c r="H177" i="20"/>
  <c r="J178" i="20" l="1"/>
  <c r="I178" i="20"/>
  <c r="F179" i="20"/>
  <c r="E179" i="20"/>
  <c r="C179" i="20"/>
  <c r="B179" i="20"/>
  <c r="D179" i="20"/>
  <c r="P193" i="5"/>
  <c r="K178" i="20"/>
  <c r="G178" i="20"/>
  <c r="H178" i="20"/>
  <c r="I179" i="20" l="1"/>
  <c r="G179" i="20"/>
  <c r="J179" i="20"/>
  <c r="D180" i="20"/>
  <c r="C180" i="20"/>
  <c r="E180" i="20"/>
  <c r="F180" i="20"/>
  <c r="B180" i="20"/>
  <c r="P194" i="5"/>
  <c r="K179" i="20"/>
  <c r="H179" i="20"/>
  <c r="J180" i="20" l="1"/>
  <c r="H180" i="20"/>
  <c r="B181" i="20"/>
  <c r="F181" i="20"/>
  <c r="C181" i="20"/>
  <c r="E181" i="20"/>
  <c r="D181" i="20"/>
  <c r="P195" i="5"/>
  <c r="I180" i="20"/>
  <c r="G180" i="20"/>
  <c r="H181" i="20" l="1"/>
  <c r="K180" i="20"/>
  <c r="K181" i="20"/>
  <c r="G181" i="20"/>
  <c r="E182" i="20"/>
  <c r="D182" i="20"/>
  <c r="F182" i="20"/>
  <c r="C182" i="20"/>
  <c r="B182" i="20"/>
  <c r="P196" i="5"/>
  <c r="I181" i="20"/>
  <c r="J181" i="20"/>
  <c r="J182" i="20" l="1"/>
  <c r="I182" i="20"/>
  <c r="G182" i="20"/>
  <c r="H182" i="20"/>
  <c r="K182" i="20" s="1"/>
  <c r="F183" i="20"/>
  <c r="E183" i="20"/>
  <c r="C183" i="20"/>
  <c r="B183" i="20"/>
  <c r="D183" i="20"/>
  <c r="P197" i="5"/>
  <c r="J183" i="20" l="1"/>
  <c r="K183" i="20"/>
  <c r="D184" i="20"/>
  <c r="C184" i="20"/>
  <c r="E184" i="20"/>
  <c r="F184" i="20"/>
  <c r="B184" i="20"/>
  <c r="P198" i="5"/>
  <c r="H183" i="20"/>
  <c r="I183" i="20"/>
  <c r="G183" i="20"/>
  <c r="G184" i="20" l="1"/>
  <c r="J184" i="20"/>
  <c r="H184" i="20"/>
  <c r="I184" i="20"/>
  <c r="K184" i="20"/>
  <c r="B185" i="20"/>
  <c r="F185" i="20"/>
  <c r="C185" i="20"/>
  <c r="D185" i="20"/>
  <c r="E185" i="20"/>
  <c r="P199" i="5"/>
  <c r="K185" i="20" l="1"/>
  <c r="G185" i="20"/>
  <c r="I185" i="20"/>
  <c r="E186" i="20"/>
  <c r="D186" i="20"/>
  <c r="F186" i="20"/>
  <c r="C186" i="20"/>
  <c r="B186" i="20"/>
  <c r="P200" i="5"/>
  <c r="H185" i="20"/>
  <c r="J185" i="20"/>
  <c r="J186" i="20" l="1"/>
  <c r="K186" i="20"/>
  <c r="G186" i="20"/>
  <c r="H186" i="20"/>
  <c r="I186" i="20"/>
  <c r="F187" i="20"/>
  <c r="E187" i="20"/>
  <c r="C187" i="20"/>
  <c r="B187" i="20"/>
  <c r="D187" i="20"/>
  <c r="P201" i="5"/>
  <c r="J187" i="20" l="1"/>
  <c r="K187" i="20"/>
  <c r="D188" i="20"/>
  <c r="C188" i="20"/>
  <c r="E188" i="20"/>
  <c r="F188" i="20"/>
  <c r="B188" i="20"/>
  <c r="P202" i="5"/>
  <c r="H187" i="20"/>
  <c r="I187" i="20"/>
  <c r="G187" i="20"/>
  <c r="G188" i="20" l="1"/>
  <c r="J188" i="20"/>
  <c r="H188" i="20"/>
  <c r="I188" i="20"/>
  <c r="K188" i="20"/>
  <c r="B189" i="20"/>
  <c r="F189" i="20"/>
  <c r="C189" i="20"/>
  <c r="E189" i="20"/>
  <c r="D189" i="20"/>
  <c r="P203" i="5"/>
  <c r="G189" i="20" l="1"/>
  <c r="E190" i="20"/>
  <c r="D190" i="20"/>
  <c r="J190" i="20" s="1"/>
  <c r="F190" i="20"/>
  <c r="C190" i="20"/>
  <c r="B190" i="20"/>
  <c r="P204" i="5"/>
  <c r="I189" i="20"/>
  <c r="H189" i="20"/>
  <c r="J189" i="20"/>
  <c r="K189" i="20" l="1"/>
  <c r="K190" i="20"/>
  <c r="I190" i="20"/>
  <c r="F191" i="20"/>
  <c r="E191" i="20"/>
  <c r="C191" i="20"/>
  <c r="B191" i="20"/>
  <c r="D191" i="20"/>
  <c r="G191" i="20" s="1"/>
  <c r="P205" i="5"/>
  <c r="G190" i="20"/>
  <c r="H190" i="20"/>
  <c r="J191" i="20" l="1"/>
  <c r="D192" i="20"/>
  <c r="C192" i="20"/>
  <c r="E192" i="20"/>
  <c r="J192" i="20" s="1"/>
  <c r="F192" i="20"/>
  <c r="B192" i="20"/>
  <c r="P206" i="5"/>
  <c r="I191" i="20"/>
  <c r="H191" i="20"/>
  <c r="G192" i="20" l="1"/>
  <c r="K191" i="20"/>
  <c r="H192" i="20"/>
  <c r="I192" i="20"/>
  <c r="K192" i="20"/>
  <c r="B193" i="20"/>
  <c r="F193" i="20"/>
  <c r="C193" i="20"/>
  <c r="E193" i="20"/>
  <c r="D193" i="20"/>
  <c r="P207" i="5"/>
  <c r="G193" i="20" l="1"/>
  <c r="I193" i="20"/>
  <c r="J193" i="20"/>
  <c r="K193" i="20" s="1"/>
  <c r="H193" i="20"/>
  <c r="E194" i="20"/>
  <c r="D194" i="20"/>
  <c r="F194" i="20"/>
  <c r="B194" i="20"/>
  <c r="C194" i="20"/>
  <c r="P208" i="5"/>
  <c r="I194" i="20" l="1"/>
  <c r="F195" i="20"/>
  <c r="E195" i="20"/>
  <c r="C195" i="20"/>
  <c r="B195" i="20"/>
  <c r="D195" i="20"/>
  <c r="P209" i="5"/>
  <c r="H194" i="20"/>
  <c r="G194" i="20"/>
  <c r="J194" i="20"/>
  <c r="H195" i="20" l="1"/>
  <c r="K194" i="20"/>
  <c r="I195" i="20"/>
  <c r="G195" i="20"/>
  <c r="J195" i="20"/>
  <c r="D196" i="20"/>
  <c r="C196" i="20"/>
  <c r="E196" i="20"/>
  <c r="F196" i="20"/>
  <c r="B196" i="20"/>
  <c r="P210" i="5"/>
  <c r="K195" i="20"/>
  <c r="J196" i="20" l="1"/>
  <c r="H196" i="20"/>
  <c r="I196" i="20"/>
  <c r="B197" i="20"/>
  <c r="F197" i="20"/>
  <c r="C197" i="20"/>
  <c r="E197" i="20"/>
  <c r="D197" i="20"/>
  <c r="P211" i="5"/>
  <c r="G196" i="20"/>
  <c r="K196" i="20" l="1"/>
  <c r="K197" i="20"/>
  <c r="G197" i="20"/>
  <c r="E198" i="20"/>
  <c r="D198" i="20"/>
  <c r="B198" i="20"/>
  <c r="F198" i="20"/>
  <c r="C198" i="20"/>
  <c r="P212" i="5"/>
  <c r="J197" i="20"/>
  <c r="I197" i="20"/>
  <c r="H197" i="20"/>
  <c r="J198" i="20" l="1"/>
  <c r="K198" i="20"/>
  <c r="F199" i="20"/>
  <c r="E199" i="20"/>
  <c r="C199" i="20"/>
  <c r="B199" i="20"/>
  <c r="D199" i="20"/>
  <c r="P213" i="5"/>
  <c r="G198" i="20"/>
  <c r="I198" i="20"/>
  <c r="H198" i="20"/>
  <c r="I199" i="20" l="1"/>
  <c r="G199" i="20"/>
  <c r="J199" i="20"/>
  <c r="D200" i="20"/>
  <c r="C200" i="20"/>
  <c r="E200" i="20"/>
  <c r="B200" i="20"/>
  <c r="F200" i="20"/>
  <c r="P214" i="5"/>
  <c r="K199" i="20"/>
  <c r="H199" i="20"/>
  <c r="J200" i="20" l="1"/>
  <c r="H200" i="20"/>
  <c r="I200" i="20"/>
  <c r="K200" i="20"/>
  <c r="B201" i="20"/>
  <c r="F201" i="20"/>
  <c r="C201" i="20"/>
  <c r="E201" i="20"/>
  <c r="D201" i="20"/>
  <c r="P215" i="5"/>
  <c r="G200" i="20"/>
  <c r="K201" i="20" l="1"/>
  <c r="G201" i="20"/>
  <c r="I201" i="20"/>
  <c r="J201" i="20"/>
  <c r="H201" i="20"/>
  <c r="E202" i="20"/>
  <c r="D202" i="20"/>
  <c r="C202" i="20"/>
  <c r="B202" i="20"/>
  <c r="F202" i="20"/>
  <c r="P216" i="5"/>
  <c r="I202" i="20" l="1"/>
  <c r="G202" i="20"/>
  <c r="H202" i="20"/>
  <c r="F203" i="20"/>
  <c r="E203" i="20"/>
  <c r="C203" i="20"/>
  <c r="B203" i="20"/>
  <c r="D203" i="20"/>
  <c r="P217" i="5"/>
  <c r="J202" i="20"/>
  <c r="K202" i="20"/>
  <c r="G203" i="20" l="1"/>
  <c r="J203" i="20"/>
  <c r="D204" i="20"/>
  <c r="C204" i="20"/>
  <c r="E204" i="20"/>
  <c r="F204" i="20"/>
  <c r="B204" i="20"/>
  <c r="P218" i="5"/>
  <c r="H203" i="20"/>
  <c r="I203" i="20"/>
  <c r="K203" i="20" l="1"/>
  <c r="H204" i="20"/>
  <c r="J204" i="20"/>
  <c r="I204" i="20"/>
  <c r="B205" i="20"/>
  <c r="F205" i="20"/>
  <c r="C205" i="20"/>
  <c r="E205" i="20"/>
  <c r="D205" i="20"/>
  <c r="P219" i="5"/>
  <c r="G204" i="20"/>
  <c r="K204" i="20" l="1"/>
  <c r="H205" i="20"/>
  <c r="K205" i="20"/>
  <c r="G205" i="20"/>
  <c r="E206" i="20"/>
  <c r="D206" i="20"/>
  <c r="F206" i="20"/>
  <c r="C206" i="20"/>
  <c r="B206" i="20"/>
  <c r="P220" i="5"/>
  <c r="I205" i="20"/>
  <c r="J205" i="20"/>
  <c r="H206" i="20" l="1"/>
  <c r="I206" i="20"/>
  <c r="F207" i="20"/>
  <c r="E207" i="20"/>
  <c r="C207" i="20"/>
  <c r="B207" i="20"/>
  <c r="D207" i="20"/>
  <c r="P221" i="5"/>
  <c r="J206" i="20"/>
  <c r="G206" i="20"/>
  <c r="K206" i="20"/>
  <c r="I207" i="20" l="1"/>
  <c r="G207" i="20"/>
  <c r="J207" i="20"/>
  <c r="D208" i="20"/>
  <c r="C208" i="20"/>
  <c r="E208" i="20"/>
  <c r="F208" i="20"/>
  <c r="B208" i="20"/>
  <c r="P222" i="5"/>
  <c r="K207" i="20"/>
  <c r="H207" i="20"/>
  <c r="G208" i="20" l="1"/>
  <c r="H208" i="20"/>
  <c r="B209" i="20"/>
  <c r="F209" i="20"/>
  <c r="C209" i="20"/>
  <c r="E209" i="20"/>
  <c r="D209" i="20"/>
  <c r="P223" i="5"/>
  <c r="J208" i="20"/>
  <c r="K208" i="20"/>
  <c r="I208" i="20"/>
  <c r="H209" i="20" l="1"/>
  <c r="G209" i="20"/>
  <c r="E210" i="20"/>
  <c r="D210" i="20"/>
  <c r="F210" i="20"/>
  <c r="C210" i="20"/>
  <c r="B210" i="20"/>
  <c r="P224" i="5"/>
  <c r="I209" i="20"/>
  <c r="J209" i="20"/>
  <c r="K209" i="20" s="1"/>
  <c r="H210" i="20" l="1"/>
  <c r="J210" i="20"/>
  <c r="I210" i="20"/>
  <c r="F211" i="20"/>
  <c r="E211" i="20"/>
  <c r="C211" i="20"/>
  <c r="B211" i="20"/>
  <c r="D211" i="20"/>
  <c r="G211" i="20" s="1"/>
  <c r="P225" i="5"/>
  <c r="K210" i="20"/>
  <c r="G210" i="20"/>
  <c r="J211" i="20" l="1"/>
  <c r="D212" i="20"/>
  <c r="C212" i="20"/>
  <c r="E212" i="20"/>
  <c r="F212" i="20"/>
  <c r="B212" i="20"/>
  <c r="P226" i="5"/>
  <c r="H211" i="20"/>
  <c r="K211" i="20" s="1"/>
  <c r="I211" i="20"/>
  <c r="G212" i="20" l="1"/>
  <c r="J212" i="20"/>
  <c r="H212" i="20"/>
  <c r="I212" i="20"/>
  <c r="K212" i="20" s="1"/>
  <c r="B213" i="20"/>
  <c r="F213" i="20"/>
  <c r="C213" i="20"/>
  <c r="E213" i="20"/>
  <c r="D213" i="20"/>
  <c r="P227" i="5"/>
  <c r="I213" i="20" l="1"/>
  <c r="J213" i="20"/>
  <c r="G213" i="20"/>
  <c r="E214" i="20"/>
  <c r="D214" i="20"/>
  <c r="F214" i="20"/>
  <c r="C214" i="20"/>
  <c r="B214" i="20"/>
  <c r="P228" i="5"/>
  <c r="H213" i="20"/>
  <c r="I214" i="20" l="1"/>
  <c r="K213" i="20"/>
  <c r="F215" i="20"/>
  <c r="E215" i="20"/>
  <c r="C215" i="20"/>
  <c r="B215" i="20"/>
  <c r="D215" i="20"/>
  <c r="H215" i="20" s="1"/>
  <c r="P229" i="5"/>
  <c r="G214" i="20"/>
  <c r="H214" i="20"/>
  <c r="J214" i="20"/>
  <c r="K214" i="20" l="1"/>
  <c r="I215" i="20"/>
  <c r="G215" i="20"/>
  <c r="J215" i="20"/>
  <c r="K215" i="20" s="1"/>
  <c r="D216" i="20"/>
  <c r="C216" i="20"/>
  <c r="E216" i="20"/>
  <c r="F216" i="20"/>
  <c r="B216" i="20"/>
  <c r="P230" i="5"/>
  <c r="J216" i="20" l="1"/>
  <c r="H216" i="20"/>
  <c r="I216" i="20"/>
  <c r="K216" i="20"/>
  <c r="B217" i="20"/>
  <c r="F217" i="20"/>
  <c r="C217" i="20"/>
  <c r="D217" i="20"/>
  <c r="E217" i="20"/>
  <c r="P231" i="5"/>
  <c r="G216" i="20"/>
  <c r="G217" i="20" l="1"/>
  <c r="I217" i="20"/>
  <c r="H217" i="20"/>
  <c r="J217" i="20"/>
  <c r="K217" i="20" s="1"/>
  <c r="E218" i="20"/>
  <c r="D218" i="20"/>
  <c r="F218" i="20"/>
  <c r="C218" i="20"/>
  <c r="B218" i="20"/>
  <c r="P232" i="5"/>
  <c r="H218" i="20" l="1"/>
  <c r="I218" i="20"/>
  <c r="G218" i="20"/>
  <c r="F219" i="20"/>
  <c r="E219" i="20"/>
  <c r="C219" i="20"/>
  <c r="B219" i="20"/>
  <c r="D219" i="20"/>
  <c r="H219" i="20" s="1"/>
  <c r="P233" i="5"/>
  <c r="J218" i="20"/>
  <c r="K218" i="20"/>
  <c r="G219" i="20" l="1"/>
  <c r="J219" i="20"/>
  <c r="D220" i="20"/>
  <c r="C220" i="20"/>
  <c r="E220" i="20"/>
  <c r="F220" i="20"/>
  <c r="B220" i="20"/>
  <c r="P234" i="5"/>
  <c r="I219" i="20"/>
  <c r="K219" i="20" s="1"/>
  <c r="G220" i="20" l="1"/>
  <c r="J220" i="20"/>
  <c r="H220" i="20"/>
  <c r="I220" i="20"/>
  <c r="K220" i="20"/>
  <c r="B221" i="20"/>
  <c r="F221" i="20"/>
  <c r="C221" i="20"/>
  <c r="E221" i="20"/>
  <c r="D221" i="20"/>
  <c r="G221" i="20" s="1"/>
  <c r="P235" i="5"/>
  <c r="E222" i="20" l="1"/>
  <c r="D222" i="20"/>
  <c r="F222" i="20"/>
  <c r="C222" i="20"/>
  <c r="B222" i="20"/>
  <c r="P236" i="5"/>
  <c r="I221" i="20"/>
  <c r="J221" i="20"/>
  <c r="H221" i="20"/>
  <c r="H222" i="20" l="1"/>
  <c r="K221" i="20"/>
  <c r="J222" i="20"/>
  <c r="I222" i="20"/>
  <c r="G222" i="20"/>
  <c r="F223" i="20"/>
  <c r="E223" i="20"/>
  <c r="C223" i="20"/>
  <c r="B223" i="20"/>
  <c r="D223" i="20"/>
  <c r="P237" i="5"/>
  <c r="K222" i="20" l="1"/>
  <c r="J223" i="20"/>
  <c r="D224" i="20"/>
  <c r="C224" i="20"/>
  <c r="E224" i="20"/>
  <c r="F224" i="20"/>
  <c r="B224" i="20"/>
  <c r="P238" i="5"/>
  <c r="H223" i="20"/>
  <c r="G223" i="20"/>
  <c r="I223" i="20"/>
  <c r="H224" i="20" l="1"/>
  <c r="K224" i="20"/>
  <c r="K223" i="20"/>
  <c r="G224" i="20"/>
  <c r="J224" i="20"/>
  <c r="I224" i="20"/>
  <c r="B225" i="20"/>
  <c r="F225" i="20"/>
  <c r="C225" i="20"/>
  <c r="E225" i="20"/>
  <c r="D225" i="20"/>
  <c r="P239" i="5"/>
  <c r="G225" i="20" l="1"/>
  <c r="E226" i="20"/>
  <c r="D226" i="20"/>
  <c r="F226" i="20"/>
  <c r="C226" i="20"/>
  <c r="B226" i="20"/>
  <c r="P240" i="5"/>
  <c r="I225" i="20"/>
  <c r="J225" i="20"/>
  <c r="H225" i="20"/>
  <c r="J226" i="20" l="1"/>
  <c r="K226" i="20" s="1"/>
  <c r="K225" i="20"/>
  <c r="I226" i="20"/>
  <c r="G226" i="20"/>
  <c r="H226" i="20"/>
  <c r="F227" i="20"/>
  <c r="E227" i="20"/>
  <c r="C227" i="20"/>
  <c r="B227" i="20"/>
  <c r="D227" i="20"/>
  <c r="P241" i="5"/>
  <c r="J227" i="20" l="1"/>
  <c r="D228" i="20"/>
  <c r="C228" i="20"/>
  <c r="E228" i="20"/>
  <c r="B228" i="20"/>
  <c r="F228" i="20"/>
  <c r="P242" i="5"/>
  <c r="K227" i="20"/>
  <c r="H227" i="20"/>
  <c r="I227" i="20"/>
  <c r="G227" i="20"/>
  <c r="H228" i="20" l="1"/>
  <c r="G228" i="20"/>
  <c r="J228" i="20"/>
  <c r="I228" i="20"/>
  <c r="B229" i="20"/>
  <c r="F229" i="20"/>
  <c r="C229" i="20"/>
  <c r="E229" i="20"/>
  <c r="D229" i="20"/>
  <c r="P243" i="5"/>
  <c r="K228" i="20" l="1"/>
  <c r="I229" i="20"/>
  <c r="E230" i="20"/>
  <c r="D230" i="20"/>
  <c r="B230" i="20"/>
  <c r="F230" i="20"/>
  <c r="C230" i="20"/>
  <c r="P244" i="5"/>
  <c r="J229" i="20"/>
  <c r="H229" i="20"/>
  <c r="K229" i="20"/>
  <c r="G229" i="20"/>
  <c r="H230" i="20" l="1"/>
  <c r="J230" i="20"/>
  <c r="K230" i="20"/>
  <c r="I230" i="20"/>
  <c r="G230" i="20"/>
  <c r="F231" i="20"/>
  <c r="E231" i="20"/>
  <c r="C231" i="20"/>
  <c r="B231" i="20"/>
  <c r="D231" i="20"/>
  <c r="P245" i="5"/>
  <c r="J231" i="20" l="1"/>
  <c r="D232" i="20"/>
  <c r="C232" i="20"/>
  <c r="E232" i="20"/>
  <c r="B232" i="20"/>
  <c r="F232" i="20"/>
  <c r="P246" i="5"/>
  <c r="H231" i="20"/>
  <c r="K231" i="20" s="1"/>
  <c r="I231" i="20"/>
  <c r="G231" i="20"/>
  <c r="J232" i="20" l="1"/>
  <c r="I232" i="20"/>
  <c r="H232" i="20"/>
  <c r="K232" i="20"/>
  <c r="B233" i="20"/>
  <c r="F233" i="20"/>
  <c r="C233" i="20"/>
  <c r="E233" i="20"/>
  <c r="D233" i="20"/>
  <c r="P247" i="5"/>
  <c r="G232" i="20"/>
  <c r="G233" i="20" l="1"/>
  <c r="J233" i="20"/>
  <c r="E234" i="20"/>
  <c r="D234" i="20"/>
  <c r="C234" i="20"/>
  <c r="B234" i="20"/>
  <c r="F234" i="20"/>
  <c r="P248" i="5"/>
  <c r="I233" i="20"/>
  <c r="H233" i="20"/>
  <c r="K234" i="20" l="1"/>
  <c r="K233" i="20"/>
  <c r="I234" i="20"/>
  <c r="G234" i="20"/>
  <c r="J234" i="20"/>
  <c r="H234" i="20"/>
  <c r="F235" i="20"/>
  <c r="E235" i="20"/>
  <c r="C235" i="20"/>
  <c r="B235" i="20"/>
  <c r="D235" i="20"/>
  <c r="P249" i="5"/>
  <c r="J235" i="20" l="1"/>
  <c r="K235" i="20"/>
  <c r="H235" i="20"/>
  <c r="I235" i="20"/>
  <c r="D236" i="20"/>
  <c r="C236" i="20"/>
  <c r="E236" i="20"/>
  <c r="F236" i="20"/>
  <c r="B236" i="20"/>
  <c r="P250" i="5"/>
  <c r="G235" i="20"/>
  <c r="G236" i="20" l="1"/>
  <c r="H236" i="20"/>
  <c r="I236" i="20"/>
  <c r="B237" i="20"/>
  <c r="F237" i="20"/>
  <c r="C237" i="20"/>
  <c r="E237" i="20"/>
  <c r="D237" i="20"/>
  <c r="P251" i="5"/>
  <c r="J236" i="20"/>
  <c r="H237" i="20" l="1"/>
  <c r="K236" i="20"/>
  <c r="G237" i="20"/>
  <c r="I237" i="20"/>
  <c r="J237" i="20"/>
  <c r="K237" i="20" s="1"/>
  <c r="E238" i="20"/>
  <c r="D238" i="20"/>
  <c r="F238" i="20"/>
  <c r="C238" i="20"/>
  <c r="B238" i="20"/>
  <c r="P252" i="5"/>
  <c r="H238" i="20" l="1"/>
  <c r="I238" i="20"/>
  <c r="J238" i="20"/>
  <c r="G238" i="20"/>
  <c r="F239" i="20"/>
  <c r="E239" i="20"/>
  <c r="C239" i="20"/>
  <c r="B239" i="20"/>
  <c r="D239" i="20"/>
  <c r="P253" i="5"/>
  <c r="K238" i="20"/>
  <c r="G239" i="20" l="1"/>
  <c r="D240" i="20"/>
  <c r="C240" i="20"/>
  <c r="E240" i="20"/>
  <c r="F240" i="20"/>
  <c r="B240" i="20"/>
  <c r="P254" i="5"/>
  <c r="H239" i="20"/>
  <c r="I239" i="20"/>
  <c r="J239" i="20"/>
  <c r="K239" i="20" l="1"/>
  <c r="G240" i="20"/>
  <c r="H240" i="20"/>
  <c r="I240" i="20"/>
  <c r="B241" i="20"/>
  <c r="F241" i="20"/>
  <c r="C241" i="20"/>
  <c r="E241" i="20"/>
  <c r="D241" i="20"/>
  <c r="P255" i="5"/>
  <c r="J240" i="20"/>
  <c r="K240" i="20" l="1"/>
  <c r="G241" i="20"/>
  <c r="I241" i="20"/>
  <c r="J241" i="20"/>
  <c r="K241" i="20" s="1"/>
  <c r="E242" i="20"/>
  <c r="D242" i="20"/>
  <c r="F242" i="20"/>
  <c r="C242" i="20"/>
  <c r="B242" i="20"/>
  <c r="P256" i="5"/>
  <c r="H241" i="20"/>
  <c r="I242" i="20" l="1"/>
  <c r="G242" i="20"/>
  <c r="H242" i="20"/>
  <c r="F243" i="20"/>
  <c r="E243" i="20"/>
  <c r="C243" i="20"/>
  <c r="B243" i="20"/>
  <c r="D243" i="20"/>
  <c r="G243" i="20" s="1"/>
  <c r="P257" i="5"/>
  <c r="J242" i="20"/>
  <c r="K242" i="20" l="1"/>
  <c r="D244" i="20"/>
  <c r="C244" i="20"/>
  <c r="E244" i="20"/>
  <c r="F244" i="20"/>
  <c r="B244" i="20"/>
  <c r="P258" i="5"/>
  <c r="J243" i="20"/>
  <c r="H243" i="20"/>
  <c r="I243" i="20"/>
  <c r="H244" i="20" l="1"/>
  <c r="K243" i="20"/>
  <c r="G244" i="20"/>
  <c r="J244" i="20"/>
  <c r="I244" i="20"/>
  <c r="B245" i="20"/>
  <c r="F245" i="20"/>
  <c r="C245" i="20"/>
  <c r="D245" i="20"/>
  <c r="E245" i="20"/>
  <c r="P259" i="5"/>
  <c r="K244" i="20" l="1"/>
  <c r="K245" i="20"/>
  <c r="I245" i="20"/>
  <c r="J245" i="20"/>
  <c r="E246" i="20"/>
  <c r="D246" i="20"/>
  <c r="F246" i="20"/>
  <c r="C246" i="20"/>
  <c r="B246" i="20"/>
  <c r="P260" i="5"/>
  <c r="G245" i="20"/>
  <c r="H245" i="20"/>
  <c r="J246" i="20" l="1"/>
  <c r="I246" i="20"/>
  <c r="G246" i="20"/>
  <c r="H246" i="20"/>
  <c r="K246" i="20" s="1"/>
  <c r="F247" i="20"/>
  <c r="E247" i="20"/>
  <c r="C247" i="20"/>
  <c r="B247" i="20"/>
  <c r="D247" i="20"/>
  <c r="P261" i="5"/>
  <c r="J247" i="20" l="1"/>
  <c r="K247" i="20"/>
  <c r="D248" i="20"/>
  <c r="C248" i="20"/>
  <c r="E248" i="20"/>
  <c r="F248" i="20"/>
  <c r="B248" i="20"/>
  <c r="P262" i="5"/>
  <c r="H247" i="20"/>
  <c r="I247" i="20"/>
  <c r="G247" i="20"/>
  <c r="G248" i="20" l="1"/>
  <c r="J248" i="20"/>
  <c r="H248" i="20"/>
  <c r="I248" i="20"/>
  <c r="B249" i="20"/>
  <c r="F249" i="20"/>
  <c r="C249" i="20"/>
  <c r="D249" i="20"/>
  <c r="E249" i="20"/>
  <c r="P263" i="5"/>
  <c r="K248" i="20" l="1"/>
  <c r="I249" i="20"/>
  <c r="G249" i="20"/>
  <c r="E250" i="20"/>
  <c r="D250" i="20"/>
  <c r="F250" i="20"/>
  <c r="C250" i="20"/>
  <c r="B250" i="20"/>
  <c r="P264" i="5"/>
  <c r="H249" i="20"/>
  <c r="J249" i="20"/>
  <c r="K249" i="20" s="1"/>
  <c r="I250" i="20" l="1"/>
  <c r="F251" i="20"/>
  <c r="E251" i="20"/>
  <c r="C251" i="20"/>
  <c r="B251" i="20"/>
  <c r="D251" i="20"/>
  <c r="P265" i="5"/>
  <c r="G250" i="20"/>
  <c r="H250" i="20"/>
  <c r="J250" i="20"/>
  <c r="G251" i="20" l="1"/>
  <c r="K250" i="20"/>
  <c r="D252" i="20"/>
  <c r="C252" i="20"/>
  <c r="E252" i="20"/>
  <c r="F252" i="20"/>
  <c r="B252" i="20"/>
  <c r="P266" i="5"/>
  <c r="I251" i="20"/>
  <c r="J251" i="20"/>
  <c r="H251" i="20"/>
  <c r="G252" i="20" l="1"/>
  <c r="K251" i="20"/>
  <c r="J252" i="20"/>
  <c r="I252" i="20"/>
  <c r="H252" i="20"/>
  <c r="K252" i="20" s="1"/>
  <c r="B253" i="20"/>
  <c r="F253" i="20"/>
  <c r="C253" i="20"/>
  <c r="E253" i="20"/>
  <c r="D253" i="20"/>
  <c r="P267" i="5"/>
  <c r="G253" i="20" l="1"/>
  <c r="J253" i="20"/>
  <c r="I253" i="20"/>
  <c r="E254" i="20"/>
  <c r="D254" i="20"/>
  <c r="F254" i="20"/>
  <c r="C254" i="20"/>
  <c r="B254" i="20"/>
  <c r="P268" i="5"/>
  <c r="H253" i="20"/>
  <c r="I254" i="20" l="1"/>
  <c r="K253" i="20"/>
  <c r="H254" i="20"/>
  <c r="F255" i="20"/>
  <c r="E255" i="20"/>
  <c r="C255" i="20"/>
  <c r="B255" i="20"/>
  <c r="D255" i="20"/>
  <c r="H255" i="20" s="1"/>
  <c r="P269" i="5"/>
  <c r="G254" i="20"/>
  <c r="J254" i="20"/>
  <c r="K254" i="20" l="1"/>
  <c r="G255" i="20"/>
  <c r="J255" i="20"/>
  <c r="D256" i="20"/>
  <c r="C256" i="20"/>
  <c r="E256" i="20"/>
  <c r="F256" i="20"/>
  <c r="B256" i="20"/>
  <c r="P270" i="5"/>
  <c r="I255" i="20"/>
  <c r="K255" i="20" s="1"/>
  <c r="J256" i="20" l="1"/>
  <c r="H256" i="20"/>
  <c r="I256" i="20"/>
  <c r="B257" i="20"/>
  <c r="F257" i="20"/>
  <c r="C257" i="20"/>
  <c r="E257" i="20"/>
  <c r="D257" i="20"/>
  <c r="P271" i="5"/>
  <c r="P272" i="5" s="1"/>
  <c r="G256" i="20"/>
  <c r="K256" i="20" l="1"/>
  <c r="G257" i="20"/>
  <c r="E258" i="20"/>
  <c r="D258" i="20"/>
  <c r="F258" i="20"/>
  <c r="C258" i="20"/>
  <c r="B258" i="20"/>
  <c r="P273" i="5"/>
  <c r="I257" i="20"/>
  <c r="J257" i="20"/>
  <c r="H257" i="20"/>
  <c r="J258" i="20" l="1"/>
  <c r="K257" i="20"/>
  <c r="K258" i="20"/>
  <c r="I258" i="20"/>
  <c r="F259" i="20"/>
  <c r="E259" i="20"/>
  <c r="C259" i="20"/>
  <c r="B259" i="20"/>
  <c r="D259" i="20"/>
  <c r="P274" i="5"/>
  <c r="G258" i="20"/>
  <c r="H258" i="20"/>
  <c r="G259" i="20" l="1"/>
  <c r="J259" i="20"/>
  <c r="K259" i="20"/>
  <c r="H259" i="20"/>
  <c r="D260" i="20"/>
  <c r="C260" i="20"/>
  <c r="E260" i="20"/>
  <c r="F260" i="20"/>
  <c r="B260" i="20"/>
  <c r="P275" i="5"/>
  <c r="I259" i="20"/>
  <c r="J260" i="20" l="1"/>
  <c r="I260" i="20"/>
  <c r="K260" i="20"/>
  <c r="H260" i="20"/>
  <c r="G260" i="20"/>
  <c r="D261" i="20"/>
  <c r="J261" i="20" s="1"/>
  <c r="B261" i="20"/>
  <c r="C261" i="20"/>
  <c r="F261" i="20"/>
  <c r="E261" i="20"/>
  <c r="P276" i="5"/>
  <c r="G261" i="20" l="1"/>
  <c r="H261" i="20"/>
  <c r="K261" i="20"/>
  <c r="F263" i="20"/>
  <c r="E263" i="20"/>
  <c r="B263" i="20"/>
  <c r="D263" i="20"/>
  <c r="C263" i="20"/>
  <c r="P277" i="5"/>
  <c r="I261" i="20"/>
  <c r="G263" i="20" l="1"/>
  <c r="J263" i="20"/>
  <c r="F264" i="20"/>
  <c r="D264" i="20"/>
  <c r="C264" i="20"/>
  <c r="B264" i="20"/>
  <c r="E264" i="20"/>
  <c r="I264" i="20" s="1"/>
  <c r="P278" i="5"/>
  <c r="H263" i="20"/>
  <c r="K263" i="20"/>
  <c r="I263" i="20"/>
  <c r="J264" i="20" l="1"/>
  <c r="G264" i="20"/>
  <c r="H264" i="20"/>
  <c r="K264" i="20"/>
  <c r="E265" i="20"/>
  <c r="D265" i="20"/>
  <c r="B265" i="20"/>
  <c r="F265" i="20"/>
  <c r="C265" i="20"/>
  <c r="P279" i="5"/>
  <c r="K265" i="20" l="1"/>
  <c r="I265" i="20"/>
  <c r="J265" i="20"/>
  <c r="G265" i="20"/>
  <c r="H265" i="20"/>
  <c r="C266" i="20"/>
  <c r="B266" i="20"/>
  <c r="D266" i="20"/>
  <c r="K266" i="20" s="1"/>
  <c r="F266" i="20"/>
  <c r="E266" i="20"/>
  <c r="P280" i="5"/>
  <c r="I266" i="20" l="1"/>
  <c r="H266" i="20"/>
  <c r="J266" i="20"/>
  <c r="G266" i="20"/>
  <c r="F267" i="20"/>
  <c r="E267" i="20"/>
  <c r="B267" i="20"/>
  <c r="C267" i="20"/>
  <c r="D267" i="20"/>
  <c r="P281" i="5"/>
  <c r="J267" i="20" l="1"/>
  <c r="H267" i="20"/>
  <c r="I267" i="20"/>
  <c r="G267" i="20"/>
  <c r="F268" i="20"/>
  <c r="D268" i="20"/>
  <c r="H268" i="20" s="1"/>
  <c r="C268" i="20"/>
  <c r="B268" i="20"/>
  <c r="E268" i="20"/>
  <c r="P282" i="5"/>
  <c r="K267" i="20"/>
  <c r="K268" i="20" l="1"/>
  <c r="E269" i="20"/>
  <c r="D269" i="20"/>
  <c r="B269" i="20"/>
  <c r="F269" i="20"/>
  <c r="K269" i="20"/>
  <c r="H269" i="20"/>
  <c r="C269" i="20"/>
  <c r="P283" i="5"/>
  <c r="I268" i="20"/>
  <c r="G268" i="20"/>
  <c r="J268" i="20"/>
  <c r="J269" i="20" l="1"/>
  <c r="I269" i="20"/>
  <c r="G269" i="20"/>
  <c r="C270" i="20"/>
  <c r="B270" i="20"/>
  <c r="D270" i="20"/>
  <c r="E270" i="20"/>
  <c r="F270" i="20"/>
  <c r="P284" i="5"/>
  <c r="K270" i="20" l="1"/>
  <c r="H270" i="20"/>
  <c r="F271" i="20"/>
  <c r="E271" i="20"/>
  <c r="B271" i="20"/>
  <c r="D271" i="20"/>
  <c r="I271" i="20" s="1"/>
  <c r="C271" i="20"/>
  <c r="P285" i="5"/>
  <c r="J270" i="20"/>
  <c r="G270" i="20"/>
  <c r="I270" i="20"/>
  <c r="J271" i="20" l="1"/>
  <c r="K271" i="20"/>
  <c r="F272" i="20"/>
  <c r="D272" i="20"/>
  <c r="C272" i="20"/>
  <c r="B272" i="20"/>
  <c r="E272" i="20"/>
  <c r="H272" i="20" s="1"/>
  <c r="P286" i="5"/>
  <c r="G271" i="20"/>
  <c r="H271" i="20"/>
  <c r="G272" i="20" l="1"/>
  <c r="K272" i="20"/>
  <c r="E273" i="20"/>
  <c r="D273" i="20"/>
  <c r="B273" i="20"/>
  <c r="F273" i="20"/>
  <c r="C273" i="20"/>
  <c r="P287" i="5"/>
  <c r="I272" i="20"/>
  <c r="J272" i="20"/>
  <c r="G273" i="20" l="1"/>
  <c r="K273" i="20"/>
  <c r="I273" i="20"/>
  <c r="C274" i="20"/>
  <c r="B274" i="20"/>
  <c r="D274" i="20"/>
  <c r="E274" i="20"/>
  <c r="F274" i="20"/>
  <c r="P288" i="5"/>
  <c r="J273" i="20"/>
  <c r="H273" i="20"/>
  <c r="I274" i="20" l="1"/>
  <c r="G274" i="20"/>
  <c r="F275" i="20"/>
  <c r="E275" i="20"/>
  <c r="B275" i="20"/>
  <c r="D275" i="20"/>
  <c r="I275" i="20" s="1"/>
  <c r="C275" i="20"/>
  <c r="P289" i="5"/>
  <c r="J274" i="20"/>
  <c r="H274" i="20"/>
  <c r="K274" i="20"/>
  <c r="J275" i="20" l="1"/>
  <c r="G275" i="20"/>
  <c r="F276" i="20"/>
  <c r="D276" i="20"/>
  <c r="C276" i="20"/>
  <c r="E276" i="20"/>
  <c r="B276" i="20"/>
  <c r="P290" i="5"/>
  <c r="K275" i="20"/>
  <c r="H275" i="20"/>
  <c r="H276" i="20" l="1"/>
  <c r="G276" i="20"/>
  <c r="K276" i="20"/>
  <c r="E277" i="20"/>
  <c r="D277" i="20"/>
  <c r="H277" i="20" s="1"/>
  <c r="B277" i="20"/>
  <c r="F277" i="20"/>
  <c r="C277" i="20"/>
  <c r="P291" i="5"/>
  <c r="J276" i="20"/>
  <c r="I276" i="20"/>
  <c r="I277" i="20" l="1"/>
  <c r="G277" i="20"/>
  <c r="C278" i="20"/>
  <c r="B278" i="20"/>
  <c r="D278" i="20"/>
  <c r="F278" i="20"/>
  <c r="E278" i="20"/>
  <c r="P292" i="5"/>
  <c r="J277" i="20"/>
  <c r="K277" i="20"/>
  <c r="K278" i="20" l="1"/>
  <c r="G278" i="20"/>
  <c r="F279" i="20"/>
  <c r="E279" i="20"/>
  <c r="B279" i="20"/>
  <c r="D279" i="20"/>
  <c r="I279" i="20" s="1"/>
  <c r="C279" i="20"/>
  <c r="P293" i="5"/>
  <c r="J278" i="20"/>
  <c r="H278" i="20"/>
  <c r="I278" i="20"/>
  <c r="G279" i="20" l="1"/>
  <c r="K279" i="20"/>
  <c r="F280" i="20"/>
  <c r="D280" i="20"/>
  <c r="C280" i="20"/>
  <c r="E280" i="20"/>
  <c r="B280" i="20"/>
  <c r="P294" i="5"/>
  <c r="H279" i="20"/>
  <c r="J279" i="20"/>
  <c r="I280" i="20" l="1"/>
  <c r="G280" i="20"/>
  <c r="H280" i="20"/>
  <c r="K280" i="20"/>
  <c r="E281" i="20"/>
  <c r="D281" i="20"/>
  <c r="B281" i="20"/>
  <c r="F281" i="20"/>
  <c r="C281" i="20"/>
  <c r="P295" i="5"/>
  <c r="J280" i="20"/>
  <c r="K281" i="20" l="1"/>
  <c r="I281" i="20"/>
  <c r="J281" i="20"/>
  <c r="G281" i="20"/>
  <c r="C282" i="20"/>
  <c r="B282" i="20"/>
  <c r="D282" i="20"/>
  <c r="F282" i="20"/>
  <c r="E282" i="20"/>
  <c r="P296" i="5"/>
  <c r="H281" i="20"/>
  <c r="K282" i="20" l="1"/>
  <c r="G282" i="20"/>
  <c r="H282" i="20"/>
  <c r="I282" i="20"/>
  <c r="J282" i="20"/>
  <c r="F283" i="20"/>
  <c r="E283" i="20"/>
  <c r="B283" i="20"/>
  <c r="C283" i="20"/>
  <c r="D283" i="20"/>
  <c r="P297" i="5"/>
  <c r="K283" i="20" l="1"/>
  <c r="I283" i="20"/>
  <c r="J283" i="20"/>
  <c r="F284" i="20"/>
  <c r="D284" i="20"/>
  <c r="C284" i="20"/>
  <c r="B284" i="20"/>
  <c r="E284" i="20"/>
  <c r="P298" i="5"/>
  <c r="H283" i="20"/>
  <c r="G283" i="20"/>
  <c r="H284" i="20" l="1"/>
  <c r="J284" i="20"/>
  <c r="I284" i="20"/>
  <c r="E285" i="20"/>
  <c r="D285" i="20"/>
  <c r="H285" i="20" s="1"/>
  <c r="B285" i="20"/>
  <c r="F285" i="20"/>
  <c r="C285" i="20"/>
  <c r="P299" i="5"/>
  <c r="G284" i="20"/>
  <c r="K284" i="20"/>
  <c r="K285" i="20" l="1"/>
  <c r="I285" i="20"/>
  <c r="C286" i="20"/>
  <c r="B286" i="20"/>
  <c r="D286" i="20"/>
  <c r="E286" i="20"/>
  <c r="F286" i="20"/>
  <c r="P300" i="5"/>
  <c r="J285" i="20"/>
  <c r="G285" i="20"/>
  <c r="I286" i="20" l="1"/>
  <c r="F287" i="20"/>
  <c r="E287" i="20"/>
  <c r="B287" i="20"/>
  <c r="C287" i="20"/>
  <c r="D287" i="20"/>
  <c r="I287" i="20" s="1"/>
  <c r="P301" i="5"/>
  <c r="J286" i="20"/>
  <c r="G286" i="20"/>
  <c r="K286" i="20"/>
  <c r="H286" i="20"/>
  <c r="F288" i="20" l="1"/>
  <c r="D288" i="20"/>
  <c r="C288" i="20"/>
  <c r="E288" i="20"/>
  <c r="J288" i="20" s="1"/>
  <c r="B288" i="20"/>
  <c r="P302" i="5"/>
  <c r="J287" i="20"/>
  <c r="K287" i="20"/>
  <c r="H287" i="20"/>
  <c r="G287" i="20"/>
  <c r="G288" i="20" l="1"/>
  <c r="K288" i="20"/>
  <c r="H288" i="20"/>
  <c r="E289" i="20"/>
  <c r="D289" i="20"/>
  <c r="G289" i="20" s="1"/>
  <c r="B289" i="20"/>
  <c r="F289" i="20"/>
  <c r="C289" i="20"/>
  <c r="P303" i="5"/>
  <c r="I288" i="20"/>
  <c r="I289" i="20" l="1"/>
  <c r="J289" i="20"/>
  <c r="H289" i="20"/>
  <c r="K289" i="20"/>
  <c r="C290" i="20"/>
  <c r="B290" i="20"/>
  <c r="D290" i="20"/>
  <c r="H290" i="20" s="1"/>
  <c r="F290" i="20"/>
  <c r="E290" i="20"/>
  <c r="P304" i="5"/>
  <c r="J290" i="20" l="1"/>
  <c r="I290" i="20"/>
  <c r="K290" i="20"/>
  <c r="F291" i="20"/>
  <c r="E291" i="20"/>
  <c r="B291" i="20"/>
  <c r="D291" i="20"/>
  <c r="C291" i="20"/>
  <c r="P305" i="5"/>
  <c r="G290" i="20"/>
  <c r="I291" i="20" l="1"/>
  <c r="H291" i="20"/>
  <c r="J291" i="20"/>
  <c r="F292" i="20"/>
  <c r="D292" i="20"/>
  <c r="C292" i="20"/>
  <c r="E292" i="20"/>
  <c r="H292" i="20" s="1"/>
  <c r="B292" i="20"/>
  <c r="P306" i="5"/>
  <c r="K291" i="20"/>
  <c r="G291" i="20"/>
  <c r="I292" i="20" l="1"/>
  <c r="K292" i="20"/>
  <c r="J292" i="20"/>
  <c r="G292" i="20"/>
  <c r="E293" i="20"/>
  <c r="D293" i="20"/>
  <c r="B293" i="20"/>
  <c r="F293" i="20"/>
  <c r="C293" i="20"/>
  <c r="P307" i="5"/>
  <c r="I293" i="20" l="1"/>
  <c r="J293" i="20"/>
  <c r="H293" i="20"/>
  <c r="F294" i="20"/>
  <c r="C294" i="20"/>
  <c r="B294" i="20"/>
  <c r="D294" i="20"/>
  <c r="E294" i="20"/>
  <c r="P308" i="5"/>
  <c r="K293" i="20"/>
  <c r="G293" i="20"/>
  <c r="H294" i="20" l="1"/>
  <c r="K294" i="20"/>
  <c r="I294" i="20"/>
  <c r="G294" i="20"/>
  <c r="D295" i="20"/>
  <c r="C295" i="20"/>
  <c r="B295" i="20"/>
  <c r="E295" i="20"/>
  <c r="K295" i="20" s="1"/>
  <c r="F295" i="20"/>
  <c r="P309" i="5"/>
  <c r="J294" i="20"/>
  <c r="H295" i="20" l="1"/>
  <c r="J295" i="20"/>
  <c r="F296" i="20"/>
  <c r="B296" i="20"/>
  <c r="D296" i="20"/>
  <c r="C296" i="20"/>
  <c r="E296" i="20"/>
  <c r="P310" i="5"/>
  <c r="I295" i="20"/>
  <c r="G295" i="20"/>
  <c r="H296" i="20" l="1"/>
  <c r="I296" i="20"/>
  <c r="K296" i="20"/>
  <c r="D297" i="20"/>
  <c r="E297" i="20"/>
  <c r="C297" i="20"/>
  <c r="B297" i="20"/>
  <c r="K297" i="20"/>
  <c r="F297" i="20"/>
  <c r="P311" i="5"/>
  <c r="G296" i="20"/>
  <c r="J296" i="20"/>
  <c r="G297" i="20" l="1"/>
  <c r="J297" i="20"/>
  <c r="H297" i="20"/>
  <c r="B298" i="20"/>
  <c r="F298" i="20"/>
  <c r="E298" i="20"/>
  <c r="D298" i="20"/>
  <c r="C298" i="20"/>
  <c r="P312" i="5"/>
  <c r="I297" i="20"/>
  <c r="G298" i="20" l="1"/>
  <c r="D299" i="20"/>
  <c r="F299" i="20"/>
  <c r="E299" i="20"/>
  <c r="C299" i="20"/>
  <c r="B299" i="20"/>
  <c r="K299" i="20"/>
  <c r="G299" i="20"/>
  <c r="P313" i="5"/>
  <c r="H298" i="20"/>
  <c r="I298" i="20"/>
  <c r="J298" i="20"/>
  <c r="K298" i="20"/>
  <c r="H299" i="20" l="1"/>
  <c r="F300" i="20"/>
  <c r="B300" i="20"/>
  <c r="E300" i="20"/>
  <c r="D300" i="20"/>
  <c r="C300" i="20"/>
  <c r="P314" i="5"/>
  <c r="I299" i="20"/>
  <c r="J299" i="20"/>
  <c r="H300" i="20" l="1"/>
  <c r="K300" i="20"/>
  <c r="D301" i="20"/>
  <c r="F301" i="20"/>
  <c r="E301" i="20"/>
  <c r="J301" i="20" s="1"/>
  <c r="C301" i="20"/>
  <c r="B301" i="20"/>
  <c r="P315" i="5"/>
  <c r="I300" i="20"/>
  <c r="J300" i="20"/>
  <c r="G300" i="20"/>
  <c r="H301" i="20" l="1"/>
  <c r="I301" i="20"/>
  <c r="G301" i="20"/>
  <c r="B302" i="20"/>
  <c r="F302" i="20"/>
  <c r="E302" i="20"/>
  <c r="D302" i="20"/>
  <c r="C302" i="20"/>
  <c r="P316" i="5"/>
  <c r="K301" i="20"/>
  <c r="K302" i="20" l="1"/>
  <c r="J302" i="20"/>
  <c r="G302" i="20"/>
  <c r="D303" i="20"/>
  <c r="F303" i="20"/>
  <c r="E303" i="20"/>
  <c r="C303" i="20"/>
  <c r="B303" i="20"/>
  <c r="P317" i="5"/>
  <c r="H302" i="20"/>
  <c r="I302" i="20"/>
  <c r="J303" i="20" l="1"/>
  <c r="F304" i="20"/>
  <c r="B304" i="20"/>
  <c r="E304" i="20"/>
  <c r="D304" i="20"/>
  <c r="K304" i="20" s="1"/>
  <c r="C304" i="20"/>
  <c r="P318" i="5"/>
  <c r="I303" i="20"/>
  <c r="K303" i="20"/>
  <c r="H303" i="20"/>
  <c r="G303" i="20"/>
  <c r="I304" i="20" l="1"/>
  <c r="J304" i="20"/>
  <c r="G304" i="20"/>
  <c r="H304" i="20"/>
  <c r="D305" i="20"/>
  <c r="F305" i="20"/>
  <c r="E305" i="20"/>
  <c r="C305" i="20"/>
  <c r="B305" i="20"/>
  <c r="P319" i="5"/>
  <c r="G305" i="20" l="1"/>
  <c r="I305" i="20"/>
  <c r="J305" i="20"/>
  <c r="H305" i="20"/>
  <c r="B306" i="20"/>
  <c r="F306" i="20"/>
  <c r="E306" i="20"/>
  <c r="C306" i="20"/>
  <c r="D306" i="20"/>
  <c r="G306" i="20" s="1"/>
  <c r="P320" i="5"/>
  <c r="K305" i="20"/>
  <c r="I306" i="20" l="1"/>
  <c r="K306" i="20"/>
  <c r="H306" i="20"/>
  <c r="D307" i="20"/>
  <c r="F307" i="20"/>
  <c r="B307" i="20"/>
  <c r="E307" i="20"/>
  <c r="I307" i="20" s="1"/>
  <c r="C307" i="20"/>
  <c r="P321" i="5"/>
  <c r="J306" i="20"/>
  <c r="J307" i="20" l="1"/>
  <c r="G307" i="20"/>
  <c r="H307" i="20"/>
  <c r="F308" i="20"/>
  <c r="B308" i="20"/>
  <c r="H308" i="20"/>
  <c r="G308" i="20"/>
  <c r="C308" i="20"/>
  <c r="E308" i="20"/>
  <c r="D308" i="20"/>
  <c r="J308" i="20" s="1"/>
  <c r="P322" i="5"/>
  <c r="K307" i="20"/>
  <c r="I308" i="20" l="1"/>
  <c r="K308" i="20"/>
  <c r="D309" i="20"/>
  <c r="B309" i="20"/>
  <c r="C309" i="20"/>
  <c r="F309" i="20"/>
  <c r="E309" i="20"/>
  <c r="P323" i="5"/>
  <c r="H309" i="20" l="1"/>
  <c r="K309" i="20"/>
  <c r="G309" i="20"/>
  <c r="I309" i="20"/>
  <c r="J309" i="20"/>
  <c r="B310" i="20"/>
  <c r="F310" i="20"/>
  <c r="C310" i="20"/>
  <c r="D310" i="20"/>
  <c r="E310" i="20"/>
  <c r="P324" i="5"/>
  <c r="J310" i="20" l="1"/>
  <c r="H310" i="20"/>
  <c r="K310" i="20"/>
  <c r="I310" i="20"/>
  <c r="D311" i="20"/>
  <c r="C311" i="20"/>
  <c r="B311" i="20"/>
  <c r="E311" i="20"/>
  <c r="F311" i="20"/>
  <c r="P325" i="5"/>
  <c r="G310" i="20"/>
  <c r="J311" i="20" l="1"/>
  <c r="K311" i="20"/>
  <c r="F312" i="20"/>
  <c r="B312" i="20"/>
  <c r="D312" i="20"/>
  <c r="C312" i="20"/>
  <c r="E312" i="20"/>
  <c r="P326" i="5"/>
  <c r="G311" i="20"/>
  <c r="H311" i="20"/>
  <c r="I311" i="20"/>
  <c r="H312" i="20" l="1"/>
  <c r="I312" i="20"/>
  <c r="K312" i="20"/>
  <c r="D313" i="20"/>
  <c r="E313" i="20"/>
  <c r="C313" i="20"/>
  <c r="B313" i="20"/>
  <c r="F313" i="20"/>
  <c r="P327" i="5"/>
  <c r="G312" i="20"/>
  <c r="J312" i="20"/>
  <c r="G313" i="20" l="1"/>
  <c r="E314" i="20"/>
  <c r="B314" i="20"/>
  <c r="F314" i="20"/>
  <c r="D314" i="20"/>
  <c r="J314" i="20" s="1"/>
  <c r="C314" i="20"/>
  <c r="P328" i="5"/>
  <c r="K313" i="20"/>
  <c r="H313" i="20"/>
  <c r="I313" i="20"/>
  <c r="J313" i="20"/>
  <c r="H314" i="20" l="1"/>
  <c r="K314" i="20"/>
  <c r="G314" i="20"/>
  <c r="I314" i="20"/>
  <c r="C315" i="20"/>
  <c r="D315" i="20"/>
  <c r="F315" i="20"/>
  <c r="B315" i="20"/>
  <c r="E315" i="20"/>
  <c r="P329" i="5"/>
  <c r="K315" i="20" l="1"/>
  <c r="F316" i="20"/>
  <c r="E316" i="20"/>
  <c r="B316" i="20"/>
  <c r="D316" i="20"/>
  <c r="C316" i="20"/>
  <c r="P330" i="5"/>
  <c r="H315" i="20"/>
  <c r="I315" i="20"/>
  <c r="G315" i="20"/>
  <c r="J315" i="20"/>
  <c r="I316" i="20" l="1"/>
  <c r="J316" i="20"/>
  <c r="G316" i="20"/>
  <c r="D317" i="20"/>
  <c r="C317" i="20"/>
  <c r="F317" i="20"/>
  <c r="E317" i="20"/>
  <c r="J317" i="20" s="1"/>
  <c r="B317" i="20"/>
  <c r="P331" i="5"/>
  <c r="K316" i="20"/>
  <c r="H316" i="20"/>
  <c r="H317" i="20" l="1"/>
  <c r="I317" i="20"/>
  <c r="K317" i="20"/>
  <c r="G317" i="20"/>
  <c r="E318" i="20"/>
  <c r="J318" i="20" s="1"/>
  <c r="B318" i="20"/>
  <c r="F318" i="20"/>
  <c r="C318" i="20"/>
  <c r="D318" i="20"/>
  <c r="P332" i="5"/>
  <c r="I318" i="20" l="1"/>
  <c r="H318" i="20"/>
  <c r="K318" i="20"/>
  <c r="C319" i="20"/>
  <c r="D319" i="20"/>
  <c r="F319" i="20"/>
  <c r="E319" i="20"/>
  <c r="B319" i="20"/>
  <c r="P333" i="5"/>
  <c r="G318" i="20"/>
  <c r="K319" i="20" l="1"/>
  <c r="I319" i="20"/>
  <c r="G319" i="20"/>
  <c r="F320" i="20"/>
  <c r="E320" i="20"/>
  <c r="B320" i="20"/>
  <c r="D320" i="20"/>
  <c r="H320" i="20" s="1"/>
  <c r="C320" i="20"/>
  <c r="P334" i="5"/>
  <c r="H319" i="20"/>
  <c r="J319" i="20"/>
  <c r="J320" i="20" l="1"/>
  <c r="K320" i="20"/>
  <c r="D321" i="20"/>
  <c r="C321" i="20"/>
  <c r="E321" i="20"/>
  <c r="I321" i="20" s="1"/>
  <c r="B321" i="20"/>
  <c r="F321" i="20"/>
  <c r="P335" i="5"/>
  <c r="I320" i="20"/>
  <c r="G320" i="20"/>
  <c r="G321" i="20" l="1"/>
  <c r="H321" i="20"/>
  <c r="J321" i="20"/>
  <c r="E322" i="20"/>
  <c r="B322" i="20"/>
  <c r="F322" i="20"/>
  <c r="D322" i="20"/>
  <c r="C322" i="20"/>
  <c r="P336" i="5"/>
  <c r="K321" i="20"/>
  <c r="H322" i="20" l="1"/>
  <c r="K322" i="20"/>
  <c r="I322" i="20"/>
  <c r="J322" i="20"/>
  <c r="C323" i="20"/>
  <c r="D323" i="20"/>
  <c r="F323" i="20"/>
  <c r="B323" i="20"/>
  <c r="E323" i="20"/>
  <c r="P337" i="5"/>
  <c r="G322" i="20"/>
  <c r="K323" i="20" l="1"/>
  <c r="H323" i="20"/>
  <c r="J323" i="20"/>
  <c r="I323" i="20"/>
  <c r="G323" i="20"/>
  <c r="F324" i="20"/>
  <c r="E324" i="20"/>
  <c r="J324" i="20" s="1"/>
  <c r="B324" i="20"/>
  <c r="D324" i="20"/>
  <c r="C324" i="20"/>
  <c r="P338" i="5"/>
  <c r="G324" i="20" l="1"/>
  <c r="D325" i="20"/>
  <c r="C325" i="20"/>
  <c r="F325" i="20"/>
  <c r="E325" i="20"/>
  <c r="I325" i="20" s="1"/>
  <c r="B325" i="20"/>
  <c r="P339" i="5"/>
  <c r="H324" i="20"/>
  <c r="I324" i="20"/>
  <c r="K324" i="20"/>
  <c r="J325" i="20" l="1"/>
  <c r="H325" i="20"/>
  <c r="G325" i="20"/>
  <c r="K325" i="20"/>
  <c r="E326" i="20"/>
  <c r="I326" i="20" s="1"/>
  <c r="B326" i="20"/>
  <c r="F326" i="20"/>
  <c r="C326" i="20"/>
  <c r="D326" i="20"/>
  <c r="P340" i="5"/>
  <c r="H326" i="20" l="1"/>
  <c r="K326" i="20"/>
  <c r="C327" i="20"/>
  <c r="D327" i="20"/>
  <c r="F327" i="20"/>
  <c r="E327" i="20"/>
  <c r="B327" i="20"/>
  <c r="P341" i="5"/>
  <c r="G326" i="20"/>
  <c r="J326" i="20"/>
  <c r="K327" i="20" l="1"/>
  <c r="I327" i="20"/>
  <c r="G327" i="20"/>
  <c r="F328" i="20"/>
  <c r="E328" i="20"/>
  <c r="B328" i="20"/>
  <c r="D328" i="20"/>
  <c r="H328" i="20" s="1"/>
  <c r="C328" i="20"/>
  <c r="P342" i="5"/>
  <c r="H327" i="20"/>
  <c r="J327" i="20"/>
  <c r="K328" i="20" l="1"/>
  <c r="D329" i="20"/>
  <c r="C329" i="20"/>
  <c r="E329" i="20"/>
  <c r="B329" i="20"/>
  <c r="F329" i="20"/>
  <c r="P343" i="5"/>
  <c r="J328" i="20"/>
  <c r="I328" i="20"/>
  <c r="G328" i="20"/>
  <c r="I329" i="20" l="1"/>
  <c r="G329" i="20"/>
  <c r="J329" i="20"/>
  <c r="H329" i="20"/>
  <c r="E330" i="20"/>
  <c r="B330" i="20"/>
  <c r="F330" i="20"/>
  <c r="D330" i="20"/>
  <c r="C330" i="20"/>
  <c r="P344" i="5"/>
  <c r="K329" i="20"/>
  <c r="H330" i="20" l="1"/>
  <c r="K330" i="20"/>
  <c r="I330" i="20"/>
  <c r="J330" i="20"/>
  <c r="C331" i="20"/>
  <c r="D331" i="20"/>
  <c r="F331" i="20"/>
  <c r="B331" i="20"/>
  <c r="E331" i="20"/>
  <c r="P345" i="5"/>
  <c r="G330" i="20"/>
  <c r="K331" i="20" l="1"/>
  <c r="J331" i="20"/>
  <c r="G331" i="20"/>
  <c r="H331" i="20"/>
  <c r="I331" i="20"/>
  <c r="F332" i="20"/>
  <c r="E332" i="20"/>
  <c r="K332" i="20" s="1"/>
  <c r="B332" i="20"/>
  <c r="D332" i="20"/>
  <c r="C332" i="20"/>
  <c r="P346" i="5"/>
  <c r="J332" i="20" l="1"/>
  <c r="G332" i="20"/>
  <c r="H332" i="20"/>
  <c r="I332" i="20"/>
  <c r="D333" i="20"/>
  <c r="C333" i="20"/>
  <c r="F333" i="20"/>
  <c r="E333" i="20"/>
  <c r="B333" i="20"/>
  <c r="P347" i="5"/>
  <c r="I333" i="20" l="1"/>
  <c r="E334" i="20"/>
  <c r="B334" i="20"/>
  <c r="F334" i="20"/>
  <c r="C334" i="20"/>
  <c r="D334" i="20"/>
  <c r="J334" i="20" s="1"/>
  <c r="P348" i="5"/>
  <c r="G333" i="20"/>
  <c r="H333" i="20"/>
  <c r="K333" i="20"/>
  <c r="J333" i="20"/>
  <c r="K334" i="20" l="1"/>
  <c r="H334" i="20"/>
  <c r="I334" i="20"/>
  <c r="C335" i="20"/>
  <c r="D335" i="20"/>
  <c r="F335" i="20"/>
  <c r="E335" i="20"/>
  <c r="B335" i="20"/>
  <c r="P349" i="5"/>
  <c r="G334" i="20"/>
  <c r="K335" i="20" l="1"/>
  <c r="G335" i="20"/>
  <c r="H335" i="20"/>
  <c r="I335" i="20"/>
  <c r="F336" i="20"/>
  <c r="E336" i="20"/>
  <c r="B336" i="20"/>
  <c r="D336" i="20"/>
  <c r="C336" i="20"/>
  <c r="P350" i="5"/>
  <c r="J335" i="20"/>
  <c r="J336" i="20" l="1"/>
  <c r="K336" i="20"/>
  <c r="D337" i="20"/>
  <c r="C337" i="20"/>
  <c r="E337" i="20"/>
  <c r="I337" i="20" s="1"/>
  <c r="B337" i="20"/>
  <c r="F337" i="20"/>
  <c r="P351" i="5"/>
  <c r="I336" i="20"/>
  <c r="G336" i="20"/>
  <c r="H336" i="20"/>
  <c r="G337" i="20" l="1"/>
  <c r="J337" i="20"/>
  <c r="E338" i="20"/>
  <c r="B338" i="20"/>
  <c r="F338" i="20"/>
  <c r="D338" i="20"/>
  <c r="H338" i="20" s="1"/>
  <c r="C338" i="20"/>
  <c r="P352" i="5"/>
  <c r="K337" i="20"/>
  <c r="H337" i="20"/>
  <c r="K338" i="20" l="1"/>
  <c r="I338" i="20"/>
  <c r="G338" i="20"/>
  <c r="J338" i="20"/>
  <c r="C339" i="20"/>
  <c r="D339" i="20"/>
  <c r="F339" i="20"/>
  <c r="B339" i="20"/>
  <c r="E339" i="20"/>
  <c r="P353" i="5"/>
  <c r="J339" i="20" l="1"/>
  <c r="I339" i="20"/>
  <c r="G339" i="20"/>
  <c r="F340" i="20"/>
  <c r="E340" i="20"/>
  <c r="B340" i="20"/>
  <c r="D340" i="20"/>
  <c r="I340" i="20" s="1"/>
  <c r="C340" i="20"/>
  <c r="P354" i="5"/>
  <c r="H339" i="20"/>
  <c r="K339" i="20"/>
  <c r="H340" i="20" l="1"/>
  <c r="G340" i="20"/>
  <c r="J340" i="20"/>
  <c r="K340" i="20"/>
  <c r="D341" i="20"/>
  <c r="C341" i="20"/>
  <c r="F341" i="20"/>
  <c r="E341" i="20"/>
  <c r="B341" i="20"/>
  <c r="P355" i="5"/>
  <c r="I341" i="20" l="1"/>
  <c r="J341" i="20"/>
  <c r="H341" i="20"/>
  <c r="K341" i="20"/>
  <c r="E342" i="20"/>
  <c r="B342" i="20"/>
  <c r="F342" i="20"/>
  <c r="C342" i="20"/>
  <c r="D342" i="20"/>
  <c r="P356" i="5"/>
  <c r="G341" i="20"/>
  <c r="H342" i="20" l="1"/>
  <c r="K342" i="20"/>
  <c r="J342" i="20"/>
  <c r="I342" i="20"/>
  <c r="F343" i="20"/>
  <c r="E343" i="20"/>
  <c r="C343" i="20"/>
  <c r="D343" i="20"/>
  <c r="H343" i="20" s="1"/>
  <c r="B343" i="20"/>
  <c r="P357" i="5"/>
  <c r="G342" i="20"/>
  <c r="J343" i="20" l="1"/>
  <c r="G343" i="20"/>
  <c r="K343" i="20"/>
  <c r="I343" i="20"/>
  <c r="F344" i="20"/>
  <c r="D344" i="20"/>
  <c r="K344" i="20" s="1"/>
  <c r="C344" i="20"/>
  <c r="B344" i="20"/>
  <c r="E344" i="20"/>
  <c r="P358" i="5"/>
  <c r="G344" i="20" l="1"/>
  <c r="I344" i="20"/>
  <c r="H344" i="20"/>
  <c r="F345" i="20"/>
  <c r="D345" i="20"/>
  <c r="B345" i="20"/>
  <c r="C345" i="20"/>
  <c r="E345" i="20"/>
  <c r="P359" i="5"/>
  <c r="J344" i="20"/>
  <c r="I345" i="20" l="1"/>
  <c r="J345" i="20"/>
  <c r="E346" i="20"/>
  <c r="D346" i="20"/>
  <c r="I346" i="20" s="1"/>
  <c r="B346" i="20"/>
  <c r="C346" i="20"/>
  <c r="F346" i="20"/>
  <c r="P360" i="5"/>
  <c r="G345" i="20"/>
  <c r="H345" i="20"/>
  <c r="K345" i="20"/>
  <c r="G346" i="20" l="1"/>
  <c r="K346" i="20"/>
  <c r="H346" i="20"/>
  <c r="J346" i="20"/>
  <c r="C347" i="20"/>
  <c r="B347" i="20"/>
  <c r="F347" i="20"/>
  <c r="E347" i="20"/>
  <c r="D347" i="20"/>
  <c r="P361" i="5"/>
  <c r="K347" i="20" l="1"/>
  <c r="H347" i="20"/>
  <c r="J347" i="20"/>
  <c r="F348" i="20"/>
  <c r="D348" i="20"/>
  <c r="C348" i="20"/>
  <c r="E348" i="20"/>
  <c r="K348" i="20" s="1"/>
  <c r="B348" i="20"/>
  <c r="P362" i="5"/>
  <c r="G347" i="20"/>
  <c r="I347" i="20"/>
  <c r="I348" i="20" l="1"/>
  <c r="J348" i="20"/>
  <c r="F349" i="20"/>
  <c r="D349" i="20"/>
  <c r="B349" i="20"/>
  <c r="C349" i="20"/>
  <c r="E349" i="20"/>
  <c r="P363" i="5"/>
  <c r="H348" i="20"/>
  <c r="G348" i="20"/>
  <c r="G349" i="20" l="1"/>
  <c r="I349" i="20"/>
  <c r="J349" i="20"/>
  <c r="E350" i="20"/>
  <c r="D350" i="20"/>
  <c r="K350" i="20" s="1"/>
  <c r="B350" i="20"/>
  <c r="H350" i="20"/>
  <c r="G350" i="20"/>
  <c r="F350" i="20"/>
  <c r="C350" i="20"/>
  <c r="P364" i="5"/>
  <c r="H349" i="20"/>
  <c r="K349" i="20"/>
  <c r="J350" i="20" l="1"/>
  <c r="C351" i="20"/>
  <c r="B351" i="20"/>
  <c r="F351" i="20"/>
  <c r="E351" i="20"/>
  <c r="D351" i="20"/>
  <c r="P365" i="5"/>
  <c r="I350" i="20"/>
  <c r="K351" i="20" l="1"/>
  <c r="J351" i="20"/>
  <c r="F352" i="20"/>
  <c r="D352" i="20"/>
  <c r="C352" i="20"/>
  <c r="E352" i="20"/>
  <c r="K352" i="20" s="1"/>
  <c r="B352" i="20"/>
  <c r="P366" i="5"/>
  <c r="I351" i="20"/>
  <c r="G351" i="20"/>
  <c r="H351" i="20"/>
  <c r="I352" i="20" l="1"/>
  <c r="G352" i="20"/>
  <c r="F353" i="20"/>
  <c r="D353" i="20"/>
  <c r="B353" i="20"/>
  <c r="E353" i="20"/>
  <c r="C353" i="20"/>
  <c r="P367" i="5"/>
  <c r="H352" i="20"/>
  <c r="J352" i="20"/>
  <c r="J353" i="20" l="1"/>
  <c r="H353" i="20"/>
  <c r="I353" i="20"/>
  <c r="E354" i="20"/>
  <c r="D354" i="20"/>
  <c r="K354" i="20" s="1"/>
  <c r="B354" i="20"/>
  <c r="F354" i="20"/>
  <c r="C354" i="20"/>
  <c r="P368" i="5"/>
  <c r="G353" i="20"/>
  <c r="K353" i="20"/>
  <c r="I354" i="20" l="1"/>
  <c r="G354" i="20"/>
  <c r="H354" i="20"/>
  <c r="C355" i="20"/>
  <c r="B355" i="20"/>
  <c r="F355" i="20"/>
  <c r="E355" i="20"/>
  <c r="D355" i="20"/>
  <c r="P369" i="5"/>
  <c r="J354" i="20"/>
  <c r="K355" i="20" l="1"/>
  <c r="H355" i="20"/>
  <c r="G355" i="20"/>
  <c r="J355" i="20"/>
  <c r="F356" i="20"/>
  <c r="D356" i="20"/>
  <c r="C356" i="20"/>
  <c r="E356" i="20"/>
  <c r="B356" i="20"/>
  <c r="P370" i="5"/>
  <c r="I355" i="20"/>
  <c r="J356" i="20" l="1"/>
  <c r="K356" i="20"/>
  <c r="F357" i="20"/>
  <c r="D357" i="20"/>
  <c r="B357" i="20"/>
  <c r="I357" i="20"/>
  <c r="H357" i="20"/>
  <c r="K357" i="20"/>
  <c r="C357" i="20"/>
  <c r="E357" i="20"/>
  <c r="P371" i="5"/>
  <c r="H356" i="20"/>
  <c r="I356" i="20"/>
  <c r="G356" i="20"/>
  <c r="G357" i="20" l="1"/>
  <c r="J357" i="20"/>
  <c r="E358" i="20"/>
  <c r="D358" i="20"/>
  <c r="B358" i="20"/>
  <c r="F358" i="20"/>
  <c r="C358" i="20"/>
  <c r="P372" i="5"/>
  <c r="I358" i="20" l="1"/>
  <c r="K358" i="20"/>
  <c r="G358" i="20"/>
  <c r="H358" i="20"/>
  <c r="J358" i="20"/>
  <c r="C359" i="20"/>
  <c r="B359" i="20"/>
  <c r="F359" i="20"/>
  <c r="E359" i="20"/>
  <c r="D359" i="20"/>
  <c r="P373" i="5"/>
  <c r="H359" i="20" l="1"/>
  <c r="K359" i="20"/>
  <c r="I359" i="20"/>
  <c r="F360" i="20"/>
  <c r="D360" i="20"/>
  <c r="C360" i="20"/>
  <c r="B360" i="20"/>
  <c r="E360" i="20"/>
  <c r="P374" i="5"/>
  <c r="J359" i="20"/>
  <c r="G359" i="20"/>
  <c r="K360" i="20" l="1"/>
  <c r="H360" i="20"/>
  <c r="F361" i="20"/>
  <c r="D361" i="20"/>
  <c r="B361" i="20"/>
  <c r="E361" i="20"/>
  <c r="C361" i="20"/>
  <c r="P375" i="5"/>
  <c r="I360" i="20"/>
  <c r="G360" i="20"/>
  <c r="J360" i="20"/>
  <c r="H361" i="20" l="1"/>
  <c r="I361" i="20"/>
  <c r="J361" i="20"/>
  <c r="F362" i="20"/>
  <c r="E362" i="20"/>
  <c r="D362" i="20"/>
  <c r="G362" i="20" s="1"/>
  <c r="B362" i="20"/>
  <c r="C362" i="20"/>
  <c r="P376" i="5"/>
  <c r="K361" i="20"/>
  <c r="G361" i="20"/>
  <c r="H362" i="20" l="1"/>
  <c r="J362" i="20"/>
  <c r="D363" i="20"/>
  <c r="C363" i="20"/>
  <c r="B363" i="20"/>
  <c r="F363" i="20"/>
  <c r="E363" i="20"/>
  <c r="P377" i="5"/>
  <c r="K362" i="20"/>
  <c r="I362" i="20"/>
  <c r="H363" i="20" l="1"/>
  <c r="I363" i="20"/>
  <c r="J363" i="20"/>
  <c r="B364" i="20"/>
  <c r="F364" i="20"/>
  <c r="D364" i="20"/>
  <c r="C364" i="20"/>
  <c r="E364" i="20"/>
  <c r="P378" i="5"/>
  <c r="G363" i="20"/>
  <c r="K363" i="20"/>
  <c r="J364" i="20" l="1"/>
  <c r="K364" i="20"/>
  <c r="F365" i="20"/>
  <c r="D365" i="20"/>
  <c r="B365" i="20"/>
  <c r="E365" i="20"/>
  <c r="C365" i="20"/>
  <c r="P379" i="5"/>
  <c r="I364" i="20"/>
  <c r="H364" i="20"/>
  <c r="G364" i="20"/>
  <c r="K365" i="20" l="1"/>
  <c r="I365" i="20"/>
  <c r="F366" i="20"/>
  <c r="E366" i="20"/>
  <c r="D366" i="20"/>
  <c r="I366" i="20" s="1"/>
  <c r="B366" i="20"/>
  <c r="G366" i="20"/>
  <c r="C366" i="20"/>
  <c r="P380" i="5"/>
  <c r="G365" i="20"/>
  <c r="J365" i="20"/>
  <c r="H365" i="20"/>
  <c r="H366" i="20" l="1"/>
  <c r="D367" i="20"/>
  <c r="C367" i="20"/>
  <c r="B367" i="20"/>
  <c r="F367" i="20"/>
  <c r="E367" i="20"/>
  <c r="I367" i="20" s="1"/>
  <c r="P381" i="5"/>
  <c r="K366" i="20"/>
  <c r="J366" i="20"/>
  <c r="K367" i="20" l="1"/>
  <c r="J367" i="20"/>
  <c r="H367" i="20"/>
  <c r="B368" i="20"/>
  <c r="F368" i="20"/>
  <c r="D368" i="20"/>
  <c r="C368" i="20"/>
  <c r="E368" i="20"/>
  <c r="P382" i="5"/>
  <c r="G367" i="20"/>
  <c r="K368" i="20" l="1"/>
  <c r="I368" i="20"/>
  <c r="H368" i="20"/>
  <c r="J368" i="20"/>
  <c r="F369" i="20"/>
  <c r="D369" i="20"/>
  <c r="I369" i="20" s="1"/>
  <c r="B369" i="20"/>
  <c r="C369" i="20"/>
  <c r="E369" i="20"/>
  <c r="P383" i="5"/>
  <c r="G368" i="20"/>
  <c r="J369" i="20" l="1"/>
  <c r="K369" i="20"/>
  <c r="G369" i="20"/>
  <c r="H369" i="20"/>
  <c r="F370" i="20"/>
  <c r="E370" i="20"/>
  <c r="D370" i="20"/>
  <c r="B370" i="20"/>
  <c r="C370" i="20"/>
  <c r="P384" i="5"/>
  <c r="H370" i="20" l="1"/>
  <c r="J370" i="20"/>
  <c r="D371" i="20"/>
  <c r="C371" i="20"/>
  <c r="B371" i="20"/>
  <c r="F371" i="20"/>
  <c r="E371" i="20"/>
  <c r="H371" i="20" s="1"/>
  <c r="P385" i="5"/>
  <c r="I370" i="20"/>
  <c r="G370" i="20"/>
  <c r="K370" i="20"/>
  <c r="J371" i="20" l="1"/>
  <c r="I371" i="20"/>
  <c r="B372" i="20"/>
  <c r="F372" i="20"/>
  <c r="D372" i="20"/>
  <c r="C372" i="20"/>
  <c r="E372" i="20"/>
  <c r="P386" i="5"/>
  <c r="G371" i="20"/>
  <c r="K371" i="20"/>
  <c r="J372" i="20" l="1"/>
  <c r="K372" i="20"/>
  <c r="F373" i="20"/>
  <c r="D373" i="20"/>
  <c r="B373" i="20"/>
  <c r="E373" i="20"/>
  <c r="I373" i="20" s="1"/>
  <c r="C373" i="20"/>
  <c r="P387" i="5"/>
  <c r="H372" i="20"/>
  <c r="I372" i="20"/>
  <c r="G372" i="20"/>
  <c r="J373" i="20" l="1"/>
  <c r="K373" i="20"/>
  <c r="H373" i="20"/>
  <c r="G373" i="20"/>
  <c r="F374" i="20"/>
  <c r="E374" i="20"/>
  <c r="D374" i="20"/>
  <c r="B374" i="20"/>
  <c r="C374" i="20"/>
  <c r="P388" i="5"/>
  <c r="K374" i="20" l="1"/>
  <c r="H374" i="20"/>
  <c r="G374" i="20"/>
  <c r="J374" i="20"/>
  <c r="D375" i="20"/>
  <c r="C375" i="20"/>
  <c r="B375" i="20"/>
  <c r="F375" i="20"/>
  <c r="E375" i="20"/>
  <c r="P389" i="5"/>
  <c r="I374" i="20"/>
  <c r="J375" i="20" l="1"/>
  <c r="H375" i="20"/>
  <c r="K375" i="20"/>
  <c r="G375" i="20"/>
  <c r="I375" i="20"/>
  <c r="B376" i="20"/>
  <c r="F376" i="20"/>
  <c r="D376" i="20"/>
  <c r="C376" i="20"/>
  <c r="E376" i="20"/>
  <c r="P390" i="5"/>
  <c r="J376" i="20" l="1"/>
  <c r="K376" i="20"/>
  <c r="H376" i="20"/>
  <c r="I376" i="20"/>
  <c r="F377" i="20"/>
  <c r="D377" i="20"/>
  <c r="B377" i="20"/>
  <c r="E377" i="20"/>
  <c r="C377" i="20"/>
  <c r="P391" i="5"/>
  <c r="G376" i="20"/>
  <c r="I377" i="20" l="1"/>
  <c r="F378" i="20"/>
  <c r="E378" i="20"/>
  <c r="D378" i="20"/>
  <c r="J378" i="20" s="1"/>
  <c r="B378" i="20"/>
  <c r="H378" i="20"/>
  <c r="G378" i="20"/>
  <c r="I378" i="20"/>
  <c r="C378" i="20"/>
  <c r="P392" i="5"/>
  <c r="G377" i="20"/>
  <c r="H377" i="20"/>
  <c r="J377" i="20"/>
  <c r="K377" i="20"/>
  <c r="K378" i="20" l="1"/>
  <c r="D379" i="20"/>
  <c r="C379" i="20"/>
  <c r="B379" i="20"/>
  <c r="F379" i="20"/>
  <c r="E379" i="20"/>
  <c r="I379" i="20" s="1"/>
  <c r="P393" i="5"/>
  <c r="H379" i="20" l="1"/>
  <c r="J379" i="20"/>
  <c r="K379" i="20"/>
  <c r="B380" i="20"/>
  <c r="F380" i="20"/>
  <c r="D380" i="20"/>
  <c r="C380" i="20"/>
  <c r="E380" i="20"/>
  <c r="P394" i="5"/>
  <c r="G379" i="20"/>
  <c r="K380" i="20" l="1"/>
  <c r="H380" i="20"/>
  <c r="I380" i="20"/>
  <c r="G380" i="20"/>
  <c r="J380" i="20"/>
  <c r="F381" i="20"/>
  <c r="D381" i="20"/>
  <c r="J381" i="20" s="1"/>
  <c r="B381" i="20"/>
  <c r="E381" i="20"/>
  <c r="C381" i="20"/>
  <c r="P395" i="5"/>
  <c r="F382" i="20" l="1"/>
  <c r="E382" i="20"/>
  <c r="D382" i="20"/>
  <c r="I382" i="20" s="1"/>
  <c r="B382" i="20"/>
  <c r="C382" i="20"/>
  <c r="P396" i="5"/>
  <c r="G381" i="20"/>
  <c r="H381" i="20"/>
  <c r="K381" i="20"/>
  <c r="I381" i="20"/>
  <c r="G382" i="20" l="1"/>
  <c r="J382" i="20"/>
  <c r="K382" i="20"/>
  <c r="H382" i="20"/>
  <c r="D383" i="20"/>
  <c r="H383" i="20" s="1"/>
  <c r="C383" i="20"/>
  <c r="B383" i="20"/>
  <c r="F383" i="20"/>
  <c r="E383" i="20"/>
  <c r="P397" i="5"/>
  <c r="J383" i="20" l="1"/>
  <c r="G383" i="20"/>
  <c r="I383" i="20"/>
  <c r="K383" i="20"/>
  <c r="B384" i="20"/>
  <c r="F384" i="20"/>
  <c r="D384" i="20"/>
  <c r="J384" i="20" s="1"/>
  <c r="C384" i="20"/>
  <c r="E384" i="20"/>
  <c r="P398" i="5"/>
  <c r="K384" i="20" l="1"/>
  <c r="H384" i="20"/>
  <c r="I384" i="20"/>
  <c r="G384" i="20"/>
  <c r="F385" i="20"/>
  <c r="D385" i="20"/>
  <c r="J385" i="20" s="1"/>
  <c r="B385" i="20"/>
  <c r="C385" i="20"/>
  <c r="E385" i="20"/>
  <c r="P399" i="5"/>
  <c r="G385" i="20" l="1"/>
  <c r="H385" i="20"/>
  <c r="F386" i="20"/>
  <c r="E386" i="20"/>
  <c r="D386" i="20"/>
  <c r="G386" i="20" s="1"/>
  <c r="B386" i="20"/>
  <c r="C386" i="20"/>
  <c r="P400" i="5"/>
  <c r="K385" i="20"/>
  <c r="I385" i="20"/>
  <c r="H386" i="20" l="1"/>
  <c r="J386" i="20"/>
  <c r="D387" i="20"/>
  <c r="C387" i="20"/>
  <c r="B387" i="20"/>
  <c r="F387" i="20"/>
  <c r="E387" i="20"/>
  <c r="I387" i="20" s="1"/>
  <c r="P401" i="5"/>
  <c r="I386" i="20"/>
  <c r="K386" i="20"/>
  <c r="K387" i="20" l="1"/>
  <c r="H387" i="20"/>
  <c r="B388" i="20"/>
  <c r="F388" i="20"/>
  <c r="D388" i="20"/>
  <c r="C388" i="20"/>
  <c r="E388" i="20"/>
  <c r="P402" i="5"/>
  <c r="G387" i="20"/>
  <c r="J387" i="20"/>
  <c r="H388" i="20" l="1"/>
  <c r="K388" i="20"/>
  <c r="I388" i="20"/>
  <c r="G388" i="20"/>
  <c r="F389" i="20"/>
  <c r="D389" i="20"/>
  <c r="B389" i="20"/>
  <c r="E389" i="20"/>
  <c r="J389" i="20" s="1"/>
  <c r="C389" i="20"/>
  <c r="P403" i="5"/>
  <c r="J388" i="20"/>
  <c r="I389" i="20" l="1"/>
  <c r="F390" i="20"/>
  <c r="E390" i="20"/>
  <c r="D390" i="20"/>
  <c r="I390" i="20" s="1"/>
  <c r="B390" i="20"/>
  <c r="G390" i="20"/>
  <c r="K390" i="20"/>
  <c r="C390" i="20"/>
  <c r="P404" i="5"/>
  <c r="G389" i="20"/>
  <c r="H389" i="20"/>
  <c r="K389" i="20"/>
  <c r="H390" i="20" l="1"/>
  <c r="J390" i="20"/>
  <c r="D391" i="20"/>
  <c r="C391" i="20"/>
  <c r="B391" i="20"/>
  <c r="F391" i="20"/>
  <c r="E391" i="20"/>
  <c r="H391" i="20" s="1"/>
  <c r="P405" i="5"/>
  <c r="J391" i="20" l="1"/>
  <c r="G391" i="20"/>
  <c r="B392" i="20"/>
  <c r="F392" i="20"/>
  <c r="D392" i="20"/>
  <c r="C392" i="20"/>
  <c r="E392" i="20"/>
  <c r="P406" i="5"/>
  <c r="I391" i="20"/>
  <c r="K391" i="20"/>
  <c r="J392" i="20" l="1"/>
  <c r="H392" i="20"/>
  <c r="I392" i="20"/>
  <c r="K392" i="20"/>
  <c r="F393" i="20"/>
  <c r="D393" i="20"/>
  <c r="B393" i="20"/>
  <c r="E393" i="20"/>
  <c r="C393" i="20"/>
  <c r="P407" i="5"/>
  <c r="G392" i="20"/>
  <c r="I393" i="20" l="1"/>
  <c r="H393" i="20"/>
  <c r="J393" i="20"/>
  <c r="F394" i="20"/>
  <c r="E394" i="20"/>
  <c r="D394" i="20"/>
  <c r="B394" i="20"/>
  <c r="C394" i="20"/>
  <c r="P408" i="5"/>
  <c r="G393" i="20"/>
  <c r="K393" i="20"/>
  <c r="G394" i="20" l="1"/>
  <c r="H394" i="20"/>
  <c r="D395" i="20"/>
  <c r="C395" i="20"/>
  <c r="B395" i="20"/>
  <c r="F395" i="20"/>
  <c r="E395" i="20"/>
  <c r="G395" i="20" s="1"/>
  <c r="P409" i="5"/>
  <c r="J394" i="20"/>
  <c r="K394" i="20"/>
  <c r="I394" i="20"/>
  <c r="J395" i="20" l="1"/>
  <c r="H395" i="20"/>
  <c r="K395" i="20"/>
  <c r="B396" i="20"/>
  <c r="F396" i="20"/>
  <c r="D396" i="20"/>
  <c r="C396" i="20"/>
  <c r="E396" i="20"/>
  <c r="P410" i="5"/>
  <c r="I395" i="20"/>
  <c r="H396" i="20" l="1"/>
  <c r="K396" i="20"/>
  <c r="F397" i="20"/>
  <c r="D397" i="20"/>
  <c r="B397" i="20"/>
  <c r="E397" i="20"/>
  <c r="C397" i="20"/>
  <c r="P411" i="5"/>
  <c r="G396" i="20"/>
  <c r="J396" i="20"/>
  <c r="I396" i="20"/>
  <c r="K397" i="20" l="1"/>
  <c r="I397" i="20"/>
  <c r="H397" i="20"/>
  <c r="F398" i="20"/>
  <c r="E398" i="20"/>
  <c r="D398" i="20"/>
  <c r="B398" i="20"/>
  <c r="C398" i="20"/>
  <c r="P412" i="5"/>
  <c r="J397" i="20"/>
  <c r="G397" i="20"/>
  <c r="K398" i="20" l="1"/>
  <c r="H398" i="20"/>
  <c r="G398" i="20"/>
  <c r="I398" i="20"/>
  <c r="J398" i="20"/>
  <c r="D399" i="20"/>
  <c r="C399" i="20"/>
  <c r="B399" i="20"/>
  <c r="F399" i="20"/>
  <c r="E399" i="20"/>
  <c r="P413" i="5"/>
  <c r="I399" i="20" l="1"/>
  <c r="K399" i="20"/>
  <c r="H399" i="20"/>
  <c r="J399" i="20"/>
  <c r="B400" i="20"/>
  <c r="F400" i="20"/>
  <c r="D400" i="20"/>
  <c r="H400" i="20" s="1"/>
  <c r="C400" i="20"/>
  <c r="E400" i="20"/>
  <c r="P414" i="5"/>
  <c r="G399" i="20"/>
  <c r="I400" i="20" l="1"/>
  <c r="F401" i="20"/>
  <c r="D401" i="20"/>
  <c r="B401" i="20"/>
  <c r="C401" i="20"/>
  <c r="E401" i="20"/>
  <c r="I401" i="20" s="1"/>
  <c r="P415" i="5"/>
  <c r="G400" i="20"/>
  <c r="J400" i="20"/>
  <c r="K400" i="20"/>
  <c r="H401" i="20" l="1"/>
  <c r="J401" i="20"/>
  <c r="F402" i="20"/>
  <c r="E402" i="20"/>
  <c r="D402" i="20"/>
  <c r="B402" i="20"/>
  <c r="C402" i="20"/>
  <c r="P416" i="5"/>
  <c r="K401" i="20"/>
  <c r="G401" i="20"/>
  <c r="K402" i="20" l="1"/>
  <c r="G402" i="20"/>
  <c r="H402" i="20"/>
  <c r="J402" i="20"/>
  <c r="D403" i="20"/>
  <c r="I403" i="20" s="1"/>
  <c r="C403" i="20"/>
  <c r="B403" i="20"/>
  <c r="F403" i="20"/>
  <c r="E403" i="20"/>
  <c r="P417" i="5"/>
  <c r="I402" i="20"/>
  <c r="H403" i="20" l="1"/>
  <c r="B404" i="20"/>
  <c r="F404" i="20"/>
  <c r="D404" i="20"/>
  <c r="C404" i="20"/>
  <c r="E404" i="20"/>
  <c r="P418" i="5"/>
  <c r="G403" i="20"/>
  <c r="K403" i="20"/>
  <c r="J403" i="20"/>
  <c r="J404" i="20" l="1"/>
  <c r="K404" i="20"/>
  <c r="I404" i="20"/>
  <c r="F405" i="20"/>
  <c r="D405" i="20"/>
  <c r="B405" i="20"/>
  <c r="E405" i="20"/>
  <c r="C405" i="20"/>
  <c r="P419" i="5"/>
  <c r="H404" i="20"/>
  <c r="G404" i="20"/>
  <c r="I405" i="20" l="1"/>
  <c r="J405" i="20"/>
  <c r="F406" i="20"/>
  <c r="E406" i="20"/>
  <c r="D406" i="20"/>
  <c r="I406" i="20" s="1"/>
  <c r="B406" i="20"/>
  <c r="C406" i="20"/>
  <c r="P420" i="5"/>
  <c r="G405" i="20"/>
  <c r="H405" i="20"/>
  <c r="K405" i="20"/>
  <c r="H406" i="20" l="1"/>
  <c r="G406" i="20"/>
  <c r="K406" i="20"/>
  <c r="J406" i="20"/>
  <c r="D407" i="20"/>
  <c r="C407" i="20"/>
  <c r="B407" i="20"/>
  <c r="F407" i="20"/>
  <c r="E407" i="20"/>
  <c r="P421" i="5"/>
  <c r="H407" i="20" l="1"/>
  <c r="G407" i="20"/>
  <c r="J407" i="20"/>
  <c r="B408" i="20"/>
  <c r="F408" i="20"/>
  <c r="D408" i="20"/>
  <c r="C408" i="20"/>
  <c r="E408" i="20"/>
  <c r="P422" i="5"/>
  <c r="I407" i="20"/>
  <c r="K407" i="20"/>
  <c r="G408" i="20" l="1"/>
  <c r="I408" i="20"/>
  <c r="H408" i="20"/>
  <c r="J408" i="20"/>
  <c r="K408" i="20"/>
  <c r="F409" i="20"/>
  <c r="D409" i="20"/>
  <c r="B409" i="20"/>
  <c r="E409" i="20"/>
  <c r="C409" i="20"/>
  <c r="P423" i="5"/>
  <c r="J409" i="20" l="1"/>
  <c r="H409" i="20"/>
  <c r="F410" i="20"/>
  <c r="E410" i="20"/>
  <c r="D410" i="20"/>
  <c r="B410" i="20"/>
  <c r="C410" i="20"/>
  <c r="G409" i="20"/>
  <c r="K409" i="20"/>
  <c r="I409" i="20"/>
  <c r="I410" i="20" l="1"/>
  <c r="H410" i="20"/>
  <c r="G410" i="20"/>
  <c r="J410" i="20"/>
  <c r="K41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Wheatley</author>
  </authors>
  <commentList>
    <comment ref="K13" authorId="0" shapeId="0" xr:uid="{00000000-0006-0000-0400-000001000000}">
      <text>
        <r>
          <rPr>
            <sz val="10"/>
            <rFont val="Arial"/>
            <family val="2"/>
          </rPr>
          <t>David Wheatley:
Array formula - if edited press CTRL+SHIFT+ENTER</t>
        </r>
      </text>
    </comment>
  </commentList>
</comments>
</file>

<file path=xl/sharedStrings.xml><?xml version="1.0" encoding="utf-8"?>
<sst xmlns="http://schemas.openxmlformats.org/spreadsheetml/2006/main" count="78776" uniqueCount="1326">
  <si>
    <t>User guide for PROMs Score Comparison workbook</t>
  </si>
  <si>
    <t>Please note:</t>
  </si>
  <si>
    <t>All cells with this colour code contain formula's - Do not change.</t>
  </si>
  <si>
    <t>Named ranges - SHAs; PCTs; CCGs; Providers contain INDIRECT formulas which do not automatically update if columns are added or removed in the 'Reference' sheet. This should only be a factor during development and not quaterly updates.</t>
  </si>
  <si>
    <t xml:space="preserve">                                                                                                                                                                                                                               </t>
  </si>
  <si>
    <t>Protection applied to individual sheets and the workbook structure is not password protected. Protection is use to facilitate usage not protect data.</t>
  </si>
  <si>
    <t>Column F on this worksheet has been formated as a tick list - key lower case a to enter a tick.</t>
  </si>
  <si>
    <t>Quarterly updates</t>
  </si>
  <si>
    <t>Tick list</t>
  </si>
  <si>
    <t>TAB</t>
  </si>
  <si>
    <t>Reference</t>
  </si>
  <si>
    <t>Update cells B2 - start of data range (month and year) for the Score Comparison (e.g. April 2011 for PROMs year 2011-12)</t>
  </si>
  <si>
    <t>a</t>
  </si>
  <si>
    <t xml:space="preserve">                     B3 - end of data range (month and year) for the Score Comparison (e.g. March 2012 for PROMs year 2011-12)</t>
  </si>
  <si>
    <t xml:space="preserve">                     B4 - date (day month and year) this Score Comparison will be published (e.g.15th November 2013)</t>
  </si>
  <si>
    <t xml:space="preserve">                     B5 - select true from the dropdown if this is a provisional data set and false if it is a finalised data set</t>
  </si>
  <si>
    <t xml:space="preserve">                     B6 - date (day month and year) finalised data set is expected to be published.
                             If this is a finalised data set put the date it will be published</t>
  </si>
  <si>
    <t>Key Facts - Raw Data</t>
  </si>
  <si>
    <t>Get appropriate Key Facts CSV file from SharePoint (Key Facts folder under current publication number).
Make sure 
                   - the Organisation names for Providers and CCGs have the organisation code in brackets after the name.
                   - the lookup column is Organisation Type Organisation Name Procedure Measure concaternated with no 
                     additional spaces between the fields.
                   - Check Orgnaisation Type, Organisation Name and Organisation Code are all ENGLAND and not National or 
                     ENG at England level.</t>
  </si>
  <si>
    <t>Copy the new data set (without the column headings) and paste (use paste special - values and number formatting) into cell A2. Make a note of the last row number and check this is the number in cell B41 on the 'Chart data' tab.</t>
  </si>
  <si>
    <t>Participation - Raw Data</t>
  </si>
  <si>
    <t>Get appropriate Participation and Linkage CSV file from SharePoint (Participation Rates folder under current publication number). Make sure
                  - the Organisation names for Providers and CCGs have the organisation code in brackets after the name.
                  - check Organisation Name and Organisation Code are both England and not National or ENG at England level.</t>
  </si>
  <si>
    <t>Copy the new data set (without the column headings) and paste (use paste special - values and number formatting) into cell A2. Make a note of the last row number and check this is the number in cell B44 on the 'Chart data' tab.</t>
  </si>
  <si>
    <t>Provider Commission - Raw Data</t>
  </si>
  <si>
    <t>Get appropriate Provider Commissioner CSV file from SharePoint (Provider Level folder under current publication number) - Make sure the Organisation names for Providers and CCGs have the organisation code in brackets after the name.</t>
  </si>
  <si>
    <t>Sort by 'Procedure; Organisation Type; Measure; Organisation Name</t>
  </si>
  <si>
    <t>N.B. Provider Commission - Raw Data, columns A and B contain formulas</t>
  </si>
  <si>
    <t>Copy the new data set (without the column headings) and paste  (use paste special - values and number formatting) into cell C2</t>
  </si>
  <si>
    <t>Copy down the formulas columns A and B (cells containing formula's will be highlighted automatically). Make a note of the last row number and check this is the number in cell B47 on the 'Chart data' tab.</t>
  </si>
  <si>
    <t>Repeat steps above for Provider Commission - New Chart'</t>
  </si>
  <si>
    <t>Funnel setup</t>
  </si>
  <si>
    <t xml:space="preserve">Run query QRY SCORE COMPARISON - FUNNEL SETUP from Code Library </t>
  </si>
  <si>
    <t>This selects England level data for the specified year by Procedure and Measure for Modelled Records; Average Post-Op Q score; Adjusted Average Health Gain; Upper Control limit 99.8; Standard Deviation.</t>
  </si>
  <si>
    <t>Copy new data (without column headings) and paste (use paste special - values and number formatting) in cells B4.</t>
  </si>
  <si>
    <t>Check Adjusted Average Health Gain and Upper Control Limit 99.8 have the same sign for Aberdeen Varicose Vein Questionnaire (+ or - doesn't matter which)</t>
  </si>
  <si>
    <t>Updated Columns E and H with the current CCG and Provider names from both Provider Commission - Raw Data and Participation - Raw data data sets. 
Make sure each name only appears once in each list and has the organisation code in brackets after the name.
Sort each list alphabetically if there are any 'Unknown' place at the bottom of the list and not under 'U'.
Check the number of organisations match those given on the 'Chart data' tab
There are place holders for PCTs and SHAs which can be over typed with new organisational levels should the need arise.</t>
  </si>
  <si>
    <t xml:space="preserve">Finally </t>
  </si>
  <si>
    <t>Check all the 'Refers to' data in Named Ranges to ensure there are no #REF errors</t>
  </si>
  <si>
    <t>Check there are no #N/A's in Chart Data</t>
  </si>
  <si>
    <t>Check the Score Comparison workbook is working properly e.g. drop down lists, dates, data etc.</t>
  </si>
  <si>
    <t>Check the Funnel Plot and Funnel Data worksheets are working properly e.g. drop down lists, dates, full data set included, no error messages etc.</t>
  </si>
  <si>
    <t>Check there are no error messages in Provider Commission - Lookup</t>
  </si>
  <si>
    <t>Publication</t>
  </si>
  <si>
    <t>Hide tabs in yellow</t>
  </si>
  <si>
    <t>How to use</t>
  </si>
  <si>
    <t>Chart data</t>
  </si>
  <si>
    <t>Provider Commission - Lookup</t>
  </si>
  <si>
    <t>Funnel Lookup</t>
  </si>
  <si>
    <t>Protect tabs</t>
  </si>
  <si>
    <t>DO NOT use a password - Protection is use to facilitate usage not protect data.</t>
  </si>
  <si>
    <t>Protect workbook structure</t>
  </si>
  <si>
    <t>How to</t>
  </si>
  <si>
    <t>To add or remove organisation levels on Reference tab</t>
  </si>
  <si>
    <t>-        amend list in column AC for Key Facts – charts</t>
  </si>
  <si>
    <t>-        amend list in column AF for Funnel Plot</t>
  </si>
  <si>
    <t xml:space="preserve">for example: to add Test to the list of available organisation levels for Key Facts – charts, type Test in the next available blank cell in column AC. </t>
  </si>
  <si>
    <t>When adding of removing organisations do not leave blank cells in the list.</t>
  </si>
  <si>
    <t>Organisation Code</t>
  </si>
  <si>
    <t>Organisation Name - SC</t>
  </si>
  <si>
    <t>All Procedures - Total HES Procedures</t>
  </si>
  <si>
    <t>All Procedures - Total Pre-Op Qs</t>
  </si>
  <si>
    <t>All Procedures - Participation Rate</t>
  </si>
  <si>
    <t>All Procedures - Total Linked</t>
  </si>
  <si>
    <t>All Procedures - Linkage rate</t>
  </si>
  <si>
    <t>All Procedures - Total Q2s sent to date</t>
  </si>
  <si>
    <t>All Procedures - Issue rate</t>
  </si>
  <si>
    <t>All Procedures - Total Q2s returned to date</t>
  </si>
  <si>
    <t>All Procedures - Response rate</t>
  </si>
  <si>
    <t>Hip Replacement - Total HES Procedures</t>
  </si>
  <si>
    <t>Hip Replacement - Total Pre-Op Qs</t>
  </si>
  <si>
    <t>Hip Replacement - Participation Rate</t>
  </si>
  <si>
    <t>Hip Replacement - Total Linked</t>
  </si>
  <si>
    <t>Hip Replacement - Linkage rate</t>
  </si>
  <si>
    <t>Hip Replacement - Total Q2s sent to date</t>
  </si>
  <si>
    <t>Hip Replacement - Issue rate</t>
  </si>
  <si>
    <t>Hip Replacement - Total Q2s returned to date</t>
  </si>
  <si>
    <t>Hip Replacement - Response rate</t>
  </si>
  <si>
    <t>Primary Hip Replacement - Total HES Procedures</t>
  </si>
  <si>
    <t>Primary Hip Replacement - Total Pre-Op Qs</t>
  </si>
  <si>
    <t>Primary Hip Replacement - Participation Rate</t>
  </si>
  <si>
    <t>Primary Hip Replacement - Total Linked</t>
  </si>
  <si>
    <t>Primary Hip Replacement - Linkage rate</t>
  </si>
  <si>
    <t>Primary Hip Replacement - Total Q2s sent to date</t>
  </si>
  <si>
    <t>Primary Hip Replacement - Issue rate</t>
  </si>
  <si>
    <t>Primary Hip Replacement - Total Q2s returned to date</t>
  </si>
  <si>
    <t>Primary Hip Replacement - Response rate</t>
  </si>
  <si>
    <t>Revision Hip Replacement - Total HES Procedures</t>
  </si>
  <si>
    <t>Revision Hip Replacement - Total Pre-Op Qs</t>
  </si>
  <si>
    <t>Revision Hip Replacement - Participation Rate</t>
  </si>
  <si>
    <t>Revision Hip Replacement - Total Linked</t>
  </si>
  <si>
    <t>Revision Hip Replacement - Linkage rate</t>
  </si>
  <si>
    <t>Revision Hip Replacement - Total Q2s sent to date</t>
  </si>
  <si>
    <t>Revision Hip Replacement - Issue rate</t>
  </si>
  <si>
    <t>Revision Hip Replacement - Total Q2s returned to date</t>
  </si>
  <si>
    <t>Revision Hip Replacement - Response rate</t>
  </si>
  <si>
    <t>Knee Replacement - Total HES Procedures</t>
  </si>
  <si>
    <t>Knee Replacement - Total Pre-Op Qs</t>
  </si>
  <si>
    <t>Knee Replacement - Participation Rate</t>
  </si>
  <si>
    <t>Knee Replacement - Total Linked</t>
  </si>
  <si>
    <t>Knee Replacement - Linkage rate</t>
  </si>
  <si>
    <t>Knee Replacement - Total Q2s sent to date</t>
  </si>
  <si>
    <t>Knee Replacement - Issue rate</t>
  </si>
  <si>
    <t>Knee Replacement - Total Q2s returned to date</t>
  </si>
  <si>
    <t>Knee Replacement - Response rate</t>
  </si>
  <si>
    <t>Primary Knee Replacement - Total HES Procedures</t>
  </si>
  <si>
    <t>Primary Knee Replacement - Total Pre-Op Qs</t>
  </si>
  <si>
    <t>Primary Knee Replacement - Participation Rate</t>
  </si>
  <si>
    <t>Primary Knee Replacement - Total Linked</t>
  </si>
  <si>
    <t>Primary Knee Replacement - Linkage rate</t>
  </si>
  <si>
    <t>Primary Knee Replacement - Total Q2s sent to date</t>
  </si>
  <si>
    <t>Primary Knee Replacement - Issue rate</t>
  </si>
  <si>
    <t>Primary Knee Replacement - Total Q2s returned to date</t>
  </si>
  <si>
    <t>Primary Knee Replacement - Response rate</t>
  </si>
  <si>
    <t>Revision Knee Replacement - Total HES Procedures</t>
  </si>
  <si>
    <t>Revision Knee Replacement - Total Pre-Op Qs</t>
  </si>
  <si>
    <t>Revision Knee Replacement - Participation Rate</t>
  </si>
  <si>
    <t>Revision Knee Replacement - Total Linked</t>
  </si>
  <si>
    <t>Revision Knee Replacement - Linkage rate</t>
  </si>
  <si>
    <t>Revision Knee Replacement - Total Q2s sent to date</t>
  </si>
  <si>
    <t>Revision Knee Replacement - Issue rate</t>
  </si>
  <si>
    <t>Revision Knee Replacement - Total Q2s returned to date</t>
  </si>
  <si>
    <t>Revision Knee Replacement - Response rate</t>
  </si>
  <si>
    <t>England</t>
  </si>
  <si>
    <t>ENGLAND</t>
  </si>
  <si>
    <t>G3Z</t>
  </si>
  <si>
    <t>RCF</t>
  </si>
  <si>
    <t>AIREDALE NHS FOUNDATION TRUST (RCF)</t>
  </si>
  <si>
    <t>*</t>
  </si>
  <si>
    <t>RBS</t>
  </si>
  <si>
    <t>ALDER HEY CHILDREN'S NHS FOUNDATION TRUST (RBS)</t>
  </si>
  <si>
    <t>NT401</t>
  </si>
  <si>
    <t>ALEXANDRA HOSPITAL (NT401)</t>
  </si>
  <si>
    <t>RTK</t>
  </si>
  <si>
    <t>ASHFORD AND ST PETER'S HOSPITALS NHS FOUNDATION TRUST (RTK)</t>
  </si>
  <si>
    <t>NVC01</t>
  </si>
  <si>
    <t>ASHTEAD HOSPITAL (NVC01)</t>
  </si>
  <si>
    <t>NYW04</t>
  </si>
  <si>
    <t>ASPEN - CLAREMONT HOSPITAL (NYW04)</t>
  </si>
  <si>
    <t>NYW03</t>
  </si>
  <si>
    <t>ASPEN - HIGHGATE HOSPITAL (NYW03)</t>
  </si>
  <si>
    <t>NYW02</t>
  </si>
  <si>
    <t>ASPEN - PARKSIDE HOSPITAL (NYW02)</t>
  </si>
  <si>
    <t>NYW01</t>
  </si>
  <si>
    <t>ASPEN - THE HOLLY (NYW01)</t>
  </si>
  <si>
    <t>RF4</t>
  </si>
  <si>
    <t>BARKING, HAVERING AND REDBRIDGE UNIVERSITY HOSPITALS NHS TRUST (RF4)</t>
  </si>
  <si>
    <t>RFF</t>
  </si>
  <si>
    <t>BARNSLEY HOSPITAL NHS FOUNDATION TRUST (RFF)</t>
  </si>
  <si>
    <t>R1H</t>
  </si>
  <si>
    <t>BARTS HEALTH NHS TRUST (R1H)</t>
  </si>
  <si>
    <t>RDD</t>
  </si>
  <si>
    <t>BASILDON AND THURROCK UNIVERSITY HOSPITALS NHS FOUNDATION TRUST (RDD)</t>
  </si>
  <si>
    <t>NT402</t>
  </si>
  <si>
    <t>BATH CLINIC (NT402)</t>
  </si>
  <si>
    <t>NT403</t>
  </si>
  <si>
    <t>BEARDWOOD HOSPITAL (NT403)</t>
  </si>
  <si>
    <t>NT404</t>
  </si>
  <si>
    <t>BEAUMONT HOSPITAL (NT404)</t>
  </si>
  <si>
    <t>RC9</t>
  </si>
  <si>
    <t>BEDFORDSHIRE HOSPITALS NHS FOUNDATION TRUST (RC9)</t>
  </si>
  <si>
    <t>NWF01</t>
  </si>
  <si>
    <t>BENENDEN HOSPITAL (NWF01)</t>
  </si>
  <si>
    <t>NWX11</t>
  </si>
  <si>
    <t>BICS-COMMUNITY (NWX11)</t>
  </si>
  <si>
    <t>RQ3</t>
  </si>
  <si>
    <t>BIRMINGHAM WOMEN'S AND CHILDREN'S NHS FOUNDATION TRUST (RQ3)</t>
  </si>
  <si>
    <t>NT405</t>
  </si>
  <si>
    <t>BISHOPS WOOD HOSPITAL (NT405)</t>
  </si>
  <si>
    <t>NT406</t>
  </si>
  <si>
    <t>BLACKHEATH HOSPITAL (NT406)</t>
  </si>
  <si>
    <t>RXL</t>
  </si>
  <si>
    <t>BLACKPOOL TEACHING HOSPITALS NHS FOUNDATION TRUST (RXL)</t>
  </si>
  <si>
    <t>RMC</t>
  </si>
  <si>
    <t>BOLTON NHS FOUNDATION TRUST (RMC)</t>
  </si>
  <si>
    <t>RAE</t>
  </si>
  <si>
    <t>BRADFORD TEACHING HOSPITALS NHS FOUNDATION TRUST (RAE)</t>
  </si>
  <si>
    <t>RXH</t>
  </si>
  <si>
    <t>BRIGHTON AND SUSSEX UNIVERSITY HOSPITALS NHS TRUST (RXH)</t>
  </si>
  <si>
    <t>RXQ</t>
  </si>
  <si>
    <t>BUCKINGHAMSHIRE HEALTHCARE NHS TRUST (RXQ)</t>
  </si>
  <si>
    <t>RWY</t>
  </si>
  <si>
    <t>CALDERDALE AND HUDDERSFIELD NHS FOUNDATION TRUST (RWY)</t>
  </si>
  <si>
    <t>RGT</t>
  </si>
  <si>
    <t>CAMBRIDGE UNIVERSITY HOSPITALS NHS FOUNDATION TRUST (RGT)</t>
  </si>
  <si>
    <t>NT451</t>
  </si>
  <si>
    <t>CAVELL HOSPITAL (NT451)</t>
  </si>
  <si>
    <t>NT408</t>
  </si>
  <si>
    <t>CHAUCER HOSPITAL (NT408)</t>
  </si>
  <si>
    <t>RQM</t>
  </si>
  <si>
    <t>CHELSEA AND WESTMINSTER HOSPITAL NHS FOUNDATION TRUST (RQM)</t>
  </si>
  <si>
    <t>NT409</t>
  </si>
  <si>
    <t>CHELSFIELD PARK HOSPITAL (NT409)</t>
  </si>
  <si>
    <t>RFS</t>
  </si>
  <si>
    <t>CHESTERFIELD ROYAL HOSPITAL NHS FOUNDATION TRUST (RFS)</t>
  </si>
  <si>
    <t>NT410</t>
  </si>
  <si>
    <t>CHILTERN HOSPITAL (NT410)</t>
  </si>
  <si>
    <t>NV302</t>
  </si>
  <si>
    <t>CIRCLE BATH HOSPITAL (NV302)</t>
  </si>
  <si>
    <t>NV323</t>
  </si>
  <si>
    <t>CIRCLE READING HOSPITAL (NV323)</t>
  </si>
  <si>
    <t>NT411</t>
  </si>
  <si>
    <t>CLEMENTINE CHURCHILL HOSPITAL (NT411)</t>
  </si>
  <si>
    <t>NVC28</t>
  </si>
  <si>
    <t>CLIFTON PARK HOSPITAL (NVC28)</t>
  </si>
  <si>
    <t>RJR</t>
  </si>
  <si>
    <t>COUNTESS OF CHESTER HOSPITAL NHS FOUNDATION TRUST (RJR)</t>
  </si>
  <si>
    <t>RXP</t>
  </si>
  <si>
    <t>COUNTY DURHAM AND DARLINGTON NHS FOUNDATION TRUST (RXP)</t>
  </si>
  <si>
    <t>RJ6</t>
  </si>
  <si>
    <t>CROYDON HEALTH SERVICES NHS TRUST (RJ6)</t>
  </si>
  <si>
    <t>RN7</t>
  </si>
  <si>
    <t>DARTFORD AND GRAVESHAM NHS TRUST (RN7)</t>
  </si>
  <si>
    <t>RP5</t>
  </si>
  <si>
    <t>DONCASTER AND BASSETLAW TEACHING HOSPITALS NHS FOUNDATION TRUST (RP5)</t>
  </si>
  <si>
    <t>RBD</t>
  </si>
  <si>
    <t>DORSET COUNTY HOSPITAL NHS FOUNDATION TRUST (RBD)</t>
  </si>
  <si>
    <t>NT412</t>
  </si>
  <si>
    <t>DROITWICH SPA HOSPITAL (NT412)</t>
  </si>
  <si>
    <t>NT447</t>
  </si>
  <si>
    <t>DUCHY HOSPITAL (NT447)</t>
  </si>
  <si>
    <t>NVC04</t>
  </si>
  <si>
    <t>DUCHY HOSPITAL (NVC04)</t>
  </si>
  <si>
    <t>RYK</t>
  </si>
  <si>
    <t>DUDLEY INTEGRATED HEALTH AND CARE NHS TRUST (RYK)</t>
  </si>
  <si>
    <t>RWH</t>
  </si>
  <si>
    <t>EAST AND NORTH HERTFORDSHIRE NHS TRUST (RWH)</t>
  </si>
  <si>
    <t>RJN</t>
  </si>
  <si>
    <t>EAST CHESHIRE NHS TRUST (RJN)</t>
  </si>
  <si>
    <t>RVV</t>
  </si>
  <si>
    <t>EAST KENT HOSPITALS UNIVERSITY NHS FOUNDATION TRUST (RVV)</t>
  </si>
  <si>
    <t>RXR</t>
  </si>
  <si>
    <t>EAST LANCASHIRE HOSPITALS NHS TRUST (RXR)</t>
  </si>
  <si>
    <t>RDE</t>
  </si>
  <si>
    <t>EAST SUFFOLK AND NORTH ESSEX NHS FOUNDATION TRUST (RDE)</t>
  </si>
  <si>
    <t>RXC</t>
  </si>
  <si>
    <t>EAST SUSSEX HEALTHCARE NHS TRUST (RXC)</t>
  </si>
  <si>
    <t>NT445</t>
  </si>
  <si>
    <t>EDGBASTON HOSPITAL (NT445)</t>
  </si>
  <si>
    <t>RVR</t>
  </si>
  <si>
    <t>EPSOM AND ST HELIER UNIVERSITY HOSPITALS NHS TRUST (RVR)</t>
  </si>
  <si>
    <t>NVC05</t>
  </si>
  <si>
    <t>EUXTON HALL HOSPITAL (NVC05)</t>
  </si>
  <si>
    <t>NVG01</t>
  </si>
  <si>
    <t>FAIRFIELD HOSPITAL (NVG01)</t>
  </si>
  <si>
    <t>NVC06</t>
  </si>
  <si>
    <t>FITZWILLIAM HOSPITAL (NVC06)</t>
  </si>
  <si>
    <t>AHH</t>
  </si>
  <si>
    <t>FOSCOTE COURT (BANBURY) TRUST LTD (AHH)</t>
  </si>
  <si>
    <t>RDU</t>
  </si>
  <si>
    <t>FRIMLEY HEALTH NHS FOUNDATION TRUST (RDU)</t>
  </si>
  <si>
    <t>NVC07</t>
  </si>
  <si>
    <t>FULWOOD HALL HOSPITAL (NVC07)</t>
  </si>
  <si>
    <t>RR7</t>
  </si>
  <si>
    <t>GATESHEAD HEALTH NHS FOUNDATION TRUST (RR7)</t>
  </si>
  <si>
    <t>RLT</t>
  </si>
  <si>
    <t>GEORGE ELIOT HOSPITAL NHS TRUST (RLT)</t>
  </si>
  <si>
    <t>RTE</t>
  </si>
  <si>
    <t>GLOUCESTERSHIRE HOSPITALS NHS FOUNDATION TRUST (RTE)</t>
  </si>
  <si>
    <t>NT417</t>
  </si>
  <si>
    <t>GORING HALL HOSPITAL (NT417)</t>
  </si>
  <si>
    <t>RN3</t>
  </si>
  <si>
    <t>GREAT WESTERN HOSPITALS NHS FOUNDATION TRUST (RN3)</t>
  </si>
  <si>
    <t>RJ1</t>
  </si>
  <si>
    <t>GUY'S AND ST THOMAS' NHS FOUNDATION TRUST (RJ1)</t>
  </si>
  <si>
    <t>NT418</t>
  </si>
  <si>
    <t>HAMPSHIRE CLINIC (NT418)</t>
  </si>
  <si>
    <t>RN5</t>
  </si>
  <si>
    <t>HAMPSHIRE HOSPITALS NHS FOUNDATION TRUST (RN5)</t>
  </si>
  <si>
    <t>NT419</t>
  </si>
  <si>
    <t>HARBOUR HOSPITAL (NT419)</t>
  </si>
  <si>
    <t>RCD</t>
  </si>
  <si>
    <t>HARROGATE AND DISTRICT NHS FOUNDATION TRUST (RCD)</t>
  </si>
  <si>
    <t>NT420</t>
  </si>
  <si>
    <t>HIGHFIELD HOSPITAL (NT420)</t>
  </si>
  <si>
    <t>RQX</t>
  </si>
  <si>
    <t>HOMERTON HEALTHCARE NHS FOUNDATION TRUST (RQX)</t>
  </si>
  <si>
    <t>NT448</t>
  </si>
  <si>
    <t>HUDDERSFIELD HOSPITAL (NT448)</t>
  </si>
  <si>
    <t>RWA</t>
  </si>
  <si>
    <t>HULL UNIVERSITY TEACHING HOSPITALS NHS TRUST (RWA)</t>
  </si>
  <si>
    <t>RYJ</t>
  </si>
  <si>
    <t>IMPERIAL COLLEGE HEALTHCARE NHS TRUST (RYJ)</t>
  </si>
  <si>
    <t>R1F</t>
  </si>
  <si>
    <t>ISLE OF WIGHT NHS TRUST (R1F)</t>
  </si>
  <si>
    <t>RGP</t>
  </si>
  <si>
    <t>JAMES PAGET UNIVERSITY HOSPITALS NHS FOUNDATION TRUST (RGP)</t>
  </si>
  <si>
    <t>RNQ</t>
  </si>
  <si>
    <t>KETTERING GENERAL HOSPITAL NHS FOUNDATION TRUST (RNQ)</t>
  </si>
  <si>
    <t>ADP02</t>
  </si>
  <si>
    <t>KIMS HOSPITAL (NEWNHAM COURT) (ADP02)</t>
  </si>
  <si>
    <t>RJZ</t>
  </si>
  <si>
    <t>KING'S COLLEGE HOSPITAL NHS FOUNDATION TRUST (RJZ)</t>
  </si>
  <si>
    <t>NT421</t>
  </si>
  <si>
    <t>KINGS OAK HOSPITAL (NT421)</t>
  </si>
  <si>
    <t>RAX</t>
  </si>
  <si>
    <t>KINGSTON HOSPITAL NHS FOUNDATION TRUST (RAX)</t>
  </si>
  <si>
    <t>RXN</t>
  </si>
  <si>
    <t>LANCASHIRE TEACHING HOSPITALS NHS FOUNDATION TRUST (RXN)</t>
  </si>
  <si>
    <t>NT449</t>
  </si>
  <si>
    <t>LANCASTER HOSPITAL (NT449)</t>
  </si>
  <si>
    <t>RR8</t>
  </si>
  <si>
    <t>LEEDS TEACHING HOSPITALS NHS TRUST (RR8)</t>
  </si>
  <si>
    <t>RJ2</t>
  </si>
  <si>
    <t>LEWISHAM AND GREENWICH NHS TRUST (RJ2)</t>
  </si>
  <si>
    <t>NT450</t>
  </si>
  <si>
    <t>LINCOLN HOSPITAL (NT450)</t>
  </si>
  <si>
    <t>REM</t>
  </si>
  <si>
    <t>LIVERPOOL UNIVERSITY HOSPITALS NHS FOUNDATION TRUST (REM)</t>
  </si>
  <si>
    <t>NT422</t>
  </si>
  <si>
    <t>LONDON INDEPENDENT HOSPITAL (NT422)</t>
  </si>
  <si>
    <t>R1K</t>
  </si>
  <si>
    <t>LONDON NORTH WEST UNIVERSITY HEALTHCARE NHS TRUST (R1K)</t>
  </si>
  <si>
    <t>RWF</t>
  </si>
  <si>
    <t>MAIDSTONE AND TUNBRIDGE WELLS NHS TRUST (RWF)</t>
  </si>
  <si>
    <t>NN501</t>
  </si>
  <si>
    <t>MANCHESTER SURGICAL SERVICES - THE PINES HOSPITAL (NN501)</t>
  </si>
  <si>
    <t>R0A</t>
  </si>
  <si>
    <t>MANCHESTER UNIVERSITY NHS FOUNDATION TRUST (R0A)</t>
  </si>
  <si>
    <t>NT423</t>
  </si>
  <si>
    <t>MANOR HOSPITAL (NT423)</t>
  </si>
  <si>
    <t>RPA</t>
  </si>
  <si>
    <t>MEDWAY NHS FOUNDATION TRUST (RPA)</t>
  </si>
  <si>
    <t>NT424</t>
  </si>
  <si>
    <t>MERIDEN HOSPITAL (NT424)</t>
  </si>
  <si>
    <t>RAJ</t>
  </si>
  <si>
    <t>MID AND SOUTH ESSEX NHS FOUNDATION TRUST (RAJ)</t>
  </si>
  <si>
    <t>RBT</t>
  </si>
  <si>
    <t>MID CHESHIRE HOSPITALS NHS FOUNDATION TRUST (RBT)</t>
  </si>
  <si>
    <t>RQ8</t>
  </si>
  <si>
    <t>MID ESSEX HOSPITAL SERVICES NHS TRUST (RQ8)</t>
  </si>
  <si>
    <t>RXF</t>
  </si>
  <si>
    <t>MID YORKSHIRE TEACHING NHS TRUST (RXF)</t>
  </si>
  <si>
    <t>RD8</t>
  </si>
  <si>
    <t>MILTON KEYNES UNIVERSITY HOSPITAL NHS FOUNDATION TRUST (RD8)</t>
  </si>
  <si>
    <t>NT455</t>
  </si>
  <si>
    <t>MOUNT ALVERNIA HOSPITAL (NT455)</t>
  </si>
  <si>
    <t>NVC08</t>
  </si>
  <si>
    <t>MOUNT STUART HOSPITAL (NVC08)</t>
  </si>
  <si>
    <t>NVC09</t>
  </si>
  <si>
    <t>NEW HALL HOSPITAL (NVC09)</t>
  </si>
  <si>
    <t>RM1</t>
  </si>
  <si>
    <t>NORFOLK AND NORWICH UNIVERSITY HOSPITALS NHS FOUNDATION TRUST (RM1)</t>
  </si>
  <si>
    <t>RVJ</t>
  </si>
  <si>
    <t>NORTH BRISTOL NHS TRUST (RVJ)</t>
  </si>
  <si>
    <t>RNN</t>
  </si>
  <si>
    <t>NORTH CUMBRIA INTEGRATED CARE NHS FOUNDATION TRUST (RNN)</t>
  </si>
  <si>
    <t>RNL</t>
  </si>
  <si>
    <t>NORTH CUMBRIA UNIVERSITY HOSPITALS NHS TRUST (RNL)</t>
  </si>
  <si>
    <t>NVC11</t>
  </si>
  <si>
    <t>NORTH DOWNS HOSPITAL (NVC11)</t>
  </si>
  <si>
    <t>RAP</t>
  </si>
  <si>
    <t>NORTH MIDDLESEX UNIVERSITY HOSPITAL NHS TRUST (RAP)</t>
  </si>
  <si>
    <t>RVW</t>
  </si>
  <si>
    <t>NORTH TEES AND HARTLEPOOL NHS FOUNDATION TRUST (RVW)</t>
  </si>
  <si>
    <t>RGN</t>
  </si>
  <si>
    <t>NORTH WEST ANGLIA NHS FOUNDATION TRUST (RGN)</t>
  </si>
  <si>
    <t>RNS</t>
  </si>
  <si>
    <t>NORTHAMPTON GENERAL HOSPITAL NHS TRUST (RNS)</t>
  </si>
  <si>
    <t>RM3</t>
  </si>
  <si>
    <t>NORTHERN CARE ALLIANCE NHS FOUNDATION TRUST (RM3)</t>
  </si>
  <si>
    <t>RBZ</t>
  </si>
  <si>
    <t>NORTHERN DEVON HEALTHCARE NHS TRUST (RBZ)</t>
  </si>
  <si>
    <t>RJL</t>
  </si>
  <si>
    <t>NORTHERN LINCOLNSHIRE AND GOOLE NHS FOUNDATION TRUST (RJL)</t>
  </si>
  <si>
    <t>RTF</t>
  </si>
  <si>
    <t>NORTHUMBRIA HEALTHCARE NHS FOUNDATION TRUST (RTF)</t>
  </si>
  <si>
    <t>RX1</t>
  </si>
  <si>
    <t>NOTTINGHAM UNIVERSITY HOSPITALS NHS TRUST (RX1)</t>
  </si>
  <si>
    <t>NT202</t>
  </si>
  <si>
    <t>NUFFIELD HEALTH, BOURNEMOUTH HOSPITAL (NT202)</t>
  </si>
  <si>
    <t>NT204</t>
  </si>
  <si>
    <t>NUFFIELD HEALTH, BRENTWOOD HOSPITAL (NT204)</t>
  </si>
  <si>
    <t>NT205</t>
  </si>
  <si>
    <t>NUFFIELD HEALTH, BRIGHTON HOSPITAL (NT205)</t>
  </si>
  <si>
    <t>NT206</t>
  </si>
  <si>
    <t>NUFFIELD HEALTH, BRISTOL HOSPITAL (CHESTERFIELD) (NT206)</t>
  </si>
  <si>
    <t>NT209</t>
  </si>
  <si>
    <t>NUFFIELD HEALTH, CAMBRIDGE HOSPITAL (NT209)</t>
  </si>
  <si>
    <t>NT211</t>
  </si>
  <si>
    <t>NUFFIELD HEALTH, CHELTENHAM HOSPITAL (NT211)</t>
  </si>
  <si>
    <t>NT212</t>
  </si>
  <si>
    <t>NUFFIELD HEALTH, CHICHESTER HOSPITAL (NT212)</t>
  </si>
  <si>
    <t>NT213</t>
  </si>
  <si>
    <t>NUFFIELD HEALTH, DERBY HOSPITAL (NT213)</t>
  </si>
  <si>
    <t>NT215</t>
  </si>
  <si>
    <t>NUFFIELD HEALTH, EXETER HOSPITAL (NT215)</t>
  </si>
  <si>
    <t>NT218</t>
  </si>
  <si>
    <t>NUFFIELD HEALTH, HAYWARDS HEATH HOSPITAL (NT218)</t>
  </si>
  <si>
    <t>NT219</t>
  </si>
  <si>
    <t>NUFFIELD HEALTH, HEREFORD HOSPITAL (NT219)</t>
  </si>
  <si>
    <t>NT222</t>
  </si>
  <si>
    <t>NUFFIELD HEALTH, IPSWICH HOSPITAL (NT222)</t>
  </si>
  <si>
    <t>NT225</t>
  </si>
  <si>
    <t>NUFFIELD HEALTH, LEEDS HOSPITAL (NT225)</t>
  </si>
  <si>
    <t>NT226</t>
  </si>
  <si>
    <t>NUFFIELD HEALTH, LEICESTER HOSPITAL (NT226)</t>
  </si>
  <si>
    <t>NT229</t>
  </si>
  <si>
    <t>NUFFIELD HEALTH, NEWCASTLE UPON TYNE HOSPITAL (NT229)</t>
  </si>
  <si>
    <t>NT230</t>
  </si>
  <si>
    <t>NUFFIELD HEALTH, NORTH STAFFORDSHIRE HOSPITAL (NT230)</t>
  </si>
  <si>
    <t>NT233</t>
  </si>
  <si>
    <t>NUFFIELD HEALTH, PLYMOUTH HOSPITAL (NT233)</t>
  </si>
  <si>
    <t>NT235</t>
  </si>
  <si>
    <t>NUFFIELD HEALTH, SHREWSBURY HOSPITAL (NT235)</t>
  </si>
  <si>
    <t>NT238</t>
  </si>
  <si>
    <t>NUFFIELD HEALTH, TAUNTON HOSPITAL (NT238)</t>
  </si>
  <si>
    <t>NT237</t>
  </si>
  <si>
    <t>NUFFIELD HEALTH, TEES HOSPITAL (NT237)</t>
  </si>
  <si>
    <t>NT210</t>
  </si>
  <si>
    <t>NUFFIELD HEALTH, THE GROSVENOR HOSPITAL, CHESTER (NT210)</t>
  </si>
  <si>
    <t>NT239</t>
  </si>
  <si>
    <t>NUFFIELD HEALTH, TUNBRIDGE WELLS HOSPITAL (NT239)</t>
  </si>
  <si>
    <t>NT224</t>
  </si>
  <si>
    <t>NUFFIELD HEALTH, WARWICKSHIRE HOSPITAL (NT224)</t>
  </si>
  <si>
    <t>NT214</t>
  </si>
  <si>
    <t>NUFFIELD HEALTH, WESSEX HOSPITAL (NT214)</t>
  </si>
  <si>
    <t>NT241</t>
  </si>
  <si>
    <t>NUFFIELD HEALTH, WOKING HOSPITAL (NT241)</t>
  </si>
  <si>
    <t>NT242</t>
  </si>
  <si>
    <t>NUFFIELD HEALTH, WOLVERHAMPTON HOSPITAL (NT242)</t>
  </si>
  <si>
    <t>NT245</t>
  </si>
  <si>
    <t>NUFFIELD HEALTH, YORK HOSPITAL (NT245)</t>
  </si>
  <si>
    <t>NT244</t>
  </si>
  <si>
    <t>NUFFIELD HOSPITAL OXFORD (THE MANOR) (NT244)</t>
  </si>
  <si>
    <t>NVC12</t>
  </si>
  <si>
    <t>OAKLANDS HOSPITAL (NVC12)</t>
  </si>
  <si>
    <t>NVC13</t>
  </si>
  <si>
    <t>OAKS HOSPITAL (NVC13)</t>
  </si>
  <si>
    <t>NTX51</t>
  </si>
  <si>
    <t>ONE HEALTH GROUP - BARLBOROUGH TREATMENT CENTRE (NTX51)</t>
  </si>
  <si>
    <t>NTX0B</t>
  </si>
  <si>
    <t>ONE HEALTH GROUP - KINVARA HOSPITAL (NTX0B)</t>
  </si>
  <si>
    <t>NTX11</t>
  </si>
  <si>
    <t>ONE HEALTH GROUP CLINIC - THORNBURY (NTX11)</t>
  </si>
  <si>
    <t>AVQ</t>
  </si>
  <si>
    <t>ONE HEALTHCARE (AVQ)</t>
  </si>
  <si>
    <t>NQM01</t>
  </si>
  <si>
    <t>ORTHOPAEDICS &amp; SPINE SPECIALIST HOSPITAL SITE (NQM01)</t>
  </si>
  <si>
    <t>RTH</t>
  </si>
  <si>
    <t>OXFORD UNIVERSITY HOSPITALS NHS FOUNDATION TRUST (RTH)</t>
  </si>
  <si>
    <t>NVC14</t>
  </si>
  <si>
    <t>PARK HILL HOSPITAL (NVC14)</t>
  </si>
  <si>
    <t>NT427</t>
  </si>
  <si>
    <t>PARK HOSPITAL (NT427)</t>
  </si>
  <si>
    <t>RW6</t>
  </si>
  <si>
    <t>PENNINE ACUTE HOSPITALS NHS TRUST (RW6)</t>
  </si>
  <si>
    <t>DM8</t>
  </si>
  <si>
    <t>PHOENIX HOSPITAL GROUP (DM8)</t>
  </si>
  <si>
    <t>NVC15</t>
  </si>
  <si>
    <t>PINEHILL HOSPITAL (NVC15)</t>
  </si>
  <si>
    <t>RHU</t>
  </si>
  <si>
    <t>PORTSMOUTH HOSPITALS UNIVERSITY NATIONAL HEALTH SERVICE TRUST (RHU)</t>
  </si>
  <si>
    <t>NTP13</t>
  </si>
  <si>
    <t>PRACTICE PLUS GROUP HOSPITAL - BARLBOROUGH (NTP13)</t>
  </si>
  <si>
    <t>NTPH2</t>
  </si>
  <si>
    <t>PRACTICE PLUS GROUP HOSPITAL - EMERSONS GREEN (NTPH2)</t>
  </si>
  <si>
    <t>NTP15</t>
  </si>
  <si>
    <t>PRACTICE PLUS GROUP HOSPITAL - ILFORD (NTP15)</t>
  </si>
  <si>
    <t>NTPH5</t>
  </si>
  <si>
    <t>PRACTICE PLUS GROUP HOSPITAL - PLYMOUTH (NTPH5)</t>
  </si>
  <si>
    <t>NTPH1</t>
  </si>
  <si>
    <t>PRACTICE PLUS GROUP HOSPITAL - SHEPTON MALLET (NTPH1)</t>
  </si>
  <si>
    <t>NTP11</t>
  </si>
  <si>
    <t>PRACTICE PLUS GROUP HOSPITAL - SOUTHAMPTON (NTP11)</t>
  </si>
  <si>
    <t>NT428</t>
  </si>
  <si>
    <t>PRINCESS MARGARET HOSPITAL (NT428)</t>
  </si>
  <si>
    <t>NT429</t>
  </si>
  <si>
    <t>PRIORY HOSPITAL (NT429)</t>
  </si>
  <si>
    <t>RPC</t>
  </si>
  <si>
    <t>QUEEN VICTORIA HOSPITAL NHS FOUNDATION TRUST (RPC)</t>
  </si>
  <si>
    <t>NVC16</t>
  </si>
  <si>
    <t>RENACRES HOSPITAL (NVC16)</t>
  </si>
  <si>
    <t>NT430</t>
  </si>
  <si>
    <t>RIDGEWAY HOSPITAL (NT430)</t>
  </si>
  <si>
    <t>NVC19</t>
  </si>
  <si>
    <t>RIVERS HOSPITAL (NVC19)</t>
  </si>
  <si>
    <t>NVC17</t>
  </si>
  <si>
    <t>ROWLEY HALL HOSPITAL (NVC17)</t>
  </si>
  <si>
    <t>RHW</t>
  </si>
  <si>
    <t>ROYAL BERKSHIRE NHS FOUNDATION TRUST (RHW)</t>
  </si>
  <si>
    <t>REF</t>
  </si>
  <si>
    <t>ROYAL CORNWALL HOSPITALS NHS TRUST (REF)</t>
  </si>
  <si>
    <t>RH8</t>
  </si>
  <si>
    <t>ROYAL DEVON UNIVERSITY HEALTHCARE NHS FOUNDATION TRUST (RH8)</t>
  </si>
  <si>
    <t>RAL</t>
  </si>
  <si>
    <t>ROYAL FREE LONDON NHS FOUNDATION TRUST (RAL)</t>
  </si>
  <si>
    <t>RAN</t>
  </si>
  <si>
    <t>ROYAL NATIONAL ORTHOPAEDIC HOSPITAL NHS TRUST (RAN)</t>
  </si>
  <si>
    <t>RA2</t>
  </si>
  <si>
    <t>ROYAL SURREY COUNTY HOSPITAL NHS FOUNDATION TRUST (RA2)</t>
  </si>
  <si>
    <t>RD1</t>
  </si>
  <si>
    <t>ROYAL UNITED HOSPITALS BATH NHS FOUNDATION TRUST (RD1)</t>
  </si>
  <si>
    <t>NT431</t>
  </si>
  <si>
    <t>RUNNYMEDE HOSPITAL (NT431)</t>
  </si>
  <si>
    <t>RNZ</t>
  </si>
  <si>
    <t>SALISBURY NHS FOUNDATION TRUST (RNZ)</t>
  </si>
  <si>
    <t>RXK</t>
  </si>
  <si>
    <t>SANDWELL AND WEST BIRMINGHAM HOSPITALS NHS TRUST (RXK)</t>
  </si>
  <si>
    <t>NT433</t>
  </si>
  <si>
    <t>SARUM ROAD HOSPITAL (NT433)</t>
  </si>
  <si>
    <t>NT434</t>
  </si>
  <si>
    <t>SAXON CLINIC (NT434)</t>
  </si>
  <si>
    <t>DLY</t>
  </si>
  <si>
    <t>SCHOEN CLINIC LONDON LTD (DLY)</t>
  </si>
  <si>
    <t>RCU</t>
  </si>
  <si>
    <t>SHEFFIELD CHILDREN'S NHS FOUNDATION TRUST (RCU)</t>
  </si>
  <si>
    <t>RHQ</t>
  </si>
  <si>
    <t>SHEFFIELD TEACHING HOSPITALS NHS FOUNDATION TRUST (RHQ)</t>
  </si>
  <si>
    <t>RK5</t>
  </si>
  <si>
    <t>SHERWOOD FOREST HOSPITALS NHS FOUNDATION TRUST (RK5)</t>
  </si>
  <si>
    <t>NT436</t>
  </si>
  <si>
    <t>SHIRLEY OAKS HOSPITAL (NT436)</t>
  </si>
  <si>
    <t>NT437</t>
  </si>
  <si>
    <t>SLOANE HOSPITAL (NT437)</t>
  </si>
  <si>
    <t>RH5</t>
  </si>
  <si>
    <t>SOMERSET NHS FOUNDATION TRUST (RH5)</t>
  </si>
  <si>
    <t>RTR</t>
  </si>
  <si>
    <t>SOUTH TEES HOSPITALS NHS FOUNDATION TRUST (RTR)</t>
  </si>
  <si>
    <t>R0B</t>
  </si>
  <si>
    <t>SOUTH TYNESIDE AND SUNDERLAND NHS FOUNDATION TRUST (R0B)</t>
  </si>
  <si>
    <t>RJC</t>
  </si>
  <si>
    <t>SOUTH WARWICKSHIRE UNIVERSITY NHS FOUNDATION TRUST (RJC)</t>
  </si>
  <si>
    <t>RVY</t>
  </si>
  <si>
    <t>SOUTHPORT AND ORMSKIRK HOSPITAL NHS TRUST (RVY)</t>
  </si>
  <si>
    <t>NN802</t>
  </si>
  <si>
    <t>SPENCER PRIVATE HOSPITALS - ASHFORD (NN802)</t>
  </si>
  <si>
    <t>NN801</t>
  </si>
  <si>
    <t>SPENCER PRIVATE HOSPITALS - MARGATE (NN801)</t>
  </si>
  <si>
    <t>NT312</t>
  </si>
  <si>
    <t>SPIRE ALEXANDRA HOSPITAL (NT312)</t>
  </si>
  <si>
    <t>NT302</t>
  </si>
  <si>
    <t>SPIRE BRISTOL HOSPITAL (NT302)</t>
  </si>
  <si>
    <t>NT315</t>
  </si>
  <si>
    <t>SPIRE BUSHEY HOSPITAL (NT315)</t>
  </si>
  <si>
    <t>NT317</t>
  </si>
  <si>
    <t>SPIRE CAMBRIDGE LEA HOSPITAL (NT317)</t>
  </si>
  <si>
    <t>NT324</t>
  </si>
  <si>
    <t>SPIRE CHESHIRE HOSPITAL (NT324)</t>
  </si>
  <si>
    <t>NT345</t>
  </si>
  <si>
    <t>SPIRE CLARE PARK HOSPITAL (NT345)</t>
  </si>
  <si>
    <t>NT344</t>
  </si>
  <si>
    <t>SPIRE DUNEDIN HOSPITAL (NT344)</t>
  </si>
  <si>
    <t>NT348</t>
  </si>
  <si>
    <t>SPIRE ELLAND HOSPITAL (NT348)</t>
  </si>
  <si>
    <t>NT347</t>
  </si>
  <si>
    <t>SPIRE FYLDE COAST HOSPITAL (NT347)</t>
  </si>
  <si>
    <t>NT308</t>
  </si>
  <si>
    <t>SPIRE GATWICK PARK HOSPITAL (NT308)</t>
  </si>
  <si>
    <t>NT316</t>
  </si>
  <si>
    <t>SPIRE HARPENDEN HOSPITAL (NT316)</t>
  </si>
  <si>
    <t>NT319</t>
  </si>
  <si>
    <t>SPIRE HARTSWOOD HOSPITAL (NT319)</t>
  </si>
  <si>
    <t>NT3</t>
  </si>
  <si>
    <t>SPIRE HEALTHCARE (NT3)</t>
  </si>
  <si>
    <t>NT351</t>
  </si>
  <si>
    <t>SPIRE HULL AND EAST RIDING HOSPITAL (NT351)</t>
  </si>
  <si>
    <t>NT332</t>
  </si>
  <si>
    <t>SPIRE LEEDS HOSPITAL (NT332)</t>
  </si>
  <si>
    <t>NT322</t>
  </si>
  <si>
    <t>SPIRE LEICESTER HOSPITAL (NT322)</t>
  </si>
  <si>
    <t>NT321</t>
  </si>
  <si>
    <t>SPIRE LITTLE ASTON HOSPITAL (NT321)</t>
  </si>
  <si>
    <t>NT337</t>
  </si>
  <si>
    <t>SPIRE LIVERPOOL HOSPITAL (NT337)</t>
  </si>
  <si>
    <t>NT314</t>
  </si>
  <si>
    <t>SPIRE LONDON EAST (NT314)</t>
  </si>
  <si>
    <t>NT327</t>
  </si>
  <si>
    <t>SPIRE MANCHESTER HOSPITAL (NT327)</t>
  </si>
  <si>
    <t>NT350</t>
  </si>
  <si>
    <t>SPIRE METHLEY PARK HOSPITAL (NT350)</t>
  </si>
  <si>
    <t>NT364</t>
  </si>
  <si>
    <t>SPIRE MONTEFIORE HOSPITAL (NT364)</t>
  </si>
  <si>
    <t>NT325</t>
  </si>
  <si>
    <t>SPIRE MURRAYFIELD HOSPITAL (NT325)</t>
  </si>
  <si>
    <t>NT318</t>
  </si>
  <si>
    <t>SPIRE NORWICH HOSPITAL (NT318)</t>
  </si>
  <si>
    <t>NT30A</t>
  </si>
  <si>
    <t>SPIRE NOTTINGHAM HOSPITAL (NT30A)</t>
  </si>
  <si>
    <t>NT320</t>
  </si>
  <si>
    <t>SPIRE PARKWAY HOSPITAL (NT320)</t>
  </si>
  <si>
    <t>NT305</t>
  </si>
  <si>
    <t>SPIRE PORTSMOUTH HOSPITAL (NT305)</t>
  </si>
  <si>
    <t>NT339</t>
  </si>
  <si>
    <t>SPIRE REGENCY HOSPITAL (NT339)</t>
  </si>
  <si>
    <t>NT301</t>
  </si>
  <si>
    <t>SPIRE SOUTH BANK HOSPITAL (NT301)</t>
  </si>
  <si>
    <t>NT304</t>
  </si>
  <si>
    <t>SPIRE SOUTHAMPTON HOSPITAL (NT304)</t>
  </si>
  <si>
    <t>NT3X3</t>
  </si>
  <si>
    <t>SPIRE ST ANTHONY'S HOSPITAL (NT3X3)</t>
  </si>
  <si>
    <t>NT309</t>
  </si>
  <si>
    <t>SPIRE SUSSEX HOSPITAL (NT309)</t>
  </si>
  <si>
    <t>NT343</t>
  </si>
  <si>
    <t>SPIRE THAMES VALLEY HOSPITAL (NT343)</t>
  </si>
  <si>
    <t>NT310</t>
  </si>
  <si>
    <t>SPIRE TUNBRIDGE WELLS HOSPITAL (NT310)</t>
  </si>
  <si>
    <t>NT333</t>
  </si>
  <si>
    <t>SPIRE WASHINGTON HOSPITAL (NT333)</t>
  </si>
  <si>
    <t>NT313</t>
  </si>
  <si>
    <t>SPIRE WELLESLEY HOSPITAL (NT313)</t>
  </si>
  <si>
    <t>NT338</t>
  </si>
  <si>
    <t>SPIRE YALE HOSPITAL (NT338)</t>
  </si>
  <si>
    <t>NVC18</t>
  </si>
  <si>
    <t>SPRINGFIELD HOSPITAL (NVC18)</t>
  </si>
  <si>
    <t>NT446</t>
  </si>
  <si>
    <t>ST EDMUNDS HOSPITAL (NT446)</t>
  </si>
  <si>
    <t>RJ7</t>
  </si>
  <si>
    <t>ST GEORGE'S UNIVERSITY HOSPITALS NHS FOUNDATION TRUST (RJ7)</t>
  </si>
  <si>
    <t>RBN</t>
  </si>
  <si>
    <t>ST HELENS AND KNOWSLEY TEACHING HOSPITALS NHS TRUST (RBN)</t>
  </si>
  <si>
    <t>NTE02</t>
  </si>
  <si>
    <t>ST HUGH'S HOSPITAL (NTE02)</t>
  </si>
  <si>
    <t>NHW01</t>
  </si>
  <si>
    <t>STANDARD HEALTH LTD HQ (NHW01)</t>
  </si>
  <si>
    <t>RWJ</t>
  </si>
  <si>
    <t>STOCKPORT NHS FOUNDATION TRUST (RWJ)</t>
  </si>
  <si>
    <t>NVC1H</t>
  </si>
  <si>
    <t>STOURSIDE HOSPITAL (NVC1H)</t>
  </si>
  <si>
    <t>RTP</t>
  </si>
  <si>
    <t>SURREY AND SUSSEX HEALTHCARE NHS TRUST (RTP)</t>
  </si>
  <si>
    <t>RMP</t>
  </si>
  <si>
    <t>TAMESIDE AND GLOSSOP INTEGRATED CARE NHS FOUNDATION TRUST (RMP)</t>
  </si>
  <si>
    <t>RBA</t>
  </si>
  <si>
    <t>TAUNTON AND SOMERSET NHS FOUNDATION TRUST (RBA)</t>
  </si>
  <si>
    <t>NVC0R</t>
  </si>
  <si>
    <t>TEES VALLEY HOSPITAL (NVC0R)</t>
  </si>
  <si>
    <t>NVC02</t>
  </si>
  <si>
    <t>THE BERKSHIRE INDEPENDENT HOSPITAL (NVC02)</t>
  </si>
  <si>
    <t>NVC25</t>
  </si>
  <si>
    <t>THE CHERWELL HOSPITAL (NVC25)</t>
  </si>
  <si>
    <t>RNA</t>
  </si>
  <si>
    <t>THE DUDLEY GROUP NHS FOUNDATION TRUST (RNA)</t>
  </si>
  <si>
    <t>RAS</t>
  </si>
  <si>
    <t>THE HILLINGDON HOSPITALS NHS FOUNDATION TRUST (RAS)</t>
  </si>
  <si>
    <t>NXM01</t>
  </si>
  <si>
    <t>THE HORDER CENTRE - ST JOHNS ROAD (NXM01)</t>
  </si>
  <si>
    <t>DX1</t>
  </si>
  <si>
    <t>THE NEW FOSCOTE HOSPITAL LTD (DX1)</t>
  </si>
  <si>
    <t>RTD</t>
  </si>
  <si>
    <t>THE NEWCASTLE UPON TYNE HOSPITALS NHS FOUNDATION TRUST (RTD)</t>
  </si>
  <si>
    <t>RQW</t>
  </si>
  <si>
    <t>THE PRINCESS ALEXANDRA HOSPITAL NHS TRUST (RQW)</t>
  </si>
  <si>
    <t>NW601</t>
  </si>
  <si>
    <t>THE PRINCESS GRACE HOSPITAL (NW601)</t>
  </si>
  <si>
    <t>RCX</t>
  </si>
  <si>
    <t>THE QUEEN ELIZABETH HOSPITAL, KING'S LYNN, NHS FOUNDATION TRUST (RCX)</t>
  </si>
  <si>
    <t>RL1</t>
  </si>
  <si>
    <t>THE ROBERT JONES AND AGNES HUNT ORTHOPAEDIC HOSPITAL NHS FOUNDATION TRUST (RL1)</t>
  </si>
  <si>
    <t>RFR</t>
  </si>
  <si>
    <t>THE ROTHERHAM NHS FOUNDATION TRUST (RFR)</t>
  </si>
  <si>
    <t>RDZ</t>
  </si>
  <si>
    <t>THE ROYAL BOURNEMOUTH AND CHRISTCHURCH HOSPITALS NHS FOUNDATION TRUST (RDZ)</t>
  </si>
  <si>
    <t>RRJ</t>
  </si>
  <si>
    <t>THE ROYAL ORTHOPAEDIC HOSPITAL NHS FOUNDATION TRUST (RRJ)</t>
  </si>
  <si>
    <t>RL4</t>
  </si>
  <si>
    <t>THE ROYAL WOLVERHAMPTON NHS TRUST (RL4)</t>
  </si>
  <si>
    <t>RXW</t>
  </si>
  <si>
    <t>THE SHREWSBURY AND TELFORD HOSPITAL NHS TRUST (RXW)</t>
  </si>
  <si>
    <t>NT255</t>
  </si>
  <si>
    <t>THE VALE HOSPITAL (NT255)</t>
  </si>
  <si>
    <t>RET</t>
  </si>
  <si>
    <t>THE WALTON CENTRE NHS FOUNDATION TRUST (RET)</t>
  </si>
  <si>
    <t>NVC20</t>
  </si>
  <si>
    <t>THE YORKSHIRE CLINIC (NVC20)</t>
  </si>
  <si>
    <t>NT440</t>
  </si>
  <si>
    <t>THORNBURY HOSPITAL (NT440)</t>
  </si>
  <si>
    <t>NT441</t>
  </si>
  <si>
    <t>THREE SHIRES HOSPITAL (NT441)</t>
  </si>
  <si>
    <t>RA9</t>
  </si>
  <si>
    <t>TORBAY AND SOUTH DEVON NHS FOUNDATION TRUST (RA9)</t>
  </si>
  <si>
    <t>NN401</t>
  </si>
  <si>
    <t>TYNESIDE SURGICAL SERVICES (NN401)</t>
  </si>
  <si>
    <t>RWD</t>
  </si>
  <si>
    <t>UNITED LINCOLNSHIRE HOSPITALS NHS TRUST (RWD)</t>
  </si>
  <si>
    <t>RRV</t>
  </si>
  <si>
    <t>UNIVERSITY COLLEGE LONDON HOSPITALS NHS FOUNDATION TRUST (RRV)</t>
  </si>
  <si>
    <t>RHM</t>
  </si>
  <si>
    <t>UNIVERSITY HOSPITAL SOUTHAMPTON NHS FOUNDATION TRUST (RHM)</t>
  </si>
  <si>
    <t>RRK</t>
  </si>
  <si>
    <t>UNIVERSITY HOSPITALS BIRMINGHAM NHS FOUNDATION TRUST (RRK)</t>
  </si>
  <si>
    <t>RA7</t>
  </si>
  <si>
    <t>UNIVERSITY HOSPITALS BRISTOL AND WESTON NHS FOUNDATION TRUST (RA7)</t>
  </si>
  <si>
    <t>RKB</t>
  </si>
  <si>
    <t>UNIVERSITY HOSPITALS COVENTRY AND WARWICKSHIRE NHS TRUST (RKB)</t>
  </si>
  <si>
    <t>R0D</t>
  </si>
  <si>
    <t>UNIVERSITY HOSPITALS DORSET NHS FOUNDATION TRUST (R0D)</t>
  </si>
  <si>
    <t>RTG</t>
  </si>
  <si>
    <t>UNIVERSITY HOSPITALS OF DERBY AND BURTON NHS FOUNDATION TRUST (RTG)</t>
  </si>
  <si>
    <t>RWE</t>
  </si>
  <si>
    <t>UNIVERSITY HOSPITALS OF LEICESTER NHS TRUST (RWE)</t>
  </si>
  <si>
    <t>RTX</t>
  </si>
  <si>
    <t>UNIVERSITY HOSPITALS OF MORECAMBE BAY NHS FOUNDATION TRUST (RTX)</t>
  </si>
  <si>
    <t>RJE</t>
  </si>
  <si>
    <t>UNIVERSITY HOSPITALS OF NORTH MIDLANDS NHS TRUST (RJE)</t>
  </si>
  <si>
    <t>RK9</t>
  </si>
  <si>
    <t>UNIVERSITY HOSPITALS PLYMOUTH NHS TRUST (RK9)</t>
  </si>
  <si>
    <t>RYR</t>
  </si>
  <si>
    <t>UNIVERSITY HOSPITALS SUSSEX NHS FOUNDATION TRUST (RYR)</t>
  </si>
  <si>
    <t>RBK</t>
  </si>
  <si>
    <t>WALSALL HEALTHCARE NHS TRUST (RBK)</t>
  </si>
  <si>
    <t>RWW</t>
  </si>
  <si>
    <t>WARRINGTON AND HALTON TEACHING HOSPITALS NHS FOUNDATION TRUST (RWW)</t>
  </si>
  <si>
    <t>RWG</t>
  </si>
  <si>
    <t>WEST HERTFORDSHIRE TEACHING HOSPITALS NHS TRUST (RWG)</t>
  </si>
  <si>
    <t>NVC21</t>
  </si>
  <si>
    <t>WEST MIDLANDS HOSPITAL (NVC21)</t>
  </si>
  <si>
    <t>RGR</t>
  </si>
  <si>
    <t>WEST SUFFOLK NHS FOUNDATION TRUST (RGR)</t>
  </si>
  <si>
    <t>RKE</t>
  </si>
  <si>
    <t>WHITTINGTON HEALTH NHS TRUST (RKE)</t>
  </si>
  <si>
    <t>NVC22</t>
  </si>
  <si>
    <t>WINFIELD HOSPITAL (NVC22)</t>
  </si>
  <si>
    <t>NT443</t>
  </si>
  <si>
    <t>WINTERBOURNE HOSPITAL (NT443)</t>
  </si>
  <si>
    <t>RBL</t>
  </si>
  <si>
    <t>WIRRAL UNIVERSITY TEACHING HOSPITAL NHS FOUNDATION TRUST (RBL)</t>
  </si>
  <si>
    <t>NVC23</t>
  </si>
  <si>
    <t>WOODLAND HOSPITAL (NVC23)</t>
  </si>
  <si>
    <t>NT457</t>
  </si>
  <si>
    <t>WOODLANDS HOSPITAL (NT457)</t>
  </si>
  <si>
    <t>NVC40</t>
  </si>
  <si>
    <t>WOODTHORPE HOSPITAL (NVC40)</t>
  </si>
  <si>
    <t>RWP</t>
  </si>
  <si>
    <t>WORCESTERSHIRE ACUTE HOSPITALS NHS TRUST (RWP)</t>
  </si>
  <si>
    <t>RRF</t>
  </si>
  <si>
    <t>WRIGHTINGTON, WIGAN AND LEIGH NHS FOUNDATION TRUST (RRF)</t>
  </si>
  <si>
    <t>RLQ</t>
  </si>
  <si>
    <t>WYE VALLEY NHS TRUST (RLQ)</t>
  </si>
  <si>
    <t>RA4</t>
  </si>
  <si>
    <t>YEOVIL DISTRICT HOSPITAL NHS FOUNDATION TRUST (RA4)</t>
  </si>
  <si>
    <t>RCB</t>
  </si>
  <si>
    <t>YORK AND SCARBOROUGH TEACHING HOSPITALS NHS FOUNDATION TRUST (RCB)</t>
  </si>
  <si>
    <t>B3W</t>
  </si>
  <si>
    <t>.</t>
  </si>
  <si>
    <t>Lookup</t>
  </si>
  <si>
    <t>Procedure</t>
  </si>
  <si>
    <t>Organisation Type</t>
  </si>
  <si>
    <t>Organisation Name</t>
  </si>
  <si>
    <t>Measure</t>
  </si>
  <si>
    <t>Modelled Records</t>
  </si>
  <si>
    <t>Average Pre-Op Q Score</t>
  </si>
  <si>
    <t>Average Post-Op Q Score</t>
  </si>
  <si>
    <t>Health Gain</t>
  </si>
  <si>
    <t>Improved</t>
  </si>
  <si>
    <t>Same</t>
  </si>
  <si>
    <t>Worse</t>
  </si>
  <si>
    <t>Adjusted Post-Op Q Score</t>
  </si>
  <si>
    <t>Adjusted Average Health Gain</t>
  </si>
  <si>
    <t>Standard Deviation</t>
  </si>
  <si>
    <t>Hip Replacement Primary</t>
  </si>
  <si>
    <t>92G</t>
  </si>
  <si>
    <t>NHS BATH AND NORTH EAST SOMERSET, SWINDON AND WILTSHIRE ICB - 92G (92G)</t>
  </si>
  <si>
    <t>EQ VAS</t>
  </si>
  <si>
    <t>M1J4Y</t>
  </si>
  <si>
    <t>NHS BEDFORDSHIRE, LUTON AND MILTON KEYNES ICB - M1J4Y (M1J4Y)</t>
  </si>
  <si>
    <t>15E</t>
  </si>
  <si>
    <t>NHS BIRMINGHAM AND SOLIHULL ICB - 15E (15E)</t>
  </si>
  <si>
    <t>D2P2L</t>
  </si>
  <si>
    <t>NHS BLACK COUNTRY ICB - D2P2L (D2P2L)</t>
  </si>
  <si>
    <t>15C</t>
  </si>
  <si>
    <t>NHS BRISTOL, NORTH SOMERSET AND SOUTH GLOUCESTERSHIRE ICB - 15C (15C)</t>
  </si>
  <si>
    <t>10Q</t>
  </si>
  <si>
    <t>NHS BUCKINGHAMSHIRE, OXFORDSHIRE AND BERKSHIRE WEST ICB - 10Q (10Q)</t>
  </si>
  <si>
    <t>14Y</t>
  </si>
  <si>
    <t>NHS BUCKINGHAMSHIRE, OXFORDSHIRE AND BERKSHIRE WEST ICB - 14Y (14Y)</t>
  </si>
  <si>
    <t>15A</t>
  </si>
  <si>
    <t>NHS BUCKINGHAMSHIRE, OXFORDSHIRE AND BERKSHIRE WEST ICB - 15A (15A)</t>
  </si>
  <si>
    <t>06H</t>
  </si>
  <si>
    <t>NHS CAMBRIDGESHIRE AND PETERBOROUGH ICB - 06H (06H)</t>
  </si>
  <si>
    <t>01F</t>
  </si>
  <si>
    <t>NHS CHESHIRE AND MERSEYSIDE ICB - 01F (01F)</t>
  </si>
  <si>
    <t>01J</t>
  </si>
  <si>
    <t>NHS CHESHIRE AND MERSEYSIDE ICB - 01J (01J)</t>
  </si>
  <si>
    <t>01T</t>
  </si>
  <si>
    <t>NHS CHESHIRE AND MERSEYSIDE ICB - 01T (01T)</t>
  </si>
  <si>
    <t>01V</t>
  </si>
  <si>
    <t>NHS CHESHIRE AND MERSEYSIDE ICB - 01V (01V)</t>
  </si>
  <si>
    <t>01X</t>
  </si>
  <si>
    <t>NHS CHESHIRE AND MERSEYSIDE ICB - 01X (01X)</t>
  </si>
  <si>
    <t>02E</t>
  </si>
  <si>
    <t>NHS CHESHIRE AND MERSEYSIDE ICB - 02E (02E)</t>
  </si>
  <si>
    <t>12F</t>
  </si>
  <si>
    <t>NHS CHESHIRE AND MERSEYSIDE ICB - 12F (12F)</t>
  </si>
  <si>
    <t>27D</t>
  </si>
  <si>
    <t>NHS CHESHIRE AND MERSEYSIDE ICB - 27D (27D)</t>
  </si>
  <si>
    <t>99A</t>
  </si>
  <si>
    <t>NHS CHESHIRE AND MERSEYSIDE ICB - 99A (99A)</t>
  </si>
  <si>
    <t>11N</t>
  </si>
  <si>
    <t>NHS CORNWALL AND THE ISLES OF SCILLY ICB - 11N (11N)</t>
  </si>
  <si>
    <t>B2M3M</t>
  </si>
  <si>
    <t>NHS COVENTRY AND WARWICKSHIRE ICB - B2M3M (B2M3M)</t>
  </si>
  <si>
    <t>15M</t>
  </si>
  <si>
    <t>NHS DERBY AND DERBYSHIRE ICB - 15M (15M)</t>
  </si>
  <si>
    <t>15N</t>
  </si>
  <si>
    <t>NHS DEVON ICB - 15N (15N)</t>
  </si>
  <si>
    <t>11J</t>
  </si>
  <si>
    <t>NHS DORSET ICB - 11J (11J)</t>
  </si>
  <si>
    <t>D4U1Y</t>
  </si>
  <si>
    <t>NHS FRIMLEY ICB - D4U1Y (D4U1Y)</t>
  </si>
  <si>
    <t>11M</t>
  </si>
  <si>
    <t>NHS GLOUCESTERSHIRE ICB - 11M (11M)</t>
  </si>
  <si>
    <t>00T</t>
  </si>
  <si>
    <t>NHS GREATER MANCHESTER ICB - 00T (00T)</t>
  </si>
  <si>
    <t>00V</t>
  </si>
  <si>
    <t>NHS GREATER MANCHESTER ICB - 00V (00V)</t>
  </si>
  <si>
    <t>00Y</t>
  </si>
  <si>
    <t>NHS GREATER MANCHESTER ICB - 00Y (00Y)</t>
  </si>
  <si>
    <t>01D</t>
  </si>
  <si>
    <t>NHS GREATER MANCHESTER ICB - 01D (01D)</t>
  </si>
  <si>
    <t>01G</t>
  </si>
  <si>
    <t>NHS GREATER MANCHESTER ICB - 01G (01G)</t>
  </si>
  <si>
    <t>01W</t>
  </si>
  <si>
    <t>NHS GREATER MANCHESTER ICB - 01W (01W)</t>
  </si>
  <si>
    <t>01Y</t>
  </si>
  <si>
    <t>NHS GREATER MANCHESTER ICB - 01Y (01Y)</t>
  </si>
  <si>
    <t>02A</t>
  </si>
  <si>
    <t>NHS GREATER MANCHESTER ICB - 02A (02A)</t>
  </si>
  <si>
    <t>02H</t>
  </si>
  <si>
    <t>NHS GREATER MANCHESTER ICB - 02H (02H)</t>
  </si>
  <si>
    <t>14L</t>
  </si>
  <si>
    <t>NHS GREATER MANCHESTER ICB - 14L (14L)</t>
  </si>
  <si>
    <t>10R</t>
  </si>
  <si>
    <t>NHS HAMPSHIRE AND ISLE OF WIGHT ICB - 10R (10R)</t>
  </si>
  <si>
    <t>D9Y0V</t>
  </si>
  <si>
    <t>NHS HAMPSHIRE AND ISLE OF WIGHT ICB - D9Y0V (D9Y0V)</t>
  </si>
  <si>
    <t>18C</t>
  </si>
  <si>
    <t>NHS HEREFORDSHIRE AND WORCESTERSHIRE ICB - 18C (18C)</t>
  </si>
  <si>
    <t>06K</t>
  </si>
  <si>
    <t>NHS HERTFORDSHIRE AND WEST ESSEX ICB - 06K (06K)</t>
  </si>
  <si>
    <t>06N</t>
  </si>
  <si>
    <t>NHS HERTFORDSHIRE AND WEST ESSEX ICB - 06N (06N)</t>
  </si>
  <si>
    <t>07H</t>
  </si>
  <si>
    <t>NHS HERTFORDSHIRE AND WEST ESSEX ICB - 07H (07H)</t>
  </si>
  <si>
    <t>02Y</t>
  </si>
  <si>
    <t>NHS HUMBER AND NORTH YORKSHIRE ICB - 02Y (02Y)</t>
  </si>
  <si>
    <t>03F</t>
  </si>
  <si>
    <t>NHS HUMBER AND NORTH YORKSHIRE ICB - 03F (03F)</t>
  </si>
  <si>
    <t>03H</t>
  </si>
  <si>
    <t>NHS HUMBER AND NORTH YORKSHIRE ICB - 03H (03H)</t>
  </si>
  <si>
    <t>03K</t>
  </si>
  <si>
    <t>NHS HUMBER AND NORTH YORKSHIRE ICB - 03K (03K)</t>
  </si>
  <si>
    <t>03Q</t>
  </si>
  <si>
    <t>NHS HUMBER AND NORTH YORKSHIRE ICB - 03Q (03Q)</t>
  </si>
  <si>
    <t>42D</t>
  </si>
  <si>
    <t>NHS HUMBER AND NORTH YORKSHIRE ICB - 42D (42D)</t>
  </si>
  <si>
    <t>91Q</t>
  </si>
  <si>
    <t>NHS KENT AND MEDWAY ICB - 91Q (91Q)</t>
  </si>
  <si>
    <t>00Q</t>
  </si>
  <si>
    <t>NHS LANCASHIRE AND SOUTH CUMBRIA ICB - 00Q (00Q)</t>
  </si>
  <si>
    <t>00R</t>
  </si>
  <si>
    <t>NHS LANCASHIRE AND SOUTH CUMBRIA ICB - 00R (00R)</t>
  </si>
  <si>
    <t>00X</t>
  </si>
  <si>
    <t>NHS LANCASHIRE AND SOUTH CUMBRIA ICB - 00X (00X)</t>
  </si>
  <si>
    <t>01A</t>
  </si>
  <si>
    <t>NHS LANCASHIRE AND SOUTH CUMBRIA ICB - 01A (01A)</t>
  </si>
  <si>
    <t>01E</t>
  </si>
  <si>
    <t>NHS LANCASHIRE AND SOUTH CUMBRIA ICB - 01E (01E)</t>
  </si>
  <si>
    <t>01K</t>
  </si>
  <si>
    <t>NHS LANCASHIRE AND SOUTH CUMBRIA ICB - 01K (01K)</t>
  </si>
  <si>
    <t>02G</t>
  </si>
  <si>
    <t>NHS LANCASHIRE AND SOUTH CUMBRIA ICB - 02G (02G)</t>
  </si>
  <si>
    <t>02M</t>
  </si>
  <si>
    <t>NHS LANCASHIRE AND SOUTH CUMBRIA ICB - 02M (02M)</t>
  </si>
  <si>
    <t>03W</t>
  </si>
  <si>
    <t>NHS LEICESTER, LEICESTERSHIRE AND RUTLAND ICB - 03W (03W)</t>
  </si>
  <si>
    <t>04C</t>
  </si>
  <si>
    <t>NHS LEICESTER, LEICESTERSHIRE AND RUTLAND ICB - 04C (04C)</t>
  </si>
  <si>
    <t>04V</t>
  </si>
  <si>
    <t>NHS LEICESTER, LEICESTERSHIRE AND RUTLAND ICB - 04V (04V)</t>
  </si>
  <si>
    <t>71E</t>
  </si>
  <si>
    <t>NHS LINCOLNSHIRE ICB - 71E (71E)</t>
  </si>
  <si>
    <t>06Q</t>
  </si>
  <si>
    <t>NHS MID AND SOUTH ESSEX ICB - 06Q (06Q)</t>
  </si>
  <si>
    <t>07G</t>
  </si>
  <si>
    <t>NHS MID AND SOUTH ESSEX ICB - 07G (07G)</t>
  </si>
  <si>
    <t>99E</t>
  </si>
  <si>
    <t>NHS MID AND SOUTH ESSEX ICB - 99E (99E)</t>
  </si>
  <si>
    <t>99F</t>
  </si>
  <si>
    <t>NHS MID AND SOUTH ESSEX ICB - 99F (99F)</t>
  </si>
  <si>
    <t>99G</t>
  </si>
  <si>
    <t>NHS MID AND SOUTH ESSEX ICB - 99G (99G)</t>
  </si>
  <si>
    <t>26A</t>
  </si>
  <si>
    <t>NHS NORFOLK AND WAVENEY ICB - 26A (26A)</t>
  </si>
  <si>
    <t>93C</t>
  </si>
  <si>
    <t>NHS NORTH CENTRAL LONDON ICB - 93C (93C)</t>
  </si>
  <si>
    <t>00L</t>
  </si>
  <si>
    <t>NHS NORTH EAST AND NORTH CUMBRIA ICB - 00L (00L)</t>
  </si>
  <si>
    <t>00N</t>
  </si>
  <si>
    <t>NHS NORTH EAST AND NORTH CUMBRIA ICB - 00N (00N)</t>
  </si>
  <si>
    <t>00P</t>
  </si>
  <si>
    <t>NHS NORTH EAST AND NORTH CUMBRIA ICB - 00P (00P)</t>
  </si>
  <si>
    <t>01H</t>
  </si>
  <si>
    <t>NHS NORTH EAST AND NORTH CUMBRIA ICB - 01H (01H)</t>
  </si>
  <si>
    <t>13T</t>
  </si>
  <si>
    <t>NHS NORTH EAST AND NORTH CUMBRIA ICB - 13T (13T)</t>
  </si>
  <si>
    <t>16C</t>
  </si>
  <si>
    <t>NHS NORTH EAST AND NORTH CUMBRIA ICB - 16C (16C)</t>
  </si>
  <si>
    <t>84H</t>
  </si>
  <si>
    <t>NHS NORTH EAST AND NORTH CUMBRIA ICB - 84H (84H)</t>
  </si>
  <si>
    <t>99C</t>
  </si>
  <si>
    <t>NHS NORTH EAST AND NORTH CUMBRIA ICB - 99C (99C)</t>
  </si>
  <si>
    <t>A3A8R</t>
  </si>
  <si>
    <t>NHS NORTH EAST LONDON ICB - A3A8R (A3A8R)</t>
  </si>
  <si>
    <t>W2U3Z</t>
  </si>
  <si>
    <t>NHS NORTH WEST LONDON ICB - W2U3Z (W2U3Z)</t>
  </si>
  <si>
    <t>78H</t>
  </si>
  <si>
    <t>NHS NORTHAMPTONSHIRE ICB - 78H (78H)</t>
  </si>
  <si>
    <t>02Q</t>
  </si>
  <si>
    <t>NHS NOTTINGHAM AND NOTTINGHAMSHIRE ICB - 02Q (02Q)</t>
  </si>
  <si>
    <t>52R</t>
  </si>
  <si>
    <t>NHS NOTTINGHAM AND NOTTINGHAMSHIRE ICB - 52R (52R)</t>
  </si>
  <si>
    <t>M2L0M</t>
  </si>
  <si>
    <t>NHS SHROPSHIRE, TELFORD AND WREKIN ICB - M2L0M (M2L0M)</t>
  </si>
  <si>
    <t>11X</t>
  </si>
  <si>
    <t>NHS SOMERSET ICB - 11X (11X)</t>
  </si>
  <si>
    <t>72Q</t>
  </si>
  <si>
    <t>NHS SOUTH EAST LONDON ICB - 72Q (72Q)</t>
  </si>
  <si>
    <t>36L</t>
  </si>
  <si>
    <t>NHS SOUTH WEST LONDON ICB - 36L (36L)</t>
  </si>
  <si>
    <t>02P</t>
  </si>
  <si>
    <t>NHS SOUTH YORKSHIRE ICB - 02P (02P)</t>
  </si>
  <si>
    <t>02X</t>
  </si>
  <si>
    <t>NHS SOUTH YORKSHIRE ICB - 02X (02X)</t>
  </si>
  <si>
    <t>03L</t>
  </si>
  <si>
    <t>NHS SOUTH YORKSHIRE ICB - 03L (03L)</t>
  </si>
  <si>
    <t>03N</t>
  </si>
  <si>
    <t>NHS SOUTH YORKSHIRE ICB - 03N (03N)</t>
  </si>
  <si>
    <t>04Y</t>
  </si>
  <si>
    <t>NHS STAFFORDSHIRE AND STOKE-ON-TRENT ICB - 04Y (04Y)</t>
  </si>
  <si>
    <t>05D</t>
  </si>
  <si>
    <t>NHS STAFFORDSHIRE AND STOKE-ON-TRENT ICB - 05D (05D)</t>
  </si>
  <si>
    <t>05G</t>
  </si>
  <si>
    <t>NHS STAFFORDSHIRE AND STOKE-ON-TRENT ICB - 05G (05G)</t>
  </si>
  <si>
    <t>05Q</t>
  </si>
  <si>
    <t>NHS STAFFORDSHIRE AND STOKE-ON-TRENT ICB - 05Q (05Q)</t>
  </si>
  <si>
    <t>05V</t>
  </si>
  <si>
    <t>NHS STAFFORDSHIRE AND STOKE-ON-TRENT ICB - 05V (05V)</t>
  </si>
  <si>
    <t>05W</t>
  </si>
  <si>
    <t>NHS STAFFORDSHIRE AND STOKE-ON-TRENT ICB - 05W (05W)</t>
  </si>
  <si>
    <t>06L</t>
  </si>
  <si>
    <t>NHS SUFFOLK AND NORTH EAST ESSEX ICB - 06L (06L)</t>
  </si>
  <si>
    <t>06T</t>
  </si>
  <si>
    <t>NHS SUFFOLK AND NORTH EAST ESSEX ICB - 06T (06T)</t>
  </si>
  <si>
    <t>07K</t>
  </si>
  <si>
    <t>NHS SUFFOLK AND NORTH EAST ESSEX ICB - 07K (07K)</t>
  </si>
  <si>
    <t>92A</t>
  </si>
  <si>
    <t>NHS SURREY HEARTLANDS ICB - 92A (92A)</t>
  </si>
  <si>
    <t>09D</t>
  </si>
  <si>
    <t>NHS SUSSEX ICB - 09D (09D)</t>
  </si>
  <si>
    <t>70F</t>
  </si>
  <si>
    <t>NHS SUSSEX ICB - 70F (70F)</t>
  </si>
  <si>
    <t>97R</t>
  </si>
  <si>
    <t>NHS SUSSEX ICB - 97R (97R)</t>
  </si>
  <si>
    <t>02T</t>
  </si>
  <si>
    <t>NHS WEST YORKSHIRE ICB - 02T (02T)</t>
  </si>
  <si>
    <t>03R</t>
  </si>
  <si>
    <t>NHS WEST YORKSHIRE ICB - 03R (03R)</t>
  </si>
  <si>
    <t>15F</t>
  </si>
  <si>
    <t>NHS WEST YORKSHIRE ICB - 15F (15F)</t>
  </si>
  <si>
    <t>36J</t>
  </si>
  <si>
    <t>NHS WEST YORKSHIRE ICB - 36J (36J)</t>
  </si>
  <si>
    <t>X2C4Y</t>
  </si>
  <si>
    <t>NHS WEST YORKSHIRE ICB - X2C4Y (X2C4Y)</t>
  </si>
  <si>
    <t>EQ-5D Index</t>
  </si>
  <si>
    <t>Oxford Hip Score</t>
  </si>
  <si>
    <t>Provider</t>
  </si>
  <si>
    <t>UNIVERSITY HOSPITAL DORSET NHS FUNDATION TRUST (R0D)</t>
  </si>
  <si>
    <t>Hip Replacement Revision</t>
  </si>
  <si>
    <t>-</t>
  </si>
  <si>
    <t>Knee Replacement Primary</t>
  </si>
  <si>
    <t>13Q</t>
  </si>
  <si>
    <t>NATIONAL COMMISSIONING HUB 1 (13Q)</t>
  </si>
  <si>
    <t>Oxford Knee Score</t>
  </si>
  <si>
    <t>Knee Replacement Revision</t>
  </si>
  <si>
    <t>Total Hip Replacement</t>
  </si>
  <si>
    <t>Total Knee Replacement</t>
  </si>
  <si>
    <t>Data from dbo.AJW_Aggregated_Stats for Funnel Plot (Model2 for GH and VV; Model 3 for HR and KR)</t>
  </si>
  <si>
    <t>Upper Control Limit 99.8</t>
  </si>
  <si>
    <t>Mean (Adjusted Average Health Gain)</t>
  </si>
  <si>
    <t>Selected (n)</t>
  </si>
  <si>
    <t>Number of records (n)</t>
  </si>
  <si>
    <t>MIN (n)</t>
  </si>
  <si>
    <t>MAX (n)</t>
  </si>
  <si>
    <t>Funnel Increment</t>
  </si>
  <si>
    <t xml:space="preserve">Funnel Plot - Image1 </t>
  </si>
  <si>
    <t>Funnel Plot - Image2</t>
  </si>
  <si>
    <t>95% control limits</t>
  </si>
  <si>
    <t>Upper 95% control limit</t>
  </si>
  <si>
    <t>99.8% control limits</t>
  </si>
  <si>
    <t>Upper 99.8% control limit</t>
  </si>
  <si>
    <t>Funnel Data</t>
  </si>
  <si>
    <t>x</t>
  </si>
  <si>
    <t>lower 2 sigma</t>
  </si>
  <si>
    <t>upper 2 sigma</t>
  </si>
  <si>
    <t>lower 3 sigma</t>
  </si>
  <si>
    <t>upper 3 sigma</t>
  </si>
  <si>
    <t>mean</t>
  </si>
  <si>
    <t>table key</t>
  </si>
  <si>
    <t>Update dates for each new publication</t>
  </si>
  <si>
    <t>Date ranges for Publication Title</t>
  </si>
  <si>
    <t>Number of Providers</t>
  </si>
  <si>
    <t>CCG</t>
  </si>
  <si>
    <t>Number of CCGs</t>
  </si>
  <si>
    <t>PCT</t>
  </si>
  <si>
    <t>Number of PCTs</t>
  </si>
  <si>
    <t>SHA</t>
  </si>
  <si>
    <t>No of SHAs</t>
  </si>
  <si>
    <t>National</t>
  </si>
  <si>
    <t>No of National</t>
  </si>
  <si>
    <t>HR measures</t>
  </si>
  <si>
    <t>No of Measures for Funnel_Score</t>
  </si>
  <si>
    <t>No of Measures for Select 10 Table</t>
  </si>
  <si>
    <t>Unadjusted Procedures</t>
  </si>
  <si>
    <t>Organisation Level
This column feeds these definitions in formulas - amend here to amend formulas, inc named ranges</t>
  </si>
  <si>
    <t>Organisation Level (dropdown)</t>
  </si>
  <si>
    <t>Number of Org level</t>
  </si>
  <si>
    <t>Organisation Type - Funnel Plot</t>
  </si>
  <si>
    <t>No of Org Types</t>
  </si>
  <si>
    <t xml:space="preserve"> </t>
  </si>
  <si>
    <t>Data range from (mmmm yyyy)</t>
  </si>
  <si>
    <t>April 2021</t>
  </si>
  <si>
    <t>Sub-ICB of GP Practice</t>
  </si>
  <si>
    <t>Data range to (mmmm yyyy)</t>
  </si>
  <si>
    <t>March 2022</t>
  </si>
  <si>
    <t>SHA of responsibility</t>
  </si>
  <si>
    <t>Published on (dd mmmm yyyy)</t>
  </si>
  <si>
    <t>13 July 2023</t>
  </si>
  <si>
    <t>PCT of responsibility</t>
  </si>
  <si>
    <t>Provisional publication (TRUE/FALSE)?</t>
  </si>
  <si>
    <t>FALSE</t>
  </si>
  <si>
    <t>q</t>
  </si>
  <si>
    <t>When finalised publication expected? (dd mmmm yyyy)</t>
  </si>
  <si>
    <t>July 2023</t>
  </si>
  <si>
    <t>HR split measures</t>
  </si>
  <si>
    <t>Publication Link</t>
  </si>
  <si>
    <t>http://digital.nhs.uk/pubs/promsapr21mar22fin</t>
  </si>
  <si>
    <t>Link for copyright statement</t>
  </si>
  <si>
    <t>KR Measures</t>
  </si>
  <si>
    <t>Case-Mix Adjusted Procedures</t>
  </si>
  <si>
    <t>KR split measures</t>
  </si>
  <si>
    <t>Note</t>
  </si>
  <si>
    <t>3. The participation rate for this supplier may be affected by a change in supplier, please see the "Accredited Supplier Switchover" note on the Title Sheet for more details.</t>
  </si>
  <si>
    <t>BARLBOROUGH NHS TREATMENT CENTRE (NTP13)</t>
  </si>
  <si>
    <t>BEDFORD HOSPITAL NHS TRUST (RC1)</t>
  </si>
  <si>
    <t>BMI - BATH CLINIC (NT402)</t>
  </si>
  <si>
    <t>BMI - BISHOPS WOOD (NT405)</t>
  </si>
  <si>
    <t>BMI - CHELSFIELD PARK HOSPITAL (NT409)</t>
  </si>
  <si>
    <t>BMI - FAWKHAM MANOR HOSPITAL (NT414)</t>
  </si>
  <si>
    <t>BMI - GORING HALL HOSPITAL (NT417)</t>
  </si>
  <si>
    <t>BMI - SARUM ROAD HOSPITAL (NT433)</t>
  </si>
  <si>
    <t>BMI - SHIRLEY OAKS HOSPITAL (NT436)</t>
  </si>
  <si>
    <t>BMI - THE ALEXANDRA HOSPITAL (NT401)</t>
  </si>
  <si>
    <t>BMI - THE BEARDWOOD HOSPITAL (NT403)</t>
  </si>
  <si>
    <t>BMI - THE BEAUMONT HOSPITAL (NT404)</t>
  </si>
  <si>
    <t>BMI - THE BLACKHEATH HOSPITAL (NT406)</t>
  </si>
  <si>
    <t>BMI - THE CHAUCER HOSPITAL (NT408)</t>
  </si>
  <si>
    <t>BMI - THE CHILTERN HOSPITAL (NT410)</t>
  </si>
  <si>
    <t>BMI - THE CLEMENTINE CHURCHILL HOSPITAL (NT411)</t>
  </si>
  <si>
    <t>BMI - THE DROITWICH SPA HOSPITAL (NT412)</t>
  </si>
  <si>
    <t>BMI - THE ESPERANCE HOSPITAL (NT413)</t>
  </si>
  <si>
    <t>BMI - THE HAMPSHIRE CLINIC (NT418)</t>
  </si>
  <si>
    <t>BMI - THE HARBOUR HOSPITAL (NT419)</t>
  </si>
  <si>
    <t>BMI - THE HIGHFIELD HOSPITAL (NT420)</t>
  </si>
  <si>
    <t>BMI - THE KINGS OAK HOSPITAL (NT421)</t>
  </si>
  <si>
    <t>BMI - THE LONDON INDEPENDENT HOSPITAL (NT422)</t>
  </si>
  <si>
    <t>BMI - THE MANOR HOSPITAL (NT423)</t>
  </si>
  <si>
    <t>BMI - THE MERIDEN HOSPITAL (NT424)</t>
  </si>
  <si>
    <t>BMI - THE PARK HOSPITAL (NT427)</t>
  </si>
  <si>
    <t>BMI - THE PRINCESS MARGARET HOSPITAL (NT428)</t>
  </si>
  <si>
    <t>BMI - THE PRIORY HOSPITAL (NT429)</t>
  </si>
  <si>
    <t>BMI - THE RIDGEWAY HOSPITAL (NT430)</t>
  </si>
  <si>
    <t>BMI - THE RUNNYMEDE HOSPITAL (NT431)</t>
  </si>
  <si>
    <t>BMI - THE SANDRINGHAM HOSPITAL (NT432)</t>
  </si>
  <si>
    <t>BMI - THE SAXON CLINIC (NT434)</t>
  </si>
  <si>
    <t>BMI - THE SLOANE HOSPITAL (NT437)</t>
  </si>
  <si>
    <t>BMI - THE SOUTH CHESHIRE PRIVATE HOSPITAL (NT439)</t>
  </si>
  <si>
    <t>BMI - THE WINTERBOURNE HOSPITAL (NT443)</t>
  </si>
  <si>
    <t>BMI - THORNBURY HOSPITAL (NT440)</t>
  </si>
  <si>
    <t>BMI - THREE SHIRES HOSPITAL (NT441)</t>
  </si>
  <si>
    <t>BMI MOUNT ALVERNIA HOSPITAL (NT455)</t>
  </si>
  <si>
    <t>BMI ST EDMUNDS HOSPITAL (NT446)</t>
  </si>
  <si>
    <t>BMI THE CAVELL HOSPITAL (NT451)</t>
  </si>
  <si>
    <t>BMI THE DUCHY HOSPITAL (NT447)</t>
  </si>
  <si>
    <t>BMI THE EDGBASTON HOSPITAL (NT445)</t>
  </si>
  <si>
    <t>BMI THE HUDDERSFIELD HOSPITAL (NT448)</t>
  </si>
  <si>
    <t>BMI THE LANCASTER HOSPITAL (NT449)</t>
  </si>
  <si>
    <t>BMI THE LINCOLN HOSPITAL (NT450)</t>
  </si>
  <si>
    <t>BMI WOODLANDS HOSPITAL (NT457)</t>
  </si>
  <si>
    <t>CIRCLE - NOTTINGHAM NHS TREATMENT CENTRE (NV313)</t>
  </si>
  <si>
    <t>DORKING GENERAL HOSPITAL (NNE02)</t>
  </si>
  <si>
    <t>EMERSONS GREEN NHS TREATMENT CENTRE (NTPH2)</t>
  </si>
  <si>
    <t>HOMERTON UNIVERSITY HOSPITAL NHS FOUNDATION TRUST (RQX)</t>
  </si>
  <si>
    <t>HORTON NHS TREATMENT CENTRE (NVC25)</t>
  </si>
  <si>
    <t>LUTON AND DUNSTABLE UNIVERSITY HOSPITAL NHS FOUNDATION TRUST (RC9)</t>
  </si>
  <si>
    <t>MID YORKSHIRE HOSPITALS NHS TRUST (RXF)</t>
  </si>
  <si>
    <t>NORTH EAST LONDON TREATMENT CENTRE CARE UK (NTP15)</t>
  </si>
  <si>
    <t>NUFFIELD HOSPITAL (STANDARD HEALTH) (NHW02)</t>
  </si>
  <si>
    <t>ONE HEALTH GROUP CLINIC - CLAREMONT (NTX12)</t>
  </si>
  <si>
    <t>PENINSULA NHS TREATMENT CENTRE (NTPH5)</t>
  </si>
  <si>
    <t>POOLE HOSPITAL NHS FOUNDATION TRUST (RD3)</t>
  </si>
  <si>
    <t>PORTSMOUTH HOSPITALS NHS TRUST (RHU)</t>
  </si>
  <si>
    <t>ROYAL DEVON AND EXETER NHS FOUNDATION TRUST (RH8)</t>
  </si>
  <si>
    <t>ROYAL LIVERPOOL AND BROADGREEN UNIVERSITY HOSPITALS NHS TRUST (RQ6)</t>
  </si>
  <si>
    <t>SALFORD ROYAL NHS FOUNDATION TRUST (RM3)</t>
  </si>
  <si>
    <t>SHEPTON MALLET NHS TREATMENT CENTRE (NTPH1)</t>
  </si>
  <si>
    <t>SHREWSBURY AND TELFORD HOSPITAL NHS TRUST (RXW)</t>
  </si>
  <si>
    <t>SOMERSET SURGICAL SERVICES (NFH01)</t>
  </si>
  <si>
    <t>SOUTH TYNESIDE NHS FOUNDATION TRUST (RE9)</t>
  </si>
  <si>
    <t>SOUTH WARWICKSHIRE NHS FOUNDATION TRUST (RJC)</t>
  </si>
  <si>
    <t>SOUTHAMPTON NHS TREATMENT CENTRE (NTP11)</t>
  </si>
  <si>
    <t>SOUTHEND UNIVERSITY HOSPITAL NHS FOUNDATION TRUST (RAJ)</t>
  </si>
  <si>
    <t>SUSSEX MSK PARTNERSHIP 2 (AJX)</t>
  </si>
  <si>
    <t>TEES VALLEY TREATMENT CENTRE (NVC35)</t>
  </si>
  <si>
    <t>TRAFFORD GENERAL HOSPITAL (NN501)</t>
  </si>
  <si>
    <t>UNIVERSITY HOSPITALS BRISTOL NHS FOUNDATION TRUST (RA7)</t>
  </si>
  <si>
    <t>WEST HERTFORDSHIRE HOSPITALS NHS TRUST (RWG)</t>
  </si>
  <si>
    <t>WESTERN SUSSEX HOSPITALS NHS FOUNDATION TRUST (RYR)</t>
  </si>
  <si>
    <t>WESTON AREA HEALTH NHS TRUST (RA3)</t>
  </si>
  <si>
    <t>WILL ADAMS NHS TREATMENT CENTRE (NTP16)</t>
  </si>
  <si>
    <t>WIMBOURNE COMMUNITY HOSPITAL (STANDARD HEALTH) (NHW03)</t>
  </si>
  <si>
    <t>YORK TEACHING HOSPITAL NHS FOUNDATION TRUST (RCB)</t>
  </si>
  <si>
    <t>Key Facts</t>
  </si>
  <si>
    <t>Organisation validation</t>
  </si>
  <si>
    <t>**If there is an #N/A here check the formulas for Named ranges 'SHAs', 'PCTs', 'CCGs','Providers' as the INDIRECT formula will not update automatically if there is movement in the columns on the 'Reference' sheet</t>
  </si>
  <si>
    <t>No of Organisations</t>
  </si>
  <si>
    <t>Organisation level</t>
  </si>
  <si>
    <t>Organisation name</t>
  </si>
  <si>
    <t>Horizontal Axis</t>
  </si>
  <si>
    <t>Adjusted average health gain</t>
  </si>
  <si>
    <t>Adjusted average health gain (England)</t>
  </si>
  <si>
    <t>Y values</t>
  </si>
  <si>
    <t>Modelled records</t>
  </si>
  <si>
    <t>England modelled records</t>
  </si>
  <si>
    <t>y increments= no. categories +1 / no. categories</t>
  </si>
  <si>
    <t xml:space="preserve">Y series </t>
  </si>
  <si>
    <t>OHS / OKS</t>
  </si>
  <si>
    <t>min EQ-5D</t>
  </si>
  <si>
    <t>max EQ-5D</t>
  </si>
  <si>
    <t>min EQ Vas</t>
  </si>
  <si>
    <t>max EQ Vas</t>
  </si>
  <si>
    <t xml:space="preserve">Oxford Hip Score        </t>
  </si>
  <si>
    <t>Min OKS/OHS</t>
  </si>
  <si>
    <t>Max OKS/OHS</t>
  </si>
  <si>
    <t>Min AVVQ</t>
  </si>
  <si>
    <t>Max AVVQ</t>
  </si>
  <si>
    <t>useful formula</t>
  </si>
  <si>
    <t xml:space="preserve">EQ VAS                 </t>
  </si>
  <si>
    <t>Pre-operative participation and linkage</t>
  </si>
  <si>
    <t>Eligible Procedures</t>
  </si>
  <si>
    <t>Pre-operative questionnaires completed</t>
  </si>
  <si>
    <t>Participation Rate</t>
  </si>
  <si>
    <t>Pre-operative questionnaires linked</t>
  </si>
  <si>
    <t>Linkage Rate</t>
  </si>
  <si>
    <t>All Procedures</t>
  </si>
  <si>
    <t>Groin Hernia</t>
  </si>
  <si>
    <t>Hip Replacement</t>
  </si>
  <si>
    <t>Knee Replacement</t>
  </si>
  <si>
    <t>Varicose Vein</t>
  </si>
  <si>
    <t>Post-operative issue and return</t>
  </si>
  <si>
    <t>Post-operative questionnaires sent out</t>
  </si>
  <si>
    <t>Issue Rate</t>
  </si>
  <si>
    <t>Post-operative questionnaires returned</t>
  </si>
  <si>
    <t>Response Rate</t>
  </si>
  <si>
    <t>Number of rows</t>
  </si>
  <si>
    <t>Tables and Charts - Raw Data</t>
  </si>
  <si>
    <t>Select 10 - Table</t>
  </si>
  <si>
    <t>Number of rows - Org level 1</t>
  </si>
  <si>
    <t>Number of rows - Org level 2</t>
  </si>
  <si>
    <t>Number of rows - Org level 3</t>
  </si>
  <si>
    <t>Number of rows - Org level 4</t>
  </si>
  <si>
    <t>Number of rows - Org level 5</t>
  </si>
  <si>
    <t>Number of rows - Org level 6</t>
  </si>
  <si>
    <t>Number of rows - Org level 7</t>
  </si>
  <si>
    <t>Number of rows - Org level 8</t>
  </si>
  <si>
    <t>Number of rows - Org level 9</t>
  </si>
  <si>
    <t>Number of rows - Org level 10</t>
  </si>
  <si>
    <t>Funnel_Plot</t>
  </si>
  <si>
    <t>Number of Organisations</t>
  </si>
  <si>
    <t>% Improved</t>
  </si>
  <si>
    <t>% Worse</t>
  </si>
  <si>
    <t>% England Improved</t>
  </si>
  <si>
    <t>% England Worse</t>
  </si>
  <si>
    <t>Number Improved</t>
  </si>
  <si>
    <t>Number Worse</t>
  </si>
  <si>
    <t>Aberdeen Varicose Vein Questionnaire</t>
  </si>
  <si>
    <t>Organisation Level</t>
  </si>
  <si>
    <t>Unchanged</t>
  </si>
  <si>
    <t>Worsened</t>
  </si>
  <si>
    <t>Adjusted average Post-Op Q score</t>
  </si>
  <si>
    <t>Adjusted average Health Gain</t>
  </si>
  <si>
    <t>Number</t>
  </si>
  <si>
    <t>Marker</t>
  </si>
  <si>
    <t>Concatenate</t>
  </si>
  <si>
    <t>Procedure group</t>
  </si>
  <si>
    <t>Average Q1 Score</t>
  </si>
  <si>
    <t>Average Q2 Score</t>
  </si>
  <si>
    <t>Health gain (Q2 average - Q1 average)</t>
  </si>
  <si>
    <t>Increase (Q2&gt;Q1)</t>
  </si>
  <si>
    <t>Same (Q2=Q1)</t>
  </si>
  <si>
    <t>Decrease (Q2&lt;Q1)</t>
  </si>
  <si>
    <t>Adjusted average Q2 score</t>
  </si>
  <si>
    <t>X</t>
  </si>
  <si>
    <t>Y</t>
  </si>
  <si>
    <t>X2</t>
  </si>
  <si>
    <t>Y2</t>
  </si>
  <si>
    <t>PROMs Score Comparison Tool</t>
  </si>
  <si>
    <t>Introduction</t>
  </si>
  <si>
    <t xml:space="preserve">The PROMs Score Comparison Tool is an interactive spreadsheet that provides the ability to select data for specific hospital trusts, provides a range of summary statistics relating to PROMS data and enables comparisons to be made with other providers, sub-integrated care boards or national figures. 
All underlying data within the Score Comparison Tool can be found in the CSV data pack that accompanies this publication.
Data sources: Hospital Episode Statistics (HES) / PROMs, NHS England.
</t>
  </si>
  <si>
    <t>Contents</t>
  </si>
  <si>
    <t>To access data tables, select the table headings or tabs
To return to contents click 'Return to contents' link at the top of each page</t>
  </si>
  <si>
    <t>Guide - Key Facts: A guide to using the Adjusted Health Gain Chart and Key Facts worksheets</t>
  </si>
  <si>
    <t>Adjusted Health Gain Chart: Figures showing the adjusted health gain by procedure and measure for England, provider level or sub-ICB</t>
  </si>
  <si>
    <t>Key Facts: Participation and linkage scores for organisation selected on Adjusted Health Gain worksheet, excluding sub-ICB level data</t>
  </si>
  <si>
    <t>Guide - Select 10 Table: A guide to using the Select 10 Table</t>
  </si>
  <si>
    <t>Select 10 Table: Select up to 10 organisations to see how they compare against each other</t>
  </si>
  <si>
    <t>Guide - Funnel Plot: A Guide to using the Funnel Plot and Funnel Data worksheets</t>
  </si>
  <si>
    <t>Funnel Plot</t>
  </si>
  <si>
    <t>Further Information</t>
  </si>
  <si>
    <t>General</t>
  </si>
  <si>
    <t>For more details on the background to the PROMs programme, an overview of data collection, processing, scoring and linking, it is suggested to read 'A Guide to PROMs Methodology', which is available from the PROMs homepage at [http://content.digital.nhs.uk/proms/].</t>
  </si>
  <si>
    <t>Data Quality Notes</t>
  </si>
  <si>
    <t>1. Impacts of COVID-19
 In order to respond to the challenges posed by the coronavirus pandemic NHS hospitals in England were instructed to suspend all non-urgent elective surgery for patients for parts of the 2020/21 reporting period. A reduced service continued during the 2021/22 reporting period. This has directly impacted upon reported volumes of activity pertaining to Hip &amp; Knee replacements reported in PROMS. In addition it is possible that behaviours around activities relating to the completion, return and processing of pre and post-operative questionnaires may have also been impacted when compared to earlier years data where behaviours and processes related to managing the current pandemic were not in place.</t>
  </si>
  <si>
    <t>Methodology</t>
  </si>
  <si>
    <t>Statistical models were developed by contractors (CHKS Ltd in conjunction with Northgate Information Solutions) on behalf of the Department of Health during the initial development of the PROMs programme and were further developed by NHS England in 2013 in order to separate primary from revision procedures in hip and knee replacement surgery. Further information regarding the methodology can be found at the NHS England website [http://www.england.nhs.uk/statistics/statistical-work-areas/proms/]</t>
  </si>
  <si>
    <t>Disclosure Control Methodology</t>
  </si>
  <si>
    <t xml:space="preserve">Where necessary for the protection of patient confidentiality, parent figures between 1 and 5 have been suppressed and replaced with an asterisk (‘*’) and derived figures have also been suppressed. Further suppression has been applied where it would otherwise have been possible to identify a suppressed figure by derivation from other published figures. Where the parent figure is greater than 5, but the questionnaire count is 0, this figure is represented with a dash ('-'). </t>
  </si>
  <si>
    <t>Exclusions</t>
  </si>
  <si>
    <t>The calculation of the casemix-adjusted measures presented in this tool includes only those records where both the pre- and post-operative questionnaires have been completed, the questionnaire pair has been successfully linked to a record of hospital inpatient activity and key data items used in the casemix-adjustment methodology have valid values recorded. Average casemix-adjusted scores have been calculated only where there are at least 30 modelled records, as the statistical models break down with fewer records and aggregate calculations on small numbers may return unrepresentative results.</t>
  </si>
  <si>
    <t>Acknowledgements</t>
  </si>
  <si>
    <t>EQ-5D™ is a trademark of the Euroqol Group. Any and all copyrights in the EQ-5D™ questions, their order, layout and images vest in the Euroqol Group [http://www.euroqol.org]. The Euroqol Group reserves all rights. © Euroqol Group, 1992.</t>
  </si>
  <si>
    <t>Any and all copyrights in the Oxford Hip Score and Oxford Knee Score questions, their order and layout vest in Isis Innovation Limited [http://www.isis-innovation.com/outcomes/orthopaedic/]. Isis Innovation Limited reserves all rights. © Isis Innovation Limited, 1996.</t>
  </si>
  <si>
    <t>Except where expressly stated to the contrary, the Department of Health PROMs questionnaires are protected by Crown Copyright. © Crown Copyright, 2008–2011.</t>
  </si>
  <si>
    <t>Contact Details</t>
  </si>
  <si>
    <t>Public Enquiries: 0300 303 5678</t>
  </si>
  <si>
    <t>Email: enquiries@nhsdigital.nhs.uk</t>
  </si>
  <si>
    <t>Press enquiries should be made to Media Relations Manager on 0300 303 3888</t>
  </si>
  <si>
    <t>Published by NHS England, part of the Government Statistical Service</t>
  </si>
  <si>
    <t>Copyright © 2023 NHS England.</t>
  </si>
  <si>
    <t xml:space="preserve">You may re-use this document/publication (not including logos) free of charge in any format or medium, under the terms of the Open Government Licence v3.0. </t>
  </si>
  <si>
    <t>To view this licence visit</t>
  </si>
  <si>
    <t>www.nationalarchives.gov.uk/doc/open-government-licence</t>
  </si>
  <si>
    <t>or write to the Information Policy Team, The National Archives,</t>
  </si>
  <si>
    <t>Kew, Richmond, Surrey, TW9 4DU;</t>
  </si>
  <si>
    <t>or email: psi@nationalarchives.gsi.gov.uk</t>
  </si>
  <si>
    <t>Return to contents</t>
  </si>
  <si>
    <t>Guide to the Adjusted Average Health Gain Charts and Key Facts</t>
  </si>
  <si>
    <t xml:space="preserve">This section provides an overview of top-level PROMs figures for a selected organisation, including the adjusted average health gain by procedure and measure following surgery, and patients' estimated rates of participation. </t>
  </si>
  <si>
    <t>The Adjusted Health Gain Charts and Key Facts worksheets present case-mix adjusted average health gain by procedure type and measure. These scores can be compared across organisations and against England-level figures.</t>
  </si>
  <si>
    <t xml:space="preserve">Choose an organisation level (England, provider or commissioner) and an organisation name using the dropdown boxes. On the Adjusted Health Gain Chart worksheet, Figures 1-4 will show the adjusted average health gain by measure and procedure for the organisation selected and for England overall. Summary participation and coverage data for the selected organisation are also provided. </t>
  </si>
  <si>
    <t>Note: if the charts and tables do not update following your selections, you may have automatic recalculations turned off; please press F9 to update.</t>
  </si>
  <si>
    <t>The text and tables in the Key Facts worksheet show some further information, including some technical measures of data quality which may be of interest to provider and commissioner organisations.</t>
  </si>
  <si>
    <t>The Key Facts worksheet</t>
  </si>
  <si>
    <t>This worksheet displays some additional data for the organisation selected on the main Adjusted Health Gain charts, including some technical measures of data quality of interest to provider and commissioner organisations:</t>
  </si>
  <si>
    <t>● participation rate: an approximation of the rate of participation in PROMs by the selected organisation's patients, being the number of pre-operative questionnaires returned as a percentage of eligible hospital inpatient procedures carried out by that organisation.</t>
  </si>
  <si>
    <t>● linkage rate: percentage of PROMs questionnaires which have been successfully linked to records of hospital inpatient activty.</t>
  </si>
  <si>
    <t>● post-operative issue rate: percentage of returned pre-operative questionnaires for which a post-operative questionnaire has been sent to the patient.</t>
  </si>
  <si>
    <t>● post-operative response rate: percentage of issued post-operative questionnaires which have been returned.</t>
  </si>
  <si>
    <t>Copyright © 2023, NHS England. All Rights Reserved.</t>
  </si>
  <si>
    <t>England and Provider-level participation and coverage1</t>
  </si>
  <si>
    <t xml:space="preserve">Please note that the graphs above use different scales on their x-axes, reflecting differences in the underlying measures:
 -- scores on the EQ-5DTM Index range from -0.594 (worst possible health) to 1.0 (full health)
 -- scores on the EQ-VAS range from 0 (worst) to 100  (best)
 -- scores on the Oxford Hip Score and the Oxford Knee Score range from 0 (worst) to 48 (best)
The count of modelled records on which provider- or sub-ICB- level findings are based is given in parentheses following the procedure: 
 -- an asterisk (*) denotes a small number of records, the exact count having been suppressed
 -- a '0' indicates that there were no procedures of this type for the provider or sub-ICB.
The exact England-level score for the various measures sits at the centre of the filled circle that represents the England-level findings. England-level scores are reported only if there are 200 or more modelled records.
Provider- or sub-ICB-level adjusted average health gain can only be produced for a procedure where 30 or more modelled records exist.
</t>
  </si>
  <si>
    <t>1. In order to respond to the challenges posed by the coronavirus pandemic NHS hospitals in England were instructed to suspend all non-urgent elective surgery for patients for parts of the 2020/21 reporting period. A reduced service continued during the 2021/22 reporting period. This has directly impacted upon reported volumes of activity pertaining to Hip &amp; Knee replacements reported in PROMS. In addition it is possible that behaviours around activities relating to the completion, return and processing of pre and post-operative questionnaires may have also been impacted when compared to earlier years data where behaviours and processes related to managing the current pandemic were not in place.</t>
  </si>
  <si>
    <t>NOTE: Table 1 and Table 2 only display data at England and Provider level</t>
  </si>
  <si>
    <t>Table 1: Pre-operative participation and linkage</t>
  </si>
  <si>
    <t>Table 2: Post-operative issue and return</t>
  </si>
  <si>
    <t>Eligible hospital procedures</t>
  </si>
  <si>
    <t>Pre-operative questionnaires completed2</t>
  </si>
  <si>
    <t>of which1</t>
  </si>
  <si>
    <t>of which*</t>
  </si>
  <si>
    <t>Primary</t>
  </si>
  <si>
    <t>Revision</t>
  </si>
  <si>
    <t>1. Only procedures that can be linked to an eligble hopsital procedure can be split between a primary and revision procedure.</t>
  </si>
  <si>
    <t>2. In order to respond to the challenges posed by the coronavirus pandemic NHS hospitals in England were instructed to suspend all non-urgent elective surgery for patients for parts of the 2020/21 reporting period. A reduced service continued during the 2021/22 reporting period. This has directly impacted upon reported volumes of activity pertaining to Hip &amp; Knee replacements reported in PROMS. In addition it is possible that behaviours around activities relating to the completion, return and processing of pre and post-operative questionnaires may have also been impacted when compared to earlier years data where behaviours and processes related to managing the current pandemic were not in place.</t>
  </si>
  <si>
    <t>EQ-5DTM Index (a combination of five key criteria concerning general health)</t>
  </si>
  <si>
    <t>EQ VAS (current state of the patient's general health marked on a visual analogue scale)</t>
  </si>
  <si>
    <t>Condition Specific Measures (a series of questions specific to the patient's condition)</t>
  </si>
  <si>
    <t>Guide to the 'Select 10' table</t>
  </si>
  <si>
    <t>This section allows for a quick comparison of up to ten organisations against the picture for England as a whole.</t>
  </si>
  <si>
    <t>Choose a PROMs procedure and measure from the dropdowns. The first row of the table underneath will show summary statistics for all of England. Choose up to ten sub-national organisation types and names from the dropdown boxes in the rows below to see comparable statistics for those selected organisations.</t>
  </si>
  <si>
    <t>Note: if the chart and table do not update following your selections, you may have automatic recalculations turned off; please press F9 to update.</t>
  </si>
  <si>
    <t>Casemix-adjustment</t>
  </si>
  <si>
    <t>Adjusted average health gains have been calculated using statistical models which account for the fact that each provider organisation deals with patients with different case-mixes. This allows for fair comparisons between providers and England as a whole. Random variation in patients mean that small differences in averages, even when case-mix adjusted, may not be statistically significant. To see whether a difference from the all-England figure is statistically significant, please refer to the Funnel Plot and Funnel Data tabs.</t>
  </si>
  <si>
    <t xml:space="preserve">
Organisation level</t>
  </si>
  <si>
    <t xml:space="preserve">
Organisation name</t>
  </si>
  <si>
    <t>Standard Deviation of adjusted Health Gain</t>
  </si>
  <si>
    <t>Organisation A</t>
  </si>
  <si>
    <t>Organisation B</t>
  </si>
  <si>
    <t>0
(0.0%)</t>
  </si>
  <si>
    <t>Organisation C</t>
  </si>
  <si>
    <t>Modelled records: the number of questionnaire-pairs for which it has been possible to apply the casemix-adjustment model</t>
  </si>
  <si>
    <t>Average Pre-Op Q Score: for the modelled records, the average unadjusted pre-operative score</t>
  </si>
  <si>
    <t>Average Post-Op Q Score: for the modelled records, the average unadjusted post-operative score</t>
  </si>
  <si>
    <t>Health Gain: unadjusted average difference between pre- and post-operative scores</t>
  </si>
  <si>
    <t>Improved: number of the modelled records for which an improvement in health was recorded</t>
  </si>
  <si>
    <t>Same: number of the modelled records for which no change in health was recorded</t>
  </si>
  <si>
    <t>Worsened: number of the modelled records for which a worsening in health was recorded</t>
  </si>
  <si>
    <t>Adjusted average Post-Op Q score: casemix-adjusted average post-operative score; may be legitimately compared to the all-England figure</t>
  </si>
  <si>
    <t>Adjusted average Health Gain: casemix-adjusted average gain in health from pre- to post-operative</t>
  </si>
  <si>
    <t>Standard Deviation of adjusted Health Gain: used to determine whether a difference from England figure is 'statistically significant' - see Funnel Plot tab</t>
  </si>
  <si>
    <t>Suppression: Some figures are suppressed (shown with an asterisk - '*') to protect patient confidentiality. See Footnotes tab for more details. Additionally, casemix-adjusted figures are not</t>
  </si>
  <si>
    <t>shown for organisations with fewer than 30 modelled records, as the underlying statistical models break down when counts are low and aggregate calculations based on small numbers</t>
  </si>
  <si>
    <t>may return unrepresentative results.</t>
  </si>
  <si>
    <t>Exclusions: Casemix-adjusted figures are not shown for organisations with fewer than 30 modelled records, as the underlying statistical models break down when counts are low</t>
  </si>
  <si>
    <t>and aggregate calculations based on small numbers may return unrepresentative results.</t>
  </si>
  <si>
    <t>'Select 10' table</t>
  </si>
  <si>
    <t>Choose a PROMs procedure and measure, and pick up to ten organisations to compare to the all-England figures. Casemix-adjusted figures are calculated only where there are at least 30 modelled records. Organisations with a questionnaire count of less than 30 are highlighted in grey italics. Some figures (shown with '*') have been suppressed to protect patient confidentiality; see the Title Sheet or Guide - Select 10 Table tabs for further information.</t>
  </si>
  <si>
    <t>Guide to the Funnel Plot and Data</t>
  </si>
  <si>
    <t>This section allows for statistically-valid comparisons between organisations and England as a whole.</t>
  </si>
  <si>
    <t>Using the dropdowns, choose a PROMs procedure, measure and organisation. The funnel plot will be automatically re-drawn to show a blue dot representing each provider organisation, showing their number of statistically-modelled records and average casemix-adjusted health gain for the chosen procedure and measure.</t>
  </si>
  <si>
    <t>The table in the Funnel Data tab shows the data that is plotted on the funnel plot.</t>
  </si>
  <si>
    <t>Interpretation</t>
  </si>
  <si>
    <t>The control limits represent boundaries, providers falling outside of which may be stated with statistical validity to be significantly better (if above the upper limit) or significantly worse (if below the lower limit) than England as a whole. Because of random variation in patients, it is not sufficient to draw such a conclusion just because they fall above or below the all-England rate (shown with a thick blue line) unless they fall outside the control limits.</t>
  </si>
  <si>
    <t>There is a choice of two control limits, representing two levels of statistical confidence. For a provider plotted outside the 99.8% limits, statistical theory provides that there is a 1 in 500 chance that their results would have been so far from the England rate merely because of random variation in their patients (1 in 20 for a provider outside the 95% limits) and so there is a good indication that there is something within that provider's control that caused so substantial a difference. It does not mean that the provider is necessarily doing something 'good' (if above the upper limit) or 'bad' (if below the lower limit), but might warrant further investigation.</t>
  </si>
  <si>
    <t>Exclusions: Casemix-adjusted figures are not calculated for organisations with fewer than 30 modelled records, as the underlying statistical models break down when counts are low and aggregate calculations based on small numbers may return unrepresentative results.</t>
  </si>
  <si>
    <t>CITY HOSPITALS SUNDERLAND NHS FOUNDATION TRUST (RLN)</t>
  </si>
  <si>
    <t>Funnel Plot – casemix-adjusted average Health Gain</t>
  </si>
  <si>
    <t>Funnel plot data</t>
  </si>
  <si>
    <t>Organisation code</t>
  </si>
  <si>
    <t>England average</t>
  </si>
  <si>
    <t>Lower
95%
control limit</t>
  </si>
  <si>
    <t>Upper
95%
control limit</t>
  </si>
  <si>
    <t>Lower
99.8%
control limit</t>
  </si>
  <si>
    <t>Upper
99.8%
control limit</t>
  </si>
  <si>
    <t>Significance</t>
  </si>
  <si>
    <t>Responsible Statistician: Sarah Liley, Analytical Section Head
Tony Childs, Section Head, Community and Mental Health Team</t>
  </si>
  <si>
    <t>SULIS HOSPITAL BATH (FOXCOTE AVENUE)</t>
  </si>
  <si>
    <t>SULIS HOSPITAL BATH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</si>
</sst>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0.000"/>
    <numFmt numFmtId="165" formatCode="#,##0\ \ ;[Red]\-#,##0\ \ ;\-\ \ "/>
    <numFmt numFmtId="166" formatCode="0.000"/>
    <numFmt numFmtId="167" formatCode="0.0%"/>
    <numFmt numFmtId="168" formatCode="mmmm\ yyyy"/>
    <numFmt numFmtId="169" formatCode="0.0"/>
  </numFmts>
  <fonts count="111" x14ac:knownFonts="1">
    <font>
      <sz val="10"/>
      <name val="Arial"/>
    </font>
    <font>
      <sz val="11"/>
      <color theme="1"/>
      <name val="Calibri"/>
      <family val="2"/>
      <scheme val="minor"/>
    </font>
    <font>
      <sz val="11"/>
      <color theme="1"/>
      <name val="Calibri"/>
      <family val="2"/>
      <scheme val="minor"/>
    </font>
    <font>
      <sz val="12"/>
      <color theme="1"/>
      <name val="Arial"/>
      <family val="2"/>
    </font>
    <font>
      <sz val="10"/>
      <name val="Arial"/>
      <family val="2"/>
    </font>
    <font>
      <sz val="10"/>
      <name val="Arial"/>
      <family val="2"/>
    </font>
    <font>
      <sz val="10"/>
      <color indexed="9"/>
      <name val="Arial"/>
      <family val="2"/>
    </font>
    <font>
      <i/>
      <sz val="10"/>
      <name val="Arial"/>
      <family val="2"/>
    </font>
    <font>
      <u/>
      <sz val="10"/>
      <color indexed="12"/>
      <name val="Arial"/>
      <family val="2"/>
    </font>
    <font>
      <b/>
      <sz val="10"/>
      <name val="Arial"/>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name val="Arial"/>
      <family val="2"/>
    </font>
    <font>
      <b/>
      <sz val="16"/>
      <color indexed="9"/>
      <name val="Arial"/>
      <family val="2"/>
    </font>
    <font>
      <b/>
      <sz val="10"/>
      <color indexed="8"/>
      <name val="Arial"/>
      <family val="2"/>
    </font>
    <font>
      <sz val="10"/>
      <color indexed="8"/>
      <name val="Arial"/>
      <family val="2"/>
    </font>
    <font>
      <sz val="10"/>
      <color indexed="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sz val="10"/>
      <color theme="0"/>
      <name val="Arial"/>
      <family val="2"/>
    </font>
    <font>
      <b/>
      <sz val="12"/>
      <color theme="0"/>
      <name val="Arial"/>
      <family val="2"/>
    </font>
    <font>
      <sz val="10"/>
      <color theme="3"/>
      <name val="Arial"/>
      <family val="2"/>
    </font>
    <font>
      <sz val="10"/>
      <color indexed="63"/>
      <name val="Arial"/>
      <family val="2"/>
    </font>
    <font>
      <b/>
      <sz val="12"/>
      <color indexed="8"/>
      <name val="Arial"/>
      <family val="2"/>
    </font>
    <font>
      <sz val="12"/>
      <color indexed="8"/>
      <name val="Arial"/>
      <family val="2"/>
    </font>
    <font>
      <b/>
      <sz val="20"/>
      <name val="Arial"/>
      <family val="2"/>
    </font>
    <font>
      <sz val="12"/>
      <name val="Arial"/>
      <family val="2"/>
    </font>
    <font>
      <sz val="14"/>
      <name val="Arial"/>
      <family val="2"/>
    </font>
    <font>
      <sz val="12"/>
      <color indexed="9"/>
      <name val="Arial"/>
      <family val="2"/>
    </font>
    <font>
      <sz val="14"/>
      <color theme="3"/>
      <name val="Arial"/>
      <family val="2"/>
    </font>
    <font>
      <sz val="12"/>
      <color indexed="10"/>
      <name val="Arial"/>
      <family val="2"/>
    </font>
    <font>
      <sz val="12"/>
      <color theme="0"/>
      <name val="Arial"/>
      <family val="2"/>
    </font>
    <font>
      <sz val="20"/>
      <name val="Arial"/>
      <family val="2"/>
    </font>
    <font>
      <u/>
      <sz val="12"/>
      <color indexed="12"/>
      <name val="Arial"/>
      <family val="2"/>
    </font>
    <font>
      <sz val="10"/>
      <color rgb="FFFF0000"/>
      <name val="Arial"/>
      <family val="2"/>
    </font>
    <font>
      <sz val="14"/>
      <color rgb="FFFF0000"/>
      <name val="Arial"/>
      <family val="2"/>
    </font>
    <font>
      <sz val="12"/>
      <color rgb="FFFF0000"/>
      <name val="Arial"/>
      <family val="2"/>
    </font>
    <font>
      <b/>
      <sz val="10"/>
      <color theme="0"/>
      <name val="Arial"/>
      <family val="2"/>
    </font>
    <font>
      <b/>
      <sz val="11"/>
      <name val="Calibri"/>
      <family val="2"/>
      <scheme val="minor"/>
    </font>
    <font>
      <sz val="11"/>
      <name val="Calibri"/>
      <family val="2"/>
      <scheme val="minor"/>
    </font>
    <font>
      <b/>
      <i/>
      <sz val="11"/>
      <color rgb="FF80A0B0"/>
      <name val="Arial"/>
      <family val="2"/>
    </font>
    <font>
      <b/>
      <sz val="12"/>
      <color theme="1"/>
      <name val="Arial"/>
      <family val="2"/>
    </font>
    <font>
      <i/>
      <sz val="10"/>
      <color rgb="FFFF0000"/>
      <name val="Arial"/>
      <family val="2"/>
    </font>
    <font>
      <b/>
      <sz val="14"/>
      <color theme="0"/>
      <name val="Arial"/>
      <family val="2"/>
    </font>
    <font>
      <b/>
      <sz val="11"/>
      <color theme="0"/>
      <name val="Arial"/>
      <family val="2"/>
    </font>
    <font>
      <sz val="11"/>
      <name val="Webdings"/>
      <family val="1"/>
      <charset val="2"/>
    </font>
    <font>
      <sz val="11"/>
      <name val="Arial"/>
      <family val="2"/>
    </font>
    <font>
      <b/>
      <sz val="11"/>
      <name val="Arial"/>
      <family val="2"/>
    </font>
    <font>
      <b/>
      <i/>
      <sz val="11"/>
      <name val="Arial"/>
      <family val="2"/>
    </font>
    <font>
      <sz val="12"/>
      <name val="Symbol"/>
      <family val="1"/>
      <charset val="2"/>
    </font>
    <font>
      <i/>
      <sz val="12"/>
      <name val="Arial"/>
      <family val="2"/>
    </font>
    <font>
      <i/>
      <sz val="12"/>
      <color theme="0"/>
      <name val="Arial"/>
      <family val="2"/>
    </font>
    <font>
      <i/>
      <sz val="12"/>
      <color rgb="FFFF0000"/>
      <name val="Arial"/>
      <family val="2"/>
    </font>
    <font>
      <b/>
      <i/>
      <sz val="11"/>
      <color rgb="FF005090"/>
      <name val="Arial"/>
      <family val="2"/>
    </font>
    <font>
      <b/>
      <i/>
      <sz val="11"/>
      <color rgb="FFFF0000"/>
      <name val="Calibri"/>
      <family val="2"/>
      <scheme val="minor"/>
    </font>
    <font>
      <u/>
      <sz val="11"/>
      <color indexed="12"/>
      <name val="Calibri"/>
      <family val="2"/>
      <scheme val="minor"/>
    </font>
    <font>
      <b/>
      <sz val="11"/>
      <color rgb="FFFF0000"/>
      <name val="Calibri"/>
      <family val="2"/>
      <scheme val="minor"/>
    </font>
    <font>
      <sz val="11"/>
      <name val="Wingdings 3"/>
      <family val="1"/>
      <charset val="2"/>
    </font>
    <font>
      <sz val="10"/>
      <name val="Arial"/>
      <family val="2"/>
    </font>
    <font>
      <b/>
      <sz val="11"/>
      <color indexed="8"/>
      <name val="Arial"/>
      <family val="2"/>
    </font>
    <font>
      <sz val="11"/>
      <color indexed="8"/>
      <name val="Arial"/>
      <family val="2"/>
    </font>
    <font>
      <u/>
      <sz val="10"/>
      <color theme="10"/>
      <name val="Arial"/>
      <family val="2"/>
    </font>
    <font>
      <b/>
      <sz val="27"/>
      <color theme="4"/>
      <name val="Arial"/>
      <family val="2"/>
    </font>
    <font>
      <b/>
      <sz val="20"/>
      <color theme="9"/>
      <name val="Arial"/>
      <family val="2"/>
    </font>
    <font>
      <b/>
      <sz val="11"/>
      <color theme="1"/>
      <name val="Arial"/>
      <family val="2"/>
    </font>
    <font>
      <i/>
      <sz val="11"/>
      <color indexed="8"/>
      <name val="Arial"/>
      <family val="2"/>
    </font>
    <font>
      <u/>
      <sz val="11"/>
      <color indexed="12"/>
      <name val="Arial"/>
      <family val="2"/>
    </font>
    <font>
      <i/>
      <sz val="11"/>
      <name val="Arial"/>
      <family val="2"/>
    </font>
    <font>
      <sz val="11"/>
      <color theme="1"/>
      <name val="Arial"/>
      <family val="2"/>
    </font>
    <font>
      <u/>
      <sz val="11"/>
      <color theme="10"/>
      <name val="Calibri"/>
      <family val="2"/>
    </font>
    <font>
      <u/>
      <sz val="10"/>
      <color indexed="30"/>
      <name val="Arial"/>
      <family val="2"/>
    </font>
    <font>
      <sz val="11"/>
      <color theme="1"/>
      <name val="Calibri"/>
      <family val="2"/>
    </font>
    <font>
      <u/>
      <sz val="12"/>
      <color rgb="FF004488"/>
      <name val="Arial"/>
      <family val="2"/>
    </font>
    <font>
      <u/>
      <sz val="11"/>
      <color theme="10"/>
      <name val="Arial"/>
      <family val="2"/>
    </font>
    <font>
      <sz val="12"/>
      <color rgb="FF424D58"/>
      <name val="Calibri"/>
      <family val="2"/>
      <scheme val="minor"/>
    </font>
    <font>
      <b/>
      <sz val="12"/>
      <color rgb="FF424D58"/>
      <name val="Calibri"/>
      <family val="2"/>
      <scheme val="minor"/>
    </font>
    <font>
      <u/>
      <sz val="11"/>
      <color rgb="FF004488"/>
      <name val="Arial"/>
      <family val="2"/>
    </font>
    <font>
      <b/>
      <i/>
      <sz val="12"/>
      <name val="Arial"/>
      <family val="2"/>
    </font>
    <font>
      <b/>
      <i/>
      <sz val="12"/>
      <color indexed="8"/>
      <name val="Arial"/>
      <family val="2"/>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7"/>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62"/>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DE9D9"/>
        <bgColor indexed="64"/>
      </patternFill>
    </fill>
    <fill>
      <patternFill patternType="solid">
        <fgColor theme="0"/>
        <bgColor indexed="64"/>
      </patternFill>
    </fill>
    <fill>
      <patternFill patternType="solid">
        <fgColor theme="3"/>
        <bgColor indexed="64"/>
      </patternFill>
    </fill>
    <fill>
      <patternFill patternType="solid">
        <fgColor theme="6"/>
        <bgColor indexed="64"/>
      </patternFill>
    </fill>
    <fill>
      <patternFill patternType="solid">
        <fgColor theme="4"/>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medium">
        <color theme="0"/>
      </top>
      <bottom style="medium">
        <color theme="0"/>
      </bottom>
      <diagonal/>
    </border>
    <border>
      <left style="thin">
        <color rgb="FF003350"/>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thin">
        <color rgb="FF003350"/>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top style="thin">
        <color theme="0"/>
      </top>
      <bottom style="medium">
        <color theme="0"/>
      </bottom>
      <diagonal/>
    </border>
    <border>
      <left/>
      <right/>
      <top/>
      <bottom style="medium">
        <color theme="0"/>
      </bottom>
      <diagonal/>
    </border>
    <border>
      <left/>
      <right style="thin">
        <color indexed="64"/>
      </right>
      <top/>
      <bottom/>
      <diagonal/>
    </border>
    <border>
      <left style="thin">
        <color rgb="FF003350"/>
      </left>
      <right style="thin">
        <color rgb="FF003350"/>
      </right>
      <top style="medium">
        <color theme="0"/>
      </top>
      <bottom style="thin">
        <color rgb="FF003350"/>
      </bottom>
      <diagonal/>
    </border>
    <border>
      <left style="thin">
        <color rgb="FF003350"/>
      </left>
      <right style="thin">
        <color rgb="FF003350"/>
      </right>
      <top style="medium">
        <color theme="0"/>
      </top>
      <bottom/>
      <diagonal/>
    </border>
    <border>
      <left style="thin">
        <color rgb="FF003350"/>
      </left>
      <right style="thin">
        <color rgb="FF003350"/>
      </right>
      <top style="thin">
        <color rgb="FF003350"/>
      </top>
      <bottom style="medium">
        <color theme="0"/>
      </bottom>
      <diagonal/>
    </border>
    <border>
      <left/>
      <right style="medium">
        <color theme="0"/>
      </right>
      <top style="thin">
        <color indexed="64"/>
      </top>
      <bottom style="thin">
        <color indexed="64"/>
      </bottom>
      <diagonal/>
    </border>
    <border>
      <left/>
      <right style="medium">
        <color theme="0"/>
      </right>
      <top style="medium">
        <color theme="0"/>
      </top>
      <bottom style="medium">
        <color theme="0"/>
      </bottom>
      <diagonal/>
    </border>
    <border>
      <left/>
      <right/>
      <top style="medium">
        <color theme="0"/>
      </top>
      <bottom style="thin">
        <color rgb="FF003350"/>
      </bottom>
      <diagonal/>
    </border>
    <border>
      <left/>
      <right style="thin">
        <color rgb="FF003350"/>
      </right>
      <top style="medium">
        <color theme="0"/>
      </top>
      <bottom style="thin">
        <color rgb="FF003350"/>
      </bottom>
      <diagonal/>
    </border>
    <border>
      <left/>
      <right style="thin">
        <color rgb="FF003350"/>
      </right>
      <top style="thin">
        <color rgb="FF003350"/>
      </top>
      <bottom style="medium">
        <color theme="0"/>
      </bottom>
      <diagonal/>
    </border>
    <border>
      <left/>
      <right/>
      <top style="thin">
        <color rgb="FF80A0B0"/>
      </top>
      <bottom style="medium">
        <color theme="0"/>
      </bottom>
      <diagonal/>
    </border>
    <border>
      <left/>
      <right style="thin">
        <color rgb="FF80A0B0"/>
      </right>
      <top style="thin">
        <color rgb="FF80A0B0"/>
      </top>
      <bottom style="medium">
        <color theme="0"/>
      </bottom>
      <diagonal/>
    </border>
    <border>
      <left style="thin">
        <color rgb="FF80A0B0"/>
      </left>
      <right/>
      <top/>
      <bottom style="medium">
        <color theme="0"/>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rgb="FF80A0B0"/>
      </left>
      <right style="thin">
        <color rgb="FF80A0B0"/>
      </right>
      <top style="thin">
        <color rgb="FF80A0B0"/>
      </top>
      <bottom style="medium">
        <color theme="0"/>
      </bottom>
      <diagonal/>
    </border>
  </borders>
  <cellStyleXfs count="788">
    <xf numFmtId="0" fontId="0" fillId="0" borderId="0"/>
    <xf numFmtId="0" fontId="11" fillId="2" borderId="0"/>
    <xf numFmtId="0" fontId="33" fillId="26" borderId="0"/>
    <xf numFmtId="0" fontId="11" fillId="2" borderId="0"/>
    <xf numFmtId="0" fontId="11" fillId="3" borderId="0"/>
    <xf numFmtId="0" fontId="33" fillId="27" borderId="0"/>
    <xf numFmtId="0" fontId="11" fillId="3" borderId="0"/>
    <xf numFmtId="0" fontId="11" fillId="5" borderId="0"/>
    <xf numFmtId="0" fontId="33" fillId="28" borderId="0"/>
    <xf numFmtId="0" fontId="11" fillId="5" borderId="0"/>
    <xf numFmtId="0" fontId="11" fillId="6" borderId="0"/>
    <xf numFmtId="0" fontId="33" fillId="29" borderId="0"/>
    <xf numFmtId="0" fontId="11" fillId="6" borderId="0"/>
    <xf numFmtId="0" fontId="11" fillId="7" borderId="0"/>
    <xf numFmtId="0" fontId="33" fillId="30" borderId="0"/>
    <xf numFmtId="0" fontId="11" fillId="7" borderId="0"/>
    <xf numFmtId="0" fontId="11" fillId="4" borderId="0"/>
    <xf numFmtId="0" fontId="33" fillId="31" borderId="0"/>
    <xf numFmtId="0" fontId="11" fillId="4" borderId="0"/>
    <xf numFmtId="0" fontId="11" fillId="8" borderId="0"/>
    <xf numFmtId="0" fontId="33" fillId="32" borderId="0"/>
    <xf numFmtId="0" fontId="11" fillId="8" borderId="0"/>
    <xf numFmtId="0" fontId="11" fillId="10" borderId="0"/>
    <xf numFmtId="0" fontId="33" fillId="33" borderId="0"/>
    <xf numFmtId="0" fontId="11" fillId="10" borderId="0"/>
    <xf numFmtId="0" fontId="11" fillId="11" borderId="0"/>
    <xf numFmtId="0" fontId="33" fillId="34" borderId="0"/>
    <xf numFmtId="0" fontId="11" fillId="11" borderId="0"/>
    <xf numFmtId="0" fontId="11" fillId="6" borderId="0"/>
    <xf numFmtId="0" fontId="33" fillId="35" borderId="0"/>
    <xf numFmtId="0" fontId="11" fillId="6" borderId="0"/>
    <xf numFmtId="0" fontId="11" fillId="8" borderId="0"/>
    <xf numFmtId="0" fontId="33" fillId="36" borderId="0"/>
    <xf numFmtId="0" fontId="11" fillId="8" borderId="0"/>
    <xf numFmtId="0" fontId="11" fillId="12" borderId="0"/>
    <xf numFmtId="0" fontId="33" fillId="37" borderId="0"/>
    <xf numFmtId="0" fontId="11" fillId="12" borderId="0"/>
    <xf numFmtId="0" fontId="12" fillId="13" borderId="0"/>
    <xf numFmtId="0" fontId="34" fillId="38" borderId="0"/>
    <xf numFmtId="0" fontId="12" fillId="13" borderId="0"/>
    <xf numFmtId="0" fontId="12" fillId="10" borderId="0"/>
    <xf numFmtId="0" fontId="34" fillId="39" borderId="0"/>
    <xf numFmtId="0" fontId="12" fillId="10" borderId="0"/>
    <xf numFmtId="0" fontId="12" fillId="11" borderId="0"/>
    <xf numFmtId="0" fontId="34" fillId="40" borderId="0"/>
    <xf numFmtId="0" fontId="12" fillId="11" borderId="0"/>
    <xf numFmtId="0" fontId="12" fillId="16" borderId="0"/>
    <xf numFmtId="0" fontId="34" fillId="41" borderId="0"/>
    <xf numFmtId="0" fontId="12" fillId="16" borderId="0"/>
    <xf numFmtId="0" fontId="12" fillId="14" borderId="0"/>
    <xf numFmtId="0" fontId="34" fillId="42" borderId="0"/>
    <xf numFmtId="0" fontId="12" fillId="14" borderId="0"/>
    <xf numFmtId="0" fontId="12" fillId="17" borderId="0"/>
    <xf numFmtId="0" fontId="34" fillId="43" borderId="0"/>
    <xf numFmtId="0" fontId="12" fillId="17" borderId="0"/>
    <xf numFmtId="0" fontId="12" fillId="15" borderId="0"/>
    <xf numFmtId="0" fontId="34" fillId="44" borderId="0"/>
    <xf numFmtId="0" fontId="12" fillId="15" borderId="0"/>
    <xf numFmtId="0" fontId="12" fillId="18" borderId="0"/>
    <xf numFmtId="0" fontId="34" fillId="45" borderId="0"/>
    <xf numFmtId="0" fontId="12" fillId="18" borderId="0"/>
    <xf numFmtId="0" fontId="12" fillId="19" borderId="0"/>
    <xf numFmtId="0" fontId="34" fillId="46" borderId="0"/>
    <xf numFmtId="0" fontId="12" fillId="19" borderId="0"/>
    <xf numFmtId="0" fontId="12" fillId="16" borderId="0"/>
    <xf numFmtId="0" fontId="34" fillId="47" borderId="0"/>
    <xf numFmtId="0" fontId="12" fillId="16" borderId="0"/>
    <xf numFmtId="0" fontId="12" fillId="14" borderId="0"/>
    <xf numFmtId="0" fontId="34" fillId="48" borderId="0"/>
    <xf numFmtId="0" fontId="12" fillId="14" borderId="0"/>
    <xf numFmtId="0" fontId="12" fillId="20" borderId="0"/>
    <xf numFmtId="0" fontId="34" fillId="49" borderId="0"/>
    <xf numFmtId="0" fontId="12" fillId="20" borderId="0"/>
    <xf numFmtId="0" fontId="13" fillId="3" borderId="0"/>
    <xf numFmtId="0" fontId="35" fillId="50" borderId="0"/>
    <xf numFmtId="0" fontId="13" fillId="3" borderId="0"/>
    <xf numFmtId="0" fontId="14" fillId="9" borderId="1"/>
    <xf numFmtId="0" fontId="36" fillId="51" borderId="17"/>
    <xf numFmtId="0" fontId="14" fillId="9" borderId="1"/>
    <xf numFmtId="0" fontId="15" fillId="21" borderId="2"/>
    <xf numFmtId="0" fontId="37" fillId="52" borderId="18"/>
    <xf numFmtId="0" fontId="15" fillId="21" borderId="2"/>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4" fontId="90" fillId="0" borderId="0"/>
    <xf numFmtId="44" fontId="90" fillId="0" borderId="0"/>
    <xf numFmtId="44" fontId="90" fillId="0" borderId="0"/>
    <xf numFmtId="44" fontId="90" fillId="0" borderId="0"/>
    <xf numFmtId="44" fontId="90" fillId="0" borderId="0"/>
    <xf numFmtId="44" fontId="90" fillId="0" borderId="0"/>
    <xf numFmtId="44" fontId="90" fillId="0" borderId="0"/>
    <xf numFmtId="0" fontId="16" fillId="0" borderId="0"/>
    <xf numFmtId="0" fontId="38" fillId="0" borderId="0"/>
    <xf numFmtId="0" fontId="16" fillId="0" borderId="0"/>
    <xf numFmtId="0" fontId="17" fillId="5" borderId="0"/>
    <xf numFmtId="0" fontId="39" fillId="53" borderId="0"/>
    <xf numFmtId="0" fontId="17" fillId="5" borderId="0"/>
    <xf numFmtId="0" fontId="18" fillId="0" borderId="3"/>
    <xf numFmtId="0" fontId="40" fillId="0" borderId="19"/>
    <xf numFmtId="0" fontId="18" fillId="0" borderId="3"/>
    <xf numFmtId="0" fontId="19" fillId="0" borderId="4"/>
    <xf numFmtId="0" fontId="41" fillId="0" borderId="20"/>
    <xf numFmtId="0" fontId="19" fillId="0" borderId="4"/>
    <xf numFmtId="0" fontId="20" fillId="0" borderId="5"/>
    <xf numFmtId="0" fontId="42" fillId="0" borderId="21"/>
    <xf numFmtId="0" fontId="20" fillId="0" borderId="5"/>
    <xf numFmtId="0" fontId="20" fillId="0" borderId="0"/>
    <xf numFmtId="0" fontId="42" fillId="0" borderId="0"/>
    <xf numFmtId="0" fontId="20" fillId="0" borderId="0"/>
    <xf numFmtId="0" fontId="8" fillId="0" borderId="0">
      <alignment vertical="top"/>
      <protection locked="0"/>
    </xf>
    <xf numFmtId="0" fontId="21" fillId="4" borderId="1"/>
    <xf numFmtId="0" fontId="43" fillId="54" borderId="17"/>
    <xf numFmtId="0" fontId="21" fillId="4" borderId="1"/>
    <xf numFmtId="0" fontId="22" fillId="0" borderId="6"/>
    <xf numFmtId="0" fontId="44" fillId="0" borderId="22"/>
    <xf numFmtId="0" fontId="22" fillId="0" borderId="6"/>
    <xf numFmtId="0" fontId="23" fillId="22" borderId="0"/>
    <xf numFmtId="0" fontId="45" fillId="55" borderId="0"/>
    <xf numFmtId="0" fontId="23" fillId="22" borderId="0"/>
    <xf numFmtId="0" fontId="90" fillId="0" borderId="0"/>
    <xf numFmtId="0" fontId="90" fillId="0" borderId="0"/>
    <xf numFmtId="0" fontId="90" fillId="0" borderId="0"/>
    <xf numFmtId="0" fontId="90" fillId="0" borderId="0"/>
    <xf numFmtId="0" fontId="33" fillId="0" borderId="0"/>
    <xf numFmtId="0" fontId="90" fillId="0" borderId="0"/>
    <xf numFmtId="0" fontId="90" fillId="0" borderId="0"/>
    <xf numFmtId="0" fontId="90" fillId="23" borderId="7"/>
    <xf numFmtId="0" fontId="90" fillId="23" borderId="7"/>
    <xf numFmtId="0" fontId="90" fillId="23" borderId="7"/>
    <xf numFmtId="0" fontId="90" fillId="23" borderId="7"/>
    <xf numFmtId="0" fontId="90" fillId="23" borderId="7"/>
    <xf numFmtId="0" fontId="33" fillId="56" borderId="23"/>
    <xf numFmtId="0" fontId="90" fillId="23" borderId="7"/>
    <xf numFmtId="0" fontId="90" fillId="23" borderId="7"/>
    <xf numFmtId="0" fontId="24" fillId="9" borderId="8"/>
    <xf numFmtId="0" fontId="46" fillId="51" borderId="24"/>
    <xf numFmtId="0" fontId="24" fillId="9" borderId="8"/>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0" fontId="25" fillId="0" borderId="0"/>
    <xf numFmtId="0" fontId="47" fillId="0" borderId="0"/>
    <xf numFmtId="0" fontId="25" fillId="0" borderId="0"/>
    <xf numFmtId="0" fontId="26" fillId="0" borderId="9"/>
    <xf numFmtId="0" fontId="48" fillId="0" borderId="25"/>
    <xf numFmtId="0" fontId="26" fillId="0" borderId="9"/>
    <xf numFmtId="0" fontId="27" fillId="0" borderId="0"/>
    <xf numFmtId="0" fontId="49" fillId="0" borderId="0"/>
    <xf numFmtId="0" fontId="27" fillId="0" borderId="0"/>
    <xf numFmtId="0" fontId="90" fillId="0" borderId="0"/>
    <xf numFmtId="0" fontId="11" fillId="2" borderId="0"/>
    <xf numFmtId="0" fontId="11" fillId="3" borderId="0"/>
    <xf numFmtId="0" fontId="11" fillId="5" borderId="0"/>
    <xf numFmtId="0" fontId="11" fillId="6" borderId="0"/>
    <xf numFmtId="0" fontId="11" fillId="7" borderId="0"/>
    <xf numFmtId="0" fontId="11" fillId="4" borderId="0"/>
    <xf numFmtId="0" fontId="11" fillId="8" borderId="0"/>
    <xf numFmtId="0" fontId="11" fillId="10" borderId="0"/>
    <xf numFmtId="0" fontId="11" fillId="11" borderId="0"/>
    <xf numFmtId="0" fontId="11" fillId="6" borderId="0"/>
    <xf numFmtId="0" fontId="11" fillId="8" borderId="0"/>
    <xf numFmtId="0" fontId="11" fillId="12" borderId="0"/>
    <xf numFmtId="0" fontId="12" fillId="13" borderId="0"/>
    <xf numFmtId="0" fontId="12" fillId="10" borderId="0"/>
    <xf numFmtId="0" fontId="12" fillId="11" borderId="0"/>
    <xf numFmtId="0" fontId="12" fillId="16" borderId="0"/>
    <xf numFmtId="0" fontId="12" fillId="14" borderId="0"/>
    <xf numFmtId="0" fontId="12" fillId="17" borderId="0"/>
    <xf numFmtId="0" fontId="12" fillId="15" borderId="0"/>
    <xf numFmtId="0" fontId="12" fillId="18" borderId="0"/>
    <xf numFmtId="0" fontId="12" fillId="19" borderId="0"/>
    <xf numFmtId="0" fontId="12" fillId="16" borderId="0"/>
    <xf numFmtId="0" fontId="12" fillId="14" borderId="0"/>
    <xf numFmtId="0" fontId="12" fillId="20" borderId="0"/>
    <xf numFmtId="0" fontId="13" fillId="3" borderId="0"/>
    <xf numFmtId="0" fontId="14" fillId="9" borderId="1"/>
    <xf numFmtId="0" fontId="15" fillId="21" borderId="2"/>
    <xf numFmtId="43" fontId="90" fillId="0" borderId="0"/>
    <xf numFmtId="44" fontId="90" fillId="0" borderId="0"/>
    <xf numFmtId="0" fontId="16" fillId="0" borderId="0"/>
    <xf numFmtId="0" fontId="17" fillId="5" borderId="0"/>
    <xf numFmtId="0" fontId="18" fillId="0" borderId="3"/>
    <xf numFmtId="0" fontId="19" fillId="0" borderId="4"/>
    <xf numFmtId="0" fontId="20" fillId="0" borderId="5"/>
    <xf numFmtId="0" fontId="20" fillId="0" borderId="0"/>
    <xf numFmtId="0" fontId="21" fillId="4" borderId="1"/>
    <xf numFmtId="0" fontId="22" fillId="0" borderId="6"/>
    <xf numFmtId="0" fontId="23" fillId="22" borderId="0"/>
    <xf numFmtId="0" fontId="90" fillId="23" borderId="7"/>
    <xf numFmtId="0" fontId="24" fillId="9" borderId="8"/>
    <xf numFmtId="9" fontId="90" fillId="0" borderId="0"/>
    <xf numFmtId="0" fontId="25" fillId="0" borderId="0"/>
    <xf numFmtId="0" fontId="26" fillId="0" borderId="9"/>
    <xf numFmtId="0" fontId="27" fillId="0" borderId="0"/>
    <xf numFmtId="0" fontId="33" fillId="0" borderId="0"/>
    <xf numFmtId="0" fontId="33" fillId="56" borderId="23"/>
    <xf numFmtId="0" fontId="33" fillId="26" borderId="0"/>
    <xf numFmtId="0" fontId="33" fillId="32" borderId="0"/>
    <xf numFmtId="0" fontId="33" fillId="27" borderId="0"/>
    <xf numFmtId="0" fontId="33" fillId="33" borderId="0"/>
    <xf numFmtId="0" fontId="33" fillId="28" borderId="0"/>
    <xf numFmtId="0" fontId="33" fillId="34" borderId="0"/>
    <xf numFmtId="0" fontId="33" fillId="29" borderId="0"/>
    <xf numFmtId="0" fontId="33" fillId="35" borderId="0"/>
    <xf numFmtId="0" fontId="33" fillId="30" borderId="0"/>
    <xf numFmtId="0" fontId="33" fillId="36" borderId="0"/>
    <xf numFmtId="0" fontId="33" fillId="31" borderId="0"/>
    <xf numFmtId="0" fontId="33" fillId="37" borderId="0"/>
    <xf numFmtId="0" fontId="33" fillId="26" borderId="0"/>
    <xf numFmtId="0" fontId="33" fillId="26" borderId="0"/>
    <xf numFmtId="0" fontId="11" fillId="2" borderId="0"/>
    <xf numFmtId="0" fontId="33" fillId="26" borderId="0"/>
    <xf numFmtId="0" fontId="11" fillId="2" borderId="0"/>
    <xf numFmtId="0" fontId="33" fillId="27" borderId="0"/>
    <xf numFmtId="0" fontId="33" fillId="27" borderId="0"/>
    <xf numFmtId="0" fontId="11" fillId="3" borderId="0"/>
    <xf numFmtId="0" fontId="33" fillId="27" borderId="0"/>
    <xf numFmtId="0" fontId="11" fillId="3" borderId="0"/>
    <xf numFmtId="0" fontId="33" fillId="28" borderId="0"/>
    <xf numFmtId="0" fontId="33" fillId="28" borderId="0"/>
    <xf numFmtId="0" fontId="11" fillId="5" borderId="0"/>
    <xf numFmtId="0" fontId="33" fillId="28" borderId="0"/>
    <xf numFmtId="0" fontId="11" fillId="5" borderId="0"/>
    <xf numFmtId="0" fontId="33" fillId="29" borderId="0"/>
    <xf numFmtId="0" fontId="33" fillId="29" borderId="0"/>
    <xf numFmtId="0" fontId="11" fillId="6" borderId="0"/>
    <xf numFmtId="0" fontId="33" fillId="29" borderId="0"/>
    <xf numFmtId="0" fontId="11" fillId="6" borderId="0"/>
    <xf numFmtId="0" fontId="33" fillId="30" borderId="0"/>
    <xf numFmtId="0" fontId="33" fillId="30" borderId="0"/>
    <xf numFmtId="0" fontId="11" fillId="7" borderId="0"/>
    <xf numFmtId="0" fontId="33" fillId="30" borderId="0"/>
    <xf numFmtId="0" fontId="11" fillId="7" borderId="0"/>
    <xf numFmtId="0" fontId="33" fillId="31" borderId="0"/>
    <xf numFmtId="0" fontId="33" fillId="31" borderId="0"/>
    <xf numFmtId="0" fontId="11" fillId="4" borderId="0"/>
    <xf numFmtId="0" fontId="33" fillId="31" borderId="0"/>
    <xf numFmtId="0" fontId="11" fillId="4" borderId="0"/>
    <xf numFmtId="0" fontId="33" fillId="32" borderId="0"/>
    <xf numFmtId="0" fontId="33" fillId="32" borderId="0"/>
    <xf numFmtId="0" fontId="11" fillId="8" borderId="0"/>
    <xf numFmtId="0" fontId="33" fillId="32" borderId="0"/>
    <xf numFmtId="0" fontId="11" fillId="8" borderId="0"/>
    <xf numFmtId="0" fontId="33" fillId="33" borderId="0"/>
    <xf numFmtId="0" fontId="33" fillId="33" borderId="0"/>
    <xf numFmtId="0" fontId="11" fillId="10" borderId="0"/>
    <xf numFmtId="0" fontId="33" fillId="33" borderId="0"/>
    <xf numFmtId="0" fontId="11" fillId="10" borderId="0"/>
    <xf numFmtId="0" fontId="33" fillId="34" borderId="0"/>
    <xf numFmtId="0" fontId="33" fillId="34" borderId="0"/>
    <xf numFmtId="0" fontId="11" fillId="11" borderId="0"/>
    <xf numFmtId="0" fontId="33" fillId="34" borderId="0"/>
    <xf numFmtId="0" fontId="11" fillId="11" borderId="0"/>
    <xf numFmtId="0" fontId="33" fillId="35" borderId="0"/>
    <xf numFmtId="0" fontId="33" fillId="35" borderId="0"/>
    <xf numFmtId="0" fontId="11" fillId="6" borderId="0"/>
    <xf numFmtId="0" fontId="33" fillId="35" borderId="0"/>
    <xf numFmtId="0" fontId="11" fillId="6" borderId="0"/>
    <xf numFmtId="0" fontId="33" fillId="36" borderId="0"/>
    <xf numFmtId="0" fontId="33" fillId="36" borderId="0"/>
    <xf numFmtId="0" fontId="11" fillId="8" borderId="0"/>
    <xf numFmtId="0" fontId="33" fillId="36" borderId="0"/>
    <xf numFmtId="0" fontId="11" fillId="8" borderId="0"/>
    <xf numFmtId="0" fontId="33" fillId="37" borderId="0"/>
    <xf numFmtId="0" fontId="33" fillId="37" borderId="0"/>
    <xf numFmtId="0" fontId="11" fillId="12" borderId="0"/>
    <xf numFmtId="0" fontId="33" fillId="37" borderId="0"/>
    <xf numFmtId="0" fontId="11" fillId="12" borderId="0"/>
    <xf numFmtId="0" fontId="12" fillId="13" borderId="0"/>
    <xf numFmtId="0" fontId="12" fillId="13" borderId="0"/>
    <xf numFmtId="0" fontId="12" fillId="10" borderId="0"/>
    <xf numFmtId="0" fontId="12" fillId="10" borderId="0"/>
    <xf numFmtId="0" fontId="12" fillId="11" borderId="0"/>
    <xf numFmtId="0" fontId="12" fillId="11" borderId="0"/>
    <xf numFmtId="0" fontId="12" fillId="16" borderId="0"/>
    <xf numFmtId="0" fontId="12" fillId="16" borderId="0"/>
    <xf numFmtId="0" fontId="12" fillId="14" borderId="0"/>
    <xf numFmtId="0" fontId="12" fillId="14" borderId="0"/>
    <xf numFmtId="0" fontId="12" fillId="17" borderId="0"/>
    <xf numFmtId="0" fontId="12" fillId="17" borderId="0"/>
    <xf numFmtId="0" fontId="12" fillId="15" borderId="0"/>
    <xf numFmtId="0" fontId="12" fillId="15" borderId="0"/>
    <xf numFmtId="0" fontId="12" fillId="18" borderId="0"/>
    <xf numFmtId="0" fontId="12" fillId="18" borderId="0"/>
    <xf numFmtId="0" fontId="12" fillId="19" borderId="0"/>
    <xf numFmtId="0" fontId="12" fillId="19" borderId="0"/>
    <xf numFmtId="0" fontId="12" fillId="16" borderId="0"/>
    <xf numFmtId="0" fontId="12" fillId="16" borderId="0"/>
    <xf numFmtId="0" fontId="12" fillId="14" borderId="0"/>
    <xf numFmtId="0" fontId="12" fillId="14" borderId="0"/>
    <xf numFmtId="0" fontId="12" fillId="20" borderId="0"/>
    <xf numFmtId="0" fontId="12" fillId="20" borderId="0"/>
    <xf numFmtId="0" fontId="13" fillId="3" borderId="0"/>
    <xf numFmtId="0" fontId="13" fillId="3" borderId="0"/>
    <xf numFmtId="0" fontId="14" fillId="9" borderId="1"/>
    <xf numFmtId="0" fontId="14" fillId="9" borderId="1"/>
    <xf numFmtId="0" fontId="15" fillId="21" borderId="2"/>
    <xf numFmtId="0" fontId="15" fillId="21" borderId="2"/>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4" fontId="90" fillId="0" borderId="0"/>
    <xf numFmtId="44" fontId="90" fillId="0" borderId="0"/>
    <xf numFmtId="44" fontId="90" fillId="0" borderId="0"/>
    <xf numFmtId="44" fontId="90" fillId="0" borderId="0"/>
    <xf numFmtId="44" fontId="90" fillId="0" borderId="0"/>
    <xf numFmtId="44" fontId="90" fillId="0" borderId="0"/>
    <xf numFmtId="44" fontId="90" fillId="0" borderId="0"/>
    <xf numFmtId="44" fontId="90" fillId="0" borderId="0"/>
    <xf numFmtId="0" fontId="16" fillId="0" borderId="0"/>
    <xf numFmtId="0" fontId="16" fillId="0" borderId="0"/>
    <xf numFmtId="0" fontId="17" fillId="5" borderId="0"/>
    <xf numFmtId="0" fontId="17" fillId="5" borderId="0"/>
    <xf numFmtId="0" fontId="18" fillId="0" borderId="3"/>
    <xf numFmtId="0" fontId="18" fillId="0" borderId="3"/>
    <xf numFmtId="0" fontId="19" fillId="0" borderId="4"/>
    <xf numFmtId="0" fontId="19" fillId="0" borderId="4"/>
    <xf numFmtId="0" fontId="20" fillId="0" borderId="5"/>
    <xf numFmtId="0" fontId="20" fillId="0" borderId="5"/>
    <xf numFmtId="0" fontId="20" fillId="0" borderId="0"/>
    <xf numFmtId="0" fontId="20" fillId="0" borderId="0"/>
    <xf numFmtId="0" fontId="21" fillId="4" borderId="1"/>
    <xf numFmtId="0" fontId="21" fillId="4" borderId="1"/>
    <xf numFmtId="0" fontId="22" fillId="0" borderId="6"/>
    <xf numFmtId="0" fontId="22" fillId="0" borderId="6"/>
    <xf numFmtId="0" fontId="23" fillId="22" borderId="0"/>
    <xf numFmtId="0" fontId="23" fillId="22" borderId="0"/>
    <xf numFmtId="0" fontId="90" fillId="0" borderId="0"/>
    <xf numFmtId="0" fontId="90" fillId="0" borderId="0"/>
    <xf numFmtId="0" fontId="90" fillId="0" borderId="0"/>
    <xf numFmtId="0" fontId="90" fillId="0" borderId="0"/>
    <xf numFmtId="0" fontId="90" fillId="0" borderId="0"/>
    <xf numFmtId="0" fontId="33" fillId="0" borderId="0"/>
    <xf numFmtId="0" fontId="90" fillId="0" borderId="0"/>
    <xf numFmtId="0" fontId="90" fillId="0" borderId="0"/>
    <xf numFmtId="0" fontId="90" fillId="0" borderId="0"/>
    <xf numFmtId="0" fontId="33" fillId="0" borderId="0"/>
    <xf numFmtId="0" fontId="90" fillId="0" borderId="0"/>
    <xf numFmtId="0" fontId="90" fillId="0" borderId="0"/>
    <xf numFmtId="0" fontId="33" fillId="0" borderId="0"/>
    <xf numFmtId="0" fontId="90" fillId="23" borderId="7"/>
    <xf numFmtId="0" fontId="90" fillId="23" borderId="7"/>
    <xf numFmtId="0" fontId="90" fillId="23" borderId="7"/>
    <xf numFmtId="0" fontId="90" fillId="23" borderId="7"/>
    <xf numFmtId="0" fontId="90" fillId="23" borderId="7"/>
    <xf numFmtId="0" fontId="90" fillId="23" borderId="7"/>
    <xf numFmtId="0" fontId="33" fillId="56" borderId="23"/>
    <xf numFmtId="0" fontId="90" fillId="23" borderId="7"/>
    <xf numFmtId="0" fontId="90" fillId="23" borderId="7"/>
    <xf numFmtId="0" fontId="90" fillId="23" borderId="7"/>
    <xf numFmtId="0" fontId="33" fillId="56" borderId="23"/>
    <xf numFmtId="0" fontId="90" fillId="23" borderId="7"/>
    <xf numFmtId="0" fontId="33" fillId="56" borderId="23"/>
    <xf numFmtId="0" fontId="24" fillId="9" borderId="8"/>
    <xf numFmtId="0" fontId="24" fillId="9" borderId="8"/>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0" fontId="25" fillId="0" borderId="0"/>
    <xf numFmtId="0" fontId="25" fillId="0" borderId="0"/>
    <xf numFmtId="0" fontId="26" fillId="0" borderId="9"/>
    <xf numFmtId="0" fontId="26" fillId="0" borderId="9"/>
    <xf numFmtId="0" fontId="27" fillId="0" borderId="0"/>
    <xf numFmtId="0" fontId="27" fillId="0" borderId="0"/>
    <xf numFmtId="0" fontId="3" fillId="0" borderId="0"/>
    <xf numFmtId="0" fontId="90" fillId="0" borderId="0"/>
    <xf numFmtId="0" fontId="11" fillId="2" borderId="0"/>
    <xf numFmtId="0" fontId="11" fillId="3" borderId="0"/>
    <xf numFmtId="0" fontId="11" fillId="5" borderId="0"/>
    <xf numFmtId="0" fontId="11" fillId="6" borderId="0"/>
    <xf numFmtId="0" fontId="11" fillId="7" borderId="0"/>
    <xf numFmtId="0" fontId="11" fillId="4" borderId="0"/>
    <xf numFmtId="0" fontId="11" fillId="8" borderId="0"/>
    <xf numFmtId="0" fontId="11" fillId="10" borderId="0"/>
    <xf numFmtId="0" fontId="11" fillId="11" borderId="0"/>
    <xf numFmtId="0" fontId="11" fillId="6" borderId="0"/>
    <xf numFmtId="0" fontId="11" fillId="8" borderId="0"/>
    <xf numFmtId="0" fontId="11" fillId="12" borderId="0"/>
    <xf numFmtId="0" fontId="12" fillId="13" borderId="0"/>
    <xf numFmtId="0" fontId="12" fillId="10" borderId="0"/>
    <xf numFmtId="0" fontId="12" fillId="11" borderId="0"/>
    <xf numFmtId="0" fontId="12" fillId="16" borderId="0"/>
    <xf numFmtId="0" fontId="12" fillId="14" borderId="0"/>
    <xf numFmtId="0" fontId="12" fillId="17" borderId="0"/>
    <xf numFmtId="0" fontId="12" fillId="15" borderId="0"/>
    <xf numFmtId="0" fontId="12" fillId="18" borderId="0"/>
    <xf numFmtId="0" fontId="12" fillId="19" borderId="0"/>
    <xf numFmtId="0" fontId="12" fillId="16" borderId="0"/>
    <xf numFmtId="0" fontId="12" fillId="14" borderId="0"/>
    <xf numFmtId="0" fontId="12" fillId="20" borderId="0"/>
    <xf numFmtId="0" fontId="13" fillId="3" borderId="0"/>
    <xf numFmtId="0" fontId="14" fillId="9" borderId="1"/>
    <xf numFmtId="0" fontId="15" fillId="21" borderId="2"/>
    <xf numFmtId="43" fontId="90" fillId="0" borderId="0"/>
    <xf numFmtId="0" fontId="16" fillId="0" borderId="0"/>
    <xf numFmtId="0" fontId="17" fillId="5" borderId="0"/>
    <xf numFmtId="0" fontId="18" fillId="0" borderId="3"/>
    <xf numFmtId="0" fontId="19" fillId="0" borderId="4"/>
    <xf numFmtId="0" fontId="20" fillId="0" borderId="5"/>
    <xf numFmtId="0" fontId="20" fillId="0" borderId="0"/>
    <xf numFmtId="0" fontId="21" fillId="4" borderId="1"/>
    <xf numFmtId="0" fontId="22" fillId="0" borderId="6"/>
    <xf numFmtId="0" fontId="23" fillId="22" borderId="0"/>
    <xf numFmtId="0" fontId="90" fillId="23" borderId="7"/>
    <xf numFmtId="0" fontId="24" fillId="9" borderId="8"/>
    <xf numFmtId="9" fontId="90" fillId="0" borderId="0"/>
    <xf numFmtId="0" fontId="25" fillId="0" borderId="0"/>
    <xf numFmtId="0" fontId="26" fillId="0" borderId="9"/>
    <xf numFmtId="0" fontId="27" fillId="0" borderId="0"/>
    <xf numFmtId="0" fontId="3" fillId="0" borderId="0"/>
    <xf numFmtId="0" fontId="90" fillId="0" borderId="0"/>
    <xf numFmtId="0" fontId="11" fillId="2" borderId="0"/>
    <xf numFmtId="0" fontId="11" fillId="3" borderId="0"/>
    <xf numFmtId="0" fontId="11" fillId="5" borderId="0"/>
    <xf numFmtId="0" fontId="11" fillId="6" borderId="0"/>
    <xf numFmtId="0" fontId="11" fillId="7" borderId="0"/>
    <xf numFmtId="0" fontId="11" fillId="4" borderId="0"/>
    <xf numFmtId="0" fontId="11" fillId="8" borderId="0"/>
    <xf numFmtId="0" fontId="11" fillId="6" borderId="0"/>
    <xf numFmtId="0" fontId="11" fillId="10" borderId="0"/>
    <xf numFmtId="0" fontId="11" fillId="11" borderId="0"/>
    <xf numFmtId="0" fontId="11" fillId="6" borderId="0"/>
    <xf numFmtId="0" fontId="11" fillId="8" borderId="0"/>
    <xf numFmtId="0" fontId="11" fillId="12" borderId="0"/>
    <xf numFmtId="0" fontId="12" fillId="13" borderId="0"/>
    <xf numFmtId="0" fontId="12" fillId="10" borderId="0"/>
    <xf numFmtId="0" fontId="12" fillId="16" borderId="0"/>
    <xf numFmtId="0" fontId="12" fillId="11" borderId="0"/>
    <xf numFmtId="0" fontId="11" fillId="11" borderId="0"/>
    <xf numFmtId="0" fontId="11" fillId="5" borderId="0"/>
    <xf numFmtId="0" fontId="12" fillId="16" borderId="0"/>
    <xf numFmtId="0" fontId="12" fillId="14" borderId="0"/>
    <xf numFmtId="0" fontId="12" fillId="17" borderId="0"/>
    <xf numFmtId="0" fontId="12" fillId="11" borderId="0"/>
    <xf numFmtId="0" fontId="12" fillId="15" borderId="0"/>
    <xf numFmtId="0" fontId="12" fillId="18" borderId="0"/>
    <xf numFmtId="0" fontId="12" fillId="19" borderId="0"/>
    <xf numFmtId="0" fontId="12" fillId="16" borderId="0"/>
    <xf numFmtId="0" fontId="12" fillId="20" borderId="0"/>
    <xf numFmtId="0" fontId="12" fillId="17" borderId="0"/>
    <xf numFmtId="0" fontId="12" fillId="14" borderId="0"/>
    <xf numFmtId="0" fontId="12" fillId="20" borderId="0"/>
    <xf numFmtId="0" fontId="13" fillId="3" borderId="0"/>
    <xf numFmtId="0" fontId="15" fillId="21" borderId="2"/>
    <xf numFmtId="0" fontId="14" fillId="9" borderId="1"/>
    <xf numFmtId="0" fontId="15" fillId="21" borderId="2"/>
    <xf numFmtId="0" fontId="14" fillId="9" borderId="1"/>
    <xf numFmtId="43" fontId="90" fillId="0" borderId="0"/>
    <xf numFmtId="0" fontId="16" fillId="0" borderId="0"/>
    <xf numFmtId="0" fontId="17" fillId="5" borderId="0"/>
    <xf numFmtId="0" fontId="18" fillId="0" borderId="3"/>
    <xf numFmtId="0" fontId="23" fillId="22" borderId="0"/>
    <xf numFmtId="0" fontId="19" fillId="0" borderId="4"/>
    <xf numFmtId="43" fontId="90" fillId="0" borderId="0"/>
    <xf numFmtId="0" fontId="16" fillId="0" borderId="0"/>
    <xf numFmtId="0" fontId="20" fillId="0" borderId="5"/>
    <xf numFmtId="0" fontId="12" fillId="14" borderId="0"/>
    <xf numFmtId="0" fontId="12" fillId="16" borderId="0"/>
    <xf numFmtId="0" fontId="20" fillId="0" borderId="0"/>
    <xf numFmtId="0" fontId="21" fillId="4" borderId="1"/>
    <xf numFmtId="0" fontId="22" fillId="0" borderId="6"/>
    <xf numFmtId="0" fontId="23" fillId="22" borderId="0"/>
    <xf numFmtId="0" fontId="90" fillId="23" borderId="7"/>
    <xf numFmtId="0" fontId="24" fillId="9" borderId="8"/>
    <xf numFmtId="9" fontId="90" fillId="0" borderId="0"/>
    <xf numFmtId="9" fontId="90" fillId="0" borderId="0"/>
    <xf numFmtId="0" fontId="20" fillId="0" borderId="0"/>
    <xf numFmtId="0" fontId="12" fillId="18" borderId="0"/>
    <xf numFmtId="0" fontId="25" fillId="0" borderId="0"/>
    <xf numFmtId="0" fontId="11" fillId="8" borderId="0"/>
    <xf numFmtId="0" fontId="11" fillId="7" borderId="0"/>
    <xf numFmtId="0" fontId="26" fillId="0" borderId="9"/>
    <xf numFmtId="0" fontId="27" fillId="0" borderId="0"/>
    <xf numFmtId="0" fontId="12" fillId="13" borderId="0"/>
    <xf numFmtId="0" fontId="11" fillId="3" borderId="0"/>
    <xf numFmtId="0" fontId="11" fillId="4" borderId="0"/>
    <xf numFmtId="0" fontId="12" fillId="10" borderId="0"/>
    <xf numFmtId="0" fontId="27" fillId="0" borderId="0"/>
    <xf numFmtId="0" fontId="17" fillId="5" borderId="0"/>
    <xf numFmtId="0" fontId="12" fillId="19" borderId="0"/>
    <xf numFmtId="0" fontId="11" fillId="6" borderId="0"/>
    <xf numFmtId="0" fontId="11" fillId="2" borderId="0"/>
    <xf numFmtId="0" fontId="26" fillId="0" borderId="9"/>
    <xf numFmtId="0" fontId="21" fillId="4" borderId="1"/>
    <xf numFmtId="0" fontId="18" fillId="0" borderId="3"/>
    <xf numFmtId="0" fontId="11" fillId="10" borderId="0"/>
    <xf numFmtId="0" fontId="20" fillId="0" borderId="5"/>
    <xf numFmtId="0" fontId="11" fillId="8" borderId="0"/>
    <xf numFmtId="0" fontId="22" fillId="0" borderId="6"/>
    <xf numFmtId="0" fontId="19" fillId="0" borderId="4"/>
    <xf numFmtId="0" fontId="11" fillId="12" borderId="0"/>
    <xf numFmtId="0" fontId="3" fillId="0" borderId="0"/>
    <xf numFmtId="0" fontId="90" fillId="0" borderId="0"/>
    <xf numFmtId="0" fontId="25" fillId="0" borderId="0"/>
    <xf numFmtId="0" fontId="90" fillId="23" borderId="7"/>
    <xf numFmtId="0" fontId="90" fillId="0" borderId="0"/>
    <xf numFmtId="0" fontId="12" fillId="14" borderId="0"/>
    <xf numFmtId="0" fontId="24" fillId="9" borderId="8"/>
    <xf numFmtId="0" fontId="12" fillId="15" borderId="0"/>
    <xf numFmtId="0" fontId="13" fillId="3" borderId="0"/>
    <xf numFmtId="0" fontId="33" fillId="0" borderId="0"/>
    <xf numFmtId="0" fontId="90" fillId="0" borderId="0"/>
    <xf numFmtId="0" fontId="11" fillId="2" borderId="0"/>
    <xf numFmtId="0" fontId="33" fillId="26" borderId="0"/>
    <xf numFmtId="0" fontId="11" fillId="3" borderId="0"/>
    <xf numFmtId="0" fontId="33" fillId="27" borderId="0"/>
    <xf numFmtId="0" fontId="11" fillId="5" borderId="0"/>
    <xf numFmtId="0" fontId="33" fillId="28" borderId="0"/>
    <xf numFmtId="0" fontId="11" fillId="6" borderId="0"/>
    <xf numFmtId="0" fontId="33" fillId="29" borderId="0"/>
    <xf numFmtId="0" fontId="11" fillId="7" borderId="0"/>
    <xf numFmtId="0" fontId="33" fillId="30" borderId="0"/>
    <xf numFmtId="0" fontId="11" fillId="4" borderId="0"/>
    <xf numFmtId="0" fontId="33" fillId="31" borderId="0"/>
    <xf numFmtId="0" fontId="11" fillId="8" borderId="0"/>
    <xf numFmtId="0" fontId="33" fillId="32" borderId="0"/>
    <xf numFmtId="0" fontId="11" fillId="10" borderId="0"/>
    <xf numFmtId="0" fontId="33" fillId="33" borderId="0"/>
    <xf numFmtId="0" fontId="11" fillId="11" borderId="0"/>
    <xf numFmtId="0" fontId="33" fillId="34" borderId="0"/>
    <xf numFmtId="0" fontId="11" fillId="6" borderId="0"/>
    <xf numFmtId="0" fontId="33" fillId="35" borderId="0"/>
    <xf numFmtId="0" fontId="11" fillId="8" borderId="0"/>
    <xf numFmtId="0" fontId="33" fillId="36" borderId="0"/>
    <xf numFmtId="0" fontId="11" fillId="12" borderId="0"/>
    <xf numFmtId="0" fontId="33" fillId="37" borderId="0"/>
    <xf numFmtId="0" fontId="12" fillId="13" borderId="0"/>
    <xf numFmtId="0" fontId="12" fillId="10" borderId="0"/>
    <xf numFmtId="0" fontId="12" fillId="11" borderId="0"/>
    <xf numFmtId="0" fontId="12" fillId="16" borderId="0"/>
    <xf numFmtId="0" fontId="12" fillId="14" borderId="0"/>
    <xf numFmtId="0" fontId="12" fillId="17" borderId="0"/>
    <xf numFmtId="0" fontId="12" fillId="15" borderId="0"/>
    <xf numFmtId="0" fontId="12" fillId="18" borderId="0"/>
    <xf numFmtId="0" fontId="12" fillId="19" borderId="0"/>
    <xf numFmtId="0" fontId="12" fillId="16" borderId="0"/>
    <xf numFmtId="0" fontId="12" fillId="14" borderId="0"/>
    <xf numFmtId="0" fontId="12" fillId="20" borderId="0"/>
    <xf numFmtId="0" fontId="13" fillId="3" borderId="0"/>
    <xf numFmtId="0" fontId="14" fillId="9" borderId="1"/>
    <xf numFmtId="0" fontId="15" fillId="21" borderId="2"/>
    <xf numFmtId="43" fontId="90" fillId="0" borderId="0"/>
    <xf numFmtId="0" fontId="16" fillId="0" borderId="0"/>
    <xf numFmtId="0" fontId="17" fillId="5" borderId="0"/>
    <xf numFmtId="0" fontId="18" fillId="0" borderId="3"/>
    <xf numFmtId="0" fontId="19" fillId="0" borderId="4"/>
    <xf numFmtId="0" fontId="20" fillId="0" borderId="5"/>
    <xf numFmtId="0" fontId="20" fillId="0" borderId="0"/>
    <xf numFmtId="0" fontId="21" fillId="4" borderId="1"/>
    <xf numFmtId="0" fontId="22" fillId="0" borderId="6"/>
    <xf numFmtId="0" fontId="23" fillId="22" borderId="0"/>
    <xf numFmtId="0" fontId="33" fillId="0" borderId="0"/>
    <xf numFmtId="0" fontId="90" fillId="23" borderId="7"/>
    <xf numFmtId="0" fontId="33" fillId="56" borderId="23"/>
    <xf numFmtId="0" fontId="24" fillId="9" borderId="8"/>
    <xf numFmtId="9" fontId="90" fillId="0" borderId="0"/>
    <xf numFmtId="0" fontId="25" fillId="0" borderId="0"/>
    <xf numFmtId="0" fontId="26" fillId="0" borderId="9"/>
    <xf numFmtId="0" fontId="27" fillId="0" borderId="0"/>
    <xf numFmtId="0" fontId="33" fillId="0" borderId="0"/>
    <xf numFmtId="0" fontId="33" fillId="56" borderId="23"/>
    <xf numFmtId="0" fontId="33" fillId="26" borderId="0"/>
    <xf numFmtId="0" fontId="33" fillId="32" borderId="0"/>
    <xf numFmtId="0" fontId="33" fillId="27" borderId="0"/>
    <xf numFmtId="0" fontId="33" fillId="33" borderId="0"/>
    <xf numFmtId="0" fontId="33" fillId="28" borderId="0"/>
    <xf numFmtId="0" fontId="33" fillId="34" borderId="0"/>
    <xf numFmtId="0" fontId="33" fillId="29" borderId="0"/>
    <xf numFmtId="0" fontId="33" fillId="35" borderId="0"/>
    <xf numFmtId="0" fontId="33" fillId="30" borderId="0"/>
    <xf numFmtId="0" fontId="33" fillId="36" borderId="0"/>
    <xf numFmtId="0" fontId="33" fillId="31" borderId="0"/>
    <xf numFmtId="0" fontId="33" fillId="37" borderId="0"/>
    <xf numFmtId="0" fontId="33" fillId="26" borderId="0"/>
    <xf numFmtId="0" fontId="33" fillId="26" borderId="0"/>
    <xf numFmtId="0" fontId="33" fillId="26" borderId="0"/>
    <xf numFmtId="0" fontId="33" fillId="27" borderId="0"/>
    <xf numFmtId="0" fontId="33" fillId="27" borderId="0"/>
    <xf numFmtId="0" fontId="33" fillId="27" borderId="0"/>
    <xf numFmtId="0" fontId="33" fillId="28" borderId="0"/>
    <xf numFmtId="0" fontId="33" fillId="28" borderId="0"/>
    <xf numFmtId="0" fontId="33" fillId="28" borderId="0"/>
    <xf numFmtId="0" fontId="33" fillId="29" borderId="0"/>
    <xf numFmtId="0" fontId="33" fillId="29" borderId="0"/>
    <xf numFmtId="0" fontId="33" fillId="29" borderId="0"/>
    <xf numFmtId="0" fontId="33" fillId="30" borderId="0"/>
    <xf numFmtId="0" fontId="33" fillId="30" borderId="0"/>
    <xf numFmtId="0" fontId="33" fillId="30" borderId="0"/>
    <xf numFmtId="0" fontId="33" fillId="31" borderId="0"/>
    <xf numFmtId="0" fontId="33" fillId="31" borderId="0"/>
    <xf numFmtId="0" fontId="33" fillId="31" borderId="0"/>
    <xf numFmtId="0" fontId="33" fillId="32" borderId="0"/>
    <xf numFmtId="0" fontId="33" fillId="32" borderId="0"/>
    <xf numFmtId="0" fontId="33" fillId="32" borderId="0"/>
    <xf numFmtId="0" fontId="33" fillId="33" borderId="0"/>
    <xf numFmtId="0" fontId="33" fillId="33" borderId="0"/>
    <xf numFmtId="0" fontId="33" fillId="33" borderId="0"/>
    <xf numFmtId="0" fontId="33" fillId="34" borderId="0"/>
    <xf numFmtId="0" fontId="33" fillId="34" borderId="0"/>
    <xf numFmtId="0" fontId="33" fillId="34" borderId="0"/>
    <xf numFmtId="0" fontId="33" fillId="35" borderId="0"/>
    <xf numFmtId="0" fontId="33" fillId="35" borderId="0"/>
    <xf numFmtId="0" fontId="33" fillId="35" borderId="0"/>
    <xf numFmtId="0" fontId="33" fillId="36" borderId="0"/>
    <xf numFmtId="0" fontId="33" fillId="36" borderId="0"/>
    <xf numFmtId="0" fontId="33" fillId="36" borderId="0"/>
    <xf numFmtId="0" fontId="33" fillId="37" borderId="0"/>
    <xf numFmtId="0" fontId="33" fillId="37" borderId="0"/>
    <xf numFmtId="0" fontId="33" fillId="37" borderId="0"/>
    <xf numFmtId="0" fontId="33" fillId="0" borderId="0"/>
    <xf numFmtId="0" fontId="33" fillId="0" borderId="0"/>
    <xf numFmtId="0" fontId="33" fillId="0" borderId="0"/>
    <xf numFmtId="0" fontId="33" fillId="56" borderId="23"/>
    <xf numFmtId="0" fontId="33" fillId="56" borderId="23"/>
    <xf numFmtId="0" fontId="33" fillId="56" borderId="23"/>
    <xf numFmtId="0" fontId="90" fillId="0" borderId="0"/>
    <xf numFmtId="0" fontId="90" fillId="0" borderId="0"/>
    <xf numFmtId="0" fontId="3" fillId="0" borderId="0"/>
    <xf numFmtId="0" fontId="90" fillId="0" borderId="0"/>
    <xf numFmtId="0" fontId="11" fillId="2" borderId="0"/>
    <xf numFmtId="0" fontId="11" fillId="3" borderId="0"/>
    <xf numFmtId="0" fontId="11" fillId="5" borderId="0"/>
    <xf numFmtId="0" fontId="11" fillId="6" borderId="0"/>
    <xf numFmtId="0" fontId="11" fillId="7" borderId="0"/>
    <xf numFmtId="0" fontId="11" fillId="4" borderId="0"/>
    <xf numFmtId="0" fontId="11" fillId="8" borderId="0"/>
    <xf numFmtId="0" fontId="11" fillId="10" borderId="0"/>
    <xf numFmtId="0" fontId="11" fillId="11" borderId="0"/>
    <xf numFmtId="0" fontId="11" fillId="6" borderId="0"/>
    <xf numFmtId="0" fontId="11" fillId="8" borderId="0"/>
    <xf numFmtId="0" fontId="11" fillId="12" borderId="0"/>
    <xf numFmtId="0" fontId="12" fillId="13" borderId="0"/>
    <xf numFmtId="0" fontId="12" fillId="10" borderId="0"/>
    <xf numFmtId="0" fontId="12" fillId="11" borderId="0"/>
    <xf numFmtId="0" fontId="12" fillId="16" borderId="0"/>
    <xf numFmtId="0" fontId="12" fillId="14" borderId="0"/>
    <xf numFmtId="0" fontId="12" fillId="17" borderId="0"/>
    <xf numFmtId="0" fontId="12" fillId="15" borderId="0"/>
    <xf numFmtId="0" fontId="12" fillId="18" borderId="0"/>
    <xf numFmtId="0" fontId="12" fillId="19" borderId="0"/>
    <xf numFmtId="0" fontId="12" fillId="16" borderId="0"/>
    <xf numFmtId="0" fontId="12" fillId="14" borderId="0"/>
    <xf numFmtId="0" fontId="12" fillId="20" borderId="0"/>
    <xf numFmtId="0" fontId="13" fillId="3" borderId="0"/>
    <xf numFmtId="0" fontId="14" fillId="9" borderId="1"/>
    <xf numFmtId="0" fontId="15" fillId="21" borderId="2"/>
    <xf numFmtId="43" fontId="90" fillId="0" borderId="0"/>
    <xf numFmtId="0" fontId="16" fillId="0" borderId="0"/>
    <xf numFmtId="0" fontId="17" fillId="5" borderId="0"/>
    <xf numFmtId="0" fontId="18" fillId="0" borderId="3"/>
    <xf numFmtId="0" fontId="19" fillId="0" borderId="4"/>
    <xf numFmtId="0" fontId="20" fillId="0" borderId="5"/>
    <xf numFmtId="0" fontId="20" fillId="0" borderId="0"/>
    <xf numFmtId="0" fontId="21" fillId="4" borderId="1"/>
    <xf numFmtId="0" fontId="22" fillId="0" borderId="6"/>
    <xf numFmtId="0" fontId="23" fillId="22" borderId="0"/>
    <xf numFmtId="0" fontId="90" fillId="23" borderId="7"/>
    <xf numFmtId="0" fontId="24" fillId="9" borderId="8"/>
    <xf numFmtId="9" fontId="90" fillId="0" borderId="0"/>
    <xf numFmtId="0" fontId="25" fillId="0" borderId="0"/>
    <xf numFmtId="0" fontId="26" fillId="0" borderId="9"/>
    <xf numFmtId="0" fontId="27" fillId="0" borderId="0"/>
    <xf numFmtId="0" fontId="3" fillId="0" borderId="0"/>
    <xf numFmtId="0" fontId="3" fillId="0" borderId="0"/>
    <xf numFmtId="0" fontId="3" fillId="0" borderId="0"/>
    <xf numFmtId="0" fontId="3" fillId="0" borderId="0"/>
    <xf numFmtId="0" fontId="90" fillId="0" borderId="0"/>
    <xf numFmtId="0" fontId="11" fillId="2" borderId="0"/>
    <xf numFmtId="0" fontId="11" fillId="3" borderId="0"/>
    <xf numFmtId="0" fontId="11" fillId="5" borderId="0"/>
    <xf numFmtId="0" fontId="11" fillId="6" borderId="0"/>
    <xf numFmtId="0" fontId="11" fillId="7" borderId="0"/>
    <xf numFmtId="0" fontId="11" fillId="4" borderId="0"/>
    <xf numFmtId="0" fontId="11" fillId="8" borderId="0"/>
    <xf numFmtId="0" fontId="11" fillId="10" borderId="0"/>
    <xf numFmtId="0" fontId="11" fillId="11" borderId="0"/>
    <xf numFmtId="0" fontId="11" fillId="6" borderId="0"/>
    <xf numFmtId="0" fontId="11" fillId="8" borderId="0"/>
    <xf numFmtId="0" fontId="11" fillId="12" borderId="0"/>
    <xf numFmtId="0" fontId="12" fillId="13" borderId="0"/>
    <xf numFmtId="0" fontId="12" fillId="10" borderId="0"/>
    <xf numFmtId="0" fontId="12" fillId="11" borderId="0"/>
    <xf numFmtId="0" fontId="12" fillId="16" borderId="0"/>
    <xf numFmtId="0" fontId="12" fillId="14" borderId="0"/>
    <xf numFmtId="0" fontId="12" fillId="17" borderId="0"/>
    <xf numFmtId="0" fontId="12" fillId="15" borderId="0"/>
    <xf numFmtId="0" fontId="12" fillId="18" borderId="0"/>
    <xf numFmtId="0" fontId="12" fillId="19" borderId="0"/>
    <xf numFmtId="0" fontId="12" fillId="16" borderId="0"/>
    <xf numFmtId="0" fontId="12" fillId="14" borderId="0"/>
    <xf numFmtId="0" fontId="12" fillId="20" borderId="0"/>
    <xf numFmtId="0" fontId="13" fillId="3" borderId="0"/>
    <xf numFmtId="0" fontId="14" fillId="9" borderId="1"/>
    <xf numFmtId="0" fontId="15" fillId="21" borderId="2"/>
    <xf numFmtId="43" fontId="90" fillId="0" borderId="0"/>
    <xf numFmtId="0" fontId="16" fillId="0" borderId="0"/>
    <xf numFmtId="0" fontId="17" fillId="5" borderId="0"/>
    <xf numFmtId="0" fontId="18" fillId="0" borderId="3"/>
    <xf numFmtId="0" fontId="19" fillId="0" borderId="4"/>
    <xf numFmtId="0" fontId="20" fillId="0" borderId="5"/>
    <xf numFmtId="0" fontId="20" fillId="0" borderId="0"/>
    <xf numFmtId="0" fontId="21" fillId="4" borderId="1"/>
    <xf numFmtId="0" fontId="22" fillId="0" borderId="6"/>
    <xf numFmtId="0" fontId="23" fillId="22" borderId="0"/>
    <xf numFmtId="0" fontId="90" fillId="23" borderId="7"/>
    <xf numFmtId="0" fontId="24" fillId="9" borderId="8"/>
    <xf numFmtId="9" fontId="90" fillId="0" borderId="0"/>
    <xf numFmtId="0" fontId="25" fillId="0" borderId="0"/>
    <xf numFmtId="0" fontId="26" fillId="0" borderId="9"/>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xf numFmtId="0" fontId="90" fillId="0" borderId="0"/>
    <xf numFmtId="0" fontId="33" fillId="0" borderId="0"/>
    <xf numFmtId="0" fontId="33" fillId="0" borderId="0"/>
    <xf numFmtId="0" fontId="101" fillId="0" borderId="0"/>
    <xf numFmtId="0" fontId="93" fillId="0" borderId="0"/>
    <xf numFmtId="0" fontId="100" fillId="0" borderId="0"/>
    <xf numFmtId="0" fontId="100" fillId="0" borderId="0"/>
    <xf numFmtId="0" fontId="90" fillId="0" borderId="0"/>
    <xf numFmtId="9" fontId="100" fillId="0" borderId="0"/>
    <xf numFmtId="9" fontId="33" fillId="0" borderId="0"/>
    <xf numFmtId="9" fontId="100" fillId="0" borderId="0"/>
    <xf numFmtId="9" fontId="103" fillId="0" borderId="0"/>
    <xf numFmtId="0" fontId="102" fillId="0" borderId="0">
      <alignment vertical="top"/>
      <protection locked="0"/>
    </xf>
    <xf numFmtId="0" fontId="104" fillId="0" borderId="0"/>
    <xf numFmtId="0" fontId="56" fillId="56" borderId="23"/>
    <xf numFmtId="0" fontId="56" fillId="23" borderId="7"/>
    <xf numFmtId="0" fontId="33" fillId="0" borderId="0"/>
    <xf numFmtId="0" fontId="33" fillId="56" borderId="23"/>
    <xf numFmtId="0" fontId="33" fillId="26" borderId="0"/>
    <xf numFmtId="0" fontId="33" fillId="32" borderId="0"/>
    <xf numFmtId="0" fontId="33" fillId="27" borderId="0"/>
    <xf numFmtId="0" fontId="33" fillId="33" borderId="0"/>
    <xf numFmtId="0" fontId="33" fillId="28" borderId="0"/>
    <xf numFmtId="0" fontId="33" fillId="34" borderId="0"/>
    <xf numFmtId="0" fontId="33" fillId="29" borderId="0"/>
    <xf numFmtId="0" fontId="33" fillId="35" borderId="0"/>
    <xf numFmtId="0" fontId="33" fillId="30" borderId="0"/>
    <xf numFmtId="0" fontId="33" fillId="36" borderId="0"/>
    <xf numFmtId="0" fontId="33" fillId="31" borderId="0"/>
    <xf numFmtId="0" fontId="33" fillId="37" borderId="0"/>
    <xf numFmtId="0" fontId="33" fillId="0" borderId="0"/>
    <xf numFmtId="0" fontId="33" fillId="56" borderId="23"/>
    <xf numFmtId="0" fontId="33" fillId="26" borderId="0"/>
    <xf numFmtId="0" fontId="33" fillId="32" borderId="0"/>
    <xf numFmtId="0" fontId="33" fillId="27" borderId="0"/>
    <xf numFmtId="0" fontId="33" fillId="33" borderId="0"/>
    <xf numFmtId="0" fontId="33" fillId="28" borderId="0"/>
    <xf numFmtId="0" fontId="33" fillId="34" borderId="0"/>
    <xf numFmtId="0" fontId="33" fillId="29" borderId="0"/>
    <xf numFmtId="0" fontId="33" fillId="35" borderId="0"/>
    <xf numFmtId="0" fontId="33" fillId="30" borderId="0"/>
    <xf numFmtId="0" fontId="33" fillId="36" borderId="0"/>
    <xf numFmtId="0" fontId="33" fillId="31" borderId="0"/>
    <xf numFmtId="0" fontId="33" fillId="37" borderId="0"/>
    <xf numFmtId="0" fontId="90" fillId="0" borderId="0"/>
  </cellStyleXfs>
  <cellXfs count="504">
    <xf numFmtId="0" fontId="0" fillId="0" borderId="0" xfId="0"/>
    <xf numFmtId="3" fontId="5" fillId="0" borderId="0" xfId="0" applyNumberFormat="1" applyFont="1" applyAlignment="1">
      <alignment horizontal="left" vertical="center"/>
    </xf>
    <xf numFmtId="3" fontId="5" fillId="0" borderId="0" xfId="0" applyNumberFormat="1" applyFont="1" applyAlignment="1">
      <alignment vertical="center"/>
    </xf>
    <xf numFmtId="0" fontId="9" fillId="0" borderId="0" xfId="0" applyFont="1"/>
    <xf numFmtId="0" fontId="0" fillId="24" borderId="0" xfId="0" applyFill="1" applyProtection="1">
      <protection hidden="1"/>
    </xf>
    <xf numFmtId="0" fontId="5" fillId="24" borderId="0" xfId="0" applyFont="1" applyFill="1" applyAlignment="1" applyProtection="1">
      <alignment horizontal="left" wrapText="1"/>
      <protection hidden="1"/>
    </xf>
    <xf numFmtId="0" fontId="0" fillId="24" borderId="0" xfId="0" applyFill="1" applyAlignment="1" applyProtection="1">
      <alignment horizontal="center" vertical="center" wrapText="1"/>
      <protection hidden="1"/>
    </xf>
    <xf numFmtId="0" fontId="4" fillId="24" borderId="0" xfId="0" applyFont="1" applyFill="1" applyAlignment="1" applyProtection="1">
      <alignment wrapText="1"/>
      <protection hidden="1"/>
    </xf>
    <xf numFmtId="0" fontId="8" fillId="24" borderId="0" xfId="115" applyFill="1" applyAlignment="1" applyProtection="1">
      <alignment horizontal="left"/>
      <protection hidden="1"/>
    </xf>
    <xf numFmtId="0" fontId="0" fillId="25" borderId="0" xfId="0" applyFill="1"/>
    <xf numFmtId="0" fontId="5" fillId="0" borderId="0" xfId="0" applyFont="1" applyAlignment="1">
      <alignment horizontal="left" vertical="center"/>
    </xf>
    <xf numFmtId="164" fontId="5" fillId="0" borderId="0" xfId="0" applyNumberFormat="1" applyFont="1" applyAlignment="1">
      <alignment horizontal="left" vertical="center"/>
    </xf>
    <xf numFmtId="0" fontId="33" fillId="0" borderId="0" xfId="129"/>
    <xf numFmtId="0" fontId="4" fillId="0" borderId="0" xfId="0" applyFont="1"/>
    <xf numFmtId="0" fontId="0" fillId="0" borderId="0" xfId="0" applyProtection="1">
      <protection hidden="1"/>
    </xf>
    <xf numFmtId="0" fontId="51" fillId="0" borderId="0" xfId="0" applyFont="1" applyProtection="1">
      <protection hidden="1"/>
    </xf>
    <xf numFmtId="0" fontId="53" fillId="0" borderId="0" xfId="0" applyFont="1" applyProtection="1">
      <protection hidden="1"/>
    </xf>
    <xf numFmtId="0" fontId="4" fillId="0" borderId="0" xfId="0" applyFont="1" applyAlignment="1" applyProtection="1">
      <alignment wrapText="1"/>
      <protection hidden="1"/>
    </xf>
    <xf numFmtId="0" fontId="9"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32" fillId="0" borderId="0" xfId="0" applyFont="1" applyProtection="1">
      <protection hidden="1"/>
    </xf>
    <xf numFmtId="1" fontId="4" fillId="0" borderId="0" xfId="82" applyNumberFormat="1" applyFont="1" applyAlignment="1" applyProtection="1">
      <alignment horizontal="center" vertical="center"/>
      <protection hidden="1"/>
    </xf>
    <xf numFmtId="0" fontId="5" fillId="0" borderId="0" xfId="0" applyFont="1" applyAlignment="1" applyProtection="1">
      <alignment vertical="center"/>
      <protection hidden="1"/>
    </xf>
    <xf numFmtId="0" fontId="6" fillId="0" borderId="0" xfId="0" applyFont="1" applyProtection="1">
      <protection hidden="1"/>
    </xf>
    <xf numFmtId="0" fontId="29" fillId="0" borderId="0" xfId="0" applyFont="1" applyAlignment="1" applyProtection="1">
      <alignment horizontal="left" vertical="center" wrapText="1" indent="1"/>
      <protection hidden="1"/>
    </xf>
    <xf numFmtId="0" fontId="9" fillId="0" borderId="0" xfId="0" applyFont="1" applyAlignment="1" applyProtection="1">
      <alignment horizontal="center" vertical="center" wrapText="1"/>
      <protection hidden="1"/>
    </xf>
    <xf numFmtId="0" fontId="0" fillId="0" borderId="0" xfId="0" applyAlignment="1" applyProtection="1">
      <alignment wrapText="1"/>
      <protection hidden="1"/>
    </xf>
    <xf numFmtId="165" fontId="31" fillId="0" borderId="0" xfId="0" applyNumberFormat="1" applyFont="1" applyAlignment="1" applyProtection="1">
      <alignment horizontal="center"/>
      <protection hidden="1"/>
    </xf>
    <xf numFmtId="0" fontId="31" fillId="0" borderId="0" xfId="0" applyFont="1" applyAlignment="1" applyProtection="1">
      <alignment horizontal="center"/>
      <protection hidden="1"/>
    </xf>
    <xf numFmtId="166" fontId="31" fillId="0" borderId="0" xfId="0" applyNumberFormat="1" applyFont="1" applyAlignment="1" applyProtection="1">
      <alignment horizontal="center"/>
      <protection hidden="1"/>
    </xf>
    <xf numFmtId="0" fontId="6" fillId="0" borderId="0" xfId="0" applyFont="1" applyAlignment="1" applyProtection="1">
      <alignment wrapText="1"/>
      <protection hidden="1"/>
    </xf>
    <xf numFmtId="167" fontId="6" fillId="0" borderId="0" xfId="0" applyNumberFormat="1" applyFont="1" applyProtection="1">
      <protection hidden="1"/>
    </xf>
    <xf numFmtId="167" fontId="31" fillId="0" borderId="0" xfId="143" applyNumberFormat="1" applyFont="1" applyAlignment="1" applyProtection="1">
      <alignment horizontal="center"/>
      <protection hidden="1"/>
    </xf>
    <xf numFmtId="0" fontId="8" fillId="0" borderId="0" xfId="115" applyAlignment="1" applyProtection="1">
      <alignment horizontal="left"/>
      <protection hidden="1"/>
    </xf>
    <xf numFmtId="0" fontId="0" fillId="0" borderId="0" xfId="0" applyAlignment="1" applyProtection="1">
      <alignment horizontal="left"/>
      <protection hidden="1"/>
    </xf>
    <xf numFmtId="0" fontId="4" fillId="0" borderId="0" xfId="0" applyFont="1" applyAlignment="1" applyProtection="1">
      <alignment horizontal="left"/>
      <protection hidden="1"/>
    </xf>
    <xf numFmtId="0" fontId="4" fillId="0" borderId="0" xfId="0" applyFont="1" applyProtection="1">
      <protection hidden="1"/>
    </xf>
    <xf numFmtId="0" fontId="5" fillId="0" borderId="0" xfId="0" applyFont="1" applyAlignment="1" applyProtection="1">
      <alignment horizontal="left" wrapText="1"/>
      <protection hidden="1"/>
    </xf>
    <xf numFmtId="0" fontId="0" fillId="0" borderId="0" xfId="0" applyAlignment="1" applyProtection="1">
      <alignment horizontal="center"/>
      <protection hidden="1"/>
    </xf>
    <xf numFmtId="0" fontId="0" fillId="0" borderId="0" xfId="0" applyAlignment="1" applyProtection="1">
      <alignment horizontal="center" vertical="center" wrapText="1"/>
      <protection hidden="1"/>
    </xf>
    <xf numFmtId="0" fontId="5" fillId="0" borderId="0" xfId="0" applyFont="1" applyAlignment="1" applyProtection="1">
      <alignment horizontal="left"/>
      <protection hidden="1"/>
    </xf>
    <xf numFmtId="0" fontId="54" fillId="0" borderId="0" xfId="0" applyFont="1" applyAlignment="1" applyProtection="1">
      <alignment vertical="center"/>
      <protection hidden="1"/>
    </xf>
    <xf numFmtId="0" fontId="4" fillId="0" borderId="0" xfId="0" applyFont="1" applyAlignment="1" applyProtection="1">
      <alignment vertical="center"/>
      <protection hidden="1"/>
    </xf>
    <xf numFmtId="0" fontId="55" fillId="0" borderId="0" xfId="0" applyFont="1" applyAlignment="1" applyProtection="1">
      <alignment vertical="center" wrapText="1"/>
      <protection hidden="1"/>
    </xf>
    <xf numFmtId="0" fontId="28" fillId="0" borderId="0" xfId="0" applyFont="1" applyAlignment="1">
      <alignment vertical="center"/>
    </xf>
    <xf numFmtId="0" fontId="56" fillId="0" borderId="0" xfId="0" applyFont="1" applyAlignment="1" applyProtection="1">
      <alignment wrapText="1"/>
      <protection hidden="1"/>
    </xf>
    <xf numFmtId="0" fontId="57" fillId="0" borderId="0" xfId="0" applyFont="1" applyProtection="1">
      <protection hidden="1"/>
    </xf>
    <xf numFmtId="0" fontId="59" fillId="0" borderId="0" xfId="0" applyFont="1" applyProtection="1">
      <protection hidden="1"/>
    </xf>
    <xf numFmtId="0" fontId="10" fillId="0" borderId="0" xfId="0" applyFont="1" applyAlignment="1" applyProtection="1">
      <alignment horizontal="left"/>
      <protection hidden="1"/>
    </xf>
    <xf numFmtId="0" fontId="58" fillId="0" borderId="0" xfId="0" applyFont="1" applyAlignment="1" applyProtection="1">
      <alignment wrapText="1"/>
      <protection hidden="1"/>
    </xf>
    <xf numFmtId="0" fontId="58" fillId="0" borderId="0" xfId="0" applyFont="1" applyAlignment="1" applyProtection="1">
      <alignment vertical="center" wrapText="1"/>
      <protection hidden="1"/>
    </xf>
    <xf numFmtId="0" fontId="58" fillId="0" borderId="0" xfId="0" applyFont="1" applyProtection="1">
      <protection hidden="1"/>
    </xf>
    <xf numFmtId="0" fontId="58" fillId="0" borderId="0" xfId="0" applyFont="1" applyAlignment="1" applyProtection="1">
      <alignment horizontal="left" vertical="center"/>
      <protection hidden="1"/>
    </xf>
    <xf numFmtId="0" fontId="58" fillId="0" borderId="0" xfId="0" applyFont="1" applyAlignment="1" applyProtection="1">
      <alignment vertical="center"/>
      <protection hidden="1"/>
    </xf>
    <xf numFmtId="0" fontId="55" fillId="0" borderId="0" xfId="0" applyFont="1" applyProtection="1">
      <protection hidden="1"/>
    </xf>
    <xf numFmtId="0" fontId="10" fillId="0" borderId="0" xfId="0" applyFont="1" applyAlignment="1" applyProtection="1">
      <alignment horizontal="center"/>
      <protection hidden="1"/>
    </xf>
    <xf numFmtId="0" fontId="0" fillId="0" borderId="0" xfId="0" applyAlignment="1" applyProtection="1">
      <alignment horizontal="left" vertical="top" wrapText="1"/>
      <protection hidden="1"/>
    </xf>
    <xf numFmtId="3" fontId="58" fillId="0" borderId="10" xfId="82" applyNumberFormat="1" applyFont="1" applyBorder="1" applyAlignment="1" applyProtection="1">
      <alignment horizontal="center" vertical="center"/>
      <protection hidden="1"/>
    </xf>
    <xf numFmtId="0" fontId="10" fillId="0" borderId="0" xfId="0" applyFont="1" applyAlignment="1" applyProtection="1">
      <alignment horizontal="left" vertical="center"/>
      <protection hidden="1"/>
    </xf>
    <xf numFmtId="0" fontId="61" fillId="0" borderId="0" xfId="0" applyFont="1" applyProtection="1">
      <protection hidden="1"/>
    </xf>
    <xf numFmtId="0" fontId="63" fillId="0" borderId="0" xfId="0" applyFont="1" applyProtection="1">
      <protection hidden="1"/>
    </xf>
    <xf numFmtId="1" fontId="58" fillId="0" borderId="0" xfId="82" applyNumberFormat="1" applyFont="1" applyAlignment="1" applyProtection="1">
      <alignment horizontal="center" vertical="center"/>
      <protection hidden="1"/>
    </xf>
    <xf numFmtId="0" fontId="58" fillId="0" borderId="10" xfId="0" applyFont="1" applyBorder="1" applyAlignment="1" applyProtection="1">
      <alignment horizontal="center" vertical="center" wrapText="1"/>
      <protection hidden="1"/>
    </xf>
    <xf numFmtId="3" fontId="58" fillId="0" borderId="10" xfId="0" applyNumberFormat="1" applyFont="1" applyBorder="1" applyAlignment="1" applyProtection="1">
      <alignment horizontal="center" vertical="center" wrapText="1"/>
      <protection hidden="1"/>
    </xf>
    <xf numFmtId="164" fontId="58" fillId="0" borderId="10" xfId="0" applyNumberFormat="1" applyFont="1" applyBorder="1" applyAlignment="1" applyProtection="1">
      <alignment horizontal="center" vertical="center" wrapText="1"/>
      <protection hidden="1"/>
    </xf>
    <xf numFmtId="0" fontId="58" fillId="24" borderId="0" xfId="0" applyFont="1" applyFill="1" applyProtection="1">
      <protection hidden="1"/>
    </xf>
    <xf numFmtId="0" fontId="9" fillId="0" borderId="0" xfId="0" applyFont="1" applyAlignment="1">
      <alignment wrapText="1"/>
    </xf>
    <xf numFmtId="0" fontId="66" fillId="0" borderId="0" xfId="0" applyFont="1" applyProtection="1">
      <protection hidden="1"/>
    </xf>
    <xf numFmtId="0" fontId="67" fillId="0" borderId="0" xfId="0" applyFont="1" applyProtection="1">
      <protection hidden="1"/>
    </xf>
    <xf numFmtId="0" fontId="68" fillId="0" borderId="0" xfId="0" applyFont="1" applyProtection="1">
      <protection hidden="1"/>
    </xf>
    <xf numFmtId="167" fontId="66" fillId="0" borderId="0" xfId="0" applyNumberFormat="1" applyFont="1" applyProtection="1">
      <protection hidden="1"/>
    </xf>
    <xf numFmtId="167" fontId="66" fillId="0" borderId="0" xfId="143" applyNumberFormat="1" applyFont="1" applyAlignment="1" applyProtection="1">
      <alignment horizontal="center" vertical="center"/>
      <protection hidden="1"/>
    </xf>
    <xf numFmtId="1" fontId="66" fillId="0" borderId="0" xfId="82" applyNumberFormat="1" applyFont="1" applyAlignment="1" applyProtection="1">
      <alignment horizontal="center" vertical="center"/>
      <protection hidden="1"/>
    </xf>
    <xf numFmtId="0" fontId="66" fillId="0" borderId="0" xfId="0" applyFont="1" applyAlignment="1" applyProtection="1">
      <alignment horizontal="center" vertical="center"/>
      <protection hidden="1"/>
    </xf>
    <xf numFmtId="3" fontId="66" fillId="0" borderId="0" xfId="143" applyNumberFormat="1" applyFont="1" applyAlignment="1" applyProtection="1">
      <alignment horizontal="center" vertical="center"/>
      <protection hidden="1"/>
    </xf>
    <xf numFmtId="0" fontId="68" fillId="0" borderId="0" xfId="0" applyFont="1" applyAlignment="1" applyProtection="1">
      <alignment vertical="center"/>
      <protection hidden="1"/>
    </xf>
    <xf numFmtId="3" fontId="50" fillId="0" borderId="0" xfId="0" applyNumberFormat="1" applyFont="1" applyAlignment="1" applyProtection="1">
      <alignment horizontal="center" vertical="center" wrapText="1"/>
      <protection hidden="1"/>
    </xf>
    <xf numFmtId="3" fontId="66" fillId="0" borderId="0" xfId="82" applyNumberFormat="1" applyFont="1" applyAlignment="1" applyProtection="1">
      <alignment horizontal="center" vertical="center"/>
      <protection hidden="1"/>
    </xf>
    <xf numFmtId="167" fontId="66" fillId="0" borderId="0" xfId="82" applyNumberFormat="1" applyFont="1" applyAlignment="1" applyProtection="1">
      <alignment horizontal="center" vertical="center"/>
      <protection hidden="1"/>
    </xf>
    <xf numFmtId="0" fontId="69" fillId="57" borderId="0" xfId="0" applyFont="1" applyFill="1"/>
    <xf numFmtId="0" fontId="51" fillId="57" borderId="0" xfId="0" applyFont="1" applyFill="1"/>
    <xf numFmtId="0" fontId="9" fillId="0" borderId="0" xfId="0" applyFont="1" applyProtection="1">
      <protection hidden="1"/>
    </xf>
    <xf numFmtId="0" fontId="9" fillId="0" borderId="14" xfId="0" applyFont="1" applyBorder="1" applyProtection="1">
      <protection hidden="1"/>
    </xf>
    <xf numFmtId="0" fontId="9" fillId="58" borderId="10" xfId="0" applyFont="1" applyFill="1" applyBorder="1" applyAlignment="1" applyProtection="1">
      <alignment horizontal="center" vertical="center" wrapText="1"/>
      <protection hidden="1"/>
    </xf>
    <xf numFmtId="0" fontId="9" fillId="58" borderId="11" xfId="0" applyFont="1" applyFill="1" applyBorder="1" applyAlignment="1" applyProtection="1">
      <alignment horizontal="center" vertical="center" wrapText="1"/>
      <protection hidden="1"/>
    </xf>
    <xf numFmtId="0" fontId="9" fillId="0" borderId="30" xfId="0" applyFont="1" applyBorder="1" applyProtection="1">
      <protection hidden="1"/>
    </xf>
    <xf numFmtId="0" fontId="9" fillId="0" borderId="33" xfId="0" applyFont="1" applyBorder="1" applyProtection="1">
      <protection hidden="1"/>
    </xf>
    <xf numFmtId="0" fontId="9" fillId="0" borderId="34" xfId="0" applyFont="1" applyBorder="1" applyProtection="1">
      <protection hidden="1"/>
    </xf>
    <xf numFmtId="3" fontId="9" fillId="58" borderId="10" xfId="0" applyNumberFormat="1" applyFont="1" applyFill="1" applyBorder="1" applyAlignment="1" applyProtection="1">
      <alignment horizontal="center" vertical="center" wrapText="1"/>
      <protection hidden="1"/>
    </xf>
    <xf numFmtId="3" fontId="9" fillId="0" borderId="0" xfId="0" applyNumberFormat="1" applyFont="1" applyAlignment="1" applyProtection="1">
      <alignment horizontal="center" vertical="center" wrapText="1"/>
      <protection hidden="1"/>
    </xf>
    <xf numFmtId="0" fontId="9" fillId="0" borderId="10" xfId="0" applyFont="1" applyBorder="1" applyAlignment="1" applyProtection="1">
      <alignment horizontal="center" vertical="center"/>
      <protection hidden="1"/>
    </xf>
    <xf numFmtId="3" fontId="4" fillId="0" borderId="0" xfId="82" applyNumberFormat="1" applyFont="1" applyAlignment="1" applyProtection="1">
      <alignment horizontal="center" vertical="center"/>
      <protection hidden="1"/>
    </xf>
    <xf numFmtId="167" fontId="4" fillId="0" borderId="0" xfId="82" applyNumberFormat="1" applyFont="1" applyAlignment="1" applyProtection="1">
      <alignment horizontal="center" vertical="center"/>
      <protection hidden="1"/>
    </xf>
    <xf numFmtId="0" fontId="71" fillId="0" borderId="0" xfId="0" applyFont="1" applyAlignment="1">
      <alignment horizontal="center"/>
    </xf>
    <xf numFmtId="0" fontId="70" fillId="0" borderId="0" xfId="0" applyFont="1"/>
    <xf numFmtId="0" fontId="9" fillId="58" borderId="13" xfId="0" applyFont="1" applyFill="1" applyBorder="1" applyAlignment="1" applyProtection="1">
      <alignment horizontal="center" vertical="center" wrapText="1"/>
      <protection hidden="1"/>
    </xf>
    <xf numFmtId="0" fontId="62" fillId="0" borderId="0" xfId="0" applyFont="1" applyAlignment="1" applyProtection="1">
      <alignment vertical="center"/>
      <protection hidden="1"/>
    </xf>
    <xf numFmtId="3" fontId="55" fillId="0" borderId="0" xfId="0" applyNumberFormat="1" applyFont="1" applyAlignment="1" applyProtection="1">
      <alignment horizontal="center" vertical="center" wrapText="1"/>
      <protection hidden="1"/>
    </xf>
    <xf numFmtId="0" fontId="55" fillId="0" borderId="0" xfId="0" applyFont="1" applyAlignment="1" applyProtection="1">
      <alignment horizontal="center" vertical="center" wrapText="1"/>
      <protection hidden="1"/>
    </xf>
    <xf numFmtId="0" fontId="10" fillId="0" borderId="0" xfId="0" applyFont="1" applyAlignment="1" applyProtection="1">
      <alignment vertical="center" wrapText="1"/>
      <protection hidden="1"/>
    </xf>
    <xf numFmtId="0" fontId="10" fillId="0" borderId="10" xfId="0" applyFont="1" applyBorder="1" applyAlignment="1" applyProtection="1">
      <alignment horizontal="left" vertical="center"/>
      <protection hidden="1"/>
    </xf>
    <xf numFmtId="167" fontId="58" fillId="0" borderId="10" xfId="82" applyNumberFormat="1" applyFont="1" applyBorder="1" applyAlignment="1" applyProtection="1">
      <alignment horizontal="center" vertical="center"/>
      <protection hidden="1"/>
    </xf>
    <xf numFmtId="0" fontId="58" fillId="0" borderId="0" xfId="0" applyFont="1"/>
    <xf numFmtId="0" fontId="58" fillId="0" borderId="0" xfId="0" applyFont="1" applyAlignment="1">
      <alignment horizontal="center"/>
    </xf>
    <xf numFmtId="0" fontId="10" fillId="0" borderId="0" xfId="0" applyFont="1"/>
    <xf numFmtId="0" fontId="58" fillId="59" borderId="0" xfId="0" applyFont="1" applyFill="1"/>
    <xf numFmtId="0" fontId="58" fillId="0" borderId="0" xfId="0" applyFont="1" applyAlignment="1">
      <alignment horizontal="center" vertical="center"/>
    </xf>
    <xf numFmtId="0" fontId="58" fillId="0" borderId="0" xfId="0" applyFont="1" applyAlignment="1">
      <alignment horizontal="center" vertical="center" wrapText="1"/>
    </xf>
    <xf numFmtId="0" fontId="58" fillId="0" borderId="10" xfId="0" applyFont="1" applyBorder="1" applyAlignment="1">
      <alignment horizontal="center" vertical="center" wrapText="1"/>
    </xf>
    <xf numFmtId="167" fontId="58" fillId="0" borderId="0" xfId="143" applyNumberFormat="1" applyFont="1" applyAlignment="1">
      <alignment horizontal="center" vertical="center"/>
    </xf>
    <xf numFmtId="0" fontId="52" fillId="57" borderId="0" xfId="0" applyFont="1" applyFill="1"/>
    <xf numFmtId="0" fontId="52" fillId="57" borderId="0" xfId="0" applyFont="1" applyFill="1" applyAlignment="1">
      <alignment horizontal="center"/>
    </xf>
    <xf numFmtId="0" fontId="10" fillId="58" borderId="10" xfId="0" applyFont="1" applyFill="1" applyBorder="1" applyAlignment="1">
      <alignment horizontal="center" vertical="center" wrapText="1"/>
    </xf>
    <xf numFmtId="3" fontId="10" fillId="58" borderId="10" xfId="0" applyNumberFormat="1" applyFont="1" applyFill="1" applyBorder="1" applyAlignment="1">
      <alignment horizontal="center" vertical="center" wrapText="1"/>
    </xf>
    <xf numFmtId="164" fontId="10" fillId="58" borderId="10" xfId="0" applyNumberFormat="1" applyFont="1" applyFill="1" applyBorder="1" applyAlignment="1">
      <alignment horizontal="center" vertical="center" wrapText="1"/>
    </xf>
    <xf numFmtId="0" fontId="58" fillId="59" borderId="10" xfId="0" applyFont="1" applyFill="1" applyBorder="1" applyAlignment="1">
      <alignment horizontal="center"/>
    </xf>
    <xf numFmtId="0" fontId="58" fillId="59" borderId="10" xfId="0" applyFont="1" applyFill="1" applyBorder="1" applyAlignment="1">
      <alignment horizontal="left"/>
    </xf>
    <xf numFmtId="3" fontId="58" fillId="59" borderId="10" xfId="0" applyNumberFormat="1" applyFont="1" applyFill="1" applyBorder="1" applyAlignment="1">
      <alignment horizontal="center" vertical="center"/>
    </xf>
    <xf numFmtId="166" fontId="58" fillId="59" borderId="10" xfId="0" applyNumberFormat="1" applyFont="1" applyFill="1" applyBorder="1" applyAlignment="1">
      <alignment horizontal="center" vertical="center"/>
    </xf>
    <xf numFmtId="0" fontId="58" fillId="59" borderId="10" xfId="0" applyFont="1" applyFill="1" applyBorder="1" applyAlignment="1">
      <alignment horizontal="center" vertical="center" wrapText="1"/>
    </xf>
    <xf numFmtId="0" fontId="4" fillId="59" borderId="0" xfId="0" applyFont="1" applyFill="1"/>
    <xf numFmtId="0" fontId="4" fillId="59" borderId="0" xfId="0" applyFont="1" applyFill="1" applyAlignment="1">
      <alignment horizontal="left"/>
    </xf>
    <xf numFmtId="167" fontId="4" fillId="59" borderId="11" xfId="0" applyNumberFormat="1" applyFont="1" applyFill="1" applyBorder="1" applyAlignment="1" applyProtection="1">
      <alignment horizontal="right"/>
      <protection hidden="1"/>
    </xf>
    <xf numFmtId="167" fontId="4" fillId="59" borderId="0" xfId="0" applyNumberFormat="1" applyFont="1" applyFill="1" applyAlignment="1" applyProtection="1">
      <alignment horizontal="right"/>
      <protection hidden="1"/>
    </xf>
    <xf numFmtId="0" fontId="4" fillId="59" borderId="11" xfId="0" applyFont="1" applyFill="1" applyBorder="1" applyAlignment="1" applyProtection="1">
      <alignment horizontal="right"/>
      <protection hidden="1"/>
    </xf>
    <xf numFmtId="0" fontId="4" fillId="59" borderId="11" xfId="0" applyFont="1" applyFill="1" applyBorder="1" applyAlignment="1">
      <alignment horizontal="right"/>
    </xf>
    <xf numFmtId="0" fontId="4" fillId="59" borderId="31" xfId="0" applyFont="1" applyFill="1" applyBorder="1" applyAlignment="1">
      <alignment horizontal="right"/>
    </xf>
    <xf numFmtId="167" fontId="4" fillId="59" borderId="15" xfId="0" applyNumberFormat="1" applyFont="1" applyFill="1" applyBorder="1" applyAlignment="1" applyProtection="1">
      <alignment horizontal="right"/>
      <protection hidden="1"/>
    </xf>
    <xf numFmtId="0" fontId="4" fillId="59" borderId="15" xfId="0" applyFont="1" applyFill="1" applyBorder="1" applyAlignment="1" applyProtection="1">
      <alignment horizontal="right"/>
      <protection hidden="1"/>
    </xf>
    <xf numFmtId="0" fontId="4" fillId="59" borderId="15" xfId="0" applyFont="1" applyFill="1" applyBorder="1" applyAlignment="1">
      <alignment horizontal="right"/>
    </xf>
    <xf numFmtId="0" fontId="4" fillId="59" borderId="37" xfId="0" applyFont="1" applyFill="1" applyBorder="1" applyAlignment="1">
      <alignment horizontal="right"/>
    </xf>
    <xf numFmtId="167" fontId="4" fillId="59" borderId="14" xfId="0" applyNumberFormat="1" applyFont="1" applyFill="1" applyBorder="1" applyAlignment="1" applyProtection="1">
      <alignment horizontal="right"/>
      <protection hidden="1"/>
    </xf>
    <xf numFmtId="167" fontId="4" fillId="59" borderId="16" xfId="0" applyNumberFormat="1" applyFont="1" applyFill="1" applyBorder="1" applyAlignment="1" applyProtection="1">
      <alignment horizontal="right"/>
      <protection hidden="1"/>
    </xf>
    <xf numFmtId="0" fontId="4" fillId="59" borderId="16" xfId="0" applyFont="1" applyFill="1" applyBorder="1" applyAlignment="1" applyProtection="1">
      <alignment horizontal="right"/>
      <protection hidden="1"/>
    </xf>
    <xf numFmtId="0" fontId="4" fillId="59" borderId="16" xfId="0" applyFont="1" applyFill="1" applyBorder="1" applyAlignment="1">
      <alignment horizontal="right"/>
    </xf>
    <xf numFmtId="0" fontId="4" fillId="59" borderId="32" xfId="0" applyFont="1" applyFill="1" applyBorder="1" applyAlignment="1">
      <alignment horizontal="right"/>
    </xf>
    <xf numFmtId="3" fontId="4" fillId="59" borderId="10" xfId="82" applyNumberFormat="1" applyFont="1" applyFill="1" applyBorder="1" applyAlignment="1" applyProtection="1">
      <alignment horizontal="center" vertical="center"/>
      <protection hidden="1"/>
    </xf>
    <xf numFmtId="167" fontId="4" fillId="59" borderId="10" xfId="82" applyNumberFormat="1" applyFont="1" applyFill="1" applyBorder="1" applyAlignment="1" applyProtection="1">
      <alignment horizontal="center" vertical="center"/>
      <protection hidden="1"/>
    </xf>
    <xf numFmtId="0" fontId="52" fillId="0" borderId="26" xfId="0" applyFont="1" applyBorder="1" applyAlignment="1" applyProtection="1">
      <alignment vertical="center"/>
      <protection hidden="1"/>
    </xf>
    <xf numFmtId="0" fontId="0" fillId="0" borderId="10" xfId="0" applyBorder="1"/>
    <xf numFmtId="0" fontId="9" fillId="58" borderId="10" xfId="0" applyFont="1" applyFill="1" applyBorder="1"/>
    <xf numFmtId="0" fontId="9" fillId="58" borderId="10" xfId="0" applyFont="1" applyFill="1" applyBorder="1" applyAlignment="1">
      <alignment wrapText="1"/>
    </xf>
    <xf numFmtId="0" fontId="5" fillId="0" borderId="0" xfId="0" applyFont="1"/>
    <xf numFmtId="0" fontId="9" fillId="58" borderId="11" xfId="0" applyFont="1" applyFill="1" applyBorder="1"/>
    <xf numFmtId="0" fontId="9" fillId="58" borderId="16" xfId="0" applyFont="1" applyFill="1" applyBorder="1" applyAlignment="1">
      <alignment horizontal="right"/>
    </xf>
    <xf numFmtId="0" fontId="9" fillId="58" borderId="16" xfId="0" applyFont="1" applyFill="1" applyBorder="1"/>
    <xf numFmtId="0" fontId="52" fillId="0" borderId="26" xfId="0" applyFont="1" applyBorder="1" applyAlignment="1" applyProtection="1">
      <alignment vertical="center" wrapText="1"/>
      <protection hidden="1"/>
    </xf>
    <xf numFmtId="0" fontId="52" fillId="0" borderId="35" xfId="0" applyFont="1" applyBorder="1" applyAlignment="1" applyProtection="1">
      <alignment vertical="center"/>
      <protection hidden="1"/>
    </xf>
    <xf numFmtId="0" fontId="10" fillId="0" borderId="0" xfId="0" applyFont="1" applyProtection="1">
      <protection hidden="1"/>
    </xf>
    <xf numFmtId="0" fontId="66" fillId="0" borderId="0" xfId="0" applyFont="1" applyAlignment="1" applyProtection="1">
      <alignment horizontal="center" vertical="center" wrapText="1"/>
      <protection hidden="1"/>
    </xf>
    <xf numFmtId="0" fontId="66" fillId="24" borderId="0" xfId="0" applyFont="1" applyFill="1" applyProtection="1">
      <protection hidden="1"/>
    </xf>
    <xf numFmtId="0" fontId="52" fillId="0" borderId="26" xfId="0" applyFont="1" applyBorder="1" applyAlignment="1" applyProtection="1">
      <alignment horizontal="left" vertical="center"/>
      <protection hidden="1"/>
    </xf>
    <xf numFmtId="0" fontId="52" fillId="0" borderId="26" xfId="0" applyFont="1" applyBorder="1" applyAlignment="1" applyProtection="1">
      <alignment horizontal="left" vertical="center" wrapText="1"/>
      <protection hidden="1"/>
    </xf>
    <xf numFmtId="0" fontId="52" fillId="0" borderId="42" xfId="0" applyFont="1" applyBorder="1" applyAlignment="1" applyProtection="1">
      <alignment vertical="center" wrapText="1"/>
      <protection locked="0"/>
    </xf>
    <xf numFmtId="0" fontId="68" fillId="24" borderId="0" xfId="0" applyFont="1" applyFill="1" applyProtection="1">
      <protection hidden="1"/>
    </xf>
    <xf numFmtId="0" fontId="77" fillId="0" borderId="0" xfId="0" applyFont="1"/>
    <xf numFmtId="0" fontId="78" fillId="0" borderId="0" xfId="0" applyFont="1"/>
    <xf numFmtId="0" fontId="78" fillId="0" borderId="0" xfId="0" applyFont="1" applyAlignment="1">
      <alignment horizontal="center" vertical="top"/>
    </xf>
    <xf numFmtId="0" fontId="79" fillId="59" borderId="10" xfId="0" applyFont="1" applyFill="1" applyBorder="1" applyAlignment="1">
      <alignment horizontal="left" vertical="top"/>
    </xf>
    <xf numFmtId="0" fontId="78" fillId="0" borderId="0" xfId="0" applyFont="1" applyAlignment="1">
      <alignment horizontal="left" vertical="top"/>
    </xf>
    <xf numFmtId="0" fontId="79" fillId="0" borderId="0" xfId="0" applyFont="1" applyAlignment="1">
      <alignment horizontal="center" vertical="center"/>
    </xf>
    <xf numFmtId="0" fontId="78" fillId="0" borderId="0" xfId="0" applyFont="1" applyAlignment="1">
      <alignment horizontal="left" vertical="center" wrapText="1"/>
    </xf>
    <xf numFmtId="0" fontId="80" fillId="0" borderId="0" xfId="0" applyFont="1"/>
    <xf numFmtId="0" fontId="78" fillId="0" borderId="0" xfId="0" applyFont="1" applyAlignment="1">
      <alignment horizontal="center"/>
    </xf>
    <xf numFmtId="0" fontId="79" fillId="0" borderId="0" xfId="0" applyFont="1"/>
    <xf numFmtId="0" fontId="78" fillId="0" borderId="0" xfId="0" applyFont="1" applyAlignment="1">
      <alignment vertical="top"/>
    </xf>
    <xf numFmtId="0" fontId="78" fillId="0" borderId="0" xfId="0" applyFont="1" applyAlignment="1">
      <alignment vertical="top" wrapText="1"/>
    </xf>
    <xf numFmtId="0" fontId="77" fillId="0" borderId="10" xfId="0" applyFont="1" applyBorder="1" applyAlignment="1">
      <alignment vertical="center"/>
    </xf>
    <xf numFmtId="0" fontId="77" fillId="0" borderId="0" xfId="0" applyFont="1" applyAlignment="1">
      <alignment vertical="center"/>
    </xf>
    <xf numFmtId="0" fontId="0" fillId="59" borderId="10" xfId="0" applyFill="1" applyBorder="1"/>
    <xf numFmtId="0" fontId="0" fillId="59" borderId="12" xfId="0" applyFill="1" applyBorder="1"/>
    <xf numFmtId="0" fontId="0" fillId="59" borderId="10" xfId="0" applyFill="1" applyBorder="1" applyAlignment="1">
      <alignment horizontal="left"/>
    </xf>
    <xf numFmtId="3" fontId="0" fillId="59" borderId="10" xfId="0" applyNumberFormat="1" applyFill="1" applyBorder="1" applyAlignment="1">
      <alignment horizontal="left"/>
    </xf>
    <xf numFmtId="0" fontId="50" fillId="0" borderId="0" xfId="0" applyFont="1" applyAlignment="1" applyProtection="1">
      <alignment horizontal="centerContinuous" vertical="center" wrapText="1"/>
      <protection hidden="1"/>
    </xf>
    <xf numFmtId="0" fontId="58" fillId="24" borderId="0" xfId="0" applyFont="1" applyFill="1" applyAlignment="1" applyProtection="1">
      <alignment horizontal="left"/>
      <protection hidden="1"/>
    </xf>
    <xf numFmtId="0" fontId="58" fillId="24" borderId="0" xfId="0" applyFont="1" applyFill="1" applyAlignment="1" applyProtection="1">
      <alignment wrapText="1"/>
      <protection hidden="1"/>
    </xf>
    <xf numFmtId="0" fontId="58" fillId="24" borderId="0" xfId="0" applyFont="1" applyFill="1" applyAlignment="1" applyProtection="1">
      <alignment horizontal="right"/>
      <protection hidden="1"/>
    </xf>
    <xf numFmtId="166" fontId="58" fillId="24" borderId="0" xfId="0" applyNumberFormat="1" applyFont="1" applyFill="1" applyProtection="1">
      <protection hidden="1"/>
    </xf>
    <xf numFmtId="0" fontId="58" fillId="24" borderId="0" xfId="0" applyFont="1" applyFill="1" applyAlignment="1" applyProtection="1">
      <alignment horizontal="center"/>
      <protection hidden="1"/>
    </xf>
    <xf numFmtId="0" fontId="0" fillId="59" borderId="15" xfId="0" applyFill="1" applyBorder="1"/>
    <xf numFmtId="0" fontId="0" fillId="59" borderId="16" xfId="0" applyFill="1" applyBorder="1"/>
    <xf numFmtId="0" fontId="78" fillId="0" borderId="0" xfId="0" applyFont="1" applyAlignment="1">
      <alignment wrapText="1"/>
    </xf>
    <xf numFmtId="0" fontId="79" fillId="0" borderId="0" xfId="0" applyFont="1" applyAlignment="1">
      <alignment horizontal="left"/>
    </xf>
    <xf numFmtId="0" fontId="58" fillId="0" borderId="0" xfId="0" applyFont="1" applyAlignment="1">
      <alignment vertical="center"/>
    </xf>
    <xf numFmtId="0" fontId="10" fillId="0" borderId="38" xfId="0" applyFont="1" applyBorder="1" applyAlignment="1" applyProtection="1">
      <alignment vertical="center" wrapText="1"/>
      <protection locked="0"/>
    </xf>
    <xf numFmtId="0" fontId="83" fillId="0" borderId="0" xfId="0" applyFont="1" applyProtection="1">
      <protection hidden="1"/>
    </xf>
    <xf numFmtId="0" fontId="82" fillId="0" borderId="0" xfId="0" applyFont="1" applyAlignment="1" applyProtection="1">
      <alignment vertical="center"/>
      <protection hidden="1"/>
    </xf>
    <xf numFmtId="0" fontId="84" fillId="0" borderId="0" xfId="0" applyFont="1" applyProtection="1">
      <protection hidden="1"/>
    </xf>
    <xf numFmtId="0" fontId="10" fillId="0" borderId="38" xfId="0" applyFont="1" applyBorder="1" applyAlignment="1" applyProtection="1">
      <alignment horizontal="left" vertical="center" wrapText="1"/>
      <protection locked="0"/>
    </xf>
    <xf numFmtId="0" fontId="10" fillId="0" borderId="38" xfId="0" applyFont="1" applyBorder="1" applyAlignment="1" applyProtection="1">
      <alignment horizontal="left" vertical="center"/>
      <protection locked="0"/>
    </xf>
    <xf numFmtId="0" fontId="0" fillId="0" borderId="10" xfId="0" applyBorder="1" applyAlignment="1">
      <alignment horizontal="left"/>
    </xf>
    <xf numFmtId="0" fontId="9" fillId="58" borderId="11" xfId="0" applyFont="1" applyFill="1" applyBorder="1" applyAlignment="1">
      <alignment horizontal="center"/>
    </xf>
    <xf numFmtId="0" fontId="9" fillId="58" borderId="16" xfId="0" applyFont="1" applyFill="1" applyBorder="1" applyAlignment="1">
      <alignment horizontal="center"/>
    </xf>
    <xf numFmtId="0" fontId="57" fillId="0" borderId="0" xfId="0" quotePrefix="1" applyFont="1" applyProtection="1">
      <protection hidden="1"/>
    </xf>
    <xf numFmtId="0" fontId="58" fillId="0" borderId="10" xfId="0" applyFont="1" applyBorder="1" applyAlignment="1" applyProtection="1">
      <alignment horizontal="center" vertical="center" wrapText="1"/>
      <protection locked="0"/>
    </xf>
    <xf numFmtId="0" fontId="4" fillId="0" borderId="0" xfId="0" applyFont="1" applyAlignment="1" applyProtection="1">
      <alignment vertical="center" wrapText="1"/>
      <protection hidden="1"/>
    </xf>
    <xf numFmtId="3" fontId="4" fillId="0" borderId="0" xfId="0" applyNumberFormat="1" applyFont="1"/>
    <xf numFmtId="167" fontId="58" fillId="0" borderId="0" xfId="82" applyNumberFormat="1" applyFont="1" applyAlignment="1" applyProtection="1">
      <alignment horizontal="center" vertical="center"/>
      <protection hidden="1"/>
    </xf>
    <xf numFmtId="3" fontId="58" fillId="0" borderId="0" xfId="82" applyNumberFormat="1" applyFont="1" applyAlignment="1" applyProtection="1">
      <alignment horizontal="center" vertical="center"/>
      <protection hidden="1"/>
    </xf>
    <xf numFmtId="0" fontId="4" fillId="0" borderId="0" xfId="643" applyFont="1"/>
    <xf numFmtId="10" fontId="4" fillId="0" borderId="0" xfId="643" applyNumberFormat="1" applyFont="1"/>
    <xf numFmtId="0" fontId="9" fillId="0" borderId="0" xfId="643" applyFont="1" applyAlignment="1">
      <alignment wrapText="1"/>
    </xf>
    <xf numFmtId="0" fontId="0" fillId="59" borderId="31" xfId="0" applyFill="1" applyBorder="1"/>
    <xf numFmtId="0" fontId="0" fillId="59" borderId="37" xfId="0" applyFill="1" applyBorder="1"/>
    <xf numFmtId="0" fontId="0" fillId="59" borderId="52" xfId="0" applyFill="1" applyBorder="1"/>
    <xf numFmtId="0" fontId="0" fillId="0" borderId="51" xfId="0" applyBorder="1"/>
    <xf numFmtId="0" fontId="9" fillId="58" borderId="52" xfId="0" applyFont="1" applyFill="1" applyBorder="1"/>
    <xf numFmtId="0" fontId="9" fillId="58" borderId="51" xfId="0" applyFont="1" applyFill="1" applyBorder="1"/>
    <xf numFmtId="0" fontId="9" fillId="58" borderId="51" xfId="0" applyFont="1" applyFill="1" applyBorder="1" applyAlignment="1">
      <alignment horizontal="center" wrapText="1"/>
    </xf>
    <xf numFmtId="0" fontId="7" fillId="0" borderId="51" xfId="0" applyFont="1" applyBorder="1" applyAlignment="1">
      <alignment horizontal="center" wrapText="1"/>
    </xf>
    <xf numFmtId="0" fontId="0" fillId="59" borderId="53" xfId="0" applyFill="1" applyBorder="1"/>
    <xf numFmtId="0" fontId="71" fillId="0" borderId="0" xfId="520" applyFont="1"/>
    <xf numFmtId="0" fontId="71" fillId="0" borderId="0" xfId="348" applyFont="1" applyAlignment="1">
      <alignment vertical="center"/>
    </xf>
    <xf numFmtId="0" fontId="71" fillId="0" borderId="0" xfId="390" applyFont="1"/>
    <xf numFmtId="0" fontId="71" fillId="0" borderId="0" xfId="0" applyFont="1"/>
    <xf numFmtId="0" fontId="2" fillId="0" borderId="0" xfId="205" applyFont="1"/>
    <xf numFmtId="0" fontId="70" fillId="0" borderId="0" xfId="0" applyFont="1" applyAlignment="1">
      <alignment vertical="center" wrapText="1"/>
    </xf>
    <xf numFmtId="168" fontId="71" fillId="0" borderId="0" xfId="0" applyNumberFormat="1" applyFont="1"/>
    <xf numFmtId="0" fontId="71" fillId="0" borderId="0" xfId="160" applyFont="1"/>
    <xf numFmtId="0" fontId="2" fillId="0" borderId="0" xfId="516" applyFont="1"/>
    <xf numFmtId="0" fontId="71" fillId="0" borderId="0" xfId="130" applyFont="1" applyAlignment="1">
      <alignment vertical="center"/>
    </xf>
    <xf numFmtId="49" fontId="71" fillId="0" borderId="0" xfId="0" applyNumberFormat="1" applyFont="1"/>
    <xf numFmtId="0" fontId="71" fillId="0" borderId="0" xfId="0" applyFont="1" applyAlignment="1">
      <alignment horizontal="left"/>
    </xf>
    <xf numFmtId="0" fontId="70" fillId="0" borderId="0" xfId="0" applyFont="1" applyAlignment="1">
      <alignment horizontal="left" wrapText="1"/>
    </xf>
    <xf numFmtId="0" fontId="71" fillId="0" borderId="10" xfId="0" applyFont="1" applyBorder="1" applyAlignment="1">
      <alignment vertical="center" wrapText="1"/>
    </xf>
    <xf numFmtId="0" fontId="87" fillId="0" borderId="0" xfId="115" applyFont="1" applyAlignment="1" applyProtection="1">
      <alignment vertical="center"/>
    </xf>
    <xf numFmtId="0" fontId="71" fillId="0" borderId="0" xfId="0" applyFont="1" applyAlignment="1">
      <alignment vertical="center"/>
    </xf>
    <xf numFmtId="0" fontId="86" fillId="0" borderId="10" xfId="0" applyFont="1" applyBorder="1" applyAlignment="1">
      <alignment vertical="center" wrapText="1"/>
    </xf>
    <xf numFmtId="0" fontId="70" fillId="58" borderId="10" xfId="0" applyFont="1" applyFill="1" applyBorder="1" applyAlignment="1">
      <alignment vertical="center" wrapText="1"/>
    </xf>
    <xf numFmtId="0" fontId="70" fillId="58" borderId="10" xfId="0" applyFont="1" applyFill="1" applyBorder="1" applyAlignment="1">
      <alignment horizontal="left"/>
    </xf>
    <xf numFmtId="0" fontId="89" fillId="0" borderId="10" xfId="0" applyFont="1" applyBorder="1" applyAlignment="1">
      <alignment horizontal="center"/>
    </xf>
    <xf numFmtId="0" fontId="70" fillId="58" borderId="10" xfId="0" applyFont="1" applyFill="1" applyBorder="1"/>
    <xf numFmtId="0" fontId="2" fillId="59" borderId="10" xfId="205" applyFont="1" applyFill="1" applyBorder="1" applyAlignment="1">
      <alignment horizontal="center"/>
    </xf>
    <xf numFmtId="0" fontId="71" fillId="59" borderId="10" xfId="130" applyFont="1" applyFill="1" applyBorder="1" applyAlignment="1">
      <alignment horizontal="center" vertical="center"/>
    </xf>
    <xf numFmtId="0" fontId="71" fillId="59" borderId="10" xfId="160" applyFont="1" applyFill="1" applyBorder="1" applyAlignment="1">
      <alignment horizontal="center"/>
    </xf>
    <xf numFmtId="0" fontId="70" fillId="58" borderId="10" xfId="0" applyFont="1" applyFill="1" applyBorder="1" applyAlignment="1">
      <alignment wrapText="1"/>
    </xf>
    <xf numFmtId="0" fontId="71" fillId="0" borderId="10" xfId="0" applyFont="1" applyBorder="1" applyAlignment="1">
      <alignment horizontal="center"/>
    </xf>
    <xf numFmtId="0" fontId="71" fillId="59" borderId="10" xfId="0" applyFont="1" applyFill="1" applyBorder="1" applyAlignment="1">
      <alignment horizontal="center"/>
    </xf>
    <xf numFmtId="0" fontId="71" fillId="59" borderId="13" xfId="0" applyFont="1" applyFill="1" applyBorder="1" applyAlignment="1">
      <alignment horizontal="center"/>
    </xf>
    <xf numFmtId="0" fontId="71" fillId="0" borderId="11" xfId="0" applyFont="1" applyBorder="1"/>
    <xf numFmtId="0" fontId="71" fillId="0" borderId="16" xfId="0" applyFont="1" applyBorder="1"/>
    <xf numFmtId="0" fontId="71" fillId="0" borderId="15" xfId="0" applyFont="1" applyBorder="1"/>
    <xf numFmtId="0" fontId="71" fillId="0" borderId="16" xfId="0" applyFont="1" applyBorder="1" applyAlignment="1">
      <alignment wrapText="1"/>
    </xf>
    <xf numFmtId="0" fontId="71" fillId="0" borderId="10" xfId="0" applyFont="1" applyBorder="1"/>
    <xf numFmtId="0" fontId="0" fillId="60" borderId="0" xfId="0" applyFill="1"/>
    <xf numFmtId="0" fontId="79" fillId="0" borderId="0" xfId="0" applyFont="1" applyAlignment="1">
      <alignment vertical="top"/>
    </xf>
    <xf numFmtId="0" fontId="78" fillId="0" borderId="0" xfId="742" applyFont="1" applyAlignment="1">
      <alignment vertical="top" wrapText="1"/>
    </xf>
    <xf numFmtId="0" fontId="81" fillId="0" borderId="0" xfId="0" quotePrefix="1" applyFont="1" applyAlignment="1">
      <alignment horizontal="left" vertical="center" indent="4"/>
    </xf>
    <xf numFmtId="0" fontId="77" fillId="0" borderId="16" xfId="0" applyFont="1" applyBorder="1" applyAlignment="1">
      <alignment vertical="center"/>
    </xf>
    <xf numFmtId="0" fontId="90" fillId="0" borderId="0" xfId="743"/>
    <xf numFmtId="0" fontId="9" fillId="0" borderId="14" xfId="0" applyFont="1" applyBorder="1"/>
    <xf numFmtId="166" fontId="58" fillId="24" borderId="0" xfId="0" applyNumberFormat="1" applyFont="1" applyFill="1" applyAlignment="1" applyProtection="1">
      <alignment horizontal="right"/>
      <protection hidden="1"/>
    </xf>
    <xf numFmtId="166" fontId="0" fillId="24" borderId="0" xfId="0" applyNumberFormat="1" applyFill="1" applyProtection="1">
      <protection hidden="1"/>
    </xf>
    <xf numFmtId="0" fontId="9" fillId="58" borderId="0" xfId="0" applyFont="1" applyFill="1" applyAlignment="1" applyProtection="1">
      <alignment horizontal="center" vertical="center" wrapText="1"/>
      <protection hidden="1"/>
    </xf>
    <xf numFmtId="0" fontId="10" fillId="0" borderId="0" xfId="0" applyFont="1" applyAlignment="1" applyProtection="1">
      <alignment horizontal="center" vertical="center"/>
      <protection hidden="1"/>
    </xf>
    <xf numFmtId="167" fontId="58" fillId="0" borderId="0" xfId="143" applyNumberFormat="1" applyFont="1" applyAlignment="1" applyProtection="1">
      <alignment horizontal="center" vertical="center"/>
      <protection hidden="1"/>
    </xf>
    <xf numFmtId="0" fontId="58" fillId="0" borderId="0" xfId="0" applyFont="1" applyAlignment="1" applyProtection="1">
      <alignment horizontal="center" vertical="center"/>
      <protection hidden="1"/>
    </xf>
    <xf numFmtId="3" fontId="58" fillId="0" borderId="0" xfId="143" applyNumberFormat="1" applyFont="1" applyAlignment="1" applyProtection="1">
      <alignment horizontal="center" vertical="center"/>
      <protection hidden="1"/>
    </xf>
    <xf numFmtId="166" fontId="4" fillId="59" borderId="0" xfId="0" applyNumberFormat="1" applyFont="1" applyFill="1" applyAlignment="1" applyProtection="1">
      <alignment horizontal="right"/>
      <protection hidden="1"/>
    </xf>
    <xf numFmtId="0" fontId="9" fillId="58" borderId="15" xfId="0" applyFont="1" applyFill="1" applyBorder="1" applyAlignment="1" applyProtection="1">
      <alignment horizontal="center" vertical="center" wrapText="1"/>
      <protection hidden="1"/>
    </xf>
    <xf numFmtId="3" fontId="4" fillId="59" borderId="0" xfId="0" applyNumberFormat="1" applyFont="1" applyFill="1" applyAlignment="1" applyProtection="1">
      <alignment horizontal="right"/>
      <protection hidden="1"/>
    </xf>
    <xf numFmtId="166" fontId="4" fillId="59" borderId="15" xfId="0" applyNumberFormat="1" applyFont="1" applyFill="1" applyBorder="1" applyAlignment="1" applyProtection="1">
      <alignment horizontal="right"/>
      <protection hidden="1"/>
    </xf>
    <xf numFmtId="1" fontId="4" fillId="59" borderId="15" xfId="0" applyNumberFormat="1" applyFont="1" applyFill="1" applyBorder="1" applyAlignment="1" applyProtection="1">
      <alignment horizontal="right"/>
      <protection hidden="1"/>
    </xf>
    <xf numFmtId="0" fontId="50" fillId="0" borderId="0" xfId="0" applyFont="1" applyAlignment="1" applyProtection="1">
      <alignment horizontal="center" vertical="center"/>
      <protection hidden="1"/>
    </xf>
    <xf numFmtId="0" fontId="50" fillId="0" borderId="0" xfId="0" applyFont="1" applyAlignment="1" applyProtection="1">
      <alignment horizontal="center" vertical="center" wrapText="1"/>
      <protection hidden="1"/>
    </xf>
    <xf numFmtId="169" fontId="4" fillId="59" borderId="0" xfId="0" applyNumberFormat="1" applyFont="1" applyFill="1" applyAlignment="1" applyProtection="1">
      <alignment horizontal="right"/>
      <protection hidden="1"/>
    </xf>
    <xf numFmtId="167" fontId="4" fillId="59" borderId="0" xfId="82" applyNumberFormat="1" applyFont="1" applyFill="1" applyAlignment="1" applyProtection="1">
      <alignment horizontal="center" vertical="center"/>
      <protection hidden="1"/>
    </xf>
    <xf numFmtId="0" fontId="55" fillId="0" borderId="0" xfId="0" applyFont="1" applyAlignment="1" applyProtection="1">
      <alignment vertical="center"/>
      <protection hidden="1"/>
    </xf>
    <xf numFmtId="3" fontId="4" fillId="59" borderId="15" xfId="0" applyNumberFormat="1" applyFont="1" applyFill="1" applyBorder="1" applyAlignment="1">
      <alignment horizontal="right"/>
    </xf>
    <xf numFmtId="3" fontId="4" fillId="59" borderId="15" xfId="0" applyNumberFormat="1" applyFont="1" applyFill="1" applyBorder="1" applyAlignment="1" applyProtection="1">
      <alignment horizontal="right"/>
      <protection hidden="1"/>
    </xf>
    <xf numFmtId="3" fontId="4" fillId="59" borderId="11" xfId="0" applyNumberFormat="1" applyFont="1" applyFill="1" applyBorder="1" applyAlignment="1">
      <alignment horizontal="right"/>
    </xf>
    <xf numFmtId="0" fontId="0" fillId="0" borderId="0" xfId="0" applyAlignment="1">
      <alignment wrapText="1"/>
    </xf>
    <xf numFmtId="0" fontId="10" fillId="0" borderId="0" xfId="0" applyFont="1" applyAlignment="1" applyProtection="1">
      <alignment vertical="top"/>
      <protection hidden="1"/>
    </xf>
    <xf numFmtId="0" fontId="28" fillId="0" borderId="0" xfId="0" applyFont="1" applyAlignment="1" applyProtection="1">
      <alignment horizontal="left" vertical="center"/>
      <protection locked="0" hidden="1"/>
    </xf>
    <xf numFmtId="0" fontId="9" fillId="0" borderId="0" xfId="0" applyFont="1" applyAlignment="1" applyProtection="1">
      <alignment horizontal="left" vertical="center"/>
      <protection locked="0" hidden="1"/>
    </xf>
    <xf numFmtId="167" fontId="0" fillId="0" borderId="0" xfId="0" applyNumberFormat="1"/>
    <xf numFmtId="0" fontId="4" fillId="60" borderId="0" xfId="0" applyFont="1" applyFill="1"/>
    <xf numFmtId="169" fontId="4" fillId="60" borderId="0" xfId="0" applyNumberFormat="1" applyFont="1" applyFill="1"/>
    <xf numFmtId="10" fontId="0" fillId="0" borderId="0" xfId="0" applyNumberFormat="1"/>
    <xf numFmtId="0" fontId="78" fillId="0" borderId="0" xfId="0" applyFont="1" applyAlignment="1">
      <alignment horizontal="left"/>
    </xf>
    <xf numFmtId="0" fontId="4" fillId="61" borderId="0" xfId="0" applyFont="1" applyFill="1" applyAlignment="1">
      <alignment wrapText="1"/>
    </xf>
    <xf numFmtId="0" fontId="54" fillId="0" borderId="0" xfId="0" applyFont="1" applyAlignment="1" applyProtection="1">
      <alignment horizontal="left" vertical="center"/>
      <protection hidden="1"/>
    </xf>
    <xf numFmtId="0" fontId="54" fillId="0" borderId="0" xfId="0" applyFont="1" applyAlignment="1" applyProtection="1">
      <alignment horizontal="left"/>
      <protection hidden="1"/>
    </xf>
    <xf numFmtId="0" fontId="0" fillId="61" borderId="0" xfId="0" applyFill="1"/>
    <xf numFmtId="0" fontId="78" fillId="0" borderId="0" xfId="0" applyFont="1" applyAlignment="1" applyProtection="1">
      <alignment vertical="center" wrapText="1"/>
      <protection hidden="1"/>
    </xf>
    <xf numFmtId="0" fontId="78" fillId="0" borderId="0" xfId="0" applyFont="1" applyProtection="1">
      <protection hidden="1"/>
    </xf>
    <xf numFmtId="0" fontId="78" fillId="0" borderId="0" xfId="0" applyFont="1" applyAlignment="1">
      <alignment vertical="center"/>
    </xf>
    <xf numFmtId="165" fontId="92" fillId="0" borderId="0" xfId="0" applyNumberFormat="1" applyFont="1" applyAlignment="1" applyProtection="1">
      <alignment horizontal="center"/>
      <protection hidden="1"/>
    </xf>
    <xf numFmtId="0" fontId="78" fillId="0" borderId="0" xfId="0" applyFont="1" applyAlignment="1" applyProtection="1">
      <alignment wrapText="1"/>
      <protection hidden="1"/>
    </xf>
    <xf numFmtId="0" fontId="52" fillId="63" borderId="39" xfId="0" applyFont="1" applyFill="1" applyBorder="1" applyAlignment="1" applyProtection="1">
      <alignment vertical="center"/>
      <protection hidden="1"/>
    </xf>
    <xf numFmtId="0" fontId="52" fillId="62" borderId="40" xfId="0" applyFont="1" applyFill="1" applyBorder="1" applyAlignment="1" applyProtection="1">
      <alignment vertical="center"/>
      <protection hidden="1"/>
    </xf>
    <xf numFmtId="0" fontId="52" fillId="64" borderId="27" xfId="0" applyFont="1" applyFill="1" applyBorder="1" applyAlignment="1" applyProtection="1">
      <alignment horizontal="center" vertical="top" wrapText="1"/>
      <protection hidden="1"/>
    </xf>
    <xf numFmtId="3" fontId="52" fillId="64" borderId="28" xfId="0" applyNumberFormat="1" applyFont="1" applyFill="1" applyBorder="1" applyAlignment="1" applyProtection="1">
      <alignment horizontal="center" vertical="center" wrapText="1"/>
      <protection hidden="1"/>
    </xf>
    <xf numFmtId="164" fontId="52" fillId="64" borderId="28" xfId="0" applyNumberFormat="1" applyFont="1" applyFill="1" applyBorder="1" applyAlignment="1" applyProtection="1">
      <alignment horizontal="center" vertical="center" wrapText="1"/>
      <protection hidden="1"/>
    </xf>
    <xf numFmtId="3" fontId="52" fillId="64" borderId="29" xfId="0" applyNumberFormat="1" applyFont="1" applyFill="1" applyBorder="1" applyAlignment="1" applyProtection="1">
      <alignment horizontal="center" vertical="center" wrapText="1"/>
      <protection hidden="1"/>
    </xf>
    <xf numFmtId="0" fontId="4" fillId="0" borderId="0" xfId="345" applyFont="1" applyProtection="1">
      <protection hidden="1"/>
    </xf>
    <xf numFmtId="0" fontId="57" fillId="0" borderId="0" xfId="345" applyFont="1" applyProtection="1">
      <protection hidden="1"/>
    </xf>
    <xf numFmtId="0" fontId="64" fillId="0" borderId="0" xfId="345" applyFont="1" applyProtection="1">
      <protection hidden="1"/>
    </xf>
    <xf numFmtId="0" fontId="58" fillId="0" borderId="0" xfId="345" applyFont="1" applyAlignment="1" applyProtection="1">
      <alignment wrapText="1"/>
      <protection hidden="1"/>
    </xf>
    <xf numFmtId="0" fontId="58" fillId="0" borderId="0" xfId="345" applyFont="1" applyAlignment="1" applyProtection="1">
      <alignment vertical="center" wrapText="1"/>
      <protection hidden="1"/>
    </xf>
    <xf numFmtId="0" fontId="10" fillId="0" borderId="0" xfId="345" applyFont="1" applyAlignment="1">
      <alignment vertical="center"/>
    </xf>
    <xf numFmtId="0" fontId="58" fillId="0" borderId="0" xfId="345" applyFont="1"/>
    <xf numFmtId="0" fontId="10" fillId="0" borderId="0" xfId="345" applyFont="1"/>
    <xf numFmtId="0" fontId="4" fillId="0" borderId="0" xfId="345" applyFont="1" applyAlignment="1" applyProtection="1">
      <alignment wrapText="1"/>
      <protection hidden="1"/>
    </xf>
    <xf numFmtId="0" fontId="9" fillId="0" borderId="0" xfId="345" applyFont="1" applyAlignment="1" applyProtection="1">
      <alignment horizontal="left" vertical="center"/>
      <protection hidden="1"/>
    </xf>
    <xf numFmtId="0" fontId="9" fillId="0" borderId="0" xfId="345" applyFont="1" applyAlignment="1" applyProtection="1">
      <alignment vertical="center" wrapText="1"/>
      <protection hidden="1"/>
    </xf>
    <xf numFmtId="0" fontId="4" fillId="0" borderId="0" xfId="345" applyFont="1" applyAlignment="1" applyProtection="1">
      <alignment vertical="center"/>
      <protection hidden="1"/>
    </xf>
    <xf numFmtId="0" fontId="52" fillId="0" borderId="26" xfId="345" applyFont="1" applyBorder="1" applyAlignment="1" applyProtection="1">
      <alignment horizontal="left" vertical="center"/>
      <protection hidden="1"/>
    </xf>
    <xf numFmtId="0" fontId="4" fillId="0" borderId="0" xfId="345" applyFont="1" applyAlignment="1" applyProtection="1">
      <alignment vertical="center" wrapText="1"/>
      <protection hidden="1"/>
    </xf>
    <xf numFmtId="0" fontId="9" fillId="0" borderId="0" xfId="345" applyFont="1" applyAlignment="1" applyProtection="1">
      <alignment vertical="center"/>
      <protection hidden="1"/>
    </xf>
    <xf numFmtId="0" fontId="4" fillId="24" borderId="0" xfId="345" applyFont="1" applyFill="1" applyProtection="1">
      <protection hidden="1"/>
    </xf>
    <xf numFmtId="0" fontId="4" fillId="24" borderId="0" xfId="345" applyFont="1" applyFill="1" applyAlignment="1" applyProtection="1">
      <alignment wrapText="1"/>
      <protection hidden="1"/>
    </xf>
    <xf numFmtId="0" fontId="52" fillId="0" borderId="26" xfId="345" applyFont="1" applyBorder="1" applyAlignment="1" applyProtection="1">
      <alignment horizontal="left" vertical="center" wrapText="1"/>
      <protection hidden="1"/>
    </xf>
    <xf numFmtId="0" fontId="6" fillId="0" borderId="0" xfId="345" applyFont="1" applyProtection="1">
      <protection hidden="1"/>
    </xf>
    <xf numFmtId="0" fontId="52" fillId="64" borderId="27" xfId="345" applyFont="1" applyFill="1" applyBorder="1" applyAlignment="1" applyProtection="1">
      <alignment horizontal="center" vertical="top" wrapText="1"/>
      <protection hidden="1"/>
    </xf>
    <xf numFmtId="3" fontId="52" fillId="64" borderId="28" xfId="345" applyNumberFormat="1" applyFont="1" applyFill="1" applyBorder="1" applyAlignment="1" applyProtection="1">
      <alignment horizontal="center" vertical="center" wrapText="1"/>
      <protection hidden="1"/>
    </xf>
    <xf numFmtId="164" fontId="52" fillId="64" borderId="28" xfId="345" applyNumberFormat="1" applyFont="1" applyFill="1" applyBorder="1" applyAlignment="1" applyProtection="1">
      <alignment horizontal="center" vertical="center" wrapText="1"/>
      <protection hidden="1"/>
    </xf>
    <xf numFmtId="3" fontId="52" fillId="64" borderId="29" xfId="345" applyNumberFormat="1" applyFont="1" applyFill="1" applyBorder="1" applyAlignment="1" applyProtection="1">
      <alignment horizontal="center" vertical="center" wrapText="1"/>
      <protection hidden="1"/>
    </xf>
    <xf numFmtId="0" fontId="58" fillId="0" borderId="10" xfId="345" applyFont="1" applyBorder="1" applyAlignment="1" applyProtection="1">
      <alignment horizontal="center" vertical="center" wrapText="1"/>
      <protection hidden="1"/>
    </xf>
    <xf numFmtId="3" fontId="58" fillId="0" borderId="10" xfId="345" applyNumberFormat="1" applyFont="1" applyBorder="1" applyAlignment="1" applyProtection="1">
      <alignment horizontal="center" vertical="center" wrapText="1"/>
      <protection hidden="1"/>
    </xf>
    <xf numFmtId="166" fontId="58" fillId="0" borderId="10" xfId="345" applyNumberFormat="1" applyFont="1" applyBorder="1" applyAlignment="1" applyProtection="1">
      <alignment horizontal="center" vertical="center" wrapText="1"/>
      <protection hidden="1"/>
    </xf>
    <xf numFmtId="0" fontId="58" fillId="0" borderId="0" xfId="345" applyFont="1" applyAlignment="1" applyProtection="1">
      <alignment horizontal="center" vertical="center" wrapText="1"/>
      <protection hidden="1"/>
    </xf>
    <xf numFmtId="166" fontId="58" fillId="0" borderId="0" xfId="345" applyNumberFormat="1" applyFont="1" applyAlignment="1" applyProtection="1">
      <alignment horizontal="center" vertical="center" wrapText="1"/>
      <protection hidden="1"/>
    </xf>
    <xf numFmtId="0" fontId="58" fillId="0" borderId="0" xfId="345" applyFont="1" applyAlignment="1" applyProtection="1">
      <alignment horizontal="center" vertical="top" wrapText="1"/>
      <protection hidden="1"/>
    </xf>
    <xf numFmtId="0" fontId="58" fillId="0" borderId="0" xfId="345" applyFont="1" applyAlignment="1" applyProtection="1">
      <alignment vertical="top" wrapText="1"/>
      <protection hidden="1"/>
    </xf>
    <xf numFmtId="0" fontId="58" fillId="0" borderId="0" xfId="345" applyFont="1" applyAlignment="1">
      <alignment horizontal="left"/>
    </xf>
    <xf numFmtId="0" fontId="58" fillId="0" borderId="0" xfId="345" applyFont="1" applyAlignment="1" applyProtection="1">
      <alignment horizontal="left" vertical="center" wrapText="1"/>
      <protection hidden="1"/>
    </xf>
    <xf numFmtId="0" fontId="58" fillId="0" borderId="0" xfId="345" applyFont="1" applyProtection="1">
      <protection hidden="1"/>
    </xf>
    <xf numFmtId="0" fontId="58" fillId="0" borderId="0" xfId="345" applyFont="1" applyAlignment="1" applyProtection="1">
      <alignment horizontal="left" wrapText="1"/>
      <protection hidden="1"/>
    </xf>
    <xf numFmtId="0" fontId="58" fillId="0" borderId="0" xfId="345" applyFont="1" applyAlignment="1" applyProtection="1">
      <alignment horizontal="left"/>
      <protection hidden="1"/>
    </xf>
    <xf numFmtId="0" fontId="60" fillId="0" borderId="0" xfId="345" applyFont="1" applyAlignment="1" applyProtection="1">
      <alignment horizontal="left"/>
      <protection hidden="1"/>
    </xf>
    <xf numFmtId="0" fontId="6" fillId="0" borderId="0" xfId="345" applyFont="1" applyAlignment="1" applyProtection="1">
      <alignment horizontal="left"/>
      <protection hidden="1"/>
    </xf>
    <xf numFmtId="0" fontId="4" fillId="0" borderId="0" xfId="345" applyFont="1" applyAlignment="1" applyProtection="1">
      <alignment horizontal="left" wrapText="1"/>
      <protection hidden="1"/>
    </xf>
    <xf numFmtId="0" fontId="4" fillId="0" borderId="0" xfId="345" applyFont="1" applyAlignment="1" applyProtection="1">
      <alignment horizontal="left"/>
      <protection hidden="1"/>
    </xf>
    <xf numFmtId="0" fontId="58" fillId="0" borderId="0" xfId="345" applyFont="1" applyAlignment="1">
      <alignment vertical="center"/>
    </xf>
    <xf numFmtId="0" fontId="58" fillId="0" borderId="0" xfId="345" applyFont="1" applyAlignment="1">
      <alignment vertical="center" wrapText="1"/>
    </xf>
    <xf numFmtId="0" fontId="52" fillId="63" borderId="39" xfId="345" applyFont="1" applyFill="1" applyBorder="1" applyAlignment="1" applyProtection="1">
      <alignment vertical="center"/>
      <protection hidden="1"/>
    </xf>
    <xf numFmtId="0" fontId="52" fillId="0" borderId="26" xfId="345" applyFont="1" applyBorder="1" applyAlignment="1" applyProtection="1">
      <alignment vertical="center"/>
      <protection hidden="1"/>
    </xf>
    <xf numFmtId="0" fontId="10" fillId="0" borderId="38" xfId="345" applyFont="1" applyBorder="1" applyAlignment="1" applyProtection="1">
      <alignment horizontal="left" vertical="center" wrapText="1"/>
      <protection locked="0"/>
    </xf>
    <xf numFmtId="0" fontId="10" fillId="0" borderId="38" xfId="345" applyFont="1" applyBorder="1" applyAlignment="1" applyProtection="1">
      <alignment horizontal="left" vertical="center"/>
      <protection locked="0"/>
    </xf>
    <xf numFmtId="167" fontId="31" fillId="0" borderId="0" xfId="345" applyNumberFormat="1" applyFont="1" applyAlignment="1" applyProtection="1">
      <alignment horizontal="center"/>
      <protection hidden="1"/>
    </xf>
    <xf numFmtId="165" fontId="31" fillId="0" borderId="0" xfId="345" applyNumberFormat="1" applyFont="1" applyAlignment="1" applyProtection="1">
      <alignment horizontal="center"/>
      <protection hidden="1"/>
    </xf>
    <xf numFmtId="0" fontId="30" fillId="24" borderId="0" xfId="345" applyFont="1" applyFill="1" applyAlignment="1" applyProtection="1">
      <alignment horizontal="left" wrapText="1"/>
      <protection hidden="1"/>
    </xf>
    <xf numFmtId="0" fontId="4" fillId="24" borderId="0" xfId="345" applyFont="1" applyFill="1" applyAlignment="1" applyProtection="1">
      <alignment horizontal="left"/>
      <protection hidden="1"/>
    </xf>
    <xf numFmtId="0" fontId="58" fillId="24" borderId="0" xfId="345" applyFont="1" applyFill="1" applyProtection="1">
      <protection hidden="1"/>
    </xf>
    <xf numFmtId="0" fontId="58" fillId="24" borderId="0" xfId="345" applyFont="1" applyFill="1" applyAlignment="1" applyProtection="1">
      <alignment wrapText="1"/>
      <protection hidden="1"/>
    </xf>
    <xf numFmtId="0" fontId="4" fillId="24" borderId="0" xfId="345" applyFont="1" applyFill="1" applyAlignment="1" applyProtection="1">
      <alignment horizontal="left" wrapText="1"/>
      <protection hidden="1"/>
    </xf>
    <xf numFmtId="0" fontId="6" fillId="24" borderId="0" xfId="345" applyFont="1" applyFill="1" applyAlignment="1" applyProtection="1">
      <alignment horizontal="left"/>
      <protection hidden="1"/>
    </xf>
    <xf numFmtId="0" fontId="4" fillId="24" borderId="0" xfId="345" applyFont="1" applyFill="1" applyAlignment="1" applyProtection="1">
      <alignment horizontal="left" vertical="center" wrapText="1"/>
      <protection hidden="1"/>
    </xf>
    <xf numFmtId="0" fontId="91" fillId="61" borderId="0" xfId="0" applyFont="1" applyFill="1" applyAlignment="1" applyProtection="1">
      <alignment vertical="top" wrapText="1"/>
      <protection locked="0"/>
    </xf>
    <xf numFmtId="0" fontId="106" fillId="61" borderId="0" xfId="744" applyFont="1" applyFill="1" applyAlignment="1">
      <alignment vertical="center"/>
    </xf>
    <xf numFmtId="0" fontId="101" fillId="61" borderId="0" xfId="746" applyFill="1" applyAlignment="1">
      <alignment vertical="center"/>
    </xf>
    <xf numFmtId="0" fontId="1" fillId="61" borderId="0" xfId="744" applyFont="1" applyFill="1"/>
    <xf numFmtId="0" fontId="71" fillId="0" borderId="0" xfId="517" applyFont="1"/>
    <xf numFmtId="0" fontId="52" fillId="64" borderId="27" xfId="0" applyFont="1" applyFill="1" applyBorder="1" applyAlignment="1" applyProtection="1">
      <alignment horizontal="center" vertical="center" wrapText="1"/>
      <protection hidden="1"/>
    </xf>
    <xf numFmtId="0" fontId="98" fillId="61" borderId="0" xfId="115" applyFont="1" applyFill="1" applyAlignment="1">
      <alignment horizontal="right"/>
      <protection locked="0"/>
    </xf>
    <xf numFmtId="0" fontId="8" fillId="61" borderId="0" xfId="115" applyFill="1" applyAlignment="1">
      <alignment horizontal="right"/>
      <protection locked="0"/>
    </xf>
    <xf numFmtId="0" fontId="98" fillId="61" borderId="0" xfId="115" applyFont="1" applyFill="1" applyAlignment="1">
      <alignment wrapText="1"/>
      <protection locked="0"/>
    </xf>
    <xf numFmtId="0" fontId="94" fillId="61" borderId="0" xfId="0" applyFont="1" applyFill="1" applyAlignment="1" applyProtection="1">
      <alignment horizontal="left" vertical="center" wrapText="1"/>
      <protection hidden="1"/>
    </xf>
    <xf numFmtId="0" fontId="0" fillId="61" borderId="0" xfId="0" applyFill="1" applyProtection="1">
      <protection hidden="1"/>
    </xf>
    <xf numFmtId="0" fontId="4" fillId="61" borderId="0" xfId="0" applyFont="1" applyFill="1" applyAlignment="1" applyProtection="1">
      <alignment wrapText="1"/>
      <protection hidden="1"/>
    </xf>
    <xf numFmtId="0" fontId="95" fillId="61" borderId="0" xfId="0" applyFont="1" applyFill="1" applyAlignment="1" applyProtection="1">
      <alignment horizontal="left" vertical="top" wrapText="1"/>
      <protection hidden="1"/>
    </xf>
    <xf numFmtId="0" fontId="78" fillId="61" borderId="0" xfId="0" applyFont="1" applyFill="1" applyAlignment="1" applyProtection="1">
      <alignment wrapText="1"/>
      <protection hidden="1"/>
    </xf>
    <xf numFmtId="0" fontId="78" fillId="61" borderId="0" xfId="0" applyFont="1" applyFill="1" applyProtection="1">
      <protection hidden="1"/>
    </xf>
    <xf numFmtId="0" fontId="78" fillId="61" borderId="0" xfId="0" applyFont="1" applyFill="1" applyAlignment="1" applyProtection="1">
      <alignment horizontal="left" vertical="top" wrapText="1"/>
      <protection hidden="1"/>
    </xf>
    <xf numFmtId="0" fontId="96" fillId="61" borderId="0" xfId="0" applyFont="1" applyFill="1" applyAlignment="1" applyProtection="1">
      <alignment wrapText="1"/>
      <protection hidden="1"/>
    </xf>
    <xf numFmtId="0" fontId="78" fillId="61" borderId="0" xfId="0" applyFont="1" applyFill="1" applyAlignment="1" applyProtection="1">
      <alignment vertical="top" wrapText="1"/>
      <protection hidden="1"/>
    </xf>
    <xf numFmtId="0" fontId="91" fillId="61" borderId="0" xfId="0" applyFont="1" applyFill="1" applyAlignment="1" applyProtection="1">
      <alignment vertical="top" wrapText="1"/>
      <protection hidden="1"/>
    </xf>
    <xf numFmtId="0" fontId="0" fillId="61" borderId="0" xfId="0" applyFill="1" applyAlignment="1" applyProtection="1">
      <alignment wrapText="1"/>
      <protection hidden="1"/>
    </xf>
    <xf numFmtId="0" fontId="92" fillId="61" borderId="0" xfId="0" applyFont="1" applyFill="1" applyAlignment="1" applyProtection="1">
      <alignment vertical="top" wrapText="1"/>
      <protection hidden="1"/>
    </xf>
    <xf numFmtId="0" fontId="97" fillId="61" borderId="0" xfId="0" applyFont="1" applyFill="1" applyAlignment="1" applyProtection="1">
      <alignment vertical="top" wrapText="1"/>
      <protection hidden="1"/>
    </xf>
    <xf numFmtId="0" fontId="92" fillId="61" borderId="0" xfId="0" applyFont="1" applyFill="1" applyAlignment="1" applyProtection="1">
      <alignment horizontal="left" vertical="top" wrapText="1"/>
      <protection hidden="1"/>
    </xf>
    <xf numFmtId="0" fontId="31" fillId="61" borderId="0" xfId="0" applyFont="1" applyFill="1" applyAlignment="1" applyProtection="1">
      <alignment vertical="top" wrapText="1"/>
      <protection hidden="1"/>
    </xf>
    <xf numFmtId="0" fontId="97" fillId="61" borderId="0" xfId="0" applyFont="1" applyFill="1" applyAlignment="1" applyProtection="1">
      <alignment horizontal="left" vertical="top" wrapText="1"/>
      <protection hidden="1"/>
    </xf>
    <xf numFmtId="0" fontId="78" fillId="61" borderId="0" xfId="0" applyFont="1" applyFill="1" applyAlignment="1" applyProtection="1">
      <alignment horizontal="left" wrapText="1"/>
      <protection hidden="1"/>
    </xf>
    <xf numFmtId="0" fontId="105" fillId="61" borderId="0" xfId="115" quotePrefix="1" applyFont="1" applyFill="1" applyAlignment="1" applyProtection="1">
      <alignment vertical="top" wrapText="1"/>
      <protection hidden="1"/>
    </xf>
    <xf numFmtId="0" fontId="1" fillId="61" borderId="0" xfId="744" applyFont="1" applyFill="1" applyProtection="1">
      <protection hidden="1"/>
    </xf>
    <xf numFmtId="0" fontId="107" fillId="61" borderId="0" xfId="744" applyFont="1" applyFill="1" applyAlignment="1" applyProtection="1">
      <alignment vertical="center"/>
      <protection hidden="1"/>
    </xf>
    <xf numFmtId="0" fontId="106" fillId="61" borderId="0" xfId="744" applyFont="1" applyFill="1" applyAlignment="1" applyProtection="1">
      <alignment vertical="center"/>
      <protection hidden="1"/>
    </xf>
    <xf numFmtId="0" fontId="1" fillId="61" borderId="0" xfId="744" applyFont="1" applyFill="1" applyAlignment="1" applyProtection="1">
      <alignment vertical="center"/>
      <protection hidden="1"/>
    </xf>
    <xf numFmtId="0" fontId="92" fillId="61" borderId="0" xfId="0" applyFont="1" applyFill="1" applyAlignment="1" applyProtection="1">
      <alignment vertical="top" wrapText="1"/>
      <protection locked="0"/>
    </xf>
    <xf numFmtId="0" fontId="9" fillId="58" borderId="12" xfId="0" applyFont="1" applyFill="1" applyBorder="1" applyAlignment="1" applyProtection="1">
      <alignment horizontal="left" vertical="center" wrapText="1"/>
      <protection hidden="1"/>
    </xf>
    <xf numFmtId="0" fontId="9" fillId="58" borderId="13" xfId="0" applyFont="1" applyFill="1" applyBorder="1" applyAlignment="1" applyProtection="1">
      <alignment horizontal="left" vertical="center" wrapText="1"/>
      <protection hidden="1"/>
    </xf>
    <xf numFmtId="0" fontId="50" fillId="0" borderId="0" xfId="0" applyFont="1" applyAlignment="1" applyProtection="1">
      <alignment horizontal="center" vertical="center" textRotation="90"/>
      <protection hidden="1"/>
    </xf>
    <xf numFmtId="0" fontId="10" fillId="0" borderId="0" xfId="0" applyFont="1" applyAlignment="1" applyProtection="1">
      <alignment horizontal="center" vertical="center" wrapText="1"/>
      <protection hidden="1"/>
    </xf>
    <xf numFmtId="2" fontId="4" fillId="59" borderId="15" xfId="0" applyNumberFormat="1" applyFont="1" applyFill="1" applyBorder="1" applyAlignment="1" applyProtection="1">
      <alignment horizontal="right"/>
      <protection hidden="1"/>
    </xf>
    <xf numFmtId="0" fontId="82" fillId="0" borderId="10" xfId="0" applyFont="1" applyBorder="1" applyAlignment="1" applyProtection="1">
      <alignment horizontal="left" vertical="center"/>
      <protection hidden="1"/>
    </xf>
    <xf numFmtId="0" fontId="0" fillId="0" borderId="0" xfId="0" applyAlignment="1" applyProtection="1">
      <alignment vertical="center"/>
      <protection hidden="1"/>
    </xf>
    <xf numFmtId="0" fontId="51" fillId="0" borderId="0" xfId="0" applyFont="1" applyAlignment="1" applyProtection="1">
      <alignment vertical="center"/>
      <protection hidden="1"/>
    </xf>
    <xf numFmtId="0" fontId="66" fillId="0" borderId="0" xfId="0" applyFont="1" applyAlignment="1" applyProtection="1">
      <alignment vertical="center"/>
      <protection hidden="1"/>
    </xf>
    <xf numFmtId="0" fontId="109" fillId="0" borderId="0" xfId="0" applyFont="1" applyAlignment="1" applyProtection="1">
      <alignment vertical="center"/>
      <protection hidden="1"/>
    </xf>
    <xf numFmtId="0" fontId="0" fillId="59" borderId="55" xfId="0" applyFill="1" applyBorder="1"/>
    <xf numFmtId="0" fontId="8" fillId="61" borderId="0" xfId="115" applyFill="1" applyAlignment="1">
      <alignment horizontal="left" vertical="top" wrapText="1"/>
      <protection locked="0"/>
    </xf>
    <xf numFmtId="0" fontId="108" fillId="61" borderId="0" xfId="756" applyFont="1" applyFill="1" applyAlignment="1" applyProtection="1">
      <alignment horizontal="left" vertical="top" wrapText="1"/>
      <protection locked="0"/>
    </xf>
    <xf numFmtId="0" fontId="92" fillId="61" borderId="0" xfId="744" applyFont="1" applyFill="1" applyAlignment="1">
      <alignment horizontal="left" vertical="top" wrapText="1"/>
    </xf>
    <xf numFmtId="0" fontId="99" fillId="61" borderId="0" xfId="115" applyFont="1" applyFill="1" applyAlignment="1" applyProtection="1">
      <alignment wrapText="1"/>
      <protection hidden="1"/>
    </xf>
    <xf numFmtId="0" fontId="8" fillId="0" borderId="0" xfId="115">
      <alignment vertical="top"/>
      <protection locked="0"/>
    </xf>
    <xf numFmtId="0" fontId="78" fillId="0" borderId="0" xfId="0" applyFont="1" applyAlignment="1">
      <alignment horizontal="left" vertical="top"/>
    </xf>
    <xf numFmtId="0" fontId="78" fillId="0" borderId="0" xfId="0" applyFont="1"/>
    <xf numFmtId="0" fontId="75" fillId="57" borderId="0" xfId="0" applyFont="1" applyFill="1" applyAlignment="1">
      <alignment horizontal="left"/>
    </xf>
    <xf numFmtId="0" fontId="79" fillId="0" borderId="0" xfId="0" applyFont="1" applyAlignment="1">
      <alignment horizontal="left"/>
    </xf>
    <xf numFmtId="0" fontId="78" fillId="0" borderId="0" xfId="0" applyFont="1" applyAlignment="1">
      <alignment horizontal="left" vertical="top" wrapText="1"/>
    </xf>
    <xf numFmtId="0" fontId="78" fillId="0" borderId="0" xfId="0" applyFont="1" applyAlignment="1">
      <alignment horizontal="left"/>
    </xf>
    <xf numFmtId="0" fontId="76" fillId="57" borderId="0" xfId="0" applyFont="1" applyFill="1" applyAlignment="1">
      <alignment horizontal="left"/>
    </xf>
    <xf numFmtId="0" fontId="50" fillId="0" borderId="54" xfId="0" applyFont="1" applyBorder="1" applyAlignment="1">
      <alignment horizontal="left" wrapText="1"/>
    </xf>
    <xf numFmtId="0" fontId="0" fillId="0" borderId="54" xfId="0" applyBorder="1"/>
    <xf numFmtId="0" fontId="10" fillId="0" borderId="14" xfId="0" applyFont="1" applyBorder="1" applyAlignment="1">
      <alignment horizontal="center" wrapText="1"/>
    </xf>
    <xf numFmtId="0" fontId="0" fillId="0" borderId="14" xfId="0" applyBorder="1"/>
    <xf numFmtId="0" fontId="70" fillId="58" borderId="10" xfId="0" applyFont="1" applyFill="1" applyBorder="1" applyAlignment="1">
      <alignment horizontal="left" wrapText="1"/>
    </xf>
    <xf numFmtId="0" fontId="0" fillId="0" borderId="13" xfId="0" applyBorder="1"/>
    <xf numFmtId="0" fontId="88" fillId="0" borderId="33" xfId="0" applyFont="1" applyBorder="1" applyAlignment="1">
      <alignment horizontal="left" wrapText="1"/>
    </xf>
    <xf numFmtId="0" fontId="0" fillId="0" borderId="33" xfId="0" applyBorder="1"/>
    <xf numFmtId="0" fontId="9" fillId="0" borderId="10" xfId="0" applyFont="1" applyBorder="1" applyAlignment="1" applyProtection="1">
      <alignment horizontal="center" vertical="center" textRotation="90"/>
      <protection hidden="1"/>
    </xf>
    <xf numFmtId="0" fontId="0" fillId="0" borderId="15" xfId="0" applyBorder="1" applyProtection="1">
      <protection hidden="1"/>
    </xf>
    <xf numFmtId="0" fontId="0" fillId="0" borderId="16" xfId="0" applyBorder="1" applyProtection="1">
      <protection hidden="1"/>
    </xf>
    <xf numFmtId="0" fontId="74" fillId="0" borderId="0" xfId="0" applyFont="1" applyAlignment="1">
      <alignment horizontal="left" wrapText="1"/>
    </xf>
    <xf numFmtId="0" fontId="4" fillId="0" borderId="0" xfId="0" applyFont="1"/>
    <xf numFmtId="0" fontId="9" fillId="58" borderId="10" xfId="0" applyFont="1" applyFill="1" applyBorder="1" applyAlignment="1" applyProtection="1">
      <alignment horizontal="center" vertical="center"/>
      <protection hidden="1"/>
    </xf>
    <xf numFmtId="0" fontId="0" fillId="0" borderId="13" xfId="0" applyBorder="1" applyProtection="1">
      <protection hidden="1"/>
    </xf>
    <xf numFmtId="0" fontId="9" fillId="58" borderId="10" xfId="0" applyFont="1" applyFill="1" applyBorder="1" applyAlignment="1" applyProtection="1">
      <alignment horizontal="left" vertical="center" wrapText="1"/>
      <protection hidden="1"/>
    </xf>
    <xf numFmtId="0" fontId="92" fillId="61" borderId="0" xfId="0" applyFont="1" applyFill="1" applyAlignment="1" applyProtection="1">
      <alignment vertical="top" wrapText="1"/>
      <protection locked="0"/>
    </xf>
    <xf numFmtId="0" fontId="0" fillId="0" borderId="0" xfId="0" applyProtection="1">
      <protection locked="0"/>
    </xf>
    <xf numFmtId="0" fontId="92" fillId="61" borderId="0" xfId="0" applyFont="1" applyFill="1" applyAlignment="1" applyProtection="1">
      <alignment horizontal="left" vertical="top" wrapText="1"/>
      <protection locked="0"/>
    </xf>
    <xf numFmtId="0" fontId="92" fillId="61" borderId="0" xfId="744" applyFont="1" applyFill="1" applyAlignment="1" applyProtection="1">
      <alignment horizontal="left" vertical="top" wrapText="1"/>
      <protection hidden="1"/>
    </xf>
    <xf numFmtId="0" fontId="0" fillId="0" borderId="0" xfId="0" applyProtection="1">
      <protection hidden="1"/>
    </xf>
    <xf numFmtId="0" fontId="97" fillId="61" borderId="0" xfId="0" applyFont="1" applyFill="1" applyAlignment="1" applyProtection="1">
      <alignment horizontal="left" vertical="top" wrapText="1"/>
      <protection hidden="1"/>
    </xf>
    <xf numFmtId="0" fontId="31" fillId="61" borderId="0" xfId="0" applyFont="1" applyFill="1" applyAlignment="1" applyProtection="1">
      <alignment vertical="top" wrapText="1"/>
      <protection hidden="1"/>
    </xf>
    <xf numFmtId="0" fontId="97" fillId="61" borderId="0" xfId="0" applyFont="1" applyFill="1" applyAlignment="1" applyProtection="1">
      <alignment vertical="top" wrapText="1"/>
      <protection hidden="1"/>
    </xf>
    <xf numFmtId="0" fontId="78" fillId="0" borderId="0" xfId="0" applyFont="1" applyAlignment="1">
      <alignment horizontal="left" vertical="center" wrapText="1"/>
    </xf>
    <xf numFmtId="0" fontId="58" fillId="0" borderId="0" xfId="0" applyFont="1"/>
    <xf numFmtId="0" fontId="30" fillId="61" borderId="51" xfId="787" applyFont="1" applyFill="1" applyBorder="1" applyAlignment="1" applyProtection="1">
      <alignment horizontal="left" vertical="top" wrapText="1" readingOrder="1"/>
      <protection locked="0"/>
    </xf>
    <xf numFmtId="0" fontId="0" fillId="0" borderId="51" xfId="0" applyBorder="1" applyProtection="1">
      <protection locked="0"/>
    </xf>
    <xf numFmtId="0" fontId="4" fillId="24" borderId="0" xfId="0" applyFont="1" applyFill="1" applyAlignment="1" applyProtection="1">
      <alignment horizontal="left" wrapText="1"/>
      <protection hidden="1"/>
    </xf>
    <xf numFmtId="0" fontId="80" fillId="0" borderId="0" xfId="0" applyFont="1" applyAlignment="1">
      <alignment horizontal="left"/>
    </xf>
    <xf numFmtId="0" fontId="58" fillId="0" borderId="0" xfId="0" applyFont="1" applyAlignment="1" applyProtection="1">
      <alignment wrapText="1"/>
      <protection hidden="1"/>
    </xf>
    <xf numFmtId="0" fontId="78" fillId="0" borderId="0" xfId="0" applyFont="1" applyAlignment="1" applyProtection="1">
      <alignment horizontal="left" wrapText="1"/>
      <protection hidden="1"/>
    </xf>
    <xf numFmtId="0" fontId="58" fillId="0" borderId="0" xfId="0" applyFont="1" applyAlignment="1">
      <alignment horizontal="left"/>
    </xf>
    <xf numFmtId="0" fontId="85" fillId="0" borderId="0" xfId="0" applyFont="1" applyAlignment="1" applyProtection="1">
      <alignment horizontal="left" vertical="center" wrapText="1"/>
      <protection hidden="1"/>
    </xf>
    <xf numFmtId="0" fontId="72" fillId="0" borderId="0" xfId="0" applyFont="1" applyAlignment="1" applyProtection="1">
      <alignment horizontal="left" vertical="center" wrapText="1"/>
      <protection hidden="1"/>
    </xf>
    <xf numFmtId="0" fontId="78" fillId="0" borderId="0" xfId="0" applyFont="1" applyAlignment="1">
      <alignment vertical="center" wrapText="1"/>
    </xf>
    <xf numFmtId="0" fontId="4" fillId="0" borderId="0" xfId="0" applyFont="1" applyAlignment="1" applyProtection="1">
      <alignment wrapText="1"/>
      <protection hidden="1"/>
    </xf>
    <xf numFmtId="0" fontId="52" fillId="0" borderId="0" xfId="0" applyFont="1" applyAlignment="1" applyProtection="1">
      <alignment horizontal="left" vertical="center"/>
      <protection hidden="1"/>
    </xf>
    <xf numFmtId="0" fontId="52" fillId="0" borderId="0" xfId="0" applyFont="1" applyAlignment="1" applyProtection="1">
      <alignment horizontal="center" vertical="center" wrapText="1"/>
      <protection hidden="1"/>
    </xf>
    <xf numFmtId="0" fontId="52" fillId="0" borderId="0" xfId="0" applyFont="1" applyAlignment="1" applyProtection="1">
      <alignment horizontal="left" vertical="center" wrapText="1"/>
      <protection hidden="1"/>
    </xf>
    <xf numFmtId="0" fontId="78" fillId="0" borderId="56" xfId="0" applyFont="1" applyBorder="1" applyAlignment="1">
      <alignment vertical="center" wrapText="1"/>
    </xf>
    <xf numFmtId="0" fontId="0" fillId="0" borderId="49" xfId="0" applyBorder="1"/>
    <xf numFmtId="0" fontId="0" fillId="0" borderId="50" xfId="0" applyBorder="1"/>
    <xf numFmtId="0" fontId="79" fillId="0" borderId="0" xfId="0" applyFont="1" applyAlignment="1">
      <alignment wrapText="1"/>
    </xf>
    <xf numFmtId="0" fontId="4" fillId="24" borderId="0" xfId="0" applyFont="1" applyFill="1" applyAlignment="1" applyProtection="1">
      <alignment wrapText="1"/>
      <protection hidden="1"/>
    </xf>
    <xf numFmtId="0" fontId="67" fillId="0" borderId="0" xfId="0" applyFont="1" applyAlignment="1" applyProtection="1">
      <alignment horizontal="left" vertical="center" wrapText="1"/>
      <protection hidden="1"/>
    </xf>
    <xf numFmtId="0" fontId="52" fillId="62" borderId="48" xfId="0" applyFont="1" applyFill="1" applyBorder="1" applyAlignment="1" applyProtection="1">
      <alignment horizontal="left" vertical="center"/>
      <protection locked="0"/>
    </xf>
    <xf numFmtId="0" fontId="0" fillId="0" borderId="36" xfId="0" applyBorder="1" applyProtection="1">
      <protection locked="0"/>
    </xf>
    <xf numFmtId="0" fontId="66" fillId="0" borderId="0" xfId="0" applyFont="1" applyAlignment="1" applyProtection="1">
      <alignment horizontal="left" vertical="center" wrapText="1"/>
      <protection hidden="1"/>
    </xf>
    <xf numFmtId="0" fontId="10" fillId="0" borderId="38" xfId="0" applyFont="1" applyBorder="1" applyAlignment="1" applyProtection="1">
      <alignment horizontal="left" vertical="center" wrapText="1"/>
      <protection locked="0"/>
    </xf>
    <xf numFmtId="0" fontId="0" fillId="0" borderId="44" xfId="0" applyBorder="1" applyProtection="1">
      <protection locked="0"/>
    </xf>
    <xf numFmtId="0" fontId="10" fillId="0" borderId="0" xfId="0" applyFont="1" applyAlignment="1" applyProtection="1">
      <alignment horizontal="center" vertical="center" wrapText="1"/>
      <protection hidden="1"/>
    </xf>
    <xf numFmtId="0" fontId="58" fillId="0" borderId="0" xfId="0" applyFont="1" applyAlignment="1" applyProtection="1">
      <alignment horizontal="left" vertical="center" wrapText="1"/>
      <protection hidden="1"/>
    </xf>
    <xf numFmtId="0" fontId="58" fillId="0" borderId="0" xfId="0" applyFont="1" applyAlignment="1" applyProtection="1">
      <alignment horizontal="left" vertical="center" wrapText="1"/>
      <protection locked="0" hidden="1"/>
    </xf>
    <xf numFmtId="0" fontId="0" fillId="0" borderId="0" xfId="0" applyProtection="1">
      <protection locked="0" hidden="1"/>
    </xf>
    <xf numFmtId="0" fontId="56" fillId="0" borderId="0" xfId="0" applyFont="1" applyAlignment="1" applyProtection="1">
      <alignment vertical="top" wrapText="1"/>
      <protection hidden="1"/>
    </xf>
    <xf numFmtId="0" fontId="10" fillId="0" borderId="0" xfId="0" applyFont="1" applyAlignment="1" applyProtection="1">
      <alignment horizontal="center" vertical="center" textRotation="90"/>
      <protection hidden="1"/>
    </xf>
    <xf numFmtId="0" fontId="110" fillId="0" borderId="0" xfId="0" applyFont="1" applyAlignment="1" applyProtection="1">
      <alignment vertical="top" wrapText="1"/>
      <protection hidden="1"/>
    </xf>
    <xf numFmtId="0" fontId="50" fillId="0" borderId="0" xfId="0" applyFont="1" applyAlignment="1" applyProtection="1">
      <alignment horizontal="center" vertical="center" textRotation="90"/>
      <protection hidden="1"/>
    </xf>
    <xf numFmtId="0" fontId="50" fillId="0" borderId="0" xfId="0" applyFont="1" applyAlignment="1" applyProtection="1">
      <alignment horizontal="center" vertical="center"/>
      <protection hidden="1"/>
    </xf>
    <xf numFmtId="0" fontId="61" fillId="0" borderId="0" xfId="0" applyFont="1" applyAlignment="1" applyProtection="1">
      <alignment horizontal="left" vertical="center" wrapText="1"/>
      <protection hidden="1"/>
    </xf>
    <xf numFmtId="0" fontId="50" fillId="0" borderId="0" xfId="0" applyFont="1" applyAlignment="1" applyProtection="1">
      <alignment horizontal="center" vertical="center" wrapText="1"/>
      <protection hidden="1"/>
    </xf>
    <xf numFmtId="0" fontId="58" fillId="0" borderId="10" xfId="345" applyFont="1" applyBorder="1" applyAlignment="1" applyProtection="1">
      <alignment horizontal="center" vertical="center" wrapText="1"/>
      <protection hidden="1"/>
    </xf>
    <xf numFmtId="0" fontId="58" fillId="0" borderId="0" xfId="345" applyFont="1" applyAlignment="1">
      <alignment horizontal="left" vertical="center"/>
    </xf>
    <xf numFmtId="0" fontId="58" fillId="0" borderId="0" xfId="345" applyFont="1" applyAlignment="1" applyProtection="1">
      <alignment vertical="center" wrapText="1"/>
      <protection hidden="1"/>
    </xf>
    <xf numFmtId="0" fontId="58" fillId="0" borderId="0" xfId="345" applyFont="1" applyAlignment="1" applyProtection="1">
      <alignment horizontal="left" wrapText="1"/>
      <protection hidden="1"/>
    </xf>
    <xf numFmtId="0" fontId="58" fillId="0" borderId="0" xfId="345" applyFont="1" applyAlignment="1" applyProtection="1">
      <alignment horizontal="left" vertical="center" wrapText="1"/>
      <protection hidden="1"/>
    </xf>
    <xf numFmtId="0" fontId="58" fillId="0" borderId="56" xfId="345" applyFont="1" applyBorder="1" applyAlignment="1">
      <alignment vertical="center" wrapText="1"/>
    </xf>
    <xf numFmtId="0" fontId="58" fillId="0" borderId="0" xfId="345" applyFont="1" applyAlignment="1">
      <alignment horizontal="left" vertical="center" wrapText="1"/>
    </xf>
    <xf numFmtId="0" fontId="58" fillId="0" borderId="0" xfId="345" applyFont="1"/>
    <xf numFmtId="0" fontId="52" fillId="62" borderId="40" xfId="345" applyFont="1" applyFill="1" applyBorder="1" applyAlignment="1" applyProtection="1">
      <alignment horizontal="left" vertical="center"/>
      <protection hidden="1"/>
    </xf>
    <xf numFmtId="0" fontId="0" fillId="0" borderId="45" xfId="0" applyBorder="1" applyProtection="1">
      <protection hidden="1"/>
    </xf>
    <xf numFmtId="0" fontId="52" fillId="62" borderId="57" xfId="345" applyFont="1" applyFill="1" applyBorder="1" applyAlignment="1" applyProtection="1">
      <alignment horizontal="left" vertical="center" wrapText="1"/>
      <protection locked="0"/>
    </xf>
    <xf numFmtId="0" fontId="0" fillId="0" borderId="46" xfId="0" applyBorder="1" applyProtection="1">
      <protection locked="0"/>
    </xf>
    <xf numFmtId="0" fontId="0" fillId="0" borderId="47" xfId="0" applyBorder="1" applyProtection="1">
      <protection locked="0"/>
    </xf>
    <xf numFmtId="0" fontId="73" fillId="0" borderId="38" xfId="345" applyFont="1" applyBorder="1" applyAlignment="1" applyProtection="1">
      <alignment vertical="center"/>
      <protection locked="0"/>
    </xf>
    <xf numFmtId="0" fontId="73" fillId="0" borderId="38" xfId="345" applyFont="1" applyBorder="1" applyAlignment="1" applyProtection="1">
      <alignment horizontal="left" vertical="center" wrapText="1"/>
      <protection locked="0"/>
    </xf>
    <xf numFmtId="0" fontId="0" fillId="0" borderId="43" xfId="0" applyBorder="1" applyProtection="1">
      <protection locked="0"/>
    </xf>
    <xf numFmtId="0" fontId="52" fillId="64" borderId="28" xfId="345" applyFont="1" applyFill="1" applyBorder="1" applyAlignment="1" applyProtection="1">
      <alignment horizontal="center" vertical="top" wrapText="1"/>
      <protection hidden="1"/>
    </xf>
    <xf numFmtId="0" fontId="0" fillId="0" borderId="41" xfId="0" applyBorder="1" applyProtection="1">
      <protection hidden="1"/>
    </xf>
    <xf numFmtId="0" fontId="85" fillId="0" borderId="0" xfId="345" applyFont="1" applyAlignment="1" applyProtection="1">
      <alignment horizontal="center" vertical="top" wrapText="1"/>
      <protection hidden="1"/>
    </xf>
    <xf numFmtId="0" fontId="58" fillId="0" borderId="0" xfId="345" applyFont="1" applyAlignment="1" applyProtection="1">
      <alignment horizontal="left" vertical="top" wrapText="1"/>
      <protection hidden="1"/>
    </xf>
    <xf numFmtId="0" fontId="58" fillId="0" borderId="0" xfId="345" applyFont="1" applyAlignment="1">
      <alignment horizontal="left"/>
    </xf>
    <xf numFmtId="0" fontId="58" fillId="0" borderId="10" xfId="0" applyFont="1" applyBorder="1" applyAlignment="1" applyProtection="1">
      <alignment horizontal="center" vertical="center" wrapText="1"/>
      <protection locked="0"/>
    </xf>
    <xf numFmtId="0" fontId="0" fillId="0" borderId="13" xfId="0" applyBorder="1" applyProtection="1">
      <protection locked="0"/>
    </xf>
    <xf numFmtId="0" fontId="58" fillId="0" borderId="0" xfId="0" applyFont="1" applyAlignment="1">
      <alignment horizontal="left" vertical="center" wrapText="1"/>
    </xf>
    <xf numFmtId="0" fontId="52" fillId="64" borderId="28" xfId="0" applyFont="1" applyFill="1" applyBorder="1" applyAlignment="1" applyProtection="1">
      <alignment horizontal="center" vertical="top" wrapText="1"/>
      <protection hidden="1"/>
    </xf>
    <xf numFmtId="0" fontId="58" fillId="0" borderId="10" xfId="0" applyFont="1" applyBorder="1" applyAlignment="1" applyProtection="1">
      <alignment horizontal="center" vertical="center" wrapText="1"/>
      <protection hidden="1"/>
    </xf>
    <xf numFmtId="0" fontId="52" fillId="62" borderId="40" xfId="0" applyFont="1" applyFill="1" applyBorder="1" applyAlignment="1" applyProtection="1">
      <alignment horizontal="left" vertical="center"/>
      <protection hidden="1"/>
    </xf>
    <xf numFmtId="0" fontId="73" fillId="0" borderId="38" xfId="0" applyFont="1" applyBorder="1" applyAlignment="1" applyProtection="1">
      <alignment vertical="center"/>
      <protection locked="0"/>
    </xf>
    <xf numFmtId="0" fontId="52" fillId="62" borderId="57" xfId="0" applyFont="1" applyFill="1" applyBorder="1" applyAlignment="1" applyProtection="1">
      <alignment horizontal="left" vertical="center" wrapText="1"/>
      <protection locked="0"/>
    </xf>
    <xf numFmtId="0" fontId="73" fillId="0" borderId="38" xfId="0" applyFont="1" applyBorder="1" applyAlignment="1" applyProtection="1">
      <alignment horizontal="left" vertical="center" wrapText="1"/>
      <protection locked="0"/>
    </xf>
    <xf numFmtId="0" fontId="58" fillId="0" borderId="0" xfId="345" applyFont="1" applyAlignment="1">
      <alignment vertical="center"/>
    </xf>
    <xf numFmtId="0" fontId="10" fillId="0" borderId="0" xfId="345" applyFont="1" applyAlignment="1">
      <alignment horizontal="left"/>
    </xf>
    <xf numFmtId="0" fontId="58" fillId="0" borderId="56" xfId="345" applyFont="1" applyBorder="1" applyAlignment="1">
      <alignment horizontal="left" vertical="center" wrapText="1"/>
    </xf>
    <xf numFmtId="0" fontId="10" fillId="0" borderId="0" xfId="345" applyFont="1" applyAlignment="1">
      <alignment vertical="center"/>
    </xf>
    <xf numFmtId="0" fontId="4" fillId="0" borderId="0" xfId="345" applyFont="1" applyAlignment="1" applyProtection="1">
      <alignment horizontal="left" wrapText="1"/>
      <protection hidden="1"/>
    </xf>
    <xf numFmtId="0" fontId="65" fillId="0" borderId="0" xfId="115" applyFont="1" applyAlignment="1" applyProtection="1">
      <alignment horizontal="left"/>
    </xf>
    <xf numFmtId="0" fontId="58" fillId="24" borderId="0" xfId="345" applyFont="1" applyFill="1" applyAlignment="1" applyProtection="1">
      <alignment wrapText="1"/>
      <protection hidden="1"/>
    </xf>
    <xf numFmtId="0" fontId="98" fillId="0" borderId="0" xfId="115" applyFont="1" applyAlignment="1" applyProtection="1">
      <alignment horizontal="left" vertical="center" wrapText="1"/>
      <protection locked="0" hidden="1"/>
    </xf>
  </cellXfs>
  <cellStyles count="788">
    <cellStyle name="20% - Accent1 10" xfId="391" xr:uid="{00000000-0005-0000-0000-000087010000}"/>
    <cellStyle name="20% - Accent1 11" xfId="436" xr:uid="{00000000-0005-0000-0000-0000B4010000}"/>
    <cellStyle name="20% - Accent1 12" xfId="506" xr:uid="{00000000-0005-0000-0000-0000FA010000}"/>
    <cellStyle name="20% - Accent1 13" xfId="527" xr:uid="{00000000-0005-0000-0000-00000F020000}"/>
    <cellStyle name="20% - Accent1 14" xfId="644" xr:uid="{00000000-0005-0000-0000-000084020000}"/>
    <cellStyle name="20% - Accent1 15" xfId="692" xr:uid="{00000000-0005-0000-0000-0000B4020000}"/>
    <cellStyle name="20% - Accent1 16" xfId="761" xr:uid="{00000000-0005-0000-0000-0000F9020000}"/>
    <cellStyle name="20% - Accent1 17" xfId="775" xr:uid="{00000000-0005-0000-0000-000007030000}"/>
    <cellStyle name="20% - Accent1 2" xfId="1" xr:uid="{00000000-0005-0000-0000-000001000000}"/>
    <cellStyle name="20% - Accent1 3" xfId="2" xr:uid="{00000000-0005-0000-0000-000002000000}"/>
    <cellStyle name="20% - Accent1 3 2" xfId="219" xr:uid="{00000000-0005-0000-0000-0000DB000000}"/>
    <cellStyle name="20% - Accent1 3 2 2" xfId="598" xr:uid="{00000000-0005-0000-0000-000056020000}"/>
    <cellStyle name="20% - Accent1 3 3" xfId="528" xr:uid="{00000000-0005-0000-0000-000010020000}"/>
    <cellStyle name="20% - Accent1 4" xfId="3" xr:uid="{00000000-0005-0000-0000-000003000000}"/>
    <cellStyle name="20% - Accent1 5" xfId="161" xr:uid="{00000000-0005-0000-0000-0000A1000000}"/>
    <cellStyle name="20% - Accent1 6" xfId="207" xr:uid="{00000000-0005-0000-0000-0000CF000000}"/>
    <cellStyle name="20% - Accent1 6 2" xfId="220" xr:uid="{00000000-0005-0000-0000-0000DC000000}"/>
    <cellStyle name="20% - Accent1 6 2 2" xfId="599" xr:uid="{00000000-0005-0000-0000-000057020000}"/>
    <cellStyle name="20% - Accent1 6 3" xfId="586" xr:uid="{00000000-0005-0000-0000-00004A020000}"/>
    <cellStyle name="20% - Accent1 7" xfId="221" xr:uid="{00000000-0005-0000-0000-0000DD000000}"/>
    <cellStyle name="20% - Accent1 8" xfId="222" xr:uid="{00000000-0005-0000-0000-0000DE000000}"/>
    <cellStyle name="20% - Accent1 8 2" xfId="600" xr:uid="{00000000-0005-0000-0000-000058020000}"/>
    <cellStyle name="20% - Accent1 9" xfId="223" xr:uid="{00000000-0005-0000-0000-0000DF000000}"/>
    <cellStyle name="20% - Accent2 10" xfId="392" xr:uid="{00000000-0005-0000-0000-000088010000}"/>
    <cellStyle name="20% - Accent2 11" xfId="437" xr:uid="{00000000-0005-0000-0000-0000B5010000}"/>
    <cellStyle name="20% - Accent2 12" xfId="499" xr:uid="{00000000-0005-0000-0000-0000F3010000}"/>
    <cellStyle name="20% - Accent2 13" xfId="529" xr:uid="{00000000-0005-0000-0000-000011020000}"/>
    <cellStyle name="20% - Accent2 14" xfId="645" xr:uid="{00000000-0005-0000-0000-000085020000}"/>
    <cellStyle name="20% - Accent2 15" xfId="693" xr:uid="{00000000-0005-0000-0000-0000B5020000}"/>
    <cellStyle name="20% - Accent2 16" xfId="763" xr:uid="{00000000-0005-0000-0000-0000FB020000}"/>
    <cellStyle name="20% - Accent2 17" xfId="777" xr:uid="{00000000-0005-0000-0000-000009030000}"/>
    <cellStyle name="20% - Accent2 2" xfId="4" xr:uid="{00000000-0005-0000-0000-000004000000}"/>
    <cellStyle name="20% - Accent2 3" xfId="5" xr:uid="{00000000-0005-0000-0000-000005000000}"/>
    <cellStyle name="20% - Accent2 3 2" xfId="224" xr:uid="{00000000-0005-0000-0000-0000E0000000}"/>
    <cellStyle name="20% - Accent2 3 2 2" xfId="601" xr:uid="{00000000-0005-0000-0000-000059020000}"/>
    <cellStyle name="20% - Accent2 3 3" xfId="530" xr:uid="{00000000-0005-0000-0000-000012020000}"/>
    <cellStyle name="20% - Accent2 4" xfId="6" xr:uid="{00000000-0005-0000-0000-000006000000}"/>
    <cellStyle name="20% - Accent2 5" xfId="162" xr:uid="{00000000-0005-0000-0000-0000A2000000}"/>
    <cellStyle name="20% - Accent2 6" xfId="209" xr:uid="{00000000-0005-0000-0000-0000D1000000}"/>
    <cellStyle name="20% - Accent2 6 2" xfId="225" xr:uid="{00000000-0005-0000-0000-0000E1000000}"/>
    <cellStyle name="20% - Accent2 6 2 2" xfId="602" xr:uid="{00000000-0005-0000-0000-00005A020000}"/>
    <cellStyle name="20% - Accent2 6 3" xfId="588" xr:uid="{00000000-0005-0000-0000-00004C020000}"/>
    <cellStyle name="20% - Accent2 7" xfId="226" xr:uid="{00000000-0005-0000-0000-0000E2000000}"/>
    <cellStyle name="20% - Accent2 8" xfId="227" xr:uid="{00000000-0005-0000-0000-0000E3000000}"/>
    <cellStyle name="20% - Accent2 8 2" xfId="603" xr:uid="{00000000-0005-0000-0000-00005B020000}"/>
    <cellStyle name="20% - Accent2 9" xfId="228" xr:uid="{00000000-0005-0000-0000-0000E4000000}"/>
    <cellStyle name="20% - Accent3 10" xfId="393" xr:uid="{00000000-0005-0000-0000-000089010000}"/>
    <cellStyle name="20% - Accent3 11" xfId="438" xr:uid="{00000000-0005-0000-0000-0000B6010000}"/>
    <cellStyle name="20% - Accent3 12" xfId="454" xr:uid="{00000000-0005-0000-0000-0000C6010000}"/>
    <cellStyle name="20% - Accent3 13" xfId="531" xr:uid="{00000000-0005-0000-0000-000013020000}"/>
    <cellStyle name="20% - Accent3 14" xfId="646" xr:uid="{00000000-0005-0000-0000-000086020000}"/>
    <cellStyle name="20% - Accent3 15" xfId="694" xr:uid="{00000000-0005-0000-0000-0000B6020000}"/>
    <cellStyle name="20% - Accent3 16" xfId="765" xr:uid="{00000000-0005-0000-0000-0000FD020000}"/>
    <cellStyle name="20% - Accent3 17" xfId="779" xr:uid="{00000000-0005-0000-0000-00000B030000}"/>
    <cellStyle name="20% - Accent3 2" xfId="7" xr:uid="{00000000-0005-0000-0000-000007000000}"/>
    <cellStyle name="20% - Accent3 3" xfId="8" xr:uid="{00000000-0005-0000-0000-000008000000}"/>
    <cellStyle name="20% - Accent3 3 2" xfId="229" xr:uid="{00000000-0005-0000-0000-0000E5000000}"/>
    <cellStyle name="20% - Accent3 3 2 2" xfId="604" xr:uid="{00000000-0005-0000-0000-00005C020000}"/>
    <cellStyle name="20% - Accent3 3 3" xfId="532" xr:uid="{00000000-0005-0000-0000-000014020000}"/>
    <cellStyle name="20% - Accent3 4" xfId="9" xr:uid="{00000000-0005-0000-0000-000009000000}"/>
    <cellStyle name="20% - Accent3 5" xfId="163" xr:uid="{00000000-0005-0000-0000-0000A3000000}"/>
    <cellStyle name="20% - Accent3 6" xfId="211" xr:uid="{00000000-0005-0000-0000-0000D3000000}"/>
    <cellStyle name="20% - Accent3 6 2" xfId="230" xr:uid="{00000000-0005-0000-0000-0000E6000000}"/>
    <cellStyle name="20% - Accent3 6 2 2" xfId="605" xr:uid="{00000000-0005-0000-0000-00005D020000}"/>
    <cellStyle name="20% - Accent3 6 3" xfId="590" xr:uid="{00000000-0005-0000-0000-00004E020000}"/>
    <cellStyle name="20% - Accent3 7" xfId="231" xr:uid="{00000000-0005-0000-0000-0000E7000000}"/>
    <cellStyle name="20% - Accent3 8" xfId="232" xr:uid="{00000000-0005-0000-0000-0000E8000000}"/>
    <cellStyle name="20% - Accent3 8 2" xfId="606" xr:uid="{00000000-0005-0000-0000-00005E020000}"/>
    <cellStyle name="20% - Accent3 9" xfId="233" xr:uid="{00000000-0005-0000-0000-0000E9000000}"/>
    <cellStyle name="20% - Accent4 10" xfId="394" xr:uid="{00000000-0005-0000-0000-00008A010000}"/>
    <cellStyle name="20% - Accent4 11" xfId="439" xr:uid="{00000000-0005-0000-0000-0000B7010000}"/>
    <cellStyle name="20% - Accent4 12" xfId="443" xr:uid="{00000000-0005-0000-0000-0000BB010000}"/>
    <cellStyle name="20% - Accent4 13" xfId="533" xr:uid="{00000000-0005-0000-0000-000015020000}"/>
    <cellStyle name="20% - Accent4 14" xfId="647" xr:uid="{00000000-0005-0000-0000-000087020000}"/>
    <cellStyle name="20% - Accent4 15" xfId="695" xr:uid="{00000000-0005-0000-0000-0000B7020000}"/>
    <cellStyle name="20% - Accent4 16" xfId="767" xr:uid="{00000000-0005-0000-0000-0000FF020000}"/>
    <cellStyle name="20% - Accent4 17" xfId="781" xr:uid="{00000000-0005-0000-0000-00000D030000}"/>
    <cellStyle name="20% - Accent4 2" xfId="10" xr:uid="{00000000-0005-0000-0000-00000A000000}"/>
    <cellStyle name="20% - Accent4 3" xfId="11" xr:uid="{00000000-0005-0000-0000-00000B000000}"/>
    <cellStyle name="20% - Accent4 3 2" xfId="234" xr:uid="{00000000-0005-0000-0000-0000EA000000}"/>
    <cellStyle name="20% - Accent4 3 2 2" xfId="607" xr:uid="{00000000-0005-0000-0000-00005F020000}"/>
    <cellStyle name="20% - Accent4 3 3" xfId="534" xr:uid="{00000000-0005-0000-0000-000016020000}"/>
    <cellStyle name="20% - Accent4 4" xfId="12" xr:uid="{00000000-0005-0000-0000-00000C000000}"/>
    <cellStyle name="20% - Accent4 5" xfId="164" xr:uid="{00000000-0005-0000-0000-0000A4000000}"/>
    <cellStyle name="20% - Accent4 6" xfId="213" xr:uid="{00000000-0005-0000-0000-0000D5000000}"/>
    <cellStyle name="20% - Accent4 6 2" xfId="235" xr:uid="{00000000-0005-0000-0000-0000EB000000}"/>
    <cellStyle name="20% - Accent4 6 2 2" xfId="608" xr:uid="{00000000-0005-0000-0000-000060020000}"/>
    <cellStyle name="20% - Accent4 6 3" xfId="592" xr:uid="{00000000-0005-0000-0000-000050020000}"/>
    <cellStyle name="20% - Accent4 7" xfId="236" xr:uid="{00000000-0005-0000-0000-0000EC000000}"/>
    <cellStyle name="20% - Accent4 8" xfId="237" xr:uid="{00000000-0005-0000-0000-0000ED000000}"/>
    <cellStyle name="20% - Accent4 8 2" xfId="609" xr:uid="{00000000-0005-0000-0000-000061020000}"/>
    <cellStyle name="20% - Accent4 9" xfId="238" xr:uid="{00000000-0005-0000-0000-0000EE000000}"/>
    <cellStyle name="20% - Accent5 10" xfId="395" xr:uid="{00000000-0005-0000-0000-00008B010000}"/>
    <cellStyle name="20% - Accent5 11" xfId="440" xr:uid="{00000000-0005-0000-0000-0000B8010000}"/>
    <cellStyle name="20% - Accent5 12" xfId="495" xr:uid="{00000000-0005-0000-0000-0000EF010000}"/>
    <cellStyle name="20% - Accent5 13" xfId="535" xr:uid="{00000000-0005-0000-0000-000017020000}"/>
    <cellStyle name="20% - Accent5 14" xfId="648" xr:uid="{00000000-0005-0000-0000-000088020000}"/>
    <cellStyle name="20% - Accent5 15" xfId="696" xr:uid="{00000000-0005-0000-0000-0000B8020000}"/>
    <cellStyle name="20% - Accent5 16" xfId="769" xr:uid="{00000000-0005-0000-0000-000001030000}"/>
    <cellStyle name="20% - Accent5 17" xfId="783" xr:uid="{00000000-0005-0000-0000-00000F030000}"/>
    <cellStyle name="20% - Accent5 2" xfId="13" xr:uid="{00000000-0005-0000-0000-00000D000000}"/>
    <cellStyle name="20% - Accent5 3" xfId="14" xr:uid="{00000000-0005-0000-0000-00000E000000}"/>
    <cellStyle name="20% - Accent5 3 2" xfId="239" xr:uid="{00000000-0005-0000-0000-0000EF000000}"/>
    <cellStyle name="20% - Accent5 3 2 2" xfId="610" xr:uid="{00000000-0005-0000-0000-000062020000}"/>
    <cellStyle name="20% - Accent5 3 3" xfId="536" xr:uid="{00000000-0005-0000-0000-000018020000}"/>
    <cellStyle name="20% - Accent5 4" xfId="15" xr:uid="{00000000-0005-0000-0000-00000F000000}"/>
    <cellStyle name="20% - Accent5 5" xfId="165" xr:uid="{00000000-0005-0000-0000-0000A5000000}"/>
    <cellStyle name="20% - Accent5 6" xfId="215" xr:uid="{00000000-0005-0000-0000-0000D7000000}"/>
    <cellStyle name="20% - Accent5 6 2" xfId="240" xr:uid="{00000000-0005-0000-0000-0000F0000000}"/>
    <cellStyle name="20% - Accent5 6 2 2" xfId="611" xr:uid="{00000000-0005-0000-0000-000063020000}"/>
    <cellStyle name="20% - Accent5 6 3" xfId="594" xr:uid="{00000000-0005-0000-0000-000052020000}"/>
    <cellStyle name="20% - Accent5 7" xfId="241" xr:uid="{00000000-0005-0000-0000-0000F1000000}"/>
    <cellStyle name="20% - Accent5 8" xfId="242" xr:uid="{00000000-0005-0000-0000-0000F2000000}"/>
    <cellStyle name="20% - Accent5 8 2" xfId="612" xr:uid="{00000000-0005-0000-0000-000064020000}"/>
    <cellStyle name="20% - Accent5 9" xfId="243" xr:uid="{00000000-0005-0000-0000-0000F3000000}"/>
    <cellStyle name="20% - Accent6 10" xfId="396" xr:uid="{00000000-0005-0000-0000-00008C010000}"/>
    <cellStyle name="20% - Accent6 11" xfId="441" xr:uid="{00000000-0005-0000-0000-0000B9010000}"/>
    <cellStyle name="20% - Accent6 12" xfId="500" xr:uid="{00000000-0005-0000-0000-0000F4010000}"/>
    <cellStyle name="20% - Accent6 13" xfId="537" xr:uid="{00000000-0005-0000-0000-000019020000}"/>
    <cellStyle name="20% - Accent6 14" xfId="649" xr:uid="{00000000-0005-0000-0000-000089020000}"/>
    <cellStyle name="20% - Accent6 15" xfId="697" xr:uid="{00000000-0005-0000-0000-0000B9020000}"/>
    <cellStyle name="20% - Accent6 16" xfId="771" xr:uid="{00000000-0005-0000-0000-000003030000}"/>
    <cellStyle name="20% - Accent6 17" xfId="785" xr:uid="{00000000-0005-0000-0000-000011030000}"/>
    <cellStyle name="20% - Accent6 2" xfId="16" xr:uid="{00000000-0005-0000-0000-000010000000}"/>
    <cellStyle name="20% - Accent6 3" xfId="17" xr:uid="{00000000-0005-0000-0000-000011000000}"/>
    <cellStyle name="20% - Accent6 3 2" xfId="244" xr:uid="{00000000-0005-0000-0000-0000F4000000}"/>
    <cellStyle name="20% - Accent6 3 2 2" xfId="613" xr:uid="{00000000-0005-0000-0000-000065020000}"/>
    <cellStyle name="20% - Accent6 3 3" xfId="538" xr:uid="{00000000-0005-0000-0000-00001A020000}"/>
    <cellStyle name="20% - Accent6 4" xfId="18" xr:uid="{00000000-0005-0000-0000-000012000000}"/>
    <cellStyle name="20% - Accent6 5" xfId="166" xr:uid="{00000000-0005-0000-0000-0000A6000000}"/>
    <cellStyle name="20% - Accent6 6" xfId="217" xr:uid="{00000000-0005-0000-0000-0000D9000000}"/>
    <cellStyle name="20% - Accent6 6 2" xfId="245" xr:uid="{00000000-0005-0000-0000-0000F5000000}"/>
    <cellStyle name="20% - Accent6 6 2 2" xfId="614" xr:uid="{00000000-0005-0000-0000-000066020000}"/>
    <cellStyle name="20% - Accent6 6 3" xfId="596" xr:uid="{00000000-0005-0000-0000-000054020000}"/>
    <cellStyle name="20% - Accent6 7" xfId="246" xr:uid="{00000000-0005-0000-0000-0000F6000000}"/>
    <cellStyle name="20% - Accent6 8" xfId="247" xr:uid="{00000000-0005-0000-0000-0000F7000000}"/>
    <cellStyle name="20% - Accent6 8 2" xfId="615" xr:uid="{00000000-0005-0000-0000-000067020000}"/>
    <cellStyle name="20% - Accent6 9" xfId="248" xr:uid="{00000000-0005-0000-0000-0000F8000000}"/>
    <cellStyle name="40% - Accent1 10" xfId="397" xr:uid="{00000000-0005-0000-0000-00008D010000}"/>
    <cellStyle name="40% - Accent1 11" xfId="442" xr:uid="{00000000-0005-0000-0000-0000BA010000}"/>
    <cellStyle name="40% - Accent1 12" xfId="494" xr:uid="{00000000-0005-0000-0000-0000EE010000}"/>
    <cellStyle name="40% - Accent1 13" xfId="539" xr:uid="{00000000-0005-0000-0000-00001B020000}"/>
    <cellStyle name="40% - Accent1 14" xfId="650" xr:uid="{00000000-0005-0000-0000-00008A020000}"/>
    <cellStyle name="40% - Accent1 15" xfId="698" xr:uid="{00000000-0005-0000-0000-0000BA020000}"/>
    <cellStyle name="40% - Accent1 16" xfId="762" xr:uid="{00000000-0005-0000-0000-0000FA020000}"/>
    <cellStyle name="40% - Accent1 17" xfId="776" xr:uid="{00000000-0005-0000-0000-000008030000}"/>
    <cellStyle name="40% - Accent1 2" xfId="19" xr:uid="{00000000-0005-0000-0000-000013000000}"/>
    <cellStyle name="40% - Accent1 3" xfId="20" xr:uid="{00000000-0005-0000-0000-000014000000}"/>
    <cellStyle name="40% - Accent1 3 2" xfId="249" xr:uid="{00000000-0005-0000-0000-0000F9000000}"/>
    <cellStyle name="40% - Accent1 3 2 2" xfId="616" xr:uid="{00000000-0005-0000-0000-000068020000}"/>
    <cellStyle name="40% - Accent1 3 3" xfId="540" xr:uid="{00000000-0005-0000-0000-00001C020000}"/>
    <cellStyle name="40% - Accent1 4" xfId="21" xr:uid="{00000000-0005-0000-0000-000015000000}"/>
    <cellStyle name="40% - Accent1 5" xfId="167" xr:uid="{00000000-0005-0000-0000-0000A7000000}"/>
    <cellStyle name="40% - Accent1 6" xfId="208" xr:uid="{00000000-0005-0000-0000-0000D0000000}"/>
    <cellStyle name="40% - Accent1 6 2" xfId="250" xr:uid="{00000000-0005-0000-0000-0000FA000000}"/>
    <cellStyle name="40% - Accent1 6 2 2" xfId="617" xr:uid="{00000000-0005-0000-0000-000069020000}"/>
    <cellStyle name="40% - Accent1 6 3" xfId="587" xr:uid="{00000000-0005-0000-0000-00004B020000}"/>
    <cellStyle name="40% - Accent1 7" xfId="251" xr:uid="{00000000-0005-0000-0000-0000FB000000}"/>
    <cellStyle name="40% - Accent1 8" xfId="252" xr:uid="{00000000-0005-0000-0000-0000FC000000}"/>
    <cellStyle name="40% - Accent1 8 2" xfId="618" xr:uid="{00000000-0005-0000-0000-00006A020000}"/>
    <cellStyle name="40% - Accent1 9" xfId="253" xr:uid="{00000000-0005-0000-0000-0000FD000000}"/>
    <cellStyle name="40% - Accent2 10" xfId="398" xr:uid="{00000000-0005-0000-0000-00008E010000}"/>
    <cellStyle name="40% - Accent2 11" xfId="444" xr:uid="{00000000-0005-0000-0000-0000BC010000}"/>
    <cellStyle name="40% - Accent2 12" xfId="510" xr:uid="{00000000-0005-0000-0000-0000FE010000}"/>
    <cellStyle name="40% - Accent2 13" xfId="541" xr:uid="{00000000-0005-0000-0000-00001D020000}"/>
    <cellStyle name="40% - Accent2 14" xfId="651" xr:uid="{00000000-0005-0000-0000-00008B020000}"/>
    <cellStyle name="40% - Accent2 15" xfId="699" xr:uid="{00000000-0005-0000-0000-0000BB020000}"/>
    <cellStyle name="40% - Accent2 16" xfId="764" xr:uid="{00000000-0005-0000-0000-0000FC020000}"/>
    <cellStyle name="40% - Accent2 17" xfId="778" xr:uid="{00000000-0005-0000-0000-00000A030000}"/>
    <cellStyle name="40% - Accent2 2" xfId="22" xr:uid="{00000000-0005-0000-0000-000016000000}"/>
    <cellStyle name="40% - Accent2 3" xfId="23" xr:uid="{00000000-0005-0000-0000-000017000000}"/>
    <cellStyle name="40% - Accent2 3 2" xfId="254" xr:uid="{00000000-0005-0000-0000-0000FE000000}"/>
    <cellStyle name="40% - Accent2 3 2 2" xfId="619" xr:uid="{00000000-0005-0000-0000-00006B020000}"/>
    <cellStyle name="40% - Accent2 3 3" xfId="542" xr:uid="{00000000-0005-0000-0000-00001E020000}"/>
    <cellStyle name="40% - Accent2 4" xfId="24" xr:uid="{00000000-0005-0000-0000-000018000000}"/>
    <cellStyle name="40% - Accent2 5" xfId="168" xr:uid="{00000000-0005-0000-0000-0000A8000000}"/>
    <cellStyle name="40% - Accent2 6" xfId="210" xr:uid="{00000000-0005-0000-0000-0000D2000000}"/>
    <cellStyle name="40% - Accent2 6 2" xfId="255" xr:uid="{00000000-0005-0000-0000-0000FF000000}"/>
    <cellStyle name="40% - Accent2 6 2 2" xfId="620" xr:uid="{00000000-0005-0000-0000-00006C020000}"/>
    <cellStyle name="40% - Accent2 6 3" xfId="589" xr:uid="{00000000-0005-0000-0000-00004D020000}"/>
    <cellStyle name="40% - Accent2 7" xfId="256" xr:uid="{00000000-0005-0000-0000-000000010000}"/>
    <cellStyle name="40% - Accent2 8" xfId="257" xr:uid="{00000000-0005-0000-0000-000001010000}"/>
    <cellStyle name="40% - Accent2 8 2" xfId="621" xr:uid="{00000000-0005-0000-0000-00006D020000}"/>
    <cellStyle name="40% - Accent2 9" xfId="258" xr:uid="{00000000-0005-0000-0000-000002010000}"/>
    <cellStyle name="40% - Accent3 10" xfId="399" xr:uid="{00000000-0005-0000-0000-00008F010000}"/>
    <cellStyle name="40% - Accent3 11" xfId="445" xr:uid="{00000000-0005-0000-0000-0000BD010000}"/>
    <cellStyle name="40% - Accent3 12" xfId="453" xr:uid="{00000000-0005-0000-0000-0000C5010000}"/>
    <cellStyle name="40% - Accent3 13" xfId="543" xr:uid="{00000000-0005-0000-0000-00001F020000}"/>
    <cellStyle name="40% - Accent3 14" xfId="652" xr:uid="{00000000-0005-0000-0000-00008C020000}"/>
    <cellStyle name="40% - Accent3 15" xfId="700" xr:uid="{00000000-0005-0000-0000-0000BC020000}"/>
    <cellStyle name="40% - Accent3 16" xfId="766" xr:uid="{00000000-0005-0000-0000-0000FE020000}"/>
    <cellStyle name="40% - Accent3 17" xfId="780" xr:uid="{00000000-0005-0000-0000-00000C030000}"/>
    <cellStyle name="40% - Accent3 2" xfId="25" xr:uid="{00000000-0005-0000-0000-000019000000}"/>
    <cellStyle name="40% - Accent3 3" xfId="26" xr:uid="{00000000-0005-0000-0000-00001A000000}"/>
    <cellStyle name="40% - Accent3 3 2" xfId="259" xr:uid="{00000000-0005-0000-0000-000003010000}"/>
    <cellStyle name="40% - Accent3 3 2 2" xfId="622" xr:uid="{00000000-0005-0000-0000-00006E020000}"/>
    <cellStyle name="40% - Accent3 3 3" xfId="544" xr:uid="{00000000-0005-0000-0000-000020020000}"/>
    <cellStyle name="40% - Accent3 4" xfId="27" xr:uid="{00000000-0005-0000-0000-00001B000000}"/>
    <cellStyle name="40% - Accent3 5" xfId="169" xr:uid="{00000000-0005-0000-0000-0000A9000000}"/>
    <cellStyle name="40% - Accent3 6" xfId="212" xr:uid="{00000000-0005-0000-0000-0000D4000000}"/>
    <cellStyle name="40% - Accent3 6 2" xfId="260" xr:uid="{00000000-0005-0000-0000-000004010000}"/>
    <cellStyle name="40% - Accent3 6 2 2" xfId="623" xr:uid="{00000000-0005-0000-0000-00006F020000}"/>
    <cellStyle name="40% - Accent3 6 3" xfId="591" xr:uid="{00000000-0005-0000-0000-00004F020000}"/>
    <cellStyle name="40% - Accent3 7" xfId="261" xr:uid="{00000000-0005-0000-0000-000005010000}"/>
    <cellStyle name="40% - Accent3 8" xfId="262" xr:uid="{00000000-0005-0000-0000-000006010000}"/>
    <cellStyle name="40% - Accent3 8 2" xfId="624" xr:uid="{00000000-0005-0000-0000-000070020000}"/>
    <cellStyle name="40% - Accent3 9" xfId="263" xr:uid="{00000000-0005-0000-0000-000007010000}"/>
    <cellStyle name="40% - Accent4 10" xfId="400" xr:uid="{00000000-0005-0000-0000-000090010000}"/>
    <cellStyle name="40% - Accent4 11" xfId="446" xr:uid="{00000000-0005-0000-0000-0000BE010000}"/>
    <cellStyle name="40% - Accent4 12" xfId="505" xr:uid="{00000000-0005-0000-0000-0000F9010000}"/>
    <cellStyle name="40% - Accent4 13" xfId="545" xr:uid="{00000000-0005-0000-0000-000021020000}"/>
    <cellStyle name="40% - Accent4 14" xfId="653" xr:uid="{00000000-0005-0000-0000-00008D020000}"/>
    <cellStyle name="40% - Accent4 15" xfId="701" xr:uid="{00000000-0005-0000-0000-0000BD020000}"/>
    <cellStyle name="40% - Accent4 16" xfId="768" xr:uid="{00000000-0005-0000-0000-000000030000}"/>
    <cellStyle name="40% - Accent4 17" xfId="782" xr:uid="{00000000-0005-0000-0000-00000E030000}"/>
    <cellStyle name="40% - Accent4 2" xfId="28" xr:uid="{00000000-0005-0000-0000-00001C000000}"/>
    <cellStyle name="40% - Accent4 3" xfId="29" xr:uid="{00000000-0005-0000-0000-00001D000000}"/>
    <cellStyle name="40% - Accent4 3 2" xfId="264" xr:uid="{00000000-0005-0000-0000-000008010000}"/>
    <cellStyle name="40% - Accent4 3 2 2" xfId="625" xr:uid="{00000000-0005-0000-0000-000071020000}"/>
    <cellStyle name="40% - Accent4 3 3" xfId="546" xr:uid="{00000000-0005-0000-0000-000022020000}"/>
    <cellStyle name="40% - Accent4 4" xfId="30" xr:uid="{00000000-0005-0000-0000-00001E000000}"/>
    <cellStyle name="40% - Accent4 5" xfId="170" xr:uid="{00000000-0005-0000-0000-0000AA000000}"/>
    <cellStyle name="40% - Accent4 6" xfId="214" xr:uid="{00000000-0005-0000-0000-0000D6000000}"/>
    <cellStyle name="40% - Accent4 6 2" xfId="265" xr:uid="{00000000-0005-0000-0000-000009010000}"/>
    <cellStyle name="40% - Accent4 6 2 2" xfId="626" xr:uid="{00000000-0005-0000-0000-000072020000}"/>
    <cellStyle name="40% - Accent4 6 3" xfId="593" xr:uid="{00000000-0005-0000-0000-000051020000}"/>
    <cellStyle name="40% - Accent4 7" xfId="266" xr:uid="{00000000-0005-0000-0000-00000A010000}"/>
    <cellStyle name="40% - Accent4 8" xfId="267" xr:uid="{00000000-0005-0000-0000-00000B010000}"/>
    <cellStyle name="40% - Accent4 8 2" xfId="627" xr:uid="{00000000-0005-0000-0000-000073020000}"/>
    <cellStyle name="40% - Accent4 9" xfId="268" xr:uid="{00000000-0005-0000-0000-00000C010000}"/>
    <cellStyle name="40% - Accent5 10" xfId="401" xr:uid="{00000000-0005-0000-0000-000091010000}"/>
    <cellStyle name="40% - Accent5 11" xfId="447" xr:uid="{00000000-0005-0000-0000-0000BF010000}"/>
    <cellStyle name="40% - Accent5 12" xfId="512" xr:uid="{00000000-0005-0000-0000-000000020000}"/>
    <cellStyle name="40% - Accent5 13" xfId="547" xr:uid="{00000000-0005-0000-0000-000023020000}"/>
    <cellStyle name="40% - Accent5 14" xfId="654" xr:uid="{00000000-0005-0000-0000-00008E020000}"/>
    <cellStyle name="40% - Accent5 15" xfId="702" xr:uid="{00000000-0005-0000-0000-0000BE020000}"/>
    <cellStyle name="40% - Accent5 16" xfId="770" xr:uid="{00000000-0005-0000-0000-000002030000}"/>
    <cellStyle name="40% - Accent5 17" xfId="784" xr:uid="{00000000-0005-0000-0000-000010030000}"/>
    <cellStyle name="40% - Accent5 2" xfId="31" xr:uid="{00000000-0005-0000-0000-00001F000000}"/>
    <cellStyle name="40% - Accent5 3" xfId="32" xr:uid="{00000000-0005-0000-0000-000020000000}"/>
    <cellStyle name="40% - Accent5 3 2" xfId="269" xr:uid="{00000000-0005-0000-0000-00000D010000}"/>
    <cellStyle name="40% - Accent5 3 2 2" xfId="628" xr:uid="{00000000-0005-0000-0000-000074020000}"/>
    <cellStyle name="40% - Accent5 3 3" xfId="548" xr:uid="{00000000-0005-0000-0000-000024020000}"/>
    <cellStyle name="40% - Accent5 4" xfId="33" xr:uid="{00000000-0005-0000-0000-000021000000}"/>
    <cellStyle name="40% - Accent5 5" xfId="171" xr:uid="{00000000-0005-0000-0000-0000AB000000}"/>
    <cellStyle name="40% - Accent5 6" xfId="216" xr:uid="{00000000-0005-0000-0000-0000D8000000}"/>
    <cellStyle name="40% - Accent5 6 2" xfId="270" xr:uid="{00000000-0005-0000-0000-00000E010000}"/>
    <cellStyle name="40% - Accent5 6 2 2" xfId="629" xr:uid="{00000000-0005-0000-0000-000075020000}"/>
    <cellStyle name="40% - Accent5 6 3" xfId="595" xr:uid="{00000000-0005-0000-0000-000053020000}"/>
    <cellStyle name="40% - Accent5 7" xfId="271" xr:uid="{00000000-0005-0000-0000-00000F010000}"/>
    <cellStyle name="40% - Accent5 8" xfId="272" xr:uid="{00000000-0005-0000-0000-000010010000}"/>
    <cellStyle name="40% - Accent5 8 2" xfId="630" xr:uid="{00000000-0005-0000-0000-000076020000}"/>
    <cellStyle name="40% - Accent5 9" xfId="273" xr:uid="{00000000-0005-0000-0000-000011010000}"/>
    <cellStyle name="40% - Accent6 10" xfId="402" xr:uid="{00000000-0005-0000-0000-000092010000}"/>
    <cellStyle name="40% - Accent6 11" xfId="448" xr:uid="{00000000-0005-0000-0000-0000C0010000}"/>
    <cellStyle name="40% - Accent6 12" xfId="515" xr:uid="{00000000-0005-0000-0000-000003020000}"/>
    <cellStyle name="40% - Accent6 13" xfId="549" xr:uid="{00000000-0005-0000-0000-000025020000}"/>
    <cellStyle name="40% - Accent6 14" xfId="655" xr:uid="{00000000-0005-0000-0000-00008F020000}"/>
    <cellStyle name="40% - Accent6 15" xfId="703" xr:uid="{00000000-0005-0000-0000-0000BF020000}"/>
    <cellStyle name="40% - Accent6 16" xfId="772" xr:uid="{00000000-0005-0000-0000-000004030000}"/>
    <cellStyle name="40% - Accent6 17" xfId="786" xr:uid="{00000000-0005-0000-0000-000012030000}"/>
    <cellStyle name="40% - Accent6 2" xfId="34" xr:uid="{00000000-0005-0000-0000-000022000000}"/>
    <cellStyle name="40% - Accent6 3" xfId="35" xr:uid="{00000000-0005-0000-0000-000023000000}"/>
    <cellStyle name="40% - Accent6 3 2" xfId="274" xr:uid="{00000000-0005-0000-0000-000012010000}"/>
    <cellStyle name="40% - Accent6 3 2 2" xfId="631" xr:uid="{00000000-0005-0000-0000-000077020000}"/>
    <cellStyle name="40% - Accent6 3 3" xfId="550" xr:uid="{00000000-0005-0000-0000-000026020000}"/>
    <cellStyle name="40% - Accent6 4" xfId="36" xr:uid="{00000000-0005-0000-0000-000024000000}"/>
    <cellStyle name="40% - Accent6 5" xfId="172" xr:uid="{00000000-0005-0000-0000-0000AC000000}"/>
    <cellStyle name="40% - Accent6 6" xfId="218" xr:uid="{00000000-0005-0000-0000-0000DA000000}"/>
    <cellStyle name="40% - Accent6 6 2" xfId="275" xr:uid="{00000000-0005-0000-0000-000013010000}"/>
    <cellStyle name="40% - Accent6 6 2 2" xfId="632" xr:uid="{00000000-0005-0000-0000-000078020000}"/>
    <cellStyle name="40% - Accent6 6 3" xfId="597" xr:uid="{00000000-0005-0000-0000-000055020000}"/>
    <cellStyle name="40% - Accent6 7" xfId="276" xr:uid="{00000000-0005-0000-0000-000014010000}"/>
    <cellStyle name="40% - Accent6 8" xfId="277" xr:uid="{00000000-0005-0000-0000-000015010000}"/>
    <cellStyle name="40% - Accent6 8 2" xfId="633" xr:uid="{00000000-0005-0000-0000-000079020000}"/>
    <cellStyle name="40% - Accent6 9" xfId="278" xr:uid="{00000000-0005-0000-0000-000016010000}"/>
    <cellStyle name="60% - Accent1 10" xfId="498" xr:uid="{00000000-0005-0000-0000-0000F2010000}"/>
    <cellStyle name="60% - Accent1 11" xfId="551" xr:uid="{00000000-0005-0000-0000-000027020000}"/>
    <cellStyle name="60% - Accent1 12" xfId="656" xr:uid="{00000000-0005-0000-0000-000090020000}"/>
    <cellStyle name="60% - Accent1 13" xfId="704" xr:uid="{00000000-0005-0000-0000-0000C0020000}"/>
    <cellStyle name="60% - Accent1 2" xfId="37" xr:uid="{00000000-0005-0000-0000-000025000000}"/>
    <cellStyle name="60% - Accent1 3" xfId="38" xr:uid="{00000000-0005-0000-0000-000026000000}"/>
    <cellStyle name="60% - Accent1 4" xfId="39" xr:uid="{00000000-0005-0000-0000-000027000000}"/>
    <cellStyle name="60% - Accent1 5" xfId="173" xr:uid="{00000000-0005-0000-0000-0000AD000000}"/>
    <cellStyle name="60% - Accent1 6" xfId="279" xr:uid="{00000000-0005-0000-0000-000017010000}"/>
    <cellStyle name="60% - Accent1 7" xfId="280" xr:uid="{00000000-0005-0000-0000-000018010000}"/>
    <cellStyle name="60% - Accent1 8" xfId="403" xr:uid="{00000000-0005-0000-0000-000093010000}"/>
    <cellStyle name="60% - Accent1 9" xfId="449" xr:uid="{00000000-0005-0000-0000-0000C1010000}"/>
    <cellStyle name="60% - Accent2 10" xfId="501" xr:uid="{00000000-0005-0000-0000-0000F5010000}"/>
    <cellStyle name="60% - Accent2 11" xfId="552" xr:uid="{00000000-0005-0000-0000-000028020000}"/>
    <cellStyle name="60% - Accent2 12" xfId="657" xr:uid="{00000000-0005-0000-0000-000091020000}"/>
    <cellStyle name="60% - Accent2 13" xfId="705" xr:uid="{00000000-0005-0000-0000-0000C1020000}"/>
    <cellStyle name="60% - Accent2 2" xfId="40" xr:uid="{00000000-0005-0000-0000-000028000000}"/>
    <cellStyle name="60% - Accent2 3" xfId="41" xr:uid="{00000000-0005-0000-0000-000029000000}"/>
    <cellStyle name="60% - Accent2 4" xfId="42" xr:uid="{00000000-0005-0000-0000-00002A000000}"/>
    <cellStyle name="60% - Accent2 5" xfId="174" xr:uid="{00000000-0005-0000-0000-0000AE000000}"/>
    <cellStyle name="60% - Accent2 6" xfId="281" xr:uid="{00000000-0005-0000-0000-000019010000}"/>
    <cellStyle name="60% - Accent2 7" xfId="282" xr:uid="{00000000-0005-0000-0000-00001A010000}"/>
    <cellStyle name="60% - Accent2 8" xfId="404" xr:uid="{00000000-0005-0000-0000-000094010000}"/>
    <cellStyle name="60% - Accent2 9" xfId="450" xr:uid="{00000000-0005-0000-0000-0000C2010000}"/>
    <cellStyle name="60% - Accent3 10" xfId="458" xr:uid="{00000000-0005-0000-0000-0000CA010000}"/>
    <cellStyle name="60% - Accent3 11" xfId="553" xr:uid="{00000000-0005-0000-0000-000029020000}"/>
    <cellStyle name="60% - Accent3 12" xfId="658" xr:uid="{00000000-0005-0000-0000-000092020000}"/>
    <cellStyle name="60% - Accent3 13" xfId="706" xr:uid="{00000000-0005-0000-0000-0000C2020000}"/>
    <cellStyle name="60% - Accent3 2" xfId="43" xr:uid="{00000000-0005-0000-0000-00002B000000}"/>
    <cellStyle name="60% - Accent3 3" xfId="44" xr:uid="{00000000-0005-0000-0000-00002C000000}"/>
    <cellStyle name="60% - Accent3 4" xfId="45" xr:uid="{00000000-0005-0000-0000-00002D000000}"/>
    <cellStyle name="60% - Accent3 5" xfId="175" xr:uid="{00000000-0005-0000-0000-0000AF000000}"/>
    <cellStyle name="60% - Accent3 6" xfId="283" xr:uid="{00000000-0005-0000-0000-00001B010000}"/>
    <cellStyle name="60% - Accent3 7" xfId="284" xr:uid="{00000000-0005-0000-0000-00001C010000}"/>
    <cellStyle name="60% - Accent3 8" xfId="405" xr:uid="{00000000-0005-0000-0000-000095010000}"/>
    <cellStyle name="60% - Accent3 9" xfId="452" xr:uid="{00000000-0005-0000-0000-0000C4010000}"/>
    <cellStyle name="60% - Accent4 10" xfId="451" xr:uid="{00000000-0005-0000-0000-0000C3010000}"/>
    <cellStyle name="60% - Accent4 11" xfId="554" xr:uid="{00000000-0005-0000-0000-00002A020000}"/>
    <cellStyle name="60% - Accent4 12" xfId="659" xr:uid="{00000000-0005-0000-0000-000093020000}"/>
    <cellStyle name="60% - Accent4 13" xfId="707" xr:uid="{00000000-0005-0000-0000-0000C3020000}"/>
    <cellStyle name="60% - Accent4 2" xfId="46" xr:uid="{00000000-0005-0000-0000-00002E000000}"/>
    <cellStyle name="60% - Accent4 3" xfId="47" xr:uid="{00000000-0005-0000-0000-00002F000000}"/>
    <cellStyle name="60% - Accent4 4" xfId="48" xr:uid="{00000000-0005-0000-0000-000030000000}"/>
    <cellStyle name="60% - Accent4 5" xfId="176" xr:uid="{00000000-0005-0000-0000-0000B0000000}"/>
    <cellStyle name="60% - Accent4 6" xfId="285" xr:uid="{00000000-0005-0000-0000-00001D010000}"/>
    <cellStyle name="60% - Accent4 7" xfId="286" xr:uid="{00000000-0005-0000-0000-00001E010000}"/>
    <cellStyle name="60% - Accent4 8" xfId="406" xr:uid="{00000000-0005-0000-0000-000096010000}"/>
    <cellStyle name="60% - Accent4 9" xfId="455" xr:uid="{00000000-0005-0000-0000-0000C7010000}"/>
    <cellStyle name="60% - Accent5 10" xfId="481" xr:uid="{00000000-0005-0000-0000-0000E1010000}"/>
    <cellStyle name="60% - Accent5 11" xfId="555" xr:uid="{00000000-0005-0000-0000-00002B020000}"/>
    <cellStyle name="60% - Accent5 12" xfId="660" xr:uid="{00000000-0005-0000-0000-000094020000}"/>
    <cellStyle name="60% - Accent5 13" xfId="708" xr:uid="{00000000-0005-0000-0000-0000C4020000}"/>
    <cellStyle name="60% - Accent5 2" xfId="49" xr:uid="{00000000-0005-0000-0000-000031000000}"/>
    <cellStyle name="60% - Accent5 3" xfId="50" xr:uid="{00000000-0005-0000-0000-000032000000}"/>
    <cellStyle name="60% - Accent5 4" xfId="51" xr:uid="{00000000-0005-0000-0000-000033000000}"/>
    <cellStyle name="60% - Accent5 5" xfId="177" xr:uid="{00000000-0005-0000-0000-0000B1000000}"/>
    <cellStyle name="60% - Accent5 6" xfId="287" xr:uid="{00000000-0005-0000-0000-00001F010000}"/>
    <cellStyle name="60% - Accent5 7" xfId="288" xr:uid="{00000000-0005-0000-0000-000020010000}"/>
    <cellStyle name="60% - Accent5 8" xfId="407" xr:uid="{00000000-0005-0000-0000-000097010000}"/>
    <cellStyle name="60% - Accent5 9" xfId="456" xr:uid="{00000000-0005-0000-0000-0000C8010000}"/>
    <cellStyle name="60% - Accent6 10" xfId="464" xr:uid="{00000000-0005-0000-0000-0000D0010000}"/>
    <cellStyle name="60% - Accent6 11" xfId="556" xr:uid="{00000000-0005-0000-0000-00002C020000}"/>
    <cellStyle name="60% - Accent6 12" xfId="661" xr:uid="{00000000-0005-0000-0000-000095020000}"/>
    <cellStyle name="60% - Accent6 13" xfId="709" xr:uid="{00000000-0005-0000-0000-0000C5020000}"/>
    <cellStyle name="60% - Accent6 2" xfId="52" xr:uid="{00000000-0005-0000-0000-000034000000}"/>
    <cellStyle name="60% - Accent6 3" xfId="53" xr:uid="{00000000-0005-0000-0000-000035000000}"/>
    <cellStyle name="60% - Accent6 4" xfId="54" xr:uid="{00000000-0005-0000-0000-000036000000}"/>
    <cellStyle name="60% - Accent6 5" xfId="178" xr:uid="{00000000-0005-0000-0000-0000B2000000}"/>
    <cellStyle name="60% - Accent6 6" xfId="289" xr:uid="{00000000-0005-0000-0000-000021010000}"/>
    <cellStyle name="60% - Accent6 7" xfId="290" xr:uid="{00000000-0005-0000-0000-000022010000}"/>
    <cellStyle name="60% - Accent6 8" xfId="408" xr:uid="{00000000-0005-0000-0000-000098010000}"/>
    <cellStyle name="60% - Accent6 9" xfId="457" xr:uid="{00000000-0005-0000-0000-0000C9010000}"/>
    <cellStyle name="Accent1 10" xfId="523" xr:uid="{00000000-0005-0000-0000-00000B020000}"/>
    <cellStyle name="Accent1 11" xfId="557" xr:uid="{00000000-0005-0000-0000-00002D020000}"/>
    <cellStyle name="Accent1 12" xfId="662" xr:uid="{00000000-0005-0000-0000-000096020000}"/>
    <cellStyle name="Accent1 13" xfId="710" xr:uid="{00000000-0005-0000-0000-0000C6020000}"/>
    <cellStyle name="Accent1 2" xfId="55" xr:uid="{00000000-0005-0000-0000-000037000000}"/>
    <cellStyle name="Accent1 3" xfId="56" xr:uid="{00000000-0005-0000-0000-000038000000}"/>
    <cellStyle name="Accent1 4" xfId="57" xr:uid="{00000000-0005-0000-0000-000039000000}"/>
    <cellStyle name="Accent1 5" xfId="179" xr:uid="{00000000-0005-0000-0000-0000B3000000}"/>
    <cellStyle name="Accent1 6" xfId="291" xr:uid="{00000000-0005-0000-0000-000023010000}"/>
    <cellStyle name="Accent1 7" xfId="292" xr:uid="{00000000-0005-0000-0000-000024010000}"/>
    <cellStyle name="Accent1 8" xfId="409" xr:uid="{00000000-0005-0000-0000-000099010000}"/>
    <cellStyle name="Accent1 9" xfId="459" xr:uid="{00000000-0005-0000-0000-0000CB010000}"/>
    <cellStyle name="Accent2 10" xfId="492" xr:uid="{00000000-0005-0000-0000-0000EC010000}"/>
    <cellStyle name="Accent2 11" xfId="558" xr:uid="{00000000-0005-0000-0000-00002E020000}"/>
    <cellStyle name="Accent2 12" xfId="663" xr:uid="{00000000-0005-0000-0000-000097020000}"/>
    <cellStyle name="Accent2 13" xfId="711" xr:uid="{00000000-0005-0000-0000-0000C7020000}"/>
    <cellStyle name="Accent2 2" xfId="58" xr:uid="{00000000-0005-0000-0000-00003A000000}"/>
    <cellStyle name="Accent2 3" xfId="59" xr:uid="{00000000-0005-0000-0000-00003B000000}"/>
    <cellStyle name="Accent2 4" xfId="60" xr:uid="{00000000-0005-0000-0000-00003C000000}"/>
    <cellStyle name="Accent2 5" xfId="180" xr:uid="{00000000-0005-0000-0000-0000B4000000}"/>
    <cellStyle name="Accent2 6" xfId="293" xr:uid="{00000000-0005-0000-0000-000025010000}"/>
    <cellStyle name="Accent2 7" xfId="294" xr:uid="{00000000-0005-0000-0000-000026010000}"/>
    <cellStyle name="Accent2 8" xfId="410" xr:uid="{00000000-0005-0000-0000-00009A010000}"/>
    <cellStyle name="Accent2 9" xfId="460" xr:uid="{00000000-0005-0000-0000-0000CC010000}"/>
    <cellStyle name="Accent3 10" xfId="504" xr:uid="{00000000-0005-0000-0000-0000F8010000}"/>
    <cellStyle name="Accent3 11" xfId="559" xr:uid="{00000000-0005-0000-0000-00002F020000}"/>
    <cellStyle name="Accent3 12" xfId="664" xr:uid="{00000000-0005-0000-0000-000098020000}"/>
    <cellStyle name="Accent3 13" xfId="712" xr:uid="{00000000-0005-0000-0000-0000C8020000}"/>
    <cellStyle name="Accent3 2" xfId="61" xr:uid="{00000000-0005-0000-0000-00003D000000}"/>
    <cellStyle name="Accent3 3" xfId="62" xr:uid="{00000000-0005-0000-0000-00003E000000}"/>
    <cellStyle name="Accent3 4" xfId="63" xr:uid="{00000000-0005-0000-0000-00003F000000}"/>
    <cellStyle name="Accent3 5" xfId="181" xr:uid="{00000000-0005-0000-0000-0000B5000000}"/>
    <cellStyle name="Accent3 6" xfId="295" xr:uid="{00000000-0005-0000-0000-000027010000}"/>
    <cellStyle name="Accent3 7" xfId="296" xr:uid="{00000000-0005-0000-0000-000028010000}"/>
    <cellStyle name="Accent3 8" xfId="411" xr:uid="{00000000-0005-0000-0000-00009B010000}"/>
    <cellStyle name="Accent3 9" xfId="461" xr:uid="{00000000-0005-0000-0000-0000CD010000}"/>
    <cellStyle name="Accent4 10" xfId="482" xr:uid="{00000000-0005-0000-0000-0000E2010000}"/>
    <cellStyle name="Accent4 11" xfId="560" xr:uid="{00000000-0005-0000-0000-000030020000}"/>
    <cellStyle name="Accent4 12" xfId="665" xr:uid="{00000000-0005-0000-0000-000099020000}"/>
    <cellStyle name="Accent4 13" xfId="713" xr:uid="{00000000-0005-0000-0000-0000C9020000}"/>
    <cellStyle name="Accent4 2" xfId="64" xr:uid="{00000000-0005-0000-0000-000040000000}"/>
    <cellStyle name="Accent4 3" xfId="65" xr:uid="{00000000-0005-0000-0000-000041000000}"/>
    <cellStyle name="Accent4 4" xfId="66" xr:uid="{00000000-0005-0000-0000-000042000000}"/>
    <cellStyle name="Accent4 5" xfId="182" xr:uid="{00000000-0005-0000-0000-0000B6000000}"/>
    <cellStyle name="Accent4 6" xfId="297" xr:uid="{00000000-0005-0000-0000-000029010000}"/>
    <cellStyle name="Accent4 7" xfId="298" xr:uid="{00000000-0005-0000-0000-00002A010000}"/>
    <cellStyle name="Accent4 8" xfId="412" xr:uid="{00000000-0005-0000-0000-00009C010000}"/>
    <cellStyle name="Accent4 9" xfId="462" xr:uid="{00000000-0005-0000-0000-0000CE010000}"/>
    <cellStyle name="Accent5 10" xfId="521" xr:uid="{00000000-0005-0000-0000-000009020000}"/>
    <cellStyle name="Accent5 11" xfId="561" xr:uid="{00000000-0005-0000-0000-000031020000}"/>
    <cellStyle name="Accent5 12" xfId="666" xr:uid="{00000000-0005-0000-0000-00009A020000}"/>
    <cellStyle name="Accent5 13" xfId="714" xr:uid="{00000000-0005-0000-0000-0000CA020000}"/>
    <cellStyle name="Accent5 2" xfId="67" xr:uid="{00000000-0005-0000-0000-000043000000}"/>
    <cellStyle name="Accent5 3" xfId="68" xr:uid="{00000000-0005-0000-0000-000044000000}"/>
    <cellStyle name="Accent5 4" xfId="69" xr:uid="{00000000-0005-0000-0000-000045000000}"/>
    <cellStyle name="Accent5 5" xfId="183" xr:uid="{00000000-0005-0000-0000-0000B7000000}"/>
    <cellStyle name="Accent5 6" xfId="299" xr:uid="{00000000-0005-0000-0000-00002B010000}"/>
    <cellStyle name="Accent5 7" xfId="300" xr:uid="{00000000-0005-0000-0000-00002C010000}"/>
    <cellStyle name="Accent5 8" xfId="413" xr:uid="{00000000-0005-0000-0000-00009D010000}"/>
    <cellStyle name="Accent5 9" xfId="465" xr:uid="{00000000-0005-0000-0000-0000D1010000}"/>
    <cellStyle name="Accent6 10" xfId="463" xr:uid="{00000000-0005-0000-0000-0000CF010000}"/>
    <cellStyle name="Accent6 11" xfId="562" xr:uid="{00000000-0005-0000-0000-000032020000}"/>
    <cellStyle name="Accent6 12" xfId="667" xr:uid="{00000000-0005-0000-0000-00009B020000}"/>
    <cellStyle name="Accent6 13" xfId="715" xr:uid="{00000000-0005-0000-0000-0000CB020000}"/>
    <cellStyle name="Accent6 2" xfId="70" xr:uid="{00000000-0005-0000-0000-000046000000}"/>
    <cellStyle name="Accent6 3" xfId="71" xr:uid="{00000000-0005-0000-0000-000047000000}"/>
    <cellStyle name="Accent6 4" xfId="72" xr:uid="{00000000-0005-0000-0000-000048000000}"/>
    <cellStyle name="Accent6 5" xfId="184" xr:uid="{00000000-0005-0000-0000-0000B8000000}"/>
    <cellStyle name="Accent6 6" xfId="301" xr:uid="{00000000-0005-0000-0000-00002D010000}"/>
    <cellStyle name="Accent6 7" xfId="302" xr:uid="{00000000-0005-0000-0000-00002E010000}"/>
    <cellStyle name="Accent6 8" xfId="414" xr:uid="{00000000-0005-0000-0000-00009E010000}"/>
    <cellStyle name="Accent6 9" xfId="466" xr:uid="{00000000-0005-0000-0000-0000D2010000}"/>
    <cellStyle name="Bad 10" xfId="524" xr:uid="{00000000-0005-0000-0000-00000C020000}"/>
    <cellStyle name="Bad 11" xfId="563" xr:uid="{00000000-0005-0000-0000-000033020000}"/>
    <cellStyle name="Bad 12" xfId="668" xr:uid="{00000000-0005-0000-0000-00009C020000}"/>
    <cellStyle name="Bad 13" xfId="716" xr:uid="{00000000-0005-0000-0000-0000CC020000}"/>
    <cellStyle name="Bad 2" xfId="73" xr:uid="{00000000-0005-0000-0000-000049000000}"/>
    <cellStyle name="Bad 3" xfId="74" xr:uid="{00000000-0005-0000-0000-00004A000000}"/>
    <cellStyle name="Bad 4" xfId="75" xr:uid="{00000000-0005-0000-0000-00004B000000}"/>
    <cellStyle name="Bad 5" xfId="185" xr:uid="{00000000-0005-0000-0000-0000B9000000}"/>
    <cellStyle name="Bad 6" xfId="303" xr:uid="{00000000-0005-0000-0000-00002F010000}"/>
    <cellStyle name="Bad 7" xfId="304" xr:uid="{00000000-0005-0000-0000-000030010000}"/>
    <cellStyle name="Bad 8" xfId="415" xr:uid="{00000000-0005-0000-0000-00009F010000}"/>
    <cellStyle name="Bad 9" xfId="467" xr:uid="{00000000-0005-0000-0000-0000D3010000}"/>
    <cellStyle name="Calculation 10" xfId="471" xr:uid="{00000000-0005-0000-0000-0000D7010000}"/>
    <cellStyle name="Calculation 11" xfId="564" xr:uid="{00000000-0005-0000-0000-000034020000}"/>
    <cellStyle name="Calculation 12" xfId="669" xr:uid="{00000000-0005-0000-0000-00009D020000}"/>
    <cellStyle name="Calculation 13" xfId="717" xr:uid="{00000000-0005-0000-0000-0000CD020000}"/>
    <cellStyle name="Calculation 2" xfId="76" xr:uid="{00000000-0005-0000-0000-00004C000000}"/>
    <cellStyle name="Calculation 3" xfId="77" xr:uid="{00000000-0005-0000-0000-00004D000000}"/>
    <cellStyle name="Calculation 4" xfId="78" xr:uid="{00000000-0005-0000-0000-00004E000000}"/>
    <cellStyle name="Calculation 5" xfId="186" xr:uid="{00000000-0005-0000-0000-0000BA000000}"/>
    <cellStyle name="Calculation 6" xfId="305" xr:uid="{00000000-0005-0000-0000-000031010000}"/>
    <cellStyle name="Calculation 7" xfId="306" xr:uid="{00000000-0005-0000-0000-000032010000}"/>
    <cellStyle name="Calculation 8" xfId="416" xr:uid="{00000000-0005-0000-0000-0000A0010000}"/>
    <cellStyle name="Calculation 9" xfId="469" xr:uid="{00000000-0005-0000-0000-0000D5010000}"/>
    <cellStyle name="Check Cell 10" xfId="468" xr:uid="{00000000-0005-0000-0000-0000D4010000}"/>
    <cellStyle name="Check Cell 11" xfId="565" xr:uid="{00000000-0005-0000-0000-000035020000}"/>
    <cellStyle name="Check Cell 12" xfId="670" xr:uid="{00000000-0005-0000-0000-00009E020000}"/>
    <cellStyle name="Check Cell 13" xfId="718" xr:uid="{00000000-0005-0000-0000-0000CE020000}"/>
    <cellStyle name="Check Cell 2" xfId="79" xr:uid="{00000000-0005-0000-0000-00004F000000}"/>
    <cellStyle name="Check Cell 3" xfId="80" xr:uid="{00000000-0005-0000-0000-000050000000}"/>
    <cellStyle name="Check Cell 4" xfId="81" xr:uid="{00000000-0005-0000-0000-000051000000}"/>
    <cellStyle name="Check Cell 5" xfId="187" xr:uid="{00000000-0005-0000-0000-0000BB000000}"/>
    <cellStyle name="Check Cell 6" xfId="307" xr:uid="{00000000-0005-0000-0000-000033010000}"/>
    <cellStyle name="Check Cell 7" xfId="308" xr:uid="{00000000-0005-0000-0000-000034010000}"/>
    <cellStyle name="Check Cell 8" xfId="417" xr:uid="{00000000-0005-0000-0000-0000A1010000}"/>
    <cellStyle name="Check Cell 9" xfId="470" xr:uid="{00000000-0005-0000-0000-0000D6010000}"/>
    <cellStyle name="Comma" xfId="82" builtinId="3"/>
    <cellStyle name="Comma 10" xfId="478" xr:uid="{00000000-0005-0000-0000-0000DE010000}"/>
    <cellStyle name="Comma 11" xfId="566" xr:uid="{00000000-0005-0000-0000-000036020000}"/>
    <cellStyle name="Comma 12" xfId="671" xr:uid="{00000000-0005-0000-0000-00009F020000}"/>
    <cellStyle name="Comma 13" xfId="719" xr:uid="{00000000-0005-0000-0000-0000CF020000}"/>
    <cellStyle name="Comma 2" xfId="83" xr:uid="{00000000-0005-0000-0000-000053000000}"/>
    <cellStyle name="Comma 2 2" xfId="84" xr:uid="{00000000-0005-0000-0000-000054000000}"/>
    <cellStyle name="Comma 2 2 2" xfId="309" xr:uid="{00000000-0005-0000-0000-000035010000}"/>
    <cellStyle name="Comma 2 3" xfId="85" xr:uid="{00000000-0005-0000-0000-000055000000}"/>
    <cellStyle name="Comma 2 3 2" xfId="310" xr:uid="{00000000-0005-0000-0000-000036010000}"/>
    <cellStyle name="Comma 2 4" xfId="311" xr:uid="{00000000-0005-0000-0000-000037010000}"/>
    <cellStyle name="Comma 3" xfId="86" xr:uid="{00000000-0005-0000-0000-000056000000}"/>
    <cellStyle name="Comma 3 2" xfId="87" xr:uid="{00000000-0005-0000-0000-000057000000}"/>
    <cellStyle name="Comma 3 2 2" xfId="312" xr:uid="{00000000-0005-0000-0000-000038010000}"/>
    <cellStyle name="Comma 3 3" xfId="313" xr:uid="{00000000-0005-0000-0000-000039010000}"/>
    <cellStyle name="Comma 4" xfId="88" xr:uid="{00000000-0005-0000-0000-000058000000}"/>
    <cellStyle name="Comma 4 2" xfId="89" xr:uid="{00000000-0005-0000-0000-000059000000}"/>
    <cellStyle name="Comma 4 2 2" xfId="314" xr:uid="{00000000-0005-0000-0000-00003A010000}"/>
    <cellStyle name="Comma 4 3" xfId="315" xr:uid="{00000000-0005-0000-0000-00003B010000}"/>
    <cellStyle name="Comma 5" xfId="188" xr:uid="{00000000-0005-0000-0000-0000BC000000}"/>
    <cellStyle name="Comma 5 2" xfId="316" xr:uid="{00000000-0005-0000-0000-00003C010000}"/>
    <cellStyle name="Comma 6" xfId="317" xr:uid="{00000000-0005-0000-0000-00003D010000}"/>
    <cellStyle name="Comma 7" xfId="318" xr:uid="{00000000-0005-0000-0000-00003E010000}"/>
    <cellStyle name="Comma 8" xfId="418" xr:uid="{00000000-0005-0000-0000-0000A2010000}"/>
    <cellStyle name="Comma 9" xfId="472" xr:uid="{00000000-0005-0000-0000-0000D8010000}"/>
    <cellStyle name="Currency 2" xfId="90" xr:uid="{00000000-0005-0000-0000-00005A000000}"/>
    <cellStyle name="Currency 2 2" xfId="91" xr:uid="{00000000-0005-0000-0000-00005B000000}"/>
    <cellStyle name="Currency 2 2 2" xfId="319" xr:uid="{00000000-0005-0000-0000-00003F010000}"/>
    <cellStyle name="Currency 2 3" xfId="92" xr:uid="{00000000-0005-0000-0000-00005C000000}"/>
    <cellStyle name="Currency 2 3 2" xfId="320" xr:uid="{00000000-0005-0000-0000-000040010000}"/>
    <cellStyle name="Currency 2 4" xfId="321" xr:uid="{00000000-0005-0000-0000-000041010000}"/>
    <cellStyle name="Currency 3" xfId="93" xr:uid="{00000000-0005-0000-0000-00005D000000}"/>
    <cellStyle name="Currency 3 2" xfId="94" xr:uid="{00000000-0005-0000-0000-00005E000000}"/>
    <cellStyle name="Currency 3 2 2" xfId="322" xr:uid="{00000000-0005-0000-0000-000042010000}"/>
    <cellStyle name="Currency 3 3" xfId="323" xr:uid="{00000000-0005-0000-0000-000043010000}"/>
    <cellStyle name="Currency 4" xfId="95" xr:uid="{00000000-0005-0000-0000-00005F000000}"/>
    <cellStyle name="Currency 4 2" xfId="96" xr:uid="{00000000-0005-0000-0000-000060000000}"/>
    <cellStyle name="Currency 4 2 2" xfId="324" xr:uid="{00000000-0005-0000-0000-000044010000}"/>
    <cellStyle name="Currency 4 3" xfId="325" xr:uid="{00000000-0005-0000-0000-000045010000}"/>
    <cellStyle name="Currency 5" xfId="189" xr:uid="{00000000-0005-0000-0000-0000BD000000}"/>
    <cellStyle name="Currency 5 2" xfId="326" xr:uid="{00000000-0005-0000-0000-000046010000}"/>
    <cellStyle name="Explanatory Text 10" xfId="479" xr:uid="{00000000-0005-0000-0000-0000DF010000}"/>
    <cellStyle name="Explanatory Text 11" xfId="567" xr:uid="{00000000-0005-0000-0000-000037020000}"/>
    <cellStyle name="Explanatory Text 12" xfId="672" xr:uid="{00000000-0005-0000-0000-0000A0020000}"/>
    <cellStyle name="Explanatory Text 13" xfId="720" xr:uid="{00000000-0005-0000-0000-0000D0020000}"/>
    <cellStyle name="Explanatory Text 2" xfId="97" xr:uid="{00000000-0005-0000-0000-000061000000}"/>
    <cellStyle name="Explanatory Text 3" xfId="98" xr:uid="{00000000-0005-0000-0000-000062000000}"/>
    <cellStyle name="Explanatory Text 4" xfId="99" xr:uid="{00000000-0005-0000-0000-000063000000}"/>
    <cellStyle name="Explanatory Text 5" xfId="190" xr:uid="{00000000-0005-0000-0000-0000BE000000}"/>
    <cellStyle name="Explanatory Text 6" xfId="327" xr:uid="{00000000-0005-0000-0000-000047010000}"/>
    <cellStyle name="Explanatory Text 7" xfId="328" xr:uid="{00000000-0005-0000-0000-000048010000}"/>
    <cellStyle name="Explanatory Text 8" xfId="419" xr:uid="{00000000-0005-0000-0000-0000A3010000}"/>
    <cellStyle name="Explanatory Text 9" xfId="473" xr:uid="{00000000-0005-0000-0000-0000D9010000}"/>
    <cellStyle name="Followed Hyperlink 2" xfId="756" xr:uid="{00000000-0005-0000-0000-0000F4020000}"/>
    <cellStyle name="Good 10" xfId="503" xr:uid="{00000000-0005-0000-0000-0000F7010000}"/>
    <cellStyle name="Good 11" xfId="568" xr:uid="{00000000-0005-0000-0000-000038020000}"/>
    <cellStyle name="Good 12" xfId="673" xr:uid="{00000000-0005-0000-0000-0000A1020000}"/>
    <cellStyle name="Good 13" xfId="721" xr:uid="{00000000-0005-0000-0000-0000D1020000}"/>
    <cellStyle name="Good 2" xfId="100" xr:uid="{00000000-0005-0000-0000-000064000000}"/>
    <cellStyle name="Good 3" xfId="101" xr:uid="{00000000-0005-0000-0000-000065000000}"/>
    <cellStyle name="Good 4" xfId="102" xr:uid="{00000000-0005-0000-0000-000066000000}"/>
    <cellStyle name="Good 5" xfId="191" xr:uid="{00000000-0005-0000-0000-0000BF000000}"/>
    <cellStyle name="Good 6" xfId="329" xr:uid="{00000000-0005-0000-0000-000049010000}"/>
    <cellStyle name="Good 7" xfId="330" xr:uid="{00000000-0005-0000-0000-00004A010000}"/>
    <cellStyle name="Good 8" xfId="420" xr:uid="{00000000-0005-0000-0000-0000A4010000}"/>
    <cellStyle name="Good 9" xfId="474" xr:uid="{00000000-0005-0000-0000-0000DA010000}"/>
    <cellStyle name="Heading 1 10" xfId="509" xr:uid="{00000000-0005-0000-0000-0000FD010000}"/>
    <cellStyle name="Heading 1 11" xfId="569" xr:uid="{00000000-0005-0000-0000-000039020000}"/>
    <cellStyle name="Heading 1 12" xfId="674" xr:uid="{00000000-0005-0000-0000-0000A2020000}"/>
    <cellStyle name="Heading 1 13" xfId="722" xr:uid="{00000000-0005-0000-0000-0000D2020000}"/>
    <cellStyle name="Heading 1 2" xfId="103" xr:uid="{00000000-0005-0000-0000-000067000000}"/>
    <cellStyle name="Heading 1 3" xfId="104" xr:uid="{00000000-0005-0000-0000-000068000000}"/>
    <cellStyle name="Heading 1 4" xfId="105" xr:uid="{00000000-0005-0000-0000-000069000000}"/>
    <cellStyle name="Heading 1 5" xfId="192" xr:uid="{00000000-0005-0000-0000-0000C0000000}"/>
    <cellStyle name="Heading 1 6" xfId="331" xr:uid="{00000000-0005-0000-0000-00004B010000}"/>
    <cellStyle name="Heading 1 7" xfId="332" xr:uid="{00000000-0005-0000-0000-00004C010000}"/>
    <cellStyle name="Heading 1 8" xfId="421" xr:uid="{00000000-0005-0000-0000-0000A5010000}"/>
    <cellStyle name="Heading 1 9" xfId="475" xr:uid="{00000000-0005-0000-0000-0000DB010000}"/>
    <cellStyle name="Heading 2 10" xfId="514" xr:uid="{00000000-0005-0000-0000-000002020000}"/>
    <cellStyle name="Heading 2 11" xfId="570" xr:uid="{00000000-0005-0000-0000-00003A020000}"/>
    <cellStyle name="Heading 2 12" xfId="675" xr:uid="{00000000-0005-0000-0000-0000A3020000}"/>
    <cellStyle name="Heading 2 13" xfId="723" xr:uid="{00000000-0005-0000-0000-0000D3020000}"/>
    <cellStyle name="Heading 2 2" xfId="106" xr:uid="{00000000-0005-0000-0000-00006A000000}"/>
    <cellStyle name="Heading 2 3" xfId="107" xr:uid="{00000000-0005-0000-0000-00006B000000}"/>
    <cellStyle name="Heading 2 4" xfId="108" xr:uid="{00000000-0005-0000-0000-00006C000000}"/>
    <cellStyle name="Heading 2 5" xfId="193" xr:uid="{00000000-0005-0000-0000-0000C1000000}"/>
    <cellStyle name="Heading 2 6" xfId="333" xr:uid="{00000000-0005-0000-0000-00004D010000}"/>
    <cellStyle name="Heading 2 7" xfId="334" xr:uid="{00000000-0005-0000-0000-00004E010000}"/>
    <cellStyle name="Heading 2 8" xfId="422" xr:uid="{00000000-0005-0000-0000-0000A6010000}"/>
    <cellStyle name="Heading 2 9" xfId="477" xr:uid="{00000000-0005-0000-0000-0000DD010000}"/>
    <cellStyle name="Heading 3 10" xfId="511" xr:uid="{00000000-0005-0000-0000-0000FF010000}"/>
    <cellStyle name="Heading 3 11" xfId="571" xr:uid="{00000000-0005-0000-0000-00003B020000}"/>
    <cellStyle name="Heading 3 12" xfId="676" xr:uid="{00000000-0005-0000-0000-0000A4020000}"/>
    <cellStyle name="Heading 3 13" xfId="724" xr:uid="{00000000-0005-0000-0000-0000D4020000}"/>
    <cellStyle name="Heading 3 2" xfId="109" xr:uid="{00000000-0005-0000-0000-00006D000000}"/>
    <cellStyle name="Heading 3 3" xfId="110" xr:uid="{00000000-0005-0000-0000-00006E000000}"/>
    <cellStyle name="Heading 3 4" xfId="111" xr:uid="{00000000-0005-0000-0000-00006F000000}"/>
    <cellStyle name="Heading 3 5" xfId="194" xr:uid="{00000000-0005-0000-0000-0000C2000000}"/>
    <cellStyle name="Heading 3 6" xfId="335" xr:uid="{00000000-0005-0000-0000-00004F010000}"/>
    <cellStyle name="Heading 3 7" xfId="336" xr:uid="{00000000-0005-0000-0000-000050010000}"/>
    <cellStyle name="Heading 3 8" xfId="423" xr:uid="{00000000-0005-0000-0000-0000A7010000}"/>
    <cellStyle name="Heading 3 9" xfId="480" xr:uid="{00000000-0005-0000-0000-0000E0010000}"/>
    <cellStyle name="Heading 4 10" xfId="491" xr:uid="{00000000-0005-0000-0000-0000EB010000}"/>
    <cellStyle name="Heading 4 11" xfId="572" xr:uid="{00000000-0005-0000-0000-00003C020000}"/>
    <cellStyle name="Heading 4 12" xfId="677" xr:uid="{00000000-0005-0000-0000-0000A5020000}"/>
    <cellStyle name="Heading 4 13" xfId="725" xr:uid="{00000000-0005-0000-0000-0000D5020000}"/>
    <cellStyle name="Heading 4 2" xfId="112" xr:uid="{00000000-0005-0000-0000-000070000000}"/>
    <cellStyle name="Heading 4 3" xfId="113" xr:uid="{00000000-0005-0000-0000-000071000000}"/>
    <cellStyle name="Heading 4 4" xfId="114" xr:uid="{00000000-0005-0000-0000-000072000000}"/>
    <cellStyle name="Heading 4 5" xfId="195" xr:uid="{00000000-0005-0000-0000-0000C3000000}"/>
    <cellStyle name="Heading 4 6" xfId="337" xr:uid="{00000000-0005-0000-0000-000051010000}"/>
    <cellStyle name="Heading 4 7" xfId="338" xr:uid="{00000000-0005-0000-0000-000052010000}"/>
    <cellStyle name="Heading 4 8" xfId="424" xr:uid="{00000000-0005-0000-0000-0000A8010000}"/>
    <cellStyle name="Heading 4 9" xfId="483" xr:uid="{00000000-0005-0000-0000-0000E3010000}"/>
    <cellStyle name="Hyperlink" xfId="115" builtinId="8"/>
    <cellStyle name="Hyperlink 2" xfId="747" xr:uid="{00000000-0005-0000-0000-0000EB020000}"/>
    <cellStyle name="Hyperlink 3" xfId="755" xr:uid="{00000000-0005-0000-0000-0000F3020000}"/>
    <cellStyle name="Hyperlink 4" xfId="746" xr:uid="{00000000-0005-0000-0000-0000EA020000}"/>
    <cellStyle name="Input 10" xfId="508" xr:uid="{00000000-0005-0000-0000-0000FC010000}"/>
    <cellStyle name="Input 11" xfId="573" xr:uid="{00000000-0005-0000-0000-00003D020000}"/>
    <cellStyle name="Input 12" xfId="678" xr:uid="{00000000-0005-0000-0000-0000A6020000}"/>
    <cellStyle name="Input 13" xfId="726" xr:uid="{00000000-0005-0000-0000-0000D6020000}"/>
    <cellStyle name="Input 2" xfId="116" xr:uid="{00000000-0005-0000-0000-000074000000}"/>
    <cellStyle name="Input 3" xfId="117" xr:uid="{00000000-0005-0000-0000-000075000000}"/>
    <cellStyle name="Input 4" xfId="118" xr:uid="{00000000-0005-0000-0000-000076000000}"/>
    <cellStyle name="Input 5" xfId="196" xr:uid="{00000000-0005-0000-0000-0000C4000000}"/>
    <cellStyle name="Input 6" xfId="339" xr:uid="{00000000-0005-0000-0000-000053010000}"/>
    <cellStyle name="Input 7" xfId="340" xr:uid="{00000000-0005-0000-0000-000054010000}"/>
    <cellStyle name="Input 8" xfId="425" xr:uid="{00000000-0005-0000-0000-0000A9010000}"/>
    <cellStyle name="Input 9" xfId="484" xr:uid="{00000000-0005-0000-0000-0000E4010000}"/>
    <cellStyle name="Linked Cell 10" xfId="513" xr:uid="{00000000-0005-0000-0000-000001020000}"/>
    <cellStyle name="Linked Cell 11" xfId="574" xr:uid="{00000000-0005-0000-0000-00003E020000}"/>
    <cellStyle name="Linked Cell 12" xfId="679" xr:uid="{00000000-0005-0000-0000-0000A7020000}"/>
    <cellStyle name="Linked Cell 13" xfId="727" xr:uid="{00000000-0005-0000-0000-0000D7020000}"/>
    <cellStyle name="Linked Cell 2" xfId="119" xr:uid="{00000000-0005-0000-0000-000077000000}"/>
    <cellStyle name="Linked Cell 3" xfId="120" xr:uid="{00000000-0005-0000-0000-000078000000}"/>
    <cellStyle name="Linked Cell 4" xfId="121" xr:uid="{00000000-0005-0000-0000-000079000000}"/>
    <cellStyle name="Linked Cell 5" xfId="197" xr:uid="{00000000-0005-0000-0000-0000C5000000}"/>
    <cellStyle name="Linked Cell 6" xfId="341" xr:uid="{00000000-0005-0000-0000-000055010000}"/>
    <cellStyle name="Linked Cell 7" xfId="342" xr:uid="{00000000-0005-0000-0000-000056010000}"/>
    <cellStyle name="Linked Cell 8" xfId="426" xr:uid="{00000000-0005-0000-0000-0000AA010000}"/>
    <cellStyle name="Linked Cell 9" xfId="485" xr:uid="{00000000-0005-0000-0000-0000E5010000}"/>
    <cellStyle name="Neutral 10" xfId="476" xr:uid="{00000000-0005-0000-0000-0000DC010000}"/>
    <cellStyle name="Neutral 11" xfId="575" xr:uid="{00000000-0005-0000-0000-00003F020000}"/>
    <cellStyle name="Neutral 12" xfId="680" xr:uid="{00000000-0005-0000-0000-0000A8020000}"/>
    <cellStyle name="Neutral 13" xfId="728" xr:uid="{00000000-0005-0000-0000-0000D8020000}"/>
    <cellStyle name="Neutral 2" xfId="122" xr:uid="{00000000-0005-0000-0000-00007A000000}"/>
    <cellStyle name="Neutral 3" xfId="123" xr:uid="{00000000-0005-0000-0000-00007B000000}"/>
    <cellStyle name="Neutral 4" xfId="124" xr:uid="{00000000-0005-0000-0000-00007C000000}"/>
    <cellStyle name="Neutral 5" xfId="198" xr:uid="{00000000-0005-0000-0000-0000C6000000}"/>
    <cellStyle name="Neutral 6" xfId="343" xr:uid="{00000000-0005-0000-0000-000057010000}"/>
    <cellStyle name="Neutral 7" xfId="344" xr:uid="{00000000-0005-0000-0000-000058010000}"/>
    <cellStyle name="Neutral 8" xfId="427" xr:uid="{00000000-0005-0000-0000-0000AB010000}"/>
    <cellStyle name="Neutral 9" xfId="486" xr:uid="{00000000-0005-0000-0000-0000E6010000}"/>
    <cellStyle name="Normal" xfId="0" builtinId="0"/>
    <cellStyle name="Normal 10" xfId="345" xr:uid="{00000000-0005-0000-0000-000059010000}"/>
    <cellStyle name="Normal 11" xfId="390" xr:uid="{00000000-0005-0000-0000-000086010000}"/>
    <cellStyle name="Normal 11 2" xfId="517" xr:uid="{00000000-0005-0000-0000-000005020000}"/>
    <cellStyle name="Normal 12" xfId="389" xr:uid="{00000000-0005-0000-0000-000085010000}"/>
    <cellStyle name="Normal 12 2" xfId="516" xr:uid="{00000000-0005-0000-0000-000004020000}"/>
    <cellStyle name="Normal 12 2 2" xfId="689" xr:uid="{00000000-0005-0000-0000-0000B1020000}"/>
    <cellStyle name="Normal 12 2 2 2" xfId="741" xr:uid="{00000000-0005-0000-0000-0000E5020000}"/>
    <cellStyle name="Normal 12 2 3" xfId="737" xr:uid="{00000000-0005-0000-0000-0000E1020000}"/>
    <cellStyle name="Normal 12 3" xfId="687" xr:uid="{00000000-0005-0000-0000-0000AF020000}"/>
    <cellStyle name="Normal 12 3 2" xfId="739" xr:uid="{00000000-0005-0000-0000-0000E3020000}"/>
    <cellStyle name="Normal 12 4" xfId="735" xr:uid="{00000000-0005-0000-0000-0000DF020000}"/>
    <cellStyle name="Normal 13" xfId="435" xr:uid="{00000000-0005-0000-0000-0000B3010000}"/>
    <cellStyle name="Normal 13 2" xfId="640" xr:uid="{00000000-0005-0000-0000-000080020000}"/>
    <cellStyle name="Normal 14" xfId="434" xr:uid="{00000000-0005-0000-0000-0000B2010000}"/>
    <cellStyle name="Normal 14 2" xfId="688" xr:uid="{00000000-0005-0000-0000-0000B0020000}"/>
    <cellStyle name="Normal 14 2 2" xfId="740" xr:uid="{00000000-0005-0000-0000-0000E4020000}"/>
    <cellStyle name="Normal 14 3" xfId="736" xr:uid="{00000000-0005-0000-0000-0000E0020000}"/>
    <cellStyle name="Normal 15" xfId="520" xr:uid="{00000000-0005-0000-0000-000008020000}"/>
    <cellStyle name="Normal 15 2" xfId="641" xr:uid="{00000000-0005-0000-0000-000081020000}"/>
    <cellStyle name="Normal 16" xfId="526" xr:uid="{00000000-0005-0000-0000-00000E020000}"/>
    <cellStyle name="Normal 17" xfId="525" xr:uid="{00000000-0005-0000-0000-00000D020000}"/>
    <cellStyle name="Normal 18" xfId="643" xr:uid="{00000000-0005-0000-0000-000083020000}"/>
    <cellStyle name="Normal 19" xfId="642" xr:uid="{00000000-0005-0000-0000-000082020000}"/>
    <cellStyle name="Normal 19 2" xfId="738" xr:uid="{00000000-0005-0000-0000-0000E2020000}"/>
    <cellStyle name="Normal 2" xfId="125" xr:uid="{00000000-0005-0000-0000-00007D000000}"/>
    <cellStyle name="Normal 2 2" xfId="346" xr:uid="{00000000-0005-0000-0000-00005A010000}"/>
    <cellStyle name="Normal 2 2 2" xfId="787" xr:uid="{00000000-0005-0000-0000-000013030000}"/>
    <cellStyle name="Normal 2 3" xfId="745" xr:uid="{00000000-0005-0000-0000-0000E9020000}"/>
    <cellStyle name="Normal 20" xfId="691" xr:uid="{00000000-0005-0000-0000-0000B3020000}"/>
    <cellStyle name="Normal 21" xfId="690" xr:uid="{00000000-0005-0000-0000-0000B2020000}"/>
    <cellStyle name="Normal 22" xfId="742" xr:uid="{00000000-0005-0000-0000-0000E6020000}"/>
    <cellStyle name="Normal 23" xfId="743" xr:uid="{00000000-0005-0000-0000-0000E7020000}"/>
    <cellStyle name="Normal 24" xfId="744" xr:uid="{00000000-0005-0000-0000-0000E8020000}"/>
    <cellStyle name="Normal 25" xfId="759" xr:uid="{00000000-0005-0000-0000-0000F7020000}"/>
    <cellStyle name="Normal 26" xfId="773" xr:uid="{00000000-0005-0000-0000-000005030000}"/>
    <cellStyle name="Normal 3" xfId="126" xr:uid="{00000000-0005-0000-0000-00007E000000}"/>
    <cellStyle name="Normal 3 2" xfId="127" xr:uid="{00000000-0005-0000-0000-00007F000000}"/>
    <cellStyle name="Normal 3 2 2" xfId="347" xr:uid="{00000000-0005-0000-0000-00005B010000}"/>
    <cellStyle name="Normal 3 2 3" xfId="749" xr:uid="{00000000-0005-0000-0000-0000ED020000}"/>
    <cellStyle name="Normal 3 3" xfId="128" xr:uid="{00000000-0005-0000-0000-000080000000}"/>
    <cellStyle name="Normal 3 3 2" xfId="348" xr:uid="{00000000-0005-0000-0000-00005C010000}"/>
    <cellStyle name="Normal 3 4" xfId="349" xr:uid="{00000000-0005-0000-0000-00005D010000}"/>
    <cellStyle name="Normal 3 5" xfId="748" xr:uid="{00000000-0005-0000-0000-0000EC020000}"/>
    <cellStyle name="Normal 4" xfId="129" xr:uid="{00000000-0005-0000-0000-000081000000}"/>
    <cellStyle name="Normal 4 2" xfId="350" xr:uid="{00000000-0005-0000-0000-00005E010000}"/>
    <cellStyle name="Normal 4 2 2" xfId="634" xr:uid="{00000000-0005-0000-0000-00007A020000}"/>
    <cellStyle name="Normal 4 3" xfId="576" xr:uid="{00000000-0005-0000-0000-000040020000}"/>
    <cellStyle name="Normal 4 4" xfId="750" xr:uid="{00000000-0005-0000-0000-0000EE020000}"/>
    <cellStyle name="Normal 5" xfId="130" xr:uid="{00000000-0005-0000-0000-000082000000}"/>
    <cellStyle name="Normal 5 2" xfId="131" xr:uid="{00000000-0005-0000-0000-000083000000}"/>
    <cellStyle name="Normal 5 2 2" xfId="351" xr:uid="{00000000-0005-0000-0000-00005F010000}"/>
    <cellStyle name="Normal 5 3" xfId="352" xr:uid="{00000000-0005-0000-0000-000060010000}"/>
    <cellStyle name="Normal 6" xfId="160" xr:uid="{00000000-0005-0000-0000-0000A0000000}"/>
    <cellStyle name="Normal 6 2" xfId="353" xr:uid="{00000000-0005-0000-0000-000061010000}"/>
    <cellStyle name="Normal 7" xfId="205" xr:uid="{00000000-0005-0000-0000-0000CD000000}"/>
    <cellStyle name="Normal 7 2" xfId="354" xr:uid="{00000000-0005-0000-0000-000062010000}"/>
    <cellStyle name="Normal 7 2 2" xfId="635" xr:uid="{00000000-0005-0000-0000-00007B020000}"/>
    <cellStyle name="Normal 7 3" xfId="584" xr:uid="{00000000-0005-0000-0000-000048020000}"/>
    <cellStyle name="Normal 8" xfId="355" xr:uid="{00000000-0005-0000-0000-000063010000}"/>
    <cellStyle name="Normal 8 2" xfId="356" xr:uid="{00000000-0005-0000-0000-000064010000}"/>
    <cellStyle name="Normal 9" xfId="357" xr:uid="{00000000-0005-0000-0000-000065010000}"/>
    <cellStyle name="Normal 9 2" xfId="636" xr:uid="{00000000-0005-0000-0000-00007C020000}"/>
    <cellStyle name="Note 10" xfId="358" xr:uid="{00000000-0005-0000-0000-000066010000}"/>
    <cellStyle name="Note 11" xfId="428" xr:uid="{00000000-0005-0000-0000-0000AC010000}"/>
    <cellStyle name="Note 12" xfId="487" xr:uid="{00000000-0005-0000-0000-0000E7010000}"/>
    <cellStyle name="Note 13" xfId="519" xr:uid="{00000000-0005-0000-0000-000007020000}"/>
    <cellStyle name="Note 14" xfId="577" xr:uid="{00000000-0005-0000-0000-000041020000}"/>
    <cellStyle name="Note 15" xfId="681" xr:uid="{00000000-0005-0000-0000-0000A9020000}"/>
    <cellStyle name="Note 16" xfId="729" xr:uid="{00000000-0005-0000-0000-0000D9020000}"/>
    <cellStyle name="Note 17" xfId="760" xr:uid="{00000000-0005-0000-0000-0000F8020000}"/>
    <cellStyle name="Note 18" xfId="774" xr:uid="{00000000-0005-0000-0000-000006030000}"/>
    <cellStyle name="Note 2" xfId="132" xr:uid="{00000000-0005-0000-0000-000084000000}"/>
    <cellStyle name="Note 2 2" xfId="133" xr:uid="{00000000-0005-0000-0000-000085000000}"/>
    <cellStyle name="Note 2 2 2" xfId="359" xr:uid="{00000000-0005-0000-0000-000067010000}"/>
    <cellStyle name="Note 2 3" xfId="134" xr:uid="{00000000-0005-0000-0000-000086000000}"/>
    <cellStyle name="Note 2 3 2" xfId="360" xr:uid="{00000000-0005-0000-0000-000068010000}"/>
    <cellStyle name="Note 2 4" xfId="361" xr:uid="{00000000-0005-0000-0000-000069010000}"/>
    <cellStyle name="Note 2 5" xfId="757" xr:uid="{00000000-0005-0000-0000-0000F5020000}"/>
    <cellStyle name="Note 3" xfId="135" xr:uid="{00000000-0005-0000-0000-000087000000}"/>
    <cellStyle name="Note 3 2" xfId="136" xr:uid="{00000000-0005-0000-0000-000088000000}"/>
    <cellStyle name="Note 3 2 2" xfId="362" xr:uid="{00000000-0005-0000-0000-00006A010000}"/>
    <cellStyle name="Note 3 3" xfId="363" xr:uid="{00000000-0005-0000-0000-00006B010000}"/>
    <cellStyle name="Note 3 4" xfId="758" xr:uid="{00000000-0005-0000-0000-0000F6020000}"/>
    <cellStyle name="Note 4" xfId="137" xr:uid="{00000000-0005-0000-0000-000089000000}"/>
    <cellStyle name="Note 4 2" xfId="364" xr:uid="{00000000-0005-0000-0000-00006C010000}"/>
    <cellStyle name="Note 4 2 2" xfId="637" xr:uid="{00000000-0005-0000-0000-00007D020000}"/>
    <cellStyle name="Note 4 3" xfId="578" xr:uid="{00000000-0005-0000-0000-000042020000}"/>
    <cellStyle name="Note 5" xfId="138" xr:uid="{00000000-0005-0000-0000-00008A000000}"/>
    <cellStyle name="Note 5 2" xfId="139" xr:uid="{00000000-0005-0000-0000-00008B000000}"/>
    <cellStyle name="Note 5 2 2" xfId="365" xr:uid="{00000000-0005-0000-0000-00006D010000}"/>
    <cellStyle name="Note 5 3" xfId="366" xr:uid="{00000000-0005-0000-0000-00006E010000}"/>
    <cellStyle name="Note 6" xfId="199" xr:uid="{00000000-0005-0000-0000-0000C7000000}"/>
    <cellStyle name="Note 6 2" xfId="367" xr:uid="{00000000-0005-0000-0000-00006F010000}"/>
    <cellStyle name="Note 7" xfId="206" xr:uid="{00000000-0005-0000-0000-0000CE000000}"/>
    <cellStyle name="Note 7 2" xfId="368" xr:uid="{00000000-0005-0000-0000-000070010000}"/>
    <cellStyle name="Note 7 2 2" xfId="638" xr:uid="{00000000-0005-0000-0000-00007E020000}"/>
    <cellStyle name="Note 7 3" xfId="585" xr:uid="{00000000-0005-0000-0000-000049020000}"/>
    <cellStyle name="Note 8" xfId="369" xr:uid="{00000000-0005-0000-0000-000071010000}"/>
    <cellStyle name="Note 9" xfId="370" xr:uid="{00000000-0005-0000-0000-000072010000}"/>
    <cellStyle name="Note 9 2" xfId="639" xr:uid="{00000000-0005-0000-0000-00007F020000}"/>
    <cellStyle name="Output 10" xfId="522" xr:uid="{00000000-0005-0000-0000-00000A020000}"/>
    <cellStyle name="Output 11" xfId="579" xr:uid="{00000000-0005-0000-0000-000043020000}"/>
    <cellStyle name="Output 12" xfId="682" xr:uid="{00000000-0005-0000-0000-0000AA020000}"/>
    <cellStyle name="Output 13" xfId="730" xr:uid="{00000000-0005-0000-0000-0000DA020000}"/>
    <cellStyle name="Output 2" xfId="140" xr:uid="{00000000-0005-0000-0000-00008C000000}"/>
    <cellStyle name="Output 3" xfId="141" xr:uid="{00000000-0005-0000-0000-00008D000000}"/>
    <cellStyle name="Output 4" xfId="142" xr:uid="{00000000-0005-0000-0000-00008E000000}"/>
    <cellStyle name="Output 5" xfId="200" xr:uid="{00000000-0005-0000-0000-0000C8000000}"/>
    <cellStyle name="Output 6" xfId="371" xr:uid="{00000000-0005-0000-0000-000073010000}"/>
    <cellStyle name="Output 7" xfId="372" xr:uid="{00000000-0005-0000-0000-000074010000}"/>
    <cellStyle name="Output 8" xfId="429" xr:uid="{00000000-0005-0000-0000-0000AD010000}"/>
    <cellStyle name="Output 9" xfId="488" xr:uid="{00000000-0005-0000-0000-0000E8010000}"/>
    <cellStyle name="Percent" xfId="143" builtinId="5"/>
    <cellStyle name="Percent 10" xfId="490" xr:uid="{00000000-0005-0000-0000-0000EA010000}"/>
    <cellStyle name="Percent 11" xfId="580" xr:uid="{00000000-0005-0000-0000-000044020000}"/>
    <cellStyle name="Percent 12" xfId="683" xr:uid="{00000000-0005-0000-0000-0000AB020000}"/>
    <cellStyle name="Percent 13" xfId="731" xr:uid="{00000000-0005-0000-0000-0000DB020000}"/>
    <cellStyle name="Percent 2" xfId="144" xr:uid="{00000000-0005-0000-0000-000090000000}"/>
    <cellStyle name="Percent 2 2" xfId="145" xr:uid="{00000000-0005-0000-0000-000091000000}"/>
    <cellStyle name="Percent 2 2 2" xfId="373" xr:uid="{00000000-0005-0000-0000-000075010000}"/>
    <cellStyle name="Percent 2 3" xfId="146" xr:uid="{00000000-0005-0000-0000-000092000000}"/>
    <cellStyle name="Percent 2 3 2" xfId="374" xr:uid="{00000000-0005-0000-0000-000076010000}"/>
    <cellStyle name="Percent 2 4" xfId="375" xr:uid="{00000000-0005-0000-0000-000077010000}"/>
    <cellStyle name="Percent 3" xfId="147" xr:uid="{00000000-0005-0000-0000-000093000000}"/>
    <cellStyle name="Percent 3 2" xfId="148" xr:uid="{00000000-0005-0000-0000-000094000000}"/>
    <cellStyle name="Percent 3 2 2" xfId="376" xr:uid="{00000000-0005-0000-0000-000078010000}"/>
    <cellStyle name="Percent 3 2 2 2" xfId="753" xr:uid="{00000000-0005-0000-0000-0000F1020000}"/>
    <cellStyle name="Percent 3 2 3" xfId="752" xr:uid="{00000000-0005-0000-0000-0000F0020000}"/>
    <cellStyle name="Percent 3 3" xfId="377" xr:uid="{00000000-0005-0000-0000-000079010000}"/>
    <cellStyle name="Percent 3 4" xfId="751" xr:uid="{00000000-0005-0000-0000-0000EF020000}"/>
    <cellStyle name="Percent 4" xfId="149" xr:uid="{00000000-0005-0000-0000-000095000000}"/>
    <cellStyle name="Percent 4 2" xfId="150" xr:uid="{00000000-0005-0000-0000-000096000000}"/>
    <cellStyle name="Percent 4 2 2" xfId="378" xr:uid="{00000000-0005-0000-0000-00007A010000}"/>
    <cellStyle name="Percent 4 3" xfId="379" xr:uid="{00000000-0005-0000-0000-00007B010000}"/>
    <cellStyle name="Percent 5" xfId="201" xr:uid="{00000000-0005-0000-0000-0000C9000000}"/>
    <cellStyle name="Percent 5 2" xfId="380" xr:uid="{00000000-0005-0000-0000-00007C010000}"/>
    <cellStyle name="Percent 5 3" xfId="754" xr:uid="{00000000-0005-0000-0000-0000F2020000}"/>
    <cellStyle name="Percent 6" xfId="381" xr:uid="{00000000-0005-0000-0000-00007D010000}"/>
    <cellStyle name="Percent 7" xfId="382" xr:uid="{00000000-0005-0000-0000-00007E010000}"/>
    <cellStyle name="Percent 8" xfId="430" xr:uid="{00000000-0005-0000-0000-0000AE010000}"/>
    <cellStyle name="Percent 9" xfId="489" xr:uid="{00000000-0005-0000-0000-0000E9010000}"/>
    <cellStyle name="Title 10" xfId="518" xr:uid="{00000000-0005-0000-0000-000006020000}"/>
    <cellStyle name="Title 11" xfId="581" xr:uid="{00000000-0005-0000-0000-000045020000}"/>
    <cellStyle name="Title 12" xfId="684" xr:uid="{00000000-0005-0000-0000-0000AC020000}"/>
    <cellStyle name="Title 13" xfId="732" xr:uid="{00000000-0005-0000-0000-0000DC020000}"/>
    <cellStyle name="Title 2" xfId="151" xr:uid="{00000000-0005-0000-0000-000097000000}"/>
    <cellStyle name="Title 3" xfId="152" xr:uid="{00000000-0005-0000-0000-000098000000}"/>
    <cellStyle name="Title 4" xfId="153" xr:uid="{00000000-0005-0000-0000-000099000000}"/>
    <cellStyle name="Title 5" xfId="202" xr:uid="{00000000-0005-0000-0000-0000CA000000}"/>
    <cellStyle name="Title 6" xfId="383" xr:uid="{00000000-0005-0000-0000-00007F010000}"/>
    <cellStyle name="Title 7" xfId="384" xr:uid="{00000000-0005-0000-0000-000080010000}"/>
    <cellStyle name="Title 8" xfId="431" xr:uid="{00000000-0005-0000-0000-0000AF010000}"/>
    <cellStyle name="Title 9" xfId="493" xr:uid="{00000000-0005-0000-0000-0000ED010000}"/>
    <cellStyle name="Total 10" xfId="507" xr:uid="{00000000-0005-0000-0000-0000FB010000}"/>
    <cellStyle name="Total 11" xfId="582" xr:uid="{00000000-0005-0000-0000-000046020000}"/>
    <cellStyle name="Total 12" xfId="685" xr:uid="{00000000-0005-0000-0000-0000AD020000}"/>
    <cellStyle name="Total 13" xfId="733" xr:uid="{00000000-0005-0000-0000-0000DD020000}"/>
    <cellStyle name="Total 2" xfId="154" xr:uid="{00000000-0005-0000-0000-00009A000000}"/>
    <cellStyle name="Total 3" xfId="155" xr:uid="{00000000-0005-0000-0000-00009B000000}"/>
    <cellStyle name="Total 4" xfId="156" xr:uid="{00000000-0005-0000-0000-00009C000000}"/>
    <cellStyle name="Total 5" xfId="203" xr:uid="{00000000-0005-0000-0000-0000CB000000}"/>
    <cellStyle name="Total 6" xfId="385" xr:uid="{00000000-0005-0000-0000-000081010000}"/>
    <cellStyle name="Total 7" xfId="386" xr:uid="{00000000-0005-0000-0000-000082010000}"/>
    <cellStyle name="Total 8" xfId="432" xr:uid="{00000000-0005-0000-0000-0000B0010000}"/>
    <cellStyle name="Total 9" xfId="496" xr:uid="{00000000-0005-0000-0000-0000F0010000}"/>
    <cellStyle name="Warning Text 10" xfId="502" xr:uid="{00000000-0005-0000-0000-0000F6010000}"/>
    <cellStyle name="Warning Text 11" xfId="583" xr:uid="{00000000-0005-0000-0000-000047020000}"/>
    <cellStyle name="Warning Text 12" xfId="686" xr:uid="{00000000-0005-0000-0000-0000AE020000}"/>
    <cellStyle name="Warning Text 13" xfId="734" xr:uid="{00000000-0005-0000-0000-0000DE020000}"/>
    <cellStyle name="Warning Text 2" xfId="157" xr:uid="{00000000-0005-0000-0000-00009D000000}"/>
    <cellStyle name="Warning Text 3" xfId="158" xr:uid="{00000000-0005-0000-0000-00009E000000}"/>
    <cellStyle name="Warning Text 4" xfId="159" xr:uid="{00000000-0005-0000-0000-00009F000000}"/>
    <cellStyle name="Warning Text 5" xfId="204" xr:uid="{00000000-0005-0000-0000-0000CC000000}"/>
    <cellStyle name="Warning Text 6" xfId="387" xr:uid="{00000000-0005-0000-0000-000083010000}"/>
    <cellStyle name="Warning Text 7" xfId="388" xr:uid="{00000000-0005-0000-0000-000084010000}"/>
    <cellStyle name="Warning Text 8" xfId="433" xr:uid="{00000000-0005-0000-0000-0000B1010000}"/>
    <cellStyle name="Warning Text 9" xfId="497" xr:uid="{00000000-0005-0000-0000-0000F1010000}"/>
  </cellStyles>
  <dxfs count="13">
    <dxf>
      <fill>
        <patternFill>
          <bgColor indexed="65"/>
        </patternFill>
      </fill>
    </dxf>
    <dxf>
      <border>
        <left style="thin">
          <color auto="1"/>
        </left>
        <right style="thin">
          <color auto="1"/>
        </right>
        <top style="thin">
          <color auto="1"/>
        </top>
        <bottom style="thin">
          <color auto="1"/>
        </bottom>
        <vertical/>
        <horizontal/>
      </border>
    </dxf>
    <dxf>
      <font>
        <color theme="0"/>
      </font>
    </dxf>
    <dxf>
      <font>
        <color theme="0"/>
      </font>
    </dxf>
    <dxf>
      <font>
        <i/>
        <condense val="0"/>
        <extend val="0"/>
        <color indexed="55"/>
      </font>
    </dxf>
    <dxf>
      <font>
        <i/>
        <condense val="0"/>
        <extend val="0"/>
        <color indexed="55"/>
      </font>
    </dxf>
    <dxf>
      <font>
        <i/>
        <condense val="0"/>
        <extend val="0"/>
        <color indexed="55"/>
      </font>
    </dxf>
    <dxf>
      <font>
        <i/>
        <condense val="0"/>
        <extend val="0"/>
        <color indexed="55"/>
      </font>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DFFED2"/>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EFFAEA"/>
      <rgbColor rgb="00339966"/>
      <rgbColor rgb="00003300"/>
      <rgbColor rgb="00333300"/>
      <rgbColor rgb="00993300"/>
      <rgbColor rgb="00993366"/>
      <rgbColor rgb="0099CC99"/>
      <rgbColor rgb="0000986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lgn="l">
              <a:defRPr sz="1200" b="1"/>
            </a:pPr>
            <a:r>
              <a:rPr lang="en-US" sz="1200" b="1"/>
              <a:t>Figure 1:  Adjusted </a:t>
            </a:r>
            <a:r>
              <a:rPr lang="en-US" sz="1200" b="1" i="0" strike="noStrike" baseline="0"/>
              <a:t>average </a:t>
            </a:r>
            <a:r>
              <a:rPr lang="en-US" sz="1200" b="1"/>
              <a:t>health gain on the EQ-5D</a:t>
            </a:r>
            <a:r>
              <a:rPr lang="en-US" sz="1200" b="1" baseline="30000"/>
              <a:t>TM</a:t>
            </a:r>
            <a:r>
              <a:rPr lang="en-US" sz="1200" b="1"/>
              <a:t> Index by procedure</a:t>
            </a:r>
          </a:p>
        </c:rich>
      </c:tx>
      <c:layout>
        <c:manualLayout>
          <c:xMode val="edge"/>
          <c:yMode val="edge"/>
          <c:x val="0.23755296116395089"/>
          <c:y val="2.907674744526717E-2"/>
        </c:manualLayout>
      </c:layout>
      <c:overlay val="0"/>
    </c:title>
    <c:autoTitleDeleted val="0"/>
    <c:plotArea>
      <c:layout>
        <c:manualLayout>
          <c:layoutTarget val="inner"/>
          <c:xMode val="edge"/>
          <c:yMode val="edge"/>
          <c:x val="0.32244351851851849"/>
          <c:y val="0.2391391625121691"/>
          <c:w val="0.65346256613756615"/>
          <c:h val="0.55865627198049828"/>
        </c:manualLayout>
      </c:layout>
      <c:barChart>
        <c:barDir val="bar"/>
        <c:grouping val="clustered"/>
        <c:varyColors val="0"/>
        <c:ser>
          <c:idx val="2"/>
          <c:order val="0"/>
          <c:tx>
            <c:strRef>
              <c:f>ProvCommData!$C$11</c:f>
              <c:strCache>
                <c:ptCount val="1"/>
                <c:pt idx="0">
                  <c:v>Adjusted average health gain</c:v>
                </c:pt>
              </c:strCache>
            </c:strRef>
          </c:tx>
          <c:spPr>
            <a:solidFill>
              <a:schemeClr val="accent6"/>
            </a:solidFill>
            <a:ln w="28575">
              <a:noFill/>
              <a:prstDash val="solid"/>
            </a:ln>
          </c:spPr>
          <c:invertIfNegative val="0"/>
          <c:cat>
            <c:strRef>
              <c:f>ProvCommData!$B$30:$B$35</c:f>
              <c:strCache>
                <c:ptCount val="6"/>
                <c:pt idx="0">
                  <c:v>Knee - revision (1)</c:v>
                </c:pt>
                <c:pt idx="1">
                  <c:v>Knee - primary (59)</c:v>
                </c:pt>
                <c:pt idx="2">
                  <c:v>Total Knee Replacment (60)</c:v>
                </c:pt>
                <c:pt idx="3">
                  <c:v>Hip - revision (1)</c:v>
                </c:pt>
                <c:pt idx="4">
                  <c:v>Hip - primary (55)</c:v>
                </c:pt>
                <c:pt idx="5">
                  <c:v>Total Hip Replacement (56)</c:v>
                </c:pt>
              </c:strCache>
            </c:strRef>
          </c:cat>
          <c:val>
            <c:numRef>
              <c:f>ProvCommData!$C$30:$C$35</c:f>
              <c:numCache>
                <c:formatCode>0.000</c:formatCode>
                <c:ptCount val="6"/>
                <c:pt idx="0">
                  <c:v>0</c:v>
                </c:pt>
                <c:pt idx="1">
                  <c:v>0.337395</c:v>
                </c:pt>
                <c:pt idx="2">
                  <c:v>0.34473199999999998</c:v>
                </c:pt>
                <c:pt idx="3">
                  <c:v>0</c:v>
                </c:pt>
                <c:pt idx="4">
                  <c:v>0.416433</c:v>
                </c:pt>
                <c:pt idx="5">
                  <c:v>0.420956</c:v>
                </c:pt>
              </c:numCache>
            </c:numRef>
          </c:val>
          <c:extLst>
            <c:ext xmlns:c16="http://schemas.microsoft.com/office/drawing/2014/chart" uri="{C3380CC4-5D6E-409C-BE32-E72D297353CC}">
              <c16:uniqueId val="{00000000-FD79-4595-BA74-24A669E3B8E5}"/>
            </c:ext>
          </c:extLst>
        </c:ser>
        <c:dLbls>
          <c:showLegendKey val="0"/>
          <c:showVal val="0"/>
          <c:showCatName val="0"/>
          <c:showSerName val="0"/>
          <c:showPercent val="0"/>
          <c:showBubbleSize val="0"/>
        </c:dLbls>
        <c:gapWidth val="50"/>
        <c:axId val="211032320"/>
        <c:axId val="211030016"/>
      </c:barChart>
      <c:scatterChart>
        <c:scatterStyle val="lineMarker"/>
        <c:varyColors val="0"/>
        <c:ser>
          <c:idx val="3"/>
          <c:order val="1"/>
          <c:tx>
            <c:strRef>
              <c:f>ProvCommData!$D$11</c:f>
              <c:strCache>
                <c:ptCount val="1"/>
                <c:pt idx="0">
                  <c:v>Adjusted average health gain (England)</c:v>
                </c:pt>
              </c:strCache>
            </c:strRef>
          </c:tx>
          <c:spPr>
            <a:ln w="28575">
              <a:noFill/>
              <a:prstDash val="solid"/>
            </a:ln>
          </c:spPr>
          <c:marker>
            <c:symbol val="circle"/>
            <c:size val="12"/>
            <c:spPr>
              <a:solidFill>
                <a:schemeClr val="accent4"/>
              </a:solidFill>
              <a:ln>
                <a:solidFill>
                  <a:srgbClr val="003350"/>
                </a:solidFill>
                <a:prstDash val="solid"/>
              </a:ln>
            </c:spPr>
          </c:marker>
          <c:xVal>
            <c:numRef>
              <c:f>ProvCommData!$D$30:$D$35</c:f>
              <c:numCache>
                <c:formatCode>0.000</c:formatCode>
                <c:ptCount val="6"/>
                <c:pt idx="0">
                  <c:v>0.30752699999999999</c:v>
                </c:pt>
                <c:pt idx="1">
                  <c:v>0.32422499999999999</c:v>
                </c:pt>
                <c:pt idx="2">
                  <c:v>0.32358199999999998</c:v>
                </c:pt>
                <c:pt idx="3">
                  <c:v>0.31689600000000001</c:v>
                </c:pt>
                <c:pt idx="4">
                  <c:v>0.46185700000000002</c:v>
                </c:pt>
                <c:pt idx="5">
                  <c:v>0.45605899999999999</c:v>
                </c:pt>
              </c:numCache>
            </c:numRef>
          </c:xVal>
          <c:yVal>
            <c:numRef>
              <c:f>ProvCommData!$E$30:$E$35</c:f>
              <c:numCache>
                <c:formatCode>0.00</c:formatCode>
                <c:ptCount val="6"/>
                <c:pt idx="0">
                  <c:v>0.6</c:v>
                </c:pt>
                <c:pt idx="1">
                  <c:v>1.75</c:v>
                </c:pt>
                <c:pt idx="2">
                  <c:v>2.9</c:v>
                </c:pt>
                <c:pt idx="3">
                  <c:v>4.0999999999999996</c:v>
                </c:pt>
                <c:pt idx="4">
                  <c:v>5.25</c:v>
                </c:pt>
                <c:pt idx="5">
                  <c:v>6.45</c:v>
                </c:pt>
              </c:numCache>
            </c:numRef>
          </c:yVal>
          <c:smooth val="0"/>
          <c:extLst>
            <c:ext xmlns:c16="http://schemas.microsoft.com/office/drawing/2014/chart" uri="{C3380CC4-5D6E-409C-BE32-E72D297353CC}">
              <c16:uniqueId val="{00000001-FD79-4595-BA74-24A669E3B8E5}"/>
            </c:ext>
          </c:extLst>
        </c:ser>
        <c:dLbls>
          <c:showLegendKey val="0"/>
          <c:showVal val="0"/>
          <c:showCatName val="0"/>
          <c:showSerName val="0"/>
          <c:showPercent val="0"/>
          <c:showBubbleSize val="0"/>
        </c:dLbls>
        <c:axId val="211039744"/>
        <c:axId val="211038208"/>
      </c:scatterChart>
      <c:catAx>
        <c:axId val="211032320"/>
        <c:scaling>
          <c:orientation val="minMax"/>
        </c:scaling>
        <c:delete val="0"/>
        <c:axPos val="l"/>
        <c:majorGridlines>
          <c:spPr>
            <a:ln w="3175">
              <a:solidFill>
                <a:srgbClr val="C0C0C0"/>
              </a:solidFill>
              <a:prstDash val="solid"/>
            </a:ln>
          </c:spPr>
        </c:majorGridlines>
        <c:numFmt formatCode="General" sourceLinked="1"/>
        <c:majorTickMark val="none"/>
        <c:minorTickMark val="none"/>
        <c:tickLblPos val="low"/>
        <c:spPr>
          <a:ln w="3175">
            <a:solidFill>
              <a:srgbClr val="C0C0C0"/>
            </a:solidFill>
            <a:prstDash val="solid"/>
          </a:ln>
        </c:spPr>
        <c:txPr>
          <a:bodyPr rot="0" vert="horz"/>
          <a:lstStyle/>
          <a:p>
            <a:pPr>
              <a:defRPr sz="1200"/>
            </a:pPr>
            <a:endParaRPr lang="en-US"/>
          </a:p>
        </c:txPr>
        <c:crossAx val="211030016"/>
        <c:crossesAt val="0"/>
        <c:auto val="1"/>
        <c:lblAlgn val="ctr"/>
        <c:lblOffset val="100"/>
        <c:noMultiLvlLbl val="1"/>
      </c:catAx>
      <c:valAx>
        <c:axId val="211030016"/>
        <c:scaling>
          <c:orientation val="minMax"/>
        </c:scaling>
        <c:delete val="0"/>
        <c:axPos val="b"/>
        <c:title>
          <c:tx>
            <c:rich>
              <a:bodyPr/>
              <a:lstStyle/>
              <a:p>
                <a:pPr>
                  <a:defRPr/>
                </a:pPr>
                <a:r>
                  <a:rPr lang="en-GB" sz="1200" b="1"/>
                  <a:t>Average adjusted</a:t>
                </a:r>
                <a:r>
                  <a:rPr lang="en-GB" sz="1200" b="1" baseline="0"/>
                  <a:t> health gain: EQ-5D Index</a:t>
                </a:r>
                <a:r>
                  <a:rPr lang="en-GB" sz="1200" b="1" baseline="30000"/>
                  <a:t>TM</a:t>
                </a:r>
              </a:p>
            </c:rich>
          </c:tx>
          <c:layout>
            <c:manualLayout>
              <c:xMode val="edge"/>
              <c:yMode val="edge"/>
              <c:x val="0.39745992063492058"/>
              <c:y val="0.89569024212353154"/>
            </c:manualLayout>
          </c:layout>
          <c:overlay val="0"/>
        </c:title>
        <c:numFmt formatCode="#,##0.0" sourceLinked="0"/>
        <c:majorTickMark val="none"/>
        <c:minorTickMark val="none"/>
        <c:tickLblPos val="nextTo"/>
        <c:spPr>
          <a:ln w="3175">
            <a:solidFill>
              <a:srgbClr val="C0C0C0"/>
            </a:solidFill>
            <a:prstDash val="solid"/>
          </a:ln>
        </c:spPr>
        <c:txPr>
          <a:bodyPr rot="0" vert="horz"/>
          <a:lstStyle/>
          <a:p>
            <a:pPr>
              <a:defRPr sz="1200" b="0"/>
            </a:pPr>
            <a:endParaRPr lang="en-US"/>
          </a:p>
        </c:txPr>
        <c:crossAx val="211032320"/>
        <c:crossesAt val="0"/>
        <c:crossBetween val="between"/>
        <c:majorUnit val="0.1"/>
        <c:minorUnit val="5.000000000000001E-2"/>
      </c:valAx>
      <c:valAx>
        <c:axId val="211039744"/>
        <c:scaling>
          <c:orientation val="minMax"/>
        </c:scaling>
        <c:delete val="1"/>
        <c:axPos val="b"/>
        <c:numFmt formatCode="0.000" sourceLinked="1"/>
        <c:majorTickMark val="out"/>
        <c:minorTickMark val="none"/>
        <c:tickLblPos val="nextTo"/>
        <c:crossAx val="211038208"/>
        <c:crosses val="autoZero"/>
        <c:crossBetween val="midCat"/>
      </c:valAx>
      <c:valAx>
        <c:axId val="211038208"/>
        <c:scaling>
          <c:orientation val="minMax"/>
          <c:max val="7"/>
          <c:min val="0"/>
        </c:scaling>
        <c:delete val="1"/>
        <c:axPos val="r"/>
        <c:numFmt formatCode="0.00" sourceLinked="1"/>
        <c:majorTickMark val="out"/>
        <c:minorTickMark val="none"/>
        <c:tickLblPos val="nextTo"/>
        <c:crossAx val="211039744"/>
        <c:crosses val="max"/>
        <c:crossBetween val="midCat"/>
      </c:valAx>
    </c:plotArea>
    <c:legend>
      <c:legendPos val="t"/>
      <c:layout>
        <c:manualLayout>
          <c:xMode val="edge"/>
          <c:yMode val="edge"/>
          <c:x val="0.22249395649470741"/>
          <c:y val="0.13466675359208991"/>
          <c:w val="0.75434943676715671"/>
          <c:h val="7.2216146948017895E-2"/>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b="1"/>
              <a:t>Figure 2: </a:t>
            </a:r>
            <a:r>
              <a:rPr lang="en-US" sz="1200" b="1" i="0" strike="noStrike" baseline="0"/>
              <a:t>Adjusted average </a:t>
            </a:r>
            <a:r>
              <a:rPr lang="en-GB" sz="1200" b="1"/>
              <a:t>health gain on the EQ-VAS by procedure</a:t>
            </a:r>
          </a:p>
        </c:rich>
      </c:tx>
      <c:layout>
        <c:manualLayout>
          <c:xMode val="edge"/>
          <c:yMode val="edge"/>
          <c:x val="0.23916386567041281"/>
          <c:y val="3.9039026327129633E-2"/>
        </c:manualLayout>
      </c:layout>
      <c:overlay val="0"/>
    </c:title>
    <c:autoTitleDeleted val="0"/>
    <c:plotArea>
      <c:layout>
        <c:manualLayout>
          <c:layoutTarget val="inner"/>
          <c:xMode val="edge"/>
          <c:yMode val="edge"/>
          <c:x val="0.31619397099344959"/>
          <c:y val="0.22206262650017211"/>
          <c:w val="0.65416773640008585"/>
          <c:h val="0.55607546748655534"/>
        </c:manualLayout>
      </c:layout>
      <c:barChart>
        <c:barDir val="bar"/>
        <c:grouping val="clustered"/>
        <c:varyColors val="0"/>
        <c:ser>
          <c:idx val="2"/>
          <c:order val="0"/>
          <c:tx>
            <c:strRef>
              <c:f>ProvCommData!$C$11</c:f>
              <c:strCache>
                <c:ptCount val="1"/>
                <c:pt idx="0">
                  <c:v>Adjusted average health gain</c:v>
                </c:pt>
              </c:strCache>
            </c:strRef>
          </c:tx>
          <c:spPr>
            <a:solidFill>
              <a:schemeClr val="accent6"/>
            </a:solidFill>
            <a:ln w="28575">
              <a:noFill/>
              <a:prstDash val="solid"/>
            </a:ln>
          </c:spPr>
          <c:invertIfNegative val="0"/>
          <c:cat>
            <c:strRef>
              <c:f>ProvCommData!$B$22:$B$27</c:f>
              <c:strCache>
                <c:ptCount val="6"/>
                <c:pt idx="0">
                  <c:v>Knee revision (1)</c:v>
                </c:pt>
                <c:pt idx="1">
                  <c:v>Knee - primary (54)</c:v>
                </c:pt>
                <c:pt idx="2">
                  <c:v>Total Knee Replacement (55)</c:v>
                </c:pt>
                <c:pt idx="3">
                  <c:v>Hip - revision (1)</c:v>
                </c:pt>
                <c:pt idx="4">
                  <c:v>Hip - primary (48)</c:v>
                </c:pt>
                <c:pt idx="5">
                  <c:v>Total Hip Replacement (49)</c:v>
                </c:pt>
              </c:strCache>
            </c:strRef>
          </c:cat>
          <c:val>
            <c:numRef>
              <c:f>ProvCommData!$C$22:$C$27</c:f>
              <c:numCache>
                <c:formatCode>0.000</c:formatCode>
                <c:ptCount val="6"/>
                <c:pt idx="0">
                  <c:v>0</c:v>
                </c:pt>
                <c:pt idx="1">
                  <c:v>6.9669600000000003</c:v>
                </c:pt>
                <c:pt idx="2">
                  <c:v>7.4474900000000002</c:v>
                </c:pt>
                <c:pt idx="3">
                  <c:v>0</c:v>
                </c:pt>
                <c:pt idx="4">
                  <c:v>13.114100000000001</c:v>
                </c:pt>
                <c:pt idx="5">
                  <c:v>13.894</c:v>
                </c:pt>
              </c:numCache>
            </c:numRef>
          </c:val>
          <c:extLst>
            <c:ext xmlns:c16="http://schemas.microsoft.com/office/drawing/2014/chart" uri="{C3380CC4-5D6E-409C-BE32-E72D297353CC}">
              <c16:uniqueId val="{00000000-8CF1-4A05-AC2E-174B3D95D525}"/>
            </c:ext>
          </c:extLst>
        </c:ser>
        <c:dLbls>
          <c:showLegendKey val="0"/>
          <c:showVal val="0"/>
          <c:showCatName val="0"/>
          <c:showSerName val="0"/>
          <c:showPercent val="0"/>
          <c:showBubbleSize val="0"/>
        </c:dLbls>
        <c:gapWidth val="50"/>
        <c:axId val="300812160"/>
        <c:axId val="211086720"/>
      </c:barChart>
      <c:scatterChart>
        <c:scatterStyle val="lineMarker"/>
        <c:varyColors val="0"/>
        <c:ser>
          <c:idx val="3"/>
          <c:order val="1"/>
          <c:tx>
            <c:strRef>
              <c:f>ProvCommData!$D$11</c:f>
              <c:strCache>
                <c:ptCount val="1"/>
                <c:pt idx="0">
                  <c:v>Adjusted average health gain (England)</c:v>
                </c:pt>
              </c:strCache>
            </c:strRef>
          </c:tx>
          <c:spPr>
            <a:ln w="28575">
              <a:noFill/>
              <a:prstDash val="solid"/>
            </a:ln>
          </c:spPr>
          <c:marker>
            <c:symbol val="circle"/>
            <c:size val="12"/>
            <c:spPr>
              <a:solidFill>
                <a:schemeClr val="accent4"/>
              </a:solidFill>
              <a:ln>
                <a:solidFill>
                  <a:srgbClr val="003350"/>
                </a:solidFill>
                <a:prstDash val="solid"/>
              </a:ln>
            </c:spPr>
          </c:marker>
          <c:xVal>
            <c:numRef>
              <c:f>ProvCommData!$D$22:$D$27</c:f>
              <c:numCache>
                <c:formatCode>0.0</c:formatCode>
                <c:ptCount val="6"/>
                <c:pt idx="0">
                  <c:v>7.2263799999999998</c:v>
                </c:pt>
                <c:pt idx="1">
                  <c:v>8.4067900000000009</c:v>
                </c:pt>
                <c:pt idx="2">
                  <c:v>8.3600600000000007</c:v>
                </c:pt>
                <c:pt idx="3">
                  <c:v>8.3693399999999993</c:v>
                </c:pt>
                <c:pt idx="4">
                  <c:v>14.985300000000001</c:v>
                </c:pt>
                <c:pt idx="5">
                  <c:v>14.7166</c:v>
                </c:pt>
              </c:numCache>
            </c:numRef>
          </c:xVal>
          <c:yVal>
            <c:numRef>
              <c:f>ProvCommData!$E$22:$E$27</c:f>
              <c:numCache>
                <c:formatCode>0.00</c:formatCode>
                <c:ptCount val="6"/>
                <c:pt idx="0">
                  <c:v>0.6</c:v>
                </c:pt>
                <c:pt idx="1">
                  <c:v>1.75</c:v>
                </c:pt>
                <c:pt idx="2">
                  <c:v>2.9</c:v>
                </c:pt>
                <c:pt idx="3">
                  <c:v>4.0999999999999996</c:v>
                </c:pt>
                <c:pt idx="4">
                  <c:v>5.25</c:v>
                </c:pt>
                <c:pt idx="5">
                  <c:v>6.45</c:v>
                </c:pt>
              </c:numCache>
            </c:numRef>
          </c:yVal>
          <c:smooth val="0"/>
          <c:extLst>
            <c:ext xmlns:c16="http://schemas.microsoft.com/office/drawing/2014/chart" uri="{C3380CC4-5D6E-409C-BE32-E72D297353CC}">
              <c16:uniqueId val="{00000001-8CF1-4A05-AC2E-174B3D95D525}"/>
            </c:ext>
          </c:extLst>
        </c:ser>
        <c:dLbls>
          <c:showLegendKey val="0"/>
          <c:showVal val="0"/>
          <c:showCatName val="0"/>
          <c:showSerName val="0"/>
          <c:showPercent val="0"/>
          <c:showBubbleSize val="0"/>
        </c:dLbls>
        <c:axId val="300815488"/>
        <c:axId val="300813696"/>
      </c:scatterChart>
      <c:catAx>
        <c:axId val="300812160"/>
        <c:scaling>
          <c:orientation val="minMax"/>
        </c:scaling>
        <c:delete val="0"/>
        <c:axPos val="l"/>
        <c:majorGridlines>
          <c:spPr>
            <a:ln w="3175">
              <a:solidFill>
                <a:srgbClr val="C0C0C0"/>
              </a:solidFill>
              <a:prstDash val="solid"/>
            </a:ln>
          </c:spPr>
        </c:majorGridlines>
        <c:numFmt formatCode="General" sourceLinked="1"/>
        <c:majorTickMark val="none"/>
        <c:minorTickMark val="none"/>
        <c:tickLblPos val="low"/>
        <c:spPr>
          <a:ln w="3175">
            <a:solidFill>
              <a:srgbClr val="C0C0C0"/>
            </a:solidFill>
            <a:prstDash val="solid"/>
          </a:ln>
        </c:spPr>
        <c:txPr>
          <a:bodyPr rot="0" vert="horz"/>
          <a:lstStyle/>
          <a:p>
            <a:pPr>
              <a:defRPr sz="1200"/>
            </a:pPr>
            <a:endParaRPr lang="en-US"/>
          </a:p>
        </c:txPr>
        <c:crossAx val="211086720"/>
        <c:crossesAt val="0"/>
        <c:auto val="1"/>
        <c:lblAlgn val="ctr"/>
        <c:lblOffset val="100"/>
        <c:noMultiLvlLbl val="1"/>
      </c:catAx>
      <c:valAx>
        <c:axId val="211086720"/>
        <c:scaling>
          <c:orientation val="minMax"/>
        </c:scaling>
        <c:delete val="0"/>
        <c:axPos val="b"/>
        <c:title>
          <c:tx>
            <c:rich>
              <a:bodyPr/>
              <a:lstStyle/>
              <a:p>
                <a:pPr>
                  <a:defRPr/>
                </a:pPr>
                <a:r>
                  <a:rPr lang="en-GB" sz="1200" b="1" i="0" baseline="0"/>
                  <a:t>Average adjusted health gain: EQ-VAS</a:t>
                </a:r>
                <a:endParaRPr lang="en-GB" sz="1200"/>
              </a:p>
            </c:rich>
          </c:tx>
          <c:layout>
            <c:manualLayout>
              <c:xMode val="edge"/>
              <c:yMode val="edge"/>
              <c:x val="0.41020701058201059"/>
              <c:y val="0.86908810547477233"/>
            </c:manualLayout>
          </c:layout>
          <c:overlay val="0"/>
        </c:title>
        <c:numFmt formatCode="#,##0.0" sourceLinked="0"/>
        <c:majorTickMark val="none"/>
        <c:minorTickMark val="none"/>
        <c:tickLblPos val="nextTo"/>
        <c:spPr>
          <a:ln w="3175">
            <a:solidFill>
              <a:srgbClr val="C0C0C0"/>
            </a:solidFill>
            <a:prstDash val="solid"/>
          </a:ln>
        </c:spPr>
        <c:txPr>
          <a:bodyPr rot="0" vert="horz"/>
          <a:lstStyle/>
          <a:p>
            <a:pPr>
              <a:defRPr sz="1200"/>
            </a:pPr>
            <a:endParaRPr lang="en-US"/>
          </a:p>
        </c:txPr>
        <c:crossAx val="300812160"/>
        <c:crossesAt val="0"/>
        <c:crossBetween val="between"/>
        <c:majorUnit val="5"/>
        <c:minorUnit val="1"/>
      </c:valAx>
      <c:valAx>
        <c:axId val="300815488"/>
        <c:scaling>
          <c:orientation val="minMax"/>
        </c:scaling>
        <c:delete val="1"/>
        <c:axPos val="b"/>
        <c:numFmt formatCode="0.0" sourceLinked="1"/>
        <c:majorTickMark val="out"/>
        <c:minorTickMark val="none"/>
        <c:tickLblPos val="nextTo"/>
        <c:crossAx val="300813696"/>
        <c:crosses val="autoZero"/>
        <c:crossBetween val="midCat"/>
      </c:valAx>
      <c:valAx>
        <c:axId val="300813696"/>
        <c:scaling>
          <c:orientation val="minMax"/>
          <c:max val="7"/>
          <c:min val="0"/>
        </c:scaling>
        <c:delete val="1"/>
        <c:axPos val="r"/>
        <c:numFmt formatCode="0.00" sourceLinked="1"/>
        <c:majorTickMark val="out"/>
        <c:minorTickMark val="none"/>
        <c:tickLblPos val="nextTo"/>
        <c:crossAx val="300815488"/>
        <c:crosses val="max"/>
        <c:crossBetween val="midCat"/>
      </c:valAx>
    </c:plotArea>
    <c:legend>
      <c:legendPos val="t"/>
      <c:layout>
        <c:manualLayout>
          <c:xMode val="edge"/>
          <c:yMode val="edge"/>
          <c:x val="0.23580251322751319"/>
          <c:y val="0.12223279761367541"/>
          <c:w val="0.72494259259259264"/>
          <c:h val="6.969812492900046E-2"/>
        </c:manualLayout>
      </c:layout>
      <c:overlay val="0"/>
      <c:txPr>
        <a:bodyPr/>
        <a:lstStyle/>
        <a:p>
          <a:pPr>
            <a:defRPr sz="1200"/>
          </a:pPr>
          <a:endParaRPr lang="en-US"/>
        </a:p>
      </c:txPr>
    </c:legend>
    <c:plotVisOnly val="0"/>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GB" sz="1200" b="1" i="0" baseline="0"/>
              <a:t>Figure 3: </a:t>
            </a:r>
            <a:r>
              <a:rPr lang="en-US" sz="1200" b="1" i="0" strike="noStrike" baseline="0"/>
              <a:t>Adjusted average </a:t>
            </a:r>
            <a:r>
              <a:rPr lang="en-GB" sz="1200" b="1" i="0" baseline="0"/>
              <a:t>health gain on the Oxford Hip Score </a:t>
            </a:r>
          </a:p>
          <a:p>
            <a:pPr algn="l">
              <a:defRPr/>
            </a:pPr>
            <a:r>
              <a:rPr lang="en-GB" sz="1200" b="1" i="0" baseline="0"/>
              <a:t>/ Oxford Knee Score by procedure</a:t>
            </a:r>
          </a:p>
        </c:rich>
      </c:tx>
      <c:layout>
        <c:manualLayout>
          <c:xMode val="edge"/>
          <c:yMode val="edge"/>
          <c:x val="0.24134700433633269"/>
          <c:y val="4.3137773252518677E-2"/>
        </c:manualLayout>
      </c:layout>
      <c:overlay val="0"/>
    </c:title>
    <c:autoTitleDeleted val="0"/>
    <c:plotArea>
      <c:layout>
        <c:manualLayout>
          <c:layoutTarget val="inner"/>
          <c:xMode val="edge"/>
          <c:yMode val="edge"/>
          <c:x val="0.32069655035458439"/>
          <c:y val="0.25650364277056642"/>
          <c:w val="0.6496123092186662"/>
          <c:h val="0.59895358160499212"/>
        </c:manualLayout>
      </c:layout>
      <c:barChart>
        <c:barDir val="bar"/>
        <c:grouping val="clustered"/>
        <c:varyColors val="0"/>
        <c:ser>
          <c:idx val="2"/>
          <c:order val="0"/>
          <c:tx>
            <c:strRef>
              <c:f>ProvCommData!$C$11</c:f>
              <c:strCache>
                <c:ptCount val="1"/>
                <c:pt idx="0">
                  <c:v>Adjusted average health gain</c:v>
                </c:pt>
              </c:strCache>
            </c:strRef>
          </c:tx>
          <c:spPr>
            <a:solidFill>
              <a:schemeClr val="accent6"/>
            </a:solidFill>
            <a:ln w="28575">
              <a:noFill/>
              <a:prstDash val="solid"/>
            </a:ln>
          </c:spPr>
          <c:invertIfNegative val="0"/>
          <c:cat>
            <c:strRef>
              <c:f>ProvCommData!$B$12:$B$20</c:f>
              <c:strCache>
                <c:ptCount val="9"/>
                <c:pt idx="0">
                  <c:v>Knee - revision (1)</c:v>
                </c:pt>
                <c:pt idx="1">
                  <c:v>Knee - primary (60)</c:v>
                </c:pt>
                <c:pt idx="2">
                  <c:v>Total Knee Replacment (61)</c:v>
                </c:pt>
                <c:pt idx="3">
                  <c:v>Oxford Knee Score     </c:v>
                </c:pt>
                <c:pt idx="5">
                  <c:v>Hip - revision (1)</c:v>
                </c:pt>
                <c:pt idx="6">
                  <c:v>Hip - primary (55)</c:v>
                </c:pt>
                <c:pt idx="7">
                  <c:v>Total Hip Replacment (56)</c:v>
                </c:pt>
                <c:pt idx="8">
                  <c:v>Oxford Hip Score        </c:v>
                </c:pt>
              </c:strCache>
            </c:strRef>
          </c:cat>
          <c:val>
            <c:numRef>
              <c:f>ProvCommData!$C$12:$C$20</c:f>
              <c:numCache>
                <c:formatCode>0.000</c:formatCode>
                <c:ptCount val="9"/>
                <c:pt idx="0">
                  <c:v>0</c:v>
                </c:pt>
                <c:pt idx="1">
                  <c:v>16.773700000000002</c:v>
                </c:pt>
                <c:pt idx="2">
                  <c:v>16.770499999999998</c:v>
                </c:pt>
                <c:pt idx="5">
                  <c:v>0</c:v>
                </c:pt>
                <c:pt idx="6">
                  <c:v>19.898099999999999</c:v>
                </c:pt>
                <c:pt idx="7">
                  <c:v>19.974900000000002</c:v>
                </c:pt>
              </c:numCache>
            </c:numRef>
          </c:val>
          <c:extLst>
            <c:ext xmlns:c16="http://schemas.microsoft.com/office/drawing/2014/chart" uri="{C3380CC4-5D6E-409C-BE32-E72D297353CC}">
              <c16:uniqueId val="{00000000-36FD-45DE-AF92-57AD0F6D3A1F}"/>
            </c:ext>
          </c:extLst>
        </c:ser>
        <c:dLbls>
          <c:showLegendKey val="0"/>
          <c:showVal val="0"/>
          <c:showCatName val="0"/>
          <c:showSerName val="0"/>
          <c:showPercent val="0"/>
          <c:showBubbleSize val="0"/>
        </c:dLbls>
        <c:gapWidth val="50"/>
        <c:axId val="300864640"/>
        <c:axId val="300862080"/>
      </c:barChart>
      <c:scatterChart>
        <c:scatterStyle val="lineMarker"/>
        <c:varyColors val="0"/>
        <c:ser>
          <c:idx val="3"/>
          <c:order val="1"/>
          <c:tx>
            <c:strRef>
              <c:f>ProvCommData!$D$11</c:f>
              <c:strCache>
                <c:ptCount val="1"/>
                <c:pt idx="0">
                  <c:v>Adjusted average health gain (England)</c:v>
                </c:pt>
              </c:strCache>
            </c:strRef>
          </c:tx>
          <c:spPr>
            <a:ln w="28575">
              <a:noFill/>
              <a:prstDash val="solid"/>
            </a:ln>
          </c:spPr>
          <c:marker>
            <c:symbol val="circle"/>
            <c:size val="12"/>
            <c:spPr>
              <a:solidFill>
                <a:schemeClr val="accent4"/>
              </a:solidFill>
              <a:ln>
                <a:solidFill>
                  <a:srgbClr val="003350"/>
                </a:solidFill>
                <a:prstDash val="solid"/>
              </a:ln>
            </c:spPr>
          </c:marker>
          <c:xVal>
            <c:numRef>
              <c:f>ProvCommData!$D$12:$D$20</c:f>
              <c:numCache>
                <c:formatCode>0.0</c:formatCode>
                <c:ptCount val="9"/>
                <c:pt idx="0">
                  <c:v>13.9689</c:v>
                </c:pt>
                <c:pt idx="1">
                  <c:v>17.624700000000001</c:v>
                </c:pt>
                <c:pt idx="2">
                  <c:v>17.4818</c:v>
                </c:pt>
                <c:pt idx="5">
                  <c:v>14.6244</c:v>
                </c:pt>
                <c:pt idx="6">
                  <c:v>22.8474</c:v>
                </c:pt>
                <c:pt idx="7">
                  <c:v>22.5154</c:v>
                </c:pt>
              </c:numCache>
            </c:numRef>
          </c:xVal>
          <c:yVal>
            <c:numRef>
              <c:f>ProvCommData!$E$12:$E$20</c:f>
              <c:numCache>
                <c:formatCode>0.00</c:formatCode>
                <c:ptCount val="9"/>
                <c:pt idx="0">
                  <c:v>0.45500000000000002</c:v>
                </c:pt>
                <c:pt idx="1">
                  <c:v>1.35</c:v>
                </c:pt>
                <c:pt idx="2">
                  <c:v>2.25</c:v>
                </c:pt>
                <c:pt idx="3">
                  <c:v>3.13</c:v>
                </c:pt>
                <c:pt idx="4">
                  <c:v>4</c:v>
                </c:pt>
                <c:pt idx="5">
                  <c:v>4.9000000000000004</c:v>
                </c:pt>
                <c:pt idx="6">
                  <c:v>5.8000000000000007</c:v>
                </c:pt>
                <c:pt idx="7">
                  <c:v>6.7000000000000011</c:v>
                </c:pt>
              </c:numCache>
            </c:numRef>
          </c:yVal>
          <c:smooth val="0"/>
          <c:extLst>
            <c:ext xmlns:c16="http://schemas.microsoft.com/office/drawing/2014/chart" uri="{C3380CC4-5D6E-409C-BE32-E72D297353CC}">
              <c16:uniqueId val="{00000001-36FD-45DE-AF92-57AD0F6D3A1F}"/>
            </c:ext>
          </c:extLst>
        </c:ser>
        <c:dLbls>
          <c:showLegendKey val="0"/>
          <c:showVal val="0"/>
          <c:showCatName val="0"/>
          <c:showSerName val="0"/>
          <c:showPercent val="0"/>
          <c:showBubbleSize val="0"/>
        </c:dLbls>
        <c:axId val="300867968"/>
        <c:axId val="300866176"/>
      </c:scatterChart>
      <c:catAx>
        <c:axId val="300864640"/>
        <c:scaling>
          <c:orientation val="minMax"/>
        </c:scaling>
        <c:delete val="0"/>
        <c:axPos val="l"/>
        <c:majorGridlines>
          <c:spPr>
            <a:ln w="3175">
              <a:solidFill>
                <a:srgbClr val="C0C0C0"/>
              </a:solidFill>
              <a:prstDash val="solid"/>
            </a:ln>
          </c:spPr>
        </c:majorGridlines>
        <c:numFmt formatCode="General" sourceLinked="1"/>
        <c:majorTickMark val="none"/>
        <c:minorTickMark val="none"/>
        <c:tickLblPos val="low"/>
        <c:spPr>
          <a:ln w="3175">
            <a:noFill/>
            <a:prstDash val="solid"/>
          </a:ln>
        </c:spPr>
        <c:txPr>
          <a:bodyPr rot="0" vert="horz"/>
          <a:lstStyle/>
          <a:p>
            <a:pPr>
              <a:defRPr sz="1200"/>
            </a:pPr>
            <a:endParaRPr lang="en-US"/>
          </a:p>
        </c:txPr>
        <c:crossAx val="300862080"/>
        <c:crossesAt val="0"/>
        <c:auto val="1"/>
        <c:lblAlgn val="ctr"/>
        <c:lblOffset val="1"/>
        <c:noMultiLvlLbl val="1"/>
      </c:catAx>
      <c:valAx>
        <c:axId val="300862080"/>
        <c:scaling>
          <c:orientation val="minMax"/>
        </c:scaling>
        <c:delete val="0"/>
        <c:axPos val="b"/>
        <c:title>
          <c:tx>
            <c:rich>
              <a:bodyPr/>
              <a:lstStyle/>
              <a:p>
                <a:pPr>
                  <a:defRPr/>
                </a:pPr>
                <a:r>
                  <a:rPr lang="en-GB" sz="1200" b="1"/>
                  <a:t>Average</a:t>
                </a:r>
                <a:r>
                  <a:rPr lang="en-GB" sz="1200" b="1" baseline="0"/>
                  <a:t> adjusted health gain: Oxford Hip Score / Oxford Knee Score</a:t>
                </a:r>
                <a:endParaRPr lang="en-GB" sz="1200" b="1"/>
              </a:p>
            </c:rich>
          </c:tx>
          <c:layout>
            <c:manualLayout>
              <c:xMode val="edge"/>
              <c:yMode val="edge"/>
              <c:x val="0.27514004158384509"/>
              <c:y val="0.91755267340652891"/>
            </c:manualLayout>
          </c:layout>
          <c:overlay val="0"/>
        </c:title>
        <c:numFmt formatCode="#,##0.0" sourceLinked="0"/>
        <c:majorTickMark val="none"/>
        <c:minorTickMark val="none"/>
        <c:tickLblPos val="nextTo"/>
        <c:spPr>
          <a:ln w="3175">
            <a:solidFill>
              <a:srgbClr val="000000"/>
            </a:solidFill>
            <a:prstDash val="solid"/>
          </a:ln>
        </c:spPr>
        <c:txPr>
          <a:bodyPr rot="0" vert="horz"/>
          <a:lstStyle/>
          <a:p>
            <a:pPr>
              <a:defRPr sz="1200"/>
            </a:pPr>
            <a:endParaRPr lang="en-US"/>
          </a:p>
        </c:txPr>
        <c:crossAx val="300864640"/>
        <c:crossesAt val="0"/>
        <c:crossBetween val="between"/>
        <c:majorUnit val="5"/>
        <c:minorUnit val="1"/>
      </c:valAx>
      <c:valAx>
        <c:axId val="300867968"/>
        <c:scaling>
          <c:orientation val="minMax"/>
        </c:scaling>
        <c:delete val="1"/>
        <c:axPos val="b"/>
        <c:numFmt formatCode="0.0" sourceLinked="1"/>
        <c:majorTickMark val="out"/>
        <c:minorTickMark val="none"/>
        <c:tickLblPos val="nextTo"/>
        <c:crossAx val="300866176"/>
        <c:crosses val="autoZero"/>
        <c:crossBetween val="midCat"/>
      </c:valAx>
      <c:valAx>
        <c:axId val="300866176"/>
        <c:scaling>
          <c:orientation val="minMax"/>
          <c:max val="8"/>
          <c:min val="0"/>
        </c:scaling>
        <c:delete val="1"/>
        <c:axPos val="r"/>
        <c:numFmt formatCode="0.00" sourceLinked="1"/>
        <c:majorTickMark val="out"/>
        <c:minorTickMark val="none"/>
        <c:tickLblPos val="nextTo"/>
        <c:crossAx val="300867968"/>
        <c:crosses val="max"/>
        <c:crossBetween val="midCat"/>
      </c:valAx>
    </c:plotArea>
    <c:legend>
      <c:legendPos val="t"/>
      <c:layout>
        <c:manualLayout>
          <c:xMode val="edge"/>
          <c:yMode val="edge"/>
          <c:x val="0.22483647853657729"/>
          <c:y val="0.18216378561554181"/>
          <c:w val="0.72768862433862436"/>
          <c:h val="5.7593731796396312E-2"/>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16905763491892E-2"/>
          <c:y val="5.3160917499222263E-2"/>
          <c:w val="0.75113909007656221"/>
          <c:h val="0.81645350979409059"/>
        </c:manualLayout>
      </c:layout>
      <c:scatterChart>
        <c:scatterStyle val="lineMarker"/>
        <c:varyColors val="0"/>
        <c:ser>
          <c:idx val="0"/>
          <c:order val="0"/>
          <c:tx>
            <c:strRef>
              <c:f>'Funnel setup'!$K$21</c:f>
              <c:strCache>
                <c:ptCount val="1"/>
                <c:pt idx="0">
                  <c:v>95% control limits</c:v>
                </c:pt>
              </c:strCache>
            </c:strRef>
          </c:tx>
          <c:spPr>
            <a:ln w="12700">
              <a:solidFill>
                <a:srgbClr val="80A0B0"/>
              </a:solidFill>
              <a:prstDash val="lgDash"/>
            </a:ln>
          </c:spPr>
          <c:marker>
            <c:symbol val="none"/>
          </c:marker>
          <c:xVal>
            <c:numRef>
              <c:f>'Funnel setup'!$J$23:$J$122</c:f>
              <c:numCache>
                <c:formatCode>General</c:formatCode>
                <c:ptCount val="100"/>
                <c:pt idx="0">
                  <c:v>10</c:v>
                </c:pt>
                <c:pt idx="1">
                  <c:v>12.457086853527503</c:v>
                </c:pt>
                <c:pt idx="2">
                  <c:v>15.517901287632776</c:v>
                </c:pt>
                <c:pt idx="3">
                  <c:v>19.330784412450779</c:v>
                </c:pt>
                <c:pt idx="4">
                  <c:v>24.080526037271497</c:v>
                </c:pt>
                <c:pt idx="5">
                  <c:v>29.997320432492153</c:v>
                </c:pt>
                <c:pt idx="6">
                  <c:v>37.367922600064993</c:v>
                </c:pt>
                <c:pt idx="7">
                  <c:v>46.549545736490295</c:v>
                </c:pt>
                <c:pt idx="8">
                  <c:v>57.987173423171051</c:v>
                </c:pt>
                <c:pt idx="9">
                  <c:v>72.235125572300348</c:v>
                </c:pt>
                <c:pt idx="10">
                  <c:v>89.98392331296111</c:v>
                </c:pt>
                <c:pt idx="11">
                  <c:v>112.09375481307148</c:v>
                </c:pt>
                <c:pt idx="12">
                  <c:v>139.6361639444448</c:v>
                </c:pt>
                <c:pt idx="13">
                  <c:v>173.94598221493547</c:v>
                </c:pt>
                <c:pt idx="14">
                  <c:v>216.68602082736015</c:v>
                </c:pt>
                <c:pt idx="15">
                  <c:v>269.92765813916952</c:v>
                </c:pt>
                <c:pt idx="16">
                  <c:v>336.25122816089151</c:v>
                </c:pt>
                <c:pt idx="17">
                  <c:v>418.87107538055187</c:v>
                </c:pt>
                <c:pt idx="18">
                  <c:v>521.79133664460005</c:v>
                </c:pt>
                <c:pt idx="19">
                  <c:v>649.99999999999909</c:v>
                </c:pt>
              </c:numCache>
            </c:numRef>
          </c:xVal>
          <c:yVal>
            <c:numRef>
              <c:f>'Funnel setup'!$K$23:$K$122</c:f>
              <c:numCache>
                <c:formatCode>General</c:formatCode>
                <c:ptCount val="100"/>
                <c:pt idx="0">
                  <c:v>17.279250233848764</c:v>
                </c:pt>
                <c:pt idx="1">
                  <c:v>17.823981151528208</c:v>
                </c:pt>
                <c:pt idx="2">
                  <c:v>18.312041785039874</c:v>
                </c:pt>
                <c:pt idx="3">
                  <c:v>18.74932774449772</c:v>
                </c:pt>
                <c:pt idx="4">
                  <c:v>19.141121298841817</c:v>
                </c:pt>
                <c:pt idx="5">
                  <c:v>19.492155183890162</c:v>
                </c:pt>
                <c:pt idx="6">
                  <c:v>19.806669772213155</c:v>
                </c:pt>
                <c:pt idx="7">
                  <c:v>20.088464295423808</c:v>
                </c:pt>
                <c:pt idx="8">
                  <c:v>20.340942737631931</c:v>
                </c:pt>
                <c:pt idx="9">
                  <c:v>20.567154954439953</c:v>
                </c:pt>
                <c:pt idx="10">
                  <c:v>20.769833514184143</c:v>
                </c:pt>
                <c:pt idx="11">
                  <c:v>20.951426706451212</c:v>
                </c:pt>
                <c:pt idx="12">
                  <c:v>21.114128116602174</c:v>
                </c:pt>
                <c:pt idx="13">
                  <c:v>21.259903123553858</c:v>
                </c:pt>
                <c:pt idx="14">
                  <c:v>21.390512640902518</c:v>
                </c:pt>
                <c:pt idx="15">
                  <c:v>21.507534388174356</c:v>
                </c:pt>
                <c:pt idx="16">
                  <c:v>21.61238194915261</c:v>
                </c:pt>
                <c:pt idx="17">
                  <c:v>21.706321847499471</c:v>
                </c:pt>
                <c:pt idx="18">
                  <c:v>21.790488845940654</c:v>
                </c:pt>
                <c:pt idx="19">
                  <c:v>21.865899653821682</c:v>
                </c:pt>
              </c:numCache>
            </c:numRef>
          </c:yVal>
          <c:smooth val="0"/>
          <c:extLst>
            <c:ext xmlns:c16="http://schemas.microsoft.com/office/drawing/2014/chart" uri="{C3380CC4-5D6E-409C-BE32-E72D297353CC}">
              <c16:uniqueId val="{00000000-542C-409F-A629-217A0F129DC1}"/>
            </c:ext>
          </c:extLst>
        </c:ser>
        <c:ser>
          <c:idx val="1"/>
          <c:order val="1"/>
          <c:tx>
            <c:strRef>
              <c:f>'Funnel setup'!$L$21</c:f>
              <c:strCache>
                <c:ptCount val="1"/>
                <c:pt idx="0">
                  <c:v>Upper 95% control limit</c:v>
                </c:pt>
              </c:strCache>
            </c:strRef>
          </c:tx>
          <c:spPr>
            <a:ln w="12700">
              <a:solidFill>
                <a:srgbClr val="80A0B0"/>
              </a:solidFill>
              <a:prstDash val="lgDash"/>
            </a:ln>
          </c:spPr>
          <c:marker>
            <c:symbol val="none"/>
          </c:marker>
          <c:xVal>
            <c:numRef>
              <c:f>'Funnel setup'!$J$23:$J$122</c:f>
              <c:numCache>
                <c:formatCode>General</c:formatCode>
                <c:ptCount val="100"/>
                <c:pt idx="0">
                  <c:v>10</c:v>
                </c:pt>
                <c:pt idx="1">
                  <c:v>12.457086853527503</c:v>
                </c:pt>
                <c:pt idx="2">
                  <c:v>15.517901287632776</c:v>
                </c:pt>
                <c:pt idx="3">
                  <c:v>19.330784412450779</c:v>
                </c:pt>
                <c:pt idx="4">
                  <c:v>24.080526037271497</c:v>
                </c:pt>
                <c:pt idx="5">
                  <c:v>29.997320432492153</c:v>
                </c:pt>
                <c:pt idx="6">
                  <c:v>37.367922600064993</c:v>
                </c:pt>
                <c:pt idx="7">
                  <c:v>46.549545736490295</c:v>
                </c:pt>
                <c:pt idx="8">
                  <c:v>57.987173423171051</c:v>
                </c:pt>
                <c:pt idx="9">
                  <c:v>72.235125572300348</c:v>
                </c:pt>
                <c:pt idx="10">
                  <c:v>89.98392331296111</c:v>
                </c:pt>
                <c:pt idx="11">
                  <c:v>112.09375481307148</c:v>
                </c:pt>
                <c:pt idx="12">
                  <c:v>139.6361639444448</c:v>
                </c:pt>
                <c:pt idx="13">
                  <c:v>173.94598221493547</c:v>
                </c:pt>
                <c:pt idx="14">
                  <c:v>216.68602082736015</c:v>
                </c:pt>
                <c:pt idx="15">
                  <c:v>269.92765813916952</c:v>
                </c:pt>
                <c:pt idx="16">
                  <c:v>336.25122816089151</c:v>
                </c:pt>
                <c:pt idx="17">
                  <c:v>418.87107538055187</c:v>
                </c:pt>
                <c:pt idx="18">
                  <c:v>521.79133664460005</c:v>
                </c:pt>
                <c:pt idx="19">
                  <c:v>649.99999999999909</c:v>
                </c:pt>
              </c:numCache>
            </c:numRef>
          </c:xVal>
          <c:yVal>
            <c:numRef>
              <c:f>'Funnel setup'!$L$23:$L$122</c:f>
              <c:numCache>
                <c:formatCode>General</c:formatCode>
                <c:ptCount val="100"/>
                <c:pt idx="0">
                  <c:v>27.751467800197055</c:v>
                </c:pt>
                <c:pt idx="1">
                  <c:v>27.20673688251761</c:v>
                </c:pt>
                <c:pt idx="2">
                  <c:v>26.718676249005945</c:v>
                </c:pt>
                <c:pt idx="3">
                  <c:v>26.281390289548099</c:v>
                </c:pt>
                <c:pt idx="4">
                  <c:v>25.889596735204002</c:v>
                </c:pt>
                <c:pt idx="5">
                  <c:v>25.538562850155657</c:v>
                </c:pt>
                <c:pt idx="6">
                  <c:v>25.224048261832664</c:v>
                </c:pt>
                <c:pt idx="7">
                  <c:v>24.942253738622011</c:v>
                </c:pt>
                <c:pt idx="8">
                  <c:v>24.689775296413888</c:v>
                </c:pt>
                <c:pt idx="9">
                  <c:v>24.463563079605866</c:v>
                </c:pt>
                <c:pt idx="10">
                  <c:v>24.260884519861676</c:v>
                </c:pt>
                <c:pt idx="11">
                  <c:v>24.079291327594607</c:v>
                </c:pt>
                <c:pt idx="12">
                  <c:v>23.916589917443645</c:v>
                </c:pt>
                <c:pt idx="13">
                  <c:v>23.770814910491961</c:v>
                </c:pt>
                <c:pt idx="14">
                  <c:v>23.640205393143301</c:v>
                </c:pt>
                <c:pt idx="15">
                  <c:v>23.523183645871462</c:v>
                </c:pt>
                <c:pt idx="16">
                  <c:v>23.418336084893209</c:v>
                </c:pt>
                <c:pt idx="17">
                  <c:v>23.324396186546348</c:v>
                </c:pt>
                <c:pt idx="18">
                  <c:v>23.240229188105165</c:v>
                </c:pt>
                <c:pt idx="19">
                  <c:v>23.164818380224137</c:v>
                </c:pt>
              </c:numCache>
            </c:numRef>
          </c:yVal>
          <c:smooth val="0"/>
          <c:extLst>
            <c:ext xmlns:c16="http://schemas.microsoft.com/office/drawing/2014/chart" uri="{C3380CC4-5D6E-409C-BE32-E72D297353CC}">
              <c16:uniqueId val="{00000001-542C-409F-A629-217A0F129DC1}"/>
            </c:ext>
          </c:extLst>
        </c:ser>
        <c:ser>
          <c:idx val="2"/>
          <c:order val="2"/>
          <c:tx>
            <c:strRef>
              <c:f>'Funnel setup'!$M$21</c:f>
              <c:strCache>
                <c:ptCount val="1"/>
                <c:pt idx="0">
                  <c:v>99.8% control limits</c:v>
                </c:pt>
              </c:strCache>
            </c:strRef>
          </c:tx>
          <c:spPr>
            <a:ln w="12700">
              <a:solidFill>
                <a:srgbClr val="003350"/>
              </a:solidFill>
              <a:prstDash val="sysDash"/>
            </a:ln>
          </c:spPr>
          <c:marker>
            <c:symbol val="none"/>
          </c:marker>
          <c:xVal>
            <c:numRef>
              <c:f>'Funnel setup'!$J$23:$J$122</c:f>
              <c:numCache>
                <c:formatCode>General</c:formatCode>
                <c:ptCount val="100"/>
                <c:pt idx="0">
                  <c:v>10</c:v>
                </c:pt>
                <c:pt idx="1">
                  <c:v>12.457086853527503</c:v>
                </c:pt>
                <c:pt idx="2">
                  <c:v>15.517901287632776</c:v>
                </c:pt>
                <c:pt idx="3">
                  <c:v>19.330784412450779</c:v>
                </c:pt>
                <c:pt idx="4">
                  <c:v>24.080526037271497</c:v>
                </c:pt>
                <c:pt idx="5">
                  <c:v>29.997320432492153</c:v>
                </c:pt>
                <c:pt idx="6">
                  <c:v>37.367922600064993</c:v>
                </c:pt>
                <c:pt idx="7">
                  <c:v>46.549545736490295</c:v>
                </c:pt>
                <c:pt idx="8">
                  <c:v>57.987173423171051</c:v>
                </c:pt>
                <c:pt idx="9">
                  <c:v>72.235125572300348</c:v>
                </c:pt>
                <c:pt idx="10">
                  <c:v>89.98392331296111</c:v>
                </c:pt>
                <c:pt idx="11">
                  <c:v>112.09375481307148</c:v>
                </c:pt>
                <c:pt idx="12">
                  <c:v>139.6361639444448</c:v>
                </c:pt>
                <c:pt idx="13">
                  <c:v>173.94598221493547</c:v>
                </c:pt>
                <c:pt idx="14">
                  <c:v>216.68602082736015</c:v>
                </c:pt>
                <c:pt idx="15">
                  <c:v>269.92765813916952</c:v>
                </c:pt>
                <c:pt idx="16">
                  <c:v>336.25122816089151</c:v>
                </c:pt>
                <c:pt idx="17">
                  <c:v>418.87107538055187</c:v>
                </c:pt>
                <c:pt idx="18">
                  <c:v>521.79133664460005</c:v>
                </c:pt>
                <c:pt idx="19">
                  <c:v>649.99999999999909</c:v>
                </c:pt>
              </c:numCache>
            </c:numRef>
          </c:xVal>
          <c:yVal>
            <c:numRef>
              <c:f>'Funnel setup'!$M$23:$M$122</c:f>
              <c:numCache>
                <c:formatCode>General</c:formatCode>
                <c:ptCount val="100"/>
                <c:pt idx="0">
                  <c:v>14.661195842261689</c:v>
                </c:pt>
                <c:pt idx="1">
                  <c:v>15.478292218780858</c:v>
                </c:pt>
                <c:pt idx="2">
                  <c:v>16.210383169048356</c:v>
                </c:pt>
                <c:pt idx="3">
                  <c:v>16.866312108235125</c:v>
                </c:pt>
                <c:pt idx="4">
                  <c:v>17.454002439751267</c:v>
                </c:pt>
                <c:pt idx="5">
                  <c:v>17.980553267323788</c:v>
                </c:pt>
                <c:pt idx="6">
                  <c:v>18.452325149808278</c:v>
                </c:pt>
                <c:pt idx="7">
                  <c:v>18.875016934624256</c:v>
                </c:pt>
                <c:pt idx="8">
                  <c:v>19.253734597936443</c:v>
                </c:pt>
                <c:pt idx="9">
                  <c:v>19.593052923148473</c:v>
                </c:pt>
                <c:pt idx="10">
                  <c:v>19.897070762764759</c:v>
                </c:pt>
                <c:pt idx="11">
                  <c:v>20.169460551165365</c:v>
                </c:pt>
                <c:pt idx="12">
                  <c:v>20.413512666391803</c:v>
                </c:pt>
                <c:pt idx="13">
                  <c:v>20.632175176819331</c:v>
                </c:pt>
                <c:pt idx="14">
                  <c:v>20.828089452842324</c:v>
                </c:pt>
                <c:pt idx="15">
                  <c:v>21.003622073750083</c:v>
                </c:pt>
                <c:pt idx="16">
                  <c:v>21.160893415217462</c:v>
                </c:pt>
                <c:pt idx="17">
                  <c:v>21.301803262737753</c:v>
                </c:pt>
                <c:pt idx="18">
                  <c:v>21.428053760399528</c:v>
                </c:pt>
                <c:pt idx="19">
                  <c:v>21.541169972221066</c:v>
                </c:pt>
              </c:numCache>
            </c:numRef>
          </c:yVal>
          <c:smooth val="0"/>
          <c:extLst>
            <c:ext xmlns:c16="http://schemas.microsoft.com/office/drawing/2014/chart" uri="{C3380CC4-5D6E-409C-BE32-E72D297353CC}">
              <c16:uniqueId val="{00000002-542C-409F-A629-217A0F129DC1}"/>
            </c:ext>
          </c:extLst>
        </c:ser>
        <c:ser>
          <c:idx val="3"/>
          <c:order val="3"/>
          <c:tx>
            <c:strRef>
              <c:f>'Funnel setup'!$N$21</c:f>
              <c:strCache>
                <c:ptCount val="1"/>
                <c:pt idx="0">
                  <c:v>Upper 99.8% control limit</c:v>
                </c:pt>
              </c:strCache>
            </c:strRef>
          </c:tx>
          <c:spPr>
            <a:ln w="12700">
              <a:solidFill>
                <a:srgbClr val="003350"/>
              </a:solidFill>
              <a:prstDash val="sysDash"/>
            </a:ln>
          </c:spPr>
          <c:marker>
            <c:symbol val="none"/>
          </c:marker>
          <c:xVal>
            <c:numRef>
              <c:f>'Funnel setup'!$J$23:$J$122</c:f>
              <c:numCache>
                <c:formatCode>General</c:formatCode>
                <c:ptCount val="100"/>
                <c:pt idx="0">
                  <c:v>10</c:v>
                </c:pt>
                <c:pt idx="1">
                  <c:v>12.457086853527503</c:v>
                </c:pt>
                <c:pt idx="2">
                  <c:v>15.517901287632776</c:v>
                </c:pt>
                <c:pt idx="3">
                  <c:v>19.330784412450779</c:v>
                </c:pt>
                <c:pt idx="4">
                  <c:v>24.080526037271497</c:v>
                </c:pt>
                <c:pt idx="5">
                  <c:v>29.997320432492153</c:v>
                </c:pt>
                <c:pt idx="6">
                  <c:v>37.367922600064993</c:v>
                </c:pt>
                <c:pt idx="7">
                  <c:v>46.549545736490295</c:v>
                </c:pt>
                <c:pt idx="8">
                  <c:v>57.987173423171051</c:v>
                </c:pt>
                <c:pt idx="9">
                  <c:v>72.235125572300348</c:v>
                </c:pt>
                <c:pt idx="10">
                  <c:v>89.98392331296111</c:v>
                </c:pt>
                <c:pt idx="11">
                  <c:v>112.09375481307148</c:v>
                </c:pt>
                <c:pt idx="12">
                  <c:v>139.6361639444448</c:v>
                </c:pt>
                <c:pt idx="13">
                  <c:v>173.94598221493547</c:v>
                </c:pt>
                <c:pt idx="14">
                  <c:v>216.68602082736015</c:v>
                </c:pt>
                <c:pt idx="15">
                  <c:v>269.92765813916952</c:v>
                </c:pt>
                <c:pt idx="16">
                  <c:v>336.25122816089151</c:v>
                </c:pt>
                <c:pt idx="17">
                  <c:v>418.87107538055187</c:v>
                </c:pt>
                <c:pt idx="18">
                  <c:v>521.79133664460005</c:v>
                </c:pt>
                <c:pt idx="19">
                  <c:v>649.99999999999909</c:v>
                </c:pt>
              </c:numCache>
            </c:numRef>
          </c:xVal>
          <c:yVal>
            <c:numRef>
              <c:f>'Funnel setup'!$N$23:$N$122</c:f>
              <c:numCache>
                <c:formatCode>General</c:formatCode>
                <c:ptCount val="100"/>
                <c:pt idx="0">
                  <c:v>30.369522191784128</c:v>
                </c:pt>
                <c:pt idx="1">
                  <c:v>29.552425815264961</c:v>
                </c:pt>
                <c:pt idx="2">
                  <c:v>28.820334864997463</c:v>
                </c:pt>
                <c:pt idx="3">
                  <c:v>28.164405925810694</c:v>
                </c:pt>
                <c:pt idx="4">
                  <c:v>27.576715594294551</c:v>
                </c:pt>
                <c:pt idx="5">
                  <c:v>27.05016476672203</c:v>
                </c:pt>
                <c:pt idx="6">
                  <c:v>26.578392884237541</c:v>
                </c:pt>
                <c:pt idx="7">
                  <c:v>26.155701099421563</c:v>
                </c:pt>
                <c:pt idx="8">
                  <c:v>25.776983436109376</c:v>
                </c:pt>
                <c:pt idx="9">
                  <c:v>25.437665110897345</c:v>
                </c:pt>
                <c:pt idx="10">
                  <c:v>25.13364727128106</c:v>
                </c:pt>
                <c:pt idx="11">
                  <c:v>24.861257482880454</c:v>
                </c:pt>
                <c:pt idx="12">
                  <c:v>24.617205367654016</c:v>
                </c:pt>
                <c:pt idx="13">
                  <c:v>24.398542857226488</c:v>
                </c:pt>
                <c:pt idx="14">
                  <c:v>24.202628581203495</c:v>
                </c:pt>
                <c:pt idx="15">
                  <c:v>24.027095960295735</c:v>
                </c:pt>
                <c:pt idx="16">
                  <c:v>23.869824618828357</c:v>
                </c:pt>
                <c:pt idx="17">
                  <c:v>23.728914771308066</c:v>
                </c:pt>
                <c:pt idx="18">
                  <c:v>23.60266427364629</c:v>
                </c:pt>
                <c:pt idx="19">
                  <c:v>23.489548061824753</c:v>
                </c:pt>
              </c:numCache>
            </c:numRef>
          </c:yVal>
          <c:smooth val="0"/>
          <c:extLst>
            <c:ext xmlns:c16="http://schemas.microsoft.com/office/drawing/2014/chart" uri="{C3380CC4-5D6E-409C-BE32-E72D297353CC}">
              <c16:uniqueId val="{00000003-542C-409F-A629-217A0F129DC1}"/>
            </c:ext>
          </c:extLst>
        </c:ser>
        <c:ser>
          <c:idx val="4"/>
          <c:order val="4"/>
          <c:tx>
            <c:strRef>
              <c:f>'Funnel setup'!$O$21</c:f>
              <c:strCache>
                <c:ptCount val="1"/>
                <c:pt idx="0">
                  <c:v>England</c:v>
                </c:pt>
              </c:strCache>
            </c:strRef>
          </c:tx>
          <c:spPr>
            <a:ln w="25400">
              <a:solidFill>
                <a:srgbClr val="005090"/>
              </a:solidFill>
              <a:prstDash val="solid"/>
            </a:ln>
          </c:spPr>
          <c:marker>
            <c:symbol val="none"/>
          </c:marker>
          <c:xVal>
            <c:numRef>
              <c:f>'Funnel setup'!$J$23:$J$122</c:f>
              <c:numCache>
                <c:formatCode>General</c:formatCode>
                <c:ptCount val="100"/>
                <c:pt idx="0">
                  <c:v>10</c:v>
                </c:pt>
                <c:pt idx="1">
                  <c:v>12.457086853527503</c:v>
                </c:pt>
                <c:pt idx="2">
                  <c:v>15.517901287632776</c:v>
                </c:pt>
                <c:pt idx="3">
                  <c:v>19.330784412450779</c:v>
                </c:pt>
                <c:pt idx="4">
                  <c:v>24.080526037271497</c:v>
                </c:pt>
                <c:pt idx="5">
                  <c:v>29.997320432492153</c:v>
                </c:pt>
                <c:pt idx="6">
                  <c:v>37.367922600064993</c:v>
                </c:pt>
                <c:pt idx="7">
                  <c:v>46.549545736490295</c:v>
                </c:pt>
                <c:pt idx="8">
                  <c:v>57.987173423171051</c:v>
                </c:pt>
                <c:pt idx="9">
                  <c:v>72.235125572300348</c:v>
                </c:pt>
                <c:pt idx="10">
                  <c:v>89.98392331296111</c:v>
                </c:pt>
                <c:pt idx="11">
                  <c:v>112.09375481307148</c:v>
                </c:pt>
                <c:pt idx="12">
                  <c:v>139.6361639444448</c:v>
                </c:pt>
                <c:pt idx="13">
                  <c:v>173.94598221493547</c:v>
                </c:pt>
                <c:pt idx="14">
                  <c:v>216.68602082736015</c:v>
                </c:pt>
                <c:pt idx="15">
                  <c:v>269.92765813916952</c:v>
                </c:pt>
                <c:pt idx="16">
                  <c:v>336.25122816089151</c:v>
                </c:pt>
                <c:pt idx="17">
                  <c:v>418.87107538055187</c:v>
                </c:pt>
                <c:pt idx="18">
                  <c:v>521.79133664460005</c:v>
                </c:pt>
                <c:pt idx="19">
                  <c:v>649.99999999999909</c:v>
                </c:pt>
              </c:numCache>
            </c:numRef>
          </c:xVal>
          <c:yVal>
            <c:numRef>
              <c:f>'Funnel setup'!$O$23:$O$122</c:f>
              <c:numCache>
                <c:formatCode>General</c:formatCode>
                <c:ptCount val="100"/>
                <c:pt idx="0">
                  <c:v>22.515359017022909</c:v>
                </c:pt>
                <c:pt idx="1">
                  <c:v>22.515359017022909</c:v>
                </c:pt>
                <c:pt idx="2">
                  <c:v>22.515359017022909</c:v>
                </c:pt>
                <c:pt idx="3">
                  <c:v>22.515359017022909</c:v>
                </c:pt>
                <c:pt idx="4">
                  <c:v>22.515359017022909</c:v>
                </c:pt>
                <c:pt idx="5">
                  <c:v>22.515359017022909</c:v>
                </c:pt>
                <c:pt idx="6">
                  <c:v>22.515359017022909</c:v>
                </c:pt>
                <c:pt idx="7">
                  <c:v>22.515359017022909</c:v>
                </c:pt>
                <c:pt idx="8">
                  <c:v>22.515359017022909</c:v>
                </c:pt>
                <c:pt idx="9">
                  <c:v>22.515359017022909</c:v>
                </c:pt>
                <c:pt idx="10">
                  <c:v>22.515359017022909</c:v>
                </c:pt>
                <c:pt idx="11">
                  <c:v>22.515359017022909</c:v>
                </c:pt>
                <c:pt idx="12">
                  <c:v>22.515359017022909</c:v>
                </c:pt>
                <c:pt idx="13">
                  <c:v>22.515359017022909</c:v>
                </c:pt>
                <c:pt idx="14">
                  <c:v>22.515359017022909</c:v>
                </c:pt>
                <c:pt idx="15">
                  <c:v>22.515359017022909</c:v>
                </c:pt>
                <c:pt idx="16">
                  <c:v>22.515359017022909</c:v>
                </c:pt>
                <c:pt idx="17">
                  <c:v>22.515359017022909</c:v>
                </c:pt>
                <c:pt idx="18">
                  <c:v>22.515359017022909</c:v>
                </c:pt>
                <c:pt idx="19">
                  <c:v>22.515359017022909</c:v>
                </c:pt>
              </c:numCache>
            </c:numRef>
          </c:yVal>
          <c:smooth val="0"/>
          <c:extLst>
            <c:ext xmlns:c16="http://schemas.microsoft.com/office/drawing/2014/chart" uri="{C3380CC4-5D6E-409C-BE32-E72D297353CC}">
              <c16:uniqueId val="{00000004-542C-409F-A629-217A0F129DC1}"/>
            </c:ext>
          </c:extLst>
        </c:ser>
        <c:ser>
          <c:idx val="5"/>
          <c:order val="5"/>
          <c:tx>
            <c:v>All</c:v>
          </c:tx>
          <c:spPr>
            <a:ln w="28575">
              <a:noFill/>
              <a:prstDash val="solid"/>
            </a:ln>
          </c:spPr>
          <c:marker>
            <c:symbol val="circle"/>
            <c:size val="6"/>
            <c:spPr>
              <a:solidFill>
                <a:schemeClr val="accent4">
                  <a:lumMod val="75000"/>
                </a:schemeClr>
              </a:solidFill>
              <a:ln w="9525">
                <a:noFill/>
                <a:prstDash val="solid"/>
              </a:ln>
            </c:spPr>
          </c:marker>
          <c:xVal>
            <c:numRef>
              <c:f>'Funnel Lookup'!$S$3:$S$402</c:f>
              <c:numCache>
                <c:formatCode>General</c:formatCode>
                <c:ptCount val="400"/>
                <c:pt idx="0">
                  <c:v>37</c:v>
                </c:pt>
                <c:pt idx="1">
                  <c:v>42</c:v>
                </c:pt>
                <c:pt idx="2">
                  <c:v>30</c:v>
                </c:pt>
                <c:pt idx="3">
                  <c:v>68</c:v>
                </c:pt>
                <c:pt idx="4">
                  <c:v>#N/A</c:v>
                </c:pt>
                <c:pt idx="5">
                  <c:v>57</c:v>
                </c:pt>
                <c:pt idx="6">
                  <c:v>45</c:v>
                </c:pt>
                <c:pt idx="7">
                  <c:v>41</c:v>
                </c:pt>
                <c:pt idx="8">
                  <c:v>79</c:v>
                </c:pt>
                <c:pt idx="9">
                  <c:v>86</c:v>
                </c:pt>
                <c:pt idx="10">
                  <c:v>#N/A</c:v>
                </c:pt>
                <c:pt idx="11">
                  <c:v>131</c:v>
                </c:pt>
                <c:pt idx="12">
                  <c:v>#N/A</c:v>
                </c:pt>
                <c:pt idx="13">
                  <c:v>#N/A</c:v>
                </c:pt>
                <c:pt idx="14">
                  <c:v>#N/A</c:v>
                </c:pt>
                <c:pt idx="15">
                  <c:v>56</c:v>
                </c:pt>
                <c:pt idx="16">
                  <c:v>44</c:v>
                </c:pt>
                <c:pt idx="17">
                  <c:v>#N/A</c:v>
                </c:pt>
                <c:pt idx="18">
                  <c:v>97</c:v>
                </c:pt>
                <c:pt idx="19">
                  <c:v>104</c:v>
                </c:pt>
                <c:pt idx="20">
                  <c:v>79</c:v>
                </c:pt>
                <c:pt idx="21">
                  <c:v>#N/A</c:v>
                </c:pt>
                <c:pt idx="22">
                  <c:v>31</c:v>
                </c:pt>
                <c:pt idx="23">
                  <c:v>#N/A</c:v>
                </c:pt>
                <c:pt idx="24">
                  <c:v>34</c:v>
                </c:pt>
                <c:pt idx="25">
                  <c:v>65</c:v>
                </c:pt>
                <c:pt idx="26">
                  <c:v>78</c:v>
                </c:pt>
                <c:pt idx="27">
                  <c:v>#N/A</c:v>
                </c:pt>
                <c:pt idx="28">
                  <c:v>74</c:v>
                </c:pt>
                <c:pt idx="29">
                  <c:v>#N/A</c:v>
                </c:pt>
                <c:pt idx="30">
                  <c:v>42</c:v>
                </c:pt>
                <c:pt idx="31">
                  <c:v>#N/A</c:v>
                </c:pt>
                <c:pt idx="32">
                  <c:v>174</c:v>
                </c:pt>
                <c:pt idx="33">
                  <c:v>64</c:v>
                </c:pt>
                <c:pt idx="34">
                  <c:v>#N/A</c:v>
                </c:pt>
                <c:pt idx="35">
                  <c:v>#N/A</c:v>
                </c:pt>
                <c:pt idx="36">
                  <c:v>#N/A</c:v>
                </c:pt>
                <c:pt idx="37">
                  <c:v>#N/A</c:v>
                </c:pt>
                <c:pt idx="38">
                  <c:v>44</c:v>
                </c:pt>
                <c:pt idx="39">
                  <c:v>#N/A</c:v>
                </c:pt>
                <c:pt idx="40">
                  <c:v>100</c:v>
                </c:pt>
                <c:pt idx="41">
                  <c:v>96</c:v>
                </c:pt>
                <c:pt idx="42">
                  <c:v>147</c:v>
                </c:pt>
                <c:pt idx="43">
                  <c:v>101</c:v>
                </c:pt>
                <c:pt idx="44">
                  <c:v>568</c:v>
                </c:pt>
                <c:pt idx="45">
                  <c:v>59</c:v>
                </c:pt>
                <c:pt idx="46">
                  <c:v>42</c:v>
                </c:pt>
                <c:pt idx="47">
                  <c:v>60</c:v>
                </c:pt>
                <c:pt idx="48">
                  <c:v>191</c:v>
                </c:pt>
                <c:pt idx="49">
                  <c:v>72</c:v>
                </c:pt>
                <c:pt idx="50">
                  <c:v>51</c:v>
                </c:pt>
                <c:pt idx="51">
                  <c:v>79</c:v>
                </c:pt>
                <c:pt idx="52">
                  <c:v>#N/A</c:v>
                </c:pt>
                <c:pt idx="53">
                  <c:v>81</c:v>
                </c:pt>
                <c:pt idx="54">
                  <c:v>#N/A</c:v>
                </c:pt>
                <c:pt idx="55">
                  <c:v>38</c:v>
                </c:pt>
                <c:pt idx="56">
                  <c:v>#N/A</c:v>
                </c:pt>
                <c:pt idx="57">
                  <c:v>90</c:v>
                </c:pt>
                <c:pt idx="58">
                  <c:v>143</c:v>
                </c:pt>
                <c:pt idx="59">
                  <c:v>#N/A</c:v>
                </c:pt>
                <c:pt idx="60">
                  <c:v>#N/A</c:v>
                </c:pt>
                <c:pt idx="61">
                  <c:v>40</c:v>
                </c:pt>
                <c:pt idx="62">
                  <c:v>#N/A</c:v>
                </c:pt>
                <c:pt idx="63">
                  <c:v>#N/A</c:v>
                </c:pt>
                <c:pt idx="64">
                  <c:v>69</c:v>
                </c:pt>
                <c:pt idx="65">
                  <c:v>33</c:v>
                </c:pt>
                <c:pt idx="66">
                  <c:v>108</c:v>
                </c:pt>
                <c:pt idx="67">
                  <c:v>#N/A</c:v>
                </c:pt>
                <c:pt idx="68">
                  <c:v>#N/A</c:v>
                </c:pt>
                <c:pt idx="69">
                  <c:v>37</c:v>
                </c:pt>
                <c:pt idx="70">
                  <c:v>#N/A</c:v>
                </c:pt>
                <c:pt idx="71">
                  <c:v>124</c:v>
                </c:pt>
                <c:pt idx="72">
                  <c:v>#N/A</c:v>
                </c:pt>
                <c:pt idx="73">
                  <c:v>67</c:v>
                </c:pt>
                <c:pt idx="74">
                  <c:v>97</c:v>
                </c:pt>
                <c:pt idx="75">
                  <c:v>#N/A</c:v>
                </c:pt>
                <c:pt idx="76">
                  <c:v>124</c:v>
                </c:pt>
                <c:pt idx="77">
                  <c:v>103</c:v>
                </c:pt>
                <c:pt idx="78">
                  <c:v>#N/A</c:v>
                </c:pt>
                <c:pt idx="79">
                  <c:v>48</c:v>
                </c:pt>
                <c:pt idx="80">
                  <c:v>#N/A</c:v>
                </c:pt>
                <c:pt idx="81">
                  <c:v>127</c:v>
                </c:pt>
                <c:pt idx="82">
                  <c:v>112</c:v>
                </c:pt>
                <c:pt idx="83">
                  <c:v>187</c:v>
                </c:pt>
                <c:pt idx="84">
                  <c:v>39</c:v>
                </c:pt>
                <c:pt idx="85">
                  <c:v>#N/A</c:v>
                </c:pt>
                <c:pt idx="86">
                  <c:v>88</c:v>
                </c:pt>
                <c:pt idx="87">
                  <c:v>94</c:v>
                </c:pt>
                <c:pt idx="88">
                  <c:v>202</c:v>
                </c:pt>
                <c:pt idx="89">
                  <c:v>#N/A</c:v>
                </c:pt>
                <c:pt idx="90">
                  <c:v>90</c:v>
                </c:pt>
                <c:pt idx="91">
                  <c:v>60</c:v>
                </c:pt>
                <c:pt idx="92">
                  <c:v>#N/A</c:v>
                </c:pt>
                <c:pt idx="93">
                  <c:v>116</c:v>
                </c:pt>
                <c:pt idx="94">
                  <c:v>175</c:v>
                </c:pt>
                <c:pt idx="95">
                  <c:v>45</c:v>
                </c:pt>
                <c:pt idx="96">
                  <c:v>#N/A</c:v>
                </c:pt>
                <c:pt idx="97">
                  <c:v>34</c:v>
                </c:pt>
                <c:pt idx="98">
                  <c:v>95</c:v>
                </c:pt>
                <c:pt idx="99">
                  <c:v>310</c:v>
                </c:pt>
                <c:pt idx="100">
                  <c:v>#N/A</c:v>
                </c:pt>
                <c:pt idx="101">
                  <c:v>#N/A</c:v>
                </c:pt>
                <c:pt idx="102">
                  <c:v>#N/A</c:v>
                </c:pt>
                <c:pt idx="103">
                  <c:v>#N/A</c:v>
                </c:pt>
                <c:pt idx="104">
                  <c:v>53</c:v>
                </c:pt>
                <c:pt idx="105">
                  <c:v>#N/A</c:v>
                </c:pt>
                <c:pt idx="106">
                  <c:v>#N/A</c:v>
                </c:pt>
                <c:pt idx="107">
                  <c:v>#N/A</c:v>
                </c:pt>
                <c:pt idx="108">
                  <c:v>53</c:v>
                </c:pt>
                <c:pt idx="109">
                  <c:v>#N/A</c:v>
                </c:pt>
                <c:pt idx="110">
                  <c:v>#N/A</c:v>
                </c:pt>
                <c:pt idx="111">
                  <c:v>#N/A</c:v>
                </c:pt>
                <c:pt idx="112">
                  <c:v>#N/A</c:v>
                </c:pt>
                <c:pt idx="113">
                  <c:v>118</c:v>
                </c:pt>
                <c:pt idx="114">
                  <c:v>34</c:v>
                </c:pt>
                <c:pt idx="115">
                  <c:v>50</c:v>
                </c:pt>
                <c:pt idx="116">
                  <c:v>35</c:v>
                </c:pt>
                <c:pt idx="117">
                  <c:v>66</c:v>
                </c:pt>
                <c:pt idx="118">
                  <c:v>#N/A</c:v>
                </c:pt>
                <c:pt idx="119">
                  <c:v>#N/A</c:v>
                </c:pt>
                <c:pt idx="120">
                  <c:v>150</c:v>
                </c:pt>
                <c:pt idx="121">
                  <c:v>#N/A</c:v>
                </c:pt>
                <c:pt idx="122">
                  <c:v>#N/A</c:v>
                </c:pt>
                <c:pt idx="123">
                  <c:v>#N/A</c:v>
                </c:pt>
                <c:pt idx="124">
                  <c:v>35</c:v>
                </c:pt>
                <c:pt idx="125">
                  <c:v>#N/A</c:v>
                </c:pt>
                <c:pt idx="126">
                  <c:v>80</c:v>
                </c:pt>
                <c:pt idx="127">
                  <c:v>65</c:v>
                </c:pt>
                <c:pt idx="128">
                  <c:v>#N/A</c:v>
                </c:pt>
                <c:pt idx="129">
                  <c:v>53</c:v>
                </c:pt>
                <c:pt idx="130">
                  <c:v>#N/A</c:v>
                </c:pt>
                <c:pt idx="131">
                  <c:v>328</c:v>
                </c:pt>
                <c:pt idx="132">
                  <c:v>59</c:v>
                </c:pt>
                <c:pt idx="133">
                  <c:v>#N/A</c:v>
                </c:pt>
                <c:pt idx="134">
                  <c:v>#N/A</c:v>
                </c:pt>
                <c:pt idx="135">
                  <c:v>#N/A</c:v>
                </c:pt>
                <c:pt idx="136">
                  <c:v>#N/A</c:v>
                </c:pt>
                <c:pt idx="137">
                  <c:v>183</c:v>
                </c:pt>
                <c:pt idx="138">
                  <c:v>145</c:v>
                </c:pt>
                <c:pt idx="139">
                  <c:v>61</c:v>
                </c:pt>
                <c:pt idx="140">
                  <c:v>190</c:v>
                </c:pt>
                <c:pt idx="141">
                  <c:v>300</c:v>
                </c:pt>
                <c:pt idx="142">
                  <c:v>79</c:v>
                </c:pt>
                <c:pt idx="143">
                  <c:v>#N/A</c:v>
                </c:pt>
                <c:pt idx="144">
                  <c:v>#N/A</c:v>
                </c:pt>
                <c:pt idx="145">
                  <c:v>83</c:v>
                </c:pt>
                <c:pt idx="146">
                  <c:v>#N/A</c:v>
                </c:pt>
                <c:pt idx="147">
                  <c:v>58</c:v>
                </c:pt>
                <c:pt idx="148">
                  <c:v>56</c:v>
                </c:pt>
                <c:pt idx="149">
                  <c:v>#N/A</c:v>
                </c:pt>
                <c:pt idx="150">
                  <c:v>57</c:v>
                </c:pt>
                <c:pt idx="151">
                  <c:v>#N/A</c:v>
                </c:pt>
                <c:pt idx="152">
                  <c:v>93</c:v>
                </c:pt>
                <c:pt idx="153">
                  <c:v>80</c:v>
                </c:pt>
                <c:pt idx="154">
                  <c:v>#N/A</c:v>
                </c:pt>
                <c:pt idx="155">
                  <c:v>#N/A</c:v>
                </c:pt>
                <c:pt idx="156">
                  <c:v>#N/A</c:v>
                </c:pt>
                <c:pt idx="157">
                  <c:v>44</c:v>
                </c:pt>
                <c:pt idx="158">
                  <c:v>36</c:v>
                </c:pt>
                <c:pt idx="159">
                  <c:v>#N/A</c:v>
                </c:pt>
                <c:pt idx="160">
                  <c:v>34</c:v>
                </c:pt>
                <c:pt idx="161">
                  <c:v>77</c:v>
                </c:pt>
                <c:pt idx="162">
                  <c:v>#N/A</c:v>
                </c:pt>
                <c:pt idx="163">
                  <c:v>#N/A</c:v>
                </c:pt>
                <c:pt idx="164">
                  <c:v>192</c:v>
                </c:pt>
                <c:pt idx="165">
                  <c:v>#N/A</c:v>
                </c:pt>
                <c:pt idx="166">
                  <c:v>196</c:v>
                </c:pt>
                <c:pt idx="167">
                  <c:v>#N/A</c:v>
                </c:pt>
                <c:pt idx="168">
                  <c:v>#N/A</c:v>
                </c:pt>
                <c:pt idx="169">
                  <c:v>#N/A</c:v>
                </c:pt>
                <c:pt idx="170">
                  <c:v>56</c:v>
                </c:pt>
                <c:pt idx="171">
                  <c:v>#N/A</c:v>
                </c:pt>
                <c:pt idx="172">
                  <c:v>33</c:v>
                </c:pt>
                <c:pt idx="173">
                  <c:v>#N/A</c:v>
                </c:pt>
                <c:pt idx="174">
                  <c:v>#N/A</c:v>
                </c:pt>
                <c:pt idx="175">
                  <c:v>#N/A</c:v>
                </c:pt>
                <c:pt idx="176">
                  <c:v>#N/A</c:v>
                </c:pt>
                <c:pt idx="177">
                  <c:v>#N/A</c:v>
                </c:pt>
                <c:pt idx="178">
                  <c:v>#N/A</c:v>
                </c:pt>
                <c:pt idx="179">
                  <c:v>32</c:v>
                </c:pt>
                <c:pt idx="180">
                  <c:v>#N/A</c:v>
                </c:pt>
                <c:pt idx="181">
                  <c:v>37</c:v>
                </c:pt>
                <c:pt idx="182">
                  <c:v>#N/A</c:v>
                </c:pt>
                <c:pt idx="183">
                  <c:v>32</c:v>
                </c:pt>
                <c:pt idx="184">
                  <c:v>30</c:v>
                </c:pt>
                <c:pt idx="185">
                  <c:v>#N/A</c:v>
                </c:pt>
                <c:pt idx="186">
                  <c:v>31</c:v>
                </c:pt>
                <c:pt idx="187">
                  <c:v>#N/A</c:v>
                </c:pt>
                <c:pt idx="188">
                  <c:v>#N/A</c:v>
                </c:pt>
                <c:pt idx="189">
                  <c:v>#N/A</c:v>
                </c:pt>
                <c:pt idx="190">
                  <c:v>#N/A</c:v>
                </c:pt>
                <c:pt idx="191">
                  <c:v>#N/A</c:v>
                </c:pt>
                <c:pt idx="192">
                  <c:v>#N/A</c:v>
                </c:pt>
                <c:pt idx="193">
                  <c:v>32</c:v>
                </c:pt>
                <c:pt idx="194">
                  <c:v>44</c:v>
                </c:pt>
                <c:pt idx="195">
                  <c:v>#N/A</c:v>
                </c:pt>
                <c:pt idx="196">
                  <c:v>#N/A</c:v>
                </c:pt>
                <c:pt idx="197">
                  <c:v>#N/A</c:v>
                </c:pt>
                <c:pt idx="198">
                  <c:v>#N/A</c:v>
                </c:pt>
                <c:pt idx="199">
                  <c:v>64</c:v>
                </c:pt>
                <c:pt idx="200">
                  <c:v>81</c:v>
                </c:pt>
                <c:pt idx="201">
                  <c:v>55</c:v>
                </c:pt>
                <c:pt idx="202">
                  <c:v>78</c:v>
                </c:pt>
                <c:pt idx="203">
                  <c:v>99</c:v>
                </c:pt>
                <c:pt idx="204">
                  <c:v>60</c:v>
                </c:pt>
                <c:pt idx="205">
                  <c:v>56</c:v>
                </c:pt>
                <c:pt idx="206">
                  <c:v>#N/A</c:v>
                </c:pt>
                <c:pt idx="207">
                  <c:v>47</c:v>
                </c:pt>
                <c:pt idx="208">
                  <c:v>#N/A</c:v>
                </c:pt>
                <c:pt idx="209">
                  <c:v>226</c:v>
                </c:pt>
                <c:pt idx="210">
                  <c:v>#N/A</c:v>
                </c:pt>
                <c:pt idx="211">
                  <c:v>73</c:v>
                </c:pt>
                <c:pt idx="212">
                  <c:v>273</c:v>
                </c:pt>
                <c:pt idx="213">
                  <c:v>40</c:v>
                </c:pt>
                <c:pt idx="214">
                  <c:v>#N/A</c:v>
                </c:pt>
                <c:pt idx="215">
                  <c:v>71</c:v>
                </c:pt>
                <c:pt idx="216">
                  <c:v>373</c:v>
                </c:pt>
                <c:pt idx="217">
                  <c:v>#N/A</c:v>
                </c:pt>
                <c:pt idx="218">
                  <c:v>644</c:v>
                </c:pt>
                <c:pt idx="219">
                  <c:v>#N/A</c:v>
                </c:pt>
                <c:pt idx="220">
                  <c:v>#N/A</c:v>
                </c:pt>
                <c:pt idx="221">
                  <c:v>65</c:v>
                </c:pt>
                <c:pt idx="222">
                  <c:v>#N/A</c:v>
                </c:pt>
                <c:pt idx="223">
                  <c:v>67</c:v>
                </c:pt>
                <c:pt idx="224">
                  <c:v>#N/A</c:v>
                </c:pt>
                <c:pt idx="225">
                  <c:v>#N/A</c:v>
                </c:pt>
                <c:pt idx="226">
                  <c:v>175</c:v>
                </c:pt>
                <c:pt idx="227">
                  <c:v>118</c:v>
                </c:pt>
                <c:pt idx="228">
                  <c:v>#N/A</c:v>
                </c:pt>
                <c:pt idx="229">
                  <c:v>30</c:v>
                </c:pt>
                <c:pt idx="230">
                  <c:v>242</c:v>
                </c:pt>
                <c:pt idx="231">
                  <c:v>364</c:v>
                </c:pt>
                <c:pt idx="232">
                  <c:v>123</c:v>
                </c:pt>
                <c:pt idx="233">
                  <c:v>195</c:v>
                </c:pt>
                <c:pt idx="234">
                  <c:v>34</c:v>
                </c:pt>
                <c:pt idx="235">
                  <c:v>#N/A</c:v>
                </c:pt>
                <c:pt idx="236">
                  <c:v>151</c:v>
                </c:pt>
                <c:pt idx="237">
                  <c:v>#N/A</c:v>
                </c:pt>
                <c:pt idx="238">
                  <c:v>34</c:v>
                </c:pt>
                <c:pt idx="239">
                  <c:v>100</c:v>
                </c:pt>
                <c:pt idx="240">
                  <c:v>85</c:v>
                </c:pt>
                <c:pt idx="241">
                  <c:v>116</c:v>
                </c:pt>
                <c:pt idx="242">
                  <c:v>49</c:v>
                </c:pt>
                <c:pt idx="243">
                  <c:v>53</c:v>
                </c:pt>
                <c:pt idx="244">
                  <c:v>111</c:v>
                </c:pt>
                <c:pt idx="245">
                  <c:v>85</c:v>
                </c:pt>
                <c:pt idx="246">
                  <c:v>74</c:v>
                </c:pt>
                <c:pt idx="247">
                  <c:v>98</c:v>
                </c:pt>
                <c:pt idx="248">
                  <c:v>64</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numCache>
            </c:numRef>
          </c:xVal>
          <c:yVal>
            <c:numRef>
              <c:f>'Funnel Lookup'!$T$3:$T$402</c:f>
              <c:numCache>
                <c:formatCode>General</c:formatCode>
                <c:ptCount val="400"/>
                <c:pt idx="0">
                  <c:v>23.225100000000001</c:v>
                </c:pt>
                <c:pt idx="1">
                  <c:v>22.7502</c:v>
                </c:pt>
                <c:pt idx="2">
                  <c:v>23.428100000000001</c:v>
                </c:pt>
                <c:pt idx="3">
                  <c:v>23.302299999999999</c:v>
                </c:pt>
                <c:pt idx="4">
                  <c:v>#N/A</c:v>
                </c:pt>
                <c:pt idx="5">
                  <c:v>19.538699999999999</c:v>
                </c:pt>
                <c:pt idx="6">
                  <c:v>21.2681</c:v>
                </c:pt>
                <c:pt idx="7">
                  <c:v>20.8598</c:v>
                </c:pt>
                <c:pt idx="8">
                  <c:v>21.6694</c:v>
                </c:pt>
                <c:pt idx="9">
                  <c:v>22.840599999999998</c:v>
                </c:pt>
                <c:pt idx="10">
                  <c:v>#N/A</c:v>
                </c:pt>
                <c:pt idx="11">
                  <c:v>20.761800000000001</c:v>
                </c:pt>
                <c:pt idx="12">
                  <c:v>#N/A</c:v>
                </c:pt>
                <c:pt idx="13">
                  <c:v>#N/A</c:v>
                </c:pt>
                <c:pt idx="14">
                  <c:v>#N/A</c:v>
                </c:pt>
                <c:pt idx="15">
                  <c:v>19.974900000000002</c:v>
                </c:pt>
                <c:pt idx="16">
                  <c:v>22.381799999999998</c:v>
                </c:pt>
                <c:pt idx="17">
                  <c:v>#N/A</c:v>
                </c:pt>
                <c:pt idx="18">
                  <c:v>20.348299999999998</c:v>
                </c:pt>
                <c:pt idx="19">
                  <c:v>23.5565</c:v>
                </c:pt>
                <c:pt idx="20">
                  <c:v>23.872399999999999</c:v>
                </c:pt>
                <c:pt idx="21">
                  <c:v>#N/A</c:v>
                </c:pt>
                <c:pt idx="22">
                  <c:v>22.533899999999999</c:v>
                </c:pt>
                <c:pt idx="23">
                  <c:v>#N/A</c:v>
                </c:pt>
                <c:pt idx="24">
                  <c:v>22.036799999999999</c:v>
                </c:pt>
                <c:pt idx="25">
                  <c:v>21.360099999999999</c:v>
                </c:pt>
                <c:pt idx="26">
                  <c:v>21.3172</c:v>
                </c:pt>
                <c:pt idx="27">
                  <c:v>#N/A</c:v>
                </c:pt>
                <c:pt idx="28">
                  <c:v>22.629899999999999</c:v>
                </c:pt>
                <c:pt idx="29">
                  <c:v>#N/A</c:v>
                </c:pt>
                <c:pt idx="30">
                  <c:v>9.4640500000000003</c:v>
                </c:pt>
                <c:pt idx="31">
                  <c:v>#N/A</c:v>
                </c:pt>
                <c:pt idx="32">
                  <c:v>22.106200000000001</c:v>
                </c:pt>
                <c:pt idx="33">
                  <c:v>19.098299999999998</c:v>
                </c:pt>
                <c:pt idx="34">
                  <c:v>#N/A</c:v>
                </c:pt>
                <c:pt idx="35">
                  <c:v>#N/A</c:v>
                </c:pt>
                <c:pt idx="36">
                  <c:v>#N/A</c:v>
                </c:pt>
                <c:pt idx="37">
                  <c:v>#N/A</c:v>
                </c:pt>
                <c:pt idx="38">
                  <c:v>22.792000000000002</c:v>
                </c:pt>
                <c:pt idx="39">
                  <c:v>#N/A</c:v>
                </c:pt>
                <c:pt idx="40">
                  <c:v>23.294499999999999</c:v>
                </c:pt>
                <c:pt idx="41">
                  <c:v>24.2653</c:v>
                </c:pt>
                <c:pt idx="42">
                  <c:v>23.359400000000001</c:v>
                </c:pt>
                <c:pt idx="43">
                  <c:v>23.320399999999999</c:v>
                </c:pt>
                <c:pt idx="44">
                  <c:v>22.7761</c:v>
                </c:pt>
                <c:pt idx="45">
                  <c:v>24.320900000000002</c:v>
                </c:pt>
                <c:pt idx="46">
                  <c:v>20.5381</c:v>
                </c:pt>
                <c:pt idx="47">
                  <c:v>22.9937</c:v>
                </c:pt>
                <c:pt idx="48">
                  <c:v>22.477799999999998</c:v>
                </c:pt>
                <c:pt idx="49">
                  <c:v>23.514800000000001</c:v>
                </c:pt>
                <c:pt idx="50">
                  <c:v>24.298400000000001</c:v>
                </c:pt>
                <c:pt idx="51">
                  <c:v>22.404800000000002</c:v>
                </c:pt>
                <c:pt idx="52">
                  <c:v>#N/A</c:v>
                </c:pt>
                <c:pt idx="53">
                  <c:v>19.8</c:v>
                </c:pt>
                <c:pt idx="54">
                  <c:v>#N/A</c:v>
                </c:pt>
                <c:pt idx="55">
                  <c:v>22.7896</c:v>
                </c:pt>
                <c:pt idx="56">
                  <c:v>#N/A</c:v>
                </c:pt>
                <c:pt idx="57">
                  <c:v>23.161300000000001</c:v>
                </c:pt>
                <c:pt idx="58">
                  <c:v>22.406099999999999</c:v>
                </c:pt>
                <c:pt idx="59">
                  <c:v>#N/A</c:v>
                </c:pt>
                <c:pt idx="60">
                  <c:v>#N/A</c:v>
                </c:pt>
                <c:pt idx="61">
                  <c:v>20.899899999999999</c:v>
                </c:pt>
                <c:pt idx="62">
                  <c:v>#N/A</c:v>
                </c:pt>
                <c:pt idx="63">
                  <c:v>#N/A</c:v>
                </c:pt>
                <c:pt idx="64">
                  <c:v>21.944800000000001</c:v>
                </c:pt>
                <c:pt idx="65">
                  <c:v>23.093699999999998</c:v>
                </c:pt>
                <c:pt idx="66">
                  <c:v>22.514399999999998</c:v>
                </c:pt>
                <c:pt idx="67">
                  <c:v>#N/A</c:v>
                </c:pt>
                <c:pt idx="68">
                  <c:v>#N/A</c:v>
                </c:pt>
                <c:pt idx="69">
                  <c:v>18.787299999999998</c:v>
                </c:pt>
                <c:pt idx="70">
                  <c:v>#N/A</c:v>
                </c:pt>
                <c:pt idx="71">
                  <c:v>21.484500000000001</c:v>
                </c:pt>
                <c:pt idx="72">
                  <c:v>#N/A</c:v>
                </c:pt>
                <c:pt idx="73">
                  <c:v>24.764800000000001</c:v>
                </c:pt>
                <c:pt idx="74">
                  <c:v>22.450700000000001</c:v>
                </c:pt>
                <c:pt idx="75">
                  <c:v>#N/A</c:v>
                </c:pt>
                <c:pt idx="76">
                  <c:v>21.6541</c:v>
                </c:pt>
                <c:pt idx="77">
                  <c:v>21.2746</c:v>
                </c:pt>
                <c:pt idx="78">
                  <c:v>#N/A</c:v>
                </c:pt>
                <c:pt idx="79">
                  <c:v>21.467300000000002</c:v>
                </c:pt>
                <c:pt idx="80">
                  <c:v>#N/A</c:v>
                </c:pt>
                <c:pt idx="81">
                  <c:v>23.321400000000001</c:v>
                </c:pt>
                <c:pt idx="82">
                  <c:v>23.627300000000002</c:v>
                </c:pt>
                <c:pt idx="83">
                  <c:v>21.8094</c:v>
                </c:pt>
                <c:pt idx="84">
                  <c:v>24.965199999999999</c:v>
                </c:pt>
                <c:pt idx="85">
                  <c:v>#N/A</c:v>
                </c:pt>
                <c:pt idx="86">
                  <c:v>24.126200000000001</c:v>
                </c:pt>
                <c:pt idx="87">
                  <c:v>22.974900000000002</c:v>
                </c:pt>
                <c:pt idx="88">
                  <c:v>22.9438</c:v>
                </c:pt>
                <c:pt idx="89">
                  <c:v>#N/A</c:v>
                </c:pt>
                <c:pt idx="90">
                  <c:v>24.396999999999998</c:v>
                </c:pt>
                <c:pt idx="91">
                  <c:v>23.205300000000001</c:v>
                </c:pt>
                <c:pt idx="92">
                  <c:v>#N/A</c:v>
                </c:pt>
                <c:pt idx="93">
                  <c:v>22.732199999999999</c:v>
                </c:pt>
                <c:pt idx="94">
                  <c:v>22.890999999999998</c:v>
                </c:pt>
                <c:pt idx="95">
                  <c:v>23.5364</c:v>
                </c:pt>
                <c:pt idx="96">
                  <c:v>#N/A</c:v>
                </c:pt>
                <c:pt idx="97">
                  <c:v>26.187100000000001</c:v>
                </c:pt>
                <c:pt idx="98">
                  <c:v>22.023099999999999</c:v>
                </c:pt>
                <c:pt idx="99">
                  <c:v>24.540400000000002</c:v>
                </c:pt>
                <c:pt idx="100">
                  <c:v>#N/A</c:v>
                </c:pt>
                <c:pt idx="101">
                  <c:v>#N/A</c:v>
                </c:pt>
                <c:pt idx="102">
                  <c:v>#N/A</c:v>
                </c:pt>
                <c:pt idx="103">
                  <c:v>#N/A</c:v>
                </c:pt>
                <c:pt idx="104">
                  <c:v>24.9666</c:v>
                </c:pt>
                <c:pt idx="105">
                  <c:v>#N/A</c:v>
                </c:pt>
                <c:pt idx="106">
                  <c:v>#N/A</c:v>
                </c:pt>
                <c:pt idx="107">
                  <c:v>#N/A</c:v>
                </c:pt>
                <c:pt idx="108">
                  <c:v>24.125900000000001</c:v>
                </c:pt>
                <c:pt idx="109">
                  <c:v>#N/A</c:v>
                </c:pt>
                <c:pt idx="110">
                  <c:v>#N/A</c:v>
                </c:pt>
                <c:pt idx="111">
                  <c:v>#N/A</c:v>
                </c:pt>
                <c:pt idx="112">
                  <c:v>#N/A</c:v>
                </c:pt>
                <c:pt idx="113">
                  <c:v>22.639099999999999</c:v>
                </c:pt>
                <c:pt idx="114">
                  <c:v>23.589400000000001</c:v>
                </c:pt>
                <c:pt idx="115">
                  <c:v>23.434100000000001</c:v>
                </c:pt>
                <c:pt idx="116">
                  <c:v>20.816600000000001</c:v>
                </c:pt>
                <c:pt idx="117">
                  <c:v>23.561800000000002</c:v>
                </c:pt>
                <c:pt idx="118">
                  <c:v>#N/A</c:v>
                </c:pt>
                <c:pt idx="119">
                  <c:v>#N/A</c:v>
                </c:pt>
                <c:pt idx="120">
                  <c:v>23.0657</c:v>
                </c:pt>
                <c:pt idx="121">
                  <c:v>#N/A</c:v>
                </c:pt>
                <c:pt idx="122">
                  <c:v>#N/A</c:v>
                </c:pt>
                <c:pt idx="123">
                  <c:v>#N/A</c:v>
                </c:pt>
                <c:pt idx="124">
                  <c:v>22.505400000000002</c:v>
                </c:pt>
                <c:pt idx="125">
                  <c:v>#N/A</c:v>
                </c:pt>
                <c:pt idx="126">
                  <c:v>25.1861</c:v>
                </c:pt>
                <c:pt idx="127">
                  <c:v>21.625900000000001</c:v>
                </c:pt>
                <c:pt idx="128">
                  <c:v>#N/A</c:v>
                </c:pt>
                <c:pt idx="129">
                  <c:v>23.052099999999999</c:v>
                </c:pt>
                <c:pt idx="130">
                  <c:v>#N/A</c:v>
                </c:pt>
                <c:pt idx="131">
                  <c:v>22.691400000000002</c:v>
                </c:pt>
                <c:pt idx="132">
                  <c:v>22.334800000000001</c:v>
                </c:pt>
                <c:pt idx="133">
                  <c:v>#N/A</c:v>
                </c:pt>
                <c:pt idx="134">
                  <c:v>#N/A</c:v>
                </c:pt>
                <c:pt idx="135">
                  <c:v>#N/A</c:v>
                </c:pt>
                <c:pt idx="136">
                  <c:v>#N/A</c:v>
                </c:pt>
                <c:pt idx="137">
                  <c:v>22.469100000000001</c:v>
                </c:pt>
                <c:pt idx="138">
                  <c:v>23.5961</c:v>
                </c:pt>
                <c:pt idx="139">
                  <c:v>22.493400000000001</c:v>
                </c:pt>
                <c:pt idx="140">
                  <c:v>23.873100000000001</c:v>
                </c:pt>
                <c:pt idx="141">
                  <c:v>23.187799999999999</c:v>
                </c:pt>
                <c:pt idx="142">
                  <c:v>22.282599999999999</c:v>
                </c:pt>
                <c:pt idx="143">
                  <c:v>#N/A</c:v>
                </c:pt>
                <c:pt idx="144">
                  <c:v>#N/A</c:v>
                </c:pt>
                <c:pt idx="145">
                  <c:v>23.238700000000001</c:v>
                </c:pt>
                <c:pt idx="146">
                  <c:v>#N/A</c:v>
                </c:pt>
                <c:pt idx="147">
                  <c:v>23.629000000000001</c:v>
                </c:pt>
                <c:pt idx="148">
                  <c:v>22.995200000000001</c:v>
                </c:pt>
                <c:pt idx="149">
                  <c:v>#N/A</c:v>
                </c:pt>
                <c:pt idx="150">
                  <c:v>23.055800000000001</c:v>
                </c:pt>
                <c:pt idx="151">
                  <c:v>#N/A</c:v>
                </c:pt>
                <c:pt idx="152">
                  <c:v>19.752099999999999</c:v>
                </c:pt>
                <c:pt idx="153">
                  <c:v>21.983499999999999</c:v>
                </c:pt>
                <c:pt idx="154">
                  <c:v>#N/A</c:v>
                </c:pt>
                <c:pt idx="155">
                  <c:v>#N/A</c:v>
                </c:pt>
                <c:pt idx="156">
                  <c:v>#N/A</c:v>
                </c:pt>
                <c:pt idx="157">
                  <c:v>23.266300000000001</c:v>
                </c:pt>
                <c:pt idx="158">
                  <c:v>22.3673</c:v>
                </c:pt>
                <c:pt idx="159">
                  <c:v>#N/A</c:v>
                </c:pt>
                <c:pt idx="160">
                  <c:v>21.664100000000001</c:v>
                </c:pt>
                <c:pt idx="161">
                  <c:v>23.546399999999998</c:v>
                </c:pt>
                <c:pt idx="162">
                  <c:v>#N/A</c:v>
                </c:pt>
                <c:pt idx="163">
                  <c:v>#N/A</c:v>
                </c:pt>
                <c:pt idx="164">
                  <c:v>24.070900000000002</c:v>
                </c:pt>
                <c:pt idx="165">
                  <c:v>#N/A</c:v>
                </c:pt>
                <c:pt idx="166">
                  <c:v>21.2852</c:v>
                </c:pt>
                <c:pt idx="167">
                  <c:v>#N/A</c:v>
                </c:pt>
                <c:pt idx="168">
                  <c:v>#N/A</c:v>
                </c:pt>
                <c:pt idx="169">
                  <c:v>#N/A</c:v>
                </c:pt>
                <c:pt idx="170">
                  <c:v>24.028199999999998</c:v>
                </c:pt>
                <c:pt idx="171">
                  <c:v>#N/A</c:v>
                </c:pt>
                <c:pt idx="172">
                  <c:v>24.831</c:v>
                </c:pt>
                <c:pt idx="173">
                  <c:v>#N/A</c:v>
                </c:pt>
                <c:pt idx="174">
                  <c:v>#N/A</c:v>
                </c:pt>
                <c:pt idx="175">
                  <c:v>#N/A</c:v>
                </c:pt>
                <c:pt idx="176">
                  <c:v>#N/A</c:v>
                </c:pt>
                <c:pt idx="177">
                  <c:v>#N/A</c:v>
                </c:pt>
                <c:pt idx="178">
                  <c:v>#N/A</c:v>
                </c:pt>
                <c:pt idx="179">
                  <c:v>22.8613</c:v>
                </c:pt>
                <c:pt idx="180">
                  <c:v>#N/A</c:v>
                </c:pt>
                <c:pt idx="181">
                  <c:v>22.914400000000001</c:v>
                </c:pt>
                <c:pt idx="182">
                  <c:v>#N/A</c:v>
                </c:pt>
                <c:pt idx="183">
                  <c:v>24.335799999999999</c:v>
                </c:pt>
                <c:pt idx="184">
                  <c:v>17.764800000000001</c:v>
                </c:pt>
                <c:pt idx="185">
                  <c:v>#N/A</c:v>
                </c:pt>
                <c:pt idx="186">
                  <c:v>21.158899999999999</c:v>
                </c:pt>
                <c:pt idx="187">
                  <c:v>#N/A</c:v>
                </c:pt>
                <c:pt idx="188">
                  <c:v>#N/A</c:v>
                </c:pt>
                <c:pt idx="189">
                  <c:v>#N/A</c:v>
                </c:pt>
                <c:pt idx="190">
                  <c:v>#N/A</c:v>
                </c:pt>
                <c:pt idx="191">
                  <c:v>#N/A</c:v>
                </c:pt>
                <c:pt idx="192">
                  <c:v>#N/A</c:v>
                </c:pt>
                <c:pt idx="193">
                  <c:v>20.387799999999999</c:v>
                </c:pt>
                <c:pt idx="194">
                  <c:v>23.212499999999999</c:v>
                </c:pt>
                <c:pt idx="195">
                  <c:v>#N/A</c:v>
                </c:pt>
                <c:pt idx="196">
                  <c:v>#N/A</c:v>
                </c:pt>
                <c:pt idx="197">
                  <c:v>#N/A</c:v>
                </c:pt>
                <c:pt idx="198">
                  <c:v>#N/A</c:v>
                </c:pt>
                <c:pt idx="199">
                  <c:v>26.6038</c:v>
                </c:pt>
                <c:pt idx="200">
                  <c:v>24.796299999999999</c:v>
                </c:pt>
                <c:pt idx="201">
                  <c:v>24.116099999999999</c:v>
                </c:pt>
                <c:pt idx="202">
                  <c:v>21.5517</c:v>
                </c:pt>
                <c:pt idx="203">
                  <c:v>21.736799999999999</c:v>
                </c:pt>
                <c:pt idx="204">
                  <c:v>23.235800000000001</c:v>
                </c:pt>
                <c:pt idx="205">
                  <c:v>21.419899999999998</c:v>
                </c:pt>
                <c:pt idx="206">
                  <c:v>#N/A</c:v>
                </c:pt>
                <c:pt idx="207">
                  <c:v>21.933499999999999</c:v>
                </c:pt>
                <c:pt idx="208">
                  <c:v>#N/A</c:v>
                </c:pt>
                <c:pt idx="209">
                  <c:v>22.651199999999999</c:v>
                </c:pt>
                <c:pt idx="210">
                  <c:v>#N/A</c:v>
                </c:pt>
                <c:pt idx="211">
                  <c:v>21.104600000000001</c:v>
                </c:pt>
                <c:pt idx="212">
                  <c:v>22.906700000000001</c:v>
                </c:pt>
                <c:pt idx="213">
                  <c:v>21.0063</c:v>
                </c:pt>
                <c:pt idx="214">
                  <c:v>#N/A</c:v>
                </c:pt>
                <c:pt idx="215">
                  <c:v>23.717500000000001</c:v>
                </c:pt>
                <c:pt idx="216">
                  <c:v>24.420999999999999</c:v>
                </c:pt>
                <c:pt idx="217">
                  <c:v>#N/A</c:v>
                </c:pt>
                <c:pt idx="218">
                  <c:v>22.157800000000002</c:v>
                </c:pt>
                <c:pt idx="219">
                  <c:v>#N/A</c:v>
                </c:pt>
                <c:pt idx="220">
                  <c:v>#N/A</c:v>
                </c:pt>
                <c:pt idx="221">
                  <c:v>6.9525399999999999</c:v>
                </c:pt>
                <c:pt idx="222">
                  <c:v>#N/A</c:v>
                </c:pt>
                <c:pt idx="223">
                  <c:v>22.378</c:v>
                </c:pt>
                <c:pt idx="224">
                  <c:v>#N/A</c:v>
                </c:pt>
                <c:pt idx="225">
                  <c:v>#N/A</c:v>
                </c:pt>
                <c:pt idx="226">
                  <c:v>21.972899999999999</c:v>
                </c:pt>
                <c:pt idx="227">
                  <c:v>22.727</c:v>
                </c:pt>
                <c:pt idx="228">
                  <c:v>#N/A</c:v>
                </c:pt>
                <c:pt idx="229">
                  <c:v>22.7072</c:v>
                </c:pt>
                <c:pt idx="230">
                  <c:v>23.0246</c:v>
                </c:pt>
                <c:pt idx="231">
                  <c:v>22.3447</c:v>
                </c:pt>
                <c:pt idx="232">
                  <c:v>22.7486</c:v>
                </c:pt>
                <c:pt idx="233">
                  <c:v>22.578199999999999</c:v>
                </c:pt>
                <c:pt idx="234">
                  <c:v>24.366700000000002</c:v>
                </c:pt>
                <c:pt idx="235">
                  <c:v>#N/A</c:v>
                </c:pt>
                <c:pt idx="236">
                  <c:v>19.625499999999999</c:v>
                </c:pt>
                <c:pt idx="237">
                  <c:v>#N/A</c:v>
                </c:pt>
                <c:pt idx="238">
                  <c:v>22.192499999999999</c:v>
                </c:pt>
                <c:pt idx="239">
                  <c:v>21.598099999999999</c:v>
                </c:pt>
                <c:pt idx="240">
                  <c:v>22.697800000000001</c:v>
                </c:pt>
                <c:pt idx="241">
                  <c:v>21.183299999999999</c:v>
                </c:pt>
                <c:pt idx="242">
                  <c:v>23.040099999999999</c:v>
                </c:pt>
                <c:pt idx="243">
                  <c:v>23.654800000000002</c:v>
                </c:pt>
                <c:pt idx="244">
                  <c:v>21.491499999999998</c:v>
                </c:pt>
                <c:pt idx="245">
                  <c:v>19.078199999999999</c:v>
                </c:pt>
                <c:pt idx="246">
                  <c:v>22.0852</c:v>
                </c:pt>
                <c:pt idx="247">
                  <c:v>21.563500000000001</c:v>
                </c:pt>
                <c:pt idx="248">
                  <c:v>21.636500000000002</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numCache>
            </c:numRef>
          </c:yVal>
          <c:smooth val="0"/>
          <c:extLst>
            <c:ext xmlns:c16="http://schemas.microsoft.com/office/drawing/2014/chart" uri="{C3380CC4-5D6E-409C-BE32-E72D297353CC}">
              <c16:uniqueId val="{00000005-542C-409F-A629-217A0F129DC1}"/>
            </c:ext>
          </c:extLst>
        </c:ser>
        <c:ser>
          <c:idx val="6"/>
          <c:order val="6"/>
          <c:tx>
            <c:v>Selected</c:v>
          </c:tx>
          <c:spPr>
            <a:ln w="28575">
              <a:noFill/>
              <a:prstDash val="solid"/>
            </a:ln>
          </c:spPr>
          <c:marker>
            <c:symbol val="circle"/>
            <c:size val="8"/>
            <c:spPr>
              <a:solidFill>
                <a:srgbClr val="FF0000"/>
              </a:solidFill>
              <a:ln>
                <a:prstDash val="solid"/>
              </a:ln>
            </c:spPr>
          </c:marker>
          <c:xVal>
            <c:numRef>
              <c:f>'Funnel Lookup'!$U$3:$U$402</c:f>
              <c:numCache>
                <c:formatCode>General</c:formatCode>
                <c:ptCount val="4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56</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numCache>
            </c:numRef>
          </c:xVal>
          <c:yVal>
            <c:numRef>
              <c:f>'Funnel Lookup'!$V$3:$V$402</c:f>
              <c:numCache>
                <c:formatCode>General</c:formatCode>
                <c:ptCount val="4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19.974900000000002</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numCache>
            </c:numRef>
          </c:yVal>
          <c:smooth val="0"/>
          <c:extLst>
            <c:ext xmlns:c16="http://schemas.microsoft.com/office/drawing/2014/chart" uri="{C3380CC4-5D6E-409C-BE32-E72D297353CC}">
              <c16:uniqueId val="{00000006-542C-409F-A629-217A0F129DC1}"/>
            </c:ext>
          </c:extLst>
        </c:ser>
        <c:dLbls>
          <c:showLegendKey val="0"/>
          <c:showVal val="0"/>
          <c:showCatName val="0"/>
          <c:showSerName val="0"/>
          <c:showPercent val="0"/>
          <c:showBubbleSize val="0"/>
        </c:dLbls>
        <c:axId val="301429888"/>
        <c:axId val="301432192"/>
      </c:scatterChart>
      <c:valAx>
        <c:axId val="301429888"/>
        <c:scaling>
          <c:orientation val="minMax"/>
          <c:min val="0"/>
        </c:scaling>
        <c:delete val="0"/>
        <c:axPos val="b"/>
        <c:majorGridlines>
          <c:spPr>
            <a:ln w="3175">
              <a:solidFill>
                <a:srgbClr val="C0C0C0"/>
              </a:solidFill>
              <a:prstDash val="sysDash"/>
            </a:ln>
          </c:spPr>
        </c:majorGridlines>
        <c:title>
          <c:tx>
            <c:rich>
              <a:bodyPr/>
              <a:lstStyle/>
              <a:p>
                <a:pPr>
                  <a:defRPr sz="1100" b="1" i="0" strike="noStrike" baseline="0">
                    <a:solidFill>
                      <a:srgbClr val="003350"/>
                    </a:solidFill>
                    <a:latin typeface="Arial" pitchFamily="34" charset="0"/>
                    <a:ea typeface="Arial Narrow"/>
                    <a:cs typeface="Arial" pitchFamily="34" charset="0"/>
                  </a:defRPr>
                </a:pPr>
                <a:r>
                  <a:rPr lang="en-GB" sz="1100">
                    <a:solidFill>
                      <a:srgbClr val="003350"/>
                    </a:solidFill>
                    <a:latin typeface="Arial" pitchFamily="34" charset="0"/>
                    <a:cs typeface="Arial" pitchFamily="34" charset="0"/>
                  </a:rPr>
                  <a:t>Number of Modelled Records</a:t>
                </a:r>
              </a:p>
            </c:rich>
          </c:tx>
          <c:layout>
            <c:manualLayout>
              <c:xMode val="edge"/>
              <c:yMode val="edge"/>
              <c:x val="0.36446884550390107"/>
              <c:y val="0.94027140299375156"/>
            </c:manualLayout>
          </c:layout>
          <c:overlay val="0"/>
          <c:spPr>
            <a:noFill/>
            <a:ln w="25400">
              <a:noFill/>
              <a:prstDash val="solid"/>
            </a:ln>
          </c:spPr>
        </c:title>
        <c:numFmt formatCode="General" sourceLinked="1"/>
        <c:majorTickMark val="out"/>
        <c:minorTickMark val="none"/>
        <c:tickLblPos val="low"/>
        <c:spPr>
          <a:ln w="3175">
            <a:solidFill>
              <a:srgbClr val="C0C0C0"/>
            </a:solidFill>
            <a:prstDash val="solid"/>
          </a:ln>
        </c:spPr>
        <c:txPr>
          <a:bodyPr rot="0" vert="horz"/>
          <a:lstStyle/>
          <a:p>
            <a:pPr>
              <a:defRPr sz="1200" b="0" i="0" strike="noStrike" baseline="0">
                <a:solidFill>
                  <a:srgbClr val="003350"/>
                </a:solidFill>
                <a:latin typeface="Arial" pitchFamily="34" charset="0"/>
                <a:ea typeface="Arial Narrow"/>
                <a:cs typeface="Arial" pitchFamily="34" charset="0"/>
              </a:defRPr>
            </a:pPr>
            <a:endParaRPr lang="en-US"/>
          </a:p>
        </c:txPr>
        <c:crossAx val="301432192"/>
        <c:crosses val="autoZero"/>
        <c:crossBetween val="midCat"/>
      </c:valAx>
      <c:valAx>
        <c:axId val="301432192"/>
        <c:scaling>
          <c:orientation val="minMax"/>
        </c:scaling>
        <c:delete val="0"/>
        <c:axPos val="l"/>
        <c:majorGridlines>
          <c:spPr>
            <a:ln w="3175">
              <a:solidFill>
                <a:srgbClr val="C0C0C0"/>
              </a:solidFill>
              <a:prstDash val="sysDash"/>
            </a:ln>
          </c:spPr>
        </c:majorGridlines>
        <c:title>
          <c:tx>
            <c:rich>
              <a:bodyPr/>
              <a:lstStyle/>
              <a:p>
                <a:pPr>
                  <a:defRPr sz="1100" b="1" i="0" strike="noStrike" baseline="0">
                    <a:solidFill>
                      <a:srgbClr val="003350"/>
                    </a:solidFill>
                    <a:latin typeface="Arial" pitchFamily="34" charset="0"/>
                    <a:ea typeface="Arial Narrow"/>
                    <a:cs typeface="Arial" pitchFamily="34" charset="0"/>
                  </a:defRPr>
                </a:pPr>
                <a:r>
                  <a:rPr lang="en-GB" sz="1100">
                    <a:solidFill>
                      <a:srgbClr val="003350"/>
                    </a:solidFill>
                    <a:latin typeface="Arial" pitchFamily="34" charset="0"/>
                    <a:cs typeface="Arial" pitchFamily="34" charset="0"/>
                  </a:rPr>
                  <a:t>Adjusted Health Gain</a:t>
                </a:r>
              </a:p>
            </c:rich>
          </c:tx>
          <c:layout>
            <c:manualLayout>
              <c:xMode val="edge"/>
              <c:yMode val="edge"/>
              <c:x val="1.289408974899417E-2"/>
              <c:y val="0.33547192157160038"/>
            </c:manualLayout>
          </c:layout>
          <c:overlay val="0"/>
          <c:spPr>
            <a:noFill/>
            <a:ln w="25400">
              <a:noFill/>
              <a:prstDash val="solid"/>
            </a:ln>
          </c:spPr>
        </c:title>
        <c:numFmt formatCode="General" sourceLinked="1"/>
        <c:majorTickMark val="out"/>
        <c:minorTickMark val="none"/>
        <c:tickLblPos val="nextTo"/>
        <c:spPr>
          <a:ln w="3175">
            <a:solidFill>
              <a:srgbClr val="C0C0C0"/>
            </a:solidFill>
            <a:prstDash val="solid"/>
          </a:ln>
        </c:spPr>
        <c:txPr>
          <a:bodyPr rot="0" vert="horz"/>
          <a:lstStyle/>
          <a:p>
            <a:pPr>
              <a:defRPr sz="1200" b="0" i="0" strike="noStrike" baseline="0">
                <a:solidFill>
                  <a:srgbClr val="003350"/>
                </a:solidFill>
                <a:latin typeface="Arial" pitchFamily="34" charset="0"/>
                <a:ea typeface="Arial Narrow"/>
                <a:cs typeface="Arial" pitchFamily="34" charset="0"/>
              </a:defRPr>
            </a:pPr>
            <a:endParaRPr lang="en-US"/>
          </a:p>
        </c:txPr>
        <c:crossAx val="301429888"/>
        <c:crosses val="autoZero"/>
        <c:crossBetween val="midCat"/>
      </c:valAx>
    </c:plotArea>
    <c:legend>
      <c:legendPos val="r"/>
      <c:legendEntry>
        <c:idx val="1"/>
        <c:delete val="1"/>
      </c:legendEntry>
      <c:legendEntry>
        <c:idx val="3"/>
        <c:delete val="1"/>
      </c:legendEntry>
      <c:layout>
        <c:manualLayout>
          <c:xMode val="edge"/>
          <c:yMode val="edge"/>
          <c:x val="0.83514057567620181"/>
          <c:y val="5.5461306585487473E-2"/>
          <c:w val="0.14648185780844181"/>
          <c:h val="0.42041918944913281"/>
        </c:manualLayout>
      </c:layout>
      <c:overlay val="0"/>
      <c:spPr>
        <a:solidFill>
          <a:srgbClr val="FFFFFF"/>
        </a:solidFill>
        <a:ln w="3175">
          <a:noFill/>
          <a:prstDash val="solid"/>
        </a:ln>
      </c:spPr>
      <c:txPr>
        <a:bodyPr/>
        <a:lstStyle/>
        <a:p>
          <a:pPr>
            <a:defRPr sz="1200" b="0" i="0" strike="noStrike" baseline="0">
              <a:solidFill>
                <a:srgbClr val="003350"/>
              </a:solidFill>
              <a:latin typeface="Arial" pitchFamily="34" charset="0"/>
              <a:ea typeface="Arial Narrow"/>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9194800</xdr:colOff>
      <xdr:row>0</xdr:row>
      <xdr:rowOff>0</xdr:rowOff>
    </xdr:from>
    <xdr:to>
      <xdr:col>3</xdr:col>
      <xdr:colOff>297567</xdr:colOff>
      <xdr:row>7</xdr:row>
      <xdr:rowOff>5217</xdr:rowOff>
    </xdr:to>
    <xdr:pic>
      <xdr:nvPicPr>
        <xdr:cNvPr id="2" name="Picture 1">
          <a:extLst>
            <a:ext uri="{FF2B5EF4-FFF2-40B4-BE49-F238E27FC236}">
              <a16:creationId xmlns:a16="http://schemas.microsoft.com/office/drawing/2014/main" id="{116917C0-9A65-4528-B197-94CDF9C58B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72600" y="0"/>
          <a:ext cx="1203500" cy="1190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695325</xdr:colOff>
      <xdr:row>0</xdr:row>
      <xdr:rowOff>0</xdr:rowOff>
    </xdr:from>
    <xdr:to>
      <xdr:col>12</xdr:col>
      <xdr:colOff>199831</xdr:colOff>
      <xdr:row>6</xdr:row>
      <xdr:rowOff>119063</xdr:rowOff>
    </xdr:to>
    <xdr:pic>
      <xdr:nvPicPr>
        <xdr:cNvPr id="2" name="Picture 1">
          <a:extLst>
            <a:ext uri="{FF2B5EF4-FFF2-40B4-BE49-F238E27FC236}">
              <a16:creationId xmlns:a16="http://schemas.microsoft.com/office/drawing/2014/main" id="{64F69536-9759-4C0A-83E9-6E588F5BD95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53800" y="0"/>
          <a:ext cx="1257106" cy="1147763"/>
        </a:xfrm>
        <a:prstGeom prst="rect">
          <a:avLst/>
        </a:prstGeom>
      </xdr:spPr>
    </xdr:pic>
    <xdr:clientData/>
  </xdr:twoCellAnchor>
  <xdr:twoCellAnchor editAs="oneCell">
    <xdr:from>
      <xdr:col>0</xdr:col>
      <xdr:colOff>160338</xdr:colOff>
      <xdr:row>24</xdr:row>
      <xdr:rowOff>14288</xdr:rowOff>
    </xdr:from>
    <xdr:to>
      <xdr:col>5</xdr:col>
      <xdr:colOff>1435916</xdr:colOff>
      <xdr:row>32</xdr:row>
      <xdr:rowOff>425321</xdr:rowOff>
    </xdr:to>
    <xdr:pic>
      <xdr:nvPicPr>
        <xdr:cNvPr id="3" name="Picture 2">
          <a:extLst>
            <a:ext uri="{FF2B5EF4-FFF2-40B4-BE49-F238E27FC236}">
              <a16:creationId xmlns:a16="http://schemas.microsoft.com/office/drawing/2014/main" id="{B0191E34-3C47-4415-8979-0E1C02E9E241}"/>
            </a:ext>
          </a:extLst>
        </xdr:cNvPr>
        <xdr:cNvPicPr>
          <a:picLocks noChangeAspect="1"/>
        </xdr:cNvPicPr>
      </xdr:nvPicPr>
      <xdr:blipFill rotWithShape="1">
        <a:blip xmlns:r="http://schemas.openxmlformats.org/officeDocument/2006/relationships" r:embed="rId2"/>
        <a:srcRect t="1305"/>
        <a:stretch/>
      </xdr:blipFill>
      <xdr:spPr>
        <a:xfrm>
          <a:off x="160338" y="5557838"/>
          <a:ext cx="6371453" cy="3106608"/>
        </a:xfrm>
        <a:prstGeom prst="rect">
          <a:avLst/>
        </a:prstGeom>
      </xdr:spPr>
    </xdr:pic>
    <xdr:clientData/>
  </xdr:twoCellAnchor>
  <xdr:twoCellAnchor editAs="oneCell">
    <xdr:from>
      <xdr:col>0</xdr:col>
      <xdr:colOff>152400</xdr:colOff>
      <xdr:row>19</xdr:row>
      <xdr:rowOff>342900</xdr:rowOff>
    </xdr:from>
    <xdr:to>
      <xdr:col>6</xdr:col>
      <xdr:colOff>994566</xdr:colOff>
      <xdr:row>23</xdr:row>
      <xdr:rowOff>68262</xdr:rowOff>
    </xdr:to>
    <xdr:pic>
      <xdr:nvPicPr>
        <xdr:cNvPr id="4" name="Picture 3">
          <a:extLst>
            <a:ext uri="{FF2B5EF4-FFF2-40B4-BE49-F238E27FC236}">
              <a16:creationId xmlns:a16="http://schemas.microsoft.com/office/drawing/2014/main" id="{2160F076-E8A4-49B1-B78B-1CE044205E66}"/>
            </a:ext>
          </a:extLst>
        </xdr:cNvPr>
        <xdr:cNvPicPr>
          <a:picLocks noChangeAspect="1"/>
        </xdr:cNvPicPr>
      </xdr:nvPicPr>
      <xdr:blipFill rotWithShape="1">
        <a:blip xmlns:r="http://schemas.openxmlformats.org/officeDocument/2006/relationships" r:embed="rId3"/>
        <a:srcRect b="84199"/>
        <a:stretch/>
      </xdr:blipFill>
      <xdr:spPr>
        <a:xfrm>
          <a:off x="152400" y="4591050"/>
          <a:ext cx="7433466" cy="820737"/>
        </a:xfrm>
        <a:prstGeom prst="rect">
          <a:avLst/>
        </a:prstGeom>
      </xdr:spPr>
    </xdr:pic>
    <xdr:clientData/>
  </xdr:twoCellAnchor>
  <xdr:twoCellAnchor>
    <xdr:from>
      <xdr:col>1</xdr:col>
      <xdr:colOff>22225</xdr:colOff>
      <xdr:row>23</xdr:row>
      <xdr:rowOff>166687</xdr:rowOff>
    </xdr:from>
    <xdr:to>
      <xdr:col>9</xdr:col>
      <xdr:colOff>1073056</xdr:colOff>
      <xdr:row>35</xdr:row>
      <xdr:rowOff>131310</xdr:rowOff>
    </xdr:to>
    <xdr:grpSp>
      <xdr:nvGrpSpPr>
        <xdr:cNvPr id="5" name="Group 4">
          <a:extLst>
            <a:ext uri="{FF2B5EF4-FFF2-40B4-BE49-F238E27FC236}">
              <a16:creationId xmlns:a16="http://schemas.microsoft.com/office/drawing/2014/main" id="{E4C42634-D59F-401A-B4DA-731CCE1EC41E}"/>
            </a:ext>
          </a:extLst>
        </xdr:cNvPr>
        <xdr:cNvGrpSpPr/>
      </xdr:nvGrpSpPr>
      <xdr:grpSpPr>
        <a:xfrm>
          <a:off x="292100" y="5453062"/>
          <a:ext cx="10171019" cy="4084186"/>
          <a:chOff x="330279" y="6085377"/>
          <a:chExt cx="10355719" cy="4090315"/>
        </a:xfrm>
      </xdr:grpSpPr>
      <xdr:cxnSp macro="">
        <xdr:nvCxnSpPr>
          <xdr:cNvPr id="6" name="Straight Arrow Connector 5">
            <a:extLst>
              <a:ext uri="{FF2B5EF4-FFF2-40B4-BE49-F238E27FC236}">
                <a16:creationId xmlns:a16="http://schemas.microsoft.com/office/drawing/2014/main" id="{B1F8F525-F450-26D7-C4D3-F32504EF5C43}"/>
              </a:ext>
            </a:extLst>
          </xdr:cNvPr>
          <xdr:cNvCxnSpPr/>
        </xdr:nvCxnSpPr>
        <xdr:spPr>
          <a:xfrm flipH="1" flipV="1">
            <a:off x="4788248" y="7818230"/>
            <a:ext cx="2823615" cy="1585713"/>
          </a:xfrm>
          <a:prstGeom prst="straightConnector1">
            <a:avLst/>
          </a:prstGeom>
          <a:ln w="19050">
            <a:solidFill>
              <a:schemeClr val="tx1"/>
            </a:solidFill>
            <a:headEnd type="non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 name="TextBox 6">
            <a:extLst>
              <a:ext uri="{FF2B5EF4-FFF2-40B4-BE49-F238E27FC236}">
                <a16:creationId xmlns:a16="http://schemas.microsoft.com/office/drawing/2014/main" id="{A763A097-6A53-4EF2-EFC6-9D81F79C18B9}"/>
              </a:ext>
            </a:extLst>
          </xdr:cNvPr>
          <xdr:cNvSpPr txBox="1"/>
        </xdr:nvSpPr>
        <xdr:spPr>
          <a:xfrm>
            <a:off x="7491704" y="9056778"/>
            <a:ext cx="3180703" cy="8334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1" i="1">
                <a:solidFill>
                  <a:srgbClr val="005090"/>
                </a:solidFill>
                <a:latin typeface="Arial" pitchFamily="34" charset="0"/>
                <a:cs typeface="Arial" pitchFamily="34" charset="0"/>
              </a:rPr>
              <a:t>The light blue dots </a:t>
            </a:r>
            <a:r>
              <a:rPr lang="en-GB" sz="1100" b="1" i="1" baseline="0">
                <a:solidFill>
                  <a:srgbClr val="005090"/>
                </a:solidFill>
                <a:latin typeface="Arial" pitchFamily="34" charset="0"/>
                <a:cs typeface="Arial" pitchFamily="34" charset="0"/>
              </a:rPr>
              <a:t>show the England-level  average adjusted health gain (the mid point of the dot represents the exact score).</a:t>
            </a:r>
            <a:endParaRPr lang="en-GB" sz="1100" b="1" i="1">
              <a:solidFill>
                <a:srgbClr val="005090"/>
              </a:solidFill>
              <a:latin typeface="Arial" pitchFamily="34" charset="0"/>
              <a:cs typeface="Arial" pitchFamily="34" charset="0"/>
            </a:endParaRPr>
          </a:p>
        </xdr:txBody>
      </xdr:sp>
      <xdr:cxnSp macro="">
        <xdr:nvCxnSpPr>
          <xdr:cNvPr id="8" name="Straight Arrow Connector 7">
            <a:extLst>
              <a:ext uri="{FF2B5EF4-FFF2-40B4-BE49-F238E27FC236}">
                <a16:creationId xmlns:a16="http://schemas.microsoft.com/office/drawing/2014/main" id="{815C5B94-CDAC-BFE7-1A36-B75FEC9895F0}"/>
              </a:ext>
            </a:extLst>
          </xdr:cNvPr>
          <xdr:cNvCxnSpPr/>
        </xdr:nvCxnSpPr>
        <xdr:spPr>
          <a:xfrm flipH="1">
            <a:off x="5357547" y="7711015"/>
            <a:ext cx="2719977" cy="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 name="TextBox 8">
            <a:extLst>
              <a:ext uri="{FF2B5EF4-FFF2-40B4-BE49-F238E27FC236}">
                <a16:creationId xmlns:a16="http://schemas.microsoft.com/office/drawing/2014/main" id="{4A0C5CF0-2C85-EF64-D5E6-321F3A5BFE85}"/>
              </a:ext>
            </a:extLst>
          </xdr:cNvPr>
          <xdr:cNvSpPr txBox="1"/>
        </xdr:nvSpPr>
        <xdr:spPr>
          <a:xfrm>
            <a:off x="7436903" y="7033841"/>
            <a:ext cx="3173039" cy="19959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1" i="1">
                <a:solidFill>
                  <a:srgbClr val="005090"/>
                </a:solidFill>
                <a:latin typeface="Arial" pitchFamily="34" charset="0"/>
                <a:cs typeface="Arial" pitchFamily="34" charset="0"/>
              </a:rPr>
              <a:t>The dark grey bars show the average</a:t>
            </a:r>
            <a:r>
              <a:rPr lang="en-GB" sz="1100" b="1" i="1" baseline="0">
                <a:solidFill>
                  <a:srgbClr val="005090"/>
                </a:solidFill>
                <a:latin typeface="Arial" pitchFamily="34" charset="0"/>
                <a:cs typeface="Arial" pitchFamily="34" charset="0"/>
              </a:rPr>
              <a:t> adjusted health gain for the selected organisation.  If the dot  lies  inside the bar, then the organisation  has  a higher average health gain than the England-level , though this difference may not be statistically significant. Conversely, if the dot lies outside the bar, the organisation has a lower adjusted average health gain than for England overall.</a:t>
            </a:r>
            <a:endParaRPr lang="en-GB" sz="1100" b="1" i="1">
              <a:solidFill>
                <a:srgbClr val="005090"/>
              </a:solidFill>
              <a:latin typeface="Arial" pitchFamily="34" charset="0"/>
              <a:cs typeface="Arial" pitchFamily="34" charset="0"/>
            </a:endParaRPr>
          </a:p>
        </xdr:txBody>
      </xdr:sp>
      <xdr:cxnSp macro="">
        <xdr:nvCxnSpPr>
          <xdr:cNvPr id="10" name="Straight Arrow Connector 9">
            <a:extLst>
              <a:ext uri="{FF2B5EF4-FFF2-40B4-BE49-F238E27FC236}">
                <a16:creationId xmlns:a16="http://schemas.microsoft.com/office/drawing/2014/main" id="{DDA6C84F-AC04-4621-BFEB-34E74C59B329}"/>
              </a:ext>
            </a:extLst>
          </xdr:cNvPr>
          <xdr:cNvCxnSpPr/>
        </xdr:nvCxnSpPr>
        <xdr:spPr>
          <a:xfrm flipH="1" flipV="1">
            <a:off x="6548789" y="6645390"/>
            <a:ext cx="1912317" cy="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TextBox 10">
            <a:extLst>
              <a:ext uri="{FF2B5EF4-FFF2-40B4-BE49-F238E27FC236}">
                <a16:creationId xmlns:a16="http://schemas.microsoft.com/office/drawing/2014/main" id="{0CE88080-051D-47CD-0716-E1A0D5A6FE65}"/>
              </a:ext>
            </a:extLst>
          </xdr:cNvPr>
          <xdr:cNvSpPr txBox="1"/>
        </xdr:nvSpPr>
        <xdr:spPr>
          <a:xfrm>
            <a:off x="7412706" y="6085377"/>
            <a:ext cx="3273292" cy="9996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1" i="1">
                <a:solidFill>
                  <a:srgbClr val="005090"/>
                </a:solidFill>
                <a:latin typeface="Arial" pitchFamily="34" charset="0"/>
                <a:cs typeface="Arial" pitchFamily="34" charset="0"/>
              </a:rPr>
              <a:t>Figure</a:t>
            </a:r>
            <a:r>
              <a:rPr lang="en-GB" sz="1100" b="1" i="1" baseline="0">
                <a:solidFill>
                  <a:srgbClr val="005090"/>
                </a:solidFill>
                <a:latin typeface="Arial" pitchFamily="34" charset="0"/>
                <a:cs typeface="Arial" pitchFamily="34" charset="0"/>
              </a:rPr>
              <a:t> title shows the measure  being charted: note that  each chart has a different horizontal scale, as the  underlying measures have different ranges.</a:t>
            </a:r>
            <a:endParaRPr lang="en-GB" sz="1100" b="1" i="1">
              <a:solidFill>
                <a:srgbClr val="005090"/>
              </a:solidFill>
              <a:latin typeface="Arial" pitchFamily="34" charset="0"/>
              <a:cs typeface="Arial" pitchFamily="34" charset="0"/>
            </a:endParaRPr>
          </a:p>
        </xdr:txBody>
      </xdr:sp>
      <xdr:sp macro="" textlink="">
        <xdr:nvSpPr>
          <xdr:cNvPr id="12" name="TextBox 11">
            <a:extLst>
              <a:ext uri="{FF2B5EF4-FFF2-40B4-BE49-F238E27FC236}">
                <a16:creationId xmlns:a16="http://schemas.microsoft.com/office/drawing/2014/main" id="{7921B3EF-D90B-B183-64BE-CE55FB3709E6}"/>
              </a:ext>
            </a:extLst>
          </xdr:cNvPr>
          <xdr:cNvSpPr txBox="1"/>
        </xdr:nvSpPr>
        <xdr:spPr>
          <a:xfrm>
            <a:off x="330279" y="9346448"/>
            <a:ext cx="3119781" cy="8292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1" i="1">
                <a:solidFill>
                  <a:srgbClr val="005090"/>
                </a:solidFill>
                <a:latin typeface="Arial" pitchFamily="34" charset="0"/>
                <a:cs typeface="Arial" pitchFamily="34" charset="0"/>
              </a:rPr>
              <a:t>The count of modelled records on which the adjusted</a:t>
            </a:r>
            <a:r>
              <a:rPr lang="en-GB" sz="1100" b="1" i="1" baseline="0">
                <a:solidFill>
                  <a:srgbClr val="005090"/>
                </a:solidFill>
                <a:latin typeface="Arial" pitchFamily="34" charset="0"/>
                <a:cs typeface="Arial" pitchFamily="34" charset="0"/>
              </a:rPr>
              <a:t> average health gain for the selected organisation are based are given in parentheses.</a:t>
            </a:r>
            <a:endParaRPr lang="en-GB" sz="1100" b="1" i="1">
              <a:solidFill>
                <a:srgbClr val="005090"/>
              </a:solidFill>
              <a:latin typeface="Arial" pitchFamily="34" charset="0"/>
              <a:cs typeface="Arial" pitchFamily="34"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18</xdr:row>
      <xdr:rowOff>23811</xdr:rowOff>
    </xdr:from>
    <xdr:ext cx="7560000" cy="3478326"/>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xdr:col>
      <xdr:colOff>1472</xdr:colOff>
      <xdr:row>32</xdr:row>
      <xdr:rowOff>183122</xdr:rowOff>
    </xdr:from>
    <xdr:ext cx="7562966" cy="3557025"/>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xdr:col>
      <xdr:colOff>6350</xdr:colOff>
      <xdr:row>52</xdr:row>
      <xdr:rowOff>148317</xdr:rowOff>
    </xdr:from>
    <xdr:ext cx="7563502" cy="4270376"/>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twoCellAnchor editAs="oneCell">
    <xdr:from>
      <xdr:col>7</xdr:col>
      <xdr:colOff>1114425</xdr:colOff>
      <xdr:row>0</xdr:row>
      <xdr:rowOff>0</xdr:rowOff>
    </xdr:from>
    <xdr:to>
      <xdr:col>8</xdr:col>
      <xdr:colOff>228406</xdr:colOff>
      <xdr:row>6</xdr:row>
      <xdr:rowOff>33338</xdr:rowOff>
    </xdr:to>
    <xdr:pic>
      <xdr:nvPicPr>
        <xdr:cNvPr id="5" name="Picture 4">
          <a:extLst>
            <a:ext uri="{FF2B5EF4-FFF2-40B4-BE49-F238E27FC236}">
              <a16:creationId xmlns:a16="http://schemas.microsoft.com/office/drawing/2014/main" id="{24A22F90-472F-498A-BD56-6A3171791C8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72750" y="0"/>
          <a:ext cx="1257106" cy="11477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161925</xdr:colOff>
      <xdr:row>0</xdr:row>
      <xdr:rowOff>0</xdr:rowOff>
    </xdr:from>
    <xdr:to>
      <xdr:col>14</xdr:col>
      <xdr:colOff>266506</xdr:colOff>
      <xdr:row>5</xdr:row>
      <xdr:rowOff>14288</xdr:rowOff>
    </xdr:to>
    <xdr:pic>
      <xdr:nvPicPr>
        <xdr:cNvPr id="2" name="Picture 1">
          <a:extLst>
            <a:ext uri="{FF2B5EF4-FFF2-40B4-BE49-F238E27FC236}">
              <a16:creationId xmlns:a16="http://schemas.microsoft.com/office/drawing/2014/main" id="{3E7922C9-CA03-4807-B785-9E8A6837983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78025" y="0"/>
          <a:ext cx="1257106" cy="11477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19050</xdr:colOff>
      <xdr:row>0</xdr:row>
      <xdr:rowOff>0</xdr:rowOff>
    </xdr:from>
    <xdr:to>
      <xdr:col>14</xdr:col>
      <xdr:colOff>225426</xdr:colOff>
      <xdr:row>4</xdr:row>
      <xdr:rowOff>92867</xdr:rowOff>
    </xdr:to>
    <xdr:pic>
      <xdr:nvPicPr>
        <xdr:cNvPr id="2" name="Picture 1">
          <a:extLst>
            <a:ext uri="{FF2B5EF4-FFF2-40B4-BE49-F238E27FC236}">
              <a16:creationId xmlns:a16="http://schemas.microsoft.com/office/drawing/2014/main" id="{7366A23E-9FBC-4802-A352-C438948E3D8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87400" y="0"/>
          <a:ext cx="1263651" cy="10548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57150</xdr:colOff>
      <xdr:row>0</xdr:row>
      <xdr:rowOff>0</xdr:rowOff>
    </xdr:from>
    <xdr:to>
      <xdr:col>14</xdr:col>
      <xdr:colOff>254001</xdr:colOff>
      <xdr:row>4</xdr:row>
      <xdr:rowOff>92867</xdr:rowOff>
    </xdr:to>
    <xdr:pic>
      <xdr:nvPicPr>
        <xdr:cNvPr id="2" name="Picture 1">
          <a:extLst>
            <a:ext uri="{FF2B5EF4-FFF2-40B4-BE49-F238E27FC236}">
              <a16:creationId xmlns:a16="http://schemas.microsoft.com/office/drawing/2014/main" id="{41F13DE6-3B03-4D32-BCAB-6CBF519639D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44550" y="0"/>
          <a:ext cx="1263651" cy="10548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98612</xdr:colOff>
      <xdr:row>0</xdr:row>
      <xdr:rowOff>0</xdr:rowOff>
    </xdr:from>
    <xdr:to>
      <xdr:col>10</xdr:col>
      <xdr:colOff>232710</xdr:colOff>
      <xdr:row>4</xdr:row>
      <xdr:rowOff>95668</xdr:rowOff>
    </xdr:to>
    <xdr:pic>
      <xdr:nvPicPr>
        <xdr:cNvPr id="2" name="Picture 1">
          <a:extLst>
            <a:ext uri="{FF2B5EF4-FFF2-40B4-BE49-F238E27FC236}">
              <a16:creationId xmlns:a16="http://schemas.microsoft.com/office/drawing/2014/main" id="{93C50ED3-2B9F-4BC5-AD77-CF7323EA433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0518" y="0"/>
          <a:ext cx="1263651" cy="10548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476249</xdr:colOff>
      <xdr:row>12</xdr:row>
      <xdr:rowOff>35720</xdr:rowOff>
    </xdr:from>
    <xdr:to>
      <xdr:col>7</xdr:col>
      <xdr:colOff>5165230</xdr:colOff>
      <xdr:row>23</xdr:row>
      <xdr:rowOff>25295</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4381500</xdr:colOff>
      <xdr:row>0</xdr:row>
      <xdr:rowOff>0</xdr:rowOff>
    </xdr:from>
    <xdr:to>
      <xdr:col>8</xdr:col>
      <xdr:colOff>292101</xdr:colOff>
      <xdr:row>4</xdr:row>
      <xdr:rowOff>92867</xdr:rowOff>
    </xdr:to>
    <xdr:pic>
      <xdr:nvPicPr>
        <xdr:cNvPr id="3" name="Picture 2">
          <a:extLst>
            <a:ext uri="{FF2B5EF4-FFF2-40B4-BE49-F238E27FC236}">
              <a16:creationId xmlns:a16="http://schemas.microsoft.com/office/drawing/2014/main" id="{A22B4C81-842F-453B-8207-6369276FD43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20750" y="0"/>
          <a:ext cx="1263651" cy="10548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76200</xdr:colOff>
      <xdr:row>0</xdr:row>
      <xdr:rowOff>0</xdr:rowOff>
    </xdr:from>
    <xdr:to>
      <xdr:col>11</xdr:col>
      <xdr:colOff>273051</xdr:colOff>
      <xdr:row>4</xdr:row>
      <xdr:rowOff>92867</xdr:rowOff>
    </xdr:to>
    <xdr:pic>
      <xdr:nvPicPr>
        <xdr:cNvPr id="2" name="Picture 1">
          <a:extLst>
            <a:ext uri="{FF2B5EF4-FFF2-40B4-BE49-F238E27FC236}">
              <a16:creationId xmlns:a16="http://schemas.microsoft.com/office/drawing/2014/main" id="{7862F2D0-80EF-4786-91B9-14B7581C027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35075" y="0"/>
          <a:ext cx="1263651" cy="10548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2/SUSProgramme/SusHesAnalysis/proms/Shared%20Documents/PROMs%20Service/Monthly%20Performance/Excel/Chart%20data%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wheatlb\AppData\Local\Microsoft\Windows\Temporary%20Internet%20Files\Content.Outlook\B5L36LIH\Master%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TRICTED"/>
      <sheetName val="Hip"/>
      <sheetName val="Knee"/>
    </sheetNames>
    <sheetDataSet>
      <sheetData sheetId="0"/>
      <sheetData sheetId="1">
        <row r="1">
          <cell r="A1" t="str">
            <v>Period</v>
          </cell>
          <cell r="B1" t="str">
            <v>Data</v>
          </cell>
        </row>
        <row r="2">
          <cell r="A2" t="str">
            <v>2012/13</v>
          </cell>
          <cell r="B2">
            <v>20.628484275822025</v>
          </cell>
        </row>
        <row r="3">
          <cell r="A3" t="str">
            <v>2013/14</v>
          </cell>
          <cell r="B3">
            <v>20.756539190585901</v>
          </cell>
        </row>
        <row r="4">
          <cell r="A4" t="str">
            <v>2014/15</v>
          </cell>
          <cell r="B4">
            <v>20.917863636363599</v>
          </cell>
        </row>
        <row r="5">
          <cell r="A5" t="str">
            <v>2015/16</v>
          </cell>
          <cell r="B5">
            <v>21.147199000000001</v>
          </cell>
        </row>
        <row r="6">
          <cell r="A6" t="str">
            <v>2016/17</v>
          </cell>
          <cell r="B6">
            <v>21.382000000000001</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Line Chart"/>
      <sheetName val="Multi-series Line Chart"/>
      <sheetName val="Column Chart"/>
      <sheetName val="H Bar Chart"/>
      <sheetName val="Stacked TS"/>
      <sheetName val="HeatChart"/>
      <sheetName val="Area Chart or Column"/>
      <sheetName val="Donut &amp; Pie"/>
      <sheetName val="Scatterplot"/>
      <sheetName val="Line Chart 2"/>
      <sheetName val="Control"/>
    </sheetNames>
    <sheetDataSet>
      <sheetData sheetId="0"/>
      <sheetData sheetId="1"/>
      <sheetData sheetId="2">
        <row r="1">
          <cell r="A1" t="str">
            <v>Period</v>
          </cell>
          <cell r="B1" t="str">
            <v>Main Item</v>
          </cell>
          <cell r="C1" t="str">
            <v>Item 2</v>
          </cell>
          <cell r="D1" t="str">
            <v>Item 3</v>
          </cell>
          <cell r="E1" t="str">
            <v>Item 4</v>
          </cell>
          <cell r="F1" t="str">
            <v>Item 5</v>
          </cell>
          <cell r="G1" t="str">
            <v>Item 6</v>
          </cell>
          <cell r="H1" t="str">
            <v>Item 7</v>
          </cell>
          <cell r="I1" t="str">
            <v>Item 8</v>
          </cell>
          <cell r="J1" t="str">
            <v>Item 9</v>
          </cell>
          <cell r="K1" t="str">
            <v>Item 10</v>
          </cell>
          <cell r="L1" t="str">
            <v>Item 11</v>
          </cell>
          <cell r="M1" t="str">
            <v>Item 12</v>
          </cell>
          <cell r="N1" t="str">
            <v>Item 13</v>
          </cell>
          <cell r="O1" t="str">
            <v>Item 14</v>
          </cell>
          <cell r="P1" t="str">
            <v>Item 15</v>
          </cell>
        </row>
        <row r="2">
          <cell r="A2">
            <v>40391</v>
          </cell>
          <cell r="B2">
            <v>20730</v>
          </cell>
          <cell r="C2">
            <v>7752</v>
          </cell>
          <cell r="D2">
            <v>16424</v>
          </cell>
          <cell r="E2">
            <v>13459</v>
          </cell>
          <cell r="F2">
            <v>13632</v>
          </cell>
          <cell r="G2">
            <v>12777</v>
          </cell>
          <cell r="H2">
            <v>2889</v>
          </cell>
          <cell r="I2">
            <v>15843</v>
          </cell>
          <cell r="J2">
            <v>2392</v>
          </cell>
          <cell r="K2">
            <v>4020</v>
          </cell>
          <cell r="L2">
            <v>0</v>
          </cell>
          <cell r="M2" t="e">
            <v>#N/A</v>
          </cell>
          <cell r="N2" t="e">
            <v>#N/A</v>
          </cell>
          <cell r="O2" t="e">
            <v>#N/A</v>
          </cell>
          <cell r="P2" t="e">
            <v>#N/A</v>
          </cell>
          <cell r="Q2" t="e">
            <v>#N/A</v>
          </cell>
        </row>
        <row r="3">
          <cell r="A3">
            <v>40422</v>
          </cell>
          <cell r="B3">
            <v>22288</v>
          </cell>
          <cell r="C3">
            <v>8348</v>
          </cell>
          <cell r="D3">
            <v>18595</v>
          </cell>
          <cell r="E3">
            <v>14147</v>
          </cell>
          <cell r="F3">
            <v>13012</v>
          </cell>
          <cell r="G3">
            <v>12694</v>
          </cell>
          <cell r="H3">
            <v>3032</v>
          </cell>
          <cell r="I3">
            <v>16950</v>
          </cell>
          <cell r="J3">
            <v>2474</v>
          </cell>
          <cell r="K3">
            <v>4315</v>
          </cell>
          <cell r="L3">
            <v>0</v>
          </cell>
        </row>
        <row r="4">
          <cell r="A4">
            <v>40452</v>
          </cell>
          <cell r="B4">
            <v>21253</v>
          </cell>
          <cell r="C4">
            <v>8453</v>
          </cell>
          <cell r="D4">
            <v>17933</v>
          </cell>
          <cell r="E4">
            <v>15019</v>
          </cell>
          <cell r="F4">
            <v>13196</v>
          </cell>
          <cell r="G4">
            <v>12374</v>
          </cell>
          <cell r="H4">
            <v>3092</v>
          </cell>
          <cell r="I4">
            <v>16207</v>
          </cell>
          <cell r="J4">
            <v>1726</v>
          </cell>
          <cell r="K4">
            <v>3993</v>
          </cell>
          <cell r="L4">
            <v>0</v>
          </cell>
        </row>
        <row r="5">
          <cell r="A5">
            <v>40483</v>
          </cell>
          <cell r="B5">
            <v>20023</v>
          </cell>
          <cell r="C5">
            <v>8688</v>
          </cell>
          <cell r="D5">
            <v>19617</v>
          </cell>
          <cell r="E5">
            <v>14692</v>
          </cell>
          <cell r="F5">
            <v>13449</v>
          </cell>
          <cell r="G5">
            <v>11153</v>
          </cell>
          <cell r="H5">
            <v>2955</v>
          </cell>
          <cell r="I5">
            <v>16384</v>
          </cell>
          <cell r="J5">
            <v>1742</v>
          </cell>
          <cell r="K5">
            <v>4388</v>
          </cell>
          <cell r="L5">
            <v>0</v>
          </cell>
        </row>
        <row r="6">
          <cell r="A6">
            <v>40513</v>
          </cell>
          <cell r="B6">
            <v>20754</v>
          </cell>
          <cell r="C6">
            <v>8469</v>
          </cell>
          <cell r="D6">
            <v>22361</v>
          </cell>
          <cell r="E6">
            <v>14150</v>
          </cell>
          <cell r="F6">
            <v>13378</v>
          </cell>
          <cell r="G6">
            <v>11768</v>
          </cell>
          <cell r="H6">
            <v>2980</v>
          </cell>
          <cell r="I6">
            <v>16023</v>
          </cell>
          <cell r="J6">
            <v>1746</v>
          </cell>
          <cell r="K6">
            <v>4837</v>
          </cell>
          <cell r="L6">
            <v>0</v>
          </cell>
        </row>
        <row r="7">
          <cell r="A7">
            <v>40544</v>
          </cell>
          <cell r="B7">
            <v>21218</v>
          </cell>
          <cell r="C7">
            <v>7748</v>
          </cell>
          <cell r="D7">
            <v>22581</v>
          </cell>
          <cell r="E7">
            <v>14169</v>
          </cell>
          <cell r="F7">
            <v>12339</v>
          </cell>
          <cell r="G7">
            <v>11304</v>
          </cell>
          <cell r="H7">
            <v>2787</v>
          </cell>
          <cell r="I7">
            <v>15405</v>
          </cell>
          <cell r="J7">
            <v>1948</v>
          </cell>
          <cell r="K7">
            <v>4847</v>
          </cell>
          <cell r="L7">
            <v>0</v>
          </cell>
        </row>
        <row r="8">
          <cell r="A8">
            <v>40575</v>
          </cell>
          <cell r="B8">
            <v>21160</v>
          </cell>
          <cell r="C8">
            <v>7608</v>
          </cell>
          <cell r="D8">
            <v>21018</v>
          </cell>
          <cell r="E8">
            <v>14883</v>
          </cell>
          <cell r="F8">
            <v>11542</v>
          </cell>
          <cell r="G8">
            <v>12020</v>
          </cell>
          <cell r="H8">
            <v>3257</v>
          </cell>
          <cell r="I8">
            <v>14276</v>
          </cell>
          <cell r="J8">
            <v>2223</v>
          </cell>
          <cell r="K8">
            <v>4399</v>
          </cell>
          <cell r="L8">
            <v>0</v>
          </cell>
        </row>
        <row r="9">
          <cell r="A9">
            <v>40603</v>
          </cell>
          <cell r="B9">
            <v>22769</v>
          </cell>
          <cell r="C9">
            <v>9018</v>
          </cell>
          <cell r="D9">
            <v>22516</v>
          </cell>
          <cell r="E9">
            <v>14842</v>
          </cell>
          <cell r="F9">
            <v>12647</v>
          </cell>
          <cell r="G9">
            <v>13868</v>
          </cell>
          <cell r="H9">
            <v>3725</v>
          </cell>
          <cell r="I9">
            <v>16268</v>
          </cell>
          <cell r="J9">
            <v>2679</v>
          </cell>
          <cell r="K9">
            <v>4798</v>
          </cell>
          <cell r="L9">
            <v>0</v>
          </cell>
        </row>
        <row r="10">
          <cell r="A10">
            <v>40634</v>
          </cell>
          <cell r="B10">
            <v>19327</v>
          </cell>
          <cell r="C10">
            <v>7237</v>
          </cell>
          <cell r="D10">
            <v>21015</v>
          </cell>
          <cell r="E10">
            <v>12503</v>
          </cell>
          <cell r="F10">
            <v>11209</v>
          </cell>
          <cell r="G10">
            <v>11812</v>
          </cell>
          <cell r="H10">
            <v>3203</v>
          </cell>
          <cell r="I10">
            <v>14578</v>
          </cell>
          <cell r="J10">
            <v>2149</v>
          </cell>
          <cell r="K10">
            <v>5031</v>
          </cell>
          <cell r="L10">
            <v>0</v>
          </cell>
        </row>
        <row r="11">
          <cell r="A11">
            <v>40664</v>
          </cell>
          <cell r="B11">
            <v>20825</v>
          </cell>
          <cell r="C11">
            <v>7388</v>
          </cell>
          <cell r="D11">
            <v>21613</v>
          </cell>
          <cell r="E11">
            <v>12917</v>
          </cell>
          <cell r="F11">
            <v>12172</v>
          </cell>
          <cell r="G11">
            <v>12302</v>
          </cell>
          <cell r="H11">
            <v>3662</v>
          </cell>
          <cell r="I11">
            <v>14732</v>
          </cell>
          <cell r="J11">
            <v>2585</v>
          </cell>
          <cell r="K11">
            <v>5168</v>
          </cell>
          <cell r="L11">
            <v>0</v>
          </cell>
        </row>
        <row r="12">
          <cell r="A12">
            <v>40695</v>
          </cell>
          <cell r="B12">
            <v>21963</v>
          </cell>
          <cell r="C12">
            <v>7320</v>
          </cell>
          <cell r="D12">
            <v>22231</v>
          </cell>
          <cell r="E12">
            <v>13161</v>
          </cell>
          <cell r="F12">
            <v>12825</v>
          </cell>
          <cell r="G12">
            <v>12818</v>
          </cell>
          <cell r="H12">
            <v>3871</v>
          </cell>
          <cell r="I12">
            <v>15527</v>
          </cell>
          <cell r="J12">
            <v>2274</v>
          </cell>
          <cell r="K12">
            <v>5085</v>
          </cell>
          <cell r="L12">
            <v>0</v>
          </cell>
        </row>
        <row r="13">
          <cell r="A13">
            <v>40725</v>
          </cell>
          <cell r="B13">
            <v>22487</v>
          </cell>
          <cell r="C13">
            <v>7334</v>
          </cell>
          <cell r="D13">
            <v>20128</v>
          </cell>
          <cell r="E13">
            <v>13912</v>
          </cell>
          <cell r="F13">
            <v>12459</v>
          </cell>
          <cell r="G13">
            <v>13435</v>
          </cell>
          <cell r="H13">
            <v>3827</v>
          </cell>
          <cell r="I13">
            <v>15309</v>
          </cell>
          <cell r="J13">
            <v>2267</v>
          </cell>
          <cell r="K13">
            <v>4359</v>
          </cell>
          <cell r="L13">
            <v>0</v>
          </cell>
        </row>
        <row r="14">
          <cell r="A14">
            <v>40756</v>
          </cell>
          <cell r="B14">
            <v>22609</v>
          </cell>
          <cell r="C14">
            <v>6899</v>
          </cell>
          <cell r="D14">
            <v>20074</v>
          </cell>
          <cell r="E14">
            <v>14154</v>
          </cell>
          <cell r="F14">
            <v>13492</v>
          </cell>
          <cell r="G14">
            <v>12968</v>
          </cell>
          <cell r="H14">
            <v>4044</v>
          </cell>
          <cell r="I14">
            <v>16108</v>
          </cell>
          <cell r="J14">
            <v>2413</v>
          </cell>
          <cell r="K14">
            <v>4536</v>
          </cell>
          <cell r="L14">
            <v>0</v>
          </cell>
        </row>
        <row r="15">
          <cell r="A15">
            <v>40787</v>
          </cell>
          <cell r="B15">
            <v>21979</v>
          </cell>
          <cell r="C15">
            <v>7140</v>
          </cell>
          <cell r="D15">
            <v>20874</v>
          </cell>
          <cell r="E15">
            <v>13487</v>
          </cell>
          <cell r="F15">
            <v>13674</v>
          </cell>
          <cell r="G15">
            <v>12777</v>
          </cell>
          <cell r="H15">
            <v>3805</v>
          </cell>
          <cell r="I15">
            <v>16966</v>
          </cell>
          <cell r="J15">
            <v>2109</v>
          </cell>
          <cell r="K15">
            <v>4383</v>
          </cell>
          <cell r="L15">
            <v>0</v>
          </cell>
        </row>
        <row r="16">
          <cell r="A16">
            <v>40817</v>
          </cell>
          <cell r="B16">
            <v>20642</v>
          </cell>
          <cell r="C16">
            <v>6995</v>
          </cell>
          <cell r="D16">
            <v>22211</v>
          </cell>
          <cell r="E16">
            <v>13690</v>
          </cell>
          <cell r="F16">
            <v>13544</v>
          </cell>
          <cell r="G16">
            <v>12476</v>
          </cell>
          <cell r="H16">
            <v>3594</v>
          </cell>
          <cell r="I16">
            <v>16591</v>
          </cell>
          <cell r="J16">
            <v>2521</v>
          </cell>
          <cell r="K16">
            <v>4614</v>
          </cell>
          <cell r="L16">
            <v>0</v>
          </cell>
        </row>
        <row r="17">
          <cell r="A17">
            <v>40848</v>
          </cell>
          <cell r="B17">
            <v>22077</v>
          </cell>
          <cell r="C17">
            <v>7113</v>
          </cell>
          <cell r="D17">
            <v>21416</v>
          </cell>
          <cell r="E17">
            <v>13751</v>
          </cell>
          <cell r="F17">
            <v>12517</v>
          </cell>
          <cell r="G17">
            <v>11528</v>
          </cell>
          <cell r="H17">
            <v>3603</v>
          </cell>
          <cell r="I17">
            <v>15535</v>
          </cell>
          <cell r="J17">
            <v>2156</v>
          </cell>
          <cell r="K17">
            <v>5009</v>
          </cell>
          <cell r="L17">
            <v>0</v>
          </cell>
        </row>
        <row r="18">
          <cell r="A18">
            <v>40878</v>
          </cell>
          <cell r="B18">
            <v>22030</v>
          </cell>
          <cell r="C18">
            <v>6395</v>
          </cell>
          <cell r="D18">
            <v>21212</v>
          </cell>
          <cell r="E18">
            <v>13793</v>
          </cell>
          <cell r="F18">
            <v>12980</v>
          </cell>
          <cell r="G18">
            <v>10404</v>
          </cell>
          <cell r="H18">
            <v>3123</v>
          </cell>
          <cell r="I18">
            <v>15382</v>
          </cell>
          <cell r="J18">
            <v>1997</v>
          </cell>
          <cell r="K18">
            <v>4780</v>
          </cell>
          <cell r="L18">
            <v>0</v>
          </cell>
        </row>
        <row r="19">
          <cell r="A19">
            <v>40909</v>
          </cell>
          <cell r="B19">
            <v>21936</v>
          </cell>
          <cell r="C19">
            <v>5775</v>
          </cell>
          <cell r="D19">
            <v>24646</v>
          </cell>
          <cell r="E19">
            <v>14207</v>
          </cell>
          <cell r="F19">
            <v>11151</v>
          </cell>
          <cell r="G19">
            <v>10628</v>
          </cell>
          <cell r="H19">
            <v>3222</v>
          </cell>
          <cell r="I19">
            <v>14256</v>
          </cell>
          <cell r="J19">
            <v>1571</v>
          </cell>
          <cell r="K19">
            <v>4542</v>
          </cell>
          <cell r="L19">
            <v>0</v>
          </cell>
        </row>
        <row r="20">
          <cell r="A20">
            <v>40940</v>
          </cell>
          <cell r="B20">
            <v>20257</v>
          </cell>
          <cell r="C20">
            <v>5925</v>
          </cell>
          <cell r="D20">
            <v>24116</v>
          </cell>
          <cell r="E20">
            <v>13442</v>
          </cell>
          <cell r="F20">
            <v>11909</v>
          </cell>
          <cell r="G20">
            <v>10162</v>
          </cell>
          <cell r="H20">
            <v>3390</v>
          </cell>
          <cell r="I20">
            <v>14867</v>
          </cell>
          <cell r="J20">
            <v>1783</v>
          </cell>
          <cell r="K20">
            <v>3681</v>
          </cell>
          <cell r="L20">
            <v>0</v>
          </cell>
        </row>
        <row r="21">
          <cell r="A21">
            <v>40969</v>
          </cell>
          <cell r="B21">
            <v>21322</v>
          </cell>
          <cell r="C21">
            <v>6852</v>
          </cell>
          <cell r="D21">
            <v>25630</v>
          </cell>
          <cell r="E21">
            <v>14578</v>
          </cell>
          <cell r="F21">
            <v>12533</v>
          </cell>
          <cell r="G21">
            <v>12606</v>
          </cell>
          <cell r="H21">
            <v>3504</v>
          </cell>
          <cell r="I21">
            <v>16589</v>
          </cell>
          <cell r="J21">
            <v>2052</v>
          </cell>
          <cell r="K21">
            <v>4070</v>
          </cell>
          <cell r="L21">
            <v>0</v>
          </cell>
        </row>
        <row r="22">
          <cell r="A22">
            <v>41000</v>
          </cell>
          <cell r="B22">
            <v>21183</v>
          </cell>
          <cell r="C22">
            <v>6406</v>
          </cell>
          <cell r="D22">
            <v>20983</v>
          </cell>
          <cell r="E22">
            <v>13354</v>
          </cell>
          <cell r="F22">
            <v>11460</v>
          </cell>
          <cell r="G22">
            <v>10957</v>
          </cell>
          <cell r="H22">
            <v>3275</v>
          </cell>
          <cell r="I22">
            <v>14277</v>
          </cell>
          <cell r="J22">
            <v>1959</v>
          </cell>
          <cell r="K22">
            <v>4628</v>
          </cell>
          <cell r="L22">
            <v>0</v>
          </cell>
        </row>
        <row r="23">
          <cell r="A23">
            <v>41030</v>
          </cell>
          <cell r="B23">
            <v>22611</v>
          </cell>
          <cell r="C23">
            <v>6484</v>
          </cell>
          <cell r="D23">
            <v>24620</v>
          </cell>
          <cell r="E23">
            <v>14098</v>
          </cell>
          <cell r="F23">
            <v>13385</v>
          </cell>
          <cell r="G23">
            <v>11417</v>
          </cell>
          <cell r="H23">
            <v>4023</v>
          </cell>
          <cell r="I23">
            <v>15987</v>
          </cell>
          <cell r="J23">
            <v>2298</v>
          </cell>
          <cell r="K23">
            <v>4408</v>
          </cell>
          <cell r="L23">
            <v>0</v>
          </cell>
        </row>
        <row r="24">
          <cell r="A24">
            <v>41061</v>
          </cell>
          <cell r="B24">
            <v>21993</v>
          </cell>
          <cell r="C24">
            <v>5648</v>
          </cell>
          <cell r="D24">
            <v>22291</v>
          </cell>
          <cell r="E24">
            <v>12010</v>
          </cell>
          <cell r="F24">
            <v>12087</v>
          </cell>
          <cell r="G24">
            <v>10893</v>
          </cell>
          <cell r="H24">
            <v>3381</v>
          </cell>
          <cell r="I24">
            <v>15458</v>
          </cell>
          <cell r="J24">
            <v>1953</v>
          </cell>
          <cell r="K24">
            <v>4634</v>
          </cell>
          <cell r="L24">
            <v>0</v>
          </cell>
        </row>
        <row r="25">
          <cell r="A25">
            <v>41091</v>
          </cell>
          <cell r="B25">
            <v>22345</v>
          </cell>
          <cell r="C25">
            <v>5670</v>
          </cell>
          <cell r="D25">
            <v>23509</v>
          </cell>
          <cell r="E25">
            <v>13511</v>
          </cell>
          <cell r="F25">
            <v>12518</v>
          </cell>
          <cell r="G25">
            <v>12065</v>
          </cell>
          <cell r="H25">
            <v>3806</v>
          </cell>
          <cell r="I25">
            <v>17267</v>
          </cell>
          <cell r="J25">
            <v>1887</v>
          </cell>
          <cell r="K25">
            <v>4622</v>
          </cell>
          <cell r="L25">
            <v>0</v>
          </cell>
        </row>
        <row r="26">
          <cell r="A26">
            <v>41122</v>
          </cell>
          <cell r="B26">
            <v>23342</v>
          </cell>
          <cell r="C26">
            <v>5620</v>
          </cell>
          <cell r="D26">
            <v>24098</v>
          </cell>
          <cell r="E26">
            <v>13544</v>
          </cell>
          <cell r="F26">
            <v>12938</v>
          </cell>
          <cell r="G26">
            <v>12403</v>
          </cell>
          <cell r="H26">
            <v>3772</v>
          </cell>
          <cell r="I26">
            <v>17752</v>
          </cell>
          <cell r="J26">
            <v>1570</v>
          </cell>
          <cell r="K26">
            <v>5055</v>
          </cell>
          <cell r="L26">
            <v>0</v>
          </cell>
        </row>
        <row r="27">
          <cell r="A27">
            <v>41153</v>
          </cell>
          <cell r="B27">
            <v>22381</v>
          </cell>
          <cell r="C27">
            <v>5638</v>
          </cell>
          <cell r="D27">
            <v>22542</v>
          </cell>
          <cell r="E27">
            <v>12755</v>
          </cell>
          <cell r="F27">
            <v>12535</v>
          </cell>
          <cell r="G27">
            <v>11784</v>
          </cell>
          <cell r="H27">
            <v>3657</v>
          </cell>
          <cell r="I27">
            <v>16838</v>
          </cell>
          <cell r="J27">
            <v>1899</v>
          </cell>
          <cell r="K27">
            <v>4235</v>
          </cell>
          <cell r="L27">
            <v>0</v>
          </cell>
        </row>
        <row r="28">
          <cell r="A28">
            <v>41183</v>
          </cell>
          <cell r="B28">
            <v>23093</v>
          </cell>
          <cell r="C28">
            <v>6206</v>
          </cell>
          <cell r="D28">
            <v>23207</v>
          </cell>
          <cell r="E28">
            <v>13371</v>
          </cell>
          <cell r="F28">
            <v>13106</v>
          </cell>
          <cell r="G28">
            <v>11594</v>
          </cell>
          <cell r="H28">
            <v>3416</v>
          </cell>
          <cell r="I28">
            <v>16924</v>
          </cell>
          <cell r="J28">
            <v>1934</v>
          </cell>
          <cell r="K28">
            <v>4030</v>
          </cell>
          <cell r="L28">
            <v>0</v>
          </cell>
        </row>
        <row r="29">
          <cell r="A29">
            <v>41214</v>
          </cell>
          <cell r="B29">
            <v>21691</v>
          </cell>
          <cell r="C29">
            <v>6014</v>
          </cell>
          <cell r="D29">
            <v>22703</v>
          </cell>
          <cell r="E29">
            <v>13916</v>
          </cell>
          <cell r="F29">
            <v>13195</v>
          </cell>
          <cell r="G29">
            <v>11380</v>
          </cell>
          <cell r="H29">
            <v>3957</v>
          </cell>
          <cell r="I29">
            <v>17129</v>
          </cell>
          <cell r="J29">
            <v>1914</v>
          </cell>
          <cell r="K29">
            <v>4270</v>
          </cell>
          <cell r="L29">
            <v>0</v>
          </cell>
        </row>
        <row r="30">
          <cell r="A30">
            <v>41244</v>
          </cell>
          <cell r="B30">
            <v>21441</v>
          </cell>
          <cell r="C30">
            <v>5476</v>
          </cell>
          <cell r="D30">
            <v>20803</v>
          </cell>
          <cell r="E30">
            <v>13513</v>
          </cell>
          <cell r="F30">
            <v>11815</v>
          </cell>
          <cell r="G30">
            <v>10610</v>
          </cell>
          <cell r="H30">
            <v>2780</v>
          </cell>
          <cell r="I30">
            <v>14523</v>
          </cell>
          <cell r="J30">
            <v>2182</v>
          </cell>
          <cell r="K30">
            <v>4509</v>
          </cell>
          <cell r="L30">
            <v>0</v>
          </cell>
        </row>
        <row r="31">
          <cell r="A31">
            <v>41275</v>
          </cell>
          <cell r="B31">
            <v>24998</v>
          </cell>
          <cell r="C31">
            <v>6128</v>
          </cell>
          <cell r="D31">
            <v>27490</v>
          </cell>
          <cell r="E31">
            <v>14705</v>
          </cell>
          <cell r="F31">
            <v>13362</v>
          </cell>
          <cell r="G31">
            <v>13478</v>
          </cell>
          <cell r="H31">
            <v>3052</v>
          </cell>
          <cell r="I31">
            <v>15969</v>
          </cell>
          <cell r="J31">
            <v>1983</v>
          </cell>
          <cell r="K31">
            <v>4551</v>
          </cell>
          <cell r="L31">
            <v>0</v>
          </cell>
        </row>
        <row r="32">
          <cell r="A32">
            <v>41306</v>
          </cell>
          <cell r="B32">
            <v>20658</v>
          </cell>
          <cell r="C32">
            <v>5502</v>
          </cell>
          <cell r="D32">
            <v>22928</v>
          </cell>
          <cell r="E32">
            <v>13042</v>
          </cell>
          <cell r="F32">
            <v>11881</v>
          </cell>
          <cell r="G32">
            <v>11983</v>
          </cell>
          <cell r="H32">
            <v>2942</v>
          </cell>
          <cell r="I32">
            <v>14501</v>
          </cell>
          <cell r="J32">
            <v>1631</v>
          </cell>
          <cell r="K32">
            <v>4112</v>
          </cell>
          <cell r="L32">
            <v>0</v>
          </cell>
        </row>
        <row r="33">
          <cell r="A33">
            <v>41334</v>
          </cell>
          <cell r="B33">
            <v>21371</v>
          </cell>
          <cell r="C33">
            <v>5666</v>
          </cell>
          <cell r="D33">
            <v>24562</v>
          </cell>
          <cell r="E33">
            <v>13472</v>
          </cell>
          <cell r="F33">
            <v>11913</v>
          </cell>
          <cell r="G33">
            <v>12968</v>
          </cell>
          <cell r="H33">
            <v>3609</v>
          </cell>
          <cell r="I33">
            <v>15445</v>
          </cell>
          <cell r="J33">
            <v>1924</v>
          </cell>
          <cell r="K33">
            <v>4228</v>
          </cell>
          <cell r="L33">
            <v>0</v>
          </cell>
        </row>
        <row r="34">
          <cell r="A34">
            <v>41365</v>
          </cell>
          <cell r="B34">
            <v>22194</v>
          </cell>
          <cell r="C34">
            <v>5552</v>
          </cell>
          <cell r="D34">
            <v>25853</v>
          </cell>
          <cell r="E34">
            <v>13388</v>
          </cell>
          <cell r="F34">
            <v>11487</v>
          </cell>
          <cell r="G34">
            <v>11188</v>
          </cell>
          <cell r="H34">
            <v>3346</v>
          </cell>
          <cell r="I34">
            <v>14875</v>
          </cell>
          <cell r="J34">
            <v>1407</v>
          </cell>
          <cell r="K34">
            <v>4007</v>
          </cell>
          <cell r="L34">
            <v>0</v>
          </cell>
        </row>
        <row r="35">
          <cell r="A35">
            <v>41395</v>
          </cell>
          <cell r="B35">
            <v>23779</v>
          </cell>
          <cell r="C35">
            <v>6526</v>
          </cell>
          <cell r="D35">
            <v>26049</v>
          </cell>
          <cell r="E35">
            <v>13650</v>
          </cell>
          <cell r="F35">
            <v>12538</v>
          </cell>
          <cell r="G35">
            <v>11978</v>
          </cell>
          <cell r="H35">
            <v>3744</v>
          </cell>
          <cell r="I35">
            <v>15817</v>
          </cell>
          <cell r="J35">
            <v>1690</v>
          </cell>
          <cell r="K35">
            <v>4779</v>
          </cell>
          <cell r="L35">
            <v>0</v>
          </cell>
        </row>
        <row r="36">
          <cell r="A36">
            <v>41426</v>
          </cell>
          <cell r="B36">
            <v>21862</v>
          </cell>
          <cell r="C36">
            <v>7036</v>
          </cell>
          <cell r="D36">
            <v>23671</v>
          </cell>
          <cell r="E36">
            <v>12084</v>
          </cell>
          <cell r="F36">
            <v>12201</v>
          </cell>
          <cell r="G36">
            <v>11456</v>
          </cell>
          <cell r="H36">
            <v>3497</v>
          </cell>
          <cell r="I36">
            <v>14671</v>
          </cell>
          <cell r="J36">
            <v>1634</v>
          </cell>
          <cell r="K36">
            <v>4872</v>
          </cell>
          <cell r="L36">
            <v>0</v>
          </cell>
        </row>
        <row r="37">
          <cell r="A37">
            <v>41456</v>
          </cell>
          <cell r="B37">
            <v>20892</v>
          </cell>
          <cell r="C37">
            <v>6174</v>
          </cell>
          <cell r="D37">
            <v>24882</v>
          </cell>
          <cell r="E37">
            <v>12206</v>
          </cell>
          <cell r="F37">
            <v>11490</v>
          </cell>
          <cell r="G37">
            <v>11824</v>
          </cell>
          <cell r="H37">
            <v>3464</v>
          </cell>
          <cell r="I37">
            <v>14571</v>
          </cell>
          <cell r="J37">
            <v>1737</v>
          </cell>
          <cell r="K37">
            <v>4711</v>
          </cell>
          <cell r="L37">
            <v>0</v>
          </cell>
        </row>
        <row r="38">
          <cell r="A38">
            <v>41487</v>
          </cell>
          <cell r="B38">
            <v>23262</v>
          </cell>
          <cell r="C38">
            <v>6292</v>
          </cell>
          <cell r="D38">
            <v>25573</v>
          </cell>
          <cell r="E38">
            <v>13848</v>
          </cell>
          <cell r="F38">
            <v>13319</v>
          </cell>
          <cell r="G38">
            <v>13779</v>
          </cell>
          <cell r="H38">
            <v>3259</v>
          </cell>
          <cell r="I38">
            <v>16613</v>
          </cell>
          <cell r="J38">
            <v>1560</v>
          </cell>
          <cell r="K38">
            <v>4832</v>
          </cell>
          <cell r="L38">
            <v>0</v>
          </cell>
        </row>
        <row r="39">
          <cell r="A39">
            <v>41518</v>
          </cell>
          <cell r="B39">
            <v>22808</v>
          </cell>
          <cell r="C39">
            <v>6315</v>
          </cell>
          <cell r="D39">
            <v>24166</v>
          </cell>
          <cell r="E39">
            <v>12746</v>
          </cell>
          <cell r="F39">
            <v>14423</v>
          </cell>
          <cell r="G39">
            <v>13086</v>
          </cell>
          <cell r="H39">
            <v>3323</v>
          </cell>
          <cell r="I39">
            <v>15846</v>
          </cell>
          <cell r="J39">
            <v>1472</v>
          </cell>
          <cell r="K39">
            <v>4679</v>
          </cell>
          <cell r="L39">
            <v>0</v>
          </cell>
        </row>
        <row r="40">
          <cell r="A40">
            <v>41548</v>
          </cell>
          <cell r="B40">
            <v>22411</v>
          </cell>
          <cell r="C40">
            <v>6568</v>
          </cell>
          <cell r="D40">
            <v>24657</v>
          </cell>
          <cell r="E40">
            <v>13623</v>
          </cell>
          <cell r="F40">
            <v>15231</v>
          </cell>
          <cell r="G40">
            <v>12747</v>
          </cell>
          <cell r="H40">
            <v>3686</v>
          </cell>
          <cell r="I40">
            <v>18221</v>
          </cell>
          <cell r="J40">
            <v>1324</v>
          </cell>
          <cell r="K40">
            <v>5384</v>
          </cell>
          <cell r="L40">
            <v>0</v>
          </cell>
        </row>
        <row r="41">
          <cell r="A41">
            <v>41579</v>
          </cell>
          <cell r="B41">
            <v>22135</v>
          </cell>
          <cell r="C41">
            <v>5828</v>
          </cell>
          <cell r="D41">
            <v>24111</v>
          </cell>
          <cell r="E41">
            <v>12769</v>
          </cell>
          <cell r="F41">
            <v>14331</v>
          </cell>
          <cell r="G41">
            <v>12002</v>
          </cell>
          <cell r="H41">
            <v>3020</v>
          </cell>
          <cell r="I41">
            <v>16603</v>
          </cell>
          <cell r="J41">
            <v>1481</v>
          </cell>
          <cell r="K41">
            <v>4652</v>
          </cell>
          <cell r="L41">
            <v>0</v>
          </cell>
        </row>
        <row r="42">
          <cell r="A42">
            <v>41609</v>
          </cell>
          <cell r="B42">
            <v>20205</v>
          </cell>
          <cell r="C42">
            <v>5137</v>
          </cell>
          <cell r="D42">
            <v>24024</v>
          </cell>
          <cell r="E42">
            <v>12976</v>
          </cell>
          <cell r="F42">
            <v>14526</v>
          </cell>
          <cell r="G42">
            <v>11938</v>
          </cell>
          <cell r="H42">
            <v>2934</v>
          </cell>
          <cell r="I42">
            <v>14704</v>
          </cell>
          <cell r="J42">
            <v>1484</v>
          </cell>
          <cell r="K42">
            <v>4701</v>
          </cell>
          <cell r="L42">
            <v>0</v>
          </cell>
        </row>
        <row r="43">
          <cell r="A43">
            <v>41640</v>
          </cell>
          <cell r="B43">
            <v>23293</v>
          </cell>
          <cell r="C43">
            <v>5138</v>
          </cell>
          <cell r="D43">
            <v>27542</v>
          </cell>
          <cell r="E43">
            <v>13910</v>
          </cell>
          <cell r="F43">
            <v>14432</v>
          </cell>
          <cell r="G43">
            <v>12358</v>
          </cell>
          <cell r="H43">
            <v>3901</v>
          </cell>
          <cell r="I43">
            <v>16938</v>
          </cell>
          <cell r="J43">
            <v>1585</v>
          </cell>
          <cell r="K43">
            <v>5192</v>
          </cell>
          <cell r="L43">
            <v>0</v>
          </cell>
        </row>
        <row r="44">
          <cell r="A44">
            <v>41671</v>
          </cell>
          <cell r="B44">
            <v>19514</v>
          </cell>
          <cell r="C44">
            <v>5047</v>
          </cell>
          <cell r="D44">
            <v>25248</v>
          </cell>
          <cell r="E44">
            <v>12283</v>
          </cell>
          <cell r="F44">
            <v>13424</v>
          </cell>
          <cell r="G44">
            <v>12070</v>
          </cell>
          <cell r="H44">
            <v>3256</v>
          </cell>
          <cell r="I44">
            <v>16267</v>
          </cell>
          <cell r="J44">
            <v>1539</v>
          </cell>
          <cell r="K44">
            <v>4197</v>
          </cell>
          <cell r="L44">
            <v>0</v>
          </cell>
        </row>
        <row r="45">
          <cell r="A45">
            <v>41699</v>
          </cell>
          <cell r="B45">
            <v>21474</v>
          </cell>
          <cell r="C45">
            <v>6077</v>
          </cell>
          <cell r="D45">
            <v>26502</v>
          </cell>
          <cell r="E45">
            <v>13927</v>
          </cell>
          <cell r="F45">
            <v>14468</v>
          </cell>
          <cell r="G45">
            <v>13139</v>
          </cell>
          <cell r="H45">
            <v>3518</v>
          </cell>
          <cell r="I45">
            <v>18094</v>
          </cell>
          <cell r="J45">
            <v>1599</v>
          </cell>
          <cell r="K45">
            <v>4263</v>
          </cell>
          <cell r="L45">
            <v>0</v>
          </cell>
        </row>
        <row r="46">
          <cell r="A46">
            <v>41730</v>
          </cell>
          <cell r="B46">
            <v>21957</v>
          </cell>
          <cell r="C46">
            <v>5594</v>
          </cell>
          <cell r="D46">
            <v>23447</v>
          </cell>
          <cell r="E46">
            <v>13309</v>
          </cell>
          <cell r="F46">
            <v>14346</v>
          </cell>
          <cell r="G46">
            <v>12283</v>
          </cell>
          <cell r="H46">
            <v>3001</v>
          </cell>
          <cell r="I46">
            <v>16371</v>
          </cell>
          <cell r="J46">
            <v>1506</v>
          </cell>
          <cell r="K46">
            <v>4447</v>
          </cell>
          <cell r="L46">
            <v>0</v>
          </cell>
        </row>
        <row r="47">
          <cell r="A47">
            <v>41760</v>
          </cell>
          <cell r="B47">
            <v>24022</v>
          </cell>
          <cell r="C47">
            <v>6282</v>
          </cell>
          <cell r="D47">
            <v>26844</v>
          </cell>
          <cell r="E47">
            <v>13849</v>
          </cell>
          <cell r="F47">
            <v>15212</v>
          </cell>
          <cell r="G47">
            <v>13247</v>
          </cell>
          <cell r="H47">
            <v>3289</v>
          </cell>
          <cell r="I47">
            <v>18046</v>
          </cell>
          <cell r="J47">
            <v>1530</v>
          </cell>
          <cell r="K47">
            <v>4458</v>
          </cell>
          <cell r="L47">
            <v>0</v>
          </cell>
        </row>
        <row r="48">
          <cell r="A48">
            <v>41791</v>
          </cell>
          <cell r="B48">
            <v>24399</v>
          </cell>
          <cell r="C48">
            <v>6050</v>
          </cell>
          <cell r="D48">
            <v>25921</v>
          </cell>
          <cell r="E48">
            <v>12624</v>
          </cell>
          <cell r="F48">
            <v>15135</v>
          </cell>
          <cell r="G48">
            <v>13851</v>
          </cell>
          <cell r="H48">
            <v>3333</v>
          </cell>
          <cell r="I48">
            <v>17246</v>
          </cell>
          <cell r="J48">
            <v>1441</v>
          </cell>
          <cell r="K48">
            <v>4118</v>
          </cell>
          <cell r="L48">
            <v>0</v>
          </cell>
        </row>
        <row r="49">
          <cell r="A49">
            <v>41821</v>
          </cell>
          <cell r="B49">
            <v>24333</v>
          </cell>
          <cell r="C49">
            <v>5754</v>
          </cell>
          <cell r="D49">
            <v>27730</v>
          </cell>
          <cell r="E49">
            <v>14149</v>
          </cell>
          <cell r="F49">
            <v>17440</v>
          </cell>
          <cell r="G49">
            <v>14779</v>
          </cell>
          <cell r="H49">
            <v>3603</v>
          </cell>
          <cell r="I49">
            <v>19702</v>
          </cell>
          <cell r="J49">
            <v>1969</v>
          </cell>
          <cell r="K49">
            <v>4444</v>
          </cell>
          <cell r="L49">
            <v>0</v>
          </cell>
        </row>
        <row r="50">
          <cell r="A50">
            <v>41852</v>
          </cell>
          <cell r="B50">
            <v>25836</v>
          </cell>
          <cell r="C50">
            <v>5630</v>
          </cell>
          <cell r="D50">
            <v>25797</v>
          </cell>
          <cell r="E50">
            <v>14512</v>
          </cell>
          <cell r="F50">
            <v>19180</v>
          </cell>
          <cell r="G50">
            <v>17139</v>
          </cell>
          <cell r="H50">
            <v>3803</v>
          </cell>
          <cell r="I50">
            <v>19145</v>
          </cell>
          <cell r="J50">
            <v>2002</v>
          </cell>
          <cell r="K50">
            <v>4569</v>
          </cell>
          <cell r="L50">
            <v>0</v>
          </cell>
        </row>
        <row r="51">
          <cell r="A51">
            <v>41883</v>
          </cell>
          <cell r="B51">
            <v>25818</v>
          </cell>
          <cell r="C51">
            <v>6157</v>
          </cell>
          <cell r="D51">
            <v>25363</v>
          </cell>
          <cell r="E51">
            <v>14148</v>
          </cell>
          <cell r="F51">
            <v>19090</v>
          </cell>
          <cell r="G51">
            <v>17338</v>
          </cell>
          <cell r="H51">
            <v>3897</v>
          </cell>
          <cell r="I51">
            <v>20802</v>
          </cell>
          <cell r="J51">
            <v>1544</v>
          </cell>
          <cell r="K51">
            <v>4110</v>
          </cell>
          <cell r="L51">
            <v>0</v>
          </cell>
        </row>
        <row r="52">
          <cell r="A52">
            <v>41913</v>
          </cell>
          <cell r="B52">
            <v>27740</v>
          </cell>
          <cell r="C52">
            <v>5950</v>
          </cell>
          <cell r="D52">
            <v>25018</v>
          </cell>
          <cell r="E52">
            <v>14651</v>
          </cell>
          <cell r="F52">
            <v>20826</v>
          </cell>
          <cell r="G52">
            <v>17941</v>
          </cell>
          <cell r="H52">
            <v>3950</v>
          </cell>
          <cell r="I52">
            <v>20992</v>
          </cell>
          <cell r="J52">
            <v>1577</v>
          </cell>
          <cell r="K52">
            <v>4282</v>
          </cell>
          <cell r="L52">
            <v>0</v>
          </cell>
        </row>
        <row r="53">
          <cell r="A53">
            <v>41944</v>
          </cell>
          <cell r="B53">
            <v>27485</v>
          </cell>
          <cell r="C53">
            <v>6053</v>
          </cell>
          <cell r="D53">
            <v>25412</v>
          </cell>
          <cell r="E53">
            <v>15418</v>
          </cell>
          <cell r="F53">
            <v>20285</v>
          </cell>
          <cell r="G53">
            <v>18018</v>
          </cell>
          <cell r="H53">
            <v>3534</v>
          </cell>
          <cell r="I53">
            <v>19779</v>
          </cell>
          <cell r="J53">
            <v>1317</v>
          </cell>
          <cell r="K53">
            <v>3648</v>
          </cell>
          <cell r="L53">
            <v>0</v>
          </cell>
        </row>
        <row r="54">
          <cell r="A54">
            <v>41974</v>
          </cell>
          <cell r="B54">
            <v>25104</v>
          </cell>
          <cell r="C54">
            <v>6168</v>
          </cell>
          <cell r="D54">
            <v>28041</v>
          </cell>
          <cell r="E54">
            <v>14905</v>
          </cell>
          <cell r="F54">
            <v>19858</v>
          </cell>
          <cell r="G54">
            <v>19592</v>
          </cell>
          <cell r="H54">
            <v>3248</v>
          </cell>
          <cell r="I54">
            <v>16813</v>
          </cell>
          <cell r="J54">
            <v>1400</v>
          </cell>
          <cell r="K54">
            <v>3896</v>
          </cell>
          <cell r="L54">
            <v>0</v>
          </cell>
        </row>
        <row r="55">
          <cell r="A55">
            <v>42005</v>
          </cell>
          <cell r="B55">
            <v>26268</v>
          </cell>
          <cell r="C55">
            <v>5502</v>
          </cell>
          <cell r="D55">
            <v>36182</v>
          </cell>
          <cell r="E55">
            <v>15904</v>
          </cell>
          <cell r="F55">
            <v>19618</v>
          </cell>
          <cell r="G55">
            <v>21033</v>
          </cell>
          <cell r="H55">
            <v>3068</v>
          </cell>
          <cell r="I55">
            <v>18059</v>
          </cell>
          <cell r="J55">
            <v>1209</v>
          </cell>
          <cell r="K55">
            <v>3549</v>
          </cell>
          <cell r="L55">
            <v>0</v>
          </cell>
        </row>
        <row r="56">
          <cell r="A56">
            <v>42036</v>
          </cell>
          <cell r="B56">
            <v>24450</v>
          </cell>
          <cell r="C56">
            <v>4729</v>
          </cell>
          <cell r="D56">
            <v>30064</v>
          </cell>
          <cell r="E56">
            <v>15032</v>
          </cell>
          <cell r="F56">
            <v>16365</v>
          </cell>
          <cell r="G56">
            <v>19708</v>
          </cell>
          <cell r="H56">
            <v>3048</v>
          </cell>
          <cell r="I56">
            <v>15965</v>
          </cell>
          <cell r="J56">
            <v>1628</v>
          </cell>
          <cell r="K56">
            <v>3364</v>
          </cell>
          <cell r="L56">
            <v>0</v>
          </cell>
        </row>
        <row r="57">
          <cell r="A57">
            <v>42064</v>
          </cell>
          <cell r="B57">
            <v>25958</v>
          </cell>
          <cell r="C57">
            <v>5284</v>
          </cell>
          <cell r="D57">
            <v>27596</v>
          </cell>
          <cell r="E57">
            <v>15500</v>
          </cell>
          <cell r="F57">
            <v>18304</v>
          </cell>
          <cell r="G57">
            <v>21163</v>
          </cell>
          <cell r="H57">
            <v>3615</v>
          </cell>
          <cell r="I57">
            <v>17716</v>
          </cell>
          <cell r="J57">
            <v>1751</v>
          </cell>
          <cell r="K57">
            <v>3503</v>
          </cell>
          <cell r="L57">
            <v>0</v>
          </cell>
        </row>
        <row r="58">
          <cell r="A58">
            <v>42095</v>
          </cell>
          <cell r="B58">
            <v>26058</v>
          </cell>
          <cell r="C58">
            <v>5420</v>
          </cell>
          <cell r="D58">
            <v>25440</v>
          </cell>
          <cell r="E58">
            <v>14874</v>
          </cell>
          <cell r="F58">
            <v>17791</v>
          </cell>
          <cell r="G58">
            <v>22430</v>
          </cell>
          <cell r="H58">
            <v>3238</v>
          </cell>
          <cell r="I58">
            <v>16627</v>
          </cell>
          <cell r="J58">
            <v>1965</v>
          </cell>
          <cell r="K58">
            <v>4187</v>
          </cell>
          <cell r="L58">
            <v>0</v>
          </cell>
        </row>
        <row r="59">
          <cell r="A59">
            <v>42125</v>
          </cell>
          <cell r="B59">
            <v>26233</v>
          </cell>
          <cell r="C59">
            <v>5698</v>
          </cell>
          <cell r="D59">
            <v>24126</v>
          </cell>
          <cell r="E59">
            <v>14259</v>
          </cell>
          <cell r="F59">
            <v>17772</v>
          </cell>
          <cell r="G59">
            <v>22728</v>
          </cell>
          <cell r="H59">
            <v>3632</v>
          </cell>
          <cell r="I59">
            <v>16893</v>
          </cell>
          <cell r="J59">
            <v>1710</v>
          </cell>
          <cell r="K59">
            <v>4064</v>
          </cell>
          <cell r="L59">
            <v>0</v>
          </cell>
        </row>
        <row r="60">
          <cell r="A60">
            <v>42156</v>
          </cell>
          <cell r="B60">
            <v>24056</v>
          </cell>
          <cell r="C60">
            <v>5549</v>
          </cell>
          <cell r="D60">
            <v>25461</v>
          </cell>
          <cell r="E60">
            <v>14954</v>
          </cell>
          <cell r="F60">
            <v>18313</v>
          </cell>
          <cell r="G60">
            <v>24168</v>
          </cell>
          <cell r="H60">
            <v>3417</v>
          </cell>
          <cell r="I60">
            <v>17415</v>
          </cell>
          <cell r="J60">
            <v>1823</v>
          </cell>
          <cell r="K60">
            <v>4382</v>
          </cell>
          <cell r="L60">
            <v>0</v>
          </cell>
        </row>
        <row r="61">
          <cell r="A61">
            <v>42186</v>
          </cell>
          <cell r="B61">
            <v>23928</v>
          </cell>
          <cell r="C61">
            <v>6108</v>
          </cell>
          <cell r="D61">
            <v>27400</v>
          </cell>
          <cell r="E61">
            <v>16138</v>
          </cell>
          <cell r="F61">
            <v>18721</v>
          </cell>
          <cell r="G61">
            <v>25160</v>
          </cell>
          <cell r="H61">
            <v>3954</v>
          </cell>
          <cell r="I61">
            <v>19039</v>
          </cell>
          <cell r="J61">
            <v>1994</v>
          </cell>
          <cell r="K61">
            <v>4934</v>
          </cell>
          <cell r="L61">
            <v>0</v>
          </cell>
        </row>
        <row r="62">
          <cell r="A62">
            <v>42217</v>
          </cell>
          <cell r="B62">
            <v>24027</v>
          </cell>
          <cell r="C62">
            <v>5659</v>
          </cell>
          <cell r="D62">
            <v>25453</v>
          </cell>
          <cell r="E62">
            <v>15754</v>
          </cell>
          <cell r="F62">
            <v>19221</v>
          </cell>
          <cell r="G62">
            <v>26072</v>
          </cell>
          <cell r="H62">
            <v>4094</v>
          </cell>
          <cell r="I62">
            <v>18934</v>
          </cell>
          <cell r="J62">
            <v>1570</v>
          </cell>
          <cell r="K62">
            <v>4309</v>
          </cell>
          <cell r="L62">
            <v>0</v>
          </cell>
        </row>
        <row r="63">
          <cell r="A63">
            <v>42248</v>
          </cell>
          <cell r="B63">
            <v>25133</v>
          </cell>
          <cell r="C63">
            <v>5287</v>
          </cell>
          <cell r="D63">
            <v>27656</v>
          </cell>
          <cell r="E63">
            <v>15524</v>
          </cell>
          <cell r="F63">
            <v>19842</v>
          </cell>
          <cell r="G63">
            <v>26152</v>
          </cell>
          <cell r="H63">
            <v>3468</v>
          </cell>
          <cell r="I63">
            <v>18696</v>
          </cell>
          <cell r="J63">
            <v>1446</v>
          </cell>
          <cell r="K63">
            <v>4534</v>
          </cell>
          <cell r="L63">
            <v>0</v>
          </cell>
        </row>
        <row r="64">
          <cell r="A64">
            <v>42278</v>
          </cell>
          <cell r="B64">
            <v>26856</v>
          </cell>
          <cell r="C64">
            <v>6055</v>
          </cell>
          <cell r="D64">
            <v>29043</v>
          </cell>
          <cell r="E64">
            <v>15243</v>
          </cell>
          <cell r="F64">
            <v>22461</v>
          </cell>
          <cell r="G64">
            <v>27631</v>
          </cell>
          <cell r="H64">
            <v>4390</v>
          </cell>
          <cell r="I64">
            <v>21968</v>
          </cell>
          <cell r="J64">
            <v>1772</v>
          </cell>
          <cell r="K64">
            <v>4711</v>
          </cell>
          <cell r="L64">
            <v>0</v>
          </cell>
        </row>
        <row r="65">
          <cell r="A65">
            <v>42309</v>
          </cell>
          <cell r="B65">
            <v>25402</v>
          </cell>
          <cell r="C65">
            <v>6054</v>
          </cell>
          <cell r="D65">
            <v>27516</v>
          </cell>
          <cell r="E65">
            <v>14483</v>
          </cell>
          <cell r="F65">
            <v>21719</v>
          </cell>
          <cell r="G65">
            <v>26793</v>
          </cell>
          <cell r="H65">
            <v>4008</v>
          </cell>
          <cell r="I65">
            <v>21064</v>
          </cell>
          <cell r="J65">
            <v>1946</v>
          </cell>
          <cell r="K65">
            <v>4170</v>
          </cell>
          <cell r="L65">
            <v>0</v>
          </cell>
        </row>
        <row r="66">
          <cell r="A66">
            <v>42339</v>
          </cell>
          <cell r="B66">
            <v>25194</v>
          </cell>
          <cell r="C66">
            <v>6313</v>
          </cell>
          <cell r="D66">
            <v>28090</v>
          </cell>
          <cell r="E66">
            <v>15550</v>
          </cell>
          <cell r="F66">
            <v>21948</v>
          </cell>
          <cell r="G66">
            <v>27546</v>
          </cell>
          <cell r="H66">
            <v>3568</v>
          </cell>
          <cell r="I66">
            <v>20166</v>
          </cell>
          <cell r="J66">
            <v>1584</v>
          </cell>
          <cell r="K66">
            <v>4049</v>
          </cell>
          <cell r="L66">
            <v>0</v>
          </cell>
        </row>
        <row r="67">
          <cell r="A67">
            <v>42370</v>
          </cell>
          <cell r="B67">
            <v>27706</v>
          </cell>
          <cell r="C67">
            <v>5298</v>
          </cell>
          <cell r="D67">
            <v>29987</v>
          </cell>
          <cell r="E67">
            <v>16795</v>
          </cell>
          <cell r="F67">
            <v>21504</v>
          </cell>
          <cell r="G67">
            <v>27481</v>
          </cell>
          <cell r="H67">
            <v>4244</v>
          </cell>
          <cell r="I67">
            <v>20385</v>
          </cell>
          <cell r="J67">
            <v>1756</v>
          </cell>
          <cell r="K67">
            <v>4311</v>
          </cell>
          <cell r="L67">
            <v>0</v>
          </cell>
        </row>
        <row r="68">
          <cell r="A68">
            <v>42401</v>
          </cell>
          <cell r="B68">
            <v>27386</v>
          </cell>
          <cell r="C68">
            <v>5787</v>
          </cell>
          <cell r="D68">
            <v>29619</v>
          </cell>
          <cell r="E68">
            <v>17006</v>
          </cell>
          <cell r="F68">
            <v>22275</v>
          </cell>
          <cell r="G68">
            <v>26583</v>
          </cell>
          <cell r="H68">
            <v>3787</v>
          </cell>
          <cell r="I68">
            <v>19740</v>
          </cell>
          <cell r="J68">
            <v>1532</v>
          </cell>
          <cell r="K68">
            <v>4340</v>
          </cell>
          <cell r="L68">
            <v>0</v>
          </cell>
        </row>
        <row r="69">
          <cell r="A69">
            <v>42430</v>
          </cell>
          <cell r="B69">
            <v>27888</v>
          </cell>
          <cell r="C69">
            <v>6012</v>
          </cell>
          <cell r="D69">
            <v>30780</v>
          </cell>
          <cell r="E69">
            <v>18200</v>
          </cell>
          <cell r="F69">
            <v>24113</v>
          </cell>
          <cell r="G69">
            <v>31312</v>
          </cell>
          <cell r="H69">
            <v>4399</v>
          </cell>
          <cell r="I69">
            <v>20597</v>
          </cell>
          <cell r="J69">
            <v>1632</v>
          </cell>
          <cell r="K69">
            <v>4949</v>
          </cell>
          <cell r="L69">
            <v>0</v>
          </cell>
        </row>
        <row r="70">
          <cell r="A70">
            <v>42461</v>
          </cell>
          <cell r="B70">
            <v>29459</v>
          </cell>
          <cell r="C70">
            <v>5886</v>
          </cell>
          <cell r="D70">
            <v>30376</v>
          </cell>
          <cell r="E70">
            <v>17171</v>
          </cell>
          <cell r="F70">
            <v>23155</v>
          </cell>
          <cell r="G70">
            <v>32035</v>
          </cell>
          <cell r="H70">
            <v>4097</v>
          </cell>
          <cell r="I70">
            <v>19443</v>
          </cell>
          <cell r="J70">
            <v>1622</v>
          </cell>
          <cell r="K70">
            <v>4774</v>
          </cell>
          <cell r="L70">
            <v>0</v>
          </cell>
        </row>
        <row r="71">
          <cell r="A71">
            <v>42491</v>
          </cell>
          <cell r="B71">
            <v>29190</v>
          </cell>
          <cell r="C71">
            <v>6646</v>
          </cell>
          <cell r="D71">
            <v>30323</v>
          </cell>
          <cell r="E71">
            <v>16706</v>
          </cell>
          <cell r="F71">
            <v>24561</v>
          </cell>
          <cell r="G71">
            <v>34059</v>
          </cell>
          <cell r="H71">
            <v>4684</v>
          </cell>
          <cell r="I71">
            <v>19571</v>
          </cell>
          <cell r="J71">
            <v>2080</v>
          </cell>
          <cell r="K71">
            <v>4474</v>
          </cell>
          <cell r="L71">
            <v>0</v>
          </cell>
        </row>
        <row r="72">
          <cell r="A72">
            <v>42522</v>
          </cell>
          <cell r="B72">
            <v>29520</v>
          </cell>
          <cell r="C72">
            <v>6791</v>
          </cell>
          <cell r="D72">
            <v>29604</v>
          </cell>
          <cell r="E72">
            <v>17261</v>
          </cell>
          <cell r="F72">
            <v>25553</v>
          </cell>
          <cell r="G72">
            <v>32847</v>
          </cell>
          <cell r="H72">
            <v>4706</v>
          </cell>
          <cell r="I72">
            <v>20127</v>
          </cell>
          <cell r="J72">
            <v>1982</v>
          </cell>
          <cell r="K72">
            <v>4731</v>
          </cell>
          <cell r="L72">
            <v>0</v>
          </cell>
        </row>
        <row r="73">
          <cell r="A73">
            <v>42552</v>
          </cell>
          <cell r="B73">
            <v>30832</v>
          </cell>
          <cell r="C73">
            <v>7074</v>
          </cell>
          <cell r="D73">
            <v>31535</v>
          </cell>
          <cell r="E73">
            <v>19049</v>
          </cell>
          <cell r="F73">
            <v>27984</v>
          </cell>
          <cell r="G73">
            <v>35996</v>
          </cell>
          <cell r="H73">
            <v>4298</v>
          </cell>
          <cell r="I73">
            <v>20374</v>
          </cell>
          <cell r="J73">
            <v>2576</v>
          </cell>
          <cell r="K73">
            <v>4860</v>
          </cell>
          <cell r="L73">
            <v>0</v>
          </cell>
        </row>
        <row r="74">
          <cell r="A74">
            <v>42583</v>
          </cell>
          <cell r="B74">
            <v>30695</v>
          </cell>
          <cell r="C74">
            <v>6571</v>
          </cell>
          <cell r="D74">
            <v>30926</v>
          </cell>
          <cell r="E74">
            <v>19028</v>
          </cell>
          <cell r="F74">
            <v>30601</v>
          </cell>
          <cell r="G74">
            <v>37381</v>
          </cell>
          <cell r="H74">
            <v>4242</v>
          </cell>
          <cell r="I74">
            <v>21016</v>
          </cell>
          <cell r="J74">
            <v>2435</v>
          </cell>
          <cell r="K74">
            <v>4956</v>
          </cell>
          <cell r="L74">
            <v>0</v>
          </cell>
        </row>
        <row r="75">
          <cell r="A75">
            <v>42614</v>
          </cell>
          <cell r="B75">
            <v>32502</v>
          </cell>
          <cell r="C75">
            <v>6445</v>
          </cell>
          <cell r="D75">
            <v>32696</v>
          </cell>
          <cell r="E75">
            <v>20034</v>
          </cell>
          <cell r="F75">
            <v>31578</v>
          </cell>
          <cell r="G75">
            <v>40229</v>
          </cell>
          <cell r="H75">
            <v>3977</v>
          </cell>
          <cell r="I75">
            <v>23143</v>
          </cell>
          <cell r="J75">
            <v>1926</v>
          </cell>
          <cell r="K75">
            <v>4040</v>
          </cell>
          <cell r="L75">
            <v>0</v>
          </cell>
        </row>
        <row r="76">
          <cell r="A76">
            <v>42644</v>
          </cell>
          <cell r="B76">
            <v>30204</v>
          </cell>
          <cell r="C76">
            <v>7167</v>
          </cell>
          <cell r="D76">
            <v>31765</v>
          </cell>
          <cell r="E76">
            <v>21054</v>
          </cell>
          <cell r="F76">
            <v>34127</v>
          </cell>
          <cell r="G76">
            <v>41426</v>
          </cell>
          <cell r="H76">
            <v>4498</v>
          </cell>
          <cell r="I76">
            <v>22825</v>
          </cell>
          <cell r="J76">
            <v>2485</v>
          </cell>
          <cell r="K76">
            <v>4544</v>
          </cell>
          <cell r="L76">
            <v>0</v>
          </cell>
        </row>
        <row r="77">
          <cell r="A77">
            <v>42675</v>
          </cell>
          <cell r="B77">
            <v>31634</v>
          </cell>
          <cell r="C77">
            <v>6959</v>
          </cell>
          <cell r="D77">
            <v>29951</v>
          </cell>
          <cell r="E77">
            <v>19611</v>
          </cell>
          <cell r="F77">
            <v>31984</v>
          </cell>
          <cell r="G77">
            <v>39412</v>
          </cell>
          <cell r="H77">
            <v>4341</v>
          </cell>
          <cell r="I77">
            <v>22401</v>
          </cell>
          <cell r="J77">
            <v>2332</v>
          </cell>
          <cell r="K77">
            <v>4581</v>
          </cell>
          <cell r="L77">
            <v>0</v>
          </cell>
        </row>
        <row r="78">
          <cell r="A78">
            <v>42705</v>
          </cell>
          <cell r="B78">
            <v>34784</v>
          </cell>
          <cell r="C78">
            <v>7232</v>
          </cell>
          <cell r="D78">
            <v>31348</v>
          </cell>
          <cell r="E78">
            <v>20108</v>
          </cell>
          <cell r="F78">
            <v>31151</v>
          </cell>
          <cell r="G78">
            <v>42215</v>
          </cell>
          <cell r="H78">
            <v>3857</v>
          </cell>
          <cell r="I78">
            <v>18862</v>
          </cell>
          <cell r="J78">
            <v>1838</v>
          </cell>
          <cell r="K78">
            <v>4050</v>
          </cell>
          <cell r="L78">
            <v>0</v>
          </cell>
        </row>
        <row r="79">
          <cell r="A79">
            <v>42736</v>
          </cell>
          <cell r="B79">
            <v>36306</v>
          </cell>
          <cell r="C79">
            <v>6341</v>
          </cell>
          <cell r="D79">
            <v>37760</v>
          </cell>
          <cell r="E79">
            <v>20519</v>
          </cell>
          <cell r="F79">
            <v>28320</v>
          </cell>
          <cell r="G79">
            <v>40307</v>
          </cell>
          <cell r="H79">
            <v>4056</v>
          </cell>
          <cell r="I79">
            <v>18223</v>
          </cell>
          <cell r="J79">
            <v>1615</v>
          </cell>
          <cell r="K79">
            <v>3882</v>
          </cell>
          <cell r="L79">
            <v>0</v>
          </cell>
        </row>
        <row r="80">
          <cell r="A80">
            <v>42767</v>
          </cell>
          <cell r="B80">
            <v>31979</v>
          </cell>
          <cell r="C80">
            <v>6558</v>
          </cell>
          <cell r="D80">
            <v>34717</v>
          </cell>
          <cell r="E80">
            <v>19748</v>
          </cell>
          <cell r="F80">
            <v>25656</v>
          </cell>
          <cell r="G80">
            <v>39372</v>
          </cell>
          <cell r="H80">
            <v>4338</v>
          </cell>
          <cell r="I80">
            <v>18437</v>
          </cell>
          <cell r="J80">
            <v>1698</v>
          </cell>
          <cell r="K80">
            <v>3565</v>
          </cell>
          <cell r="L80">
            <v>0</v>
          </cell>
        </row>
        <row r="81">
          <cell r="A81">
            <v>42795</v>
          </cell>
          <cell r="B81">
            <v>33727</v>
          </cell>
          <cell r="C81">
            <v>7657</v>
          </cell>
          <cell r="D81">
            <v>35027</v>
          </cell>
          <cell r="E81">
            <v>21705</v>
          </cell>
          <cell r="F81">
            <v>28312</v>
          </cell>
          <cell r="G81">
            <v>41168</v>
          </cell>
          <cell r="H81">
            <v>5027</v>
          </cell>
          <cell r="I81">
            <v>20611</v>
          </cell>
          <cell r="J81">
            <v>2052</v>
          </cell>
          <cell r="K81">
            <v>3974</v>
          </cell>
          <cell r="L81">
            <v>0</v>
          </cell>
        </row>
        <row r="82">
          <cell r="A82">
            <v>42826</v>
          </cell>
          <cell r="B82">
            <v>29866</v>
          </cell>
          <cell r="C82">
            <v>7184</v>
          </cell>
          <cell r="D82">
            <v>28489</v>
          </cell>
          <cell r="E82">
            <v>19087</v>
          </cell>
          <cell r="F82">
            <v>23277</v>
          </cell>
          <cell r="G82">
            <v>38432</v>
          </cell>
          <cell r="H82">
            <v>4659</v>
          </cell>
          <cell r="I82">
            <v>19207</v>
          </cell>
          <cell r="J82">
            <v>1921</v>
          </cell>
          <cell r="K82">
            <v>4485</v>
          </cell>
          <cell r="L82">
            <v>530</v>
          </cell>
        </row>
      </sheetData>
      <sheetData sheetId="3">
        <row r="1">
          <cell r="A1" t="str">
            <v>Category</v>
          </cell>
          <cell r="B1" t="str">
            <v>Data</v>
          </cell>
        </row>
        <row r="2">
          <cell r="A2" t="str">
            <v>Caller terminated call</v>
          </cell>
          <cell r="B2">
            <v>2133034</v>
          </cell>
          <cell r="C2">
            <v>3000000</v>
          </cell>
        </row>
        <row r="3">
          <cell r="A3" t="str">
            <v>Caller referred, no triage</v>
          </cell>
          <cell r="B3">
            <v>581082</v>
          </cell>
        </row>
        <row r="4">
          <cell r="A4" t="str">
            <v>Caller given health info</v>
          </cell>
          <cell r="B4">
            <v>286937</v>
          </cell>
        </row>
        <row r="5">
          <cell r="A5" t="str">
            <v>Other reason</v>
          </cell>
          <cell r="B5">
            <v>4233085</v>
          </cell>
        </row>
      </sheetData>
      <sheetData sheetId="4">
        <row r="1">
          <cell r="A1" t="str">
            <v>Category</v>
          </cell>
        </row>
        <row r="2">
          <cell r="A2" t="str">
            <v>Gastroscopy</v>
          </cell>
          <cell r="B2">
            <v>4.4487291024947695E-2</v>
          </cell>
          <cell r="C2">
            <v>0.01</v>
          </cell>
          <cell r="D2">
            <v>0</v>
          </cell>
        </row>
        <row r="3">
          <cell r="A3" t="str">
            <v>Cystoscopy</v>
          </cell>
        </row>
        <row r="4">
          <cell r="A4" t="str">
            <v>Flexi-sigmoidoscopy</v>
          </cell>
        </row>
        <row r="5">
          <cell r="A5" t="str">
            <v>Colonoscopy</v>
          </cell>
        </row>
        <row r="6">
          <cell r="A6" t="str">
            <v>Urodynamics</v>
          </cell>
        </row>
        <row r="7">
          <cell r="A7" t="str">
            <v>Sleep Studies</v>
          </cell>
        </row>
        <row r="8">
          <cell r="A8" t="str">
            <v>Peripheral Neurophys</v>
          </cell>
        </row>
        <row r="9">
          <cell r="A9" t="str">
            <v>Electrophysiology</v>
          </cell>
        </row>
        <row r="10">
          <cell r="A10" t="str">
            <v>Echocardiography</v>
          </cell>
        </row>
        <row r="11">
          <cell r="A11" t="str">
            <v>Audiology Assessments</v>
          </cell>
        </row>
        <row r="12">
          <cell r="A12" t="str">
            <v>DEXA Scan</v>
          </cell>
        </row>
        <row r="13">
          <cell r="A13" t="str">
            <v>Barium Eneam</v>
          </cell>
        </row>
        <row r="14">
          <cell r="A14" t="str">
            <v>Non-obstetric Ultrasound</v>
          </cell>
        </row>
        <row r="15">
          <cell r="A15" t="str">
            <v>Computerised Tomography (CT)</v>
          </cell>
        </row>
        <row r="16">
          <cell r="A16" t="str">
            <v>Magnetic Resonance Imaging (MRI)</v>
          </cell>
        </row>
      </sheetData>
      <sheetData sheetId="5">
        <row r="1">
          <cell r="A1" t="str">
            <v>Period</v>
          </cell>
        </row>
        <row r="2">
          <cell r="A2" t="str">
            <v>April</v>
          </cell>
          <cell r="B2">
            <v>0.97291421887050278</v>
          </cell>
          <cell r="C2">
            <v>0.96702974444909928</v>
          </cell>
          <cell r="D2">
            <v>0.96363860785623989</v>
          </cell>
          <cell r="E2">
            <v>0.95836001264396697</v>
          </cell>
        </row>
        <row r="3">
          <cell r="A3" t="str">
            <v>May</v>
          </cell>
        </row>
        <row r="4">
          <cell r="A4" t="str">
            <v>June</v>
          </cell>
        </row>
        <row r="5">
          <cell r="A5" t="str">
            <v>July</v>
          </cell>
        </row>
        <row r="6">
          <cell r="A6" t="str">
            <v>August</v>
          </cell>
        </row>
        <row r="7">
          <cell r="A7" t="str">
            <v>September</v>
          </cell>
        </row>
        <row r="8">
          <cell r="A8" t="str">
            <v>October</v>
          </cell>
        </row>
        <row r="9">
          <cell r="A9" t="str">
            <v>November</v>
          </cell>
        </row>
        <row r="10">
          <cell r="A10" t="str">
            <v>December</v>
          </cell>
        </row>
        <row r="11">
          <cell r="A11" t="str">
            <v>January</v>
          </cell>
        </row>
        <row r="12">
          <cell r="A12" t="str">
            <v>February</v>
          </cell>
        </row>
        <row r="13">
          <cell r="A13" t="str">
            <v>March</v>
          </cell>
        </row>
      </sheetData>
      <sheetData sheetId="6"/>
      <sheetData sheetId="7">
        <row r="1">
          <cell r="A1" t="str">
            <v>Period</v>
          </cell>
        </row>
        <row r="2">
          <cell r="A2">
            <v>39295</v>
          </cell>
          <cell r="B2">
            <v>4186974</v>
          </cell>
          <cell r="C2">
            <v>0</v>
          </cell>
          <cell r="D2" t="e">
            <v>#N/A</v>
          </cell>
        </row>
        <row r="3">
          <cell r="A3">
            <v>39326</v>
          </cell>
        </row>
        <row r="4">
          <cell r="A4">
            <v>39356</v>
          </cell>
        </row>
        <row r="5">
          <cell r="A5">
            <v>39387</v>
          </cell>
        </row>
        <row r="6">
          <cell r="A6">
            <v>39417</v>
          </cell>
        </row>
        <row r="7">
          <cell r="A7">
            <v>39448</v>
          </cell>
        </row>
        <row r="8">
          <cell r="A8">
            <v>39479</v>
          </cell>
        </row>
        <row r="9">
          <cell r="A9">
            <v>39508</v>
          </cell>
        </row>
        <row r="10">
          <cell r="A10">
            <v>39539</v>
          </cell>
        </row>
        <row r="11">
          <cell r="A11">
            <v>39569</v>
          </cell>
        </row>
        <row r="12">
          <cell r="A12">
            <v>39600</v>
          </cell>
        </row>
        <row r="13">
          <cell r="A13">
            <v>39630</v>
          </cell>
        </row>
        <row r="14">
          <cell r="A14">
            <v>39661</v>
          </cell>
        </row>
        <row r="15">
          <cell r="A15">
            <v>39692</v>
          </cell>
        </row>
        <row r="16">
          <cell r="A16">
            <v>39722</v>
          </cell>
        </row>
        <row r="17">
          <cell r="A17">
            <v>39753</v>
          </cell>
        </row>
        <row r="18">
          <cell r="A18">
            <v>39783</v>
          </cell>
        </row>
        <row r="19">
          <cell r="A19">
            <v>39814</v>
          </cell>
        </row>
        <row r="20">
          <cell r="A20">
            <v>39845</v>
          </cell>
        </row>
        <row r="21">
          <cell r="A21">
            <v>39873</v>
          </cell>
        </row>
        <row r="22">
          <cell r="A22">
            <v>39904</v>
          </cell>
        </row>
        <row r="23">
          <cell r="A23">
            <v>39934</v>
          </cell>
        </row>
        <row r="24">
          <cell r="A24">
            <v>39965</v>
          </cell>
        </row>
        <row r="25">
          <cell r="A25">
            <v>39995</v>
          </cell>
        </row>
        <row r="26">
          <cell r="A26">
            <v>40026</v>
          </cell>
        </row>
        <row r="27">
          <cell r="A27">
            <v>40057</v>
          </cell>
        </row>
        <row r="28">
          <cell r="A28">
            <v>40087</v>
          </cell>
        </row>
        <row r="29">
          <cell r="A29">
            <v>40118</v>
          </cell>
        </row>
        <row r="30">
          <cell r="A30">
            <v>40148</v>
          </cell>
        </row>
        <row r="31">
          <cell r="A31">
            <v>40179</v>
          </cell>
        </row>
        <row r="32">
          <cell r="A32">
            <v>40210</v>
          </cell>
        </row>
        <row r="33">
          <cell r="A33">
            <v>40238</v>
          </cell>
        </row>
        <row r="34">
          <cell r="A34">
            <v>40269</v>
          </cell>
        </row>
        <row r="35">
          <cell r="A35">
            <v>40299</v>
          </cell>
        </row>
        <row r="36">
          <cell r="A36">
            <v>40330</v>
          </cell>
        </row>
        <row r="37">
          <cell r="A37">
            <v>40360</v>
          </cell>
        </row>
        <row r="38">
          <cell r="A38">
            <v>40391</v>
          </cell>
        </row>
        <row r="39">
          <cell r="A39">
            <v>40422</v>
          </cell>
        </row>
        <row r="40">
          <cell r="A40">
            <v>40452</v>
          </cell>
        </row>
        <row r="41">
          <cell r="A41">
            <v>40483</v>
          </cell>
        </row>
        <row r="42">
          <cell r="A42">
            <v>40513</v>
          </cell>
        </row>
        <row r="43">
          <cell r="A43">
            <v>40544</v>
          </cell>
        </row>
        <row r="44">
          <cell r="A44">
            <v>40575</v>
          </cell>
        </row>
        <row r="45">
          <cell r="A45">
            <v>40603</v>
          </cell>
        </row>
        <row r="46">
          <cell r="A46">
            <v>40634</v>
          </cell>
        </row>
        <row r="47">
          <cell r="A47">
            <v>40664</v>
          </cell>
        </row>
        <row r="48">
          <cell r="A48">
            <v>40695</v>
          </cell>
        </row>
        <row r="49">
          <cell r="A49">
            <v>40725</v>
          </cell>
        </row>
        <row r="50">
          <cell r="A50">
            <v>40756</v>
          </cell>
        </row>
        <row r="51">
          <cell r="A51">
            <v>40787</v>
          </cell>
        </row>
        <row r="52">
          <cell r="A52">
            <v>40817</v>
          </cell>
        </row>
        <row r="53">
          <cell r="A53">
            <v>40848</v>
          </cell>
        </row>
        <row r="54">
          <cell r="A54">
            <v>40878</v>
          </cell>
        </row>
        <row r="55">
          <cell r="A55">
            <v>40909</v>
          </cell>
        </row>
        <row r="56">
          <cell r="A56">
            <v>40940</v>
          </cell>
        </row>
        <row r="57">
          <cell r="A57">
            <v>40969</v>
          </cell>
        </row>
        <row r="58">
          <cell r="A58">
            <v>41000</v>
          </cell>
        </row>
        <row r="59">
          <cell r="A59">
            <v>41030</v>
          </cell>
        </row>
        <row r="60">
          <cell r="A60">
            <v>41061</v>
          </cell>
        </row>
        <row r="61">
          <cell r="A61">
            <v>41091</v>
          </cell>
        </row>
        <row r="62">
          <cell r="A62">
            <v>41122</v>
          </cell>
        </row>
        <row r="63">
          <cell r="A63">
            <v>41153</v>
          </cell>
        </row>
        <row r="64">
          <cell r="A64">
            <v>41183</v>
          </cell>
        </row>
        <row r="65">
          <cell r="A65">
            <v>41214</v>
          </cell>
        </row>
        <row r="66">
          <cell r="A66">
            <v>41244</v>
          </cell>
        </row>
        <row r="67">
          <cell r="A67">
            <v>41275</v>
          </cell>
        </row>
        <row r="68">
          <cell r="A68">
            <v>41306</v>
          </cell>
        </row>
        <row r="69">
          <cell r="A69">
            <v>41334</v>
          </cell>
        </row>
        <row r="70">
          <cell r="A70">
            <v>41365</v>
          </cell>
        </row>
        <row r="71">
          <cell r="A71">
            <v>41395</v>
          </cell>
        </row>
        <row r="72">
          <cell r="A72">
            <v>41426</v>
          </cell>
        </row>
        <row r="73">
          <cell r="A73">
            <v>41456</v>
          </cell>
        </row>
        <row r="74">
          <cell r="A74">
            <v>41487</v>
          </cell>
        </row>
        <row r="75">
          <cell r="A75">
            <v>41518</v>
          </cell>
        </row>
        <row r="76">
          <cell r="A76">
            <v>41548</v>
          </cell>
        </row>
        <row r="77">
          <cell r="A77">
            <v>41579</v>
          </cell>
        </row>
        <row r="78">
          <cell r="A78">
            <v>41609</v>
          </cell>
        </row>
        <row r="79">
          <cell r="A79">
            <v>41640</v>
          </cell>
        </row>
        <row r="80">
          <cell r="A80">
            <v>41671</v>
          </cell>
        </row>
        <row r="81">
          <cell r="A81">
            <v>41699</v>
          </cell>
        </row>
        <row r="82">
          <cell r="A82">
            <v>41730</v>
          </cell>
        </row>
        <row r="83">
          <cell r="A83">
            <v>41760</v>
          </cell>
        </row>
        <row r="84">
          <cell r="A84">
            <v>41791</v>
          </cell>
        </row>
        <row r="85">
          <cell r="A85">
            <v>41821</v>
          </cell>
        </row>
        <row r="86">
          <cell r="A86">
            <v>41852</v>
          </cell>
        </row>
        <row r="87">
          <cell r="A87">
            <v>41883</v>
          </cell>
        </row>
        <row r="88">
          <cell r="A88">
            <v>41913</v>
          </cell>
        </row>
        <row r="89">
          <cell r="A89">
            <v>41944</v>
          </cell>
        </row>
        <row r="90">
          <cell r="A90">
            <v>41974</v>
          </cell>
        </row>
        <row r="91">
          <cell r="A91">
            <v>42005</v>
          </cell>
        </row>
        <row r="92">
          <cell r="A92">
            <v>42036</v>
          </cell>
        </row>
        <row r="93">
          <cell r="A93">
            <v>42064</v>
          </cell>
        </row>
        <row r="94">
          <cell r="A94">
            <v>42095</v>
          </cell>
        </row>
        <row r="95">
          <cell r="A95">
            <v>42125</v>
          </cell>
        </row>
        <row r="96">
          <cell r="A96">
            <v>42156</v>
          </cell>
        </row>
        <row r="97">
          <cell r="A97">
            <v>42186</v>
          </cell>
        </row>
        <row r="98">
          <cell r="A98">
            <v>42217</v>
          </cell>
        </row>
        <row r="99">
          <cell r="A99">
            <v>42248</v>
          </cell>
        </row>
        <row r="100">
          <cell r="A100">
            <v>42278</v>
          </cell>
        </row>
        <row r="101">
          <cell r="A101">
            <v>42309</v>
          </cell>
        </row>
        <row r="102">
          <cell r="A102">
            <v>42339</v>
          </cell>
        </row>
        <row r="103">
          <cell r="A103">
            <v>42370</v>
          </cell>
        </row>
        <row r="104">
          <cell r="A104">
            <v>42401</v>
          </cell>
        </row>
        <row r="105">
          <cell r="A105">
            <v>42430</v>
          </cell>
        </row>
        <row r="106">
          <cell r="A106">
            <v>42461</v>
          </cell>
        </row>
        <row r="107">
          <cell r="A107">
            <v>42491</v>
          </cell>
        </row>
        <row r="108">
          <cell r="A108">
            <v>42522</v>
          </cell>
        </row>
        <row r="109">
          <cell r="A109">
            <v>42552</v>
          </cell>
        </row>
        <row r="110">
          <cell r="A110">
            <v>42583</v>
          </cell>
        </row>
        <row r="111">
          <cell r="A111">
            <v>42614</v>
          </cell>
        </row>
        <row r="112">
          <cell r="A112">
            <v>42644</v>
          </cell>
        </row>
        <row r="113">
          <cell r="A113">
            <v>42675</v>
          </cell>
        </row>
        <row r="114">
          <cell r="A114">
            <v>42705</v>
          </cell>
        </row>
        <row r="115">
          <cell r="A115">
            <v>42736</v>
          </cell>
        </row>
        <row r="116">
          <cell r="A116">
            <v>42767</v>
          </cell>
        </row>
        <row r="117">
          <cell r="A117">
            <v>42795</v>
          </cell>
        </row>
      </sheetData>
      <sheetData sheetId="8">
        <row r="1">
          <cell r="A1" t="str">
            <v>Category</v>
          </cell>
        </row>
        <row r="2">
          <cell r="A2" t="str">
            <v>Good Experience</v>
          </cell>
          <cell r="B2">
            <v>0.84799999999999998</v>
          </cell>
        </row>
        <row r="3">
          <cell r="A3" t="str">
            <v>Poor Experience</v>
          </cell>
        </row>
        <row r="4">
          <cell r="A4" t="str">
            <v>Neither good nor bad</v>
          </cell>
        </row>
      </sheetData>
      <sheetData sheetId="9">
        <row r="1">
          <cell r="A1" t="str">
            <v>Item</v>
          </cell>
        </row>
        <row r="2">
          <cell r="A2" t="str">
            <v>02N</v>
          </cell>
          <cell r="B2">
            <v>0.97109826589595372</v>
          </cell>
          <cell r="C2">
            <v>2.0493226814866299E-2</v>
          </cell>
          <cell r="E2">
            <v>2.0493226814866299E-2</v>
          </cell>
          <cell r="F2" t="e">
            <v>#N/A</v>
          </cell>
          <cell r="G2" t="e">
            <v>#N/A</v>
          </cell>
          <cell r="H2" t="e">
            <v>#N/A</v>
          </cell>
        </row>
        <row r="3">
          <cell r="A3" t="str">
            <v>09C</v>
          </cell>
        </row>
        <row r="4">
          <cell r="A4" t="str">
            <v>10Y</v>
          </cell>
        </row>
        <row r="5">
          <cell r="A5" t="str">
            <v>07L</v>
          </cell>
        </row>
        <row r="6">
          <cell r="A6" t="str">
            <v>07M</v>
          </cell>
        </row>
        <row r="7">
          <cell r="A7" t="str">
            <v>02P</v>
          </cell>
        </row>
        <row r="8">
          <cell r="A8" t="str">
            <v>99E</v>
          </cell>
        </row>
        <row r="9">
          <cell r="A9" t="str">
            <v>02Q</v>
          </cell>
        </row>
        <row r="10">
          <cell r="A10" t="str">
            <v>11E</v>
          </cell>
        </row>
        <row r="11">
          <cell r="A11" t="str">
            <v>06F</v>
          </cell>
        </row>
        <row r="12">
          <cell r="A12" t="str">
            <v>07N</v>
          </cell>
        </row>
        <row r="13">
          <cell r="A13" t="str">
            <v>13P</v>
          </cell>
        </row>
        <row r="14">
          <cell r="A14" t="str">
            <v>04X</v>
          </cell>
        </row>
        <row r="15">
          <cell r="A15" t="str">
            <v>00Q</v>
          </cell>
        </row>
        <row r="16">
          <cell r="A16" t="str">
            <v>00R</v>
          </cell>
        </row>
        <row r="17">
          <cell r="A17" t="str">
            <v>00T</v>
          </cell>
        </row>
        <row r="18">
          <cell r="A18" t="str">
            <v>10G</v>
          </cell>
        </row>
        <row r="19">
          <cell r="A19" t="str">
            <v>02W</v>
          </cell>
        </row>
        <row r="20">
          <cell r="A20" t="str">
            <v>02R</v>
          </cell>
        </row>
        <row r="21">
          <cell r="A21" t="str">
            <v>07P</v>
          </cell>
        </row>
        <row r="22">
          <cell r="A22" t="str">
            <v>09D</v>
          </cell>
        </row>
        <row r="23">
          <cell r="A23" t="str">
            <v>11H</v>
          </cell>
        </row>
        <row r="24">
          <cell r="A24" t="str">
            <v>07Q</v>
          </cell>
        </row>
        <row r="25">
          <cell r="A25" t="str">
            <v>00V</v>
          </cell>
        </row>
        <row r="26">
          <cell r="A26" t="str">
            <v>02T</v>
          </cell>
        </row>
        <row r="27">
          <cell r="A27" t="str">
            <v>06H</v>
          </cell>
        </row>
        <row r="28">
          <cell r="A28" t="str">
            <v>07R</v>
          </cell>
        </row>
        <row r="29">
          <cell r="A29" t="str">
            <v>04Y</v>
          </cell>
        </row>
        <row r="30">
          <cell r="A30" t="str">
            <v>09E</v>
          </cell>
        </row>
        <row r="31">
          <cell r="A31" t="str">
            <v>99F</v>
          </cell>
        </row>
        <row r="32">
          <cell r="A32" t="str">
            <v>09A</v>
          </cell>
        </row>
        <row r="33">
          <cell r="A33" t="str">
            <v>10H</v>
          </cell>
        </row>
        <row r="34">
          <cell r="A34" t="str">
            <v>00X</v>
          </cell>
        </row>
        <row r="35">
          <cell r="A35" t="str">
            <v>07T</v>
          </cell>
        </row>
        <row r="36">
          <cell r="A36" t="str">
            <v>09G</v>
          </cell>
        </row>
        <row r="37">
          <cell r="A37" t="str">
            <v>03V</v>
          </cell>
        </row>
        <row r="38">
          <cell r="A38" t="str">
            <v>05A</v>
          </cell>
        </row>
        <row r="39">
          <cell r="A39" t="str">
            <v>09H</v>
          </cell>
        </row>
        <row r="40">
          <cell r="A40" t="str">
            <v>07V</v>
          </cell>
        </row>
        <row r="41">
          <cell r="A41" t="str">
            <v>00C</v>
          </cell>
        </row>
        <row r="42">
          <cell r="A42" t="str">
            <v>09J</v>
          </cell>
        </row>
        <row r="43">
          <cell r="A43" t="str">
            <v>02X</v>
          </cell>
        </row>
        <row r="44">
          <cell r="A44" t="str">
            <v>11J</v>
          </cell>
        </row>
        <row r="45">
          <cell r="A45" t="str">
            <v>05C</v>
          </cell>
        </row>
        <row r="46">
          <cell r="A46" t="str">
            <v>00D</v>
          </cell>
        </row>
        <row r="47">
          <cell r="A47" t="str">
            <v>07W</v>
          </cell>
        </row>
        <row r="48">
          <cell r="A48" t="str">
            <v>06K</v>
          </cell>
        </row>
        <row r="49">
          <cell r="A49" t="str">
            <v>01A</v>
          </cell>
        </row>
        <row r="50">
          <cell r="A50" t="str">
            <v>03W</v>
          </cell>
        </row>
        <row r="51">
          <cell r="A51" t="str">
            <v>02Y</v>
          </cell>
        </row>
        <row r="52">
          <cell r="A52" t="str">
            <v>05D</v>
          </cell>
        </row>
        <row r="53">
          <cell r="A53" t="str">
            <v>09L</v>
          </cell>
        </row>
        <row r="54">
          <cell r="A54" t="str">
            <v>09F</v>
          </cell>
        </row>
        <row r="55">
          <cell r="A55" t="str">
            <v>01C</v>
          </cell>
        </row>
        <row r="56">
          <cell r="A56" t="str">
            <v>07X</v>
          </cell>
        </row>
        <row r="57">
          <cell r="A57" t="str">
            <v>03X</v>
          </cell>
        </row>
        <row r="58">
          <cell r="A58" t="str">
            <v>10K</v>
          </cell>
        </row>
        <row r="59">
          <cell r="A59" t="str">
            <v>02M</v>
          </cell>
        </row>
        <row r="60">
          <cell r="A60" t="str">
            <v>11M</v>
          </cell>
        </row>
        <row r="61">
          <cell r="A61" t="str">
            <v>06M</v>
          </cell>
        </row>
        <row r="62">
          <cell r="A62" t="str">
            <v>03A</v>
          </cell>
        </row>
        <row r="63">
          <cell r="A63" t="str">
            <v>01E</v>
          </cell>
        </row>
        <row r="64">
          <cell r="A64" t="str">
            <v>08A</v>
          </cell>
        </row>
        <row r="65">
          <cell r="A65" t="str">
            <v>09N</v>
          </cell>
        </row>
        <row r="66">
          <cell r="A66" t="str">
            <v>01F</v>
          </cell>
        </row>
        <row r="67">
          <cell r="A67" t="str">
            <v>03D</v>
          </cell>
        </row>
        <row r="68">
          <cell r="A68" t="str">
            <v>08C</v>
          </cell>
        </row>
        <row r="69">
          <cell r="A69" t="str">
            <v>03Y</v>
          </cell>
        </row>
        <row r="70">
          <cell r="A70" t="str">
            <v>08D</v>
          </cell>
        </row>
        <row r="71">
          <cell r="A71" t="str">
            <v>03E</v>
          </cell>
        </row>
        <row r="72">
          <cell r="A72" t="str">
            <v>08E</v>
          </cell>
        </row>
        <row r="73">
          <cell r="A73" t="str">
            <v>00K</v>
          </cell>
        </row>
        <row r="74">
          <cell r="A74" t="str">
            <v>09P</v>
          </cell>
        </row>
        <row r="75">
          <cell r="A75" t="str">
            <v>08F</v>
          </cell>
        </row>
        <row r="76">
          <cell r="A76" t="str">
            <v>05F</v>
          </cell>
        </row>
        <row r="77">
          <cell r="A77" t="str">
            <v>06N</v>
          </cell>
        </row>
        <row r="78">
          <cell r="A78" t="str">
            <v>01D</v>
          </cell>
        </row>
        <row r="79">
          <cell r="A79" t="str">
            <v>99K</v>
          </cell>
        </row>
        <row r="80">
          <cell r="A80" t="str">
            <v>08G</v>
          </cell>
        </row>
        <row r="81">
          <cell r="A81" t="str">
            <v>09X</v>
          </cell>
        </row>
        <row r="82">
          <cell r="A82" t="str">
            <v>07Y</v>
          </cell>
        </row>
        <row r="83">
          <cell r="A83" t="str">
            <v>03F</v>
          </cell>
        </row>
        <row r="84">
          <cell r="A84" t="str">
            <v>06L</v>
          </cell>
        </row>
        <row r="85">
          <cell r="A85" t="str">
            <v>10L</v>
          </cell>
        </row>
        <row r="86">
          <cell r="A86" t="str">
            <v>08H</v>
          </cell>
        </row>
        <row r="87">
          <cell r="A87" t="str">
            <v>11N</v>
          </cell>
        </row>
        <row r="88">
          <cell r="A88" t="str">
            <v>08J</v>
          </cell>
        </row>
        <row r="89">
          <cell r="A89" t="str">
            <v>01J</v>
          </cell>
        </row>
        <row r="90">
          <cell r="A90" t="str">
            <v>08K</v>
          </cell>
        </row>
        <row r="91">
          <cell r="A91" t="str">
            <v>02V</v>
          </cell>
        </row>
        <row r="92">
          <cell r="A92" t="str">
            <v>03G</v>
          </cell>
        </row>
        <row r="93">
          <cell r="A93" t="str">
            <v>03C</v>
          </cell>
        </row>
        <row r="94">
          <cell r="A94" t="str">
            <v>04C</v>
          </cell>
        </row>
        <row r="95">
          <cell r="A95" t="str">
            <v>08L</v>
          </cell>
        </row>
        <row r="96">
          <cell r="A96" t="str">
            <v>03T</v>
          </cell>
        </row>
        <row r="97">
          <cell r="A97" t="str">
            <v>04D</v>
          </cell>
        </row>
        <row r="98">
          <cell r="A98" t="str">
            <v>99A</v>
          </cell>
        </row>
        <row r="99">
          <cell r="A99" t="str">
            <v>06P</v>
          </cell>
        </row>
        <row r="100">
          <cell r="A100" t="str">
            <v>14L</v>
          </cell>
        </row>
        <row r="101">
          <cell r="A101" t="str">
            <v>04E</v>
          </cell>
        </row>
        <row r="102">
          <cell r="A102" t="str">
            <v>09W</v>
          </cell>
        </row>
        <row r="103">
          <cell r="A103" t="str">
            <v>08R</v>
          </cell>
        </row>
        <row r="104">
          <cell r="A104" t="str">
            <v>06Q</v>
          </cell>
        </row>
        <row r="105">
          <cell r="A105" t="str">
            <v>04F</v>
          </cell>
        </row>
        <row r="106">
          <cell r="A106" t="str">
            <v>01K</v>
          </cell>
        </row>
        <row r="107">
          <cell r="A107" t="str">
            <v>04G</v>
          </cell>
        </row>
        <row r="108">
          <cell r="A108" t="str">
            <v>04H</v>
          </cell>
        </row>
        <row r="109">
          <cell r="A109" t="str">
            <v>10M</v>
          </cell>
        </row>
        <row r="110">
          <cell r="A110" t="str">
            <v>13T</v>
          </cell>
        </row>
        <row r="111">
          <cell r="A111" t="str">
            <v>08M</v>
          </cell>
        </row>
        <row r="112">
          <cell r="A112" t="str">
            <v>10N</v>
          </cell>
        </row>
        <row r="113">
          <cell r="A113" t="str">
            <v>01H</v>
          </cell>
        </row>
        <row r="114">
          <cell r="A114" t="str">
            <v>04J</v>
          </cell>
        </row>
        <row r="115">
          <cell r="A115" t="str">
            <v>00J</v>
          </cell>
        </row>
        <row r="116">
          <cell r="A116" t="str">
            <v>06T</v>
          </cell>
        </row>
        <row r="117">
          <cell r="A117" t="str">
            <v>99M</v>
          </cell>
        </row>
        <row r="118">
          <cell r="A118" t="str">
            <v>03H</v>
          </cell>
        </row>
        <row r="119">
          <cell r="A119" t="str">
            <v>10J</v>
          </cell>
        </row>
        <row r="120">
          <cell r="A120" t="str">
            <v>03J</v>
          </cell>
        </row>
        <row r="121">
          <cell r="A121" t="str">
            <v>03K</v>
          </cell>
        </row>
        <row r="122">
          <cell r="A122" t="str">
            <v>06V</v>
          </cell>
        </row>
        <row r="123">
          <cell r="A123" t="str">
            <v>11T</v>
          </cell>
        </row>
        <row r="124">
          <cell r="A124" t="str">
            <v>05G</v>
          </cell>
        </row>
        <row r="125">
          <cell r="A125" t="str">
            <v>99C</v>
          </cell>
        </row>
        <row r="126">
          <cell r="A126" t="str">
            <v>09Y</v>
          </cell>
        </row>
        <row r="127">
          <cell r="A127" t="str">
            <v>99P</v>
          </cell>
        </row>
        <row r="128">
          <cell r="A128" t="str">
            <v>00L</v>
          </cell>
        </row>
        <row r="129">
          <cell r="A129" t="str">
            <v>06W</v>
          </cell>
        </row>
        <row r="130">
          <cell r="A130" t="str">
            <v>04K</v>
          </cell>
        </row>
        <row r="131">
          <cell r="A131" t="str">
            <v>04L</v>
          </cell>
        </row>
        <row r="132">
          <cell r="A132" t="str">
            <v>04M</v>
          </cell>
        </row>
        <row r="133">
          <cell r="A133" t="str">
            <v>00Y</v>
          </cell>
        </row>
        <row r="134">
          <cell r="A134" t="str">
            <v>10Q</v>
          </cell>
        </row>
        <row r="135">
          <cell r="A135" t="str">
            <v>10R</v>
          </cell>
        </row>
        <row r="136">
          <cell r="A136" t="str">
            <v>08N</v>
          </cell>
        </row>
        <row r="137">
          <cell r="A137" t="str">
            <v>05J</v>
          </cell>
        </row>
        <row r="138">
          <cell r="A138" t="str">
            <v>08P</v>
          </cell>
        </row>
        <row r="139">
          <cell r="A139" t="str">
            <v>03L</v>
          </cell>
        </row>
        <row r="140">
          <cell r="A140" t="str">
            <v>04N</v>
          </cell>
        </row>
        <row r="141">
          <cell r="A141" t="str">
            <v>01G</v>
          </cell>
        </row>
        <row r="142">
          <cell r="A142" t="str">
            <v>05L</v>
          </cell>
        </row>
        <row r="143">
          <cell r="A143" t="str">
            <v>03M</v>
          </cell>
        </row>
        <row r="144">
          <cell r="A144" t="str">
            <v>03N</v>
          </cell>
        </row>
        <row r="145">
          <cell r="A145" t="str">
            <v>05N</v>
          </cell>
        </row>
        <row r="146">
          <cell r="A146" t="str">
            <v>10T</v>
          </cell>
        </row>
        <row r="147">
          <cell r="A147" t="str">
            <v>05P</v>
          </cell>
        </row>
        <row r="148">
          <cell r="A148" t="str">
            <v>11X</v>
          </cell>
        </row>
        <row r="149">
          <cell r="A149" t="str">
            <v>01R</v>
          </cell>
        </row>
        <row r="150">
          <cell r="A150" t="str">
            <v>99Q</v>
          </cell>
        </row>
        <row r="151">
          <cell r="A151" t="str">
            <v>05Q</v>
          </cell>
        </row>
        <row r="152">
          <cell r="A152" t="str">
            <v>10V</v>
          </cell>
        </row>
        <row r="153">
          <cell r="A153" t="str">
            <v>12A</v>
          </cell>
        </row>
        <row r="154">
          <cell r="A154" t="str">
            <v>10A</v>
          </cell>
        </row>
        <row r="155">
          <cell r="A155" t="str">
            <v>99D</v>
          </cell>
        </row>
        <row r="156">
          <cell r="A156" t="str">
            <v>06Y</v>
          </cell>
        </row>
        <row r="157">
          <cell r="A157" t="str">
            <v>10W</v>
          </cell>
        </row>
        <row r="158">
          <cell r="A158" t="str">
            <v>01T</v>
          </cell>
        </row>
        <row r="159">
          <cell r="A159" t="str">
            <v>00M</v>
          </cell>
        </row>
        <row r="160">
          <cell r="A160" t="str">
            <v>00N</v>
          </cell>
        </row>
        <row r="161">
          <cell r="A161" t="str">
            <v>05R</v>
          </cell>
        </row>
        <row r="162">
          <cell r="A162" t="str">
            <v>04Q</v>
          </cell>
        </row>
        <row r="163">
          <cell r="A163" t="str">
            <v>05T</v>
          </cell>
        </row>
        <row r="164">
          <cell r="A164" t="str">
            <v>10X</v>
          </cell>
        </row>
        <row r="165">
          <cell r="A165" t="str">
            <v>99G</v>
          </cell>
        </row>
        <row r="166">
          <cell r="A166" t="str">
            <v>04R</v>
          </cell>
        </row>
        <row r="167">
          <cell r="A167" t="str">
            <v>01V</v>
          </cell>
        </row>
        <row r="168">
          <cell r="A168" t="str">
            <v>08Q</v>
          </cell>
        </row>
        <row r="169">
          <cell r="A169" t="str">
            <v>01X</v>
          </cell>
        </row>
        <row r="170">
          <cell r="A170" t="str">
            <v>05V</v>
          </cell>
        </row>
        <row r="171">
          <cell r="A171" t="str">
            <v>01W</v>
          </cell>
        </row>
        <row r="172">
          <cell r="A172" t="str">
            <v>05W</v>
          </cell>
        </row>
        <row r="173">
          <cell r="A173" t="str">
            <v>00P</v>
          </cell>
        </row>
        <row r="174">
          <cell r="A174" t="str">
            <v>99H</v>
          </cell>
        </row>
        <row r="175">
          <cell r="A175" t="str">
            <v>10C</v>
          </cell>
        </row>
        <row r="176">
          <cell r="A176" t="str">
            <v>08T</v>
          </cell>
        </row>
        <row r="177">
          <cell r="A177" t="str">
            <v>10D</v>
          </cell>
        </row>
        <row r="178">
          <cell r="A178" t="str">
            <v>12D</v>
          </cell>
        </row>
        <row r="179">
          <cell r="A179" t="str">
            <v>01Y</v>
          </cell>
        </row>
        <row r="180">
          <cell r="A180" t="str">
            <v>05X</v>
          </cell>
        </row>
        <row r="181">
          <cell r="A181" t="str">
            <v>10E</v>
          </cell>
        </row>
        <row r="182">
          <cell r="A182" t="str">
            <v>07G</v>
          </cell>
        </row>
        <row r="183">
          <cell r="A183" t="str">
            <v>08V</v>
          </cell>
        </row>
        <row r="184">
          <cell r="A184" t="str">
            <v>02A</v>
          </cell>
        </row>
        <row r="185">
          <cell r="A185" t="str">
            <v>03Q</v>
          </cell>
        </row>
        <row r="186">
          <cell r="A186" t="str">
            <v>02D</v>
          </cell>
        </row>
        <row r="187">
          <cell r="A187" t="str">
            <v>03R</v>
          </cell>
        </row>
        <row r="188">
          <cell r="A188" t="str">
            <v>05Y</v>
          </cell>
        </row>
        <row r="189">
          <cell r="A189" t="str">
            <v>08W</v>
          </cell>
        </row>
        <row r="190">
          <cell r="A190" t="str">
            <v>08X</v>
          </cell>
        </row>
        <row r="191">
          <cell r="A191" t="str">
            <v>02E</v>
          </cell>
        </row>
        <row r="192">
          <cell r="A192" t="str">
            <v>05H</v>
          </cell>
        </row>
        <row r="193">
          <cell r="A193" t="str">
            <v>02F</v>
          </cell>
        </row>
        <row r="194">
          <cell r="A194" t="str">
            <v>07H</v>
          </cell>
        </row>
        <row r="195">
          <cell r="A195" t="str">
            <v>11A</v>
          </cell>
        </row>
        <row r="196">
          <cell r="A196" t="str">
            <v>99J</v>
          </cell>
        </row>
        <row r="197">
          <cell r="A197" t="str">
            <v>02G</v>
          </cell>
        </row>
        <row r="198">
          <cell r="A198" t="str">
            <v>04V</v>
          </cell>
        </row>
        <row r="199">
          <cell r="A199" t="str">
            <v>08Y</v>
          </cell>
        </row>
        <row r="200">
          <cell r="A200" t="str">
            <v>07J</v>
          </cell>
        </row>
        <row r="201">
          <cell r="A201" t="str">
            <v>07K</v>
          </cell>
        </row>
        <row r="202">
          <cell r="A202" t="str">
            <v>02H</v>
          </cell>
        </row>
        <row r="203">
          <cell r="A203" t="str">
            <v>99N</v>
          </cell>
        </row>
        <row r="204">
          <cell r="A204" t="str">
            <v>11C</v>
          </cell>
        </row>
        <row r="205">
          <cell r="A205" t="str">
            <v>12F</v>
          </cell>
        </row>
        <row r="206">
          <cell r="A206" t="str">
            <v>11D</v>
          </cell>
        </row>
        <row r="207">
          <cell r="A207" t="str">
            <v>06A</v>
          </cell>
        </row>
        <row r="208">
          <cell r="A208" t="str">
            <v>06D</v>
          </cell>
        </row>
      </sheetData>
      <sheetData sheetId="10"/>
      <sheetData sheetId="11"/>
    </sheetDataSet>
  </externalBook>
</externalLink>
</file>

<file path=xl/theme/theme1.xml><?xml version="1.0" encoding="utf-8"?>
<a:theme xmlns:a="http://schemas.openxmlformats.org/drawingml/2006/main" name="Office Theme">
  <a:themeElements>
    <a:clrScheme name="NHS Digital">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psi@nationalarchives.gsi.gov.uk" TargetMode="External"/><Relationship Id="rId1" Type="http://schemas.openxmlformats.org/officeDocument/2006/relationships/hyperlink" Target="http://www.nationalarchives.gov.uk/doc/open-government-licence"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FFFF00"/>
  </sheetPr>
  <dimension ref="A1:F284"/>
  <sheetViews>
    <sheetView workbookViewId="0">
      <pane ySplit="9" topLeftCell="A49" activePane="bottomLeft" state="frozen"/>
      <selection activeCell="E2" sqref="A2:E312"/>
      <selection pane="bottomLeft" activeCell="E2" sqref="A2:E312"/>
    </sheetView>
  </sheetViews>
  <sheetFormatPr defaultColWidth="9.1796875" defaultRowHeight="14.5" x14ac:dyDescent="0.35"/>
  <cols>
    <col min="1" max="1" width="4" style="156" customWidth="1"/>
    <col min="2" max="2" width="11.1796875" style="156" customWidth="1"/>
    <col min="3" max="3" width="4.1796875" style="156" customWidth="1"/>
    <col min="4" max="4" width="28.453125" style="156" customWidth="1"/>
    <col min="5" max="5" width="115.1796875" style="156" customWidth="1"/>
    <col min="6" max="6" width="9.1796875" style="155" customWidth="1"/>
    <col min="7" max="12" width="9.1796875" style="156" customWidth="1"/>
    <col min="13" max="16384" width="9.1796875" style="156"/>
  </cols>
  <sheetData>
    <row r="1" spans="1:6" ht="18.75" customHeight="1" x14ac:dyDescent="0.4">
      <c r="A1" s="399" t="s">
        <v>0</v>
      </c>
      <c r="B1" s="398"/>
      <c r="C1" s="398"/>
      <c r="D1" s="398"/>
      <c r="E1" s="398"/>
    </row>
    <row r="2" spans="1:6" x14ac:dyDescent="0.35">
      <c r="B2" s="182"/>
      <c r="C2" s="182"/>
      <c r="D2" s="182"/>
      <c r="E2" s="182"/>
    </row>
    <row r="3" spans="1:6" x14ac:dyDescent="0.35">
      <c r="A3" s="400" t="s">
        <v>1</v>
      </c>
      <c r="B3" s="398"/>
      <c r="C3" s="157">
        <v>1</v>
      </c>
      <c r="D3" s="158"/>
      <c r="E3" s="159" t="s">
        <v>2</v>
      </c>
    </row>
    <row r="4" spans="1:6" ht="38.25" customHeight="1" x14ac:dyDescent="0.35">
      <c r="B4" s="182"/>
      <c r="C4" s="157">
        <v>2</v>
      </c>
      <c r="D4" s="401" t="s">
        <v>3</v>
      </c>
      <c r="E4" s="398"/>
    </row>
    <row r="5" spans="1:6" ht="63.75" customHeight="1" x14ac:dyDescent="0.35">
      <c r="B5" s="182"/>
      <c r="C5" s="157">
        <v>3</v>
      </c>
      <c r="D5" s="401" t="s">
        <v>4</v>
      </c>
      <c r="E5" s="398"/>
    </row>
    <row r="6" spans="1:6" ht="35.25" customHeight="1" x14ac:dyDescent="0.35">
      <c r="B6" s="182"/>
      <c r="C6" s="157">
        <v>4</v>
      </c>
      <c r="D6" s="401" t="s">
        <v>5</v>
      </c>
      <c r="E6" s="398"/>
    </row>
    <row r="7" spans="1:6" ht="21" customHeight="1" x14ac:dyDescent="0.35">
      <c r="B7" s="182"/>
      <c r="C7" s="157">
        <v>5</v>
      </c>
      <c r="D7" s="401" t="s">
        <v>6</v>
      </c>
      <c r="E7" s="398"/>
    </row>
    <row r="8" spans="1:6" ht="18" customHeight="1" x14ac:dyDescent="0.35">
      <c r="B8" s="182"/>
      <c r="C8" s="157"/>
    </row>
    <row r="9" spans="1:6" ht="18" customHeight="1" x14ac:dyDescent="0.35">
      <c r="B9" s="182"/>
      <c r="C9" s="160"/>
      <c r="D9" s="161"/>
      <c r="E9" s="161"/>
    </row>
    <row r="10" spans="1:6" ht="18" customHeight="1" x14ac:dyDescent="0.3">
      <c r="A10" s="403" t="s">
        <v>7</v>
      </c>
      <c r="B10" s="398"/>
      <c r="C10" s="398"/>
      <c r="D10" s="398"/>
      <c r="E10" s="161"/>
      <c r="F10" s="162" t="s">
        <v>8</v>
      </c>
    </row>
    <row r="12" spans="1:6" x14ac:dyDescent="0.3">
      <c r="A12" s="157">
        <v>1</v>
      </c>
      <c r="B12" s="165" t="s">
        <v>9</v>
      </c>
      <c r="C12" s="397" t="s">
        <v>10</v>
      </c>
      <c r="D12" s="398"/>
      <c r="E12" s="165" t="s">
        <v>11</v>
      </c>
      <c r="F12" s="167" t="s">
        <v>12</v>
      </c>
    </row>
    <row r="13" spans="1:6" x14ac:dyDescent="0.3">
      <c r="A13" s="157"/>
      <c r="B13" s="165"/>
      <c r="C13" s="159"/>
      <c r="D13" s="159"/>
      <c r="E13" s="165" t="s">
        <v>13</v>
      </c>
      <c r="F13" s="167" t="s">
        <v>12</v>
      </c>
    </row>
    <row r="14" spans="1:6" x14ac:dyDescent="0.3">
      <c r="A14" s="157"/>
      <c r="B14" s="165"/>
      <c r="C14" s="159"/>
      <c r="D14" s="159"/>
      <c r="E14" s="165" t="s">
        <v>14</v>
      </c>
      <c r="F14" s="167" t="s">
        <v>12</v>
      </c>
    </row>
    <row r="15" spans="1:6" x14ac:dyDescent="0.3">
      <c r="A15" s="157"/>
      <c r="B15" s="165"/>
      <c r="C15" s="159"/>
      <c r="D15" s="159"/>
      <c r="E15" s="165" t="s">
        <v>15</v>
      </c>
      <c r="F15" s="167" t="s">
        <v>12</v>
      </c>
    </row>
    <row r="16" spans="1:6" ht="30" customHeight="1" x14ac:dyDescent="0.3">
      <c r="A16" s="157"/>
      <c r="B16" s="165"/>
      <c r="C16" s="159"/>
      <c r="D16" s="159"/>
      <c r="E16" s="166" t="s">
        <v>16</v>
      </c>
      <c r="F16" s="167" t="s">
        <v>12</v>
      </c>
    </row>
    <row r="17" spans="1:6" x14ac:dyDescent="0.3">
      <c r="F17" s="168"/>
    </row>
    <row r="18" spans="1:6" ht="103.5" customHeight="1" x14ac:dyDescent="0.3">
      <c r="A18" s="157">
        <v>2</v>
      </c>
      <c r="B18" s="165" t="s">
        <v>9</v>
      </c>
      <c r="C18" s="397" t="s">
        <v>17</v>
      </c>
      <c r="D18" s="398"/>
      <c r="E18" s="246" t="s">
        <v>18</v>
      </c>
      <c r="F18" s="167" t="s">
        <v>12</v>
      </c>
    </row>
    <row r="19" spans="1:6" ht="28.5" customHeight="1" x14ac:dyDescent="0.3">
      <c r="A19" s="157"/>
      <c r="B19" s="165"/>
      <c r="C19" s="159"/>
      <c r="D19" s="159"/>
      <c r="E19" s="166" t="s">
        <v>19</v>
      </c>
      <c r="F19" s="167" t="s">
        <v>12</v>
      </c>
    </row>
    <row r="20" spans="1:6" x14ac:dyDescent="0.3">
      <c r="F20" s="168"/>
    </row>
    <row r="21" spans="1:6" ht="60.75" customHeight="1" x14ac:dyDescent="0.3">
      <c r="A21" s="157">
        <v>3</v>
      </c>
      <c r="B21" s="165" t="s">
        <v>9</v>
      </c>
      <c r="C21" s="397" t="s">
        <v>20</v>
      </c>
      <c r="D21" s="398"/>
      <c r="E21" s="166" t="s">
        <v>21</v>
      </c>
      <c r="F21" s="167" t="s">
        <v>12</v>
      </c>
    </row>
    <row r="22" spans="1:6" ht="28.5" customHeight="1" x14ac:dyDescent="0.3">
      <c r="E22" s="166" t="s">
        <v>22</v>
      </c>
      <c r="F22" s="167" t="s">
        <v>12</v>
      </c>
    </row>
    <row r="23" spans="1:6" x14ac:dyDescent="0.3">
      <c r="B23" s="164"/>
      <c r="C23" s="164"/>
      <c r="F23" s="168"/>
    </row>
    <row r="24" spans="1:6" ht="33" customHeight="1" x14ac:dyDescent="0.3">
      <c r="A24" s="157">
        <v>4</v>
      </c>
      <c r="B24" s="165" t="s">
        <v>9</v>
      </c>
      <c r="C24" s="397" t="s">
        <v>23</v>
      </c>
      <c r="D24" s="398"/>
      <c r="E24" s="166" t="s">
        <v>24</v>
      </c>
      <c r="F24" s="167" t="s">
        <v>12</v>
      </c>
    </row>
    <row r="25" spans="1:6" x14ac:dyDescent="0.3">
      <c r="B25" s="164"/>
      <c r="C25" s="245"/>
      <c r="D25" s="165"/>
      <c r="E25" s="165" t="s">
        <v>25</v>
      </c>
      <c r="F25" s="167" t="s">
        <v>12</v>
      </c>
    </row>
    <row r="26" spans="1:6" x14ac:dyDescent="0.3">
      <c r="B26" s="164"/>
      <c r="C26" s="245"/>
      <c r="D26" s="165"/>
      <c r="E26" s="165" t="s">
        <v>26</v>
      </c>
      <c r="F26" s="168"/>
    </row>
    <row r="27" spans="1:6" ht="28.5" customHeight="1" x14ac:dyDescent="0.3">
      <c r="B27" s="164"/>
      <c r="C27" s="245"/>
      <c r="D27" s="165"/>
      <c r="E27" s="166" t="s">
        <v>27</v>
      </c>
      <c r="F27" s="167" t="s">
        <v>12</v>
      </c>
    </row>
    <row r="28" spans="1:6" ht="28.5" customHeight="1" x14ac:dyDescent="0.3">
      <c r="B28" s="164"/>
      <c r="C28" s="245"/>
      <c r="D28" s="165"/>
      <c r="E28" s="166" t="s">
        <v>28</v>
      </c>
      <c r="F28" s="167" t="s">
        <v>12</v>
      </c>
    </row>
    <row r="29" spans="1:6" x14ac:dyDescent="0.3">
      <c r="E29" s="156" t="s">
        <v>29</v>
      </c>
      <c r="F29" s="168"/>
    </row>
    <row r="30" spans="1:6" x14ac:dyDescent="0.3">
      <c r="A30" s="157">
        <v>5</v>
      </c>
      <c r="B30" s="156" t="s">
        <v>9</v>
      </c>
      <c r="C30" s="402" t="s">
        <v>30</v>
      </c>
      <c r="D30" s="398"/>
      <c r="E30" s="156" t="s">
        <v>31</v>
      </c>
      <c r="F30" s="167" t="s">
        <v>12</v>
      </c>
    </row>
    <row r="31" spans="1:6" ht="28.5" customHeight="1" x14ac:dyDescent="0.3">
      <c r="E31" s="181" t="s">
        <v>32</v>
      </c>
      <c r="F31" s="168"/>
    </row>
    <row r="32" spans="1:6" x14ac:dyDescent="0.3">
      <c r="E32" s="156" t="s">
        <v>33</v>
      </c>
      <c r="F32" s="167" t="s">
        <v>12</v>
      </c>
    </row>
    <row r="33" spans="1:6" x14ac:dyDescent="0.3">
      <c r="F33" s="168"/>
    </row>
    <row r="34" spans="1:6" ht="28.5" customHeight="1" x14ac:dyDescent="0.3">
      <c r="E34" s="181" t="s">
        <v>34</v>
      </c>
      <c r="F34" s="167" t="s">
        <v>12</v>
      </c>
    </row>
    <row r="35" spans="1:6" x14ac:dyDescent="0.3">
      <c r="F35" s="168"/>
    </row>
    <row r="36" spans="1:6" ht="134.25" customHeight="1" x14ac:dyDescent="0.3">
      <c r="A36" s="157">
        <v>6</v>
      </c>
      <c r="B36" s="165" t="s">
        <v>9</v>
      </c>
      <c r="C36" s="397" t="s">
        <v>10</v>
      </c>
      <c r="D36" s="398"/>
      <c r="E36" s="166" t="s">
        <v>35</v>
      </c>
      <c r="F36" s="167" t="s">
        <v>12</v>
      </c>
    </row>
    <row r="37" spans="1:6" x14ac:dyDescent="0.3">
      <c r="F37" s="168"/>
    </row>
    <row r="38" spans="1:6" x14ac:dyDescent="0.3">
      <c r="A38" s="157">
        <v>7</v>
      </c>
      <c r="B38" s="159" t="s">
        <v>36</v>
      </c>
      <c r="C38" s="156" t="s">
        <v>37</v>
      </c>
      <c r="D38" s="182"/>
      <c r="E38" s="182"/>
      <c r="F38" s="167" t="s">
        <v>12</v>
      </c>
    </row>
    <row r="39" spans="1:6" x14ac:dyDescent="0.3">
      <c r="A39" s="157"/>
      <c r="B39" s="159"/>
      <c r="C39" s="156" t="s">
        <v>38</v>
      </c>
      <c r="D39" s="182"/>
      <c r="E39" s="182"/>
      <c r="F39" s="167"/>
    </row>
    <row r="40" spans="1:6" x14ac:dyDescent="0.3">
      <c r="C40" s="156" t="s">
        <v>39</v>
      </c>
      <c r="F40" s="167"/>
    </row>
    <row r="41" spans="1:6" x14ac:dyDescent="0.3">
      <c r="C41" s="156" t="s">
        <v>40</v>
      </c>
      <c r="F41" s="248"/>
    </row>
    <row r="42" spans="1:6" x14ac:dyDescent="0.3">
      <c r="C42" s="156" t="s">
        <v>41</v>
      </c>
      <c r="F42" s="168"/>
    </row>
    <row r="43" spans="1:6" x14ac:dyDescent="0.3">
      <c r="F43" s="168"/>
    </row>
    <row r="44" spans="1:6" x14ac:dyDescent="0.3">
      <c r="A44" s="163">
        <v>8</v>
      </c>
      <c r="B44" s="156" t="s">
        <v>42</v>
      </c>
      <c r="C44" s="163">
        <v>1</v>
      </c>
      <c r="D44" s="156" t="s">
        <v>43</v>
      </c>
      <c r="F44" s="167"/>
    </row>
    <row r="45" spans="1:6" x14ac:dyDescent="0.3">
      <c r="E45" s="156" t="s">
        <v>44</v>
      </c>
      <c r="F45" s="168"/>
    </row>
    <row r="46" spans="1:6" x14ac:dyDescent="0.3">
      <c r="E46" s="156" t="s">
        <v>10</v>
      </c>
      <c r="F46" s="168"/>
    </row>
    <row r="47" spans="1:6" x14ac:dyDescent="0.3">
      <c r="E47" s="156" t="s">
        <v>17</v>
      </c>
      <c r="F47" s="168"/>
    </row>
    <row r="48" spans="1:6" x14ac:dyDescent="0.3">
      <c r="E48" s="156" t="s">
        <v>20</v>
      </c>
      <c r="F48" s="168"/>
    </row>
    <row r="49" spans="1:6" x14ac:dyDescent="0.3">
      <c r="E49" s="156" t="s">
        <v>23</v>
      </c>
      <c r="F49" s="168"/>
    </row>
    <row r="50" spans="1:6" x14ac:dyDescent="0.3">
      <c r="E50" s="156" t="s">
        <v>30</v>
      </c>
      <c r="F50" s="168"/>
    </row>
    <row r="51" spans="1:6" x14ac:dyDescent="0.3">
      <c r="E51" s="156" t="s">
        <v>45</v>
      </c>
      <c r="F51" s="168"/>
    </row>
    <row r="52" spans="1:6" x14ac:dyDescent="0.3">
      <c r="E52" s="156" t="s">
        <v>46</v>
      </c>
      <c r="F52" s="168"/>
    </row>
    <row r="53" spans="1:6" x14ac:dyDescent="0.3">
      <c r="E53" s="156" t="s">
        <v>47</v>
      </c>
      <c r="F53" s="168"/>
    </row>
    <row r="54" spans="1:6" x14ac:dyDescent="0.3">
      <c r="F54" s="168"/>
    </row>
    <row r="55" spans="1:6" x14ac:dyDescent="0.3">
      <c r="F55" s="168"/>
    </row>
    <row r="56" spans="1:6" x14ac:dyDescent="0.3">
      <c r="C56" s="163">
        <v>2</v>
      </c>
      <c r="D56" s="156" t="s">
        <v>48</v>
      </c>
      <c r="E56" s="156" t="s">
        <v>49</v>
      </c>
      <c r="F56" s="167"/>
    </row>
    <row r="57" spans="1:6" x14ac:dyDescent="0.3">
      <c r="C57" s="163">
        <v>3</v>
      </c>
      <c r="D57" s="156" t="s">
        <v>50</v>
      </c>
      <c r="E57" s="156" t="s">
        <v>49</v>
      </c>
      <c r="F57" s="167"/>
    </row>
    <row r="58" spans="1:6" x14ac:dyDescent="0.3">
      <c r="F58" s="168"/>
    </row>
    <row r="59" spans="1:6" ht="15" customHeight="1" x14ac:dyDescent="0.3">
      <c r="A59" s="156">
        <v>9</v>
      </c>
      <c r="B59" s="156" t="s">
        <v>51</v>
      </c>
      <c r="C59" s="183" t="s">
        <v>52</v>
      </c>
      <c r="F59" s="168"/>
    </row>
    <row r="60" spans="1:6" ht="15" customHeight="1" x14ac:dyDescent="0.3">
      <c r="C60" s="247" t="s">
        <v>53</v>
      </c>
      <c r="F60" s="168"/>
    </row>
    <row r="61" spans="1:6" ht="15" customHeight="1" x14ac:dyDescent="0.3">
      <c r="C61" s="247" t="s">
        <v>54</v>
      </c>
      <c r="F61" s="168"/>
    </row>
    <row r="62" spans="1:6" ht="15" customHeight="1" x14ac:dyDescent="0.3">
      <c r="C62" s="183" t="s">
        <v>55</v>
      </c>
      <c r="F62" s="168"/>
    </row>
    <row r="63" spans="1:6" ht="15" customHeight="1" x14ac:dyDescent="0.3">
      <c r="C63" s="183" t="s">
        <v>56</v>
      </c>
      <c r="F63" s="168"/>
    </row>
    <row r="64" spans="1:6" x14ac:dyDescent="0.3">
      <c r="F64" s="168"/>
    </row>
    <row r="65" spans="6:6" x14ac:dyDescent="0.3">
      <c r="F65" s="168"/>
    </row>
    <row r="66" spans="6:6" x14ac:dyDescent="0.3">
      <c r="F66" s="168"/>
    </row>
    <row r="67" spans="6:6" x14ac:dyDescent="0.3">
      <c r="F67" s="168"/>
    </row>
    <row r="68" spans="6:6" x14ac:dyDescent="0.3">
      <c r="F68" s="168"/>
    </row>
    <row r="69" spans="6:6" x14ac:dyDescent="0.3">
      <c r="F69" s="168"/>
    </row>
    <row r="70" spans="6:6" x14ac:dyDescent="0.3">
      <c r="F70" s="168"/>
    </row>
    <row r="71" spans="6:6" x14ac:dyDescent="0.3">
      <c r="F71" s="168"/>
    </row>
    <row r="72" spans="6:6" x14ac:dyDescent="0.3">
      <c r="F72" s="168"/>
    </row>
    <row r="73" spans="6:6" x14ac:dyDescent="0.3">
      <c r="F73" s="168"/>
    </row>
    <row r="74" spans="6:6" x14ac:dyDescent="0.3">
      <c r="F74" s="168"/>
    </row>
    <row r="75" spans="6:6" x14ac:dyDescent="0.3">
      <c r="F75" s="168"/>
    </row>
    <row r="76" spans="6:6" x14ac:dyDescent="0.3">
      <c r="F76" s="168"/>
    </row>
    <row r="77" spans="6:6" x14ac:dyDescent="0.3">
      <c r="F77" s="168"/>
    </row>
    <row r="78" spans="6:6" x14ac:dyDescent="0.3">
      <c r="F78" s="168"/>
    </row>
    <row r="79" spans="6:6" x14ac:dyDescent="0.3">
      <c r="F79" s="168"/>
    </row>
    <row r="80" spans="6:6" x14ac:dyDescent="0.3">
      <c r="F80" s="168"/>
    </row>
    <row r="81" spans="6:6" x14ac:dyDescent="0.3">
      <c r="F81" s="168"/>
    </row>
    <row r="82" spans="6:6" x14ac:dyDescent="0.3">
      <c r="F82" s="168"/>
    </row>
    <row r="83" spans="6:6" x14ac:dyDescent="0.3">
      <c r="F83" s="168"/>
    </row>
    <row r="84" spans="6:6" x14ac:dyDescent="0.3">
      <c r="F84" s="168"/>
    </row>
    <row r="85" spans="6:6" x14ac:dyDescent="0.3">
      <c r="F85" s="168"/>
    </row>
    <row r="86" spans="6:6" x14ac:dyDescent="0.3">
      <c r="F86" s="168"/>
    </row>
    <row r="87" spans="6:6" x14ac:dyDescent="0.3">
      <c r="F87" s="168"/>
    </row>
    <row r="88" spans="6:6" x14ac:dyDescent="0.3">
      <c r="F88" s="168"/>
    </row>
    <row r="89" spans="6:6" x14ac:dyDescent="0.3">
      <c r="F89" s="168"/>
    </row>
    <row r="90" spans="6:6" x14ac:dyDescent="0.3">
      <c r="F90" s="168"/>
    </row>
    <row r="91" spans="6:6" x14ac:dyDescent="0.3">
      <c r="F91" s="168"/>
    </row>
    <row r="92" spans="6:6" x14ac:dyDescent="0.3">
      <c r="F92" s="168"/>
    </row>
    <row r="93" spans="6:6" x14ac:dyDescent="0.3">
      <c r="F93" s="168"/>
    </row>
    <row r="94" spans="6:6" x14ac:dyDescent="0.3">
      <c r="F94" s="168"/>
    </row>
    <row r="95" spans="6:6" x14ac:dyDescent="0.3">
      <c r="F95" s="168"/>
    </row>
    <row r="96" spans="6:6" x14ac:dyDescent="0.3">
      <c r="F96" s="168"/>
    </row>
    <row r="97" spans="6:6" x14ac:dyDescent="0.3">
      <c r="F97" s="168"/>
    </row>
    <row r="98" spans="6:6" x14ac:dyDescent="0.3">
      <c r="F98" s="168"/>
    </row>
    <row r="99" spans="6:6" x14ac:dyDescent="0.3">
      <c r="F99" s="168"/>
    </row>
    <row r="100" spans="6:6" x14ac:dyDescent="0.3">
      <c r="F100" s="168"/>
    </row>
    <row r="101" spans="6:6" x14ac:dyDescent="0.3">
      <c r="F101" s="168"/>
    </row>
    <row r="102" spans="6:6" x14ac:dyDescent="0.3">
      <c r="F102" s="168"/>
    </row>
    <row r="103" spans="6:6" x14ac:dyDescent="0.3">
      <c r="F103" s="168"/>
    </row>
    <row r="104" spans="6:6" x14ac:dyDescent="0.3">
      <c r="F104" s="168"/>
    </row>
    <row r="105" spans="6:6" x14ac:dyDescent="0.3">
      <c r="F105" s="168"/>
    </row>
    <row r="106" spans="6:6" x14ac:dyDescent="0.3">
      <c r="F106" s="168"/>
    </row>
    <row r="107" spans="6:6" x14ac:dyDescent="0.3">
      <c r="F107" s="168"/>
    </row>
    <row r="108" spans="6:6" x14ac:dyDescent="0.3">
      <c r="F108" s="168"/>
    </row>
    <row r="109" spans="6:6" x14ac:dyDescent="0.3">
      <c r="F109" s="168"/>
    </row>
    <row r="110" spans="6:6" x14ac:dyDescent="0.3">
      <c r="F110" s="168"/>
    </row>
    <row r="111" spans="6:6" x14ac:dyDescent="0.3">
      <c r="F111" s="168"/>
    </row>
    <row r="112" spans="6:6" x14ac:dyDescent="0.3">
      <c r="F112" s="168"/>
    </row>
    <row r="113" spans="6:6" x14ac:dyDescent="0.3">
      <c r="F113" s="168"/>
    </row>
    <row r="114" spans="6:6" x14ac:dyDescent="0.3">
      <c r="F114" s="168"/>
    </row>
    <row r="115" spans="6:6" x14ac:dyDescent="0.3">
      <c r="F115" s="168"/>
    </row>
    <row r="116" spans="6:6" x14ac:dyDescent="0.3">
      <c r="F116" s="168"/>
    </row>
    <row r="117" spans="6:6" x14ac:dyDescent="0.3">
      <c r="F117" s="168"/>
    </row>
    <row r="118" spans="6:6" x14ac:dyDescent="0.3">
      <c r="F118" s="168"/>
    </row>
    <row r="119" spans="6:6" x14ac:dyDescent="0.3">
      <c r="F119" s="168"/>
    </row>
    <row r="120" spans="6:6" x14ac:dyDescent="0.3">
      <c r="F120" s="168"/>
    </row>
    <row r="121" spans="6:6" x14ac:dyDescent="0.3">
      <c r="F121" s="168"/>
    </row>
    <row r="122" spans="6:6" x14ac:dyDescent="0.3">
      <c r="F122" s="168"/>
    </row>
    <row r="123" spans="6:6" x14ac:dyDescent="0.3">
      <c r="F123" s="168"/>
    </row>
    <row r="124" spans="6:6" x14ac:dyDescent="0.3">
      <c r="F124" s="168"/>
    </row>
    <row r="125" spans="6:6" x14ac:dyDescent="0.3">
      <c r="F125" s="168"/>
    </row>
    <row r="126" spans="6:6" x14ac:dyDescent="0.3">
      <c r="F126" s="168"/>
    </row>
    <row r="127" spans="6:6" x14ac:dyDescent="0.3">
      <c r="F127" s="168"/>
    </row>
    <row r="128" spans="6:6" x14ac:dyDescent="0.3">
      <c r="F128" s="168"/>
    </row>
    <row r="129" spans="6:6" x14ac:dyDescent="0.3">
      <c r="F129" s="168"/>
    </row>
    <row r="130" spans="6:6" x14ac:dyDescent="0.3">
      <c r="F130" s="168"/>
    </row>
    <row r="131" spans="6:6" x14ac:dyDescent="0.3">
      <c r="F131" s="168"/>
    </row>
    <row r="132" spans="6:6" x14ac:dyDescent="0.3">
      <c r="F132" s="168"/>
    </row>
    <row r="133" spans="6:6" x14ac:dyDescent="0.3">
      <c r="F133" s="168"/>
    </row>
    <row r="134" spans="6:6" x14ac:dyDescent="0.3">
      <c r="F134" s="168"/>
    </row>
    <row r="135" spans="6:6" x14ac:dyDescent="0.3">
      <c r="F135" s="168"/>
    </row>
    <row r="136" spans="6:6" x14ac:dyDescent="0.3">
      <c r="F136" s="168"/>
    </row>
    <row r="137" spans="6:6" x14ac:dyDescent="0.3">
      <c r="F137" s="168"/>
    </row>
    <row r="138" spans="6:6" x14ac:dyDescent="0.3">
      <c r="F138" s="168"/>
    </row>
    <row r="139" spans="6:6" x14ac:dyDescent="0.3">
      <c r="F139" s="168"/>
    </row>
    <row r="140" spans="6:6" x14ac:dyDescent="0.3">
      <c r="F140" s="168"/>
    </row>
    <row r="141" spans="6:6" x14ac:dyDescent="0.3">
      <c r="F141" s="168"/>
    </row>
    <row r="142" spans="6:6" x14ac:dyDescent="0.3">
      <c r="F142" s="168"/>
    </row>
    <row r="143" spans="6:6" x14ac:dyDescent="0.3">
      <c r="F143" s="168"/>
    </row>
    <row r="144" spans="6:6" x14ac:dyDescent="0.3">
      <c r="F144" s="168"/>
    </row>
    <row r="145" spans="6:6" x14ac:dyDescent="0.3">
      <c r="F145" s="168"/>
    </row>
    <row r="146" spans="6:6" x14ac:dyDescent="0.3">
      <c r="F146" s="168"/>
    </row>
    <row r="147" spans="6:6" x14ac:dyDescent="0.3">
      <c r="F147" s="168"/>
    </row>
    <row r="148" spans="6:6" x14ac:dyDescent="0.3">
      <c r="F148" s="168"/>
    </row>
    <row r="149" spans="6:6" x14ac:dyDescent="0.3">
      <c r="F149" s="168"/>
    </row>
    <row r="150" spans="6:6" x14ac:dyDescent="0.3">
      <c r="F150" s="168"/>
    </row>
    <row r="151" spans="6:6" x14ac:dyDescent="0.3">
      <c r="F151" s="168"/>
    </row>
    <row r="152" spans="6:6" x14ac:dyDescent="0.3">
      <c r="F152" s="168"/>
    </row>
    <row r="153" spans="6:6" x14ac:dyDescent="0.3">
      <c r="F153" s="168"/>
    </row>
    <row r="154" spans="6:6" x14ac:dyDescent="0.3">
      <c r="F154" s="168"/>
    </row>
    <row r="155" spans="6:6" x14ac:dyDescent="0.3">
      <c r="F155" s="168"/>
    </row>
    <row r="156" spans="6:6" x14ac:dyDescent="0.3">
      <c r="F156" s="168"/>
    </row>
    <row r="157" spans="6:6" x14ac:dyDescent="0.3">
      <c r="F157" s="168"/>
    </row>
    <row r="158" spans="6:6" x14ac:dyDescent="0.3">
      <c r="F158" s="168"/>
    </row>
    <row r="159" spans="6:6" x14ac:dyDescent="0.3">
      <c r="F159" s="168"/>
    </row>
    <row r="160" spans="6:6" x14ac:dyDescent="0.3">
      <c r="F160" s="168"/>
    </row>
    <row r="161" spans="6:6" x14ac:dyDescent="0.3">
      <c r="F161" s="168"/>
    </row>
    <row r="162" spans="6:6" x14ac:dyDescent="0.3">
      <c r="F162" s="168"/>
    </row>
    <row r="163" spans="6:6" x14ac:dyDescent="0.3">
      <c r="F163" s="168"/>
    </row>
    <row r="164" spans="6:6" x14ac:dyDescent="0.3">
      <c r="F164" s="168"/>
    </row>
    <row r="165" spans="6:6" x14ac:dyDescent="0.3">
      <c r="F165" s="168"/>
    </row>
    <row r="166" spans="6:6" x14ac:dyDescent="0.3">
      <c r="F166" s="168"/>
    </row>
    <row r="167" spans="6:6" x14ac:dyDescent="0.3">
      <c r="F167" s="168"/>
    </row>
    <row r="168" spans="6:6" x14ac:dyDescent="0.3">
      <c r="F168" s="168"/>
    </row>
    <row r="169" spans="6:6" x14ac:dyDescent="0.3">
      <c r="F169" s="168"/>
    </row>
    <row r="170" spans="6:6" x14ac:dyDescent="0.3">
      <c r="F170" s="168"/>
    </row>
    <row r="171" spans="6:6" x14ac:dyDescent="0.3">
      <c r="F171" s="168"/>
    </row>
    <row r="172" spans="6:6" x14ac:dyDescent="0.3">
      <c r="F172" s="168"/>
    </row>
    <row r="173" spans="6:6" x14ac:dyDescent="0.3">
      <c r="F173" s="168"/>
    </row>
    <row r="174" spans="6:6" x14ac:dyDescent="0.3">
      <c r="F174" s="168"/>
    </row>
    <row r="175" spans="6:6" x14ac:dyDescent="0.3">
      <c r="F175" s="168"/>
    </row>
    <row r="176" spans="6:6" x14ac:dyDescent="0.3">
      <c r="F176" s="168"/>
    </row>
    <row r="177" spans="6:6" x14ac:dyDescent="0.3">
      <c r="F177" s="168"/>
    </row>
    <row r="178" spans="6:6" x14ac:dyDescent="0.3">
      <c r="F178" s="168"/>
    </row>
    <row r="179" spans="6:6" x14ac:dyDescent="0.3">
      <c r="F179" s="168"/>
    </row>
    <row r="180" spans="6:6" x14ac:dyDescent="0.3">
      <c r="F180" s="168"/>
    </row>
    <row r="181" spans="6:6" x14ac:dyDescent="0.3">
      <c r="F181" s="168"/>
    </row>
    <row r="182" spans="6:6" x14ac:dyDescent="0.3">
      <c r="F182" s="168"/>
    </row>
    <row r="183" spans="6:6" x14ac:dyDescent="0.3">
      <c r="F183" s="168"/>
    </row>
    <row r="184" spans="6:6" x14ac:dyDescent="0.3">
      <c r="F184" s="168"/>
    </row>
    <row r="185" spans="6:6" x14ac:dyDescent="0.3">
      <c r="F185" s="168"/>
    </row>
    <row r="186" spans="6:6" x14ac:dyDescent="0.3">
      <c r="F186" s="168"/>
    </row>
    <row r="187" spans="6:6" x14ac:dyDescent="0.3">
      <c r="F187" s="168"/>
    </row>
    <row r="188" spans="6:6" x14ac:dyDescent="0.3">
      <c r="F188" s="168"/>
    </row>
    <row r="189" spans="6:6" x14ac:dyDescent="0.3">
      <c r="F189" s="168"/>
    </row>
    <row r="190" spans="6:6" x14ac:dyDescent="0.3">
      <c r="F190" s="168"/>
    </row>
    <row r="191" spans="6:6" x14ac:dyDescent="0.3">
      <c r="F191" s="168"/>
    </row>
    <row r="192" spans="6:6" x14ac:dyDescent="0.3">
      <c r="F192" s="168"/>
    </row>
    <row r="193" spans="6:6" x14ac:dyDescent="0.3">
      <c r="F193" s="168"/>
    </row>
    <row r="194" spans="6:6" x14ac:dyDescent="0.3">
      <c r="F194" s="168"/>
    </row>
    <row r="195" spans="6:6" x14ac:dyDescent="0.3">
      <c r="F195" s="168"/>
    </row>
    <row r="196" spans="6:6" x14ac:dyDescent="0.3">
      <c r="F196" s="168"/>
    </row>
    <row r="197" spans="6:6" x14ac:dyDescent="0.3">
      <c r="F197" s="168"/>
    </row>
    <row r="198" spans="6:6" x14ac:dyDescent="0.3">
      <c r="F198" s="168"/>
    </row>
    <row r="199" spans="6:6" x14ac:dyDescent="0.3">
      <c r="F199" s="168"/>
    </row>
    <row r="200" spans="6:6" x14ac:dyDescent="0.3">
      <c r="F200" s="168"/>
    </row>
    <row r="201" spans="6:6" x14ac:dyDescent="0.3">
      <c r="F201" s="168"/>
    </row>
    <row r="202" spans="6:6" x14ac:dyDescent="0.3">
      <c r="F202" s="168"/>
    </row>
    <row r="203" spans="6:6" x14ac:dyDescent="0.3">
      <c r="F203" s="168"/>
    </row>
    <row r="204" spans="6:6" x14ac:dyDescent="0.3">
      <c r="F204" s="168"/>
    </row>
    <row r="205" spans="6:6" x14ac:dyDescent="0.3">
      <c r="F205" s="168"/>
    </row>
    <row r="206" spans="6:6" x14ac:dyDescent="0.3">
      <c r="F206" s="168"/>
    </row>
    <row r="207" spans="6:6" x14ac:dyDescent="0.3">
      <c r="F207" s="168"/>
    </row>
    <row r="208" spans="6:6" x14ac:dyDescent="0.3">
      <c r="F208" s="168"/>
    </row>
    <row r="209" spans="6:6" x14ac:dyDescent="0.3">
      <c r="F209" s="168"/>
    </row>
    <row r="210" spans="6:6" x14ac:dyDescent="0.3">
      <c r="F210" s="168"/>
    </row>
    <row r="211" spans="6:6" x14ac:dyDescent="0.3">
      <c r="F211" s="168"/>
    </row>
    <row r="212" spans="6:6" x14ac:dyDescent="0.3">
      <c r="F212" s="168"/>
    </row>
    <row r="213" spans="6:6" x14ac:dyDescent="0.3">
      <c r="F213" s="168"/>
    </row>
    <row r="214" spans="6:6" x14ac:dyDescent="0.3">
      <c r="F214" s="168"/>
    </row>
    <row r="215" spans="6:6" x14ac:dyDescent="0.3">
      <c r="F215" s="168"/>
    </row>
    <row r="216" spans="6:6" x14ac:dyDescent="0.3">
      <c r="F216" s="168"/>
    </row>
    <row r="217" spans="6:6" x14ac:dyDescent="0.3">
      <c r="F217" s="168"/>
    </row>
    <row r="218" spans="6:6" x14ac:dyDescent="0.3">
      <c r="F218" s="168"/>
    </row>
    <row r="219" spans="6:6" x14ac:dyDescent="0.3">
      <c r="F219" s="168"/>
    </row>
    <row r="220" spans="6:6" x14ac:dyDescent="0.3">
      <c r="F220" s="168"/>
    </row>
    <row r="221" spans="6:6" x14ac:dyDescent="0.3">
      <c r="F221" s="168"/>
    </row>
    <row r="222" spans="6:6" x14ac:dyDescent="0.3">
      <c r="F222" s="168"/>
    </row>
    <row r="223" spans="6:6" x14ac:dyDescent="0.3">
      <c r="F223" s="168"/>
    </row>
    <row r="224" spans="6:6" x14ac:dyDescent="0.3">
      <c r="F224" s="168"/>
    </row>
    <row r="225" spans="6:6" x14ac:dyDescent="0.3">
      <c r="F225" s="168"/>
    </row>
    <row r="226" spans="6:6" x14ac:dyDescent="0.3">
      <c r="F226" s="168"/>
    </row>
    <row r="227" spans="6:6" x14ac:dyDescent="0.3">
      <c r="F227" s="168"/>
    </row>
    <row r="228" spans="6:6" x14ac:dyDescent="0.3">
      <c r="F228" s="168"/>
    </row>
    <row r="229" spans="6:6" x14ac:dyDescent="0.3">
      <c r="F229" s="168"/>
    </row>
    <row r="230" spans="6:6" x14ac:dyDescent="0.3">
      <c r="F230" s="168"/>
    </row>
    <row r="231" spans="6:6" x14ac:dyDescent="0.3">
      <c r="F231" s="168"/>
    </row>
    <row r="232" spans="6:6" x14ac:dyDescent="0.3">
      <c r="F232" s="168"/>
    </row>
    <row r="233" spans="6:6" x14ac:dyDescent="0.3">
      <c r="F233" s="168"/>
    </row>
    <row r="234" spans="6:6" x14ac:dyDescent="0.3">
      <c r="F234" s="168"/>
    </row>
    <row r="235" spans="6:6" x14ac:dyDescent="0.3">
      <c r="F235" s="168"/>
    </row>
    <row r="236" spans="6:6" x14ac:dyDescent="0.3">
      <c r="F236" s="168"/>
    </row>
    <row r="237" spans="6:6" x14ac:dyDescent="0.3">
      <c r="F237" s="168"/>
    </row>
    <row r="238" spans="6:6" x14ac:dyDescent="0.3">
      <c r="F238" s="168"/>
    </row>
    <row r="239" spans="6:6" x14ac:dyDescent="0.3">
      <c r="F239" s="168"/>
    </row>
    <row r="240" spans="6:6" x14ac:dyDescent="0.3">
      <c r="F240" s="168"/>
    </row>
    <row r="241" spans="6:6" x14ac:dyDescent="0.3">
      <c r="F241" s="168"/>
    </row>
    <row r="242" spans="6:6" x14ac:dyDescent="0.3">
      <c r="F242" s="168"/>
    </row>
    <row r="243" spans="6:6" x14ac:dyDescent="0.3">
      <c r="F243" s="168"/>
    </row>
    <row r="244" spans="6:6" x14ac:dyDescent="0.3">
      <c r="F244" s="168"/>
    </row>
    <row r="245" spans="6:6" x14ac:dyDescent="0.3">
      <c r="F245" s="168"/>
    </row>
    <row r="246" spans="6:6" x14ac:dyDescent="0.3">
      <c r="F246" s="168"/>
    </row>
    <row r="247" spans="6:6" x14ac:dyDescent="0.3">
      <c r="F247" s="168"/>
    </row>
    <row r="248" spans="6:6" x14ac:dyDescent="0.3">
      <c r="F248" s="168"/>
    </row>
    <row r="249" spans="6:6" x14ac:dyDescent="0.3">
      <c r="F249" s="168"/>
    </row>
    <row r="250" spans="6:6" x14ac:dyDescent="0.3">
      <c r="F250" s="168"/>
    </row>
    <row r="251" spans="6:6" x14ac:dyDescent="0.3">
      <c r="F251" s="168"/>
    </row>
    <row r="252" spans="6:6" x14ac:dyDescent="0.3">
      <c r="F252" s="168"/>
    </row>
    <row r="253" spans="6:6" x14ac:dyDescent="0.3">
      <c r="F253" s="168"/>
    </row>
    <row r="254" spans="6:6" x14ac:dyDescent="0.3">
      <c r="F254" s="168"/>
    </row>
    <row r="255" spans="6:6" x14ac:dyDescent="0.3">
      <c r="F255" s="168"/>
    </row>
    <row r="256" spans="6:6" x14ac:dyDescent="0.3">
      <c r="F256" s="168"/>
    </row>
    <row r="257" spans="6:6" x14ac:dyDescent="0.3">
      <c r="F257" s="168"/>
    </row>
    <row r="258" spans="6:6" x14ac:dyDescent="0.3">
      <c r="F258" s="168"/>
    </row>
    <row r="259" spans="6:6" x14ac:dyDescent="0.3">
      <c r="F259" s="168"/>
    </row>
    <row r="260" spans="6:6" x14ac:dyDescent="0.3">
      <c r="F260" s="168"/>
    </row>
    <row r="261" spans="6:6" x14ac:dyDescent="0.3">
      <c r="F261" s="168"/>
    </row>
    <row r="262" spans="6:6" x14ac:dyDescent="0.3">
      <c r="F262" s="168"/>
    </row>
    <row r="263" spans="6:6" x14ac:dyDescent="0.3">
      <c r="F263" s="168"/>
    </row>
    <row r="264" spans="6:6" x14ac:dyDescent="0.3">
      <c r="F264" s="168"/>
    </row>
    <row r="265" spans="6:6" x14ac:dyDescent="0.3">
      <c r="F265" s="168"/>
    </row>
    <row r="266" spans="6:6" x14ac:dyDescent="0.3">
      <c r="F266" s="168"/>
    </row>
    <row r="267" spans="6:6" x14ac:dyDescent="0.3">
      <c r="F267" s="168"/>
    </row>
    <row r="268" spans="6:6" x14ac:dyDescent="0.3">
      <c r="F268" s="168"/>
    </row>
    <row r="269" spans="6:6" x14ac:dyDescent="0.3">
      <c r="F269" s="168"/>
    </row>
    <row r="270" spans="6:6" x14ac:dyDescent="0.3">
      <c r="F270" s="168"/>
    </row>
    <row r="271" spans="6:6" x14ac:dyDescent="0.3">
      <c r="F271" s="168"/>
    </row>
    <row r="272" spans="6:6" x14ac:dyDescent="0.3">
      <c r="F272" s="168"/>
    </row>
    <row r="273" spans="6:6" x14ac:dyDescent="0.3">
      <c r="F273" s="168"/>
    </row>
    <row r="274" spans="6:6" x14ac:dyDescent="0.3">
      <c r="F274" s="168"/>
    </row>
    <row r="275" spans="6:6" x14ac:dyDescent="0.3">
      <c r="F275" s="168"/>
    </row>
    <row r="276" spans="6:6" x14ac:dyDescent="0.3">
      <c r="F276" s="168"/>
    </row>
    <row r="277" spans="6:6" x14ac:dyDescent="0.3">
      <c r="F277" s="168"/>
    </row>
    <row r="278" spans="6:6" x14ac:dyDescent="0.3">
      <c r="F278" s="168"/>
    </row>
    <row r="279" spans="6:6" x14ac:dyDescent="0.3">
      <c r="F279" s="168"/>
    </row>
    <row r="280" spans="6:6" x14ac:dyDescent="0.3">
      <c r="F280" s="168"/>
    </row>
    <row r="281" spans="6:6" x14ac:dyDescent="0.3">
      <c r="F281" s="168"/>
    </row>
    <row r="282" spans="6:6" x14ac:dyDescent="0.3">
      <c r="F282" s="168"/>
    </row>
    <row r="283" spans="6:6" x14ac:dyDescent="0.3">
      <c r="F283" s="168"/>
    </row>
    <row r="284" spans="6:6" x14ac:dyDescent="0.3">
      <c r="F284" s="168"/>
    </row>
  </sheetData>
  <mergeCells count="13">
    <mergeCell ref="C36:D36"/>
    <mergeCell ref="A1:E1"/>
    <mergeCell ref="A3:B3"/>
    <mergeCell ref="C24:D24"/>
    <mergeCell ref="D4:E4"/>
    <mergeCell ref="D5:E5"/>
    <mergeCell ref="D6:E6"/>
    <mergeCell ref="D7:E7"/>
    <mergeCell ref="C12:D12"/>
    <mergeCell ref="C18:D18"/>
    <mergeCell ref="C21:D21"/>
    <mergeCell ref="C30:D30"/>
    <mergeCell ref="A10:D10"/>
  </mergeCells>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B3"/>
  </sheetPr>
  <dimension ref="A1:Z19"/>
  <sheetViews>
    <sheetView zoomScale="70" zoomScaleNormal="70" workbookViewId="0">
      <selection activeCell="D8" sqref="D8"/>
    </sheetView>
  </sheetViews>
  <sheetFormatPr defaultColWidth="9.1796875" defaultRowHeight="15.5" x14ac:dyDescent="0.35"/>
  <cols>
    <col min="1" max="1" width="4.453125" style="102" customWidth="1"/>
    <col min="2" max="2" width="23.1796875" style="102" bestFit="1" customWidth="1"/>
    <col min="3" max="3" width="37.1796875" style="102" customWidth="1"/>
    <col min="4" max="13" width="16.81640625" style="102" customWidth="1"/>
    <col min="14" max="14" width="17.453125" style="102" customWidth="1"/>
    <col min="15" max="17" width="16.54296875" style="102" customWidth="1"/>
    <col min="18" max="23" width="9.1796875" style="102" customWidth="1"/>
    <col min="24" max="16384" width="9.1796875" style="102"/>
  </cols>
  <sheetData>
    <row r="1" spans="1:26" ht="15.75" customHeight="1" x14ac:dyDescent="0.35">
      <c r="A1" s="110" t="s">
        <v>1165</v>
      </c>
      <c r="B1" s="111"/>
      <c r="C1" s="110"/>
      <c r="E1" s="103"/>
    </row>
    <row r="3" spans="1:26" ht="15.75" customHeight="1" x14ac:dyDescent="0.35">
      <c r="B3" s="104" t="s">
        <v>735</v>
      </c>
      <c r="C3" s="105" t="str">
        <f>'Select 10 table'!B13</f>
        <v>Hip Replacement Primary</v>
      </c>
    </row>
    <row r="4" spans="1:26" ht="15.75" customHeight="1" x14ac:dyDescent="0.35">
      <c r="B4" s="104" t="s">
        <v>738</v>
      </c>
      <c r="C4" s="105" t="str">
        <f>'Select 10 table'!E13</f>
        <v>Oxford Hip Score</v>
      </c>
    </row>
    <row r="5" spans="1:26" ht="15.75" customHeight="1" x14ac:dyDescent="0.35">
      <c r="B5" s="104"/>
      <c r="C5" s="104"/>
    </row>
    <row r="6" spans="1:26" x14ac:dyDescent="0.35">
      <c r="N6" s="106"/>
    </row>
    <row r="7" spans="1:26" s="107" customFormat="1" ht="55.5" customHeight="1" x14ac:dyDescent="0.35">
      <c r="B7" s="112" t="s">
        <v>1185</v>
      </c>
      <c r="C7" s="112" t="s">
        <v>737</v>
      </c>
      <c r="D7" s="113" t="s">
        <v>1131</v>
      </c>
      <c r="E7" s="113" t="s">
        <v>740</v>
      </c>
      <c r="F7" s="113" t="s">
        <v>741</v>
      </c>
      <c r="G7" s="113" t="s">
        <v>742</v>
      </c>
      <c r="H7" s="113" t="s">
        <v>743</v>
      </c>
      <c r="I7" s="113" t="s">
        <v>1186</v>
      </c>
      <c r="J7" s="113" t="s">
        <v>1187</v>
      </c>
      <c r="K7" s="113" t="s">
        <v>1188</v>
      </c>
      <c r="L7" s="114" t="s">
        <v>1189</v>
      </c>
      <c r="M7" s="113" t="s">
        <v>748</v>
      </c>
      <c r="N7" s="102"/>
      <c r="O7" s="102"/>
      <c r="P7" s="102"/>
      <c r="Q7" s="102"/>
      <c r="R7" s="102"/>
      <c r="S7" s="102"/>
    </row>
    <row r="8" spans="1:26" ht="30" customHeight="1" x14ac:dyDescent="0.35">
      <c r="B8" s="108" t="s">
        <v>123</v>
      </c>
      <c r="C8" s="108" t="s">
        <v>123</v>
      </c>
      <c r="D8" s="117">
        <f t="shared" ref="D8:D18" ca="1" si="0">IF(ISERROR(VLOOKUP($C$3&amp;$B8&amp;$C8&amp;$C$4,TableandCharts_RawData,7,FALSE)),"No data",VLOOKUP($C$3&amp;$B8&amp;$C8&amp;$C$4,TableandCharts_RawData,7,FALSE))</f>
        <v>14995</v>
      </c>
      <c r="E8" s="118">
        <f ca="1">IF(D8&gt;=200,IF(ISERROR(VLOOKUP($C$3&amp;$B8&amp;$C8&amp;$C$4,TableandCharts_RawData,8,FALSE)),"No data",VLOOKUP($C$3&amp;$B8&amp;$C8&amp;$C$4,TableandCharts_RawData,8,FALSE)),"*")</f>
        <v>17.084299999999999</v>
      </c>
      <c r="F8" s="118">
        <f ca="1">IF(D8&gt;=200,IF(ISERROR(VLOOKUP($C$3&amp;$B8&amp;$C8&amp;$C$4,TableandCharts_RawData,9,FALSE)),"No data",VLOOKUP($C$3&amp;$B8&amp;$C8&amp;$C$4,TableandCharts_RawData,9,FALSE)),"*")</f>
        <v>39.931699999999999</v>
      </c>
      <c r="G8" s="118">
        <f ca="1">IF(D8&gt;=200,IF(ISERROR(VLOOKUP($C$3&amp;$B8&amp;$C8&amp;$C$4,TableandCharts_RawData,10,FALSE)),"No data",VLOOKUP($C$3&amp;$B8&amp;$C8&amp;$C$4,TableandCharts_RawData,10,FALSE)),"*")</f>
        <v>22.8474</v>
      </c>
      <c r="H8" s="119" t="str">
        <f ca="1">IF(D8&gt;=200,IF(ISERROR(VLOOKUP($C$3&amp;$B8&amp;$C8&amp;$C$4,TableandCharts_RawData,11,FALSE)),"No data",IF(VLOOKUP($C$3&amp;$B8&amp;$C8&amp;$C$4,TableandCharts_RawData,11,FALSE)="*","*",IF(VLOOKUP($C$3&amp;$B8&amp;$C8&amp;$C$4,TableandCharts_RawData,11,FALSE)=0,"0"&amp;CHAR(10)&amp;"(0.0%)",TEXT(VLOOKUP($C$3&amp;$B8&amp;$C8&amp;$C$4,TableandCharts_RawData,11,FALSE),"?,0")&amp;CHAR(10)&amp;" ("&amp;TEXT(VLOOKUP($C$3&amp;$B8&amp;$C8&amp;$C$4,TableandCharts_RawData,11,FALSE)/VLOOKUP($C$3&amp;$B8&amp;$C8&amp;$C$4,TableandCharts_RawData,7,FALSE),"0.0%")&amp;")"))),"*")</f>
        <v>14,589
 (97.3%)</v>
      </c>
      <c r="I8" s="119" t="str">
        <f ca="1">IF(D8&gt;=200,IF(ISERROR(VLOOKUP($C$3&amp;$B8&amp;$C8&amp;$C$4,TableandCharts_RawData,12,FALSE)),"No data",IF(VLOOKUP($C$3&amp;$B8&amp;$C8&amp;$C$4,TableandCharts_RawData,12,FALSE)="*","*",IF(VLOOKUP($C$3&amp;$B8&amp;$C8&amp;$C$4,TableandCharts_RawData,12,FALSE)=0,"0"&amp;CHAR(10)&amp;"(0.0%)",TEXT(VLOOKUP($C$3&amp;$B8&amp;$C8&amp;$C$4,TableandCharts_RawData,12,FALSE),"?,0")&amp;CHAR(10)&amp;" ("&amp;TEXT(VLOOKUP($C$3&amp;$B8&amp;$C8&amp;$C$4,TableandCharts_RawData,12,FALSE)/VLOOKUP($C$3&amp;$B8&amp;$C8&amp;$C$4,TableandCharts_RawData,7,FALSE),"0.0%")&amp;")"))),"*")</f>
        <v>65
 (0.4%)</v>
      </c>
      <c r="J8" s="119" t="str">
        <f ca="1">IF(D8&gt;=200,IF(ISERROR(VLOOKUP($C$3&amp;$B8&amp;$C8&amp;$C$4,TableandCharts_RawData,13,FALSE)),"No data",IF(VLOOKUP($C$3&amp;$B8&amp;$C8&amp;$C$4,TableandCharts_RawData,13,FALSE)="*","*",IF(VLOOKUP($C$3&amp;$B8&amp;$C8&amp;$C$4,TableandCharts_RawData,13,FALSE)=0,"0"&amp;CHAR(10)&amp;"(0.0%)",TEXT(VLOOKUP($C$3&amp;$B8&amp;$C8&amp;$C$4,TableandCharts_RawData,13,FALSE),"?,0")&amp;CHAR(10)&amp;" ("&amp;TEXT(VLOOKUP($C$3&amp;$B8&amp;$C8&amp;$C$4,TableandCharts_RawData,13,FALSE)/VLOOKUP($C$3&amp;$B8&amp;$C8&amp;$C$4,TableandCharts_RawData,7,FALSE),"0.0%")&amp;")"))),"*")</f>
        <v>341
 (2.3%)</v>
      </c>
      <c r="K8" s="118">
        <f ca="1">IF(D8&gt;=200,IF(ISERROR(VLOOKUP($C$3&amp;$B8&amp;$C8&amp;$C$4,TableandCharts_RawData,14,FALSE)),"No data",VLOOKUP($C$3&amp;$B8&amp;$C8&amp;$C$4,TableandCharts_RawData,14,FALSE)),"*")</f>
        <v>39.931699999999999</v>
      </c>
      <c r="L8" s="118">
        <f ca="1">IF(D8&gt;=200,IF(ISERROR(VLOOKUP($C$3&amp;$B8&amp;$C8&amp;$C$4,TableandCharts_RawData,15,FALSE)),"No data",VLOOKUP($C$3&amp;$B8&amp;$C8&amp;$C$4,TableandCharts_RawData,15,FALSE)),"*")</f>
        <v>22.8474</v>
      </c>
      <c r="M8" s="118">
        <f ca="1">IF(D8&gt;=200,IF(ISERROR(VLOOKUP($C$3&amp;$B8&amp;$C8&amp;$C$4,TableandCharts_RawData,16,FALSE)),"No data",VLOOKUP($C$3&amp;$B8&amp;$C8&amp;$C$4,TableandCharts_RawData,16,FALSE)),"*")</f>
        <v>8.15029</v>
      </c>
      <c r="W8" s="106"/>
      <c r="X8" s="106"/>
      <c r="Y8" s="106"/>
      <c r="Z8" s="109"/>
    </row>
    <row r="9" spans="1:26" ht="30" customHeight="1" x14ac:dyDescent="0.35">
      <c r="B9" s="115" t="str">
        <f>'Select 10 table'!B17</f>
        <v>Provider</v>
      </c>
      <c r="C9" s="116" t="str">
        <f>'Select 10 table'!C17</f>
        <v>RIVERS HOSPITAL (NVC19)</v>
      </c>
      <c r="D9" s="117">
        <f t="shared" ca="1" si="0"/>
        <v>58</v>
      </c>
      <c r="E9" s="118">
        <f t="shared" ref="E9:E18" ca="1" si="1">IF(ISERROR(VLOOKUP($C$3&amp;$B9&amp;$C9&amp;$C$4,TableandCharts_RawData,8,FALSE)),"No data",VLOOKUP($C$3&amp;$B9&amp;$C9&amp;$C$4,TableandCharts_RawData,8,FALSE))</f>
        <v>18.741399999999999</v>
      </c>
      <c r="F9" s="118">
        <f t="shared" ref="F9:F18" ca="1" si="2">IF(ISERROR(VLOOKUP($C$3&amp;$B9&amp;$C9&amp;$C$4,TableandCharts_RawData,9,FALSE)),"No data",VLOOKUP($C$3&amp;$B9&amp;$C9&amp;$C$4,TableandCharts_RawData,9,FALSE))</f>
        <v>42.051699999999997</v>
      </c>
      <c r="G9" s="118">
        <f t="shared" ref="G9:G18" ca="1" si="3">IF(ISERROR(VLOOKUP($C$3&amp;$B9&amp;$C9&amp;$C$4,TableandCharts_RawData,10,FALSE)),"No data",VLOOKUP($C$3&amp;$B9&amp;$C9&amp;$C$4,TableandCharts_RawData,10,FALSE))</f>
        <v>23.310300000000002</v>
      </c>
      <c r="H9" s="119" t="str">
        <f t="shared" ref="H9:H18" ca="1" si="4">IF(ISERROR(VLOOKUP($C$3&amp;$B9&amp;$C9&amp;$C$4,TableandCharts_RawData,11,FALSE)),"No data",IF(VLOOKUP($C$3&amp;$B9&amp;$C9&amp;$C$4,TableandCharts_RawData,11,FALSE)="*","*",IF(OR(VLOOKUP($C$3&amp;$B9&amp;$C9&amp;$C$4,TableandCharts_RawData,11,FALSE)=0,VLOOKUP($C$3&amp;$B9&amp;$C9&amp;$C$4,TableandCharts_RawData,11,FALSE)="-"),"0"&amp;CHAR(10)&amp;"(0.0%)",TEXT(VLOOKUP($C$3&amp;$B9&amp;$C9&amp;$C$4,TableandCharts_RawData,11,FALSE),"?,0")&amp;CHAR(10)&amp;" ("&amp;TEXT(VLOOKUP($C$3&amp;$B9&amp;$C9&amp;$C$4,TableandCharts_RawData,11,FALSE)/VLOOKUP($C$3&amp;$B9&amp;$C9&amp;$C$4,TableandCharts_RawData,7,FALSE),"0.0%")&amp;")")))</f>
        <v>57
 (98.3%)</v>
      </c>
      <c r="I9" s="119" t="str">
        <f t="shared" ref="I9:I18" ca="1" si="5">IF(ISERROR(VLOOKUP($C$3&amp;$B9&amp;$C9&amp;$C$4,TableandCharts_RawData,12,FALSE)),"No data",IF(VLOOKUP($C$3&amp;$B9&amp;$C9&amp;$C$4,TableandCharts_RawData,12,FALSE)="*","*",IF(OR(VLOOKUP($C$3&amp;$B9&amp;$C9&amp;$C$4,TableandCharts_RawData,12,FALSE)=0,VLOOKUP($C$3&amp;$B9&amp;$C9&amp;$C$4,TableandCharts_RawData,12,FALSE)="-"),"0"&amp;CHAR(10)&amp;"(0.0%)",TEXT(VLOOKUP($C$3&amp;$B9&amp;$C9&amp;$C$4,TableandCharts_RawData,12,FALSE),"?,0")&amp;CHAR(10)&amp;" ("&amp;TEXT(VLOOKUP($C$3&amp;$B9&amp;$C9&amp;$C$4,TableandCharts_RawData,12,FALSE)/VLOOKUP($C$3&amp;$B9&amp;$C9&amp;$C$4,TableandCharts_RawData,7,FALSE),"0.0%")&amp;")")))</f>
        <v>0
(0.0%)</v>
      </c>
      <c r="J9" s="119" t="str">
        <f t="shared" ref="J9:J18" ca="1" si="6">IF(ISERROR(VLOOKUP($C$3&amp;$B9&amp;$C9&amp;$C$4,TableandCharts_RawData,13,FALSE)),"No data",IF(VLOOKUP($C$3&amp;$B9&amp;$C9&amp;$C$4,TableandCharts_RawData,13,FALSE)="*","*",IF(OR(VLOOKUP($C$3&amp;$B9&amp;$C9&amp;$C$4,TableandCharts_RawData,13,FALSE)=0,VLOOKUP($C$3&amp;$B9&amp;$C9&amp;$C$4,TableandCharts_RawData,13,FALSE)="-"),"0"&amp;CHAR(10)&amp;"(0.0%)",TEXT(VLOOKUP($C$3&amp;$B9&amp;$C9&amp;$C$4,TableandCharts_RawData,13,FALSE),"?,0")&amp;CHAR(10)&amp;" ("&amp;TEXT(VLOOKUP($C$3&amp;$B9&amp;$C9&amp;$C$4,TableandCharts_RawData,13,FALSE)/VLOOKUP($C$3&amp;$B9&amp;$C9&amp;$C$4,TableandCharts_RawData,7,FALSE),"0.0%")&amp;")")))</f>
        <v xml:space="preserve"> 1
 (1.7%)</v>
      </c>
      <c r="K9" s="118">
        <f t="shared" ref="K9:K18" ca="1" si="7">IF(ISERROR(VLOOKUP($C$3&amp;$B9&amp;$C9&amp;$C$4,TableandCharts_RawData,14,FALSE)),"No data",VLOOKUP($C$3&amp;$B9&amp;$C9&amp;$C$4,TableandCharts_RawData,14,FALSE))</f>
        <v>40.565899999999999</v>
      </c>
      <c r="L9" s="118">
        <f t="shared" ref="L9:L18" ca="1" si="8">IF(ISERROR(VLOOKUP($C$3&amp;$B9&amp;$C9&amp;$C$4,TableandCharts_RawData,15,FALSE)),"No data",VLOOKUP($C$3&amp;$B9&amp;$C9&amp;$C$4,TableandCharts_RawData,15,FALSE))</f>
        <v>23.4816</v>
      </c>
      <c r="M9" s="118">
        <f t="shared" ref="M9:M18" ca="1" si="9">IF(ISERROR(VLOOKUP($C$3&amp;$B9&amp;$C9&amp;$C$4,TableandCharts_RawData,16,FALSE)),"No data",VLOOKUP($C$3&amp;$B9&amp;$C9&amp;$C$4,TableandCharts_RawData,16,FALSE))</f>
        <v>7.32498</v>
      </c>
      <c r="W9" s="106"/>
      <c r="X9" s="106"/>
      <c r="Y9" s="106"/>
      <c r="Z9" s="109"/>
    </row>
    <row r="10" spans="1:26" ht="30" customHeight="1" x14ac:dyDescent="0.35">
      <c r="B10" s="115" t="str">
        <f>'Select 10 table'!B18</f>
        <v>Sub-ICB of GP Practice</v>
      </c>
      <c r="C10" s="116" t="str">
        <f>'Select 10 table'!C18</f>
        <v>NHS BIRMINGHAM AND SOLIHULL ICB - 15E (15E)</v>
      </c>
      <c r="D10" s="117">
        <f t="shared" ca="1" si="0"/>
        <v>369</v>
      </c>
      <c r="E10" s="118">
        <f t="shared" ca="1" si="1"/>
        <v>17.216799999999999</v>
      </c>
      <c r="F10" s="118">
        <f t="shared" ca="1" si="2"/>
        <v>40.374000000000002</v>
      </c>
      <c r="G10" s="118">
        <f t="shared" ca="1" si="3"/>
        <v>23.1572</v>
      </c>
      <c r="H10" s="119" t="str">
        <f t="shared" ca="1" si="4"/>
        <v>365
 (98.9%)</v>
      </c>
      <c r="I10" s="119" t="str">
        <f t="shared" ca="1" si="5"/>
        <v xml:space="preserve"> 1
 (0.3%)</v>
      </c>
      <c r="J10" s="119" t="str">
        <f t="shared" ca="1" si="6"/>
        <v xml:space="preserve"> 3
 (0.8%)</v>
      </c>
      <c r="K10" s="118">
        <f t="shared" ca="1" si="7"/>
        <v>40.384799999999998</v>
      </c>
      <c r="L10" s="118">
        <f t="shared" ca="1" si="8"/>
        <v>23.3005</v>
      </c>
      <c r="M10" s="118">
        <f t="shared" ca="1" si="9"/>
        <v>7.5527300000000004</v>
      </c>
      <c r="W10" s="106"/>
      <c r="X10" s="106"/>
      <c r="Y10" s="106"/>
      <c r="Z10" s="109"/>
    </row>
    <row r="11" spans="1:26" ht="30" customHeight="1" x14ac:dyDescent="0.35">
      <c r="B11" s="115" t="str">
        <f>'Select 10 table'!B19</f>
        <v>Provider</v>
      </c>
      <c r="C11" s="116" t="str">
        <f>'Select 10 table'!C19</f>
        <v>THE PRINCESS ALEXANDRA HOSPITAL NHS TRUST (RQW)</v>
      </c>
      <c r="D11" s="117">
        <f t="shared" ca="1" si="0"/>
        <v>26</v>
      </c>
      <c r="E11" s="118">
        <f t="shared" ca="1" si="1"/>
        <v>11.538500000000001</v>
      </c>
      <c r="F11" s="118">
        <f t="shared" ca="1" si="2"/>
        <v>35.384599999999999</v>
      </c>
      <c r="G11" s="118">
        <f t="shared" ca="1" si="3"/>
        <v>23.8462</v>
      </c>
      <c r="H11" s="119" t="str">
        <f t="shared" ca="1" si="4"/>
        <v>26
 (100.0%)</v>
      </c>
      <c r="I11" s="119" t="str">
        <f t="shared" ca="1" si="5"/>
        <v>0
(0.0%)</v>
      </c>
      <c r="J11" s="119" t="str">
        <f t="shared" ca="1" si="6"/>
        <v>0
(0.0%)</v>
      </c>
      <c r="K11" s="118" t="str">
        <f t="shared" ca="1" si="7"/>
        <v>*</v>
      </c>
      <c r="L11" s="118" t="str">
        <f t="shared" ca="1" si="8"/>
        <v>*</v>
      </c>
      <c r="M11" s="118" t="str">
        <f t="shared" ca="1" si="9"/>
        <v>*</v>
      </c>
      <c r="W11" s="106"/>
      <c r="X11" s="106"/>
      <c r="Y11" s="106"/>
      <c r="Z11" s="109"/>
    </row>
    <row r="12" spans="1:26" ht="30" customHeight="1" x14ac:dyDescent="0.35">
      <c r="B12" s="115" t="str">
        <f>'Select 10 table'!B20</f>
        <v>Sub-ICB of GP Practice</v>
      </c>
      <c r="C12" s="116" t="str">
        <f>'Select 10 table'!C20</f>
        <v>NHS CAMBRIDGESHIRE AND PETERBOROUGH ICB - 06H (06H)</v>
      </c>
      <c r="D12" s="117">
        <f t="shared" ca="1" si="0"/>
        <v>229</v>
      </c>
      <c r="E12" s="118">
        <f t="shared" ca="1" si="1"/>
        <v>14.69</v>
      </c>
      <c r="F12" s="118">
        <f t="shared" ca="1" si="2"/>
        <v>38.869</v>
      </c>
      <c r="G12" s="118">
        <f t="shared" ca="1" si="3"/>
        <v>24.178999999999998</v>
      </c>
      <c r="H12" s="119" t="str">
        <f t="shared" ca="1" si="4"/>
        <v>224
 (97.8%)</v>
      </c>
      <c r="I12" s="119" t="str">
        <f t="shared" ca="1" si="5"/>
        <v xml:space="preserve"> 2
 (0.9%)</v>
      </c>
      <c r="J12" s="119" t="str">
        <f t="shared" ca="1" si="6"/>
        <v xml:space="preserve"> 3
 (1.3%)</v>
      </c>
      <c r="K12" s="118">
        <f t="shared" ca="1" si="7"/>
        <v>39.953600000000002</v>
      </c>
      <c r="L12" s="118">
        <f t="shared" ca="1" si="8"/>
        <v>22.869299999999999</v>
      </c>
      <c r="M12" s="118">
        <f t="shared" ca="1" si="9"/>
        <v>8.3904899999999998</v>
      </c>
      <c r="W12" s="106"/>
      <c r="X12" s="106"/>
      <c r="Y12" s="106"/>
      <c r="Z12" s="109"/>
    </row>
    <row r="13" spans="1:26" ht="30" customHeight="1" x14ac:dyDescent="0.35">
      <c r="B13" s="115" t="str">
        <f>'Select 10 table'!B21</f>
        <v>Provider</v>
      </c>
      <c r="C13" s="116" t="str">
        <f>'Select 10 table'!C21</f>
        <v>HOMERTON HEALTHCARE NHS FOUNDATION TRUST (RQX)</v>
      </c>
      <c r="D13" s="117">
        <f t="shared" ca="1" si="0"/>
        <v>5</v>
      </c>
      <c r="E13" s="118">
        <f t="shared" ca="1" si="1"/>
        <v>15.2</v>
      </c>
      <c r="F13" s="118">
        <f t="shared" ca="1" si="2"/>
        <v>34.4</v>
      </c>
      <c r="G13" s="118">
        <f t="shared" ca="1" si="3"/>
        <v>19.2</v>
      </c>
      <c r="H13" s="119" t="str">
        <f t="shared" ca="1" si="4"/>
        <v xml:space="preserve"> 5
 (100.0%)</v>
      </c>
      <c r="I13" s="119" t="str">
        <f t="shared" ca="1" si="5"/>
        <v>0
(0.0%)</v>
      </c>
      <c r="J13" s="119" t="str">
        <f t="shared" ca="1" si="6"/>
        <v>0
(0.0%)</v>
      </c>
      <c r="K13" s="118" t="str">
        <f t="shared" ca="1" si="7"/>
        <v>*</v>
      </c>
      <c r="L13" s="118" t="str">
        <f t="shared" ca="1" si="8"/>
        <v>*</v>
      </c>
      <c r="M13" s="118" t="str">
        <f t="shared" ca="1" si="9"/>
        <v>*</v>
      </c>
      <c r="W13" s="106"/>
      <c r="X13" s="106"/>
      <c r="Y13" s="106"/>
      <c r="Z13" s="109"/>
    </row>
    <row r="14" spans="1:26" ht="30" customHeight="1" x14ac:dyDescent="0.35">
      <c r="B14" s="115" t="str">
        <f>'Select 10 table'!B22</f>
        <v>Sub-ICB of GP Practice</v>
      </c>
      <c r="C14" s="116" t="str">
        <f>'Select 10 table'!C22</f>
        <v>NHS LANCASHIRE AND SOUTH CUMBRIA ICB - 02G (02G)</v>
      </c>
      <c r="D14" s="117">
        <f t="shared" ca="1" si="0"/>
        <v>33</v>
      </c>
      <c r="E14" s="118">
        <f t="shared" ca="1" si="1"/>
        <v>16.090900000000001</v>
      </c>
      <c r="F14" s="118">
        <f t="shared" ca="1" si="2"/>
        <v>41.393900000000002</v>
      </c>
      <c r="G14" s="118">
        <f t="shared" ca="1" si="3"/>
        <v>25.303000000000001</v>
      </c>
      <c r="H14" s="119" t="str">
        <f t="shared" ca="1" si="4"/>
        <v>33
 (100.0%)</v>
      </c>
      <c r="I14" s="119" t="str">
        <f t="shared" ca="1" si="5"/>
        <v>0
(0.0%)</v>
      </c>
      <c r="J14" s="119" t="str">
        <f t="shared" ca="1" si="6"/>
        <v>0
(0.0%)</v>
      </c>
      <c r="K14" s="118">
        <f t="shared" ca="1" si="7"/>
        <v>40.733400000000003</v>
      </c>
      <c r="L14" s="118">
        <f t="shared" ca="1" si="8"/>
        <v>23.649100000000001</v>
      </c>
      <c r="M14" s="118">
        <f t="shared" ca="1" si="9"/>
        <v>7.6908799999999999</v>
      </c>
      <c r="W14" s="106"/>
      <c r="X14" s="106"/>
      <c r="Y14" s="106"/>
      <c r="Z14" s="109"/>
    </row>
    <row r="15" spans="1:26" ht="30" customHeight="1" x14ac:dyDescent="0.35">
      <c r="B15" s="115" t="str">
        <f>'Select 10 table'!B23</f>
        <v>Provider</v>
      </c>
      <c r="C15" s="116" t="str">
        <f>'Select 10 table'!C23</f>
        <v>LEWISHAM AND GREENWICH NHS TRUST (RJ2)</v>
      </c>
      <c r="D15" s="117">
        <f t="shared" ca="1" si="0"/>
        <v>2</v>
      </c>
      <c r="E15" s="118">
        <f t="shared" ca="1" si="1"/>
        <v>23.5</v>
      </c>
      <c r="F15" s="118">
        <f t="shared" ca="1" si="2"/>
        <v>46.5</v>
      </c>
      <c r="G15" s="118">
        <f t="shared" ca="1" si="3"/>
        <v>23</v>
      </c>
      <c r="H15" s="119" t="str">
        <f t="shared" ca="1" si="4"/>
        <v xml:space="preserve"> 2
 (100.0%)</v>
      </c>
      <c r="I15" s="119" t="str">
        <f t="shared" ca="1" si="5"/>
        <v>0
(0.0%)</v>
      </c>
      <c r="J15" s="119" t="str">
        <f t="shared" ca="1" si="6"/>
        <v>0
(0.0%)</v>
      </c>
      <c r="K15" s="118" t="str">
        <f t="shared" ca="1" si="7"/>
        <v>*</v>
      </c>
      <c r="L15" s="118" t="str">
        <f t="shared" ca="1" si="8"/>
        <v>*</v>
      </c>
      <c r="M15" s="118" t="str">
        <f t="shared" ca="1" si="9"/>
        <v>*</v>
      </c>
      <c r="W15" s="106"/>
      <c r="X15" s="106"/>
      <c r="Y15" s="106"/>
      <c r="Z15" s="109"/>
    </row>
    <row r="16" spans="1:26" ht="30" customHeight="1" x14ac:dyDescent="0.35">
      <c r="B16" s="115" t="str">
        <f>'Select 10 table'!B24</f>
        <v>Sub-ICB of GP Practice</v>
      </c>
      <c r="C16" s="116" t="str">
        <f>'Select 10 table'!C24</f>
        <v>NHS KENT AND MEDWAY ICB - 91Q (91Q)</v>
      </c>
      <c r="D16" s="117">
        <f t="shared" ca="1" si="0"/>
        <v>506</v>
      </c>
      <c r="E16" s="118">
        <f t="shared" ca="1" si="1"/>
        <v>17.715399999999999</v>
      </c>
      <c r="F16" s="118">
        <f t="shared" ca="1" si="2"/>
        <v>40.7806</v>
      </c>
      <c r="G16" s="118">
        <f t="shared" ca="1" si="3"/>
        <v>23.065200000000001</v>
      </c>
      <c r="H16" s="119" t="str">
        <f t="shared" ca="1" si="4"/>
        <v>498
 (98.4%)</v>
      </c>
      <c r="I16" s="119" t="str">
        <f t="shared" ca="1" si="5"/>
        <v xml:space="preserve"> 3
 (0.6%)</v>
      </c>
      <c r="J16" s="119" t="str">
        <f t="shared" ca="1" si="6"/>
        <v xml:space="preserve"> 5
 (1.0%)</v>
      </c>
      <c r="K16" s="118">
        <f t="shared" ca="1" si="7"/>
        <v>40.443300000000001</v>
      </c>
      <c r="L16" s="118">
        <f t="shared" ca="1" si="8"/>
        <v>23.359000000000002</v>
      </c>
      <c r="M16" s="118">
        <f t="shared" ca="1" si="9"/>
        <v>7.34701</v>
      </c>
      <c r="W16" s="106"/>
      <c r="X16" s="106"/>
      <c r="Y16" s="106"/>
      <c r="Z16" s="109"/>
    </row>
    <row r="17" spans="2:26" ht="30" customHeight="1" x14ac:dyDescent="0.35">
      <c r="B17" s="115" t="str">
        <f>'Select 10 table'!B25</f>
        <v>Provider</v>
      </c>
      <c r="C17" s="116" t="str">
        <f>'Select 10 table'!C25</f>
        <v>NUFFIELD HEALTH, EXETER HOSPITAL (NT215)</v>
      </c>
      <c r="D17" s="117">
        <f t="shared" ca="1" si="0"/>
        <v>3</v>
      </c>
      <c r="E17" s="118">
        <f t="shared" ca="1" si="1"/>
        <v>15</v>
      </c>
      <c r="F17" s="118">
        <f t="shared" ca="1" si="2"/>
        <v>47</v>
      </c>
      <c r="G17" s="118">
        <f t="shared" ca="1" si="3"/>
        <v>32</v>
      </c>
      <c r="H17" s="119" t="str">
        <f t="shared" ca="1" si="4"/>
        <v xml:space="preserve"> 3
 (100.0%)</v>
      </c>
      <c r="I17" s="119" t="str">
        <f t="shared" ca="1" si="5"/>
        <v>0
(0.0%)</v>
      </c>
      <c r="J17" s="119" t="str">
        <f t="shared" ca="1" si="6"/>
        <v>0
(0.0%)</v>
      </c>
      <c r="K17" s="118" t="str">
        <f t="shared" ca="1" si="7"/>
        <v>*</v>
      </c>
      <c r="L17" s="118" t="str">
        <f t="shared" ca="1" si="8"/>
        <v>*</v>
      </c>
      <c r="M17" s="118" t="str">
        <f t="shared" ca="1" si="9"/>
        <v>*</v>
      </c>
      <c r="W17" s="106"/>
      <c r="X17" s="106"/>
      <c r="Y17" s="106"/>
      <c r="Z17" s="109"/>
    </row>
    <row r="18" spans="2:26" ht="30" customHeight="1" x14ac:dyDescent="0.35">
      <c r="B18" s="115" t="str">
        <f>'Select 10 table'!B26</f>
        <v>Sub-ICB of GP Practice</v>
      </c>
      <c r="C18" s="116" t="str">
        <f>'Select 10 table'!C26</f>
        <v>NHS NORTH EAST AND NORTH CUMBRIA ICB - 01H (01H)</v>
      </c>
      <c r="D18" s="117">
        <f t="shared" ca="1" si="0"/>
        <v>175</v>
      </c>
      <c r="E18" s="118">
        <f t="shared" ca="1" si="1"/>
        <v>14.948600000000001</v>
      </c>
      <c r="F18" s="118">
        <f t="shared" ca="1" si="2"/>
        <v>40.102899999999998</v>
      </c>
      <c r="G18" s="118">
        <f t="shared" ca="1" si="3"/>
        <v>25.154299999999999</v>
      </c>
      <c r="H18" s="119" t="str">
        <f t="shared" ca="1" si="4"/>
        <v>174
 (99.4%)</v>
      </c>
      <c r="I18" s="119" t="str">
        <f t="shared" ca="1" si="5"/>
        <v>0
(0.0%)</v>
      </c>
      <c r="J18" s="119" t="str">
        <f t="shared" ca="1" si="6"/>
        <v xml:space="preserve"> 1
 (0.6%)</v>
      </c>
      <c r="K18" s="118">
        <f t="shared" ca="1" si="7"/>
        <v>40.924199999999999</v>
      </c>
      <c r="L18" s="118">
        <f t="shared" ca="1" si="8"/>
        <v>23.8399</v>
      </c>
      <c r="M18" s="118">
        <f t="shared" ca="1" si="9"/>
        <v>8.0659899999999993</v>
      </c>
      <c r="W18" s="106"/>
      <c r="X18" s="106"/>
      <c r="Y18" s="106"/>
      <c r="Z18" s="109"/>
    </row>
    <row r="19" spans="2:26" x14ac:dyDescent="0.35">
      <c r="K19" s="106"/>
      <c r="L19" s="106"/>
      <c r="M19" s="106"/>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FFB3"/>
  </sheetPr>
  <dimension ref="A1:V402"/>
  <sheetViews>
    <sheetView zoomScale="80" zoomScaleNormal="80" workbookViewId="0">
      <selection activeCell="L14" sqref="L14"/>
    </sheetView>
  </sheetViews>
  <sheetFormatPr defaultRowHeight="12.5" x14ac:dyDescent="0.25"/>
  <cols>
    <col min="3" max="3" width="47" customWidth="1"/>
    <col min="4" max="4" width="17.54296875" bestFit="1" customWidth="1"/>
    <col min="5" max="5" width="18.81640625" bestFit="1" customWidth="1"/>
    <col min="7" max="7" width="19.1796875" customWidth="1"/>
    <col min="8" max="8" width="33.81640625" bestFit="1" customWidth="1"/>
  </cols>
  <sheetData>
    <row r="1" spans="1:22" x14ac:dyDescent="0.25">
      <c r="B1">
        <v>1</v>
      </c>
      <c r="C1">
        <v>2</v>
      </c>
      <c r="D1">
        <v>3</v>
      </c>
      <c r="E1">
        <v>4</v>
      </c>
      <c r="F1">
        <v>5</v>
      </c>
      <c r="G1">
        <v>6</v>
      </c>
      <c r="H1">
        <v>7</v>
      </c>
      <c r="I1">
        <v>8</v>
      </c>
      <c r="J1">
        <v>9</v>
      </c>
      <c r="K1">
        <v>10</v>
      </c>
      <c r="L1">
        <v>11</v>
      </c>
      <c r="M1">
        <v>12</v>
      </c>
      <c r="N1">
        <v>13</v>
      </c>
      <c r="O1">
        <v>14</v>
      </c>
      <c r="P1">
        <v>15</v>
      </c>
      <c r="Q1">
        <v>16</v>
      </c>
      <c r="R1">
        <v>17</v>
      </c>
    </row>
    <row r="2" spans="1:22" x14ac:dyDescent="0.25">
      <c r="A2" t="s">
        <v>1190</v>
      </c>
      <c r="B2" t="s">
        <v>1191</v>
      </c>
      <c r="C2" s="9" t="s">
        <v>1192</v>
      </c>
      <c r="D2" s="10" t="s">
        <v>1193</v>
      </c>
      <c r="E2" s="10" t="s">
        <v>736</v>
      </c>
      <c r="F2" s="10" t="s">
        <v>57</v>
      </c>
      <c r="G2" s="10" t="s">
        <v>737</v>
      </c>
      <c r="H2" s="10" t="s">
        <v>738</v>
      </c>
      <c r="I2" s="1" t="s">
        <v>1131</v>
      </c>
      <c r="J2" s="1" t="s">
        <v>1194</v>
      </c>
      <c r="K2" s="1" t="s">
        <v>1195</v>
      </c>
      <c r="L2" s="1" t="s">
        <v>1196</v>
      </c>
      <c r="M2" s="1" t="s">
        <v>1197</v>
      </c>
      <c r="N2" s="1" t="s">
        <v>1198</v>
      </c>
      <c r="O2" s="1" t="s">
        <v>1199</v>
      </c>
      <c r="P2" s="1" t="s">
        <v>1200</v>
      </c>
      <c r="Q2" s="11" t="s">
        <v>1128</v>
      </c>
      <c r="R2" s="2" t="s">
        <v>748</v>
      </c>
      <c r="S2" s="1" t="s">
        <v>1201</v>
      </c>
      <c r="T2" s="1" t="s">
        <v>1202</v>
      </c>
      <c r="U2" s="1" t="s">
        <v>1203</v>
      </c>
      <c r="V2" s="1" t="s">
        <v>1204</v>
      </c>
    </row>
    <row r="3" spans="1:22" x14ac:dyDescent="0.25">
      <c r="A3">
        <v>1</v>
      </c>
      <c r="B3">
        <f t="shared" ref="B3:K12" ca="1" si="0">VLOOKUP($A3,Funnel_Data,B$1,FALSE)</f>
        <v>1</v>
      </c>
      <c r="C3" t="str">
        <f t="shared" ca="1" si="0"/>
        <v>Total Hip ReplacementProviderSULIS HOSPITAL BATHOxford Hip Score</v>
      </c>
      <c r="D3" t="str">
        <f t="shared" ca="1" si="0"/>
        <v>Total Hip Replacement</v>
      </c>
      <c r="E3" t="str">
        <f t="shared" ca="1" si="0"/>
        <v>Provider</v>
      </c>
      <c r="F3" t="str">
        <f t="shared" ca="1" si="0"/>
        <v>B3W</v>
      </c>
      <c r="G3" t="str">
        <f t="shared" ca="1" si="0"/>
        <v>SULIS HOSPITAL BATH</v>
      </c>
      <c r="H3" t="str">
        <f t="shared" ca="1" si="0"/>
        <v>Oxford Hip Score</v>
      </c>
      <c r="I3">
        <f t="shared" ca="1" si="0"/>
        <v>37</v>
      </c>
      <c r="J3">
        <f t="shared" ca="1" si="0"/>
        <v>17.216200000000001</v>
      </c>
      <c r="K3">
        <f t="shared" ca="1" si="0"/>
        <v>41.378399999999999</v>
      </c>
      <c r="L3">
        <f t="shared" ref="L3:R12" ca="1" si="1">VLOOKUP($A3,Funnel_Data,L$1,FALSE)</f>
        <v>24.162199999999999</v>
      </c>
      <c r="M3">
        <f t="shared" ca="1" si="1"/>
        <v>37</v>
      </c>
      <c r="N3">
        <f t="shared" ca="1" si="1"/>
        <v>0</v>
      </c>
      <c r="O3">
        <f t="shared" ca="1" si="1"/>
        <v>0</v>
      </c>
      <c r="P3">
        <f t="shared" ca="1" si="1"/>
        <v>40.436599999999999</v>
      </c>
      <c r="Q3">
        <f t="shared" ca="1" si="1"/>
        <v>23.225100000000001</v>
      </c>
      <c r="R3">
        <f t="shared" ca="1" si="1"/>
        <v>7.6871200000000002</v>
      </c>
      <c r="S3">
        <f t="shared" ref="S3:S66" ca="1" si="2">IF($Q3="*",#N/A,IF($Q3="-",#N/A,I3))</f>
        <v>37</v>
      </c>
      <c r="T3">
        <f t="shared" ref="T3:T66" ca="1" si="3">IF($Q3="*",#N/A,IF($Q3="-",#N/A,Q3))</f>
        <v>23.225100000000001</v>
      </c>
      <c r="U3" t="e">
        <f ca="1">IF(AND($C3='Funnel setup'!$K$3&amp;'Funnel setup'!$K$6&amp;'Funnel setup'!$K$7&amp;'Funnel setup'!$K$4,'Funnel Lookup'!I3="*",'Funnel Lookup'!I3="*"),#N/A,IF(AND($C3='Funnel setup'!$K$3&amp;'Funnel setup'!$K$6&amp;'Funnel setup'!$K$7&amp;'Funnel setup'!$K$4,'Funnel Lookup'!I3&gt;29,'Funnel Lookup'!I3&lt;&gt;"-"),'Funnel Lookup'!I3,#N/A))</f>
        <v>#N/A</v>
      </c>
      <c r="V3" t="e">
        <f ca="1">IF(AND($C3='Funnel setup'!$K$3&amp;'Funnel setup'!$K$6&amp;'Funnel setup'!$K$7&amp;'Funnel setup'!$K$4,'Funnel Lookup'!I3="*",'Funnel Lookup'!I3="*"),#N/A,IF(AND($C3='Funnel setup'!$K$3&amp;'Funnel setup'!$K$6&amp;'Funnel setup'!$K$7&amp;'Funnel setup'!$K$4,'Funnel Lookup'!I3&gt;29,'Funnel Lookup'!I3&lt;&gt;"-"),'Funnel Lookup'!Q3,#N/A))</f>
        <v>#N/A</v>
      </c>
    </row>
    <row r="4" spans="1:22" x14ac:dyDescent="0.25">
      <c r="A4">
        <v>2</v>
      </c>
      <c r="B4">
        <f t="shared" ca="1" si="0"/>
        <v>2</v>
      </c>
      <c r="C4" t="str">
        <f t="shared" ca="1" si="0"/>
        <v>Total Hip ReplacementProviderAIREDALE NHS FOUNDATION TRUST (RCF)Oxford Hip Score</v>
      </c>
      <c r="D4" t="str">
        <f t="shared" ca="1" si="0"/>
        <v>Total Hip Replacement</v>
      </c>
      <c r="E4" t="str">
        <f t="shared" ca="1" si="0"/>
        <v>Provider</v>
      </c>
      <c r="F4" t="str">
        <f t="shared" ca="1" si="0"/>
        <v>RCF</v>
      </c>
      <c r="G4" t="str">
        <f t="shared" ca="1" si="0"/>
        <v>AIREDALE NHS FOUNDATION TRUST (RCF)</v>
      </c>
      <c r="H4" t="str">
        <f t="shared" ca="1" si="0"/>
        <v>Oxford Hip Score</v>
      </c>
      <c r="I4">
        <f t="shared" ca="1" si="0"/>
        <v>42</v>
      </c>
      <c r="J4">
        <f t="shared" ca="1" si="0"/>
        <v>16.619</v>
      </c>
      <c r="K4">
        <f t="shared" ca="1" si="0"/>
        <v>39.381</v>
      </c>
      <c r="L4">
        <f t="shared" ca="1" si="1"/>
        <v>22.761900000000001</v>
      </c>
      <c r="M4">
        <f t="shared" ca="1" si="1"/>
        <v>40</v>
      </c>
      <c r="N4">
        <f t="shared" ca="1" si="1"/>
        <v>0</v>
      </c>
      <c r="O4">
        <f t="shared" ca="1" si="1"/>
        <v>2</v>
      </c>
      <c r="P4">
        <f t="shared" ca="1" si="1"/>
        <v>39.961599999999997</v>
      </c>
      <c r="Q4">
        <f t="shared" ca="1" si="1"/>
        <v>22.7502</v>
      </c>
      <c r="R4">
        <f t="shared" ca="1" si="1"/>
        <v>9.0234799999999993</v>
      </c>
      <c r="S4">
        <f t="shared" ca="1" si="2"/>
        <v>42</v>
      </c>
      <c r="T4">
        <f t="shared" ca="1" si="3"/>
        <v>22.7502</v>
      </c>
      <c r="U4" t="e">
        <f ca="1">IF(AND($C4='Funnel setup'!$K$3&amp;'Funnel setup'!$K$6&amp;'Funnel setup'!$K$7&amp;'Funnel setup'!$K$4,'Funnel Lookup'!I4="*",'Funnel Lookup'!I4="*"),#N/A,IF(AND($C4='Funnel setup'!$K$3&amp;'Funnel setup'!$K$6&amp;'Funnel setup'!$K$7&amp;'Funnel setup'!$K$4,'Funnel Lookup'!I4&gt;29,'Funnel Lookup'!I4&lt;&gt;"-"),'Funnel Lookup'!I4,#N/A))</f>
        <v>#N/A</v>
      </c>
      <c r="V4" t="e">
        <f ca="1">IF(AND($C4='Funnel setup'!$K$3&amp;'Funnel setup'!$K$6&amp;'Funnel setup'!$K$7&amp;'Funnel setup'!$K$4,'Funnel Lookup'!I4="*",'Funnel Lookup'!I4="*"),#N/A,IF(AND($C4='Funnel setup'!$K$3&amp;'Funnel setup'!$K$6&amp;'Funnel setup'!$K$7&amp;'Funnel setup'!$K$4,'Funnel Lookup'!I4&gt;29,'Funnel Lookup'!I4&lt;&gt;"-"),'Funnel Lookup'!Q4,#N/A))</f>
        <v>#N/A</v>
      </c>
    </row>
    <row r="5" spans="1:22" x14ac:dyDescent="0.25">
      <c r="A5">
        <v>3</v>
      </c>
      <c r="B5">
        <f t="shared" ca="1" si="0"/>
        <v>3</v>
      </c>
      <c r="C5" t="str">
        <f t="shared" ca="1" si="0"/>
        <v>Total Hip ReplacementProviderALEXANDRA HOSPITAL (NT401)Oxford Hip Score</v>
      </c>
      <c r="D5" t="str">
        <f t="shared" ca="1" si="0"/>
        <v>Total Hip Replacement</v>
      </c>
      <c r="E5" t="str">
        <f t="shared" ca="1" si="0"/>
        <v>Provider</v>
      </c>
      <c r="F5" t="str">
        <f t="shared" ca="1" si="0"/>
        <v>NT401</v>
      </c>
      <c r="G5" t="str">
        <f t="shared" ca="1" si="0"/>
        <v>ALEXANDRA HOSPITAL (NT401)</v>
      </c>
      <c r="H5" t="str">
        <f t="shared" ca="1" si="0"/>
        <v>Oxford Hip Score</v>
      </c>
      <c r="I5">
        <f t="shared" ca="1" si="0"/>
        <v>30</v>
      </c>
      <c r="J5">
        <f t="shared" ca="1" si="0"/>
        <v>18.7</v>
      </c>
      <c r="K5">
        <f t="shared" ca="1" si="0"/>
        <v>42.133299999999998</v>
      </c>
      <c r="L5">
        <f t="shared" ca="1" si="1"/>
        <v>23.433299999999999</v>
      </c>
      <c r="M5">
        <f t="shared" ca="1" si="1"/>
        <v>30</v>
      </c>
      <c r="N5">
        <f t="shared" ca="1" si="1"/>
        <v>0</v>
      </c>
      <c r="O5">
        <f t="shared" ca="1" si="1"/>
        <v>0</v>
      </c>
      <c r="P5">
        <f t="shared" ca="1" si="1"/>
        <v>40.639600000000002</v>
      </c>
      <c r="Q5">
        <f t="shared" ca="1" si="1"/>
        <v>23.428100000000001</v>
      </c>
      <c r="R5">
        <f t="shared" ca="1" si="1"/>
        <v>6.1445400000000001</v>
      </c>
      <c r="S5">
        <f t="shared" ca="1" si="2"/>
        <v>30</v>
      </c>
      <c r="T5">
        <f t="shared" ca="1" si="3"/>
        <v>23.428100000000001</v>
      </c>
      <c r="U5" t="e">
        <f ca="1">IF(AND($C5='Funnel setup'!$K$3&amp;'Funnel setup'!$K$6&amp;'Funnel setup'!$K$7&amp;'Funnel setup'!$K$4,'Funnel Lookup'!I5="*",'Funnel Lookup'!I5="*"),#N/A,IF(AND($C5='Funnel setup'!$K$3&amp;'Funnel setup'!$K$6&amp;'Funnel setup'!$K$7&amp;'Funnel setup'!$K$4,'Funnel Lookup'!I5&gt;29,'Funnel Lookup'!I5&lt;&gt;"-"),'Funnel Lookup'!I5,#N/A))</f>
        <v>#N/A</v>
      </c>
      <c r="V5" t="e">
        <f ca="1">IF(AND($C5='Funnel setup'!$K$3&amp;'Funnel setup'!$K$6&amp;'Funnel setup'!$K$7&amp;'Funnel setup'!$K$4,'Funnel Lookup'!I5="*",'Funnel Lookup'!I5="*"),#N/A,IF(AND($C5='Funnel setup'!$K$3&amp;'Funnel setup'!$K$6&amp;'Funnel setup'!$K$7&amp;'Funnel setup'!$K$4,'Funnel Lookup'!I5&gt;29,'Funnel Lookup'!I5&lt;&gt;"-"),'Funnel Lookup'!Q5,#N/A))</f>
        <v>#N/A</v>
      </c>
    </row>
    <row r="6" spans="1:22" x14ac:dyDescent="0.25">
      <c r="A6">
        <v>4</v>
      </c>
      <c r="B6">
        <f t="shared" ca="1" si="0"/>
        <v>4</v>
      </c>
      <c r="C6" t="str">
        <f t="shared" ca="1" si="0"/>
        <v>Total Hip ReplacementProviderASHFORD AND ST PETER'S HOSPITALS NHS FOUNDATION TRUST (RTK)Oxford Hip Score</v>
      </c>
      <c r="D6" t="str">
        <f t="shared" ca="1" si="0"/>
        <v>Total Hip Replacement</v>
      </c>
      <c r="E6" t="str">
        <f t="shared" ca="1" si="0"/>
        <v>Provider</v>
      </c>
      <c r="F6" t="str">
        <f t="shared" ca="1" si="0"/>
        <v>RTK</v>
      </c>
      <c r="G6" t="str">
        <f t="shared" ca="1" si="0"/>
        <v>ASHFORD AND ST PETER'S HOSPITALS NHS FOUNDATION TRUST (RTK)</v>
      </c>
      <c r="H6" t="str">
        <f t="shared" ca="1" si="0"/>
        <v>Oxford Hip Score</v>
      </c>
      <c r="I6">
        <f t="shared" ca="1" si="0"/>
        <v>68</v>
      </c>
      <c r="J6">
        <f t="shared" ca="1" si="0"/>
        <v>18.720600000000001</v>
      </c>
      <c r="K6">
        <f t="shared" ca="1" si="0"/>
        <v>41.985300000000002</v>
      </c>
      <c r="L6">
        <f t="shared" ca="1" si="1"/>
        <v>23.264700000000001</v>
      </c>
      <c r="M6">
        <f t="shared" ca="1" si="1"/>
        <v>67</v>
      </c>
      <c r="N6">
        <f t="shared" ca="1" si="1"/>
        <v>1</v>
      </c>
      <c r="O6">
        <f t="shared" ca="1" si="1"/>
        <v>0</v>
      </c>
      <c r="P6">
        <f t="shared" ca="1" si="1"/>
        <v>40.5137</v>
      </c>
      <c r="Q6">
        <f t="shared" ca="1" si="1"/>
        <v>23.302299999999999</v>
      </c>
      <c r="R6">
        <f t="shared" ca="1" si="1"/>
        <v>6.2040699999999998</v>
      </c>
      <c r="S6">
        <f t="shared" ca="1" si="2"/>
        <v>68</v>
      </c>
      <c r="T6">
        <f t="shared" ca="1" si="3"/>
        <v>23.302299999999999</v>
      </c>
      <c r="U6" t="e">
        <f ca="1">IF(AND($C6='Funnel setup'!$K$3&amp;'Funnel setup'!$K$6&amp;'Funnel setup'!$K$7&amp;'Funnel setup'!$K$4,'Funnel Lookup'!I6="*",'Funnel Lookup'!I6="*"),#N/A,IF(AND($C6='Funnel setup'!$K$3&amp;'Funnel setup'!$K$6&amp;'Funnel setup'!$K$7&amp;'Funnel setup'!$K$4,'Funnel Lookup'!I6&gt;29,'Funnel Lookup'!I6&lt;&gt;"-"),'Funnel Lookup'!I6,#N/A))</f>
        <v>#N/A</v>
      </c>
      <c r="V6" t="e">
        <f ca="1">IF(AND($C6='Funnel setup'!$K$3&amp;'Funnel setup'!$K$6&amp;'Funnel setup'!$K$7&amp;'Funnel setup'!$K$4,'Funnel Lookup'!I6="*",'Funnel Lookup'!I6="*"),#N/A,IF(AND($C6='Funnel setup'!$K$3&amp;'Funnel setup'!$K$6&amp;'Funnel setup'!$K$7&amp;'Funnel setup'!$K$4,'Funnel Lookup'!I6&gt;29,'Funnel Lookup'!I6&lt;&gt;"-"),'Funnel Lookup'!Q6,#N/A))</f>
        <v>#N/A</v>
      </c>
    </row>
    <row r="7" spans="1:22" x14ac:dyDescent="0.25">
      <c r="A7">
        <v>5</v>
      </c>
      <c r="B7">
        <f t="shared" ca="1" si="0"/>
        <v>5</v>
      </c>
      <c r="C7" t="str">
        <f t="shared" ca="1" si="0"/>
        <v>Total Hip ReplacementProviderASHTEAD HOSPITAL (NVC01)Oxford Hip Score</v>
      </c>
      <c r="D7" t="str">
        <f t="shared" ca="1" si="0"/>
        <v>Total Hip Replacement</v>
      </c>
      <c r="E7" t="str">
        <f t="shared" ca="1" si="0"/>
        <v>Provider</v>
      </c>
      <c r="F7" t="str">
        <f t="shared" ca="1" si="0"/>
        <v>NVC01</v>
      </c>
      <c r="G7" t="str">
        <f t="shared" ca="1" si="0"/>
        <v>ASHTEAD HOSPITAL (NVC01)</v>
      </c>
      <c r="H7" t="str">
        <f t="shared" ca="1" si="0"/>
        <v>Oxford Hip Score</v>
      </c>
      <c r="I7">
        <f t="shared" ca="1" si="0"/>
        <v>12</v>
      </c>
      <c r="J7">
        <f t="shared" ca="1" si="0"/>
        <v>20.083300000000001</v>
      </c>
      <c r="K7">
        <f t="shared" ca="1" si="0"/>
        <v>44.333300000000001</v>
      </c>
      <c r="L7">
        <f t="shared" ca="1" si="1"/>
        <v>24.25</v>
      </c>
      <c r="M7">
        <f t="shared" ca="1" si="1"/>
        <v>12</v>
      </c>
      <c r="N7">
        <f t="shared" ca="1" si="1"/>
        <v>0</v>
      </c>
      <c r="O7">
        <f t="shared" ca="1" si="1"/>
        <v>0</v>
      </c>
      <c r="P7" t="str">
        <f t="shared" ca="1" si="1"/>
        <v>*</v>
      </c>
      <c r="Q7" t="str">
        <f t="shared" ca="1" si="1"/>
        <v>*</v>
      </c>
      <c r="R7" t="str">
        <f t="shared" ca="1" si="1"/>
        <v>*</v>
      </c>
      <c r="S7" t="e">
        <f t="shared" ca="1" si="2"/>
        <v>#N/A</v>
      </c>
      <c r="T7" t="e">
        <f t="shared" ca="1" si="3"/>
        <v>#N/A</v>
      </c>
      <c r="U7" t="e">
        <f ca="1">IF(AND($C7='Funnel setup'!$K$3&amp;'Funnel setup'!$K$6&amp;'Funnel setup'!$K$7&amp;'Funnel setup'!$K$4,'Funnel Lookup'!I7="*",'Funnel Lookup'!I7="*"),#N/A,IF(AND($C7='Funnel setup'!$K$3&amp;'Funnel setup'!$K$6&amp;'Funnel setup'!$K$7&amp;'Funnel setup'!$K$4,'Funnel Lookup'!I7&gt;29,'Funnel Lookup'!I7&lt;&gt;"-"),'Funnel Lookup'!I7,#N/A))</f>
        <v>#N/A</v>
      </c>
      <c r="V7" t="e">
        <f ca="1">IF(AND($C7='Funnel setup'!$K$3&amp;'Funnel setup'!$K$6&amp;'Funnel setup'!$K$7&amp;'Funnel setup'!$K$4,'Funnel Lookup'!I7="*",'Funnel Lookup'!I7="*"),#N/A,IF(AND($C7='Funnel setup'!$K$3&amp;'Funnel setup'!$K$6&amp;'Funnel setup'!$K$7&amp;'Funnel setup'!$K$4,'Funnel Lookup'!I7&gt;29,'Funnel Lookup'!I7&lt;&gt;"-"),'Funnel Lookup'!Q7,#N/A))</f>
        <v>#N/A</v>
      </c>
    </row>
    <row r="8" spans="1:22" x14ac:dyDescent="0.25">
      <c r="A8">
        <v>6</v>
      </c>
      <c r="B8">
        <f t="shared" ca="1" si="0"/>
        <v>6</v>
      </c>
      <c r="C8" t="str">
        <f t="shared" ca="1" si="0"/>
        <v>Total Hip ReplacementProviderBARKING, HAVERING AND REDBRIDGE UNIVERSITY HOSPITALS NHS TRUST (RF4)Oxford Hip Score</v>
      </c>
      <c r="D8" t="str">
        <f t="shared" ca="1" si="0"/>
        <v>Total Hip Replacement</v>
      </c>
      <c r="E8" t="str">
        <f t="shared" ca="1" si="0"/>
        <v>Provider</v>
      </c>
      <c r="F8" t="str">
        <f t="shared" ca="1" si="0"/>
        <v>RF4</v>
      </c>
      <c r="G8" t="str">
        <f t="shared" ca="1" si="0"/>
        <v>BARKING, HAVERING AND REDBRIDGE UNIVERSITY HOSPITALS NHS TRUST (RF4)</v>
      </c>
      <c r="H8" t="str">
        <f t="shared" ca="1" si="0"/>
        <v>Oxford Hip Score</v>
      </c>
      <c r="I8">
        <f t="shared" ca="1" si="0"/>
        <v>57</v>
      </c>
      <c r="J8">
        <f t="shared" ca="1" si="0"/>
        <v>12.807</v>
      </c>
      <c r="K8">
        <f t="shared" ca="1" si="0"/>
        <v>34.280700000000003</v>
      </c>
      <c r="L8">
        <f t="shared" ca="1" si="1"/>
        <v>21.473700000000001</v>
      </c>
      <c r="M8">
        <f t="shared" ca="1" si="1"/>
        <v>57</v>
      </c>
      <c r="N8">
        <f t="shared" ca="1" si="1"/>
        <v>0</v>
      </c>
      <c r="O8">
        <f t="shared" ca="1" si="1"/>
        <v>0</v>
      </c>
      <c r="P8">
        <f t="shared" ca="1" si="1"/>
        <v>36.7502</v>
      </c>
      <c r="Q8">
        <f t="shared" ca="1" si="1"/>
        <v>19.538699999999999</v>
      </c>
      <c r="R8">
        <f t="shared" ca="1" si="1"/>
        <v>9.7624200000000005</v>
      </c>
      <c r="S8">
        <f t="shared" ca="1" si="2"/>
        <v>57</v>
      </c>
      <c r="T8">
        <f t="shared" ca="1" si="3"/>
        <v>19.538699999999999</v>
      </c>
      <c r="U8" t="e">
        <f ca="1">IF(AND($C8='Funnel setup'!$K$3&amp;'Funnel setup'!$K$6&amp;'Funnel setup'!$K$7&amp;'Funnel setup'!$K$4,'Funnel Lookup'!I8="*",'Funnel Lookup'!I8="*"),#N/A,IF(AND($C8='Funnel setup'!$K$3&amp;'Funnel setup'!$K$6&amp;'Funnel setup'!$K$7&amp;'Funnel setup'!$K$4,'Funnel Lookup'!I8&gt;29,'Funnel Lookup'!I8&lt;&gt;"-"),'Funnel Lookup'!I8,#N/A))</f>
        <v>#N/A</v>
      </c>
      <c r="V8" t="e">
        <f ca="1">IF(AND($C8='Funnel setup'!$K$3&amp;'Funnel setup'!$K$6&amp;'Funnel setup'!$K$7&amp;'Funnel setup'!$K$4,'Funnel Lookup'!I8="*",'Funnel Lookup'!I8="*"),#N/A,IF(AND($C8='Funnel setup'!$K$3&amp;'Funnel setup'!$K$6&amp;'Funnel setup'!$K$7&amp;'Funnel setup'!$K$4,'Funnel Lookup'!I8&gt;29,'Funnel Lookup'!I8&lt;&gt;"-"),'Funnel Lookup'!Q8,#N/A))</f>
        <v>#N/A</v>
      </c>
    </row>
    <row r="9" spans="1:22" x14ac:dyDescent="0.25">
      <c r="A9">
        <v>7</v>
      </c>
      <c r="B9">
        <f t="shared" ca="1" si="0"/>
        <v>7</v>
      </c>
      <c r="C9" t="str">
        <f t="shared" ca="1" si="0"/>
        <v>Total Hip ReplacementProviderBARNSLEY HOSPITAL NHS FOUNDATION TRUST (RFF)Oxford Hip Score</v>
      </c>
      <c r="D9" t="str">
        <f t="shared" ca="1" si="0"/>
        <v>Total Hip Replacement</v>
      </c>
      <c r="E9" t="str">
        <f t="shared" ca="1" si="0"/>
        <v>Provider</v>
      </c>
      <c r="F9" t="str">
        <f t="shared" ca="1" si="0"/>
        <v>RFF</v>
      </c>
      <c r="G9" t="str">
        <f t="shared" ca="1" si="0"/>
        <v>BARNSLEY HOSPITAL NHS FOUNDATION TRUST (RFF)</v>
      </c>
      <c r="H9" t="str">
        <f t="shared" ca="1" si="0"/>
        <v>Oxford Hip Score</v>
      </c>
      <c r="I9">
        <f t="shared" ca="1" si="0"/>
        <v>45</v>
      </c>
      <c r="J9">
        <f t="shared" ca="1" si="0"/>
        <v>14.3111</v>
      </c>
      <c r="K9">
        <f t="shared" ca="1" si="0"/>
        <v>35.977800000000002</v>
      </c>
      <c r="L9">
        <f t="shared" ca="1" si="1"/>
        <v>21.666699999999999</v>
      </c>
      <c r="M9">
        <f t="shared" ca="1" si="1"/>
        <v>43</v>
      </c>
      <c r="N9">
        <f t="shared" ca="1" si="1"/>
        <v>0</v>
      </c>
      <c r="O9">
        <f t="shared" ca="1" si="1"/>
        <v>2</v>
      </c>
      <c r="P9">
        <f t="shared" ca="1" si="1"/>
        <v>38.479500000000002</v>
      </c>
      <c r="Q9">
        <f t="shared" ca="1" si="1"/>
        <v>21.2681</v>
      </c>
      <c r="R9">
        <f t="shared" ca="1" si="1"/>
        <v>8.7171900000000004</v>
      </c>
      <c r="S9">
        <f t="shared" ca="1" si="2"/>
        <v>45</v>
      </c>
      <c r="T9">
        <f t="shared" ca="1" si="3"/>
        <v>21.2681</v>
      </c>
      <c r="U9" t="e">
        <f ca="1">IF(AND($C9='Funnel setup'!$K$3&amp;'Funnel setup'!$K$6&amp;'Funnel setup'!$K$7&amp;'Funnel setup'!$K$4,'Funnel Lookup'!I9="*",'Funnel Lookup'!I9="*"),#N/A,IF(AND($C9='Funnel setup'!$K$3&amp;'Funnel setup'!$K$6&amp;'Funnel setup'!$K$7&amp;'Funnel setup'!$K$4,'Funnel Lookup'!I9&gt;29,'Funnel Lookup'!I9&lt;&gt;"-"),'Funnel Lookup'!I9,#N/A))</f>
        <v>#N/A</v>
      </c>
      <c r="V9" t="e">
        <f ca="1">IF(AND($C9='Funnel setup'!$K$3&amp;'Funnel setup'!$K$6&amp;'Funnel setup'!$K$7&amp;'Funnel setup'!$K$4,'Funnel Lookup'!I9="*",'Funnel Lookup'!I9="*"),#N/A,IF(AND($C9='Funnel setup'!$K$3&amp;'Funnel setup'!$K$6&amp;'Funnel setup'!$K$7&amp;'Funnel setup'!$K$4,'Funnel Lookup'!I9&gt;29,'Funnel Lookup'!I9&lt;&gt;"-"),'Funnel Lookup'!Q9,#N/A))</f>
        <v>#N/A</v>
      </c>
    </row>
    <row r="10" spans="1:22" x14ac:dyDescent="0.25">
      <c r="A10">
        <v>8</v>
      </c>
      <c r="B10">
        <f t="shared" ca="1" si="0"/>
        <v>8</v>
      </c>
      <c r="C10" t="str">
        <f t="shared" ca="1" si="0"/>
        <v>Total Hip ReplacementProviderBARTS HEALTH NHS TRUST (R1H)Oxford Hip Score</v>
      </c>
      <c r="D10" t="str">
        <f t="shared" ca="1" si="0"/>
        <v>Total Hip Replacement</v>
      </c>
      <c r="E10" t="str">
        <f t="shared" ca="1" si="0"/>
        <v>Provider</v>
      </c>
      <c r="F10" t="str">
        <f t="shared" ca="1" si="0"/>
        <v>R1H</v>
      </c>
      <c r="G10" t="str">
        <f t="shared" ca="1" si="0"/>
        <v>BARTS HEALTH NHS TRUST (R1H)</v>
      </c>
      <c r="H10" t="str">
        <f t="shared" ca="1" si="0"/>
        <v>Oxford Hip Score</v>
      </c>
      <c r="I10">
        <f t="shared" ca="1" si="0"/>
        <v>41</v>
      </c>
      <c r="J10">
        <f t="shared" ca="1" si="0"/>
        <v>18.2683</v>
      </c>
      <c r="K10">
        <f t="shared" ca="1" si="0"/>
        <v>38.0732</v>
      </c>
      <c r="L10">
        <f t="shared" ca="1" si="1"/>
        <v>19.8049</v>
      </c>
      <c r="M10">
        <f t="shared" ca="1" si="1"/>
        <v>40</v>
      </c>
      <c r="N10">
        <f t="shared" ca="1" si="1"/>
        <v>0</v>
      </c>
      <c r="O10">
        <f t="shared" ca="1" si="1"/>
        <v>1</v>
      </c>
      <c r="P10">
        <f t="shared" ca="1" si="1"/>
        <v>38.071199999999997</v>
      </c>
      <c r="Q10">
        <f t="shared" ca="1" si="1"/>
        <v>20.8598</v>
      </c>
      <c r="R10">
        <f t="shared" ca="1" si="1"/>
        <v>8.3608600000000006</v>
      </c>
      <c r="S10">
        <f t="shared" ca="1" si="2"/>
        <v>41</v>
      </c>
      <c r="T10">
        <f t="shared" ca="1" si="3"/>
        <v>20.8598</v>
      </c>
      <c r="U10" t="e">
        <f ca="1">IF(AND($C10='Funnel setup'!$K$3&amp;'Funnel setup'!$K$6&amp;'Funnel setup'!$K$7&amp;'Funnel setup'!$K$4,'Funnel Lookup'!I10="*",'Funnel Lookup'!I10="*"),#N/A,IF(AND($C10='Funnel setup'!$K$3&amp;'Funnel setup'!$K$6&amp;'Funnel setup'!$K$7&amp;'Funnel setup'!$K$4,'Funnel Lookup'!I10&gt;29,'Funnel Lookup'!I10&lt;&gt;"-"),'Funnel Lookup'!I10,#N/A))</f>
        <v>#N/A</v>
      </c>
      <c r="V10" t="e">
        <f ca="1">IF(AND($C10='Funnel setup'!$K$3&amp;'Funnel setup'!$K$6&amp;'Funnel setup'!$K$7&amp;'Funnel setup'!$K$4,'Funnel Lookup'!I10="*",'Funnel Lookup'!I10="*"),#N/A,IF(AND($C10='Funnel setup'!$K$3&amp;'Funnel setup'!$K$6&amp;'Funnel setup'!$K$7&amp;'Funnel setup'!$K$4,'Funnel Lookup'!I10&gt;29,'Funnel Lookup'!I10&lt;&gt;"-"),'Funnel Lookup'!Q10,#N/A))</f>
        <v>#N/A</v>
      </c>
    </row>
    <row r="11" spans="1:22" x14ac:dyDescent="0.25">
      <c r="A11">
        <v>9</v>
      </c>
      <c r="B11">
        <f t="shared" ca="1" si="0"/>
        <v>9</v>
      </c>
      <c r="C11" t="str">
        <f t="shared" ca="1" si="0"/>
        <v>Total Hip ReplacementProviderBATH CLINIC (NT402)Oxford Hip Score</v>
      </c>
      <c r="D11" t="str">
        <f t="shared" ca="1" si="0"/>
        <v>Total Hip Replacement</v>
      </c>
      <c r="E11" t="str">
        <f t="shared" ca="1" si="0"/>
        <v>Provider</v>
      </c>
      <c r="F11" t="str">
        <f t="shared" ca="1" si="0"/>
        <v>NT402</v>
      </c>
      <c r="G11" t="str">
        <f t="shared" ca="1" si="0"/>
        <v>BATH CLINIC (NT402)</v>
      </c>
      <c r="H11" t="str">
        <f t="shared" ca="1" si="0"/>
        <v>Oxford Hip Score</v>
      </c>
      <c r="I11">
        <f t="shared" ca="1" si="0"/>
        <v>79</v>
      </c>
      <c r="J11">
        <f t="shared" ca="1" si="0"/>
        <v>17.518999999999998</v>
      </c>
      <c r="K11">
        <f t="shared" ca="1" si="0"/>
        <v>42.113900000000001</v>
      </c>
      <c r="L11">
        <f t="shared" ca="1" si="1"/>
        <v>24.594899999999999</v>
      </c>
      <c r="M11">
        <f t="shared" ca="1" si="1"/>
        <v>78</v>
      </c>
      <c r="N11">
        <f t="shared" ca="1" si="1"/>
        <v>0</v>
      </c>
      <c r="O11">
        <f t="shared" ca="1" si="1"/>
        <v>1</v>
      </c>
      <c r="P11">
        <f t="shared" ca="1" si="1"/>
        <v>38.880800000000001</v>
      </c>
      <c r="Q11">
        <f t="shared" ca="1" si="1"/>
        <v>21.6694</v>
      </c>
      <c r="R11">
        <f t="shared" ca="1" si="1"/>
        <v>7.6151</v>
      </c>
      <c r="S11">
        <f t="shared" ca="1" si="2"/>
        <v>79</v>
      </c>
      <c r="T11">
        <f t="shared" ca="1" si="3"/>
        <v>21.6694</v>
      </c>
      <c r="U11" t="e">
        <f ca="1">IF(AND($C11='Funnel setup'!$K$3&amp;'Funnel setup'!$K$6&amp;'Funnel setup'!$K$7&amp;'Funnel setup'!$K$4,'Funnel Lookup'!I11="*",'Funnel Lookup'!I11="*"),#N/A,IF(AND($C11='Funnel setup'!$K$3&amp;'Funnel setup'!$K$6&amp;'Funnel setup'!$K$7&amp;'Funnel setup'!$K$4,'Funnel Lookup'!I11&gt;29,'Funnel Lookup'!I11&lt;&gt;"-"),'Funnel Lookup'!I11,#N/A))</f>
        <v>#N/A</v>
      </c>
      <c r="V11" t="e">
        <f ca="1">IF(AND($C11='Funnel setup'!$K$3&amp;'Funnel setup'!$K$6&amp;'Funnel setup'!$K$7&amp;'Funnel setup'!$K$4,'Funnel Lookup'!I11="*",'Funnel Lookup'!I11="*"),#N/A,IF(AND($C11='Funnel setup'!$K$3&amp;'Funnel setup'!$K$6&amp;'Funnel setup'!$K$7&amp;'Funnel setup'!$K$4,'Funnel Lookup'!I11&gt;29,'Funnel Lookup'!I11&lt;&gt;"-"),'Funnel Lookup'!Q11,#N/A))</f>
        <v>#N/A</v>
      </c>
    </row>
    <row r="12" spans="1:22" x14ac:dyDescent="0.25">
      <c r="A12">
        <v>10</v>
      </c>
      <c r="B12">
        <f t="shared" ca="1" si="0"/>
        <v>10</v>
      </c>
      <c r="C12" t="str">
        <f t="shared" ca="1" si="0"/>
        <v>Total Hip ReplacementProviderBEARDWOOD HOSPITAL (NT403)Oxford Hip Score</v>
      </c>
      <c r="D12" t="str">
        <f t="shared" ca="1" si="0"/>
        <v>Total Hip Replacement</v>
      </c>
      <c r="E12" t="str">
        <f t="shared" ca="1" si="0"/>
        <v>Provider</v>
      </c>
      <c r="F12" t="str">
        <f t="shared" ca="1" si="0"/>
        <v>NT403</v>
      </c>
      <c r="G12" t="str">
        <f t="shared" ca="1" si="0"/>
        <v>BEARDWOOD HOSPITAL (NT403)</v>
      </c>
      <c r="H12" t="str">
        <f t="shared" ca="1" si="0"/>
        <v>Oxford Hip Score</v>
      </c>
      <c r="I12">
        <f t="shared" ca="1" si="0"/>
        <v>86</v>
      </c>
      <c r="J12">
        <f t="shared" ca="1" si="0"/>
        <v>19.2791</v>
      </c>
      <c r="K12">
        <f t="shared" ca="1" si="0"/>
        <v>41.7791</v>
      </c>
      <c r="L12">
        <f t="shared" ca="1" si="1"/>
        <v>22.5</v>
      </c>
      <c r="M12">
        <f t="shared" ca="1" si="1"/>
        <v>83</v>
      </c>
      <c r="N12">
        <f t="shared" ca="1" si="1"/>
        <v>1</v>
      </c>
      <c r="O12">
        <f t="shared" ca="1" si="1"/>
        <v>2</v>
      </c>
      <c r="P12">
        <f t="shared" ca="1" si="1"/>
        <v>40.052100000000003</v>
      </c>
      <c r="Q12">
        <f t="shared" ca="1" si="1"/>
        <v>22.840599999999998</v>
      </c>
      <c r="R12">
        <f t="shared" ca="1" si="1"/>
        <v>6.8842800000000004</v>
      </c>
      <c r="S12">
        <f t="shared" ca="1" si="2"/>
        <v>86</v>
      </c>
      <c r="T12">
        <f t="shared" ca="1" si="3"/>
        <v>22.840599999999998</v>
      </c>
      <c r="U12" t="e">
        <f ca="1">IF(AND($C12='Funnel setup'!$K$3&amp;'Funnel setup'!$K$6&amp;'Funnel setup'!$K$7&amp;'Funnel setup'!$K$4,'Funnel Lookup'!I12="*",'Funnel Lookup'!I12="*"),#N/A,IF(AND($C12='Funnel setup'!$K$3&amp;'Funnel setup'!$K$6&amp;'Funnel setup'!$K$7&amp;'Funnel setup'!$K$4,'Funnel Lookup'!I12&gt;29,'Funnel Lookup'!I12&lt;&gt;"-"),'Funnel Lookup'!I12,#N/A))</f>
        <v>#N/A</v>
      </c>
      <c r="V12" t="e">
        <f ca="1">IF(AND($C12='Funnel setup'!$K$3&amp;'Funnel setup'!$K$6&amp;'Funnel setup'!$K$7&amp;'Funnel setup'!$K$4,'Funnel Lookup'!I12="*",'Funnel Lookup'!I12="*"),#N/A,IF(AND($C12='Funnel setup'!$K$3&amp;'Funnel setup'!$K$6&amp;'Funnel setup'!$K$7&amp;'Funnel setup'!$K$4,'Funnel Lookup'!I12&gt;29,'Funnel Lookup'!I12&lt;&gt;"-"),'Funnel Lookup'!Q12,#N/A))</f>
        <v>#N/A</v>
      </c>
    </row>
    <row r="13" spans="1:22" x14ac:dyDescent="0.25">
      <c r="A13">
        <v>11</v>
      </c>
      <c r="B13">
        <f t="shared" ref="B13:K22" ca="1" si="4">VLOOKUP($A13,Funnel_Data,B$1,FALSE)</f>
        <v>11</v>
      </c>
      <c r="C13" t="str">
        <f t="shared" ca="1" si="4"/>
        <v>Total Hip ReplacementProviderBEAUMONT HOSPITAL (NT404)Oxford Hip Score</v>
      </c>
      <c r="D13" t="str">
        <f t="shared" ca="1" si="4"/>
        <v>Total Hip Replacement</v>
      </c>
      <c r="E13" t="str">
        <f t="shared" ca="1" si="4"/>
        <v>Provider</v>
      </c>
      <c r="F13" t="str">
        <f t="shared" ca="1" si="4"/>
        <v>NT404</v>
      </c>
      <c r="G13" t="str">
        <f t="shared" ca="1" si="4"/>
        <v>BEAUMONT HOSPITAL (NT404)</v>
      </c>
      <c r="H13" t="str">
        <f t="shared" ca="1" si="4"/>
        <v>Oxford Hip Score</v>
      </c>
      <c r="I13">
        <f t="shared" ca="1" si="4"/>
        <v>15</v>
      </c>
      <c r="J13">
        <f t="shared" ca="1" si="4"/>
        <v>19.866700000000002</v>
      </c>
      <c r="K13">
        <f t="shared" ca="1" si="4"/>
        <v>43.2</v>
      </c>
      <c r="L13">
        <f t="shared" ref="L13:R22" ca="1" si="5">VLOOKUP($A13,Funnel_Data,L$1,FALSE)</f>
        <v>23.333300000000001</v>
      </c>
      <c r="M13">
        <f t="shared" ca="1" si="5"/>
        <v>15</v>
      </c>
      <c r="N13">
        <f t="shared" ca="1" si="5"/>
        <v>0</v>
      </c>
      <c r="O13">
        <f t="shared" ca="1" si="5"/>
        <v>0</v>
      </c>
      <c r="P13" t="str">
        <f t="shared" ca="1" si="5"/>
        <v>*</v>
      </c>
      <c r="Q13" t="str">
        <f t="shared" ca="1" si="5"/>
        <v>*</v>
      </c>
      <c r="R13" t="str">
        <f t="shared" ca="1" si="5"/>
        <v>*</v>
      </c>
      <c r="S13" t="e">
        <f t="shared" ca="1" si="2"/>
        <v>#N/A</v>
      </c>
      <c r="T13" t="e">
        <f t="shared" ca="1" si="3"/>
        <v>#N/A</v>
      </c>
      <c r="U13" t="e">
        <f ca="1">IF(AND($C13='Funnel setup'!$K$3&amp;'Funnel setup'!$K$6&amp;'Funnel setup'!$K$7&amp;'Funnel setup'!$K$4,'Funnel Lookup'!I13="*",'Funnel Lookup'!I13="*"),#N/A,IF(AND($C13='Funnel setup'!$K$3&amp;'Funnel setup'!$K$6&amp;'Funnel setup'!$K$7&amp;'Funnel setup'!$K$4,'Funnel Lookup'!I13&gt;29,'Funnel Lookup'!I13&lt;&gt;"-"),'Funnel Lookup'!I13,#N/A))</f>
        <v>#N/A</v>
      </c>
      <c r="V13" t="e">
        <f ca="1">IF(AND($C13='Funnel setup'!$K$3&amp;'Funnel setup'!$K$6&amp;'Funnel setup'!$K$7&amp;'Funnel setup'!$K$4,'Funnel Lookup'!I13="*",'Funnel Lookup'!I13="*"),#N/A,IF(AND($C13='Funnel setup'!$K$3&amp;'Funnel setup'!$K$6&amp;'Funnel setup'!$K$7&amp;'Funnel setup'!$K$4,'Funnel Lookup'!I13&gt;29,'Funnel Lookup'!I13&lt;&gt;"-"),'Funnel Lookup'!Q13,#N/A))</f>
        <v>#N/A</v>
      </c>
    </row>
    <row r="14" spans="1:22" x14ac:dyDescent="0.25">
      <c r="A14">
        <v>12</v>
      </c>
      <c r="B14">
        <f t="shared" ca="1" si="4"/>
        <v>12</v>
      </c>
      <c r="C14" t="str">
        <f t="shared" ca="1" si="4"/>
        <v>Total Hip ReplacementProviderBEDFORDSHIRE HOSPITALS NHS FOUNDATION TRUST (RC9)Oxford Hip Score</v>
      </c>
      <c r="D14" t="str">
        <f t="shared" ca="1" si="4"/>
        <v>Total Hip Replacement</v>
      </c>
      <c r="E14" t="str">
        <f t="shared" ca="1" si="4"/>
        <v>Provider</v>
      </c>
      <c r="F14" t="str">
        <f t="shared" ca="1" si="4"/>
        <v>RC9</v>
      </c>
      <c r="G14" t="str">
        <f t="shared" ca="1" si="4"/>
        <v>BEDFORDSHIRE HOSPITALS NHS FOUNDATION TRUST (RC9)</v>
      </c>
      <c r="H14" t="str">
        <f t="shared" ca="1" si="4"/>
        <v>Oxford Hip Score</v>
      </c>
      <c r="I14">
        <f t="shared" ca="1" si="4"/>
        <v>131</v>
      </c>
      <c r="J14">
        <f t="shared" ca="1" si="4"/>
        <v>15.6183</v>
      </c>
      <c r="K14">
        <f t="shared" ca="1" si="4"/>
        <v>36.961799999999997</v>
      </c>
      <c r="L14">
        <f t="shared" ca="1" si="5"/>
        <v>21.343499999999999</v>
      </c>
      <c r="M14">
        <f t="shared" ca="1" si="5"/>
        <v>126</v>
      </c>
      <c r="N14">
        <f t="shared" ca="1" si="5"/>
        <v>0</v>
      </c>
      <c r="O14">
        <f t="shared" ca="1" si="5"/>
        <v>5</v>
      </c>
      <c r="P14">
        <f t="shared" ca="1" si="5"/>
        <v>37.973199999999999</v>
      </c>
      <c r="Q14">
        <f t="shared" ca="1" si="5"/>
        <v>20.761800000000001</v>
      </c>
      <c r="R14">
        <f t="shared" ca="1" si="5"/>
        <v>9.4748599999999996</v>
      </c>
      <c r="S14">
        <f t="shared" ca="1" si="2"/>
        <v>131</v>
      </c>
      <c r="T14">
        <f t="shared" ca="1" si="3"/>
        <v>20.761800000000001</v>
      </c>
      <c r="U14" t="e">
        <f ca="1">IF(AND($C14='Funnel setup'!$K$3&amp;'Funnel setup'!$K$6&amp;'Funnel setup'!$K$7&amp;'Funnel setup'!$K$4,'Funnel Lookup'!I14="*",'Funnel Lookup'!I14="*"),#N/A,IF(AND($C14='Funnel setup'!$K$3&amp;'Funnel setup'!$K$6&amp;'Funnel setup'!$K$7&amp;'Funnel setup'!$K$4,'Funnel Lookup'!I14&gt;29,'Funnel Lookup'!I14&lt;&gt;"-"),'Funnel Lookup'!I14,#N/A))</f>
        <v>#N/A</v>
      </c>
      <c r="V14" t="e">
        <f ca="1">IF(AND($C14='Funnel setup'!$K$3&amp;'Funnel setup'!$K$6&amp;'Funnel setup'!$K$7&amp;'Funnel setup'!$K$4,'Funnel Lookup'!I14="*",'Funnel Lookup'!I14="*"),#N/A,IF(AND($C14='Funnel setup'!$K$3&amp;'Funnel setup'!$K$6&amp;'Funnel setup'!$K$7&amp;'Funnel setup'!$K$4,'Funnel Lookup'!I14&gt;29,'Funnel Lookup'!I14&lt;&gt;"-"),'Funnel Lookup'!Q14,#N/A))</f>
        <v>#N/A</v>
      </c>
    </row>
    <row r="15" spans="1:22" x14ac:dyDescent="0.25">
      <c r="A15">
        <v>13</v>
      </c>
      <c r="B15">
        <f t="shared" ca="1" si="4"/>
        <v>13</v>
      </c>
      <c r="C15" t="str">
        <f t="shared" ca="1" si="4"/>
        <v>Total Hip ReplacementProviderBENENDEN HOSPITAL (NWF01)Oxford Hip Score</v>
      </c>
      <c r="D15" t="str">
        <f t="shared" ca="1" si="4"/>
        <v>Total Hip Replacement</v>
      </c>
      <c r="E15" t="str">
        <f t="shared" ca="1" si="4"/>
        <v>Provider</v>
      </c>
      <c r="F15" t="str">
        <f t="shared" ca="1" si="4"/>
        <v>NWF01</v>
      </c>
      <c r="G15" t="str">
        <f t="shared" ca="1" si="4"/>
        <v>BENENDEN HOSPITAL (NWF01)</v>
      </c>
      <c r="H15" t="str">
        <f t="shared" ca="1" si="4"/>
        <v>Oxford Hip Score</v>
      </c>
      <c r="I15">
        <f t="shared" ca="1" si="4"/>
        <v>20</v>
      </c>
      <c r="J15">
        <f t="shared" ca="1" si="4"/>
        <v>19.149999999999999</v>
      </c>
      <c r="K15">
        <f t="shared" ca="1" si="4"/>
        <v>39.299999999999997</v>
      </c>
      <c r="L15">
        <f t="shared" ca="1" si="5"/>
        <v>20.149999999999999</v>
      </c>
      <c r="M15">
        <f t="shared" ca="1" si="5"/>
        <v>20</v>
      </c>
      <c r="N15">
        <f t="shared" ca="1" si="5"/>
        <v>0</v>
      </c>
      <c r="O15">
        <f t="shared" ca="1" si="5"/>
        <v>0</v>
      </c>
      <c r="P15" t="str">
        <f t="shared" ca="1" si="5"/>
        <v>*</v>
      </c>
      <c r="Q15" t="str">
        <f t="shared" ca="1" si="5"/>
        <v>*</v>
      </c>
      <c r="R15" t="str">
        <f t="shared" ca="1" si="5"/>
        <v>*</v>
      </c>
      <c r="S15" t="e">
        <f t="shared" ca="1" si="2"/>
        <v>#N/A</v>
      </c>
      <c r="T15" t="e">
        <f t="shared" ca="1" si="3"/>
        <v>#N/A</v>
      </c>
      <c r="U15" t="e">
        <f ca="1">IF(AND($C15='Funnel setup'!$K$3&amp;'Funnel setup'!$K$6&amp;'Funnel setup'!$K$7&amp;'Funnel setup'!$K$4,'Funnel Lookup'!I15="*",'Funnel Lookup'!I15="*"),#N/A,IF(AND($C15='Funnel setup'!$K$3&amp;'Funnel setup'!$K$6&amp;'Funnel setup'!$K$7&amp;'Funnel setup'!$K$4,'Funnel Lookup'!I15&gt;29,'Funnel Lookup'!I15&lt;&gt;"-"),'Funnel Lookup'!I15,#N/A))</f>
        <v>#N/A</v>
      </c>
      <c r="V15" t="e">
        <f ca="1">IF(AND($C15='Funnel setup'!$K$3&amp;'Funnel setup'!$K$6&amp;'Funnel setup'!$K$7&amp;'Funnel setup'!$K$4,'Funnel Lookup'!I15="*",'Funnel Lookup'!I15="*"),#N/A,IF(AND($C15='Funnel setup'!$K$3&amp;'Funnel setup'!$K$6&amp;'Funnel setup'!$K$7&amp;'Funnel setup'!$K$4,'Funnel Lookup'!I15&gt;29,'Funnel Lookup'!I15&lt;&gt;"-"),'Funnel Lookup'!Q15,#N/A))</f>
        <v>#N/A</v>
      </c>
    </row>
    <row r="16" spans="1:22" x14ac:dyDescent="0.25">
      <c r="A16">
        <v>14</v>
      </c>
      <c r="B16">
        <f t="shared" ca="1" si="4"/>
        <v>14</v>
      </c>
      <c r="C16" t="str">
        <f t="shared" ca="1" si="4"/>
        <v>Total Hip ReplacementProviderBISHOPS WOOD HOSPITAL (NT405)Oxford Hip Score</v>
      </c>
      <c r="D16" t="str">
        <f t="shared" ca="1" si="4"/>
        <v>Total Hip Replacement</v>
      </c>
      <c r="E16" t="str">
        <f t="shared" ca="1" si="4"/>
        <v>Provider</v>
      </c>
      <c r="F16" t="str">
        <f t="shared" ca="1" si="4"/>
        <v>NT405</v>
      </c>
      <c r="G16" t="str">
        <f t="shared" ca="1" si="4"/>
        <v>BISHOPS WOOD HOSPITAL (NT405)</v>
      </c>
      <c r="H16" t="str">
        <f t="shared" ca="1" si="4"/>
        <v>Oxford Hip Score</v>
      </c>
      <c r="I16">
        <f t="shared" ca="1" si="4"/>
        <v>4</v>
      </c>
      <c r="J16">
        <f t="shared" ca="1" si="4"/>
        <v>23.25</v>
      </c>
      <c r="K16">
        <f t="shared" ca="1" si="4"/>
        <v>39.75</v>
      </c>
      <c r="L16">
        <f t="shared" ca="1" si="5"/>
        <v>16.5</v>
      </c>
      <c r="M16">
        <f t="shared" ca="1" si="5"/>
        <v>4</v>
      </c>
      <c r="N16">
        <f t="shared" ca="1" si="5"/>
        <v>0</v>
      </c>
      <c r="O16">
        <f t="shared" ca="1" si="5"/>
        <v>0</v>
      </c>
      <c r="P16" t="str">
        <f t="shared" ca="1" si="5"/>
        <v>*</v>
      </c>
      <c r="Q16" t="str">
        <f t="shared" ca="1" si="5"/>
        <v>*</v>
      </c>
      <c r="R16" t="str">
        <f t="shared" ca="1" si="5"/>
        <v>*</v>
      </c>
      <c r="S16" t="e">
        <f t="shared" ca="1" si="2"/>
        <v>#N/A</v>
      </c>
      <c r="T16" t="e">
        <f t="shared" ca="1" si="3"/>
        <v>#N/A</v>
      </c>
      <c r="U16" t="e">
        <f ca="1">IF(AND($C16='Funnel setup'!$K$3&amp;'Funnel setup'!$K$6&amp;'Funnel setup'!$K$7&amp;'Funnel setup'!$K$4,'Funnel Lookup'!I16="*",'Funnel Lookup'!I16="*"),#N/A,IF(AND($C16='Funnel setup'!$K$3&amp;'Funnel setup'!$K$6&amp;'Funnel setup'!$K$7&amp;'Funnel setup'!$K$4,'Funnel Lookup'!I16&gt;29,'Funnel Lookup'!I16&lt;&gt;"-"),'Funnel Lookup'!I16,#N/A))</f>
        <v>#N/A</v>
      </c>
      <c r="V16" t="e">
        <f ca="1">IF(AND($C16='Funnel setup'!$K$3&amp;'Funnel setup'!$K$6&amp;'Funnel setup'!$K$7&amp;'Funnel setup'!$K$4,'Funnel Lookup'!I16="*",'Funnel Lookup'!I16="*"),#N/A,IF(AND($C16='Funnel setup'!$K$3&amp;'Funnel setup'!$K$6&amp;'Funnel setup'!$K$7&amp;'Funnel setup'!$K$4,'Funnel Lookup'!I16&gt;29,'Funnel Lookup'!I16&lt;&gt;"-"),'Funnel Lookup'!Q16,#N/A))</f>
        <v>#N/A</v>
      </c>
    </row>
    <row r="17" spans="1:22" x14ac:dyDescent="0.25">
      <c r="A17">
        <v>15</v>
      </c>
      <c r="B17">
        <f t="shared" ca="1" si="4"/>
        <v>15</v>
      </c>
      <c r="C17" t="str">
        <f t="shared" ca="1" si="4"/>
        <v>Total Hip ReplacementProviderBLACKHEATH HOSPITAL (NT406)Oxford Hip Score</v>
      </c>
      <c r="D17" t="str">
        <f t="shared" ca="1" si="4"/>
        <v>Total Hip Replacement</v>
      </c>
      <c r="E17" t="str">
        <f t="shared" ca="1" si="4"/>
        <v>Provider</v>
      </c>
      <c r="F17" t="str">
        <f t="shared" ca="1" si="4"/>
        <v>NT406</v>
      </c>
      <c r="G17" t="str">
        <f t="shared" ca="1" si="4"/>
        <v>BLACKHEATH HOSPITAL (NT406)</v>
      </c>
      <c r="H17" t="str">
        <f t="shared" ca="1" si="4"/>
        <v>Oxford Hip Score</v>
      </c>
      <c r="I17">
        <f t="shared" ca="1" si="4"/>
        <v>14</v>
      </c>
      <c r="J17">
        <f t="shared" ca="1" si="4"/>
        <v>17.214300000000001</v>
      </c>
      <c r="K17">
        <f t="shared" ca="1" si="4"/>
        <v>40.642899999999997</v>
      </c>
      <c r="L17">
        <f t="shared" ca="1" si="5"/>
        <v>23.428599999999999</v>
      </c>
      <c r="M17">
        <f t="shared" ca="1" si="5"/>
        <v>13</v>
      </c>
      <c r="N17">
        <f t="shared" ca="1" si="5"/>
        <v>0</v>
      </c>
      <c r="O17">
        <f t="shared" ca="1" si="5"/>
        <v>1</v>
      </c>
      <c r="P17" t="str">
        <f t="shared" ca="1" si="5"/>
        <v>*</v>
      </c>
      <c r="Q17" t="str">
        <f t="shared" ca="1" si="5"/>
        <v>*</v>
      </c>
      <c r="R17" t="str">
        <f t="shared" ca="1" si="5"/>
        <v>*</v>
      </c>
      <c r="S17" t="e">
        <f t="shared" ca="1" si="2"/>
        <v>#N/A</v>
      </c>
      <c r="T17" t="e">
        <f t="shared" ca="1" si="3"/>
        <v>#N/A</v>
      </c>
      <c r="U17" t="e">
        <f ca="1">IF(AND($C17='Funnel setup'!$K$3&amp;'Funnel setup'!$K$6&amp;'Funnel setup'!$K$7&amp;'Funnel setup'!$K$4,'Funnel Lookup'!I17="*",'Funnel Lookup'!I17="*"),#N/A,IF(AND($C17='Funnel setup'!$K$3&amp;'Funnel setup'!$K$6&amp;'Funnel setup'!$K$7&amp;'Funnel setup'!$K$4,'Funnel Lookup'!I17&gt;29,'Funnel Lookup'!I17&lt;&gt;"-"),'Funnel Lookup'!I17,#N/A))</f>
        <v>#N/A</v>
      </c>
      <c r="V17" t="e">
        <f ca="1">IF(AND($C17='Funnel setup'!$K$3&amp;'Funnel setup'!$K$6&amp;'Funnel setup'!$K$7&amp;'Funnel setup'!$K$4,'Funnel Lookup'!I17="*",'Funnel Lookup'!I17="*"),#N/A,IF(AND($C17='Funnel setup'!$K$3&amp;'Funnel setup'!$K$6&amp;'Funnel setup'!$K$7&amp;'Funnel setup'!$K$4,'Funnel Lookup'!I17&gt;29,'Funnel Lookup'!I17&lt;&gt;"-"),'Funnel Lookup'!Q17,#N/A))</f>
        <v>#N/A</v>
      </c>
    </row>
    <row r="18" spans="1:22" x14ac:dyDescent="0.25">
      <c r="A18">
        <v>16</v>
      </c>
      <c r="B18">
        <f t="shared" ca="1" si="4"/>
        <v>16</v>
      </c>
      <c r="C18" t="str">
        <f t="shared" ca="1" si="4"/>
        <v>Total Hip ReplacementProviderBLACKPOOL TEACHING HOSPITALS NHS FOUNDATION TRUST (RXL)Oxford Hip Score</v>
      </c>
      <c r="D18" t="str">
        <f t="shared" ca="1" si="4"/>
        <v>Total Hip Replacement</v>
      </c>
      <c r="E18" t="str">
        <f t="shared" ca="1" si="4"/>
        <v>Provider</v>
      </c>
      <c r="F18" t="str">
        <f t="shared" ca="1" si="4"/>
        <v>RXL</v>
      </c>
      <c r="G18" t="str">
        <f t="shared" ca="1" si="4"/>
        <v>BLACKPOOL TEACHING HOSPITALS NHS FOUNDATION TRUST (RXL)</v>
      </c>
      <c r="H18" t="str">
        <f t="shared" ca="1" si="4"/>
        <v>Oxford Hip Score</v>
      </c>
      <c r="I18">
        <f t="shared" ca="1" si="4"/>
        <v>56</v>
      </c>
      <c r="J18">
        <f t="shared" ca="1" si="4"/>
        <v>19.660699999999999</v>
      </c>
      <c r="K18">
        <f t="shared" ca="1" si="4"/>
        <v>36.464300000000001</v>
      </c>
      <c r="L18">
        <f t="shared" ca="1" si="5"/>
        <v>16.803599999999999</v>
      </c>
      <c r="M18">
        <f t="shared" ca="1" si="5"/>
        <v>53</v>
      </c>
      <c r="N18">
        <f t="shared" ca="1" si="5"/>
        <v>0</v>
      </c>
      <c r="O18">
        <f t="shared" ca="1" si="5"/>
        <v>3</v>
      </c>
      <c r="P18">
        <f t="shared" ca="1" si="5"/>
        <v>37.186300000000003</v>
      </c>
      <c r="Q18">
        <f t="shared" ca="1" si="5"/>
        <v>19.974900000000002</v>
      </c>
      <c r="R18">
        <f t="shared" ca="1" si="5"/>
        <v>8.5836199999999998</v>
      </c>
      <c r="S18">
        <f t="shared" ca="1" si="2"/>
        <v>56</v>
      </c>
      <c r="T18">
        <f t="shared" ca="1" si="3"/>
        <v>19.974900000000002</v>
      </c>
      <c r="U18">
        <f ca="1">IF(AND($C18='Funnel setup'!$K$3&amp;'Funnel setup'!$K$6&amp;'Funnel setup'!$K$7&amp;'Funnel setup'!$K$4,'Funnel Lookup'!I18="*",'Funnel Lookup'!I18="*"),#N/A,IF(AND($C18='Funnel setup'!$K$3&amp;'Funnel setup'!$K$6&amp;'Funnel setup'!$K$7&amp;'Funnel setup'!$K$4,'Funnel Lookup'!I18&gt;29,'Funnel Lookup'!I18&lt;&gt;"-"),'Funnel Lookup'!I18,#N/A))</f>
        <v>56</v>
      </c>
      <c r="V18">
        <f ca="1">IF(AND($C18='Funnel setup'!$K$3&amp;'Funnel setup'!$K$6&amp;'Funnel setup'!$K$7&amp;'Funnel setup'!$K$4,'Funnel Lookup'!I18="*",'Funnel Lookup'!I18="*"),#N/A,IF(AND($C18='Funnel setup'!$K$3&amp;'Funnel setup'!$K$6&amp;'Funnel setup'!$K$7&amp;'Funnel setup'!$K$4,'Funnel Lookup'!I18&gt;29,'Funnel Lookup'!I18&lt;&gt;"-"),'Funnel Lookup'!Q18,#N/A))</f>
        <v>19.974900000000002</v>
      </c>
    </row>
    <row r="19" spans="1:22" x14ac:dyDescent="0.25">
      <c r="A19">
        <v>17</v>
      </c>
      <c r="B19">
        <f t="shared" ca="1" si="4"/>
        <v>17</v>
      </c>
      <c r="C19" t="str">
        <f t="shared" ca="1" si="4"/>
        <v>Total Hip ReplacementProviderBOLTON NHS FOUNDATION TRUST (RMC)Oxford Hip Score</v>
      </c>
      <c r="D19" t="str">
        <f t="shared" ca="1" si="4"/>
        <v>Total Hip Replacement</v>
      </c>
      <c r="E19" t="str">
        <f t="shared" ca="1" si="4"/>
        <v>Provider</v>
      </c>
      <c r="F19" t="str">
        <f t="shared" ca="1" si="4"/>
        <v>RMC</v>
      </c>
      <c r="G19" t="str">
        <f t="shared" ca="1" si="4"/>
        <v>BOLTON NHS FOUNDATION TRUST (RMC)</v>
      </c>
      <c r="H19" t="str">
        <f t="shared" ca="1" si="4"/>
        <v>Oxford Hip Score</v>
      </c>
      <c r="I19">
        <f t="shared" ca="1" si="4"/>
        <v>44</v>
      </c>
      <c r="J19">
        <f t="shared" ca="1" si="4"/>
        <v>15.931800000000001</v>
      </c>
      <c r="K19">
        <f t="shared" ca="1" si="4"/>
        <v>37.181800000000003</v>
      </c>
      <c r="L19">
        <f t="shared" ca="1" si="5"/>
        <v>21.25</v>
      </c>
      <c r="M19">
        <f t="shared" ca="1" si="5"/>
        <v>44</v>
      </c>
      <c r="N19">
        <f t="shared" ca="1" si="5"/>
        <v>0</v>
      </c>
      <c r="O19">
        <f t="shared" ca="1" si="5"/>
        <v>0</v>
      </c>
      <c r="P19">
        <f t="shared" ca="1" si="5"/>
        <v>39.593200000000003</v>
      </c>
      <c r="Q19">
        <f t="shared" ca="1" si="5"/>
        <v>22.381799999999998</v>
      </c>
      <c r="R19">
        <f t="shared" ca="1" si="5"/>
        <v>8.6106300000000005</v>
      </c>
      <c r="S19">
        <f t="shared" ca="1" si="2"/>
        <v>44</v>
      </c>
      <c r="T19">
        <f t="shared" ca="1" si="3"/>
        <v>22.381799999999998</v>
      </c>
      <c r="U19" t="e">
        <f ca="1">IF(AND($C19='Funnel setup'!$K$3&amp;'Funnel setup'!$K$6&amp;'Funnel setup'!$K$7&amp;'Funnel setup'!$K$4,'Funnel Lookup'!I19="*",'Funnel Lookup'!I19="*"),#N/A,IF(AND($C19='Funnel setup'!$K$3&amp;'Funnel setup'!$K$6&amp;'Funnel setup'!$K$7&amp;'Funnel setup'!$K$4,'Funnel Lookup'!I19&gt;29,'Funnel Lookup'!I19&lt;&gt;"-"),'Funnel Lookup'!I19,#N/A))</f>
        <v>#N/A</v>
      </c>
      <c r="V19" t="e">
        <f ca="1">IF(AND($C19='Funnel setup'!$K$3&amp;'Funnel setup'!$K$6&amp;'Funnel setup'!$K$7&amp;'Funnel setup'!$K$4,'Funnel Lookup'!I19="*",'Funnel Lookup'!I19="*"),#N/A,IF(AND($C19='Funnel setup'!$K$3&amp;'Funnel setup'!$K$6&amp;'Funnel setup'!$K$7&amp;'Funnel setup'!$K$4,'Funnel Lookup'!I19&gt;29,'Funnel Lookup'!I19&lt;&gt;"-"),'Funnel Lookup'!Q19,#N/A))</f>
        <v>#N/A</v>
      </c>
    </row>
    <row r="20" spans="1:22" x14ac:dyDescent="0.25">
      <c r="A20">
        <v>18</v>
      </c>
      <c r="B20">
        <f t="shared" ca="1" si="4"/>
        <v>18</v>
      </c>
      <c r="C20" t="str">
        <f t="shared" ca="1" si="4"/>
        <v>Total Hip ReplacementProviderBRADFORD TEACHING HOSPITALS NHS FOUNDATION TRUST (RAE)Oxford Hip Score</v>
      </c>
      <c r="D20" t="str">
        <f t="shared" ca="1" si="4"/>
        <v>Total Hip Replacement</v>
      </c>
      <c r="E20" t="str">
        <f t="shared" ca="1" si="4"/>
        <v>Provider</v>
      </c>
      <c r="F20" t="str">
        <f t="shared" ca="1" si="4"/>
        <v>RAE</v>
      </c>
      <c r="G20" t="str">
        <f t="shared" ca="1" si="4"/>
        <v>BRADFORD TEACHING HOSPITALS NHS FOUNDATION TRUST (RAE)</v>
      </c>
      <c r="H20" t="str">
        <f t="shared" ca="1" si="4"/>
        <v>Oxford Hip Score</v>
      </c>
      <c r="I20">
        <f t="shared" ca="1" si="4"/>
        <v>4</v>
      </c>
      <c r="J20">
        <f t="shared" ca="1" si="4"/>
        <v>11.25</v>
      </c>
      <c r="K20">
        <f t="shared" ca="1" si="4"/>
        <v>40.75</v>
      </c>
      <c r="L20">
        <f t="shared" ca="1" si="5"/>
        <v>29.5</v>
      </c>
      <c r="M20">
        <f t="shared" ca="1" si="5"/>
        <v>4</v>
      </c>
      <c r="N20">
        <f t="shared" ca="1" si="5"/>
        <v>0</v>
      </c>
      <c r="O20">
        <f t="shared" ca="1" si="5"/>
        <v>0</v>
      </c>
      <c r="P20" t="str">
        <f t="shared" ca="1" si="5"/>
        <v>*</v>
      </c>
      <c r="Q20" t="str">
        <f t="shared" ca="1" si="5"/>
        <v>*</v>
      </c>
      <c r="R20" t="str">
        <f t="shared" ca="1" si="5"/>
        <v>*</v>
      </c>
      <c r="S20" t="e">
        <f t="shared" ca="1" si="2"/>
        <v>#N/A</v>
      </c>
      <c r="T20" t="e">
        <f t="shared" ca="1" si="3"/>
        <v>#N/A</v>
      </c>
      <c r="U20" t="e">
        <f ca="1">IF(AND($C20='Funnel setup'!$K$3&amp;'Funnel setup'!$K$6&amp;'Funnel setup'!$K$7&amp;'Funnel setup'!$K$4,'Funnel Lookup'!I20="*",'Funnel Lookup'!I20="*"),#N/A,IF(AND($C20='Funnel setup'!$K$3&amp;'Funnel setup'!$K$6&amp;'Funnel setup'!$K$7&amp;'Funnel setup'!$K$4,'Funnel Lookup'!I20&gt;29,'Funnel Lookup'!I20&lt;&gt;"-"),'Funnel Lookup'!I20,#N/A))</f>
        <v>#N/A</v>
      </c>
      <c r="V20" t="e">
        <f ca="1">IF(AND($C20='Funnel setup'!$K$3&amp;'Funnel setup'!$K$6&amp;'Funnel setup'!$K$7&amp;'Funnel setup'!$K$4,'Funnel Lookup'!I20="*",'Funnel Lookup'!I20="*"),#N/A,IF(AND($C20='Funnel setup'!$K$3&amp;'Funnel setup'!$K$6&amp;'Funnel setup'!$K$7&amp;'Funnel setup'!$K$4,'Funnel Lookup'!I20&gt;29,'Funnel Lookup'!I20&lt;&gt;"-"),'Funnel Lookup'!Q20,#N/A))</f>
        <v>#N/A</v>
      </c>
    </row>
    <row r="21" spans="1:22" x14ac:dyDescent="0.25">
      <c r="A21">
        <v>19</v>
      </c>
      <c r="B21">
        <f t="shared" ca="1" si="4"/>
        <v>19</v>
      </c>
      <c r="C21" t="str">
        <f t="shared" ca="1" si="4"/>
        <v>Total Hip ReplacementProviderBUCKINGHAMSHIRE HEALTHCARE NHS TRUST (RXQ)Oxford Hip Score</v>
      </c>
      <c r="D21" t="str">
        <f t="shared" ca="1" si="4"/>
        <v>Total Hip Replacement</v>
      </c>
      <c r="E21" t="str">
        <f t="shared" ca="1" si="4"/>
        <v>Provider</v>
      </c>
      <c r="F21" t="str">
        <f t="shared" ca="1" si="4"/>
        <v>RXQ</v>
      </c>
      <c r="G21" t="str">
        <f t="shared" ca="1" si="4"/>
        <v>BUCKINGHAMSHIRE HEALTHCARE NHS TRUST (RXQ)</v>
      </c>
      <c r="H21" t="str">
        <f t="shared" ca="1" si="4"/>
        <v>Oxford Hip Score</v>
      </c>
      <c r="I21">
        <f t="shared" ca="1" si="4"/>
        <v>97</v>
      </c>
      <c r="J21">
        <f t="shared" ca="1" si="4"/>
        <v>15.793799999999999</v>
      </c>
      <c r="K21">
        <f t="shared" ca="1" si="4"/>
        <v>36.8247</v>
      </c>
      <c r="L21">
        <f t="shared" ca="1" si="5"/>
        <v>21.030899999999999</v>
      </c>
      <c r="M21">
        <f t="shared" ca="1" si="5"/>
        <v>90</v>
      </c>
      <c r="N21">
        <f t="shared" ca="1" si="5"/>
        <v>0</v>
      </c>
      <c r="O21">
        <f t="shared" ca="1" si="5"/>
        <v>7</v>
      </c>
      <c r="P21">
        <f t="shared" ca="1" si="5"/>
        <v>37.559699999999999</v>
      </c>
      <c r="Q21">
        <f t="shared" ca="1" si="5"/>
        <v>20.348299999999998</v>
      </c>
      <c r="R21">
        <f t="shared" ca="1" si="5"/>
        <v>10.2143</v>
      </c>
      <c r="S21">
        <f t="shared" ca="1" si="2"/>
        <v>97</v>
      </c>
      <c r="T21">
        <f t="shared" ca="1" si="3"/>
        <v>20.348299999999998</v>
      </c>
      <c r="U21" t="e">
        <f ca="1">IF(AND($C21='Funnel setup'!$K$3&amp;'Funnel setup'!$K$6&amp;'Funnel setup'!$K$7&amp;'Funnel setup'!$K$4,'Funnel Lookup'!I21="*",'Funnel Lookup'!I21="*"),#N/A,IF(AND($C21='Funnel setup'!$K$3&amp;'Funnel setup'!$K$6&amp;'Funnel setup'!$K$7&amp;'Funnel setup'!$K$4,'Funnel Lookup'!I21&gt;29,'Funnel Lookup'!I21&lt;&gt;"-"),'Funnel Lookup'!I21,#N/A))</f>
        <v>#N/A</v>
      </c>
      <c r="V21" t="e">
        <f ca="1">IF(AND($C21='Funnel setup'!$K$3&amp;'Funnel setup'!$K$6&amp;'Funnel setup'!$K$7&amp;'Funnel setup'!$K$4,'Funnel Lookup'!I21="*",'Funnel Lookup'!I21="*"),#N/A,IF(AND($C21='Funnel setup'!$K$3&amp;'Funnel setup'!$K$6&amp;'Funnel setup'!$K$7&amp;'Funnel setup'!$K$4,'Funnel Lookup'!I21&gt;29,'Funnel Lookup'!I21&lt;&gt;"-"),'Funnel Lookup'!Q21,#N/A))</f>
        <v>#N/A</v>
      </c>
    </row>
    <row r="22" spans="1:22" x14ac:dyDescent="0.25">
      <c r="A22">
        <v>20</v>
      </c>
      <c r="B22">
        <f t="shared" ca="1" si="4"/>
        <v>20</v>
      </c>
      <c r="C22" t="str">
        <f t="shared" ca="1" si="4"/>
        <v>Total Hip ReplacementProviderCALDERDALE AND HUDDERSFIELD NHS FOUNDATION TRUST (RWY)Oxford Hip Score</v>
      </c>
      <c r="D22" t="str">
        <f t="shared" ca="1" si="4"/>
        <v>Total Hip Replacement</v>
      </c>
      <c r="E22" t="str">
        <f t="shared" ca="1" si="4"/>
        <v>Provider</v>
      </c>
      <c r="F22" t="str">
        <f t="shared" ca="1" si="4"/>
        <v>RWY</v>
      </c>
      <c r="G22" t="str">
        <f t="shared" ca="1" si="4"/>
        <v>CALDERDALE AND HUDDERSFIELD NHS FOUNDATION TRUST (RWY)</v>
      </c>
      <c r="H22" t="str">
        <f t="shared" ca="1" si="4"/>
        <v>Oxford Hip Score</v>
      </c>
      <c r="I22">
        <f t="shared" ca="1" si="4"/>
        <v>104</v>
      </c>
      <c r="J22">
        <f t="shared" ca="1" si="4"/>
        <v>17.567299999999999</v>
      </c>
      <c r="K22">
        <f t="shared" ca="1" si="4"/>
        <v>40</v>
      </c>
      <c r="L22">
        <f t="shared" ca="1" si="5"/>
        <v>22.432700000000001</v>
      </c>
      <c r="M22">
        <f t="shared" ca="1" si="5"/>
        <v>102</v>
      </c>
      <c r="N22">
        <f t="shared" ca="1" si="5"/>
        <v>2</v>
      </c>
      <c r="O22">
        <f t="shared" ca="1" si="5"/>
        <v>0</v>
      </c>
      <c r="P22">
        <f t="shared" ca="1" si="5"/>
        <v>40.767899999999997</v>
      </c>
      <c r="Q22">
        <f t="shared" ca="1" si="5"/>
        <v>23.5565</v>
      </c>
      <c r="R22">
        <f t="shared" ca="1" si="5"/>
        <v>7.5259200000000002</v>
      </c>
      <c r="S22">
        <f t="shared" ca="1" si="2"/>
        <v>104</v>
      </c>
      <c r="T22">
        <f t="shared" ca="1" si="3"/>
        <v>23.5565</v>
      </c>
      <c r="U22" t="e">
        <f ca="1">IF(AND($C22='Funnel setup'!$K$3&amp;'Funnel setup'!$K$6&amp;'Funnel setup'!$K$7&amp;'Funnel setup'!$K$4,'Funnel Lookup'!I22="*",'Funnel Lookup'!I22="*"),#N/A,IF(AND($C22='Funnel setup'!$K$3&amp;'Funnel setup'!$K$6&amp;'Funnel setup'!$K$7&amp;'Funnel setup'!$K$4,'Funnel Lookup'!I22&gt;29,'Funnel Lookup'!I22&lt;&gt;"-"),'Funnel Lookup'!I22,#N/A))</f>
        <v>#N/A</v>
      </c>
      <c r="V22" t="e">
        <f ca="1">IF(AND($C22='Funnel setup'!$K$3&amp;'Funnel setup'!$K$6&amp;'Funnel setup'!$K$7&amp;'Funnel setup'!$K$4,'Funnel Lookup'!I22="*",'Funnel Lookup'!I22="*"),#N/A,IF(AND($C22='Funnel setup'!$K$3&amp;'Funnel setup'!$K$6&amp;'Funnel setup'!$K$7&amp;'Funnel setup'!$K$4,'Funnel Lookup'!I22&gt;29,'Funnel Lookup'!I22&lt;&gt;"-"),'Funnel Lookup'!Q22,#N/A))</f>
        <v>#N/A</v>
      </c>
    </row>
    <row r="23" spans="1:22" x14ac:dyDescent="0.25">
      <c r="A23">
        <v>21</v>
      </c>
      <c r="B23">
        <f t="shared" ref="B23:K32" ca="1" si="6">VLOOKUP($A23,Funnel_Data,B$1,FALSE)</f>
        <v>21</v>
      </c>
      <c r="C23" t="str">
        <f t="shared" ca="1" si="6"/>
        <v>Total Hip ReplacementProviderCAMBRIDGE UNIVERSITY HOSPITALS NHS FOUNDATION TRUST (RGT)Oxford Hip Score</v>
      </c>
      <c r="D23" t="str">
        <f t="shared" ca="1" si="6"/>
        <v>Total Hip Replacement</v>
      </c>
      <c r="E23" t="str">
        <f t="shared" ca="1" si="6"/>
        <v>Provider</v>
      </c>
      <c r="F23" t="str">
        <f t="shared" ca="1" si="6"/>
        <v>RGT</v>
      </c>
      <c r="G23" t="str">
        <f t="shared" ca="1" si="6"/>
        <v>CAMBRIDGE UNIVERSITY HOSPITALS NHS FOUNDATION TRUST (RGT)</v>
      </c>
      <c r="H23" t="str">
        <f t="shared" ca="1" si="6"/>
        <v>Oxford Hip Score</v>
      </c>
      <c r="I23">
        <f t="shared" ca="1" si="6"/>
        <v>79</v>
      </c>
      <c r="J23">
        <f t="shared" ca="1" si="6"/>
        <v>14.759499999999999</v>
      </c>
      <c r="K23">
        <f t="shared" ca="1" si="6"/>
        <v>38.759500000000003</v>
      </c>
      <c r="L23">
        <f t="shared" ref="L23:R32" ca="1" si="7">VLOOKUP($A23,Funnel_Data,L$1,FALSE)</f>
        <v>24</v>
      </c>
      <c r="M23">
        <f t="shared" ca="1" si="7"/>
        <v>77</v>
      </c>
      <c r="N23">
        <f t="shared" ca="1" si="7"/>
        <v>2</v>
      </c>
      <c r="O23">
        <f t="shared" ca="1" si="7"/>
        <v>0</v>
      </c>
      <c r="P23">
        <f t="shared" ca="1" si="7"/>
        <v>41.0839</v>
      </c>
      <c r="Q23">
        <f t="shared" ca="1" si="7"/>
        <v>23.872399999999999</v>
      </c>
      <c r="R23">
        <f t="shared" ca="1" si="7"/>
        <v>7.62988</v>
      </c>
      <c r="S23">
        <f t="shared" ca="1" si="2"/>
        <v>79</v>
      </c>
      <c r="T23">
        <f t="shared" ca="1" si="3"/>
        <v>23.872399999999999</v>
      </c>
      <c r="U23" t="e">
        <f ca="1">IF(AND($C23='Funnel setup'!$K$3&amp;'Funnel setup'!$K$6&amp;'Funnel setup'!$K$7&amp;'Funnel setup'!$K$4,'Funnel Lookup'!I23="*",'Funnel Lookup'!I23="*"),#N/A,IF(AND($C23='Funnel setup'!$K$3&amp;'Funnel setup'!$K$6&amp;'Funnel setup'!$K$7&amp;'Funnel setup'!$K$4,'Funnel Lookup'!I23&gt;29,'Funnel Lookup'!I23&lt;&gt;"-"),'Funnel Lookup'!I23,#N/A))</f>
        <v>#N/A</v>
      </c>
      <c r="V23" t="e">
        <f ca="1">IF(AND($C23='Funnel setup'!$K$3&amp;'Funnel setup'!$K$6&amp;'Funnel setup'!$K$7&amp;'Funnel setup'!$K$4,'Funnel Lookup'!I23="*",'Funnel Lookup'!I23="*"),#N/A,IF(AND($C23='Funnel setup'!$K$3&amp;'Funnel setup'!$K$6&amp;'Funnel setup'!$K$7&amp;'Funnel setup'!$K$4,'Funnel Lookup'!I23&gt;29,'Funnel Lookup'!I23&lt;&gt;"-"),'Funnel Lookup'!Q23,#N/A))</f>
        <v>#N/A</v>
      </c>
    </row>
    <row r="24" spans="1:22" x14ac:dyDescent="0.25">
      <c r="A24">
        <v>22</v>
      </c>
      <c r="B24">
        <f t="shared" ca="1" si="6"/>
        <v>22</v>
      </c>
      <c r="C24" t="str">
        <f t="shared" ca="1" si="6"/>
        <v>Total Hip ReplacementProviderCAVELL HOSPITAL (NT451)Oxford Hip Score</v>
      </c>
      <c r="D24" t="str">
        <f t="shared" ca="1" si="6"/>
        <v>Total Hip Replacement</v>
      </c>
      <c r="E24" t="str">
        <f t="shared" ca="1" si="6"/>
        <v>Provider</v>
      </c>
      <c r="F24" t="str">
        <f t="shared" ca="1" si="6"/>
        <v>NT451</v>
      </c>
      <c r="G24" t="str">
        <f t="shared" ca="1" si="6"/>
        <v>CAVELL HOSPITAL (NT451)</v>
      </c>
      <c r="H24" t="str">
        <f t="shared" ca="1" si="6"/>
        <v>Oxford Hip Score</v>
      </c>
      <c r="I24">
        <f t="shared" ca="1" si="6"/>
        <v>17</v>
      </c>
      <c r="J24">
        <f t="shared" ca="1" si="6"/>
        <v>17.588200000000001</v>
      </c>
      <c r="K24">
        <f t="shared" ca="1" si="6"/>
        <v>41.411799999999999</v>
      </c>
      <c r="L24">
        <f t="shared" ca="1" si="7"/>
        <v>23.823499999999999</v>
      </c>
      <c r="M24">
        <f t="shared" ca="1" si="7"/>
        <v>17</v>
      </c>
      <c r="N24">
        <f t="shared" ca="1" si="7"/>
        <v>0</v>
      </c>
      <c r="O24">
        <f t="shared" ca="1" si="7"/>
        <v>0</v>
      </c>
      <c r="P24" t="str">
        <f t="shared" ca="1" si="7"/>
        <v>*</v>
      </c>
      <c r="Q24" t="str">
        <f t="shared" ca="1" si="7"/>
        <v>*</v>
      </c>
      <c r="R24" t="str">
        <f t="shared" ca="1" si="7"/>
        <v>*</v>
      </c>
      <c r="S24" t="e">
        <f t="shared" ca="1" si="2"/>
        <v>#N/A</v>
      </c>
      <c r="T24" t="e">
        <f t="shared" ca="1" si="3"/>
        <v>#N/A</v>
      </c>
      <c r="U24" t="e">
        <f ca="1">IF(AND($C24='Funnel setup'!$K$3&amp;'Funnel setup'!$K$6&amp;'Funnel setup'!$K$7&amp;'Funnel setup'!$K$4,'Funnel Lookup'!I24="*",'Funnel Lookup'!I24="*"),#N/A,IF(AND($C24='Funnel setup'!$K$3&amp;'Funnel setup'!$K$6&amp;'Funnel setup'!$K$7&amp;'Funnel setup'!$K$4,'Funnel Lookup'!I24&gt;29,'Funnel Lookup'!I24&lt;&gt;"-"),'Funnel Lookup'!I24,#N/A))</f>
        <v>#N/A</v>
      </c>
      <c r="V24" t="e">
        <f ca="1">IF(AND($C24='Funnel setup'!$K$3&amp;'Funnel setup'!$K$6&amp;'Funnel setup'!$K$7&amp;'Funnel setup'!$K$4,'Funnel Lookup'!I24="*",'Funnel Lookup'!I24="*"),#N/A,IF(AND($C24='Funnel setup'!$K$3&amp;'Funnel setup'!$K$6&amp;'Funnel setup'!$K$7&amp;'Funnel setup'!$K$4,'Funnel Lookup'!I24&gt;29,'Funnel Lookup'!I24&lt;&gt;"-"),'Funnel Lookup'!Q24,#N/A))</f>
        <v>#N/A</v>
      </c>
    </row>
    <row r="25" spans="1:22" x14ac:dyDescent="0.25">
      <c r="A25">
        <v>23</v>
      </c>
      <c r="B25">
        <f t="shared" ca="1" si="6"/>
        <v>23</v>
      </c>
      <c r="C25" t="str">
        <f t="shared" ca="1" si="6"/>
        <v>Total Hip ReplacementProviderCHAUCER HOSPITAL (NT408)Oxford Hip Score</v>
      </c>
      <c r="D25" t="str">
        <f t="shared" ca="1" si="6"/>
        <v>Total Hip Replacement</v>
      </c>
      <c r="E25" t="str">
        <f t="shared" ca="1" si="6"/>
        <v>Provider</v>
      </c>
      <c r="F25" t="str">
        <f t="shared" ca="1" si="6"/>
        <v>NT408</v>
      </c>
      <c r="G25" t="str">
        <f t="shared" ca="1" si="6"/>
        <v>CHAUCER HOSPITAL (NT408)</v>
      </c>
      <c r="H25" t="str">
        <f t="shared" ca="1" si="6"/>
        <v>Oxford Hip Score</v>
      </c>
      <c r="I25">
        <f t="shared" ca="1" si="6"/>
        <v>31</v>
      </c>
      <c r="J25">
        <f t="shared" ca="1" si="6"/>
        <v>18.645199999999999</v>
      </c>
      <c r="K25">
        <f t="shared" ca="1" si="6"/>
        <v>42.258099999999999</v>
      </c>
      <c r="L25">
        <f t="shared" ca="1" si="7"/>
        <v>23.6129</v>
      </c>
      <c r="M25">
        <f t="shared" ca="1" si="7"/>
        <v>30</v>
      </c>
      <c r="N25">
        <f t="shared" ca="1" si="7"/>
        <v>1</v>
      </c>
      <c r="O25">
        <f t="shared" ca="1" si="7"/>
        <v>0</v>
      </c>
      <c r="P25">
        <f t="shared" ca="1" si="7"/>
        <v>39.7453</v>
      </c>
      <c r="Q25">
        <f t="shared" ca="1" si="7"/>
        <v>22.533899999999999</v>
      </c>
      <c r="R25">
        <f t="shared" ca="1" si="7"/>
        <v>6.7716799999999999</v>
      </c>
      <c r="S25">
        <f t="shared" ca="1" si="2"/>
        <v>31</v>
      </c>
      <c r="T25">
        <f t="shared" ca="1" si="3"/>
        <v>22.533899999999999</v>
      </c>
      <c r="U25" t="e">
        <f ca="1">IF(AND($C25='Funnel setup'!$K$3&amp;'Funnel setup'!$K$6&amp;'Funnel setup'!$K$7&amp;'Funnel setup'!$K$4,'Funnel Lookup'!I25="*",'Funnel Lookup'!I25="*"),#N/A,IF(AND($C25='Funnel setup'!$K$3&amp;'Funnel setup'!$K$6&amp;'Funnel setup'!$K$7&amp;'Funnel setup'!$K$4,'Funnel Lookup'!I25&gt;29,'Funnel Lookup'!I25&lt;&gt;"-"),'Funnel Lookup'!I25,#N/A))</f>
        <v>#N/A</v>
      </c>
      <c r="V25" t="e">
        <f ca="1">IF(AND($C25='Funnel setup'!$K$3&amp;'Funnel setup'!$K$6&amp;'Funnel setup'!$K$7&amp;'Funnel setup'!$K$4,'Funnel Lookup'!I25="*",'Funnel Lookup'!I25="*"),#N/A,IF(AND($C25='Funnel setup'!$K$3&amp;'Funnel setup'!$K$6&amp;'Funnel setup'!$K$7&amp;'Funnel setup'!$K$4,'Funnel Lookup'!I25&gt;29,'Funnel Lookup'!I25&lt;&gt;"-"),'Funnel Lookup'!Q25,#N/A))</f>
        <v>#N/A</v>
      </c>
    </row>
    <row r="26" spans="1:22" x14ac:dyDescent="0.25">
      <c r="A26">
        <v>24</v>
      </c>
      <c r="B26">
        <f t="shared" ca="1" si="6"/>
        <v>24</v>
      </c>
      <c r="C26" t="str">
        <f t="shared" ca="1" si="6"/>
        <v>Total Hip ReplacementProviderCHELSEA AND WESTMINSTER HOSPITAL NHS FOUNDATION TRUST (RQM)Oxford Hip Score</v>
      </c>
      <c r="D26" t="str">
        <f t="shared" ca="1" si="6"/>
        <v>Total Hip Replacement</v>
      </c>
      <c r="E26" t="str">
        <f t="shared" ca="1" si="6"/>
        <v>Provider</v>
      </c>
      <c r="F26" t="str">
        <f t="shared" ca="1" si="6"/>
        <v>RQM</v>
      </c>
      <c r="G26" t="str">
        <f t="shared" ca="1" si="6"/>
        <v>CHELSEA AND WESTMINSTER HOSPITAL NHS FOUNDATION TRUST (RQM)</v>
      </c>
      <c r="H26" t="str">
        <f t="shared" ca="1" si="6"/>
        <v>Oxford Hip Score</v>
      </c>
      <c r="I26">
        <f t="shared" ca="1" si="6"/>
        <v>19</v>
      </c>
      <c r="J26">
        <f t="shared" ca="1" si="6"/>
        <v>15</v>
      </c>
      <c r="K26">
        <f t="shared" ca="1" si="6"/>
        <v>40.421100000000003</v>
      </c>
      <c r="L26">
        <f t="shared" ca="1" si="7"/>
        <v>25.421099999999999</v>
      </c>
      <c r="M26">
        <f t="shared" ca="1" si="7"/>
        <v>19</v>
      </c>
      <c r="N26">
        <f t="shared" ca="1" si="7"/>
        <v>0</v>
      </c>
      <c r="O26">
        <f t="shared" ca="1" si="7"/>
        <v>0</v>
      </c>
      <c r="P26" t="str">
        <f t="shared" ca="1" si="7"/>
        <v>*</v>
      </c>
      <c r="Q26" t="str">
        <f t="shared" ca="1" si="7"/>
        <v>*</v>
      </c>
      <c r="R26" t="str">
        <f t="shared" ca="1" si="7"/>
        <v>*</v>
      </c>
      <c r="S26" t="e">
        <f t="shared" ca="1" si="2"/>
        <v>#N/A</v>
      </c>
      <c r="T26" t="e">
        <f t="shared" ca="1" si="3"/>
        <v>#N/A</v>
      </c>
      <c r="U26" t="e">
        <f ca="1">IF(AND($C26='Funnel setup'!$K$3&amp;'Funnel setup'!$K$6&amp;'Funnel setup'!$K$7&amp;'Funnel setup'!$K$4,'Funnel Lookup'!I26="*",'Funnel Lookup'!I26="*"),#N/A,IF(AND($C26='Funnel setup'!$K$3&amp;'Funnel setup'!$K$6&amp;'Funnel setup'!$K$7&amp;'Funnel setup'!$K$4,'Funnel Lookup'!I26&gt;29,'Funnel Lookup'!I26&lt;&gt;"-"),'Funnel Lookup'!I26,#N/A))</f>
        <v>#N/A</v>
      </c>
      <c r="V26" t="e">
        <f ca="1">IF(AND($C26='Funnel setup'!$K$3&amp;'Funnel setup'!$K$6&amp;'Funnel setup'!$K$7&amp;'Funnel setup'!$K$4,'Funnel Lookup'!I26="*",'Funnel Lookup'!I26="*"),#N/A,IF(AND($C26='Funnel setup'!$K$3&amp;'Funnel setup'!$K$6&amp;'Funnel setup'!$K$7&amp;'Funnel setup'!$K$4,'Funnel Lookup'!I26&gt;29,'Funnel Lookup'!I26&lt;&gt;"-"),'Funnel Lookup'!Q26,#N/A))</f>
        <v>#N/A</v>
      </c>
    </row>
    <row r="27" spans="1:22" x14ac:dyDescent="0.25">
      <c r="A27">
        <v>25</v>
      </c>
      <c r="B27">
        <f t="shared" ca="1" si="6"/>
        <v>25</v>
      </c>
      <c r="C27" t="str">
        <f t="shared" ca="1" si="6"/>
        <v>Total Hip ReplacementProviderCHELSFIELD PARK HOSPITAL (NT409)Oxford Hip Score</v>
      </c>
      <c r="D27" t="str">
        <f t="shared" ca="1" si="6"/>
        <v>Total Hip Replacement</v>
      </c>
      <c r="E27" t="str">
        <f t="shared" ca="1" si="6"/>
        <v>Provider</v>
      </c>
      <c r="F27" t="str">
        <f t="shared" ca="1" si="6"/>
        <v>NT409</v>
      </c>
      <c r="G27" t="str">
        <f t="shared" ca="1" si="6"/>
        <v>CHELSFIELD PARK HOSPITAL (NT409)</v>
      </c>
      <c r="H27" t="str">
        <f t="shared" ca="1" si="6"/>
        <v>Oxford Hip Score</v>
      </c>
      <c r="I27">
        <f t="shared" ca="1" si="6"/>
        <v>34</v>
      </c>
      <c r="J27">
        <f t="shared" ca="1" si="6"/>
        <v>21.176500000000001</v>
      </c>
      <c r="K27">
        <f t="shared" ca="1" si="6"/>
        <v>42.529400000000003</v>
      </c>
      <c r="L27">
        <f t="shared" ca="1" si="7"/>
        <v>21.352900000000002</v>
      </c>
      <c r="M27">
        <f t="shared" ca="1" si="7"/>
        <v>34</v>
      </c>
      <c r="N27">
        <f t="shared" ca="1" si="7"/>
        <v>0</v>
      </c>
      <c r="O27">
        <f t="shared" ca="1" si="7"/>
        <v>0</v>
      </c>
      <c r="P27">
        <f t="shared" ca="1" si="7"/>
        <v>39.248199999999997</v>
      </c>
      <c r="Q27">
        <f t="shared" ca="1" si="7"/>
        <v>22.036799999999999</v>
      </c>
      <c r="R27">
        <f t="shared" ca="1" si="7"/>
        <v>8.1075900000000001</v>
      </c>
      <c r="S27">
        <f t="shared" ca="1" si="2"/>
        <v>34</v>
      </c>
      <c r="T27">
        <f t="shared" ca="1" si="3"/>
        <v>22.036799999999999</v>
      </c>
      <c r="U27" t="e">
        <f ca="1">IF(AND($C27='Funnel setup'!$K$3&amp;'Funnel setup'!$K$6&amp;'Funnel setup'!$K$7&amp;'Funnel setup'!$K$4,'Funnel Lookup'!I27="*",'Funnel Lookup'!I27="*"),#N/A,IF(AND($C27='Funnel setup'!$K$3&amp;'Funnel setup'!$K$6&amp;'Funnel setup'!$K$7&amp;'Funnel setup'!$K$4,'Funnel Lookup'!I27&gt;29,'Funnel Lookup'!I27&lt;&gt;"-"),'Funnel Lookup'!I27,#N/A))</f>
        <v>#N/A</v>
      </c>
      <c r="V27" t="e">
        <f ca="1">IF(AND($C27='Funnel setup'!$K$3&amp;'Funnel setup'!$K$6&amp;'Funnel setup'!$K$7&amp;'Funnel setup'!$K$4,'Funnel Lookup'!I27="*",'Funnel Lookup'!I27="*"),#N/A,IF(AND($C27='Funnel setup'!$K$3&amp;'Funnel setup'!$K$6&amp;'Funnel setup'!$K$7&amp;'Funnel setup'!$K$4,'Funnel Lookup'!I27&gt;29,'Funnel Lookup'!I27&lt;&gt;"-"),'Funnel Lookup'!Q27,#N/A))</f>
        <v>#N/A</v>
      </c>
    </row>
    <row r="28" spans="1:22" x14ac:dyDescent="0.25">
      <c r="A28">
        <v>26</v>
      </c>
      <c r="B28">
        <f t="shared" ca="1" si="6"/>
        <v>26</v>
      </c>
      <c r="C28" t="str">
        <f t="shared" ca="1" si="6"/>
        <v>Total Hip ReplacementProviderCHESTERFIELD ROYAL HOSPITAL NHS FOUNDATION TRUST (RFS)Oxford Hip Score</v>
      </c>
      <c r="D28" t="str">
        <f t="shared" ca="1" si="6"/>
        <v>Total Hip Replacement</v>
      </c>
      <c r="E28" t="str">
        <f t="shared" ca="1" si="6"/>
        <v>Provider</v>
      </c>
      <c r="F28" t="str">
        <f t="shared" ca="1" si="6"/>
        <v>RFS</v>
      </c>
      <c r="G28" t="str">
        <f t="shared" ca="1" si="6"/>
        <v>CHESTERFIELD ROYAL HOSPITAL NHS FOUNDATION TRUST (RFS)</v>
      </c>
      <c r="H28" t="str">
        <f t="shared" ca="1" si="6"/>
        <v>Oxford Hip Score</v>
      </c>
      <c r="I28">
        <f t="shared" ca="1" si="6"/>
        <v>65</v>
      </c>
      <c r="J28">
        <f t="shared" ca="1" si="6"/>
        <v>14.553800000000001</v>
      </c>
      <c r="K28">
        <f t="shared" ca="1" si="6"/>
        <v>35.907699999999998</v>
      </c>
      <c r="L28">
        <f t="shared" ca="1" si="7"/>
        <v>21.3538</v>
      </c>
      <c r="M28">
        <f t="shared" ca="1" si="7"/>
        <v>62</v>
      </c>
      <c r="N28">
        <f t="shared" ca="1" si="7"/>
        <v>0</v>
      </c>
      <c r="O28">
        <f t="shared" ca="1" si="7"/>
        <v>3</v>
      </c>
      <c r="P28">
        <f t="shared" ca="1" si="7"/>
        <v>38.571599999999997</v>
      </c>
      <c r="Q28">
        <f t="shared" ca="1" si="7"/>
        <v>21.360099999999999</v>
      </c>
      <c r="R28">
        <f t="shared" ca="1" si="7"/>
        <v>9.9224999999999994</v>
      </c>
      <c r="S28">
        <f t="shared" ca="1" si="2"/>
        <v>65</v>
      </c>
      <c r="T28">
        <f t="shared" ca="1" si="3"/>
        <v>21.360099999999999</v>
      </c>
      <c r="U28" t="e">
        <f ca="1">IF(AND($C28='Funnel setup'!$K$3&amp;'Funnel setup'!$K$6&amp;'Funnel setup'!$K$7&amp;'Funnel setup'!$K$4,'Funnel Lookup'!I28="*",'Funnel Lookup'!I28="*"),#N/A,IF(AND($C28='Funnel setup'!$K$3&amp;'Funnel setup'!$K$6&amp;'Funnel setup'!$K$7&amp;'Funnel setup'!$K$4,'Funnel Lookup'!I28&gt;29,'Funnel Lookup'!I28&lt;&gt;"-"),'Funnel Lookup'!I28,#N/A))</f>
        <v>#N/A</v>
      </c>
      <c r="V28" t="e">
        <f ca="1">IF(AND($C28='Funnel setup'!$K$3&amp;'Funnel setup'!$K$6&amp;'Funnel setup'!$K$7&amp;'Funnel setup'!$K$4,'Funnel Lookup'!I28="*",'Funnel Lookup'!I28="*"),#N/A,IF(AND($C28='Funnel setup'!$K$3&amp;'Funnel setup'!$K$6&amp;'Funnel setup'!$K$7&amp;'Funnel setup'!$K$4,'Funnel Lookup'!I28&gt;29,'Funnel Lookup'!I28&lt;&gt;"-"),'Funnel Lookup'!Q28,#N/A))</f>
        <v>#N/A</v>
      </c>
    </row>
    <row r="29" spans="1:22" x14ac:dyDescent="0.25">
      <c r="A29">
        <v>27</v>
      </c>
      <c r="B29">
        <f t="shared" ca="1" si="6"/>
        <v>27</v>
      </c>
      <c r="C29" t="str">
        <f t="shared" ca="1" si="6"/>
        <v>Total Hip ReplacementProviderCHILTERN HOSPITAL (NT410)Oxford Hip Score</v>
      </c>
      <c r="D29" t="str">
        <f t="shared" ca="1" si="6"/>
        <v>Total Hip Replacement</v>
      </c>
      <c r="E29" t="str">
        <f t="shared" ca="1" si="6"/>
        <v>Provider</v>
      </c>
      <c r="F29" t="str">
        <f t="shared" ca="1" si="6"/>
        <v>NT410</v>
      </c>
      <c r="G29" t="str">
        <f t="shared" ca="1" si="6"/>
        <v>CHILTERN HOSPITAL (NT410)</v>
      </c>
      <c r="H29" t="str">
        <f t="shared" ca="1" si="6"/>
        <v>Oxford Hip Score</v>
      </c>
      <c r="I29">
        <f t="shared" ca="1" si="6"/>
        <v>78</v>
      </c>
      <c r="J29">
        <f t="shared" ca="1" si="6"/>
        <v>19.359000000000002</v>
      </c>
      <c r="K29">
        <f t="shared" ca="1" si="6"/>
        <v>41.538499999999999</v>
      </c>
      <c r="L29">
        <f t="shared" ca="1" si="7"/>
        <v>22.179500000000001</v>
      </c>
      <c r="M29">
        <f t="shared" ca="1" si="7"/>
        <v>76</v>
      </c>
      <c r="N29">
        <f t="shared" ca="1" si="7"/>
        <v>1</v>
      </c>
      <c r="O29">
        <f t="shared" ca="1" si="7"/>
        <v>1</v>
      </c>
      <c r="P29">
        <f t="shared" ca="1" si="7"/>
        <v>38.528599999999997</v>
      </c>
      <c r="Q29">
        <f t="shared" ca="1" si="7"/>
        <v>21.3172</v>
      </c>
      <c r="R29">
        <f t="shared" ca="1" si="7"/>
        <v>6.5716999999999999</v>
      </c>
      <c r="S29">
        <f t="shared" ca="1" si="2"/>
        <v>78</v>
      </c>
      <c r="T29">
        <f t="shared" ca="1" si="3"/>
        <v>21.3172</v>
      </c>
      <c r="U29" t="e">
        <f ca="1">IF(AND($C29='Funnel setup'!$K$3&amp;'Funnel setup'!$K$6&amp;'Funnel setup'!$K$7&amp;'Funnel setup'!$K$4,'Funnel Lookup'!I29="*",'Funnel Lookup'!I29="*"),#N/A,IF(AND($C29='Funnel setup'!$K$3&amp;'Funnel setup'!$K$6&amp;'Funnel setup'!$K$7&amp;'Funnel setup'!$K$4,'Funnel Lookup'!I29&gt;29,'Funnel Lookup'!I29&lt;&gt;"-"),'Funnel Lookup'!I29,#N/A))</f>
        <v>#N/A</v>
      </c>
      <c r="V29" t="e">
        <f ca="1">IF(AND($C29='Funnel setup'!$K$3&amp;'Funnel setup'!$K$6&amp;'Funnel setup'!$K$7&amp;'Funnel setup'!$K$4,'Funnel Lookup'!I29="*",'Funnel Lookup'!I29="*"),#N/A,IF(AND($C29='Funnel setup'!$K$3&amp;'Funnel setup'!$K$6&amp;'Funnel setup'!$K$7&amp;'Funnel setup'!$K$4,'Funnel Lookup'!I29&gt;29,'Funnel Lookup'!I29&lt;&gt;"-"),'Funnel Lookup'!Q29,#N/A))</f>
        <v>#N/A</v>
      </c>
    </row>
    <row r="30" spans="1:22" x14ac:dyDescent="0.25">
      <c r="A30">
        <v>28</v>
      </c>
      <c r="B30">
        <f t="shared" ca="1" si="6"/>
        <v>28</v>
      </c>
      <c r="C30" t="str">
        <f t="shared" ca="1" si="6"/>
        <v>Total Hip ReplacementProviderCIRCLE BATH HOSPITAL (NV302)Oxford Hip Score</v>
      </c>
      <c r="D30" t="str">
        <f t="shared" ca="1" si="6"/>
        <v>Total Hip Replacement</v>
      </c>
      <c r="E30" t="str">
        <f t="shared" ca="1" si="6"/>
        <v>Provider</v>
      </c>
      <c r="F30" t="str">
        <f t="shared" ca="1" si="6"/>
        <v>NV302</v>
      </c>
      <c r="G30" t="str">
        <f t="shared" ca="1" si="6"/>
        <v>CIRCLE BATH HOSPITAL (NV302)</v>
      </c>
      <c r="H30" t="str">
        <f t="shared" ca="1" si="6"/>
        <v>Oxford Hip Score</v>
      </c>
      <c r="I30">
        <f t="shared" ca="1" si="6"/>
        <v>12</v>
      </c>
      <c r="J30">
        <f t="shared" ca="1" si="6"/>
        <v>23.583300000000001</v>
      </c>
      <c r="K30">
        <f t="shared" ca="1" si="6"/>
        <v>45.166699999999999</v>
      </c>
      <c r="L30">
        <f t="shared" ca="1" si="7"/>
        <v>21.583300000000001</v>
      </c>
      <c r="M30">
        <f t="shared" ca="1" si="7"/>
        <v>12</v>
      </c>
      <c r="N30">
        <f t="shared" ca="1" si="7"/>
        <v>0</v>
      </c>
      <c r="O30">
        <f t="shared" ca="1" si="7"/>
        <v>0</v>
      </c>
      <c r="P30" t="str">
        <f t="shared" ca="1" si="7"/>
        <v>*</v>
      </c>
      <c r="Q30" t="str">
        <f t="shared" ca="1" si="7"/>
        <v>*</v>
      </c>
      <c r="R30" t="str">
        <f t="shared" ca="1" si="7"/>
        <v>*</v>
      </c>
      <c r="S30" t="e">
        <f t="shared" ca="1" si="2"/>
        <v>#N/A</v>
      </c>
      <c r="T30" t="e">
        <f t="shared" ca="1" si="3"/>
        <v>#N/A</v>
      </c>
      <c r="U30" t="e">
        <f ca="1">IF(AND($C30='Funnel setup'!$K$3&amp;'Funnel setup'!$K$6&amp;'Funnel setup'!$K$7&amp;'Funnel setup'!$K$4,'Funnel Lookup'!I30="*",'Funnel Lookup'!I30="*"),#N/A,IF(AND($C30='Funnel setup'!$K$3&amp;'Funnel setup'!$K$6&amp;'Funnel setup'!$K$7&amp;'Funnel setup'!$K$4,'Funnel Lookup'!I30&gt;29,'Funnel Lookup'!I30&lt;&gt;"-"),'Funnel Lookup'!I30,#N/A))</f>
        <v>#N/A</v>
      </c>
      <c r="V30" t="e">
        <f ca="1">IF(AND($C30='Funnel setup'!$K$3&amp;'Funnel setup'!$K$6&amp;'Funnel setup'!$K$7&amp;'Funnel setup'!$K$4,'Funnel Lookup'!I30="*",'Funnel Lookup'!I30="*"),#N/A,IF(AND($C30='Funnel setup'!$K$3&amp;'Funnel setup'!$K$6&amp;'Funnel setup'!$K$7&amp;'Funnel setup'!$K$4,'Funnel Lookup'!I30&gt;29,'Funnel Lookup'!I30&lt;&gt;"-"),'Funnel Lookup'!Q30,#N/A))</f>
        <v>#N/A</v>
      </c>
    </row>
    <row r="31" spans="1:22" x14ac:dyDescent="0.25">
      <c r="A31">
        <v>29</v>
      </c>
      <c r="B31">
        <f t="shared" ca="1" si="6"/>
        <v>29</v>
      </c>
      <c r="C31" t="str">
        <f t="shared" ca="1" si="6"/>
        <v>Total Hip ReplacementProviderCIRCLE READING HOSPITAL (NV323)Oxford Hip Score</v>
      </c>
      <c r="D31" t="str">
        <f t="shared" ca="1" si="6"/>
        <v>Total Hip Replacement</v>
      </c>
      <c r="E31" t="str">
        <f t="shared" ca="1" si="6"/>
        <v>Provider</v>
      </c>
      <c r="F31" t="str">
        <f t="shared" ca="1" si="6"/>
        <v>NV323</v>
      </c>
      <c r="G31" t="str">
        <f t="shared" ca="1" si="6"/>
        <v>CIRCLE READING HOSPITAL (NV323)</v>
      </c>
      <c r="H31" t="str">
        <f t="shared" ca="1" si="6"/>
        <v>Oxford Hip Score</v>
      </c>
      <c r="I31">
        <f t="shared" ca="1" si="6"/>
        <v>74</v>
      </c>
      <c r="J31">
        <f t="shared" ca="1" si="6"/>
        <v>20.824300000000001</v>
      </c>
      <c r="K31">
        <f t="shared" ca="1" si="6"/>
        <v>43.027000000000001</v>
      </c>
      <c r="L31">
        <f t="shared" ca="1" si="7"/>
        <v>22.2027</v>
      </c>
      <c r="M31">
        <f t="shared" ca="1" si="7"/>
        <v>71</v>
      </c>
      <c r="N31">
        <f t="shared" ca="1" si="7"/>
        <v>0</v>
      </c>
      <c r="O31">
        <f t="shared" ca="1" si="7"/>
        <v>3</v>
      </c>
      <c r="P31">
        <f t="shared" ca="1" si="7"/>
        <v>39.841299999999997</v>
      </c>
      <c r="Q31">
        <f t="shared" ca="1" si="7"/>
        <v>22.629899999999999</v>
      </c>
      <c r="R31">
        <f t="shared" ca="1" si="7"/>
        <v>7.74444</v>
      </c>
      <c r="S31">
        <f t="shared" ca="1" si="2"/>
        <v>74</v>
      </c>
      <c r="T31">
        <f t="shared" ca="1" si="3"/>
        <v>22.629899999999999</v>
      </c>
      <c r="U31" t="e">
        <f ca="1">IF(AND($C31='Funnel setup'!$K$3&amp;'Funnel setup'!$K$6&amp;'Funnel setup'!$K$7&amp;'Funnel setup'!$K$4,'Funnel Lookup'!I31="*",'Funnel Lookup'!I31="*"),#N/A,IF(AND($C31='Funnel setup'!$K$3&amp;'Funnel setup'!$K$6&amp;'Funnel setup'!$K$7&amp;'Funnel setup'!$K$4,'Funnel Lookup'!I31&gt;29,'Funnel Lookup'!I31&lt;&gt;"-"),'Funnel Lookup'!I31,#N/A))</f>
        <v>#N/A</v>
      </c>
      <c r="V31" t="e">
        <f ca="1">IF(AND($C31='Funnel setup'!$K$3&amp;'Funnel setup'!$K$6&amp;'Funnel setup'!$K$7&amp;'Funnel setup'!$K$4,'Funnel Lookup'!I31="*",'Funnel Lookup'!I31="*"),#N/A,IF(AND($C31='Funnel setup'!$K$3&amp;'Funnel setup'!$K$6&amp;'Funnel setup'!$K$7&amp;'Funnel setup'!$K$4,'Funnel Lookup'!I31&gt;29,'Funnel Lookup'!I31&lt;&gt;"-"),'Funnel Lookup'!Q31,#N/A))</f>
        <v>#N/A</v>
      </c>
    </row>
    <row r="32" spans="1:22" x14ac:dyDescent="0.25">
      <c r="A32">
        <v>30</v>
      </c>
      <c r="B32">
        <f t="shared" ca="1" si="6"/>
        <v>30</v>
      </c>
      <c r="C32" t="str">
        <f t="shared" ca="1" si="6"/>
        <v>Total Hip ReplacementProviderCLEMENTINE CHURCHILL HOSPITAL (NT411)Oxford Hip Score</v>
      </c>
      <c r="D32" t="str">
        <f t="shared" ca="1" si="6"/>
        <v>Total Hip Replacement</v>
      </c>
      <c r="E32" t="str">
        <f t="shared" ca="1" si="6"/>
        <v>Provider</v>
      </c>
      <c r="F32" t="str">
        <f t="shared" ca="1" si="6"/>
        <v>NT411</v>
      </c>
      <c r="G32" t="str">
        <f t="shared" ca="1" si="6"/>
        <v>CLEMENTINE CHURCHILL HOSPITAL (NT411)</v>
      </c>
      <c r="H32" t="str">
        <f t="shared" ca="1" si="6"/>
        <v>Oxford Hip Score</v>
      </c>
      <c r="I32">
        <f t="shared" ca="1" si="6"/>
        <v>25</v>
      </c>
      <c r="J32">
        <f t="shared" ca="1" si="6"/>
        <v>21.68</v>
      </c>
      <c r="K32">
        <f t="shared" ca="1" si="6"/>
        <v>40.56</v>
      </c>
      <c r="L32">
        <f t="shared" ca="1" si="7"/>
        <v>18.88</v>
      </c>
      <c r="M32">
        <f t="shared" ca="1" si="7"/>
        <v>24</v>
      </c>
      <c r="N32">
        <f t="shared" ca="1" si="7"/>
        <v>0</v>
      </c>
      <c r="O32">
        <f t="shared" ca="1" si="7"/>
        <v>1</v>
      </c>
      <c r="P32" t="str">
        <f t="shared" ca="1" si="7"/>
        <v>*</v>
      </c>
      <c r="Q32" t="str">
        <f t="shared" ca="1" si="7"/>
        <v>*</v>
      </c>
      <c r="R32" t="str">
        <f t="shared" ca="1" si="7"/>
        <v>*</v>
      </c>
      <c r="S32" t="e">
        <f t="shared" ca="1" si="2"/>
        <v>#N/A</v>
      </c>
      <c r="T32" t="e">
        <f t="shared" ca="1" si="3"/>
        <v>#N/A</v>
      </c>
      <c r="U32" t="e">
        <f ca="1">IF(AND($C32='Funnel setup'!$K$3&amp;'Funnel setup'!$K$6&amp;'Funnel setup'!$K$7&amp;'Funnel setup'!$K$4,'Funnel Lookup'!I32="*",'Funnel Lookup'!I32="*"),#N/A,IF(AND($C32='Funnel setup'!$K$3&amp;'Funnel setup'!$K$6&amp;'Funnel setup'!$K$7&amp;'Funnel setup'!$K$4,'Funnel Lookup'!I32&gt;29,'Funnel Lookup'!I32&lt;&gt;"-"),'Funnel Lookup'!I32,#N/A))</f>
        <v>#N/A</v>
      </c>
      <c r="V32" t="e">
        <f ca="1">IF(AND($C32='Funnel setup'!$K$3&amp;'Funnel setup'!$K$6&amp;'Funnel setup'!$K$7&amp;'Funnel setup'!$K$4,'Funnel Lookup'!I32="*",'Funnel Lookup'!I32="*"),#N/A,IF(AND($C32='Funnel setup'!$K$3&amp;'Funnel setup'!$K$6&amp;'Funnel setup'!$K$7&amp;'Funnel setup'!$K$4,'Funnel Lookup'!I32&gt;29,'Funnel Lookup'!I32&lt;&gt;"-"),'Funnel Lookup'!Q32,#N/A))</f>
        <v>#N/A</v>
      </c>
    </row>
    <row r="33" spans="1:22" x14ac:dyDescent="0.25">
      <c r="A33">
        <v>31</v>
      </c>
      <c r="B33">
        <f t="shared" ref="B33:K42" ca="1" si="8">VLOOKUP($A33,Funnel_Data,B$1,FALSE)</f>
        <v>31</v>
      </c>
      <c r="C33" t="str">
        <f t="shared" ca="1" si="8"/>
        <v>Total Hip ReplacementProviderCLIFTON PARK HOSPITAL (NVC28)Oxford Hip Score</v>
      </c>
      <c r="D33" t="str">
        <f t="shared" ca="1" si="8"/>
        <v>Total Hip Replacement</v>
      </c>
      <c r="E33" t="str">
        <f t="shared" ca="1" si="8"/>
        <v>Provider</v>
      </c>
      <c r="F33" t="str">
        <f t="shared" ca="1" si="8"/>
        <v>NVC28</v>
      </c>
      <c r="G33" t="str">
        <f t="shared" ca="1" si="8"/>
        <v>CLIFTON PARK HOSPITAL (NVC28)</v>
      </c>
      <c r="H33" t="str">
        <f t="shared" ca="1" si="8"/>
        <v>Oxford Hip Score</v>
      </c>
      <c r="I33">
        <f t="shared" ca="1" si="8"/>
        <v>42</v>
      </c>
      <c r="J33">
        <f t="shared" ca="1" si="8"/>
        <v>24.285699999999999</v>
      </c>
      <c r="K33">
        <f t="shared" ca="1" si="8"/>
        <v>29.142900000000001</v>
      </c>
      <c r="L33">
        <f t="shared" ref="L33:R42" ca="1" si="9">VLOOKUP($A33,Funnel_Data,L$1,FALSE)</f>
        <v>4.8571400000000002</v>
      </c>
      <c r="M33">
        <f t="shared" ca="1" si="9"/>
        <v>24</v>
      </c>
      <c r="N33">
        <f t="shared" ca="1" si="9"/>
        <v>4</v>
      </c>
      <c r="O33">
        <f t="shared" ca="1" si="9"/>
        <v>14</v>
      </c>
      <c r="P33">
        <f t="shared" ca="1" si="9"/>
        <v>26.6755</v>
      </c>
      <c r="Q33">
        <f t="shared" ca="1" si="9"/>
        <v>9.4640500000000003</v>
      </c>
      <c r="R33">
        <f t="shared" ca="1" si="9"/>
        <v>8.4944199999999999</v>
      </c>
      <c r="S33">
        <f t="shared" ca="1" si="2"/>
        <v>42</v>
      </c>
      <c r="T33">
        <f t="shared" ca="1" si="3"/>
        <v>9.4640500000000003</v>
      </c>
      <c r="U33" t="e">
        <f ca="1">IF(AND($C33='Funnel setup'!$K$3&amp;'Funnel setup'!$K$6&amp;'Funnel setup'!$K$7&amp;'Funnel setup'!$K$4,'Funnel Lookup'!I33="*",'Funnel Lookup'!I33="*"),#N/A,IF(AND($C33='Funnel setup'!$K$3&amp;'Funnel setup'!$K$6&amp;'Funnel setup'!$K$7&amp;'Funnel setup'!$K$4,'Funnel Lookup'!I33&gt;29,'Funnel Lookup'!I33&lt;&gt;"-"),'Funnel Lookup'!I33,#N/A))</f>
        <v>#N/A</v>
      </c>
      <c r="V33" t="e">
        <f ca="1">IF(AND($C33='Funnel setup'!$K$3&amp;'Funnel setup'!$K$6&amp;'Funnel setup'!$K$7&amp;'Funnel setup'!$K$4,'Funnel Lookup'!I33="*",'Funnel Lookup'!I33="*"),#N/A,IF(AND($C33='Funnel setup'!$K$3&amp;'Funnel setup'!$K$6&amp;'Funnel setup'!$K$7&amp;'Funnel setup'!$K$4,'Funnel Lookup'!I33&gt;29,'Funnel Lookup'!I33&lt;&gt;"-"),'Funnel Lookup'!Q33,#N/A))</f>
        <v>#N/A</v>
      </c>
    </row>
    <row r="34" spans="1:22" x14ac:dyDescent="0.25">
      <c r="A34">
        <v>32</v>
      </c>
      <c r="B34">
        <f t="shared" ca="1" si="8"/>
        <v>32</v>
      </c>
      <c r="C34" t="str">
        <f t="shared" ca="1" si="8"/>
        <v>Total Hip ReplacementProviderCOUNTESS OF CHESTER HOSPITAL NHS FOUNDATION TRUST (RJR)Oxford Hip Score</v>
      </c>
      <c r="D34" t="str">
        <f t="shared" ca="1" si="8"/>
        <v>Total Hip Replacement</v>
      </c>
      <c r="E34" t="str">
        <f t="shared" ca="1" si="8"/>
        <v>Provider</v>
      </c>
      <c r="F34" t="str">
        <f t="shared" ca="1" si="8"/>
        <v>RJR</v>
      </c>
      <c r="G34" t="str">
        <f t="shared" ca="1" si="8"/>
        <v>COUNTESS OF CHESTER HOSPITAL NHS FOUNDATION TRUST (RJR)</v>
      </c>
      <c r="H34" t="str">
        <f t="shared" ca="1" si="8"/>
        <v>Oxford Hip Score</v>
      </c>
      <c r="I34">
        <f t="shared" ca="1" si="8"/>
        <v>29</v>
      </c>
      <c r="J34">
        <f t="shared" ca="1" si="8"/>
        <v>15.4483</v>
      </c>
      <c r="K34">
        <f t="shared" ca="1" si="8"/>
        <v>39.827599999999997</v>
      </c>
      <c r="L34">
        <f t="shared" ca="1" si="9"/>
        <v>24.379300000000001</v>
      </c>
      <c r="M34">
        <f t="shared" ca="1" si="9"/>
        <v>29</v>
      </c>
      <c r="N34">
        <f t="shared" ca="1" si="9"/>
        <v>0</v>
      </c>
      <c r="O34">
        <f t="shared" ca="1" si="9"/>
        <v>0</v>
      </c>
      <c r="P34" t="str">
        <f t="shared" ca="1" si="9"/>
        <v>*</v>
      </c>
      <c r="Q34" t="str">
        <f t="shared" ca="1" si="9"/>
        <v>*</v>
      </c>
      <c r="R34" t="str">
        <f t="shared" ca="1" si="9"/>
        <v>*</v>
      </c>
      <c r="S34" t="e">
        <f t="shared" ca="1" si="2"/>
        <v>#N/A</v>
      </c>
      <c r="T34" t="e">
        <f t="shared" ca="1" si="3"/>
        <v>#N/A</v>
      </c>
      <c r="U34" t="e">
        <f ca="1">IF(AND($C34='Funnel setup'!$K$3&amp;'Funnel setup'!$K$6&amp;'Funnel setup'!$K$7&amp;'Funnel setup'!$K$4,'Funnel Lookup'!I34="*",'Funnel Lookup'!I34="*"),#N/A,IF(AND($C34='Funnel setup'!$K$3&amp;'Funnel setup'!$K$6&amp;'Funnel setup'!$K$7&amp;'Funnel setup'!$K$4,'Funnel Lookup'!I34&gt;29,'Funnel Lookup'!I34&lt;&gt;"-"),'Funnel Lookup'!I34,#N/A))</f>
        <v>#N/A</v>
      </c>
      <c r="V34" t="e">
        <f ca="1">IF(AND($C34='Funnel setup'!$K$3&amp;'Funnel setup'!$K$6&amp;'Funnel setup'!$K$7&amp;'Funnel setup'!$K$4,'Funnel Lookup'!I34="*",'Funnel Lookup'!I34="*"),#N/A,IF(AND($C34='Funnel setup'!$K$3&amp;'Funnel setup'!$K$6&amp;'Funnel setup'!$K$7&amp;'Funnel setup'!$K$4,'Funnel Lookup'!I34&gt;29,'Funnel Lookup'!I34&lt;&gt;"-"),'Funnel Lookup'!Q34,#N/A))</f>
        <v>#N/A</v>
      </c>
    </row>
    <row r="35" spans="1:22" x14ac:dyDescent="0.25">
      <c r="A35">
        <v>33</v>
      </c>
      <c r="B35">
        <f t="shared" ca="1" si="8"/>
        <v>33</v>
      </c>
      <c r="C35" t="str">
        <f t="shared" ca="1" si="8"/>
        <v>Total Hip ReplacementProviderCOUNTY DURHAM AND DARLINGTON NHS FOUNDATION TRUST (RXP)Oxford Hip Score</v>
      </c>
      <c r="D35" t="str">
        <f t="shared" ca="1" si="8"/>
        <v>Total Hip Replacement</v>
      </c>
      <c r="E35" t="str">
        <f t="shared" ca="1" si="8"/>
        <v>Provider</v>
      </c>
      <c r="F35" t="str">
        <f t="shared" ca="1" si="8"/>
        <v>RXP</v>
      </c>
      <c r="G35" t="str">
        <f t="shared" ca="1" si="8"/>
        <v>COUNTY DURHAM AND DARLINGTON NHS FOUNDATION TRUST (RXP)</v>
      </c>
      <c r="H35" t="str">
        <f t="shared" ca="1" si="8"/>
        <v>Oxford Hip Score</v>
      </c>
      <c r="I35">
        <f t="shared" ca="1" si="8"/>
        <v>174</v>
      </c>
      <c r="J35">
        <f t="shared" ca="1" si="8"/>
        <v>16.8218</v>
      </c>
      <c r="K35">
        <f t="shared" ca="1" si="8"/>
        <v>37.896599999999999</v>
      </c>
      <c r="L35">
        <f t="shared" ca="1" si="9"/>
        <v>21.0747</v>
      </c>
      <c r="M35">
        <f t="shared" ca="1" si="9"/>
        <v>166</v>
      </c>
      <c r="N35">
        <f t="shared" ca="1" si="9"/>
        <v>0</v>
      </c>
      <c r="O35">
        <f t="shared" ca="1" si="9"/>
        <v>8</v>
      </c>
      <c r="P35">
        <f t="shared" ca="1" si="9"/>
        <v>39.317599999999999</v>
      </c>
      <c r="Q35">
        <f t="shared" ca="1" si="9"/>
        <v>22.106200000000001</v>
      </c>
      <c r="R35">
        <f t="shared" ca="1" si="9"/>
        <v>9.1710499999999993</v>
      </c>
      <c r="S35">
        <f t="shared" ca="1" si="2"/>
        <v>174</v>
      </c>
      <c r="T35">
        <f t="shared" ca="1" si="3"/>
        <v>22.106200000000001</v>
      </c>
      <c r="U35" t="e">
        <f ca="1">IF(AND($C35='Funnel setup'!$K$3&amp;'Funnel setup'!$K$6&amp;'Funnel setup'!$K$7&amp;'Funnel setup'!$K$4,'Funnel Lookup'!I35="*",'Funnel Lookup'!I35="*"),#N/A,IF(AND($C35='Funnel setup'!$K$3&amp;'Funnel setup'!$K$6&amp;'Funnel setup'!$K$7&amp;'Funnel setup'!$K$4,'Funnel Lookup'!I35&gt;29,'Funnel Lookup'!I35&lt;&gt;"-"),'Funnel Lookup'!I35,#N/A))</f>
        <v>#N/A</v>
      </c>
      <c r="V35" t="e">
        <f ca="1">IF(AND($C35='Funnel setup'!$K$3&amp;'Funnel setup'!$K$6&amp;'Funnel setup'!$K$7&amp;'Funnel setup'!$K$4,'Funnel Lookup'!I35="*",'Funnel Lookup'!I35="*"),#N/A,IF(AND($C35='Funnel setup'!$K$3&amp;'Funnel setup'!$K$6&amp;'Funnel setup'!$K$7&amp;'Funnel setup'!$K$4,'Funnel Lookup'!I35&gt;29,'Funnel Lookup'!I35&lt;&gt;"-"),'Funnel Lookup'!Q35,#N/A))</f>
        <v>#N/A</v>
      </c>
    </row>
    <row r="36" spans="1:22" x14ac:dyDescent="0.25">
      <c r="A36">
        <v>34</v>
      </c>
      <c r="B36">
        <f t="shared" ca="1" si="8"/>
        <v>34</v>
      </c>
      <c r="C36" t="str">
        <f t="shared" ca="1" si="8"/>
        <v>Total Hip ReplacementProviderDONCASTER AND BASSETLAW TEACHING HOSPITALS NHS FOUNDATION TRUST (RP5)Oxford Hip Score</v>
      </c>
      <c r="D36" t="str">
        <f t="shared" ca="1" si="8"/>
        <v>Total Hip Replacement</v>
      </c>
      <c r="E36" t="str">
        <f t="shared" ca="1" si="8"/>
        <v>Provider</v>
      </c>
      <c r="F36" t="str">
        <f t="shared" ca="1" si="8"/>
        <v>RP5</v>
      </c>
      <c r="G36" t="str">
        <f t="shared" ca="1" si="8"/>
        <v>DONCASTER AND BASSETLAW TEACHING HOSPITALS NHS FOUNDATION TRUST (RP5)</v>
      </c>
      <c r="H36" t="str">
        <f t="shared" ca="1" si="8"/>
        <v>Oxford Hip Score</v>
      </c>
      <c r="I36">
        <f t="shared" ca="1" si="8"/>
        <v>64</v>
      </c>
      <c r="J36">
        <f t="shared" ca="1" si="8"/>
        <v>13.859400000000001</v>
      </c>
      <c r="K36">
        <f t="shared" ca="1" si="8"/>
        <v>33.3125</v>
      </c>
      <c r="L36">
        <f t="shared" ca="1" si="9"/>
        <v>19.453099999999999</v>
      </c>
      <c r="M36">
        <f t="shared" ca="1" si="9"/>
        <v>56</v>
      </c>
      <c r="N36">
        <f t="shared" ca="1" si="9"/>
        <v>0</v>
      </c>
      <c r="O36">
        <f t="shared" ca="1" si="9"/>
        <v>8</v>
      </c>
      <c r="P36">
        <f t="shared" ca="1" si="9"/>
        <v>36.309800000000003</v>
      </c>
      <c r="Q36">
        <f t="shared" ca="1" si="9"/>
        <v>19.098299999999998</v>
      </c>
      <c r="R36">
        <f t="shared" ca="1" si="9"/>
        <v>11.202199999999999</v>
      </c>
      <c r="S36">
        <f t="shared" ca="1" si="2"/>
        <v>64</v>
      </c>
      <c r="T36">
        <f t="shared" ca="1" si="3"/>
        <v>19.098299999999998</v>
      </c>
      <c r="U36" t="e">
        <f ca="1">IF(AND($C36='Funnel setup'!$K$3&amp;'Funnel setup'!$K$6&amp;'Funnel setup'!$K$7&amp;'Funnel setup'!$K$4,'Funnel Lookup'!I36="*",'Funnel Lookup'!I36="*"),#N/A,IF(AND($C36='Funnel setup'!$K$3&amp;'Funnel setup'!$K$6&amp;'Funnel setup'!$K$7&amp;'Funnel setup'!$K$4,'Funnel Lookup'!I36&gt;29,'Funnel Lookup'!I36&lt;&gt;"-"),'Funnel Lookup'!I36,#N/A))</f>
        <v>#N/A</v>
      </c>
      <c r="V36" t="e">
        <f ca="1">IF(AND($C36='Funnel setup'!$K$3&amp;'Funnel setup'!$K$6&amp;'Funnel setup'!$K$7&amp;'Funnel setup'!$K$4,'Funnel Lookup'!I36="*",'Funnel Lookup'!I36="*"),#N/A,IF(AND($C36='Funnel setup'!$K$3&amp;'Funnel setup'!$K$6&amp;'Funnel setup'!$K$7&amp;'Funnel setup'!$K$4,'Funnel Lookup'!I36&gt;29,'Funnel Lookup'!I36&lt;&gt;"-"),'Funnel Lookup'!Q36,#N/A))</f>
        <v>#N/A</v>
      </c>
    </row>
    <row r="37" spans="1:22" x14ac:dyDescent="0.25">
      <c r="A37">
        <v>35</v>
      </c>
      <c r="B37">
        <f t="shared" ca="1" si="8"/>
        <v>35</v>
      </c>
      <c r="C37" t="str">
        <f t="shared" ca="1" si="8"/>
        <v>Total Hip ReplacementProviderDORSET COUNTY HOSPITAL NHS FOUNDATION TRUST (RBD)Oxford Hip Score</v>
      </c>
      <c r="D37" t="str">
        <f t="shared" ca="1" si="8"/>
        <v>Total Hip Replacement</v>
      </c>
      <c r="E37" t="str">
        <f t="shared" ca="1" si="8"/>
        <v>Provider</v>
      </c>
      <c r="F37" t="str">
        <f t="shared" ca="1" si="8"/>
        <v>RBD</v>
      </c>
      <c r="G37" t="str">
        <f t="shared" ca="1" si="8"/>
        <v>DORSET COUNTY HOSPITAL NHS FOUNDATION TRUST (RBD)</v>
      </c>
      <c r="H37" t="str">
        <f t="shared" ca="1" si="8"/>
        <v>Oxford Hip Score</v>
      </c>
      <c r="I37">
        <f t="shared" ca="1" si="8"/>
        <v>14</v>
      </c>
      <c r="J37">
        <f t="shared" ca="1" si="8"/>
        <v>17</v>
      </c>
      <c r="K37">
        <f t="shared" ca="1" si="8"/>
        <v>39.714300000000001</v>
      </c>
      <c r="L37">
        <f t="shared" ca="1" si="9"/>
        <v>22.714300000000001</v>
      </c>
      <c r="M37">
        <f t="shared" ca="1" si="9"/>
        <v>13</v>
      </c>
      <c r="N37">
        <f t="shared" ca="1" si="9"/>
        <v>0</v>
      </c>
      <c r="O37">
        <f t="shared" ca="1" si="9"/>
        <v>1</v>
      </c>
      <c r="P37" t="str">
        <f t="shared" ca="1" si="9"/>
        <v>*</v>
      </c>
      <c r="Q37" t="str">
        <f t="shared" ca="1" si="9"/>
        <v>*</v>
      </c>
      <c r="R37" t="str">
        <f t="shared" ca="1" si="9"/>
        <v>*</v>
      </c>
      <c r="S37" t="e">
        <f t="shared" ca="1" si="2"/>
        <v>#N/A</v>
      </c>
      <c r="T37" t="e">
        <f t="shared" ca="1" si="3"/>
        <v>#N/A</v>
      </c>
      <c r="U37" t="e">
        <f ca="1">IF(AND($C37='Funnel setup'!$K$3&amp;'Funnel setup'!$K$6&amp;'Funnel setup'!$K$7&amp;'Funnel setup'!$K$4,'Funnel Lookup'!I37="*",'Funnel Lookup'!I37="*"),#N/A,IF(AND($C37='Funnel setup'!$K$3&amp;'Funnel setup'!$K$6&amp;'Funnel setup'!$K$7&amp;'Funnel setup'!$K$4,'Funnel Lookup'!I37&gt;29,'Funnel Lookup'!I37&lt;&gt;"-"),'Funnel Lookup'!I37,#N/A))</f>
        <v>#N/A</v>
      </c>
      <c r="V37" t="e">
        <f ca="1">IF(AND($C37='Funnel setup'!$K$3&amp;'Funnel setup'!$K$6&amp;'Funnel setup'!$K$7&amp;'Funnel setup'!$K$4,'Funnel Lookup'!I37="*",'Funnel Lookup'!I37="*"),#N/A,IF(AND($C37='Funnel setup'!$K$3&amp;'Funnel setup'!$K$6&amp;'Funnel setup'!$K$7&amp;'Funnel setup'!$K$4,'Funnel Lookup'!I37&gt;29,'Funnel Lookup'!I37&lt;&gt;"-"),'Funnel Lookup'!Q37,#N/A))</f>
        <v>#N/A</v>
      </c>
    </row>
    <row r="38" spans="1:22" x14ac:dyDescent="0.25">
      <c r="A38">
        <v>36</v>
      </c>
      <c r="B38">
        <f t="shared" ca="1" si="8"/>
        <v>36</v>
      </c>
      <c r="C38" t="str">
        <f t="shared" ca="1" si="8"/>
        <v>Total Hip ReplacementProviderDROITWICH SPA HOSPITAL (NT412)Oxford Hip Score</v>
      </c>
      <c r="D38" t="str">
        <f t="shared" ca="1" si="8"/>
        <v>Total Hip Replacement</v>
      </c>
      <c r="E38" t="str">
        <f t="shared" ca="1" si="8"/>
        <v>Provider</v>
      </c>
      <c r="F38" t="str">
        <f t="shared" ca="1" si="8"/>
        <v>NT412</v>
      </c>
      <c r="G38" t="str">
        <f t="shared" ca="1" si="8"/>
        <v>DROITWICH SPA HOSPITAL (NT412)</v>
      </c>
      <c r="H38" t="str">
        <f t="shared" ca="1" si="8"/>
        <v>Oxford Hip Score</v>
      </c>
      <c r="I38">
        <f t="shared" ca="1" si="8"/>
        <v>25</v>
      </c>
      <c r="J38">
        <f t="shared" ca="1" si="8"/>
        <v>16.48</v>
      </c>
      <c r="K38">
        <f t="shared" ca="1" si="8"/>
        <v>42.32</v>
      </c>
      <c r="L38">
        <f t="shared" ca="1" si="9"/>
        <v>25.84</v>
      </c>
      <c r="M38">
        <f t="shared" ca="1" si="9"/>
        <v>25</v>
      </c>
      <c r="N38">
        <f t="shared" ca="1" si="9"/>
        <v>0</v>
      </c>
      <c r="O38">
        <f t="shared" ca="1" si="9"/>
        <v>0</v>
      </c>
      <c r="P38" t="str">
        <f t="shared" ca="1" si="9"/>
        <v>*</v>
      </c>
      <c r="Q38" t="str">
        <f t="shared" ca="1" si="9"/>
        <v>*</v>
      </c>
      <c r="R38" t="str">
        <f t="shared" ca="1" si="9"/>
        <v>*</v>
      </c>
      <c r="S38" t="e">
        <f t="shared" ca="1" si="2"/>
        <v>#N/A</v>
      </c>
      <c r="T38" t="e">
        <f t="shared" ca="1" si="3"/>
        <v>#N/A</v>
      </c>
      <c r="U38" t="e">
        <f ca="1">IF(AND($C38='Funnel setup'!$K$3&amp;'Funnel setup'!$K$6&amp;'Funnel setup'!$K$7&amp;'Funnel setup'!$K$4,'Funnel Lookup'!I38="*",'Funnel Lookup'!I38="*"),#N/A,IF(AND($C38='Funnel setup'!$K$3&amp;'Funnel setup'!$K$6&amp;'Funnel setup'!$K$7&amp;'Funnel setup'!$K$4,'Funnel Lookup'!I38&gt;29,'Funnel Lookup'!I38&lt;&gt;"-"),'Funnel Lookup'!I38,#N/A))</f>
        <v>#N/A</v>
      </c>
      <c r="V38" t="e">
        <f ca="1">IF(AND($C38='Funnel setup'!$K$3&amp;'Funnel setup'!$K$6&amp;'Funnel setup'!$K$7&amp;'Funnel setup'!$K$4,'Funnel Lookup'!I38="*",'Funnel Lookup'!I38="*"),#N/A,IF(AND($C38='Funnel setup'!$K$3&amp;'Funnel setup'!$K$6&amp;'Funnel setup'!$K$7&amp;'Funnel setup'!$K$4,'Funnel Lookup'!I38&gt;29,'Funnel Lookup'!I38&lt;&gt;"-"),'Funnel Lookup'!Q38,#N/A))</f>
        <v>#N/A</v>
      </c>
    </row>
    <row r="39" spans="1:22" x14ac:dyDescent="0.25">
      <c r="A39">
        <v>37</v>
      </c>
      <c r="B39">
        <f t="shared" ca="1" si="8"/>
        <v>37</v>
      </c>
      <c r="C39" t="str">
        <f t="shared" ca="1" si="8"/>
        <v>Total Hip ReplacementProviderDUCHY HOSPITAL (NT447)Oxford Hip Score</v>
      </c>
      <c r="D39" t="str">
        <f t="shared" ca="1" si="8"/>
        <v>Total Hip Replacement</v>
      </c>
      <c r="E39" t="str">
        <f t="shared" ca="1" si="8"/>
        <v>Provider</v>
      </c>
      <c r="F39" t="str">
        <f t="shared" ca="1" si="8"/>
        <v>NT447</v>
      </c>
      <c r="G39" t="str">
        <f t="shared" ca="1" si="8"/>
        <v>DUCHY HOSPITAL (NT447)</v>
      </c>
      <c r="H39" t="str">
        <f t="shared" ca="1" si="8"/>
        <v>Oxford Hip Score</v>
      </c>
      <c r="I39">
        <f t="shared" ca="1" si="8"/>
        <v>29</v>
      </c>
      <c r="J39">
        <f t="shared" ca="1" si="8"/>
        <v>19.896599999999999</v>
      </c>
      <c r="K39">
        <f t="shared" ca="1" si="8"/>
        <v>42.586199999999998</v>
      </c>
      <c r="L39">
        <f t="shared" ca="1" si="9"/>
        <v>22.689699999999998</v>
      </c>
      <c r="M39">
        <f t="shared" ca="1" si="9"/>
        <v>29</v>
      </c>
      <c r="N39">
        <f t="shared" ca="1" si="9"/>
        <v>0</v>
      </c>
      <c r="O39">
        <f t="shared" ca="1" si="9"/>
        <v>0</v>
      </c>
      <c r="P39" t="str">
        <f t="shared" ca="1" si="9"/>
        <v>*</v>
      </c>
      <c r="Q39" t="str">
        <f t="shared" ca="1" si="9"/>
        <v>*</v>
      </c>
      <c r="R39" t="str">
        <f t="shared" ca="1" si="9"/>
        <v>*</v>
      </c>
      <c r="S39" t="e">
        <f t="shared" ca="1" si="2"/>
        <v>#N/A</v>
      </c>
      <c r="T39" t="e">
        <f t="shared" ca="1" si="3"/>
        <v>#N/A</v>
      </c>
      <c r="U39" t="e">
        <f ca="1">IF(AND($C39='Funnel setup'!$K$3&amp;'Funnel setup'!$K$6&amp;'Funnel setup'!$K$7&amp;'Funnel setup'!$K$4,'Funnel Lookup'!I39="*",'Funnel Lookup'!I39="*"),#N/A,IF(AND($C39='Funnel setup'!$K$3&amp;'Funnel setup'!$K$6&amp;'Funnel setup'!$K$7&amp;'Funnel setup'!$K$4,'Funnel Lookup'!I39&gt;29,'Funnel Lookup'!I39&lt;&gt;"-"),'Funnel Lookup'!I39,#N/A))</f>
        <v>#N/A</v>
      </c>
      <c r="V39" t="e">
        <f ca="1">IF(AND($C39='Funnel setup'!$K$3&amp;'Funnel setup'!$K$6&amp;'Funnel setup'!$K$7&amp;'Funnel setup'!$K$4,'Funnel Lookup'!I39="*",'Funnel Lookup'!I39="*"),#N/A,IF(AND($C39='Funnel setup'!$K$3&amp;'Funnel setup'!$K$6&amp;'Funnel setup'!$K$7&amp;'Funnel setup'!$K$4,'Funnel Lookup'!I39&gt;29,'Funnel Lookup'!I39&lt;&gt;"-"),'Funnel Lookup'!Q39,#N/A))</f>
        <v>#N/A</v>
      </c>
    </row>
    <row r="40" spans="1:22" x14ac:dyDescent="0.25">
      <c r="A40">
        <v>38</v>
      </c>
      <c r="B40">
        <f t="shared" ca="1" si="8"/>
        <v>38</v>
      </c>
      <c r="C40" t="str">
        <f t="shared" ca="1" si="8"/>
        <v>Total Hip ReplacementProviderDUCHY HOSPITAL (NVC04)Oxford Hip Score</v>
      </c>
      <c r="D40" t="str">
        <f t="shared" ca="1" si="8"/>
        <v>Total Hip Replacement</v>
      </c>
      <c r="E40" t="str">
        <f t="shared" ca="1" si="8"/>
        <v>Provider</v>
      </c>
      <c r="F40" t="str">
        <f t="shared" ca="1" si="8"/>
        <v>NVC04</v>
      </c>
      <c r="G40" t="str">
        <f t="shared" ca="1" si="8"/>
        <v>DUCHY HOSPITAL (NVC04)</v>
      </c>
      <c r="H40" t="str">
        <f t="shared" ca="1" si="8"/>
        <v>Oxford Hip Score</v>
      </c>
      <c r="I40">
        <f t="shared" ca="1" si="8"/>
        <v>25</v>
      </c>
      <c r="J40">
        <f t="shared" ca="1" si="8"/>
        <v>26.4</v>
      </c>
      <c r="K40">
        <f t="shared" ca="1" si="8"/>
        <v>27.36</v>
      </c>
      <c r="L40">
        <f t="shared" ca="1" si="9"/>
        <v>0.96</v>
      </c>
      <c r="M40">
        <f t="shared" ca="1" si="9"/>
        <v>15</v>
      </c>
      <c r="N40">
        <f t="shared" ca="1" si="9"/>
        <v>1</v>
      </c>
      <c r="O40">
        <f t="shared" ca="1" si="9"/>
        <v>9</v>
      </c>
      <c r="P40" t="str">
        <f t="shared" ca="1" si="9"/>
        <v>*</v>
      </c>
      <c r="Q40" t="str">
        <f t="shared" ca="1" si="9"/>
        <v>*</v>
      </c>
      <c r="R40" t="str">
        <f t="shared" ca="1" si="9"/>
        <v>*</v>
      </c>
      <c r="S40" t="e">
        <f t="shared" ca="1" si="2"/>
        <v>#N/A</v>
      </c>
      <c r="T40" t="e">
        <f t="shared" ca="1" si="3"/>
        <v>#N/A</v>
      </c>
      <c r="U40" t="e">
        <f ca="1">IF(AND($C40='Funnel setup'!$K$3&amp;'Funnel setup'!$K$6&amp;'Funnel setup'!$K$7&amp;'Funnel setup'!$K$4,'Funnel Lookup'!I40="*",'Funnel Lookup'!I40="*"),#N/A,IF(AND($C40='Funnel setup'!$K$3&amp;'Funnel setup'!$K$6&amp;'Funnel setup'!$K$7&amp;'Funnel setup'!$K$4,'Funnel Lookup'!I40&gt;29,'Funnel Lookup'!I40&lt;&gt;"-"),'Funnel Lookup'!I40,#N/A))</f>
        <v>#N/A</v>
      </c>
      <c r="V40" t="e">
        <f ca="1">IF(AND($C40='Funnel setup'!$K$3&amp;'Funnel setup'!$K$6&amp;'Funnel setup'!$K$7&amp;'Funnel setup'!$K$4,'Funnel Lookup'!I40="*",'Funnel Lookup'!I40="*"),#N/A,IF(AND($C40='Funnel setup'!$K$3&amp;'Funnel setup'!$K$6&amp;'Funnel setup'!$K$7&amp;'Funnel setup'!$K$4,'Funnel Lookup'!I40&gt;29,'Funnel Lookup'!I40&lt;&gt;"-"),'Funnel Lookup'!Q40,#N/A))</f>
        <v>#N/A</v>
      </c>
    </row>
    <row r="41" spans="1:22" x14ac:dyDescent="0.25">
      <c r="A41">
        <v>39</v>
      </c>
      <c r="B41">
        <f t="shared" ca="1" si="8"/>
        <v>39</v>
      </c>
      <c r="C41" t="str">
        <f t="shared" ca="1" si="8"/>
        <v>Total Hip ReplacementProviderEAST AND NORTH HERTFORDSHIRE NHS TRUST (RWH)Oxford Hip Score</v>
      </c>
      <c r="D41" t="str">
        <f t="shared" ca="1" si="8"/>
        <v>Total Hip Replacement</v>
      </c>
      <c r="E41" t="str">
        <f t="shared" ca="1" si="8"/>
        <v>Provider</v>
      </c>
      <c r="F41" t="str">
        <f t="shared" ca="1" si="8"/>
        <v>RWH</v>
      </c>
      <c r="G41" t="str">
        <f t="shared" ca="1" si="8"/>
        <v>EAST AND NORTH HERTFORDSHIRE NHS TRUST (RWH)</v>
      </c>
      <c r="H41" t="str">
        <f t="shared" ca="1" si="8"/>
        <v>Oxford Hip Score</v>
      </c>
      <c r="I41">
        <f t="shared" ca="1" si="8"/>
        <v>44</v>
      </c>
      <c r="J41">
        <f t="shared" ca="1" si="8"/>
        <v>17.386399999999998</v>
      </c>
      <c r="K41">
        <f t="shared" ca="1" si="8"/>
        <v>39.7727</v>
      </c>
      <c r="L41">
        <f t="shared" ca="1" si="9"/>
        <v>22.386399999999998</v>
      </c>
      <c r="M41">
        <f t="shared" ca="1" si="9"/>
        <v>43</v>
      </c>
      <c r="N41">
        <f t="shared" ca="1" si="9"/>
        <v>0</v>
      </c>
      <c r="O41">
        <f t="shared" ca="1" si="9"/>
        <v>1</v>
      </c>
      <c r="P41">
        <f t="shared" ca="1" si="9"/>
        <v>40.003399999999999</v>
      </c>
      <c r="Q41">
        <f t="shared" ca="1" si="9"/>
        <v>22.792000000000002</v>
      </c>
      <c r="R41">
        <f t="shared" ca="1" si="9"/>
        <v>7.8142899999999997</v>
      </c>
      <c r="S41">
        <f t="shared" ca="1" si="2"/>
        <v>44</v>
      </c>
      <c r="T41">
        <f t="shared" ca="1" si="3"/>
        <v>22.792000000000002</v>
      </c>
      <c r="U41" t="e">
        <f ca="1">IF(AND($C41='Funnel setup'!$K$3&amp;'Funnel setup'!$K$6&amp;'Funnel setup'!$K$7&amp;'Funnel setup'!$K$4,'Funnel Lookup'!I41="*",'Funnel Lookup'!I41="*"),#N/A,IF(AND($C41='Funnel setup'!$K$3&amp;'Funnel setup'!$K$6&amp;'Funnel setup'!$K$7&amp;'Funnel setup'!$K$4,'Funnel Lookup'!I41&gt;29,'Funnel Lookup'!I41&lt;&gt;"-"),'Funnel Lookup'!I41,#N/A))</f>
        <v>#N/A</v>
      </c>
      <c r="V41" t="e">
        <f ca="1">IF(AND($C41='Funnel setup'!$K$3&amp;'Funnel setup'!$K$6&amp;'Funnel setup'!$K$7&amp;'Funnel setup'!$K$4,'Funnel Lookup'!I41="*",'Funnel Lookup'!I41="*"),#N/A,IF(AND($C41='Funnel setup'!$K$3&amp;'Funnel setup'!$K$6&amp;'Funnel setup'!$K$7&amp;'Funnel setup'!$K$4,'Funnel Lookup'!I41&gt;29,'Funnel Lookup'!I41&lt;&gt;"-"),'Funnel Lookup'!Q41,#N/A))</f>
        <v>#N/A</v>
      </c>
    </row>
    <row r="42" spans="1:22" x14ac:dyDescent="0.25">
      <c r="A42">
        <v>40</v>
      </c>
      <c r="B42">
        <f t="shared" ca="1" si="8"/>
        <v>40</v>
      </c>
      <c r="C42" t="str">
        <f t="shared" ca="1" si="8"/>
        <v>Total Hip ReplacementProviderEAST CHESHIRE NHS TRUST (RJN)Oxford Hip Score</v>
      </c>
      <c r="D42" t="str">
        <f t="shared" ca="1" si="8"/>
        <v>Total Hip Replacement</v>
      </c>
      <c r="E42" t="str">
        <f t="shared" ca="1" si="8"/>
        <v>Provider</v>
      </c>
      <c r="F42" t="str">
        <f t="shared" ca="1" si="8"/>
        <v>RJN</v>
      </c>
      <c r="G42" t="str">
        <f t="shared" ca="1" si="8"/>
        <v>EAST CHESHIRE NHS TRUST (RJN)</v>
      </c>
      <c r="H42" t="str">
        <f t="shared" ca="1" si="8"/>
        <v>Oxford Hip Score</v>
      </c>
      <c r="I42">
        <f t="shared" ca="1" si="8"/>
        <v>5</v>
      </c>
      <c r="J42">
        <f t="shared" ca="1" si="8"/>
        <v>19</v>
      </c>
      <c r="K42">
        <f t="shared" ca="1" si="8"/>
        <v>37.4</v>
      </c>
      <c r="L42">
        <f t="shared" ca="1" si="9"/>
        <v>18.399999999999999</v>
      </c>
      <c r="M42">
        <f t="shared" ca="1" si="9"/>
        <v>5</v>
      </c>
      <c r="N42">
        <f t="shared" ca="1" si="9"/>
        <v>0</v>
      </c>
      <c r="O42">
        <f t="shared" ca="1" si="9"/>
        <v>0</v>
      </c>
      <c r="P42" t="str">
        <f t="shared" ca="1" si="9"/>
        <v>*</v>
      </c>
      <c r="Q42" t="str">
        <f t="shared" ca="1" si="9"/>
        <v>*</v>
      </c>
      <c r="R42" t="str">
        <f t="shared" ca="1" si="9"/>
        <v>*</v>
      </c>
      <c r="S42" t="e">
        <f t="shared" ca="1" si="2"/>
        <v>#N/A</v>
      </c>
      <c r="T42" t="e">
        <f t="shared" ca="1" si="3"/>
        <v>#N/A</v>
      </c>
      <c r="U42" t="e">
        <f ca="1">IF(AND($C42='Funnel setup'!$K$3&amp;'Funnel setup'!$K$6&amp;'Funnel setup'!$K$7&amp;'Funnel setup'!$K$4,'Funnel Lookup'!I42="*",'Funnel Lookup'!I42="*"),#N/A,IF(AND($C42='Funnel setup'!$K$3&amp;'Funnel setup'!$K$6&amp;'Funnel setup'!$K$7&amp;'Funnel setup'!$K$4,'Funnel Lookup'!I42&gt;29,'Funnel Lookup'!I42&lt;&gt;"-"),'Funnel Lookup'!I42,#N/A))</f>
        <v>#N/A</v>
      </c>
      <c r="V42" t="e">
        <f ca="1">IF(AND($C42='Funnel setup'!$K$3&amp;'Funnel setup'!$K$6&amp;'Funnel setup'!$K$7&amp;'Funnel setup'!$K$4,'Funnel Lookup'!I42="*",'Funnel Lookup'!I42="*"),#N/A,IF(AND($C42='Funnel setup'!$K$3&amp;'Funnel setup'!$K$6&amp;'Funnel setup'!$K$7&amp;'Funnel setup'!$K$4,'Funnel Lookup'!I42&gt;29,'Funnel Lookup'!I42&lt;&gt;"-"),'Funnel Lookup'!Q42,#N/A))</f>
        <v>#N/A</v>
      </c>
    </row>
    <row r="43" spans="1:22" x14ac:dyDescent="0.25">
      <c r="A43">
        <v>41</v>
      </c>
      <c r="B43">
        <f t="shared" ref="B43:K52" ca="1" si="10">VLOOKUP($A43,Funnel_Data,B$1,FALSE)</f>
        <v>41</v>
      </c>
      <c r="C43" t="str">
        <f t="shared" ca="1" si="10"/>
        <v>Total Hip ReplacementProviderEAST KENT HOSPITALS UNIVERSITY NHS FOUNDATION TRUST (RVV)Oxford Hip Score</v>
      </c>
      <c r="D43" t="str">
        <f t="shared" ca="1" si="10"/>
        <v>Total Hip Replacement</v>
      </c>
      <c r="E43" t="str">
        <f t="shared" ca="1" si="10"/>
        <v>Provider</v>
      </c>
      <c r="F43" t="str">
        <f t="shared" ca="1" si="10"/>
        <v>RVV</v>
      </c>
      <c r="G43" t="str">
        <f t="shared" ca="1" si="10"/>
        <v>EAST KENT HOSPITALS UNIVERSITY NHS FOUNDATION TRUST (RVV)</v>
      </c>
      <c r="H43" t="str">
        <f t="shared" ca="1" si="10"/>
        <v>Oxford Hip Score</v>
      </c>
      <c r="I43">
        <f t="shared" ca="1" si="10"/>
        <v>100</v>
      </c>
      <c r="J43">
        <f t="shared" ca="1" si="10"/>
        <v>15.45</v>
      </c>
      <c r="K43">
        <f t="shared" ca="1" si="10"/>
        <v>39.270000000000003</v>
      </c>
      <c r="L43">
        <f t="shared" ref="L43:R52" ca="1" si="11">VLOOKUP($A43,Funnel_Data,L$1,FALSE)</f>
        <v>23.82</v>
      </c>
      <c r="M43">
        <f t="shared" ca="1" si="11"/>
        <v>98</v>
      </c>
      <c r="N43">
        <f t="shared" ca="1" si="11"/>
        <v>0</v>
      </c>
      <c r="O43">
        <f t="shared" ca="1" si="11"/>
        <v>2</v>
      </c>
      <c r="P43">
        <f t="shared" ca="1" si="11"/>
        <v>40.505899999999997</v>
      </c>
      <c r="Q43">
        <f t="shared" ca="1" si="11"/>
        <v>23.294499999999999</v>
      </c>
      <c r="R43">
        <f t="shared" ca="1" si="11"/>
        <v>7.68492</v>
      </c>
      <c r="S43">
        <f t="shared" ca="1" si="2"/>
        <v>100</v>
      </c>
      <c r="T43">
        <f t="shared" ca="1" si="3"/>
        <v>23.294499999999999</v>
      </c>
      <c r="U43" t="e">
        <f ca="1">IF(AND($C43='Funnel setup'!$K$3&amp;'Funnel setup'!$K$6&amp;'Funnel setup'!$K$7&amp;'Funnel setup'!$K$4,'Funnel Lookup'!I43="*",'Funnel Lookup'!I43="*"),#N/A,IF(AND($C43='Funnel setup'!$K$3&amp;'Funnel setup'!$K$6&amp;'Funnel setup'!$K$7&amp;'Funnel setup'!$K$4,'Funnel Lookup'!I43&gt;29,'Funnel Lookup'!I43&lt;&gt;"-"),'Funnel Lookup'!I43,#N/A))</f>
        <v>#N/A</v>
      </c>
      <c r="V43" t="e">
        <f ca="1">IF(AND($C43='Funnel setup'!$K$3&amp;'Funnel setup'!$K$6&amp;'Funnel setup'!$K$7&amp;'Funnel setup'!$K$4,'Funnel Lookup'!I43="*",'Funnel Lookup'!I43="*"),#N/A,IF(AND($C43='Funnel setup'!$K$3&amp;'Funnel setup'!$K$6&amp;'Funnel setup'!$K$7&amp;'Funnel setup'!$K$4,'Funnel Lookup'!I43&gt;29,'Funnel Lookup'!I43&lt;&gt;"-"),'Funnel Lookup'!Q43,#N/A))</f>
        <v>#N/A</v>
      </c>
    </row>
    <row r="44" spans="1:22" x14ac:dyDescent="0.25">
      <c r="A44">
        <v>42</v>
      </c>
      <c r="B44">
        <f t="shared" ca="1" si="10"/>
        <v>42</v>
      </c>
      <c r="C44" t="str">
        <f t="shared" ca="1" si="10"/>
        <v>Total Hip ReplacementProviderEAST LANCASHIRE HOSPITALS NHS TRUST (RXR)Oxford Hip Score</v>
      </c>
      <c r="D44" t="str">
        <f t="shared" ca="1" si="10"/>
        <v>Total Hip Replacement</v>
      </c>
      <c r="E44" t="str">
        <f t="shared" ca="1" si="10"/>
        <v>Provider</v>
      </c>
      <c r="F44" t="str">
        <f t="shared" ca="1" si="10"/>
        <v>RXR</v>
      </c>
      <c r="G44" t="str">
        <f t="shared" ca="1" si="10"/>
        <v>EAST LANCASHIRE HOSPITALS NHS TRUST (RXR)</v>
      </c>
      <c r="H44" t="str">
        <f t="shared" ca="1" si="10"/>
        <v>Oxford Hip Score</v>
      </c>
      <c r="I44">
        <f t="shared" ca="1" si="10"/>
        <v>96</v>
      </c>
      <c r="J44">
        <f t="shared" ca="1" si="10"/>
        <v>14.833299999999999</v>
      </c>
      <c r="K44">
        <f t="shared" ca="1" si="10"/>
        <v>39.666699999999999</v>
      </c>
      <c r="L44">
        <f t="shared" ca="1" si="11"/>
        <v>24.833300000000001</v>
      </c>
      <c r="M44">
        <f t="shared" ca="1" si="11"/>
        <v>94</v>
      </c>
      <c r="N44">
        <f t="shared" ca="1" si="11"/>
        <v>1</v>
      </c>
      <c r="O44">
        <f t="shared" ca="1" si="11"/>
        <v>1</v>
      </c>
      <c r="P44">
        <f t="shared" ca="1" si="11"/>
        <v>41.476700000000001</v>
      </c>
      <c r="Q44">
        <f t="shared" ca="1" si="11"/>
        <v>24.2653</v>
      </c>
      <c r="R44">
        <f t="shared" ca="1" si="11"/>
        <v>6.97776</v>
      </c>
      <c r="S44">
        <f t="shared" ca="1" si="2"/>
        <v>96</v>
      </c>
      <c r="T44">
        <f t="shared" ca="1" si="3"/>
        <v>24.2653</v>
      </c>
      <c r="U44" t="e">
        <f ca="1">IF(AND($C44='Funnel setup'!$K$3&amp;'Funnel setup'!$K$6&amp;'Funnel setup'!$K$7&amp;'Funnel setup'!$K$4,'Funnel Lookup'!I44="*",'Funnel Lookup'!I44="*"),#N/A,IF(AND($C44='Funnel setup'!$K$3&amp;'Funnel setup'!$K$6&amp;'Funnel setup'!$K$7&amp;'Funnel setup'!$K$4,'Funnel Lookup'!I44&gt;29,'Funnel Lookup'!I44&lt;&gt;"-"),'Funnel Lookup'!I44,#N/A))</f>
        <v>#N/A</v>
      </c>
      <c r="V44" t="e">
        <f ca="1">IF(AND($C44='Funnel setup'!$K$3&amp;'Funnel setup'!$K$6&amp;'Funnel setup'!$K$7&amp;'Funnel setup'!$K$4,'Funnel Lookup'!I44="*",'Funnel Lookup'!I44="*"),#N/A,IF(AND($C44='Funnel setup'!$K$3&amp;'Funnel setup'!$K$6&amp;'Funnel setup'!$K$7&amp;'Funnel setup'!$K$4,'Funnel Lookup'!I44&gt;29,'Funnel Lookup'!I44&lt;&gt;"-"),'Funnel Lookup'!Q44,#N/A))</f>
        <v>#N/A</v>
      </c>
    </row>
    <row r="45" spans="1:22" x14ac:dyDescent="0.25">
      <c r="A45">
        <v>43</v>
      </c>
      <c r="B45">
        <f t="shared" ca="1" si="10"/>
        <v>43</v>
      </c>
      <c r="C45" t="str">
        <f t="shared" ca="1" si="10"/>
        <v>Total Hip ReplacementProviderEAST SUFFOLK AND NORTH ESSEX NHS FOUNDATION TRUST (RDE)Oxford Hip Score</v>
      </c>
      <c r="D45" t="str">
        <f t="shared" ca="1" si="10"/>
        <v>Total Hip Replacement</v>
      </c>
      <c r="E45" t="str">
        <f t="shared" ca="1" si="10"/>
        <v>Provider</v>
      </c>
      <c r="F45" t="str">
        <f t="shared" ca="1" si="10"/>
        <v>RDE</v>
      </c>
      <c r="G45" t="str">
        <f t="shared" ca="1" si="10"/>
        <v>EAST SUFFOLK AND NORTH ESSEX NHS FOUNDATION TRUST (RDE)</v>
      </c>
      <c r="H45" t="str">
        <f t="shared" ca="1" si="10"/>
        <v>Oxford Hip Score</v>
      </c>
      <c r="I45">
        <f t="shared" ca="1" si="10"/>
        <v>147</v>
      </c>
      <c r="J45">
        <f t="shared" ca="1" si="10"/>
        <v>15.3741</v>
      </c>
      <c r="K45">
        <f t="shared" ca="1" si="10"/>
        <v>39.387799999999999</v>
      </c>
      <c r="L45">
        <f t="shared" ca="1" si="11"/>
        <v>24.0136</v>
      </c>
      <c r="M45">
        <f t="shared" ca="1" si="11"/>
        <v>146</v>
      </c>
      <c r="N45">
        <f t="shared" ca="1" si="11"/>
        <v>0</v>
      </c>
      <c r="O45">
        <f t="shared" ca="1" si="11"/>
        <v>1</v>
      </c>
      <c r="P45">
        <f t="shared" ca="1" si="11"/>
        <v>40.570900000000002</v>
      </c>
      <c r="Q45">
        <f t="shared" ca="1" si="11"/>
        <v>23.359400000000001</v>
      </c>
      <c r="R45">
        <f t="shared" ca="1" si="11"/>
        <v>7.7240500000000001</v>
      </c>
      <c r="S45">
        <f t="shared" ca="1" si="2"/>
        <v>147</v>
      </c>
      <c r="T45">
        <f t="shared" ca="1" si="3"/>
        <v>23.359400000000001</v>
      </c>
      <c r="U45" t="e">
        <f ca="1">IF(AND($C45='Funnel setup'!$K$3&amp;'Funnel setup'!$K$6&amp;'Funnel setup'!$K$7&amp;'Funnel setup'!$K$4,'Funnel Lookup'!I45="*",'Funnel Lookup'!I45="*"),#N/A,IF(AND($C45='Funnel setup'!$K$3&amp;'Funnel setup'!$K$6&amp;'Funnel setup'!$K$7&amp;'Funnel setup'!$K$4,'Funnel Lookup'!I45&gt;29,'Funnel Lookup'!I45&lt;&gt;"-"),'Funnel Lookup'!I45,#N/A))</f>
        <v>#N/A</v>
      </c>
      <c r="V45" t="e">
        <f ca="1">IF(AND($C45='Funnel setup'!$K$3&amp;'Funnel setup'!$K$6&amp;'Funnel setup'!$K$7&amp;'Funnel setup'!$K$4,'Funnel Lookup'!I45="*",'Funnel Lookup'!I45="*"),#N/A,IF(AND($C45='Funnel setup'!$K$3&amp;'Funnel setup'!$K$6&amp;'Funnel setup'!$K$7&amp;'Funnel setup'!$K$4,'Funnel Lookup'!I45&gt;29,'Funnel Lookup'!I45&lt;&gt;"-"),'Funnel Lookup'!Q45,#N/A))</f>
        <v>#N/A</v>
      </c>
    </row>
    <row r="46" spans="1:22" x14ac:dyDescent="0.25">
      <c r="A46">
        <v>44</v>
      </c>
      <c r="B46">
        <f t="shared" ca="1" si="10"/>
        <v>44</v>
      </c>
      <c r="C46" t="str">
        <f t="shared" ca="1" si="10"/>
        <v>Total Hip ReplacementProviderEAST SUSSEX HEALTHCARE NHS TRUST (RXC)Oxford Hip Score</v>
      </c>
      <c r="D46" t="str">
        <f t="shared" ca="1" si="10"/>
        <v>Total Hip Replacement</v>
      </c>
      <c r="E46" t="str">
        <f t="shared" ca="1" si="10"/>
        <v>Provider</v>
      </c>
      <c r="F46" t="str">
        <f t="shared" ca="1" si="10"/>
        <v>RXC</v>
      </c>
      <c r="G46" t="str">
        <f t="shared" ca="1" si="10"/>
        <v>EAST SUSSEX HEALTHCARE NHS TRUST (RXC)</v>
      </c>
      <c r="H46" t="str">
        <f t="shared" ca="1" si="10"/>
        <v>Oxford Hip Score</v>
      </c>
      <c r="I46">
        <f t="shared" ca="1" si="10"/>
        <v>101</v>
      </c>
      <c r="J46">
        <f t="shared" ca="1" si="10"/>
        <v>18.0198</v>
      </c>
      <c r="K46">
        <f t="shared" ca="1" si="10"/>
        <v>39.831699999999998</v>
      </c>
      <c r="L46">
        <f t="shared" ca="1" si="11"/>
        <v>21.811900000000001</v>
      </c>
      <c r="M46">
        <f t="shared" ca="1" si="11"/>
        <v>94</v>
      </c>
      <c r="N46">
        <f t="shared" ca="1" si="11"/>
        <v>1</v>
      </c>
      <c r="O46">
        <f t="shared" ca="1" si="11"/>
        <v>6</v>
      </c>
      <c r="P46">
        <f t="shared" ca="1" si="11"/>
        <v>40.5319</v>
      </c>
      <c r="Q46">
        <f t="shared" ca="1" si="11"/>
        <v>23.320399999999999</v>
      </c>
      <c r="R46">
        <f t="shared" ca="1" si="11"/>
        <v>8.4855199999999993</v>
      </c>
      <c r="S46">
        <f t="shared" ca="1" si="2"/>
        <v>101</v>
      </c>
      <c r="T46">
        <f t="shared" ca="1" si="3"/>
        <v>23.320399999999999</v>
      </c>
      <c r="U46" t="e">
        <f ca="1">IF(AND($C46='Funnel setup'!$K$3&amp;'Funnel setup'!$K$6&amp;'Funnel setup'!$K$7&amp;'Funnel setup'!$K$4,'Funnel Lookup'!I46="*",'Funnel Lookup'!I46="*"),#N/A,IF(AND($C46='Funnel setup'!$K$3&amp;'Funnel setup'!$K$6&amp;'Funnel setup'!$K$7&amp;'Funnel setup'!$K$4,'Funnel Lookup'!I46&gt;29,'Funnel Lookup'!I46&lt;&gt;"-"),'Funnel Lookup'!I46,#N/A))</f>
        <v>#N/A</v>
      </c>
      <c r="V46" t="e">
        <f ca="1">IF(AND($C46='Funnel setup'!$K$3&amp;'Funnel setup'!$K$6&amp;'Funnel setup'!$K$7&amp;'Funnel setup'!$K$4,'Funnel Lookup'!I46="*",'Funnel Lookup'!I46="*"),#N/A,IF(AND($C46='Funnel setup'!$K$3&amp;'Funnel setup'!$K$6&amp;'Funnel setup'!$K$7&amp;'Funnel setup'!$K$4,'Funnel Lookup'!I46&gt;29,'Funnel Lookup'!I46&lt;&gt;"-"),'Funnel Lookup'!Q46,#N/A))</f>
        <v>#N/A</v>
      </c>
    </row>
    <row r="47" spans="1:22" x14ac:dyDescent="0.25">
      <c r="A47">
        <v>45</v>
      </c>
      <c r="B47">
        <f t="shared" ca="1" si="10"/>
        <v>45</v>
      </c>
      <c r="C47" t="str">
        <f t="shared" ca="1" si="10"/>
        <v>Total Hip ReplacementProviderEPSOM AND ST HELIER UNIVERSITY HOSPITALS NHS TRUST (RVR)Oxford Hip Score</v>
      </c>
      <c r="D47" t="str">
        <f t="shared" ca="1" si="10"/>
        <v>Total Hip Replacement</v>
      </c>
      <c r="E47" t="str">
        <f t="shared" ca="1" si="10"/>
        <v>Provider</v>
      </c>
      <c r="F47" t="str">
        <f t="shared" ca="1" si="10"/>
        <v>RVR</v>
      </c>
      <c r="G47" t="str">
        <f t="shared" ca="1" si="10"/>
        <v>EPSOM AND ST HELIER UNIVERSITY HOSPITALS NHS TRUST (RVR)</v>
      </c>
      <c r="H47" t="str">
        <f t="shared" ca="1" si="10"/>
        <v>Oxford Hip Score</v>
      </c>
      <c r="I47">
        <f t="shared" ca="1" si="10"/>
        <v>568</v>
      </c>
      <c r="J47">
        <f t="shared" ca="1" si="10"/>
        <v>19.338000000000001</v>
      </c>
      <c r="K47">
        <f t="shared" ca="1" si="10"/>
        <v>40.456000000000003</v>
      </c>
      <c r="L47">
        <f t="shared" ca="1" si="11"/>
        <v>21.117999999999999</v>
      </c>
      <c r="M47">
        <f t="shared" ca="1" si="11"/>
        <v>553</v>
      </c>
      <c r="N47">
        <f t="shared" ca="1" si="11"/>
        <v>3</v>
      </c>
      <c r="O47">
        <f t="shared" ca="1" si="11"/>
        <v>12</v>
      </c>
      <c r="P47">
        <f t="shared" ca="1" si="11"/>
        <v>39.9876</v>
      </c>
      <c r="Q47">
        <f t="shared" ca="1" si="11"/>
        <v>22.7761</v>
      </c>
      <c r="R47">
        <f t="shared" ca="1" si="11"/>
        <v>7.3856400000000004</v>
      </c>
      <c r="S47">
        <f t="shared" ca="1" si="2"/>
        <v>568</v>
      </c>
      <c r="T47">
        <f t="shared" ca="1" si="3"/>
        <v>22.7761</v>
      </c>
      <c r="U47" t="e">
        <f ca="1">IF(AND($C47='Funnel setup'!$K$3&amp;'Funnel setup'!$K$6&amp;'Funnel setup'!$K$7&amp;'Funnel setup'!$K$4,'Funnel Lookup'!I47="*",'Funnel Lookup'!I47="*"),#N/A,IF(AND($C47='Funnel setup'!$K$3&amp;'Funnel setup'!$K$6&amp;'Funnel setup'!$K$7&amp;'Funnel setup'!$K$4,'Funnel Lookup'!I47&gt;29,'Funnel Lookup'!I47&lt;&gt;"-"),'Funnel Lookup'!I47,#N/A))</f>
        <v>#N/A</v>
      </c>
      <c r="V47" t="e">
        <f ca="1">IF(AND($C47='Funnel setup'!$K$3&amp;'Funnel setup'!$K$6&amp;'Funnel setup'!$K$7&amp;'Funnel setup'!$K$4,'Funnel Lookup'!I47="*",'Funnel Lookup'!I47="*"),#N/A,IF(AND($C47='Funnel setup'!$K$3&amp;'Funnel setup'!$K$6&amp;'Funnel setup'!$K$7&amp;'Funnel setup'!$K$4,'Funnel Lookup'!I47&gt;29,'Funnel Lookup'!I47&lt;&gt;"-"),'Funnel Lookup'!Q47,#N/A))</f>
        <v>#N/A</v>
      </c>
    </row>
    <row r="48" spans="1:22" x14ac:dyDescent="0.25">
      <c r="A48">
        <v>46</v>
      </c>
      <c r="B48">
        <f t="shared" ca="1" si="10"/>
        <v>46</v>
      </c>
      <c r="C48" t="str">
        <f t="shared" ca="1" si="10"/>
        <v>Total Hip ReplacementProviderEUXTON HALL HOSPITAL (NVC05)Oxford Hip Score</v>
      </c>
      <c r="D48" t="str">
        <f t="shared" ca="1" si="10"/>
        <v>Total Hip Replacement</v>
      </c>
      <c r="E48" t="str">
        <f t="shared" ca="1" si="10"/>
        <v>Provider</v>
      </c>
      <c r="F48" t="str">
        <f t="shared" ca="1" si="10"/>
        <v>NVC05</v>
      </c>
      <c r="G48" t="str">
        <f t="shared" ca="1" si="10"/>
        <v>EUXTON HALL HOSPITAL (NVC05)</v>
      </c>
      <c r="H48" t="str">
        <f t="shared" ca="1" si="10"/>
        <v>Oxford Hip Score</v>
      </c>
      <c r="I48">
        <f t="shared" ca="1" si="10"/>
        <v>59</v>
      </c>
      <c r="J48">
        <f t="shared" ca="1" si="10"/>
        <v>16.1525</v>
      </c>
      <c r="K48">
        <f t="shared" ca="1" si="10"/>
        <v>40.9831</v>
      </c>
      <c r="L48">
        <f t="shared" ca="1" si="11"/>
        <v>24.830500000000001</v>
      </c>
      <c r="M48">
        <f t="shared" ca="1" si="11"/>
        <v>58</v>
      </c>
      <c r="N48">
        <f t="shared" ca="1" si="11"/>
        <v>0</v>
      </c>
      <c r="O48">
        <f t="shared" ca="1" si="11"/>
        <v>1</v>
      </c>
      <c r="P48">
        <f t="shared" ca="1" si="11"/>
        <v>41.532299999999999</v>
      </c>
      <c r="Q48">
        <f t="shared" ca="1" si="11"/>
        <v>24.320900000000002</v>
      </c>
      <c r="R48">
        <f t="shared" ca="1" si="11"/>
        <v>8.1784199999999991</v>
      </c>
      <c r="S48">
        <f t="shared" ca="1" si="2"/>
        <v>59</v>
      </c>
      <c r="T48">
        <f t="shared" ca="1" si="3"/>
        <v>24.320900000000002</v>
      </c>
      <c r="U48" t="e">
        <f ca="1">IF(AND($C48='Funnel setup'!$K$3&amp;'Funnel setup'!$K$6&amp;'Funnel setup'!$K$7&amp;'Funnel setup'!$K$4,'Funnel Lookup'!I48="*",'Funnel Lookup'!I48="*"),#N/A,IF(AND($C48='Funnel setup'!$K$3&amp;'Funnel setup'!$K$6&amp;'Funnel setup'!$K$7&amp;'Funnel setup'!$K$4,'Funnel Lookup'!I48&gt;29,'Funnel Lookup'!I48&lt;&gt;"-"),'Funnel Lookup'!I48,#N/A))</f>
        <v>#N/A</v>
      </c>
      <c r="V48" t="e">
        <f ca="1">IF(AND($C48='Funnel setup'!$K$3&amp;'Funnel setup'!$K$6&amp;'Funnel setup'!$K$7&amp;'Funnel setup'!$K$4,'Funnel Lookup'!I48="*",'Funnel Lookup'!I48="*"),#N/A,IF(AND($C48='Funnel setup'!$K$3&amp;'Funnel setup'!$K$6&amp;'Funnel setup'!$K$7&amp;'Funnel setup'!$K$4,'Funnel Lookup'!I48&gt;29,'Funnel Lookup'!I48&lt;&gt;"-"),'Funnel Lookup'!Q48,#N/A))</f>
        <v>#N/A</v>
      </c>
    </row>
    <row r="49" spans="1:22" x14ac:dyDescent="0.25">
      <c r="A49">
        <v>47</v>
      </c>
      <c r="B49">
        <f t="shared" ca="1" si="10"/>
        <v>47</v>
      </c>
      <c r="C49" t="str">
        <f t="shared" ca="1" si="10"/>
        <v>Total Hip ReplacementProviderFAIRFIELD HOSPITAL (NVG01)Oxford Hip Score</v>
      </c>
      <c r="D49" t="str">
        <f t="shared" ca="1" si="10"/>
        <v>Total Hip Replacement</v>
      </c>
      <c r="E49" t="str">
        <f t="shared" ca="1" si="10"/>
        <v>Provider</v>
      </c>
      <c r="F49" t="str">
        <f t="shared" ca="1" si="10"/>
        <v>NVG01</v>
      </c>
      <c r="G49" t="str">
        <f t="shared" ca="1" si="10"/>
        <v>FAIRFIELD HOSPITAL (NVG01)</v>
      </c>
      <c r="H49" t="str">
        <f t="shared" ca="1" si="10"/>
        <v>Oxford Hip Score</v>
      </c>
      <c r="I49">
        <f t="shared" ca="1" si="10"/>
        <v>42</v>
      </c>
      <c r="J49">
        <f t="shared" ca="1" si="10"/>
        <v>17.119</v>
      </c>
      <c r="K49">
        <f t="shared" ca="1" si="10"/>
        <v>37.6905</v>
      </c>
      <c r="L49">
        <f t="shared" ca="1" si="11"/>
        <v>20.571400000000001</v>
      </c>
      <c r="M49">
        <f t="shared" ca="1" si="11"/>
        <v>40</v>
      </c>
      <c r="N49">
        <f t="shared" ca="1" si="11"/>
        <v>0</v>
      </c>
      <c r="O49">
        <f t="shared" ca="1" si="11"/>
        <v>2</v>
      </c>
      <c r="P49">
        <f t="shared" ca="1" si="11"/>
        <v>37.749499999999998</v>
      </c>
      <c r="Q49">
        <f t="shared" ca="1" si="11"/>
        <v>20.5381</v>
      </c>
      <c r="R49">
        <f t="shared" ca="1" si="11"/>
        <v>10.2554</v>
      </c>
      <c r="S49">
        <f t="shared" ca="1" si="2"/>
        <v>42</v>
      </c>
      <c r="T49">
        <f t="shared" ca="1" si="3"/>
        <v>20.5381</v>
      </c>
      <c r="U49" t="e">
        <f ca="1">IF(AND($C49='Funnel setup'!$K$3&amp;'Funnel setup'!$K$6&amp;'Funnel setup'!$K$7&amp;'Funnel setup'!$K$4,'Funnel Lookup'!I49="*",'Funnel Lookup'!I49="*"),#N/A,IF(AND($C49='Funnel setup'!$K$3&amp;'Funnel setup'!$K$6&amp;'Funnel setup'!$K$7&amp;'Funnel setup'!$K$4,'Funnel Lookup'!I49&gt;29,'Funnel Lookup'!I49&lt;&gt;"-"),'Funnel Lookup'!I49,#N/A))</f>
        <v>#N/A</v>
      </c>
      <c r="V49" t="e">
        <f ca="1">IF(AND($C49='Funnel setup'!$K$3&amp;'Funnel setup'!$K$6&amp;'Funnel setup'!$K$7&amp;'Funnel setup'!$K$4,'Funnel Lookup'!I49="*",'Funnel Lookup'!I49="*"),#N/A,IF(AND($C49='Funnel setup'!$K$3&amp;'Funnel setup'!$K$6&amp;'Funnel setup'!$K$7&amp;'Funnel setup'!$K$4,'Funnel Lookup'!I49&gt;29,'Funnel Lookup'!I49&lt;&gt;"-"),'Funnel Lookup'!Q49,#N/A))</f>
        <v>#N/A</v>
      </c>
    </row>
    <row r="50" spans="1:22" x14ac:dyDescent="0.25">
      <c r="A50">
        <v>48</v>
      </c>
      <c r="B50">
        <f t="shared" ca="1" si="10"/>
        <v>48</v>
      </c>
      <c r="C50" t="str">
        <f t="shared" ca="1" si="10"/>
        <v>Total Hip ReplacementProviderFITZWILLIAM HOSPITAL (NVC06)Oxford Hip Score</v>
      </c>
      <c r="D50" t="str">
        <f t="shared" ca="1" si="10"/>
        <v>Total Hip Replacement</v>
      </c>
      <c r="E50" t="str">
        <f t="shared" ca="1" si="10"/>
        <v>Provider</v>
      </c>
      <c r="F50" t="str">
        <f t="shared" ca="1" si="10"/>
        <v>NVC06</v>
      </c>
      <c r="G50" t="str">
        <f t="shared" ca="1" si="10"/>
        <v>FITZWILLIAM HOSPITAL (NVC06)</v>
      </c>
      <c r="H50" t="str">
        <f t="shared" ca="1" si="10"/>
        <v>Oxford Hip Score</v>
      </c>
      <c r="I50">
        <f t="shared" ca="1" si="10"/>
        <v>60</v>
      </c>
      <c r="J50">
        <f t="shared" ca="1" si="10"/>
        <v>17.245899999999999</v>
      </c>
      <c r="K50">
        <f t="shared" ca="1" si="10"/>
        <v>40.426200000000001</v>
      </c>
      <c r="L50">
        <f t="shared" ca="1" si="11"/>
        <v>23.180299999999999</v>
      </c>
      <c r="M50">
        <f t="shared" ca="1" si="11"/>
        <v>59</v>
      </c>
      <c r="N50">
        <f t="shared" ca="1" si="11"/>
        <v>0</v>
      </c>
      <c r="O50">
        <f t="shared" ca="1" si="11"/>
        <v>1</v>
      </c>
      <c r="P50">
        <f t="shared" ca="1" si="11"/>
        <v>40.205100000000002</v>
      </c>
      <c r="Q50">
        <f t="shared" ca="1" si="11"/>
        <v>22.9937</v>
      </c>
      <c r="R50">
        <f t="shared" ca="1" si="11"/>
        <v>7.0202099999999996</v>
      </c>
      <c r="S50">
        <f t="shared" ca="1" si="2"/>
        <v>60</v>
      </c>
      <c r="T50">
        <f t="shared" ca="1" si="3"/>
        <v>22.9937</v>
      </c>
      <c r="U50" t="e">
        <f ca="1">IF(AND($C50='Funnel setup'!$K$3&amp;'Funnel setup'!$K$6&amp;'Funnel setup'!$K$7&amp;'Funnel setup'!$K$4,'Funnel Lookup'!I50="*",'Funnel Lookup'!I50="*"),#N/A,IF(AND($C50='Funnel setup'!$K$3&amp;'Funnel setup'!$K$6&amp;'Funnel setup'!$K$7&amp;'Funnel setup'!$K$4,'Funnel Lookup'!I50&gt;29,'Funnel Lookup'!I50&lt;&gt;"-"),'Funnel Lookup'!I50,#N/A))</f>
        <v>#N/A</v>
      </c>
      <c r="V50" t="e">
        <f ca="1">IF(AND($C50='Funnel setup'!$K$3&amp;'Funnel setup'!$K$6&amp;'Funnel setup'!$K$7&amp;'Funnel setup'!$K$4,'Funnel Lookup'!I50="*",'Funnel Lookup'!I50="*"),#N/A,IF(AND($C50='Funnel setup'!$K$3&amp;'Funnel setup'!$K$6&amp;'Funnel setup'!$K$7&amp;'Funnel setup'!$K$4,'Funnel Lookup'!I50&gt;29,'Funnel Lookup'!I50&lt;&gt;"-"),'Funnel Lookup'!Q50,#N/A))</f>
        <v>#N/A</v>
      </c>
    </row>
    <row r="51" spans="1:22" x14ac:dyDescent="0.25">
      <c r="A51">
        <v>49</v>
      </c>
      <c r="B51">
        <f t="shared" ca="1" si="10"/>
        <v>49</v>
      </c>
      <c r="C51" t="str">
        <f t="shared" ca="1" si="10"/>
        <v>Total Hip ReplacementProviderFRIMLEY HEALTH NHS FOUNDATION TRUST (RDU)Oxford Hip Score</v>
      </c>
      <c r="D51" t="str">
        <f t="shared" ca="1" si="10"/>
        <v>Total Hip Replacement</v>
      </c>
      <c r="E51" t="str">
        <f t="shared" ca="1" si="10"/>
        <v>Provider</v>
      </c>
      <c r="F51" t="str">
        <f t="shared" ca="1" si="10"/>
        <v>RDU</v>
      </c>
      <c r="G51" t="str">
        <f t="shared" ca="1" si="10"/>
        <v>FRIMLEY HEALTH NHS FOUNDATION TRUST (RDU)</v>
      </c>
      <c r="H51" t="str">
        <f t="shared" ca="1" si="10"/>
        <v>Oxford Hip Score</v>
      </c>
      <c r="I51">
        <f t="shared" ca="1" si="10"/>
        <v>191</v>
      </c>
      <c r="J51">
        <f t="shared" ca="1" si="10"/>
        <v>18.403099999999998</v>
      </c>
      <c r="K51">
        <f t="shared" ca="1" si="10"/>
        <v>40.8063</v>
      </c>
      <c r="L51">
        <f t="shared" ca="1" si="11"/>
        <v>22.403099999999998</v>
      </c>
      <c r="M51">
        <f t="shared" ca="1" si="11"/>
        <v>187</v>
      </c>
      <c r="N51">
        <f t="shared" ca="1" si="11"/>
        <v>2</v>
      </c>
      <c r="O51">
        <f t="shared" ca="1" si="11"/>
        <v>2</v>
      </c>
      <c r="P51">
        <f t="shared" ca="1" si="11"/>
        <v>39.689300000000003</v>
      </c>
      <c r="Q51">
        <f t="shared" ca="1" si="11"/>
        <v>22.477799999999998</v>
      </c>
      <c r="R51">
        <f t="shared" ca="1" si="11"/>
        <v>8.0012799999999995</v>
      </c>
      <c r="S51">
        <f t="shared" ca="1" si="2"/>
        <v>191</v>
      </c>
      <c r="T51">
        <f t="shared" ca="1" si="3"/>
        <v>22.477799999999998</v>
      </c>
      <c r="U51" t="e">
        <f ca="1">IF(AND($C51='Funnel setup'!$K$3&amp;'Funnel setup'!$K$6&amp;'Funnel setup'!$K$7&amp;'Funnel setup'!$K$4,'Funnel Lookup'!I51="*",'Funnel Lookup'!I51="*"),#N/A,IF(AND($C51='Funnel setup'!$K$3&amp;'Funnel setup'!$K$6&amp;'Funnel setup'!$K$7&amp;'Funnel setup'!$K$4,'Funnel Lookup'!I51&gt;29,'Funnel Lookup'!I51&lt;&gt;"-"),'Funnel Lookup'!I51,#N/A))</f>
        <v>#N/A</v>
      </c>
      <c r="V51" t="e">
        <f ca="1">IF(AND($C51='Funnel setup'!$K$3&amp;'Funnel setup'!$K$6&amp;'Funnel setup'!$K$7&amp;'Funnel setup'!$K$4,'Funnel Lookup'!I51="*",'Funnel Lookup'!I51="*"),#N/A,IF(AND($C51='Funnel setup'!$K$3&amp;'Funnel setup'!$K$6&amp;'Funnel setup'!$K$7&amp;'Funnel setup'!$K$4,'Funnel Lookup'!I51&gt;29,'Funnel Lookup'!I51&lt;&gt;"-"),'Funnel Lookup'!Q51,#N/A))</f>
        <v>#N/A</v>
      </c>
    </row>
    <row r="52" spans="1:22" x14ac:dyDescent="0.25">
      <c r="A52">
        <v>50</v>
      </c>
      <c r="B52">
        <f t="shared" ca="1" si="10"/>
        <v>50</v>
      </c>
      <c r="C52" t="str">
        <f t="shared" ca="1" si="10"/>
        <v>Total Hip ReplacementProviderFULWOOD HALL HOSPITAL (NVC07)Oxford Hip Score</v>
      </c>
      <c r="D52" t="str">
        <f t="shared" ca="1" si="10"/>
        <v>Total Hip Replacement</v>
      </c>
      <c r="E52" t="str">
        <f t="shared" ca="1" si="10"/>
        <v>Provider</v>
      </c>
      <c r="F52" t="str">
        <f t="shared" ca="1" si="10"/>
        <v>NVC07</v>
      </c>
      <c r="G52" t="str">
        <f t="shared" ca="1" si="10"/>
        <v>FULWOOD HALL HOSPITAL (NVC07)</v>
      </c>
      <c r="H52" t="str">
        <f t="shared" ca="1" si="10"/>
        <v>Oxford Hip Score</v>
      </c>
      <c r="I52">
        <f t="shared" ca="1" si="10"/>
        <v>72</v>
      </c>
      <c r="J52">
        <f t="shared" ca="1" si="10"/>
        <v>21.166699999999999</v>
      </c>
      <c r="K52">
        <f t="shared" ca="1" si="10"/>
        <v>42.3889</v>
      </c>
      <c r="L52">
        <f t="shared" ca="1" si="11"/>
        <v>21.222200000000001</v>
      </c>
      <c r="M52">
        <f t="shared" ca="1" si="11"/>
        <v>72</v>
      </c>
      <c r="N52">
        <f t="shared" ca="1" si="11"/>
        <v>0</v>
      </c>
      <c r="O52">
        <f t="shared" ca="1" si="11"/>
        <v>0</v>
      </c>
      <c r="P52">
        <f t="shared" ca="1" si="11"/>
        <v>40.726300000000002</v>
      </c>
      <c r="Q52">
        <f t="shared" ca="1" si="11"/>
        <v>23.514800000000001</v>
      </c>
      <c r="R52">
        <f t="shared" ca="1" si="11"/>
        <v>6.1913799999999997</v>
      </c>
      <c r="S52">
        <f t="shared" ca="1" si="2"/>
        <v>72</v>
      </c>
      <c r="T52">
        <f t="shared" ca="1" si="3"/>
        <v>23.514800000000001</v>
      </c>
      <c r="U52" t="e">
        <f ca="1">IF(AND($C52='Funnel setup'!$K$3&amp;'Funnel setup'!$K$6&amp;'Funnel setup'!$K$7&amp;'Funnel setup'!$K$4,'Funnel Lookup'!I52="*",'Funnel Lookup'!I52="*"),#N/A,IF(AND($C52='Funnel setup'!$K$3&amp;'Funnel setup'!$K$6&amp;'Funnel setup'!$K$7&amp;'Funnel setup'!$K$4,'Funnel Lookup'!I52&gt;29,'Funnel Lookup'!I52&lt;&gt;"-"),'Funnel Lookup'!I52,#N/A))</f>
        <v>#N/A</v>
      </c>
      <c r="V52" t="e">
        <f ca="1">IF(AND($C52='Funnel setup'!$K$3&amp;'Funnel setup'!$K$6&amp;'Funnel setup'!$K$7&amp;'Funnel setup'!$K$4,'Funnel Lookup'!I52="*",'Funnel Lookup'!I52="*"),#N/A,IF(AND($C52='Funnel setup'!$K$3&amp;'Funnel setup'!$K$6&amp;'Funnel setup'!$K$7&amp;'Funnel setup'!$K$4,'Funnel Lookup'!I52&gt;29,'Funnel Lookup'!I52&lt;&gt;"-"),'Funnel Lookup'!Q52,#N/A))</f>
        <v>#N/A</v>
      </c>
    </row>
    <row r="53" spans="1:22" x14ac:dyDescent="0.25">
      <c r="A53">
        <v>51</v>
      </c>
      <c r="B53">
        <f t="shared" ref="B53:K62" ca="1" si="12">VLOOKUP($A53,Funnel_Data,B$1,FALSE)</f>
        <v>51</v>
      </c>
      <c r="C53" t="str">
        <f t="shared" ca="1" si="12"/>
        <v>Total Hip ReplacementProviderGATESHEAD HEALTH NHS FOUNDATION TRUST (RR7)Oxford Hip Score</v>
      </c>
      <c r="D53" t="str">
        <f t="shared" ca="1" si="12"/>
        <v>Total Hip Replacement</v>
      </c>
      <c r="E53" t="str">
        <f t="shared" ca="1" si="12"/>
        <v>Provider</v>
      </c>
      <c r="F53" t="str">
        <f t="shared" ca="1" si="12"/>
        <v>RR7</v>
      </c>
      <c r="G53" t="str">
        <f t="shared" ca="1" si="12"/>
        <v>GATESHEAD HEALTH NHS FOUNDATION TRUST (RR7)</v>
      </c>
      <c r="H53" t="str">
        <f t="shared" ca="1" si="12"/>
        <v>Oxford Hip Score</v>
      </c>
      <c r="I53">
        <f t="shared" ca="1" si="12"/>
        <v>51</v>
      </c>
      <c r="J53">
        <f t="shared" ca="1" si="12"/>
        <v>14.0784</v>
      </c>
      <c r="K53">
        <f t="shared" ca="1" si="12"/>
        <v>38.764699999999998</v>
      </c>
      <c r="L53">
        <f t="shared" ref="L53:R62" ca="1" si="13">VLOOKUP($A53,Funnel_Data,L$1,FALSE)</f>
        <v>24.686299999999999</v>
      </c>
      <c r="M53">
        <f t="shared" ca="1" si="13"/>
        <v>49</v>
      </c>
      <c r="N53">
        <f t="shared" ca="1" si="13"/>
        <v>0</v>
      </c>
      <c r="O53">
        <f t="shared" ca="1" si="13"/>
        <v>2</v>
      </c>
      <c r="P53">
        <f t="shared" ca="1" si="13"/>
        <v>41.509799999999998</v>
      </c>
      <c r="Q53">
        <f t="shared" ca="1" si="13"/>
        <v>24.298400000000001</v>
      </c>
      <c r="R53">
        <f t="shared" ca="1" si="13"/>
        <v>9.7101699999999997</v>
      </c>
      <c r="S53">
        <f t="shared" ca="1" si="2"/>
        <v>51</v>
      </c>
      <c r="T53">
        <f t="shared" ca="1" si="3"/>
        <v>24.298400000000001</v>
      </c>
      <c r="U53" t="e">
        <f ca="1">IF(AND($C53='Funnel setup'!$K$3&amp;'Funnel setup'!$K$6&amp;'Funnel setup'!$K$7&amp;'Funnel setup'!$K$4,'Funnel Lookup'!I53="*",'Funnel Lookup'!I53="*"),#N/A,IF(AND($C53='Funnel setup'!$K$3&amp;'Funnel setup'!$K$6&amp;'Funnel setup'!$K$7&amp;'Funnel setup'!$K$4,'Funnel Lookup'!I53&gt;29,'Funnel Lookup'!I53&lt;&gt;"-"),'Funnel Lookup'!I53,#N/A))</f>
        <v>#N/A</v>
      </c>
      <c r="V53" t="e">
        <f ca="1">IF(AND($C53='Funnel setup'!$K$3&amp;'Funnel setup'!$K$6&amp;'Funnel setup'!$K$7&amp;'Funnel setup'!$K$4,'Funnel Lookup'!I53="*",'Funnel Lookup'!I53="*"),#N/A,IF(AND($C53='Funnel setup'!$K$3&amp;'Funnel setup'!$K$6&amp;'Funnel setup'!$K$7&amp;'Funnel setup'!$K$4,'Funnel Lookup'!I53&gt;29,'Funnel Lookup'!I53&lt;&gt;"-"),'Funnel Lookup'!Q53,#N/A))</f>
        <v>#N/A</v>
      </c>
    </row>
    <row r="54" spans="1:22" x14ac:dyDescent="0.25">
      <c r="A54">
        <v>52</v>
      </c>
      <c r="B54">
        <f t="shared" ca="1" si="12"/>
        <v>52</v>
      </c>
      <c r="C54" t="str">
        <f t="shared" ca="1" si="12"/>
        <v>Total Hip ReplacementProviderGLOUCESTERSHIRE HOSPITALS NHS FOUNDATION TRUST (RTE)Oxford Hip Score</v>
      </c>
      <c r="D54" t="str">
        <f t="shared" ca="1" si="12"/>
        <v>Total Hip Replacement</v>
      </c>
      <c r="E54" t="str">
        <f t="shared" ca="1" si="12"/>
        <v>Provider</v>
      </c>
      <c r="F54" t="str">
        <f t="shared" ca="1" si="12"/>
        <v>RTE</v>
      </c>
      <c r="G54" t="str">
        <f t="shared" ca="1" si="12"/>
        <v>GLOUCESTERSHIRE HOSPITALS NHS FOUNDATION TRUST (RTE)</v>
      </c>
      <c r="H54" t="str">
        <f t="shared" ca="1" si="12"/>
        <v>Oxford Hip Score</v>
      </c>
      <c r="I54">
        <f t="shared" ca="1" si="12"/>
        <v>79</v>
      </c>
      <c r="J54">
        <f t="shared" ca="1" si="12"/>
        <v>15.0886</v>
      </c>
      <c r="K54">
        <f t="shared" ca="1" si="12"/>
        <v>38.329099999999997</v>
      </c>
      <c r="L54">
        <f t="shared" ca="1" si="13"/>
        <v>23.240500000000001</v>
      </c>
      <c r="M54">
        <f t="shared" ca="1" si="13"/>
        <v>79</v>
      </c>
      <c r="N54">
        <f t="shared" ca="1" si="13"/>
        <v>0</v>
      </c>
      <c r="O54">
        <f t="shared" ca="1" si="13"/>
        <v>0</v>
      </c>
      <c r="P54">
        <f t="shared" ca="1" si="13"/>
        <v>39.616300000000003</v>
      </c>
      <c r="Q54">
        <f t="shared" ca="1" si="13"/>
        <v>22.404800000000002</v>
      </c>
      <c r="R54">
        <f t="shared" ca="1" si="13"/>
        <v>8.37974</v>
      </c>
      <c r="S54">
        <f t="shared" ca="1" si="2"/>
        <v>79</v>
      </c>
      <c r="T54">
        <f t="shared" ca="1" si="3"/>
        <v>22.404800000000002</v>
      </c>
      <c r="U54" t="e">
        <f ca="1">IF(AND($C54='Funnel setup'!$K$3&amp;'Funnel setup'!$K$6&amp;'Funnel setup'!$K$7&amp;'Funnel setup'!$K$4,'Funnel Lookup'!I54="*",'Funnel Lookup'!I54="*"),#N/A,IF(AND($C54='Funnel setup'!$K$3&amp;'Funnel setup'!$K$6&amp;'Funnel setup'!$K$7&amp;'Funnel setup'!$K$4,'Funnel Lookup'!I54&gt;29,'Funnel Lookup'!I54&lt;&gt;"-"),'Funnel Lookup'!I54,#N/A))</f>
        <v>#N/A</v>
      </c>
      <c r="V54" t="e">
        <f ca="1">IF(AND($C54='Funnel setup'!$K$3&amp;'Funnel setup'!$K$6&amp;'Funnel setup'!$K$7&amp;'Funnel setup'!$K$4,'Funnel Lookup'!I54="*",'Funnel Lookup'!I54="*"),#N/A,IF(AND($C54='Funnel setup'!$K$3&amp;'Funnel setup'!$K$6&amp;'Funnel setup'!$K$7&amp;'Funnel setup'!$K$4,'Funnel Lookup'!I54&gt;29,'Funnel Lookup'!I54&lt;&gt;"-"),'Funnel Lookup'!Q54,#N/A))</f>
        <v>#N/A</v>
      </c>
    </row>
    <row r="55" spans="1:22" x14ac:dyDescent="0.25">
      <c r="A55">
        <v>53</v>
      </c>
      <c r="B55">
        <f t="shared" ca="1" si="12"/>
        <v>53</v>
      </c>
      <c r="C55" t="str">
        <f t="shared" ca="1" si="12"/>
        <v>Total Hip ReplacementProviderGORING HALL HOSPITAL (NT417)Oxford Hip Score</v>
      </c>
      <c r="D55" t="str">
        <f t="shared" ca="1" si="12"/>
        <v>Total Hip Replacement</v>
      </c>
      <c r="E55" t="str">
        <f t="shared" ca="1" si="12"/>
        <v>Provider</v>
      </c>
      <c r="F55" t="str">
        <f t="shared" ca="1" si="12"/>
        <v>NT417</v>
      </c>
      <c r="G55" t="str">
        <f t="shared" ca="1" si="12"/>
        <v>GORING HALL HOSPITAL (NT417)</v>
      </c>
      <c r="H55" t="str">
        <f t="shared" ca="1" si="12"/>
        <v>Oxford Hip Score</v>
      </c>
      <c r="I55">
        <f t="shared" ca="1" si="12"/>
        <v>28</v>
      </c>
      <c r="J55">
        <f t="shared" ca="1" si="12"/>
        <v>19.642900000000001</v>
      </c>
      <c r="K55">
        <f t="shared" ca="1" si="12"/>
        <v>39.607100000000003</v>
      </c>
      <c r="L55">
        <f t="shared" ca="1" si="13"/>
        <v>19.964300000000001</v>
      </c>
      <c r="M55">
        <f t="shared" ca="1" si="13"/>
        <v>25</v>
      </c>
      <c r="N55">
        <f t="shared" ca="1" si="13"/>
        <v>0</v>
      </c>
      <c r="O55">
        <f t="shared" ca="1" si="13"/>
        <v>3</v>
      </c>
      <c r="P55" t="str">
        <f t="shared" ca="1" si="13"/>
        <v>*</v>
      </c>
      <c r="Q55" t="str">
        <f t="shared" ca="1" si="13"/>
        <v>*</v>
      </c>
      <c r="R55" t="str">
        <f t="shared" ca="1" si="13"/>
        <v>*</v>
      </c>
      <c r="S55" t="e">
        <f t="shared" ca="1" si="2"/>
        <v>#N/A</v>
      </c>
      <c r="T55" t="e">
        <f t="shared" ca="1" si="3"/>
        <v>#N/A</v>
      </c>
      <c r="U55" t="e">
        <f ca="1">IF(AND($C55='Funnel setup'!$K$3&amp;'Funnel setup'!$K$6&amp;'Funnel setup'!$K$7&amp;'Funnel setup'!$K$4,'Funnel Lookup'!I55="*",'Funnel Lookup'!I55="*"),#N/A,IF(AND($C55='Funnel setup'!$K$3&amp;'Funnel setup'!$K$6&amp;'Funnel setup'!$K$7&amp;'Funnel setup'!$K$4,'Funnel Lookup'!I55&gt;29,'Funnel Lookup'!I55&lt;&gt;"-"),'Funnel Lookup'!I55,#N/A))</f>
        <v>#N/A</v>
      </c>
      <c r="V55" t="e">
        <f ca="1">IF(AND($C55='Funnel setup'!$K$3&amp;'Funnel setup'!$K$6&amp;'Funnel setup'!$K$7&amp;'Funnel setup'!$K$4,'Funnel Lookup'!I55="*",'Funnel Lookup'!I55="*"),#N/A,IF(AND($C55='Funnel setup'!$K$3&amp;'Funnel setup'!$K$6&amp;'Funnel setup'!$K$7&amp;'Funnel setup'!$K$4,'Funnel Lookup'!I55&gt;29,'Funnel Lookup'!I55&lt;&gt;"-"),'Funnel Lookup'!Q55,#N/A))</f>
        <v>#N/A</v>
      </c>
    </row>
    <row r="56" spans="1:22" x14ac:dyDescent="0.25">
      <c r="A56">
        <v>54</v>
      </c>
      <c r="B56">
        <f t="shared" ca="1" si="12"/>
        <v>54</v>
      </c>
      <c r="C56" t="str">
        <f t="shared" ca="1" si="12"/>
        <v>Total Hip ReplacementProviderGUY'S AND ST THOMAS' NHS FOUNDATION TRUST (RJ1)Oxford Hip Score</v>
      </c>
      <c r="D56" t="str">
        <f t="shared" ca="1" si="12"/>
        <v>Total Hip Replacement</v>
      </c>
      <c r="E56" t="str">
        <f t="shared" ca="1" si="12"/>
        <v>Provider</v>
      </c>
      <c r="F56" t="str">
        <f t="shared" ca="1" si="12"/>
        <v>RJ1</v>
      </c>
      <c r="G56" t="str">
        <f t="shared" ca="1" si="12"/>
        <v>GUY'S AND ST THOMAS' NHS FOUNDATION TRUST (RJ1)</v>
      </c>
      <c r="H56" t="str">
        <f t="shared" ca="1" si="12"/>
        <v>Oxford Hip Score</v>
      </c>
      <c r="I56">
        <f t="shared" ca="1" si="12"/>
        <v>81</v>
      </c>
      <c r="J56">
        <f t="shared" ca="1" si="12"/>
        <v>17.6296</v>
      </c>
      <c r="K56">
        <f t="shared" ca="1" si="12"/>
        <v>37.296300000000002</v>
      </c>
      <c r="L56">
        <f t="shared" ca="1" si="13"/>
        <v>19.666699999999999</v>
      </c>
      <c r="M56">
        <f t="shared" ca="1" si="13"/>
        <v>78</v>
      </c>
      <c r="N56">
        <f t="shared" ca="1" si="13"/>
        <v>0</v>
      </c>
      <c r="O56">
        <f t="shared" ca="1" si="13"/>
        <v>3</v>
      </c>
      <c r="P56">
        <f t="shared" ca="1" si="13"/>
        <v>37.011499999999998</v>
      </c>
      <c r="Q56">
        <f t="shared" ca="1" si="13"/>
        <v>19.8</v>
      </c>
      <c r="R56">
        <f t="shared" ca="1" si="13"/>
        <v>9.8006600000000006</v>
      </c>
      <c r="S56">
        <f t="shared" ca="1" si="2"/>
        <v>81</v>
      </c>
      <c r="T56">
        <f t="shared" ca="1" si="3"/>
        <v>19.8</v>
      </c>
      <c r="U56" t="e">
        <f ca="1">IF(AND($C56='Funnel setup'!$K$3&amp;'Funnel setup'!$K$6&amp;'Funnel setup'!$K$7&amp;'Funnel setup'!$K$4,'Funnel Lookup'!I56="*",'Funnel Lookup'!I56="*"),#N/A,IF(AND($C56='Funnel setup'!$K$3&amp;'Funnel setup'!$K$6&amp;'Funnel setup'!$K$7&amp;'Funnel setup'!$K$4,'Funnel Lookup'!I56&gt;29,'Funnel Lookup'!I56&lt;&gt;"-"),'Funnel Lookup'!I56,#N/A))</f>
        <v>#N/A</v>
      </c>
      <c r="V56" t="e">
        <f ca="1">IF(AND($C56='Funnel setup'!$K$3&amp;'Funnel setup'!$K$6&amp;'Funnel setup'!$K$7&amp;'Funnel setup'!$K$4,'Funnel Lookup'!I56="*",'Funnel Lookup'!I56="*"),#N/A,IF(AND($C56='Funnel setup'!$K$3&amp;'Funnel setup'!$K$6&amp;'Funnel setup'!$K$7&amp;'Funnel setup'!$K$4,'Funnel Lookup'!I56&gt;29,'Funnel Lookup'!I56&lt;&gt;"-"),'Funnel Lookup'!Q56,#N/A))</f>
        <v>#N/A</v>
      </c>
    </row>
    <row r="57" spans="1:22" x14ac:dyDescent="0.25">
      <c r="A57">
        <v>55</v>
      </c>
      <c r="B57">
        <f t="shared" ca="1" si="12"/>
        <v>55</v>
      </c>
      <c r="C57" t="str">
        <f t="shared" ca="1" si="12"/>
        <v>Total Hip ReplacementProviderHAMPSHIRE CLINIC (NT418)Oxford Hip Score</v>
      </c>
      <c r="D57" t="str">
        <f t="shared" ca="1" si="12"/>
        <v>Total Hip Replacement</v>
      </c>
      <c r="E57" t="str">
        <f t="shared" ca="1" si="12"/>
        <v>Provider</v>
      </c>
      <c r="F57" t="str">
        <f t="shared" ca="1" si="12"/>
        <v>NT418</v>
      </c>
      <c r="G57" t="str">
        <f t="shared" ca="1" si="12"/>
        <v>HAMPSHIRE CLINIC (NT418)</v>
      </c>
      <c r="H57" t="str">
        <f t="shared" ca="1" si="12"/>
        <v>Oxford Hip Score</v>
      </c>
      <c r="I57">
        <f t="shared" ca="1" si="12"/>
        <v>28</v>
      </c>
      <c r="J57">
        <f t="shared" ca="1" si="12"/>
        <v>21.607099999999999</v>
      </c>
      <c r="K57">
        <f t="shared" ca="1" si="12"/>
        <v>41.892899999999997</v>
      </c>
      <c r="L57">
        <f t="shared" ca="1" si="13"/>
        <v>20.285699999999999</v>
      </c>
      <c r="M57">
        <f t="shared" ca="1" si="13"/>
        <v>28</v>
      </c>
      <c r="N57">
        <f t="shared" ca="1" si="13"/>
        <v>0</v>
      </c>
      <c r="O57">
        <f t="shared" ca="1" si="13"/>
        <v>0</v>
      </c>
      <c r="P57" t="str">
        <f t="shared" ca="1" si="13"/>
        <v>*</v>
      </c>
      <c r="Q57" t="str">
        <f t="shared" ca="1" si="13"/>
        <v>*</v>
      </c>
      <c r="R57" t="str">
        <f t="shared" ca="1" si="13"/>
        <v>*</v>
      </c>
      <c r="S57" t="e">
        <f t="shared" ca="1" si="2"/>
        <v>#N/A</v>
      </c>
      <c r="T57" t="e">
        <f t="shared" ca="1" si="3"/>
        <v>#N/A</v>
      </c>
      <c r="U57" t="e">
        <f ca="1">IF(AND($C57='Funnel setup'!$K$3&amp;'Funnel setup'!$K$6&amp;'Funnel setup'!$K$7&amp;'Funnel setup'!$K$4,'Funnel Lookup'!I57="*",'Funnel Lookup'!I57="*"),#N/A,IF(AND($C57='Funnel setup'!$K$3&amp;'Funnel setup'!$K$6&amp;'Funnel setup'!$K$7&amp;'Funnel setup'!$K$4,'Funnel Lookup'!I57&gt;29,'Funnel Lookup'!I57&lt;&gt;"-"),'Funnel Lookup'!I57,#N/A))</f>
        <v>#N/A</v>
      </c>
      <c r="V57" t="e">
        <f ca="1">IF(AND($C57='Funnel setup'!$K$3&amp;'Funnel setup'!$K$6&amp;'Funnel setup'!$K$7&amp;'Funnel setup'!$K$4,'Funnel Lookup'!I57="*",'Funnel Lookup'!I57="*"),#N/A,IF(AND($C57='Funnel setup'!$K$3&amp;'Funnel setup'!$K$6&amp;'Funnel setup'!$K$7&amp;'Funnel setup'!$K$4,'Funnel Lookup'!I57&gt;29,'Funnel Lookup'!I57&lt;&gt;"-"),'Funnel Lookup'!Q57,#N/A))</f>
        <v>#N/A</v>
      </c>
    </row>
    <row r="58" spans="1:22" x14ac:dyDescent="0.25">
      <c r="A58">
        <v>56</v>
      </c>
      <c r="B58">
        <f t="shared" ca="1" si="12"/>
        <v>56</v>
      </c>
      <c r="C58" t="str">
        <f t="shared" ca="1" si="12"/>
        <v>Total Hip ReplacementProviderHAMPSHIRE HOSPITALS NHS FOUNDATION TRUST (RN5)Oxford Hip Score</v>
      </c>
      <c r="D58" t="str">
        <f t="shared" ca="1" si="12"/>
        <v>Total Hip Replacement</v>
      </c>
      <c r="E58" t="str">
        <f t="shared" ca="1" si="12"/>
        <v>Provider</v>
      </c>
      <c r="F58" t="str">
        <f t="shared" ca="1" si="12"/>
        <v>RN5</v>
      </c>
      <c r="G58" t="str">
        <f t="shared" ca="1" si="12"/>
        <v>HAMPSHIRE HOSPITALS NHS FOUNDATION TRUST (RN5)</v>
      </c>
      <c r="H58" t="str">
        <f t="shared" ca="1" si="12"/>
        <v>Oxford Hip Score</v>
      </c>
      <c r="I58">
        <f t="shared" ca="1" si="12"/>
        <v>38</v>
      </c>
      <c r="J58">
        <f t="shared" ca="1" si="12"/>
        <v>16.184200000000001</v>
      </c>
      <c r="K58">
        <f t="shared" ca="1" si="12"/>
        <v>39.736800000000002</v>
      </c>
      <c r="L58">
        <f t="shared" ca="1" si="13"/>
        <v>23.552600000000002</v>
      </c>
      <c r="M58">
        <f t="shared" ca="1" si="13"/>
        <v>37</v>
      </c>
      <c r="N58">
        <f t="shared" ca="1" si="13"/>
        <v>0</v>
      </c>
      <c r="O58">
        <f t="shared" ca="1" si="13"/>
        <v>1</v>
      </c>
      <c r="P58">
        <f t="shared" ca="1" si="13"/>
        <v>40.000999999999998</v>
      </c>
      <c r="Q58">
        <f t="shared" ca="1" si="13"/>
        <v>22.7896</v>
      </c>
      <c r="R58">
        <f t="shared" ca="1" si="13"/>
        <v>7.7477799999999997</v>
      </c>
      <c r="S58">
        <f t="shared" ca="1" si="2"/>
        <v>38</v>
      </c>
      <c r="T58">
        <f t="shared" ca="1" si="3"/>
        <v>22.7896</v>
      </c>
      <c r="U58" t="e">
        <f ca="1">IF(AND($C58='Funnel setup'!$K$3&amp;'Funnel setup'!$K$6&amp;'Funnel setup'!$K$7&amp;'Funnel setup'!$K$4,'Funnel Lookup'!I58="*",'Funnel Lookup'!I58="*"),#N/A,IF(AND($C58='Funnel setup'!$K$3&amp;'Funnel setup'!$K$6&amp;'Funnel setup'!$K$7&amp;'Funnel setup'!$K$4,'Funnel Lookup'!I58&gt;29,'Funnel Lookup'!I58&lt;&gt;"-"),'Funnel Lookup'!I58,#N/A))</f>
        <v>#N/A</v>
      </c>
      <c r="V58" t="e">
        <f ca="1">IF(AND($C58='Funnel setup'!$K$3&amp;'Funnel setup'!$K$6&amp;'Funnel setup'!$K$7&amp;'Funnel setup'!$K$4,'Funnel Lookup'!I58="*",'Funnel Lookup'!I58="*"),#N/A,IF(AND($C58='Funnel setup'!$K$3&amp;'Funnel setup'!$K$6&amp;'Funnel setup'!$K$7&amp;'Funnel setup'!$K$4,'Funnel Lookup'!I58&gt;29,'Funnel Lookup'!I58&lt;&gt;"-"),'Funnel Lookup'!Q58,#N/A))</f>
        <v>#N/A</v>
      </c>
    </row>
    <row r="59" spans="1:22" x14ac:dyDescent="0.25">
      <c r="A59">
        <v>57</v>
      </c>
      <c r="B59">
        <f t="shared" ca="1" si="12"/>
        <v>57</v>
      </c>
      <c r="C59" t="str">
        <f t="shared" ca="1" si="12"/>
        <v>Total Hip ReplacementProviderHARBOUR HOSPITAL (NT419)Oxford Hip Score</v>
      </c>
      <c r="D59" t="str">
        <f t="shared" ca="1" si="12"/>
        <v>Total Hip Replacement</v>
      </c>
      <c r="E59" t="str">
        <f t="shared" ca="1" si="12"/>
        <v>Provider</v>
      </c>
      <c r="F59" t="str">
        <f t="shared" ca="1" si="12"/>
        <v>NT419</v>
      </c>
      <c r="G59" t="str">
        <f t="shared" ca="1" si="12"/>
        <v>HARBOUR HOSPITAL (NT419)</v>
      </c>
      <c r="H59" t="str">
        <f t="shared" ca="1" si="12"/>
        <v>Oxford Hip Score</v>
      </c>
      <c r="I59">
        <f t="shared" ca="1" si="12"/>
        <v>10</v>
      </c>
      <c r="J59">
        <f t="shared" ca="1" si="12"/>
        <v>19</v>
      </c>
      <c r="K59">
        <f t="shared" ca="1" si="12"/>
        <v>42.8</v>
      </c>
      <c r="L59">
        <f t="shared" ca="1" si="13"/>
        <v>23.8</v>
      </c>
      <c r="M59">
        <f t="shared" ca="1" si="13"/>
        <v>10</v>
      </c>
      <c r="N59">
        <f t="shared" ca="1" si="13"/>
        <v>0</v>
      </c>
      <c r="O59">
        <f t="shared" ca="1" si="13"/>
        <v>0</v>
      </c>
      <c r="P59" t="str">
        <f t="shared" ca="1" si="13"/>
        <v>*</v>
      </c>
      <c r="Q59" t="str">
        <f t="shared" ca="1" si="13"/>
        <v>*</v>
      </c>
      <c r="R59" t="str">
        <f t="shared" ca="1" si="13"/>
        <v>*</v>
      </c>
      <c r="S59" t="e">
        <f t="shared" ca="1" si="2"/>
        <v>#N/A</v>
      </c>
      <c r="T59" t="e">
        <f t="shared" ca="1" si="3"/>
        <v>#N/A</v>
      </c>
      <c r="U59" t="e">
        <f ca="1">IF(AND($C59='Funnel setup'!$K$3&amp;'Funnel setup'!$K$6&amp;'Funnel setup'!$K$7&amp;'Funnel setup'!$K$4,'Funnel Lookup'!I59="*",'Funnel Lookup'!I59="*"),#N/A,IF(AND($C59='Funnel setup'!$K$3&amp;'Funnel setup'!$K$6&amp;'Funnel setup'!$K$7&amp;'Funnel setup'!$K$4,'Funnel Lookup'!I59&gt;29,'Funnel Lookup'!I59&lt;&gt;"-"),'Funnel Lookup'!I59,#N/A))</f>
        <v>#N/A</v>
      </c>
      <c r="V59" t="e">
        <f ca="1">IF(AND($C59='Funnel setup'!$K$3&amp;'Funnel setup'!$K$6&amp;'Funnel setup'!$K$7&amp;'Funnel setup'!$K$4,'Funnel Lookup'!I59="*",'Funnel Lookup'!I59="*"),#N/A,IF(AND($C59='Funnel setup'!$K$3&amp;'Funnel setup'!$K$6&amp;'Funnel setup'!$K$7&amp;'Funnel setup'!$K$4,'Funnel Lookup'!I59&gt;29,'Funnel Lookup'!I59&lt;&gt;"-"),'Funnel Lookup'!Q59,#N/A))</f>
        <v>#N/A</v>
      </c>
    </row>
    <row r="60" spans="1:22" x14ac:dyDescent="0.25">
      <c r="A60">
        <v>58</v>
      </c>
      <c r="B60">
        <f t="shared" ca="1" si="12"/>
        <v>58</v>
      </c>
      <c r="C60" t="str">
        <f t="shared" ca="1" si="12"/>
        <v>Total Hip ReplacementProviderHARROGATE AND DISTRICT NHS FOUNDATION TRUST (RCD)Oxford Hip Score</v>
      </c>
      <c r="D60" t="str">
        <f t="shared" ca="1" si="12"/>
        <v>Total Hip Replacement</v>
      </c>
      <c r="E60" t="str">
        <f t="shared" ca="1" si="12"/>
        <v>Provider</v>
      </c>
      <c r="F60" t="str">
        <f t="shared" ca="1" si="12"/>
        <v>RCD</v>
      </c>
      <c r="G60" t="str">
        <f t="shared" ca="1" si="12"/>
        <v>HARROGATE AND DISTRICT NHS FOUNDATION TRUST (RCD)</v>
      </c>
      <c r="H60" t="str">
        <f t="shared" ca="1" si="12"/>
        <v>Oxford Hip Score</v>
      </c>
      <c r="I60">
        <f t="shared" ca="1" si="12"/>
        <v>90</v>
      </c>
      <c r="J60">
        <f t="shared" ca="1" si="12"/>
        <v>17.622199999999999</v>
      </c>
      <c r="K60">
        <f t="shared" ca="1" si="12"/>
        <v>39.700000000000003</v>
      </c>
      <c r="L60">
        <f t="shared" ca="1" si="13"/>
        <v>22.0778</v>
      </c>
      <c r="M60">
        <f t="shared" ca="1" si="13"/>
        <v>87</v>
      </c>
      <c r="N60">
        <f t="shared" ca="1" si="13"/>
        <v>0</v>
      </c>
      <c r="O60">
        <f t="shared" ca="1" si="13"/>
        <v>3</v>
      </c>
      <c r="P60">
        <f t="shared" ca="1" si="13"/>
        <v>40.372799999999998</v>
      </c>
      <c r="Q60">
        <f t="shared" ca="1" si="13"/>
        <v>23.161300000000001</v>
      </c>
      <c r="R60">
        <f t="shared" ca="1" si="13"/>
        <v>8.1364800000000006</v>
      </c>
      <c r="S60">
        <f t="shared" ca="1" si="2"/>
        <v>90</v>
      </c>
      <c r="T60">
        <f t="shared" ca="1" si="3"/>
        <v>23.161300000000001</v>
      </c>
      <c r="U60" t="e">
        <f ca="1">IF(AND($C60='Funnel setup'!$K$3&amp;'Funnel setup'!$K$6&amp;'Funnel setup'!$K$7&amp;'Funnel setup'!$K$4,'Funnel Lookup'!I60="*",'Funnel Lookup'!I60="*"),#N/A,IF(AND($C60='Funnel setup'!$K$3&amp;'Funnel setup'!$K$6&amp;'Funnel setup'!$K$7&amp;'Funnel setup'!$K$4,'Funnel Lookup'!I60&gt;29,'Funnel Lookup'!I60&lt;&gt;"-"),'Funnel Lookup'!I60,#N/A))</f>
        <v>#N/A</v>
      </c>
      <c r="V60" t="e">
        <f ca="1">IF(AND($C60='Funnel setup'!$K$3&amp;'Funnel setup'!$K$6&amp;'Funnel setup'!$K$7&amp;'Funnel setup'!$K$4,'Funnel Lookup'!I60="*",'Funnel Lookup'!I60="*"),#N/A,IF(AND($C60='Funnel setup'!$K$3&amp;'Funnel setup'!$K$6&amp;'Funnel setup'!$K$7&amp;'Funnel setup'!$K$4,'Funnel Lookup'!I60&gt;29,'Funnel Lookup'!I60&lt;&gt;"-"),'Funnel Lookup'!Q60,#N/A))</f>
        <v>#N/A</v>
      </c>
    </row>
    <row r="61" spans="1:22" x14ac:dyDescent="0.25">
      <c r="A61">
        <v>59</v>
      </c>
      <c r="B61">
        <f t="shared" ca="1" si="12"/>
        <v>59</v>
      </c>
      <c r="C61" t="str">
        <f t="shared" ca="1" si="12"/>
        <v>Total Hip ReplacementProviderHIGHFIELD HOSPITAL (NT420)Oxford Hip Score</v>
      </c>
      <c r="D61" t="str">
        <f t="shared" ca="1" si="12"/>
        <v>Total Hip Replacement</v>
      </c>
      <c r="E61" t="str">
        <f t="shared" ca="1" si="12"/>
        <v>Provider</v>
      </c>
      <c r="F61" t="str">
        <f t="shared" ca="1" si="12"/>
        <v>NT420</v>
      </c>
      <c r="G61" t="str">
        <f t="shared" ca="1" si="12"/>
        <v>HIGHFIELD HOSPITAL (NT420)</v>
      </c>
      <c r="H61" t="str">
        <f t="shared" ca="1" si="12"/>
        <v>Oxford Hip Score</v>
      </c>
      <c r="I61">
        <f t="shared" ca="1" si="12"/>
        <v>143</v>
      </c>
      <c r="J61">
        <f t="shared" ca="1" si="12"/>
        <v>18.601400000000002</v>
      </c>
      <c r="K61">
        <f t="shared" ca="1" si="12"/>
        <v>41.349699999999999</v>
      </c>
      <c r="L61">
        <f t="shared" ca="1" si="13"/>
        <v>22.7483</v>
      </c>
      <c r="M61">
        <f t="shared" ca="1" si="13"/>
        <v>139</v>
      </c>
      <c r="N61">
        <f t="shared" ca="1" si="13"/>
        <v>3</v>
      </c>
      <c r="O61">
        <f t="shared" ca="1" si="13"/>
        <v>1</v>
      </c>
      <c r="P61">
        <f t="shared" ca="1" si="13"/>
        <v>39.617600000000003</v>
      </c>
      <c r="Q61">
        <f t="shared" ca="1" si="13"/>
        <v>22.406099999999999</v>
      </c>
      <c r="R61">
        <f t="shared" ca="1" si="13"/>
        <v>7.4760900000000001</v>
      </c>
      <c r="S61">
        <f t="shared" ca="1" si="2"/>
        <v>143</v>
      </c>
      <c r="T61">
        <f t="shared" ca="1" si="3"/>
        <v>22.406099999999999</v>
      </c>
      <c r="U61" t="e">
        <f ca="1">IF(AND($C61='Funnel setup'!$K$3&amp;'Funnel setup'!$K$6&amp;'Funnel setup'!$K$7&amp;'Funnel setup'!$K$4,'Funnel Lookup'!I61="*",'Funnel Lookup'!I61="*"),#N/A,IF(AND($C61='Funnel setup'!$K$3&amp;'Funnel setup'!$K$6&amp;'Funnel setup'!$K$7&amp;'Funnel setup'!$K$4,'Funnel Lookup'!I61&gt;29,'Funnel Lookup'!I61&lt;&gt;"-"),'Funnel Lookup'!I61,#N/A))</f>
        <v>#N/A</v>
      </c>
      <c r="V61" t="e">
        <f ca="1">IF(AND($C61='Funnel setup'!$K$3&amp;'Funnel setup'!$K$6&amp;'Funnel setup'!$K$7&amp;'Funnel setup'!$K$4,'Funnel Lookup'!I61="*",'Funnel Lookup'!I61="*"),#N/A,IF(AND($C61='Funnel setup'!$K$3&amp;'Funnel setup'!$K$6&amp;'Funnel setup'!$K$7&amp;'Funnel setup'!$K$4,'Funnel Lookup'!I61&gt;29,'Funnel Lookup'!I61&lt;&gt;"-"),'Funnel Lookup'!Q61,#N/A))</f>
        <v>#N/A</v>
      </c>
    </row>
    <row r="62" spans="1:22" x14ac:dyDescent="0.25">
      <c r="A62">
        <v>60</v>
      </c>
      <c r="B62">
        <f t="shared" ca="1" si="12"/>
        <v>60</v>
      </c>
      <c r="C62" t="str">
        <f t="shared" ca="1" si="12"/>
        <v>Total Hip ReplacementProviderHOMERTON HEALTHCARE NHS FOUNDATION TRUST (RQX)Oxford Hip Score</v>
      </c>
      <c r="D62" t="str">
        <f t="shared" ca="1" si="12"/>
        <v>Total Hip Replacement</v>
      </c>
      <c r="E62" t="str">
        <f t="shared" ca="1" si="12"/>
        <v>Provider</v>
      </c>
      <c r="F62" t="str">
        <f t="shared" ca="1" si="12"/>
        <v>RQX</v>
      </c>
      <c r="G62" t="str">
        <f t="shared" ca="1" si="12"/>
        <v>HOMERTON HEALTHCARE NHS FOUNDATION TRUST (RQX)</v>
      </c>
      <c r="H62" t="str">
        <f t="shared" ca="1" si="12"/>
        <v>Oxford Hip Score</v>
      </c>
      <c r="I62">
        <f t="shared" ca="1" si="12"/>
        <v>5</v>
      </c>
      <c r="J62">
        <f t="shared" ca="1" si="12"/>
        <v>15.2</v>
      </c>
      <c r="K62">
        <f t="shared" ca="1" si="12"/>
        <v>34.4</v>
      </c>
      <c r="L62">
        <f t="shared" ca="1" si="13"/>
        <v>19.2</v>
      </c>
      <c r="M62">
        <f t="shared" ca="1" si="13"/>
        <v>5</v>
      </c>
      <c r="N62">
        <f t="shared" ca="1" si="13"/>
        <v>0</v>
      </c>
      <c r="O62">
        <f t="shared" ca="1" si="13"/>
        <v>0</v>
      </c>
      <c r="P62" t="str">
        <f t="shared" ca="1" si="13"/>
        <v>*</v>
      </c>
      <c r="Q62" t="str">
        <f t="shared" ca="1" si="13"/>
        <v>*</v>
      </c>
      <c r="R62" t="str">
        <f t="shared" ca="1" si="13"/>
        <v>*</v>
      </c>
      <c r="S62" t="e">
        <f t="shared" ca="1" si="2"/>
        <v>#N/A</v>
      </c>
      <c r="T62" t="e">
        <f t="shared" ca="1" si="3"/>
        <v>#N/A</v>
      </c>
      <c r="U62" t="e">
        <f ca="1">IF(AND($C62='Funnel setup'!$K$3&amp;'Funnel setup'!$K$6&amp;'Funnel setup'!$K$7&amp;'Funnel setup'!$K$4,'Funnel Lookup'!I62="*",'Funnel Lookup'!I62="*"),#N/A,IF(AND($C62='Funnel setup'!$K$3&amp;'Funnel setup'!$K$6&amp;'Funnel setup'!$K$7&amp;'Funnel setup'!$K$4,'Funnel Lookup'!I62&gt;29,'Funnel Lookup'!I62&lt;&gt;"-"),'Funnel Lookup'!I62,#N/A))</f>
        <v>#N/A</v>
      </c>
      <c r="V62" t="e">
        <f ca="1">IF(AND($C62='Funnel setup'!$K$3&amp;'Funnel setup'!$K$6&amp;'Funnel setup'!$K$7&amp;'Funnel setup'!$K$4,'Funnel Lookup'!I62="*",'Funnel Lookup'!I62="*"),#N/A,IF(AND($C62='Funnel setup'!$K$3&amp;'Funnel setup'!$K$6&amp;'Funnel setup'!$K$7&amp;'Funnel setup'!$K$4,'Funnel Lookup'!I62&gt;29,'Funnel Lookup'!I62&lt;&gt;"-"),'Funnel Lookup'!Q62,#N/A))</f>
        <v>#N/A</v>
      </c>
    </row>
    <row r="63" spans="1:22" x14ac:dyDescent="0.25">
      <c r="A63">
        <v>61</v>
      </c>
      <c r="B63">
        <f t="shared" ref="B63:K72" ca="1" si="14">VLOOKUP($A63,Funnel_Data,B$1,FALSE)</f>
        <v>61</v>
      </c>
      <c r="C63" t="str">
        <f t="shared" ca="1" si="14"/>
        <v>Total Hip ReplacementProviderHUDDERSFIELD HOSPITAL (NT448)Oxford Hip Score</v>
      </c>
      <c r="D63" t="str">
        <f t="shared" ca="1" si="14"/>
        <v>Total Hip Replacement</v>
      </c>
      <c r="E63" t="str">
        <f t="shared" ca="1" si="14"/>
        <v>Provider</v>
      </c>
      <c r="F63" t="str">
        <f t="shared" ca="1" si="14"/>
        <v>NT448</v>
      </c>
      <c r="G63" t="str">
        <f t="shared" ca="1" si="14"/>
        <v>HUDDERSFIELD HOSPITAL (NT448)</v>
      </c>
      <c r="H63" t="str">
        <f t="shared" ca="1" si="14"/>
        <v>Oxford Hip Score</v>
      </c>
      <c r="I63">
        <f t="shared" ca="1" si="14"/>
        <v>8</v>
      </c>
      <c r="J63">
        <f t="shared" ca="1" si="14"/>
        <v>20.375</v>
      </c>
      <c r="K63">
        <f t="shared" ca="1" si="14"/>
        <v>42</v>
      </c>
      <c r="L63">
        <f t="shared" ref="L63:R72" ca="1" si="15">VLOOKUP($A63,Funnel_Data,L$1,FALSE)</f>
        <v>21.625</v>
      </c>
      <c r="M63">
        <f t="shared" ca="1" si="15"/>
        <v>8</v>
      </c>
      <c r="N63">
        <f t="shared" ca="1" si="15"/>
        <v>0</v>
      </c>
      <c r="O63">
        <f t="shared" ca="1" si="15"/>
        <v>0</v>
      </c>
      <c r="P63" t="str">
        <f t="shared" ca="1" si="15"/>
        <v>*</v>
      </c>
      <c r="Q63" t="str">
        <f t="shared" ca="1" si="15"/>
        <v>*</v>
      </c>
      <c r="R63" t="str">
        <f t="shared" ca="1" si="15"/>
        <v>*</v>
      </c>
      <c r="S63" t="e">
        <f t="shared" ca="1" si="2"/>
        <v>#N/A</v>
      </c>
      <c r="T63" t="e">
        <f t="shared" ca="1" si="3"/>
        <v>#N/A</v>
      </c>
      <c r="U63" t="e">
        <f ca="1">IF(AND($C63='Funnel setup'!$K$3&amp;'Funnel setup'!$K$6&amp;'Funnel setup'!$K$7&amp;'Funnel setup'!$K$4,'Funnel Lookup'!I63="*",'Funnel Lookup'!I63="*"),#N/A,IF(AND($C63='Funnel setup'!$K$3&amp;'Funnel setup'!$K$6&amp;'Funnel setup'!$K$7&amp;'Funnel setup'!$K$4,'Funnel Lookup'!I63&gt;29,'Funnel Lookup'!I63&lt;&gt;"-"),'Funnel Lookup'!I63,#N/A))</f>
        <v>#N/A</v>
      </c>
      <c r="V63" t="e">
        <f ca="1">IF(AND($C63='Funnel setup'!$K$3&amp;'Funnel setup'!$K$6&amp;'Funnel setup'!$K$7&amp;'Funnel setup'!$K$4,'Funnel Lookup'!I63="*",'Funnel Lookup'!I63="*"),#N/A,IF(AND($C63='Funnel setup'!$K$3&amp;'Funnel setup'!$K$6&amp;'Funnel setup'!$K$7&amp;'Funnel setup'!$K$4,'Funnel Lookup'!I63&gt;29,'Funnel Lookup'!I63&lt;&gt;"-"),'Funnel Lookup'!Q63,#N/A))</f>
        <v>#N/A</v>
      </c>
    </row>
    <row r="64" spans="1:22" x14ac:dyDescent="0.25">
      <c r="A64">
        <v>62</v>
      </c>
      <c r="B64">
        <f t="shared" ca="1" si="14"/>
        <v>62</v>
      </c>
      <c r="C64" t="str">
        <f t="shared" ca="1" si="14"/>
        <v>Total Hip ReplacementProviderHULL UNIVERSITY TEACHING HOSPITALS NHS TRUST (RWA)Oxford Hip Score</v>
      </c>
      <c r="D64" t="str">
        <f t="shared" ca="1" si="14"/>
        <v>Total Hip Replacement</v>
      </c>
      <c r="E64" t="str">
        <f t="shared" ca="1" si="14"/>
        <v>Provider</v>
      </c>
      <c r="F64" t="str">
        <f t="shared" ca="1" si="14"/>
        <v>RWA</v>
      </c>
      <c r="G64" t="str">
        <f t="shared" ca="1" si="14"/>
        <v>HULL UNIVERSITY TEACHING HOSPITALS NHS TRUST (RWA)</v>
      </c>
      <c r="H64" t="str">
        <f t="shared" ca="1" si="14"/>
        <v>Oxford Hip Score</v>
      </c>
      <c r="I64">
        <f t="shared" ca="1" si="14"/>
        <v>40</v>
      </c>
      <c r="J64">
        <f t="shared" ca="1" si="14"/>
        <v>14.1</v>
      </c>
      <c r="K64">
        <f t="shared" ca="1" si="14"/>
        <v>35.375</v>
      </c>
      <c r="L64">
        <f t="shared" ca="1" si="15"/>
        <v>21.274999999999999</v>
      </c>
      <c r="M64">
        <f t="shared" ca="1" si="15"/>
        <v>40</v>
      </c>
      <c r="N64">
        <f t="shared" ca="1" si="15"/>
        <v>0</v>
      </c>
      <c r="O64">
        <f t="shared" ca="1" si="15"/>
        <v>0</v>
      </c>
      <c r="P64">
        <f t="shared" ca="1" si="15"/>
        <v>38.1113</v>
      </c>
      <c r="Q64">
        <f t="shared" ca="1" si="15"/>
        <v>20.899899999999999</v>
      </c>
      <c r="R64">
        <f t="shared" ca="1" si="15"/>
        <v>9.2251100000000008</v>
      </c>
      <c r="S64">
        <f t="shared" ca="1" si="2"/>
        <v>40</v>
      </c>
      <c r="T64">
        <f t="shared" ca="1" si="3"/>
        <v>20.899899999999999</v>
      </c>
      <c r="U64" t="e">
        <f ca="1">IF(AND($C64='Funnel setup'!$K$3&amp;'Funnel setup'!$K$6&amp;'Funnel setup'!$K$7&amp;'Funnel setup'!$K$4,'Funnel Lookup'!I64="*",'Funnel Lookup'!I64="*"),#N/A,IF(AND($C64='Funnel setup'!$K$3&amp;'Funnel setup'!$K$6&amp;'Funnel setup'!$K$7&amp;'Funnel setup'!$K$4,'Funnel Lookup'!I64&gt;29,'Funnel Lookup'!I64&lt;&gt;"-"),'Funnel Lookup'!I64,#N/A))</f>
        <v>#N/A</v>
      </c>
      <c r="V64" t="e">
        <f ca="1">IF(AND($C64='Funnel setup'!$K$3&amp;'Funnel setup'!$K$6&amp;'Funnel setup'!$K$7&amp;'Funnel setup'!$K$4,'Funnel Lookup'!I64="*",'Funnel Lookup'!I64="*"),#N/A,IF(AND($C64='Funnel setup'!$K$3&amp;'Funnel setup'!$K$6&amp;'Funnel setup'!$K$7&amp;'Funnel setup'!$K$4,'Funnel Lookup'!I64&gt;29,'Funnel Lookup'!I64&lt;&gt;"-"),'Funnel Lookup'!Q64,#N/A))</f>
        <v>#N/A</v>
      </c>
    </row>
    <row r="65" spans="1:22" x14ac:dyDescent="0.25">
      <c r="A65">
        <v>63</v>
      </c>
      <c r="B65">
        <f t="shared" ca="1" si="14"/>
        <v>63</v>
      </c>
      <c r="C65" t="str">
        <f t="shared" ca="1" si="14"/>
        <v>Total Hip ReplacementProviderIMPERIAL COLLEGE HEALTHCARE NHS TRUST (RYJ)Oxford Hip Score</v>
      </c>
      <c r="D65" t="str">
        <f t="shared" ca="1" si="14"/>
        <v>Total Hip Replacement</v>
      </c>
      <c r="E65" t="str">
        <f t="shared" ca="1" si="14"/>
        <v>Provider</v>
      </c>
      <c r="F65" t="str">
        <f t="shared" ca="1" si="14"/>
        <v>RYJ</v>
      </c>
      <c r="G65" t="str">
        <f t="shared" ca="1" si="14"/>
        <v>IMPERIAL COLLEGE HEALTHCARE NHS TRUST (RYJ)</v>
      </c>
      <c r="H65" t="str">
        <f t="shared" ca="1" si="14"/>
        <v>Oxford Hip Score</v>
      </c>
      <c r="I65">
        <f t="shared" ca="1" si="14"/>
        <v>23</v>
      </c>
      <c r="J65">
        <f t="shared" ca="1" si="14"/>
        <v>15.521699999999999</v>
      </c>
      <c r="K65">
        <f t="shared" ca="1" si="14"/>
        <v>42.304299999999998</v>
      </c>
      <c r="L65">
        <f t="shared" ca="1" si="15"/>
        <v>26.782599999999999</v>
      </c>
      <c r="M65">
        <f t="shared" ca="1" si="15"/>
        <v>23</v>
      </c>
      <c r="N65">
        <f t="shared" ca="1" si="15"/>
        <v>0</v>
      </c>
      <c r="O65">
        <f t="shared" ca="1" si="15"/>
        <v>0</v>
      </c>
      <c r="P65" t="str">
        <f t="shared" ca="1" si="15"/>
        <v>*</v>
      </c>
      <c r="Q65" t="str">
        <f t="shared" ca="1" si="15"/>
        <v>*</v>
      </c>
      <c r="R65" t="str">
        <f t="shared" ca="1" si="15"/>
        <v>*</v>
      </c>
      <c r="S65" t="e">
        <f t="shared" ca="1" si="2"/>
        <v>#N/A</v>
      </c>
      <c r="T65" t="e">
        <f t="shared" ca="1" si="3"/>
        <v>#N/A</v>
      </c>
      <c r="U65" t="e">
        <f ca="1">IF(AND($C65='Funnel setup'!$K$3&amp;'Funnel setup'!$K$6&amp;'Funnel setup'!$K$7&amp;'Funnel setup'!$K$4,'Funnel Lookup'!I65="*",'Funnel Lookup'!I65="*"),#N/A,IF(AND($C65='Funnel setup'!$K$3&amp;'Funnel setup'!$K$6&amp;'Funnel setup'!$K$7&amp;'Funnel setup'!$K$4,'Funnel Lookup'!I65&gt;29,'Funnel Lookup'!I65&lt;&gt;"-"),'Funnel Lookup'!I65,#N/A))</f>
        <v>#N/A</v>
      </c>
      <c r="V65" t="e">
        <f ca="1">IF(AND($C65='Funnel setup'!$K$3&amp;'Funnel setup'!$K$6&amp;'Funnel setup'!$K$7&amp;'Funnel setup'!$K$4,'Funnel Lookup'!I65="*",'Funnel Lookup'!I65="*"),#N/A,IF(AND($C65='Funnel setup'!$K$3&amp;'Funnel setup'!$K$6&amp;'Funnel setup'!$K$7&amp;'Funnel setup'!$K$4,'Funnel Lookup'!I65&gt;29,'Funnel Lookup'!I65&lt;&gt;"-"),'Funnel Lookup'!Q65,#N/A))</f>
        <v>#N/A</v>
      </c>
    </row>
    <row r="66" spans="1:22" x14ac:dyDescent="0.25">
      <c r="A66">
        <v>64</v>
      </c>
      <c r="B66">
        <f t="shared" ca="1" si="14"/>
        <v>64</v>
      </c>
      <c r="C66" t="str">
        <f t="shared" ca="1" si="14"/>
        <v>Total Hip ReplacementProviderISLE OF WIGHT NHS TRUST (R1F)Oxford Hip Score</v>
      </c>
      <c r="D66" t="str">
        <f t="shared" ca="1" si="14"/>
        <v>Total Hip Replacement</v>
      </c>
      <c r="E66" t="str">
        <f t="shared" ca="1" si="14"/>
        <v>Provider</v>
      </c>
      <c r="F66" t="str">
        <f t="shared" ca="1" si="14"/>
        <v>R1F</v>
      </c>
      <c r="G66" t="str">
        <f t="shared" ca="1" si="14"/>
        <v>ISLE OF WIGHT NHS TRUST (R1F)</v>
      </c>
      <c r="H66" t="str">
        <f t="shared" ca="1" si="14"/>
        <v>Oxford Hip Score</v>
      </c>
      <c r="I66">
        <f t="shared" ca="1" si="14"/>
        <v>2</v>
      </c>
      <c r="J66">
        <f t="shared" ca="1" si="14"/>
        <v>17.5</v>
      </c>
      <c r="K66">
        <f t="shared" ca="1" si="14"/>
        <v>45</v>
      </c>
      <c r="L66">
        <f t="shared" ca="1" si="15"/>
        <v>27.5</v>
      </c>
      <c r="M66">
        <f t="shared" ca="1" si="15"/>
        <v>2</v>
      </c>
      <c r="N66">
        <f t="shared" ca="1" si="15"/>
        <v>0</v>
      </c>
      <c r="O66">
        <f t="shared" ca="1" si="15"/>
        <v>0</v>
      </c>
      <c r="P66" t="str">
        <f t="shared" ca="1" si="15"/>
        <v>*</v>
      </c>
      <c r="Q66" t="str">
        <f t="shared" ca="1" si="15"/>
        <v>*</v>
      </c>
      <c r="R66" t="str">
        <f t="shared" ca="1" si="15"/>
        <v>*</v>
      </c>
      <c r="S66" t="e">
        <f t="shared" ca="1" si="2"/>
        <v>#N/A</v>
      </c>
      <c r="T66" t="e">
        <f t="shared" ca="1" si="3"/>
        <v>#N/A</v>
      </c>
      <c r="U66" t="e">
        <f ca="1">IF(AND($C66='Funnel setup'!$K$3&amp;'Funnel setup'!$K$6&amp;'Funnel setup'!$K$7&amp;'Funnel setup'!$K$4,'Funnel Lookup'!I66="*",'Funnel Lookup'!I66="*"),#N/A,IF(AND($C66='Funnel setup'!$K$3&amp;'Funnel setup'!$K$6&amp;'Funnel setup'!$K$7&amp;'Funnel setup'!$K$4,'Funnel Lookup'!I66&gt;29,'Funnel Lookup'!I66&lt;&gt;"-"),'Funnel Lookup'!I66,#N/A))</f>
        <v>#N/A</v>
      </c>
      <c r="V66" t="e">
        <f ca="1">IF(AND($C66='Funnel setup'!$K$3&amp;'Funnel setup'!$K$6&amp;'Funnel setup'!$K$7&amp;'Funnel setup'!$K$4,'Funnel Lookup'!I66="*",'Funnel Lookup'!I66="*"),#N/A,IF(AND($C66='Funnel setup'!$K$3&amp;'Funnel setup'!$K$6&amp;'Funnel setup'!$K$7&amp;'Funnel setup'!$K$4,'Funnel Lookup'!I66&gt;29,'Funnel Lookup'!I66&lt;&gt;"-"),'Funnel Lookup'!Q66,#N/A))</f>
        <v>#N/A</v>
      </c>
    </row>
    <row r="67" spans="1:22" x14ac:dyDescent="0.25">
      <c r="A67">
        <v>65</v>
      </c>
      <c r="B67">
        <f t="shared" ca="1" si="14"/>
        <v>65</v>
      </c>
      <c r="C67" t="str">
        <f t="shared" ca="1" si="14"/>
        <v>Total Hip ReplacementProviderJAMES PAGET UNIVERSITY HOSPITALS NHS FOUNDATION TRUST (RGP)Oxford Hip Score</v>
      </c>
      <c r="D67" t="str">
        <f t="shared" ca="1" si="14"/>
        <v>Total Hip Replacement</v>
      </c>
      <c r="E67" t="str">
        <f t="shared" ca="1" si="14"/>
        <v>Provider</v>
      </c>
      <c r="F67" t="str">
        <f t="shared" ca="1" si="14"/>
        <v>RGP</v>
      </c>
      <c r="G67" t="str">
        <f t="shared" ca="1" si="14"/>
        <v>JAMES PAGET UNIVERSITY HOSPITALS NHS FOUNDATION TRUST (RGP)</v>
      </c>
      <c r="H67" t="str">
        <f t="shared" ca="1" si="14"/>
        <v>Oxford Hip Score</v>
      </c>
      <c r="I67">
        <f t="shared" ca="1" si="14"/>
        <v>69</v>
      </c>
      <c r="J67">
        <f t="shared" ca="1" si="14"/>
        <v>13.7536</v>
      </c>
      <c r="K67">
        <f t="shared" ca="1" si="14"/>
        <v>38.869599999999998</v>
      </c>
      <c r="L67">
        <f t="shared" ca="1" si="15"/>
        <v>25.1159</v>
      </c>
      <c r="M67">
        <f t="shared" ca="1" si="15"/>
        <v>68</v>
      </c>
      <c r="N67">
        <f t="shared" ca="1" si="15"/>
        <v>0</v>
      </c>
      <c r="O67">
        <f t="shared" ca="1" si="15"/>
        <v>1</v>
      </c>
      <c r="P67">
        <f t="shared" ca="1" si="15"/>
        <v>39.156199999999998</v>
      </c>
      <c r="Q67">
        <f t="shared" ca="1" si="15"/>
        <v>21.944800000000001</v>
      </c>
      <c r="R67">
        <f t="shared" ca="1" si="15"/>
        <v>9.3584200000000006</v>
      </c>
      <c r="S67">
        <f t="shared" ref="S67:S130" ca="1" si="16">IF($Q67="*",#N/A,IF($Q67="-",#N/A,I67))</f>
        <v>69</v>
      </c>
      <c r="T67">
        <f t="shared" ref="T67:T130" ca="1" si="17">IF($Q67="*",#N/A,IF($Q67="-",#N/A,Q67))</f>
        <v>21.944800000000001</v>
      </c>
      <c r="U67" t="e">
        <f ca="1">IF(AND($C67='Funnel setup'!$K$3&amp;'Funnel setup'!$K$6&amp;'Funnel setup'!$K$7&amp;'Funnel setup'!$K$4,'Funnel Lookup'!I67="*",'Funnel Lookup'!I67="*"),#N/A,IF(AND($C67='Funnel setup'!$K$3&amp;'Funnel setup'!$K$6&amp;'Funnel setup'!$K$7&amp;'Funnel setup'!$K$4,'Funnel Lookup'!I67&gt;29,'Funnel Lookup'!I67&lt;&gt;"-"),'Funnel Lookup'!I67,#N/A))</f>
        <v>#N/A</v>
      </c>
      <c r="V67" t="e">
        <f ca="1">IF(AND($C67='Funnel setup'!$K$3&amp;'Funnel setup'!$K$6&amp;'Funnel setup'!$K$7&amp;'Funnel setup'!$K$4,'Funnel Lookup'!I67="*",'Funnel Lookup'!I67="*"),#N/A,IF(AND($C67='Funnel setup'!$K$3&amp;'Funnel setup'!$K$6&amp;'Funnel setup'!$K$7&amp;'Funnel setup'!$K$4,'Funnel Lookup'!I67&gt;29,'Funnel Lookup'!I67&lt;&gt;"-"),'Funnel Lookup'!Q67,#N/A))</f>
        <v>#N/A</v>
      </c>
    </row>
    <row r="68" spans="1:22" x14ac:dyDescent="0.25">
      <c r="A68">
        <v>66</v>
      </c>
      <c r="B68">
        <f t="shared" ca="1" si="14"/>
        <v>66</v>
      </c>
      <c r="C68" t="str">
        <f t="shared" ca="1" si="14"/>
        <v>Total Hip ReplacementProviderKETTERING GENERAL HOSPITAL NHS FOUNDATION TRUST (RNQ)Oxford Hip Score</v>
      </c>
      <c r="D68" t="str">
        <f t="shared" ca="1" si="14"/>
        <v>Total Hip Replacement</v>
      </c>
      <c r="E68" t="str">
        <f t="shared" ca="1" si="14"/>
        <v>Provider</v>
      </c>
      <c r="F68" t="str">
        <f t="shared" ca="1" si="14"/>
        <v>RNQ</v>
      </c>
      <c r="G68" t="str">
        <f t="shared" ca="1" si="14"/>
        <v>KETTERING GENERAL HOSPITAL NHS FOUNDATION TRUST (RNQ)</v>
      </c>
      <c r="H68" t="str">
        <f t="shared" ca="1" si="14"/>
        <v>Oxford Hip Score</v>
      </c>
      <c r="I68">
        <f t="shared" ca="1" si="14"/>
        <v>33</v>
      </c>
      <c r="J68">
        <f t="shared" ca="1" si="14"/>
        <v>13.8788</v>
      </c>
      <c r="K68">
        <f t="shared" ca="1" si="14"/>
        <v>37.2121</v>
      </c>
      <c r="L68">
        <f t="shared" ca="1" si="15"/>
        <v>23.333300000000001</v>
      </c>
      <c r="M68">
        <f t="shared" ca="1" si="15"/>
        <v>30</v>
      </c>
      <c r="N68">
        <f t="shared" ca="1" si="15"/>
        <v>1</v>
      </c>
      <c r="O68">
        <f t="shared" ca="1" si="15"/>
        <v>2</v>
      </c>
      <c r="P68">
        <f t="shared" ca="1" si="15"/>
        <v>40.305100000000003</v>
      </c>
      <c r="Q68">
        <f t="shared" ca="1" si="15"/>
        <v>23.093699999999998</v>
      </c>
      <c r="R68">
        <f t="shared" ca="1" si="15"/>
        <v>7.9183700000000004</v>
      </c>
      <c r="S68">
        <f t="shared" ca="1" si="16"/>
        <v>33</v>
      </c>
      <c r="T68">
        <f t="shared" ca="1" si="17"/>
        <v>23.093699999999998</v>
      </c>
      <c r="U68" t="e">
        <f ca="1">IF(AND($C68='Funnel setup'!$K$3&amp;'Funnel setup'!$K$6&amp;'Funnel setup'!$K$7&amp;'Funnel setup'!$K$4,'Funnel Lookup'!I68="*",'Funnel Lookup'!I68="*"),#N/A,IF(AND($C68='Funnel setup'!$K$3&amp;'Funnel setup'!$K$6&amp;'Funnel setup'!$K$7&amp;'Funnel setup'!$K$4,'Funnel Lookup'!I68&gt;29,'Funnel Lookup'!I68&lt;&gt;"-"),'Funnel Lookup'!I68,#N/A))</f>
        <v>#N/A</v>
      </c>
      <c r="V68" t="e">
        <f ca="1">IF(AND($C68='Funnel setup'!$K$3&amp;'Funnel setup'!$K$6&amp;'Funnel setup'!$K$7&amp;'Funnel setup'!$K$4,'Funnel Lookup'!I68="*",'Funnel Lookup'!I68="*"),#N/A,IF(AND($C68='Funnel setup'!$K$3&amp;'Funnel setup'!$K$6&amp;'Funnel setup'!$K$7&amp;'Funnel setup'!$K$4,'Funnel Lookup'!I68&gt;29,'Funnel Lookup'!I68&lt;&gt;"-"),'Funnel Lookup'!Q68,#N/A))</f>
        <v>#N/A</v>
      </c>
    </row>
    <row r="69" spans="1:22" x14ac:dyDescent="0.25">
      <c r="A69">
        <v>67</v>
      </c>
      <c r="B69">
        <f t="shared" ca="1" si="14"/>
        <v>67</v>
      </c>
      <c r="C69" t="str">
        <f t="shared" ca="1" si="14"/>
        <v>Total Hip ReplacementProviderKIMS HOSPITAL (NEWNHAM COURT) (ADP02)Oxford Hip Score</v>
      </c>
      <c r="D69" t="str">
        <f t="shared" ca="1" si="14"/>
        <v>Total Hip Replacement</v>
      </c>
      <c r="E69" t="str">
        <f t="shared" ca="1" si="14"/>
        <v>Provider</v>
      </c>
      <c r="F69" t="str">
        <f t="shared" ca="1" si="14"/>
        <v>ADP02</v>
      </c>
      <c r="G69" t="str">
        <f t="shared" ca="1" si="14"/>
        <v>KIMS HOSPITAL (NEWNHAM COURT) (ADP02)</v>
      </c>
      <c r="H69" t="str">
        <f t="shared" ca="1" si="14"/>
        <v>Oxford Hip Score</v>
      </c>
      <c r="I69">
        <f t="shared" ca="1" si="14"/>
        <v>108</v>
      </c>
      <c r="J69">
        <f t="shared" ca="1" si="14"/>
        <v>18.8704</v>
      </c>
      <c r="K69">
        <f t="shared" ca="1" si="14"/>
        <v>42.351900000000001</v>
      </c>
      <c r="L69">
        <f t="shared" ca="1" si="15"/>
        <v>23.4815</v>
      </c>
      <c r="M69">
        <f t="shared" ca="1" si="15"/>
        <v>107</v>
      </c>
      <c r="N69">
        <f t="shared" ca="1" si="15"/>
        <v>1</v>
      </c>
      <c r="O69">
        <f t="shared" ca="1" si="15"/>
        <v>0</v>
      </c>
      <c r="P69">
        <f t="shared" ca="1" si="15"/>
        <v>39.725900000000003</v>
      </c>
      <c r="Q69">
        <f t="shared" ca="1" si="15"/>
        <v>22.514399999999998</v>
      </c>
      <c r="R69">
        <f t="shared" ca="1" si="15"/>
        <v>7.3276899999999996</v>
      </c>
      <c r="S69">
        <f t="shared" ca="1" si="16"/>
        <v>108</v>
      </c>
      <c r="T69">
        <f t="shared" ca="1" si="17"/>
        <v>22.514399999999998</v>
      </c>
      <c r="U69" t="e">
        <f ca="1">IF(AND($C69='Funnel setup'!$K$3&amp;'Funnel setup'!$K$6&amp;'Funnel setup'!$K$7&amp;'Funnel setup'!$K$4,'Funnel Lookup'!I69="*",'Funnel Lookup'!I69="*"),#N/A,IF(AND($C69='Funnel setup'!$K$3&amp;'Funnel setup'!$K$6&amp;'Funnel setup'!$K$7&amp;'Funnel setup'!$K$4,'Funnel Lookup'!I69&gt;29,'Funnel Lookup'!I69&lt;&gt;"-"),'Funnel Lookup'!I69,#N/A))</f>
        <v>#N/A</v>
      </c>
      <c r="V69" t="e">
        <f ca="1">IF(AND($C69='Funnel setup'!$K$3&amp;'Funnel setup'!$K$6&amp;'Funnel setup'!$K$7&amp;'Funnel setup'!$K$4,'Funnel Lookup'!I69="*",'Funnel Lookup'!I69="*"),#N/A,IF(AND($C69='Funnel setup'!$K$3&amp;'Funnel setup'!$K$6&amp;'Funnel setup'!$K$7&amp;'Funnel setup'!$K$4,'Funnel Lookup'!I69&gt;29,'Funnel Lookup'!I69&lt;&gt;"-"),'Funnel Lookup'!Q69,#N/A))</f>
        <v>#N/A</v>
      </c>
    </row>
    <row r="70" spans="1:22" x14ac:dyDescent="0.25">
      <c r="A70">
        <v>68</v>
      </c>
      <c r="B70">
        <f t="shared" ca="1" si="14"/>
        <v>68</v>
      </c>
      <c r="C70" t="str">
        <f t="shared" ca="1" si="14"/>
        <v>Total Hip ReplacementProviderKING'S COLLEGE HOSPITAL NHS FOUNDATION TRUST (RJZ)Oxford Hip Score</v>
      </c>
      <c r="D70" t="str">
        <f t="shared" ca="1" si="14"/>
        <v>Total Hip Replacement</v>
      </c>
      <c r="E70" t="str">
        <f t="shared" ca="1" si="14"/>
        <v>Provider</v>
      </c>
      <c r="F70" t="str">
        <f t="shared" ca="1" si="14"/>
        <v>RJZ</v>
      </c>
      <c r="G70" t="str">
        <f t="shared" ca="1" si="14"/>
        <v>KING'S COLLEGE HOSPITAL NHS FOUNDATION TRUST (RJZ)</v>
      </c>
      <c r="H70" t="str">
        <f t="shared" ca="1" si="14"/>
        <v>Oxford Hip Score</v>
      </c>
      <c r="I70">
        <f t="shared" ca="1" si="14"/>
        <v>15</v>
      </c>
      <c r="J70">
        <f t="shared" ca="1" si="14"/>
        <v>18.466699999999999</v>
      </c>
      <c r="K70">
        <f t="shared" ca="1" si="14"/>
        <v>38.066699999999997</v>
      </c>
      <c r="L70">
        <f t="shared" ca="1" si="15"/>
        <v>19.600000000000001</v>
      </c>
      <c r="M70">
        <f t="shared" ca="1" si="15"/>
        <v>15</v>
      </c>
      <c r="N70">
        <f t="shared" ca="1" si="15"/>
        <v>0</v>
      </c>
      <c r="O70">
        <f t="shared" ca="1" si="15"/>
        <v>0</v>
      </c>
      <c r="P70" t="str">
        <f t="shared" ca="1" si="15"/>
        <v>*</v>
      </c>
      <c r="Q70" t="str">
        <f t="shared" ca="1" si="15"/>
        <v>*</v>
      </c>
      <c r="R70" t="str">
        <f t="shared" ca="1" si="15"/>
        <v>*</v>
      </c>
      <c r="S70" t="e">
        <f t="shared" ca="1" si="16"/>
        <v>#N/A</v>
      </c>
      <c r="T70" t="e">
        <f t="shared" ca="1" si="17"/>
        <v>#N/A</v>
      </c>
      <c r="U70" t="e">
        <f ca="1">IF(AND($C70='Funnel setup'!$K$3&amp;'Funnel setup'!$K$6&amp;'Funnel setup'!$K$7&amp;'Funnel setup'!$K$4,'Funnel Lookup'!I70="*",'Funnel Lookup'!I70="*"),#N/A,IF(AND($C70='Funnel setup'!$K$3&amp;'Funnel setup'!$K$6&amp;'Funnel setup'!$K$7&amp;'Funnel setup'!$K$4,'Funnel Lookup'!I70&gt;29,'Funnel Lookup'!I70&lt;&gt;"-"),'Funnel Lookup'!I70,#N/A))</f>
        <v>#N/A</v>
      </c>
      <c r="V70" t="e">
        <f ca="1">IF(AND($C70='Funnel setup'!$K$3&amp;'Funnel setup'!$K$6&amp;'Funnel setup'!$K$7&amp;'Funnel setup'!$K$4,'Funnel Lookup'!I70="*",'Funnel Lookup'!I70="*"),#N/A,IF(AND($C70='Funnel setup'!$K$3&amp;'Funnel setup'!$K$6&amp;'Funnel setup'!$K$7&amp;'Funnel setup'!$K$4,'Funnel Lookup'!I70&gt;29,'Funnel Lookup'!I70&lt;&gt;"-"),'Funnel Lookup'!Q70,#N/A))</f>
        <v>#N/A</v>
      </c>
    </row>
    <row r="71" spans="1:22" x14ac:dyDescent="0.25">
      <c r="A71">
        <v>69</v>
      </c>
      <c r="B71">
        <f t="shared" ca="1" si="14"/>
        <v>69</v>
      </c>
      <c r="C71" t="str">
        <f t="shared" ca="1" si="14"/>
        <v>Total Hip ReplacementProviderKINGS OAK HOSPITAL (NT421)Oxford Hip Score</v>
      </c>
      <c r="D71" t="str">
        <f t="shared" ca="1" si="14"/>
        <v>Total Hip Replacement</v>
      </c>
      <c r="E71" t="str">
        <f t="shared" ca="1" si="14"/>
        <v>Provider</v>
      </c>
      <c r="F71" t="str">
        <f t="shared" ca="1" si="14"/>
        <v>NT421</v>
      </c>
      <c r="G71" t="str">
        <f t="shared" ca="1" si="14"/>
        <v>KINGS OAK HOSPITAL (NT421)</v>
      </c>
      <c r="H71" t="str">
        <f t="shared" ca="1" si="14"/>
        <v>Oxford Hip Score</v>
      </c>
      <c r="I71">
        <f t="shared" ca="1" si="14"/>
        <v>14</v>
      </c>
      <c r="J71">
        <f t="shared" ca="1" si="14"/>
        <v>19.785699999999999</v>
      </c>
      <c r="K71">
        <f t="shared" ca="1" si="14"/>
        <v>41.357100000000003</v>
      </c>
      <c r="L71">
        <f t="shared" ca="1" si="15"/>
        <v>21.571400000000001</v>
      </c>
      <c r="M71">
        <f t="shared" ca="1" si="15"/>
        <v>14</v>
      </c>
      <c r="N71">
        <f t="shared" ca="1" si="15"/>
        <v>0</v>
      </c>
      <c r="O71">
        <f t="shared" ca="1" si="15"/>
        <v>0</v>
      </c>
      <c r="P71" t="str">
        <f t="shared" ca="1" si="15"/>
        <v>*</v>
      </c>
      <c r="Q71" t="str">
        <f t="shared" ca="1" si="15"/>
        <v>*</v>
      </c>
      <c r="R71" t="str">
        <f t="shared" ca="1" si="15"/>
        <v>*</v>
      </c>
      <c r="S71" t="e">
        <f t="shared" ca="1" si="16"/>
        <v>#N/A</v>
      </c>
      <c r="T71" t="e">
        <f t="shared" ca="1" si="17"/>
        <v>#N/A</v>
      </c>
      <c r="U71" t="e">
        <f ca="1">IF(AND($C71='Funnel setup'!$K$3&amp;'Funnel setup'!$K$6&amp;'Funnel setup'!$K$7&amp;'Funnel setup'!$K$4,'Funnel Lookup'!I71="*",'Funnel Lookup'!I71="*"),#N/A,IF(AND($C71='Funnel setup'!$K$3&amp;'Funnel setup'!$K$6&amp;'Funnel setup'!$K$7&amp;'Funnel setup'!$K$4,'Funnel Lookup'!I71&gt;29,'Funnel Lookup'!I71&lt;&gt;"-"),'Funnel Lookup'!I71,#N/A))</f>
        <v>#N/A</v>
      </c>
      <c r="V71" t="e">
        <f ca="1">IF(AND($C71='Funnel setup'!$K$3&amp;'Funnel setup'!$K$6&amp;'Funnel setup'!$K$7&amp;'Funnel setup'!$K$4,'Funnel Lookup'!I71="*",'Funnel Lookup'!I71="*"),#N/A,IF(AND($C71='Funnel setup'!$K$3&amp;'Funnel setup'!$K$6&amp;'Funnel setup'!$K$7&amp;'Funnel setup'!$K$4,'Funnel Lookup'!I71&gt;29,'Funnel Lookup'!I71&lt;&gt;"-"),'Funnel Lookup'!Q71,#N/A))</f>
        <v>#N/A</v>
      </c>
    </row>
    <row r="72" spans="1:22" x14ac:dyDescent="0.25">
      <c r="A72">
        <v>70</v>
      </c>
      <c r="B72">
        <f t="shared" ca="1" si="14"/>
        <v>70</v>
      </c>
      <c r="C72" t="str">
        <f t="shared" ca="1" si="14"/>
        <v>Total Hip ReplacementProviderLANCASHIRE TEACHING HOSPITALS NHS FOUNDATION TRUST (RXN)Oxford Hip Score</v>
      </c>
      <c r="D72" t="str">
        <f t="shared" ca="1" si="14"/>
        <v>Total Hip Replacement</v>
      </c>
      <c r="E72" t="str">
        <f t="shared" ca="1" si="14"/>
        <v>Provider</v>
      </c>
      <c r="F72" t="str">
        <f t="shared" ca="1" si="14"/>
        <v>RXN</v>
      </c>
      <c r="G72" t="str">
        <f t="shared" ca="1" si="14"/>
        <v>LANCASHIRE TEACHING HOSPITALS NHS FOUNDATION TRUST (RXN)</v>
      </c>
      <c r="H72" t="str">
        <f t="shared" ca="1" si="14"/>
        <v>Oxford Hip Score</v>
      </c>
      <c r="I72">
        <f t="shared" ca="1" si="14"/>
        <v>37</v>
      </c>
      <c r="J72">
        <f t="shared" ca="1" si="14"/>
        <v>17.945900000000002</v>
      </c>
      <c r="K72">
        <f t="shared" ca="1" si="14"/>
        <v>34.162199999999999</v>
      </c>
      <c r="L72">
        <f t="shared" ca="1" si="15"/>
        <v>16.216200000000001</v>
      </c>
      <c r="M72">
        <f t="shared" ca="1" si="15"/>
        <v>34</v>
      </c>
      <c r="N72">
        <f t="shared" ca="1" si="15"/>
        <v>0</v>
      </c>
      <c r="O72">
        <f t="shared" ca="1" si="15"/>
        <v>3</v>
      </c>
      <c r="P72">
        <f t="shared" ca="1" si="15"/>
        <v>35.998699999999999</v>
      </c>
      <c r="Q72">
        <f t="shared" ca="1" si="15"/>
        <v>18.787299999999998</v>
      </c>
      <c r="R72">
        <f t="shared" ca="1" si="15"/>
        <v>10.6877</v>
      </c>
      <c r="S72">
        <f t="shared" ca="1" si="16"/>
        <v>37</v>
      </c>
      <c r="T72">
        <f t="shared" ca="1" si="17"/>
        <v>18.787299999999998</v>
      </c>
      <c r="U72" t="e">
        <f ca="1">IF(AND($C72='Funnel setup'!$K$3&amp;'Funnel setup'!$K$6&amp;'Funnel setup'!$K$7&amp;'Funnel setup'!$K$4,'Funnel Lookup'!I72="*",'Funnel Lookup'!I72="*"),#N/A,IF(AND($C72='Funnel setup'!$K$3&amp;'Funnel setup'!$K$6&amp;'Funnel setup'!$K$7&amp;'Funnel setup'!$K$4,'Funnel Lookup'!I72&gt;29,'Funnel Lookup'!I72&lt;&gt;"-"),'Funnel Lookup'!I72,#N/A))</f>
        <v>#N/A</v>
      </c>
      <c r="V72" t="e">
        <f ca="1">IF(AND($C72='Funnel setup'!$K$3&amp;'Funnel setup'!$K$6&amp;'Funnel setup'!$K$7&amp;'Funnel setup'!$K$4,'Funnel Lookup'!I72="*",'Funnel Lookup'!I72="*"),#N/A,IF(AND($C72='Funnel setup'!$K$3&amp;'Funnel setup'!$K$6&amp;'Funnel setup'!$K$7&amp;'Funnel setup'!$K$4,'Funnel Lookup'!I72&gt;29,'Funnel Lookup'!I72&lt;&gt;"-"),'Funnel Lookup'!Q72,#N/A))</f>
        <v>#N/A</v>
      </c>
    </row>
    <row r="73" spans="1:22" x14ac:dyDescent="0.25">
      <c r="A73">
        <v>71</v>
      </c>
      <c r="B73">
        <f t="shared" ref="B73:K82" ca="1" si="18">VLOOKUP($A73,Funnel_Data,B$1,FALSE)</f>
        <v>71</v>
      </c>
      <c r="C73" t="str">
        <f t="shared" ca="1" si="18"/>
        <v>Total Hip ReplacementProviderLANCASTER HOSPITAL (NT449)Oxford Hip Score</v>
      </c>
      <c r="D73" t="str">
        <f t="shared" ca="1" si="18"/>
        <v>Total Hip Replacement</v>
      </c>
      <c r="E73" t="str">
        <f t="shared" ca="1" si="18"/>
        <v>Provider</v>
      </c>
      <c r="F73" t="str">
        <f t="shared" ca="1" si="18"/>
        <v>NT449</v>
      </c>
      <c r="G73" t="str">
        <f t="shared" ca="1" si="18"/>
        <v>LANCASTER HOSPITAL (NT449)</v>
      </c>
      <c r="H73" t="str">
        <f t="shared" ca="1" si="18"/>
        <v>Oxford Hip Score</v>
      </c>
      <c r="I73">
        <f t="shared" ca="1" si="18"/>
        <v>23</v>
      </c>
      <c r="J73">
        <f t="shared" ca="1" si="18"/>
        <v>21.391300000000001</v>
      </c>
      <c r="K73">
        <f t="shared" ca="1" si="18"/>
        <v>42.565199999999997</v>
      </c>
      <c r="L73">
        <f t="shared" ref="L73:R82" ca="1" si="19">VLOOKUP($A73,Funnel_Data,L$1,FALSE)</f>
        <v>21.1739</v>
      </c>
      <c r="M73">
        <f t="shared" ca="1" si="19"/>
        <v>22</v>
      </c>
      <c r="N73">
        <f t="shared" ca="1" si="19"/>
        <v>0</v>
      </c>
      <c r="O73">
        <f t="shared" ca="1" si="19"/>
        <v>1</v>
      </c>
      <c r="P73" t="str">
        <f t="shared" ca="1" si="19"/>
        <v>*</v>
      </c>
      <c r="Q73" t="str">
        <f t="shared" ca="1" si="19"/>
        <v>*</v>
      </c>
      <c r="R73" t="str">
        <f t="shared" ca="1" si="19"/>
        <v>*</v>
      </c>
      <c r="S73" t="e">
        <f t="shared" ca="1" si="16"/>
        <v>#N/A</v>
      </c>
      <c r="T73" t="e">
        <f t="shared" ca="1" si="17"/>
        <v>#N/A</v>
      </c>
      <c r="U73" t="e">
        <f ca="1">IF(AND($C73='Funnel setup'!$K$3&amp;'Funnel setup'!$K$6&amp;'Funnel setup'!$K$7&amp;'Funnel setup'!$K$4,'Funnel Lookup'!I73="*",'Funnel Lookup'!I73="*"),#N/A,IF(AND($C73='Funnel setup'!$K$3&amp;'Funnel setup'!$K$6&amp;'Funnel setup'!$K$7&amp;'Funnel setup'!$K$4,'Funnel Lookup'!I73&gt;29,'Funnel Lookup'!I73&lt;&gt;"-"),'Funnel Lookup'!I73,#N/A))</f>
        <v>#N/A</v>
      </c>
      <c r="V73" t="e">
        <f ca="1">IF(AND($C73='Funnel setup'!$K$3&amp;'Funnel setup'!$K$6&amp;'Funnel setup'!$K$7&amp;'Funnel setup'!$K$4,'Funnel Lookup'!I73="*",'Funnel Lookup'!I73="*"),#N/A,IF(AND($C73='Funnel setup'!$K$3&amp;'Funnel setup'!$K$6&amp;'Funnel setup'!$K$7&amp;'Funnel setup'!$K$4,'Funnel Lookup'!I73&gt;29,'Funnel Lookup'!I73&lt;&gt;"-"),'Funnel Lookup'!Q73,#N/A))</f>
        <v>#N/A</v>
      </c>
    </row>
    <row r="74" spans="1:22" x14ac:dyDescent="0.25">
      <c r="A74">
        <v>72</v>
      </c>
      <c r="B74">
        <f t="shared" ca="1" si="18"/>
        <v>72</v>
      </c>
      <c r="C74" t="str">
        <f t="shared" ca="1" si="18"/>
        <v>Total Hip ReplacementProviderLEEDS TEACHING HOSPITALS NHS TRUST (RR8)Oxford Hip Score</v>
      </c>
      <c r="D74" t="str">
        <f t="shared" ca="1" si="18"/>
        <v>Total Hip Replacement</v>
      </c>
      <c r="E74" t="str">
        <f t="shared" ca="1" si="18"/>
        <v>Provider</v>
      </c>
      <c r="F74" t="str">
        <f t="shared" ca="1" si="18"/>
        <v>RR8</v>
      </c>
      <c r="G74" t="str">
        <f t="shared" ca="1" si="18"/>
        <v>LEEDS TEACHING HOSPITALS NHS TRUST (RR8)</v>
      </c>
      <c r="H74" t="str">
        <f t="shared" ca="1" si="18"/>
        <v>Oxford Hip Score</v>
      </c>
      <c r="I74">
        <f t="shared" ca="1" si="18"/>
        <v>124</v>
      </c>
      <c r="J74">
        <f t="shared" ca="1" si="18"/>
        <v>18.846800000000002</v>
      </c>
      <c r="K74">
        <f t="shared" ca="1" si="18"/>
        <v>37.991900000000001</v>
      </c>
      <c r="L74">
        <f t="shared" ca="1" si="19"/>
        <v>19.145199999999999</v>
      </c>
      <c r="M74">
        <f t="shared" ca="1" si="19"/>
        <v>113</v>
      </c>
      <c r="N74">
        <f t="shared" ca="1" si="19"/>
        <v>1</v>
      </c>
      <c r="O74">
        <f t="shared" ca="1" si="19"/>
        <v>10</v>
      </c>
      <c r="P74">
        <f t="shared" ca="1" si="19"/>
        <v>38.695999999999998</v>
      </c>
      <c r="Q74">
        <f t="shared" ca="1" si="19"/>
        <v>21.484500000000001</v>
      </c>
      <c r="R74">
        <f t="shared" ca="1" si="19"/>
        <v>8.6430100000000003</v>
      </c>
      <c r="S74">
        <f t="shared" ca="1" si="16"/>
        <v>124</v>
      </c>
      <c r="T74">
        <f t="shared" ca="1" si="17"/>
        <v>21.484500000000001</v>
      </c>
      <c r="U74" t="e">
        <f ca="1">IF(AND($C74='Funnel setup'!$K$3&amp;'Funnel setup'!$K$6&amp;'Funnel setup'!$K$7&amp;'Funnel setup'!$K$4,'Funnel Lookup'!I74="*",'Funnel Lookup'!I74="*"),#N/A,IF(AND($C74='Funnel setup'!$K$3&amp;'Funnel setup'!$K$6&amp;'Funnel setup'!$K$7&amp;'Funnel setup'!$K$4,'Funnel Lookup'!I74&gt;29,'Funnel Lookup'!I74&lt;&gt;"-"),'Funnel Lookup'!I74,#N/A))</f>
        <v>#N/A</v>
      </c>
      <c r="V74" t="e">
        <f ca="1">IF(AND($C74='Funnel setup'!$K$3&amp;'Funnel setup'!$K$6&amp;'Funnel setup'!$K$7&amp;'Funnel setup'!$K$4,'Funnel Lookup'!I74="*",'Funnel Lookup'!I74="*"),#N/A,IF(AND($C74='Funnel setup'!$K$3&amp;'Funnel setup'!$K$6&amp;'Funnel setup'!$K$7&amp;'Funnel setup'!$K$4,'Funnel Lookup'!I74&gt;29,'Funnel Lookup'!I74&lt;&gt;"-"),'Funnel Lookup'!Q74,#N/A))</f>
        <v>#N/A</v>
      </c>
    </row>
    <row r="75" spans="1:22" x14ac:dyDescent="0.25">
      <c r="A75">
        <v>73</v>
      </c>
      <c r="B75">
        <f t="shared" ca="1" si="18"/>
        <v>73</v>
      </c>
      <c r="C75" t="str">
        <f t="shared" ca="1" si="18"/>
        <v>Total Hip ReplacementProviderLEWISHAM AND GREENWICH NHS TRUST (RJ2)Oxford Hip Score</v>
      </c>
      <c r="D75" t="str">
        <f t="shared" ca="1" si="18"/>
        <v>Total Hip Replacement</v>
      </c>
      <c r="E75" t="str">
        <f t="shared" ca="1" si="18"/>
        <v>Provider</v>
      </c>
      <c r="F75" t="str">
        <f t="shared" ca="1" si="18"/>
        <v>RJ2</v>
      </c>
      <c r="G75" t="str">
        <f t="shared" ca="1" si="18"/>
        <v>LEWISHAM AND GREENWICH NHS TRUST (RJ2)</v>
      </c>
      <c r="H75" t="str">
        <f t="shared" ca="1" si="18"/>
        <v>Oxford Hip Score</v>
      </c>
      <c r="I75">
        <f t="shared" ca="1" si="18"/>
        <v>2</v>
      </c>
      <c r="J75">
        <f t="shared" ca="1" si="18"/>
        <v>23.5</v>
      </c>
      <c r="K75">
        <f t="shared" ca="1" si="18"/>
        <v>46.5</v>
      </c>
      <c r="L75">
        <f t="shared" ca="1" si="19"/>
        <v>23</v>
      </c>
      <c r="M75">
        <f t="shared" ca="1" si="19"/>
        <v>2</v>
      </c>
      <c r="N75">
        <f t="shared" ca="1" si="19"/>
        <v>0</v>
      </c>
      <c r="O75">
        <f t="shared" ca="1" si="19"/>
        <v>0</v>
      </c>
      <c r="P75" t="str">
        <f t="shared" ca="1" si="19"/>
        <v>*</v>
      </c>
      <c r="Q75" t="str">
        <f t="shared" ca="1" si="19"/>
        <v>*</v>
      </c>
      <c r="R75" t="str">
        <f t="shared" ca="1" si="19"/>
        <v>*</v>
      </c>
      <c r="S75" t="e">
        <f t="shared" ca="1" si="16"/>
        <v>#N/A</v>
      </c>
      <c r="T75" t="e">
        <f t="shared" ca="1" si="17"/>
        <v>#N/A</v>
      </c>
      <c r="U75" t="e">
        <f ca="1">IF(AND($C75='Funnel setup'!$K$3&amp;'Funnel setup'!$K$6&amp;'Funnel setup'!$K$7&amp;'Funnel setup'!$K$4,'Funnel Lookup'!I75="*",'Funnel Lookup'!I75="*"),#N/A,IF(AND($C75='Funnel setup'!$K$3&amp;'Funnel setup'!$K$6&amp;'Funnel setup'!$K$7&amp;'Funnel setup'!$K$4,'Funnel Lookup'!I75&gt;29,'Funnel Lookup'!I75&lt;&gt;"-"),'Funnel Lookup'!I75,#N/A))</f>
        <v>#N/A</v>
      </c>
      <c r="V75" t="e">
        <f ca="1">IF(AND($C75='Funnel setup'!$K$3&amp;'Funnel setup'!$K$6&amp;'Funnel setup'!$K$7&amp;'Funnel setup'!$K$4,'Funnel Lookup'!I75="*",'Funnel Lookup'!I75="*"),#N/A,IF(AND($C75='Funnel setup'!$K$3&amp;'Funnel setup'!$K$6&amp;'Funnel setup'!$K$7&amp;'Funnel setup'!$K$4,'Funnel Lookup'!I75&gt;29,'Funnel Lookup'!I75&lt;&gt;"-"),'Funnel Lookup'!Q75,#N/A))</f>
        <v>#N/A</v>
      </c>
    </row>
    <row r="76" spans="1:22" x14ac:dyDescent="0.25">
      <c r="A76">
        <v>74</v>
      </c>
      <c r="B76">
        <f t="shared" ca="1" si="18"/>
        <v>74</v>
      </c>
      <c r="C76" t="str">
        <f t="shared" ca="1" si="18"/>
        <v>Total Hip ReplacementProviderLINCOLN HOSPITAL (NT450)Oxford Hip Score</v>
      </c>
      <c r="D76" t="str">
        <f t="shared" ca="1" si="18"/>
        <v>Total Hip Replacement</v>
      </c>
      <c r="E76" t="str">
        <f t="shared" ca="1" si="18"/>
        <v>Provider</v>
      </c>
      <c r="F76" t="str">
        <f t="shared" ca="1" si="18"/>
        <v>NT450</v>
      </c>
      <c r="G76" t="str">
        <f t="shared" ca="1" si="18"/>
        <v>LINCOLN HOSPITAL (NT450)</v>
      </c>
      <c r="H76" t="str">
        <f t="shared" ca="1" si="18"/>
        <v>Oxford Hip Score</v>
      </c>
      <c r="I76">
        <f t="shared" ca="1" si="18"/>
        <v>67</v>
      </c>
      <c r="J76">
        <f t="shared" ca="1" si="18"/>
        <v>18.791</v>
      </c>
      <c r="K76">
        <f t="shared" ca="1" si="18"/>
        <v>42.731299999999997</v>
      </c>
      <c r="L76">
        <f t="shared" ca="1" si="19"/>
        <v>23.940300000000001</v>
      </c>
      <c r="M76">
        <f t="shared" ca="1" si="19"/>
        <v>65</v>
      </c>
      <c r="N76">
        <f t="shared" ca="1" si="19"/>
        <v>1</v>
      </c>
      <c r="O76">
        <f t="shared" ca="1" si="19"/>
        <v>1</v>
      </c>
      <c r="P76">
        <f t="shared" ca="1" si="19"/>
        <v>41.976300000000002</v>
      </c>
      <c r="Q76">
        <f t="shared" ca="1" si="19"/>
        <v>24.764800000000001</v>
      </c>
      <c r="R76">
        <f t="shared" ca="1" si="19"/>
        <v>6.7172299999999998</v>
      </c>
      <c r="S76">
        <f t="shared" ca="1" si="16"/>
        <v>67</v>
      </c>
      <c r="T76">
        <f t="shared" ca="1" si="17"/>
        <v>24.764800000000001</v>
      </c>
      <c r="U76" t="e">
        <f ca="1">IF(AND($C76='Funnel setup'!$K$3&amp;'Funnel setup'!$K$6&amp;'Funnel setup'!$K$7&amp;'Funnel setup'!$K$4,'Funnel Lookup'!I76="*",'Funnel Lookup'!I76="*"),#N/A,IF(AND($C76='Funnel setup'!$K$3&amp;'Funnel setup'!$K$6&amp;'Funnel setup'!$K$7&amp;'Funnel setup'!$K$4,'Funnel Lookup'!I76&gt;29,'Funnel Lookup'!I76&lt;&gt;"-"),'Funnel Lookup'!I76,#N/A))</f>
        <v>#N/A</v>
      </c>
      <c r="V76" t="e">
        <f ca="1">IF(AND($C76='Funnel setup'!$K$3&amp;'Funnel setup'!$K$6&amp;'Funnel setup'!$K$7&amp;'Funnel setup'!$K$4,'Funnel Lookup'!I76="*",'Funnel Lookup'!I76="*"),#N/A,IF(AND($C76='Funnel setup'!$K$3&amp;'Funnel setup'!$K$6&amp;'Funnel setup'!$K$7&amp;'Funnel setup'!$K$4,'Funnel Lookup'!I76&gt;29,'Funnel Lookup'!I76&lt;&gt;"-"),'Funnel Lookup'!Q76,#N/A))</f>
        <v>#N/A</v>
      </c>
    </row>
    <row r="77" spans="1:22" x14ac:dyDescent="0.25">
      <c r="A77">
        <v>75</v>
      </c>
      <c r="B77">
        <f t="shared" ca="1" si="18"/>
        <v>75</v>
      </c>
      <c r="C77" t="str">
        <f t="shared" ca="1" si="18"/>
        <v>Total Hip ReplacementProviderLIVERPOOL UNIVERSITY HOSPITALS NHS FOUNDATION TRUST (REM)Oxford Hip Score</v>
      </c>
      <c r="D77" t="str">
        <f t="shared" ca="1" si="18"/>
        <v>Total Hip Replacement</v>
      </c>
      <c r="E77" t="str">
        <f t="shared" ca="1" si="18"/>
        <v>Provider</v>
      </c>
      <c r="F77" t="str">
        <f t="shared" ca="1" si="18"/>
        <v>REM</v>
      </c>
      <c r="G77" t="str">
        <f t="shared" ca="1" si="18"/>
        <v>LIVERPOOL UNIVERSITY HOSPITALS NHS FOUNDATION TRUST (REM)</v>
      </c>
      <c r="H77" t="str">
        <f t="shared" ca="1" si="18"/>
        <v>Oxford Hip Score</v>
      </c>
      <c r="I77">
        <f t="shared" ca="1" si="18"/>
        <v>97</v>
      </c>
      <c r="J77">
        <f t="shared" ca="1" si="18"/>
        <v>13.2577</v>
      </c>
      <c r="K77">
        <f t="shared" ca="1" si="18"/>
        <v>36.092799999999997</v>
      </c>
      <c r="L77">
        <f t="shared" ca="1" si="19"/>
        <v>22.835100000000001</v>
      </c>
      <c r="M77">
        <f t="shared" ca="1" si="19"/>
        <v>93</v>
      </c>
      <c r="N77">
        <f t="shared" ca="1" si="19"/>
        <v>0</v>
      </c>
      <c r="O77">
        <f t="shared" ca="1" si="19"/>
        <v>4</v>
      </c>
      <c r="P77">
        <f t="shared" ca="1" si="19"/>
        <v>39.662100000000002</v>
      </c>
      <c r="Q77">
        <f t="shared" ca="1" si="19"/>
        <v>22.450700000000001</v>
      </c>
      <c r="R77">
        <f t="shared" ca="1" si="19"/>
        <v>9.6781199999999998</v>
      </c>
      <c r="S77">
        <f t="shared" ca="1" si="16"/>
        <v>97</v>
      </c>
      <c r="T77">
        <f t="shared" ca="1" si="17"/>
        <v>22.450700000000001</v>
      </c>
      <c r="U77" t="e">
        <f ca="1">IF(AND($C77='Funnel setup'!$K$3&amp;'Funnel setup'!$K$6&amp;'Funnel setup'!$K$7&amp;'Funnel setup'!$K$4,'Funnel Lookup'!I77="*",'Funnel Lookup'!I77="*"),#N/A,IF(AND($C77='Funnel setup'!$K$3&amp;'Funnel setup'!$K$6&amp;'Funnel setup'!$K$7&amp;'Funnel setup'!$K$4,'Funnel Lookup'!I77&gt;29,'Funnel Lookup'!I77&lt;&gt;"-"),'Funnel Lookup'!I77,#N/A))</f>
        <v>#N/A</v>
      </c>
      <c r="V77" t="e">
        <f ca="1">IF(AND($C77='Funnel setup'!$K$3&amp;'Funnel setup'!$K$6&amp;'Funnel setup'!$K$7&amp;'Funnel setup'!$K$4,'Funnel Lookup'!I77="*",'Funnel Lookup'!I77="*"),#N/A,IF(AND($C77='Funnel setup'!$K$3&amp;'Funnel setup'!$K$6&amp;'Funnel setup'!$K$7&amp;'Funnel setup'!$K$4,'Funnel Lookup'!I77&gt;29,'Funnel Lookup'!I77&lt;&gt;"-"),'Funnel Lookup'!Q77,#N/A))</f>
        <v>#N/A</v>
      </c>
    </row>
    <row r="78" spans="1:22" x14ac:dyDescent="0.25">
      <c r="A78">
        <v>76</v>
      </c>
      <c r="B78">
        <f t="shared" ca="1" si="18"/>
        <v>76</v>
      </c>
      <c r="C78" t="str">
        <f t="shared" ca="1" si="18"/>
        <v>Total Hip ReplacementProviderLONDON INDEPENDENT HOSPITAL (NT422)Oxford Hip Score</v>
      </c>
      <c r="D78" t="str">
        <f t="shared" ca="1" si="18"/>
        <v>Total Hip Replacement</v>
      </c>
      <c r="E78" t="str">
        <f t="shared" ca="1" si="18"/>
        <v>Provider</v>
      </c>
      <c r="F78" t="str">
        <f t="shared" ca="1" si="18"/>
        <v>NT422</v>
      </c>
      <c r="G78" t="str">
        <f t="shared" ca="1" si="18"/>
        <v>LONDON INDEPENDENT HOSPITAL (NT422)</v>
      </c>
      <c r="H78" t="str">
        <f t="shared" ca="1" si="18"/>
        <v>Oxford Hip Score</v>
      </c>
      <c r="I78">
        <f t="shared" ca="1" si="18"/>
        <v>8</v>
      </c>
      <c r="J78">
        <f t="shared" ca="1" si="18"/>
        <v>16.5</v>
      </c>
      <c r="K78">
        <f t="shared" ca="1" si="18"/>
        <v>38.125</v>
      </c>
      <c r="L78">
        <f t="shared" ca="1" si="19"/>
        <v>21.625</v>
      </c>
      <c r="M78">
        <f t="shared" ca="1" si="19"/>
        <v>8</v>
      </c>
      <c r="N78">
        <f t="shared" ca="1" si="19"/>
        <v>0</v>
      </c>
      <c r="O78">
        <f t="shared" ca="1" si="19"/>
        <v>0</v>
      </c>
      <c r="P78" t="str">
        <f t="shared" ca="1" si="19"/>
        <v>*</v>
      </c>
      <c r="Q78" t="str">
        <f t="shared" ca="1" si="19"/>
        <v>*</v>
      </c>
      <c r="R78" t="str">
        <f t="shared" ca="1" si="19"/>
        <v>*</v>
      </c>
      <c r="S78" t="e">
        <f t="shared" ca="1" si="16"/>
        <v>#N/A</v>
      </c>
      <c r="T78" t="e">
        <f t="shared" ca="1" si="17"/>
        <v>#N/A</v>
      </c>
      <c r="U78" t="e">
        <f ca="1">IF(AND($C78='Funnel setup'!$K$3&amp;'Funnel setup'!$K$6&amp;'Funnel setup'!$K$7&amp;'Funnel setup'!$K$4,'Funnel Lookup'!I78="*",'Funnel Lookup'!I78="*"),#N/A,IF(AND($C78='Funnel setup'!$K$3&amp;'Funnel setup'!$K$6&amp;'Funnel setup'!$K$7&amp;'Funnel setup'!$K$4,'Funnel Lookup'!I78&gt;29,'Funnel Lookup'!I78&lt;&gt;"-"),'Funnel Lookup'!I78,#N/A))</f>
        <v>#N/A</v>
      </c>
      <c r="V78" t="e">
        <f ca="1">IF(AND($C78='Funnel setup'!$K$3&amp;'Funnel setup'!$K$6&amp;'Funnel setup'!$K$7&amp;'Funnel setup'!$K$4,'Funnel Lookup'!I78="*",'Funnel Lookup'!I78="*"),#N/A,IF(AND($C78='Funnel setup'!$K$3&amp;'Funnel setup'!$K$6&amp;'Funnel setup'!$K$7&amp;'Funnel setup'!$K$4,'Funnel Lookup'!I78&gt;29,'Funnel Lookup'!I78&lt;&gt;"-"),'Funnel Lookup'!Q78,#N/A))</f>
        <v>#N/A</v>
      </c>
    </row>
    <row r="79" spans="1:22" x14ac:dyDescent="0.25">
      <c r="A79">
        <v>77</v>
      </c>
      <c r="B79">
        <f t="shared" ca="1" si="18"/>
        <v>77</v>
      </c>
      <c r="C79" t="str">
        <f t="shared" ca="1" si="18"/>
        <v>Total Hip ReplacementProviderMAIDSTONE AND TUNBRIDGE WELLS NHS TRUST (RWF)Oxford Hip Score</v>
      </c>
      <c r="D79" t="str">
        <f t="shared" ca="1" si="18"/>
        <v>Total Hip Replacement</v>
      </c>
      <c r="E79" t="str">
        <f t="shared" ca="1" si="18"/>
        <v>Provider</v>
      </c>
      <c r="F79" t="str">
        <f t="shared" ca="1" si="18"/>
        <v>RWF</v>
      </c>
      <c r="G79" t="str">
        <f t="shared" ca="1" si="18"/>
        <v>MAIDSTONE AND TUNBRIDGE WELLS NHS TRUST (RWF)</v>
      </c>
      <c r="H79" t="str">
        <f t="shared" ca="1" si="18"/>
        <v>Oxford Hip Score</v>
      </c>
      <c r="I79">
        <f t="shared" ca="1" si="18"/>
        <v>124</v>
      </c>
      <c r="J79">
        <f t="shared" ca="1" si="18"/>
        <v>19.1935</v>
      </c>
      <c r="K79">
        <f t="shared" ca="1" si="18"/>
        <v>40.532299999999999</v>
      </c>
      <c r="L79">
        <f t="shared" ca="1" si="19"/>
        <v>21.338699999999999</v>
      </c>
      <c r="M79">
        <f t="shared" ca="1" si="19"/>
        <v>120</v>
      </c>
      <c r="N79">
        <f t="shared" ca="1" si="19"/>
        <v>0</v>
      </c>
      <c r="O79">
        <f t="shared" ca="1" si="19"/>
        <v>4</v>
      </c>
      <c r="P79">
        <f t="shared" ca="1" si="19"/>
        <v>38.865499999999997</v>
      </c>
      <c r="Q79">
        <f t="shared" ca="1" si="19"/>
        <v>21.6541</v>
      </c>
      <c r="R79">
        <f t="shared" ca="1" si="19"/>
        <v>7.5328900000000001</v>
      </c>
      <c r="S79">
        <f t="shared" ca="1" si="16"/>
        <v>124</v>
      </c>
      <c r="T79">
        <f t="shared" ca="1" si="17"/>
        <v>21.6541</v>
      </c>
      <c r="U79" t="e">
        <f ca="1">IF(AND($C79='Funnel setup'!$K$3&amp;'Funnel setup'!$K$6&amp;'Funnel setup'!$K$7&amp;'Funnel setup'!$K$4,'Funnel Lookup'!I79="*",'Funnel Lookup'!I79="*"),#N/A,IF(AND($C79='Funnel setup'!$K$3&amp;'Funnel setup'!$K$6&amp;'Funnel setup'!$K$7&amp;'Funnel setup'!$K$4,'Funnel Lookup'!I79&gt;29,'Funnel Lookup'!I79&lt;&gt;"-"),'Funnel Lookup'!I79,#N/A))</f>
        <v>#N/A</v>
      </c>
      <c r="V79" t="e">
        <f ca="1">IF(AND($C79='Funnel setup'!$K$3&amp;'Funnel setup'!$K$6&amp;'Funnel setup'!$K$7&amp;'Funnel setup'!$K$4,'Funnel Lookup'!I79="*",'Funnel Lookup'!I79="*"),#N/A,IF(AND($C79='Funnel setup'!$K$3&amp;'Funnel setup'!$K$6&amp;'Funnel setup'!$K$7&amp;'Funnel setup'!$K$4,'Funnel Lookup'!I79&gt;29,'Funnel Lookup'!I79&lt;&gt;"-"),'Funnel Lookup'!Q79,#N/A))</f>
        <v>#N/A</v>
      </c>
    </row>
    <row r="80" spans="1:22" x14ac:dyDescent="0.25">
      <c r="A80">
        <v>78</v>
      </c>
      <c r="B80">
        <f t="shared" ca="1" si="18"/>
        <v>78</v>
      </c>
      <c r="C80" t="str">
        <f t="shared" ca="1" si="18"/>
        <v>Total Hip ReplacementProviderMANCHESTER UNIVERSITY NHS FOUNDATION TRUST (R0A)Oxford Hip Score</v>
      </c>
      <c r="D80" t="str">
        <f t="shared" ca="1" si="18"/>
        <v>Total Hip Replacement</v>
      </c>
      <c r="E80" t="str">
        <f t="shared" ca="1" si="18"/>
        <v>Provider</v>
      </c>
      <c r="F80" t="str">
        <f t="shared" ca="1" si="18"/>
        <v>R0A</v>
      </c>
      <c r="G80" t="str">
        <f t="shared" ca="1" si="18"/>
        <v>MANCHESTER UNIVERSITY NHS FOUNDATION TRUST (R0A)</v>
      </c>
      <c r="H80" t="str">
        <f t="shared" ca="1" si="18"/>
        <v>Oxford Hip Score</v>
      </c>
      <c r="I80">
        <f t="shared" ca="1" si="18"/>
        <v>103</v>
      </c>
      <c r="J80">
        <f t="shared" ca="1" si="18"/>
        <v>17.058299999999999</v>
      </c>
      <c r="K80">
        <f t="shared" ca="1" si="18"/>
        <v>37.475700000000003</v>
      </c>
      <c r="L80">
        <f t="shared" ca="1" si="19"/>
        <v>20.4175</v>
      </c>
      <c r="M80">
        <f t="shared" ca="1" si="19"/>
        <v>98</v>
      </c>
      <c r="N80">
        <f t="shared" ca="1" si="19"/>
        <v>0</v>
      </c>
      <c r="O80">
        <f t="shared" ca="1" si="19"/>
        <v>5</v>
      </c>
      <c r="P80">
        <f t="shared" ca="1" si="19"/>
        <v>38.485999999999997</v>
      </c>
      <c r="Q80">
        <f t="shared" ca="1" si="19"/>
        <v>21.2746</v>
      </c>
      <c r="R80">
        <f t="shared" ca="1" si="19"/>
        <v>9.7058199999999992</v>
      </c>
      <c r="S80">
        <f t="shared" ca="1" si="16"/>
        <v>103</v>
      </c>
      <c r="T80">
        <f t="shared" ca="1" si="17"/>
        <v>21.2746</v>
      </c>
      <c r="U80" t="e">
        <f ca="1">IF(AND($C80='Funnel setup'!$K$3&amp;'Funnel setup'!$K$6&amp;'Funnel setup'!$K$7&amp;'Funnel setup'!$K$4,'Funnel Lookup'!I80="*",'Funnel Lookup'!I80="*"),#N/A,IF(AND($C80='Funnel setup'!$K$3&amp;'Funnel setup'!$K$6&amp;'Funnel setup'!$K$7&amp;'Funnel setup'!$K$4,'Funnel Lookup'!I80&gt;29,'Funnel Lookup'!I80&lt;&gt;"-"),'Funnel Lookup'!I80,#N/A))</f>
        <v>#N/A</v>
      </c>
      <c r="V80" t="e">
        <f ca="1">IF(AND($C80='Funnel setup'!$K$3&amp;'Funnel setup'!$K$6&amp;'Funnel setup'!$K$7&amp;'Funnel setup'!$K$4,'Funnel Lookup'!I80="*",'Funnel Lookup'!I80="*"),#N/A,IF(AND($C80='Funnel setup'!$K$3&amp;'Funnel setup'!$K$6&amp;'Funnel setup'!$K$7&amp;'Funnel setup'!$K$4,'Funnel Lookup'!I80&gt;29,'Funnel Lookup'!I80&lt;&gt;"-"),'Funnel Lookup'!Q80,#N/A))</f>
        <v>#N/A</v>
      </c>
    </row>
    <row r="81" spans="1:22" x14ac:dyDescent="0.25">
      <c r="A81">
        <v>79</v>
      </c>
      <c r="B81">
        <f t="shared" ca="1" si="18"/>
        <v>79</v>
      </c>
      <c r="C81" t="str">
        <f t="shared" ca="1" si="18"/>
        <v>Total Hip ReplacementProviderMANOR HOSPITAL (NT423)Oxford Hip Score</v>
      </c>
      <c r="D81" t="str">
        <f t="shared" ca="1" si="18"/>
        <v>Total Hip Replacement</v>
      </c>
      <c r="E81" t="str">
        <f t="shared" ca="1" si="18"/>
        <v>Provider</v>
      </c>
      <c r="F81" t="str">
        <f t="shared" ca="1" si="18"/>
        <v>NT423</v>
      </c>
      <c r="G81" t="str">
        <f t="shared" ca="1" si="18"/>
        <v>MANOR HOSPITAL (NT423)</v>
      </c>
      <c r="H81" t="str">
        <f t="shared" ca="1" si="18"/>
        <v>Oxford Hip Score</v>
      </c>
      <c r="I81">
        <f t="shared" ca="1" si="18"/>
        <v>17</v>
      </c>
      <c r="J81">
        <f t="shared" ca="1" si="18"/>
        <v>20.235299999999999</v>
      </c>
      <c r="K81">
        <f t="shared" ca="1" si="18"/>
        <v>41.941200000000002</v>
      </c>
      <c r="L81">
        <f t="shared" ca="1" si="19"/>
        <v>21.7059</v>
      </c>
      <c r="M81">
        <f t="shared" ca="1" si="19"/>
        <v>16</v>
      </c>
      <c r="N81">
        <f t="shared" ca="1" si="19"/>
        <v>0</v>
      </c>
      <c r="O81">
        <f t="shared" ca="1" si="19"/>
        <v>1</v>
      </c>
      <c r="P81" t="str">
        <f t="shared" ca="1" si="19"/>
        <v>*</v>
      </c>
      <c r="Q81" t="str">
        <f t="shared" ca="1" si="19"/>
        <v>*</v>
      </c>
      <c r="R81" t="str">
        <f t="shared" ca="1" si="19"/>
        <v>*</v>
      </c>
      <c r="S81" t="e">
        <f t="shared" ca="1" si="16"/>
        <v>#N/A</v>
      </c>
      <c r="T81" t="e">
        <f t="shared" ca="1" si="17"/>
        <v>#N/A</v>
      </c>
      <c r="U81" t="e">
        <f ca="1">IF(AND($C81='Funnel setup'!$K$3&amp;'Funnel setup'!$K$6&amp;'Funnel setup'!$K$7&amp;'Funnel setup'!$K$4,'Funnel Lookup'!I81="*",'Funnel Lookup'!I81="*"),#N/A,IF(AND($C81='Funnel setup'!$K$3&amp;'Funnel setup'!$K$6&amp;'Funnel setup'!$K$7&amp;'Funnel setup'!$K$4,'Funnel Lookup'!I81&gt;29,'Funnel Lookup'!I81&lt;&gt;"-"),'Funnel Lookup'!I81,#N/A))</f>
        <v>#N/A</v>
      </c>
      <c r="V81" t="e">
        <f ca="1">IF(AND($C81='Funnel setup'!$K$3&amp;'Funnel setup'!$K$6&amp;'Funnel setup'!$K$7&amp;'Funnel setup'!$K$4,'Funnel Lookup'!I81="*",'Funnel Lookup'!I81="*"),#N/A,IF(AND($C81='Funnel setup'!$K$3&amp;'Funnel setup'!$K$6&amp;'Funnel setup'!$K$7&amp;'Funnel setup'!$K$4,'Funnel Lookup'!I81&gt;29,'Funnel Lookup'!I81&lt;&gt;"-"),'Funnel Lookup'!Q81,#N/A))</f>
        <v>#N/A</v>
      </c>
    </row>
    <row r="82" spans="1:22" x14ac:dyDescent="0.25">
      <c r="A82">
        <v>80</v>
      </c>
      <c r="B82">
        <f t="shared" ca="1" si="18"/>
        <v>80</v>
      </c>
      <c r="C82" t="str">
        <f t="shared" ca="1" si="18"/>
        <v>Total Hip ReplacementProviderMEDWAY NHS FOUNDATION TRUST (RPA)Oxford Hip Score</v>
      </c>
      <c r="D82" t="str">
        <f t="shared" ca="1" si="18"/>
        <v>Total Hip Replacement</v>
      </c>
      <c r="E82" t="str">
        <f t="shared" ca="1" si="18"/>
        <v>Provider</v>
      </c>
      <c r="F82" t="str">
        <f t="shared" ca="1" si="18"/>
        <v>RPA</v>
      </c>
      <c r="G82" t="str">
        <f t="shared" ca="1" si="18"/>
        <v>MEDWAY NHS FOUNDATION TRUST (RPA)</v>
      </c>
      <c r="H82" t="str">
        <f t="shared" ca="1" si="18"/>
        <v>Oxford Hip Score</v>
      </c>
      <c r="I82">
        <f t="shared" ca="1" si="18"/>
        <v>48</v>
      </c>
      <c r="J82">
        <f t="shared" ca="1" si="18"/>
        <v>14.375</v>
      </c>
      <c r="K82">
        <f t="shared" ca="1" si="18"/>
        <v>37.645800000000001</v>
      </c>
      <c r="L82">
        <f t="shared" ca="1" si="19"/>
        <v>23.270800000000001</v>
      </c>
      <c r="M82">
        <f t="shared" ca="1" si="19"/>
        <v>47</v>
      </c>
      <c r="N82">
        <f t="shared" ca="1" si="19"/>
        <v>0</v>
      </c>
      <c r="O82">
        <f t="shared" ca="1" si="19"/>
        <v>1</v>
      </c>
      <c r="P82">
        <f t="shared" ca="1" si="19"/>
        <v>38.678699999999999</v>
      </c>
      <c r="Q82">
        <f t="shared" ca="1" si="19"/>
        <v>21.467300000000002</v>
      </c>
      <c r="R82">
        <f t="shared" ca="1" si="19"/>
        <v>8.1486199999999993</v>
      </c>
      <c r="S82">
        <f t="shared" ca="1" si="16"/>
        <v>48</v>
      </c>
      <c r="T82">
        <f t="shared" ca="1" si="17"/>
        <v>21.467300000000002</v>
      </c>
      <c r="U82" t="e">
        <f ca="1">IF(AND($C82='Funnel setup'!$K$3&amp;'Funnel setup'!$K$6&amp;'Funnel setup'!$K$7&amp;'Funnel setup'!$K$4,'Funnel Lookup'!I82="*",'Funnel Lookup'!I82="*"),#N/A,IF(AND($C82='Funnel setup'!$K$3&amp;'Funnel setup'!$K$6&amp;'Funnel setup'!$K$7&amp;'Funnel setup'!$K$4,'Funnel Lookup'!I82&gt;29,'Funnel Lookup'!I82&lt;&gt;"-"),'Funnel Lookup'!I82,#N/A))</f>
        <v>#N/A</v>
      </c>
      <c r="V82" t="e">
        <f ca="1">IF(AND($C82='Funnel setup'!$K$3&amp;'Funnel setup'!$K$6&amp;'Funnel setup'!$K$7&amp;'Funnel setup'!$K$4,'Funnel Lookup'!I82="*",'Funnel Lookup'!I82="*"),#N/A,IF(AND($C82='Funnel setup'!$K$3&amp;'Funnel setup'!$K$6&amp;'Funnel setup'!$K$7&amp;'Funnel setup'!$K$4,'Funnel Lookup'!I82&gt;29,'Funnel Lookup'!I82&lt;&gt;"-"),'Funnel Lookup'!Q82,#N/A))</f>
        <v>#N/A</v>
      </c>
    </row>
    <row r="83" spans="1:22" x14ac:dyDescent="0.25">
      <c r="A83">
        <v>81</v>
      </c>
      <c r="B83">
        <f t="shared" ref="B83:K92" ca="1" si="20">VLOOKUP($A83,Funnel_Data,B$1,FALSE)</f>
        <v>81</v>
      </c>
      <c r="C83" t="str">
        <f t="shared" ca="1" si="20"/>
        <v>Total Hip ReplacementProviderMERIDEN HOSPITAL (NT424)Oxford Hip Score</v>
      </c>
      <c r="D83" t="str">
        <f t="shared" ca="1" si="20"/>
        <v>Total Hip Replacement</v>
      </c>
      <c r="E83" t="str">
        <f t="shared" ca="1" si="20"/>
        <v>Provider</v>
      </c>
      <c r="F83" t="str">
        <f t="shared" ca="1" si="20"/>
        <v>NT424</v>
      </c>
      <c r="G83" t="str">
        <f t="shared" ca="1" si="20"/>
        <v>MERIDEN HOSPITAL (NT424)</v>
      </c>
      <c r="H83" t="str">
        <f t="shared" ca="1" si="20"/>
        <v>Oxford Hip Score</v>
      </c>
      <c r="I83">
        <f t="shared" ca="1" si="20"/>
        <v>6</v>
      </c>
      <c r="J83">
        <f t="shared" ca="1" si="20"/>
        <v>15.333299999999999</v>
      </c>
      <c r="K83">
        <f t="shared" ca="1" si="20"/>
        <v>43.833300000000001</v>
      </c>
      <c r="L83">
        <f t="shared" ref="L83:R92" ca="1" si="21">VLOOKUP($A83,Funnel_Data,L$1,FALSE)</f>
        <v>28.5</v>
      </c>
      <c r="M83">
        <f t="shared" ca="1" si="21"/>
        <v>6</v>
      </c>
      <c r="N83">
        <f t="shared" ca="1" si="21"/>
        <v>0</v>
      </c>
      <c r="O83">
        <f t="shared" ca="1" si="21"/>
        <v>0</v>
      </c>
      <c r="P83" t="str">
        <f t="shared" ca="1" si="21"/>
        <v>*</v>
      </c>
      <c r="Q83" t="str">
        <f t="shared" ca="1" si="21"/>
        <v>*</v>
      </c>
      <c r="R83" t="str">
        <f t="shared" ca="1" si="21"/>
        <v>*</v>
      </c>
      <c r="S83" t="e">
        <f t="shared" ca="1" si="16"/>
        <v>#N/A</v>
      </c>
      <c r="T83" t="e">
        <f t="shared" ca="1" si="17"/>
        <v>#N/A</v>
      </c>
      <c r="U83" t="e">
        <f ca="1">IF(AND($C83='Funnel setup'!$K$3&amp;'Funnel setup'!$K$6&amp;'Funnel setup'!$K$7&amp;'Funnel setup'!$K$4,'Funnel Lookup'!I83="*",'Funnel Lookup'!I83="*"),#N/A,IF(AND($C83='Funnel setup'!$K$3&amp;'Funnel setup'!$K$6&amp;'Funnel setup'!$K$7&amp;'Funnel setup'!$K$4,'Funnel Lookup'!I83&gt;29,'Funnel Lookup'!I83&lt;&gt;"-"),'Funnel Lookup'!I83,#N/A))</f>
        <v>#N/A</v>
      </c>
      <c r="V83" t="e">
        <f ca="1">IF(AND($C83='Funnel setup'!$K$3&amp;'Funnel setup'!$K$6&amp;'Funnel setup'!$K$7&amp;'Funnel setup'!$K$4,'Funnel Lookup'!I83="*",'Funnel Lookup'!I83="*"),#N/A,IF(AND($C83='Funnel setup'!$K$3&amp;'Funnel setup'!$K$6&amp;'Funnel setup'!$K$7&amp;'Funnel setup'!$K$4,'Funnel Lookup'!I83&gt;29,'Funnel Lookup'!I83&lt;&gt;"-"),'Funnel Lookup'!Q83,#N/A))</f>
        <v>#N/A</v>
      </c>
    </row>
    <row r="84" spans="1:22" x14ac:dyDescent="0.25">
      <c r="A84">
        <v>82</v>
      </c>
      <c r="B84">
        <f t="shared" ca="1" si="20"/>
        <v>82</v>
      </c>
      <c r="C84" t="str">
        <f t="shared" ca="1" si="20"/>
        <v>Total Hip ReplacementProviderMID AND SOUTH ESSEX NHS FOUNDATION TRUST (RAJ)Oxford Hip Score</v>
      </c>
      <c r="D84" t="str">
        <f t="shared" ca="1" si="20"/>
        <v>Total Hip Replacement</v>
      </c>
      <c r="E84" t="str">
        <f t="shared" ca="1" si="20"/>
        <v>Provider</v>
      </c>
      <c r="F84" t="str">
        <f t="shared" ca="1" si="20"/>
        <v>RAJ</v>
      </c>
      <c r="G84" t="str">
        <f t="shared" ca="1" si="20"/>
        <v>MID AND SOUTH ESSEX NHS FOUNDATION TRUST (RAJ)</v>
      </c>
      <c r="H84" t="str">
        <f t="shared" ca="1" si="20"/>
        <v>Oxford Hip Score</v>
      </c>
      <c r="I84">
        <f t="shared" ca="1" si="20"/>
        <v>127</v>
      </c>
      <c r="J84">
        <f t="shared" ca="1" si="20"/>
        <v>14.1417</v>
      </c>
      <c r="K84">
        <f t="shared" ca="1" si="20"/>
        <v>39.133899999999997</v>
      </c>
      <c r="L84">
        <f t="shared" ca="1" si="21"/>
        <v>24.992100000000001</v>
      </c>
      <c r="M84">
        <f t="shared" ca="1" si="21"/>
        <v>126</v>
      </c>
      <c r="N84">
        <f t="shared" ca="1" si="21"/>
        <v>0</v>
      </c>
      <c r="O84">
        <f t="shared" ca="1" si="21"/>
        <v>1</v>
      </c>
      <c r="P84">
        <f t="shared" ca="1" si="21"/>
        <v>40.532800000000002</v>
      </c>
      <c r="Q84">
        <f t="shared" ca="1" si="21"/>
        <v>23.321400000000001</v>
      </c>
      <c r="R84">
        <f t="shared" ca="1" si="21"/>
        <v>7.6601900000000001</v>
      </c>
      <c r="S84">
        <f t="shared" ca="1" si="16"/>
        <v>127</v>
      </c>
      <c r="T84">
        <f t="shared" ca="1" si="17"/>
        <v>23.321400000000001</v>
      </c>
      <c r="U84" t="e">
        <f ca="1">IF(AND($C84='Funnel setup'!$K$3&amp;'Funnel setup'!$K$6&amp;'Funnel setup'!$K$7&amp;'Funnel setup'!$K$4,'Funnel Lookup'!I84="*",'Funnel Lookup'!I84="*"),#N/A,IF(AND($C84='Funnel setup'!$K$3&amp;'Funnel setup'!$K$6&amp;'Funnel setup'!$K$7&amp;'Funnel setup'!$K$4,'Funnel Lookup'!I84&gt;29,'Funnel Lookup'!I84&lt;&gt;"-"),'Funnel Lookup'!I84,#N/A))</f>
        <v>#N/A</v>
      </c>
      <c r="V84" t="e">
        <f ca="1">IF(AND($C84='Funnel setup'!$K$3&amp;'Funnel setup'!$K$6&amp;'Funnel setup'!$K$7&amp;'Funnel setup'!$K$4,'Funnel Lookup'!I84="*",'Funnel Lookup'!I84="*"),#N/A,IF(AND($C84='Funnel setup'!$K$3&amp;'Funnel setup'!$K$6&amp;'Funnel setup'!$K$7&amp;'Funnel setup'!$K$4,'Funnel Lookup'!I84&gt;29,'Funnel Lookup'!I84&lt;&gt;"-"),'Funnel Lookup'!Q84,#N/A))</f>
        <v>#N/A</v>
      </c>
    </row>
    <row r="85" spans="1:22" x14ac:dyDescent="0.25">
      <c r="A85">
        <v>83</v>
      </c>
      <c r="B85">
        <f t="shared" ca="1" si="20"/>
        <v>83</v>
      </c>
      <c r="C85" t="str">
        <f t="shared" ca="1" si="20"/>
        <v>Total Hip ReplacementProviderMID CHESHIRE HOSPITALS NHS FOUNDATION TRUST (RBT)Oxford Hip Score</v>
      </c>
      <c r="D85" t="str">
        <f t="shared" ca="1" si="20"/>
        <v>Total Hip Replacement</v>
      </c>
      <c r="E85" t="str">
        <f t="shared" ca="1" si="20"/>
        <v>Provider</v>
      </c>
      <c r="F85" t="str">
        <f t="shared" ca="1" si="20"/>
        <v>RBT</v>
      </c>
      <c r="G85" t="str">
        <f t="shared" ca="1" si="20"/>
        <v>MID CHESHIRE HOSPITALS NHS FOUNDATION TRUST (RBT)</v>
      </c>
      <c r="H85" t="str">
        <f t="shared" ca="1" si="20"/>
        <v>Oxford Hip Score</v>
      </c>
      <c r="I85">
        <f t="shared" ca="1" si="20"/>
        <v>112</v>
      </c>
      <c r="J85">
        <f t="shared" ca="1" si="20"/>
        <v>16.401800000000001</v>
      </c>
      <c r="K85">
        <f t="shared" ca="1" si="20"/>
        <v>40.616100000000003</v>
      </c>
      <c r="L85">
        <f t="shared" ca="1" si="21"/>
        <v>24.214300000000001</v>
      </c>
      <c r="M85">
        <f t="shared" ca="1" si="21"/>
        <v>111</v>
      </c>
      <c r="N85">
        <f t="shared" ca="1" si="21"/>
        <v>1</v>
      </c>
      <c r="O85">
        <f t="shared" ca="1" si="21"/>
        <v>0</v>
      </c>
      <c r="P85">
        <f t="shared" ca="1" si="21"/>
        <v>40.838700000000003</v>
      </c>
      <c r="Q85">
        <f t="shared" ca="1" si="21"/>
        <v>23.627300000000002</v>
      </c>
      <c r="R85">
        <f t="shared" ca="1" si="21"/>
        <v>7.5113300000000001</v>
      </c>
      <c r="S85">
        <f t="shared" ca="1" si="16"/>
        <v>112</v>
      </c>
      <c r="T85">
        <f t="shared" ca="1" si="17"/>
        <v>23.627300000000002</v>
      </c>
      <c r="U85" t="e">
        <f ca="1">IF(AND($C85='Funnel setup'!$K$3&amp;'Funnel setup'!$K$6&amp;'Funnel setup'!$K$7&amp;'Funnel setup'!$K$4,'Funnel Lookup'!I85="*",'Funnel Lookup'!I85="*"),#N/A,IF(AND($C85='Funnel setup'!$K$3&amp;'Funnel setup'!$K$6&amp;'Funnel setup'!$K$7&amp;'Funnel setup'!$K$4,'Funnel Lookup'!I85&gt;29,'Funnel Lookup'!I85&lt;&gt;"-"),'Funnel Lookup'!I85,#N/A))</f>
        <v>#N/A</v>
      </c>
      <c r="V85" t="e">
        <f ca="1">IF(AND($C85='Funnel setup'!$K$3&amp;'Funnel setup'!$K$6&amp;'Funnel setup'!$K$7&amp;'Funnel setup'!$K$4,'Funnel Lookup'!I85="*",'Funnel Lookup'!I85="*"),#N/A,IF(AND($C85='Funnel setup'!$K$3&amp;'Funnel setup'!$K$6&amp;'Funnel setup'!$K$7&amp;'Funnel setup'!$K$4,'Funnel Lookup'!I85&gt;29,'Funnel Lookup'!I85&lt;&gt;"-"),'Funnel Lookup'!Q85,#N/A))</f>
        <v>#N/A</v>
      </c>
    </row>
    <row r="86" spans="1:22" x14ac:dyDescent="0.25">
      <c r="A86">
        <v>84</v>
      </c>
      <c r="B86">
        <f t="shared" ca="1" si="20"/>
        <v>84</v>
      </c>
      <c r="C86" t="str">
        <f t="shared" ca="1" si="20"/>
        <v>Total Hip ReplacementProviderMID YORKSHIRE TEACHING NHS TRUST (RXF)Oxford Hip Score</v>
      </c>
      <c r="D86" t="str">
        <f t="shared" ca="1" si="20"/>
        <v>Total Hip Replacement</v>
      </c>
      <c r="E86" t="str">
        <f t="shared" ca="1" si="20"/>
        <v>Provider</v>
      </c>
      <c r="F86" t="str">
        <f t="shared" ca="1" si="20"/>
        <v>RXF</v>
      </c>
      <c r="G86" t="str">
        <f t="shared" ca="1" si="20"/>
        <v>MID YORKSHIRE TEACHING NHS TRUST (RXF)</v>
      </c>
      <c r="H86" t="str">
        <f t="shared" ca="1" si="20"/>
        <v>Oxford Hip Score</v>
      </c>
      <c r="I86">
        <f t="shared" ca="1" si="20"/>
        <v>187</v>
      </c>
      <c r="J86">
        <f t="shared" ca="1" si="20"/>
        <v>16.507999999999999</v>
      </c>
      <c r="K86">
        <f t="shared" ca="1" si="20"/>
        <v>37.855600000000003</v>
      </c>
      <c r="L86">
        <f t="shared" ca="1" si="21"/>
        <v>21.3476</v>
      </c>
      <c r="M86">
        <f t="shared" ca="1" si="21"/>
        <v>182</v>
      </c>
      <c r="N86">
        <f t="shared" ca="1" si="21"/>
        <v>0</v>
      </c>
      <c r="O86">
        <f t="shared" ca="1" si="21"/>
        <v>5</v>
      </c>
      <c r="P86">
        <f t="shared" ca="1" si="21"/>
        <v>39.020800000000001</v>
      </c>
      <c r="Q86">
        <f t="shared" ca="1" si="21"/>
        <v>21.8094</v>
      </c>
      <c r="R86">
        <f t="shared" ca="1" si="21"/>
        <v>9.5394699999999997</v>
      </c>
      <c r="S86">
        <f t="shared" ca="1" si="16"/>
        <v>187</v>
      </c>
      <c r="T86">
        <f t="shared" ca="1" si="17"/>
        <v>21.8094</v>
      </c>
      <c r="U86" t="e">
        <f ca="1">IF(AND($C86='Funnel setup'!$K$3&amp;'Funnel setup'!$K$6&amp;'Funnel setup'!$K$7&amp;'Funnel setup'!$K$4,'Funnel Lookup'!I86="*",'Funnel Lookup'!I86="*"),#N/A,IF(AND($C86='Funnel setup'!$K$3&amp;'Funnel setup'!$K$6&amp;'Funnel setup'!$K$7&amp;'Funnel setup'!$K$4,'Funnel Lookup'!I86&gt;29,'Funnel Lookup'!I86&lt;&gt;"-"),'Funnel Lookup'!I86,#N/A))</f>
        <v>#N/A</v>
      </c>
      <c r="V86" t="e">
        <f ca="1">IF(AND($C86='Funnel setup'!$K$3&amp;'Funnel setup'!$K$6&amp;'Funnel setup'!$K$7&amp;'Funnel setup'!$K$4,'Funnel Lookup'!I86="*",'Funnel Lookup'!I86="*"),#N/A,IF(AND($C86='Funnel setup'!$K$3&amp;'Funnel setup'!$K$6&amp;'Funnel setup'!$K$7&amp;'Funnel setup'!$K$4,'Funnel Lookup'!I86&gt;29,'Funnel Lookup'!I86&lt;&gt;"-"),'Funnel Lookup'!Q86,#N/A))</f>
        <v>#N/A</v>
      </c>
    </row>
    <row r="87" spans="1:22" x14ac:dyDescent="0.25">
      <c r="A87">
        <v>85</v>
      </c>
      <c r="B87">
        <f t="shared" ca="1" si="20"/>
        <v>85</v>
      </c>
      <c r="C87" t="str">
        <f t="shared" ca="1" si="20"/>
        <v>Total Hip ReplacementProviderMILTON KEYNES UNIVERSITY HOSPITAL NHS FOUNDATION TRUST (RD8)Oxford Hip Score</v>
      </c>
      <c r="D87" t="str">
        <f t="shared" ca="1" si="20"/>
        <v>Total Hip Replacement</v>
      </c>
      <c r="E87" t="str">
        <f t="shared" ca="1" si="20"/>
        <v>Provider</v>
      </c>
      <c r="F87" t="str">
        <f t="shared" ca="1" si="20"/>
        <v>RD8</v>
      </c>
      <c r="G87" t="str">
        <f t="shared" ca="1" si="20"/>
        <v>MILTON KEYNES UNIVERSITY HOSPITAL NHS FOUNDATION TRUST (RD8)</v>
      </c>
      <c r="H87" t="str">
        <f t="shared" ca="1" si="20"/>
        <v>Oxford Hip Score</v>
      </c>
      <c r="I87">
        <f t="shared" ca="1" si="20"/>
        <v>39</v>
      </c>
      <c r="J87">
        <f t="shared" ca="1" si="20"/>
        <v>12.225</v>
      </c>
      <c r="K87">
        <f t="shared" ca="1" si="20"/>
        <v>39.325000000000003</v>
      </c>
      <c r="L87">
        <f t="shared" ca="1" si="21"/>
        <v>27.1</v>
      </c>
      <c r="M87">
        <f t="shared" ca="1" si="21"/>
        <v>39</v>
      </c>
      <c r="N87">
        <f t="shared" ca="1" si="21"/>
        <v>0</v>
      </c>
      <c r="O87">
        <f t="shared" ca="1" si="21"/>
        <v>0</v>
      </c>
      <c r="P87">
        <f t="shared" ca="1" si="21"/>
        <v>42.176600000000001</v>
      </c>
      <c r="Q87">
        <f t="shared" ca="1" si="21"/>
        <v>24.965199999999999</v>
      </c>
      <c r="R87">
        <f t="shared" ca="1" si="21"/>
        <v>8.8437900000000003</v>
      </c>
      <c r="S87">
        <f t="shared" ca="1" si="16"/>
        <v>39</v>
      </c>
      <c r="T87">
        <f t="shared" ca="1" si="17"/>
        <v>24.965199999999999</v>
      </c>
      <c r="U87" t="e">
        <f ca="1">IF(AND($C87='Funnel setup'!$K$3&amp;'Funnel setup'!$K$6&amp;'Funnel setup'!$K$7&amp;'Funnel setup'!$K$4,'Funnel Lookup'!I87="*",'Funnel Lookup'!I87="*"),#N/A,IF(AND($C87='Funnel setup'!$K$3&amp;'Funnel setup'!$K$6&amp;'Funnel setup'!$K$7&amp;'Funnel setup'!$K$4,'Funnel Lookup'!I87&gt;29,'Funnel Lookup'!I87&lt;&gt;"-"),'Funnel Lookup'!I87,#N/A))</f>
        <v>#N/A</v>
      </c>
      <c r="V87" t="e">
        <f ca="1">IF(AND($C87='Funnel setup'!$K$3&amp;'Funnel setup'!$K$6&amp;'Funnel setup'!$K$7&amp;'Funnel setup'!$K$4,'Funnel Lookup'!I87="*",'Funnel Lookup'!I87="*"),#N/A,IF(AND($C87='Funnel setup'!$K$3&amp;'Funnel setup'!$K$6&amp;'Funnel setup'!$K$7&amp;'Funnel setup'!$K$4,'Funnel Lookup'!I87&gt;29,'Funnel Lookup'!I87&lt;&gt;"-"),'Funnel Lookup'!Q87,#N/A))</f>
        <v>#N/A</v>
      </c>
    </row>
    <row r="88" spans="1:22" x14ac:dyDescent="0.25">
      <c r="A88">
        <v>86</v>
      </c>
      <c r="B88">
        <f t="shared" ca="1" si="20"/>
        <v>86</v>
      </c>
      <c r="C88" t="str">
        <f t="shared" ca="1" si="20"/>
        <v>Total Hip ReplacementProviderMOUNT ALVERNIA HOSPITAL (NT455)Oxford Hip Score</v>
      </c>
      <c r="D88" t="str">
        <f t="shared" ca="1" si="20"/>
        <v>Total Hip Replacement</v>
      </c>
      <c r="E88" t="str">
        <f t="shared" ca="1" si="20"/>
        <v>Provider</v>
      </c>
      <c r="F88" t="str">
        <f t="shared" ca="1" si="20"/>
        <v>NT455</v>
      </c>
      <c r="G88" t="str">
        <f t="shared" ca="1" si="20"/>
        <v>MOUNT ALVERNIA HOSPITAL (NT455)</v>
      </c>
      <c r="H88" t="str">
        <f t="shared" ca="1" si="20"/>
        <v>Oxford Hip Score</v>
      </c>
      <c r="I88">
        <f t="shared" ca="1" si="20"/>
        <v>8</v>
      </c>
      <c r="J88">
        <f t="shared" ca="1" si="20"/>
        <v>23.25</v>
      </c>
      <c r="K88">
        <f t="shared" ca="1" si="20"/>
        <v>46.25</v>
      </c>
      <c r="L88">
        <f t="shared" ca="1" si="21"/>
        <v>23</v>
      </c>
      <c r="M88">
        <f t="shared" ca="1" si="21"/>
        <v>8</v>
      </c>
      <c r="N88">
        <f t="shared" ca="1" si="21"/>
        <v>0</v>
      </c>
      <c r="O88">
        <f t="shared" ca="1" si="21"/>
        <v>0</v>
      </c>
      <c r="P88" t="str">
        <f t="shared" ca="1" si="21"/>
        <v>*</v>
      </c>
      <c r="Q88" t="str">
        <f t="shared" ca="1" si="21"/>
        <v>*</v>
      </c>
      <c r="R88" t="str">
        <f t="shared" ca="1" si="21"/>
        <v>*</v>
      </c>
      <c r="S88" t="e">
        <f t="shared" ca="1" si="16"/>
        <v>#N/A</v>
      </c>
      <c r="T88" t="e">
        <f t="shared" ca="1" si="17"/>
        <v>#N/A</v>
      </c>
      <c r="U88" t="e">
        <f ca="1">IF(AND($C88='Funnel setup'!$K$3&amp;'Funnel setup'!$K$6&amp;'Funnel setup'!$K$7&amp;'Funnel setup'!$K$4,'Funnel Lookup'!I88="*",'Funnel Lookup'!I88="*"),#N/A,IF(AND($C88='Funnel setup'!$K$3&amp;'Funnel setup'!$K$6&amp;'Funnel setup'!$K$7&amp;'Funnel setup'!$K$4,'Funnel Lookup'!I88&gt;29,'Funnel Lookup'!I88&lt;&gt;"-"),'Funnel Lookup'!I88,#N/A))</f>
        <v>#N/A</v>
      </c>
      <c r="V88" t="e">
        <f ca="1">IF(AND($C88='Funnel setup'!$K$3&amp;'Funnel setup'!$K$6&amp;'Funnel setup'!$K$7&amp;'Funnel setup'!$K$4,'Funnel Lookup'!I88="*",'Funnel Lookup'!I88="*"),#N/A,IF(AND($C88='Funnel setup'!$K$3&amp;'Funnel setup'!$K$6&amp;'Funnel setup'!$K$7&amp;'Funnel setup'!$K$4,'Funnel Lookup'!I88&gt;29,'Funnel Lookup'!I88&lt;&gt;"-"),'Funnel Lookup'!Q88,#N/A))</f>
        <v>#N/A</v>
      </c>
    </row>
    <row r="89" spans="1:22" x14ac:dyDescent="0.25">
      <c r="A89">
        <v>87</v>
      </c>
      <c r="B89">
        <f t="shared" ca="1" si="20"/>
        <v>87</v>
      </c>
      <c r="C89" t="str">
        <f t="shared" ca="1" si="20"/>
        <v>Total Hip ReplacementProviderMOUNT STUART HOSPITAL (NVC08)Oxford Hip Score</v>
      </c>
      <c r="D89" t="str">
        <f t="shared" ca="1" si="20"/>
        <v>Total Hip Replacement</v>
      </c>
      <c r="E89" t="str">
        <f t="shared" ca="1" si="20"/>
        <v>Provider</v>
      </c>
      <c r="F89" t="str">
        <f t="shared" ca="1" si="20"/>
        <v>NVC08</v>
      </c>
      <c r="G89" t="str">
        <f t="shared" ca="1" si="20"/>
        <v>MOUNT STUART HOSPITAL (NVC08)</v>
      </c>
      <c r="H89" t="str">
        <f t="shared" ca="1" si="20"/>
        <v>Oxford Hip Score</v>
      </c>
      <c r="I89">
        <f t="shared" ca="1" si="20"/>
        <v>88</v>
      </c>
      <c r="J89">
        <f t="shared" ca="1" si="20"/>
        <v>16.329499999999999</v>
      </c>
      <c r="K89">
        <f t="shared" ca="1" si="20"/>
        <v>40.8977</v>
      </c>
      <c r="L89">
        <f t="shared" ca="1" si="21"/>
        <v>24.568200000000001</v>
      </c>
      <c r="M89">
        <f t="shared" ca="1" si="21"/>
        <v>87</v>
      </c>
      <c r="N89">
        <f t="shared" ca="1" si="21"/>
        <v>0</v>
      </c>
      <c r="O89">
        <f t="shared" ca="1" si="21"/>
        <v>1</v>
      </c>
      <c r="P89">
        <f t="shared" ca="1" si="21"/>
        <v>41.337699999999998</v>
      </c>
      <c r="Q89">
        <f t="shared" ca="1" si="21"/>
        <v>24.126200000000001</v>
      </c>
      <c r="R89">
        <f t="shared" ca="1" si="21"/>
        <v>7.7504200000000001</v>
      </c>
      <c r="S89">
        <f t="shared" ca="1" si="16"/>
        <v>88</v>
      </c>
      <c r="T89">
        <f t="shared" ca="1" si="17"/>
        <v>24.126200000000001</v>
      </c>
      <c r="U89" t="e">
        <f ca="1">IF(AND($C89='Funnel setup'!$K$3&amp;'Funnel setup'!$K$6&amp;'Funnel setup'!$K$7&amp;'Funnel setup'!$K$4,'Funnel Lookup'!I89="*",'Funnel Lookup'!I89="*"),#N/A,IF(AND($C89='Funnel setup'!$K$3&amp;'Funnel setup'!$K$6&amp;'Funnel setup'!$K$7&amp;'Funnel setup'!$K$4,'Funnel Lookup'!I89&gt;29,'Funnel Lookup'!I89&lt;&gt;"-"),'Funnel Lookup'!I89,#N/A))</f>
        <v>#N/A</v>
      </c>
      <c r="V89" t="e">
        <f ca="1">IF(AND($C89='Funnel setup'!$K$3&amp;'Funnel setup'!$K$6&amp;'Funnel setup'!$K$7&amp;'Funnel setup'!$K$4,'Funnel Lookup'!I89="*",'Funnel Lookup'!I89="*"),#N/A,IF(AND($C89='Funnel setup'!$K$3&amp;'Funnel setup'!$K$6&amp;'Funnel setup'!$K$7&amp;'Funnel setup'!$K$4,'Funnel Lookup'!I89&gt;29,'Funnel Lookup'!I89&lt;&gt;"-"),'Funnel Lookup'!Q89,#N/A))</f>
        <v>#N/A</v>
      </c>
    </row>
    <row r="90" spans="1:22" x14ac:dyDescent="0.25">
      <c r="A90">
        <v>88</v>
      </c>
      <c r="B90">
        <f t="shared" ca="1" si="20"/>
        <v>88</v>
      </c>
      <c r="C90" t="str">
        <f t="shared" ca="1" si="20"/>
        <v>Total Hip ReplacementProviderNEW HALL HOSPITAL (NVC09)Oxford Hip Score</v>
      </c>
      <c r="D90" t="str">
        <f t="shared" ca="1" si="20"/>
        <v>Total Hip Replacement</v>
      </c>
      <c r="E90" t="str">
        <f t="shared" ca="1" si="20"/>
        <v>Provider</v>
      </c>
      <c r="F90" t="str">
        <f t="shared" ca="1" si="20"/>
        <v>NVC09</v>
      </c>
      <c r="G90" t="str">
        <f t="shared" ca="1" si="20"/>
        <v>NEW HALL HOSPITAL (NVC09)</v>
      </c>
      <c r="H90" t="str">
        <f t="shared" ca="1" si="20"/>
        <v>Oxford Hip Score</v>
      </c>
      <c r="I90">
        <f t="shared" ca="1" si="20"/>
        <v>94</v>
      </c>
      <c r="J90">
        <f t="shared" ca="1" si="20"/>
        <v>18.052600000000002</v>
      </c>
      <c r="K90">
        <f t="shared" ca="1" si="20"/>
        <v>41.547400000000003</v>
      </c>
      <c r="L90">
        <f t="shared" ca="1" si="21"/>
        <v>23.494700000000002</v>
      </c>
      <c r="M90">
        <f t="shared" ca="1" si="21"/>
        <v>94</v>
      </c>
      <c r="N90">
        <f t="shared" ca="1" si="21"/>
        <v>0</v>
      </c>
      <c r="O90">
        <f t="shared" ca="1" si="21"/>
        <v>0</v>
      </c>
      <c r="P90">
        <f t="shared" ca="1" si="21"/>
        <v>40.186300000000003</v>
      </c>
      <c r="Q90">
        <f t="shared" ca="1" si="21"/>
        <v>22.974900000000002</v>
      </c>
      <c r="R90">
        <f t="shared" ca="1" si="21"/>
        <v>7.4834399999999999</v>
      </c>
      <c r="S90">
        <f t="shared" ca="1" si="16"/>
        <v>94</v>
      </c>
      <c r="T90">
        <f t="shared" ca="1" si="17"/>
        <v>22.974900000000002</v>
      </c>
      <c r="U90" t="e">
        <f ca="1">IF(AND($C90='Funnel setup'!$K$3&amp;'Funnel setup'!$K$6&amp;'Funnel setup'!$K$7&amp;'Funnel setup'!$K$4,'Funnel Lookup'!I90="*",'Funnel Lookup'!I90="*"),#N/A,IF(AND($C90='Funnel setup'!$K$3&amp;'Funnel setup'!$K$6&amp;'Funnel setup'!$K$7&amp;'Funnel setup'!$K$4,'Funnel Lookup'!I90&gt;29,'Funnel Lookup'!I90&lt;&gt;"-"),'Funnel Lookup'!I90,#N/A))</f>
        <v>#N/A</v>
      </c>
      <c r="V90" t="e">
        <f ca="1">IF(AND($C90='Funnel setup'!$K$3&amp;'Funnel setup'!$K$6&amp;'Funnel setup'!$K$7&amp;'Funnel setup'!$K$4,'Funnel Lookup'!I90="*",'Funnel Lookup'!I90="*"),#N/A,IF(AND($C90='Funnel setup'!$K$3&amp;'Funnel setup'!$K$6&amp;'Funnel setup'!$K$7&amp;'Funnel setup'!$K$4,'Funnel Lookup'!I90&gt;29,'Funnel Lookup'!I90&lt;&gt;"-"),'Funnel Lookup'!Q90,#N/A))</f>
        <v>#N/A</v>
      </c>
    </row>
    <row r="91" spans="1:22" x14ac:dyDescent="0.25">
      <c r="A91">
        <v>89</v>
      </c>
      <c r="B91">
        <f t="shared" ca="1" si="20"/>
        <v>89</v>
      </c>
      <c r="C91" t="str">
        <f t="shared" ca="1" si="20"/>
        <v>Total Hip ReplacementProviderNORFOLK AND NORWICH UNIVERSITY HOSPITALS NHS FOUNDATION TRUST (RM1)Oxford Hip Score</v>
      </c>
      <c r="D91" t="str">
        <f t="shared" ca="1" si="20"/>
        <v>Total Hip Replacement</v>
      </c>
      <c r="E91" t="str">
        <f t="shared" ca="1" si="20"/>
        <v>Provider</v>
      </c>
      <c r="F91" t="str">
        <f t="shared" ca="1" si="20"/>
        <v>RM1</v>
      </c>
      <c r="G91" t="str">
        <f t="shared" ca="1" si="20"/>
        <v>NORFOLK AND NORWICH UNIVERSITY HOSPITALS NHS FOUNDATION TRUST (RM1)</v>
      </c>
      <c r="H91" t="str">
        <f t="shared" ca="1" si="20"/>
        <v>Oxford Hip Score</v>
      </c>
      <c r="I91">
        <f t="shared" ca="1" si="20"/>
        <v>202</v>
      </c>
      <c r="J91">
        <f t="shared" ca="1" si="20"/>
        <v>14.7822</v>
      </c>
      <c r="K91">
        <f t="shared" ca="1" si="20"/>
        <v>37.792099999999998</v>
      </c>
      <c r="L91">
        <f t="shared" ca="1" si="21"/>
        <v>23.009899999999998</v>
      </c>
      <c r="M91">
        <f t="shared" ca="1" si="21"/>
        <v>194</v>
      </c>
      <c r="N91">
        <f t="shared" ca="1" si="21"/>
        <v>1</v>
      </c>
      <c r="O91">
        <f t="shared" ca="1" si="21"/>
        <v>7</v>
      </c>
      <c r="P91">
        <f t="shared" ca="1" si="21"/>
        <v>40.155200000000001</v>
      </c>
      <c r="Q91">
        <f t="shared" ca="1" si="21"/>
        <v>22.9438</v>
      </c>
      <c r="R91">
        <f t="shared" ca="1" si="21"/>
        <v>9.2104099999999995</v>
      </c>
      <c r="S91">
        <f t="shared" ca="1" si="16"/>
        <v>202</v>
      </c>
      <c r="T91">
        <f t="shared" ca="1" si="17"/>
        <v>22.9438</v>
      </c>
      <c r="U91" t="e">
        <f ca="1">IF(AND($C91='Funnel setup'!$K$3&amp;'Funnel setup'!$K$6&amp;'Funnel setup'!$K$7&amp;'Funnel setup'!$K$4,'Funnel Lookup'!I91="*",'Funnel Lookup'!I91="*"),#N/A,IF(AND($C91='Funnel setup'!$K$3&amp;'Funnel setup'!$K$6&amp;'Funnel setup'!$K$7&amp;'Funnel setup'!$K$4,'Funnel Lookup'!I91&gt;29,'Funnel Lookup'!I91&lt;&gt;"-"),'Funnel Lookup'!I91,#N/A))</f>
        <v>#N/A</v>
      </c>
      <c r="V91" t="e">
        <f ca="1">IF(AND($C91='Funnel setup'!$K$3&amp;'Funnel setup'!$K$6&amp;'Funnel setup'!$K$7&amp;'Funnel setup'!$K$4,'Funnel Lookup'!I91="*",'Funnel Lookup'!I91="*"),#N/A,IF(AND($C91='Funnel setup'!$K$3&amp;'Funnel setup'!$K$6&amp;'Funnel setup'!$K$7&amp;'Funnel setup'!$K$4,'Funnel Lookup'!I91&gt;29,'Funnel Lookup'!I91&lt;&gt;"-"),'Funnel Lookup'!Q91,#N/A))</f>
        <v>#N/A</v>
      </c>
    </row>
    <row r="92" spans="1:22" x14ac:dyDescent="0.25">
      <c r="A92">
        <v>90</v>
      </c>
      <c r="B92">
        <f t="shared" ca="1" si="20"/>
        <v>90</v>
      </c>
      <c r="C92" t="str">
        <f t="shared" ca="1" si="20"/>
        <v>Total Hip ReplacementProviderNORTH BRISTOL NHS TRUST (RVJ)Oxford Hip Score</v>
      </c>
      <c r="D92" t="str">
        <f t="shared" ca="1" si="20"/>
        <v>Total Hip Replacement</v>
      </c>
      <c r="E92" t="str">
        <f t="shared" ca="1" si="20"/>
        <v>Provider</v>
      </c>
      <c r="F92" t="str">
        <f t="shared" ca="1" si="20"/>
        <v>RVJ</v>
      </c>
      <c r="G92" t="str">
        <f t="shared" ca="1" si="20"/>
        <v>NORTH BRISTOL NHS TRUST (RVJ)</v>
      </c>
      <c r="H92" t="str">
        <f t="shared" ca="1" si="20"/>
        <v>Oxford Hip Score</v>
      </c>
      <c r="I92">
        <f t="shared" ca="1" si="20"/>
        <v>9</v>
      </c>
      <c r="J92">
        <f t="shared" ca="1" si="20"/>
        <v>11.4444</v>
      </c>
      <c r="K92">
        <f t="shared" ca="1" si="20"/>
        <v>35.333300000000001</v>
      </c>
      <c r="L92">
        <f t="shared" ca="1" si="21"/>
        <v>23.8889</v>
      </c>
      <c r="M92">
        <f t="shared" ca="1" si="21"/>
        <v>9</v>
      </c>
      <c r="N92">
        <f t="shared" ca="1" si="21"/>
        <v>0</v>
      </c>
      <c r="O92">
        <f t="shared" ca="1" si="21"/>
        <v>0</v>
      </c>
      <c r="P92" t="str">
        <f t="shared" ca="1" si="21"/>
        <v>*</v>
      </c>
      <c r="Q92" t="str">
        <f t="shared" ca="1" si="21"/>
        <v>*</v>
      </c>
      <c r="R92" t="str">
        <f t="shared" ca="1" si="21"/>
        <v>*</v>
      </c>
      <c r="S92" t="e">
        <f t="shared" ca="1" si="16"/>
        <v>#N/A</v>
      </c>
      <c r="T92" t="e">
        <f t="shared" ca="1" si="17"/>
        <v>#N/A</v>
      </c>
      <c r="U92" t="e">
        <f ca="1">IF(AND($C92='Funnel setup'!$K$3&amp;'Funnel setup'!$K$6&amp;'Funnel setup'!$K$7&amp;'Funnel setup'!$K$4,'Funnel Lookup'!I92="*",'Funnel Lookup'!I92="*"),#N/A,IF(AND($C92='Funnel setup'!$K$3&amp;'Funnel setup'!$K$6&amp;'Funnel setup'!$K$7&amp;'Funnel setup'!$K$4,'Funnel Lookup'!I92&gt;29,'Funnel Lookup'!I92&lt;&gt;"-"),'Funnel Lookup'!I92,#N/A))</f>
        <v>#N/A</v>
      </c>
      <c r="V92" t="e">
        <f ca="1">IF(AND($C92='Funnel setup'!$K$3&amp;'Funnel setup'!$K$6&amp;'Funnel setup'!$K$7&amp;'Funnel setup'!$K$4,'Funnel Lookup'!I92="*",'Funnel Lookup'!I92="*"),#N/A,IF(AND($C92='Funnel setup'!$K$3&amp;'Funnel setup'!$K$6&amp;'Funnel setup'!$K$7&amp;'Funnel setup'!$K$4,'Funnel Lookup'!I92&gt;29,'Funnel Lookup'!I92&lt;&gt;"-"),'Funnel Lookup'!Q92,#N/A))</f>
        <v>#N/A</v>
      </c>
    </row>
    <row r="93" spans="1:22" x14ac:dyDescent="0.25">
      <c r="A93">
        <v>91</v>
      </c>
      <c r="B93">
        <f t="shared" ref="B93:K102" ca="1" si="22">VLOOKUP($A93,Funnel_Data,B$1,FALSE)</f>
        <v>91</v>
      </c>
      <c r="C93" t="str">
        <f t="shared" ca="1" si="22"/>
        <v>Total Hip ReplacementProviderNORTH CUMBRIA INTEGRATED CARE NHS FOUNDATION TRUST (RNN)Oxford Hip Score</v>
      </c>
      <c r="D93" t="str">
        <f t="shared" ca="1" si="22"/>
        <v>Total Hip Replacement</v>
      </c>
      <c r="E93" t="str">
        <f t="shared" ca="1" si="22"/>
        <v>Provider</v>
      </c>
      <c r="F93" t="str">
        <f t="shared" ca="1" si="22"/>
        <v>RNN</v>
      </c>
      <c r="G93" t="str">
        <f t="shared" ca="1" si="22"/>
        <v>NORTH CUMBRIA INTEGRATED CARE NHS FOUNDATION TRUST (RNN)</v>
      </c>
      <c r="H93" t="str">
        <f t="shared" ca="1" si="22"/>
        <v>Oxford Hip Score</v>
      </c>
      <c r="I93">
        <f t="shared" ca="1" si="22"/>
        <v>90</v>
      </c>
      <c r="J93">
        <f t="shared" ca="1" si="22"/>
        <v>12.3889</v>
      </c>
      <c r="K93">
        <f t="shared" ca="1" si="22"/>
        <v>38.6</v>
      </c>
      <c r="L93">
        <f t="shared" ref="L93:R102" ca="1" si="23">VLOOKUP($A93,Funnel_Data,L$1,FALSE)</f>
        <v>26.211099999999998</v>
      </c>
      <c r="M93">
        <f t="shared" ca="1" si="23"/>
        <v>89</v>
      </c>
      <c r="N93">
        <f t="shared" ca="1" si="23"/>
        <v>0</v>
      </c>
      <c r="O93">
        <f t="shared" ca="1" si="23"/>
        <v>1</v>
      </c>
      <c r="P93">
        <f t="shared" ca="1" si="23"/>
        <v>41.608400000000003</v>
      </c>
      <c r="Q93">
        <f t="shared" ca="1" si="23"/>
        <v>24.396999999999998</v>
      </c>
      <c r="R93">
        <f t="shared" ca="1" si="23"/>
        <v>8.2959300000000002</v>
      </c>
      <c r="S93">
        <f t="shared" ca="1" si="16"/>
        <v>90</v>
      </c>
      <c r="T93">
        <f t="shared" ca="1" si="17"/>
        <v>24.396999999999998</v>
      </c>
      <c r="U93" t="e">
        <f ca="1">IF(AND($C93='Funnel setup'!$K$3&amp;'Funnel setup'!$K$6&amp;'Funnel setup'!$K$7&amp;'Funnel setup'!$K$4,'Funnel Lookup'!I93="*",'Funnel Lookup'!I93="*"),#N/A,IF(AND($C93='Funnel setup'!$K$3&amp;'Funnel setup'!$K$6&amp;'Funnel setup'!$K$7&amp;'Funnel setup'!$K$4,'Funnel Lookup'!I93&gt;29,'Funnel Lookup'!I93&lt;&gt;"-"),'Funnel Lookup'!I93,#N/A))</f>
        <v>#N/A</v>
      </c>
      <c r="V93" t="e">
        <f ca="1">IF(AND($C93='Funnel setup'!$K$3&amp;'Funnel setup'!$K$6&amp;'Funnel setup'!$K$7&amp;'Funnel setup'!$K$4,'Funnel Lookup'!I93="*",'Funnel Lookup'!I93="*"),#N/A,IF(AND($C93='Funnel setup'!$K$3&amp;'Funnel setup'!$K$6&amp;'Funnel setup'!$K$7&amp;'Funnel setup'!$K$4,'Funnel Lookup'!I93&gt;29,'Funnel Lookup'!I93&lt;&gt;"-"),'Funnel Lookup'!Q93,#N/A))</f>
        <v>#N/A</v>
      </c>
    </row>
    <row r="94" spans="1:22" x14ac:dyDescent="0.25">
      <c r="A94">
        <v>92</v>
      </c>
      <c r="B94">
        <f t="shared" ca="1" si="22"/>
        <v>92</v>
      </c>
      <c r="C94" t="str">
        <f t="shared" ca="1" si="22"/>
        <v>Total Hip ReplacementProviderNORTH DOWNS HOSPITAL (NVC11)Oxford Hip Score</v>
      </c>
      <c r="D94" t="str">
        <f t="shared" ca="1" si="22"/>
        <v>Total Hip Replacement</v>
      </c>
      <c r="E94" t="str">
        <f t="shared" ca="1" si="22"/>
        <v>Provider</v>
      </c>
      <c r="F94" t="str">
        <f t="shared" ca="1" si="22"/>
        <v>NVC11</v>
      </c>
      <c r="G94" t="str">
        <f t="shared" ca="1" si="22"/>
        <v>NORTH DOWNS HOSPITAL (NVC11)</v>
      </c>
      <c r="H94" t="str">
        <f t="shared" ca="1" si="22"/>
        <v>Oxford Hip Score</v>
      </c>
      <c r="I94">
        <f t="shared" ca="1" si="22"/>
        <v>60</v>
      </c>
      <c r="J94">
        <f t="shared" ca="1" si="22"/>
        <v>20.571400000000001</v>
      </c>
      <c r="K94">
        <f t="shared" ca="1" si="22"/>
        <v>43.095199999999998</v>
      </c>
      <c r="L94">
        <f t="shared" ca="1" si="23"/>
        <v>22.523800000000001</v>
      </c>
      <c r="M94">
        <f t="shared" ca="1" si="23"/>
        <v>59</v>
      </c>
      <c r="N94">
        <f t="shared" ca="1" si="23"/>
        <v>0</v>
      </c>
      <c r="O94">
        <f t="shared" ca="1" si="23"/>
        <v>1</v>
      </c>
      <c r="P94">
        <f t="shared" ca="1" si="23"/>
        <v>40.416699999999999</v>
      </c>
      <c r="Q94">
        <f t="shared" ca="1" si="23"/>
        <v>23.205300000000001</v>
      </c>
      <c r="R94">
        <f t="shared" ca="1" si="23"/>
        <v>6.2107999999999999</v>
      </c>
      <c r="S94">
        <f t="shared" ca="1" si="16"/>
        <v>60</v>
      </c>
      <c r="T94">
        <f t="shared" ca="1" si="17"/>
        <v>23.205300000000001</v>
      </c>
      <c r="U94" t="e">
        <f ca="1">IF(AND($C94='Funnel setup'!$K$3&amp;'Funnel setup'!$K$6&amp;'Funnel setup'!$K$7&amp;'Funnel setup'!$K$4,'Funnel Lookup'!I94="*",'Funnel Lookup'!I94="*"),#N/A,IF(AND($C94='Funnel setup'!$K$3&amp;'Funnel setup'!$K$6&amp;'Funnel setup'!$K$7&amp;'Funnel setup'!$K$4,'Funnel Lookup'!I94&gt;29,'Funnel Lookup'!I94&lt;&gt;"-"),'Funnel Lookup'!I94,#N/A))</f>
        <v>#N/A</v>
      </c>
      <c r="V94" t="e">
        <f ca="1">IF(AND($C94='Funnel setup'!$K$3&amp;'Funnel setup'!$K$6&amp;'Funnel setup'!$K$7&amp;'Funnel setup'!$K$4,'Funnel Lookup'!I94="*",'Funnel Lookup'!I94="*"),#N/A,IF(AND($C94='Funnel setup'!$K$3&amp;'Funnel setup'!$K$6&amp;'Funnel setup'!$K$7&amp;'Funnel setup'!$K$4,'Funnel Lookup'!I94&gt;29,'Funnel Lookup'!I94&lt;&gt;"-"),'Funnel Lookup'!Q94,#N/A))</f>
        <v>#N/A</v>
      </c>
    </row>
    <row r="95" spans="1:22" x14ac:dyDescent="0.25">
      <c r="A95">
        <v>93</v>
      </c>
      <c r="B95">
        <f t="shared" ca="1" si="22"/>
        <v>93</v>
      </c>
      <c r="C95" t="str">
        <f t="shared" ca="1" si="22"/>
        <v>Total Hip ReplacementProviderNORTH MIDDLESEX UNIVERSITY HOSPITAL NHS TRUST (RAP)Oxford Hip Score</v>
      </c>
      <c r="D95" t="str">
        <f t="shared" ca="1" si="22"/>
        <v>Total Hip Replacement</v>
      </c>
      <c r="E95" t="str">
        <f t="shared" ca="1" si="22"/>
        <v>Provider</v>
      </c>
      <c r="F95" t="str">
        <f t="shared" ca="1" si="22"/>
        <v>RAP</v>
      </c>
      <c r="G95" t="str">
        <f t="shared" ca="1" si="22"/>
        <v>NORTH MIDDLESEX UNIVERSITY HOSPITAL NHS TRUST (RAP)</v>
      </c>
      <c r="H95" t="str">
        <f t="shared" ca="1" si="22"/>
        <v>Oxford Hip Score</v>
      </c>
      <c r="I95">
        <f t="shared" ca="1" si="22"/>
        <v>8</v>
      </c>
      <c r="J95">
        <f t="shared" ca="1" si="22"/>
        <v>12.5</v>
      </c>
      <c r="K95">
        <f t="shared" ca="1" si="22"/>
        <v>26.25</v>
      </c>
      <c r="L95">
        <f t="shared" ca="1" si="23"/>
        <v>13.75</v>
      </c>
      <c r="M95">
        <f t="shared" ca="1" si="23"/>
        <v>6</v>
      </c>
      <c r="N95">
        <f t="shared" ca="1" si="23"/>
        <v>1</v>
      </c>
      <c r="O95">
        <f t="shared" ca="1" si="23"/>
        <v>1</v>
      </c>
      <c r="P95" t="str">
        <f t="shared" ca="1" si="23"/>
        <v>*</v>
      </c>
      <c r="Q95" t="str">
        <f t="shared" ca="1" si="23"/>
        <v>*</v>
      </c>
      <c r="R95" t="str">
        <f t="shared" ca="1" si="23"/>
        <v>*</v>
      </c>
      <c r="S95" t="e">
        <f t="shared" ca="1" si="16"/>
        <v>#N/A</v>
      </c>
      <c r="T95" t="e">
        <f t="shared" ca="1" si="17"/>
        <v>#N/A</v>
      </c>
      <c r="U95" t="e">
        <f ca="1">IF(AND($C95='Funnel setup'!$K$3&amp;'Funnel setup'!$K$6&amp;'Funnel setup'!$K$7&amp;'Funnel setup'!$K$4,'Funnel Lookup'!I95="*",'Funnel Lookup'!I95="*"),#N/A,IF(AND($C95='Funnel setup'!$K$3&amp;'Funnel setup'!$K$6&amp;'Funnel setup'!$K$7&amp;'Funnel setup'!$K$4,'Funnel Lookup'!I95&gt;29,'Funnel Lookup'!I95&lt;&gt;"-"),'Funnel Lookup'!I95,#N/A))</f>
        <v>#N/A</v>
      </c>
      <c r="V95" t="e">
        <f ca="1">IF(AND($C95='Funnel setup'!$K$3&amp;'Funnel setup'!$K$6&amp;'Funnel setup'!$K$7&amp;'Funnel setup'!$K$4,'Funnel Lookup'!I95="*",'Funnel Lookup'!I95="*"),#N/A,IF(AND($C95='Funnel setup'!$K$3&amp;'Funnel setup'!$K$6&amp;'Funnel setup'!$K$7&amp;'Funnel setup'!$K$4,'Funnel Lookup'!I95&gt;29,'Funnel Lookup'!I95&lt;&gt;"-"),'Funnel Lookup'!Q95,#N/A))</f>
        <v>#N/A</v>
      </c>
    </row>
    <row r="96" spans="1:22" x14ac:dyDescent="0.25">
      <c r="A96">
        <v>94</v>
      </c>
      <c r="B96">
        <f t="shared" ca="1" si="22"/>
        <v>94</v>
      </c>
      <c r="C96" t="str">
        <f t="shared" ca="1" si="22"/>
        <v>Total Hip ReplacementProviderNORTH TEES AND HARTLEPOOL NHS FOUNDATION TRUST (RVW)Oxford Hip Score</v>
      </c>
      <c r="D96" t="str">
        <f t="shared" ca="1" si="22"/>
        <v>Total Hip Replacement</v>
      </c>
      <c r="E96" t="str">
        <f t="shared" ca="1" si="22"/>
        <v>Provider</v>
      </c>
      <c r="F96" t="str">
        <f t="shared" ca="1" si="22"/>
        <v>RVW</v>
      </c>
      <c r="G96" t="str">
        <f t="shared" ca="1" si="22"/>
        <v>NORTH TEES AND HARTLEPOOL NHS FOUNDATION TRUST (RVW)</v>
      </c>
      <c r="H96" t="str">
        <f t="shared" ca="1" si="22"/>
        <v>Oxford Hip Score</v>
      </c>
      <c r="I96">
        <f t="shared" ca="1" si="22"/>
        <v>116</v>
      </c>
      <c r="J96">
        <f t="shared" ca="1" si="22"/>
        <v>14</v>
      </c>
      <c r="K96">
        <f t="shared" ca="1" si="22"/>
        <v>36.948300000000003</v>
      </c>
      <c r="L96">
        <f t="shared" ca="1" si="23"/>
        <v>22.9483</v>
      </c>
      <c r="M96">
        <f t="shared" ca="1" si="23"/>
        <v>115</v>
      </c>
      <c r="N96">
        <f t="shared" ca="1" si="23"/>
        <v>0</v>
      </c>
      <c r="O96">
        <f t="shared" ca="1" si="23"/>
        <v>1</v>
      </c>
      <c r="P96">
        <f t="shared" ca="1" si="23"/>
        <v>39.9437</v>
      </c>
      <c r="Q96">
        <f t="shared" ca="1" si="23"/>
        <v>22.732199999999999</v>
      </c>
      <c r="R96">
        <f t="shared" ca="1" si="23"/>
        <v>8.9224999999999994</v>
      </c>
      <c r="S96">
        <f t="shared" ca="1" si="16"/>
        <v>116</v>
      </c>
      <c r="T96">
        <f t="shared" ca="1" si="17"/>
        <v>22.732199999999999</v>
      </c>
      <c r="U96" t="e">
        <f ca="1">IF(AND($C96='Funnel setup'!$K$3&amp;'Funnel setup'!$K$6&amp;'Funnel setup'!$K$7&amp;'Funnel setup'!$K$4,'Funnel Lookup'!I96="*",'Funnel Lookup'!I96="*"),#N/A,IF(AND($C96='Funnel setup'!$K$3&amp;'Funnel setup'!$K$6&amp;'Funnel setup'!$K$7&amp;'Funnel setup'!$K$4,'Funnel Lookup'!I96&gt;29,'Funnel Lookup'!I96&lt;&gt;"-"),'Funnel Lookup'!I96,#N/A))</f>
        <v>#N/A</v>
      </c>
      <c r="V96" t="e">
        <f ca="1">IF(AND($C96='Funnel setup'!$K$3&amp;'Funnel setup'!$K$6&amp;'Funnel setup'!$K$7&amp;'Funnel setup'!$K$4,'Funnel Lookup'!I96="*",'Funnel Lookup'!I96="*"),#N/A,IF(AND($C96='Funnel setup'!$K$3&amp;'Funnel setup'!$K$6&amp;'Funnel setup'!$K$7&amp;'Funnel setup'!$K$4,'Funnel Lookup'!I96&gt;29,'Funnel Lookup'!I96&lt;&gt;"-"),'Funnel Lookup'!Q96,#N/A))</f>
        <v>#N/A</v>
      </c>
    </row>
    <row r="97" spans="1:22" x14ac:dyDescent="0.25">
      <c r="A97">
        <v>95</v>
      </c>
      <c r="B97">
        <f t="shared" ca="1" si="22"/>
        <v>95</v>
      </c>
      <c r="C97" t="str">
        <f t="shared" ca="1" si="22"/>
        <v>Total Hip ReplacementProviderNORTH WEST ANGLIA NHS FOUNDATION TRUST (RGN)Oxford Hip Score</v>
      </c>
      <c r="D97" t="str">
        <f t="shared" ca="1" si="22"/>
        <v>Total Hip Replacement</v>
      </c>
      <c r="E97" t="str">
        <f t="shared" ca="1" si="22"/>
        <v>Provider</v>
      </c>
      <c r="F97" t="str">
        <f t="shared" ca="1" si="22"/>
        <v>RGN</v>
      </c>
      <c r="G97" t="str">
        <f t="shared" ca="1" si="22"/>
        <v>NORTH WEST ANGLIA NHS FOUNDATION TRUST (RGN)</v>
      </c>
      <c r="H97" t="str">
        <f t="shared" ca="1" si="22"/>
        <v>Oxford Hip Score</v>
      </c>
      <c r="I97">
        <f t="shared" ca="1" si="22"/>
        <v>175</v>
      </c>
      <c r="J97">
        <f t="shared" ca="1" si="22"/>
        <v>13.902900000000001</v>
      </c>
      <c r="K97">
        <f t="shared" ca="1" si="22"/>
        <v>38.645699999999998</v>
      </c>
      <c r="L97">
        <f t="shared" ca="1" si="23"/>
        <v>24.742899999999999</v>
      </c>
      <c r="M97">
        <f t="shared" ca="1" si="23"/>
        <v>172</v>
      </c>
      <c r="N97">
        <f t="shared" ca="1" si="23"/>
        <v>0</v>
      </c>
      <c r="O97">
        <f t="shared" ca="1" si="23"/>
        <v>3</v>
      </c>
      <c r="P97">
        <f t="shared" ca="1" si="23"/>
        <v>40.102400000000003</v>
      </c>
      <c r="Q97">
        <f t="shared" ca="1" si="23"/>
        <v>22.890999999999998</v>
      </c>
      <c r="R97">
        <f t="shared" ca="1" si="23"/>
        <v>8.7929499999999994</v>
      </c>
      <c r="S97">
        <f t="shared" ca="1" si="16"/>
        <v>175</v>
      </c>
      <c r="T97">
        <f t="shared" ca="1" si="17"/>
        <v>22.890999999999998</v>
      </c>
      <c r="U97" t="e">
        <f ca="1">IF(AND($C97='Funnel setup'!$K$3&amp;'Funnel setup'!$K$6&amp;'Funnel setup'!$K$7&amp;'Funnel setup'!$K$4,'Funnel Lookup'!I97="*",'Funnel Lookup'!I97="*"),#N/A,IF(AND($C97='Funnel setup'!$K$3&amp;'Funnel setup'!$K$6&amp;'Funnel setup'!$K$7&amp;'Funnel setup'!$K$4,'Funnel Lookup'!I97&gt;29,'Funnel Lookup'!I97&lt;&gt;"-"),'Funnel Lookup'!I97,#N/A))</f>
        <v>#N/A</v>
      </c>
      <c r="V97" t="e">
        <f ca="1">IF(AND($C97='Funnel setup'!$K$3&amp;'Funnel setup'!$K$6&amp;'Funnel setup'!$K$7&amp;'Funnel setup'!$K$4,'Funnel Lookup'!I97="*",'Funnel Lookup'!I97="*"),#N/A,IF(AND($C97='Funnel setup'!$K$3&amp;'Funnel setup'!$K$6&amp;'Funnel setup'!$K$7&amp;'Funnel setup'!$K$4,'Funnel Lookup'!I97&gt;29,'Funnel Lookup'!I97&lt;&gt;"-"),'Funnel Lookup'!Q97,#N/A))</f>
        <v>#N/A</v>
      </c>
    </row>
    <row r="98" spans="1:22" x14ac:dyDescent="0.25">
      <c r="A98">
        <v>96</v>
      </c>
      <c r="B98">
        <f t="shared" ca="1" si="22"/>
        <v>96</v>
      </c>
      <c r="C98" t="str">
        <f t="shared" ca="1" si="22"/>
        <v>Total Hip ReplacementProviderNORTHAMPTON GENERAL HOSPITAL NHS TRUST (RNS)Oxford Hip Score</v>
      </c>
      <c r="D98" t="str">
        <f t="shared" ca="1" si="22"/>
        <v>Total Hip Replacement</v>
      </c>
      <c r="E98" t="str">
        <f t="shared" ca="1" si="22"/>
        <v>Provider</v>
      </c>
      <c r="F98" t="str">
        <f t="shared" ca="1" si="22"/>
        <v>RNS</v>
      </c>
      <c r="G98" t="str">
        <f t="shared" ca="1" si="22"/>
        <v>NORTHAMPTON GENERAL HOSPITAL NHS TRUST (RNS)</v>
      </c>
      <c r="H98" t="str">
        <f t="shared" ca="1" si="22"/>
        <v>Oxford Hip Score</v>
      </c>
      <c r="I98">
        <f t="shared" ca="1" si="22"/>
        <v>45</v>
      </c>
      <c r="J98">
        <f t="shared" ca="1" si="22"/>
        <v>14.2889</v>
      </c>
      <c r="K98">
        <f t="shared" ca="1" si="22"/>
        <v>38.488900000000001</v>
      </c>
      <c r="L98">
        <f t="shared" ca="1" si="23"/>
        <v>24.2</v>
      </c>
      <c r="M98">
        <f t="shared" ca="1" si="23"/>
        <v>44</v>
      </c>
      <c r="N98">
        <f t="shared" ca="1" si="23"/>
        <v>0</v>
      </c>
      <c r="O98">
        <f t="shared" ca="1" si="23"/>
        <v>1</v>
      </c>
      <c r="P98">
        <f t="shared" ca="1" si="23"/>
        <v>40.747799999999998</v>
      </c>
      <c r="Q98">
        <f t="shared" ca="1" si="23"/>
        <v>23.5364</v>
      </c>
      <c r="R98">
        <f t="shared" ca="1" si="23"/>
        <v>8.8865300000000005</v>
      </c>
      <c r="S98">
        <f t="shared" ca="1" si="16"/>
        <v>45</v>
      </c>
      <c r="T98">
        <f t="shared" ca="1" si="17"/>
        <v>23.5364</v>
      </c>
      <c r="U98" t="e">
        <f ca="1">IF(AND($C98='Funnel setup'!$K$3&amp;'Funnel setup'!$K$6&amp;'Funnel setup'!$K$7&amp;'Funnel setup'!$K$4,'Funnel Lookup'!I98="*",'Funnel Lookup'!I98="*"),#N/A,IF(AND($C98='Funnel setup'!$K$3&amp;'Funnel setup'!$K$6&amp;'Funnel setup'!$K$7&amp;'Funnel setup'!$K$4,'Funnel Lookup'!I98&gt;29,'Funnel Lookup'!I98&lt;&gt;"-"),'Funnel Lookup'!I98,#N/A))</f>
        <v>#N/A</v>
      </c>
      <c r="V98" t="e">
        <f ca="1">IF(AND($C98='Funnel setup'!$K$3&amp;'Funnel setup'!$K$6&amp;'Funnel setup'!$K$7&amp;'Funnel setup'!$K$4,'Funnel Lookup'!I98="*",'Funnel Lookup'!I98="*"),#N/A,IF(AND($C98='Funnel setup'!$K$3&amp;'Funnel setup'!$K$6&amp;'Funnel setup'!$K$7&amp;'Funnel setup'!$K$4,'Funnel Lookup'!I98&gt;29,'Funnel Lookup'!I98&lt;&gt;"-"),'Funnel Lookup'!Q98,#N/A))</f>
        <v>#N/A</v>
      </c>
    </row>
    <row r="99" spans="1:22" x14ac:dyDescent="0.25">
      <c r="A99">
        <v>97</v>
      </c>
      <c r="B99">
        <f t="shared" ca="1" si="22"/>
        <v>97</v>
      </c>
      <c r="C99" t="str">
        <f t="shared" ca="1" si="22"/>
        <v>Total Hip ReplacementProviderNORTHERN CARE ALLIANCE NHS FOUNDATION TRUST (RM3)Oxford Hip Score</v>
      </c>
      <c r="D99" t="str">
        <f t="shared" ca="1" si="22"/>
        <v>Total Hip Replacement</v>
      </c>
      <c r="E99" t="str">
        <f t="shared" ca="1" si="22"/>
        <v>Provider</v>
      </c>
      <c r="F99" t="str">
        <f t="shared" ca="1" si="22"/>
        <v>RM3</v>
      </c>
      <c r="G99" t="str">
        <f t="shared" ca="1" si="22"/>
        <v>NORTHERN CARE ALLIANCE NHS FOUNDATION TRUST (RM3)</v>
      </c>
      <c r="H99" t="str">
        <f t="shared" ca="1" si="22"/>
        <v>Oxford Hip Score</v>
      </c>
      <c r="I99">
        <f t="shared" ca="1" si="22"/>
        <v>5</v>
      </c>
      <c r="J99">
        <f t="shared" ca="1" si="22"/>
        <v>11.2</v>
      </c>
      <c r="K99">
        <f t="shared" ca="1" si="22"/>
        <v>43.4</v>
      </c>
      <c r="L99">
        <f t="shared" ca="1" si="23"/>
        <v>32.200000000000003</v>
      </c>
      <c r="M99">
        <f t="shared" ca="1" si="23"/>
        <v>5</v>
      </c>
      <c r="N99">
        <f t="shared" ca="1" si="23"/>
        <v>0</v>
      </c>
      <c r="O99">
        <f t="shared" ca="1" si="23"/>
        <v>0</v>
      </c>
      <c r="P99" t="str">
        <f t="shared" ca="1" si="23"/>
        <v>*</v>
      </c>
      <c r="Q99" t="str">
        <f t="shared" ca="1" si="23"/>
        <v>*</v>
      </c>
      <c r="R99" t="str">
        <f t="shared" ca="1" si="23"/>
        <v>*</v>
      </c>
      <c r="S99" t="e">
        <f t="shared" ca="1" si="16"/>
        <v>#N/A</v>
      </c>
      <c r="T99" t="e">
        <f t="shared" ca="1" si="17"/>
        <v>#N/A</v>
      </c>
      <c r="U99" t="e">
        <f ca="1">IF(AND($C99='Funnel setup'!$K$3&amp;'Funnel setup'!$K$6&amp;'Funnel setup'!$K$7&amp;'Funnel setup'!$K$4,'Funnel Lookup'!I99="*",'Funnel Lookup'!I99="*"),#N/A,IF(AND($C99='Funnel setup'!$K$3&amp;'Funnel setup'!$K$6&amp;'Funnel setup'!$K$7&amp;'Funnel setup'!$K$4,'Funnel Lookup'!I99&gt;29,'Funnel Lookup'!I99&lt;&gt;"-"),'Funnel Lookup'!I99,#N/A))</f>
        <v>#N/A</v>
      </c>
      <c r="V99" t="e">
        <f ca="1">IF(AND($C99='Funnel setup'!$K$3&amp;'Funnel setup'!$K$6&amp;'Funnel setup'!$K$7&amp;'Funnel setup'!$K$4,'Funnel Lookup'!I99="*",'Funnel Lookup'!I99="*"),#N/A,IF(AND($C99='Funnel setup'!$K$3&amp;'Funnel setup'!$K$6&amp;'Funnel setup'!$K$7&amp;'Funnel setup'!$K$4,'Funnel Lookup'!I99&gt;29,'Funnel Lookup'!I99&lt;&gt;"-"),'Funnel Lookup'!Q99,#N/A))</f>
        <v>#N/A</v>
      </c>
    </row>
    <row r="100" spans="1:22" x14ac:dyDescent="0.25">
      <c r="A100">
        <v>98</v>
      </c>
      <c r="B100">
        <f t="shared" ca="1" si="22"/>
        <v>98</v>
      </c>
      <c r="C100" t="str">
        <f t="shared" ca="1" si="22"/>
        <v>Total Hip ReplacementProviderNORTHERN DEVON HEALTHCARE NHS TRUST (RBZ)Oxford Hip Score</v>
      </c>
      <c r="D100" t="str">
        <f t="shared" ca="1" si="22"/>
        <v>Total Hip Replacement</v>
      </c>
      <c r="E100" t="str">
        <f t="shared" ca="1" si="22"/>
        <v>Provider</v>
      </c>
      <c r="F100" t="str">
        <f t="shared" ca="1" si="22"/>
        <v>RBZ</v>
      </c>
      <c r="G100" t="str">
        <f t="shared" ca="1" si="22"/>
        <v>NORTHERN DEVON HEALTHCARE NHS TRUST (RBZ)</v>
      </c>
      <c r="H100" t="str">
        <f t="shared" ca="1" si="22"/>
        <v>Oxford Hip Score</v>
      </c>
      <c r="I100">
        <f t="shared" ca="1" si="22"/>
        <v>34</v>
      </c>
      <c r="J100">
        <f t="shared" ca="1" si="22"/>
        <v>15.029400000000001</v>
      </c>
      <c r="K100">
        <f t="shared" ca="1" si="22"/>
        <v>40.882399999999997</v>
      </c>
      <c r="L100">
        <f t="shared" ca="1" si="23"/>
        <v>25.852900000000002</v>
      </c>
      <c r="M100">
        <f t="shared" ca="1" si="23"/>
        <v>34</v>
      </c>
      <c r="N100">
        <f t="shared" ca="1" si="23"/>
        <v>0</v>
      </c>
      <c r="O100">
        <f t="shared" ca="1" si="23"/>
        <v>0</v>
      </c>
      <c r="P100">
        <f t="shared" ca="1" si="23"/>
        <v>43.398499999999999</v>
      </c>
      <c r="Q100">
        <f t="shared" ca="1" si="23"/>
        <v>26.187100000000001</v>
      </c>
      <c r="R100">
        <f t="shared" ca="1" si="23"/>
        <v>6.6360999999999999</v>
      </c>
      <c r="S100">
        <f t="shared" ca="1" si="16"/>
        <v>34</v>
      </c>
      <c r="T100">
        <f t="shared" ca="1" si="17"/>
        <v>26.187100000000001</v>
      </c>
      <c r="U100" t="e">
        <f ca="1">IF(AND($C100='Funnel setup'!$K$3&amp;'Funnel setup'!$K$6&amp;'Funnel setup'!$K$7&amp;'Funnel setup'!$K$4,'Funnel Lookup'!I100="*",'Funnel Lookup'!I100="*"),#N/A,IF(AND($C100='Funnel setup'!$K$3&amp;'Funnel setup'!$K$6&amp;'Funnel setup'!$K$7&amp;'Funnel setup'!$K$4,'Funnel Lookup'!I100&gt;29,'Funnel Lookup'!I100&lt;&gt;"-"),'Funnel Lookup'!I100,#N/A))</f>
        <v>#N/A</v>
      </c>
      <c r="V100" t="e">
        <f ca="1">IF(AND($C100='Funnel setup'!$K$3&amp;'Funnel setup'!$K$6&amp;'Funnel setup'!$K$7&amp;'Funnel setup'!$K$4,'Funnel Lookup'!I100="*",'Funnel Lookup'!I100="*"),#N/A,IF(AND($C100='Funnel setup'!$K$3&amp;'Funnel setup'!$K$6&amp;'Funnel setup'!$K$7&amp;'Funnel setup'!$K$4,'Funnel Lookup'!I100&gt;29,'Funnel Lookup'!I100&lt;&gt;"-"),'Funnel Lookup'!Q100,#N/A))</f>
        <v>#N/A</v>
      </c>
    </row>
    <row r="101" spans="1:22" x14ac:dyDescent="0.25">
      <c r="A101">
        <v>99</v>
      </c>
      <c r="B101">
        <f t="shared" ca="1" si="22"/>
        <v>99</v>
      </c>
      <c r="C101" t="str">
        <f t="shared" ca="1" si="22"/>
        <v>Total Hip ReplacementProviderNORTHERN LINCOLNSHIRE AND GOOLE NHS FOUNDATION TRUST (RJL)Oxford Hip Score</v>
      </c>
      <c r="D101" t="str">
        <f t="shared" ca="1" si="22"/>
        <v>Total Hip Replacement</v>
      </c>
      <c r="E101" t="str">
        <f t="shared" ca="1" si="22"/>
        <v>Provider</v>
      </c>
      <c r="F101" t="str">
        <f t="shared" ca="1" si="22"/>
        <v>RJL</v>
      </c>
      <c r="G101" t="str">
        <f t="shared" ca="1" si="22"/>
        <v>NORTHERN LINCOLNSHIRE AND GOOLE NHS FOUNDATION TRUST (RJL)</v>
      </c>
      <c r="H101" t="str">
        <f t="shared" ca="1" si="22"/>
        <v>Oxford Hip Score</v>
      </c>
      <c r="I101">
        <f t="shared" ca="1" si="22"/>
        <v>95</v>
      </c>
      <c r="J101">
        <f t="shared" ca="1" si="22"/>
        <v>14.4316</v>
      </c>
      <c r="K101">
        <f t="shared" ca="1" si="22"/>
        <v>38.2211</v>
      </c>
      <c r="L101">
        <f t="shared" ca="1" si="23"/>
        <v>23.7895</v>
      </c>
      <c r="M101">
        <f t="shared" ca="1" si="23"/>
        <v>91</v>
      </c>
      <c r="N101">
        <f t="shared" ca="1" si="23"/>
        <v>1</v>
      </c>
      <c r="O101">
        <f t="shared" ca="1" si="23"/>
        <v>3</v>
      </c>
      <c r="P101">
        <f t="shared" ca="1" si="23"/>
        <v>39.234499999999997</v>
      </c>
      <c r="Q101">
        <f t="shared" ca="1" si="23"/>
        <v>22.023099999999999</v>
      </c>
      <c r="R101">
        <f t="shared" ca="1" si="23"/>
        <v>9.2396100000000008</v>
      </c>
      <c r="S101">
        <f t="shared" ca="1" si="16"/>
        <v>95</v>
      </c>
      <c r="T101">
        <f t="shared" ca="1" si="17"/>
        <v>22.023099999999999</v>
      </c>
      <c r="U101" t="e">
        <f ca="1">IF(AND($C101='Funnel setup'!$K$3&amp;'Funnel setup'!$K$6&amp;'Funnel setup'!$K$7&amp;'Funnel setup'!$K$4,'Funnel Lookup'!I101="*",'Funnel Lookup'!I101="*"),#N/A,IF(AND($C101='Funnel setup'!$K$3&amp;'Funnel setup'!$K$6&amp;'Funnel setup'!$K$7&amp;'Funnel setup'!$K$4,'Funnel Lookup'!I101&gt;29,'Funnel Lookup'!I101&lt;&gt;"-"),'Funnel Lookup'!I101,#N/A))</f>
        <v>#N/A</v>
      </c>
      <c r="V101" t="e">
        <f ca="1">IF(AND($C101='Funnel setup'!$K$3&amp;'Funnel setup'!$K$6&amp;'Funnel setup'!$K$7&amp;'Funnel setup'!$K$4,'Funnel Lookup'!I101="*",'Funnel Lookup'!I101="*"),#N/A,IF(AND($C101='Funnel setup'!$K$3&amp;'Funnel setup'!$K$6&amp;'Funnel setup'!$K$7&amp;'Funnel setup'!$K$4,'Funnel Lookup'!I101&gt;29,'Funnel Lookup'!I101&lt;&gt;"-"),'Funnel Lookup'!Q101,#N/A))</f>
        <v>#N/A</v>
      </c>
    </row>
    <row r="102" spans="1:22" x14ac:dyDescent="0.25">
      <c r="A102">
        <v>100</v>
      </c>
      <c r="B102">
        <f t="shared" ca="1" si="22"/>
        <v>100</v>
      </c>
      <c r="C102" t="str">
        <f t="shared" ca="1" si="22"/>
        <v>Total Hip ReplacementProviderNORTHUMBRIA HEALTHCARE NHS FOUNDATION TRUST (RTF)Oxford Hip Score</v>
      </c>
      <c r="D102" t="str">
        <f t="shared" ca="1" si="22"/>
        <v>Total Hip Replacement</v>
      </c>
      <c r="E102" t="str">
        <f t="shared" ca="1" si="22"/>
        <v>Provider</v>
      </c>
      <c r="F102" t="str">
        <f t="shared" ca="1" si="22"/>
        <v>RTF</v>
      </c>
      <c r="G102" t="str">
        <f t="shared" ca="1" si="22"/>
        <v>NORTHUMBRIA HEALTHCARE NHS FOUNDATION TRUST (RTF)</v>
      </c>
      <c r="H102" t="str">
        <f t="shared" ca="1" si="22"/>
        <v>Oxford Hip Score</v>
      </c>
      <c r="I102">
        <f t="shared" ca="1" si="22"/>
        <v>310</v>
      </c>
      <c r="J102">
        <f t="shared" ca="1" si="22"/>
        <v>16.2226</v>
      </c>
      <c r="K102">
        <f t="shared" ca="1" si="22"/>
        <v>40.651600000000002</v>
      </c>
      <c r="L102">
        <f t="shared" ca="1" si="23"/>
        <v>24.428999999999998</v>
      </c>
      <c r="M102">
        <f t="shared" ca="1" si="23"/>
        <v>304</v>
      </c>
      <c r="N102">
        <f t="shared" ca="1" si="23"/>
        <v>1</v>
      </c>
      <c r="O102">
        <f t="shared" ca="1" si="23"/>
        <v>5</v>
      </c>
      <c r="P102">
        <f t="shared" ca="1" si="23"/>
        <v>41.751800000000003</v>
      </c>
      <c r="Q102">
        <f t="shared" ca="1" si="23"/>
        <v>24.540400000000002</v>
      </c>
      <c r="R102">
        <f t="shared" ca="1" si="23"/>
        <v>8.0442800000000005</v>
      </c>
      <c r="S102">
        <f t="shared" ca="1" si="16"/>
        <v>310</v>
      </c>
      <c r="T102">
        <f t="shared" ca="1" si="17"/>
        <v>24.540400000000002</v>
      </c>
      <c r="U102" t="e">
        <f ca="1">IF(AND($C102='Funnel setup'!$K$3&amp;'Funnel setup'!$K$6&amp;'Funnel setup'!$K$7&amp;'Funnel setup'!$K$4,'Funnel Lookup'!I102="*",'Funnel Lookup'!I102="*"),#N/A,IF(AND($C102='Funnel setup'!$K$3&amp;'Funnel setup'!$K$6&amp;'Funnel setup'!$K$7&amp;'Funnel setup'!$K$4,'Funnel Lookup'!I102&gt;29,'Funnel Lookup'!I102&lt;&gt;"-"),'Funnel Lookup'!I102,#N/A))</f>
        <v>#N/A</v>
      </c>
      <c r="V102" t="e">
        <f ca="1">IF(AND($C102='Funnel setup'!$K$3&amp;'Funnel setup'!$K$6&amp;'Funnel setup'!$K$7&amp;'Funnel setup'!$K$4,'Funnel Lookup'!I102="*",'Funnel Lookup'!I102="*"),#N/A,IF(AND($C102='Funnel setup'!$K$3&amp;'Funnel setup'!$K$6&amp;'Funnel setup'!$K$7&amp;'Funnel setup'!$K$4,'Funnel Lookup'!I102&gt;29,'Funnel Lookup'!I102&lt;&gt;"-"),'Funnel Lookup'!Q102,#N/A))</f>
        <v>#N/A</v>
      </c>
    </row>
    <row r="103" spans="1:22" x14ac:dyDescent="0.25">
      <c r="A103">
        <v>101</v>
      </c>
      <c r="B103">
        <f t="shared" ref="B103:K112" ca="1" si="24">VLOOKUP($A103,Funnel_Data,B$1,FALSE)</f>
        <v>101</v>
      </c>
      <c r="C103" t="str">
        <f t="shared" ca="1" si="24"/>
        <v>Total Hip ReplacementProviderNOTTINGHAM UNIVERSITY HOSPITALS NHS TRUST (RX1)Oxford Hip Score</v>
      </c>
      <c r="D103" t="str">
        <f t="shared" ca="1" si="24"/>
        <v>Total Hip Replacement</v>
      </c>
      <c r="E103" t="str">
        <f t="shared" ca="1" si="24"/>
        <v>Provider</v>
      </c>
      <c r="F103" t="str">
        <f t="shared" ca="1" si="24"/>
        <v>RX1</v>
      </c>
      <c r="G103" t="str">
        <f t="shared" ca="1" si="24"/>
        <v>NOTTINGHAM UNIVERSITY HOSPITALS NHS TRUST (RX1)</v>
      </c>
      <c r="H103" t="str">
        <f t="shared" ca="1" si="24"/>
        <v>Oxford Hip Score</v>
      </c>
      <c r="I103">
        <f t="shared" ca="1" si="24"/>
        <v>3</v>
      </c>
      <c r="J103">
        <f t="shared" ca="1" si="24"/>
        <v>17.666699999999999</v>
      </c>
      <c r="K103">
        <f t="shared" ca="1" si="24"/>
        <v>38.666699999999999</v>
      </c>
      <c r="L103">
        <f t="shared" ref="L103:R112" ca="1" si="25">VLOOKUP($A103,Funnel_Data,L$1,FALSE)</f>
        <v>21</v>
      </c>
      <c r="M103">
        <f t="shared" ca="1" si="25"/>
        <v>3</v>
      </c>
      <c r="N103">
        <f t="shared" ca="1" si="25"/>
        <v>0</v>
      </c>
      <c r="O103">
        <f t="shared" ca="1" si="25"/>
        <v>0</v>
      </c>
      <c r="P103" t="str">
        <f t="shared" ca="1" si="25"/>
        <v>*</v>
      </c>
      <c r="Q103" t="str">
        <f t="shared" ca="1" si="25"/>
        <v>*</v>
      </c>
      <c r="R103" t="str">
        <f t="shared" ca="1" si="25"/>
        <v>*</v>
      </c>
      <c r="S103" t="e">
        <f t="shared" ca="1" si="16"/>
        <v>#N/A</v>
      </c>
      <c r="T103" t="e">
        <f t="shared" ca="1" si="17"/>
        <v>#N/A</v>
      </c>
      <c r="U103" t="e">
        <f ca="1">IF(AND($C103='Funnel setup'!$K$3&amp;'Funnel setup'!$K$6&amp;'Funnel setup'!$K$7&amp;'Funnel setup'!$K$4,'Funnel Lookup'!I103="*",'Funnel Lookup'!I103="*"),#N/A,IF(AND($C103='Funnel setup'!$K$3&amp;'Funnel setup'!$K$6&amp;'Funnel setup'!$K$7&amp;'Funnel setup'!$K$4,'Funnel Lookup'!I103&gt;29,'Funnel Lookup'!I103&lt;&gt;"-"),'Funnel Lookup'!I103,#N/A))</f>
        <v>#N/A</v>
      </c>
      <c r="V103" t="e">
        <f ca="1">IF(AND($C103='Funnel setup'!$K$3&amp;'Funnel setup'!$K$6&amp;'Funnel setup'!$K$7&amp;'Funnel setup'!$K$4,'Funnel Lookup'!I103="*",'Funnel Lookup'!I103="*"),#N/A,IF(AND($C103='Funnel setup'!$K$3&amp;'Funnel setup'!$K$6&amp;'Funnel setup'!$K$7&amp;'Funnel setup'!$K$4,'Funnel Lookup'!I103&gt;29,'Funnel Lookup'!I103&lt;&gt;"-"),'Funnel Lookup'!Q103,#N/A))</f>
        <v>#N/A</v>
      </c>
    </row>
    <row r="104" spans="1:22" x14ac:dyDescent="0.25">
      <c r="A104">
        <v>102</v>
      </c>
      <c r="B104">
        <f t="shared" ca="1" si="24"/>
        <v>102</v>
      </c>
      <c r="C104" t="str">
        <f t="shared" ca="1" si="24"/>
        <v>Total Hip ReplacementProviderNUFFIELD HEALTH, BOURNEMOUTH HOSPITAL (NT202)Oxford Hip Score</v>
      </c>
      <c r="D104" t="str">
        <f t="shared" ca="1" si="24"/>
        <v>Total Hip Replacement</v>
      </c>
      <c r="E104" t="str">
        <f t="shared" ca="1" si="24"/>
        <v>Provider</v>
      </c>
      <c r="F104" t="str">
        <f t="shared" ca="1" si="24"/>
        <v>NT202</v>
      </c>
      <c r="G104" t="str">
        <f t="shared" ca="1" si="24"/>
        <v>NUFFIELD HEALTH, BOURNEMOUTH HOSPITAL (NT202)</v>
      </c>
      <c r="H104" t="str">
        <f t="shared" ca="1" si="24"/>
        <v>Oxford Hip Score</v>
      </c>
      <c r="I104">
        <f t="shared" ca="1" si="24"/>
        <v>14</v>
      </c>
      <c r="J104">
        <f t="shared" ca="1" si="24"/>
        <v>16.357099999999999</v>
      </c>
      <c r="K104">
        <f t="shared" ca="1" si="24"/>
        <v>43.285699999999999</v>
      </c>
      <c r="L104">
        <f t="shared" ca="1" si="25"/>
        <v>26.928599999999999</v>
      </c>
      <c r="M104">
        <f t="shared" ca="1" si="25"/>
        <v>14</v>
      </c>
      <c r="N104">
        <f t="shared" ca="1" si="25"/>
        <v>0</v>
      </c>
      <c r="O104">
        <f t="shared" ca="1" si="25"/>
        <v>0</v>
      </c>
      <c r="P104" t="str">
        <f t="shared" ca="1" si="25"/>
        <v>*</v>
      </c>
      <c r="Q104" t="str">
        <f t="shared" ca="1" si="25"/>
        <v>*</v>
      </c>
      <c r="R104" t="str">
        <f t="shared" ca="1" si="25"/>
        <v>*</v>
      </c>
      <c r="S104" t="e">
        <f t="shared" ca="1" si="16"/>
        <v>#N/A</v>
      </c>
      <c r="T104" t="e">
        <f t="shared" ca="1" si="17"/>
        <v>#N/A</v>
      </c>
      <c r="U104" t="e">
        <f ca="1">IF(AND($C104='Funnel setup'!$K$3&amp;'Funnel setup'!$K$6&amp;'Funnel setup'!$K$7&amp;'Funnel setup'!$K$4,'Funnel Lookup'!I104="*",'Funnel Lookup'!I104="*"),#N/A,IF(AND($C104='Funnel setup'!$K$3&amp;'Funnel setup'!$K$6&amp;'Funnel setup'!$K$7&amp;'Funnel setup'!$K$4,'Funnel Lookup'!I104&gt;29,'Funnel Lookup'!I104&lt;&gt;"-"),'Funnel Lookup'!I104,#N/A))</f>
        <v>#N/A</v>
      </c>
      <c r="V104" t="e">
        <f ca="1">IF(AND($C104='Funnel setup'!$K$3&amp;'Funnel setup'!$K$6&amp;'Funnel setup'!$K$7&amp;'Funnel setup'!$K$4,'Funnel Lookup'!I104="*",'Funnel Lookup'!I104="*"),#N/A,IF(AND($C104='Funnel setup'!$K$3&amp;'Funnel setup'!$K$6&amp;'Funnel setup'!$K$7&amp;'Funnel setup'!$K$4,'Funnel Lookup'!I104&gt;29,'Funnel Lookup'!I104&lt;&gt;"-"),'Funnel Lookup'!Q104,#N/A))</f>
        <v>#N/A</v>
      </c>
    </row>
    <row r="105" spans="1:22" x14ac:dyDescent="0.25">
      <c r="A105">
        <v>103</v>
      </c>
      <c r="B105">
        <f t="shared" ca="1" si="24"/>
        <v>103</v>
      </c>
      <c r="C105" t="str">
        <f t="shared" ca="1" si="24"/>
        <v>Total Hip ReplacementProviderNUFFIELD HEALTH, BRENTWOOD HOSPITAL (NT204)Oxford Hip Score</v>
      </c>
      <c r="D105" t="str">
        <f t="shared" ca="1" si="24"/>
        <v>Total Hip Replacement</v>
      </c>
      <c r="E105" t="str">
        <f t="shared" ca="1" si="24"/>
        <v>Provider</v>
      </c>
      <c r="F105" t="str">
        <f t="shared" ca="1" si="24"/>
        <v>NT204</v>
      </c>
      <c r="G105" t="str">
        <f t="shared" ca="1" si="24"/>
        <v>NUFFIELD HEALTH, BRENTWOOD HOSPITAL (NT204)</v>
      </c>
      <c r="H105" t="str">
        <f t="shared" ca="1" si="24"/>
        <v>Oxford Hip Score</v>
      </c>
      <c r="I105">
        <f t="shared" ca="1" si="24"/>
        <v>16</v>
      </c>
      <c r="J105">
        <f t="shared" ca="1" si="24"/>
        <v>14.375</v>
      </c>
      <c r="K105">
        <f t="shared" ca="1" si="24"/>
        <v>42.875</v>
      </c>
      <c r="L105">
        <f t="shared" ca="1" si="25"/>
        <v>28.5</v>
      </c>
      <c r="M105">
        <f t="shared" ca="1" si="25"/>
        <v>16</v>
      </c>
      <c r="N105">
        <f t="shared" ca="1" si="25"/>
        <v>0</v>
      </c>
      <c r="O105">
        <f t="shared" ca="1" si="25"/>
        <v>0</v>
      </c>
      <c r="P105" t="str">
        <f t="shared" ca="1" si="25"/>
        <v>*</v>
      </c>
      <c r="Q105" t="str">
        <f t="shared" ca="1" si="25"/>
        <v>*</v>
      </c>
      <c r="R105" t="str">
        <f t="shared" ca="1" si="25"/>
        <v>*</v>
      </c>
      <c r="S105" t="e">
        <f t="shared" ca="1" si="16"/>
        <v>#N/A</v>
      </c>
      <c r="T105" t="e">
        <f t="shared" ca="1" si="17"/>
        <v>#N/A</v>
      </c>
      <c r="U105" t="e">
        <f ca="1">IF(AND($C105='Funnel setup'!$K$3&amp;'Funnel setup'!$K$6&amp;'Funnel setup'!$K$7&amp;'Funnel setup'!$K$4,'Funnel Lookup'!I105="*",'Funnel Lookup'!I105="*"),#N/A,IF(AND($C105='Funnel setup'!$K$3&amp;'Funnel setup'!$K$6&amp;'Funnel setup'!$K$7&amp;'Funnel setup'!$K$4,'Funnel Lookup'!I105&gt;29,'Funnel Lookup'!I105&lt;&gt;"-"),'Funnel Lookup'!I105,#N/A))</f>
        <v>#N/A</v>
      </c>
      <c r="V105" t="e">
        <f ca="1">IF(AND($C105='Funnel setup'!$K$3&amp;'Funnel setup'!$K$6&amp;'Funnel setup'!$K$7&amp;'Funnel setup'!$K$4,'Funnel Lookup'!I105="*",'Funnel Lookup'!I105="*"),#N/A,IF(AND($C105='Funnel setup'!$K$3&amp;'Funnel setup'!$K$6&amp;'Funnel setup'!$K$7&amp;'Funnel setup'!$K$4,'Funnel Lookup'!I105&gt;29,'Funnel Lookup'!I105&lt;&gt;"-"),'Funnel Lookup'!Q105,#N/A))</f>
        <v>#N/A</v>
      </c>
    </row>
    <row r="106" spans="1:22" x14ac:dyDescent="0.25">
      <c r="A106">
        <v>104</v>
      </c>
      <c r="B106">
        <f t="shared" ca="1" si="24"/>
        <v>104</v>
      </c>
      <c r="C106" t="str">
        <f t="shared" ca="1" si="24"/>
        <v>Total Hip ReplacementProviderNUFFIELD HEALTH, BRIGHTON HOSPITAL (NT205)Oxford Hip Score</v>
      </c>
      <c r="D106" t="str">
        <f t="shared" ca="1" si="24"/>
        <v>Total Hip Replacement</v>
      </c>
      <c r="E106" t="str">
        <f t="shared" ca="1" si="24"/>
        <v>Provider</v>
      </c>
      <c r="F106" t="str">
        <f t="shared" ca="1" si="24"/>
        <v>NT205</v>
      </c>
      <c r="G106" t="str">
        <f t="shared" ca="1" si="24"/>
        <v>NUFFIELD HEALTH, BRIGHTON HOSPITAL (NT205)</v>
      </c>
      <c r="H106" t="str">
        <f t="shared" ca="1" si="24"/>
        <v>Oxford Hip Score</v>
      </c>
      <c r="I106">
        <f t="shared" ca="1" si="24"/>
        <v>3</v>
      </c>
      <c r="J106">
        <f t="shared" ca="1" si="24"/>
        <v>12.333299999999999</v>
      </c>
      <c r="K106">
        <f t="shared" ca="1" si="24"/>
        <v>37</v>
      </c>
      <c r="L106">
        <f t="shared" ca="1" si="25"/>
        <v>24.666699999999999</v>
      </c>
      <c r="M106">
        <f t="shared" ca="1" si="25"/>
        <v>3</v>
      </c>
      <c r="N106">
        <f t="shared" ca="1" si="25"/>
        <v>0</v>
      </c>
      <c r="O106">
        <f t="shared" ca="1" si="25"/>
        <v>0</v>
      </c>
      <c r="P106" t="str">
        <f t="shared" ca="1" si="25"/>
        <v>*</v>
      </c>
      <c r="Q106" t="str">
        <f t="shared" ca="1" si="25"/>
        <v>*</v>
      </c>
      <c r="R106" t="str">
        <f t="shared" ca="1" si="25"/>
        <v>*</v>
      </c>
      <c r="S106" t="e">
        <f t="shared" ca="1" si="16"/>
        <v>#N/A</v>
      </c>
      <c r="T106" t="e">
        <f t="shared" ca="1" si="17"/>
        <v>#N/A</v>
      </c>
      <c r="U106" t="e">
        <f ca="1">IF(AND($C106='Funnel setup'!$K$3&amp;'Funnel setup'!$K$6&amp;'Funnel setup'!$K$7&amp;'Funnel setup'!$K$4,'Funnel Lookup'!I106="*",'Funnel Lookup'!I106="*"),#N/A,IF(AND($C106='Funnel setup'!$K$3&amp;'Funnel setup'!$K$6&amp;'Funnel setup'!$K$7&amp;'Funnel setup'!$K$4,'Funnel Lookup'!I106&gt;29,'Funnel Lookup'!I106&lt;&gt;"-"),'Funnel Lookup'!I106,#N/A))</f>
        <v>#N/A</v>
      </c>
      <c r="V106" t="e">
        <f ca="1">IF(AND($C106='Funnel setup'!$K$3&amp;'Funnel setup'!$K$6&amp;'Funnel setup'!$K$7&amp;'Funnel setup'!$K$4,'Funnel Lookup'!I106="*",'Funnel Lookup'!I106="*"),#N/A,IF(AND($C106='Funnel setup'!$K$3&amp;'Funnel setup'!$K$6&amp;'Funnel setup'!$K$7&amp;'Funnel setup'!$K$4,'Funnel Lookup'!I106&gt;29,'Funnel Lookup'!I106&lt;&gt;"-"),'Funnel Lookup'!Q106,#N/A))</f>
        <v>#N/A</v>
      </c>
    </row>
    <row r="107" spans="1:22" x14ac:dyDescent="0.25">
      <c r="A107">
        <v>105</v>
      </c>
      <c r="B107">
        <f t="shared" ca="1" si="24"/>
        <v>105</v>
      </c>
      <c r="C107" t="str">
        <f t="shared" ca="1" si="24"/>
        <v>Total Hip ReplacementProviderNUFFIELD HEALTH, BRISTOL HOSPITAL (CHESTERFIELD) (NT206)Oxford Hip Score</v>
      </c>
      <c r="D107" t="str">
        <f t="shared" ca="1" si="24"/>
        <v>Total Hip Replacement</v>
      </c>
      <c r="E107" t="str">
        <f t="shared" ca="1" si="24"/>
        <v>Provider</v>
      </c>
      <c r="F107" t="str">
        <f t="shared" ca="1" si="24"/>
        <v>NT206</v>
      </c>
      <c r="G107" t="str">
        <f t="shared" ca="1" si="24"/>
        <v>NUFFIELD HEALTH, BRISTOL HOSPITAL (CHESTERFIELD) (NT206)</v>
      </c>
      <c r="H107" t="str">
        <f t="shared" ca="1" si="24"/>
        <v>Oxford Hip Score</v>
      </c>
      <c r="I107">
        <f t="shared" ca="1" si="24"/>
        <v>53</v>
      </c>
      <c r="J107">
        <f t="shared" ca="1" si="24"/>
        <v>17.735800000000001</v>
      </c>
      <c r="K107">
        <f t="shared" ca="1" si="24"/>
        <v>43.867899999999999</v>
      </c>
      <c r="L107">
        <f t="shared" ca="1" si="25"/>
        <v>26.132100000000001</v>
      </c>
      <c r="M107">
        <f t="shared" ca="1" si="25"/>
        <v>53</v>
      </c>
      <c r="N107">
        <f t="shared" ca="1" si="25"/>
        <v>0</v>
      </c>
      <c r="O107">
        <f t="shared" ca="1" si="25"/>
        <v>0</v>
      </c>
      <c r="P107">
        <f t="shared" ca="1" si="25"/>
        <v>42.178100000000001</v>
      </c>
      <c r="Q107">
        <f t="shared" ca="1" si="25"/>
        <v>24.9666</v>
      </c>
      <c r="R107">
        <f t="shared" ca="1" si="25"/>
        <v>5.3614800000000002</v>
      </c>
      <c r="S107">
        <f t="shared" ca="1" si="16"/>
        <v>53</v>
      </c>
      <c r="T107">
        <f t="shared" ca="1" si="17"/>
        <v>24.9666</v>
      </c>
      <c r="U107" t="e">
        <f ca="1">IF(AND($C107='Funnel setup'!$K$3&amp;'Funnel setup'!$K$6&amp;'Funnel setup'!$K$7&amp;'Funnel setup'!$K$4,'Funnel Lookup'!I107="*",'Funnel Lookup'!I107="*"),#N/A,IF(AND($C107='Funnel setup'!$K$3&amp;'Funnel setup'!$K$6&amp;'Funnel setup'!$K$7&amp;'Funnel setup'!$K$4,'Funnel Lookup'!I107&gt;29,'Funnel Lookup'!I107&lt;&gt;"-"),'Funnel Lookup'!I107,#N/A))</f>
        <v>#N/A</v>
      </c>
      <c r="V107" t="e">
        <f ca="1">IF(AND($C107='Funnel setup'!$K$3&amp;'Funnel setup'!$K$6&amp;'Funnel setup'!$K$7&amp;'Funnel setup'!$K$4,'Funnel Lookup'!I107="*",'Funnel Lookup'!I107="*"),#N/A,IF(AND($C107='Funnel setup'!$K$3&amp;'Funnel setup'!$K$6&amp;'Funnel setup'!$K$7&amp;'Funnel setup'!$K$4,'Funnel Lookup'!I107&gt;29,'Funnel Lookup'!I107&lt;&gt;"-"),'Funnel Lookup'!Q107,#N/A))</f>
        <v>#N/A</v>
      </c>
    </row>
    <row r="108" spans="1:22" x14ac:dyDescent="0.25">
      <c r="A108">
        <v>106</v>
      </c>
      <c r="B108">
        <f t="shared" ca="1" si="24"/>
        <v>106</v>
      </c>
      <c r="C108" t="str">
        <f t="shared" ca="1" si="24"/>
        <v>Total Hip ReplacementProviderNUFFIELD HEALTH, CAMBRIDGE HOSPITAL (NT209)Oxford Hip Score</v>
      </c>
      <c r="D108" t="str">
        <f t="shared" ca="1" si="24"/>
        <v>Total Hip Replacement</v>
      </c>
      <c r="E108" t="str">
        <f t="shared" ca="1" si="24"/>
        <v>Provider</v>
      </c>
      <c r="F108" t="str">
        <f t="shared" ca="1" si="24"/>
        <v>NT209</v>
      </c>
      <c r="G108" t="str">
        <f t="shared" ca="1" si="24"/>
        <v>NUFFIELD HEALTH, CAMBRIDGE HOSPITAL (NT209)</v>
      </c>
      <c r="H108" t="str">
        <f t="shared" ca="1" si="24"/>
        <v>Oxford Hip Score</v>
      </c>
      <c r="I108">
        <f t="shared" ca="1" si="24"/>
        <v>22</v>
      </c>
      <c r="J108">
        <f t="shared" ca="1" si="24"/>
        <v>17</v>
      </c>
      <c r="K108">
        <f t="shared" ca="1" si="24"/>
        <v>42.909100000000002</v>
      </c>
      <c r="L108">
        <f t="shared" ca="1" si="25"/>
        <v>25.909099999999999</v>
      </c>
      <c r="M108">
        <f t="shared" ca="1" si="25"/>
        <v>22</v>
      </c>
      <c r="N108">
        <f t="shared" ca="1" si="25"/>
        <v>0</v>
      </c>
      <c r="O108">
        <f t="shared" ca="1" si="25"/>
        <v>0</v>
      </c>
      <c r="P108" t="str">
        <f t="shared" ca="1" si="25"/>
        <v>*</v>
      </c>
      <c r="Q108" t="str">
        <f t="shared" ca="1" si="25"/>
        <v>*</v>
      </c>
      <c r="R108" t="str">
        <f t="shared" ca="1" si="25"/>
        <v>*</v>
      </c>
      <c r="S108" t="e">
        <f t="shared" ca="1" si="16"/>
        <v>#N/A</v>
      </c>
      <c r="T108" t="e">
        <f t="shared" ca="1" si="17"/>
        <v>#N/A</v>
      </c>
      <c r="U108" t="e">
        <f ca="1">IF(AND($C108='Funnel setup'!$K$3&amp;'Funnel setup'!$K$6&amp;'Funnel setup'!$K$7&amp;'Funnel setup'!$K$4,'Funnel Lookup'!I108="*",'Funnel Lookup'!I108="*"),#N/A,IF(AND($C108='Funnel setup'!$K$3&amp;'Funnel setup'!$K$6&amp;'Funnel setup'!$K$7&amp;'Funnel setup'!$K$4,'Funnel Lookup'!I108&gt;29,'Funnel Lookup'!I108&lt;&gt;"-"),'Funnel Lookup'!I108,#N/A))</f>
        <v>#N/A</v>
      </c>
      <c r="V108" t="e">
        <f ca="1">IF(AND($C108='Funnel setup'!$K$3&amp;'Funnel setup'!$K$6&amp;'Funnel setup'!$K$7&amp;'Funnel setup'!$K$4,'Funnel Lookup'!I108="*",'Funnel Lookup'!I108="*"),#N/A,IF(AND($C108='Funnel setup'!$K$3&amp;'Funnel setup'!$K$6&amp;'Funnel setup'!$K$7&amp;'Funnel setup'!$K$4,'Funnel Lookup'!I108&gt;29,'Funnel Lookup'!I108&lt;&gt;"-"),'Funnel Lookup'!Q108,#N/A))</f>
        <v>#N/A</v>
      </c>
    </row>
    <row r="109" spans="1:22" x14ac:dyDescent="0.25">
      <c r="A109">
        <v>107</v>
      </c>
      <c r="B109">
        <f t="shared" ca="1" si="24"/>
        <v>107</v>
      </c>
      <c r="C109" t="str">
        <f t="shared" ca="1" si="24"/>
        <v>Total Hip ReplacementProviderNUFFIELD HEALTH, CHELTENHAM HOSPITAL (NT211)Oxford Hip Score</v>
      </c>
      <c r="D109" t="str">
        <f t="shared" ca="1" si="24"/>
        <v>Total Hip Replacement</v>
      </c>
      <c r="E109" t="str">
        <f t="shared" ca="1" si="24"/>
        <v>Provider</v>
      </c>
      <c r="F109" t="str">
        <f t="shared" ca="1" si="24"/>
        <v>NT211</v>
      </c>
      <c r="G109" t="str">
        <f t="shared" ca="1" si="24"/>
        <v>NUFFIELD HEALTH, CHELTENHAM HOSPITAL (NT211)</v>
      </c>
      <c r="H109" t="str">
        <f t="shared" ca="1" si="24"/>
        <v>Oxford Hip Score</v>
      </c>
      <c r="I109">
        <f t="shared" ca="1" si="24"/>
        <v>1</v>
      </c>
      <c r="J109">
        <f t="shared" ca="1" si="24"/>
        <v>18</v>
      </c>
      <c r="K109">
        <f t="shared" ca="1" si="24"/>
        <v>46</v>
      </c>
      <c r="L109">
        <f t="shared" ca="1" si="25"/>
        <v>28</v>
      </c>
      <c r="M109">
        <f t="shared" ca="1" si="25"/>
        <v>1</v>
      </c>
      <c r="N109">
        <f t="shared" ca="1" si="25"/>
        <v>0</v>
      </c>
      <c r="O109">
        <f t="shared" ca="1" si="25"/>
        <v>0</v>
      </c>
      <c r="P109" t="str">
        <f t="shared" ca="1" si="25"/>
        <v>*</v>
      </c>
      <c r="Q109" t="str">
        <f t="shared" ca="1" si="25"/>
        <v>*</v>
      </c>
      <c r="R109" t="str">
        <f t="shared" ca="1" si="25"/>
        <v>*</v>
      </c>
      <c r="S109" t="e">
        <f t="shared" ca="1" si="16"/>
        <v>#N/A</v>
      </c>
      <c r="T109" t="e">
        <f t="shared" ca="1" si="17"/>
        <v>#N/A</v>
      </c>
      <c r="U109" t="e">
        <f ca="1">IF(AND($C109='Funnel setup'!$K$3&amp;'Funnel setup'!$K$6&amp;'Funnel setup'!$K$7&amp;'Funnel setup'!$K$4,'Funnel Lookup'!I109="*",'Funnel Lookup'!I109="*"),#N/A,IF(AND($C109='Funnel setup'!$K$3&amp;'Funnel setup'!$K$6&amp;'Funnel setup'!$K$7&amp;'Funnel setup'!$K$4,'Funnel Lookup'!I109&gt;29,'Funnel Lookup'!I109&lt;&gt;"-"),'Funnel Lookup'!I109,#N/A))</f>
        <v>#N/A</v>
      </c>
      <c r="V109" t="e">
        <f ca="1">IF(AND($C109='Funnel setup'!$K$3&amp;'Funnel setup'!$K$6&amp;'Funnel setup'!$K$7&amp;'Funnel setup'!$K$4,'Funnel Lookup'!I109="*",'Funnel Lookup'!I109="*"),#N/A,IF(AND($C109='Funnel setup'!$K$3&amp;'Funnel setup'!$K$6&amp;'Funnel setup'!$K$7&amp;'Funnel setup'!$K$4,'Funnel Lookup'!I109&gt;29,'Funnel Lookup'!I109&lt;&gt;"-"),'Funnel Lookup'!Q109,#N/A))</f>
        <v>#N/A</v>
      </c>
    </row>
    <row r="110" spans="1:22" x14ac:dyDescent="0.25">
      <c r="A110">
        <v>108</v>
      </c>
      <c r="B110">
        <f t="shared" ca="1" si="24"/>
        <v>108</v>
      </c>
      <c r="C110" t="str">
        <f t="shared" ca="1" si="24"/>
        <v>Total Hip ReplacementProviderNUFFIELD HEALTH, CHICHESTER HOSPITAL (NT212)Oxford Hip Score</v>
      </c>
      <c r="D110" t="str">
        <f t="shared" ca="1" si="24"/>
        <v>Total Hip Replacement</v>
      </c>
      <c r="E110" t="str">
        <f t="shared" ca="1" si="24"/>
        <v>Provider</v>
      </c>
      <c r="F110" t="str">
        <f t="shared" ca="1" si="24"/>
        <v>NT212</v>
      </c>
      <c r="G110" t="str">
        <f t="shared" ca="1" si="24"/>
        <v>NUFFIELD HEALTH, CHICHESTER HOSPITAL (NT212)</v>
      </c>
      <c r="H110" t="str">
        <f t="shared" ca="1" si="24"/>
        <v>Oxford Hip Score</v>
      </c>
      <c r="I110">
        <f t="shared" ca="1" si="24"/>
        <v>20</v>
      </c>
      <c r="J110">
        <f t="shared" ca="1" si="24"/>
        <v>16.95</v>
      </c>
      <c r="K110">
        <f t="shared" ca="1" si="24"/>
        <v>39.5</v>
      </c>
      <c r="L110">
        <f t="shared" ca="1" si="25"/>
        <v>22.55</v>
      </c>
      <c r="M110">
        <f t="shared" ca="1" si="25"/>
        <v>20</v>
      </c>
      <c r="N110">
        <f t="shared" ca="1" si="25"/>
        <v>0</v>
      </c>
      <c r="O110">
        <f t="shared" ca="1" si="25"/>
        <v>0</v>
      </c>
      <c r="P110" t="str">
        <f t="shared" ca="1" si="25"/>
        <v>*</v>
      </c>
      <c r="Q110" t="str">
        <f t="shared" ca="1" si="25"/>
        <v>*</v>
      </c>
      <c r="R110" t="str">
        <f t="shared" ca="1" si="25"/>
        <v>*</v>
      </c>
      <c r="S110" t="e">
        <f t="shared" ca="1" si="16"/>
        <v>#N/A</v>
      </c>
      <c r="T110" t="e">
        <f t="shared" ca="1" si="17"/>
        <v>#N/A</v>
      </c>
      <c r="U110" t="e">
        <f ca="1">IF(AND($C110='Funnel setup'!$K$3&amp;'Funnel setup'!$K$6&amp;'Funnel setup'!$K$7&amp;'Funnel setup'!$K$4,'Funnel Lookup'!I110="*",'Funnel Lookup'!I110="*"),#N/A,IF(AND($C110='Funnel setup'!$K$3&amp;'Funnel setup'!$K$6&amp;'Funnel setup'!$K$7&amp;'Funnel setup'!$K$4,'Funnel Lookup'!I110&gt;29,'Funnel Lookup'!I110&lt;&gt;"-"),'Funnel Lookup'!I110,#N/A))</f>
        <v>#N/A</v>
      </c>
      <c r="V110" t="e">
        <f ca="1">IF(AND($C110='Funnel setup'!$K$3&amp;'Funnel setup'!$K$6&amp;'Funnel setup'!$K$7&amp;'Funnel setup'!$K$4,'Funnel Lookup'!I110="*",'Funnel Lookup'!I110="*"),#N/A,IF(AND($C110='Funnel setup'!$K$3&amp;'Funnel setup'!$K$6&amp;'Funnel setup'!$K$7&amp;'Funnel setup'!$K$4,'Funnel Lookup'!I110&gt;29,'Funnel Lookup'!I110&lt;&gt;"-"),'Funnel Lookup'!Q110,#N/A))</f>
        <v>#N/A</v>
      </c>
    </row>
    <row r="111" spans="1:22" x14ac:dyDescent="0.25">
      <c r="A111">
        <v>109</v>
      </c>
      <c r="B111">
        <f t="shared" ca="1" si="24"/>
        <v>109</v>
      </c>
      <c r="C111" t="str">
        <f t="shared" ca="1" si="24"/>
        <v>Total Hip ReplacementProviderNUFFIELD HEALTH, DERBY HOSPITAL (NT213)Oxford Hip Score</v>
      </c>
      <c r="D111" t="str">
        <f t="shared" ca="1" si="24"/>
        <v>Total Hip Replacement</v>
      </c>
      <c r="E111" t="str">
        <f t="shared" ca="1" si="24"/>
        <v>Provider</v>
      </c>
      <c r="F111" t="str">
        <f t="shared" ca="1" si="24"/>
        <v>NT213</v>
      </c>
      <c r="G111" t="str">
        <f t="shared" ca="1" si="24"/>
        <v>NUFFIELD HEALTH, DERBY HOSPITAL (NT213)</v>
      </c>
      <c r="H111" t="str">
        <f t="shared" ca="1" si="24"/>
        <v>Oxford Hip Score</v>
      </c>
      <c r="I111">
        <f t="shared" ca="1" si="24"/>
        <v>53</v>
      </c>
      <c r="J111">
        <f t="shared" ca="1" si="24"/>
        <v>19.113199999999999</v>
      </c>
      <c r="K111">
        <f t="shared" ca="1" si="24"/>
        <v>42.320799999999998</v>
      </c>
      <c r="L111">
        <f t="shared" ca="1" si="25"/>
        <v>23.2075</v>
      </c>
      <c r="M111">
        <f t="shared" ca="1" si="25"/>
        <v>53</v>
      </c>
      <c r="N111">
        <f t="shared" ca="1" si="25"/>
        <v>0</v>
      </c>
      <c r="O111">
        <f t="shared" ca="1" si="25"/>
        <v>0</v>
      </c>
      <c r="P111">
        <f t="shared" ca="1" si="25"/>
        <v>41.337400000000002</v>
      </c>
      <c r="Q111">
        <f t="shared" ca="1" si="25"/>
        <v>24.125900000000001</v>
      </c>
      <c r="R111">
        <f t="shared" ca="1" si="25"/>
        <v>6.0900499999999997</v>
      </c>
      <c r="S111">
        <f t="shared" ca="1" si="16"/>
        <v>53</v>
      </c>
      <c r="T111">
        <f t="shared" ca="1" si="17"/>
        <v>24.125900000000001</v>
      </c>
      <c r="U111" t="e">
        <f ca="1">IF(AND($C111='Funnel setup'!$K$3&amp;'Funnel setup'!$K$6&amp;'Funnel setup'!$K$7&amp;'Funnel setup'!$K$4,'Funnel Lookup'!I111="*",'Funnel Lookup'!I111="*"),#N/A,IF(AND($C111='Funnel setup'!$K$3&amp;'Funnel setup'!$K$6&amp;'Funnel setup'!$K$7&amp;'Funnel setup'!$K$4,'Funnel Lookup'!I111&gt;29,'Funnel Lookup'!I111&lt;&gt;"-"),'Funnel Lookup'!I111,#N/A))</f>
        <v>#N/A</v>
      </c>
      <c r="V111" t="e">
        <f ca="1">IF(AND($C111='Funnel setup'!$K$3&amp;'Funnel setup'!$K$6&amp;'Funnel setup'!$K$7&amp;'Funnel setup'!$K$4,'Funnel Lookup'!I111="*",'Funnel Lookup'!I111="*"),#N/A,IF(AND($C111='Funnel setup'!$K$3&amp;'Funnel setup'!$K$6&amp;'Funnel setup'!$K$7&amp;'Funnel setup'!$K$4,'Funnel Lookup'!I111&gt;29,'Funnel Lookup'!I111&lt;&gt;"-"),'Funnel Lookup'!Q111,#N/A))</f>
        <v>#N/A</v>
      </c>
    </row>
    <row r="112" spans="1:22" x14ac:dyDescent="0.25">
      <c r="A112">
        <v>110</v>
      </c>
      <c r="B112">
        <f t="shared" ca="1" si="24"/>
        <v>110</v>
      </c>
      <c r="C112" t="str">
        <f t="shared" ca="1" si="24"/>
        <v>Total Hip ReplacementProviderNUFFIELD HEALTH, EXETER HOSPITAL (NT215)Oxford Hip Score</v>
      </c>
      <c r="D112" t="str">
        <f t="shared" ca="1" si="24"/>
        <v>Total Hip Replacement</v>
      </c>
      <c r="E112" t="str">
        <f t="shared" ca="1" si="24"/>
        <v>Provider</v>
      </c>
      <c r="F112" t="str">
        <f t="shared" ca="1" si="24"/>
        <v>NT215</v>
      </c>
      <c r="G112" t="str">
        <f t="shared" ca="1" si="24"/>
        <v>NUFFIELD HEALTH, EXETER HOSPITAL (NT215)</v>
      </c>
      <c r="H112" t="str">
        <f t="shared" ca="1" si="24"/>
        <v>Oxford Hip Score</v>
      </c>
      <c r="I112">
        <f t="shared" ca="1" si="24"/>
        <v>3</v>
      </c>
      <c r="J112">
        <f t="shared" ca="1" si="24"/>
        <v>15</v>
      </c>
      <c r="K112">
        <f t="shared" ca="1" si="24"/>
        <v>47</v>
      </c>
      <c r="L112">
        <f t="shared" ca="1" si="25"/>
        <v>32</v>
      </c>
      <c r="M112">
        <f t="shared" ca="1" si="25"/>
        <v>3</v>
      </c>
      <c r="N112">
        <f t="shared" ca="1" si="25"/>
        <v>0</v>
      </c>
      <c r="O112">
        <f t="shared" ca="1" si="25"/>
        <v>0</v>
      </c>
      <c r="P112" t="str">
        <f t="shared" ca="1" si="25"/>
        <v>*</v>
      </c>
      <c r="Q112" t="str">
        <f t="shared" ca="1" si="25"/>
        <v>*</v>
      </c>
      <c r="R112" t="str">
        <f t="shared" ca="1" si="25"/>
        <v>*</v>
      </c>
      <c r="S112" t="e">
        <f t="shared" ca="1" si="16"/>
        <v>#N/A</v>
      </c>
      <c r="T112" t="e">
        <f t="shared" ca="1" si="17"/>
        <v>#N/A</v>
      </c>
      <c r="U112" t="e">
        <f ca="1">IF(AND($C112='Funnel setup'!$K$3&amp;'Funnel setup'!$K$6&amp;'Funnel setup'!$K$7&amp;'Funnel setup'!$K$4,'Funnel Lookup'!I112="*",'Funnel Lookup'!I112="*"),#N/A,IF(AND($C112='Funnel setup'!$K$3&amp;'Funnel setup'!$K$6&amp;'Funnel setup'!$K$7&amp;'Funnel setup'!$K$4,'Funnel Lookup'!I112&gt;29,'Funnel Lookup'!I112&lt;&gt;"-"),'Funnel Lookup'!I112,#N/A))</f>
        <v>#N/A</v>
      </c>
      <c r="V112" t="e">
        <f ca="1">IF(AND($C112='Funnel setup'!$K$3&amp;'Funnel setup'!$K$6&amp;'Funnel setup'!$K$7&amp;'Funnel setup'!$K$4,'Funnel Lookup'!I112="*",'Funnel Lookup'!I112="*"),#N/A,IF(AND($C112='Funnel setup'!$K$3&amp;'Funnel setup'!$K$6&amp;'Funnel setup'!$K$7&amp;'Funnel setup'!$K$4,'Funnel Lookup'!I112&gt;29,'Funnel Lookup'!I112&lt;&gt;"-"),'Funnel Lookup'!Q112,#N/A))</f>
        <v>#N/A</v>
      </c>
    </row>
    <row r="113" spans="1:22" x14ac:dyDescent="0.25">
      <c r="A113">
        <v>111</v>
      </c>
      <c r="B113">
        <f t="shared" ref="B113:K122" ca="1" si="26">VLOOKUP($A113,Funnel_Data,B$1,FALSE)</f>
        <v>111</v>
      </c>
      <c r="C113" t="str">
        <f t="shared" ca="1" si="26"/>
        <v>Total Hip ReplacementProviderNUFFIELD HEALTH, HAYWARDS HEATH HOSPITAL (NT218)Oxford Hip Score</v>
      </c>
      <c r="D113" t="str">
        <f t="shared" ca="1" si="26"/>
        <v>Total Hip Replacement</v>
      </c>
      <c r="E113" t="str">
        <f t="shared" ca="1" si="26"/>
        <v>Provider</v>
      </c>
      <c r="F113" t="str">
        <f t="shared" ca="1" si="26"/>
        <v>NT218</v>
      </c>
      <c r="G113" t="str">
        <f t="shared" ca="1" si="26"/>
        <v>NUFFIELD HEALTH, HAYWARDS HEATH HOSPITAL (NT218)</v>
      </c>
      <c r="H113" t="str">
        <f t="shared" ca="1" si="26"/>
        <v>Oxford Hip Score</v>
      </c>
      <c r="I113">
        <f t="shared" ca="1" si="26"/>
        <v>21</v>
      </c>
      <c r="J113">
        <f t="shared" ca="1" si="26"/>
        <v>17.8095</v>
      </c>
      <c r="K113">
        <f t="shared" ca="1" si="26"/>
        <v>44.285699999999999</v>
      </c>
      <c r="L113">
        <f t="shared" ref="L113:R122" ca="1" si="27">VLOOKUP($A113,Funnel_Data,L$1,FALSE)</f>
        <v>26.476199999999999</v>
      </c>
      <c r="M113">
        <f t="shared" ca="1" si="27"/>
        <v>21</v>
      </c>
      <c r="N113">
        <f t="shared" ca="1" si="27"/>
        <v>0</v>
      </c>
      <c r="O113">
        <f t="shared" ca="1" si="27"/>
        <v>0</v>
      </c>
      <c r="P113" t="str">
        <f t="shared" ca="1" si="27"/>
        <v>*</v>
      </c>
      <c r="Q113" t="str">
        <f t="shared" ca="1" si="27"/>
        <v>*</v>
      </c>
      <c r="R113" t="str">
        <f t="shared" ca="1" si="27"/>
        <v>*</v>
      </c>
      <c r="S113" t="e">
        <f t="shared" ca="1" si="16"/>
        <v>#N/A</v>
      </c>
      <c r="T113" t="e">
        <f t="shared" ca="1" si="17"/>
        <v>#N/A</v>
      </c>
      <c r="U113" t="e">
        <f ca="1">IF(AND($C113='Funnel setup'!$K$3&amp;'Funnel setup'!$K$6&amp;'Funnel setup'!$K$7&amp;'Funnel setup'!$K$4,'Funnel Lookup'!I113="*",'Funnel Lookup'!I113="*"),#N/A,IF(AND($C113='Funnel setup'!$K$3&amp;'Funnel setup'!$K$6&amp;'Funnel setup'!$K$7&amp;'Funnel setup'!$K$4,'Funnel Lookup'!I113&gt;29,'Funnel Lookup'!I113&lt;&gt;"-"),'Funnel Lookup'!I113,#N/A))</f>
        <v>#N/A</v>
      </c>
      <c r="V113" t="e">
        <f ca="1">IF(AND($C113='Funnel setup'!$K$3&amp;'Funnel setup'!$K$6&amp;'Funnel setup'!$K$7&amp;'Funnel setup'!$K$4,'Funnel Lookup'!I113="*",'Funnel Lookup'!I113="*"),#N/A,IF(AND($C113='Funnel setup'!$K$3&amp;'Funnel setup'!$K$6&amp;'Funnel setup'!$K$7&amp;'Funnel setup'!$K$4,'Funnel Lookup'!I113&gt;29,'Funnel Lookup'!I113&lt;&gt;"-"),'Funnel Lookup'!Q113,#N/A))</f>
        <v>#N/A</v>
      </c>
    </row>
    <row r="114" spans="1:22" x14ac:dyDescent="0.25">
      <c r="A114">
        <v>112</v>
      </c>
      <c r="B114">
        <f t="shared" ca="1" si="26"/>
        <v>112</v>
      </c>
      <c r="C114" t="str">
        <f t="shared" ca="1" si="26"/>
        <v>Total Hip ReplacementProviderNUFFIELD HEALTH, HEREFORD HOSPITAL (NT219)Oxford Hip Score</v>
      </c>
      <c r="D114" t="str">
        <f t="shared" ca="1" si="26"/>
        <v>Total Hip Replacement</v>
      </c>
      <c r="E114" t="str">
        <f t="shared" ca="1" si="26"/>
        <v>Provider</v>
      </c>
      <c r="F114" t="str">
        <f t="shared" ca="1" si="26"/>
        <v>NT219</v>
      </c>
      <c r="G114" t="str">
        <f t="shared" ca="1" si="26"/>
        <v>NUFFIELD HEALTH, HEREFORD HOSPITAL (NT219)</v>
      </c>
      <c r="H114" t="str">
        <f t="shared" ca="1" si="26"/>
        <v>Oxford Hip Score</v>
      </c>
      <c r="I114">
        <f t="shared" ca="1" si="26"/>
        <v>8</v>
      </c>
      <c r="J114">
        <f t="shared" ca="1" si="26"/>
        <v>18.625</v>
      </c>
      <c r="K114">
        <f t="shared" ca="1" si="26"/>
        <v>41.375</v>
      </c>
      <c r="L114">
        <f t="shared" ca="1" si="27"/>
        <v>22.75</v>
      </c>
      <c r="M114">
        <f t="shared" ca="1" si="27"/>
        <v>8</v>
      </c>
      <c r="N114">
        <f t="shared" ca="1" si="27"/>
        <v>0</v>
      </c>
      <c r="O114">
        <f t="shared" ca="1" si="27"/>
        <v>0</v>
      </c>
      <c r="P114" t="str">
        <f t="shared" ca="1" si="27"/>
        <v>*</v>
      </c>
      <c r="Q114" t="str">
        <f t="shared" ca="1" si="27"/>
        <v>*</v>
      </c>
      <c r="R114" t="str">
        <f t="shared" ca="1" si="27"/>
        <v>*</v>
      </c>
      <c r="S114" t="e">
        <f t="shared" ca="1" si="16"/>
        <v>#N/A</v>
      </c>
      <c r="T114" t="e">
        <f t="shared" ca="1" si="17"/>
        <v>#N/A</v>
      </c>
      <c r="U114" t="e">
        <f ca="1">IF(AND($C114='Funnel setup'!$K$3&amp;'Funnel setup'!$K$6&amp;'Funnel setup'!$K$7&amp;'Funnel setup'!$K$4,'Funnel Lookup'!I114="*",'Funnel Lookup'!I114="*"),#N/A,IF(AND($C114='Funnel setup'!$K$3&amp;'Funnel setup'!$K$6&amp;'Funnel setup'!$K$7&amp;'Funnel setup'!$K$4,'Funnel Lookup'!I114&gt;29,'Funnel Lookup'!I114&lt;&gt;"-"),'Funnel Lookup'!I114,#N/A))</f>
        <v>#N/A</v>
      </c>
      <c r="V114" t="e">
        <f ca="1">IF(AND($C114='Funnel setup'!$K$3&amp;'Funnel setup'!$K$6&amp;'Funnel setup'!$K$7&amp;'Funnel setup'!$K$4,'Funnel Lookup'!I114="*",'Funnel Lookup'!I114="*"),#N/A,IF(AND($C114='Funnel setup'!$K$3&amp;'Funnel setup'!$K$6&amp;'Funnel setup'!$K$7&amp;'Funnel setup'!$K$4,'Funnel Lookup'!I114&gt;29,'Funnel Lookup'!I114&lt;&gt;"-"),'Funnel Lookup'!Q114,#N/A))</f>
        <v>#N/A</v>
      </c>
    </row>
    <row r="115" spans="1:22" x14ac:dyDescent="0.25">
      <c r="A115">
        <v>113</v>
      </c>
      <c r="B115">
        <f t="shared" ca="1" si="26"/>
        <v>113</v>
      </c>
      <c r="C115" t="str">
        <f t="shared" ca="1" si="26"/>
        <v>Total Hip ReplacementProviderNUFFIELD HEALTH, IPSWICH HOSPITAL (NT222)Oxford Hip Score</v>
      </c>
      <c r="D115" t="str">
        <f t="shared" ca="1" si="26"/>
        <v>Total Hip Replacement</v>
      </c>
      <c r="E115" t="str">
        <f t="shared" ca="1" si="26"/>
        <v>Provider</v>
      </c>
      <c r="F115" t="str">
        <f t="shared" ca="1" si="26"/>
        <v>NT222</v>
      </c>
      <c r="G115" t="str">
        <f t="shared" ca="1" si="26"/>
        <v>NUFFIELD HEALTH, IPSWICH HOSPITAL (NT222)</v>
      </c>
      <c r="H115" t="str">
        <f t="shared" ca="1" si="26"/>
        <v>Oxford Hip Score</v>
      </c>
      <c r="I115">
        <f t="shared" ca="1" si="26"/>
        <v>8</v>
      </c>
      <c r="J115">
        <f t="shared" ca="1" si="26"/>
        <v>17.375</v>
      </c>
      <c r="K115">
        <f t="shared" ca="1" si="26"/>
        <v>41.875</v>
      </c>
      <c r="L115">
        <f t="shared" ca="1" si="27"/>
        <v>24.5</v>
      </c>
      <c r="M115">
        <f t="shared" ca="1" si="27"/>
        <v>8</v>
      </c>
      <c r="N115">
        <f t="shared" ca="1" si="27"/>
        <v>0</v>
      </c>
      <c r="O115">
        <f t="shared" ca="1" si="27"/>
        <v>0</v>
      </c>
      <c r="P115" t="str">
        <f t="shared" ca="1" si="27"/>
        <v>*</v>
      </c>
      <c r="Q115" t="str">
        <f t="shared" ca="1" si="27"/>
        <v>*</v>
      </c>
      <c r="R115" t="str">
        <f t="shared" ca="1" si="27"/>
        <v>*</v>
      </c>
      <c r="S115" t="e">
        <f t="shared" ca="1" si="16"/>
        <v>#N/A</v>
      </c>
      <c r="T115" t="e">
        <f t="shared" ca="1" si="17"/>
        <v>#N/A</v>
      </c>
      <c r="U115" t="e">
        <f ca="1">IF(AND($C115='Funnel setup'!$K$3&amp;'Funnel setup'!$K$6&amp;'Funnel setup'!$K$7&amp;'Funnel setup'!$K$4,'Funnel Lookup'!I115="*",'Funnel Lookup'!I115="*"),#N/A,IF(AND($C115='Funnel setup'!$K$3&amp;'Funnel setup'!$K$6&amp;'Funnel setup'!$K$7&amp;'Funnel setup'!$K$4,'Funnel Lookup'!I115&gt;29,'Funnel Lookup'!I115&lt;&gt;"-"),'Funnel Lookup'!I115,#N/A))</f>
        <v>#N/A</v>
      </c>
      <c r="V115" t="e">
        <f ca="1">IF(AND($C115='Funnel setup'!$K$3&amp;'Funnel setup'!$K$6&amp;'Funnel setup'!$K$7&amp;'Funnel setup'!$K$4,'Funnel Lookup'!I115="*",'Funnel Lookup'!I115="*"),#N/A,IF(AND($C115='Funnel setup'!$K$3&amp;'Funnel setup'!$K$6&amp;'Funnel setup'!$K$7&amp;'Funnel setup'!$K$4,'Funnel Lookup'!I115&gt;29,'Funnel Lookup'!I115&lt;&gt;"-"),'Funnel Lookup'!Q115,#N/A))</f>
        <v>#N/A</v>
      </c>
    </row>
    <row r="116" spans="1:22" x14ac:dyDescent="0.25">
      <c r="A116">
        <v>114</v>
      </c>
      <c r="B116">
        <f t="shared" ca="1" si="26"/>
        <v>114</v>
      </c>
      <c r="C116" t="str">
        <f t="shared" ca="1" si="26"/>
        <v>Total Hip ReplacementProviderNUFFIELD HEALTH, LEEDS HOSPITAL (NT225)Oxford Hip Score</v>
      </c>
      <c r="D116" t="str">
        <f t="shared" ca="1" si="26"/>
        <v>Total Hip Replacement</v>
      </c>
      <c r="E116" t="str">
        <f t="shared" ca="1" si="26"/>
        <v>Provider</v>
      </c>
      <c r="F116" t="str">
        <f t="shared" ca="1" si="26"/>
        <v>NT225</v>
      </c>
      <c r="G116" t="str">
        <f t="shared" ca="1" si="26"/>
        <v>NUFFIELD HEALTH, LEEDS HOSPITAL (NT225)</v>
      </c>
      <c r="H116" t="str">
        <f t="shared" ca="1" si="26"/>
        <v>Oxford Hip Score</v>
      </c>
      <c r="I116">
        <f t="shared" ca="1" si="26"/>
        <v>118</v>
      </c>
      <c r="J116">
        <f t="shared" ca="1" si="26"/>
        <v>18.050799999999999</v>
      </c>
      <c r="K116">
        <f t="shared" ca="1" si="26"/>
        <v>41.254199999999997</v>
      </c>
      <c r="L116">
        <f t="shared" ca="1" si="27"/>
        <v>23.203399999999998</v>
      </c>
      <c r="M116">
        <f t="shared" ca="1" si="27"/>
        <v>117</v>
      </c>
      <c r="N116">
        <f t="shared" ca="1" si="27"/>
        <v>0</v>
      </c>
      <c r="O116">
        <f t="shared" ca="1" si="27"/>
        <v>1</v>
      </c>
      <c r="P116">
        <f t="shared" ca="1" si="27"/>
        <v>39.850499999999997</v>
      </c>
      <c r="Q116">
        <f t="shared" ca="1" si="27"/>
        <v>22.639099999999999</v>
      </c>
      <c r="R116">
        <f t="shared" ca="1" si="27"/>
        <v>7.5097800000000001</v>
      </c>
      <c r="S116">
        <f t="shared" ca="1" si="16"/>
        <v>118</v>
      </c>
      <c r="T116">
        <f t="shared" ca="1" si="17"/>
        <v>22.639099999999999</v>
      </c>
      <c r="U116" t="e">
        <f ca="1">IF(AND($C116='Funnel setup'!$K$3&amp;'Funnel setup'!$K$6&amp;'Funnel setup'!$K$7&amp;'Funnel setup'!$K$4,'Funnel Lookup'!I116="*",'Funnel Lookup'!I116="*"),#N/A,IF(AND($C116='Funnel setup'!$K$3&amp;'Funnel setup'!$K$6&amp;'Funnel setup'!$K$7&amp;'Funnel setup'!$K$4,'Funnel Lookup'!I116&gt;29,'Funnel Lookup'!I116&lt;&gt;"-"),'Funnel Lookup'!I116,#N/A))</f>
        <v>#N/A</v>
      </c>
      <c r="V116" t="e">
        <f ca="1">IF(AND($C116='Funnel setup'!$K$3&amp;'Funnel setup'!$K$6&amp;'Funnel setup'!$K$7&amp;'Funnel setup'!$K$4,'Funnel Lookup'!I116="*",'Funnel Lookup'!I116="*"),#N/A,IF(AND($C116='Funnel setup'!$K$3&amp;'Funnel setup'!$K$6&amp;'Funnel setup'!$K$7&amp;'Funnel setup'!$K$4,'Funnel Lookup'!I116&gt;29,'Funnel Lookup'!I116&lt;&gt;"-"),'Funnel Lookup'!Q116,#N/A))</f>
        <v>#N/A</v>
      </c>
    </row>
    <row r="117" spans="1:22" x14ac:dyDescent="0.25">
      <c r="A117">
        <v>115</v>
      </c>
      <c r="B117">
        <f t="shared" ca="1" si="26"/>
        <v>115</v>
      </c>
      <c r="C117" t="str">
        <f t="shared" ca="1" si="26"/>
        <v>Total Hip ReplacementProviderNUFFIELD HEALTH, LEICESTER HOSPITAL (NT226)Oxford Hip Score</v>
      </c>
      <c r="D117" t="str">
        <f t="shared" ca="1" si="26"/>
        <v>Total Hip Replacement</v>
      </c>
      <c r="E117" t="str">
        <f t="shared" ca="1" si="26"/>
        <v>Provider</v>
      </c>
      <c r="F117" t="str">
        <f t="shared" ca="1" si="26"/>
        <v>NT226</v>
      </c>
      <c r="G117" t="str">
        <f t="shared" ca="1" si="26"/>
        <v>NUFFIELD HEALTH, LEICESTER HOSPITAL (NT226)</v>
      </c>
      <c r="H117" t="str">
        <f t="shared" ca="1" si="26"/>
        <v>Oxford Hip Score</v>
      </c>
      <c r="I117">
        <f t="shared" ca="1" si="26"/>
        <v>34</v>
      </c>
      <c r="J117">
        <f t="shared" ca="1" si="26"/>
        <v>17.735299999999999</v>
      </c>
      <c r="K117">
        <f t="shared" ca="1" si="26"/>
        <v>40.588200000000001</v>
      </c>
      <c r="L117">
        <f t="shared" ca="1" si="27"/>
        <v>22.852900000000002</v>
      </c>
      <c r="M117">
        <f t="shared" ca="1" si="27"/>
        <v>32</v>
      </c>
      <c r="N117">
        <f t="shared" ca="1" si="27"/>
        <v>0</v>
      </c>
      <c r="O117">
        <f t="shared" ca="1" si="27"/>
        <v>2</v>
      </c>
      <c r="P117">
        <f t="shared" ca="1" si="27"/>
        <v>40.800800000000002</v>
      </c>
      <c r="Q117">
        <f t="shared" ca="1" si="27"/>
        <v>23.589400000000001</v>
      </c>
      <c r="R117">
        <f t="shared" ca="1" si="27"/>
        <v>8.3738100000000006</v>
      </c>
      <c r="S117">
        <f t="shared" ca="1" si="16"/>
        <v>34</v>
      </c>
      <c r="T117">
        <f t="shared" ca="1" si="17"/>
        <v>23.589400000000001</v>
      </c>
      <c r="U117" t="e">
        <f ca="1">IF(AND($C117='Funnel setup'!$K$3&amp;'Funnel setup'!$K$6&amp;'Funnel setup'!$K$7&amp;'Funnel setup'!$K$4,'Funnel Lookup'!I117="*",'Funnel Lookup'!I117="*"),#N/A,IF(AND($C117='Funnel setup'!$K$3&amp;'Funnel setup'!$K$6&amp;'Funnel setup'!$K$7&amp;'Funnel setup'!$K$4,'Funnel Lookup'!I117&gt;29,'Funnel Lookup'!I117&lt;&gt;"-"),'Funnel Lookup'!I117,#N/A))</f>
        <v>#N/A</v>
      </c>
      <c r="V117" t="e">
        <f ca="1">IF(AND($C117='Funnel setup'!$K$3&amp;'Funnel setup'!$K$6&amp;'Funnel setup'!$K$7&amp;'Funnel setup'!$K$4,'Funnel Lookup'!I117="*",'Funnel Lookup'!I117="*"),#N/A,IF(AND($C117='Funnel setup'!$K$3&amp;'Funnel setup'!$K$6&amp;'Funnel setup'!$K$7&amp;'Funnel setup'!$K$4,'Funnel Lookup'!I117&gt;29,'Funnel Lookup'!I117&lt;&gt;"-"),'Funnel Lookup'!Q117,#N/A))</f>
        <v>#N/A</v>
      </c>
    </row>
    <row r="118" spans="1:22" x14ac:dyDescent="0.25">
      <c r="A118">
        <v>116</v>
      </c>
      <c r="B118">
        <f t="shared" ca="1" si="26"/>
        <v>116</v>
      </c>
      <c r="C118" t="str">
        <f t="shared" ca="1" si="26"/>
        <v>Total Hip ReplacementProviderNUFFIELD HEALTH, NEWCASTLE UPON TYNE HOSPITAL (NT229)Oxford Hip Score</v>
      </c>
      <c r="D118" t="str">
        <f t="shared" ca="1" si="26"/>
        <v>Total Hip Replacement</v>
      </c>
      <c r="E118" t="str">
        <f t="shared" ca="1" si="26"/>
        <v>Provider</v>
      </c>
      <c r="F118" t="str">
        <f t="shared" ca="1" si="26"/>
        <v>NT229</v>
      </c>
      <c r="G118" t="str">
        <f t="shared" ca="1" si="26"/>
        <v>NUFFIELD HEALTH, NEWCASTLE UPON TYNE HOSPITAL (NT229)</v>
      </c>
      <c r="H118" t="str">
        <f t="shared" ca="1" si="26"/>
        <v>Oxford Hip Score</v>
      </c>
      <c r="I118">
        <f t="shared" ca="1" si="26"/>
        <v>50</v>
      </c>
      <c r="J118">
        <f t="shared" ca="1" si="26"/>
        <v>17.899999999999999</v>
      </c>
      <c r="K118">
        <f t="shared" ca="1" si="26"/>
        <v>40.880000000000003</v>
      </c>
      <c r="L118">
        <f t="shared" ca="1" si="27"/>
        <v>22.98</v>
      </c>
      <c r="M118">
        <f t="shared" ca="1" si="27"/>
        <v>50</v>
      </c>
      <c r="N118">
        <f t="shared" ca="1" si="27"/>
        <v>0</v>
      </c>
      <c r="O118">
        <f t="shared" ca="1" si="27"/>
        <v>0</v>
      </c>
      <c r="P118">
        <f t="shared" ca="1" si="27"/>
        <v>40.645499999999998</v>
      </c>
      <c r="Q118">
        <f t="shared" ca="1" si="27"/>
        <v>23.434100000000001</v>
      </c>
      <c r="R118">
        <f t="shared" ca="1" si="27"/>
        <v>7.2182199999999996</v>
      </c>
      <c r="S118">
        <f t="shared" ca="1" si="16"/>
        <v>50</v>
      </c>
      <c r="T118">
        <f t="shared" ca="1" si="17"/>
        <v>23.434100000000001</v>
      </c>
      <c r="U118" t="e">
        <f ca="1">IF(AND($C118='Funnel setup'!$K$3&amp;'Funnel setup'!$K$6&amp;'Funnel setup'!$K$7&amp;'Funnel setup'!$K$4,'Funnel Lookup'!I118="*",'Funnel Lookup'!I118="*"),#N/A,IF(AND($C118='Funnel setup'!$K$3&amp;'Funnel setup'!$K$6&amp;'Funnel setup'!$K$7&amp;'Funnel setup'!$K$4,'Funnel Lookup'!I118&gt;29,'Funnel Lookup'!I118&lt;&gt;"-"),'Funnel Lookup'!I118,#N/A))</f>
        <v>#N/A</v>
      </c>
      <c r="V118" t="e">
        <f ca="1">IF(AND($C118='Funnel setup'!$K$3&amp;'Funnel setup'!$K$6&amp;'Funnel setup'!$K$7&amp;'Funnel setup'!$K$4,'Funnel Lookup'!I118="*",'Funnel Lookup'!I118="*"),#N/A,IF(AND($C118='Funnel setup'!$K$3&amp;'Funnel setup'!$K$6&amp;'Funnel setup'!$K$7&amp;'Funnel setup'!$K$4,'Funnel Lookup'!I118&gt;29,'Funnel Lookup'!I118&lt;&gt;"-"),'Funnel Lookup'!Q118,#N/A))</f>
        <v>#N/A</v>
      </c>
    </row>
    <row r="119" spans="1:22" x14ac:dyDescent="0.25">
      <c r="A119">
        <v>117</v>
      </c>
      <c r="B119">
        <f t="shared" ca="1" si="26"/>
        <v>117</v>
      </c>
      <c r="C119" t="str">
        <f t="shared" ca="1" si="26"/>
        <v>Total Hip ReplacementProviderNUFFIELD HEALTH, NORTH STAFFORDSHIRE HOSPITAL (NT230)Oxford Hip Score</v>
      </c>
      <c r="D119" t="str">
        <f t="shared" ca="1" si="26"/>
        <v>Total Hip Replacement</v>
      </c>
      <c r="E119" t="str">
        <f t="shared" ca="1" si="26"/>
        <v>Provider</v>
      </c>
      <c r="F119" t="str">
        <f t="shared" ca="1" si="26"/>
        <v>NT230</v>
      </c>
      <c r="G119" t="str">
        <f t="shared" ca="1" si="26"/>
        <v>NUFFIELD HEALTH, NORTH STAFFORDSHIRE HOSPITAL (NT230)</v>
      </c>
      <c r="H119" t="str">
        <f t="shared" ca="1" si="26"/>
        <v>Oxford Hip Score</v>
      </c>
      <c r="I119">
        <f t="shared" ca="1" si="26"/>
        <v>35</v>
      </c>
      <c r="J119">
        <f t="shared" ca="1" si="26"/>
        <v>16.857099999999999</v>
      </c>
      <c r="K119">
        <f t="shared" ca="1" si="26"/>
        <v>39.4</v>
      </c>
      <c r="L119">
        <f t="shared" ca="1" si="27"/>
        <v>22.542899999999999</v>
      </c>
      <c r="M119">
        <f t="shared" ca="1" si="27"/>
        <v>34</v>
      </c>
      <c r="N119">
        <f t="shared" ca="1" si="27"/>
        <v>0</v>
      </c>
      <c r="O119">
        <f t="shared" ca="1" si="27"/>
        <v>1</v>
      </c>
      <c r="P119">
        <f t="shared" ca="1" si="27"/>
        <v>38.028100000000002</v>
      </c>
      <c r="Q119">
        <f t="shared" ca="1" si="27"/>
        <v>20.816600000000001</v>
      </c>
      <c r="R119">
        <f t="shared" ca="1" si="27"/>
        <v>9.67807</v>
      </c>
      <c r="S119">
        <f t="shared" ca="1" si="16"/>
        <v>35</v>
      </c>
      <c r="T119">
        <f t="shared" ca="1" si="17"/>
        <v>20.816600000000001</v>
      </c>
      <c r="U119" t="e">
        <f ca="1">IF(AND($C119='Funnel setup'!$K$3&amp;'Funnel setup'!$K$6&amp;'Funnel setup'!$K$7&amp;'Funnel setup'!$K$4,'Funnel Lookup'!I119="*",'Funnel Lookup'!I119="*"),#N/A,IF(AND($C119='Funnel setup'!$K$3&amp;'Funnel setup'!$K$6&amp;'Funnel setup'!$K$7&amp;'Funnel setup'!$K$4,'Funnel Lookup'!I119&gt;29,'Funnel Lookup'!I119&lt;&gt;"-"),'Funnel Lookup'!I119,#N/A))</f>
        <v>#N/A</v>
      </c>
      <c r="V119" t="e">
        <f ca="1">IF(AND($C119='Funnel setup'!$K$3&amp;'Funnel setup'!$K$6&amp;'Funnel setup'!$K$7&amp;'Funnel setup'!$K$4,'Funnel Lookup'!I119="*",'Funnel Lookup'!I119="*"),#N/A,IF(AND($C119='Funnel setup'!$K$3&amp;'Funnel setup'!$K$6&amp;'Funnel setup'!$K$7&amp;'Funnel setup'!$K$4,'Funnel Lookup'!I119&gt;29,'Funnel Lookup'!I119&lt;&gt;"-"),'Funnel Lookup'!Q119,#N/A))</f>
        <v>#N/A</v>
      </c>
    </row>
    <row r="120" spans="1:22" x14ac:dyDescent="0.25">
      <c r="A120">
        <v>118</v>
      </c>
      <c r="B120">
        <f t="shared" ca="1" si="26"/>
        <v>118</v>
      </c>
      <c r="C120" t="str">
        <f t="shared" ca="1" si="26"/>
        <v>Total Hip ReplacementProviderNUFFIELD HEALTH, PLYMOUTH HOSPITAL (NT233)Oxford Hip Score</v>
      </c>
      <c r="D120" t="str">
        <f t="shared" ca="1" si="26"/>
        <v>Total Hip Replacement</v>
      </c>
      <c r="E120" t="str">
        <f t="shared" ca="1" si="26"/>
        <v>Provider</v>
      </c>
      <c r="F120" t="str">
        <f t="shared" ca="1" si="26"/>
        <v>NT233</v>
      </c>
      <c r="G120" t="str">
        <f t="shared" ca="1" si="26"/>
        <v>NUFFIELD HEALTH, PLYMOUTH HOSPITAL (NT233)</v>
      </c>
      <c r="H120" t="str">
        <f t="shared" ca="1" si="26"/>
        <v>Oxford Hip Score</v>
      </c>
      <c r="I120">
        <f t="shared" ca="1" si="26"/>
        <v>66</v>
      </c>
      <c r="J120">
        <f t="shared" ca="1" si="26"/>
        <v>17.238800000000001</v>
      </c>
      <c r="K120">
        <f t="shared" ca="1" si="26"/>
        <v>42.089599999999997</v>
      </c>
      <c r="L120">
        <f t="shared" ca="1" si="27"/>
        <v>24.8507</v>
      </c>
      <c r="M120">
        <f t="shared" ca="1" si="27"/>
        <v>66</v>
      </c>
      <c r="N120">
        <f t="shared" ca="1" si="27"/>
        <v>0</v>
      </c>
      <c r="O120">
        <f t="shared" ca="1" si="27"/>
        <v>0</v>
      </c>
      <c r="P120">
        <f t="shared" ca="1" si="27"/>
        <v>40.773299999999999</v>
      </c>
      <c r="Q120">
        <f t="shared" ca="1" si="27"/>
        <v>23.561800000000002</v>
      </c>
      <c r="R120">
        <f t="shared" ca="1" si="27"/>
        <v>7.5172699999999999</v>
      </c>
      <c r="S120">
        <f t="shared" ca="1" si="16"/>
        <v>66</v>
      </c>
      <c r="T120">
        <f t="shared" ca="1" si="17"/>
        <v>23.561800000000002</v>
      </c>
      <c r="U120" t="e">
        <f ca="1">IF(AND($C120='Funnel setup'!$K$3&amp;'Funnel setup'!$K$6&amp;'Funnel setup'!$K$7&amp;'Funnel setup'!$K$4,'Funnel Lookup'!I120="*",'Funnel Lookup'!I120="*"),#N/A,IF(AND($C120='Funnel setup'!$K$3&amp;'Funnel setup'!$K$6&amp;'Funnel setup'!$K$7&amp;'Funnel setup'!$K$4,'Funnel Lookup'!I120&gt;29,'Funnel Lookup'!I120&lt;&gt;"-"),'Funnel Lookup'!I120,#N/A))</f>
        <v>#N/A</v>
      </c>
      <c r="V120" t="e">
        <f ca="1">IF(AND($C120='Funnel setup'!$K$3&amp;'Funnel setup'!$K$6&amp;'Funnel setup'!$K$7&amp;'Funnel setup'!$K$4,'Funnel Lookup'!I120="*",'Funnel Lookup'!I120="*"),#N/A,IF(AND($C120='Funnel setup'!$K$3&amp;'Funnel setup'!$K$6&amp;'Funnel setup'!$K$7&amp;'Funnel setup'!$K$4,'Funnel Lookup'!I120&gt;29,'Funnel Lookup'!I120&lt;&gt;"-"),'Funnel Lookup'!Q120,#N/A))</f>
        <v>#N/A</v>
      </c>
    </row>
    <row r="121" spans="1:22" x14ac:dyDescent="0.25">
      <c r="A121">
        <v>119</v>
      </c>
      <c r="B121">
        <f t="shared" ca="1" si="26"/>
        <v>119</v>
      </c>
      <c r="C121" t="str">
        <f t="shared" ca="1" si="26"/>
        <v>Total Hip ReplacementProviderNUFFIELD HEALTH, SHREWSBURY HOSPITAL (NT235)Oxford Hip Score</v>
      </c>
      <c r="D121" t="str">
        <f t="shared" ca="1" si="26"/>
        <v>Total Hip Replacement</v>
      </c>
      <c r="E121" t="str">
        <f t="shared" ca="1" si="26"/>
        <v>Provider</v>
      </c>
      <c r="F121" t="str">
        <f t="shared" ca="1" si="26"/>
        <v>NT235</v>
      </c>
      <c r="G121" t="str">
        <f t="shared" ca="1" si="26"/>
        <v>NUFFIELD HEALTH, SHREWSBURY HOSPITAL (NT235)</v>
      </c>
      <c r="H121" t="str">
        <f t="shared" ca="1" si="26"/>
        <v>Oxford Hip Score</v>
      </c>
      <c r="I121">
        <f t="shared" ca="1" si="26"/>
        <v>8</v>
      </c>
      <c r="J121">
        <f t="shared" ca="1" si="26"/>
        <v>13.75</v>
      </c>
      <c r="K121">
        <f t="shared" ca="1" si="26"/>
        <v>41.75</v>
      </c>
      <c r="L121">
        <f t="shared" ca="1" si="27"/>
        <v>28</v>
      </c>
      <c r="M121">
        <f t="shared" ca="1" si="27"/>
        <v>8</v>
      </c>
      <c r="N121">
        <f t="shared" ca="1" si="27"/>
        <v>0</v>
      </c>
      <c r="O121">
        <f t="shared" ca="1" si="27"/>
        <v>0</v>
      </c>
      <c r="P121" t="str">
        <f t="shared" ca="1" si="27"/>
        <v>*</v>
      </c>
      <c r="Q121" t="str">
        <f t="shared" ca="1" si="27"/>
        <v>*</v>
      </c>
      <c r="R121" t="str">
        <f t="shared" ca="1" si="27"/>
        <v>*</v>
      </c>
      <c r="S121" t="e">
        <f t="shared" ca="1" si="16"/>
        <v>#N/A</v>
      </c>
      <c r="T121" t="e">
        <f t="shared" ca="1" si="17"/>
        <v>#N/A</v>
      </c>
      <c r="U121" t="e">
        <f ca="1">IF(AND($C121='Funnel setup'!$K$3&amp;'Funnel setup'!$K$6&amp;'Funnel setup'!$K$7&amp;'Funnel setup'!$K$4,'Funnel Lookup'!I121="*",'Funnel Lookup'!I121="*"),#N/A,IF(AND($C121='Funnel setup'!$K$3&amp;'Funnel setup'!$K$6&amp;'Funnel setup'!$K$7&amp;'Funnel setup'!$K$4,'Funnel Lookup'!I121&gt;29,'Funnel Lookup'!I121&lt;&gt;"-"),'Funnel Lookup'!I121,#N/A))</f>
        <v>#N/A</v>
      </c>
      <c r="V121" t="e">
        <f ca="1">IF(AND($C121='Funnel setup'!$K$3&amp;'Funnel setup'!$K$6&amp;'Funnel setup'!$K$7&amp;'Funnel setup'!$K$4,'Funnel Lookup'!I121="*",'Funnel Lookup'!I121="*"),#N/A,IF(AND($C121='Funnel setup'!$K$3&amp;'Funnel setup'!$K$6&amp;'Funnel setup'!$K$7&amp;'Funnel setup'!$K$4,'Funnel Lookup'!I121&gt;29,'Funnel Lookup'!I121&lt;&gt;"-"),'Funnel Lookup'!Q121,#N/A))</f>
        <v>#N/A</v>
      </c>
    </row>
    <row r="122" spans="1:22" x14ac:dyDescent="0.25">
      <c r="A122">
        <v>120</v>
      </c>
      <c r="B122">
        <f t="shared" ca="1" si="26"/>
        <v>120</v>
      </c>
      <c r="C122" t="str">
        <f t="shared" ca="1" si="26"/>
        <v>Total Hip ReplacementProviderNUFFIELD HEALTH, TAUNTON HOSPITAL (NT238)Oxford Hip Score</v>
      </c>
      <c r="D122" t="str">
        <f t="shared" ca="1" si="26"/>
        <v>Total Hip Replacement</v>
      </c>
      <c r="E122" t="str">
        <f t="shared" ca="1" si="26"/>
        <v>Provider</v>
      </c>
      <c r="F122" t="str">
        <f t="shared" ca="1" si="26"/>
        <v>NT238</v>
      </c>
      <c r="G122" t="str">
        <f t="shared" ca="1" si="26"/>
        <v>NUFFIELD HEALTH, TAUNTON HOSPITAL (NT238)</v>
      </c>
      <c r="H122" t="str">
        <f t="shared" ca="1" si="26"/>
        <v>Oxford Hip Score</v>
      </c>
      <c r="I122">
        <f t="shared" ca="1" si="26"/>
        <v>22</v>
      </c>
      <c r="J122">
        <f t="shared" ca="1" si="26"/>
        <v>17.2727</v>
      </c>
      <c r="K122">
        <f t="shared" ca="1" si="26"/>
        <v>42.863599999999998</v>
      </c>
      <c r="L122">
        <f t="shared" ca="1" si="27"/>
        <v>25.590900000000001</v>
      </c>
      <c r="M122">
        <f t="shared" ca="1" si="27"/>
        <v>22</v>
      </c>
      <c r="N122">
        <f t="shared" ca="1" si="27"/>
        <v>0</v>
      </c>
      <c r="O122">
        <f t="shared" ca="1" si="27"/>
        <v>0</v>
      </c>
      <c r="P122" t="str">
        <f t="shared" ca="1" si="27"/>
        <v>*</v>
      </c>
      <c r="Q122" t="str">
        <f t="shared" ca="1" si="27"/>
        <v>*</v>
      </c>
      <c r="R122" t="str">
        <f t="shared" ca="1" si="27"/>
        <v>*</v>
      </c>
      <c r="S122" t="e">
        <f t="shared" ca="1" si="16"/>
        <v>#N/A</v>
      </c>
      <c r="T122" t="e">
        <f t="shared" ca="1" si="17"/>
        <v>#N/A</v>
      </c>
      <c r="U122" t="e">
        <f ca="1">IF(AND($C122='Funnel setup'!$K$3&amp;'Funnel setup'!$K$6&amp;'Funnel setup'!$K$7&amp;'Funnel setup'!$K$4,'Funnel Lookup'!I122="*",'Funnel Lookup'!I122="*"),#N/A,IF(AND($C122='Funnel setup'!$K$3&amp;'Funnel setup'!$K$6&amp;'Funnel setup'!$K$7&amp;'Funnel setup'!$K$4,'Funnel Lookup'!I122&gt;29,'Funnel Lookup'!I122&lt;&gt;"-"),'Funnel Lookup'!I122,#N/A))</f>
        <v>#N/A</v>
      </c>
      <c r="V122" t="e">
        <f ca="1">IF(AND($C122='Funnel setup'!$K$3&amp;'Funnel setup'!$K$6&amp;'Funnel setup'!$K$7&amp;'Funnel setup'!$K$4,'Funnel Lookup'!I122="*",'Funnel Lookup'!I122="*"),#N/A,IF(AND($C122='Funnel setup'!$K$3&amp;'Funnel setup'!$K$6&amp;'Funnel setup'!$K$7&amp;'Funnel setup'!$K$4,'Funnel Lookup'!I122&gt;29,'Funnel Lookup'!I122&lt;&gt;"-"),'Funnel Lookup'!Q122,#N/A))</f>
        <v>#N/A</v>
      </c>
    </row>
    <row r="123" spans="1:22" x14ac:dyDescent="0.25">
      <c r="A123">
        <v>121</v>
      </c>
      <c r="B123">
        <f t="shared" ref="B123:K132" ca="1" si="28">VLOOKUP($A123,Funnel_Data,B$1,FALSE)</f>
        <v>121</v>
      </c>
      <c r="C123" t="str">
        <f t="shared" ca="1" si="28"/>
        <v>Total Hip ReplacementProviderNUFFIELD HEALTH, TEES HOSPITAL (NT237)Oxford Hip Score</v>
      </c>
      <c r="D123" t="str">
        <f t="shared" ca="1" si="28"/>
        <v>Total Hip Replacement</v>
      </c>
      <c r="E123" t="str">
        <f t="shared" ca="1" si="28"/>
        <v>Provider</v>
      </c>
      <c r="F123" t="str">
        <f t="shared" ca="1" si="28"/>
        <v>NT237</v>
      </c>
      <c r="G123" t="str">
        <f t="shared" ca="1" si="28"/>
        <v>NUFFIELD HEALTH, TEES HOSPITAL (NT237)</v>
      </c>
      <c r="H123" t="str">
        <f t="shared" ca="1" si="28"/>
        <v>Oxford Hip Score</v>
      </c>
      <c r="I123">
        <f t="shared" ca="1" si="28"/>
        <v>150</v>
      </c>
      <c r="J123">
        <f t="shared" ca="1" si="28"/>
        <v>18.506699999999999</v>
      </c>
      <c r="K123">
        <f t="shared" ca="1" si="28"/>
        <v>40.813299999999998</v>
      </c>
      <c r="L123">
        <f t="shared" ref="L123:R132" ca="1" si="29">VLOOKUP($A123,Funnel_Data,L$1,FALSE)</f>
        <v>22.306699999999999</v>
      </c>
      <c r="M123">
        <f t="shared" ca="1" si="29"/>
        <v>145</v>
      </c>
      <c r="N123">
        <f t="shared" ca="1" si="29"/>
        <v>3</v>
      </c>
      <c r="O123">
        <f t="shared" ca="1" si="29"/>
        <v>2</v>
      </c>
      <c r="P123">
        <f t="shared" ca="1" si="29"/>
        <v>40.277200000000001</v>
      </c>
      <c r="Q123">
        <f t="shared" ca="1" si="29"/>
        <v>23.0657</v>
      </c>
      <c r="R123">
        <f t="shared" ca="1" si="29"/>
        <v>7.7728200000000003</v>
      </c>
      <c r="S123">
        <f t="shared" ca="1" si="16"/>
        <v>150</v>
      </c>
      <c r="T123">
        <f t="shared" ca="1" si="17"/>
        <v>23.0657</v>
      </c>
      <c r="U123" t="e">
        <f ca="1">IF(AND($C123='Funnel setup'!$K$3&amp;'Funnel setup'!$K$6&amp;'Funnel setup'!$K$7&amp;'Funnel setup'!$K$4,'Funnel Lookup'!I123="*",'Funnel Lookup'!I123="*"),#N/A,IF(AND($C123='Funnel setup'!$K$3&amp;'Funnel setup'!$K$6&amp;'Funnel setup'!$K$7&amp;'Funnel setup'!$K$4,'Funnel Lookup'!I123&gt;29,'Funnel Lookup'!I123&lt;&gt;"-"),'Funnel Lookup'!I123,#N/A))</f>
        <v>#N/A</v>
      </c>
      <c r="V123" t="e">
        <f ca="1">IF(AND($C123='Funnel setup'!$K$3&amp;'Funnel setup'!$K$6&amp;'Funnel setup'!$K$7&amp;'Funnel setup'!$K$4,'Funnel Lookup'!I123="*",'Funnel Lookup'!I123="*"),#N/A,IF(AND($C123='Funnel setup'!$K$3&amp;'Funnel setup'!$K$6&amp;'Funnel setup'!$K$7&amp;'Funnel setup'!$K$4,'Funnel Lookup'!I123&gt;29,'Funnel Lookup'!I123&lt;&gt;"-"),'Funnel Lookup'!Q123,#N/A))</f>
        <v>#N/A</v>
      </c>
    </row>
    <row r="124" spans="1:22" x14ac:dyDescent="0.25">
      <c r="A124">
        <v>122</v>
      </c>
      <c r="B124">
        <f t="shared" ca="1" si="28"/>
        <v>122</v>
      </c>
      <c r="C124" t="str">
        <f t="shared" ca="1" si="28"/>
        <v>Total Hip ReplacementProviderNUFFIELD HEALTH, THE GROSVENOR HOSPITAL, CHESTER (NT210)Oxford Hip Score</v>
      </c>
      <c r="D124" t="str">
        <f t="shared" ca="1" si="28"/>
        <v>Total Hip Replacement</v>
      </c>
      <c r="E124" t="str">
        <f t="shared" ca="1" si="28"/>
        <v>Provider</v>
      </c>
      <c r="F124" t="str">
        <f t="shared" ca="1" si="28"/>
        <v>NT210</v>
      </c>
      <c r="G124" t="str">
        <f t="shared" ca="1" si="28"/>
        <v>NUFFIELD HEALTH, THE GROSVENOR HOSPITAL, CHESTER (NT210)</v>
      </c>
      <c r="H124" t="str">
        <f t="shared" ca="1" si="28"/>
        <v>Oxford Hip Score</v>
      </c>
      <c r="I124">
        <f t="shared" ca="1" si="28"/>
        <v>14</v>
      </c>
      <c r="J124">
        <f t="shared" ca="1" si="28"/>
        <v>16.642900000000001</v>
      </c>
      <c r="K124">
        <f t="shared" ca="1" si="28"/>
        <v>41.785699999999999</v>
      </c>
      <c r="L124">
        <f t="shared" ca="1" si="29"/>
        <v>25.142900000000001</v>
      </c>
      <c r="M124">
        <f t="shared" ca="1" si="29"/>
        <v>14</v>
      </c>
      <c r="N124">
        <f t="shared" ca="1" si="29"/>
        <v>0</v>
      </c>
      <c r="O124">
        <f t="shared" ca="1" si="29"/>
        <v>0</v>
      </c>
      <c r="P124" t="str">
        <f t="shared" ca="1" si="29"/>
        <v>*</v>
      </c>
      <c r="Q124" t="str">
        <f t="shared" ca="1" si="29"/>
        <v>*</v>
      </c>
      <c r="R124" t="str">
        <f t="shared" ca="1" si="29"/>
        <v>*</v>
      </c>
      <c r="S124" t="e">
        <f t="shared" ca="1" si="16"/>
        <v>#N/A</v>
      </c>
      <c r="T124" t="e">
        <f t="shared" ca="1" si="17"/>
        <v>#N/A</v>
      </c>
      <c r="U124" t="e">
        <f ca="1">IF(AND($C124='Funnel setup'!$K$3&amp;'Funnel setup'!$K$6&amp;'Funnel setup'!$K$7&amp;'Funnel setup'!$K$4,'Funnel Lookup'!I124="*",'Funnel Lookup'!I124="*"),#N/A,IF(AND($C124='Funnel setup'!$K$3&amp;'Funnel setup'!$K$6&amp;'Funnel setup'!$K$7&amp;'Funnel setup'!$K$4,'Funnel Lookup'!I124&gt;29,'Funnel Lookup'!I124&lt;&gt;"-"),'Funnel Lookup'!I124,#N/A))</f>
        <v>#N/A</v>
      </c>
      <c r="V124" t="e">
        <f ca="1">IF(AND($C124='Funnel setup'!$K$3&amp;'Funnel setup'!$K$6&amp;'Funnel setup'!$K$7&amp;'Funnel setup'!$K$4,'Funnel Lookup'!I124="*",'Funnel Lookup'!I124="*"),#N/A,IF(AND($C124='Funnel setup'!$K$3&amp;'Funnel setup'!$K$6&amp;'Funnel setup'!$K$7&amp;'Funnel setup'!$K$4,'Funnel Lookup'!I124&gt;29,'Funnel Lookup'!I124&lt;&gt;"-"),'Funnel Lookup'!Q124,#N/A))</f>
        <v>#N/A</v>
      </c>
    </row>
    <row r="125" spans="1:22" x14ac:dyDescent="0.25">
      <c r="A125">
        <v>123</v>
      </c>
      <c r="B125">
        <f t="shared" ca="1" si="28"/>
        <v>123</v>
      </c>
      <c r="C125" t="str">
        <f t="shared" ca="1" si="28"/>
        <v>Total Hip ReplacementProviderNUFFIELD HEALTH, TUNBRIDGE WELLS HOSPITAL (NT239)Oxford Hip Score</v>
      </c>
      <c r="D125" t="str">
        <f t="shared" ca="1" si="28"/>
        <v>Total Hip Replacement</v>
      </c>
      <c r="E125" t="str">
        <f t="shared" ca="1" si="28"/>
        <v>Provider</v>
      </c>
      <c r="F125" t="str">
        <f t="shared" ca="1" si="28"/>
        <v>NT239</v>
      </c>
      <c r="G125" t="str">
        <f t="shared" ca="1" si="28"/>
        <v>NUFFIELD HEALTH, TUNBRIDGE WELLS HOSPITAL (NT239)</v>
      </c>
      <c r="H125" t="str">
        <f t="shared" ca="1" si="28"/>
        <v>Oxford Hip Score</v>
      </c>
      <c r="I125">
        <f t="shared" ca="1" si="28"/>
        <v>6</v>
      </c>
      <c r="J125">
        <f t="shared" ca="1" si="28"/>
        <v>18.833300000000001</v>
      </c>
      <c r="K125">
        <f t="shared" ca="1" si="28"/>
        <v>37.166699999999999</v>
      </c>
      <c r="L125">
        <f t="shared" ca="1" si="29"/>
        <v>18.333300000000001</v>
      </c>
      <c r="M125">
        <f t="shared" ca="1" si="29"/>
        <v>6</v>
      </c>
      <c r="N125">
        <f t="shared" ca="1" si="29"/>
        <v>0</v>
      </c>
      <c r="O125">
        <f t="shared" ca="1" si="29"/>
        <v>0</v>
      </c>
      <c r="P125" t="str">
        <f t="shared" ca="1" si="29"/>
        <v>*</v>
      </c>
      <c r="Q125" t="str">
        <f t="shared" ca="1" si="29"/>
        <v>*</v>
      </c>
      <c r="R125" t="str">
        <f t="shared" ca="1" si="29"/>
        <v>*</v>
      </c>
      <c r="S125" t="e">
        <f t="shared" ca="1" si="16"/>
        <v>#N/A</v>
      </c>
      <c r="T125" t="e">
        <f t="shared" ca="1" si="17"/>
        <v>#N/A</v>
      </c>
      <c r="U125" t="e">
        <f ca="1">IF(AND($C125='Funnel setup'!$K$3&amp;'Funnel setup'!$K$6&amp;'Funnel setup'!$K$7&amp;'Funnel setup'!$K$4,'Funnel Lookup'!I125="*",'Funnel Lookup'!I125="*"),#N/A,IF(AND($C125='Funnel setup'!$K$3&amp;'Funnel setup'!$K$6&amp;'Funnel setup'!$K$7&amp;'Funnel setup'!$K$4,'Funnel Lookup'!I125&gt;29,'Funnel Lookup'!I125&lt;&gt;"-"),'Funnel Lookup'!I125,#N/A))</f>
        <v>#N/A</v>
      </c>
      <c r="V125" t="e">
        <f ca="1">IF(AND($C125='Funnel setup'!$K$3&amp;'Funnel setup'!$K$6&amp;'Funnel setup'!$K$7&amp;'Funnel setup'!$K$4,'Funnel Lookup'!I125="*",'Funnel Lookup'!I125="*"),#N/A,IF(AND($C125='Funnel setup'!$K$3&amp;'Funnel setup'!$K$6&amp;'Funnel setup'!$K$7&amp;'Funnel setup'!$K$4,'Funnel Lookup'!I125&gt;29,'Funnel Lookup'!I125&lt;&gt;"-"),'Funnel Lookup'!Q125,#N/A))</f>
        <v>#N/A</v>
      </c>
    </row>
    <row r="126" spans="1:22" x14ac:dyDescent="0.25">
      <c r="A126">
        <v>124</v>
      </c>
      <c r="B126">
        <f t="shared" ca="1" si="28"/>
        <v>124</v>
      </c>
      <c r="C126" t="str">
        <f t="shared" ca="1" si="28"/>
        <v>Total Hip ReplacementProviderNUFFIELD HEALTH, WARWICKSHIRE HOSPITAL (NT224)Oxford Hip Score</v>
      </c>
      <c r="D126" t="str">
        <f t="shared" ca="1" si="28"/>
        <v>Total Hip Replacement</v>
      </c>
      <c r="E126" t="str">
        <f t="shared" ca="1" si="28"/>
        <v>Provider</v>
      </c>
      <c r="F126" t="str">
        <f t="shared" ca="1" si="28"/>
        <v>NT224</v>
      </c>
      <c r="G126" t="str">
        <f t="shared" ca="1" si="28"/>
        <v>NUFFIELD HEALTH, WARWICKSHIRE HOSPITAL (NT224)</v>
      </c>
      <c r="H126" t="str">
        <f t="shared" ca="1" si="28"/>
        <v>Oxford Hip Score</v>
      </c>
      <c r="I126">
        <f t="shared" ca="1" si="28"/>
        <v>19</v>
      </c>
      <c r="J126">
        <f t="shared" ca="1" si="28"/>
        <v>21.684200000000001</v>
      </c>
      <c r="K126">
        <f t="shared" ca="1" si="28"/>
        <v>41.684199999999997</v>
      </c>
      <c r="L126">
        <f t="shared" ca="1" si="29"/>
        <v>20</v>
      </c>
      <c r="M126">
        <f t="shared" ca="1" si="29"/>
        <v>18</v>
      </c>
      <c r="N126">
        <f t="shared" ca="1" si="29"/>
        <v>0</v>
      </c>
      <c r="O126">
        <f t="shared" ca="1" si="29"/>
        <v>1</v>
      </c>
      <c r="P126" t="str">
        <f t="shared" ca="1" si="29"/>
        <v>*</v>
      </c>
      <c r="Q126" t="str">
        <f t="shared" ca="1" si="29"/>
        <v>*</v>
      </c>
      <c r="R126" t="str">
        <f t="shared" ca="1" si="29"/>
        <v>*</v>
      </c>
      <c r="S126" t="e">
        <f t="shared" ca="1" si="16"/>
        <v>#N/A</v>
      </c>
      <c r="T126" t="e">
        <f t="shared" ca="1" si="17"/>
        <v>#N/A</v>
      </c>
      <c r="U126" t="e">
        <f ca="1">IF(AND($C126='Funnel setup'!$K$3&amp;'Funnel setup'!$K$6&amp;'Funnel setup'!$K$7&amp;'Funnel setup'!$K$4,'Funnel Lookup'!I126="*",'Funnel Lookup'!I126="*"),#N/A,IF(AND($C126='Funnel setup'!$K$3&amp;'Funnel setup'!$K$6&amp;'Funnel setup'!$K$7&amp;'Funnel setup'!$K$4,'Funnel Lookup'!I126&gt;29,'Funnel Lookup'!I126&lt;&gt;"-"),'Funnel Lookup'!I126,#N/A))</f>
        <v>#N/A</v>
      </c>
      <c r="V126" t="e">
        <f ca="1">IF(AND($C126='Funnel setup'!$K$3&amp;'Funnel setup'!$K$6&amp;'Funnel setup'!$K$7&amp;'Funnel setup'!$K$4,'Funnel Lookup'!I126="*",'Funnel Lookup'!I126="*"),#N/A,IF(AND($C126='Funnel setup'!$K$3&amp;'Funnel setup'!$K$6&amp;'Funnel setup'!$K$7&amp;'Funnel setup'!$K$4,'Funnel Lookup'!I126&gt;29,'Funnel Lookup'!I126&lt;&gt;"-"),'Funnel Lookup'!Q126,#N/A))</f>
        <v>#N/A</v>
      </c>
    </row>
    <row r="127" spans="1:22" x14ac:dyDescent="0.25">
      <c r="A127">
        <v>125</v>
      </c>
      <c r="B127">
        <f t="shared" ca="1" si="28"/>
        <v>125</v>
      </c>
      <c r="C127" t="str">
        <f t="shared" ca="1" si="28"/>
        <v>Total Hip ReplacementProviderNUFFIELD HEALTH, WESSEX HOSPITAL (NT214)Oxford Hip Score</v>
      </c>
      <c r="D127" t="str">
        <f t="shared" ca="1" si="28"/>
        <v>Total Hip Replacement</v>
      </c>
      <c r="E127" t="str">
        <f t="shared" ca="1" si="28"/>
        <v>Provider</v>
      </c>
      <c r="F127" t="str">
        <f t="shared" ca="1" si="28"/>
        <v>NT214</v>
      </c>
      <c r="G127" t="str">
        <f t="shared" ca="1" si="28"/>
        <v>NUFFIELD HEALTH, WESSEX HOSPITAL (NT214)</v>
      </c>
      <c r="H127" t="str">
        <f t="shared" ca="1" si="28"/>
        <v>Oxford Hip Score</v>
      </c>
      <c r="I127">
        <f t="shared" ca="1" si="28"/>
        <v>35</v>
      </c>
      <c r="J127">
        <f t="shared" ca="1" si="28"/>
        <v>20.485700000000001</v>
      </c>
      <c r="K127">
        <f t="shared" ca="1" si="28"/>
        <v>41.6571</v>
      </c>
      <c r="L127">
        <f t="shared" ca="1" si="29"/>
        <v>21.171399999999998</v>
      </c>
      <c r="M127">
        <f t="shared" ca="1" si="29"/>
        <v>35</v>
      </c>
      <c r="N127">
        <f t="shared" ca="1" si="29"/>
        <v>0</v>
      </c>
      <c r="O127">
        <f t="shared" ca="1" si="29"/>
        <v>0</v>
      </c>
      <c r="P127">
        <f t="shared" ca="1" si="29"/>
        <v>39.716799999999999</v>
      </c>
      <c r="Q127">
        <f t="shared" ca="1" si="29"/>
        <v>22.505400000000002</v>
      </c>
      <c r="R127">
        <f t="shared" ca="1" si="29"/>
        <v>6.0927699999999998</v>
      </c>
      <c r="S127">
        <f t="shared" ca="1" si="16"/>
        <v>35</v>
      </c>
      <c r="T127">
        <f t="shared" ca="1" si="17"/>
        <v>22.505400000000002</v>
      </c>
      <c r="U127" t="e">
        <f ca="1">IF(AND($C127='Funnel setup'!$K$3&amp;'Funnel setup'!$K$6&amp;'Funnel setup'!$K$7&amp;'Funnel setup'!$K$4,'Funnel Lookup'!I127="*",'Funnel Lookup'!I127="*"),#N/A,IF(AND($C127='Funnel setup'!$K$3&amp;'Funnel setup'!$K$6&amp;'Funnel setup'!$K$7&amp;'Funnel setup'!$K$4,'Funnel Lookup'!I127&gt;29,'Funnel Lookup'!I127&lt;&gt;"-"),'Funnel Lookup'!I127,#N/A))</f>
        <v>#N/A</v>
      </c>
      <c r="V127" t="e">
        <f ca="1">IF(AND($C127='Funnel setup'!$K$3&amp;'Funnel setup'!$K$6&amp;'Funnel setup'!$K$7&amp;'Funnel setup'!$K$4,'Funnel Lookup'!I127="*",'Funnel Lookup'!I127="*"),#N/A,IF(AND($C127='Funnel setup'!$K$3&amp;'Funnel setup'!$K$6&amp;'Funnel setup'!$K$7&amp;'Funnel setup'!$K$4,'Funnel Lookup'!I127&gt;29,'Funnel Lookup'!I127&lt;&gt;"-"),'Funnel Lookup'!Q127,#N/A))</f>
        <v>#N/A</v>
      </c>
    </row>
    <row r="128" spans="1:22" x14ac:dyDescent="0.25">
      <c r="A128">
        <v>126</v>
      </c>
      <c r="B128">
        <f t="shared" ca="1" si="28"/>
        <v>126</v>
      </c>
      <c r="C128" t="str">
        <f t="shared" ca="1" si="28"/>
        <v>Total Hip ReplacementProviderNUFFIELD HEALTH, WOLVERHAMPTON HOSPITAL (NT242)Oxford Hip Score</v>
      </c>
      <c r="D128" t="str">
        <f t="shared" ca="1" si="28"/>
        <v>Total Hip Replacement</v>
      </c>
      <c r="E128" t="str">
        <f t="shared" ca="1" si="28"/>
        <v>Provider</v>
      </c>
      <c r="F128" t="str">
        <f t="shared" ca="1" si="28"/>
        <v>NT242</v>
      </c>
      <c r="G128" t="str">
        <f t="shared" ca="1" si="28"/>
        <v>NUFFIELD HEALTH, WOLVERHAMPTON HOSPITAL (NT242)</v>
      </c>
      <c r="H128" t="str">
        <f t="shared" ca="1" si="28"/>
        <v>Oxford Hip Score</v>
      </c>
      <c r="I128">
        <f t="shared" ca="1" si="28"/>
        <v>4</v>
      </c>
      <c r="J128">
        <f t="shared" ca="1" si="28"/>
        <v>22.75</v>
      </c>
      <c r="K128">
        <f t="shared" ca="1" si="28"/>
        <v>40.75</v>
      </c>
      <c r="L128">
        <f t="shared" ca="1" si="29"/>
        <v>18</v>
      </c>
      <c r="M128">
        <f t="shared" ca="1" si="29"/>
        <v>4</v>
      </c>
      <c r="N128">
        <f t="shared" ca="1" si="29"/>
        <v>0</v>
      </c>
      <c r="O128">
        <f t="shared" ca="1" si="29"/>
        <v>0</v>
      </c>
      <c r="P128" t="str">
        <f t="shared" ca="1" si="29"/>
        <v>*</v>
      </c>
      <c r="Q128" t="str">
        <f t="shared" ca="1" si="29"/>
        <v>*</v>
      </c>
      <c r="R128" t="str">
        <f t="shared" ca="1" si="29"/>
        <v>*</v>
      </c>
      <c r="S128" t="e">
        <f t="shared" ca="1" si="16"/>
        <v>#N/A</v>
      </c>
      <c r="T128" t="e">
        <f t="shared" ca="1" si="17"/>
        <v>#N/A</v>
      </c>
      <c r="U128" t="e">
        <f ca="1">IF(AND($C128='Funnel setup'!$K$3&amp;'Funnel setup'!$K$6&amp;'Funnel setup'!$K$7&amp;'Funnel setup'!$K$4,'Funnel Lookup'!I128="*",'Funnel Lookup'!I128="*"),#N/A,IF(AND($C128='Funnel setup'!$K$3&amp;'Funnel setup'!$K$6&amp;'Funnel setup'!$K$7&amp;'Funnel setup'!$K$4,'Funnel Lookup'!I128&gt;29,'Funnel Lookup'!I128&lt;&gt;"-"),'Funnel Lookup'!I128,#N/A))</f>
        <v>#N/A</v>
      </c>
      <c r="V128" t="e">
        <f ca="1">IF(AND($C128='Funnel setup'!$K$3&amp;'Funnel setup'!$K$6&amp;'Funnel setup'!$K$7&amp;'Funnel setup'!$K$4,'Funnel Lookup'!I128="*",'Funnel Lookup'!I128="*"),#N/A,IF(AND($C128='Funnel setup'!$K$3&amp;'Funnel setup'!$K$6&amp;'Funnel setup'!$K$7&amp;'Funnel setup'!$K$4,'Funnel Lookup'!I128&gt;29,'Funnel Lookup'!I128&lt;&gt;"-"),'Funnel Lookup'!Q128,#N/A))</f>
        <v>#N/A</v>
      </c>
    </row>
    <row r="129" spans="1:22" x14ac:dyDescent="0.25">
      <c r="A129">
        <v>127</v>
      </c>
      <c r="B129">
        <f t="shared" ca="1" si="28"/>
        <v>127</v>
      </c>
      <c r="C129" t="str">
        <f t="shared" ca="1" si="28"/>
        <v>Total Hip ReplacementProviderNUFFIELD HEALTH, YORK HOSPITAL (NT245)Oxford Hip Score</v>
      </c>
      <c r="D129" t="str">
        <f t="shared" ca="1" si="28"/>
        <v>Total Hip Replacement</v>
      </c>
      <c r="E129" t="str">
        <f t="shared" ca="1" si="28"/>
        <v>Provider</v>
      </c>
      <c r="F129" t="str">
        <f t="shared" ca="1" si="28"/>
        <v>NT245</v>
      </c>
      <c r="G129" t="str">
        <f t="shared" ca="1" si="28"/>
        <v>NUFFIELD HEALTH, YORK HOSPITAL (NT245)</v>
      </c>
      <c r="H129" t="str">
        <f t="shared" ca="1" si="28"/>
        <v>Oxford Hip Score</v>
      </c>
      <c r="I129">
        <f t="shared" ca="1" si="28"/>
        <v>80</v>
      </c>
      <c r="J129">
        <f t="shared" ca="1" si="28"/>
        <v>17.2683</v>
      </c>
      <c r="K129">
        <f t="shared" ca="1" si="28"/>
        <v>42.134099999999997</v>
      </c>
      <c r="L129">
        <f t="shared" ca="1" si="29"/>
        <v>24.8659</v>
      </c>
      <c r="M129">
        <f t="shared" ca="1" si="29"/>
        <v>79</v>
      </c>
      <c r="N129">
        <f t="shared" ca="1" si="29"/>
        <v>0</v>
      </c>
      <c r="O129">
        <f t="shared" ca="1" si="29"/>
        <v>1</v>
      </c>
      <c r="P129">
        <f t="shared" ca="1" si="29"/>
        <v>42.397500000000001</v>
      </c>
      <c r="Q129">
        <f t="shared" ca="1" si="29"/>
        <v>25.1861</v>
      </c>
      <c r="R129">
        <f t="shared" ca="1" si="29"/>
        <v>7.5375500000000004</v>
      </c>
      <c r="S129">
        <f t="shared" ca="1" si="16"/>
        <v>80</v>
      </c>
      <c r="T129">
        <f t="shared" ca="1" si="17"/>
        <v>25.1861</v>
      </c>
      <c r="U129" t="e">
        <f ca="1">IF(AND($C129='Funnel setup'!$K$3&amp;'Funnel setup'!$K$6&amp;'Funnel setup'!$K$7&amp;'Funnel setup'!$K$4,'Funnel Lookup'!I129="*",'Funnel Lookup'!I129="*"),#N/A,IF(AND($C129='Funnel setup'!$K$3&amp;'Funnel setup'!$K$6&amp;'Funnel setup'!$K$7&amp;'Funnel setup'!$K$4,'Funnel Lookup'!I129&gt;29,'Funnel Lookup'!I129&lt;&gt;"-"),'Funnel Lookup'!I129,#N/A))</f>
        <v>#N/A</v>
      </c>
      <c r="V129" t="e">
        <f ca="1">IF(AND($C129='Funnel setup'!$K$3&amp;'Funnel setup'!$K$6&amp;'Funnel setup'!$K$7&amp;'Funnel setup'!$K$4,'Funnel Lookup'!I129="*",'Funnel Lookup'!I129="*"),#N/A,IF(AND($C129='Funnel setup'!$K$3&amp;'Funnel setup'!$K$6&amp;'Funnel setup'!$K$7&amp;'Funnel setup'!$K$4,'Funnel Lookup'!I129&gt;29,'Funnel Lookup'!I129&lt;&gt;"-"),'Funnel Lookup'!Q129,#N/A))</f>
        <v>#N/A</v>
      </c>
    </row>
    <row r="130" spans="1:22" x14ac:dyDescent="0.25">
      <c r="A130">
        <v>128</v>
      </c>
      <c r="B130">
        <f t="shared" ca="1" si="28"/>
        <v>128</v>
      </c>
      <c r="C130" t="str">
        <f t="shared" ca="1" si="28"/>
        <v>Total Hip ReplacementProviderOAKLANDS HOSPITAL (NVC12)Oxford Hip Score</v>
      </c>
      <c r="D130" t="str">
        <f t="shared" ca="1" si="28"/>
        <v>Total Hip Replacement</v>
      </c>
      <c r="E130" t="str">
        <f t="shared" ca="1" si="28"/>
        <v>Provider</v>
      </c>
      <c r="F130" t="str">
        <f t="shared" ca="1" si="28"/>
        <v>NVC12</v>
      </c>
      <c r="G130" t="str">
        <f t="shared" ca="1" si="28"/>
        <v>OAKLANDS HOSPITAL (NVC12)</v>
      </c>
      <c r="H130" t="str">
        <f t="shared" ca="1" si="28"/>
        <v>Oxford Hip Score</v>
      </c>
      <c r="I130">
        <f t="shared" ca="1" si="28"/>
        <v>65</v>
      </c>
      <c r="J130">
        <f t="shared" ca="1" si="28"/>
        <v>15.9846</v>
      </c>
      <c r="K130">
        <f t="shared" ca="1" si="28"/>
        <v>37.830800000000004</v>
      </c>
      <c r="L130">
        <f t="shared" ca="1" si="29"/>
        <v>21.8462</v>
      </c>
      <c r="M130">
        <f t="shared" ca="1" si="29"/>
        <v>62</v>
      </c>
      <c r="N130">
        <f t="shared" ca="1" si="29"/>
        <v>0</v>
      </c>
      <c r="O130">
        <f t="shared" ca="1" si="29"/>
        <v>3</v>
      </c>
      <c r="P130">
        <f t="shared" ca="1" si="29"/>
        <v>38.837299999999999</v>
      </c>
      <c r="Q130">
        <f t="shared" ca="1" si="29"/>
        <v>21.625900000000001</v>
      </c>
      <c r="R130">
        <f t="shared" ca="1" si="29"/>
        <v>9.3262400000000003</v>
      </c>
      <c r="S130">
        <f t="shared" ca="1" si="16"/>
        <v>65</v>
      </c>
      <c r="T130">
        <f t="shared" ca="1" si="17"/>
        <v>21.625900000000001</v>
      </c>
      <c r="U130" t="e">
        <f ca="1">IF(AND($C130='Funnel setup'!$K$3&amp;'Funnel setup'!$K$6&amp;'Funnel setup'!$K$7&amp;'Funnel setup'!$K$4,'Funnel Lookup'!I130="*",'Funnel Lookup'!I130="*"),#N/A,IF(AND($C130='Funnel setup'!$K$3&amp;'Funnel setup'!$K$6&amp;'Funnel setup'!$K$7&amp;'Funnel setup'!$K$4,'Funnel Lookup'!I130&gt;29,'Funnel Lookup'!I130&lt;&gt;"-"),'Funnel Lookup'!I130,#N/A))</f>
        <v>#N/A</v>
      </c>
      <c r="V130" t="e">
        <f ca="1">IF(AND($C130='Funnel setup'!$K$3&amp;'Funnel setup'!$K$6&amp;'Funnel setup'!$K$7&amp;'Funnel setup'!$K$4,'Funnel Lookup'!I130="*",'Funnel Lookup'!I130="*"),#N/A,IF(AND($C130='Funnel setup'!$K$3&amp;'Funnel setup'!$K$6&amp;'Funnel setup'!$K$7&amp;'Funnel setup'!$K$4,'Funnel Lookup'!I130&gt;29,'Funnel Lookup'!I130&lt;&gt;"-"),'Funnel Lookup'!Q130,#N/A))</f>
        <v>#N/A</v>
      </c>
    </row>
    <row r="131" spans="1:22" x14ac:dyDescent="0.25">
      <c r="A131">
        <v>129</v>
      </c>
      <c r="B131">
        <f t="shared" ca="1" si="28"/>
        <v>129</v>
      </c>
      <c r="C131" t="str">
        <f t="shared" ca="1" si="28"/>
        <v>Total Hip ReplacementProviderOAKS HOSPITAL (NVC13)Oxford Hip Score</v>
      </c>
      <c r="D131" t="str">
        <f t="shared" ca="1" si="28"/>
        <v>Total Hip Replacement</v>
      </c>
      <c r="E131" t="str">
        <f t="shared" ca="1" si="28"/>
        <v>Provider</v>
      </c>
      <c r="F131" t="str">
        <f t="shared" ca="1" si="28"/>
        <v>NVC13</v>
      </c>
      <c r="G131" t="str">
        <f t="shared" ca="1" si="28"/>
        <v>OAKS HOSPITAL (NVC13)</v>
      </c>
      <c r="H131" t="str">
        <f t="shared" ca="1" si="28"/>
        <v>Oxford Hip Score</v>
      </c>
      <c r="I131">
        <f t="shared" ca="1" si="28"/>
        <v>7</v>
      </c>
      <c r="J131">
        <f t="shared" ca="1" si="28"/>
        <v>21.142900000000001</v>
      </c>
      <c r="K131">
        <f t="shared" ca="1" si="28"/>
        <v>42.285699999999999</v>
      </c>
      <c r="L131">
        <f t="shared" ca="1" si="29"/>
        <v>21.142900000000001</v>
      </c>
      <c r="M131">
        <f t="shared" ca="1" si="29"/>
        <v>7</v>
      </c>
      <c r="N131">
        <f t="shared" ca="1" si="29"/>
        <v>0</v>
      </c>
      <c r="O131">
        <f t="shared" ca="1" si="29"/>
        <v>0</v>
      </c>
      <c r="P131" t="str">
        <f t="shared" ca="1" si="29"/>
        <v>*</v>
      </c>
      <c r="Q131" t="str">
        <f t="shared" ca="1" si="29"/>
        <v>*</v>
      </c>
      <c r="R131" t="str">
        <f t="shared" ca="1" si="29"/>
        <v>*</v>
      </c>
      <c r="S131" t="e">
        <f t="shared" ref="S131:S194" ca="1" si="30">IF($Q131="*",#N/A,IF($Q131="-",#N/A,I131))</f>
        <v>#N/A</v>
      </c>
      <c r="T131" t="e">
        <f t="shared" ref="T131:T194" ca="1" si="31">IF($Q131="*",#N/A,IF($Q131="-",#N/A,Q131))</f>
        <v>#N/A</v>
      </c>
      <c r="U131" t="e">
        <f ca="1">IF(AND($C131='Funnel setup'!$K$3&amp;'Funnel setup'!$K$6&amp;'Funnel setup'!$K$7&amp;'Funnel setup'!$K$4,'Funnel Lookup'!I131="*",'Funnel Lookup'!I131="*"),#N/A,IF(AND($C131='Funnel setup'!$K$3&amp;'Funnel setup'!$K$6&amp;'Funnel setup'!$K$7&amp;'Funnel setup'!$K$4,'Funnel Lookup'!I131&gt;29,'Funnel Lookup'!I131&lt;&gt;"-"),'Funnel Lookup'!I131,#N/A))</f>
        <v>#N/A</v>
      </c>
      <c r="V131" t="e">
        <f ca="1">IF(AND($C131='Funnel setup'!$K$3&amp;'Funnel setup'!$K$6&amp;'Funnel setup'!$K$7&amp;'Funnel setup'!$K$4,'Funnel Lookup'!I131="*",'Funnel Lookup'!I131="*"),#N/A,IF(AND($C131='Funnel setup'!$K$3&amp;'Funnel setup'!$K$6&amp;'Funnel setup'!$K$7&amp;'Funnel setup'!$K$4,'Funnel Lookup'!I131&gt;29,'Funnel Lookup'!I131&lt;&gt;"-"),'Funnel Lookup'!Q131,#N/A))</f>
        <v>#N/A</v>
      </c>
    </row>
    <row r="132" spans="1:22" x14ac:dyDescent="0.25">
      <c r="A132">
        <v>130</v>
      </c>
      <c r="B132">
        <f t="shared" ca="1" si="28"/>
        <v>130</v>
      </c>
      <c r="C132" t="str">
        <f t="shared" ca="1" si="28"/>
        <v>Total Hip ReplacementProviderONE HEALTHCARE (AVQ)Oxford Hip Score</v>
      </c>
      <c r="D132" t="str">
        <f t="shared" ca="1" si="28"/>
        <v>Total Hip Replacement</v>
      </c>
      <c r="E132" t="str">
        <f t="shared" ca="1" si="28"/>
        <v>Provider</v>
      </c>
      <c r="F132" t="str">
        <f t="shared" ca="1" si="28"/>
        <v>AVQ</v>
      </c>
      <c r="G132" t="str">
        <f t="shared" ca="1" si="28"/>
        <v>ONE HEALTHCARE (AVQ)</v>
      </c>
      <c r="H132" t="str">
        <f t="shared" ca="1" si="28"/>
        <v>Oxford Hip Score</v>
      </c>
      <c r="I132">
        <f t="shared" ca="1" si="28"/>
        <v>53</v>
      </c>
      <c r="J132">
        <f t="shared" ca="1" si="28"/>
        <v>18.132100000000001</v>
      </c>
      <c r="K132">
        <f t="shared" ca="1" si="28"/>
        <v>42.660400000000003</v>
      </c>
      <c r="L132">
        <f t="shared" ca="1" si="29"/>
        <v>24.528300000000002</v>
      </c>
      <c r="M132">
        <f t="shared" ca="1" si="29"/>
        <v>51</v>
      </c>
      <c r="N132">
        <f t="shared" ca="1" si="29"/>
        <v>1</v>
      </c>
      <c r="O132">
        <f t="shared" ca="1" si="29"/>
        <v>1</v>
      </c>
      <c r="P132">
        <f t="shared" ca="1" si="29"/>
        <v>40.263500000000001</v>
      </c>
      <c r="Q132">
        <f t="shared" ca="1" si="29"/>
        <v>23.052099999999999</v>
      </c>
      <c r="R132">
        <f t="shared" ca="1" si="29"/>
        <v>7.4431500000000002</v>
      </c>
      <c r="S132">
        <f t="shared" ca="1" si="30"/>
        <v>53</v>
      </c>
      <c r="T132">
        <f t="shared" ca="1" si="31"/>
        <v>23.052099999999999</v>
      </c>
      <c r="U132" t="e">
        <f ca="1">IF(AND($C132='Funnel setup'!$K$3&amp;'Funnel setup'!$K$6&amp;'Funnel setup'!$K$7&amp;'Funnel setup'!$K$4,'Funnel Lookup'!I132="*",'Funnel Lookup'!I132="*"),#N/A,IF(AND($C132='Funnel setup'!$K$3&amp;'Funnel setup'!$K$6&amp;'Funnel setup'!$K$7&amp;'Funnel setup'!$K$4,'Funnel Lookup'!I132&gt;29,'Funnel Lookup'!I132&lt;&gt;"-"),'Funnel Lookup'!I132,#N/A))</f>
        <v>#N/A</v>
      </c>
      <c r="V132" t="e">
        <f ca="1">IF(AND($C132='Funnel setup'!$K$3&amp;'Funnel setup'!$K$6&amp;'Funnel setup'!$K$7&amp;'Funnel setup'!$K$4,'Funnel Lookup'!I132="*",'Funnel Lookup'!I132="*"),#N/A,IF(AND($C132='Funnel setup'!$K$3&amp;'Funnel setup'!$K$6&amp;'Funnel setup'!$K$7&amp;'Funnel setup'!$K$4,'Funnel Lookup'!I132&gt;29,'Funnel Lookup'!I132&lt;&gt;"-"),'Funnel Lookup'!Q132,#N/A))</f>
        <v>#N/A</v>
      </c>
    </row>
    <row r="133" spans="1:22" x14ac:dyDescent="0.25">
      <c r="A133">
        <v>131</v>
      </c>
      <c r="B133">
        <f t="shared" ref="B133:K142" ca="1" si="32">VLOOKUP($A133,Funnel_Data,B$1,FALSE)</f>
        <v>131</v>
      </c>
      <c r="C133" t="str">
        <f t="shared" ca="1" si="32"/>
        <v>Total Hip ReplacementProviderORTHOPAEDICS &amp; SPINE SPECIALIST HOSPITAL SITE (NQM01)Oxford Hip Score</v>
      </c>
      <c r="D133" t="str">
        <f t="shared" ca="1" si="32"/>
        <v>Total Hip Replacement</v>
      </c>
      <c r="E133" t="str">
        <f t="shared" ca="1" si="32"/>
        <v>Provider</v>
      </c>
      <c r="F133" t="str">
        <f t="shared" ca="1" si="32"/>
        <v>NQM01</v>
      </c>
      <c r="G133" t="str">
        <f t="shared" ca="1" si="32"/>
        <v>ORTHOPAEDICS &amp; SPINE SPECIALIST HOSPITAL SITE (NQM01)</v>
      </c>
      <c r="H133" t="str">
        <f t="shared" ca="1" si="32"/>
        <v>Oxford Hip Score</v>
      </c>
      <c r="I133">
        <f t="shared" ca="1" si="32"/>
        <v>7</v>
      </c>
      <c r="J133">
        <f t="shared" ca="1" si="32"/>
        <v>21.857099999999999</v>
      </c>
      <c r="K133">
        <f t="shared" ca="1" si="32"/>
        <v>41.571399999999997</v>
      </c>
      <c r="L133">
        <f t="shared" ref="L133:R142" ca="1" si="33">VLOOKUP($A133,Funnel_Data,L$1,FALSE)</f>
        <v>19.714300000000001</v>
      </c>
      <c r="M133">
        <f t="shared" ca="1" si="33"/>
        <v>7</v>
      </c>
      <c r="N133">
        <f t="shared" ca="1" si="33"/>
        <v>0</v>
      </c>
      <c r="O133">
        <f t="shared" ca="1" si="33"/>
        <v>0</v>
      </c>
      <c r="P133" t="str">
        <f t="shared" ca="1" si="33"/>
        <v>*</v>
      </c>
      <c r="Q133" t="str">
        <f t="shared" ca="1" si="33"/>
        <v>*</v>
      </c>
      <c r="R133" t="str">
        <f t="shared" ca="1" si="33"/>
        <v>*</v>
      </c>
      <c r="S133" t="e">
        <f t="shared" ca="1" si="30"/>
        <v>#N/A</v>
      </c>
      <c r="T133" t="e">
        <f t="shared" ca="1" si="31"/>
        <v>#N/A</v>
      </c>
      <c r="U133" t="e">
        <f ca="1">IF(AND($C133='Funnel setup'!$K$3&amp;'Funnel setup'!$K$6&amp;'Funnel setup'!$K$7&amp;'Funnel setup'!$K$4,'Funnel Lookup'!I133="*",'Funnel Lookup'!I133="*"),#N/A,IF(AND($C133='Funnel setup'!$K$3&amp;'Funnel setup'!$K$6&amp;'Funnel setup'!$K$7&amp;'Funnel setup'!$K$4,'Funnel Lookup'!I133&gt;29,'Funnel Lookup'!I133&lt;&gt;"-"),'Funnel Lookup'!I133,#N/A))</f>
        <v>#N/A</v>
      </c>
      <c r="V133" t="e">
        <f ca="1">IF(AND($C133='Funnel setup'!$K$3&amp;'Funnel setup'!$K$6&amp;'Funnel setup'!$K$7&amp;'Funnel setup'!$K$4,'Funnel Lookup'!I133="*",'Funnel Lookup'!I133="*"),#N/A,IF(AND($C133='Funnel setup'!$K$3&amp;'Funnel setup'!$K$6&amp;'Funnel setup'!$K$7&amp;'Funnel setup'!$K$4,'Funnel Lookup'!I133&gt;29,'Funnel Lookup'!I133&lt;&gt;"-"),'Funnel Lookup'!Q133,#N/A))</f>
        <v>#N/A</v>
      </c>
    </row>
    <row r="134" spans="1:22" x14ac:dyDescent="0.25">
      <c r="A134">
        <v>132</v>
      </c>
      <c r="B134">
        <f t="shared" ca="1" si="32"/>
        <v>132</v>
      </c>
      <c r="C134" t="str">
        <f t="shared" ca="1" si="32"/>
        <v>Total Hip ReplacementProviderOXFORD UNIVERSITY HOSPITALS NHS FOUNDATION TRUST (RTH)Oxford Hip Score</v>
      </c>
      <c r="D134" t="str">
        <f t="shared" ca="1" si="32"/>
        <v>Total Hip Replacement</v>
      </c>
      <c r="E134" t="str">
        <f t="shared" ca="1" si="32"/>
        <v>Provider</v>
      </c>
      <c r="F134" t="str">
        <f t="shared" ca="1" si="32"/>
        <v>RTH</v>
      </c>
      <c r="G134" t="str">
        <f t="shared" ca="1" si="32"/>
        <v>OXFORD UNIVERSITY HOSPITALS NHS FOUNDATION TRUST (RTH)</v>
      </c>
      <c r="H134" t="str">
        <f t="shared" ca="1" si="32"/>
        <v>Oxford Hip Score</v>
      </c>
      <c r="I134">
        <f t="shared" ca="1" si="32"/>
        <v>328</v>
      </c>
      <c r="J134">
        <f t="shared" ca="1" si="32"/>
        <v>17.6555</v>
      </c>
      <c r="K134">
        <f t="shared" ca="1" si="32"/>
        <v>39.783499999999997</v>
      </c>
      <c r="L134">
        <f t="shared" ca="1" si="33"/>
        <v>22.128</v>
      </c>
      <c r="M134">
        <f t="shared" ca="1" si="33"/>
        <v>316</v>
      </c>
      <c r="N134">
        <f t="shared" ca="1" si="33"/>
        <v>1</v>
      </c>
      <c r="O134">
        <f t="shared" ca="1" si="33"/>
        <v>11</v>
      </c>
      <c r="P134">
        <f t="shared" ca="1" si="33"/>
        <v>39.902900000000002</v>
      </c>
      <c r="Q134">
        <f t="shared" ca="1" si="33"/>
        <v>22.691400000000002</v>
      </c>
      <c r="R134">
        <f t="shared" ca="1" si="33"/>
        <v>8.4452700000000007</v>
      </c>
      <c r="S134">
        <f t="shared" ca="1" si="30"/>
        <v>328</v>
      </c>
      <c r="T134">
        <f t="shared" ca="1" si="31"/>
        <v>22.691400000000002</v>
      </c>
      <c r="U134" t="e">
        <f ca="1">IF(AND($C134='Funnel setup'!$K$3&amp;'Funnel setup'!$K$6&amp;'Funnel setup'!$K$7&amp;'Funnel setup'!$K$4,'Funnel Lookup'!I134="*",'Funnel Lookup'!I134="*"),#N/A,IF(AND($C134='Funnel setup'!$K$3&amp;'Funnel setup'!$K$6&amp;'Funnel setup'!$K$7&amp;'Funnel setup'!$K$4,'Funnel Lookup'!I134&gt;29,'Funnel Lookup'!I134&lt;&gt;"-"),'Funnel Lookup'!I134,#N/A))</f>
        <v>#N/A</v>
      </c>
      <c r="V134" t="e">
        <f ca="1">IF(AND($C134='Funnel setup'!$K$3&amp;'Funnel setup'!$K$6&amp;'Funnel setup'!$K$7&amp;'Funnel setup'!$K$4,'Funnel Lookup'!I134="*",'Funnel Lookup'!I134="*"),#N/A,IF(AND($C134='Funnel setup'!$K$3&amp;'Funnel setup'!$K$6&amp;'Funnel setup'!$K$7&amp;'Funnel setup'!$K$4,'Funnel Lookup'!I134&gt;29,'Funnel Lookup'!I134&lt;&gt;"-"),'Funnel Lookup'!Q134,#N/A))</f>
        <v>#N/A</v>
      </c>
    </row>
    <row r="135" spans="1:22" x14ac:dyDescent="0.25">
      <c r="A135">
        <v>133</v>
      </c>
      <c r="B135">
        <f t="shared" ca="1" si="32"/>
        <v>133</v>
      </c>
      <c r="C135" t="str">
        <f t="shared" ca="1" si="32"/>
        <v>Total Hip ReplacementProviderPARK HILL HOSPITAL (NVC14)Oxford Hip Score</v>
      </c>
      <c r="D135" t="str">
        <f t="shared" ca="1" si="32"/>
        <v>Total Hip Replacement</v>
      </c>
      <c r="E135" t="str">
        <f t="shared" ca="1" si="32"/>
        <v>Provider</v>
      </c>
      <c r="F135" t="str">
        <f t="shared" ca="1" si="32"/>
        <v>NVC14</v>
      </c>
      <c r="G135" t="str">
        <f t="shared" ca="1" si="32"/>
        <v>PARK HILL HOSPITAL (NVC14)</v>
      </c>
      <c r="H135" t="str">
        <f t="shared" ca="1" si="32"/>
        <v>Oxford Hip Score</v>
      </c>
      <c r="I135">
        <f t="shared" ca="1" si="32"/>
        <v>59</v>
      </c>
      <c r="J135">
        <f t="shared" ca="1" si="32"/>
        <v>14.4068</v>
      </c>
      <c r="K135">
        <f t="shared" ca="1" si="32"/>
        <v>39.220300000000002</v>
      </c>
      <c r="L135">
        <f t="shared" ca="1" si="33"/>
        <v>24.813600000000001</v>
      </c>
      <c r="M135">
        <f t="shared" ca="1" si="33"/>
        <v>57</v>
      </c>
      <c r="N135">
        <f t="shared" ca="1" si="33"/>
        <v>0</v>
      </c>
      <c r="O135">
        <f t="shared" ca="1" si="33"/>
        <v>2</v>
      </c>
      <c r="P135">
        <f t="shared" ca="1" si="33"/>
        <v>39.546300000000002</v>
      </c>
      <c r="Q135">
        <f t="shared" ca="1" si="33"/>
        <v>22.334800000000001</v>
      </c>
      <c r="R135">
        <f t="shared" ca="1" si="33"/>
        <v>8.5760100000000001</v>
      </c>
      <c r="S135">
        <f t="shared" ca="1" si="30"/>
        <v>59</v>
      </c>
      <c r="T135">
        <f t="shared" ca="1" si="31"/>
        <v>22.334800000000001</v>
      </c>
      <c r="U135" t="e">
        <f ca="1">IF(AND($C135='Funnel setup'!$K$3&amp;'Funnel setup'!$K$6&amp;'Funnel setup'!$K$7&amp;'Funnel setup'!$K$4,'Funnel Lookup'!I135="*",'Funnel Lookup'!I135="*"),#N/A,IF(AND($C135='Funnel setup'!$K$3&amp;'Funnel setup'!$K$6&amp;'Funnel setup'!$K$7&amp;'Funnel setup'!$K$4,'Funnel Lookup'!I135&gt;29,'Funnel Lookup'!I135&lt;&gt;"-"),'Funnel Lookup'!I135,#N/A))</f>
        <v>#N/A</v>
      </c>
      <c r="V135" t="e">
        <f ca="1">IF(AND($C135='Funnel setup'!$K$3&amp;'Funnel setup'!$K$6&amp;'Funnel setup'!$K$7&amp;'Funnel setup'!$K$4,'Funnel Lookup'!I135="*",'Funnel Lookup'!I135="*"),#N/A,IF(AND($C135='Funnel setup'!$K$3&amp;'Funnel setup'!$K$6&amp;'Funnel setup'!$K$7&amp;'Funnel setup'!$K$4,'Funnel Lookup'!I135&gt;29,'Funnel Lookup'!I135&lt;&gt;"-"),'Funnel Lookup'!Q135,#N/A))</f>
        <v>#N/A</v>
      </c>
    </row>
    <row r="136" spans="1:22" x14ac:dyDescent="0.25">
      <c r="A136">
        <v>134</v>
      </c>
      <c r="B136">
        <f t="shared" ca="1" si="32"/>
        <v>134</v>
      </c>
      <c r="C136" t="str">
        <f t="shared" ca="1" si="32"/>
        <v>Total Hip ReplacementProviderPARK HOSPITAL (NT427)Oxford Hip Score</v>
      </c>
      <c r="D136" t="str">
        <f t="shared" ca="1" si="32"/>
        <v>Total Hip Replacement</v>
      </c>
      <c r="E136" t="str">
        <f t="shared" ca="1" si="32"/>
        <v>Provider</v>
      </c>
      <c r="F136" t="str">
        <f t="shared" ca="1" si="32"/>
        <v>NT427</v>
      </c>
      <c r="G136" t="str">
        <f t="shared" ca="1" si="32"/>
        <v>PARK HOSPITAL (NT427)</v>
      </c>
      <c r="H136" t="str">
        <f t="shared" ca="1" si="32"/>
        <v>Oxford Hip Score</v>
      </c>
      <c r="I136">
        <f t="shared" ca="1" si="32"/>
        <v>25</v>
      </c>
      <c r="J136">
        <f t="shared" ca="1" si="32"/>
        <v>14.72</v>
      </c>
      <c r="K136">
        <f t="shared" ca="1" si="32"/>
        <v>38</v>
      </c>
      <c r="L136">
        <f t="shared" ca="1" si="33"/>
        <v>23.28</v>
      </c>
      <c r="M136">
        <f t="shared" ca="1" si="33"/>
        <v>24</v>
      </c>
      <c r="N136">
        <f t="shared" ca="1" si="33"/>
        <v>1</v>
      </c>
      <c r="O136">
        <f t="shared" ca="1" si="33"/>
        <v>0</v>
      </c>
      <c r="P136" t="str">
        <f t="shared" ca="1" si="33"/>
        <v>*</v>
      </c>
      <c r="Q136" t="str">
        <f t="shared" ca="1" si="33"/>
        <v>*</v>
      </c>
      <c r="R136" t="str">
        <f t="shared" ca="1" si="33"/>
        <v>*</v>
      </c>
      <c r="S136" t="e">
        <f t="shared" ca="1" si="30"/>
        <v>#N/A</v>
      </c>
      <c r="T136" t="e">
        <f t="shared" ca="1" si="31"/>
        <v>#N/A</v>
      </c>
      <c r="U136" t="e">
        <f ca="1">IF(AND($C136='Funnel setup'!$K$3&amp;'Funnel setup'!$K$6&amp;'Funnel setup'!$K$7&amp;'Funnel setup'!$K$4,'Funnel Lookup'!I136="*",'Funnel Lookup'!I136="*"),#N/A,IF(AND($C136='Funnel setup'!$K$3&amp;'Funnel setup'!$K$6&amp;'Funnel setup'!$K$7&amp;'Funnel setup'!$K$4,'Funnel Lookup'!I136&gt;29,'Funnel Lookup'!I136&lt;&gt;"-"),'Funnel Lookup'!I136,#N/A))</f>
        <v>#N/A</v>
      </c>
      <c r="V136" t="e">
        <f ca="1">IF(AND($C136='Funnel setup'!$K$3&amp;'Funnel setup'!$K$6&amp;'Funnel setup'!$K$7&amp;'Funnel setup'!$K$4,'Funnel Lookup'!I136="*",'Funnel Lookup'!I136="*"),#N/A,IF(AND($C136='Funnel setup'!$K$3&amp;'Funnel setup'!$K$6&amp;'Funnel setup'!$K$7&amp;'Funnel setup'!$K$4,'Funnel Lookup'!I136&gt;29,'Funnel Lookup'!I136&lt;&gt;"-"),'Funnel Lookup'!Q136,#N/A))</f>
        <v>#N/A</v>
      </c>
    </row>
    <row r="137" spans="1:22" x14ac:dyDescent="0.25">
      <c r="A137">
        <v>135</v>
      </c>
      <c r="B137">
        <f t="shared" ca="1" si="32"/>
        <v>135</v>
      </c>
      <c r="C137" t="str">
        <f t="shared" ca="1" si="32"/>
        <v>Total Hip ReplacementProviderPENNINE ACUTE HOSPITALS NHS TRUST (RW6)Oxford Hip Score</v>
      </c>
      <c r="D137" t="str">
        <f t="shared" ca="1" si="32"/>
        <v>Total Hip Replacement</v>
      </c>
      <c r="E137" t="str">
        <f t="shared" ca="1" si="32"/>
        <v>Provider</v>
      </c>
      <c r="F137" t="str">
        <f t="shared" ca="1" si="32"/>
        <v>RW6</v>
      </c>
      <c r="G137" t="str">
        <f t="shared" ca="1" si="32"/>
        <v>PENNINE ACUTE HOSPITALS NHS TRUST (RW6)</v>
      </c>
      <c r="H137" t="str">
        <f t="shared" ca="1" si="32"/>
        <v>Oxford Hip Score</v>
      </c>
      <c r="I137">
        <f t="shared" ca="1" si="32"/>
        <v>3</v>
      </c>
      <c r="J137">
        <f t="shared" ca="1" si="32"/>
        <v>11</v>
      </c>
      <c r="K137">
        <f t="shared" ca="1" si="32"/>
        <v>29</v>
      </c>
      <c r="L137">
        <f t="shared" ca="1" si="33"/>
        <v>18</v>
      </c>
      <c r="M137">
        <f t="shared" ca="1" si="33"/>
        <v>3</v>
      </c>
      <c r="N137">
        <f t="shared" ca="1" si="33"/>
        <v>0</v>
      </c>
      <c r="O137">
        <f t="shared" ca="1" si="33"/>
        <v>0</v>
      </c>
      <c r="P137" t="str">
        <f t="shared" ca="1" si="33"/>
        <v>*</v>
      </c>
      <c r="Q137" t="str">
        <f t="shared" ca="1" si="33"/>
        <v>*</v>
      </c>
      <c r="R137" t="str">
        <f t="shared" ca="1" si="33"/>
        <v>*</v>
      </c>
      <c r="S137" t="e">
        <f t="shared" ca="1" si="30"/>
        <v>#N/A</v>
      </c>
      <c r="T137" t="e">
        <f t="shared" ca="1" si="31"/>
        <v>#N/A</v>
      </c>
      <c r="U137" t="e">
        <f ca="1">IF(AND($C137='Funnel setup'!$K$3&amp;'Funnel setup'!$K$6&amp;'Funnel setup'!$K$7&amp;'Funnel setup'!$K$4,'Funnel Lookup'!I137="*",'Funnel Lookup'!I137="*"),#N/A,IF(AND($C137='Funnel setup'!$K$3&amp;'Funnel setup'!$K$6&amp;'Funnel setup'!$K$7&amp;'Funnel setup'!$K$4,'Funnel Lookup'!I137&gt;29,'Funnel Lookup'!I137&lt;&gt;"-"),'Funnel Lookup'!I137,#N/A))</f>
        <v>#N/A</v>
      </c>
      <c r="V137" t="e">
        <f ca="1">IF(AND($C137='Funnel setup'!$K$3&amp;'Funnel setup'!$K$6&amp;'Funnel setup'!$K$7&amp;'Funnel setup'!$K$4,'Funnel Lookup'!I137="*",'Funnel Lookup'!I137="*"),#N/A,IF(AND($C137='Funnel setup'!$K$3&amp;'Funnel setup'!$K$6&amp;'Funnel setup'!$K$7&amp;'Funnel setup'!$K$4,'Funnel Lookup'!I137&gt;29,'Funnel Lookup'!I137&lt;&gt;"-"),'Funnel Lookup'!Q137,#N/A))</f>
        <v>#N/A</v>
      </c>
    </row>
    <row r="138" spans="1:22" x14ac:dyDescent="0.25">
      <c r="A138">
        <v>136</v>
      </c>
      <c r="B138">
        <f t="shared" ca="1" si="32"/>
        <v>136</v>
      </c>
      <c r="C138" t="str">
        <f t="shared" ca="1" si="32"/>
        <v>Total Hip ReplacementProviderPINEHILL HOSPITAL (NVC15)Oxford Hip Score</v>
      </c>
      <c r="D138" t="str">
        <f t="shared" ca="1" si="32"/>
        <v>Total Hip Replacement</v>
      </c>
      <c r="E138" t="str">
        <f t="shared" ca="1" si="32"/>
        <v>Provider</v>
      </c>
      <c r="F138" t="str">
        <f t="shared" ca="1" si="32"/>
        <v>NVC15</v>
      </c>
      <c r="G138" t="str">
        <f t="shared" ca="1" si="32"/>
        <v>PINEHILL HOSPITAL (NVC15)</v>
      </c>
      <c r="H138" t="str">
        <f t="shared" ca="1" si="32"/>
        <v>Oxford Hip Score</v>
      </c>
      <c r="I138">
        <f t="shared" ca="1" si="32"/>
        <v>12</v>
      </c>
      <c r="J138">
        <f t="shared" ca="1" si="32"/>
        <v>27.416699999999999</v>
      </c>
      <c r="K138">
        <f t="shared" ca="1" si="32"/>
        <v>28.5</v>
      </c>
      <c r="L138">
        <f t="shared" ca="1" si="33"/>
        <v>1.0833299999999999</v>
      </c>
      <c r="M138">
        <f t="shared" ca="1" si="33"/>
        <v>7</v>
      </c>
      <c r="N138">
        <f t="shared" ca="1" si="33"/>
        <v>2</v>
      </c>
      <c r="O138">
        <f t="shared" ca="1" si="33"/>
        <v>3</v>
      </c>
      <c r="P138" t="str">
        <f t="shared" ca="1" si="33"/>
        <v>*</v>
      </c>
      <c r="Q138" t="str">
        <f t="shared" ca="1" si="33"/>
        <v>*</v>
      </c>
      <c r="R138" t="str">
        <f t="shared" ca="1" si="33"/>
        <v>*</v>
      </c>
      <c r="S138" t="e">
        <f t="shared" ca="1" si="30"/>
        <v>#N/A</v>
      </c>
      <c r="T138" t="e">
        <f t="shared" ca="1" si="31"/>
        <v>#N/A</v>
      </c>
      <c r="U138" t="e">
        <f ca="1">IF(AND($C138='Funnel setup'!$K$3&amp;'Funnel setup'!$K$6&amp;'Funnel setup'!$K$7&amp;'Funnel setup'!$K$4,'Funnel Lookup'!I138="*",'Funnel Lookup'!I138="*"),#N/A,IF(AND($C138='Funnel setup'!$K$3&amp;'Funnel setup'!$K$6&amp;'Funnel setup'!$K$7&amp;'Funnel setup'!$K$4,'Funnel Lookup'!I138&gt;29,'Funnel Lookup'!I138&lt;&gt;"-"),'Funnel Lookup'!I138,#N/A))</f>
        <v>#N/A</v>
      </c>
      <c r="V138" t="e">
        <f ca="1">IF(AND($C138='Funnel setup'!$K$3&amp;'Funnel setup'!$K$6&amp;'Funnel setup'!$K$7&amp;'Funnel setup'!$K$4,'Funnel Lookup'!I138="*",'Funnel Lookup'!I138="*"),#N/A,IF(AND($C138='Funnel setup'!$K$3&amp;'Funnel setup'!$K$6&amp;'Funnel setup'!$K$7&amp;'Funnel setup'!$K$4,'Funnel Lookup'!I138&gt;29,'Funnel Lookup'!I138&lt;&gt;"-"),'Funnel Lookup'!Q138,#N/A))</f>
        <v>#N/A</v>
      </c>
    </row>
    <row r="139" spans="1:22" x14ac:dyDescent="0.25">
      <c r="A139">
        <v>137</v>
      </c>
      <c r="B139">
        <f t="shared" ca="1" si="32"/>
        <v>137</v>
      </c>
      <c r="C139" t="str">
        <f t="shared" ca="1" si="32"/>
        <v>Total Hip ReplacementProviderPORTSMOUTH HOSPITALS UNIVERSITY NATIONAL HEALTH SERVICE TRUST (RHU)Oxford Hip Score</v>
      </c>
      <c r="D139" t="str">
        <f t="shared" ca="1" si="32"/>
        <v>Total Hip Replacement</v>
      </c>
      <c r="E139" t="str">
        <f t="shared" ca="1" si="32"/>
        <v>Provider</v>
      </c>
      <c r="F139" t="str">
        <f t="shared" ca="1" si="32"/>
        <v>RHU</v>
      </c>
      <c r="G139" t="str">
        <f t="shared" ca="1" si="32"/>
        <v>PORTSMOUTH HOSPITALS UNIVERSITY NATIONAL HEALTH SERVICE TRUST (RHU)</v>
      </c>
      <c r="H139" t="str">
        <f t="shared" ca="1" si="32"/>
        <v>Oxford Hip Score</v>
      </c>
      <c r="I139">
        <f t="shared" ca="1" si="32"/>
        <v>14</v>
      </c>
      <c r="J139">
        <f t="shared" ca="1" si="32"/>
        <v>12</v>
      </c>
      <c r="K139">
        <f t="shared" ca="1" si="32"/>
        <v>37.571399999999997</v>
      </c>
      <c r="L139">
        <f t="shared" ca="1" si="33"/>
        <v>25.571400000000001</v>
      </c>
      <c r="M139">
        <f t="shared" ca="1" si="33"/>
        <v>14</v>
      </c>
      <c r="N139">
        <f t="shared" ca="1" si="33"/>
        <v>0</v>
      </c>
      <c r="O139">
        <f t="shared" ca="1" si="33"/>
        <v>0</v>
      </c>
      <c r="P139" t="str">
        <f t="shared" ca="1" si="33"/>
        <v>*</v>
      </c>
      <c r="Q139" t="str">
        <f t="shared" ca="1" si="33"/>
        <v>*</v>
      </c>
      <c r="R139" t="str">
        <f t="shared" ca="1" si="33"/>
        <v>*</v>
      </c>
      <c r="S139" t="e">
        <f t="shared" ca="1" si="30"/>
        <v>#N/A</v>
      </c>
      <c r="T139" t="e">
        <f t="shared" ca="1" si="31"/>
        <v>#N/A</v>
      </c>
      <c r="U139" t="e">
        <f ca="1">IF(AND($C139='Funnel setup'!$K$3&amp;'Funnel setup'!$K$6&amp;'Funnel setup'!$K$7&amp;'Funnel setup'!$K$4,'Funnel Lookup'!I139="*",'Funnel Lookup'!I139="*"),#N/A,IF(AND($C139='Funnel setup'!$K$3&amp;'Funnel setup'!$K$6&amp;'Funnel setup'!$K$7&amp;'Funnel setup'!$K$4,'Funnel Lookup'!I139&gt;29,'Funnel Lookup'!I139&lt;&gt;"-"),'Funnel Lookup'!I139,#N/A))</f>
        <v>#N/A</v>
      </c>
      <c r="V139" t="e">
        <f ca="1">IF(AND($C139='Funnel setup'!$K$3&amp;'Funnel setup'!$K$6&amp;'Funnel setup'!$K$7&amp;'Funnel setup'!$K$4,'Funnel Lookup'!I139="*",'Funnel Lookup'!I139="*"),#N/A,IF(AND($C139='Funnel setup'!$K$3&amp;'Funnel setup'!$K$6&amp;'Funnel setup'!$K$7&amp;'Funnel setup'!$K$4,'Funnel Lookup'!I139&gt;29,'Funnel Lookup'!I139&lt;&gt;"-"),'Funnel Lookup'!Q139,#N/A))</f>
        <v>#N/A</v>
      </c>
    </row>
    <row r="140" spans="1:22" x14ac:dyDescent="0.25">
      <c r="A140">
        <v>138</v>
      </c>
      <c r="B140">
        <f t="shared" ca="1" si="32"/>
        <v>138</v>
      </c>
      <c r="C140" t="str">
        <f t="shared" ca="1" si="32"/>
        <v>Total Hip ReplacementProviderPRACTICE PLUS GROUP HOSPITAL - BARLBOROUGH (NTP13)Oxford Hip Score</v>
      </c>
      <c r="D140" t="str">
        <f t="shared" ca="1" si="32"/>
        <v>Total Hip Replacement</v>
      </c>
      <c r="E140" t="str">
        <f t="shared" ca="1" si="32"/>
        <v>Provider</v>
      </c>
      <c r="F140" t="str">
        <f t="shared" ca="1" si="32"/>
        <v>NTP13</v>
      </c>
      <c r="G140" t="str">
        <f t="shared" ca="1" si="32"/>
        <v>PRACTICE PLUS GROUP HOSPITAL - BARLBOROUGH (NTP13)</v>
      </c>
      <c r="H140" t="str">
        <f t="shared" ca="1" si="32"/>
        <v>Oxford Hip Score</v>
      </c>
      <c r="I140">
        <f t="shared" ca="1" si="32"/>
        <v>183</v>
      </c>
      <c r="J140">
        <f t="shared" ca="1" si="32"/>
        <v>17.797799999999999</v>
      </c>
      <c r="K140">
        <f t="shared" ca="1" si="32"/>
        <v>40.666699999999999</v>
      </c>
      <c r="L140">
        <f t="shared" ca="1" si="33"/>
        <v>22.8689</v>
      </c>
      <c r="M140">
        <f t="shared" ca="1" si="33"/>
        <v>178</v>
      </c>
      <c r="N140">
        <f t="shared" ca="1" si="33"/>
        <v>1</v>
      </c>
      <c r="O140">
        <f t="shared" ca="1" si="33"/>
        <v>4</v>
      </c>
      <c r="P140">
        <f t="shared" ca="1" si="33"/>
        <v>39.680500000000002</v>
      </c>
      <c r="Q140">
        <f t="shared" ca="1" si="33"/>
        <v>22.469100000000001</v>
      </c>
      <c r="R140">
        <f t="shared" ca="1" si="33"/>
        <v>8.2129700000000003</v>
      </c>
      <c r="S140">
        <f t="shared" ca="1" si="30"/>
        <v>183</v>
      </c>
      <c r="T140">
        <f t="shared" ca="1" si="31"/>
        <v>22.469100000000001</v>
      </c>
      <c r="U140" t="e">
        <f ca="1">IF(AND($C140='Funnel setup'!$K$3&amp;'Funnel setup'!$K$6&amp;'Funnel setup'!$K$7&amp;'Funnel setup'!$K$4,'Funnel Lookup'!I140="*",'Funnel Lookup'!I140="*"),#N/A,IF(AND($C140='Funnel setup'!$K$3&amp;'Funnel setup'!$K$6&amp;'Funnel setup'!$K$7&amp;'Funnel setup'!$K$4,'Funnel Lookup'!I140&gt;29,'Funnel Lookup'!I140&lt;&gt;"-"),'Funnel Lookup'!I140,#N/A))</f>
        <v>#N/A</v>
      </c>
      <c r="V140" t="e">
        <f ca="1">IF(AND($C140='Funnel setup'!$K$3&amp;'Funnel setup'!$K$6&amp;'Funnel setup'!$K$7&amp;'Funnel setup'!$K$4,'Funnel Lookup'!I140="*",'Funnel Lookup'!I140="*"),#N/A,IF(AND($C140='Funnel setup'!$K$3&amp;'Funnel setup'!$K$6&amp;'Funnel setup'!$K$7&amp;'Funnel setup'!$K$4,'Funnel Lookup'!I140&gt;29,'Funnel Lookup'!I140&lt;&gt;"-"),'Funnel Lookup'!Q140,#N/A))</f>
        <v>#N/A</v>
      </c>
    </row>
    <row r="141" spans="1:22" x14ac:dyDescent="0.25">
      <c r="A141">
        <v>139</v>
      </c>
      <c r="B141">
        <f t="shared" ca="1" si="32"/>
        <v>139</v>
      </c>
      <c r="C141" t="str">
        <f t="shared" ca="1" si="32"/>
        <v>Total Hip ReplacementProviderPRACTICE PLUS GROUP HOSPITAL - EMERSONS GREEN (NTPH2)Oxford Hip Score</v>
      </c>
      <c r="D141" t="str">
        <f t="shared" ca="1" si="32"/>
        <v>Total Hip Replacement</v>
      </c>
      <c r="E141" t="str">
        <f t="shared" ca="1" si="32"/>
        <v>Provider</v>
      </c>
      <c r="F141" t="str">
        <f t="shared" ca="1" si="32"/>
        <v>NTPH2</v>
      </c>
      <c r="G141" t="str">
        <f t="shared" ca="1" si="32"/>
        <v>PRACTICE PLUS GROUP HOSPITAL - EMERSONS GREEN (NTPH2)</v>
      </c>
      <c r="H141" t="str">
        <f t="shared" ca="1" si="32"/>
        <v>Oxford Hip Score</v>
      </c>
      <c r="I141">
        <f t="shared" ca="1" si="32"/>
        <v>145</v>
      </c>
      <c r="J141">
        <f t="shared" ca="1" si="32"/>
        <v>18.034500000000001</v>
      </c>
      <c r="K141">
        <f t="shared" ca="1" si="32"/>
        <v>42.496600000000001</v>
      </c>
      <c r="L141">
        <f t="shared" ca="1" si="33"/>
        <v>24.4621</v>
      </c>
      <c r="M141">
        <f t="shared" ca="1" si="33"/>
        <v>145</v>
      </c>
      <c r="N141">
        <f t="shared" ca="1" si="33"/>
        <v>0</v>
      </c>
      <c r="O141">
        <f t="shared" ca="1" si="33"/>
        <v>0</v>
      </c>
      <c r="P141">
        <f t="shared" ca="1" si="33"/>
        <v>40.807499999999997</v>
      </c>
      <c r="Q141">
        <f t="shared" ca="1" si="33"/>
        <v>23.5961</v>
      </c>
      <c r="R141">
        <f t="shared" ca="1" si="33"/>
        <v>6.2077999999999998</v>
      </c>
      <c r="S141">
        <f t="shared" ca="1" si="30"/>
        <v>145</v>
      </c>
      <c r="T141">
        <f t="shared" ca="1" si="31"/>
        <v>23.5961</v>
      </c>
      <c r="U141" t="e">
        <f ca="1">IF(AND($C141='Funnel setup'!$K$3&amp;'Funnel setup'!$K$6&amp;'Funnel setup'!$K$7&amp;'Funnel setup'!$K$4,'Funnel Lookup'!I141="*",'Funnel Lookup'!I141="*"),#N/A,IF(AND($C141='Funnel setup'!$K$3&amp;'Funnel setup'!$K$6&amp;'Funnel setup'!$K$7&amp;'Funnel setup'!$K$4,'Funnel Lookup'!I141&gt;29,'Funnel Lookup'!I141&lt;&gt;"-"),'Funnel Lookup'!I141,#N/A))</f>
        <v>#N/A</v>
      </c>
      <c r="V141" t="e">
        <f ca="1">IF(AND($C141='Funnel setup'!$K$3&amp;'Funnel setup'!$K$6&amp;'Funnel setup'!$K$7&amp;'Funnel setup'!$K$4,'Funnel Lookup'!I141="*",'Funnel Lookup'!I141="*"),#N/A,IF(AND($C141='Funnel setup'!$K$3&amp;'Funnel setup'!$K$6&amp;'Funnel setup'!$K$7&amp;'Funnel setup'!$K$4,'Funnel Lookup'!I141&gt;29,'Funnel Lookup'!I141&lt;&gt;"-"),'Funnel Lookup'!Q141,#N/A))</f>
        <v>#N/A</v>
      </c>
    </row>
    <row r="142" spans="1:22" x14ac:dyDescent="0.25">
      <c r="A142">
        <v>140</v>
      </c>
      <c r="B142">
        <f t="shared" ca="1" si="32"/>
        <v>140</v>
      </c>
      <c r="C142" t="str">
        <f t="shared" ca="1" si="32"/>
        <v>Total Hip ReplacementProviderPRACTICE PLUS GROUP HOSPITAL - ILFORD (NTP15)Oxford Hip Score</v>
      </c>
      <c r="D142" t="str">
        <f t="shared" ca="1" si="32"/>
        <v>Total Hip Replacement</v>
      </c>
      <c r="E142" t="str">
        <f t="shared" ca="1" si="32"/>
        <v>Provider</v>
      </c>
      <c r="F142" t="str">
        <f t="shared" ca="1" si="32"/>
        <v>NTP15</v>
      </c>
      <c r="G142" t="str">
        <f t="shared" ca="1" si="32"/>
        <v>PRACTICE PLUS GROUP HOSPITAL - ILFORD (NTP15)</v>
      </c>
      <c r="H142" t="str">
        <f t="shared" ca="1" si="32"/>
        <v>Oxford Hip Score</v>
      </c>
      <c r="I142">
        <f t="shared" ca="1" si="32"/>
        <v>61</v>
      </c>
      <c r="J142">
        <f t="shared" ca="1" si="32"/>
        <v>17.180299999999999</v>
      </c>
      <c r="K142">
        <f t="shared" ca="1" si="32"/>
        <v>40.147500000000001</v>
      </c>
      <c r="L142">
        <f t="shared" ca="1" si="33"/>
        <v>22.967199999999998</v>
      </c>
      <c r="M142">
        <f t="shared" ca="1" si="33"/>
        <v>58</v>
      </c>
      <c r="N142">
        <f t="shared" ca="1" si="33"/>
        <v>0</v>
      </c>
      <c r="O142">
        <f t="shared" ca="1" si="33"/>
        <v>3</v>
      </c>
      <c r="P142">
        <f t="shared" ca="1" si="33"/>
        <v>39.704900000000002</v>
      </c>
      <c r="Q142">
        <f t="shared" ca="1" si="33"/>
        <v>22.493400000000001</v>
      </c>
      <c r="R142">
        <f t="shared" ca="1" si="33"/>
        <v>7.6871099999999997</v>
      </c>
      <c r="S142">
        <f t="shared" ca="1" si="30"/>
        <v>61</v>
      </c>
      <c r="T142">
        <f t="shared" ca="1" si="31"/>
        <v>22.493400000000001</v>
      </c>
      <c r="U142" t="e">
        <f ca="1">IF(AND($C142='Funnel setup'!$K$3&amp;'Funnel setup'!$K$6&amp;'Funnel setup'!$K$7&amp;'Funnel setup'!$K$4,'Funnel Lookup'!I142="*",'Funnel Lookup'!I142="*"),#N/A,IF(AND($C142='Funnel setup'!$K$3&amp;'Funnel setup'!$K$6&amp;'Funnel setup'!$K$7&amp;'Funnel setup'!$K$4,'Funnel Lookup'!I142&gt;29,'Funnel Lookup'!I142&lt;&gt;"-"),'Funnel Lookup'!I142,#N/A))</f>
        <v>#N/A</v>
      </c>
      <c r="V142" t="e">
        <f ca="1">IF(AND($C142='Funnel setup'!$K$3&amp;'Funnel setup'!$K$6&amp;'Funnel setup'!$K$7&amp;'Funnel setup'!$K$4,'Funnel Lookup'!I142="*",'Funnel Lookup'!I142="*"),#N/A,IF(AND($C142='Funnel setup'!$K$3&amp;'Funnel setup'!$K$6&amp;'Funnel setup'!$K$7&amp;'Funnel setup'!$K$4,'Funnel Lookup'!I142&gt;29,'Funnel Lookup'!I142&lt;&gt;"-"),'Funnel Lookup'!Q142,#N/A))</f>
        <v>#N/A</v>
      </c>
    </row>
    <row r="143" spans="1:22" x14ac:dyDescent="0.25">
      <c r="A143">
        <v>141</v>
      </c>
      <c r="B143">
        <f t="shared" ref="B143:K152" ca="1" si="34">VLOOKUP($A143,Funnel_Data,B$1,FALSE)</f>
        <v>141</v>
      </c>
      <c r="C143" t="str">
        <f t="shared" ca="1" si="34"/>
        <v>Total Hip ReplacementProviderPRACTICE PLUS GROUP HOSPITAL - PLYMOUTH (NTPH5)Oxford Hip Score</v>
      </c>
      <c r="D143" t="str">
        <f t="shared" ca="1" si="34"/>
        <v>Total Hip Replacement</v>
      </c>
      <c r="E143" t="str">
        <f t="shared" ca="1" si="34"/>
        <v>Provider</v>
      </c>
      <c r="F143" t="str">
        <f t="shared" ca="1" si="34"/>
        <v>NTPH5</v>
      </c>
      <c r="G143" t="str">
        <f t="shared" ca="1" si="34"/>
        <v>PRACTICE PLUS GROUP HOSPITAL - PLYMOUTH (NTPH5)</v>
      </c>
      <c r="H143" t="str">
        <f t="shared" ca="1" si="34"/>
        <v>Oxford Hip Score</v>
      </c>
      <c r="I143">
        <f t="shared" ca="1" si="34"/>
        <v>190</v>
      </c>
      <c r="J143">
        <f t="shared" ca="1" si="34"/>
        <v>17.9526</v>
      </c>
      <c r="K143">
        <f t="shared" ca="1" si="34"/>
        <v>41.578899999999997</v>
      </c>
      <c r="L143">
        <f t="shared" ref="L143:R152" ca="1" si="35">VLOOKUP($A143,Funnel_Data,L$1,FALSE)</f>
        <v>23.626300000000001</v>
      </c>
      <c r="M143">
        <f t="shared" ca="1" si="35"/>
        <v>182</v>
      </c>
      <c r="N143">
        <f t="shared" ca="1" si="35"/>
        <v>1</v>
      </c>
      <c r="O143">
        <f t="shared" ca="1" si="35"/>
        <v>7</v>
      </c>
      <c r="P143">
        <f t="shared" ca="1" si="35"/>
        <v>41.084600000000002</v>
      </c>
      <c r="Q143">
        <f t="shared" ca="1" si="35"/>
        <v>23.873100000000001</v>
      </c>
      <c r="R143">
        <f t="shared" ca="1" si="35"/>
        <v>7.8652800000000003</v>
      </c>
      <c r="S143">
        <f t="shared" ca="1" si="30"/>
        <v>190</v>
      </c>
      <c r="T143">
        <f t="shared" ca="1" si="31"/>
        <v>23.873100000000001</v>
      </c>
      <c r="U143" t="e">
        <f ca="1">IF(AND($C143='Funnel setup'!$K$3&amp;'Funnel setup'!$K$6&amp;'Funnel setup'!$K$7&amp;'Funnel setup'!$K$4,'Funnel Lookup'!I143="*",'Funnel Lookup'!I143="*"),#N/A,IF(AND($C143='Funnel setup'!$K$3&amp;'Funnel setup'!$K$6&amp;'Funnel setup'!$K$7&amp;'Funnel setup'!$K$4,'Funnel Lookup'!I143&gt;29,'Funnel Lookup'!I143&lt;&gt;"-"),'Funnel Lookup'!I143,#N/A))</f>
        <v>#N/A</v>
      </c>
      <c r="V143" t="e">
        <f ca="1">IF(AND($C143='Funnel setup'!$K$3&amp;'Funnel setup'!$K$6&amp;'Funnel setup'!$K$7&amp;'Funnel setup'!$K$4,'Funnel Lookup'!I143="*",'Funnel Lookup'!I143="*"),#N/A,IF(AND($C143='Funnel setup'!$K$3&amp;'Funnel setup'!$K$6&amp;'Funnel setup'!$K$7&amp;'Funnel setup'!$K$4,'Funnel Lookup'!I143&gt;29,'Funnel Lookup'!I143&lt;&gt;"-"),'Funnel Lookup'!Q143,#N/A))</f>
        <v>#N/A</v>
      </c>
    </row>
    <row r="144" spans="1:22" x14ac:dyDescent="0.25">
      <c r="A144">
        <v>142</v>
      </c>
      <c r="B144">
        <f t="shared" ca="1" si="34"/>
        <v>142</v>
      </c>
      <c r="C144" t="str">
        <f t="shared" ca="1" si="34"/>
        <v>Total Hip ReplacementProviderPRACTICE PLUS GROUP HOSPITAL - SHEPTON MALLET (NTPH1)Oxford Hip Score</v>
      </c>
      <c r="D144" t="str">
        <f t="shared" ca="1" si="34"/>
        <v>Total Hip Replacement</v>
      </c>
      <c r="E144" t="str">
        <f t="shared" ca="1" si="34"/>
        <v>Provider</v>
      </c>
      <c r="F144" t="str">
        <f t="shared" ca="1" si="34"/>
        <v>NTPH1</v>
      </c>
      <c r="G144" t="str">
        <f t="shared" ca="1" si="34"/>
        <v>PRACTICE PLUS GROUP HOSPITAL - SHEPTON MALLET (NTPH1)</v>
      </c>
      <c r="H144" t="str">
        <f t="shared" ca="1" si="34"/>
        <v>Oxford Hip Score</v>
      </c>
      <c r="I144">
        <f t="shared" ca="1" si="34"/>
        <v>300</v>
      </c>
      <c r="J144">
        <f t="shared" ca="1" si="34"/>
        <v>18.046700000000001</v>
      </c>
      <c r="K144">
        <f t="shared" ca="1" si="34"/>
        <v>42.16</v>
      </c>
      <c r="L144">
        <f t="shared" ca="1" si="35"/>
        <v>24.113299999999999</v>
      </c>
      <c r="M144">
        <f t="shared" ca="1" si="35"/>
        <v>296</v>
      </c>
      <c r="N144">
        <f t="shared" ca="1" si="35"/>
        <v>1</v>
      </c>
      <c r="O144">
        <f t="shared" ca="1" si="35"/>
        <v>3</v>
      </c>
      <c r="P144">
        <f t="shared" ca="1" si="35"/>
        <v>40.399299999999997</v>
      </c>
      <c r="Q144">
        <f t="shared" ca="1" si="35"/>
        <v>23.187799999999999</v>
      </c>
      <c r="R144">
        <f t="shared" ca="1" si="35"/>
        <v>7.0406300000000002</v>
      </c>
      <c r="S144">
        <f t="shared" ca="1" si="30"/>
        <v>300</v>
      </c>
      <c r="T144">
        <f t="shared" ca="1" si="31"/>
        <v>23.187799999999999</v>
      </c>
      <c r="U144" t="e">
        <f ca="1">IF(AND($C144='Funnel setup'!$K$3&amp;'Funnel setup'!$K$6&amp;'Funnel setup'!$K$7&amp;'Funnel setup'!$K$4,'Funnel Lookup'!I144="*",'Funnel Lookup'!I144="*"),#N/A,IF(AND($C144='Funnel setup'!$K$3&amp;'Funnel setup'!$K$6&amp;'Funnel setup'!$K$7&amp;'Funnel setup'!$K$4,'Funnel Lookup'!I144&gt;29,'Funnel Lookup'!I144&lt;&gt;"-"),'Funnel Lookup'!I144,#N/A))</f>
        <v>#N/A</v>
      </c>
      <c r="V144" t="e">
        <f ca="1">IF(AND($C144='Funnel setup'!$K$3&amp;'Funnel setup'!$K$6&amp;'Funnel setup'!$K$7&amp;'Funnel setup'!$K$4,'Funnel Lookup'!I144="*",'Funnel Lookup'!I144="*"),#N/A,IF(AND($C144='Funnel setup'!$K$3&amp;'Funnel setup'!$K$6&amp;'Funnel setup'!$K$7&amp;'Funnel setup'!$K$4,'Funnel Lookup'!I144&gt;29,'Funnel Lookup'!I144&lt;&gt;"-"),'Funnel Lookup'!Q144,#N/A))</f>
        <v>#N/A</v>
      </c>
    </row>
    <row r="145" spans="1:22" x14ac:dyDescent="0.25">
      <c r="A145">
        <v>143</v>
      </c>
      <c r="B145">
        <f t="shared" ca="1" si="34"/>
        <v>143</v>
      </c>
      <c r="C145" t="str">
        <f t="shared" ca="1" si="34"/>
        <v>Total Hip ReplacementProviderPRACTICE PLUS GROUP HOSPITAL - SOUTHAMPTON (NTP11)Oxford Hip Score</v>
      </c>
      <c r="D145" t="str">
        <f t="shared" ca="1" si="34"/>
        <v>Total Hip Replacement</v>
      </c>
      <c r="E145" t="str">
        <f t="shared" ca="1" si="34"/>
        <v>Provider</v>
      </c>
      <c r="F145" t="str">
        <f t="shared" ca="1" si="34"/>
        <v>NTP11</v>
      </c>
      <c r="G145" t="str">
        <f t="shared" ca="1" si="34"/>
        <v>PRACTICE PLUS GROUP HOSPITAL - SOUTHAMPTON (NTP11)</v>
      </c>
      <c r="H145" t="str">
        <f t="shared" ca="1" si="34"/>
        <v>Oxford Hip Score</v>
      </c>
      <c r="I145">
        <f t="shared" ca="1" si="34"/>
        <v>79</v>
      </c>
      <c r="J145">
        <f t="shared" ca="1" si="34"/>
        <v>17.4177</v>
      </c>
      <c r="K145">
        <f t="shared" ca="1" si="34"/>
        <v>40.037999999999997</v>
      </c>
      <c r="L145">
        <f t="shared" ca="1" si="35"/>
        <v>22.6203</v>
      </c>
      <c r="M145">
        <f t="shared" ca="1" si="35"/>
        <v>74</v>
      </c>
      <c r="N145">
        <f t="shared" ca="1" si="35"/>
        <v>0</v>
      </c>
      <c r="O145">
        <f t="shared" ca="1" si="35"/>
        <v>5</v>
      </c>
      <c r="P145">
        <f t="shared" ca="1" si="35"/>
        <v>39.494100000000003</v>
      </c>
      <c r="Q145">
        <f t="shared" ca="1" si="35"/>
        <v>22.282599999999999</v>
      </c>
      <c r="R145">
        <f t="shared" ca="1" si="35"/>
        <v>9.5923400000000001</v>
      </c>
      <c r="S145">
        <f t="shared" ca="1" si="30"/>
        <v>79</v>
      </c>
      <c r="T145">
        <f t="shared" ca="1" si="31"/>
        <v>22.282599999999999</v>
      </c>
      <c r="U145" t="e">
        <f ca="1">IF(AND($C145='Funnel setup'!$K$3&amp;'Funnel setup'!$K$6&amp;'Funnel setup'!$K$7&amp;'Funnel setup'!$K$4,'Funnel Lookup'!I145="*",'Funnel Lookup'!I145="*"),#N/A,IF(AND($C145='Funnel setup'!$K$3&amp;'Funnel setup'!$K$6&amp;'Funnel setup'!$K$7&amp;'Funnel setup'!$K$4,'Funnel Lookup'!I145&gt;29,'Funnel Lookup'!I145&lt;&gt;"-"),'Funnel Lookup'!I145,#N/A))</f>
        <v>#N/A</v>
      </c>
      <c r="V145" t="e">
        <f ca="1">IF(AND($C145='Funnel setup'!$K$3&amp;'Funnel setup'!$K$6&amp;'Funnel setup'!$K$7&amp;'Funnel setup'!$K$4,'Funnel Lookup'!I145="*",'Funnel Lookup'!I145="*"),#N/A,IF(AND($C145='Funnel setup'!$K$3&amp;'Funnel setup'!$K$6&amp;'Funnel setup'!$K$7&amp;'Funnel setup'!$K$4,'Funnel Lookup'!I145&gt;29,'Funnel Lookup'!I145&lt;&gt;"-"),'Funnel Lookup'!Q145,#N/A))</f>
        <v>#N/A</v>
      </c>
    </row>
    <row r="146" spans="1:22" x14ac:dyDescent="0.25">
      <c r="A146">
        <v>144</v>
      </c>
      <c r="B146">
        <f t="shared" ca="1" si="34"/>
        <v>144</v>
      </c>
      <c r="C146" t="str">
        <f t="shared" ca="1" si="34"/>
        <v>Total Hip ReplacementProviderPRINCESS MARGARET HOSPITAL (NT428)Oxford Hip Score</v>
      </c>
      <c r="D146" t="str">
        <f t="shared" ca="1" si="34"/>
        <v>Total Hip Replacement</v>
      </c>
      <c r="E146" t="str">
        <f t="shared" ca="1" si="34"/>
        <v>Provider</v>
      </c>
      <c r="F146" t="str">
        <f t="shared" ca="1" si="34"/>
        <v>NT428</v>
      </c>
      <c r="G146" t="str">
        <f t="shared" ca="1" si="34"/>
        <v>PRINCESS MARGARET HOSPITAL (NT428)</v>
      </c>
      <c r="H146" t="str">
        <f t="shared" ca="1" si="34"/>
        <v>Oxford Hip Score</v>
      </c>
      <c r="I146" t="str">
        <f t="shared" ca="1" si="34"/>
        <v>*</v>
      </c>
      <c r="J146" t="str">
        <f t="shared" ca="1" si="34"/>
        <v>*</v>
      </c>
      <c r="K146" t="str">
        <f t="shared" ca="1" si="34"/>
        <v>*</v>
      </c>
      <c r="L146" t="str">
        <f t="shared" ca="1" si="35"/>
        <v>*</v>
      </c>
      <c r="M146" t="str">
        <f t="shared" ca="1" si="35"/>
        <v>*</v>
      </c>
      <c r="N146" t="str">
        <f t="shared" ca="1" si="35"/>
        <v>*</v>
      </c>
      <c r="O146" t="str">
        <f t="shared" ca="1" si="35"/>
        <v>*</v>
      </c>
      <c r="P146" t="str">
        <f t="shared" ca="1" si="35"/>
        <v>*</v>
      </c>
      <c r="Q146" t="str">
        <f t="shared" ca="1" si="35"/>
        <v>*</v>
      </c>
      <c r="R146" t="str">
        <f t="shared" ca="1" si="35"/>
        <v>*</v>
      </c>
      <c r="S146" t="e">
        <f t="shared" ca="1" si="30"/>
        <v>#N/A</v>
      </c>
      <c r="T146" t="e">
        <f t="shared" ca="1" si="31"/>
        <v>#N/A</v>
      </c>
      <c r="U146" t="e">
        <f ca="1">IF(AND($C146='Funnel setup'!$K$3&amp;'Funnel setup'!$K$6&amp;'Funnel setup'!$K$7&amp;'Funnel setup'!$K$4,'Funnel Lookup'!I146="*",'Funnel Lookup'!I146="*"),#N/A,IF(AND($C146='Funnel setup'!$K$3&amp;'Funnel setup'!$K$6&amp;'Funnel setup'!$K$7&amp;'Funnel setup'!$K$4,'Funnel Lookup'!I146&gt;29,'Funnel Lookup'!I146&lt;&gt;"-"),'Funnel Lookup'!I146,#N/A))</f>
        <v>#N/A</v>
      </c>
      <c r="V146" t="e">
        <f ca="1">IF(AND($C146='Funnel setup'!$K$3&amp;'Funnel setup'!$K$6&amp;'Funnel setup'!$K$7&amp;'Funnel setup'!$K$4,'Funnel Lookup'!I146="*",'Funnel Lookup'!I146="*"),#N/A,IF(AND($C146='Funnel setup'!$K$3&amp;'Funnel setup'!$K$6&amp;'Funnel setup'!$K$7&amp;'Funnel setup'!$K$4,'Funnel Lookup'!I146&gt;29,'Funnel Lookup'!I146&lt;&gt;"-"),'Funnel Lookup'!Q146,#N/A))</f>
        <v>#N/A</v>
      </c>
    </row>
    <row r="147" spans="1:22" x14ac:dyDescent="0.25">
      <c r="A147">
        <v>145</v>
      </c>
      <c r="B147">
        <f t="shared" ca="1" si="34"/>
        <v>145</v>
      </c>
      <c r="C147" t="str">
        <f t="shared" ca="1" si="34"/>
        <v>Total Hip ReplacementProviderPRIORY HOSPITAL (NT429)Oxford Hip Score</v>
      </c>
      <c r="D147" t="str">
        <f t="shared" ca="1" si="34"/>
        <v>Total Hip Replacement</v>
      </c>
      <c r="E147" t="str">
        <f t="shared" ca="1" si="34"/>
        <v>Provider</v>
      </c>
      <c r="F147" t="str">
        <f t="shared" ca="1" si="34"/>
        <v>NT429</v>
      </c>
      <c r="G147" t="str">
        <f t="shared" ca="1" si="34"/>
        <v>PRIORY HOSPITAL (NT429)</v>
      </c>
      <c r="H147" t="str">
        <f t="shared" ca="1" si="34"/>
        <v>Oxford Hip Score</v>
      </c>
      <c r="I147">
        <f t="shared" ca="1" si="34"/>
        <v>11</v>
      </c>
      <c r="J147">
        <f t="shared" ca="1" si="34"/>
        <v>16</v>
      </c>
      <c r="K147">
        <f t="shared" ca="1" si="34"/>
        <v>42.7273</v>
      </c>
      <c r="L147">
        <f t="shared" ca="1" si="35"/>
        <v>26.7273</v>
      </c>
      <c r="M147">
        <f t="shared" ca="1" si="35"/>
        <v>10</v>
      </c>
      <c r="N147">
        <f t="shared" ca="1" si="35"/>
        <v>0</v>
      </c>
      <c r="O147">
        <f t="shared" ca="1" si="35"/>
        <v>1</v>
      </c>
      <c r="P147" t="str">
        <f t="shared" ca="1" si="35"/>
        <v>*</v>
      </c>
      <c r="Q147" t="str">
        <f t="shared" ca="1" si="35"/>
        <v>*</v>
      </c>
      <c r="R147" t="str">
        <f t="shared" ca="1" si="35"/>
        <v>*</v>
      </c>
      <c r="S147" t="e">
        <f t="shared" ca="1" si="30"/>
        <v>#N/A</v>
      </c>
      <c r="T147" t="e">
        <f t="shared" ca="1" si="31"/>
        <v>#N/A</v>
      </c>
      <c r="U147" t="e">
        <f ca="1">IF(AND($C147='Funnel setup'!$K$3&amp;'Funnel setup'!$K$6&amp;'Funnel setup'!$K$7&amp;'Funnel setup'!$K$4,'Funnel Lookup'!I147="*",'Funnel Lookup'!I147="*"),#N/A,IF(AND($C147='Funnel setup'!$K$3&amp;'Funnel setup'!$K$6&amp;'Funnel setup'!$K$7&amp;'Funnel setup'!$K$4,'Funnel Lookup'!I147&gt;29,'Funnel Lookup'!I147&lt;&gt;"-"),'Funnel Lookup'!I147,#N/A))</f>
        <v>#N/A</v>
      </c>
      <c r="V147" t="e">
        <f ca="1">IF(AND($C147='Funnel setup'!$K$3&amp;'Funnel setup'!$K$6&amp;'Funnel setup'!$K$7&amp;'Funnel setup'!$K$4,'Funnel Lookup'!I147="*",'Funnel Lookup'!I147="*"),#N/A,IF(AND($C147='Funnel setup'!$K$3&amp;'Funnel setup'!$K$6&amp;'Funnel setup'!$K$7&amp;'Funnel setup'!$K$4,'Funnel Lookup'!I147&gt;29,'Funnel Lookup'!I147&lt;&gt;"-"),'Funnel Lookup'!Q147,#N/A))</f>
        <v>#N/A</v>
      </c>
    </row>
    <row r="148" spans="1:22" x14ac:dyDescent="0.25">
      <c r="A148">
        <v>146</v>
      </c>
      <c r="B148">
        <f t="shared" ca="1" si="34"/>
        <v>146</v>
      </c>
      <c r="C148" t="str">
        <f t="shared" ca="1" si="34"/>
        <v>Total Hip ReplacementProviderRENACRES HOSPITAL (NVC16)Oxford Hip Score</v>
      </c>
      <c r="D148" t="str">
        <f t="shared" ca="1" si="34"/>
        <v>Total Hip Replacement</v>
      </c>
      <c r="E148" t="str">
        <f t="shared" ca="1" si="34"/>
        <v>Provider</v>
      </c>
      <c r="F148" t="str">
        <f t="shared" ca="1" si="34"/>
        <v>NVC16</v>
      </c>
      <c r="G148" t="str">
        <f t="shared" ca="1" si="34"/>
        <v>RENACRES HOSPITAL (NVC16)</v>
      </c>
      <c r="H148" t="str">
        <f t="shared" ca="1" si="34"/>
        <v>Oxford Hip Score</v>
      </c>
      <c r="I148">
        <f t="shared" ca="1" si="34"/>
        <v>83</v>
      </c>
      <c r="J148">
        <f t="shared" ca="1" si="34"/>
        <v>17.2651</v>
      </c>
      <c r="K148">
        <f t="shared" ca="1" si="34"/>
        <v>40.530099999999997</v>
      </c>
      <c r="L148">
        <f t="shared" ca="1" si="35"/>
        <v>23.2651</v>
      </c>
      <c r="M148">
        <f t="shared" ca="1" si="35"/>
        <v>82</v>
      </c>
      <c r="N148">
        <f t="shared" ca="1" si="35"/>
        <v>0</v>
      </c>
      <c r="O148">
        <f t="shared" ca="1" si="35"/>
        <v>1</v>
      </c>
      <c r="P148">
        <f t="shared" ca="1" si="35"/>
        <v>40.450099999999999</v>
      </c>
      <c r="Q148">
        <f t="shared" ca="1" si="35"/>
        <v>23.238700000000001</v>
      </c>
      <c r="R148">
        <f t="shared" ca="1" si="35"/>
        <v>8.5668399999999991</v>
      </c>
      <c r="S148">
        <f t="shared" ca="1" si="30"/>
        <v>83</v>
      </c>
      <c r="T148">
        <f t="shared" ca="1" si="31"/>
        <v>23.238700000000001</v>
      </c>
      <c r="U148" t="e">
        <f ca="1">IF(AND($C148='Funnel setup'!$K$3&amp;'Funnel setup'!$K$6&amp;'Funnel setup'!$K$7&amp;'Funnel setup'!$K$4,'Funnel Lookup'!I148="*",'Funnel Lookup'!I148="*"),#N/A,IF(AND($C148='Funnel setup'!$K$3&amp;'Funnel setup'!$K$6&amp;'Funnel setup'!$K$7&amp;'Funnel setup'!$K$4,'Funnel Lookup'!I148&gt;29,'Funnel Lookup'!I148&lt;&gt;"-"),'Funnel Lookup'!I148,#N/A))</f>
        <v>#N/A</v>
      </c>
      <c r="V148" t="e">
        <f ca="1">IF(AND($C148='Funnel setup'!$K$3&amp;'Funnel setup'!$K$6&amp;'Funnel setup'!$K$7&amp;'Funnel setup'!$K$4,'Funnel Lookup'!I148="*",'Funnel Lookup'!I148="*"),#N/A,IF(AND($C148='Funnel setup'!$K$3&amp;'Funnel setup'!$K$6&amp;'Funnel setup'!$K$7&amp;'Funnel setup'!$K$4,'Funnel Lookup'!I148&gt;29,'Funnel Lookup'!I148&lt;&gt;"-"),'Funnel Lookup'!Q148,#N/A))</f>
        <v>#N/A</v>
      </c>
    </row>
    <row r="149" spans="1:22" x14ac:dyDescent="0.25">
      <c r="A149">
        <v>147</v>
      </c>
      <c r="B149">
        <f t="shared" ca="1" si="34"/>
        <v>147</v>
      </c>
      <c r="C149" t="str">
        <f t="shared" ca="1" si="34"/>
        <v>Total Hip ReplacementProviderRIDGEWAY HOSPITAL (NT430)Oxford Hip Score</v>
      </c>
      <c r="D149" t="str">
        <f t="shared" ca="1" si="34"/>
        <v>Total Hip Replacement</v>
      </c>
      <c r="E149" t="str">
        <f t="shared" ca="1" si="34"/>
        <v>Provider</v>
      </c>
      <c r="F149" t="str">
        <f t="shared" ca="1" si="34"/>
        <v>NT430</v>
      </c>
      <c r="G149" t="str">
        <f t="shared" ca="1" si="34"/>
        <v>RIDGEWAY HOSPITAL (NT430)</v>
      </c>
      <c r="H149" t="str">
        <f t="shared" ca="1" si="34"/>
        <v>Oxford Hip Score</v>
      </c>
      <c r="I149">
        <f t="shared" ca="1" si="34"/>
        <v>5</v>
      </c>
      <c r="J149">
        <f t="shared" ca="1" si="34"/>
        <v>23.2</v>
      </c>
      <c r="K149">
        <f t="shared" ca="1" si="34"/>
        <v>43.8</v>
      </c>
      <c r="L149">
        <f t="shared" ca="1" si="35"/>
        <v>20.6</v>
      </c>
      <c r="M149">
        <f t="shared" ca="1" si="35"/>
        <v>5</v>
      </c>
      <c r="N149">
        <f t="shared" ca="1" si="35"/>
        <v>0</v>
      </c>
      <c r="O149">
        <f t="shared" ca="1" si="35"/>
        <v>0</v>
      </c>
      <c r="P149" t="str">
        <f t="shared" ca="1" si="35"/>
        <v>*</v>
      </c>
      <c r="Q149" t="str">
        <f t="shared" ca="1" si="35"/>
        <v>*</v>
      </c>
      <c r="R149" t="str">
        <f t="shared" ca="1" si="35"/>
        <v>*</v>
      </c>
      <c r="S149" t="e">
        <f t="shared" ca="1" si="30"/>
        <v>#N/A</v>
      </c>
      <c r="T149" t="e">
        <f t="shared" ca="1" si="31"/>
        <v>#N/A</v>
      </c>
      <c r="U149" t="e">
        <f ca="1">IF(AND($C149='Funnel setup'!$K$3&amp;'Funnel setup'!$K$6&amp;'Funnel setup'!$K$7&amp;'Funnel setup'!$K$4,'Funnel Lookup'!I149="*",'Funnel Lookup'!I149="*"),#N/A,IF(AND($C149='Funnel setup'!$K$3&amp;'Funnel setup'!$K$6&amp;'Funnel setup'!$K$7&amp;'Funnel setup'!$K$4,'Funnel Lookup'!I149&gt;29,'Funnel Lookup'!I149&lt;&gt;"-"),'Funnel Lookup'!I149,#N/A))</f>
        <v>#N/A</v>
      </c>
      <c r="V149" t="e">
        <f ca="1">IF(AND($C149='Funnel setup'!$K$3&amp;'Funnel setup'!$K$6&amp;'Funnel setup'!$K$7&amp;'Funnel setup'!$K$4,'Funnel Lookup'!I149="*",'Funnel Lookup'!I149="*"),#N/A,IF(AND($C149='Funnel setup'!$K$3&amp;'Funnel setup'!$K$6&amp;'Funnel setup'!$K$7&amp;'Funnel setup'!$K$4,'Funnel Lookup'!I149&gt;29,'Funnel Lookup'!I149&lt;&gt;"-"),'Funnel Lookup'!Q149,#N/A))</f>
        <v>#N/A</v>
      </c>
    </row>
    <row r="150" spans="1:22" x14ac:dyDescent="0.25">
      <c r="A150">
        <v>148</v>
      </c>
      <c r="B150">
        <f t="shared" ca="1" si="34"/>
        <v>148</v>
      </c>
      <c r="C150" t="str">
        <f t="shared" ca="1" si="34"/>
        <v>Total Hip ReplacementProviderRIVERS HOSPITAL (NVC19)Oxford Hip Score</v>
      </c>
      <c r="D150" t="str">
        <f t="shared" ca="1" si="34"/>
        <v>Total Hip Replacement</v>
      </c>
      <c r="E150" t="str">
        <f t="shared" ca="1" si="34"/>
        <v>Provider</v>
      </c>
      <c r="F150" t="str">
        <f t="shared" ca="1" si="34"/>
        <v>NVC19</v>
      </c>
      <c r="G150" t="str">
        <f t="shared" ca="1" si="34"/>
        <v>RIVERS HOSPITAL (NVC19)</v>
      </c>
      <c r="H150" t="str">
        <f t="shared" ca="1" si="34"/>
        <v>Oxford Hip Score</v>
      </c>
      <c r="I150">
        <f t="shared" ca="1" si="34"/>
        <v>58</v>
      </c>
      <c r="J150">
        <f t="shared" ca="1" si="34"/>
        <v>19.100000000000001</v>
      </c>
      <c r="K150">
        <f t="shared" ca="1" si="34"/>
        <v>42.1</v>
      </c>
      <c r="L150">
        <f t="shared" ca="1" si="35"/>
        <v>23</v>
      </c>
      <c r="M150">
        <f t="shared" ca="1" si="35"/>
        <v>57</v>
      </c>
      <c r="N150">
        <f t="shared" ca="1" si="35"/>
        <v>0</v>
      </c>
      <c r="O150">
        <f t="shared" ca="1" si="35"/>
        <v>1</v>
      </c>
      <c r="P150">
        <f t="shared" ca="1" si="35"/>
        <v>40.840400000000002</v>
      </c>
      <c r="Q150">
        <f t="shared" ca="1" si="35"/>
        <v>23.629000000000001</v>
      </c>
      <c r="R150">
        <f t="shared" ca="1" si="35"/>
        <v>6.9366700000000003</v>
      </c>
      <c r="S150">
        <f t="shared" ca="1" si="30"/>
        <v>58</v>
      </c>
      <c r="T150">
        <f t="shared" ca="1" si="31"/>
        <v>23.629000000000001</v>
      </c>
      <c r="U150" t="e">
        <f ca="1">IF(AND($C150='Funnel setup'!$K$3&amp;'Funnel setup'!$K$6&amp;'Funnel setup'!$K$7&amp;'Funnel setup'!$K$4,'Funnel Lookup'!I150="*",'Funnel Lookup'!I150="*"),#N/A,IF(AND($C150='Funnel setup'!$K$3&amp;'Funnel setup'!$K$6&amp;'Funnel setup'!$K$7&amp;'Funnel setup'!$K$4,'Funnel Lookup'!I150&gt;29,'Funnel Lookup'!I150&lt;&gt;"-"),'Funnel Lookup'!I150,#N/A))</f>
        <v>#N/A</v>
      </c>
      <c r="V150" t="e">
        <f ca="1">IF(AND($C150='Funnel setup'!$K$3&amp;'Funnel setup'!$K$6&amp;'Funnel setup'!$K$7&amp;'Funnel setup'!$K$4,'Funnel Lookup'!I150="*",'Funnel Lookup'!I150="*"),#N/A,IF(AND($C150='Funnel setup'!$K$3&amp;'Funnel setup'!$K$6&amp;'Funnel setup'!$K$7&amp;'Funnel setup'!$K$4,'Funnel Lookup'!I150&gt;29,'Funnel Lookup'!I150&lt;&gt;"-"),'Funnel Lookup'!Q150,#N/A))</f>
        <v>#N/A</v>
      </c>
    </row>
    <row r="151" spans="1:22" x14ac:dyDescent="0.25">
      <c r="A151">
        <v>149</v>
      </c>
      <c r="B151">
        <f t="shared" ca="1" si="34"/>
        <v>149</v>
      </c>
      <c r="C151" t="str">
        <f t="shared" ca="1" si="34"/>
        <v>Total Hip ReplacementProviderROWLEY HALL HOSPITAL (NVC17)Oxford Hip Score</v>
      </c>
      <c r="D151" t="str">
        <f t="shared" ca="1" si="34"/>
        <v>Total Hip Replacement</v>
      </c>
      <c r="E151" t="str">
        <f t="shared" ca="1" si="34"/>
        <v>Provider</v>
      </c>
      <c r="F151" t="str">
        <f t="shared" ca="1" si="34"/>
        <v>NVC17</v>
      </c>
      <c r="G151" t="str">
        <f t="shared" ca="1" si="34"/>
        <v>ROWLEY HALL HOSPITAL (NVC17)</v>
      </c>
      <c r="H151" t="str">
        <f t="shared" ca="1" si="34"/>
        <v>Oxford Hip Score</v>
      </c>
      <c r="I151">
        <f t="shared" ca="1" si="34"/>
        <v>56</v>
      </c>
      <c r="J151">
        <f t="shared" ca="1" si="34"/>
        <v>17.421099999999999</v>
      </c>
      <c r="K151">
        <f t="shared" ca="1" si="34"/>
        <v>40.877200000000002</v>
      </c>
      <c r="L151">
        <f t="shared" ca="1" si="35"/>
        <v>23.456099999999999</v>
      </c>
      <c r="M151">
        <f t="shared" ca="1" si="35"/>
        <v>56</v>
      </c>
      <c r="N151">
        <f t="shared" ca="1" si="35"/>
        <v>0</v>
      </c>
      <c r="O151">
        <f t="shared" ca="1" si="35"/>
        <v>0</v>
      </c>
      <c r="P151">
        <f t="shared" ca="1" si="35"/>
        <v>40.206699999999998</v>
      </c>
      <c r="Q151">
        <f t="shared" ca="1" si="35"/>
        <v>22.995200000000001</v>
      </c>
      <c r="R151">
        <f t="shared" ca="1" si="35"/>
        <v>7.10128</v>
      </c>
      <c r="S151">
        <f t="shared" ca="1" si="30"/>
        <v>56</v>
      </c>
      <c r="T151">
        <f t="shared" ca="1" si="31"/>
        <v>22.995200000000001</v>
      </c>
      <c r="U151" t="e">
        <f ca="1">IF(AND($C151='Funnel setup'!$K$3&amp;'Funnel setup'!$K$6&amp;'Funnel setup'!$K$7&amp;'Funnel setup'!$K$4,'Funnel Lookup'!I151="*",'Funnel Lookup'!I151="*"),#N/A,IF(AND($C151='Funnel setup'!$K$3&amp;'Funnel setup'!$K$6&amp;'Funnel setup'!$K$7&amp;'Funnel setup'!$K$4,'Funnel Lookup'!I151&gt;29,'Funnel Lookup'!I151&lt;&gt;"-"),'Funnel Lookup'!I151,#N/A))</f>
        <v>#N/A</v>
      </c>
      <c r="V151" t="e">
        <f ca="1">IF(AND($C151='Funnel setup'!$K$3&amp;'Funnel setup'!$K$6&amp;'Funnel setup'!$K$7&amp;'Funnel setup'!$K$4,'Funnel Lookup'!I151="*",'Funnel Lookup'!I151="*"),#N/A,IF(AND($C151='Funnel setup'!$K$3&amp;'Funnel setup'!$K$6&amp;'Funnel setup'!$K$7&amp;'Funnel setup'!$K$4,'Funnel Lookup'!I151&gt;29,'Funnel Lookup'!I151&lt;&gt;"-"),'Funnel Lookup'!Q151,#N/A))</f>
        <v>#N/A</v>
      </c>
    </row>
    <row r="152" spans="1:22" x14ac:dyDescent="0.25">
      <c r="A152">
        <v>150</v>
      </c>
      <c r="B152">
        <f t="shared" ca="1" si="34"/>
        <v>150</v>
      </c>
      <c r="C152" t="str">
        <f t="shared" ca="1" si="34"/>
        <v>Total Hip ReplacementProviderROYAL BERKSHIRE NHS FOUNDATION TRUST (RHW)Oxford Hip Score</v>
      </c>
      <c r="D152" t="str">
        <f t="shared" ca="1" si="34"/>
        <v>Total Hip Replacement</v>
      </c>
      <c r="E152" t="str">
        <f t="shared" ca="1" si="34"/>
        <v>Provider</v>
      </c>
      <c r="F152" t="str">
        <f t="shared" ca="1" si="34"/>
        <v>RHW</v>
      </c>
      <c r="G152" t="str">
        <f t="shared" ca="1" si="34"/>
        <v>ROYAL BERKSHIRE NHS FOUNDATION TRUST (RHW)</v>
      </c>
      <c r="H152" t="str">
        <f t="shared" ca="1" si="34"/>
        <v>Oxford Hip Score</v>
      </c>
      <c r="I152">
        <f t="shared" ca="1" si="34"/>
        <v>4</v>
      </c>
      <c r="J152">
        <f t="shared" ca="1" si="34"/>
        <v>15</v>
      </c>
      <c r="K152">
        <f t="shared" ca="1" si="34"/>
        <v>34.25</v>
      </c>
      <c r="L152">
        <f t="shared" ca="1" si="35"/>
        <v>19.25</v>
      </c>
      <c r="M152">
        <f t="shared" ca="1" si="35"/>
        <v>4</v>
      </c>
      <c r="N152">
        <f t="shared" ca="1" si="35"/>
        <v>0</v>
      </c>
      <c r="O152">
        <f t="shared" ca="1" si="35"/>
        <v>0</v>
      </c>
      <c r="P152" t="str">
        <f t="shared" ca="1" si="35"/>
        <v>*</v>
      </c>
      <c r="Q152" t="str">
        <f t="shared" ca="1" si="35"/>
        <v>*</v>
      </c>
      <c r="R152" t="str">
        <f t="shared" ca="1" si="35"/>
        <v>*</v>
      </c>
      <c r="S152" t="e">
        <f t="shared" ca="1" si="30"/>
        <v>#N/A</v>
      </c>
      <c r="T152" t="e">
        <f t="shared" ca="1" si="31"/>
        <v>#N/A</v>
      </c>
      <c r="U152" t="e">
        <f ca="1">IF(AND($C152='Funnel setup'!$K$3&amp;'Funnel setup'!$K$6&amp;'Funnel setup'!$K$7&amp;'Funnel setup'!$K$4,'Funnel Lookup'!I152="*",'Funnel Lookup'!I152="*"),#N/A,IF(AND($C152='Funnel setup'!$K$3&amp;'Funnel setup'!$K$6&amp;'Funnel setup'!$K$7&amp;'Funnel setup'!$K$4,'Funnel Lookup'!I152&gt;29,'Funnel Lookup'!I152&lt;&gt;"-"),'Funnel Lookup'!I152,#N/A))</f>
        <v>#N/A</v>
      </c>
      <c r="V152" t="e">
        <f ca="1">IF(AND($C152='Funnel setup'!$K$3&amp;'Funnel setup'!$K$6&amp;'Funnel setup'!$K$7&amp;'Funnel setup'!$K$4,'Funnel Lookup'!I152="*",'Funnel Lookup'!I152="*"),#N/A,IF(AND($C152='Funnel setup'!$K$3&amp;'Funnel setup'!$K$6&amp;'Funnel setup'!$K$7&amp;'Funnel setup'!$K$4,'Funnel Lookup'!I152&gt;29,'Funnel Lookup'!I152&lt;&gt;"-"),'Funnel Lookup'!Q152,#N/A))</f>
        <v>#N/A</v>
      </c>
    </row>
    <row r="153" spans="1:22" x14ac:dyDescent="0.25">
      <c r="A153">
        <v>151</v>
      </c>
      <c r="B153">
        <f t="shared" ref="B153:K162" ca="1" si="36">VLOOKUP($A153,Funnel_Data,B$1,FALSE)</f>
        <v>151</v>
      </c>
      <c r="C153" t="str">
        <f t="shared" ca="1" si="36"/>
        <v>Total Hip ReplacementProviderROYAL CORNWALL HOSPITALS NHS TRUST (REF)Oxford Hip Score</v>
      </c>
      <c r="D153" t="str">
        <f t="shared" ca="1" si="36"/>
        <v>Total Hip Replacement</v>
      </c>
      <c r="E153" t="str">
        <f t="shared" ca="1" si="36"/>
        <v>Provider</v>
      </c>
      <c r="F153" t="str">
        <f t="shared" ca="1" si="36"/>
        <v>REF</v>
      </c>
      <c r="G153" t="str">
        <f t="shared" ca="1" si="36"/>
        <v>ROYAL CORNWALL HOSPITALS NHS TRUST (REF)</v>
      </c>
      <c r="H153" t="str">
        <f t="shared" ca="1" si="36"/>
        <v>Oxford Hip Score</v>
      </c>
      <c r="I153">
        <f t="shared" ca="1" si="36"/>
        <v>57</v>
      </c>
      <c r="J153">
        <f t="shared" ca="1" si="36"/>
        <v>20.701799999999999</v>
      </c>
      <c r="K153">
        <f t="shared" ca="1" si="36"/>
        <v>40.877200000000002</v>
      </c>
      <c r="L153">
        <f t="shared" ref="L153:R162" ca="1" si="37">VLOOKUP($A153,Funnel_Data,L$1,FALSE)</f>
        <v>20.1754</v>
      </c>
      <c r="M153">
        <f t="shared" ca="1" si="37"/>
        <v>55</v>
      </c>
      <c r="N153">
        <f t="shared" ca="1" si="37"/>
        <v>0</v>
      </c>
      <c r="O153">
        <f t="shared" ca="1" si="37"/>
        <v>2</v>
      </c>
      <c r="P153">
        <f t="shared" ca="1" si="37"/>
        <v>40.267299999999999</v>
      </c>
      <c r="Q153">
        <f t="shared" ca="1" si="37"/>
        <v>23.055800000000001</v>
      </c>
      <c r="R153">
        <f t="shared" ca="1" si="37"/>
        <v>7.3868999999999998</v>
      </c>
      <c r="S153">
        <f t="shared" ca="1" si="30"/>
        <v>57</v>
      </c>
      <c r="T153">
        <f t="shared" ca="1" si="31"/>
        <v>23.055800000000001</v>
      </c>
      <c r="U153" t="e">
        <f ca="1">IF(AND($C153='Funnel setup'!$K$3&amp;'Funnel setup'!$K$6&amp;'Funnel setup'!$K$7&amp;'Funnel setup'!$K$4,'Funnel Lookup'!I153="*",'Funnel Lookup'!I153="*"),#N/A,IF(AND($C153='Funnel setup'!$K$3&amp;'Funnel setup'!$K$6&amp;'Funnel setup'!$K$7&amp;'Funnel setup'!$K$4,'Funnel Lookup'!I153&gt;29,'Funnel Lookup'!I153&lt;&gt;"-"),'Funnel Lookup'!I153,#N/A))</f>
        <v>#N/A</v>
      </c>
      <c r="V153" t="e">
        <f ca="1">IF(AND($C153='Funnel setup'!$K$3&amp;'Funnel setup'!$K$6&amp;'Funnel setup'!$K$7&amp;'Funnel setup'!$K$4,'Funnel Lookup'!I153="*",'Funnel Lookup'!I153="*"),#N/A,IF(AND($C153='Funnel setup'!$K$3&amp;'Funnel setup'!$K$6&amp;'Funnel setup'!$K$7&amp;'Funnel setup'!$K$4,'Funnel Lookup'!I153&gt;29,'Funnel Lookup'!I153&lt;&gt;"-"),'Funnel Lookup'!Q153,#N/A))</f>
        <v>#N/A</v>
      </c>
    </row>
    <row r="154" spans="1:22" x14ac:dyDescent="0.25">
      <c r="A154">
        <v>152</v>
      </c>
      <c r="B154">
        <f t="shared" ca="1" si="36"/>
        <v>152</v>
      </c>
      <c r="C154" t="str">
        <f t="shared" ca="1" si="36"/>
        <v>Total Hip ReplacementProviderROYAL DEVON UNIVERSITY HEALTHCARE NHS FOUNDATION TRUST (RH8)Oxford Hip Score</v>
      </c>
      <c r="D154" t="str">
        <f t="shared" ca="1" si="36"/>
        <v>Total Hip Replacement</v>
      </c>
      <c r="E154" t="str">
        <f t="shared" ca="1" si="36"/>
        <v>Provider</v>
      </c>
      <c r="F154" t="str">
        <f t="shared" ca="1" si="36"/>
        <v>RH8</v>
      </c>
      <c r="G154" t="str">
        <f t="shared" ca="1" si="36"/>
        <v>ROYAL DEVON UNIVERSITY HEALTHCARE NHS FOUNDATION TRUST (RH8)</v>
      </c>
      <c r="H154" t="str">
        <f t="shared" ca="1" si="36"/>
        <v>Oxford Hip Score</v>
      </c>
      <c r="I154">
        <f t="shared" ca="1" si="36"/>
        <v>4</v>
      </c>
      <c r="J154">
        <f t="shared" ca="1" si="36"/>
        <v>15.25</v>
      </c>
      <c r="K154">
        <f t="shared" ca="1" si="36"/>
        <v>46.5</v>
      </c>
      <c r="L154">
        <f t="shared" ca="1" si="37"/>
        <v>31.25</v>
      </c>
      <c r="M154">
        <f t="shared" ca="1" si="37"/>
        <v>4</v>
      </c>
      <c r="N154">
        <f t="shared" ca="1" si="37"/>
        <v>0</v>
      </c>
      <c r="O154">
        <f t="shared" ca="1" si="37"/>
        <v>0</v>
      </c>
      <c r="P154" t="str">
        <f t="shared" ca="1" si="37"/>
        <v>*</v>
      </c>
      <c r="Q154" t="str">
        <f t="shared" ca="1" si="37"/>
        <v>*</v>
      </c>
      <c r="R154" t="str">
        <f t="shared" ca="1" si="37"/>
        <v>*</v>
      </c>
      <c r="S154" t="e">
        <f t="shared" ca="1" si="30"/>
        <v>#N/A</v>
      </c>
      <c r="T154" t="e">
        <f t="shared" ca="1" si="31"/>
        <v>#N/A</v>
      </c>
      <c r="U154" t="e">
        <f ca="1">IF(AND($C154='Funnel setup'!$K$3&amp;'Funnel setup'!$K$6&amp;'Funnel setup'!$K$7&amp;'Funnel setup'!$K$4,'Funnel Lookup'!I154="*",'Funnel Lookup'!I154="*"),#N/A,IF(AND($C154='Funnel setup'!$K$3&amp;'Funnel setup'!$K$6&amp;'Funnel setup'!$K$7&amp;'Funnel setup'!$K$4,'Funnel Lookup'!I154&gt;29,'Funnel Lookup'!I154&lt;&gt;"-"),'Funnel Lookup'!I154,#N/A))</f>
        <v>#N/A</v>
      </c>
      <c r="V154" t="e">
        <f ca="1">IF(AND($C154='Funnel setup'!$K$3&amp;'Funnel setup'!$K$6&amp;'Funnel setup'!$K$7&amp;'Funnel setup'!$K$4,'Funnel Lookup'!I154="*",'Funnel Lookup'!I154="*"),#N/A,IF(AND($C154='Funnel setup'!$K$3&amp;'Funnel setup'!$K$6&amp;'Funnel setup'!$K$7&amp;'Funnel setup'!$K$4,'Funnel Lookup'!I154&gt;29,'Funnel Lookup'!I154&lt;&gt;"-"),'Funnel Lookup'!Q154,#N/A))</f>
        <v>#N/A</v>
      </c>
    </row>
    <row r="155" spans="1:22" x14ac:dyDescent="0.25">
      <c r="A155">
        <v>153</v>
      </c>
      <c r="B155">
        <f t="shared" ca="1" si="36"/>
        <v>153</v>
      </c>
      <c r="C155" t="str">
        <f t="shared" ca="1" si="36"/>
        <v>Total Hip ReplacementProviderROYAL NATIONAL ORTHOPAEDIC HOSPITAL NHS TRUST (RAN)Oxford Hip Score</v>
      </c>
      <c r="D155" t="str">
        <f t="shared" ca="1" si="36"/>
        <v>Total Hip Replacement</v>
      </c>
      <c r="E155" t="str">
        <f t="shared" ca="1" si="36"/>
        <v>Provider</v>
      </c>
      <c r="F155" t="str">
        <f t="shared" ca="1" si="36"/>
        <v>RAN</v>
      </c>
      <c r="G155" t="str">
        <f t="shared" ca="1" si="36"/>
        <v>ROYAL NATIONAL ORTHOPAEDIC HOSPITAL NHS TRUST (RAN)</v>
      </c>
      <c r="H155" t="str">
        <f t="shared" ca="1" si="36"/>
        <v>Oxford Hip Score</v>
      </c>
      <c r="I155">
        <f t="shared" ca="1" si="36"/>
        <v>93</v>
      </c>
      <c r="J155">
        <f t="shared" ca="1" si="36"/>
        <v>16.881699999999999</v>
      </c>
      <c r="K155">
        <f t="shared" ca="1" si="36"/>
        <v>35.064500000000002</v>
      </c>
      <c r="L155">
        <f t="shared" ca="1" si="37"/>
        <v>18.1828</v>
      </c>
      <c r="M155">
        <f t="shared" ca="1" si="37"/>
        <v>88</v>
      </c>
      <c r="N155">
        <f t="shared" ca="1" si="37"/>
        <v>0</v>
      </c>
      <c r="O155">
        <f t="shared" ca="1" si="37"/>
        <v>5</v>
      </c>
      <c r="P155">
        <f t="shared" ca="1" si="37"/>
        <v>36.963500000000003</v>
      </c>
      <c r="Q155">
        <f t="shared" ca="1" si="37"/>
        <v>19.752099999999999</v>
      </c>
      <c r="R155">
        <f t="shared" ca="1" si="37"/>
        <v>10.1312</v>
      </c>
      <c r="S155">
        <f t="shared" ca="1" si="30"/>
        <v>93</v>
      </c>
      <c r="T155">
        <f t="shared" ca="1" si="31"/>
        <v>19.752099999999999</v>
      </c>
      <c r="U155" t="e">
        <f ca="1">IF(AND($C155='Funnel setup'!$K$3&amp;'Funnel setup'!$K$6&amp;'Funnel setup'!$K$7&amp;'Funnel setup'!$K$4,'Funnel Lookup'!I155="*",'Funnel Lookup'!I155="*"),#N/A,IF(AND($C155='Funnel setup'!$K$3&amp;'Funnel setup'!$K$6&amp;'Funnel setup'!$K$7&amp;'Funnel setup'!$K$4,'Funnel Lookup'!I155&gt;29,'Funnel Lookup'!I155&lt;&gt;"-"),'Funnel Lookup'!I155,#N/A))</f>
        <v>#N/A</v>
      </c>
      <c r="V155" t="e">
        <f ca="1">IF(AND($C155='Funnel setup'!$K$3&amp;'Funnel setup'!$K$6&amp;'Funnel setup'!$K$7&amp;'Funnel setup'!$K$4,'Funnel Lookup'!I155="*",'Funnel Lookup'!I155="*"),#N/A,IF(AND($C155='Funnel setup'!$K$3&amp;'Funnel setup'!$K$6&amp;'Funnel setup'!$K$7&amp;'Funnel setup'!$K$4,'Funnel Lookup'!I155&gt;29,'Funnel Lookup'!I155&lt;&gt;"-"),'Funnel Lookup'!Q155,#N/A))</f>
        <v>#N/A</v>
      </c>
    </row>
    <row r="156" spans="1:22" x14ac:dyDescent="0.25">
      <c r="A156">
        <v>154</v>
      </c>
      <c r="B156">
        <f t="shared" ca="1" si="36"/>
        <v>154</v>
      </c>
      <c r="C156" t="str">
        <f t="shared" ca="1" si="36"/>
        <v>Total Hip ReplacementProviderROYAL SURREY COUNTY HOSPITAL NHS FOUNDATION TRUST (RA2)Oxford Hip Score</v>
      </c>
      <c r="D156" t="str">
        <f t="shared" ca="1" si="36"/>
        <v>Total Hip Replacement</v>
      </c>
      <c r="E156" t="str">
        <f t="shared" ca="1" si="36"/>
        <v>Provider</v>
      </c>
      <c r="F156" t="str">
        <f t="shared" ca="1" si="36"/>
        <v>RA2</v>
      </c>
      <c r="G156" t="str">
        <f t="shared" ca="1" si="36"/>
        <v>ROYAL SURREY COUNTY HOSPITAL NHS FOUNDATION TRUST (RA2)</v>
      </c>
      <c r="H156" t="str">
        <f t="shared" ca="1" si="36"/>
        <v>Oxford Hip Score</v>
      </c>
      <c r="I156">
        <f t="shared" ca="1" si="36"/>
        <v>80</v>
      </c>
      <c r="J156">
        <f t="shared" ca="1" si="36"/>
        <v>20.612500000000001</v>
      </c>
      <c r="K156">
        <f t="shared" ca="1" si="36"/>
        <v>40.012500000000003</v>
      </c>
      <c r="L156">
        <f t="shared" ca="1" si="37"/>
        <v>19.399999999999999</v>
      </c>
      <c r="M156">
        <f t="shared" ca="1" si="37"/>
        <v>73</v>
      </c>
      <c r="N156">
        <f t="shared" ca="1" si="37"/>
        <v>1</v>
      </c>
      <c r="O156">
        <f t="shared" ca="1" si="37"/>
        <v>6</v>
      </c>
      <c r="P156">
        <f t="shared" ca="1" si="37"/>
        <v>39.195</v>
      </c>
      <c r="Q156">
        <f t="shared" ca="1" si="37"/>
        <v>21.983499999999999</v>
      </c>
      <c r="R156">
        <f t="shared" ca="1" si="37"/>
        <v>8.1081800000000008</v>
      </c>
      <c r="S156">
        <f t="shared" ca="1" si="30"/>
        <v>80</v>
      </c>
      <c r="T156">
        <f t="shared" ca="1" si="31"/>
        <v>21.983499999999999</v>
      </c>
      <c r="U156" t="e">
        <f ca="1">IF(AND($C156='Funnel setup'!$K$3&amp;'Funnel setup'!$K$6&amp;'Funnel setup'!$K$7&amp;'Funnel setup'!$K$4,'Funnel Lookup'!I156="*",'Funnel Lookup'!I156="*"),#N/A,IF(AND($C156='Funnel setup'!$K$3&amp;'Funnel setup'!$K$6&amp;'Funnel setup'!$K$7&amp;'Funnel setup'!$K$4,'Funnel Lookup'!I156&gt;29,'Funnel Lookup'!I156&lt;&gt;"-"),'Funnel Lookup'!I156,#N/A))</f>
        <v>#N/A</v>
      </c>
      <c r="V156" t="e">
        <f ca="1">IF(AND($C156='Funnel setup'!$K$3&amp;'Funnel setup'!$K$6&amp;'Funnel setup'!$K$7&amp;'Funnel setup'!$K$4,'Funnel Lookup'!I156="*",'Funnel Lookup'!I156="*"),#N/A,IF(AND($C156='Funnel setup'!$K$3&amp;'Funnel setup'!$K$6&amp;'Funnel setup'!$K$7&amp;'Funnel setup'!$K$4,'Funnel Lookup'!I156&gt;29,'Funnel Lookup'!I156&lt;&gt;"-"),'Funnel Lookup'!Q156,#N/A))</f>
        <v>#N/A</v>
      </c>
    </row>
    <row r="157" spans="1:22" x14ac:dyDescent="0.25">
      <c r="A157">
        <v>155</v>
      </c>
      <c r="B157">
        <f t="shared" ca="1" si="36"/>
        <v>155</v>
      </c>
      <c r="C157" t="str">
        <f t="shared" ca="1" si="36"/>
        <v>Total Hip ReplacementProviderROYAL UNITED HOSPITALS BATH NHS FOUNDATION TRUST (RD1)Oxford Hip Score</v>
      </c>
      <c r="D157" t="str">
        <f t="shared" ca="1" si="36"/>
        <v>Total Hip Replacement</v>
      </c>
      <c r="E157" t="str">
        <f t="shared" ca="1" si="36"/>
        <v>Provider</v>
      </c>
      <c r="F157" t="str">
        <f t="shared" ca="1" si="36"/>
        <v>RD1</v>
      </c>
      <c r="G157" t="str">
        <f t="shared" ca="1" si="36"/>
        <v>ROYAL UNITED HOSPITALS BATH NHS FOUNDATION TRUST (RD1)</v>
      </c>
      <c r="H157" t="str">
        <f t="shared" ca="1" si="36"/>
        <v>Oxford Hip Score</v>
      </c>
      <c r="I157">
        <f t="shared" ca="1" si="36"/>
        <v>8</v>
      </c>
      <c r="J157">
        <f t="shared" ca="1" si="36"/>
        <v>16.125</v>
      </c>
      <c r="K157">
        <f t="shared" ca="1" si="36"/>
        <v>32.25</v>
      </c>
      <c r="L157">
        <f t="shared" ca="1" si="37"/>
        <v>16.125</v>
      </c>
      <c r="M157">
        <f t="shared" ca="1" si="37"/>
        <v>7</v>
      </c>
      <c r="N157">
        <f t="shared" ca="1" si="37"/>
        <v>0</v>
      </c>
      <c r="O157">
        <f t="shared" ca="1" si="37"/>
        <v>1</v>
      </c>
      <c r="P157" t="str">
        <f t="shared" ca="1" si="37"/>
        <v>*</v>
      </c>
      <c r="Q157" t="str">
        <f t="shared" ca="1" si="37"/>
        <v>*</v>
      </c>
      <c r="R157" t="str">
        <f t="shared" ca="1" si="37"/>
        <v>*</v>
      </c>
      <c r="S157" t="e">
        <f t="shared" ca="1" si="30"/>
        <v>#N/A</v>
      </c>
      <c r="T157" t="e">
        <f t="shared" ca="1" si="31"/>
        <v>#N/A</v>
      </c>
      <c r="U157" t="e">
        <f ca="1">IF(AND($C157='Funnel setup'!$K$3&amp;'Funnel setup'!$K$6&amp;'Funnel setup'!$K$7&amp;'Funnel setup'!$K$4,'Funnel Lookup'!I157="*",'Funnel Lookup'!I157="*"),#N/A,IF(AND($C157='Funnel setup'!$K$3&amp;'Funnel setup'!$K$6&amp;'Funnel setup'!$K$7&amp;'Funnel setup'!$K$4,'Funnel Lookup'!I157&gt;29,'Funnel Lookup'!I157&lt;&gt;"-"),'Funnel Lookup'!I157,#N/A))</f>
        <v>#N/A</v>
      </c>
      <c r="V157" t="e">
        <f ca="1">IF(AND($C157='Funnel setup'!$K$3&amp;'Funnel setup'!$K$6&amp;'Funnel setup'!$K$7&amp;'Funnel setup'!$K$4,'Funnel Lookup'!I157="*",'Funnel Lookup'!I157="*"),#N/A,IF(AND($C157='Funnel setup'!$K$3&amp;'Funnel setup'!$K$6&amp;'Funnel setup'!$K$7&amp;'Funnel setup'!$K$4,'Funnel Lookup'!I157&gt;29,'Funnel Lookup'!I157&lt;&gt;"-"),'Funnel Lookup'!Q157,#N/A))</f>
        <v>#N/A</v>
      </c>
    </row>
    <row r="158" spans="1:22" x14ac:dyDescent="0.25">
      <c r="A158">
        <v>156</v>
      </c>
      <c r="B158">
        <f t="shared" ca="1" si="36"/>
        <v>156</v>
      </c>
      <c r="C158" t="str">
        <f t="shared" ca="1" si="36"/>
        <v>Total Hip ReplacementProviderRUNNYMEDE HOSPITAL (NT431)Oxford Hip Score</v>
      </c>
      <c r="D158" t="str">
        <f t="shared" ca="1" si="36"/>
        <v>Total Hip Replacement</v>
      </c>
      <c r="E158" t="str">
        <f t="shared" ca="1" si="36"/>
        <v>Provider</v>
      </c>
      <c r="F158" t="str">
        <f t="shared" ca="1" si="36"/>
        <v>NT431</v>
      </c>
      <c r="G158" t="str">
        <f t="shared" ca="1" si="36"/>
        <v>RUNNYMEDE HOSPITAL (NT431)</v>
      </c>
      <c r="H158" t="str">
        <f t="shared" ca="1" si="36"/>
        <v>Oxford Hip Score</v>
      </c>
      <c r="I158">
        <f t="shared" ca="1" si="36"/>
        <v>6</v>
      </c>
      <c r="J158">
        <f t="shared" ca="1" si="36"/>
        <v>21.333300000000001</v>
      </c>
      <c r="K158">
        <f t="shared" ca="1" si="36"/>
        <v>46.5</v>
      </c>
      <c r="L158">
        <f t="shared" ca="1" si="37"/>
        <v>25.166699999999999</v>
      </c>
      <c r="M158">
        <f t="shared" ca="1" si="37"/>
        <v>6</v>
      </c>
      <c r="N158">
        <f t="shared" ca="1" si="37"/>
        <v>0</v>
      </c>
      <c r="O158">
        <f t="shared" ca="1" si="37"/>
        <v>0</v>
      </c>
      <c r="P158" t="str">
        <f t="shared" ca="1" si="37"/>
        <v>*</v>
      </c>
      <c r="Q158" t="str">
        <f t="shared" ca="1" si="37"/>
        <v>*</v>
      </c>
      <c r="R158" t="str">
        <f t="shared" ca="1" si="37"/>
        <v>*</v>
      </c>
      <c r="S158" t="e">
        <f t="shared" ca="1" si="30"/>
        <v>#N/A</v>
      </c>
      <c r="T158" t="e">
        <f t="shared" ca="1" si="31"/>
        <v>#N/A</v>
      </c>
      <c r="U158" t="e">
        <f ca="1">IF(AND($C158='Funnel setup'!$K$3&amp;'Funnel setup'!$K$6&amp;'Funnel setup'!$K$7&amp;'Funnel setup'!$K$4,'Funnel Lookup'!I158="*",'Funnel Lookup'!I158="*"),#N/A,IF(AND($C158='Funnel setup'!$K$3&amp;'Funnel setup'!$K$6&amp;'Funnel setup'!$K$7&amp;'Funnel setup'!$K$4,'Funnel Lookup'!I158&gt;29,'Funnel Lookup'!I158&lt;&gt;"-"),'Funnel Lookup'!I158,#N/A))</f>
        <v>#N/A</v>
      </c>
      <c r="V158" t="e">
        <f ca="1">IF(AND($C158='Funnel setup'!$K$3&amp;'Funnel setup'!$K$6&amp;'Funnel setup'!$K$7&amp;'Funnel setup'!$K$4,'Funnel Lookup'!I158="*",'Funnel Lookup'!I158="*"),#N/A,IF(AND($C158='Funnel setup'!$K$3&amp;'Funnel setup'!$K$6&amp;'Funnel setup'!$K$7&amp;'Funnel setup'!$K$4,'Funnel Lookup'!I158&gt;29,'Funnel Lookup'!I158&lt;&gt;"-"),'Funnel Lookup'!Q158,#N/A))</f>
        <v>#N/A</v>
      </c>
    </row>
    <row r="159" spans="1:22" x14ac:dyDescent="0.25">
      <c r="A159">
        <v>157</v>
      </c>
      <c r="B159">
        <f t="shared" ca="1" si="36"/>
        <v>157</v>
      </c>
      <c r="C159" t="str">
        <f t="shared" ca="1" si="36"/>
        <v>Total Hip ReplacementProviderSALISBURY NHS FOUNDATION TRUST (RNZ)Oxford Hip Score</v>
      </c>
      <c r="D159" t="str">
        <f t="shared" ca="1" si="36"/>
        <v>Total Hip Replacement</v>
      </c>
      <c r="E159" t="str">
        <f t="shared" ca="1" si="36"/>
        <v>Provider</v>
      </c>
      <c r="F159" t="str">
        <f t="shared" ca="1" si="36"/>
        <v>RNZ</v>
      </c>
      <c r="G159" t="str">
        <f t="shared" ca="1" si="36"/>
        <v>SALISBURY NHS FOUNDATION TRUST (RNZ)</v>
      </c>
      <c r="H159" t="str">
        <f t="shared" ca="1" si="36"/>
        <v>Oxford Hip Score</v>
      </c>
      <c r="I159">
        <f t="shared" ca="1" si="36"/>
        <v>3</v>
      </c>
      <c r="J159">
        <f t="shared" ca="1" si="36"/>
        <v>12.333299999999999</v>
      </c>
      <c r="K159">
        <f t="shared" ca="1" si="36"/>
        <v>42.333300000000001</v>
      </c>
      <c r="L159">
        <f t="shared" ca="1" si="37"/>
        <v>30</v>
      </c>
      <c r="M159">
        <f t="shared" ca="1" si="37"/>
        <v>3</v>
      </c>
      <c r="N159">
        <f t="shared" ca="1" si="37"/>
        <v>0</v>
      </c>
      <c r="O159">
        <f t="shared" ca="1" si="37"/>
        <v>0</v>
      </c>
      <c r="P159" t="str">
        <f t="shared" ca="1" si="37"/>
        <v>*</v>
      </c>
      <c r="Q159" t="str">
        <f t="shared" ca="1" si="37"/>
        <v>*</v>
      </c>
      <c r="R159" t="str">
        <f t="shared" ca="1" si="37"/>
        <v>*</v>
      </c>
      <c r="S159" t="e">
        <f t="shared" ca="1" si="30"/>
        <v>#N/A</v>
      </c>
      <c r="T159" t="e">
        <f t="shared" ca="1" si="31"/>
        <v>#N/A</v>
      </c>
      <c r="U159" t="e">
        <f ca="1">IF(AND($C159='Funnel setup'!$K$3&amp;'Funnel setup'!$K$6&amp;'Funnel setup'!$K$7&amp;'Funnel setup'!$K$4,'Funnel Lookup'!I159="*",'Funnel Lookup'!I159="*"),#N/A,IF(AND($C159='Funnel setup'!$K$3&amp;'Funnel setup'!$K$6&amp;'Funnel setup'!$K$7&amp;'Funnel setup'!$K$4,'Funnel Lookup'!I159&gt;29,'Funnel Lookup'!I159&lt;&gt;"-"),'Funnel Lookup'!I159,#N/A))</f>
        <v>#N/A</v>
      </c>
      <c r="V159" t="e">
        <f ca="1">IF(AND($C159='Funnel setup'!$K$3&amp;'Funnel setup'!$K$6&amp;'Funnel setup'!$K$7&amp;'Funnel setup'!$K$4,'Funnel Lookup'!I159="*",'Funnel Lookup'!I159="*"),#N/A,IF(AND($C159='Funnel setup'!$K$3&amp;'Funnel setup'!$K$6&amp;'Funnel setup'!$K$7&amp;'Funnel setup'!$K$4,'Funnel Lookup'!I159&gt;29,'Funnel Lookup'!I159&lt;&gt;"-"),'Funnel Lookup'!Q159,#N/A))</f>
        <v>#N/A</v>
      </c>
    </row>
    <row r="160" spans="1:22" x14ac:dyDescent="0.25">
      <c r="A160">
        <v>158</v>
      </c>
      <c r="B160">
        <f t="shared" ca="1" si="36"/>
        <v>158</v>
      </c>
      <c r="C160" t="str">
        <f t="shared" ca="1" si="36"/>
        <v>Total Hip ReplacementProviderSANDWELL AND WEST BIRMINGHAM HOSPITALS NHS TRUST (RXK)Oxford Hip Score</v>
      </c>
      <c r="D160" t="str">
        <f t="shared" ca="1" si="36"/>
        <v>Total Hip Replacement</v>
      </c>
      <c r="E160" t="str">
        <f t="shared" ca="1" si="36"/>
        <v>Provider</v>
      </c>
      <c r="F160" t="str">
        <f t="shared" ca="1" si="36"/>
        <v>RXK</v>
      </c>
      <c r="G160" t="str">
        <f t="shared" ca="1" si="36"/>
        <v>SANDWELL AND WEST BIRMINGHAM HOSPITALS NHS TRUST (RXK)</v>
      </c>
      <c r="H160" t="str">
        <f t="shared" ca="1" si="36"/>
        <v>Oxford Hip Score</v>
      </c>
      <c r="I160">
        <f t="shared" ca="1" si="36"/>
        <v>44</v>
      </c>
      <c r="J160">
        <f t="shared" ca="1" si="36"/>
        <v>12.431800000000001</v>
      </c>
      <c r="K160">
        <f t="shared" ca="1" si="36"/>
        <v>36.681800000000003</v>
      </c>
      <c r="L160">
        <f t="shared" ca="1" si="37"/>
        <v>24.25</v>
      </c>
      <c r="M160">
        <f t="shared" ca="1" si="37"/>
        <v>44</v>
      </c>
      <c r="N160">
        <f t="shared" ca="1" si="37"/>
        <v>0</v>
      </c>
      <c r="O160">
        <f t="shared" ca="1" si="37"/>
        <v>0</v>
      </c>
      <c r="P160">
        <f t="shared" ca="1" si="37"/>
        <v>40.477699999999999</v>
      </c>
      <c r="Q160">
        <f t="shared" ca="1" si="37"/>
        <v>23.266300000000001</v>
      </c>
      <c r="R160">
        <f t="shared" ca="1" si="37"/>
        <v>9.1951300000000007</v>
      </c>
      <c r="S160">
        <f t="shared" ca="1" si="30"/>
        <v>44</v>
      </c>
      <c r="T160">
        <f t="shared" ca="1" si="31"/>
        <v>23.266300000000001</v>
      </c>
      <c r="U160" t="e">
        <f ca="1">IF(AND($C160='Funnel setup'!$K$3&amp;'Funnel setup'!$K$6&amp;'Funnel setup'!$K$7&amp;'Funnel setup'!$K$4,'Funnel Lookup'!I160="*",'Funnel Lookup'!I160="*"),#N/A,IF(AND($C160='Funnel setup'!$K$3&amp;'Funnel setup'!$K$6&amp;'Funnel setup'!$K$7&amp;'Funnel setup'!$K$4,'Funnel Lookup'!I160&gt;29,'Funnel Lookup'!I160&lt;&gt;"-"),'Funnel Lookup'!I160,#N/A))</f>
        <v>#N/A</v>
      </c>
      <c r="V160" t="e">
        <f ca="1">IF(AND($C160='Funnel setup'!$K$3&amp;'Funnel setup'!$K$6&amp;'Funnel setup'!$K$7&amp;'Funnel setup'!$K$4,'Funnel Lookup'!I160="*",'Funnel Lookup'!I160="*"),#N/A,IF(AND($C160='Funnel setup'!$K$3&amp;'Funnel setup'!$K$6&amp;'Funnel setup'!$K$7&amp;'Funnel setup'!$K$4,'Funnel Lookup'!I160&gt;29,'Funnel Lookup'!I160&lt;&gt;"-"),'Funnel Lookup'!Q160,#N/A))</f>
        <v>#N/A</v>
      </c>
    </row>
    <row r="161" spans="1:22" x14ac:dyDescent="0.25">
      <c r="A161">
        <v>159</v>
      </c>
      <c r="B161">
        <f t="shared" ca="1" si="36"/>
        <v>159</v>
      </c>
      <c r="C161" t="str">
        <f t="shared" ca="1" si="36"/>
        <v>Total Hip ReplacementProviderSARUM ROAD HOSPITAL (NT433)Oxford Hip Score</v>
      </c>
      <c r="D161" t="str">
        <f t="shared" ca="1" si="36"/>
        <v>Total Hip Replacement</v>
      </c>
      <c r="E161" t="str">
        <f t="shared" ca="1" si="36"/>
        <v>Provider</v>
      </c>
      <c r="F161" t="str">
        <f t="shared" ca="1" si="36"/>
        <v>NT433</v>
      </c>
      <c r="G161" t="str">
        <f t="shared" ca="1" si="36"/>
        <v>SARUM ROAD HOSPITAL (NT433)</v>
      </c>
      <c r="H161" t="str">
        <f t="shared" ca="1" si="36"/>
        <v>Oxford Hip Score</v>
      </c>
      <c r="I161">
        <f t="shared" ca="1" si="36"/>
        <v>36</v>
      </c>
      <c r="J161">
        <f t="shared" ca="1" si="36"/>
        <v>21.416699999999999</v>
      </c>
      <c r="K161">
        <f t="shared" ca="1" si="36"/>
        <v>43</v>
      </c>
      <c r="L161">
        <f t="shared" ca="1" si="37"/>
        <v>21.583300000000001</v>
      </c>
      <c r="M161">
        <f t="shared" ca="1" si="37"/>
        <v>36</v>
      </c>
      <c r="N161">
        <f t="shared" ca="1" si="37"/>
        <v>0</v>
      </c>
      <c r="O161">
        <f t="shared" ca="1" si="37"/>
        <v>0</v>
      </c>
      <c r="P161">
        <f t="shared" ca="1" si="37"/>
        <v>39.578699999999998</v>
      </c>
      <c r="Q161">
        <f t="shared" ca="1" si="37"/>
        <v>22.3673</v>
      </c>
      <c r="R161">
        <f t="shared" ca="1" si="37"/>
        <v>4.9612400000000001</v>
      </c>
      <c r="S161">
        <f t="shared" ca="1" si="30"/>
        <v>36</v>
      </c>
      <c r="T161">
        <f t="shared" ca="1" si="31"/>
        <v>22.3673</v>
      </c>
      <c r="U161" t="e">
        <f ca="1">IF(AND($C161='Funnel setup'!$K$3&amp;'Funnel setup'!$K$6&amp;'Funnel setup'!$K$7&amp;'Funnel setup'!$K$4,'Funnel Lookup'!I161="*",'Funnel Lookup'!I161="*"),#N/A,IF(AND($C161='Funnel setup'!$K$3&amp;'Funnel setup'!$K$6&amp;'Funnel setup'!$K$7&amp;'Funnel setup'!$K$4,'Funnel Lookup'!I161&gt;29,'Funnel Lookup'!I161&lt;&gt;"-"),'Funnel Lookup'!I161,#N/A))</f>
        <v>#N/A</v>
      </c>
      <c r="V161" t="e">
        <f ca="1">IF(AND($C161='Funnel setup'!$K$3&amp;'Funnel setup'!$K$6&amp;'Funnel setup'!$K$7&amp;'Funnel setup'!$K$4,'Funnel Lookup'!I161="*",'Funnel Lookup'!I161="*"),#N/A,IF(AND($C161='Funnel setup'!$K$3&amp;'Funnel setup'!$K$6&amp;'Funnel setup'!$K$7&amp;'Funnel setup'!$K$4,'Funnel Lookup'!I161&gt;29,'Funnel Lookup'!I161&lt;&gt;"-"),'Funnel Lookup'!Q161,#N/A))</f>
        <v>#N/A</v>
      </c>
    </row>
    <row r="162" spans="1:22" x14ac:dyDescent="0.25">
      <c r="A162">
        <v>160</v>
      </c>
      <c r="B162">
        <f t="shared" ca="1" si="36"/>
        <v>160</v>
      </c>
      <c r="C162" t="str">
        <f t="shared" ca="1" si="36"/>
        <v>Total Hip ReplacementProviderSAXON CLINIC (NT434)Oxford Hip Score</v>
      </c>
      <c r="D162" t="str">
        <f t="shared" ca="1" si="36"/>
        <v>Total Hip Replacement</v>
      </c>
      <c r="E162" t="str">
        <f t="shared" ca="1" si="36"/>
        <v>Provider</v>
      </c>
      <c r="F162" t="str">
        <f t="shared" ca="1" si="36"/>
        <v>NT434</v>
      </c>
      <c r="G162" t="str">
        <f t="shared" ca="1" si="36"/>
        <v>SAXON CLINIC (NT434)</v>
      </c>
      <c r="H162" t="str">
        <f t="shared" ca="1" si="36"/>
        <v>Oxford Hip Score</v>
      </c>
      <c r="I162">
        <f t="shared" ca="1" si="36"/>
        <v>19</v>
      </c>
      <c r="J162">
        <f t="shared" ca="1" si="36"/>
        <v>16.947399999999998</v>
      </c>
      <c r="K162">
        <f t="shared" ca="1" si="36"/>
        <v>43.736800000000002</v>
      </c>
      <c r="L162">
        <f t="shared" ca="1" si="37"/>
        <v>26.7895</v>
      </c>
      <c r="M162">
        <f t="shared" ca="1" si="37"/>
        <v>19</v>
      </c>
      <c r="N162">
        <f t="shared" ca="1" si="37"/>
        <v>0</v>
      </c>
      <c r="O162">
        <f t="shared" ca="1" si="37"/>
        <v>0</v>
      </c>
      <c r="P162" t="str">
        <f t="shared" ca="1" si="37"/>
        <v>*</v>
      </c>
      <c r="Q162" t="str">
        <f t="shared" ca="1" si="37"/>
        <v>*</v>
      </c>
      <c r="R162" t="str">
        <f t="shared" ca="1" si="37"/>
        <v>*</v>
      </c>
      <c r="S162" t="e">
        <f t="shared" ca="1" si="30"/>
        <v>#N/A</v>
      </c>
      <c r="T162" t="e">
        <f t="shared" ca="1" si="31"/>
        <v>#N/A</v>
      </c>
      <c r="U162" t="e">
        <f ca="1">IF(AND($C162='Funnel setup'!$K$3&amp;'Funnel setup'!$K$6&amp;'Funnel setup'!$K$7&amp;'Funnel setup'!$K$4,'Funnel Lookup'!I162="*",'Funnel Lookup'!I162="*"),#N/A,IF(AND($C162='Funnel setup'!$K$3&amp;'Funnel setup'!$K$6&amp;'Funnel setup'!$K$7&amp;'Funnel setup'!$K$4,'Funnel Lookup'!I162&gt;29,'Funnel Lookup'!I162&lt;&gt;"-"),'Funnel Lookup'!I162,#N/A))</f>
        <v>#N/A</v>
      </c>
      <c r="V162" t="e">
        <f ca="1">IF(AND($C162='Funnel setup'!$K$3&amp;'Funnel setup'!$K$6&amp;'Funnel setup'!$K$7&amp;'Funnel setup'!$K$4,'Funnel Lookup'!I162="*",'Funnel Lookup'!I162="*"),#N/A,IF(AND($C162='Funnel setup'!$K$3&amp;'Funnel setup'!$K$6&amp;'Funnel setup'!$K$7&amp;'Funnel setup'!$K$4,'Funnel Lookup'!I162&gt;29,'Funnel Lookup'!I162&lt;&gt;"-"),'Funnel Lookup'!Q162,#N/A))</f>
        <v>#N/A</v>
      </c>
    </row>
    <row r="163" spans="1:22" x14ac:dyDescent="0.25">
      <c r="A163">
        <v>161</v>
      </c>
      <c r="B163">
        <f t="shared" ref="B163:K172" ca="1" si="38">VLOOKUP($A163,Funnel_Data,B$1,FALSE)</f>
        <v>161</v>
      </c>
      <c r="C163" t="str">
        <f t="shared" ca="1" si="38"/>
        <v>Total Hip ReplacementProviderSHEFFIELD TEACHING HOSPITALS NHS FOUNDATION TRUST (RHQ)Oxford Hip Score</v>
      </c>
      <c r="D163" t="str">
        <f t="shared" ca="1" si="38"/>
        <v>Total Hip Replacement</v>
      </c>
      <c r="E163" t="str">
        <f t="shared" ca="1" si="38"/>
        <v>Provider</v>
      </c>
      <c r="F163" t="str">
        <f t="shared" ca="1" si="38"/>
        <v>RHQ</v>
      </c>
      <c r="G163" t="str">
        <f t="shared" ca="1" si="38"/>
        <v>SHEFFIELD TEACHING HOSPITALS NHS FOUNDATION TRUST (RHQ)</v>
      </c>
      <c r="H163" t="str">
        <f t="shared" ca="1" si="38"/>
        <v>Oxford Hip Score</v>
      </c>
      <c r="I163">
        <f t="shared" ca="1" si="38"/>
        <v>34</v>
      </c>
      <c r="J163">
        <f t="shared" ca="1" si="38"/>
        <v>18.235299999999999</v>
      </c>
      <c r="K163">
        <f t="shared" ca="1" si="38"/>
        <v>39.970599999999997</v>
      </c>
      <c r="L163">
        <f t="shared" ref="L163:R172" ca="1" si="39">VLOOKUP($A163,Funnel_Data,L$1,FALSE)</f>
        <v>21.735299999999999</v>
      </c>
      <c r="M163">
        <f t="shared" ca="1" si="39"/>
        <v>33</v>
      </c>
      <c r="N163">
        <f t="shared" ca="1" si="39"/>
        <v>0</v>
      </c>
      <c r="O163">
        <f t="shared" ca="1" si="39"/>
        <v>1</v>
      </c>
      <c r="P163">
        <f t="shared" ca="1" si="39"/>
        <v>38.875599999999999</v>
      </c>
      <c r="Q163">
        <f t="shared" ca="1" si="39"/>
        <v>21.664100000000001</v>
      </c>
      <c r="R163">
        <f t="shared" ca="1" si="39"/>
        <v>9.3816199999999998</v>
      </c>
      <c r="S163">
        <f t="shared" ca="1" si="30"/>
        <v>34</v>
      </c>
      <c r="T163">
        <f t="shared" ca="1" si="31"/>
        <v>21.664100000000001</v>
      </c>
      <c r="U163" t="e">
        <f ca="1">IF(AND($C163='Funnel setup'!$K$3&amp;'Funnel setup'!$K$6&amp;'Funnel setup'!$K$7&amp;'Funnel setup'!$K$4,'Funnel Lookup'!I163="*",'Funnel Lookup'!I163="*"),#N/A,IF(AND($C163='Funnel setup'!$K$3&amp;'Funnel setup'!$K$6&amp;'Funnel setup'!$K$7&amp;'Funnel setup'!$K$4,'Funnel Lookup'!I163&gt;29,'Funnel Lookup'!I163&lt;&gt;"-"),'Funnel Lookup'!I163,#N/A))</f>
        <v>#N/A</v>
      </c>
      <c r="V163" t="e">
        <f ca="1">IF(AND($C163='Funnel setup'!$K$3&amp;'Funnel setup'!$K$6&amp;'Funnel setup'!$K$7&amp;'Funnel setup'!$K$4,'Funnel Lookup'!I163="*",'Funnel Lookup'!I163="*"),#N/A,IF(AND($C163='Funnel setup'!$K$3&amp;'Funnel setup'!$K$6&amp;'Funnel setup'!$K$7&amp;'Funnel setup'!$K$4,'Funnel Lookup'!I163&gt;29,'Funnel Lookup'!I163&lt;&gt;"-"),'Funnel Lookup'!Q163,#N/A))</f>
        <v>#N/A</v>
      </c>
    </row>
    <row r="164" spans="1:22" x14ac:dyDescent="0.25">
      <c r="A164">
        <v>162</v>
      </c>
      <c r="B164">
        <f t="shared" ca="1" si="38"/>
        <v>162</v>
      </c>
      <c r="C164" t="str">
        <f t="shared" ca="1" si="38"/>
        <v>Total Hip ReplacementProviderSHERWOOD FOREST HOSPITALS NHS FOUNDATION TRUST (RK5)Oxford Hip Score</v>
      </c>
      <c r="D164" t="str">
        <f t="shared" ca="1" si="38"/>
        <v>Total Hip Replacement</v>
      </c>
      <c r="E164" t="str">
        <f t="shared" ca="1" si="38"/>
        <v>Provider</v>
      </c>
      <c r="F164" t="str">
        <f t="shared" ca="1" si="38"/>
        <v>RK5</v>
      </c>
      <c r="G164" t="str">
        <f t="shared" ca="1" si="38"/>
        <v>SHERWOOD FOREST HOSPITALS NHS FOUNDATION TRUST (RK5)</v>
      </c>
      <c r="H164" t="str">
        <f t="shared" ca="1" si="38"/>
        <v>Oxford Hip Score</v>
      </c>
      <c r="I164">
        <f t="shared" ca="1" si="38"/>
        <v>77</v>
      </c>
      <c r="J164">
        <f t="shared" ca="1" si="38"/>
        <v>14.7662</v>
      </c>
      <c r="K164">
        <f t="shared" ca="1" si="38"/>
        <v>39.207799999999999</v>
      </c>
      <c r="L164">
        <f t="shared" ca="1" si="39"/>
        <v>24.441600000000001</v>
      </c>
      <c r="M164">
        <f t="shared" ca="1" si="39"/>
        <v>76</v>
      </c>
      <c r="N164">
        <f t="shared" ca="1" si="39"/>
        <v>1</v>
      </c>
      <c r="O164">
        <f t="shared" ca="1" si="39"/>
        <v>0</v>
      </c>
      <c r="P164">
        <f t="shared" ca="1" si="39"/>
        <v>40.757800000000003</v>
      </c>
      <c r="Q164">
        <f t="shared" ca="1" si="39"/>
        <v>23.546399999999998</v>
      </c>
      <c r="R164">
        <f t="shared" ca="1" si="39"/>
        <v>7.9378700000000002</v>
      </c>
      <c r="S164">
        <f t="shared" ca="1" si="30"/>
        <v>77</v>
      </c>
      <c r="T164">
        <f t="shared" ca="1" si="31"/>
        <v>23.546399999999998</v>
      </c>
      <c r="U164" t="e">
        <f ca="1">IF(AND($C164='Funnel setup'!$K$3&amp;'Funnel setup'!$K$6&amp;'Funnel setup'!$K$7&amp;'Funnel setup'!$K$4,'Funnel Lookup'!I164="*",'Funnel Lookup'!I164="*"),#N/A,IF(AND($C164='Funnel setup'!$K$3&amp;'Funnel setup'!$K$6&amp;'Funnel setup'!$K$7&amp;'Funnel setup'!$K$4,'Funnel Lookup'!I164&gt;29,'Funnel Lookup'!I164&lt;&gt;"-"),'Funnel Lookup'!I164,#N/A))</f>
        <v>#N/A</v>
      </c>
      <c r="V164" t="e">
        <f ca="1">IF(AND($C164='Funnel setup'!$K$3&amp;'Funnel setup'!$K$6&amp;'Funnel setup'!$K$7&amp;'Funnel setup'!$K$4,'Funnel Lookup'!I164="*",'Funnel Lookup'!I164="*"),#N/A,IF(AND($C164='Funnel setup'!$K$3&amp;'Funnel setup'!$K$6&amp;'Funnel setup'!$K$7&amp;'Funnel setup'!$K$4,'Funnel Lookup'!I164&gt;29,'Funnel Lookup'!I164&lt;&gt;"-"),'Funnel Lookup'!Q164,#N/A))</f>
        <v>#N/A</v>
      </c>
    </row>
    <row r="165" spans="1:22" x14ac:dyDescent="0.25">
      <c r="A165">
        <v>163</v>
      </c>
      <c r="B165">
        <f t="shared" ca="1" si="38"/>
        <v>163</v>
      </c>
      <c r="C165" t="str">
        <f t="shared" ca="1" si="38"/>
        <v>Total Hip ReplacementProviderSHIRLEY OAKS HOSPITAL (NT436)Oxford Hip Score</v>
      </c>
      <c r="D165" t="str">
        <f t="shared" ca="1" si="38"/>
        <v>Total Hip Replacement</v>
      </c>
      <c r="E165" t="str">
        <f t="shared" ca="1" si="38"/>
        <v>Provider</v>
      </c>
      <c r="F165" t="str">
        <f t="shared" ca="1" si="38"/>
        <v>NT436</v>
      </c>
      <c r="G165" t="str">
        <f t="shared" ca="1" si="38"/>
        <v>SHIRLEY OAKS HOSPITAL (NT436)</v>
      </c>
      <c r="H165" t="str">
        <f t="shared" ca="1" si="38"/>
        <v>Oxford Hip Score</v>
      </c>
      <c r="I165">
        <f t="shared" ca="1" si="38"/>
        <v>2</v>
      </c>
      <c r="J165">
        <f t="shared" ca="1" si="38"/>
        <v>24.5</v>
      </c>
      <c r="K165">
        <f t="shared" ca="1" si="38"/>
        <v>25</v>
      </c>
      <c r="L165">
        <f t="shared" ca="1" si="39"/>
        <v>0.5</v>
      </c>
      <c r="M165">
        <f t="shared" ca="1" si="39"/>
        <v>1</v>
      </c>
      <c r="N165">
        <f t="shared" ca="1" si="39"/>
        <v>0</v>
      </c>
      <c r="O165">
        <f t="shared" ca="1" si="39"/>
        <v>1</v>
      </c>
      <c r="P165" t="str">
        <f t="shared" ca="1" si="39"/>
        <v>*</v>
      </c>
      <c r="Q165" t="str">
        <f t="shared" ca="1" si="39"/>
        <v>*</v>
      </c>
      <c r="R165" t="str">
        <f t="shared" ca="1" si="39"/>
        <v>*</v>
      </c>
      <c r="S165" t="e">
        <f t="shared" ca="1" si="30"/>
        <v>#N/A</v>
      </c>
      <c r="T165" t="e">
        <f t="shared" ca="1" si="31"/>
        <v>#N/A</v>
      </c>
      <c r="U165" t="e">
        <f ca="1">IF(AND($C165='Funnel setup'!$K$3&amp;'Funnel setup'!$K$6&amp;'Funnel setup'!$K$7&amp;'Funnel setup'!$K$4,'Funnel Lookup'!I165="*",'Funnel Lookup'!I165="*"),#N/A,IF(AND($C165='Funnel setup'!$K$3&amp;'Funnel setup'!$K$6&amp;'Funnel setup'!$K$7&amp;'Funnel setup'!$K$4,'Funnel Lookup'!I165&gt;29,'Funnel Lookup'!I165&lt;&gt;"-"),'Funnel Lookup'!I165,#N/A))</f>
        <v>#N/A</v>
      </c>
      <c r="V165" t="e">
        <f ca="1">IF(AND($C165='Funnel setup'!$K$3&amp;'Funnel setup'!$K$6&amp;'Funnel setup'!$K$7&amp;'Funnel setup'!$K$4,'Funnel Lookup'!I165="*",'Funnel Lookup'!I165="*"),#N/A,IF(AND($C165='Funnel setup'!$K$3&amp;'Funnel setup'!$K$6&amp;'Funnel setup'!$K$7&amp;'Funnel setup'!$K$4,'Funnel Lookup'!I165&gt;29,'Funnel Lookup'!I165&lt;&gt;"-"),'Funnel Lookup'!Q165,#N/A))</f>
        <v>#N/A</v>
      </c>
    </row>
    <row r="166" spans="1:22" x14ac:dyDescent="0.25">
      <c r="A166">
        <v>164</v>
      </c>
      <c r="B166">
        <f t="shared" ca="1" si="38"/>
        <v>164</v>
      </c>
      <c r="C166" t="str">
        <f t="shared" ca="1" si="38"/>
        <v>Total Hip ReplacementProviderSLOANE HOSPITAL (NT437)Oxford Hip Score</v>
      </c>
      <c r="D166" t="str">
        <f t="shared" ca="1" si="38"/>
        <v>Total Hip Replacement</v>
      </c>
      <c r="E166" t="str">
        <f t="shared" ca="1" si="38"/>
        <v>Provider</v>
      </c>
      <c r="F166" t="str">
        <f t="shared" ca="1" si="38"/>
        <v>NT437</v>
      </c>
      <c r="G166" t="str">
        <f t="shared" ca="1" si="38"/>
        <v>SLOANE HOSPITAL (NT437)</v>
      </c>
      <c r="H166" t="str">
        <f t="shared" ca="1" si="38"/>
        <v>Oxford Hip Score</v>
      </c>
      <c r="I166">
        <f t="shared" ca="1" si="38"/>
        <v>2</v>
      </c>
      <c r="J166">
        <f t="shared" ca="1" si="38"/>
        <v>12</v>
      </c>
      <c r="K166">
        <f t="shared" ca="1" si="38"/>
        <v>46</v>
      </c>
      <c r="L166">
        <f t="shared" ca="1" si="39"/>
        <v>34</v>
      </c>
      <c r="M166">
        <f t="shared" ca="1" si="39"/>
        <v>2</v>
      </c>
      <c r="N166">
        <f t="shared" ca="1" si="39"/>
        <v>0</v>
      </c>
      <c r="O166">
        <f t="shared" ca="1" si="39"/>
        <v>0</v>
      </c>
      <c r="P166" t="str">
        <f t="shared" ca="1" si="39"/>
        <v>*</v>
      </c>
      <c r="Q166" t="str">
        <f t="shared" ca="1" si="39"/>
        <v>*</v>
      </c>
      <c r="R166" t="str">
        <f t="shared" ca="1" si="39"/>
        <v>*</v>
      </c>
      <c r="S166" t="e">
        <f t="shared" ca="1" si="30"/>
        <v>#N/A</v>
      </c>
      <c r="T166" t="e">
        <f t="shared" ca="1" si="31"/>
        <v>#N/A</v>
      </c>
      <c r="U166" t="e">
        <f ca="1">IF(AND($C166='Funnel setup'!$K$3&amp;'Funnel setup'!$K$6&amp;'Funnel setup'!$K$7&amp;'Funnel setup'!$K$4,'Funnel Lookup'!I166="*",'Funnel Lookup'!I166="*"),#N/A,IF(AND($C166='Funnel setup'!$K$3&amp;'Funnel setup'!$K$6&amp;'Funnel setup'!$K$7&amp;'Funnel setup'!$K$4,'Funnel Lookup'!I166&gt;29,'Funnel Lookup'!I166&lt;&gt;"-"),'Funnel Lookup'!I166,#N/A))</f>
        <v>#N/A</v>
      </c>
      <c r="V166" t="e">
        <f ca="1">IF(AND($C166='Funnel setup'!$K$3&amp;'Funnel setup'!$K$6&amp;'Funnel setup'!$K$7&amp;'Funnel setup'!$K$4,'Funnel Lookup'!I166="*",'Funnel Lookup'!I166="*"),#N/A,IF(AND($C166='Funnel setup'!$K$3&amp;'Funnel setup'!$K$6&amp;'Funnel setup'!$K$7&amp;'Funnel setup'!$K$4,'Funnel Lookup'!I166&gt;29,'Funnel Lookup'!I166&lt;&gt;"-"),'Funnel Lookup'!Q166,#N/A))</f>
        <v>#N/A</v>
      </c>
    </row>
    <row r="167" spans="1:22" x14ac:dyDescent="0.25">
      <c r="A167">
        <v>165</v>
      </c>
      <c r="B167">
        <f t="shared" ca="1" si="38"/>
        <v>165</v>
      </c>
      <c r="C167" t="str">
        <f t="shared" ca="1" si="38"/>
        <v>Total Hip ReplacementProviderSOUTH TEES HOSPITALS NHS FOUNDATION TRUST (RTR)Oxford Hip Score</v>
      </c>
      <c r="D167" t="str">
        <f t="shared" ca="1" si="38"/>
        <v>Total Hip Replacement</v>
      </c>
      <c r="E167" t="str">
        <f t="shared" ca="1" si="38"/>
        <v>Provider</v>
      </c>
      <c r="F167" t="str">
        <f t="shared" ca="1" si="38"/>
        <v>RTR</v>
      </c>
      <c r="G167" t="str">
        <f t="shared" ca="1" si="38"/>
        <v>SOUTH TEES HOSPITALS NHS FOUNDATION TRUST (RTR)</v>
      </c>
      <c r="H167" t="str">
        <f t="shared" ca="1" si="38"/>
        <v>Oxford Hip Score</v>
      </c>
      <c r="I167">
        <f t="shared" ca="1" si="38"/>
        <v>192</v>
      </c>
      <c r="J167">
        <f t="shared" ca="1" si="38"/>
        <v>13.974</v>
      </c>
      <c r="K167">
        <f t="shared" ca="1" si="38"/>
        <v>38.677100000000003</v>
      </c>
      <c r="L167">
        <f t="shared" ca="1" si="39"/>
        <v>24.703099999999999</v>
      </c>
      <c r="M167">
        <f t="shared" ca="1" si="39"/>
        <v>188</v>
      </c>
      <c r="N167">
        <f t="shared" ca="1" si="39"/>
        <v>0</v>
      </c>
      <c r="O167">
        <f t="shared" ca="1" si="39"/>
        <v>4</v>
      </c>
      <c r="P167">
        <f t="shared" ca="1" si="39"/>
        <v>41.282299999999999</v>
      </c>
      <c r="Q167">
        <f t="shared" ca="1" si="39"/>
        <v>24.070900000000002</v>
      </c>
      <c r="R167">
        <f t="shared" ca="1" si="39"/>
        <v>8.8240800000000004</v>
      </c>
      <c r="S167">
        <f t="shared" ca="1" si="30"/>
        <v>192</v>
      </c>
      <c r="T167">
        <f t="shared" ca="1" si="31"/>
        <v>24.070900000000002</v>
      </c>
      <c r="U167" t="e">
        <f ca="1">IF(AND($C167='Funnel setup'!$K$3&amp;'Funnel setup'!$K$6&amp;'Funnel setup'!$K$7&amp;'Funnel setup'!$K$4,'Funnel Lookup'!I167="*",'Funnel Lookup'!I167="*"),#N/A,IF(AND($C167='Funnel setup'!$K$3&amp;'Funnel setup'!$K$6&amp;'Funnel setup'!$K$7&amp;'Funnel setup'!$K$4,'Funnel Lookup'!I167&gt;29,'Funnel Lookup'!I167&lt;&gt;"-"),'Funnel Lookup'!I167,#N/A))</f>
        <v>#N/A</v>
      </c>
      <c r="V167" t="e">
        <f ca="1">IF(AND($C167='Funnel setup'!$K$3&amp;'Funnel setup'!$K$6&amp;'Funnel setup'!$K$7&amp;'Funnel setup'!$K$4,'Funnel Lookup'!I167="*",'Funnel Lookup'!I167="*"),#N/A,IF(AND($C167='Funnel setup'!$K$3&amp;'Funnel setup'!$K$6&amp;'Funnel setup'!$K$7&amp;'Funnel setup'!$K$4,'Funnel Lookup'!I167&gt;29,'Funnel Lookup'!I167&lt;&gt;"-"),'Funnel Lookup'!Q167,#N/A))</f>
        <v>#N/A</v>
      </c>
    </row>
    <row r="168" spans="1:22" x14ac:dyDescent="0.25">
      <c r="A168">
        <v>166</v>
      </c>
      <c r="B168">
        <f t="shared" ca="1" si="38"/>
        <v>166</v>
      </c>
      <c r="C168" t="str">
        <f t="shared" ca="1" si="38"/>
        <v>Total Hip ReplacementProviderSOUTH TYNESIDE AND SUNDERLAND NHS FOUNDATION TRUST (R0B)Oxford Hip Score</v>
      </c>
      <c r="D168" t="str">
        <f t="shared" ca="1" si="38"/>
        <v>Total Hip Replacement</v>
      </c>
      <c r="E168" t="str">
        <f t="shared" ca="1" si="38"/>
        <v>Provider</v>
      </c>
      <c r="F168" t="str">
        <f t="shared" ca="1" si="38"/>
        <v>R0B</v>
      </c>
      <c r="G168" t="str">
        <f t="shared" ca="1" si="38"/>
        <v>SOUTH TYNESIDE AND SUNDERLAND NHS FOUNDATION TRUST (R0B)</v>
      </c>
      <c r="H168" t="str">
        <f t="shared" ca="1" si="38"/>
        <v>Oxford Hip Score</v>
      </c>
      <c r="I168">
        <f t="shared" ca="1" si="38"/>
        <v>28</v>
      </c>
      <c r="J168">
        <f t="shared" ca="1" si="38"/>
        <v>12.357100000000001</v>
      </c>
      <c r="K168">
        <f t="shared" ca="1" si="38"/>
        <v>34.321399999999997</v>
      </c>
      <c r="L168">
        <f t="shared" ca="1" si="39"/>
        <v>21.964300000000001</v>
      </c>
      <c r="M168">
        <f t="shared" ca="1" si="39"/>
        <v>26</v>
      </c>
      <c r="N168">
        <f t="shared" ca="1" si="39"/>
        <v>0</v>
      </c>
      <c r="O168">
        <f t="shared" ca="1" si="39"/>
        <v>2</v>
      </c>
      <c r="P168" t="str">
        <f t="shared" ca="1" si="39"/>
        <v>*</v>
      </c>
      <c r="Q168" t="str">
        <f t="shared" ca="1" si="39"/>
        <v>*</v>
      </c>
      <c r="R168" t="str">
        <f t="shared" ca="1" si="39"/>
        <v>*</v>
      </c>
      <c r="S168" t="e">
        <f t="shared" ca="1" si="30"/>
        <v>#N/A</v>
      </c>
      <c r="T168" t="e">
        <f t="shared" ca="1" si="31"/>
        <v>#N/A</v>
      </c>
      <c r="U168" t="e">
        <f ca="1">IF(AND($C168='Funnel setup'!$K$3&amp;'Funnel setup'!$K$6&amp;'Funnel setup'!$K$7&amp;'Funnel setup'!$K$4,'Funnel Lookup'!I168="*",'Funnel Lookup'!I168="*"),#N/A,IF(AND($C168='Funnel setup'!$K$3&amp;'Funnel setup'!$K$6&amp;'Funnel setup'!$K$7&amp;'Funnel setup'!$K$4,'Funnel Lookup'!I168&gt;29,'Funnel Lookup'!I168&lt;&gt;"-"),'Funnel Lookup'!I168,#N/A))</f>
        <v>#N/A</v>
      </c>
      <c r="V168" t="e">
        <f ca="1">IF(AND($C168='Funnel setup'!$K$3&amp;'Funnel setup'!$K$6&amp;'Funnel setup'!$K$7&amp;'Funnel setup'!$K$4,'Funnel Lookup'!I168="*",'Funnel Lookup'!I168="*"),#N/A,IF(AND($C168='Funnel setup'!$K$3&amp;'Funnel setup'!$K$6&amp;'Funnel setup'!$K$7&amp;'Funnel setup'!$K$4,'Funnel Lookup'!I168&gt;29,'Funnel Lookup'!I168&lt;&gt;"-"),'Funnel Lookup'!Q168,#N/A))</f>
        <v>#N/A</v>
      </c>
    </row>
    <row r="169" spans="1:22" x14ac:dyDescent="0.25">
      <c r="A169">
        <v>167</v>
      </c>
      <c r="B169">
        <f t="shared" ca="1" si="38"/>
        <v>167</v>
      </c>
      <c r="C169" t="str">
        <f t="shared" ca="1" si="38"/>
        <v>Total Hip ReplacementProviderSOUTH WARWICKSHIRE UNIVERSITY NHS FOUNDATION TRUST (RJC)Oxford Hip Score</v>
      </c>
      <c r="D169" t="str">
        <f t="shared" ca="1" si="38"/>
        <v>Total Hip Replacement</v>
      </c>
      <c r="E169" t="str">
        <f t="shared" ca="1" si="38"/>
        <v>Provider</v>
      </c>
      <c r="F169" t="str">
        <f t="shared" ca="1" si="38"/>
        <v>RJC</v>
      </c>
      <c r="G169" t="str">
        <f t="shared" ca="1" si="38"/>
        <v>SOUTH WARWICKSHIRE UNIVERSITY NHS FOUNDATION TRUST (RJC)</v>
      </c>
      <c r="H169" t="str">
        <f t="shared" ca="1" si="38"/>
        <v>Oxford Hip Score</v>
      </c>
      <c r="I169">
        <f t="shared" ca="1" si="38"/>
        <v>196</v>
      </c>
      <c r="J169">
        <f t="shared" ca="1" si="38"/>
        <v>20.520399999999999</v>
      </c>
      <c r="K169">
        <f t="shared" ca="1" si="38"/>
        <v>41.362200000000001</v>
      </c>
      <c r="L169">
        <f t="shared" ca="1" si="39"/>
        <v>20.841799999999999</v>
      </c>
      <c r="M169">
        <f t="shared" ca="1" si="39"/>
        <v>190</v>
      </c>
      <c r="N169">
        <f t="shared" ca="1" si="39"/>
        <v>2</v>
      </c>
      <c r="O169">
        <f t="shared" ca="1" si="39"/>
        <v>4</v>
      </c>
      <c r="P169">
        <f t="shared" ca="1" si="39"/>
        <v>38.496699999999997</v>
      </c>
      <c r="Q169">
        <f t="shared" ca="1" si="39"/>
        <v>21.2852</v>
      </c>
      <c r="R169">
        <f t="shared" ca="1" si="39"/>
        <v>7.5869900000000001</v>
      </c>
      <c r="S169">
        <f t="shared" ca="1" si="30"/>
        <v>196</v>
      </c>
      <c r="T169">
        <f t="shared" ca="1" si="31"/>
        <v>21.2852</v>
      </c>
      <c r="U169" t="e">
        <f ca="1">IF(AND($C169='Funnel setup'!$K$3&amp;'Funnel setup'!$K$6&amp;'Funnel setup'!$K$7&amp;'Funnel setup'!$K$4,'Funnel Lookup'!I169="*",'Funnel Lookup'!I169="*"),#N/A,IF(AND($C169='Funnel setup'!$K$3&amp;'Funnel setup'!$K$6&amp;'Funnel setup'!$K$7&amp;'Funnel setup'!$K$4,'Funnel Lookup'!I169&gt;29,'Funnel Lookup'!I169&lt;&gt;"-"),'Funnel Lookup'!I169,#N/A))</f>
        <v>#N/A</v>
      </c>
      <c r="V169" t="e">
        <f ca="1">IF(AND($C169='Funnel setup'!$K$3&amp;'Funnel setup'!$K$6&amp;'Funnel setup'!$K$7&amp;'Funnel setup'!$K$4,'Funnel Lookup'!I169="*",'Funnel Lookup'!I169="*"),#N/A,IF(AND($C169='Funnel setup'!$K$3&amp;'Funnel setup'!$K$6&amp;'Funnel setup'!$K$7&amp;'Funnel setup'!$K$4,'Funnel Lookup'!I169&gt;29,'Funnel Lookup'!I169&lt;&gt;"-"),'Funnel Lookup'!Q169,#N/A))</f>
        <v>#N/A</v>
      </c>
    </row>
    <row r="170" spans="1:22" x14ac:dyDescent="0.25">
      <c r="A170">
        <v>168</v>
      </c>
      <c r="B170">
        <f t="shared" ca="1" si="38"/>
        <v>168</v>
      </c>
      <c r="C170" t="str">
        <f t="shared" ca="1" si="38"/>
        <v>Total Hip ReplacementProviderSOUTHPORT AND ORMSKIRK HOSPITAL NHS TRUST (RVY)Oxford Hip Score</v>
      </c>
      <c r="D170" t="str">
        <f t="shared" ca="1" si="38"/>
        <v>Total Hip Replacement</v>
      </c>
      <c r="E170" t="str">
        <f t="shared" ca="1" si="38"/>
        <v>Provider</v>
      </c>
      <c r="F170" t="str">
        <f t="shared" ca="1" si="38"/>
        <v>RVY</v>
      </c>
      <c r="G170" t="str">
        <f t="shared" ca="1" si="38"/>
        <v>SOUTHPORT AND ORMSKIRK HOSPITAL NHS TRUST (RVY)</v>
      </c>
      <c r="H170" t="str">
        <f t="shared" ca="1" si="38"/>
        <v>Oxford Hip Score</v>
      </c>
      <c r="I170">
        <f t="shared" ca="1" si="38"/>
        <v>10</v>
      </c>
      <c r="J170">
        <f t="shared" ca="1" si="38"/>
        <v>16.600000000000001</v>
      </c>
      <c r="K170">
        <f t="shared" ca="1" si="38"/>
        <v>36.9</v>
      </c>
      <c r="L170">
        <f t="shared" ca="1" si="39"/>
        <v>20.3</v>
      </c>
      <c r="M170">
        <f t="shared" ca="1" si="39"/>
        <v>10</v>
      </c>
      <c r="N170">
        <f t="shared" ca="1" si="39"/>
        <v>0</v>
      </c>
      <c r="O170">
        <f t="shared" ca="1" si="39"/>
        <v>0</v>
      </c>
      <c r="P170" t="str">
        <f t="shared" ca="1" si="39"/>
        <v>*</v>
      </c>
      <c r="Q170" t="str">
        <f t="shared" ca="1" si="39"/>
        <v>*</v>
      </c>
      <c r="R170" t="str">
        <f t="shared" ca="1" si="39"/>
        <v>*</v>
      </c>
      <c r="S170" t="e">
        <f t="shared" ca="1" si="30"/>
        <v>#N/A</v>
      </c>
      <c r="T170" t="e">
        <f t="shared" ca="1" si="31"/>
        <v>#N/A</v>
      </c>
      <c r="U170" t="e">
        <f ca="1">IF(AND($C170='Funnel setup'!$K$3&amp;'Funnel setup'!$K$6&amp;'Funnel setup'!$K$7&amp;'Funnel setup'!$K$4,'Funnel Lookup'!I170="*",'Funnel Lookup'!I170="*"),#N/A,IF(AND($C170='Funnel setup'!$K$3&amp;'Funnel setup'!$K$6&amp;'Funnel setup'!$K$7&amp;'Funnel setup'!$K$4,'Funnel Lookup'!I170&gt;29,'Funnel Lookup'!I170&lt;&gt;"-"),'Funnel Lookup'!I170,#N/A))</f>
        <v>#N/A</v>
      </c>
      <c r="V170" t="e">
        <f ca="1">IF(AND($C170='Funnel setup'!$K$3&amp;'Funnel setup'!$K$6&amp;'Funnel setup'!$K$7&amp;'Funnel setup'!$K$4,'Funnel Lookup'!I170="*",'Funnel Lookup'!I170="*"),#N/A,IF(AND($C170='Funnel setup'!$K$3&amp;'Funnel setup'!$K$6&amp;'Funnel setup'!$K$7&amp;'Funnel setup'!$K$4,'Funnel Lookup'!I170&gt;29,'Funnel Lookup'!I170&lt;&gt;"-"),'Funnel Lookup'!Q170,#N/A))</f>
        <v>#N/A</v>
      </c>
    </row>
    <row r="171" spans="1:22" x14ac:dyDescent="0.25">
      <c r="A171">
        <v>169</v>
      </c>
      <c r="B171">
        <f t="shared" ca="1" si="38"/>
        <v>169</v>
      </c>
      <c r="C171" t="str">
        <f t="shared" ca="1" si="38"/>
        <v>Total Hip ReplacementProviderSPENCER PRIVATE HOSPITALS - MARGATE (NN801)Oxford Hip Score</v>
      </c>
      <c r="D171" t="str">
        <f t="shared" ca="1" si="38"/>
        <v>Total Hip Replacement</v>
      </c>
      <c r="E171" t="str">
        <f t="shared" ca="1" si="38"/>
        <v>Provider</v>
      </c>
      <c r="F171" t="str">
        <f t="shared" ca="1" si="38"/>
        <v>NN801</v>
      </c>
      <c r="G171" t="str">
        <f t="shared" ca="1" si="38"/>
        <v>SPENCER PRIVATE HOSPITALS - MARGATE (NN801)</v>
      </c>
      <c r="H171" t="str">
        <f t="shared" ca="1" si="38"/>
        <v>Oxford Hip Score</v>
      </c>
      <c r="I171">
        <f t="shared" ca="1" si="38"/>
        <v>19</v>
      </c>
      <c r="J171">
        <f t="shared" ca="1" si="38"/>
        <v>18.052600000000002</v>
      </c>
      <c r="K171">
        <f t="shared" ca="1" si="38"/>
        <v>42.789499999999997</v>
      </c>
      <c r="L171">
        <f t="shared" ca="1" si="39"/>
        <v>24.736799999999999</v>
      </c>
      <c r="M171">
        <f t="shared" ca="1" si="39"/>
        <v>19</v>
      </c>
      <c r="N171">
        <f t="shared" ca="1" si="39"/>
        <v>0</v>
      </c>
      <c r="O171">
        <f t="shared" ca="1" si="39"/>
        <v>0</v>
      </c>
      <c r="P171" t="str">
        <f t="shared" ca="1" si="39"/>
        <v>*</v>
      </c>
      <c r="Q171" t="str">
        <f t="shared" ca="1" si="39"/>
        <v>*</v>
      </c>
      <c r="R171" t="str">
        <f t="shared" ca="1" si="39"/>
        <v>*</v>
      </c>
      <c r="S171" t="e">
        <f t="shared" ca="1" si="30"/>
        <v>#N/A</v>
      </c>
      <c r="T171" t="e">
        <f t="shared" ca="1" si="31"/>
        <v>#N/A</v>
      </c>
      <c r="U171" t="e">
        <f ca="1">IF(AND($C171='Funnel setup'!$K$3&amp;'Funnel setup'!$K$6&amp;'Funnel setup'!$K$7&amp;'Funnel setup'!$K$4,'Funnel Lookup'!I171="*",'Funnel Lookup'!I171="*"),#N/A,IF(AND($C171='Funnel setup'!$K$3&amp;'Funnel setup'!$K$6&amp;'Funnel setup'!$K$7&amp;'Funnel setup'!$K$4,'Funnel Lookup'!I171&gt;29,'Funnel Lookup'!I171&lt;&gt;"-"),'Funnel Lookup'!I171,#N/A))</f>
        <v>#N/A</v>
      </c>
      <c r="V171" t="e">
        <f ca="1">IF(AND($C171='Funnel setup'!$K$3&amp;'Funnel setup'!$K$6&amp;'Funnel setup'!$K$7&amp;'Funnel setup'!$K$4,'Funnel Lookup'!I171="*",'Funnel Lookup'!I171="*"),#N/A,IF(AND($C171='Funnel setup'!$K$3&amp;'Funnel setup'!$K$6&amp;'Funnel setup'!$K$7&amp;'Funnel setup'!$K$4,'Funnel Lookup'!I171&gt;29,'Funnel Lookup'!I171&lt;&gt;"-"),'Funnel Lookup'!Q171,#N/A))</f>
        <v>#N/A</v>
      </c>
    </row>
    <row r="172" spans="1:22" x14ac:dyDescent="0.25">
      <c r="A172">
        <v>170</v>
      </c>
      <c r="B172">
        <f t="shared" ca="1" si="38"/>
        <v>170</v>
      </c>
      <c r="C172" t="str">
        <f t="shared" ca="1" si="38"/>
        <v>Total Hip ReplacementProviderSPIRE ALEXANDRA HOSPITAL (NT312)Oxford Hip Score</v>
      </c>
      <c r="D172" t="str">
        <f t="shared" ca="1" si="38"/>
        <v>Total Hip Replacement</v>
      </c>
      <c r="E172" t="str">
        <f t="shared" ca="1" si="38"/>
        <v>Provider</v>
      </c>
      <c r="F172" t="str">
        <f t="shared" ca="1" si="38"/>
        <v>NT312</v>
      </c>
      <c r="G172" t="str">
        <f t="shared" ca="1" si="38"/>
        <v>SPIRE ALEXANDRA HOSPITAL (NT312)</v>
      </c>
      <c r="H172" t="str">
        <f t="shared" ca="1" si="38"/>
        <v>Oxford Hip Score</v>
      </c>
      <c r="I172">
        <f t="shared" ca="1" si="38"/>
        <v>13</v>
      </c>
      <c r="J172">
        <f t="shared" ca="1" si="38"/>
        <v>16</v>
      </c>
      <c r="K172">
        <f t="shared" ca="1" si="38"/>
        <v>41</v>
      </c>
      <c r="L172">
        <f t="shared" ca="1" si="39"/>
        <v>25</v>
      </c>
      <c r="M172">
        <f t="shared" ca="1" si="39"/>
        <v>13</v>
      </c>
      <c r="N172">
        <f t="shared" ca="1" si="39"/>
        <v>0</v>
      </c>
      <c r="O172">
        <f t="shared" ca="1" si="39"/>
        <v>0</v>
      </c>
      <c r="P172" t="str">
        <f t="shared" ca="1" si="39"/>
        <v>*</v>
      </c>
      <c r="Q172" t="str">
        <f t="shared" ca="1" si="39"/>
        <v>*</v>
      </c>
      <c r="R172" t="str">
        <f t="shared" ca="1" si="39"/>
        <v>*</v>
      </c>
      <c r="S172" t="e">
        <f t="shared" ca="1" si="30"/>
        <v>#N/A</v>
      </c>
      <c r="T172" t="e">
        <f t="shared" ca="1" si="31"/>
        <v>#N/A</v>
      </c>
      <c r="U172" t="e">
        <f ca="1">IF(AND($C172='Funnel setup'!$K$3&amp;'Funnel setup'!$K$6&amp;'Funnel setup'!$K$7&amp;'Funnel setup'!$K$4,'Funnel Lookup'!I172="*",'Funnel Lookup'!I172="*"),#N/A,IF(AND($C172='Funnel setup'!$K$3&amp;'Funnel setup'!$K$6&amp;'Funnel setup'!$K$7&amp;'Funnel setup'!$K$4,'Funnel Lookup'!I172&gt;29,'Funnel Lookup'!I172&lt;&gt;"-"),'Funnel Lookup'!I172,#N/A))</f>
        <v>#N/A</v>
      </c>
      <c r="V172" t="e">
        <f ca="1">IF(AND($C172='Funnel setup'!$K$3&amp;'Funnel setup'!$K$6&amp;'Funnel setup'!$K$7&amp;'Funnel setup'!$K$4,'Funnel Lookup'!I172="*",'Funnel Lookup'!I172="*"),#N/A,IF(AND($C172='Funnel setup'!$K$3&amp;'Funnel setup'!$K$6&amp;'Funnel setup'!$K$7&amp;'Funnel setup'!$K$4,'Funnel Lookup'!I172&gt;29,'Funnel Lookup'!I172&lt;&gt;"-"),'Funnel Lookup'!Q172,#N/A))</f>
        <v>#N/A</v>
      </c>
    </row>
    <row r="173" spans="1:22" x14ac:dyDescent="0.25">
      <c r="A173">
        <v>171</v>
      </c>
      <c r="B173">
        <f t="shared" ref="B173:K182" ca="1" si="40">VLOOKUP($A173,Funnel_Data,B$1,FALSE)</f>
        <v>171</v>
      </c>
      <c r="C173" t="str">
        <f t="shared" ca="1" si="40"/>
        <v>Total Hip ReplacementProviderSPIRE BRISTOL HOSPITAL (NT302)Oxford Hip Score</v>
      </c>
      <c r="D173" t="str">
        <f t="shared" ca="1" si="40"/>
        <v>Total Hip Replacement</v>
      </c>
      <c r="E173" t="str">
        <f t="shared" ca="1" si="40"/>
        <v>Provider</v>
      </c>
      <c r="F173" t="str">
        <f t="shared" ca="1" si="40"/>
        <v>NT302</v>
      </c>
      <c r="G173" t="str">
        <f t="shared" ca="1" si="40"/>
        <v>SPIRE BRISTOL HOSPITAL (NT302)</v>
      </c>
      <c r="H173" t="str">
        <f t="shared" ca="1" si="40"/>
        <v>Oxford Hip Score</v>
      </c>
      <c r="I173">
        <f t="shared" ca="1" si="40"/>
        <v>56</v>
      </c>
      <c r="J173">
        <f t="shared" ca="1" si="40"/>
        <v>18.660699999999999</v>
      </c>
      <c r="K173">
        <f t="shared" ca="1" si="40"/>
        <v>42.607100000000003</v>
      </c>
      <c r="L173">
        <f t="shared" ref="L173:R182" ca="1" si="41">VLOOKUP($A173,Funnel_Data,L$1,FALSE)</f>
        <v>23.946400000000001</v>
      </c>
      <c r="M173">
        <f t="shared" ca="1" si="41"/>
        <v>54</v>
      </c>
      <c r="N173">
        <f t="shared" ca="1" si="41"/>
        <v>1</v>
      </c>
      <c r="O173">
        <f t="shared" ca="1" si="41"/>
        <v>1</v>
      </c>
      <c r="P173">
        <f t="shared" ca="1" si="41"/>
        <v>41.239699999999999</v>
      </c>
      <c r="Q173">
        <f t="shared" ca="1" si="41"/>
        <v>24.028199999999998</v>
      </c>
      <c r="R173">
        <f t="shared" ca="1" si="41"/>
        <v>7.6894</v>
      </c>
      <c r="S173">
        <f t="shared" ca="1" si="30"/>
        <v>56</v>
      </c>
      <c r="T173">
        <f t="shared" ca="1" si="31"/>
        <v>24.028199999999998</v>
      </c>
      <c r="U173" t="e">
        <f ca="1">IF(AND($C173='Funnel setup'!$K$3&amp;'Funnel setup'!$K$6&amp;'Funnel setup'!$K$7&amp;'Funnel setup'!$K$4,'Funnel Lookup'!I173="*",'Funnel Lookup'!I173="*"),#N/A,IF(AND($C173='Funnel setup'!$K$3&amp;'Funnel setup'!$K$6&amp;'Funnel setup'!$K$7&amp;'Funnel setup'!$K$4,'Funnel Lookup'!I173&gt;29,'Funnel Lookup'!I173&lt;&gt;"-"),'Funnel Lookup'!I173,#N/A))</f>
        <v>#N/A</v>
      </c>
      <c r="V173" t="e">
        <f ca="1">IF(AND($C173='Funnel setup'!$K$3&amp;'Funnel setup'!$K$6&amp;'Funnel setup'!$K$7&amp;'Funnel setup'!$K$4,'Funnel Lookup'!I173="*",'Funnel Lookup'!I173="*"),#N/A,IF(AND($C173='Funnel setup'!$K$3&amp;'Funnel setup'!$K$6&amp;'Funnel setup'!$K$7&amp;'Funnel setup'!$K$4,'Funnel Lookup'!I173&gt;29,'Funnel Lookup'!I173&lt;&gt;"-"),'Funnel Lookup'!Q173,#N/A))</f>
        <v>#N/A</v>
      </c>
    </row>
    <row r="174" spans="1:22" x14ac:dyDescent="0.25">
      <c r="A174">
        <v>172</v>
      </c>
      <c r="B174">
        <f t="shared" ca="1" si="40"/>
        <v>172</v>
      </c>
      <c r="C174" t="str">
        <f t="shared" ca="1" si="40"/>
        <v>Total Hip ReplacementProviderSPIRE BUSHEY HOSPITAL (NT315)Oxford Hip Score</v>
      </c>
      <c r="D174" t="str">
        <f t="shared" ca="1" si="40"/>
        <v>Total Hip Replacement</v>
      </c>
      <c r="E174" t="str">
        <f t="shared" ca="1" si="40"/>
        <v>Provider</v>
      </c>
      <c r="F174" t="str">
        <f t="shared" ca="1" si="40"/>
        <v>NT315</v>
      </c>
      <c r="G174" t="str">
        <f t="shared" ca="1" si="40"/>
        <v>SPIRE BUSHEY HOSPITAL (NT315)</v>
      </c>
      <c r="H174" t="str">
        <f t="shared" ca="1" si="40"/>
        <v>Oxford Hip Score</v>
      </c>
      <c r="I174">
        <f t="shared" ca="1" si="40"/>
        <v>1</v>
      </c>
      <c r="J174">
        <f t="shared" ca="1" si="40"/>
        <v>21</v>
      </c>
      <c r="K174">
        <f t="shared" ca="1" si="40"/>
        <v>44</v>
      </c>
      <c r="L174">
        <f t="shared" ca="1" si="41"/>
        <v>23</v>
      </c>
      <c r="M174">
        <f t="shared" ca="1" si="41"/>
        <v>1</v>
      </c>
      <c r="N174">
        <f t="shared" ca="1" si="41"/>
        <v>0</v>
      </c>
      <c r="O174">
        <f t="shared" ca="1" si="41"/>
        <v>0</v>
      </c>
      <c r="P174" t="str">
        <f t="shared" ca="1" si="41"/>
        <v>*</v>
      </c>
      <c r="Q174" t="str">
        <f t="shared" ca="1" si="41"/>
        <v>*</v>
      </c>
      <c r="R174" t="str">
        <f t="shared" ca="1" si="41"/>
        <v>*</v>
      </c>
      <c r="S174" t="e">
        <f t="shared" ca="1" si="30"/>
        <v>#N/A</v>
      </c>
      <c r="T174" t="e">
        <f t="shared" ca="1" si="31"/>
        <v>#N/A</v>
      </c>
      <c r="U174" t="e">
        <f ca="1">IF(AND($C174='Funnel setup'!$K$3&amp;'Funnel setup'!$K$6&amp;'Funnel setup'!$K$7&amp;'Funnel setup'!$K$4,'Funnel Lookup'!I174="*",'Funnel Lookup'!I174="*"),#N/A,IF(AND($C174='Funnel setup'!$K$3&amp;'Funnel setup'!$K$6&amp;'Funnel setup'!$K$7&amp;'Funnel setup'!$K$4,'Funnel Lookup'!I174&gt;29,'Funnel Lookup'!I174&lt;&gt;"-"),'Funnel Lookup'!I174,#N/A))</f>
        <v>#N/A</v>
      </c>
      <c r="V174" t="e">
        <f ca="1">IF(AND($C174='Funnel setup'!$K$3&amp;'Funnel setup'!$K$6&amp;'Funnel setup'!$K$7&amp;'Funnel setup'!$K$4,'Funnel Lookup'!I174="*",'Funnel Lookup'!I174="*"),#N/A,IF(AND($C174='Funnel setup'!$K$3&amp;'Funnel setup'!$K$6&amp;'Funnel setup'!$K$7&amp;'Funnel setup'!$K$4,'Funnel Lookup'!I174&gt;29,'Funnel Lookup'!I174&lt;&gt;"-"),'Funnel Lookup'!Q174,#N/A))</f>
        <v>#N/A</v>
      </c>
    </row>
    <row r="175" spans="1:22" x14ac:dyDescent="0.25">
      <c r="A175">
        <v>173</v>
      </c>
      <c r="B175">
        <f t="shared" ca="1" si="40"/>
        <v>173</v>
      </c>
      <c r="C175" t="str">
        <f t="shared" ca="1" si="40"/>
        <v>Total Hip ReplacementProviderSPIRE CAMBRIDGE LEA HOSPITAL (NT317)Oxford Hip Score</v>
      </c>
      <c r="D175" t="str">
        <f t="shared" ca="1" si="40"/>
        <v>Total Hip Replacement</v>
      </c>
      <c r="E175" t="str">
        <f t="shared" ca="1" si="40"/>
        <v>Provider</v>
      </c>
      <c r="F175" t="str">
        <f t="shared" ca="1" si="40"/>
        <v>NT317</v>
      </c>
      <c r="G175" t="str">
        <f t="shared" ca="1" si="40"/>
        <v>SPIRE CAMBRIDGE LEA HOSPITAL (NT317)</v>
      </c>
      <c r="H175" t="str">
        <f t="shared" ca="1" si="40"/>
        <v>Oxford Hip Score</v>
      </c>
      <c r="I175">
        <f t="shared" ca="1" si="40"/>
        <v>33</v>
      </c>
      <c r="J175">
        <f t="shared" ca="1" si="40"/>
        <v>18.454499999999999</v>
      </c>
      <c r="K175">
        <f t="shared" ca="1" si="40"/>
        <v>42.939399999999999</v>
      </c>
      <c r="L175">
        <f t="shared" ca="1" si="41"/>
        <v>24.4848</v>
      </c>
      <c r="M175">
        <f t="shared" ca="1" si="41"/>
        <v>32</v>
      </c>
      <c r="N175">
        <f t="shared" ca="1" si="41"/>
        <v>0</v>
      </c>
      <c r="O175">
        <f t="shared" ca="1" si="41"/>
        <v>1</v>
      </c>
      <c r="P175">
        <f t="shared" ca="1" si="41"/>
        <v>42.042400000000001</v>
      </c>
      <c r="Q175">
        <f t="shared" ca="1" si="41"/>
        <v>24.831</v>
      </c>
      <c r="R175">
        <f t="shared" ca="1" si="41"/>
        <v>5.9782400000000004</v>
      </c>
      <c r="S175">
        <f t="shared" ca="1" si="30"/>
        <v>33</v>
      </c>
      <c r="T175">
        <f t="shared" ca="1" si="31"/>
        <v>24.831</v>
      </c>
      <c r="U175" t="e">
        <f ca="1">IF(AND($C175='Funnel setup'!$K$3&amp;'Funnel setup'!$K$6&amp;'Funnel setup'!$K$7&amp;'Funnel setup'!$K$4,'Funnel Lookup'!I175="*",'Funnel Lookup'!I175="*"),#N/A,IF(AND($C175='Funnel setup'!$K$3&amp;'Funnel setup'!$K$6&amp;'Funnel setup'!$K$7&amp;'Funnel setup'!$K$4,'Funnel Lookup'!I175&gt;29,'Funnel Lookup'!I175&lt;&gt;"-"),'Funnel Lookup'!I175,#N/A))</f>
        <v>#N/A</v>
      </c>
      <c r="V175" t="e">
        <f ca="1">IF(AND($C175='Funnel setup'!$K$3&amp;'Funnel setup'!$K$6&amp;'Funnel setup'!$K$7&amp;'Funnel setup'!$K$4,'Funnel Lookup'!I175="*",'Funnel Lookup'!I175="*"),#N/A,IF(AND($C175='Funnel setup'!$K$3&amp;'Funnel setup'!$K$6&amp;'Funnel setup'!$K$7&amp;'Funnel setup'!$K$4,'Funnel Lookup'!I175&gt;29,'Funnel Lookup'!I175&lt;&gt;"-"),'Funnel Lookup'!Q175,#N/A))</f>
        <v>#N/A</v>
      </c>
    </row>
    <row r="176" spans="1:22" x14ac:dyDescent="0.25">
      <c r="A176">
        <v>174</v>
      </c>
      <c r="B176">
        <f t="shared" ca="1" si="40"/>
        <v>174</v>
      </c>
      <c r="C176" t="str">
        <f t="shared" ca="1" si="40"/>
        <v>Total Hip ReplacementProviderSPIRE CHESHIRE HOSPITAL (NT324)Oxford Hip Score</v>
      </c>
      <c r="D176" t="str">
        <f t="shared" ca="1" si="40"/>
        <v>Total Hip Replacement</v>
      </c>
      <c r="E176" t="str">
        <f t="shared" ca="1" si="40"/>
        <v>Provider</v>
      </c>
      <c r="F176" t="str">
        <f t="shared" ca="1" si="40"/>
        <v>NT324</v>
      </c>
      <c r="G176" t="str">
        <f t="shared" ca="1" si="40"/>
        <v>SPIRE CHESHIRE HOSPITAL (NT324)</v>
      </c>
      <c r="H176" t="str">
        <f t="shared" ca="1" si="40"/>
        <v>Oxford Hip Score</v>
      </c>
      <c r="I176">
        <f t="shared" ca="1" si="40"/>
        <v>23</v>
      </c>
      <c r="J176">
        <f t="shared" ca="1" si="40"/>
        <v>15.608700000000001</v>
      </c>
      <c r="K176">
        <f t="shared" ca="1" si="40"/>
        <v>38.260899999999999</v>
      </c>
      <c r="L176">
        <f t="shared" ca="1" si="41"/>
        <v>22.652200000000001</v>
      </c>
      <c r="M176">
        <f t="shared" ca="1" si="41"/>
        <v>22</v>
      </c>
      <c r="N176">
        <f t="shared" ca="1" si="41"/>
        <v>0</v>
      </c>
      <c r="O176">
        <f t="shared" ca="1" si="41"/>
        <v>1</v>
      </c>
      <c r="P176" t="str">
        <f t="shared" ca="1" si="41"/>
        <v>*</v>
      </c>
      <c r="Q176" t="str">
        <f t="shared" ca="1" si="41"/>
        <v>*</v>
      </c>
      <c r="R176" t="str">
        <f t="shared" ca="1" si="41"/>
        <v>*</v>
      </c>
      <c r="S176" t="e">
        <f t="shared" ca="1" si="30"/>
        <v>#N/A</v>
      </c>
      <c r="T176" t="e">
        <f t="shared" ca="1" si="31"/>
        <v>#N/A</v>
      </c>
      <c r="U176" t="e">
        <f ca="1">IF(AND($C176='Funnel setup'!$K$3&amp;'Funnel setup'!$K$6&amp;'Funnel setup'!$K$7&amp;'Funnel setup'!$K$4,'Funnel Lookup'!I176="*",'Funnel Lookup'!I176="*"),#N/A,IF(AND($C176='Funnel setup'!$K$3&amp;'Funnel setup'!$K$6&amp;'Funnel setup'!$K$7&amp;'Funnel setup'!$K$4,'Funnel Lookup'!I176&gt;29,'Funnel Lookup'!I176&lt;&gt;"-"),'Funnel Lookup'!I176,#N/A))</f>
        <v>#N/A</v>
      </c>
      <c r="V176" t="e">
        <f ca="1">IF(AND($C176='Funnel setup'!$K$3&amp;'Funnel setup'!$K$6&amp;'Funnel setup'!$K$7&amp;'Funnel setup'!$K$4,'Funnel Lookup'!I176="*",'Funnel Lookup'!I176="*"),#N/A,IF(AND($C176='Funnel setup'!$K$3&amp;'Funnel setup'!$K$6&amp;'Funnel setup'!$K$7&amp;'Funnel setup'!$K$4,'Funnel Lookup'!I176&gt;29,'Funnel Lookup'!I176&lt;&gt;"-"),'Funnel Lookup'!Q176,#N/A))</f>
        <v>#N/A</v>
      </c>
    </row>
    <row r="177" spans="1:22" x14ac:dyDescent="0.25">
      <c r="A177">
        <v>175</v>
      </c>
      <c r="B177">
        <f t="shared" ca="1" si="40"/>
        <v>175</v>
      </c>
      <c r="C177" t="str">
        <f t="shared" ca="1" si="40"/>
        <v>Total Hip ReplacementProviderSPIRE CLARE PARK HOSPITAL (NT345)Oxford Hip Score</v>
      </c>
      <c r="D177" t="str">
        <f t="shared" ca="1" si="40"/>
        <v>Total Hip Replacement</v>
      </c>
      <c r="E177" t="str">
        <f t="shared" ca="1" si="40"/>
        <v>Provider</v>
      </c>
      <c r="F177" t="str">
        <f t="shared" ca="1" si="40"/>
        <v>NT345</v>
      </c>
      <c r="G177" t="str">
        <f t="shared" ca="1" si="40"/>
        <v>SPIRE CLARE PARK HOSPITAL (NT345)</v>
      </c>
      <c r="H177" t="str">
        <f t="shared" ca="1" si="40"/>
        <v>Oxford Hip Score</v>
      </c>
      <c r="I177">
        <f t="shared" ca="1" si="40"/>
        <v>13</v>
      </c>
      <c r="J177">
        <f t="shared" ca="1" si="40"/>
        <v>22.1538</v>
      </c>
      <c r="K177">
        <f t="shared" ca="1" si="40"/>
        <v>40.846200000000003</v>
      </c>
      <c r="L177">
        <f t="shared" ca="1" si="41"/>
        <v>18.692299999999999</v>
      </c>
      <c r="M177">
        <f t="shared" ca="1" si="41"/>
        <v>13</v>
      </c>
      <c r="N177">
        <f t="shared" ca="1" si="41"/>
        <v>0</v>
      </c>
      <c r="O177">
        <f t="shared" ca="1" si="41"/>
        <v>0</v>
      </c>
      <c r="P177" t="str">
        <f t="shared" ca="1" si="41"/>
        <v>*</v>
      </c>
      <c r="Q177" t="str">
        <f t="shared" ca="1" si="41"/>
        <v>*</v>
      </c>
      <c r="R177" t="str">
        <f t="shared" ca="1" si="41"/>
        <v>*</v>
      </c>
      <c r="S177" t="e">
        <f t="shared" ca="1" si="30"/>
        <v>#N/A</v>
      </c>
      <c r="T177" t="e">
        <f t="shared" ca="1" si="31"/>
        <v>#N/A</v>
      </c>
      <c r="U177" t="e">
        <f ca="1">IF(AND($C177='Funnel setup'!$K$3&amp;'Funnel setup'!$K$6&amp;'Funnel setup'!$K$7&amp;'Funnel setup'!$K$4,'Funnel Lookup'!I177="*",'Funnel Lookup'!I177="*"),#N/A,IF(AND($C177='Funnel setup'!$K$3&amp;'Funnel setup'!$K$6&amp;'Funnel setup'!$K$7&amp;'Funnel setup'!$K$4,'Funnel Lookup'!I177&gt;29,'Funnel Lookup'!I177&lt;&gt;"-"),'Funnel Lookup'!I177,#N/A))</f>
        <v>#N/A</v>
      </c>
      <c r="V177" t="e">
        <f ca="1">IF(AND($C177='Funnel setup'!$K$3&amp;'Funnel setup'!$K$6&amp;'Funnel setup'!$K$7&amp;'Funnel setup'!$K$4,'Funnel Lookup'!I177="*",'Funnel Lookup'!I177="*"),#N/A,IF(AND($C177='Funnel setup'!$K$3&amp;'Funnel setup'!$K$6&amp;'Funnel setup'!$K$7&amp;'Funnel setup'!$K$4,'Funnel Lookup'!I177&gt;29,'Funnel Lookup'!I177&lt;&gt;"-"),'Funnel Lookup'!Q177,#N/A))</f>
        <v>#N/A</v>
      </c>
    </row>
    <row r="178" spans="1:22" x14ac:dyDescent="0.25">
      <c r="A178">
        <v>176</v>
      </c>
      <c r="B178">
        <f t="shared" ca="1" si="40"/>
        <v>176</v>
      </c>
      <c r="C178" t="str">
        <f t="shared" ca="1" si="40"/>
        <v>Total Hip ReplacementProviderSPIRE DUNEDIN HOSPITAL (NT344)Oxford Hip Score</v>
      </c>
      <c r="D178" t="str">
        <f t="shared" ca="1" si="40"/>
        <v>Total Hip Replacement</v>
      </c>
      <c r="E178" t="str">
        <f t="shared" ca="1" si="40"/>
        <v>Provider</v>
      </c>
      <c r="F178" t="str">
        <f t="shared" ca="1" si="40"/>
        <v>NT344</v>
      </c>
      <c r="G178" t="str">
        <f t="shared" ca="1" si="40"/>
        <v>SPIRE DUNEDIN HOSPITAL (NT344)</v>
      </c>
      <c r="H178" t="str">
        <f t="shared" ca="1" si="40"/>
        <v>Oxford Hip Score</v>
      </c>
      <c r="I178">
        <f t="shared" ca="1" si="40"/>
        <v>1</v>
      </c>
      <c r="J178">
        <f t="shared" ca="1" si="40"/>
        <v>33</v>
      </c>
      <c r="K178">
        <f t="shared" ca="1" si="40"/>
        <v>35</v>
      </c>
      <c r="L178">
        <f t="shared" ca="1" si="41"/>
        <v>2</v>
      </c>
      <c r="M178">
        <f t="shared" ca="1" si="41"/>
        <v>1</v>
      </c>
      <c r="N178">
        <f t="shared" ca="1" si="41"/>
        <v>0</v>
      </c>
      <c r="O178">
        <f t="shared" ca="1" si="41"/>
        <v>0</v>
      </c>
      <c r="P178" t="str">
        <f t="shared" ca="1" si="41"/>
        <v>*</v>
      </c>
      <c r="Q178" t="str">
        <f t="shared" ca="1" si="41"/>
        <v>*</v>
      </c>
      <c r="R178" t="str">
        <f t="shared" ca="1" si="41"/>
        <v>*</v>
      </c>
      <c r="S178" t="e">
        <f t="shared" ca="1" si="30"/>
        <v>#N/A</v>
      </c>
      <c r="T178" t="e">
        <f t="shared" ca="1" si="31"/>
        <v>#N/A</v>
      </c>
      <c r="U178" t="e">
        <f ca="1">IF(AND($C178='Funnel setup'!$K$3&amp;'Funnel setup'!$K$6&amp;'Funnel setup'!$K$7&amp;'Funnel setup'!$K$4,'Funnel Lookup'!I178="*",'Funnel Lookup'!I178="*"),#N/A,IF(AND($C178='Funnel setup'!$K$3&amp;'Funnel setup'!$K$6&amp;'Funnel setup'!$K$7&amp;'Funnel setup'!$K$4,'Funnel Lookup'!I178&gt;29,'Funnel Lookup'!I178&lt;&gt;"-"),'Funnel Lookup'!I178,#N/A))</f>
        <v>#N/A</v>
      </c>
      <c r="V178" t="e">
        <f ca="1">IF(AND($C178='Funnel setup'!$K$3&amp;'Funnel setup'!$K$6&amp;'Funnel setup'!$K$7&amp;'Funnel setup'!$K$4,'Funnel Lookup'!I178="*",'Funnel Lookup'!I178="*"),#N/A,IF(AND($C178='Funnel setup'!$K$3&amp;'Funnel setup'!$K$6&amp;'Funnel setup'!$K$7&amp;'Funnel setup'!$K$4,'Funnel Lookup'!I178&gt;29,'Funnel Lookup'!I178&lt;&gt;"-"),'Funnel Lookup'!Q178,#N/A))</f>
        <v>#N/A</v>
      </c>
    </row>
    <row r="179" spans="1:22" x14ac:dyDescent="0.25">
      <c r="A179">
        <v>177</v>
      </c>
      <c r="B179">
        <f t="shared" ca="1" si="40"/>
        <v>177</v>
      </c>
      <c r="C179" t="str">
        <f t="shared" ca="1" si="40"/>
        <v>Total Hip ReplacementProviderSPIRE ELLAND HOSPITAL (NT348)Oxford Hip Score</v>
      </c>
      <c r="D179" t="str">
        <f t="shared" ca="1" si="40"/>
        <v>Total Hip Replacement</v>
      </c>
      <c r="E179" t="str">
        <f t="shared" ca="1" si="40"/>
        <v>Provider</v>
      </c>
      <c r="F179" t="str">
        <f t="shared" ca="1" si="40"/>
        <v>NT348</v>
      </c>
      <c r="G179" t="str">
        <f t="shared" ca="1" si="40"/>
        <v>SPIRE ELLAND HOSPITAL (NT348)</v>
      </c>
      <c r="H179" t="str">
        <f t="shared" ca="1" si="40"/>
        <v>Oxford Hip Score</v>
      </c>
      <c r="I179">
        <f t="shared" ca="1" si="40"/>
        <v>14</v>
      </c>
      <c r="J179">
        <f t="shared" ca="1" si="40"/>
        <v>16.928599999999999</v>
      </c>
      <c r="K179">
        <f t="shared" ca="1" si="40"/>
        <v>38.571399999999997</v>
      </c>
      <c r="L179">
        <f t="shared" ca="1" si="41"/>
        <v>21.642900000000001</v>
      </c>
      <c r="M179">
        <f t="shared" ca="1" si="41"/>
        <v>14</v>
      </c>
      <c r="N179">
        <f t="shared" ca="1" si="41"/>
        <v>0</v>
      </c>
      <c r="O179">
        <f t="shared" ca="1" si="41"/>
        <v>0</v>
      </c>
      <c r="P179" t="str">
        <f t="shared" ca="1" si="41"/>
        <v>*</v>
      </c>
      <c r="Q179" t="str">
        <f t="shared" ca="1" si="41"/>
        <v>*</v>
      </c>
      <c r="R179" t="str">
        <f t="shared" ca="1" si="41"/>
        <v>*</v>
      </c>
      <c r="S179" t="e">
        <f t="shared" ca="1" si="30"/>
        <v>#N/A</v>
      </c>
      <c r="T179" t="e">
        <f t="shared" ca="1" si="31"/>
        <v>#N/A</v>
      </c>
      <c r="U179" t="e">
        <f ca="1">IF(AND($C179='Funnel setup'!$K$3&amp;'Funnel setup'!$K$6&amp;'Funnel setup'!$K$7&amp;'Funnel setup'!$K$4,'Funnel Lookup'!I179="*",'Funnel Lookup'!I179="*"),#N/A,IF(AND($C179='Funnel setup'!$K$3&amp;'Funnel setup'!$K$6&amp;'Funnel setup'!$K$7&amp;'Funnel setup'!$K$4,'Funnel Lookup'!I179&gt;29,'Funnel Lookup'!I179&lt;&gt;"-"),'Funnel Lookup'!I179,#N/A))</f>
        <v>#N/A</v>
      </c>
      <c r="V179" t="e">
        <f ca="1">IF(AND($C179='Funnel setup'!$K$3&amp;'Funnel setup'!$K$6&amp;'Funnel setup'!$K$7&amp;'Funnel setup'!$K$4,'Funnel Lookup'!I179="*",'Funnel Lookup'!I179="*"),#N/A,IF(AND($C179='Funnel setup'!$K$3&amp;'Funnel setup'!$K$6&amp;'Funnel setup'!$K$7&amp;'Funnel setup'!$K$4,'Funnel Lookup'!I179&gt;29,'Funnel Lookup'!I179&lt;&gt;"-"),'Funnel Lookup'!Q179,#N/A))</f>
        <v>#N/A</v>
      </c>
    </row>
    <row r="180" spans="1:22" x14ac:dyDescent="0.25">
      <c r="A180">
        <v>178</v>
      </c>
      <c r="B180">
        <f t="shared" ca="1" si="40"/>
        <v>178</v>
      </c>
      <c r="C180" t="str">
        <f t="shared" ca="1" si="40"/>
        <v>Total Hip ReplacementProviderSPIRE FYLDE COAST HOSPITAL (NT347)Oxford Hip Score</v>
      </c>
      <c r="D180" t="str">
        <f t="shared" ca="1" si="40"/>
        <v>Total Hip Replacement</v>
      </c>
      <c r="E180" t="str">
        <f t="shared" ca="1" si="40"/>
        <v>Provider</v>
      </c>
      <c r="F180" t="str">
        <f t="shared" ca="1" si="40"/>
        <v>NT347</v>
      </c>
      <c r="G180" t="str">
        <f t="shared" ca="1" si="40"/>
        <v>SPIRE FYLDE COAST HOSPITAL (NT347)</v>
      </c>
      <c r="H180" t="str">
        <f t="shared" ca="1" si="40"/>
        <v>Oxford Hip Score</v>
      </c>
      <c r="I180">
        <f t="shared" ca="1" si="40"/>
        <v>29</v>
      </c>
      <c r="J180">
        <f t="shared" ca="1" si="40"/>
        <v>19.862100000000002</v>
      </c>
      <c r="K180">
        <f t="shared" ca="1" si="40"/>
        <v>41.413800000000002</v>
      </c>
      <c r="L180">
        <f t="shared" ca="1" si="41"/>
        <v>21.5517</v>
      </c>
      <c r="M180">
        <f t="shared" ca="1" si="41"/>
        <v>28</v>
      </c>
      <c r="N180">
        <f t="shared" ca="1" si="41"/>
        <v>0</v>
      </c>
      <c r="O180">
        <f t="shared" ca="1" si="41"/>
        <v>1</v>
      </c>
      <c r="P180" t="str">
        <f t="shared" ca="1" si="41"/>
        <v>*</v>
      </c>
      <c r="Q180" t="str">
        <f t="shared" ca="1" si="41"/>
        <v>*</v>
      </c>
      <c r="R180" t="str">
        <f t="shared" ca="1" si="41"/>
        <v>*</v>
      </c>
      <c r="S180" t="e">
        <f t="shared" ca="1" si="30"/>
        <v>#N/A</v>
      </c>
      <c r="T180" t="e">
        <f t="shared" ca="1" si="31"/>
        <v>#N/A</v>
      </c>
      <c r="U180" t="e">
        <f ca="1">IF(AND($C180='Funnel setup'!$K$3&amp;'Funnel setup'!$K$6&amp;'Funnel setup'!$K$7&amp;'Funnel setup'!$K$4,'Funnel Lookup'!I180="*",'Funnel Lookup'!I180="*"),#N/A,IF(AND($C180='Funnel setup'!$K$3&amp;'Funnel setup'!$K$6&amp;'Funnel setup'!$K$7&amp;'Funnel setup'!$K$4,'Funnel Lookup'!I180&gt;29,'Funnel Lookup'!I180&lt;&gt;"-"),'Funnel Lookup'!I180,#N/A))</f>
        <v>#N/A</v>
      </c>
      <c r="V180" t="e">
        <f ca="1">IF(AND($C180='Funnel setup'!$K$3&amp;'Funnel setup'!$K$6&amp;'Funnel setup'!$K$7&amp;'Funnel setup'!$K$4,'Funnel Lookup'!I180="*",'Funnel Lookup'!I180="*"),#N/A,IF(AND($C180='Funnel setup'!$K$3&amp;'Funnel setup'!$K$6&amp;'Funnel setup'!$K$7&amp;'Funnel setup'!$K$4,'Funnel Lookup'!I180&gt;29,'Funnel Lookup'!I180&lt;&gt;"-"),'Funnel Lookup'!Q180,#N/A))</f>
        <v>#N/A</v>
      </c>
    </row>
    <row r="181" spans="1:22" x14ac:dyDescent="0.25">
      <c r="A181">
        <v>179</v>
      </c>
      <c r="B181">
        <f t="shared" ca="1" si="40"/>
        <v>179</v>
      </c>
      <c r="C181" t="str">
        <f t="shared" ca="1" si="40"/>
        <v>Total Hip ReplacementProviderSPIRE GATWICK PARK HOSPITAL (NT308)Oxford Hip Score</v>
      </c>
      <c r="D181" t="str">
        <f t="shared" ca="1" si="40"/>
        <v>Total Hip Replacement</v>
      </c>
      <c r="E181" t="str">
        <f t="shared" ca="1" si="40"/>
        <v>Provider</v>
      </c>
      <c r="F181" t="str">
        <f t="shared" ca="1" si="40"/>
        <v>NT308</v>
      </c>
      <c r="G181" t="str">
        <f t="shared" ca="1" si="40"/>
        <v>SPIRE GATWICK PARK HOSPITAL (NT308)</v>
      </c>
      <c r="H181" t="str">
        <f t="shared" ca="1" si="40"/>
        <v>Oxford Hip Score</v>
      </c>
      <c r="I181">
        <f t="shared" ca="1" si="40"/>
        <v>8</v>
      </c>
      <c r="J181">
        <f t="shared" ca="1" si="40"/>
        <v>19.8889</v>
      </c>
      <c r="K181">
        <f t="shared" ca="1" si="40"/>
        <v>38.444400000000002</v>
      </c>
      <c r="L181">
        <f t="shared" ca="1" si="41"/>
        <v>18.555599999999998</v>
      </c>
      <c r="M181">
        <f t="shared" ca="1" si="41"/>
        <v>8</v>
      </c>
      <c r="N181">
        <f t="shared" ca="1" si="41"/>
        <v>0</v>
      </c>
      <c r="O181">
        <f t="shared" ca="1" si="41"/>
        <v>0</v>
      </c>
      <c r="P181" t="str">
        <f t="shared" ca="1" si="41"/>
        <v>*</v>
      </c>
      <c r="Q181" t="str">
        <f t="shared" ca="1" si="41"/>
        <v>*</v>
      </c>
      <c r="R181" t="str">
        <f t="shared" ca="1" si="41"/>
        <v>*</v>
      </c>
      <c r="S181" t="e">
        <f t="shared" ca="1" si="30"/>
        <v>#N/A</v>
      </c>
      <c r="T181" t="e">
        <f t="shared" ca="1" si="31"/>
        <v>#N/A</v>
      </c>
      <c r="U181" t="e">
        <f ca="1">IF(AND($C181='Funnel setup'!$K$3&amp;'Funnel setup'!$K$6&amp;'Funnel setup'!$K$7&amp;'Funnel setup'!$K$4,'Funnel Lookup'!I181="*",'Funnel Lookup'!I181="*"),#N/A,IF(AND($C181='Funnel setup'!$K$3&amp;'Funnel setup'!$K$6&amp;'Funnel setup'!$K$7&amp;'Funnel setup'!$K$4,'Funnel Lookup'!I181&gt;29,'Funnel Lookup'!I181&lt;&gt;"-"),'Funnel Lookup'!I181,#N/A))</f>
        <v>#N/A</v>
      </c>
      <c r="V181" t="e">
        <f ca="1">IF(AND($C181='Funnel setup'!$K$3&amp;'Funnel setup'!$K$6&amp;'Funnel setup'!$K$7&amp;'Funnel setup'!$K$4,'Funnel Lookup'!I181="*",'Funnel Lookup'!I181="*"),#N/A,IF(AND($C181='Funnel setup'!$K$3&amp;'Funnel setup'!$K$6&amp;'Funnel setup'!$K$7&amp;'Funnel setup'!$K$4,'Funnel Lookup'!I181&gt;29,'Funnel Lookup'!I181&lt;&gt;"-"),'Funnel Lookup'!Q181,#N/A))</f>
        <v>#N/A</v>
      </c>
    </row>
    <row r="182" spans="1:22" x14ac:dyDescent="0.25">
      <c r="A182">
        <v>180</v>
      </c>
      <c r="B182">
        <f t="shared" ca="1" si="40"/>
        <v>180</v>
      </c>
      <c r="C182" t="str">
        <f t="shared" ca="1" si="40"/>
        <v>Total Hip ReplacementProviderSPIRE HARPENDEN HOSPITAL (NT316)Oxford Hip Score</v>
      </c>
      <c r="D182" t="str">
        <f t="shared" ca="1" si="40"/>
        <v>Total Hip Replacement</v>
      </c>
      <c r="E182" t="str">
        <f t="shared" ca="1" si="40"/>
        <v>Provider</v>
      </c>
      <c r="F182" t="str">
        <f t="shared" ca="1" si="40"/>
        <v>NT316</v>
      </c>
      <c r="G182" t="str">
        <f t="shared" ca="1" si="40"/>
        <v>SPIRE HARPENDEN HOSPITAL (NT316)</v>
      </c>
      <c r="H182" t="str">
        <f t="shared" ca="1" si="40"/>
        <v>Oxford Hip Score</v>
      </c>
      <c r="I182">
        <f t="shared" ca="1" si="40"/>
        <v>32</v>
      </c>
      <c r="J182">
        <f t="shared" ca="1" si="40"/>
        <v>16.281300000000002</v>
      </c>
      <c r="K182">
        <f t="shared" ca="1" si="40"/>
        <v>40.843800000000002</v>
      </c>
      <c r="L182">
        <f t="shared" ca="1" si="41"/>
        <v>24.5625</v>
      </c>
      <c r="M182">
        <f t="shared" ca="1" si="41"/>
        <v>32</v>
      </c>
      <c r="N182">
        <f t="shared" ca="1" si="41"/>
        <v>0</v>
      </c>
      <c r="O182">
        <f t="shared" ca="1" si="41"/>
        <v>0</v>
      </c>
      <c r="P182">
        <f t="shared" ca="1" si="41"/>
        <v>40.072699999999998</v>
      </c>
      <c r="Q182">
        <f t="shared" ca="1" si="41"/>
        <v>22.8613</v>
      </c>
      <c r="R182">
        <f t="shared" ca="1" si="41"/>
        <v>6.3998699999999999</v>
      </c>
      <c r="S182">
        <f t="shared" ca="1" si="30"/>
        <v>32</v>
      </c>
      <c r="T182">
        <f t="shared" ca="1" si="31"/>
        <v>22.8613</v>
      </c>
      <c r="U182" t="e">
        <f ca="1">IF(AND($C182='Funnel setup'!$K$3&amp;'Funnel setup'!$K$6&amp;'Funnel setup'!$K$7&amp;'Funnel setup'!$K$4,'Funnel Lookup'!I182="*",'Funnel Lookup'!I182="*"),#N/A,IF(AND($C182='Funnel setup'!$K$3&amp;'Funnel setup'!$K$6&amp;'Funnel setup'!$K$7&amp;'Funnel setup'!$K$4,'Funnel Lookup'!I182&gt;29,'Funnel Lookup'!I182&lt;&gt;"-"),'Funnel Lookup'!I182,#N/A))</f>
        <v>#N/A</v>
      </c>
      <c r="V182" t="e">
        <f ca="1">IF(AND($C182='Funnel setup'!$K$3&amp;'Funnel setup'!$K$6&amp;'Funnel setup'!$K$7&amp;'Funnel setup'!$K$4,'Funnel Lookup'!I182="*",'Funnel Lookup'!I182="*"),#N/A,IF(AND($C182='Funnel setup'!$K$3&amp;'Funnel setup'!$K$6&amp;'Funnel setup'!$K$7&amp;'Funnel setup'!$K$4,'Funnel Lookup'!I182&gt;29,'Funnel Lookup'!I182&lt;&gt;"-"),'Funnel Lookup'!Q182,#N/A))</f>
        <v>#N/A</v>
      </c>
    </row>
    <row r="183" spans="1:22" x14ac:dyDescent="0.25">
      <c r="A183">
        <v>181</v>
      </c>
      <c r="B183">
        <f t="shared" ref="B183:K192" ca="1" si="42">VLOOKUP($A183,Funnel_Data,B$1,FALSE)</f>
        <v>181</v>
      </c>
      <c r="C183" t="str">
        <f t="shared" ca="1" si="42"/>
        <v>Total Hip ReplacementProviderSPIRE HARTSWOOD HOSPITAL (NT319)Oxford Hip Score</v>
      </c>
      <c r="D183" t="str">
        <f t="shared" ca="1" si="42"/>
        <v>Total Hip Replacement</v>
      </c>
      <c r="E183" t="str">
        <f t="shared" ca="1" si="42"/>
        <v>Provider</v>
      </c>
      <c r="F183" t="str">
        <f t="shared" ca="1" si="42"/>
        <v>NT319</v>
      </c>
      <c r="G183" t="str">
        <f t="shared" ca="1" si="42"/>
        <v>SPIRE HARTSWOOD HOSPITAL (NT319)</v>
      </c>
      <c r="H183" t="str">
        <f t="shared" ca="1" si="42"/>
        <v>Oxford Hip Score</v>
      </c>
      <c r="I183">
        <f t="shared" ca="1" si="42"/>
        <v>12</v>
      </c>
      <c r="J183">
        <f t="shared" ca="1" si="42"/>
        <v>15.083299999999999</v>
      </c>
      <c r="K183">
        <f t="shared" ca="1" si="42"/>
        <v>42.333300000000001</v>
      </c>
      <c r="L183">
        <f t="shared" ref="L183:R192" ca="1" si="43">VLOOKUP($A183,Funnel_Data,L$1,FALSE)</f>
        <v>27.25</v>
      </c>
      <c r="M183">
        <f t="shared" ca="1" si="43"/>
        <v>12</v>
      </c>
      <c r="N183">
        <f t="shared" ca="1" si="43"/>
        <v>0</v>
      </c>
      <c r="O183">
        <f t="shared" ca="1" si="43"/>
        <v>0</v>
      </c>
      <c r="P183" t="str">
        <f t="shared" ca="1" si="43"/>
        <v>*</v>
      </c>
      <c r="Q183" t="str">
        <f t="shared" ca="1" si="43"/>
        <v>*</v>
      </c>
      <c r="R183" t="str">
        <f t="shared" ca="1" si="43"/>
        <v>*</v>
      </c>
      <c r="S183" t="e">
        <f t="shared" ca="1" si="30"/>
        <v>#N/A</v>
      </c>
      <c r="T183" t="e">
        <f t="shared" ca="1" si="31"/>
        <v>#N/A</v>
      </c>
      <c r="U183" t="e">
        <f ca="1">IF(AND($C183='Funnel setup'!$K$3&amp;'Funnel setup'!$K$6&amp;'Funnel setup'!$K$7&amp;'Funnel setup'!$K$4,'Funnel Lookup'!I183="*",'Funnel Lookup'!I183="*"),#N/A,IF(AND($C183='Funnel setup'!$K$3&amp;'Funnel setup'!$K$6&amp;'Funnel setup'!$K$7&amp;'Funnel setup'!$K$4,'Funnel Lookup'!I183&gt;29,'Funnel Lookup'!I183&lt;&gt;"-"),'Funnel Lookup'!I183,#N/A))</f>
        <v>#N/A</v>
      </c>
      <c r="V183" t="e">
        <f ca="1">IF(AND($C183='Funnel setup'!$K$3&amp;'Funnel setup'!$K$6&amp;'Funnel setup'!$K$7&amp;'Funnel setup'!$K$4,'Funnel Lookup'!I183="*",'Funnel Lookup'!I183="*"),#N/A,IF(AND($C183='Funnel setup'!$K$3&amp;'Funnel setup'!$K$6&amp;'Funnel setup'!$K$7&amp;'Funnel setup'!$K$4,'Funnel Lookup'!I183&gt;29,'Funnel Lookup'!I183&lt;&gt;"-"),'Funnel Lookup'!Q183,#N/A))</f>
        <v>#N/A</v>
      </c>
    </row>
    <row r="184" spans="1:22" x14ac:dyDescent="0.25">
      <c r="A184">
        <v>182</v>
      </c>
      <c r="B184">
        <f t="shared" ca="1" si="42"/>
        <v>182</v>
      </c>
      <c r="C184" t="str">
        <f t="shared" ca="1" si="42"/>
        <v>Total Hip ReplacementProviderSPIRE HULL AND EAST RIDING HOSPITAL (NT351)Oxford Hip Score</v>
      </c>
      <c r="D184" t="str">
        <f t="shared" ca="1" si="42"/>
        <v>Total Hip Replacement</v>
      </c>
      <c r="E184" t="str">
        <f t="shared" ca="1" si="42"/>
        <v>Provider</v>
      </c>
      <c r="F184" t="str">
        <f t="shared" ca="1" si="42"/>
        <v>NT351</v>
      </c>
      <c r="G184" t="str">
        <f t="shared" ca="1" si="42"/>
        <v>SPIRE HULL AND EAST RIDING HOSPITAL (NT351)</v>
      </c>
      <c r="H184" t="str">
        <f t="shared" ca="1" si="42"/>
        <v>Oxford Hip Score</v>
      </c>
      <c r="I184">
        <f t="shared" ca="1" si="42"/>
        <v>37</v>
      </c>
      <c r="J184">
        <f t="shared" ca="1" si="42"/>
        <v>16.270299999999999</v>
      </c>
      <c r="K184">
        <f t="shared" ca="1" si="42"/>
        <v>40.216200000000001</v>
      </c>
      <c r="L184">
        <f t="shared" ca="1" si="43"/>
        <v>23.945900000000002</v>
      </c>
      <c r="M184">
        <f t="shared" ca="1" si="43"/>
        <v>37</v>
      </c>
      <c r="N184">
        <f t="shared" ca="1" si="43"/>
        <v>0</v>
      </c>
      <c r="O184">
        <f t="shared" ca="1" si="43"/>
        <v>0</v>
      </c>
      <c r="P184">
        <f t="shared" ca="1" si="43"/>
        <v>40.125900000000001</v>
      </c>
      <c r="Q184">
        <f t="shared" ca="1" si="43"/>
        <v>22.914400000000001</v>
      </c>
      <c r="R184">
        <f t="shared" ca="1" si="43"/>
        <v>7.0212899999999996</v>
      </c>
      <c r="S184">
        <f t="shared" ca="1" si="30"/>
        <v>37</v>
      </c>
      <c r="T184">
        <f t="shared" ca="1" si="31"/>
        <v>22.914400000000001</v>
      </c>
      <c r="U184" t="e">
        <f ca="1">IF(AND($C184='Funnel setup'!$K$3&amp;'Funnel setup'!$K$6&amp;'Funnel setup'!$K$7&amp;'Funnel setup'!$K$4,'Funnel Lookup'!I184="*",'Funnel Lookup'!I184="*"),#N/A,IF(AND($C184='Funnel setup'!$K$3&amp;'Funnel setup'!$K$6&amp;'Funnel setup'!$K$7&amp;'Funnel setup'!$K$4,'Funnel Lookup'!I184&gt;29,'Funnel Lookup'!I184&lt;&gt;"-"),'Funnel Lookup'!I184,#N/A))</f>
        <v>#N/A</v>
      </c>
      <c r="V184" t="e">
        <f ca="1">IF(AND($C184='Funnel setup'!$K$3&amp;'Funnel setup'!$K$6&amp;'Funnel setup'!$K$7&amp;'Funnel setup'!$K$4,'Funnel Lookup'!I184="*",'Funnel Lookup'!I184="*"),#N/A,IF(AND($C184='Funnel setup'!$K$3&amp;'Funnel setup'!$K$6&amp;'Funnel setup'!$K$7&amp;'Funnel setup'!$K$4,'Funnel Lookup'!I184&gt;29,'Funnel Lookup'!I184&lt;&gt;"-"),'Funnel Lookup'!Q184,#N/A))</f>
        <v>#N/A</v>
      </c>
    </row>
    <row r="185" spans="1:22" x14ac:dyDescent="0.25">
      <c r="A185">
        <v>183</v>
      </c>
      <c r="B185">
        <f t="shared" ca="1" si="42"/>
        <v>183</v>
      </c>
      <c r="C185" t="str">
        <f t="shared" ca="1" si="42"/>
        <v>Total Hip ReplacementProviderSPIRE LEEDS HOSPITAL (NT332)Oxford Hip Score</v>
      </c>
      <c r="D185" t="str">
        <f t="shared" ca="1" si="42"/>
        <v>Total Hip Replacement</v>
      </c>
      <c r="E185" t="str">
        <f t="shared" ca="1" si="42"/>
        <v>Provider</v>
      </c>
      <c r="F185" t="str">
        <f t="shared" ca="1" si="42"/>
        <v>NT332</v>
      </c>
      <c r="G185" t="str">
        <f t="shared" ca="1" si="42"/>
        <v>SPIRE LEEDS HOSPITAL (NT332)</v>
      </c>
      <c r="H185" t="str">
        <f t="shared" ca="1" si="42"/>
        <v>Oxford Hip Score</v>
      </c>
      <c r="I185">
        <f t="shared" ca="1" si="42"/>
        <v>14</v>
      </c>
      <c r="J185">
        <f t="shared" ca="1" si="42"/>
        <v>18.071400000000001</v>
      </c>
      <c r="K185">
        <f t="shared" ca="1" si="42"/>
        <v>42.785699999999999</v>
      </c>
      <c r="L185">
        <f t="shared" ca="1" si="43"/>
        <v>24.714300000000001</v>
      </c>
      <c r="M185">
        <f t="shared" ca="1" si="43"/>
        <v>13</v>
      </c>
      <c r="N185">
        <f t="shared" ca="1" si="43"/>
        <v>0</v>
      </c>
      <c r="O185">
        <f t="shared" ca="1" si="43"/>
        <v>1</v>
      </c>
      <c r="P185" t="str">
        <f t="shared" ca="1" si="43"/>
        <v>*</v>
      </c>
      <c r="Q185" t="str">
        <f t="shared" ca="1" si="43"/>
        <v>*</v>
      </c>
      <c r="R185" t="str">
        <f t="shared" ca="1" si="43"/>
        <v>*</v>
      </c>
      <c r="S185" t="e">
        <f t="shared" ca="1" si="30"/>
        <v>#N/A</v>
      </c>
      <c r="T185" t="e">
        <f t="shared" ca="1" si="31"/>
        <v>#N/A</v>
      </c>
      <c r="U185" t="e">
        <f ca="1">IF(AND($C185='Funnel setup'!$K$3&amp;'Funnel setup'!$K$6&amp;'Funnel setup'!$K$7&amp;'Funnel setup'!$K$4,'Funnel Lookup'!I185="*",'Funnel Lookup'!I185="*"),#N/A,IF(AND($C185='Funnel setup'!$K$3&amp;'Funnel setup'!$K$6&amp;'Funnel setup'!$K$7&amp;'Funnel setup'!$K$4,'Funnel Lookup'!I185&gt;29,'Funnel Lookup'!I185&lt;&gt;"-"),'Funnel Lookup'!I185,#N/A))</f>
        <v>#N/A</v>
      </c>
      <c r="V185" t="e">
        <f ca="1">IF(AND($C185='Funnel setup'!$K$3&amp;'Funnel setup'!$K$6&amp;'Funnel setup'!$K$7&amp;'Funnel setup'!$K$4,'Funnel Lookup'!I185="*",'Funnel Lookup'!I185="*"),#N/A,IF(AND($C185='Funnel setup'!$K$3&amp;'Funnel setup'!$K$6&amp;'Funnel setup'!$K$7&amp;'Funnel setup'!$K$4,'Funnel Lookup'!I185&gt;29,'Funnel Lookup'!I185&lt;&gt;"-"),'Funnel Lookup'!Q185,#N/A))</f>
        <v>#N/A</v>
      </c>
    </row>
    <row r="186" spans="1:22" x14ac:dyDescent="0.25">
      <c r="A186">
        <v>184</v>
      </c>
      <c r="B186">
        <f t="shared" ca="1" si="42"/>
        <v>184</v>
      </c>
      <c r="C186" t="str">
        <f t="shared" ca="1" si="42"/>
        <v>Total Hip ReplacementProviderSPIRE LEICESTER HOSPITAL (NT322)Oxford Hip Score</v>
      </c>
      <c r="D186" t="str">
        <f t="shared" ca="1" si="42"/>
        <v>Total Hip Replacement</v>
      </c>
      <c r="E186" t="str">
        <f t="shared" ca="1" si="42"/>
        <v>Provider</v>
      </c>
      <c r="F186" t="str">
        <f t="shared" ca="1" si="42"/>
        <v>NT322</v>
      </c>
      <c r="G186" t="str">
        <f t="shared" ca="1" si="42"/>
        <v>SPIRE LEICESTER HOSPITAL (NT322)</v>
      </c>
      <c r="H186" t="str">
        <f t="shared" ca="1" si="42"/>
        <v>Oxford Hip Score</v>
      </c>
      <c r="I186">
        <f t="shared" ca="1" si="42"/>
        <v>32</v>
      </c>
      <c r="J186">
        <f t="shared" ca="1" si="42"/>
        <v>18</v>
      </c>
      <c r="K186">
        <f t="shared" ca="1" si="42"/>
        <v>41.5</v>
      </c>
      <c r="L186">
        <f t="shared" ca="1" si="43"/>
        <v>23.5</v>
      </c>
      <c r="M186">
        <f t="shared" ca="1" si="43"/>
        <v>31</v>
      </c>
      <c r="N186">
        <f t="shared" ca="1" si="43"/>
        <v>0</v>
      </c>
      <c r="O186">
        <f t="shared" ca="1" si="43"/>
        <v>1</v>
      </c>
      <c r="P186">
        <f t="shared" ca="1" si="43"/>
        <v>41.5473</v>
      </c>
      <c r="Q186">
        <f t="shared" ca="1" si="43"/>
        <v>24.335799999999999</v>
      </c>
      <c r="R186">
        <f t="shared" ca="1" si="43"/>
        <v>7.5665500000000003</v>
      </c>
      <c r="S186">
        <f t="shared" ca="1" si="30"/>
        <v>32</v>
      </c>
      <c r="T186">
        <f t="shared" ca="1" si="31"/>
        <v>24.335799999999999</v>
      </c>
      <c r="U186" t="e">
        <f ca="1">IF(AND($C186='Funnel setup'!$K$3&amp;'Funnel setup'!$K$6&amp;'Funnel setup'!$K$7&amp;'Funnel setup'!$K$4,'Funnel Lookup'!I186="*",'Funnel Lookup'!I186="*"),#N/A,IF(AND($C186='Funnel setup'!$K$3&amp;'Funnel setup'!$K$6&amp;'Funnel setup'!$K$7&amp;'Funnel setup'!$K$4,'Funnel Lookup'!I186&gt;29,'Funnel Lookup'!I186&lt;&gt;"-"),'Funnel Lookup'!I186,#N/A))</f>
        <v>#N/A</v>
      </c>
      <c r="V186" t="e">
        <f ca="1">IF(AND($C186='Funnel setup'!$K$3&amp;'Funnel setup'!$K$6&amp;'Funnel setup'!$K$7&amp;'Funnel setup'!$K$4,'Funnel Lookup'!I186="*",'Funnel Lookup'!I186="*"),#N/A,IF(AND($C186='Funnel setup'!$K$3&amp;'Funnel setup'!$K$6&amp;'Funnel setup'!$K$7&amp;'Funnel setup'!$K$4,'Funnel Lookup'!I186&gt;29,'Funnel Lookup'!I186&lt;&gt;"-"),'Funnel Lookup'!Q186,#N/A))</f>
        <v>#N/A</v>
      </c>
    </row>
    <row r="187" spans="1:22" x14ac:dyDescent="0.25">
      <c r="A187">
        <v>185</v>
      </c>
      <c r="B187">
        <f t="shared" ca="1" si="42"/>
        <v>185</v>
      </c>
      <c r="C187" t="str">
        <f t="shared" ca="1" si="42"/>
        <v>Total Hip ReplacementProviderSPIRE LITTLE ASTON HOSPITAL (NT321)Oxford Hip Score</v>
      </c>
      <c r="D187" t="str">
        <f t="shared" ca="1" si="42"/>
        <v>Total Hip Replacement</v>
      </c>
      <c r="E187" t="str">
        <f t="shared" ca="1" si="42"/>
        <v>Provider</v>
      </c>
      <c r="F187" t="str">
        <f t="shared" ca="1" si="42"/>
        <v>NT321</v>
      </c>
      <c r="G187" t="str">
        <f t="shared" ca="1" si="42"/>
        <v>SPIRE LITTLE ASTON HOSPITAL (NT321)</v>
      </c>
      <c r="H187" t="str">
        <f t="shared" ca="1" si="42"/>
        <v>Oxford Hip Score</v>
      </c>
      <c r="I187">
        <f t="shared" ca="1" si="42"/>
        <v>30</v>
      </c>
      <c r="J187">
        <f t="shared" ca="1" si="42"/>
        <v>18.7</v>
      </c>
      <c r="K187">
        <f t="shared" ca="1" si="42"/>
        <v>37</v>
      </c>
      <c r="L187">
        <f t="shared" ca="1" si="43"/>
        <v>18.3</v>
      </c>
      <c r="M187">
        <f t="shared" ca="1" si="43"/>
        <v>30</v>
      </c>
      <c r="N187">
        <f t="shared" ca="1" si="43"/>
        <v>0</v>
      </c>
      <c r="O187">
        <f t="shared" ca="1" si="43"/>
        <v>0</v>
      </c>
      <c r="P187">
        <f t="shared" ca="1" si="43"/>
        <v>34.976300000000002</v>
      </c>
      <c r="Q187">
        <f t="shared" ca="1" si="43"/>
        <v>17.764800000000001</v>
      </c>
      <c r="R187">
        <f t="shared" ca="1" si="43"/>
        <v>7.6356200000000003</v>
      </c>
      <c r="S187">
        <f t="shared" ca="1" si="30"/>
        <v>30</v>
      </c>
      <c r="T187">
        <f t="shared" ca="1" si="31"/>
        <v>17.764800000000001</v>
      </c>
      <c r="U187" t="e">
        <f ca="1">IF(AND($C187='Funnel setup'!$K$3&amp;'Funnel setup'!$K$6&amp;'Funnel setup'!$K$7&amp;'Funnel setup'!$K$4,'Funnel Lookup'!I187="*",'Funnel Lookup'!I187="*"),#N/A,IF(AND($C187='Funnel setup'!$K$3&amp;'Funnel setup'!$K$6&amp;'Funnel setup'!$K$7&amp;'Funnel setup'!$K$4,'Funnel Lookup'!I187&gt;29,'Funnel Lookup'!I187&lt;&gt;"-"),'Funnel Lookup'!I187,#N/A))</f>
        <v>#N/A</v>
      </c>
      <c r="V187" t="e">
        <f ca="1">IF(AND($C187='Funnel setup'!$K$3&amp;'Funnel setup'!$K$6&amp;'Funnel setup'!$K$7&amp;'Funnel setup'!$K$4,'Funnel Lookup'!I187="*",'Funnel Lookup'!I187="*"),#N/A,IF(AND($C187='Funnel setup'!$K$3&amp;'Funnel setup'!$K$6&amp;'Funnel setup'!$K$7&amp;'Funnel setup'!$K$4,'Funnel Lookup'!I187&gt;29,'Funnel Lookup'!I187&lt;&gt;"-"),'Funnel Lookup'!Q187,#N/A))</f>
        <v>#N/A</v>
      </c>
    </row>
    <row r="188" spans="1:22" x14ac:dyDescent="0.25">
      <c r="A188">
        <v>186</v>
      </c>
      <c r="B188">
        <f t="shared" ca="1" si="42"/>
        <v>186</v>
      </c>
      <c r="C188" t="str">
        <f t="shared" ca="1" si="42"/>
        <v>Total Hip ReplacementProviderSPIRE LIVERPOOL HOSPITAL (NT337)Oxford Hip Score</v>
      </c>
      <c r="D188" t="str">
        <f t="shared" ca="1" si="42"/>
        <v>Total Hip Replacement</v>
      </c>
      <c r="E188" t="str">
        <f t="shared" ca="1" si="42"/>
        <v>Provider</v>
      </c>
      <c r="F188" t="str">
        <f t="shared" ca="1" si="42"/>
        <v>NT337</v>
      </c>
      <c r="G188" t="str">
        <f t="shared" ca="1" si="42"/>
        <v>SPIRE LIVERPOOL HOSPITAL (NT337)</v>
      </c>
      <c r="H188" t="str">
        <f t="shared" ca="1" si="42"/>
        <v>Oxford Hip Score</v>
      </c>
      <c r="I188">
        <f t="shared" ca="1" si="42"/>
        <v>9</v>
      </c>
      <c r="J188">
        <f t="shared" ca="1" si="42"/>
        <v>14.1111</v>
      </c>
      <c r="K188">
        <f t="shared" ca="1" si="42"/>
        <v>43</v>
      </c>
      <c r="L188">
        <f t="shared" ca="1" si="43"/>
        <v>28.8889</v>
      </c>
      <c r="M188">
        <f t="shared" ca="1" si="43"/>
        <v>9</v>
      </c>
      <c r="N188">
        <f t="shared" ca="1" si="43"/>
        <v>0</v>
      </c>
      <c r="O188">
        <f t="shared" ca="1" si="43"/>
        <v>0</v>
      </c>
      <c r="P188" t="str">
        <f t="shared" ca="1" si="43"/>
        <v>*</v>
      </c>
      <c r="Q188" t="str">
        <f t="shared" ca="1" si="43"/>
        <v>*</v>
      </c>
      <c r="R188" t="str">
        <f t="shared" ca="1" si="43"/>
        <v>*</v>
      </c>
      <c r="S188" t="e">
        <f t="shared" ca="1" si="30"/>
        <v>#N/A</v>
      </c>
      <c r="T188" t="e">
        <f t="shared" ca="1" si="31"/>
        <v>#N/A</v>
      </c>
      <c r="U188" t="e">
        <f ca="1">IF(AND($C188='Funnel setup'!$K$3&amp;'Funnel setup'!$K$6&amp;'Funnel setup'!$K$7&amp;'Funnel setup'!$K$4,'Funnel Lookup'!I188="*",'Funnel Lookup'!I188="*"),#N/A,IF(AND($C188='Funnel setup'!$K$3&amp;'Funnel setup'!$K$6&amp;'Funnel setup'!$K$7&amp;'Funnel setup'!$K$4,'Funnel Lookup'!I188&gt;29,'Funnel Lookup'!I188&lt;&gt;"-"),'Funnel Lookup'!I188,#N/A))</f>
        <v>#N/A</v>
      </c>
      <c r="V188" t="e">
        <f ca="1">IF(AND($C188='Funnel setup'!$K$3&amp;'Funnel setup'!$K$6&amp;'Funnel setup'!$K$7&amp;'Funnel setup'!$K$4,'Funnel Lookup'!I188="*",'Funnel Lookup'!I188="*"),#N/A,IF(AND($C188='Funnel setup'!$K$3&amp;'Funnel setup'!$K$6&amp;'Funnel setup'!$K$7&amp;'Funnel setup'!$K$4,'Funnel Lookup'!I188&gt;29,'Funnel Lookup'!I188&lt;&gt;"-"),'Funnel Lookup'!Q188,#N/A))</f>
        <v>#N/A</v>
      </c>
    </row>
    <row r="189" spans="1:22" x14ac:dyDescent="0.25">
      <c r="A189">
        <v>187</v>
      </c>
      <c r="B189">
        <f t="shared" ca="1" si="42"/>
        <v>187</v>
      </c>
      <c r="C189" t="str">
        <f t="shared" ca="1" si="42"/>
        <v>Total Hip ReplacementProviderSPIRE MANCHESTER HOSPITAL (NT327)Oxford Hip Score</v>
      </c>
      <c r="D189" t="str">
        <f t="shared" ca="1" si="42"/>
        <v>Total Hip Replacement</v>
      </c>
      <c r="E189" t="str">
        <f t="shared" ca="1" si="42"/>
        <v>Provider</v>
      </c>
      <c r="F189" t="str">
        <f t="shared" ca="1" si="42"/>
        <v>NT327</v>
      </c>
      <c r="G189" t="str">
        <f t="shared" ca="1" si="42"/>
        <v>SPIRE MANCHESTER HOSPITAL (NT327)</v>
      </c>
      <c r="H189" t="str">
        <f t="shared" ca="1" si="42"/>
        <v>Oxford Hip Score</v>
      </c>
      <c r="I189">
        <f t="shared" ca="1" si="42"/>
        <v>31</v>
      </c>
      <c r="J189">
        <f t="shared" ca="1" si="42"/>
        <v>18.709700000000002</v>
      </c>
      <c r="K189">
        <f t="shared" ca="1" si="42"/>
        <v>40.451599999999999</v>
      </c>
      <c r="L189">
        <f t="shared" ca="1" si="43"/>
        <v>21.741900000000001</v>
      </c>
      <c r="M189">
        <f t="shared" ca="1" si="43"/>
        <v>31</v>
      </c>
      <c r="N189">
        <f t="shared" ca="1" si="43"/>
        <v>0</v>
      </c>
      <c r="O189">
        <f t="shared" ca="1" si="43"/>
        <v>0</v>
      </c>
      <c r="P189">
        <f t="shared" ca="1" si="43"/>
        <v>38.3703</v>
      </c>
      <c r="Q189">
        <f t="shared" ca="1" si="43"/>
        <v>21.158899999999999</v>
      </c>
      <c r="R189">
        <f t="shared" ca="1" si="43"/>
        <v>8.2557500000000008</v>
      </c>
      <c r="S189">
        <f t="shared" ca="1" si="30"/>
        <v>31</v>
      </c>
      <c r="T189">
        <f t="shared" ca="1" si="31"/>
        <v>21.158899999999999</v>
      </c>
      <c r="U189" t="e">
        <f ca="1">IF(AND($C189='Funnel setup'!$K$3&amp;'Funnel setup'!$K$6&amp;'Funnel setup'!$K$7&amp;'Funnel setup'!$K$4,'Funnel Lookup'!I189="*",'Funnel Lookup'!I189="*"),#N/A,IF(AND($C189='Funnel setup'!$K$3&amp;'Funnel setup'!$K$6&amp;'Funnel setup'!$K$7&amp;'Funnel setup'!$K$4,'Funnel Lookup'!I189&gt;29,'Funnel Lookup'!I189&lt;&gt;"-"),'Funnel Lookup'!I189,#N/A))</f>
        <v>#N/A</v>
      </c>
      <c r="V189" t="e">
        <f ca="1">IF(AND($C189='Funnel setup'!$K$3&amp;'Funnel setup'!$K$6&amp;'Funnel setup'!$K$7&amp;'Funnel setup'!$K$4,'Funnel Lookup'!I189="*",'Funnel Lookup'!I189="*"),#N/A,IF(AND($C189='Funnel setup'!$K$3&amp;'Funnel setup'!$K$6&amp;'Funnel setup'!$K$7&amp;'Funnel setup'!$K$4,'Funnel Lookup'!I189&gt;29,'Funnel Lookup'!I189&lt;&gt;"-"),'Funnel Lookup'!Q189,#N/A))</f>
        <v>#N/A</v>
      </c>
    </row>
    <row r="190" spans="1:22" x14ac:dyDescent="0.25">
      <c r="A190">
        <v>188</v>
      </c>
      <c r="B190">
        <f t="shared" ca="1" si="42"/>
        <v>188</v>
      </c>
      <c r="C190" t="str">
        <f t="shared" ca="1" si="42"/>
        <v>Total Hip ReplacementProviderSPIRE METHLEY PARK HOSPITAL (NT350)Oxford Hip Score</v>
      </c>
      <c r="D190" t="str">
        <f t="shared" ca="1" si="42"/>
        <v>Total Hip Replacement</v>
      </c>
      <c r="E190" t="str">
        <f t="shared" ca="1" si="42"/>
        <v>Provider</v>
      </c>
      <c r="F190" t="str">
        <f t="shared" ca="1" si="42"/>
        <v>NT350</v>
      </c>
      <c r="G190" t="str">
        <f t="shared" ca="1" si="42"/>
        <v>SPIRE METHLEY PARK HOSPITAL (NT350)</v>
      </c>
      <c r="H190" t="str">
        <f t="shared" ca="1" si="42"/>
        <v>Oxford Hip Score</v>
      </c>
      <c r="I190">
        <f t="shared" ca="1" si="42"/>
        <v>28</v>
      </c>
      <c r="J190">
        <f t="shared" ca="1" si="42"/>
        <v>16.392900000000001</v>
      </c>
      <c r="K190">
        <f t="shared" ca="1" si="42"/>
        <v>39.928600000000003</v>
      </c>
      <c r="L190">
        <f t="shared" ca="1" si="43"/>
        <v>23.535699999999999</v>
      </c>
      <c r="M190">
        <f t="shared" ca="1" si="43"/>
        <v>28</v>
      </c>
      <c r="N190">
        <f t="shared" ca="1" si="43"/>
        <v>0</v>
      </c>
      <c r="O190">
        <f t="shared" ca="1" si="43"/>
        <v>0</v>
      </c>
      <c r="P190" t="str">
        <f t="shared" ca="1" si="43"/>
        <v>*</v>
      </c>
      <c r="Q190" t="str">
        <f t="shared" ca="1" si="43"/>
        <v>*</v>
      </c>
      <c r="R190" t="str">
        <f t="shared" ca="1" si="43"/>
        <v>*</v>
      </c>
      <c r="S190" t="e">
        <f t="shared" ca="1" si="30"/>
        <v>#N/A</v>
      </c>
      <c r="T190" t="e">
        <f t="shared" ca="1" si="31"/>
        <v>#N/A</v>
      </c>
      <c r="U190" t="e">
        <f ca="1">IF(AND($C190='Funnel setup'!$K$3&amp;'Funnel setup'!$K$6&amp;'Funnel setup'!$K$7&amp;'Funnel setup'!$K$4,'Funnel Lookup'!I190="*",'Funnel Lookup'!I190="*"),#N/A,IF(AND($C190='Funnel setup'!$K$3&amp;'Funnel setup'!$K$6&amp;'Funnel setup'!$K$7&amp;'Funnel setup'!$K$4,'Funnel Lookup'!I190&gt;29,'Funnel Lookup'!I190&lt;&gt;"-"),'Funnel Lookup'!I190,#N/A))</f>
        <v>#N/A</v>
      </c>
      <c r="V190" t="e">
        <f ca="1">IF(AND($C190='Funnel setup'!$K$3&amp;'Funnel setup'!$K$6&amp;'Funnel setup'!$K$7&amp;'Funnel setup'!$K$4,'Funnel Lookup'!I190="*",'Funnel Lookup'!I190="*"),#N/A,IF(AND($C190='Funnel setup'!$K$3&amp;'Funnel setup'!$K$6&amp;'Funnel setup'!$K$7&amp;'Funnel setup'!$K$4,'Funnel Lookup'!I190&gt;29,'Funnel Lookup'!I190&lt;&gt;"-"),'Funnel Lookup'!Q190,#N/A))</f>
        <v>#N/A</v>
      </c>
    </row>
    <row r="191" spans="1:22" x14ac:dyDescent="0.25">
      <c r="A191">
        <v>189</v>
      </c>
      <c r="B191">
        <f t="shared" ca="1" si="42"/>
        <v>189</v>
      </c>
      <c r="C191" t="str">
        <f t="shared" ca="1" si="42"/>
        <v>Total Hip ReplacementProviderSPIRE MONTEFIORE HOSPITAL (NT364)Oxford Hip Score</v>
      </c>
      <c r="D191" t="str">
        <f t="shared" ca="1" si="42"/>
        <v>Total Hip Replacement</v>
      </c>
      <c r="E191" t="str">
        <f t="shared" ca="1" si="42"/>
        <v>Provider</v>
      </c>
      <c r="F191" t="str">
        <f t="shared" ca="1" si="42"/>
        <v>NT364</v>
      </c>
      <c r="G191" t="str">
        <f t="shared" ca="1" si="42"/>
        <v>SPIRE MONTEFIORE HOSPITAL (NT364)</v>
      </c>
      <c r="H191" t="str">
        <f t="shared" ca="1" si="42"/>
        <v>Oxford Hip Score</v>
      </c>
      <c r="I191">
        <f t="shared" ca="1" si="42"/>
        <v>3</v>
      </c>
      <c r="J191">
        <f t="shared" ca="1" si="42"/>
        <v>20.333300000000001</v>
      </c>
      <c r="K191">
        <f t="shared" ca="1" si="42"/>
        <v>48</v>
      </c>
      <c r="L191">
        <f t="shared" ca="1" si="43"/>
        <v>27.666699999999999</v>
      </c>
      <c r="M191">
        <f t="shared" ca="1" si="43"/>
        <v>3</v>
      </c>
      <c r="N191">
        <f t="shared" ca="1" si="43"/>
        <v>0</v>
      </c>
      <c r="O191">
        <f t="shared" ca="1" si="43"/>
        <v>0</v>
      </c>
      <c r="P191" t="str">
        <f t="shared" ca="1" si="43"/>
        <v>*</v>
      </c>
      <c r="Q191" t="str">
        <f t="shared" ca="1" si="43"/>
        <v>*</v>
      </c>
      <c r="R191" t="str">
        <f t="shared" ca="1" si="43"/>
        <v>*</v>
      </c>
      <c r="S191" t="e">
        <f t="shared" ca="1" si="30"/>
        <v>#N/A</v>
      </c>
      <c r="T191" t="e">
        <f t="shared" ca="1" si="31"/>
        <v>#N/A</v>
      </c>
      <c r="U191" t="e">
        <f ca="1">IF(AND($C191='Funnel setup'!$K$3&amp;'Funnel setup'!$K$6&amp;'Funnel setup'!$K$7&amp;'Funnel setup'!$K$4,'Funnel Lookup'!I191="*",'Funnel Lookup'!I191="*"),#N/A,IF(AND($C191='Funnel setup'!$K$3&amp;'Funnel setup'!$K$6&amp;'Funnel setup'!$K$7&amp;'Funnel setup'!$K$4,'Funnel Lookup'!I191&gt;29,'Funnel Lookup'!I191&lt;&gt;"-"),'Funnel Lookup'!I191,#N/A))</f>
        <v>#N/A</v>
      </c>
      <c r="V191" t="e">
        <f ca="1">IF(AND($C191='Funnel setup'!$K$3&amp;'Funnel setup'!$K$6&amp;'Funnel setup'!$K$7&amp;'Funnel setup'!$K$4,'Funnel Lookup'!I191="*",'Funnel Lookup'!I191="*"),#N/A,IF(AND($C191='Funnel setup'!$K$3&amp;'Funnel setup'!$K$6&amp;'Funnel setup'!$K$7&amp;'Funnel setup'!$K$4,'Funnel Lookup'!I191&gt;29,'Funnel Lookup'!I191&lt;&gt;"-"),'Funnel Lookup'!Q191,#N/A))</f>
        <v>#N/A</v>
      </c>
    </row>
    <row r="192" spans="1:22" x14ac:dyDescent="0.25">
      <c r="A192">
        <v>190</v>
      </c>
      <c r="B192">
        <f t="shared" ca="1" si="42"/>
        <v>190</v>
      </c>
      <c r="C192" t="str">
        <f t="shared" ca="1" si="42"/>
        <v>Total Hip ReplacementProviderSPIRE MURRAYFIELD HOSPITAL (NT325)Oxford Hip Score</v>
      </c>
      <c r="D192" t="str">
        <f t="shared" ca="1" si="42"/>
        <v>Total Hip Replacement</v>
      </c>
      <c r="E192" t="str">
        <f t="shared" ca="1" si="42"/>
        <v>Provider</v>
      </c>
      <c r="F192" t="str">
        <f t="shared" ca="1" si="42"/>
        <v>NT325</v>
      </c>
      <c r="G192" t="str">
        <f t="shared" ca="1" si="42"/>
        <v>SPIRE MURRAYFIELD HOSPITAL (NT325)</v>
      </c>
      <c r="H192" t="str">
        <f t="shared" ca="1" si="42"/>
        <v>Oxford Hip Score</v>
      </c>
      <c r="I192">
        <f t="shared" ca="1" si="42"/>
        <v>5</v>
      </c>
      <c r="J192">
        <f t="shared" ca="1" si="42"/>
        <v>23</v>
      </c>
      <c r="K192">
        <f t="shared" ca="1" si="42"/>
        <v>43</v>
      </c>
      <c r="L192">
        <f t="shared" ca="1" si="43"/>
        <v>20</v>
      </c>
      <c r="M192">
        <f t="shared" ca="1" si="43"/>
        <v>5</v>
      </c>
      <c r="N192">
        <f t="shared" ca="1" si="43"/>
        <v>0</v>
      </c>
      <c r="O192">
        <f t="shared" ca="1" si="43"/>
        <v>0</v>
      </c>
      <c r="P192" t="str">
        <f t="shared" ca="1" si="43"/>
        <v>*</v>
      </c>
      <c r="Q192" t="str">
        <f t="shared" ca="1" si="43"/>
        <v>*</v>
      </c>
      <c r="R192" t="str">
        <f t="shared" ca="1" si="43"/>
        <v>*</v>
      </c>
      <c r="S192" t="e">
        <f t="shared" ca="1" si="30"/>
        <v>#N/A</v>
      </c>
      <c r="T192" t="e">
        <f t="shared" ca="1" si="31"/>
        <v>#N/A</v>
      </c>
      <c r="U192" t="e">
        <f ca="1">IF(AND($C192='Funnel setup'!$K$3&amp;'Funnel setup'!$K$6&amp;'Funnel setup'!$K$7&amp;'Funnel setup'!$K$4,'Funnel Lookup'!I192="*",'Funnel Lookup'!I192="*"),#N/A,IF(AND($C192='Funnel setup'!$K$3&amp;'Funnel setup'!$K$6&amp;'Funnel setup'!$K$7&amp;'Funnel setup'!$K$4,'Funnel Lookup'!I192&gt;29,'Funnel Lookup'!I192&lt;&gt;"-"),'Funnel Lookup'!I192,#N/A))</f>
        <v>#N/A</v>
      </c>
      <c r="V192" t="e">
        <f ca="1">IF(AND($C192='Funnel setup'!$K$3&amp;'Funnel setup'!$K$6&amp;'Funnel setup'!$K$7&amp;'Funnel setup'!$K$4,'Funnel Lookup'!I192="*",'Funnel Lookup'!I192="*"),#N/A,IF(AND($C192='Funnel setup'!$K$3&amp;'Funnel setup'!$K$6&amp;'Funnel setup'!$K$7&amp;'Funnel setup'!$K$4,'Funnel Lookup'!I192&gt;29,'Funnel Lookup'!I192&lt;&gt;"-"),'Funnel Lookup'!Q192,#N/A))</f>
        <v>#N/A</v>
      </c>
    </row>
    <row r="193" spans="1:22" x14ac:dyDescent="0.25">
      <c r="A193">
        <v>191</v>
      </c>
      <c r="B193">
        <f t="shared" ref="B193:K202" ca="1" si="44">VLOOKUP($A193,Funnel_Data,B$1,FALSE)</f>
        <v>191</v>
      </c>
      <c r="C193" t="str">
        <f t="shared" ca="1" si="44"/>
        <v>Total Hip ReplacementProviderSPIRE NOTTINGHAM HOSPITAL (NT30A)Oxford Hip Score</v>
      </c>
      <c r="D193" t="str">
        <f t="shared" ca="1" si="44"/>
        <v>Total Hip Replacement</v>
      </c>
      <c r="E193" t="str">
        <f t="shared" ca="1" si="44"/>
        <v>Provider</v>
      </c>
      <c r="F193" t="str">
        <f t="shared" ca="1" si="44"/>
        <v>NT30A</v>
      </c>
      <c r="G193" t="str">
        <f t="shared" ca="1" si="44"/>
        <v>SPIRE NOTTINGHAM HOSPITAL (NT30A)</v>
      </c>
      <c r="H193" t="str">
        <f t="shared" ca="1" si="44"/>
        <v>Oxford Hip Score</v>
      </c>
      <c r="I193">
        <f t="shared" ca="1" si="44"/>
        <v>1</v>
      </c>
      <c r="J193">
        <f t="shared" ca="1" si="44"/>
        <v>17</v>
      </c>
      <c r="K193">
        <f t="shared" ca="1" si="44"/>
        <v>38</v>
      </c>
      <c r="L193">
        <f t="shared" ref="L193:R202" ca="1" si="45">VLOOKUP($A193,Funnel_Data,L$1,FALSE)</f>
        <v>21</v>
      </c>
      <c r="M193">
        <f t="shared" ca="1" si="45"/>
        <v>1</v>
      </c>
      <c r="N193">
        <f t="shared" ca="1" si="45"/>
        <v>0</v>
      </c>
      <c r="O193">
        <f t="shared" ca="1" si="45"/>
        <v>0</v>
      </c>
      <c r="P193" t="str">
        <f t="shared" ca="1" si="45"/>
        <v>*</v>
      </c>
      <c r="Q193" t="str">
        <f t="shared" ca="1" si="45"/>
        <v>*</v>
      </c>
      <c r="R193" t="str">
        <f t="shared" ca="1" si="45"/>
        <v>*</v>
      </c>
      <c r="S193" t="e">
        <f t="shared" ca="1" si="30"/>
        <v>#N/A</v>
      </c>
      <c r="T193" t="e">
        <f t="shared" ca="1" si="31"/>
        <v>#N/A</v>
      </c>
      <c r="U193" t="e">
        <f ca="1">IF(AND($C193='Funnel setup'!$K$3&amp;'Funnel setup'!$K$6&amp;'Funnel setup'!$K$7&amp;'Funnel setup'!$K$4,'Funnel Lookup'!I193="*",'Funnel Lookup'!I193="*"),#N/A,IF(AND($C193='Funnel setup'!$K$3&amp;'Funnel setup'!$K$6&amp;'Funnel setup'!$K$7&amp;'Funnel setup'!$K$4,'Funnel Lookup'!I193&gt;29,'Funnel Lookup'!I193&lt;&gt;"-"),'Funnel Lookup'!I193,#N/A))</f>
        <v>#N/A</v>
      </c>
      <c r="V193" t="e">
        <f ca="1">IF(AND($C193='Funnel setup'!$K$3&amp;'Funnel setup'!$K$6&amp;'Funnel setup'!$K$7&amp;'Funnel setup'!$K$4,'Funnel Lookup'!I193="*",'Funnel Lookup'!I193="*"),#N/A,IF(AND($C193='Funnel setup'!$K$3&amp;'Funnel setup'!$K$6&amp;'Funnel setup'!$K$7&amp;'Funnel setup'!$K$4,'Funnel Lookup'!I193&gt;29,'Funnel Lookup'!I193&lt;&gt;"-"),'Funnel Lookup'!Q193,#N/A))</f>
        <v>#N/A</v>
      </c>
    </row>
    <row r="194" spans="1:22" x14ac:dyDescent="0.25">
      <c r="A194">
        <v>192</v>
      </c>
      <c r="B194">
        <f t="shared" ca="1" si="44"/>
        <v>192</v>
      </c>
      <c r="C194" t="str">
        <f t="shared" ca="1" si="44"/>
        <v>Total Hip ReplacementProviderSPIRE PARKWAY HOSPITAL (NT320)Oxford Hip Score</v>
      </c>
      <c r="D194" t="str">
        <f t="shared" ca="1" si="44"/>
        <v>Total Hip Replacement</v>
      </c>
      <c r="E194" t="str">
        <f t="shared" ca="1" si="44"/>
        <v>Provider</v>
      </c>
      <c r="F194" t="str">
        <f t="shared" ca="1" si="44"/>
        <v>NT320</v>
      </c>
      <c r="G194" t="str">
        <f t="shared" ca="1" si="44"/>
        <v>SPIRE PARKWAY HOSPITAL (NT320)</v>
      </c>
      <c r="H194" t="str">
        <f t="shared" ca="1" si="44"/>
        <v>Oxford Hip Score</v>
      </c>
      <c r="I194">
        <f t="shared" ca="1" si="44"/>
        <v>19</v>
      </c>
      <c r="J194">
        <f t="shared" ca="1" si="44"/>
        <v>18.842099999999999</v>
      </c>
      <c r="K194">
        <f t="shared" ca="1" si="44"/>
        <v>39.263199999999998</v>
      </c>
      <c r="L194">
        <f t="shared" ca="1" si="45"/>
        <v>20.421099999999999</v>
      </c>
      <c r="M194">
        <f t="shared" ca="1" si="45"/>
        <v>17</v>
      </c>
      <c r="N194">
        <f t="shared" ca="1" si="45"/>
        <v>0</v>
      </c>
      <c r="O194">
        <f t="shared" ca="1" si="45"/>
        <v>2</v>
      </c>
      <c r="P194" t="str">
        <f t="shared" ca="1" si="45"/>
        <v>*</v>
      </c>
      <c r="Q194" t="str">
        <f t="shared" ca="1" si="45"/>
        <v>*</v>
      </c>
      <c r="R194" t="str">
        <f t="shared" ca="1" si="45"/>
        <v>*</v>
      </c>
      <c r="S194" t="e">
        <f t="shared" ca="1" si="30"/>
        <v>#N/A</v>
      </c>
      <c r="T194" t="e">
        <f t="shared" ca="1" si="31"/>
        <v>#N/A</v>
      </c>
      <c r="U194" t="e">
        <f ca="1">IF(AND($C194='Funnel setup'!$K$3&amp;'Funnel setup'!$K$6&amp;'Funnel setup'!$K$7&amp;'Funnel setup'!$K$4,'Funnel Lookup'!I194="*",'Funnel Lookup'!I194="*"),#N/A,IF(AND($C194='Funnel setup'!$K$3&amp;'Funnel setup'!$K$6&amp;'Funnel setup'!$K$7&amp;'Funnel setup'!$K$4,'Funnel Lookup'!I194&gt;29,'Funnel Lookup'!I194&lt;&gt;"-"),'Funnel Lookup'!I194,#N/A))</f>
        <v>#N/A</v>
      </c>
      <c r="V194" t="e">
        <f ca="1">IF(AND($C194='Funnel setup'!$K$3&amp;'Funnel setup'!$K$6&amp;'Funnel setup'!$K$7&amp;'Funnel setup'!$K$4,'Funnel Lookup'!I194="*",'Funnel Lookup'!I194="*"),#N/A,IF(AND($C194='Funnel setup'!$K$3&amp;'Funnel setup'!$K$6&amp;'Funnel setup'!$K$7&amp;'Funnel setup'!$K$4,'Funnel Lookup'!I194&gt;29,'Funnel Lookup'!I194&lt;&gt;"-"),'Funnel Lookup'!Q194,#N/A))</f>
        <v>#N/A</v>
      </c>
    </row>
    <row r="195" spans="1:22" x14ac:dyDescent="0.25">
      <c r="A195">
        <v>193</v>
      </c>
      <c r="B195">
        <f t="shared" ca="1" si="44"/>
        <v>193</v>
      </c>
      <c r="C195" t="str">
        <f t="shared" ca="1" si="44"/>
        <v>Total Hip ReplacementProviderSPIRE PORTSMOUTH HOSPITAL (NT305)Oxford Hip Score</v>
      </c>
      <c r="D195" t="str">
        <f t="shared" ca="1" si="44"/>
        <v>Total Hip Replacement</v>
      </c>
      <c r="E195" t="str">
        <f t="shared" ca="1" si="44"/>
        <v>Provider</v>
      </c>
      <c r="F195" t="str">
        <f t="shared" ca="1" si="44"/>
        <v>NT305</v>
      </c>
      <c r="G195" t="str">
        <f t="shared" ca="1" si="44"/>
        <v>SPIRE PORTSMOUTH HOSPITAL (NT305)</v>
      </c>
      <c r="H195" t="str">
        <f t="shared" ca="1" si="44"/>
        <v>Oxford Hip Score</v>
      </c>
      <c r="I195">
        <f t="shared" ca="1" si="44"/>
        <v>12</v>
      </c>
      <c r="J195">
        <f t="shared" ca="1" si="44"/>
        <v>18.5</v>
      </c>
      <c r="K195">
        <f t="shared" ca="1" si="44"/>
        <v>36.333300000000001</v>
      </c>
      <c r="L195">
        <f t="shared" ca="1" si="45"/>
        <v>17.833300000000001</v>
      </c>
      <c r="M195">
        <f t="shared" ca="1" si="45"/>
        <v>11</v>
      </c>
      <c r="N195">
        <f t="shared" ca="1" si="45"/>
        <v>0</v>
      </c>
      <c r="O195">
        <f t="shared" ca="1" si="45"/>
        <v>1</v>
      </c>
      <c r="P195" t="str">
        <f t="shared" ca="1" si="45"/>
        <v>*</v>
      </c>
      <c r="Q195" t="str">
        <f t="shared" ca="1" si="45"/>
        <v>*</v>
      </c>
      <c r="R195" t="str">
        <f t="shared" ca="1" si="45"/>
        <v>*</v>
      </c>
      <c r="S195" t="e">
        <f t="shared" ref="S195:S258" ca="1" si="46">IF($Q195="*",#N/A,IF($Q195="-",#N/A,I195))</f>
        <v>#N/A</v>
      </c>
      <c r="T195" t="e">
        <f t="shared" ref="T195:T258" ca="1" si="47">IF($Q195="*",#N/A,IF($Q195="-",#N/A,Q195))</f>
        <v>#N/A</v>
      </c>
      <c r="U195" t="e">
        <f ca="1">IF(AND($C195='Funnel setup'!$K$3&amp;'Funnel setup'!$K$6&amp;'Funnel setup'!$K$7&amp;'Funnel setup'!$K$4,'Funnel Lookup'!I195="*",'Funnel Lookup'!I195="*"),#N/A,IF(AND($C195='Funnel setup'!$K$3&amp;'Funnel setup'!$K$6&amp;'Funnel setup'!$K$7&amp;'Funnel setup'!$K$4,'Funnel Lookup'!I195&gt;29,'Funnel Lookup'!I195&lt;&gt;"-"),'Funnel Lookup'!I195,#N/A))</f>
        <v>#N/A</v>
      </c>
      <c r="V195" t="e">
        <f ca="1">IF(AND($C195='Funnel setup'!$K$3&amp;'Funnel setup'!$K$6&amp;'Funnel setup'!$K$7&amp;'Funnel setup'!$K$4,'Funnel Lookup'!I195="*",'Funnel Lookup'!I195="*"),#N/A,IF(AND($C195='Funnel setup'!$K$3&amp;'Funnel setup'!$K$6&amp;'Funnel setup'!$K$7&amp;'Funnel setup'!$K$4,'Funnel Lookup'!I195&gt;29,'Funnel Lookup'!I195&lt;&gt;"-"),'Funnel Lookup'!Q195,#N/A))</f>
        <v>#N/A</v>
      </c>
    </row>
    <row r="196" spans="1:22" x14ac:dyDescent="0.25">
      <c r="A196">
        <v>194</v>
      </c>
      <c r="B196">
        <f t="shared" ca="1" si="44"/>
        <v>194</v>
      </c>
      <c r="C196" t="str">
        <f t="shared" ca="1" si="44"/>
        <v>Total Hip ReplacementProviderSPIRE REGENCY HOSPITAL (NT339)Oxford Hip Score</v>
      </c>
      <c r="D196" t="str">
        <f t="shared" ca="1" si="44"/>
        <v>Total Hip Replacement</v>
      </c>
      <c r="E196" t="str">
        <f t="shared" ca="1" si="44"/>
        <v>Provider</v>
      </c>
      <c r="F196" t="str">
        <f t="shared" ca="1" si="44"/>
        <v>NT339</v>
      </c>
      <c r="G196" t="str">
        <f t="shared" ca="1" si="44"/>
        <v>SPIRE REGENCY HOSPITAL (NT339)</v>
      </c>
      <c r="H196" t="str">
        <f t="shared" ca="1" si="44"/>
        <v>Oxford Hip Score</v>
      </c>
      <c r="I196">
        <f t="shared" ca="1" si="44"/>
        <v>32</v>
      </c>
      <c r="J196">
        <f t="shared" ca="1" si="44"/>
        <v>20.468800000000002</v>
      </c>
      <c r="K196">
        <f t="shared" ca="1" si="44"/>
        <v>39.8125</v>
      </c>
      <c r="L196">
        <f t="shared" ca="1" si="45"/>
        <v>19.343800000000002</v>
      </c>
      <c r="M196">
        <f t="shared" ca="1" si="45"/>
        <v>31</v>
      </c>
      <c r="N196">
        <f t="shared" ca="1" si="45"/>
        <v>0</v>
      </c>
      <c r="O196">
        <f t="shared" ca="1" si="45"/>
        <v>1</v>
      </c>
      <c r="P196">
        <f t="shared" ca="1" si="45"/>
        <v>37.599200000000003</v>
      </c>
      <c r="Q196">
        <f t="shared" ca="1" si="45"/>
        <v>20.387799999999999</v>
      </c>
      <c r="R196">
        <f t="shared" ca="1" si="45"/>
        <v>7.6331800000000003</v>
      </c>
      <c r="S196">
        <f t="shared" ca="1" si="46"/>
        <v>32</v>
      </c>
      <c r="T196">
        <f t="shared" ca="1" si="47"/>
        <v>20.387799999999999</v>
      </c>
      <c r="U196" t="e">
        <f ca="1">IF(AND($C196='Funnel setup'!$K$3&amp;'Funnel setup'!$K$6&amp;'Funnel setup'!$K$7&amp;'Funnel setup'!$K$4,'Funnel Lookup'!I196="*",'Funnel Lookup'!I196="*"),#N/A,IF(AND($C196='Funnel setup'!$K$3&amp;'Funnel setup'!$K$6&amp;'Funnel setup'!$K$7&amp;'Funnel setup'!$K$4,'Funnel Lookup'!I196&gt;29,'Funnel Lookup'!I196&lt;&gt;"-"),'Funnel Lookup'!I196,#N/A))</f>
        <v>#N/A</v>
      </c>
      <c r="V196" t="e">
        <f ca="1">IF(AND($C196='Funnel setup'!$K$3&amp;'Funnel setup'!$K$6&amp;'Funnel setup'!$K$7&amp;'Funnel setup'!$K$4,'Funnel Lookup'!I196="*",'Funnel Lookup'!I196="*"),#N/A,IF(AND($C196='Funnel setup'!$K$3&amp;'Funnel setup'!$K$6&amp;'Funnel setup'!$K$7&amp;'Funnel setup'!$K$4,'Funnel Lookup'!I196&gt;29,'Funnel Lookup'!I196&lt;&gt;"-"),'Funnel Lookup'!Q196,#N/A))</f>
        <v>#N/A</v>
      </c>
    </row>
    <row r="197" spans="1:22" x14ac:dyDescent="0.25">
      <c r="A197">
        <v>195</v>
      </c>
      <c r="B197">
        <f t="shared" ca="1" si="44"/>
        <v>195</v>
      </c>
      <c r="C197" t="str">
        <f t="shared" ca="1" si="44"/>
        <v>Total Hip ReplacementProviderSPIRE SOUTHAMPTON HOSPITAL (NT304)Oxford Hip Score</v>
      </c>
      <c r="D197" t="str">
        <f t="shared" ca="1" si="44"/>
        <v>Total Hip Replacement</v>
      </c>
      <c r="E197" t="str">
        <f t="shared" ca="1" si="44"/>
        <v>Provider</v>
      </c>
      <c r="F197" t="str">
        <f t="shared" ca="1" si="44"/>
        <v>NT304</v>
      </c>
      <c r="G197" t="str">
        <f t="shared" ca="1" si="44"/>
        <v>SPIRE SOUTHAMPTON HOSPITAL (NT304)</v>
      </c>
      <c r="H197" t="str">
        <f t="shared" ca="1" si="44"/>
        <v>Oxford Hip Score</v>
      </c>
      <c r="I197">
        <f t="shared" ca="1" si="44"/>
        <v>44</v>
      </c>
      <c r="J197">
        <f t="shared" ca="1" si="44"/>
        <v>20.818200000000001</v>
      </c>
      <c r="K197">
        <f t="shared" ca="1" si="44"/>
        <v>42.704500000000003</v>
      </c>
      <c r="L197">
        <f t="shared" ca="1" si="45"/>
        <v>21.886399999999998</v>
      </c>
      <c r="M197">
        <f t="shared" ca="1" si="45"/>
        <v>43</v>
      </c>
      <c r="N197">
        <f t="shared" ca="1" si="45"/>
        <v>0</v>
      </c>
      <c r="O197">
        <f t="shared" ca="1" si="45"/>
        <v>1</v>
      </c>
      <c r="P197">
        <f t="shared" ca="1" si="45"/>
        <v>40.423999999999999</v>
      </c>
      <c r="Q197">
        <f t="shared" ca="1" si="45"/>
        <v>23.212499999999999</v>
      </c>
      <c r="R197">
        <f t="shared" ca="1" si="45"/>
        <v>5.8747699999999998</v>
      </c>
      <c r="S197">
        <f t="shared" ca="1" si="46"/>
        <v>44</v>
      </c>
      <c r="T197">
        <f t="shared" ca="1" si="47"/>
        <v>23.212499999999999</v>
      </c>
      <c r="U197" t="e">
        <f ca="1">IF(AND($C197='Funnel setup'!$K$3&amp;'Funnel setup'!$K$6&amp;'Funnel setup'!$K$7&amp;'Funnel setup'!$K$4,'Funnel Lookup'!I197="*",'Funnel Lookup'!I197="*"),#N/A,IF(AND($C197='Funnel setup'!$K$3&amp;'Funnel setup'!$K$6&amp;'Funnel setup'!$K$7&amp;'Funnel setup'!$K$4,'Funnel Lookup'!I197&gt;29,'Funnel Lookup'!I197&lt;&gt;"-"),'Funnel Lookup'!I197,#N/A))</f>
        <v>#N/A</v>
      </c>
      <c r="V197" t="e">
        <f ca="1">IF(AND($C197='Funnel setup'!$K$3&amp;'Funnel setup'!$K$6&amp;'Funnel setup'!$K$7&amp;'Funnel setup'!$K$4,'Funnel Lookup'!I197="*",'Funnel Lookup'!I197="*"),#N/A,IF(AND($C197='Funnel setup'!$K$3&amp;'Funnel setup'!$K$6&amp;'Funnel setup'!$K$7&amp;'Funnel setup'!$K$4,'Funnel Lookup'!I197&gt;29,'Funnel Lookup'!I197&lt;&gt;"-"),'Funnel Lookup'!Q197,#N/A))</f>
        <v>#N/A</v>
      </c>
    </row>
    <row r="198" spans="1:22" x14ac:dyDescent="0.25">
      <c r="A198">
        <v>196</v>
      </c>
      <c r="B198">
        <f t="shared" ca="1" si="44"/>
        <v>196</v>
      </c>
      <c r="C198" t="str">
        <f t="shared" ca="1" si="44"/>
        <v>Total Hip ReplacementProviderSPIRE ST ANTHONY'S HOSPITAL (NT3X3)Oxford Hip Score</v>
      </c>
      <c r="D198" t="str">
        <f t="shared" ca="1" si="44"/>
        <v>Total Hip Replacement</v>
      </c>
      <c r="E198" t="str">
        <f t="shared" ca="1" si="44"/>
        <v>Provider</v>
      </c>
      <c r="F198" t="str">
        <f t="shared" ca="1" si="44"/>
        <v>NT3X3</v>
      </c>
      <c r="G198" t="str">
        <f t="shared" ca="1" si="44"/>
        <v>SPIRE ST ANTHONY'S HOSPITAL (NT3X3)</v>
      </c>
      <c r="H198" t="str">
        <f t="shared" ca="1" si="44"/>
        <v>Oxford Hip Score</v>
      </c>
      <c r="I198">
        <f t="shared" ca="1" si="44"/>
        <v>3</v>
      </c>
      <c r="J198">
        <f t="shared" ca="1" si="44"/>
        <v>14</v>
      </c>
      <c r="K198">
        <f t="shared" ca="1" si="44"/>
        <v>35.666699999999999</v>
      </c>
      <c r="L198">
        <f t="shared" ca="1" si="45"/>
        <v>21.666699999999999</v>
      </c>
      <c r="M198">
        <f t="shared" ca="1" si="45"/>
        <v>3</v>
      </c>
      <c r="N198">
        <f t="shared" ca="1" si="45"/>
        <v>0</v>
      </c>
      <c r="O198">
        <f t="shared" ca="1" si="45"/>
        <v>0</v>
      </c>
      <c r="P198" t="str">
        <f t="shared" ca="1" si="45"/>
        <v>*</v>
      </c>
      <c r="Q198" t="str">
        <f t="shared" ca="1" si="45"/>
        <v>*</v>
      </c>
      <c r="R198" t="str">
        <f t="shared" ca="1" si="45"/>
        <v>*</v>
      </c>
      <c r="S198" t="e">
        <f t="shared" ca="1" si="46"/>
        <v>#N/A</v>
      </c>
      <c r="T198" t="e">
        <f t="shared" ca="1" si="47"/>
        <v>#N/A</v>
      </c>
      <c r="U198" t="e">
        <f ca="1">IF(AND($C198='Funnel setup'!$K$3&amp;'Funnel setup'!$K$6&amp;'Funnel setup'!$K$7&amp;'Funnel setup'!$K$4,'Funnel Lookup'!I198="*",'Funnel Lookup'!I198="*"),#N/A,IF(AND($C198='Funnel setup'!$K$3&amp;'Funnel setup'!$K$6&amp;'Funnel setup'!$K$7&amp;'Funnel setup'!$K$4,'Funnel Lookup'!I198&gt;29,'Funnel Lookup'!I198&lt;&gt;"-"),'Funnel Lookup'!I198,#N/A))</f>
        <v>#N/A</v>
      </c>
      <c r="V198" t="e">
        <f ca="1">IF(AND($C198='Funnel setup'!$K$3&amp;'Funnel setup'!$K$6&amp;'Funnel setup'!$K$7&amp;'Funnel setup'!$K$4,'Funnel Lookup'!I198="*",'Funnel Lookup'!I198="*"),#N/A,IF(AND($C198='Funnel setup'!$K$3&amp;'Funnel setup'!$K$6&amp;'Funnel setup'!$K$7&amp;'Funnel setup'!$K$4,'Funnel Lookup'!I198&gt;29,'Funnel Lookup'!I198&lt;&gt;"-"),'Funnel Lookup'!Q198,#N/A))</f>
        <v>#N/A</v>
      </c>
    </row>
    <row r="199" spans="1:22" x14ac:dyDescent="0.25">
      <c r="A199">
        <v>197</v>
      </c>
      <c r="B199">
        <f t="shared" ca="1" si="44"/>
        <v>197</v>
      </c>
      <c r="C199" t="str">
        <f t="shared" ca="1" si="44"/>
        <v>Total Hip ReplacementProviderSPIRE SUSSEX HOSPITAL (NT309)Oxford Hip Score</v>
      </c>
      <c r="D199" t="str">
        <f t="shared" ca="1" si="44"/>
        <v>Total Hip Replacement</v>
      </c>
      <c r="E199" t="str">
        <f t="shared" ca="1" si="44"/>
        <v>Provider</v>
      </c>
      <c r="F199" t="str">
        <f t="shared" ca="1" si="44"/>
        <v>NT309</v>
      </c>
      <c r="G199" t="str">
        <f t="shared" ca="1" si="44"/>
        <v>SPIRE SUSSEX HOSPITAL (NT309)</v>
      </c>
      <c r="H199" t="str">
        <f t="shared" ca="1" si="44"/>
        <v>Oxford Hip Score</v>
      </c>
      <c r="I199">
        <f t="shared" ca="1" si="44"/>
        <v>7</v>
      </c>
      <c r="J199">
        <f t="shared" ca="1" si="44"/>
        <v>21.428599999999999</v>
      </c>
      <c r="K199">
        <f t="shared" ca="1" si="44"/>
        <v>42</v>
      </c>
      <c r="L199">
        <f t="shared" ca="1" si="45"/>
        <v>20.571400000000001</v>
      </c>
      <c r="M199">
        <f t="shared" ca="1" si="45"/>
        <v>7</v>
      </c>
      <c r="N199">
        <f t="shared" ca="1" si="45"/>
        <v>0</v>
      </c>
      <c r="O199">
        <f t="shared" ca="1" si="45"/>
        <v>0</v>
      </c>
      <c r="P199" t="str">
        <f t="shared" ca="1" si="45"/>
        <v>*</v>
      </c>
      <c r="Q199" t="str">
        <f t="shared" ca="1" si="45"/>
        <v>*</v>
      </c>
      <c r="R199" t="str">
        <f t="shared" ca="1" si="45"/>
        <v>*</v>
      </c>
      <c r="S199" t="e">
        <f t="shared" ca="1" si="46"/>
        <v>#N/A</v>
      </c>
      <c r="T199" t="e">
        <f t="shared" ca="1" si="47"/>
        <v>#N/A</v>
      </c>
      <c r="U199" t="e">
        <f ca="1">IF(AND($C199='Funnel setup'!$K$3&amp;'Funnel setup'!$K$6&amp;'Funnel setup'!$K$7&amp;'Funnel setup'!$K$4,'Funnel Lookup'!I199="*",'Funnel Lookup'!I199="*"),#N/A,IF(AND($C199='Funnel setup'!$K$3&amp;'Funnel setup'!$K$6&amp;'Funnel setup'!$K$7&amp;'Funnel setup'!$K$4,'Funnel Lookup'!I199&gt;29,'Funnel Lookup'!I199&lt;&gt;"-"),'Funnel Lookup'!I199,#N/A))</f>
        <v>#N/A</v>
      </c>
      <c r="V199" t="e">
        <f ca="1">IF(AND($C199='Funnel setup'!$K$3&amp;'Funnel setup'!$K$6&amp;'Funnel setup'!$K$7&amp;'Funnel setup'!$K$4,'Funnel Lookup'!I199="*",'Funnel Lookup'!I199="*"),#N/A,IF(AND($C199='Funnel setup'!$K$3&amp;'Funnel setup'!$K$6&amp;'Funnel setup'!$K$7&amp;'Funnel setup'!$K$4,'Funnel Lookup'!I199&gt;29,'Funnel Lookup'!I199&lt;&gt;"-"),'Funnel Lookup'!Q199,#N/A))</f>
        <v>#N/A</v>
      </c>
    </row>
    <row r="200" spans="1:22" x14ac:dyDescent="0.25">
      <c r="A200">
        <v>198</v>
      </c>
      <c r="B200">
        <f t="shared" ca="1" si="44"/>
        <v>198</v>
      </c>
      <c r="C200" t="str">
        <f t="shared" ca="1" si="44"/>
        <v>Total Hip ReplacementProviderSPIRE THAMES VALLEY HOSPITAL (NT343)Oxford Hip Score</v>
      </c>
      <c r="D200" t="str">
        <f t="shared" ca="1" si="44"/>
        <v>Total Hip Replacement</v>
      </c>
      <c r="E200" t="str">
        <f t="shared" ca="1" si="44"/>
        <v>Provider</v>
      </c>
      <c r="F200" t="str">
        <f t="shared" ca="1" si="44"/>
        <v>NT343</v>
      </c>
      <c r="G200" t="str">
        <f t="shared" ca="1" si="44"/>
        <v>SPIRE THAMES VALLEY HOSPITAL (NT343)</v>
      </c>
      <c r="H200" t="str">
        <f t="shared" ca="1" si="44"/>
        <v>Oxford Hip Score</v>
      </c>
      <c r="I200">
        <f t="shared" ca="1" si="44"/>
        <v>7</v>
      </c>
      <c r="J200">
        <f t="shared" ca="1" si="44"/>
        <v>20</v>
      </c>
      <c r="K200">
        <f t="shared" ca="1" si="44"/>
        <v>44.571399999999997</v>
      </c>
      <c r="L200">
        <f t="shared" ca="1" si="45"/>
        <v>24.571400000000001</v>
      </c>
      <c r="M200">
        <f t="shared" ca="1" si="45"/>
        <v>7</v>
      </c>
      <c r="N200">
        <f t="shared" ca="1" si="45"/>
        <v>0</v>
      </c>
      <c r="O200">
        <f t="shared" ca="1" si="45"/>
        <v>0</v>
      </c>
      <c r="P200" t="str">
        <f t="shared" ca="1" si="45"/>
        <v>*</v>
      </c>
      <c r="Q200" t="str">
        <f t="shared" ca="1" si="45"/>
        <v>*</v>
      </c>
      <c r="R200" t="str">
        <f t="shared" ca="1" si="45"/>
        <v>*</v>
      </c>
      <c r="S200" t="e">
        <f t="shared" ca="1" si="46"/>
        <v>#N/A</v>
      </c>
      <c r="T200" t="e">
        <f t="shared" ca="1" si="47"/>
        <v>#N/A</v>
      </c>
      <c r="U200" t="e">
        <f ca="1">IF(AND($C200='Funnel setup'!$K$3&amp;'Funnel setup'!$K$6&amp;'Funnel setup'!$K$7&amp;'Funnel setup'!$K$4,'Funnel Lookup'!I200="*",'Funnel Lookup'!I200="*"),#N/A,IF(AND($C200='Funnel setup'!$K$3&amp;'Funnel setup'!$K$6&amp;'Funnel setup'!$K$7&amp;'Funnel setup'!$K$4,'Funnel Lookup'!I200&gt;29,'Funnel Lookup'!I200&lt;&gt;"-"),'Funnel Lookup'!I200,#N/A))</f>
        <v>#N/A</v>
      </c>
      <c r="V200" t="e">
        <f ca="1">IF(AND($C200='Funnel setup'!$K$3&amp;'Funnel setup'!$K$6&amp;'Funnel setup'!$K$7&amp;'Funnel setup'!$K$4,'Funnel Lookup'!I200="*",'Funnel Lookup'!I200="*"),#N/A,IF(AND($C200='Funnel setup'!$K$3&amp;'Funnel setup'!$K$6&amp;'Funnel setup'!$K$7&amp;'Funnel setup'!$K$4,'Funnel Lookup'!I200&gt;29,'Funnel Lookup'!I200&lt;&gt;"-"),'Funnel Lookup'!Q200,#N/A))</f>
        <v>#N/A</v>
      </c>
    </row>
    <row r="201" spans="1:22" x14ac:dyDescent="0.25">
      <c r="A201">
        <v>199</v>
      </c>
      <c r="B201">
        <f t="shared" ca="1" si="44"/>
        <v>199</v>
      </c>
      <c r="C201" t="str">
        <f t="shared" ca="1" si="44"/>
        <v>Total Hip ReplacementProviderSPIRE TUNBRIDGE WELLS HOSPITAL (NT310)Oxford Hip Score</v>
      </c>
      <c r="D201" t="str">
        <f t="shared" ca="1" si="44"/>
        <v>Total Hip Replacement</v>
      </c>
      <c r="E201" t="str">
        <f t="shared" ca="1" si="44"/>
        <v>Provider</v>
      </c>
      <c r="F201" t="str">
        <f t="shared" ca="1" si="44"/>
        <v>NT310</v>
      </c>
      <c r="G201" t="str">
        <f t="shared" ca="1" si="44"/>
        <v>SPIRE TUNBRIDGE WELLS HOSPITAL (NT310)</v>
      </c>
      <c r="H201" t="str">
        <f t="shared" ca="1" si="44"/>
        <v>Oxford Hip Score</v>
      </c>
      <c r="I201">
        <f t="shared" ca="1" si="44"/>
        <v>7</v>
      </c>
      <c r="J201">
        <f t="shared" ca="1" si="44"/>
        <v>12.857100000000001</v>
      </c>
      <c r="K201">
        <f t="shared" ca="1" si="44"/>
        <v>36.142899999999997</v>
      </c>
      <c r="L201">
        <f t="shared" ca="1" si="45"/>
        <v>23.285699999999999</v>
      </c>
      <c r="M201">
        <f t="shared" ca="1" si="45"/>
        <v>7</v>
      </c>
      <c r="N201">
        <f t="shared" ca="1" si="45"/>
        <v>0</v>
      </c>
      <c r="O201">
        <f t="shared" ca="1" si="45"/>
        <v>0</v>
      </c>
      <c r="P201" t="str">
        <f t="shared" ca="1" si="45"/>
        <v>*</v>
      </c>
      <c r="Q201" t="str">
        <f t="shared" ca="1" si="45"/>
        <v>*</v>
      </c>
      <c r="R201" t="str">
        <f t="shared" ca="1" si="45"/>
        <v>*</v>
      </c>
      <c r="S201" t="e">
        <f t="shared" ca="1" si="46"/>
        <v>#N/A</v>
      </c>
      <c r="T201" t="e">
        <f t="shared" ca="1" si="47"/>
        <v>#N/A</v>
      </c>
      <c r="U201" t="e">
        <f ca="1">IF(AND($C201='Funnel setup'!$K$3&amp;'Funnel setup'!$K$6&amp;'Funnel setup'!$K$7&amp;'Funnel setup'!$K$4,'Funnel Lookup'!I201="*",'Funnel Lookup'!I201="*"),#N/A,IF(AND($C201='Funnel setup'!$K$3&amp;'Funnel setup'!$K$6&amp;'Funnel setup'!$K$7&amp;'Funnel setup'!$K$4,'Funnel Lookup'!I201&gt;29,'Funnel Lookup'!I201&lt;&gt;"-"),'Funnel Lookup'!I201,#N/A))</f>
        <v>#N/A</v>
      </c>
      <c r="V201" t="e">
        <f ca="1">IF(AND($C201='Funnel setup'!$K$3&amp;'Funnel setup'!$K$6&amp;'Funnel setup'!$K$7&amp;'Funnel setup'!$K$4,'Funnel Lookup'!I201="*",'Funnel Lookup'!I201="*"),#N/A,IF(AND($C201='Funnel setup'!$K$3&amp;'Funnel setup'!$K$6&amp;'Funnel setup'!$K$7&amp;'Funnel setup'!$K$4,'Funnel Lookup'!I201&gt;29,'Funnel Lookup'!I201&lt;&gt;"-"),'Funnel Lookup'!Q201,#N/A))</f>
        <v>#N/A</v>
      </c>
    </row>
    <row r="202" spans="1:22" x14ac:dyDescent="0.25">
      <c r="A202">
        <v>200</v>
      </c>
      <c r="B202">
        <f t="shared" ca="1" si="44"/>
        <v>200</v>
      </c>
      <c r="C202" t="str">
        <f t="shared" ca="1" si="44"/>
        <v>Total Hip ReplacementProviderSPIRE WASHINGTON HOSPITAL (NT333)Oxford Hip Score</v>
      </c>
      <c r="D202" t="str">
        <f t="shared" ca="1" si="44"/>
        <v>Total Hip Replacement</v>
      </c>
      <c r="E202" t="str">
        <f t="shared" ca="1" si="44"/>
        <v>Provider</v>
      </c>
      <c r="F202" t="str">
        <f t="shared" ca="1" si="44"/>
        <v>NT333</v>
      </c>
      <c r="G202" t="str">
        <f t="shared" ca="1" si="44"/>
        <v>SPIRE WASHINGTON HOSPITAL (NT333)</v>
      </c>
      <c r="H202" t="str">
        <f t="shared" ca="1" si="44"/>
        <v>Oxford Hip Score</v>
      </c>
      <c r="I202">
        <f t="shared" ca="1" si="44"/>
        <v>64</v>
      </c>
      <c r="J202">
        <f t="shared" ca="1" si="44"/>
        <v>16.265599999999999</v>
      </c>
      <c r="K202">
        <f t="shared" ca="1" si="44"/>
        <v>42.875</v>
      </c>
      <c r="L202">
        <f t="shared" ca="1" si="45"/>
        <v>26.609400000000001</v>
      </c>
      <c r="M202">
        <f t="shared" ca="1" si="45"/>
        <v>64</v>
      </c>
      <c r="N202">
        <f t="shared" ca="1" si="45"/>
        <v>0</v>
      </c>
      <c r="O202">
        <f t="shared" ca="1" si="45"/>
        <v>0</v>
      </c>
      <c r="P202">
        <f t="shared" ca="1" si="45"/>
        <v>43.815300000000001</v>
      </c>
      <c r="Q202">
        <f t="shared" ca="1" si="45"/>
        <v>26.6038</v>
      </c>
      <c r="R202">
        <f t="shared" ca="1" si="45"/>
        <v>6.2274200000000004</v>
      </c>
      <c r="S202">
        <f t="shared" ca="1" si="46"/>
        <v>64</v>
      </c>
      <c r="T202">
        <f t="shared" ca="1" si="47"/>
        <v>26.6038</v>
      </c>
      <c r="U202" t="e">
        <f ca="1">IF(AND($C202='Funnel setup'!$K$3&amp;'Funnel setup'!$K$6&amp;'Funnel setup'!$K$7&amp;'Funnel setup'!$K$4,'Funnel Lookup'!I202="*",'Funnel Lookup'!I202="*"),#N/A,IF(AND($C202='Funnel setup'!$K$3&amp;'Funnel setup'!$K$6&amp;'Funnel setup'!$K$7&amp;'Funnel setup'!$K$4,'Funnel Lookup'!I202&gt;29,'Funnel Lookup'!I202&lt;&gt;"-"),'Funnel Lookup'!I202,#N/A))</f>
        <v>#N/A</v>
      </c>
      <c r="V202" t="e">
        <f ca="1">IF(AND($C202='Funnel setup'!$K$3&amp;'Funnel setup'!$K$6&amp;'Funnel setup'!$K$7&amp;'Funnel setup'!$K$4,'Funnel Lookup'!I202="*",'Funnel Lookup'!I202="*"),#N/A,IF(AND($C202='Funnel setup'!$K$3&amp;'Funnel setup'!$K$6&amp;'Funnel setup'!$K$7&amp;'Funnel setup'!$K$4,'Funnel Lookup'!I202&gt;29,'Funnel Lookup'!I202&lt;&gt;"-"),'Funnel Lookup'!Q202,#N/A))</f>
        <v>#N/A</v>
      </c>
    </row>
    <row r="203" spans="1:22" x14ac:dyDescent="0.25">
      <c r="A203">
        <v>201</v>
      </c>
      <c r="B203">
        <f t="shared" ref="B203:K212" ca="1" si="48">VLOOKUP($A203,Funnel_Data,B$1,FALSE)</f>
        <v>201</v>
      </c>
      <c r="C203" t="str">
        <f t="shared" ca="1" si="48"/>
        <v>Total Hip ReplacementProviderSPRINGFIELD HOSPITAL (NVC18)Oxford Hip Score</v>
      </c>
      <c r="D203" t="str">
        <f t="shared" ca="1" si="48"/>
        <v>Total Hip Replacement</v>
      </c>
      <c r="E203" t="str">
        <f t="shared" ca="1" si="48"/>
        <v>Provider</v>
      </c>
      <c r="F203" t="str">
        <f t="shared" ca="1" si="48"/>
        <v>NVC18</v>
      </c>
      <c r="G203" t="str">
        <f t="shared" ca="1" si="48"/>
        <v>SPRINGFIELD HOSPITAL (NVC18)</v>
      </c>
      <c r="H203" t="str">
        <f t="shared" ca="1" si="48"/>
        <v>Oxford Hip Score</v>
      </c>
      <c r="I203">
        <f t="shared" ca="1" si="48"/>
        <v>81</v>
      </c>
      <c r="J203">
        <f t="shared" ca="1" si="48"/>
        <v>15.5244</v>
      </c>
      <c r="K203">
        <f t="shared" ca="1" si="48"/>
        <v>42.0976</v>
      </c>
      <c r="L203">
        <f t="shared" ref="L203:R212" ca="1" si="49">VLOOKUP($A203,Funnel_Data,L$1,FALSE)</f>
        <v>26.5732</v>
      </c>
      <c r="M203">
        <f t="shared" ca="1" si="49"/>
        <v>79</v>
      </c>
      <c r="N203">
        <f t="shared" ca="1" si="49"/>
        <v>1</v>
      </c>
      <c r="O203">
        <f t="shared" ca="1" si="49"/>
        <v>1</v>
      </c>
      <c r="P203">
        <f t="shared" ca="1" si="49"/>
        <v>42.007800000000003</v>
      </c>
      <c r="Q203">
        <f t="shared" ca="1" si="49"/>
        <v>24.796299999999999</v>
      </c>
      <c r="R203">
        <f t="shared" ca="1" si="49"/>
        <v>7.0066300000000004</v>
      </c>
      <c r="S203">
        <f t="shared" ca="1" si="46"/>
        <v>81</v>
      </c>
      <c r="T203">
        <f t="shared" ca="1" si="47"/>
        <v>24.796299999999999</v>
      </c>
      <c r="U203" t="e">
        <f ca="1">IF(AND($C203='Funnel setup'!$K$3&amp;'Funnel setup'!$K$6&amp;'Funnel setup'!$K$7&amp;'Funnel setup'!$K$4,'Funnel Lookup'!I203="*",'Funnel Lookup'!I203="*"),#N/A,IF(AND($C203='Funnel setup'!$K$3&amp;'Funnel setup'!$K$6&amp;'Funnel setup'!$K$7&amp;'Funnel setup'!$K$4,'Funnel Lookup'!I203&gt;29,'Funnel Lookup'!I203&lt;&gt;"-"),'Funnel Lookup'!I203,#N/A))</f>
        <v>#N/A</v>
      </c>
      <c r="V203" t="e">
        <f ca="1">IF(AND($C203='Funnel setup'!$K$3&amp;'Funnel setup'!$K$6&amp;'Funnel setup'!$K$7&amp;'Funnel setup'!$K$4,'Funnel Lookup'!I203="*",'Funnel Lookup'!I203="*"),#N/A,IF(AND($C203='Funnel setup'!$K$3&amp;'Funnel setup'!$K$6&amp;'Funnel setup'!$K$7&amp;'Funnel setup'!$K$4,'Funnel Lookup'!I203&gt;29,'Funnel Lookup'!I203&lt;&gt;"-"),'Funnel Lookup'!Q203,#N/A))</f>
        <v>#N/A</v>
      </c>
    </row>
    <row r="204" spans="1:22" x14ac:dyDescent="0.25">
      <c r="A204">
        <v>202</v>
      </c>
      <c r="B204">
        <f t="shared" ca="1" si="48"/>
        <v>202</v>
      </c>
      <c r="C204" t="str">
        <f t="shared" ca="1" si="48"/>
        <v>Total Hip ReplacementProviderST EDMUNDS HOSPITAL (NT446)Oxford Hip Score</v>
      </c>
      <c r="D204" t="str">
        <f t="shared" ca="1" si="48"/>
        <v>Total Hip Replacement</v>
      </c>
      <c r="E204" t="str">
        <f t="shared" ca="1" si="48"/>
        <v>Provider</v>
      </c>
      <c r="F204" t="str">
        <f t="shared" ca="1" si="48"/>
        <v>NT446</v>
      </c>
      <c r="G204" t="str">
        <f t="shared" ca="1" si="48"/>
        <v>ST EDMUNDS HOSPITAL (NT446)</v>
      </c>
      <c r="H204" t="str">
        <f t="shared" ca="1" si="48"/>
        <v>Oxford Hip Score</v>
      </c>
      <c r="I204">
        <f t="shared" ca="1" si="48"/>
        <v>55</v>
      </c>
      <c r="J204">
        <f t="shared" ca="1" si="48"/>
        <v>17.672699999999999</v>
      </c>
      <c r="K204">
        <f t="shared" ca="1" si="48"/>
        <v>42.854500000000002</v>
      </c>
      <c r="L204">
        <f t="shared" ca="1" si="49"/>
        <v>25.181799999999999</v>
      </c>
      <c r="M204">
        <f t="shared" ca="1" si="49"/>
        <v>55</v>
      </c>
      <c r="N204">
        <f t="shared" ca="1" si="49"/>
        <v>0</v>
      </c>
      <c r="O204">
        <f t="shared" ca="1" si="49"/>
        <v>0</v>
      </c>
      <c r="P204">
        <f t="shared" ca="1" si="49"/>
        <v>41.327500000000001</v>
      </c>
      <c r="Q204">
        <f t="shared" ca="1" si="49"/>
        <v>24.116099999999999</v>
      </c>
      <c r="R204">
        <f t="shared" ca="1" si="49"/>
        <v>6.9168399999999997</v>
      </c>
      <c r="S204">
        <f t="shared" ca="1" si="46"/>
        <v>55</v>
      </c>
      <c r="T204">
        <f t="shared" ca="1" si="47"/>
        <v>24.116099999999999</v>
      </c>
      <c r="U204" t="e">
        <f ca="1">IF(AND($C204='Funnel setup'!$K$3&amp;'Funnel setup'!$K$6&amp;'Funnel setup'!$K$7&amp;'Funnel setup'!$K$4,'Funnel Lookup'!I204="*",'Funnel Lookup'!I204="*"),#N/A,IF(AND($C204='Funnel setup'!$K$3&amp;'Funnel setup'!$K$6&amp;'Funnel setup'!$K$7&amp;'Funnel setup'!$K$4,'Funnel Lookup'!I204&gt;29,'Funnel Lookup'!I204&lt;&gt;"-"),'Funnel Lookup'!I204,#N/A))</f>
        <v>#N/A</v>
      </c>
      <c r="V204" t="e">
        <f ca="1">IF(AND($C204='Funnel setup'!$K$3&amp;'Funnel setup'!$K$6&amp;'Funnel setup'!$K$7&amp;'Funnel setup'!$K$4,'Funnel Lookup'!I204="*",'Funnel Lookup'!I204="*"),#N/A,IF(AND($C204='Funnel setup'!$K$3&amp;'Funnel setup'!$K$6&amp;'Funnel setup'!$K$7&amp;'Funnel setup'!$K$4,'Funnel Lookup'!I204&gt;29,'Funnel Lookup'!I204&lt;&gt;"-"),'Funnel Lookup'!Q204,#N/A))</f>
        <v>#N/A</v>
      </c>
    </row>
    <row r="205" spans="1:22" x14ac:dyDescent="0.25">
      <c r="A205">
        <v>203</v>
      </c>
      <c r="B205">
        <f t="shared" ca="1" si="48"/>
        <v>203</v>
      </c>
      <c r="C205" t="str">
        <f t="shared" ca="1" si="48"/>
        <v>Total Hip ReplacementProviderST HELENS AND KNOWSLEY TEACHING HOSPITALS NHS TRUST (RBN)Oxford Hip Score</v>
      </c>
      <c r="D205" t="str">
        <f t="shared" ca="1" si="48"/>
        <v>Total Hip Replacement</v>
      </c>
      <c r="E205" t="str">
        <f t="shared" ca="1" si="48"/>
        <v>Provider</v>
      </c>
      <c r="F205" t="str">
        <f t="shared" ca="1" si="48"/>
        <v>RBN</v>
      </c>
      <c r="G205" t="str">
        <f t="shared" ca="1" si="48"/>
        <v>ST HELENS AND KNOWSLEY TEACHING HOSPITALS NHS TRUST (RBN)</v>
      </c>
      <c r="H205" t="str">
        <f t="shared" ca="1" si="48"/>
        <v>Oxford Hip Score</v>
      </c>
      <c r="I205">
        <f t="shared" ca="1" si="48"/>
        <v>78</v>
      </c>
      <c r="J205">
        <f t="shared" ca="1" si="48"/>
        <v>15.141</v>
      </c>
      <c r="K205">
        <f t="shared" ca="1" si="48"/>
        <v>36.076900000000002</v>
      </c>
      <c r="L205">
        <f t="shared" ca="1" si="49"/>
        <v>20.9359</v>
      </c>
      <c r="M205">
        <f t="shared" ca="1" si="49"/>
        <v>73</v>
      </c>
      <c r="N205">
        <f t="shared" ca="1" si="49"/>
        <v>2</v>
      </c>
      <c r="O205">
        <f t="shared" ca="1" si="49"/>
        <v>3</v>
      </c>
      <c r="P205">
        <f t="shared" ca="1" si="49"/>
        <v>38.763199999999998</v>
      </c>
      <c r="Q205">
        <f t="shared" ca="1" si="49"/>
        <v>21.5517</v>
      </c>
      <c r="R205">
        <f t="shared" ca="1" si="49"/>
        <v>9.4716900000000006</v>
      </c>
      <c r="S205">
        <f t="shared" ca="1" si="46"/>
        <v>78</v>
      </c>
      <c r="T205">
        <f t="shared" ca="1" si="47"/>
        <v>21.5517</v>
      </c>
      <c r="U205" t="e">
        <f ca="1">IF(AND($C205='Funnel setup'!$K$3&amp;'Funnel setup'!$K$6&amp;'Funnel setup'!$K$7&amp;'Funnel setup'!$K$4,'Funnel Lookup'!I205="*",'Funnel Lookup'!I205="*"),#N/A,IF(AND($C205='Funnel setup'!$K$3&amp;'Funnel setup'!$K$6&amp;'Funnel setup'!$K$7&amp;'Funnel setup'!$K$4,'Funnel Lookup'!I205&gt;29,'Funnel Lookup'!I205&lt;&gt;"-"),'Funnel Lookup'!I205,#N/A))</f>
        <v>#N/A</v>
      </c>
      <c r="V205" t="e">
        <f ca="1">IF(AND($C205='Funnel setup'!$K$3&amp;'Funnel setup'!$K$6&amp;'Funnel setup'!$K$7&amp;'Funnel setup'!$K$4,'Funnel Lookup'!I205="*",'Funnel Lookup'!I205="*"),#N/A,IF(AND($C205='Funnel setup'!$K$3&amp;'Funnel setup'!$K$6&amp;'Funnel setup'!$K$7&amp;'Funnel setup'!$K$4,'Funnel Lookup'!I205&gt;29,'Funnel Lookup'!I205&lt;&gt;"-"),'Funnel Lookup'!Q205,#N/A))</f>
        <v>#N/A</v>
      </c>
    </row>
    <row r="206" spans="1:22" x14ac:dyDescent="0.25">
      <c r="A206">
        <v>204</v>
      </c>
      <c r="B206">
        <f t="shared" ca="1" si="48"/>
        <v>204</v>
      </c>
      <c r="C206" t="str">
        <f t="shared" ca="1" si="48"/>
        <v>Total Hip ReplacementProviderST HUGH'S HOSPITAL (NTE02)Oxford Hip Score</v>
      </c>
      <c r="D206" t="str">
        <f t="shared" ca="1" si="48"/>
        <v>Total Hip Replacement</v>
      </c>
      <c r="E206" t="str">
        <f t="shared" ca="1" si="48"/>
        <v>Provider</v>
      </c>
      <c r="F206" t="str">
        <f t="shared" ca="1" si="48"/>
        <v>NTE02</v>
      </c>
      <c r="G206" t="str">
        <f t="shared" ca="1" si="48"/>
        <v>ST HUGH'S HOSPITAL (NTE02)</v>
      </c>
      <c r="H206" t="str">
        <f t="shared" ca="1" si="48"/>
        <v>Oxford Hip Score</v>
      </c>
      <c r="I206">
        <f t="shared" ca="1" si="48"/>
        <v>99</v>
      </c>
      <c r="J206">
        <f t="shared" ca="1" si="48"/>
        <v>18.979800000000001</v>
      </c>
      <c r="K206">
        <f t="shared" ca="1" si="48"/>
        <v>40.525300000000001</v>
      </c>
      <c r="L206">
        <f t="shared" ca="1" si="49"/>
        <v>21.545500000000001</v>
      </c>
      <c r="M206">
        <f t="shared" ca="1" si="49"/>
        <v>96</v>
      </c>
      <c r="N206">
        <f t="shared" ca="1" si="49"/>
        <v>0</v>
      </c>
      <c r="O206">
        <f t="shared" ca="1" si="49"/>
        <v>3</v>
      </c>
      <c r="P206">
        <f t="shared" ca="1" si="49"/>
        <v>38.9482</v>
      </c>
      <c r="Q206">
        <f t="shared" ca="1" si="49"/>
        <v>21.736799999999999</v>
      </c>
      <c r="R206">
        <f t="shared" ca="1" si="49"/>
        <v>7.5975099999999998</v>
      </c>
      <c r="S206">
        <f t="shared" ca="1" si="46"/>
        <v>99</v>
      </c>
      <c r="T206">
        <f t="shared" ca="1" si="47"/>
        <v>21.736799999999999</v>
      </c>
      <c r="U206" t="e">
        <f ca="1">IF(AND($C206='Funnel setup'!$K$3&amp;'Funnel setup'!$K$6&amp;'Funnel setup'!$K$7&amp;'Funnel setup'!$K$4,'Funnel Lookup'!I206="*",'Funnel Lookup'!I206="*"),#N/A,IF(AND($C206='Funnel setup'!$K$3&amp;'Funnel setup'!$K$6&amp;'Funnel setup'!$K$7&amp;'Funnel setup'!$K$4,'Funnel Lookup'!I206&gt;29,'Funnel Lookup'!I206&lt;&gt;"-"),'Funnel Lookup'!I206,#N/A))</f>
        <v>#N/A</v>
      </c>
      <c r="V206" t="e">
        <f ca="1">IF(AND($C206='Funnel setup'!$K$3&amp;'Funnel setup'!$K$6&amp;'Funnel setup'!$K$7&amp;'Funnel setup'!$K$4,'Funnel Lookup'!I206="*",'Funnel Lookup'!I206="*"),#N/A,IF(AND($C206='Funnel setup'!$K$3&amp;'Funnel setup'!$K$6&amp;'Funnel setup'!$K$7&amp;'Funnel setup'!$K$4,'Funnel Lookup'!I206&gt;29,'Funnel Lookup'!I206&lt;&gt;"-"),'Funnel Lookup'!Q206,#N/A))</f>
        <v>#N/A</v>
      </c>
    </row>
    <row r="207" spans="1:22" x14ac:dyDescent="0.25">
      <c r="A207">
        <v>205</v>
      </c>
      <c r="B207">
        <f t="shared" ca="1" si="48"/>
        <v>205</v>
      </c>
      <c r="C207" t="str">
        <f t="shared" ca="1" si="48"/>
        <v>Total Hip ReplacementProviderSTOCKPORT NHS FOUNDATION TRUST (RWJ)Oxford Hip Score</v>
      </c>
      <c r="D207" t="str">
        <f t="shared" ca="1" si="48"/>
        <v>Total Hip Replacement</v>
      </c>
      <c r="E207" t="str">
        <f t="shared" ca="1" si="48"/>
        <v>Provider</v>
      </c>
      <c r="F207" t="str">
        <f t="shared" ca="1" si="48"/>
        <v>RWJ</v>
      </c>
      <c r="G207" t="str">
        <f t="shared" ca="1" si="48"/>
        <v>STOCKPORT NHS FOUNDATION TRUST (RWJ)</v>
      </c>
      <c r="H207" t="str">
        <f t="shared" ca="1" si="48"/>
        <v>Oxford Hip Score</v>
      </c>
      <c r="I207">
        <f t="shared" ca="1" si="48"/>
        <v>60</v>
      </c>
      <c r="J207">
        <f t="shared" ca="1" si="48"/>
        <v>15.65</v>
      </c>
      <c r="K207">
        <f t="shared" ca="1" si="48"/>
        <v>38.4</v>
      </c>
      <c r="L207">
        <f t="shared" ca="1" si="49"/>
        <v>22.75</v>
      </c>
      <c r="M207">
        <f t="shared" ca="1" si="49"/>
        <v>56</v>
      </c>
      <c r="N207">
        <f t="shared" ca="1" si="49"/>
        <v>1</v>
      </c>
      <c r="O207">
        <f t="shared" ca="1" si="49"/>
        <v>3</v>
      </c>
      <c r="P207">
        <f t="shared" ca="1" si="49"/>
        <v>40.447299999999998</v>
      </c>
      <c r="Q207">
        <f t="shared" ca="1" si="49"/>
        <v>23.235800000000001</v>
      </c>
      <c r="R207">
        <f t="shared" ca="1" si="49"/>
        <v>8.8873300000000004</v>
      </c>
      <c r="S207">
        <f t="shared" ca="1" si="46"/>
        <v>60</v>
      </c>
      <c r="T207">
        <f t="shared" ca="1" si="47"/>
        <v>23.235800000000001</v>
      </c>
      <c r="U207" t="e">
        <f ca="1">IF(AND($C207='Funnel setup'!$K$3&amp;'Funnel setup'!$K$6&amp;'Funnel setup'!$K$7&amp;'Funnel setup'!$K$4,'Funnel Lookup'!I207="*",'Funnel Lookup'!I207="*"),#N/A,IF(AND($C207='Funnel setup'!$K$3&amp;'Funnel setup'!$K$6&amp;'Funnel setup'!$K$7&amp;'Funnel setup'!$K$4,'Funnel Lookup'!I207&gt;29,'Funnel Lookup'!I207&lt;&gt;"-"),'Funnel Lookup'!I207,#N/A))</f>
        <v>#N/A</v>
      </c>
      <c r="V207" t="e">
        <f ca="1">IF(AND($C207='Funnel setup'!$K$3&amp;'Funnel setup'!$K$6&amp;'Funnel setup'!$K$7&amp;'Funnel setup'!$K$4,'Funnel Lookup'!I207="*",'Funnel Lookup'!I207="*"),#N/A,IF(AND($C207='Funnel setup'!$K$3&amp;'Funnel setup'!$K$6&amp;'Funnel setup'!$K$7&amp;'Funnel setup'!$K$4,'Funnel Lookup'!I207&gt;29,'Funnel Lookup'!I207&lt;&gt;"-"),'Funnel Lookup'!Q207,#N/A))</f>
        <v>#N/A</v>
      </c>
    </row>
    <row r="208" spans="1:22" x14ac:dyDescent="0.25">
      <c r="A208">
        <v>206</v>
      </c>
      <c r="B208">
        <f t="shared" ca="1" si="48"/>
        <v>206</v>
      </c>
      <c r="C208" t="str">
        <f t="shared" ca="1" si="48"/>
        <v>Total Hip ReplacementProviderSURREY AND SUSSEX HEALTHCARE NHS TRUST (RTP)Oxford Hip Score</v>
      </c>
      <c r="D208" t="str">
        <f t="shared" ca="1" si="48"/>
        <v>Total Hip Replacement</v>
      </c>
      <c r="E208" t="str">
        <f t="shared" ca="1" si="48"/>
        <v>Provider</v>
      </c>
      <c r="F208" t="str">
        <f t="shared" ca="1" si="48"/>
        <v>RTP</v>
      </c>
      <c r="G208" t="str">
        <f t="shared" ca="1" si="48"/>
        <v>SURREY AND SUSSEX HEALTHCARE NHS TRUST (RTP)</v>
      </c>
      <c r="H208" t="str">
        <f t="shared" ca="1" si="48"/>
        <v>Oxford Hip Score</v>
      </c>
      <c r="I208">
        <f t="shared" ca="1" si="48"/>
        <v>56</v>
      </c>
      <c r="J208">
        <f t="shared" ca="1" si="48"/>
        <v>15.321400000000001</v>
      </c>
      <c r="K208">
        <f t="shared" ca="1" si="48"/>
        <v>38.017899999999997</v>
      </c>
      <c r="L208">
        <f t="shared" ca="1" si="49"/>
        <v>22.696400000000001</v>
      </c>
      <c r="M208">
        <f t="shared" ca="1" si="49"/>
        <v>54</v>
      </c>
      <c r="N208">
        <f t="shared" ca="1" si="49"/>
        <v>0</v>
      </c>
      <c r="O208">
        <f t="shared" ca="1" si="49"/>
        <v>2</v>
      </c>
      <c r="P208">
        <f t="shared" ca="1" si="49"/>
        <v>38.631399999999999</v>
      </c>
      <c r="Q208">
        <f t="shared" ca="1" si="49"/>
        <v>21.419899999999998</v>
      </c>
      <c r="R208">
        <f t="shared" ca="1" si="49"/>
        <v>9.2059700000000007</v>
      </c>
      <c r="S208">
        <f t="shared" ca="1" si="46"/>
        <v>56</v>
      </c>
      <c r="T208">
        <f t="shared" ca="1" si="47"/>
        <v>21.419899999999998</v>
      </c>
      <c r="U208" t="e">
        <f ca="1">IF(AND($C208='Funnel setup'!$K$3&amp;'Funnel setup'!$K$6&amp;'Funnel setup'!$K$7&amp;'Funnel setup'!$K$4,'Funnel Lookup'!I208="*",'Funnel Lookup'!I208="*"),#N/A,IF(AND($C208='Funnel setup'!$K$3&amp;'Funnel setup'!$K$6&amp;'Funnel setup'!$K$7&amp;'Funnel setup'!$K$4,'Funnel Lookup'!I208&gt;29,'Funnel Lookup'!I208&lt;&gt;"-"),'Funnel Lookup'!I208,#N/A))</f>
        <v>#N/A</v>
      </c>
      <c r="V208" t="e">
        <f ca="1">IF(AND($C208='Funnel setup'!$K$3&amp;'Funnel setup'!$K$6&amp;'Funnel setup'!$K$7&amp;'Funnel setup'!$K$4,'Funnel Lookup'!I208="*",'Funnel Lookup'!I208="*"),#N/A,IF(AND($C208='Funnel setup'!$K$3&amp;'Funnel setup'!$K$6&amp;'Funnel setup'!$K$7&amp;'Funnel setup'!$K$4,'Funnel Lookup'!I208&gt;29,'Funnel Lookup'!I208&lt;&gt;"-"),'Funnel Lookup'!Q208,#N/A))</f>
        <v>#N/A</v>
      </c>
    </row>
    <row r="209" spans="1:22" x14ac:dyDescent="0.25">
      <c r="A209">
        <v>207</v>
      </c>
      <c r="B209">
        <f t="shared" ca="1" si="48"/>
        <v>207</v>
      </c>
      <c r="C209" t="str">
        <f t="shared" ca="1" si="48"/>
        <v>Total Hip ReplacementProviderTAMESIDE AND GLOSSOP INTEGRATED CARE NHS FOUNDATION TRUST (RMP)Oxford Hip Score</v>
      </c>
      <c r="D209" t="str">
        <f t="shared" ca="1" si="48"/>
        <v>Total Hip Replacement</v>
      </c>
      <c r="E209" t="str">
        <f t="shared" ca="1" si="48"/>
        <v>Provider</v>
      </c>
      <c r="F209" t="str">
        <f t="shared" ca="1" si="48"/>
        <v>RMP</v>
      </c>
      <c r="G209" t="str">
        <f t="shared" ca="1" si="48"/>
        <v>TAMESIDE AND GLOSSOP INTEGRATED CARE NHS FOUNDATION TRUST (RMP)</v>
      </c>
      <c r="H209" t="str">
        <f t="shared" ca="1" si="48"/>
        <v>Oxford Hip Score</v>
      </c>
      <c r="I209">
        <f t="shared" ca="1" si="48"/>
        <v>3</v>
      </c>
      <c r="J209">
        <f t="shared" ca="1" si="48"/>
        <v>10.666700000000001</v>
      </c>
      <c r="K209">
        <f t="shared" ca="1" si="48"/>
        <v>39.333300000000001</v>
      </c>
      <c r="L209">
        <f t="shared" ca="1" si="49"/>
        <v>28.666699999999999</v>
      </c>
      <c r="M209">
        <f t="shared" ca="1" si="49"/>
        <v>3</v>
      </c>
      <c r="N209">
        <f t="shared" ca="1" si="49"/>
        <v>0</v>
      </c>
      <c r="O209">
        <f t="shared" ca="1" si="49"/>
        <v>0</v>
      </c>
      <c r="P209" t="str">
        <f t="shared" ca="1" si="49"/>
        <v>*</v>
      </c>
      <c r="Q209" t="str">
        <f t="shared" ca="1" si="49"/>
        <v>*</v>
      </c>
      <c r="R209" t="str">
        <f t="shared" ca="1" si="49"/>
        <v>*</v>
      </c>
      <c r="S209" t="e">
        <f t="shared" ca="1" si="46"/>
        <v>#N/A</v>
      </c>
      <c r="T209" t="e">
        <f t="shared" ca="1" si="47"/>
        <v>#N/A</v>
      </c>
      <c r="U209" t="e">
        <f ca="1">IF(AND($C209='Funnel setup'!$K$3&amp;'Funnel setup'!$K$6&amp;'Funnel setup'!$K$7&amp;'Funnel setup'!$K$4,'Funnel Lookup'!I209="*",'Funnel Lookup'!I209="*"),#N/A,IF(AND($C209='Funnel setup'!$K$3&amp;'Funnel setup'!$K$6&amp;'Funnel setup'!$K$7&amp;'Funnel setup'!$K$4,'Funnel Lookup'!I209&gt;29,'Funnel Lookup'!I209&lt;&gt;"-"),'Funnel Lookup'!I209,#N/A))</f>
        <v>#N/A</v>
      </c>
      <c r="V209" t="e">
        <f ca="1">IF(AND($C209='Funnel setup'!$K$3&amp;'Funnel setup'!$K$6&amp;'Funnel setup'!$K$7&amp;'Funnel setup'!$K$4,'Funnel Lookup'!I209="*",'Funnel Lookup'!I209="*"),#N/A,IF(AND($C209='Funnel setup'!$K$3&amp;'Funnel setup'!$K$6&amp;'Funnel setup'!$K$7&amp;'Funnel setup'!$K$4,'Funnel Lookup'!I209&gt;29,'Funnel Lookup'!I209&lt;&gt;"-"),'Funnel Lookup'!Q209,#N/A))</f>
        <v>#N/A</v>
      </c>
    </row>
    <row r="210" spans="1:22" x14ac:dyDescent="0.25">
      <c r="A210">
        <v>208</v>
      </c>
      <c r="B210">
        <f t="shared" ca="1" si="48"/>
        <v>208</v>
      </c>
      <c r="C210" t="str">
        <f t="shared" ca="1" si="48"/>
        <v>Total Hip ReplacementProviderTEES VALLEY HOSPITAL (NVC0R)Oxford Hip Score</v>
      </c>
      <c r="D210" t="str">
        <f t="shared" ca="1" si="48"/>
        <v>Total Hip Replacement</v>
      </c>
      <c r="E210" t="str">
        <f t="shared" ca="1" si="48"/>
        <v>Provider</v>
      </c>
      <c r="F210" t="str">
        <f t="shared" ca="1" si="48"/>
        <v>NVC0R</v>
      </c>
      <c r="G210" t="str">
        <f t="shared" ca="1" si="48"/>
        <v>TEES VALLEY HOSPITAL (NVC0R)</v>
      </c>
      <c r="H210" t="str">
        <f t="shared" ca="1" si="48"/>
        <v>Oxford Hip Score</v>
      </c>
      <c r="I210">
        <f t="shared" ca="1" si="48"/>
        <v>47</v>
      </c>
      <c r="J210">
        <f t="shared" ca="1" si="48"/>
        <v>19.148900000000001</v>
      </c>
      <c r="K210">
        <f t="shared" ca="1" si="48"/>
        <v>40.255299999999998</v>
      </c>
      <c r="L210">
        <f t="shared" ca="1" si="49"/>
        <v>21.106400000000001</v>
      </c>
      <c r="M210">
        <f t="shared" ca="1" si="49"/>
        <v>46</v>
      </c>
      <c r="N210">
        <f t="shared" ca="1" si="49"/>
        <v>0</v>
      </c>
      <c r="O210">
        <f t="shared" ca="1" si="49"/>
        <v>1</v>
      </c>
      <c r="P210">
        <f t="shared" ca="1" si="49"/>
        <v>39.1449</v>
      </c>
      <c r="Q210">
        <f t="shared" ca="1" si="49"/>
        <v>21.933499999999999</v>
      </c>
      <c r="R210">
        <f t="shared" ca="1" si="49"/>
        <v>8.5860500000000002</v>
      </c>
      <c r="S210">
        <f t="shared" ca="1" si="46"/>
        <v>47</v>
      </c>
      <c r="T210">
        <f t="shared" ca="1" si="47"/>
        <v>21.933499999999999</v>
      </c>
      <c r="U210" t="e">
        <f ca="1">IF(AND($C210='Funnel setup'!$K$3&amp;'Funnel setup'!$K$6&amp;'Funnel setup'!$K$7&amp;'Funnel setup'!$K$4,'Funnel Lookup'!I210="*",'Funnel Lookup'!I210="*"),#N/A,IF(AND($C210='Funnel setup'!$K$3&amp;'Funnel setup'!$K$6&amp;'Funnel setup'!$K$7&amp;'Funnel setup'!$K$4,'Funnel Lookup'!I210&gt;29,'Funnel Lookup'!I210&lt;&gt;"-"),'Funnel Lookup'!I210,#N/A))</f>
        <v>#N/A</v>
      </c>
      <c r="V210" t="e">
        <f ca="1">IF(AND($C210='Funnel setup'!$K$3&amp;'Funnel setup'!$K$6&amp;'Funnel setup'!$K$7&amp;'Funnel setup'!$K$4,'Funnel Lookup'!I210="*",'Funnel Lookup'!I210="*"),#N/A,IF(AND($C210='Funnel setup'!$K$3&amp;'Funnel setup'!$K$6&amp;'Funnel setup'!$K$7&amp;'Funnel setup'!$K$4,'Funnel Lookup'!I210&gt;29,'Funnel Lookup'!I210&lt;&gt;"-"),'Funnel Lookup'!Q210,#N/A))</f>
        <v>#N/A</v>
      </c>
    </row>
    <row r="211" spans="1:22" x14ac:dyDescent="0.25">
      <c r="A211">
        <v>209</v>
      </c>
      <c r="B211">
        <f t="shared" ca="1" si="48"/>
        <v>209</v>
      </c>
      <c r="C211" t="str">
        <f t="shared" ca="1" si="48"/>
        <v>Total Hip ReplacementProviderTHE BERKSHIRE INDEPENDENT HOSPITAL (NVC02)Oxford Hip Score</v>
      </c>
      <c r="D211" t="str">
        <f t="shared" ca="1" si="48"/>
        <v>Total Hip Replacement</v>
      </c>
      <c r="E211" t="str">
        <f t="shared" ca="1" si="48"/>
        <v>Provider</v>
      </c>
      <c r="F211" t="str">
        <f t="shared" ca="1" si="48"/>
        <v>NVC02</v>
      </c>
      <c r="G211" t="str">
        <f t="shared" ca="1" si="48"/>
        <v>THE BERKSHIRE INDEPENDENT HOSPITAL (NVC02)</v>
      </c>
      <c r="H211" t="str">
        <f t="shared" ca="1" si="48"/>
        <v>Oxford Hip Score</v>
      </c>
      <c r="I211">
        <f t="shared" ca="1" si="48"/>
        <v>11</v>
      </c>
      <c r="J211">
        <f t="shared" ca="1" si="48"/>
        <v>20</v>
      </c>
      <c r="K211">
        <f t="shared" ca="1" si="48"/>
        <v>43.181800000000003</v>
      </c>
      <c r="L211">
        <f t="shared" ca="1" si="49"/>
        <v>23.181799999999999</v>
      </c>
      <c r="M211">
        <f t="shared" ca="1" si="49"/>
        <v>10</v>
      </c>
      <c r="N211">
        <f t="shared" ca="1" si="49"/>
        <v>0</v>
      </c>
      <c r="O211">
        <f t="shared" ca="1" si="49"/>
        <v>1</v>
      </c>
      <c r="P211" t="str">
        <f t="shared" ca="1" si="49"/>
        <v>*</v>
      </c>
      <c r="Q211" t="str">
        <f t="shared" ca="1" si="49"/>
        <v>*</v>
      </c>
      <c r="R211" t="str">
        <f t="shared" ca="1" si="49"/>
        <v>*</v>
      </c>
      <c r="S211" t="e">
        <f t="shared" ca="1" si="46"/>
        <v>#N/A</v>
      </c>
      <c r="T211" t="e">
        <f t="shared" ca="1" si="47"/>
        <v>#N/A</v>
      </c>
      <c r="U211" t="e">
        <f ca="1">IF(AND($C211='Funnel setup'!$K$3&amp;'Funnel setup'!$K$6&amp;'Funnel setup'!$K$7&amp;'Funnel setup'!$K$4,'Funnel Lookup'!I211="*",'Funnel Lookup'!I211="*"),#N/A,IF(AND($C211='Funnel setup'!$K$3&amp;'Funnel setup'!$K$6&amp;'Funnel setup'!$K$7&amp;'Funnel setup'!$K$4,'Funnel Lookup'!I211&gt;29,'Funnel Lookup'!I211&lt;&gt;"-"),'Funnel Lookup'!I211,#N/A))</f>
        <v>#N/A</v>
      </c>
      <c r="V211" t="e">
        <f ca="1">IF(AND($C211='Funnel setup'!$K$3&amp;'Funnel setup'!$K$6&amp;'Funnel setup'!$K$7&amp;'Funnel setup'!$K$4,'Funnel Lookup'!I211="*",'Funnel Lookup'!I211="*"),#N/A,IF(AND($C211='Funnel setup'!$K$3&amp;'Funnel setup'!$K$6&amp;'Funnel setup'!$K$7&amp;'Funnel setup'!$K$4,'Funnel Lookup'!I211&gt;29,'Funnel Lookup'!I211&lt;&gt;"-"),'Funnel Lookup'!Q211,#N/A))</f>
        <v>#N/A</v>
      </c>
    </row>
    <row r="212" spans="1:22" x14ac:dyDescent="0.25">
      <c r="A212">
        <v>210</v>
      </c>
      <c r="B212">
        <f t="shared" ca="1" si="48"/>
        <v>210</v>
      </c>
      <c r="C212" t="str">
        <f t="shared" ca="1" si="48"/>
        <v>Total Hip ReplacementProviderTHE CHERWELL HOSPITAL (NVC25)Oxford Hip Score</v>
      </c>
      <c r="D212" t="str">
        <f t="shared" ca="1" si="48"/>
        <v>Total Hip Replacement</v>
      </c>
      <c r="E212" t="str">
        <f t="shared" ca="1" si="48"/>
        <v>Provider</v>
      </c>
      <c r="F212" t="str">
        <f t="shared" ca="1" si="48"/>
        <v>NVC25</v>
      </c>
      <c r="G212" t="str">
        <f t="shared" ca="1" si="48"/>
        <v>THE CHERWELL HOSPITAL (NVC25)</v>
      </c>
      <c r="H212" t="str">
        <f t="shared" ca="1" si="48"/>
        <v>Oxford Hip Score</v>
      </c>
      <c r="I212">
        <f t="shared" ca="1" si="48"/>
        <v>226</v>
      </c>
      <c r="J212">
        <f t="shared" ca="1" si="48"/>
        <v>19.977900000000002</v>
      </c>
      <c r="K212">
        <f t="shared" ca="1" si="48"/>
        <v>41.6327</v>
      </c>
      <c r="L212">
        <f t="shared" ca="1" si="49"/>
        <v>21.654900000000001</v>
      </c>
      <c r="M212">
        <f t="shared" ca="1" si="49"/>
        <v>220</v>
      </c>
      <c r="N212">
        <f t="shared" ca="1" si="49"/>
        <v>1</v>
      </c>
      <c r="O212">
        <f t="shared" ca="1" si="49"/>
        <v>5</v>
      </c>
      <c r="P212">
        <f t="shared" ca="1" si="49"/>
        <v>39.8626</v>
      </c>
      <c r="Q212">
        <f t="shared" ca="1" si="49"/>
        <v>22.651199999999999</v>
      </c>
      <c r="R212">
        <f t="shared" ca="1" si="49"/>
        <v>7.6551900000000002</v>
      </c>
      <c r="S212">
        <f t="shared" ca="1" si="46"/>
        <v>226</v>
      </c>
      <c r="T212">
        <f t="shared" ca="1" si="47"/>
        <v>22.651199999999999</v>
      </c>
      <c r="U212" t="e">
        <f ca="1">IF(AND($C212='Funnel setup'!$K$3&amp;'Funnel setup'!$K$6&amp;'Funnel setup'!$K$7&amp;'Funnel setup'!$K$4,'Funnel Lookup'!I212="*",'Funnel Lookup'!I212="*"),#N/A,IF(AND($C212='Funnel setup'!$K$3&amp;'Funnel setup'!$K$6&amp;'Funnel setup'!$K$7&amp;'Funnel setup'!$K$4,'Funnel Lookup'!I212&gt;29,'Funnel Lookup'!I212&lt;&gt;"-"),'Funnel Lookup'!I212,#N/A))</f>
        <v>#N/A</v>
      </c>
      <c r="V212" t="e">
        <f ca="1">IF(AND($C212='Funnel setup'!$K$3&amp;'Funnel setup'!$K$6&amp;'Funnel setup'!$K$7&amp;'Funnel setup'!$K$4,'Funnel Lookup'!I212="*",'Funnel Lookup'!I212="*"),#N/A,IF(AND($C212='Funnel setup'!$K$3&amp;'Funnel setup'!$K$6&amp;'Funnel setup'!$K$7&amp;'Funnel setup'!$K$4,'Funnel Lookup'!I212&gt;29,'Funnel Lookup'!I212&lt;&gt;"-"),'Funnel Lookup'!Q212,#N/A))</f>
        <v>#N/A</v>
      </c>
    </row>
    <row r="213" spans="1:22" x14ac:dyDescent="0.25">
      <c r="A213">
        <v>211</v>
      </c>
      <c r="B213">
        <f t="shared" ref="B213:K222" ca="1" si="50">VLOOKUP($A213,Funnel_Data,B$1,FALSE)</f>
        <v>211</v>
      </c>
      <c r="C213" t="str">
        <f t="shared" ca="1" si="50"/>
        <v>Total Hip ReplacementProviderTHE DUDLEY GROUP NHS FOUNDATION TRUST (RNA)Oxford Hip Score</v>
      </c>
      <c r="D213" t="str">
        <f t="shared" ca="1" si="50"/>
        <v>Total Hip Replacement</v>
      </c>
      <c r="E213" t="str">
        <f t="shared" ca="1" si="50"/>
        <v>Provider</v>
      </c>
      <c r="F213" t="str">
        <f t="shared" ca="1" si="50"/>
        <v>RNA</v>
      </c>
      <c r="G213" t="str">
        <f t="shared" ca="1" si="50"/>
        <v>THE DUDLEY GROUP NHS FOUNDATION TRUST (RNA)</v>
      </c>
      <c r="H213" t="str">
        <f t="shared" ca="1" si="50"/>
        <v>Oxford Hip Score</v>
      </c>
      <c r="I213">
        <f t="shared" ca="1" si="50"/>
        <v>1</v>
      </c>
      <c r="J213">
        <f t="shared" ca="1" si="50"/>
        <v>16</v>
      </c>
      <c r="K213">
        <f t="shared" ca="1" si="50"/>
        <v>46</v>
      </c>
      <c r="L213">
        <f t="shared" ref="L213:R222" ca="1" si="51">VLOOKUP($A213,Funnel_Data,L$1,FALSE)</f>
        <v>30</v>
      </c>
      <c r="M213">
        <f t="shared" ca="1" si="51"/>
        <v>1</v>
      </c>
      <c r="N213">
        <f t="shared" ca="1" si="51"/>
        <v>0</v>
      </c>
      <c r="O213">
        <f t="shared" ca="1" si="51"/>
        <v>0</v>
      </c>
      <c r="P213" t="str">
        <f t="shared" ca="1" si="51"/>
        <v>*</v>
      </c>
      <c r="Q213" t="str">
        <f t="shared" ca="1" si="51"/>
        <v>*</v>
      </c>
      <c r="R213" t="str">
        <f t="shared" ca="1" si="51"/>
        <v>*</v>
      </c>
      <c r="S213" t="e">
        <f t="shared" ca="1" si="46"/>
        <v>#N/A</v>
      </c>
      <c r="T213" t="e">
        <f t="shared" ca="1" si="47"/>
        <v>#N/A</v>
      </c>
      <c r="U213" t="e">
        <f ca="1">IF(AND($C213='Funnel setup'!$K$3&amp;'Funnel setup'!$K$6&amp;'Funnel setup'!$K$7&amp;'Funnel setup'!$K$4,'Funnel Lookup'!I213="*",'Funnel Lookup'!I213="*"),#N/A,IF(AND($C213='Funnel setup'!$K$3&amp;'Funnel setup'!$K$6&amp;'Funnel setup'!$K$7&amp;'Funnel setup'!$K$4,'Funnel Lookup'!I213&gt;29,'Funnel Lookup'!I213&lt;&gt;"-"),'Funnel Lookup'!I213,#N/A))</f>
        <v>#N/A</v>
      </c>
      <c r="V213" t="e">
        <f ca="1">IF(AND($C213='Funnel setup'!$K$3&amp;'Funnel setup'!$K$6&amp;'Funnel setup'!$K$7&amp;'Funnel setup'!$K$4,'Funnel Lookup'!I213="*",'Funnel Lookup'!I213="*"),#N/A,IF(AND($C213='Funnel setup'!$K$3&amp;'Funnel setup'!$K$6&amp;'Funnel setup'!$K$7&amp;'Funnel setup'!$K$4,'Funnel Lookup'!I213&gt;29,'Funnel Lookup'!I213&lt;&gt;"-"),'Funnel Lookup'!Q213,#N/A))</f>
        <v>#N/A</v>
      </c>
    </row>
    <row r="214" spans="1:22" x14ac:dyDescent="0.25">
      <c r="A214">
        <v>212</v>
      </c>
      <c r="B214">
        <f t="shared" ca="1" si="50"/>
        <v>212</v>
      </c>
      <c r="C214" t="str">
        <f t="shared" ca="1" si="50"/>
        <v>Total Hip ReplacementProviderTHE HILLINGDON HOSPITALS NHS FOUNDATION TRUST (RAS)Oxford Hip Score</v>
      </c>
      <c r="D214" t="str">
        <f t="shared" ca="1" si="50"/>
        <v>Total Hip Replacement</v>
      </c>
      <c r="E214" t="str">
        <f t="shared" ca="1" si="50"/>
        <v>Provider</v>
      </c>
      <c r="F214" t="str">
        <f t="shared" ca="1" si="50"/>
        <v>RAS</v>
      </c>
      <c r="G214" t="str">
        <f t="shared" ca="1" si="50"/>
        <v>THE HILLINGDON HOSPITALS NHS FOUNDATION TRUST (RAS)</v>
      </c>
      <c r="H214" t="str">
        <f t="shared" ca="1" si="50"/>
        <v>Oxford Hip Score</v>
      </c>
      <c r="I214">
        <f t="shared" ca="1" si="50"/>
        <v>73</v>
      </c>
      <c r="J214">
        <f t="shared" ca="1" si="50"/>
        <v>19.137</v>
      </c>
      <c r="K214">
        <f t="shared" ca="1" si="50"/>
        <v>39.863</v>
      </c>
      <c r="L214">
        <f t="shared" ca="1" si="51"/>
        <v>20.725999999999999</v>
      </c>
      <c r="M214">
        <f t="shared" ca="1" si="51"/>
        <v>70</v>
      </c>
      <c r="N214">
        <f t="shared" ca="1" si="51"/>
        <v>0</v>
      </c>
      <c r="O214">
        <f t="shared" ca="1" si="51"/>
        <v>3</v>
      </c>
      <c r="P214">
        <f t="shared" ca="1" si="51"/>
        <v>38.316000000000003</v>
      </c>
      <c r="Q214">
        <f t="shared" ca="1" si="51"/>
        <v>21.104600000000001</v>
      </c>
      <c r="R214">
        <f t="shared" ca="1" si="51"/>
        <v>7.4913699999999999</v>
      </c>
      <c r="S214">
        <f t="shared" ca="1" si="46"/>
        <v>73</v>
      </c>
      <c r="T214">
        <f t="shared" ca="1" si="47"/>
        <v>21.104600000000001</v>
      </c>
      <c r="U214" t="e">
        <f ca="1">IF(AND($C214='Funnel setup'!$K$3&amp;'Funnel setup'!$K$6&amp;'Funnel setup'!$K$7&amp;'Funnel setup'!$K$4,'Funnel Lookup'!I214="*",'Funnel Lookup'!I214="*"),#N/A,IF(AND($C214='Funnel setup'!$K$3&amp;'Funnel setup'!$K$6&amp;'Funnel setup'!$K$7&amp;'Funnel setup'!$K$4,'Funnel Lookup'!I214&gt;29,'Funnel Lookup'!I214&lt;&gt;"-"),'Funnel Lookup'!I214,#N/A))</f>
        <v>#N/A</v>
      </c>
      <c r="V214" t="e">
        <f ca="1">IF(AND($C214='Funnel setup'!$K$3&amp;'Funnel setup'!$K$6&amp;'Funnel setup'!$K$7&amp;'Funnel setup'!$K$4,'Funnel Lookup'!I214="*",'Funnel Lookup'!I214="*"),#N/A,IF(AND($C214='Funnel setup'!$K$3&amp;'Funnel setup'!$K$6&amp;'Funnel setup'!$K$7&amp;'Funnel setup'!$K$4,'Funnel Lookup'!I214&gt;29,'Funnel Lookup'!I214&lt;&gt;"-"),'Funnel Lookup'!Q214,#N/A))</f>
        <v>#N/A</v>
      </c>
    </row>
    <row r="215" spans="1:22" x14ac:dyDescent="0.25">
      <c r="A215">
        <v>213</v>
      </c>
      <c r="B215">
        <f t="shared" ca="1" si="50"/>
        <v>213</v>
      </c>
      <c r="C215" t="str">
        <f t="shared" ca="1" si="50"/>
        <v>Total Hip ReplacementProviderTHE HORDER CENTRE - ST JOHNS ROAD (NXM01)Oxford Hip Score</v>
      </c>
      <c r="D215" t="str">
        <f t="shared" ca="1" si="50"/>
        <v>Total Hip Replacement</v>
      </c>
      <c r="E215" t="str">
        <f t="shared" ca="1" si="50"/>
        <v>Provider</v>
      </c>
      <c r="F215" t="str">
        <f t="shared" ca="1" si="50"/>
        <v>NXM01</v>
      </c>
      <c r="G215" t="str">
        <f t="shared" ca="1" si="50"/>
        <v>THE HORDER CENTRE - ST JOHNS ROAD (NXM01)</v>
      </c>
      <c r="H215" t="str">
        <f t="shared" ca="1" si="50"/>
        <v>Oxford Hip Score</v>
      </c>
      <c r="I215">
        <f t="shared" ca="1" si="50"/>
        <v>273</v>
      </c>
      <c r="J215">
        <f t="shared" ca="1" si="50"/>
        <v>20.7546</v>
      </c>
      <c r="K215">
        <f t="shared" ca="1" si="50"/>
        <v>42.359000000000002</v>
      </c>
      <c r="L215">
        <f t="shared" ca="1" si="51"/>
        <v>21.604399999999998</v>
      </c>
      <c r="M215">
        <f t="shared" ca="1" si="51"/>
        <v>262</v>
      </c>
      <c r="N215">
        <f t="shared" ca="1" si="51"/>
        <v>3</v>
      </c>
      <c r="O215">
        <f t="shared" ca="1" si="51"/>
        <v>8</v>
      </c>
      <c r="P215">
        <f t="shared" ca="1" si="51"/>
        <v>40.118200000000002</v>
      </c>
      <c r="Q215">
        <f t="shared" ca="1" si="51"/>
        <v>22.906700000000001</v>
      </c>
      <c r="R215">
        <f t="shared" ca="1" si="51"/>
        <v>7.6849600000000002</v>
      </c>
      <c r="S215">
        <f t="shared" ca="1" si="46"/>
        <v>273</v>
      </c>
      <c r="T215">
        <f t="shared" ca="1" si="47"/>
        <v>22.906700000000001</v>
      </c>
      <c r="U215" t="e">
        <f ca="1">IF(AND($C215='Funnel setup'!$K$3&amp;'Funnel setup'!$K$6&amp;'Funnel setup'!$K$7&amp;'Funnel setup'!$K$4,'Funnel Lookup'!I215="*",'Funnel Lookup'!I215="*"),#N/A,IF(AND($C215='Funnel setup'!$K$3&amp;'Funnel setup'!$K$6&amp;'Funnel setup'!$K$7&amp;'Funnel setup'!$K$4,'Funnel Lookup'!I215&gt;29,'Funnel Lookup'!I215&lt;&gt;"-"),'Funnel Lookup'!I215,#N/A))</f>
        <v>#N/A</v>
      </c>
      <c r="V215" t="e">
        <f ca="1">IF(AND($C215='Funnel setup'!$K$3&amp;'Funnel setup'!$K$6&amp;'Funnel setup'!$K$7&amp;'Funnel setup'!$K$4,'Funnel Lookup'!I215="*",'Funnel Lookup'!I215="*"),#N/A,IF(AND($C215='Funnel setup'!$K$3&amp;'Funnel setup'!$K$6&amp;'Funnel setup'!$K$7&amp;'Funnel setup'!$K$4,'Funnel Lookup'!I215&gt;29,'Funnel Lookup'!I215&lt;&gt;"-"),'Funnel Lookup'!Q215,#N/A))</f>
        <v>#N/A</v>
      </c>
    </row>
    <row r="216" spans="1:22" x14ac:dyDescent="0.25">
      <c r="A216">
        <v>214</v>
      </c>
      <c r="B216">
        <f t="shared" ca="1" si="50"/>
        <v>214</v>
      </c>
      <c r="C216" t="str">
        <f t="shared" ca="1" si="50"/>
        <v>Total Hip ReplacementProviderTHE NEWCASTLE UPON TYNE HOSPITALS NHS FOUNDATION TRUST (RTD)Oxford Hip Score</v>
      </c>
      <c r="D216" t="str">
        <f t="shared" ca="1" si="50"/>
        <v>Total Hip Replacement</v>
      </c>
      <c r="E216" t="str">
        <f t="shared" ca="1" si="50"/>
        <v>Provider</v>
      </c>
      <c r="F216" t="str">
        <f t="shared" ca="1" si="50"/>
        <v>RTD</v>
      </c>
      <c r="G216" t="str">
        <f t="shared" ca="1" si="50"/>
        <v>THE NEWCASTLE UPON TYNE HOSPITALS NHS FOUNDATION TRUST (RTD)</v>
      </c>
      <c r="H216" t="str">
        <f t="shared" ca="1" si="50"/>
        <v>Oxford Hip Score</v>
      </c>
      <c r="I216">
        <f t="shared" ca="1" si="50"/>
        <v>40</v>
      </c>
      <c r="J216">
        <f t="shared" ca="1" si="50"/>
        <v>16.149999999999999</v>
      </c>
      <c r="K216">
        <f t="shared" ca="1" si="50"/>
        <v>35.825000000000003</v>
      </c>
      <c r="L216">
        <f t="shared" ca="1" si="51"/>
        <v>19.675000000000001</v>
      </c>
      <c r="M216">
        <f t="shared" ca="1" si="51"/>
        <v>38</v>
      </c>
      <c r="N216">
        <f t="shared" ca="1" si="51"/>
        <v>0</v>
      </c>
      <c r="O216">
        <f t="shared" ca="1" si="51"/>
        <v>2</v>
      </c>
      <c r="P216">
        <f t="shared" ca="1" si="51"/>
        <v>38.217700000000001</v>
      </c>
      <c r="Q216">
        <f t="shared" ca="1" si="51"/>
        <v>21.0063</v>
      </c>
      <c r="R216">
        <f t="shared" ca="1" si="51"/>
        <v>9.0444800000000001</v>
      </c>
      <c r="S216">
        <f t="shared" ca="1" si="46"/>
        <v>40</v>
      </c>
      <c r="T216">
        <f t="shared" ca="1" si="47"/>
        <v>21.0063</v>
      </c>
      <c r="U216" t="e">
        <f ca="1">IF(AND($C216='Funnel setup'!$K$3&amp;'Funnel setup'!$K$6&amp;'Funnel setup'!$K$7&amp;'Funnel setup'!$K$4,'Funnel Lookup'!I216="*",'Funnel Lookup'!I216="*"),#N/A,IF(AND($C216='Funnel setup'!$K$3&amp;'Funnel setup'!$K$6&amp;'Funnel setup'!$K$7&amp;'Funnel setup'!$K$4,'Funnel Lookup'!I216&gt;29,'Funnel Lookup'!I216&lt;&gt;"-"),'Funnel Lookup'!I216,#N/A))</f>
        <v>#N/A</v>
      </c>
      <c r="V216" t="e">
        <f ca="1">IF(AND($C216='Funnel setup'!$K$3&amp;'Funnel setup'!$K$6&amp;'Funnel setup'!$K$7&amp;'Funnel setup'!$K$4,'Funnel Lookup'!I216="*",'Funnel Lookup'!I216="*"),#N/A,IF(AND($C216='Funnel setup'!$K$3&amp;'Funnel setup'!$K$6&amp;'Funnel setup'!$K$7&amp;'Funnel setup'!$K$4,'Funnel Lookup'!I216&gt;29,'Funnel Lookup'!I216&lt;&gt;"-"),'Funnel Lookup'!Q216,#N/A))</f>
        <v>#N/A</v>
      </c>
    </row>
    <row r="217" spans="1:22" x14ac:dyDescent="0.25">
      <c r="A217">
        <v>215</v>
      </c>
      <c r="B217">
        <f t="shared" ca="1" si="50"/>
        <v>215</v>
      </c>
      <c r="C217" t="str">
        <f t="shared" ca="1" si="50"/>
        <v>Total Hip ReplacementProviderTHE PRINCESS ALEXANDRA HOSPITAL NHS TRUST (RQW)Oxford Hip Score</v>
      </c>
      <c r="D217" t="str">
        <f t="shared" ca="1" si="50"/>
        <v>Total Hip Replacement</v>
      </c>
      <c r="E217" t="str">
        <f t="shared" ca="1" si="50"/>
        <v>Provider</v>
      </c>
      <c r="F217" t="str">
        <f t="shared" ca="1" si="50"/>
        <v>RQW</v>
      </c>
      <c r="G217" t="str">
        <f t="shared" ca="1" si="50"/>
        <v>THE PRINCESS ALEXANDRA HOSPITAL NHS TRUST (RQW)</v>
      </c>
      <c r="H217" t="str">
        <f t="shared" ca="1" si="50"/>
        <v>Oxford Hip Score</v>
      </c>
      <c r="I217">
        <f t="shared" ca="1" si="50"/>
        <v>28</v>
      </c>
      <c r="J217">
        <f t="shared" ca="1" si="50"/>
        <v>11.857100000000001</v>
      </c>
      <c r="K217">
        <f t="shared" ca="1" si="50"/>
        <v>34.5</v>
      </c>
      <c r="L217">
        <f t="shared" ca="1" si="51"/>
        <v>22.642900000000001</v>
      </c>
      <c r="M217">
        <f t="shared" ca="1" si="51"/>
        <v>27</v>
      </c>
      <c r="N217">
        <f t="shared" ca="1" si="51"/>
        <v>0</v>
      </c>
      <c r="O217">
        <f t="shared" ca="1" si="51"/>
        <v>1</v>
      </c>
      <c r="P217" t="str">
        <f t="shared" ca="1" si="51"/>
        <v>*</v>
      </c>
      <c r="Q217" t="str">
        <f t="shared" ca="1" si="51"/>
        <v>*</v>
      </c>
      <c r="R217" t="str">
        <f t="shared" ca="1" si="51"/>
        <v>*</v>
      </c>
      <c r="S217" t="e">
        <f t="shared" ca="1" si="46"/>
        <v>#N/A</v>
      </c>
      <c r="T217" t="e">
        <f t="shared" ca="1" si="47"/>
        <v>#N/A</v>
      </c>
      <c r="U217" t="e">
        <f ca="1">IF(AND($C217='Funnel setup'!$K$3&amp;'Funnel setup'!$K$6&amp;'Funnel setup'!$K$7&amp;'Funnel setup'!$K$4,'Funnel Lookup'!I217="*",'Funnel Lookup'!I217="*"),#N/A,IF(AND($C217='Funnel setup'!$K$3&amp;'Funnel setup'!$K$6&amp;'Funnel setup'!$K$7&amp;'Funnel setup'!$K$4,'Funnel Lookup'!I217&gt;29,'Funnel Lookup'!I217&lt;&gt;"-"),'Funnel Lookup'!I217,#N/A))</f>
        <v>#N/A</v>
      </c>
      <c r="V217" t="e">
        <f ca="1">IF(AND($C217='Funnel setup'!$K$3&amp;'Funnel setup'!$K$6&amp;'Funnel setup'!$K$7&amp;'Funnel setup'!$K$4,'Funnel Lookup'!I217="*",'Funnel Lookup'!I217="*"),#N/A,IF(AND($C217='Funnel setup'!$K$3&amp;'Funnel setup'!$K$6&amp;'Funnel setup'!$K$7&amp;'Funnel setup'!$K$4,'Funnel Lookup'!I217&gt;29,'Funnel Lookup'!I217&lt;&gt;"-"),'Funnel Lookup'!Q217,#N/A))</f>
        <v>#N/A</v>
      </c>
    </row>
    <row r="218" spans="1:22" x14ac:dyDescent="0.25">
      <c r="A218">
        <v>216</v>
      </c>
      <c r="B218">
        <f t="shared" ca="1" si="50"/>
        <v>216</v>
      </c>
      <c r="C218" t="str">
        <f t="shared" ca="1" si="50"/>
        <v>Total Hip ReplacementProviderTHE QUEEN ELIZABETH HOSPITAL, KING'S LYNN, NHS FOUNDATION TRUST (RCX)Oxford Hip Score</v>
      </c>
      <c r="D218" t="str">
        <f t="shared" ca="1" si="50"/>
        <v>Total Hip Replacement</v>
      </c>
      <c r="E218" t="str">
        <f t="shared" ca="1" si="50"/>
        <v>Provider</v>
      </c>
      <c r="F218" t="str">
        <f t="shared" ca="1" si="50"/>
        <v>RCX</v>
      </c>
      <c r="G218" t="str">
        <f t="shared" ca="1" si="50"/>
        <v>THE QUEEN ELIZABETH HOSPITAL, KING'S LYNN, NHS FOUNDATION TRUST (RCX)</v>
      </c>
      <c r="H218" t="str">
        <f t="shared" ca="1" si="50"/>
        <v>Oxford Hip Score</v>
      </c>
      <c r="I218">
        <f t="shared" ca="1" si="50"/>
        <v>71</v>
      </c>
      <c r="J218">
        <f t="shared" ca="1" si="50"/>
        <v>16.070399999999999</v>
      </c>
      <c r="K218">
        <f t="shared" ca="1" si="50"/>
        <v>39.732399999999998</v>
      </c>
      <c r="L218">
        <f t="shared" ca="1" si="51"/>
        <v>23.661999999999999</v>
      </c>
      <c r="M218">
        <f t="shared" ca="1" si="51"/>
        <v>69</v>
      </c>
      <c r="N218">
        <f t="shared" ca="1" si="51"/>
        <v>1</v>
      </c>
      <c r="O218">
        <f t="shared" ca="1" si="51"/>
        <v>1</v>
      </c>
      <c r="P218">
        <f t="shared" ca="1" si="51"/>
        <v>40.928899999999999</v>
      </c>
      <c r="Q218">
        <f t="shared" ca="1" si="51"/>
        <v>23.717500000000001</v>
      </c>
      <c r="R218">
        <f t="shared" ca="1" si="51"/>
        <v>7.1513999999999998</v>
      </c>
      <c r="S218">
        <f t="shared" ca="1" si="46"/>
        <v>71</v>
      </c>
      <c r="T218">
        <f t="shared" ca="1" si="47"/>
        <v>23.717500000000001</v>
      </c>
      <c r="U218" t="e">
        <f ca="1">IF(AND($C218='Funnel setup'!$K$3&amp;'Funnel setup'!$K$6&amp;'Funnel setup'!$K$7&amp;'Funnel setup'!$K$4,'Funnel Lookup'!I218="*",'Funnel Lookup'!I218="*"),#N/A,IF(AND($C218='Funnel setup'!$K$3&amp;'Funnel setup'!$K$6&amp;'Funnel setup'!$K$7&amp;'Funnel setup'!$K$4,'Funnel Lookup'!I218&gt;29,'Funnel Lookup'!I218&lt;&gt;"-"),'Funnel Lookup'!I218,#N/A))</f>
        <v>#N/A</v>
      </c>
      <c r="V218" t="e">
        <f ca="1">IF(AND($C218='Funnel setup'!$K$3&amp;'Funnel setup'!$K$6&amp;'Funnel setup'!$K$7&amp;'Funnel setup'!$K$4,'Funnel Lookup'!I218="*",'Funnel Lookup'!I218="*"),#N/A,IF(AND($C218='Funnel setup'!$K$3&amp;'Funnel setup'!$K$6&amp;'Funnel setup'!$K$7&amp;'Funnel setup'!$K$4,'Funnel Lookup'!I218&gt;29,'Funnel Lookup'!I218&lt;&gt;"-"),'Funnel Lookup'!Q218,#N/A))</f>
        <v>#N/A</v>
      </c>
    </row>
    <row r="219" spans="1:22" x14ac:dyDescent="0.25">
      <c r="A219">
        <v>217</v>
      </c>
      <c r="B219">
        <f t="shared" ca="1" si="50"/>
        <v>217</v>
      </c>
      <c r="C219" t="str">
        <f t="shared" ca="1" si="50"/>
        <v>Total Hip ReplacementProviderTHE ROBERT JONES AND AGNES HUNT ORTHOPAEDIC HOSPITAL NHS FOUNDATION TRUST (RL1)Oxford Hip Score</v>
      </c>
      <c r="D219" t="str">
        <f t="shared" ca="1" si="50"/>
        <v>Total Hip Replacement</v>
      </c>
      <c r="E219" t="str">
        <f t="shared" ca="1" si="50"/>
        <v>Provider</v>
      </c>
      <c r="F219" t="str">
        <f t="shared" ca="1" si="50"/>
        <v>RL1</v>
      </c>
      <c r="G219" t="str">
        <f t="shared" ca="1" si="50"/>
        <v>THE ROBERT JONES AND AGNES HUNT ORTHOPAEDIC HOSPITAL NHS FOUNDATION TRUST (RL1)</v>
      </c>
      <c r="H219" t="str">
        <f t="shared" ca="1" si="50"/>
        <v>Oxford Hip Score</v>
      </c>
      <c r="I219">
        <f t="shared" ca="1" si="50"/>
        <v>373</v>
      </c>
      <c r="J219">
        <f t="shared" ca="1" si="50"/>
        <v>13.8767</v>
      </c>
      <c r="K219">
        <f t="shared" ca="1" si="50"/>
        <v>40.581800000000001</v>
      </c>
      <c r="L219">
        <f t="shared" ca="1" si="51"/>
        <v>26.705100000000002</v>
      </c>
      <c r="M219">
        <f t="shared" ca="1" si="51"/>
        <v>371</v>
      </c>
      <c r="N219">
        <f t="shared" ca="1" si="51"/>
        <v>0</v>
      </c>
      <c r="O219">
        <f t="shared" ca="1" si="51"/>
        <v>2</v>
      </c>
      <c r="P219">
        <f t="shared" ca="1" si="51"/>
        <v>41.632399999999997</v>
      </c>
      <c r="Q219">
        <f t="shared" ca="1" si="51"/>
        <v>24.420999999999999</v>
      </c>
      <c r="R219">
        <f t="shared" ca="1" si="51"/>
        <v>7.7759299999999998</v>
      </c>
      <c r="S219">
        <f t="shared" ca="1" si="46"/>
        <v>373</v>
      </c>
      <c r="T219">
        <f t="shared" ca="1" si="47"/>
        <v>24.420999999999999</v>
      </c>
      <c r="U219" t="e">
        <f ca="1">IF(AND($C219='Funnel setup'!$K$3&amp;'Funnel setup'!$K$6&amp;'Funnel setup'!$K$7&amp;'Funnel setup'!$K$4,'Funnel Lookup'!I219="*",'Funnel Lookup'!I219="*"),#N/A,IF(AND($C219='Funnel setup'!$K$3&amp;'Funnel setup'!$K$6&amp;'Funnel setup'!$K$7&amp;'Funnel setup'!$K$4,'Funnel Lookup'!I219&gt;29,'Funnel Lookup'!I219&lt;&gt;"-"),'Funnel Lookup'!I219,#N/A))</f>
        <v>#N/A</v>
      </c>
      <c r="V219" t="e">
        <f ca="1">IF(AND($C219='Funnel setup'!$K$3&amp;'Funnel setup'!$K$6&amp;'Funnel setup'!$K$7&amp;'Funnel setup'!$K$4,'Funnel Lookup'!I219="*",'Funnel Lookup'!I219="*"),#N/A,IF(AND($C219='Funnel setup'!$K$3&amp;'Funnel setup'!$K$6&amp;'Funnel setup'!$K$7&amp;'Funnel setup'!$K$4,'Funnel Lookup'!I219&gt;29,'Funnel Lookup'!I219&lt;&gt;"-"),'Funnel Lookup'!Q219,#N/A))</f>
        <v>#N/A</v>
      </c>
    </row>
    <row r="220" spans="1:22" x14ac:dyDescent="0.25">
      <c r="A220">
        <v>218</v>
      </c>
      <c r="B220">
        <f t="shared" ca="1" si="50"/>
        <v>218</v>
      </c>
      <c r="C220" t="str">
        <f t="shared" ca="1" si="50"/>
        <v>Total Hip ReplacementProviderTHE ROTHERHAM NHS FOUNDATION TRUST (RFR)Oxford Hip Score</v>
      </c>
      <c r="D220" t="str">
        <f t="shared" ca="1" si="50"/>
        <v>Total Hip Replacement</v>
      </c>
      <c r="E220" t="str">
        <f t="shared" ca="1" si="50"/>
        <v>Provider</v>
      </c>
      <c r="F220" t="str">
        <f t="shared" ca="1" si="50"/>
        <v>RFR</v>
      </c>
      <c r="G220" t="str">
        <f t="shared" ca="1" si="50"/>
        <v>THE ROTHERHAM NHS FOUNDATION TRUST (RFR)</v>
      </c>
      <c r="H220" t="str">
        <f t="shared" ca="1" si="50"/>
        <v>Oxford Hip Score</v>
      </c>
      <c r="I220">
        <f t="shared" ca="1" si="50"/>
        <v>18</v>
      </c>
      <c r="J220">
        <f t="shared" ca="1" si="50"/>
        <v>14.9444</v>
      </c>
      <c r="K220">
        <f t="shared" ca="1" si="50"/>
        <v>38.1111</v>
      </c>
      <c r="L220">
        <f t="shared" ca="1" si="51"/>
        <v>23.166699999999999</v>
      </c>
      <c r="M220">
        <f t="shared" ca="1" si="51"/>
        <v>18</v>
      </c>
      <c r="N220">
        <f t="shared" ca="1" si="51"/>
        <v>0</v>
      </c>
      <c r="O220">
        <f t="shared" ca="1" si="51"/>
        <v>0</v>
      </c>
      <c r="P220" t="str">
        <f t="shared" ca="1" si="51"/>
        <v>*</v>
      </c>
      <c r="Q220" t="str">
        <f t="shared" ca="1" si="51"/>
        <v>*</v>
      </c>
      <c r="R220" t="str">
        <f t="shared" ca="1" si="51"/>
        <v>*</v>
      </c>
      <c r="S220" t="e">
        <f t="shared" ca="1" si="46"/>
        <v>#N/A</v>
      </c>
      <c r="T220" t="e">
        <f t="shared" ca="1" si="47"/>
        <v>#N/A</v>
      </c>
      <c r="U220" t="e">
        <f ca="1">IF(AND($C220='Funnel setup'!$K$3&amp;'Funnel setup'!$K$6&amp;'Funnel setup'!$K$7&amp;'Funnel setup'!$K$4,'Funnel Lookup'!I220="*",'Funnel Lookup'!I220="*"),#N/A,IF(AND($C220='Funnel setup'!$K$3&amp;'Funnel setup'!$K$6&amp;'Funnel setup'!$K$7&amp;'Funnel setup'!$K$4,'Funnel Lookup'!I220&gt;29,'Funnel Lookup'!I220&lt;&gt;"-"),'Funnel Lookup'!I220,#N/A))</f>
        <v>#N/A</v>
      </c>
      <c r="V220" t="e">
        <f ca="1">IF(AND($C220='Funnel setup'!$K$3&amp;'Funnel setup'!$K$6&amp;'Funnel setup'!$K$7&amp;'Funnel setup'!$K$4,'Funnel Lookup'!I220="*",'Funnel Lookup'!I220="*"),#N/A,IF(AND($C220='Funnel setup'!$K$3&amp;'Funnel setup'!$K$6&amp;'Funnel setup'!$K$7&amp;'Funnel setup'!$K$4,'Funnel Lookup'!I220&gt;29,'Funnel Lookup'!I220&lt;&gt;"-"),'Funnel Lookup'!Q220,#N/A))</f>
        <v>#N/A</v>
      </c>
    </row>
    <row r="221" spans="1:22" x14ac:dyDescent="0.25">
      <c r="A221">
        <v>219</v>
      </c>
      <c r="B221">
        <f t="shared" ca="1" si="50"/>
        <v>219</v>
      </c>
      <c r="C221" t="str">
        <f t="shared" ca="1" si="50"/>
        <v>Total Hip ReplacementProviderTHE ROYAL ORTHOPAEDIC HOSPITAL NHS FOUNDATION TRUST (RRJ)Oxford Hip Score</v>
      </c>
      <c r="D221" t="str">
        <f t="shared" ca="1" si="50"/>
        <v>Total Hip Replacement</v>
      </c>
      <c r="E221" t="str">
        <f t="shared" ca="1" si="50"/>
        <v>Provider</v>
      </c>
      <c r="F221" t="str">
        <f t="shared" ca="1" si="50"/>
        <v>RRJ</v>
      </c>
      <c r="G221" t="str">
        <f t="shared" ca="1" si="50"/>
        <v>THE ROYAL ORTHOPAEDIC HOSPITAL NHS FOUNDATION TRUST (RRJ)</v>
      </c>
      <c r="H221" t="str">
        <f t="shared" ca="1" si="50"/>
        <v>Oxford Hip Score</v>
      </c>
      <c r="I221">
        <f t="shared" ca="1" si="50"/>
        <v>644</v>
      </c>
      <c r="J221">
        <f t="shared" ca="1" si="50"/>
        <v>17.930099999999999</v>
      </c>
      <c r="K221">
        <f t="shared" ca="1" si="50"/>
        <v>39.853999999999999</v>
      </c>
      <c r="L221">
        <f t="shared" ca="1" si="51"/>
        <v>21.9239</v>
      </c>
      <c r="M221">
        <f t="shared" ca="1" si="51"/>
        <v>628</v>
      </c>
      <c r="N221">
        <f t="shared" ca="1" si="51"/>
        <v>2</v>
      </c>
      <c r="O221">
        <f t="shared" ca="1" si="51"/>
        <v>14</v>
      </c>
      <c r="P221">
        <f t="shared" ca="1" si="51"/>
        <v>39.369199999999999</v>
      </c>
      <c r="Q221">
        <f t="shared" ca="1" si="51"/>
        <v>22.157800000000002</v>
      </c>
      <c r="R221">
        <f t="shared" ca="1" si="51"/>
        <v>8.3444599999999998</v>
      </c>
      <c r="S221">
        <f t="shared" ca="1" si="46"/>
        <v>644</v>
      </c>
      <c r="T221">
        <f t="shared" ca="1" si="47"/>
        <v>22.157800000000002</v>
      </c>
      <c r="U221" t="e">
        <f ca="1">IF(AND($C221='Funnel setup'!$K$3&amp;'Funnel setup'!$K$6&amp;'Funnel setup'!$K$7&amp;'Funnel setup'!$K$4,'Funnel Lookup'!I221="*",'Funnel Lookup'!I221="*"),#N/A,IF(AND($C221='Funnel setup'!$K$3&amp;'Funnel setup'!$K$6&amp;'Funnel setup'!$K$7&amp;'Funnel setup'!$K$4,'Funnel Lookup'!I221&gt;29,'Funnel Lookup'!I221&lt;&gt;"-"),'Funnel Lookup'!I221,#N/A))</f>
        <v>#N/A</v>
      </c>
      <c r="V221" t="e">
        <f ca="1">IF(AND($C221='Funnel setup'!$K$3&amp;'Funnel setup'!$K$6&amp;'Funnel setup'!$K$7&amp;'Funnel setup'!$K$4,'Funnel Lookup'!I221="*",'Funnel Lookup'!I221="*"),#N/A,IF(AND($C221='Funnel setup'!$K$3&amp;'Funnel setup'!$K$6&amp;'Funnel setup'!$K$7&amp;'Funnel setup'!$K$4,'Funnel Lookup'!I221&gt;29,'Funnel Lookup'!I221&lt;&gt;"-"),'Funnel Lookup'!Q221,#N/A))</f>
        <v>#N/A</v>
      </c>
    </row>
    <row r="222" spans="1:22" x14ac:dyDescent="0.25">
      <c r="A222">
        <v>220</v>
      </c>
      <c r="B222">
        <f t="shared" ca="1" si="50"/>
        <v>220</v>
      </c>
      <c r="C222" t="str">
        <f t="shared" ca="1" si="50"/>
        <v>Total Hip ReplacementProviderTHE ROYAL WOLVERHAMPTON NHS TRUST (RL4)Oxford Hip Score</v>
      </c>
      <c r="D222" t="str">
        <f t="shared" ca="1" si="50"/>
        <v>Total Hip Replacement</v>
      </c>
      <c r="E222" t="str">
        <f t="shared" ca="1" si="50"/>
        <v>Provider</v>
      </c>
      <c r="F222" t="str">
        <f t="shared" ca="1" si="50"/>
        <v>RL4</v>
      </c>
      <c r="G222" t="str">
        <f t="shared" ca="1" si="50"/>
        <v>THE ROYAL WOLVERHAMPTON NHS TRUST (RL4)</v>
      </c>
      <c r="H222" t="str">
        <f t="shared" ca="1" si="50"/>
        <v>Oxford Hip Score</v>
      </c>
      <c r="I222">
        <f t="shared" ca="1" si="50"/>
        <v>18</v>
      </c>
      <c r="J222">
        <f t="shared" ca="1" si="50"/>
        <v>15.722200000000001</v>
      </c>
      <c r="K222">
        <f t="shared" ca="1" si="50"/>
        <v>43.055599999999998</v>
      </c>
      <c r="L222">
        <f t="shared" ca="1" si="51"/>
        <v>27.333300000000001</v>
      </c>
      <c r="M222">
        <f t="shared" ca="1" si="51"/>
        <v>18</v>
      </c>
      <c r="N222">
        <f t="shared" ca="1" si="51"/>
        <v>0</v>
      </c>
      <c r="O222">
        <f t="shared" ca="1" si="51"/>
        <v>0</v>
      </c>
      <c r="P222" t="str">
        <f t="shared" ca="1" si="51"/>
        <v>*</v>
      </c>
      <c r="Q222" t="str">
        <f t="shared" ca="1" si="51"/>
        <v>*</v>
      </c>
      <c r="R222" t="str">
        <f t="shared" ca="1" si="51"/>
        <v>*</v>
      </c>
      <c r="S222" t="e">
        <f t="shared" ca="1" si="46"/>
        <v>#N/A</v>
      </c>
      <c r="T222" t="e">
        <f t="shared" ca="1" si="47"/>
        <v>#N/A</v>
      </c>
      <c r="U222" t="e">
        <f ca="1">IF(AND($C222='Funnel setup'!$K$3&amp;'Funnel setup'!$K$6&amp;'Funnel setup'!$K$7&amp;'Funnel setup'!$K$4,'Funnel Lookup'!I222="*",'Funnel Lookup'!I222="*"),#N/A,IF(AND($C222='Funnel setup'!$K$3&amp;'Funnel setup'!$K$6&amp;'Funnel setup'!$K$7&amp;'Funnel setup'!$K$4,'Funnel Lookup'!I222&gt;29,'Funnel Lookup'!I222&lt;&gt;"-"),'Funnel Lookup'!I222,#N/A))</f>
        <v>#N/A</v>
      </c>
      <c r="V222" t="e">
        <f ca="1">IF(AND($C222='Funnel setup'!$K$3&amp;'Funnel setup'!$K$6&amp;'Funnel setup'!$K$7&amp;'Funnel setup'!$K$4,'Funnel Lookup'!I222="*",'Funnel Lookup'!I222="*"),#N/A,IF(AND($C222='Funnel setup'!$K$3&amp;'Funnel setup'!$K$6&amp;'Funnel setup'!$K$7&amp;'Funnel setup'!$K$4,'Funnel Lookup'!I222&gt;29,'Funnel Lookup'!I222&lt;&gt;"-"),'Funnel Lookup'!Q222,#N/A))</f>
        <v>#N/A</v>
      </c>
    </row>
    <row r="223" spans="1:22" x14ac:dyDescent="0.25">
      <c r="A223">
        <v>221</v>
      </c>
      <c r="B223">
        <f t="shared" ref="B223:K232" ca="1" si="52">VLOOKUP($A223,Funnel_Data,B$1,FALSE)</f>
        <v>221</v>
      </c>
      <c r="C223" t="str">
        <f t="shared" ca="1" si="52"/>
        <v>Total Hip ReplacementProviderTHE SHREWSBURY AND TELFORD HOSPITAL NHS TRUST (RXW)Oxford Hip Score</v>
      </c>
      <c r="D223" t="str">
        <f t="shared" ca="1" si="52"/>
        <v>Total Hip Replacement</v>
      </c>
      <c r="E223" t="str">
        <f t="shared" ca="1" si="52"/>
        <v>Provider</v>
      </c>
      <c r="F223" t="str">
        <f t="shared" ca="1" si="52"/>
        <v>RXW</v>
      </c>
      <c r="G223" t="str">
        <f t="shared" ca="1" si="52"/>
        <v>THE SHREWSBURY AND TELFORD HOSPITAL NHS TRUST (RXW)</v>
      </c>
      <c r="H223" t="str">
        <f t="shared" ca="1" si="52"/>
        <v>Oxford Hip Score</v>
      </c>
      <c r="I223">
        <f t="shared" ca="1" si="52"/>
        <v>20</v>
      </c>
      <c r="J223">
        <f t="shared" ca="1" si="52"/>
        <v>8.85</v>
      </c>
      <c r="K223">
        <f t="shared" ca="1" si="52"/>
        <v>35.35</v>
      </c>
      <c r="L223">
        <f t="shared" ref="L223:R232" ca="1" si="53">VLOOKUP($A223,Funnel_Data,L$1,FALSE)</f>
        <v>26.5</v>
      </c>
      <c r="M223">
        <f t="shared" ca="1" si="53"/>
        <v>20</v>
      </c>
      <c r="N223">
        <f t="shared" ca="1" si="53"/>
        <v>0</v>
      </c>
      <c r="O223">
        <f t="shared" ca="1" si="53"/>
        <v>0</v>
      </c>
      <c r="P223" t="str">
        <f t="shared" ca="1" si="53"/>
        <v>*</v>
      </c>
      <c r="Q223" t="str">
        <f t="shared" ca="1" si="53"/>
        <v>*</v>
      </c>
      <c r="R223" t="str">
        <f t="shared" ca="1" si="53"/>
        <v>*</v>
      </c>
      <c r="S223" t="e">
        <f t="shared" ca="1" si="46"/>
        <v>#N/A</v>
      </c>
      <c r="T223" t="e">
        <f t="shared" ca="1" si="47"/>
        <v>#N/A</v>
      </c>
      <c r="U223" t="e">
        <f ca="1">IF(AND($C223='Funnel setup'!$K$3&amp;'Funnel setup'!$K$6&amp;'Funnel setup'!$K$7&amp;'Funnel setup'!$K$4,'Funnel Lookup'!I223="*",'Funnel Lookup'!I223="*"),#N/A,IF(AND($C223='Funnel setup'!$K$3&amp;'Funnel setup'!$K$6&amp;'Funnel setup'!$K$7&amp;'Funnel setup'!$K$4,'Funnel Lookup'!I223&gt;29,'Funnel Lookup'!I223&lt;&gt;"-"),'Funnel Lookup'!I223,#N/A))</f>
        <v>#N/A</v>
      </c>
      <c r="V223" t="e">
        <f ca="1">IF(AND($C223='Funnel setup'!$K$3&amp;'Funnel setup'!$K$6&amp;'Funnel setup'!$K$7&amp;'Funnel setup'!$K$4,'Funnel Lookup'!I223="*",'Funnel Lookup'!I223="*"),#N/A,IF(AND($C223='Funnel setup'!$K$3&amp;'Funnel setup'!$K$6&amp;'Funnel setup'!$K$7&amp;'Funnel setup'!$K$4,'Funnel Lookup'!I223&gt;29,'Funnel Lookup'!I223&lt;&gt;"-"),'Funnel Lookup'!Q223,#N/A))</f>
        <v>#N/A</v>
      </c>
    </row>
    <row r="224" spans="1:22" x14ac:dyDescent="0.25">
      <c r="A224">
        <v>222</v>
      </c>
      <c r="B224">
        <f t="shared" ca="1" si="52"/>
        <v>222</v>
      </c>
      <c r="C224" t="str">
        <f t="shared" ca="1" si="52"/>
        <v>Total Hip ReplacementProviderTHE YORKSHIRE CLINIC (NVC20)Oxford Hip Score</v>
      </c>
      <c r="D224" t="str">
        <f t="shared" ca="1" si="52"/>
        <v>Total Hip Replacement</v>
      </c>
      <c r="E224" t="str">
        <f t="shared" ca="1" si="52"/>
        <v>Provider</v>
      </c>
      <c r="F224" t="str">
        <f t="shared" ca="1" si="52"/>
        <v>NVC20</v>
      </c>
      <c r="G224" t="str">
        <f t="shared" ca="1" si="52"/>
        <v>THE YORKSHIRE CLINIC (NVC20)</v>
      </c>
      <c r="H224" t="str">
        <f t="shared" ca="1" si="52"/>
        <v>Oxford Hip Score</v>
      </c>
      <c r="I224">
        <f t="shared" ca="1" si="52"/>
        <v>65</v>
      </c>
      <c r="J224">
        <f t="shared" ca="1" si="52"/>
        <v>25.692299999999999</v>
      </c>
      <c r="K224">
        <f t="shared" ca="1" si="52"/>
        <v>26.784600000000001</v>
      </c>
      <c r="L224">
        <f t="shared" ca="1" si="53"/>
        <v>1.0923099999999999</v>
      </c>
      <c r="M224">
        <f t="shared" ca="1" si="53"/>
        <v>39</v>
      </c>
      <c r="N224">
        <f t="shared" ca="1" si="53"/>
        <v>9</v>
      </c>
      <c r="O224">
        <f t="shared" ca="1" si="53"/>
        <v>17</v>
      </c>
      <c r="P224">
        <f t="shared" ca="1" si="53"/>
        <v>24.164000000000001</v>
      </c>
      <c r="Q224">
        <f t="shared" ca="1" si="53"/>
        <v>6.9525399999999999</v>
      </c>
      <c r="R224">
        <f t="shared" ca="1" si="53"/>
        <v>3.3675600000000001</v>
      </c>
      <c r="S224">
        <f t="shared" ca="1" si="46"/>
        <v>65</v>
      </c>
      <c r="T224">
        <f t="shared" ca="1" si="47"/>
        <v>6.9525399999999999</v>
      </c>
      <c r="U224" t="e">
        <f ca="1">IF(AND($C224='Funnel setup'!$K$3&amp;'Funnel setup'!$K$6&amp;'Funnel setup'!$K$7&amp;'Funnel setup'!$K$4,'Funnel Lookup'!I224="*",'Funnel Lookup'!I224="*"),#N/A,IF(AND($C224='Funnel setup'!$K$3&amp;'Funnel setup'!$K$6&amp;'Funnel setup'!$K$7&amp;'Funnel setup'!$K$4,'Funnel Lookup'!I224&gt;29,'Funnel Lookup'!I224&lt;&gt;"-"),'Funnel Lookup'!I224,#N/A))</f>
        <v>#N/A</v>
      </c>
      <c r="V224" t="e">
        <f ca="1">IF(AND($C224='Funnel setup'!$K$3&amp;'Funnel setup'!$K$6&amp;'Funnel setup'!$K$7&amp;'Funnel setup'!$K$4,'Funnel Lookup'!I224="*",'Funnel Lookup'!I224="*"),#N/A,IF(AND($C224='Funnel setup'!$K$3&amp;'Funnel setup'!$K$6&amp;'Funnel setup'!$K$7&amp;'Funnel setup'!$K$4,'Funnel Lookup'!I224&gt;29,'Funnel Lookup'!I224&lt;&gt;"-"),'Funnel Lookup'!Q224,#N/A))</f>
        <v>#N/A</v>
      </c>
    </row>
    <row r="225" spans="1:22" x14ac:dyDescent="0.25">
      <c r="A225">
        <v>223</v>
      </c>
      <c r="B225">
        <f t="shared" ca="1" si="52"/>
        <v>223</v>
      </c>
      <c r="C225" t="str">
        <f t="shared" ca="1" si="52"/>
        <v>Total Hip ReplacementProviderTHORNBURY HOSPITAL (NT440)Oxford Hip Score</v>
      </c>
      <c r="D225" t="str">
        <f t="shared" ca="1" si="52"/>
        <v>Total Hip Replacement</v>
      </c>
      <c r="E225" t="str">
        <f t="shared" ca="1" si="52"/>
        <v>Provider</v>
      </c>
      <c r="F225" t="str">
        <f t="shared" ca="1" si="52"/>
        <v>NT440</v>
      </c>
      <c r="G225" t="str">
        <f t="shared" ca="1" si="52"/>
        <v>THORNBURY HOSPITAL (NT440)</v>
      </c>
      <c r="H225" t="str">
        <f t="shared" ca="1" si="52"/>
        <v>Oxford Hip Score</v>
      </c>
      <c r="I225">
        <f t="shared" ca="1" si="52"/>
        <v>3</v>
      </c>
      <c r="J225">
        <f t="shared" ca="1" si="52"/>
        <v>14.333299999999999</v>
      </c>
      <c r="K225">
        <f t="shared" ca="1" si="52"/>
        <v>40.333300000000001</v>
      </c>
      <c r="L225">
        <f t="shared" ca="1" si="53"/>
        <v>26</v>
      </c>
      <c r="M225">
        <f t="shared" ca="1" si="53"/>
        <v>3</v>
      </c>
      <c r="N225">
        <f t="shared" ca="1" si="53"/>
        <v>0</v>
      </c>
      <c r="O225">
        <f t="shared" ca="1" si="53"/>
        <v>0</v>
      </c>
      <c r="P225" t="str">
        <f t="shared" ca="1" si="53"/>
        <v>*</v>
      </c>
      <c r="Q225" t="str">
        <f t="shared" ca="1" si="53"/>
        <v>*</v>
      </c>
      <c r="R225" t="str">
        <f t="shared" ca="1" si="53"/>
        <v>*</v>
      </c>
      <c r="S225" t="e">
        <f t="shared" ca="1" si="46"/>
        <v>#N/A</v>
      </c>
      <c r="T225" t="e">
        <f t="shared" ca="1" si="47"/>
        <v>#N/A</v>
      </c>
      <c r="U225" t="e">
        <f ca="1">IF(AND($C225='Funnel setup'!$K$3&amp;'Funnel setup'!$K$6&amp;'Funnel setup'!$K$7&amp;'Funnel setup'!$K$4,'Funnel Lookup'!I225="*",'Funnel Lookup'!I225="*"),#N/A,IF(AND($C225='Funnel setup'!$K$3&amp;'Funnel setup'!$K$6&amp;'Funnel setup'!$K$7&amp;'Funnel setup'!$K$4,'Funnel Lookup'!I225&gt;29,'Funnel Lookup'!I225&lt;&gt;"-"),'Funnel Lookup'!I225,#N/A))</f>
        <v>#N/A</v>
      </c>
      <c r="V225" t="e">
        <f ca="1">IF(AND($C225='Funnel setup'!$K$3&amp;'Funnel setup'!$K$6&amp;'Funnel setup'!$K$7&amp;'Funnel setup'!$K$4,'Funnel Lookup'!I225="*",'Funnel Lookup'!I225="*"),#N/A,IF(AND($C225='Funnel setup'!$K$3&amp;'Funnel setup'!$K$6&amp;'Funnel setup'!$K$7&amp;'Funnel setup'!$K$4,'Funnel Lookup'!I225&gt;29,'Funnel Lookup'!I225&lt;&gt;"-"),'Funnel Lookup'!Q225,#N/A))</f>
        <v>#N/A</v>
      </c>
    </row>
    <row r="226" spans="1:22" x14ac:dyDescent="0.25">
      <c r="A226">
        <v>224</v>
      </c>
      <c r="B226">
        <f t="shared" ca="1" si="52"/>
        <v>224</v>
      </c>
      <c r="C226" t="str">
        <f t="shared" ca="1" si="52"/>
        <v>Total Hip ReplacementProviderTHREE SHIRES HOSPITAL (NT441)Oxford Hip Score</v>
      </c>
      <c r="D226" t="str">
        <f t="shared" ca="1" si="52"/>
        <v>Total Hip Replacement</v>
      </c>
      <c r="E226" t="str">
        <f t="shared" ca="1" si="52"/>
        <v>Provider</v>
      </c>
      <c r="F226" t="str">
        <f t="shared" ca="1" si="52"/>
        <v>NT441</v>
      </c>
      <c r="G226" t="str">
        <f t="shared" ca="1" si="52"/>
        <v>THREE SHIRES HOSPITAL (NT441)</v>
      </c>
      <c r="H226" t="str">
        <f t="shared" ca="1" si="52"/>
        <v>Oxford Hip Score</v>
      </c>
      <c r="I226">
        <f t="shared" ca="1" si="52"/>
        <v>67</v>
      </c>
      <c r="J226">
        <f t="shared" ca="1" si="52"/>
        <v>18.4328</v>
      </c>
      <c r="K226">
        <f t="shared" ca="1" si="52"/>
        <v>42.134300000000003</v>
      </c>
      <c r="L226">
        <f t="shared" ca="1" si="53"/>
        <v>23.701499999999999</v>
      </c>
      <c r="M226">
        <f t="shared" ca="1" si="53"/>
        <v>65</v>
      </c>
      <c r="N226">
        <f t="shared" ca="1" si="53"/>
        <v>0</v>
      </c>
      <c r="O226">
        <f t="shared" ca="1" si="53"/>
        <v>2</v>
      </c>
      <c r="P226">
        <f t="shared" ca="1" si="53"/>
        <v>39.589399999999998</v>
      </c>
      <c r="Q226">
        <f t="shared" ca="1" si="53"/>
        <v>22.378</v>
      </c>
      <c r="R226">
        <f t="shared" ca="1" si="53"/>
        <v>8.0985300000000002</v>
      </c>
      <c r="S226">
        <f t="shared" ca="1" si="46"/>
        <v>67</v>
      </c>
      <c r="T226">
        <f t="shared" ca="1" si="47"/>
        <v>22.378</v>
      </c>
      <c r="U226" t="e">
        <f ca="1">IF(AND($C226='Funnel setup'!$K$3&amp;'Funnel setup'!$K$6&amp;'Funnel setup'!$K$7&amp;'Funnel setup'!$K$4,'Funnel Lookup'!I226="*",'Funnel Lookup'!I226="*"),#N/A,IF(AND($C226='Funnel setup'!$K$3&amp;'Funnel setup'!$K$6&amp;'Funnel setup'!$K$7&amp;'Funnel setup'!$K$4,'Funnel Lookup'!I226&gt;29,'Funnel Lookup'!I226&lt;&gt;"-"),'Funnel Lookup'!I226,#N/A))</f>
        <v>#N/A</v>
      </c>
      <c r="V226" t="e">
        <f ca="1">IF(AND($C226='Funnel setup'!$K$3&amp;'Funnel setup'!$K$6&amp;'Funnel setup'!$K$7&amp;'Funnel setup'!$K$4,'Funnel Lookup'!I226="*",'Funnel Lookup'!I226="*"),#N/A,IF(AND($C226='Funnel setup'!$K$3&amp;'Funnel setup'!$K$6&amp;'Funnel setup'!$K$7&amp;'Funnel setup'!$K$4,'Funnel Lookup'!I226&gt;29,'Funnel Lookup'!I226&lt;&gt;"-"),'Funnel Lookup'!Q226,#N/A))</f>
        <v>#N/A</v>
      </c>
    </row>
    <row r="227" spans="1:22" x14ac:dyDescent="0.25">
      <c r="A227">
        <v>225</v>
      </c>
      <c r="B227">
        <f t="shared" ca="1" si="52"/>
        <v>225</v>
      </c>
      <c r="C227" t="str">
        <f t="shared" ca="1" si="52"/>
        <v>Total Hip ReplacementProviderTORBAY AND SOUTH DEVON NHS FOUNDATION TRUST (RA9)Oxford Hip Score</v>
      </c>
      <c r="D227" t="str">
        <f t="shared" ca="1" si="52"/>
        <v>Total Hip Replacement</v>
      </c>
      <c r="E227" t="str">
        <f t="shared" ca="1" si="52"/>
        <v>Provider</v>
      </c>
      <c r="F227" t="str">
        <f t="shared" ca="1" si="52"/>
        <v>RA9</v>
      </c>
      <c r="G227" t="str">
        <f t="shared" ca="1" si="52"/>
        <v>TORBAY AND SOUTH DEVON NHS FOUNDATION TRUST (RA9)</v>
      </c>
      <c r="H227" t="str">
        <f t="shared" ca="1" si="52"/>
        <v>Oxford Hip Score</v>
      </c>
      <c r="I227">
        <f t="shared" ca="1" si="52"/>
        <v>12</v>
      </c>
      <c r="J227">
        <f t="shared" ca="1" si="52"/>
        <v>13.833299999999999</v>
      </c>
      <c r="K227">
        <f t="shared" ca="1" si="52"/>
        <v>37.5</v>
      </c>
      <c r="L227">
        <f t="shared" ca="1" si="53"/>
        <v>23.666699999999999</v>
      </c>
      <c r="M227">
        <f t="shared" ca="1" si="53"/>
        <v>12</v>
      </c>
      <c r="N227">
        <f t="shared" ca="1" si="53"/>
        <v>0</v>
      </c>
      <c r="O227">
        <f t="shared" ca="1" si="53"/>
        <v>0</v>
      </c>
      <c r="P227" t="str">
        <f t="shared" ca="1" si="53"/>
        <v>*</v>
      </c>
      <c r="Q227" t="str">
        <f t="shared" ca="1" si="53"/>
        <v>*</v>
      </c>
      <c r="R227" t="str">
        <f t="shared" ca="1" si="53"/>
        <v>*</v>
      </c>
      <c r="S227" t="e">
        <f t="shared" ca="1" si="46"/>
        <v>#N/A</v>
      </c>
      <c r="T227" t="e">
        <f t="shared" ca="1" si="47"/>
        <v>#N/A</v>
      </c>
      <c r="U227" t="e">
        <f ca="1">IF(AND($C227='Funnel setup'!$K$3&amp;'Funnel setup'!$K$6&amp;'Funnel setup'!$K$7&amp;'Funnel setup'!$K$4,'Funnel Lookup'!I227="*",'Funnel Lookup'!I227="*"),#N/A,IF(AND($C227='Funnel setup'!$K$3&amp;'Funnel setup'!$K$6&amp;'Funnel setup'!$K$7&amp;'Funnel setup'!$K$4,'Funnel Lookup'!I227&gt;29,'Funnel Lookup'!I227&lt;&gt;"-"),'Funnel Lookup'!I227,#N/A))</f>
        <v>#N/A</v>
      </c>
      <c r="V227" t="e">
        <f ca="1">IF(AND($C227='Funnel setup'!$K$3&amp;'Funnel setup'!$K$6&amp;'Funnel setup'!$K$7&amp;'Funnel setup'!$K$4,'Funnel Lookup'!I227="*",'Funnel Lookup'!I227="*"),#N/A,IF(AND($C227='Funnel setup'!$K$3&amp;'Funnel setup'!$K$6&amp;'Funnel setup'!$K$7&amp;'Funnel setup'!$K$4,'Funnel Lookup'!I227&gt;29,'Funnel Lookup'!I227&lt;&gt;"-"),'Funnel Lookup'!Q227,#N/A))</f>
        <v>#N/A</v>
      </c>
    </row>
    <row r="228" spans="1:22" x14ac:dyDescent="0.25">
      <c r="A228">
        <v>226</v>
      </c>
      <c r="B228">
        <f t="shared" ca="1" si="52"/>
        <v>226</v>
      </c>
      <c r="C228" t="str">
        <f t="shared" ca="1" si="52"/>
        <v>Total Hip ReplacementProviderUNITED LINCOLNSHIRE HOSPITALS NHS TRUST (RWD)Oxford Hip Score</v>
      </c>
      <c r="D228" t="str">
        <f t="shared" ca="1" si="52"/>
        <v>Total Hip Replacement</v>
      </c>
      <c r="E228" t="str">
        <f t="shared" ca="1" si="52"/>
        <v>Provider</v>
      </c>
      <c r="F228" t="str">
        <f t="shared" ca="1" si="52"/>
        <v>RWD</v>
      </c>
      <c r="G228" t="str">
        <f t="shared" ca="1" si="52"/>
        <v>UNITED LINCOLNSHIRE HOSPITALS NHS TRUST (RWD)</v>
      </c>
      <c r="H228" t="str">
        <f t="shared" ca="1" si="52"/>
        <v>Oxford Hip Score</v>
      </c>
      <c r="I228">
        <f t="shared" ca="1" si="52"/>
        <v>26</v>
      </c>
      <c r="J228">
        <f t="shared" ca="1" si="52"/>
        <v>14.384600000000001</v>
      </c>
      <c r="K228">
        <f t="shared" ca="1" si="52"/>
        <v>37.884599999999999</v>
      </c>
      <c r="L228">
        <f t="shared" ca="1" si="53"/>
        <v>23.5</v>
      </c>
      <c r="M228">
        <f t="shared" ca="1" si="53"/>
        <v>25</v>
      </c>
      <c r="N228">
        <f t="shared" ca="1" si="53"/>
        <v>1</v>
      </c>
      <c r="O228">
        <f t="shared" ca="1" si="53"/>
        <v>0</v>
      </c>
      <c r="P228" t="str">
        <f t="shared" ca="1" si="53"/>
        <v>*</v>
      </c>
      <c r="Q228" t="str">
        <f t="shared" ca="1" si="53"/>
        <v>*</v>
      </c>
      <c r="R228" t="str">
        <f t="shared" ca="1" si="53"/>
        <v>*</v>
      </c>
      <c r="S228" t="e">
        <f t="shared" ca="1" si="46"/>
        <v>#N/A</v>
      </c>
      <c r="T228" t="e">
        <f t="shared" ca="1" si="47"/>
        <v>#N/A</v>
      </c>
      <c r="U228" t="e">
        <f ca="1">IF(AND($C228='Funnel setup'!$K$3&amp;'Funnel setup'!$K$6&amp;'Funnel setup'!$K$7&amp;'Funnel setup'!$K$4,'Funnel Lookup'!I228="*",'Funnel Lookup'!I228="*"),#N/A,IF(AND($C228='Funnel setup'!$K$3&amp;'Funnel setup'!$K$6&amp;'Funnel setup'!$K$7&amp;'Funnel setup'!$K$4,'Funnel Lookup'!I228&gt;29,'Funnel Lookup'!I228&lt;&gt;"-"),'Funnel Lookup'!I228,#N/A))</f>
        <v>#N/A</v>
      </c>
      <c r="V228" t="e">
        <f ca="1">IF(AND($C228='Funnel setup'!$K$3&amp;'Funnel setup'!$K$6&amp;'Funnel setup'!$K$7&amp;'Funnel setup'!$K$4,'Funnel Lookup'!I228="*",'Funnel Lookup'!I228="*"),#N/A,IF(AND($C228='Funnel setup'!$K$3&amp;'Funnel setup'!$K$6&amp;'Funnel setup'!$K$7&amp;'Funnel setup'!$K$4,'Funnel Lookup'!I228&gt;29,'Funnel Lookup'!I228&lt;&gt;"-"),'Funnel Lookup'!Q228,#N/A))</f>
        <v>#N/A</v>
      </c>
    </row>
    <row r="229" spans="1:22" x14ac:dyDescent="0.25">
      <c r="A229">
        <v>227</v>
      </c>
      <c r="B229">
        <f t="shared" ca="1" si="52"/>
        <v>227</v>
      </c>
      <c r="C229" t="str">
        <f t="shared" ca="1" si="52"/>
        <v>Total Hip ReplacementProviderUNIVERSITY COLLEGE LONDON HOSPITALS NHS FOUNDATION TRUST (RRV)Oxford Hip Score</v>
      </c>
      <c r="D229" t="str">
        <f t="shared" ca="1" si="52"/>
        <v>Total Hip Replacement</v>
      </c>
      <c r="E229" t="str">
        <f t="shared" ca="1" si="52"/>
        <v>Provider</v>
      </c>
      <c r="F229" t="str">
        <f t="shared" ca="1" si="52"/>
        <v>RRV</v>
      </c>
      <c r="G229" t="str">
        <f t="shared" ca="1" si="52"/>
        <v>UNIVERSITY COLLEGE LONDON HOSPITALS NHS FOUNDATION TRUST (RRV)</v>
      </c>
      <c r="H229" t="str">
        <f t="shared" ca="1" si="52"/>
        <v>Oxford Hip Score</v>
      </c>
      <c r="I229">
        <f t="shared" ca="1" si="52"/>
        <v>175</v>
      </c>
      <c r="J229">
        <f t="shared" ca="1" si="52"/>
        <v>20.148599999999998</v>
      </c>
      <c r="K229">
        <f t="shared" ca="1" si="52"/>
        <v>40.222900000000003</v>
      </c>
      <c r="L229">
        <f t="shared" ca="1" si="53"/>
        <v>20.074300000000001</v>
      </c>
      <c r="M229">
        <f t="shared" ca="1" si="53"/>
        <v>166</v>
      </c>
      <c r="N229">
        <f t="shared" ca="1" si="53"/>
        <v>2</v>
      </c>
      <c r="O229">
        <f t="shared" ca="1" si="53"/>
        <v>7</v>
      </c>
      <c r="P229">
        <f t="shared" ca="1" si="53"/>
        <v>39.184399999999997</v>
      </c>
      <c r="Q229">
        <f t="shared" ca="1" si="53"/>
        <v>21.972899999999999</v>
      </c>
      <c r="R229">
        <f t="shared" ca="1" si="53"/>
        <v>7.8812899999999999</v>
      </c>
      <c r="S229">
        <f t="shared" ca="1" si="46"/>
        <v>175</v>
      </c>
      <c r="T229">
        <f t="shared" ca="1" si="47"/>
        <v>21.972899999999999</v>
      </c>
      <c r="U229" t="e">
        <f ca="1">IF(AND($C229='Funnel setup'!$K$3&amp;'Funnel setup'!$K$6&amp;'Funnel setup'!$K$7&amp;'Funnel setup'!$K$4,'Funnel Lookup'!I229="*",'Funnel Lookup'!I229="*"),#N/A,IF(AND($C229='Funnel setup'!$K$3&amp;'Funnel setup'!$K$6&amp;'Funnel setup'!$K$7&amp;'Funnel setup'!$K$4,'Funnel Lookup'!I229&gt;29,'Funnel Lookup'!I229&lt;&gt;"-"),'Funnel Lookup'!I229,#N/A))</f>
        <v>#N/A</v>
      </c>
      <c r="V229" t="e">
        <f ca="1">IF(AND($C229='Funnel setup'!$K$3&amp;'Funnel setup'!$K$6&amp;'Funnel setup'!$K$7&amp;'Funnel setup'!$K$4,'Funnel Lookup'!I229="*",'Funnel Lookup'!I229="*"),#N/A,IF(AND($C229='Funnel setup'!$K$3&amp;'Funnel setup'!$K$6&amp;'Funnel setup'!$K$7&amp;'Funnel setup'!$K$4,'Funnel Lookup'!I229&gt;29,'Funnel Lookup'!I229&lt;&gt;"-"),'Funnel Lookup'!Q229,#N/A))</f>
        <v>#N/A</v>
      </c>
    </row>
    <row r="230" spans="1:22" x14ac:dyDescent="0.25">
      <c r="A230">
        <v>228</v>
      </c>
      <c r="B230">
        <f t="shared" ca="1" si="52"/>
        <v>228</v>
      </c>
      <c r="C230" t="str">
        <f t="shared" ca="1" si="52"/>
        <v>Total Hip ReplacementProviderUNIVERSITY HOSPITAL SOUTHAMPTON NHS FOUNDATION TRUST (RHM)Oxford Hip Score</v>
      </c>
      <c r="D230" t="str">
        <f t="shared" ca="1" si="52"/>
        <v>Total Hip Replacement</v>
      </c>
      <c r="E230" t="str">
        <f t="shared" ca="1" si="52"/>
        <v>Provider</v>
      </c>
      <c r="F230" t="str">
        <f t="shared" ca="1" si="52"/>
        <v>RHM</v>
      </c>
      <c r="G230" t="str">
        <f t="shared" ca="1" si="52"/>
        <v>UNIVERSITY HOSPITAL SOUTHAMPTON NHS FOUNDATION TRUST (RHM)</v>
      </c>
      <c r="H230" t="str">
        <f t="shared" ca="1" si="52"/>
        <v>Oxford Hip Score</v>
      </c>
      <c r="I230">
        <f t="shared" ca="1" si="52"/>
        <v>118</v>
      </c>
      <c r="J230">
        <f t="shared" ca="1" si="52"/>
        <v>17.432200000000002</v>
      </c>
      <c r="K230">
        <f t="shared" ca="1" si="52"/>
        <v>38.720300000000002</v>
      </c>
      <c r="L230">
        <f t="shared" ca="1" si="53"/>
        <v>21.2881</v>
      </c>
      <c r="M230">
        <f t="shared" ca="1" si="53"/>
        <v>112</v>
      </c>
      <c r="N230">
        <f t="shared" ca="1" si="53"/>
        <v>0</v>
      </c>
      <c r="O230">
        <f t="shared" ca="1" si="53"/>
        <v>6</v>
      </c>
      <c r="P230">
        <f t="shared" ca="1" si="53"/>
        <v>39.938400000000001</v>
      </c>
      <c r="Q230">
        <f t="shared" ca="1" si="53"/>
        <v>22.727</v>
      </c>
      <c r="R230">
        <f t="shared" ca="1" si="53"/>
        <v>8.8166399999999996</v>
      </c>
      <c r="S230">
        <f t="shared" ca="1" si="46"/>
        <v>118</v>
      </c>
      <c r="T230">
        <f t="shared" ca="1" si="47"/>
        <v>22.727</v>
      </c>
      <c r="U230" t="e">
        <f ca="1">IF(AND($C230='Funnel setup'!$K$3&amp;'Funnel setup'!$K$6&amp;'Funnel setup'!$K$7&amp;'Funnel setup'!$K$4,'Funnel Lookup'!I230="*",'Funnel Lookup'!I230="*"),#N/A,IF(AND($C230='Funnel setup'!$K$3&amp;'Funnel setup'!$K$6&amp;'Funnel setup'!$K$7&amp;'Funnel setup'!$K$4,'Funnel Lookup'!I230&gt;29,'Funnel Lookup'!I230&lt;&gt;"-"),'Funnel Lookup'!I230,#N/A))</f>
        <v>#N/A</v>
      </c>
      <c r="V230" t="e">
        <f ca="1">IF(AND($C230='Funnel setup'!$K$3&amp;'Funnel setup'!$K$6&amp;'Funnel setup'!$K$7&amp;'Funnel setup'!$K$4,'Funnel Lookup'!I230="*",'Funnel Lookup'!I230="*"),#N/A,IF(AND($C230='Funnel setup'!$K$3&amp;'Funnel setup'!$K$6&amp;'Funnel setup'!$K$7&amp;'Funnel setup'!$K$4,'Funnel Lookup'!I230&gt;29,'Funnel Lookup'!I230&lt;&gt;"-"),'Funnel Lookup'!Q230,#N/A))</f>
        <v>#N/A</v>
      </c>
    </row>
    <row r="231" spans="1:22" x14ac:dyDescent="0.25">
      <c r="A231">
        <v>229</v>
      </c>
      <c r="B231">
        <f t="shared" ca="1" si="52"/>
        <v>229</v>
      </c>
      <c r="C231" t="str">
        <f t="shared" ca="1" si="52"/>
        <v>Total Hip ReplacementProviderUNIVERSITY HOSPITALS BRISTOL AND WESTON NHS FOUNDATION TRUST (RA7)Oxford Hip Score</v>
      </c>
      <c r="D231" t="str">
        <f t="shared" ca="1" si="52"/>
        <v>Total Hip Replacement</v>
      </c>
      <c r="E231" t="str">
        <f t="shared" ca="1" si="52"/>
        <v>Provider</v>
      </c>
      <c r="F231" t="str">
        <f t="shared" ca="1" si="52"/>
        <v>RA7</v>
      </c>
      <c r="G231" t="str">
        <f t="shared" ca="1" si="52"/>
        <v>UNIVERSITY HOSPITALS BRISTOL AND WESTON NHS FOUNDATION TRUST (RA7)</v>
      </c>
      <c r="H231" t="str">
        <f t="shared" ca="1" si="52"/>
        <v>Oxford Hip Score</v>
      </c>
      <c r="I231">
        <f t="shared" ca="1" si="52"/>
        <v>17</v>
      </c>
      <c r="J231">
        <f t="shared" ca="1" si="52"/>
        <v>12.9474</v>
      </c>
      <c r="K231">
        <f t="shared" ca="1" si="52"/>
        <v>38.421100000000003</v>
      </c>
      <c r="L231">
        <f t="shared" ca="1" si="53"/>
        <v>25.473700000000001</v>
      </c>
      <c r="M231">
        <f t="shared" ca="1" si="53"/>
        <v>17</v>
      </c>
      <c r="N231">
        <f t="shared" ca="1" si="53"/>
        <v>0</v>
      </c>
      <c r="O231">
        <f t="shared" ca="1" si="53"/>
        <v>0</v>
      </c>
      <c r="P231" t="str">
        <f t="shared" ca="1" si="53"/>
        <v>*</v>
      </c>
      <c r="Q231" t="str">
        <f t="shared" ca="1" si="53"/>
        <v>*</v>
      </c>
      <c r="R231" t="str">
        <f t="shared" ca="1" si="53"/>
        <v>*</v>
      </c>
      <c r="S231" t="e">
        <f t="shared" ca="1" si="46"/>
        <v>#N/A</v>
      </c>
      <c r="T231" t="e">
        <f t="shared" ca="1" si="47"/>
        <v>#N/A</v>
      </c>
      <c r="U231" t="e">
        <f ca="1">IF(AND($C231='Funnel setup'!$K$3&amp;'Funnel setup'!$K$6&amp;'Funnel setup'!$K$7&amp;'Funnel setup'!$K$4,'Funnel Lookup'!I231="*",'Funnel Lookup'!I231="*"),#N/A,IF(AND($C231='Funnel setup'!$K$3&amp;'Funnel setup'!$K$6&amp;'Funnel setup'!$K$7&amp;'Funnel setup'!$K$4,'Funnel Lookup'!I231&gt;29,'Funnel Lookup'!I231&lt;&gt;"-"),'Funnel Lookup'!I231,#N/A))</f>
        <v>#N/A</v>
      </c>
      <c r="V231" t="e">
        <f ca="1">IF(AND($C231='Funnel setup'!$K$3&amp;'Funnel setup'!$K$6&amp;'Funnel setup'!$K$7&amp;'Funnel setup'!$K$4,'Funnel Lookup'!I231="*",'Funnel Lookup'!I231="*"),#N/A,IF(AND($C231='Funnel setup'!$K$3&amp;'Funnel setup'!$K$6&amp;'Funnel setup'!$K$7&amp;'Funnel setup'!$K$4,'Funnel Lookup'!I231&gt;29,'Funnel Lookup'!I231&lt;&gt;"-"),'Funnel Lookup'!Q231,#N/A))</f>
        <v>#N/A</v>
      </c>
    </row>
    <row r="232" spans="1:22" x14ac:dyDescent="0.25">
      <c r="A232">
        <v>230</v>
      </c>
      <c r="B232">
        <f t="shared" ca="1" si="52"/>
        <v>230</v>
      </c>
      <c r="C232" t="str">
        <f t="shared" ca="1" si="52"/>
        <v>Total Hip ReplacementProviderUNIVERSITY HOSPITALS COVENTRY AND WARWICKSHIRE NHS TRUST (RKB)Oxford Hip Score</v>
      </c>
      <c r="D232" t="str">
        <f t="shared" ca="1" si="52"/>
        <v>Total Hip Replacement</v>
      </c>
      <c r="E232" t="str">
        <f t="shared" ca="1" si="52"/>
        <v>Provider</v>
      </c>
      <c r="F232" t="str">
        <f t="shared" ca="1" si="52"/>
        <v>RKB</v>
      </c>
      <c r="G232" t="str">
        <f t="shared" ca="1" si="52"/>
        <v>UNIVERSITY HOSPITALS COVENTRY AND WARWICKSHIRE NHS TRUST (RKB)</v>
      </c>
      <c r="H232" t="str">
        <f t="shared" ca="1" si="52"/>
        <v>Oxford Hip Score</v>
      </c>
      <c r="I232">
        <f t="shared" ca="1" si="52"/>
        <v>30</v>
      </c>
      <c r="J232">
        <f t="shared" ca="1" si="52"/>
        <v>19.2667</v>
      </c>
      <c r="K232">
        <f t="shared" ca="1" si="52"/>
        <v>40.433300000000003</v>
      </c>
      <c r="L232">
        <f t="shared" ca="1" si="53"/>
        <v>21.166699999999999</v>
      </c>
      <c r="M232">
        <f t="shared" ca="1" si="53"/>
        <v>28</v>
      </c>
      <c r="N232">
        <f t="shared" ca="1" si="53"/>
        <v>0</v>
      </c>
      <c r="O232">
        <f t="shared" ca="1" si="53"/>
        <v>2</v>
      </c>
      <c r="P232">
        <f t="shared" ca="1" si="53"/>
        <v>39.918599999999998</v>
      </c>
      <c r="Q232">
        <f t="shared" ca="1" si="53"/>
        <v>22.7072</v>
      </c>
      <c r="R232">
        <f t="shared" ca="1" si="53"/>
        <v>7.5177300000000002</v>
      </c>
      <c r="S232">
        <f t="shared" ca="1" si="46"/>
        <v>30</v>
      </c>
      <c r="T232">
        <f t="shared" ca="1" si="47"/>
        <v>22.7072</v>
      </c>
      <c r="U232" t="e">
        <f ca="1">IF(AND($C232='Funnel setup'!$K$3&amp;'Funnel setup'!$K$6&amp;'Funnel setup'!$K$7&amp;'Funnel setup'!$K$4,'Funnel Lookup'!I232="*",'Funnel Lookup'!I232="*"),#N/A,IF(AND($C232='Funnel setup'!$K$3&amp;'Funnel setup'!$K$6&amp;'Funnel setup'!$K$7&amp;'Funnel setup'!$K$4,'Funnel Lookup'!I232&gt;29,'Funnel Lookup'!I232&lt;&gt;"-"),'Funnel Lookup'!I232,#N/A))</f>
        <v>#N/A</v>
      </c>
      <c r="V232" t="e">
        <f ca="1">IF(AND($C232='Funnel setup'!$K$3&amp;'Funnel setup'!$K$6&amp;'Funnel setup'!$K$7&amp;'Funnel setup'!$K$4,'Funnel Lookup'!I232="*",'Funnel Lookup'!I232="*"),#N/A,IF(AND($C232='Funnel setup'!$K$3&amp;'Funnel setup'!$K$6&amp;'Funnel setup'!$K$7&amp;'Funnel setup'!$K$4,'Funnel Lookup'!I232&gt;29,'Funnel Lookup'!I232&lt;&gt;"-"),'Funnel Lookup'!Q232,#N/A))</f>
        <v>#N/A</v>
      </c>
    </row>
    <row r="233" spans="1:22" x14ac:dyDescent="0.25">
      <c r="A233">
        <v>231</v>
      </c>
      <c r="B233">
        <f t="shared" ref="B233:K242" ca="1" si="54">VLOOKUP($A233,Funnel_Data,B$1,FALSE)</f>
        <v>231</v>
      </c>
      <c r="C233" t="str">
        <f t="shared" ca="1" si="54"/>
        <v>Total Hip ReplacementProviderUNIVERSITY HOSPITAL DORSET NHS FUNDATION TRUST (R0D)Oxford Hip Score</v>
      </c>
      <c r="D233" t="str">
        <f t="shared" ca="1" si="54"/>
        <v>Total Hip Replacement</v>
      </c>
      <c r="E233" t="str">
        <f t="shared" ca="1" si="54"/>
        <v>Provider</v>
      </c>
      <c r="F233" t="str">
        <f t="shared" ca="1" si="54"/>
        <v>R0D</v>
      </c>
      <c r="G233" t="str">
        <f t="shared" ca="1" si="54"/>
        <v>UNIVERSITY HOSPITAL DORSET NHS FUNDATION TRUST (R0D)</v>
      </c>
      <c r="H233" t="str">
        <f t="shared" ca="1" si="54"/>
        <v>Oxford Hip Score</v>
      </c>
      <c r="I233">
        <f t="shared" ca="1" si="54"/>
        <v>242</v>
      </c>
      <c r="J233">
        <f t="shared" ca="1" si="54"/>
        <v>17.2149</v>
      </c>
      <c r="K233">
        <f t="shared" ca="1" si="54"/>
        <v>39.735500000000002</v>
      </c>
      <c r="L233">
        <f t="shared" ref="L233:R242" ca="1" si="55">VLOOKUP($A233,Funnel_Data,L$1,FALSE)</f>
        <v>22.520700000000001</v>
      </c>
      <c r="M233">
        <f t="shared" ca="1" si="55"/>
        <v>234</v>
      </c>
      <c r="N233">
        <f t="shared" ca="1" si="55"/>
        <v>3</v>
      </c>
      <c r="O233">
        <f t="shared" ca="1" si="55"/>
        <v>5</v>
      </c>
      <c r="P233">
        <f t="shared" ca="1" si="55"/>
        <v>40.2361</v>
      </c>
      <c r="Q233">
        <f t="shared" ca="1" si="55"/>
        <v>23.0246</v>
      </c>
      <c r="R233">
        <f t="shared" ca="1" si="55"/>
        <v>8.1595499999999994</v>
      </c>
      <c r="S233">
        <f t="shared" ca="1" si="46"/>
        <v>242</v>
      </c>
      <c r="T233">
        <f t="shared" ca="1" si="47"/>
        <v>23.0246</v>
      </c>
      <c r="U233" t="e">
        <f ca="1">IF(AND($C233='Funnel setup'!$K$3&amp;'Funnel setup'!$K$6&amp;'Funnel setup'!$K$7&amp;'Funnel setup'!$K$4,'Funnel Lookup'!I233="*",'Funnel Lookup'!I233="*"),#N/A,IF(AND($C233='Funnel setup'!$K$3&amp;'Funnel setup'!$K$6&amp;'Funnel setup'!$K$7&amp;'Funnel setup'!$K$4,'Funnel Lookup'!I233&gt;29,'Funnel Lookup'!I233&lt;&gt;"-"),'Funnel Lookup'!I233,#N/A))</f>
        <v>#N/A</v>
      </c>
      <c r="V233" t="e">
        <f ca="1">IF(AND($C233='Funnel setup'!$K$3&amp;'Funnel setup'!$K$6&amp;'Funnel setup'!$K$7&amp;'Funnel setup'!$K$4,'Funnel Lookup'!I233="*",'Funnel Lookup'!I233="*"),#N/A,IF(AND($C233='Funnel setup'!$K$3&amp;'Funnel setup'!$K$6&amp;'Funnel setup'!$K$7&amp;'Funnel setup'!$K$4,'Funnel Lookup'!I233&gt;29,'Funnel Lookup'!I233&lt;&gt;"-"),'Funnel Lookup'!Q233,#N/A))</f>
        <v>#N/A</v>
      </c>
    </row>
    <row r="234" spans="1:22" x14ac:dyDescent="0.25">
      <c r="A234">
        <v>232</v>
      </c>
      <c r="B234">
        <f t="shared" ca="1" si="54"/>
        <v>232</v>
      </c>
      <c r="C234" t="str">
        <f t="shared" ca="1" si="54"/>
        <v>Total Hip ReplacementProviderUNIVERSITY HOSPITALS OF DERBY AND BURTON NHS FOUNDATION TRUST (RTG)Oxford Hip Score</v>
      </c>
      <c r="D234" t="str">
        <f t="shared" ca="1" si="54"/>
        <v>Total Hip Replacement</v>
      </c>
      <c r="E234" t="str">
        <f t="shared" ca="1" si="54"/>
        <v>Provider</v>
      </c>
      <c r="F234" t="str">
        <f t="shared" ca="1" si="54"/>
        <v>RTG</v>
      </c>
      <c r="G234" t="str">
        <f t="shared" ca="1" si="54"/>
        <v>UNIVERSITY HOSPITALS OF DERBY AND BURTON NHS FOUNDATION TRUST (RTG)</v>
      </c>
      <c r="H234" t="str">
        <f t="shared" ca="1" si="54"/>
        <v>Oxford Hip Score</v>
      </c>
      <c r="I234">
        <f t="shared" ca="1" si="54"/>
        <v>364</v>
      </c>
      <c r="J234">
        <f t="shared" ca="1" si="54"/>
        <v>16.302199999999999</v>
      </c>
      <c r="K234">
        <f t="shared" ca="1" si="54"/>
        <v>38.315899999999999</v>
      </c>
      <c r="L234">
        <f t="shared" ca="1" si="55"/>
        <v>22.0137</v>
      </c>
      <c r="M234">
        <f t="shared" ca="1" si="55"/>
        <v>349</v>
      </c>
      <c r="N234">
        <f t="shared" ca="1" si="55"/>
        <v>1</v>
      </c>
      <c r="O234">
        <f t="shared" ca="1" si="55"/>
        <v>14</v>
      </c>
      <c r="P234">
        <f t="shared" ca="1" si="55"/>
        <v>39.556199999999997</v>
      </c>
      <c r="Q234">
        <f t="shared" ca="1" si="55"/>
        <v>22.3447</v>
      </c>
      <c r="R234">
        <f t="shared" ca="1" si="55"/>
        <v>8.1291600000000006</v>
      </c>
      <c r="S234">
        <f t="shared" ca="1" si="46"/>
        <v>364</v>
      </c>
      <c r="T234">
        <f t="shared" ca="1" si="47"/>
        <v>22.3447</v>
      </c>
      <c r="U234" t="e">
        <f ca="1">IF(AND($C234='Funnel setup'!$K$3&amp;'Funnel setup'!$K$6&amp;'Funnel setup'!$K$7&amp;'Funnel setup'!$K$4,'Funnel Lookup'!I234="*",'Funnel Lookup'!I234="*"),#N/A,IF(AND($C234='Funnel setup'!$K$3&amp;'Funnel setup'!$K$6&amp;'Funnel setup'!$K$7&amp;'Funnel setup'!$K$4,'Funnel Lookup'!I234&gt;29,'Funnel Lookup'!I234&lt;&gt;"-"),'Funnel Lookup'!I234,#N/A))</f>
        <v>#N/A</v>
      </c>
      <c r="V234" t="e">
        <f ca="1">IF(AND($C234='Funnel setup'!$K$3&amp;'Funnel setup'!$K$6&amp;'Funnel setup'!$K$7&amp;'Funnel setup'!$K$4,'Funnel Lookup'!I234="*",'Funnel Lookup'!I234="*"),#N/A,IF(AND($C234='Funnel setup'!$K$3&amp;'Funnel setup'!$K$6&amp;'Funnel setup'!$K$7&amp;'Funnel setup'!$K$4,'Funnel Lookup'!I234&gt;29,'Funnel Lookup'!I234&lt;&gt;"-"),'Funnel Lookup'!Q234,#N/A))</f>
        <v>#N/A</v>
      </c>
    </row>
    <row r="235" spans="1:22" x14ac:dyDescent="0.25">
      <c r="A235">
        <v>233</v>
      </c>
      <c r="B235">
        <f t="shared" ca="1" si="54"/>
        <v>233</v>
      </c>
      <c r="C235" t="str">
        <f t="shared" ca="1" si="54"/>
        <v>Total Hip ReplacementProviderUNIVERSITY HOSPITALS OF LEICESTER NHS TRUST (RWE)Oxford Hip Score</v>
      </c>
      <c r="D235" t="str">
        <f t="shared" ca="1" si="54"/>
        <v>Total Hip Replacement</v>
      </c>
      <c r="E235" t="str">
        <f t="shared" ca="1" si="54"/>
        <v>Provider</v>
      </c>
      <c r="F235" t="str">
        <f t="shared" ca="1" si="54"/>
        <v>RWE</v>
      </c>
      <c r="G235" t="str">
        <f t="shared" ca="1" si="54"/>
        <v>UNIVERSITY HOSPITALS OF LEICESTER NHS TRUST (RWE)</v>
      </c>
      <c r="H235" t="str">
        <f t="shared" ca="1" si="54"/>
        <v>Oxford Hip Score</v>
      </c>
      <c r="I235">
        <f t="shared" ca="1" si="54"/>
        <v>123</v>
      </c>
      <c r="J235">
        <f t="shared" ca="1" si="54"/>
        <v>14.6911</v>
      </c>
      <c r="K235">
        <f t="shared" ca="1" si="54"/>
        <v>37.577199999999998</v>
      </c>
      <c r="L235">
        <f t="shared" ca="1" si="55"/>
        <v>22.886199999999999</v>
      </c>
      <c r="M235">
        <f t="shared" ca="1" si="55"/>
        <v>119</v>
      </c>
      <c r="N235">
        <f t="shared" ca="1" si="55"/>
        <v>1</v>
      </c>
      <c r="O235">
        <f t="shared" ca="1" si="55"/>
        <v>3</v>
      </c>
      <c r="P235">
        <f t="shared" ca="1" si="55"/>
        <v>39.96</v>
      </c>
      <c r="Q235">
        <f t="shared" ca="1" si="55"/>
        <v>22.7486</v>
      </c>
      <c r="R235">
        <f t="shared" ca="1" si="55"/>
        <v>9.34361</v>
      </c>
      <c r="S235">
        <f t="shared" ca="1" si="46"/>
        <v>123</v>
      </c>
      <c r="T235">
        <f t="shared" ca="1" si="47"/>
        <v>22.7486</v>
      </c>
      <c r="U235" t="e">
        <f ca="1">IF(AND($C235='Funnel setup'!$K$3&amp;'Funnel setup'!$K$6&amp;'Funnel setup'!$K$7&amp;'Funnel setup'!$K$4,'Funnel Lookup'!I235="*",'Funnel Lookup'!I235="*"),#N/A,IF(AND($C235='Funnel setup'!$K$3&amp;'Funnel setup'!$K$6&amp;'Funnel setup'!$K$7&amp;'Funnel setup'!$K$4,'Funnel Lookup'!I235&gt;29,'Funnel Lookup'!I235&lt;&gt;"-"),'Funnel Lookup'!I235,#N/A))</f>
        <v>#N/A</v>
      </c>
      <c r="V235" t="e">
        <f ca="1">IF(AND($C235='Funnel setup'!$K$3&amp;'Funnel setup'!$K$6&amp;'Funnel setup'!$K$7&amp;'Funnel setup'!$K$4,'Funnel Lookup'!I235="*",'Funnel Lookup'!I235="*"),#N/A,IF(AND($C235='Funnel setup'!$K$3&amp;'Funnel setup'!$K$6&amp;'Funnel setup'!$K$7&amp;'Funnel setup'!$K$4,'Funnel Lookup'!I235&gt;29,'Funnel Lookup'!I235&lt;&gt;"-"),'Funnel Lookup'!Q235,#N/A))</f>
        <v>#N/A</v>
      </c>
    </row>
    <row r="236" spans="1:22" x14ac:dyDescent="0.25">
      <c r="A236">
        <v>234</v>
      </c>
      <c r="B236">
        <f t="shared" ca="1" si="54"/>
        <v>234</v>
      </c>
      <c r="C236" t="str">
        <f t="shared" ca="1" si="54"/>
        <v>Total Hip ReplacementProviderUNIVERSITY HOSPITALS OF MORECAMBE BAY NHS FOUNDATION TRUST (RTX)Oxford Hip Score</v>
      </c>
      <c r="D236" t="str">
        <f t="shared" ca="1" si="54"/>
        <v>Total Hip Replacement</v>
      </c>
      <c r="E236" t="str">
        <f t="shared" ca="1" si="54"/>
        <v>Provider</v>
      </c>
      <c r="F236" t="str">
        <f t="shared" ca="1" si="54"/>
        <v>RTX</v>
      </c>
      <c r="G236" t="str">
        <f t="shared" ca="1" si="54"/>
        <v>UNIVERSITY HOSPITALS OF MORECAMBE BAY NHS FOUNDATION TRUST (RTX)</v>
      </c>
      <c r="H236" t="str">
        <f t="shared" ca="1" si="54"/>
        <v>Oxford Hip Score</v>
      </c>
      <c r="I236">
        <f t="shared" ca="1" si="54"/>
        <v>195</v>
      </c>
      <c r="J236">
        <f t="shared" ca="1" si="54"/>
        <v>17.2821</v>
      </c>
      <c r="K236">
        <f t="shared" ca="1" si="54"/>
        <v>40.092300000000002</v>
      </c>
      <c r="L236">
        <f t="shared" ca="1" si="55"/>
        <v>22.810300000000002</v>
      </c>
      <c r="M236">
        <f t="shared" ca="1" si="55"/>
        <v>192</v>
      </c>
      <c r="N236">
        <f t="shared" ca="1" si="55"/>
        <v>1</v>
      </c>
      <c r="O236">
        <f t="shared" ca="1" si="55"/>
        <v>2</v>
      </c>
      <c r="P236">
        <f t="shared" ca="1" si="55"/>
        <v>39.789700000000003</v>
      </c>
      <c r="Q236">
        <f t="shared" ca="1" si="55"/>
        <v>22.578199999999999</v>
      </c>
      <c r="R236">
        <f t="shared" ca="1" si="55"/>
        <v>7.3647900000000002</v>
      </c>
      <c r="S236">
        <f t="shared" ca="1" si="46"/>
        <v>195</v>
      </c>
      <c r="T236">
        <f t="shared" ca="1" si="47"/>
        <v>22.578199999999999</v>
      </c>
      <c r="U236" t="e">
        <f ca="1">IF(AND($C236='Funnel setup'!$K$3&amp;'Funnel setup'!$K$6&amp;'Funnel setup'!$K$7&amp;'Funnel setup'!$K$4,'Funnel Lookup'!I236="*",'Funnel Lookup'!I236="*"),#N/A,IF(AND($C236='Funnel setup'!$K$3&amp;'Funnel setup'!$K$6&amp;'Funnel setup'!$K$7&amp;'Funnel setup'!$K$4,'Funnel Lookup'!I236&gt;29,'Funnel Lookup'!I236&lt;&gt;"-"),'Funnel Lookup'!I236,#N/A))</f>
        <v>#N/A</v>
      </c>
      <c r="V236" t="e">
        <f ca="1">IF(AND($C236='Funnel setup'!$K$3&amp;'Funnel setup'!$K$6&amp;'Funnel setup'!$K$7&amp;'Funnel setup'!$K$4,'Funnel Lookup'!I236="*",'Funnel Lookup'!I236="*"),#N/A,IF(AND($C236='Funnel setup'!$K$3&amp;'Funnel setup'!$K$6&amp;'Funnel setup'!$K$7&amp;'Funnel setup'!$K$4,'Funnel Lookup'!I236&gt;29,'Funnel Lookup'!I236&lt;&gt;"-"),'Funnel Lookup'!Q236,#N/A))</f>
        <v>#N/A</v>
      </c>
    </row>
    <row r="237" spans="1:22" x14ac:dyDescent="0.25">
      <c r="A237">
        <v>235</v>
      </c>
      <c r="B237">
        <f t="shared" ca="1" si="54"/>
        <v>235</v>
      </c>
      <c r="C237" t="str">
        <f t="shared" ca="1" si="54"/>
        <v>Total Hip ReplacementProviderUNIVERSITY HOSPITALS OF NORTH MIDLANDS NHS TRUST (RJE)Oxford Hip Score</v>
      </c>
      <c r="D237" t="str">
        <f t="shared" ca="1" si="54"/>
        <v>Total Hip Replacement</v>
      </c>
      <c r="E237" t="str">
        <f t="shared" ca="1" si="54"/>
        <v>Provider</v>
      </c>
      <c r="F237" t="str">
        <f t="shared" ca="1" si="54"/>
        <v>RJE</v>
      </c>
      <c r="G237" t="str">
        <f t="shared" ca="1" si="54"/>
        <v>UNIVERSITY HOSPITALS OF NORTH MIDLANDS NHS TRUST (RJE)</v>
      </c>
      <c r="H237" t="str">
        <f t="shared" ca="1" si="54"/>
        <v>Oxford Hip Score</v>
      </c>
      <c r="I237">
        <f t="shared" ca="1" si="54"/>
        <v>34</v>
      </c>
      <c r="J237">
        <f t="shared" ca="1" si="54"/>
        <v>14.235300000000001</v>
      </c>
      <c r="K237">
        <f t="shared" ca="1" si="54"/>
        <v>40.5</v>
      </c>
      <c r="L237">
        <f t="shared" ca="1" si="55"/>
        <v>26.264700000000001</v>
      </c>
      <c r="M237">
        <f t="shared" ca="1" si="55"/>
        <v>34</v>
      </c>
      <c r="N237">
        <f t="shared" ca="1" si="55"/>
        <v>0</v>
      </c>
      <c r="O237">
        <f t="shared" ca="1" si="55"/>
        <v>0</v>
      </c>
      <c r="P237">
        <f t="shared" ca="1" si="55"/>
        <v>41.578099999999999</v>
      </c>
      <c r="Q237">
        <f t="shared" ca="1" si="55"/>
        <v>24.366700000000002</v>
      </c>
      <c r="R237">
        <f t="shared" ca="1" si="55"/>
        <v>5.8881500000000004</v>
      </c>
      <c r="S237">
        <f t="shared" ca="1" si="46"/>
        <v>34</v>
      </c>
      <c r="T237">
        <f t="shared" ca="1" si="47"/>
        <v>24.366700000000002</v>
      </c>
      <c r="U237" t="e">
        <f ca="1">IF(AND($C237='Funnel setup'!$K$3&amp;'Funnel setup'!$K$6&amp;'Funnel setup'!$K$7&amp;'Funnel setup'!$K$4,'Funnel Lookup'!I237="*",'Funnel Lookup'!I237="*"),#N/A,IF(AND($C237='Funnel setup'!$K$3&amp;'Funnel setup'!$K$6&amp;'Funnel setup'!$K$7&amp;'Funnel setup'!$K$4,'Funnel Lookup'!I237&gt;29,'Funnel Lookup'!I237&lt;&gt;"-"),'Funnel Lookup'!I237,#N/A))</f>
        <v>#N/A</v>
      </c>
      <c r="V237" t="e">
        <f ca="1">IF(AND($C237='Funnel setup'!$K$3&amp;'Funnel setup'!$K$6&amp;'Funnel setup'!$K$7&amp;'Funnel setup'!$K$4,'Funnel Lookup'!I237="*",'Funnel Lookup'!I237="*"),#N/A,IF(AND($C237='Funnel setup'!$K$3&amp;'Funnel setup'!$K$6&amp;'Funnel setup'!$K$7&amp;'Funnel setup'!$K$4,'Funnel Lookup'!I237&gt;29,'Funnel Lookup'!I237&lt;&gt;"-"),'Funnel Lookup'!Q237,#N/A))</f>
        <v>#N/A</v>
      </c>
    </row>
    <row r="238" spans="1:22" x14ac:dyDescent="0.25">
      <c r="A238">
        <v>236</v>
      </c>
      <c r="B238">
        <f t="shared" ca="1" si="54"/>
        <v>236</v>
      </c>
      <c r="C238" t="str">
        <f t="shared" ca="1" si="54"/>
        <v>Total Hip ReplacementProviderUNIVERSITY HOSPITALS PLYMOUTH NHS TRUST (RK9)Oxford Hip Score</v>
      </c>
      <c r="D238" t="str">
        <f t="shared" ca="1" si="54"/>
        <v>Total Hip Replacement</v>
      </c>
      <c r="E238" t="str">
        <f t="shared" ca="1" si="54"/>
        <v>Provider</v>
      </c>
      <c r="F238" t="str">
        <f t="shared" ca="1" si="54"/>
        <v>RK9</v>
      </c>
      <c r="G238" t="str">
        <f t="shared" ca="1" si="54"/>
        <v>UNIVERSITY HOSPITALS PLYMOUTH NHS TRUST (RK9)</v>
      </c>
      <c r="H238" t="str">
        <f t="shared" ca="1" si="54"/>
        <v>Oxford Hip Score</v>
      </c>
      <c r="I238">
        <f t="shared" ca="1" si="54"/>
        <v>7</v>
      </c>
      <c r="J238">
        <f t="shared" ca="1" si="54"/>
        <v>10</v>
      </c>
      <c r="K238">
        <f t="shared" ca="1" si="54"/>
        <v>31.571400000000001</v>
      </c>
      <c r="L238">
        <f t="shared" ca="1" si="55"/>
        <v>21.571400000000001</v>
      </c>
      <c r="M238">
        <f t="shared" ca="1" si="55"/>
        <v>6</v>
      </c>
      <c r="N238">
        <f t="shared" ca="1" si="55"/>
        <v>0</v>
      </c>
      <c r="O238">
        <f t="shared" ca="1" si="55"/>
        <v>1</v>
      </c>
      <c r="P238" t="str">
        <f t="shared" ca="1" si="55"/>
        <v>*</v>
      </c>
      <c r="Q238" t="str">
        <f t="shared" ca="1" si="55"/>
        <v>*</v>
      </c>
      <c r="R238" t="str">
        <f t="shared" ca="1" si="55"/>
        <v>*</v>
      </c>
      <c r="S238" t="e">
        <f t="shared" ca="1" si="46"/>
        <v>#N/A</v>
      </c>
      <c r="T238" t="e">
        <f t="shared" ca="1" si="47"/>
        <v>#N/A</v>
      </c>
      <c r="U238" t="e">
        <f ca="1">IF(AND($C238='Funnel setup'!$K$3&amp;'Funnel setup'!$K$6&amp;'Funnel setup'!$K$7&amp;'Funnel setup'!$K$4,'Funnel Lookup'!I238="*",'Funnel Lookup'!I238="*"),#N/A,IF(AND($C238='Funnel setup'!$K$3&amp;'Funnel setup'!$K$6&amp;'Funnel setup'!$K$7&amp;'Funnel setup'!$K$4,'Funnel Lookup'!I238&gt;29,'Funnel Lookup'!I238&lt;&gt;"-"),'Funnel Lookup'!I238,#N/A))</f>
        <v>#N/A</v>
      </c>
      <c r="V238" t="e">
        <f ca="1">IF(AND($C238='Funnel setup'!$K$3&amp;'Funnel setup'!$K$6&amp;'Funnel setup'!$K$7&amp;'Funnel setup'!$K$4,'Funnel Lookup'!I238="*",'Funnel Lookup'!I238="*"),#N/A,IF(AND($C238='Funnel setup'!$K$3&amp;'Funnel setup'!$K$6&amp;'Funnel setup'!$K$7&amp;'Funnel setup'!$K$4,'Funnel Lookup'!I238&gt;29,'Funnel Lookup'!I238&lt;&gt;"-"),'Funnel Lookup'!Q238,#N/A))</f>
        <v>#N/A</v>
      </c>
    </row>
    <row r="239" spans="1:22" x14ac:dyDescent="0.25">
      <c r="A239">
        <v>237</v>
      </c>
      <c r="B239">
        <f t="shared" ca="1" si="54"/>
        <v>237</v>
      </c>
      <c r="C239" t="str">
        <f t="shared" ca="1" si="54"/>
        <v>Total Hip ReplacementProviderUNIVERSITY HOSPITALS SUSSEX NHS FOUNDATION TRUST (RYR)Oxford Hip Score</v>
      </c>
      <c r="D239" t="str">
        <f t="shared" ca="1" si="54"/>
        <v>Total Hip Replacement</v>
      </c>
      <c r="E239" t="str">
        <f t="shared" ca="1" si="54"/>
        <v>Provider</v>
      </c>
      <c r="F239" t="str">
        <f t="shared" ca="1" si="54"/>
        <v>RYR</v>
      </c>
      <c r="G239" t="str">
        <f t="shared" ca="1" si="54"/>
        <v>UNIVERSITY HOSPITALS SUSSEX NHS FOUNDATION TRUST (RYR)</v>
      </c>
      <c r="H239" t="str">
        <f t="shared" ca="1" si="54"/>
        <v>Oxford Hip Score</v>
      </c>
      <c r="I239">
        <f t="shared" ca="1" si="54"/>
        <v>151</v>
      </c>
      <c r="J239">
        <f t="shared" ca="1" si="54"/>
        <v>15.7881</v>
      </c>
      <c r="K239">
        <f t="shared" ca="1" si="54"/>
        <v>35.688699999999997</v>
      </c>
      <c r="L239">
        <f t="shared" ca="1" si="55"/>
        <v>19.900700000000001</v>
      </c>
      <c r="M239">
        <f t="shared" ca="1" si="55"/>
        <v>143</v>
      </c>
      <c r="N239">
        <f t="shared" ca="1" si="55"/>
        <v>2</v>
      </c>
      <c r="O239">
        <f t="shared" ca="1" si="55"/>
        <v>6</v>
      </c>
      <c r="P239">
        <f t="shared" ca="1" si="55"/>
        <v>36.8369</v>
      </c>
      <c r="Q239">
        <f t="shared" ca="1" si="55"/>
        <v>19.625499999999999</v>
      </c>
      <c r="R239">
        <f t="shared" ca="1" si="55"/>
        <v>9.90639</v>
      </c>
      <c r="S239">
        <f t="shared" ca="1" si="46"/>
        <v>151</v>
      </c>
      <c r="T239">
        <f t="shared" ca="1" si="47"/>
        <v>19.625499999999999</v>
      </c>
      <c r="U239" t="e">
        <f ca="1">IF(AND($C239='Funnel setup'!$K$3&amp;'Funnel setup'!$K$6&amp;'Funnel setup'!$K$7&amp;'Funnel setup'!$K$4,'Funnel Lookup'!I239="*",'Funnel Lookup'!I239="*"),#N/A,IF(AND($C239='Funnel setup'!$K$3&amp;'Funnel setup'!$K$6&amp;'Funnel setup'!$K$7&amp;'Funnel setup'!$K$4,'Funnel Lookup'!I239&gt;29,'Funnel Lookup'!I239&lt;&gt;"-"),'Funnel Lookup'!I239,#N/A))</f>
        <v>#N/A</v>
      </c>
      <c r="V239" t="e">
        <f ca="1">IF(AND($C239='Funnel setup'!$K$3&amp;'Funnel setup'!$K$6&amp;'Funnel setup'!$K$7&amp;'Funnel setup'!$K$4,'Funnel Lookup'!I239="*",'Funnel Lookup'!I239="*"),#N/A,IF(AND($C239='Funnel setup'!$K$3&amp;'Funnel setup'!$K$6&amp;'Funnel setup'!$K$7&amp;'Funnel setup'!$K$4,'Funnel Lookup'!I239&gt;29,'Funnel Lookup'!I239&lt;&gt;"-"),'Funnel Lookup'!Q239,#N/A))</f>
        <v>#N/A</v>
      </c>
    </row>
    <row r="240" spans="1:22" x14ac:dyDescent="0.25">
      <c r="A240">
        <v>238</v>
      </c>
      <c r="B240">
        <f t="shared" ca="1" si="54"/>
        <v>238</v>
      </c>
      <c r="C240" t="str">
        <f t="shared" ca="1" si="54"/>
        <v>Total Hip ReplacementProviderWALSALL HEALTHCARE NHS TRUST (RBK)Oxford Hip Score</v>
      </c>
      <c r="D240" t="str">
        <f t="shared" ca="1" si="54"/>
        <v>Total Hip Replacement</v>
      </c>
      <c r="E240" t="str">
        <f t="shared" ca="1" si="54"/>
        <v>Provider</v>
      </c>
      <c r="F240" t="str">
        <f t="shared" ca="1" si="54"/>
        <v>RBK</v>
      </c>
      <c r="G240" t="str">
        <f t="shared" ca="1" si="54"/>
        <v>WALSALL HEALTHCARE NHS TRUST (RBK)</v>
      </c>
      <c r="H240" t="str">
        <f t="shared" ca="1" si="54"/>
        <v>Oxford Hip Score</v>
      </c>
      <c r="I240">
        <f t="shared" ca="1" si="54"/>
        <v>14</v>
      </c>
      <c r="J240">
        <f t="shared" ca="1" si="54"/>
        <v>15.857100000000001</v>
      </c>
      <c r="K240">
        <f t="shared" ca="1" si="54"/>
        <v>34.5</v>
      </c>
      <c r="L240">
        <f t="shared" ca="1" si="55"/>
        <v>18.642900000000001</v>
      </c>
      <c r="M240">
        <f t="shared" ca="1" si="55"/>
        <v>12</v>
      </c>
      <c r="N240">
        <f t="shared" ca="1" si="55"/>
        <v>1</v>
      </c>
      <c r="O240">
        <f t="shared" ca="1" si="55"/>
        <v>1</v>
      </c>
      <c r="P240" t="str">
        <f t="shared" ca="1" si="55"/>
        <v>*</v>
      </c>
      <c r="Q240" t="str">
        <f t="shared" ca="1" si="55"/>
        <v>*</v>
      </c>
      <c r="R240" t="str">
        <f t="shared" ca="1" si="55"/>
        <v>*</v>
      </c>
      <c r="S240" t="e">
        <f t="shared" ca="1" si="46"/>
        <v>#N/A</v>
      </c>
      <c r="T240" t="e">
        <f t="shared" ca="1" si="47"/>
        <v>#N/A</v>
      </c>
      <c r="U240" t="e">
        <f ca="1">IF(AND($C240='Funnel setup'!$K$3&amp;'Funnel setup'!$K$6&amp;'Funnel setup'!$K$7&amp;'Funnel setup'!$K$4,'Funnel Lookup'!I240="*",'Funnel Lookup'!I240="*"),#N/A,IF(AND($C240='Funnel setup'!$K$3&amp;'Funnel setup'!$K$6&amp;'Funnel setup'!$K$7&amp;'Funnel setup'!$K$4,'Funnel Lookup'!I240&gt;29,'Funnel Lookup'!I240&lt;&gt;"-"),'Funnel Lookup'!I240,#N/A))</f>
        <v>#N/A</v>
      </c>
      <c r="V240" t="e">
        <f ca="1">IF(AND($C240='Funnel setup'!$K$3&amp;'Funnel setup'!$K$6&amp;'Funnel setup'!$K$7&amp;'Funnel setup'!$K$4,'Funnel Lookup'!I240="*",'Funnel Lookup'!I240="*"),#N/A,IF(AND($C240='Funnel setup'!$K$3&amp;'Funnel setup'!$K$6&amp;'Funnel setup'!$K$7&amp;'Funnel setup'!$K$4,'Funnel Lookup'!I240&gt;29,'Funnel Lookup'!I240&lt;&gt;"-"),'Funnel Lookup'!Q240,#N/A))</f>
        <v>#N/A</v>
      </c>
    </row>
    <row r="241" spans="1:22" x14ac:dyDescent="0.25">
      <c r="A241">
        <v>239</v>
      </c>
      <c r="B241">
        <f t="shared" ca="1" si="54"/>
        <v>239</v>
      </c>
      <c r="C241" t="str">
        <f t="shared" ca="1" si="54"/>
        <v>Total Hip ReplacementProviderWARRINGTON AND HALTON TEACHING HOSPITALS NHS FOUNDATION TRUST (RWW)Oxford Hip Score</v>
      </c>
      <c r="D241" t="str">
        <f t="shared" ca="1" si="54"/>
        <v>Total Hip Replacement</v>
      </c>
      <c r="E241" t="str">
        <f t="shared" ca="1" si="54"/>
        <v>Provider</v>
      </c>
      <c r="F241" t="str">
        <f t="shared" ca="1" si="54"/>
        <v>RWW</v>
      </c>
      <c r="G241" t="str">
        <f t="shared" ca="1" si="54"/>
        <v>WARRINGTON AND HALTON TEACHING HOSPITALS NHS FOUNDATION TRUST (RWW)</v>
      </c>
      <c r="H241" t="str">
        <f t="shared" ca="1" si="54"/>
        <v>Oxford Hip Score</v>
      </c>
      <c r="I241">
        <f t="shared" ca="1" si="54"/>
        <v>34</v>
      </c>
      <c r="J241">
        <f t="shared" ca="1" si="54"/>
        <v>15.911799999999999</v>
      </c>
      <c r="K241">
        <f t="shared" ca="1" si="54"/>
        <v>38.117600000000003</v>
      </c>
      <c r="L241">
        <f t="shared" ca="1" si="55"/>
        <v>22.2059</v>
      </c>
      <c r="M241">
        <f t="shared" ca="1" si="55"/>
        <v>33</v>
      </c>
      <c r="N241">
        <f t="shared" ca="1" si="55"/>
        <v>0</v>
      </c>
      <c r="O241">
        <f t="shared" ca="1" si="55"/>
        <v>1</v>
      </c>
      <c r="P241">
        <f t="shared" ca="1" si="55"/>
        <v>39.404000000000003</v>
      </c>
      <c r="Q241">
        <f t="shared" ca="1" si="55"/>
        <v>22.192499999999999</v>
      </c>
      <c r="R241">
        <f t="shared" ca="1" si="55"/>
        <v>8.4657800000000005</v>
      </c>
      <c r="S241">
        <f t="shared" ca="1" si="46"/>
        <v>34</v>
      </c>
      <c r="T241">
        <f t="shared" ca="1" si="47"/>
        <v>22.192499999999999</v>
      </c>
      <c r="U241" t="e">
        <f ca="1">IF(AND($C241='Funnel setup'!$K$3&amp;'Funnel setup'!$K$6&amp;'Funnel setup'!$K$7&amp;'Funnel setup'!$K$4,'Funnel Lookup'!I241="*",'Funnel Lookup'!I241="*"),#N/A,IF(AND($C241='Funnel setup'!$K$3&amp;'Funnel setup'!$K$6&amp;'Funnel setup'!$K$7&amp;'Funnel setup'!$K$4,'Funnel Lookup'!I241&gt;29,'Funnel Lookup'!I241&lt;&gt;"-"),'Funnel Lookup'!I241,#N/A))</f>
        <v>#N/A</v>
      </c>
      <c r="V241" t="e">
        <f ca="1">IF(AND($C241='Funnel setup'!$K$3&amp;'Funnel setup'!$K$6&amp;'Funnel setup'!$K$7&amp;'Funnel setup'!$K$4,'Funnel Lookup'!I241="*",'Funnel Lookup'!I241="*"),#N/A,IF(AND($C241='Funnel setup'!$K$3&amp;'Funnel setup'!$K$6&amp;'Funnel setup'!$K$7&amp;'Funnel setup'!$K$4,'Funnel Lookup'!I241&gt;29,'Funnel Lookup'!I241&lt;&gt;"-"),'Funnel Lookup'!Q241,#N/A))</f>
        <v>#N/A</v>
      </c>
    </row>
    <row r="242" spans="1:22" x14ac:dyDescent="0.25">
      <c r="A242">
        <v>240</v>
      </c>
      <c r="B242">
        <f t="shared" ca="1" si="54"/>
        <v>240</v>
      </c>
      <c r="C242" t="str">
        <f t="shared" ca="1" si="54"/>
        <v>Total Hip ReplacementProviderWEST HERTFORDSHIRE TEACHING HOSPITALS NHS TRUST (RWG)Oxford Hip Score</v>
      </c>
      <c r="D242" t="str">
        <f t="shared" ca="1" si="54"/>
        <v>Total Hip Replacement</v>
      </c>
      <c r="E242" t="str">
        <f t="shared" ca="1" si="54"/>
        <v>Provider</v>
      </c>
      <c r="F242" t="str">
        <f t="shared" ca="1" si="54"/>
        <v>RWG</v>
      </c>
      <c r="G242" t="str">
        <f t="shared" ca="1" si="54"/>
        <v>WEST HERTFORDSHIRE TEACHING HOSPITALS NHS TRUST (RWG)</v>
      </c>
      <c r="H242" t="str">
        <f t="shared" ca="1" si="54"/>
        <v>Oxford Hip Score</v>
      </c>
      <c r="I242">
        <f t="shared" ca="1" si="54"/>
        <v>100</v>
      </c>
      <c r="J242">
        <f t="shared" ca="1" si="54"/>
        <v>17.440000000000001</v>
      </c>
      <c r="K242">
        <f t="shared" ca="1" si="54"/>
        <v>39.369999999999997</v>
      </c>
      <c r="L242">
        <f t="shared" ca="1" si="55"/>
        <v>21.93</v>
      </c>
      <c r="M242">
        <f t="shared" ca="1" si="55"/>
        <v>95</v>
      </c>
      <c r="N242">
        <f t="shared" ca="1" si="55"/>
        <v>1</v>
      </c>
      <c r="O242">
        <f t="shared" ca="1" si="55"/>
        <v>4</v>
      </c>
      <c r="P242">
        <f t="shared" ca="1" si="55"/>
        <v>38.809600000000003</v>
      </c>
      <c r="Q242">
        <f t="shared" ca="1" si="55"/>
        <v>21.598099999999999</v>
      </c>
      <c r="R242">
        <f t="shared" ca="1" si="55"/>
        <v>9.0450700000000008</v>
      </c>
      <c r="S242">
        <f t="shared" ca="1" si="46"/>
        <v>100</v>
      </c>
      <c r="T242">
        <f t="shared" ca="1" si="47"/>
        <v>21.598099999999999</v>
      </c>
      <c r="U242" t="e">
        <f ca="1">IF(AND($C242='Funnel setup'!$K$3&amp;'Funnel setup'!$K$6&amp;'Funnel setup'!$K$7&amp;'Funnel setup'!$K$4,'Funnel Lookup'!I242="*",'Funnel Lookup'!I242="*"),#N/A,IF(AND($C242='Funnel setup'!$K$3&amp;'Funnel setup'!$K$6&amp;'Funnel setup'!$K$7&amp;'Funnel setup'!$K$4,'Funnel Lookup'!I242&gt;29,'Funnel Lookup'!I242&lt;&gt;"-"),'Funnel Lookup'!I242,#N/A))</f>
        <v>#N/A</v>
      </c>
      <c r="V242" t="e">
        <f ca="1">IF(AND($C242='Funnel setup'!$K$3&amp;'Funnel setup'!$K$6&amp;'Funnel setup'!$K$7&amp;'Funnel setup'!$K$4,'Funnel Lookup'!I242="*",'Funnel Lookup'!I242="*"),#N/A,IF(AND($C242='Funnel setup'!$K$3&amp;'Funnel setup'!$K$6&amp;'Funnel setup'!$K$7&amp;'Funnel setup'!$K$4,'Funnel Lookup'!I242&gt;29,'Funnel Lookup'!I242&lt;&gt;"-"),'Funnel Lookup'!Q242,#N/A))</f>
        <v>#N/A</v>
      </c>
    </row>
    <row r="243" spans="1:22" x14ac:dyDescent="0.25">
      <c r="A243">
        <v>241</v>
      </c>
      <c r="B243">
        <f t="shared" ref="B243:K252" ca="1" si="56">VLOOKUP($A243,Funnel_Data,B$1,FALSE)</f>
        <v>241</v>
      </c>
      <c r="C243" t="str">
        <f t="shared" ca="1" si="56"/>
        <v>Total Hip ReplacementProviderWEST MIDLANDS HOSPITAL (NVC21)Oxford Hip Score</v>
      </c>
      <c r="D243" t="str">
        <f t="shared" ca="1" si="56"/>
        <v>Total Hip Replacement</v>
      </c>
      <c r="E243" t="str">
        <f t="shared" ca="1" si="56"/>
        <v>Provider</v>
      </c>
      <c r="F243" t="str">
        <f t="shared" ca="1" si="56"/>
        <v>NVC21</v>
      </c>
      <c r="G243" t="str">
        <f t="shared" ca="1" si="56"/>
        <v>WEST MIDLANDS HOSPITAL (NVC21)</v>
      </c>
      <c r="H243" t="str">
        <f t="shared" ca="1" si="56"/>
        <v>Oxford Hip Score</v>
      </c>
      <c r="I243">
        <f t="shared" ca="1" si="56"/>
        <v>85</v>
      </c>
      <c r="J243">
        <f t="shared" ca="1" si="56"/>
        <v>17.423500000000001</v>
      </c>
      <c r="K243">
        <f t="shared" ca="1" si="56"/>
        <v>40.6706</v>
      </c>
      <c r="L243">
        <f t="shared" ref="L243:R252" ca="1" si="57">VLOOKUP($A243,Funnel_Data,L$1,FALSE)</f>
        <v>23.2471</v>
      </c>
      <c r="M243">
        <f t="shared" ca="1" si="57"/>
        <v>84</v>
      </c>
      <c r="N243">
        <f t="shared" ca="1" si="57"/>
        <v>0</v>
      </c>
      <c r="O243">
        <f t="shared" ca="1" si="57"/>
        <v>1</v>
      </c>
      <c r="P243">
        <f t="shared" ca="1" si="57"/>
        <v>39.909300000000002</v>
      </c>
      <c r="Q243">
        <f t="shared" ca="1" si="57"/>
        <v>22.697800000000001</v>
      </c>
      <c r="R243">
        <f t="shared" ca="1" si="57"/>
        <v>6.7319100000000001</v>
      </c>
      <c r="S243">
        <f t="shared" ca="1" si="46"/>
        <v>85</v>
      </c>
      <c r="T243">
        <f t="shared" ca="1" si="47"/>
        <v>22.697800000000001</v>
      </c>
      <c r="U243" t="e">
        <f ca="1">IF(AND($C243='Funnel setup'!$K$3&amp;'Funnel setup'!$K$6&amp;'Funnel setup'!$K$7&amp;'Funnel setup'!$K$4,'Funnel Lookup'!I243="*",'Funnel Lookup'!I243="*"),#N/A,IF(AND($C243='Funnel setup'!$K$3&amp;'Funnel setup'!$K$6&amp;'Funnel setup'!$K$7&amp;'Funnel setup'!$K$4,'Funnel Lookup'!I243&gt;29,'Funnel Lookup'!I243&lt;&gt;"-"),'Funnel Lookup'!I243,#N/A))</f>
        <v>#N/A</v>
      </c>
      <c r="V243" t="e">
        <f ca="1">IF(AND($C243='Funnel setup'!$K$3&amp;'Funnel setup'!$K$6&amp;'Funnel setup'!$K$7&amp;'Funnel setup'!$K$4,'Funnel Lookup'!I243="*",'Funnel Lookup'!I243="*"),#N/A,IF(AND($C243='Funnel setup'!$K$3&amp;'Funnel setup'!$K$6&amp;'Funnel setup'!$K$7&amp;'Funnel setup'!$K$4,'Funnel Lookup'!I243&gt;29,'Funnel Lookup'!I243&lt;&gt;"-"),'Funnel Lookup'!Q243,#N/A))</f>
        <v>#N/A</v>
      </c>
    </row>
    <row r="244" spans="1:22" x14ac:dyDescent="0.25">
      <c r="A244">
        <v>242</v>
      </c>
      <c r="B244">
        <f t="shared" ca="1" si="56"/>
        <v>242</v>
      </c>
      <c r="C244" t="str">
        <f t="shared" ca="1" si="56"/>
        <v>Total Hip ReplacementProviderWEST SUFFOLK NHS FOUNDATION TRUST (RGR)Oxford Hip Score</v>
      </c>
      <c r="D244" t="str">
        <f t="shared" ca="1" si="56"/>
        <v>Total Hip Replacement</v>
      </c>
      <c r="E244" t="str">
        <f t="shared" ca="1" si="56"/>
        <v>Provider</v>
      </c>
      <c r="F244" t="str">
        <f t="shared" ca="1" si="56"/>
        <v>RGR</v>
      </c>
      <c r="G244" t="str">
        <f t="shared" ca="1" si="56"/>
        <v>WEST SUFFOLK NHS FOUNDATION TRUST (RGR)</v>
      </c>
      <c r="H244" t="str">
        <f t="shared" ca="1" si="56"/>
        <v>Oxford Hip Score</v>
      </c>
      <c r="I244">
        <f t="shared" ca="1" si="56"/>
        <v>116</v>
      </c>
      <c r="J244">
        <f t="shared" ca="1" si="56"/>
        <v>14.3879</v>
      </c>
      <c r="K244">
        <f t="shared" ca="1" si="56"/>
        <v>37.491399999999999</v>
      </c>
      <c r="L244">
        <f t="shared" ca="1" si="57"/>
        <v>23.103400000000001</v>
      </c>
      <c r="M244">
        <f t="shared" ca="1" si="57"/>
        <v>111</v>
      </c>
      <c r="N244">
        <f t="shared" ca="1" si="57"/>
        <v>1</v>
      </c>
      <c r="O244">
        <f t="shared" ca="1" si="57"/>
        <v>4</v>
      </c>
      <c r="P244">
        <f t="shared" ca="1" si="57"/>
        <v>38.394799999999996</v>
      </c>
      <c r="Q244">
        <f t="shared" ca="1" si="57"/>
        <v>21.183299999999999</v>
      </c>
      <c r="R244">
        <f t="shared" ca="1" si="57"/>
        <v>9.6232699999999998</v>
      </c>
      <c r="S244">
        <f t="shared" ca="1" si="46"/>
        <v>116</v>
      </c>
      <c r="T244">
        <f t="shared" ca="1" si="47"/>
        <v>21.183299999999999</v>
      </c>
      <c r="U244" t="e">
        <f ca="1">IF(AND($C244='Funnel setup'!$K$3&amp;'Funnel setup'!$K$6&amp;'Funnel setup'!$K$7&amp;'Funnel setup'!$K$4,'Funnel Lookup'!I244="*",'Funnel Lookup'!I244="*"),#N/A,IF(AND($C244='Funnel setup'!$K$3&amp;'Funnel setup'!$K$6&amp;'Funnel setup'!$K$7&amp;'Funnel setup'!$K$4,'Funnel Lookup'!I244&gt;29,'Funnel Lookup'!I244&lt;&gt;"-"),'Funnel Lookup'!I244,#N/A))</f>
        <v>#N/A</v>
      </c>
      <c r="V244" t="e">
        <f ca="1">IF(AND($C244='Funnel setup'!$K$3&amp;'Funnel setup'!$K$6&amp;'Funnel setup'!$K$7&amp;'Funnel setup'!$K$4,'Funnel Lookup'!I244="*",'Funnel Lookup'!I244="*"),#N/A,IF(AND($C244='Funnel setup'!$K$3&amp;'Funnel setup'!$K$6&amp;'Funnel setup'!$K$7&amp;'Funnel setup'!$K$4,'Funnel Lookup'!I244&gt;29,'Funnel Lookup'!I244&lt;&gt;"-"),'Funnel Lookup'!Q244,#N/A))</f>
        <v>#N/A</v>
      </c>
    </row>
    <row r="245" spans="1:22" x14ac:dyDescent="0.25">
      <c r="A245">
        <v>243</v>
      </c>
      <c r="B245">
        <f t="shared" ca="1" si="56"/>
        <v>243</v>
      </c>
      <c r="C245" t="str">
        <f t="shared" ca="1" si="56"/>
        <v>Total Hip ReplacementProviderWINFIELD HOSPITAL (NVC22)Oxford Hip Score</v>
      </c>
      <c r="D245" t="str">
        <f t="shared" ca="1" si="56"/>
        <v>Total Hip Replacement</v>
      </c>
      <c r="E245" t="str">
        <f t="shared" ca="1" si="56"/>
        <v>Provider</v>
      </c>
      <c r="F245" t="str">
        <f t="shared" ca="1" si="56"/>
        <v>NVC22</v>
      </c>
      <c r="G245" t="str">
        <f t="shared" ca="1" si="56"/>
        <v>WINFIELD HOSPITAL (NVC22)</v>
      </c>
      <c r="H245" t="str">
        <f t="shared" ca="1" si="56"/>
        <v>Oxford Hip Score</v>
      </c>
      <c r="I245">
        <f t="shared" ca="1" si="56"/>
        <v>49</v>
      </c>
      <c r="J245">
        <f t="shared" ca="1" si="56"/>
        <v>16.510200000000001</v>
      </c>
      <c r="K245">
        <f t="shared" ca="1" si="56"/>
        <v>41</v>
      </c>
      <c r="L245">
        <f t="shared" ca="1" si="57"/>
        <v>24.489799999999999</v>
      </c>
      <c r="M245">
        <f t="shared" ca="1" si="57"/>
        <v>49</v>
      </c>
      <c r="N245">
        <f t="shared" ca="1" si="57"/>
        <v>0</v>
      </c>
      <c r="O245">
        <f t="shared" ca="1" si="57"/>
        <v>0</v>
      </c>
      <c r="P245">
        <f t="shared" ca="1" si="57"/>
        <v>40.2515</v>
      </c>
      <c r="Q245">
        <f t="shared" ca="1" si="57"/>
        <v>23.040099999999999</v>
      </c>
      <c r="R245">
        <f t="shared" ca="1" si="57"/>
        <v>7.7689700000000004</v>
      </c>
      <c r="S245">
        <f t="shared" ca="1" si="46"/>
        <v>49</v>
      </c>
      <c r="T245">
        <f t="shared" ca="1" si="47"/>
        <v>23.040099999999999</v>
      </c>
      <c r="U245" t="e">
        <f ca="1">IF(AND($C245='Funnel setup'!$K$3&amp;'Funnel setup'!$K$6&amp;'Funnel setup'!$K$7&amp;'Funnel setup'!$K$4,'Funnel Lookup'!I245="*",'Funnel Lookup'!I245="*"),#N/A,IF(AND($C245='Funnel setup'!$K$3&amp;'Funnel setup'!$K$6&amp;'Funnel setup'!$K$7&amp;'Funnel setup'!$K$4,'Funnel Lookup'!I245&gt;29,'Funnel Lookup'!I245&lt;&gt;"-"),'Funnel Lookup'!I245,#N/A))</f>
        <v>#N/A</v>
      </c>
      <c r="V245" t="e">
        <f ca="1">IF(AND($C245='Funnel setup'!$K$3&amp;'Funnel setup'!$K$6&amp;'Funnel setup'!$K$7&amp;'Funnel setup'!$K$4,'Funnel Lookup'!I245="*",'Funnel Lookup'!I245="*"),#N/A,IF(AND($C245='Funnel setup'!$K$3&amp;'Funnel setup'!$K$6&amp;'Funnel setup'!$K$7&amp;'Funnel setup'!$K$4,'Funnel Lookup'!I245&gt;29,'Funnel Lookup'!I245&lt;&gt;"-"),'Funnel Lookup'!Q245,#N/A))</f>
        <v>#N/A</v>
      </c>
    </row>
    <row r="246" spans="1:22" x14ac:dyDescent="0.25">
      <c r="A246">
        <v>244</v>
      </c>
      <c r="B246">
        <f t="shared" ca="1" si="56"/>
        <v>244</v>
      </c>
      <c r="C246" t="str">
        <f t="shared" ca="1" si="56"/>
        <v>Total Hip ReplacementProviderWINTERBOURNE HOSPITAL (NT443)Oxford Hip Score</v>
      </c>
      <c r="D246" t="str">
        <f t="shared" ca="1" si="56"/>
        <v>Total Hip Replacement</v>
      </c>
      <c r="E246" t="str">
        <f t="shared" ca="1" si="56"/>
        <v>Provider</v>
      </c>
      <c r="F246" t="str">
        <f t="shared" ca="1" si="56"/>
        <v>NT443</v>
      </c>
      <c r="G246" t="str">
        <f t="shared" ca="1" si="56"/>
        <v>WINTERBOURNE HOSPITAL (NT443)</v>
      </c>
      <c r="H246" t="str">
        <f t="shared" ca="1" si="56"/>
        <v>Oxford Hip Score</v>
      </c>
      <c r="I246">
        <f t="shared" ca="1" si="56"/>
        <v>53</v>
      </c>
      <c r="J246">
        <f t="shared" ca="1" si="56"/>
        <v>21.434000000000001</v>
      </c>
      <c r="K246">
        <f t="shared" ca="1" si="56"/>
        <v>43.169800000000002</v>
      </c>
      <c r="L246">
        <f t="shared" ca="1" si="57"/>
        <v>21.735800000000001</v>
      </c>
      <c r="M246">
        <f t="shared" ca="1" si="57"/>
        <v>53</v>
      </c>
      <c r="N246">
        <f t="shared" ca="1" si="57"/>
        <v>0</v>
      </c>
      <c r="O246">
        <f t="shared" ca="1" si="57"/>
        <v>0</v>
      </c>
      <c r="P246">
        <f t="shared" ca="1" si="57"/>
        <v>40.866300000000003</v>
      </c>
      <c r="Q246">
        <f t="shared" ca="1" si="57"/>
        <v>23.654800000000002</v>
      </c>
      <c r="R246">
        <f t="shared" ca="1" si="57"/>
        <v>6.7466499999999998</v>
      </c>
      <c r="S246">
        <f t="shared" ca="1" si="46"/>
        <v>53</v>
      </c>
      <c r="T246">
        <f t="shared" ca="1" si="47"/>
        <v>23.654800000000002</v>
      </c>
      <c r="U246" t="e">
        <f ca="1">IF(AND($C246='Funnel setup'!$K$3&amp;'Funnel setup'!$K$6&amp;'Funnel setup'!$K$7&amp;'Funnel setup'!$K$4,'Funnel Lookup'!I246="*",'Funnel Lookup'!I246="*"),#N/A,IF(AND($C246='Funnel setup'!$K$3&amp;'Funnel setup'!$K$6&amp;'Funnel setup'!$K$7&amp;'Funnel setup'!$K$4,'Funnel Lookup'!I246&gt;29,'Funnel Lookup'!I246&lt;&gt;"-"),'Funnel Lookup'!I246,#N/A))</f>
        <v>#N/A</v>
      </c>
      <c r="V246" t="e">
        <f ca="1">IF(AND($C246='Funnel setup'!$K$3&amp;'Funnel setup'!$K$6&amp;'Funnel setup'!$K$7&amp;'Funnel setup'!$K$4,'Funnel Lookup'!I246="*",'Funnel Lookup'!I246="*"),#N/A,IF(AND($C246='Funnel setup'!$K$3&amp;'Funnel setup'!$K$6&amp;'Funnel setup'!$K$7&amp;'Funnel setup'!$K$4,'Funnel Lookup'!I246&gt;29,'Funnel Lookup'!I246&lt;&gt;"-"),'Funnel Lookup'!Q246,#N/A))</f>
        <v>#N/A</v>
      </c>
    </row>
    <row r="247" spans="1:22" x14ac:dyDescent="0.25">
      <c r="A247">
        <v>245</v>
      </c>
      <c r="B247">
        <f t="shared" ca="1" si="56"/>
        <v>245</v>
      </c>
      <c r="C247" t="str">
        <f t="shared" ca="1" si="56"/>
        <v>Total Hip ReplacementProviderWIRRAL UNIVERSITY TEACHING HOSPITAL NHS FOUNDATION TRUST (RBL)Oxford Hip Score</v>
      </c>
      <c r="D247" t="str">
        <f t="shared" ca="1" si="56"/>
        <v>Total Hip Replacement</v>
      </c>
      <c r="E247" t="str">
        <f t="shared" ca="1" si="56"/>
        <v>Provider</v>
      </c>
      <c r="F247" t="str">
        <f t="shared" ca="1" si="56"/>
        <v>RBL</v>
      </c>
      <c r="G247" t="str">
        <f t="shared" ca="1" si="56"/>
        <v>WIRRAL UNIVERSITY TEACHING HOSPITAL NHS FOUNDATION TRUST (RBL)</v>
      </c>
      <c r="H247" t="str">
        <f t="shared" ca="1" si="56"/>
        <v>Oxford Hip Score</v>
      </c>
      <c r="I247">
        <f t="shared" ca="1" si="56"/>
        <v>111</v>
      </c>
      <c r="J247">
        <f t="shared" ca="1" si="56"/>
        <v>15.9459</v>
      </c>
      <c r="K247">
        <f t="shared" ca="1" si="56"/>
        <v>37.882899999999999</v>
      </c>
      <c r="L247">
        <f t="shared" ca="1" si="57"/>
        <v>21.936900000000001</v>
      </c>
      <c r="M247">
        <f t="shared" ca="1" si="57"/>
        <v>109</v>
      </c>
      <c r="N247">
        <f t="shared" ca="1" si="57"/>
        <v>0</v>
      </c>
      <c r="O247">
        <f t="shared" ca="1" si="57"/>
        <v>2</v>
      </c>
      <c r="P247">
        <f t="shared" ca="1" si="57"/>
        <v>38.7029</v>
      </c>
      <c r="Q247">
        <f t="shared" ca="1" si="57"/>
        <v>21.491499999999998</v>
      </c>
      <c r="R247">
        <f t="shared" ca="1" si="57"/>
        <v>8.0312000000000001</v>
      </c>
      <c r="S247">
        <f t="shared" ca="1" si="46"/>
        <v>111</v>
      </c>
      <c r="T247">
        <f t="shared" ca="1" si="47"/>
        <v>21.491499999999998</v>
      </c>
      <c r="U247" t="e">
        <f ca="1">IF(AND($C247='Funnel setup'!$K$3&amp;'Funnel setup'!$K$6&amp;'Funnel setup'!$K$7&amp;'Funnel setup'!$K$4,'Funnel Lookup'!I247="*",'Funnel Lookup'!I247="*"),#N/A,IF(AND($C247='Funnel setup'!$K$3&amp;'Funnel setup'!$K$6&amp;'Funnel setup'!$K$7&amp;'Funnel setup'!$K$4,'Funnel Lookup'!I247&gt;29,'Funnel Lookup'!I247&lt;&gt;"-"),'Funnel Lookup'!I247,#N/A))</f>
        <v>#N/A</v>
      </c>
      <c r="V247" t="e">
        <f ca="1">IF(AND($C247='Funnel setup'!$K$3&amp;'Funnel setup'!$K$6&amp;'Funnel setup'!$K$7&amp;'Funnel setup'!$K$4,'Funnel Lookup'!I247="*",'Funnel Lookup'!I247="*"),#N/A,IF(AND($C247='Funnel setup'!$K$3&amp;'Funnel setup'!$K$6&amp;'Funnel setup'!$K$7&amp;'Funnel setup'!$K$4,'Funnel Lookup'!I247&gt;29,'Funnel Lookup'!I247&lt;&gt;"-"),'Funnel Lookup'!Q247,#N/A))</f>
        <v>#N/A</v>
      </c>
    </row>
    <row r="248" spans="1:22" x14ac:dyDescent="0.25">
      <c r="A248">
        <v>246</v>
      </c>
      <c r="B248">
        <f t="shared" ca="1" si="56"/>
        <v>246</v>
      </c>
      <c r="C248" t="str">
        <f t="shared" ca="1" si="56"/>
        <v>Total Hip ReplacementProviderWOODLAND HOSPITAL (NVC23)Oxford Hip Score</v>
      </c>
      <c r="D248" t="str">
        <f t="shared" ca="1" si="56"/>
        <v>Total Hip Replacement</v>
      </c>
      <c r="E248" t="str">
        <f t="shared" ca="1" si="56"/>
        <v>Provider</v>
      </c>
      <c r="F248" t="str">
        <f t="shared" ca="1" si="56"/>
        <v>NVC23</v>
      </c>
      <c r="G248" t="str">
        <f t="shared" ca="1" si="56"/>
        <v>WOODLAND HOSPITAL (NVC23)</v>
      </c>
      <c r="H248" t="str">
        <f t="shared" ca="1" si="56"/>
        <v>Oxford Hip Score</v>
      </c>
      <c r="I248">
        <f t="shared" ca="1" si="56"/>
        <v>85</v>
      </c>
      <c r="J248">
        <f t="shared" ca="1" si="56"/>
        <v>15.569800000000001</v>
      </c>
      <c r="K248">
        <f t="shared" ca="1" si="56"/>
        <v>36.744199999999999</v>
      </c>
      <c r="L248">
        <f t="shared" ca="1" si="57"/>
        <v>21.174399999999999</v>
      </c>
      <c r="M248">
        <f t="shared" ca="1" si="57"/>
        <v>81</v>
      </c>
      <c r="N248">
        <f t="shared" ca="1" si="57"/>
        <v>0</v>
      </c>
      <c r="O248">
        <f t="shared" ca="1" si="57"/>
        <v>4</v>
      </c>
      <c r="P248">
        <f t="shared" ca="1" si="57"/>
        <v>36.2896</v>
      </c>
      <c r="Q248">
        <f t="shared" ca="1" si="57"/>
        <v>19.078199999999999</v>
      </c>
      <c r="R248">
        <f t="shared" ca="1" si="57"/>
        <v>8.9606700000000004</v>
      </c>
      <c r="S248">
        <f t="shared" ca="1" si="46"/>
        <v>85</v>
      </c>
      <c r="T248">
        <f t="shared" ca="1" si="47"/>
        <v>19.078199999999999</v>
      </c>
      <c r="U248" t="e">
        <f ca="1">IF(AND($C248='Funnel setup'!$K$3&amp;'Funnel setup'!$K$6&amp;'Funnel setup'!$K$7&amp;'Funnel setup'!$K$4,'Funnel Lookup'!I248="*",'Funnel Lookup'!I248="*"),#N/A,IF(AND($C248='Funnel setup'!$K$3&amp;'Funnel setup'!$K$6&amp;'Funnel setup'!$K$7&amp;'Funnel setup'!$K$4,'Funnel Lookup'!I248&gt;29,'Funnel Lookup'!I248&lt;&gt;"-"),'Funnel Lookup'!I248,#N/A))</f>
        <v>#N/A</v>
      </c>
      <c r="V248" t="e">
        <f ca="1">IF(AND($C248='Funnel setup'!$K$3&amp;'Funnel setup'!$K$6&amp;'Funnel setup'!$K$7&amp;'Funnel setup'!$K$4,'Funnel Lookup'!I248="*",'Funnel Lookup'!I248="*"),#N/A,IF(AND($C248='Funnel setup'!$K$3&amp;'Funnel setup'!$K$6&amp;'Funnel setup'!$K$7&amp;'Funnel setup'!$K$4,'Funnel Lookup'!I248&gt;29,'Funnel Lookup'!I248&lt;&gt;"-"),'Funnel Lookup'!Q248,#N/A))</f>
        <v>#N/A</v>
      </c>
    </row>
    <row r="249" spans="1:22" x14ac:dyDescent="0.25">
      <c r="A249">
        <v>247</v>
      </c>
      <c r="B249">
        <f t="shared" ca="1" si="56"/>
        <v>247</v>
      </c>
      <c r="C249" t="str">
        <f t="shared" ca="1" si="56"/>
        <v>Total Hip ReplacementProviderWOODLANDS HOSPITAL (NT457)Oxford Hip Score</v>
      </c>
      <c r="D249" t="str">
        <f t="shared" ca="1" si="56"/>
        <v>Total Hip Replacement</v>
      </c>
      <c r="E249" t="str">
        <f t="shared" ca="1" si="56"/>
        <v>Provider</v>
      </c>
      <c r="F249" t="str">
        <f t="shared" ca="1" si="56"/>
        <v>NT457</v>
      </c>
      <c r="G249" t="str">
        <f t="shared" ca="1" si="56"/>
        <v>WOODLANDS HOSPITAL (NT457)</v>
      </c>
      <c r="H249" t="str">
        <f t="shared" ca="1" si="56"/>
        <v>Oxford Hip Score</v>
      </c>
      <c r="I249">
        <f t="shared" ca="1" si="56"/>
        <v>74</v>
      </c>
      <c r="J249">
        <f t="shared" ca="1" si="56"/>
        <v>21.093299999999999</v>
      </c>
      <c r="K249">
        <f t="shared" ca="1" si="56"/>
        <v>42.466700000000003</v>
      </c>
      <c r="L249">
        <f t="shared" ca="1" si="57"/>
        <v>21.3733</v>
      </c>
      <c r="M249">
        <f t="shared" ca="1" si="57"/>
        <v>71</v>
      </c>
      <c r="N249">
        <f t="shared" ca="1" si="57"/>
        <v>1</v>
      </c>
      <c r="O249">
        <f t="shared" ca="1" si="57"/>
        <v>2</v>
      </c>
      <c r="P249">
        <f t="shared" ca="1" si="57"/>
        <v>39.296599999999998</v>
      </c>
      <c r="Q249">
        <f t="shared" ca="1" si="57"/>
        <v>22.0852</v>
      </c>
      <c r="R249">
        <f t="shared" ca="1" si="57"/>
        <v>7.2329499999999998</v>
      </c>
      <c r="S249">
        <f t="shared" ca="1" si="46"/>
        <v>74</v>
      </c>
      <c r="T249">
        <f t="shared" ca="1" si="47"/>
        <v>22.0852</v>
      </c>
      <c r="U249" t="e">
        <f ca="1">IF(AND($C249='Funnel setup'!$K$3&amp;'Funnel setup'!$K$6&amp;'Funnel setup'!$K$7&amp;'Funnel setup'!$K$4,'Funnel Lookup'!I249="*",'Funnel Lookup'!I249="*"),#N/A,IF(AND($C249='Funnel setup'!$K$3&amp;'Funnel setup'!$K$6&amp;'Funnel setup'!$K$7&amp;'Funnel setup'!$K$4,'Funnel Lookup'!I249&gt;29,'Funnel Lookup'!I249&lt;&gt;"-"),'Funnel Lookup'!I249,#N/A))</f>
        <v>#N/A</v>
      </c>
      <c r="V249" t="e">
        <f ca="1">IF(AND($C249='Funnel setup'!$K$3&amp;'Funnel setup'!$K$6&amp;'Funnel setup'!$K$7&amp;'Funnel setup'!$K$4,'Funnel Lookup'!I249="*",'Funnel Lookup'!I249="*"),#N/A,IF(AND($C249='Funnel setup'!$K$3&amp;'Funnel setup'!$K$6&amp;'Funnel setup'!$K$7&amp;'Funnel setup'!$K$4,'Funnel Lookup'!I249&gt;29,'Funnel Lookup'!I249&lt;&gt;"-"),'Funnel Lookup'!Q249,#N/A))</f>
        <v>#N/A</v>
      </c>
    </row>
    <row r="250" spans="1:22" x14ac:dyDescent="0.25">
      <c r="A250">
        <v>248</v>
      </c>
      <c r="B250">
        <f t="shared" ca="1" si="56"/>
        <v>248</v>
      </c>
      <c r="C250" t="str">
        <f t="shared" ca="1" si="56"/>
        <v>Total Hip ReplacementProviderWOODTHORPE HOSPITAL (NVC40)Oxford Hip Score</v>
      </c>
      <c r="D250" t="str">
        <f t="shared" ca="1" si="56"/>
        <v>Total Hip Replacement</v>
      </c>
      <c r="E250" t="str">
        <f t="shared" ca="1" si="56"/>
        <v>Provider</v>
      </c>
      <c r="F250" t="str">
        <f t="shared" ca="1" si="56"/>
        <v>NVC40</v>
      </c>
      <c r="G250" t="str">
        <f t="shared" ca="1" si="56"/>
        <v>WOODTHORPE HOSPITAL (NVC40)</v>
      </c>
      <c r="H250" t="str">
        <f t="shared" ca="1" si="56"/>
        <v>Oxford Hip Score</v>
      </c>
      <c r="I250">
        <f t="shared" ca="1" si="56"/>
        <v>98</v>
      </c>
      <c r="J250">
        <f t="shared" ca="1" si="56"/>
        <v>16.275500000000001</v>
      </c>
      <c r="K250">
        <f t="shared" ca="1" si="56"/>
        <v>38.887799999999999</v>
      </c>
      <c r="L250">
        <f t="shared" ca="1" si="57"/>
        <v>22.612200000000001</v>
      </c>
      <c r="M250">
        <f t="shared" ca="1" si="57"/>
        <v>95</v>
      </c>
      <c r="N250">
        <f t="shared" ca="1" si="57"/>
        <v>1</v>
      </c>
      <c r="O250">
        <f t="shared" ca="1" si="57"/>
        <v>2</v>
      </c>
      <c r="P250">
        <f t="shared" ca="1" si="57"/>
        <v>38.774900000000002</v>
      </c>
      <c r="Q250">
        <f t="shared" ca="1" si="57"/>
        <v>21.563500000000001</v>
      </c>
      <c r="R250">
        <f t="shared" ca="1" si="57"/>
        <v>8.4169900000000002</v>
      </c>
      <c r="S250">
        <f t="shared" ca="1" si="46"/>
        <v>98</v>
      </c>
      <c r="T250">
        <f t="shared" ca="1" si="47"/>
        <v>21.563500000000001</v>
      </c>
      <c r="U250" t="e">
        <f ca="1">IF(AND($C250='Funnel setup'!$K$3&amp;'Funnel setup'!$K$6&amp;'Funnel setup'!$K$7&amp;'Funnel setup'!$K$4,'Funnel Lookup'!I250="*",'Funnel Lookup'!I250="*"),#N/A,IF(AND($C250='Funnel setup'!$K$3&amp;'Funnel setup'!$K$6&amp;'Funnel setup'!$K$7&amp;'Funnel setup'!$K$4,'Funnel Lookup'!I250&gt;29,'Funnel Lookup'!I250&lt;&gt;"-"),'Funnel Lookup'!I250,#N/A))</f>
        <v>#N/A</v>
      </c>
      <c r="V250" t="e">
        <f ca="1">IF(AND($C250='Funnel setup'!$K$3&amp;'Funnel setup'!$K$6&amp;'Funnel setup'!$K$7&amp;'Funnel setup'!$K$4,'Funnel Lookup'!I250="*",'Funnel Lookup'!I250="*"),#N/A,IF(AND($C250='Funnel setup'!$K$3&amp;'Funnel setup'!$K$6&amp;'Funnel setup'!$K$7&amp;'Funnel setup'!$K$4,'Funnel Lookup'!I250&gt;29,'Funnel Lookup'!I250&lt;&gt;"-"),'Funnel Lookup'!Q250,#N/A))</f>
        <v>#N/A</v>
      </c>
    </row>
    <row r="251" spans="1:22" x14ac:dyDescent="0.25">
      <c r="A251">
        <v>249</v>
      </c>
      <c r="B251">
        <f t="shared" ca="1" si="56"/>
        <v>249</v>
      </c>
      <c r="C251" t="str">
        <f t="shared" ca="1" si="56"/>
        <v>Total Hip ReplacementProviderWORCESTERSHIRE ACUTE HOSPITALS NHS TRUST (RWP)Oxford Hip Score</v>
      </c>
      <c r="D251" t="str">
        <f t="shared" ca="1" si="56"/>
        <v>Total Hip Replacement</v>
      </c>
      <c r="E251" t="str">
        <f t="shared" ca="1" si="56"/>
        <v>Provider</v>
      </c>
      <c r="F251" t="str">
        <f t="shared" ca="1" si="56"/>
        <v>RWP</v>
      </c>
      <c r="G251" t="str">
        <f t="shared" ca="1" si="56"/>
        <v>WORCESTERSHIRE ACUTE HOSPITALS NHS TRUST (RWP)</v>
      </c>
      <c r="H251" t="str">
        <f t="shared" ca="1" si="56"/>
        <v>Oxford Hip Score</v>
      </c>
      <c r="I251">
        <f t="shared" ca="1" si="56"/>
        <v>64</v>
      </c>
      <c r="J251">
        <f t="shared" ca="1" si="56"/>
        <v>13.4688</v>
      </c>
      <c r="K251">
        <f t="shared" ca="1" si="56"/>
        <v>36.031300000000002</v>
      </c>
      <c r="L251">
        <f t="shared" ca="1" si="57"/>
        <v>22.5625</v>
      </c>
      <c r="M251">
        <f t="shared" ca="1" si="57"/>
        <v>62</v>
      </c>
      <c r="N251">
        <f t="shared" ca="1" si="57"/>
        <v>1</v>
      </c>
      <c r="O251">
        <f t="shared" ca="1" si="57"/>
        <v>1</v>
      </c>
      <c r="P251">
        <f t="shared" ca="1" si="57"/>
        <v>38.847999999999999</v>
      </c>
      <c r="Q251">
        <f t="shared" ca="1" si="57"/>
        <v>21.636500000000002</v>
      </c>
      <c r="R251">
        <f t="shared" ca="1" si="57"/>
        <v>8.5583600000000004</v>
      </c>
      <c r="S251">
        <f t="shared" ca="1" si="46"/>
        <v>64</v>
      </c>
      <c r="T251">
        <f t="shared" ca="1" si="47"/>
        <v>21.636500000000002</v>
      </c>
      <c r="U251" t="e">
        <f ca="1">IF(AND($C251='Funnel setup'!$K$3&amp;'Funnel setup'!$K$6&amp;'Funnel setup'!$K$7&amp;'Funnel setup'!$K$4,'Funnel Lookup'!I251="*",'Funnel Lookup'!I251="*"),#N/A,IF(AND($C251='Funnel setup'!$K$3&amp;'Funnel setup'!$K$6&amp;'Funnel setup'!$K$7&amp;'Funnel setup'!$K$4,'Funnel Lookup'!I251&gt;29,'Funnel Lookup'!I251&lt;&gt;"-"),'Funnel Lookup'!I251,#N/A))</f>
        <v>#N/A</v>
      </c>
      <c r="V251" t="e">
        <f ca="1">IF(AND($C251='Funnel setup'!$K$3&amp;'Funnel setup'!$K$6&amp;'Funnel setup'!$K$7&amp;'Funnel setup'!$K$4,'Funnel Lookup'!I251="*",'Funnel Lookup'!I251="*"),#N/A,IF(AND($C251='Funnel setup'!$K$3&amp;'Funnel setup'!$K$6&amp;'Funnel setup'!$K$7&amp;'Funnel setup'!$K$4,'Funnel Lookup'!I251&gt;29,'Funnel Lookup'!I251&lt;&gt;"-"),'Funnel Lookup'!Q251,#N/A))</f>
        <v>#N/A</v>
      </c>
    </row>
    <row r="252" spans="1:22" x14ac:dyDescent="0.25">
      <c r="A252">
        <v>250</v>
      </c>
      <c r="B252">
        <f t="shared" ca="1" si="56"/>
        <v>250</v>
      </c>
      <c r="C252" t="str">
        <f t="shared" ca="1" si="56"/>
        <v>Total Hip ReplacementProviderWRIGHTINGTON, WIGAN AND LEIGH NHS FOUNDATION TRUST (RRF)Oxford Hip Score</v>
      </c>
      <c r="D252" t="str">
        <f t="shared" ca="1" si="56"/>
        <v>Total Hip Replacement</v>
      </c>
      <c r="E252" t="str">
        <f t="shared" ca="1" si="56"/>
        <v>Provider</v>
      </c>
      <c r="F252" t="str">
        <f t="shared" ca="1" si="56"/>
        <v>RRF</v>
      </c>
      <c r="G252" t="str">
        <f t="shared" ca="1" si="56"/>
        <v>WRIGHTINGTON, WIGAN AND LEIGH NHS FOUNDATION TRUST (RRF)</v>
      </c>
      <c r="H252" t="str">
        <f t="shared" ca="1" si="56"/>
        <v>Oxford Hip Score</v>
      </c>
      <c r="I252">
        <f t="shared" ca="1" si="56"/>
        <v>19</v>
      </c>
      <c r="J252">
        <f t="shared" ca="1" si="56"/>
        <v>14.526300000000001</v>
      </c>
      <c r="K252">
        <f t="shared" ca="1" si="56"/>
        <v>42.052599999999998</v>
      </c>
      <c r="L252">
        <f t="shared" ca="1" si="57"/>
        <v>27.526299999999999</v>
      </c>
      <c r="M252">
        <f t="shared" ca="1" si="57"/>
        <v>19</v>
      </c>
      <c r="N252">
        <f t="shared" ca="1" si="57"/>
        <v>0</v>
      </c>
      <c r="O252">
        <f t="shared" ca="1" si="57"/>
        <v>0</v>
      </c>
      <c r="P252" t="str">
        <f t="shared" ca="1" si="57"/>
        <v>*</v>
      </c>
      <c r="Q252" t="str">
        <f t="shared" ca="1" si="57"/>
        <v>*</v>
      </c>
      <c r="R252" t="str">
        <f t="shared" ca="1" si="57"/>
        <v>*</v>
      </c>
      <c r="S252" t="e">
        <f t="shared" ca="1" si="46"/>
        <v>#N/A</v>
      </c>
      <c r="T252" t="e">
        <f t="shared" ca="1" si="47"/>
        <v>#N/A</v>
      </c>
      <c r="U252" t="e">
        <f ca="1">IF(AND($C252='Funnel setup'!$K$3&amp;'Funnel setup'!$K$6&amp;'Funnel setup'!$K$7&amp;'Funnel setup'!$K$4,'Funnel Lookup'!I252="*",'Funnel Lookup'!I252="*"),#N/A,IF(AND($C252='Funnel setup'!$K$3&amp;'Funnel setup'!$K$6&amp;'Funnel setup'!$K$7&amp;'Funnel setup'!$K$4,'Funnel Lookup'!I252&gt;29,'Funnel Lookup'!I252&lt;&gt;"-"),'Funnel Lookup'!I252,#N/A))</f>
        <v>#N/A</v>
      </c>
      <c r="V252" t="e">
        <f ca="1">IF(AND($C252='Funnel setup'!$K$3&amp;'Funnel setup'!$K$6&amp;'Funnel setup'!$K$7&amp;'Funnel setup'!$K$4,'Funnel Lookup'!I252="*",'Funnel Lookup'!I252="*"),#N/A,IF(AND($C252='Funnel setup'!$K$3&amp;'Funnel setup'!$K$6&amp;'Funnel setup'!$K$7&amp;'Funnel setup'!$K$4,'Funnel Lookup'!I252&gt;29,'Funnel Lookup'!I252&lt;&gt;"-"),'Funnel Lookup'!Q252,#N/A))</f>
        <v>#N/A</v>
      </c>
    </row>
    <row r="253" spans="1:22" x14ac:dyDescent="0.25">
      <c r="A253">
        <v>251</v>
      </c>
      <c r="B253">
        <f t="shared" ref="B253:K262" ca="1" si="58">VLOOKUP($A253,Funnel_Data,B$1,FALSE)</f>
        <v>251</v>
      </c>
      <c r="C253" t="str">
        <f t="shared" ca="1" si="58"/>
        <v>Total Hip ReplacementProviderWYE VALLEY NHS TRUST (RLQ)Oxford Hip Score</v>
      </c>
      <c r="D253" t="str">
        <f t="shared" ca="1" si="58"/>
        <v>Total Hip Replacement</v>
      </c>
      <c r="E253" t="str">
        <f t="shared" ca="1" si="58"/>
        <v>Provider</v>
      </c>
      <c r="F253" t="str">
        <f t="shared" ca="1" si="58"/>
        <v>RLQ</v>
      </c>
      <c r="G253" t="str">
        <f t="shared" ca="1" si="58"/>
        <v>WYE VALLEY NHS TRUST (RLQ)</v>
      </c>
      <c r="H253" t="str">
        <f t="shared" ca="1" si="58"/>
        <v>Oxford Hip Score</v>
      </c>
      <c r="I253">
        <f t="shared" ca="1" si="58"/>
        <v>24</v>
      </c>
      <c r="J253">
        <f t="shared" ca="1" si="58"/>
        <v>14.583299999999999</v>
      </c>
      <c r="K253">
        <f t="shared" ca="1" si="58"/>
        <v>40</v>
      </c>
      <c r="L253">
        <f t="shared" ref="L253:R262" ca="1" si="59">VLOOKUP($A253,Funnel_Data,L$1,FALSE)</f>
        <v>25.416699999999999</v>
      </c>
      <c r="M253">
        <f t="shared" ca="1" si="59"/>
        <v>24</v>
      </c>
      <c r="N253">
        <f t="shared" ca="1" si="59"/>
        <v>0</v>
      </c>
      <c r="O253">
        <f t="shared" ca="1" si="59"/>
        <v>0</v>
      </c>
      <c r="P253" t="str">
        <f t="shared" ca="1" si="59"/>
        <v>*</v>
      </c>
      <c r="Q253" t="str">
        <f t="shared" ca="1" si="59"/>
        <v>*</v>
      </c>
      <c r="R253" t="str">
        <f t="shared" ca="1" si="59"/>
        <v>*</v>
      </c>
      <c r="S253" t="e">
        <f t="shared" ca="1" si="46"/>
        <v>#N/A</v>
      </c>
      <c r="T253" t="e">
        <f t="shared" ca="1" si="47"/>
        <v>#N/A</v>
      </c>
      <c r="U253" t="e">
        <f ca="1">IF(AND($C253='Funnel setup'!$K$3&amp;'Funnel setup'!$K$6&amp;'Funnel setup'!$K$7&amp;'Funnel setup'!$K$4,'Funnel Lookup'!I253="*",'Funnel Lookup'!I253="*"),#N/A,IF(AND($C253='Funnel setup'!$K$3&amp;'Funnel setup'!$K$6&amp;'Funnel setup'!$K$7&amp;'Funnel setup'!$K$4,'Funnel Lookup'!I253&gt;29,'Funnel Lookup'!I253&lt;&gt;"-"),'Funnel Lookup'!I253,#N/A))</f>
        <v>#N/A</v>
      </c>
      <c r="V253" t="e">
        <f ca="1">IF(AND($C253='Funnel setup'!$K$3&amp;'Funnel setup'!$K$6&amp;'Funnel setup'!$K$7&amp;'Funnel setup'!$K$4,'Funnel Lookup'!I253="*",'Funnel Lookup'!I253="*"),#N/A,IF(AND($C253='Funnel setup'!$K$3&amp;'Funnel setup'!$K$6&amp;'Funnel setup'!$K$7&amp;'Funnel setup'!$K$4,'Funnel Lookup'!I253&gt;29,'Funnel Lookup'!I253&lt;&gt;"-"),'Funnel Lookup'!Q253,#N/A))</f>
        <v>#N/A</v>
      </c>
    </row>
    <row r="254" spans="1:22" x14ac:dyDescent="0.25">
      <c r="A254">
        <v>252</v>
      </c>
      <c r="B254">
        <f t="shared" ca="1" si="58"/>
        <v>252</v>
      </c>
      <c r="C254" t="str">
        <f t="shared" ca="1" si="58"/>
        <v>Total Hip ReplacementProviderYORK AND SCARBOROUGH TEACHING HOSPITALS NHS FOUNDATION TRUST (RCB)Oxford Hip Score</v>
      </c>
      <c r="D254" t="str">
        <f t="shared" ca="1" si="58"/>
        <v>Total Hip Replacement</v>
      </c>
      <c r="E254" t="str">
        <f t="shared" ca="1" si="58"/>
        <v>Provider</v>
      </c>
      <c r="F254" t="str">
        <f t="shared" ca="1" si="58"/>
        <v>RCB</v>
      </c>
      <c r="G254" t="str">
        <f t="shared" ca="1" si="58"/>
        <v>YORK AND SCARBOROUGH TEACHING HOSPITALS NHS FOUNDATION TRUST (RCB)</v>
      </c>
      <c r="H254" t="str">
        <f t="shared" ca="1" si="58"/>
        <v>Oxford Hip Score</v>
      </c>
      <c r="I254">
        <f t="shared" ca="1" si="58"/>
        <v>1</v>
      </c>
      <c r="J254">
        <f t="shared" ca="1" si="58"/>
        <v>10</v>
      </c>
      <c r="K254">
        <f t="shared" ca="1" si="58"/>
        <v>37</v>
      </c>
      <c r="L254">
        <f t="shared" ca="1" si="59"/>
        <v>27</v>
      </c>
      <c r="M254">
        <f t="shared" ca="1" si="59"/>
        <v>1</v>
      </c>
      <c r="N254">
        <f t="shared" ca="1" si="59"/>
        <v>0</v>
      </c>
      <c r="O254">
        <f t="shared" ca="1" si="59"/>
        <v>0</v>
      </c>
      <c r="P254" t="str">
        <f t="shared" ca="1" si="59"/>
        <v>*</v>
      </c>
      <c r="Q254" t="str">
        <f t="shared" ca="1" si="59"/>
        <v>*</v>
      </c>
      <c r="R254" t="str">
        <f t="shared" ca="1" si="59"/>
        <v>*</v>
      </c>
      <c r="S254" t="e">
        <f t="shared" ca="1" si="46"/>
        <v>#N/A</v>
      </c>
      <c r="T254" t="e">
        <f t="shared" ca="1" si="47"/>
        <v>#N/A</v>
      </c>
      <c r="U254" t="e">
        <f ca="1">IF(AND($C254='Funnel setup'!$K$3&amp;'Funnel setup'!$K$6&amp;'Funnel setup'!$K$7&amp;'Funnel setup'!$K$4,'Funnel Lookup'!I254="*",'Funnel Lookup'!I254="*"),#N/A,IF(AND($C254='Funnel setup'!$K$3&amp;'Funnel setup'!$K$6&amp;'Funnel setup'!$K$7&amp;'Funnel setup'!$K$4,'Funnel Lookup'!I254&gt;29,'Funnel Lookup'!I254&lt;&gt;"-"),'Funnel Lookup'!I254,#N/A))</f>
        <v>#N/A</v>
      </c>
      <c r="V254" t="e">
        <f ca="1">IF(AND($C254='Funnel setup'!$K$3&amp;'Funnel setup'!$K$6&amp;'Funnel setup'!$K$7&amp;'Funnel setup'!$K$4,'Funnel Lookup'!I254="*",'Funnel Lookup'!I254="*"),#N/A,IF(AND($C254='Funnel setup'!$K$3&amp;'Funnel setup'!$K$6&amp;'Funnel setup'!$K$7&amp;'Funnel setup'!$K$4,'Funnel Lookup'!I254&gt;29,'Funnel Lookup'!I254&lt;&gt;"-"),'Funnel Lookup'!Q254,#N/A))</f>
        <v>#N/A</v>
      </c>
    </row>
    <row r="255" spans="1:22" x14ac:dyDescent="0.25">
      <c r="A255">
        <v>253</v>
      </c>
      <c r="B255" t="e">
        <f t="shared" ca="1" si="58"/>
        <v>#N/A</v>
      </c>
      <c r="C255" t="e">
        <f t="shared" ca="1" si="58"/>
        <v>#N/A</v>
      </c>
      <c r="D255" t="e">
        <f t="shared" ca="1" si="58"/>
        <v>#N/A</v>
      </c>
      <c r="E255" t="e">
        <f t="shared" ca="1" si="58"/>
        <v>#N/A</v>
      </c>
      <c r="F255" t="e">
        <f t="shared" ca="1" si="58"/>
        <v>#N/A</v>
      </c>
      <c r="G255" t="e">
        <f t="shared" ca="1" si="58"/>
        <v>#N/A</v>
      </c>
      <c r="H255" t="e">
        <f t="shared" ca="1" si="58"/>
        <v>#N/A</v>
      </c>
      <c r="I255" t="e">
        <f t="shared" ca="1" si="58"/>
        <v>#N/A</v>
      </c>
      <c r="J255" t="e">
        <f t="shared" ca="1" si="58"/>
        <v>#N/A</v>
      </c>
      <c r="K255" t="e">
        <f t="shared" ca="1" si="58"/>
        <v>#N/A</v>
      </c>
      <c r="L255" t="e">
        <f t="shared" ca="1" si="59"/>
        <v>#N/A</v>
      </c>
      <c r="M255" t="e">
        <f t="shared" ca="1" si="59"/>
        <v>#N/A</v>
      </c>
      <c r="N255" t="e">
        <f t="shared" ca="1" si="59"/>
        <v>#N/A</v>
      </c>
      <c r="O255" t="e">
        <f t="shared" ca="1" si="59"/>
        <v>#N/A</v>
      </c>
      <c r="P255" t="e">
        <f t="shared" ca="1" si="59"/>
        <v>#N/A</v>
      </c>
      <c r="Q255" t="e">
        <f t="shared" ca="1" si="59"/>
        <v>#N/A</v>
      </c>
      <c r="R255" t="e">
        <f t="shared" ca="1" si="59"/>
        <v>#N/A</v>
      </c>
      <c r="S255" t="e">
        <f t="shared" ca="1" si="46"/>
        <v>#N/A</v>
      </c>
      <c r="T255" t="e">
        <f t="shared" ca="1" si="47"/>
        <v>#N/A</v>
      </c>
      <c r="U255" t="e">
        <f ca="1">IF(AND($C255='Funnel setup'!$K$3&amp;'Funnel setup'!$K$6&amp;'Funnel setup'!$K$7&amp;'Funnel setup'!$K$4,'Funnel Lookup'!I255="*",'Funnel Lookup'!I255="*"),#N/A,IF(AND($C255='Funnel setup'!$K$3&amp;'Funnel setup'!$K$6&amp;'Funnel setup'!$K$7&amp;'Funnel setup'!$K$4,'Funnel Lookup'!I255&gt;29,'Funnel Lookup'!I255&lt;&gt;"-"),'Funnel Lookup'!I255,#N/A))</f>
        <v>#N/A</v>
      </c>
      <c r="V255" t="e">
        <f ca="1">IF(AND($C255='Funnel setup'!$K$3&amp;'Funnel setup'!$K$6&amp;'Funnel setup'!$K$7&amp;'Funnel setup'!$K$4,'Funnel Lookup'!I255="*",'Funnel Lookup'!I255="*"),#N/A,IF(AND($C255='Funnel setup'!$K$3&amp;'Funnel setup'!$K$6&amp;'Funnel setup'!$K$7&amp;'Funnel setup'!$K$4,'Funnel Lookup'!I255&gt;29,'Funnel Lookup'!I255&lt;&gt;"-"),'Funnel Lookup'!Q255,#N/A))</f>
        <v>#N/A</v>
      </c>
    </row>
    <row r="256" spans="1:22" x14ac:dyDescent="0.25">
      <c r="A256">
        <v>254</v>
      </c>
      <c r="B256" t="e">
        <f t="shared" ca="1" si="58"/>
        <v>#N/A</v>
      </c>
      <c r="C256" t="e">
        <f t="shared" ca="1" si="58"/>
        <v>#N/A</v>
      </c>
      <c r="D256" t="e">
        <f t="shared" ca="1" si="58"/>
        <v>#N/A</v>
      </c>
      <c r="E256" t="e">
        <f t="shared" ca="1" si="58"/>
        <v>#N/A</v>
      </c>
      <c r="F256" t="e">
        <f t="shared" ca="1" si="58"/>
        <v>#N/A</v>
      </c>
      <c r="G256" t="e">
        <f t="shared" ca="1" si="58"/>
        <v>#N/A</v>
      </c>
      <c r="H256" t="e">
        <f t="shared" ca="1" si="58"/>
        <v>#N/A</v>
      </c>
      <c r="I256" t="e">
        <f t="shared" ca="1" si="58"/>
        <v>#N/A</v>
      </c>
      <c r="J256" t="e">
        <f t="shared" ca="1" si="58"/>
        <v>#N/A</v>
      </c>
      <c r="K256" t="e">
        <f t="shared" ca="1" si="58"/>
        <v>#N/A</v>
      </c>
      <c r="L256" t="e">
        <f t="shared" ca="1" si="59"/>
        <v>#N/A</v>
      </c>
      <c r="M256" t="e">
        <f t="shared" ca="1" si="59"/>
        <v>#N/A</v>
      </c>
      <c r="N256" t="e">
        <f t="shared" ca="1" si="59"/>
        <v>#N/A</v>
      </c>
      <c r="O256" t="e">
        <f t="shared" ca="1" si="59"/>
        <v>#N/A</v>
      </c>
      <c r="P256" t="e">
        <f t="shared" ca="1" si="59"/>
        <v>#N/A</v>
      </c>
      <c r="Q256" t="e">
        <f t="shared" ca="1" si="59"/>
        <v>#N/A</v>
      </c>
      <c r="R256" t="e">
        <f t="shared" ca="1" si="59"/>
        <v>#N/A</v>
      </c>
      <c r="S256" t="e">
        <f t="shared" ca="1" si="46"/>
        <v>#N/A</v>
      </c>
      <c r="T256" t="e">
        <f t="shared" ca="1" si="47"/>
        <v>#N/A</v>
      </c>
      <c r="U256" t="e">
        <f ca="1">IF(AND($C256='Funnel setup'!$K$3&amp;'Funnel setup'!$K$6&amp;'Funnel setup'!$K$7&amp;'Funnel setup'!$K$4,'Funnel Lookup'!I256="*",'Funnel Lookup'!I256="*"),#N/A,IF(AND($C256='Funnel setup'!$K$3&amp;'Funnel setup'!$K$6&amp;'Funnel setup'!$K$7&amp;'Funnel setup'!$K$4,'Funnel Lookup'!I256&gt;29,'Funnel Lookup'!I256&lt;&gt;"-"),'Funnel Lookup'!I256,#N/A))</f>
        <v>#N/A</v>
      </c>
      <c r="V256" t="e">
        <f ca="1">IF(AND($C256='Funnel setup'!$K$3&amp;'Funnel setup'!$K$6&amp;'Funnel setup'!$K$7&amp;'Funnel setup'!$K$4,'Funnel Lookup'!I256="*",'Funnel Lookup'!I256="*"),#N/A,IF(AND($C256='Funnel setup'!$K$3&amp;'Funnel setup'!$K$6&amp;'Funnel setup'!$K$7&amp;'Funnel setup'!$K$4,'Funnel Lookup'!I256&gt;29,'Funnel Lookup'!I256&lt;&gt;"-"),'Funnel Lookup'!Q256,#N/A))</f>
        <v>#N/A</v>
      </c>
    </row>
    <row r="257" spans="1:22" x14ac:dyDescent="0.25">
      <c r="A257">
        <v>255</v>
      </c>
      <c r="B257" t="e">
        <f t="shared" ca="1" si="58"/>
        <v>#N/A</v>
      </c>
      <c r="C257" t="e">
        <f t="shared" ca="1" si="58"/>
        <v>#N/A</v>
      </c>
      <c r="D257" t="e">
        <f t="shared" ca="1" si="58"/>
        <v>#N/A</v>
      </c>
      <c r="E257" t="e">
        <f t="shared" ca="1" si="58"/>
        <v>#N/A</v>
      </c>
      <c r="F257" t="e">
        <f t="shared" ca="1" si="58"/>
        <v>#N/A</v>
      </c>
      <c r="G257" t="e">
        <f t="shared" ca="1" si="58"/>
        <v>#N/A</v>
      </c>
      <c r="H257" t="e">
        <f t="shared" ca="1" si="58"/>
        <v>#N/A</v>
      </c>
      <c r="I257" t="e">
        <f t="shared" ca="1" si="58"/>
        <v>#N/A</v>
      </c>
      <c r="J257" t="e">
        <f t="shared" ca="1" si="58"/>
        <v>#N/A</v>
      </c>
      <c r="K257" t="e">
        <f t="shared" ca="1" si="58"/>
        <v>#N/A</v>
      </c>
      <c r="L257" t="e">
        <f t="shared" ca="1" si="59"/>
        <v>#N/A</v>
      </c>
      <c r="M257" t="e">
        <f t="shared" ca="1" si="59"/>
        <v>#N/A</v>
      </c>
      <c r="N257" t="e">
        <f t="shared" ca="1" si="59"/>
        <v>#N/A</v>
      </c>
      <c r="O257" t="e">
        <f t="shared" ca="1" si="59"/>
        <v>#N/A</v>
      </c>
      <c r="P257" t="e">
        <f t="shared" ca="1" si="59"/>
        <v>#N/A</v>
      </c>
      <c r="Q257" t="e">
        <f t="shared" ca="1" si="59"/>
        <v>#N/A</v>
      </c>
      <c r="R257" t="e">
        <f t="shared" ca="1" si="59"/>
        <v>#N/A</v>
      </c>
      <c r="S257" t="e">
        <f t="shared" ca="1" si="46"/>
        <v>#N/A</v>
      </c>
      <c r="T257" t="e">
        <f t="shared" ca="1" si="47"/>
        <v>#N/A</v>
      </c>
      <c r="U257" t="e">
        <f ca="1">IF(AND($C257='Funnel setup'!$K$3&amp;'Funnel setup'!$K$6&amp;'Funnel setup'!$K$7&amp;'Funnel setup'!$K$4,'Funnel Lookup'!I257="*",'Funnel Lookup'!I257="*"),#N/A,IF(AND($C257='Funnel setup'!$K$3&amp;'Funnel setup'!$K$6&amp;'Funnel setup'!$K$7&amp;'Funnel setup'!$K$4,'Funnel Lookup'!I257&gt;29,'Funnel Lookup'!I257&lt;&gt;"-"),'Funnel Lookup'!I257,#N/A))</f>
        <v>#N/A</v>
      </c>
      <c r="V257" t="e">
        <f ca="1">IF(AND($C257='Funnel setup'!$K$3&amp;'Funnel setup'!$K$6&amp;'Funnel setup'!$K$7&amp;'Funnel setup'!$K$4,'Funnel Lookup'!I257="*",'Funnel Lookup'!I257="*"),#N/A,IF(AND($C257='Funnel setup'!$K$3&amp;'Funnel setup'!$K$6&amp;'Funnel setup'!$K$7&amp;'Funnel setup'!$K$4,'Funnel Lookup'!I257&gt;29,'Funnel Lookup'!I257&lt;&gt;"-"),'Funnel Lookup'!Q257,#N/A))</f>
        <v>#N/A</v>
      </c>
    </row>
    <row r="258" spans="1:22" x14ac:dyDescent="0.25">
      <c r="A258">
        <v>256</v>
      </c>
      <c r="B258" t="e">
        <f t="shared" ca="1" si="58"/>
        <v>#N/A</v>
      </c>
      <c r="C258" t="e">
        <f t="shared" ca="1" si="58"/>
        <v>#N/A</v>
      </c>
      <c r="D258" t="e">
        <f t="shared" ca="1" si="58"/>
        <v>#N/A</v>
      </c>
      <c r="E258" t="e">
        <f t="shared" ca="1" si="58"/>
        <v>#N/A</v>
      </c>
      <c r="F258" t="e">
        <f t="shared" ca="1" si="58"/>
        <v>#N/A</v>
      </c>
      <c r="G258" t="e">
        <f t="shared" ca="1" si="58"/>
        <v>#N/A</v>
      </c>
      <c r="H258" t="e">
        <f t="shared" ca="1" si="58"/>
        <v>#N/A</v>
      </c>
      <c r="I258" t="e">
        <f t="shared" ca="1" si="58"/>
        <v>#N/A</v>
      </c>
      <c r="J258" t="e">
        <f t="shared" ca="1" si="58"/>
        <v>#N/A</v>
      </c>
      <c r="K258" t="e">
        <f t="shared" ca="1" si="58"/>
        <v>#N/A</v>
      </c>
      <c r="L258" t="e">
        <f t="shared" ca="1" si="59"/>
        <v>#N/A</v>
      </c>
      <c r="M258" t="e">
        <f t="shared" ca="1" si="59"/>
        <v>#N/A</v>
      </c>
      <c r="N258" t="e">
        <f t="shared" ca="1" si="59"/>
        <v>#N/A</v>
      </c>
      <c r="O258" t="e">
        <f t="shared" ca="1" si="59"/>
        <v>#N/A</v>
      </c>
      <c r="P258" t="e">
        <f t="shared" ca="1" si="59"/>
        <v>#N/A</v>
      </c>
      <c r="Q258" t="e">
        <f t="shared" ca="1" si="59"/>
        <v>#N/A</v>
      </c>
      <c r="R258" t="e">
        <f t="shared" ca="1" si="59"/>
        <v>#N/A</v>
      </c>
      <c r="S258" t="e">
        <f t="shared" ca="1" si="46"/>
        <v>#N/A</v>
      </c>
      <c r="T258" t="e">
        <f t="shared" ca="1" si="47"/>
        <v>#N/A</v>
      </c>
      <c r="U258" t="e">
        <f ca="1">IF(AND($C258='Funnel setup'!$K$3&amp;'Funnel setup'!$K$6&amp;'Funnel setup'!$K$7&amp;'Funnel setup'!$K$4,'Funnel Lookup'!I258="*",'Funnel Lookup'!I258="*"),#N/A,IF(AND($C258='Funnel setup'!$K$3&amp;'Funnel setup'!$K$6&amp;'Funnel setup'!$K$7&amp;'Funnel setup'!$K$4,'Funnel Lookup'!I258&gt;29,'Funnel Lookup'!I258&lt;&gt;"-"),'Funnel Lookup'!I258,#N/A))</f>
        <v>#N/A</v>
      </c>
      <c r="V258" t="e">
        <f ca="1">IF(AND($C258='Funnel setup'!$K$3&amp;'Funnel setup'!$K$6&amp;'Funnel setup'!$K$7&amp;'Funnel setup'!$K$4,'Funnel Lookup'!I258="*",'Funnel Lookup'!I258="*"),#N/A,IF(AND($C258='Funnel setup'!$K$3&amp;'Funnel setup'!$K$6&amp;'Funnel setup'!$K$7&amp;'Funnel setup'!$K$4,'Funnel Lookup'!I258&gt;29,'Funnel Lookup'!I258&lt;&gt;"-"),'Funnel Lookup'!Q258,#N/A))</f>
        <v>#N/A</v>
      </c>
    </row>
    <row r="259" spans="1:22" x14ac:dyDescent="0.25">
      <c r="A259">
        <v>257</v>
      </c>
      <c r="B259" t="e">
        <f t="shared" ca="1" si="58"/>
        <v>#N/A</v>
      </c>
      <c r="C259" t="e">
        <f t="shared" ca="1" si="58"/>
        <v>#N/A</v>
      </c>
      <c r="D259" t="e">
        <f t="shared" ca="1" si="58"/>
        <v>#N/A</v>
      </c>
      <c r="E259" t="e">
        <f t="shared" ca="1" si="58"/>
        <v>#N/A</v>
      </c>
      <c r="F259" t="e">
        <f t="shared" ca="1" si="58"/>
        <v>#N/A</v>
      </c>
      <c r="G259" t="e">
        <f t="shared" ca="1" si="58"/>
        <v>#N/A</v>
      </c>
      <c r="H259" t="e">
        <f t="shared" ca="1" si="58"/>
        <v>#N/A</v>
      </c>
      <c r="I259" t="e">
        <f t="shared" ca="1" si="58"/>
        <v>#N/A</v>
      </c>
      <c r="J259" t="e">
        <f t="shared" ca="1" si="58"/>
        <v>#N/A</v>
      </c>
      <c r="K259" t="e">
        <f t="shared" ca="1" si="58"/>
        <v>#N/A</v>
      </c>
      <c r="L259" t="e">
        <f t="shared" ca="1" si="59"/>
        <v>#N/A</v>
      </c>
      <c r="M259" t="e">
        <f t="shared" ca="1" si="59"/>
        <v>#N/A</v>
      </c>
      <c r="N259" t="e">
        <f t="shared" ca="1" si="59"/>
        <v>#N/A</v>
      </c>
      <c r="O259" t="e">
        <f t="shared" ca="1" si="59"/>
        <v>#N/A</v>
      </c>
      <c r="P259" t="e">
        <f t="shared" ca="1" si="59"/>
        <v>#N/A</v>
      </c>
      <c r="Q259" t="e">
        <f t="shared" ca="1" si="59"/>
        <v>#N/A</v>
      </c>
      <c r="R259" t="e">
        <f t="shared" ca="1" si="59"/>
        <v>#N/A</v>
      </c>
      <c r="S259" t="e">
        <f t="shared" ref="S259:S322" ca="1" si="60">IF($Q259="*",#N/A,IF($Q259="-",#N/A,I259))</f>
        <v>#N/A</v>
      </c>
      <c r="T259" t="e">
        <f t="shared" ref="T259:T322" ca="1" si="61">IF($Q259="*",#N/A,IF($Q259="-",#N/A,Q259))</f>
        <v>#N/A</v>
      </c>
      <c r="U259" t="e">
        <f ca="1">IF(AND($C259='Funnel setup'!$K$3&amp;'Funnel setup'!$K$6&amp;'Funnel setup'!$K$7&amp;'Funnel setup'!$K$4,'Funnel Lookup'!I259="*",'Funnel Lookup'!I259="*"),#N/A,IF(AND($C259='Funnel setup'!$K$3&amp;'Funnel setup'!$K$6&amp;'Funnel setup'!$K$7&amp;'Funnel setup'!$K$4,'Funnel Lookup'!I259&gt;29,'Funnel Lookup'!I259&lt;&gt;"-"),'Funnel Lookup'!I259,#N/A))</f>
        <v>#N/A</v>
      </c>
      <c r="V259" t="e">
        <f ca="1">IF(AND($C259='Funnel setup'!$K$3&amp;'Funnel setup'!$K$6&amp;'Funnel setup'!$K$7&amp;'Funnel setup'!$K$4,'Funnel Lookup'!I259="*",'Funnel Lookup'!I259="*"),#N/A,IF(AND($C259='Funnel setup'!$K$3&amp;'Funnel setup'!$K$6&amp;'Funnel setup'!$K$7&amp;'Funnel setup'!$K$4,'Funnel Lookup'!I259&gt;29,'Funnel Lookup'!I259&lt;&gt;"-"),'Funnel Lookup'!Q259,#N/A))</f>
        <v>#N/A</v>
      </c>
    </row>
    <row r="260" spans="1:22" x14ac:dyDescent="0.25">
      <c r="A260">
        <v>258</v>
      </c>
      <c r="B260" t="e">
        <f t="shared" ca="1" si="58"/>
        <v>#N/A</v>
      </c>
      <c r="C260" t="e">
        <f t="shared" ca="1" si="58"/>
        <v>#N/A</v>
      </c>
      <c r="D260" t="e">
        <f t="shared" ca="1" si="58"/>
        <v>#N/A</v>
      </c>
      <c r="E260" t="e">
        <f t="shared" ca="1" si="58"/>
        <v>#N/A</v>
      </c>
      <c r="F260" t="e">
        <f t="shared" ca="1" si="58"/>
        <v>#N/A</v>
      </c>
      <c r="G260" t="e">
        <f t="shared" ca="1" si="58"/>
        <v>#N/A</v>
      </c>
      <c r="H260" t="e">
        <f t="shared" ca="1" si="58"/>
        <v>#N/A</v>
      </c>
      <c r="I260" t="e">
        <f t="shared" ca="1" si="58"/>
        <v>#N/A</v>
      </c>
      <c r="J260" t="e">
        <f t="shared" ca="1" si="58"/>
        <v>#N/A</v>
      </c>
      <c r="K260" t="e">
        <f t="shared" ca="1" si="58"/>
        <v>#N/A</v>
      </c>
      <c r="L260" t="e">
        <f t="shared" ca="1" si="59"/>
        <v>#N/A</v>
      </c>
      <c r="M260" t="e">
        <f t="shared" ca="1" si="59"/>
        <v>#N/A</v>
      </c>
      <c r="N260" t="e">
        <f t="shared" ca="1" si="59"/>
        <v>#N/A</v>
      </c>
      <c r="O260" t="e">
        <f t="shared" ca="1" si="59"/>
        <v>#N/A</v>
      </c>
      <c r="P260" t="e">
        <f t="shared" ca="1" si="59"/>
        <v>#N/A</v>
      </c>
      <c r="Q260" t="e">
        <f t="shared" ca="1" si="59"/>
        <v>#N/A</v>
      </c>
      <c r="R260" t="e">
        <f t="shared" ca="1" si="59"/>
        <v>#N/A</v>
      </c>
      <c r="S260" t="e">
        <f t="shared" ca="1" si="60"/>
        <v>#N/A</v>
      </c>
      <c r="T260" t="e">
        <f t="shared" ca="1" si="61"/>
        <v>#N/A</v>
      </c>
      <c r="U260" t="e">
        <f ca="1">IF(AND($C260='Funnel setup'!$K$3&amp;'Funnel setup'!$K$6&amp;'Funnel setup'!$K$7&amp;'Funnel setup'!$K$4,'Funnel Lookup'!I260="*",'Funnel Lookup'!I260="*"),#N/A,IF(AND($C260='Funnel setup'!$K$3&amp;'Funnel setup'!$K$6&amp;'Funnel setup'!$K$7&amp;'Funnel setup'!$K$4,'Funnel Lookup'!I260&gt;29,'Funnel Lookup'!I260&lt;&gt;"-"),'Funnel Lookup'!I260,#N/A))</f>
        <v>#N/A</v>
      </c>
      <c r="V260" t="e">
        <f ca="1">IF(AND($C260='Funnel setup'!$K$3&amp;'Funnel setup'!$K$6&amp;'Funnel setup'!$K$7&amp;'Funnel setup'!$K$4,'Funnel Lookup'!I260="*",'Funnel Lookup'!I260="*"),#N/A,IF(AND($C260='Funnel setup'!$K$3&amp;'Funnel setup'!$K$6&amp;'Funnel setup'!$K$7&amp;'Funnel setup'!$K$4,'Funnel Lookup'!I260&gt;29,'Funnel Lookup'!I260&lt;&gt;"-"),'Funnel Lookup'!Q260,#N/A))</f>
        <v>#N/A</v>
      </c>
    </row>
    <row r="261" spans="1:22" x14ac:dyDescent="0.25">
      <c r="A261">
        <v>259</v>
      </c>
      <c r="B261" t="e">
        <f t="shared" ca="1" si="58"/>
        <v>#N/A</v>
      </c>
      <c r="C261" t="e">
        <f t="shared" ca="1" si="58"/>
        <v>#N/A</v>
      </c>
      <c r="D261" t="e">
        <f t="shared" ca="1" si="58"/>
        <v>#N/A</v>
      </c>
      <c r="E261" t="e">
        <f t="shared" ca="1" si="58"/>
        <v>#N/A</v>
      </c>
      <c r="F261" t="e">
        <f t="shared" ca="1" si="58"/>
        <v>#N/A</v>
      </c>
      <c r="G261" t="e">
        <f t="shared" ca="1" si="58"/>
        <v>#N/A</v>
      </c>
      <c r="H261" t="e">
        <f t="shared" ca="1" si="58"/>
        <v>#N/A</v>
      </c>
      <c r="I261" t="e">
        <f t="shared" ca="1" si="58"/>
        <v>#N/A</v>
      </c>
      <c r="J261" t="e">
        <f t="shared" ca="1" si="58"/>
        <v>#N/A</v>
      </c>
      <c r="K261" t="e">
        <f t="shared" ca="1" si="58"/>
        <v>#N/A</v>
      </c>
      <c r="L261" t="e">
        <f t="shared" ca="1" si="59"/>
        <v>#N/A</v>
      </c>
      <c r="M261" t="e">
        <f t="shared" ca="1" si="59"/>
        <v>#N/A</v>
      </c>
      <c r="N261" t="e">
        <f t="shared" ca="1" si="59"/>
        <v>#N/A</v>
      </c>
      <c r="O261" t="e">
        <f t="shared" ca="1" si="59"/>
        <v>#N/A</v>
      </c>
      <c r="P261" t="e">
        <f t="shared" ca="1" si="59"/>
        <v>#N/A</v>
      </c>
      <c r="Q261" t="e">
        <f t="shared" ca="1" si="59"/>
        <v>#N/A</v>
      </c>
      <c r="R261" t="e">
        <f t="shared" ca="1" si="59"/>
        <v>#N/A</v>
      </c>
      <c r="S261" t="e">
        <f t="shared" ca="1" si="60"/>
        <v>#N/A</v>
      </c>
      <c r="T261" t="e">
        <f t="shared" ca="1" si="61"/>
        <v>#N/A</v>
      </c>
      <c r="U261" t="e">
        <f ca="1">IF(AND($C261='Funnel setup'!$K$3&amp;'Funnel setup'!$K$6&amp;'Funnel setup'!$K$7&amp;'Funnel setup'!$K$4,'Funnel Lookup'!I261="*",'Funnel Lookup'!I261="*"),#N/A,IF(AND($C261='Funnel setup'!$K$3&amp;'Funnel setup'!$K$6&amp;'Funnel setup'!$K$7&amp;'Funnel setup'!$K$4,'Funnel Lookup'!I261&gt;29,'Funnel Lookup'!I261&lt;&gt;"-"),'Funnel Lookup'!I261,#N/A))</f>
        <v>#N/A</v>
      </c>
      <c r="V261" t="e">
        <f ca="1">IF(AND($C261='Funnel setup'!$K$3&amp;'Funnel setup'!$K$6&amp;'Funnel setup'!$K$7&amp;'Funnel setup'!$K$4,'Funnel Lookup'!I261="*",'Funnel Lookup'!I261="*"),#N/A,IF(AND($C261='Funnel setup'!$K$3&amp;'Funnel setup'!$K$6&amp;'Funnel setup'!$K$7&amp;'Funnel setup'!$K$4,'Funnel Lookup'!I261&gt;29,'Funnel Lookup'!I261&lt;&gt;"-"),'Funnel Lookup'!Q261,#N/A))</f>
        <v>#N/A</v>
      </c>
    </row>
    <row r="262" spans="1:22" x14ac:dyDescent="0.25">
      <c r="A262">
        <v>260</v>
      </c>
      <c r="B262" t="e">
        <f t="shared" ca="1" si="58"/>
        <v>#N/A</v>
      </c>
      <c r="C262" t="e">
        <f t="shared" ca="1" si="58"/>
        <v>#N/A</v>
      </c>
      <c r="D262" t="e">
        <f t="shared" ca="1" si="58"/>
        <v>#N/A</v>
      </c>
      <c r="E262" t="e">
        <f t="shared" ca="1" si="58"/>
        <v>#N/A</v>
      </c>
      <c r="F262" t="e">
        <f t="shared" ca="1" si="58"/>
        <v>#N/A</v>
      </c>
      <c r="G262" t="e">
        <f t="shared" ca="1" si="58"/>
        <v>#N/A</v>
      </c>
      <c r="H262" t="e">
        <f t="shared" ca="1" si="58"/>
        <v>#N/A</v>
      </c>
      <c r="I262" t="e">
        <f t="shared" ca="1" si="58"/>
        <v>#N/A</v>
      </c>
      <c r="J262" t="e">
        <f t="shared" ca="1" si="58"/>
        <v>#N/A</v>
      </c>
      <c r="K262" t="e">
        <f t="shared" ca="1" si="58"/>
        <v>#N/A</v>
      </c>
      <c r="L262" t="e">
        <f t="shared" ca="1" si="59"/>
        <v>#N/A</v>
      </c>
      <c r="M262" t="e">
        <f t="shared" ca="1" si="59"/>
        <v>#N/A</v>
      </c>
      <c r="N262" t="e">
        <f t="shared" ca="1" si="59"/>
        <v>#N/A</v>
      </c>
      <c r="O262" t="e">
        <f t="shared" ca="1" si="59"/>
        <v>#N/A</v>
      </c>
      <c r="P262" t="e">
        <f t="shared" ca="1" si="59"/>
        <v>#N/A</v>
      </c>
      <c r="Q262" t="e">
        <f t="shared" ca="1" si="59"/>
        <v>#N/A</v>
      </c>
      <c r="R262" t="e">
        <f t="shared" ca="1" si="59"/>
        <v>#N/A</v>
      </c>
      <c r="S262" t="e">
        <f t="shared" ca="1" si="60"/>
        <v>#N/A</v>
      </c>
      <c r="T262" t="e">
        <f t="shared" ca="1" si="61"/>
        <v>#N/A</v>
      </c>
      <c r="U262" t="e">
        <f ca="1">IF(AND($C262='Funnel setup'!$K$3&amp;'Funnel setup'!$K$6&amp;'Funnel setup'!$K$7&amp;'Funnel setup'!$K$4,'Funnel Lookup'!I262="*",'Funnel Lookup'!I262="*"),#N/A,IF(AND($C262='Funnel setup'!$K$3&amp;'Funnel setup'!$K$6&amp;'Funnel setup'!$K$7&amp;'Funnel setup'!$K$4,'Funnel Lookup'!I262&gt;29,'Funnel Lookup'!I262&lt;&gt;"-"),'Funnel Lookup'!I262,#N/A))</f>
        <v>#N/A</v>
      </c>
      <c r="V262" t="e">
        <f ca="1">IF(AND($C262='Funnel setup'!$K$3&amp;'Funnel setup'!$K$6&amp;'Funnel setup'!$K$7&amp;'Funnel setup'!$K$4,'Funnel Lookup'!I262="*",'Funnel Lookup'!I262="*"),#N/A,IF(AND($C262='Funnel setup'!$K$3&amp;'Funnel setup'!$K$6&amp;'Funnel setup'!$K$7&amp;'Funnel setup'!$K$4,'Funnel Lookup'!I262&gt;29,'Funnel Lookup'!I262&lt;&gt;"-"),'Funnel Lookup'!Q262,#N/A))</f>
        <v>#N/A</v>
      </c>
    </row>
    <row r="263" spans="1:22" x14ac:dyDescent="0.25">
      <c r="A263">
        <v>261</v>
      </c>
      <c r="B263" t="e">
        <f t="shared" ref="B263:K272" ca="1" si="62">VLOOKUP($A263,Funnel_Data,B$1,FALSE)</f>
        <v>#N/A</v>
      </c>
      <c r="C263" t="e">
        <f t="shared" ca="1" si="62"/>
        <v>#N/A</v>
      </c>
      <c r="D263" t="e">
        <f t="shared" ca="1" si="62"/>
        <v>#N/A</v>
      </c>
      <c r="E263" t="e">
        <f t="shared" ca="1" si="62"/>
        <v>#N/A</v>
      </c>
      <c r="F263" t="e">
        <f t="shared" ca="1" si="62"/>
        <v>#N/A</v>
      </c>
      <c r="G263" t="e">
        <f t="shared" ca="1" si="62"/>
        <v>#N/A</v>
      </c>
      <c r="H263" t="e">
        <f t="shared" ca="1" si="62"/>
        <v>#N/A</v>
      </c>
      <c r="I263" t="e">
        <f t="shared" ca="1" si="62"/>
        <v>#N/A</v>
      </c>
      <c r="J263" t="e">
        <f t="shared" ca="1" si="62"/>
        <v>#N/A</v>
      </c>
      <c r="K263" t="e">
        <f t="shared" ca="1" si="62"/>
        <v>#N/A</v>
      </c>
      <c r="L263" t="e">
        <f t="shared" ref="L263:R272" ca="1" si="63">VLOOKUP($A263,Funnel_Data,L$1,FALSE)</f>
        <v>#N/A</v>
      </c>
      <c r="M263" t="e">
        <f t="shared" ca="1" si="63"/>
        <v>#N/A</v>
      </c>
      <c r="N263" t="e">
        <f t="shared" ca="1" si="63"/>
        <v>#N/A</v>
      </c>
      <c r="O263" t="e">
        <f t="shared" ca="1" si="63"/>
        <v>#N/A</v>
      </c>
      <c r="P263" t="e">
        <f t="shared" ca="1" si="63"/>
        <v>#N/A</v>
      </c>
      <c r="Q263" t="e">
        <f t="shared" ca="1" si="63"/>
        <v>#N/A</v>
      </c>
      <c r="R263" t="e">
        <f t="shared" ca="1" si="63"/>
        <v>#N/A</v>
      </c>
      <c r="S263" t="e">
        <f t="shared" ca="1" si="60"/>
        <v>#N/A</v>
      </c>
      <c r="T263" t="e">
        <f t="shared" ca="1" si="61"/>
        <v>#N/A</v>
      </c>
      <c r="U263" t="e">
        <f ca="1">IF(AND($C263='Funnel setup'!$K$3&amp;'Funnel setup'!$K$6&amp;'Funnel setup'!$K$7&amp;'Funnel setup'!$K$4,'Funnel Lookup'!I263="*",'Funnel Lookup'!I263="*"),#N/A,IF(AND($C263='Funnel setup'!$K$3&amp;'Funnel setup'!$K$6&amp;'Funnel setup'!$K$7&amp;'Funnel setup'!$K$4,'Funnel Lookup'!I263&gt;29,'Funnel Lookup'!I263&lt;&gt;"-"),'Funnel Lookup'!I263,#N/A))</f>
        <v>#N/A</v>
      </c>
      <c r="V263" t="e">
        <f ca="1">IF(AND($C263='Funnel setup'!$K$3&amp;'Funnel setup'!$K$6&amp;'Funnel setup'!$K$7&amp;'Funnel setup'!$K$4,'Funnel Lookup'!I263="*",'Funnel Lookup'!I263="*"),#N/A,IF(AND($C263='Funnel setup'!$K$3&amp;'Funnel setup'!$K$6&amp;'Funnel setup'!$K$7&amp;'Funnel setup'!$K$4,'Funnel Lookup'!I263&gt;29,'Funnel Lookup'!I263&lt;&gt;"-"),'Funnel Lookup'!Q263,#N/A))</f>
        <v>#N/A</v>
      </c>
    </row>
    <row r="264" spans="1:22" x14ac:dyDescent="0.25">
      <c r="A264">
        <v>262</v>
      </c>
      <c r="B264" t="e">
        <f t="shared" ca="1" si="62"/>
        <v>#N/A</v>
      </c>
      <c r="C264" t="e">
        <f t="shared" ca="1" si="62"/>
        <v>#N/A</v>
      </c>
      <c r="D264" t="e">
        <f t="shared" ca="1" si="62"/>
        <v>#N/A</v>
      </c>
      <c r="E264" t="e">
        <f t="shared" ca="1" si="62"/>
        <v>#N/A</v>
      </c>
      <c r="F264" t="e">
        <f t="shared" ca="1" si="62"/>
        <v>#N/A</v>
      </c>
      <c r="G264" t="e">
        <f t="shared" ca="1" si="62"/>
        <v>#N/A</v>
      </c>
      <c r="H264" t="e">
        <f t="shared" ca="1" si="62"/>
        <v>#N/A</v>
      </c>
      <c r="I264" t="e">
        <f t="shared" ca="1" si="62"/>
        <v>#N/A</v>
      </c>
      <c r="J264" t="e">
        <f t="shared" ca="1" si="62"/>
        <v>#N/A</v>
      </c>
      <c r="K264" t="e">
        <f t="shared" ca="1" si="62"/>
        <v>#N/A</v>
      </c>
      <c r="L264" t="e">
        <f t="shared" ca="1" si="63"/>
        <v>#N/A</v>
      </c>
      <c r="M264" t="e">
        <f t="shared" ca="1" si="63"/>
        <v>#N/A</v>
      </c>
      <c r="N264" t="e">
        <f t="shared" ca="1" si="63"/>
        <v>#N/A</v>
      </c>
      <c r="O264" t="e">
        <f t="shared" ca="1" si="63"/>
        <v>#N/A</v>
      </c>
      <c r="P264" t="e">
        <f t="shared" ca="1" si="63"/>
        <v>#N/A</v>
      </c>
      <c r="Q264" t="e">
        <f t="shared" ca="1" si="63"/>
        <v>#N/A</v>
      </c>
      <c r="R264" t="e">
        <f t="shared" ca="1" si="63"/>
        <v>#N/A</v>
      </c>
      <c r="S264" t="e">
        <f t="shared" ca="1" si="60"/>
        <v>#N/A</v>
      </c>
      <c r="T264" t="e">
        <f t="shared" ca="1" si="61"/>
        <v>#N/A</v>
      </c>
      <c r="U264" t="e">
        <f ca="1">IF(AND($C264='Funnel setup'!$K$3&amp;'Funnel setup'!$K$6&amp;'Funnel setup'!$K$7&amp;'Funnel setup'!$K$4,'Funnel Lookup'!I264="*",'Funnel Lookup'!I264="*"),#N/A,IF(AND($C264='Funnel setup'!$K$3&amp;'Funnel setup'!$K$6&amp;'Funnel setup'!$K$7&amp;'Funnel setup'!$K$4,'Funnel Lookup'!I264&gt;29,'Funnel Lookup'!I264&lt;&gt;"-"),'Funnel Lookup'!I264,#N/A))</f>
        <v>#N/A</v>
      </c>
      <c r="V264" t="e">
        <f ca="1">IF(AND($C264='Funnel setup'!$K$3&amp;'Funnel setup'!$K$6&amp;'Funnel setup'!$K$7&amp;'Funnel setup'!$K$4,'Funnel Lookup'!I264="*",'Funnel Lookup'!I264="*"),#N/A,IF(AND($C264='Funnel setup'!$K$3&amp;'Funnel setup'!$K$6&amp;'Funnel setup'!$K$7&amp;'Funnel setup'!$K$4,'Funnel Lookup'!I264&gt;29,'Funnel Lookup'!I264&lt;&gt;"-"),'Funnel Lookup'!Q264,#N/A))</f>
        <v>#N/A</v>
      </c>
    </row>
    <row r="265" spans="1:22" x14ac:dyDescent="0.25">
      <c r="A265">
        <v>263</v>
      </c>
      <c r="B265" t="e">
        <f t="shared" ca="1" si="62"/>
        <v>#N/A</v>
      </c>
      <c r="C265" t="e">
        <f t="shared" ca="1" si="62"/>
        <v>#N/A</v>
      </c>
      <c r="D265" t="e">
        <f t="shared" ca="1" si="62"/>
        <v>#N/A</v>
      </c>
      <c r="E265" t="e">
        <f t="shared" ca="1" si="62"/>
        <v>#N/A</v>
      </c>
      <c r="F265" t="e">
        <f t="shared" ca="1" si="62"/>
        <v>#N/A</v>
      </c>
      <c r="G265" t="e">
        <f t="shared" ca="1" si="62"/>
        <v>#N/A</v>
      </c>
      <c r="H265" t="e">
        <f t="shared" ca="1" si="62"/>
        <v>#N/A</v>
      </c>
      <c r="I265" t="e">
        <f t="shared" ca="1" si="62"/>
        <v>#N/A</v>
      </c>
      <c r="J265" t="e">
        <f t="shared" ca="1" si="62"/>
        <v>#N/A</v>
      </c>
      <c r="K265" t="e">
        <f t="shared" ca="1" si="62"/>
        <v>#N/A</v>
      </c>
      <c r="L265" t="e">
        <f t="shared" ca="1" si="63"/>
        <v>#N/A</v>
      </c>
      <c r="M265" t="e">
        <f t="shared" ca="1" si="63"/>
        <v>#N/A</v>
      </c>
      <c r="N265" t="e">
        <f t="shared" ca="1" si="63"/>
        <v>#N/A</v>
      </c>
      <c r="O265" t="e">
        <f t="shared" ca="1" si="63"/>
        <v>#N/A</v>
      </c>
      <c r="P265" t="e">
        <f t="shared" ca="1" si="63"/>
        <v>#N/A</v>
      </c>
      <c r="Q265" t="e">
        <f t="shared" ca="1" si="63"/>
        <v>#N/A</v>
      </c>
      <c r="R265" t="e">
        <f t="shared" ca="1" si="63"/>
        <v>#N/A</v>
      </c>
      <c r="S265" t="e">
        <f t="shared" ca="1" si="60"/>
        <v>#N/A</v>
      </c>
      <c r="T265" t="e">
        <f t="shared" ca="1" si="61"/>
        <v>#N/A</v>
      </c>
      <c r="U265" t="e">
        <f ca="1">IF(AND($C265='Funnel setup'!$K$3&amp;'Funnel setup'!$K$6&amp;'Funnel setup'!$K$7&amp;'Funnel setup'!$K$4,'Funnel Lookup'!I265="*",'Funnel Lookup'!I265="*"),#N/A,IF(AND($C265='Funnel setup'!$K$3&amp;'Funnel setup'!$K$6&amp;'Funnel setup'!$K$7&amp;'Funnel setup'!$K$4,'Funnel Lookup'!I265&gt;29,'Funnel Lookup'!I265&lt;&gt;"-"),'Funnel Lookup'!I265,#N/A))</f>
        <v>#N/A</v>
      </c>
      <c r="V265" t="e">
        <f ca="1">IF(AND($C265='Funnel setup'!$K$3&amp;'Funnel setup'!$K$6&amp;'Funnel setup'!$K$7&amp;'Funnel setup'!$K$4,'Funnel Lookup'!I265="*",'Funnel Lookup'!I265="*"),#N/A,IF(AND($C265='Funnel setup'!$K$3&amp;'Funnel setup'!$K$6&amp;'Funnel setup'!$K$7&amp;'Funnel setup'!$K$4,'Funnel Lookup'!I265&gt;29,'Funnel Lookup'!I265&lt;&gt;"-"),'Funnel Lookup'!Q265,#N/A))</f>
        <v>#N/A</v>
      </c>
    </row>
    <row r="266" spans="1:22" x14ac:dyDescent="0.25">
      <c r="A266">
        <v>264</v>
      </c>
      <c r="B266" t="e">
        <f t="shared" ca="1" si="62"/>
        <v>#N/A</v>
      </c>
      <c r="C266" t="e">
        <f t="shared" ca="1" si="62"/>
        <v>#N/A</v>
      </c>
      <c r="D266" t="e">
        <f t="shared" ca="1" si="62"/>
        <v>#N/A</v>
      </c>
      <c r="E266" t="e">
        <f t="shared" ca="1" si="62"/>
        <v>#N/A</v>
      </c>
      <c r="F266" t="e">
        <f t="shared" ca="1" si="62"/>
        <v>#N/A</v>
      </c>
      <c r="G266" t="e">
        <f t="shared" ca="1" si="62"/>
        <v>#N/A</v>
      </c>
      <c r="H266" t="e">
        <f t="shared" ca="1" si="62"/>
        <v>#N/A</v>
      </c>
      <c r="I266" t="e">
        <f t="shared" ca="1" si="62"/>
        <v>#N/A</v>
      </c>
      <c r="J266" t="e">
        <f t="shared" ca="1" si="62"/>
        <v>#N/A</v>
      </c>
      <c r="K266" t="e">
        <f t="shared" ca="1" si="62"/>
        <v>#N/A</v>
      </c>
      <c r="L266" t="e">
        <f t="shared" ca="1" si="63"/>
        <v>#N/A</v>
      </c>
      <c r="M266" t="e">
        <f t="shared" ca="1" si="63"/>
        <v>#N/A</v>
      </c>
      <c r="N266" t="e">
        <f t="shared" ca="1" si="63"/>
        <v>#N/A</v>
      </c>
      <c r="O266" t="e">
        <f t="shared" ca="1" si="63"/>
        <v>#N/A</v>
      </c>
      <c r="P266" t="e">
        <f t="shared" ca="1" si="63"/>
        <v>#N/A</v>
      </c>
      <c r="Q266" t="e">
        <f t="shared" ca="1" si="63"/>
        <v>#N/A</v>
      </c>
      <c r="R266" t="e">
        <f t="shared" ca="1" si="63"/>
        <v>#N/A</v>
      </c>
      <c r="S266" t="e">
        <f t="shared" ca="1" si="60"/>
        <v>#N/A</v>
      </c>
      <c r="T266" t="e">
        <f t="shared" ca="1" si="61"/>
        <v>#N/A</v>
      </c>
      <c r="U266" t="e">
        <f ca="1">IF(AND($C266='Funnel setup'!$K$3&amp;'Funnel setup'!$K$6&amp;'Funnel setup'!$K$7&amp;'Funnel setup'!$K$4,'Funnel Lookup'!I266="*",'Funnel Lookup'!I266="*"),#N/A,IF(AND($C266='Funnel setup'!$K$3&amp;'Funnel setup'!$K$6&amp;'Funnel setup'!$K$7&amp;'Funnel setup'!$K$4,'Funnel Lookup'!I266&gt;29,'Funnel Lookup'!I266&lt;&gt;"-"),'Funnel Lookup'!I266,#N/A))</f>
        <v>#N/A</v>
      </c>
      <c r="V266" t="e">
        <f ca="1">IF(AND($C266='Funnel setup'!$K$3&amp;'Funnel setup'!$K$6&amp;'Funnel setup'!$K$7&amp;'Funnel setup'!$K$4,'Funnel Lookup'!I266="*",'Funnel Lookup'!I266="*"),#N/A,IF(AND($C266='Funnel setup'!$K$3&amp;'Funnel setup'!$K$6&amp;'Funnel setup'!$K$7&amp;'Funnel setup'!$K$4,'Funnel Lookup'!I266&gt;29,'Funnel Lookup'!I266&lt;&gt;"-"),'Funnel Lookup'!Q266,#N/A))</f>
        <v>#N/A</v>
      </c>
    </row>
    <row r="267" spans="1:22" x14ac:dyDescent="0.25">
      <c r="A267">
        <v>265</v>
      </c>
      <c r="B267" t="e">
        <f t="shared" ca="1" si="62"/>
        <v>#N/A</v>
      </c>
      <c r="C267" t="e">
        <f t="shared" ca="1" si="62"/>
        <v>#N/A</v>
      </c>
      <c r="D267" t="e">
        <f t="shared" ca="1" si="62"/>
        <v>#N/A</v>
      </c>
      <c r="E267" t="e">
        <f t="shared" ca="1" si="62"/>
        <v>#N/A</v>
      </c>
      <c r="F267" t="e">
        <f t="shared" ca="1" si="62"/>
        <v>#N/A</v>
      </c>
      <c r="G267" t="e">
        <f t="shared" ca="1" si="62"/>
        <v>#N/A</v>
      </c>
      <c r="H267" t="e">
        <f t="shared" ca="1" si="62"/>
        <v>#N/A</v>
      </c>
      <c r="I267" t="e">
        <f t="shared" ca="1" si="62"/>
        <v>#N/A</v>
      </c>
      <c r="J267" t="e">
        <f t="shared" ca="1" si="62"/>
        <v>#N/A</v>
      </c>
      <c r="K267" t="e">
        <f t="shared" ca="1" si="62"/>
        <v>#N/A</v>
      </c>
      <c r="L267" t="e">
        <f t="shared" ca="1" si="63"/>
        <v>#N/A</v>
      </c>
      <c r="M267" t="e">
        <f t="shared" ca="1" si="63"/>
        <v>#N/A</v>
      </c>
      <c r="N267" t="e">
        <f t="shared" ca="1" si="63"/>
        <v>#N/A</v>
      </c>
      <c r="O267" t="e">
        <f t="shared" ca="1" si="63"/>
        <v>#N/A</v>
      </c>
      <c r="P267" t="e">
        <f t="shared" ca="1" si="63"/>
        <v>#N/A</v>
      </c>
      <c r="Q267" t="e">
        <f t="shared" ca="1" si="63"/>
        <v>#N/A</v>
      </c>
      <c r="R267" t="e">
        <f t="shared" ca="1" si="63"/>
        <v>#N/A</v>
      </c>
      <c r="S267" t="e">
        <f t="shared" ca="1" si="60"/>
        <v>#N/A</v>
      </c>
      <c r="T267" t="e">
        <f t="shared" ca="1" si="61"/>
        <v>#N/A</v>
      </c>
      <c r="U267" t="e">
        <f ca="1">IF(AND($C267='Funnel setup'!$K$3&amp;'Funnel setup'!$K$6&amp;'Funnel setup'!$K$7&amp;'Funnel setup'!$K$4,'Funnel Lookup'!I267="*",'Funnel Lookup'!I267="*"),#N/A,IF(AND($C267='Funnel setup'!$K$3&amp;'Funnel setup'!$K$6&amp;'Funnel setup'!$K$7&amp;'Funnel setup'!$K$4,'Funnel Lookup'!I267&gt;29,'Funnel Lookup'!I267&lt;&gt;"-"),'Funnel Lookup'!I267,#N/A))</f>
        <v>#N/A</v>
      </c>
      <c r="V267" t="e">
        <f ca="1">IF(AND($C267='Funnel setup'!$K$3&amp;'Funnel setup'!$K$6&amp;'Funnel setup'!$K$7&amp;'Funnel setup'!$K$4,'Funnel Lookup'!I267="*",'Funnel Lookup'!I267="*"),#N/A,IF(AND($C267='Funnel setup'!$K$3&amp;'Funnel setup'!$K$6&amp;'Funnel setup'!$K$7&amp;'Funnel setup'!$K$4,'Funnel Lookup'!I267&gt;29,'Funnel Lookup'!I267&lt;&gt;"-"),'Funnel Lookup'!Q267,#N/A))</f>
        <v>#N/A</v>
      </c>
    </row>
    <row r="268" spans="1:22" x14ac:dyDescent="0.25">
      <c r="A268">
        <v>266</v>
      </c>
      <c r="B268" t="e">
        <f t="shared" ca="1" si="62"/>
        <v>#N/A</v>
      </c>
      <c r="C268" t="e">
        <f t="shared" ca="1" si="62"/>
        <v>#N/A</v>
      </c>
      <c r="D268" t="e">
        <f t="shared" ca="1" si="62"/>
        <v>#N/A</v>
      </c>
      <c r="E268" t="e">
        <f t="shared" ca="1" si="62"/>
        <v>#N/A</v>
      </c>
      <c r="F268" t="e">
        <f t="shared" ca="1" si="62"/>
        <v>#N/A</v>
      </c>
      <c r="G268" t="e">
        <f t="shared" ca="1" si="62"/>
        <v>#N/A</v>
      </c>
      <c r="H268" t="e">
        <f t="shared" ca="1" si="62"/>
        <v>#N/A</v>
      </c>
      <c r="I268" t="e">
        <f t="shared" ca="1" si="62"/>
        <v>#N/A</v>
      </c>
      <c r="J268" t="e">
        <f t="shared" ca="1" si="62"/>
        <v>#N/A</v>
      </c>
      <c r="K268" t="e">
        <f t="shared" ca="1" si="62"/>
        <v>#N/A</v>
      </c>
      <c r="L268" t="e">
        <f t="shared" ca="1" si="63"/>
        <v>#N/A</v>
      </c>
      <c r="M268" t="e">
        <f t="shared" ca="1" si="63"/>
        <v>#N/A</v>
      </c>
      <c r="N268" t="e">
        <f t="shared" ca="1" si="63"/>
        <v>#N/A</v>
      </c>
      <c r="O268" t="e">
        <f t="shared" ca="1" si="63"/>
        <v>#N/A</v>
      </c>
      <c r="P268" t="e">
        <f t="shared" ca="1" si="63"/>
        <v>#N/A</v>
      </c>
      <c r="Q268" t="e">
        <f t="shared" ca="1" si="63"/>
        <v>#N/A</v>
      </c>
      <c r="R268" t="e">
        <f t="shared" ca="1" si="63"/>
        <v>#N/A</v>
      </c>
      <c r="S268" t="e">
        <f t="shared" ca="1" si="60"/>
        <v>#N/A</v>
      </c>
      <c r="T268" t="e">
        <f t="shared" ca="1" si="61"/>
        <v>#N/A</v>
      </c>
      <c r="U268" t="e">
        <f ca="1">IF(AND($C268='Funnel setup'!$K$3&amp;'Funnel setup'!$K$6&amp;'Funnel setup'!$K$7&amp;'Funnel setup'!$K$4,'Funnel Lookup'!I268="*",'Funnel Lookup'!I268="*"),#N/A,IF(AND($C268='Funnel setup'!$K$3&amp;'Funnel setup'!$K$6&amp;'Funnel setup'!$K$7&amp;'Funnel setup'!$K$4,'Funnel Lookup'!I268&gt;29,'Funnel Lookup'!I268&lt;&gt;"-"),'Funnel Lookup'!I268,#N/A))</f>
        <v>#N/A</v>
      </c>
      <c r="V268" t="e">
        <f ca="1">IF(AND($C268='Funnel setup'!$K$3&amp;'Funnel setup'!$K$6&amp;'Funnel setup'!$K$7&amp;'Funnel setup'!$K$4,'Funnel Lookup'!I268="*",'Funnel Lookup'!I268="*"),#N/A,IF(AND($C268='Funnel setup'!$K$3&amp;'Funnel setup'!$K$6&amp;'Funnel setup'!$K$7&amp;'Funnel setup'!$K$4,'Funnel Lookup'!I268&gt;29,'Funnel Lookup'!I268&lt;&gt;"-"),'Funnel Lookup'!Q268,#N/A))</f>
        <v>#N/A</v>
      </c>
    </row>
    <row r="269" spans="1:22" x14ac:dyDescent="0.25">
      <c r="A269">
        <v>267</v>
      </c>
      <c r="B269" t="e">
        <f t="shared" ca="1" si="62"/>
        <v>#N/A</v>
      </c>
      <c r="C269" t="e">
        <f t="shared" ca="1" si="62"/>
        <v>#N/A</v>
      </c>
      <c r="D269" t="e">
        <f t="shared" ca="1" si="62"/>
        <v>#N/A</v>
      </c>
      <c r="E269" t="e">
        <f t="shared" ca="1" si="62"/>
        <v>#N/A</v>
      </c>
      <c r="F269" t="e">
        <f t="shared" ca="1" si="62"/>
        <v>#N/A</v>
      </c>
      <c r="G269" t="e">
        <f t="shared" ca="1" si="62"/>
        <v>#N/A</v>
      </c>
      <c r="H269" t="e">
        <f t="shared" ca="1" si="62"/>
        <v>#N/A</v>
      </c>
      <c r="I269" t="e">
        <f t="shared" ca="1" si="62"/>
        <v>#N/A</v>
      </c>
      <c r="J269" t="e">
        <f t="shared" ca="1" si="62"/>
        <v>#N/A</v>
      </c>
      <c r="K269" t="e">
        <f t="shared" ca="1" si="62"/>
        <v>#N/A</v>
      </c>
      <c r="L269" t="e">
        <f t="shared" ca="1" si="63"/>
        <v>#N/A</v>
      </c>
      <c r="M269" t="e">
        <f t="shared" ca="1" si="63"/>
        <v>#N/A</v>
      </c>
      <c r="N269" t="e">
        <f t="shared" ca="1" si="63"/>
        <v>#N/A</v>
      </c>
      <c r="O269" t="e">
        <f t="shared" ca="1" si="63"/>
        <v>#N/A</v>
      </c>
      <c r="P269" t="e">
        <f t="shared" ca="1" si="63"/>
        <v>#N/A</v>
      </c>
      <c r="Q269" t="e">
        <f t="shared" ca="1" si="63"/>
        <v>#N/A</v>
      </c>
      <c r="R269" t="e">
        <f t="shared" ca="1" si="63"/>
        <v>#N/A</v>
      </c>
      <c r="S269" t="e">
        <f t="shared" ca="1" si="60"/>
        <v>#N/A</v>
      </c>
      <c r="T269" t="e">
        <f t="shared" ca="1" si="61"/>
        <v>#N/A</v>
      </c>
      <c r="U269" t="e">
        <f ca="1">IF(AND($C269='Funnel setup'!$K$3&amp;'Funnel setup'!$K$6&amp;'Funnel setup'!$K$7&amp;'Funnel setup'!$K$4,'Funnel Lookup'!I269="*",'Funnel Lookup'!I269="*"),#N/A,IF(AND($C269='Funnel setup'!$K$3&amp;'Funnel setup'!$K$6&amp;'Funnel setup'!$K$7&amp;'Funnel setup'!$K$4,'Funnel Lookup'!I269&gt;29,'Funnel Lookup'!I269&lt;&gt;"-"),'Funnel Lookup'!I269,#N/A))</f>
        <v>#N/A</v>
      </c>
      <c r="V269" t="e">
        <f ca="1">IF(AND($C269='Funnel setup'!$K$3&amp;'Funnel setup'!$K$6&amp;'Funnel setup'!$K$7&amp;'Funnel setup'!$K$4,'Funnel Lookup'!I269="*",'Funnel Lookup'!I269="*"),#N/A,IF(AND($C269='Funnel setup'!$K$3&amp;'Funnel setup'!$K$6&amp;'Funnel setup'!$K$7&amp;'Funnel setup'!$K$4,'Funnel Lookup'!I269&gt;29,'Funnel Lookup'!I269&lt;&gt;"-"),'Funnel Lookup'!Q269,#N/A))</f>
        <v>#N/A</v>
      </c>
    </row>
    <row r="270" spans="1:22" x14ac:dyDescent="0.25">
      <c r="A270">
        <v>268</v>
      </c>
      <c r="B270" t="e">
        <f t="shared" ca="1" si="62"/>
        <v>#N/A</v>
      </c>
      <c r="C270" t="e">
        <f t="shared" ca="1" si="62"/>
        <v>#N/A</v>
      </c>
      <c r="D270" t="e">
        <f t="shared" ca="1" si="62"/>
        <v>#N/A</v>
      </c>
      <c r="E270" t="e">
        <f t="shared" ca="1" si="62"/>
        <v>#N/A</v>
      </c>
      <c r="F270" t="e">
        <f t="shared" ca="1" si="62"/>
        <v>#N/A</v>
      </c>
      <c r="G270" t="e">
        <f t="shared" ca="1" si="62"/>
        <v>#N/A</v>
      </c>
      <c r="H270" t="e">
        <f t="shared" ca="1" si="62"/>
        <v>#N/A</v>
      </c>
      <c r="I270" t="e">
        <f t="shared" ca="1" si="62"/>
        <v>#N/A</v>
      </c>
      <c r="J270" t="e">
        <f t="shared" ca="1" si="62"/>
        <v>#N/A</v>
      </c>
      <c r="K270" t="e">
        <f t="shared" ca="1" si="62"/>
        <v>#N/A</v>
      </c>
      <c r="L270" t="e">
        <f t="shared" ca="1" si="63"/>
        <v>#N/A</v>
      </c>
      <c r="M270" t="e">
        <f t="shared" ca="1" si="63"/>
        <v>#N/A</v>
      </c>
      <c r="N270" t="e">
        <f t="shared" ca="1" si="63"/>
        <v>#N/A</v>
      </c>
      <c r="O270" t="e">
        <f t="shared" ca="1" si="63"/>
        <v>#N/A</v>
      </c>
      <c r="P270" t="e">
        <f t="shared" ca="1" si="63"/>
        <v>#N/A</v>
      </c>
      <c r="Q270" t="e">
        <f t="shared" ca="1" si="63"/>
        <v>#N/A</v>
      </c>
      <c r="R270" t="e">
        <f t="shared" ca="1" si="63"/>
        <v>#N/A</v>
      </c>
      <c r="S270" t="e">
        <f t="shared" ca="1" si="60"/>
        <v>#N/A</v>
      </c>
      <c r="T270" t="e">
        <f t="shared" ca="1" si="61"/>
        <v>#N/A</v>
      </c>
      <c r="U270" t="e">
        <f ca="1">IF(AND($C270='Funnel setup'!$K$3&amp;'Funnel setup'!$K$6&amp;'Funnel setup'!$K$7&amp;'Funnel setup'!$K$4,'Funnel Lookup'!I270="*",'Funnel Lookup'!I270="*"),#N/A,IF(AND($C270='Funnel setup'!$K$3&amp;'Funnel setup'!$K$6&amp;'Funnel setup'!$K$7&amp;'Funnel setup'!$K$4,'Funnel Lookup'!I270&gt;29,'Funnel Lookup'!I270&lt;&gt;"-"),'Funnel Lookup'!I270,#N/A))</f>
        <v>#N/A</v>
      </c>
      <c r="V270" t="e">
        <f ca="1">IF(AND($C270='Funnel setup'!$K$3&amp;'Funnel setup'!$K$6&amp;'Funnel setup'!$K$7&amp;'Funnel setup'!$K$4,'Funnel Lookup'!I270="*",'Funnel Lookup'!I270="*"),#N/A,IF(AND($C270='Funnel setup'!$K$3&amp;'Funnel setup'!$K$6&amp;'Funnel setup'!$K$7&amp;'Funnel setup'!$K$4,'Funnel Lookup'!I270&gt;29,'Funnel Lookup'!I270&lt;&gt;"-"),'Funnel Lookup'!Q270,#N/A))</f>
        <v>#N/A</v>
      </c>
    </row>
    <row r="271" spans="1:22" x14ac:dyDescent="0.25">
      <c r="A271">
        <v>269</v>
      </c>
      <c r="B271" t="e">
        <f t="shared" ca="1" si="62"/>
        <v>#N/A</v>
      </c>
      <c r="C271" t="e">
        <f t="shared" ca="1" si="62"/>
        <v>#N/A</v>
      </c>
      <c r="D271" t="e">
        <f t="shared" ca="1" si="62"/>
        <v>#N/A</v>
      </c>
      <c r="E271" t="e">
        <f t="shared" ca="1" si="62"/>
        <v>#N/A</v>
      </c>
      <c r="F271" t="e">
        <f t="shared" ca="1" si="62"/>
        <v>#N/A</v>
      </c>
      <c r="G271" t="e">
        <f t="shared" ca="1" si="62"/>
        <v>#N/A</v>
      </c>
      <c r="H271" t="e">
        <f t="shared" ca="1" si="62"/>
        <v>#N/A</v>
      </c>
      <c r="I271" t="e">
        <f t="shared" ca="1" si="62"/>
        <v>#N/A</v>
      </c>
      <c r="J271" t="e">
        <f t="shared" ca="1" si="62"/>
        <v>#N/A</v>
      </c>
      <c r="K271" t="e">
        <f t="shared" ca="1" si="62"/>
        <v>#N/A</v>
      </c>
      <c r="L271" t="e">
        <f t="shared" ca="1" si="63"/>
        <v>#N/A</v>
      </c>
      <c r="M271" t="e">
        <f t="shared" ca="1" si="63"/>
        <v>#N/A</v>
      </c>
      <c r="N271" t="e">
        <f t="shared" ca="1" si="63"/>
        <v>#N/A</v>
      </c>
      <c r="O271" t="e">
        <f t="shared" ca="1" si="63"/>
        <v>#N/A</v>
      </c>
      <c r="P271" t="e">
        <f t="shared" ca="1" si="63"/>
        <v>#N/A</v>
      </c>
      <c r="Q271" t="e">
        <f t="shared" ca="1" si="63"/>
        <v>#N/A</v>
      </c>
      <c r="R271" t="e">
        <f t="shared" ca="1" si="63"/>
        <v>#N/A</v>
      </c>
      <c r="S271" t="e">
        <f t="shared" ca="1" si="60"/>
        <v>#N/A</v>
      </c>
      <c r="T271" t="e">
        <f t="shared" ca="1" si="61"/>
        <v>#N/A</v>
      </c>
      <c r="U271" t="e">
        <f ca="1">IF(AND($C271='Funnel setup'!$K$3&amp;'Funnel setup'!$K$6&amp;'Funnel setup'!$K$7&amp;'Funnel setup'!$K$4,'Funnel Lookup'!I271="*",'Funnel Lookup'!I271="*"),#N/A,IF(AND($C271='Funnel setup'!$K$3&amp;'Funnel setup'!$K$6&amp;'Funnel setup'!$K$7&amp;'Funnel setup'!$K$4,'Funnel Lookup'!I271&gt;29,'Funnel Lookup'!I271&lt;&gt;"-"),'Funnel Lookup'!I271,#N/A))</f>
        <v>#N/A</v>
      </c>
      <c r="V271" t="e">
        <f ca="1">IF(AND($C271='Funnel setup'!$K$3&amp;'Funnel setup'!$K$6&amp;'Funnel setup'!$K$7&amp;'Funnel setup'!$K$4,'Funnel Lookup'!I271="*",'Funnel Lookup'!I271="*"),#N/A,IF(AND($C271='Funnel setup'!$K$3&amp;'Funnel setup'!$K$6&amp;'Funnel setup'!$K$7&amp;'Funnel setup'!$K$4,'Funnel Lookup'!I271&gt;29,'Funnel Lookup'!I271&lt;&gt;"-"),'Funnel Lookup'!Q271,#N/A))</f>
        <v>#N/A</v>
      </c>
    </row>
    <row r="272" spans="1:22" x14ac:dyDescent="0.25">
      <c r="A272">
        <v>270</v>
      </c>
      <c r="B272" t="e">
        <f t="shared" ca="1" si="62"/>
        <v>#N/A</v>
      </c>
      <c r="C272" t="e">
        <f t="shared" ca="1" si="62"/>
        <v>#N/A</v>
      </c>
      <c r="D272" t="e">
        <f t="shared" ca="1" si="62"/>
        <v>#N/A</v>
      </c>
      <c r="E272" t="e">
        <f t="shared" ca="1" si="62"/>
        <v>#N/A</v>
      </c>
      <c r="F272" t="e">
        <f t="shared" ca="1" si="62"/>
        <v>#N/A</v>
      </c>
      <c r="G272" t="e">
        <f t="shared" ca="1" si="62"/>
        <v>#N/A</v>
      </c>
      <c r="H272" t="e">
        <f t="shared" ca="1" si="62"/>
        <v>#N/A</v>
      </c>
      <c r="I272" t="e">
        <f t="shared" ca="1" si="62"/>
        <v>#N/A</v>
      </c>
      <c r="J272" t="e">
        <f t="shared" ca="1" si="62"/>
        <v>#N/A</v>
      </c>
      <c r="K272" t="e">
        <f t="shared" ca="1" si="62"/>
        <v>#N/A</v>
      </c>
      <c r="L272" t="e">
        <f t="shared" ca="1" si="63"/>
        <v>#N/A</v>
      </c>
      <c r="M272" t="e">
        <f t="shared" ca="1" si="63"/>
        <v>#N/A</v>
      </c>
      <c r="N272" t="e">
        <f t="shared" ca="1" si="63"/>
        <v>#N/A</v>
      </c>
      <c r="O272" t="e">
        <f t="shared" ca="1" si="63"/>
        <v>#N/A</v>
      </c>
      <c r="P272" t="e">
        <f t="shared" ca="1" si="63"/>
        <v>#N/A</v>
      </c>
      <c r="Q272" t="e">
        <f t="shared" ca="1" si="63"/>
        <v>#N/A</v>
      </c>
      <c r="R272" t="e">
        <f t="shared" ca="1" si="63"/>
        <v>#N/A</v>
      </c>
      <c r="S272" t="e">
        <f t="shared" ca="1" si="60"/>
        <v>#N/A</v>
      </c>
      <c r="T272" t="e">
        <f t="shared" ca="1" si="61"/>
        <v>#N/A</v>
      </c>
      <c r="U272" t="e">
        <f ca="1">IF(AND($C272='Funnel setup'!$K$3&amp;'Funnel setup'!$K$6&amp;'Funnel setup'!$K$7&amp;'Funnel setup'!$K$4,'Funnel Lookup'!I272="*",'Funnel Lookup'!I272="*"),#N/A,IF(AND($C272='Funnel setup'!$K$3&amp;'Funnel setup'!$K$6&amp;'Funnel setup'!$K$7&amp;'Funnel setup'!$K$4,'Funnel Lookup'!I272&gt;29,'Funnel Lookup'!I272&lt;&gt;"-"),'Funnel Lookup'!I272,#N/A))</f>
        <v>#N/A</v>
      </c>
      <c r="V272" t="e">
        <f ca="1">IF(AND($C272='Funnel setup'!$K$3&amp;'Funnel setup'!$K$6&amp;'Funnel setup'!$K$7&amp;'Funnel setup'!$K$4,'Funnel Lookup'!I272="*",'Funnel Lookup'!I272="*"),#N/A,IF(AND($C272='Funnel setup'!$K$3&amp;'Funnel setup'!$K$6&amp;'Funnel setup'!$K$7&amp;'Funnel setup'!$K$4,'Funnel Lookup'!I272&gt;29,'Funnel Lookup'!I272&lt;&gt;"-"),'Funnel Lookup'!Q272,#N/A))</f>
        <v>#N/A</v>
      </c>
    </row>
    <row r="273" spans="1:22" x14ac:dyDescent="0.25">
      <c r="A273">
        <v>271</v>
      </c>
      <c r="B273" t="e">
        <f t="shared" ref="B273:K282" ca="1" si="64">VLOOKUP($A273,Funnel_Data,B$1,FALSE)</f>
        <v>#N/A</v>
      </c>
      <c r="C273" t="e">
        <f t="shared" ca="1" si="64"/>
        <v>#N/A</v>
      </c>
      <c r="D273" t="e">
        <f t="shared" ca="1" si="64"/>
        <v>#N/A</v>
      </c>
      <c r="E273" t="e">
        <f t="shared" ca="1" si="64"/>
        <v>#N/A</v>
      </c>
      <c r="F273" t="e">
        <f t="shared" ca="1" si="64"/>
        <v>#N/A</v>
      </c>
      <c r="G273" t="e">
        <f t="shared" ca="1" si="64"/>
        <v>#N/A</v>
      </c>
      <c r="H273" t="e">
        <f t="shared" ca="1" si="64"/>
        <v>#N/A</v>
      </c>
      <c r="I273" t="e">
        <f t="shared" ca="1" si="64"/>
        <v>#N/A</v>
      </c>
      <c r="J273" t="e">
        <f t="shared" ca="1" si="64"/>
        <v>#N/A</v>
      </c>
      <c r="K273" t="e">
        <f t="shared" ca="1" si="64"/>
        <v>#N/A</v>
      </c>
      <c r="L273" t="e">
        <f t="shared" ref="L273:R282" ca="1" si="65">VLOOKUP($A273,Funnel_Data,L$1,FALSE)</f>
        <v>#N/A</v>
      </c>
      <c r="M273" t="e">
        <f t="shared" ca="1" si="65"/>
        <v>#N/A</v>
      </c>
      <c r="N273" t="e">
        <f t="shared" ca="1" si="65"/>
        <v>#N/A</v>
      </c>
      <c r="O273" t="e">
        <f t="shared" ca="1" si="65"/>
        <v>#N/A</v>
      </c>
      <c r="P273" t="e">
        <f t="shared" ca="1" si="65"/>
        <v>#N/A</v>
      </c>
      <c r="Q273" t="e">
        <f t="shared" ca="1" si="65"/>
        <v>#N/A</v>
      </c>
      <c r="R273" t="e">
        <f t="shared" ca="1" si="65"/>
        <v>#N/A</v>
      </c>
      <c r="S273" t="e">
        <f t="shared" ca="1" si="60"/>
        <v>#N/A</v>
      </c>
      <c r="T273" t="e">
        <f t="shared" ca="1" si="61"/>
        <v>#N/A</v>
      </c>
      <c r="U273" t="e">
        <f ca="1">IF(AND($C273='Funnel setup'!$K$3&amp;'Funnel setup'!$K$6&amp;'Funnel setup'!$K$7&amp;'Funnel setup'!$K$4,'Funnel Lookup'!I273="*",'Funnel Lookup'!I273="*"),#N/A,IF(AND($C273='Funnel setup'!$K$3&amp;'Funnel setup'!$K$6&amp;'Funnel setup'!$K$7&amp;'Funnel setup'!$K$4,'Funnel Lookup'!I273&gt;29,'Funnel Lookup'!I273&lt;&gt;"-"),'Funnel Lookup'!I273,#N/A))</f>
        <v>#N/A</v>
      </c>
      <c r="V273" t="e">
        <f ca="1">IF(AND($C273='Funnel setup'!$K$3&amp;'Funnel setup'!$K$6&amp;'Funnel setup'!$K$7&amp;'Funnel setup'!$K$4,'Funnel Lookup'!I273="*",'Funnel Lookup'!I273="*"),#N/A,IF(AND($C273='Funnel setup'!$K$3&amp;'Funnel setup'!$K$6&amp;'Funnel setup'!$K$7&amp;'Funnel setup'!$K$4,'Funnel Lookup'!I273&gt;29,'Funnel Lookup'!I273&lt;&gt;"-"),'Funnel Lookup'!Q273,#N/A))</f>
        <v>#N/A</v>
      </c>
    </row>
    <row r="274" spans="1:22" x14ac:dyDescent="0.25">
      <c r="A274">
        <v>272</v>
      </c>
      <c r="B274" t="e">
        <f t="shared" ca="1" si="64"/>
        <v>#N/A</v>
      </c>
      <c r="C274" t="e">
        <f t="shared" ca="1" si="64"/>
        <v>#N/A</v>
      </c>
      <c r="D274" t="e">
        <f t="shared" ca="1" si="64"/>
        <v>#N/A</v>
      </c>
      <c r="E274" t="e">
        <f t="shared" ca="1" si="64"/>
        <v>#N/A</v>
      </c>
      <c r="F274" t="e">
        <f t="shared" ca="1" si="64"/>
        <v>#N/A</v>
      </c>
      <c r="G274" t="e">
        <f t="shared" ca="1" si="64"/>
        <v>#N/A</v>
      </c>
      <c r="H274" t="e">
        <f t="shared" ca="1" si="64"/>
        <v>#N/A</v>
      </c>
      <c r="I274" t="e">
        <f t="shared" ca="1" si="64"/>
        <v>#N/A</v>
      </c>
      <c r="J274" t="e">
        <f t="shared" ca="1" si="64"/>
        <v>#N/A</v>
      </c>
      <c r="K274" t="e">
        <f t="shared" ca="1" si="64"/>
        <v>#N/A</v>
      </c>
      <c r="L274" t="e">
        <f t="shared" ca="1" si="65"/>
        <v>#N/A</v>
      </c>
      <c r="M274" t="e">
        <f t="shared" ca="1" si="65"/>
        <v>#N/A</v>
      </c>
      <c r="N274" t="e">
        <f t="shared" ca="1" si="65"/>
        <v>#N/A</v>
      </c>
      <c r="O274" t="e">
        <f t="shared" ca="1" si="65"/>
        <v>#N/A</v>
      </c>
      <c r="P274" t="e">
        <f t="shared" ca="1" si="65"/>
        <v>#N/A</v>
      </c>
      <c r="Q274" t="e">
        <f t="shared" ca="1" si="65"/>
        <v>#N/A</v>
      </c>
      <c r="R274" t="e">
        <f t="shared" ca="1" si="65"/>
        <v>#N/A</v>
      </c>
      <c r="S274" t="e">
        <f t="shared" ca="1" si="60"/>
        <v>#N/A</v>
      </c>
      <c r="T274" t="e">
        <f t="shared" ca="1" si="61"/>
        <v>#N/A</v>
      </c>
      <c r="U274" t="e">
        <f ca="1">IF(AND($C274='Funnel setup'!$K$3&amp;'Funnel setup'!$K$6&amp;'Funnel setup'!$K$7&amp;'Funnel setup'!$K$4,'Funnel Lookup'!I274="*",'Funnel Lookup'!I274="*"),#N/A,IF(AND($C274='Funnel setup'!$K$3&amp;'Funnel setup'!$K$6&amp;'Funnel setup'!$K$7&amp;'Funnel setup'!$K$4,'Funnel Lookup'!I274&gt;29,'Funnel Lookup'!I274&lt;&gt;"-"),'Funnel Lookup'!I274,#N/A))</f>
        <v>#N/A</v>
      </c>
      <c r="V274" t="e">
        <f ca="1">IF(AND($C274='Funnel setup'!$K$3&amp;'Funnel setup'!$K$6&amp;'Funnel setup'!$K$7&amp;'Funnel setup'!$K$4,'Funnel Lookup'!I274="*",'Funnel Lookup'!I274="*"),#N/A,IF(AND($C274='Funnel setup'!$K$3&amp;'Funnel setup'!$K$6&amp;'Funnel setup'!$K$7&amp;'Funnel setup'!$K$4,'Funnel Lookup'!I274&gt;29,'Funnel Lookup'!I274&lt;&gt;"-"),'Funnel Lookup'!Q274,#N/A))</f>
        <v>#N/A</v>
      </c>
    </row>
    <row r="275" spans="1:22" x14ac:dyDescent="0.25">
      <c r="A275">
        <v>273</v>
      </c>
      <c r="B275" t="e">
        <f t="shared" ca="1" si="64"/>
        <v>#N/A</v>
      </c>
      <c r="C275" t="e">
        <f t="shared" ca="1" si="64"/>
        <v>#N/A</v>
      </c>
      <c r="D275" t="e">
        <f t="shared" ca="1" si="64"/>
        <v>#N/A</v>
      </c>
      <c r="E275" t="e">
        <f t="shared" ca="1" si="64"/>
        <v>#N/A</v>
      </c>
      <c r="F275" t="e">
        <f t="shared" ca="1" si="64"/>
        <v>#N/A</v>
      </c>
      <c r="G275" t="e">
        <f t="shared" ca="1" si="64"/>
        <v>#N/A</v>
      </c>
      <c r="H275" t="e">
        <f t="shared" ca="1" si="64"/>
        <v>#N/A</v>
      </c>
      <c r="I275" t="e">
        <f t="shared" ca="1" si="64"/>
        <v>#N/A</v>
      </c>
      <c r="J275" t="e">
        <f t="shared" ca="1" si="64"/>
        <v>#N/A</v>
      </c>
      <c r="K275" t="e">
        <f t="shared" ca="1" si="64"/>
        <v>#N/A</v>
      </c>
      <c r="L275" t="e">
        <f t="shared" ca="1" si="65"/>
        <v>#N/A</v>
      </c>
      <c r="M275" t="e">
        <f t="shared" ca="1" si="65"/>
        <v>#N/A</v>
      </c>
      <c r="N275" t="e">
        <f t="shared" ca="1" si="65"/>
        <v>#N/A</v>
      </c>
      <c r="O275" t="e">
        <f t="shared" ca="1" si="65"/>
        <v>#N/A</v>
      </c>
      <c r="P275" t="e">
        <f t="shared" ca="1" si="65"/>
        <v>#N/A</v>
      </c>
      <c r="Q275" t="e">
        <f t="shared" ca="1" si="65"/>
        <v>#N/A</v>
      </c>
      <c r="R275" t="e">
        <f t="shared" ca="1" si="65"/>
        <v>#N/A</v>
      </c>
      <c r="S275" t="e">
        <f t="shared" ca="1" si="60"/>
        <v>#N/A</v>
      </c>
      <c r="T275" t="e">
        <f t="shared" ca="1" si="61"/>
        <v>#N/A</v>
      </c>
      <c r="U275" t="e">
        <f ca="1">IF(AND($C275='Funnel setup'!$K$3&amp;'Funnel setup'!$K$6&amp;'Funnel setup'!$K$7&amp;'Funnel setup'!$K$4,'Funnel Lookup'!I275="*",'Funnel Lookup'!I275="*"),#N/A,IF(AND($C275='Funnel setup'!$K$3&amp;'Funnel setup'!$K$6&amp;'Funnel setup'!$K$7&amp;'Funnel setup'!$K$4,'Funnel Lookup'!I275&gt;29,'Funnel Lookup'!I275&lt;&gt;"-"),'Funnel Lookup'!I275,#N/A))</f>
        <v>#N/A</v>
      </c>
      <c r="V275" t="e">
        <f ca="1">IF(AND($C275='Funnel setup'!$K$3&amp;'Funnel setup'!$K$6&amp;'Funnel setup'!$K$7&amp;'Funnel setup'!$K$4,'Funnel Lookup'!I275="*",'Funnel Lookup'!I275="*"),#N/A,IF(AND($C275='Funnel setup'!$K$3&amp;'Funnel setup'!$K$6&amp;'Funnel setup'!$K$7&amp;'Funnel setup'!$K$4,'Funnel Lookup'!I275&gt;29,'Funnel Lookup'!I275&lt;&gt;"-"),'Funnel Lookup'!Q275,#N/A))</f>
        <v>#N/A</v>
      </c>
    </row>
    <row r="276" spans="1:22" x14ac:dyDescent="0.25">
      <c r="A276">
        <v>274</v>
      </c>
      <c r="B276" t="e">
        <f t="shared" ca="1" si="64"/>
        <v>#N/A</v>
      </c>
      <c r="C276" t="e">
        <f t="shared" ca="1" si="64"/>
        <v>#N/A</v>
      </c>
      <c r="D276" t="e">
        <f t="shared" ca="1" si="64"/>
        <v>#N/A</v>
      </c>
      <c r="E276" t="e">
        <f t="shared" ca="1" si="64"/>
        <v>#N/A</v>
      </c>
      <c r="F276" t="e">
        <f t="shared" ca="1" si="64"/>
        <v>#N/A</v>
      </c>
      <c r="G276" t="e">
        <f t="shared" ca="1" si="64"/>
        <v>#N/A</v>
      </c>
      <c r="H276" t="e">
        <f t="shared" ca="1" si="64"/>
        <v>#N/A</v>
      </c>
      <c r="I276" t="e">
        <f t="shared" ca="1" si="64"/>
        <v>#N/A</v>
      </c>
      <c r="J276" t="e">
        <f t="shared" ca="1" si="64"/>
        <v>#N/A</v>
      </c>
      <c r="K276" t="e">
        <f t="shared" ca="1" si="64"/>
        <v>#N/A</v>
      </c>
      <c r="L276" t="e">
        <f t="shared" ca="1" si="65"/>
        <v>#N/A</v>
      </c>
      <c r="M276" t="e">
        <f t="shared" ca="1" si="65"/>
        <v>#N/A</v>
      </c>
      <c r="N276" t="e">
        <f t="shared" ca="1" si="65"/>
        <v>#N/A</v>
      </c>
      <c r="O276" t="e">
        <f t="shared" ca="1" si="65"/>
        <v>#N/A</v>
      </c>
      <c r="P276" t="e">
        <f t="shared" ca="1" si="65"/>
        <v>#N/A</v>
      </c>
      <c r="Q276" t="e">
        <f t="shared" ca="1" si="65"/>
        <v>#N/A</v>
      </c>
      <c r="R276" t="e">
        <f t="shared" ca="1" si="65"/>
        <v>#N/A</v>
      </c>
      <c r="S276" t="e">
        <f t="shared" ca="1" si="60"/>
        <v>#N/A</v>
      </c>
      <c r="T276" t="e">
        <f t="shared" ca="1" si="61"/>
        <v>#N/A</v>
      </c>
      <c r="U276" t="e">
        <f ca="1">IF(AND($C276='Funnel setup'!$K$3&amp;'Funnel setup'!$K$6&amp;'Funnel setup'!$K$7&amp;'Funnel setup'!$K$4,'Funnel Lookup'!I276="*",'Funnel Lookup'!I276="*"),#N/A,IF(AND($C276='Funnel setup'!$K$3&amp;'Funnel setup'!$K$6&amp;'Funnel setup'!$K$7&amp;'Funnel setup'!$K$4,'Funnel Lookup'!I276&gt;29,'Funnel Lookup'!I276&lt;&gt;"-"),'Funnel Lookup'!I276,#N/A))</f>
        <v>#N/A</v>
      </c>
      <c r="V276" t="e">
        <f ca="1">IF(AND($C276='Funnel setup'!$K$3&amp;'Funnel setup'!$K$6&amp;'Funnel setup'!$K$7&amp;'Funnel setup'!$K$4,'Funnel Lookup'!I276="*",'Funnel Lookup'!I276="*"),#N/A,IF(AND($C276='Funnel setup'!$K$3&amp;'Funnel setup'!$K$6&amp;'Funnel setup'!$K$7&amp;'Funnel setup'!$K$4,'Funnel Lookup'!I276&gt;29,'Funnel Lookup'!I276&lt;&gt;"-"),'Funnel Lookup'!Q276,#N/A))</f>
        <v>#N/A</v>
      </c>
    </row>
    <row r="277" spans="1:22" x14ac:dyDescent="0.25">
      <c r="A277">
        <v>275</v>
      </c>
      <c r="B277" t="e">
        <f t="shared" ca="1" si="64"/>
        <v>#N/A</v>
      </c>
      <c r="C277" t="e">
        <f t="shared" ca="1" si="64"/>
        <v>#N/A</v>
      </c>
      <c r="D277" t="e">
        <f t="shared" ca="1" si="64"/>
        <v>#N/A</v>
      </c>
      <c r="E277" t="e">
        <f t="shared" ca="1" si="64"/>
        <v>#N/A</v>
      </c>
      <c r="F277" t="e">
        <f t="shared" ca="1" si="64"/>
        <v>#N/A</v>
      </c>
      <c r="G277" t="e">
        <f t="shared" ca="1" si="64"/>
        <v>#N/A</v>
      </c>
      <c r="H277" t="e">
        <f t="shared" ca="1" si="64"/>
        <v>#N/A</v>
      </c>
      <c r="I277" t="e">
        <f t="shared" ca="1" si="64"/>
        <v>#N/A</v>
      </c>
      <c r="J277" t="e">
        <f t="shared" ca="1" si="64"/>
        <v>#N/A</v>
      </c>
      <c r="K277" t="e">
        <f t="shared" ca="1" si="64"/>
        <v>#N/A</v>
      </c>
      <c r="L277" t="e">
        <f t="shared" ca="1" si="65"/>
        <v>#N/A</v>
      </c>
      <c r="M277" t="e">
        <f t="shared" ca="1" si="65"/>
        <v>#N/A</v>
      </c>
      <c r="N277" t="e">
        <f t="shared" ca="1" si="65"/>
        <v>#N/A</v>
      </c>
      <c r="O277" t="e">
        <f t="shared" ca="1" si="65"/>
        <v>#N/A</v>
      </c>
      <c r="P277" t="e">
        <f t="shared" ca="1" si="65"/>
        <v>#N/A</v>
      </c>
      <c r="Q277" t="e">
        <f t="shared" ca="1" si="65"/>
        <v>#N/A</v>
      </c>
      <c r="R277" t="e">
        <f t="shared" ca="1" si="65"/>
        <v>#N/A</v>
      </c>
      <c r="S277" t="e">
        <f t="shared" ca="1" si="60"/>
        <v>#N/A</v>
      </c>
      <c r="T277" t="e">
        <f t="shared" ca="1" si="61"/>
        <v>#N/A</v>
      </c>
      <c r="U277" t="e">
        <f ca="1">IF(AND($C277='Funnel setup'!$K$3&amp;'Funnel setup'!$K$6&amp;'Funnel setup'!$K$7&amp;'Funnel setup'!$K$4,'Funnel Lookup'!I277="*",'Funnel Lookup'!I277="*"),#N/A,IF(AND($C277='Funnel setup'!$K$3&amp;'Funnel setup'!$K$6&amp;'Funnel setup'!$K$7&amp;'Funnel setup'!$K$4,'Funnel Lookup'!I277&gt;29,'Funnel Lookup'!I277&lt;&gt;"-"),'Funnel Lookup'!I277,#N/A))</f>
        <v>#N/A</v>
      </c>
      <c r="V277" t="e">
        <f ca="1">IF(AND($C277='Funnel setup'!$K$3&amp;'Funnel setup'!$K$6&amp;'Funnel setup'!$K$7&amp;'Funnel setup'!$K$4,'Funnel Lookup'!I277="*",'Funnel Lookup'!I277="*"),#N/A,IF(AND($C277='Funnel setup'!$K$3&amp;'Funnel setup'!$K$6&amp;'Funnel setup'!$K$7&amp;'Funnel setup'!$K$4,'Funnel Lookup'!I277&gt;29,'Funnel Lookup'!I277&lt;&gt;"-"),'Funnel Lookup'!Q277,#N/A))</f>
        <v>#N/A</v>
      </c>
    </row>
    <row r="278" spans="1:22" x14ac:dyDescent="0.25">
      <c r="A278">
        <v>276</v>
      </c>
      <c r="B278" t="e">
        <f t="shared" ca="1" si="64"/>
        <v>#N/A</v>
      </c>
      <c r="C278" t="e">
        <f t="shared" ca="1" si="64"/>
        <v>#N/A</v>
      </c>
      <c r="D278" t="e">
        <f t="shared" ca="1" si="64"/>
        <v>#N/A</v>
      </c>
      <c r="E278" t="e">
        <f t="shared" ca="1" si="64"/>
        <v>#N/A</v>
      </c>
      <c r="F278" t="e">
        <f t="shared" ca="1" si="64"/>
        <v>#N/A</v>
      </c>
      <c r="G278" t="e">
        <f t="shared" ca="1" si="64"/>
        <v>#N/A</v>
      </c>
      <c r="H278" t="e">
        <f t="shared" ca="1" si="64"/>
        <v>#N/A</v>
      </c>
      <c r="I278" t="e">
        <f t="shared" ca="1" si="64"/>
        <v>#N/A</v>
      </c>
      <c r="J278" t="e">
        <f t="shared" ca="1" si="64"/>
        <v>#N/A</v>
      </c>
      <c r="K278" t="e">
        <f t="shared" ca="1" si="64"/>
        <v>#N/A</v>
      </c>
      <c r="L278" t="e">
        <f t="shared" ca="1" si="65"/>
        <v>#N/A</v>
      </c>
      <c r="M278" t="e">
        <f t="shared" ca="1" si="65"/>
        <v>#N/A</v>
      </c>
      <c r="N278" t="e">
        <f t="shared" ca="1" si="65"/>
        <v>#N/A</v>
      </c>
      <c r="O278" t="e">
        <f t="shared" ca="1" si="65"/>
        <v>#N/A</v>
      </c>
      <c r="P278" t="e">
        <f t="shared" ca="1" si="65"/>
        <v>#N/A</v>
      </c>
      <c r="Q278" t="e">
        <f t="shared" ca="1" si="65"/>
        <v>#N/A</v>
      </c>
      <c r="R278" t="e">
        <f t="shared" ca="1" si="65"/>
        <v>#N/A</v>
      </c>
      <c r="S278" t="e">
        <f t="shared" ca="1" si="60"/>
        <v>#N/A</v>
      </c>
      <c r="T278" t="e">
        <f t="shared" ca="1" si="61"/>
        <v>#N/A</v>
      </c>
      <c r="U278" t="e">
        <f ca="1">IF(AND($C278='Funnel setup'!$K$3&amp;'Funnel setup'!$K$6&amp;'Funnel setup'!$K$7&amp;'Funnel setup'!$K$4,'Funnel Lookup'!I278="*",'Funnel Lookup'!I278="*"),#N/A,IF(AND($C278='Funnel setup'!$K$3&amp;'Funnel setup'!$K$6&amp;'Funnel setup'!$K$7&amp;'Funnel setup'!$K$4,'Funnel Lookup'!I278&gt;29,'Funnel Lookup'!I278&lt;&gt;"-"),'Funnel Lookup'!I278,#N/A))</f>
        <v>#N/A</v>
      </c>
      <c r="V278" t="e">
        <f ca="1">IF(AND($C278='Funnel setup'!$K$3&amp;'Funnel setup'!$K$6&amp;'Funnel setup'!$K$7&amp;'Funnel setup'!$K$4,'Funnel Lookup'!I278="*",'Funnel Lookup'!I278="*"),#N/A,IF(AND($C278='Funnel setup'!$K$3&amp;'Funnel setup'!$K$6&amp;'Funnel setup'!$K$7&amp;'Funnel setup'!$K$4,'Funnel Lookup'!I278&gt;29,'Funnel Lookup'!I278&lt;&gt;"-"),'Funnel Lookup'!Q278,#N/A))</f>
        <v>#N/A</v>
      </c>
    </row>
    <row r="279" spans="1:22" x14ac:dyDescent="0.25">
      <c r="A279">
        <v>277</v>
      </c>
      <c r="B279" t="e">
        <f t="shared" ca="1" si="64"/>
        <v>#N/A</v>
      </c>
      <c r="C279" t="e">
        <f t="shared" ca="1" si="64"/>
        <v>#N/A</v>
      </c>
      <c r="D279" t="e">
        <f t="shared" ca="1" si="64"/>
        <v>#N/A</v>
      </c>
      <c r="E279" t="e">
        <f t="shared" ca="1" si="64"/>
        <v>#N/A</v>
      </c>
      <c r="F279" t="e">
        <f t="shared" ca="1" si="64"/>
        <v>#N/A</v>
      </c>
      <c r="G279" t="e">
        <f t="shared" ca="1" si="64"/>
        <v>#N/A</v>
      </c>
      <c r="H279" t="e">
        <f t="shared" ca="1" si="64"/>
        <v>#N/A</v>
      </c>
      <c r="I279" t="e">
        <f t="shared" ca="1" si="64"/>
        <v>#N/A</v>
      </c>
      <c r="J279" t="e">
        <f t="shared" ca="1" si="64"/>
        <v>#N/A</v>
      </c>
      <c r="K279" t="e">
        <f t="shared" ca="1" si="64"/>
        <v>#N/A</v>
      </c>
      <c r="L279" t="e">
        <f t="shared" ca="1" si="65"/>
        <v>#N/A</v>
      </c>
      <c r="M279" t="e">
        <f t="shared" ca="1" si="65"/>
        <v>#N/A</v>
      </c>
      <c r="N279" t="e">
        <f t="shared" ca="1" si="65"/>
        <v>#N/A</v>
      </c>
      <c r="O279" t="e">
        <f t="shared" ca="1" si="65"/>
        <v>#N/A</v>
      </c>
      <c r="P279" t="e">
        <f t="shared" ca="1" si="65"/>
        <v>#N/A</v>
      </c>
      <c r="Q279" t="e">
        <f t="shared" ca="1" si="65"/>
        <v>#N/A</v>
      </c>
      <c r="R279" t="e">
        <f t="shared" ca="1" si="65"/>
        <v>#N/A</v>
      </c>
      <c r="S279" t="e">
        <f t="shared" ca="1" si="60"/>
        <v>#N/A</v>
      </c>
      <c r="T279" t="e">
        <f t="shared" ca="1" si="61"/>
        <v>#N/A</v>
      </c>
      <c r="U279" t="e">
        <f ca="1">IF(AND($C279='Funnel setup'!$K$3&amp;'Funnel setup'!$K$6&amp;'Funnel setup'!$K$7&amp;'Funnel setup'!$K$4,'Funnel Lookup'!I279="*",'Funnel Lookup'!I279="*"),#N/A,IF(AND($C279='Funnel setup'!$K$3&amp;'Funnel setup'!$K$6&amp;'Funnel setup'!$K$7&amp;'Funnel setup'!$K$4,'Funnel Lookup'!I279&gt;29,'Funnel Lookup'!I279&lt;&gt;"-"),'Funnel Lookup'!I279,#N/A))</f>
        <v>#N/A</v>
      </c>
      <c r="V279" t="e">
        <f ca="1">IF(AND($C279='Funnel setup'!$K$3&amp;'Funnel setup'!$K$6&amp;'Funnel setup'!$K$7&amp;'Funnel setup'!$K$4,'Funnel Lookup'!I279="*",'Funnel Lookup'!I279="*"),#N/A,IF(AND($C279='Funnel setup'!$K$3&amp;'Funnel setup'!$K$6&amp;'Funnel setup'!$K$7&amp;'Funnel setup'!$K$4,'Funnel Lookup'!I279&gt;29,'Funnel Lookup'!I279&lt;&gt;"-"),'Funnel Lookup'!Q279,#N/A))</f>
        <v>#N/A</v>
      </c>
    </row>
    <row r="280" spans="1:22" x14ac:dyDescent="0.25">
      <c r="A280">
        <v>278</v>
      </c>
      <c r="B280" t="e">
        <f t="shared" ca="1" si="64"/>
        <v>#N/A</v>
      </c>
      <c r="C280" t="e">
        <f t="shared" ca="1" si="64"/>
        <v>#N/A</v>
      </c>
      <c r="D280" t="e">
        <f t="shared" ca="1" si="64"/>
        <v>#N/A</v>
      </c>
      <c r="E280" t="e">
        <f t="shared" ca="1" si="64"/>
        <v>#N/A</v>
      </c>
      <c r="F280" t="e">
        <f t="shared" ca="1" si="64"/>
        <v>#N/A</v>
      </c>
      <c r="G280" t="e">
        <f t="shared" ca="1" si="64"/>
        <v>#N/A</v>
      </c>
      <c r="H280" t="e">
        <f t="shared" ca="1" si="64"/>
        <v>#N/A</v>
      </c>
      <c r="I280" t="e">
        <f t="shared" ca="1" si="64"/>
        <v>#N/A</v>
      </c>
      <c r="J280" t="e">
        <f t="shared" ca="1" si="64"/>
        <v>#N/A</v>
      </c>
      <c r="K280" t="e">
        <f t="shared" ca="1" si="64"/>
        <v>#N/A</v>
      </c>
      <c r="L280" t="e">
        <f t="shared" ca="1" si="65"/>
        <v>#N/A</v>
      </c>
      <c r="M280" t="e">
        <f t="shared" ca="1" si="65"/>
        <v>#N/A</v>
      </c>
      <c r="N280" t="e">
        <f t="shared" ca="1" si="65"/>
        <v>#N/A</v>
      </c>
      <c r="O280" t="e">
        <f t="shared" ca="1" si="65"/>
        <v>#N/A</v>
      </c>
      <c r="P280" t="e">
        <f t="shared" ca="1" si="65"/>
        <v>#N/A</v>
      </c>
      <c r="Q280" t="e">
        <f t="shared" ca="1" si="65"/>
        <v>#N/A</v>
      </c>
      <c r="R280" t="e">
        <f t="shared" ca="1" si="65"/>
        <v>#N/A</v>
      </c>
      <c r="S280" t="e">
        <f t="shared" ca="1" si="60"/>
        <v>#N/A</v>
      </c>
      <c r="T280" t="e">
        <f t="shared" ca="1" si="61"/>
        <v>#N/A</v>
      </c>
      <c r="U280" t="e">
        <f ca="1">IF(AND($C280='Funnel setup'!$K$3&amp;'Funnel setup'!$K$6&amp;'Funnel setup'!$K$7&amp;'Funnel setup'!$K$4,'Funnel Lookup'!I280="*",'Funnel Lookup'!I280="*"),#N/A,IF(AND($C280='Funnel setup'!$K$3&amp;'Funnel setup'!$K$6&amp;'Funnel setup'!$K$7&amp;'Funnel setup'!$K$4,'Funnel Lookup'!I280&gt;29,'Funnel Lookup'!I280&lt;&gt;"-"),'Funnel Lookup'!I280,#N/A))</f>
        <v>#N/A</v>
      </c>
      <c r="V280" t="e">
        <f ca="1">IF(AND($C280='Funnel setup'!$K$3&amp;'Funnel setup'!$K$6&amp;'Funnel setup'!$K$7&amp;'Funnel setup'!$K$4,'Funnel Lookup'!I280="*",'Funnel Lookup'!I280="*"),#N/A,IF(AND($C280='Funnel setup'!$K$3&amp;'Funnel setup'!$K$6&amp;'Funnel setup'!$K$7&amp;'Funnel setup'!$K$4,'Funnel Lookup'!I280&gt;29,'Funnel Lookup'!I280&lt;&gt;"-"),'Funnel Lookup'!Q280,#N/A))</f>
        <v>#N/A</v>
      </c>
    </row>
    <row r="281" spans="1:22" x14ac:dyDescent="0.25">
      <c r="A281">
        <v>279</v>
      </c>
      <c r="B281" t="e">
        <f t="shared" ca="1" si="64"/>
        <v>#N/A</v>
      </c>
      <c r="C281" t="e">
        <f t="shared" ca="1" si="64"/>
        <v>#N/A</v>
      </c>
      <c r="D281" t="e">
        <f t="shared" ca="1" si="64"/>
        <v>#N/A</v>
      </c>
      <c r="E281" t="e">
        <f t="shared" ca="1" si="64"/>
        <v>#N/A</v>
      </c>
      <c r="F281" t="e">
        <f t="shared" ca="1" si="64"/>
        <v>#N/A</v>
      </c>
      <c r="G281" t="e">
        <f t="shared" ca="1" si="64"/>
        <v>#N/A</v>
      </c>
      <c r="H281" t="e">
        <f t="shared" ca="1" si="64"/>
        <v>#N/A</v>
      </c>
      <c r="I281" t="e">
        <f t="shared" ca="1" si="64"/>
        <v>#N/A</v>
      </c>
      <c r="J281" t="e">
        <f t="shared" ca="1" si="64"/>
        <v>#N/A</v>
      </c>
      <c r="K281" t="e">
        <f t="shared" ca="1" si="64"/>
        <v>#N/A</v>
      </c>
      <c r="L281" t="e">
        <f t="shared" ca="1" si="65"/>
        <v>#N/A</v>
      </c>
      <c r="M281" t="e">
        <f t="shared" ca="1" si="65"/>
        <v>#N/A</v>
      </c>
      <c r="N281" t="e">
        <f t="shared" ca="1" si="65"/>
        <v>#N/A</v>
      </c>
      <c r="O281" t="e">
        <f t="shared" ca="1" si="65"/>
        <v>#N/A</v>
      </c>
      <c r="P281" t="e">
        <f t="shared" ca="1" si="65"/>
        <v>#N/A</v>
      </c>
      <c r="Q281" t="e">
        <f t="shared" ca="1" si="65"/>
        <v>#N/A</v>
      </c>
      <c r="R281" t="e">
        <f t="shared" ca="1" si="65"/>
        <v>#N/A</v>
      </c>
      <c r="S281" t="e">
        <f t="shared" ca="1" si="60"/>
        <v>#N/A</v>
      </c>
      <c r="T281" t="e">
        <f t="shared" ca="1" si="61"/>
        <v>#N/A</v>
      </c>
      <c r="U281" t="e">
        <f ca="1">IF(AND($C281='Funnel setup'!$K$3&amp;'Funnel setup'!$K$6&amp;'Funnel setup'!$K$7&amp;'Funnel setup'!$K$4,'Funnel Lookup'!I281="*",'Funnel Lookup'!I281="*"),#N/A,IF(AND($C281='Funnel setup'!$K$3&amp;'Funnel setup'!$K$6&amp;'Funnel setup'!$K$7&amp;'Funnel setup'!$K$4,'Funnel Lookup'!I281&gt;29,'Funnel Lookup'!I281&lt;&gt;"-"),'Funnel Lookup'!I281,#N/A))</f>
        <v>#N/A</v>
      </c>
      <c r="V281" t="e">
        <f ca="1">IF(AND($C281='Funnel setup'!$K$3&amp;'Funnel setup'!$K$6&amp;'Funnel setup'!$K$7&amp;'Funnel setup'!$K$4,'Funnel Lookup'!I281="*",'Funnel Lookup'!I281="*"),#N/A,IF(AND($C281='Funnel setup'!$K$3&amp;'Funnel setup'!$K$6&amp;'Funnel setup'!$K$7&amp;'Funnel setup'!$K$4,'Funnel Lookup'!I281&gt;29,'Funnel Lookup'!I281&lt;&gt;"-"),'Funnel Lookup'!Q281,#N/A))</f>
        <v>#N/A</v>
      </c>
    </row>
    <row r="282" spans="1:22" x14ac:dyDescent="0.25">
      <c r="A282">
        <v>280</v>
      </c>
      <c r="B282" t="e">
        <f t="shared" ca="1" si="64"/>
        <v>#N/A</v>
      </c>
      <c r="C282" t="e">
        <f t="shared" ca="1" si="64"/>
        <v>#N/A</v>
      </c>
      <c r="D282" t="e">
        <f t="shared" ca="1" si="64"/>
        <v>#N/A</v>
      </c>
      <c r="E282" t="e">
        <f t="shared" ca="1" si="64"/>
        <v>#N/A</v>
      </c>
      <c r="F282" t="e">
        <f t="shared" ca="1" si="64"/>
        <v>#N/A</v>
      </c>
      <c r="G282" t="e">
        <f t="shared" ca="1" si="64"/>
        <v>#N/A</v>
      </c>
      <c r="H282" t="e">
        <f t="shared" ca="1" si="64"/>
        <v>#N/A</v>
      </c>
      <c r="I282" t="e">
        <f t="shared" ca="1" si="64"/>
        <v>#N/A</v>
      </c>
      <c r="J282" t="e">
        <f t="shared" ca="1" si="64"/>
        <v>#N/A</v>
      </c>
      <c r="K282" t="e">
        <f t="shared" ca="1" si="64"/>
        <v>#N/A</v>
      </c>
      <c r="L282" t="e">
        <f t="shared" ca="1" si="65"/>
        <v>#N/A</v>
      </c>
      <c r="M282" t="e">
        <f t="shared" ca="1" si="65"/>
        <v>#N/A</v>
      </c>
      <c r="N282" t="e">
        <f t="shared" ca="1" si="65"/>
        <v>#N/A</v>
      </c>
      <c r="O282" t="e">
        <f t="shared" ca="1" si="65"/>
        <v>#N/A</v>
      </c>
      <c r="P282" t="e">
        <f t="shared" ca="1" si="65"/>
        <v>#N/A</v>
      </c>
      <c r="Q282" t="e">
        <f t="shared" ca="1" si="65"/>
        <v>#N/A</v>
      </c>
      <c r="R282" t="e">
        <f t="shared" ca="1" si="65"/>
        <v>#N/A</v>
      </c>
      <c r="S282" t="e">
        <f t="shared" ca="1" si="60"/>
        <v>#N/A</v>
      </c>
      <c r="T282" t="e">
        <f t="shared" ca="1" si="61"/>
        <v>#N/A</v>
      </c>
      <c r="U282" t="e">
        <f ca="1">IF(AND($C282='Funnel setup'!$K$3&amp;'Funnel setup'!$K$6&amp;'Funnel setup'!$K$7&amp;'Funnel setup'!$K$4,'Funnel Lookup'!I282="*",'Funnel Lookup'!I282="*"),#N/A,IF(AND($C282='Funnel setup'!$K$3&amp;'Funnel setup'!$K$6&amp;'Funnel setup'!$K$7&amp;'Funnel setup'!$K$4,'Funnel Lookup'!I282&gt;29,'Funnel Lookup'!I282&lt;&gt;"-"),'Funnel Lookup'!I282,#N/A))</f>
        <v>#N/A</v>
      </c>
      <c r="V282" t="e">
        <f ca="1">IF(AND($C282='Funnel setup'!$K$3&amp;'Funnel setup'!$K$6&amp;'Funnel setup'!$K$7&amp;'Funnel setup'!$K$4,'Funnel Lookup'!I282="*",'Funnel Lookup'!I282="*"),#N/A,IF(AND($C282='Funnel setup'!$K$3&amp;'Funnel setup'!$K$6&amp;'Funnel setup'!$K$7&amp;'Funnel setup'!$K$4,'Funnel Lookup'!I282&gt;29,'Funnel Lookup'!I282&lt;&gt;"-"),'Funnel Lookup'!Q282,#N/A))</f>
        <v>#N/A</v>
      </c>
    </row>
    <row r="283" spans="1:22" x14ac:dyDescent="0.25">
      <c r="A283">
        <v>281</v>
      </c>
      <c r="B283" t="e">
        <f t="shared" ref="B283:K292" ca="1" si="66">VLOOKUP($A283,Funnel_Data,B$1,FALSE)</f>
        <v>#N/A</v>
      </c>
      <c r="C283" t="e">
        <f t="shared" ca="1" si="66"/>
        <v>#N/A</v>
      </c>
      <c r="D283" t="e">
        <f t="shared" ca="1" si="66"/>
        <v>#N/A</v>
      </c>
      <c r="E283" t="e">
        <f t="shared" ca="1" si="66"/>
        <v>#N/A</v>
      </c>
      <c r="F283" t="e">
        <f t="shared" ca="1" si="66"/>
        <v>#N/A</v>
      </c>
      <c r="G283" t="e">
        <f t="shared" ca="1" si="66"/>
        <v>#N/A</v>
      </c>
      <c r="H283" t="e">
        <f t="shared" ca="1" si="66"/>
        <v>#N/A</v>
      </c>
      <c r="I283" t="e">
        <f t="shared" ca="1" si="66"/>
        <v>#N/A</v>
      </c>
      <c r="J283" t="e">
        <f t="shared" ca="1" si="66"/>
        <v>#N/A</v>
      </c>
      <c r="K283" t="e">
        <f t="shared" ca="1" si="66"/>
        <v>#N/A</v>
      </c>
      <c r="L283" t="e">
        <f t="shared" ref="L283:R292" ca="1" si="67">VLOOKUP($A283,Funnel_Data,L$1,FALSE)</f>
        <v>#N/A</v>
      </c>
      <c r="M283" t="e">
        <f t="shared" ca="1" si="67"/>
        <v>#N/A</v>
      </c>
      <c r="N283" t="e">
        <f t="shared" ca="1" si="67"/>
        <v>#N/A</v>
      </c>
      <c r="O283" t="e">
        <f t="shared" ca="1" si="67"/>
        <v>#N/A</v>
      </c>
      <c r="P283" t="e">
        <f t="shared" ca="1" si="67"/>
        <v>#N/A</v>
      </c>
      <c r="Q283" t="e">
        <f t="shared" ca="1" si="67"/>
        <v>#N/A</v>
      </c>
      <c r="R283" t="e">
        <f t="shared" ca="1" si="67"/>
        <v>#N/A</v>
      </c>
      <c r="S283" t="e">
        <f t="shared" ca="1" si="60"/>
        <v>#N/A</v>
      </c>
      <c r="T283" t="e">
        <f t="shared" ca="1" si="61"/>
        <v>#N/A</v>
      </c>
      <c r="U283" t="e">
        <f ca="1">IF(AND($C283='Funnel setup'!$K$3&amp;'Funnel setup'!$K$6&amp;'Funnel setup'!$K$7&amp;'Funnel setup'!$K$4,'Funnel Lookup'!I283="*",'Funnel Lookup'!I283="*"),#N/A,IF(AND($C283='Funnel setup'!$K$3&amp;'Funnel setup'!$K$6&amp;'Funnel setup'!$K$7&amp;'Funnel setup'!$K$4,'Funnel Lookup'!I283&gt;29,'Funnel Lookup'!I283&lt;&gt;"-"),'Funnel Lookup'!I283,#N/A))</f>
        <v>#N/A</v>
      </c>
      <c r="V283" t="e">
        <f ca="1">IF(AND($C283='Funnel setup'!$K$3&amp;'Funnel setup'!$K$6&amp;'Funnel setup'!$K$7&amp;'Funnel setup'!$K$4,'Funnel Lookup'!I283="*",'Funnel Lookup'!I283="*"),#N/A,IF(AND($C283='Funnel setup'!$K$3&amp;'Funnel setup'!$K$6&amp;'Funnel setup'!$K$7&amp;'Funnel setup'!$K$4,'Funnel Lookup'!I283&gt;29,'Funnel Lookup'!I283&lt;&gt;"-"),'Funnel Lookup'!Q283,#N/A))</f>
        <v>#N/A</v>
      </c>
    </row>
    <row r="284" spans="1:22" x14ac:dyDescent="0.25">
      <c r="A284">
        <v>282</v>
      </c>
      <c r="B284" t="e">
        <f t="shared" ca="1" si="66"/>
        <v>#N/A</v>
      </c>
      <c r="C284" t="e">
        <f t="shared" ca="1" si="66"/>
        <v>#N/A</v>
      </c>
      <c r="D284" t="e">
        <f t="shared" ca="1" si="66"/>
        <v>#N/A</v>
      </c>
      <c r="E284" t="e">
        <f t="shared" ca="1" si="66"/>
        <v>#N/A</v>
      </c>
      <c r="F284" t="e">
        <f t="shared" ca="1" si="66"/>
        <v>#N/A</v>
      </c>
      <c r="G284" t="e">
        <f t="shared" ca="1" si="66"/>
        <v>#N/A</v>
      </c>
      <c r="H284" t="e">
        <f t="shared" ca="1" si="66"/>
        <v>#N/A</v>
      </c>
      <c r="I284" t="e">
        <f t="shared" ca="1" si="66"/>
        <v>#N/A</v>
      </c>
      <c r="J284" t="e">
        <f t="shared" ca="1" si="66"/>
        <v>#N/A</v>
      </c>
      <c r="K284" t="e">
        <f t="shared" ca="1" si="66"/>
        <v>#N/A</v>
      </c>
      <c r="L284" t="e">
        <f t="shared" ca="1" si="67"/>
        <v>#N/A</v>
      </c>
      <c r="M284" t="e">
        <f t="shared" ca="1" si="67"/>
        <v>#N/A</v>
      </c>
      <c r="N284" t="e">
        <f t="shared" ca="1" si="67"/>
        <v>#N/A</v>
      </c>
      <c r="O284" t="e">
        <f t="shared" ca="1" si="67"/>
        <v>#N/A</v>
      </c>
      <c r="P284" t="e">
        <f t="shared" ca="1" si="67"/>
        <v>#N/A</v>
      </c>
      <c r="Q284" t="e">
        <f t="shared" ca="1" si="67"/>
        <v>#N/A</v>
      </c>
      <c r="R284" t="e">
        <f t="shared" ca="1" si="67"/>
        <v>#N/A</v>
      </c>
      <c r="S284" t="e">
        <f t="shared" ca="1" si="60"/>
        <v>#N/A</v>
      </c>
      <c r="T284" t="e">
        <f t="shared" ca="1" si="61"/>
        <v>#N/A</v>
      </c>
      <c r="U284" t="e">
        <f ca="1">IF(AND($C284='Funnel setup'!$K$3&amp;'Funnel setup'!$K$6&amp;'Funnel setup'!$K$7&amp;'Funnel setup'!$K$4,'Funnel Lookup'!I284="*",'Funnel Lookup'!I284="*"),#N/A,IF(AND($C284='Funnel setup'!$K$3&amp;'Funnel setup'!$K$6&amp;'Funnel setup'!$K$7&amp;'Funnel setup'!$K$4,'Funnel Lookup'!I284&gt;29,'Funnel Lookup'!I284&lt;&gt;"-"),'Funnel Lookup'!I284,#N/A))</f>
        <v>#N/A</v>
      </c>
      <c r="V284" t="e">
        <f ca="1">IF(AND($C284='Funnel setup'!$K$3&amp;'Funnel setup'!$K$6&amp;'Funnel setup'!$K$7&amp;'Funnel setup'!$K$4,'Funnel Lookup'!I284="*",'Funnel Lookup'!I284="*"),#N/A,IF(AND($C284='Funnel setup'!$K$3&amp;'Funnel setup'!$K$6&amp;'Funnel setup'!$K$7&amp;'Funnel setup'!$K$4,'Funnel Lookup'!I284&gt;29,'Funnel Lookup'!I284&lt;&gt;"-"),'Funnel Lookup'!Q284,#N/A))</f>
        <v>#N/A</v>
      </c>
    </row>
    <row r="285" spans="1:22" x14ac:dyDescent="0.25">
      <c r="A285">
        <v>283</v>
      </c>
      <c r="B285" t="e">
        <f t="shared" ca="1" si="66"/>
        <v>#N/A</v>
      </c>
      <c r="C285" t="e">
        <f t="shared" ca="1" si="66"/>
        <v>#N/A</v>
      </c>
      <c r="D285" t="e">
        <f t="shared" ca="1" si="66"/>
        <v>#N/A</v>
      </c>
      <c r="E285" t="e">
        <f t="shared" ca="1" si="66"/>
        <v>#N/A</v>
      </c>
      <c r="F285" t="e">
        <f t="shared" ca="1" si="66"/>
        <v>#N/A</v>
      </c>
      <c r="G285" t="e">
        <f t="shared" ca="1" si="66"/>
        <v>#N/A</v>
      </c>
      <c r="H285" t="e">
        <f t="shared" ca="1" si="66"/>
        <v>#N/A</v>
      </c>
      <c r="I285" t="e">
        <f t="shared" ca="1" si="66"/>
        <v>#N/A</v>
      </c>
      <c r="J285" t="e">
        <f t="shared" ca="1" si="66"/>
        <v>#N/A</v>
      </c>
      <c r="K285" t="e">
        <f t="shared" ca="1" si="66"/>
        <v>#N/A</v>
      </c>
      <c r="L285" t="e">
        <f t="shared" ca="1" si="67"/>
        <v>#N/A</v>
      </c>
      <c r="M285" t="e">
        <f t="shared" ca="1" si="67"/>
        <v>#N/A</v>
      </c>
      <c r="N285" t="e">
        <f t="shared" ca="1" si="67"/>
        <v>#N/A</v>
      </c>
      <c r="O285" t="e">
        <f t="shared" ca="1" si="67"/>
        <v>#N/A</v>
      </c>
      <c r="P285" t="e">
        <f t="shared" ca="1" si="67"/>
        <v>#N/A</v>
      </c>
      <c r="Q285" t="e">
        <f t="shared" ca="1" si="67"/>
        <v>#N/A</v>
      </c>
      <c r="R285" t="e">
        <f t="shared" ca="1" si="67"/>
        <v>#N/A</v>
      </c>
      <c r="S285" t="e">
        <f t="shared" ca="1" si="60"/>
        <v>#N/A</v>
      </c>
      <c r="T285" t="e">
        <f t="shared" ca="1" si="61"/>
        <v>#N/A</v>
      </c>
      <c r="U285" t="e">
        <f ca="1">IF(AND($C285='Funnel setup'!$K$3&amp;'Funnel setup'!$K$6&amp;'Funnel setup'!$K$7&amp;'Funnel setup'!$K$4,'Funnel Lookup'!I285="*",'Funnel Lookup'!I285="*"),#N/A,IF(AND($C285='Funnel setup'!$K$3&amp;'Funnel setup'!$K$6&amp;'Funnel setup'!$K$7&amp;'Funnel setup'!$K$4,'Funnel Lookup'!I285&gt;29,'Funnel Lookup'!I285&lt;&gt;"-"),'Funnel Lookup'!I285,#N/A))</f>
        <v>#N/A</v>
      </c>
      <c r="V285" t="e">
        <f ca="1">IF(AND($C285='Funnel setup'!$K$3&amp;'Funnel setup'!$K$6&amp;'Funnel setup'!$K$7&amp;'Funnel setup'!$K$4,'Funnel Lookup'!I285="*",'Funnel Lookup'!I285="*"),#N/A,IF(AND($C285='Funnel setup'!$K$3&amp;'Funnel setup'!$K$6&amp;'Funnel setup'!$K$7&amp;'Funnel setup'!$K$4,'Funnel Lookup'!I285&gt;29,'Funnel Lookup'!I285&lt;&gt;"-"),'Funnel Lookup'!Q285,#N/A))</f>
        <v>#N/A</v>
      </c>
    </row>
    <row r="286" spans="1:22" x14ac:dyDescent="0.25">
      <c r="A286">
        <v>284</v>
      </c>
      <c r="B286" t="e">
        <f t="shared" ca="1" si="66"/>
        <v>#N/A</v>
      </c>
      <c r="C286" t="e">
        <f t="shared" ca="1" si="66"/>
        <v>#N/A</v>
      </c>
      <c r="D286" t="e">
        <f t="shared" ca="1" si="66"/>
        <v>#N/A</v>
      </c>
      <c r="E286" t="e">
        <f t="shared" ca="1" si="66"/>
        <v>#N/A</v>
      </c>
      <c r="F286" t="e">
        <f t="shared" ca="1" si="66"/>
        <v>#N/A</v>
      </c>
      <c r="G286" t="e">
        <f t="shared" ca="1" si="66"/>
        <v>#N/A</v>
      </c>
      <c r="H286" t="e">
        <f t="shared" ca="1" si="66"/>
        <v>#N/A</v>
      </c>
      <c r="I286" t="e">
        <f t="shared" ca="1" si="66"/>
        <v>#N/A</v>
      </c>
      <c r="J286" t="e">
        <f t="shared" ca="1" si="66"/>
        <v>#N/A</v>
      </c>
      <c r="K286" t="e">
        <f t="shared" ca="1" si="66"/>
        <v>#N/A</v>
      </c>
      <c r="L286" t="e">
        <f t="shared" ca="1" si="67"/>
        <v>#N/A</v>
      </c>
      <c r="M286" t="e">
        <f t="shared" ca="1" si="67"/>
        <v>#N/A</v>
      </c>
      <c r="N286" t="e">
        <f t="shared" ca="1" si="67"/>
        <v>#N/A</v>
      </c>
      <c r="O286" t="e">
        <f t="shared" ca="1" si="67"/>
        <v>#N/A</v>
      </c>
      <c r="P286" t="e">
        <f t="shared" ca="1" si="67"/>
        <v>#N/A</v>
      </c>
      <c r="Q286" t="e">
        <f t="shared" ca="1" si="67"/>
        <v>#N/A</v>
      </c>
      <c r="R286" t="e">
        <f t="shared" ca="1" si="67"/>
        <v>#N/A</v>
      </c>
      <c r="S286" t="e">
        <f t="shared" ca="1" si="60"/>
        <v>#N/A</v>
      </c>
      <c r="T286" t="e">
        <f t="shared" ca="1" si="61"/>
        <v>#N/A</v>
      </c>
      <c r="U286" t="e">
        <f ca="1">IF(AND($C286='Funnel setup'!$K$3&amp;'Funnel setup'!$K$6&amp;'Funnel setup'!$K$7&amp;'Funnel setup'!$K$4,'Funnel Lookup'!I286="*",'Funnel Lookup'!I286="*"),#N/A,IF(AND($C286='Funnel setup'!$K$3&amp;'Funnel setup'!$K$6&amp;'Funnel setup'!$K$7&amp;'Funnel setup'!$K$4,'Funnel Lookup'!I286&gt;29,'Funnel Lookup'!I286&lt;&gt;"-"),'Funnel Lookup'!I286,#N/A))</f>
        <v>#N/A</v>
      </c>
      <c r="V286" t="e">
        <f ca="1">IF(AND($C286='Funnel setup'!$K$3&amp;'Funnel setup'!$K$6&amp;'Funnel setup'!$K$7&amp;'Funnel setup'!$K$4,'Funnel Lookup'!I286="*",'Funnel Lookup'!I286="*"),#N/A,IF(AND($C286='Funnel setup'!$K$3&amp;'Funnel setup'!$K$6&amp;'Funnel setup'!$K$7&amp;'Funnel setup'!$K$4,'Funnel Lookup'!I286&gt;29,'Funnel Lookup'!I286&lt;&gt;"-"),'Funnel Lookup'!Q286,#N/A))</f>
        <v>#N/A</v>
      </c>
    </row>
    <row r="287" spans="1:22" x14ac:dyDescent="0.25">
      <c r="A287">
        <v>285</v>
      </c>
      <c r="B287" t="e">
        <f t="shared" ca="1" si="66"/>
        <v>#N/A</v>
      </c>
      <c r="C287" t="e">
        <f t="shared" ca="1" si="66"/>
        <v>#N/A</v>
      </c>
      <c r="D287" t="e">
        <f t="shared" ca="1" si="66"/>
        <v>#N/A</v>
      </c>
      <c r="E287" t="e">
        <f t="shared" ca="1" si="66"/>
        <v>#N/A</v>
      </c>
      <c r="F287" t="e">
        <f t="shared" ca="1" si="66"/>
        <v>#N/A</v>
      </c>
      <c r="G287" t="e">
        <f t="shared" ca="1" si="66"/>
        <v>#N/A</v>
      </c>
      <c r="H287" t="e">
        <f t="shared" ca="1" si="66"/>
        <v>#N/A</v>
      </c>
      <c r="I287" t="e">
        <f t="shared" ca="1" si="66"/>
        <v>#N/A</v>
      </c>
      <c r="J287" t="e">
        <f t="shared" ca="1" si="66"/>
        <v>#N/A</v>
      </c>
      <c r="K287" t="e">
        <f t="shared" ca="1" si="66"/>
        <v>#N/A</v>
      </c>
      <c r="L287" t="e">
        <f t="shared" ca="1" si="67"/>
        <v>#N/A</v>
      </c>
      <c r="M287" t="e">
        <f t="shared" ca="1" si="67"/>
        <v>#N/A</v>
      </c>
      <c r="N287" t="e">
        <f t="shared" ca="1" si="67"/>
        <v>#N/A</v>
      </c>
      <c r="O287" t="e">
        <f t="shared" ca="1" si="67"/>
        <v>#N/A</v>
      </c>
      <c r="P287" t="e">
        <f t="shared" ca="1" si="67"/>
        <v>#N/A</v>
      </c>
      <c r="Q287" t="e">
        <f t="shared" ca="1" si="67"/>
        <v>#N/A</v>
      </c>
      <c r="R287" t="e">
        <f t="shared" ca="1" si="67"/>
        <v>#N/A</v>
      </c>
      <c r="S287" t="e">
        <f t="shared" ca="1" si="60"/>
        <v>#N/A</v>
      </c>
      <c r="T287" t="e">
        <f t="shared" ca="1" si="61"/>
        <v>#N/A</v>
      </c>
      <c r="U287" t="e">
        <f ca="1">IF(AND($C287='Funnel setup'!$K$3&amp;'Funnel setup'!$K$6&amp;'Funnel setup'!$K$7&amp;'Funnel setup'!$K$4,'Funnel Lookup'!I287="*",'Funnel Lookup'!I287="*"),#N/A,IF(AND($C287='Funnel setup'!$K$3&amp;'Funnel setup'!$K$6&amp;'Funnel setup'!$K$7&amp;'Funnel setup'!$K$4,'Funnel Lookup'!I287&gt;29,'Funnel Lookup'!I287&lt;&gt;"-"),'Funnel Lookup'!I287,#N/A))</f>
        <v>#N/A</v>
      </c>
      <c r="V287" t="e">
        <f ca="1">IF(AND($C287='Funnel setup'!$K$3&amp;'Funnel setup'!$K$6&amp;'Funnel setup'!$K$7&amp;'Funnel setup'!$K$4,'Funnel Lookup'!I287="*",'Funnel Lookup'!I287="*"),#N/A,IF(AND($C287='Funnel setup'!$K$3&amp;'Funnel setup'!$K$6&amp;'Funnel setup'!$K$7&amp;'Funnel setup'!$K$4,'Funnel Lookup'!I287&gt;29,'Funnel Lookup'!I287&lt;&gt;"-"),'Funnel Lookup'!Q287,#N/A))</f>
        <v>#N/A</v>
      </c>
    </row>
    <row r="288" spans="1:22" x14ac:dyDescent="0.25">
      <c r="A288">
        <v>286</v>
      </c>
      <c r="B288" t="e">
        <f t="shared" ca="1" si="66"/>
        <v>#N/A</v>
      </c>
      <c r="C288" t="e">
        <f t="shared" ca="1" si="66"/>
        <v>#N/A</v>
      </c>
      <c r="D288" t="e">
        <f t="shared" ca="1" si="66"/>
        <v>#N/A</v>
      </c>
      <c r="E288" t="e">
        <f t="shared" ca="1" si="66"/>
        <v>#N/A</v>
      </c>
      <c r="F288" t="e">
        <f t="shared" ca="1" si="66"/>
        <v>#N/A</v>
      </c>
      <c r="G288" t="e">
        <f t="shared" ca="1" si="66"/>
        <v>#N/A</v>
      </c>
      <c r="H288" t="e">
        <f t="shared" ca="1" si="66"/>
        <v>#N/A</v>
      </c>
      <c r="I288" t="e">
        <f t="shared" ca="1" si="66"/>
        <v>#N/A</v>
      </c>
      <c r="J288" t="e">
        <f t="shared" ca="1" si="66"/>
        <v>#N/A</v>
      </c>
      <c r="K288" t="e">
        <f t="shared" ca="1" si="66"/>
        <v>#N/A</v>
      </c>
      <c r="L288" t="e">
        <f t="shared" ca="1" si="67"/>
        <v>#N/A</v>
      </c>
      <c r="M288" t="e">
        <f t="shared" ca="1" si="67"/>
        <v>#N/A</v>
      </c>
      <c r="N288" t="e">
        <f t="shared" ca="1" si="67"/>
        <v>#N/A</v>
      </c>
      <c r="O288" t="e">
        <f t="shared" ca="1" si="67"/>
        <v>#N/A</v>
      </c>
      <c r="P288" t="e">
        <f t="shared" ca="1" si="67"/>
        <v>#N/A</v>
      </c>
      <c r="Q288" t="e">
        <f t="shared" ca="1" si="67"/>
        <v>#N/A</v>
      </c>
      <c r="R288" t="e">
        <f t="shared" ca="1" si="67"/>
        <v>#N/A</v>
      </c>
      <c r="S288" t="e">
        <f t="shared" ca="1" si="60"/>
        <v>#N/A</v>
      </c>
      <c r="T288" t="e">
        <f t="shared" ca="1" si="61"/>
        <v>#N/A</v>
      </c>
      <c r="U288" t="e">
        <f ca="1">IF(AND($C288='Funnel setup'!$K$3&amp;'Funnel setup'!$K$6&amp;'Funnel setup'!$K$7&amp;'Funnel setup'!$K$4,'Funnel Lookup'!I288="*",'Funnel Lookup'!I288="*"),#N/A,IF(AND($C288='Funnel setup'!$K$3&amp;'Funnel setup'!$K$6&amp;'Funnel setup'!$K$7&amp;'Funnel setup'!$K$4,'Funnel Lookup'!I288&gt;29,'Funnel Lookup'!I288&lt;&gt;"-"),'Funnel Lookup'!I288,#N/A))</f>
        <v>#N/A</v>
      </c>
      <c r="V288" t="e">
        <f ca="1">IF(AND($C288='Funnel setup'!$K$3&amp;'Funnel setup'!$K$6&amp;'Funnel setup'!$K$7&amp;'Funnel setup'!$K$4,'Funnel Lookup'!I288="*",'Funnel Lookup'!I288="*"),#N/A,IF(AND($C288='Funnel setup'!$K$3&amp;'Funnel setup'!$K$6&amp;'Funnel setup'!$K$7&amp;'Funnel setup'!$K$4,'Funnel Lookup'!I288&gt;29,'Funnel Lookup'!I288&lt;&gt;"-"),'Funnel Lookup'!Q288,#N/A))</f>
        <v>#N/A</v>
      </c>
    </row>
    <row r="289" spans="1:22" x14ac:dyDescent="0.25">
      <c r="A289">
        <v>287</v>
      </c>
      <c r="B289" t="e">
        <f t="shared" ca="1" si="66"/>
        <v>#N/A</v>
      </c>
      <c r="C289" t="e">
        <f t="shared" ca="1" si="66"/>
        <v>#N/A</v>
      </c>
      <c r="D289" t="e">
        <f t="shared" ca="1" si="66"/>
        <v>#N/A</v>
      </c>
      <c r="E289" t="e">
        <f t="shared" ca="1" si="66"/>
        <v>#N/A</v>
      </c>
      <c r="F289" t="e">
        <f t="shared" ca="1" si="66"/>
        <v>#N/A</v>
      </c>
      <c r="G289" t="e">
        <f t="shared" ca="1" si="66"/>
        <v>#N/A</v>
      </c>
      <c r="H289" t="e">
        <f t="shared" ca="1" si="66"/>
        <v>#N/A</v>
      </c>
      <c r="I289" t="e">
        <f t="shared" ca="1" si="66"/>
        <v>#N/A</v>
      </c>
      <c r="J289" t="e">
        <f t="shared" ca="1" si="66"/>
        <v>#N/A</v>
      </c>
      <c r="K289" t="e">
        <f t="shared" ca="1" si="66"/>
        <v>#N/A</v>
      </c>
      <c r="L289" t="e">
        <f t="shared" ca="1" si="67"/>
        <v>#N/A</v>
      </c>
      <c r="M289" t="e">
        <f t="shared" ca="1" si="67"/>
        <v>#N/A</v>
      </c>
      <c r="N289" t="e">
        <f t="shared" ca="1" si="67"/>
        <v>#N/A</v>
      </c>
      <c r="O289" t="e">
        <f t="shared" ca="1" si="67"/>
        <v>#N/A</v>
      </c>
      <c r="P289" t="e">
        <f t="shared" ca="1" si="67"/>
        <v>#N/A</v>
      </c>
      <c r="Q289" t="e">
        <f t="shared" ca="1" si="67"/>
        <v>#N/A</v>
      </c>
      <c r="R289" t="e">
        <f t="shared" ca="1" si="67"/>
        <v>#N/A</v>
      </c>
      <c r="S289" t="e">
        <f t="shared" ca="1" si="60"/>
        <v>#N/A</v>
      </c>
      <c r="T289" t="e">
        <f t="shared" ca="1" si="61"/>
        <v>#N/A</v>
      </c>
      <c r="U289" t="e">
        <f ca="1">IF(AND($C289='Funnel setup'!$K$3&amp;'Funnel setup'!$K$6&amp;'Funnel setup'!$K$7&amp;'Funnel setup'!$K$4,'Funnel Lookup'!I289="*",'Funnel Lookup'!I289="*"),#N/A,IF(AND($C289='Funnel setup'!$K$3&amp;'Funnel setup'!$K$6&amp;'Funnel setup'!$K$7&amp;'Funnel setup'!$K$4,'Funnel Lookup'!I289&gt;29,'Funnel Lookup'!I289&lt;&gt;"-"),'Funnel Lookup'!I289,#N/A))</f>
        <v>#N/A</v>
      </c>
      <c r="V289" t="e">
        <f ca="1">IF(AND($C289='Funnel setup'!$K$3&amp;'Funnel setup'!$K$6&amp;'Funnel setup'!$K$7&amp;'Funnel setup'!$K$4,'Funnel Lookup'!I289="*",'Funnel Lookup'!I289="*"),#N/A,IF(AND($C289='Funnel setup'!$K$3&amp;'Funnel setup'!$K$6&amp;'Funnel setup'!$K$7&amp;'Funnel setup'!$K$4,'Funnel Lookup'!I289&gt;29,'Funnel Lookup'!I289&lt;&gt;"-"),'Funnel Lookup'!Q289,#N/A))</f>
        <v>#N/A</v>
      </c>
    </row>
    <row r="290" spans="1:22" x14ac:dyDescent="0.25">
      <c r="A290">
        <v>288</v>
      </c>
      <c r="B290" t="e">
        <f t="shared" ca="1" si="66"/>
        <v>#N/A</v>
      </c>
      <c r="C290" t="e">
        <f t="shared" ca="1" si="66"/>
        <v>#N/A</v>
      </c>
      <c r="D290" t="e">
        <f t="shared" ca="1" si="66"/>
        <v>#N/A</v>
      </c>
      <c r="E290" t="e">
        <f t="shared" ca="1" si="66"/>
        <v>#N/A</v>
      </c>
      <c r="F290" t="e">
        <f t="shared" ca="1" si="66"/>
        <v>#N/A</v>
      </c>
      <c r="G290" t="e">
        <f t="shared" ca="1" si="66"/>
        <v>#N/A</v>
      </c>
      <c r="H290" t="e">
        <f t="shared" ca="1" si="66"/>
        <v>#N/A</v>
      </c>
      <c r="I290" t="e">
        <f t="shared" ca="1" si="66"/>
        <v>#N/A</v>
      </c>
      <c r="J290" t="e">
        <f t="shared" ca="1" si="66"/>
        <v>#N/A</v>
      </c>
      <c r="K290" t="e">
        <f t="shared" ca="1" si="66"/>
        <v>#N/A</v>
      </c>
      <c r="L290" t="e">
        <f t="shared" ca="1" si="67"/>
        <v>#N/A</v>
      </c>
      <c r="M290" t="e">
        <f t="shared" ca="1" si="67"/>
        <v>#N/A</v>
      </c>
      <c r="N290" t="e">
        <f t="shared" ca="1" si="67"/>
        <v>#N/A</v>
      </c>
      <c r="O290" t="e">
        <f t="shared" ca="1" si="67"/>
        <v>#N/A</v>
      </c>
      <c r="P290" t="e">
        <f t="shared" ca="1" si="67"/>
        <v>#N/A</v>
      </c>
      <c r="Q290" t="e">
        <f t="shared" ca="1" si="67"/>
        <v>#N/A</v>
      </c>
      <c r="R290" t="e">
        <f t="shared" ca="1" si="67"/>
        <v>#N/A</v>
      </c>
      <c r="S290" t="e">
        <f t="shared" ca="1" si="60"/>
        <v>#N/A</v>
      </c>
      <c r="T290" t="e">
        <f t="shared" ca="1" si="61"/>
        <v>#N/A</v>
      </c>
      <c r="U290" t="e">
        <f ca="1">IF(AND($C290='Funnel setup'!$K$3&amp;'Funnel setup'!$K$6&amp;'Funnel setup'!$K$7&amp;'Funnel setup'!$K$4,'Funnel Lookup'!I290="*",'Funnel Lookup'!I290="*"),#N/A,IF(AND($C290='Funnel setup'!$K$3&amp;'Funnel setup'!$K$6&amp;'Funnel setup'!$K$7&amp;'Funnel setup'!$K$4,'Funnel Lookup'!I290&gt;29,'Funnel Lookup'!I290&lt;&gt;"-"),'Funnel Lookup'!I290,#N/A))</f>
        <v>#N/A</v>
      </c>
      <c r="V290" t="e">
        <f ca="1">IF(AND($C290='Funnel setup'!$K$3&amp;'Funnel setup'!$K$6&amp;'Funnel setup'!$K$7&amp;'Funnel setup'!$K$4,'Funnel Lookup'!I290="*",'Funnel Lookup'!I290="*"),#N/A,IF(AND($C290='Funnel setup'!$K$3&amp;'Funnel setup'!$K$6&amp;'Funnel setup'!$K$7&amp;'Funnel setup'!$K$4,'Funnel Lookup'!I290&gt;29,'Funnel Lookup'!I290&lt;&gt;"-"),'Funnel Lookup'!Q290,#N/A))</f>
        <v>#N/A</v>
      </c>
    </row>
    <row r="291" spans="1:22" x14ac:dyDescent="0.25">
      <c r="A291">
        <v>289</v>
      </c>
      <c r="B291" t="e">
        <f t="shared" ca="1" si="66"/>
        <v>#N/A</v>
      </c>
      <c r="C291" t="e">
        <f t="shared" ca="1" si="66"/>
        <v>#N/A</v>
      </c>
      <c r="D291" t="e">
        <f t="shared" ca="1" si="66"/>
        <v>#N/A</v>
      </c>
      <c r="E291" t="e">
        <f t="shared" ca="1" si="66"/>
        <v>#N/A</v>
      </c>
      <c r="F291" t="e">
        <f t="shared" ca="1" si="66"/>
        <v>#N/A</v>
      </c>
      <c r="G291" t="e">
        <f t="shared" ca="1" si="66"/>
        <v>#N/A</v>
      </c>
      <c r="H291" t="e">
        <f t="shared" ca="1" si="66"/>
        <v>#N/A</v>
      </c>
      <c r="I291" t="e">
        <f t="shared" ca="1" si="66"/>
        <v>#N/A</v>
      </c>
      <c r="J291" t="e">
        <f t="shared" ca="1" si="66"/>
        <v>#N/A</v>
      </c>
      <c r="K291" t="e">
        <f t="shared" ca="1" si="66"/>
        <v>#N/A</v>
      </c>
      <c r="L291" t="e">
        <f t="shared" ca="1" si="67"/>
        <v>#N/A</v>
      </c>
      <c r="M291" t="e">
        <f t="shared" ca="1" si="67"/>
        <v>#N/A</v>
      </c>
      <c r="N291" t="e">
        <f t="shared" ca="1" si="67"/>
        <v>#N/A</v>
      </c>
      <c r="O291" t="e">
        <f t="shared" ca="1" si="67"/>
        <v>#N/A</v>
      </c>
      <c r="P291" t="e">
        <f t="shared" ca="1" si="67"/>
        <v>#N/A</v>
      </c>
      <c r="Q291" t="e">
        <f t="shared" ca="1" si="67"/>
        <v>#N/A</v>
      </c>
      <c r="R291" t="e">
        <f t="shared" ca="1" si="67"/>
        <v>#N/A</v>
      </c>
      <c r="S291" t="e">
        <f t="shared" ca="1" si="60"/>
        <v>#N/A</v>
      </c>
      <c r="T291" t="e">
        <f t="shared" ca="1" si="61"/>
        <v>#N/A</v>
      </c>
      <c r="U291" t="e">
        <f ca="1">IF(AND($C291='Funnel setup'!$K$3&amp;'Funnel setup'!$K$6&amp;'Funnel setup'!$K$7&amp;'Funnel setup'!$K$4,'Funnel Lookup'!I291="*",'Funnel Lookup'!I291="*"),#N/A,IF(AND($C291='Funnel setup'!$K$3&amp;'Funnel setup'!$K$6&amp;'Funnel setup'!$K$7&amp;'Funnel setup'!$K$4,'Funnel Lookup'!I291&gt;29,'Funnel Lookup'!I291&lt;&gt;"-"),'Funnel Lookup'!I291,#N/A))</f>
        <v>#N/A</v>
      </c>
      <c r="V291" t="e">
        <f ca="1">IF(AND($C291='Funnel setup'!$K$3&amp;'Funnel setup'!$K$6&amp;'Funnel setup'!$K$7&amp;'Funnel setup'!$K$4,'Funnel Lookup'!I291="*",'Funnel Lookup'!I291="*"),#N/A,IF(AND($C291='Funnel setup'!$K$3&amp;'Funnel setup'!$K$6&amp;'Funnel setup'!$K$7&amp;'Funnel setup'!$K$4,'Funnel Lookup'!I291&gt;29,'Funnel Lookup'!I291&lt;&gt;"-"),'Funnel Lookup'!Q291,#N/A))</f>
        <v>#N/A</v>
      </c>
    </row>
    <row r="292" spans="1:22" x14ac:dyDescent="0.25">
      <c r="A292">
        <v>290</v>
      </c>
      <c r="B292" t="e">
        <f t="shared" ca="1" si="66"/>
        <v>#N/A</v>
      </c>
      <c r="C292" t="e">
        <f t="shared" ca="1" si="66"/>
        <v>#N/A</v>
      </c>
      <c r="D292" t="e">
        <f t="shared" ca="1" si="66"/>
        <v>#N/A</v>
      </c>
      <c r="E292" t="e">
        <f t="shared" ca="1" si="66"/>
        <v>#N/A</v>
      </c>
      <c r="F292" t="e">
        <f t="shared" ca="1" si="66"/>
        <v>#N/A</v>
      </c>
      <c r="G292" t="e">
        <f t="shared" ca="1" si="66"/>
        <v>#N/A</v>
      </c>
      <c r="H292" t="e">
        <f t="shared" ca="1" si="66"/>
        <v>#N/A</v>
      </c>
      <c r="I292" t="e">
        <f t="shared" ca="1" si="66"/>
        <v>#N/A</v>
      </c>
      <c r="J292" t="e">
        <f t="shared" ca="1" si="66"/>
        <v>#N/A</v>
      </c>
      <c r="K292" t="e">
        <f t="shared" ca="1" si="66"/>
        <v>#N/A</v>
      </c>
      <c r="L292" t="e">
        <f t="shared" ca="1" si="67"/>
        <v>#N/A</v>
      </c>
      <c r="M292" t="e">
        <f t="shared" ca="1" si="67"/>
        <v>#N/A</v>
      </c>
      <c r="N292" t="e">
        <f t="shared" ca="1" si="67"/>
        <v>#N/A</v>
      </c>
      <c r="O292" t="e">
        <f t="shared" ca="1" si="67"/>
        <v>#N/A</v>
      </c>
      <c r="P292" t="e">
        <f t="shared" ca="1" si="67"/>
        <v>#N/A</v>
      </c>
      <c r="Q292" t="e">
        <f t="shared" ca="1" si="67"/>
        <v>#N/A</v>
      </c>
      <c r="R292" t="e">
        <f t="shared" ca="1" si="67"/>
        <v>#N/A</v>
      </c>
      <c r="S292" t="e">
        <f t="shared" ca="1" si="60"/>
        <v>#N/A</v>
      </c>
      <c r="T292" t="e">
        <f t="shared" ca="1" si="61"/>
        <v>#N/A</v>
      </c>
      <c r="U292" t="e">
        <f ca="1">IF(AND($C292='Funnel setup'!$K$3&amp;'Funnel setup'!$K$6&amp;'Funnel setup'!$K$7&amp;'Funnel setup'!$K$4,'Funnel Lookup'!I292="*",'Funnel Lookup'!I292="*"),#N/A,IF(AND($C292='Funnel setup'!$K$3&amp;'Funnel setup'!$K$6&amp;'Funnel setup'!$K$7&amp;'Funnel setup'!$K$4,'Funnel Lookup'!I292&gt;29,'Funnel Lookup'!I292&lt;&gt;"-"),'Funnel Lookup'!I292,#N/A))</f>
        <v>#N/A</v>
      </c>
      <c r="V292" t="e">
        <f ca="1">IF(AND($C292='Funnel setup'!$K$3&amp;'Funnel setup'!$K$6&amp;'Funnel setup'!$K$7&amp;'Funnel setup'!$K$4,'Funnel Lookup'!I292="*",'Funnel Lookup'!I292="*"),#N/A,IF(AND($C292='Funnel setup'!$K$3&amp;'Funnel setup'!$K$6&amp;'Funnel setup'!$K$7&amp;'Funnel setup'!$K$4,'Funnel Lookup'!I292&gt;29,'Funnel Lookup'!I292&lt;&gt;"-"),'Funnel Lookup'!Q292,#N/A))</f>
        <v>#N/A</v>
      </c>
    </row>
    <row r="293" spans="1:22" x14ac:dyDescent="0.25">
      <c r="A293">
        <v>291</v>
      </c>
      <c r="B293" t="e">
        <f t="shared" ref="B293:K302" ca="1" si="68">VLOOKUP($A293,Funnel_Data,B$1,FALSE)</f>
        <v>#N/A</v>
      </c>
      <c r="C293" t="e">
        <f t="shared" ca="1" si="68"/>
        <v>#N/A</v>
      </c>
      <c r="D293" t="e">
        <f t="shared" ca="1" si="68"/>
        <v>#N/A</v>
      </c>
      <c r="E293" t="e">
        <f t="shared" ca="1" si="68"/>
        <v>#N/A</v>
      </c>
      <c r="F293" t="e">
        <f t="shared" ca="1" si="68"/>
        <v>#N/A</v>
      </c>
      <c r="G293" t="e">
        <f t="shared" ca="1" si="68"/>
        <v>#N/A</v>
      </c>
      <c r="H293" t="e">
        <f t="shared" ca="1" si="68"/>
        <v>#N/A</v>
      </c>
      <c r="I293" t="e">
        <f t="shared" ca="1" si="68"/>
        <v>#N/A</v>
      </c>
      <c r="J293" t="e">
        <f t="shared" ca="1" si="68"/>
        <v>#N/A</v>
      </c>
      <c r="K293" t="e">
        <f t="shared" ca="1" si="68"/>
        <v>#N/A</v>
      </c>
      <c r="L293" t="e">
        <f t="shared" ref="L293:R302" ca="1" si="69">VLOOKUP($A293,Funnel_Data,L$1,FALSE)</f>
        <v>#N/A</v>
      </c>
      <c r="M293" t="e">
        <f t="shared" ca="1" si="69"/>
        <v>#N/A</v>
      </c>
      <c r="N293" t="e">
        <f t="shared" ca="1" si="69"/>
        <v>#N/A</v>
      </c>
      <c r="O293" t="e">
        <f t="shared" ca="1" si="69"/>
        <v>#N/A</v>
      </c>
      <c r="P293" t="e">
        <f t="shared" ca="1" si="69"/>
        <v>#N/A</v>
      </c>
      <c r="Q293" t="e">
        <f t="shared" ca="1" si="69"/>
        <v>#N/A</v>
      </c>
      <c r="R293" t="e">
        <f t="shared" ca="1" si="69"/>
        <v>#N/A</v>
      </c>
      <c r="S293" t="e">
        <f t="shared" ca="1" si="60"/>
        <v>#N/A</v>
      </c>
      <c r="T293" t="e">
        <f t="shared" ca="1" si="61"/>
        <v>#N/A</v>
      </c>
      <c r="U293" t="e">
        <f ca="1">IF(AND($C293='Funnel setup'!$K$3&amp;'Funnel setup'!$K$6&amp;'Funnel setup'!$K$7&amp;'Funnel setup'!$K$4,'Funnel Lookup'!I293="*",'Funnel Lookup'!I293="*"),#N/A,IF(AND($C293='Funnel setup'!$K$3&amp;'Funnel setup'!$K$6&amp;'Funnel setup'!$K$7&amp;'Funnel setup'!$K$4,'Funnel Lookup'!I293&gt;29,'Funnel Lookup'!I293&lt;&gt;"-"),'Funnel Lookup'!I293,#N/A))</f>
        <v>#N/A</v>
      </c>
      <c r="V293" t="e">
        <f ca="1">IF(AND($C293='Funnel setup'!$K$3&amp;'Funnel setup'!$K$6&amp;'Funnel setup'!$K$7&amp;'Funnel setup'!$K$4,'Funnel Lookup'!I293="*",'Funnel Lookup'!I293="*"),#N/A,IF(AND($C293='Funnel setup'!$K$3&amp;'Funnel setup'!$K$6&amp;'Funnel setup'!$K$7&amp;'Funnel setup'!$K$4,'Funnel Lookup'!I293&gt;29,'Funnel Lookup'!I293&lt;&gt;"-"),'Funnel Lookup'!Q293,#N/A))</f>
        <v>#N/A</v>
      </c>
    </row>
    <row r="294" spans="1:22" x14ac:dyDescent="0.25">
      <c r="A294">
        <v>292</v>
      </c>
      <c r="B294" t="e">
        <f t="shared" ca="1" si="68"/>
        <v>#N/A</v>
      </c>
      <c r="C294" t="e">
        <f t="shared" ca="1" si="68"/>
        <v>#N/A</v>
      </c>
      <c r="D294" t="e">
        <f t="shared" ca="1" si="68"/>
        <v>#N/A</v>
      </c>
      <c r="E294" t="e">
        <f t="shared" ca="1" si="68"/>
        <v>#N/A</v>
      </c>
      <c r="F294" t="e">
        <f t="shared" ca="1" si="68"/>
        <v>#N/A</v>
      </c>
      <c r="G294" t="e">
        <f t="shared" ca="1" si="68"/>
        <v>#N/A</v>
      </c>
      <c r="H294" t="e">
        <f t="shared" ca="1" si="68"/>
        <v>#N/A</v>
      </c>
      <c r="I294" t="e">
        <f t="shared" ca="1" si="68"/>
        <v>#N/A</v>
      </c>
      <c r="J294" t="e">
        <f t="shared" ca="1" si="68"/>
        <v>#N/A</v>
      </c>
      <c r="K294" t="e">
        <f t="shared" ca="1" si="68"/>
        <v>#N/A</v>
      </c>
      <c r="L294" t="e">
        <f t="shared" ca="1" si="69"/>
        <v>#N/A</v>
      </c>
      <c r="M294" t="e">
        <f t="shared" ca="1" si="69"/>
        <v>#N/A</v>
      </c>
      <c r="N294" t="e">
        <f t="shared" ca="1" si="69"/>
        <v>#N/A</v>
      </c>
      <c r="O294" t="e">
        <f t="shared" ca="1" si="69"/>
        <v>#N/A</v>
      </c>
      <c r="P294" t="e">
        <f t="shared" ca="1" si="69"/>
        <v>#N/A</v>
      </c>
      <c r="Q294" t="e">
        <f t="shared" ca="1" si="69"/>
        <v>#N/A</v>
      </c>
      <c r="R294" t="e">
        <f t="shared" ca="1" si="69"/>
        <v>#N/A</v>
      </c>
      <c r="S294" t="e">
        <f t="shared" ca="1" si="60"/>
        <v>#N/A</v>
      </c>
      <c r="T294" t="e">
        <f t="shared" ca="1" si="61"/>
        <v>#N/A</v>
      </c>
      <c r="U294" t="e">
        <f ca="1">IF(AND($C294='Funnel setup'!$K$3&amp;'Funnel setup'!$K$6&amp;'Funnel setup'!$K$7&amp;'Funnel setup'!$K$4,'Funnel Lookup'!I294="*",'Funnel Lookup'!I294="*"),#N/A,IF(AND($C294='Funnel setup'!$K$3&amp;'Funnel setup'!$K$6&amp;'Funnel setup'!$K$7&amp;'Funnel setup'!$K$4,'Funnel Lookup'!I294&gt;29,'Funnel Lookup'!I294&lt;&gt;"-"),'Funnel Lookup'!I294,#N/A))</f>
        <v>#N/A</v>
      </c>
      <c r="V294" t="e">
        <f ca="1">IF(AND($C294='Funnel setup'!$K$3&amp;'Funnel setup'!$K$6&amp;'Funnel setup'!$K$7&amp;'Funnel setup'!$K$4,'Funnel Lookup'!I294="*",'Funnel Lookup'!I294="*"),#N/A,IF(AND($C294='Funnel setup'!$K$3&amp;'Funnel setup'!$K$6&amp;'Funnel setup'!$K$7&amp;'Funnel setup'!$K$4,'Funnel Lookup'!I294&gt;29,'Funnel Lookup'!I294&lt;&gt;"-"),'Funnel Lookup'!Q294,#N/A))</f>
        <v>#N/A</v>
      </c>
    </row>
    <row r="295" spans="1:22" x14ac:dyDescent="0.25">
      <c r="A295">
        <v>293</v>
      </c>
      <c r="B295" t="e">
        <f t="shared" ca="1" si="68"/>
        <v>#N/A</v>
      </c>
      <c r="C295" t="e">
        <f t="shared" ca="1" si="68"/>
        <v>#N/A</v>
      </c>
      <c r="D295" t="e">
        <f t="shared" ca="1" si="68"/>
        <v>#N/A</v>
      </c>
      <c r="E295" t="e">
        <f t="shared" ca="1" si="68"/>
        <v>#N/A</v>
      </c>
      <c r="F295" t="e">
        <f t="shared" ca="1" si="68"/>
        <v>#N/A</v>
      </c>
      <c r="G295" t="e">
        <f t="shared" ca="1" si="68"/>
        <v>#N/A</v>
      </c>
      <c r="H295" t="e">
        <f t="shared" ca="1" si="68"/>
        <v>#N/A</v>
      </c>
      <c r="I295" t="e">
        <f t="shared" ca="1" si="68"/>
        <v>#N/A</v>
      </c>
      <c r="J295" t="e">
        <f t="shared" ca="1" si="68"/>
        <v>#N/A</v>
      </c>
      <c r="K295" t="e">
        <f t="shared" ca="1" si="68"/>
        <v>#N/A</v>
      </c>
      <c r="L295" t="e">
        <f t="shared" ca="1" si="69"/>
        <v>#N/A</v>
      </c>
      <c r="M295" t="e">
        <f t="shared" ca="1" si="69"/>
        <v>#N/A</v>
      </c>
      <c r="N295" t="e">
        <f t="shared" ca="1" si="69"/>
        <v>#N/A</v>
      </c>
      <c r="O295" t="e">
        <f t="shared" ca="1" si="69"/>
        <v>#N/A</v>
      </c>
      <c r="P295" t="e">
        <f t="shared" ca="1" si="69"/>
        <v>#N/A</v>
      </c>
      <c r="Q295" t="e">
        <f t="shared" ca="1" si="69"/>
        <v>#N/A</v>
      </c>
      <c r="R295" t="e">
        <f t="shared" ca="1" si="69"/>
        <v>#N/A</v>
      </c>
      <c r="S295" t="e">
        <f t="shared" ca="1" si="60"/>
        <v>#N/A</v>
      </c>
      <c r="T295" t="e">
        <f t="shared" ca="1" si="61"/>
        <v>#N/A</v>
      </c>
      <c r="U295" t="e">
        <f ca="1">IF(AND($C295='Funnel setup'!$K$3&amp;'Funnel setup'!$K$6&amp;'Funnel setup'!$K$7&amp;'Funnel setup'!$K$4,'Funnel Lookup'!I295="*",'Funnel Lookup'!I295="*"),#N/A,IF(AND($C295='Funnel setup'!$K$3&amp;'Funnel setup'!$K$6&amp;'Funnel setup'!$K$7&amp;'Funnel setup'!$K$4,'Funnel Lookup'!I295&gt;29,'Funnel Lookup'!I295&lt;&gt;"-"),'Funnel Lookup'!I295,#N/A))</f>
        <v>#N/A</v>
      </c>
      <c r="V295" t="e">
        <f ca="1">IF(AND($C295='Funnel setup'!$K$3&amp;'Funnel setup'!$K$6&amp;'Funnel setup'!$K$7&amp;'Funnel setup'!$K$4,'Funnel Lookup'!I295="*",'Funnel Lookup'!I295="*"),#N/A,IF(AND($C295='Funnel setup'!$K$3&amp;'Funnel setup'!$K$6&amp;'Funnel setup'!$K$7&amp;'Funnel setup'!$K$4,'Funnel Lookup'!I295&gt;29,'Funnel Lookup'!I295&lt;&gt;"-"),'Funnel Lookup'!Q295,#N/A))</f>
        <v>#N/A</v>
      </c>
    </row>
    <row r="296" spans="1:22" x14ac:dyDescent="0.25">
      <c r="A296">
        <v>294</v>
      </c>
      <c r="B296" t="e">
        <f t="shared" ca="1" si="68"/>
        <v>#N/A</v>
      </c>
      <c r="C296" t="e">
        <f t="shared" ca="1" si="68"/>
        <v>#N/A</v>
      </c>
      <c r="D296" t="e">
        <f t="shared" ca="1" si="68"/>
        <v>#N/A</v>
      </c>
      <c r="E296" t="e">
        <f t="shared" ca="1" si="68"/>
        <v>#N/A</v>
      </c>
      <c r="F296" t="e">
        <f t="shared" ca="1" si="68"/>
        <v>#N/A</v>
      </c>
      <c r="G296" t="e">
        <f t="shared" ca="1" si="68"/>
        <v>#N/A</v>
      </c>
      <c r="H296" t="e">
        <f t="shared" ca="1" si="68"/>
        <v>#N/A</v>
      </c>
      <c r="I296" t="e">
        <f t="shared" ca="1" si="68"/>
        <v>#N/A</v>
      </c>
      <c r="J296" t="e">
        <f t="shared" ca="1" si="68"/>
        <v>#N/A</v>
      </c>
      <c r="K296" t="e">
        <f t="shared" ca="1" si="68"/>
        <v>#N/A</v>
      </c>
      <c r="L296" t="e">
        <f t="shared" ca="1" si="69"/>
        <v>#N/A</v>
      </c>
      <c r="M296" t="e">
        <f t="shared" ca="1" si="69"/>
        <v>#N/A</v>
      </c>
      <c r="N296" t="e">
        <f t="shared" ca="1" si="69"/>
        <v>#N/A</v>
      </c>
      <c r="O296" t="e">
        <f t="shared" ca="1" si="69"/>
        <v>#N/A</v>
      </c>
      <c r="P296" t="e">
        <f t="shared" ca="1" si="69"/>
        <v>#N/A</v>
      </c>
      <c r="Q296" t="e">
        <f t="shared" ca="1" si="69"/>
        <v>#N/A</v>
      </c>
      <c r="R296" t="e">
        <f t="shared" ca="1" si="69"/>
        <v>#N/A</v>
      </c>
      <c r="S296" t="e">
        <f t="shared" ca="1" si="60"/>
        <v>#N/A</v>
      </c>
      <c r="T296" t="e">
        <f t="shared" ca="1" si="61"/>
        <v>#N/A</v>
      </c>
      <c r="U296" t="e">
        <f ca="1">IF(AND($C296='Funnel setup'!$K$3&amp;'Funnel setup'!$K$6&amp;'Funnel setup'!$K$7&amp;'Funnel setup'!$K$4,'Funnel Lookup'!I296="*",'Funnel Lookup'!I296="*"),#N/A,IF(AND($C296='Funnel setup'!$K$3&amp;'Funnel setup'!$K$6&amp;'Funnel setup'!$K$7&amp;'Funnel setup'!$K$4,'Funnel Lookup'!I296&gt;29,'Funnel Lookup'!I296&lt;&gt;"-"),'Funnel Lookup'!I296,#N/A))</f>
        <v>#N/A</v>
      </c>
      <c r="V296" t="e">
        <f ca="1">IF(AND($C296='Funnel setup'!$K$3&amp;'Funnel setup'!$K$6&amp;'Funnel setup'!$K$7&amp;'Funnel setup'!$K$4,'Funnel Lookup'!I296="*",'Funnel Lookup'!I296="*"),#N/A,IF(AND($C296='Funnel setup'!$K$3&amp;'Funnel setup'!$K$6&amp;'Funnel setup'!$K$7&amp;'Funnel setup'!$K$4,'Funnel Lookup'!I296&gt;29,'Funnel Lookup'!I296&lt;&gt;"-"),'Funnel Lookup'!Q296,#N/A))</f>
        <v>#N/A</v>
      </c>
    </row>
    <row r="297" spans="1:22" x14ac:dyDescent="0.25">
      <c r="A297">
        <v>295</v>
      </c>
      <c r="B297" t="e">
        <f t="shared" ca="1" si="68"/>
        <v>#N/A</v>
      </c>
      <c r="C297" t="e">
        <f t="shared" ca="1" si="68"/>
        <v>#N/A</v>
      </c>
      <c r="D297" t="e">
        <f t="shared" ca="1" si="68"/>
        <v>#N/A</v>
      </c>
      <c r="E297" t="e">
        <f t="shared" ca="1" si="68"/>
        <v>#N/A</v>
      </c>
      <c r="F297" t="e">
        <f t="shared" ca="1" si="68"/>
        <v>#N/A</v>
      </c>
      <c r="G297" t="e">
        <f t="shared" ca="1" si="68"/>
        <v>#N/A</v>
      </c>
      <c r="H297" t="e">
        <f t="shared" ca="1" si="68"/>
        <v>#N/A</v>
      </c>
      <c r="I297" t="e">
        <f t="shared" ca="1" si="68"/>
        <v>#N/A</v>
      </c>
      <c r="J297" t="e">
        <f t="shared" ca="1" si="68"/>
        <v>#N/A</v>
      </c>
      <c r="K297" t="e">
        <f t="shared" ca="1" si="68"/>
        <v>#N/A</v>
      </c>
      <c r="L297" t="e">
        <f t="shared" ca="1" si="69"/>
        <v>#N/A</v>
      </c>
      <c r="M297" t="e">
        <f t="shared" ca="1" si="69"/>
        <v>#N/A</v>
      </c>
      <c r="N297" t="e">
        <f t="shared" ca="1" si="69"/>
        <v>#N/A</v>
      </c>
      <c r="O297" t="e">
        <f t="shared" ca="1" si="69"/>
        <v>#N/A</v>
      </c>
      <c r="P297" t="e">
        <f t="shared" ca="1" si="69"/>
        <v>#N/A</v>
      </c>
      <c r="Q297" t="e">
        <f t="shared" ca="1" si="69"/>
        <v>#N/A</v>
      </c>
      <c r="R297" t="e">
        <f t="shared" ca="1" si="69"/>
        <v>#N/A</v>
      </c>
      <c r="S297" t="e">
        <f t="shared" ca="1" si="60"/>
        <v>#N/A</v>
      </c>
      <c r="T297" t="e">
        <f t="shared" ca="1" si="61"/>
        <v>#N/A</v>
      </c>
      <c r="U297" t="e">
        <f ca="1">IF(AND($C297='Funnel setup'!$K$3&amp;'Funnel setup'!$K$6&amp;'Funnel setup'!$K$7&amp;'Funnel setup'!$K$4,'Funnel Lookup'!I297="*",'Funnel Lookup'!I297="*"),#N/A,IF(AND($C297='Funnel setup'!$K$3&amp;'Funnel setup'!$K$6&amp;'Funnel setup'!$K$7&amp;'Funnel setup'!$K$4,'Funnel Lookup'!I297&gt;29,'Funnel Lookup'!I297&lt;&gt;"-"),'Funnel Lookup'!I297,#N/A))</f>
        <v>#N/A</v>
      </c>
      <c r="V297" t="e">
        <f ca="1">IF(AND($C297='Funnel setup'!$K$3&amp;'Funnel setup'!$K$6&amp;'Funnel setup'!$K$7&amp;'Funnel setup'!$K$4,'Funnel Lookup'!I297="*",'Funnel Lookup'!I297="*"),#N/A,IF(AND($C297='Funnel setup'!$K$3&amp;'Funnel setup'!$K$6&amp;'Funnel setup'!$K$7&amp;'Funnel setup'!$K$4,'Funnel Lookup'!I297&gt;29,'Funnel Lookup'!I297&lt;&gt;"-"),'Funnel Lookup'!Q297,#N/A))</f>
        <v>#N/A</v>
      </c>
    </row>
    <row r="298" spans="1:22" x14ac:dyDescent="0.25">
      <c r="A298">
        <v>296</v>
      </c>
      <c r="B298" t="e">
        <f t="shared" ca="1" si="68"/>
        <v>#N/A</v>
      </c>
      <c r="C298" t="e">
        <f t="shared" ca="1" si="68"/>
        <v>#N/A</v>
      </c>
      <c r="D298" t="e">
        <f t="shared" ca="1" si="68"/>
        <v>#N/A</v>
      </c>
      <c r="E298" t="e">
        <f t="shared" ca="1" si="68"/>
        <v>#N/A</v>
      </c>
      <c r="F298" t="e">
        <f t="shared" ca="1" si="68"/>
        <v>#N/A</v>
      </c>
      <c r="G298" t="e">
        <f t="shared" ca="1" si="68"/>
        <v>#N/A</v>
      </c>
      <c r="H298" t="e">
        <f t="shared" ca="1" si="68"/>
        <v>#N/A</v>
      </c>
      <c r="I298" t="e">
        <f t="shared" ca="1" si="68"/>
        <v>#N/A</v>
      </c>
      <c r="J298" t="e">
        <f t="shared" ca="1" si="68"/>
        <v>#N/A</v>
      </c>
      <c r="K298" t="e">
        <f t="shared" ca="1" si="68"/>
        <v>#N/A</v>
      </c>
      <c r="L298" t="e">
        <f t="shared" ca="1" si="69"/>
        <v>#N/A</v>
      </c>
      <c r="M298" t="e">
        <f t="shared" ca="1" si="69"/>
        <v>#N/A</v>
      </c>
      <c r="N298" t="e">
        <f t="shared" ca="1" si="69"/>
        <v>#N/A</v>
      </c>
      <c r="O298" t="e">
        <f t="shared" ca="1" si="69"/>
        <v>#N/A</v>
      </c>
      <c r="P298" t="e">
        <f t="shared" ca="1" si="69"/>
        <v>#N/A</v>
      </c>
      <c r="Q298" t="e">
        <f t="shared" ca="1" si="69"/>
        <v>#N/A</v>
      </c>
      <c r="R298" t="e">
        <f t="shared" ca="1" si="69"/>
        <v>#N/A</v>
      </c>
      <c r="S298" t="e">
        <f t="shared" ca="1" si="60"/>
        <v>#N/A</v>
      </c>
      <c r="T298" t="e">
        <f t="shared" ca="1" si="61"/>
        <v>#N/A</v>
      </c>
      <c r="U298" t="e">
        <f ca="1">IF(AND($C298='Funnel setup'!$K$3&amp;'Funnel setup'!$K$6&amp;'Funnel setup'!$K$7&amp;'Funnel setup'!$K$4,'Funnel Lookup'!I298="*",'Funnel Lookup'!I298="*"),#N/A,IF(AND($C298='Funnel setup'!$K$3&amp;'Funnel setup'!$K$6&amp;'Funnel setup'!$K$7&amp;'Funnel setup'!$K$4,'Funnel Lookup'!I298&gt;29,'Funnel Lookup'!I298&lt;&gt;"-"),'Funnel Lookup'!I298,#N/A))</f>
        <v>#N/A</v>
      </c>
      <c r="V298" t="e">
        <f ca="1">IF(AND($C298='Funnel setup'!$K$3&amp;'Funnel setup'!$K$6&amp;'Funnel setup'!$K$7&amp;'Funnel setup'!$K$4,'Funnel Lookup'!I298="*",'Funnel Lookup'!I298="*"),#N/A,IF(AND($C298='Funnel setup'!$K$3&amp;'Funnel setup'!$K$6&amp;'Funnel setup'!$K$7&amp;'Funnel setup'!$K$4,'Funnel Lookup'!I298&gt;29,'Funnel Lookup'!I298&lt;&gt;"-"),'Funnel Lookup'!Q298,#N/A))</f>
        <v>#N/A</v>
      </c>
    </row>
    <row r="299" spans="1:22" x14ac:dyDescent="0.25">
      <c r="A299">
        <v>297</v>
      </c>
      <c r="B299" t="e">
        <f t="shared" ca="1" si="68"/>
        <v>#N/A</v>
      </c>
      <c r="C299" t="e">
        <f t="shared" ca="1" si="68"/>
        <v>#N/A</v>
      </c>
      <c r="D299" t="e">
        <f t="shared" ca="1" si="68"/>
        <v>#N/A</v>
      </c>
      <c r="E299" t="e">
        <f t="shared" ca="1" si="68"/>
        <v>#N/A</v>
      </c>
      <c r="F299" t="e">
        <f t="shared" ca="1" si="68"/>
        <v>#N/A</v>
      </c>
      <c r="G299" t="e">
        <f t="shared" ca="1" si="68"/>
        <v>#N/A</v>
      </c>
      <c r="H299" t="e">
        <f t="shared" ca="1" si="68"/>
        <v>#N/A</v>
      </c>
      <c r="I299" t="e">
        <f t="shared" ca="1" si="68"/>
        <v>#N/A</v>
      </c>
      <c r="J299" t="e">
        <f t="shared" ca="1" si="68"/>
        <v>#N/A</v>
      </c>
      <c r="K299" t="e">
        <f t="shared" ca="1" si="68"/>
        <v>#N/A</v>
      </c>
      <c r="L299" t="e">
        <f t="shared" ca="1" si="69"/>
        <v>#N/A</v>
      </c>
      <c r="M299" t="e">
        <f t="shared" ca="1" si="69"/>
        <v>#N/A</v>
      </c>
      <c r="N299" t="e">
        <f t="shared" ca="1" si="69"/>
        <v>#N/A</v>
      </c>
      <c r="O299" t="e">
        <f t="shared" ca="1" si="69"/>
        <v>#N/A</v>
      </c>
      <c r="P299" t="e">
        <f t="shared" ca="1" si="69"/>
        <v>#N/A</v>
      </c>
      <c r="Q299" t="e">
        <f t="shared" ca="1" si="69"/>
        <v>#N/A</v>
      </c>
      <c r="R299" t="e">
        <f t="shared" ca="1" si="69"/>
        <v>#N/A</v>
      </c>
      <c r="S299" t="e">
        <f t="shared" ca="1" si="60"/>
        <v>#N/A</v>
      </c>
      <c r="T299" t="e">
        <f t="shared" ca="1" si="61"/>
        <v>#N/A</v>
      </c>
      <c r="U299" t="e">
        <f ca="1">IF(AND($C299='Funnel setup'!$K$3&amp;'Funnel setup'!$K$6&amp;'Funnel setup'!$K$7&amp;'Funnel setup'!$K$4,'Funnel Lookup'!I299="*",'Funnel Lookup'!I299="*"),#N/A,IF(AND($C299='Funnel setup'!$K$3&amp;'Funnel setup'!$K$6&amp;'Funnel setup'!$K$7&amp;'Funnel setup'!$K$4,'Funnel Lookup'!I299&gt;29,'Funnel Lookup'!I299&lt;&gt;"-"),'Funnel Lookup'!I299,#N/A))</f>
        <v>#N/A</v>
      </c>
      <c r="V299" t="e">
        <f ca="1">IF(AND($C299='Funnel setup'!$K$3&amp;'Funnel setup'!$K$6&amp;'Funnel setup'!$K$7&amp;'Funnel setup'!$K$4,'Funnel Lookup'!I299="*",'Funnel Lookup'!I299="*"),#N/A,IF(AND($C299='Funnel setup'!$K$3&amp;'Funnel setup'!$K$6&amp;'Funnel setup'!$K$7&amp;'Funnel setup'!$K$4,'Funnel Lookup'!I299&gt;29,'Funnel Lookup'!I299&lt;&gt;"-"),'Funnel Lookup'!Q299,#N/A))</f>
        <v>#N/A</v>
      </c>
    </row>
    <row r="300" spans="1:22" x14ac:dyDescent="0.25">
      <c r="A300">
        <v>298</v>
      </c>
      <c r="B300" t="e">
        <f t="shared" ca="1" si="68"/>
        <v>#N/A</v>
      </c>
      <c r="C300" t="e">
        <f t="shared" ca="1" si="68"/>
        <v>#N/A</v>
      </c>
      <c r="D300" t="e">
        <f t="shared" ca="1" si="68"/>
        <v>#N/A</v>
      </c>
      <c r="E300" t="e">
        <f t="shared" ca="1" si="68"/>
        <v>#N/A</v>
      </c>
      <c r="F300" t="e">
        <f t="shared" ca="1" si="68"/>
        <v>#N/A</v>
      </c>
      <c r="G300" t="e">
        <f t="shared" ca="1" si="68"/>
        <v>#N/A</v>
      </c>
      <c r="H300" t="e">
        <f t="shared" ca="1" si="68"/>
        <v>#N/A</v>
      </c>
      <c r="I300" t="e">
        <f t="shared" ca="1" si="68"/>
        <v>#N/A</v>
      </c>
      <c r="J300" t="e">
        <f t="shared" ca="1" si="68"/>
        <v>#N/A</v>
      </c>
      <c r="K300" t="e">
        <f t="shared" ca="1" si="68"/>
        <v>#N/A</v>
      </c>
      <c r="L300" t="e">
        <f t="shared" ca="1" si="69"/>
        <v>#N/A</v>
      </c>
      <c r="M300" t="e">
        <f t="shared" ca="1" si="69"/>
        <v>#N/A</v>
      </c>
      <c r="N300" t="e">
        <f t="shared" ca="1" si="69"/>
        <v>#N/A</v>
      </c>
      <c r="O300" t="e">
        <f t="shared" ca="1" si="69"/>
        <v>#N/A</v>
      </c>
      <c r="P300" t="e">
        <f t="shared" ca="1" si="69"/>
        <v>#N/A</v>
      </c>
      <c r="Q300" t="e">
        <f t="shared" ca="1" si="69"/>
        <v>#N/A</v>
      </c>
      <c r="R300" t="e">
        <f t="shared" ca="1" si="69"/>
        <v>#N/A</v>
      </c>
      <c r="S300" t="e">
        <f t="shared" ca="1" si="60"/>
        <v>#N/A</v>
      </c>
      <c r="T300" t="e">
        <f t="shared" ca="1" si="61"/>
        <v>#N/A</v>
      </c>
      <c r="U300" t="e">
        <f ca="1">IF(AND($C300='Funnel setup'!$K$3&amp;'Funnel setup'!$K$6&amp;'Funnel setup'!$K$7&amp;'Funnel setup'!$K$4,'Funnel Lookup'!I300="*",'Funnel Lookup'!I300="*"),#N/A,IF(AND($C300='Funnel setup'!$K$3&amp;'Funnel setup'!$K$6&amp;'Funnel setup'!$K$7&amp;'Funnel setup'!$K$4,'Funnel Lookup'!I300&gt;29,'Funnel Lookup'!I300&lt;&gt;"-"),'Funnel Lookup'!I300,#N/A))</f>
        <v>#N/A</v>
      </c>
      <c r="V300" t="e">
        <f ca="1">IF(AND($C300='Funnel setup'!$K$3&amp;'Funnel setup'!$K$6&amp;'Funnel setup'!$K$7&amp;'Funnel setup'!$K$4,'Funnel Lookup'!I300="*",'Funnel Lookup'!I300="*"),#N/A,IF(AND($C300='Funnel setup'!$K$3&amp;'Funnel setup'!$K$6&amp;'Funnel setup'!$K$7&amp;'Funnel setup'!$K$4,'Funnel Lookup'!I300&gt;29,'Funnel Lookup'!I300&lt;&gt;"-"),'Funnel Lookup'!Q300,#N/A))</f>
        <v>#N/A</v>
      </c>
    </row>
    <row r="301" spans="1:22" x14ac:dyDescent="0.25">
      <c r="A301">
        <v>299</v>
      </c>
      <c r="B301" t="e">
        <f t="shared" ca="1" si="68"/>
        <v>#N/A</v>
      </c>
      <c r="C301" t="e">
        <f t="shared" ca="1" si="68"/>
        <v>#N/A</v>
      </c>
      <c r="D301" t="e">
        <f t="shared" ca="1" si="68"/>
        <v>#N/A</v>
      </c>
      <c r="E301" t="e">
        <f t="shared" ca="1" si="68"/>
        <v>#N/A</v>
      </c>
      <c r="F301" t="e">
        <f t="shared" ca="1" si="68"/>
        <v>#N/A</v>
      </c>
      <c r="G301" t="e">
        <f t="shared" ca="1" si="68"/>
        <v>#N/A</v>
      </c>
      <c r="H301" t="e">
        <f t="shared" ca="1" si="68"/>
        <v>#N/A</v>
      </c>
      <c r="I301" t="e">
        <f t="shared" ca="1" si="68"/>
        <v>#N/A</v>
      </c>
      <c r="J301" t="e">
        <f t="shared" ca="1" si="68"/>
        <v>#N/A</v>
      </c>
      <c r="K301" t="e">
        <f t="shared" ca="1" si="68"/>
        <v>#N/A</v>
      </c>
      <c r="L301" t="e">
        <f t="shared" ca="1" si="69"/>
        <v>#N/A</v>
      </c>
      <c r="M301" t="e">
        <f t="shared" ca="1" si="69"/>
        <v>#N/A</v>
      </c>
      <c r="N301" t="e">
        <f t="shared" ca="1" si="69"/>
        <v>#N/A</v>
      </c>
      <c r="O301" t="e">
        <f t="shared" ca="1" si="69"/>
        <v>#N/A</v>
      </c>
      <c r="P301" t="e">
        <f t="shared" ca="1" si="69"/>
        <v>#N/A</v>
      </c>
      <c r="Q301" t="e">
        <f t="shared" ca="1" si="69"/>
        <v>#N/A</v>
      </c>
      <c r="R301" t="e">
        <f t="shared" ca="1" si="69"/>
        <v>#N/A</v>
      </c>
      <c r="S301" t="e">
        <f t="shared" ca="1" si="60"/>
        <v>#N/A</v>
      </c>
      <c r="T301" t="e">
        <f t="shared" ca="1" si="61"/>
        <v>#N/A</v>
      </c>
      <c r="U301" t="e">
        <f ca="1">IF(AND($C301='Funnel setup'!$K$3&amp;'Funnel setup'!$K$6&amp;'Funnel setup'!$K$7&amp;'Funnel setup'!$K$4,'Funnel Lookup'!I301="*",'Funnel Lookup'!I301="*"),#N/A,IF(AND($C301='Funnel setup'!$K$3&amp;'Funnel setup'!$K$6&amp;'Funnel setup'!$K$7&amp;'Funnel setup'!$K$4,'Funnel Lookup'!I301&gt;29,'Funnel Lookup'!I301&lt;&gt;"-"),'Funnel Lookup'!I301,#N/A))</f>
        <v>#N/A</v>
      </c>
      <c r="V301" t="e">
        <f ca="1">IF(AND($C301='Funnel setup'!$K$3&amp;'Funnel setup'!$K$6&amp;'Funnel setup'!$K$7&amp;'Funnel setup'!$K$4,'Funnel Lookup'!I301="*",'Funnel Lookup'!I301="*"),#N/A,IF(AND($C301='Funnel setup'!$K$3&amp;'Funnel setup'!$K$6&amp;'Funnel setup'!$K$7&amp;'Funnel setup'!$K$4,'Funnel Lookup'!I301&gt;29,'Funnel Lookup'!I301&lt;&gt;"-"),'Funnel Lookup'!Q301,#N/A))</f>
        <v>#N/A</v>
      </c>
    </row>
    <row r="302" spans="1:22" x14ac:dyDescent="0.25">
      <c r="A302">
        <v>300</v>
      </c>
      <c r="B302" t="e">
        <f t="shared" ca="1" si="68"/>
        <v>#N/A</v>
      </c>
      <c r="C302" t="e">
        <f t="shared" ca="1" si="68"/>
        <v>#N/A</v>
      </c>
      <c r="D302" t="e">
        <f t="shared" ca="1" si="68"/>
        <v>#N/A</v>
      </c>
      <c r="E302" t="e">
        <f t="shared" ca="1" si="68"/>
        <v>#N/A</v>
      </c>
      <c r="F302" t="e">
        <f t="shared" ca="1" si="68"/>
        <v>#N/A</v>
      </c>
      <c r="G302" t="e">
        <f t="shared" ca="1" si="68"/>
        <v>#N/A</v>
      </c>
      <c r="H302" t="e">
        <f t="shared" ca="1" si="68"/>
        <v>#N/A</v>
      </c>
      <c r="I302" t="e">
        <f t="shared" ca="1" si="68"/>
        <v>#N/A</v>
      </c>
      <c r="J302" t="e">
        <f t="shared" ca="1" si="68"/>
        <v>#N/A</v>
      </c>
      <c r="K302" t="e">
        <f t="shared" ca="1" si="68"/>
        <v>#N/A</v>
      </c>
      <c r="L302" t="e">
        <f t="shared" ca="1" si="69"/>
        <v>#N/A</v>
      </c>
      <c r="M302" t="e">
        <f t="shared" ca="1" si="69"/>
        <v>#N/A</v>
      </c>
      <c r="N302" t="e">
        <f t="shared" ca="1" si="69"/>
        <v>#N/A</v>
      </c>
      <c r="O302" t="e">
        <f t="shared" ca="1" si="69"/>
        <v>#N/A</v>
      </c>
      <c r="P302" t="e">
        <f t="shared" ca="1" si="69"/>
        <v>#N/A</v>
      </c>
      <c r="Q302" t="e">
        <f t="shared" ca="1" si="69"/>
        <v>#N/A</v>
      </c>
      <c r="R302" t="e">
        <f t="shared" ca="1" si="69"/>
        <v>#N/A</v>
      </c>
      <c r="S302" t="e">
        <f t="shared" ca="1" si="60"/>
        <v>#N/A</v>
      </c>
      <c r="T302" t="e">
        <f t="shared" ca="1" si="61"/>
        <v>#N/A</v>
      </c>
      <c r="U302" t="e">
        <f ca="1">IF(AND($C302='Funnel setup'!$K$3&amp;'Funnel setup'!$K$6&amp;'Funnel setup'!$K$7&amp;'Funnel setup'!$K$4,'Funnel Lookup'!I302="*",'Funnel Lookup'!I302="*"),#N/A,IF(AND($C302='Funnel setup'!$K$3&amp;'Funnel setup'!$K$6&amp;'Funnel setup'!$K$7&amp;'Funnel setup'!$K$4,'Funnel Lookup'!I302&gt;29,'Funnel Lookup'!I302&lt;&gt;"-"),'Funnel Lookup'!I302,#N/A))</f>
        <v>#N/A</v>
      </c>
      <c r="V302" t="e">
        <f ca="1">IF(AND($C302='Funnel setup'!$K$3&amp;'Funnel setup'!$K$6&amp;'Funnel setup'!$K$7&amp;'Funnel setup'!$K$4,'Funnel Lookup'!I302="*",'Funnel Lookup'!I302="*"),#N/A,IF(AND($C302='Funnel setup'!$K$3&amp;'Funnel setup'!$K$6&amp;'Funnel setup'!$K$7&amp;'Funnel setup'!$K$4,'Funnel Lookup'!I302&gt;29,'Funnel Lookup'!I302&lt;&gt;"-"),'Funnel Lookup'!Q302,#N/A))</f>
        <v>#N/A</v>
      </c>
    </row>
    <row r="303" spans="1:22" x14ac:dyDescent="0.25">
      <c r="A303">
        <v>301</v>
      </c>
      <c r="B303" t="e">
        <f t="shared" ref="B303:K312" ca="1" si="70">VLOOKUP($A303,Funnel_Data,B$1,FALSE)</f>
        <v>#N/A</v>
      </c>
      <c r="C303" t="e">
        <f t="shared" ca="1" si="70"/>
        <v>#N/A</v>
      </c>
      <c r="D303" t="e">
        <f t="shared" ca="1" si="70"/>
        <v>#N/A</v>
      </c>
      <c r="E303" t="e">
        <f t="shared" ca="1" si="70"/>
        <v>#N/A</v>
      </c>
      <c r="F303" t="e">
        <f t="shared" ca="1" si="70"/>
        <v>#N/A</v>
      </c>
      <c r="G303" t="e">
        <f t="shared" ca="1" si="70"/>
        <v>#N/A</v>
      </c>
      <c r="H303" t="e">
        <f t="shared" ca="1" si="70"/>
        <v>#N/A</v>
      </c>
      <c r="I303" t="e">
        <f t="shared" ca="1" si="70"/>
        <v>#N/A</v>
      </c>
      <c r="J303" t="e">
        <f t="shared" ca="1" si="70"/>
        <v>#N/A</v>
      </c>
      <c r="K303" t="e">
        <f t="shared" ca="1" si="70"/>
        <v>#N/A</v>
      </c>
      <c r="L303" t="e">
        <f t="shared" ref="L303:R312" ca="1" si="71">VLOOKUP($A303,Funnel_Data,L$1,FALSE)</f>
        <v>#N/A</v>
      </c>
      <c r="M303" t="e">
        <f t="shared" ca="1" si="71"/>
        <v>#N/A</v>
      </c>
      <c r="N303" t="e">
        <f t="shared" ca="1" si="71"/>
        <v>#N/A</v>
      </c>
      <c r="O303" t="e">
        <f t="shared" ca="1" si="71"/>
        <v>#N/A</v>
      </c>
      <c r="P303" t="e">
        <f t="shared" ca="1" si="71"/>
        <v>#N/A</v>
      </c>
      <c r="Q303" t="e">
        <f t="shared" ca="1" si="71"/>
        <v>#N/A</v>
      </c>
      <c r="R303" t="e">
        <f t="shared" ca="1" si="71"/>
        <v>#N/A</v>
      </c>
      <c r="S303" t="e">
        <f t="shared" ca="1" si="60"/>
        <v>#N/A</v>
      </c>
      <c r="T303" t="e">
        <f t="shared" ca="1" si="61"/>
        <v>#N/A</v>
      </c>
      <c r="U303" t="e">
        <f ca="1">IF(AND($C303='Funnel setup'!$K$3&amp;'Funnel setup'!$K$6&amp;'Funnel setup'!$K$7&amp;'Funnel setup'!$K$4,'Funnel Lookup'!I303="*",'Funnel Lookup'!I303="*"),#N/A,IF(AND($C303='Funnel setup'!$K$3&amp;'Funnel setup'!$K$6&amp;'Funnel setup'!$K$7&amp;'Funnel setup'!$K$4,'Funnel Lookup'!I303&gt;29,'Funnel Lookup'!I303&lt;&gt;"-"),'Funnel Lookup'!I303,#N/A))</f>
        <v>#N/A</v>
      </c>
      <c r="V303" t="e">
        <f ca="1">IF(AND($C303='Funnel setup'!$K$3&amp;'Funnel setup'!$K$6&amp;'Funnel setup'!$K$7&amp;'Funnel setup'!$K$4,'Funnel Lookup'!I303="*",'Funnel Lookup'!I303="*"),#N/A,IF(AND($C303='Funnel setup'!$K$3&amp;'Funnel setup'!$K$6&amp;'Funnel setup'!$K$7&amp;'Funnel setup'!$K$4,'Funnel Lookup'!I303&gt;29,'Funnel Lookup'!I303&lt;&gt;"-"),'Funnel Lookup'!Q303,#N/A))</f>
        <v>#N/A</v>
      </c>
    </row>
    <row r="304" spans="1:22" x14ac:dyDescent="0.25">
      <c r="A304">
        <v>302</v>
      </c>
      <c r="B304" t="e">
        <f t="shared" ca="1" si="70"/>
        <v>#N/A</v>
      </c>
      <c r="C304" t="e">
        <f t="shared" ca="1" si="70"/>
        <v>#N/A</v>
      </c>
      <c r="D304" t="e">
        <f t="shared" ca="1" si="70"/>
        <v>#N/A</v>
      </c>
      <c r="E304" t="e">
        <f t="shared" ca="1" si="70"/>
        <v>#N/A</v>
      </c>
      <c r="F304" t="e">
        <f t="shared" ca="1" si="70"/>
        <v>#N/A</v>
      </c>
      <c r="G304" t="e">
        <f t="shared" ca="1" si="70"/>
        <v>#N/A</v>
      </c>
      <c r="H304" t="e">
        <f t="shared" ca="1" si="70"/>
        <v>#N/A</v>
      </c>
      <c r="I304" t="e">
        <f t="shared" ca="1" si="70"/>
        <v>#N/A</v>
      </c>
      <c r="J304" t="e">
        <f t="shared" ca="1" si="70"/>
        <v>#N/A</v>
      </c>
      <c r="K304" t="e">
        <f t="shared" ca="1" si="70"/>
        <v>#N/A</v>
      </c>
      <c r="L304" t="e">
        <f t="shared" ca="1" si="71"/>
        <v>#N/A</v>
      </c>
      <c r="M304" t="e">
        <f t="shared" ca="1" si="71"/>
        <v>#N/A</v>
      </c>
      <c r="N304" t="e">
        <f t="shared" ca="1" si="71"/>
        <v>#N/A</v>
      </c>
      <c r="O304" t="e">
        <f t="shared" ca="1" si="71"/>
        <v>#N/A</v>
      </c>
      <c r="P304" t="e">
        <f t="shared" ca="1" si="71"/>
        <v>#N/A</v>
      </c>
      <c r="Q304" t="e">
        <f t="shared" ca="1" si="71"/>
        <v>#N/A</v>
      </c>
      <c r="R304" t="e">
        <f t="shared" ca="1" si="71"/>
        <v>#N/A</v>
      </c>
      <c r="S304" t="e">
        <f t="shared" ca="1" si="60"/>
        <v>#N/A</v>
      </c>
      <c r="T304" t="e">
        <f t="shared" ca="1" si="61"/>
        <v>#N/A</v>
      </c>
      <c r="U304" t="e">
        <f ca="1">IF(AND($C304='Funnel setup'!$K$3&amp;'Funnel setup'!$K$6&amp;'Funnel setup'!$K$7&amp;'Funnel setup'!$K$4,'Funnel Lookup'!I304="*",'Funnel Lookup'!I304="*"),#N/A,IF(AND($C304='Funnel setup'!$K$3&amp;'Funnel setup'!$K$6&amp;'Funnel setup'!$K$7&amp;'Funnel setup'!$K$4,'Funnel Lookup'!I304&gt;29,'Funnel Lookup'!I304&lt;&gt;"-"),'Funnel Lookup'!I304,#N/A))</f>
        <v>#N/A</v>
      </c>
      <c r="V304" t="e">
        <f ca="1">IF(AND($C304='Funnel setup'!$K$3&amp;'Funnel setup'!$K$6&amp;'Funnel setup'!$K$7&amp;'Funnel setup'!$K$4,'Funnel Lookup'!I304="*",'Funnel Lookup'!I304="*"),#N/A,IF(AND($C304='Funnel setup'!$K$3&amp;'Funnel setup'!$K$6&amp;'Funnel setup'!$K$7&amp;'Funnel setup'!$K$4,'Funnel Lookup'!I304&gt;29,'Funnel Lookup'!I304&lt;&gt;"-"),'Funnel Lookup'!Q304,#N/A))</f>
        <v>#N/A</v>
      </c>
    </row>
    <row r="305" spans="1:22" x14ac:dyDescent="0.25">
      <c r="A305">
        <v>303</v>
      </c>
      <c r="B305" t="e">
        <f t="shared" ca="1" si="70"/>
        <v>#N/A</v>
      </c>
      <c r="C305" t="e">
        <f t="shared" ca="1" si="70"/>
        <v>#N/A</v>
      </c>
      <c r="D305" t="e">
        <f t="shared" ca="1" si="70"/>
        <v>#N/A</v>
      </c>
      <c r="E305" t="e">
        <f t="shared" ca="1" si="70"/>
        <v>#N/A</v>
      </c>
      <c r="F305" t="e">
        <f t="shared" ca="1" si="70"/>
        <v>#N/A</v>
      </c>
      <c r="G305" t="e">
        <f t="shared" ca="1" si="70"/>
        <v>#N/A</v>
      </c>
      <c r="H305" t="e">
        <f t="shared" ca="1" si="70"/>
        <v>#N/A</v>
      </c>
      <c r="I305" t="e">
        <f t="shared" ca="1" si="70"/>
        <v>#N/A</v>
      </c>
      <c r="J305" t="e">
        <f t="shared" ca="1" si="70"/>
        <v>#N/A</v>
      </c>
      <c r="K305" t="e">
        <f t="shared" ca="1" si="70"/>
        <v>#N/A</v>
      </c>
      <c r="L305" t="e">
        <f t="shared" ca="1" si="71"/>
        <v>#N/A</v>
      </c>
      <c r="M305" t="e">
        <f t="shared" ca="1" si="71"/>
        <v>#N/A</v>
      </c>
      <c r="N305" t="e">
        <f t="shared" ca="1" si="71"/>
        <v>#N/A</v>
      </c>
      <c r="O305" t="e">
        <f t="shared" ca="1" si="71"/>
        <v>#N/A</v>
      </c>
      <c r="P305" t="e">
        <f t="shared" ca="1" si="71"/>
        <v>#N/A</v>
      </c>
      <c r="Q305" t="e">
        <f t="shared" ca="1" si="71"/>
        <v>#N/A</v>
      </c>
      <c r="R305" t="e">
        <f t="shared" ca="1" si="71"/>
        <v>#N/A</v>
      </c>
      <c r="S305" t="e">
        <f t="shared" ca="1" si="60"/>
        <v>#N/A</v>
      </c>
      <c r="T305" t="e">
        <f t="shared" ca="1" si="61"/>
        <v>#N/A</v>
      </c>
      <c r="U305" t="e">
        <f ca="1">IF(AND($C305='Funnel setup'!$K$3&amp;'Funnel setup'!$K$6&amp;'Funnel setup'!$K$7&amp;'Funnel setup'!$K$4,'Funnel Lookup'!I305="*",'Funnel Lookup'!I305="*"),#N/A,IF(AND($C305='Funnel setup'!$K$3&amp;'Funnel setup'!$K$6&amp;'Funnel setup'!$K$7&amp;'Funnel setup'!$K$4,'Funnel Lookup'!I305&gt;29,'Funnel Lookup'!I305&lt;&gt;"-"),'Funnel Lookup'!I305,#N/A))</f>
        <v>#N/A</v>
      </c>
      <c r="V305" t="e">
        <f ca="1">IF(AND($C305='Funnel setup'!$K$3&amp;'Funnel setup'!$K$6&amp;'Funnel setup'!$K$7&amp;'Funnel setup'!$K$4,'Funnel Lookup'!I305="*",'Funnel Lookup'!I305="*"),#N/A,IF(AND($C305='Funnel setup'!$K$3&amp;'Funnel setup'!$K$6&amp;'Funnel setup'!$K$7&amp;'Funnel setup'!$K$4,'Funnel Lookup'!I305&gt;29,'Funnel Lookup'!I305&lt;&gt;"-"),'Funnel Lookup'!Q305,#N/A))</f>
        <v>#N/A</v>
      </c>
    </row>
    <row r="306" spans="1:22" x14ac:dyDescent="0.25">
      <c r="A306">
        <v>304</v>
      </c>
      <c r="B306" t="e">
        <f t="shared" ca="1" si="70"/>
        <v>#N/A</v>
      </c>
      <c r="C306" t="e">
        <f t="shared" ca="1" si="70"/>
        <v>#N/A</v>
      </c>
      <c r="D306" t="e">
        <f t="shared" ca="1" si="70"/>
        <v>#N/A</v>
      </c>
      <c r="E306" t="e">
        <f t="shared" ca="1" si="70"/>
        <v>#N/A</v>
      </c>
      <c r="F306" t="e">
        <f t="shared" ca="1" si="70"/>
        <v>#N/A</v>
      </c>
      <c r="G306" t="e">
        <f t="shared" ca="1" si="70"/>
        <v>#N/A</v>
      </c>
      <c r="H306" t="e">
        <f t="shared" ca="1" si="70"/>
        <v>#N/A</v>
      </c>
      <c r="I306" t="e">
        <f t="shared" ca="1" si="70"/>
        <v>#N/A</v>
      </c>
      <c r="J306" t="e">
        <f t="shared" ca="1" si="70"/>
        <v>#N/A</v>
      </c>
      <c r="K306" t="e">
        <f t="shared" ca="1" si="70"/>
        <v>#N/A</v>
      </c>
      <c r="L306" t="e">
        <f t="shared" ca="1" si="71"/>
        <v>#N/A</v>
      </c>
      <c r="M306" t="e">
        <f t="shared" ca="1" si="71"/>
        <v>#N/A</v>
      </c>
      <c r="N306" t="e">
        <f t="shared" ca="1" si="71"/>
        <v>#N/A</v>
      </c>
      <c r="O306" t="e">
        <f t="shared" ca="1" si="71"/>
        <v>#N/A</v>
      </c>
      <c r="P306" t="e">
        <f t="shared" ca="1" si="71"/>
        <v>#N/A</v>
      </c>
      <c r="Q306" t="e">
        <f t="shared" ca="1" si="71"/>
        <v>#N/A</v>
      </c>
      <c r="R306" t="e">
        <f t="shared" ca="1" si="71"/>
        <v>#N/A</v>
      </c>
      <c r="S306" t="e">
        <f t="shared" ca="1" si="60"/>
        <v>#N/A</v>
      </c>
      <c r="T306" t="e">
        <f t="shared" ca="1" si="61"/>
        <v>#N/A</v>
      </c>
      <c r="U306" t="e">
        <f ca="1">IF(AND($C306='Funnel setup'!$K$3&amp;'Funnel setup'!$K$6&amp;'Funnel setup'!$K$7&amp;'Funnel setup'!$K$4,'Funnel Lookup'!I306="*",'Funnel Lookup'!I306="*"),#N/A,IF(AND($C306='Funnel setup'!$K$3&amp;'Funnel setup'!$K$6&amp;'Funnel setup'!$K$7&amp;'Funnel setup'!$K$4,'Funnel Lookup'!I306&gt;29,'Funnel Lookup'!I306&lt;&gt;"-"),'Funnel Lookup'!I306,#N/A))</f>
        <v>#N/A</v>
      </c>
      <c r="V306" t="e">
        <f ca="1">IF(AND($C306='Funnel setup'!$K$3&amp;'Funnel setup'!$K$6&amp;'Funnel setup'!$K$7&amp;'Funnel setup'!$K$4,'Funnel Lookup'!I306="*",'Funnel Lookup'!I306="*"),#N/A,IF(AND($C306='Funnel setup'!$K$3&amp;'Funnel setup'!$K$6&amp;'Funnel setup'!$K$7&amp;'Funnel setup'!$K$4,'Funnel Lookup'!I306&gt;29,'Funnel Lookup'!I306&lt;&gt;"-"),'Funnel Lookup'!Q306,#N/A))</f>
        <v>#N/A</v>
      </c>
    </row>
    <row r="307" spans="1:22" x14ac:dyDescent="0.25">
      <c r="A307">
        <v>305</v>
      </c>
      <c r="B307" t="e">
        <f t="shared" ca="1" si="70"/>
        <v>#N/A</v>
      </c>
      <c r="C307" t="e">
        <f t="shared" ca="1" si="70"/>
        <v>#N/A</v>
      </c>
      <c r="D307" t="e">
        <f t="shared" ca="1" si="70"/>
        <v>#N/A</v>
      </c>
      <c r="E307" t="e">
        <f t="shared" ca="1" si="70"/>
        <v>#N/A</v>
      </c>
      <c r="F307" t="e">
        <f t="shared" ca="1" si="70"/>
        <v>#N/A</v>
      </c>
      <c r="G307" t="e">
        <f t="shared" ca="1" si="70"/>
        <v>#N/A</v>
      </c>
      <c r="H307" t="e">
        <f t="shared" ca="1" si="70"/>
        <v>#N/A</v>
      </c>
      <c r="I307" t="e">
        <f t="shared" ca="1" si="70"/>
        <v>#N/A</v>
      </c>
      <c r="J307" t="e">
        <f t="shared" ca="1" si="70"/>
        <v>#N/A</v>
      </c>
      <c r="K307" t="e">
        <f t="shared" ca="1" si="70"/>
        <v>#N/A</v>
      </c>
      <c r="L307" t="e">
        <f t="shared" ca="1" si="71"/>
        <v>#N/A</v>
      </c>
      <c r="M307" t="e">
        <f t="shared" ca="1" si="71"/>
        <v>#N/A</v>
      </c>
      <c r="N307" t="e">
        <f t="shared" ca="1" si="71"/>
        <v>#N/A</v>
      </c>
      <c r="O307" t="e">
        <f t="shared" ca="1" si="71"/>
        <v>#N/A</v>
      </c>
      <c r="P307" t="e">
        <f t="shared" ca="1" si="71"/>
        <v>#N/A</v>
      </c>
      <c r="Q307" t="e">
        <f t="shared" ca="1" si="71"/>
        <v>#N/A</v>
      </c>
      <c r="R307" t="e">
        <f t="shared" ca="1" si="71"/>
        <v>#N/A</v>
      </c>
      <c r="S307" t="e">
        <f t="shared" ca="1" si="60"/>
        <v>#N/A</v>
      </c>
      <c r="T307" t="e">
        <f t="shared" ca="1" si="61"/>
        <v>#N/A</v>
      </c>
      <c r="U307" t="e">
        <f ca="1">IF(AND($C307='Funnel setup'!$K$3&amp;'Funnel setup'!$K$6&amp;'Funnel setup'!$K$7&amp;'Funnel setup'!$K$4,'Funnel Lookup'!I307="*",'Funnel Lookup'!I307="*"),#N/A,IF(AND($C307='Funnel setup'!$K$3&amp;'Funnel setup'!$K$6&amp;'Funnel setup'!$K$7&amp;'Funnel setup'!$K$4,'Funnel Lookup'!I307&gt;29,'Funnel Lookup'!I307&lt;&gt;"-"),'Funnel Lookup'!I307,#N/A))</f>
        <v>#N/A</v>
      </c>
      <c r="V307" t="e">
        <f ca="1">IF(AND($C307='Funnel setup'!$K$3&amp;'Funnel setup'!$K$6&amp;'Funnel setup'!$K$7&amp;'Funnel setup'!$K$4,'Funnel Lookup'!I307="*",'Funnel Lookup'!I307="*"),#N/A,IF(AND($C307='Funnel setup'!$K$3&amp;'Funnel setup'!$K$6&amp;'Funnel setup'!$K$7&amp;'Funnel setup'!$K$4,'Funnel Lookup'!I307&gt;29,'Funnel Lookup'!I307&lt;&gt;"-"),'Funnel Lookup'!Q307,#N/A))</f>
        <v>#N/A</v>
      </c>
    </row>
    <row r="308" spans="1:22" x14ac:dyDescent="0.25">
      <c r="A308">
        <v>306</v>
      </c>
      <c r="B308" t="e">
        <f t="shared" ca="1" si="70"/>
        <v>#N/A</v>
      </c>
      <c r="C308" t="e">
        <f t="shared" ca="1" si="70"/>
        <v>#N/A</v>
      </c>
      <c r="D308" t="e">
        <f t="shared" ca="1" si="70"/>
        <v>#N/A</v>
      </c>
      <c r="E308" t="e">
        <f t="shared" ca="1" si="70"/>
        <v>#N/A</v>
      </c>
      <c r="F308" t="e">
        <f t="shared" ca="1" si="70"/>
        <v>#N/A</v>
      </c>
      <c r="G308" t="e">
        <f t="shared" ca="1" si="70"/>
        <v>#N/A</v>
      </c>
      <c r="H308" t="e">
        <f t="shared" ca="1" si="70"/>
        <v>#N/A</v>
      </c>
      <c r="I308" t="e">
        <f t="shared" ca="1" si="70"/>
        <v>#N/A</v>
      </c>
      <c r="J308" t="e">
        <f t="shared" ca="1" si="70"/>
        <v>#N/A</v>
      </c>
      <c r="K308" t="e">
        <f t="shared" ca="1" si="70"/>
        <v>#N/A</v>
      </c>
      <c r="L308" t="e">
        <f t="shared" ca="1" si="71"/>
        <v>#N/A</v>
      </c>
      <c r="M308" t="e">
        <f t="shared" ca="1" si="71"/>
        <v>#N/A</v>
      </c>
      <c r="N308" t="e">
        <f t="shared" ca="1" si="71"/>
        <v>#N/A</v>
      </c>
      <c r="O308" t="e">
        <f t="shared" ca="1" si="71"/>
        <v>#N/A</v>
      </c>
      <c r="P308" t="e">
        <f t="shared" ca="1" si="71"/>
        <v>#N/A</v>
      </c>
      <c r="Q308" t="e">
        <f t="shared" ca="1" si="71"/>
        <v>#N/A</v>
      </c>
      <c r="R308" t="e">
        <f t="shared" ca="1" si="71"/>
        <v>#N/A</v>
      </c>
      <c r="S308" t="e">
        <f t="shared" ca="1" si="60"/>
        <v>#N/A</v>
      </c>
      <c r="T308" t="e">
        <f t="shared" ca="1" si="61"/>
        <v>#N/A</v>
      </c>
      <c r="U308" t="e">
        <f ca="1">IF(AND($C308='Funnel setup'!$K$3&amp;'Funnel setup'!$K$6&amp;'Funnel setup'!$K$7&amp;'Funnel setup'!$K$4,'Funnel Lookup'!I308="*",'Funnel Lookup'!I308="*"),#N/A,IF(AND($C308='Funnel setup'!$K$3&amp;'Funnel setup'!$K$6&amp;'Funnel setup'!$K$7&amp;'Funnel setup'!$K$4,'Funnel Lookup'!I308&gt;29,'Funnel Lookup'!I308&lt;&gt;"-"),'Funnel Lookup'!I308,#N/A))</f>
        <v>#N/A</v>
      </c>
      <c r="V308" t="e">
        <f ca="1">IF(AND($C308='Funnel setup'!$K$3&amp;'Funnel setup'!$K$6&amp;'Funnel setup'!$K$7&amp;'Funnel setup'!$K$4,'Funnel Lookup'!I308="*",'Funnel Lookup'!I308="*"),#N/A,IF(AND($C308='Funnel setup'!$K$3&amp;'Funnel setup'!$K$6&amp;'Funnel setup'!$K$7&amp;'Funnel setup'!$K$4,'Funnel Lookup'!I308&gt;29,'Funnel Lookup'!I308&lt;&gt;"-"),'Funnel Lookup'!Q308,#N/A))</f>
        <v>#N/A</v>
      </c>
    </row>
    <row r="309" spans="1:22" x14ac:dyDescent="0.25">
      <c r="A309">
        <v>307</v>
      </c>
      <c r="B309" t="e">
        <f t="shared" ca="1" si="70"/>
        <v>#N/A</v>
      </c>
      <c r="C309" t="e">
        <f t="shared" ca="1" si="70"/>
        <v>#N/A</v>
      </c>
      <c r="D309" t="e">
        <f t="shared" ca="1" si="70"/>
        <v>#N/A</v>
      </c>
      <c r="E309" t="e">
        <f t="shared" ca="1" si="70"/>
        <v>#N/A</v>
      </c>
      <c r="F309" t="e">
        <f t="shared" ca="1" si="70"/>
        <v>#N/A</v>
      </c>
      <c r="G309" t="e">
        <f t="shared" ca="1" si="70"/>
        <v>#N/A</v>
      </c>
      <c r="H309" t="e">
        <f t="shared" ca="1" si="70"/>
        <v>#N/A</v>
      </c>
      <c r="I309" t="e">
        <f t="shared" ca="1" si="70"/>
        <v>#N/A</v>
      </c>
      <c r="J309" t="e">
        <f t="shared" ca="1" si="70"/>
        <v>#N/A</v>
      </c>
      <c r="K309" t="e">
        <f t="shared" ca="1" si="70"/>
        <v>#N/A</v>
      </c>
      <c r="L309" t="e">
        <f t="shared" ca="1" si="71"/>
        <v>#N/A</v>
      </c>
      <c r="M309" t="e">
        <f t="shared" ca="1" si="71"/>
        <v>#N/A</v>
      </c>
      <c r="N309" t="e">
        <f t="shared" ca="1" si="71"/>
        <v>#N/A</v>
      </c>
      <c r="O309" t="e">
        <f t="shared" ca="1" si="71"/>
        <v>#N/A</v>
      </c>
      <c r="P309" t="e">
        <f t="shared" ca="1" si="71"/>
        <v>#N/A</v>
      </c>
      <c r="Q309" t="e">
        <f t="shared" ca="1" si="71"/>
        <v>#N/A</v>
      </c>
      <c r="R309" t="e">
        <f t="shared" ca="1" si="71"/>
        <v>#N/A</v>
      </c>
      <c r="S309" t="e">
        <f t="shared" ca="1" si="60"/>
        <v>#N/A</v>
      </c>
      <c r="T309" t="e">
        <f t="shared" ca="1" si="61"/>
        <v>#N/A</v>
      </c>
      <c r="U309" t="e">
        <f ca="1">IF(AND($C309='Funnel setup'!$K$3&amp;'Funnel setup'!$K$6&amp;'Funnel setup'!$K$7&amp;'Funnel setup'!$K$4,'Funnel Lookup'!I309="*",'Funnel Lookup'!I309="*"),#N/A,IF(AND($C309='Funnel setup'!$K$3&amp;'Funnel setup'!$K$6&amp;'Funnel setup'!$K$7&amp;'Funnel setup'!$K$4,'Funnel Lookup'!I309&gt;29,'Funnel Lookup'!I309&lt;&gt;"-"),'Funnel Lookup'!I309,#N/A))</f>
        <v>#N/A</v>
      </c>
      <c r="V309" t="e">
        <f ca="1">IF(AND($C309='Funnel setup'!$K$3&amp;'Funnel setup'!$K$6&amp;'Funnel setup'!$K$7&amp;'Funnel setup'!$K$4,'Funnel Lookup'!I309="*",'Funnel Lookup'!I309="*"),#N/A,IF(AND($C309='Funnel setup'!$K$3&amp;'Funnel setup'!$K$6&amp;'Funnel setup'!$K$7&amp;'Funnel setup'!$K$4,'Funnel Lookup'!I309&gt;29,'Funnel Lookup'!I309&lt;&gt;"-"),'Funnel Lookup'!Q309,#N/A))</f>
        <v>#N/A</v>
      </c>
    </row>
    <row r="310" spans="1:22" x14ac:dyDescent="0.25">
      <c r="A310">
        <v>308</v>
      </c>
      <c r="B310" t="e">
        <f t="shared" ca="1" si="70"/>
        <v>#N/A</v>
      </c>
      <c r="C310" t="e">
        <f t="shared" ca="1" si="70"/>
        <v>#N/A</v>
      </c>
      <c r="D310" t="e">
        <f t="shared" ca="1" si="70"/>
        <v>#N/A</v>
      </c>
      <c r="E310" t="e">
        <f t="shared" ca="1" si="70"/>
        <v>#N/A</v>
      </c>
      <c r="F310" t="e">
        <f t="shared" ca="1" si="70"/>
        <v>#N/A</v>
      </c>
      <c r="G310" t="e">
        <f t="shared" ca="1" si="70"/>
        <v>#N/A</v>
      </c>
      <c r="H310" t="e">
        <f t="shared" ca="1" si="70"/>
        <v>#N/A</v>
      </c>
      <c r="I310" t="e">
        <f t="shared" ca="1" si="70"/>
        <v>#N/A</v>
      </c>
      <c r="J310" t="e">
        <f t="shared" ca="1" si="70"/>
        <v>#N/A</v>
      </c>
      <c r="K310" t="e">
        <f t="shared" ca="1" si="70"/>
        <v>#N/A</v>
      </c>
      <c r="L310" t="e">
        <f t="shared" ca="1" si="71"/>
        <v>#N/A</v>
      </c>
      <c r="M310" t="e">
        <f t="shared" ca="1" si="71"/>
        <v>#N/A</v>
      </c>
      <c r="N310" t="e">
        <f t="shared" ca="1" si="71"/>
        <v>#N/A</v>
      </c>
      <c r="O310" t="e">
        <f t="shared" ca="1" si="71"/>
        <v>#N/A</v>
      </c>
      <c r="P310" t="e">
        <f t="shared" ca="1" si="71"/>
        <v>#N/A</v>
      </c>
      <c r="Q310" t="e">
        <f t="shared" ca="1" si="71"/>
        <v>#N/A</v>
      </c>
      <c r="R310" t="e">
        <f t="shared" ca="1" si="71"/>
        <v>#N/A</v>
      </c>
      <c r="S310" t="e">
        <f t="shared" ca="1" si="60"/>
        <v>#N/A</v>
      </c>
      <c r="T310" t="e">
        <f t="shared" ca="1" si="61"/>
        <v>#N/A</v>
      </c>
      <c r="U310" t="e">
        <f ca="1">IF(AND($C310='Funnel setup'!$K$3&amp;'Funnel setup'!$K$6&amp;'Funnel setup'!$K$7&amp;'Funnel setup'!$K$4,'Funnel Lookup'!I310="*",'Funnel Lookup'!I310="*"),#N/A,IF(AND($C310='Funnel setup'!$K$3&amp;'Funnel setup'!$K$6&amp;'Funnel setup'!$K$7&amp;'Funnel setup'!$K$4,'Funnel Lookup'!I310&gt;29,'Funnel Lookup'!I310&lt;&gt;"-"),'Funnel Lookup'!I310,#N/A))</f>
        <v>#N/A</v>
      </c>
      <c r="V310" t="e">
        <f ca="1">IF(AND($C310='Funnel setup'!$K$3&amp;'Funnel setup'!$K$6&amp;'Funnel setup'!$K$7&amp;'Funnel setup'!$K$4,'Funnel Lookup'!I310="*",'Funnel Lookup'!I310="*"),#N/A,IF(AND($C310='Funnel setup'!$K$3&amp;'Funnel setup'!$K$6&amp;'Funnel setup'!$K$7&amp;'Funnel setup'!$K$4,'Funnel Lookup'!I310&gt;29,'Funnel Lookup'!I310&lt;&gt;"-"),'Funnel Lookup'!Q310,#N/A))</f>
        <v>#N/A</v>
      </c>
    </row>
    <row r="311" spans="1:22" x14ac:dyDescent="0.25">
      <c r="A311">
        <v>309</v>
      </c>
      <c r="B311" t="e">
        <f t="shared" ca="1" si="70"/>
        <v>#N/A</v>
      </c>
      <c r="C311" t="e">
        <f t="shared" ca="1" si="70"/>
        <v>#N/A</v>
      </c>
      <c r="D311" t="e">
        <f t="shared" ca="1" si="70"/>
        <v>#N/A</v>
      </c>
      <c r="E311" t="e">
        <f t="shared" ca="1" si="70"/>
        <v>#N/A</v>
      </c>
      <c r="F311" t="e">
        <f t="shared" ca="1" si="70"/>
        <v>#N/A</v>
      </c>
      <c r="G311" t="e">
        <f t="shared" ca="1" si="70"/>
        <v>#N/A</v>
      </c>
      <c r="H311" t="e">
        <f t="shared" ca="1" si="70"/>
        <v>#N/A</v>
      </c>
      <c r="I311" t="e">
        <f t="shared" ca="1" si="70"/>
        <v>#N/A</v>
      </c>
      <c r="J311" t="e">
        <f t="shared" ca="1" si="70"/>
        <v>#N/A</v>
      </c>
      <c r="K311" t="e">
        <f t="shared" ca="1" si="70"/>
        <v>#N/A</v>
      </c>
      <c r="L311" t="e">
        <f t="shared" ca="1" si="71"/>
        <v>#N/A</v>
      </c>
      <c r="M311" t="e">
        <f t="shared" ca="1" si="71"/>
        <v>#N/A</v>
      </c>
      <c r="N311" t="e">
        <f t="shared" ca="1" si="71"/>
        <v>#N/A</v>
      </c>
      <c r="O311" t="e">
        <f t="shared" ca="1" si="71"/>
        <v>#N/A</v>
      </c>
      <c r="P311" t="e">
        <f t="shared" ca="1" si="71"/>
        <v>#N/A</v>
      </c>
      <c r="Q311" t="e">
        <f t="shared" ca="1" si="71"/>
        <v>#N/A</v>
      </c>
      <c r="R311" t="e">
        <f t="shared" ca="1" si="71"/>
        <v>#N/A</v>
      </c>
      <c r="S311" t="e">
        <f t="shared" ca="1" si="60"/>
        <v>#N/A</v>
      </c>
      <c r="T311" t="e">
        <f t="shared" ca="1" si="61"/>
        <v>#N/A</v>
      </c>
      <c r="U311" t="e">
        <f ca="1">IF(AND($C311='Funnel setup'!$K$3&amp;'Funnel setup'!$K$6&amp;'Funnel setup'!$K$7&amp;'Funnel setup'!$K$4,'Funnel Lookup'!I311="*",'Funnel Lookup'!I311="*"),#N/A,IF(AND($C311='Funnel setup'!$K$3&amp;'Funnel setup'!$K$6&amp;'Funnel setup'!$K$7&amp;'Funnel setup'!$K$4,'Funnel Lookup'!I311&gt;29,'Funnel Lookup'!I311&lt;&gt;"-"),'Funnel Lookup'!I311,#N/A))</f>
        <v>#N/A</v>
      </c>
      <c r="V311" t="e">
        <f ca="1">IF(AND($C311='Funnel setup'!$K$3&amp;'Funnel setup'!$K$6&amp;'Funnel setup'!$K$7&amp;'Funnel setup'!$K$4,'Funnel Lookup'!I311="*",'Funnel Lookup'!I311="*"),#N/A,IF(AND($C311='Funnel setup'!$K$3&amp;'Funnel setup'!$K$6&amp;'Funnel setup'!$K$7&amp;'Funnel setup'!$K$4,'Funnel Lookup'!I311&gt;29,'Funnel Lookup'!I311&lt;&gt;"-"),'Funnel Lookup'!Q311,#N/A))</f>
        <v>#N/A</v>
      </c>
    </row>
    <row r="312" spans="1:22" x14ac:dyDescent="0.25">
      <c r="A312">
        <v>310</v>
      </c>
      <c r="B312" t="e">
        <f t="shared" ca="1" si="70"/>
        <v>#N/A</v>
      </c>
      <c r="C312" t="e">
        <f t="shared" ca="1" si="70"/>
        <v>#N/A</v>
      </c>
      <c r="D312" t="e">
        <f t="shared" ca="1" si="70"/>
        <v>#N/A</v>
      </c>
      <c r="E312" t="e">
        <f t="shared" ca="1" si="70"/>
        <v>#N/A</v>
      </c>
      <c r="F312" t="e">
        <f t="shared" ca="1" si="70"/>
        <v>#N/A</v>
      </c>
      <c r="G312" t="e">
        <f t="shared" ca="1" si="70"/>
        <v>#N/A</v>
      </c>
      <c r="H312" t="e">
        <f t="shared" ca="1" si="70"/>
        <v>#N/A</v>
      </c>
      <c r="I312" t="e">
        <f t="shared" ca="1" si="70"/>
        <v>#N/A</v>
      </c>
      <c r="J312" t="e">
        <f t="shared" ca="1" si="70"/>
        <v>#N/A</v>
      </c>
      <c r="K312" t="e">
        <f t="shared" ca="1" si="70"/>
        <v>#N/A</v>
      </c>
      <c r="L312" t="e">
        <f t="shared" ca="1" si="71"/>
        <v>#N/A</v>
      </c>
      <c r="M312" t="e">
        <f t="shared" ca="1" si="71"/>
        <v>#N/A</v>
      </c>
      <c r="N312" t="e">
        <f t="shared" ca="1" si="71"/>
        <v>#N/A</v>
      </c>
      <c r="O312" t="e">
        <f t="shared" ca="1" si="71"/>
        <v>#N/A</v>
      </c>
      <c r="P312" t="e">
        <f t="shared" ca="1" si="71"/>
        <v>#N/A</v>
      </c>
      <c r="Q312" t="e">
        <f t="shared" ca="1" si="71"/>
        <v>#N/A</v>
      </c>
      <c r="R312" t="e">
        <f t="shared" ca="1" si="71"/>
        <v>#N/A</v>
      </c>
      <c r="S312" t="e">
        <f t="shared" ca="1" si="60"/>
        <v>#N/A</v>
      </c>
      <c r="T312" t="e">
        <f t="shared" ca="1" si="61"/>
        <v>#N/A</v>
      </c>
      <c r="U312" t="e">
        <f ca="1">IF(AND($C312='Funnel setup'!$K$3&amp;'Funnel setup'!$K$6&amp;'Funnel setup'!$K$7&amp;'Funnel setup'!$K$4,'Funnel Lookup'!I312="*",'Funnel Lookup'!I312="*"),#N/A,IF(AND($C312='Funnel setup'!$K$3&amp;'Funnel setup'!$K$6&amp;'Funnel setup'!$K$7&amp;'Funnel setup'!$K$4,'Funnel Lookup'!I312&gt;29,'Funnel Lookup'!I312&lt;&gt;"-"),'Funnel Lookup'!I312,#N/A))</f>
        <v>#N/A</v>
      </c>
      <c r="V312" t="e">
        <f ca="1">IF(AND($C312='Funnel setup'!$K$3&amp;'Funnel setup'!$K$6&amp;'Funnel setup'!$K$7&amp;'Funnel setup'!$K$4,'Funnel Lookup'!I312="*",'Funnel Lookup'!I312="*"),#N/A,IF(AND($C312='Funnel setup'!$K$3&amp;'Funnel setup'!$K$6&amp;'Funnel setup'!$K$7&amp;'Funnel setup'!$K$4,'Funnel Lookup'!I312&gt;29,'Funnel Lookup'!I312&lt;&gt;"-"),'Funnel Lookup'!Q312,#N/A))</f>
        <v>#N/A</v>
      </c>
    </row>
    <row r="313" spans="1:22" x14ac:dyDescent="0.25">
      <c r="A313">
        <v>311</v>
      </c>
      <c r="B313" t="e">
        <f t="shared" ref="B313:K322" ca="1" si="72">VLOOKUP($A313,Funnel_Data,B$1,FALSE)</f>
        <v>#N/A</v>
      </c>
      <c r="C313" t="e">
        <f t="shared" ca="1" si="72"/>
        <v>#N/A</v>
      </c>
      <c r="D313" t="e">
        <f t="shared" ca="1" si="72"/>
        <v>#N/A</v>
      </c>
      <c r="E313" t="e">
        <f t="shared" ca="1" si="72"/>
        <v>#N/A</v>
      </c>
      <c r="F313" t="e">
        <f t="shared" ca="1" si="72"/>
        <v>#N/A</v>
      </c>
      <c r="G313" t="e">
        <f t="shared" ca="1" si="72"/>
        <v>#N/A</v>
      </c>
      <c r="H313" t="e">
        <f t="shared" ca="1" si="72"/>
        <v>#N/A</v>
      </c>
      <c r="I313" t="e">
        <f t="shared" ca="1" si="72"/>
        <v>#N/A</v>
      </c>
      <c r="J313" t="e">
        <f t="shared" ca="1" si="72"/>
        <v>#N/A</v>
      </c>
      <c r="K313" t="e">
        <f t="shared" ca="1" si="72"/>
        <v>#N/A</v>
      </c>
      <c r="L313" t="e">
        <f t="shared" ref="L313:R322" ca="1" si="73">VLOOKUP($A313,Funnel_Data,L$1,FALSE)</f>
        <v>#N/A</v>
      </c>
      <c r="M313" t="e">
        <f t="shared" ca="1" si="73"/>
        <v>#N/A</v>
      </c>
      <c r="N313" t="e">
        <f t="shared" ca="1" si="73"/>
        <v>#N/A</v>
      </c>
      <c r="O313" t="e">
        <f t="shared" ca="1" si="73"/>
        <v>#N/A</v>
      </c>
      <c r="P313" t="e">
        <f t="shared" ca="1" si="73"/>
        <v>#N/A</v>
      </c>
      <c r="Q313" t="e">
        <f t="shared" ca="1" si="73"/>
        <v>#N/A</v>
      </c>
      <c r="R313" t="e">
        <f t="shared" ca="1" si="73"/>
        <v>#N/A</v>
      </c>
      <c r="S313" t="e">
        <f t="shared" ca="1" si="60"/>
        <v>#N/A</v>
      </c>
      <c r="T313" t="e">
        <f t="shared" ca="1" si="61"/>
        <v>#N/A</v>
      </c>
      <c r="U313" t="e">
        <f ca="1">IF(AND($C313='Funnel setup'!$K$3&amp;'Funnel setup'!$K$6&amp;'Funnel setup'!$K$7&amp;'Funnel setup'!$K$4,'Funnel Lookup'!I313="*",'Funnel Lookup'!I313="*"),#N/A,IF(AND($C313='Funnel setup'!$K$3&amp;'Funnel setup'!$K$6&amp;'Funnel setup'!$K$7&amp;'Funnel setup'!$K$4,'Funnel Lookup'!I313&gt;29,'Funnel Lookup'!I313&lt;&gt;"-"),'Funnel Lookup'!I313,#N/A))</f>
        <v>#N/A</v>
      </c>
      <c r="V313" t="e">
        <f ca="1">IF(AND($C313='Funnel setup'!$K$3&amp;'Funnel setup'!$K$6&amp;'Funnel setup'!$K$7&amp;'Funnel setup'!$K$4,'Funnel Lookup'!I313="*",'Funnel Lookup'!I313="*"),#N/A,IF(AND($C313='Funnel setup'!$K$3&amp;'Funnel setup'!$K$6&amp;'Funnel setup'!$K$7&amp;'Funnel setup'!$K$4,'Funnel Lookup'!I313&gt;29,'Funnel Lookup'!I313&lt;&gt;"-"),'Funnel Lookup'!Q313,#N/A))</f>
        <v>#N/A</v>
      </c>
    </row>
    <row r="314" spans="1:22" x14ac:dyDescent="0.25">
      <c r="A314">
        <v>312</v>
      </c>
      <c r="B314" t="e">
        <f t="shared" ca="1" si="72"/>
        <v>#N/A</v>
      </c>
      <c r="C314" t="e">
        <f t="shared" ca="1" si="72"/>
        <v>#N/A</v>
      </c>
      <c r="D314" t="e">
        <f t="shared" ca="1" si="72"/>
        <v>#N/A</v>
      </c>
      <c r="E314" t="e">
        <f t="shared" ca="1" si="72"/>
        <v>#N/A</v>
      </c>
      <c r="F314" t="e">
        <f t="shared" ca="1" si="72"/>
        <v>#N/A</v>
      </c>
      <c r="G314" t="e">
        <f t="shared" ca="1" si="72"/>
        <v>#N/A</v>
      </c>
      <c r="H314" t="e">
        <f t="shared" ca="1" si="72"/>
        <v>#N/A</v>
      </c>
      <c r="I314" t="e">
        <f t="shared" ca="1" si="72"/>
        <v>#N/A</v>
      </c>
      <c r="J314" t="e">
        <f t="shared" ca="1" si="72"/>
        <v>#N/A</v>
      </c>
      <c r="K314" t="e">
        <f t="shared" ca="1" si="72"/>
        <v>#N/A</v>
      </c>
      <c r="L314" t="e">
        <f t="shared" ca="1" si="73"/>
        <v>#N/A</v>
      </c>
      <c r="M314" t="e">
        <f t="shared" ca="1" si="73"/>
        <v>#N/A</v>
      </c>
      <c r="N314" t="e">
        <f t="shared" ca="1" si="73"/>
        <v>#N/A</v>
      </c>
      <c r="O314" t="e">
        <f t="shared" ca="1" si="73"/>
        <v>#N/A</v>
      </c>
      <c r="P314" t="e">
        <f t="shared" ca="1" si="73"/>
        <v>#N/A</v>
      </c>
      <c r="Q314" t="e">
        <f t="shared" ca="1" si="73"/>
        <v>#N/A</v>
      </c>
      <c r="R314" t="e">
        <f t="shared" ca="1" si="73"/>
        <v>#N/A</v>
      </c>
      <c r="S314" t="e">
        <f t="shared" ca="1" si="60"/>
        <v>#N/A</v>
      </c>
      <c r="T314" t="e">
        <f t="shared" ca="1" si="61"/>
        <v>#N/A</v>
      </c>
      <c r="U314" t="e">
        <f ca="1">IF(AND($C314='Funnel setup'!$K$3&amp;'Funnel setup'!$K$6&amp;'Funnel setup'!$K$7&amp;'Funnel setup'!$K$4,'Funnel Lookup'!I314="*",'Funnel Lookup'!I314="*"),#N/A,IF(AND($C314='Funnel setup'!$K$3&amp;'Funnel setup'!$K$6&amp;'Funnel setup'!$K$7&amp;'Funnel setup'!$K$4,'Funnel Lookup'!I314&gt;29,'Funnel Lookup'!I314&lt;&gt;"-"),'Funnel Lookup'!I314,#N/A))</f>
        <v>#N/A</v>
      </c>
      <c r="V314" t="e">
        <f ca="1">IF(AND($C314='Funnel setup'!$K$3&amp;'Funnel setup'!$K$6&amp;'Funnel setup'!$K$7&amp;'Funnel setup'!$K$4,'Funnel Lookup'!I314="*",'Funnel Lookup'!I314="*"),#N/A,IF(AND($C314='Funnel setup'!$K$3&amp;'Funnel setup'!$K$6&amp;'Funnel setup'!$K$7&amp;'Funnel setup'!$K$4,'Funnel Lookup'!I314&gt;29,'Funnel Lookup'!I314&lt;&gt;"-"),'Funnel Lookup'!Q314,#N/A))</f>
        <v>#N/A</v>
      </c>
    </row>
    <row r="315" spans="1:22" x14ac:dyDescent="0.25">
      <c r="A315">
        <v>313</v>
      </c>
      <c r="B315" t="e">
        <f t="shared" ca="1" si="72"/>
        <v>#N/A</v>
      </c>
      <c r="C315" t="e">
        <f t="shared" ca="1" si="72"/>
        <v>#N/A</v>
      </c>
      <c r="D315" t="e">
        <f t="shared" ca="1" si="72"/>
        <v>#N/A</v>
      </c>
      <c r="E315" t="e">
        <f t="shared" ca="1" si="72"/>
        <v>#N/A</v>
      </c>
      <c r="F315" t="e">
        <f t="shared" ca="1" si="72"/>
        <v>#N/A</v>
      </c>
      <c r="G315" t="e">
        <f t="shared" ca="1" si="72"/>
        <v>#N/A</v>
      </c>
      <c r="H315" t="e">
        <f t="shared" ca="1" si="72"/>
        <v>#N/A</v>
      </c>
      <c r="I315" t="e">
        <f t="shared" ca="1" si="72"/>
        <v>#N/A</v>
      </c>
      <c r="J315" t="e">
        <f t="shared" ca="1" si="72"/>
        <v>#N/A</v>
      </c>
      <c r="K315" t="e">
        <f t="shared" ca="1" si="72"/>
        <v>#N/A</v>
      </c>
      <c r="L315" t="e">
        <f t="shared" ca="1" si="73"/>
        <v>#N/A</v>
      </c>
      <c r="M315" t="e">
        <f t="shared" ca="1" si="73"/>
        <v>#N/A</v>
      </c>
      <c r="N315" t="e">
        <f t="shared" ca="1" si="73"/>
        <v>#N/A</v>
      </c>
      <c r="O315" t="e">
        <f t="shared" ca="1" si="73"/>
        <v>#N/A</v>
      </c>
      <c r="P315" t="e">
        <f t="shared" ca="1" si="73"/>
        <v>#N/A</v>
      </c>
      <c r="Q315" t="e">
        <f t="shared" ca="1" si="73"/>
        <v>#N/A</v>
      </c>
      <c r="R315" t="e">
        <f t="shared" ca="1" si="73"/>
        <v>#N/A</v>
      </c>
      <c r="S315" t="e">
        <f t="shared" ca="1" si="60"/>
        <v>#N/A</v>
      </c>
      <c r="T315" t="e">
        <f t="shared" ca="1" si="61"/>
        <v>#N/A</v>
      </c>
      <c r="U315" t="e">
        <f ca="1">IF(AND($C315='Funnel setup'!$K$3&amp;'Funnel setup'!$K$6&amp;'Funnel setup'!$K$7&amp;'Funnel setup'!$K$4,'Funnel Lookup'!I315="*",'Funnel Lookup'!I315="*"),#N/A,IF(AND($C315='Funnel setup'!$K$3&amp;'Funnel setup'!$K$6&amp;'Funnel setup'!$K$7&amp;'Funnel setup'!$K$4,'Funnel Lookup'!I315&gt;29,'Funnel Lookup'!I315&lt;&gt;"-"),'Funnel Lookup'!I315,#N/A))</f>
        <v>#N/A</v>
      </c>
      <c r="V315" t="e">
        <f ca="1">IF(AND($C315='Funnel setup'!$K$3&amp;'Funnel setup'!$K$6&amp;'Funnel setup'!$K$7&amp;'Funnel setup'!$K$4,'Funnel Lookup'!I315="*",'Funnel Lookup'!I315="*"),#N/A,IF(AND($C315='Funnel setup'!$K$3&amp;'Funnel setup'!$K$6&amp;'Funnel setup'!$K$7&amp;'Funnel setup'!$K$4,'Funnel Lookup'!I315&gt;29,'Funnel Lookup'!I315&lt;&gt;"-"),'Funnel Lookup'!Q315,#N/A))</f>
        <v>#N/A</v>
      </c>
    </row>
    <row r="316" spans="1:22" x14ac:dyDescent="0.25">
      <c r="A316">
        <v>314</v>
      </c>
      <c r="B316" t="e">
        <f t="shared" ca="1" si="72"/>
        <v>#N/A</v>
      </c>
      <c r="C316" t="e">
        <f t="shared" ca="1" si="72"/>
        <v>#N/A</v>
      </c>
      <c r="D316" t="e">
        <f t="shared" ca="1" si="72"/>
        <v>#N/A</v>
      </c>
      <c r="E316" t="e">
        <f t="shared" ca="1" si="72"/>
        <v>#N/A</v>
      </c>
      <c r="F316" t="e">
        <f t="shared" ca="1" si="72"/>
        <v>#N/A</v>
      </c>
      <c r="G316" t="e">
        <f t="shared" ca="1" si="72"/>
        <v>#N/A</v>
      </c>
      <c r="H316" t="e">
        <f t="shared" ca="1" si="72"/>
        <v>#N/A</v>
      </c>
      <c r="I316" t="e">
        <f t="shared" ca="1" si="72"/>
        <v>#N/A</v>
      </c>
      <c r="J316" t="e">
        <f t="shared" ca="1" si="72"/>
        <v>#N/A</v>
      </c>
      <c r="K316" t="e">
        <f t="shared" ca="1" si="72"/>
        <v>#N/A</v>
      </c>
      <c r="L316" t="e">
        <f t="shared" ca="1" si="73"/>
        <v>#N/A</v>
      </c>
      <c r="M316" t="e">
        <f t="shared" ca="1" si="73"/>
        <v>#N/A</v>
      </c>
      <c r="N316" t="e">
        <f t="shared" ca="1" si="73"/>
        <v>#N/A</v>
      </c>
      <c r="O316" t="e">
        <f t="shared" ca="1" si="73"/>
        <v>#N/A</v>
      </c>
      <c r="P316" t="e">
        <f t="shared" ca="1" si="73"/>
        <v>#N/A</v>
      </c>
      <c r="Q316" t="e">
        <f t="shared" ca="1" si="73"/>
        <v>#N/A</v>
      </c>
      <c r="R316" t="e">
        <f t="shared" ca="1" si="73"/>
        <v>#N/A</v>
      </c>
      <c r="S316" t="e">
        <f t="shared" ca="1" si="60"/>
        <v>#N/A</v>
      </c>
      <c r="T316" t="e">
        <f t="shared" ca="1" si="61"/>
        <v>#N/A</v>
      </c>
      <c r="U316" t="e">
        <f ca="1">IF(AND($C316='Funnel setup'!$K$3&amp;'Funnel setup'!$K$6&amp;'Funnel setup'!$K$7&amp;'Funnel setup'!$K$4,'Funnel Lookup'!I316="*",'Funnel Lookup'!I316="*"),#N/A,IF(AND($C316='Funnel setup'!$K$3&amp;'Funnel setup'!$K$6&amp;'Funnel setup'!$K$7&amp;'Funnel setup'!$K$4,'Funnel Lookup'!I316&gt;29,'Funnel Lookup'!I316&lt;&gt;"-"),'Funnel Lookup'!I316,#N/A))</f>
        <v>#N/A</v>
      </c>
      <c r="V316" t="e">
        <f ca="1">IF(AND($C316='Funnel setup'!$K$3&amp;'Funnel setup'!$K$6&amp;'Funnel setup'!$K$7&amp;'Funnel setup'!$K$4,'Funnel Lookup'!I316="*",'Funnel Lookup'!I316="*"),#N/A,IF(AND($C316='Funnel setup'!$K$3&amp;'Funnel setup'!$K$6&amp;'Funnel setup'!$K$7&amp;'Funnel setup'!$K$4,'Funnel Lookup'!I316&gt;29,'Funnel Lookup'!I316&lt;&gt;"-"),'Funnel Lookup'!Q316,#N/A))</f>
        <v>#N/A</v>
      </c>
    </row>
    <row r="317" spans="1:22" x14ac:dyDescent="0.25">
      <c r="A317">
        <v>315</v>
      </c>
      <c r="B317" t="e">
        <f t="shared" ca="1" si="72"/>
        <v>#N/A</v>
      </c>
      <c r="C317" t="e">
        <f t="shared" ca="1" si="72"/>
        <v>#N/A</v>
      </c>
      <c r="D317" t="e">
        <f t="shared" ca="1" si="72"/>
        <v>#N/A</v>
      </c>
      <c r="E317" t="e">
        <f t="shared" ca="1" si="72"/>
        <v>#N/A</v>
      </c>
      <c r="F317" t="e">
        <f t="shared" ca="1" si="72"/>
        <v>#N/A</v>
      </c>
      <c r="G317" t="e">
        <f t="shared" ca="1" si="72"/>
        <v>#N/A</v>
      </c>
      <c r="H317" t="e">
        <f t="shared" ca="1" si="72"/>
        <v>#N/A</v>
      </c>
      <c r="I317" t="e">
        <f t="shared" ca="1" si="72"/>
        <v>#N/A</v>
      </c>
      <c r="J317" t="e">
        <f t="shared" ca="1" si="72"/>
        <v>#N/A</v>
      </c>
      <c r="K317" t="e">
        <f t="shared" ca="1" si="72"/>
        <v>#N/A</v>
      </c>
      <c r="L317" t="e">
        <f t="shared" ca="1" si="73"/>
        <v>#N/A</v>
      </c>
      <c r="M317" t="e">
        <f t="shared" ca="1" si="73"/>
        <v>#N/A</v>
      </c>
      <c r="N317" t="e">
        <f t="shared" ca="1" si="73"/>
        <v>#N/A</v>
      </c>
      <c r="O317" t="e">
        <f t="shared" ca="1" si="73"/>
        <v>#N/A</v>
      </c>
      <c r="P317" t="e">
        <f t="shared" ca="1" si="73"/>
        <v>#N/A</v>
      </c>
      <c r="Q317" t="e">
        <f t="shared" ca="1" si="73"/>
        <v>#N/A</v>
      </c>
      <c r="R317" t="e">
        <f t="shared" ca="1" si="73"/>
        <v>#N/A</v>
      </c>
      <c r="S317" t="e">
        <f t="shared" ca="1" si="60"/>
        <v>#N/A</v>
      </c>
      <c r="T317" t="e">
        <f t="shared" ca="1" si="61"/>
        <v>#N/A</v>
      </c>
      <c r="U317" t="e">
        <f ca="1">IF(AND($C317='Funnel setup'!$K$3&amp;'Funnel setup'!$K$6&amp;'Funnel setup'!$K$7&amp;'Funnel setup'!$K$4,'Funnel Lookup'!I317="*",'Funnel Lookup'!I317="*"),#N/A,IF(AND($C317='Funnel setup'!$K$3&amp;'Funnel setup'!$K$6&amp;'Funnel setup'!$K$7&amp;'Funnel setup'!$K$4,'Funnel Lookup'!I317&gt;29,'Funnel Lookup'!I317&lt;&gt;"-"),'Funnel Lookup'!I317,#N/A))</f>
        <v>#N/A</v>
      </c>
      <c r="V317" t="e">
        <f ca="1">IF(AND($C317='Funnel setup'!$K$3&amp;'Funnel setup'!$K$6&amp;'Funnel setup'!$K$7&amp;'Funnel setup'!$K$4,'Funnel Lookup'!I317="*",'Funnel Lookup'!I317="*"),#N/A,IF(AND($C317='Funnel setup'!$K$3&amp;'Funnel setup'!$K$6&amp;'Funnel setup'!$K$7&amp;'Funnel setup'!$K$4,'Funnel Lookup'!I317&gt;29,'Funnel Lookup'!I317&lt;&gt;"-"),'Funnel Lookup'!Q317,#N/A))</f>
        <v>#N/A</v>
      </c>
    </row>
    <row r="318" spans="1:22" x14ac:dyDescent="0.25">
      <c r="A318">
        <v>316</v>
      </c>
      <c r="B318" t="e">
        <f t="shared" ca="1" si="72"/>
        <v>#N/A</v>
      </c>
      <c r="C318" t="e">
        <f t="shared" ca="1" si="72"/>
        <v>#N/A</v>
      </c>
      <c r="D318" t="e">
        <f t="shared" ca="1" si="72"/>
        <v>#N/A</v>
      </c>
      <c r="E318" t="e">
        <f t="shared" ca="1" si="72"/>
        <v>#N/A</v>
      </c>
      <c r="F318" t="e">
        <f t="shared" ca="1" si="72"/>
        <v>#N/A</v>
      </c>
      <c r="G318" t="e">
        <f t="shared" ca="1" si="72"/>
        <v>#N/A</v>
      </c>
      <c r="H318" t="e">
        <f t="shared" ca="1" si="72"/>
        <v>#N/A</v>
      </c>
      <c r="I318" t="e">
        <f t="shared" ca="1" si="72"/>
        <v>#N/A</v>
      </c>
      <c r="J318" t="e">
        <f t="shared" ca="1" si="72"/>
        <v>#N/A</v>
      </c>
      <c r="K318" t="e">
        <f t="shared" ca="1" si="72"/>
        <v>#N/A</v>
      </c>
      <c r="L318" t="e">
        <f t="shared" ca="1" si="73"/>
        <v>#N/A</v>
      </c>
      <c r="M318" t="e">
        <f t="shared" ca="1" si="73"/>
        <v>#N/A</v>
      </c>
      <c r="N318" t="e">
        <f t="shared" ca="1" si="73"/>
        <v>#N/A</v>
      </c>
      <c r="O318" t="e">
        <f t="shared" ca="1" si="73"/>
        <v>#N/A</v>
      </c>
      <c r="P318" t="e">
        <f t="shared" ca="1" si="73"/>
        <v>#N/A</v>
      </c>
      <c r="Q318" t="e">
        <f t="shared" ca="1" si="73"/>
        <v>#N/A</v>
      </c>
      <c r="R318" t="e">
        <f t="shared" ca="1" si="73"/>
        <v>#N/A</v>
      </c>
      <c r="S318" t="e">
        <f t="shared" ca="1" si="60"/>
        <v>#N/A</v>
      </c>
      <c r="T318" t="e">
        <f t="shared" ca="1" si="61"/>
        <v>#N/A</v>
      </c>
      <c r="U318" t="e">
        <f ca="1">IF(AND($C318='Funnel setup'!$K$3&amp;'Funnel setup'!$K$6&amp;'Funnel setup'!$K$7&amp;'Funnel setup'!$K$4,'Funnel Lookup'!I318="*",'Funnel Lookup'!I318="*"),#N/A,IF(AND($C318='Funnel setup'!$K$3&amp;'Funnel setup'!$K$6&amp;'Funnel setup'!$K$7&amp;'Funnel setup'!$K$4,'Funnel Lookup'!I318&gt;29,'Funnel Lookup'!I318&lt;&gt;"-"),'Funnel Lookup'!I318,#N/A))</f>
        <v>#N/A</v>
      </c>
      <c r="V318" t="e">
        <f ca="1">IF(AND($C318='Funnel setup'!$K$3&amp;'Funnel setup'!$K$6&amp;'Funnel setup'!$K$7&amp;'Funnel setup'!$K$4,'Funnel Lookup'!I318="*",'Funnel Lookup'!I318="*"),#N/A,IF(AND($C318='Funnel setup'!$K$3&amp;'Funnel setup'!$K$6&amp;'Funnel setup'!$K$7&amp;'Funnel setup'!$K$4,'Funnel Lookup'!I318&gt;29,'Funnel Lookup'!I318&lt;&gt;"-"),'Funnel Lookup'!Q318,#N/A))</f>
        <v>#N/A</v>
      </c>
    </row>
    <row r="319" spans="1:22" x14ac:dyDescent="0.25">
      <c r="A319">
        <v>317</v>
      </c>
      <c r="B319" t="e">
        <f t="shared" ca="1" si="72"/>
        <v>#N/A</v>
      </c>
      <c r="C319" t="e">
        <f t="shared" ca="1" si="72"/>
        <v>#N/A</v>
      </c>
      <c r="D319" t="e">
        <f t="shared" ca="1" si="72"/>
        <v>#N/A</v>
      </c>
      <c r="E319" t="e">
        <f t="shared" ca="1" si="72"/>
        <v>#N/A</v>
      </c>
      <c r="F319" t="e">
        <f t="shared" ca="1" si="72"/>
        <v>#N/A</v>
      </c>
      <c r="G319" t="e">
        <f t="shared" ca="1" si="72"/>
        <v>#N/A</v>
      </c>
      <c r="H319" t="e">
        <f t="shared" ca="1" si="72"/>
        <v>#N/A</v>
      </c>
      <c r="I319" t="e">
        <f t="shared" ca="1" si="72"/>
        <v>#N/A</v>
      </c>
      <c r="J319" t="e">
        <f t="shared" ca="1" si="72"/>
        <v>#N/A</v>
      </c>
      <c r="K319" t="e">
        <f t="shared" ca="1" si="72"/>
        <v>#N/A</v>
      </c>
      <c r="L319" t="e">
        <f t="shared" ca="1" si="73"/>
        <v>#N/A</v>
      </c>
      <c r="M319" t="e">
        <f t="shared" ca="1" si="73"/>
        <v>#N/A</v>
      </c>
      <c r="N319" t="e">
        <f t="shared" ca="1" si="73"/>
        <v>#N/A</v>
      </c>
      <c r="O319" t="e">
        <f t="shared" ca="1" si="73"/>
        <v>#N/A</v>
      </c>
      <c r="P319" t="e">
        <f t="shared" ca="1" si="73"/>
        <v>#N/A</v>
      </c>
      <c r="Q319" t="e">
        <f t="shared" ca="1" si="73"/>
        <v>#N/A</v>
      </c>
      <c r="R319" t="e">
        <f t="shared" ca="1" si="73"/>
        <v>#N/A</v>
      </c>
      <c r="S319" t="e">
        <f t="shared" ca="1" si="60"/>
        <v>#N/A</v>
      </c>
      <c r="T319" t="e">
        <f t="shared" ca="1" si="61"/>
        <v>#N/A</v>
      </c>
      <c r="U319" t="e">
        <f ca="1">IF(AND($C319='Funnel setup'!$K$3&amp;'Funnel setup'!$K$6&amp;'Funnel setup'!$K$7&amp;'Funnel setup'!$K$4,'Funnel Lookup'!I319="*",'Funnel Lookup'!I319="*"),#N/A,IF(AND($C319='Funnel setup'!$K$3&amp;'Funnel setup'!$K$6&amp;'Funnel setup'!$K$7&amp;'Funnel setup'!$K$4,'Funnel Lookup'!I319&gt;29,'Funnel Lookup'!I319&lt;&gt;"-"),'Funnel Lookup'!I319,#N/A))</f>
        <v>#N/A</v>
      </c>
      <c r="V319" t="e">
        <f ca="1">IF(AND($C319='Funnel setup'!$K$3&amp;'Funnel setup'!$K$6&amp;'Funnel setup'!$K$7&amp;'Funnel setup'!$K$4,'Funnel Lookup'!I319="*",'Funnel Lookup'!I319="*"),#N/A,IF(AND($C319='Funnel setup'!$K$3&amp;'Funnel setup'!$K$6&amp;'Funnel setup'!$K$7&amp;'Funnel setup'!$K$4,'Funnel Lookup'!I319&gt;29,'Funnel Lookup'!I319&lt;&gt;"-"),'Funnel Lookup'!Q319,#N/A))</f>
        <v>#N/A</v>
      </c>
    </row>
    <row r="320" spans="1:22" x14ac:dyDescent="0.25">
      <c r="A320">
        <v>318</v>
      </c>
      <c r="B320" t="e">
        <f t="shared" ca="1" si="72"/>
        <v>#N/A</v>
      </c>
      <c r="C320" t="e">
        <f t="shared" ca="1" si="72"/>
        <v>#N/A</v>
      </c>
      <c r="D320" t="e">
        <f t="shared" ca="1" si="72"/>
        <v>#N/A</v>
      </c>
      <c r="E320" t="e">
        <f t="shared" ca="1" si="72"/>
        <v>#N/A</v>
      </c>
      <c r="F320" t="e">
        <f t="shared" ca="1" si="72"/>
        <v>#N/A</v>
      </c>
      <c r="G320" t="e">
        <f t="shared" ca="1" si="72"/>
        <v>#N/A</v>
      </c>
      <c r="H320" t="e">
        <f t="shared" ca="1" si="72"/>
        <v>#N/A</v>
      </c>
      <c r="I320" t="e">
        <f t="shared" ca="1" si="72"/>
        <v>#N/A</v>
      </c>
      <c r="J320" t="e">
        <f t="shared" ca="1" si="72"/>
        <v>#N/A</v>
      </c>
      <c r="K320" t="e">
        <f t="shared" ca="1" si="72"/>
        <v>#N/A</v>
      </c>
      <c r="L320" t="e">
        <f t="shared" ca="1" si="73"/>
        <v>#N/A</v>
      </c>
      <c r="M320" t="e">
        <f t="shared" ca="1" si="73"/>
        <v>#N/A</v>
      </c>
      <c r="N320" t="e">
        <f t="shared" ca="1" si="73"/>
        <v>#N/A</v>
      </c>
      <c r="O320" t="e">
        <f t="shared" ca="1" si="73"/>
        <v>#N/A</v>
      </c>
      <c r="P320" t="e">
        <f t="shared" ca="1" si="73"/>
        <v>#N/A</v>
      </c>
      <c r="Q320" t="e">
        <f t="shared" ca="1" si="73"/>
        <v>#N/A</v>
      </c>
      <c r="R320" t="e">
        <f t="shared" ca="1" si="73"/>
        <v>#N/A</v>
      </c>
      <c r="S320" t="e">
        <f t="shared" ca="1" si="60"/>
        <v>#N/A</v>
      </c>
      <c r="T320" t="e">
        <f t="shared" ca="1" si="61"/>
        <v>#N/A</v>
      </c>
      <c r="U320" t="e">
        <f ca="1">IF(AND($C320='Funnel setup'!$K$3&amp;'Funnel setup'!$K$6&amp;'Funnel setup'!$K$7&amp;'Funnel setup'!$K$4,'Funnel Lookup'!I320="*",'Funnel Lookup'!I320="*"),#N/A,IF(AND($C320='Funnel setup'!$K$3&amp;'Funnel setup'!$K$6&amp;'Funnel setup'!$K$7&amp;'Funnel setup'!$K$4,'Funnel Lookup'!I320&gt;29,'Funnel Lookup'!I320&lt;&gt;"-"),'Funnel Lookup'!I320,#N/A))</f>
        <v>#N/A</v>
      </c>
      <c r="V320" t="e">
        <f ca="1">IF(AND($C320='Funnel setup'!$K$3&amp;'Funnel setup'!$K$6&amp;'Funnel setup'!$K$7&amp;'Funnel setup'!$K$4,'Funnel Lookup'!I320="*",'Funnel Lookup'!I320="*"),#N/A,IF(AND($C320='Funnel setup'!$K$3&amp;'Funnel setup'!$K$6&amp;'Funnel setup'!$K$7&amp;'Funnel setup'!$K$4,'Funnel Lookup'!I320&gt;29,'Funnel Lookup'!I320&lt;&gt;"-"),'Funnel Lookup'!Q320,#N/A))</f>
        <v>#N/A</v>
      </c>
    </row>
    <row r="321" spans="1:22" x14ac:dyDescent="0.25">
      <c r="A321">
        <v>319</v>
      </c>
      <c r="B321" t="e">
        <f t="shared" ca="1" si="72"/>
        <v>#N/A</v>
      </c>
      <c r="C321" t="e">
        <f t="shared" ca="1" si="72"/>
        <v>#N/A</v>
      </c>
      <c r="D321" t="e">
        <f t="shared" ca="1" si="72"/>
        <v>#N/A</v>
      </c>
      <c r="E321" t="e">
        <f t="shared" ca="1" si="72"/>
        <v>#N/A</v>
      </c>
      <c r="F321" t="e">
        <f t="shared" ca="1" si="72"/>
        <v>#N/A</v>
      </c>
      <c r="G321" t="e">
        <f t="shared" ca="1" si="72"/>
        <v>#N/A</v>
      </c>
      <c r="H321" t="e">
        <f t="shared" ca="1" si="72"/>
        <v>#N/A</v>
      </c>
      <c r="I321" t="e">
        <f t="shared" ca="1" si="72"/>
        <v>#N/A</v>
      </c>
      <c r="J321" t="e">
        <f t="shared" ca="1" si="72"/>
        <v>#N/A</v>
      </c>
      <c r="K321" t="e">
        <f t="shared" ca="1" si="72"/>
        <v>#N/A</v>
      </c>
      <c r="L321" t="e">
        <f t="shared" ca="1" si="73"/>
        <v>#N/A</v>
      </c>
      <c r="M321" t="e">
        <f t="shared" ca="1" si="73"/>
        <v>#N/A</v>
      </c>
      <c r="N321" t="e">
        <f t="shared" ca="1" si="73"/>
        <v>#N/A</v>
      </c>
      <c r="O321" t="e">
        <f t="shared" ca="1" si="73"/>
        <v>#N/A</v>
      </c>
      <c r="P321" t="e">
        <f t="shared" ca="1" si="73"/>
        <v>#N/A</v>
      </c>
      <c r="Q321" t="e">
        <f t="shared" ca="1" si="73"/>
        <v>#N/A</v>
      </c>
      <c r="R321" t="e">
        <f t="shared" ca="1" si="73"/>
        <v>#N/A</v>
      </c>
      <c r="S321" t="e">
        <f t="shared" ca="1" si="60"/>
        <v>#N/A</v>
      </c>
      <c r="T321" t="e">
        <f t="shared" ca="1" si="61"/>
        <v>#N/A</v>
      </c>
      <c r="U321" t="e">
        <f ca="1">IF(AND($C321='Funnel setup'!$K$3&amp;'Funnel setup'!$K$6&amp;'Funnel setup'!$K$7&amp;'Funnel setup'!$K$4,'Funnel Lookup'!I321="*",'Funnel Lookup'!I321="*"),#N/A,IF(AND($C321='Funnel setup'!$K$3&amp;'Funnel setup'!$K$6&amp;'Funnel setup'!$K$7&amp;'Funnel setup'!$K$4,'Funnel Lookup'!I321&gt;29,'Funnel Lookup'!I321&lt;&gt;"-"),'Funnel Lookup'!I321,#N/A))</f>
        <v>#N/A</v>
      </c>
      <c r="V321" t="e">
        <f ca="1">IF(AND($C321='Funnel setup'!$K$3&amp;'Funnel setup'!$K$6&amp;'Funnel setup'!$K$7&amp;'Funnel setup'!$K$4,'Funnel Lookup'!I321="*",'Funnel Lookup'!I321="*"),#N/A,IF(AND($C321='Funnel setup'!$K$3&amp;'Funnel setup'!$K$6&amp;'Funnel setup'!$K$7&amp;'Funnel setup'!$K$4,'Funnel Lookup'!I321&gt;29,'Funnel Lookup'!I321&lt;&gt;"-"),'Funnel Lookup'!Q321,#N/A))</f>
        <v>#N/A</v>
      </c>
    </row>
    <row r="322" spans="1:22" x14ac:dyDescent="0.25">
      <c r="A322">
        <v>320</v>
      </c>
      <c r="B322" t="e">
        <f t="shared" ca="1" si="72"/>
        <v>#N/A</v>
      </c>
      <c r="C322" t="e">
        <f t="shared" ca="1" si="72"/>
        <v>#N/A</v>
      </c>
      <c r="D322" t="e">
        <f t="shared" ca="1" si="72"/>
        <v>#N/A</v>
      </c>
      <c r="E322" t="e">
        <f t="shared" ca="1" si="72"/>
        <v>#N/A</v>
      </c>
      <c r="F322" t="e">
        <f t="shared" ca="1" si="72"/>
        <v>#N/A</v>
      </c>
      <c r="G322" t="e">
        <f t="shared" ca="1" si="72"/>
        <v>#N/A</v>
      </c>
      <c r="H322" t="e">
        <f t="shared" ca="1" si="72"/>
        <v>#N/A</v>
      </c>
      <c r="I322" t="e">
        <f t="shared" ca="1" si="72"/>
        <v>#N/A</v>
      </c>
      <c r="J322" t="e">
        <f t="shared" ca="1" si="72"/>
        <v>#N/A</v>
      </c>
      <c r="K322" t="e">
        <f t="shared" ca="1" si="72"/>
        <v>#N/A</v>
      </c>
      <c r="L322" t="e">
        <f t="shared" ca="1" si="73"/>
        <v>#N/A</v>
      </c>
      <c r="M322" t="e">
        <f t="shared" ca="1" si="73"/>
        <v>#N/A</v>
      </c>
      <c r="N322" t="e">
        <f t="shared" ca="1" si="73"/>
        <v>#N/A</v>
      </c>
      <c r="O322" t="e">
        <f t="shared" ca="1" si="73"/>
        <v>#N/A</v>
      </c>
      <c r="P322" t="e">
        <f t="shared" ca="1" si="73"/>
        <v>#N/A</v>
      </c>
      <c r="Q322" t="e">
        <f t="shared" ca="1" si="73"/>
        <v>#N/A</v>
      </c>
      <c r="R322" t="e">
        <f t="shared" ca="1" si="73"/>
        <v>#N/A</v>
      </c>
      <c r="S322" t="e">
        <f t="shared" ca="1" si="60"/>
        <v>#N/A</v>
      </c>
      <c r="T322" t="e">
        <f t="shared" ca="1" si="61"/>
        <v>#N/A</v>
      </c>
      <c r="U322" t="e">
        <f ca="1">IF(AND($C322='Funnel setup'!$K$3&amp;'Funnel setup'!$K$6&amp;'Funnel setup'!$K$7&amp;'Funnel setup'!$K$4,'Funnel Lookup'!I322="*",'Funnel Lookup'!I322="*"),#N/A,IF(AND($C322='Funnel setup'!$K$3&amp;'Funnel setup'!$K$6&amp;'Funnel setup'!$K$7&amp;'Funnel setup'!$K$4,'Funnel Lookup'!I322&gt;29,'Funnel Lookup'!I322&lt;&gt;"-"),'Funnel Lookup'!I322,#N/A))</f>
        <v>#N/A</v>
      </c>
      <c r="V322" t="e">
        <f ca="1">IF(AND($C322='Funnel setup'!$K$3&amp;'Funnel setup'!$K$6&amp;'Funnel setup'!$K$7&amp;'Funnel setup'!$K$4,'Funnel Lookup'!I322="*",'Funnel Lookup'!I322="*"),#N/A,IF(AND($C322='Funnel setup'!$K$3&amp;'Funnel setup'!$K$6&amp;'Funnel setup'!$K$7&amp;'Funnel setup'!$K$4,'Funnel Lookup'!I322&gt;29,'Funnel Lookup'!I322&lt;&gt;"-"),'Funnel Lookup'!Q322,#N/A))</f>
        <v>#N/A</v>
      </c>
    </row>
    <row r="323" spans="1:22" x14ac:dyDescent="0.25">
      <c r="A323">
        <v>321</v>
      </c>
      <c r="B323" t="e">
        <f t="shared" ref="B323:K332" ca="1" si="74">VLOOKUP($A323,Funnel_Data,B$1,FALSE)</f>
        <v>#N/A</v>
      </c>
      <c r="C323" t="e">
        <f t="shared" ca="1" si="74"/>
        <v>#N/A</v>
      </c>
      <c r="D323" t="e">
        <f t="shared" ca="1" si="74"/>
        <v>#N/A</v>
      </c>
      <c r="E323" t="e">
        <f t="shared" ca="1" si="74"/>
        <v>#N/A</v>
      </c>
      <c r="F323" t="e">
        <f t="shared" ca="1" si="74"/>
        <v>#N/A</v>
      </c>
      <c r="G323" t="e">
        <f t="shared" ca="1" si="74"/>
        <v>#N/A</v>
      </c>
      <c r="H323" t="e">
        <f t="shared" ca="1" si="74"/>
        <v>#N/A</v>
      </c>
      <c r="I323" t="e">
        <f t="shared" ca="1" si="74"/>
        <v>#N/A</v>
      </c>
      <c r="J323" t="e">
        <f t="shared" ca="1" si="74"/>
        <v>#N/A</v>
      </c>
      <c r="K323" t="e">
        <f t="shared" ca="1" si="74"/>
        <v>#N/A</v>
      </c>
      <c r="L323" t="e">
        <f t="shared" ref="L323:R332" ca="1" si="75">VLOOKUP($A323,Funnel_Data,L$1,FALSE)</f>
        <v>#N/A</v>
      </c>
      <c r="M323" t="e">
        <f t="shared" ca="1" si="75"/>
        <v>#N/A</v>
      </c>
      <c r="N323" t="e">
        <f t="shared" ca="1" si="75"/>
        <v>#N/A</v>
      </c>
      <c r="O323" t="e">
        <f t="shared" ca="1" si="75"/>
        <v>#N/A</v>
      </c>
      <c r="P323" t="e">
        <f t="shared" ca="1" si="75"/>
        <v>#N/A</v>
      </c>
      <c r="Q323" t="e">
        <f t="shared" ca="1" si="75"/>
        <v>#N/A</v>
      </c>
      <c r="R323" t="e">
        <f t="shared" ca="1" si="75"/>
        <v>#N/A</v>
      </c>
      <c r="S323" t="e">
        <f t="shared" ref="S323:S386" ca="1" si="76">IF($Q323="*",#N/A,IF($Q323="-",#N/A,I323))</f>
        <v>#N/A</v>
      </c>
      <c r="T323" t="e">
        <f t="shared" ref="T323:T386" ca="1" si="77">IF($Q323="*",#N/A,IF($Q323="-",#N/A,Q323))</f>
        <v>#N/A</v>
      </c>
      <c r="U323" t="e">
        <f ca="1">IF(AND($C323='Funnel setup'!$K$3&amp;'Funnel setup'!$K$6&amp;'Funnel setup'!$K$7&amp;'Funnel setup'!$K$4,'Funnel Lookup'!I323="*",'Funnel Lookup'!I323="*"),#N/A,IF(AND($C323='Funnel setup'!$K$3&amp;'Funnel setup'!$K$6&amp;'Funnel setup'!$K$7&amp;'Funnel setup'!$K$4,'Funnel Lookup'!I323&gt;29,'Funnel Lookup'!I323&lt;&gt;"-"),'Funnel Lookup'!I323,#N/A))</f>
        <v>#N/A</v>
      </c>
      <c r="V323" t="e">
        <f ca="1">IF(AND($C323='Funnel setup'!$K$3&amp;'Funnel setup'!$K$6&amp;'Funnel setup'!$K$7&amp;'Funnel setup'!$K$4,'Funnel Lookup'!I323="*",'Funnel Lookup'!I323="*"),#N/A,IF(AND($C323='Funnel setup'!$K$3&amp;'Funnel setup'!$K$6&amp;'Funnel setup'!$K$7&amp;'Funnel setup'!$K$4,'Funnel Lookup'!I323&gt;29,'Funnel Lookup'!I323&lt;&gt;"-"),'Funnel Lookup'!Q323,#N/A))</f>
        <v>#N/A</v>
      </c>
    </row>
    <row r="324" spans="1:22" x14ac:dyDescent="0.25">
      <c r="A324">
        <v>322</v>
      </c>
      <c r="B324" t="e">
        <f t="shared" ca="1" si="74"/>
        <v>#N/A</v>
      </c>
      <c r="C324" t="e">
        <f t="shared" ca="1" si="74"/>
        <v>#N/A</v>
      </c>
      <c r="D324" t="e">
        <f t="shared" ca="1" si="74"/>
        <v>#N/A</v>
      </c>
      <c r="E324" t="e">
        <f t="shared" ca="1" si="74"/>
        <v>#N/A</v>
      </c>
      <c r="F324" t="e">
        <f t="shared" ca="1" si="74"/>
        <v>#N/A</v>
      </c>
      <c r="G324" t="e">
        <f t="shared" ca="1" si="74"/>
        <v>#N/A</v>
      </c>
      <c r="H324" t="e">
        <f t="shared" ca="1" si="74"/>
        <v>#N/A</v>
      </c>
      <c r="I324" t="e">
        <f t="shared" ca="1" si="74"/>
        <v>#N/A</v>
      </c>
      <c r="J324" t="e">
        <f t="shared" ca="1" si="74"/>
        <v>#N/A</v>
      </c>
      <c r="K324" t="e">
        <f t="shared" ca="1" si="74"/>
        <v>#N/A</v>
      </c>
      <c r="L324" t="e">
        <f t="shared" ca="1" si="75"/>
        <v>#N/A</v>
      </c>
      <c r="M324" t="e">
        <f t="shared" ca="1" si="75"/>
        <v>#N/A</v>
      </c>
      <c r="N324" t="e">
        <f t="shared" ca="1" si="75"/>
        <v>#N/A</v>
      </c>
      <c r="O324" t="e">
        <f t="shared" ca="1" si="75"/>
        <v>#N/A</v>
      </c>
      <c r="P324" t="e">
        <f t="shared" ca="1" si="75"/>
        <v>#N/A</v>
      </c>
      <c r="Q324" t="e">
        <f t="shared" ca="1" si="75"/>
        <v>#N/A</v>
      </c>
      <c r="R324" t="e">
        <f t="shared" ca="1" si="75"/>
        <v>#N/A</v>
      </c>
      <c r="S324" t="e">
        <f t="shared" ca="1" si="76"/>
        <v>#N/A</v>
      </c>
      <c r="T324" t="e">
        <f t="shared" ca="1" si="77"/>
        <v>#N/A</v>
      </c>
      <c r="U324" t="e">
        <f ca="1">IF(AND($C324='Funnel setup'!$K$3&amp;'Funnel setup'!$K$6&amp;'Funnel setup'!$K$7&amp;'Funnel setup'!$K$4,'Funnel Lookup'!I324="*",'Funnel Lookup'!I324="*"),#N/A,IF(AND($C324='Funnel setup'!$K$3&amp;'Funnel setup'!$K$6&amp;'Funnel setup'!$K$7&amp;'Funnel setup'!$K$4,'Funnel Lookup'!I324&gt;29,'Funnel Lookup'!I324&lt;&gt;"-"),'Funnel Lookup'!I324,#N/A))</f>
        <v>#N/A</v>
      </c>
      <c r="V324" t="e">
        <f ca="1">IF(AND($C324='Funnel setup'!$K$3&amp;'Funnel setup'!$K$6&amp;'Funnel setup'!$K$7&amp;'Funnel setup'!$K$4,'Funnel Lookup'!I324="*",'Funnel Lookup'!I324="*"),#N/A,IF(AND($C324='Funnel setup'!$K$3&amp;'Funnel setup'!$K$6&amp;'Funnel setup'!$K$7&amp;'Funnel setup'!$K$4,'Funnel Lookup'!I324&gt;29,'Funnel Lookup'!I324&lt;&gt;"-"),'Funnel Lookup'!Q324,#N/A))</f>
        <v>#N/A</v>
      </c>
    </row>
    <row r="325" spans="1:22" x14ac:dyDescent="0.25">
      <c r="A325">
        <v>323</v>
      </c>
      <c r="B325" t="e">
        <f t="shared" ca="1" si="74"/>
        <v>#N/A</v>
      </c>
      <c r="C325" t="e">
        <f t="shared" ca="1" si="74"/>
        <v>#N/A</v>
      </c>
      <c r="D325" t="e">
        <f t="shared" ca="1" si="74"/>
        <v>#N/A</v>
      </c>
      <c r="E325" t="e">
        <f t="shared" ca="1" si="74"/>
        <v>#N/A</v>
      </c>
      <c r="F325" t="e">
        <f t="shared" ca="1" si="74"/>
        <v>#N/A</v>
      </c>
      <c r="G325" t="e">
        <f t="shared" ca="1" si="74"/>
        <v>#N/A</v>
      </c>
      <c r="H325" t="e">
        <f t="shared" ca="1" si="74"/>
        <v>#N/A</v>
      </c>
      <c r="I325" t="e">
        <f t="shared" ca="1" si="74"/>
        <v>#N/A</v>
      </c>
      <c r="J325" t="e">
        <f t="shared" ca="1" si="74"/>
        <v>#N/A</v>
      </c>
      <c r="K325" t="e">
        <f t="shared" ca="1" si="74"/>
        <v>#N/A</v>
      </c>
      <c r="L325" t="e">
        <f t="shared" ca="1" si="75"/>
        <v>#N/A</v>
      </c>
      <c r="M325" t="e">
        <f t="shared" ca="1" si="75"/>
        <v>#N/A</v>
      </c>
      <c r="N325" t="e">
        <f t="shared" ca="1" si="75"/>
        <v>#N/A</v>
      </c>
      <c r="O325" t="e">
        <f t="shared" ca="1" si="75"/>
        <v>#N/A</v>
      </c>
      <c r="P325" t="e">
        <f t="shared" ca="1" si="75"/>
        <v>#N/A</v>
      </c>
      <c r="Q325" t="e">
        <f t="shared" ca="1" si="75"/>
        <v>#N/A</v>
      </c>
      <c r="R325" t="e">
        <f t="shared" ca="1" si="75"/>
        <v>#N/A</v>
      </c>
      <c r="S325" t="e">
        <f t="shared" ca="1" si="76"/>
        <v>#N/A</v>
      </c>
      <c r="T325" t="e">
        <f t="shared" ca="1" si="77"/>
        <v>#N/A</v>
      </c>
      <c r="U325" t="e">
        <f ca="1">IF(AND($C325='Funnel setup'!$K$3&amp;'Funnel setup'!$K$6&amp;'Funnel setup'!$K$7&amp;'Funnel setup'!$K$4,'Funnel Lookup'!I325="*",'Funnel Lookup'!I325="*"),#N/A,IF(AND($C325='Funnel setup'!$K$3&amp;'Funnel setup'!$K$6&amp;'Funnel setup'!$K$7&amp;'Funnel setup'!$K$4,'Funnel Lookup'!I325&gt;29,'Funnel Lookup'!I325&lt;&gt;"-"),'Funnel Lookup'!I325,#N/A))</f>
        <v>#N/A</v>
      </c>
      <c r="V325" t="e">
        <f ca="1">IF(AND($C325='Funnel setup'!$K$3&amp;'Funnel setup'!$K$6&amp;'Funnel setup'!$K$7&amp;'Funnel setup'!$K$4,'Funnel Lookup'!I325="*",'Funnel Lookup'!I325="*"),#N/A,IF(AND($C325='Funnel setup'!$K$3&amp;'Funnel setup'!$K$6&amp;'Funnel setup'!$K$7&amp;'Funnel setup'!$K$4,'Funnel Lookup'!I325&gt;29,'Funnel Lookup'!I325&lt;&gt;"-"),'Funnel Lookup'!Q325,#N/A))</f>
        <v>#N/A</v>
      </c>
    </row>
    <row r="326" spans="1:22" x14ac:dyDescent="0.25">
      <c r="A326">
        <v>324</v>
      </c>
      <c r="B326" t="e">
        <f t="shared" ca="1" si="74"/>
        <v>#N/A</v>
      </c>
      <c r="C326" t="e">
        <f t="shared" ca="1" si="74"/>
        <v>#N/A</v>
      </c>
      <c r="D326" t="e">
        <f t="shared" ca="1" si="74"/>
        <v>#N/A</v>
      </c>
      <c r="E326" t="e">
        <f t="shared" ca="1" si="74"/>
        <v>#N/A</v>
      </c>
      <c r="F326" t="e">
        <f t="shared" ca="1" si="74"/>
        <v>#N/A</v>
      </c>
      <c r="G326" t="e">
        <f t="shared" ca="1" si="74"/>
        <v>#N/A</v>
      </c>
      <c r="H326" t="e">
        <f t="shared" ca="1" si="74"/>
        <v>#N/A</v>
      </c>
      <c r="I326" t="e">
        <f t="shared" ca="1" si="74"/>
        <v>#N/A</v>
      </c>
      <c r="J326" t="e">
        <f t="shared" ca="1" si="74"/>
        <v>#N/A</v>
      </c>
      <c r="K326" t="e">
        <f t="shared" ca="1" si="74"/>
        <v>#N/A</v>
      </c>
      <c r="L326" t="e">
        <f t="shared" ca="1" si="75"/>
        <v>#N/A</v>
      </c>
      <c r="M326" t="e">
        <f t="shared" ca="1" si="75"/>
        <v>#N/A</v>
      </c>
      <c r="N326" t="e">
        <f t="shared" ca="1" si="75"/>
        <v>#N/A</v>
      </c>
      <c r="O326" t="e">
        <f t="shared" ca="1" si="75"/>
        <v>#N/A</v>
      </c>
      <c r="P326" t="e">
        <f t="shared" ca="1" si="75"/>
        <v>#N/A</v>
      </c>
      <c r="Q326" t="e">
        <f t="shared" ca="1" si="75"/>
        <v>#N/A</v>
      </c>
      <c r="R326" t="e">
        <f t="shared" ca="1" si="75"/>
        <v>#N/A</v>
      </c>
      <c r="S326" t="e">
        <f t="shared" ca="1" si="76"/>
        <v>#N/A</v>
      </c>
      <c r="T326" t="e">
        <f t="shared" ca="1" si="77"/>
        <v>#N/A</v>
      </c>
      <c r="U326" t="e">
        <f ca="1">IF(AND($C326='Funnel setup'!$K$3&amp;'Funnel setup'!$K$6&amp;'Funnel setup'!$K$7&amp;'Funnel setup'!$K$4,'Funnel Lookup'!I326="*",'Funnel Lookup'!I326="*"),#N/A,IF(AND($C326='Funnel setup'!$K$3&amp;'Funnel setup'!$K$6&amp;'Funnel setup'!$K$7&amp;'Funnel setup'!$K$4,'Funnel Lookup'!I326&gt;29,'Funnel Lookup'!I326&lt;&gt;"-"),'Funnel Lookup'!I326,#N/A))</f>
        <v>#N/A</v>
      </c>
      <c r="V326" t="e">
        <f ca="1">IF(AND($C326='Funnel setup'!$K$3&amp;'Funnel setup'!$K$6&amp;'Funnel setup'!$K$7&amp;'Funnel setup'!$K$4,'Funnel Lookup'!I326="*",'Funnel Lookup'!I326="*"),#N/A,IF(AND($C326='Funnel setup'!$K$3&amp;'Funnel setup'!$K$6&amp;'Funnel setup'!$K$7&amp;'Funnel setup'!$K$4,'Funnel Lookup'!I326&gt;29,'Funnel Lookup'!I326&lt;&gt;"-"),'Funnel Lookup'!Q326,#N/A))</f>
        <v>#N/A</v>
      </c>
    </row>
    <row r="327" spans="1:22" x14ac:dyDescent="0.25">
      <c r="A327">
        <v>325</v>
      </c>
      <c r="B327" t="e">
        <f t="shared" ca="1" si="74"/>
        <v>#N/A</v>
      </c>
      <c r="C327" t="e">
        <f t="shared" ca="1" si="74"/>
        <v>#N/A</v>
      </c>
      <c r="D327" t="e">
        <f t="shared" ca="1" si="74"/>
        <v>#N/A</v>
      </c>
      <c r="E327" t="e">
        <f t="shared" ca="1" si="74"/>
        <v>#N/A</v>
      </c>
      <c r="F327" t="e">
        <f t="shared" ca="1" si="74"/>
        <v>#N/A</v>
      </c>
      <c r="G327" t="e">
        <f t="shared" ca="1" si="74"/>
        <v>#N/A</v>
      </c>
      <c r="H327" t="e">
        <f t="shared" ca="1" si="74"/>
        <v>#N/A</v>
      </c>
      <c r="I327" t="e">
        <f t="shared" ca="1" si="74"/>
        <v>#N/A</v>
      </c>
      <c r="J327" t="e">
        <f t="shared" ca="1" si="74"/>
        <v>#N/A</v>
      </c>
      <c r="K327" t="e">
        <f t="shared" ca="1" si="74"/>
        <v>#N/A</v>
      </c>
      <c r="L327" t="e">
        <f t="shared" ca="1" si="75"/>
        <v>#N/A</v>
      </c>
      <c r="M327" t="e">
        <f t="shared" ca="1" si="75"/>
        <v>#N/A</v>
      </c>
      <c r="N327" t="e">
        <f t="shared" ca="1" si="75"/>
        <v>#N/A</v>
      </c>
      <c r="O327" t="e">
        <f t="shared" ca="1" si="75"/>
        <v>#N/A</v>
      </c>
      <c r="P327" t="e">
        <f t="shared" ca="1" si="75"/>
        <v>#N/A</v>
      </c>
      <c r="Q327" t="e">
        <f t="shared" ca="1" si="75"/>
        <v>#N/A</v>
      </c>
      <c r="R327" t="e">
        <f t="shared" ca="1" si="75"/>
        <v>#N/A</v>
      </c>
      <c r="S327" t="e">
        <f t="shared" ca="1" si="76"/>
        <v>#N/A</v>
      </c>
      <c r="T327" t="e">
        <f t="shared" ca="1" si="77"/>
        <v>#N/A</v>
      </c>
      <c r="U327" t="e">
        <f ca="1">IF(AND($C327='Funnel setup'!$K$3&amp;'Funnel setup'!$K$6&amp;'Funnel setup'!$K$7&amp;'Funnel setup'!$K$4,'Funnel Lookup'!I327="*",'Funnel Lookup'!I327="*"),#N/A,IF(AND($C327='Funnel setup'!$K$3&amp;'Funnel setup'!$K$6&amp;'Funnel setup'!$K$7&amp;'Funnel setup'!$K$4,'Funnel Lookup'!I327&gt;29,'Funnel Lookup'!I327&lt;&gt;"-"),'Funnel Lookup'!I327,#N/A))</f>
        <v>#N/A</v>
      </c>
      <c r="V327" t="e">
        <f ca="1">IF(AND($C327='Funnel setup'!$K$3&amp;'Funnel setup'!$K$6&amp;'Funnel setup'!$K$7&amp;'Funnel setup'!$K$4,'Funnel Lookup'!I327="*",'Funnel Lookup'!I327="*"),#N/A,IF(AND($C327='Funnel setup'!$K$3&amp;'Funnel setup'!$K$6&amp;'Funnel setup'!$K$7&amp;'Funnel setup'!$K$4,'Funnel Lookup'!I327&gt;29,'Funnel Lookup'!I327&lt;&gt;"-"),'Funnel Lookup'!Q327,#N/A))</f>
        <v>#N/A</v>
      </c>
    </row>
    <row r="328" spans="1:22" x14ac:dyDescent="0.25">
      <c r="A328">
        <v>326</v>
      </c>
      <c r="B328" t="e">
        <f t="shared" ca="1" si="74"/>
        <v>#N/A</v>
      </c>
      <c r="C328" t="e">
        <f t="shared" ca="1" si="74"/>
        <v>#N/A</v>
      </c>
      <c r="D328" t="e">
        <f t="shared" ca="1" si="74"/>
        <v>#N/A</v>
      </c>
      <c r="E328" t="e">
        <f t="shared" ca="1" si="74"/>
        <v>#N/A</v>
      </c>
      <c r="F328" t="e">
        <f t="shared" ca="1" si="74"/>
        <v>#N/A</v>
      </c>
      <c r="G328" t="e">
        <f t="shared" ca="1" si="74"/>
        <v>#N/A</v>
      </c>
      <c r="H328" t="e">
        <f t="shared" ca="1" si="74"/>
        <v>#N/A</v>
      </c>
      <c r="I328" t="e">
        <f t="shared" ca="1" si="74"/>
        <v>#N/A</v>
      </c>
      <c r="J328" t="e">
        <f t="shared" ca="1" si="74"/>
        <v>#N/A</v>
      </c>
      <c r="K328" t="e">
        <f t="shared" ca="1" si="74"/>
        <v>#N/A</v>
      </c>
      <c r="L328" t="e">
        <f t="shared" ca="1" si="75"/>
        <v>#N/A</v>
      </c>
      <c r="M328" t="e">
        <f t="shared" ca="1" si="75"/>
        <v>#N/A</v>
      </c>
      <c r="N328" t="e">
        <f t="shared" ca="1" si="75"/>
        <v>#N/A</v>
      </c>
      <c r="O328" t="e">
        <f t="shared" ca="1" si="75"/>
        <v>#N/A</v>
      </c>
      <c r="P328" t="e">
        <f t="shared" ca="1" si="75"/>
        <v>#N/A</v>
      </c>
      <c r="Q328" t="e">
        <f t="shared" ca="1" si="75"/>
        <v>#N/A</v>
      </c>
      <c r="R328" t="e">
        <f t="shared" ca="1" si="75"/>
        <v>#N/A</v>
      </c>
      <c r="S328" t="e">
        <f t="shared" ca="1" si="76"/>
        <v>#N/A</v>
      </c>
      <c r="T328" t="e">
        <f t="shared" ca="1" si="77"/>
        <v>#N/A</v>
      </c>
      <c r="U328" t="e">
        <f ca="1">IF(AND($C328='Funnel setup'!$K$3&amp;'Funnel setup'!$K$6&amp;'Funnel setup'!$K$7&amp;'Funnel setup'!$K$4,'Funnel Lookup'!I328="*",'Funnel Lookup'!I328="*"),#N/A,IF(AND($C328='Funnel setup'!$K$3&amp;'Funnel setup'!$K$6&amp;'Funnel setup'!$K$7&amp;'Funnel setup'!$K$4,'Funnel Lookup'!I328&gt;29,'Funnel Lookup'!I328&lt;&gt;"-"),'Funnel Lookup'!I328,#N/A))</f>
        <v>#N/A</v>
      </c>
      <c r="V328" t="e">
        <f ca="1">IF(AND($C328='Funnel setup'!$K$3&amp;'Funnel setup'!$K$6&amp;'Funnel setup'!$K$7&amp;'Funnel setup'!$K$4,'Funnel Lookup'!I328="*",'Funnel Lookup'!I328="*"),#N/A,IF(AND($C328='Funnel setup'!$K$3&amp;'Funnel setup'!$K$6&amp;'Funnel setup'!$K$7&amp;'Funnel setup'!$K$4,'Funnel Lookup'!I328&gt;29,'Funnel Lookup'!I328&lt;&gt;"-"),'Funnel Lookup'!Q328,#N/A))</f>
        <v>#N/A</v>
      </c>
    </row>
    <row r="329" spans="1:22" x14ac:dyDescent="0.25">
      <c r="A329">
        <v>327</v>
      </c>
      <c r="B329" t="e">
        <f t="shared" ca="1" si="74"/>
        <v>#N/A</v>
      </c>
      <c r="C329" t="e">
        <f t="shared" ca="1" si="74"/>
        <v>#N/A</v>
      </c>
      <c r="D329" t="e">
        <f t="shared" ca="1" si="74"/>
        <v>#N/A</v>
      </c>
      <c r="E329" t="e">
        <f t="shared" ca="1" si="74"/>
        <v>#N/A</v>
      </c>
      <c r="F329" t="e">
        <f t="shared" ca="1" si="74"/>
        <v>#N/A</v>
      </c>
      <c r="G329" t="e">
        <f t="shared" ca="1" si="74"/>
        <v>#N/A</v>
      </c>
      <c r="H329" t="e">
        <f t="shared" ca="1" si="74"/>
        <v>#N/A</v>
      </c>
      <c r="I329" t="e">
        <f t="shared" ca="1" si="74"/>
        <v>#N/A</v>
      </c>
      <c r="J329" t="e">
        <f t="shared" ca="1" si="74"/>
        <v>#N/A</v>
      </c>
      <c r="K329" t="e">
        <f t="shared" ca="1" si="74"/>
        <v>#N/A</v>
      </c>
      <c r="L329" t="e">
        <f t="shared" ca="1" si="75"/>
        <v>#N/A</v>
      </c>
      <c r="M329" t="e">
        <f t="shared" ca="1" si="75"/>
        <v>#N/A</v>
      </c>
      <c r="N329" t="e">
        <f t="shared" ca="1" si="75"/>
        <v>#N/A</v>
      </c>
      <c r="O329" t="e">
        <f t="shared" ca="1" si="75"/>
        <v>#N/A</v>
      </c>
      <c r="P329" t="e">
        <f t="shared" ca="1" si="75"/>
        <v>#N/A</v>
      </c>
      <c r="Q329" t="e">
        <f t="shared" ca="1" si="75"/>
        <v>#N/A</v>
      </c>
      <c r="R329" t="e">
        <f t="shared" ca="1" si="75"/>
        <v>#N/A</v>
      </c>
      <c r="S329" t="e">
        <f t="shared" ca="1" si="76"/>
        <v>#N/A</v>
      </c>
      <c r="T329" t="e">
        <f t="shared" ca="1" si="77"/>
        <v>#N/A</v>
      </c>
      <c r="U329" t="e">
        <f ca="1">IF(AND($C329='Funnel setup'!$K$3&amp;'Funnel setup'!$K$6&amp;'Funnel setup'!$K$7&amp;'Funnel setup'!$K$4,'Funnel Lookup'!I329="*",'Funnel Lookup'!I329="*"),#N/A,IF(AND($C329='Funnel setup'!$K$3&amp;'Funnel setup'!$K$6&amp;'Funnel setup'!$K$7&amp;'Funnel setup'!$K$4,'Funnel Lookup'!I329&gt;29,'Funnel Lookup'!I329&lt;&gt;"-"),'Funnel Lookup'!I329,#N/A))</f>
        <v>#N/A</v>
      </c>
      <c r="V329" t="e">
        <f ca="1">IF(AND($C329='Funnel setup'!$K$3&amp;'Funnel setup'!$K$6&amp;'Funnel setup'!$K$7&amp;'Funnel setup'!$K$4,'Funnel Lookup'!I329="*",'Funnel Lookup'!I329="*"),#N/A,IF(AND($C329='Funnel setup'!$K$3&amp;'Funnel setup'!$K$6&amp;'Funnel setup'!$K$7&amp;'Funnel setup'!$K$4,'Funnel Lookup'!I329&gt;29,'Funnel Lookup'!I329&lt;&gt;"-"),'Funnel Lookup'!Q329,#N/A))</f>
        <v>#N/A</v>
      </c>
    </row>
    <row r="330" spans="1:22" x14ac:dyDescent="0.25">
      <c r="A330">
        <v>328</v>
      </c>
      <c r="B330" t="e">
        <f t="shared" ca="1" si="74"/>
        <v>#N/A</v>
      </c>
      <c r="C330" t="e">
        <f t="shared" ca="1" si="74"/>
        <v>#N/A</v>
      </c>
      <c r="D330" t="e">
        <f t="shared" ca="1" si="74"/>
        <v>#N/A</v>
      </c>
      <c r="E330" t="e">
        <f t="shared" ca="1" si="74"/>
        <v>#N/A</v>
      </c>
      <c r="F330" t="e">
        <f t="shared" ca="1" si="74"/>
        <v>#N/A</v>
      </c>
      <c r="G330" t="e">
        <f t="shared" ca="1" si="74"/>
        <v>#N/A</v>
      </c>
      <c r="H330" t="e">
        <f t="shared" ca="1" si="74"/>
        <v>#N/A</v>
      </c>
      <c r="I330" t="e">
        <f t="shared" ca="1" si="74"/>
        <v>#N/A</v>
      </c>
      <c r="J330" t="e">
        <f t="shared" ca="1" si="74"/>
        <v>#N/A</v>
      </c>
      <c r="K330" t="e">
        <f t="shared" ca="1" si="74"/>
        <v>#N/A</v>
      </c>
      <c r="L330" t="e">
        <f t="shared" ca="1" si="75"/>
        <v>#N/A</v>
      </c>
      <c r="M330" t="e">
        <f t="shared" ca="1" si="75"/>
        <v>#N/A</v>
      </c>
      <c r="N330" t="e">
        <f t="shared" ca="1" si="75"/>
        <v>#N/A</v>
      </c>
      <c r="O330" t="e">
        <f t="shared" ca="1" si="75"/>
        <v>#N/A</v>
      </c>
      <c r="P330" t="e">
        <f t="shared" ca="1" si="75"/>
        <v>#N/A</v>
      </c>
      <c r="Q330" t="e">
        <f t="shared" ca="1" si="75"/>
        <v>#N/A</v>
      </c>
      <c r="R330" t="e">
        <f t="shared" ca="1" si="75"/>
        <v>#N/A</v>
      </c>
      <c r="S330" t="e">
        <f t="shared" ca="1" si="76"/>
        <v>#N/A</v>
      </c>
      <c r="T330" t="e">
        <f t="shared" ca="1" si="77"/>
        <v>#N/A</v>
      </c>
      <c r="U330" t="e">
        <f ca="1">IF(AND($C330='Funnel setup'!$K$3&amp;'Funnel setup'!$K$6&amp;'Funnel setup'!$K$7&amp;'Funnel setup'!$K$4,'Funnel Lookup'!I330="*",'Funnel Lookup'!I330="*"),#N/A,IF(AND($C330='Funnel setup'!$K$3&amp;'Funnel setup'!$K$6&amp;'Funnel setup'!$K$7&amp;'Funnel setup'!$K$4,'Funnel Lookup'!I330&gt;29,'Funnel Lookup'!I330&lt;&gt;"-"),'Funnel Lookup'!I330,#N/A))</f>
        <v>#N/A</v>
      </c>
      <c r="V330" t="e">
        <f ca="1">IF(AND($C330='Funnel setup'!$K$3&amp;'Funnel setup'!$K$6&amp;'Funnel setup'!$K$7&amp;'Funnel setup'!$K$4,'Funnel Lookup'!I330="*",'Funnel Lookup'!I330="*"),#N/A,IF(AND($C330='Funnel setup'!$K$3&amp;'Funnel setup'!$K$6&amp;'Funnel setup'!$K$7&amp;'Funnel setup'!$K$4,'Funnel Lookup'!I330&gt;29,'Funnel Lookup'!I330&lt;&gt;"-"),'Funnel Lookup'!Q330,#N/A))</f>
        <v>#N/A</v>
      </c>
    </row>
    <row r="331" spans="1:22" x14ac:dyDescent="0.25">
      <c r="A331">
        <v>329</v>
      </c>
      <c r="B331" t="e">
        <f t="shared" ca="1" si="74"/>
        <v>#N/A</v>
      </c>
      <c r="C331" t="e">
        <f t="shared" ca="1" si="74"/>
        <v>#N/A</v>
      </c>
      <c r="D331" t="e">
        <f t="shared" ca="1" si="74"/>
        <v>#N/A</v>
      </c>
      <c r="E331" t="e">
        <f t="shared" ca="1" si="74"/>
        <v>#N/A</v>
      </c>
      <c r="F331" t="e">
        <f t="shared" ca="1" si="74"/>
        <v>#N/A</v>
      </c>
      <c r="G331" t="e">
        <f t="shared" ca="1" si="74"/>
        <v>#N/A</v>
      </c>
      <c r="H331" t="e">
        <f t="shared" ca="1" si="74"/>
        <v>#N/A</v>
      </c>
      <c r="I331" t="e">
        <f t="shared" ca="1" si="74"/>
        <v>#N/A</v>
      </c>
      <c r="J331" t="e">
        <f t="shared" ca="1" si="74"/>
        <v>#N/A</v>
      </c>
      <c r="K331" t="e">
        <f t="shared" ca="1" si="74"/>
        <v>#N/A</v>
      </c>
      <c r="L331" t="e">
        <f t="shared" ca="1" si="75"/>
        <v>#N/A</v>
      </c>
      <c r="M331" t="e">
        <f t="shared" ca="1" si="75"/>
        <v>#N/A</v>
      </c>
      <c r="N331" t="e">
        <f t="shared" ca="1" si="75"/>
        <v>#N/A</v>
      </c>
      <c r="O331" t="e">
        <f t="shared" ca="1" si="75"/>
        <v>#N/A</v>
      </c>
      <c r="P331" t="e">
        <f t="shared" ca="1" si="75"/>
        <v>#N/A</v>
      </c>
      <c r="Q331" t="e">
        <f t="shared" ca="1" si="75"/>
        <v>#N/A</v>
      </c>
      <c r="R331" t="e">
        <f t="shared" ca="1" si="75"/>
        <v>#N/A</v>
      </c>
      <c r="S331" t="e">
        <f t="shared" ca="1" si="76"/>
        <v>#N/A</v>
      </c>
      <c r="T331" t="e">
        <f t="shared" ca="1" si="77"/>
        <v>#N/A</v>
      </c>
      <c r="U331" t="e">
        <f ca="1">IF(AND($C331='Funnel setup'!$K$3&amp;'Funnel setup'!$K$6&amp;'Funnel setup'!$K$7&amp;'Funnel setup'!$K$4,'Funnel Lookup'!I331="*",'Funnel Lookup'!I331="*"),#N/A,IF(AND($C331='Funnel setup'!$K$3&amp;'Funnel setup'!$K$6&amp;'Funnel setup'!$K$7&amp;'Funnel setup'!$K$4,'Funnel Lookup'!I331&gt;29,'Funnel Lookup'!I331&lt;&gt;"-"),'Funnel Lookup'!I331,#N/A))</f>
        <v>#N/A</v>
      </c>
      <c r="V331" t="e">
        <f ca="1">IF(AND($C331='Funnel setup'!$K$3&amp;'Funnel setup'!$K$6&amp;'Funnel setup'!$K$7&amp;'Funnel setup'!$K$4,'Funnel Lookup'!I331="*",'Funnel Lookup'!I331="*"),#N/A,IF(AND($C331='Funnel setup'!$K$3&amp;'Funnel setup'!$K$6&amp;'Funnel setup'!$K$7&amp;'Funnel setup'!$K$4,'Funnel Lookup'!I331&gt;29,'Funnel Lookup'!I331&lt;&gt;"-"),'Funnel Lookup'!Q331,#N/A))</f>
        <v>#N/A</v>
      </c>
    </row>
    <row r="332" spans="1:22" x14ac:dyDescent="0.25">
      <c r="A332">
        <v>330</v>
      </c>
      <c r="B332" t="e">
        <f t="shared" ca="1" si="74"/>
        <v>#N/A</v>
      </c>
      <c r="C332" t="e">
        <f t="shared" ca="1" si="74"/>
        <v>#N/A</v>
      </c>
      <c r="D332" t="e">
        <f t="shared" ca="1" si="74"/>
        <v>#N/A</v>
      </c>
      <c r="E332" t="e">
        <f t="shared" ca="1" si="74"/>
        <v>#N/A</v>
      </c>
      <c r="F332" t="e">
        <f t="shared" ca="1" si="74"/>
        <v>#N/A</v>
      </c>
      <c r="G332" t="e">
        <f t="shared" ca="1" si="74"/>
        <v>#N/A</v>
      </c>
      <c r="H332" t="e">
        <f t="shared" ca="1" si="74"/>
        <v>#N/A</v>
      </c>
      <c r="I332" t="e">
        <f t="shared" ca="1" si="74"/>
        <v>#N/A</v>
      </c>
      <c r="J332" t="e">
        <f t="shared" ca="1" si="74"/>
        <v>#N/A</v>
      </c>
      <c r="K332" t="e">
        <f t="shared" ca="1" si="74"/>
        <v>#N/A</v>
      </c>
      <c r="L332" t="e">
        <f t="shared" ca="1" si="75"/>
        <v>#N/A</v>
      </c>
      <c r="M332" t="e">
        <f t="shared" ca="1" si="75"/>
        <v>#N/A</v>
      </c>
      <c r="N332" t="e">
        <f t="shared" ca="1" si="75"/>
        <v>#N/A</v>
      </c>
      <c r="O332" t="e">
        <f t="shared" ca="1" si="75"/>
        <v>#N/A</v>
      </c>
      <c r="P332" t="e">
        <f t="shared" ca="1" si="75"/>
        <v>#N/A</v>
      </c>
      <c r="Q332" t="e">
        <f t="shared" ca="1" si="75"/>
        <v>#N/A</v>
      </c>
      <c r="R332" t="e">
        <f t="shared" ca="1" si="75"/>
        <v>#N/A</v>
      </c>
      <c r="S332" t="e">
        <f t="shared" ca="1" si="76"/>
        <v>#N/A</v>
      </c>
      <c r="T332" t="e">
        <f t="shared" ca="1" si="77"/>
        <v>#N/A</v>
      </c>
      <c r="U332" t="e">
        <f ca="1">IF(AND($C332='Funnel setup'!$K$3&amp;'Funnel setup'!$K$6&amp;'Funnel setup'!$K$7&amp;'Funnel setup'!$K$4,'Funnel Lookup'!I332="*",'Funnel Lookup'!I332="*"),#N/A,IF(AND($C332='Funnel setup'!$K$3&amp;'Funnel setup'!$K$6&amp;'Funnel setup'!$K$7&amp;'Funnel setup'!$K$4,'Funnel Lookup'!I332&gt;29,'Funnel Lookup'!I332&lt;&gt;"-"),'Funnel Lookup'!I332,#N/A))</f>
        <v>#N/A</v>
      </c>
      <c r="V332" t="e">
        <f ca="1">IF(AND($C332='Funnel setup'!$K$3&amp;'Funnel setup'!$K$6&amp;'Funnel setup'!$K$7&amp;'Funnel setup'!$K$4,'Funnel Lookup'!I332="*",'Funnel Lookup'!I332="*"),#N/A,IF(AND($C332='Funnel setup'!$K$3&amp;'Funnel setup'!$K$6&amp;'Funnel setup'!$K$7&amp;'Funnel setup'!$K$4,'Funnel Lookup'!I332&gt;29,'Funnel Lookup'!I332&lt;&gt;"-"),'Funnel Lookup'!Q332,#N/A))</f>
        <v>#N/A</v>
      </c>
    </row>
    <row r="333" spans="1:22" x14ac:dyDescent="0.25">
      <c r="A333">
        <v>331</v>
      </c>
      <c r="B333" t="e">
        <f t="shared" ref="B333:K342" ca="1" si="78">VLOOKUP($A333,Funnel_Data,B$1,FALSE)</f>
        <v>#N/A</v>
      </c>
      <c r="C333" t="e">
        <f t="shared" ca="1" si="78"/>
        <v>#N/A</v>
      </c>
      <c r="D333" t="e">
        <f t="shared" ca="1" si="78"/>
        <v>#N/A</v>
      </c>
      <c r="E333" t="e">
        <f t="shared" ca="1" si="78"/>
        <v>#N/A</v>
      </c>
      <c r="F333" t="e">
        <f t="shared" ca="1" si="78"/>
        <v>#N/A</v>
      </c>
      <c r="G333" t="e">
        <f t="shared" ca="1" si="78"/>
        <v>#N/A</v>
      </c>
      <c r="H333" t="e">
        <f t="shared" ca="1" si="78"/>
        <v>#N/A</v>
      </c>
      <c r="I333" t="e">
        <f t="shared" ca="1" si="78"/>
        <v>#N/A</v>
      </c>
      <c r="J333" t="e">
        <f t="shared" ca="1" si="78"/>
        <v>#N/A</v>
      </c>
      <c r="K333" t="e">
        <f t="shared" ca="1" si="78"/>
        <v>#N/A</v>
      </c>
      <c r="L333" t="e">
        <f t="shared" ref="L333:R342" ca="1" si="79">VLOOKUP($A333,Funnel_Data,L$1,FALSE)</f>
        <v>#N/A</v>
      </c>
      <c r="M333" t="e">
        <f t="shared" ca="1" si="79"/>
        <v>#N/A</v>
      </c>
      <c r="N333" t="e">
        <f t="shared" ca="1" si="79"/>
        <v>#N/A</v>
      </c>
      <c r="O333" t="e">
        <f t="shared" ca="1" si="79"/>
        <v>#N/A</v>
      </c>
      <c r="P333" t="e">
        <f t="shared" ca="1" si="79"/>
        <v>#N/A</v>
      </c>
      <c r="Q333" t="e">
        <f t="shared" ca="1" si="79"/>
        <v>#N/A</v>
      </c>
      <c r="R333" t="e">
        <f t="shared" ca="1" si="79"/>
        <v>#N/A</v>
      </c>
      <c r="S333" t="e">
        <f t="shared" ca="1" si="76"/>
        <v>#N/A</v>
      </c>
      <c r="T333" t="e">
        <f t="shared" ca="1" si="77"/>
        <v>#N/A</v>
      </c>
      <c r="U333" t="e">
        <f ca="1">IF(AND($C333='Funnel setup'!$K$3&amp;'Funnel setup'!$K$6&amp;'Funnel setup'!$K$7&amp;'Funnel setup'!$K$4,'Funnel Lookup'!I333="*",'Funnel Lookup'!I333="*"),#N/A,IF(AND($C333='Funnel setup'!$K$3&amp;'Funnel setup'!$K$6&amp;'Funnel setup'!$K$7&amp;'Funnel setup'!$K$4,'Funnel Lookup'!I333&gt;29,'Funnel Lookup'!I333&lt;&gt;"-"),'Funnel Lookup'!I333,#N/A))</f>
        <v>#N/A</v>
      </c>
      <c r="V333" t="e">
        <f ca="1">IF(AND($C333='Funnel setup'!$K$3&amp;'Funnel setup'!$K$6&amp;'Funnel setup'!$K$7&amp;'Funnel setup'!$K$4,'Funnel Lookup'!I333="*",'Funnel Lookup'!I333="*"),#N/A,IF(AND($C333='Funnel setup'!$K$3&amp;'Funnel setup'!$K$6&amp;'Funnel setup'!$K$7&amp;'Funnel setup'!$K$4,'Funnel Lookup'!I333&gt;29,'Funnel Lookup'!I333&lt;&gt;"-"),'Funnel Lookup'!Q333,#N/A))</f>
        <v>#N/A</v>
      </c>
    </row>
    <row r="334" spans="1:22" x14ac:dyDescent="0.25">
      <c r="A334">
        <v>332</v>
      </c>
      <c r="B334" t="e">
        <f t="shared" ca="1" si="78"/>
        <v>#N/A</v>
      </c>
      <c r="C334" t="e">
        <f t="shared" ca="1" si="78"/>
        <v>#N/A</v>
      </c>
      <c r="D334" t="e">
        <f t="shared" ca="1" si="78"/>
        <v>#N/A</v>
      </c>
      <c r="E334" t="e">
        <f t="shared" ca="1" si="78"/>
        <v>#N/A</v>
      </c>
      <c r="F334" t="e">
        <f t="shared" ca="1" si="78"/>
        <v>#N/A</v>
      </c>
      <c r="G334" t="e">
        <f t="shared" ca="1" si="78"/>
        <v>#N/A</v>
      </c>
      <c r="H334" t="e">
        <f t="shared" ca="1" si="78"/>
        <v>#N/A</v>
      </c>
      <c r="I334" t="e">
        <f t="shared" ca="1" si="78"/>
        <v>#N/A</v>
      </c>
      <c r="J334" t="e">
        <f t="shared" ca="1" si="78"/>
        <v>#N/A</v>
      </c>
      <c r="K334" t="e">
        <f t="shared" ca="1" si="78"/>
        <v>#N/A</v>
      </c>
      <c r="L334" t="e">
        <f t="shared" ca="1" si="79"/>
        <v>#N/A</v>
      </c>
      <c r="M334" t="e">
        <f t="shared" ca="1" si="79"/>
        <v>#N/A</v>
      </c>
      <c r="N334" t="e">
        <f t="shared" ca="1" si="79"/>
        <v>#N/A</v>
      </c>
      <c r="O334" t="e">
        <f t="shared" ca="1" si="79"/>
        <v>#N/A</v>
      </c>
      <c r="P334" t="e">
        <f t="shared" ca="1" si="79"/>
        <v>#N/A</v>
      </c>
      <c r="Q334" t="e">
        <f t="shared" ca="1" si="79"/>
        <v>#N/A</v>
      </c>
      <c r="R334" t="e">
        <f t="shared" ca="1" si="79"/>
        <v>#N/A</v>
      </c>
      <c r="S334" t="e">
        <f t="shared" ca="1" si="76"/>
        <v>#N/A</v>
      </c>
      <c r="T334" t="e">
        <f t="shared" ca="1" si="77"/>
        <v>#N/A</v>
      </c>
      <c r="U334" t="e">
        <f ca="1">IF(AND($C334='Funnel setup'!$K$3&amp;'Funnel setup'!$K$6&amp;'Funnel setup'!$K$7&amp;'Funnel setup'!$K$4,'Funnel Lookup'!I334="*",'Funnel Lookup'!I334="*"),#N/A,IF(AND($C334='Funnel setup'!$K$3&amp;'Funnel setup'!$K$6&amp;'Funnel setup'!$K$7&amp;'Funnel setup'!$K$4,'Funnel Lookup'!I334&gt;29,'Funnel Lookup'!I334&lt;&gt;"-"),'Funnel Lookup'!I334,#N/A))</f>
        <v>#N/A</v>
      </c>
      <c r="V334" t="e">
        <f ca="1">IF(AND($C334='Funnel setup'!$K$3&amp;'Funnel setup'!$K$6&amp;'Funnel setup'!$K$7&amp;'Funnel setup'!$K$4,'Funnel Lookup'!I334="*",'Funnel Lookup'!I334="*"),#N/A,IF(AND($C334='Funnel setup'!$K$3&amp;'Funnel setup'!$K$6&amp;'Funnel setup'!$K$7&amp;'Funnel setup'!$K$4,'Funnel Lookup'!I334&gt;29,'Funnel Lookup'!I334&lt;&gt;"-"),'Funnel Lookup'!Q334,#N/A))</f>
        <v>#N/A</v>
      </c>
    </row>
    <row r="335" spans="1:22" x14ac:dyDescent="0.25">
      <c r="A335">
        <v>333</v>
      </c>
      <c r="B335" t="e">
        <f t="shared" ca="1" si="78"/>
        <v>#N/A</v>
      </c>
      <c r="C335" t="e">
        <f t="shared" ca="1" si="78"/>
        <v>#N/A</v>
      </c>
      <c r="D335" t="e">
        <f t="shared" ca="1" si="78"/>
        <v>#N/A</v>
      </c>
      <c r="E335" t="e">
        <f t="shared" ca="1" si="78"/>
        <v>#N/A</v>
      </c>
      <c r="F335" t="e">
        <f t="shared" ca="1" si="78"/>
        <v>#N/A</v>
      </c>
      <c r="G335" t="e">
        <f t="shared" ca="1" si="78"/>
        <v>#N/A</v>
      </c>
      <c r="H335" t="e">
        <f t="shared" ca="1" si="78"/>
        <v>#N/A</v>
      </c>
      <c r="I335" t="e">
        <f t="shared" ca="1" si="78"/>
        <v>#N/A</v>
      </c>
      <c r="J335" t="e">
        <f t="shared" ca="1" si="78"/>
        <v>#N/A</v>
      </c>
      <c r="K335" t="e">
        <f t="shared" ca="1" si="78"/>
        <v>#N/A</v>
      </c>
      <c r="L335" t="e">
        <f t="shared" ca="1" si="79"/>
        <v>#N/A</v>
      </c>
      <c r="M335" t="e">
        <f t="shared" ca="1" si="79"/>
        <v>#N/A</v>
      </c>
      <c r="N335" t="e">
        <f t="shared" ca="1" si="79"/>
        <v>#N/A</v>
      </c>
      <c r="O335" t="e">
        <f t="shared" ca="1" si="79"/>
        <v>#N/A</v>
      </c>
      <c r="P335" t="e">
        <f t="shared" ca="1" si="79"/>
        <v>#N/A</v>
      </c>
      <c r="Q335" t="e">
        <f t="shared" ca="1" si="79"/>
        <v>#N/A</v>
      </c>
      <c r="R335" t="e">
        <f t="shared" ca="1" si="79"/>
        <v>#N/A</v>
      </c>
      <c r="S335" t="e">
        <f t="shared" ca="1" si="76"/>
        <v>#N/A</v>
      </c>
      <c r="T335" t="e">
        <f t="shared" ca="1" si="77"/>
        <v>#N/A</v>
      </c>
      <c r="U335" t="e">
        <f ca="1">IF(AND($C335='Funnel setup'!$K$3&amp;'Funnel setup'!$K$6&amp;'Funnel setup'!$K$7&amp;'Funnel setup'!$K$4,'Funnel Lookup'!I335="*",'Funnel Lookup'!I335="*"),#N/A,IF(AND($C335='Funnel setup'!$K$3&amp;'Funnel setup'!$K$6&amp;'Funnel setup'!$K$7&amp;'Funnel setup'!$K$4,'Funnel Lookup'!I335&gt;29,'Funnel Lookup'!I335&lt;&gt;"-"),'Funnel Lookup'!I335,#N/A))</f>
        <v>#N/A</v>
      </c>
      <c r="V335" t="e">
        <f ca="1">IF(AND($C335='Funnel setup'!$K$3&amp;'Funnel setup'!$K$6&amp;'Funnel setup'!$K$7&amp;'Funnel setup'!$K$4,'Funnel Lookup'!I335="*",'Funnel Lookup'!I335="*"),#N/A,IF(AND($C335='Funnel setup'!$K$3&amp;'Funnel setup'!$K$6&amp;'Funnel setup'!$K$7&amp;'Funnel setup'!$K$4,'Funnel Lookup'!I335&gt;29,'Funnel Lookup'!I335&lt;&gt;"-"),'Funnel Lookup'!Q335,#N/A))</f>
        <v>#N/A</v>
      </c>
    </row>
    <row r="336" spans="1:22" x14ac:dyDescent="0.25">
      <c r="A336">
        <v>334</v>
      </c>
      <c r="B336" t="e">
        <f t="shared" ca="1" si="78"/>
        <v>#N/A</v>
      </c>
      <c r="C336" t="e">
        <f t="shared" ca="1" si="78"/>
        <v>#N/A</v>
      </c>
      <c r="D336" t="e">
        <f t="shared" ca="1" si="78"/>
        <v>#N/A</v>
      </c>
      <c r="E336" t="e">
        <f t="shared" ca="1" si="78"/>
        <v>#N/A</v>
      </c>
      <c r="F336" t="e">
        <f t="shared" ca="1" si="78"/>
        <v>#N/A</v>
      </c>
      <c r="G336" t="e">
        <f t="shared" ca="1" si="78"/>
        <v>#N/A</v>
      </c>
      <c r="H336" t="e">
        <f t="shared" ca="1" si="78"/>
        <v>#N/A</v>
      </c>
      <c r="I336" t="e">
        <f t="shared" ca="1" si="78"/>
        <v>#N/A</v>
      </c>
      <c r="J336" t="e">
        <f t="shared" ca="1" si="78"/>
        <v>#N/A</v>
      </c>
      <c r="K336" t="e">
        <f t="shared" ca="1" si="78"/>
        <v>#N/A</v>
      </c>
      <c r="L336" t="e">
        <f t="shared" ca="1" si="79"/>
        <v>#N/A</v>
      </c>
      <c r="M336" t="e">
        <f t="shared" ca="1" si="79"/>
        <v>#N/A</v>
      </c>
      <c r="N336" t="e">
        <f t="shared" ca="1" si="79"/>
        <v>#N/A</v>
      </c>
      <c r="O336" t="e">
        <f t="shared" ca="1" si="79"/>
        <v>#N/A</v>
      </c>
      <c r="P336" t="e">
        <f t="shared" ca="1" si="79"/>
        <v>#N/A</v>
      </c>
      <c r="Q336" t="e">
        <f t="shared" ca="1" si="79"/>
        <v>#N/A</v>
      </c>
      <c r="R336" t="e">
        <f t="shared" ca="1" si="79"/>
        <v>#N/A</v>
      </c>
      <c r="S336" t="e">
        <f t="shared" ca="1" si="76"/>
        <v>#N/A</v>
      </c>
      <c r="T336" t="e">
        <f t="shared" ca="1" si="77"/>
        <v>#N/A</v>
      </c>
      <c r="U336" t="e">
        <f ca="1">IF(AND($C336='Funnel setup'!$K$3&amp;'Funnel setup'!$K$6&amp;'Funnel setup'!$K$7&amp;'Funnel setup'!$K$4,'Funnel Lookup'!I336="*",'Funnel Lookup'!I336="*"),#N/A,IF(AND($C336='Funnel setup'!$K$3&amp;'Funnel setup'!$K$6&amp;'Funnel setup'!$K$7&amp;'Funnel setup'!$K$4,'Funnel Lookup'!I336&gt;29,'Funnel Lookup'!I336&lt;&gt;"-"),'Funnel Lookup'!I336,#N/A))</f>
        <v>#N/A</v>
      </c>
      <c r="V336" t="e">
        <f ca="1">IF(AND($C336='Funnel setup'!$K$3&amp;'Funnel setup'!$K$6&amp;'Funnel setup'!$K$7&amp;'Funnel setup'!$K$4,'Funnel Lookup'!I336="*",'Funnel Lookup'!I336="*"),#N/A,IF(AND($C336='Funnel setup'!$K$3&amp;'Funnel setup'!$K$6&amp;'Funnel setup'!$K$7&amp;'Funnel setup'!$K$4,'Funnel Lookup'!I336&gt;29,'Funnel Lookup'!I336&lt;&gt;"-"),'Funnel Lookup'!Q336,#N/A))</f>
        <v>#N/A</v>
      </c>
    </row>
    <row r="337" spans="1:22" x14ac:dyDescent="0.25">
      <c r="A337">
        <v>335</v>
      </c>
      <c r="B337" t="e">
        <f t="shared" ca="1" si="78"/>
        <v>#N/A</v>
      </c>
      <c r="C337" t="e">
        <f t="shared" ca="1" si="78"/>
        <v>#N/A</v>
      </c>
      <c r="D337" t="e">
        <f t="shared" ca="1" si="78"/>
        <v>#N/A</v>
      </c>
      <c r="E337" t="e">
        <f t="shared" ca="1" si="78"/>
        <v>#N/A</v>
      </c>
      <c r="F337" t="e">
        <f t="shared" ca="1" si="78"/>
        <v>#N/A</v>
      </c>
      <c r="G337" t="e">
        <f t="shared" ca="1" si="78"/>
        <v>#N/A</v>
      </c>
      <c r="H337" t="e">
        <f t="shared" ca="1" si="78"/>
        <v>#N/A</v>
      </c>
      <c r="I337" t="e">
        <f t="shared" ca="1" si="78"/>
        <v>#N/A</v>
      </c>
      <c r="J337" t="e">
        <f t="shared" ca="1" si="78"/>
        <v>#N/A</v>
      </c>
      <c r="K337" t="e">
        <f t="shared" ca="1" si="78"/>
        <v>#N/A</v>
      </c>
      <c r="L337" t="e">
        <f t="shared" ca="1" si="79"/>
        <v>#N/A</v>
      </c>
      <c r="M337" t="e">
        <f t="shared" ca="1" si="79"/>
        <v>#N/A</v>
      </c>
      <c r="N337" t="e">
        <f t="shared" ca="1" si="79"/>
        <v>#N/A</v>
      </c>
      <c r="O337" t="e">
        <f t="shared" ca="1" si="79"/>
        <v>#N/A</v>
      </c>
      <c r="P337" t="e">
        <f t="shared" ca="1" si="79"/>
        <v>#N/A</v>
      </c>
      <c r="Q337" t="e">
        <f t="shared" ca="1" si="79"/>
        <v>#N/A</v>
      </c>
      <c r="R337" t="e">
        <f t="shared" ca="1" si="79"/>
        <v>#N/A</v>
      </c>
      <c r="S337" t="e">
        <f t="shared" ca="1" si="76"/>
        <v>#N/A</v>
      </c>
      <c r="T337" t="e">
        <f t="shared" ca="1" si="77"/>
        <v>#N/A</v>
      </c>
      <c r="U337" t="e">
        <f ca="1">IF(AND($C337='Funnel setup'!$K$3&amp;'Funnel setup'!$K$6&amp;'Funnel setup'!$K$7&amp;'Funnel setup'!$K$4,'Funnel Lookup'!I337="*",'Funnel Lookup'!I337="*"),#N/A,IF(AND($C337='Funnel setup'!$K$3&amp;'Funnel setup'!$K$6&amp;'Funnel setup'!$K$7&amp;'Funnel setup'!$K$4,'Funnel Lookup'!I337&gt;29,'Funnel Lookup'!I337&lt;&gt;"-"),'Funnel Lookup'!I337,#N/A))</f>
        <v>#N/A</v>
      </c>
      <c r="V337" t="e">
        <f ca="1">IF(AND($C337='Funnel setup'!$K$3&amp;'Funnel setup'!$K$6&amp;'Funnel setup'!$K$7&amp;'Funnel setup'!$K$4,'Funnel Lookup'!I337="*",'Funnel Lookup'!I337="*"),#N/A,IF(AND($C337='Funnel setup'!$K$3&amp;'Funnel setup'!$K$6&amp;'Funnel setup'!$K$7&amp;'Funnel setup'!$K$4,'Funnel Lookup'!I337&gt;29,'Funnel Lookup'!I337&lt;&gt;"-"),'Funnel Lookup'!Q337,#N/A))</f>
        <v>#N/A</v>
      </c>
    </row>
    <row r="338" spans="1:22" x14ac:dyDescent="0.25">
      <c r="A338">
        <v>336</v>
      </c>
      <c r="B338" t="e">
        <f t="shared" ca="1" si="78"/>
        <v>#N/A</v>
      </c>
      <c r="C338" t="e">
        <f t="shared" ca="1" si="78"/>
        <v>#N/A</v>
      </c>
      <c r="D338" t="e">
        <f t="shared" ca="1" si="78"/>
        <v>#N/A</v>
      </c>
      <c r="E338" t="e">
        <f t="shared" ca="1" si="78"/>
        <v>#N/A</v>
      </c>
      <c r="F338" t="e">
        <f t="shared" ca="1" si="78"/>
        <v>#N/A</v>
      </c>
      <c r="G338" t="e">
        <f t="shared" ca="1" si="78"/>
        <v>#N/A</v>
      </c>
      <c r="H338" t="e">
        <f t="shared" ca="1" si="78"/>
        <v>#N/A</v>
      </c>
      <c r="I338" t="e">
        <f t="shared" ca="1" si="78"/>
        <v>#N/A</v>
      </c>
      <c r="J338" t="e">
        <f t="shared" ca="1" si="78"/>
        <v>#N/A</v>
      </c>
      <c r="K338" t="e">
        <f t="shared" ca="1" si="78"/>
        <v>#N/A</v>
      </c>
      <c r="L338" t="e">
        <f t="shared" ca="1" si="79"/>
        <v>#N/A</v>
      </c>
      <c r="M338" t="e">
        <f t="shared" ca="1" si="79"/>
        <v>#N/A</v>
      </c>
      <c r="N338" t="e">
        <f t="shared" ca="1" si="79"/>
        <v>#N/A</v>
      </c>
      <c r="O338" t="e">
        <f t="shared" ca="1" si="79"/>
        <v>#N/A</v>
      </c>
      <c r="P338" t="e">
        <f t="shared" ca="1" si="79"/>
        <v>#N/A</v>
      </c>
      <c r="Q338" t="e">
        <f t="shared" ca="1" si="79"/>
        <v>#N/A</v>
      </c>
      <c r="R338" t="e">
        <f t="shared" ca="1" si="79"/>
        <v>#N/A</v>
      </c>
      <c r="S338" t="e">
        <f t="shared" ca="1" si="76"/>
        <v>#N/A</v>
      </c>
      <c r="T338" t="e">
        <f t="shared" ca="1" si="77"/>
        <v>#N/A</v>
      </c>
      <c r="U338" t="e">
        <f ca="1">IF(AND($C338='Funnel setup'!$K$3&amp;'Funnel setup'!$K$6&amp;'Funnel setup'!$K$7&amp;'Funnel setup'!$K$4,'Funnel Lookup'!I338="*",'Funnel Lookup'!I338="*"),#N/A,IF(AND($C338='Funnel setup'!$K$3&amp;'Funnel setup'!$K$6&amp;'Funnel setup'!$K$7&amp;'Funnel setup'!$K$4,'Funnel Lookup'!I338&gt;29,'Funnel Lookup'!I338&lt;&gt;"-"),'Funnel Lookup'!I338,#N/A))</f>
        <v>#N/A</v>
      </c>
      <c r="V338" t="e">
        <f ca="1">IF(AND($C338='Funnel setup'!$K$3&amp;'Funnel setup'!$K$6&amp;'Funnel setup'!$K$7&amp;'Funnel setup'!$K$4,'Funnel Lookup'!I338="*",'Funnel Lookup'!I338="*"),#N/A,IF(AND($C338='Funnel setup'!$K$3&amp;'Funnel setup'!$K$6&amp;'Funnel setup'!$K$7&amp;'Funnel setup'!$K$4,'Funnel Lookup'!I338&gt;29,'Funnel Lookup'!I338&lt;&gt;"-"),'Funnel Lookup'!Q338,#N/A))</f>
        <v>#N/A</v>
      </c>
    </row>
    <row r="339" spans="1:22" x14ac:dyDescent="0.25">
      <c r="A339">
        <v>337</v>
      </c>
      <c r="B339" t="e">
        <f t="shared" ca="1" si="78"/>
        <v>#N/A</v>
      </c>
      <c r="C339" t="e">
        <f t="shared" ca="1" si="78"/>
        <v>#N/A</v>
      </c>
      <c r="D339" t="e">
        <f t="shared" ca="1" si="78"/>
        <v>#N/A</v>
      </c>
      <c r="E339" t="e">
        <f t="shared" ca="1" si="78"/>
        <v>#N/A</v>
      </c>
      <c r="F339" t="e">
        <f t="shared" ca="1" si="78"/>
        <v>#N/A</v>
      </c>
      <c r="G339" t="e">
        <f t="shared" ca="1" si="78"/>
        <v>#N/A</v>
      </c>
      <c r="H339" t="e">
        <f t="shared" ca="1" si="78"/>
        <v>#N/A</v>
      </c>
      <c r="I339" t="e">
        <f t="shared" ca="1" si="78"/>
        <v>#N/A</v>
      </c>
      <c r="J339" t="e">
        <f t="shared" ca="1" si="78"/>
        <v>#N/A</v>
      </c>
      <c r="K339" t="e">
        <f t="shared" ca="1" si="78"/>
        <v>#N/A</v>
      </c>
      <c r="L339" t="e">
        <f t="shared" ca="1" si="79"/>
        <v>#N/A</v>
      </c>
      <c r="M339" t="e">
        <f t="shared" ca="1" si="79"/>
        <v>#N/A</v>
      </c>
      <c r="N339" t="e">
        <f t="shared" ca="1" si="79"/>
        <v>#N/A</v>
      </c>
      <c r="O339" t="e">
        <f t="shared" ca="1" si="79"/>
        <v>#N/A</v>
      </c>
      <c r="P339" t="e">
        <f t="shared" ca="1" si="79"/>
        <v>#N/A</v>
      </c>
      <c r="Q339" t="e">
        <f t="shared" ca="1" si="79"/>
        <v>#N/A</v>
      </c>
      <c r="R339" t="e">
        <f t="shared" ca="1" si="79"/>
        <v>#N/A</v>
      </c>
      <c r="S339" t="e">
        <f t="shared" ca="1" si="76"/>
        <v>#N/A</v>
      </c>
      <c r="T339" t="e">
        <f t="shared" ca="1" si="77"/>
        <v>#N/A</v>
      </c>
      <c r="U339" t="e">
        <f ca="1">IF(AND($C339='Funnel setup'!$K$3&amp;'Funnel setup'!$K$6&amp;'Funnel setup'!$K$7&amp;'Funnel setup'!$K$4,'Funnel Lookup'!I339="*",'Funnel Lookup'!I339="*"),#N/A,IF(AND($C339='Funnel setup'!$K$3&amp;'Funnel setup'!$K$6&amp;'Funnel setup'!$K$7&amp;'Funnel setup'!$K$4,'Funnel Lookup'!I339&gt;29,'Funnel Lookup'!I339&lt;&gt;"-"),'Funnel Lookup'!I339,#N/A))</f>
        <v>#N/A</v>
      </c>
      <c r="V339" t="e">
        <f ca="1">IF(AND($C339='Funnel setup'!$K$3&amp;'Funnel setup'!$K$6&amp;'Funnel setup'!$K$7&amp;'Funnel setup'!$K$4,'Funnel Lookup'!I339="*",'Funnel Lookup'!I339="*"),#N/A,IF(AND($C339='Funnel setup'!$K$3&amp;'Funnel setup'!$K$6&amp;'Funnel setup'!$K$7&amp;'Funnel setup'!$K$4,'Funnel Lookup'!I339&gt;29,'Funnel Lookup'!I339&lt;&gt;"-"),'Funnel Lookup'!Q339,#N/A))</f>
        <v>#N/A</v>
      </c>
    </row>
    <row r="340" spans="1:22" x14ac:dyDescent="0.25">
      <c r="A340">
        <v>338</v>
      </c>
      <c r="B340" t="e">
        <f t="shared" ca="1" si="78"/>
        <v>#N/A</v>
      </c>
      <c r="C340" t="e">
        <f t="shared" ca="1" si="78"/>
        <v>#N/A</v>
      </c>
      <c r="D340" t="e">
        <f t="shared" ca="1" si="78"/>
        <v>#N/A</v>
      </c>
      <c r="E340" t="e">
        <f t="shared" ca="1" si="78"/>
        <v>#N/A</v>
      </c>
      <c r="F340" t="e">
        <f t="shared" ca="1" si="78"/>
        <v>#N/A</v>
      </c>
      <c r="G340" t="e">
        <f t="shared" ca="1" si="78"/>
        <v>#N/A</v>
      </c>
      <c r="H340" t="e">
        <f t="shared" ca="1" si="78"/>
        <v>#N/A</v>
      </c>
      <c r="I340" t="e">
        <f t="shared" ca="1" si="78"/>
        <v>#N/A</v>
      </c>
      <c r="J340" t="e">
        <f t="shared" ca="1" si="78"/>
        <v>#N/A</v>
      </c>
      <c r="K340" t="e">
        <f t="shared" ca="1" si="78"/>
        <v>#N/A</v>
      </c>
      <c r="L340" t="e">
        <f t="shared" ca="1" si="79"/>
        <v>#N/A</v>
      </c>
      <c r="M340" t="e">
        <f t="shared" ca="1" si="79"/>
        <v>#N/A</v>
      </c>
      <c r="N340" t="e">
        <f t="shared" ca="1" si="79"/>
        <v>#N/A</v>
      </c>
      <c r="O340" t="e">
        <f t="shared" ca="1" si="79"/>
        <v>#N/A</v>
      </c>
      <c r="P340" t="e">
        <f t="shared" ca="1" si="79"/>
        <v>#N/A</v>
      </c>
      <c r="Q340" t="e">
        <f t="shared" ca="1" si="79"/>
        <v>#N/A</v>
      </c>
      <c r="R340" t="e">
        <f t="shared" ca="1" si="79"/>
        <v>#N/A</v>
      </c>
      <c r="S340" t="e">
        <f t="shared" ca="1" si="76"/>
        <v>#N/A</v>
      </c>
      <c r="T340" t="e">
        <f t="shared" ca="1" si="77"/>
        <v>#N/A</v>
      </c>
      <c r="U340" t="e">
        <f ca="1">IF(AND($C340='Funnel setup'!$K$3&amp;'Funnel setup'!$K$6&amp;'Funnel setup'!$K$7&amp;'Funnel setup'!$K$4,'Funnel Lookup'!I340="*",'Funnel Lookup'!I340="*"),#N/A,IF(AND($C340='Funnel setup'!$K$3&amp;'Funnel setup'!$K$6&amp;'Funnel setup'!$K$7&amp;'Funnel setup'!$K$4,'Funnel Lookup'!I340&gt;29,'Funnel Lookup'!I340&lt;&gt;"-"),'Funnel Lookup'!I340,#N/A))</f>
        <v>#N/A</v>
      </c>
      <c r="V340" t="e">
        <f ca="1">IF(AND($C340='Funnel setup'!$K$3&amp;'Funnel setup'!$K$6&amp;'Funnel setup'!$K$7&amp;'Funnel setup'!$K$4,'Funnel Lookup'!I340="*",'Funnel Lookup'!I340="*"),#N/A,IF(AND($C340='Funnel setup'!$K$3&amp;'Funnel setup'!$K$6&amp;'Funnel setup'!$K$7&amp;'Funnel setup'!$K$4,'Funnel Lookup'!I340&gt;29,'Funnel Lookup'!I340&lt;&gt;"-"),'Funnel Lookup'!Q340,#N/A))</f>
        <v>#N/A</v>
      </c>
    </row>
    <row r="341" spans="1:22" x14ac:dyDescent="0.25">
      <c r="A341">
        <v>339</v>
      </c>
      <c r="B341" t="e">
        <f t="shared" ca="1" si="78"/>
        <v>#N/A</v>
      </c>
      <c r="C341" t="e">
        <f t="shared" ca="1" si="78"/>
        <v>#N/A</v>
      </c>
      <c r="D341" t="e">
        <f t="shared" ca="1" si="78"/>
        <v>#N/A</v>
      </c>
      <c r="E341" t="e">
        <f t="shared" ca="1" si="78"/>
        <v>#N/A</v>
      </c>
      <c r="F341" t="e">
        <f t="shared" ca="1" si="78"/>
        <v>#N/A</v>
      </c>
      <c r="G341" t="e">
        <f t="shared" ca="1" si="78"/>
        <v>#N/A</v>
      </c>
      <c r="H341" t="e">
        <f t="shared" ca="1" si="78"/>
        <v>#N/A</v>
      </c>
      <c r="I341" t="e">
        <f t="shared" ca="1" si="78"/>
        <v>#N/A</v>
      </c>
      <c r="J341" t="e">
        <f t="shared" ca="1" si="78"/>
        <v>#N/A</v>
      </c>
      <c r="K341" t="e">
        <f t="shared" ca="1" si="78"/>
        <v>#N/A</v>
      </c>
      <c r="L341" t="e">
        <f t="shared" ca="1" si="79"/>
        <v>#N/A</v>
      </c>
      <c r="M341" t="e">
        <f t="shared" ca="1" si="79"/>
        <v>#N/A</v>
      </c>
      <c r="N341" t="e">
        <f t="shared" ca="1" si="79"/>
        <v>#N/A</v>
      </c>
      <c r="O341" t="e">
        <f t="shared" ca="1" si="79"/>
        <v>#N/A</v>
      </c>
      <c r="P341" t="e">
        <f t="shared" ca="1" si="79"/>
        <v>#N/A</v>
      </c>
      <c r="Q341" t="e">
        <f t="shared" ca="1" si="79"/>
        <v>#N/A</v>
      </c>
      <c r="R341" t="e">
        <f t="shared" ca="1" si="79"/>
        <v>#N/A</v>
      </c>
      <c r="S341" t="e">
        <f t="shared" ca="1" si="76"/>
        <v>#N/A</v>
      </c>
      <c r="T341" t="e">
        <f t="shared" ca="1" si="77"/>
        <v>#N/A</v>
      </c>
      <c r="U341" t="e">
        <f ca="1">IF(AND($C341='Funnel setup'!$K$3&amp;'Funnel setup'!$K$6&amp;'Funnel setup'!$K$7&amp;'Funnel setup'!$K$4,'Funnel Lookup'!I341="*",'Funnel Lookup'!I341="*"),#N/A,IF(AND($C341='Funnel setup'!$K$3&amp;'Funnel setup'!$K$6&amp;'Funnel setup'!$K$7&amp;'Funnel setup'!$K$4,'Funnel Lookup'!I341&gt;29,'Funnel Lookup'!I341&lt;&gt;"-"),'Funnel Lookup'!I341,#N/A))</f>
        <v>#N/A</v>
      </c>
      <c r="V341" t="e">
        <f ca="1">IF(AND($C341='Funnel setup'!$K$3&amp;'Funnel setup'!$K$6&amp;'Funnel setup'!$K$7&amp;'Funnel setup'!$K$4,'Funnel Lookup'!I341="*",'Funnel Lookup'!I341="*"),#N/A,IF(AND($C341='Funnel setup'!$K$3&amp;'Funnel setup'!$K$6&amp;'Funnel setup'!$K$7&amp;'Funnel setup'!$K$4,'Funnel Lookup'!I341&gt;29,'Funnel Lookup'!I341&lt;&gt;"-"),'Funnel Lookup'!Q341,#N/A))</f>
        <v>#N/A</v>
      </c>
    </row>
    <row r="342" spans="1:22" x14ac:dyDescent="0.25">
      <c r="A342">
        <v>340</v>
      </c>
      <c r="B342" t="e">
        <f t="shared" ca="1" si="78"/>
        <v>#N/A</v>
      </c>
      <c r="C342" t="e">
        <f t="shared" ca="1" si="78"/>
        <v>#N/A</v>
      </c>
      <c r="D342" t="e">
        <f t="shared" ca="1" si="78"/>
        <v>#N/A</v>
      </c>
      <c r="E342" t="e">
        <f t="shared" ca="1" si="78"/>
        <v>#N/A</v>
      </c>
      <c r="F342" t="e">
        <f t="shared" ca="1" si="78"/>
        <v>#N/A</v>
      </c>
      <c r="G342" t="e">
        <f t="shared" ca="1" si="78"/>
        <v>#N/A</v>
      </c>
      <c r="H342" t="e">
        <f t="shared" ca="1" si="78"/>
        <v>#N/A</v>
      </c>
      <c r="I342" t="e">
        <f t="shared" ca="1" si="78"/>
        <v>#N/A</v>
      </c>
      <c r="J342" t="e">
        <f t="shared" ca="1" si="78"/>
        <v>#N/A</v>
      </c>
      <c r="K342" t="e">
        <f t="shared" ca="1" si="78"/>
        <v>#N/A</v>
      </c>
      <c r="L342" t="e">
        <f t="shared" ca="1" si="79"/>
        <v>#N/A</v>
      </c>
      <c r="M342" t="e">
        <f t="shared" ca="1" si="79"/>
        <v>#N/A</v>
      </c>
      <c r="N342" t="e">
        <f t="shared" ca="1" si="79"/>
        <v>#N/A</v>
      </c>
      <c r="O342" t="e">
        <f t="shared" ca="1" si="79"/>
        <v>#N/A</v>
      </c>
      <c r="P342" t="e">
        <f t="shared" ca="1" si="79"/>
        <v>#N/A</v>
      </c>
      <c r="Q342" t="e">
        <f t="shared" ca="1" si="79"/>
        <v>#N/A</v>
      </c>
      <c r="R342" t="e">
        <f t="shared" ca="1" si="79"/>
        <v>#N/A</v>
      </c>
      <c r="S342" t="e">
        <f t="shared" ca="1" si="76"/>
        <v>#N/A</v>
      </c>
      <c r="T342" t="e">
        <f t="shared" ca="1" si="77"/>
        <v>#N/A</v>
      </c>
      <c r="U342" t="e">
        <f ca="1">IF(AND($C342='Funnel setup'!$K$3&amp;'Funnel setup'!$K$6&amp;'Funnel setup'!$K$7&amp;'Funnel setup'!$K$4,'Funnel Lookup'!I342="*",'Funnel Lookup'!I342="*"),#N/A,IF(AND($C342='Funnel setup'!$K$3&amp;'Funnel setup'!$K$6&amp;'Funnel setup'!$K$7&amp;'Funnel setup'!$K$4,'Funnel Lookup'!I342&gt;29,'Funnel Lookup'!I342&lt;&gt;"-"),'Funnel Lookup'!I342,#N/A))</f>
        <v>#N/A</v>
      </c>
      <c r="V342" t="e">
        <f ca="1">IF(AND($C342='Funnel setup'!$K$3&amp;'Funnel setup'!$K$6&amp;'Funnel setup'!$K$7&amp;'Funnel setup'!$K$4,'Funnel Lookup'!I342="*",'Funnel Lookup'!I342="*"),#N/A,IF(AND($C342='Funnel setup'!$K$3&amp;'Funnel setup'!$K$6&amp;'Funnel setup'!$K$7&amp;'Funnel setup'!$K$4,'Funnel Lookup'!I342&gt;29,'Funnel Lookup'!I342&lt;&gt;"-"),'Funnel Lookup'!Q342,#N/A))</f>
        <v>#N/A</v>
      </c>
    </row>
    <row r="343" spans="1:22" x14ac:dyDescent="0.25">
      <c r="A343">
        <v>341</v>
      </c>
      <c r="B343" t="e">
        <f t="shared" ref="B343:K352" ca="1" si="80">VLOOKUP($A343,Funnel_Data,B$1,FALSE)</f>
        <v>#N/A</v>
      </c>
      <c r="C343" t="e">
        <f t="shared" ca="1" si="80"/>
        <v>#N/A</v>
      </c>
      <c r="D343" t="e">
        <f t="shared" ca="1" si="80"/>
        <v>#N/A</v>
      </c>
      <c r="E343" t="e">
        <f t="shared" ca="1" si="80"/>
        <v>#N/A</v>
      </c>
      <c r="F343" t="e">
        <f t="shared" ca="1" si="80"/>
        <v>#N/A</v>
      </c>
      <c r="G343" t="e">
        <f t="shared" ca="1" si="80"/>
        <v>#N/A</v>
      </c>
      <c r="H343" t="e">
        <f t="shared" ca="1" si="80"/>
        <v>#N/A</v>
      </c>
      <c r="I343" t="e">
        <f t="shared" ca="1" si="80"/>
        <v>#N/A</v>
      </c>
      <c r="J343" t="e">
        <f t="shared" ca="1" si="80"/>
        <v>#N/A</v>
      </c>
      <c r="K343" t="e">
        <f t="shared" ca="1" si="80"/>
        <v>#N/A</v>
      </c>
      <c r="L343" t="e">
        <f t="shared" ref="L343:R352" ca="1" si="81">VLOOKUP($A343,Funnel_Data,L$1,FALSE)</f>
        <v>#N/A</v>
      </c>
      <c r="M343" t="e">
        <f t="shared" ca="1" si="81"/>
        <v>#N/A</v>
      </c>
      <c r="N343" t="e">
        <f t="shared" ca="1" si="81"/>
        <v>#N/A</v>
      </c>
      <c r="O343" t="e">
        <f t="shared" ca="1" si="81"/>
        <v>#N/A</v>
      </c>
      <c r="P343" t="e">
        <f t="shared" ca="1" si="81"/>
        <v>#N/A</v>
      </c>
      <c r="Q343" t="e">
        <f t="shared" ca="1" si="81"/>
        <v>#N/A</v>
      </c>
      <c r="R343" t="e">
        <f t="shared" ca="1" si="81"/>
        <v>#N/A</v>
      </c>
      <c r="S343" t="e">
        <f t="shared" ca="1" si="76"/>
        <v>#N/A</v>
      </c>
      <c r="T343" t="e">
        <f t="shared" ca="1" si="77"/>
        <v>#N/A</v>
      </c>
      <c r="U343" t="e">
        <f ca="1">IF(AND($C343='Funnel setup'!$K$3&amp;'Funnel setup'!$K$6&amp;'Funnel setup'!$K$7&amp;'Funnel setup'!$K$4,'Funnel Lookup'!I343="*",'Funnel Lookup'!I343="*"),#N/A,IF(AND($C343='Funnel setup'!$K$3&amp;'Funnel setup'!$K$6&amp;'Funnel setup'!$K$7&amp;'Funnel setup'!$K$4,'Funnel Lookup'!I343&gt;29,'Funnel Lookup'!I343&lt;&gt;"-"),'Funnel Lookup'!I343,#N/A))</f>
        <v>#N/A</v>
      </c>
      <c r="V343" t="e">
        <f ca="1">IF(AND($C343='Funnel setup'!$K$3&amp;'Funnel setup'!$K$6&amp;'Funnel setup'!$K$7&amp;'Funnel setup'!$K$4,'Funnel Lookup'!I343="*",'Funnel Lookup'!I343="*"),#N/A,IF(AND($C343='Funnel setup'!$K$3&amp;'Funnel setup'!$K$6&amp;'Funnel setup'!$K$7&amp;'Funnel setup'!$K$4,'Funnel Lookup'!I343&gt;29,'Funnel Lookup'!I343&lt;&gt;"-"),'Funnel Lookup'!Q343,#N/A))</f>
        <v>#N/A</v>
      </c>
    </row>
    <row r="344" spans="1:22" x14ac:dyDescent="0.25">
      <c r="A344">
        <v>342</v>
      </c>
      <c r="B344" t="e">
        <f t="shared" ca="1" si="80"/>
        <v>#N/A</v>
      </c>
      <c r="C344" t="e">
        <f t="shared" ca="1" si="80"/>
        <v>#N/A</v>
      </c>
      <c r="D344" t="e">
        <f t="shared" ca="1" si="80"/>
        <v>#N/A</v>
      </c>
      <c r="E344" t="e">
        <f t="shared" ca="1" si="80"/>
        <v>#N/A</v>
      </c>
      <c r="F344" t="e">
        <f t="shared" ca="1" si="80"/>
        <v>#N/A</v>
      </c>
      <c r="G344" t="e">
        <f t="shared" ca="1" si="80"/>
        <v>#N/A</v>
      </c>
      <c r="H344" t="e">
        <f t="shared" ca="1" si="80"/>
        <v>#N/A</v>
      </c>
      <c r="I344" t="e">
        <f t="shared" ca="1" si="80"/>
        <v>#N/A</v>
      </c>
      <c r="J344" t="e">
        <f t="shared" ca="1" si="80"/>
        <v>#N/A</v>
      </c>
      <c r="K344" t="e">
        <f t="shared" ca="1" si="80"/>
        <v>#N/A</v>
      </c>
      <c r="L344" t="e">
        <f t="shared" ca="1" si="81"/>
        <v>#N/A</v>
      </c>
      <c r="M344" t="e">
        <f t="shared" ca="1" si="81"/>
        <v>#N/A</v>
      </c>
      <c r="N344" t="e">
        <f t="shared" ca="1" si="81"/>
        <v>#N/A</v>
      </c>
      <c r="O344" t="e">
        <f t="shared" ca="1" si="81"/>
        <v>#N/A</v>
      </c>
      <c r="P344" t="e">
        <f t="shared" ca="1" si="81"/>
        <v>#N/A</v>
      </c>
      <c r="Q344" t="e">
        <f t="shared" ca="1" si="81"/>
        <v>#N/A</v>
      </c>
      <c r="R344" t="e">
        <f t="shared" ca="1" si="81"/>
        <v>#N/A</v>
      </c>
      <c r="S344" t="e">
        <f t="shared" ca="1" si="76"/>
        <v>#N/A</v>
      </c>
      <c r="T344" t="e">
        <f t="shared" ca="1" si="77"/>
        <v>#N/A</v>
      </c>
      <c r="U344" t="e">
        <f ca="1">IF(AND($C344='Funnel setup'!$K$3&amp;'Funnel setup'!$K$6&amp;'Funnel setup'!$K$7&amp;'Funnel setup'!$K$4,'Funnel Lookup'!I344="*",'Funnel Lookup'!I344="*"),#N/A,IF(AND($C344='Funnel setup'!$K$3&amp;'Funnel setup'!$K$6&amp;'Funnel setup'!$K$7&amp;'Funnel setup'!$K$4,'Funnel Lookup'!I344&gt;29,'Funnel Lookup'!I344&lt;&gt;"-"),'Funnel Lookup'!I344,#N/A))</f>
        <v>#N/A</v>
      </c>
      <c r="V344" t="e">
        <f ca="1">IF(AND($C344='Funnel setup'!$K$3&amp;'Funnel setup'!$K$6&amp;'Funnel setup'!$K$7&amp;'Funnel setup'!$K$4,'Funnel Lookup'!I344="*",'Funnel Lookup'!I344="*"),#N/A,IF(AND($C344='Funnel setup'!$K$3&amp;'Funnel setup'!$K$6&amp;'Funnel setup'!$K$7&amp;'Funnel setup'!$K$4,'Funnel Lookup'!I344&gt;29,'Funnel Lookup'!I344&lt;&gt;"-"),'Funnel Lookup'!Q344,#N/A))</f>
        <v>#N/A</v>
      </c>
    </row>
    <row r="345" spans="1:22" x14ac:dyDescent="0.25">
      <c r="A345">
        <v>343</v>
      </c>
      <c r="B345" t="e">
        <f t="shared" ca="1" si="80"/>
        <v>#N/A</v>
      </c>
      <c r="C345" t="e">
        <f t="shared" ca="1" si="80"/>
        <v>#N/A</v>
      </c>
      <c r="D345" t="e">
        <f t="shared" ca="1" si="80"/>
        <v>#N/A</v>
      </c>
      <c r="E345" t="e">
        <f t="shared" ca="1" si="80"/>
        <v>#N/A</v>
      </c>
      <c r="F345" t="e">
        <f t="shared" ca="1" si="80"/>
        <v>#N/A</v>
      </c>
      <c r="G345" t="e">
        <f t="shared" ca="1" si="80"/>
        <v>#N/A</v>
      </c>
      <c r="H345" t="e">
        <f t="shared" ca="1" si="80"/>
        <v>#N/A</v>
      </c>
      <c r="I345" t="e">
        <f t="shared" ca="1" si="80"/>
        <v>#N/A</v>
      </c>
      <c r="J345" t="e">
        <f t="shared" ca="1" si="80"/>
        <v>#N/A</v>
      </c>
      <c r="K345" t="e">
        <f t="shared" ca="1" si="80"/>
        <v>#N/A</v>
      </c>
      <c r="L345" t="e">
        <f t="shared" ca="1" si="81"/>
        <v>#N/A</v>
      </c>
      <c r="M345" t="e">
        <f t="shared" ca="1" si="81"/>
        <v>#N/A</v>
      </c>
      <c r="N345" t="e">
        <f t="shared" ca="1" si="81"/>
        <v>#N/A</v>
      </c>
      <c r="O345" t="e">
        <f t="shared" ca="1" si="81"/>
        <v>#N/A</v>
      </c>
      <c r="P345" t="e">
        <f t="shared" ca="1" si="81"/>
        <v>#N/A</v>
      </c>
      <c r="Q345" t="e">
        <f t="shared" ca="1" si="81"/>
        <v>#N/A</v>
      </c>
      <c r="R345" t="e">
        <f t="shared" ca="1" si="81"/>
        <v>#N/A</v>
      </c>
      <c r="S345" t="e">
        <f t="shared" ca="1" si="76"/>
        <v>#N/A</v>
      </c>
      <c r="T345" t="e">
        <f t="shared" ca="1" si="77"/>
        <v>#N/A</v>
      </c>
      <c r="U345" t="e">
        <f ca="1">IF(AND($C345='Funnel setup'!$K$3&amp;'Funnel setup'!$K$6&amp;'Funnel setup'!$K$7&amp;'Funnel setup'!$K$4,'Funnel Lookup'!I345="*",'Funnel Lookup'!I345="*"),#N/A,IF(AND($C345='Funnel setup'!$K$3&amp;'Funnel setup'!$K$6&amp;'Funnel setup'!$K$7&amp;'Funnel setup'!$K$4,'Funnel Lookup'!I345&gt;29,'Funnel Lookup'!I345&lt;&gt;"-"),'Funnel Lookup'!I345,#N/A))</f>
        <v>#N/A</v>
      </c>
      <c r="V345" t="e">
        <f ca="1">IF(AND($C345='Funnel setup'!$K$3&amp;'Funnel setup'!$K$6&amp;'Funnel setup'!$K$7&amp;'Funnel setup'!$K$4,'Funnel Lookup'!I345="*",'Funnel Lookup'!I345="*"),#N/A,IF(AND($C345='Funnel setup'!$K$3&amp;'Funnel setup'!$K$6&amp;'Funnel setup'!$K$7&amp;'Funnel setup'!$K$4,'Funnel Lookup'!I345&gt;29,'Funnel Lookup'!I345&lt;&gt;"-"),'Funnel Lookup'!Q345,#N/A))</f>
        <v>#N/A</v>
      </c>
    </row>
    <row r="346" spans="1:22" x14ac:dyDescent="0.25">
      <c r="A346">
        <v>344</v>
      </c>
      <c r="B346" t="e">
        <f t="shared" ca="1" si="80"/>
        <v>#N/A</v>
      </c>
      <c r="C346" t="e">
        <f t="shared" ca="1" si="80"/>
        <v>#N/A</v>
      </c>
      <c r="D346" t="e">
        <f t="shared" ca="1" si="80"/>
        <v>#N/A</v>
      </c>
      <c r="E346" t="e">
        <f t="shared" ca="1" si="80"/>
        <v>#N/A</v>
      </c>
      <c r="F346" t="e">
        <f t="shared" ca="1" si="80"/>
        <v>#N/A</v>
      </c>
      <c r="G346" t="e">
        <f t="shared" ca="1" si="80"/>
        <v>#N/A</v>
      </c>
      <c r="H346" t="e">
        <f t="shared" ca="1" si="80"/>
        <v>#N/A</v>
      </c>
      <c r="I346" t="e">
        <f t="shared" ca="1" si="80"/>
        <v>#N/A</v>
      </c>
      <c r="J346" t="e">
        <f t="shared" ca="1" si="80"/>
        <v>#N/A</v>
      </c>
      <c r="K346" t="e">
        <f t="shared" ca="1" si="80"/>
        <v>#N/A</v>
      </c>
      <c r="L346" t="e">
        <f t="shared" ca="1" si="81"/>
        <v>#N/A</v>
      </c>
      <c r="M346" t="e">
        <f t="shared" ca="1" si="81"/>
        <v>#N/A</v>
      </c>
      <c r="N346" t="e">
        <f t="shared" ca="1" si="81"/>
        <v>#N/A</v>
      </c>
      <c r="O346" t="e">
        <f t="shared" ca="1" si="81"/>
        <v>#N/A</v>
      </c>
      <c r="P346" t="e">
        <f t="shared" ca="1" si="81"/>
        <v>#N/A</v>
      </c>
      <c r="Q346" t="e">
        <f t="shared" ca="1" si="81"/>
        <v>#N/A</v>
      </c>
      <c r="R346" t="e">
        <f t="shared" ca="1" si="81"/>
        <v>#N/A</v>
      </c>
      <c r="S346" t="e">
        <f t="shared" ca="1" si="76"/>
        <v>#N/A</v>
      </c>
      <c r="T346" t="e">
        <f t="shared" ca="1" si="77"/>
        <v>#N/A</v>
      </c>
      <c r="U346" t="e">
        <f ca="1">IF(AND($C346='Funnel setup'!$K$3&amp;'Funnel setup'!$K$6&amp;'Funnel setup'!$K$7&amp;'Funnel setup'!$K$4,'Funnel Lookup'!I346="*",'Funnel Lookup'!I346="*"),#N/A,IF(AND($C346='Funnel setup'!$K$3&amp;'Funnel setup'!$K$6&amp;'Funnel setup'!$K$7&amp;'Funnel setup'!$K$4,'Funnel Lookup'!I346&gt;29,'Funnel Lookup'!I346&lt;&gt;"-"),'Funnel Lookup'!I346,#N/A))</f>
        <v>#N/A</v>
      </c>
      <c r="V346" t="e">
        <f ca="1">IF(AND($C346='Funnel setup'!$K$3&amp;'Funnel setup'!$K$6&amp;'Funnel setup'!$K$7&amp;'Funnel setup'!$K$4,'Funnel Lookup'!I346="*",'Funnel Lookup'!I346="*"),#N/A,IF(AND($C346='Funnel setup'!$K$3&amp;'Funnel setup'!$K$6&amp;'Funnel setup'!$K$7&amp;'Funnel setup'!$K$4,'Funnel Lookup'!I346&gt;29,'Funnel Lookup'!I346&lt;&gt;"-"),'Funnel Lookup'!Q346,#N/A))</f>
        <v>#N/A</v>
      </c>
    </row>
    <row r="347" spans="1:22" x14ac:dyDescent="0.25">
      <c r="A347">
        <v>345</v>
      </c>
      <c r="B347" t="e">
        <f t="shared" ca="1" si="80"/>
        <v>#N/A</v>
      </c>
      <c r="C347" t="e">
        <f t="shared" ca="1" si="80"/>
        <v>#N/A</v>
      </c>
      <c r="D347" t="e">
        <f t="shared" ca="1" si="80"/>
        <v>#N/A</v>
      </c>
      <c r="E347" t="e">
        <f t="shared" ca="1" si="80"/>
        <v>#N/A</v>
      </c>
      <c r="F347" t="e">
        <f t="shared" ca="1" si="80"/>
        <v>#N/A</v>
      </c>
      <c r="G347" t="e">
        <f t="shared" ca="1" si="80"/>
        <v>#N/A</v>
      </c>
      <c r="H347" t="e">
        <f t="shared" ca="1" si="80"/>
        <v>#N/A</v>
      </c>
      <c r="I347" t="e">
        <f t="shared" ca="1" si="80"/>
        <v>#N/A</v>
      </c>
      <c r="J347" t="e">
        <f t="shared" ca="1" si="80"/>
        <v>#N/A</v>
      </c>
      <c r="K347" t="e">
        <f t="shared" ca="1" si="80"/>
        <v>#N/A</v>
      </c>
      <c r="L347" t="e">
        <f t="shared" ca="1" si="81"/>
        <v>#N/A</v>
      </c>
      <c r="M347" t="e">
        <f t="shared" ca="1" si="81"/>
        <v>#N/A</v>
      </c>
      <c r="N347" t="e">
        <f t="shared" ca="1" si="81"/>
        <v>#N/A</v>
      </c>
      <c r="O347" t="e">
        <f t="shared" ca="1" si="81"/>
        <v>#N/A</v>
      </c>
      <c r="P347" t="e">
        <f t="shared" ca="1" si="81"/>
        <v>#N/A</v>
      </c>
      <c r="Q347" t="e">
        <f t="shared" ca="1" si="81"/>
        <v>#N/A</v>
      </c>
      <c r="R347" t="e">
        <f t="shared" ca="1" si="81"/>
        <v>#N/A</v>
      </c>
      <c r="S347" t="e">
        <f t="shared" ca="1" si="76"/>
        <v>#N/A</v>
      </c>
      <c r="T347" t="e">
        <f t="shared" ca="1" si="77"/>
        <v>#N/A</v>
      </c>
      <c r="U347" t="e">
        <f ca="1">IF(AND($C347='Funnel setup'!$K$3&amp;'Funnel setup'!$K$6&amp;'Funnel setup'!$K$7&amp;'Funnel setup'!$K$4,'Funnel Lookup'!I347="*",'Funnel Lookup'!I347="*"),#N/A,IF(AND($C347='Funnel setup'!$K$3&amp;'Funnel setup'!$K$6&amp;'Funnel setup'!$K$7&amp;'Funnel setup'!$K$4,'Funnel Lookup'!I347&gt;29,'Funnel Lookup'!I347&lt;&gt;"-"),'Funnel Lookup'!I347,#N/A))</f>
        <v>#N/A</v>
      </c>
      <c r="V347" t="e">
        <f ca="1">IF(AND($C347='Funnel setup'!$K$3&amp;'Funnel setup'!$K$6&amp;'Funnel setup'!$K$7&amp;'Funnel setup'!$K$4,'Funnel Lookup'!I347="*",'Funnel Lookup'!I347="*"),#N/A,IF(AND($C347='Funnel setup'!$K$3&amp;'Funnel setup'!$K$6&amp;'Funnel setup'!$K$7&amp;'Funnel setup'!$K$4,'Funnel Lookup'!I347&gt;29,'Funnel Lookup'!I347&lt;&gt;"-"),'Funnel Lookup'!Q347,#N/A))</f>
        <v>#N/A</v>
      </c>
    </row>
    <row r="348" spans="1:22" x14ac:dyDescent="0.25">
      <c r="A348">
        <v>346</v>
      </c>
      <c r="B348" t="e">
        <f t="shared" ca="1" si="80"/>
        <v>#N/A</v>
      </c>
      <c r="C348" t="e">
        <f t="shared" ca="1" si="80"/>
        <v>#N/A</v>
      </c>
      <c r="D348" t="e">
        <f t="shared" ca="1" si="80"/>
        <v>#N/A</v>
      </c>
      <c r="E348" t="e">
        <f t="shared" ca="1" si="80"/>
        <v>#N/A</v>
      </c>
      <c r="F348" t="e">
        <f t="shared" ca="1" si="80"/>
        <v>#N/A</v>
      </c>
      <c r="G348" t="e">
        <f t="shared" ca="1" si="80"/>
        <v>#N/A</v>
      </c>
      <c r="H348" t="e">
        <f t="shared" ca="1" si="80"/>
        <v>#N/A</v>
      </c>
      <c r="I348" t="e">
        <f t="shared" ca="1" si="80"/>
        <v>#N/A</v>
      </c>
      <c r="J348" t="e">
        <f t="shared" ca="1" si="80"/>
        <v>#N/A</v>
      </c>
      <c r="K348" t="e">
        <f t="shared" ca="1" si="80"/>
        <v>#N/A</v>
      </c>
      <c r="L348" t="e">
        <f t="shared" ca="1" si="81"/>
        <v>#N/A</v>
      </c>
      <c r="M348" t="e">
        <f t="shared" ca="1" si="81"/>
        <v>#N/A</v>
      </c>
      <c r="N348" t="e">
        <f t="shared" ca="1" si="81"/>
        <v>#N/A</v>
      </c>
      <c r="O348" t="e">
        <f t="shared" ca="1" si="81"/>
        <v>#N/A</v>
      </c>
      <c r="P348" t="e">
        <f t="shared" ca="1" si="81"/>
        <v>#N/A</v>
      </c>
      <c r="Q348" t="e">
        <f t="shared" ca="1" si="81"/>
        <v>#N/A</v>
      </c>
      <c r="R348" t="e">
        <f t="shared" ca="1" si="81"/>
        <v>#N/A</v>
      </c>
      <c r="S348" t="e">
        <f t="shared" ca="1" si="76"/>
        <v>#N/A</v>
      </c>
      <c r="T348" t="e">
        <f t="shared" ca="1" si="77"/>
        <v>#N/A</v>
      </c>
      <c r="U348" t="e">
        <f ca="1">IF(AND($C348='Funnel setup'!$K$3&amp;'Funnel setup'!$K$6&amp;'Funnel setup'!$K$7&amp;'Funnel setup'!$K$4,'Funnel Lookup'!I348="*",'Funnel Lookup'!I348="*"),#N/A,IF(AND($C348='Funnel setup'!$K$3&amp;'Funnel setup'!$K$6&amp;'Funnel setup'!$K$7&amp;'Funnel setup'!$K$4,'Funnel Lookup'!I348&gt;29,'Funnel Lookup'!I348&lt;&gt;"-"),'Funnel Lookup'!I348,#N/A))</f>
        <v>#N/A</v>
      </c>
      <c r="V348" t="e">
        <f ca="1">IF(AND($C348='Funnel setup'!$K$3&amp;'Funnel setup'!$K$6&amp;'Funnel setup'!$K$7&amp;'Funnel setup'!$K$4,'Funnel Lookup'!I348="*",'Funnel Lookup'!I348="*"),#N/A,IF(AND($C348='Funnel setup'!$K$3&amp;'Funnel setup'!$K$6&amp;'Funnel setup'!$K$7&amp;'Funnel setup'!$K$4,'Funnel Lookup'!I348&gt;29,'Funnel Lookup'!I348&lt;&gt;"-"),'Funnel Lookup'!Q348,#N/A))</f>
        <v>#N/A</v>
      </c>
    </row>
    <row r="349" spans="1:22" x14ac:dyDescent="0.25">
      <c r="A349">
        <v>347</v>
      </c>
      <c r="B349" t="e">
        <f t="shared" ca="1" si="80"/>
        <v>#N/A</v>
      </c>
      <c r="C349" t="e">
        <f t="shared" ca="1" si="80"/>
        <v>#N/A</v>
      </c>
      <c r="D349" t="e">
        <f t="shared" ca="1" si="80"/>
        <v>#N/A</v>
      </c>
      <c r="E349" t="e">
        <f t="shared" ca="1" si="80"/>
        <v>#N/A</v>
      </c>
      <c r="F349" t="e">
        <f t="shared" ca="1" si="80"/>
        <v>#N/A</v>
      </c>
      <c r="G349" t="e">
        <f t="shared" ca="1" si="80"/>
        <v>#N/A</v>
      </c>
      <c r="H349" t="e">
        <f t="shared" ca="1" si="80"/>
        <v>#N/A</v>
      </c>
      <c r="I349" t="e">
        <f t="shared" ca="1" si="80"/>
        <v>#N/A</v>
      </c>
      <c r="J349" t="e">
        <f t="shared" ca="1" si="80"/>
        <v>#N/A</v>
      </c>
      <c r="K349" t="e">
        <f t="shared" ca="1" si="80"/>
        <v>#N/A</v>
      </c>
      <c r="L349" t="e">
        <f t="shared" ca="1" si="81"/>
        <v>#N/A</v>
      </c>
      <c r="M349" t="e">
        <f t="shared" ca="1" si="81"/>
        <v>#N/A</v>
      </c>
      <c r="N349" t="e">
        <f t="shared" ca="1" si="81"/>
        <v>#N/A</v>
      </c>
      <c r="O349" t="e">
        <f t="shared" ca="1" si="81"/>
        <v>#N/A</v>
      </c>
      <c r="P349" t="e">
        <f t="shared" ca="1" si="81"/>
        <v>#N/A</v>
      </c>
      <c r="Q349" t="e">
        <f t="shared" ca="1" si="81"/>
        <v>#N/A</v>
      </c>
      <c r="R349" t="e">
        <f t="shared" ca="1" si="81"/>
        <v>#N/A</v>
      </c>
      <c r="S349" t="e">
        <f t="shared" ca="1" si="76"/>
        <v>#N/A</v>
      </c>
      <c r="T349" t="e">
        <f t="shared" ca="1" si="77"/>
        <v>#N/A</v>
      </c>
      <c r="U349" t="e">
        <f ca="1">IF(AND($C349='Funnel setup'!$K$3&amp;'Funnel setup'!$K$6&amp;'Funnel setup'!$K$7&amp;'Funnel setup'!$K$4,'Funnel Lookup'!I349="*",'Funnel Lookup'!I349="*"),#N/A,IF(AND($C349='Funnel setup'!$K$3&amp;'Funnel setup'!$K$6&amp;'Funnel setup'!$K$7&amp;'Funnel setup'!$K$4,'Funnel Lookup'!I349&gt;29,'Funnel Lookup'!I349&lt;&gt;"-"),'Funnel Lookup'!I349,#N/A))</f>
        <v>#N/A</v>
      </c>
      <c r="V349" t="e">
        <f ca="1">IF(AND($C349='Funnel setup'!$K$3&amp;'Funnel setup'!$K$6&amp;'Funnel setup'!$K$7&amp;'Funnel setup'!$K$4,'Funnel Lookup'!I349="*",'Funnel Lookup'!I349="*"),#N/A,IF(AND($C349='Funnel setup'!$K$3&amp;'Funnel setup'!$K$6&amp;'Funnel setup'!$K$7&amp;'Funnel setup'!$K$4,'Funnel Lookup'!I349&gt;29,'Funnel Lookup'!I349&lt;&gt;"-"),'Funnel Lookup'!Q349,#N/A))</f>
        <v>#N/A</v>
      </c>
    </row>
    <row r="350" spans="1:22" x14ac:dyDescent="0.25">
      <c r="A350">
        <v>348</v>
      </c>
      <c r="B350" t="e">
        <f t="shared" ca="1" si="80"/>
        <v>#N/A</v>
      </c>
      <c r="C350" t="e">
        <f t="shared" ca="1" si="80"/>
        <v>#N/A</v>
      </c>
      <c r="D350" t="e">
        <f t="shared" ca="1" si="80"/>
        <v>#N/A</v>
      </c>
      <c r="E350" t="e">
        <f t="shared" ca="1" si="80"/>
        <v>#N/A</v>
      </c>
      <c r="F350" t="e">
        <f t="shared" ca="1" si="80"/>
        <v>#N/A</v>
      </c>
      <c r="G350" t="e">
        <f t="shared" ca="1" si="80"/>
        <v>#N/A</v>
      </c>
      <c r="H350" t="e">
        <f t="shared" ca="1" si="80"/>
        <v>#N/A</v>
      </c>
      <c r="I350" t="e">
        <f t="shared" ca="1" si="80"/>
        <v>#N/A</v>
      </c>
      <c r="J350" t="e">
        <f t="shared" ca="1" si="80"/>
        <v>#N/A</v>
      </c>
      <c r="K350" t="e">
        <f t="shared" ca="1" si="80"/>
        <v>#N/A</v>
      </c>
      <c r="L350" t="e">
        <f t="shared" ca="1" si="81"/>
        <v>#N/A</v>
      </c>
      <c r="M350" t="e">
        <f t="shared" ca="1" si="81"/>
        <v>#N/A</v>
      </c>
      <c r="N350" t="e">
        <f t="shared" ca="1" si="81"/>
        <v>#N/A</v>
      </c>
      <c r="O350" t="e">
        <f t="shared" ca="1" si="81"/>
        <v>#N/A</v>
      </c>
      <c r="P350" t="e">
        <f t="shared" ca="1" si="81"/>
        <v>#N/A</v>
      </c>
      <c r="Q350" t="e">
        <f t="shared" ca="1" si="81"/>
        <v>#N/A</v>
      </c>
      <c r="R350" t="e">
        <f t="shared" ca="1" si="81"/>
        <v>#N/A</v>
      </c>
      <c r="S350" t="e">
        <f t="shared" ca="1" si="76"/>
        <v>#N/A</v>
      </c>
      <c r="T350" t="e">
        <f t="shared" ca="1" si="77"/>
        <v>#N/A</v>
      </c>
      <c r="U350" t="e">
        <f ca="1">IF(AND($C350='Funnel setup'!$K$3&amp;'Funnel setup'!$K$6&amp;'Funnel setup'!$K$7&amp;'Funnel setup'!$K$4,'Funnel Lookup'!I350="*",'Funnel Lookup'!I350="*"),#N/A,IF(AND($C350='Funnel setup'!$K$3&amp;'Funnel setup'!$K$6&amp;'Funnel setup'!$K$7&amp;'Funnel setup'!$K$4,'Funnel Lookup'!I350&gt;29,'Funnel Lookup'!I350&lt;&gt;"-"),'Funnel Lookup'!I350,#N/A))</f>
        <v>#N/A</v>
      </c>
      <c r="V350" t="e">
        <f ca="1">IF(AND($C350='Funnel setup'!$K$3&amp;'Funnel setup'!$K$6&amp;'Funnel setup'!$K$7&amp;'Funnel setup'!$K$4,'Funnel Lookup'!I350="*",'Funnel Lookup'!I350="*"),#N/A,IF(AND($C350='Funnel setup'!$K$3&amp;'Funnel setup'!$K$6&amp;'Funnel setup'!$K$7&amp;'Funnel setup'!$K$4,'Funnel Lookup'!I350&gt;29,'Funnel Lookup'!I350&lt;&gt;"-"),'Funnel Lookup'!Q350,#N/A))</f>
        <v>#N/A</v>
      </c>
    </row>
    <row r="351" spans="1:22" x14ac:dyDescent="0.25">
      <c r="A351">
        <v>349</v>
      </c>
      <c r="B351" t="e">
        <f t="shared" ca="1" si="80"/>
        <v>#N/A</v>
      </c>
      <c r="C351" t="e">
        <f t="shared" ca="1" si="80"/>
        <v>#N/A</v>
      </c>
      <c r="D351" t="e">
        <f t="shared" ca="1" si="80"/>
        <v>#N/A</v>
      </c>
      <c r="E351" t="e">
        <f t="shared" ca="1" si="80"/>
        <v>#N/A</v>
      </c>
      <c r="F351" t="e">
        <f t="shared" ca="1" si="80"/>
        <v>#N/A</v>
      </c>
      <c r="G351" t="e">
        <f t="shared" ca="1" si="80"/>
        <v>#N/A</v>
      </c>
      <c r="H351" t="e">
        <f t="shared" ca="1" si="80"/>
        <v>#N/A</v>
      </c>
      <c r="I351" t="e">
        <f t="shared" ca="1" si="80"/>
        <v>#N/A</v>
      </c>
      <c r="J351" t="e">
        <f t="shared" ca="1" si="80"/>
        <v>#N/A</v>
      </c>
      <c r="K351" t="e">
        <f t="shared" ca="1" si="80"/>
        <v>#N/A</v>
      </c>
      <c r="L351" t="e">
        <f t="shared" ca="1" si="81"/>
        <v>#N/A</v>
      </c>
      <c r="M351" t="e">
        <f t="shared" ca="1" si="81"/>
        <v>#N/A</v>
      </c>
      <c r="N351" t="e">
        <f t="shared" ca="1" si="81"/>
        <v>#N/A</v>
      </c>
      <c r="O351" t="e">
        <f t="shared" ca="1" si="81"/>
        <v>#N/A</v>
      </c>
      <c r="P351" t="e">
        <f t="shared" ca="1" si="81"/>
        <v>#N/A</v>
      </c>
      <c r="Q351" t="e">
        <f t="shared" ca="1" si="81"/>
        <v>#N/A</v>
      </c>
      <c r="R351" t="e">
        <f t="shared" ca="1" si="81"/>
        <v>#N/A</v>
      </c>
      <c r="S351" t="e">
        <f t="shared" ca="1" si="76"/>
        <v>#N/A</v>
      </c>
      <c r="T351" t="e">
        <f t="shared" ca="1" si="77"/>
        <v>#N/A</v>
      </c>
      <c r="U351" t="e">
        <f ca="1">IF(AND($C351='Funnel setup'!$K$3&amp;'Funnel setup'!$K$6&amp;'Funnel setup'!$K$7&amp;'Funnel setup'!$K$4,'Funnel Lookup'!I351="*",'Funnel Lookup'!I351="*"),#N/A,IF(AND($C351='Funnel setup'!$K$3&amp;'Funnel setup'!$K$6&amp;'Funnel setup'!$K$7&amp;'Funnel setup'!$K$4,'Funnel Lookup'!I351&gt;29,'Funnel Lookup'!I351&lt;&gt;"-"),'Funnel Lookup'!I351,#N/A))</f>
        <v>#N/A</v>
      </c>
      <c r="V351" t="e">
        <f ca="1">IF(AND($C351='Funnel setup'!$K$3&amp;'Funnel setup'!$K$6&amp;'Funnel setup'!$K$7&amp;'Funnel setup'!$K$4,'Funnel Lookup'!I351="*",'Funnel Lookup'!I351="*"),#N/A,IF(AND($C351='Funnel setup'!$K$3&amp;'Funnel setup'!$K$6&amp;'Funnel setup'!$K$7&amp;'Funnel setup'!$K$4,'Funnel Lookup'!I351&gt;29,'Funnel Lookup'!I351&lt;&gt;"-"),'Funnel Lookup'!Q351,#N/A))</f>
        <v>#N/A</v>
      </c>
    </row>
    <row r="352" spans="1:22" x14ac:dyDescent="0.25">
      <c r="A352">
        <v>350</v>
      </c>
      <c r="B352" t="e">
        <f t="shared" ca="1" si="80"/>
        <v>#N/A</v>
      </c>
      <c r="C352" t="e">
        <f t="shared" ca="1" si="80"/>
        <v>#N/A</v>
      </c>
      <c r="D352" t="e">
        <f t="shared" ca="1" si="80"/>
        <v>#N/A</v>
      </c>
      <c r="E352" t="e">
        <f t="shared" ca="1" si="80"/>
        <v>#N/A</v>
      </c>
      <c r="F352" t="e">
        <f t="shared" ca="1" si="80"/>
        <v>#N/A</v>
      </c>
      <c r="G352" t="e">
        <f t="shared" ca="1" si="80"/>
        <v>#N/A</v>
      </c>
      <c r="H352" t="e">
        <f t="shared" ca="1" si="80"/>
        <v>#N/A</v>
      </c>
      <c r="I352" t="e">
        <f t="shared" ca="1" si="80"/>
        <v>#N/A</v>
      </c>
      <c r="J352" t="e">
        <f t="shared" ca="1" si="80"/>
        <v>#N/A</v>
      </c>
      <c r="K352" t="e">
        <f t="shared" ca="1" si="80"/>
        <v>#N/A</v>
      </c>
      <c r="L352" t="e">
        <f t="shared" ca="1" si="81"/>
        <v>#N/A</v>
      </c>
      <c r="M352" t="e">
        <f t="shared" ca="1" si="81"/>
        <v>#N/A</v>
      </c>
      <c r="N352" t="e">
        <f t="shared" ca="1" si="81"/>
        <v>#N/A</v>
      </c>
      <c r="O352" t="e">
        <f t="shared" ca="1" si="81"/>
        <v>#N/A</v>
      </c>
      <c r="P352" t="e">
        <f t="shared" ca="1" si="81"/>
        <v>#N/A</v>
      </c>
      <c r="Q352" t="e">
        <f t="shared" ca="1" si="81"/>
        <v>#N/A</v>
      </c>
      <c r="R352" t="e">
        <f t="shared" ca="1" si="81"/>
        <v>#N/A</v>
      </c>
      <c r="S352" t="e">
        <f t="shared" ca="1" si="76"/>
        <v>#N/A</v>
      </c>
      <c r="T352" t="e">
        <f t="shared" ca="1" si="77"/>
        <v>#N/A</v>
      </c>
      <c r="U352" t="e">
        <f ca="1">IF(AND($C352='Funnel setup'!$K$3&amp;'Funnel setup'!$K$6&amp;'Funnel setup'!$K$7&amp;'Funnel setup'!$K$4,'Funnel Lookup'!I352="*",'Funnel Lookup'!I352="*"),#N/A,IF(AND($C352='Funnel setup'!$K$3&amp;'Funnel setup'!$K$6&amp;'Funnel setup'!$K$7&amp;'Funnel setup'!$K$4,'Funnel Lookup'!I352&gt;29,'Funnel Lookup'!I352&lt;&gt;"-"),'Funnel Lookup'!I352,#N/A))</f>
        <v>#N/A</v>
      </c>
      <c r="V352" t="e">
        <f ca="1">IF(AND($C352='Funnel setup'!$K$3&amp;'Funnel setup'!$K$6&amp;'Funnel setup'!$K$7&amp;'Funnel setup'!$K$4,'Funnel Lookup'!I352="*",'Funnel Lookup'!I352="*"),#N/A,IF(AND($C352='Funnel setup'!$K$3&amp;'Funnel setup'!$K$6&amp;'Funnel setup'!$K$7&amp;'Funnel setup'!$K$4,'Funnel Lookup'!I352&gt;29,'Funnel Lookup'!I352&lt;&gt;"-"),'Funnel Lookup'!Q352,#N/A))</f>
        <v>#N/A</v>
      </c>
    </row>
    <row r="353" spans="1:22" x14ac:dyDescent="0.25">
      <c r="A353">
        <v>351</v>
      </c>
      <c r="B353" t="e">
        <f t="shared" ref="B353:K362" ca="1" si="82">VLOOKUP($A353,Funnel_Data,B$1,FALSE)</f>
        <v>#N/A</v>
      </c>
      <c r="C353" t="e">
        <f t="shared" ca="1" si="82"/>
        <v>#N/A</v>
      </c>
      <c r="D353" t="e">
        <f t="shared" ca="1" si="82"/>
        <v>#N/A</v>
      </c>
      <c r="E353" t="e">
        <f t="shared" ca="1" si="82"/>
        <v>#N/A</v>
      </c>
      <c r="F353" t="e">
        <f t="shared" ca="1" si="82"/>
        <v>#N/A</v>
      </c>
      <c r="G353" t="e">
        <f t="shared" ca="1" si="82"/>
        <v>#N/A</v>
      </c>
      <c r="H353" t="e">
        <f t="shared" ca="1" si="82"/>
        <v>#N/A</v>
      </c>
      <c r="I353" t="e">
        <f t="shared" ca="1" si="82"/>
        <v>#N/A</v>
      </c>
      <c r="J353" t="e">
        <f t="shared" ca="1" si="82"/>
        <v>#N/A</v>
      </c>
      <c r="K353" t="e">
        <f t="shared" ca="1" si="82"/>
        <v>#N/A</v>
      </c>
      <c r="L353" t="e">
        <f t="shared" ref="L353:R362" ca="1" si="83">VLOOKUP($A353,Funnel_Data,L$1,FALSE)</f>
        <v>#N/A</v>
      </c>
      <c r="M353" t="e">
        <f t="shared" ca="1" si="83"/>
        <v>#N/A</v>
      </c>
      <c r="N353" t="e">
        <f t="shared" ca="1" si="83"/>
        <v>#N/A</v>
      </c>
      <c r="O353" t="e">
        <f t="shared" ca="1" si="83"/>
        <v>#N/A</v>
      </c>
      <c r="P353" t="e">
        <f t="shared" ca="1" si="83"/>
        <v>#N/A</v>
      </c>
      <c r="Q353" t="e">
        <f t="shared" ca="1" si="83"/>
        <v>#N/A</v>
      </c>
      <c r="R353" t="e">
        <f t="shared" ca="1" si="83"/>
        <v>#N/A</v>
      </c>
      <c r="S353" t="e">
        <f t="shared" ca="1" si="76"/>
        <v>#N/A</v>
      </c>
      <c r="T353" t="e">
        <f t="shared" ca="1" si="77"/>
        <v>#N/A</v>
      </c>
      <c r="U353" t="e">
        <f ca="1">IF(AND($C353='Funnel setup'!$K$3&amp;'Funnel setup'!$K$6&amp;'Funnel setup'!$K$7&amp;'Funnel setup'!$K$4,'Funnel Lookup'!I353="*",'Funnel Lookup'!I353="*"),#N/A,IF(AND($C353='Funnel setup'!$K$3&amp;'Funnel setup'!$K$6&amp;'Funnel setup'!$K$7&amp;'Funnel setup'!$K$4,'Funnel Lookup'!I353&gt;29,'Funnel Lookup'!I353&lt;&gt;"-"),'Funnel Lookup'!I353,#N/A))</f>
        <v>#N/A</v>
      </c>
      <c r="V353" t="e">
        <f ca="1">IF(AND($C353='Funnel setup'!$K$3&amp;'Funnel setup'!$K$6&amp;'Funnel setup'!$K$7&amp;'Funnel setup'!$K$4,'Funnel Lookup'!I353="*",'Funnel Lookup'!I353="*"),#N/A,IF(AND($C353='Funnel setup'!$K$3&amp;'Funnel setup'!$K$6&amp;'Funnel setup'!$K$7&amp;'Funnel setup'!$K$4,'Funnel Lookup'!I353&gt;29,'Funnel Lookup'!I353&lt;&gt;"-"),'Funnel Lookup'!Q353,#N/A))</f>
        <v>#N/A</v>
      </c>
    </row>
    <row r="354" spans="1:22" x14ac:dyDescent="0.25">
      <c r="A354">
        <v>352</v>
      </c>
      <c r="B354" t="e">
        <f t="shared" ca="1" si="82"/>
        <v>#N/A</v>
      </c>
      <c r="C354" t="e">
        <f t="shared" ca="1" si="82"/>
        <v>#N/A</v>
      </c>
      <c r="D354" t="e">
        <f t="shared" ca="1" si="82"/>
        <v>#N/A</v>
      </c>
      <c r="E354" t="e">
        <f t="shared" ca="1" si="82"/>
        <v>#N/A</v>
      </c>
      <c r="F354" t="e">
        <f t="shared" ca="1" si="82"/>
        <v>#N/A</v>
      </c>
      <c r="G354" t="e">
        <f t="shared" ca="1" si="82"/>
        <v>#N/A</v>
      </c>
      <c r="H354" t="e">
        <f t="shared" ca="1" si="82"/>
        <v>#N/A</v>
      </c>
      <c r="I354" t="e">
        <f t="shared" ca="1" si="82"/>
        <v>#N/A</v>
      </c>
      <c r="J354" t="e">
        <f t="shared" ca="1" si="82"/>
        <v>#N/A</v>
      </c>
      <c r="K354" t="e">
        <f t="shared" ca="1" si="82"/>
        <v>#N/A</v>
      </c>
      <c r="L354" t="e">
        <f t="shared" ca="1" si="83"/>
        <v>#N/A</v>
      </c>
      <c r="M354" t="e">
        <f t="shared" ca="1" si="83"/>
        <v>#N/A</v>
      </c>
      <c r="N354" t="e">
        <f t="shared" ca="1" si="83"/>
        <v>#N/A</v>
      </c>
      <c r="O354" t="e">
        <f t="shared" ca="1" si="83"/>
        <v>#N/A</v>
      </c>
      <c r="P354" t="e">
        <f t="shared" ca="1" si="83"/>
        <v>#N/A</v>
      </c>
      <c r="Q354" t="e">
        <f t="shared" ca="1" si="83"/>
        <v>#N/A</v>
      </c>
      <c r="R354" t="e">
        <f t="shared" ca="1" si="83"/>
        <v>#N/A</v>
      </c>
      <c r="S354" t="e">
        <f t="shared" ca="1" si="76"/>
        <v>#N/A</v>
      </c>
      <c r="T354" t="e">
        <f t="shared" ca="1" si="77"/>
        <v>#N/A</v>
      </c>
      <c r="U354" t="e">
        <f ca="1">IF(AND($C354='Funnel setup'!$K$3&amp;'Funnel setup'!$K$6&amp;'Funnel setup'!$K$7&amp;'Funnel setup'!$K$4,'Funnel Lookup'!I354="*",'Funnel Lookup'!I354="*"),#N/A,IF(AND($C354='Funnel setup'!$K$3&amp;'Funnel setup'!$K$6&amp;'Funnel setup'!$K$7&amp;'Funnel setup'!$K$4,'Funnel Lookup'!I354&gt;29,'Funnel Lookup'!I354&lt;&gt;"-"),'Funnel Lookup'!I354,#N/A))</f>
        <v>#N/A</v>
      </c>
      <c r="V354" t="e">
        <f ca="1">IF(AND($C354='Funnel setup'!$K$3&amp;'Funnel setup'!$K$6&amp;'Funnel setup'!$K$7&amp;'Funnel setup'!$K$4,'Funnel Lookup'!I354="*",'Funnel Lookup'!I354="*"),#N/A,IF(AND($C354='Funnel setup'!$K$3&amp;'Funnel setup'!$K$6&amp;'Funnel setup'!$K$7&amp;'Funnel setup'!$K$4,'Funnel Lookup'!I354&gt;29,'Funnel Lookup'!I354&lt;&gt;"-"),'Funnel Lookup'!Q354,#N/A))</f>
        <v>#N/A</v>
      </c>
    </row>
    <row r="355" spans="1:22" x14ac:dyDescent="0.25">
      <c r="A355">
        <v>353</v>
      </c>
      <c r="B355" t="e">
        <f t="shared" ca="1" si="82"/>
        <v>#N/A</v>
      </c>
      <c r="C355" t="e">
        <f t="shared" ca="1" si="82"/>
        <v>#N/A</v>
      </c>
      <c r="D355" t="e">
        <f t="shared" ca="1" si="82"/>
        <v>#N/A</v>
      </c>
      <c r="E355" t="e">
        <f t="shared" ca="1" si="82"/>
        <v>#N/A</v>
      </c>
      <c r="F355" t="e">
        <f t="shared" ca="1" si="82"/>
        <v>#N/A</v>
      </c>
      <c r="G355" t="e">
        <f t="shared" ca="1" si="82"/>
        <v>#N/A</v>
      </c>
      <c r="H355" t="e">
        <f t="shared" ca="1" si="82"/>
        <v>#N/A</v>
      </c>
      <c r="I355" t="e">
        <f t="shared" ca="1" si="82"/>
        <v>#N/A</v>
      </c>
      <c r="J355" t="e">
        <f t="shared" ca="1" si="82"/>
        <v>#N/A</v>
      </c>
      <c r="K355" t="e">
        <f t="shared" ca="1" si="82"/>
        <v>#N/A</v>
      </c>
      <c r="L355" t="e">
        <f t="shared" ca="1" si="83"/>
        <v>#N/A</v>
      </c>
      <c r="M355" t="e">
        <f t="shared" ca="1" si="83"/>
        <v>#N/A</v>
      </c>
      <c r="N355" t="e">
        <f t="shared" ca="1" si="83"/>
        <v>#N/A</v>
      </c>
      <c r="O355" t="e">
        <f t="shared" ca="1" si="83"/>
        <v>#N/A</v>
      </c>
      <c r="P355" t="e">
        <f t="shared" ca="1" si="83"/>
        <v>#N/A</v>
      </c>
      <c r="Q355" t="e">
        <f t="shared" ca="1" si="83"/>
        <v>#N/A</v>
      </c>
      <c r="R355" t="e">
        <f t="shared" ca="1" si="83"/>
        <v>#N/A</v>
      </c>
      <c r="S355" t="e">
        <f t="shared" ca="1" si="76"/>
        <v>#N/A</v>
      </c>
      <c r="T355" t="e">
        <f t="shared" ca="1" si="77"/>
        <v>#N/A</v>
      </c>
      <c r="U355" t="e">
        <f ca="1">IF(AND($C355='Funnel setup'!$K$3&amp;'Funnel setup'!$K$6&amp;'Funnel setup'!$K$7&amp;'Funnel setup'!$K$4,'Funnel Lookup'!I355="*",'Funnel Lookup'!I355="*"),#N/A,IF(AND($C355='Funnel setup'!$K$3&amp;'Funnel setup'!$K$6&amp;'Funnel setup'!$K$7&amp;'Funnel setup'!$K$4,'Funnel Lookup'!I355&gt;29,'Funnel Lookup'!I355&lt;&gt;"-"),'Funnel Lookup'!I355,#N/A))</f>
        <v>#N/A</v>
      </c>
      <c r="V355" t="e">
        <f ca="1">IF(AND($C355='Funnel setup'!$K$3&amp;'Funnel setup'!$K$6&amp;'Funnel setup'!$K$7&amp;'Funnel setup'!$K$4,'Funnel Lookup'!I355="*",'Funnel Lookup'!I355="*"),#N/A,IF(AND($C355='Funnel setup'!$K$3&amp;'Funnel setup'!$K$6&amp;'Funnel setup'!$K$7&amp;'Funnel setup'!$K$4,'Funnel Lookup'!I355&gt;29,'Funnel Lookup'!I355&lt;&gt;"-"),'Funnel Lookup'!Q355,#N/A))</f>
        <v>#N/A</v>
      </c>
    </row>
    <row r="356" spans="1:22" x14ac:dyDescent="0.25">
      <c r="A356">
        <v>354</v>
      </c>
      <c r="B356" t="e">
        <f t="shared" ca="1" si="82"/>
        <v>#N/A</v>
      </c>
      <c r="C356" t="e">
        <f t="shared" ca="1" si="82"/>
        <v>#N/A</v>
      </c>
      <c r="D356" t="e">
        <f t="shared" ca="1" si="82"/>
        <v>#N/A</v>
      </c>
      <c r="E356" t="e">
        <f t="shared" ca="1" si="82"/>
        <v>#N/A</v>
      </c>
      <c r="F356" t="e">
        <f t="shared" ca="1" si="82"/>
        <v>#N/A</v>
      </c>
      <c r="G356" t="e">
        <f t="shared" ca="1" si="82"/>
        <v>#N/A</v>
      </c>
      <c r="H356" t="e">
        <f t="shared" ca="1" si="82"/>
        <v>#N/A</v>
      </c>
      <c r="I356" t="e">
        <f t="shared" ca="1" si="82"/>
        <v>#N/A</v>
      </c>
      <c r="J356" t="e">
        <f t="shared" ca="1" si="82"/>
        <v>#N/A</v>
      </c>
      <c r="K356" t="e">
        <f t="shared" ca="1" si="82"/>
        <v>#N/A</v>
      </c>
      <c r="L356" t="e">
        <f t="shared" ca="1" si="83"/>
        <v>#N/A</v>
      </c>
      <c r="M356" t="e">
        <f t="shared" ca="1" si="83"/>
        <v>#N/A</v>
      </c>
      <c r="N356" t="e">
        <f t="shared" ca="1" si="83"/>
        <v>#N/A</v>
      </c>
      <c r="O356" t="e">
        <f t="shared" ca="1" si="83"/>
        <v>#N/A</v>
      </c>
      <c r="P356" t="e">
        <f t="shared" ca="1" si="83"/>
        <v>#N/A</v>
      </c>
      <c r="Q356" t="e">
        <f t="shared" ca="1" si="83"/>
        <v>#N/A</v>
      </c>
      <c r="R356" t="e">
        <f t="shared" ca="1" si="83"/>
        <v>#N/A</v>
      </c>
      <c r="S356" t="e">
        <f t="shared" ca="1" si="76"/>
        <v>#N/A</v>
      </c>
      <c r="T356" t="e">
        <f t="shared" ca="1" si="77"/>
        <v>#N/A</v>
      </c>
      <c r="U356" t="e">
        <f ca="1">IF(AND($C356='Funnel setup'!$K$3&amp;'Funnel setup'!$K$6&amp;'Funnel setup'!$K$7&amp;'Funnel setup'!$K$4,'Funnel Lookup'!I356="*",'Funnel Lookup'!I356="*"),#N/A,IF(AND($C356='Funnel setup'!$K$3&amp;'Funnel setup'!$K$6&amp;'Funnel setup'!$K$7&amp;'Funnel setup'!$K$4,'Funnel Lookup'!I356&gt;29,'Funnel Lookup'!I356&lt;&gt;"-"),'Funnel Lookup'!I356,#N/A))</f>
        <v>#N/A</v>
      </c>
      <c r="V356" t="e">
        <f ca="1">IF(AND($C356='Funnel setup'!$K$3&amp;'Funnel setup'!$K$6&amp;'Funnel setup'!$K$7&amp;'Funnel setup'!$K$4,'Funnel Lookup'!I356="*",'Funnel Lookup'!I356="*"),#N/A,IF(AND($C356='Funnel setup'!$K$3&amp;'Funnel setup'!$K$6&amp;'Funnel setup'!$K$7&amp;'Funnel setup'!$K$4,'Funnel Lookup'!I356&gt;29,'Funnel Lookup'!I356&lt;&gt;"-"),'Funnel Lookup'!Q356,#N/A))</f>
        <v>#N/A</v>
      </c>
    </row>
    <row r="357" spans="1:22" x14ac:dyDescent="0.25">
      <c r="A357">
        <v>355</v>
      </c>
      <c r="B357" t="e">
        <f t="shared" ca="1" si="82"/>
        <v>#N/A</v>
      </c>
      <c r="C357" t="e">
        <f t="shared" ca="1" si="82"/>
        <v>#N/A</v>
      </c>
      <c r="D357" t="e">
        <f t="shared" ca="1" si="82"/>
        <v>#N/A</v>
      </c>
      <c r="E357" t="e">
        <f t="shared" ca="1" si="82"/>
        <v>#N/A</v>
      </c>
      <c r="F357" t="e">
        <f t="shared" ca="1" si="82"/>
        <v>#N/A</v>
      </c>
      <c r="G357" t="e">
        <f t="shared" ca="1" si="82"/>
        <v>#N/A</v>
      </c>
      <c r="H357" t="e">
        <f t="shared" ca="1" si="82"/>
        <v>#N/A</v>
      </c>
      <c r="I357" t="e">
        <f t="shared" ca="1" si="82"/>
        <v>#N/A</v>
      </c>
      <c r="J357" t="e">
        <f t="shared" ca="1" si="82"/>
        <v>#N/A</v>
      </c>
      <c r="K357" t="e">
        <f t="shared" ca="1" si="82"/>
        <v>#N/A</v>
      </c>
      <c r="L357" t="e">
        <f t="shared" ca="1" si="83"/>
        <v>#N/A</v>
      </c>
      <c r="M357" t="e">
        <f t="shared" ca="1" si="83"/>
        <v>#N/A</v>
      </c>
      <c r="N357" t="e">
        <f t="shared" ca="1" si="83"/>
        <v>#N/A</v>
      </c>
      <c r="O357" t="e">
        <f t="shared" ca="1" si="83"/>
        <v>#N/A</v>
      </c>
      <c r="P357" t="e">
        <f t="shared" ca="1" si="83"/>
        <v>#N/A</v>
      </c>
      <c r="Q357" t="e">
        <f t="shared" ca="1" si="83"/>
        <v>#N/A</v>
      </c>
      <c r="R357" t="e">
        <f t="shared" ca="1" si="83"/>
        <v>#N/A</v>
      </c>
      <c r="S357" t="e">
        <f t="shared" ca="1" si="76"/>
        <v>#N/A</v>
      </c>
      <c r="T357" t="e">
        <f t="shared" ca="1" si="77"/>
        <v>#N/A</v>
      </c>
      <c r="U357" t="e">
        <f ca="1">IF(AND($C357='Funnel setup'!$K$3&amp;'Funnel setup'!$K$6&amp;'Funnel setup'!$K$7&amp;'Funnel setup'!$K$4,'Funnel Lookup'!I357="*",'Funnel Lookup'!I357="*"),#N/A,IF(AND($C357='Funnel setup'!$K$3&amp;'Funnel setup'!$K$6&amp;'Funnel setup'!$K$7&amp;'Funnel setup'!$K$4,'Funnel Lookup'!I357&gt;29,'Funnel Lookup'!I357&lt;&gt;"-"),'Funnel Lookup'!I357,#N/A))</f>
        <v>#N/A</v>
      </c>
      <c r="V357" t="e">
        <f ca="1">IF(AND($C357='Funnel setup'!$K$3&amp;'Funnel setup'!$K$6&amp;'Funnel setup'!$K$7&amp;'Funnel setup'!$K$4,'Funnel Lookup'!I357="*",'Funnel Lookup'!I357="*"),#N/A,IF(AND($C357='Funnel setup'!$K$3&amp;'Funnel setup'!$K$6&amp;'Funnel setup'!$K$7&amp;'Funnel setup'!$K$4,'Funnel Lookup'!I357&gt;29,'Funnel Lookup'!I357&lt;&gt;"-"),'Funnel Lookup'!Q357,#N/A))</f>
        <v>#N/A</v>
      </c>
    </row>
    <row r="358" spans="1:22" x14ac:dyDescent="0.25">
      <c r="A358">
        <v>356</v>
      </c>
      <c r="B358" t="e">
        <f t="shared" ca="1" si="82"/>
        <v>#N/A</v>
      </c>
      <c r="C358" t="e">
        <f t="shared" ca="1" si="82"/>
        <v>#N/A</v>
      </c>
      <c r="D358" t="e">
        <f t="shared" ca="1" si="82"/>
        <v>#N/A</v>
      </c>
      <c r="E358" t="e">
        <f t="shared" ca="1" si="82"/>
        <v>#N/A</v>
      </c>
      <c r="F358" t="e">
        <f t="shared" ca="1" si="82"/>
        <v>#N/A</v>
      </c>
      <c r="G358" t="e">
        <f t="shared" ca="1" si="82"/>
        <v>#N/A</v>
      </c>
      <c r="H358" t="e">
        <f t="shared" ca="1" si="82"/>
        <v>#N/A</v>
      </c>
      <c r="I358" t="e">
        <f t="shared" ca="1" si="82"/>
        <v>#N/A</v>
      </c>
      <c r="J358" t="e">
        <f t="shared" ca="1" si="82"/>
        <v>#N/A</v>
      </c>
      <c r="K358" t="e">
        <f t="shared" ca="1" si="82"/>
        <v>#N/A</v>
      </c>
      <c r="L358" t="e">
        <f t="shared" ca="1" si="83"/>
        <v>#N/A</v>
      </c>
      <c r="M358" t="e">
        <f t="shared" ca="1" si="83"/>
        <v>#N/A</v>
      </c>
      <c r="N358" t="e">
        <f t="shared" ca="1" si="83"/>
        <v>#N/A</v>
      </c>
      <c r="O358" t="e">
        <f t="shared" ca="1" si="83"/>
        <v>#N/A</v>
      </c>
      <c r="P358" t="e">
        <f t="shared" ca="1" si="83"/>
        <v>#N/A</v>
      </c>
      <c r="Q358" t="e">
        <f t="shared" ca="1" si="83"/>
        <v>#N/A</v>
      </c>
      <c r="R358" t="e">
        <f t="shared" ca="1" si="83"/>
        <v>#N/A</v>
      </c>
      <c r="S358" t="e">
        <f t="shared" ca="1" si="76"/>
        <v>#N/A</v>
      </c>
      <c r="T358" t="e">
        <f t="shared" ca="1" si="77"/>
        <v>#N/A</v>
      </c>
      <c r="U358" t="e">
        <f ca="1">IF(AND($C358='Funnel setup'!$K$3&amp;'Funnel setup'!$K$6&amp;'Funnel setup'!$K$7&amp;'Funnel setup'!$K$4,'Funnel Lookup'!I358="*",'Funnel Lookup'!I358="*"),#N/A,IF(AND($C358='Funnel setup'!$K$3&amp;'Funnel setup'!$K$6&amp;'Funnel setup'!$K$7&amp;'Funnel setup'!$K$4,'Funnel Lookup'!I358&gt;29,'Funnel Lookup'!I358&lt;&gt;"-"),'Funnel Lookup'!I358,#N/A))</f>
        <v>#N/A</v>
      </c>
      <c r="V358" t="e">
        <f ca="1">IF(AND($C358='Funnel setup'!$K$3&amp;'Funnel setup'!$K$6&amp;'Funnel setup'!$K$7&amp;'Funnel setup'!$K$4,'Funnel Lookup'!I358="*",'Funnel Lookup'!I358="*"),#N/A,IF(AND($C358='Funnel setup'!$K$3&amp;'Funnel setup'!$K$6&amp;'Funnel setup'!$K$7&amp;'Funnel setup'!$K$4,'Funnel Lookup'!I358&gt;29,'Funnel Lookup'!I358&lt;&gt;"-"),'Funnel Lookup'!Q358,#N/A))</f>
        <v>#N/A</v>
      </c>
    </row>
    <row r="359" spans="1:22" x14ac:dyDescent="0.25">
      <c r="A359">
        <v>357</v>
      </c>
      <c r="B359" t="e">
        <f t="shared" ca="1" si="82"/>
        <v>#N/A</v>
      </c>
      <c r="C359" t="e">
        <f t="shared" ca="1" si="82"/>
        <v>#N/A</v>
      </c>
      <c r="D359" t="e">
        <f t="shared" ca="1" si="82"/>
        <v>#N/A</v>
      </c>
      <c r="E359" t="e">
        <f t="shared" ca="1" si="82"/>
        <v>#N/A</v>
      </c>
      <c r="F359" t="e">
        <f t="shared" ca="1" si="82"/>
        <v>#N/A</v>
      </c>
      <c r="G359" t="e">
        <f t="shared" ca="1" si="82"/>
        <v>#N/A</v>
      </c>
      <c r="H359" t="e">
        <f t="shared" ca="1" si="82"/>
        <v>#N/A</v>
      </c>
      <c r="I359" t="e">
        <f t="shared" ca="1" si="82"/>
        <v>#N/A</v>
      </c>
      <c r="J359" t="e">
        <f t="shared" ca="1" si="82"/>
        <v>#N/A</v>
      </c>
      <c r="K359" t="e">
        <f t="shared" ca="1" si="82"/>
        <v>#N/A</v>
      </c>
      <c r="L359" t="e">
        <f t="shared" ca="1" si="83"/>
        <v>#N/A</v>
      </c>
      <c r="M359" t="e">
        <f t="shared" ca="1" si="83"/>
        <v>#N/A</v>
      </c>
      <c r="N359" t="e">
        <f t="shared" ca="1" si="83"/>
        <v>#N/A</v>
      </c>
      <c r="O359" t="e">
        <f t="shared" ca="1" si="83"/>
        <v>#N/A</v>
      </c>
      <c r="P359" t="e">
        <f t="shared" ca="1" si="83"/>
        <v>#N/A</v>
      </c>
      <c r="Q359" t="e">
        <f t="shared" ca="1" si="83"/>
        <v>#N/A</v>
      </c>
      <c r="R359" t="e">
        <f t="shared" ca="1" si="83"/>
        <v>#N/A</v>
      </c>
      <c r="S359" t="e">
        <f t="shared" ca="1" si="76"/>
        <v>#N/A</v>
      </c>
      <c r="T359" t="e">
        <f t="shared" ca="1" si="77"/>
        <v>#N/A</v>
      </c>
      <c r="U359" t="e">
        <f ca="1">IF(AND($C359='Funnel setup'!$K$3&amp;'Funnel setup'!$K$6&amp;'Funnel setup'!$K$7&amp;'Funnel setup'!$K$4,'Funnel Lookup'!I359="*",'Funnel Lookup'!I359="*"),#N/A,IF(AND($C359='Funnel setup'!$K$3&amp;'Funnel setup'!$K$6&amp;'Funnel setup'!$K$7&amp;'Funnel setup'!$K$4,'Funnel Lookup'!I359&gt;29,'Funnel Lookup'!I359&lt;&gt;"-"),'Funnel Lookup'!I359,#N/A))</f>
        <v>#N/A</v>
      </c>
      <c r="V359" t="e">
        <f ca="1">IF(AND($C359='Funnel setup'!$K$3&amp;'Funnel setup'!$K$6&amp;'Funnel setup'!$K$7&amp;'Funnel setup'!$K$4,'Funnel Lookup'!I359="*",'Funnel Lookup'!I359="*"),#N/A,IF(AND($C359='Funnel setup'!$K$3&amp;'Funnel setup'!$K$6&amp;'Funnel setup'!$K$7&amp;'Funnel setup'!$K$4,'Funnel Lookup'!I359&gt;29,'Funnel Lookup'!I359&lt;&gt;"-"),'Funnel Lookup'!Q359,#N/A))</f>
        <v>#N/A</v>
      </c>
    </row>
    <row r="360" spans="1:22" x14ac:dyDescent="0.25">
      <c r="A360">
        <v>358</v>
      </c>
      <c r="B360" t="e">
        <f t="shared" ca="1" si="82"/>
        <v>#N/A</v>
      </c>
      <c r="C360" t="e">
        <f t="shared" ca="1" si="82"/>
        <v>#N/A</v>
      </c>
      <c r="D360" t="e">
        <f t="shared" ca="1" si="82"/>
        <v>#N/A</v>
      </c>
      <c r="E360" t="e">
        <f t="shared" ca="1" si="82"/>
        <v>#N/A</v>
      </c>
      <c r="F360" t="e">
        <f t="shared" ca="1" si="82"/>
        <v>#N/A</v>
      </c>
      <c r="G360" t="e">
        <f t="shared" ca="1" si="82"/>
        <v>#N/A</v>
      </c>
      <c r="H360" t="e">
        <f t="shared" ca="1" si="82"/>
        <v>#N/A</v>
      </c>
      <c r="I360" t="e">
        <f t="shared" ca="1" si="82"/>
        <v>#N/A</v>
      </c>
      <c r="J360" t="e">
        <f t="shared" ca="1" si="82"/>
        <v>#N/A</v>
      </c>
      <c r="K360" t="e">
        <f t="shared" ca="1" si="82"/>
        <v>#N/A</v>
      </c>
      <c r="L360" t="e">
        <f t="shared" ca="1" si="83"/>
        <v>#N/A</v>
      </c>
      <c r="M360" t="e">
        <f t="shared" ca="1" si="83"/>
        <v>#N/A</v>
      </c>
      <c r="N360" t="e">
        <f t="shared" ca="1" si="83"/>
        <v>#N/A</v>
      </c>
      <c r="O360" t="e">
        <f t="shared" ca="1" si="83"/>
        <v>#N/A</v>
      </c>
      <c r="P360" t="e">
        <f t="shared" ca="1" si="83"/>
        <v>#N/A</v>
      </c>
      <c r="Q360" t="e">
        <f t="shared" ca="1" si="83"/>
        <v>#N/A</v>
      </c>
      <c r="R360" t="e">
        <f t="shared" ca="1" si="83"/>
        <v>#N/A</v>
      </c>
      <c r="S360" t="e">
        <f t="shared" ca="1" si="76"/>
        <v>#N/A</v>
      </c>
      <c r="T360" t="e">
        <f t="shared" ca="1" si="77"/>
        <v>#N/A</v>
      </c>
      <c r="U360" t="e">
        <f ca="1">IF(AND($C360='Funnel setup'!$K$3&amp;'Funnel setup'!$K$6&amp;'Funnel setup'!$K$7&amp;'Funnel setup'!$K$4,'Funnel Lookup'!I360="*",'Funnel Lookup'!I360="*"),#N/A,IF(AND($C360='Funnel setup'!$K$3&amp;'Funnel setup'!$K$6&amp;'Funnel setup'!$K$7&amp;'Funnel setup'!$K$4,'Funnel Lookup'!I360&gt;29,'Funnel Lookup'!I360&lt;&gt;"-"),'Funnel Lookup'!I360,#N/A))</f>
        <v>#N/A</v>
      </c>
      <c r="V360" t="e">
        <f ca="1">IF(AND($C360='Funnel setup'!$K$3&amp;'Funnel setup'!$K$6&amp;'Funnel setup'!$K$7&amp;'Funnel setup'!$K$4,'Funnel Lookup'!I360="*",'Funnel Lookup'!I360="*"),#N/A,IF(AND($C360='Funnel setup'!$K$3&amp;'Funnel setup'!$K$6&amp;'Funnel setup'!$K$7&amp;'Funnel setup'!$K$4,'Funnel Lookup'!I360&gt;29,'Funnel Lookup'!I360&lt;&gt;"-"),'Funnel Lookup'!Q360,#N/A))</f>
        <v>#N/A</v>
      </c>
    </row>
    <row r="361" spans="1:22" x14ac:dyDescent="0.25">
      <c r="A361">
        <v>359</v>
      </c>
      <c r="B361" t="e">
        <f t="shared" ca="1" si="82"/>
        <v>#N/A</v>
      </c>
      <c r="C361" t="e">
        <f t="shared" ca="1" si="82"/>
        <v>#N/A</v>
      </c>
      <c r="D361" t="e">
        <f t="shared" ca="1" si="82"/>
        <v>#N/A</v>
      </c>
      <c r="E361" t="e">
        <f t="shared" ca="1" si="82"/>
        <v>#N/A</v>
      </c>
      <c r="F361" t="e">
        <f t="shared" ca="1" si="82"/>
        <v>#N/A</v>
      </c>
      <c r="G361" t="e">
        <f t="shared" ca="1" si="82"/>
        <v>#N/A</v>
      </c>
      <c r="H361" t="e">
        <f t="shared" ca="1" si="82"/>
        <v>#N/A</v>
      </c>
      <c r="I361" t="e">
        <f t="shared" ca="1" si="82"/>
        <v>#N/A</v>
      </c>
      <c r="J361" t="e">
        <f t="shared" ca="1" si="82"/>
        <v>#N/A</v>
      </c>
      <c r="K361" t="e">
        <f t="shared" ca="1" si="82"/>
        <v>#N/A</v>
      </c>
      <c r="L361" t="e">
        <f t="shared" ca="1" si="83"/>
        <v>#N/A</v>
      </c>
      <c r="M361" t="e">
        <f t="shared" ca="1" si="83"/>
        <v>#N/A</v>
      </c>
      <c r="N361" t="e">
        <f t="shared" ca="1" si="83"/>
        <v>#N/A</v>
      </c>
      <c r="O361" t="e">
        <f t="shared" ca="1" si="83"/>
        <v>#N/A</v>
      </c>
      <c r="P361" t="e">
        <f t="shared" ca="1" si="83"/>
        <v>#N/A</v>
      </c>
      <c r="Q361" t="e">
        <f t="shared" ca="1" si="83"/>
        <v>#N/A</v>
      </c>
      <c r="R361" t="e">
        <f t="shared" ca="1" si="83"/>
        <v>#N/A</v>
      </c>
      <c r="S361" t="e">
        <f t="shared" ca="1" si="76"/>
        <v>#N/A</v>
      </c>
      <c r="T361" t="e">
        <f t="shared" ca="1" si="77"/>
        <v>#N/A</v>
      </c>
      <c r="U361" t="e">
        <f ca="1">IF(AND($C361='Funnel setup'!$K$3&amp;'Funnel setup'!$K$6&amp;'Funnel setup'!$K$7&amp;'Funnel setup'!$K$4,'Funnel Lookup'!I361="*",'Funnel Lookup'!I361="*"),#N/A,IF(AND($C361='Funnel setup'!$K$3&amp;'Funnel setup'!$K$6&amp;'Funnel setup'!$K$7&amp;'Funnel setup'!$K$4,'Funnel Lookup'!I361&gt;29,'Funnel Lookup'!I361&lt;&gt;"-"),'Funnel Lookup'!I361,#N/A))</f>
        <v>#N/A</v>
      </c>
      <c r="V361" t="e">
        <f ca="1">IF(AND($C361='Funnel setup'!$K$3&amp;'Funnel setup'!$K$6&amp;'Funnel setup'!$K$7&amp;'Funnel setup'!$K$4,'Funnel Lookup'!I361="*",'Funnel Lookup'!I361="*"),#N/A,IF(AND($C361='Funnel setup'!$K$3&amp;'Funnel setup'!$K$6&amp;'Funnel setup'!$K$7&amp;'Funnel setup'!$K$4,'Funnel Lookup'!I361&gt;29,'Funnel Lookup'!I361&lt;&gt;"-"),'Funnel Lookup'!Q361,#N/A))</f>
        <v>#N/A</v>
      </c>
    </row>
    <row r="362" spans="1:22" x14ac:dyDescent="0.25">
      <c r="A362">
        <v>360</v>
      </c>
      <c r="B362" t="e">
        <f t="shared" ca="1" si="82"/>
        <v>#N/A</v>
      </c>
      <c r="C362" t="e">
        <f t="shared" ca="1" si="82"/>
        <v>#N/A</v>
      </c>
      <c r="D362" t="e">
        <f t="shared" ca="1" si="82"/>
        <v>#N/A</v>
      </c>
      <c r="E362" t="e">
        <f t="shared" ca="1" si="82"/>
        <v>#N/A</v>
      </c>
      <c r="F362" t="e">
        <f t="shared" ca="1" si="82"/>
        <v>#N/A</v>
      </c>
      <c r="G362" t="e">
        <f t="shared" ca="1" si="82"/>
        <v>#N/A</v>
      </c>
      <c r="H362" t="e">
        <f t="shared" ca="1" si="82"/>
        <v>#N/A</v>
      </c>
      <c r="I362" t="e">
        <f t="shared" ca="1" si="82"/>
        <v>#N/A</v>
      </c>
      <c r="J362" t="e">
        <f t="shared" ca="1" si="82"/>
        <v>#N/A</v>
      </c>
      <c r="K362" t="e">
        <f t="shared" ca="1" si="82"/>
        <v>#N/A</v>
      </c>
      <c r="L362" t="e">
        <f t="shared" ca="1" si="83"/>
        <v>#N/A</v>
      </c>
      <c r="M362" t="e">
        <f t="shared" ca="1" si="83"/>
        <v>#N/A</v>
      </c>
      <c r="N362" t="e">
        <f t="shared" ca="1" si="83"/>
        <v>#N/A</v>
      </c>
      <c r="O362" t="e">
        <f t="shared" ca="1" si="83"/>
        <v>#N/A</v>
      </c>
      <c r="P362" t="e">
        <f t="shared" ca="1" si="83"/>
        <v>#N/A</v>
      </c>
      <c r="Q362" t="e">
        <f t="shared" ca="1" si="83"/>
        <v>#N/A</v>
      </c>
      <c r="R362" t="e">
        <f t="shared" ca="1" si="83"/>
        <v>#N/A</v>
      </c>
      <c r="S362" t="e">
        <f t="shared" ca="1" si="76"/>
        <v>#N/A</v>
      </c>
      <c r="T362" t="e">
        <f t="shared" ca="1" si="77"/>
        <v>#N/A</v>
      </c>
      <c r="U362" t="e">
        <f ca="1">IF(AND($C362='Funnel setup'!$K$3&amp;'Funnel setup'!$K$6&amp;'Funnel setup'!$K$7&amp;'Funnel setup'!$K$4,'Funnel Lookup'!I362="*",'Funnel Lookup'!I362="*"),#N/A,IF(AND($C362='Funnel setup'!$K$3&amp;'Funnel setup'!$K$6&amp;'Funnel setup'!$K$7&amp;'Funnel setup'!$K$4,'Funnel Lookup'!I362&gt;29,'Funnel Lookup'!I362&lt;&gt;"-"),'Funnel Lookup'!I362,#N/A))</f>
        <v>#N/A</v>
      </c>
      <c r="V362" t="e">
        <f ca="1">IF(AND($C362='Funnel setup'!$K$3&amp;'Funnel setup'!$K$6&amp;'Funnel setup'!$K$7&amp;'Funnel setup'!$K$4,'Funnel Lookup'!I362="*",'Funnel Lookup'!I362="*"),#N/A,IF(AND($C362='Funnel setup'!$K$3&amp;'Funnel setup'!$K$6&amp;'Funnel setup'!$K$7&amp;'Funnel setup'!$K$4,'Funnel Lookup'!I362&gt;29,'Funnel Lookup'!I362&lt;&gt;"-"),'Funnel Lookup'!Q362,#N/A))</f>
        <v>#N/A</v>
      </c>
    </row>
    <row r="363" spans="1:22" x14ac:dyDescent="0.25">
      <c r="A363">
        <v>361</v>
      </c>
      <c r="B363" t="e">
        <f t="shared" ref="B363:K372" ca="1" si="84">VLOOKUP($A363,Funnel_Data,B$1,FALSE)</f>
        <v>#N/A</v>
      </c>
      <c r="C363" t="e">
        <f t="shared" ca="1" si="84"/>
        <v>#N/A</v>
      </c>
      <c r="D363" t="e">
        <f t="shared" ca="1" si="84"/>
        <v>#N/A</v>
      </c>
      <c r="E363" t="e">
        <f t="shared" ca="1" si="84"/>
        <v>#N/A</v>
      </c>
      <c r="F363" t="e">
        <f t="shared" ca="1" si="84"/>
        <v>#N/A</v>
      </c>
      <c r="G363" t="e">
        <f t="shared" ca="1" si="84"/>
        <v>#N/A</v>
      </c>
      <c r="H363" t="e">
        <f t="shared" ca="1" si="84"/>
        <v>#N/A</v>
      </c>
      <c r="I363" t="e">
        <f t="shared" ca="1" si="84"/>
        <v>#N/A</v>
      </c>
      <c r="J363" t="e">
        <f t="shared" ca="1" si="84"/>
        <v>#N/A</v>
      </c>
      <c r="K363" t="e">
        <f t="shared" ca="1" si="84"/>
        <v>#N/A</v>
      </c>
      <c r="L363" t="e">
        <f t="shared" ref="L363:R372" ca="1" si="85">VLOOKUP($A363,Funnel_Data,L$1,FALSE)</f>
        <v>#N/A</v>
      </c>
      <c r="M363" t="e">
        <f t="shared" ca="1" si="85"/>
        <v>#N/A</v>
      </c>
      <c r="N363" t="e">
        <f t="shared" ca="1" si="85"/>
        <v>#N/A</v>
      </c>
      <c r="O363" t="e">
        <f t="shared" ca="1" si="85"/>
        <v>#N/A</v>
      </c>
      <c r="P363" t="e">
        <f t="shared" ca="1" si="85"/>
        <v>#N/A</v>
      </c>
      <c r="Q363" t="e">
        <f t="shared" ca="1" si="85"/>
        <v>#N/A</v>
      </c>
      <c r="R363" t="e">
        <f t="shared" ca="1" si="85"/>
        <v>#N/A</v>
      </c>
      <c r="S363" t="e">
        <f t="shared" ca="1" si="76"/>
        <v>#N/A</v>
      </c>
      <c r="T363" t="e">
        <f t="shared" ca="1" si="77"/>
        <v>#N/A</v>
      </c>
      <c r="U363" t="e">
        <f ca="1">IF(AND($C363='Funnel setup'!$K$3&amp;'Funnel setup'!$K$6&amp;'Funnel setup'!$K$7&amp;'Funnel setup'!$K$4,'Funnel Lookup'!I363="*",'Funnel Lookup'!I363="*"),#N/A,IF(AND($C363='Funnel setup'!$K$3&amp;'Funnel setup'!$K$6&amp;'Funnel setup'!$K$7&amp;'Funnel setup'!$K$4,'Funnel Lookup'!I363&gt;29,'Funnel Lookup'!I363&lt;&gt;"-"),'Funnel Lookup'!I363,#N/A))</f>
        <v>#N/A</v>
      </c>
      <c r="V363" t="e">
        <f ca="1">IF(AND($C363='Funnel setup'!$K$3&amp;'Funnel setup'!$K$6&amp;'Funnel setup'!$K$7&amp;'Funnel setup'!$K$4,'Funnel Lookup'!I363="*",'Funnel Lookup'!I363="*"),#N/A,IF(AND($C363='Funnel setup'!$K$3&amp;'Funnel setup'!$K$6&amp;'Funnel setup'!$K$7&amp;'Funnel setup'!$K$4,'Funnel Lookup'!I363&gt;29,'Funnel Lookup'!I363&lt;&gt;"-"),'Funnel Lookup'!Q363,#N/A))</f>
        <v>#N/A</v>
      </c>
    </row>
    <row r="364" spans="1:22" x14ac:dyDescent="0.25">
      <c r="A364">
        <v>362</v>
      </c>
      <c r="B364" t="e">
        <f t="shared" ca="1" si="84"/>
        <v>#N/A</v>
      </c>
      <c r="C364" t="e">
        <f t="shared" ca="1" si="84"/>
        <v>#N/A</v>
      </c>
      <c r="D364" t="e">
        <f t="shared" ca="1" si="84"/>
        <v>#N/A</v>
      </c>
      <c r="E364" t="e">
        <f t="shared" ca="1" si="84"/>
        <v>#N/A</v>
      </c>
      <c r="F364" t="e">
        <f t="shared" ca="1" si="84"/>
        <v>#N/A</v>
      </c>
      <c r="G364" t="e">
        <f t="shared" ca="1" si="84"/>
        <v>#N/A</v>
      </c>
      <c r="H364" t="e">
        <f t="shared" ca="1" si="84"/>
        <v>#N/A</v>
      </c>
      <c r="I364" t="e">
        <f t="shared" ca="1" si="84"/>
        <v>#N/A</v>
      </c>
      <c r="J364" t="e">
        <f t="shared" ca="1" si="84"/>
        <v>#N/A</v>
      </c>
      <c r="K364" t="e">
        <f t="shared" ca="1" si="84"/>
        <v>#N/A</v>
      </c>
      <c r="L364" t="e">
        <f t="shared" ca="1" si="85"/>
        <v>#N/A</v>
      </c>
      <c r="M364" t="e">
        <f t="shared" ca="1" si="85"/>
        <v>#N/A</v>
      </c>
      <c r="N364" t="e">
        <f t="shared" ca="1" si="85"/>
        <v>#N/A</v>
      </c>
      <c r="O364" t="e">
        <f t="shared" ca="1" si="85"/>
        <v>#N/A</v>
      </c>
      <c r="P364" t="e">
        <f t="shared" ca="1" si="85"/>
        <v>#N/A</v>
      </c>
      <c r="Q364" t="e">
        <f t="shared" ca="1" si="85"/>
        <v>#N/A</v>
      </c>
      <c r="R364" t="e">
        <f t="shared" ca="1" si="85"/>
        <v>#N/A</v>
      </c>
      <c r="S364" t="e">
        <f t="shared" ca="1" si="76"/>
        <v>#N/A</v>
      </c>
      <c r="T364" t="e">
        <f t="shared" ca="1" si="77"/>
        <v>#N/A</v>
      </c>
      <c r="U364" t="e">
        <f ca="1">IF(AND($C364='Funnel setup'!$K$3&amp;'Funnel setup'!$K$6&amp;'Funnel setup'!$K$7&amp;'Funnel setup'!$K$4,'Funnel Lookup'!I364="*",'Funnel Lookup'!I364="*"),#N/A,IF(AND($C364='Funnel setup'!$K$3&amp;'Funnel setup'!$K$6&amp;'Funnel setup'!$K$7&amp;'Funnel setup'!$K$4,'Funnel Lookup'!I364&gt;29,'Funnel Lookup'!I364&lt;&gt;"-"),'Funnel Lookup'!I364,#N/A))</f>
        <v>#N/A</v>
      </c>
      <c r="V364" t="e">
        <f ca="1">IF(AND($C364='Funnel setup'!$K$3&amp;'Funnel setup'!$K$6&amp;'Funnel setup'!$K$7&amp;'Funnel setup'!$K$4,'Funnel Lookup'!I364="*",'Funnel Lookup'!I364="*"),#N/A,IF(AND($C364='Funnel setup'!$K$3&amp;'Funnel setup'!$K$6&amp;'Funnel setup'!$K$7&amp;'Funnel setup'!$K$4,'Funnel Lookup'!I364&gt;29,'Funnel Lookup'!I364&lt;&gt;"-"),'Funnel Lookup'!Q364,#N/A))</f>
        <v>#N/A</v>
      </c>
    </row>
    <row r="365" spans="1:22" x14ac:dyDescent="0.25">
      <c r="A365">
        <v>363</v>
      </c>
      <c r="B365" t="e">
        <f t="shared" ca="1" si="84"/>
        <v>#N/A</v>
      </c>
      <c r="C365" t="e">
        <f t="shared" ca="1" si="84"/>
        <v>#N/A</v>
      </c>
      <c r="D365" t="e">
        <f t="shared" ca="1" si="84"/>
        <v>#N/A</v>
      </c>
      <c r="E365" t="e">
        <f t="shared" ca="1" si="84"/>
        <v>#N/A</v>
      </c>
      <c r="F365" t="e">
        <f t="shared" ca="1" si="84"/>
        <v>#N/A</v>
      </c>
      <c r="G365" t="e">
        <f t="shared" ca="1" si="84"/>
        <v>#N/A</v>
      </c>
      <c r="H365" t="e">
        <f t="shared" ca="1" si="84"/>
        <v>#N/A</v>
      </c>
      <c r="I365" t="e">
        <f t="shared" ca="1" si="84"/>
        <v>#N/A</v>
      </c>
      <c r="J365" t="e">
        <f t="shared" ca="1" si="84"/>
        <v>#N/A</v>
      </c>
      <c r="K365" t="e">
        <f t="shared" ca="1" si="84"/>
        <v>#N/A</v>
      </c>
      <c r="L365" t="e">
        <f t="shared" ca="1" si="85"/>
        <v>#N/A</v>
      </c>
      <c r="M365" t="e">
        <f t="shared" ca="1" si="85"/>
        <v>#N/A</v>
      </c>
      <c r="N365" t="e">
        <f t="shared" ca="1" si="85"/>
        <v>#N/A</v>
      </c>
      <c r="O365" t="e">
        <f t="shared" ca="1" si="85"/>
        <v>#N/A</v>
      </c>
      <c r="P365" t="e">
        <f t="shared" ca="1" si="85"/>
        <v>#N/A</v>
      </c>
      <c r="Q365" t="e">
        <f t="shared" ca="1" si="85"/>
        <v>#N/A</v>
      </c>
      <c r="R365" t="e">
        <f t="shared" ca="1" si="85"/>
        <v>#N/A</v>
      </c>
      <c r="S365" t="e">
        <f t="shared" ca="1" si="76"/>
        <v>#N/A</v>
      </c>
      <c r="T365" t="e">
        <f t="shared" ca="1" si="77"/>
        <v>#N/A</v>
      </c>
      <c r="U365" t="e">
        <f ca="1">IF(AND($C365='Funnel setup'!$K$3&amp;'Funnel setup'!$K$6&amp;'Funnel setup'!$K$7&amp;'Funnel setup'!$K$4,'Funnel Lookup'!I365="*",'Funnel Lookup'!I365="*"),#N/A,IF(AND($C365='Funnel setup'!$K$3&amp;'Funnel setup'!$K$6&amp;'Funnel setup'!$K$7&amp;'Funnel setup'!$K$4,'Funnel Lookup'!I365&gt;29,'Funnel Lookup'!I365&lt;&gt;"-"),'Funnel Lookup'!I365,#N/A))</f>
        <v>#N/A</v>
      </c>
      <c r="V365" t="e">
        <f ca="1">IF(AND($C365='Funnel setup'!$K$3&amp;'Funnel setup'!$K$6&amp;'Funnel setup'!$K$7&amp;'Funnel setup'!$K$4,'Funnel Lookup'!I365="*",'Funnel Lookup'!I365="*"),#N/A,IF(AND($C365='Funnel setup'!$K$3&amp;'Funnel setup'!$K$6&amp;'Funnel setup'!$K$7&amp;'Funnel setup'!$K$4,'Funnel Lookup'!I365&gt;29,'Funnel Lookup'!I365&lt;&gt;"-"),'Funnel Lookup'!Q365,#N/A))</f>
        <v>#N/A</v>
      </c>
    </row>
    <row r="366" spans="1:22" x14ac:dyDescent="0.25">
      <c r="A366">
        <v>364</v>
      </c>
      <c r="B366" t="e">
        <f t="shared" ca="1" si="84"/>
        <v>#N/A</v>
      </c>
      <c r="C366" t="e">
        <f t="shared" ca="1" si="84"/>
        <v>#N/A</v>
      </c>
      <c r="D366" t="e">
        <f t="shared" ca="1" si="84"/>
        <v>#N/A</v>
      </c>
      <c r="E366" t="e">
        <f t="shared" ca="1" si="84"/>
        <v>#N/A</v>
      </c>
      <c r="F366" t="e">
        <f t="shared" ca="1" si="84"/>
        <v>#N/A</v>
      </c>
      <c r="G366" t="e">
        <f t="shared" ca="1" si="84"/>
        <v>#N/A</v>
      </c>
      <c r="H366" t="e">
        <f t="shared" ca="1" si="84"/>
        <v>#N/A</v>
      </c>
      <c r="I366" t="e">
        <f t="shared" ca="1" si="84"/>
        <v>#N/A</v>
      </c>
      <c r="J366" t="e">
        <f t="shared" ca="1" si="84"/>
        <v>#N/A</v>
      </c>
      <c r="K366" t="e">
        <f t="shared" ca="1" si="84"/>
        <v>#N/A</v>
      </c>
      <c r="L366" t="e">
        <f t="shared" ca="1" si="85"/>
        <v>#N/A</v>
      </c>
      <c r="M366" t="e">
        <f t="shared" ca="1" si="85"/>
        <v>#N/A</v>
      </c>
      <c r="N366" t="e">
        <f t="shared" ca="1" si="85"/>
        <v>#N/A</v>
      </c>
      <c r="O366" t="e">
        <f t="shared" ca="1" si="85"/>
        <v>#N/A</v>
      </c>
      <c r="P366" t="e">
        <f t="shared" ca="1" si="85"/>
        <v>#N/A</v>
      </c>
      <c r="Q366" t="e">
        <f t="shared" ca="1" si="85"/>
        <v>#N/A</v>
      </c>
      <c r="R366" t="e">
        <f t="shared" ca="1" si="85"/>
        <v>#N/A</v>
      </c>
      <c r="S366" t="e">
        <f t="shared" ca="1" si="76"/>
        <v>#N/A</v>
      </c>
      <c r="T366" t="e">
        <f t="shared" ca="1" si="77"/>
        <v>#N/A</v>
      </c>
      <c r="U366" t="e">
        <f ca="1">IF(AND($C366='Funnel setup'!$K$3&amp;'Funnel setup'!$K$6&amp;'Funnel setup'!$K$7&amp;'Funnel setup'!$K$4,'Funnel Lookup'!I366="*",'Funnel Lookup'!I366="*"),#N/A,IF(AND($C366='Funnel setup'!$K$3&amp;'Funnel setup'!$K$6&amp;'Funnel setup'!$K$7&amp;'Funnel setup'!$K$4,'Funnel Lookup'!I366&gt;29,'Funnel Lookup'!I366&lt;&gt;"-"),'Funnel Lookup'!I366,#N/A))</f>
        <v>#N/A</v>
      </c>
      <c r="V366" t="e">
        <f ca="1">IF(AND($C366='Funnel setup'!$K$3&amp;'Funnel setup'!$K$6&amp;'Funnel setup'!$K$7&amp;'Funnel setup'!$K$4,'Funnel Lookup'!I366="*",'Funnel Lookup'!I366="*"),#N/A,IF(AND($C366='Funnel setup'!$K$3&amp;'Funnel setup'!$K$6&amp;'Funnel setup'!$K$7&amp;'Funnel setup'!$K$4,'Funnel Lookup'!I366&gt;29,'Funnel Lookup'!I366&lt;&gt;"-"),'Funnel Lookup'!Q366,#N/A))</f>
        <v>#N/A</v>
      </c>
    </row>
    <row r="367" spans="1:22" x14ac:dyDescent="0.25">
      <c r="A367">
        <v>365</v>
      </c>
      <c r="B367" t="e">
        <f t="shared" ca="1" si="84"/>
        <v>#N/A</v>
      </c>
      <c r="C367" t="e">
        <f t="shared" ca="1" si="84"/>
        <v>#N/A</v>
      </c>
      <c r="D367" t="e">
        <f t="shared" ca="1" si="84"/>
        <v>#N/A</v>
      </c>
      <c r="E367" t="e">
        <f t="shared" ca="1" si="84"/>
        <v>#N/A</v>
      </c>
      <c r="F367" t="e">
        <f t="shared" ca="1" si="84"/>
        <v>#N/A</v>
      </c>
      <c r="G367" t="e">
        <f t="shared" ca="1" si="84"/>
        <v>#N/A</v>
      </c>
      <c r="H367" t="e">
        <f t="shared" ca="1" si="84"/>
        <v>#N/A</v>
      </c>
      <c r="I367" t="e">
        <f t="shared" ca="1" si="84"/>
        <v>#N/A</v>
      </c>
      <c r="J367" t="e">
        <f t="shared" ca="1" si="84"/>
        <v>#N/A</v>
      </c>
      <c r="K367" t="e">
        <f t="shared" ca="1" si="84"/>
        <v>#N/A</v>
      </c>
      <c r="L367" t="e">
        <f t="shared" ca="1" si="85"/>
        <v>#N/A</v>
      </c>
      <c r="M367" t="e">
        <f t="shared" ca="1" si="85"/>
        <v>#N/A</v>
      </c>
      <c r="N367" t="e">
        <f t="shared" ca="1" si="85"/>
        <v>#N/A</v>
      </c>
      <c r="O367" t="e">
        <f t="shared" ca="1" si="85"/>
        <v>#N/A</v>
      </c>
      <c r="P367" t="e">
        <f t="shared" ca="1" si="85"/>
        <v>#N/A</v>
      </c>
      <c r="Q367" t="e">
        <f t="shared" ca="1" si="85"/>
        <v>#N/A</v>
      </c>
      <c r="R367" t="e">
        <f t="shared" ca="1" si="85"/>
        <v>#N/A</v>
      </c>
      <c r="S367" t="e">
        <f t="shared" ca="1" si="76"/>
        <v>#N/A</v>
      </c>
      <c r="T367" t="e">
        <f t="shared" ca="1" si="77"/>
        <v>#N/A</v>
      </c>
      <c r="U367" t="e">
        <f ca="1">IF(AND($C367='Funnel setup'!$K$3&amp;'Funnel setup'!$K$6&amp;'Funnel setup'!$K$7&amp;'Funnel setup'!$K$4,'Funnel Lookup'!I367="*",'Funnel Lookup'!I367="*"),#N/A,IF(AND($C367='Funnel setup'!$K$3&amp;'Funnel setup'!$K$6&amp;'Funnel setup'!$K$7&amp;'Funnel setup'!$K$4,'Funnel Lookup'!I367&gt;29,'Funnel Lookup'!I367&lt;&gt;"-"),'Funnel Lookup'!I367,#N/A))</f>
        <v>#N/A</v>
      </c>
      <c r="V367" t="e">
        <f ca="1">IF(AND($C367='Funnel setup'!$K$3&amp;'Funnel setup'!$K$6&amp;'Funnel setup'!$K$7&amp;'Funnel setup'!$K$4,'Funnel Lookup'!I367="*",'Funnel Lookup'!I367="*"),#N/A,IF(AND($C367='Funnel setup'!$K$3&amp;'Funnel setup'!$K$6&amp;'Funnel setup'!$K$7&amp;'Funnel setup'!$K$4,'Funnel Lookup'!I367&gt;29,'Funnel Lookup'!I367&lt;&gt;"-"),'Funnel Lookup'!Q367,#N/A))</f>
        <v>#N/A</v>
      </c>
    </row>
    <row r="368" spans="1:22" x14ac:dyDescent="0.25">
      <c r="A368">
        <v>366</v>
      </c>
      <c r="B368" t="e">
        <f t="shared" ca="1" si="84"/>
        <v>#N/A</v>
      </c>
      <c r="C368" t="e">
        <f t="shared" ca="1" si="84"/>
        <v>#N/A</v>
      </c>
      <c r="D368" t="e">
        <f t="shared" ca="1" si="84"/>
        <v>#N/A</v>
      </c>
      <c r="E368" t="e">
        <f t="shared" ca="1" si="84"/>
        <v>#N/A</v>
      </c>
      <c r="F368" t="e">
        <f t="shared" ca="1" si="84"/>
        <v>#N/A</v>
      </c>
      <c r="G368" t="e">
        <f t="shared" ca="1" si="84"/>
        <v>#N/A</v>
      </c>
      <c r="H368" t="e">
        <f t="shared" ca="1" si="84"/>
        <v>#N/A</v>
      </c>
      <c r="I368" t="e">
        <f t="shared" ca="1" si="84"/>
        <v>#N/A</v>
      </c>
      <c r="J368" t="e">
        <f t="shared" ca="1" si="84"/>
        <v>#N/A</v>
      </c>
      <c r="K368" t="e">
        <f t="shared" ca="1" si="84"/>
        <v>#N/A</v>
      </c>
      <c r="L368" t="e">
        <f t="shared" ca="1" si="85"/>
        <v>#N/A</v>
      </c>
      <c r="M368" t="e">
        <f t="shared" ca="1" si="85"/>
        <v>#N/A</v>
      </c>
      <c r="N368" t="e">
        <f t="shared" ca="1" si="85"/>
        <v>#N/A</v>
      </c>
      <c r="O368" t="e">
        <f t="shared" ca="1" si="85"/>
        <v>#N/A</v>
      </c>
      <c r="P368" t="e">
        <f t="shared" ca="1" si="85"/>
        <v>#N/A</v>
      </c>
      <c r="Q368" t="e">
        <f t="shared" ca="1" si="85"/>
        <v>#N/A</v>
      </c>
      <c r="R368" t="e">
        <f t="shared" ca="1" si="85"/>
        <v>#N/A</v>
      </c>
      <c r="S368" t="e">
        <f t="shared" ca="1" si="76"/>
        <v>#N/A</v>
      </c>
      <c r="T368" t="e">
        <f t="shared" ca="1" si="77"/>
        <v>#N/A</v>
      </c>
      <c r="U368" t="e">
        <f ca="1">IF(AND($C368='Funnel setup'!$K$3&amp;'Funnel setup'!$K$6&amp;'Funnel setup'!$K$7&amp;'Funnel setup'!$K$4,'Funnel Lookup'!I368="*",'Funnel Lookup'!I368="*"),#N/A,IF(AND($C368='Funnel setup'!$K$3&amp;'Funnel setup'!$K$6&amp;'Funnel setup'!$K$7&amp;'Funnel setup'!$K$4,'Funnel Lookup'!I368&gt;29,'Funnel Lookup'!I368&lt;&gt;"-"),'Funnel Lookup'!I368,#N/A))</f>
        <v>#N/A</v>
      </c>
      <c r="V368" t="e">
        <f ca="1">IF(AND($C368='Funnel setup'!$K$3&amp;'Funnel setup'!$K$6&amp;'Funnel setup'!$K$7&amp;'Funnel setup'!$K$4,'Funnel Lookup'!I368="*",'Funnel Lookup'!I368="*"),#N/A,IF(AND($C368='Funnel setup'!$K$3&amp;'Funnel setup'!$K$6&amp;'Funnel setup'!$K$7&amp;'Funnel setup'!$K$4,'Funnel Lookup'!I368&gt;29,'Funnel Lookup'!I368&lt;&gt;"-"),'Funnel Lookup'!Q368,#N/A))</f>
        <v>#N/A</v>
      </c>
    </row>
    <row r="369" spans="1:22" x14ac:dyDescent="0.25">
      <c r="A369">
        <v>367</v>
      </c>
      <c r="B369" t="e">
        <f t="shared" ca="1" si="84"/>
        <v>#N/A</v>
      </c>
      <c r="C369" t="e">
        <f t="shared" ca="1" si="84"/>
        <v>#N/A</v>
      </c>
      <c r="D369" t="e">
        <f t="shared" ca="1" si="84"/>
        <v>#N/A</v>
      </c>
      <c r="E369" t="e">
        <f t="shared" ca="1" si="84"/>
        <v>#N/A</v>
      </c>
      <c r="F369" t="e">
        <f t="shared" ca="1" si="84"/>
        <v>#N/A</v>
      </c>
      <c r="G369" t="e">
        <f t="shared" ca="1" si="84"/>
        <v>#N/A</v>
      </c>
      <c r="H369" t="e">
        <f t="shared" ca="1" si="84"/>
        <v>#N/A</v>
      </c>
      <c r="I369" t="e">
        <f t="shared" ca="1" si="84"/>
        <v>#N/A</v>
      </c>
      <c r="J369" t="e">
        <f t="shared" ca="1" si="84"/>
        <v>#N/A</v>
      </c>
      <c r="K369" t="e">
        <f t="shared" ca="1" si="84"/>
        <v>#N/A</v>
      </c>
      <c r="L369" t="e">
        <f t="shared" ca="1" si="85"/>
        <v>#N/A</v>
      </c>
      <c r="M369" t="e">
        <f t="shared" ca="1" si="85"/>
        <v>#N/A</v>
      </c>
      <c r="N369" t="e">
        <f t="shared" ca="1" si="85"/>
        <v>#N/A</v>
      </c>
      <c r="O369" t="e">
        <f t="shared" ca="1" si="85"/>
        <v>#N/A</v>
      </c>
      <c r="P369" t="e">
        <f t="shared" ca="1" si="85"/>
        <v>#N/A</v>
      </c>
      <c r="Q369" t="e">
        <f t="shared" ca="1" si="85"/>
        <v>#N/A</v>
      </c>
      <c r="R369" t="e">
        <f t="shared" ca="1" si="85"/>
        <v>#N/A</v>
      </c>
      <c r="S369" t="e">
        <f t="shared" ca="1" si="76"/>
        <v>#N/A</v>
      </c>
      <c r="T369" t="e">
        <f t="shared" ca="1" si="77"/>
        <v>#N/A</v>
      </c>
      <c r="U369" t="e">
        <f ca="1">IF(AND($C369='Funnel setup'!$K$3&amp;'Funnel setup'!$K$6&amp;'Funnel setup'!$K$7&amp;'Funnel setup'!$K$4,'Funnel Lookup'!I369="*",'Funnel Lookup'!I369="*"),#N/A,IF(AND($C369='Funnel setup'!$K$3&amp;'Funnel setup'!$K$6&amp;'Funnel setup'!$K$7&amp;'Funnel setup'!$K$4,'Funnel Lookup'!I369&gt;29,'Funnel Lookup'!I369&lt;&gt;"-"),'Funnel Lookup'!I369,#N/A))</f>
        <v>#N/A</v>
      </c>
      <c r="V369" t="e">
        <f ca="1">IF(AND($C369='Funnel setup'!$K$3&amp;'Funnel setup'!$K$6&amp;'Funnel setup'!$K$7&amp;'Funnel setup'!$K$4,'Funnel Lookup'!I369="*",'Funnel Lookup'!I369="*"),#N/A,IF(AND($C369='Funnel setup'!$K$3&amp;'Funnel setup'!$K$6&amp;'Funnel setup'!$K$7&amp;'Funnel setup'!$K$4,'Funnel Lookup'!I369&gt;29,'Funnel Lookup'!I369&lt;&gt;"-"),'Funnel Lookup'!Q369,#N/A))</f>
        <v>#N/A</v>
      </c>
    </row>
    <row r="370" spans="1:22" x14ac:dyDescent="0.25">
      <c r="A370">
        <v>368</v>
      </c>
      <c r="B370" t="e">
        <f t="shared" ca="1" si="84"/>
        <v>#N/A</v>
      </c>
      <c r="C370" t="e">
        <f t="shared" ca="1" si="84"/>
        <v>#N/A</v>
      </c>
      <c r="D370" t="e">
        <f t="shared" ca="1" si="84"/>
        <v>#N/A</v>
      </c>
      <c r="E370" t="e">
        <f t="shared" ca="1" si="84"/>
        <v>#N/A</v>
      </c>
      <c r="F370" t="e">
        <f t="shared" ca="1" si="84"/>
        <v>#N/A</v>
      </c>
      <c r="G370" t="e">
        <f t="shared" ca="1" si="84"/>
        <v>#N/A</v>
      </c>
      <c r="H370" t="e">
        <f t="shared" ca="1" si="84"/>
        <v>#N/A</v>
      </c>
      <c r="I370" t="e">
        <f t="shared" ca="1" si="84"/>
        <v>#N/A</v>
      </c>
      <c r="J370" t="e">
        <f t="shared" ca="1" si="84"/>
        <v>#N/A</v>
      </c>
      <c r="K370" t="e">
        <f t="shared" ca="1" si="84"/>
        <v>#N/A</v>
      </c>
      <c r="L370" t="e">
        <f t="shared" ca="1" si="85"/>
        <v>#N/A</v>
      </c>
      <c r="M370" t="e">
        <f t="shared" ca="1" si="85"/>
        <v>#N/A</v>
      </c>
      <c r="N370" t="e">
        <f t="shared" ca="1" si="85"/>
        <v>#N/A</v>
      </c>
      <c r="O370" t="e">
        <f t="shared" ca="1" si="85"/>
        <v>#N/A</v>
      </c>
      <c r="P370" t="e">
        <f t="shared" ca="1" si="85"/>
        <v>#N/A</v>
      </c>
      <c r="Q370" t="e">
        <f t="shared" ca="1" si="85"/>
        <v>#N/A</v>
      </c>
      <c r="R370" t="e">
        <f t="shared" ca="1" si="85"/>
        <v>#N/A</v>
      </c>
      <c r="S370" t="e">
        <f t="shared" ca="1" si="76"/>
        <v>#N/A</v>
      </c>
      <c r="T370" t="e">
        <f t="shared" ca="1" si="77"/>
        <v>#N/A</v>
      </c>
      <c r="U370" t="e">
        <f ca="1">IF(AND($C370='Funnel setup'!$K$3&amp;'Funnel setup'!$K$6&amp;'Funnel setup'!$K$7&amp;'Funnel setup'!$K$4,'Funnel Lookup'!I370="*",'Funnel Lookup'!I370="*"),#N/A,IF(AND($C370='Funnel setup'!$K$3&amp;'Funnel setup'!$K$6&amp;'Funnel setup'!$K$7&amp;'Funnel setup'!$K$4,'Funnel Lookup'!I370&gt;29,'Funnel Lookup'!I370&lt;&gt;"-"),'Funnel Lookup'!I370,#N/A))</f>
        <v>#N/A</v>
      </c>
      <c r="V370" t="e">
        <f ca="1">IF(AND($C370='Funnel setup'!$K$3&amp;'Funnel setup'!$K$6&amp;'Funnel setup'!$K$7&amp;'Funnel setup'!$K$4,'Funnel Lookup'!I370="*",'Funnel Lookup'!I370="*"),#N/A,IF(AND($C370='Funnel setup'!$K$3&amp;'Funnel setup'!$K$6&amp;'Funnel setup'!$K$7&amp;'Funnel setup'!$K$4,'Funnel Lookup'!I370&gt;29,'Funnel Lookup'!I370&lt;&gt;"-"),'Funnel Lookup'!Q370,#N/A))</f>
        <v>#N/A</v>
      </c>
    </row>
    <row r="371" spans="1:22" x14ac:dyDescent="0.25">
      <c r="A371">
        <v>369</v>
      </c>
      <c r="B371" t="e">
        <f t="shared" ca="1" si="84"/>
        <v>#N/A</v>
      </c>
      <c r="C371" t="e">
        <f t="shared" ca="1" si="84"/>
        <v>#N/A</v>
      </c>
      <c r="D371" t="e">
        <f t="shared" ca="1" si="84"/>
        <v>#N/A</v>
      </c>
      <c r="E371" t="e">
        <f t="shared" ca="1" si="84"/>
        <v>#N/A</v>
      </c>
      <c r="F371" t="e">
        <f t="shared" ca="1" si="84"/>
        <v>#N/A</v>
      </c>
      <c r="G371" t="e">
        <f t="shared" ca="1" si="84"/>
        <v>#N/A</v>
      </c>
      <c r="H371" t="e">
        <f t="shared" ca="1" si="84"/>
        <v>#N/A</v>
      </c>
      <c r="I371" t="e">
        <f t="shared" ca="1" si="84"/>
        <v>#N/A</v>
      </c>
      <c r="J371" t="e">
        <f t="shared" ca="1" si="84"/>
        <v>#N/A</v>
      </c>
      <c r="K371" t="e">
        <f t="shared" ca="1" si="84"/>
        <v>#N/A</v>
      </c>
      <c r="L371" t="e">
        <f t="shared" ca="1" si="85"/>
        <v>#N/A</v>
      </c>
      <c r="M371" t="e">
        <f t="shared" ca="1" si="85"/>
        <v>#N/A</v>
      </c>
      <c r="N371" t="e">
        <f t="shared" ca="1" si="85"/>
        <v>#N/A</v>
      </c>
      <c r="O371" t="e">
        <f t="shared" ca="1" si="85"/>
        <v>#N/A</v>
      </c>
      <c r="P371" t="e">
        <f t="shared" ca="1" si="85"/>
        <v>#N/A</v>
      </c>
      <c r="Q371" t="e">
        <f t="shared" ca="1" si="85"/>
        <v>#N/A</v>
      </c>
      <c r="R371" t="e">
        <f t="shared" ca="1" si="85"/>
        <v>#N/A</v>
      </c>
      <c r="S371" t="e">
        <f t="shared" ca="1" si="76"/>
        <v>#N/A</v>
      </c>
      <c r="T371" t="e">
        <f t="shared" ca="1" si="77"/>
        <v>#N/A</v>
      </c>
      <c r="U371" t="e">
        <f ca="1">IF(AND($C371='Funnel setup'!$K$3&amp;'Funnel setup'!$K$6&amp;'Funnel setup'!$K$7&amp;'Funnel setup'!$K$4,'Funnel Lookup'!I371="*",'Funnel Lookup'!I371="*"),#N/A,IF(AND($C371='Funnel setup'!$K$3&amp;'Funnel setup'!$K$6&amp;'Funnel setup'!$K$7&amp;'Funnel setup'!$K$4,'Funnel Lookup'!I371&gt;29,'Funnel Lookup'!I371&lt;&gt;"-"),'Funnel Lookup'!I371,#N/A))</f>
        <v>#N/A</v>
      </c>
      <c r="V371" t="e">
        <f ca="1">IF(AND($C371='Funnel setup'!$K$3&amp;'Funnel setup'!$K$6&amp;'Funnel setup'!$K$7&amp;'Funnel setup'!$K$4,'Funnel Lookup'!I371="*",'Funnel Lookup'!I371="*"),#N/A,IF(AND($C371='Funnel setup'!$K$3&amp;'Funnel setup'!$K$6&amp;'Funnel setup'!$K$7&amp;'Funnel setup'!$K$4,'Funnel Lookup'!I371&gt;29,'Funnel Lookup'!I371&lt;&gt;"-"),'Funnel Lookup'!Q371,#N/A))</f>
        <v>#N/A</v>
      </c>
    </row>
    <row r="372" spans="1:22" x14ac:dyDescent="0.25">
      <c r="A372">
        <v>370</v>
      </c>
      <c r="B372" t="e">
        <f t="shared" ca="1" si="84"/>
        <v>#N/A</v>
      </c>
      <c r="C372" t="e">
        <f t="shared" ca="1" si="84"/>
        <v>#N/A</v>
      </c>
      <c r="D372" t="e">
        <f t="shared" ca="1" si="84"/>
        <v>#N/A</v>
      </c>
      <c r="E372" t="e">
        <f t="shared" ca="1" si="84"/>
        <v>#N/A</v>
      </c>
      <c r="F372" t="e">
        <f t="shared" ca="1" si="84"/>
        <v>#N/A</v>
      </c>
      <c r="G372" t="e">
        <f t="shared" ca="1" si="84"/>
        <v>#N/A</v>
      </c>
      <c r="H372" t="e">
        <f t="shared" ca="1" si="84"/>
        <v>#N/A</v>
      </c>
      <c r="I372" t="e">
        <f t="shared" ca="1" si="84"/>
        <v>#N/A</v>
      </c>
      <c r="J372" t="e">
        <f t="shared" ca="1" si="84"/>
        <v>#N/A</v>
      </c>
      <c r="K372" t="e">
        <f t="shared" ca="1" si="84"/>
        <v>#N/A</v>
      </c>
      <c r="L372" t="e">
        <f t="shared" ca="1" si="85"/>
        <v>#N/A</v>
      </c>
      <c r="M372" t="e">
        <f t="shared" ca="1" si="85"/>
        <v>#N/A</v>
      </c>
      <c r="N372" t="e">
        <f t="shared" ca="1" si="85"/>
        <v>#N/A</v>
      </c>
      <c r="O372" t="e">
        <f t="shared" ca="1" si="85"/>
        <v>#N/A</v>
      </c>
      <c r="P372" t="e">
        <f t="shared" ca="1" si="85"/>
        <v>#N/A</v>
      </c>
      <c r="Q372" t="e">
        <f t="shared" ca="1" si="85"/>
        <v>#N/A</v>
      </c>
      <c r="R372" t="e">
        <f t="shared" ca="1" si="85"/>
        <v>#N/A</v>
      </c>
      <c r="S372" t="e">
        <f t="shared" ca="1" si="76"/>
        <v>#N/A</v>
      </c>
      <c r="T372" t="e">
        <f t="shared" ca="1" si="77"/>
        <v>#N/A</v>
      </c>
      <c r="U372" t="e">
        <f ca="1">IF(AND($C372='Funnel setup'!$K$3&amp;'Funnel setup'!$K$6&amp;'Funnel setup'!$K$7&amp;'Funnel setup'!$K$4,'Funnel Lookup'!I372="*",'Funnel Lookup'!I372="*"),#N/A,IF(AND($C372='Funnel setup'!$K$3&amp;'Funnel setup'!$K$6&amp;'Funnel setup'!$K$7&amp;'Funnel setup'!$K$4,'Funnel Lookup'!I372&gt;29,'Funnel Lookup'!I372&lt;&gt;"-"),'Funnel Lookup'!I372,#N/A))</f>
        <v>#N/A</v>
      </c>
      <c r="V372" t="e">
        <f ca="1">IF(AND($C372='Funnel setup'!$K$3&amp;'Funnel setup'!$K$6&amp;'Funnel setup'!$K$7&amp;'Funnel setup'!$K$4,'Funnel Lookup'!I372="*",'Funnel Lookup'!I372="*"),#N/A,IF(AND($C372='Funnel setup'!$K$3&amp;'Funnel setup'!$K$6&amp;'Funnel setup'!$K$7&amp;'Funnel setup'!$K$4,'Funnel Lookup'!I372&gt;29,'Funnel Lookup'!I372&lt;&gt;"-"),'Funnel Lookup'!Q372,#N/A))</f>
        <v>#N/A</v>
      </c>
    </row>
    <row r="373" spans="1:22" x14ac:dyDescent="0.25">
      <c r="A373">
        <v>371</v>
      </c>
      <c r="B373" t="e">
        <f t="shared" ref="B373:K382" ca="1" si="86">VLOOKUP($A373,Funnel_Data,B$1,FALSE)</f>
        <v>#N/A</v>
      </c>
      <c r="C373" t="e">
        <f t="shared" ca="1" si="86"/>
        <v>#N/A</v>
      </c>
      <c r="D373" t="e">
        <f t="shared" ca="1" si="86"/>
        <v>#N/A</v>
      </c>
      <c r="E373" t="e">
        <f t="shared" ca="1" si="86"/>
        <v>#N/A</v>
      </c>
      <c r="F373" t="e">
        <f t="shared" ca="1" si="86"/>
        <v>#N/A</v>
      </c>
      <c r="G373" t="e">
        <f t="shared" ca="1" si="86"/>
        <v>#N/A</v>
      </c>
      <c r="H373" t="e">
        <f t="shared" ca="1" si="86"/>
        <v>#N/A</v>
      </c>
      <c r="I373" t="e">
        <f t="shared" ca="1" si="86"/>
        <v>#N/A</v>
      </c>
      <c r="J373" t="e">
        <f t="shared" ca="1" si="86"/>
        <v>#N/A</v>
      </c>
      <c r="K373" t="e">
        <f t="shared" ca="1" si="86"/>
        <v>#N/A</v>
      </c>
      <c r="L373" t="e">
        <f t="shared" ref="L373:R382" ca="1" si="87">VLOOKUP($A373,Funnel_Data,L$1,FALSE)</f>
        <v>#N/A</v>
      </c>
      <c r="M373" t="e">
        <f t="shared" ca="1" si="87"/>
        <v>#N/A</v>
      </c>
      <c r="N373" t="e">
        <f t="shared" ca="1" si="87"/>
        <v>#N/A</v>
      </c>
      <c r="O373" t="e">
        <f t="shared" ca="1" si="87"/>
        <v>#N/A</v>
      </c>
      <c r="P373" t="e">
        <f t="shared" ca="1" si="87"/>
        <v>#N/A</v>
      </c>
      <c r="Q373" t="e">
        <f t="shared" ca="1" si="87"/>
        <v>#N/A</v>
      </c>
      <c r="R373" t="e">
        <f t="shared" ca="1" si="87"/>
        <v>#N/A</v>
      </c>
      <c r="S373" t="e">
        <f t="shared" ca="1" si="76"/>
        <v>#N/A</v>
      </c>
      <c r="T373" t="e">
        <f t="shared" ca="1" si="77"/>
        <v>#N/A</v>
      </c>
      <c r="U373" t="e">
        <f ca="1">IF(AND($C373='Funnel setup'!$K$3&amp;'Funnel setup'!$K$6&amp;'Funnel setup'!$K$7&amp;'Funnel setup'!$K$4,'Funnel Lookup'!I373="*",'Funnel Lookup'!I373="*"),#N/A,IF(AND($C373='Funnel setup'!$K$3&amp;'Funnel setup'!$K$6&amp;'Funnel setup'!$K$7&amp;'Funnel setup'!$K$4,'Funnel Lookup'!I373&gt;29,'Funnel Lookup'!I373&lt;&gt;"-"),'Funnel Lookup'!I373,#N/A))</f>
        <v>#N/A</v>
      </c>
      <c r="V373" t="e">
        <f ca="1">IF(AND($C373='Funnel setup'!$K$3&amp;'Funnel setup'!$K$6&amp;'Funnel setup'!$K$7&amp;'Funnel setup'!$K$4,'Funnel Lookup'!I373="*",'Funnel Lookup'!I373="*"),#N/A,IF(AND($C373='Funnel setup'!$K$3&amp;'Funnel setup'!$K$6&amp;'Funnel setup'!$K$7&amp;'Funnel setup'!$K$4,'Funnel Lookup'!I373&gt;29,'Funnel Lookup'!I373&lt;&gt;"-"),'Funnel Lookup'!Q373,#N/A))</f>
        <v>#N/A</v>
      </c>
    </row>
    <row r="374" spans="1:22" x14ac:dyDescent="0.25">
      <c r="A374">
        <v>372</v>
      </c>
      <c r="B374" t="e">
        <f t="shared" ca="1" si="86"/>
        <v>#N/A</v>
      </c>
      <c r="C374" t="e">
        <f t="shared" ca="1" si="86"/>
        <v>#N/A</v>
      </c>
      <c r="D374" t="e">
        <f t="shared" ca="1" si="86"/>
        <v>#N/A</v>
      </c>
      <c r="E374" t="e">
        <f t="shared" ca="1" si="86"/>
        <v>#N/A</v>
      </c>
      <c r="F374" t="e">
        <f t="shared" ca="1" si="86"/>
        <v>#N/A</v>
      </c>
      <c r="G374" t="e">
        <f t="shared" ca="1" si="86"/>
        <v>#N/A</v>
      </c>
      <c r="H374" t="e">
        <f t="shared" ca="1" si="86"/>
        <v>#N/A</v>
      </c>
      <c r="I374" t="e">
        <f t="shared" ca="1" si="86"/>
        <v>#N/A</v>
      </c>
      <c r="J374" t="e">
        <f t="shared" ca="1" si="86"/>
        <v>#N/A</v>
      </c>
      <c r="K374" t="e">
        <f t="shared" ca="1" si="86"/>
        <v>#N/A</v>
      </c>
      <c r="L374" t="e">
        <f t="shared" ca="1" si="87"/>
        <v>#N/A</v>
      </c>
      <c r="M374" t="e">
        <f t="shared" ca="1" si="87"/>
        <v>#N/A</v>
      </c>
      <c r="N374" t="e">
        <f t="shared" ca="1" si="87"/>
        <v>#N/A</v>
      </c>
      <c r="O374" t="e">
        <f t="shared" ca="1" si="87"/>
        <v>#N/A</v>
      </c>
      <c r="P374" t="e">
        <f t="shared" ca="1" si="87"/>
        <v>#N/A</v>
      </c>
      <c r="Q374" t="e">
        <f t="shared" ca="1" si="87"/>
        <v>#N/A</v>
      </c>
      <c r="R374" t="e">
        <f t="shared" ca="1" si="87"/>
        <v>#N/A</v>
      </c>
      <c r="S374" t="e">
        <f t="shared" ca="1" si="76"/>
        <v>#N/A</v>
      </c>
      <c r="T374" t="e">
        <f t="shared" ca="1" si="77"/>
        <v>#N/A</v>
      </c>
      <c r="U374" t="e">
        <f ca="1">IF(AND($C374='Funnel setup'!$K$3&amp;'Funnel setup'!$K$6&amp;'Funnel setup'!$K$7&amp;'Funnel setup'!$K$4,'Funnel Lookup'!I374="*",'Funnel Lookup'!I374="*"),#N/A,IF(AND($C374='Funnel setup'!$K$3&amp;'Funnel setup'!$K$6&amp;'Funnel setup'!$K$7&amp;'Funnel setup'!$K$4,'Funnel Lookup'!I374&gt;29,'Funnel Lookup'!I374&lt;&gt;"-"),'Funnel Lookup'!I374,#N/A))</f>
        <v>#N/A</v>
      </c>
      <c r="V374" t="e">
        <f ca="1">IF(AND($C374='Funnel setup'!$K$3&amp;'Funnel setup'!$K$6&amp;'Funnel setup'!$K$7&amp;'Funnel setup'!$K$4,'Funnel Lookup'!I374="*",'Funnel Lookup'!I374="*"),#N/A,IF(AND($C374='Funnel setup'!$K$3&amp;'Funnel setup'!$K$6&amp;'Funnel setup'!$K$7&amp;'Funnel setup'!$K$4,'Funnel Lookup'!I374&gt;29,'Funnel Lookup'!I374&lt;&gt;"-"),'Funnel Lookup'!Q374,#N/A))</f>
        <v>#N/A</v>
      </c>
    </row>
    <row r="375" spans="1:22" x14ac:dyDescent="0.25">
      <c r="A375">
        <v>373</v>
      </c>
      <c r="B375" t="e">
        <f t="shared" ca="1" si="86"/>
        <v>#N/A</v>
      </c>
      <c r="C375" t="e">
        <f t="shared" ca="1" si="86"/>
        <v>#N/A</v>
      </c>
      <c r="D375" t="e">
        <f t="shared" ca="1" si="86"/>
        <v>#N/A</v>
      </c>
      <c r="E375" t="e">
        <f t="shared" ca="1" si="86"/>
        <v>#N/A</v>
      </c>
      <c r="F375" t="e">
        <f t="shared" ca="1" si="86"/>
        <v>#N/A</v>
      </c>
      <c r="G375" t="e">
        <f t="shared" ca="1" si="86"/>
        <v>#N/A</v>
      </c>
      <c r="H375" t="e">
        <f t="shared" ca="1" si="86"/>
        <v>#N/A</v>
      </c>
      <c r="I375" t="e">
        <f t="shared" ca="1" si="86"/>
        <v>#N/A</v>
      </c>
      <c r="J375" t="e">
        <f t="shared" ca="1" si="86"/>
        <v>#N/A</v>
      </c>
      <c r="K375" t="e">
        <f t="shared" ca="1" si="86"/>
        <v>#N/A</v>
      </c>
      <c r="L375" t="e">
        <f t="shared" ca="1" si="87"/>
        <v>#N/A</v>
      </c>
      <c r="M375" t="e">
        <f t="shared" ca="1" si="87"/>
        <v>#N/A</v>
      </c>
      <c r="N375" t="e">
        <f t="shared" ca="1" si="87"/>
        <v>#N/A</v>
      </c>
      <c r="O375" t="e">
        <f t="shared" ca="1" si="87"/>
        <v>#N/A</v>
      </c>
      <c r="P375" t="e">
        <f t="shared" ca="1" si="87"/>
        <v>#N/A</v>
      </c>
      <c r="Q375" t="e">
        <f t="shared" ca="1" si="87"/>
        <v>#N/A</v>
      </c>
      <c r="R375" t="e">
        <f t="shared" ca="1" si="87"/>
        <v>#N/A</v>
      </c>
      <c r="S375" t="e">
        <f t="shared" ca="1" si="76"/>
        <v>#N/A</v>
      </c>
      <c r="T375" t="e">
        <f t="shared" ca="1" si="77"/>
        <v>#N/A</v>
      </c>
      <c r="U375" t="e">
        <f ca="1">IF(AND($C375='Funnel setup'!$K$3&amp;'Funnel setup'!$K$6&amp;'Funnel setup'!$K$7&amp;'Funnel setup'!$K$4,'Funnel Lookup'!I375="*",'Funnel Lookup'!I375="*"),#N/A,IF(AND($C375='Funnel setup'!$K$3&amp;'Funnel setup'!$K$6&amp;'Funnel setup'!$K$7&amp;'Funnel setup'!$K$4,'Funnel Lookup'!I375&gt;29,'Funnel Lookup'!I375&lt;&gt;"-"),'Funnel Lookup'!I375,#N/A))</f>
        <v>#N/A</v>
      </c>
      <c r="V375" t="e">
        <f ca="1">IF(AND($C375='Funnel setup'!$K$3&amp;'Funnel setup'!$K$6&amp;'Funnel setup'!$K$7&amp;'Funnel setup'!$K$4,'Funnel Lookup'!I375="*",'Funnel Lookup'!I375="*"),#N/A,IF(AND($C375='Funnel setup'!$K$3&amp;'Funnel setup'!$K$6&amp;'Funnel setup'!$K$7&amp;'Funnel setup'!$K$4,'Funnel Lookup'!I375&gt;29,'Funnel Lookup'!I375&lt;&gt;"-"),'Funnel Lookup'!Q375,#N/A))</f>
        <v>#N/A</v>
      </c>
    </row>
    <row r="376" spans="1:22" x14ac:dyDescent="0.25">
      <c r="A376">
        <v>374</v>
      </c>
      <c r="B376" t="e">
        <f t="shared" ca="1" si="86"/>
        <v>#N/A</v>
      </c>
      <c r="C376" t="e">
        <f t="shared" ca="1" si="86"/>
        <v>#N/A</v>
      </c>
      <c r="D376" t="e">
        <f t="shared" ca="1" si="86"/>
        <v>#N/A</v>
      </c>
      <c r="E376" t="e">
        <f t="shared" ca="1" si="86"/>
        <v>#N/A</v>
      </c>
      <c r="F376" t="e">
        <f t="shared" ca="1" si="86"/>
        <v>#N/A</v>
      </c>
      <c r="G376" t="e">
        <f t="shared" ca="1" si="86"/>
        <v>#N/A</v>
      </c>
      <c r="H376" t="e">
        <f t="shared" ca="1" si="86"/>
        <v>#N/A</v>
      </c>
      <c r="I376" t="e">
        <f t="shared" ca="1" si="86"/>
        <v>#N/A</v>
      </c>
      <c r="J376" t="e">
        <f t="shared" ca="1" si="86"/>
        <v>#N/A</v>
      </c>
      <c r="K376" t="e">
        <f t="shared" ca="1" si="86"/>
        <v>#N/A</v>
      </c>
      <c r="L376" t="e">
        <f t="shared" ca="1" si="87"/>
        <v>#N/A</v>
      </c>
      <c r="M376" t="e">
        <f t="shared" ca="1" si="87"/>
        <v>#N/A</v>
      </c>
      <c r="N376" t="e">
        <f t="shared" ca="1" si="87"/>
        <v>#N/A</v>
      </c>
      <c r="O376" t="e">
        <f t="shared" ca="1" si="87"/>
        <v>#N/A</v>
      </c>
      <c r="P376" t="e">
        <f t="shared" ca="1" si="87"/>
        <v>#N/A</v>
      </c>
      <c r="Q376" t="e">
        <f t="shared" ca="1" si="87"/>
        <v>#N/A</v>
      </c>
      <c r="R376" t="e">
        <f t="shared" ca="1" si="87"/>
        <v>#N/A</v>
      </c>
      <c r="S376" t="e">
        <f t="shared" ca="1" si="76"/>
        <v>#N/A</v>
      </c>
      <c r="T376" t="e">
        <f t="shared" ca="1" si="77"/>
        <v>#N/A</v>
      </c>
      <c r="U376" t="e">
        <f ca="1">IF(AND($C376='Funnel setup'!$K$3&amp;'Funnel setup'!$K$6&amp;'Funnel setup'!$K$7&amp;'Funnel setup'!$K$4,'Funnel Lookup'!I376="*",'Funnel Lookup'!I376="*"),#N/A,IF(AND($C376='Funnel setup'!$K$3&amp;'Funnel setup'!$K$6&amp;'Funnel setup'!$K$7&amp;'Funnel setup'!$K$4,'Funnel Lookup'!I376&gt;29,'Funnel Lookup'!I376&lt;&gt;"-"),'Funnel Lookup'!I376,#N/A))</f>
        <v>#N/A</v>
      </c>
      <c r="V376" t="e">
        <f ca="1">IF(AND($C376='Funnel setup'!$K$3&amp;'Funnel setup'!$K$6&amp;'Funnel setup'!$K$7&amp;'Funnel setup'!$K$4,'Funnel Lookup'!I376="*",'Funnel Lookup'!I376="*"),#N/A,IF(AND($C376='Funnel setup'!$K$3&amp;'Funnel setup'!$K$6&amp;'Funnel setup'!$K$7&amp;'Funnel setup'!$K$4,'Funnel Lookup'!I376&gt;29,'Funnel Lookup'!I376&lt;&gt;"-"),'Funnel Lookup'!Q376,#N/A))</f>
        <v>#N/A</v>
      </c>
    </row>
    <row r="377" spans="1:22" x14ac:dyDescent="0.25">
      <c r="A377">
        <v>375</v>
      </c>
      <c r="B377" t="e">
        <f t="shared" ca="1" si="86"/>
        <v>#N/A</v>
      </c>
      <c r="C377" t="e">
        <f t="shared" ca="1" si="86"/>
        <v>#N/A</v>
      </c>
      <c r="D377" t="e">
        <f t="shared" ca="1" si="86"/>
        <v>#N/A</v>
      </c>
      <c r="E377" t="e">
        <f t="shared" ca="1" si="86"/>
        <v>#N/A</v>
      </c>
      <c r="F377" t="e">
        <f t="shared" ca="1" si="86"/>
        <v>#N/A</v>
      </c>
      <c r="G377" t="e">
        <f t="shared" ca="1" si="86"/>
        <v>#N/A</v>
      </c>
      <c r="H377" t="e">
        <f t="shared" ca="1" si="86"/>
        <v>#N/A</v>
      </c>
      <c r="I377" t="e">
        <f t="shared" ca="1" si="86"/>
        <v>#N/A</v>
      </c>
      <c r="J377" t="e">
        <f t="shared" ca="1" si="86"/>
        <v>#N/A</v>
      </c>
      <c r="K377" t="e">
        <f t="shared" ca="1" si="86"/>
        <v>#N/A</v>
      </c>
      <c r="L377" t="e">
        <f t="shared" ca="1" si="87"/>
        <v>#N/A</v>
      </c>
      <c r="M377" t="e">
        <f t="shared" ca="1" si="87"/>
        <v>#N/A</v>
      </c>
      <c r="N377" t="e">
        <f t="shared" ca="1" si="87"/>
        <v>#N/A</v>
      </c>
      <c r="O377" t="e">
        <f t="shared" ca="1" si="87"/>
        <v>#N/A</v>
      </c>
      <c r="P377" t="e">
        <f t="shared" ca="1" si="87"/>
        <v>#N/A</v>
      </c>
      <c r="Q377" t="e">
        <f t="shared" ca="1" si="87"/>
        <v>#N/A</v>
      </c>
      <c r="R377" t="e">
        <f t="shared" ca="1" si="87"/>
        <v>#N/A</v>
      </c>
      <c r="S377" t="e">
        <f t="shared" ca="1" si="76"/>
        <v>#N/A</v>
      </c>
      <c r="T377" t="e">
        <f t="shared" ca="1" si="77"/>
        <v>#N/A</v>
      </c>
      <c r="U377" t="e">
        <f ca="1">IF(AND($C377='Funnel setup'!$K$3&amp;'Funnel setup'!$K$6&amp;'Funnel setup'!$K$7&amp;'Funnel setup'!$K$4,'Funnel Lookup'!I377="*",'Funnel Lookup'!I377="*"),#N/A,IF(AND($C377='Funnel setup'!$K$3&amp;'Funnel setup'!$K$6&amp;'Funnel setup'!$K$7&amp;'Funnel setup'!$K$4,'Funnel Lookup'!I377&gt;29,'Funnel Lookup'!I377&lt;&gt;"-"),'Funnel Lookup'!I377,#N/A))</f>
        <v>#N/A</v>
      </c>
      <c r="V377" t="e">
        <f ca="1">IF(AND($C377='Funnel setup'!$K$3&amp;'Funnel setup'!$K$6&amp;'Funnel setup'!$K$7&amp;'Funnel setup'!$K$4,'Funnel Lookup'!I377="*",'Funnel Lookup'!I377="*"),#N/A,IF(AND($C377='Funnel setup'!$K$3&amp;'Funnel setup'!$K$6&amp;'Funnel setup'!$K$7&amp;'Funnel setup'!$K$4,'Funnel Lookup'!I377&gt;29,'Funnel Lookup'!I377&lt;&gt;"-"),'Funnel Lookup'!Q377,#N/A))</f>
        <v>#N/A</v>
      </c>
    </row>
    <row r="378" spans="1:22" x14ac:dyDescent="0.25">
      <c r="A378">
        <v>376</v>
      </c>
      <c r="B378" t="e">
        <f t="shared" ca="1" si="86"/>
        <v>#N/A</v>
      </c>
      <c r="C378" t="e">
        <f t="shared" ca="1" si="86"/>
        <v>#N/A</v>
      </c>
      <c r="D378" t="e">
        <f t="shared" ca="1" si="86"/>
        <v>#N/A</v>
      </c>
      <c r="E378" t="e">
        <f t="shared" ca="1" si="86"/>
        <v>#N/A</v>
      </c>
      <c r="F378" t="e">
        <f t="shared" ca="1" si="86"/>
        <v>#N/A</v>
      </c>
      <c r="G378" t="e">
        <f t="shared" ca="1" si="86"/>
        <v>#N/A</v>
      </c>
      <c r="H378" t="e">
        <f t="shared" ca="1" si="86"/>
        <v>#N/A</v>
      </c>
      <c r="I378" t="e">
        <f t="shared" ca="1" si="86"/>
        <v>#N/A</v>
      </c>
      <c r="J378" t="e">
        <f t="shared" ca="1" si="86"/>
        <v>#N/A</v>
      </c>
      <c r="K378" t="e">
        <f t="shared" ca="1" si="86"/>
        <v>#N/A</v>
      </c>
      <c r="L378" t="e">
        <f t="shared" ca="1" si="87"/>
        <v>#N/A</v>
      </c>
      <c r="M378" t="e">
        <f t="shared" ca="1" si="87"/>
        <v>#N/A</v>
      </c>
      <c r="N378" t="e">
        <f t="shared" ca="1" si="87"/>
        <v>#N/A</v>
      </c>
      <c r="O378" t="e">
        <f t="shared" ca="1" si="87"/>
        <v>#N/A</v>
      </c>
      <c r="P378" t="e">
        <f t="shared" ca="1" si="87"/>
        <v>#N/A</v>
      </c>
      <c r="Q378" t="e">
        <f t="shared" ca="1" si="87"/>
        <v>#N/A</v>
      </c>
      <c r="R378" t="e">
        <f t="shared" ca="1" si="87"/>
        <v>#N/A</v>
      </c>
      <c r="S378" t="e">
        <f t="shared" ca="1" si="76"/>
        <v>#N/A</v>
      </c>
      <c r="T378" t="e">
        <f t="shared" ca="1" si="77"/>
        <v>#N/A</v>
      </c>
      <c r="U378" t="e">
        <f ca="1">IF(AND($C378='Funnel setup'!$K$3&amp;'Funnel setup'!$K$6&amp;'Funnel setup'!$K$7&amp;'Funnel setup'!$K$4,'Funnel Lookup'!I378="*",'Funnel Lookup'!I378="*"),#N/A,IF(AND($C378='Funnel setup'!$K$3&amp;'Funnel setup'!$K$6&amp;'Funnel setup'!$K$7&amp;'Funnel setup'!$K$4,'Funnel Lookup'!I378&gt;29,'Funnel Lookup'!I378&lt;&gt;"-"),'Funnel Lookup'!I378,#N/A))</f>
        <v>#N/A</v>
      </c>
      <c r="V378" t="e">
        <f ca="1">IF(AND($C378='Funnel setup'!$K$3&amp;'Funnel setup'!$K$6&amp;'Funnel setup'!$K$7&amp;'Funnel setup'!$K$4,'Funnel Lookup'!I378="*",'Funnel Lookup'!I378="*"),#N/A,IF(AND($C378='Funnel setup'!$K$3&amp;'Funnel setup'!$K$6&amp;'Funnel setup'!$K$7&amp;'Funnel setup'!$K$4,'Funnel Lookup'!I378&gt;29,'Funnel Lookup'!I378&lt;&gt;"-"),'Funnel Lookup'!Q378,#N/A))</f>
        <v>#N/A</v>
      </c>
    </row>
    <row r="379" spans="1:22" x14ac:dyDescent="0.25">
      <c r="A379">
        <v>377</v>
      </c>
      <c r="B379" t="e">
        <f t="shared" ca="1" si="86"/>
        <v>#N/A</v>
      </c>
      <c r="C379" t="e">
        <f t="shared" ca="1" si="86"/>
        <v>#N/A</v>
      </c>
      <c r="D379" t="e">
        <f t="shared" ca="1" si="86"/>
        <v>#N/A</v>
      </c>
      <c r="E379" t="e">
        <f t="shared" ca="1" si="86"/>
        <v>#N/A</v>
      </c>
      <c r="F379" t="e">
        <f t="shared" ca="1" si="86"/>
        <v>#N/A</v>
      </c>
      <c r="G379" t="e">
        <f t="shared" ca="1" si="86"/>
        <v>#N/A</v>
      </c>
      <c r="H379" t="e">
        <f t="shared" ca="1" si="86"/>
        <v>#N/A</v>
      </c>
      <c r="I379" t="e">
        <f t="shared" ca="1" si="86"/>
        <v>#N/A</v>
      </c>
      <c r="J379" t="e">
        <f t="shared" ca="1" si="86"/>
        <v>#N/A</v>
      </c>
      <c r="K379" t="e">
        <f t="shared" ca="1" si="86"/>
        <v>#N/A</v>
      </c>
      <c r="L379" t="e">
        <f t="shared" ca="1" si="87"/>
        <v>#N/A</v>
      </c>
      <c r="M379" t="e">
        <f t="shared" ca="1" si="87"/>
        <v>#N/A</v>
      </c>
      <c r="N379" t="e">
        <f t="shared" ca="1" si="87"/>
        <v>#N/A</v>
      </c>
      <c r="O379" t="e">
        <f t="shared" ca="1" si="87"/>
        <v>#N/A</v>
      </c>
      <c r="P379" t="e">
        <f t="shared" ca="1" si="87"/>
        <v>#N/A</v>
      </c>
      <c r="Q379" t="e">
        <f t="shared" ca="1" si="87"/>
        <v>#N/A</v>
      </c>
      <c r="R379" t="e">
        <f t="shared" ca="1" si="87"/>
        <v>#N/A</v>
      </c>
      <c r="S379" t="e">
        <f t="shared" ca="1" si="76"/>
        <v>#N/A</v>
      </c>
      <c r="T379" t="e">
        <f t="shared" ca="1" si="77"/>
        <v>#N/A</v>
      </c>
      <c r="U379" t="e">
        <f ca="1">IF(AND($C379='Funnel setup'!$K$3&amp;'Funnel setup'!$K$6&amp;'Funnel setup'!$K$7&amp;'Funnel setup'!$K$4,'Funnel Lookup'!I379="*",'Funnel Lookup'!I379="*"),#N/A,IF(AND($C379='Funnel setup'!$K$3&amp;'Funnel setup'!$K$6&amp;'Funnel setup'!$K$7&amp;'Funnel setup'!$K$4,'Funnel Lookup'!I379&gt;29,'Funnel Lookup'!I379&lt;&gt;"-"),'Funnel Lookup'!I379,#N/A))</f>
        <v>#N/A</v>
      </c>
      <c r="V379" t="e">
        <f ca="1">IF(AND($C379='Funnel setup'!$K$3&amp;'Funnel setup'!$K$6&amp;'Funnel setup'!$K$7&amp;'Funnel setup'!$K$4,'Funnel Lookup'!I379="*",'Funnel Lookup'!I379="*"),#N/A,IF(AND($C379='Funnel setup'!$K$3&amp;'Funnel setup'!$K$6&amp;'Funnel setup'!$K$7&amp;'Funnel setup'!$K$4,'Funnel Lookup'!I379&gt;29,'Funnel Lookup'!I379&lt;&gt;"-"),'Funnel Lookup'!Q379,#N/A))</f>
        <v>#N/A</v>
      </c>
    </row>
    <row r="380" spans="1:22" x14ac:dyDescent="0.25">
      <c r="A380">
        <v>378</v>
      </c>
      <c r="B380" t="e">
        <f t="shared" ca="1" si="86"/>
        <v>#N/A</v>
      </c>
      <c r="C380" t="e">
        <f t="shared" ca="1" si="86"/>
        <v>#N/A</v>
      </c>
      <c r="D380" t="e">
        <f t="shared" ca="1" si="86"/>
        <v>#N/A</v>
      </c>
      <c r="E380" t="e">
        <f t="shared" ca="1" si="86"/>
        <v>#N/A</v>
      </c>
      <c r="F380" t="e">
        <f t="shared" ca="1" si="86"/>
        <v>#N/A</v>
      </c>
      <c r="G380" t="e">
        <f t="shared" ca="1" si="86"/>
        <v>#N/A</v>
      </c>
      <c r="H380" t="e">
        <f t="shared" ca="1" si="86"/>
        <v>#N/A</v>
      </c>
      <c r="I380" t="e">
        <f t="shared" ca="1" si="86"/>
        <v>#N/A</v>
      </c>
      <c r="J380" t="e">
        <f t="shared" ca="1" si="86"/>
        <v>#N/A</v>
      </c>
      <c r="K380" t="e">
        <f t="shared" ca="1" si="86"/>
        <v>#N/A</v>
      </c>
      <c r="L380" t="e">
        <f t="shared" ca="1" si="87"/>
        <v>#N/A</v>
      </c>
      <c r="M380" t="e">
        <f t="shared" ca="1" si="87"/>
        <v>#N/A</v>
      </c>
      <c r="N380" t="e">
        <f t="shared" ca="1" si="87"/>
        <v>#N/A</v>
      </c>
      <c r="O380" t="e">
        <f t="shared" ca="1" si="87"/>
        <v>#N/A</v>
      </c>
      <c r="P380" t="e">
        <f t="shared" ca="1" si="87"/>
        <v>#N/A</v>
      </c>
      <c r="Q380" t="e">
        <f t="shared" ca="1" si="87"/>
        <v>#N/A</v>
      </c>
      <c r="R380" t="e">
        <f t="shared" ca="1" si="87"/>
        <v>#N/A</v>
      </c>
      <c r="S380" t="e">
        <f t="shared" ca="1" si="76"/>
        <v>#N/A</v>
      </c>
      <c r="T380" t="e">
        <f t="shared" ca="1" si="77"/>
        <v>#N/A</v>
      </c>
      <c r="U380" t="e">
        <f ca="1">IF(AND($C380='Funnel setup'!$K$3&amp;'Funnel setup'!$K$6&amp;'Funnel setup'!$K$7&amp;'Funnel setup'!$K$4,'Funnel Lookup'!I380="*",'Funnel Lookup'!I380="*"),#N/A,IF(AND($C380='Funnel setup'!$K$3&amp;'Funnel setup'!$K$6&amp;'Funnel setup'!$K$7&amp;'Funnel setup'!$K$4,'Funnel Lookup'!I380&gt;29,'Funnel Lookup'!I380&lt;&gt;"-"),'Funnel Lookup'!I380,#N/A))</f>
        <v>#N/A</v>
      </c>
      <c r="V380" t="e">
        <f ca="1">IF(AND($C380='Funnel setup'!$K$3&amp;'Funnel setup'!$K$6&amp;'Funnel setup'!$K$7&amp;'Funnel setup'!$K$4,'Funnel Lookup'!I380="*",'Funnel Lookup'!I380="*"),#N/A,IF(AND($C380='Funnel setup'!$K$3&amp;'Funnel setup'!$K$6&amp;'Funnel setup'!$K$7&amp;'Funnel setup'!$K$4,'Funnel Lookup'!I380&gt;29,'Funnel Lookup'!I380&lt;&gt;"-"),'Funnel Lookup'!Q380,#N/A))</f>
        <v>#N/A</v>
      </c>
    </row>
    <row r="381" spans="1:22" x14ac:dyDescent="0.25">
      <c r="A381">
        <v>379</v>
      </c>
      <c r="B381" t="e">
        <f t="shared" ca="1" si="86"/>
        <v>#N/A</v>
      </c>
      <c r="C381" t="e">
        <f t="shared" ca="1" si="86"/>
        <v>#N/A</v>
      </c>
      <c r="D381" t="e">
        <f t="shared" ca="1" si="86"/>
        <v>#N/A</v>
      </c>
      <c r="E381" t="e">
        <f t="shared" ca="1" si="86"/>
        <v>#N/A</v>
      </c>
      <c r="F381" t="e">
        <f t="shared" ca="1" si="86"/>
        <v>#N/A</v>
      </c>
      <c r="G381" t="e">
        <f t="shared" ca="1" si="86"/>
        <v>#N/A</v>
      </c>
      <c r="H381" t="e">
        <f t="shared" ca="1" si="86"/>
        <v>#N/A</v>
      </c>
      <c r="I381" t="e">
        <f t="shared" ca="1" si="86"/>
        <v>#N/A</v>
      </c>
      <c r="J381" t="e">
        <f t="shared" ca="1" si="86"/>
        <v>#N/A</v>
      </c>
      <c r="K381" t="e">
        <f t="shared" ca="1" si="86"/>
        <v>#N/A</v>
      </c>
      <c r="L381" t="e">
        <f t="shared" ca="1" si="87"/>
        <v>#N/A</v>
      </c>
      <c r="M381" t="e">
        <f t="shared" ca="1" si="87"/>
        <v>#N/A</v>
      </c>
      <c r="N381" t="e">
        <f t="shared" ca="1" si="87"/>
        <v>#N/A</v>
      </c>
      <c r="O381" t="e">
        <f t="shared" ca="1" si="87"/>
        <v>#N/A</v>
      </c>
      <c r="P381" t="e">
        <f t="shared" ca="1" si="87"/>
        <v>#N/A</v>
      </c>
      <c r="Q381" t="e">
        <f t="shared" ca="1" si="87"/>
        <v>#N/A</v>
      </c>
      <c r="R381" t="e">
        <f t="shared" ca="1" si="87"/>
        <v>#N/A</v>
      </c>
      <c r="S381" t="e">
        <f t="shared" ca="1" si="76"/>
        <v>#N/A</v>
      </c>
      <c r="T381" t="e">
        <f t="shared" ca="1" si="77"/>
        <v>#N/A</v>
      </c>
      <c r="U381" t="e">
        <f ca="1">IF(AND($C381='Funnel setup'!$K$3&amp;'Funnel setup'!$K$6&amp;'Funnel setup'!$K$7&amp;'Funnel setup'!$K$4,'Funnel Lookup'!I381="*",'Funnel Lookup'!I381="*"),#N/A,IF(AND($C381='Funnel setup'!$K$3&amp;'Funnel setup'!$K$6&amp;'Funnel setup'!$K$7&amp;'Funnel setup'!$K$4,'Funnel Lookup'!I381&gt;29,'Funnel Lookup'!I381&lt;&gt;"-"),'Funnel Lookup'!I381,#N/A))</f>
        <v>#N/A</v>
      </c>
      <c r="V381" t="e">
        <f ca="1">IF(AND($C381='Funnel setup'!$K$3&amp;'Funnel setup'!$K$6&amp;'Funnel setup'!$K$7&amp;'Funnel setup'!$K$4,'Funnel Lookup'!I381="*",'Funnel Lookup'!I381="*"),#N/A,IF(AND($C381='Funnel setup'!$K$3&amp;'Funnel setup'!$K$6&amp;'Funnel setup'!$K$7&amp;'Funnel setup'!$K$4,'Funnel Lookup'!I381&gt;29,'Funnel Lookup'!I381&lt;&gt;"-"),'Funnel Lookup'!Q381,#N/A))</f>
        <v>#N/A</v>
      </c>
    </row>
    <row r="382" spans="1:22" x14ac:dyDescent="0.25">
      <c r="A382">
        <v>380</v>
      </c>
      <c r="B382" t="e">
        <f t="shared" ca="1" si="86"/>
        <v>#N/A</v>
      </c>
      <c r="C382" t="e">
        <f t="shared" ca="1" si="86"/>
        <v>#N/A</v>
      </c>
      <c r="D382" t="e">
        <f t="shared" ca="1" si="86"/>
        <v>#N/A</v>
      </c>
      <c r="E382" t="e">
        <f t="shared" ca="1" si="86"/>
        <v>#N/A</v>
      </c>
      <c r="F382" t="e">
        <f t="shared" ca="1" si="86"/>
        <v>#N/A</v>
      </c>
      <c r="G382" t="e">
        <f t="shared" ca="1" si="86"/>
        <v>#N/A</v>
      </c>
      <c r="H382" t="e">
        <f t="shared" ca="1" si="86"/>
        <v>#N/A</v>
      </c>
      <c r="I382" t="e">
        <f t="shared" ca="1" si="86"/>
        <v>#N/A</v>
      </c>
      <c r="J382" t="e">
        <f t="shared" ca="1" si="86"/>
        <v>#N/A</v>
      </c>
      <c r="K382" t="e">
        <f t="shared" ca="1" si="86"/>
        <v>#N/A</v>
      </c>
      <c r="L382" t="e">
        <f t="shared" ca="1" si="87"/>
        <v>#N/A</v>
      </c>
      <c r="M382" t="e">
        <f t="shared" ca="1" si="87"/>
        <v>#N/A</v>
      </c>
      <c r="N382" t="e">
        <f t="shared" ca="1" si="87"/>
        <v>#N/A</v>
      </c>
      <c r="O382" t="e">
        <f t="shared" ca="1" si="87"/>
        <v>#N/A</v>
      </c>
      <c r="P382" t="e">
        <f t="shared" ca="1" si="87"/>
        <v>#N/A</v>
      </c>
      <c r="Q382" t="e">
        <f t="shared" ca="1" si="87"/>
        <v>#N/A</v>
      </c>
      <c r="R382" t="e">
        <f t="shared" ca="1" si="87"/>
        <v>#N/A</v>
      </c>
      <c r="S382" t="e">
        <f t="shared" ca="1" si="76"/>
        <v>#N/A</v>
      </c>
      <c r="T382" t="e">
        <f t="shared" ca="1" si="77"/>
        <v>#N/A</v>
      </c>
      <c r="U382" t="e">
        <f ca="1">IF(AND($C382='Funnel setup'!$K$3&amp;'Funnel setup'!$K$6&amp;'Funnel setup'!$K$7&amp;'Funnel setup'!$K$4,'Funnel Lookup'!I382="*",'Funnel Lookup'!I382="*"),#N/A,IF(AND($C382='Funnel setup'!$K$3&amp;'Funnel setup'!$K$6&amp;'Funnel setup'!$K$7&amp;'Funnel setup'!$K$4,'Funnel Lookup'!I382&gt;29,'Funnel Lookup'!I382&lt;&gt;"-"),'Funnel Lookup'!I382,#N/A))</f>
        <v>#N/A</v>
      </c>
      <c r="V382" t="e">
        <f ca="1">IF(AND($C382='Funnel setup'!$K$3&amp;'Funnel setup'!$K$6&amp;'Funnel setup'!$K$7&amp;'Funnel setup'!$K$4,'Funnel Lookup'!I382="*",'Funnel Lookup'!I382="*"),#N/A,IF(AND($C382='Funnel setup'!$K$3&amp;'Funnel setup'!$K$6&amp;'Funnel setup'!$K$7&amp;'Funnel setup'!$K$4,'Funnel Lookup'!I382&gt;29,'Funnel Lookup'!I382&lt;&gt;"-"),'Funnel Lookup'!Q382,#N/A))</f>
        <v>#N/A</v>
      </c>
    </row>
    <row r="383" spans="1:22" x14ac:dyDescent="0.25">
      <c r="A383">
        <v>381</v>
      </c>
      <c r="B383" t="e">
        <f t="shared" ref="B383:K392" ca="1" si="88">VLOOKUP($A383,Funnel_Data,B$1,FALSE)</f>
        <v>#N/A</v>
      </c>
      <c r="C383" t="e">
        <f t="shared" ca="1" si="88"/>
        <v>#N/A</v>
      </c>
      <c r="D383" t="e">
        <f t="shared" ca="1" si="88"/>
        <v>#N/A</v>
      </c>
      <c r="E383" t="e">
        <f t="shared" ca="1" si="88"/>
        <v>#N/A</v>
      </c>
      <c r="F383" t="e">
        <f t="shared" ca="1" si="88"/>
        <v>#N/A</v>
      </c>
      <c r="G383" t="e">
        <f t="shared" ca="1" si="88"/>
        <v>#N/A</v>
      </c>
      <c r="H383" t="e">
        <f t="shared" ca="1" si="88"/>
        <v>#N/A</v>
      </c>
      <c r="I383" t="e">
        <f t="shared" ca="1" si="88"/>
        <v>#N/A</v>
      </c>
      <c r="J383" t="e">
        <f t="shared" ca="1" si="88"/>
        <v>#N/A</v>
      </c>
      <c r="K383" t="e">
        <f t="shared" ca="1" si="88"/>
        <v>#N/A</v>
      </c>
      <c r="L383" t="e">
        <f t="shared" ref="L383:R392" ca="1" si="89">VLOOKUP($A383,Funnel_Data,L$1,FALSE)</f>
        <v>#N/A</v>
      </c>
      <c r="M383" t="e">
        <f t="shared" ca="1" si="89"/>
        <v>#N/A</v>
      </c>
      <c r="N383" t="e">
        <f t="shared" ca="1" si="89"/>
        <v>#N/A</v>
      </c>
      <c r="O383" t="e">
        <f t="shared" ca="1" si="89"/>
        <v>#N/A</v>
      </c>
      <c r="P383" t="e">
        <f t="shared" ca="1" si="89"/>
        <v>#N/A</v>
      </c>
      <c r="Q383" t="e">
        <f t="shared" ca="1" si="89"/>
        <v>#N/A</v>
      </c>
      <c r="R383" t="e">
        <f t="shared" ca="1" si="89"/>
        <v>#N/A</v>
      </c>
      <c r="S383" t="e">
        <f t="shared" ca="1" si="76"/>
        <v>#N/A</v>
      </c>
      <c r="T383" t="e">
        <f t="shared" ca="1" si="77"/>
        <v>#N/A</v>
      </c>
      <c r="U383" t="e">
        <f ca="1">IF(AND($C383='Funnel setup'!$K$3&amp;'Funnel setup'!$K$6&amp;'Funnel setup'!$K$7&amp;'Funnel setup'!$K$4,'Funnel Lookup'!I383="*",'Funnel Lookup'!I383="*"),#N/A,IF(AND($C383='Funnel setup'!$K$3&amp;'Funnel setup'!$K$6&amp;'Funnel setup'!$K$7&amp;'Funnel setup'!$K$4,'Funnel Lookup'!I383&gt;29,'Funnel Lookup'!I383&lt;&gt;"-"),'Funnel Lookup'!I383,#N/A))</f>
        <v>#N/A</v>
      </c>
      <c r="V383" t="e">
        <f ca="1">IF(AND($C383='Funnel setup'!$K$3&amp;'Funnel setup'!$K$6&amp;'Funnel setup'!$K$7&amp;'Funnel setup'!$K$4,'Funnel Lookup'!I383="*",'Funnel Lookup'!I383="*"),#N/A,IF(AND($C383='Funnel setup'!$K$3&amp;'Funnel setup'!$K$6&amp;'Funnel setup'!$K$7&amp;'Funnel setup'!$K$4,'Funnel Lookup'!I383&gt;29,'Funnel Lookup'!I383&lt;&gt;"-"),'Funnel Lookup'!Q383,#N/A))</f>
        <v>#N/A</v>
      </c>
    </row>
    <row r="384" spans="1:22" x14ac:dyDescent="0.25">
      <c r="A384">
        <v>382</v>
      </c>
      <c r="B384" t="e">
        <f t="shared" ca="1" si="88"/>
        <v>#N/A</v>
      </c>
      <c r="C384" t="e">
        <f t="shared" ca="1" si="88"/>
        <v>#N/A</v>
      </c>
      <c r="D384" t="e">
        <f t="shared" ca="1" si="88"/>
        <v>#N/A</v>
      </c>
      <c r="E384" t="e">
        <f t="shared" ca="1" si="88"/>
        <v>#N/A</v>
      </c>
      <c r="F384" t="e">
        <f t="shared" ca="1" si="88"/>
        <v>#N/A</v>
      </c>
      <c r="G384" t="e">
        <f t="shared" ca="1" si="88"/>
        <v>#N/A</v>
      </c>
      <c r="H384" t="e">
        <f t="shared" ca="1" si="88"/>
        <v>#N/A</v>
      </c>
      <c r="I384" t="e">
        <f t="shared" ca="1" si="88"/>
        <v>#N/A</v>
      </c>
      <c r="J384" t="e">
        <f t="shared" ca="1" si="88"/>
        <v>#N/A</v>
      </c>
      <c r="K384" t="e">
        <f t="shared" ca="1" si="88"/>
        <v>#N/A</v>
      </c>
      <c r="L384" t="e">
        <f t="shared" ca="1" si="89"/>
        <v>#N/A</v>
      </c>
      <c r="M384" t="e">
        <f t="shared" ca="1" si="89"/>
        <v>#N/A</v>
      </c>
      <c r="N384" t="e">
        <f t="shared" ca="1" si="89"/>
        <v>#N/A</v>
      </c>
      <c r="O384" t="e">
        <f t="shared" ca="1" si="89"/>
        <v>#N/A</v>
      </c>
      <c r="P384" t="e">
        <f t="shared" ca="1" si="89"/>
        <v>#N/A</v>
      </c>
      <c r="Q384" t="e">
        <f t="shared" ca="1" si="89"/>
        <v>#N/A</v>
      </c>
      <c r="R384" t="e">
        <f t="shared" ca="1" si="89"/>
        <v>#N/A</v>
      </c>
      <c r="S384" t="e">
        <f t="shared" ca="1" si="76"/>
        <v>#N/A</v>
      </c>
      <c r="T384" t="e">
        <f t="shared" ca="1" si="77"/>
        <v>#N/A</v>
      </c>
      <c r="U384" t="e">
        <f ca="1">IF(AND($C384='Funnel setup'!$K$3&amp;'Funnel setup'!$K$6&amp;'Funnel setup'!$K$7&amp;'Funnel setup'!$K$4,'Funnel Lookup'!I384="*",'Funnel Lookup'!I384="*"),#N/A,IF(AND($C384='Funnel setup'!$K$3&amp;'Funnel setup'!$K$6&amp;'Funnel setup'!$K$7&amp;'Funnel setup'!$K$4,'Funnel Lookup'!I384&gt;29,'Funnel Lookup'!I384&lt;&gt;"-"),'Funnel Lookup'!I384,#N/A))</f>
        <v>#N/A</v>
      </c>
      <c r="V384" t="e">
        <f ca="1">IF(AND($C384='Funnel setup'!$K$3&amp;'Funnel setup'!$K$6&amp;'Funnel setup'!$K$7&amp;'Funnel setup'!$K$4,'Funnel Lookup'!I384="*",'Funnel Lookup'!I384="*"),#N/A,IF(AND($C384='Funnel setup'!$K$3&amp;'Funnel setup'!$K$6&amp;'Funnel setup'!$K$7&amp;'Funnel setup'!$K$4,'Funnel Lookup'!I384&gt;29,'Funnel Lookup'!I384&lt;&gt;"-"),'Funnel Lookup'!Q384,#N/A))</f>
        <v>#N/A</v>
      </c>
    </row>
    <row r="385" spans="1:22" x14ac:dyDescent="0.25">
      <c r="A385">
        <v>383</v>
      </c>
      <c r="B385" t="e">
        <f t="shared" ca="1" si="88"/>
        <v>#N/A</v>
      </c>
      <c r="C385" t="e">
        <f t="shared" ca="1" si="88"/>
        <v>#N/A</v>
      </c>
      <c r="D385" t="e">
        <f t="shared" ca="1" si="88"/>
        <v>#N/A</v>
      </c>
      <c r="E385" t="e">
        <f t="shared" ca="1" si="88"/>
        <v>#N/A</v>
      </c>
      <c r="F385" t="e">
        <f t="shared" ca="1" si="88"/>
        <v>#N/A</v>
      </c>
      <c r="G385" t="e">
        <f t="shared" ca="1" si="88"/>
        <v>#N/A</v>
      </c>
      <c r="H385" t="e">
        <f t="shared" ca="1" si="88"/>
        <v>#N/A</v>
      </c>
      <c r="I385" t="e">
        <f t="shared" ca="1" si="88"/>
        <v>#N/A</v>
      </c>
      <c r="J385" t="e">
        <f t="shared" ca="1" si="88"/>
        <v>#N/A</v>
      </c>
      <c r="K385" t="e">
        <f t="shared" ca="1" si="88"/>
        <v>#N/A</v>
      </c>
      <c r="L385" t="e">
        <f t="shared" ca="1" si="89"/>
        <v>#N/A</v>
      </c>
      <c r="M385" t="e">
        <f t="shared" ca="1" si="89"/>
        <v>#N/A</v>
      </c>
      <c r="N385" t="e">
        <f t="shared" ca="1" si="89"/>
        <v>#N/A</v>
      </c>
      <c r="O385" t="e">
        <f t="shared" ca="1" si="89"/>
        <v>#N/A</v>
      </c>
      <c r="P385" t="e">
        <f t="shared" ca="1" si="89"/>
        <v>#N/A</v>
      </c>
      <c r="Q385" t="e">
        <f t="shared" ca="1" si="89"/>
        <v>#N/A</v>
      </c>
      <c r="R385" t="e">
        <f t="shared" ca="1" si="89"/>
        <v>#N/A</v>
      </c>
      <c r="S385" t="e">
        <f t="shared" ca="1" si="76"/>
        <v>#N/A</v>
      </c>
      <c r="T385" t="e">
        <f t="shared" ca="1" si="77"/>
        <v>#N/A</v>
      </c>
      <c r="U385" t="e">
        <f ca="1">IF(AND($C385='Funnel setup'!$K$3&amp;'Funnel setup'!$K$6&amp;'Funnel setup'!$K$7&amp;'Funnel setup'!$K$4,'Funnel Lookup'!I385="*",'Funnel Lookup'!I385="*"),#N/A,IF(AND($C385='Funnel setup'!$K$3&amp;'Funnel setup'!$K$6&amp;'Funnel setup'!$K$7&amp;'Funnel setup'!$K$4,'Funnel Lookup'!I385&gt;29,'Funnel Lookup'!I385&lt;&gt;"-"),'Funnel Lookup'!I385,#N/A))</f>
        <v>#N/A</v>
      </c>
      <c r="V385" t="e">
        <f ca="1">IF(AND($C385='Funnel setup'!$K$3&amp;'Funnel setup'!$K$6&amp;'Funnel setup'!$K$7&amp;'Funnel setup'!$K$4,'Funnel Lookup'!I385="*",'Funnel Lookup'!I385="*"),#N/A,IF(AND($C385='Funnel setup'!$K$3&amp;'Funnel setup'!$K$6&amp;'Funnel setup'!$K$7&amp;'Funnel setup'!$K$4,'Funnel Lookup'!I385&gt;29,'Funnel Lookup'!I385&lt;&gt;"-"),'Funnel Lookup'!Q385,#N/A))</f>
        <v>#N/A</v>
      </c>
    </row>
    <row r="386" spans="1:22" x14ac:dyDescent="0.25">
      <c r="A386">
        <v>384</v>
      </c>
      <c r="B386" t="e">
        <f t="shared" ca="1" si="88"/>
        <v>#N/A</v>
      </c>
      <c r="C386" t="e">
        <f t="shared" ca="1" si="88"/>
        <v>#N/A</v>
      </c>
      <c r="D386" t="e">
        <f t="shared" ca="1" si="88"/>
        <v>#N/A</v>
      </c>
      <c r="E386" t="e">
        <f t="shared" ca="1" si="88"/>
        <v>#N/A</v>
      </c>
      <c r="F386" t="e">
        <f t="shared" ca="1" si="88"/>
        <v>#N/A</v>
      </c>
      <c r="G386" t="e">
        <f t="shared" ca="1" si="88"/>
        <v>#N/A</v>
      </c>
      <c r="H386" t="e">
        <f t="shared" ca="1" si="88"/>
        <v>#N/A</v>
      </c>
      <c r="I386" t="e">
        <f t="shared" ca="1" si="88"/>
        <v>#N/A</v>
      </c>
      <c r="J386" t="e">
        <f t="shared" ca="1" si="88"/>
        <v>#N/A</v>
      </c>
      <c r="K386" t="e">
        <f t="shared" ca="1" si="88"/>
        <v>#N/A</v>
      </c>
      <c r="L386" t="e">
        <f t="shared" ca="1" si="89"/>
        <v>#N/A</v>
      </c>
      <c r="M386" t="e">
        <f t="shared" ca="1" si="89"/>
        <v>#N/A</v>
      </c>
      <c r="N386" t="e">
        <f t="shared" ca="1" si="89"/>
        <v>#N/A</v>
      </c>
      <c r="O386" t="e">
        <f t="shared" ca="1" si="89"/>
        <v>#N/A</v>
      </c>
      <c r="P386" t="e">
        <f t="shared" ca="1" si="89"/>
        <v>#N/A</v>
      </c>
      <c r="Q386" t="e">
        <f t="shared" ca="1" si="89"/>
        <v>#N/A</v>
      </c>
      <c r="R386" t="e">
        <f t="shared" ca="1" si="89"/>
        <v>#N/A</v>
      </c>
      <c r="S386" t="e">
        <f t="shared" ca="1" si="76"/>
        <v>#N/A</v>
      </c>
      <c r="T386" t="e">
        <f t="shared" ca="1" si="77"/>
        <v>#N/A</v>
      </c>
      <c r="U386" t="e">
        <f ca="1">IF(AND($C386='Funnel setup'!$K$3&amp;'Funnel setup'!$K$6&amp;'Funnel setup'!$K$7&amp;'Funnel setup'!$K$4,'Funnel Lookup'!I386="*",'Funnel Lookup'!I386="*"),#N/A,IF(AND($C386='Funnel setup'!$K$3&amp;'Funnel setup'!$K$6&amp;'Funnel setup'!$K$7&amp;'Funnel setup'!$K$4,'Funnel Lookup'!I386&gt;29,'Funnel Lookup'!I386&lt;&gt;"-"),'Funnel Lookup'!I386,#N/A))</f>
        <v>#N/A</v>
      </c>
      <c r="V386" t="e">
        <f ca="1">IF(AND($C386='Funnel setup'!$K$3&amp;'Funnel setup'!$K$6&amp;'Funnel setup'!$K$7&amp;'Funnel setup'!$K$4,'Funnel Lookup'!I386="*",'Funnel Lookup'!I386="*"),#N/A,IF(AND($C386='Funnel setup'!$K$3&amp;'Funnel setup'!$K$6&amp;'Funnel setup'!$K$7&amp;'Funnel setup'!$K$4,'Funnel Lookup'!I386&gt;29,'Funnel Lookup'!I386&lt;&gt;"-"),'Funnel Lookup'!Q386,#N/A))</f>
        <v>#N/A</v>
      </c>
    </row>
    <row r="387" spans="1:22" x14ac:dyDescent="0.25">
      <c r="A387">
        <v>385</v>
      </c>
      <c r="B387" t="e">
        <f t="shared" ca="1" si="88"/>
        <v>#N/A</v>
      </c>
      <c r="C387" t="e">
        <f t="shared" ca="1" si="88"/>
        <v>#N/A</v>
      </c>
      <c r="D387" t="e">
        <f t="shared" ca="1" si="88"/>
        <v>#N/A</v>
      </c>
      <c r="E387" t="e">
        <f t="shared" ca="1" si="88"/>
        <v>#N/A</v>
      </c>
      <c r="F387" t="e">
        <f t="shared" ca="1" si="88"/>
        <v>#N/A</v>
      </c>
      <c r="G387" t="e">
        <f t="shared" ca="1" si="88"/>
        <v>#N/A</v>
      </c>
      <c r="H387" t="e">
        <f t="shared" ca="1" si="88"/>
        <v>#N/A</v>
      </c>
      <c r="I387" t="e">
        <f t="shared" ca="1" si="88"/>
        <v>#N/A</v>
      </c>
      <c r="J387" t="e">
        <f t="shared" ca="1" si="88"/>
        <v>#N/A</v>
      </c>
      <c r="K387" t="e">
        <f t="shared" ca="1" si="88"/>
        <v>#N/A</v>
      </c>
      <c r="L387" t="e">
        <f t="shared" ca="1" si="89"/>
        <v>#N/A</v>
      </c>
      <c r="M387" t="e">
        <f t="shared" ca="1" si="89"/>
        <v>#N/A</v>
      </c>
      <c r="N387" t="e">
        <f t="shared" ca="1" si="89"/>
        <v>#N/A</v>
      </c>
      <c r="O387" t="e">
        <f t="shared" ca="1" si="89"/>
        <v>#N/A</v>
      </c>
      <c r="P387" t="e">
        <f t="shared" ca="1" si="89"/>
        <v>#N/A</v>
      </c>
      <c r="Q387" t="e">
        <f t="shared" ca="1" si="89"/>
        <v>#N/A</v>
      </c>
      <c r="R387" t="e">
        <f t="shared" ca="1" si="89"/>
        <v>#N/A</v>
      </c>
      <c r="S387" t="e">
        <f t="shared" ref="S387:S402" ca="1" si="90">IF($Q387="*",#N/A,IF($Q387="-",#N/A,I387))</f>
        <v>#N/A</v>
      </c>
      <c r="T387" t="e">
        <f t="shared" ref="T387:T402" ca="1" si="91">IF($Q387="*",#N/A,IF($Q387="-",#N/A,Q387))</f>
        <v>#N/A</v>
      </c>
      <c r="U387" t="e">
        <f ca="1">IF(AND($C387='Funnel setup'!$K$3&amp;'Funnel setup'!$K$6&amp;'Funnel setup'!$K$7&amp;'Funnel setup'!$K$4,'Funnel Lookup'!I387="*",'Funnel Lookup'!I387="*"),#N/A,IF(AND($C387='Funnel setup'!$K$3&amp;'Funnel setup'!$K$6&amp;'Funnel setup'!$K$7&amp;'Funnel setup'!$K$4,'Funnel Lookup'!I387&gt;29,'Funnel Lookup'!I387&lt;&gt;"-"),'Funnel Lookup'!I387,#N/A))</f>
        <v>#N/A</v>
      </c>
      <c r="V387" t="e">
        <f ca="1">IF(AND($C387='Funnel setup'!$K$3&amp;'Funnel setup'!$K$6&amp;'Funnel setup'!$K$7&amp;'Funnel setup'!$K$4,'Funnel Lookup'!I387="*",'Funnel Lookup'!I387="*"),#N/A,IF(AND($C387='Funnel setup'!$K$3&amp;'Funnel setup'!$K$6&amp;'Funnel setup'!$K$7&amp;'Funnel setup'!$K$4,'Funnel Lookup'!I387&gt;29,'Funnel Lookup'!I387&lt;&gt;"-"),'Funnel Lookup'!Q387,#N/A))</f>
        <v>#N/A</v>
      </c>
    </row>
    <row r="388" spans="1:22" x14ac:dyDescent="0.25">
      <c r="A388">
        <v>386</v>
      </c>
      <c r="B388" t="e">
        <f t="shared" ca="1" si="88"/>
        <v>#N/A</v>
      </c>
      <c r="C388" t="e">
        <f t="shared" ca="1" si="88"/>
        <v>#N/A</v>
      </c>
      <c r="D388" t="e">
        <f t="shared" ca="1" si="88"/>
        <v>#N/A</v>
      </c>
      <c r="E388" t="e">
        <f t="shared" ca="1" si="88"/>
        <v>#N/A</v>
      </c>
      <c r="F388" t="e">
        <f t="shared" ca="1" si="88"/>
        <v>#N/A</v>
      </c>
      <c r="G388" t="e">
        <f t="shared" ca="1" si="88"/>
        <v>#N/A</v>
      </c>
      <c r="H388" t="e">
        <f t="shared" ca="1" si="88"/>
        <v>#N/A</v>
      </c>
      <c r="I388" t="e">
        <f t="shared" ca="1" si="88"/>
        <v>#N/A</v>
      </c>
      <c r="J388" t="e">
        <f t="shared" ca="1" si="88"/>
        <v>#N/A</v>
      </c>
      <c r="K388" t="e">
        <f t="shared" ca="1" si="88"/>
        <v>#N/A</v>
      </c>
      <c r="L388" t="e">
        <f t="shared" ca="1" si="89"/>
        <v>#N/A</v>
      </c>
      <c r="M388" t="e">
        <f t="shared" ca="1" si="89"/>
        <v>#N/A</v>
      </c>
      <c r="N388" t="e">
        <f t="shared" ca="1" si="89"/>
        <v>#N/A</v>
      </c>
      <c r="O388" t="e">
        <f t="shared" ca="1" si="89"/>
        <v>#N/A</v>
      </c>
      <c r="P388" t="e">
        <f t="shared" ca="1" si="89"/>
        <v>#N/A</v>
      </c>
      <c r="Q388" t="e">
        <f t="shared" ca="1" si="89"/>
        <v>#N/A</v>
      </c>
      <c r="R388" t="e">
        <f t="shared" ca="1" si="89"/>
        <v>#N/A</v>
      </c>
      <c r="S388" t="e">
        <f t="shared" ca="1" si="90"/>
        <v>#N/A</v>
      </c>
      <c r="T388" t="e">
        <f t="shared" ca="1" si="91"/>
        <v>#N/A</v>
      </c>
      <c r="U388" t="e">
        <f ca="1">IF(AND($C388='Funnel setup'!$K$3&amp;'Funnel setup'!$K$6&amp;'Funnel setup'!$K$7&amp;'Funnel setup'!$K$4,'Funnel Lookup'!I388="*",'Funnel Lookup'!I388="*"),#N/A,IF(AND($C388='Funnel setup'!$K$3&amp;'Funnel setup'!$K$6&amp;'Funnel setup'!$K$7&amp;'Funnel setup'!$K$4,'Funnel Lookup'!I388&gt;29,'Funnel Lookup'!I388&lt;&gt;"-"),'Funnel Lookup'!I388,#N/A))</f>
        <v>#N/A</v>
      </c>
      <c r="V388" t="e">
        <f ca="1">IF(AND($C388='Funnel setup'!$K$3&amp;'Funnel setup'!$K$6&amp;'Funnel setup'!$K$7&amp;'Funnel setup'!$K$4,'Funnel Lookup'!I388="*",'Funnel Lookup'!I388="*"),#N/A,IF(AND($C388='Funnel setup'!$K$3&amp;'Funnel setup'!$K$6&amp;'Funnel setup'!$K$7&amp;'Funnel setup'!$K$4,'Funnel Lookup'!I388&gt;29,'Funnel Lookup'!I388&lt;&gt;"-"),'Funnel Lookup'!Q388,#N/A))</f>
        <v>#N/A</v>
      </c>
    </row>
    <row r="389" spans="1:22" x14ac:dyDescent="0.25">
      <c r="A389">
        <v>387</v>
      </c>
      <c r="B389" t="e">
        <f t="shared" ca="1" si="88"/>
        <v>#N/A</v>
      </c>
      <c r="C389" t="e">
        <f t="shared" ca="1" si="88"/>
        <v>#N/A</v>
      </c>
      <c r="D389" t="e">
        <f t="shared" ca="1" si="88"/>
        <v>#N/A</v>
      </c>
      <c r="E389" t="e">
        <f t="shared" ca="1" si="88"/>
        <v>#N/A</v>
      </c>
      <c r="F389" t="e">
        <f t="shared" ca="1" si="88"/>
        <v>#N/A</v>
      </c>
      <c r="G389" t="e">
        <f t="shared" ca="1" si="88"/>
        <v>#N/A</v>
      </c>
      <c r="H389" t="e">
        <f t="shared" ca="1" si="88"/>
        <v>#N/A</v>
      </c>
      <c r="I389" t="e">
        <f t="shared" ca="1" si="88"/>
        <v>#N/A</v>
      </c>
      <c r="J389" t="e">
        <f t="shared" ca="1" si="88"/>
        <v>#N/A</v>
      </c>
      <c r="K389" t="e">
        <f t="shared" ca="1" si="88"/>
        <v>#N/A</v>
      </c>
      <c r="L389" t="e">
        <f t="shared" ca="1" si="89"/>
        <v>#N/A</v>
      </c>
      <c r="M389" t="e">
        <f t="shared" ca="1" si="89"/>
        <v>#N/A</v>
      </c>
      <c r="N389" t="e">
        <f t="shared" ca="1" si="89"/>
        <v>#N/A</v>
      </c>
      <c r="O389" t="e">
        <f t="shared" ca="1" si="89"/>
        <v>#N/A</v>
      </c>
      <c r="P389" t="e">
        <f t="shared" ca="1" si="89"/>
        <v>#N/A</v>
      </c>
      <c r="Q389" t="e">
        <f t="shared" ca="1" si="89"/>
        <v>#N/A</v>
      </c>
      <c r="R389" t="e">
        <f t="shared" ca="1" si="89"/>
        <v>#N/A</v>
      </c>
      <c r="S389" t="e">
        <f t="shared" ca="1" si="90"/>
        <v>#N/A</v>
      </c>
      <c r="T389" t="e">
        <f t="shared" ca="1" si="91"/>
        <v>#N/A</v>
      </c>
      <c r="U389" t="e">
        <f ca="1">IF(AND($C389='Funnel setup'!$K$3&amp;'Funnel setup'!$K$6&amp;'Funnel setup'!$K$7&amp;'Funnel setup'!$K$4,'Funnel Lookup'!I389="*",'Funnel Lookup'!I389="*"),#N/A,IF(AND($C389='Funnel setup'!$K$3&amp;'Funnel setup'!$K$6&amp;'Funnel setup'!$K$7&amp;'Funnel setup'!$K$4,'Funnel Lookup'!I389&gt;29,'Funnel Lookup'!I389&lt;&gt;"-"),'Funnel Lookup'!I389,#N/A))</f>
        <v>#N/A</v>
      </c>
      <c r="V389" t="e">
        <f ca="1">IF(AND($C389='Funnel setup'!$K$3&amp;'Funnel setup'!$K$6&amp;'Funnel setup'!$K$7&amp;'Funnel setup'!$K$4,'Funnel Lookup'!I389="*",'Funnel Lookup'!I389="*"),#N/A,IF(AND($C389='Funnel setup'!$K$3&amp;'Funnel setup'!$K$6&amp;'Funnel setup'!$K$7&amp;'Funnel setup'!$K$4,'Funnel Lookup'!I389&gt;29,'Funnel Lookup'!I389&lt;&gt;"-"),'Funnel Lookup'!Q389,#N/A))</f>
        <v>#N/A</v>
      </c>
    </row>
    <row r="390" spans="1:22" x14ac:dyDescent="0.25">
      <c r="A390">
        <v>388</v>
      </c>
      <c r="B390" t="e">
        <f t="shared" ca="1" si="88"/>
        <v>#N/A</v>
      </c>
      <c r="C390" t="e">
        <f t="shared" ca="1" si="88"/>
        <v>#N/A</v>
      </c>
      <c r="D390" t="e">
        <f t="shared" ca="1" si="88"/>
        <v>#N/A</v>
      </c>
      <c r="E390" t="e">
        <f t="shared" ca="1" si="88"/>
        <v>#N/A</v>
      </c>
      <c r="F390" t="e">
        <f t="shared" ca="1" si="88"/>
        <v>#N/A</v>
      </c>
      <c r="G390" t="e">
        <f t="shared" ca="1" si="88"/>
        <v>#N/A</v>
      </c>
      <c r="H390" t="e">
        <f t="shared" ca="1" si="88"/>
        <v>#N/A</v>
      </c>
      <c r="I390" t="e">
        <f t="shared" ca="1" si="88"/>
        <v>#N/A</v>
      </c>
      <c r="J390" t="e">
        <f t="shared" ca="1" si="88"/>
        <v>#N/A</v>
      </c>
      <c r="K390" t="e">
        <f t="shared" ca="1" si="88"/>
        <v>#N/A</v>
      </c>
      <c r="L390" t="e">
        <f t="shared" ca="1" si="89"/>
        <v>#N/A</v>
      </c>
      <c r="M390" t="e">
        <f t="shared" ca="1" si="89"/>
        <v>#N/A</v>
      </c>
      <c r="N390" t="e">
        <f t="shared" ca="1" si="89"/>
        <v>#N/A</v>
      </c>
      <c r="O390" t="e">
        <f t="shared" ca="1" si="89"/>
        <v>#N/A</v>
      </c>
      <c r="P390" t="e">
        <f t="shared" ca="1" si="89"/>
        <v>#N/A</v>
      </c>
      <c r="Q390" t="e">
        <f t="shared" ca="1" si="89"/>
        <v>#N/A</v>
      </c>
      <c r="R390" t="e">
        <f t="shared" ca="1" si="89"/>
        <v>#N/A</v>
      </c>
      <c r="S390" t="e">
        <f t="shared" ca="1" si="90"/>
        <v>#N/A</v>
      </c>
      <c r="T390" t="e">
        <f t="shared" ca="1" si="91"/>
        <v>#N/A</v>
      </c>
      <c r="U390" t="e">
        <f ca="1">IF(AND($C390='Funnel setup'!$K$3&amp;'Funnel setup'!$K$6&amp;'Funnel setup'!$K$7&amp;'Funnel setup'!$K$4,'Funnel Lookup'!I390="*",'Funnel Lookup'!I390="*"),#N/A,IF(AND($C390='Funnel setup'!$K$3&amp;'Funnel setup'!$K$6&amp;'Funnel setup'!$K$7&amp;'Funnel setup'!$K$4,'Funnel Lookup'!I390&gt;29,'Funnel Lookup'!I390&lt;&gt;"-"),'Funnel Lookup'!I390,#N/A))</f>
        <v>#N/A</v>
      </c>
      <c r="V390" t="e">
        <f ca="1">IF(AND($C390='Funnel setup'!$K$3&amp;'Funnel setup'!$K$6&amp;'Funnel setup'!$K$7&amp;'Funnel setup'!$K$4,'Funnel Lookup'!I390="*",'Funnel Lookup'!I390="*"),#N/A,IF(AND($C390='Funnel setup'!$K$3&amp;'Funnel setup'!$K$6&amp;'Funnel setup'!$K$7&amp;'Funnel setup'!$K$4,'Funnel Lookup'!I390&gt;29,'Funnel Lookup'!I390&lt;&gt;"-"),'Funnel Lookup'!Q390,#N/A))</f>
        <v>#N/A</v>
      </c>
    </row>
    <row r="391" spans="1:22" x14ac:dyDescent="0.25">
      <c r="A391">
        <v>389</v>
      </c>
      <c r="B391" t="e">
        <f t="shared" ca="1" si="88"/>
        <v>#N/A</v>
      </c>
      <c r="C391" t="e">
        <f t="shared" ca="1" si="88"/>
        <v>#N/A</v>
      </c>
      <c r="D391" t="e">
        <f t="shared" ca="1" si="88"/>
        <v>#N/A</v>
      </c>
      <c r="E391" t="e">
        <f t="shared" ca="1" si="88"/>
        <v>#N/A</v>
      </c>
      <c r="F391" t="e">
        <f t="shared" ca="1" si="88"/>
        <v>#N/A</v>
      </c>
      <c r="G391" t="e">
        <f t="shared" ca="1" si="88"/>
        <v>#N/A</v>
      </c>
      <c r="H391" t="e">
        <f t="shared" ca="1" si="88"/>
        <v>#N/A</v>
      </c>
      <c r="I391" t="e">
        <f t="shared" ca="1" si="88"/>
        <v>#N/A</v>
      </c>
      <c r="J391" t="e">
        <f t="shared" ca="1" si="88"/>
        <v>#N/A</v>
      </c>
      <c r="K391" t="e">
        <f t="shared" ca="1" si="88"/>
        <v>#N/A</v>
      </c>
      <c r="L391" t="e">
        <f t="shared" ca="1" si="89"/>
        <v>#N/A</v>
      </c>
      <c r="M391" t="e">
        <f t="shared" ca="1" si="89"/>
        <v>#N/A</v>
      </c>
      <c r="N391" t="e">
        <f t="shared" ca="1" si="89"/>
        <v>#N/A</v>
      </c>
      <c r="O391" t="e">
        <f t="shared" ca="1" si="89"/>
        <v>#N/A</v>
      </c>
      <c r="P391" t="e">
        <f t="shared" ca="1" si="89"/>
        <v>#N/A</v>
      </c>
      <c r="Q391" t="e">
        <f t="shared" ca="1" si="89"/>
        <v>#N/A</v>
      </c>
      <c r="R391" t="e">
        <f t="shared" ca="1" si="89"/>
        <v>#N/A</v>
      </c>
      <c r="S391" t="e">
        <f t="shared" ca="1" si="90"/>
        <v>#N/A</v>
      </c>
      <c r="T391" t="e">
        <f t="shared" ca="1" si="91"/>
        <v>#N/A</v>
      </c>
      <c r="U391" t="e">
        <f ca="1">IF(AND($C391='Funnel setup'!$K$3&amp;'Funnel setup'!$K$6&amp;'Funnel setup'!$K$7&amp;'Funnel setup'!$K$4,'Funnel Lookup'!I391="*",'Funnel Lookup'!I391="*"),#N/A,IF(AND($C391='Funnel setup'!$K$3&amp;'Funnel setup'!$K$6&amp;'Funnel setup'!$K$7&amp;'Funnel setup'!$K$4,'Funnel Lookup'!I391&gt;29,'Funnel Lookup'!I391&lt;&gt;"-"),'Funnel Lookup'!I391,#N/A))</f>
        <v>#N/A</v>
      </c>
      <c r="V391" t="e">
        <f ca="1">IF(AND($C391='Funnel setup'!$K$3&amp;'Funnel setup'!$K$6&amp;'Funnel setup'!$K$7&amp;'Funnel setup'!$K$4,'Funnel Lookup'!I391="*",'Funnel Lookup'!I391="*"),#N/A,IF(AND($C391='Funnel setup'!$K$3&amp;'Funnel setup'!$K$6&amp;'Funnel setup'!$K$7&amp;'Funnel setup'!$K$4,'Funnel Lookup'!I391&gt;29,'Funnel Lookup'!I391&lt;&gt;"-"),'Funnel Lookup'!Q391,#N/A))</f>
        <v>#N/A</v>
      </c>
    </row>
    <row r="392" spans="1:22" x14ac:dyDescent="0.25">
      <c r="A392">
        <v>390</v>
      </c>
      <c r="B392" t="e">
        <f t="shared" ca="1" si="88"/>
        <v>#N/A</v>
      </c>
      <c r="C392" t="e">
        <f t="shared" ca="1" si="88"/>
        <v>#N/A</v>
      </c>
      <c r="D392" t="e">
        <f t="shared" ca="1" si="88"/>
        <v>#N/A</v>
      </c>
      <c r="E392" t="e">
        <f t="shared" ca="1" si="88"/>
        <v>#N/A</v>
      </c>
      <c r="F392" t="e">
        <f t="shared" ca="1" si="88"/>
        <v>#N/A</v>
      </c>
      <c r="G392" t="e">
        <f t="shared" ca="1" si="88"/>
        <v>#N/A</v>
      </c>
      <c r="H392" t="e">
        <f t="shared" ca="1" si="88"/>
        <v>#N/A</v>
      </c>
      <c r="I392" t="e">
        <f t="shared" ca="1" si="88"/>
        <v>#N/A</v>
      </c>
      <c r="J392" t="e">
        <f t="shared" ca="1" si="88"/>
        <v>#N/A</v>
      </c>
      <c r="K392" t="e">
        <f t="shared" ca="1" si="88"/>
        <v>#N/A</v>
      </c>
      <c r="L392" t="e">
        <f t="shared" ca="1" si="89"/>
        <v>#N/A</v>
      </c>
      <c r="M392" t="e">
        <f t="shared" ca="1" si="89"/>
        <v>#N/A</v>
      </c>
      <c r="N392" t="e">
        <f t="shared" ca="1" si="89"/>
        <v>#N/A</v>
      </c>
      <c r="O392" t="e">
        <f t="shared" ca="1" si="89"/>
        <v>#N/A</v>
      </c>
      <c r="P392" t="e">
        <f t="shared" ca="1" si="89"/>
        <v>#N/A</v>
      </c>
      <c r="Q392" t="e">
        <f t="shared" ca="1" si="89"/>
        <v>#N/A</v>
      </c>
      <c r="R392" t="e">
        <f t="shared" ca="1" si="89"/>
        <v>#N/A</v>
      </c>
      <c r="S392" t="e">
        <f t="shared" ca="1" si="90"/>
        <v>#N/A</v>
      </c>
      <c r="T392" t="e">
        <f t="shared" ca="1" si="91"/>
        <v>#N/A</v>
      </c>
      <c r="U392" t="e">
        <f ca="1">IF(AND($C392='Funnel setup'!$K$3&amp;'Funnel setup'!$K$6&amp;'Funnel setup'!$K$7&amp;'Funnel setup'!$K$4,'Funnel Lookup'!I392="*",'Funnel Lookup'!I392="*"),#N/A,IF(AND($C392='Funnel setup'!$K$3&amp;'Funnel setup'!$K$6&amp;'Funnel setup'!$K$7&amp;'Funnel setup'!$K$4,'Funnel Lookup'!I392&gt;29,'Funnel Lookup'!I392&lt;&gt;"-"),'Funnel Lookup'!I392,#N/A))</f>
        <v>#N/A</v>
      </c>
      <c r="V392" t="e">
        <f ca="1">IF(AND($C392='Funnel setup'!$K$3&amp;'Funnel setup'!$K$6&amp;'Funnel setup'!$K$7&amp;'Funnel setup'!$K$4,'Funnel Lookup'!I392="*",'Funnel Lookup'!I392="*"),#N/A,IF(AND($C392='Funnel setup'!$K$3&amp;'Funnel setup'!$K$6&amp;'Funnel setup'!$K$7&amp;'Funnel setup'!$K$4,'Funnel Lookup'!I392&gt;29,'Funnel Lookup'!I392&lt;&gt;"-"),'Funnel Lookup'!Q392,#N/A))</f>
        <v>#N/A</v>
      </c>
    </row>
    <row r="393" spans="1:22" x14ac:dyDescent="0.25">
      <c r="A393">
        <v>391</v>
      </c>
      <c r="B393" t="e">
        <f t="shared" ref="B393:K402" ca="1" si="92">VLOOKUP($A393,Funnel_Data,B$1,FALSE)</f>
        <v>#N/A</v>
      </c>
      <c r="C393" t="e">
        <f t="shared" ca="1" si="92"/>
        <v>#N/A</v>
      </c>
      <c r="D393" t="e">
        <f t="shared" ca="1" si="92"/>
        <v>#N/A</v>
      </c>
      <c r="E393" t="e">
        <f t="shared" ca="1" si="92"/>
        <v>#N/A</v>
      </c>
      <c r="F393" t="e">
        <f t="shared" ca="1" si="92"/>
        <v>#N/A</v>
      </c>
      <c r="G393" t="e">
        <f t="shared" ca="1" si="92"/>
        <v>#N/A</v>
      </c>
      <c r="H393" t="e">
        <f t="shared" ca="1" si="92"/>
        <v>#N/A</v>
      </c>
      <c r="I393" t="e">
        <f t="shared" ca="1" si="92"/>
        <v>#N/A</v>
      </c>
      <c r="J393" t="e">
        <f t="shared" ca="1" si="92"/>
        <v>#N/A</v>
      </c>
      <c r="K393" t="e">
        <f t="shared" ca="1" si="92"/>
        <v>#N/A</v>
      </c>
      <c r="L393" t="e">
        <f t="shared" ref="L393:R402" ca="1" si="93">VLOOKUP($A393,Funnel_Data,L$1,FALSE)</f>
        <v>#N/A</v>
      </c>
      <c r="M393" t="e">
        <f t="shared" ca="1" si="93"/>
        <v>#N/A</v>
      </c>
      <c r="N393" t="e">
        <f t="shared" ca="1" si="93"/>
        <v>#N/A</v>
      </c>
      <c r="O393" t="e">
        <f t="shared" ca="1" si="93"/>
        <v>#N/A</v>
      </c>
      <c r="P393" t="e">
        <f t="shared" ca="1" si="93"/>
        <v>#N/A</v>
      </c>
      <c r="Q393" t="e">
        <f t="shared" ca="1" si="93"/>
        <v>#N/A</v>
      </c>
      <c r="R393" t="e">
        <f t="shared" ca="1" si="93"/>
        <v>#N/A</v>
      </c>
      <c r="S393" t="e">
        <f t="shared" ca="1" si="90"/>
        <v>#N/A</v>
      </c>
      <c r="T393" t="e">
        <f t="shared" ca="1" si="91"/>
        <v>#N/A</v>
      </c>
      <c r="U393" t="e">
        <f ca="1">IF(AND($C393='Funnel setup'!$K$3&amp;'Funnel setup'!$K$6&amp;'Funnel setup'!$K$7&amp;'Funnel setup'!$K$4,'Funnel Lookup'!I393="*",'Funnel Lookup'!I393="*"),#N/A,IF(AND($C393='Funnel setup'!$K$3&amp;'Funnel setup'!$K$6&amp;'Funnel setup'!$K$7&amp;'Funnel setup'!$K$4,'Funnel Lookup'!I393&gt;29,'Funnel Lookup'!I393&lt;&gt;"-"),'Funnel Lookup'!I393,#N/A))</f>
        <v>#N/A</v>
      </c>
      <c r="V393" t="e">
        <f ca="1">IF(AND($C393='Funnel setup'!$K$3&amp;'Funnel setup'!$K$6&amp;'Funnel setup'!$K$7&amp;'Funnel setup'!$K$4,'Funnel Lookup'!I393="*",'Funnel Lookup'!I393="*"),#N/A,IF(AND($C393='Funnel setup'!$K$3&amp;'Funnel setup'!$K$6&amp;'Funnel setup'!$K$7&amp;'Funnel setup'!$K$4,'Funnel Lookup'!I393&gt;29,'Funnel Lookup'!I393&lt;&gt;"-"),'Funnel Lookup'!Q393,#N/A))</f>
        <v>#N/A</v>
      </c>
    </row>
    <row r="394" spans="1:22" x14ac:dyDescent="0.25">
      <c r="A394">
        <v>392</v>
      </c>
      <c r="B394" t="e">
        <f t="shared" ca="1" si="92"/>
        <v>#N/A</v>
      </c>
      <c r="C394" t="e">
        <f t="shared" ca="1" si="92"/>
        <v>#N/A</v>
      </c>
      <c r="D394" t="e">
        <f t="shared" ca="1" si="92"/>
        <v>#N/A</v>
      </c>
      <c r="E394" t="e">
        <f t="shared" ca="1" si="92"/>
        <v>#N/A</v>
      </c>
      <c r="F394" t="e">
        <f t="shared" ca="1" si="92"/>
        <v>#N/A</v>
      </c>
      <c r="G394" t="e">
        <f t="shared" ca="1" si="92"/>
        <v>#N/A</v>
      </c>
      <c r="H394" t="e">
        <f t="shared" ca="1" si="92"/>
        <v>#N/A</v>
      </c>
      <c r="I394" t="e">
        <f t="shared" ca="1" si="92"/>
        <v>#N/A</v>
      </c>
      <c r="J394" t="e">
        <f t="shared" ca="1" si="92"/>
        <v>#N/A</v>
      </c>
      <c r="K394" t="e">
        <f t="shared" ca="1" si="92"/>
        <v>#N/A</v>
      </c>
      <c r="L394" t="e">
        <f t="shared" ca="1" si="93"/>
        <v>#N/A</v>
      </c>
      <c r="M394" t="e">
        <f t="shared" ca="1" si="93"/>
        <v>#N/A</v>
      </c>
      <c r="N394" t="e">
        <f t="shared" ca="1" si="93"/>
        <v>#N/A</v>
      </c>
      <c r="O394" t="e">
        <f t="shared" ca="1" si="93"/>
        <v>#N/A</v>
      </c>
      <c r="P394" t="e">
        <f t="shared" ca="1" si="93"/>
        <v>#N/A</v>
      </c>
      <c r="Q394" t="e">
        <f t="shared" ca="1" si="93"/>
        <v>#N/A</v>
      </c>
      <c r="R394" t="e">
        <f t="shared" ca="1" si="93"/>
        <v>#N/A</v>
      </c>
      <c r="S394" t="e">
        <f t="shared" ca="1" si="90"/>
        <v>#N/A</v>
      </c>
      <c r="T394" t="e">
        <f t="shared" ca="1" si="91"/>
        <v>#N/A</v>
      </c>
      <c r="U394" t="e">
        <f ca="1">IF(AND($C394='Funnel setup'!$K$3&amp;'Funnel setup'!$K$6&amp;'Funnel setup'!$K$7&amp;'Funnel setup'!$K$4,'Funnel Lookup'!I394="*",'Funnel Lookup'!I394="*"),#N/A,IF(AND($C394='Funnel setup'!$K$3&amp;'Funnel setup'!$K$6&amp;'Funnel setup'!$K$7&amp;'Funnel setup'!$K$4,'Funnel Lookup'!I394&gt;29,'Funnel Lookup'!I394&lt;&gt;"-"),'Funnel Lookup'!I394,#N/A))</f>
        <v>#N/A</v>
      </c>
      <c r="V394" t="e">
        <f ca="1">IF(AND($C394='Funnel setup'!$K$3&amp;'Funnel setup'!$K$6&amp;'Funnel setup'!$K$7&amp;'Funnel setup'!$K$4,'Funnel Lookup'!I394="*",'Funnel Lookup'!I394="*"),#N/A,IF(AND($C394='Funnel setup'!$K$3&amp;'Funnel setup'!$K$6&amp;'Funnel setup'!$K$7&amp;'Funnel setup'!$K$4,'Funnel Lookup'!I394&gt;29,'Funnel Lookup'!I394&lt;&gt;"-"),'Funnel Lookup'!Q394,#N/A))</f>
        <v>#N/A</v>
      </c>
    </row>
    <row r="395" spans="1:22" x14ac:dyDescent="0.25">
      <c r="A395">
        <v>393</v>
      </c>
      <c r="B395" t="e">
        <f t="shared" ca="1" si="92"/>
        <v>#N/A</v>
      </c>
      <c r="C395" t="e">
        <f t="shared" ca="1" si="92"/>
        <v>#N/A</v>
      </c>
      <c r="D395" t="e">
        <f t="shared" ca="1" si="92"/>
        <v>#N/A</v>
      </c>
      <c r="E395" t="e">
        <f t="shared" ca="1" si="92"/>
        <v>#N/A</v>
      </c>
      <c r="F395" t="e">
        <f t="shared" ca="1" si="92"/>
        <v>#N/A</v>
      </c>
      <c r="G395" t="e">
        <f t="shared" ca="1" si="92"/>
        <v>#N/A</v>
      </c>
      <c r="H395" t="e">
        <f t="shared" ca="1" si="92"/>
        <v>#N/A</v>
      </c>
      <c r="I395" t="e">
        <f t="shared" ca="1" si="92"/>
        <v>#N/A</v>
      </c>
      <c r="J395" t="e">
        <f t="shared" ca="1" si="92"/>
        <v>#N/A</v>
      </c>
      <c r="K395" t="e">
        <f t="shared" ca="1" si="92"/>
        <v>#N/A</v>
      </c>
      <c r="L395" t="e">
        <f t="shared" ca="1" si="93"/>
        <v>#N/A</v>
      </c>
      <c r="M395" t="e">
        <f t="shared" ca="1" si="93"/>
        <v>#N/A</v>
      </c>
      <c r="N395" t="e">
        <f t="shared" ca="1" si="93"/>
        <v>#N/A</v>
      </c>
      <c r="O395" t="e">
        <f t="shared" ca="1" si="93"/>
        <v>#N/A</v>
      </c>
      <c r="P395" t="e">
        <f t="shared" ca="1" si="93"/>
        <v>#N/A</v>
      </c>
      <c r="Q395" t="e">
        <f t="shared" ca="1" si="93"/>
        <v>#N/A</v>
      </c>
      <c r="R395" t="e">
        <f t="shared" ca="1" si="93"/>
        <v>#N/A</v>
      </c>
      <c r="S395" t="e">
        <f t="shared" ca="1" si="90"/>
        <v>#N/A</v>
      </c>
      <c r="T395" t="e">
        <f t="shared" ca="1" si="91"/>
        <v>#N/A</v>
      </c>
      <c r="U395" t="e">
        <f ca="1">IF(AND($C395='Funnel setup'!$K$3&amp;'Funnel setup'!$K$6&amp;'Funnel setup'!$K$7&amp;'Funnel setup'!$K$4,'Funnel Lookup'!I395="*",'Funnel Lookup'!I395="*"),#N/A,IF(AND($C395='Funnel setup'!$K$3&amp;'Funnel setup'!$K$6&amp;'Funnel setup'!$K$7&amp;'Funnel setup'!$K$4,'Funnel Lookup'!I395&gt;29,'Funnel Lookup'!I395&lt;&gt;"-"),'Funnel Lookup'!I395,#N/A))</f>
        <v>#N/A</v>
      </c>
      <c r="V395" t="e">
        <f ca="1">IF(AND($C395='Funnel setup'!$K$3&amp;'Funnel setup'!$K$6&amp;'Funnel setup'!$K$7&amp;'Funnel setup'!$K$4,'Funnel Lookup'!I395="*",'Funnel Lookup'!I395="*"),#N/A,IF(AND($C395='Funnel setup'!$K$3&amp;'Funnel setup'!$K$6&amp;'Funnel setup'!$K$7&amp;'Funnel setup'!$K$4,'Funnel Lookup'!I395&gt;29,'Funnel Lookup'!I395&lt;&gt;"-"),'Funnel Lookup'!Q395,#N/A))</f>
        <v>#N/A</v>
      </c>
    </row>
    <row r="396" spans="1:22" x14ac:dyDescent="0.25">
      <c r="A396">
        <v>394</v>
      </c>
      <c r="B396" t="e">
        <f t="shared" ca="1" si="92"/>
        <v>#N/A</v>
      </c>
      <c r="C396" t="e">
        <f t="shared" ca="1" si="92"/>
        <v>#N/A</v>
      </c>
      <c r="D396" t="e">
        <f t="shared" ca="1" si="92"/>
        <v>#N/A</v>
      </c>
      <c r="E396" t="e">
        <f t="shared" ca="1" si="92"/>
        <v>#N/A</v>
      </c>
      <c r="F396" t="e">
        <f t="shared" ca="1" si="92"/>
        <v>#N/A</v>
      </c>
      <c r="G396" t="e">
        <f t="shared" ca="1" si="92"/>
        <v>#N/A</v>
      </c>
      <c r="H396" t="e">
        <f t="shared" ca="1" si="92"/>
        <v>#N/A</v>
      </c>
      <c r="I396" t="e">
        <f t="shared" ca="1" si="92"/>
        <v>#N/A</v>
      </c>
      <c r="J396" t="e">
        <f t="shared" ca="1" si="92"/>
        <v>#N/A</v>
      </c>
      <c r="K396" t="e">
        <f t="shared" ca="1" si="92"/>
        <v>#N/A</v>
      </c>
      <c r="L396" t="e">
        <f t="shared" ca="1" si="93"/>
        <v>#N/A</v>
      </c>
      <c r="M396" t="e">
        <f t="shared" ca="1" si="93"/>
        <v>#N/A</v>
      </c>
      <c r="N396" t="e">
        <f t="shared" ca="1" si="93"/>
        <v>#N/A</v>
      </c>
      <c r="O396" t="e">
        <f t="shared" ca="1" si="93"/>
        <v>#N/A</v>
      </c>
      <c r="P396" t="e">
        <f t="shared" ca="1" si="93"/>
        <v>#N/A</v>
      </c>
      <c r="Q396" t="e">
        <f t="shared" ca="1" si="93"/>
        <v>#N/A</v>
      </c>
      <c r="R396" t="e">
        <f t="shared" ca="1" si="93"/>
        <v>#N/A</v>
      </c>
      <c r="S396" t="e">
        <f t="shared" ca="1" si="90"/>
        <v>#N/A</v>
      </c>
      <c r="T396" t="e">
        <f t="shared" ca="1" si="91"/>
        <v>#N/A</v>
      </c>
      <c r="U396" t="e">
        <f ca="1">IF(AND($C396='Funnel setup'!$K$3&amp;'Funnel setup'!$K$6&amp;'Funnel setup'!$K$7&amp;'Funnel setup'!$K$4,'Funnel Lookup'!I396="*",'Funnel Lookup'!I396="*"),#N/A,IF(AND($C396='Funnel setup'!$K$3&amp;'Funnel setup'!$K$6&amp;'Funnel setup'!$K$7&amp;'Funnel setup'!$K$4,'Funnel Lookup'!I396&gt;29,'Funnel Lookup'!I396&lt;&gt;"-"),'Funnel Lookup'!I396,#N/A))</f>
        <v>#N/A</v>
      </c>
      <c r="V396" t="e">
        <f ca="1">IF(AND($C396='Funnel setup'!$K$3&amp;'Funnel setup'!$K$6&amp;'Funnel setup'!$K$7&amp;'Funnel setup'!$K$4,'Funnel Lookup'!I396="*",'Funnel Lookup'!I396="*"),#N/A,IF(AND($C396='Funnel setup'!$K$3&amp;'Funnel setup'!$K$6&amp;'Funnel setup'!$K$7&amp;'Funnel setup'!$K$4,'Funnel Lookup'!I396&gt;29,'Funnel Lookup'!I396&lt;&gt;"-"),'Funnel Lookup'!Q396,#N/A))</f>
        <v>#N/A</v>
      </c>
    </row>
    <row r="397" spans="1:22" x14ac:dyDescent="0.25">
      <c r="A397">
        <v>395</v>
      </c>
      <c r="B397" t="e">
        <f t="shared" ca="1" si="92"/>
        <v>#N/A</v>
      </c>
      <c r="C397" t="e">
        <f t="shared" ca="1" si="92"/>
        <v>#N/A</v>
      </c>
      <c r="D397" t="e">
        <f t="shared" ca="1" si="92"/>
        <v>#N/A</v>
      </c>
      <c r="E397" t="e">
        <f t="shared" ca="1" si="92"/>
        <v>#N/A</v>
      </c>
      <c r="F397" t="e">
        <f t="shared" ca="1" si="92"/>
        <v>#N/A</v>
      </c>
      <c r="G397" t="e">
        <f t="shared" ca="1" si="92"/>
        <v>#N/A</v>
      </c>
      <c r="H397" t="e">
        <f t="shared" ca="1" si="92"/>
        <v>#N/A</v>
      </c>
      <c r="I397" t="e">
        <f t="shared" ca="1" si="92"/>
        <v>#N/A</v>
      </c>
      <c r="J397" t="e">
        <f t="shared" ca="1" si="92"/>
        <v>#N/A</v>
      </c>
      <c r="K397" t="e">
        <f t="shared" ca="1" si="92"/>
        <v>#N/A</v>
      </c>
      <c r="L397" t="e">
        <f t="shared" ca="1" si="93"/>
        <v>#N/A</v>
      </c>
      <c r="M397" t="e">
        <f t="shared" ca="1" si="93"/>
        <v>#N/A</v>
      </c>
      <c r="N397" t="e">
        <f t="shared" ca="1" si="93"/>
        <v>#N/A</v>
      </c>
      <c r="O397" t="e">
        <f t="shared" ca="1" si="93"/>
        <v>#N/A</v>
      </c>
      <c r="P397" t="e">
        <f t="shared" ca="1" si="93"/>
        <v>#N/A</v>
      </c>
      <c r="Q397" t="e">
        <f t="shared" ca="1" si="93"/>
        <v>#N/A</v>
      </c>
      <c r="R397" t="e">
        <f t="shared" ca="1" si="93"/>
        <v>#N/A</v>
      </c>
      <c r="S397" t="e">
        <f t="shared" ca="1" si="90"/>
        <v>#N/A</v>
      </c>
      <c r="T397" t="e">
        <f t="shared" ca="1" si="91"/>
        <v>#N/A</v>
      </c>
      <c r="U397" t="e">
        <f ca="1">IF(AND($C397='Funnel setup'!$K$3&amp;'Funnel setup'!$K$6&amp;'Funnel setup'!$K$7&amp;'Funnel setup'!$K$4,'Funnel Lookup'!I397="*",'Funnel Lookup'!I397="*"),#N/A,IF(AND($C397='Funnel setup'!$K$3&amp;'Funnel setup'!$K$6&amp;'Funnel setup'!$K$7&amp;'Funnel setup'!$K$4,'Funnel Lookup'!I397&gt;29,'Funnel Lookup'!I397&lt;&gt;"-"),'Funnel Lookup'!I397,#N/A))</f>
        <v>#N/A</v>
      </c>
      <c r="V397" t="e">
        <f ca="1">IF(AND($C397='Funnel setup'!$K$3&amp;'Funnel setup'!$K$6&amp;'Funnel setup'!$K$7&amp;'Funnel setup'!$K$4,'Funnel Lookup'!I397="*",'Funnel Lookup'!I397="*"),#N/A,IF(AND($C397='Funnel setup'!$K$3&amp;'Funnel setup'!$K$6&amp;'Funnel setup'!$K$7&amp;'Funnel setup'!$K$4,'Funnel Lookup'!I397&gt;29,'Funnel Lookup'!I397&lt;&gt;"-"),'Funnel Lookup'!Q397,#N/A))</f>
        <v>#N/A</v>
      </c>
    </row>
    <row r="398" spans="1:22" x14ac:dyDescent="0.25">
      <c r="A398">
        <v>396</v>
      </c>
      <c r="B398" t="e">
        <f t="shared" ca="1" si="92"/>
        <v>#N/A</v>
      </c>
      <c r="C398" t="e">
        <f t="shared" ca="1" si="92"/>
        <v>#N/A</v>
      </c>
      <c r="D398" t="e">
        <f t="shared" ca="1" si="92"/>
        <v>#N/A</v>
      </c>
      <c r="E398" t="e">
        <f t="shared" ca="1" si="92"/>
        <v>#N/A</v>
      </c>
      <c r="F398" t="e">
        <f t="shared" ca="1" si="92"/>
        <v>#N/A</v>
      </c>
      <c r="G398" t="e">
        <f t="shared" ca="1" si="92"/>
        <v>#N/A</v>
      </c>
      <c r="H398" t="e">
        <f t="shared" ca="1" si="92"/>
        <v>#N/A</v>
      </c>
      <c r="I398" t="e">
        <f t="shared" ca="1" si="92"/>
        <v>#N/A</v>
      </c>
      <c r="J398" t="e">
        <f t="shared" ca="1" si="92"/>
        <v>#N/A</v>
      </c>
      <c r="K398" t="e">
        <f t="shared" ca="1" si="92"/>
        <v>#N/A</v>
      </c>
      <c r="L398" t="e">
        <f t="shared" ca="1" si="93"/>
        <v>#N/A</v>
      </c>
      <c r="M398" t="e">
        <f t="shared" ca="1" si="93"/>
        <v>#N/A</v>
      </c>
      <c r="N398" t="e">
        <f t="shared" ca="1" si="93"/>
        <v>#N/A</v>
      </c>
      <c r="O398" t="e">
        <f t="shared" ca="1" si="93"/>
        <v>#N/A</v>
      </c>
      <c r="P398" t="e">
        <f t="shared" ca="1" si="93"/>
        <v>#N/A</v>
      </c>
      <c r="Q398" t="e">
        <f t="shared" ca="1" si="93"/>
        <v>#N/A</v>
      </c>
      <c r="R398" t="e">
        <f t="shared" ca="1" si="93"/>
        <v>#N/A</v>
      </c>
      <c r="S398" t="e">
        <f t="shared" ca="1" si="90"/>
        <v>#N/A</v>
      </c>
      <c r="T398" t="e">
        <f t="shared" ca="1" si="91"/>
        <v>#N/A</v>
      </c>
      <c r="U398" t="e">
        <f ca="1">IF(AND($C398='Funnel setup'!$K$3&amp;'Funnel setup'!$K$6&amp;'Funnel setup'!$K$7&amp;'Funnel setup'!$K$4,'Funnel Lookup'!I398="*",'Funnel Lookup'!I398="*"),#N/A,IF(AND($C398='Funnel setup'!$K$3&amp;'Funnel setup'!$K$6&amp;'Funnel setup'!$K$7&amp;'Funnel setup'!$K$4,'Funnel Lookup'!I398&gt;29,'Funnel Lookup'!I398&lt;&gt;"-"),'Funnel Lookup'!I398,#N/A))</f>
        <v>#N/A</v>
      </c>
      <c r="V398" t="e">
        <f ca="1">IF(AND($C398='Funnel setup'!$K$3&amp;'Funnel setup'!$K$6&amp;'Funnel setup'!$K$7&amp;'Funnel setup'!$K$4,'Funnel Lookup'!I398="*",'Funnel Lookup'!I398="*"),#N/A,IF(AND($C398='Funnel setup'!$K$3&amp;'Funnel setup'!$K$6&amp;'Funnel setup'!$K$7&amp;'Funnel setup'!$K$4,'Funnel Lookup'!I398&gt;29,'Funnel Lookup'!I398&lt;&gt;"-"),'Funnel Lookup'!Q398,#N/A))</f>
        <v>#N/A</v>
      </c>
    </row>
    <row r="399" spans="1:22" x14ac:dyDescent="0.25">
      <c r="A399">
        <v>397</v>
      </c>
      <c r="B399" t="e">
        <f t="shared" ca="1" si="92"/>
        <v>#N/A</v>
      </c>
      <c r="C399" t="e">
        <f t="shared" ca="1" si="92"/>
        <v>#N/A</v>
      </c>
      <c r="D399" t="e">
        <f t="shared" ca="1" si="92"/>
        <v>#N/A</v>
      </c>
      <c r="E399" t="e">
        <f t="shared" ca="1" si="92"/>
        <v>#N/A</v>
      </c>
      <c r="F399" t="e">
        <f t="shared" ca="1" si="92"/>
        <v>#N/A</v>
      </c>
      <c r="G399" t="e">
        <f t="shared" ca="1" si="92"/>
        <v>#N/A</v>
      </c>
      <c r="H399" t="e">
        <f t="shared" ca="1" si="92"/>
        <v>#N/A</v>
      </c>
      <c r="I399" t="e">
        <f t="shared" ca="1" si="92"/>
        <v>#N/A</v>
      </c>
      <c r="J399" t="e">
        <f t="shared" ca="1" si="92"/>
        <v>#N/A</v>
      </c>
      <c r="K399" t="e">
        <f t="shared" ca="1" si="92"/>
        <v>#N/A</v>
      </c>
      <c r="L399" t="e">
        <f t="shared" ca="1" si="93"/>
        <v>#N/A</v>
      </c>
      <c r="M399" t="e">
        <f t="shared" ca="1" si="93"/>
        <v>#N/A</v>
      </c>
      <c r="N399" t="e">
        <f t="shared" ca="1" si="93"/>
        <v>#N/A</v>
      </c>
      <c r="O399" t="e">
        <f t="shared" ca="1" si="93"/>
        <v>#N/A</v>
      </c>
      <c r="P399" t="e">
        <f t="shared" ca="1" si="93"/>
        <v>#N/A</v>
      </c>
      <c r="Q399" t="e">
        <f t="shared" ca="1" si="93"/>
        <v>#N/A</v>
      </c>
      <c r="R399" t="e">
        <f t="shared" ca="1" si="93"/>
        <v>#N/A</v>
      </c>
      <c r="S399" t="e">
        <f t="shared" ca="1" si="90"/>
        <v>#N/A</v>
      </c>
      <c r="T399" t="e">
        <f t="shared" ca="1" si="91"/>
        <v>#N/A</v>
      </c>
      <c r="U399" t="e">
        <f ca="1">IF(AND($C399='Funnel setup'!$K$3&amp;'Funnel setup'!$K$6&amp;'Funnel setup'!$K$7&amp;'Funnel setup'!$K$4,'Funnel Lookup'!I399="*",'Funnel Lookup'!I399="*"),#N/A,IF(AND($C399='Funnel setup'!$K$3&amp;'Funnel setup'!$K$6&amp;'Funnel setup'!$K$7&amp;'Funnel setup'!$K$4,'Funnel Lookup'!I399&gt;29,'Funnel Lookup'!I399&lt;&gt;"-"),'Funnel Lookup'!I399,#N/A))</f>
        <v>#N/A</v>
      </c>
      <c r="V399" t="e">
        <f ca="1">IF(AND($C399='Funnel setup'!$K$3&amp;'Funnel setup'!$K$6&amp;'Funnel setup'!$K$7&amp;'Funnel setup'!$K$4,'Funnel Lookup'!I399="*",'Funnel Lookup'!I399="*"),#N/A,IF(AND($C399='Funnel setup'!$K$3&amp;'Funnel setup'!$K$6&amp;'Funnel setup'!$K$7&amp;'Funnel setup'!$K$4,'Funnel Lookup'!I399&gt;29,'Funnel Lookup'!I399&lt;&gt;"-"),'Funnel Lookup'!Q399,#N/A))</f>
        <v>#N/A</v>
      </c>
    </row>
    <row r="400" spans="1:22" x14ac:dyDescent="0.25">
      <c r="A400">
        <v>398</v>
      </c>
      <c r="B400" t="e">
        <f t="shared" ca="1" si="92"/>
        <v>#N/A</v>
      </c>
      <c r="C400" t="e">
        <f t="shared" ca="1" si="92"/>
        <v>#N/A</v>
      </c>
      <c r="D400" t="e">
        <f t="shared" ca="1" si="92"/>
        <v>#N/A</v>
      </c>
      <c r="E400" t="e">
        <f t="shared" ca="1" si="92"/>
        <v>#N/A</v>
      </c>
      <c r="F400" t="e">
        <f t="shared" ca="1" si="92"/>
        <v>#N/A</v>
      </c>
      <c r="G400" t="e">
        <f t="shared" ca="1" si="92"/>
        <v>#N/A</v>
      </c>
      <c r="H400" t="e">
        <f t="shared" ca="1" si="92"/>
        <v>#N/A</v>
      </c>
      <c r="I400" t="e">
        <f t="shared" ca="1" si="92"/>
        <v>#N/A</v>
      </c>
      <c r="J400" t="e">
        <f t="shared" ca="1" si="92"/>
        <v>#N/A</v>
      </c>
      <c r="K400" t="e">
        <f t="shared" ca="1" si="92"/>
        <v>#N/A</v>
      </c>
      <c r="L400" t="e">
        <f t="shared" ca="1" si="93"/>
        <v>#N/A</v>
      </c>
      <c r="M400" t="e">
        <f t="shared" ca="1" si="93"/>
        <v>#N/A</v>
      </c>
      <c r="N400" t="e">
        <f t="shared" ca="1" si="93"/>
        <v>#N/A</v>
      </c>
      <c r="O400" t="e">
        <f t="shared" ca="1" si="93"/>
        <v>#N/A</v>
      </c>
      <c r="P400" t="e">
        <f t="shared" ca="1" si="93"/>
        <v>#N/A</v>
      </c>
      <c r="Q400" t="e">
        <f t="shared" ca="1" si="93"/>
        <v>#N/A</v>
      </c>
      <c r="R400" t="e">
        <f t="shared" ca="1" si="93"/>
        <v>#N/A</v>
      </c>
      <c r="S400" t="e">
        <f t="shared" ca="1" si="90"/>
        <v>#N/A</v>
      </c>
      <c r="T400" t="e">
        <f t="shared" ca="1" si="91"/>
        <v>#N/A</v>
      </c>
      <c r="U400" t="e">
        <f ca="1">IF(AND($C400='Funnel setup'!$K$3&amp;'Funnel setup'!$K$6&amp;'Funnel setup'!$K$7&amp;'Funnel setup'!$K$4,'Funnel Lookup'!I400="*",'Funnel Lookup'!I400="*"),#N/A,IF(AND($C400='Funnel setup'!$K$3&amp;'Funnel setup'!$K$6&amp;'Funnel setup'!$K$7&amp;'Funnel setup'!$K$4,'Funnel Lookup'!I400&gt;29,'Funnel Lookup'!I400&lt;&gt;"-"),'Funnel Lookup'!I400,#N/A))</f>
        <v>#N/A</v>
      </c>
      <c r="V400" t="e">
        <f ca="1">IF(AND($C400='Funnel setup'!$K$3&amp;'Funnel setup'!$K$6&amp;'Funnel setup'!$K$7&amp;'Funnel setup'!$K$4,'Funnel Lookup'!I400="*",'Funnel Lookup'!I400="*"),#N/A,IF(AND($C400='Funnel setup'!$K$3&amp;'Funnel setup'!$K$6&amp;'Funnel setup'!$K$7&amp;'Funnel setup'!$K$4,'Funnel Lookup'!I400&gt;29,'Funnel Lookup'!I400&lt;&gt;"-"),'Funnel Lookup'!Q400,#N/A))</f>
        <v>#N/A</v>
      </c>
    </row>
    <row r="401" spans="1:22" x14ac:dyDescent="0.25">
      <c r="A401">
        <v>399</v>
      </c>
      <c r="B401" t="e">
        <f t="shared" ca="1" si="92"/>
        <v>#N/A</v>
      </c>
      <c r="C401" t="e">
        <f t="shared" ca="1" si="92"/>
        <v>#N/A</v>
      </c>
      <c r="D401" t="e">
        <f t="shared" ca="1" si="92"/>
        <v>#N/A</v>
      </c>
      <c r="E401" t="e">
        <f t="shared" ca="1" si="92"/>
        <v>#N/A</v>
      </c>
      <c r="F401" t="e">
        <f t="shared" ca="1" si="92"/>
        <v>#N/A</v>
      </c>
      <c r="G401" t="e">
        <f t="shared" ca="1" si="92"/>
        <v>#N/A</v>
      </c>
      <c r="H401" t="e">
        <f t="shared" ca="1" si="92"/>
        <v>#N/A</v>
      </c>
      <c r="I401" t="e">
        <f t="shared" ca="1" si="92"/>
        <v>#N/A</v>
      </c>
      <c r="J401" t="e">
        <f t="shared" ca="1" si="92"/>
        <v>#N/A</v>
      </c>
      <c r="K401" t="e">
        <f t="shared" ca="1" si="92"/>
        <v>#N/A</v>
      </c>
      <c r="L401" t="e">
        <f t="shared" ca="1" si="93"/>
        <v>#N/A</v>
      </c>
      <c r="M401" t="e">
        <f t="shared" ca="1" si="93"/>
        <v>#N/A</v>
      </c>
      <c r="N401" t="e">
        <f t="shared" ca="1" si="93"/>
        <v>#N/A</v>
      </c>
      <c r="O401" t="e">
        <f t="shared" ca="1" si="93"/>
        <v>#N/A</v>
      </c>
      <c r="P401" t="e">
        <f t="shared" ca="1" si="93"/>
        <v>#N/A</v>
      </c>
      <c r="Q401" t="e">
        <f t="shared" ca="1" si="93"/>
        <v>#N/A</v>
      </c>
      <c r="R401" t="e">
        <f t="shared" ca="1" si="93"/>
        <v>#N/A</v>
      </c>
      <c r="S401" t="e">
        <f t="shared" ca="1" si="90"/>
        <v>#N/A</v>
      </c>
      <c r="T401" t="e">
        <f t="shared" ca="1" si="91"/>
        <v>#N/A</v>
      </c>
      <c r="U401" t="e">
        <f ca="1">IF(AND($C401='Funnel setup'!$K$3&amp;'Funnel setup'!$K$6&amp;'Funnel setup'!$K$7&amp;'Funnel setup'!$K$4,'Funnel Lookup'!I401="*",'Funnel Lookup'!I401="*"),#N/A,IF(AND($C401='Funnel setup'!$K$3&amp;'Funnel setup'!$K$6&amp;'Funnel setup'!$K$7&amp;'Funnel setup'!$K$4,'Funnel Lookup'!I401&gt;29,'Funnel Lookup'!I401&lt;&gt;"-"),'Funnel Lookup'!I401,#N/A))</f>
        <v>#N/A</v>
      </c>
      <c r="V401" t="e">
        <f ca="1">IF(AND($C401='Funnel setup'!$K$3&amp;'Funnel setup'!$K$6&amp;'Funnel setup'!$K$7&amp;'Funnel setup'!$K$4,'Funnel Lookup'!I401="*",'Funnel Lookup'!I401="*"),#N/A,IF(AND($C401='Funnel setup'!$K$3&amp;'Funnel setup'!$K$6&amp;'Funnel setup'!$K$7&amp;'Funnel setup'!$K$4,'Funnel Lookup'!I401&gt;29,'Funnel Lookup'!I401&lt;&gt;"-"),'Funnel Lookup'!Q401,#N/A))</f>
        <v>#N/A</v>
      </c>
    </row>
    <row r="402" spans="1:22" x14ac:dyDescent="0.25">
      <c r="A402">
        <v>400</v>
      </c>
      <c r="B402" t="e">
        <f t="shared" ca="1" si="92"/>
        <v>#N/A</v>
      </c>
      <c r="C402" t="e">
        <f t="shared" ca="1" si="92"/>
        <v>#N/A</v>
      </c>
      <c r="D402" t="e">
        <f t="shared" ca="1" si="92"/>
        <v>#N/A</v>
      </c>
      <c r="E402" t="e">
        <f t="shared" ca="1" si="92"/>
        <v>#N/A</v>
      </c>
      <c r="F402" t="e">
        <f t="shared" ca="1" si="92"/>
        <v>#N/A</v>
      </c>
      <c r="G402" t="e">
        <f t="shared" ca="1" si="92"/>
        <v>#N/A</v>
      </c>
      <c r="H402" t="e">
        <f t="shared" ca="1" si="92"/>
        <v>#N/A</v>
      </c>
      <c r="I402" t="e">
        <f t="shared" ca="1" si="92"/>
        <v>#N/A</v>
      </c>
      <c r="J402" t="e">
        <f t="shared" ca="1" si="92"/>
        <v>#N/A</v>
      </c>
      <c r="K402" t="e">
        <f t="shared" ca="1" si="92"/>
        <v>#N/A</v>
      </c>
      <c r="L402" t="e">
        <f t="shared" ca="1" si="93"/>
        <v>#N/A</v>
      </c>
      <c r="M402" t="e">
        <f t="shared" ca="1" si="93"/>
        <v>#N/A</v>
      </c>
      <c r="N402" t="e">
        <f t="shared" ca="1" si="93"/>
        <v>#N/A</v>
      </c>
      <c r="O402" t="e">
        <f t="shared" ca="1" si="93"/>
        <v>#N/A</v>
      </c>
      <c r="P402" t="e">
        <f t="shared" ca="1" si="93"/>
        <v>#N/A</v>
      </c>
      <c r="Q402" t="e">
        <f t="shared" ca="1" si="93"/>
        <v>#N/A</v>
      </c>
      <c r="R402" t="e">
        <f t="shared" ca="1" si="93"/>
        <v>#N/A</v>
      </c>
      <c r="S402" t="e">
        <f t="shared" ca="1" si="90"/>
        <v>#N/A</v>
      </c>
      <c r="T402" t="e">
        <f t="shared" ca="1" si="91"/>
        <v>#N/A</v>
      </c>
      <c r="U402" t="e">
        <f ca="1">IF(AND($C402='Funnel setup'!$K$3&amp;'Funnel setup'!$K$6&amp;'Funnel setup'!$K$7&amp;'Funnel setup'!$K$4,'Funnel Lookup'!I402="*",'Funnel Lookup'!I402="*"),#N/A,IF(AND($C402='Funnel setup'!$K$3&amp;'Funnel setup'!$K$6&amp;'Funnel setup'!$K$7&amp;'Funnel setup'!$K$4,'Funnel Lookup'!I402&gt;29,'Funnel Lookup'!I402&lt;&gt;"-"),'Funnel Lookup'!I402,#N/A))</f>
        <v>#N/A</v>
      </c>
      <c r="V402" t="e">
        <f ca="1">IF(AND($C402='Funnel setup'!$K$3&amp;'Funnel setup'!$K$6&amp;'Funnel setup'!$K$7&amp;'Funnel setup'!$K$4,'Funnel Lookup'!I402="*",'Funnel Lookup'!I402="*"),#N/A,IF(AND($C402='Funnel setup'!$K$3&amp;'Funnel setup'!$K$6&amp;'Funnel setup'!$K$7&amp;'Funnel setup'!$K$4,'Funnel Lookup'!I402&gt;29,'Funnel Lookup'!I402&lt;&gt;"-"),'Funnel Lookup'!Q402,#N/A))</f>
        <v>#N/A</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theme="9"/>
    <pageSetUpPr fitToPage="1"/>
  </sheetPr>
  <dimension ref="B1:XFD65"/>
  <sheetViews>
    <sheetView showGridLines="0" zoomScale="90" zoomScaleNormal="90" workbookViewId="0">
      <pane ySplit="7" topLeftCell="A12" activePane="bottomLeft" state="frozen"/>
      <selection activeCell="C13" sqref="C13"/>
      <selection pane="bottomLeft" activeCell="G11" sqref="G11"/>
    </sheetView>
  </sheetViews>
  <sheetFormatPr defaultColWidth="9.1796875" defaultRowHeight="12.5" x14ac:dyDescent="0.25"/>
  <cols>
    <col min="1" max="1" width="2.54296875" style="41" customWidth="1"/>
    <col min="2" max="2" width="138" style="280" customWidth="1"/>
    <col min="3" max="74" width="9.1796875" style="283" customWidth="1"/>
    <col min="75" max="80" width="9.1796875" style="41" customWidth="1"/>
    <col min="81" max="16384" width="9.1796875" style="41"/>
  </cols>
  <sheetData>
    <row r="1" spans="2:74" s="280" customFormat="1" x14ac:dyDescent="0.25">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row>
    <row r="2" spans="2:74" s="280" customFormat="1" x14ac:dyDescent="0.25">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row>
    <row r="3" spans="2:74" s="280" customFormat="1" x14ac:dyDescent="0.25">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row>
    <row r="4" spans="2:74" s="280" customFormat="1" x14ac:dyDescent="0.25">
      <c r="C4" s="283"/>
      <c r="D4" s="283"/>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row>
    <row r="5" spans="2:74" s="280" customFormat="1" x14ac:dyDescent="0.25">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row>
    <row r="6" spans="2:74" s="280" customFormat="1" x14ac:dyDescent="0.25">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row>
    <row r="7" spans="2:74" s="280" customFormat="1" x14ac:dyDescent="0.25">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row>
    <row r="8" spans="2:74" s="360" customFormat="1" ht="33.75" customHeight="1" x14ac:dyDescent="0.25">
      <c r="B8" s="358" t="s">
        <v>1205</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c r="BG8" s="359"/>
      <c r="BH8" s="359"/>
      <c r="BI8" s="359"/>
      <c r="BJ8" s="359"/>
      <c r="BK8" s="359"/>
      <c r="BL8" s="359"/>
      <c r="BM8" s="359"/>
      <c r="BN8" s="359"/>
      <c r="BO8" s="359"/>
      <c r="BP8" s="359"/>
      <c r="BQ8" s="359"/>
      <c r="BR8" s="359"/>
      <c r="BS8" s="359"/>
      <c r="BT8" s="359"/>
      <c r="BU8" s="359"/>
      <c r="BV8" s="359"/>
    </row>
    <row r="9" spans="2:74" ht="27.75" customHeight="1" x14ac:dyDescent="0.25">
      <c r="B9" s="361" t="str">
        <f>TEXT(Reference!B2,"mmmm yyyy") &amp; " to " &amp; TEXT(Reference!B3,"mmmm yyyy") &amp; IF(Reference!B5=TRUE,", provisional data",", finalised data")</f>
        <v>April 2021 to March 2022, finalised data</v>
      </c>
      <c r="C9" s="359"/>
      <c r="D9" s="359"/>
      <c r="E9" s="359"/>
      <c r="F9" s="359"/>
      <c r="G9" s="359"/>
      <c r="H9" s="359"/>
      <c r="I9" s="359"/>
      <c r="J9" s="359"/>
      <c r="K9" s="359"/>
      <c r="L9" s="359"/>
      <c r="M9" s="359"/>
      <c r="N9" s="359"/>
      <c r="O9" s="359"/>
      <c r="P9" s="359"/>
      <c r="Q9" s="359"/>
      <c r="R9" s="359"/>
      <c r="S9" s="359"/>
      <c r="T9" s="359"/>
      <c r="U9" s="359"/>
      <c r="V9" s="359"/>
      <c r="W9" s="359"/>
      <c r="X9" s="359"/>
      <c r="Y9" s="359"/>
      <c r="Z9" s="359"/>
      <c r="AA9" s="359"/>
      <c r="AB9" s="359"/>
      <c r="AC9" s="359"/>
      <c r="AD9" s="359"/>
      <c r="AE9" s="359"/>
      <c r="AF9" s="359"/>
      <c r="AG9" s="359"/>
      <c r="AH9" s="359"/>
      <c r="AI9" s="359"/>
      <c r="AJ9" s="359"/>
      <c r="AK9" s="359"/>
      <c r="AL9" s="359"/>
      <c r="AM9" s="359"/>
      <c r="AN9" s="359"/>
      <c r="AO9" s="359"/>
      <c r="AP9" s="359"/>
      <c r="AQ9" s="359"/>
      <c r="AR9" s="359"/>
      <c r="AS9" s="359"/>
      <c r="AT9" s="359"/>
      <c r="AU9" s="359"/>
      <c r="AV9" s="359"/>
      <c r="AW9" s="359"/>
      <c r="AX9" s="359"/>
      <c r="AY9" s="359"/>
      <c r="AZ9" s="359"/>
      <c r="BA9" s="359"/>
      <c r="BB9" s="359"/>
      <c r="BC9" s="359"/>
      <c r="BD9" s="359"/>
      <c r="BE9" s="359"/>
      <c r="BF9" s="359"/>
      <c r="BG9" s="359"/>
      <c r="BH9" s="359"/>
      <c r="BI9" s="359"/>
      <c r="BJ9" s="359"/>
      <c r="BK9" s="359"/>
      <c r="BL9" s="359"/>
      <c r="BM9" s="359"/>
      <c r="BN9" s="359"/>
      <c r="BO9" s="359"/>
      <c r="BP9" s="359"/>
      <c r="BQ9" s="359"/>
      <c r="BR9" s="359"/>
      <c r="BS9" s="359"/>
      <c r="BT9" s="359"/>
      <c r="BU9" s="359"/>
      <c r="BV9" s="359"/>
    </row>
    <row r="10" spans="2:74" s="360" customFormat="1" ht="18" customHeight="1" x14ac:dyDescent="0.3">
      <c r="B10" s="362" t="str">
        <f>TEXT("Published " &amp; Reference!B4,"###")</f>
        <v>Published 13 July 2023</v>
      </c>
      <c r="C10" s="363"/>
      <c r="D10" s="363"/>
      <c r="E10" s="359"/>
      <c r="F10" s="359"/>
      <c r="G10" s="359"/>
      <c r="H10" s="359"/>
      <c r="I10" s="359"/>
      <c r="J10" s="359"/>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59"/>
      <c r="BH10" s="359"/>
      <c r="BI10" s="359"/>
      <c r="BJ10" s="359"/>
      <c r="BK10" s="359"/>
      <c r="BL10" s="359"/>
      <c r="BM10" s="359"/>
      <c r="BN10" s="359"/>
      <c r="BO10" s="359"/>
      <c r="BP10" s="359"/>
      <c r="BQ10" s="359"/>
      <c r="BR10" s="359"/>
      <c r="BS10" s="359"/>
      <c r="BT10" s="359"/>
      <c r="BU10" s="359"/>
      <c r="BV10" s="359"/>
    </row>
    <row r="11" spans="2:74" s="360" customFormat="1" ht="30.5" customHeight="1" x14ac:dyDescent="0.3">
      <c r="B11" s="364" t="str">
        <f>Reference!B8</f>
        <v>http://digital.nhs.uk/pubs/promsapr21mar22fin</v>
      </c>
      <c r="C11" s="363"/>
      <c r="D11" s="363"/>
      <c r="E11" s="359"/>
      <c r="F11" s="359"/>
      <c r="G11" s="359"/>
      <c r="H11" s="359"/>
      <c r="I11" s="359"/>
      <c r="J11" s="359"/>
      <c r="K11" s="359"/>
      <c r="L11" s="359"/>
      <c r="M11" s="359"/>
      <c r="N11" s="359"/>
      <c r="O11" s="359"/>
      <c r="P11" s="359"/>
      <c r="Q11" s="359"/>
      <c r="R11" s="359"/>
      <c r="S11" s="359"/>
      <c r="T11" s="359"/>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c r="AS11" s="359"/>
      <c r="AT11" s="359"/>
      <c r="AU11" s="359"/>
      <c r="AV11" s="359"/>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row>
    <row r="12" spans="2:74" s="360" customFormat="1" ht="14.25" customHeight="1" x14ac:dyDescent="0.3">
      <c r="B12" s="362"/>
      <c r="C12" s="363"/>
      <c r="D12" s="363"/>
      <c r="E12" s="359"/>
      <c r="F12" s="359"/>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359"/>
      <c r="BA12" s="359"/>
      <c r="BB12" s="359"/>
      <c r="BC12" s="359"/>
      <c r="BD12" s="359"/>
      <c r="BE12" s="359"/>
      <c r="BF12" s="359"/>
      <c r="BG12" s="359"/>
      <c r="BH12" s="359"/>
      <c r="BI12" s="359"/>
      <c r="BJ12" s="359"/>
      <c r="BK12" s="359"/>
      <c r="BL12" s="359"/>
      <c r="BM12" s="359"/>
      <c r="BN12" s="359"/>
      <c r="BO12" s="359"/>
      <c r="BP12" s="359"/>
      <c r="BQ12" s="359"/>
      <c r="BR12" s="359"/>
      <c r="BS12" s="359"/>
      <c r="BT12" s="359"/>
      <c r="BU12" s="359"/>
      <c r="BV12" s="359"/>
    </row>
    <row r="13" spans="2:74" s="360" customFormat="1" ht="15" customHeight="1" x14ac:dyDescent="0.3">
      <c r="B13" s="365" t="s">
        <v>1206</v>
      </c>
      <c r="C13" s="363"/>
      <c r="D13" s="363"/>
      <c r="E13" s="359"/>
      <c r="F13" s="359"/>
      <c r="G13" s="359"/>
      <c r="H13" s="359"/>
      <c r="I13" s="359"/>
      <c r="J13" s="359"/>
      <c r="K13" s="359"/>
      <c r="L13" s="359"/>
      <c r="M13" s="359"/>
      <c r="N13" s="359"/>
      <c r="O13" s="359"/>
      <c r="P13" s="359"/>
      <c r="Q13" s="359"/>
      <c r="R13" s="359"/>
      <c r="S13" s="359"/>
      <c r="T13" s="359"/>
      <c r="U13" s="359"/>
      <c r="V13" s="359"/>
      <c r="W13" s="359"/>
      <c r="X13" s="359"/>
      <c r="Y13" s="359"/>
      <c r="Z13" s="359"/>
      <c r="AA13" s="359"/>
      <c r="AB13" s="359"/>
      <c r="AC13" s="359"/>
      <c r="AD13" s="359"/>
      <c r="AE13" s="359"/>
      <c r="AF13" s="359"/>
      <c r="AG13" s="359"/>
      <c r="AH13" s="359"/>
      <c r="AI13" s="359"/>
      <c r="AJ13" s="359"/>
      <c r="AK13" s="359"/>
      <c r="AL13" s="359"/>
      <c r="AM13" s="359"/>
      <c r="AN13" s="359"/>
      <c r="AO13" s="359"/>
      <c r="AP13" s="359"/>
      <c r="AQ13" s="359"/>
      <c r="AR13" s="359"/>
      <c r="AS13" s="359"/>
      <c r="AT13" s="359"/>
      <c r="AU13" s="359"/>
      <c r="AV13" s="359"/>
      <c r="AW13" s="359"/>
      <c r="AX13" s="359"/>
      <c r="AY13" s="359"/>
      <c r="AZ13" s="359"/>
      <c r="BA13" s="359"/>
      <c r="BB13" s="359"/>
      <c r="BC13" s="359"/>
      <c r="BD13" s="359"/>
      <c r="BE13" s="359"/>
      <c r="BF13" s="359"/>
      <c r="BG13" s="359"/>
      <c r="BH13" s="359"/>
      <c r="BI13" s="359"/>
      <c r="BJ13" s="359"/>
      <c r="BK13" s="359"/>
      <c r="BL13" s="359"/>
      <c r="BM13" s="359"/>
      <c r="BN13" s="359"/>
      <c r="BO13" s="359"/>
      <c r="BP13" s="359"/>
      <c r="BQ13" s="359"/>
      <c r="BR13" s="359"/>
      <c r="BS13" s="359"/>
      <c r="BT13" s="359"/>
      <c r="BU13" s="359"/>
      <c r="BV13" s="359"/>
    </row>
    <row r="14" spans="2:74" s="360" customFormat="1" ht="81.5" customHeight="1" x14ac:dyDescent="0.3">
      <c r="B14" s="366" t="s">
        <v>1207</v>
      </c>
      <c r="C14" s="363"/>
      <c r="D14" s="363"/>
      <c r="E14" s="359"/>
      <c r="F14" s="359"/>
      <c r="G14" s="359"/>
      <c r="H14" s="359"/>
      <c r="I14" s="359"/>
      <c r="J14" s="359"/>
      <c r="K14" s="359"/>
      <c r="L14" s="359"/>
      <c r="M14" s="359"/>
      <c r="N14" s="359"/>
      <c r="O14" s="359"/>
      <c r="P14" s="359"/>
      <c r="Q14" s="359"/>
      <c r="R14" s="359"/>
      <c r="S14" s="359"/>
      <c r="T14" s="359"/>
      <c r="U14" s="359"/>
      <c r="V14" s="359"/>
      <c r="W14" s="359"/>
      <c r="X14" s="359"/>
      <c r="Y14" s="359"/>
      <c r="Z14" s="359"/>
      <c r="AA14" s="359"/>
      <c r="AB14" s="359"/>
      <c r="AC14" s="359"/>
      <c r="AD14" s="359"/>
      <c r="AE14" s="359"/>
      <c r="AF14" s="359"/>
      <c r="AG14" s="359"/>
      <c r="AH14" s="359"/>
      <c r="AI14" s="359"/>
      <c r="AJ14" s="359"/>
      <c r="AK14" s="359"/>
      <c r="AL14" s="359"/>
      <c r="AM14" s="359"/>
      <c r="AN14" s="359"/>
      <c r="AO14" s="359"/>
      <c r="AP14" s="359"/>
      <c r="AQ14" s="359"/>
      <c r="AR14" s="359"/>
      <c r="AS14" s="359"/>
      <c r="AT14" s="359"/>
      <c r="AU14" s="359"/>
      <c r="AV14" s="359"/>
      <c r="AW14" s="359"/>
      <c r="AX14" s="359"/>
      <c r="AY14" s="359"/>
      <c r="AZ14" s="359"/>
      <c r="BA14" s="359"/>
      <c r="BB14" s="359"/>
      <c r="BC14" s="359"/>
      <c r="BD14" s="359"/>
      <c r="BE14" s="359"/>
      <c r="BF14" s="359"/>
      <c r="BG14" s="359"/>
      <c r="BH14" s="359"/>
      <c r="BI14" s="359"/>
      <c r="BJ14" s="359"/>
      <c r="BK14" s="359"/>
      <c r="BL14" s="359"/>
      <c r="BM14" s="359"/>
      <c r="BN14" s="359"/>
      <c r="BO14" s="359"/>
      <c r="BP14" s="359"/>
      <c r="BQ14" s="359"/>
      <c r="BR14" s="359"/>
      <c r="BS14" s="359"/>
      <c r="BT14" s="359"/>
      <c r="BU14" s="359"/>
      <c r="BV14" s="359"/>
    </row>
    <row r="15" spans="2:74" s="360" customFormat="1" ht="14.25" customHeight="1" x14ac:dyDescent="0.3">
      <c r="B15" s="362"/>
      <c r="C15" s="363"/>
      <c r="D15" s="363"/>
      <c r="E15" s="359"/>
      <c r="F15" s="359"/>
      <c r="G15" s="359"/>
      <c r="H15" s="359"/>
      <c r="I15" s="359"/>
      <c r="J15" s="359"/>
      <c r="K15" s="359"/>
      <c r="L15" s="359"/>
      <c r="M15" s="359"/>
      <c r="N15" s="359"/>
      <c r="O15" s="359"/>
      <c r="P15" s="359"/>
      <c r="Q15" s="359"/>
      <c r="R15" s="359"/>
      <c r="S15" s="359"/>
      <c r="T15" s="359"/>
      <c r="U15" s="359"/>
      <c r="V15" s="359"/>
      <c r="W15" s="359"/>
      <c r="X15" s="359"/>
      <c r="Y15" s="359"/>
      <c r="Z15" s="359"/>
      <c r="AA15" s="359"/>
      <c r="AB15" s="359"/>
      <c r="AC15" s="359"/>
      <c r="AD15" s="359"/>
      <c r="AE15" s="359"/>
      <c r="AF15" s="359"/>
      <c r="AG15" s="359"/>
      <c r="AH15" s="359"/>
      <c r="AI15" s="359"/>
      <c r="AJ15" s="359"/>
      <c r="AK15" s="359"/>
      <c r="AL15" s="359"/>
      <c r="AM15" s="359"/>
      <c r="AN15" s="359"/>
      <c r="AO15" s="359"/>
      <c r="AP15" s="359"/>
      <c r="AQ15" s="359"/>
      <c r="AR15" s="359"/>
      <c r="AS15" s="359"/>
      <c r="AT15" s="359"/>
      <c r="AU15" s="359"/>
      <c r="AV15" s="359"/>
      <c r="AW15" s="359"/>
      <c r="AX15" s="359"/>
      <c r="AY15" s="359"/>
      <c r="AZ15" s="359"/>
      <c r="BA15" s="359"/>
      <c r="BB15" s="359"/>
      <c r="BC15" s="359"/>
      <c r="BD15" s="359"/>
      <c r="BE15" s="359"/>
      <c r="BF15" s="359"/>
      <c r="BG15" s="359"/>
      <c r="BH15" s="359"/>
      <c r="BI15" s="359"/>
      <c r="BJ15" s="359"/>
      <c r="BK15" s="359"/>
      <c r="BL15" s="359"/>
      <c r="BM15" s="359"/>
      <c r="BN15" s="359"/>
      <c r="BO15" s="359"/>
      <c r="BP15" s="359"/>
      <c r="BQ15" s="359"/>
      <c r="BR15" s="359"/>
      <c r="BS15" s="359"/>
      <c r="BT15" s="359"/>
      <c r="BU15" s="359"/>
      <c r="BV15" s="359"/>
    </row>
    <row r="16" spans="2:74" s="368" customFormat="1" ht="14.25" customHeight="1" x14ac:dyDescent="0.3">
      <c r="B16" s="367" t="s">
        <v>1208</v>
      </c>
      <c r="C16" s="363"/>
      <c r="D16" s="363"/>
      <c r="E16" s="359"/>
      <c r="F16" s="359"/>
      <c r="G16" s="359"/>
      <c r="H16" s="359"/>
      <c r="I16" s="359"/>
      <c r="J16" s="359"/>
      <c r="K16" s="359"/>
      <c r="L16" s="359"/>
      <c r="M16" s="359"/>
      <c r="N16" s="359"/>
      <c r="O16" s="359"/>
      <c r="P16" s="359"/>
      <c r="Q16" s="359"/>
      <c r="R16" s="359"/>
      <c r="S16" s="359"/>
      <c r="T16" s="359"/>
      <c r="U16" s="359"/>
      <c r="V16" s="359"/>
      <c r="W16" s="359"/>
      <c r="X16" s="359"/>
      <c r="Y16" s="359"/>
      <c r="Z16" s="359"/>
      <c r="AA16" s="359"/>
      <c r="AB16" s="359"/>
      <c r="AC16" s="359"/>
      <c r="AD16" s="359"/>
      <c r="AE16" s="359"/>
      <c r="AF16" s="359"/>
      <c r="AG16" s="359"/>
      <c r="AH16" s="359"/>
      <c r="AI16" s="359"/>
      <c r="AJ16" s="359"/>
      <c r="AK16" s="359"/>
      <c r="AL16" s="359"/>
      <c r="AM16" s="359"/>
      <c r="AN16" s="359"/>
      <c r="AO16" s="359"/>
      <c r="AP16" s="359"/>
      <c r="AQ16" s="359"/>
      <c r="AR16" s="359"/>
      <c r="AS16" s="359"/>
      <c r="AT16" s="359"/>
      <c r="AU16" s="359"/>
      <c r="AV16" s="359"/>
      <c r="AW16" s="359"/>
      <c r="AX16" s="359"/>
      <c r="AY16" s="359"/>
      <c r="AZ16" s="359"/>
      <c r="BA16" s="359"/>
      <c r="BB16" s="359"/>
      <c r="BC16" s="359"/>
      <c r="BD16" s="359"/>
      <c r="BE16" s="359"/>
      <c r="BF16" s="359"/>
      <c r="BG16" s="359"/>
      <c r="BH16" s="359"/>
      <c r="BI16" s="359"/>
      <c r="BJ16" s="359"/>
      <c r="BK16" s="359"/>
      <c r="BL16" s="359"/>
      <c r="BM16" s="359"/>
      <c r="BN16" s="359"/>
      <c r="BO16" s="359"/>
      <c r="BP16" s="359"/>
      <c r="BQ16" s="359"/>
      <c r="BR16" s="359"/>
      <c r="BS16" s="359"/>
      <c r="BT16" s="359"/>
      <c r="BU16" s="359"/>
      <c r="BV16" s="359"/>
    </row>
    <row r="17" spans="2:74" s="368" customFormat="1" ht="30" customHeight="1" x14ac:dyDescent="0.3">
      <c r="B17" s="369" t="s">
        <v>1209</v>
      </c>
      <c r="C17" s="363"/>
      <c r="D17" s="363"/>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359"/>
      <c r="AE17" s="359"/>
      <c r="AF17" s="359"/>
      <c r="AG17" s="359"/>
      <c r="AH17" s="359"/>
      <c r="AI17" s="359"/>
      <c r="AJ17" s="359"/>
      <c r="AK17" s="359"/>
      <c r="AL17" s="359"/>
      <c r="AM17" s="359"/>
      <c r="AN17" s="359"/>
      <c r="AO17" s="359"/>
      <c r="AP17" s="359"/>
      <c r="AQ17" s="359"/>
      <c r="AR17" s="359"/>
      <c r="AS17" s="359"/>
      <c r="AT17" s="359"/>
      <c r="AU17" s="359"/>
      <c r="AV17" s="359"/>
      <c r="AW17" s="359"/>
      <c r="AX17" s="359"/>
      <c r="AY17" s="359"/>
      <c r="AZ17" s="359"/>
      <c r="BA17" s="359"/>
      <c r="BB17" s="359"/>
      <c r="BC17" s="359"/>
      <c r="BD17" s="359"/>
      <c r="BE17" s="359"/>
      <c r="BF17" s="359"/>
      <c r="BG17" s="359"/>
      <c r="BH17" s="359"/>
      <c r="BI17" s="359"/>
      <c r="BJ17" s="359"/>
      <c r="BK17" s="359"/>
      <c r="BL17" s="359"/>
      <c r="BM17" s="359"/>
      <c r="BN17" s="359"/>
      <c r="BO17" s="359"/>
      <c r="BP17" s="359"/>
      <c r="BQ17" s="359"/>
      <c r="BR17" s="359"/>
      <c r="BS17" s="359"/>
      <c r="BT17" s="359"/>
      <c r="BU17" s="359"/>
      <c r="BV17" s="359"/>
    </row>
    <row r="18" spans="2:74" s="368" customFormat="1" ht="14.25" customHeight="1" x14ac:dyDescent="0.3">
      <c r="B18" s="349"/>
      <c r="C18" s="363"/>
      <c r="D18" s="363"/>
      <c r="E18" s="359"/>
      <c r="F18" s="359"/>
      <c r="G18" s="359"/>
      <c r="H18" s="359"/>
      <c r="I18" s="359"/>
      <c r="J18" s="359"/>
      <c r="K18" s="359"/>
      <c r="L18" s="359"/>
      <c r="M18" s="359"/>
      <c r="N18" s="359"/>
      <c r="O18" s="359"/>
      <c r="P18" s="359"/>
      <c r="Q18" s="359"/>
      <c r="R18" s="35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59"/>
      <c r="AS18" s="359"/>
      <c r="AT18" s="359"/>
      <c r="AU18" s="359"/>
      <c r="AV18" s="359"/>
      <c r="AW18" s="359"/>
      <c r="AX18" s="359"/>
      <c r="AY18" s="359"/>
      <c r="AZ18" s="359"/>
      <c r="BA18" s="359"/>
      <c r="BB18" s="359"/>
      <c r="BC18" s="359"/>
      <c r="BD18" s="359"/>
      <c r="BE18" s="359"/>
      <c r="BF18" s="359"/>
      <c r="BG18" s="359"/>
      <c r="BH18" s="359"/>
      <c r="BI18" s="359"/>
      <c r="BJ18" s="359"/>
      <c r="BK18" s="359"/>
      <c r="BL18" s="359"/>
      <c r="BM18" s="359"/>
      <c r="BN18" s="359"/>
      <c r="BO18" s="359"/>
      <c r="BP18" s="359"/>
      <c r="BQ18" s="359"/>
      <c r="BR18" s="359"/>
      <c r="BS18" s="359"/>
      <c r="BT18" s="359"/>
      <c r="BU18" s="359"/>
      <c r="BV18" s="359"/>
    </row>
    <row r="19" spans="2:74" s="368" customFormat="1" ht="14.25" customHeight="1" x14ac:dyDescent="0.3">
      <c r="B19" s="357" t="s">
        <v>1210</v>
      </c>
      <c r="C19" s="363"/>
      <c r="D19" s="363"/>
      <c r="E19" s="359"/>
      <c r="F19" s="359"/>
      <c r="G19" s="359"/>
      <c r="H19" s="359"/>
      <c r="I19" s="359"/>
      <c r="J19" s="359"/>
      <c r="K19" s="359"/>
      <c r="L19" s="359"/>
      <c r="M19" s="359"/>
      <c r="N19" s="359"/>
      <c r="O19" s="359"/>
      <c r="P19" s="359"/>
      <c r="Q19" s="359"/>
      <c r="R19" s="359"/>
      <c r="S19" s="359"/>
      <c r="T19" s="359"/>
      <c r="U19" s="359"/>
      <c r="V19" s="359"/>
      <c r="W19" s="359"/>
      <c r="X19" s="359"/>
      <c r="Y19" s="359"/>
      <c r="Z19" s="359"/>
      <c r="AA19" s="359"/>
      <c r="AB19" s="359"/>
      <c r="AC19" s="359"/>
      <c r="AD19" s="359"/>
      <c r="AE19" s="359"/>
      <c r="AF19" s="359"/>
      <c r="AG19" s="359"/>
      <c r="AH19" s="359"/>
      <c r="AI19" s="359"/>
      <c r="AJ19" s="359"/>
      <c r="AK19" s="359"/>
      <c r="AL19" s="359"/>
      <c r="AM19" s="359"/>
      <c r="AN19" s="359"/>
      <c r="AO19" s="359"/>
      <c r="AP19" s="359"/>
      <c r="AQ19" s="359"/>
      <c r="AR19" s="359"/>
      <c r="AS19" s="359"/>
      <c r="AT19" s="359"/>
      <c r="AU19" s="359"/>
      <c r="AV19" s="359"/>
      <c r="AW19" s="359"/>
      <c r="AX19" s="359"/>
      <c r="AY19" s="359"/>
      <c r="AZ19" s="359"/>
      <c r="BA19" s="359"/>
      <c r="BB19" s="359"/>
      <c r="BC19" s="359"/>
      <c r="BD19" s="359"/>
      <c r="BE19" s="359"/>
      <c r="BF19" s="359"/>
      <c r="BG19" s="359"/>
      <c r="BH19" s="359"/>
      <c r="BI19" s="359"/>
      <c r="BJ19" s="359"/>
      <c r="BK19" s="359"/>
      <c r="BL19" s="359"/>
      <c r="BM19" s="359"/>
      <c r="BN19" s="359"/>
      <c r="BO19" s="359"/>
      <c r="BP19" s="359"/>
      <c r="BQ19" s="359"/>
      <c r="BR19" s="359"/>
      <c r="BS19" s="359"/>
      <c r="BT19" s="359"/>
      <c r="BU19" s="359"/>
      <c r="BV19" s="359"/>
    </row>
    <row r="20" spans="2:74" s="368" customFormat="1" ht="14.25" customHeight="1" x14ac:dyDescent="0.3">
      <c r="B20" s="357" t="s">
        <v>1211</v>
      </c>
      <c r="C20" s="363"/>
      <c r="D20" s="363"/>
      <c r="E20" s="359"/>
      <c r="F20" s="359"/>
      <c r="G20" s="359"/>
      <c r="H20" s="359"/>
      <c r="I20" s="359"/>
      <c r="J20" s="359"/>
      <c r="K20" s="359"/>
      <c r="L20" s="359"/>
      <c r="M20" s="359"/>
      <c r="N20" s="359"/>
      <c r="O20" s="359"/>
      <c r="P20" s="359"/>
      <c r="Q20" s="359"/>
      <c r="R20" s="359"/>
      <c r="S20" s="359"/>
      <c r="T20" s="359"/>
      <c r="U20" s="359"/>
      <c r="V20" s="359"/>
      <c r="W20" s="359"/>
      <c r="X20" s="359"/>
      <c r="Y20" s="359"/>
      <c r="Z20" s="359"/>
      <c r="AA20" s="359"/>
      <c r="AB20" s="359"/>
      <c r="AC20" s="359"/>
      <c r="AD20" s="359"/>
      <c r="AE20" s="359"/>
      <c r="AF20" s="359"/>
      <c r="AG20" s="359"/>
      <c r="AH20" s="359"/>
      <c r="AI20" s="359"/>
      <c r="AJ20" s="359"/>
      <c r="AK20" s="359"/>
      <c r="AL20" s="359"/>
      <c r="AM20" s="359"/>
      <c r="AN20" s="359"/>
      <c r="AO20" s="359"/>
      <c r="AP20" s="359"/>
      <c r="AQ20" s="359"/>
      <c r="AR20" s="359"/>
      <c r="AS20" s="359"/>
      <c r="AT20" s="359"/>
      <c r="AU20" s="359"/>
      <c r="AV20" s="359"/>
      <c r="AW20" s="359"/>
      <c r="AX20" s="359"/>
      <c r="AY20" s="359"/>
      <c r="AZ20" s="359"/>
      <c r="BA20" s="359"/>
      <c r="BB20" s="359"/>
      <c r="BC20" s="359"/>
      <c r="BD20" s="359"/>
      <c r="BE20" s="359"/>
      <c r="BF20" s="359"/>
      <c r="BG20" s="359"/>
      <c r="BH20" s="359"/>
      <c r="BI20" s="359"/>
      <c r="BJ20" s="359"/>
      <c r="BK20" s="359"/>
      <c r="BL20" s="359"/>
      <c r="BM20" s="359"/>
      <c r="BN20" s="359"/>
      <c r="BO20" s="359"/>
      <c r="BP20" s="359"/>
      <c r="BQ20" s="359"/>
      <c r="BR20" s="359"/>
      <c r="BS20" s="359"/>
      <c r="BT20" s="359"/>
      <c r="BU20" s="359"/>
      <c r="BV20" s="359"/>
    </row>
    <row r="21" spans="2:74" s="368" customFormat="1" ht="14.25" customHeight="1" x14ac:dyDescent="0.3">
      <c r="B21" s="357" t="s">
        <v>1212</v>
      </c>
      <c r="C21" s="363"/>
      <c r="D21" s="363"/>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9"/>
      <c r="AI21" s="359"/>
      <c r="AJ21" s="359"/>
      <c r="AK21" s="359"/>
      <c r="AL21" s="359"/>
      <c r="AM21" s="359"/>
      <c r="AN21" s="359"/>
      <c r="AO21" s="359"/>
      <c r="AP21" s="359"/>
      <c r="AQ21" s="359"/>
      <c r="AR21" s="359"/>
      <c r="AS21" s="359"/>
      <c r="AT21" s="359"/>
      <c r="AU21" s="359"/>
      <c r="AV21" s="359"/>
      <c r="AW21" s="359"/>
      <c r="AX21" s="359"/>
      <c r="AY21" s="359"/>
      <c r="AZ21" s="359"/>
      <c r="BA21" s="359"/>
      <c r="BB21" s="359"/>
      <c r="BC21" s="359"/>
      <c r="BD21" s="359"/>
      <c r="BE21" s="359"/>
      <c r="BF21" s="359"/>
      <c r="BG21" s="359"/>
      <c r="BH21" s="359"/>
      <c r="BI21" s="359"/>
      <c r="BJ21" s="359"/>
      <c r="BK21" s="359"/>
      <c r="BL21" s="359"/>
      <c r="BM21" s="359"/>
      <c r="BN21" s="359"/>
      <c r="BO21" s="359"/>
      <c r="BP21" s="359"/>
      <c r="BQ21" s="359"/>
      <c r="BR21" s="359"/>
      <c r="BS21" s="359"/>
      <c r="BT21" s="359"/>
      <c r="BU21" s="359"/>
      <c r="BV21" s="359"/>
    </row>
    <row r="22" spans="2:74" s="368" customFormat="1" ht="14.25" customHeight="1" x14ac:dyDescent="0.3">
      <c r="B22" s="357"/>
      <c r="C22" s="363"/>
      <c r="D22" s="363"/>
      <c r="E22" s="359"/>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c r="AG22" s="359"/>
      <c r="AH22" s="359"/>
      <c r="AI22" s="359"/>
      <c r="AJ22" s="359"/>
      <c r="AK22" s="359"/>
      <c r="AL22" s="359"/>
      <c r="AM22" s="359"/>
      <c r="AN22" s="359"/>
      <c r="AO22" s="359"/>
      <c r="AP22" s="359"/>
      <c r="AQ22" s="359"/>
      <c r="AR22" s="359"/>
      <c r="AS22" s="359"/>
      <c r="AT22" s="359"/>
      <c r="AU22" s="359"/>
      <c r="AV22" s="359"/>
      <c r="AW22" s="359"/>
      <c r="AX22" s="359"/>
      <c r="AY22" s="359"/>
      <c r="AZ22" s="359"/>
      <c r="BA22" s="359"/>
      <c r="BB22" s="359"/>
      <c r="BC22" s="359"/>
      <c r="BD22" s="359"/>
      <c r="BE22" s="359"/>
      <c r="BF22" s="359"/>
      <c r="BG22" s="359"/>
      <c r="BH22" s="359"/>
      <c r="BI22" s="359"/>
      <c r="BJ22" s="359"/>
      <c r="BK22" s="359"/>
      <c r="BL22" s="359"/>
      <c r="BM22" s="359"/>
      <c r="BN22" s="359"/>
      <c r="BO22" s="359"/>
      <c r="BP22" s="359"/>
      <c r="BQ22" s="359"/>
      <c r="BR22" s="359"/>
      <c r="BS22" s="359"/>
      <c r="BT22" s="359"/>
      <c r="BU22" s="359"/>
      <c r="BV22" s="359"/>
    </row>
    <row r="23" spans="2:74" s="368" customFormat="1" ht="14.25" customHeight="1" x14ac:dyDescent="0.3">
      <c r="B23" s="357" t="s">
        <v>1213</v>
      </c>
      <c r="C23" s="363"/>
      <c r="D23" s="363"/>
      <c r="E23" s="359"/>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c r="AT23" s="359"/>
      <c r="AU23" s="359"/>
      <c r="AV23" s="359"/>
      <c r="AW23" s="359"/>
      <c r="AX23" s="359"/>
      <c r="AY23" s="359"/>
      <c r="AZ23" s="359"/>
      <c r="BA23" s="359"/>
      <c r="BB23" s="359"/>
      <c r="BC23" s="359"/>
      <c r="BD23" s="359"/>
      <c r="BE23" s="359"/>
      <c r="BF23" s="359"/>
      <c r="BG23" s="359"/>
      <c r="BH23" s="359"/>
      <c r="BI23" s="359"/>
      <c r="BJ23" s="359"/>
      <c r="BK23" s="359"/>
      <c r="BL23" s="359"/>
      <c r="BM23" s="359"/>
      <c r="BN23" s="359"/>
      <c r="BO23" s="359"/>
      <c r="BP23" s="359"/>
      <c r="BQ23" s="359"/>
      <c r="BR23" s="359"/>
      <c r="BS23" s="359"/>
      <c r="BT23" s="359"/>
      <c r="BU23" s="359"/>
      <c r="BV23" s="359"/>
    </row>
    <row r="24" spans="2:74" s="368" customFormat="1" ht="14.25" customHeight="1" x14ac:dyDescent="0.3">
      <c r="B24" s="357" t="s">
        <v>1214</v>
      </c>
      <c r="C24" s="363"/>
      <c r="D24" s="363"/>
      <c r="E24" s="359"/>
      <c r="F24" s="359"/>
      <c r="G24" s="359"/>
      <c r="H24" s="359"/>
      <c r="I24" s="359"/>
      <c r="J24" s="359"/>
      <c r="K24" s="14"/>
      <c r="L24" s="359"/>
      <c r="M24" s="359"/>
      <c r="N24" s="359"/>
      <c r="O24" s="359"/>
      <c r="P24" s="359"/>
      <c r="Q24" s="359"/>
      <c r="R24" s="359"/>
      <c r="S24" s="359"/>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c r="AT24" s="359"/>
      <c r="AU24" s="359"/>
      <c r="AV24" s="359"/>
      <c r="AW24" s="359"/>
      <c r="AX24" s="359"/>
      <c r="AY24" s="359"/>
      <c r="AZ24" s="359"/>
      <c r="BA24" s="359"/>
      <c r="BB24" s="359"/>
      <c r="BC24" s="359"/>
      <c r="BD24" s="359"/>
      <c r="BE24" s="359"/>
      <c r="BF24" s="359"/>
      <c r="BG24" s="359"/>
      <c r="BH24" s="359"/>
      <c r="BI24" s="359"/>
      <c r="BJ24" s="359"/>
      <c r="BK24" s="359"/>
      <c r="BL24" s="359"/>
      <c r="BM24" s="359"/>
      <c r="BN24" s="359"/>
      <c r="BO24" s="359"/>
      <c r="BP24" s="359"/>
      <c r="BQ24" s="359"/>
      <c r="BR24" s="359"/>
      <c r="BS24" s="359"/>
      <c r="BT24" s="359"/>
      <c r="BU24" s="359"/>
      <c r="BV24" s="359"/>
    </row>
    <row r="25" spans="2:74" s="368" customFormat="1" ht="14.25" customHeight="1" x14ac:dyDescent="0.3">
      <c r="B25" s="357"/>
      <c r="C25" s="363"/>
      <c r="D25" s="363"/>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c r="AG25" s="359"/>
      <c r="AH25" s="359"/>
      <c r="AI25" s="359"/>
      <c r="AJ25" s="359"/>
      <c r="AK25" s="359"/>
      <c r="AL25" s="359"/>
      <c r="AM25" s="359"/>
      <c r="AN25" s="359"/>
      <c r="AO25" s="359"/>
      <c r="AP25" s="359"/>
      <c r="AQ25" s="359"/>
      <c r="AR25" s="359"/>
      <c r="AS25" s="359"/>
      <c r="AT25" s="359"/>
      <c r="AU25" s="359"/>
      <c r="AV25" s="359"/>
      <c r="AW25" s="359"/>
      <c r="AX25" s="359"/>
      <c r="AY25" s="359"/>
      <c r="AZ25" s="359"/>
      <c r="BA25" s="359"/>
      <c r="BB25" s="359"/>
      <c r="BC25" s="359"/>
      <c r="BD25" s="359"/>
      <c r="BE25" s="359"/>
      <c r="BF25" s="359"/>
      <c r="BG25" s="359"/>
      <c r="BH25" s="359"/>
      <c r="BI25" s="359"/>
      <c r="BJ25" s="359"/>
      <c r="BK25" s="359"/>
      <c r="BL25" s="359"/>
      <c r="BM25" s="359"/>
      <c r="BN25" s="359"/>
      <c r="BO25" s="359"/>
      <c r="BP25" s="359"/>
      <c r="BQ25" s="359"/>
      <c r="BR25" s="359"/>
      <c r="BS25" s="359"/>
      <c r="BT25" s="359"/>
      <c r="BU25" s="359"/>
      <c r="BV25" s="359"/>
    </row>
    <row r="26" spans="2:74" s="368" customFormat="1" ht="14.25" customHeight="1" x14ac:dyDescent="0.3">
      <c r="B26" s="357" t="s">
        <v>1215</v>
      </c>
      <c r="C26" s="363"/>
      <c r="D26" s="363"/>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359"/>
      <c r="AI26" s="359"/>
      <c r="AJ26" s="359"/>
      <c r="AK26" s="359"/>
      <c r="AL26" s="359"/>
      <c r="AM26" s="359"/>
      <c r="AN26" s="359"/>
      <c r="AO26" s="359"/>
      <c r="AP26" s="359"/>
      <c r="AQ26" s="359"/>
      <c r="AR26" s="359"/>
      <c r="AS26" s="359"/>
      <c r="AT26" s="359"/>
      <c r="AU26" s="359"/>
      <c r="AV26" s="359"/>
      <c r="AW26" s="359"/>
      <c r="AX26" s="359"/>
      <c r="AY26" s="359"/>
      <c r="AZ26" s="359"/>
      <c r="BA26" s="359"/>
      <c r="BB26" s="359"/>
      <c r="BC26" s="359"/>
      <c r="BD26" s="359"/>
      <c r="BE26" s="359"/>
      <c r="BF26" s="359"/>
      <c r="BG26" s="359"/>
      <c r="BH26" s="359"/>
      <c r="BI26" s="359"/>
      <c r="BJ26" s="359"/>
      <c r="BK26" s="359"/>
      <c r="BL26" s="359"/>
      <c r="BM26" s="359"/>
      <c r="BN26" s="359"/>
      <c r="BO26" s="359"/>
      <c r="BP26" s="359"/>
      <c r="BQ26" s="359"/>
      <c r="BR26" s="359"/>
      <c r="BS26" s="359"/>
      <c r="BT26" s="359"/>
      <c r="BU26" s="359"/>
      <c r="BV26" s="359"/>
    </row>
    <row r="27" spans="2:74" s="368" customFormat="1" ht="14.25" customHeight="1" x14ac:dyDescent="0.3">
      <c r="B27" s="357" t="s">
        <v>1216</v>
      </c>
      <c r="C27" s="363"/>
      <c r="D27" s="363"/>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c r="AG27" s="359"/>
      <c r="AH27" s="359"/>
      <c r="AI27" s="359"/>
      <c r="AJ27" s="359"/>
      <c r="AK27" s="359"/>
      <c r="AL27" s="359"/>
      <c r="AM27" s="359"/>
      <c r="AN27" s="359"/>
      <c r="AO27" s="359"/>
      <c r="AP27" s="359"/>
      <c r="AQ27" s="359"/>
      <c r="AR27" s="359"/>
      <c r="AS27" s="359"/>
      <c r="AT27" s="359"/>
      <c r="AU27" s="359"/>
      <c r="AV27" s="359"/>
      <c r="AW27" s="359"/>
      <c r="AX27" s="359"/>
      <c r="AY27" s="359"/>
      <c r="AZ27" s="359"/>
      <c r="BA27" s="359"/>
      <c r="BB27" s="359"/>
      <c r="BC27" s="359"/>
      <c r="BD27" s="359"/>
      <c r="BE27" s="359"/>
      <c r="BF27" s="359"/>
      <c r="BG27" s="359"/>
      <c r="BH27" s="359"/>
      <c r="BI27" s="359"/>
      <c r="BJ27" s="359"/>
      <c r="BK27" s="359"/>
      <c r="BL27" s="359"/>
      <c r="BM27" s="359"/>
      <c r="BN27" s="359"/>
      <c r="BO27" s="359"/>
      <c r="BP27" s="359"/>
      <c r="BQ27" s="359"/>
      <c r="BR27" s="359"/>
      <c r="BS27" s="359"/>
      <c r="BT27" s="359"/>
      <c r="BU27" s="359"/>
      <c r="BV27" s="359"/>
    </row>
    <row r="28" spans="2:74" s="368" customFormat="1" ht="14.25" customHeight="1" x14ac:dyDescent="0.3">
      <c r="B28" s="357" t="s">
        <v>990</v>
      </c>
      <c r="C28" s="363"/>
      <c r="D28" s="363"/>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c r="AG28" s="359"/>
      <c r="AH28" s="359"/>
      <c r="AI28" s="359"/>
      <c r="AJ28" s="359"/>
      <c r="AK28" s="359"/>
      <c r="AL28" s="359"/>
      <c r="AM28" s="359"/>
      <c r="AN28" s="359"/>
      <c r="AO28" s="359"/>
      <c r="AP28" s="359"/>
      <c r="AQ28" s="359"/>
      <c r="AR28" s="359"/>
      <c r="AS28" s="359"/>
      <c r="AT28" s="359"/>
      <c r="AU28" s="359"/>
      <c r="AV28" s="359"/>
      <c r="AW28" s="359"/>
      <c r="AX28" s="359"/>
      <c r="AY28" s="359"/>
      <c r="AZ28" s="359"/>
      <c r="BA28" s="359"/>
      <c r="BB28" s="359"/>
      <c r="BC28" s="359"/>
      <c r="BD28" s="359"/>
      <c r="BE28" s="359"/>
      <c r="BF28" s="359"/>
      <c r="BG28" s="359"/>
      <c r="BH28" s="359"/>
      <c r="BI28" s="359"/>
      <c r="BJ28" s="359"/>
      <c r="BK28" s="359"/>
      <c r="BL28" s="359"/>
      <c r="BM28" s="359"/>
      <c r="BN28" s="359"/>
      <c r="BO28" s="359"/>
      <c r="BP28" s="359"/>
      <c r="BQ28" s="359"/>
      <c r="BR28" s="359"/>
      <c r="BS28" s="359"/>
      <c r="BT28" s="359"/>
      <c r="BU28" s="359"/>
      <c r="BV28" s="359"/>
    </row>
    <row r="29" spans="2:74" s="360" customFormat="1" ht="14.25" customHeight="1" x14ac:dyDescent="0.3">
      <c r="B29" s="362"/>
      <c r="C29" s="363"/>
      <c r="D29" s="363"/>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c r="AM29" s="359"/>
      <c r="AN29" s="359"/>
      <c r="AO29" s="359"/>
      <c r="AP29" s="359"/>
      <c r="AQ29" s="359"/>
      <c r="AR29" s="359"/>
      <c r="AS29" s="359"/>
      <c r="AT29" s="359"/>
      <c r="AU29" s="359"/>
      <c r="AV29" s="359"/>
      <c r="AW29" s="359"/>
      <c r="AX29" s="359"/>
      <c r="AY29" s="359"/>
      <c r="AZ29" s="359"/>
      <c r="BA29" s="359"/>
      <c r="BB29" s="359"/>
      <c r="BC29" s="359"/>
      <c r="BD29" s="359"/>
      <c r="BE29" s="359"/>
      <c r="BF29" s="359"/>
      <c r="BG29" s="359"/>
      <c r="BH29" s="359"/>
      <c r="BI29" s="359"/>
      <c r="BJ29" s="359"/>
      <c r="BK29" s="359"/>
      <c r="BL29" s="359"/>
      <c r="BM29" s="359"/>
      <c r="BN29" s="359"/>
      <c r="BO29" s="359"/>
      <c r="BP29" s="359"/>
      <c r="BQ29" s="359"/>
      <c r="BR29" s="359"/>
      <c r="BS29" s="359"/>
      <c r="BT29" s="359"/>
      <c r="BU29" s="359"/>
      <c r="BV29" s="359"/>
    </row>
    <row r="30" spans="2:74" s="368" customFormat="1" ht="15" customHeight="1" x14ac:dyDescent="0.3">
      <c r="B30" s="367" t="s">
        <v>1217</v>
      </c>
      <c r="C30" s="363"/>
      <c r="D30" s="363"/>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c r="AH30" s="359"/>
      <c r="AI30" s="359"/>
      <c r="AJ30" s="359"/>
      <c r="AK30" s="359"/>
      <c r="AL30" s="359"/>
      <c r="AM30" s="359"/>
      <c r="AN30" s="359"/>
      <c r="AO30" s="359"/>
      <c r="AP30" s="359"/>
      <c r="AQ30" s="359"/>
      <c r="AR30" s="359"/>
      <c r="AS30" s="359"/>
      <c r="AT30" s="359"/>
      <c r="AU30" s="359"/>
      <c r="AV30" s="359"/>
      <c r="AW30" s="359"/>
      <c r="AX30" s="359"/>
      <c r="AY30" s="359"/>
      <c r="AZ30" s="359"/>
      <c r="BA30" s="359"/>
      <c r="BB30" s="359"/>
      <c r="BC30" s="359"/>
      <c r="BD30" s="359"/>
      <c r="BE30" s="359"/>
      <c r="BF30" s="359"/>
      <c r="BG30" s="359"/>
      <c r="BH30" s="359"/>
      <c r="BI30" s="359"/>
      <c r="BJ30" s="359"/>
      <c r="BK30" s="359"/>
      <c r="BL30" s="359"/>
      <c r="BM30" s="359"/>
      <c r="BN30" s="359"/>
      <c r="BO30" s="359"/>
      <c r="BP30" s="359"/>
      <c r="BQ30" s="359"/>
      <c r="BR30" s="359"/>
      <c r="BS30" s="359"/>
      <c r="BT30" s="359"/>
      <c r="BU30" s="359"/>
      <c r="BV30" s="359"/>
    </row>
    <row r="31" spans="2:74" s="368" customFormat="1" ht="14.25" customHeight="1" x14ac:dyDescent="0.3">
      <c r="B31" s="370" t="s">
        <v>1218</v>
      </c>
      <c r="C31" s="363"/>
      <c r="D31" s="363"/>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59"/>
      <c r="AJ31" s="359"/>
      <c r="AK31" s="359"/>
      <c r="AL31" s="359"/>
      <c r="AM31" s="359"/>
      <c r="AN31" s="359"/>
      <c r="AO31" s="359"/>
      <c r="AP31" s="359"/>
      <c r="AQ31" s="359"/>
      <c r="AR31" s="359"/>
      <c r="AS31" s="359"/>
      <c r="AT31" s="359"/>
      <c r="AU31" s="359"/>
      <c r="AV31" s="359"/>
      <c r="AW31" s="359"/>
      <c r="AX31" s="359"/>
      <c r="AY31" s="359"/>
      <c r="AZ31" s="359"/>
      <c r="BA31" s="359"/>
      <c r="BB31" s="359"/>
      <c r="BC31" s="359"/>
      <c r="BD31" s="359"/>
      <c r="BE31" s="359"/>
      <c r="BF31" s="359"/>
      <c r="BG31" s="359"/>
      <c r="BH31" s="359"/>
      <c r="BI31" s="359"/>
      <c r="BJ31" s="359"/>
      <c r="BK31" s="359"/>
      <c r="BL31" s="359"/>
      <c r="BM31" s="359"/>
      <c r="BN31" s="359"/>
      <c r="BO31" s="359"/>
      <c r="BP31" s="359"/>
      <c r="BQ31" s="359"/>
      <c r="BR31" s="359"/>
      <c r="BS31" s="359"/>
      <c r="BT31" s="359"/>
      <c r="BU31" s="359"/>
      <c r="BV31" s="359"/>
    </row>
    <row r="32" spans="2:74" s="281" customFormat="1" ht="39.75" customHeight="1" x14ac:dyDescent="0.3">
      <c r="B32" s="371" t="s">
        <v>1219</v>
      </c>
      <c r="C32" s="363"/>
      <c r="D32" s="363"/>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59"/>
      <c r="BK32" s="359"/>
      <c r="BL32" s="359"/>
      <c r="BM32" s="359"/>
      <c r="BN32" s="359"/>
      <c r="BO32" s="359"/>
      <c r="BP32" s="359"/>
      <c r="BQ32" s="359"/>
      <c r="BR32" s="359"/>
      <c r="BS32" s="359"/>
      <c r="BT32" s="359"/>
      <c r="BU32" s="359"/>
      <c r="BV32" s="359"/>
    </row>
    <row r="33" spans="2:16384" s="281" customFormat="1" ht="20.75" customHeight="1" x14ac:dyDescent="0.35">
      <c r="B33" s="395" t="s">
        <v>1220</v>
      </c>
      <c r="C33" s="363"/>
      <c r="D33" s="363"/>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59"/>
      <c r="AY33" s="359"/>
      <c r="AZ33" s="359"/>
      <c r="BA33" s="359"/>
      <c r="BB33" s="359"/>
      <c r="BC33" s="359"/>
      <c r="BD33" s="359"/>
      <c r="BE33" s="359"/>
      <c r="BF33" s="359"/>
      <c r="BG33" s="359"/>
      <c r="BH33" s="359"/>
      <c r="BI33" s="359"/>
      <c r="BJ33" s="359"/>
      <c r="BK33" s="359"/>
      <c r="BL33" s="359"/>
      <c r="BM33" s="359"/>
      <c r="BN33" s="359"/>
      <c r="BO33" s="359"/>
      <c r="BP33" s="359"/>
      <c r="BQ33" s="359"/>
      <c r="BR33" s="359"/>
      <c r="BS33" s="359"/>
      <c r="BT33" s="359"/>
      <c r="BU33" s="359"/>
      <c r="BV33" s="359"/>
    </row>
    <row r="34" spans="2:16384" s="368" customFormat="1" ht="85.5" customHeight="1" x14ac:dyDescent="0.3">
      <c r="B34" s="360" t="s">
        <v>1221</v>
      </c>
      <c r="C34" s="363"/>
      <c r="D34" s="363"/>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359"/>
      <c r="AR34" s="359"/>
      <c r="AS34" s="359"/>
      <c r="AT34" s="359"/>
      <c r="AU34" s="359"/>
      <c r="AV34" s="359"/>
      <c r="AW34" s="359"/>
      <c r="AX34" s="359"/>
      <c r="AY34" s="359"/>
      <c r="AZ34" s="359"/>
      <c r="BA34" s="359"/>
      <c r="BB34" s="359"/>
      <c r="BC34" s="359"/>
      <c r="BD34" s="359"/>
      <c r="BE34" s="359"/>
      <c r="BF34" s="359"/>
      <c r="BG34" s="359"/>
      <c r="BH34" s="359"/>
      <c r="BI34" s="359"/>
      <c r="BJ34" s="359"/>
      <c r="BK34" s="359"/>
      <c r="BL34" s="359"/>
      <c r="BM34" s="359"/>
      <c r="BN34" s="359"/>
      <c r="BO34" s="359"/>
      <c r="BP34" s="359"/>
      <c r="BQ34" s="359"/>
      <c r="BR34" s="359"/>
      <c r="BS34" s="359"/>
      <c r="BT34" s="359"/>
      <c r="BU34" s="359"/>
      <c r="BV34" s="359"/>
    </row>
    <row r="35" spans="2:16384" s="368" customFormat="1" ht="14.25" customHeight="1" x14ac:dyDescent="0.3">
      <c r="B35" s="369"/>
      <c r="C35" s="363"/>
      <c r="D35" s="363"/>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59"/>
      <c r="AU35" s="359"/>
      <c r="AV35" s="359"/>
      <c r="AW35" s="359"/>
      <c r="AX35" s="359"/>
      <c r="AY35" s="359"/>
      <c r="AZ35" s="359"/>
      <c r="BA35" s="359"/>
      <c r="BB35" s="359"/>
      <c r="BC35" s="359"/>
      <c r="BD35" s="359"/>
      <c r="BE35" s="359"/>
      <c r="BF35" s="359"/>
      <c r="BG35" s="359"/>
      <c r="BH35" s="359"/>
      <c r="BI35" s="359"/>
      <c r="BJ35" s="359"/>
      <c r="BK35" s="359"/>
      <c r="BL35" s="359"/>
      <c r="BM35" s="359"/>
      <c r="BN35" s="359"/>
      <c r="BO35" s="359"/>
      <c r="BP35" s="359"/>
      <c r="BQ35" s="359"/>
      <c r="BR35" s="359"/>
      <c r="BS35" s="359"/>
      <c r="BT35" s="359"/>
      <c r="BU35" s="359"/>
      <c r="BV35" s="359"/>
    </row>
    <row r="36" spans="2:16384" ht="20" customHeight="1" x14ac:dyDescent="0.3">
      <c r="B36" s="370" t="s">
        <v>1222</v>
      </c>
      <c r="C36" s="363"/>
      <c r="D36" s="363"/>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59"/>
      <c r="AJ36" s="359"/>
      <c r="AK36" s="359"/>
      <c r="AL36" s="359"/>
      <c r="AM36" s="359"/>
      <c r="AN36" s="359"/>
      <c r="AO36" s="359"/>
      <c r="AP36" s="359"/>
      <c r="AQ36" s="359"/>
      <c r="AR36" s="359"/>
      <c r="AS36" s="359"/>
      <c r="AT36" s="359"/>
      <c r="AU36" s="359"/>
      <c r="AV36" s="359"/>
      <c r="AW36" s="359"/>
      <c r="AX36" s="359"/>
      <c r="AY36" s="359"/>
      <c r="AZ36" s="359"/>
      <c r="BA36" s="359"/>
      <c r="BB36" s="359"/>
      <c r="BC36" s="359"/>
      <c r="BD36" s="359"/>
      <c r="BE36" s="359"/>
      <c r="BF36" s="359"/>
      <c r="BG36" s="359"/>
      <c r="BH36" s="359"/>
      <c r="BI36" s="359"/>
      <c r="BJ36" s="359"/>
      <c r="BK36" s="359"/>
      <c r="BL36" s="359"/>
      <c r="BM36" s="359"/>
      <c r="BN36" s="359"/>
      <c r="BO36" s="359"/>
      <c r="BP36" s="359"/>
      <c r="BQ36" s="359"/>
      <c r="BR36" s="359"/>
      <c r="BS36" s="359"/>
      <c r="BT36" s="359"/>
      <c r="BU36" s="359"/>
      <c r="BV36" s="359"/>
      <c r="BW36" s="427"/>
      <c r="BX36" s="424"/>
      <c r="BY36" s="427"/>
      <c r="BZ36" s="424"/>
      <c r="CA36" s="427"/>
      <c r="CB36" s="424"/>
      <c r="CC36" s="427"/>
      <c r="CD36" s="424"/>
      <c r="CE36" s="427"/>
      <c r="CF36" s="424"/>
      <c r="CG36" s="427"/>
      <c r="CH36" s="424"/>
      <c r="CI36" s="427"/>
      <c r="CJ36" s="424"/>
      <c r="CK36" s="427"/>
      <c r="CL36" s="424"/>
      <c r="CM36" s="427"/>
      <c r="CN36" s="424"/>
      <c r="CO36" s="427"/>
      <c r="CP36" s="424"/>
      <c r="CQ36" s="427"/>
      <c r="CR36" s="424"/>
      <c r="CS36" s="427"/>
      <c r="CT36" s="424"/>
      <c r="CU36" s="427"/>
      <c r="CV36" s="424"/>
      <c r="CW36" s="427"/>
      <c r="CX36" s="424"/>
      <c r="CY36" s="427"/>
      <c r="CZ36" s="424"/>
      <c r="DA36" s="427"/>
      <c r="DB36" s="424"/>
      <c r="DC36" s="427"/>
      <c r="DD36" s="424"/>
      <c r="DE36" s="427"/>
      <c r="DF36" s="424"/>
      <c r="DG36" s="427"/>
      <c r="DH36" s="424"/>
      <c r="DI36" s="427"/>
      <c r="DJ36" s="424"/>
      <c r="DK36" s="427"/>
      <c r="DL36" s="424"/>
      <c r="DM36" s="427"/>
      <c r="DN36" s="424"/>
      <c r="DO36" s="427"/>
      <c r="DP36" s="424"/>
      <c r="DQ36" s="427"/>
      <c r="DR36" s="424"/>
      <c r="DS36" s="427"/>
      <c r="DT36" s="424"/>
      <c r="DU36" s="427"/>
      <c r="DV36" s="424"/>
      <c r="DW36" s="427"/>
      <c r="DX36" s="424"/>
      <c r="DY36" s="427"/>
      <c r="DZ36" s="424"/>
      <c r="EA36" s="427"/>
      <c r="EB36" s="424"/>
      <c r="EC36" s="427"/>
      <c r="ED36" s="424"/>
      <c r="EE36" s="427"/>
      <c r="EF36" s="424"/>
      <c r="EG36" s="427"/>
      <c r="EH36" s="424"/>
      <c r="EI36" s="427"/>
      <c r="EJ36" s="424"/>
      <c r="EK36" s="427"/>
      <c r="EL36" s="424"/>
      <c r="EM36" s="427"/>
      <c r="EN36" s="424"/>
      <c r="EO36" s="427"/>
      <c r="EP36" s="424"/>
      <c r="EQ36" s="427"/>
      <c r="ER36" s="424"/>
      <c r="ES36" s="427"/>
      <c r="ET36" s="424"/>
      <c r="EU36" s="427"/>
      <c r="EV36" s="424"/>
      <c r="EW36" s="427"/>
      <c r="EX36" s="424"/>
      <c r="EY36" s="427"/>
      <c r="EZ36" s="424"/>
      <c r="FA36" s="427"/>
      <c r="FB36" s="424"/>
      <c r="FC36" s="427"/>
      <c r="FD36" s="424"/>
      <c r="FE36" s="427"/>
      <c r="FF36" s="424"/>
      <c r="FG36" s="427"/>
      <c r="FH36" s="424"/>
      <c r="FI36" s="427"/>
      <c r="FJ36" s="424"/>
      <c r="FK36" s="427"/>
      <c r="FL36" s="424"/>
      <c r="FM36" s="427"/>
      <c r="FN36" s="424"/>
      <c r="FO36" s="427"/>
      <c r="FP36" s="424"/>
      <c r="FQ36" s="427"/>
      <c r="FR36" s="424"/>
      <c r="FS36" s="427"/>
      <c r="FT36" s="424"/>
      <c r="FU36" s="427"/>
      <c r="FV36" s="424"/>
      <c r="FW36" s="427"/>
      <c r="FX36" s="424"/>
      <c r="FY36" s="427"/>
      <c r="FZ36" s="424"/>
      <c r="GA36" s="427"/>
      <c r="GB36" s="424"/>
      <c r="GC36" s="427"/>
      <c r="GD36" s="424"/>
      <c r="GE36" s="427"/>
      <c r="GF36" s="424"/>
      <c r="GG36" s="427"/>
      <c r="GH36" s="424"/>
      <c r="GI36" s="427"/>
      <c r="GJ36" s="424"/>
      <c r="GK36" s="427"/>
      <c r="GL36" s="424"/>
      <c r="GM36" s="427"/>
      <c r="GN36" s="424"/>
      <c r="GO36" s="427"/>
      <c r="GP36" s="424"/>
      <c r="GQ36" s="427"/>
      <c r="GR36" s="424"/>
      <c r="GS36" s="427"/>
      <c r="GT36" s="424"/>
      <c r="GU36" s="427"/>
      <c r="GV36" s="424"/>
      <c r="GW36" s="427"/>
      <c r="GX36" s="424"/>
      <c r="GY36" s="427"/>
      <c r="GZ36" s="424"/>
      <c r="HA36" s="427"/>
      <c r="HB36" s="424"/>
      <c r="HC36" s="427"/>
      <c r="HD36" s="424"/>
      <c r="HE36" s="427"/>
      <c r="HF36" s="424"/>
      <c r="HG36" s="427"/>
      <c r="HH36" s="424"/>
      <c r="HI36" s="427"/>
      <c r="HJ36" s="424"/>
      <c r="HK36" s="427"/>
      <c r="HL36" s="424"/>
      <c r="HM36" s="427"/>
      <c r="HN36" s="424"/>
      <c r="HO36" s="427"/>
      <c r="HP36" s="424"/>
      <c r="HQ36" s="427"/>
      <c r="HR36" s="424"/>
      <c r="HS36" s="427"/>
      <c r="HT36" s="424"/>
      <c r="HU36" s="427"/>
      <c r="HV36" s="424"/>
      <c r="HW36" s="427"/>
      <c r="HX36" s="424"/>
      <c r="HY36" s="427"/>
      <c r="HZ36" s="424"/>
      <c r="IA36" s="427"/>
      <c r="IB36" s="424"/>
      <c r="IC36" s="427"/>
      <c r="ID36" s="424"/>
      <c r="IE36" s="427"/>
      <c r="IF36" s="424"/>
      <c r="IG36" s="427"/>
      <c r="IH36" s="424"/>
      <c r="II36" s="427"/>
      <c r="IJ36" s="424"/>
      <c r="IK36" s="427"/>
      <c r="IL36" s="424"/>
      <c r="IM36" s="427"/>
      <c r="IN36" s="424"/>
      <c r="IO36" s="427"/>
      <c r="IP36" s="424"/>
      <c r="IQ36" s="427"/>
      <c r="IR36" s="424"/>
      <c r="IS36" s="427"/>
      <c r="IT36" s="424"/>
      <c r="IU36" s="427"/>
      <c r="IV36" s="424"/>
      <c r="IW36" s="427"/>
      <c r="IX36" s="424"/>
      <c r="IY36" s="427"/>
      <c r="IZ36" s="424"/>
      <c r="JA36" s="427"/>
      <c r="JB36" s="424"/>
      <c r="JC36" s="427"/>
      <c r="JD36" s="424"/>
      <c r="JE36" s="427"/>
      <c r="JF36" s="424"/>
      <c r="JG36" s="427"/>
      <c r="JH36" s="424"/>
      <c r="JI36" s="427"/>
      <c r="JJ36" s="424"/>
      <c r="JK36" s="427"/>
      <c r="JL36" s="424"/>
      <c r="JM36" s="427"/>
      <c r="JN36" s="424"/>
      <c r="JO36" s="427"/>
      <c r="JP36" s="424"/>
      <c r="JQ36" s="427"/>
      <c r="JR36" s="424"/>
      <c r="JS36" s="427"/>
      <c r="JT36" s="424"/>
      <c r="JU36" s="427"/>
      <c r="JV36" s="424"/>
      <c r="JW36" s="427"/>
      <c r="JX36" s="424"/>
      <c r="JY36" s="427"/>
      <c r="JZ36" s="424"/>
      <c r="KA36" s="427"/>
      <c r="KB36" s="424"/>
      <c r="KC36" s="427"/>
      <c r="KD36" s="424"/>
      <c r="KE36" s="427"/>
      <c r="KF36" s="424"/>
      <c r="KG36" s="427"/>
      <c r="KH36" s="424"/>
      <c r="KI36" s="427"/>
      <c r="KJ36" s="424"/>
      <c r="KK36" s="427"/>
      <c r="KL36" s="424"/>
      <c r="KM36" s="427"/>
      <c r="KN36" s="424"/>
      <c r="KO36" s="427"/>
      <c r="KP36" s="424"/>
      <c r="KQ36" s="427"/>
      <c r="KR36" s="424"/>
      <c r="KS36" s="427"/>
      <c r="KT36" s="424"/>
      <c r="KU36" s="427"/>
      <c r="KV36" s="424"/>
      <c r="KW36" s="427"/>
      <c r="KX36" s="424"/>
      <c r="KY36" s="427"/>
      <c r="KZ36" s="424"/>
      <c r="LA36" s="427"/>
      <c r="LB36" s="424"/>
      <c r="LC36" s="427"/>
      <c r="LD36" s="424"/>
      <c r="LE36" s="427"/>
      <c r="LF36" s="424"/>
      <c r="LG36" s="427"/>
      <c r="LH36" s="424"/>
      <c r="LI36" s="427"/>
      <c r="LJ36" s="424"/>
      <c r="LK36" s="427"/>
      <c r="LL36" s="424"/>
      <c r="LM36" s="427"/>
      <c r="LN36" s="424"/>
      <c r="LO36" s="427"/>
      <c r="LP36" s="424"/>
      <c r="LQ36" s="427"/>
      <c r="LR36" s="424"/>
      <c r="LS36" s="427"/>
      <c r="LT36" s="424"/>
      <c r="LU36" s="427"/>
      <c r="LV36" s="424"/>
      <c r="LW36" s="427"/>
      <c r="LX36" s="424"/>
      <c r="LY36" s="427"/>
      <c r="LZ36" s="424"/>
      <c r="MA36" s="427"/>
      <c r="MB36" s="424"/>
      <c r="MC36" s="427"/>
      <c r="MD36" s="424"/>
      <c r="ME36" s="427"/>
      <c r="MF36" s="424"/>
      <c r="MG36" s="427"/>
      <c r="MH36" s="424"/>
      <c r="MI36" s="427"/>
      <c r="MJ36" s="424"/>
      <c r="MK36" s="427"/>
      <c r="ML36" s="424"/>
      <c r="MM36" s="427"/>
      <c r="MN36" s="424"/>
      <c r="MO36" s="427"/>
      <c r="MP36" s="424"/>
      <c r="MQ36" s="427"/>
      <c r="MR36" s="424"/>
      <c r="MS36" s="427"/>
      <c r="MT36" s="424"/>
      <c r="MU36" s="427"/>
      <c r="MV36" s="424"/>
      <c r="MW36" s="427"/>
      <c r="MX36" s="424"/>
      <c r="MY36" s="427"/>
      <c r="MZ36" s="424"/>
      <c r="NA36" s="427"/>
      <c r="NB36" s="424"/>
      <c r="NC36" s="427"/>
      <c r="ND36" s="424"/>
      <c r="NE36" s="427"/>
      <c r="NF36" s="424"/>
      <c r="NG36" s="427"/>
      <c r="NH36" s="424"/>
      <c r="NI36" s="427"/>
      <c r="NJ36" s="424"/>
      <c r="NK36" s="427"/>
      <c r="NL36" s="424"/>
      <c r="NM36" s="427"/>
      <c r="NN36" s="424"/>
      <c r="NO36" s="427"/>
      <c r="NP36" s="424"/>
      <c r="NQ36" s="427"/>
      <c r="NR36" s="424"/>
      <c r="NS36" s="427"/>
      <c r="NT36" s="424"/>
      <c r="NU36" s="427"/>
      <c r="NV36" s="424"/>
      <c r="NW36" s="427"/>
      <c r="NX36" s="424"/>
      <c r="NY36" s="427"/>
      <c r="NZ36" s="424"/>
      <c r="OA36" s="427"/>
      <c r="OB36" s="424"/>
      <c r="OC36" s="427"/>
      <c r="OD36" s="424"/>
      <c r="OE36" s="427"/>
      <c r="OF36" s="424"/>
      <c r="OG36" s="427"/>
      <c r="OH36" s="424"/>
      <c r="OI36" s="427"/>
      <c r="OJ36" s="424"/>
      <c r="OK36" s="427"/>
      <c r="OL36" s="424"/>
      <c r="OM36" s="427"/>
      <c r="ON36" s="424"/>
      <c r="OO36" s="427"/>
      <c r="OP36" s="424"/>
      <c r="OQ36" s="427"/>
      <c r="OR36" s="424"/>
      <c r="OS36" s="427"/>
      <c r="OT36" s="424"/>
      <c r="OU36" s="427"/>
      <c r="OV36" s="424"/>
      <c r="OW36" s="427"/>
      <c r="OX36" s="424"/>
      <c r="OY36" s="427"/>
      <c r="OZ36" s="424"/>
      <c r="PA36" s="427"/>
      <c r="PB36" s="424"/>
      <c r="PC36" s="427"/>
      <c r="PD36" s="424"/>
      <c r="PE36" s="427"/>
      <c r="PF36" s="424"/>
      <c r="PG36" s="427"/>
      <c r="PH36" s="424"/>
      <c r="PI36" s="427"/>
      <c r="PJ36" s="424"/>
      <c r="PK36" s="427"/>
      <c r="PL36" s="424"/>
      <c r="PM36" s="427"/>
      <c r="PN36" s="424"/>
      <c r="PO36" s="427"/>
      <c r="PP36" s="424"/>
      <c r="PQ36" s="427"/>
      <c r="PR36" s="424"/>
      <c r="PS36" s="427"/>
      <c r="PT36" s="424"/>
      <c r="PU36" s="427"/>
      <c r="PV36" s="424"/>
      <c r="PW36" s="427"/>
      <c r="PX36" s="424"/>
      <c r="PY36" s="427"/>
      <c r="PZ36" s="424"/>
      <c r="QA36" s="427"/>
      <c r="QB36" s="424"/>
      <c r="QC36" s="427"/>
      <c r="QD36" s="424"/>
      <c r="QE36" s="427"/>
      <c r="QF36" s="424"/>
      <c r="QG36" s="427"/>
      <c r="QH36" s="424"/>
      <c r="QI36" s="427"/>
      <c r="QJ36" s="424"/>
      <c r="QK36" s="427"/>
      <c r="QL36" s="424"/>
      <c r="QM36" s="427"/>
      <c r="QN36" s="424"/>
      <c r="QO36" s="427"/>
      <c r="QP36" s="424"/>
      <c r="QQ36" s="427"/>
      <c r="QR36" s="424"/>
      <c r="QS36" s="427"/>
      <c r="QT36" s="424"/>
      <c r="QU36" s="427"/>
      <c r="QV36" s="424"/>
      <c r="QW36" s="427"/>
      <c r="QX36" s="424"/>
      <c r="QY36" s="427"/>
      <c r="QZ36" s="424"/>
      <c r="RA36" s="427"/>
      <c r="RB36" s="424"/>
      <c r="RC36" s="427"/>
      <c r="RD36" s="424"/>
      <c r="RE36" s="427"/>
      <c r="RF36" s="424"/>
      <c r="RG36" s="427"/>
      <c r="RH36" s="424"/>
      <c r="RI36" s="427"/>
      <c r="RJ36" s="424"/>
      <c r="RK36" s="427"/>
      <c r="RL36" s="424"/>
      <c r="RM36" s="427"/>
      <c r="RN36" s="424"/>
      <c r="RO36" s="427"/>
      <c r="RP36" s="424"/>
      <c r="RQ36" s="427"/>
      <c r="RR36" s="424"/>
      <c r="RS36" s="427"/>
      <c r="RT36" s="424"/>
      <c r="RU36" s="427"/>
      <c r="RV36" s="424"/>
      <c r="RW36" s="427"/>
      <c r="RX36" s="424"/>
      <c r="RY36" s="427"/>
      <c r="RZ36" s="424"/>
      <c r="SA36" s="427"/>
      <c r="SB36" s="424"/>
      <c r="SC36" s="427"/>
      <c r="SD36" s="424"/>
      <c r="SE36" s="427"/>
      <c r="SF36" s="424"/>
      <c r="SG36" s="427"/>
      <c r="SH36" s="424"/>
      <c r="SI36" s="427"/>
      <c r="SJ36" s="424"/>
      <c r="SK36" s="427"/>
      <c r="SL36" s="424"/>
      <c r="SM36" s="427"/>
      <c r="SN36" s="424"/>
      <c r="SO36" s="427"/>
      <c r="SP36" s="424"/>
      <c r="SQ36" s="427"/>
      <c r="SR36" s="424"/>
      <c r="SS36" s="427"/>
      <c r="ST36" s="424"/>
      <c r="SU36" s="427"/>
      <c r="SV36" s="424"/>
      <c r="SW36" s="427"/>
      <c r="SX36" s="424"/>
      <c r="SY36" s="427"/>
      <c r="SZ36" s="424"/>
      <c r="TA36" s="427"/>
      <c r="TB36" s="424"/>
      <c r="TC36" s="427"/>
      <c r="TD36" s="424"/>
      <c r="TE36" s="427"/>
      <c r="TF36" s="424"/>
      <c r="TG36" s="427"/>
      <c r="TH36" s="424"/>
      <c r="TI36" s="427"/>
      <c r="TJ36" s="424"/>
      <c r="TK36" s="427"/>
      <c r="TL36" s="424"/>
      <c r="TM36" s="427"/>
      <c r="TN36" s="424"/>
      <c r="TO36" s="427"/>
      <c r="TP36" s="424"/>
      <c r="TQ36" s="427"/>
      <c r="TR36" s="424"/>
      <c r="TS36" s="427"/>
      <c r="TT36" s="424"/>
      <c r="TU36" s="427"/>
      <c r="TV36" s="424"/>
      <c r="TW36" s="427"/>
      <c r="TX36" s="424"/>
      <c r="TY36" s="427"/>
      <c r="TZ36" s="424"/>
      <c r="UA36" s="427"/>
      <c r="UB36" s="424"/>
      <c r="UC36" s="427"/>
      <c r="UD36" s="424"/>
      <c r="UE36" s="427"/>
      <c r="UF36" s="424"/>
      <c r="UG36" s="427"/>
      <c r="UH36" s="424"/>
      <c r="UI36" s="427"/>
      <c r="UJ36" s="424"/>
      <c r="UK36" s="427"/>
      <c r="UL36" s="424"/>
      <c r="UM36" s="427"/>
      <c r="UN36" s="424"/>
      <c r="UO36" s="427"/>
      <c r="UP36" s="424"/>
      <c r="UQ36" s="427"/>
      <c r="UR36" s="424"/>
      <c r="US36" s="427"/>
      <c r="UT36" s="424"/>
      <c r="UU36" s="427"/>
      <c r="UV36" s="424"/>
      <c r="UW36" s="427"/>
      <c r="UX36" s="424"/>
      <c r="UY36" s="427"/>
      <c r="UZ36" s="424"/>
      <c r="VA36" s="427"/>
      <c r="VB36" s="424"/>
      <c r="VC36" s="427"/>
      <c r="VD36" s="424"/>
      <c r="VE36" s="427"/>
      <c r="VF36" s="424"/>
      <c r="VG36" s="427"/>
      <c r="VH36" s="424"/>
      <c r="VI36" s="427"/>
      <c r="VJ36" s="424"/>
      <c r="VK36" s="427"/>
      <c r="VL36" s="424"/>
      <c r="VM36" s="427"/>
      <c r="VN36" s="424"/>
      <c r="VO36" s="427"/>
      <c r="VP36" s="424"/>
      <c r="VQ36" s="427"/>
      <c r="VR36" s="424"/>
      <c r="VS36" s="427"/>
      <c r="VT36" s="424"/>
      <c r="VU36" s="427"/>
      <c r="VV36" s="424"/>
      <c r="VW36" s="427"/>
      <c r="VX36" s="424"/>
      <c r="VY36" s="427"/>
      <c r="VZ36" s="424"/>
      <c r="WA36" s="427"/>
      <c r="WB36" s="424"/>
      <c r="WC36" s="427"/>
      <c r="WD36" s="424"/>
      <c r="WE36" s="427"/>
      <c r="WF36" s="424"/>
      <c r="WG36" s="427"/>
      <c r="WH36" s="424"/>
      <c r="WI36" s="427"/>
      <c r="WJ36" s="424"/>
      <c r="WK36" s="427"/>
      <c r="WL36" s="424"/>
      <c r="WM36" s="427"/>
      <c r="WN36" s="424"/>
      <c r="WO36" s="427"/>
      <c r="WP36" s="424"/>
      <c r="WQ36" s="427"/>
      <c r="WR36" s="424"/>
      <c r="WS36" s="427"/>
      <c r="WT36" s="424"/>
      <c r="WU36" s="427"/>
      <c r="WV36" s="424"/>
      <c r="WW36" s="427"/>
      <c r="WX36" s="424"/>
      <c r="WY36" s="427"/>
      <c r="WZ36" s="424"/>
      <c r="XA36" s="427"/>
      <c r="XB36" s="424"/>
      <c r="XC36" s="427"/>
      <c r="XD36" s="424"/>
      <c r="XE36" s="427"/>
      <c r="XF36" s="424"/>
      <c r="XG36" s="427"/>
      <c r="XH36" s="424"/>
      <c r="XI36" s="427"/>
      <c r="XJ36" s="424"/>
      <c r="XK36" s="427"/>
      <c r="XL36" s="424"/>
      <c r="XM36" s="427"/>
      <c r="XN36" s="424"/>
      <c r="XO36" s="427"/>
      <c r="XP36" s="424"/>
      <c r="XQ36" s="427"/>
      <c r="XR36" s="424"/>
      <c r="XS36" s="427"/>
      <c r="XT36" s="424"/>
      <c r="XU36" s="427"/>
      <c r="XV36" s="424"/>
      <c r="XW36" s="427"/>
      <c r="XX36" s="424"/>
      <c r="XY36" s="427"/>
      <c r="XZ36" s="424"/>
      <c r="YA36" s="427"/>
      <c r="YB36" s="424"/>
      <c r="YC36" s="427"/>
      <c r="YD36" s="424"/>
      <c r="YE36" s="427"/>
      <c r="YF36" s="424"/>
      <c r="YG36" s="427"/>
      <c r="YH36" s="424"/>
      <c r="YI36" s="427"/>
      <c r="YJ36" s="424"/>
      <c r="YK36" s="427"/>
      <c r="YL36" s="424"/>
      <c r="YM36" s="427"/>
      <c r="YN36" s="424"/>
      <c r="YO36" s="427"/>
      <c r="YP36" s="424"/>
      <c r="YQ36" s="427"/>
      <c r="YR36" s="424"/>
      <c r="YS36" s="427"/>
      <c r="YT36" s="424"/>
      <c r="YU36" s="427"/>
      <c r="YV36" s="424"/>
      <c r="YW36" s="427"/>
      <c r="YX36" s="424"/>
      <c r="YY36" s="427"/>
      <c r="YZ36" s="424"/>
      <c r="ZA36" s="427"/>
      <c r="ZB36" s="424"/>
      <c r="ZC36" s="427"/>
      <c r="ZD36" s="424"/>
      <c r="ZE36" s="427"/>
      <c r="ZF36" s="424"/>
      <c r="ZG36" s="427"/>
      <c r="ZH36" s="424"/>
      <c r="ZI36" s="427"/>
      <c r="ZJ36" s="424"/>
      <c r="ZK36" s="427"/>
      <c r="ZL36" s="424"/>
      <c r="ZM36" s="427"/>
      <c r="ZN36" s="424"/>
      <c r="ZO36" s="427"/>
      <c r="ZP36" s="424"/>
      <c r="ZQ36" s="427"/>
      <c r="ZR36" s="424"/>
      <c r="ZS36" s="427"/>
      <c r="ZT36" s="424"/>
      <c r="ZU36" s="427"/>
      <c r="ZV36" s="424"/>
      <c r="ZW36" s="427"/>
      <c r="ZX36" s="424"/>
      <c r="ZY36" s="427"/>
      <c r="ZZ36" s="424"/>
      <c r="AAA36" s="427"/>
      <c r="AAB36" s="424"/>
      <c r="AAC36" s="427"/>
      <c r="AAD36" s="424"/>
      <c r="AAE36" s="427"/>
      <c r="AAF36" s="424"/>
      <c r="AAG36" s="427"/>
      <c r="AAH36" s="424"/>
      <c r="AAI36" s="427"/>
      <c r="AAJ36" s="424"/>
      <c r="AAK36" s="427"/>
      <c r="AAL36" s="424"/>
      <c r="AAM36" s="427"/>
      <c r="AAN36" s="424"/>
      <c r="AAO36" s="427"/>
      <c r="AAP36" s="424"/>
      <c r="AAQ36" s="427"/>
      <c r="AAR36" s="424"/>
      <c r="AAS36" s="427"/>
      <c r="AAT36" s="424"/>
      <c r="AAU36" s="427"/>
      <c r="AAV36" s="424"/>
      <c r="AAW36" s="427"/>
      <c r="AAX36" s="424"/>
      <c r="AAY36" s="427"/>
      <c r="AAZ36" s="424"/>
      <c r="ABA36" s="427"/>
      <c r="ABB36" s="424"/>
      <c r="ABC36" s="427"/>
      <c r="ABD36" s="424"/>
      <c r="ABE36" s="427"/>
      <c r="ABF36" s="424"/>
      <c r="ABG36" s="427"/>
      <c r="ABH36" s="424"/>
      <c r="ABI36" s="427"/>
      <c r="ABJ36" s="424"/>
      <c r="ABK36" s="427"/>
      <c r="ABL36" s="424"/>
      <c r="ABM36" s="427"/>
      <c r="ABN36" s="424"/>
      <c r="ABO36" s="427"/>
      <c r="ABP36" s="424"/>
      <c r="ABQ36" s="427"/>
      <c r="ABR36" s="424"/>
      <c r="ABS36" s="427"/>
      <c r="ABT36" s="424"/>
      <c r="ABU36" s="427"/>
      <c r="ABV36" s="424"/>
      <c r="ABW36" s="427"/>
      <c r="ABX36" s="424"/>
      <c r="ABY36" s="427"/>
      <c r="ABZ36" s="424"/>
      <c r="ACA36" s="427"/>
      <c r="ACB36" s="424"/>
      <c r="ACC36" s="427"/>
      <c r="ACD36" s="424"/>
      <c r="ACE36" s="427"/>
      <c r="ACF36" s="424"/>
      <c r="ACG36" s="427"/>
      <c r="ACH36" s="424"/>
      <c r="ACI36" s="427"/>
      <c r="ACJ36" s="424"/>
      <c r="ACK36" s="427"/>
      <c r="ACL36" s="424"/>
      <c r="ACM36" s="427"/>
      <c r="ACN36" s="424"/>
      <c r="ACO36" s="427"/>
      <c r="ACP36" s="424"/>
      <c r="ACQ36" s="427"/>
      <c r="ACR36" s="424"/>
      <c r="ACS36" s="427"/>
      <c r="ACT36" s="424"/>
      <c r="ACU36" s="427"/>
      <c r="ACV36" s="424"/>
      <c r="ACW36" s="427"/>
      <c r="ACX36" s="424"/>
      <c r="ACY36" s="427"/>
      <c r="ACZ36" s="424"/>
      <c r="ADA36" s="427"/>
      <c r="ADB36" s="424"/>
      <c r="ADC36" s="427"/>
      <c r="ADD36" s="424"/>
      <c r="ADE36" s="427"/>
      <c r="ADF36" s="424"/>
      <c r="ADG36" s="427"/>
      <c r="ADH36" s="424"/>
      <c r="ADI36" s="427"/>
      <c r="ADJ36" s="424"/>
      <c r="ADK36" s="427"/>
      <c r="ADL36" s="424"/>
      <c r="ADM36" s="427"/>
      <c r="ADN36" s="424"/>
      <c r="ADO36" s="427"/>
      <c r="ADP36" s="424"/>
      <c r="ADQ36" s="427"/>
      <c r="ADR36" s="424"/>
      <c r="ADS36" s="427"/>
      <c r="ADT36" s="424"/>
      <c r="ADU36" s="427"/>
      <c r="ADV36" s="424"/>
      <c r="ADW36" s="427"/>
      <c r="ADX36" s="424"/>
      <c r="ADY36" s="427"/>
      <c r="ADZ36" s="424"/>
      <c r="AEA36" s="427"/>
      <c r="AEB36" s="424"/>
      <c r="AEC36" s="427"/>
      <c r="AED36" s="424"/>
      <c r="AEE36" s="427"/>
      <c r="AEF36" s="424"/>
      <c r="AEG36" s="427"/>
      <c r="AEH36" s="424"/>
      <c r="AEI36" s="427"/>
      <c r="AEJ36" s="424"/>
      <c r="AEK36" s="427"/>
      <c r="AEL36" s="424"/>
      <c r="AEM36" s="427"/>
      <c r="AEN36" s="424"/>
      <c r="AEO36" s="427"/>
      <c r="AEP36" s="424"/>
      <c r="AEQ36" s="427"/>
      <c r="AER36" s="424"/>
      <c r="AES36" s="427"/>
      <c r="AET36" s="424"/>
      <c r="AEU36" s="427"/>
      <c r="AEV36" s="424"/>
      <c r="AEW36" s="427"/>
      <c r="AEX36" s="424"/>
      <c r="AEY36" s="427"/>
      <c r="AEZ36" s="424"/>
      <c r="AFA36" s="427"/>
      <c r="AFB36" s="424"/>
      <c r="AFC36" s="427"/>
      <c r="AFD36" s="424"/>
      <c r="AFE36" s="427"/>
      <c r="AFF36" s="424"/>
      <c r="AFG36" s="427"/>
      <c r="AFH36" s="424"/>
      <c r="AFI36" s="427"/>
      <c r="AFJ36" s="424"/>
      <c r="AFK36" s="427"/>
      <c r="AFL36" s="424"/>
      <c r="AFM36" s="427"/>
      <c r="AFN36" s="424"/>
      <c r="AFO36" s="427"/>
      <c r="AFP36" s="424"/>
      <c r="AFQ36" s="427"/>
      <c r="AFR36" s="424"/>
      <c r="AFS36" s="427"/>
      <c r="AFT36" s="424"/>
      <c r="AFU36" s="427"/>
      <c r="AFV36" s="424"/>
      <c r="AFW36" s="427"/>
      <c r="AFX36" s="424"/>
      <c r="AFY36" s="427"/>
      <c r="AFZ36" s="424"/>
      <c r="AGA36" s="427"/>
      <c r="AGB36" s="424"/>
      <c r="AGC36" s="427"/>
      <c r="AGD36" s="424"/>
      <c r="AGE36" s="427"/>
      <c r="AGF36" s="424"/>
      <c r="AGG36" s="427"/>
      <c r="AGH36" s="424"/>
      <c r="AGI36" s="427"/>
      <c r="AGJ36" s="424"/>
      <c r="AGK36" s="427"/>
      <c r="AGL36" s="424"/>
      <c r="AGM36" s="427"/>
      <c r="AGN36" s="424"/>
      <c r="AGO36" s="427"/>
      <c r="AGP36" s="424"/>
      <c r="AGQ36" s="427"/>
      <c r="AGR36" s="424"/>
      <c r="AGS36" s="427"/>
      <c r="AGT36" s="424"/>
      <c r="AGU36" s="427"/>
      <c r="AGV36" s="424"/>
      <c r="AGW36" s="427"/>
      <c r="AGX36" s="424"/>
      <c r="AGY36" s="427"/>
      <c r="AGZ36" s="424"/>
      <c r="AHA36" s="427"/>
      <c r="AHB36" s="424"/>
      <c r="AHC36" s="427"/>
      <c r="AHD36" s="424"/>
      <c r="AHE36" s="427"/>
      <c r="AHF36" s="424"/>
      <c r="AHG36" s="427"/>
      <c r="AHH36" s="424"/>
      <c r="AHI36" s="427"/>
      <c r="AHJ36" s="424"/>
      <c r="AHK36" s="427"/>
      <c r="AHL36" s="424"/>
      <c r="AHM36" s="427"/>
      <c r="AHN36" s="424"/>
      <c r="AHO36" s="427"/>
      <c r="AHP36" s="424"/>
      <c r="AHQ36" s="427"/>
      <c r="AHR36" s="424"/>
      <c r="AHS36" s="427"/>
      <c r="AHT36" s="424"/>
      <c r="AHU36" s="427"/>
      <c r="AHV36" s="424"/>
      <c r="AHW36" s="427"/>
      <c r="AHX36" s="424"/>
      <c r="AHY36" s="427"/>
      <c r="AHZ36" s="424"/>
      <c r="AIA36" s="427"/>
      <c r="AIB36" s="424"/>
      <c r="AIC36" s="427"/>
      <c r="AID36" s="424"/>
      <c r="AIE36" s="427"/>
      <c r="AIF36" s="424"/>
      <c r="AIG36" s="427"/>
      <c r="AIH36" s="424"/>
      <c r="AII36" s="427"/>
      <c r="AIJ36" s="424"/>
      <c r="AIK36" s="427"/>
      <c r="AIL36" s="424"/>
      <c r="AIM36" s="427"/>
      <c r="AIN36" s="424"/>
      <c r="AIO36" s="427"/>
      <c r="AIP36" s="424"/>
      <c r="AIQ36" s="427"/>
      <c r="AIR36" s="424"/>
      <c r="AIS36" s="427"/>
      <c r="AIT36" s="424"/>
      <c r="AIU36" s="427"/>
      <c r="AIV36" s="424"/>
      <c r="AIW36" s="427"/>
      <c r="AIX36" s="424"/>
      <c r="AIY36" s="427"/>
      <c r="AIZ36" s="424"/>
      <c r="AJA36" s="427"/>
      <c r="AJB36" s="424"/>
      <c r="AJC36" s="427"/>
      <c r="AJD36" s="424"/>
      <c r="AJE36" s="427"/>
      <c r="AJF36" s="424"/>
      <c r="AJG36" s="427"/>
      <c r="AJH36" s="424"/>
      <c r="AJI36" s="427"/>
      <c r="AJJ36" s="424"/>
      <c r="AJK36" s="427"/>
      <c r="AJL36" s="424"/>
      <c r="AJM36" s="427"/>
      <c r="AJN36" s="424"/>
      <c r="AJO36" s="427"/>
      <c r="AJP36" s="424"/>
      <c r="AJQ36" s="427"/>
      <c r="AJR36" s="424"/>
      <c r="AJS36" s="427"/>
      <c r="AJT36" s="424"/>
      <c r="AJU36" s="427"/>
      <c r="AJV36" s="424"/>
      <c r="AJW36" s="427"/>
      <c r="AJX36" s="424"/>
      <c r="AJY36" s="427"/>
      <c r="AJZ36" s="424"/>
      <c r="AKA36" s="427"/>
      <c r="AKB36" s="424"/>
      <c r="AKC36" s="427"/>
      <c r="AKD36" s="424"/>
      <c r="AKE36" s="427"/>
      <c r="AKF36" s="424"/>
      <c r="AKG36" s="427"/>
      <c r="AKH36" s="424"/>
      <c r="AKI36" s="427"/>
      <c r="AKJ36" s="424"/>
      <c r="AKK36" s="427"/>
      <c r="AKL36" s="424"/>
      <c r="AKM36" s="427"/>
      <c r="AKN36" s="424"/>
      <c r="AKO36" s="427"/>
      <c r="AKP36" s="424"/>
      <c r="AKQ36" s="427"/>
      <c r="AKR36" s="424"/>
      <c r="AKS36" s="427"/>
      <c r="AKT36" s="424"/>
      <c r="AKU36" s="427"/>
      <c r="AKV36" s="424"/>
      <c r="AKW36" s="427"/>
      <c r="AKX36" s="424"/>
      <c r="AKY36" s="427"/>
      <c r="AKZ36" s="424"/>
      <c r="ALA36" s="427"/>
      <c r="ALB36" s="424"/>
      <c r="ALC36" s="427"/>
      <c r="ALD36" s="424"/>
      <c r="ALE36" s="427"/>
      <c r="ALF36" s="424"/>
      <c r="ALG36" s="427"/>
      <c r="ALH36" s="424"/>
      <c r="ALI36" s="427"/>
      <c r="ALJ36" s="424"/>
      <c r="ALK36" s="427"/>
      <c r="ALL36" s="424"/>
      <c r="ALM36" s="427"/>
      <c r="ALN36" s="424"/>
      <c r="ALO36" s="427"/>
      <c r="ALP36" s="424"/>
      <c r="ALQ36" s="427"/>
      <c r="ALR36" s="424"/>
      <c r="ALS36" s="427"/>
      <c r="ALT36" s="424"/>
      <c r="ALU36" s="427"/>
      <c r="ALV36" s="424"/>
      <c r="ALW36" s="427"/>
      <c r="ALX36" s="424"/>
      <c r="ALY36" s="427"/>
      <c r="ALZ36" s="424"/>
      <c r="AMA36" s="427"/>
      <c r="AMB36" s="424"/>
      <c r="AMC36" s="427"/>
      <c r="AMD36" s="424"/>
      <c r="AME36" s="427"/>
      <c r="AMF36" s="424"/>
      <c r="AMG36" s="427"/>
      <c r="AMH36" s="424"/>
      <c r="AMI36" s="427"/>
      <c r="AMJ36" s="424"/>
      <c r="AMK36" s="427"/>
      <c r="AML36" s="424"/>
      <c r="AMM36" s="427"/>
      <c r="AMN36" s="424"/>
      <c r="AMO36" s="427"/>
      <c r="AMP36" s="424"/>
      <c r="AMQ36" s="427"/>
      <c r="AMR36" s="424"/>
      <c r="AMS36" s="427"/>
      <c r="AMT36" s="424"/>
      <c r="AMU36" s="427"/>
      <c r="AMV36" s="424"/>
      <c r="AMW36" s="427"/>
      <c r="AMX36" s="424"/>
      <c r="AMY36" s="427"/>
      <c r="AMZ36" s="424"/>
      <c r="ANA36" s="427"/>
      <c r="ANB36" s="424"/>
      <c r="ANC36" s="427"/>
      <c r="AND36" s="424"/>
      <c r="ANE36" s="427"/>
      <c r="ANF36" s="424"/>
      <c r="ANG36" s="427"/>
      <c r="ANH36" s="424"/>
      <c r="ANI36" s="427"/>
      <c r="ANJ36" s="424"/>
      <c r="ANK36" s="427"/>
      <c r="ANL36" s="424"/>
      <c r="ANM36" s="427"/>
      <c r="ANN36" s="424"/>
      <c r="ANO36" s="427"/>
      <c r="ANP36" s="424"/>
      <c r="ANQ36" s="427"/>
      <c r="ANR36" s="424"/>
      <c r="ANS36" s="427"/>
      <c r="ANT36" s="424"/>
      <c r="ANU36" s="427"/>
      <c r="ANV36" s="424"/>
      <c r="ANW36" s="427"/>
      <c r="ANX36" s="424"/>
      <c r="ANY36" s="427"/>
      <c r="ANZ36" s="424"/>
      <c r="AOA36" s="427"/>
      <c r="AOB36" s="424"/>
      <c r="AOC36" s="427"/>
      <c r="AOD36" s="424"/>
      <c r="AOE36" s="427"/>
      <c r="AOF36" s="424"/>
      <c r="AOG36" s="427"/>
      <c r="AOH36" s="424"/>
      <c r="AOI36" s="427"/>
      <c r="AOJ36" s="424"/>
      <c r="AOK36" s="427"/>
      <c r="AOL36" s="424"/>
      <c r="AOM36" s="427"/>
      <c r="AON36" s="424"/>
      <c r="AOO36" s="427"/>
      <c r="AOP36" s="424"/>
      <c r="AOQ36" s="427"/>
      <c r="AOR36" s="424"/>
      <c r="AOS36" s="427"/>
      <c r="AOT36" s="424"/>
      <c r="AOU36" s="427"/>
      <c r="AOV36" s="424"/>
      <c r="AOW36" s="427"/>
      <c r="AOX36" s="424"/>
      <c r="AOY36" s="427"/>
      <c r="AOZ36" s="424"/>
      <c r="APA36" s="427"/>
      <c r="APB36" s="424"/>
      <c r="APC36" s="427"/>
      <c r="APD36" s="424"/>
      <c r="APE36" s="427"/>
      <c r="APF36" s="424"/>
      <c r="APG36" s="427"/>
      <c r="APH36" s="424"/>
      <c r="API36" s="427"/>
      <c r="APJ36" s="424"/>
      <c r="APK36" s="427"/>
      <c r="APL36" s="424"/>
      <c r="APM36" s="427"/>
      <c r="APN36" s="424"/>
      <c r="APO36" s="427"/>
      <c r="APP36" s="424"/>
      <c r="APQ36" s="427"/>
      <c r="APR36" s="424"/>
      <c r="APS36" s="427"/>
      <c r="APT36" s="424"/>
      <c r="APU36" s="427"/>
      <c r="APV36" s="424"/>
      <c r="APW36" s="427"/>
      <c r="APX36" s="424"/>
      <c r="APY36" s="427"/>
      <c r="APZ36" s="424"/>
      <c r="AQA36" s="427"/>
      <c r="AQB36" s="424"/>
      <c r="AQC36" s="427"/>
      <c r="AQD36" s="424"/>
      <c r="AQE36" s="427"/>
      <c r="AQF36" s="424"/>
      <c r="AQG36" s="427"/>
      <c r="AQH36" s="424"/>
      <c r="AQI36" s="427"/>
      <c r="AQJ36" s="424"/>
      <c r="AQK36" s="427"/>
      <c r="AQL36" s="424"/>
      <c r="AQM36" s="427"/>
      <c r="AQN36" s="424"/>
      <c r="AQO36" s="427"/>
      <c r="AQP36" s="424"/>
      <c r="AQQ36" s="427"/>
      <c r="AQR36" s="424"/>
      <c r="AQS36" s="427"/>
      <c r="AQT36" s="424"/>
      <c r="AQU36" s="427"/>
      <c r="AQV36" s="424"/>
      <c r="AQW36" s="427"/>
      <c r="AQX36" s="424"/>
      <c r="AQY36" s="427"/>
      <c r="AQZ36" s="424"/>
      <c r="ARA36" s="427"/>
      <c r="ARB36" s="424"/>
      <c r="ARC36" s="427"/>
      <c r="ARD36" s="424"/>
      <c r="ARE36" s="427"/>
      <c r="ARF36" s="424"/>
      <c r="ARG36" s="427"/>
      <c r="ARH36" s="424"/>
      <c r="ARI36" s="427"/>
      <c r="ARJ36" s="424"/>
      <c r="ARK36" s="427"/>
      <c r="ARL36" s="424"/>
      <c r="ARM36" s="427"/>
      <c r="ARN36" s="424"/>
      <c r="ARO36" s="427"/>
      <c r="ARP36" s="424"/>
      <c r="ARQ36" s="427"/>
      <c r="ARR36" s="424"/>
      <c r="ARS36" s="427"/>
      <c r="ART36" s="424"/>
      <c r="ARU36" s="427"/>
      <c r="ARV36" s="424"/>
      <c r="ARW36" s="427"/>
      <c r="ARX36" s="424"/>
      <c r="ARY36" s="427"/>
      <c r="ARZ36" s="424"/>
      <c r="ASA36" s="427"/>
      <c r="ASB36" s="424"/>
      <c r="ASC36" s="427"/>
      <c r="ASD36" s="424"/>
      <c r="ASE36" s="427"/>
      <c r="ASF36" s="424"/>
      <c r="ASG36" s="427"/>
      <c r="ASH36" s="424"/>
      <c r="ASI36" s="427"/>
      <c r="ASJ36" s="424"/>
      <c r="ASK36" s="427"/>
      <c r="ASL36" s="424"/>
      <c r="ASM36" s="427"/>
      <c r="ASN36" s="424"/>
      <c r="ASO36" s="427"/>
      <c r="ASP36" s="424"/>
      <c r="ASQ36" s="427"/>
      <c r="ASR36" s="424"/>
      <c r="ASS36" s="427"/>
      <c r="AST36" s="424"/>
      <c r="ASU36" s="427"/>
      <c r="ASV36" s="424"/>
      <c r="ASW36" s="427"/>
      <c r="ASX36" s="424"/>
      <c r="ASY36" s="427"/>
      <c r="ASZ36" s="424"/>
      <c r="ATA36" s="427"/>
      <c r="ATB36" s="424"/>
      <c r="ATC36" s="427"/>
      <c r="ATD36" s="424"/>
      <c r="ATE36" s="427"/>
      <c r="ATF36" s="424"/>
      <c r="ATG36" s="427"/>
      <c r="ATH36" s="424"/>
      <c r="ATI36" s="427"/>
      <c r="ATJ36" s="424"/>
      <c r="ATK36" s="427"/>
      <c r="ATL36" s="424"/>
      <c r="ATM36" s="427"/>
      <c r="ATN36" s="424"/>
      <c r="ATO36" s="427"/>
      <c r="ATP36" s="424"/>
      <c r="ATQ36" s="427"/>
      <c r="ATR36" s="424"/>
      <c r="ATS36" s="427"/>
      <c r="ATT36" s="424"/>
      <c r="ATU36" s="427"/>
      <c r="ATV36" s="424"/>
      <c r="ATW36" s="427"/>
      <c r="ATX36" s="424"/>
      <c r="ATY36" s="427"/>
      <c r="ATZ36" s="424"/>
      <c r="AUA36" s="427"/>
      <c r="AUB36" s="424"/>
      <c r="AUC36" s="427"/>
      <c r="AUD36" s="424"/>
      <c r="AUE36" s="427"/>
      <c r="AUF36" s="424"/>
      <c r="AUG36" s="427"/>
      <c r="AUH36" s="424"/>
      <c r="AUI36" s="427"/>
      <c r="AUJ36" s="424"/>
      <c r="AUK36" s="427"/>
      <c r="AUL36" s="424"/>
      <c r="AUM36" s="427"/>
      <c r="AUN36" s="424"/>
      <c r="AUO36" s="427"/>
      <c r="AUP36" s="424"/>
      <c r="AUQ36" s="427"/>
      <c r="AUR36" s="424"/>
      <c r="AUS36" s="427"/>
      <c r="AUT36" s="424"/>
      <c r="AUU36" s="427"/>
      <c r="AUV36" s="424"/>
      <c r="AUW36" s="427"/>
      <c r="AUX36" s="424"/>
      <c r="AUY36" s="427"/>
      <c r="AUZ36" s="424"/>
      <c r="AVA36" s="427"/>
      <c r="AVB36" s="424"/>
      <c r="AVC36" s="427"/>
      <c r="AVD36" s="424"/>
      <c r="AVE36" s="427"/>
      <c r="AVF36" s="424"/>
      <c r="AVG36" s="427"/>
      <c r="AVH36" s="424"/>
      <c r="AVI36" s="427"/>
      <c r="AVJ36" s="424"/>
      <c r="AVK36" s="427"/>
      <c r="AVL36" s="424"/>
      <c r="AVM36" s="427"/>
      <c r="AVN36" s="424"/>
      <c r="AVO36" s="427"/>
      <c r="AVP36" s="424"/>
      <c r="AVQ36" s="427"/>
      <c r="AVR36" s="424"/>
      <c r="AVS36" s="427"/>
      <c r="AVT36" s="424"/>
      <c r="AVU36" s="427"/>
      <c r="AVV36" s="424"/>
      <c r="AVW36" s="427"/>
      <c r="AVX36" s="424"/>
      <c r="AVY36" s="427"/>
      <c r="AVZ36" s="424"/>
      <c r="AWA36" s="427"/>
      <c r="AWB36" s="424"/>
      <c r="AWC36" s="427"/>
      <c r="AWD36" s="424"/>
      <c r="AWE36" s="427"/>
      <c r="AWF36" s="424"/>
      <c r="AWG36" s="427"/>
      <c r="AWH36" s="424"/>
      <c r="AWI36" s="427"/>
      <c r="AWJ36" s="424"/>
      <c r="AWK36" s="427"/>
      <c r="AWL36" s="424"/>
      <c r="AWM36" s="427"/>
      <c r="AWN36" s="424"/>
      <c r="AWO36" s="427"/>
      <c r="AWP36" s="424"/>
      <c r="AWQ36" s="427"/>
      <c r="AWR36" s="424"/>
      <c r="AWS36" s="427"/>
      <c r="AWT36" s="424"/>
      <c r="AWU36" s="427"/>
      <c r="AWV36" s="424"/>
      <c r="AWW36" s="427"/>
      <c r="AWX36" s="424"/>
      <c r="AWY36" s="427"/>
      <c r="AWZ36" s="424"/>
      <c r="AXA36" s="427"/>
      <c r="AXB36" s="424"/>
      <c r="AXC36" s="427"/>
      <c r="AXD36" s="424"/>
      <c r="AXE36" s="427"/>
      <c r="AXF36" s="424"/>
      <c r="AXG36" s="427"/>
      <c r="AXH36" s="424"/>
      <c r="AXI36" s="427"/>
      <c r="AXJ36" s="424"/>
      <c r="AXK36" s="427"/>
      <c r="AXL36" s="424"/>
      <c r="AXM36" s="427"/>
      <c r="AXN36" s="424"/>
      <c r="AXO36" s="427"/>
      <c r="AXP36" s="424"/>
      <c r="AXQ36" s="427"/>
      <c r="AXR36" s="424"/>
      <c r="AXS36" s="427"/>
      <c r="AXT36" s="424"/>
      <c r="AXU36" s="427"/>
      <c r="AXV36" s="424"/>
      <c r="AXW36" s="427"/>
      <c r="AXX36" s="424"/>
      <c r="AXY36" s="427"/>
      <c r="AXZ36" s="424"/>
      <c r="AYA36" s="427"/>
      <c r="AYB36" s="424"/>
      <c r="AYC36" s="427"/>
      <c r="AYD36" s="424"/>
      <c r="AYE36" s="427"/>
      <c r="AYF36" s="424"/>
      <c r="AYG36" s="427"/>
      <c r="AYH36" s="424"/>
      <c r="AYI36" s="427"/>
      <c r="AYJ36" s="424"/>
      <c r="AYK36" s="427"/>
      <c r="AYL36" s="424"/>
      <c r="AYM36" s="427"/>
      <c r="AYN36" s="424"/>
      <c r="AYO36" s="427"/>
      <c r="AYP36" s="424"/>
      <c r="AYQ36" s="427"/>
      <c r="AYR36" s="424"/>
      <c r="AYS36" s="427"/>
      <c r="AYT36" s="424"/>
      <c r="AYU36" s="427"/>
      <c r="AYV36" s="424"/>
      <c r="AYW36" s="427"/>
      <c r="AYX36" s="424"/>
      <c r="AYY36" s="427"/>
      <c r="AYZ36" s="424"/>
      <c r="AZA36" s="427"/>
      <c r="AZB36" s="424"/>
      <c r="AZC36" s="427"/>
      <c r="AZD36" s="424"/>
      <c r="AZE36" s="427"/>
      <c r="AZF36" s="424"/>
      <c r="AZG36" s="427"/>
      <c r="AZH36" s="424"/>
      <c r="AZI36" s="427"/>
      <c r="AZJ36" s="424"/>
      <c r="AZK36" s="427"/>
      <c r="AZL36" s="424"/>
      <c r="AZM36" s="427"/>
      <c r="AZN36" s="424"/>
      <c r="AZO36" s="427"/>
      <c r="AZP36" s="424"/>
      <c r="AZQ36" s="427"/>
      <c r="AZR36" s="424"/>
      <c r="AZS36" s="427"/>
      <c r="AZT36" s="424"/>
      <c r="AZU36" s="427"/>
      <c r="AZV36" s="424"/>
      <c r="AZW36" s="427"/>
      <c r="AZX36" s="424"/>
      <c r="AZY36" s="427"/>
      <c r="AZZ36" s="424"/>
      <c r="BAA36" s="427"/>
      <c r="BAB36" s="424"/>
      <c r="BAC36" s="427"/>
      <c r="BAD36" s="424"/>
      <c r="BAE36" s="427"/>
      <c r="BAF36" s="424"/>
      <c r="BAG36" s="427"/>
      <c r="BAH36" s="424"/>
      <c r="BAI36" s="427"/>
      <c r="BAJ36" s="424"/>
      <c r="BAK36" s="427"/>
      <c r="BAL36" s="424"/>
      <c r="BAM36" s="427"/>
      <c r="BAN36" s="424"/>
      <c r="BAO36" s="427"/>
      <c r="BAP36" s="424"/>
      <c r="BAQ36" s="427"/>
      <c r="BAR36" s="424"/>
      <c r="BAS36" s="427"/>
      <c r="BAT36" s="424"/>
      <c r="BAU36" s="427"/>
      <c r="BAV36" s="424"/>
      <c r="BAW36" s="427"/>
      <c r="BAX36" s="424"/>
      <c r="BAY36" s="427"/>
      <c r="BAZ36" s="424"/>
      <c r="BBA36" s="427"/>
      <c r="BBB36" s="424"/>
      <c r="BBC36" s="427"/>
      <c r="BBD36" s="424"/>
      <c r="BBE36" s="427"/>
      <c r="BBF36" s="424"/>
      <c r="BBG36" s="427"/>
      <c r="BBH36" s="424"/>
      <c r="BBI36" s="427"/>
      <c r="BBJ36" s="424"/>
      <c r="BBK36" s="427"/>
      <c r="BBL36" s="424"/>
      <c r="BBM36" s="427"/>
      <c r="BBN36" s="424"/>
      <c r="BBO36" s="427"/>
      <c r="BBP36" s="424"/>
      <c r="BBQ36" s="427"/>
      <c r="BBR36" s="424"/>
      <c r="BBS36" s="427"/>
      <c r="BBT36" s="424"/>
      <c r="BBU36" s="427"/>
      <c r="BBV36" s="424"/>
      <c r="BBW36" s="427"/>
      <c r="BBX36" s="424"/>
      <c r="BBY36" s="427"/>
      <c r="BBZ36" s="424"/>
      <c r="BCA36" s="427"/>
      <c r="BCB36" s="424"/>
      <c r="BCC36" s="427"/>
      <c r="BCD36" s="424"/>
      <c r="BCE36" s="427"/>
      <c r="BCF36" s="424"/>
      <c r="BCG36" s="427"/>
      <c r="BCH36" s="424"/>
      <c r="BCI36" s="427"/>
      <c r="BCJ36" s="424"/>
      <c r="BCK36" s="427"/>
      <c r="BCL36" s="424"/>
      <c r="BCM36" s="427"/>
      <c r="BCN36" s="424"/>
      <c r="BCO36" s="427"/>
      <c r="BCP36" s="424"/>
      <c r="BCQ36" s="427"/>
      <c r="BCR36" s="424"/>
      <c r="BCS36" s="427"/>
      <c r="BCT36" s="424"/>
      <c r="BCU36" s="427"/>
      <c r="BCV36" s="424"/>
      <c r="BCW36" s="427"/>
      <c r="BCX36" s="424"/>
      <c r="BCY36" s="427"/>
      <c r="BCZ36" s="424"/>
      <c r="BDA36" s="427"/>
      <c r="BDB36" s="424"/>
      <c r="BDC36" s="427"/>
      <c r="BDD36" s="424"/>
      <c r="BDE36" s="427"/>
      <c r="BDF36" s="424"/>
      <c r="BDG36" s="427"/>
      <c r="BDH36" s="424"/>
      <c r="BDI36" s="427"/>
      <c r="BDJ36" s="424"/>
      <c r="BDK36" s="427"/>
      <c r="BDL36" s="424"/>
      <c r="BDM36" s="427"/>
      <c r="BDN36" s="424"/>
      <c r="BDO36" s="427"/>
      <c r="BDP36" s="424"/>
      <c r="BDQ36" s="427"/>
      <c r="BDR36" s="424"/>
      <c r="BDS36" s="427"/>
      <c r="BDT36" s="424"/>
      <c r="BDU36" s="427"/>
      <c r="BDV36" s="424"/>
      <c r="BDW36" s="427"/>
      <c r="BDX36" s="424"/>
      <c r="BDY36" s="427"/>
      <c r="BDZ36" s="424"/>
      <c r="BEA36" s="427"/>
      <c r="BEB36" s="424"/>
      <c r="BEC36" s="427"/>
      <c r="BED36" s="424"/>
      <c r="BEE36" s="427"/>
      <c r="BEF36" s="424"/>
      <c r="BEG36" s="427"/>
      <c r="BEH36" s="424"/>
      <c r="BEI36" s="427"/>
      <c r="BEJ36" s="424"/>
      <c r="BEK36" s="427"/>
      <c r="BEL36" s="424"/>
      <c r="BEM36" s="427"/>
      <c r="BEN36" s="424"/>
      <c r="BEO36" s="427"/>
      <c r="BEP36" s="424"/>
      <c r="BEQ36" s="427"/>
      <c r="BER36" s="424"/>
      <c r="BES36" s="427"/>
      <c r="BET36" s="424"/>
      <c r="BEU36" s="427"/>
      <c r="BEV36" s="424"/>
      <c r="BEW36" s="427"/>
      <c r="BEX36" s="424"/>
      <c r="BEY36" s="427"/>
      <c r="BEZ36" s="424"/>
      <c r="BFA36" s="427"/>
      <c r="BFB36" s="424"/>
      <c r="BFC36" s="427"/>
      <c r="BFD36" s="424"/>
      <c r="BFE36" s="427"/>
      <c r="BFF36" s="424"/>
      <c r="BFG36" s="427"/>
      <c r="BFH36" s="424"/>
      <c r="BFI36" s="427"/>
      <c r="BFJ36" s="424"/>
      <c r="BFK36" s="427"/>
      <c r="BFL36" s="424"/>
      <c r="BFM36" s="427"/>
      <c r="BFN36" s="424"/>
      <c r="BFO36" s="427"/>
      <c r="BFP36" s="424"/>
      <c r="BFQ36" s="427"/>
      <c r="BFR36" s="424"/>
      <c r="BFS36" s="427"/>
      <c r="BFT36" s="424"/>
      <c r="BFU36" s="427"/>
      <c r="BFV36" s="424"/>
      <c r="BFW36" s="427"/>
      <c r="BFX36" s="424"/>
      <c r="BFY36" s="427"/>
      <c r="BFZ36" s="424"/>
      <c r="BGA36" s="427"/>
      <c r="BGB36" s="424"/>
      <c r="BGC36" s="427"/>
      <c r="BGD36" s="424"/>
      <c r="BGE36" s="427"/>
      <c r="BGF36" s="424"/>
      <c r="BGG36" s="427"/>
      <c r="BGH36" s="424"/>
      <c r="BGI36" s="427"/>
      <c r="BGJ36" s="424"/>
      <c r="BGK36" s="427"/>
      <c r="BGL36" s="424"/>
      <c r="BGM36" s="427"/>
      <c r="BGN36" s="424"/>
      <c r="BGO36" s="427"/>
      <c r="BGP36" s="424"/>
      <c r="BGQ36" s="427"/>
      <c r="BGR36" s="424"/>
      <c r="BGS36" s="427"/>
      <c r="BGT36" s="424"/>
      <c r="BGU36" s="427"/>
      <c r="BGV36" s="424"/>
      <c r="BGW36" s="427"/>
      <c r="BGX36" s="424"/>
      <c r="BGY36" s="427"/>
      <c r="BGZ36" s="424"/>
      <c r="BHA36" s="427"/>
      <c r="BHB36" s="424"/>
      <c r="BHC36" s="427"/>
      <c r="BHD36" s="424"/>
      <c r="BHE36" s="427"/>
      <c r="BHF36" s="424"/>
      <c r="BHG36" s="427"/>
      <c r="BHH36" s="424"/>
      <c r="BHI36" s="427"/>
      <c r="BHJ36" s="424"/>
      <c r="BHK36" s="427"/>
      <c r="BHL36" s="424"/>
      <c r="BHM36" s="427"/>
      <c r="BHN36" s="424"/>
      <c r="BHO36" s="427"/>
      <c r="BHP36" s="424"/>
      <c r="BHQ36" s="427"/>
      <c r="BHR36" s="424"/>
      <c r="BHS36" s="427"/>
      <c r="BHT36" s="424"/>
      <c r="BHU36" s="427"/>
      <c r="BHV36" s="424"/>
      <c r="BHW36" s="427"/>
      <c r="BHX36" s="424"/>
      <c r="BHY36" s="427"/>
      <c r="BHZ36" s="424"/>
      <c r="BIA36" s="427"/>
      <c r="BIB36" s="424"/>
      <c r="BIC36" s="427"/>
      <c r="BID36" s="424"/>
      <c r="BIE36" s="427"/>
      <c r="BIF36" s="424"/>
      <c r="BIG36" s="427"/>
      <c r="BIH36" s="424"/>
      <c r="BII36" s="427"/>
      <c r="BIJ36" s="424"/>
      <c r="BIK36" s="427"/>
      <c r="BIL36" s="424"/>
      <c r="BIM36" s="427"/>
      <c r="BIN36" s="424"/>
      <c r="BIO36" s="427"/>
      <c r="BIP36" s="424"/>
      <c r="BIQ36" s="427"/>
      <c r="BIR36" s="424"/>
      <c r="BIS36" s="427"/>
      <c r="BIT36" s="424"/>
      <c r="BIU36" s="427"/>
      <c r="BIV36" s="424"/>
      <c r="BIW36" s="427"/>
      <c r="BIX36" s="424"/>
      <c r="BIY36" s="427"/>
      <c r="BIZ36" s="424"/>
      <c r="BJA36" s="427"/>
      <c r="BJB36" s="424"/>
      <c r="BJC36" s="427"/>
      <c r="BJD36" s="424"/>
      <c r="BJE36" s="427"/>
      <c r="BJF36" s="424"/>
      <c r="BJG36" s="427"/>
      <c r="BJH36" s="424"/>
      <c r="BJI36" s="427"/>
      <c r="BJJ36" s="424"/>
      <c r="BJK36" s="427"/>
      <c r="BJL36" s="424"/>
      <c r="BJM36" s="427"/>
      <c r="BJN36" s="424"/>
      <c r="BJO36" s="427"/>
      <c r="BJP36" s="424"/>
      <c r="BJQ36" s="427"/>
      <c r="BJR36" s="424"/>
      <c r="BJS36" s="427"/>
      <c r="BJT36" s="424"/>
      <c r="BJU36" s="427"/>
      <c r="BJV36" s="424"/>
      <c r="BJW36" s="427"/>
      <c r="BJX36" s="424"/>
      <c r="BJY36" s="427"/>
      <c r="BJZ36" s="424"/>
      <c r="BKA36" s="427"/>
      <c r="BKB36" s="424"/>
      <c r="BKC36" s="427"/>
      <c r="BKD36" s="424"/>
      <c r="BKE36" s="427"/>
      <c r="BKF36" s="424"/>
      <c r="BKG36" s="427"/>
      <c r="BKH36" s="424"/>
      <c r="BKI36" s="427"/>
      <c r="BKJ36" s="424"/>
      <c r="BKK36" s="427"/>
      <c r="BKL36" s="424"/>
      <c r="BKM36" s="427"/>
      <c r="BKN36" s="424"/>
      <c r="BKO36" s="427"/>
      <c r="BKP36" s="424"/>
      <c r="BKQ36" s="427"/>
      <c r="BKR36" s="424"/>
      <c r="BKS36" s="427"/>
      <c r="BKT36" s="424"/>
      <c r="BKU36" s="427"/>
      <c r="BKV36" s="424"/>
      <c r="BKW36" s="427"/>
      <c r="BKX36" s="424"/>
      <c r="BKY36" s="427"/>
      <c r="BKZ36" s="424"/>
      <c r="BLA36" s="427"/>
      <c r="BLB36" s="424"/>
      <c r="BLC36" s="427"/>
      <c r="BLD36" s="424"/>
      <c r="BLE36" s="427"/>
      <c r="BLF36" s="424"/>
      <c r="BLG36" s="427"/>
      <c r="BLH36" s="424"/>
      <c r="BLI36" s="427"/>
      <c r="BLJ36" s="424"/>
      <c r="BLK36" s="427"/>
      <c r="BLL36" s="424"/>
      <c r="BLM36" s="427"/>
      <c r="BLN36" s="424"/>
      <c r="BLO36" s="427"/>
      <c r="BLP36" s="424"/>
      <c r="BLQ36" s="427"/>
      <c r="BLR36" s="424"/>
      <c r="BLS36" s="427"/>
      <c r="BLT36" s="424"/>
      <c r="BLU36" s="427"/>
      <c r="BLV36" s="424"/>
      <c r="BLW36" s="427"/>
      <c r="BLX36" s="424"/>
      <c r="BLY36" s="427"/>
      <c r="BLZ36" s="424"/>
      <c r="BMA36" s="427"/>
      <c r="BMB36" s="424"/>
      <c r="BMC36" s="427"/>
      <c r="BMD36" s="424"/>
      <c r="BME36" s="427"/>
      <c r="BMF36" s="424"/>
      <c r="BMG36" s="427"/>
      <c r="BMH36" s="424"/>
      <c r="BMI36" s="427"/>
      <c r="BMJ36" s="424"/>
      <c r="BMK36" s="427"/>
      <c r="BML36" s="424"/>
      <c r="BMM36" s="427"/>
      <c r="BMN36" s="424"/>
      <c r="BMO36" s="427"/>
      <c r="BMP36" s="424"/>
      <c r="BMQ36" s="427"/>
      <c r="BMR36" s="424"/>
      <c r="BMS36" s="427"/>
      <c r="BMT36" s="424"/>
      <c r="BMU36" s="427"/>
      <c r="BMV36" s="424"/>
      <c r="BMW36" s="427"/>
      <c r="BMX36" s="424"/>
      <c r="BMY36" s="427"/>
      <c r="BMZ36" s="424"/>
      <c r="BNA36" s="427"/>
      <c r="BNB36" s="424"/>
      <c r="BNC36" s="427"/>
      <c r="BND36" s="424"/>
      <c r="BNE36" s="427"/>
      <c r="BNF36" s="424"/>
      <c r="BNG36" s="427"/>
      <c r="BNH36" s="424"/>
      <c r="BNI36" s="427"/>
      <c r="BNJ36" s="424"/>
      <c r="BNK36" s="427"/>
      <c r="BNL36" s="424"/>
      <c r="BNM36" s="427"/>
      <c r="BNN36" s="424"/>
      <c r="BNO36" s="427"/>
      <c r="BNP36" s="424"/>
      <c r="BNQ36" s="427"/>
      <c r="BNR36" s="424"/>
      <c r="BNS36" s="427"/>
      <c r="BNT36" s="424"/>
      <c r="BNU36" s="427"/>
      <c r="BNV36" s="424"/>
      <c r="BNW36" s="427"/>
      <c r="BNX36" s="424"/>
      <c r="BNY36" s="427"/>
      <c r="BNZ36" s="424"/>
      <c r="BOA36" s="427"/>
      <c r="BOB36" s="424"/>
      <c r="BOC36" s="427"/>
      <c r="BOD36" s="424"/>
      <c r="BOE36" s="427"/>
      <c r="BOF36" s="424"/>
      <c r="BOG36" s="427"/>
      <c r="BOH36" s="424"/>
      <c r="BOI36" s="427"/>
      <c r="BOJ36" s="424"/>
      <c r="BOK36" s="427"/>
      <c r="BOL36" s="424"/>
      <c r="BOM36" s="427"/>
      <c r="BON36" s="424"/>
      <c r="BOO36" s="427"/>
      <c r="BOP36" s="424"/>
      <c r="BOQ36" s="427"/>
      <c r="BOR36" s="424"/>
      <c r="BOS36" s="427"/>
      <c r="BOT36" s="424"/>
      <c r="BOU36" s="427"/>
      <c r="BOV36" s="424"/>
      <c r="BOW36" s="427"/>
      <c r="BOX36" s="424"/>
      <c r="BOY36" s="427"/>
      <c r="BOZ36" s="424"/>
      <c r="BPA36" s="427"/>
      <c r="BPB36" s="424"/>
      <c r="BPC36" s="427"/>
      <c r="BPD36" s="424"/>
      <c r="BPE36" s="427"/>
      <c r="BPF36" s="424"/>
      <c r="BPG36" s="427"/>
      <c r="BPH36" s="424"/>
      <c r="BPI36" s="427"/>
      <c r="BPJ36" s="424"/>
      <c r="BPK36" s="427"/>
      <c r="BPL36" s="424"/>
      <c r="BPM36" s="427"/>
      <c r="BPN36" s="424"/>
      <c r="BPO36" s="427"/>
      <c r="BPP36" s="424"/>
      <c r="BPQ36" s="427"/>
      <c r="BPR36" s="424"/>
      <c r="BPS36" s="427"/>
      <c r="BPT36" s="424"/>
      <c r="BPU36" s="427"/>
      <c r="BPV36" s="424"/>
      <c r="BPW36" s="427"/>
      <c r="BPX36" s="424"/>
      <c r="BPY36" s="427"/>
      <c r="BPZ36" s="424"/>
      <c r="BQA36" s="427"/>
      <c r="BQB36" s="424"/>
      <c r="BQC36" s="427"/>
      <c r="BQD36" s="424"/>
      <c r="BQE36" s="427"/>
      <c r="BQF36" s="424"/>
      <c r="BQG36" s="427"/>
      <c r="BQH36" s="424"/>
      <c r="BQI36" s="427"/>
      <c r="BQJ36" s="424"/>
      <c r="BQK36" s="427"/>
      <c r="BQL36" s="424"/>
      <c r="BQM36" s="427"/>
      <c r="BQN36" s="424"/>
      <c r="BQO36" s="427"/>
      <c r="BQP36" s="424"/>
      <c r="BQQ36" s="427"/>
      <c r="BQR36" s="424"/>
      <c r="BQS36" s="427"/>
      <c r="BQT36" s="424"/>
      <c r="BQU36" s="427"/>
      <c r="BQV36" s="424"/>
      <c r="BQW36" s="427"/>
      <c r="BQX36" s="424"/>
      <c r="BQY36" s="427"/>
      <c r="BQZ36" s="424"/>
      <c r="BRA36" s="427"/>
      <c r="BRB36" s="424"/>
      <c r="BRC36" s="427"/>
      <c r="BRD36" s="424"/>
      <c r="BRE36" s="427"/>
      <c r="BRF36" s="424"/>
      <c r="BRG36" s="427"/>
      <c r="BRH36" s="424"/>
      <c r="BRI36" s="427"/>
      <c r="BRJ36" s="424"/>
      <c r="BRK36" s="427"/>
      <c r="BRL36" s="424"/>
      <c r="BRM36" s="427"/>
      <c r="BRN36" s="424"/>
      <c r="BRO36" s="427"/>
      <c r="BRP36" s="424"/>
      <c r="BRQ36" s="427"/>
      <c r="BRR36" s="424"/>
      <c r="BRS36" s="427"/>
      <c r="BRT36" s="424"/>
      <c r="BRU36" s="427"/>
      <c r="BRV36" s="424"/>
      <c r="BRW36" s="427"/>
      <c r="BRX36" s="424"/>
      <c r="BRY36" s="427"/>
      <c r="BRZ36" s="424"/>
      <c r="BSA36" s="427"/>
      <c r="BSB36" s="424"/>
      <c r="BSC36" s="427"/>
      <c r="BSD36" s="424"/>
      <c r="BSE36" s="427"/>
      <c r="BSF36" s="424"/>
      <c r="BSG36" s="427"/>
      <c r="BSH36" s="424"/>
      <c r="BSI36" s="427"/>
      <c r="BSJ36" s="424"/>
      <c r="BSK36" s="427"/>
      <c r="BSL36" s="424"/>
      <c r="BSM36" s="427"/>
      <c r="BSN36" s="424"/>
      <c r="BSO36" s="427"/>
      <c r="BSP36" s="424"/>
      <c r="BSQ36" s="427"/>
      <c r="BSR36" s="424"/>
      <c r="BSS36" s="427"/>
      <c r="BST36" s="424"/>
      <c r="BSU36" s="427"/>
      <c r="BSV36" s="424"/>
      <c r="BSW36" s="427"/>
      <c r="BSX36" s="424"/>
      <c r="BSY36" s="427"/>
      <c r="BSZ36" s="424"/>
      <c r="BTA36" s="427"/>
      <c r="BTB36" s="424"/>
      <c r="BTC36" s="427"/>
      <c r="BTD36" s="424"/>
      <c r="BTE36" s="427"/>
      <c r="BTF36" s="424"/>
      <c r="BTG36" s="427"/>
      <c r="BTH36" s="424"/>
      <c r="BTI36" s="427"/>
      <c r="BTJ36" s="424"/>
      <c r="BTK36" s="427"/>
      <c r="BTL36" s="424"/>
      <c r="BTM36" s="427"/>
      <c r="BTN36" s="424"/>
      <c r="BTO36" s="427"/>
      <c r="BTP36" s="424"/>
      <c r="BTQ36" s="427"/>
      <c r="BTR36" s="424"/>
      <c r="BTS36" s="427"/>
      <c r="BTT36" s="424"/>
      <c r="BTU36" s="427"/>
      <c r="BTV36" s="424"/>
      <c r="BTW36" s="427"/>
      <c r="BTX36" s="424"/>
      <c r="BTY36" s="427"/>
      <c r="BTZ36" s="424"/>
      <c r="BUA36" s="427"/>
      <c r="BUB36" s="424"/>
      <c r="BUC36" s="427"/>
      <c r="BUD36" s="424"/>
      <c r="BUE36" s="427"/>
      <c r="BUF36" s="424"/>
      <c r="BUG36" s="427"/>
      <c r="BUH36" s="424"/>
      <c r="BUI36" s="427"/>
      <c r="BUJ36" s="424"/>
      <c r="BUK36" s="427"/>
      <c r="BUL36" s="424"/>
      <c r="BUM36" s="427"/>
      <c r="BUN36" s="424"/>
      <c r="BUO36" s="427"/>
      <c r="BUP36" s="424"/>
      <c r="BUQ36" s="427"/>
      <c r="BUR36" s="424"/>
      <c r="BUS36" s="427"/>
      <c r="BUT36" s="424"/>
      <c r="BUU36" s="427"/>
      <c r="BUV36" s="424"/>
      <c r="BUW36" s="427"/>
      <c r="BUX36" s="424"/>
      <c r="BUY36" s="427"/>
      <c r="BUZ36" s="424"/>
      <c r="BVA36" s="427"/>
      <c r="BVB36" s="424"/>
      <c r="BVC36" s="427"/>
      <c r="BVD36" s="424"/>
      <c r="BVE36" s="427"/>
      <c r="BVF36" s="424"/>
      <c r="BVG36" s="427"/>
      <c r="BVH36" s="424"/>
      <c r="BVI36" s="427"/>
      <c r="BVJ36" s="424"/>
      <c r="BVK36" s="427"/>
      <c r="BVL36" s="424"/>
      <c r="BVM36" s="427"/>
      <c r="BVN36" s="424"/>
      <c r="BVO36" s="427"/>
      <c r="BVP36" s="424"/>
      <c r="BVQ36" s="427"/>
      <c r="BVR36" s="424"/>
      <c r="BVS36" s="427"/>
      <c r="BVT36" s="424"/>
      <c r="BVU36" s="427"/>
      <c r="BVV36" s="424"/>
      <c r="BVW36" s="427"/>
      <c r="BVX36" s="424"/>
      <c r="BVY36" s="427"/>
      <c r="BVZ36" s="424"/>
      <c r="BWA36" s="427"/>
      <c r="BWB36" s="424"/>
      <c r="BWC36" s="427"/>
      <c r="BWD36" s="424"/>
      <c r="BWE36" s="427"/>
      <c r="BWF36" s="424"/>
      <c r="BWG36" s="427"/>
      <c r="BWH36" s="424"/>
      <c r="BWI36" s="427"/>
      <c r="BWJ36" s="424"/>
      <c r="BWK36" s="427"/>
      <c r="BWL36" s="424"/>
      <c r="BWM36" s="427"/>
      <c r="BWN36" s="424"/>
      <c r="BWO36" s="427"/>
      <c r="BWP36" s="424"/>
      <c r="BWQ36" s="427"/>
      <c r="BWR36" s="424"/>
      <c r="BWS36" s="427"/>
      <c r="BWT36" s="424"/>
      <c r="BWU36" s="427"/>
      <c r="BWV36" s="424"/>
      <c r="BWW36" s="427"/>
      <c r="BWX36" s="424"/>
      <c r="BWY36" s="427"/>
      <c r="BWZ36" s="424"/>
      <c r="BXA36" s="427"/>
      <c r="BXB36" s="424"/>
      <c r="BXC36" s="427"/>
      <c r="BXD36" s="424"/>
      <c r="BXE36" s="427"/>
      <c r="BXF36" s="424"/>
      <c r="BXG36" s="427"/>
      <c r="BXH36" s="424"/>
      <c r="BXI36" s="427"/>
      <c r="BXJ36" s="424"/>
      <c r="BXK36" s="427"/>
      <c r="BXL36" s="424"/>
      <c r="BXM36" s="427"/>
      <c r="BXN36" s="424"/>
      <c r="BXO36" s="427"/>
      <c r="BXP36" s="424"/>
      <c r="BXQ36" s="427"/>
      <c r="BXR36" s="424"/>
      <c r="BXS36" s="427"/>
      <c r="BXT36" s="424"/>
      <c r="BXU36" s="427"/>
      <c r="BXV36" s="424"/>
      <c r="BXW36" s="427"/>
      <c r="BXX36" s="424"/>
      <c r="BXY36" s="427"/>
      <c r="BXZ36" s="424"/>
      <c r="BYA36" s="427"/>
      <c r="BYB36" s="424"/>
      <c r="BYC36" s="427"/>
      <c r="BYD36" s="424"/>
      <c r="BYE36" s="427"/>
      <c r="BYF36" s="424"/>
      <c r="BYG36" s="427"/>
      <c r="BYH36" s="424"/>
      <c r="BYI36" s="427"/>
      <c r="BYJ36" s="424"/>
      <c r="BYK36" s="427"/>
      <c r="BYL36" s="424"/>
      <c r="BYM36" s="427"/>
      <c r="BYN36" s="424"/>
      <c r="BYO36" s="427"/>
      <c r="BYP36" s="424"/>
      <c r="BYQ36" s="427"/>
      <c r="BYR36" s="424"/>
      <c r="BYS36" s="427"/>
      <c r="BYT36" s="424"/>
      <c r="BYU36" s="427"/>
      <c r="BYV36" s="424"/>
      <c r="BYW36" s="427"/>
      <c r="BYX36" s="424"/>
      <c r="BYY36" s="427"/>
      <c r="BYZ36" s="424"/>
      <c r="BZA36" s="427"/>
      <c r="BZB36" s="424"/>
      <c r="BZC36" s="427"/>
      <c r="BZD36" s="424"/>
      <c r="BZE36" s="427"/>
      <c r="BZF36" s="424"/>
      <c r="BZG36" s="427"/>
      <c r="BZH36" s="424"/>
      <c r="BZI36" s="427"/>
      <c r="BZJ36" s="424"/>
      <c r="BZK36" s="427"/>
      <c r="BZL36" s="424"/>
      <c r="BZM36" s="427"/>
      <c r="BZN36" s="424"/>
      <c r="BZO36" s="427"/>
      <c r="BZP36" s="424"/>
      <c r="BZQ36" s="427"/>
      <c r="BZR36" s="424"/>
      <c r="BZS36" s="427"/>
      <c r="BZT36" s="424"/>
      <c r="BZU36" s="427"/>
      <c r="BZV36" s="424"/>
      <c r="BZW36" s="427"/>
      <c r="BZX36" s="424"/>
      <c r="BZY36" s="427"/>
      <c r="BZZ36" s="424"/>
      <c r="CAA36" s="427"/>
      <c r="CAB36" s="424"/>
      <c r="CAC36" s="427"/>
      <c r="CAD36" s="424"/>
      <c r="CAE36" s="427"/>
      <c r="CAF36" s="424"/>
      <c r="CAG36" s="427"/>
      <c r="CAH36" s="424"/>
      <c r="CAI36" s="427"/>
      <c r="CAJ36" s="424"/>
      <c r="CAK36" s="427"/>
      <c r="CAL36" s="424"/>
      <c r="CAM36" s="427"/>
      <c r="CAN36" s="424"/>
      <c r="CAO36" s="427"/>
      <c r="CAP36" s="424"/>
      <c r="CAQ36" s="427"/>
      <c r="CAR36" s="424"/>
      <c r="CAS36" s="427"/>
      <c r="CAT36" s="424"/>
      <c r="CAU36" s="427"/>
      <c r="CAV36" s="424"/>
      <c r="CAW36" s="427"/>
      <c r="CAX36" s="424"/>
      <c r="CAY36" s="427"/>
      <c r="CAZ36" s="424"/>
      <c r="CBA36" s="427"/>
      <c r="CBB36" s="424"/>
      <c r="CBC36" s="427"/>
      <c r="CBD36" s="424"/>
      <c r="CBE36" s="427"/>
      <c r="CBF36" s="424"/>
      <c r="CBG36" s="427"/>
      <c r="CBH36" s="424"/>
      <c r="CBI36" s="427"/>
      <c r="CBJ36" s="424"/>
      <c r="CBK36" s="427"/>
      <c r="CBL36" s="424"/>
      <c r="CBM36" s="427"/>
      <c r="CBN36" s="424"/>
      <c r="CBO36" s="427"/>
      <c r="CBP36" s="424"/>
      <c r="CBQ36" s="427"/>
      <c r="CBR36" s="424"/>
      <c r="CBS36" s="427"/>
      <c r="CBT36" s="424"/>
      <c r="CBU36" s="427"/>
      <c r="CBV36" s="424"/>
      <c r="CBW36" s="427"/>
      <c r="CBX36" s="424"/>
      <c r="CBY36" s="427"/>
      <c r="CBZ36" s="424"/>
      <c r="CCA36" s="427"/>
      <c r="CCB36" s="424"/>
      <c r="CCC36" s="427"/>
      <c r="CCD36" s="424"/>
      <c r="CCE36" s="427"/>
      <c r="CCF36" s="424"/>
      <c r="CCG36" s="427"/>
      <c r="CCH36" s="424"/>
      <c r="CCI36" s="427"/>
      <c r="CCJ36" s="424"/>
      <c r="CCK36" s="427"/>
      <c r="CCL36" s="424"/>
      <c r="CCM36" s="427"/>
      <c r="CCN36" s="424"/>
      <c r="CCO36" s="427"/>
      <c r="CCP36" s="424"/>
      <c r="CCQ36" s="427"/>
      <c r="CCR36" s="424"/>
      <c r="CCS36" s="427"/>
      <c r="CCT36" s="424"/>
      <c r="CCU36" s="427"/>
      <c r="CCV36" s="424"/>
      <c r="CCW36" s="427"/>
      <c r="CCX36" s="424"/>
      <c r="CCY36" s="427"/>
      <c r="CCZ36" s="424"/>
      <c r="CDA36" s="427"/>
      <c r="CDB36" s="424"/>
      <c r="CDC36" s="427"/>
      <c r="CDD36" s="424"/>
      <c r="CDE36" s="427"/>
      <c r="CDF36" s="424"/>
      <c r="CDG36" s="427"/>
      <c r="CDH36" s="424"/>
      <c r="CDI36" s="427"/>
      <c r="CDJ36" s="424"/>
      <c r="CDK36" s="427"/>
      <c r="CDL36" s="424"/>
      <c r="CDM36" s="427"/>
      <c r="CDN36" s="424"/>
      <c r="CDO36" s="427"/>
      <c r="CDP36" s="424"/>
      <c r="CDQ36" s="427"/>
      <c r="CDR36" s="424"/>
      <c r="CDS36" s="427"/>
      <c r="CDT36" s="424"/>
      <c r="CDU36" s="427"/>
      <c r="CDV36" s="424"/>
      <c r="CDW36" s="427"/>
      <c r="CDX36" s="424"/>
      <c r="CDY36" s="427"/>
      <c r="CDZ36" s="424"/>
      <c r="CEA36" s="427"/>
      <c r="CEB36" s="424"/>
      <c r="CEC36" s="427"/>
      <c r="CED36" s="424"/>
      <c r="CEE36" s="427"/>
      <c r="CEF36" s="424"/>
      <c r="CEG36" s="427"/>
      <c r="CEH36" s="424"/>
      <c r="CEI36" s="427"/>
      <c r="CEJ36" s="424"/>
      <c r="CEK36" s="427"/>
      <c r="CEL36" s="424"/>
      <c r="CEM36" s="427"/>
      <c r="CEN36" s="424"/>
      <c r="CEO36" s="427"/>
      <c r="CEP36" s="424"/>
      <c r="CEQ36" s="427"/>
      <c r="CER36" s="424"/>
      <c r="CES36" s="427"/>
      <c r="CET36" s="424"/>
      <c r="CEU36" s="427"/>
      <c r="CEV36" s="424"/>
      <c r="CEW36" s="427"/>
      <c r="CEX36" s="424"/>
      <c r="CEY36" s="427"/>
      <c r="CEZ36" s="424"/>
      <c r="CFA36" s="427"/>
      <c r="CFB36" s="424"/>
      <c r="CFC36" s="427"/>
      <c r="CFD36" s="424"/>
      <c r="CFE36" s="427"/>
      <c r="CFF36" s="424"/>
      <c r="CFG36" s="427"/>
      <c r="CFH36" s="424"/>
      <c r="CFI36" s="427"/>
      <c r="CFJ36" s="424"/>
      <c r="CFK36" s="427"/>
      <c r="CFL36" s="424"/>
      <c r="CFM36" s="427"/>
      <c r="CFN36" s="424"/>
      <c r="CFO36" s="427"/>
      <c r="CFP36" s="424"/>
      <c r="CFQ36" s="427"/>
      <c r="CFR36" s="424"/>
      <c r="CFS36" s="427"/>
      <c r="CFT36" s="424"/>
      <c r="CFU36" s="427"/>
      <c r="CFV36" s="424"/>
      <c r="CFW36" s="427"/>
      <c r="CFX36" s="424"/>
      <c r="CFY36" s="427"/>
      <c r="CFZ36" s="424"/>
      <c r="CGA36" s="427"/>
      <c r="CGB36" s="424"/>
      <c r="CGC36" s="427"/>
      <c r="CGD36" s="424"/>
      <c r="CGE36" s="427"/>
      <c r="CGF36" s="424"/>
      <c r="CGG36" s="427"/>
      <c r="CGH36" s="424"/>
      <c r="CGI36" s="427"/>
      <c r="CGJ36" s="424"/>
      <c r="CGK36" s="427"/>
      <c r="CGL36" s="424"/>
      <c r="CGM36" s="427"/>
      <c r="CGN36" s="424"/>
      <c r="CGO36" s="427"/>
      <c r="CGP36" s="424"/>
      <c r="CGQ36" s="427"/>
      <c r="CGR36" s="424"/>
      <c r="CGS36" s="427"/>
      <c r="CGT36" s="424"/>
      <c r="CGU36" s="427"/>
      <c r="CGV36" s="424"/>
      <c r="CGW36" s="427"/>
      <c r="CGX36" s="424"/>
      <c r="CGY36" s="427"/>
      <c r="CGZ36" s="424"/>
      <c r="CHA36" s="427"/>
      <c r="CHB36" s="424"/>
      <c r="CHC36" s="427"/>
      <c r="CHD36" s="424"/>
      <c r="CHE36" s="427"/>
      <c r="CHF36" s="424"/>
      <c r="CHG36" s="427"/>
      <c r="CHH36" s="424"/>
      <c r="CHI36" s="427"/>
      <c r="CHJ36" s="424"/>
      <c r="CHK36" s="427"/>
      <c r="CHL36" s="424"/>
      <c r="CHM36" s="427"/>
      <c r="CHN36" s="424"/>
      <c r="CHO36" s="427"/>
      <c r="CHP36" s="424"/>
      <c r="CHQ36" s="427"/>
      <c r="CHR36" s="424"/>
      <c r="CHS36" s="427"/>
      <c r="CHT36" s="424"/>
      <c r="CHU36" s="427"/>
      <c r="CHV36" s="424"/>
      <c r="CHW36" s="427"/>
      <c r="CHX36" s="424"/>
      <c r="CHY36" s="427"/>
      <c r="CHZ36" s="424"/>
      <c r="CIA36" s="427"/>
      <c r="CIB36" s="424"/>
      <c r="CIC36" s="427"/>
      <c r="CID36" s="424"/>
      <c r="CIE36" s="427"/>
      <c r="CIF36" s="424"/>
      <c r="CIG36" s="427"/>
      <c r="CIH36" s="424"/>
      <c r="CII36" s="427"/>
      <c r="CIJ36" s="424"/>
      <c r="CIK36" s="427"/>
      <c r="CIL36" s="424"/>
      <c r="CIM36" s="427"/>
      <c r="CIN36" s="424"/>
      <c r="CIO36" s="427"/>
      <c r="CIP36" s="424"/>
      <c r="CIQ36" s="427"/>
      <c r="CIR36" s="424"/>
      <c r="CIS36" s="427"/>
      <c r="CIT36" s="424"/>
      <c r="CIU36" s="427"/>
      <c r="CIV36" s="424"/>
      <c r="CIW36" s="427"/>
      <c r="CIX36" s="424"/>
      <c r="CIY36" s="427"/>
      <c r="CIZ36" s="424"/>
      <c r="CJA36" s="427"/>
      <c r="CJB36" s="424"/>
      <c r="CJC36" s="427"/>
      <c r="CJD36" s="424"/>
      <c r="CJE36" s="427"/>
      <c r="CJF36" s="424"/>
      <c r="CJG36" s="427"/>
      <c r="CJH36" s="424"/>
      <c r="CJI36" s="427"/>
      <c r="CJJ36" s="424"/>
      <c r="CJK36" s="427"/>
      <c r="CJL36" s="424"/>
      <c r="CJM36" s="427"/>
      <c r="CJN36" s="424"/>
      <c r="CJO36" s="427"/>
      <c r="CJP36" s="424"/>
      <c r="CJQ36" s="427"/>
      <c r="CJR36" s="424"/>
      <c r="CJS36" s="427"/>
      <c r="CJT36" s="424"/>
      <c r="CJU36" s="427"/>
      <c r="CJV36" s="424"/>
      <c r="CJW36" s="427"/>
      <c r="CJX36" s="424"/>
      <c r="CJY36" s="427"/>
      <c r="CJZ36" s="424"/>
      <c r="CKA36" s="427"/>
      <c r="CKB36" s="424"/>
      <c r="CKC36" s="427"/>
      <c r="CKD36" s="424"/>
      <c r="CKE36" s="427"/>
      <c r="CKF36" s="424"/>
      <c r="CKG36" s="427"/>
      <c r="CKH36" s="424"/>
      <c r="CKI36" s="427"/>
      <c r="CKJ36" s="424"/>
      <c r="CKK36" s="427"/>
      <c r="CKL36" s="424"/>
      <c r="CKM36" s="427"/>
      <c r="CKN36" s="424"/>
      <c r="CKO36" s="427"/>
      <c r="CKP36" s="424"/>
      <c r="CKQ36" s="427"/>
      <c r="CKR36" s="424"/>
      <c r="CKS36" s="427"/>
      <c r="CKT36" s="424"/>
      <c r="CKU36" s="427"/>
      <c r="CKV36" s="424"/>
      <c r="CKW36" s="427"/>
      <c r="CKX36" s="424"/>
      <c r="CKY36" s="427"/>
      <c r="CKZ36" s="424"/>
      <c r="CLA36" s="427"/>
      <c r="CLB36" s="424"/>
      <c r="CLC36" s="427"/>
      <c r="CLD36" s="424"/>
      <c r="CLE36" s="427"/>
      <c r="CLF36" s="424"/>
      <c r="CLG36" s="427"/>
      <c r="CLH36" s="424"/>
      <c r="CLI36" s="427"/>
      <c r="CLJ36" s="424"/>
      <c r="CLK36" s="427"/>
      <c r="CLL36" s="424"/>
      <c r="CLM36" s="427"/>
      <c r="CLN36" s="424"/>
      <c r="CLO36" s="427"/>
      <c r="CLP36" s="424"/>
      <c r="CLQ36" s="427"/>
      <c r="CLR36" s="424"/>
      <c r="CLS36" s="427"/>
      <c r="CLT36" s="424"/>
      <c r="CLU36" s="427"/>
      <c r="CLV36" s="424"/>
      <c r="CLW36" s="427"/>
      <c r="CLX36" s="424"/>
      <c r="CLY36" s="427"/>
      <c r="CLZ36" s="424"/>
      <c r="CMA36" s="427"/>
      <c r="CMB36" s="424"/>
      <c r="CMC36" s="427"/>
      <c r="CMD36" s="424"/>
      <c r="CME36" s="427"/>
      <c r="CMF36" s="424"/>
      <c r="CMG36" s="427"/>
      <c r="CMH36" s="424"/>
      <c r="CMI36" s="427"/>
      <c r="CMJ36" s="424"/>
      <c r="CMK36" s="427"/>
      <c r="CML36" s="424"/>
      <c r="CMM36" s="427"/>
      <c r="CMN36" s="424"/>
      <c r="CMO36" s="427"/>
      <c r="CMP36" s="424"/>
      <c r="CMQ36" s="427"/>
      <c r="CMR36" s="424"/>
      <c r="CMS36" s="427"/>
      <c r="CMT36" s="424"/>
      <c r="CMU36" s="427"/>
      <c r="CMV36" s="424"/>
      <c r="CMW36" s="427"/>
      <c r="CMX36" s="424"/>
      <c r="CMY36" s="427"/>
      <c r="CMZ36" s="424"/>
      <c r="CNA36" s="427"/>
      <c r="CNB36" s="424"/>
      <c r="CNC36" s="427"/>
      <c r="CND36" s="424"/>
      <c r="CNE36" s="427"/>
      <c r="CNF36" s="424"/>
      <c r="CNG36" s="427"/>
      <c r="CNH36" s="424"/>
      <c r="CNI36" s="427"/>
      <c r="CNJ36" s="424"/>
      <c r="CNK36" s="427"/>
      <c r="CNL36" s="424"/>
      <c r="CNM36" s="427"/>
      <c r="CNN36" s="424"/>
      <c r="CNO36" s="427"/>
      <c r="CNP36" s="424"/>
      <c r="CNQ36" s="427"/>
      <c r="CNR36" s="424"/>
      <c r="CNS36" s="427"/>
      <c r="CNT36" s="424"/>
      <c r="CNU36" s="427"/>
      <c r="CNV36" s="424"/>
      <c r="CNW36" s="427"/>
      <c r="CNX36" s="424"/>
      <c r="CNY36" s="427"/>
      <c r="CNZ36" s="424"/>
      <c r="COA36" s="427"/>
      <c r="COB36" s="424"/>
      <c r="COC36" s="427"/>
      <c r="COD36" s="424"/>
      <c r="COE36" s="427"/>
      <c r="COF36" s="424"/>
      <c r="COG36" s="427"/>
      <c r="COH36" s="424"/>
      <c r="COI36" s="427"/>
      <c r="COJ36" s="424"/>
      <c r="COK36" s="427"/>
      <c r="COL36" s="424"/>
      <c r="COM36" s="427"/>
      <c r="CON36" s="424"/>
      <c r="COO36" s="427"/>
      <c r="COP36" s="424"/>
      <c r="COQ36" s="427"/>
      <c r="COR36" s="424"/>
      <c r="COS36" s="427"/>
      <c r="COT36" s="424"/>
      <c r="COU36" s="427"/>
      <c r="COV36" s="424"/>
      <c r="COW36" s="427"/>
      <c r="COX36" s="424"/>
      <c r="COY36" s="427"/>
      <c r="COZ36" s="424"/>
      <c r="CPA36" s="427"/>
      <c r="CPB36" s="424"/>
      <c r="CPC36" s="427"/>
      <c r="CPD36" s="424"/>
      <c r="CPE36" s="427"/>
      <c r="CPF36" s="424"/>
      <c r="CPG36" s="427"/>
      <c r="CPH36" s="424"/>
      <c r="CPI36" s="427"/>
      <c r="CPJ36" s="424"/>
      <c r="CPK36" s="427"/>
      <c r="CPL36" s="424"/>
      <c r="CPM36" s="427"/>
      <c r="CPN36" s="424"/>
      <c r="CPO36" s="427"/>
      <c r="CPP36" s="424"/>
      <c r="CPQ36" s="427"/>
      <c r="CPR36" s="424"/>
      <c r="CPS36" s="427"/>
      <c r="CPT36" s="424"/>
      <c r="CPU36" s="427"/>
      <c r="CPV36" s="424"/>
      <c r="CPW36" s="427"/>
      <c r="CPX36" s="424"/>
      <c r="CPY36" s="427"/>
      <c r="CPZ36" s="424"/>
      <c r="CQA36" s="427"/>
      <c r="CQB36" s="424"/>
      <c r="CQC36" s="427"/>
      <c r="CQD36" s="424"/>
      <c r="CQE36" s="427"/>
      <c r="CQF36" s="424"/>
      <c r="CQG36" s="427"/>
      <c r="CQH36" s="424"/>
      <c r="CQI36" s="427"/>
      <c r="CQJ36" s="424"/>
      <c r="CQK36" s="427"/>
      <c r="CQL36" s="424"/>
      <c r="CQM36" s="427"/>
      <c r="CQN36" s="424"/>
      <c r="CQO36" s="427"/>
      <c r="CQP36" s="424"/>
      <c r="CQQ36" s="427"/>
      <c r="CQR36" s="424"/>
      <c r="CQS36" s="427"/>
      <c r="CQT36" s="424"/>
      <c r="CQU36" s="427"/>
      <c r="CQV36" s="424"/>
      <c r="CQW36" s="427"/>
      <c r="CQX36" s="424"/>
      <c r="CQY36" s="427"/>
      <c r="CQZ36" s="424"/>
      <c r="CRA36" s="427"/>
      <c r="CRB36" s="424"/>
      <c r="CRC36" s="427"/>
      <c r="CRD36" s="424"/>
      <c r="CRE36" s="427"/>
      <c r="CRF36" s="424"/>
      <c r="CRG36" s="427"/>
      <c r="CRH36" s="424"/>
      <c r="CRI36" s="427"/>
      <c r="CRJ36" s="424"/>
      <c r="CRK36" s="427"/>
      <c r="CRL36" s="424"/>
      <c r="CRM36" s="427"/>
      <c r="CRN36" s="424"/>
      <c r="CRO36" s="427"/>
      <c r="CRP36" s="424"/>
      <c r="CRQ36" s="427"/>
      <c r="CRR36" s="424"/>
      <c r="CRS36" s="427"/>
      <c r="CRT36" s="424"/>
      <c r="CRU36" s="427"/>
      <c r="CRV36" s="424"/>
      <c r="CRW36" s="427"/>
      <c r="CRX36" s="424"/>
      <c r="CRY36" s="427"/>
      <c r="CRZ36" s="424"/>
      <c r="CSA36" s="427"/>
      <c r="CSB36" s="424"/>
      <c r="CSC36" s="427"/>
      <c r="CSD36" s="424"/>
      <c r="CSE36" s="427"/>
      <c r="CSF36" s="424"/>
      <c r="CSG36" s="427"/>
      <c r="CSH36" s="424"/>
      <c r="CSI36" s="427"/>
      <c r="CSJ36" s="424"/>
      <c r="CSK36" s="427"/>
      <c r="CSL36" s="424"/>
      <c r="CSM36" s="427"/>
      <c r="CSN36" s="424"/>
      <c r="CSO36" s="427"/>
      <c r="CSP36" s="424"/>
      <c r="CSQ36" s="427"/>
      <c r="CSR36" s="424"/>
      <c r="CSS36" s="427"/>
      <c r="CST36" s="424"/>
      <c r="CSU36" s="427"/>
      <c r="CSV36" s="424"/>
      <c r="CSW36" s="427"/>
      <c r="CSX36" s="424"/>
      <c r="CSY36" s="427"/>
      <c r="CSZ36" s="424"/>
      <c r="CTA36" s="427"/>
      <c r="CTB36" s="424"/>
      <c r="CTC36" s="427"/>
      <c r="CTD36" s="424"/>
      <c r="CTE36" s="427"/>
      <c r="CTF36" s="424"/>
      <c r="CTG36" s="427"/>
      <c r="CTH36" s="424"/>
      <c r="CTI36" s="427"/>
      <c r="CTJ36" s="424"/>
      <c r="CTK36" s="427"/>
      <c r="CTL36" s="424"/>
      <c r="CTM36" s="427"/>
      <c r="CTN36" s="424"/>
      <c r="CTO36" s="427"/>
      <c r="CTP36" s="424"/>
      <c r="CTQ36" s="427"/>
      <c r="CTR36" s="424"/>
      <c r="CTS36" s="427"/>
      <c r="CTT36" s="424"/>
      <c r="CTU36" s="427"/>
      <c r="CTV36" s="424"/>
      <c r="CTW36" s="427"/>
      <c r="CTX36" s="424"/>
      <c r="CTY36" s="427"/>
      <c r="CTZ36" s="424"/>
      <c r="CUA36" s="427"/>
      <c r="CUB36" s="424"/>
      <c r="CUC36" s="427"/>
      <c r="CUD36" s="424"/>
      <c r="CUE36" s="427"/>
      <c r="CUF36" s="424"/>
      <c r="CUG36" s="427"/>
      <c r="CUH36" s="424"/>
      <c r="CUI36" s="427"/>
      <c r="CUJ36" s="424"/>
      <c r="CUK36" s="427"/>
      <c r="CUL36" s="424"/>
      <c r="CUM36" s="427"/>
      <c r="CUN36" s="424"/>
      <c r="CUO36" s="427"/>
      <c r="CUP36" s="424"/>
      <c r="CUQ36" s="427"/>
      <c r="CUR36" s="424"/>
      <c r="CUS36" s="427"/>
      <c r="CUT36" s="424"/>
      <c r="CUU36" s="427"/>
      <c r="CUV36" s="424"/>
      <c r="CUW36" s="427"/>
      <c r="CUX36" s="424"/>
      <c r="CUY36" s="427"/>
      <c r="CUZ36" s="424"/>
      <c r="CVA36" s="427"/>
      <c r="CVB36" s="424"/>
      <c r="CVC36" s="427"/>
      <c r="CVD36" s="424"/>
      <c r="CVE36" s="427"/>
      <c r="CVF36" s="424"/>
      <c r="CVG36" s="427"/>
      <c r="CVH36" s="424"/>
      <c r="CVI36" s="427"/>
      <c r="CVJ36" s="424"/>
      <c r="CVK36" s="427"/>
      <c r="CVL36" s="424"/>
      <c r="CVM36" s="427"/>
      <c r="CVN36" s="424"/>
      <c r="CVO36" s="427"/>
      <c r="CVP36" s="424"/>
      <c r="CVQ36" s="427"/>
      <c r="CVR36" s="424"/>
      <c r="CVS36" s="427"/>
      <c r="CVT36" s="424"/>
      <c r="CVU36" s="427"/>
      <c r="CVV36" s="424"/>
      <c r="CVW36" s="427"/>
      <c r="CVX36" s="424"/>
      <c r="CVY36" s="427"/>
      <c r="CVZ36" s="424"/>
      <c r="CWA36" s="427"/>
      <c r="CWB36" s="424"/>
      <c r="CWC36" s="427"/>
      <c r="CWD36" s="424"/>
      <c r="CWE36" s="427"/>
      <c r="CWF36" s="424"/>
      <c r="CWG36" s="427"/>
      <c r="CWH36" s="424"/>
      <c r="CWI36" s="427"/>
      <c r="CWJ36" s="424"/>
      <c r="CWK36" s="427"/>
      <c r="CWL36" s="424"/>
      <c r="CWM36" s="427"/>
      <c r="CWN36" s="424"/>
      <c r="CWO36" s="427"/>
      <c r="CWP36" s="424"/>
      <c r="CWQ36" s="427"/>
      <c r="CWR36" s="424"/>
      <c r="CWS36" s="427"/>
      <c r="CWT36" s="424"/>
      <c r="CWU36" s="427"/>
      <c r="CWV36" s="424"/>
      <c r="CWW36" s="427"/>
      <c r="CWX36" s="424"/>
      <c r="CWY36" s="427"/>
      <c r="CWZ36" s="424"/>
      <c r="CXA36" s="427"/>
      <c r="CXB36" s="424"/>
      <c r="CXC36" s="427"/>
      <c r="CXD36" s="424"/>
      <c r="CXE36" s="427"/>
      <c r="CXF36" s="424"/>
      <c r="CXG36" s="427"/>
      <c r="CXH36" s="424"/>
      <c r="CXI36" s="427"/>
      <c r="CXJ36" s="424"/>
      <c r="CXK36" s="427"/>
      <c r="CXL36" s="424"/>
      <c r="CXM36" s="427"/>
      <c r="CXN36" s="424"/>
      <c r="CXO36" s="427"/>
      <c r="CXP36" s="424"/>
      <c r="CXQ36" s="427"/>
      <c r="CXR36" s="424"/>
      <c r="CXS36" s="427"/>
      <c r="CXT36" s="424"/>
      <c r="CXU36" s="427"/>
      <c r="CXV36" s="424"/>
      <c r="CXW36" s="427"/>
      <c r="CXX36" s="424"/>
      <c r="CXY36" s="427"/>
      <c r="CXZ36" s="424"/>
      <c r="CYA36" s="427"/>
      <c r="CYB36" s="424"/>
      <c r="CYC36" s="427"/>
      <c r="CYD36" s="424"/>
      <c r="CYE36" s="427"/>
      <c r="CYF36" s="424"/>
      <c r="CYG36" s="427"/>
      <c r="CYH36" s="424"/>
      <c r="CYI36" s="427"/>
      <c r="CYJ36" s="424"/>
      <c r="CYK36" s="427"/>
      <c r="CYL36" s="424"/>
      <c r="CYM36" s="427"/>
      <c r="CYN36" s="424"/>
      <c r="CYO36" s="427"/>
      <c r="CYP36" s="424"/>
      <c r="CYQ36" s="427"/>
      <c r="CYR36" s="424"/>
      <c r="CYS36" s="427"/>
      <c r="CYT36" s="424"/>
      <c r="CYU36" s="427"/>
      <c r="CYV36" s="424"/>
      <c r="CYW36" s="427"/>
      <c r="CYX36" s="424"/>
      <c r="CYY36" s="427"/>
      <c r="CYZ36" s="424"/>
      <c r="CZA36" s="427"/>
      <c r="CZB36" s="424"/>
      <c r="CZC36" s="427"/>
      <c r="CZD36" s="424"/>
      <c r="CZE36" s="427"/>
      <c r="CZF36" s="424"/>
      <c r="CZG36" s="427"/>
      <c r="CZH36" s="424"/>
      <c r="CZI36" s="427"/>
      <c r="CZJ36" s="424"/>
      <c r="CZK36" s="427"/>
      <c r="CZL36" s="424"/>
      <c r="CZM36" s="427"/>
      <c r="CZN36" s="424"/>
      <c r="CZO36" s="427"/>
      <c r="CZP36" s="424"/>
      <c r="CZQ36" s="427"/>
      <c r="CZR36" s="424"/>
      <c r="CZS36" s="427"/>
      <c r="CZT36" s="424"/>
      <c r="CZU36" s="427"/>
      <c r="CZV36" s="424"/>
      <c r="CZW36" s="427"/>
      <c r="CZX36" s="424"/>
      <c r="CZY36" s="427"/>
      <c r="CZZ36" s="424"/>
      <c r="DAA36" s="427"/>
      <c r="DAB36" s="424"/>
      <c r="DAC36" s="427"/>
      <c r="DAD36" s="424"/>
      <c r="DAE36" s="427"/>
      <c r="DAF36" s="424"/>
      <c r="DAG36" s="427"/>
      <c r="DAH36" s="424"/>
      <c r="DAI36" s="427"/>
      <c r="DAJ36" s="424"/>
      <c r="DAK36" s="427"/>
      <c r="DAL36" s="424"/>
      <c r="DAM36" s="427"/>
      <c r="DAN36" s="424"/>
      <c r="DAO36" s="427"/>
      <c r="DAP36" s="424"/>
      <c r="DAQ36" s="427"/>
      <c r="DAR36" s="424"/>
      <c r="DAS36" s="427"/>
      <c r="DAT36" s="424"/>
      <c r="DAU36" s="427"/>
      <c r="DAV36" s="424"/>
      <c r="DAW36" s="427"/>
      <c r="DAX36" s="424"/>
      <c r="DAY36" s="427"/>
      <c r="DAZ36" s="424"/>
      <c r="DBA36" s="427"/>
      <c r="DBB36" s="424"/>
      <c r="DBC36" s="427"/>
      <c r="DBD36" s="424"/>
      <c r="DBE36" s="427"/>
      <c r="DBF36" s="424"/>
      <c r="DBG36" s="427"/>
      <c r="DBH36" s="424"/>
      <c r="DBI36" s="427"/>
      <c r="DBJ36" s="424"/>
      <c r="DBK36" s="427"/>
      <c r="DBL36" s="424"/>
      <c r="DBM36" s="427"/>
      <c r="DBN36" s="424"/>
      <c r="DBO36" s="427"/>
      <c r="DBP36" s="424"/>
      <c r="DBQ36" s="427"/>
      <c r="DBR36" s="424"/>
      <c r="DBS36" s="427"/>
      <c r="DBT36" s="424"/>
      <c r="DBU36" s="427"/>
      <c r="DBV36" s="424"/>
      <c r="DBW36" s="427"/>
      <c r="DBX36" s="424"/>
      <c r="DBY36" s="427"/>
      <c r="DBZ36" s="424"/>
      <c r="DCA36" s="427"/>
      <c r="DCB36" s="424"/>
      <c r="DCC36" s="427"/>
      <c r="DCD36" s="424"/>
      <c r="DCE36" s="427"/>
      <c r="DCF36" s="424"/>
      <c r="DCG36" s="427"/>
      <c r="DCH36" s="424"/>
      <c r="DCI36" s="427"/>
      <c r="DCJ36" s="424"/>
      <c r="DCK36" s="427"/>
      <c r="DCL36" s="424"/>
      <c r="DCM36" s="427"/>
      <c r="DCN36" s="424"/>
      <c r="DCO36" s="427"/>
      <c r="DCP36" s="424"/>
      <c r="DCQ36" s="427"/>
      <c r="DCR36" s="424"/>
      <c r="DCS36" s="427"/>
      <c r="DCT36" s="424"/>
      <c r="DCU36" s="427"/>
      <c r="DCV36" s="424"/>
      <c r="DCW36" s="427"/>
      <c r="DCX36" s="424"/>
      <c r="DCY36" s="427"/>
      <c r="DCZ36" s="424"/>
      <c r="DDA36" s="427"/>
      <c r="DDB36" s="424"/>
      <c r="DDC36" s="427"/>
      <c r="DDD36" s="424"/>
      <c r="DDE36" s="427"/>
      <c r="DDF36" s="424"/>
      <c r="DDG36" s="427"/>
      <c r="DDH36" s="424"/>
      <c r="DDI36" s="427"/>
      <c r="DDJ36" s="424"/>
      <c r="DDK36" s="427"/>
      <c r="DDL36" s="424"/>
      <c r="DDM36" s="427"/>
      <c r="DDN36" s="424"/>
      <c r="DDO36" s="427"/>
      <c r="DDP36" s="424"/>
      <c r="DDQ36" s="427"/>
      <c r="DDR36" s="424"/>
      <c r="DDS36" s="427"/>
      <c r="DDT36" s="424"/>
      <c r="DDU36" s="427"/>
      <c r="DDV36" s="424"/>
      <c r="DDW36" s="427"/>
      <c r="DDX36" s="424"/>
      <c r="DDY36" s="427"/>
      <c r="DDZ36" s="424"/>
      <c r="DEA36" s="427"/>
      <c r="DEB36" s="424"/>
      <c r="DEC36" s="427"/>
      <c r="DED36" s="424"/>
      <c r="DEE36" s="427"/>
      <c r="DEF36" s="424"/>
      <c r="DEG36" s="427"/>
      <c r="DEH36" s="424"/>
      <c r="DEI36" s="427"/>
      <c r="DEJ36" s="424"/>
      <c r="DEK36" s="427"/>
      <c r="DEL36" s="424"/>
      <c r="DEM36" s="427"/>
      <c r="DEN36" s="424"/>
      <c r="DEO36" s="427"/>
      <c r="DEP36" s="424"/>
      <c r="DEQ36" s="427"/>
      <c r="DER36" s="424"/>
      <c r="DES36" s="427"/>
      <c r="DET36" s="424"/>
      <c r="DEU36" s="427"/>
      <c r="DEV36" s="424"/>
      <c r="DEW36" s="427"/>
      <c r="DEX36" s="424"/>
      <c r="DEY36" s="427"/>
      <c r="DEZ36" s="424"/>
      <c r="DFA36" s="427"/>
      <c r="DFB36" s="424"/>
      <c r="DFC36" s="427"/>
      <c r="DFD36" s="424"/>
      <c r="DFE36" s="427"/>
      <c r="DFF36" s="424"/>
      <c r="DFG36" s="427"/>
      <c r="DFH36" s="424"/>
      <c r="DFI36" s="427"/>
      <c r="DFJ36" s="424"/>
      <c r="DFK36" s="427"/>
      <c r="DFL36" s="424"/>
      <c r="DFM36" s="427"/>
      <c r="DFN36" s="424"/>
      <c r="DFO36" s="427"/>
      <c r="DFP36" s="424"/>
      <c r="DFQ36" s="427"/>
      <c r="DFR36" s="424"/>
      <c r="DFS36" s="427"/>
      <c r="DFT36" s="424"/>
      <c r="DFU36" s="427"/>
      <c r="DFV36" s="424"/>
      <c r="DFW36" s="427"/>
      <c r="DFX36" s="424"/>
      <c r="DFY36" s="427"/>
      <c r="DFZ36" s="424"/>
      <c r="DGA36" s="427"/>
      <c r="DGB36" s="424"/>
      <c r="DGC36" s="427"/>
      <c r="DGD36" s="424"/>
      <c r="DGE36" s="427"/>
      <c r="DGF36" s="424"/>
      <c r="DGG36" s="427"/>
      <c r="DGH36" s="424"/>
      <c r="DGI36" s="427"/>
      <c r="DGJ36" s="424"/>
      <c r="DGK36" s="427"/>
      <c r="DGL36" s="424"/>
      <c r="DGM36" s="427"/>
      <c r="DGN36" s="424"/>
      <c r="DGO36" s="427"/>
      <c r="DGP36" s="424"/>
      <c r="DGQ36" s="427"/>
      <c r="DGR36" s="424"/>
      <c r="DGS36" s="427"/>
      <c r="DGT36" s="424"/>
      <c r="DGU36" s="427"/>
      <c r="DGV36" s="424"/>
      <c r="DGW36" s="427"/>
      <c r="DGX36" s="424"/>
      <c r="DGY36" s="427"/>
      <c r="DGZ36" s="424"/>
      <c r="DHA36" s="427"/>
      <c r="DHB36" s="424"/>
      <c r="DHC36" s="427"/>
      <c r="DHD36" s="424"/>
      <c r="DHE36" s="427"/>
      <c r="DHF36" s="424"/>
      <c r="DHG36" s="427"/>
      <c r="DHH36" s="424"/>
      <c r="DHI36" s="427"/>
      <c r="DHJ36" s="424"/>
      <c r="DHK36" s="427"/>
      <c r="DHL36" s="424"/>
      <c r="DHM36" s="427"/>
      <c r="DHN36" s="424"/>
      <c r="DHO36" s="427"/>
      <c r="DHP36" s="424"/>
      <c r="DHQ36" s="427"/>
      <c r="DHR36" s="424"/>
      <c r="DHS36" s="427"/>
      <c r="DHT36" s="424"/>
      <c r="DHU36" s="427"/>
      <c r="DHV36" s="424"/>
      <c r="DHW36" s="427"/>
      <c r="DHX36" s="424"/>
      <c r="DHY36" s="427"/>
      <c r="DHZ36" s="424"/>
      <c r="DIA36" s="427"/>
      <c r="DIB36" s="424"/>
      <c r="DIC36" s="427"/>
      <c r="DID36" s="424"/>
      <c r="DIE36" s="427"/>
      <c r="DIF36" s="424"/>
      <c r="DIG36" s="427"/>
      <c r="DIH36" s="424"/>
      <c r="DII36" s="427"/>
      <c r="DIJ36" s="424"/>
      <c r="DIK36" s="427"/>
      <c r="DIL36" s="424"/>
      <c r="DIM36" s="427"/>
      <c r="DIN36" s="424"/>
      <c r="DIO36" s="427"/>
      <c r="DIP36" s="424"/>
      <c r="DIQ36" s="427"/>
      <c r="DIR36" s="424"/>
      <c r="DIS36" s="427"/>
      <c r="DIT36" s="424"/>
      <c r="DIU36" s="427"/>
      <c r="DIV36" s="424"/>
      <c r="DIW36" s="427"/>
      <c r="DIX36" s="424"/>
      <c r="DIY36" s="427"/>
      <c r="DIZ36" s="424"/>
      <c r="DJA36" s="427"/>
      <c r="DJB36" s="424"/>
      <c r="DJC36" s="427"/>
      <c r="DJD36" s="424"/>
      <c r="DJE36" s="427"/>
      <c r="DJF36" s="424"/>
      <c r="DJG36" s="427"/>
      <c r="DJH36" s="424"/>
      <c r="DJI36" s="427"/>
      <c r="DJJ36" s="424"/>
      <c r="DJK36" s="427"/>
      <c r="DJL36" s="424"/>
      <c r="DJM36" s="427"/>
      <c r="DJN36" s="424"/>
      <c r="DJO36" s="427"/>
      <c r="DJP36" s="424"/>
      <c r="DJQ36" s="427"/>
      <c r="DJR36" s="424"/>
      <c r="DJS36" s="427"/>
      <c r="DJT36" s="424"/>
      <c r="DJU36" s="427"/>
      <c r="DJV36" s="424"/>
      <c r="DJW36" s="427"/>
      <c r="DJX36" s="424"/>
      <c r="DJY36" s="427"/>
      <c r="DJZ36" s="424"/>
      <c r="DKA36" s="427"/>
      <c r="DKB36" s="424"/>
      <c r="DKC36" s="427"/>
      <c r="DKD36" s="424"/>
      <c r="DKE36" s="427"/>
      <c r="DKF36" s="424"/>
      <c r="DKG36" s="427"/>
      <c r="DKH36" s="424"/>
      <c r="DKI36" s="427"/>
      <c r="DKJ36" s="424"/>
      <c r="DKK36" s="427"/>
      <c r="DKL36" s="424"/>
      <c r="DKM36" s="427"/>
      <c r="DKN36" s="424"/>
      <c r="DKO36" s="427"/>
      <c r="DKP36" s="424"/>
      <c r="DKQ36" s="427"/>
      <c r="DKR36" s="424"/>
      <c r="DKS36" s="427"/>
      <c r="DKT36" s="424"/>
      <c r="DKU36" s="427"/>
      <c r="DKV36" s="424"/>
      <c r="DKW36" s="427"/>
      <c r="DKX36" s="424"/>
      <c r="DKY36" s="427"/>
      <c r="DKZ36" s="424"/>
      <c r="DLA36" s="427"/>
      <c r="DLB36" s="424"/>
      <c r="DLC36" s="427"/>
      <c r="DLD36" s="424"/>
      <c r="DLE36" s="427"/>
      <c r="DLF36" s="424"/>
      <c r="DLG36" s="427"/>
      <c r="DLH36" s="424"/>
      <c r="DLI36" s="427"/>
      <c r="DLJ36" s="424"/>
      <c r="DLK36" s="427"/>
      <c r="DLL36" s="424"/>
      <c r="DLM36" s="427"/>
      <c r="DLN36" s="424"/>
      <c r="DLO36" s="427"/>
      <c r="DLP36" s="424"/>
      <c r="DLQ36" s="427"/>
      <c r="DLR36" s="424"/>
      <c r="DLS36" s="427"/>
      <c r="DLT36" s="424"/>
      <c r="DLU36" s="427"/>
      <c r="DLV36" s="424"/>
      <c r="DLW36" s="427"/>
      <c r="DLX36" s="424"/>
      <c r="DLY36" s="427"/>
      <c r="DLZ36" s="424"/>
      <c r="DMA36" s="427"/>
      <c r="DMB36" s="424"/>
      <c r="DMC36" s="427"/>
      <c r="DMD36" s="424"/>
      <c r="DME36" s="427"/>
      <c r="DMF36" s="424"/>
      <c r="DMG36" s="427"/>
      <c r="DMH36" s="424"/>
      <c r="DMI36" s="427"/>
      <c r="DMJ36" s="424"/>
      <c r="DMK36" s="427"/>
      <c r="DML36" s="424"/>
      <c r="DMM36" s="427"/>
      <c r="DMN36" s="424"/>
      <c r="DMO36" s="427"/>
      <c r="DMP36" s="424"/>
      <c r="DMQ36" s="427"/>
      <c r="DMR36" s="424"/>
      <c r="DMS36" s="427"/>
      <c r="DMT36" s="424"/>
      <c r="DMU36" s="427"/>
      <c r="DMV36" s="424"/>
      <c r="DMW36" s="427"/>
      <c r="DMX36" s="424"/>
      <c r="DMY36" s="427"/>
      <c r="DMZ36" s="424"/>
      <c r="DNA36" s="427"/>
      <c r="DNB36" s="424"/>
      <c r="DNC36" s="427"/>
      <c r="DND36" s="424"/>
      <c r="DNE36" s="427"/>
      <c r="DNF36" s="424"/>
      <c r="DNG36" s="427"/>
      <c r="DNH36" s="424"/>
      <c r="DNI36" s="427"/>
      <c r="DNJ36" s="424"/>
      <c r="DNK36" s="427"/>
      <c r="DNL36" s="424"/>
      <c r="DNM36" s="427"/>
      <c r="DNN36" s="424"/>
      <c r="DNO36" s="427"/>
      <c r="DNP36" s="424"/>
      <c r="DNQ36" s="427"/>
      <c r="DNR36" s="424"/>
      <c r="DNS36" s="427"/>
      <c r="DNT36" s="424"/>
      <c r="DNU36" s="427"/>
      <c r="DNV36" s="424"/>
      <c r="DNW36" s="427"/>
      <c r="DNX36" s="424"/>
      <c r="DNY36" s="427"/>
      <c r="DNZ36" s="424"/>
      <c r="DOA36" s="427"/>
      <c r="DOB36" s="424"/>
      <c r="DOC36" s="427"/>
      <c r="DOD36" s="424"/>
      <c r="DOE36" s="427"/>
      <c r="DOF36" s="424"/>
      <c r="DOG36" s="427"/>
      <c r="DOH36" s="424"/>
      <c r="DOI36" s="427"/>
      <c r="DOJ36" s="424"/>
      <c r="DOK36" s="427"/>
      <c r="DOL36" s="424"/>
      <c r="DOM36" s="427"/>
      <c r="DON36" s="424"/>
      <c r="DOO36" s="427"/>
      <c r="DOP36" s="424"/>
      <c r="DOQ36" s="427"/>
      <c r="DOR36" s="424"/>
      <c r="DOS36" s="427"/>
      <c r="DOT36" s="424"/>
      <c r="DOU36" s="427"/>
      <c r="DOV36" s="424"/>
      <c r="DOW36" s="427"/>
      <c r="DOX36" s="424"/>
      <c r="DOY36" s="427"/>
      <c r="DOZ36" s="424"/>
      <c r="DPA36" s="427"/>
      <c r="DPB36" s="424"/>
      <c r="DPC36" s="427"/>
      <c r="DPD36" s="424"/>
      <c r="DPE36" s="427"/>
      <c r="DPF36" s="424"/>
      <c r="DPG36" s="427"/>
      <c r="DPH36" s="424"/>
      <c r="DPI36" s="427"/>
      <c r="DPJ36" s="424"/>
      <c r="DPK36" s="427"/>
      <c r="DPL36" s="424"/>
      <c r="DPM36" s="427"/>
      <c r="DPN36" s="424"/>
      <c r="DPO36" s="427"/>
      <c r="DPP36" s="424"/>
      <c r="DPQ36" s="427"/>
      <c r="DPR36" s="424"/>
      <c r="DPS36" s="427"/>
      <c r="DPT36" s="424"/>
      <c r="DPU36" s="427"/>
      <c r="DPV36" s="424"/>
      <c r="DPW36" s="427"/>
      <c r="DPX36" s="424"/>
      <c r="DPY36" s="427"/>
      <c r="DPZ36" s="424"/>
      <c r="DQA36" s="427"/>
      <c r="DQB36" s="424"/>
      <c r="DQC36" s="427"/>
      <c r="DQD36" s="424"/>
      <c r="DQE36" s="427"/>
      <c r="DQF36" s="424"/>
      <c r="DQG36" s="427"/>
      <c r="DQH36" s="424"/>
      <c r="DQI36" s="427"/>
      <c r="DQJ36" s="424"/>
      <c r="DQK36" s="427"/>
      <c r="DQL36" s="424"/>
      <c r="DQM36" s="427"/>
      <c r="DQN36" s="424"/>
      <c r="DQO36" s="427"/>
      <c r="DQP36" s="424"/>
      <c r="DQQ36" s="427"/>
      <c r="DQR36" s="424"/>
      <c r="DQS36" s="427"/>
      <c r="DQT36" s="424"/>
      <c r="DQU36" s="427"/>
      <c r="DQV36" s="424"/>
      <c r="DQW36" s="427"/>
      <c r="DQX36" s="424"/>
      <c r="DQY36" s="427"/>
      <c r="DQZ36" s="424"/>
      <c r="DRA36" s="427"/>
      <c r="DRB36" s="424"/>
      <c r="DRC36" s="427"/>
      <c r="DRD36" s="424"/>
      <c r="DRE36" s="427"/>
      <c r="DRF36" s="424"/>
      <c r="DRG36" s="427"/>
      <c r="DRH36" s="424"/>
      <c r="DRI36" s="427"/>
      <c r="DRJ36" s="424"/>
      <c r="DRK36" s="427"/>
      <c r="DRL36" s="424"/>
      <c r="DRM36" s="427"/>
      <c r="DRN36" s="424"/>
      <c r="DRO36" s="427"/>
      <c r="DRP36" s="424"/>
      <c r="DRQ36" s="427"/>
      <c r="DRR36" s="424"/>
      <c r="DRS36" s="427"/>
      <c r="DRT36" s="424"/>
      <c r="DRU36" s="427"/>
      <c r="DRV36" s="424"/>
      <c r="DRW36" s="427"/>
      <c r="DRX36" s="424"/>
      <c r="DRY36" s="427"/>
      <c r="DRZ36" s="424"/>
      <c r="DSA36" s="427"/>
      <c r="DSB36" s="424"/>
      <c r="DSC36" s="427"/>
      <c r="DSD36" s="424"/>
      <c r="DSE36" s="427"/>
      <c r="DSF36" s="424"/>
      <c r="DSG36" s="427"/>
      <c r="DSH36" s="424"/>
      <c r="DSI36" s="427"/>
      <c r="DSJ36" s="424"/>
      <c r="DSK36" s="427"/>
      <c r="DSL36" s="424"/>
      <c r="DSM36" s="427"/>
      <c r="DSN36" s="424"/>
      <c r="DSO36" s="427"/>
      <c r="DSP36" s="424"/>
      <c r="DSQ36" s="427"/>
      <c r="DSR36" s="424"/>
      <c r="DSS36" s="427"/>
      <c r="DST36" s="424"/>
      <c r="DSU36" s="427"/>
      <c r="DSV36" s="424"/>
      <c r="DSW36" s="427"/>
      <c r="DSX36" s="424"/>
      <c r="DSY36" s="427"/>
      <c r="DSZ36" s="424"/>
      <c r="DTA36" s="427"/>
      <c r="DTB36" s="424"/>
      <c r="DTC36" s="427"/>
      <c r="DTD36" s="424"/>
      <c r="DTE36" s="427"/>
      <c r="DTF36" s="424"/>
      <c r="DTG36" s="427"/>
      <c r="DTH36" s="424"/>
      <c r="DTI36" s="427"/>
      <c r="DTJ36" s="424"/>
      <c r="DTK36" s="427"/>
      <c r="DTL36" s="424"/>
      <c r="DTM36" s="427"/>
      <c r="DTN36" s="424"/>
      <c r="DTO36" s="427"/>
      <c r="DTP36" s="424"/>
      <c r="DTQ36" s="427"/>
      <c r="DTR36" s="424"/>
      <c r="DTS36" s="427"/>
      <c r="DTT36" s="424"/>
      <c r="DTU36" s="427"/>
      <c r="DTV36" s="424"/>
      <c r="DTW36" s="427"/>
      <c r="DTX36" s="424"/>
      <c r="DTY36" s="427"/>
      <c r="DTZ36" s="424"/>
      <c r="DUA36" s="427"/>
      <c r="DUB36" s="424"/>
      <c r="DUC36" s="427"/>
      <c r="DUD36" s="424"/>
      <c r="DUE36" s="427"/>
      <c r="DUF36" s="424"/>
      <c r="DUG36" s="427"/>
      <c r="DUH36" s="424"/>
      <c r="DUI36" s="427"/>
      <c r="DUJ36" s="424"/>
      <c r="DUK36" s="427"/>
      <c r="DUL36" s="424"/>
      <c r="DUM36" s="427"/>
      <c r="DUN36" s="424"/>
      <c r="DUO36" s="427"/>
      <c r="DUP36" s="424"/>
      <c r="DUQ36" s="427"/>
      <c r="DUR36" s="424"/>
      <c r="DUS36" s="427"/>
      <c r="DUT36" s="424"/>
      <c r="DUU36" s="427"/>
      <c r="DUV36" s="424"/>
      <c r="DUW36" s="427"/>
      <c r="DUX36" s="424"/>
      <c r="DUY36" s="427"/>
      <c r="DUZ36" s="424"/>
      <c r="DVA36" s="427"/>
      <c r="DVB36" s="424"/>
      <c r="DVC36" s="427"/>
      <c r="DVD36" s="424"/>
      <c r="DVE36" s="427"/>
      <c r="DVF36" s="424"/>
      <c r="DVG36" s="427"/>
      <c r="DVH36" s="424"/>
      <c r="DVI36" s="427"/>
      <c r="DVJ36" s="424"/>
      <c r="DVK36" s="427"/>
      <c r="DVL36" s="424"/>
      <c r="DVM36" s="427"/>
      <c r="DVN36" s="424"/>
      <c r="DVO36" s="427"/>
      <c r="DVP36" s="424"/>
      <c r="DVQ36" s="427"/>
      <c r="DVR36" s="424"/>
      <c r="DVS36" s="427"/>
      <c r="DVT36" s="424"/>
      <c r="DVU36" s="427"/>
      <c r="DVV36" s="424"/>
      <c r="DVW36" s="427"/>
      <c r="DVX36" s="424"/>
      <c r="DVY36" s="427"/>
      <c r="DVZ36" s="424"/>
      <c r="DWA36" s="427"/>
      <c r="DWB36" s="424"/>
      <c r="DWC36" s="427"/>
      <c r="DWD36" s="424"/>
      <c r="DWE36" s="427"/>
      <c r="DWF36" s="424"/>
      <c r="DWG36" s="427"/>
      <c r="DWH36" s="424"/>
      <c r="DWI36" s="427"/>
      <c r="DWJ36" s="424"/>
      <c r="DWK36" s="427"/>
      <c r="DWL36" s="424"/>
      <c r="DWM36" s="427"/>
      <c r="DWN36" s="424"/>
      <c r="DWO36" s="427"/>
      <c r="DWP36" s="424"/>
      <c r="DWQ36" s="427"/>
      <c r="DWR36" s="424"/>
      <c r="DWS36" s="427"/>
      <c r="DWT36" s="424"/>
      <c r="DWU36" s="427"/>
      <c r="DWV36" s="424"/>
      <c r="DWW36" s="427"/>
      <c r="DWX36" s="424"/>
      <c r="DWY36" s="427"/>
      <c r="DWZ36" s="424"/>
      <c r="DXA36" s="427"/>
      <c r="DXB36" s="424"/>
      <c r="DXC36" s="427"/>
      <c r="DXD36" s="424"/>
      <c r="DXE36" s="427"/>
      <c r="DXF36" s="424"/>
      <c r="DXG36" s="427"/>
      <c r="DXH36" s="424"/>
      <c r="DXI36" s="427"/>
      <c r="DXJ36" s="424"/>
      <c r="DXK36" s="427"/>
      <c r="DXL36" s="424"/>
      <c r="DXM36" s="427"/>
      <c r="DXN36" s="424"/>
      <c r="DXO36" s="427"/>
      <c r="DXP36" s="424"/>
      <c r="DXQ36" s="427"/>
      <c r="DXR36" s="424"/>
      <c r="DXS36" s="427"/>
      <c r="DXT36" s="424"/>
      <c r="DXU36" s="427"/>
      <c r="DXV36" s="424"/>
      <c r="DXW36" s="427"/>
      <c r="DXX36" s="424"/>
      <c r="DXY36" s="427"/>
      <c r="DXZ36" s="424"/>
      <c r="DYA36" s="427"/>
      <c r="DYB36" s="424"/>
      <c r="DYC36" s="427"/>
      <c r="DYD36" s="424"/>
      <c r="DYE36" s="427"/>
      <c r="DYF36" s="424"/>
      <c r="DYG36" s="427"/>
      <c r="DYH36" s="424"/>
      <c r="DYI36" s="427"/>
      <c r="DYJ36" s="424"/>
      <c r="DYK36" s="427"/>
      <c r="DYL36" s="424"/>
      <c r="DYM36" s="427"/>
      <c r="DYN36" s="424"/>
      <c r="DYO36" s="427"/>
      <c r="DYP36" s="424"/>
      <c r="DYQ36" s="427"/>
      <c r="DYR36" s="424"/>
      <c r="DYS36" s="427"/>
      <c r="DYT36" s="424"/>
      <c r="DYU36" s="427"/>
      <c r="DYV36" s="424"/>
      <c r="DYW36" s="427"/>
      <c r="DYX36" s="424"/>
      <c r="DYY36" s="427"/>
      <c r="DYZ36" s="424"/>
      <c r="DZA36" s="427"/>
      <c r="DZB36" s="424"/>
      <c r="DZC36" s="427"/>
      <c r="DZD36" s="424"/>
      <c r="DZE36" s="427"/>
      <c r="DZF36" s="424"/>
      <c r="DZG36" s="427"/>
      <c r="DZH36" s="424"/>
      <c r="DZI36" s="427"/>
      <c r="DZJ36" s="424"/>
      <c r="DZK36" s="427"/>
      <c r="DZL36" s="424"/>
      <c r="DZM36" s="427"/>
      <c r="DZN36" s="424"/>
      <c r="DZO36" s="427"/>
      <c r="DZP36" s="424"/>
      <c r="DZQ36" s="427"/>
      <c r="DZR36" s="424"/>
      <c r="DZS36" s="427"/>
      <c r="DZT36" s="424"/>
      <c r="DZU36" s="427"/>
      <c r="DZV36" s="424"/>
      <c r="DZW36" s="427"/>
      <c r="DZX36" s="424"/>
      <c r="DZY36" s="427"/>
      <c r="DZZ36" s="424"/>
      <c r="EAA36" s="427"/>
      <c r="EAB36" s="424"/>
      <c r="EAC36" s="427"/>
      <c r="EAD36" s="424"/>
      <c r="EAE36" s="427"/>
      <c r="EAF36" s="424"/>
      <c r="EAG36" s="427"/>
      <c r="EAH36" s="424"/>
      <c r="EAI36" s="427"/>
      <c r="EAJ36" s="424"/>
      <c r="EAK36" s="427"/>
      <c r="EAL36" s="424"/>
      <c r="EAM36" s="427"/>
      <c r="EAN36" s="424"/>
      <c r="EAO36" s="427"/>
      <c r="EAP36" s="424"/>
      <c r="EAQ36" s="427"/>
      <c r="EAR36" s="424"/>
      <c r="EAS36" s="427"/>
      <c r="EAT36" s="424"/>
      <c r="EAU36" s="427"/>
      <c r="EAV36" s="424"/>
      <c r="EAW36" s="427"/>
      <c r="EAX36" s="424"/>
      <c r="EAY36" s="427"/>
      <c r="EAZ36" s="424"/>
      <c r="EBA36" s="427"/>
      <c r="EBB36" s="424"/>
      <c r="EBC36" s="427"/>
      <c r="EBD36" s="424"/>
      <c r="EBE36" s="427"/>
      <c r="EBF36" s="424"/>
      <c r="EBG36" s="427"/>
      <c r="EBH36" s="424"/>
      <c r="EBI36" s="427"/>
      <c r="EBJ36" s="424"/>
      <c r="EBK36" s="427"/>
      <c r="EBL36" s="424"/>
      <c r="EBM36" s="427"/>
      <c r="EBN36" s="424"/>
      <c r="EBO36" s="427"/>
      <c r="EBP36" s="424"/>
      <c r="EBQ36" s="427"/>
      <c r="EBR36" s="424"/>
      <c r="EBS36" s="427"/>
      <c r="EBT36" s="424"/>
      <c r="EBU36" s="427"/>
      <c r="EBV36" s="424"/>
      <c r="EBW36" s="427"/>
      <c r="EBX36" s="424"/>
      <c r="EBY36" s="427"/>
      <c r="EBZ36" s="424"/>
      <c r="ECA36" s="427"/>
      <c r="ECB36" s="424"/>
      <c r="ECC36" s="427"/>
      <c r="ECD36" s="424"/>
      <c r="ECE36" s="427"/>
      <c r="ECF36" s="424"/>
      <c r="ECG36" s="427"/>
      <c r="ECH36" s="424"/>
      <c r="ECI36" s="427"/>
      <c r="ECJ36" s="424"/>
      <c r="ECK36" s="427"/>
      <c r="ECL36" s="424"/>
      <c r="ECM36" s="427"/>
      <c r="ECN36" s="424"/>
      <c r="ECO36" s="427"/>
      <c r="ECP36" s="424"/>
      <c r="ECQ36" s="427"/>
      <c r="ECR36" s="424"/>
      <c r="ECS36" s="427"/>
      <c r="ECT36" s="424"/>
      <c r="ECU36" s="427"/>
      <c r="ECV36" s="424"/>
      <c r="ECW36" s="427"/>
      <c r="ECX36" s="424"/>
      <c r="ECY36" s="427"/>
      <c r="ECZ36" s="424"/>
      <c r="EDA36" s="427"/>
      <c r="EDB36" s="424"/>
      <c r="EDC36" s="427"/>
      <c r="EDD36" s="424"/>
      <c r="EDE36" s="427"/>
      <c r="EDF36" s="424"/>
      <c r="EDG36" s="427"/>
      <c r="EDH36" s="424"/>
      <c r="EDI36" s="427"/>
      <c r="EDJ36" s="424"/>
      <c r="EDK36" s="427"/>
      <c r="EDL36" s="424"/>
      <c r="EDM36" s="427"/>
      <c r="EDN36" s="424"/>
      <c r="EDO36" s="427"/>
      <c r="EDP36" s="424"/>
      <c r="EDQ36" s="427"/>
      <c r="EDR36" s="424"/>
      <c r="EDS36" s="427"/>
      <c r="EDT36" s="424"/>
      <c r="EDU36" s="427"/>
      <c r="EDV36" s="424"/>
      <c r="EDW36" s="427"/>
      <c r="EDX36" s="424"/>
      <c r="EDY36" s="427"/>
      <c r="EDZ36" s="424"/>
      <c r="EEA36" s="427"/>
      <c r="EEB36" s="424"/>
      <c r="EEC36" s="427"/>
      <c r="EED36" s="424"/>
      <c r="EEE36" s="427"/>
      <c r="EEF36" s="424"/>
      <c r="EEG36" s="427"/>
      <c r="EEH36" s="424"/>
      <c r="EEI36" s="427"/>
      <c r="EEJ36" s="424"/>
      <c r="EEK36" s="427"/>
      <c r="EEL36" s="424"/>
      <c r="EEM36" s="427"/>
      <c r="EEN36" s="424"/>
      <c r="EEO36" s="427"/>
      <c r="EEP36" s="424"/>
      <c r="EEQ36" s="427"/>
      <c r="EER36" s="424"/>
      <c r="EES36" s="427"/>
      <c r="EET36" s="424"/>
      <c r="EEU36" s="427"/>
      <c r="EEV36" s="424"/>
      <c r="EEW36" s="427"/>
      <c r="EEX36" s="424"/>
      <c r="EEY36" s="427"/>
      <c r="EEZ36" s="424"/>
      <c r="EFA36" s="427"/>
      <c r="EFB36" s="424"/>
      <c r="EFC36" s="427"/>
      <c r="EFD36" s="424"/>
      <c r="EFE36" s="427"/>
      <c r="EFF36" s="424"/>
      <c r="EFG36" s="427"/>
      <c r="EFH36" s="424"/>
      <c r="EFI36" s="427"/>
      <c r="EFJ36" s="424"/>
      <c r="EFK36" s="427"/>
      <c r="EFL36" s="424"/>
      <c r="EFM36" s="427"/>
      <c r="EFN36" s="424"/>
      <c r="EFO36" s="427"/>
      <c r="EFP36" s="424"/>
      <c r="EFQ36" s="427"/>
      <c r="EFR36" s="424"/>
      <c r="EFS36" s="427"/>
      <c r="EFT36" s="424"/>
      <c r="EFU36" s="427"/>
      <c r="EFV36" s="424"/>
      <c r="EFW36" s="427"/>
      <c r="EFX36" s="424"/>
      <c r="EFY36" s="427"/>
      <c r="EFZ36" s="424"/>
      <c r="EGA36" s="427"/>
      <c r="EGB36" s="424"/>
      <c r="EGC36" s="427"/>
      <c r="EGD36" s="424"/>
      <c r="EGE36" s="427"/>
      <c r="EGF36" s="424"/>
      <c r="EGG36" s="427"/>
      <c r="EGH36" s="424"/>
      <c r="EGI36" s="427"/>
      <c r="EGJ36" s="424"/>
      <c r="EGK36" s="427"/>
      <c r="EGL36" s="424"/>
      <c r="EGM36" s="427"/>
      <c r="EGN36" s="424"/>
      <c r="EGO36" s="427"/>
      <c r="EGP36" s="424"/>
      <c r="EGQ36" s="427"/>
      <c r="EGR36" s="424"/>
      <c r="EGS36" s="427"/>
      <c r="EGT36" s="424"/>
      <c r="EGU36" s="427"/>
      <c r="EGV36" s="424"/>
      <c r="EGW36" s="427"/>
      <c r="EGX36" s="424"/>
      <c r="EGY36" s="427"/>
      <c r="EGZ36" s="424"/>
      <c r="EHA36" s="427"/>
      <c r="EHB36" s="424"/>
      <c r="EHC36" s="427"/>
      <c r="EHD36" s="424"/>
      <c r="EHE36" s="427"/>
      <c r="EHF36" s="424"/>
      <c r="EHG36" s="427"/>
      <c r="EHH36" s="424"/>
      <c r="EHI36" s="427"/>
      <c r="EHJ36" s="424"/>
      <c r="EHK36" s="427"/>
      <c r="EHL36" s="424"/>
      <c r="EHM36" s="427"/>
      <c r="EHN36" s="424"/>
      <c r="EHO36" s="427"/>
      <c r="EHP36" s="424"/>
      <c r="EHQ36" s="427"/>
      <c r="EHR36" s="424"/>
      <c r="EHS36" s="427"/>
      <c r="EHT36" s="424"/>
      <c r="EHU36" s="427"/>
      <c r="EHV36" s="424"/>
      <c r="EHW36" s="427"/>
      <c r="EHX36" s="424"/>
      <c r="EHY36" s="427"/>
      <c r="EHZ36" s="424"/>
      <c r="EIA36" s="427"/>
      <c r="EIB36" s="424"/>
      <c r="EIC36" s="427"/>
      <c r="EID36" s="424"/>
      <c r="EIE36" s="427"/>
      <c r="EIF36" s="424"/>
      <c r="EIG36" s="427"/>
      <c r="EIH36" s="424"/>
      <c r="EII36" s="427"/>
      <c r="EIJ36" s="424"/>
      <c r="EIK36" s="427"/>
      <c r="EIL36" s="424"/>
      <c r="EIM36" s="427"/>
      <c r="EIN36" s="424"/>
      <c r="EIO36" s="427"/>
      <c r="EIP36" s="424"/>
      <c r="EIQ36" s="427"/>
      <c r="EIR36" s="424"/>
      <c r="EIS36" s="427"/>
      <c r="EIT36" s="424"/>
      <c r="EIU36" s="427"/>
      <c r="EIV36" s="424"/>
      <c r="EIW36" s="427"/>
      <c r="EIX36" s="424"/>
      <c r="EIY36" s="427"/>
      <c r="EIZ36" s="424"/>
      <c r="EJA36" s="427"/>
      <c r="EJB36" s="424"/>
      <c r="EJC36" s="427"/>
      <c r="EJD36" s="424"/>
      <c r="EJE36" s="427"/>
      <c r="EJF36" s="424"/>
      <c r="EJG36" s="427"/>
      <c r="EJH36" s="424"/>
      <c r="EJI36" s="427"/>
      <c r="EJJ36" s="424"/>
      <c r="EJK36" s="427"/>
      <c r="EJL36" s="424"/>
      <c r="EJM36" s="427"/>
      <c r="EJN36" s="424"/>
      <c r="EJO36" s="427"/>
      <c r="EJP36" s="424"/>
      <c r="EJQ36" s="427"/>
      <c r="EJR36" s="424"/>
      <c r="EJS36" s="427"/>
      <c r="EJT36" s="424"/>
      <c r="EJU36" s="427"/>
      <c r="EJV36" s="424"/>
      <c r="EJW36" s="427"/>
      <c r="EJX36" s="424"/>
      <c r="EJY36" s="427"/>
      <c r="EJZ36" s="424"/>
      <c r="EKA36" s="427"/>
      <c r="EKB36" s="424"/>
      <c r="EKC36" s="427"/>
      <c r="EKD36" s="424"/>
      <c r="EKE36" s="427"/>
      <c r="EKF36" s="424"/>
      <c r="EKG36" s="427"/>
      <c r="EKH36" s="424"/>
      <c r="EKI36" s="427"/>
      <c r="EKJ36" s="424"/>
      <c r="EKK36" s="427"/>
      <c r="EKL36" s="424"/>
      <c r="EKM36" s="427"/>
      <c r="EKN36" s="424"/>
      <c r="EKO36" s="427"/>
      <c r="EKP36" s="424"/>
      <c r="EKQ36" s="427"/>
      <c r="EKR36" s="424"/>
      <c r="EKS36" s="427"/>
      <c r="EKT36" s="424"/>
      <c r="EKU36" s="427"/>
      <c r="EKV36" s="424"/>
      <c r="EKW36" s="427"/>
      <c r="EKX36" s="424"/>
      <c r="EKY36" s="427"/>
      <c r="EKZ36" s="424"/>
      <c r="ELA36" s="427"/>
      <c r="ELB36" s="424"/>
      <c r="ELC36" s="427"/>
      <c r="ELD36" s="424"/>
      <c r="ELE36" s="427"/>
      <c r="ELF36" s="424"/>
      <c r="ELG36" s="427"/>
      <c r="ELH36" s="424"/>
      <c r="ELI36" s="427"/>
      <c r="ELJ36" s="424"/>
      <c r="ELK36" s="427"/>
      <c r="ELL36" s="424"/>
      <c r="ELM36" s="427"/>
      <c r="ELN36" s="424"/>
      <c r="ELO36" s="427"/>
      <c r="ELP36" s="424"/>
      <c r="ELQ36" s="427"/>
      <c r="ELR36" s="424"/>
      <c r="ELS36" s="427"/>
      <c r="ELT36" s="424"/>
      <c r="ELU36" s="427"/>
      <c r="ELV36" s="424"/>
      <c r="ELW36" s="427"/>
      <c r="ELX36" s="424"/>
      <c r="ELY36" s="427"/>
      <c r="ELZ36" s="424"/>
      <c r="EMA36" s="427"/>
      <c r="EMB36" s="424"/>
      <c r="EMC36" s="427"/>
      <c r="EMD36" s="424"/>
      <c r="EME36" s="427"/>
      <c r="EMF36" s="424"/>
      <c r="EMG36" s="427"/>
      <c r="EMH36" s="424"/>
      <c r="EMI36" s="427"/>
      <c r="EMJ36" s="424"/>
      <c r="EMK36" s="427"/>
      <c r="EML36" s="424"/>
      <c r="EMM36" s="427"/>
      <c r="EMN36" s="424"/>
      <c r="EMO36" s="427"/>
      <c r="EMP36" s="424"/>
      <c r="EMQ36" s="427"/>
      <c r="EMR36" s="424"/>
      <c r="EMS36" s="427"/>
      <c r="EMT36" s="424"/>
      <c r="EMU36" s="427"/>
      <c r="EMV36" s="424"/>
      <c r="EMW36" s="427"/>
      <c r="EMX36" s="424"/>
      <c r="EMY36" s="427"/>
      <c r="EMZ36" s="424"/>
      <c r="ENA36" s="427"/>
      <c r="ENB36" s="424"/>
      <c r="ENC36" s="427"/>
      <c r="END36" s="424"/>
      <c r="ENE36" s="427"/>
      <c r="ENF36" s="424"/>
      <c r="ENG36" s="427"/>
      <c r="ENH36" s="424"/>
      <c r="ENI36" s="427"/>
      <c r="ENJ36" s="424"/>
      <c r="ENK36" s="427"/>
      <c r="ENL36" s="424"/>
      <c r="ENM36" s="427"/>
      <c r="ENN36" s="424"/>
      <c r="ENO36" s="427"/>
      <c r="ENP36" s="424"/>
      <c r="ENQ36" s="427"/>
      <c r="ENR36" s="424"/>
      <c r="ENS36" s="427"/>
      <c r="ENT36" s="424"/>
      <c r="ENU36" s="427"/>
      <c r="ENV36" s="424"/>
      <c r="ENW36" s="427"/>
      <c r="ENX36" s="424"/>
      <c r="ENY36" s="427"/>
      <c r="ENZ36" s="424"/>
      <c r="EOA36" s="427"/>
      <c r="EOB36" s="424"/>
      <c r="EOC36" s="427"/>
      <c r="EOD36" s="424"/>
      <c r="EOE36" s="427"/>
      <c r="EOF36" s="424"/>
      <c r="EOG36" s="427"/>
      <c r="EOH36" s="424"/>
      <c r="EOI36" s="427"/>
      <c r="EOJ36" s="424"/>
      <c r="EOK36" s="427"/>
      <c r="EOL36" s="424"/>
      <c r="EOM36" s="427"/>
      <c r="EON36" s="424"/>
      <c r="EOO36" s="427"/>
      <c r="EOP36" s="424"/>
      <c r="EOQ36" s="427"/>
      <c r="EOR36" s="424"/>
      <c r="EOS36" s="427"/>
      <c r="EOT36" s="424"/>
      <c r="EOU36" s="427"/>
      <c r="EOV36" s="424"/>
      <c r="EOW36" s="427"/>
      <c r="EOX36" s="424"/>
      <c r="EOY36" s="427"/>
      <c r="EOZ36" s="424"/>
      <c r="EPA36" s="427"/>
      <c r="EPB36" s="424"/>
      <c r="EPC36" s="427"/>
      <c r="EPD36" s="424"/>
      <c r="EPE36" s="427"/>
      <c r="EPF36" s="424"/>
      <c r="EPG36" s="427"/>
      <c r="EPH36" s="424"/>
      <c r="EPI36" s="427"/>
      <c r="EPJ36" s="424"/>
      <c r="EPK36" s="427"/>
      <c r="EPL36" s="424"/>
      <c r="EPM36" s="427"/>
      <c r="EPN36" s="424"/>
      <c r="EPO36" s="427"/>
      <c r="EPP36" s="424"/>
      <c r="EPQ36" s="427"/>
      <c r="EPR36" s="424"/>
      <c r="EPS36" s="427"/>
      <c r="EPT36" s="424"/>
      <c r="EPU36" s="427"/>
      <c r="EPV36" s="424"/>
      <c r="EPW36" s="427"/>
      <c r="EPX36" s="424"/>
      <c r="EPY36" s="427"/>
      <c r="EPZ36" s="424"/>
      <c r="EQA36" s="427"/>
      <c r="EQB36" s="424"/>
      <c r="EQC36" s="427"/>
      <c r="EQD36" s="424"/>
      <c r="EQE36" s="427"/>
      <c r="EQF36" s="424"/>
      <c r="EQG36" s="427"/>
      <c r="EQH36" s="424"/>
      <c r="EQI36" s="427"/>
      <c r="EQJ36" s="424"/>
      <c r="EQK36" s="427"/>
      <c r="EQL36" s="424"/>
      <c r="EQM36" s="427"/>
      <c r="EQN36" s="424"/>
      <c r="EQO36" s="427"/>
      <c r="EQP36" s="424"/>
      <c r="EQQ36" s="427"/>
      <c r="EQR36" s="424"/>
      <c r="EQS36" s="427"/>
      <c r="EQT36" s="424"/>
      <c r="EQU36" s="427"/>
      <c r="EQV36" s="424"/>
      <c r="EQW36" s="427"/>
      <c r="EQX36" s="424"/>
      <c r="EQY36" s="427"/>
      <c r="EQZ36" s="424"/>
      <c r="ERA36" s="427"/>
      <c r="ERB36" s="424"/>
      <c r="ERC36" s="427"/>
      <c r="ERD36" s="424"/>
      <c r="ERE36" s="427"/>
      <c r="ERF36" s="424"/>
      <c r="ERG36" s="427"/>
      <c r="ERH36" s="424"/>
      <c r="ERI36" s="427"/>
      <c r="ERJ36" s="424"/>
      <c r="ERK36" s="427"/>
      <c r="ERL36" s="424"/>
      <c r="ERM36" s="427"/>
      <c r="ERN36" s="424"/>
      <c r="ERO36" s="427"/>
      <c r="ERP36" s="424"/>
      <c r="ERQ36" s="427"/>
      <c r="ERR36" s="424"/>
      <c r="ERS36" s="427"/>
      <c r="ERT36" s="424"/>
      <c r="ERU36" s="427"/>
      <c r="ERV36" s="424"/>
      <c r="ERW36" s="427"/>
      <c r="ERX36" s="424"/>
      <c r="ERY36" s="427"/>
      <c r="ERZ36" s="424"/>
      <c r="ESA36" s="427"/>
      <c r="ESB36" s="424"/>
      <c r="ESC36" s="427"/>
      <c r="ESD36" s="424"/>
      <c r="ESE36" s="427"/>
      <c r="ESF36" s="424"/>
      <c r="ESG36" s="427"/>
      <c r="ESH36" s="424"/>
      <c r="ESI36" s="427"/>
      <c r="ESJ36" s="424"/>
      <c r="ESK36" s="427"/>
      <c r="ESL36" s="424"/>
      <c r="ESM36" s="427"/>
      <c r="ESN36" s="424"/>
      <c r="ESO36" s="427"/>
      <c r="ESP36" s="424"/>
      <c r="ESQ36" s="427"/>
      <c r="ESR36" s="424"/>
      <c r="ESS36" s="427"/>
      <c r="EST36" s="424"/>
      <c r="ESU36" s="427"/>
      <c r="ESV36" s="424"/>
      <c r="ESW36" s="427"/>
      <c r="ESX36" s="424"/>
      <c r="ESY36" s="427"/>
      <c r="ESZ36" s="424"/>
      <c r="ETA36" s="427"/>
      <c r="ETB36" s="424"/>
      <c r="ETC36" s="427"/>
      <c r="ETD36" s="424"/>
      <c r="ETE36" s="427"/>
      <c r="ETF36" s="424"/>
      <c r="ETG36" s="427"/>
      <c r="ETH36" s="424"/>
      <c r="ETI36" s="427"/>
      <c r="ETJ36" s="424"/>
      <c r="ETK36" s="427"/>
      <c r="ETL36" s="424"/>
      <c r="ETM36" s="427"/>
      <c r="ETN36" s="424"/>
      <c r="ETO36" s="427"/>
      <c r="ETP36" s="424"/>
      <c r="ETQ36" s="427"/>
      <c r="ETR36" s="424"/>
      <c r="ETS36" s="427"/>
      <c r="ETT36" s="424"/>
      <c r="ETU36" s="427"/>
      <c r="ETV36" s="424"/>
      <c r="ETW36" s="427"/>
      <c r="ETX36" s="424"/>
      <c r="ETY36" s="427"/>
      <c r="ETZ36" s="424"/>
      <c r="EUA36" s="427"/>
      <c r="EUB36" s="424"/>
      <c r="EUC36" s="427"/>
      <c r="EUD36" s="424"/>
      <c r="EUE36" s="427"/>
      <c r="EUF36" s="424"/>
      <c r="EUG36" s="427"/>
      <c r="EUH36" s="424"/>
      <c r="EUI36" s="427"/>
      <c r="EUJ36" s="424"/>
      <c r="EUK36" s="427"/>
      <c r="EUL36" s="424"/>
      <c r="EUM36" s="427"/>
      <c r="EUN36" s="424"/>
      <c r="EUO36" s="427"/>
      <c r="EUP36" s="424"/>
      <c r="EUQ36" s="427"/>
      <c r="EUR36" s="424"/>
      <c r="EUS36" s="427"/>
      <c r="EUT36" s="424"/>
      <c r="EUU36" s="427"/>
      <c r="EUV36" s="424"/>
      <c r="EUW36" s="427"/>
      <c r="EUX36" s="424"/>
      <c r="EUY36" s="427"/>
      <c r="EUZ36" s="424"/>
      <c r="EVA36" s="427"/>
      <c r="EVB36" s="424"/>
      <c r="EVC36" s="427"/>
      <c r="EVD36" s="424"/>
      <c r="EVE36" s="427"/>
      <c r="EVF36" s="424"/>
      <c r="EVG36" s="427"/>
      <c r="EVH36" s="424"/>
      <c r="EVI36" s="427"/>
      <c r="EVJ36" s="424"/>
      <c r="EVK36" s="427"/>
      <c r="EVL36" s="424"/>
      <c r="EVM36" s="427"/>
      <c r="EVN36" s="424"/>
      <c r="EVO36" s="427"/>
      <c r="EVP36" s="424"/>
      <c r="EVQ36" s="427"/>
      <c r="EVR36" s="424"/>
      <c r="EVS36" s="427"/>
      <c r="EVT36" s="424"/>
      <c r="EVU36" s="427"/>
      <c r="EVV36" s="424"/>
      <c r="EVW36" s="427"/>
      <c r="EVX36" s="424"/>
      <c r="EVY36" s="427"/>
      <c r="EVZ36" s="424"/>
      <c r="EWA36" s="427"/>
      <c r="EWB36" s="424"/>
      <c r="EWC36" s="427"/>
      <c r="EWD36" s="424"/>
      <c r="EWE36" s="427"/>
      <c r="EWF36" s="424"/>
      <c r="EWG36" s="427"/>
      <c r="EWH36" s="424"/>
      <c r="EWI36" s="427"/>
      <c r="EWJ36" s="424"/>
      <c r="EWK36" s="427"/>
      <c r="EWL36" s="424"/>
      <c r="EWM36" s="427"/>
      <c r="EWN36" s="424"/>
      <c r="EWO36" s="427"/>
      <c r="EWP36" s="424"/>
      <c r="EWQ36" s="427"/>
      <c r="EWR36" s="424"/>
      <c r="EWS36" s="427"/>
      <c r="EWT36" s="424"/>
      <c r="EWU36" s="427"/>
      <c r="EWV36" s="424"/>
      <c r="EWW36" s="427"/>
      <c r="EWX36" s="424"/>
      <c r="EWY36" s="427"/>
      <c r="EWZ36" s="424"/>
      <c r="EXA36" s="427"/>
      <c r="EXB36" s="424"/>
      <c r="EXC36" s="427"/>
      <c r="EXD36" s="424"/>
      <c r="EXE36" s="427"/>
      <c r="EXF36" s="424"/>
      <c r="EXG36" s="427"/>
      <c r="EXH36" s="424"/>
      <c r="EXI36" s="427"/>
      <c r="EXJ36" s="424"/>
      <c r="EXK36" s="427"/>
      <c r="EXL36" s="424"/>
      <c r="EXM36" s="427"/>
      <c r="EXN36" s="424"/>
      <c r="EXO36" s="427"/>
      <c r="EXP36" s="424"/>
      <c r="EXQ36" s="427"/>
      <c r="EXR36" s="424"/>
      <c r="EXS36" s="427"/>
      <c r="EXT36" s="424"/>
      <c r="EXU36" s="427"/>
      <c r="EXV36" s="424"/>
      <c r="EXW36" s="427"/>
      <c r="EXX36" s="424"/>
      <c r="EXY36" s="427"/>
      <c r="EXZ36" s="424"/>
      <c r="EYA36" s="427"/>
      <c r="EYB36" s="424"/>
      <c r="EYC36" s="427"/>
      <c r="EYD36" s="424"/>
      <c r="EYE36" s="427"/>
      <c r="EYF36" s="424"/>
      <c r="EYG36" s="427"/>
      <c r="EYH36" s="424"/>
      <c r="EYI36" s="427"/>
      <c r="EYJ36" s="424"/>
      <c r="EYK36" s="427"/>
      <c r="EYL36" s="424"/>
      <c r="EYM36" s="427"/>
      <c r="EYN36" s="424"/>
      <c r="EYO36" s="427"/>
      <c r="EYP36" s="424"/>
      <c r="EYQ36" s="427"/>
      <c r="EYR36" s="424"/>
      <c r="EYS36" s="427"/>
      <c r="EYT36" s="424"/>
      <c r="EYU36" s="427"/>
      <c r="EYV36" s="424"/>
      <c r="EYW36" s="427"/>
      <c r="EYX36" s="424"/>
      <c r="EYY36" s="427"/>
      <c r="EYZ36" s="424"/>
      <c r="EZA36" s="427"/>
      <c r="EZB36" s="424"/>
      <c r="EZC36" s="427"/>
      <c r="EZD36" s="424"/>
      <c r="EZE36" s="427"/>
      <c r="EZF36" s="424"/>
      <c r="EZG36" s="427"/>
      <c r="EZH36" s="424"/>
      <c r="EZI36" s="427"/>
      <c r="EZJ36" s="424"/>
      <c r="EZK36" s="427"/>
      <c r="EZL36" s="424"/>
      <c r="EZM36" s="427"/>
      <c r="EZN36" s="424"/>
      <c r="EZO36" s="427"/>
      <c r="EZP36" s="424"/>
      <c r="EZQ36" s="427"/>
      <c r="EZR36" s="424"/>
      <c r="EZS36" s="427"/>
      <c r="EZT36" s="424"/>
      <c r="EZU36" s="427"/>
      <c r="EZV36" s="424"/>
      <c r="EZW36" s="427"/>
      <c r="EZX36" s="424"/>
      <c r="EZY36" s="427"/>
      <c r="EZZ36" s="424"/>
      <c r="FAA36" s="427"/>
      <c r="FAB36" s="424"/>
      <c r="FAC36" s="427"/>
      <c r="FAD36" s="424"/>
      <c r="FAE36" s="427"/>
      <c r="FAF36" s="424"/>
      <c r="FAG36" s="427"/>
      <c r="FAH36" s="424"/>
      <c r="FAI36" s="427"/>
      <c r="FAJ36" s="424"/>
      <c r="FAK36" s="427"/>
      <c r="FAL36" s="424"/>
      <c r="FAM36" s="427"/>
      <c r="FAN36" s="424"/>
      <c r="FAO36" s="427"/>
      <c r="FAP36" s="424"/>
      <c r="FAQ36" s="427"/>
      <c r="FAR36" s="424"/>
      <c r="FAS36" s="427"/>
      <c r="FAT36" s="424"/>
      <c r="FAU36" s="427"/>
      <c r="FAV36" s="424"/>
      <c r="FAW36" s="427"/>
      <c r="FAX36" s="424"/>
      <c r="FAY36" s="427"/>
      <c r="FAZ36" s="424"/>
      <c r="FBA36" s="427"/>
      <c r="FBB36" s="424"/>
      <c r="FBC36" s="427"/>
      <c r="FBD36" s="424"/>
      <c r="FBE36" s="427"/>
      <c r="FBF36" s="424"/>
      <c r="FBG36" s="427"/>
      <c r="FBH36" s="424"/>
      <c r="FBI36" s="427"/>
      <c r="FBJ36" s="424"/>
      <c r="FBK36" s="427"/>
      <c r="FBL36" s="424"/>
      <c r="FBM36" s="427"/>
      <c r="FBN36" s="424"/>
      <c r="FBO36" s="427"/>
      <c r="FBP36" s="424"/>
      <c r="FBQ36" s="427"/>
      <c r="FBR36" s="424"/>
      <c r="FBS36" s="427"/>
      <c r="FBT36" s="424"/>
      <c r="FBU36" s="427"/>
      <c r="FBV36" s="424"/>
      <c r="FBW36" s="427"/>
      <c r="FBX36" s="424"/>
      <c r="FBY36" s="427"/>
      <c r="FBZ36" s="424"/>
      <c r="FCA36" s="427"/>
      <c r="FCB36" s="424"/>
      <c r="FCC36" s="427"/>
      <c r="FCD36" s="424"/>
      <c r="FCE36" s="427"/>
      <c r="FCF36" s="424"/>
      <c r="FCG36" s="427"/>
      <c r="FCH36" s="424"/>
      <c r="FCI36" s="427"/>
      <c r="FCJ36" s="424"/>
      <c r="FCK36" s="427"/>
      <c r="FCL36" s="424"/>
      <c r="FCM36" s="427"/>
      <c r="FCN36" s="424"/>
      <c r="FCO36" s="427"/>
      <c r="FCP36" s="424"/>
      <c r="FCQ36" s="427"/>
      <c r="FCR36" s="424"/>
      <c r="FCS36" s="427"/>
      <c r="FCT36" s="424"/>
      <c r="FCU36" s="427"/>
      <c r="FCV36" s="424"/>
      <c r="FCW36" s="427"/>
      <c r="FCX36" s="424"/>
      <c r="FCY36" s="427"/>
      <c r="FCZ36" s="424"/>
      <c r="FDA36" s="427"/>
      <c r="FDB36" s="424"/>
      <c r="FDC36" s="427"/>
      <c r="FDD36" s="424"/>
      <c r="FDE36" s="427"/>
      <c r="FDF36" s="424"/>
      <c r="FDG36" s="427"/>
      <c r="FDH36" s="424"/>
      <c r="FDI36" s="427"/>
      <c r="FDJ36" s="424"/>
      <c r="FDK36" s="427"/>
      <c r="FDL36" s="424"/>
      <c r="FDM36" s="427"/>
      <c r="FDN36" s="424"/>
      <c r="FDO36" s="427"/>
      <c r="FDP36" s="424"/>
      <c r="FDQ36" s="427"/>
      <c r="FDR36" s="424"/>
      <c r="FDS36" s="427"/>
      <c r="FDT36" s="424"/>
      <c r="FDU36" s="427"/>
      <c r="FDV36" s="424"/>
      <c r="FDW36" s="427"/>
      <c r="FDX36" s="424"/>
      <c r="FDY36" s="427"/>
      <c r="FDZ36" s="424"/>
      <c r="FEA36" s="427"/>
      <c r="FEB36" s="424"/>
      <c r="FEC36" s="427"/>
      <c r="FED36" s="424"/>
      <c r="FEE36" s="427"/>
      <c r="FEF36" s="424"/>
      <c r="FEG36" s="427"/>
      <c r="FEH36" s="424"/>
      <c r="FEI36" s="427"/>
      <c r="FEJ36" s="424"/>
      <c r="FEK36" s="427"/>
      <c r="FEL36" s="424"/>
      <c r="FEM36" s="427"/>
      <c r="FEN36" s="424"/>
      <c r="FEO36" s="427"/>
      <c r="FEP36" s="424"/>
      <c r="FEQ36" s="427"/>
      <c r="FER36" s="424"/>
      <c r="FES36" s="427"/>
      <c r="FET36" s="424"/>
      <c r="FEU36" s="427"/>
      <c r="FEV36" s="424"/>
      <c r="FEW36" s="427"/>
      <c r="FEX36" s="424"/>
      <c r="FEY36" s="427"/>
      <c r="FEZ36" s="424"/>
      <c r="FFA36" s="427"/>
      <c r="FFB36" s="424"/>
      <c r="FFC36" s="427"/>
      <c r="FFD36" s="424"/>
      <c r="FFE36" s="427"/>
      <c r="FFF36" s="424"/>
      <c r="FFG36" s="427"/>
      <c r="FFH36" s="424"/>
      <c r="FFI36" s="427"/>
      <c r="FFJ36" s="424"/>
      <c r="FFK36" s="427"/>
      <c r="FFL36" s="424"/>
      <c r="FFM36" s="427"/>
      <c r="FFN36" s="424"/>
      <c r="FFO36" s="427"/>
      <c r="FFP36" s="424"/>
      <c r="FFQ36" s="427"/>
      <c r="FFR36" s="424"/>
      <c r="FFS36" s="427"/>
      <c r="FFT36" s="424"/>
      <c r="FFU36" s="427"/>
      <c r="FFV36" s="424"/>
      <c r="FFW36" s="427"/>
      <c r="FFX36" s="424"/>
      <c r="FFY36" s="427"/>
      <c r="FFZ36" s="424"/>
      <c r="FGA36" s="427"/>
      <c r="FGB36" s="424"/>
      <c r="FGC36" s="427"/>
      <c r="FGD36" s="424"/>
      <c r="FGE36" s="427"/>
      <c r="FGF36" s="424"/>
      <c r="FGG36" s="427"/>
      <c r="FGH36" s="424"/>
      <c r="FGI36" s="427"/>
      <c r="FGJ36" s="424"/>
      <c r="FGK36" s="427"/>
      <c r="FGL36" s="424"/>
      <c r="FGM36" s="427"/>
      <c r="FGN36" s="424"/>
      <c r="FGO36" s="427"/>
      <c r="FGP36" s="424"/>
      <c r="FGQ36" s="427"/>
      <c r="FGR36" s="424"/>
      <c r="FGS36" s="427"/>
      <c r="FGT36" s="424"/>
      <c r="FGU36" s="427"/>
      <c r="FGV36" s="424"/>
      <c r="FGW36" s="427"/>
      <c r="FGX36" s="424"/>
      <c r="FGY36" s="427"/>
      <c r="FGZ36" s="424"/>
      <c r="FHA36" s="427"/>
      <c r="FHB36" s="424"/>
      <c r="FHC36" s="427"/>
      <c r="FHD36" s="424"/>
      <c r="FHE36" s="427"/>
      <c r="FHF36" s="424"/>
      <c r="FHG36" s="427"/>
      <c r="FHH36" s="424"/>
      <c r="FHI36" s="427"/>
      <c r="FHJ36" s="424"/>
      <c r="FHK36" s="427"/>
      <c r="FHL36" s="424"/>
      <c r="FHM36" s="427"/>
      <c r="FHN36" s="424"/>
      <c r="FHO36" s="427"/>
      <c r="FHP36" s="424"/>
      <c r="FHQ36" s="427"/>
      <c r="FHR36" s="424"/>
      <c r="FHS36" s="427"/>
      <c r="FHT36" s="424"/>
      <c r="FHU36" s="427"/>
      <c r="FHV36" s="424"/>
      <c r="FHW36" s="427"/>
      <c r="FHX36" s="424"/>
      <c r="FHY36" s="427"/>
      <c r="FHZ36" s="424"/>
      <c r="FIA36" s="427"/>
      <c r="FIB36" s="424"/>
      <c r="FIC36" s="427"/>
      <c r="FID36" s="424"/>
      <c r="FIE36" s="427"/>
      <c r="FIF36" s="424"/>
      <c r="FIG36" s="427"/>
      <c r="FIH36" s="424"/>
      <c r="FII36" s="427"/>
      <c r="FIJ36" s="424"/>
      <c r="FIK36" s="427"/>
      <c r="FIL36" s="424"/>
      <c r="FIM36" s="427"/>
      <c r="FIN36" s="424"/>
      <c r="FIO36" s="427"/>
      <c r="FIP36" s="424"/>
      <c r="FIQ36" s="427"/>
      <c r="FIR36" s="424"/>
      <c r="FIS36" s="427"/>
      <c r="FIT36" s="424"/>
      <c r="FIU36" s="427"/>
      <c r="FIV36" s="424"/>
      <c r="FIW36" s="427"/>
      <c r="FIX36" s="424"/>
      <c r="FIY36" s="427"/>
      <c r="FIZ36" s="424"/>
      <c r="FJA36" s="427"/>
      <c r="FJB36" s="424"/>
      <c r="FJC36" s="427"/>
      <c r="FJD36" s="424"/>
      <c r="FJE36" s="427"/>
      <c r="FJF36" s="424"/>
      <c r="FJG36" s="427"/>
      <c r="FJH36" s="424"/>
      <c r="FJI36" s="427"/>
      <c r="FJJ36" s="424"/>
      <c r="FJK36" s="427"/>
      <c r="FJL36" s="424"/>
      <c r="FJM36" s="427"/>
      <c r="FJN36" s="424"/>
      <c r="FJO36" s="427"/>
      <c r="FJP36" s="424"/>
      <c r="FJQ36" s="427"/>
      <c r="FJR36" s="424"/>
      <c r="FJS36" s="427"/>
      <c r="FJT36" s="424"/>
      <c r="FJU36" s="427"/>
      <c r="FJV36" s="424"/>
      <c r="FJW36" s="427"/>
      <c r="FJX36" s="424"/>
      <c r="FJY36" s="427"/>
      <c r="FJZ36" s="424"/>
      <c r="FKA36" s="427"/>
      <c r="FKB36" s="424"/>
      <c r="FKC36" s="427"/>
      <c r="FKD36" s="424"/>
      <c r="FKE36" s="427"/>
      <c r="FKF36" s="424"/>
      <c r="FKG36" s="427"/>
      <c r="FKH36" s="424"/>
      <c r="FKI36" s="427"/>
      <c r="FKJ36" s="424"/>
      <c r="FKK36" s="427"/>
      <c r="FKL36" s="424"/>
      <c r="FKM36" s="427"/>
      <c r="FKN36" s="424"/>
      <c r="FKO36" s="427"/>
      <c r="FKP36" s="424"/>
      <c r="FKQ36" s="427"/>
      <c r="FKR36" s="424"/>
      <c r="FKS36" s="427"/>
      <c r="FKT36" s="424"/>
      <c r="FKU36" s="427"/>
      <c r="FKV36" s="424"/>
      <c r="FKW36" s="427"/>
      <c r="FKX36" s="424"/>
      <c r="FKY36" s="427"/>
      <c r="FKZ36" s="424"/>
      <c r="FLA36" s="427"/>
      <c r="FLB36" s="424"/>
      <c r="FLC36" s="427"/>
      <c r="FLD36" s="424"/>
      <c r="FLE36" s="427"/>
      <c r="FLF36" s="424"/>
      <c r="FLG36" s="427"/>
      <c r="FLH36" s="424"/>
      <c r="FLI36" s="427"/>
      <c r="FLJ36" s="424"/>
      <c r="FLK36" s="427"/>
      <c r="FLL36" s="424"/>
      <c r="FLM36" s="427"/>
      <c r="FLN36" s="424"/>
      <c r="FLO36" s="427"/>
      <c r="FLP36" s="424"/>
      <c r="FLQ36" s="427"/>
      <c r="FLR36" s="424"/>
      <c r="FLS36" s="427"/>
      <c r="FLT36" s="424"/>
      <c r="FLU36" s="427"/>
      <c r="FLV36" s="424"/>
      <c r="FLW36" s="427"/>
      <c r="FLX36" s="424"/>
      <c r="FLY36" s="427"/>
      <c r="FLZ36" s="424"/>
      <c r="FMA36" s="427"/>
      <c r="FMB36" s="424"/>
      <c r="FMC36" s="427"/>
      <c r="FMD36" s="424"/>
      <c r="FME36" s="427"/>
      <c r="FMF36" s="424"/>
      <c r="FMG36" s="427"/>
      <c r="FMH36" s="424"/>
      <c r="FMI36" s="427"/>
      <c r="FMJ36" s="424"/>
      <c r="FMK36" s="427"/>
      <c r="FML36" s="424"/>
      <c r="FMM36" s="427"/>
      <c r="FMN36" s="424"/>
      <c r="FMO36" s="427"/>
      <c r="FMP36" s="424"/>
      <c r="FMQ36" s="427"/>
      <c r="FMR36" s="424"/>
      <c r="FMS36" s="427"/>
      <c r="FMT36" s="424"/>
      <c r="FMU36" s="427"/>
      <c r="FMV36" s="424"/>
      <c r="FMW36" s="427"/>
      <c r="FMX36" s="424"/>
      <c r="FMY36" s="427"/>
      <c r="FMZ36" s="424"/>
      <c r="FNA36" s="427"/>
      <c r="FNB36" s="424"/>
      <c r="FNC36" s="427"/>
      <c r="FND36" s="424"/>
      <c r="FNE36" s="427"/>
      <c r="FNF36" s="424"/>
      <c r="FNG36" s="427"/>
      <c r="FNH36" s="424"/>
      <c r="FNI36" s="427"/>
      <c r="FNJ36" s="424"/>
      <c r="FNK36" s="427"/>
      <c r="FNL36" s="424"/>
      <c r="FNM36" s="427"/>
      <c r="FNN36" s="424"/>
      <c r="FNO36" s="427"/>
      <c r="FNP36" s="424"/>
      <c r="FNQ36" s="427"/>
      <c r="FNR36" s="424"/>
      <c r="FNS36" s="427"/>
      <c r="FNT36" s="424"/>
      <c r="FNU36" s="427"/>
      <c r="FNV36" s="424"/>
      <c r="FNW36" s="427"/>
      <c r="FNX36" s="424"/>
      <c r="FNY36" s="427"/>
      <c r="FNZ36" s="424"/>
      <c r="FOA36" s="427"/>
      <c r="FOB36" s="424"/>
      <c r="FOC36" s="427"/>
      <c r="FOD36" s="424"/>
      <c r="FOE36" s="427"/>
      <c r="FOF36" s="424"/>
      <c r="FOG36" s="427"/>
      <c r="FOH36" s="424"/>
      <c r="FOI36" s="427"/>
      <c r="FOJ36" s="424"/>
      <c r="FOK36" s="427"/>
      <c r="FOL36" s="424"/>
      <c r="FOM36" s="427"/>
      <c r="FON36" s="424"/>
      <c r="FOO36" s="427"/>
      <c r="FOP36" s="424"/>
      <c r="FOQ36" s="427"/>
      <c r="FOR36" s="424"/>
      <c r="FOS36" s="427"/>
      <c r="FOT36" s="424"/>
      <c r="FOU36" s="427"/>
      <c r="FOV36" s="424"/>
      <c r="FOW36" s="427"/>
      <c r="FOX36" s="424"/>
      <c r="FOY36" s="427"/>
      <c r="FOZ36" s="424"/>
      <c r="FPA36" s="427"/>
      <c r="FPB36" s="424"/>
      <c r="FPC36" s="427"/>
      <c r="FPD36" s="424"/>
      <c r="FPE36" s="427"/>
      <c r="FPF36" s="424"/>
      <c r="FPG36" s="427"/>
      <c r="FPH36" s="424"/>
      <c r="FPI36" s="427"/>
      <c r="FPJ36" s="424"/>
      <c r="FPK36" s="427"/>
      <c r="FPL36" s="424"/>
      <c r="FPM36" s="427"/>
      <c r="FPN36" s="424"/>
      <c r="FPO36" s="427"/>
      <c r="FPP36" s="424"/>
      <c r="FPQ36" s="427"/>
      <c r="FPR36" s="424"/>
      <c r="FPS36" s="427"/>
      <c r="FPT36" s="424"/>
      <c r="FPU36" s="427"/>
      <c r="FPV36" s="424"/>
      <c r="FPW36" s="427"/>
      <c r="FPX36" s="424"/>
      <c r="FPY36" s="427"/>
      <c r="FPZ36" s="424"/>
      <c r="FQA36" s="427"/>
      <c r="FQB36" s="424"/>
      <c r="FQC36" s="427"/>
      <c r="FQD36" s="424"/>
      <c r="FQE36" s="427"/>
      <c r="FQF36" s="424"/>
      <c r="FQG36" s="427"/>
      <c r="FQH36" s="424"/>
      <c r="FQI36" s="427"/>
      <c r="FQJ36" s="424"/>
      <c r="FQK36" s="427"/>
      <c r="FQL36" s="424"/>
      <c r="FQM36" s="427"/>
      <c r="FQN36" s="424"/>
      <c r="FQO36" s="427"/>
      <c r="FQP36" s="424"/>
      <c r="FQQ36" s="427"/>
      <c r="FQR36" s="424"/>
      <c r="FQS36" s="427"/>
      <c r="FQT36" s="424"/>
      <c r="FQU36" s="427"/>
      <c r="FQV36" s="424"/>
      <c r="FQW36" s="427"/>
      <c r="FQX36" s="424"/>
      <c r="FQY36" s="427"/>
      <c r="FQZ36" s="424"/>
      <c r="FRA36" s="427"/>
      <c r="FRB36" s="424"/>
      <c r="FRC36" s="427"/>
      <c r="FRD36" s="424"/>
      <c r="FRE36" s="427"/>
      <c r="FRF36" s="424"/>
      <c r="FRG36" s="427"/>
      <c r="FRH36" s="424"/>
      <c r="FRI36" s="427"/>
      <c r="FRJ36" s="424"/>
      <c r="FRK36" s="427"/>
      <c r="FRL36" s="424"/>
      <c r="FRM36" s="427"/>
      <c r="FRN36" s="424"/>
      <c r="FRO36" s="427"/>
      <c r="FRP36" s="424"/>
      <c r="FRQ36" s="427"/>
      <c r="FRR36" s="424"/>
      <c r="FRS36" s="427"/>
      <c r="FRT36" s="424"/>
      <c r="FRU36" s="427"/>
      <c r="FRV36" s="424"/>
      <c r="FRW36" s="427"/>
      <c r="FRX36" s="424"/>
      <c r="FRY36" s="427"/>
      <c r="FRZ36" s="424"/>
      <c r="FSA36" s="427"/>
      <c r="FSB36" s="424"/>
      <c r="FSC36" s="427"/>
      <c r="FSD36" s="424"/>
      <c r="FSE36" s="427"/>
      <c r="FSF36" s="424"/>
      <c r="FSG36" s="427"/>
      <c r="FSH36" s="424"/>
      <c r="FSI36" s="427"/>
      <c r="FSJ36" s="424"/>
      <c r="FSK36" s="427"/>
      <c r="FSL36" s="424"/>
      <c r="FSM36" s="427"/>
      <c r="FSN36" s="424"/>
      <c r="FSO36" s="427"/>
      <c r="FSP36" s="424"/>
      <c r="FSQ36" s="427"/>
      <c r="FSR36" s="424"/>
      <c r="FSS36" s="427"/>
      <c r="FST36" s="424"/>
      <c r="FSU36" s="427"/>
      <c r="FSV36" s="424"/>
      <c r="FSW36" s="427"/>
      <c r="FSX36" s="424"/>
      <c r="FSY36" s="427"/>
      <c r="FSZ36" s="424"/>
      <c r="FTA36" s="427"/>
      <c r="FTB36" s="424"/>
      <c r="FTC36" s="427"/>
      <c r="FTD36" s="424"/>
      <c r="FTE36" s="427"/>
      <c r="FTF36" s="424"/>
      <c r="FTG36" s="427"/>
      <c r="FTH36" s="424"/>
      <c r="FTI36" s="427"/>
      <c r="FTJ36" s="424"/>
      <c r="FTK36" s="427"/>
      <c r="FTL36" s="424"/>
      <c r="FTM36" s="427"/>
      <c r="FTN36" s="424"/>
      <c r="FTO36" s="427"/>
      <c r="FTP36" s="424"/>
      <c r="FTQ36" s="427"/>
      <c r="FTR36" s="424"/>
      <c r="FTS36" s="427"/>
      <c r="FTT36" s="424"/>
      <c r="FTU36" s="427"/>
      <c r="FTV36" s="424"/>
      <c r="FTW36" s="427"/>
      <c r="FTX36" s="424"/>
      <c r="FTY36" s="427"/>
      <c r="FTZ36" s="424"/>
      <c r="FUA36" s="427"/>
      <c r="FUB36" s="424"/>
      <c r="FUC36" s="427"/>
      <c r="FUD36" s="424"/>
      <c r="FUE36" s="427"/>
      <c r="FUF36" s="424"/>
      <c r="FUG36" s="427"/>
      <c r="FUH36" s="424"/>
      <c r="FUI36" s="427"/>
      <c r="FUJ36" s="424"/>
      <c r="FUK36" s="427"/>
      <c r="FUL36" s="424"/>
      <c r="FUM36" s="427"/>
      <c r="FUN36" s="424"/>
      <c r="FUO36" s="427"/>
      <c r="FUP36" s="424"/>
      <c r="FUQ36" s="427"/>
      <c r="FUR36" s="424"/>
      <c r="FUS36" s="427"/>
      <c r="FUT36" s="424"/>
      <c r="FUU36" s="427"/>
      <c r="FUV36" s="424"/>
      <c r="FUW36" s="427"/>
      <c r="FUX36" s="424"/>
      <c r="FUY36" s="427"/>
      <c r="FUZ36" s="424"/>
      <c r="FVA36" s="427"/>
      <c r="FVB36" s="424"/>
      <c r="FVC36" s="427"/>
      <c r="FVD36" s="424"/>
      <c r="FVE36" s="427"/>
      <c r="FVF36" s="424"/>
      <c r="FVG36" s="427"/>
      <c r="FVH36" s="424"/>
      <c r="FVI36" s="427"/>
      <c r="FVJ36" s="424"/>
      <c r="FVK36" s="427"/>
      <c r="FVL36" s="424"/>
      <c r="FVM36" s="427"/>
      <c r="FVN36" s="424"/>
      <c r="FVO36" s="427"/>
      <c r="FVP36" s="424"/>
      <c r="FVQ36" s="427"/>
      <c r="FVR36" s="424"/>
      <c r="FVS36" s="427"/>
      <c r="FVT36" s="424"/>
      <c r="FVU36" s="427"/>
      <c r="FVV36" s="424"/>
      <c r="FVW36" s="427"/>
      <c r="FVX36" s="424"/>
      <c r="FVY36" s="427"/>
      <c r="FVZ36" s="424"/>
      <c r="FWA36" s="427"/>
      <c r="FWB36" s="424"/>
      <c r="FWC36" s="427"/>
      <c r="FWD36" s="424"/>
      <c r="FWE36" s="427"/>
      <c r="FWF36" s="424"/>
      <c r="FWG36" s="427"/>
      <c r="FWH36" s="424"/>
      <c r="FWI36" s="427"/>
      <c r="FWJ36" s="424"/>
      <c r="FWK36" s="427"/>
      <c r="FWL36" s="424"/>
      <c r="FWM36" s="427"/>
      <c r="FWN36" s="424"/>
      <c r="FWO36" s="427"/>
      <c r="FWP36" s="424"/>
      <c r="FWQ36" s="427"/>
      <c r="FWR36" s="424"/>
      <c r="FWS36" s="427"/>
      <c r="FWT36" s="424"/>
      <c r="FWU36" s="427"/>
      <c r="FWV36" s="424"/>
      <c r="FWW36" s="427"/>
      <c r="FWX36" s="424"/>
      <c r="FWY36" s="427"/>
      <c r="FWZ36" s="424"/>
      <c r="FXA36" s="427"/>
      <c r="FXB36" s="424"/>
      <c r="FXC36" s="427"/>
      <c r="FXD36" s="424"/>
      <c r="FXE36" s="427"/>
      <c r="FXF36" s="424"/>
      <c r="FXG36" s="427"/>
      <c r="FXH36" s="424"/>
      <c r="FXI36" s="427"/>
      <c r="FXJ36" s="424"/>
      <c r="FXK36" s="427"/>
      <c r="FXL36" s="424"/>
      <c r="FXM36" s="427"/>
      <c r="FXN36" s="424"/>
      <c r="FXO36" s="427"/>
      <c r="FXP36" s="424"/>
      <c r="FXQ36" s="427"/>
      <c r="FXR36" s="424"/>
      <c r="FXS36" s="427"/>
      <c r="FXT36" s="424"/>
      <c r="FXU36" s="427"/>
      <c r="FXV36" s="424"/>
      <c r="FXW36" s="427"/>
      <c r="FXX36" s="424"/>
      <c r="FXY36" s="427"/>
      <c r="FXZ36" s="424"/>
      <c r="FYA36" s="427"/>
      <c r="FYB36" s="424"/>
      <c r="FYC36" s="427"/>
      <c r="FYD36" s="424"/>
      <c r="FYE36" s="427"/>
      <c r="FYF36" s="424"/>
      <c r="FYG36" s="427"/>
      <c r="FYH36" s="424"/>
      <c r="FYI36" s="427"/>
      <c r="FYJ36" s="424"/>
      <c r="FYK36" s="427"/>
      <c r="FYL36" s="424"/>
      <c r="FYM36" s="427"/>
      <c r="FYN36" s="424"/>
      <c r="FYO36" s="427"/>
      <c r="FYP36" s="424"/>
      <c r="FYQ36" s="427"/>
      <c r="FYR36" s="424"/>
      <c r="FYS36" s="427"/>
      <c r="FYT36" s="424"/>
      <c r="FYU36" s="427"/>
      <c r="FYV36" s="424"/>
      <c r="FYW36" s="427"/>
      <c r="FYX36" s="424"/>
      <c r="FYY36" s="427"/>
      <c r="FYZ36" s="424"/>
      <c r="FZA36" s="427"/>
      <c r="FZB36" s="424"/>
      <c r="FZC36" s="427"/>
      <c r="FZD36" s="424"/>
      <c r="FZE36" s="427"/>
      <c r="FZF36" s="424"/>
      <c r="FZG36" s="427"/>
      <c r="FZH36" s="424"/>
      <c r="FZI36" s="427"/>
      <c r="FZJ36" s="424"/>
      <c r="FZK36" s="427"/>
      <c r="FZL36" s="424"/>
      <c r="FZM36" s="427"/>
      <c r="FZN36" s="424"/>
      <c r="FZO36" s="427"/>
      <c r="FZP36" s="424"/>
      <c r="FZQ36" s="427"/>
      <c r="FZR36" s="424"/>
      <c r="FZS36" s="427"/>
      <c r="FZT36" s="424"/>
      <c r="FZU36" s="427"/>
      <c r="FZV36" s="424"/>
      <c r="FZW36" s="427"/>
      <c r="FZX36" s="424"/>
      <c r="FZY36" s="427"/>
      <c r="FZZ36" s="424"/>
      <c r="GAA36" s="427"/>
      <c r="GAB36" s="424"/>
      <c r="GAC36" s="427"/>
      <c r="GAD36" s="424"/>
      <c r="GAE36" s="427"/>
      <c r="GAF36" s="424"/>
      <c r="GAG36" s="427"/>
      <c r="GAH36" s="424"/>
      <c r="GAI36" s="427"/>
      <c r="GAJ36" s="424"/>
      <c r="GAK36" s="427"/>
      <c r="GAL36" s="424"/>
      <c r="GAM36" s="427"/>
      <c r="GAN36" s="424"/>
      <c r="GAO36" s="427"/>
      <c r="GAP36" s="424"/>
      <c r="GAQ36" s="427"/>
      <c r="GAR36" s="424"/>
      <c r="GAS36" s="427"/>
      <c r="GAT36" s="424"/>
      <c r="GAU36" s="427"/>
      <c r="GAV36" s="424"/>
      <c r="GAW36" s="427"/>
      <c r="GAX36" s="424"/>
      <c r="GAY36" s="427"/>
      <c r="GAZ36" s="424"/>
      <c r="GBA36" s="427"/>
      <c r="GBB36" s="424"/>
      <c r="GBC36" s="427"/>
      <c r="GBD36" s="424"/>
      <c r="GBE36" s="427"/>
      <c r="GBF36" s="424"/>
      <c r="GBG36" s="427"/>
      <c r="GBH36" s="424"/>
      <c r="GBI36" s="427"/>
      <c r="GBJ36" s="424"/>
      <c r="GBK36" s="427"/>
      <c r="GBL36" s="424"/>
      <c r="GBM36" s="427"/>
      <c r="GBN36" s="424"/>
      <c r="GBO36" s="427"/>
      <c r="GBP36" s="424"/>
      <c r="GBQ36" s="427"/>
      <c r="GBR36" s="424"/>
      <c r="GBS36" s="427"/>
      <c r="GBT36" s="424"/>
      <c r="GBU36" s="427"/>
      <c r="GBV36" s="424"/>
      <c r="GBW36" s="427"/>
      <c r="GBX36" s="424"/>
      <c r="GBY36" s="427"/>
      <c r="GBZ36" s="424"/>
      <c r="GCA36" s="427"/>
      <c r="GCB36" s="424"/>
      <c r="GCC36" s="427"/>
      <c r="GCD36" s="424"/>
      <c r="GCE36" s="427"/>
      <c r="GCF36" s="424"/>
      <c r="GCG36" s="427"/>
      <c r="GCH36" s="424"/>
      <c r="GCI36" s="427"/>
      <c r="GCJ36" s="424"/>
      <c r="GCK36" s="427"/>
      <c r="GCL36" s="424"/>
      <c r="GCM36" s="427"/>
      <c r="GCN36" s="424"/>
      <c r="GCO36" s="427"/>
      <c r="GCP36" s="424"/>
      <c r="GCQ36" s="427"/>
      <c r="GCR36" s="424"/>
      <c r="GCS36" s="427"/>
      <c r="GCT36" s="424"/>
      <c r="GCU36" s="427"/>
      <c r="GCV36" s="424"/>
      <c r="GCW36" s="427"/>
      <c r="GCX36" s="424"/>
      <c r="GCY36" s="427"/>
      <c r="GCZ36" s="424"/>
      <c r="GDA36" s="427"/>
      <c r="GDB36" s="424"/>
      <c r="GDC36" s="427"/>
      <c r="GDD36" s="424"/>
      <c r="GDE36" s="427"/>
      <c r="GDF36" s="424"/>
      <c r="GDG36" s="427"/>
      <c r="GDH36" s="424"/>
      <c r="GDI36" s="427"/>
      <c r="GDJ36" s="424"/>
      <c r="GDK36" s="427"/>
      <c r="GDL36" s="424"/>
      <c r="GDM36" s="427"/>
      <c r="GDN36" s="424"/>
      <c r="GDO36" s="427"/>
      <c r="GDP36" s="424"/>
      <c r="GDQ36" s="427"/>
      <c r="GDR36" s="424"/>
      <c r="GDS36" s="427"/>
      <c r="GDT36" s="424"/>
      <c r="GDU36" s="427"/>
      <c r="GDV36" s="424"/>
      <c r="GDW36" s="427"/>
      <c r="GDX36" s="424"/>
      <c r="GDY36" s="427"/>
      <c r="GDZ36" s="424"/>
      <c r="GEA36" s="427"/>
      <c r="GEB36" s="424"/>
      <c r="GEC36" s="427"/>
      <c r="GED36" s="424"/>
      <c r="GEE36" s="427"/>
      <c r="GEF36" s="424"/>
      <c r="GEG36" s="427"/>
      <c r="GEH36" s="424"/>
      <c r="GEI36" s="427"/>
      <c r="GEJ36" s="424"/>
      <c r="GEK36" s="427"/>
      <c r="GEL36" s="424"/>
      <c r="GEM36" s="427"/>
      <c r="GEN36" s="424"/>
      <c r="GEO36" s="427"/>
      <c r="GEP36" s="424"/>
      <c r="GEQ36" s="427"/>
      <c r="GER36" s="424"/>
      <c r="GES36" s="427"/>
      <c r="GET36" s="424"/>
      <c r="GEU36" s="427"/>
      <c r="GEV36" s="424"/>
      <c r="GEW36" s="427"/>
      <c r="GEX36" s="424"/>
      <c r="GEY36" s="427"/>
      <c r="GEZ36" s="424"/>
      <c r="GFA36" s="427"/>
      <c r="GFB36" s="424"/>
      <c r="GFC36" s="427"/>
      <c r="GFD36" s="424"/>
      <c r="GFE36" s="427"/>
      <c r="GFF36" s="424"/>
      <c r="GFG36" s="427"/>
      <c r="GFH36" s="424"/>
      <c r="GFI36" s="427"/>
      <c r="GFJ36" s="424"/>
      <c r="GFK36" s="427"/>
      <c r="GFL36" s="424"/>
      <c r="GFM36" s="427"/>
      <c r="GFN36" s="424"/>
      <c r="GFO36" s="427"/>
      <c r="GFP36" s="424"/>
      <c r="GFQ36" s="427"/>
      <c r="GFR36" s="424"/>
      <c r="GFS36" s="427"/>
      <c r="GFT36" s="424"/>
      <c r="GFU36" s="427"/>
      <c r="GFV36" s="424"/>
      <c r="GFW36" s="427"/>
      <c r="GFX36" s="424"/>
      <c r="GFY36" s="427"/>
      <c r="GFZ36" s="424"/>
      <c r="GGA36" s="427"/>
      <c r="GGB36" s="424"/>
      <c r="GGC36" s="427"/>
      <c r="GGD36" s="424"/>
      <c r="GGE36" s="427"/>
      <c r="GGF36" s="424"/>
      <c r="GGG36" s="427"/>
      <c r="GGH36" s="424"/>
      <c r="GGI36" s="427"/>
      <c r="GGJ36" s="424"/>
      <c r="GGK36" s="427"/>
      <c r="GGL36" s="424"/>
      <c r="GGM36" s="427"/>
      <c r="GGN36" s="424"/>
      <c r="GGO36" s="427"/>
      <c r="GGP36" s="424"/>
      <c r="GGQ36" s="427"/>
      <c r="GGR36" s="424"/>
      <c r="GGS36" s="427"/>
      <c r="GGT36" s="424"/>
      <c r="GGU36" s="427"/>
      <c r="GGV36" s="424"/>
      <c r="GGW36" s="427"/>
      <c r="GGX36" s="424"/>
      <c r="GGY36" s="427"/>
      <c r="GGZ36" s="424"/>
      <c r="GHA36" s="427"/>
      <c r="GHB36" s="424"/>
      <c r="GHC36" s="427"/>
      <c r="GHD36" s="424"/>
      <c r="GHE36" s="427"/>
      <c r="GHF36" s="424"/>
      <c r="GHG36" s="427"/>
      <c r="GHH36" s="424"/>
      <c r="GHI36" s="427"/>
      <c r="GHJ36" s="424"/>
      <c r="GHK36" s="427"/>
      <c r="GHL36" s="424"/>
      <c r="GHM36" s="427"/>
      <c r="GHN36" s="424"/>
      <c r="GHO36" s="427"/>
      <c r="GHP36" s="424"/>
      <c r="GHQ36" s="427"/>
      <c r="GHR36" s="424"/>
      <c r="GHS36" s="427"/>
      <c r="GHT36" s="424"/>
      <c r="GHU36" s="427"/>
      <c r="GHV36" s="424"/>
      <c r="GHW36" s="427"/>
      <c r="GHX36" s="424"/>
      <c r="GHY36" s="427"/>
      <c r="GHZ36" s="424"/>
      <c r="GIA36" s="427"/>
      <c r="GIB36" s="424"/>
      <c r="GIC36" s="427"/>
      <c r="GID36" s="424"/>
      <c r="GIE36" s="427"/>
      <c r="GIF36" s="424"/>
      <c r="GIG36" s="427"/>
      <c r="GIH36" s="424"/>
      <c r="GII36" s="427"/>
      <c r="GIJ36" s="424"/>
      <c r="GIK36" s="427"/>
      <c r="GIL36" s="424"/>
      <c r="GIM36" s="427"/>
      <c r="GIN36" s="424"/>
      <c r="GIO36" s="427"/>
      <c r="GIP36" s="424"/>
      <c r="GIQ36" s="427"/>
      <c r="GIR36" s="424"/>
      <c r="GIS36" s="427"/>
      <c r="GIT36" s="424"/>
      <c r="GIU36" s="427"/>
      <c r="GIV36" s="424"/>
      <c r="GIW36" s="427"/>
      <c r="GIX36" s="424"/>
      <c r="GIY36" s="427"/>
      <c r="GIZ36" s="424"/>
      <c r="GJA36" s="427"/>
      <c r="GJB36" s="424"/>
      <c r="GJC36" s="427"/>
      <c r="GJD36" s="424"/>
      <c r="GJE36" s="427"/>
      <c r="GJF36" s="424"/>
      <c r="GJG36" s="427"/>
      <c r="GJH36" s="424"/>
      <c r="GJI36" s="427"/>
      <c r="GJJ36" s="424"/>
      <c r="GJK36" s="427"/>
      <c r="GJL36" s="424"/>
      <c r="GJM36" s="427"/>
      <c r="GJN36" s="424"/>
      <c r="GJO36" s="427"/>
      <c r="GJP36" s="424"/>
      <c r="GJQ36" s="427"/>
      <c r="GJR36" s="424"/>
      <c r="GJS36" s="427"/>
      <c r="GJT36" s="424"/>
      <c r="GJU36" s="427"/>
      <c r="GJV36" s="424"/>
      <c r="GJW36" s="427"/>
      <c r="GJX36" s="424"/>
      <c r="GJY36" s="427"/>
      <c r="GJZ36" s="424"/>
      <c r="GKA36" s="427"/>
      <c r="GKB36" s="424"/>
      <c r="GKC36" s="427"/>
      <c r="GKD36" s="424"/>
      <c r="GKE36" s="427"/>
      <c r="GKF36" s="424"/>
      <c r="GKG36" s="427"/>
      <c r="GKH36" s="424"/>
      <c r="GKI36" s="427"/>
      <c r="GKJ36" s="424"/>
      <c r="GKK36" s="427"/>
      <c r="GKL36" s="424"/>
      <c r="GKM36" s="427"/>
      <c r="GKN36" s="424"/>
      <c r="GKO36" s="427"/>
      <c r="GKP36" s="424"/>
      <c r="GKQ36" s="427"/>
      <c r="GKR36" s="424"/>
      <c r="GKS36" s="427"/>
      <c r="GKT36" s="424"/>
      <c r="GKU36" s="427"/>
      <c r="GKV36" s="424"/>
      <c r="GKW36" s="427"/>
      <c r="GKX36" s="424"/>
      <c r="GKY36" s="427"/>
      <c r="GKZ36" s="424"/>
      <c r="GLA36" s="427"/>
      <c r="GLB36" s="424"/>
      <c r="GLC36" s="427"/>
      <c r="GLD36" s="424"/>
      <c r="GLE36" s="427"/>
      <c r="GLF36" s="424"/>
      <c r="GLG36" s="427"/>
      <c r="GLH36" s="424"/>
      <c r="GLI36" s="427"/>
      <c r="GLJ36" s="424"/>
      <c r="GLK36" s="427"/>
      <c r="GLL36" s="424"/>
      <c r="GLM36" s="427"/>
      <c r="GLN36" s="424"/>
      <c r="GLO36" s="427"/>
      <c r="GLP36" s="424"/>
      <c r="GLQ36" s="427"/>
      <c r="GLR36" s="424"/>
      <c r="GLS36" s="427"/>
      <c r="GLT36" s="424"/>
      <c r="GLU36" s="427"/>
      <c r="GLV36" s="424"/>
      <c r="GLW36" s="427"/>
      <c r="GLX36" s="424"/>
      <c r="GLY36" s="427"/>
      <c r="GLZ36" s="424"/>
      <c r="GMA36" s="427"/>
      <c r="GMB36" s="424"/>
      <c r="GMC36" s="427"/>
      <c r="GMD36" s="424"/>
      <c r="GME36" s="427"/>
      <c r="GMF36" s="424"/>
      <c r="GMG36" s="427"/>
      <c r="GMH36" s="424"/>
      <c r="GMI36" s="427"/>
      <c r="GMJ36" s="424"/>
      <c r="GMK36" s="427"/>
      <c r="GML36" s="424"/>
      <c r="GMM36" s="427"/>
      <c r="GMN36" s="424"/>
      <c r="GMO36" s="427"/>
      <c r="GMP36" s="424"/>
      <c r="GMQ36" s="427"/>
      <c r="GMR36" s="424"/>
      <c r="GMS36" s="427"/>
      <c r="GMT36" s="424"/>
      <c r="GMU36" s="427"/>
      <c r="GMV36" s="424"/>
      <c r="GMW36" s="427"/>
      <c r="GMX36" s="424"/>
      <c r="GMY36" s="427"/>
      <c r="GMZ36" s="424"/>
      <c r="GNA36" s="427"/>
      <c r="GNB36" s="424"/>
      <c r="GNC36" s="427"/>
      <c r="GND36" s="424"/>
      <c r="GNE36" s="427"/>
      <c r="GNF36" s="424"/>
      <c r="GNG36" s="427"/>
      <c r="GNH36" s="424"/>
      <c r="GNI36" s="427"/>
      <c r="GNJ36" s="424"/>
      <c r="GNK36" s="427"/>
      <c r="GNL36" s="424"/>
      <c r="GNM36" s="427"/>
      <c r="GNN36" s="424"/>
      <c r="GNO36" s="427"/>
      <c r="GNP36" s="424"/>
      <c r="GNQ36" s="427"/>
      <c r="GNR36" s="424"/>
      <c r="GNS36" s="427"/>
      <c r="GNT36" s="424"/>
      <c r="GNU36" s="427"/>
      <c r="GNV36" s="424"/>
      <c r="GNW36" s="427"/>
      <c r="GNX36" s="424"/>
      <c r="GNY36" s="427"/>
      <c r="GNZ36" s="424"/>
      <c r="GOA36" s="427"/>
      <c r="GOB36" s="424"/>
      <c r="GOC36" s="427"/>
      <c r="GOD36" s="424"/>
      <c r="GOE36" s="427"/>
      <c r="GOF36" s="424"/>
      <c r="GOG36" s="427"/>
      <c r="GOH36" s="424"/>
      <c r="GOI36" s="427"/>
      <c r="GOJ36" s="424"/>
      <c r="GOK36" s="427"/>
      <c r="GOL36" s="424"/>
      <c r="GOM36" s="427"/>
      <c r="GON36" s="424"/>
      <c r="GOO36" s="427"/>
      <c r="GOP36" s="424"/>
      <c r="GOQ36" s="427"/>
      <c r="GOR36" s="424"/>
      <c r="GOS36" s="427"/>
      <c r="GOT36" s="424"/>
      <c r="GOU36" s="427"/>
      <c r="GOV36" s="424"/>
      <c r="GOW36" s="427"/>
      <c r="GOX36" s="424"/>
      <c r="GOY36" s="427"/>
      <c r="GOZ36" s="424"/>
      <c r="GPA36" s="427"/>
      <c r="GPB36" s="424"/>
      <c r="GPC36" s="427"/>
      <c r="GPD36" s="424"/>
      <c r="GPE36" s="427"/>
      <c r="GPF36" s="424"/>
      <c r="GPG36" s="427"/>
      <c r="GPH36" s="424"/>
      <c r="GPI36" s="427"/>
      <c r="GPJ36" s="424"/>
      <c r="GPK36" s="427"/>
      <c r="GPL36" s="424"/>
      <c r="GPM36" s="427"/>
      <c r="GPN36" s="424"/>
      <c r="GPO36" s="427"/>
      <c r="GPP36" s="424"/>
      <c r="GPQ36" s="427"/>
      <c r="GPR36" s="424"/>
      <c r="GPS36" s="427"/>
      <c r="GPT36" s="424"/>
      <c r="GPU36" s="427"/>
      <c r="GPV36" s="424"/>
      <c r="GPW36" s="427"/>
      <c r="GPX36" s="424"/>
      <c r="GPY36" s="427"/>
      <c r="GPZ36" s="424"/>
      <c r="GQA36" s="427"/>
      <c r="GQB36" s="424"/>
      <c r="GQC36" s="427"/>
      <c r="GQD36" s="424"/>
      <c r="GQE36" s="427"/>
      <c r="GQF36" s="424"/>
      <c r="GQG36" s="427"/>
      <c r="GQH36" s="424"/>
      <c r="GQI36" s="427"/>
      <c r="GQJ36" s="424"/>
      <c r="GQK36" s="427"/>
      <c r="GQL36" s="424"/>
      <c r="GQM36" s="427"/>
      <c r="GQN36" s="424"/>
      <c r="GQO36" s="427"/>
      <c r="GQP36" s="424"/>
      <c r="GQQ36" s="427"/>
      <c r="GQR36" s="424"/>
      <c r="GQS36" s="427"/>
      <c r="GQT36" s="424"/>
      <c r="GQU36" s="427"/>
      <c r="GQV36" s="424"/>
      <c r="GQW36" s="427"/>
      <c r="GQX36" s="424"/>
      <c r="GQY36" s="427"/>
      <c r="GQZ36" s="424"/>
      <c r="GRA36" s="427"/>
      <c r="GRB36" s="424"/>
      <c r="GRC36" s="427"/>
      <c r="GRD36" s="424"/>
      <c r="GRE36" s="427"/>
      <c r="GRF36" s="424"/>
      <c r="GRG36" s="427"/>
      <c r="GRH36" s="424"/>
      <c r="GRI36" s="427"/>
      <c r="GRJ36" s="424"/>
      <c r="GRK36" s="427"/>
      <c r="GRL36" s="424"/>
      <c r="GRM36" s="427"/>
      <c r="GRN36" s="424"/>
      <c r="GRO36" s="427"/>
      <c r="GRP36" s="424"/>
      <c r="GRQ36" s="427"/>
      <c r="GRR36" s="424"/>
      <c r="GRS36" s="427"/>
      <c r="GRT36" s="424"/>
      <c r="GRU36" s="427"/>
      <c r="GRV36" s="424"/>
      <c r="GRW36" s="427"/>
      <c r="GRX36" s="424"/>
      <c r="GRY36" s="427"/>
      <c r="GRZ36" s="424"/>
      <c r="GSA36" s="427"/>
      <c r="GSB36" s="424"/>
      <c r="GSC36" s="427"/>
      <c r="GSD36" s="424"/>
      <c r="GSE36" s="427"/>
      <c r="GSF36" s="424"/>
      <c r="GSG36" s="427"/>
      <c r="GSH36" s="424"/>
      <c r="GSI36" s="427"/>
      <c r="GSJ36" s="424"/>
      <c r="GSK36" s="427"/>
      <c r="GSL36" s="424"/>
      <c r="GSM36" s="427"/>
      <c r="GSN36" s="424"/>
      <c r="GSO36" s="427"/>
      <c r="GSP36" s="424"/>
      <c r="GSQ36" s="427"/>
      <c r="GSR36" s="424"/>
      <c r="GSS36" s="427"/>
      <c r="GST36" s="424"/>
      <c r="GSU36" s="427"/>
      <c r="GSV36" s="424"/>
      <c r="GSW36" s="427"/>
      <c r="GSX36" s="424"/>
      <c r="GSY36" s="427"/>
      <c r="GSZ36" s="424"/>
      <c r="GTA36" s="427"/>
      <c r="GTB36" s="424"/>
      <c r="GTC36" s="427"/>
      <c r="GTD36" s="424"/>
      <c r="GTE36" s="427"/>
      <c r="GTF36" s="424"/>
      <c r="GTG36" s="427"/>
      <c r="GTH36" s="424"/>
      <c r="GTI36" s="427"/>
      <c r="GTJ36" s="424"/>
      <c r="GTK36" s="427"/>
      <c r="GTL36" s="424"/>
      <c r="GTM36" s="427"/>
      <c r="GTN36" s="424"/>
      <c r="GTO36" s="427"/>
      <c r="GTP36" s="424"/>
      <c r="GTQ36" s="427"/>
      <c r="GTR36" s="424"/>
      <c r="GTS36" s="427"/>
      <c r="GTT36" s="424"/>
      <c r="GTU36" s="427"/>
      <c r="GTV36" s="424"/>
      <c r="GTW36" s="427"/>
      <c r="GTX36" s="424"/>
      <c r="GTY36" s="427"/>
      <c r="GTZ36" s="424"/>
      <c r="GUA36" s="427"/>
      <c r="GUB36" s="424"/>
      <c r="GUC36" s="427"/>
      <c r="GUD36" s="424"/>
      <c r="GUE36" s="427"/>
      <c r="GUF36" s="424"/>
      <c r="GUG36" s="427"/>
      <c r="GUH36" s="424"/>
      <c r="GUI36" s="427"/>
      <c r="GUJ36" s="424"/>
      <c r="GUK36" s="427"/>
      <c r="GUL36" s="424"/>
      <c r="GUM36" s="427"/>
      <c r="GUN36" s="424"/>
      <c r="GUO36" s="427"/>
      <c r="GUP36" s="424"/>
      <c r="GUQ36" s="427"/>
      <c r="GUR36" s="424"/>
      <c r="GUS36" s="427"/>
      <c r="GUT36" s="424"/>
      <c r="GUU36" s="427"/>
      <c r="GUV36" s="424"/>
      <c r="GUW36" s="427"/>
      <c r="GUX36" s="424"/>
      <c r="GUY36" s="427"/>
      <c r="GUZ36" s="424"/>
      <c r="GVA36" s="427"/>
      <c r="GVB36" s="424"/>
      <c r="GVC36" s="427"/>
      <c r="GVD36" s="424"/>
      <c r="GVE36" s="427"/>
      <c r="GVF36" s="424"/>
      <c r="GVG36" s="427"/>
      <c r="GVH36" s="424"/>
      <c r="GVI36" s="427"/>
      <c r="GVJ36" s="424"/>
      <c r="GVK36" s="427"/>
      <c r="GVL36" s="424"/>
      <c r="GVM36" s="427"/>
      <c r="GVN36" s="424"/>
      <c r="GVO36" s="427"/>
      <c r="GVP36" s="424"/>
      <c r="GVQ36" s="427"/>
      <c r="GVR36" s="424"/>
      <c r="GVS36" s="427"/>
      <c r="GVT36" s="424"/>
      <c r="GVU36" s="427"/>
      <c r="GVV36" s="424"/>
      <c r="GVW36" s="427"/>
      <c r="GVX36" s="424"/>
      <c r="GVY36" s="427"/>
      <c r="GVZ36" s="424"/>
      <c r="GWA36" s="427"/>
      <c r="GWB36" s="424"/>
      <c r="GWC36" s="427"/>
      <c r="GWD36" s="424"/>
      <c r="GWE36" s="427"/>
      <c r="GWF36" s="424"/>
      <c r="GWG36" s="427"/>
      <c r="GWH36" s="424"/>
      <c r="GWI36" s="427"/>
      <c r="GWJ36" s="424"/>
      <c r="GWK36" s="427"/>
      <c r="GWL36" s="424"/>
      <c r="GWM36" s="427"/>
      <c r="GWN36" s="424"/>
      <c r="GWO36" s="427"/>
      <c r="GWP36" s="424"/>
      <c r="GWQ36" s="427"/>
      <c r="GWR36" s="424"/>
      <c r="GWS36" s="427"/>
      <c r="GWT36" s="424"/>
      <c r="GWU36" s="427"/>
      <c r="GWV36" s="424"/>
      <c r="GWW36" s="427"/>
      <c r="GWX36" s="424"/>
      <c r="GWY36" s="427"/>
      <c r="GWZ36" s="424"/>
      <c r="GXA36" s="427"/>
      <c r="GXB36" s="424"/>
      <c r="GXC36" s="427"/>
      <c r="GXD36" s="424"/>
      <c r="GXE36" s="427"/>
      <c r="GXF36" s="424"/>
      <c r="GXG36" s="427"/>
      <c r="GXH36" s="424"/>
      <c r="GXI36" s="427"/>
      <c r="GXJ36" s="424"/>
      <c r="GXK36" s="427"/>
      <c r="GXL36" s="424"/>
      <c r="GXM36" s="427"/>
      <c r="GXN36" s="424"/>
      <c r="GXO36" s="427"/>
      <c r="GXP36" s="424"/>
      <c r="GXQ36" s="427"/>
      <c r="GXR36" s="424"/>
      <c r="GXS36" s="427"/>
      <c r="GXT36" s="424"/>
      <c r="GXU36" s="427"/>
      <c r="GXV36" s="424"/>
      <c r="GXW36" s="427"/>
      <c r="GXX36" s="424"/>
      <c r="GXY36" s="427"/>
      <c r="GXZ36" s="424"/>
      <c r="GYA36" s="427"/>
      <c r="GYB36" s="424"/>
      <c r="GYC36" s="427"/>
      <c r="GYD36" s="424"/>
      <c r="GYE36" s="427"/>
      <c r="GYF36" s="424"/>
      <c r="GYG36" s="427"/>
      <c r="GYH36" s="424"/>
      <c r="GYI36" s="427"/>
      <c r="GYJ36" s="424"/>
      <c r="GYK36" s="427"/>
      <c r="GYL36" s="424"/>
      <c r="GYM36" s="427"/>
      <c r="GYN36" s="424"/>
      <c r="GYO36" s="427"/>
      <c r="GYP36" s="424"/>
      <c r="GYQ36" s="427"/>
      <c r="GYR36" s="424"/>
      <c r="GYS36" s="427"/>
      <c r="GYT36" s="424"/>
      <c r="GYU36" s="427"/>
      <c r="GYV36" s="424"/>
      <c r="GYW36" s="427"/>
      <c r="GYX36" s="424"/>
      <c r="GYY36" s="427"/>
      <c r="GYZ36" s="424"/>
      <c r="GZA36" s="427"/>
      <c r="GZB36" s="424"/>
      <c r="GZC36" s="427"/>
      <c r="GZD36" s="424"/>
      <c r="GZE36" s="427"/>
      <c r="GZF36" s="424"/>
      <c r="GZG36" s="427"/>
      <c r="GZH36" s="424"/>
      <c r="GZI36" s="427"/>
      <c r="GZJ36" s="424"/>
      <c r="GZK36" s="427"/>
      <c r="GZL36" s="424"/>
      <c r="GZM36" s="427"/>
      <c r="GZN36" s="424"/>
      <c r="GZO36" s="427"/>
      <c r="GZP36" s="424"/>
      <c r="GZQ36" s="427"/>
      <c r="GZR36" s="424"/>
      <c r="GZS36" s="427"/>
      <c r="GZT36" s="424"/>
      <c r="GZU36" s="427"/>
      <c r="GZV36" s="424"/>
      <c r="GZW36" s="427"/>
      <c r="GZX36" s="424"/>
      <c r="GZY36" s="427"/>
      <c r="GZZ36" s="424"/>
      <c r="HAA36" s="427"/>
      <c r="HAB36" s="424"/>
      <c r="HAC36" s="427"/>
      <c r="HAD36" s="424"/>
      <c r="HAE36" s="427"/>
      <c r="HAF36" s="424"/>
      <c r="HAG36" s="427"/>
      <c r="HAH36" s="424"/>
      <c r="HAI36" s="427"/>
      <c r="HAJ36" s="424"/>
      <c r="HAK36" s="427"/>
      <c r="HAL36" s="424"/>
      <c r="HAM36" s="427"/>
      <c r="HAN36" s="424"/>
      <c r="HAO36" s="427"/>
      <c r="HAP36" s="424"/>
      <c r="HAQ36" s="427"/>
      <c r="HAR36" s="424"/>
      <c r="HAS36" s="427"/>
      <c r="HAT36" s="424"/>
      <c r="HAU36" s="427"/>
      <c r="HAV36" s="424"/>
      <c r="HAW36" s="427"/>
      <c r="HAX36" s="424"/>
      <c r="HAY36" s="427"/>
      <c r="HAZ36" s="424"/>
      <c r="HBA36" s="427"/>
      <c r="HBB36" s="424"/>
      <c r="HBC36" s="427"/>
      <c r="HBD36" s="424"/>
      <c r="HBE36" s="427"/>
      <c r="HBF36" s="424"/>
      <c r="HBG36" s="427"/>
      <c r="HBH36" s="424"/>
      <c r="HBI36" s="427"/>
      <c r="HBJ36" s="424"/>
      <c r="HBK36" s="427"/>
      <c r="HBL36" s="424"/>
      <c r="HBM36" s="427"/>
      <c r="HBN36" s="424"/>
      <c r="HBO36" s="427"/>
      <c r="HBP36" s="424"/>
      <c r="HBQ36" s="427"/>
      <c r="HBR36" s="424"/>
      <c r="HBS36" s="427"/>
      <c r="HBT36" s="424"/>
      <c r="HBU36" s="427"/>
      <c r="HBV36" s="424"/>
      <c r="HBW36" s="427"/>
      <c r="HBX36" s="424"/>
      <c r="HBY36" s="427"/>
      <c r="HBZ36" s="424"/>
      <c r="HCA36" s="427"/>
      <c r="HCB36" s="424"/>
      <c r="HCC36" s="427"/>
      <c r="HCD36" s="424"/>
      <c r="HCE36" s="427"/>
      <c r="HCF36" s="424"/>
      <c r="HCG36" s="427"/>
      <c r="HCH36" s="424"/>
      <c r="HCI36" s="427"/>
      <c r="HCJ36" s="424"/>
      <c r="HCK36" s="427"/>
      <c r="HCL36" s="424"/>
      <c r="HCM36" s="427"/>
      <c r="HCN36" s="424"/>
      <c r="HCO36" s="427"/>
      <c r="HCP36" s="424"/>
      <c r="HCQ36" s="427"/>
      <c r="HCR36" s="424"/>
      <c r="HCS36" s="427"/>
      <c r="HCT36" s="424"/>
      <c r="HCU36" s="427"/>
      <c r="HCV36" s="424"/>
      <c r="HCW36" s="427"/>
      <c r="HCX36" s="424"/>
      <c r="HCY36" s="427"/>
      <c r="HCZ36" s="424"/>
      <c r="HDA36" s="427"/>
      <c r="HDB36" s="424"/>
      <c r="HDC36" s="427"/>
      <c r="HDD36" s="424"/>
      <c r="HDE36" s="427"/>
      <c r="HDF36" s="424"/>
      <c r="HDG36" s="427"/>
      <c r="HDH36" s="424"/>
      <c r="HDI36" s="427"/>
      <c r="HDJ36" s="424"/>
      <c r="HDK36" s="427"/>
      <c r="HDL36" s="424"/>
      <c r="HDM36" s="427"/>
      <c r="HDN36" s="424"/>
      <c r="HDO36" s="427"/>
      <c r="HDP36" s="424"/>
      <c r="HDQ36" s="427"/>
      <c r="HDR36" s="424"/>
      <c r="HDS36" s="427"/>
      <c r="HDT36" s="424"/>
      <c r="HDU36" s="427"/>
      <c r="HDV36" s="424"/>
      <c r="HDW36" s="427"/>
      <c r="HDX36" s="424"/>
      <c r="HDY36" s="427"/>
      <c r="HDZ36" s="424"/>
      <c r="HEA36" s="427"/>
      <c r="HEB36" s="424"/>
      <c r="HEC36" s="427"/>
      <c r="HED36" s="424"/>
      <c r="HEE36" s="427"/>
      <c r="HEF36" s="424"/>
      <c r="HEG36" s="427"/>
      <c r="HEH36" s="424"/>
      <c r="HEI36" s="427"/>
      <c r="HEJ36" s="424"/>
      <c r="HEK36" s="427"/>
      <c r="HEL36" s="424"/>
      <c r="HEM36" s="427"/>
      <c r="HEN36" s="424"/>
      <c r="HEO36" s="427"/>
      <c r="HEP36" s="424"/>
      <c r="HEQ36" s="427"/>
      <c r="HER36" s="424"/>
      <c r="HES36" s="427"/>
      <c r="HET36" s="424"/>
      <c r="HEU36" s="427"/>
      <c r="HEV36" s="424"/>
      <c r="HEW36" s="427"/>
      <c r="HEX36" s="424"/>
      <c r="HEY36" s="427"/>
      <c r="HEZ36" s="424"/>
      <c r="HFA36" s="427"/>
      <c r="HFB36" s="424"/>
      <c r="HFC36" s="427"/>
      <c r="HFD36" s="424"/>
      <c r="HFE36" s="427"/>
      <c r="HFF36" s="424"/>
      <c r="HFG36" s="427"/>
      <c r="HFH36" s="424"/>
      <c r="HFI36" s="427"/>
      <c r="HFJ36" s="424"/>
      <c r="HFK36" s="427"/>
      <c r="HFL36" s="424"/>
      <c r="HFM36" s="427"/>
      <c r="HFN36" s="424"/>
      <c r="HFO36" s="427"/>
      <c r="HFP36" s="424"/>
      <c r="HFQ36" s="427"/>
      <c r="HFR36" s="424"/>
      <c r="HFS36" s="427"/>
      <c r="HFT36" s="424"/>
      <c r="HFU36" s="427"/>
      <c r="HFV36" s="424"/>
      <c r="HFW36" s="427"/>
      <c r="HFX36" s="424"/>
      <c r="HFY36" s="427"/>
      <c r="HFZ36" s="424"/>
      <c r="HGA36" s="427"/>
      <c r="HGB36" s="424"/>
      <c r="HGC36" s="427"/>
      <c r="HGD36" s="424"/>
      <c r="HGE36" s="427"/>
      <c r="HGF36" s="424"/>
      <c r="HGG36" s="427"/>
      <c r="HGH36" s="424"/>
      <c r="HGI36" s="427"/>
      <c r="HGJ36" s="424"/>
      <c r="HGK36" s="427"/>
      <c r="HGL36" s="424"/>
      <c r="HGM36" s="427"/>
      <c r="HGN36" s="424"/>
      <c r="HGO36" s="427"/>
      <c r="HGP36" s="424"/>
      <c r="HGQ36" s="427"/>
      <c r="HGR36" s="424"/>
      <c r="HGS36" s="427"/>
      <c r="HGT36" s="424"/>
      <c r="HGU36" s="427"/>
      <c r="HGV36" s="424"/>
      <c r="HGW36" s="427"/>
      <c r="HGX36" s="424"/>
      <c r="HGY36" s="427"/>
      <c r="HGZ36" s="424"/>
      <c r="HHA36" s="427"/>
      <c r="HHB36" s="424"/>
      <c r="HHC36" s="427"/>
      <c r="HHD36" s="424"/>
      <c r="HHE36" s="427"/>
      <c r="HHF36" s="424"/>
      <c r="HHG36" s="427"/>
      <c r="HHH36" s="424"/>
      <c r="HHI36" s="427"/>
      <c r="HHJ36" s="424"/>
      <c r="HHK36" s="427"/>
      <c r="HHL36" s="424"/>
      <c r="HHM36" s="427"/>
      <c r="HHN36" s="424"/>
      <c r="HHO36" s="427"/>
      <c r="HHP36" s="424"/>
      <c r="HHQ36" s="427"/>
      <c r="HHR36" s="424"/>
      <c r="HHS36" s="427"/>
      <c r="HHT36" s="424"/>
      <c r="HHU36" s="427"/>
      <c r="HHV36" s="424"/>
      <c r="HHW36" s="427"/>
      <c r="HHX36" s="424"/>
      <c r="HHY36" s="427"/>
      <c r="HHZ36" s="424"/>
      <c r="HIA36" s="427"/>
      <c r="HIB36" s="424"/>
      <c r="HIC36" s="427"/>
      <c r="HID36" s="424"/>
      <c r="HIE36" s="427"/>
      <c r="HIF36" s="424"/>
      <c r="HIG36" s="427"/>
      <c r="HIH36" s="424"/>
      <c r="HII36" s="427"/>
      <c r="HIJ36" s="424"/>
      <c r="HIK36" s="427"/>
      <c r="HIL36" s="424"/>
      <c r="HIM36" s="427"/>
      <c r="HIN36" s="424"/>
      <c r="HIO36" s="427"/>
      <c r="HIP36" s="424"/>
      <c r="HIQ36" s="427"/>
      <c r="HIR36" s="424"/>
      <c r="HIS36" s="427"/>
      <c r="HIT36" s="424"/>
      <c r="HIU36" s="427"/>
      <c r="HIV36" s="424"/>
      <c r="HIW36" s="427"/>
      <c r="HIX36" s="424"/>
      <c r="HIY36" s="427"/>
      <c r="HIZ36" s="424"/>
      <c r="HJA36" s="427"/>
      <c r="HJB36" s="424"/>
      <c r="HJC36" s="427"/>
      <c r="HJD36" s="424"/>
      <c r="HJE36" s="427"/>
      <c r="HJF36" s="424"/>
      <c r="HJG36" s="427"/>
      <c r="HJH36" s="424"/>
      <c r="HJI36" s="427"/>
      <c r="HJJ36" s="424"/>
      <c r="HJK36" s="427"/>
      <c r="HJL36" s="424"/>
      <c r="HJM36" s="427"/>
      <c r="HJN36" s="424"/>
      <c r="HJO36" s="427"/>
      <c r="HJP36" s="424"/>
      <c r="HJQ36" s="427"/>
      <c r="HJR36" s="424"/>
      <c r="HJS36" s="427"/>
      <c r="HJT36" s="424"/>
      <c r="HJU36" s="427"/>
      <c r="HJV36" s="424"/>
      <c r="HJW36" s="427"/>
      <c r="HJX36" s="424"/>
      <c r="HJY36" s="427"/>
      <c r="HJZ36" s="424"/>
      <c r="HKA36" s="427"/>
      <c r="HKB36" s="424"/>
      <c r="HKC36" s="427"/>
      <c r="HKD36" s="424"/>
      <c r="HKE36" s="427"/>
      <c r="HKF36" s="424"/>
      <c r="HKG36" s="427"/>
      <c r="HKH36" s="424"/>
      <c r="HKI36" s="427"/>
      <c r="HKJ36" s="424"/>
      <c r="HKK36" s="427"/>
      <c r="HKL36" s="424"/>
      <c r="HKM36" s="427"/>
      <c r="HKN36" s="424"/>
      <c r="HKO36" s="427"/>
      <c r="HKP36" s="424"/>
      <c r="HKQ36" s="427"/>
      <c r="HKR36" s="424"/>
      <c r="HKS36" s="427"/>
      <c r="HKT36" s="424"/>
      <c r="HKU36" s="427"/>
      <c r="HKV36" s="424"/>
      <c r="HKW36" s="427"/>
      <c r="HKX36" s="424"/>
      <c r="HKY36" s="427"/>
      <c r="HKZ36" s="424"/>
      <c r="HLA36" s="427"/>
      <c r="HLB36" s="424"/>
      <c r="HLC36" s="427"/>
      <c r="HLD36" s="424"/>
      <c r="HLE36" s="427"/>
      <c r="HLF36" s="424"/>
      <c r="HLG36" s="427"/>
      <c r="HLH36" s="424"/>
      <c r="HLI36" s="427"/>
      <c r="HLJ36" s="424"/>
      <c r="HLK36" s="427"/>
      <c r="HLL36" s="424"/>
      <c r="HLM36" s="427"/>
      <c r="HLN36" s="424"/>
      <c r="HLO36" s="427"/>
      <c r="HLP36" s="424"/>
      <c r="HLQ36" s="427"/>
      <c r="HLR36" s="424"/>
      <c r="HLS36" s="427"/>
      <c r="HLT36" s="424"/>
      <c r="HLU36" s="427"/>
      <c r="HLV36" s="424"/>
      <c r="HLW36" s="427"/>
      <c r="HLX36" s="424"/>
      <c r="HLY36" s="427"/>
      <c r="HLZ36" s="424"/>
      <c r="HMA36" s="427"/>
      <c r="HMB36" s="424"/>
      <c r="HMC36" s="427"/>
      <c r="HMD36" s="424"/>
      <c r="HME36" s="427"/>
      <c r="HMF36" s="424"/>
      <c r="HMG36" s="427"/>
      <c r="HMH36" s="424"/>
      <c r="HMI36" s="427"/>
      <c r="HMJ36" s="424"/>
      <c r="HMK36" s="427"/>
      <c r="HML36" s="424"/>
      <c r="HMM36" s="427"/>
      <c r="HMN36" s="424"/>
      <c r="HMO36" s="427"/>
      <c r="HMP36" s="424"/>
      <c r="HMQ36" s="427"/>
      <c r="HMR36" s="424"/>
      <c r="HMS36" s="427"/>
      <c r="HMT36" s="424"/>
      <c r="HMU36" s="427"/>
      <c r="HMV36" s="424"/>
      <c r="HMW36" s="427"/>
      <c r="HMX36" s="424"/>
      <c r="HMY36" s="427"/>
      <c r="HMZ36" s="424"/>
      <c r="HNA36" s="427"/>
      <c r="HNB36" s="424"/>
      <c r="HNC36" s="427"/>
      <c r="HND36" s="424"/>
      <c r="HNE36" s="427"/>
      <c r="HNF36" s="424"/>
      <c r="HNG36" s="427"/>
      <c r="HNH36" s="424"/>
      <c r="HNI36" s="427"/>
      <c r="HNJ36" s="424"/>
      <c r="HNK36" s="427"/>
      <c r="HNL36" s="424"/>
      <c r="HNM36" s="427"/>
      <c r="HNN36" s="424"/>
      <c r="HNO36" s="427"/>
      <c r="HNP36" s="424"/>
      <c r="HNQ36" s="427"/>
      <c r="HNR36" s="424"/>
      <c r="HNS36" s="427"/>
      <c r="HNT36" s="424"/>
      <c r="HNU36" s="427"/>
      <c r="HNV36" s="424"/>
      <c r="HNW36" s="427"/>
      <c r="HNX36" s="424"/>
      <c r="HNY36" s="427"/>
      <c r="HNZ36" s="424"/>
      <c r="HOA36" s="427"/>
      <c r="HOB36" s="424"/>
      <c r="HOC36" s="427"/>
      <c r="HOD36" s="424"/>
      <c r="HOE36" s="427"/>
      <c r="HOF36" s="424"/>
      <c r="HOG36" s="427"/>
      <c r="HOH36" s="424"/>
      <c r="HOI36" s="427"/>
      <c r="HOJ36" s="424"/>
      <c r="HOK36" s="427"/>
      <c r="HOL36" s="424"/>
      <c r="HOM36" s="427"/>
      <c r="HON36" s="424"/>
      <c r="HOO36" s="427"/>
      <c r="HOP36" s="424"/>
      <c r="HOQ36" s="427"/>
      <c r="HOR36" s="424"/>
      <c r="HOS36" s="427"/>
      <c r="HOT36" s="424"/>
      <c r="HOU36" s="427"/>
      <c r="HOV36" s="424"/>
      <c r="HOW36" s="427"/>
      <c r="HOX36" s="424"/>
      <c r="HOY36" s="427"/>
      <c r="HOZ36" s="424"/>
      <c r="HPA36" s="427"/>
      <c r="HPB36" s="424"/>
      <c r="HPC36" s="427"/>
      <c r="HPD36" s="424"/>
      <c r="HPE36" s="427"/>
      <c r="HPF36" s="424"/>
      <c r="HPG36" s="427"/>
      <c r="HPH36" s="424"/>
      <c r="HPI36" s="427"/>
      <c r="HPJ36" s="424"/>
      <c r="HPK36" s="427"/>
      <c r="HPL36" s="424"/>
      <c r="HPM36" s="427"/>
      <c r="HPN36" s="424"/>
      <c r="HPO36" s="427"/>
      <c r="HPP36" s="424"/>
      <c r="HPQ36" s="427"/>
      <c r="HPR36" s="424"/>
      <c r="HPS36" s="427"/>
      <c r="HPT36" s="424"/>
      <c r="HPU36" s="427"/>
      <c r="HPV36" s="424"/>
      <c r="HPW36" s="427"/>
      <c r="HPX36" s="424"/>
      <c r="HPY36" s="427"/>
      <c r="HPZ36" s="424"/>
      <c r="HQA36" s="427"/>
      <c r="HQB36" s="424"/>
      <c r="HQC36" s="427"/>
      <c r="HQD36" s="424"/>
      <c r="HQE36" s="427"/>
      <c r="HQF36" s="424"/>
      <c r="HQG36" s="427"/>
      <c r="HQH36" s="424"/>
      <c r="HQI36" s="427"/>
      <c r="HQJ36" s="424"/>
      <c r="HQK36" s="427"/>
      <c r="HQL36" s="424"/>
      <c r="HQM36" s="427"/>
      <c r="HQN36" s="424"/>
      <c r="HQO36" s="427"/>
      <c r="HQP36" s="424"/>
      <c r="HQQ36" s="427"/>
      <c r="HQR36" s="424"/>
      <c r="HQS36" s="427"/>
      <c r="HQT36" s="424"/>
      <c r="HQU36" s="427"/>
      <c r="HQV36" s="424"/>
      <c r="HQW36" s="427"/>
      <c r="HQX36" s="424"/>
      <c r="HQY36" s="427"/>
      <c r="HQZ36" s="424"/>
      <c r="HRA36" s="427"/>
      <c r="HRB36" s="424"/>
      <c r="HRC36" s="427"/>
      <c r="HRD36" s="424"/>
      <c r="HRE36" s="427"/>
      <c r="HRF36" s="424"/>
      <c r="HRG36" s="427"/>
      <c r="HRH36" s="424"/>
      <c r="HRI36" s="427"/>
      <c r="HRJ36" s="424"/>
      <c r="HRK36" s="427"/>
      <c r="HRL36" s="424"/>
      <c r="HRM36" s="427"/>
      <c r="HRN36" s="424"/>
      <c r="HRO36" s="427"/>
      <c r="HRP36" s="424"/>
      <c r="HRQ36" s="427"/>
      <c r="HRR36" s="424"/>
      <c r="HRS36" s="427"/>
      <c r="HRT36" s="424"/>
      <c r="HRU36" s="427"/>
      <c r="HRV36" s="424"/>
      <c r="HRW36" s="427"/>
      <c r="HRX36" s="424"/>
      <c r="HRY36" s="427"/>
      <c r="HRZ36" s="424"/>
      <c r="HSA36" s="427"/>
      <c r="HSB36" s="424"/>
      <c r="HSC36" s="427"/>
      <c r="HSD36" s="424"/>
      <c r="HSE36" s="427"/>
      <c r="HSF36" s="424"/>
      <c r="HSG36" s="427"/>
      <c r="HSH36" s="424"/>
      <c r="HSI36" s="427"/>
      <c r="HSJ36" s="424"/>
      <c r="HSK36" s="427"/>
      <c r="HSL36" s="424"/>
      <c r="HSM36" s="427"/>
      <c r="HSN36" s="424"/>
      <c r="HSO36" s="427"/>
      <c r="HSP36" s="424"/>
      <c r="HSQ36" s="427"/>
      <c r="HSR36" s="424"/>
      <c r="HSS36" s="427"/>
      <c r="HST36" s="424"/>
      <c r="HSU36" s="427"/>
      <c r="HSV36" s="424"/>
      <c r="HSW36" s="427"/>
      <c r="HSX36" s="424"/>
      <c r="HSY36" s="427"/>
      <c r="HSZ36" s="424"/>
      <c r="HTA36" s="427"/>
      <c r="HTB36" s="424"/>
      <c r="HTC36" s="427"/>
      <c r="HTD36" s="424"/>
      <c r="HTE36" s="427"/>
      <c r="HTF36" s="424"/>
      <c r="HTG36" s="427"/>
      <c r="HTH36" s="424"/>
      <c r="HTI36" s="427"/>
      <c r="HTJ36" s="424"/>
      <c r="HTK36" s="427"/>
      <c r="HTL36" s="424"/>
      <c r="HTM36" s="427"/>
      <c r="HTN36" s="424"/>
      <c r="HTO36" s="427"/>
      <c r="HTP36" s="424"/>
      <c r="HTQ36" s="427"/>
      <c r="HTR36" s="424"/>
      <c r="HTS36" s="427"/>
      <c r="HTT36" s="424"/>
      <c r="HTU36" s="427"/>
      <c r="HTV36" s="424"/>
      <c r="HTW36" s="427"/>
      <c r="HTX36" s="424"/>
      <c r="HTY36" s="427"/>
      <c r="HTZ36" s="424"/>
      <c r="HUA36" s="427"/>
      <c r="HUB36" s="424"/>
      <c r="HUC36" s="427"/>
      <c r="HUD36" s="424"/>
      <c r="HUE36" s="427"/>
      <c r="HUF36" s="424"/>
      <c r="HUG36" s="427"/>
      <c r="HUH36" s="424"/>
      <c r="HUI36" s="427"/>
      <c r="HUJ36" s="424"/>
      <c r="HUK36" s="427"/>
      <c r="HUL36" s="424"/>
      <c r="HUM36" s="427"/>
      <c r="HUN36" s="424"/>
      <c r="HUO36" s="427"/>
      <c r="HUP36" s="424"/>
      <c r="HUQ36" s="427"/>
      <c r="HUR36" s="424"/>
      <c r="HUS36" s="427"/>
      <c r="HUT36" s="424"/>
      <c r="HUU36" s="427"/>
      <c r="HUV36" s="424"/>
      <c r="HUW36" s="427"/>
      <c r="HUX36" s="424"/>
      <c r="HUY36" s="427"/>
      <c r="HUZ36" s="424"/>
      <c r="HVA36" s="427"/>
      <c r="HVB36" s="424"/>
      <c r="HVC36" s="427"/>
      <c r="HVD36" s="424"/>
      <c r="HVE36" s="427"/>
      <c r="HVF36" s="424"/>
      <c r="HVG36" s="427"/>
      <c r="HVH36" s="424"/>
      <c r="HVI36" s="427"/>
      <c r="HVJ36" s="424"/>
      <c r="HVK36" s="427"/>
      <c r="HVL36" s="424"/>
      <c r="HVM36" s="427"/>
      <c r="HVN36" s="424"/>
      <c r="HVO36" s="427"/>
      <c r="HVP36" s="424"/>
      <c r="HVQ36" s="427"/>
      <c r="HVR36" s="424"/>
      <c r="HVS36" s="427"/>
      <c r="HVT36" s="424"/>
      <c r="HVU36" s="427"/>
      <c r="HVV36" s="424"/>
      <c r="HVW36" s="427"/>
      <c r="HVX36" s="424"/>
      <c r="HVY36" s="427"/>
      <c r="HVZ36" s="424"/>
      <c r="HWA36" s="427"/>
      <c r="HWB36" s="424"/>
      <c r="HWC36" s="427"/>
      <c r="HWD36" s="424"/>
      <c r="HWE36" s="427"/>
      <c r="HWF36" s="424"/>
      <c r="HWG36" s="427"/>
      <c r="HWH36" s="424"/>
      <c r="HWI36" s="427"/>
      <c r="HWJ36" s="424"/>
      <c r="HWK36" s="427"/>
      <c r="HWL36" s="424"/>
      <c r="HWM36" s="427"/>
      <c r="HWN36" s="424"/>
      <c r="HWO36" s="427"/>
      <c r="HWP36" s="424"/>
      <c r="HWQ36" s="427"/>
      <c r="HWR36" s="424"/>
      <c r="HWS36" s="427"/>
      <c r="HWT36" s="424"/>
      <c r="HWU36" s="427"/>
      <c r="HWV36" s="424"/>
      <c r="HWW36" s="427"/>
      <c r="HWX36" s="424"/>
      <c r="HWY36" s="427"/>
      <c r="HWZ36" s="424"/>
      <c r="HXA36" s="427"/>
      <c r="HXB36" s="424"/>
      <c r="HXC36" s="427"/>
      <c r="HXD36" s="424"/>
      <c r="HXE36" s="427"/>
      <c r="HXF36" s="424"/>
      <c r="HXG36" s="427"/>
      <c r="HXH36" s="424"/>
      <c r="HXI36" s="427"/>
      <c r="HXJ36" s="424"/>
      <c r="HXK36" s="427"/>
      <c r="HXL36" s="424"/>
      <c r="HXM36" s="427"/>
      <c r="HXN36" s="424"/>
      <c r="HXO36" s="427"/>
      <c r="HXP36" s="424"/>
      <c r="HXQ36" s="427"/>
      <c r="HXR36" s="424"/>
      <c r="HXS36" s="427"/>
      <c r="HXT36" s="424"/>
      <c r="HXU36" s="427"/>
      <c r="HXV36" s="424"/>
      <c r="HXW36" s="427"/>
      <c r="HXX36" s="424"/>
      <c r="HXY36" s="427"/>
      <c r="HXZ36" s="424"/>
      <c r="HYA36" s="427"/>
      <c r="HYB36" s="424"/>
      <c r="HYC36" s="427"/>
      <c r="HYD36" s="424"/>
      <c r="HYE36" s="427"/>
      <c r="HYF36" s="424"/>
      <c r="HYG36" s="427"/>
      <c r="HYH36" s="424"/>
      <c r="HYI36" s="427"/>
      <c r="HYJ36" s="424"/>
      <c r="HYK36" s="427"/>
      <c r="HYL36" s="424"/>
      <c r="HYM36" s="427"/>
      <c r="HYN36" s="424"/>
      <c r="HYO36" s="427"/>
      <c r="HYP36" s="424"/>
      <c r="HYQ36" s="427"/>
      <c r="HYR36" s="424"/>
      <c r="HYS36" s="427"/>
      <c r="HYT36" s="424"/>
      <c r="HYU36" s="427"/>
      <c r="HYV36" s="424"/>
      <c r="HYW36" s="427"/>
      <c r="HYX36" s="424"/>
      <c r="HYY36" s="427"/>
      <c r="HYZ36" s="424"/>
      <c r="HZA36" s="427"/>
      <c r="HZB36" s="424"/>
      <c r="HZC36" s="427"/>
      <c r="HZD36" s="424"/>
      <c r="HZE36" s="427"/>
      <c r="HZF36" s="424"/>
      <c r="HZG36" s="427"/>
      <c r="HZH36" s="424"/>
      <c r="HZI36" s="427"/>
      <c r="HZJ36" s="424"/>
      <c r="HZK36" s="427"/>
      <c r="HZL36" s="424"/>
      <c r="HZM36" s="427"/>
      <c r="HZN36" s="424"/>
      <c r="HZO36" s="427"/>
      <c r="HZP36" s="424"/>
      <c r="HZQ36" s="427"/>
      <c r="HZR36" s="424"/>
      <c r="HZS36" s="427"/>
      <c r="HZT36" s="424"/>
      <c r="HZU36" s="427"/>
      <c r="HZV36" s="424"/>
      <c r="HZW36" s="427"/>
      <c r="HZX36" s="424"/>
      <c r="HZY36" s="427"/>
      <c r="HZZ36" s="424"/>
      <c r="IAA36" s="427"/>
      <c r="IAB36" s="424"/>
      <c r="IAC36" s="427"/>
      <c r="IAD36" s="424"/>
      <c r="IAE36" s="427"/>
      <c r="IAF36" s="424"/>
      <c r="IAG36" s="427"/>
      <c r="IAH36" s="424"/>
      <c r="IAI36" s="427"/>
      <c r="IAJ36" s="424"/>
      <c r="IAK36" s="427"/>
      <c r="IAL36" s="424"/>
      <c r="IAM36" s="427"/>
      <c r="IAN36" s="424"/>
      <c r="IAO36" s="427"/>
      <c r="IAP36" s="424"/>
      <c r="IAQ36" s="427"/>
      <c r="IAR36" s="424"/>
      <c r="IAS36" s="427"/>
      <c r="IAT36" s="424"/>
      <c r="IAU36" s="427"/>
      <c r="IAV36" s="424"/>
      <c r="IAW36" s="427"/>
      <c r="IAX36" s="424"/>
      <c r="IAY36" s="427"/>
      <c r="IAZ36" s="424"/>
      <c r="IBA36" s="427"/>
      <c r="IBB36" s="424"/>
      <c r="IBC36" s="427"/>
      <c r="IBD36" s="424"/>
      <c r="IBE36" s="427"/>
      <c r="IBF36" s="424"/>
      <c r="IBG36" s="427"/>
      <c r="IBH36" s="424"/>
      <c r="IBI36" s="427"/>
      <c r="IBJ36" s="424"/>
      <c r="IBK36" s="427"/>
      <c r="IBL36" s="424"/>
      <c r="IBM36" s="427"/>
      <c r="IBN36" s="424"/>
      <c r="IBO36" s="427"/>
      <c r="IBP36" s="424"/>
      <c r="IBQ36" s="427"/>
      <c r="IBR36" s="424"/>
      <c r="IBS36" s="427"/>
      <c r="IBT36" s="424"/>
      <c r="IBU36" s="427"/>
      <c r="IBV36" s="424"/>
      <c r="IBW36" s="427"/>
      <c r="IBX36" s="424"/>
      <c r="IBY36" s="427"/>
      <c r="IBZ36" s="424"/>
      <c r="ICA36" s="427"/>
      <c r="ICB36" s="424"/>
      <c r="ICC36" s="427"/>
      <c r="ICD36" s="424"/>
      <c r="ICE36" s="427"/>
      <c r="ICF36" s="424"/>
      <c r="ICG36" s="427"/>
      <c r="ICH36" s="424"/>
      <c r="ICI36" s="427"/>
      <c r="ICJ36" s="424"/>
      <c r="ICK36" s="427"/>
      <c r="ICL36" s="424"/>
      <c r="ICM36" s="427"/>
      <c r="ICN36" s="424"/>
      <c r="ICO36" s="427"/>
      <c r="ICP36" s="424"/>
      <c r="ICQ36" s="427"/>
      <c r="ICR36" s="424"/>
      <c r="ICS36" s="427"/>
      <c r="ICT36" s="424"/>
      <c r="ICU36" s="427"/>
      <c r="ICV36" s="424"/>
      <c r="ICW36" s="427"/>
      <c r="ICX36" s="424"/>
      <c r="ICY36" s="427"/>
      <c r="ICZ36" s="424"/>
      <c r="IDA36" s="427"/>
      <c r="IDB36" s="424"/>
      <c r="IDC36" s="427"/>
      <c r="IDD36" s="424"/>
      <c r="IDE36" s="427"/>
      <c r="IDF36" s="424"/>
      <c r="IDG36" s="427"/>
      <c r="IDH36" s="424"/>
      <c r="IDI36" s="427"/>
      <c r="IDJ36" s="424"/>
      <c r="IDK36" s="427"/>
      <c r="IDL36" s="424"/>
      <c r="IDM36" s="427"/>
      <c r="IDN36" s="424"/>
      <c r="IDO36" s="427"/>
      <c r="IDP36" s="424"/>
      <c r="IDQ36" s="427"/>
      <c r="IDR36" s="424"/>
      <c r="IDS36" s="427"/>
      <c r="IDT36" s="424"/>
      <c r="IDU36" s="427"/>
      <c r="IDV36" s="424"/>
      <c r="IDW36" s="427"/>
      <c r="IDX36" s="424"/>
      <c r="IDY36" s="427"/>
      <c r="IDZ36" s="424"/>
      <c r="IEA36" s="427"/>
      <c r="IEB36" s="424"/>
      <c r="IEC36" s="427"/>
      <c r="IED36" s="424"/>
      <c r="IEE36" s="427"/>
      <c r="IEF36" s="424"/>
      <c r="IEG36" s="427"/>
      <c r="IEH36" s="424"/>
      <c r="IEI36" s="427"/>
      <c r="IEJ36" s="424"/>
      <c r="IEK36" s="427"/>
      <c r="IEL36" s="424"/>
      <c r="IEM36" s="427"/>
      <c r="IEN36" s="424"/>
      <c r="IEO36" s="427"/>
      <c r="IEP36" s="424"/>
      <c r="IEQ36" s="427"/>
      <c r="IER36" s="424"/>
      <c r="IES36" s="427"/>
      <c r="IET36" s="424"/>
      <c r="IEU36" s="427"/>
      <c r="IEV36" s="424"/>
      <c r="IEW36" s="427"/>
      <c r="IEX36" s="424"/>
      <c r="IEY36" s="427"/>
      <c r="IEZ36" s="424"/>
      <c r="IFA36" s="427"/>
      <c r="IFB36" s="424"/>
      <c r="IFC36" s="427"/>
      <c r="IFD36" s="424"/>
      <c r="IFE36" s="427"/>
      <c r="IFF36" s="424"/>
      <c r="IFG36" s="427"/>
      <c r="IFH36" s="424"/>
      <c r="IFI36" s="427"/>
      <c r="IFJ36" s="424"/>
      <c r="IFK36" s="427"/>
      <c r="IFL36" s="424"/>
      <c r="IFM36" s="427"/>
      <c r="IFN36" s="424"/>
      <c r="IFO36" s="427"/>
      <c r="IFP36" s="424"/>
      <c r="IFQ36" s="427"/>
      <c r="IFR36" s="424"/>
      <c r="IFS36" s="427"/>
      <c r="IFT36" s="424"/>
      <c r="IFU36" s="427"/>
      <c r="IFV36" s="424"/>
      <c r="IFW36" s="427"/>
      <c r="IFX36" s="424"/>
      <c r="IFY36" s="427"/>
      <c r="IFZ36" s="424"/>
      <c r="IGA36" s="427"/>
      <c r="IGB36" s="424"/>
      <c r="IGC36" s="427"/>
      <c r="IGD36" s="424"/>
      <c r="IGE36" s="427"/>
      <c r="IGF36" s="424"/>
      <c r="IGG36" s="427"/>
      <c r="IGH36" s="424"/>
      <c r="IGI36" s="427"/>
      <c r="IGJ36" s="424"/>
      <c r="IGK36" s="427"/>
      <c r="IGL36" s="424"/>
      <c r="IGM36" s="427"/>
      <c r="IGN36" s="424"/>
      <c r="IGO36" s="427"/>
      <c r="IGP36" s="424"/>
      <c r="IGQ36" s="427"/>
      <c r="IGR36" s="424"/>
      <c r="IGS36" s="427"/>
      <c r="IGT36" s="424"/>
      <c r="IGU36" s="427"/>
      <c r="IGV36" s="424"/>
      <c r="IGW36" s="427"/>
      <c r="IGX36" s="424"/>
      <c r="IGY36" s="427"/>
      <c r="IGZ36" s="424"/>
      <c r="IHA36" s="427"/>
      <c r="IHB36" s="424"/>
      <c r="IHC36" s="427"/>
      <c r="IHD36" s="424"/>
      <c r="IHE36" s="427"/>
      <c r="IHF36" s="424"/>
      <c r="IHG36" s="427"/>
      <c r="IHH36" s="424"/>
      <c r="IHI36" s="427"/>
      <c r="IHJ36" s="424"/>
      <c r="IHK36" s="427"/>
      <c r="IHL36" s="424"/>
      <c r="IHM36" s="427"/>
      <c r="IHN36" s="424"/>
      <c r="IHO36" s="427"/>
      <c r="IHP36" s="424"/>
      <c r="IHQ36" s="427"/>
      <c r="IHR36" s="424"/>
      <c r="IHS36" s="427"/>
      <c r="IHT36" s="424"/>
      <c r="IHU36" s="427"/>
      <c r="IHV36" s="424"/>
      <c r="IHW36" s="427"/>
      <c r="IHX36" s="424"/>
      <c r="IHY36" s="427"/>
      <c r="IHZ36" s="424"/>
      <c r="IIA36" s="427"/>
      <c r="IIB36" s="424"/>
      <c r="IIC36" s="427"/>
      <c r="IID36" s="424"/>
      <c r="IIE36" s="427"/>
      <c r="IIF36" s="424"/>
      <c r="IIG36" s="427"/>
      <c r="IIH36" s="424"/>
      <c r="III36" s="427"/>
      <c r="IIJ36" s="424"/>
      <c r="IIK36" s="427"/>
      <c r="IIL36" s="424"/>
      <c r="IIM36" s="427"/>
      <c r="IIN36" s="424"/>
      <c r="IIO36" s="427"/>
      <c r="IIP36" s="424"/>
      <c r="IIQ36" s="427"/>
      <c r="IIR36" s="424"/>
      <c r="IIS36" s="427"/>
      <c r="IIT36" s="424"/>
      <c r="IIU36" s="427"/>
      <c r="IIV36" s="424"/>
      <c r="IIW36" s="427"/>
      <c r="IIX36" s="424"/>
      <c r="IIY36" s="427"/>
      <c r="IIZ36" s="424"/>
      <c r="IJA36" s="427"/>
      <c r="IJB36" s="424"/>
      <c r="IJC36" s="427"/>
      <c r="IJD36" s="424"/>
      <c r="IJE36" s="427"/>
      <c r="IJF36" s="424"/>
      <c r="IJG36" s="427"/>
      <c r="IJH36" s="424"/>
      <c r="IJI36" s="427"/>
      <c r="IJJ36" s="424"/>
      <c r="IJK36" s="427"/>
      <c r="IJL36" s="424"/>
      <c r="IJM36" s="427"/>
      <c r="IJN36" s="424"/>
      <c r="IJO36" s="427"/>
      <c r="IJP36" s="424"/>
      <c r="IJQ36" s="427"/>
      <c r="IJR36" s="424"/>
      <c r="IJS36" s="427"/>
      <c r="IJT36" s="424"/>
      <c r="IJU36" s="427"/>
      <c r="IJV36" s="424"/>
      <c r="IJW36" s="427"/>
      <c r="IJX36" s="424"/>
      <c r="IJY36" s="427"/>
      <c r="IJZ36" s="424"/>
      <c r="IKA36" s="427"/>
      <c r="IKB36" s="424"/>
      <c r="IKC36" s="427"/>
      <c r="IKD36" s="424"/>
      <c r="IKE36" s="427"/>
      <c r="IKF36" s="424"/>
      <c r="IKG36" s="427"/>
      <c r="IKH36" s="424"/>
      <c r="IKI36" s="427"/>
      <c r="IKJ36" s="424"/>
      <c r="IKK36" s="427"/>
      <c r="IKL36" s="424"/>
      <c r="IKM36" s="427"/>
      <c r="IKN36" s="424"/>
      <c r="IKO36" s="427"/>
      <c r="IKP36" s="424"/>
      <c r="IKQ36" s="427"/>
      <c r="IKR36" s="424"/>
      <c r="IKS36" s="427"/>
      <c r="IKT36" s="424"/>
      <c r="IKU36" s="427"/>
      <c r="IKV36" s="424"/>
      <c r="IKW36" s="427"/>
      <c r="IKX36" s="424"/>
      <c r="IKY36" s="427"/>
      <c r="IKZ36" s="424"/>
      <c r="ILA36" s="427"/>
      <c r="ILB36" s="424"/>
      <c r="ILC36" s="427"/>
      <c r="ILD36" s="424"/>
      <c r="ILE36" s="427"/>
      <c r="ILF36" s="424"/>
      <c r="ILG36" s="427"/>
      <c r="ILH36" s="424"/>
      <c r="ILI36" s="427"/>
      <c r="ILJ36" s="424"/>
      <c r="ILK36" s="427"/>
      <c r="ILL36" s="424"/>
      <c r="ILM36" s="427"/>
      <c r="ILN36" s="424"/>
      <c r="ILO36" s="427"/>
      <c r="ILP36" s="424"/>
      <c r="ILQ36" s="427"/>
      <c r="ILR36" s="424"/>
      <c r="ILS36" s="427"/>
      <c r="ILT36" s="424"/>
      <c r="ILU36" s="427"/>
      <c r="ILV36" s="424"/>
      <c r="ILW36" s="427"/>
      <c r="ILX36" s="424"/>
      <c r="ILY36" s="427"/>
      <c r="ILZ36" s="424"/>
      <c r="IMA36" s="427"/>
      <c r="IMB36" s="424"/>
      <c r="IMC36" s="427"/>
      <c r="IMD36" s="424"/>
      <c r="IME36" s="427"/>
      <c r="IMF36" s="424"/>
      <c r="IMG36" s="427"/>
      <c r="IMH36" s="424"/>
      <c r="IMI36" s="427"/>
      <c r="IMJ36" s="424"/>
      <c r="IMK36" s="427"/>
      <c r="IML36" s="424"/>
      <c r="IMM36" s="427"/>
      <c r="IMN36" s="424"/>
      <c r="IMO36" s="427"/>
      <c r="IMP36" s="424"/>
      <c r="IMQ36" s="427"/>
      <c r="IMR36" s="424"/>
      <c r="IMS36" s="427"/>
      <c r="IMT36" s="424"/>
      <c r="IMU36" s="427"/>
      <c r="IMV36" s="424"/>
      <c r="IMW36" s="427"/>
      <c r="IMX36" s="424"/>
      <c r="IMY36" s="427"/>
      <c r="IMZ36" s="424"/>
      <c r="INA36" s="427"/>
      <c r="INB36" s="424"/>
      <c r="INC36" s="427"/>
      <c r="IND36" s="424"/>
      <c r="INE36" s="427"/>
      <c r="INF36" s="424"/>
      <c r="ING36" s="427"/>
      <c r="INH36" s="424"/>
      <c r="INI36" s="427"/>
      <c r="INJ36" s="424"/>
      <c r="INK36" s="427"/>
      <c r="INL36" s="424"/>
      <c r="INM36" s="427"/>
      <c r="INN36" s="424"/>
      <c r="INO36" s="427"/>
      <c r="INP36" s="424"/>
      <c r="INQ36" s="427"/>
      <c r="INR36" s="424"/>
      <c r="INS36" s="427"/>
      <c r="INT36" s="424"/>
      <c r="INU36" s="427"/>
      <c r="INV36" s="424"/>
      <c r="INW36" s="427"/>
      <c r="INX36" s="424"/>
      <c r="INY36" s="427"/>
      <c r="INZ36" s="424"/>
      <c r="IOA36" s="427"/>
      <c r="IOB36" s="424"/>
      <c r="IOC36" s="427"/>
      <c r="IOD36" s="424"/>
      <c r="IOE36" s="427"/>
      <c r="IOF36" s="424"/>
      <c r="IOG36" s="427"/>
      <c r="IOH36" s="424"/>
      <c r="IOI36" s="427"/>
      <c r="IOJ36" s="424"/>
      <c r="IOK36" s="427"/>
      <c r="IOL36" s="424"/>
      <c r="IOM36" s="427"/>
      <c r="ION36" s="424"/>
      <c r="IOO36" s="427"/>
      <c r="IOP36" s="424"/>
      <c r="IOQ36" s="427"/>
      <c r="IOR36" s="424"/>
      <c r="IOS36" s="427"/>
      <c r="IOT36" s="424"/>
      <c r="IOU36" s="427"/>
      <c r="IOV36" s="424"/>
      <c r="IOW36" s="427"/>
      <c r="IOX36" s="424"/>
      <c r="IOY36" s="427"/>
      <c r="IOZ36" s="424"/>
      <c r="IPA36" s="427"/>
      <c r="IPB36" s="424"/>
      <c r="IPC36" s="427"/>
      <c r="IPD36" s="424"/>
      <c r="IPE36" s="427"/>
      <c r="IPF36" s="424"/>
      <c r="IPG36" s="427"/>
      <c r="IPH36" s="424"/>
      <c r="IPI36" s="427"/>
      <c r="IPJ36" s="424"/>
      <c r="IPK36" s="427"/>
      <c r="IPL36" s="424"/>
      <c r="IPM36" s="427"/>
      <c r="IPN36" s="424"/>
      <c r="IPO36" s="427"/>
      <c r="IPP36" s="424"/>
      <c r="IPQ36" s="427"/>
      <c r="IPR36" s="424"/>
      <c r="IPS36" s="427"/>
      <c r="IPT36" s="424"/>
      <c r="IPU36" s="427"/>
      <c r="IPV36" s="424"/>
      <c r="IPW36" s="427"/>
      <c r="IPX36" s="424"/>
      <c r="IPY36" s="427"/>
      <c r="IPZ36" s="424"/>
      <c r="IQA36" s="427"/>
      <c r="IQB36" s="424"/>
      <c r="IQC36" s="427"/>
      <c r="IQD36" s="424"/>
      <c r="IQE36" s="427"/>
      <c r="IQF36" s="424"/>
      <c r="IQG36" s="427"/>
      <c r="IQH36" s="424"/>
      <c r="IQI36" s="427"/>
      <c r="IQJ36" s="424"/>
      <c r="IQK36" s="427"/>
      <c r="IQL36" s="424"/>
      <c r="IQM36" s="427"/>
      <c r="IQN36" s="424"/>
      <c r="IQO36" s="427"/>
      <c r="IQP36" s="424"/>
      <c r="IQQ36" s="427"/>
      <c r="IQR36" s="424"/>
      <c r="IQS36" s="427"/>
      <c r="IQT36" s="424"/>
      <c r="IQU36" s="427"/>
      <c r="IQV36" s="424"/>
      <c r="IQW36" s="427"/>
      <c r="IQX36" s="424"/>
      <c r="IQY36" s="427"/>
      <c r="IQZ36" s="424"/>
      <c r="IRA36" s="427"/>
      <c r="IRB36" s="424"/>
      <c r="IRC36" s="427"/>
      <c r="IRD36" s="424"/>
      <c r="IRE36" s="427"/>
      <c r="IRF36" s="424"/>
      <c r="IRG36" s="427"/>
      <c r="IRH36" s="424"/>
      <c r="IRI36" s="427"/>
      <c r="IRJ36" s="424"/>
      <c r="IRK36" s="427"/>
      <c r="IRL36" s="424"/>
      <c r="IRM36" s="427"/>
      <c r="IRN36" s="424"/>
      <c r="IRO36" s="427"/>
      <c r="IRP36" s="424"/>
      <c r="IRQ36" s="427"/>
      <c r="IRR36" s="424"/>
      <c r="IRS36" s="427"/>
      <c r="IRT36" s="424"/>
      <c r="IRU36" s="427"/>
      <c r="IRV36" s="424"/>
      <c r="IRW36" s="427"/>
      <c r="IRX36" s="424"/>
      <c r="IRY36" s="427"/>
      <c r="IRZ36" s="424"/>
      <c r="ISA36" s="427"/>
      <c r="ISB36" s="424"/>
      <c r="ISC36" s="427"/>
      <c r="ISD36" s="424"/>
      <c r="ISE36" s="427"/>
      <c r="ISF36" s="424"/>
      <c r="ISG36" s="427"/>
      <c r="ISH36" s="424"/>
      <c r="ISI36" s="427"/>
      <c r="ISJ36" s="424"/>
      <c r="ISK36" s="427"/>
      <c r="ISL36" s="424"/>
      <c r="ISM36" s="427"/>
      <c r="ISN36" s="424"/>
      <c r="ISO36" s="427"/>
      <c r="ISP36" s="424"/>
      <c r="ISQ36" s="427"/>
      <c r="ISR36" s="424"/>
      <c r="ISS36" s="427"/>
      <c r="IST36" s="424"/>
      <c r="ISU36" s="427"/>
      <c r="ISV36" s="424"/>
      <c r="ISW36" s="427"/>
      <c r="ISX36" s="424"/>
      <c r="ISY36" s="427"/>
      <c r="ISZ36" s="424"/>
      <c r="ITA36" s="427"/>
      <c r="ITB36" s="424"/>
      <c r="ITC36" s="427"/>
      <c r="ITD36" s="424"/>
      <c r="ITE36" s="427"/>
      <c r="ITF36" s="424"/>
      <c r="ITG36" s="427"/>
      <c r="ITH36" s="424"/>
      <c r="ITI36" s="427"/>
      <c r="ITJ36" s="424"/>
      <c r="ITK36" s="427"/>
      <c r="ITL36" s="424"/>
      <c r="ITM36" s="427"/>
      <c r="ITN36" s="424"/>
      <c r="ITO36" s="427"/>
      <c r="ITP36" s="424"/>
      <c r="ITQ36" s="427"/>
      <c r="ITR36" s="424"/>
      <c r="ITS36" s="427"/>
      <c r="ITT36" s="424"/>
      <c r="ITU36" s="427"/>
      <c r="ITV36" s="424"/>
      <c r="ITW36" s="427"/>
      <c r="ITX36" s="424"/>
      <c r="ITY36" s="427"/>
      <c r="ITZ36" s="424"/>
      <c r="IUA36" s="427"/>
      <c r="IUB36" s="424"/>
      <c r="IUC36" s="427"/>
      <c r="IUD36" s="424"/>
      <c r="IUE36" s="427"/>
      <c r="IUF36" s="424"/>
      <c r="IUG36" s="427"/>
      <c r="IUH36" s="424"/>
      <c r="IUI36" s="427"/>
      <c r="IUJ36" s="424"/>
      <c r="IUK36" s="427"/>
      <c r="IUL36" s="424"/>
      <c r="IUM36" s="427"/>
      <c r="IUN36" s="424"/>
      <c r="IUO36" s="427"/>
      <c r="IUP36" s="424"/>
      <c r="IUQ36" s="427"/>
      <c r="IUR36" s="424"/>
      <c r="IUS36" s="427"/>
      <c r="IUT36" s="424"/>
      <c r="IUU36" s="427"/>
      <c r="IUV36" s="424"/>
      <c r="IUW36" s="427"/>
      <c r="IUX36" s="424"/>
      <c r="IUY36" s="427"/>
      <c r="IUZ36" s="424"/>
      <c r="IVA36" s="427"/>
      <c r="IVB36" s="424"/>
      <c r="IVC36" s="427"/>
      <c r="IVD36" s="424"/>
      <c r="IVE36" s="427"/>
      <c r="IVF36" s="424"/>
      <c r="IVG36" s="427"/>
      <c r="IVH36" s="424"/>
      <c r="IVI36" s="427"/>
      <c r="IVJ36" s="424"/>
      <c r="IVK36" s="427"/>
      <c r="IVL36" s="424"/>
      <c r="IVM36" s="427"/>
      <c r="IVN36" s="424"/>
      <c r="IVO36" s="427"/>
      <c r="IVP36" s="424"/>
      <c r="IVQ36" s="427"/>
      <c r="IVR36" s="424"/>
      <c r="IVS36" s="427"/>
      <c r="IVT36" s="424"/>
      <c r="IVU36" s="427"/>
      <c r="IVV36" s="424"/>
      <c r="IVW36" s="427"/>
      <c r="IVX36" s="424"/>
      <c r="IVY36" s="427"/>
      <c r="IVZ36" s="424"/>
      <c r="IWA36" s="427"/>
      <c r="IWB36" s="424"/>
      <c r="IWC36" s="427"/>
      <c r="IWD36" s="424"/>
      <c r="IWE36" s="427"/>
      <c r="IWF36" s="424"/>
      <c r="IWG36" s="427"/>
      <c r="IWH36" s="424"/>
      <c r="IWI36" s="427"/>
      <c r="IWJ36" s="424"/>
      <c r="IWK36" s="427"/>
      <c r="IWL36" s="424"/>
      <c r="IWM36" s="427"/>
      <c r="IWN36" s="424"/>
      <c r="IWO36" s="427"/>
      <c r="IWP36" s="424"/>
      <c r="IWQ36" s="427"/>
      <c r="IWR36" s="424"/>
      <c r="IWS36" s="427"/>
      <c r="IWT36" s="424"/>
      <c r="IWU36" s="427"/>
      <c r="IWV36" s="424"/>
      <c r="IWW36" s="427"/>
      <c r="IWX36" s="424"/>
      <c r="IWY36" s="427"/>
      <c r="IWZ36" s="424"/>
      <c r="IXA36" s="427"/>
      <c r="IXB36" s="424"/>
      <c r="IXC36" s="427"/>
      <c r="IXD36" s="424"/>
      <c r="IXE36" s="427"/>
      <c r="IXF36" s="424"/>
      <c r="IXG36" s="427"/>
      <c r="IXH36" s="424"/>
      <c r="IXI36" s="427"/>
      <c r="IXJ36" s="424"/>
      <c r="IXK36" s="427"/>
      <c r="IXL36" s="424"/>
      <c r="IXM36" s="427"/>
      <c r="IXN36" s="424"/>
      <c r="IXO36" s="427"/>
      <c r="IXP36" s="424"/>
      <c r="IXQ36" s="427"/>
      <c r="IXR36" s="424"/>
      <c r="IXS36" s="427"/>
      <c r="IXT36" s="424"/>
      <c r="IXU36" s="427"/>
      <c r="IXV36" s="424"/>
      <c r="IXW36" s="427"/>
      <c r="IXX36" s="424"/>
      <c r="IXY36" s="427"/>
      <c r="IXZ36" s="424"/>
      <c r="IYA36" s="427"/>
      <c r="IYB36" s="424"/>
      <c r="IYC36" s="427"/>
      <c r="IYD36" s="424"/>
      <c r="IYE36" s="427"/>
      <c r="IYF36" s="424"/>
      <c r="IYG36" s="427"/>
      <c r="IYH36" s="424"/>
      <c r="IYI36" s="427"/>
      <c r="IYJ36" s="424"/>
      <c r="IYK36" s="427"/>
      <c r="IYL36" s="424"/>
      <c r="IYM36" s="427"/>
      <c r="IYN36" s="424"/>
      <c r="IYO36" s="427"/>
      <c r="IYP36" s="424"/>
      <c r="IYQ36" s="427"/>
      <c r="IYR36" s="424"/>
      <c r="IYS36" s="427"/>
      <c r="IYT36" s="424"/>
      <c r="IYU36" s="427"/>
      <c r="IYV36" s="424"/>
      <c r="IYW36" s="427"/>
      <c r="IYX36" s="424"/>
      <c r="IYY36" s="427"/>
      <c r="IYZ36" s="424"/>
      <c r="IZA36" s="427"/>
      <c r="IZB36" s="424"/>
      <c r="IZC36" s="427"/>
      <c r="IZD36" s="424"/>
      <c r="IZE36" s="427"/>
      <c r="IZF36" s="424"/>
      <c r="IZG36" s="427"/>
      <c r="IZH36" s="424"/>
      <c r="IZI36" s="427"/>
      <c r="IZJ36" s="424"/>
      <c r="IZK36" s="427"/>
      <c r="IZL36" s="424"/>
      <c r="IZM36" s="427"/>
      <c r="IZN36" s="424"/>
      <c r="IZO36" s="427"/>
      <c r="IZP36" s="424"/>
      <c r="IZQ36" s="427"/>
      <c r="IZR36" s="424"/>
      <c r="IZS36" s="427"/>
      <c r="IZT36" s="424"/>
      <c r="IZU36" s="427"/>
      <c r="IZV36" s="424"/>
      <c r="IZW36" s="427"/>
      <c r="IZX36" s="424"/>
      <c r="IZY36" s="427"/>
      <c r="IZZ36" s="424"/>
      <c r="JAA36" s="427"/>
      <c r="JAB36" s="424"/>
      <c r="JAC36" s="427"/>
      <c r="JAD36" s="424"/>
      <c r="JAE36" s="427"/>
      <c r="JAF36" s="424"/>
      <c r="JAG36" s="427"/>
      <c r="JAH36" s="424"/>
      <c r="JAI36" s="427"/>
      <c r="JAJ36" s="424"/>
      <c r="JAK36" s="427"/>
      <c r="JAL36" s="424"/>
      <c r="JAM36" s="427"/>
      <c r="JAN36" s="424"/>
      <c r="JAO36" s="427"/>
      <c r="JAP36" s="424"/>
      <c r="JAQ36" s="427"/>
      <c r="JAR36" s="424"/>
      <c r="JAS36" s="427"/>
      <c r="JAT36" s="424"/>
      <c r="JAU36" s="427"/>
      <c r="JAV36" s="424"/>
      <c r="JAW36" s="427"/>
      <c r="JAX36" s="424"/>
      <c r="JAY36" s="427"/>
      <c r="JAZ36" s="424"/>
      <c r="JBA36" s="427"/>
      <c r="JBB36" s="424"/>
      <c r="JBC36" s="427"/>
      <c r="JBD36" s="424"/>
      <c r="JBE36" s="427"/>
      <c r="JBF36" s="424"/>
      <c r="JBG36" s="427"/>
      <c r="JBH36" s="424"/>
      <c r="JBI36" s="427"/>
      <c r="JBJ36" s="424"/>
      <c r="JBK36" s="427"/>
      <c r="JBL36" s="424"/>
      <c r="JBM36" s="427"/>
      <c r="JBN36" s="424"/>
      <c r="JBO36" s="427"/>
      <c r="JBP36" s="424"/>
      <c r="JBQ36" s="427"/>
      <c r="JBR36" s="424"/>
      <c r="JBS36" s="427"/>
      <c r="JBT36" s="424"/>
      <c r="JBU36" s="427"/>
      <c r="JBV36" s="424"/>
      <c r="JBW36" s="427"/>
      <c r="JBX36" s="424"/>
      <c r="JBY36" s="427"/>
      <c r="JBZ36" s="424"/>
      <c r="JCA36" s="427"/>
      <c r="JCB36" s="424"/>
      <c r="JCC36" s="427"/>
      <c r="JCD36" s="424"/>
      <c r="JCE36" s="427"/>
      <c r="JCF36" s="424"/>
      <c r="JCG36" s="427"/>
      <c r="JCH36" s="424"/>
      <c r="JCI36" s="427"/>
      <c r="JCJ36" s="424"/>
      <c r="JCK36" s="427"/>
      <c r="JCL36" s="424"/>
      <c r="JCM36" s="427"/>
      <c r="JCN36" s="424"/>
      <c r="JCO36" s="427"/>
      <c r="JCP36" s="424"/>
      <c r="JCQ36" s="427"/>
      <c r="JCR36" s="424"/>
      <c r="JCS36" s="427"/>
      <c r="JCT36" s="424"/>
      <c r="JCU36" s="427"/>
      <c r="JCV36" s="424"/>
      <c r="JCW36" s="427"/>
      <c r="JCX36" s="424"/>
      <c r="JCY36" s="427"/>
      <c r="JCZ36" s="424"/>
      <c r="JDA36" s="427"/>
      <c r="JDB36" s="424"/>
      <c r="JDC36" s="427"/>
      <c r="JDD36" s="424"/>
      <c r="JDE36" s="427"/>
      <c r="JDF36" s="424"/>
      <c r="JDG36" s="427"/>
      <c r="JDH36" s="424"/>
      <c r="JDI36" s="427"/>
      <c r="JDJ36" s="424"/>
      <c r="JDK36" s="427"/>
      <c r="JDL36" s="424"/>
      <c r="JDM36" s="427"/>
      <c r="JDN36" s="424"/>
      <c r="JDO36" s="427"/>
      <c r="JDP36" s="424"/>
      <c r="JDQ36" s="427"/>
      <c r="JDR36" s="424"/>
      <c r="JDS36" s="427"/>
      <c r="JDT36" s="424"/>
      <c r="JDU36" s="427"/>
      <c r="JDV36" s="424"/>
      <c r="JDW36" s="427"/>
      <c r="JDX36" s="424"/>
      <c r="JDY36" s="427"/>
      <c r="JDZ36" s="424"/>
      <c r="JEA36" s="427"/>
      <c r="JEB36" s="424"/>
      <c r="JEC36" s="427"/>
      <c r="JED36" s="424"/>
      <c r="JEE36" s="427"/>
      <c r="JEF36" s="424"/>
      <c r="JEG36" s="427"/>
      <c r="JEH36" s="424"/>
      <c r="JEI36" s="427"/>
      <c r="JEJ36" s="424"/>
      <c r="JEK36" s="427"/>
      <c r="JEL36" s="424"/>
      <c r="JEM36" s="427"/>
      <c r="JEN36" s="424"/>
      <c r="JEO36" s="427"/>
      <c r="JEP36" s="424"/>
      <c r="JEQ36" s="427"/>
      <c r="JER36" s="424"/>
      <c r="JES36" s="427"/>
      <c r="JET36" s="424"/>
      <c r="JEU36" s="427"/>
      <c r="JEV36" s="424"/>
      <c r="JEW36" s="427"/>
      <c r="JEX36" s="424"/>
      <c r="JEY36" s="427"/>
      <c r="JEZ36" s="424"/>
      <c r="JFA36" s="427"/>
      <c r="JFB36" s="424"/>
      <c r="JFC36" s="427"/>
      <c r="JFD36" s="424"/>
      <c r="JFE36" s="427"/>
      <c r="JFF36" s="424"/>
      <c r="JFG36" s="427"/>
      <c r="JFH36" s="424"/>
      <c r="JFI36" s="427"/>
      <c r="JFJ36" s="424"/>
      <c r="JFK36" s="427"/>
      <c r="JFL36" s="424"/>
      <c r="JFM36" s="427"/>
      <c r="JFN36" s="424"/>
      <c r="JFO36" s="427"/>
      <c r="JFP36" s="424"/>
      <c r="JFQ36" s="427"/>
      <c r="JFR36" s="424"/>
      <c r="JFS36" s="427"/>
      <c r="JFT36" s="424"/>
      <c r="JFU36" s="427"/>
      <c r="JFV36" s="424"/>
      <c r="JFW36" s="427"/>
      <c r="JFX36" s="424"/>
      <c r="JFY36" s="427"/>
      <c r="JFZ36" s="424"/>
      <c r="JGA36" s="427"/>
      <c r="JGB36" s="424"/>
      <c r="JGC36" s="427"/>
      <c r="JGD36" s="424"/>
      <c r="JGE36" s="427"/>
      <c r="JGF36" s="424"/>
      <c r="JGG36" s="427"/>
      <c r="JGH36" s="424"/>
      <c r="JGI36" s="427"/>
      <c r="JGJ36" s="424"/>
      <c r="JGK36" s="427"/>
      <c r="JGL36" s="424"/>
      <c r="JGM36" s="427"/>
      <c r="JGN36" s="424"/>
      <c r="JGO36" s="427"/>
      <c r="JGP36" s="424"/>
      <c r="JGQ36" s="427"/>
      <c r="JGR36" s="424"/>
      <c r="JGS36" s="427"/>
      <c r="JGT36" s="424"/>
      <c r="JGU36" s="427"/>
      <c r="JGV36" s="424"/>
      <c r="JGW36" s="427"/>
      <c r="JGX36" s="424"/>
      <c r="JGY36" s="427"/>
      <c r="JGZ36" s="424"/>
      <c r="JHA36" s="427"/>
      <c r="JHB36" s="424"/>
      <c r="JHC36" s="427"/>
      <c r="JHD36" s="424"/>
      <c r="JHE36" s="427"/>
      <c r="JHF36" s="424"/>
      <c r="JHG36" s="427"/>
      <c r="JHH36" s="424"/>
      <c r="JHI36" s="427"/>
      <c r="JHJ36" s="424"/>
      <c r="JHK36" s="427"/>
      <c r="JHL36" s="424"/>
      <c r="JHM36" s="427"/>
      <c r="JHN36" s="424"/>
      <c r="JHO36" s="427"/>
      <c r="JHP36" s="424"/>
      <c r="JHQ36" s="427"/>
      <c r="JHR36" s="424"/>
      <c r="JHS36" s="427"/>
      <c r="JHT36" s="424"/>
      <c r="JHU36" s="427"/>
      <c r="JHV36" s="424"/>
      <c r="JHW36" s="427"/>
      <c r="JHX36" s="424"/>
      <c r="JHY36" s="427"/>
      <c r="JHZ36" s="424"/>
      <c r="JIA36" s="427"/>
      <c r="JIB36" s="424"/>
      <c r="JIC36" s="427"/>
      <c r="JID36" s="424"/>
      <c r="JIE36" s="427"/>
      <c r="JIF36" s="424"/>
      <c r="JIG36" s="427"/>
      <c r="JIH36" s="424"/>
      <c r="JII36" s="427"/>
      <c r="JIJ36" s="424"/>
      <c r="JIK36" s="427"/>
      <c r="JIL36" s="424"/>
      <c r="JIM36" s="427"/>
      <c r="JIN36" s="424"/>
      <c r="JIO36" s="427"/>
      <c r="JIP36" s="424"/>
      <c r="JIQ36" s="427"/>
      <c r="JIR36" s="424"/>
      <c r="JIS36" s="427"/>
      <c r="JIT36" s="424"/>
      <c r="JIU36" s="427"/>
      <c r="JIV36" s="424"/>
      <c r="JIW36" s="427"/>
      <c r="JIX36" s="424"/>
      <c r="JIY36" s="427"/>
      <c r="JIZ36" s="424"/>
      <c r="JJA36" s="427"/>
      <c r="JJB36" s="424"/>
      <c r="JJC36" s="427"/>
      <c r="JJD36" s="424"/>
      <c r="JJE36" s="427"/>
      <c r="JJF36" s="424"/>
      <c r="JJG36" s="427"/>
      <c r="JJH36" s="424"/>
      <c r="JJI36" s="427"/>
      <c r="JJJ36" s="424"/>
      <c r="JJK36" s="427"/>
      <c r="JJL36" s="424"/>
      <c r="JJM36" s="427"/>
      <c r="JJN36" s="424"/>
      <c r="JJO36" s="427"/>
      <c r="JJP36" s="424"/>
      <c r="JJQ36" s="427"/>
      <c r="JJR36" s="424"/>
      <c r="JJS36" s="427"/>
      <c r="JJT36" s="424"/>
      <c r="JJU36" s="427"/>
      <c r="JJV36" s="424"/>
      <c r="JJW36" s="427"/>
      <c r="JJX36" s="424"/>
      <c r="JJY36" s="427"/>
      <c r="JJZ36" s="424"/>
      <c r="JKA36" s="427"/>
      <c r="JKB36" s="424"/>
      <c r="JKC36" s="427"/>
      <c r="JKD36" s="424"/>
      <c r="JKE36" s="427"/>
      <c r="JKF36" s="424"/>
      <c r="JKG36" s="427"/>
      <c r="JKH36" s="424"/>
      <c r="JKI36" s="427"/>
      <c r="JKJ36" s="424"/>
      <c r="JKK36" s="427"/>
      <c r="JKL36" s="424"/>
      <c r="JKM36" s="427"/>
      <c r="JKN36" s="424"/>
      <c r="JKO36" s="427"/>
      <c r="JKP36" s="424"/>
      <c r="JKQ36" s="427"/>
      <c r="JKR36" s="424"/>
      <c r="JKS36" s="427"/>
      <c r="JKT36" s="424"/>
      <c r="JKU36" s="427"/>
      <c r="JKV36" s="424"/>
      <c r="JKW36" s="427"/>
      <c r="JKX36" s="424"/>
      <c r="JKY36" s="427"/>
      <c r="JKZ36" s="424"/>
      <c r="JLA36" s="427"/>
      <c r="JLB36" s="424"/>
      <c r="JLC36" s="427"/>
      <c r="JLD36" s="424"/>
      <c r="JLE36" s="427"/>
      <c r="JLF36" s="424"/>
      <c r="JLG36" s="427"/>
      <c r="JLH36" s="424"/>
      <c r="JLI36" s="427"/>
      <c r="JLJ36" s="424"/>
      <c r="JLK36" s="427"/>
      <c r="JLL36" s="424"/>
      <c r="JLM36" s="427"/>
      <c r="JLN36" s="424"/>
      <c r="JLO36" s="427"/>
      <c r="JLP36" s="424"/>
      <c r="JLQ36" s="427"/>
      <c r="JLR36" s="424"/>
      <c r="JLS36" s="427"/>
      <c r="JLT36" s="424"/>
      <c r="JLU36" s="427"/>
      <c r="JLV36" s="424"/>
      <c r="JLW36" s="427"/>
      <c r="JLX36" s="424"/>
      <c r="JLY36" s="427"/>
      <c r="JLZ36" s="424"/>
      <c r="JMA36" s="427"/>
      <c r="JMB36" s="424"/>
      <c r="JMC36" s="427"/>
      <c r="JMD36" s="424"/>
      <c r="JME36" s="427"/>
      <c r="JMF36" s="424"/>
      <c r="JMG36" s="427"/>
      <c r="JMH36" s="424"/>
      <c r="JMI36" s="427"/>
      <c r="JMJ36" s="424"/>
      <c r="JMK36" s="427"/>
      <c r="JML36" s="424"/>
      <c r="JMM36" s="427"/>
      <c r="JMN36" s="424"/>
      <c r="JMO36" s="427"/>
      <c r="JMP36" s="424"/>
      <c r="JMQ36" s="427"/>
      <c r="JMR36" s="424"/>
      <c r="JMS36" s="427"/>
      <c r="JMT36" s="424"/>
      <c r="JMU36" s="427"/>
      <c r="JMV36" s="424"/>
      <c r="JMW36" s="427"/>
      <c r="JMX36" s="424"/>
      <c r="JMY36" s="427"/>
      <c r="JMZ36" s="424"/>
      <c r="JNA36" s="427"/>
      <c r="JNB36" s="424"/>
      <c r="JNC36" s="427"/>
      <c r="JND36" s="424"/>
      <c r="JNE36" s="427"/>
      <c r="JNF36" s="424"/>
      <c r="JNG36" s="427"/>
      <c r="JNH36" s="424"/>
      <c r="JNI36" s="427"/>
      <c r="JNJ36" s="424"/>
      <c r="JNK36" s="427"/>
      <c r="JNL36" s="424"/>
      <c r="JNM36" s="427"/>
      <c r="JNN36" s="424"/>
      <c r="JNO36" s="427"/>
      <c r="JNP36" s="424"/>
      <c r="JNQ36" s="427"/>
      <c r="JNR36" s="424"/>
      <c r="JNS36" s="427"/>
      <c r="JNT36" s="424"/>
      <c r="JNU36" s="427"/>
      <c r="JNV36" s="424"/>
      <c r="JNW36" s="427"/>
      <c r="JNX36" s="424"/>
      <c r="JNY36" s="427"/>
      <c r="JNZ36" s="424"/>
      <c r="JOA36" s="427"/>
      <c r="JOB36" s="424"/>
      <c r="JOC36" s="427"/>
      <c r="JOD36" s="424"/>
      <c r="JOE36" s="427"/>
      <c r="JOF36" s="424"/>
      <c r="JOG36" s="427"/>
      <c r="JOH36" s="424"/>
      <c r="JOI36" s="427"/>
      <c r="JOJ36" s="424"/>
      <c r="JOK36" s="427"/>
      <c r="JOL36" s="424"/>
      <c r="JOM36" s="427"/>
      <c r="JON36" s="424"/>
      <c r="JOO36" s="427"/>
      <c r="JOP36" s="424"/>
      <c r="JOQ36" s="427"/>
      <c r="JOR36" s="424"/>
      <c r="JOS36" s="427"/>
      <c r="JOT36" s="424"/>
      <c r="JOU36" s="427"/>
      <c r="JOV36" s="424"/>
      <c r="JOW36" s="427"/>
      <c r="JOX36" s="424"/>
      <c r="JOY36" s="427"/>
      <c r="JOZ36" s="424"/>
      <c r="JPA36" s="427"/>
      <c r="JPB36" s="424"/>
      <c r="JPC36" s="427"/>
      <c r="JPD36" s="424"/>
      <c r="JPE36" s="427"/>
      <c r="JPF36" s="424"/>
      <c r="JPG36" s="427"/>
      <c r="JPH36" s="424"/>
      <c r="JPI36" s="427"/>
      <c r="JPJ36" s="424"/>
      <c r="JPK36" s="427"/>
      <c r="JPL36" s="424"/>
      <c r="JPM36" s="427"/>
      <c r="JPN36" s="424"/>
      <c r="JPO36" s="427"/>
      <c r="JPP36" s="424"/>
      <c r="JPQ36" s="427"/>
      <c r="JPR36" s="424"/>
      <c r="JPS36" s="427"/>
      <c r="JPT36" s="424"/>
      <c r="JPU36" s="427"/>
      <c r="JPV36" s="424"/>
      <c r="JPW36" s="427"/>
      <c r="JPX36" s="424"/>
      <c r="JPY36" s="427"/>
      <c r="JPZ36" s="424"/>
      <c r="JQA36" s="427"/>
      <c r="JQB36" s="424"/>
      <c r="JQC36" s="427"/>
      <c r="JQD36" s="424"/>
      <c r="JQE36" s="427"/>
      <c r="JQF36" s="424"/>
      <c r="JQG36" s="427"/>
      <c r="JQH36" s="424"/>
      <c r="JQI36" s="427"/>
      <c r="JQJ36" s="424"/>
      <c r="JQK36" s="427"/>
      <c r="JQL36" s="424"/>
      <c r="JQM36" s="427"/>
      <c r="JQN36" s="424"/>
      <c r="JQO36" s="427"/>
      <c r="JQP36" s="424"/>
      <c r="JQQ36" s="427"/>
      <c r="JQR36" s="424"/>
      <c r="JQS36" s="427"/>
      <c r="JQT36" s="424"/>
      <c r="JQU36" s="427"/>
      <c r="JQV36" s="424"/>
      <c r="JQW36" s="427"/>
      <c r="JQX36" s="424"/>
      <c r="JQY36" s="427"/>
      <c r="JQZ36" s="424"/>
      <c r="JRA36" s="427"/>
      <c r="JRB36" s="424"/>
      <c r="JRC36" s="427"/>
      <c r="JRD36" s="424"/>
      <c r="JRE36" s="427"/>
      <c r="JRF36" s="424"/>
      <c r="JRG36" s="427"/>
      <c r="JRH36" s="424"/>
      <c r="JRI36" s="427"/>
      <c r="JRJ36" s="424"/>
      <c r="JRK36" s="427"/>
      <c r="JRL36" s="424"/>
      <c r="JRM36" s="427"/>
      <c r="JRN36" s="424"/>
      <c r="JRO36" s="427"/>
      <c r="JRP36" s="424"/>
      <c r="JRQ36" s="427"/>
      <c r="JRR36" s="424"/>
      <c r="JRS36" s="427"/>
      <c r="JRT36" s="424"/>
      <c r="JRU36" s="427"/>
      <c r="JRV36" s="424"/>
      <c r="JRW36" s="427"/>
      <c r="JRX36" s="424"/>
      <c r="JRY36" s="427"/>
      <c r="JRZ36" s="424"/>
      <c r="JSA36" s="427"/>
      <c r="JSB36" s="424"/>
      <c r="JSC36" s="427"/>
      <c r="JSD36" s="424"/>
      <c r="JSE36" s="427"/>
      <c r="JSF36" s="424"/>
      <c r="JSG36" s="427"/>
      <c r="JSH36" s="424"/>
      <c r="JSI36" s="427"/>
      <c r="JSJ36" s="424"/>
      <c r="JSK36" s="427"/>
      <c r="JSL36" s="424"/>
      <c r="JSM36" s="427"/>
      <c r="JSN36" s="424"/>
      <c r="JSO36" s="427"/>
      <c r="JSP36" s="424"/>
      <c r="JSQ36" s="427"/>
      <c r="JSR36" s="424"/>
      <c r="JSS36" s="427"/>
      <c r="JST36" s="424"/>
      <c r="JSU36" s="427"/>
      <c r="JSV36" s="424"/>
      <c r="JSW36" s="427"/>
      <c r="JSX36" s="424"/>
      <c r="JSY36" s="427"/>
      <c r="JSZ36" s="424"/>
      <c r="JTA36" s="427"/>
      <c r="JTB36" s="424"/>
      <c r="JTC36" s="427"/>
      <c r="JTD36" s="424"/>
      <c r="JTE36" s="427"/>
      <c r="JTF36" s="424"/>
      <c r="JTG36" s="427"/>
      <c r="JTH36" s="424"/>
      <c r="JTI36" s="427"/>
      <c r="JTJ36" s="424"/>
      <c r="JTK36" s="427"/>
      <c r="JTL36" s="424"/>
      <c r="JTM36" s="427"/>
      <c r="JTN36" s="424"/>
      <c r="JTO36" s="427"/>
      <c r="JTP36" s="424"/>
      <c r="JTQ36" s="427"/>
      <c r="JTR36" s="424"/>
      <c r="JTS36" s="427"/>
      <c r="JTT36" s="424"/>
      <c r="JTU36" s="427"/>
      <c r="JTV36" s="424"/>
      <c r="JTW36" s="427"/>
      <c r="JTX36" s="424"/>
      <c r="JTY36" s="427"/>
      <c r="JTZ36" s="424"/>
      <c r="JUA36" s="427"/>
      <c r="JUB36" s="424"/>
      <c r="JUC36" s="427"/>
      <c r="JUD36" s="424"/>
      <c r="JUE36" s="427"/>
      <c r="JUF36" s="424"/>
      <c r="JUG36" s="427"/>
      <c r="JUH36" s="424"/>
      <c r="JUI36" s="427"/>
      <c r="JUJ36" s="424"/>
      <c r="JUK36" s="427"/>
      <c r="JUL36" s="424"/>
      <c r="JUM36" s="427"/>
      <c r="JUN36" s="424"/>
      <c r="JUO36" s="427"/>
      <c r="JUP36" s="424"/>
      <c r="JUQ36" s="427"/>
      <c r="JUR36" s="424"/>
      <c r="JUS36" s="427"/>
      <c r="JUT36" s="424"/>
      <c r="JUU36" s="427"/>
      <c r="JUV36" s="424"/>
      <c r="JUW36" s="427"/>
      <c r="JUX36" s="424"/>
      <c r="JUY36" s="427"/>
      <c r="JUZ36" s="424"/>
      <c r="JVA36" s="427"/>
      <c r="JVB36" s="424"/>
      <c r="JVC36" s="427"/>
      <c r="JVD36" s="424"/>
      <c r="JVE36" s="427"/>
      <c r="JVF36" s="424"/>
      <c r="JVG36" s="427"/>
      <c r="JVH36" s="424"/>
      <c r="JVI36" s="427"/>
      <c r="JVJ36" s="424"/>
      <c r="JVK36" s="427"/>
      <c r="JVL36" s="424"/>
      <c r="JVM36" s="427"/>
      <c r="JVN36" s="424"/>
      <c r="JVO36" s="427"/>
      <c r="JVP36" s="424"/>
      <c r="JVQ36" s="427"/>
      <c r="JVR36" s="424"/>
      <c r="JVS36" s="427"/>
      <c r="JVT36" s="424"/>
      <c r="JVU36" s="427"/>
      <c r="JVV36" s="424"/>
      <c r="JVW36" s="427"/>
      <c r="JVX36" s="424"/>
      <c r="JVY36" s="427"/>
      <c r="JVZ36" s="424"/>
      <c r="JWA36" s="427"/>
      <c r="JWB36" s="424"/>
      <c r="JWC36" s="427"/>
      <c r="JWD36" s="424"/>
      <c r="JWE36" s="427"/>
      <c r="JWF36" s="424"/>
      <c r="JWG36" s="427"/>
      <c r="JWH36" s="424"/>
      <c r="JWI36" s="427"/>
      <c r="JWJ36" s="424"/>
      <c r="JWK36" s="427"/>
      <c r="JWL36" s="424"/>
      <c r="JWM36" s="427"/>
      <c r="JWN36" s="424"/>
      <c r="JWO36" s="427"/>
      <c r="JWP36" s="424"/>
      <c r="JWQ36" s="427"/>
      <c r="JWR36" s="424"/>
      <c r="JWS36" s="427"/>
      <c r="JWT36" s="424"/>
      <c r="JWU36" s="427"/>
      <c r="JWV36" s="424"/>
      <c r="JWW36" s="427"/>
      <c r="JWX36" s="424"/>
      <c r="JWY36" s="427"/>
      <c r="JWZ36" s="424"/>
      <c r="JXA36" s="427"/>
      <c r="JXB36" s="424"/>
      <c r="JXC36" s="427"/>
      <c r="JXD36" s="424"/>
      <c r="JXE36" s="427"/>
      <c r="JXF36" s="424"/>
      <c r="JXG36" s="427"/>
      <c r="JXH36" s="424"/>
      <c r="JXI36" s="427"/>
      <c r="JXJ36" s="424"/>
      <c r="JXK36" s="427"/>
      <c r="JXL36" s="424"/>
      <c r="JXM36" s="427"/>
      <c r="JXN36" s="424"/>
      <c r="JXO36" s="427"/>
      <c r="JXP36" s="424"/>
      <c r="JXQ36" s="427"/>
      <c r="JXR36" s="424"/>
      <c r="JXS36" s="427"/>
      <c r="JXT36" s="424"/>
      <c r="JXU36" s="427"/>
      <c r="JXV36" s="424"/>
      <c r="JXW36" s="427"/>
      <c r="JXX36" s="424"/>
      <c r="JXY36" s="427"/>
      <c r="JXZ36" s="424"/>
      <c r="JYA36" s="427"/>
      <c r="JYB36" s="424"/>
      <c r="JYC36" s="427"/>
      <c r="JYD36" s="424"/>
      <c r="JYE36" s="427"/>
      <c r="JYF36" s="424"/>
      <c r="JYG36" s="427"/>
      <c r="JYH36" s="424"/>
      <c r="JYI36" s="427"/>
      <c r="JYJ36" s="424"/>
      <c r="JYK36" s="427"/>
      <c r="JYL36" s="424"/>
      <c r="JYM36" s="427"/>
      <c r="JYN36" s="424"/>
      <c r="JYO36" s="427"/>
      <c r="JYP36" s="424"/>
      <c r="JYQ36" s="427"/>
      <c r="JYR36" s="424"/>
      <c r="JYS36" s="427"/>
      <c r="JYT36" s="424"/>
      <c r="JYU36" s="427"/>
      <c r="JYV36" s="424"/>
      <c r="JYW36" s="427"/>
      <c r="JYX36" s="424"/>
      <c r="JYY36" s="427"/>
      <c r="JYZ36" s="424"/>
      <c r="JZA36" s="427"/>
      <c r="JZB36" s="424"/>
      <c r="JZC36" s="427"/>
      <c r="JZD36" s="424"/>
      <c r="JZE36" s="427"/>
      <c r="JZF36" s="424"/>
      <c r="JZG36" s="427"/>
      <c r="JZH36" s="424"/>
      <c r="JZI36" s="427"/>
      <c r="JZJ36" s="424"/>
      <c r="JZK36" s="427"/>
      <c r="JZL36" s="424"/>
      <c r="JZM36" s="427"/>
      <c r="JZN36" s="424"/>
      <c r="JZO36" s="427"/>
      <c r="JZP36" s="424"/>
      <c r="JZQ36" s="427"/>
      <c r="JZR36" s="424"/>
      <c r="JZS36" s="427"/>
      <c r="JZT36" s="424"/>
      <c r="JZU36" s="427"/>
      <c r="JZV36" s="424"/>
      <c r="JZW36" s="427"/>
      <c r="JZX36" s="424"/>
      <c r="JZY36" s="427"/>
      <c r="JZZ36" s="424"/>
      <c r="KAA36" s="427"/>
      <c r="KAB36" s="424"/>
      <c r="KAC36" s="427"/>
      <c r="KAD36" s="424"/>
      <c r="KAE36" s="427"/>
      <c r="KAF36" s="424"/>
      <c r="KAG36" s="427"/>
      <c r="KAH36" s="424"/>
      <c r="KAI36" s="427"/>
      <c r="KAJ36" s="424"/>
      <c r="KAK36" s="427"/>
      <c r="KAL36" s="424"/>
      <c r="KAM36" s="427"/>
      <c r="KAN36" s="424"/>
      <c r="KAO36" s="427"/>
      <c r="KAP36" s="424"/>
      <c r="KAQ36" s="427"/>
      <c r="KAR36" s="424"/>
      <c r="KAS36" s="427"/>
      <c r="KAT36" s="424"/>
      <c r="KAU36" s="427"/>
      <c r="KAV36" s="424"/>
      <c r="KAW36" s="427"/>
      <c r="KAX36" s="424"/>
      <c r="KAY36" s="427"/>
      <c r="KAZ36" s="424"/>
      <c r="KBA36" s="427"/>
      <c r="KBB36" s="424"/>
      <c r="KBC36" s="427"/>
      <c r="KBD36" s="424"/>
      <c r="KBE36" s="427"/>
      <c r="KBF36" s="424"/>
      <c r="KBG36" s="427"/>
      <c r="KBH36" s="424"/>
      <c r="KBI36" s="427"/>
      <c r="KBJ36" s="424"/>
      <c r="KBK36" s="427"/>
      <c r="KBL36" s="424"/>
      <c r="KBM36" s="427"/>
      <c r="KBN36" s="424"/>
      <c r="KBO36" s="427"/>
      <c r="KBP36" s="424"/>
      <c r="KBQ36" s="427"/>
      <c r="KBR36" s="424"/>
      <c r="KBS36" s="427"/>
      <c r="KBT36" s="424"/>
      <c r="KBU36" s="427"/>
      <c r="KBV36" s="424"/>
      <c r="KBW36" s="427"/>
      <c r="KBX36" s="424"/>
      <c r="KBY36" s="427"/>
      <c r="KBZ36" s="424"/>
      <c r="KCA36" s="427"/>
      <c r="KCB36" s="424"/>
      <c r="KCC36" s="427"/>
      <c r="KCD36" s="424"/>
      <c r="KCE36" s="427"/>
      <c r="KCF36" s="424"/>
      <c r="KCG36" s="427"/>
      <c r="KCH36" s="424"/>
      <c r="KCI36" s="427"/>
      <c r="KCJ36" s="424"/>
      <c r="KCK36" s="427"/>
      <c r="KCL36" s="424"/>
      <c r="KCM36" s="427"/>
      <c r="KCN36" s="424"/>
      <c r="KCO36" s="427"/>
      <c r="KCP36" s="424"/>
      <c r="KCQ36" s="427"/>
      <c r="KCR36" s="424"/>
      <c r="KCS36" s="427"/>
      <c r="KCT36" s="424"/>
      <c r="KCU36" s="427"/>
      <c r="KCV36" s="424"/>
      <c r="KCW36" s="427"/>
      <c r="KCX36" s="424"/>
      <c r="KCY36" s="427"/>
      <c r="KCZ36" s="424"/>
      <c r="KDA36" s="427"/>
      <c r="KDB36" s="424"/>
      <c r="KDC36" s="427"/>
      <c r="KDD36" s="424"/>
      <c r="KDE36" s="427"/>
      <c r="KDF36" s="424"/>
      <c r="KDG36" s="427"/>
      <c r="KDH36" s="424"/>
      <c r="KDI36" s="427"/>
      <c r="KDJ36" s="424"/>
      <c r="KDK36" s="427"/>
      <c r="KDL36" s="424"/>
      <c r="KDM36" s="427"/>
      <c r="KDN36" s="424"/>
      <c r="KDO36" s="427"/>
      <c r="KDP36" s="424"/>
      <c r="KDQ36" s="427"/>
      <c r="KDR36" s="424"/>
      <c r="KDS36" s="427"/>
      <c r="KDT36" s="424"/>
      <c r="KDU36" s="427"/>
      <c r="KDV36" s="424"/>
      <c r="KDW36" s="427"/>
      <c r="KDX36" s="424"/>
      <c r="KDY36" s="427"/>
      <c r="KDZ36" s="424"/>
      <c r="KEA36" s="427"/>
      <c r="KEB36" s="424"/>
      <c r="KEC36" s="427"/>
      <c r="KED36" s="424"/>
      <c r="KEE36" s="427"/>
      <c r="KEF36" s="424"/>
      <c r="KEG36" s="427"/>
      <c r="KEH36" s="424"/>
      <c r="KEI36" s="427"/>
      <c r="KEJ36" s="424"/>
      <c r="KEK36" s="427"/>
      <c r="KEL36" s="424"/>
      <c r="KEM36" s="427"/>
      <c r="KEN36" s="424"/>
      <c r="KEO36" s="427"/>
      <c r="KEP36" s="424"/>
      <c r="KEQ36" s="427"/>
      <c r="KER36" s="424"/>
      <c r="KES36" s="427"/>
      <c r="KET36" s="424"/>
      <c r="KEU36" s="427"/>
      <c r="KEV36" s="424"/>
      <c r="KEW36" s="427"/>
      <c r="KEX36" s="424"/>
      <c r="KEY36" s="427"/>
      <c r="KEZ36" s="424"/>
      <c r="KFA36" s="427"/>
      <c r="KFB36" s="424"/>
      <c r="KFC36" s="427"/>
      <c r="KFD36" s="424"/>
      <c r="KFE36" s="427"/>
      <c r="KFF36" s="424"/>
      <c r="KFG36" s="427"/>
      <c r="KFH36" s="424"/>
      <c r="KFI36" s="427"/>
      <c r="KFJ36" s="424"/>
      <c r="KFK36" s="427"/>
      <c r="KFL36" s="424"/>
      <c r="KFM36" s="427"/>
      <c r="KFN36" s="424"/>
      <c r="KFO36" s="427"/>
      <c r="KFP36" s="424"/>
      <c r="KFQ36" s="427"/>
      <c r="KFR36" s="424"/>
      <c r="KFS36" s="427"/>
      <c r="KFT36" s="424"/>
      <c r="KFU36" s="427"/>
      <c r="KFV36" s="424"/>
      <c r="KFW36" s="427"/>
      <c r="KFX36" s="424"/>
      <c r="KFY36" s="427"/>
      <c r="KFZ36" s="424"/>
      <c r="KGA36" s="427"/>
      <c r="KGB36" s="424"/>
      <c r="KGC36" s="427"/>
      <c r="KGD36" s="424"/>
      <c r="KGE36" s="427"/>
      <c r="KGF36" s="424"/>
      <c r="KGG36" s="427"/>
      <c r="KGH36" s="424"/>
      <c r="KGI36" s="427"/>
      <c r="KGJ36" s="424"/>
      <c r="KGK36" s="427"/>
      <c r="KGL36" s="424"/>
      <c r="KGM36" s="427"/>
      <c r="KGN36" s="424"/>
      <c r="KGO36" s="427"/>
      <c r="KGP36" s="424"/>
      <c r="KGQ36" s="427"/>
      <c r="KGR36" s="424"/>
      <c r="KGS36" s="427"/>
      <c r="KGT36" s="424"/>
      <c r="KGU36" s="427"/>
      <c r="KGV36" s="424"/>
      <c r="KGW36" s="427"/>
      <c r="KGX36" s="424"/>
      <c r="KGY36" s="427"/>
      <c r="KGZ36" s="424"/>
      <c r="KHA36" s="427"/>
      <c r="KHB36" s="424"/>
      <c r="KHC36" s="427"/>
      <c r="KHD36" s="424"/>
      <c r="KHE36" s="427"/>
      <c r="KHF36" s="424"/>
      <c r="KHG36" s="427"/>
      <c r="KHH36" s="424"/>
      <c r="KHI36" s="427"/>
      <c r="KHJ36" s="424"/>
      <c r="KHK36" s="427"/>
      <c r="KHL36" s="424"/>
      <c r="KHM36" s="427"/>
      <c r="KHN36" s="424"/>
      <c r="KHO36" s="427"/>
      <c r="KHP36" s="424"/>
      <c r="KHQ36" s="427"/>
      <c r="KHR36" s="424"/>
      <c r="KHS36" s="427"/>
      <c r="KHT36" s="424"/>
      <c r="KHU36" s="427"/>
      <c r="KHV36" s="424"/>
      <c r="KHW36" s="427"/>
      <c r="KHX36" s="424"/>
      <c r="KHY36" s="427"/>
      <c r="KHZ36" s="424"/>
      <c r="KIA36" s="427"/>
      <c r="KIB36" s="424"/>
      <c r="KIC36" s="427"/>
      <c r="KID36" s="424"/>
      <c r="KIE36" s="427"/>
      <c r="KIF36" s="424"/>
      <c r="KIG36" s="427"/>
      <c r="KIH36" s="424"/>
      <c r="KII36" s="427"/>
      <c r="KIJ36" s="424"/>
      <c r="KIK36" s="427"/>
      <c r="KIL36" s="424"/>
      <c r="KIM36" s="427"/>
      <c r="KIN36" s="424"/>
      <c r="KIO36" s="427"/>
      <c r="KIP36" s="424"/>
      <c r="KIQ36" s="427"/>
      <c r="KIR36" s="424"/>
      <c r="KIS36" s="427"/>
      <c r="KIT36" s="424"/>
      <c r="KIU36" s="427"/>
      <c r="KIV36" s="424"/>
      <c r="KIW36" s="427"/>
      <c r="KIX36" s="424"/>
      <c r="KIY36" s="427"/>
      <c r="KIZ36" s="424"/>
      <c r="KJA36" s="427"/>
      <c r="KJB36" s="424"/>
      <c r="KJC36" s="427"/>
      <c r="KJD36" s="424"/>
      <c r="KJE36" s="427"/>
      <c r="KJF36" s="424"/>
      <c r="KJG36" s="427"/>
      <c r="KJH36" s="424"/>
      <c r="KJI36" s="427"/>
      <c r="KJJ36" s="424"/>
      <c r="KJK36" s="427"/>
      <c r="KJL36" s="424"/>
      <c r="KJM36" s="427"/>
      <c r="KJN36" s="424"/>
      <c r="KJO36" s="427"/>
      <c r="KJP36" s="424"/>
      <c r="KJQ36" s="427"/>
      <c r="KJR36" s="424"/>
      <c r="KJS36" s="427"/>
      <c r="KJT36" s="424"/>
      <c r="KJU36" s="427"/>
      <c r="KJV36" s="424"/>
      <c r="KJW36" s="427"/>
      <c r="KJX36" s="424"/>
      <c r="KJY36" s="427"/>
      <c r="KJZ36" s="424"/>
      <c r="KKA36" s="427"/>
      <c r="KKB36" s="424"/>
      <c r="KKC36" s="427"/>
      <c r="KKD36" s="424"/>
      <c r="KKE36" s="427"/>
      <c r="KKF36" s="424"/>
      <c r="KKG36" s="427"/>
      <c r="KKH36" s="424"/>
      <c r="KKI36" s="427"/>
      <c r="KKJ36" s="424"/>
      <c r="KKK36" s="427"/>
      <c r="KKL36" s="424"/>
      <c r="KKM36" s="427"/>
      <c r="KKN36" s="424"/>
      <c r="KKO36" s="427"/>
      <c r="KKP36" s="424"/>
      <c r="KKQ36" s="427"/>
      <c r="KKR36" s="424"/>
      <c r="KKS36" s="427"/>
      <c r="KKT36" s="424"/>
      <c r="KKU36" s="427"/>
      <c r="KKV36" s="424"/>
      <c r="KKW36" s="427"/>
      <c r="KKX36" s="424"/>
      <c r="KKY36" s="427"/>
      <c r="KKZ36" s="424"/>
      <c r="KLA36" s="427"/>
      <c r="KLB36" s="424"/>
      <c r="KLC36" s="427"/>
      <c r="KLD36" s="424"/>
      <c r="KLE36" s="427"/>
      <c r="KLF36" s="424"/>
      <c r="KLG36" s="427"/>
      <c r="KLH36" s="424"/>
      <c r="KLI36" s="427"/>
      <c r="KLJ36" s="424"/>
      <c r="KLK36" s="427"/>
      <c r="KLL36" s="424"/>
      <c r="KLM36" s="427"/>
      <c r="KLN36" s="424"/>
      <c r="KLO36" s="427"/>
      <c r="KLP36" s="424"/>
      <c r="KLQ36" s="427"/>
      <c r="KLR36" s="424"/>
      <c r="KLS36" s="427"/>
      <c r="KLT36" s="424"/>
      <c r="KLU36" s="427"/>
      <c r="KLV36" s="424"/>
      <c r="KLW36" s="427"/>
      <c r="KLX36" s="424"/>
      <c r="KLY36" s="427"/>
      <c r="KLZ36" s="424"/>
      <c r="KMA36" s="427"/>
      <c r="KMB36" s="424"/>
      <c r="KMC36" s="427"/>
      <c r="KMD36" s="424"/>
      <c r="KME36" s="427"/>
      <c r="KMF36" s="424"/>
      <c r="KMG36" s="427"/>
      <c r="KMH36" s="424"/>
      <c r="KMI36" s="427"/>
      <c r="KMJ36" s="424"/>
      <c r="KMK36" s="427"/>
      <c r="KML36" s="424"/>
      <c r="KMM36" s="427"/>
      <c r="KMN36" s="424"/>
      <c r="KMO36" s="427"/>
      <c r="KMP36" s="424"/>
      <c r="KMQ36" s="427"/>
      <c r="KMR36" s="424"/>
      <c r="KMS36" s="427"/>
      <c r="KMT36" s="424"/>
      <c r="KMU36" s="427"/>
      <c r="KMV36" s="424"/>
      <c r="KMW36" s="427"/>
      <c r="KMX36" s="424"/>
      <c r="KMY36" s="427"/>
      <c r="KMZ36" s="424"/>
      <c r="KNA36" s="427"/>
      <c r="KNB36" s="424"/>
      <c r="KNC36" s="427"/>
      <c r="KND36" s="424"/>
      <c r="KNE36" s="427"/>
      <c r="KNF36" s="424"/>
      <c r="KNG36" s="427"/>
      <c r="KNH36" s="424"/>
      <c r="KNI36" s="427"/>
      <c r="KNJ36" s="424"/>
      <c r="KNK36" s="427"/>
      <c r="KNL36" s="424"/>
      <c r="KNM36" s="427"/>
      <c r="KNN36" s="424"/>
      <c r="KNO36" s="427"/>
      <c r="KNP36" s="424"/>
      <c r="KNQ36" s="427"/>
      <c r="KNR36" s="424"/>
      <c r="KNS36" s="427"/>
      <c r="KNT36" s="424"/>
      <c r="KNU36" s="427"/>
      <c r="KNV36" s="424"/>
      <c r="KNW36" s="427"/>
      <c r="KNX36" s="424"/>
      <c r="KNY36" s="427"/>
      <c r="KNZ36" s="424"/>
      <c r="KOA36" s="427"/>
      <c r="KOB36" s="424"/>
      <c r="KOC36" s="427"/>
      <c r="KOD36" s="424"/>
      <c r="KOE36" s="427"/>
      <c r="KOF36" s="424"/>
      <c r="KOG36" s="427"/>
      <c r="KOH36" s="424"/>
      <c r="KOI36" s="427"/>
      <c r="KOJ36" s="424"/>
      <c r="KOK36" s="427"/>
      <c r="KOL36" s="424"/>
      <c r="KOM36" s="427"/>
      <c r="KON36" s="424"/>
      <c r="KOO36" s="427"/>
      <c r="KOP36" s="424"/>
      <c r="KOQ36" s="427"/>
      <c r="KOR36" s="424"/>
      <c r="KOS36" s="427"/>
      <c r="KOT36" s="424"/>
      <c r="KOU36" s="427"/>
      <c r="KOV36" s="424"/>
      <c r="KOW36" s="427"/>
      <c r="KOX36" s="424"/>
      <c r="KOY36" s="427"/>
      <c r="KOZ36" s="424"/>
      <c r="KPA36" s="427"/>
      <c r="KPB36" s="424"/>
      <c r="KPC36" s="427"/>
      <c r="KPD36" s="424"/>
      <c r="KPE36" s="427"/>
      <c r="KPF36" s="424"/>
      <c r="KPG36" s="427"/>
      <c r="KPH36" s="424"/>
      <c r="KPI36" s="427"/>
      <c r="KPJ36" s="424"/>
      <c r="KPK36" s="427"/>
      <c r="KPL36" s="424"/>
      <c r="KPM36" s="427"/>
      <c r="KPN36" s="424"/>
      <c r="KPO36" s="427"/>
      <c r="KPP36" s="424"/>
      <c r="KPQ36" s="427"/>
      <c r="KPR36" s="424"/>
      <c r="KPS36" s="427"/>
      <c r="KPT36" s="424"/>
      <c r="KPU36" s="427"/>
      <c r="KPV36" s="424"/>
      <c r="KPW36" s="427"/>
      <c r="KPX36" s="424"/>
      <c r="KPY36" s="427"/>
      <c r="KPZ36" s="424"/>
      <c r="KQA36" s="427"/>
      <c r="KQB36" s="424"/>
      <c r="KQC36" s="427"/>
      <c r="KQD36" s="424"/>
      <c r="KQE36" s="427"/>
      <c r="KQF36" s="424"/>
      <c r="KQG36" s="427"/>
      <c r="KQH36" s="424"/>
      <c r="KQI36" s="427"/>
      <c r="KQJ36" s="424"/>
      <c r="KQK36" s="427"/>
      <c r="KQL36" s="424"/>
      <c r="KQM36" s="427"/>
      <c r="KQN36" s="424"/>
      <c r="KQO36" s="427"/>
      <c r="KQP36" s="424"/>
      <c r="KQQ36" s="427"/>
      <c r="KQR36" s="424"/>
      <c r="KQS36" s="427"/>
      <c r="KQT36" s="424"/>
      <c r="KQU36" s="427"/>
      <c r="KQV36" s="424"/>
      <c r="KQW36" s="427"/>
      <c r="KQX36" s="424"/>
      <c r="KQY36" s="427"/>
      <c r="KQZ36" s="424"/>
      <c r="KRA36" s="427"/>
      <c r="KRB36" s="424"/>
      <c r="KRC36" s="427"/>
      <c r="KRD36" s="424"/>
      <c r="KRE36" s="427"/>
      <c r="KRF36" s="424"/>
      <c r="KRG36" s="427"/>
      <c r="KRH36" s="424"/>
      <c r="KRI36" s="427"/>
      <c r="KRJ36" s="424"/>
      <c r="KRK36" s="427"/>
      <c r="KRL36" s="424"/>
      <c r="KRM36" s="427"/>
      <c r="KRN36" s="424"/>
      <c r="KRO36" s="427"/>
      <c r="KRP36" s="424"/>
      <c r="KRQ36" s="427"/>
      <c r="KRR36" s="424"/>
      <c r="KRS36" s="427"/>
      <c r="KRT36" s="424"/>
      <c r="KRU36" s="427"/>
      <c r="KRV36" s="424"/>
      <c r="KRW36" s="427"/>
      <c r="KRX36" s="424"/>
      <c r="KRY36" s="427"/>
      <c r="KRZ36" s="424"/>
      <c r="KSA36" s="427"/>
      <c r="KSB36" s="424"/>
      <c r="KSC36" s="427"/>
      <c r="KSD36" s="424"/>
      <c r="KSE36" s="427"/>
      <c r="KSF36" s="424"/>
      <c r="KSG36" s="427"/>
      <c r="KSH36" s="424"/>
      <c r="KSI36" s="427"/>
      <c r="KSJ36" s="424"/>
      <c r="KSK36" s="427"/>
      <c r="KSL36" s="424"/>
      <c r="KSM36" s="427"/>
      <c r="KSN36" s="424"/>
      <c r="KSO36" s="427"/>
      <c r="KSP36" s="424"/>
      <c r="KSQ36" s="427"/>
      <c r="KSR36" s="424"/>
      <c r="KSS36" s="427"/>
      <c r="KST36" s="424"/>
      <c r="KSU36" s="427"/>
      <c r="KSV36" s="424"/>
      <c r="KSW36" s="427"/>
      <c r="KSX36" s="424"/>
      <c r="KSY36" s="427"/>
      <c r="KSZ36" s="424"/>
      <c r="KTA36" s="427"/>
      <c r="KTB36" s="424"/>
      <c r="KTC36" s="427"/>
      <c r="KTD36" s="424"/>
      <c r="KTE36" s="427"/>
      <c r="KTF36" s="424"/>
      <c r="KTG36" s="427"/>
      <c r="KTH36" s="424"/>
      <c r="KTI36" s="427"/>
      <c r="KTJ36" s="424"/>
      <c r="KTK36" s="427"/>
      <c r="KTL36" s="424"/>
      <c r="KTM36" s="427"/>
      <c r="KTN36" s="424"/>
      <c r="KTO36" s="427"/>
      <c r="KTP36" s="424"/>
      <c r="KTQ36" s="427"/>
      <c r="KTR36" s="424"/>
      <c r="KTS36" s="427"/>
      <c r="KTT36" s="424"/>
      <c r="KTU36" s="427"/>
      <c r="KTV36" s="424"/>
      <c r="KTW36" s="427"/>
      <c r="KTX36" s="424"/>
      <c r="KTY36" s="427"/>
      <c r="KTZ36" s="424"/>
      <c r="KUA36" s="427"/>
      <c r="KUB36" s="424"/>
      <c r="KUC36" s="427"/>
      <c r="KUD36" s="424"/>
      <c r="KUE36" s="427"/>
      <c r="KUF36" s="424"/>
      <c r="KUG36" s="427"/>
      <c r="KUH36" s="424"/>
      <c r="KUI36" s="427"/>
      <c r="KUJ36" s="424"/>
      <c r="KUK36" s="427"/>
      <c r="KUL36" s="424"/>
      <c r="KUM36" s="427"/>
      <c r="KUN36" s="424"/>
      <c r="KUO36" s="427"/>
      <c r="KUP36" s="424"/>
      <c r="KUQ36" s="427"/>
      <c r="KUR36" s="424"/>
      <c r="KUS36" s="427"/>
      <c r="KUT36" s="424"/>
      <c r="KUU36" s="427"/>
      <c r="KUV36" s="424"/>
      <c r="KUW36" s="427"/>
      <c r="KUX36" s="424"/>
      <c r="KUY36" s="427"/>
      <c r="KUZ36" s="424"/>
      <c r="KVA36" s="427"/>
      <c r="KVB36" s="424"/>
      <c r="KVC36" s="427"/>
      <c r="KVD36" s="424"/>
      <c r="KVE36" s="427"/>
      <c r="KVF36" s="424"/>
      <c r="KVG36" s="427"/>
      <c r="KVH36" s="424"/>
      <c r="KVI36" s="427"/>
      <c r="KVJ36" s="424"/>
      <c r="KVK36" s="427"/>
      <c r="KVL36" s="424"/>
      <c r="KVM36" s="427"/>
      <c r="KVN36" s="424"/>
      <c r="KVO36" s="427"/>
      <c r="KVP36" s="424"/>
      <c r="KVQ36" s="427"/>
      <c r="KVR36" s="424"/>
      <c r="KVS36" s="427"/>
      <c r="KVT36" s="424"/>
      <c r="KVU36" s="427"/>
      <c r="KVV36" s="424"/>
      <c r="KVW36" s="427"/>
      <c r="KVX36" s="424"/>
      <c r="KVY36" s="427"/>
      <c r="KVZ36" s="424"/>
      <c r="KWA36" s="427"/>
      <c r="KWB36" s="424"/>
      <c r="KWC36" s="427"/>
      <c r="KWD36" s="424"/>
      <c r="KWE36" s="427"/>
      <c r="KWF36" s="424"/>
      <c r="KWG36" s="427"/>
      <c r="KWH36" s="424"/>
      <c r="KWI36" s="427"/>
      <c r="KWJ36" s="424"/>
      <c r="KWK36" s="427"/>
      <c r="KWL36" s="424"/>
      <c r="KWM36" s="427"/>
      <c r="KWN36" s="424"/>
      <c r="KWO36" s="427"/>
      <c r="KWP36" s="424"/>
      <c r="KWQ36" s="427"/>
      <c r="KWR36" s="424"/>
      <c r="KWS36" s="427"/>
      <c r="KWT36" s="424"/>
      <c r="KWU36" s="427"/>
      <c r="KWV36" s="424"/>
      <c r="KWW36" s="427"/>
      <c r="KWX36" s="424"/>
      <c r="KWY36" s="427"/>
      <c r="KWZ36" s="424"/>
      <c r="KXA36" s="427"/>
      <c r="KXB36" s="424"/>
      <c r="KXC36" s="427"/>
      <c r="KXD36" s="424"/>
      <c r="KXE36" s="427"/>
      <c r="KXF36" s="424"/>
      <c r="KXG36" s="427"/>
      <c r="KXH36" s="424"/>
      <c r="KXI36" s="427"/>
      <c r="KXJ36" s="424"/>
      <c r="KXK36" s="427"/>
      <c r="KXL36" s="424"/>
      <c r="KXM36" s="427"/>
      <c r="KXN36" s="424"/>
      <c r="KXO36" s="427"/>
      <c r="KXP36" s="424"/>
      <c r="KXQ36" s="427"/>
      <c r="KXR36" s="424"/>
      <c r="KXS36" s="427"/>
      <c r="KXT36" s="424"/>
      <c r="KXU36" s="427"/>
      <c r="KXV36" s="424"/>
      <c r="KXW36" s="427"/>
      <c r="KXX36" s="424"/>
      <c r="KXY36" s="427"/>
      <c r="KXZ36" s="424"/>
      <c r="KYA36" s="427"/>
      <c r="KYB36" s="424"/>
      <c r="KYC36" s="427"/>
      <c r="KYD36" s="424"/>
      <c r="KYE36" s="427"/>
      <c r="KYF36" s="424"/>
      <c r="KYG36" s="427"/>
      <c r="KYH36" s="424"/>
      <c r="KYI36" s="427"/>
      <c r="KYJ36" s="424"/>
      <c r="KYK36" s="427"/>
      <c r="KYL36" s="424"/>
      <c r="KYM36" s="427"/>
      <c r="KYN36" s="424"/>
      <c r="KYO36" s="427"/>
      <c r="KYP36" s="424"/>
      <c r="KYQ36" s="427"/>
      <c r="KYR36" s="424"/>
      <c r="KYS36" s="427"/>
      <c r="KYT36" s="424"/>
      <c r="KYU36" s="427"/>
      <c r="KYV36" s="424"/>
      <c r="KYW36" s="427"/>
      <c r="KYX36" s="424"/>
      <c r="KYY36" s="427"/>
      <c r="KYZ36" s="424"/>
      <c r="KZA36" s="427"/>
      <c r="KZB36" s="424"/>
      <c r="KZC36" s="427"/>
      <c r="KZD36" s="424"/>
      <c r="KZE36" s="427"/>
      <c r="KZF36" s="424"/>
      <c r="KZG36" s="427"/>
      <c r="KZH36" s="424"/>
      <c r="KZI36" s="427"/>
      <c r="KZJ36" s="424"/>
      <c r="KZK36" s="427"/>
      <c r="KZL36" s="424"/>
      <c r="KZM36" s="427"/>
      <c r="KZN36" s="424"/>
      <c r="KZO36" s="427"/>
      <c r="KZP36" s="424"/>
      <c r="KZQ36" s="427"/>
      <c r="KZR36" s="424"/>
      <c r="KZS36" s="427"/>
      <c r="KZT36" s="424"/>
      <c r="KZU36" s="427"/>
      <c r="KZV36" s="424"/>
      <c r="KZW36" s="427"/>
      <c r="KZX36" s="424"/>
      <c r="KZY36" s="427"/>
      <c r="KZZ36" s="424"/>
      <c r="LAA36" s="427"/>
      <c r="LAB36" s="424"/>
      <c r="LAC36" s="427"/>
      <c r="LAD36" s="424"/>
      <c r="LAE36" s="427"/>
      <c r="LAF36" s="424"/>
      <c r="LAG36" s="427"/>
      <c r="LAH36" s="424"/>
      <c r="LAI36" s="427"/>
      <c r="LAJ36" s="424"/>
      <c r="LAK36" s="427"/>
      <c r="LAL36" s="424"/>
      <c r="LAM36" s="427"/>
      <c r="LAN36" s="424"/>
      <c r="LAO36" s="427"/>
      <c r="LAP36" s="424"/>
      <c r="LAQ36" s="427"/>
      <c r="LAR36" s="424"/>
      <c r="LAS36" s="427"/>
      <c r="LAT36" s="424"/>
      <c r="LAU36" s="427"/>
      <c r="LAV36" s="424"/>
      <c r="LAW36" s="427"/>
      <c r="LAX36" s="424"/>
      <c r="LAY36" s="427"/>
      <c r="LAZ36" s="424"/>
      <c r="LBA36" s="427"/>
      <c r="LBB36" s="424"/>
      <c r="LBC36" s="427"/>
      <c r="LBD36" s="424"/>
      <c r="LBE36" s="427"/>
      <c r="LBF36" s="424"/>
      <c r="LBG36" s="427"/>
      <c r="LBH36" s="424"/>
      <c r="LBI36" s="427"/>
      <c r="LBJ36" s="424"/>
      <c r="LBK36" s="427"/>
      <c r="LBL36" s="424"/>
      <c r="LBM36" s="427"/>
      <c r="LBN36" s="424"/>
      <c r="LBO36" s="427"/>
      <c r="LBP36" s="424"/>
      <c r="LBQ36" s="427"/>
      <c r="LBR36" s="424"/>
      <c r="LBS36" s="427"/>
      <c r="LBT36" s="424"/>
      <c r="LBU36" s="427"/>
      <c r="LBV36" s="424"/>
      <c r="LBW36" s="427"/>
      <c r="LBX36" s="424"/>
      <c r="LBY36" s="427"/>
      <c r="LBZ36" s="424"/>
      <c r="LCA36" s="427"/>
      <c r="LCB36" s="424"/>
      <c r="LCC36" s="427"/>
      <c r="LCD36" s="424"/>
      <c r="LCE36" s="427"/>
      <c r="LCF36" s="424"/>
      <c r="LCG36" s="427"/>
      <c r="LCH36" s="424"/>
      <c r="LCI36" s="427"/>
      <c r="LCJ36" s="424"/>
      <c r="LCK36" s="427"/>
      <c r="LCL36" s="424"/>
      <c r="LCM36" s="427"/>
      <c r="LCN36" s="424"/>
      <c r="LCO36" s="427"/>
      <c r="LCP36" s="424"/>
      <c r="LCQ36" s="427"/>
      <c r="LCR36" s="424"/>
      <c r="LCS36" s="427"/>
      <c r="LCT36" s="424"/>
      <c r="LCU36" s="427"/>
      <c r="LCV36" s="424"/>
      <c r="LCW36" s="427"/>
      <c r="LCX36" s="424"/>
      <c r="LCY36" s="427"/>
      <c r="LCZ36" s="424"/>
      <c r="LDA36" s="427"/>
      <c r="LDB36" s="424"/>
      <c r="LDC36" s="427"/>
      <c r="LDD36" s="424"/>
      <c r="LDE36" s="427"/>
      <c r="LDF36" s="424"/>
      <c r="LDG36" s="427"/>
      <c r="LDH36" s="424"/>
      <c r="LDI36" s="427"/>
      <c r="LDJ36" s="424"/>
      <c r="LDK36" s="427"/>
      <c r="LDL36" s="424"/>
      <c r="LDM36" s="427"/>
      <c r="LDN36" s="424"/>
      <c r="LDO36" s="427"/>
      <c r="LDP36" s="424"/>
      <c r="LDQ36" s="427"/>
      <c r="LDR36" s="424"/>
      <c r="LDS36" s="427"/>
      <c r="LDT36" s="424"/>
      <c r="LDU36" s="427"/>
      <c r="LDV36" s="424"/>
      <c r="LDW36" s="427"/>
      <c r="LDX36" s="424"/>
      <c r="LDY36" s="427"/>
      <c r="LDZ36" s="424"/>
      <c r="LEA36" s="427"/>
      <c r="LEB36" s="424"/>
      <c r="LEC36" s="427"/>
      <c r="LED36" s="424"/>
      <c r="LEE36" s="427"/>
      <c r="LEF36" s="424"/>
      <c r="LEG36" s="427"/>
      <c r="LEH36" s="424"/>
      <c r="LEI36" s="427"/>
      <c r="LEJ36" s="424"/>
      <c r="LEK36" s="427"/>
      <c r="LEL36" s="424"/>
      <c r="LEM36" s="427"/>
      <c r="LEN36" s="424"/>
      <c r="LEO36" s="427"/>
      <c r="LEP36" s="424"/>
      <c r="LEQ36" s="427"/>
      <c r="LER36" s="424"/>
      <c r="LES36" s="427"/>
      <c r="LET36" s="424"/>
      <c r="LEU36" s="427"/>
      <c r="LEV36" s="424"/>
      <c r="LEW36" s="427"/>
      <c r="LEX36" s="424"/>
      <c r="LEY36" s="427"/>
      <c r="LEZ36" s="424"/>
      <c r="LFA36" s="427"/>
      <c r="LFB36" s="424"/>
      <c r="LFC36" s="427"/>
      <c r="LFD36" s="424"/>
      <c r="LFE36" s="427"/>
      <c r="LFF36" s="424"/>
      <c r="LFG36" s="427"/>
      <c r="LFH36" s="424"/>
      <c r="LFI36" s="427"/>
      <c r="LFJ36" s="424"/>
      <c r="LFK36" s="427"/>
      <c r="LFL36" s="424"/>
      <c r="LFM36" s="427"/>
      <c r="LFN36" s="424"/>
      <c r="LFO36" s="427"/>
      <c r="LFP36" s="424"/>
      <c r="LFQ36" s="427"/>
      <c r="LFR36" s="424"/>
      <c r="LFS36" s="427"/>
      <c r="LFT36" s="424"/>
      <c r="LFU36" s="427"/>
      <c r="LFV36" s="424"/>
      <c r="LFW36" s="427"/>
      <c r="LFX36" s="424"/>
      <c r="LFY36" s="427"/>
      <c r="LFZ36" s="424"/>
      <c r="LGA36" s="427"/>
      <c r="LGB36" s="424"/>
      <c r="LGC36" s="427"/>
      <c r="LGD36" s="424"/>
      <c r="LGE36" s="427"/>
      <c r="LGF36" s="424"/>
      <c r="LGG36" s="427"/>
      <c r="LGH36" s="424"/>
      <c r="LGI36" s="427"/>
      <c r="LGJ36" s="424"/>
      <c r="LGK36" s="427"/>
      <c r="LGL36" s="424"/>
      <c r="LGM36" s="427"/>
      <c r="LGN36" s="424"/>
      <c r="LGO36" s="427"/>
      <c r="LGP36" s="424"/>
      <c r="LGQ36" s="427"/>
      <c r="LGR36" s="424"/>
      <c r="LGS36" s="427"/>
      <c r="LGT36" s="424"/>
      <c r="LGU36" s="427"/>
      <c r="LGV36" s="424"/>
      <c r="LGW36" s="427"/>
      <c r="LGX36" s="424"/>
      <c r="LGY36" s="427"/>
      <c r="LGZ36" s="424"/>
      <c r="LHA36" s="427"/>
      <c r="LHB36" s="424"/>
      <c r="LHC36" s="427"/>
      <c r="LHD36" s="424"/>
      <c r="LHE36" s="427"/>
      <c r="LHF36" s="424"/>
      <c r="LHG36" s="427"/>
      <c r="LHH36" s="424"/>
      <c r="LHI36" s="427"/>
      <c r="LHJ36" s="424"/>
      <c r="LHK36" s="427"/>
      <c r="LHL36" s="424"/>
      <c r="LHM36" s="427"/>
      <c r="LHN36" s="424"/>
      <c r="LHO36" s="427"/>
      <c r="LHP36" s="424"/>
      <c r="LHQ36" s="427"/>
      <c r="LHR36" s="424"/>
      <c r="LHS36" s="427"/>
      <c r="LHT36" s="424"/>
      <c r="LHU36" s="427"/>
      <c r="LHV36" s="424"/>
      <c r="LHW36" s="427"/>
      <c r="LHX36" s="424"/>
      <c r="LHY36" s="427"/>
      <c r="LHZ36" s="424"/>
      <c r="LIA36" s="427"/>
      <c r="LIB36" s="424"/>
      <c r="LIC36" s="427"/>
      <c r="LID36" s="424"/>
      <c r="LIE36" s="427"/>
      <c r="LIF36" s="424"/>
      <c r="LIG36" s="427"/>
      <c r="LIH36" s="424"/>
      <c r="LII36" s="427"/>
      <c r="LIJ36" s="424"/>
      <c r="LIK36" s="427"/>
      <c r="LIL36" s="424"/>
      <c r="LIM36" s="427"/>
      <c r="LIN36" s="424"/>
      <c r="LIO36" s="427"/>
      <c r="LIP36" s="424"/>
      <c r="LIQ36" s="427"/>
      <c r="LIR36" s="424"/>
      <c r="LIS36" s="427"/>
      <c r="LIT36" s="424"/>
      <c r="LIU36" s="427"/>
      <c r="LIV36" s="424"/>
      <c r="LIW36" s="427"/>
      <c r="LIX36" s="424"/>
      <c r="LIY36" s="427"/>
      <c r="LIZ36" s="424"/>
      <c r="LJA36" s="427"/>
      <c r="LJB36" s="424"/>
      <c r="LJC36" s="427"/>
      <c r="LJD36" s="424"/>
      <c r="LJE36" s="427"/>
      <c r="LJF36" s="424"/>
      <c r="LJG36" s="427"/>
      <c r="LJH36" s="424"/>
      <c r="LJI36" s="427"/>
      <c r="LJJ36" s="424"/>
      <c r="LJK36" s="427"/>
      <c r="LJL36" s="424"/>
      <c r="LJM36" s="427"/>
      <c r="LJN36" s="424"/>
      <c r="LJO36" s="427"/>
      <c r="LJP36" s="424"/>
      <c r="LJQ36" s="427"/>
      <c r="LJR36" s="424"/>
      <c r="LJS36" s="427"/>
      <c r="LJT36" s="424"/>
      <c r="LJU36" s="427"/>
      <c r="LJV36" s="424"/>
      <c r="LJW36" s="427"/>
      <c r="LJX36" s="424"/>
      <c r="LJY36" s="427"/>
      <c r="LJZ36" s="424"/>
      <c r="LKA36" s="427"/>
      <c r="LKB36" s="424"/>
      <c r="LKC36" s="427"/>
      <c r="LKD36" s="424"/>
      <c r="LKE36" s="427"/>
      <c r="LKF36" s="424"/>
      <c r="LKG36" s="427"/>
      <c r="LKH36" s="424"/>
      <c r="LKI36" s="427"/>
      <c r="LKJ36" s="424"/>
      <c r="LKK36" s="427"/>
      <c r="LKL36" s="424"/>
      <c r="LKM36" s="427"/>
      <c r="LKN36" s="424"/>
      <c r="LKO36" s="427"/>
      <c r="LKP36" s="424"/>
      <c r="LKQ36" s="427"/>
      <c r="LKR36" s="424"/>
      <c r="LKS36" s="427"/>
      <c r="LKT36" s="424"/>
      <c r="LKU36" s="427"/>
      <c r="LKV36" s="424"/>
      <c r="LKW36" s="427"/>
      <c r="LKX36" s="424"/>
      <c r="LKY36" s="427"/>
      <c r="LKZ36" s="424"/>
      <c r="LLA36" s="427"/>
      <c r="LLB36" s="424"/>
      <c r="LLC36" s="427"/>
      <c r="LLD36" s="424"/>
      <c r="LLE36" s="427"/>
      <c r="LLF36" s="424"/>
      <c r="LLG36" s="427"/>
      <c r="LLH36" s="424"/>
      <c r="LLI36" s="427"/>
      <c r="LLJ36" s="424"/>
      <c r="LLK36" s="427"/>
      <c r="LLL36" s="424"/>
      <c r="LLM36" s="427"/>
      <c r="LLN36" s="424"/>
      <c r="LLO36" s="427"/>
      <c r="LLP36" s="424"/>
      <c r="LLQ36" s="427"/>
      <c r="LLR36" s="424"/>
      <c r="LLS36" s="427"/>
      <c r="LLT36" s="424"/>
      <c r="LLU36" s="427"/>
      <c r="LLV36" s="424"/>
      <c r="LLW36" s="427"/>
      <c r="LLX36" s="424"/>
      <c r="LLY36" s="427"/>
      <c r="LLZ36" s="424"/>
      <c r="LMA36" s="427"/>
      <c r="LMB36" s="424"/>
      <c r="LMC36" s="427"/>
      <c r="LMD36" s="424"/>
      <c r="LME36" s="427"/>
      <c r="LMF36" s="424"/>
      <c r="LMG36" s="427"/>
      <c r="LMH36" s="424"/>
      <c r="LMI36" s="427"/>
      <c r="LMJ36" s="424"/>
      <c r="LMK36" s="427"/>
      <c r="LML36" s="424"/>
      <c r="LMM36" s="427"/>
      <c r="LMN36" s="424"/>
      <c r="LMO36" s="427"/>
      <c r="LMP36" s="424"/>
      <c r="LMQ36" s="427"/>
      <c r="LMR36" s="424"/>
      <c r="LMS36" s="427"/>
      <c r="LMT36" s="424"/>
      <c r="LMU36" s="427"/>
      <c r="LMV36" s="424"/>
      <c r="LMW36" s="427"/>
      <c r="LMX36" s="424"/>
      <c r="LMY36" s="427"/>
      <c r="LMZ36" s="424"/>
      <c r="LNA36" s="427"/>
      <c r="LNB36" s="424"/>
      <c r="LNC36" s="427"/>
      <c r="LND36" s="424"/>
      <c r="LNE36" s="427"/>
      <c r="LNF36" s="424"/>
      <c r="LNG36" s="427"/>
      <c r="LNH36" s="424"/>
      <c r="LNI36" s="427"/>
      <c r="LNJ36" s="424"/>
      <c r="LNK36" s="427"/>
      <c r="LNL36" s="424"/>
      <c r="LNM36" s="427"/>
      <c r="LNN36" s="424"/>
      <c r="LNO36" s="427"/>
      <c r="LNP36" s="424"/>
      <c r="LNQ36" s="427"/>
      <c r="LNR36" s="424"/>
      <c r="LNS36" s="427"/>
      <c r="LNT36" s="424"/>
      <c r="LNU36" s="427"/>
      <c r="LNV36" s="424"/>
      <c r="LNW36" s="427"/>
      <c r="LNX36" s="424"/>
      <c r="LNY36" s="427"/>
      <c r="LNZ36" s="424"/>
      <c r="LOA36" s="427"/>
      <c r="LOB36" s="424"/>
      <c r="LOC36" s="427"/>
      <c r="LOD36" s="424"/>
      <c r="LOE36" s="427"/>
      <c r="LOF36" s="424"/>
      <c r="LOG36" s="427"/>
      <c r="LOH36" s="424"/>
      <c r="LOI36" s="427"/>
      <c r="LOJ36" s="424"/>
      <c r="LOK36" s="427"/>
      <c r="LOL36" s="424"/>
      <c r="LOM36" s="427"/>
      <c r="LON36" s="424"/>
      <c r="LOO36" s="427"/>
      <c r="LOP36" s="424"/>
      <c r="LOQ36" s="427"/>
      <c r="LOR36" s="424"/>
      <c r="LOS36" s="427"/>
      <c r="LOT36" s="424"/>
      <c r="LOU36" s="427"/>
      <c r="LOV36" s="424"/>
      <c r="LOW36" s="427"/>
      <c r="LOX36" s="424"/>
      <c r="LOY36" s="427"/>
      <c r="LOZ36" s="424"/>
      <c r="LPA36" s="427"/>
      <c r="LPB36" s="424"/>
      <c r="LPC36" s="427"/>
      <c r="LPD36" s="424"/>
      <c r="LPE36" s="427"/>
      <c r="LPF36" s="424"/>
      <c r="LPG36" s="427"/>
      <c r="LPH36" s="424"/>
      <c r="LPI36" s="427"/>
      <c r="LPJ36" s="424"/>
      <c r="LPK36" s="427"/>
      <c r="LPL36" s="424"/>
      <c r="LPM36" s="427"/>
      <c r="LPN36" s="424"/>
      <c r="LPO36" s="427"/>
      <c r="LPP36" s="424"/>
      <c r="LPQ36" s="427"/>
      <c r="LPR36" s="424"/>
      <c r="LPS36" s="427"/>
      <c r="LPT36" s="424"/>
      <c r="LPU36" s="427"/>
      <c r="LPV36" s="424"/>
      <c r="LPW36" s="427"/>
      <c r="LPX36" s="424"/>
      <c r="LPY36" s="427"/>
      <c r="LPZ36" s="424"/>
      <c r="LQA36" s="427"/>
      <c r="LQB36" s="424"/>
      <c r="LQC36" s="427"/>
      <c r="LQD36" s="424"/>
      <c r="LQE36" s="427"/>
      <c r="LQF36" s="424"/>
      <c r="LQG36" s="427"/>
      <c r="LQH36" s="424"/>
      <c r="LQI36" s="427"/>
      <c r="LQJ36" s="424"/>
      <c r="LQK36" s="427"/>
      <c r="LQL36" s="424"/>
      <c r="LQM36" s="427"/>
      <c r="LQN36" s="424"/>
      <c r="LQO36" s="427"/>
      <c r="LQP36" s="424"/>
      <c r="LQQ36" s="427"/>
      <c r="LQR36" s="424"/>
      <c r="LQS36" s="427"/>
      <c r="LQT36" s="424"/>
      <c r="LQU36" s="427"/>
      <c r="LQV36" s="424"/>
      <c r="LQW36" s="427"/>
      <c r="LQX36" s="424"/>
      <c r="LQY36" s="427"/>
      <c r="LQZ36" s="424"/>
      <c r="LRA36" s="427"/>
      <c r="LRB36" s="424"/>
      <c r="LRC36" s="427"/>
      <c r="LRD36" s="424"/>
      <c r="LRE36" s="427"/>
      <c r="LRF36" s="424"/>
      <c r="LRG36" s="427"/>
      <c r="LRH36" s="424"/>
      <c r="LRI36" s="427"/>
      <c r="LRJ36" s="424"/>
      <c r="LRK36" s="427"/>
      <c r="LRL36" s="424"/>
      <c r="LRM36" s="427"/>
      <c r="LRN36" s="424"/>
      <c r="LRO36" s="427"/>
      <c r="LRP36" s="424"/>
      <c r="LRQ36" s="427"/>
      <c r="LRR36" s="424"/>
      <c r="LRS36" s="427"/>
      <c r="LRT36" s="424"/>
      <c r="LRU36" s="427"/>
      <c r="LRV36" s="424"/>
      <c r="LRW36" s="427"/>
      <c r="LRX36" s="424"/>
      <c r="LRY36" s="427"/>
      <c r="LRZ36" s="424"/>
      <c r="LSA36" s="427"/>
      <c r="LSB36" s="424"/>
      <c r="LSC36" s="427"/>
      <c r="LSD36" s="424"/>
      <c r="LSE36" s="427"/>
      <c r="LSF36" s="424"/>
      <c r="LSG36" s="427"/>
      <c r="LSH36" s="424"/>
      <c r="LSI36" s="427"/>
      <c r="LSJ36" s="424"/>
      <c r="LSK36" s="427"/>
      <c r="LSL36" s="424"/>
      <c r="LSM36" s="427"/>
      <c r="LSN36" s="424"/>
      <c r="LSO36" s="427"/>
      <c r="LSP36" s="424"/>
      <c r="LSQ36" s="427"/>
      <c r="LSR36" s="424"/>
      <c r="LSS36" s="427"/>
      <c r="LST36" s="424"/>
      <c r="LSU36" s="427"/>
      <c r="LSV36" s="424"/>
      <c r="LSW36" s="427"/>
      <c r="LSX36" s="424"/>
      <c r="LSY36" s="427"/>
      <c r="LSZ36" s="424"/>
      <c r="LTA36" s="427"/>
      <c r="LTB36" s="424"/>
      <c r="LTC36" s="427"/>
      <c r="LTD36" s="424"/>
      <c r="LTE36" s="427"/>
      <c r="LTF36" s="424"/>
      <c r="LTG36" s="427"/>
      <c r="LTH36" s="424"/>
      <c r="LTI36" s="427"/>
      <c r="LTJ36" s="424"/>
      <c r="LTK36" s="427"/>
      <c r="LTL36" s="424"/>
      <c r="LTM36" s="427"/>
      <c r="LTN36" s="424"/>
      <c r="LTO36" s="427"/>
      <c r="LTP36" s="424"/>
      <c r="LTQ36" s="427"/>
      <c r="LTR36" s="424"/>
      <c r="LTS36" s="427"/>
      <c r="LTT36" s="424"/>
      <c r="LTU36" s="427"/>
      <c r="LTV36" s="424"/>
      <c r="LTW36" s="427"/>
      <c r="LTX36" s="424"/>
      <c r="LTY36" s="427"/>
      <c r="LTZ36" s="424"/>
      <c r="LUA36" s="427"/>
      <c r="LUB36" s="424"/>
      <c r="LUC36" s="427"/>
      <c r="LUD36" s="424"/>
      <c r="LUE36" s="427"/>
      <c r="LUF36" s="424"/>
      <c r="LUG36" s="427"/>
      <c r="LUH36" s="424"/>
      <c r="LUI36" s="427"/>
      <c r="LUJ36" s="424"/>
      <c r="LUK36" s="427"/>
      <c r="LUL36" s="424"/>
      <c r="LUM36" s="427"/>
      <c r="LUN36" s="424"/>
      <c r="LUO36" s="427"/>
      <c r="LUP36" s="424"/>
      <c r="LUQ36" s="427"/>
      <c r="LUR36" s="424"/>
      <c r="LUS36" s="427"/>
      <c r="LUT36" s="424"/>
      <c r="LUU36" s="427"/>
      <c r="LUV36" s="424"/>
      <c r="LUW36" s="427"/>
      <c r="LUX36" s="424"/>
      <c r="LUY36" s="427"/>
      <c r="LUZ36" s="424"/>
      <c r="LVA36" s="427"/>
      <c r="LVB36" s="424"/>
      <c r="LVC36" s="427"/>
      <c r="LVD36" s="424"/>
      <c r="LVE36" s="427"/>
      <c r="LVF36" s="424"/>
      <c r="LVG36" s="427"/>
      <c r="LVH36" s="424"/>
      <c r="LVI36" s="427"/>
      <c r="LVJ36" s="424"/>
      <c r="LVK36" s="427"/>
      <c r="LVL36" s="424"/>
      <c r="LVM36" s="427"/>
      <c r="LVN36" s="424"/>
      <c r="LVO36" s="427"/>
      <c r="LVP36" s="424"/>
      <c r="LVQ36" s="427"/>
      <c r="LVR36" s="424"/>
      <c r="LVS36" s="427"/>
      <c r="LVT36" s="424"/>
      <c r="LVU36" s="427"/>
      <c r="LVV36" s="424"/>
      <c r="LVW36" s="427"/>
      <c r="LVX36" s="424"/>
      <c r="LVY36" s="427"/>
      <c r="LVZ36" s="424"/>
      <c r="LWA36" s="427"/>
      <c r="LWB36" s="424"/>
      <c r="LWC36" s="427"/>
      <c r="LWD36" s="424"/>
      <c r="LWE36" s="427"/>
      <c r="LWF36" s="424"/>
      <c r="LWG36" s="427"/>
      <c r="LWH36" s="424"/>
      <c r="LWI36" s="427"/>
      <c r="LWJ36" s="424"/>
      <c r="LWK36" s="427"/>
      <c r="LWL36" s="424"/>
      <c r="LWM36" s="427"/>
      <c r="LWN36" s="424"/>
      <c r="LWO36" s="427"/>
      <c r="LWP36" s="424"/>
      <c r="LWQ36" s="427"/>
      <c r="LWR36" s="424"/>
      <c r="LWS36" s="427"/>
      <c r="LWT36" s="424"/>
      <c r="LWU36" s="427"/>
      <c r="LWV36" s="424"/>
      <c r="LWW36" s="427"/>
      <c r="LWX36" s="424"/>
      <c r="LWY36" s="427"/>
      <c r="LWZ36" s="424"/>
      <c r="LXA36" s="427"/>
      <c r="LXB36" s="424"/>
      <c r="LXC36" s="427"/>
      <c r="LXD36" s="424"/>
      <c r="LXE36" s="427"/>
      <c r="LXF36" s="424"/>
      <c r="LXG36" s="427"/>
      <c r="LXH36" s="424"/>
      <c r="LXI36" s="427"/>
      <c r="LXJ36" s="424"/>
      <c r="LXK36" s="427"/>
      <c r="LXL36" s="424"/>
      <c r="LXM36" s="427"/>
      <c r="LXN36" s="424"/>
      <c r="LXO36" s="427"/>
      <c r="LXP36" s="424"/>
      <c r="LXQ36" s="427"/>
      <c r="LXR36" s="424"/>
      <c r="LXS36" s="427"/>
      <c r="LXT36" s="424"/>
      <c r="LXU36" s="427"/>
      <c r="LXV36" s="424"/>
      <c r="LXW36" s="427"/>
      <c r="LXX36" s="424"/>
      <c r="LXY36" s="427"/>
      <c r="LXZ36" s="424"/>
      <c r="LYA36" s="427"/>
      <c r="LYB36" s="424"/>
      <c r="LYC36" s="427"/>
      <c r="LYD36" s="424"/>
      <c r="LYE36" s="427"/>
      <c r="LYF36" s="424"/>
      <c r="LYG36" s="427"/>
      <c r="LYH36" s="424"/>
      <c r="LYI36" s="427"/>
      <c r="LYJ36" s="424"/>
      <c r="LYK36" s="427"/>
      <c r="LYL36" s="424"/>
      <c r="LYM36" s="427"/>
      <c r="LYN36" s="424"/>
      <c r="LYO36" s="427"/>
      <c r="LYP36" s="424"/>
      <c r="LYQ36" s="427"/>
      <c r="LYR36" s="424"/>
      <c r="LYS36" s="427"/>
      <c r="LYT36" s="424"/>
      <c r="LYU36" s="427"/>
      <c r="LYV36" s="424"/>
      <c r="LYW36" s="427"/>
      <c r="LYX36" s="424"/>
      <c r="LYY36" s="427"/>
      <c r="LYZ36" s="424"/>
      <c r="LZA36" s="427"/>
      <c r="LZB36" s="424"/>
      <c r="LZC36" s="427"/>
      <c r="LZD36" s="424"/>
      <c r="LZE36" s="427"/>
      <c r="LZF36" s="424"/>
      <c r="LZG36" s="427"/>
      <c r="LZH36" s="424"/>
      <c r="LZI36" s="427"/>
      <c r="LZJ36" s="424"/>
      <c r="LZK36" s="427"/>
      <c r="LZL36" s="424"/>
      <c r="LZM36" s="427"/>
      <c r="LZN36" s="424"/>
      <c r="LZO36" s="427"/>
      <c r="LZP36" s="424"/>
      <c r="LZQ36" s="427"/>
      <c r="LZR36" s="424"/>
      <c r="LZS36" s="427"/>
      <c r="LZT36" s="424"/>
      <c r="LZU36" s="427"/>
      <c r="LZV36" s="424"/>
      <c r="LZW36" s="427"/>
      <c r="LZX36" s="424"/>
      <c r="LZY36" s="427"/>
      <c r="LZZ36" s="424"/>
      <c r="MAA36" s="427"/>
      <c r="MAB36" s="424"/>
      <c r="MAC36" s="427"/>
      <c r="MAD36" s="424"/>
      <c r="MAE36" s="427"/>
      <c r="MAF36" s="424"/>
      <c r="MAG36" s="427"/>
      <c r="MAH36" s="424"/>
      <c r="MAI36" s="427"/>
      <c r="MAJ36" s="424"/>
      <c r="MAK36" s="427"/>
      <c r="MAL36" s="424"/>
      <c r="MAM36" s="427"/>
      <c r="MAN36" s="424"/>
      <c r="MAO36" s="427"/>
      <c r="MAP36" s="424"/>
      <c r="MAQ36" s="427"/>
      <c r="MAR36" s="424"/>
      <c r="MAS36" s="427"/>
      <c r="MAT36" s="424"/>
      <c r="MAU36" s="427"/>
      <c r="MAV36" s="424"/>
      <c r="MAW36" s="427"/>
      <c r="MAX36" s="424"/>
      <c r="MAY36" s="427"/>
      <c r="MAZ36" s="424"/>
      <c r="MBA36" s="427"/>
      <c r="MBB36" s="424"/>
      <c r="MBC36" s="427"/>
      <c r="MBD36" s="424"/>
      <c r="MBE36" s="427"/>
      <c r="MBF36" s="424"/>
      <c r="MBG36" s="427"/>
      <c r="MBH36" s="424"/>
      <c r="MBI36" s="427"/>
      <c r="MBJ36" s="424"/>
      <c r="MBK36" s="427"/>
      <c r="MBL36" s="424"/>
      <c r="MBM36" s="427"/>
      <c r="MBN36" s="424"/>
      <c r="MBO36" s="427"/>
      <c r="MBP36" s="424"/>
      <c r="MBQ36" s="427"/>
      <c r="MBR36" s="424"/>
      <c r="MBS36" s="427"/>
      <c r="MBT36" s="424"/>
      <c r="MBU36" s="427"/>
      <c r="MBV36" s="424"/>
      <c r="MBW36" s="427"/>
      <c r="MBX36" s="424"/>
      <c r="MBY36" s="427"/>
      <c r="MBZ36" s="424"/>
      <c r="MCA36" s="427"/>
      <c r="MCB36" s="424"/>
      <c r="MCC36" s="427"/>
      <c r="MCD36" s="424"/>
      <c r="MCE36" s="427"/>
      <c r="MCF36" s="424"/>
      <c r="MCG36" s="427"/>
      <c r="MCH36" s="424"/>
      <c r="MCI36" s="427"/>
      <c r="MCJ36" s="424"/>
      <c r="MCK36" s="427"/>
      <c r="MCL36" s="424"/>
      <c r="MCM36" s="427"/>
      <c r="MCN36" s="424"/>
      <c r="MCO36" s="427"/>
      <c r="MCP36" s="424"/>
      <c r="MCQ36" s="427"/>
      <c r="MCR36" s="424"/>
      <c r="MCS36" s="427"/>
      <c r="MCT36" s="424"/>
      <c r="MCU36" s="427"/>
      <c r="MCV36" s="424"/>
      <c r="MCW36" s="427"/>
      <c r="MCX36" s="424"/>
      <c r="MCY36" s="427"/>
      <c r="MCZ36" s="424"/>
      <c r="MDA36" s="427"/>
      <c r="MDB36" s="424"/>
      <c r="MDC36" s="427"/>
      <c r="MDD36" s="424"/>
      <c r="MDE36" s="427"/>
      <c r="MDF36" s="424"/>
      <c r="MDG36" s="427"/>
      <c r="MDH36" s="424"/>
      <c r="MDI36" s="427"/>
      <c r="MDJ36" s="424"/>
      <c r="MDK36" s="427"/>
      <c r="MDL36" s="424"/>
      <c r="MDM36" s="427"/>
      <c r="MDN36" s="424"/>
      <c r="MDO36" s="427"/>
      <c r="MDP36" s="424"/>
      <c r="MDQ36" s="427"/>
      <c r="MDR36" s="424"/>
      <c r="MDS36" s="427"/>
      <c r="MDT36" s="424"/>
      <c r="MDU36" s="427"/>
      <c r="MDV36" s="424"/>
      <c r="MDW36" s="427"/>
      <c r="MDX36" s="424"/>
      <c r="MDY36" s="427"/>
      <c r="MDZ36" s="424"/>
      <c r="MEA36" s="427"/>
      <c r="MEB36" s="424"/>
      <c r="MEC36" s="427"/>
      <c r="MED36" s="424"/>
      <c r="MEE36" s="427"/>
      <c r="MEF36" s="424"/>
      <c r="MEG36" s="427"/>
      <c r="MEH36" s="424"/>
      <c r="MEI36" s="427"/>
      <c r="MEJ36" s="424"/>
      <c r="MEK36" s="427"/>
      <c r="MEL36" s="424"/>
      <c r="MEM36" s="427"/>
      <c r="MEN36" s="424"/>
      <c r="MEO36" s="427"/>
      <c r="MEP36" s="424"/>
      <c r="MEQ36" s="427"/>
      <c r="MER36" s="424"/>
      <c r="MES36" s="427"/>
      <c r="MET36" s="424"/>
      <c r="MEU36" s="427"/>
      <c r="MEV36" s="424"/>
      <c r="MEW36" s="427"/>
      <c r="MEX36" s="424"/>
      <c r="MEY36" s="427"/>
      <c r="MEZ36" s="424"/>
      <c r="MFA36" s="427"/>
      <c r="MFB36" s="424"/>
      <c r="MFC36" s="427"/>
      <c r="MFD36" s="424"/>
      <c r="MFE36" s="427"/>
      <c r="MFF36" s="424"/>
      <c r="MFG36" s="427"/>
      <c r="MFH36" s="424"/>
      <c r="MFI36" s="427"/>
      <c r="MFJ36" s="424"/>
      <c r="MFK36" s="427"/>
      <c r="MFL36" s="424"/>
      <c r="MFM36" s="427"/>
      <c r="MFN36" s="424"/>
      <c r="MFO36" s="427"/>
      <c r="MFP36" s="424"/>
      <c r="MFQ36" s="427"/>
      <c r="MFR36" s="424"/>
      <c r="MFS36" s="427"/>
      <c r="MFT36" s="424"/>
      <c r="MFU36" s="427"/>
      <c r="MFV36" s="424"/>
      <c r="MFW36" s="427"/>
      <c r="MFX36" s="424"/>
      <c r="MFY36" s="427"/>
      <c r="MFZ36" s="424"/>
      <c r="MGA36" s="427"/>
      <c r="MGB36" s="424"/>
      <c r="MGC36" s="427"/>
      <c r="MGD36" s="424"/>
      <c r="MGE36" s="427"/>
      <c r="MGF36" s="424"/>
      <c r="MGG36" s="427"/>
      <c r="MGH36" s="424"/>
      <c r="MGI36" s="427"/>
      <c r="MGJ36" s="424"/>
      <c r="MGK36" s="427"/>
      <c r="MGL36" s="424"/>
      <c r="MGM36" s="427"/>
      <c r="MGN36" s="424"/>
      <c r="MGO36" s="427"/>
      <c r="MGP36" s="424"/>
      <c r="MGQ36" s="427"/>
      <c r="MGR36" s="424"/>
      <c r="MGS36" s="427"/>
      <c r="MGT36" s="424"/>
      <c r="MGU36" s="427"/>
      <c r="MGV36" s="424"/>
      <c r="MGW36" s="427"/>
      <c r="MGX36" s="424"/>
      <c r="MGY36" s="427"/>
      <c r="MGZ36" s="424"/>
      <c r="MHA36" s="427"/>
      <c r="MHB36" s="424"/>
      <c r="MHC36" s="427"/>
      <c r="MHD36" s="424"/>
      <c r="MHE36" s="427"/>
      <c r="MHF36" s="424"/>
      <c r="MHG36" s="427"/>
      <c r="MHH36" s="424"/>
      <c r="MHI36" s="427"/>
      <c r="MHJ36" s="424"/>
      <c r="MHK36" s="427"/>
      <c r="MHL36" s="424"/>
      <c r="MHM36" s="427"/>
      <c r="MHN36" s="424"/>
      <c r="MHO36" s="427"/>
      <c r="MHP36" s="424"/>
      <c r="MHQ36" s="427"/>
      <c r="MHR36" s="424"/>
      <c r="MHS36" s="427"/>
      <c r="MHT36" s="424"/>
      <c r="MHU36" s="427"/>
      <c r="MHV36" s="424"/>
      <c r="MHW36" s="427"/>
      <c r="MHX36" s="424"/>
      <c r="MHY36" s="427"/>
      <c r="MHZ36" s="424"/>
      <c r="MIA36" s="427"/>
      <c r="MIB36" s="424"/>
      <c r="MIC36" s="427"/>
      <c r="MID36" s="424"/>
      <c r="MIE36" s="427"/>
      <c r="MIF36" s="424"/>
      <c r="MIG36" s="427"/>
      <c r="MIH36" s="424"/>
      <c r="MII36" s="427"/>
      <c r="MIJ36" s="424"/>
      <c r="MIK36" s="427"/>
      <c r="MIL36" s="424"/>
      <c r="MIM36" s="427"/>
      <c r="MIN36" s="424"/>
      <c r="MIO36" s="427"/>
      <c r="MIP36" s="424"/>
      <c r="MIQ36" s="427"/>
      <c r="MIR36" s="424"/>
      <c r="MIS36" s="427"/>
      <c r="MIT36" s="424"/>
      <c r="MIU36" s="427"/>
      <c r="MIV36" s="424"/>
      <c r="MIW36" s="427"/>
      <c r="MIX36" s="424"/>
      <c r="MIY36" s="427"/>
      <c r="MIZ36" s="424"/>
      <c r="MJA36" s="427"/>
      <c r="MJB36" s="424"/>
      <c r="MJC36" s="427"/>
      <c r="MJD36" s="424"/>
      <c r="MJE36" s="427"/>
      <c r="MJF36" s="424"/>
      <c r="MJG36" s="427"/>
      <c r="MJH36" s="424"/>
      <c r="MJI36" s="427"/>
      <c r="MJJ36" s="424"/>
      <c r="MJK36" s="427"/>
      <c r="MJL36" s="424"/>
      <c r="MJM36" s="427"/>
      <c r="MJN36" s="424"/>
      <c r="MJO36" s="427"/>
      <c r="MJP36" s="424"/>
      <c r="MJQ36" s="427"/>
      <c r="MJR36" s="424"/>
      <c r="MJS36" s="427"/>
      <c r="MJT36" s="424"/>
      <c r="MJU36" s="427"/>
      <c r="MJV36" s="424"/>
      <c r="MJW36" s="427"/>
      <c r="MJX36" s="424"/>
      <c r="MJY36" s="427"/>
      <c r="MJZ36" s="424"/>
      <c r="MKA36" s="427"/>
      <c r="MKB36" s="424"/>
      <c r="MKC36" s="427"/>
      <c r="MKD36" s="424"/>
      <c r="MKE36" s="427"/>
      <c r="MKF36" s="424"/>
      <c r="MKG36" s="427"/>
      <c r="MKH36" s="424"/>
      <c r="MKI36" s="427"/>
      <c r="MKJ36" s="424"/>
      <c r="MKK36" s="427"/>
      <c r="MKL36" s="424"/>
      <c r="MKM36" s="427"/>
      <c r="MKN36" s="424"/>
      <c r="MKO36" s="427"/>
      <c r="MKP36" s="424"/>
      <c r="MKQ36" s="427"/>
      <c r="MKR36" s="424"/>
      <c r="MKS36" s="427"/>
      <c r="MKT36" s="424"/>
      <c r="MKU36" s="427"/>
      <c r="MKV36" s="424"/>
      <c r="MKW36" s="427"/>
      <c r="MKX36" s="424"/>
      <c r="MKY36" s="427"/>
      <c r="MKZ36" s="424"/>
      <c r="MLA36" s="427"/>
      <c r="MLB36" s="424"/>
      <c r="MLC36" s="427"/>
      <c r="MLD36" s="424"/>
      <c r="MLE36" s="427"/>
      <c r="MLF36" s="424"/>
      <c r="MLG36" s="427"/>
      <c r="MLH36" s="424"/>
      <c r="MLI36" s="427"/>
      <c r="MLJ36" s="424"/>
      <c r="MLK36" s="427"/>
      <c r="MLL36" s="424"/>
      <c r="MLM36" s="427"/>
      <c r="MLN36" s="424"/>
      <c r="MLO36" s="427"/>
      <c r="MLP36" s="424"/>
      <c r="MLQ36" s="427"/>
      <c r="MLR36" s="424"/>
      <c r="MLS36" s="427"/>
      <c r="MLT36" s="424"/>
      <c r="MLU36" s="427"/>
      <c r="MLV36" s="424"/>
      <c r="MLW36" s="427"/>
      <c r="MLX36" s="424"/>
      <c r="MLY36" s="427"/>
      <c r="MLZ36" s="424"/>
      <c r="MMA36" s="427"/>
      <c r="MMB36" s="424"/>
      <c r="MMC36" s="427"/>
      <c r="MMD36" s="424"/>
      <c r="MME36" s="427"/>
      <c r="MMF36" s="424"/>
      <c r="MMG36" s="427"/>
      <c r="MMH36" s="424"/>
      <c r="MMI36" s="427"/>
      <c r="MMJ36" s="424"/>
      <c r="MMK36" s="427"/>
      <c r="MML36" s="424"/>
      <c r="MMM36" s="427"/>
      <c r="MMN36" s="424"/>
      <c r="MMO36" s="427"/>
      <c r="MMP36" s="424"/>
      <c r="MMQ36" s="427"/>
      <c r="MMR36" s="424"/>
      <c r="MMS36" s="427"/>
      <c r="MMT36" s="424"/>
      <c r="MMU36" s="427"/>
      <c r="MMV36" s="424"/>
      <c r="MMW36" s="427"/>
      <c r="MMX36" s="424"/>
      <c r="MMY36" s="427"/>
      <c r="MMZ36" s="424"/>
      <c r="MNA36" s="427"/>
      <c r="MNB36" s="424"/>
      <c r="MNC36" s="427"/>
      <c r="MND36" s="424"/>
      <c r="MNE36" s="427"/>
      <c r="MNF36" s="424"/>
      <c r="MNG36" s="427"/>
      <c r="MNH36" s="424"/>
      <c r="MNI36" s="427"/>
      <c r="MNJ36" s="424"/>
      <c r="MNK36" s="427"/>
      <c r="MNL36" s="424"/>
      <c r="MNM36" s="427"/>
      <c r="MNN36" s="424"/>
      <c r="MNO36" s="427"/>
      <c r="MNP36" s="424"/>
      <c r="MNQ36" s="427"/>
      <c r="MNR36" s="424"/>
      <c r="MNS36" s="427"/>
      <c r="MNT36" s="424"/>
      <c r="MNU36" s="427"/>
      <c r="MNV36" s="424"/>
      <c r="MNW36" s="427"/>
      <c r="MNX36" s="424"/>
      <c r="MNY36" s="427"/>
      <c r="MNZ36" s="424"/>
      <c r="MOA36" s="427"/>
      <c r="MOB36" s="424"/>
      <c r="MOC36" s="427"/>
      <c r="MOD36" s="424"/>
      <c r="MOE36" s="427"/>
      <c r="MOF36" s="424"/>
      <c r="MOG36" s="427"/>
      <c r="MOH36" s="424"/>
      <c r="MOI36" s="427"/>
      <c r="MOJ36" s="424"/>
      <c r="MOK36" s="427"/>
      <c r="MOL36" s="424"/>
      <c r="MOM36" s="427"/>
      <c r="MON36" s="424"/>
      <c r="MOO36" s="427"/>
      <c r="MOP36" s="424"/>
      <c r="MOQ36" s="427"/>
      <c r="MOR36" s="424"/>
      <c r="MOS36" s="427"/>
      <c r="MOT36" s="424"/>
      <c r="MOU36" s="427"/>
      <c r="MOV36" s="424"/>
      <c r="MOW36" s="427"/>
      <c r="MOX36" s="424"/>
      <c r="MOY36" s="427"/>
      <c r="MOZ36" s="424"/>
      <c r="MPA36" s="427"/>
      <c r="MPB36" s="424"/>
      <c r="MPC36" s="427"/>
      <c r="MPD36" s="424"/>
      <c r="MPE36" s="427"/>
      <c r="MPF36" s="424"/>
      <c r="MPG36" s="427"/>
      <c r="MPH36" s="424"/>
      <c r="MPI36" s="427"/>
      <c r="MPJ36" s="424"/>
      <c r="MPK36" s="427"/>
      <c r="MPL36" s="424"/>
      <c r="MPM36" s="427"/>
      <c r="MPN36" s="424"/>
      <c r="MPO36" s="427"/>
      <c r="MPP36" s="424"/>
      <c r="MPQ36" s="427"/>
      <c r="MPR36" s="424"/>
      <c r="MPS36" s="427"/>
      <c r="MPT36" s="424"/>
      <c r="MPU36" s="427"/>
      <c r="MPV36" s="424"/>
      <c r="MPW36" s="427"/>
      <c r="MPX36" s="424"/>
      <c r="MPY36" s="427"/>
      <c r="MPZ36" s="424"/>
      <c r="MQA36" s="427"/>
      <c r="MQB36" s="424"/>
      <c r="MQC36" s="427"/>
      <c r="MQD36" s="424"/>
      <c r="MQE36" s="427"/>
      <c r="MQF36" s="424"/>
      <c r="MQG36" s="427"/>
      <c r="MQH36" s="424"/>
      <c r="MQI36" s="427"/>
      <c r="MQJ36" s="424"/>
      <c r="MQK36" s="427"/>
      <c r="MQL36" s="424"/>
      <c r="MQM36" s="427"/>
      <c r="MQN36" s="424"/>
      <c r="MQO36" s="427"/>
      <c r="MQP36" s="424"/>
      <c r="MQQ36" s="427"/>
      <c r="MQR36" s="424"/>
      <c r="MQS36" s="427"/>
      <c r="MQT36" s="424"/>
      <c r="MQU36" s="427"/>
      <c r="MQV36" s="424"/>
      <c r="MQW36" s="427"/>
      <c r="MQX36" s="424"/>
      <c r="MQY36" s="427"/>
      <c r="MQZ36" s="424"/>
      <c r="MRA36" s="427"/>
      <c r="MRB36" s="424"/>
      <c r="MRC36" s="427"/>
      <c r="MRD36" s="424"/>
      <c r="MRE36" s="427"/>
      <c r="MRF36" s="424"/>
      <c r="MRG36" s="427"/>
      <c r="MRH36" s="424"/>
      <c r="MRI36" s="427"/>
      <c r="MRJ36" s="424"/>
      <c r="MRK36" s="427"/>
      <c r="MRL36" s="424"/>
      <c r="MRM36" s="427"/>
      <c r="MRN36" s="424"/>
      <c r="MRO36" s="427"/>
      <c r="MRP36" s="424"/>
      <c r="MRQ36" s="427"/>
      <c r="MRR36" s="424"/>
      <c r="MRS36" s="427"/>
      <c r="MRT36" s="424"/>
      <c r="MRU36" s="427"/>
      <c r="MRV36" s="424"/>
      <c r="MRW36" s="427"/>
      <c r="MRX36" s="424"/>
      <c r="MRY36" s="427"/>
      <c r="MRZ36" s="424"/>
      <c r="MSA36" s="427"/>
      <c r="MSB36" s="424"/>
      <c r="MSC36" s="427"/>
      <c r="MSD36" s="424"/>
      <c r="MSE36" s="427"/>
      <c r="MSF36" s="424"/>
      <c r="MSG36" s="427"/>
      <c r="MSH36" s="424"/>
      <c r="MSI36" s="427"/>
      <c r="MSJ36" s="424"/>
      <c r="MSK36" s="427"/>
      <c r="MSL36" s="424"/>
      <c r="MSM36" s="427"/>
      <c r="MSN36" s="424"/>
      <c r="MSO36" s="427"/>
      <c r="MSP36" s="424"/>
      <c r="MSQ36" s="427"/>
      <c r="MSR36" s="424"/>
      <c r="MSS36" s="427"/>
      <c r="MST36" s="424"/>
      <c r="MSU36" s="427"/>
      <c r="MSV36" s="424"/>
      <c r="MSW36" s="427"/>
      <c r="MSX36" s="424"/>
      <c r="MSY36" s="427"/>
      <c r="MSZ36" s="424"/>
      <c r="MTA36" s="427"/>
      <c r="MTB36" s="424"/>
      <c r="MTC36" s="427"/>
      <c r="MTD36" s="424"/>
      <c r="MTE36" s="427"/>
      <c r="MTF36" s="424"/>
      <c r="MTG36" s="427"/>
      <c r="MTH36" s="424"/>
      <c r="MTI36" s="427"/>
      <c r="MTJ36" s="424"/>
      <c r="MTK36" s="427"/>
      <c r="MTL36" s="424"/>
      <c r="MTM36" s="427"/>
      <c r="MTN36" s="424"/>
      <c r="MTO36" s="427"/>
      <c r="MTP36" s="424"/>
      <c r="MTQ36" s="427"/>
      <c r="MTR36" s="424"/>
      <c r="MTS36" s="427"/>
      <c r="MTT36" s="424"/>
      <c r="MTU36" s="427"/>
      <c r="MTV36" s="424"/>
      <c r="MTW36" s="427"/>
      <c r="MTX36" s="424"/>
      <c r="MTY36" s="427"/>
      <c r="MTZ36" s="424"/>
      <c r="MUA36" s="427"/>
      <c r="MUB36" s="424"/>
      <c r="MUC36" s="427"/>
      <c r="MUD36" s="424"/>
      <c r="MUE36" s="427"/>
      <c r="MUF36" s="424"/>
      <c r="MUG36" s="427"/>
      <c r="MUH36" s="424"/>
      <c r="MUI36" s="427"/>
      <c r="MUJ36" s="424"/>
      <c r="MUK36" s="427"/>
      <c r="MUL36" s="424"/>
      <c r="MUM36" s="427"/>
      <c r="MUN36" s="424"/>
      <c r="MUO36" s="427"/>
      <c r="MUP36" s="424"/>
      <c r="MUQ36" s="427"/>
      <c r="MUR36" s="424"/>
      <c r="MUS36" s="427"/>
      <c r="MUT36" s="424"/>
      <c r="MUU36" s="427"/>
      <c r="MUV36" s="424"/>
      <c r="MUW36" s="427"/>
      <c r="MUX36" s="424"/>
      <c r="MUY36" s="427"/>
      <c r="MUZ36" s="424"/>
      <c r="MVA36" s="427"/>
      <c r="MVB36" s="424"/>
      <c r="MVC36" s="427"/>
      <c r="MVD36" s="424"/>
      <c r="MVE36" s="427"/>
      <c r="MVF36" s="424"/>
      <c r="MVG36" s="427"/>
      <c r="MVH36" s="424"/>
      <c r="MVI36" s="427"/>
      <c r="MVJ36" s="424"/>
      <c r="MVK36" s="427"/>
      <c r="MVL36" s="424"/>
      <c r="MVM36" s="427"/>
      <c r="MVN36" s="424"/>
      <c r="MVO36" s="427"/>
      <c r="MVP36" s="424"/>
      <c r="MVQ36" s="427"/>
      <c r="MVR36" s="424"/>
      <c r="MVS36" s="427"/>
      <c r="MVT36" s="424"/>
      <c r="MVU36" s="427"/>
      <c r="MVV36" s="424"/>
      <c r="MVW36" s="427"/>
      <c r="MVX36" s="424"/>
      <c r="MVY36" s="427"/>
      <c r="MVZ36" s="424"/>
      <c r="MWA36" s="427"/>
      <c r="MWB36" s="424"/>
      <c r="MWC36" s="427"/>
      <c r="MWD36" s="424"/>
      <c r="MWE36" s="427"/>
      <c r="MWF36" s="424"/>
      <c r="MWG36" s="427"/>
      <c r="MWH36" s="424"/>
      <c r="MWI36" s="427"/>
      <c r="MWJ36" s="424"/>
      <c r="MWK36" s="427"/>
      <c r="MWL36" s="424"/>
      <c r="MWM36" s="427"/>
      <c r="MWN36" s="424"/>
      <c r="MWO36" s="427"/>
      <c r="MWP36" s="424"/>
      <c r="MWQ36" s="427"/>
      <c r="MWR36" s="424"/>
      <c r="MWS36" s="427"/>
      <c r="MWT36" s="424"/>
      <c r="MWU36" s="427"/>
      <c r="MWV36" s="424"/>
      <c r="MWW36" s="427"/>
      <c r="MWX36" s="424"/>
      <c r="MWY36" s="427"/>
      <c r="MWZ36" s="424"/>
      <c r="MXA36" s="427"/>
      <c r="MXB36" s="424"/>
      <c r="MXC36" s="427"/>
      <c r="MXD36" s="424"/>
      <c r="MXE36" s="427"/>
      <c r="MXF36" s="424"/>
      <c r="MXG36" s="427"/>
      <c r="MXH36" s="424"/>
      <c r="MXI36" s="427"/>
      <c r="MXJ36" s="424"/>
      <c r="MXK36" s="427"/>
      <c r="MXL36" s="424"/>
      <c r="MXM36" s="427"/>
      <c r="MXN36" s="424"/>
      <c r="MXO36" s="427"/>
      <c r="MXP36" s="424"/>
      <c r="MXQ36" s="427"/>
      <c r="MXR36" s="424"/>
      <c r="MXS36" s="427"/>
      <c r="MXT36" s="424"/>
      <c r="MXU36" s="427"/>
      <c r="MXV36" s="424"/>
      <c r="MXW36" s="427"/>
      <c r="MXX36" s="424"/>
      <c r="MXY36" s="427"/>
      <c r="MXZ36" s="424"/>
      <c r="MYA36" s="427"/>
      <c r="MYB36" s="424"/>
      <c r="MYC36" s="427"/>
      <c r="MYD36" s="424"/>
      <c r="MYE36" s="427"/>
      <c r="MYF36" s="424"/>
      <c r="MYG36" s="427"/>
      <c r="MYH36" s="424"/>
      <c r="MYI36" s="427"/>
      <c r="MYJ36" s="424"/>
      <c r="MYK36" s="427"/>
      <c r="MYL36" s="424"/>
      <c r="MYM36" s="427"/>
      <c r="MYN36" s="424"/>
      <c r="MYO36" s="427"/>
      <c r="MYP36" s="424"/>
      <c r="MYQ36" s="427"/>
      <c r="MYR36" s="424"/>
      <c r="MYS36" s="427"/>
      <c r="MYT36" s="424"/>
      <c r="MYU36" s="427"/>
      <c r="MYV36" s="424"/>
      <c r="MYW36" s="427"/>
      <c r="MYX36" s="424"/>
      <c r="MYY36" s="427"/>
      <c r="MYZ36" s="424"/>
      <c r="MZA36" s="427"/>
      <c r="MZB36" s="424"/>
      <c r="MZC36" s="427"/>
      <c r="MZD36" s="424"/>
      <c r="MZE36" s="427"/>
      <c r="MZF36" s="424"/>
      <c r="MZG36" s="427"/>
      <c r="MZH36" s="424"/>
      <c r="MZI36" s="427"/>
      <c r="MZJ36" s="424"/>
      <c r="MZK36" s="427"/>
      <c r="MZL36" s="424"/>
      <c r="MZM36" s="427"/>
      <c r="MZN36" s="424"/>
      <c r="MZO36" s="427"/>
      <c r="MZP36" s="424"/>
      <c r="MZQ36" s="427"/>
      <c r="MZR36" s="424"/>
      <c r="MZS36" s="427"/>
      <c r="MZT36" s="424"/>
      <c r="MZU36" s="427"/>
      <c r="MZV36" s="424"/>
      <c r="MZW36" s="427"/>
      <c r="MZX36" s="424"/>
      <c r="MZY36" s="427"/>
      <c r="MZZ36" s="424"/>
      <c r="NAA36" s="427"/>
      <c r="NAB36" s="424"/>
      <c r="NAC36" s="427"/>
      <c r="NAD36" s="424"/>
      <c r="NAE36" s="427"/>
      <c r="NAF36" s="424"/>
      <c r="NAG36" s="427"/>
      <c r="NAH36" s="424"/>
      <c r="NAI36" s="427"/>
      <c r="NAJ36" s="424"/>
      <c r="NAK36" s="427"/>
      <c r="NAL36" s="424"/>
      <c r="NAM36" s="427"/>
      <c r="NAN36" s="424"/>
      <c r="NAO36" s="427"/>
      <c r="NAP36" s="424"/>
      <c r="NAQ36" s="427"/>
      <c r="NAR36" s="424"/>
      <c r="NAS36" s="427"/>
      <c r="NAT36" s="424"/>
      <c r="NAU36" s="427"/>
      <c r="NAV36" s="424"/>
      <c r="NAW36" s="427"/>
      <c r="NAX36" s="424"/>
      <c r="NAY36" s="427"/>
      <c r="NAZ36" s="424"/>
      <c r="NBA36" s="427"/>
      <c r="NBB36" s="424"/>
      <c r="NBC36" s="427"/>
      <c r="NBD36" s="424"/>
      <c r="NBE36" s="427"/>
      <c r="NBF36" s="424"/>
      <c r="NBG36" s="427"/>
      <c r="NBH36" s="424"/>
      <c r="NBI36" s="427"/>
      <c r="NBJ36" s="424"/>
      <c r="NBK36" s="427"/>
      <c r="NBL36" s="424"/>
      <c r="NBM36" s="427"/>
      <c r="NBN36" s="424"/>
      <c r="NBO36" s="427"/>
      <c r="NBP36" s="424"/>
      <c r="NBQ36" s="427"/>
      <c r="NBR36" s="424"/>
      <c r="NBS36" s="427"/>
      <c r="NBT36" s="424"/>
      <c r="NBU36" s="427"/>
      <c r="NBV36" s="424"/>
      <c r="NBW36" s="427"/>
      <c r="NBX36" s="424"/>
      <c r="NBY36" s="427"/>
      <c r="NBZ36" s="424"/>
      <c r="NCA36" s="427"/>
      <c r="NCB36" s="424"/>
      <c r="NCC36" s="427"/>
      <c r="NCD36" s="424"/>
      <c r="NCE36" s="427"/>
      <c r="NCF36" s="424"/>
      <c r="NCG36" s="427"/>
      <c r="NCH36" s="424"/>
      <c r="NCI36" s="427"/>
      <c r="NCJ36" s="424"/>
      <c r="NCK36" s="427"/>
      <c r="NCL36" s="424"/>
      <c r="NCM36" s="427"/>
      <c r="NCN36" s="424"/>
      <c r="NCO36" s="427"/>
      <c r="NCP36" s="424"/>
      <c r="NCQ36" s="427"/>
      <c r="NCR36" s="424"/>
      <c r="NCS36" s="427"/>
      <c r="NCT36" s="424"/>
      <c r="NCU36" s="427"/>
      <c r="NCV36" s="424"/>
      <c r="NCW36" s="427"/>
      <c r="NCX36" s="424"/>
      <c r="NCY36" s="427"/>
      <c r="NCZ36" s="424"/>
      <c r="NDA36" s="427"/>
      <c r="NDB36" s="424"/>
      <c r="NDC36" s="427"/>
      <c r="NDD36" s="424"/>
      <c r="NDE36" s="427"/>
      <c r="NDF36" s="424"/>
      <c r="NDG36" s="427"/>
      <c r="NDH36" s="424"/>
      <c r="NDI36" s="427"/>
      <c r="NDJ36" s="424"/>
      <c r="NDK36" s="427"/>
      <c r="NDL36" s="424"/>
      <c r="NDM36" s="427"/>
      <c r="NDN36" s="424"/>
      <c r="NDO36" s="427"/>
      <c r="NDP36" s="424"/>
      <c r="NDQ36" s="427"/>
      <c r="NDR36" s="424"/>
      <c r="NDS36" s="427"/>
      <c r="NDT36" s="424"/>
      <c r="NDU36" s="427"/>
      <c r="NDV36" s="424"/>
      <c r="NDW36" s="427"/>
      <c r="NDX36" s="424"/>
      <c r="NDY36" s="427"/>
      <c r="NDZ36" s="424"/>
      <c r="NEA36" s="427"/>
      <c r="NEB36" s="424"/>
      <c r="NEC36" s="427"/>
      <c r="NED36" s="424"/>
      <c r="NEE36" s="427"/>
      <c r="NEF36" s="424"/>
      <c r="NEG36" s="427"/>
      <c r="NEH36" s="424"/>
      <c r="NEI36" s="427"/>
      <c r="NEJ36" s="424"/>
      <c r="NEK36" s="427"/>
      <c r="NEL36" s="424"/>
      <c r="NEM36" s="427"/>
      <c r="NEN36" s="424"/>
      <c r="NEO36" s="427"/>
      <c r="NEP36" s="424"/>
      <c r="NEQ36" s="427"/>
      <c r="NER36" s="424"/>
      <c r="NES36" s="427"/>
      <c r="NET36" s="424"/>
      <c r="NEU36" s="427"/>
      <c r="NEV36" s="424"/>
      <c r="NEW36" s="427"/>
      <c r="NEX36" s="424"/>
      <c r="NEY36" s="427"/>
      <c r="NEZ36" s="424"/>
      <c r="NFA36" s="427"/>
      <c r="NFB36" s="424"/>
      <c r="NFC36" s="427"/>
      <c r="NFD36" s="424"/>
      <c r="NFE36" s="427"/>
      <c r="NFF36" s="424"/>
      <c r="NFG36" s="427"/>
      <c r="NFH36" s="424"/>
      <c r="NFI36" s="427"/>
      <c r="NFJ36" s="424"/>
      <c r="NFK36" s="427"/>
      <c r="NFL36" s="424"/>
      <c r="NFM36" s="427"/>
      <c r="NFN36" s="424"/>
      <c r="NFO36" s="427"/>
      <c r="NFP36" s="424"/>
      <c r="NFQ36" s="427"/>
      <c r="NFR36" s="424"/>
      <c r="NFS36" s="427"/>
      <c r="NFT36" s="424"/>
      <c r="NFU36" s="427"/>
      <c r="NFV36" s="424"/>
      <c r="NFW36" s="427"/>
      <c r="NFX36" s="424"/>
      <c r="NFY36" s="427"/>
      <c r="NFZ36" s="424"/>
      <c r="NGA36" s="427"/>
      <c r="NGB36" s="424"/>
      <c r="NGC36" s="427"/>
      <c r="NGD36" s="424"/>
      <c r="NGE36" s="427"/>
      <c r="NGF36" s="424"/>
      <c r="NGG36" s="427"/>
      <c r="NGH36" s="424"/>
      <c r="NGI36" s="427"/>
      <c r="NGJ36" s="424"/>
      <c r="NGK36" s="427"/>
      <c r="NGL36" s="424"/>
      <c r="NGM36" s="427"/>
      <c r="NGN36" s="424"/>
      <c r="NGO36" s="427"/>
      <c r="NGP36" s="424"/>
      <c r="NGQ36" s="427"/>
      <c r="NGR36" s="424"/>
      <c r="NGS36" s="427"/>
      <c r="NGT36" s="424"/>
      <c r="NGU36" s="427"/>
      <c r="NGV36" s="424"/>
      <c r="NGW36" s="427"/>
      <c r="NGX36" s="424"/>
      <c r="NGY36" s="427"/>
      <c r="NGZ36" s="424"/>
      <c r="NHA36" s="427"/>
      <c r="NHB36" s="424"/>
      <c r="NHC36" s="427"/>
      <c r="NHD36" s="424"/>
      <c r="NHE36" s="427"/>
      <c r="NHF36" s="424"/>
      <c r="NHG36" s="427"/>
      <c r="NHH36" s="424"/>
      <c r="NHI36" s="427"/>
      <c r="NHJ36" s="424"/>
      <c r="NHK36" s="427"/>
      <c r="NHL36" s="424"/>
      <c r="NHM36" s="427"/>
      <c r="NHN36" s="424"/>
      <c r="NHO36" s="427"/>
      <c r="NHP36" s="424"/>
      <c r="NHQ36" s="427"/>
      <c r="NHR36" s="424"/>
      <c r="NHS36" s="427"/>
      <c r="NHT36" s="424"/>
      <c r="NHU36" s="427"/>
      <c r="NHV36" s="424"/>
      <c r="NHW36" s="427"/>
      <c r="NHX36" s="424"/>
      <c r="NHY36" s="427"/>
      <c r="NHZ36" s="424"/>
      <c r="NIA36" s="427"/>
      <c r="NIB36" s="424"/>
      <c r="NIC36" s="427"/>
      <c r="NID36" s="424"/>
      <c r="NIE36" s="427"/>
      <c r="NIF36" s="424"/>
      <c r="NIG36" s="427"/>
      <c r="NIH36" s="424"/>
      <c r="NII36" s="427"/>
      <c r="NIJ36" s="424"/>
      <c r="NIK36" s="427"/>
      <c r="NIL36" s="424"/>
      <c r="NIM36" s="427"/>
      <c r="NIN36" s="424"/>
      <c r="NIO36" s="427"/>
      <c r="NIP36" s="424"/>
      <c r="NIQ36" s="427"/>
      <c r="NIR36" s="424"/>
      <c r="NIS36" s="427"/>
      <c r="NIT36" s="424"/>
      <c r="NIU36" s="427"/>
      <c r="NIV36" s="424"/>
      <c r="NIW36" s="427"/>
      <c r="NIX36" s="424"/>
      <c r="NIY36" s="427"/>
      <c r="NIZ36" s="424"/>
      <c r="NJA36" s="427"/>
      <c r="NJB36" s="424"/>
      <c r="NJC36" s="427"/>
      <c r="NJD36" s="424"/>
      <c r="NJE36" s="427"/>
      <c r="NJF36" s="424"/>
      <c r="NJG36" s="427"/>
      <c r="NJH36" s="424"/>
      <c r="NJI36" s="427"/>
      <c r="NJJ36" s="424"/>
      <c r="NJK36" s="427"/>
      <c r="NJL36" s="424"/>
      <c r="NJM36" s="427"/>
      <c r="NJN36" s="424"/>
      <c r="NJO36" s="427"/>
      <c r="NJP36" s="424"/>
      <c r="NJQ36" s="427"/>
      <c r="NJR36" s="424"/>
      <c r="NJS36" s="427"/>
      <c r="NJT36" s="424"/>
      <c r="NJU36" s="427"/>
      <c r="NJV36" s="424"/>
      <c r="NJW36" s="427"/>
      <c r="NJX36" s="424"/>
      <c r="NJY36" s="427"/>
      <c r="NJZ36" s="424"/>
      <c r="NKA36" s="427"/>
      <c r="NKB36" s="424"/>
      <c r="NKC36" s="427"/>
      <c r="NKD36" s="424"/>
      <c r="NKE36" s="427"/>
      <c r="NKF36" s="424"/>
      <c r="NKG36" s="427"/>
      <c r="NKH36" s="424"/>
      <c r="NKI36" s="427"/>
      <c r="NKJ36" s="424"/>
      <c r="NKK36" s="427"/>
      <c r="NKL36" s="424"/>
      <c r="NKM36" s="427"/>
      <c r="NKN36" s="424"/>
      <c r="NKO36" s="427"/>
      <c r="NKP36" s="424"/>
      <c r="NKQ36" s="427"/>
      <c r="NKR36" s="424"/>
      <c r="NKS36" s="427"/>
      <c r="NKT36" s="424"/>
      <c r="NKU36" s="427"/>
      <c r="NKV36" s="424"/>
      <c r="NKW36" s="427"/>
      <c r="NKX36" s="424"/>
      <c r="NKY36" s="427"/>
      <c r="NKZ36" s="424"/>
      <c r="NLA36" s="427"/>
      <c r="NLB36" s="424"/>
      <c r="NLC36" s="427"/>
      <c r="NLD36" s="424"/>
      <c r="NLE36" s="427"/>
      <c r="NLF36" s="424"/>
      <c r="NLG36" s="427"/>
      <c r="NLH36" s="424"/>
      <c r="NLI36" s="427"/>
      <c r="NLJ36" s="424"/>
      <c r="NLK36" s="427"/>
      <c r="NLL36" s="424"/>
      <c r="NLM36" s="427"/>
      <c r="NLN36" s="424"/>
      <c r="NLO36" s="427"/>
      <c r="NLP36" s="424"/>
      <c r="NLQ36" s="427"/>
      <c r="NLR36" s="424"/>
      <c r="NLS36" s="427"/>
      <c r="NLT36" s="424"/>
      <c r="NLU36" s="427"/>
      <c r="NLV36" s="424"/>
      <c r="NLW36" s="427"/>
      <c r="NLX36" s="424"/>
      <c r="NLY36" s="427"/>
      <c r="NLZ36" s="424"/>
      <c r="NMA36" s="427"/>
      <c r="NMB36" s="424"/>
      <c r="NMC36" s="427"/>
      <c r="NMD36" s="424"/>
      <c r="NME36" s="427"/>
      <c r="NMF36" s="424"/>
      <c r="NMG36" s="427"/>
      <c r="NMH36" s="424"/>
      <c r="NMI36" s="427"/>
      <c r="NMJ36" s="424"/>
      <c r="NMK36" s="427"/>
      <c r="NML36" s="424"/>
      <c r="NMM36" s="427"/>
      <c r="NMN36" s="424"/>
      <c r="NMO36" s="427"/>
      <c r="NMP36" s="424"/>
      <c r="NMQ36" s="427"/>
      <c r="NMR36" s="424"/>
      <c r="NMS36" s="427"/>
      <c r="NMT36" s="424"/>
      <c r="NMU36" s="427"/>
      <c r="NMV36" s="424"/>
      <c r="NMW36" s="427"/>
      <c r="NMX36" s="424"/>
      <c r="NMY36" s="427"/>
      <c r="NMZ36" s="424"/>
      <c r="NNA36" s="427"/>
      <c r="NNB36" s="424"/>
      <c r="NNC36" s="427"/>
      <c r="NND36" s="424"/>
      <c r="NNE36" s="427"/>
      <c r="NNF36" s="424"/>
      <c r="NNG36" s="427"/>
      <c r="NNH36" s="424"/>
      <c r="NNI36" s="427"/>
      <c r="NNJ36" s="424"/>
      <c r="NNK36" s="427"/>
      <c r="NNL36" s="424"/>
      <c r="NNM36" s="427"/>
      <c r="NNN36" s="424"/>
      <c r="NNO36" s="427"/>
      <c r="NNP36" s="424"/>
      <c r="NNQ36" s="427"/>
      <c r="NNR36" s="424"/>
      <c r="NNS36" s="427"/>
      <c r="NNT36" s="424"/>
      <c r="NNU36" s="427"/>
      <c r="NNV36" s="424"/>
      <c r="NNW36" s="427"/>
      <c r="NNX36" s="424"/>
      <c r="NNY36" s="427"/>
      <c r="NNZ36" s="424"/>
      <c r="NOA36" s="427"/>
      <c r="NOB36" s="424"/>
      <c r="NOC36" s="427"/>
      <c r="NOD36" s="424"/>
      <c r="NOE36" s="427"/>
      <c r="NOF36" s="424"/>
      <c r="NOG36" s="427"/>
      <c r="NOH36" s="424"/>
      <c r="NOI36" s="427"/>
      <c r="NOJ36" s="424"/>
      <c r="NOK36" s="427"/>
      <c r="NOL36" s="424"/>
      <c r="NOM36" s="427"/>
      <c r="NON36" s="424"/>
      <c r="NOO36" s="427"/>
      <c r="NOP36" s="424"/>
      <c r="NOQ36" s="427"/>
      <c r="NOR36" s="424"/>
      <c r="NOS36" s="427"/>
      <c r="NOT36" s="424"/>
      <c r="NOU36" s="427"/>
      <c r="NOV36" s="424"/>
      <c r="NOW36" s="427"/>
      <c r="NOX36" s="424"/>
      <c r="NOY36" s="427"/>
      <c r="NOZ36" s="424"/>
      <c r="NPA36" s="427"/>
      <c r="NPB36" s="424"/>
      <c r="NPC36" s="427"/>
      <c r="NPD36" s="424"/>
      <c r="NPE36" s="427"/>
      <c r="NPF36" s="424"/>
      <c r="NPG36" s="427"/>
      <c r="NPH36" s="424"/>
      <c r="NPI36" s="427"/>
      <c r="NPJ36" s="424"/>
      <c r="NPK36" s="427"/>
      <c r="NPL36" s="424"/>
      <c r="NPM36" s="427"/>
      <c r="NPN36" s="424"/>
      <c r="NPO36" s="427"/>
      <c r="NPP36" s="424"/>
      <c r="NPQ36" s="427"/>
      <c r="NPR36" s="424"/>
      <c r="NPS36" s="427"/>
      <c r="NPT36" s="424"/>
      <c r="NPU36" s="427"/>
      <c r="NPV36" s="424"/>
      <c r="NPW36" s="427"/>
      <c r="NPX36" s="424"/>
      <c r="NPY36" s="427"/>
      <c r="NPZ36" s="424"/>
      <c r="NQA36" s="427"/>
      <c r="NQB36" s="424"/>
      <c r="NQC36" s="427"/>
      <c r="NQD36" s="424"/>
      <c r="NQE36" s="427"/>
      <c r="NQF36" s="424"/>
      <c r="NQG36" s="427"/>
      <c r="NQH36" s="424"/>
      <c r="NQI36" s="427"/>
      <c r="NQJ36" s="424"/>
      <c r="NQK36" s="427"/>
      <c r="NQL36" s="424"/>
      <c r="NQM36" s="427"/>
      <c r="NQN36" s="424"/>
      <c r="NQO36" s="427"/>
      <c r="NQP36" s="424"/>
      <c r="NQQ36" s="427"/>
      <c r="NQR36" s="424"/>
      <c r="NQS36" s="427"/>
      <c r="NQT36" s="424"/>
      <c r="NQU36" s="427"/>
      <c r="NQV36" s="424"/>
      <c r="NQW36" s="427"/>
      <c r="NQX36" s="424"/>
      <c r="NQY36" s="427"/>
      <c r="NQZ36" s="424"/>
      <c r="NRA36" s="427"/>
      <c r="NRB36" s="424"/>
      <c r="NRC36" s="427"/>
      <c r="NRD36" s="424"/>
      <c r="NRE36" s="427"/>
      <c r="NRF36" s="424"/>
      <c r="NRG36" s="427"/>
      <c r="NRH36" s="424"/>
      <c r="NRI36" s="427"/>
      <c r="NRJ36" s="424"/>
      <c r="NRK36" s="427"/>
      <c r="NRL36" s="424"/>
      <c r="NRM36" s="427"/>
      <c r="NRN36" s="424"/>
      <c r="NRO36" s="427"/>
      <c r="NRP36" s="424"/>
      <c r="NRQ36" s="427"/>
      <c r="NRR36" s="424"/>
      <c r="NRS36" s="427"/>
      <c r="NRT36" s="424"/>
      <c r="NRU36" s="427"/>
      <c r="NRV36" s="424"/>
      <c r="NRW36" s="427"/>
      <c r="NRX36" s="424"/>
      <c r="NRY36" s="427"/>
      <c r="NRZ36" s="424"/>
      <c r="NSA36" s="427"/>
      <c r="NSB36" s="424"/>
      <c r="NSC36" s="427"/>
      <c r="NSD36" s="424"/>
      <c r="NSE36" s="427"/>
      <c r="NSF36" s="424"/>
      <c r="NSG36" s="427"/>
      <c r="NSH36" s="424"/>
      <c r="NSI36" s="427"/>
      <c r="NSJ36" s="424"/>
      <c r="NSK36" s="427"/>
      <c r="NSL36" s="424"/>
      <c r="NSM36" s="427"/>
      <c r="NSN36" s="424"/>
      <c r="NSO36" s="427"/>
      <c r="NSP36" s="424"/>
      <c r="NSQ36" s="427"/>
      <c r="NSR36" s="424"/>
      <c r="NSS36" s="427"/>
      <c r="NST36" s="424"/>
      <c r="NSU36" s="427"/>
      <c r="NSV36" s="424"/>
      <c r="NSW36" s="427"/>
      <c r="NSX36" s="424"/>
      <c r="NSY36" s="427"/>
      <c r="NSZ36" s="424"/>
      <c r="NTA36" s="427"/>
      <c r="NTB36" s="424"/>
      <c r="NTC36" s="427"/>
      <c r="NTD36" s="424"/>
      <c r="NTE36" s="427"/>
      <c r="NTF36" s="424"/>
      <c r="NTG36" s="427"/>
      <c r="NTH36" s="424"/>
      <c r="NTI36" s="427"/>
      <c r="NTJ36" s="424"/>
      <c r="NTK36" s="427"/>
      <c r="NTL36" s="424"/>
      <c r="NTM36" s="427"/>
      <c r="NTN36" s="424"/>
      <c r="NTO36" s="427"/>
      <c r="NTP36" s="424"/>
      <c r="NTQ36" s="427"/>
      <c r="NTR36" s="424"/>
      <c r="NTS36" s="427"/>
      <c r="NTT36" s="424"/>
      <c r="NTU36" s="427"/>
      <c r="NTV36" s="424"/>
      <c r="NTW36" s="427"/>
      <c r="NTX36" s="424"/>
      <c r="NTY36" s="427"/>
      <c r="NTZ36" s="424"/>
      <c r="NUA36" s="427"/>
      <c r="NUB36" s="424"/>
      <c r="NUC36" s="427"/>
      <c r="NUD36" s="424"/>
      <c r="NUE36" s="427"/>
      <c r="NUF36" s="424"/>
      <c r="NUG36" s="427"/>
      <c r="NUH36" s="424"/>
      <c r="NUI36" s="427"/>
      <c r="NUJ36" s="424"/>
      <c r="NUK36" s="427"/>
      <c r="NUL36" s="424"/>
      <c r="NUM36" s="427"/>
      <c r="NUN36" s="424"/>
      <c r="NUO36" s="427"/>
      <c r="NUP36" s="424"/>
      <c r="NUQ36" s="427"/>
      <c r="NUR36" s="424"/>
      <c r="NUS36" s="427"/>
      <c r="NUT36" s="424"/>
      <c r="NUU36" s="427"/>
      <c r="NUV36" s="424"/>
      <c r="NUW36" s="427"/>
      <c r="NUX36" s="424"/>
      <c r="NUY36" s="427"/>
      <c r="NUZ36" s="424"/>
      <c r="NVA36" s="427"/>
      <c r="NVB36" s="424"/>
      <c r="NVC36" s="427"/>
      <c r="NVD36" s="424"/>
      <c r="NVE36" s="427"/>
      <c r="NVF36" s="424"/>
      <c r="NVG36" s="427"/>
      <c r="NVH36" s="424"/>
      <c r="NVI36" s="427"/>
      <c r="NVJ36" s="424"/>
      <c r="NVK36" s="427"/>
      <c r="NVL36" s="424"/>
      <c r="NVM36" s="427"/>
      <c r="NVN36" s="424"/>
      <c r="NVO36" s="427"/>
      <c r="NVP36" s="424"/>
      <c r="NVQ36" s="427"/>
      <c r="NVR36" s="424"/>
      <c r="NVS36" s="427"/>
      <c r="NVT36" s="424"/>
      <c r="NVU36" s="427"/>
      <c r="NVV36" s="424"/>
      <c r="NVW36" s="427"/>
      <c r="NVX36" s="424"/>
      <c r="NVY36" s="427"/>
      <c r="NVZ36" s="424"/>
      <c r="NWA36" s="427"/>
      <c r="NWB36" s="424"/>
      <c r="NWC36" s="427"/>
      <c r="NWD36" s="424"/>
      <c r="NWE36" s="427"/>
      <c r="NWF36" s="424"/>
      <c r="NWG36" s="427"/>
      <c r="NWH36" s="424"/>
      <c r="NWI36" s="427"/>
      <c r="NWJ36" s="424"/>
      <c r="NWK36" s="427"/>
      <c r="NWL36" s="424"/>
      <c r="NWM36" s="427"/>
      <c r="NWN36" s="424"/>
      <c r="NWO36" s="427"/>
      <c r="NWP36" s="424"/>
      <c r="NWQ36" s="427"/>
      <c r="NWR36" s="424"/>
      <c r="NWS36" s="427"/>
      <c r="NWT36" s="424"/>
      <c r="NWU36" s="427"/>
      <c r="NWV36" s="424"/>
      <c r="NWW36" s="427"/>
      <c r="NWX36" s="424"/>
      <c r="NWY36" s="427"/>
      <c r="NWZ36" s="424"/>
      <c r="NXA36" s="427"/>
      <c r="NXB36" s="424"/>
      <c r="NXC36" s="427"/>
      <c r="NXD36" s="424"/>
      <c r="NXE36" s="427"/>
      <c r="NXF36" s="424"/>
      <c r="NXG36" s="427"/>
      <c r="NXH36" s="424"/>
      <c r="NXI36" s="427"/>
      <c r="NXJ36" s="424"/>
      <c r="NXK36" s="427"/>
      <c r="NXL36" s="424"/>
      <c r="NXM36" s="427"/>
      <c r="NXN36" s="424"/>
      <c r="NXO36" s="427"/>
      <c r="NXP36" s="424"/>
      <c r="NXQ36" s="427"/>
      <c r="NXR36" s="424"/>
      <c r="NXS36" s="427"/>
      <c r="NXT36" s="424"/>
      <c r="NXU36" s="427"/>
      <c r="NXV36" s="424"/>
      <c r="NXW36" s="427"/>
      <c r="NXX36" s="424"/>
      <c r="NXY36" s="427"/>
      <c r="NXZ36" s="424"/>
      <c r="NYA36" s="427"/>
      <c r="NYB36" s="424"/>
      <c r="NYC36" s="427"/>
      <c r="NYD36" s="424"/>
      <c r="NYE36" s="427"/>
      <c r="NYF36" s="424"/>
      <c r="NYG36" s="427"/>
      <c r="NYH36" s="424"/>
      <c r="NYI36" s="427"/>
      <c r="NYJ36" s="424"/>
      <c r="NYK36" s="427"/>
      <c r="NYL36" s="424"/>
      <c r="NYM36" s="427"/>
      <c r="NYN36" s="424"/>
      <c r="NYO36" s="427"/>
      <c r="NYP36" s="424"/>
      <c r="NYQ36" s="427"/>
      <c r="NYR36" s="424"/>
      <c r="NYS36" s="427"/>
      <c r="NYT36" s="424"/>
      <c r="NYU36" s="427"/>
      <c r="NYV36" s="424"/>
      <c r="NYW36" s="427"/>
      <c r="NYX36" s="424"/>
      <c r="NYY36" s="427"/>
      <c r="NYZ36" s="424"/>
      <c r="NZA36" s="427"/>
      <c r="NZB36" s="424"/>
      <c r="NZC36" s="427"/>
      <c r="NZD36" s="424"/>
      <c r="NZE36" s="427"/>
      <c r="NZF36" s="424"/>
      <c r="NZG36" s="427"/>
      <c r="NZH36" s="424"/>
      <c r="NZI36" s="427"/>
      <c r="NZJ36" s="424"/>
      <c r="NZK36" s="427"/>
      <c r="NZL36" s="424"/>
      <c r="NZM36" s="427"/>
      <c r="NZN36" s="424"/>
      <c r="NZO36" s="427"/>
      <c r="NZP36" s="424"/>
      <c r="NZQ36" s="427"/>
      <c r="NZR36" s="424"/>
      <c r="NZS36" s="427"/>
      <c r="NZT36" s="424"/>
      <c r="NZU36" s="427"/>
      <c r="NZV36" s="424"/>
      <c r="NZW36" s="427"/>
      <c r="NZX36" s="424"/>
      <c r="NZY36" s="427"/>
      <c r="NZZ36" s="424"/>
      <c r="OAA36" s="427"/>
      <c r="OAB36" s="424"/>
      <c r="OAC36" s="427"/>
      <c r="OAD36" s="424"/>
      <c r="OAE36" s="427"/>
      <c r="OAF36" s="424"/>
      <c r="OAG36" s="427"/>
      <c r="OAH36" s="424"/>
      <c r="OAI36" s="427"/>
      <c r="OAJ36" s="424"/>
      <c r="OAK36" s="427"/>
      <c r="OAL36" s="424"/>
      <c r="OAM36" s="427"/>
      <c r="OAN36" s="424"/>
      <c r="OAO36" s="427"/>
      <c r="OAP36" s="424"/>
      <c r="OAQ36" s="427"/>
      <c r="OAR36" s="424"/>
      <c r="OAS36" s="427"/>
      <c r="OAT36" s="424"/>
      <c r="OAU36" s="427"/>
      <c r="OAV36" s="424"/>
      <c r="OAW36" s="427"/>
      <c r="OAX36" s="424"/>
      <c r="OAY36" s="427"/>
      <c r="OAZ36" s="424"/>
      <c r="OBA36" s="427"/>
      <c r="OBB36" s="424"/>
      <c r="OBC36" s="427"/>
      <c r="OBD36" s="424"/>
      <c r="OBE36" s="427"/>
      <c r="OBF36" s="424"/>
      <c r="OBG36" s="427"/>
      <c r="OBH36" s="424"/>
      <c r="OBI36" s="427"/>
      <c r="OBJ36" s="424"/>
      <c r="OBK36" s="427"/>
      <c r="OBL36" s="424"/>
      <c r="OBM36" s="427"/>
      <c r="OBN36" s="424"/>
      <c r="OBO36" s="427"/>
      <c r="OBP36" s="424"/>
      <c r="OBQ36" s="427"/>
      <c r="OBR36" s="424"/>
      <c r="OBS36" s="427"/>
      <c r="OBT36" s="424"/>
      <c r="OBU36" s="427"/>
      <c r="OBV36" s="424"/>
      <c r="OBW36" s="427"/>
      <c r="OBX36" s="424"/>
      <c r="OBY36" s="427"/>
      <c r="OBZ36" s="424"/>
      <c r="OCA36" s="427"/>
      <c r="OCB36" s="424"/>
      <c r="OCC36" s="427"/>
      <c r="OCD36" s="424"/>
      <c r="OCE36" s="427"/>
      <c r="OCF36" s="424"/>
      <c r="OCG36" s="427"/>
      <c r="OCH36" s="424"/>
      <c r="OCI36" s="427"/>
      <c r="OCJ36" s="424"/>
      <c r="OCK36" s="427"/>
      <c r="OCL36" s="424"/>
      <c r="OCM36" s="427"/>
      <c r="OCN36" s="424"/>
      <c r="OCO36" s="427"/>
      <c r="OCP36" s="424"/>
      <c r="OCQ36" s="427"/>
      <c r="OCR36" s="424"/>
      <c r="OCS36" s="427"/>
      <c r="OCT36" s="424"/>
      <c r="OCU36" s="427"/>
      <c r="OCV36" s="424"/>
      <c r="OCW36" s="427"/>
      <c r="OCX36" s="424"/>
      <c r="OCY36" s="427"/>
      <c r="OCZ36" s="424"/>
      <c r="ODA36" s="427"/>
      <c r="ODB36" s="424"/>
      <c r="ODC36" s="427"/>
      <c r="ODD36" s="424"/>
      <c r="ODE36" s="427"/>
      <c r="ODF36" s="424"/>
      <c r="ODG36" s="427"/>
      <c r="ODH36" s="424"/>
      <c r="ODI36" s="427"/>
      <c r="ODJ36" s="424"/>
      <c r="ODK36" s="427"/>
      <c r="ODL36" s="424"/>
      <c r="ODM36" s="427"/>
      <c r="ODN36" s="424"/>
      <c r="ODO36" s="427"/>
      <c r="ODP36" s="424"/>
      <c r="ODQ36" s="427"/>
      <c r="ODR36" s="424"/>
      <c r="ODS36" s="427"/>
      <c r="ODT36" s="424"/>
      <c r="ODU36" s="427"/>
      <c r="ODV36" s="424"/>
      <c r="ODW36" s="427"/>
      <c r="ODX36" s="424"/>
      <c r="ODY36" s="427"/>
      <c r="ODZ36" s="424"/>
      <c r="OEA36" s="427"/>
      <c r="OEB36" s="424"/>
      <c r="OEC36" s="427"/>
      <c r="OED36" s="424"/>
      <c r="OEE36" s="427"/>
      <c r="OEF36" s="424"/>
      <c r="OEG36" s="427"/>
      <c r="OEH36" s="424"/>
      <c r="OEI36" s="427"/>
      <c r="OEJ36" s="424"/>
      <c r="OEK36" s="427"/>
      <c r="OEL36" s="424"/>
      <c r="OEM36" s="427"/>
      <c r="OEN36" s="424"/>
      <c r="OEO36" s="427"/>
      <c r="OEP36" s="424"/>
      <c r="OEQ36" s="427"/>
      <c r="OER36" s="424"/>
      <c r="OES36" s="427"/>
      <c r="OET36" s="424"/>
      <c r="OEU36" s="427"/>
      <c r="OEV36" s="424"/>
      <c r="OEW36" s="427"/>
      <c r="OEX36" s="424"/>
      <c r="OEY36" s="427"/>
      <c r="OEZ36" s="424"/>
      <c r="OFA36" s="427"/>
      <c r="OFB36" s="424"/>
      <c r="OFC36" s="427"/>
      <c r="OFD36" s="424"/>
      <c r="OFE36" s="427"/>
      <c r="OFF36" s="424"/>
      <c r="OFG36" s="427"/>
      <c r="OFH36" s="424"/>
      <c r="OFI36" s="427"/>
      <c r="OFJ36" s="424"/>
      <c r="OFK36" s="427"/>
      <c r="OFL36" s="424"/>
      <c r="OFM36" s="427"/>
      <c r="OFN36" s="424"/>
      <c r="OFO36" s="427"/>
      <c r="OFP36" s="424"/>
      <c r="OFQ36" s="427"/>
      <c r="OFR36" s="424"/>
      <c r="OFS36" s="427"/>
      <c r="OFT36" s="424"/>
      <c r="OFU36" s="427"/>
      <c r="OFV36" s="424"/>
      <c r="OFW36" s="427"/>
      <c r="OFX36" s="424"/>
      <c r="OFY36" s="427"/>
      <c r="OFZ36" s="424"/>
      <c r="OGA36" s="427"/>
      <c r="OGB36" s="424"/>
      <c r="OGC36" s="427"/>
      <c r="OGD36" s="424"/>
      <c r="OGE36" s="427"/>
      <c r="OGF36" s="424"/>
      <c r="OGG36" s="427"/>
      <c r="OGH36" s="424"/>
      <c r="OGI36" s="427"/>
      <c r="OGJ36" s="424"/>
      <c r="OGK36" s="427"/>
      <c r="OGL36" s="424"/>
      <c r="OGM36" s="427"/>
      <c r="OGN36" s="424"/>
      <c r="OGO36" s="427"/>
      <c r="OGP36" s="424"/>
      <c r="OGQ36" s="427"/>
      <c r="OGR36" s="424"/>
      <c r="OGS36" s="427"/>
      <c r="OGT36" s="424"/>
      <c r="OGU36" s="427"/>
      <c r="OGV36" s="424"/>
      <c r="OGW36" s="427"/>
      <c r="OGX36" s="424"/>
      <c r="OGY36" s="427"/>
      <c r="OGZ36" s="424"/>
      <c r="OHA36" s="427"/>
      <c r="OHB36" s="424"/>
      <c r="OHC36" s="427"/>
      <c r="OHD36" s="424"/>
      <c r="OHE36" s="427"/>
      <c r="OHF36" s="424"/>
      <c r="OHG36" s="427"/>
      <c r="OHH36" s="424"/>
      <c r="OHI36" s="427"/>
      <c r="OHJ36" s="424"/>
      <c r="OHK36" s="427"/>
      <c r="OHL36" s="424"/>
      <c r="OHM36" s="427"/>
      <c r="OHN36" s="424"/>
      <c r="OHO36" s="427"/>
      <c r="OHP36" s="424"/>
      <c r="OHQ36" s="427"/>
      <c r="OHR36" s="424"/>
      <c r="OHS36" s="427"/>
      <c r="OHT36" s="424"/>
      <c r="OHU36" s="427"/>
      <c r="OHV36" s="424"/>
      <c r="OHW36" s="427"/>
      <c r="OHX36" s="424"/>
      <c r="OHY36" s="427"/>
      <c r="OHZ36" s="424"/>
      <c r="OIA36" s="427"/>
      <c r="OIB36" s="424"/>
      <c r="OIC36" s="427"/>
      <c r="OID36" s="424"/>
      <c r="OIE36" s="427"/>
      <c r="OIF36" s="424"/>
      <c r="OIG36" s="427"/>
      <c r="OIH36" s="424"/>
      <c r="OII36" s="427"/>
      <c r="OIJ36" s="424"/>
      <c r="OIK36" s="427"/>
      <c r="OIL36" s="424"/>
      <c r="OIM36" s="427"/>
      <c r="OIN36" s="424"/>
      <c r="OIO36" s="427"/>
      <c r="OIP36" s="424"/>
      <c r="OIQ36" s="427"/>
      <c r="OIR36" s="424"/>
      <c r="OIS36" s="427"/>
      <c r="OIT36" s="424"/>
      <c r="OIU36" s="427"/>
      <c r="OIV36" s="424"/>
      <c r="OIW36" s="427"/>
      <c r="OIX36" s="424"/>
      <c r="OIY36" s="427"/>
      <c r="OIZ36" s="424"/>
      <c r="OJA36" s="427"/>
      <c r="OJB36" s="424"/>
      <c r="OJC36" s="427"/>
      <c r="OJD36" s="424"/>
      <c r="OJE36" s="427"/>
      <c r="OJF36" s="424"/>
      <c r="OJG36" s="427"/>
      <c r="OJH36" s="424"/>
      <c r="OJI36" s="427"/>
      <c r="OJJ36" s="424"/>
      <c r="OJK36" s="427"/>
      <c r="OJL36" s="424"/>
      <c r="OJM36" s="427"/>
      <c r="OJN36" s="424"/>
      <c r="OJO36" s="427"/>
      <c r="OJP36" s="424"/>
      <c r="OJQ36" s="427"/>
      <c r="OJR36" s="424"/>
      <c r="OJS36" s="427"/>
      <c r="OJT36" s="424"/>
      <c r="OJU36" s="427"/>
      <c r="OJV36" s="424"/>
      <c r="OJW36" s="427"/>
      <c r="OJX36" s="424"/>
      <c r="OJY36" s="427"/>
      <c r="OJZ36" s="424"/>
      <c r="OKA36" s="427"/>
      <c r="OKB36" s="424"/>
      <c r="OKC36" s="427"/>
      <c r="OKD36" s="424"/>
      <c r="OKE36" s="427"/>
      <c r="OKF36" s="424"/>
      <c r="OKG36" s="427"/>
      <c r="OKH36" s="424"/>
      <c r="OKI36" s="427"/>
      <c r="OKJ36" s="424"/>
      <c r="OKK36" s="427"/>
      <c r="OKL36" s="424"/>
      <c r="OKM36" s="427"/>
      <c r="OKN36" s="424"/>
      <c r="OKO36" s="427"/>
      <c r="OKP36" s="424"/>
      <c r="OKQ36" s="427"/>
      <c r="OKR36" s="424"/>
      <c r="OKS36" s="427"/>
      <c r="OKT36" s="424"/>
      <c r="OKU36" s="427"/>
      <c r="OKV36" s="424"/>
      <c r="OKW36" s="427"/>
      <c r="OKX36" s="424"/>
      <c r="OKY36" s="427"/>
      <c r="OKZ36" s="424"/>
      <c r="OLA36" s="427"/>
      <c r="OLB36" s="424"/>
      <c r="OLC36" s="427"/>
      <c r="OLD36" s="424"/>
      <c r="OLE36" s="427"/>
      <c r="OLF36" s="424"/>
      <c r="OLG36" s="427"/>
      <c r="OLH36" s="424"/>
      <c r="OLI36" s="427"/>
      <c r="OLJ36" s="424"/>
      <c r="OLK36" s="427"/>
      <c r="OLL36" s="424"/>
      <c r="OLM36" s="427"/>
      <c r="OLN36" s="424"/>
      <c r="OLO36" s="427"/>
      <c r="OLP36" s="424"/>
      <c r="OLQ36" s="427"/>
      <c r="OLR36" s="424"/>
      <c r="OLS36" s="427"/>
      <c r="OLT36" s="424"/>
      <c r="OLU36" s="427"/>
      <c r="OLV36" s="424"/>
      <c r="OLW36" s="427"/>
      <c r="OLX36" s="424"/>
      <c r="OLY36" s="427"/>
      <c r="OLZ36" s="424"/>
      <c r="OMA36" s="427"/>
      <c r="OMB36" s="424"/>
      <c r="OMC36" s="427"/>
      <c r="OMD36" s="424"/>
      <c r="OME36" s="427"/>
      <c r="OMF36" s="424"/>
      <c r="OMG36" s="427"/>
      <c r="OMH36" s="424"/>
      <c r="OMI36" s="427"/>
      <c r="OMJ36" s="424"/>
      <c r="OMK36" s="427"/>
      <c r="OML36" s="424"/>
      <c r="OMM36" s="427"/>
      <c r="OMN36" s="424"/>
      <c r="OMO36" s="427"/>
      <c r="OMP36" s="424"/>
      <c r="OMQ36" s="427"/>
      <c r="OMR36" s="424"/>
      <c r="OMS36" s="427"/>
      <c r="OMT36" s="424"/>
      <c r="OMU36" s="427"/>
      <c r="OMV36" s="424"/>
      <c r="OMW36" s="427"/>
      <c r="OMX36" s="424"/>
      <c r="OMY36" s="427"/>
      <c r="OMZ36" s="424"/>
      <c r="ONA36" s="427"/>
      <c r="ONB36" s="424"/>
      <c r="ONC36" s="427"/>
      <c r="OND36" s="424"/>
      <c r="ONE36" s="427"/>
      <c r="ONF36" s="424"/>
      <c r="ONG36" s="427"/>
      <c r="ONH36" s="424"/>
      <c r="ONI36" s="427"/>
      <c r="ONJ36" s="424"/>
      <c r="ONK36" s="427"/>
      <c r="ONL36" s="424"/>
      <c r="ONM36" s="427"/>
      <c r="ONN36" s="424"/>
      <c r="ONO36" s="427"/>
      <c r="ONP36" s="424"/>
      <c r="ONQ36" s="427"/>
      <c r="ONR36" s="424"/>
      <c r="ONS36" s="427"/>
      <c r="ONT36" s="424"/>
      <c r="ONU36" s="427"/>
      <c r="ONV36" s="424"/>
      <c r="ONW36" s="427"/>
      <c r="ONX36" s="424"/>
      <c r="ONY36" s="427"/>
      <c r="ONZ36" s="424"/>
      <c r="OOA36" s="427"/>
      <c r="OOB36" s="424"/>
      <c r="OOC36" s="427"/>
      <c r="OOD36" s="424"/>
      <c r="OOE36" s="427"/>
      <c r="OOF36" s="424"/>
      <c r="OOG36" s="427"/>
      <c r="OOH36" s="424"/>
      <c r="OOI36" s="427"/>
      <c r="OOJ36" s="424"/>
      <c r="OOK36" s="427"/>
      <c r="OOL36" s="424"/>
      <c r="OOM36" s="427"/>
      <c r="OON36" s="424"/>
      <c r="OOO36" s="427"/>
      <c r="OOP36" s="424"/>
      <c r="OOQ36" s="427"/>
      <c r="OOR36" s="424"/>
      <c r="OOS36" s="427"/>
      <c r="OOT36" s="424"/>
      <c r="OOU36" s="427"/>
      <c r="OOV36" s="424"/>
      <c r="OOW36" s="427"/>
      <c r="OOX36" s="424"/>
      <c r="OOY36" s="427"/>
      <c r="OOZ36" s="424"/>
      <c r="OPA36" s="427"/>
      <c r="OPB36" s="424"/>
      <c r="OPC36" s="427"/>
      <c r="OPD36" s="424"/>
      <c r="OPE36" s="427"/>
      <c r="OPF36" s="424"/>
      <c r="OPG36" s="427"/>
      <c r="OPH36" s="424"/>
      <c r="OPI36" s="427"/>
      <c r="OPJ36" s="424"/>
      <c r="OPK36" s="427"/>
      <c r="OPL36" s="424"/>
      <c r="OPM36" s="427"/>
      <c r="OPN36" s="424"/>
      <c r="OPO36" s="427"/>
      <c r="OPP36" s="424"/>
      <c r="OPQ36" s="427"/>
      <c r="OPR36" s="424"/>
      <c r="OPS36" s="427"/>
      <c r="OPT36" s="424"/>
      <c r="OPU36" s="427"/>
      <c r="OPV36" s="424"/>
      <c r="OPW36" s="427"/>
      <c r="OPX36" s="424"/>
      <c r="OPY36" s="427"/>
      <c r="OPZ36" s="424"/>
      <c r="OQA36" s="427"/>
      <c r="OQB36" s="424"/>
      <c r="OQC36" s="427"/>
      <c r="OQD36" s="424"/>
      <c r="OQE36" s="427"/>
      <c r="OQF36" s="424"/>
      <c r="OQG36" s="427"/>
      <c r="OQH36" s="424"/>
      <c r="OQI36" s="427"/>
      <c r="OQJ36" s="424"/>
      <c r="OQK36" s="427"/>
      <c r="OQL36" s="424"/>
      <c r="OQM36" s="427"/>
      <c r="OQN36" s="424"/>
      <c r="OQO36" s="427"/>
      <c r="OQP36" s="424"/>
      <c r="OQQ36" s="427"/>
      <c r="OQR36" s="424"/>
      <c r="OQS36" s="427"/>
      <c r="OQT36" s="424"/>
      <c r="OQU36" s="427"/>
      <c r="OQV36" s="424"/>
      <c r="OQW36" s="427"/>
      <c r="OQX36" s="424"/>
      <c r="OQY36" s="427"/>
      <c r="OQZ36" s="424"/>
      <c r="ORA36" s="427"/>
      <c r="ORB36" s="424"/>
      <c r="ORC36" s="427"/>
      <c r="ORD36" s="424"/>
      <c r="ORE36" s="427"/>
      <c r="ORF36" s="424"/>
      <c r="ORG36" s="427"/>
      <c r="ORH36" s="424"/>
      <c r="ORI36" s="427"/>
      <c r="ORJ36" s="424"/>
      <c r="ORK36" s="427"/>
      <c r="ORL36" s="424"/>
      <c r="ORM36" s="427"/>
      <c r="ORN36" s="424"/>
      <c r="ORO36" s="427"/>
      <c r="ORP36" s="424"/>
      <c r="ORQ36" s="427"/>
      <c r="ORR36" s="424"/>
      <c r="ORS36" s="427"/>
      <c r="ORT36" s="424"/>
      <c r="ORU36" s="427"/>
      <c r="ORV36" s="424"/>
      <c r="ORW36" s="427"/>
      <c r="ORX36" s="424"/>
      <c r="ORY36" s="427"/>
      <c r="ORZ36" s="424"/>
      <c r="OSA36" s="427"/>
      <c r="OSB36" s="424"/>
      <c r="OSC36" s="427"/>
      <c r="OSD36" s="424"/>
      <c r="OSE36" s="427"/>
      <c r="OSF36" s="424"/>
      <c r="OSG36" s="427"/>
      <c r="OSH36" s="424"/>
      <c r="OSI36" s="427"/>
      <c r="OSJ36" s="424"/>
      <c r="OSK36" s="427"/>
      <c r="OSL36" s="424"/>
      <c r="OSM36" s="427"/>
      <c r="OSN36" s="424"/>
      <c r="OSO36" s="427"/>
      <c r="OSP36" s="424"/>
      <c r="OSQ36" s="427"/>
      <c r="OSR36" s="424"/>
      <c r="OSS36" s="427"/>
      <c r="OST36" s="424"/>
      <c r="OSU36" s="427"/>
      <c r="OSV36" s="424"/>
      <c r="OSW36" s="427"/>
      <c r="OSX36" s="424"/>
      <c r="OSY36" s="427"/>
      <c r="OSZ36" s="424"/>
      <c r="OTA36" s="427"/>
      <c r="OTB36" s="424"/>
      <c r="OTC36" s="427"/>
      <c r="OTD36" s="424"/>
      <c r="OTE36" s="427"/>
      <c r="OTF36" s="424"/>
      <c r="OTG36" s="427"/>
      <c r="OTH36" s="424"/>
      <c r="OTI36" s="427"/>
      <c r="OTJ36" s="424"/>
      <c r="OTK36" s="427"/>
      <c r="OTL36" s="424"/>
      <c r="OTM36" s="427"/>
      <c r="OTN36" s="424"/>
      <c r="OTO36" s="427"/>
      <c r="OTP36" s="424"/>
      <c r="OTQ36" s="427"/>
      <c r="OTR36" s="424"/>
      <c r="OTS36" s="427"/>
      <c r="OTT36" s="424"/>
      <c r="OTU36" s="427"/>
      <c r="OTV36" s="424"/>
      <c r="OTW36" s="427"/>
      <c r="OTX36" s="424"/>
      <c r="OTY36" s="427"/>
      <c r="OTZ36" s="424"/>
      <c r="OUA36" s="427"/>
      <c r="OUB36" s="424"/>
      <c r="OUC36" s="427"/>
      <c r="OUD36" s="424"/>
      <c r="OUE36" s="427"/>
      <c r="OUF36" s="424"/>
      <c r="OUG36" s="427"/>
      <c r="OUH36" s="424"/>
      <c r="OUI36" s="427"/>
      <c r="OUJ36" s="424"/>
      <c r="OUK36" s="427"/>
      <c r="OUL36" s="424"/>
      <c r="OUM36" s="427"/>
      <c r="OUN36" s="424"/>
      <c r="OUO36" s="427"/>
      <c r="OUP36" s="424"/>
      <c r="OUQ36" s="427"/>
      <c r="OUR36" s="424"/>
      <c r="OUS36" s="427"/>
      <c r="OUT36" s="424"/>
      <c r="OUU36" s="427"/>
      <c r="OUV36" s="424"/>
      <c r="OUW36" s="427"/>
      <c r="OUX36" s="424"/>
      <c r="OUY36" s="427"/>
      <c r="OUZ36" s="424"/>
      <c r="OVA36" s="427"/>
      <c r="OVB36" s="424"/>
      <c r="OVC36" s="427"/>
      <c r="OVD36" s="424"/>
      <c r="OVE36" s="427"/>
      <c r="OVF36" s="424"/>
      <c r="OVG36" s="427"/>
      <c r="OVH36" s="424"/>
      <c r="OVI36" s="427"/>
      <c r="OVJ36" s="424"/>
      <c r="OVK36" s="427"/>
      <c r="OVL36" s="424"/>
      <c r="OVM36" s="427"/>
      <c r="OVN36" s="424"/>
      <c r="OVO36" s="427"/>
      <c r="OVP36" s="424"/>
      <c r="OVQ36" s="427"/>
      <c r="OVR36" s="424"/>
      <c r="OVS36" s="427"/>
      <c r="OVT36" s="424"/>
      <c r="OVU36" s="427"/>
      <c r="OVV36" s="424"/>
      <c r="OVW36" s="427"/>
      <c r="OVX36" s="424"/>
      <c r="OVY36" s="427"/>
      <c r="OVZ36" s="424"/>
      <c r="OWA36" s="427"/>
      <c r="OWB36" s="424"/>
      <c r="OWC36" s="427"/>
      <c r="OWD36" s="424"/>
      <c r="OWE36" s="427"/>
      <c r="OWF36" s="424"/>
      <c r="OWG36" s="427"/>
      <c r="OWH36" s="424"/>
      <c r="OWI36" s="427"/>
      <c r="OWJ36" s="424"/>
      <c r="OWK36" s="427"/>
      <c r="OWL36" s="424"/>
      <c r="OWM36" s="427"/>
      <c r="OWN36" s="424"/>
      <c r="OWO36" s="427"/>
      <c r="OWP36" s="424"/>
      <c r="OWQ36" s="427"/>
      <c r="OWR36" s="424"/>
      <c r="OWS36" s="427"/>
      <c r="OWT36" s="424"/>
      <c r="OWU36" s="427"/>
      <c r="OWV36" s="424"/>
      <c r="OWW36" s="427"/>
      <c r="OWX36" s="424"/>
      <c r="OWY36" s="427"/>
      <c r="OWZ36" s="424"/>
      <c r="OXA36" s="427"/>
      <c r="OXB36" s="424"/>
      <c r="OXC36" s="427"/>
      <c r="OXD36" s="424"/>
      <c r="OXE36" s="427"/>
      <c r="OXF36" s="424"/>
      <c r="OXG36" s="427"/>
      <c r="OXH36" s="424"/>
      <c r="OXI36" s="427"/>
      <c r="OXJ36" s="424"/>
      <c r="OXK36" s="427"/>
      <c r="OXL36" s="424"/>
      <c r="OXM36" s="427"/>
      <c r="OXN36" s="424"/>
      <c r="OXO36" s="427"/>
      <c r="OXP36" s="424"/>
      <c r="OXQ36" s="427"/>
      <c r="OXR36" s="424"/>
      <c r="OXS36" s="427"/>
      <c r="OXT36" s="424"/>
      <c r="OXU36" s="427"/>
      <c r="OXV36" s="424"/>
      <c r="OXW36" s="427"/>
      <c r="OXX36" s="424"/>
      <c r="OXY36" s="427"/>
      <c r="OXZ36" s="424"/>
      <c r="OYA36" s="427"/>
      <c r="OYB36" s="424"/>
      <c r="OYC36" s="427"/>
      <c r="OYD36" s="424"/>
      <c r="OYE36" s="427"/>
      <c r="OYF36" s="424"/>
      <c r="OYG36" s="427"/>
      <c r="OYH36" s="424"/>
      <c r="OYI36" s="427"/>
      <c r="OYJ36" s="424"/>
      <c r="OYK36" s="427"/>
      <c r="OYL36" s="424"/>
      <c r="OYM36" s="427"/>
      <c r="OYN36" s="424"/>
      <c r="OYO36" s="427"/>
      <c r="OYP36" s="424"/>
      <c r="OYQ36" s="427"/>
      <c r="OYR36" s="424"/>
      <c r="OYS36" s="427"/>
      <c r="OYT36" s="424"/>
      <c r="OYU36" s="427"/>
      <c r="OYV36" s="424"/>
      <c r="OYW36" s="427"/>
      <c r="OYX36" s="424"/>
      <c r="OYY36" s="427"/>
      <c r="OYZ36" s="424"/>
      <c r="OZA36" s="427"/>
      <c r="OZB36" s="424"/>
      <c r="OZC36" s="427"/>
      <c r="OZD36" s="424"/>
      <c r="OZE36" s="427"/>
      <c r="OZF36" s="424"/>
      <c r="OZG36" s="427"/>
      <c r="OZH36" s="424"/>
      <c r="OZI36" s="427"/>
      <c r="OZJ36" s="424"/>
      <c r="OZK36" s="427"/>
      <c r="OZL36" s="424"/>
      <c r="OZM36" s="427"/>
      <c r="OZN36" s="424"/>
      <c r="OZO36" s="427"/>
      <c r="OZP36" s="424"/>
      <c r="OZQ36" s="427"/>
      <c r="OZR36" s="424"/>
      <c r="OZS36" s="427"/>
      <c r="OZT36" s="424"/>
      <c r="OZU36" s="427"/>
      <c r="OZV36" s="424"/>
      <c r="OZW36" s="427"/>
      <c r="OZX36" s="424"/>
      <c r="OZY36" s="427"/>
      <c r="OZZ36" s="424"/>
      <c r="PAA36" s="427"/>
      <c r="PAB36" s="424"/>
      <c r="PAC36" s="427"/>
      <c r="PAD36" s="424"/>
      <c r="PAE36" s="427"/>
      <c r="PAF36" s="424"/>
      <c r="PAG36" s="427"/>
      <c r="PAH36" s="424"/>
      <c r="PAI36" s="427"/>
      <c r="PAJ36" s="424"/>
      <c r="PAK36" s="427"/>
      <c r="PAL36" s="424"/>
      <c r="PAM36" s="427"/>
      <c r="PAN36" s="424"/>
      <c r="PAO36" s="427"/>
      <c r="PAP36" s="424"/>
      <c r="PAQ36" s="427"/>
      <c r="PAR36" s="424"/>
      <c r="PAS36" s="427"/>
      <c r="PAT36" s="424"/>
      <c r="PAU36" s="427"/>
      <c r="PAV36" s="424"/>
      <c r="PAW36" s="427"/>
      <c r="PAX36" s="424"/>
      <c r="PAY36" s="427"/>
      <c r="PAZ36" s="424"/>
      <c r="PBA36" s="427"/>
      <c r="PBB36" s="424"/>
      <c r="PBC36" s="427"/>
      <c r="PBD36" s="424"/>
      <c r="PBE36" s="427"/>
      <c r="PBF36" s="424"/>
      <c r="PBG36" s="427"/>
      <c r="PBH36" s="424"/>
      <c r="PBI36" s="427"/>
      <c r="PBJ36" s="424"/>
      <c r="PBK36" s="427"/>
      <c r="PBL36" s="424"/>
      <c r="PBM36" s="427"/>
      <c r="PBN36" s="424"/>
      <c r="PBO36" s="427"/>
      <c r="PBP36" s="424"/>
      <c r="PBQ36" s="427"/>
      <c r="PBR36" s="424"/>
      <c r="PBS36" s="427"/>
      <c r="PBT36" s="424"/>
      <c r="PBU36" s="427"/>
      <c r="PBV36" s="424"/>
      <c r="PBW36" s="427"/>
      <c r="PBX36" s="424"/>
      <c r="PBY36" s="427"/>
      <c r="PBZ36" s="424"/>
      <c r="PCA36" s="427"/>
      <c r="PCB36" s="424"/>
      <c r="PCC36" s="427"/>
      <c r="PCD36" s="424"/>
      <c r="PCE36" s="427"/>
      <c r="PCF36" s="424"/>
      <c r="PCG36" s="427"/>
      <c r="PCH36" s="424"/>
      <c r="PCI36" s="427"/>
      <c r="PCJ36" s="424"/>
      <c r="PCK36" s="427"/>
      <c r="PCL36" s="424"/>
      <c r="PCM36" s="427"/>
      <c r="PCN36" s="424"/>
      <c r="PCO36" s="427"/>
      <c r="PCP36" s="424"/>
      <c r="PCQ36" s="427"/>
      <c r="PCR36" s="424"/>
      <c r="PCS36" s="427"/>
      <c r="PCT36" s="424"/>
      <c r="PCU36" s="427"/>
      <c r="PCV36" s="424"/>
      <c r="PCW36" s="427"/>
      <c r="PCX36" s="424"/>
      <c r="PCY36" s="427"/>
      <c r="PCZ36" s="424"/>
      <c r="PDA36" s="427"/>
      <c r="PDB36" s="424"/>
      <c r="PDC36" s="427"/>
      <c r="PDD36" s="424"/>
      <c r="PDE36" s="427"/>
      <c r="PDF36" s="424"/>
      <c r="PDG36" s="427"/>
      <c r="PDH36" s="424"/>
      <c r="PDI36" s="427"/>
      <c r="PDJ36" s="424"/>
      <c r="PDK36" s="427"/>
      <c r="PDL36" s="424"/>
      <c r="PDM36" s="427"/>
      <c r="PDN36" s="424"/>
      <c r="PDO36" s="427"/>
      <c r="PDP36" s="424"/>
      <c r="PDQ36" s="427"/>
      <c r="PDR36" s="424"/>
      <c r="PDS36" s="427"/>
      <c r="PDT36" s="424"/>
      <c r="PDU36" s="427"/>
      <c r="PDV36" s="424"/>
      <c r="PDW36" s="427"/>
      <c r="PDX36" s="424"/>
      <c r="PDY36" s="427"/>
      <c r="PDZ36" s="424"/>
      <c r="PEA36" s="427"/>
      <c r="PEB36" s="424"/>
      <c r="PEC36" s="427"/>
      <c r="PED36" s="424"/>
      <c r="PEE36" s="427"/>
      <c r="PEF36" s="424"/>
      <c r="PEG36" s="427"/>
      <c r="PEH36" s="424"/>
      <c r="PEI36" s="427"/>
      <c r="PEJ36" s="424"/>
      <c r="PEK36" s="427"/>
      <c r="PEL36" s="424"/>
      <c r="PEM36" s="427"/>
      <c r="PEN36" s="424"/>
      <c r="PEO36" s="427"/>
      <c r="PEP36" s="424"/>
      <c r="PEQ36" s="427"/>
      <c r="PER36" s="424"/>
      <c r="PES36" s="427"/>
      <c r="PET36" s="424"/>
      <c r="PEU36" s="427"/>
      <c r="PEV36" s="424"/>
      <c r="PEW36" s="427"/>
      <c r="PEX36" s="424"/>
      <c r="PEY36" s="427"/>
      <c r="PEZ36" s="424"/>
      <c r="PFA36" s="427"/>
      <c r="PFB36" s="424"/>
      <c r="PFC36" s="427"/>
      <c r="PFD36" s="424"/>
      <c r="PFE36" s="427"/>
      <c r="PFF36" s="424"/>
      <c r="PFG36" s="427"/>
      <c r="PFH36" s="424"/>
      <c r="PFI36" s="427"/>
      <c r="PFJ36" s="424"/>
      <c r="PFK36" s="427"/>
      <c r="PFL36" s="424"/>
      <c r="PFM36" s="427"/>
      <c r="PFN36" s="424"/>
      <c r="PFO36" s="427"/>
      <c r="PFP36" s="424"/>
      <c r="PFQ36" s="427"/>
      <c r="PFR36" s="424"/>
      <c r="PFS36" s="427"/>
      <c r="PFT36" s="424"/>
      <c r="PFU36" s="427"/>
      <c r="PFV36" s="424"/>
      <c r="PFW36" s="427"/>
      <c r="PFX36" s="424"/>
      <c r="PFY36" s="427"/>
      <c r="PFZ36" s="424"/>
      <c r="PGA36" s="427"/>
      <c r="PGB36" s="424"/>
      <c r="PGC36" s="427"/>
      <c r="PGD36" s="424"/>
      <c r="PGE36" s="427"/>
      <c r="PGF36" s="424"/>
      <c r="PGG36" s="427"/>
      <c r="PGH36" s="424"/>
      <c r="PGI36" s="427"/>
      <c r="PGJ36" s="424"/>
      <c r="PGK36" s="427"/>
      <c r="PGL36" s="424"/>
      <c r="PGM36" s="427"/>
      <c r="PGN36" s="424"/>
      <c r="PGO36" s="427"/>
      <c r="PGP36" s="424"/>
      <c r="PGQ36" s="427"/>
      <c r="PGR36" s="424"/>
      <c r="PGS36" s="427"/>
      <c r="PGT36" s="424"/>
      <c r="PGU36" s="427"/>
      <c r="PGV36" s="424"/>
      <c r="PGW36" s="427"/>
      <c r="PGX36" s="424"/>
      <c r="PGY36" s="427"/>
      <c r="PGZ36" s="424"/>
      <c r="PHA36" s="427"/>
      <c r="PHB36" s="424"/>
      <c r="PHC36" s="427"/>
      <c r="PHD36" s="424"/>
      <c r="PHE36" s="427"/>
      <c r="PHF36" s="424"/>
      <c r="PHG36" s="427"/>
      <c r="PHH36" s="424"/>
      <c r="PHI36" s="427"/>
      <c r="PHJ36" s="424"/>
      <c r="PHK36" s="427"/>
      <c r="PHL36" s="424"/>
      <c r="PHM36" s="427"/>
      <c r="PHN36" s="424"/>
      <c r="PHO36" s="427"/>
      <c r="PHP36" s="424"/>
      <c r="PHQ36" s="427"/>
      <c r="PHR36" s="424"/>
      <c r="PHS36" s="427"/>
      <c r="PHT36" s="424"/>
      <c r="PHU36" s="427"/>
      <c r="PHV36" s="424"/>
      <c r="PHW36" s="427"/>
      <c r="PHX36" s="424"/>
      <c r="PHY36" s="427"/>
      <c r="PHZ36" s="424"/>
      <c r="PIA36" s="427"/>
      <c r="PIB36" s="424"/>
      <c r="PIC36" s="427"/>
      <c r="PID36" s="424"/>
      <c r="PIE36" s="427"/>
      <c r="PIF36" s="424"/>
      <c r="PIG36" s="427"/>
      <c r="PIH36" s="424"/>
      <c r="PII36" s="427"/>
      <c r="PIJ36" s="424"/>
      <c r="PIK36" s="427"/>
      <c r="PIL36" s="424"/>
      <c r="PIM36" s="427"/>
      <c r="PIN36" s="424"/>
      <c r="PIO36" s="427"/>
      <c r="PIP36" s="424"/>
      <c r="PIQ36" s="427"/>
      <c r="PIR36" s="424"/>
      <c r="PIS36" s="427"/>
      <c r="PIT36" s="424"/>
      <c r="PIU36" s="427"/>
      <c r="PIV36" s="424"/>
      <c r="PIW36" s="427"/>
      <c r="PIX36" s="424"/>
      <c r="PIY36" s="427"/>
      <c r="PIZ36" s="424"/>
      <c r="PJA36" s="427"/>
      <c r="PJB36" s="424"/>
      <c r="PJC36" s="427"/>
      <c r="PJD36" s="424"/>
      <c r="PJE36" s="427"/>
      <c r="PJF36" s="424"/>
      <c r="PJG36" s="427"/>
      <c r="PJH36" s="424"/>
      <c r="PJI36" s="427"/>
      <c r="PJJ36" s="424"/>
      <c r="PJK36" s="427"/>
      <c r="PJL36" s="424"/>
      <c r="PJM36" s="427"/>
      <c r="PJN36" s="424"/>
      <c r="PJO36" s="427"/>
      <c r="PJP36" s="424"/>
      <c r="PJQ36" s="427"/>
      <c r="PJR36" s="424"/>
      <c r="PJS36" s="427"/>
      <c r="PJT36" s="424"/>
      <c r="PJU36" s="427"/>
      <c r="PJV36" s="424"/>
      <c r="PJW36" s="427"/>
      <c r="PJX36" s="424"/>
      <c r="PJY36" s="427"/>
      <c r="PJZ36" s="424"/>
      <c r="PKA36" s="427"/>
      <c r="PKB36" s="424"/>
      <c r="PKC36" s="427"/>
      <c r="PKD36" s="424"/>
      <c r="PKE36" s="427"/>
      <c r="PKF36" s="424"/>
      <c r="PKG36" s="427"/>
      <c r="PKH36" s="424"/>
      <c r="PKI36" s="427"/>
      <c r="PKJ36" s="424"/>
      <c r="PKK36" s="427"/>
      <c r="PKL36" s="424"/>
      <c r="PKM36" s="427"/>
      <c r="PKN36" s="424"/>
      <c r="PKO36" s="427"/>
      <c r="PKP36" s="424"/>
      <c r="PKQ36" s="427"/>
      <c r="PKR36" s="424"/>
      <c r="PKS36" s="427"/>
      <c r="PKT36" s="424"/>
      <c r="PKU36" s="427"/>
      <c r="PKV36" s="424"/>
      <c r="PKW36" s="427"/>
      <c r="PKX36" s="424"/>
      <c r="PKY36" s="427"/>
      <c r="PKZ36" s="424"/>
      <c r="PLA36" s="427"/>
      <c r="PLB36" s="424"/>
      <c r="PLC36" s="427"/>
      <c r="PLD36" s="424"/>
      <c r="PLE36" s="427"/>
      <c r="PLF36" s="424"/>
      <c r="PLG36" s="427"/>
      <c r="PLH36" s="424"/>
      <c r="PLI36" s="427"/>
      <c r="PLJ36" s="424"/>
      <c r="PLK36" s="427"/>
      <c r="PLL36" s="424"/>
      <c r="PLM36" s="427"/>
      <c r="PLN36" s="424"/>
      <c r="PLO36" s="427"/>
      <c r="PLP36" s="424"/>
      <c r="PLQ36" s="427"/>
      <c r="PLR36" s="424"/>
      <c r="PLS36" s="427"/>
      <c r="PLT36" s="424"/>
      <c r="PLU36" s="427"/>
      <c r="PLV36" s="424"/>
      <c r="PLW36" s="427"/>
      <c r="PLX36" s="424"/>
      <c r="PLY36" s="427"/>
      <c r="PLZ36" s="424"/>
      <c r="PMA36" s="427"/>
      <c r="PMB36" s="424"/>
      <c r="PMC36" s="427"/>
      <c r="PMD36" s="424"/>
      <c r="PME36" s="427"/>
      <c r="PMF36" s="424"/>
      <c r="PMG36" s="427"/>
      <c r="PMH36" s="424"/>
      <c r="PMI36" s="427"/>
      <c r="PMJ36" s="424"/>
      <c r="PMK36" s="427"/>
      <c r="PML36" s="424"/>
      <c r="PMM36" s="427"/>
      <c r="PMN36" s="424"/>
      <c r="PMO36" s="427"/>
      <c r="PMP36" s="424"/>
      <c r="PMQ36" s="427"/>
      <c r="PMR36" s="424"/>
      <c r="PMS36" s="427"/>
      <c r="PMT36" s="424"/>
      <c r="PMU36" s="427"/>
      <c r="PMV36" s="424"/>
      <c r="PMW36" s="427"/>
      <c r="PMX36" s="424"/>
      <c r="PMY36" s="427"/>
      <c r="PMZ36" s="424"/>
      <c r="PNA36" s="427"/>
      <c r="PNB36" s="424"/>
      <c r="PNC36" s="427"/>
      <c r="PND36" s="424"/>
      <c r="PNE36" s="427"/>
      <c r="PNF36" s="424"/>
      <c r="PNG36" s="427"/>
      <c r="PNH36" s="424"/>
      <c r="PNI36" s="427"/>
      <c r="PNJ36" s="424"/>
      <c r="PNK36" s="427"/>
      <c r="PNL36" s="424"/>
      <c r="PNM36" s="427"/>
      <c r="PNN36" s="424"/>
      <c r="PNO36" s="427"/>
      <c r="PNP36" s="424"/>
      <c r="PNQ36" s="427"/>
      <c r="PNR36" s="424"/>
      <c r="PNS36" s="427"/>
      <c r="PNT36" s="424"/>
      <c r="PNU36" s="427"/>
      <c r="PNV36" s="424"/>
      <c r="PNW36" s="427"/>
      <c r="PNX36" s="424"/>
      <c r="PNY36" s="427"/>
      <c r="PNZ36" s="424"/>
      <c r="POA36" s="427"/>
      <c r="POB36" s="424"/>
      <c r="POC36" s="427"/>
      <c r="POD36" s="424"/>
      <c r="POE36" s="427"/>
      <c r="POF36" s="424"/>
      <c r="POG36" s="427"/>
      <c r="POH36" s="424"/>
      <c r="POI36" s="427"/>
      <c r="POJ36" s="424"/>
      <c r="POK36" s="427"/>
      <c r="POL36" s="424"/>
      <c r="POM36" s="427"/>
      <c r="PON36" s="424"/>
      <c r="POO36" s="427"/>
      <c r="POP36" s="424"/>
      <c r="POQ36" s="427"/>
      <c r="POR36" s="424"/>
      <c r="POS36" s="427"/>
      <c r="POT36" s="424"/>
      <c r="POU36" s="427"/>
      <c r="POV36" s="424"/>
      <c r="POW36" s="427"/>
      <c r="POX36" s="424"/>
      <c r="POY36" s="427"/>
      <c r="POZ36" s="424"/>
      <c r="PPA36" s="427"/>
      <c r="PPB36" s="424"/>
      <c r="PPC36" s="427"/>
      <c r="PPD36" s="424"/>
      <c r="PPE36" s="427"/>
      <c r="PPF36" s="424"/>
      <c r="PPG36" s="427"/>
      <c r="PPH36" s="424"/>
      <c r="PPI36" s="427"/>
      <c r="PPJ36" s="424"/>
      <c r="PPK36" s="427"/>
      <c r="PPL36" s="424"/>
      <c r="PPM36" s="427"/>
      <c r="PPN36" s="424"/>
      <c r="PPO36" s="427"/>
      <c r="PPP36" s="424"/>
      <c r="PPQ36" s="427"/>
      <c r="PPR36" s="424"/>
      <c r="PPS36" s="427"/>
      <c r="PPT36" s="424"/>
      <c r="PPU36" s="427"/>
      <c r="PPV36" s="424"/>
      <c r="PPW36" s="427"/>
      <c r="PPX36" s="424"/>
      <c r="PPY36" s="427"/>
      <c r="PPZ36" s="424"/>
      <c r="PQA36" s="427"/>
      <c r="PQB36" s="424"/>
      <c r="PQC36" s="427"/>
      <c r="PQD36" s="424"/>
      <c r="PQE36" s="427"/>
      <c r="PQF36" s="424"/>
      <c r="PQG36" s="427"/>
      <c r="PQH36" s="424"/>
      <c r="PQI36" s="427"/>
      <c r="PQJ36" s="424"/>
      <c r="PQK36" s="427"/>
      <c r="PQL36" s="424"/>
      <c r="PQM36" s="427"/>
      <c r="PQN36" s="424"/>
      <c r="PQO36" s="427"/>
      <c r="PQP36" s="424"/>
      <c r="PQQ36" s="427"/>
      <c r="PQR36" s="424"/>
      <c r="PQS36" s="427"/>
      <c r="PQT36" s="424"/>
      <c r="PQU36" s="427"/>
      <c r="PQV36" s="424"/>
      <c r="PQW36" s="427"/>
      <c r="PQX36" s="424"/>
      <c r="PQY36" s="427"/>
      <c r="PQZ36" s="424"/>
      <c r="PRA36" s="427"/>
      <c r="PRB36" s="424"/>
      <c r="PRC36" s="427"/>
      <c r="PRD36" s="424"/>
      <c r="PRE36" s="427"/>
      <c r="PRF36" s="424"/>
      <c r="PRG36" s="427"/>
      <c r="PRH36" s="424"/>
      <c r="PRI36" s="427"/>
      <c r="PRJ36" s="424"/>
      <c r="PRK36" s="427"/>
      <c r="PRL36" s="424"/>
      <c r="PRM36" s="427"/>
      <c r="PRN36" s="424"/>
      <c r="PRO36" s="427"/>
      <c r="PRP36" s="424"/>
      <c r="PRQ36" s="427"/>
      <c r="PRR36" s="424"/>
      <c r="PRS36" s="427"/>
      <c r="PRT36" s="424"/>
      <c r="PRU36" s="427"/>
      <c r="PRV36" s="424"/>
      <c r="PRW36" s="427"/>
      <c r="PRX36" s="424"/>
      <c r="PRY36" s="427"/>
      <c r="PRZ36" s="424"/>
      <c r="PSA36" s="427"/>
      <c r="PSB36" s="424"/>
      <c r="PSC36" s="427"/>
      <c r="PSD36" s="424"/>
      <c r="PSE36" s="427"/>
      <c r="PSF36" s="424"/>
      <c r="PSG36" s="427"/>
      <c r="PSH36" s="424"/>
      <c r="PSI36" s="427"/>
      <c r="PSJ36" s="424"/>
      <c r="PSK36" s="427"/>
      <c r="PSL36" s="424"/>
      <c r="PSM36" s="427"/>
      <c r="PSN36" s="424"/>
      <c r="PSO36" s="427"/>
      <c r="PSP36" s="424"/>
      <c r="PSQ36" s="427"/>
      <c r="PSR36" s="424"/>
      <c r="PSS36" s="427"/>
      <c r="PST36" s="424"/>
      <c r="PSU36" s="427"/>
      <c r="PSV36" s="424"/>
      <c r="PSW36" s="427"/>
      <c r="PSX36" s="424"/>
      <c r="PSY36" s="427"/>
      <c r="PSZ36" s="424"/>
      <c r="PTA36" s="427"/>
      <c r="PTB36" s="424"/>
      <c r="PTC36" s="427"/>
      <c r="PTD36" s="424"/>
      <c r="PTE36" s="427"/>
      <c r="PTF36" s="424"/>
      <c r="PTG36" s="427"/>
      <c r="PTH36" s="424"/>
      <c r="PTI36" s="427"/>
      <c r="PTJ36" s="424"/>
      <c r="PTK36" s="427"/>
      <c r="PTL36" s="424"/>
      <c r="PTM36" s="427"/>
      <c r="PTN36" s="424"/>
      <c r="PTO36" s="427"/>
      <c r="PTP36" s="424"/>
      <c r="PTQ36" s="427"/>
      <c r="PTR36" s="424"/>
      <c r="PTS36" s="427"/>
      <c r="PTT36" s="424"/>
      <c r="PTU36" s="427"/>
      <c r="PTV36" s="424"/>
      <c r="PTW36" s="427"/>
      <c r="PTX36" s="424"/>
      <c r="PTY36" s="427"/>
      <c r="PTZ36" s="424"/>
      <c r="PUA36" s="427"/>
      <c r="PUB36" s="424"/>
      <c r="PUC36" s="427"/>
      <c r="PUD36" s="424"/>
      <c r="PUE36" s="427"/>
      <c r="PUF36" s="424"/>
      <c r="PUG36" s="427"/>
      <c r="PUH36" s="424"/>
      <c r="PUI36" s="427"/>
      <c r="PUJ36" s="424"/>
      <c r="PUK36" s="427"/>
      <c r="PUL36" s="424"/>
      <c r="PUM36" s="427"/>
      <c r="PUN36" s="424"/>
      <c r="PUO36" s="427"/>
      <c r="PUP36" s="424"/>
      <c r="PUQ36" s="427"/>
      <c r="PUR36" s="424"/>
      <c r="PUS36" s="427"/>
      <c r="PUT36" s="424"/>
      <c r="PUU36" s="427"/>
      <c r="PUV36" s="424"/>
      <c r="PUW36" s="427"/>
      <c r="PUX36" s="424"/>
      <c r="PUY36" s="427"/>
      <c r="PUZ36" s="424"/>
      <c r="PVA36" s="427"/>
      <c r="PVB36" s="424"/>
      <c r="PVC36" s="427"/>
      <c r="PVD36" s="424"/>
      <c r="PVE36" s="427"/>
      <c r="PVF36" s="424"/>
      <c r="PVG36" s="427"/>
      <c r="PVH36" s="424"/>
      <c r="PVI36" s="427"/>
      <c r="PVJ36" s="424"/>
      <c r="PVK36" s="427"/>
      <c r="PVL36" s="424"/>
      <c r="PVM36" s="427"/>
      <c r="PVN36" s="424"/>
      <c r="PVO36" s="427"/>
      <c r="PVP36" s="424"/>
      <c r="PVQ36" s="427"/>
      <c r="PVR36" s="424"/>
      <c r="PVS36" s="427"/>
      <c r="PVT36" s="424"/>
      <c r="PVU36" s="427"/>
      <c r="PVV36" s="424"/>
      <c r="PVW36" s="427"/>
      <c r="PVX36" s="424"/>
      <c r="PVY36" s="427"/>
      <c r="PVZ36" s="424"/>
      <c r="PWA36" s="427"/>
      <c r="PWB36" s="424"/>
      <c r="PWC36" s="427"/>
      <c r="PWD36" s="424"/>
      <c r="PWE36" s="427"/>
      <c r="PWF36" s="424"/>
      <c r="PWG36" s="427"/>
      <c r="PWH36" s="424"/>
      <c r="PWI36" s="427"/>
      <c r="PWJ36" s="424"/>
      <c r="PWK36" s="427"/>
      <c r="PWL36" s="424"/>
      <c r="PWM36" s="427"/>
      <c r="PWN36" s="424"/>
      <c r="PWO36" s="427"/>
      <c r="PWP36" s="424"/>
      <c r="PWQ36" s="427"/>
      <c r="PWR36" s="424"/>
      <c r="PWS36" s="427"/>
      <c r="PWT36" s="424"/>
      <c r="PWU36" s="427"/>
      <c r="PWV36" s="424"/>
      <c r="PWW36" s="427"/>
      <c r="PWX36" s="424"/>
      <c r="PWY36" s="427"/>
      <c r="PWZ36" s="424"/>
      <c r="PXA36" s="427"/>
      <c r="PXB36" s="424"/>
      <c r="PXC36" s="427"/>
      <c r="PXD36" s="424"/>
      <c r="PXE36" s="427"/>
      <c r="PXF36" s="424"/>
      <c r="PXG36" s="427"/>
      <c r="PXH36" s="424"/>
      <c r="PXI36" s="427"/>
      <c r="PXJ36" s="424"/>
      <c r="PXK36" s="427"/>
      <c r="PXL36" s="424"/>
      <c r="PXM36" s="427"/>
      <c r="PXN36" s="424"/>
      <c r="PXO36" s="427"/>
      <c r="PXP36" s="424"/>
      <c r="PXQ36" s="427"/>
      <c r="PXR36" s="424"/>
      <c r="PXS36" s="427"/>
      <c r="PXT36" s="424"/>
      <c r="PXU36" s="427"/>
      <c r="PXV36" s="424"/>
      <c r="PXW36" s="427"/>
      <c r="PXX36" s="424"/>
      <c r="PXY36" s="427"/>
      <c r="PXZ36" s="424"/>
      <c r="PYA36" s="427"/>
      <c r="PYB36" s="424"/>
      <c r="PYC36" s="427"/>
      <c r="PYD36" s="424"/>
      <c r="PYE36" s="427"/>
      <c r="PYF36" s="424"/>
      <c r="PYG36" s="427"/>
      <c r="PYH36" s="424"/>
      <c r="PYI36" s="427"/>
      <c r="PYJ36" s="424"/>
      <c r="PYK36" s="427"/>
      <c r="PYL36" s="424"/>
      <c r="PYM36" s="427"/>
      <c r="PYN36" s="424"/>
      <c r="PYO36" s="427"/>
      <c r="PYP36" s="424"/>
      <c r="PYQ36" s="427"/>
      <c r="PYR36" s="424"/>
      <c r="PYS36" s="427"/>
      <c r="PYT36" s="424"/>
      <c r="PYU36" s="427"/>
      <c r="PYV36" s="424"/>
      <c r="PYW36" s="427"/>
      <c r="PYX36" s="424"/>
      <c r="PYY36" s="427"/>
      <c r="PYZ36" s="424"/>
      <c r="PZA36" s="427"/>
      <c r="PZB36" s="424"/>
      <c r="PZC36" s="427"/>
      <c r="PZD36" s="424"/>
      <c r="PZE36" s="427"/>
      <c r="PZF36" s="424"/>
      <c r="PZG36" s="427"/>
      <c r="PZH36" s="424"/>
      <c r="PZI36" s="427"/>
      <c r="PZJ36" s="424"/>
      <c r="PZK36" s="427"/>
      <c r="PZL36" s="424"/>
      <c r="PZM36" s="427"/>
      <c r="PZN36" s="424"/>
      <c r="PZO36" s="427"/>
      <c r="PZP36" s="424"/>
      <c r="PZQ36" s="427"/>
      <c r="PZR36" s="424"/>
      <c r="PZS36" s="427"/>
      <c r="PZT36" s="424"/>
      <c r="PZU36" s="427"/>
      <c r="PZV36" s="424"/>
      <c r="PZW36" s="427"/>
      <c r="PZX36" s="424"/>
      <c r="PZY36" s="427"/>
      <c r="PZZ36" s="424"/>
      <c r="QAA36" s="427"/>
      <c r="QAB36" s="424"/>
      <c r="QAC36" s="427"/>
      <c r="QAD36" s="424"/>
      <c r="QAE36" s="427"/>
      <c r="QAF36" s="424"/>
      <c r="QAG36" s="427"/>
      <c r="QAH36" s="424"/>
      <c r="QAI36" s="427"/>
      <c r="QAJ36" s="424"/>
      <c r="QAK36" s="427"/>
      <c r="QAL36" s="424"/>
      <c r="QAM36" s="427"/>
      <c r="QAN36" s="424"/>
      <c r="QAO36" s="427"/>
      <c r="QAP36" s="424"/>
      <c r="QAQ36" s="427"/>
      <c r="QAR36" s="424"/>
      <c r="QAS36" s="427"/>
      <c r="QAT36" s="424"/>
      <c r="QAU36" s="427"/>
      <c r="QAV36" s="424"/>
      <c r="QAW36" s="427"/>
      <c r="QAX36" s="424"/>
      <c r="QAY36" s="427"/>
      <c r="QAZ36" s="424"/>
      <c r="QBA36" s="427"/>
      <c r="QBB36" s="424"/>
      <c r="QBC36" s="427"/>
      <c r="QBD36" s="424"/>
      <c r="QBE36" s="427"/>
      <c r="QBF36" s="424"/>
      <c r="QBG36" s="427"/>
      <c r="QBH36" s="424"/>
      <c r="QBI36" s="427"/>
      <c r="QBJ36" s="424"/>
      <c r="QBK36" s="427"/>
      <c r="QBL36" s="424"/>
      <c r="QBM36" s="427"/>
      <c r="QBN36" s="424"/>
      <c r="QBO36" s="427"/>
      <c r="QBP36" s="424"/>
      <c r="QBQ36" s="427"/>
      <c r="QBR36" s="424"/>
      <c r="QBS36" s="427"/>
      <c r="QBT36" s="424"/>
      <c r="QBU36" s="427"/>
      <c r="QBV36" s="424"/>
      <c r="QBW36" s="427"/>
      <c r="QBX36" s="424"/>
      <c r="QBY36" s="427"/>
      <c r="QBZ36" s="424"/>
      <c r="QCA36" s="427"/>
      <c r="QCB36" s="424"/>
      <c r="QCC36" s="427"/>
      <c r="QCD36" s="424"/>
      <c r="QCE36" s="427"/>
      <c r="QCF36" s="424"/>
      <c r="QCG36" s="427"/>
      <c r="QCH36" s="424"/>
      <c r="QCI36" s="427"/>
      <c r="QCJ36" s="424"/>
      <c r="QCK36" s="427"/>
      <c r="QCL36" s="424"/>
      <c r="QCM36" s="427"/>
      <c r="QCN36" s="424"/>
      <c r="QCO36" s="427"/>
      <c r="QCP36" s="424"/>
      <c r="QCQ36" s="427"/>
      <c r="QCR36" s="424"/>
      <c r="QCS36" s="427"/>
      <c r="QCT36" s="424"/>
      <c r="QCU36" s="427"/>
      <c r="QCV36" s="424"/>
      <c r="QCW36" s="427"/>
      <c r="QCX36" s="424"/>
      <c r="QCY36" s="427"/>
      <c r="QCZ36" s="424"/>
      <c r="QDA36" s="427"/>
      <c r="QDB36" s="424"/>
      <c r="QDC36" s="427"/>
      <c r="QDD36" s="424"/>
      <c r="QDE36" s="427"/>
      <c r="QDF36" s="424"/>
      <c r="QDG36" s="427"/>
      <c r="QDH36" s="424"/>
      <c r="QDI36" s="427"/>
      <c r="QDJ36" s="424"/>
      <c r="QDK36" s="427"/>
      <c r="QDL36" s="424"/>
      <c r="QDM36" s="427"/>
      <c r="QDN36" s="424"/>
      <c r="QDO36" s="427"/>
      <c r="QDP36" s="424"/>
      <c r="QDQ36" s="427"/>
      <c r="QDR36" s="424"/>
      <c r="QDS36" s="427"/>
      <c r="QDT36" s="424"/>
      <c r="QDU36" s="427"/>
      <c r="QDV36" s="424"/>
      <c r="QDW36" s="427"/>
      <c r="QDX36" s="424"/>
      <c r="QDY36" s="427"/>
      <c r="QDZ36" s="424"/>
      <c r="QEA36" s="427"/>
      <c r="QEB36" s="424"/>
      <c r="QEC36" s="427"/>
      <c r="QED36" s="424"/>
      <c r="QEE36" s="427"/>
      <c r="QEF36" s="424"/>
      <c r="QEG36" s="427"/>
      <c r="QEH36" s="424"/>
      <c r="QEI36" s="427"/>
      <c r="QEJ36" s="424"/>
      <c r="QEK36" s="427"/>
      <c r="QEL36" s="424"/>
      <c r="QEM36" s="427"/>
      <c r="QEN36" s="424"/>
      <c r="QEO36" s="427"/>
      <c r="QEP36" s="424"/>
      <c r="QEQ36" s="427"/>
      <c r="QER36" s="424"/>
      <c r="QES36" s="427"/>
      <c r="QET36" s="424"/>
      <c r="QEU36" s="427"/>
      <c r="QEV36" s="424"/>
      <c r="QEW36" s="427"/>
      <c r="QEX36" s="424"/>
      <c r="QEY36" s="427"/>
      <c r="QEZ36" s="424"/>
      <c r="QFA36" s="427"/>
      <c r="QFB36" s="424"/>
      <c r="QFC36" s="427"/>
      <c r="QFD36" s="424"/>
      <c r="QFE36" s="427"/>
      <c r="QFF36" s="424"/>
      <c r="QFG36" s="427"/>
      <c r="QFH36" s="424"/>
      <c r="QFI36" s="427"/>
      <c r="QFJ36" s="424"/>
      <c r="QFK36" s="427"/>
      <c r="QFL36" s="424"/>
      <c r="QFM36" s="427"/>
      <c r="QFN36" s="424"/>
      <c r="QFO36" s="427"/>
      <c r="QFP36" s="424"/>
      <c r="QFQ36" s="427"/>
      <c r="QFR36" s="424"/>
      <c r="QFS36" s="427"/>
      <c r="QFT36" s="424"/>
      <c r="QFU36" s="427"/>
      <c r="QFV36" s="424"/>
      <c r="QFW36" s="427"/>
      <c r="QFX36" s="424"/>
      <c r="QFY36" s="427"/>
      <c r="QFZ36" s="424"/>
      <c r="QGA36" s="427"/>
      <c r="QGB36" s="424"/>
      <c r="QGC36" s="427"/>
      <c r="QGD36" s="424"/>
      <c r="QGE36" s="427"/>
      <c r="QGF36" s="424"/>
      <c r="QGG36" s="427"/>
      <c r="QGH36" s="424"/>
      <c r="QGI36" s="427"/>
      <c r="QGJ36" s="424"/>
      <c r="QGK36" s="427"/>
      <c r="QGL36" s="424"/>
      <c r="QGM36" s="427"/>
      <c r="QGN36" s="424"/>
      <c r="QGO36" s="427"/>
      <c r="QGP36" s="424"/>
      <c r="QGQ36" s="427"/>
      <c r="QGR36" s="424"/>
      <c r="QGS36" s="427"/>
      <c r="QGT36" s="424"/>
      <c r="QGU36" s="427"/>
      <c r="QGV36" s="424"/>
      <c r="QGW36" s="427"/>
      <c r="QGX36" s="424"/>
      <c r="QGY36" s="427"/>
      <c r="QGZ36" s="424"/>
      <c r="QHA36" s="427"/>
      <c r="QHB36" s="424"/>
      <c r="QHC36" s="427"/>
      <c r="QHD36" s="424"/>
      <c r="QHE36" s="427"/>
      <c r="QHF36" s="424"/>
      <c r="QHG36" s="427"/>
      <c r="QHH36" s="424"/>
      <c r="QHI36" s="427"/>
      <c r="QHJ36" s="424"/>
      <c r="QHK36" s="427"/>
      <c r="QHL36" s="424"/>
      <c r="QHM36" s="427"/>
      <c r="QHN36" s="424"/>
      <c r="QHO36" s="427"/>
      <c r="QHP36" s="424"/>
      <c r="QHQ36" s="427"/>
      <c r="QHR36" s="424"/>
      <c r="QHS36" s="427"/>
      <c r="QHT36" s="424"/>
      <c r="QHU36" s="427"/>
      <c r="QHV36" s="424"/>
      <c r="QHW36" s="427"/>
      <c r="QHX36" s="424"/>
      <c r="QHY36" s="427"/>
      <c r="QHZ36" s="424"/>
      <c r="QIA36" s="427"/>
      <c r="QIB36" s="424"/>
      <c r="QIC36" s="427"/>
      <c r="QID36" s="424"/>
      <c r="QIE36" s="427"/>
      <c r="QIF36" s="424"/>
      <c r="QIG36" s="427"/>
      <c r="QIH36" s="424"/>
      <c r="QII36" s="427"/>
      <c r="QIJ36" s="424"/>
      <c r="QIK36" s="427"/>
      <c r="QIL36" s="424"/>
      <c r="QIM36" s="427"/>
      <c r="QIN36" s="424"/>
      <c r="QIO36" s="427"/>
      <c r="QIP36" s="424"/>
      <c r="QIQ36" s="427"/>
      <c r="QIR36" s="424"/>
      <c r="QIS36" s="427"/>
      <c r="QIT36" s="424"/>
      <c r="QIU36" s="427"/>
      <c r="QIV36" s="424"/>
      <c r="QIW36" s="427"/>
      <c r="QIX36" s="424"/>
      <c r="QIY36" s="427"/>
      <c r="QIZ36" s="424"/>
      <c r="QJA36" s="427"/>
      <c r="QJB36" s="424"/>
      <c r="QJC36" s="427"/>
      <c r="QJD36" s="424"/>
      <c r="QJE36" s="427"/>
      <c r="QJF36" s="424"/>
      <c r="QJG36" s="427"/>
      <c r="QJH36" s="424"/>
      <c r="QJI36" s="427"/>
      <c r="QJJ36" s="424"/>
      <c r="QJK36" s="427"/>
      <c r="QJL36" s="424"/>
      <c r="QJM36" s="427"/>
      <c r="QJN36" s="424"/>
      <c r="QJO36" s="427"/>
      <c r="QJP36" s="424"/>
      <c r="QJQ36" s="427"/>
      <c r="QJR36" s="424"/>
      <c r="QJS36" s="427"/>
      <c r="QJT36" s="424"/>
      <c r="QJU36" s="427"/>
      <c r="QJV36" s="424"/>
      <c r="QJW36" s="427"/>
      <c r="QJX36" s="424"/>
      <c r="QJY36" s="427"/>
      <c r="QJZ36" s="424"/>
      <c r="QKA36" s="427"/>
      <c r="QKB36" s="424"/>
      <c r="QKC36" s="427"/>
      <c r="QKD36" s="424"/>
      <c r="QKE36" s="427"/>
      <c r="QKF36" s="424"/>
      <c r="QKG36" s="427"/>
      <c r="QKH36" s="424"/>
      <c r="QKI36" s="427"/>
      <c r="QKJ36" s="424"/>
      <c r="QKK36" s="427"/>
      <c r="QKL36" s="424"/>
      <c r="QKM36" s="427"/>
      <c r="QKN36" s="424"/>
      <c r="QKO36" s="427"/>
      <c r="QKP36" s="424"/>
      <c r="QKQ36" s="427"/>
      <c r="QKR36" s="424"/>
      <c r="QKS36" s="427"/>
      <c r="QKT36" s="424"/>
      <c r="QKU36" s="427"/>
      <c r="QKV36" s="424"/>
      <c r="QKW36" s="427"/>
      <c r="QKX36" s="424"/>
      <c r="QKY36" s="427"/>
      <c r="QKZ36" s="424"/>
      <c r="QLA36" s="427"/>
      <c r="QLB36" s="424"/>
      <c r="QLC36" s="427"/>
      <c r="QLD36" s="424"/>
      <c r="QLE36" s="427"/>
      <c r="QLF36" s="424"/>
      <c r="QLG36" s="427"/>
      <c r="QLH36" s="424"/>
      <c r="QLI36" s="427"/>
      <c r="QLJ36" s="424"/>
      <c r="QLK36" s="427"/>
      <c r="QLL36" s="424"/>
      <c r="QLM36" s="427"/>
      <c r="QLN36" s="424"/>
      <c r="QLO36" s="427"/>
      <c r="QLP36" s="424"/>
      <c r="QLQ36" s="427"/>
      <c r="QLR36" s="424"/>
      <c r="QLS36" s="427"/>
      <c r="QLT36" s="424"/>
      <c r="QLU36" s="427"/>
      <c r="QLV36" s="424"/>
      <c r="QLW36" s="427"/>
      <c r="QLX36" s="424"/>
      <c r="QLY36" s="427"/>
      <c r="QLZ36" s="424"/>
      <c r="QMA36" s="427"/>
      <c r="QMB36" s="424"/>
      <c r="QMC36" s="427"/>
      <c r="QMD36" s="424"/>
      <c r="QME36" s="427"/>
      <c r="QMF36" s="424"/>
      <c r="QMG36" s="427"/>
      <c r="QMH36" s="424"/>
      <c r="QMI36" s="427"/>
      <c r="QMJ36" s="424"/>
      <c r="QMK36" s="427"/>
      <c r="QML36" s="424"/>
      <c r="QMM36" s="427"/>
      <c r="QMN36" s="424"/>
      <c r="QMO36" s="427"/>
      <c r="QMP36" s="424"/>
      <c r="QMQ36" s="427"/>
      <c r="QMR36" s="424"/>
      <c r="QMS36" s="427"/>
      <c r="QMT36" s="424"/>
      <c r="QMU36" s="427"/>
      <c r="QMV36" s="424"/>
      <c r="QMW36" s="427"/>
      <c r="QMX36" s="424"/>
      <c r="QMY36" s="427"/>
      <c r="QMZ36" s="424"/>
      <c r="QNA36" s="427"/>
      <c r="QNB36" s="424"/>
      <c r="QNC36" s="427"/>
      <c r="QND36" s="424"/>
      <c r="QNE36" s="427"/>
      <c r="QNF36" s="424"/>
      <c r="QNG36" s="427"/>
      <c r="QNH36" s="424"/>
      <c r="QNI36" s="427"/>
      <c r="QNJ36" s="424"/>
      <c r="QNK36" s="427"/>
      <c r="QNL36" s="424"/>
      <c r="QNM36" s="427"/>
      <c r="QNN36" s="424"/>
      <c r="QNO36" s="427"/>
      <c r="QNP36" s="424"/>
      <c r="QNQ36" s="427"/>
      <c r="QNR36" s="424"/>
      <c r="QNS36" s="427"/>
      <c r="QNT36" s="424"/>
      <c r="QNU36" s="427"/>
      <c r="QNV36" s="424"/>
      <c r="QNW36" s="427"/>
      <c r="QNX36" s="424"/>
      <c r="QNY36" s="427"/>
      <c r="QNZ36" s="424"/>
      <c r="QOA36" s="427"/>
      <c r="QOB36" s="424"/>
      <c r="QOC36" s="427"/>
      <c r="QOD36" s="424"/>
      <c r="QOE36" s="427"/>
      <c r="QOF36" s="424"/>
      <c r="QOG36" s="427"/>
      <c r="QOH36" s="424"/>
      <c r="QOI36" s="427"/>
      <c r="QOJ36" s="424"/>
      <c r="QOK36" s="427"/>
      <c r="QOL36" s="424"/>
      <c r="QOM36" s="427"/>
      <c r="QON36" s="424"/>
      <c r="QOO36" s="427"/>
      <c r="QOP36" s="424"/>
      <c r="QOQ36" s="427"/>
      <c r="QOR36" s="424"/>
      <c r="QOS36" s="427"/>
      <c r="QOT36" s="424"/>
      <c r="QOU36" s="427"/>
      <c r="QOV36" s="424"/>
      <c r="QOW36" s="427"/>
      <c r="QOX36" s="424"/>
      <c r="QOY36" s="427"/>
      <c r="QOZ36" s="424"/>
      <c r="QPA36" s="427"/>
      <c r="QPB36" s="424"/>
      <c r="QPC36" s="427"/>
      <c r="QPD36" s="424"/>
      <c r="QPE36" s="427"/>
      <c r="QPF36" s="424"/>
      <c r="QPG36" s="427"/>
      <c r="QPH36" s="424"/>
      <c r="QPI36" s="427"/>
      <c r="QPJ36" s="424"/>
      <c r="QPK36" s="427"/>
      <c r="QPL36" s="424"/>
      <c r="QPM36" s="427"/>
      <c r="QPN36" s="424"/>
      <c r="QPO36" s="427"/>
      <c r="QPP36" s="424"/>
      <c r="QPQ36" s="427"/>
      <c r="QPR36" s="424"/>
      <c r="QPS36" s="427"/>
      <c r="QPT36" s="424"/>
      <c r="QPU36" s="427"/>
      <c r="QPV36" s="424"/>
      <c r="QPW36" s="427"/>
      <c r="QPX36" s="424"/>
      <c r="QPY36" s="427"/>
      <c r="QPZ36" s="424"/>
      <c r="QQA36" s="427"/>
      <c r="QQB36" s="424"/>
      <c r="QQC36" s="427"/>
      <c r="QQD36" s="424"/>
      <c r="QQE36" s="427"/>
      <c r="QQF36" s="424"/>
      <c r="QQG36" s="427"/>
      <c r="QQH36" s="424"/>
      <c r="QQI36" s="427"/>
      <c r="QQJ36" s="424"/>
      <c r="QQK36" s="427"/>
      <c r="QQL36" s="424"/>
      <c r="QQM36" s="427"/>
      <c r="QQN36" s="424"/>
      <c r="QQO36" s="427"/>
      <c r="QQP36" s="424"/>
      <c r="QQQ36" s="427"/>
      <c r="QQR36" s="424"/>
      <c r="QQS36" s="427"/>
      <c r="QQT36" s="424"/>
      <c r="QQU36" s="427"/>
      <c r="QQV36" s="424"/>
      <c r="QQW36" s="427"/>
      <c r="QQX36" s="424"/>
      <c r="QQY36" s="427"/>
      <c r="QQZ36" s="424"/>
      <c r="QRA36" s="427"/>
      <c r="QRB36" s="424"/>
      <c r="QRC36" s="427"/>
      <c r="QRD36" s="424"/>
      <c r="QRE36" s="427"/>
      <c r="QRF36" s="424"/>
      <c r="QRG36" s="427"/>
      <c r="QRH36" s="424"/>
      <c r="QRI36" s="427"/>
      <c r="QRJ36" s="424"/>
      <c r="QRK36" s="427"/>
      <c r="QRL36" s="424"/>
      <c r="QRM36" s="427"/>
      <c r="QRN36" s="424"/>
      <c r="QRO36" s="427"/>
      <c r="QRP36" s="424"/>
      <c r="QRQ36" s="427"/>
      <c r="QRR36" s="424"/>
      <c r="QRS36" s="427"/>
      <c r="QRT36" s="424"/>
      <c r="QRU36" s="427"/>
      <c r="QRV36" s="424"/>
      <c r="QRW36" s="427"/>
      <c r="QRX36" s="424"/>
      <c r="QRY36" s="427"/>
      <c r="QRZ36" s="424"/>
      <c r="QSA36" s="427"/>
      <c r="QSB36" s="424"/>
      <c r="QSC36" s="427"/>
      <c r="QSD36" s="424"/>
      <c r="QSE36" s="427"/>
      <c r="QSF36" s="424"/>
      <c r="QSG36" s="427"/>
      <c r="QSH36" s="424"/>
      <c r="QSI36" s="427"/>
      <c r="QSJ36" s="424"/>
      <c r="QSK36" s="427"/>
      <c r="QSL36" s="424"/>
      <c r="QSM36" s="427"/>
      <c r="QSN36" s="424"/>
      <c r="QSO36" s="427"/>
      <c r="QSP36" s="424"/>
      <c r="QSQ36" s="427"/>
      <c r="QSR36" s="424"/>
      <c r="QSS36" s="427"/>
      <c r="QST36" s="424"/>
      <c r="QSU36" s="427"/>
      <c r="QSV36" s="424"/>
      <c r="QSW36" s="427"/>
      <c r="QSX36" s="424"/>
      <c r="QSY36" s="427"/>
      <c r="QSZ36" s="424"/>
      <c r="QTA36" s="427"/>
      <c r="QTB36" s="424"/>
      <c r="QTC36" s="427"/>
      <c r="QTD36" s="424"/>
      <c r="QTE36" s="427"/>
      <c r="QTF36" s="424"/>
      <c r="QTG36" s="427"/>
      <c r="QTH36" s="424"/>
      <c r="QTI36" s="427"/>
      <c r="QTJ36" s="424"/>
      <c r="QTK36" s="427"/>
      <c r="QTL36" s="424"/>
      <c r="QTM36" s="427"/>
      <c r="QTN36" s="424"/>
      <c r="QTO36" s="427"/>
      <c r="QTP36" s="424"/>
      <c r="QTQ36" s="427"/>
      <c r="QTR36" s="424"/>
      <c r="QTS36" s="427"/>
      <c r="QTT36" s="424"/>
      <c r="QTU36" s="427"/>
      <c r="QTV36" s="424"/>
      <c r="QTW36" s="427"/>
      <c r="QTX36" s="424"/>
      <c r="QTY36" s="427"/>
      <c r="QTZ36" s="424"/>
      <c r="QUA36" s="427"/>
      <c r="QUB36" s="424"/>
      <c r="QUC36" s="427"/>
      <c r="QUD36" s="424"/>
      <c r="QUE36" s="427"/>
      <c r="QUF36" s="424"/>
      <c r="QUG36" s="427"/>
      <c r="QUH36" s="424"/>
      <c r="QUI36" s="427"/>
      <c r="QUJ36" s="424"/>
      <c r="QUK36" s="427"/>
      <c r="QUL36" s="424"/>
      <c r="QUM36" s="427"/>
      <c r="QUN36" s="424"/>
      <c r="QUO36" s="427"/>
      <c r="QUP36" s="424"/>
      <c r="QUQ36" s="427"/>
      <c r="QUR36" s="424"/>
      <c r="QUS36" s="427"/>
      <c r="QUT36" s="424"/>
      <c r="QUU36" s="427"/>
      <c r="QUV36" s="424"/>
      <c r="QUW36" s="427"/>
      <c r="QUX36" s="424"/>
      <c r="QUY36" s="427"/>
      <c r="QUZ36" s="424"/>
      <c r="QVA36" s="427"/>
      <c r="QVB36" s="424"/>
      <c r="QVC36" s="427"/>
      <c r="QVD36" s="424"/>
      <c r="QVE36" s="427"/>
      <c r="QVF36" s="424"/>
      <c r="QVG36" s="427"/>
      <c r="QVH36" s="424"/>
      <c r="QVI36" s="427"/>
      <c r="QVJ36" s="424"/>
      <c r="QVK36" s="427"/>
      <c r="QVL36" s="424"/>
      <c r="QVM36" s="427"/>
      <c r="QVN36" s="424"/>
      <c r="QVO36" s="427"/>
      <c r="QVP36" s="424"/>
      <c r="QVQ36" s="427"/>
      <c r="QVR36" s="424"/>
      <c r="QVS36" s="427"/>
      <c r="QVT36" s="424"/>
      <c r="QVU36" s="427"/>
      <c r="QVV36" s="424"/>
      <c r="QVW36" s="427"/>
      <c r="QVX36" s="424"/>
      <c r="QVY36" s="427"/>
      <c r="QVZ36" s="424"/>
      <c r="QWA36" s="427"/>
      <c r="QWB36" s="424"/>
      <c r="QWC36" s="427"/>
      <c r="QWD36" s="424"/>
      <c r="QWE36" s="427"/>
      <c r="QWF36" s="424"/>
      <c r="QWG36" s="427"/>
      <c r="QWH36" s="424"/>
      <c r="QWI36" s="427"/>
      <c r="QWJ36" s="424"/>
      <c r="QWK36" s="427"/>
      <c r="QWL36" s="424"/>
      <c r="QWM36" s="427"/>
      <c r="QWN36" s="424"/>
      <c r="QWO36" s="427"/>
      <c r="QWP36" s="424"/>
      <c r="QWQ36" s="427"/>
      <c r="QWR36" s="424"/>
      <c r="QWS36" s="427"/>
      <c r="QWT36" s="424"/>
      <c r="QWU36" s="427"/>
      <c r="QWV36" s="424"/>
      <c r="QWW36" s="427"/>
      <c r="QWX36" s="424"/>
      <c r="QWY36" s="427"/>
      <c r="QWZ36" s="424"/>
      <c r="QXA36" s="427"/>
      <c r="QXB36" s="424"/>
      <c r="QXC36" s="427"/>
      <c r="QXD36" s="424"/>
      <c r="QXE36" s="427"/>
      <c r="QXF36" s="424"/>
      <c r="QXG36" s="427"/>
      <c r="QXH36" s="424"/>
      <c r="QXI36" s="427"/>
      <c r="QXJ36" s="424"/>
      <c r="QXK36" s="427"/>
      <c r="QXL36" s="424"/>
      <c r="QXM36" s="427"/>
      <c r="QXN36" s="424"/>
      <c r="QXO36" s="427"/>
      <c r="QXP36" s="424"/>
      <c r="QXQ36" s="427"/>
      <c r="QXR36" s="424"/>
      <c r="QXS36" s="427"/>
      <c r="QXT36" s="424"/>
      <c r="QXU36" s="427"/>
      <c r="QXV36" s="424"/>
      <c r="QXW36" s="427"/>
      <c r="QXX36" s="424"/>
      <c r="QXY36" s="427"/>
      <c r="QXZ36" s="424"/>
      <c r="QYA36" s="427"/>
      <c r="QYB36" s="424"/>
      <c r="QYC36" s="427"/>
      <c r="QYD36" s="424"/>
      <c r="QYE36" s="427"/>
      <c r="QYF36" s="424"/>
      <c r="QYG36" s="427"/>
      <c r="QYH36" s="424"/>
      <c r="QYI36" s="427"/>
      <c r="QYJ36" s="424"/>
      <c r="QYK36" s="427"/>
      <c r="QYL36" s="424"/>
      <c r="QYM36" s="427"/>
      <c r="QYN36" s="424"/>
      <c r="QYO36" s="427"/>
      <c r="QYP36" s="424"/>
      <c r="QYQ36" s="427"/>
      <c r="QYR36" s="424"/>
      <c r="QYS36" s="427"/>
      <c r="QYT36" s="424"/>
      <c r="QYU36" s="427"/>
      <c r="QYV36" s="424"/>
      <c r="QYW36" s="427"/>
      <c r="QYX36" s="424"/>
      <c r="QYY36" s="427"/>
      <c r="QYZ36" s="424"/>
      <c r="QZA36" s="427"/>
      <c r="QZB36" s="424"/>
      <c r="QZC36" s="427"/>
      <c r="QZD36" s="424"/>
      <c r="QZE36" s="427"/>
      <c r="QZF36" s="424"/>
      <c r="QZG36" s="427"/>
      <c r="QZH36" s="424"/>
      <c r="QZI36" s="427"/>
      <c r="QZJ36" s="424"/>
      <c r="QZK36" s="427"/>
      <c r="QZL36" s="424"/>
      <c r="QZM36" s="427"/>
      <c r="QZN36" s="424"/>
      <c r="QZO36" s="427"/>
      <c r="QZP36" s="424"/>
      <c r="QZQ36" s="427"/>
      <c r="QZR36" s="424"/>
      <c r="QZS36" s="427"/>
      <c r="QZT36" s="424"/>
      <c r="QZU36" s="427"/>
      <c r="QZV36" s="424"/>
      <c r="QZW36" s="427"/>
      <c r="QZX36" s="424"/>
      <c r="QZY36" s="427"/>
      <c r="QZZ36" s="424"/>
      <c r="RAA36" s="427"/>
      <c r="RAB36" s="424"/>
      <c r="RAC36" s="427"/>
      <c r="RAD36" s="424"/>
      <c r="RAE36" s="427"/>
      <c r="RAF36" s="424"/>
      <c r="RAG36" s="427"/>
      <c r="RAH36" s="424"/>
      <c r="RAI36" s="427"/>
      <c r="RAJ36" s="424"/>
      <c r="RAK36" s="427"/>
      <c r="RAL36" s="424"/>
      <c r="RAM36" s="427"/>
      <c r="RAN36" s="424"/>
      <c r="RAO36" s="427"/>
      <c r="RAP36" s="424"/>
      <c r="RAQ36" s="427"/>
      <c r="RAR36" s="424"/>
      <c r="RAS36" s="427"/>
      <c r="RAT36" s="424"/>
      <c r="RAU36" s="427"/>
      <c r="RAV36" s="424"/>
      <c r="RAW36" s="427"/>
      <c r="RAX36" s="424"/>
      <c r="RAY36" s="427"/>
      <c r="RAZ36" s="424"/>
      <c r="RBA36" s="427"/>
      <c r="RBB36" s="424"/>
      <c r="RBC36" s="427"/>
      <c r="RBD36" s="424"/>
      <c r="RBE36" s="427"/>
      <c r="RBF36" s="424"/>
      <c r="RBG36" s="427"/>
      <c r="RBH36" s="424"/>
      <c r="RBI36" s="427"/>
      <c r="RBJ36" s="424"/>
      <c r="RBK36" s="427"/>
      <c r="RBL36" s="424"/>
      <c r="RBM36" s="427"/>
      <c r="RBN36" s="424"/>
      <c r="RBO36" s="427"/>
      <c r="RBP36" s="424"/>
      <c r="RBQ36" s="427"/>
      <c r="RBR36" s="424"/>
      <c r="RBS36" s="427"/>
      <c r="RBT36" s="424"/>
      <c r="RBU36" s="427"/>
      <c r="RBV36" s="424"/>
      <c r="RBW36" s="427"/>
      <c r="RBX36" s="424"/>
      <c r="RBY36" s="427"/>
      <c r="RBZ36" s="424"/>
      <c r="RCA36" s="427"/>
      <c r="RCB36" s="424"/>
      <c r="RCC36" s="427"/>
      <c r="RCD36" s="424"/>
      <c r="RCE36" s="427"/>
      <c r="RCF36" s="424"/>
      <c r="RCG36" s="427"/>
      <c r="RCH36" s="424"/>
      <c r="RCI36" s="427"/>
      <c r="RCJ36" s="424"/>
      <c r="RCK36" s="427"/>
      <c r="RCL36" s="424"/>
      <c r="RCM36" s="427"/>
      <c r="RCN36" s="424"/>
      <c r="RCO36" s="427"/>
      <c r="RCP36" s="424"/>
      <c r="RCQ36" s="427"/>
      <c r="RCR36" s="424"/>
      <c r="RCS36" s="427"/>
      <c r="RCT36" s="424"/>
      <c r="RCU36" s="427"/>
      <c r="RCV36" s="424"/>
      <c r="RCW36" s="427"/>
      <c r="RCX36" s="424"/>
      <c r="RCY36" s="427"/>
      <c r="RCZ36" s="424"/>
      <c r="RDA36" s="427"/>
      <c r="RDB36" s="424"/>
      <c r="RDC36" s="427"/>
      <c r="RDD36" s="424"/>
      <c r="RDE36" s="427"/>
      <c r="RDF36" s="424"/>
      <c r="RDG36" s="427"/>
      <c r="RDH36" s="424"/>
      <c r="RDI36" s="427"/>
      <c r="RDJ36" s="424"/>
      <c r="RDK36" s="427"/>
      <c r="RDL36" s="424"/>
      <c r="RDM36" s="427"/>
      <c r="RDN36" s="424"/>
      <c r="RDO36" s="427"/>
      <c r="RDP36" s="424"/>
      <c r="RDQ36" s="427"/>
      <c r="RDR36" s="424"/>
      <c r="RDS36" s="427"/>
      <c r="RDT36" s="424"/>
      <c r="RDU36" s="427"/>
      <c r="RDV36" s="424"/>
      <c r="RDW36" s="427"/>
      <c r="RDX36" s="424"/>
      <c r="RDY36" s="427"/>
      <c r="RDZ36" s="424"/>
      <c r="REA36" s="427"/>
      <c r="REB36" s="424"/>
      <c r="REC36" s="427"/>
      <c r="RED36" s="424"/>
      <c r="REE36" s="427"/>
      <c r="REF36" s="424"/>
      <c r="REG36" s="427"/>
      <c r="REH36" s="424"/>
      <c r="REI36" s="427"/>
      <c r="REJ36" s="424"/>
      <c r="REK36" s="427"/>
      <c r="REL36" s="424"/>
      <c r="REM36" s="427"/>
      <c r="REN36" s="424"/>
      <c r="REO36" s="427"/>
      <c r="REP36" s="424"/>
      <c r="REQ36" s="427"/>
      <c r="RER36" s="424"/>
      <c r="RES36" s="427"/>
      <c r="RET36" s="424"/>
      <c r="REU36" s="427"/>
      <c r="REV36" s="424"/>
      <c r="REW36" s="427"/>
      <c r="REX36" s="424"/>
      <c r="REY36" s="427"/>
      <c r="REZ36" s="424"/>
      <c r="RFA36" s="427"/>
      <c r="RFB36" s="424"/>
      <c r="RFC36" s="427"/>
      <c r="RFD36" s="424"/>
      <c r="RFE36" s="427"/>
      <c r="RFF36" s="424"/>
      <c r="RFG36" s="427"/>
      <c r="RFH36" s="424"/>
      <c r="RFI36" s="427"/>
      <c r="RFJ36" s="424"/>
      <c r="RFK36" s="427"/>
      <c r="RFL36" s="424"/>
      <c r="RFM36" s="427"/>
      <c r="RFN36" s="424"/>
      <c r="RFO36" s="427"/>
      <c r="RFP36" s="424"/>
      <c r="RFQ36" s="427"/>
      <c r="RFR36" s="424"/>
      <c r="RFS36" s="427"/>
      <c r="RFT36" s="424"/>
      <c r="RFU36" s="427"/>
      <c r="RFV36" s="424"/>
      <c r="RFW36" s="427"/>
      <c r="RFX36" s="424"/>
      <c r="RFY36" s="427"/>
      <c r="RFZ36" s="424"/>
      <c r="RGA36" s="427"/>
      <c r="RGB36" s="424"/>
      <c r="RGC36" s="427"/>
      <c r="RGD36" s="424"/>
      <c r="RGE36" s="427"/>
      <c r="RGF36" s="424"/>
      <c r="RGG36" s="427"/>
      <c r="RGH36" s="424"/>
      <c r="RGI36" s="427"/>
      <c r="RGJ36" s="424"/>
      <c r="RGK36" s="427"/>
      <c r="RGL36" s="424"/>
      <c r="RGM36" s="427"/>
      <c r="RGN36" s="424"/>
      <c r="RGO36" s="427"/>
      <c r="RGP36" s="424"/>
      <c r="RGQ36" s="427"/>
      <c r="RGR36" s="424"/>
      <c r="RGS36" s="427"/>
      <c r="RGT36" s="424"/>
      <c r="RGU36" s="427"/>
      <c r="RGV36" s="424"/>
      <c r="RGW36" s="427"/>
      <c r="RGX36" s="424"/>
      <c r="RGY36" s="427"/>
      <c r="RGZ36" s="424"/>
      <c r="RHA36" s="427"/>
      <c r="RHB36" s="424"/>
      <c r="RHC36" s="427"/>
      <c r="RHD36" s="424"/>
      <c r="RHE36" s="427"/>
      <c r="RHF36" s="424"/>
      <c r="RHG36" s="427"/>
      <c r="RHH36" s="424"/>
      <c r="RHI36" s="427"/>
      <c r="RHJ36" s="424"/>
      <c r="RHK36" s="427"/>
      <c r="RHL36" s="424"/>
      <c r="RHM36" s="427"/>
      <c r="RHN36" s="424"/>
      <c r="RHO36" s="427"/>
      <c r="RHP36" s="424"/>
      <c r="RHQ36" s="427"/>
      <c r="RHR36" s="424"/>
      <c r="RHS36" s="427"/>
      <c r="RHT36" s="424"/>
      <c r="RHU36" s="427"/>
      <c r="RHV36" s="424"/>
      <c r="RHW36" s="427"/>
      <c r="RHX36" s="424"/>
      <c r="RHY36" s="427"/>
      <c r="RHZ36" s="424"/>
      <c r="RIA36" s="427"/>
      <c r="RIB36" s="424"/>
      <c r="RIC36" s="427"/>
      <c r="RID36" s="424"/>
      <c r="RIE36" s="427"/>
      <c r="RIF36" s="424"/>
      <c r="RIG36" s="427"/>
      <c r="RIH36" s="424"/>
      <c r="RII36" s="427"/>
      <c r="RIJ36" s="424"/>
      <c r="RIK36" s="427"/>
      <c r="RIL36" s="424"/>
      <c r="RIM36" s="427"/>
      <c r="RIN36" s="424"/>
      <c r="RIO36" s="427"/>
      <c r="RIP36" s="424"/>
      <c r="RIQ36" s="427"/>
      <c r="RIR36" s="424"/>
      <c r="RIS36" s="427"/>
      <c r="RIT36" s="424"/>
      <c r="RIU36" s="427"/>
      <c r="RIV36" s="424"/>
      <c r="RIW36" s="427"/>
      <c r="RIX36" s="424"/>
      <c r="RIY36" s="427"/>
      <c r="RIZ36" s="424"/>
      <c r="RJA36" s="427"/>
      <c r="RJB36" s="424"/>
      <c r="RJC36" s="427"/>
      <c r="RJD36" s="424"/>
      <c r="RJE36" s="427"/>
      <c r="RJF36" s="424"/>
      <c r="RJG36" s="427"/>
      <c r="RJH36" s="424"/>
      <c r="RJI36" s="427"/>
      <c r="RJJ36" s="424"/>
      <c r="RJK36" s="427"/>
      <c r="RJL36" s="424"/>
      <c r="RJM36" s="427"/>
      <c r="RJN36" s="424"/>
      <c r="RJO36" s="427"/>
      <c r="RJP36" s="424"/>
      <c r="RJQ36" s="427"/>
      <c r="RJR36" s="424"/>
      <c r="RJS36" s="427"/>
      <c r="RJT36" s="424"/>
      <c r="RJU36" s="427"/>
      <c r="RJV36" s="424"/>
      <c r="RJW36" s="427"/>
      <c r="RJX36" s="424"/>
      <c r="RJY36" s="427"/>
      <c r="RJZ36" s="424"/>
      <c r="RKA36" s="427"/>
      <c r="RKB36" s="424"/>
      <c r="RKC36" s="427"/>
      <c r="RKD36" s="424"/>
      <c r="RKE36" s="427"/>
      <c r="RKF36" s="424"/>
      <c r="RKG36" s="427"/>
      <c r="RKH36" s="424"/>
      <c r="RKI36" s="427"/>
      <c r="RKJ36" s="424"/>
      <c r="RKK36" s="427"/>
      <c r="RKL36" s="424"/>
      <c r="RKM36" s="427"/>
      <c r="RKN36" s="424"/>
      <c r="RKO36" s="427"/>
      <c r="RKP36" s="424"/>
      <c r="RKQ36" s="427"/>
      <c r="RKR36" s="424"/>
      <c r="RKS36" s="427"/>
      <c r="RKT36" s="424"/>
      <c r="RKU36" s="427"/>
      <c r="RKV36" s="424"/>
      <c r="RKW36" s="427"/>
      <c r="RKX36" s="424"/>
      <c r="RKY36" s="427"/>
      <c r="RKZ36" s="424"/>
      <c r="RLA36" s="427"/>
      <c r="RLB36" s="424"/>
      <c r="RLC36" s="427"/>
      <c r="RLD36" s="424"/>
      <c r="RLE36" s="427"/>
      <c r="RLF36" s="424"/>
      <c r="RLG36" s="427"/>
      <c r="RLH36" s="424"/>
      <c r="RLI36" s="427"/>
      <c r="RLJ36" s="424"/>
      <c r="RLK36" s="427"/>
      <c r="RLL36" s="424"/>
      <c r="RLM36" s="427"/>
      <c r="RLN36" s="424"/>
      <c r="RLO36" s="427"/>
      <c r="RLP36" s="424"/>
      <c r="RLQ36" s="427"/>
      <c r="RLR36" s="424"/>
      <c r="RLS36" s="427"/>
      <c r="RLT36" s="424"/>
      <c r="RLU36" s="427"/>
      <c r="RLV36" s="424"/>
      <c r="RLW36" s="427"/>
      <c r="RLX36" s="424"/>
      <c r="RLY36" s="427"/>
      <c r="RLZ36" s="424"/>
      <c r="RMA36" s="427"/>
      <c r="RMB36" s="424"/>
      <c r="RMC36" s="427"/>
      <c r="RMD36" s="424"/>
      <c r="RME36" s="427"/>
      <c r="RMF36" s="424"/>
      <c r="RMG36" s="427"/>
      <c r="RMH36" s="424"/>
      <c r="RMI36" s="427"/>
      <c r="RMJ36" s="424"/>
      <c r="RMK36" s="427"/>
      <c r="RML36" s="424"/>
      <c r="RMM36" s="427"/>
      <c r="RMN36" s="424"/>
      <c r="RMO36" s="427"/>
      <c r="RMP36" s="424"/>
      <c r="RMQ36" s="427"/>
      <c r="RMR36" s="424"/>
      <c r="RMS36" s="427"/>
      <c r="RMT36" s="424"/>
      <c r="RMU36" s="427"/>
      <c r="RMV36" s="424"/>
      <c r="RMW36" s="427"/>
      <c r="RMX36" s="424"/>
      <c r="RMY36" s="427"/>
      <c r="RMZ36" s="424"/>
      <c r="RNA36" s="427"/>
      <c r="RNB36" s="424"/>
      <c r="RNC36" s="427"/>
      <c r="RND36" s="424"/>
      <c r="RNE36" s="427"/>
      <c r="RNF36" s="424"/>
      <c r="RNG36" s="427"/>
      <c r="RNH36" s="424"/>
      <c r="RNI36" s="427"/>
      <c r="RNJ36" s="424"/>
      <c r="RNK36" s="427"/>
      <c r="RNL36" s="424"/>
      <c r="RNM36" s="427"/>
      <c r="RNN36" s="424"/>
      <c r="RNO36" s="427"/>
      <c r="RNP36" s="424"/>
      <c r="RNQ36" s="427"/>
      <c r="RNR36" s="424"/>
      <c r="RNS36" s="427"/>
      <c r="RNT36" s="424"/>
      <c r="RNU36" s="427"/>
      <c r="RNV36" s="424"/>
      <c r="RNW36" s="427"/>
      <c r="RNX36" s="424"/>
      <c r="RNY36" s="427"/>
      <c r="RNZ36" s="424"/>
      <c r="ROA36" s="427"/>
      <c r="ROB36" s="424"/>
      <c r="ROC36" s="427"/>
      <c r="ROD36" s="424"/>
      <c r="ROE36" s="427"/>
      <c r="ROF36" s="424"/>
      <c r="ROG36" s="427"/>
      <c r="ROH36" s="424"/>
      <c r="ROI36" s="427"/>
      <c r="ROJ36" s="424"/>
      <c r="ROK36" s="427"/>
      <c r="ROL36" s="424"/>
      <c r="ROM36" s="427"/>
      <c r="RON36" s="424"/>
      <c r="ROO36" s="427"/>
      <c r="ROP36" s="424"/>
      <c r="ROQ36" s="427"/>
      <c r="ROR36" s="424"/>
      <c r="ROS36" s="427"/>
      <c r="ROT36" s="424"/>
      <c r="ROU36" s="427"/>
      <c r="ROV36" s="424"/>
      <c r="ROW36" s="427"/>
      <c r="ROX36" s="424"/>
      <c r="ROY36" s="427"/>
      <c r="ROZ36" s="424"/>
      <c r="RPA36" s="427"/>
      <c r="RPB36" s="424"/>
      <c r="RPC36" s="427"/>
      <c r="RPD36" s="424"/>
      <c r="RPE36" s="427"/>
      <c r="RPF36" s="424"/>
      <c r="RPG36" s="427"/>
      <c r="RPH36" s="424"/>
      <c r="RPI36" s="427"/>
      <c r="RPJ36" s="424"/>
      <c r="RPK36" s="427"/>
      <c r="RPL36" s="424"/>
      <c r="RPM36" s="427"/>
      <c r="RPN36" s="424"/>
      <c r="RPO36" s="427"/>
      <c r="RPP36" s="424"/>
      <c r="RPQ36" s="427"/>
      <c r="RPR36" s="424"/>
      <c r="RPS36" s="427"/>
      <c r="RPT36" s="424"/>
      <c r="RPU36" s="427"/>
      <c r="RPV36" s="424"/>
      <c r="RPW36" s="427"/>
      <c r="RPX36" s="424"/>
      <c r="RPY36" s="427"/>
      <c r="RPZ36" s="424"/>
      <c r="RQA36" s="427"/>
      <c r="RQB36" s="424"/>
      <c r="RQC36" s="427"/>
      <c r="RQD36" s="424"/>
      <c r="RQE36" s="427"/>
      <c r="RQF36" s="424"/>
      <c r="RQG36" s="427"/>
      <c r="RQH36" s="424"/>
      <c r="RQI36" s="427"/>
      <c r="RQJ36" s="424"/>
      <c r="RQK36" s="427"/>
      <c r="RQL36" s="424"/>
      <c r="RQM36" s="427"/>
      <c r="RQN36" s="424"/>
      <c r="RQO36" s="427"/>
      <c r="RQP36" s="424"/>
      <c r="RQQ36" s="427"/>
      <c r="RQR36" s="424"/>
      <c r="RQS36" s="427"/>
      <c r="RQT36" s="424"/>
      <c r="RQU36" s="427"/>
      <c r="RQV36" s="424"/>
      <c r="RQW36" s="427"/>
      <c r="RQX36" s="424"/>
      <c r="RQY36" s="427"/>
      <c r="RQZ36" s="424"/>
      <c r="RRA36" s="427"/>
      <c r="RRB36" s="424"/>
      <c r="RRC36" s="427"/>
      <c r="RRD36" s="424"/>
      <c r="RRE36" s="427"/>
      <c r="RRF36" s="424"/>
      <c r="RRG36" s="427"/>
      <c r="RRH36" s="424"/>
      <c r="RRI36" s="427"/>
      <c r="RRJ36" s="424"/>
      <c r="RRK36" s="427"/>
      <c r="RRL36" s="424"/>
      <c r="RRM36" s="427"/>
      <c r="RRN36" s="424"/>
      <c r="RRO36" s="427"/>
      <c r="RRP36" s="424"/>
      <c r="RRQ36" s="427"/>
      <c r="RRR36" s="424"/>
      <c r="RRS36" s="427"/>
      <c r="RRT36" s="424"/>
      <c r="RRU36" s="427"/>
      <c r="RRV36" s="424"/>
      <c r="RRW36" s="427"/>
      <c r="RRX36" s="424"/>
      <c r="RRY36" s="427"/>
      <c r="RRZ36" s="424"/>
      <c r="RSA36" s="427"/>
      <c r="RSB36" s="424"/>
      <c r="RSC36" s="427"/>
      <c r="RSD36" s="424"/>
      <c r="RSE36" s="427"/>
      <c r="RSF36" s="424"/>
      <c r="RSG36" s="427"/>
      <c r="RSH36" s="424"/>
      <c r="RSI36" s="427"/>
      <c r="RSJ36" s="424"/>
      <c r="RSK36" s="427"/>
      <c r="RSL36" s="424"/>
      <c r="RSM36" s="427"/>
      <c r="RSN36" s="424"/>
      <c r="RSO36" s="427"/>
      <c r="RSP36" s="424"/>
      <c r="RSQ36" s="427"/>
      <c r="RSR36" s="424"/>
      <c r="RSS36" s="427"/>
      <c r="RST36" s="424"/>
      <c r="RSU36" s="427"/>
      <c r="RSV36" s="424"/>
      <c r="RSW36" s="427"/>
      <c r="RSX36" s="424"/>
      <c r="RSY36" s="427"/>
      <c r="RSZ36" s="424"/>
      <c r="RTA36" s="427"/>
      <c r="RTB36" s="424"/>
      <c r="RTC36" s="427"/>
      <c r="RTD36" s="424"/>
      <c r="RTE36" s="427"/>
      <c r="RTF36" s="424"/>
      <c r="RTG36" s="427"/>
      <c r="RTH36" s="424"/>
      <c r="RTI36" s="427"/>
      <c r="RTJ36" s="424"/>
      <c r="RTK36" s="427"/>
      <c r="RTL36" s="424"/>
      <c r="RTM36" s="427"/>
      <c r="RTN36" s="424"/>
      <c r="RTO36" s="427"/>
      <c r="RTP36" s="424"/>
      <c r="RTQ36" s="427"/>
      <c r="RTR36" s="424"/>
      <c r="RTS36" s="427"/>
      <c r="RTT36" s="424"/>
      <c r="RTU36" s="427"/>
      <c r="RTV36" s="424"/>
      <c r="RTW36" s="427"/>
      <c r="RTX36" s="424"/>
      <c r="RTY36" s="427"/>
      <c r="RTZ36" s="424"/>
      <c r="RUA36" s="427"/>
      <c r="RUB36" s="424"/>
      <c r="RUC36" s="427"/>
      <c r="RUD36" s="424"/>
      <c r="RUE36" s="427"/>
      <c r="RUF36" s="424"/>
      <c r="RUG36" s="427"/>
      <c r="RUH36" s="424"/>
      <c r="RUI36" s="427"/>
      <c r="RUJ36" s="424"/>
      <c r="RUK36" s="427"/>
      <c r="RUL36" s="424"/>
      <c r="RUM36" s="427"/>
      <c r="RUN36" s="424"/>
      <c r="RUO36" s="427"/>
      <c r="RUP36" s="424"/>
      <c r="RUQ36" s="427"/>
      <c r="RUR36" s="424"/>
      <c r="RUS36" s="427"/>
      <c r="RUT36" s="424"/>
      <c r="RUU36" s="427"/>
      <c r="RUV36" s="424"/>
      <c r="RUW36" s="427"/>
      <c r="RUX36" s="424"/>
      <c r="RUY36" s="427"/>
      <c r="RUZ36" s="424"/>
      <c r="RVA36" s="427"/>
      <c r="RVB36" s="424"/>
      <c r="RVC36" s="427"/>
      <c r="RVD36" s="424"/>
      <c r="RVE36" s="427"/>
      <c r="RVF36" s="424"/>
      <c r="RVG36" s="427"/>
      <c r="RVH36" s="424"/>
      <c r="RVI36" s="427"/>
      <c r="RVJ36" s="424"/>
      <c r="RVK36" s="427"/>
      <c r="RVL36" s="424"/>
      <c r="RVM36" s="427"/>
      <c r="RVN36" s="424"/>
      <c r="RVO36" s="427"/>
      <c r="RVP36" s="424"/>
      <c r="RVQ36" s="427"/>
      <c r="RVR36" s="424"/>
      <c r="RVS36" s="427"/>
      <c r="RVT36" s="424"/>
      <c r="RVU36" s="427"/>
      <c r="RVV36" s="424"/>
      <c r="RVW36" s="427"/>
      <c r="RVX36" s="424"/>
      <c r="RVY36" s="427"/>
      <c r="RVZ36" s="424"/>
      <c r="RWA36" s="427"/>
      <c r="RWB36" s="424"/>
      <c r="RWC36" s="427"/>
      <c r="RWD36" s="424"/>
      <c r="RWE36" s="427"/>
      <c r="RWF36" s="424"/>
      <c r="RWG36" s="427"/>
      <c r="RWH36" s="424"/>
      <c r="RWI36" s="427"/>
      <c r="RWJ36" s="424"/>
      <c r="RWK36" s="427"/>
      <c r="RWL36" s="424"/>
      <c r="RWM36" s="427"/>
      <c r="RWN36" s="424"/>
      <c r="RWO36" s="427"/>
      <c r="RWP36" s="424"/>
      <c r="RWQ36" s="427"/>
      <c r="RWR36" s="424"/>
      <c r="RWS36" s="427"/>
      <c r="RWT36" s="424"/>
      <c r="RWU36" s="427"/>
      <c r="RWV36" s="424"/>
      <c r="RWW36" s="427"/>
      <c r="RWX36" s="424"/>
      <c r="RWY36" s="427"/>
      <c r="RWZ36" s="424"/>
      <c r="RXA36" s="427"/>
      <c r="RXB36" s="424"/>
      <c r="RXC36" s="427"/>
      <c r="RXD36" s="424"/>
      <c r="RXE36" s="427"/>
      <c r="RXF36" s="424"/>
      <c r="RXG36" s="427"/>
      <c r="RXH36" s="424"/>
      <c r="RXI36" s="427"/>
      <c r="RXJ36" s="424"/>
      <c r="RXK36" s="427"/>
      <c r="RXL36" s="424"/>
      <c r="RXM36" s="427"/>
      <c r="RXN36" s="424"/>
      <c r="RXO36" s="427"/>
      <c r="RXP36" s="424"/>
      <c r="RXQ36" s="427"/>
      <c r="RXR36" s="424"/>
      <c r="RXS36" s="427"/>
      <c r="RXT36" s="424"/>
      <c r="RXU36" s="427"/>
      <c r="RXV36" s="424"/>
      <c r="RXW36" s="427"/>
      <c r="RXX36" s="424"/>
      <c r="RXY36" s="427"/>
      <c r="RXZ36" s="424"/>
      <c r="RYA36" s="427"/>
      <c r="RYB36" s="424"/>
      <c r="RYC36" s="427"/>
      <c r="RYD36" s="424"/>
      <c r="RYE36" s="427"/>
      <c r="RYF36" s="424"/>
      <c r="RYG36" s="427"/>
      <c r="RYH36" s="424"/>
      <c r="RYI36" s="427"/>
      <c r="RYJ36" s="424"/>
      <c r="RYK36" s="427"/>
      <c r="RYL36" s="424"/>
      <c r="RYM36" s="427"/>
      <c r="RYN36" s="424"/>
      <c r="RYO36" s="427"/>
      <c r="RYP36" s="424"/>
      <c r="RYQ36" s="427"/>
      <c r="RYR36" s="424"/>
      <c r="RYS36" s="427"/>
      <c r="RYT36" s="424"/>
      <c r="RYU36" s="427"/>
      <c r="RYV36" s="424"/>
      <c r="RYW36" s="427"/>
      <c r="RYX36" s="424"/>
      <c r="RYY36" s="427"/>
      <c r="RYZ36" s="424"/>
      <c r="RZA36" s="427"/>
      <c r="RZB36" s="424"/>
      <c r="RZC36" s="427"/>
      <c r="RZD36" s="424"/>
      <c r="RZE36" s="427"/>
      <c r="RZF36" s="424"/>
      <c r="RZG36" s="427"/>
      <c r="RZH36" s="424"/>
      <c r="RZI36" s="427"/>
      <c r="RZJ36" s="424"/>
      <c r="RZK36" s="427"/>
      <c r="RZL36" s="424"/>
      <c r="RZM36" s="427"/>
      <c r="RZN36" s="424"/>
      <c r="RZO36" s="427"/>
      <c r="RZP36" s="424"/>
      <c r="RZQ36" s="427"/>
      <c r="RZR36" s="424"/>
      <c r="RZS36" s="427"/>
      <c r="RZT36" s="424"/>
      <c r="RZU36" s="427"/>
      <c r="RZV36" s="424"/>
      <c r="RZW36" s="427"/>
      <c r="RZX36" s="424"/>
      <c r="RZY36" s="427"/>
      <c r="RZZ36" s="424"/>
      <c r="SAA36" s="427"/>
      <c r="SAB36" s="424"/>
      <c r="SAC36" s="427"/>
      <c r="SAD36" s="424"/>
      <c r="SAE36" s="427"/>
      <c r="SAF36" s="424"/>
      <c r="SAG36" s="427"/>
      <c r="SAH36" s="424"/>
      <c r="SAI36" s="427"/>
      <c r="SAJ36" s="424"/>
      <c r="SAK36" s="427"/>
      <c r="SAL36" s="424"/>
      <c r="SAM36" s="427"/>
      <c r="SAN36" s="424"/>
      <c r="SAO36" s="427"/>
      <c r="SAP36" s="424"/>
      <c r="SAQ36" s="427"/>
      <c r="SAR36" s="424"/>
      <c r="SAS36" s="427"/>
      <c r="SAT36" s="424"/>
      <c r="SAU36" s="427"/>
      <c r="SAV36" s="424"/>
      <c r="SAW36" s="427"/>
      <c r="SAX36" s="424"/>
      <c r="SAY36" s="427"/>
      <c r="SAZ36" s="424"/>
      <c r="SBA36" s="427"/>
      <c r="SBB36" s="424"/>
      <c r="SBC36" s="427"/>
      <c r="SBD36" s="424"/>
      <c r="SBE36" s="427"/>
      <c r="SBF36" s="424"/>
      <c r="SBG36" s="427"/>
      <c r="SBH36" s="424"/>
      <c r="SBI36" s="427"/>
      <c r="SBJ36" s="424"/>
      <c r="SBK36" s="427"/>
      <c r="SBL36" s="424"/>
      <c r="SBM36" s="427"/>
      <c r="SBN36" s="424"/>
      <c r="SBO36" s="427"/>
      <c r="SBP36" s="424"/>
      <c r="SBQ36" s="427"/>
      <c r="SBR36" s="424"/>
      <c r="SBS36" s="427"/>
      <c r="SBT36" s="424"/>
      <c r="SBU36" s="427"/>
      <c r="SBV36" s="424"/>
      <c r="SBW36" s="427"/>
      <c r="SBX36" s="424"/>
      <c r="SBY36" s="427"/>
      <c r="SBZ36" s="424"/>
      <c r="SCA36" s="427"/>
      <c r="SCB36" s="424"/>
      <c r="SCC36" s="427"/>
      <c r="SCD36" s="424"/>
      <c r="SCE36" s="427"/>
      <c r="SCF36" s="424"/>
      <c r="SCG36" s="427"/>
      <c r="SCH36" s="424"/>
      <c r="SCI36" s="427"/>
      <c r="SCJ36" s="424"/>
      <c r="SCK36" s="427"/>
      <c r="SCL36" s="424"/>
      <c r="SCM36" s="427"/>
      <c r="SCN36" s="424"/>
      <c r="SCO36" s="427"/>
      <c r="SCP36" s="424"/>
      <c r="SCQ36" s="427"/>
      <c r="SCR36" s="424"/>
      <c r="SCS36" s="427"/>
      <c r="SCT36" s="424"/>
      <c r="SCU36" s="427"/>
      <c r="SCV36" s="424"/>
      <c r="SCW36" s="427"/>
      <c r="SCX36" s="424"/>
      <c r="SCY36" s="427"/>
      <c r="SCZ36" s="424"/>
      <c r="SDA36" s="427"/>
      <c r="SDB36" s="424"/>
      <c r="SDC36" s="427"/>
      <c r="SDD36" s="424"/>
      <c r="SDE36" s="427"/>
      <c r="SDF36" s="424"/>
      <c r="SDG36" s="427"/>
      <c r="SDH36" s="424"/>
      <c r="SDI36" s="427"/>
      <c r="SDJ36" s="424"/>
      <c r="SDK36" s="427"/>
      <c r="SDL36" s="424"/>
      <c r="SDM36" s="427"/>
      <c r="SDN36" s="424"/>
      <c r="SDO36" s="427"/>
      <c r="SDP36" s="424"/>
      <c r="SDQ36" s="427"/>
      <c r="SDR36" s="424"/>
      <c r="SDS36" s="427"/>
      <c r="SDT36" s="424"/>
      <c r="SDU36" s="427"/>
      <c r="SDV36" s="424"/>
      <c r="SDW36" s="427"/>
      <c r="SDX36" s="424"/>
      <c r="SDY36" s="427"/>
      <c r="SDZ36" s="424"/>
      <c r="SEA36" s="427"/>
      <c r="SEB36" s="424"/>
      <c r="SEC36" s="427"/>
      <c r="SED36" s="424"/>
      <c r="SEE36" s="427"/>
      <c r="SEF36" s="424"/>
      <c r="SEG36" s="427"/>
      <c r="SEH36" s="424"/>
      <c r="SEI36" s="427"/>
      <c r="SEJ36" s="424"/>
      <c r="SEK36" s="427"/>
      <c r="SEL36" s="424"/>
      <c r="SEM36" s="427"/>
      <c r="SEN36" s="424"/>
      <c r="SEO36" s="427"/>
      <c r="SEP36" s="424"/>
      <c r="SEQ36" s="427"/>
      <c r="SER36" s="424"/>
      <c r="SES36" s="427"/>
      <c r="SET36" s="424"/>
      <c r="SEU36" s="427"/>
      <c r="SEV36" s="424"/>
      <c r="SEW36" s="427"/>
      <c r="SEX36" s="424"/>
      <c r="SEY36" s="427"/>
      <c r="SEZ36" s="424"/>
      <c r="SFA36" s="427"/>
      <c r="SFB36" s="424"/>
      <c r="SFC36" s="427"/>
      <c r="SFD36" s="424"/>
      <c r="SFE36" s="427"/>
      <c r="SFF36" s="424"/>
      <c r="SFG36" s="427"/>
      <c r="SFH36" s="424"/>
      <c r="SFI36" s="427"/>
      <c r="SFJ36" s="424"/>
      <c r="SFK36" s="427"/>
      <c r="SFL36" s="424"/>
      <c r="SFM36" s="427"/>
      <c r="SFN36" s="424"/>
      <c r="SFO36" s="427"/>
      <c r="SFP36" s="424"/>
      <c r="SFQ36" s="427"/>
      <c r="SFR36" s="424"/>
      <c r="SFS36" s="427"/>
      <c r="SFT36" s="424"/>
      <c r="SFU36" s="427"/>
      <c r="SFV36" s="424"/>
      <c r="SFW36" s="427"/>
      <c r="SFX36" s="424"/>
      <c r="SFY36" s="427"/>
      <c r="SFZ36" s="424"/>
      <c r="SGA36" s="427"/>
      <c r="SGB36" s="424"/>
      <c r="SGC36" s="427"/>
      <c r="SGD36" s="424"/>
      <c r="SGE36" s="427"/>
      <c r="SGF36" s="424"/>
      <c r="SGG36" s="427"/>
      <c r="SGH36" s="424"/>
      <c r="SGI36" s="427"/>
      <c r="SGJ36" s="424"/>
      <c r="SGK36" s="427"/>
      <c r="SGL36" s="424"/>
      <c r="SGM36" s="427"/>
      <c r="SGN36" s="424"/>
      <c r="SGO36" s="427"/>
      <c r="SGP36" s="424"/>
      <c r="SGQ36" s="427"/>
      <c r="SGR36" s="424"/>
      <c r="SGS36" s="427"/>
      <c r="SGT36" s="424"/>
      <c r="SGU36" s="427"/>
      <c r="SGV36" s="424"/>
      <c r="SGW36" s="427"/>
      <c r="SGX36" s="424"/>
      <c r="SGY36" s="427"/>
      <c r="SGZ36" s="424"/>
      <c r="SHA36" s="427"/>
      <c r="SHB36" s="424"/>
      <c r="SHC36" s="427"/>
      <c r="SHD36" s="424"/>
      <c r="SHE36" s="427"/>
      <c r="SHF36" s="424"/>
      <c r="SHG36" s="427"/>
      <c r="SHH36" s="424"/>
      <c r="SHI36" s="427"/>
      <c r="SHJ36" s="424"/>
      <c r="SHK36" s="427"/>
      <c r="SHL36" s="424"/>
      <c r="SHM36" s="427"/>
      <c r="SHN36" s="424"/>
      <c r="SHO36" s="427"/>
      <c r="SHP36" s="424"/>
      <c r="SHQ36" s="427"/>
      <c r="SHR36" s="424"/>
      <c r="SHS36" s="427"/>
      <c r="SHT36" s="424"/>
      <c r="SHU36" s="427"/>
      <c r="SHV36" s="424"/>
      <c r="SHW36" s="427"/>
      <c r="SHX36" s="424"/>
      <c r="SHY36" s="427"/>
      <c r="SHZ36" s="424"/>
      <c r="SIA36" s="427"/>
      <c r="SIB36" s="424"/>
      <c r="SIC36" s="427"/>
      <c r="SID36" s="424"/>
      <c r="SIE36" s="427"/>
      <c r="SIF36" s="424"/>
      <c r="SIG36" s="427"/>
      <c r="SIH36" s="424"/>
      <c r="SII36" s="427"/>
      <c r="SIJ36" s="424"/>
      <c r="SIK36" s="427"/>
      <c r="SIL36" s="424"/>
      <c r="SIM36" s="427"/>
      <c r="SIN36" s="424"/>
      <c r="SIO36" s="427"/>
      <c r="SIP36" s="424"/>
      <c r="SIQ36" s="427"/>
      <c r="SIR36" s="424"/>
      <c r="SIS36" s="427"/>
      <c r="SIT36" s="424"/>
      <c r="SIU36" s="427"/>
      <c r="SIV36" s="424"/>
      <c r="SIW36" s="427"/>
      <c r="SIX36" s="424"/>
      <c r="SIY36" s="427"/>
      <c r="SIZ36" s="424"/>
      <c r="SJA36" s="427"/>
      <c r="SJB36" s="424"/>
      <c r="SJC36" s="427"/>
      <c r="SJD36" s="424"/>
      <c r="SJE36" s="427"/>
      <c r="SJF36" s="424"/>
      <c r="SJG36" s="427"/>
      <c r="SJH36" s="424"/>
      <c r="SJI36" s="427"/>
      <c r="SJJ36" s="424"/>
      <c r="SJK36" s="427"/>
      <c r="SJL36" s="424"/>
      <c r="SJM36" s="427"/>
      <c r="SJN36" s="424"/>
      <c r="SJO36" s="427"/>
      <c r="SJP36" s="424"/>
      <c r="SJQ36" s="427"/>
      <c r="SJR36" s="424"/>
      <c r="SJS36" s="427"/>
      <c r="SJT36" s="424"/>
      <c r="SJU36" s="427"/>
      <c r="SJV36" s="424"/>
      <c r="SJW36" s="427"/>
      <c r="SJX36" s="424"/>
      <c r="SJY36" s="427"/>
      <c r="SJZ36" s="424"/>
      <c r="SKA36" s="427"/>
      <c r="SKB36" s="424"/>
      <c r="SKC36" s="427"/>
      <c r="SKD36" s="424"/>
      <c r="SKE36" s="427"/>
      <c r="SKF36" s="424"/>
      <c r="SKG36" s="427"/>
      <c r="SKH36" s="424"/>
      <c r="SKI36" s="427"/>
      <c r="SKJ36" s="424"/>
      <c r="SKK36" s="427"/>
      <c r="SKL36" s="424"/>
      <c r="SKM36" s="427"/>
      <c r="SKN36" s="424"/>
      <c r="SKO36" s="427"/>
      <c r="SKP36" s="424"/>
      <c r="SKQ36" s="427"/>
      <c r="SKR36" s="424"/>
      <c r="SKS36" s="427"/>
      <c r="SKT36" s="424"/>
      <c r="SKU36" s="427"/>
      <c r="SKV36" s="424"/>
      <c r="SKW36" s="427"/>
      <c r="SKX36" s="424"/>
      <c r="SKY36" s="427"/>
      <c r="SKZ36" s="424"/>
      <c r="SLA36" s="427"/>
      <c r="SLB36" s="424"/>
      <c r="SLC36" s="427"/>
      <c r="SLD36" s="424"/>
      <c r="SLE36" s="427"/>
      <c r="SLF36" s="424"/>
      <c r="SLG36" s="427"/>
      <c r="SLH36" s="424"/>
      <c r="SLI36" s="427"/>
      <c r="SLJ36" s="424"/>
      <c r="SLK36" s="427"/>
      <c r="SLL36" s="424"/>
      <c r="SLM36" s="427"/>
      <c r="SLN36" s="424"/>
      <c r="SLO36" s="427"/>
      <c r="SLP36" s="424"/>
      <c r="SLQ36" s="427"/>
      <c r="SLR36" s="424"/>
      <c r="SLS36" s="427"/>
      <c r="SLT36" s="424"/>
      <c r="SLU36" s="427"/>
      <c r="SLV36" s="424"/>
      <c r="SLW36" s="427"/>
      <c r="SLX36" s="424"/>
      <c r="SLY36" s="427"/>
      <c r="SLZ36" s="424"/>
      <c r="SMA36" s="427"/>
      <c r="SMB36" s="424"/>
      <c r="SMC36" s="427"/>
      <c r="SMD36" s="424"/>
      <c r="SME36" s="427"/>
      <c r="SMF36" s="424"/>
      <c r="SMG36" s="427"/>
      <c r="SMH36" s="424"/>
      <c r="SMI36" s="427"/>
      <c r="SMJ36" s="424"/>
      <c r="SMK36" s="427"/>
      <c r="SML36" s="424"/>
      <c r="SMM36" s="427"/>
      <c r="SMN36" s="424"/>
      <c r="SMO36" s="427"/>
      <c r="SMP36" s="424"/>
      <c r="SMQ36" s="427"/>
      <c r="SMR36" s="424"/>
      <c r="SMS36" s="427"/>
      <c r="SMT36" s="424"/>
      <c r="SMU36" s="427"/>
      <c r="SMV36" s="424"/>
      <c r="SMW36" s="427"/>
      <c r="SMX36" s="424"/>
      <c r="SMY36" s="427"/>
      <c r="SMZ36" s="424"/>
      <c r="SNA36" s="427"/>
      <c r="SNB36" s="424"/>
      <c r="SNC36" s="427"/>
      <c r="SND36" s="424"/>
      <c r="SNE36" s="427"/>
      <c r="SNF36" s="424"/>
      <c r="SNG36" s="427"/>
      <c r="SNH36" s="424"/>
      <c r="SNI36" s="427"/>
      <c r="SNJ36" s="424"/>
      <c r="SNK36" s="427"/>
      <c r="SNL36" s="424"/>
      <c r="SNM36" s="427"/>
      <c r="SNN36" s="424"/>
      <c r="SNO36" s="427"/>
      <c r="SNP36" s="424"/>
      <c r="SNQ36" s="427"/>
      <c r="SNR36" s="424"/>
      <c r="SNS36" s="427"/>
      <c r="SNT36" s="424"/>
      <c r="SNU36" s="427"/>
      <c r="SNV36" s="424"/>
      <c r="SNW36" s="427"/>
      <c r="SNX36" s="424"/>
      <c r="SNY36" s="427"/>
      <c r="SNZ36" s="424"/>
      <c r="SOA36" s="427"/>
      <c r="SOB36" s="424"/>
      <c r="SOC36" s="427"/>
      <c r="SOD36" s="424"/>
      <c r="SOE36" s="427"/>
      <c r="SOF36" s="424"/>
      <c r="SOG36" s="427"/>
      <c r="SOH36" s="424"/>
      <c r="SOI36" s="427"/>
      <c r="SOJ36" s="424"/>
      <c r="SOK36" s="427"/>
      <c r="SOL36" s="424"/>
      <c r="SOM36" s="427"/>
      <c r="SON36" s="424"/>
      <c r="SOO36" s="427"/>
      <c r="SOP36" s="424"/>
      <c r="SOQ36" s="427"/>
      <c r="SOR36" s="424"/>
      <c r="SOS36" s="427"/>
      <c r="SOT36" s="424"/>
      <c r="SOU36" s="427"/>
      <c r="SOV36" s="424"/>
      <c r="SOW36" s="427"/>
      <c r="SOX36" s="424"/>
      <c r="SOY36" s="427"/>
      <c r="SOZ36" s="424"/>
      <c r="SPA36" s="427"/>
      <c r="SPB36" s="424"/>
      <c r="SPC36" s="427"/>
      <c r="SPD36" s="424"/>
      <c r="SPE36" s="427"/>
      <c r="SPF36" s="424"/>
      <c r="SPG36" s="427"/>
      <c r="SPH36" s="424"/>
      <c r="SPI36" s="427"/>
      <c r="SPJ36" s="424"/>
      <c r="SPK36" s="427"/>
      <c r="SPL36" s="424"/>
      <c r="SPM36" s="427"/>
      <c r="SPN36" s="424"/>
      <c r="SPO36" s="427"/>
      <c r="SPP36" s="424"/>
      <c r="SPQ36" s="427"/>
      <c r="SPR36" s="424"/>
      <c r="SPS36" s="427"/>
      <c r="SPT36" s="424"/>
      <c r="SPU36" s="427"/>
      <c r="SPV36" s="424"/>
      <c r="SPW36" s="427"/>
      <c r="SPX36" s="424"/>
      <c r="SPY36" s="427"/>
      <c r="SPZ36" s="424"/>
      <c r="SQA36" s="427"/>
      <c r="SQB36" s="424"/>
      <c r="SQC36" s="427"/>
      <c r="SQD36" s="424"/>
      <c r="SQE36" s="427"/>
      <c r="SQF36" s="424"/>
      <c r="SQG36" s="427"/>
      <c r="SQH36" s="424"/>
      <c r="SQI36" s="427"/>
      <c r="SQJ36" s="424"/>
      <c r="SQK36" s="427"/>
      <c r="SQL36" s="424"/>
      <c r="SQM36" s="427"/>
      <c r="SQN36" s="424"/>
      <c r="SQO36" s="427"/>
      <c r="SQP36" s="424"/>
      <c r="SQQ36" s="427"/>
      <c r="SQR36" s="424"/>
      <c r="SQS36" s="427"/>
      <c r="SQT36" s="424"/>
      <c r="SQU36" s="427"/>
      <c r="SQV36" s="424"/>
      <c r="SQW36" s="427"/>
      <c r="SQX36" s="424"/>
      <c r="SQY36" s="427"/>
      <c r="SQZ36" s="424"/>
      <c r="SRA36" s="427"/>
      <c r="SRB36" s="424"/>
      <c r="SRC36" s="427"/>
      <c r="SRD36" s="424"/>
      <c r="SRE36" s="427"/>
      <c r="SRF36" s="424"/>
      <c r="SRG36" s="427"/>
      <c r="SRH36" s="424"/>
      <c r="SRI36" s="427"/>
      <c r="SRJ36" s="424"/>
      <c r="SRK36" s="427"/>
      <c r="SRL36" s="424"/>
      <c r="SRM36" s="427"/>
      <c r="SRN36" s="424"/>
      <c r="SRO36" s="427"/>
      <c r="SRP36" s="424"/>
      <c r="SRQ36" s="427"/>
      <c r="SRR36" s="424"/>
      <c r="SRS36" s="427"/>
      <c r="SRT36" s="424"/>
      <c r="SRU36" s="427"/>
      <c r="SRV36" s="424"/>
      <c r="SRW36" s="427"/>
      <c r="SRX36" s="424"/>
      <c r="SRY36" s="427"/>
      <c r="SRZ36" s="424"/>
      <c r="SSA36" s="427"/>
      <c r="SSB36" s="424"/>
      <c r="SSC36" s="427"/>
      <c r="SSD36" s="424"/>
      <c r="SSE36" s="427"/>
      <c r="SSF36" s="424"/>
      <c r="SSG36" s="427"/>
      <c r="SSH36" s="424"/>
      <c r="SSI36" s="427"/>
      <c r="SSJ36" s="424"/>
      <c r="SSK36" s="427"/>
      <c r="SSL36" s="424"/>
      <c r="SSM36" s="427"/>
      <c r="SSN36" s="424"/>
      <c r="SSO36" s="427"/>
      <c r="SSP36" s="424"/>
      <c r="SSQ36" s="427"/>
      <c r="SSR36" s="424"/>
      <c r="SSS36" s="427"/>
      <c r="SST36" s="424"/>
      <c r="SSU36" s="427"/>
      <c r="SSV36" s="424"/>
      <c r="SSW36" s="427"/>
      <c r="SSX36" s="424"/>
      <c r="SSY36" s="427"/>
      <c r="SSZ36" s="424"/>
      <c r="STA36" s="427"/>
      <c r="STB36" s="424"/>
      <c r="STC36" s="427"/>
      <c r="STD36" s="424"/>
      <c r="STE36" s="427"/>
      <c r="STF36" s="424"/>
      <c r="STG36" s="427"/>
      <c r="STH36" s="424"/>
      <c r="STI36" s="427"/>
      <c r="STJ36" s="424"/>
      <c r="STK36" s="427"/>
      <c r="STL36" s="424"/>
      <c r="STM36" s="427"/>
      <c r="STN36" s="424"/>
      <c r="STO36" s="427"/>
      <c r="STP36" s="424"/>
      <c r="STQ36" s="427"/>
      <c r="STR36" s="424"/>
      <c r="STS36" s="427"/>
      <c r="STT36" s="424"/>
      <c r="STU36" s="427"/>
      <c r="STV36" s="424"/>
      <c r="STW36" s="427"/>
      <c r="STX36" s="424"/>
      <c r="STY36" s="427"/>
      <c r="STZ36" s="424"/>
      <c r="SUA36" s="427"/>
      <c r="SUB36" s="424"/>
      <c r="SUC36" s="427"/>
      <c r="SUD36" s="424"/>
      <c r="SUE36" s="427"/>
      <c r="SUF36" s="424"/>
      <c r="SUG36" s="427"/>
      <c r="SUH36" s="424"/>
      <c r="SUI36" s="427"/>
      <c r="SUJ36" s="424"/>
      <c r="SUK36" s="427"/>
      <c r="SUL36" s="424"/>
      <c r="SUM36" s="427"/>
      <c r="SUN36" s="424"/>
      <c r="SUO36" s="427"/>
      <c r="SUP36" s="424"/>
      <c r="SUQ36" s="427"/>
      <c r="SUR36" s="424"/>
      <c r="SUS36" s="427"/>
      <c r="SUT36" s="424"/>
      <c r="SUU36" s="427"/>
      <c r="SUV36" s="424"/>
      <c r="SUW36" s="427"/>
      <c r="SUX36" s="424"/>
      <c r="SUY36" s="427"/>
      <c r="SUZ36" s="424"/>
      <c r="SVA36" s="427"/>
      <c r="SVB36" s="424"/>
      <c r="SVC36" s="427"/>
      <c r="SVD36" s="424"/>
      <c r="SVE36" s="427"/>
      <c r="SVF36" s="424"/>
      <c r="SVG36" s="427"/>
      <c r="SVH36" s="424"/>
      <c r="SVI36" s="427"/>
      <c r="SVJ36" s="424"/>
      <c r="SVK36" s="427"/>
      <c r="SVL36" s="424"/>
      <c r="SVM36" s="427"/>
      <c r="SVN36" s="424"/>
      <c r="SVO36" s="427"/>
      <c r="SVP36" s="424"/>
      <c r="SVQ36" s="427"/>
      <c r="SVR36" s="424"/>
      <c r="SVS36" s="427"/>
      <c r="SVT36" s="424"/>
      <c r="SVU36" s="427"/>
      <c r="SVV36" s="424"/>
      <c r="SVW36" s="427"/>
      <c r="SVX36" s="424"/>
      <c r="SVY36" s="427"/>
      <c r="SVZ36" s="424"/>
      <c r="SWA36" s="427"/>
      <c r="SWB36" s="424"/>
      <c r="SWC36" s="427"/>
      <c r="SWD36" s="424"/>
      <c r="SWE36" s="427"/>
      <c r="SWF36" s="424"/>
      <c r="SWG36" s="427"/>
      <c r="SWH36" s="424"/>
      <c r="SWI36" s="427"/>
      <c r="SWJ36" s="424"/>
      <c r="SWK36" s="427"/>
      <c r="SWL36" s="424"/>
      <c r="SWM36" s="427"/>
      <c r="SWN36" s="424"/>
      <c r="SWO36" s="427"/>
      <c r="SWP36" s="424"/>
      <c r="SWQ36" s="427"/>
      <c r="SWR36" s="424"/>
      <c r="SWS36" s="427"/>
      <c r="SWT36" s="424"/>
      <c r="SWU36" s="427"/>
      <c r="SWV36" s="424"/>
      <c r="SWW36" s="427"/>
      <c r="SWX36" s="424"/>
      <c r="SWY36" s="427"/>
      <c r="SWZ36" s="424"/>
      <c r="SXA36" s="427"/>
      <c r="SXB36" s="424"/>
      <c r="SXC36" s="427"/>
      <c r="SXD36" s="424"/>
      <c r="SXE36" s="427"/>
      <c r="SXF36" s="424"/>
      <c r="SXG36" s="427"/>
      <c r="SXH36" s="424"/>
      <c r="SXI36" s="427"/>
      <c r="SXJ36" s="424"/>
      <c r="SXK36" s="427"/>
      <c r="SXL36" s="424"/>
      <c r="SXM36" s="427"/>
      <c r="SXN36" s="424"/>
      <c r="SXO36" s="427"/>
      <c r="SXP36" s="424"/>
      <c r="SXQ36" s="427"/>
      <c r="SXR36" s="424"/>
      <c r="SXS36" s="427"/>
      <c r="SXT36" s="424"/>
      <c r="SXU36" s="427"/>
      <c r="SXV36" s="424"/>
      <c r="SXW36" s="427"/>
      <c r="SXX36" s="424"/>
      <c r="SXY36" s="427"/>
      <c r="SXZ36" s="424"/>
      <c r="SYA36" s="427"/>
      <c r="SYB36" s="424"/>
      <c r="SYC36" s="427"/>
      <c r="SYD36" s="424"/>
      <c r="SYE36" s="427"/>
      <c r="SYF36" s="424"/>
      <c r="SYG36" s="427"/>
      <c r="SYH36" s="424"/>
      <c r="SYI36" s="427"/>
      <c r="SYJ36" s="424"/>
      <c r="SYK36" s="427"/>
      <c r="SYL36" s="424"/>
      <c r="SYM36" s="427"/>
      <c r="SYN36" s="424"/>
      <c r="SYO36" s="427"/>
      <c r="SYP36" s="424"/>
      <c r="SYQ36" s="427"/>
      <c r="SYR36" s="424"/>
      <c r="SYS36" s="427"/>
      <c r="SYT36" s="424"/>
      <c r="SYU36" s="427"/>
      <c r="SYV36" s="424"/>
      <c r="SYW36" s="427"/>
      <c r="SYX36" s="424"/>
      <c r="SYY36" s="427"/>
      <c r="SYZ36" s="424"/>
      <c r="SZA36" s="427"/>
      <c r="SZB36" s="424"/>
      <c r="SZC36" s="427"/>
      <c r="SZD36" s="424"/>
      <c r="SZE36" s="427"/>
      <c r="SZF36" s="424"/>
      <c r="SZG36" s="427"/>
      <c r="SZH36" s="424"/>
      <c r="SZI36" s="427"/>
      <c r="SZJ36" s="424"/>
      <c r="SZK36" s="427"/>
      <c r="SZL36" s="424"/>
      <c r="SZM36" s="427"/>
      <c r="SZN36" s="424"/>
      <c r="SZO36" s="427"/>
      <c r="SZP36" s="424"/>
      <c r="SZQ36" s="427"/>
      <c r="SZR36" s="424"/>
      <c r="SZS36" s="427"/>
      <c r="SZT36" s="424"/>
      <c r="SZU36" s="427"/>
      <c r="SZV36" s="424"/>
      <c r="SZW36" s="427"/>
      <c r="SZX36" s="424"/>
      <c r="SZY36" s="427"/>
      <c r="SZZ36" s="424"/>
      <c r="TAA36" s="427"/>
      <c r="TAB36" s="424"/>
      <c r="TAC36" s="427"/>
      <c r="TAD36" s="424"/>
      <c r="TAE36" s="427"/>
      <c r="TAF36" s="424"/>
      <c r="TAG36" s="427"/>
      <c r="TAH36" s="424"/>
      <c r="TAI36" s="427"/>
      <c r="TAJ36" s="424"/>
      <c r="TAK36" s="427"/>
      <c r="TAL36" s="424"/>
      <c r="TAM36" s="427"/>
      <c r="TAN36" s="424"/>
      <c r="TAO36" s="427"/>
      <c r="TAP36" s="424"/>
      <c r="TAQ36" s="427"/>
      <c r="TAR36" s="424"/>
      <c r="TAS36" s="427"/>
      <c r="TAT36" s="424"/>
      <c r="TAU36" s="427"/>
      <c r="TAV36" s="424"/>
      <c r="TAW36" s="427"/>
      <c r="TAX36" s="424"/>
      <c r="TAY36" s="427"/>
      <c r="TAZ36" s="424"/>
      <c r="TBA36" s="427"/>
      <c r="TBB36" s="424"/>
      <c r="TBC36" s="427"/>
      <c r="TBD36" s="424"/>
      <c r="TBE36" s="427"/>
      <c r="TBF36" s="424"/>
      <c r="TBG36" s="427"/>
      <c r="TBH36" s="424"/>
      <c r="TBI36" s="427"/>
      <c r="TBJ36" s="424"/>
      <c r="TBK36" s="427"/>
      <c r="TBL36" s="424"/>
      <c r="TBM36" s="427"/>
      <c r="TBN36" s="424"/>
      <c r="TBO36" s="427"/>
      <c r="TBP36" s="424"/>
      <c r="TBQ36" s="427"/>
      <c r="TBR36" s="424"/>
      <c r="TBS36" s="427"/>
      <c r="TBT36" s="424"/>
      <c r="TBU36" s="427"/>
      <c r="TBV36" s="424"/>
      <c r="TBW36" s="427"/>
      <c r="TBX36" s="424"/>
      <c r="TBY36" s="427"/>
      <c r="TBZ36" s="424"/>
      <c r="TCA36" s="427"/>
      <c r="TCB36" s="424"/>
      <c r="TCC36" s="427"/>
      <c r="TCD36" s="424"/>
      <c r="TCE36" s="427"/>
      <c r="TCF36" s="424"/>
      <c r="TCG36" s="427"/>
      <c r="TCH36" s="424"/>
      <c r="TCI36" s="427"/>
      <c r="TCJ36" s="424"/>
      <c r="TCK36" s="427"/>
      <c r="TCL36" s="424"/>
      <c r="TCM36" s="427"/>
      <c r="TCN36" s="424"/>
      <c r="TCO36" s="427"/>
      <c r="TCP36" s="424"/>
      <c r="TCQ36" s="427"/>
      <c r="TCR36" s="424"/>
      <c r="TCS36" s="427"/>
      <c r="TCT36" s="424"/>
      <c r="TCU36" s="427"/>
      <c r="TCV36" s="424"/>
      <c r="TCW36" s="427"/>
      <c r="TCX36" s="424"/>
      <c r="TCY36" s="427"/>
      <c r="TCZ36" s="424"/>
      <c r="TDA36" s="427"/>
      <c r="TDB36" s="424"/>
      <c r="TDC36" s="427"/>
      <c r="TDD36" s="424"/>
      <c r="TDE36" s="427"/>
      <c r="TDF36" s="424"/>
      <c r="TDG36" s="427"/>
      <c r="TDH36" s="424"/>
      <c r="TDI36" s="427"/>
      <c r="TDJ36" s="424"/>
      <c r="TDK36" s="427"/>
      <c r="TDL36" s="424"/>
      <c r="TDM36" s="427"/>
      <c r="TDN36" s="424"/>
      <c r="TDO36" s="427"/>
      <c r="TDP36" s="424"/>
      <c r="TDQ36" s="427"/>
      <c r="TDR36" s="424"/>
      <c r="TDS36" s="427"/>
      <c r="TDT36" s="424"/>
      <c r="TDU36" s="427"/>
      <c r="TDV36" s="424"/>
      <c r="TDW36" s="427"/>
      <c r="TDX36" s="424"/>
      <c r="TDY36" s="427"/>
      <c r="TDZ36" s="424"/>
      <c r="TEA36" s="427"/>
      <c r="TEB36" s="424"/>
      <c r="TEC36" s="427"/>
      <c r="TED36" s="424"/>
      <c r="TEE36" s="427"/>
      <c r="TEF36" s="424"/>
      <c r="TEG36" s="427"/>
      <c r="TEH36" s="424"/>
      <c r="TEI36" s="427"/>
      <c r="TEJ36" s="424"/>
      <c r="TEK36" s="427"/>
      <c r="TEL36" s="424"/>
      <c r="TEM36" s="427"/>
      <c r="TEN36" s="424"/>
      <c r="TEO36" s="427"/>
      <c r="TEP36" s="424"/>
      <c r="TEQ36" s="427"/>
      <c r="TER36" s="424"/>
      <c r="TES36" s="427"/>
      <c r="TET36" s="424"/>
      <c r="TEU36" s="427"/>
      <c r="TEV36" s="424"/>
      <c r="TEW36" s="427"/>
      <c r="TEX36" s="424"/>
      <c r="TEY36" s="427"/>
      <c r="TEZ36" s="424"/>
      <c r="TFA36" s="427"/>
      <c r="TFB36" s="424"/>
      <c r="TFC36" s="427"/>
      <c r="TFD36" s="424"/>
      <c r="TFE36" s="427"/>
      <c r="TFF36" s="424"/>
      <c r="TFG36" s="427"/>
      <c r="TFH36" s="424"/>
      <c r="TFI36" s="427"/>
      <c r="TFJ36" s="424"/>
      <c r="TFK36" s="427"/>
      <c r="TFL36" s="424"/>
      <c r="TFM36" s="427"/>
      <c r="TFN36" s="424"/>
      <c r="TFO36" s="427"/>
      <c r="TFP36" s="424"/>
      <c r="TFQ36" s="427"/>
      <c r="TFR36" s="424"/>
      <c r="TFS36" s="427"/>
      <c r="TFT36" s="424"/>
      <c r="TFU36" s="427"/>
      <c r="TFV36" s="424"/>
      <c r="TFW36" s="427"/>
      <c r="TFX36" s="424"/>
      <c r="TFY36" s="427"/>
      <c r="TFZ36" s="424"/>
      <c r="TGA36" s="427"/>
      <c r="TGB36" s="424"/>
      <c r="TGC36" s="427"/>
      <c r="TGD36" s="424"/>
      <c r="TGE36" s="427"/>
      <c r="TGF36" s="424"/>
      <c r="TGG36" s="427"/>
      <c r="TGH36" s="424"/>
      <c r="TGI36" s="427"/>
      <c r="TGJ36" s="424"/>
      <c r="TGK36" s="427"/>
      <c r="TGL36" s="424"/>
      <c r="TGM36" s="427"/>
      <c r="TGN36" s="424"/>
      <c r="TGO36" s="427"/>
      <c r="TGP36" s="424"/>
      <c r="TGQ36" s="427"/>
      <c r="TGR36" s="424"/>
      <c r="TGS36" s="427"/>
      <c r="TGT36" s="424"/>
      <c r="TGU36" s="427"/>
      <c r="TGV36" s="424"/>
      <c r="TGW36" s="427"/>
      <c r="TGX36" s="424"/>
      <c r="TGY36" s="427"/>
      <c r="TGZ36" s="424"/>
      <c r="THA36" s="427"/>
      <c r="THB36" s="424"/>
      <c r="THC36" s="427"/>
      <c r="THD36" s="424"/>
      <c r="THE36" s="427"/>
      <c r="THF36" s="424"/>
      <c r="THG36" s="427"/>
      <c r="THH36" s="424"/>
      <c r="THI36" s="427"/>
      <c r="THJ36" s="424"/>
      <c r="THK36" s="427"/>
      <c r="THL36" s="424"/>
      <c r="THM36" s="427"/>
      <c r="THN36" s="424"/>
      <c r="THO36" s="427"/>
      <c r="THP36" s="424"/>
      <c r="THQ36" s="427"/>
      <c r="THR36" s="424"/>
      <c r="THS36" s="427"/>
      <c r="THT36" s="424"/>
      <c r="THU36" s="427"/>
      <c r="THV36" s="424"/>
      <c r="THW36" s="427"/>
      <c r="THX36" s="424"/>
      <c r="THY36" s="427"/>
      <c r="THZ36" s="424"/>
      <c r="TIA36" s="427"/>
      <c r="TIB36" s="424"/>
      <c r="TIC36" s="427"/>
      <c r="TID36" s="424"/>
      <c r="TIE36" s="427"/>
      <c r="TIF36" s="424"/>
      <c r="TIG36" s="427"/>
      <c r="TIH36" s="424"/>
      <c r="TII36" s="427"/>
      <c r="TIJ36" s="424"/>
      <c r="TIK36" s="427"/>
      <c r="TIL36" s="424"/>
      <c r="TIM36" s="427"/>
      <c r="TIN36" s="424"/>
      <c r="TIO36" s="427"/>
      <c r="TIP36" s="424"/>
      <c r="TIQ36" s="427"/>
      <c r="TIR36" s="424"/>
      <c r="TIS36" s="427"/>
      <c r="TIT36" s="424"/>
      <c r="TIU36" s="427"/>
      <c r="TIV36" s="424"/>
      <c r="TIW36" s="427"/>
      <c r="TIX36" s="424"/>
      <c r="TIY36" s="427"/>
      <c r="TIZ36" s="424"/>
      <c r="TJA36" s="427"/>
      <c r="TJB36" s="424"/>
      <c r="TJC36" s="427"/>
      <c r="TJD36" s="424"/>
      <c r="TJE36" s="427"/>
      <c r="TJF36" s="424"/>
      <c r="TJG36" s="427"/>
      <c r="TJH36" s="424"/>
      <c r="TJI36" s="427"/>
      <c r="TJJ36" s="424"/>
      <c r="TJK36" s="427"/>
      <c r="TJL36" s="424"/>
      <c r="TJM36" s="427"/>
      <c r="TJN36" s="424"/>
      <c r="TJO36" s="427"/>
      <c r="TJP36" s="424"/>
      <c r="TJQ36" s="427"/>
      <c r="TJR36" s="424"/>
      <c r="TJS36" s="427"/>
      <c r="TJT36" s="424"/>
      <c r="TJU36" s="427"/>
      <c r="TJV36" s="424"/>
      <c r="TJW36" s="427"/>
      <c r="TJX36" s="424"/>
      <c r="TJY36" s="427"/>
      <c r="TJZ36" s="424"/>
      <c r="TKA36" s="427"/>
      <c r="TKB36" s="424"/>
      <c r="TKC36" s="427"/>
      <c r="TKD36" s="424"/>
      <c r="TKE36" s="427"/>
      <c r="TKF36" s="424"/>
      <c r="TKG36" s="427"/>
      <c r="TKH36" s="424"/>
      <c r="TKI36" s="427"/>
      <c r="TKJ36" s="424"/>
      <c r="TKK36" s="427"/>
      <c r="TKL36" s="424"/>
      <c r="TKM36" s="427"/>
      <c r="TKN36" s="424"/>
      <c r="TKO36" s="427"/>
      <c r="TKP36" s="424"/>
      <c r="TKQ36" s="427"/>
      <c r="TKR36" s="424"/>
      <c r="TKS36" s="427"/>
      <c r="TKT36" s="424"/>
      <c r="TKU36" s="427"/>
      <c r="TKV36" s="424"/>
      <c r="TKW36" s="427"/>
      <c r="TKX36" s="424"/>
      <c r="TKY36" s="427"/>
      <c r="TKZ36" s="424"/>
      <c r="TLA36" s="427"/>
      <c r="TLB36" s="424"/>
      <c r="TLC36" s="427"/>
      <c r="TLD36" s="424"/>
      <c r="TLE36" s="427"/>
      <c r="TLF36" s="424"/>
      <c r="TLG36" s="427"/>
      <c r="TLH36" s="424"/>
      <c r="TLI36" s="427"/>
      <c r="TLJ36" s="424"/>
      <c r="TLK36" s="427"/>
      <c r="TLL36" s="424"/>
      <c r="TLM36" s="427"/>
      <c r="TLN36" s="424"/>
      <c r="TLO36" s="427"/>
      <c r="TLP36" s="424"/>
      <c r="TLQ36" s="427"/>
      <c r="TLR36" s="424"/>
      <c r="TLS36" s="427"/>
      <c r="TLT36" s="424"/>
      <c r="TLU36" s="427"/>
      <c r="TLV36" s="424"/>
      <c r="TLW36" s="427"/>
      <c r="TLX36" s="424"/>
      <c r="TLY36" s="427"/>
      <c r="TLZ36" s="424"/>
      <c r="TMA36" s="427"/>
      <c r="TMB36" s="424"/>
      <c r="TMC36" s="427"/>
      <c r="TMD36" s="424"/>
      <c r="TME36" s="427"/>
      <c r="TMF36" s="424"/>
      <c r="TMG36" s="427"/>
      <c r="TMH36" s="424"/>
      <c r="TMI36" s="427"/>
      <c r="TMJ36" s="424"/>
      <c r="TMK36" s="427"/>
      <c r="TML36" s="424"/>
      <c r="TMM36" s="427"/>
      <c r="TMN36" s="424"/>
      <c r="TMO36" s="427"/>
      <c r="TMP36" s="424"/>
      <c r="TMQ36" s="427"/>
      <c r="TMR36" s="424"/>
      <c r="TMS36" s="427"/>
      <c r="TMT36" s="424"/>
      <c r="TMU36" s="427"/>
      <c r="TMV36" s="424"/>
      <c r="TMW36" s="427"/>
      <c r="TMX36" s="424"/>
      <c r="TMY36" s="427"/>
      <c r="TMZ36" s="424"/>
      <c r="TNA36" s="427"/>
      <c r="TNB36" s="424"/>
      <c r="TNC36" s="427"/>
      <c r="TND36" s="424"/>
      <c r="TNE36" s="427"/>
      <c r="TNF36" s="424"/>
      <c r="TNG36" s="427"/>
      <c r="TNH36" s="424"/>
      <c r="TNI36" s="427"/>
      <c r="TNJ36" s="424"/>
      <c r="TNK36" s="427"/>
      <c r="TNL36" s="424"/>
      <c r="TNM36" s="427"/>
      <c r="TNN36" s="424"/>
      <c r="TNO36" s="427"/>
      <c r="TNP36" s="424"/>
      <c r="TNQ36" s="427"/>
      <c r="TNR36" s="424"/>
      <c r="TNS36" s="427"/>
      <c r="TNT36" s="424"/>
      <c r="TNU36" s="427"/>
      <c r="TNV36" s="424"/>
      <c r="TNW36" s="427"/>
      <c r="TNX36" s="424"/>
      <c r="TNY36" s="427"/>
      <c r="TNZ36" s="424"/>
      <c r="TOA36" s="427"/>
      <c r="TOB36" s="424"/>
      <c r="TOC36" s="427"/>
      <c r="TOD36" s="424"/>
      <c r="TOE36" s="427"/>
      <c r="TOF36" s="424"/>
      <c r="TOG36" s="427"/>
      <c r="TOH36" s="424"/>
      <c r="TOI36" s="427"/>
      <c r="TOJ36" s="424"/>
      <c r="TOK36" s="427"/>
      <c r="TOL36" s="424"/>
      <c r="TOM36" s="427"/>
      <c r="TON36" s="424"/>
      <c r="TOO36" s="427"/>
      <c r="TOP36" s="424"/>
      <c r="TOQ36" s="427"/>
      <c r="TOR36" s="424"/>
      <c r="TOS36" s="427"/>
      <c r="TOT36" s="424"/>
      <c r="TOU36" s="427"/>
      <c r="TOV36" s="424"/>
      <c r="TOW36" s="427"/>
      <c r="TOX36" s="424"/>
      <c r="TOY36" s="427"/>
      <c r="TOZ36" s="424"/>
      <c r="TPA36" s="427"/>
      <c r="TPB36" s="424"/>
      <c r="TPC36" s="427"/>
      <c r="TPD36" s="424"/>
      <c r="TPE36" s="427"/>
      <c r="TPF36" s="424"/>
      <c r="TPG36" s="427"/>
      <c r="TPH36" s="424"/>
      <c r="TPI36" s="427"/>
      <c r="TPJ36" s="424"/>
      <c r="TPK36" s="427"/>
      <c r="TPL36" s="424"/>
      <c r="TPM36" s="427"/>
      <c r="TPN36" s="424"/>
      <c r="TPO36" s="427"/>
      <c r="TPP36" s="424"/>
      <c r="TPQ36" s="427"/>
      <c r="TPR36" s="424"/>
      <c r="TPS36" s="427"/>
      <c r="TPT36" s="424"/>
      <c r="TPU36" s="427"/>
      <c r="TPV36" s="424"/>
      <c r="TPW36" s="427"/>
      <c r="TPX36" s="424"/>
      <c r="TPY36" s="427"/>
      <c r="TPZ36" s="424"/>
      <c r="TQA36" s="427"/>
      <c r="TQB36" s="424"/>
      <c r="TQC36" s="427"/>
      <c r="TQD36" s="424"/>
      <c r="TQE36" s="427"/>
      <c r="TQF36" s="424"/>
      <c r="TQG36" s="427"/>
      <c r="TQH36" s="424"/>
      <c r="TQI36" s="427"/>
      <c r="TQJ36" s="424"/>
      <c r="TQK36" s="427"/>
      <c r="TQL36" s="424"/>
      <c r="TQM36" s="427"/>
      <c r="TQN36" s="424"/>
      <c r="TQO36" s="427"/>
      <c r="TQP36" s="424"/>
      <c r="TQQ36" s="427"/>
      <c r="TQR36" s="424"/>
      <c r="TQS36" s="427"/>
      <c r="TQT36" s="424"/>
      <c r="TQU36" s="427"/>
      <c r="TQV36" s="424"/>
      <c r="TQW36" s="427"/>
      <c r="TQX36" s="424"/>
      <c r="TQY36" s="427"/>
      <c r="TQZ36" s="424"/>
      <c r="TRA36" s="427"/>
      <c r="TRB36" s="424"/>
      <c r="TRC36" s="427"/>
      <c r="TRD36" s="424"/>
      <c r="TRE36" s="427"/>
      <c r="TRF36" s="424"/>
      <c r="TRG36" s="427"/>
      <c r="TRH36" s="424"/>
      <c r="TRI36" s="427"/>
      <c r="TRJ36" s="424"/>
      <c r="TRK36" s="427"/>
      <c r="TRL36" s="424"/>
      <c r="TRM36" s="427"/>
      <c r="TRN36" s="424"/>
      <c r="TRO36" s="427"/>
      <c r="TRP36" s="424"/>
      <c r="TRQ36" s="427"/>
      <c r="TRR36" s="424"/>
      <c r="TRS36" s="427"/>
      <c r="TRT36" s="424"/>
      <c r="TRU36" s="427"/>
      <c r="TRV36" s="424"/>
      <c r="TRW36" s="427"/>
      <c r="TRX36" s="424"/>
      <c r="TRY36" s="427"/>
      <c r="TRZ36" s="424"/>
      <c r="TSA36" s="427"/>
      <c r="TSB36" s="424"/>
      <c r="TSC36" s="427"/>
      <c r="TSD36" s="424"/>
      <c r="TSE36" s="427"/>
      <c r="TSF36" s="424"/>
      <c r="TSG36" s="427"/>
      <c r="TSH36" s="424"/>
      <c r="TSI36" s="427"/>
      <c r="TSJ36" s="424"/>
      <c r="TSK36" s="427"/>
      <c r="TSL36" s="424"/>
      <c r="TSM36" s="427"/>
      <c r="TSN36" s="424"/>
      <c r="TSO36" s="427"/>
      <c r="TSP36" s="424"/>
      <c r="TSQ36" s="427"/>
      <c r="TSR36" s="424"/>
      <c r="TSS36" s="427"/>
      <c r="TST36" s="424"/>
      <c r="TSU36" s="427"/>
      <c r="TSV36" s="424"/>
      <c r="TSW36" s="427"/>
      <c r="TSX36" s="424"/>
      <c r="TSY36" s="427"/>
      <c r="TSZ36" s="424"/>
      <c r="TTA36" s="427"/>
      <c r="TTB36" s="424"/>
      <c r="TTC36" s="427"/>
      <c r="TTD36" s="424"/>
      <c r="TTE36" s="427"/>
      <c r="TTF36" s="424"/>
      <c r="TTG36" s="427"/>
      <c r="TTH36" s="424"/>
      <c r="TTI36" s="427"/>
      <c r="TTJ36" s="424"/>
      <c r="TTK36" s="427"/>
      <c r="TTL36" s="424"/>
      <c r="TTM36" s="427"/>
      <c r="TTN36" s="424"/>
      <c r="TTO36" s="427"/>
      <c r="TTP36" s="424"/>
      <c r="TTQ36" s="427"/>
      <c r="TTR36" s="424"/>
      <c r="TTS36" s="427"/>
      <c r="TTT36" s="424"/>
      <c r="TTU36" s="427"/>
      <c r="TTV36" s="424"/>
      <c r="TTW36" s="427"/>
      <c r="TTX36" s="424"/>
      <c r="TTY36" s="427"/>
      <c r="TTZ36" s="424"/>
      <c r="TUA36" s="427"/>
      <c r="TUB36" s="424"/>
      <c r="TUC36" s="427"/>
      <c r="TUD36" s="424"/>
      <c r="TUE36" s="427"/>
      <c r="TUF36" s="424"/>
      <c r="TUG36" s="427"/>
      <c r="TUH36" s="424"/>
      <c r="TUI36" s="427"/>
      <c r="TUJ36" s="424"/>
      <c r="TUK36" s="427"/>
      <c r="TUL36" s="424"/>
      <c r="TUM36" s="427"/>
      <c r="TUN36" s="424"/>
      <c r="TUO36" s="427"/>
      <c r="TUP36" s="424"/>
      <c r="TUQ36" s="427"/>
      <c r="TUR36" s="424"/>
      <c r="TUS36" s="427"/>
      <c r="TUT36" s="424"/>
      <c r="TUU36" s="427"/>
      <c r="TUV36" s="424"/>
      <c r="TUW36" s="427"/>
      <c r="TUX36" s="424"/>
      <c r="TUY36" s="427"/>
      <c r="TUZ36" s="424"/>
      <c r="TVA36" s="427"/>
      <c r="TVB36" s="424"/>
      <c r="TVC36" s="427"/>
      <c r="TVD36" s="424"/>
      <c r="TVE36" s="427"/>
      <c r="TVF36" s="424"/>
      <c r="TVG36" s="427"/>
      <c r="TVH36" s="424"/>
      <c r="TVI36" s="427"/>
      <c r="TVJ36" s="424"/>
      <c r="TVK36" s="427"/>
      <c r="TVL36" s="424"/>
      <c r="TVM36" s="427"/>
      <c r="TVN36" s="424"/>
      <c r="TVO36" s="427"/>
      <c r="TVP36" s="424"/>
      <c r="TVQ36" s="427"/>
      <c r="TVR36" s="424"/>
      <c r="TVS36" s="427"/>
      <c r="TVT36" s="424"/>
      <c r="TVU36" s="427"/>
      <c r="TVV36" s="424"/>
      <c r="TVW36" s="427"/>
      <c r="TVX36" s="424"/>
      <c r="TVY36" s="427"/>
      <c r="TVZ36" s="424"/>
      <c r="TWA36" s="427"/>
      <c r="TWB36" s="424"/>
      <c r="TWC36" s="427"/>
      <c r="TWD36" s="424"/>
      <c r="TWE36" s="427"/>
      <c r="TWF36" s="424"/>
      <c r="TWG36" s="427"/>
      <c r="TWH36" s="424"/>
      <c r="TWI36" s="427"/>
      <c r="TWJ36" s="424"/>
      <c r="TWK36" s="427"/>
      <c r="TWL36" s="424"/>
      <c r="TWM36" s="427"/>
      <c r="TWN36" s="424"/>
      <c r="TWO36" s="427"/>
      <c r="TWP36" s="424"/>
      <c r="TWQ36" s="427"/>
      <c r="TWR36" s="424"/>
      <c r="TWS36" s="427"/>
      <c r="TWT36" s="424"/>
      <c r="TWU36" s="427"/>
      <c r="TWV36" s="424"/>
      <c r="TWW36" s="427"/>
      <c r="TWX36" s="424"/>
      <c r="TWY36" s="427"/>
      <c r="TWZ36" s="424"/>
      <c r="TXA36" s="427"/>
      <c r="TXB36" s="424"/>
      <c r="TXC36" s="427"/>
      <c r="TXD36" s="424"/>
      <c r="TXE36" s="427"/>
      <c r="TXF36" s="424"/>
      <c r="TXG36" s="427"/>
      <c r="TXH36" s="424"/>
      <c r="TXI36" s="427"/>
      <c r="TXJ36" s="424"/>
      <c r="TXK36" s="427"/>
      <c r="TXL36" s="424"/>
      <c r="TXM36" s="427"/>
      <c r="TXN36" s="424"/>
      <c r="TXO36" s="427"/>
      <c r="TXP36" s="424"/>
      <c r="TXQ36" s="427"/>
      <c r="TXR36" s="424"/>
      <c r="TXS36" s="427"/>
      <c r="TXT36" s="424"/>
      <c r="TXU36" s="427"/>
      <c r="TXV36" s="424"/>
      <c r="TXW36" s="427"/>
      <c r="TXX36" s="424"/>
      <c r="TXY36" s="427"/>
      <c r="TXZ36" s="424"/>
      <c r="TYA36" s="427"/>
      <c r="TYB36" s="424"/>
      <c r="TYC36" s="427"/>
      <c r="TYD36" s="424"/>
      <c r="TYE36" s="427"/>
      <c r="TYF36" s="424"/>
      <c r="TYG36" s="427"/>
      <c r="TYH36" s="424"/>
      <c r="TYI36" s="427"/>
      <c r="TYJ36" s="424"/>
      <c r="TYK36" s="427"/>
      <c r="TYL36" s="424"/>
      <c r="TYM36" s="427"/>
      <c r="TYN36" s="424"/>
      <c r="TYO36" s="427"/>
      <c r="TYP36" s="424"/>
      <c r="TYQ36" s="427"/>
      <c r="TYR36" s="424"/>
      <c r="TYS36" s="427"/>
      <c r="TYT36" s="424"/>
      <c r="TYU36" s="427"/>
      <c r="TYV36" s="424"/>
      <c r="TYW36" s="427"/>
      <c r="TYX36" s="424"/>
      <c r="TYY36" s="427"/>
      <c r="TYZ36" s="424"/>
      <c r="TZA36" s="427"/>
      <c r="TZB36" s="424"/>
      <c r="TZC36" s="427"/>
      <c r="TZD36" s="424"/>
      <c r="TZE36" s="427"/>
      <c r="TZF36" s="424"/>
      <c r="TZG36" s="427"/>
      <c r="TZH36" s="424"/>
      <c r="TZI36" s="427"/>
      <c r="TZJ36" s="424"/>
      <c r="TZK36" s="427"/>
      <c r="TZL36" s="424"/>
      <c r="TZM36" s="427"/>
      <c r="TZN36" s="424"/>
      <c r="TZO36" s="427"/>
      <c r="TZP36" s="424"/>
      <c r="TZQ36" s="427"/>
      <c r="TZR36" s="424"/>
      <c r="TZS36" s="427"/>
      <c r="TZT36" s="424"/>
      <c r="TZU36" s="427"/>
      <c r="TZV36" s="424"/>
      <c r="TZW36" s="427"/>
      <c r="TZX36" s="424"/>
      <c r="TZY36" s="427"/>
      <c r="TZZ36" s="424"/>
      <c r="UAA36" s="427"/>
      <c r="UAB36" s="424"/>
      <c r="UAC36" s="427"/>
      <c r="UAD36" s="424"/>
      <c r="UAE36" s="427"/>
      <c r="UAF36" s="424"/>
      <c r="UAG36" s="427"/>
      <c r="UAH36" s="424"/>
      <c r="UAI36" s="427"/>
      <c r="UAJ36" s="424"/>
      <c r="UAK36" s="427"/>
      <c r="UAL36" s="424"/>
      <c r="UAM36" s="427"/>
      <c r="UAN36" s="424"/>
      <c r="UAO36" s="427"/>
      <c r="UAP36" s="424"/>
      <c r="UAQ36" s="427"/>
      <c r="UAR36" s="424"/>
      <c r="UAS36" s="427"/>
      <c r="UAT36" s="424"/>
      <c r="UAU36" s="427"/>
      <c r="UAV36" s="424"/>
      <c r="UAW36" s="427"/>
      <c r="UAX36" s="424"/>
      <c r="UAY36" s="427"/>
      <c r="UAZ36" s="424"/>
      <c r="UBA36" s="427"/>
      <c r="UBB36" s="424"/>
      <c r="UBC36" s="427"/>
      <c r="UBD36" s="424"/>
      <c r="UBE36" s="427"/>
      <c r="UBF36" s="424"/>
      <c r="UBG36" s="427"/>
      <c r="UBH36" s="424"/>
      <c r="UBI36" s="427"/>
      <c r="UBJ36" s="424"/>
      <c r="UBK36" s="427"/>
      <c r="UBL36" s="424"/>
      <c r="UBM36" s="427"/>
      <c r="UBN36" s="424"/>
      <c r="UBO36" s="427"/>
      <c r="UBP36" s="424"/>
      <c r="UBQ36" s="427"/>
      <c r="UBR36" s="424"/>
      <c r="UBS36" s="427"/>
      <c r="UBT36" s="424"/>
      <c r="UBU36" s="427"/>
      <c r="UBV36" s="424"/>
      <c r="UBW36" s="427"/>
      <c r="UBX36" s="424"/>
      <c r="UBY36" s="427"/>
      <c r="UBZ36" s="424"/>
      <c r="UCA36" s="427"/>
      <c r="UCB36" s="424"/>
      <c r="UCC36" s="427"/>
      <c r="UCD36" s="424"/>
      <c r="UCE36" s="427"/>
      <c r="UCF36" s="424"/>
      <c r="UCG36" s="427"/>
      <c r="UCH36" s="424"/>
      <c r="UCI36" s="427"/>
      <c r="UCJ36" s="424"/>
      <c r="UCK36" s="427"/>
      <c r="UCL36" s="424"/>
      <c r="UCM36" s="427"/>
      <c r="UCN36" s="424"/>
      <c r="UCO36" s="427"/>
      <c r="UCP36" s="424"/>
      <c r="UCQ36" s="427"/>
      <c r="UCR36" s="424"/>
      <c r="UCS36" s="427"/>
      <c r="UCT36" s="424"/>
      <c r="UCU36" s="427"/>
      <c r="UCV36" s="424"/>
      <c r="UCW36" s="427"/>
      <c r="UCX36" s="424"/>
      <c r="UCY36" s="427"/>
      <c r="UCZ36" s="424"/>
      <c r="UDA36" s="427"/>
      <c r="UDB36" s="424"/>
      <c r="UDC36" s="427"/>
      <c r="UDD36" s="424"/>
      <c r="UDE36" s="427"/>
      <c r="UDF36" s="424"/>
      <c r="UDG36" s="427"/>
      <c r="UDH36" s="424"/>
      <c r="UDI36" s="427"/>
      <c r="UDJ36" s="424"/>
      <c r="UDK36" s="427"/>
      <c r="UDL36" s="424"/>
      <c r="UDM36" s="427"/>
      <c r="UDN36" s="424"/>
      <c r="UDO36" s="427"/>
      <c r="UDP36" s="424"/>
      <c r="UDQ36" s="427"/>
      <c r="UDR36" s="424"/>
      <c r="UDS36" s="427"/>
      <c r="UDT36" s="424"/>
      <c r="UDU36" s="427"/>
      <c r="UDV36" s="424"/>
      <c r="UDW36" s="427"/>
      <c r="UDX36" s="424"/>
      <c r="UDY36" s="427"/>
      <c r="UDZ36" s="424"/>
      <c r="UEA36" s="427"/>
      <c r="UEB36" s="424"/>
      <c r="UEC36" s="427"/>
      <c r="UED36" s="424"/>
      <c r="UEE36" s="427"/>
      <c r="UEF36" s="424"/>
      <c r="UEG36" s="427"/>
      <c r="UEH36" s="424"/>
      <c r="UEI36" s="427"/>
      <c r="UEJ36" s="424"/>
      <c r="UEK36" s="427"/>
      <c r="UEL36" s="424"/>
      <c r="UEM36" s="427"/>
      <c r="UEN36" s="424"/>
      <c r="UEO36" s="427"/>
      <c r="UEP36" s="424"/>
      <c r="UEQ36" s="427"/>
      <c r="UER36" s="424"/>
      <c r="UES36" s="427"/>
      <c r="UET36" s="424"/>
      <c r="UEU36" s="427"/>
      <c r="UEV36" s="424"/>
      <c r="UEW36" s="427"/>
      <c r="UEX36" s="424"/>
      <c r="UEY36" s="427"/>
      <c r="UEZ36" s="424"/>
      <c r="UFA36" s="427"/>
      <c r="UFB36" s="424"/>
      <c r="UFC36" s="427"/>
      <c r="UFD36" s="424"/>
      <c r="UFE36" s="427"/>
      <c r="UFF36" s="424"/>
      <c r="UFG36" s="427"/>
      <c r="UFH36" s="424"/>
      <c r="UFI36" s="427"/>
      <c r="UFJ36" s="424"/>
      <c r="UFK36" s="427"/>
      <c r="UFL36" s="424"/>
      <c r="UFM36" s="427"/>
      <c r="UFN36" s="424"/>
      <c r="UFO36" s="427"/>
      <c r="UFP36" s="424"/>
      <c r="UFQ36" s="427"/>
      <c r="UFR36" s="424"/>
      <c r="UFS36" s="427"/>
      <c r="UFT36" s="424"/>
      <c r="UFU36" s="427"/>
      <c r="UFV36" s="424"/>
      <c r="UFW36" s="427"/>
      <c r="UFX36" s="424"/>
      <c r="UFY36" s="427"/>
      <c r="UFZ36" s="424"/>
      <c r="UGA36" s="427"/>
      <c r="UGB36" s="424"/>
      <c r="UGC36" s="427"/>
      <c r="UGD36" s="424"/>
      <c r="UGE36" s="427"/>
      <c r="UGF36" s="424"/>
      <c r="UGG36" s="427"/>
      <c r="UGH36" s="424"/>
      <c r="UGI36" s="427"/>
      <c r="UGJ36" s="424"/>
      <c r="UGK36" s="427"/>
      <c r="UGL36" s="424"/>
      <c r="UGM36" s="427"/>
      <c r="UGN36" s="424"/>
      <c r="UGO36" s="427"/>
      <c r="UGP36" s="424"/>
      <c r="UGQ36" s="427"/>
      <c r="UGR36" s="424"/>
      <c r="UGS36" s="427"/>
      <c r="UGT36" s="424"/>
      <c r="UGU36" s="427"/>
      <c r="UGV36" s="424"/>
      <c r="UGW36" s="427"/>
      <c r="UGX36" s="424"/>
      <c r="UGY36" s="427"/>
      <c r="UGZ36" s="424"/>
      <c r="UHA36" s="427"/>
      <c r="UHB36" s="424"/>
      <c r="UHC36" s="427"/>
      <c r="UHD36" s="424"/>
      <c r="UHE36" s="427"/>
      <c r="UHF36" s="424"/>
      <c r="UHG36" s="427"/>
      <c r="UHH36" s="424"/>
      <c r="UHI36" s="427"/>
      <c r="UHJ36" s="424"/>
      <c r="UHK36" s="427"/>
      <c r="UHL36" s="424"/>
      <c r="UHM36" s="427"/>
      <c r="UHN36" s="424"/>
      <c r="UHO36" s="427"/>
      <c r="UHP36" s="424"/>
      <c r="UHQ36" s="427"/>
      <c r="UHR36" s="424"/>
      <c r="UHS36" s="427"/>
      <c r="UHT36" s="424"/>
      <c r="UHU36" s="427"/>
      <c r="UHV36" s="424"/>
      <c r="UHW36" s="427"/>
      <c r="UHX36" s="424"/>
      <c r="UHY36" s="427"/>
      <c r="UHZ36" s="424"/>
      <c r="UIA36" s="427"/>
      <c r="UIB36" s="424"/>
      <c r="UIC36" s="427"/>
      <c r="UID36" s="424"/>
      <c r="UIE36" s="427"/>
      <c r="UIF36" s="424"/>
      <c r="UIG36" s="427"/>
      <c r="UIH36" s="424"/>
      <c r="UII36" s="427"/>
      <c r="UIJ36" s="424"/>
      <c r="UIK36" s="427"/>
      <c r="UIL36" s="424"/>
      <c r="UIM36" s="427"/>
      <c r="UIN36" s="424"/>
      <c r="UIO36" s="427"/>
      <c r="UIP36" s="424"/>
      <c r="UIQ36" s="427"/>
      <c r="UIR36" s="424"/>
      <c r="UIS36" s="427"/>
      <c r="UIT36" s="424"/>
      <c r="UIU36" s="427"/>
      <c r="UIV36" s="424"/>
      <c r="UIW36" s="427"/>
      <c r="UIX36" s="424"/>
      <c r="UIY36" s="427"/>
      <c r="UIZ36" s="424"/>
      <c r="UJA36" s="427"/>
      <c r="UJB36" s="424"/>
      <c r="UJC36" s="427"/>
      <c r="UJD36" s="424"/>
      <c r="UJE36" s="427"/>
      <c r="UJF36" s="424"/>
      <c r="UJG36" s="427"/>
      <c r="UJH36" s="424"/>
      <c r="UJI36" s="427"/>
      <c r="UJJ36" s="424"/>
      <c r="UJK36" s="427"/>
      <c r="UJL36" s="424"/>
      <c r="UJM36" s="427"/>
      <c r="UJN36" s="424"/>
      <c r="UJO36" s="427"/>
      <c r="UJP36" s="424"/>
      <c r="UJQ36" s="427"/>
      <c r="UJR36" s="424"/>
      <c r="UJS36" s="427"/>
      <c r="UJT36" s="424"/>
      <c r="UJU36" s="427"/>
      <c r="UJV36" s="424"/>
      <c r="UJW36" s="427"/>
      <c r="UJX36" s="424"/>
      <c r="UJY36" s="427"/>
      <c r="UJZ36" s="424"/>
      <c r="UKA36" s="427"/>
      <c r="UKB36" s="424"/>
      <c r="UKC36" s="427"/>
      <c r="UKD36" s="424"/>
      <c r="UKE36" s="427"/>
      <c r="UKF36" s="424"/>
      <c r="UKG36" s="427"/>
      <c r="UKH36" s="424"/>
      <c r="UKI36" s="427"/>
      <c r="UKJ36" s="424"/>
      <c r="UKK36" s="427"/>
      <c r="UKL36" s="424"/>
      <c r="UKM36" s="427"/>
      <c r="UKN36" s="424"/>
      <c r="UKO36" s="427"/>
      <c r="UKP36" s="424"/>
      <c r="UKQ36" s="427"/>
      <c r="UKR36" s="424"/>
      <c r="UKS36" s="427"/>
      <c r="UKT36" s="424"/>
      <c r="UKU36" s="427"/>
      <c r="UKV36" s="424"/>
      <c r="UKW36" s="427"/>
      <c r="UKX36" s="424"/>
      <c r="UKY36" s="427"/>
      <c r="UKZ36" s="424"/>
      <c r="ULA36" s="427"/>
      <c r="ULB36" s="424"/>
      <c r="ULC36" s="427"/>
      <c r="ULD36" s="424"/>
      <c r="ULE36" s="427"/>
      <c r="ULF36" s="424"/>
      <c r="ULG36" s="427"/>
      <c r="ULH36" s="424"/>
      <c r="ULI36" s="427"/>
      <c r="ULJ36" s="424"/>
      <c r="ULK36" s="427"/>
      <c r="ULL36" s="424"/>
      <c r="ULM36" s="427"/>
      <c r="ULN36" s="424"/>
      <c r="ULO36" s="427"/>
      <c r="ULP36" s="424"/>
      <c r="ULQ36" s="427"/>
      <c r="ULR36" s="424"/>
      <c r="ULS36" s="427"/>
      <c r="ULT36" s="424"/>
      <c r="ULU36" s="427"/>
      <c r="ULV36" s="424"/>
      <c r="ULW36" s="427"/>
      <c r="ULX36" s="424"/>
      <c r="ULY36" s="427"/>
      <c r="ULZ36" s="424"/>
      <c r="UMA36" s="427"/>
      <c r="UMB36" s="424"/>
      <c r="UMC36" s="427"/>
      <c r="UMD36" s="424"/>
      <c r="UME36" s="427"/>
      <c r="UMF36" s="424"/>
      <c r="UMG36" s="427"/>
      <c r="UMH36" s="424"/>
      <c r="UMI36" s="427"/>
      <c r="UMJ36" s="424"/>
      <c r="UMK36" s="427"/>
      <c r="UML36" s="424"/>
      <c r="UMM36" s="427"/>
      <c r="UMN36" s="424"/>
      <c r="UMO36" s="427"/>
      <c r="UMP36" s="424"/>
      <c r="UMQ36" s="427"/>
      <c r="UMR36" s="424"/>
      <c r="UMS36" s="427"/>
      <c r="UMT36" s="424"/>
      <c r="UMU36" s="427"/>
      <c r="UMV36" s="424"/>
      <c r="UMW36" s="427"/>
      <c r="UMX36" s="424"/>
      <c r="UMY36" s="427"/>
      <c r="UMZ36" s="424"/>
      <c r="UNA36" s="427"/>
      <c r="UNB36" s="424"/>
      <c r="UNC36" s="427"/>
      <c r="UND36" s="424"/>
      <c r="UNE36" s="427"/>
      <c r="UNF36" s="424"/>
      <c r="UNG36" s="427"/>
      <c r="UNH36" s="424"/>
      <c r="UNI36" s="427"/>
      <c r="UNJ36" s="424"/>
      <c r="UNK36" s="427"/>
      <c r="UNL36" s="424"/>
      <c r="UNM36" s="427"/>
      <c r="UNN36" s="424"/>
      <c r="UNO36" s="427"/>
      <c r="UNP36" s="424"/>
      <c r="UNQ36" s="427"/>
      <c r="UNR36" s="424"/>
      <c r="UNS36" s="427"/>
      <c r="UNT36" s="424"/>
      <c r="UNU36" s="427"/>
      <c r="UNV36" s="424"/>
      <c r="UNW36" s="427"/>
      <c r="UNX36" s="424"/>
      <c r="UNY36" s="427"/>
      <c r="UNZ36" s="424"/>
      <c r="UOA36" s="427"/>
      <c r="UOB36" s="424"/>
      <c r="UOC36" s="427"/>
      <c r="UOD36" s="424"/>
      <c r="UOE36" s="427"/>
      <c r="UOF36" s="424"/>
      <c r="UOG36" s="427"/>
      <c r="UOH36" s="424"/>
      <c r="UOI36" s="427"/>
      <c r="UOJ36" s="424"/>
      <c r="UOK36" s="427"/>
      <c r="UOL36" s="424"/>
      <c r="UOM36" s="427"/>
      <c r="UON36" s="424"/>
      <c r="UOO36" s="427"/>
      <c r="UOP36" s="424"/>
      <c r="UOQ36" s="427"/>
      <c r="UOR36" s="424"/>
      <c r="UOS36" s="427"/>
      <c r="UOT36" s="424"/>
      <c r="UOU36" s="427"/>
      <c r="UOV36" s="424"/>
      <c r="UOW36" s="427"/>
      <c r="UOX36" s="424"/>
      <c r="UOY36" s="427"/>
      <c r="UOZ36" s="424"/>
      <c r="UPA36" s="427"/>
      <c r="UPB36" s="424"/>
      <c r="UPC36" s="427"/>
      <c r="UPD36" s="424"/>
      <c r="UPE36" s="427"/>
      <c r="UPF36" s="424"/>
      <c r="UPG36" s="427"/>
      <c r="UPH36" s="424"/>
      <c r="UPI36" s="427"/>
      <c r="UPJ36" s="424"/>
      <c r="UPK36" s="427"/>
      <c r="UPL36" s="424"/>
      <c r="UPM36" s="427"/>
      <c r="UPN36" s="424"/>
      <c r="UPO36" s="427"/>
      <c r="UPP36" s="424"/>
      <c r="UPQ36" s="427"/>
      <c r="UPR36" s="424"/>
      <c r="UPS36" s="427"/>
      <c r="UPT36" s="424"/>
      <c r="UPU36" s="427"/>
      <c r="UPV36" s="424"/>
      <c r="UPW36" s="427"/>
      <c r="UPX36" s="424"/>
      <c r="UPY36" s="427"/>
      <c r="UPZ36" s="424"/>
      <c r="UQA36" s="427"/>
      <c r="UQB36" s="424"/>
      <c r="UQC36" s="427"/>
      <c r="UQD36" s="424"/>
      <c r="UQE36" s="427"/>
      <c r="UQF36" s="424"/>
      <c r="UQG36" s="427"/>
      <c r="UQH36" s="424"/>
      <c r="UQI36" s="427"/>
      <c r="UQJ36" s="424"/>
      <c r="UQK36" s="427"/>
      <c r="UQL36" s="424"/>
      <c r="UQM36" s="427"/>
      <c r="UQN36" s="424"/>
      <c r="UQO36" s="427"/>
      <c r="UQP36" s="424"/>
      <c r="UQQ36" s="427"/>
      <c r="UQR36" s="424"/>
      <c r="UQS36" s="427"/>
      <c r="UQT36" s="424"/>
      <c r="UQU36" s="427"/>
      <c r="UQV36" s="424"/>
      <c r="UQW36" s="427"/>
      <c r="UQX36" s="424"/>
      <c r="UQY36" s="427"/>
      <c r="UQZ36" s="424"/>
      <c r="URA36" s="427"/>
      <c r="URB36" s="424"/>
      <c r="URC36" s="427"/>
      <c r="URD36" s="424"/>
      <c r="URE36" s="427"/>
      <c r="URF36" s="424"/>
      <c r="URG36" s="427"/>
      <c r="URH36" s="424"/>
      <c r="URI36" s="427"/>
      <c r="URJ36" s="424"/>
      <c r="URK36" s="427"/>
      <c r="URL36" s="424"/>
      <c r="URM36" s="427"/>
      <c r="URN36" s="424"/>
      <c r="URO36" s="427"/>
      <c r="URP36" s="424"/>
      <c r="URQ36" s="427"/>
      <c r="URR36" s="424"/>
      <c r="URS36" s="427"/>
      <c r="URT36" s="424"/>
      <c r="URU36" s="427"/>
      <c r="URV36" s="424"/>
      <c r="URW36" s="427"/>
      <c r="URX36" s="424"/>
      <c r="URY36" s="427"/>
      <c r="URZ36" s="424"/>
      <c r="USA36" s="427"/>
      <c r="USB36" s="424"/>
      <c r="USC36" s="427"/>
      <c r="USD36" s="424"/>
      <c r="USE36" s="427"/>
      <c r="USF36" s="424"/>
      <c r="USG36" s="427"/>
      <c r="USH36" s="424"/>
      <c r="USI36" s="427"/>
      <c r="USJ36" s="424"/>
      <c r="USK36" s="427"/>
      <c r="USL36" s="424"/>
      <c r="USM36" s="427"/>
      <c r="USN36" s="424"/>
      <c r="USO36" s="427"/>
      <c r="USP36" s="424"/>
      <c r="USQ36" s="427"/>
      <c r="USR36" s="424"/>
      <c r="USS36" s="427"/>
      <c r="UST36" s="424"/>
      <c r="USU36" s="427"/>
      <c r="USV36" s="424"/>
      <c r="USW36" s="427"/>
      <c r="USX36" s="424"/>
      <c r="USY36" s="427"/>
      <c r="USZ36" s="424"/>
      <c r="UTA36" s="427"/>
      <c r="UTB36" s="424"/>
      <c r="UTC36" s="427"/>
      <c r="UTD36" s="424"/>
      <c r="UTE36" s="427"/>
      <c r="UTF36" s="424"/>
      <c r="UTG36" s="427"/>
      <c r="UTH36" s="424"/>
      <c r="UTI36" s="427"/>
      <c r="UTJ36" s="424"/>
      <c r="UTK36" s="427"/>
      <c r="UTL36" s="424"/>
      <c r="UTM36" s="427"/>
      <c r="UTN36" s="424"/>
      <c r="UTO36" s="427"/>
      <c r="UTP36" s="424"/>
      <c r="UTQ36" s="427"/>
      <c r="UTR36" s="424"/>
      <c r="UTS36" s="427"/>
      <c r="UTT36" s="424"/>
      <c r="UTU36" s="427"/>
      <c r="UTV36" s="424"/>
      <c r="UTW36" s="427"/>
      <c r="UTX36" s="424"/>
      <c r="UTY36" s="427"/>
      <c r="UTZ36" s="424"/>
      <c r="UUA36" s="427"/>
      <c r="UUB36" s="424"/>
      <c r="UUC36" s="427"/>
      <c r="UUD36" s="424"/>
      <c r="UUE36" s="427"/>
      <c r="UUF36" s="424"/>
      <c r="UUG36" s="427"/>
      <c r="UUH36" s="424"/>
      <c r="UUI36" s="427"/>
      <c r="UUJ36" s="424"/>
      <c r="UUK36" s="427"/>
      <c r="UUL36" s="424"/>
      <c r="UUM36" s="427"/>
      <c r="UUN36" s="424"/>
      <c r="UUO36" s="427"/>
      <c r="UUP36" s="424"/>
      <c r="UUQ36" s="427"/>
      <c r="UUR36" s="424"/>
      <c r="UUS36" s="427"/>
      <c r="UUT36" s="424"/>
      <c r="UUU36" s="427"/>
      <c r="UUV36" s="424"/>
      <c r="UUW36" s="427"/>
      <c r="UUX36" s="424"/>
      <c r="UUY36" s="427"/>
      <c r="UUZ36" s="424"/>
      <c r="UVA36" s="427"/>
      <c r="UVB36" s="424"/>
      <c r="UVC36" s="427"/>
      <c r="UVD36" s="424"/>
      <c r="UVE36" s="427"/>
      <c r="UVF36" s="424"/>
      <c r="UVG36" s="427"/>
      <c r="UVH36" s="424"/>
      <c r="UVI36" s="427"/>
      <c r="UVJ36" s="424"/>
      <c r="UVK36" s="427"/>
      <c r="UVL36" s="424"/>
      <c r="UVM36" s="427"/>
      <c r="UVN36" s="424"/>
      <c r="UVO36" s="427"/>
      <c r="UVP36" s="424"/>
      <c r="UVQ36" s="427"/>
      <c r="UVR36" s="424"/>
      <c r="UVS36" s="427"/>
      <c r="UVT36" s="424"/>
      <c r="UVU36" s="427"/>
      <c r="UVV36" s="424"/>
      <c r="UVW36" s="427"/>
      <c r="UVX36" s="424"/>
      <c r="UVY36" s="427"/>
      <c r="UVZ36" s="424"/>
      <c r="UWA36" s="427"/>
      <c r="UWB36" s="424"/>
      <c r="UWC36" s="427"/>
      <c r="UWD36" s="424"/>
      <c r="UWE36" s="427"/>
      <c r="UWF36" s="424"/>
      <c r="UWG36" s="427"/>
      <c r="UWH36" s="424"/>
      <c r="UWI36" s="427"/>
      <c r="UWJ36" s="424"/>
      <c r="UWK36" s="427"/>
      <c r="UWL36" s="424"/>
      <c r="UWM36" s="427"/>
      <c r="UWN36" s="424"/>
      <c r="UWO36" s="427"/>
      <c r="UWP36" s="424"/>
      <c r="UWQ36" s="427"/>
      <c r="UWR36" s="424"/>
      <c r="UWS36" s="427"/>
      <c r="UWT36" s="424"/>
      <c r="UWU36" s="427"/>
      <c r="UWV36" s="424"/>
      <c r="UWW36" s="427"/>
      <c r="UWX36" s="424"/>
      <c r="UWY36" s="427"/>
      <c r="UWZ36" s="424"/>
      <c r="UXA36" s="427"/>
      <c r="UXB36" s="424"/>
      <c r="UXC36" s="427"/>
      <c r="UXD36" s="424"/>
      <c r="UXE36" s="427"/>
      <c r="UXF36" s="424"/>
      <c r="UXG36" s="427"/>
      <c r="UXH36" s="424"/>
      <c r="UXI36" s="427"/>
      <c r="UXJ36" s="424"/>
      <c r="UXK36" s="427"/>
      <c r="UXL36" s="424"/>
      <c r="UXM36" s="427"/>
      <c r="UXN36" s="424"/>
      <c r="UXO36" s="427"/>
      <c r="UXP36" s="424"/>
      <c r="UXQ36" s="427"/>
      <c r="UXR36" s="424"/>
      <c r="UXS36" s="427"/>
      <c r="UXT36" s="424"/>
      <c r="UXU36" s="427"/>
      <c r="UXV36" s="424"/>
      <c r="UXW36" s="427"/>
      <c r="UXX36" s="424"/>
      <c r="UXY36" s="427"/>
      <c r="UXZ36" s="424"/>
      <c r="UYA36" s="427"/>
      <c r="UYB36" s="424"/>
      <c r="UYC36" s="427"/>
      <c r="UYD36" s="424"/>
      <c r="UYE36" s="427"/>
      <c r="UYF36" s="424"/>
      <c r="UYG36" s="427"/>
      <c r="UYH36" s="424"/>
      <c r="UYI36" s="427"/>
      <c r="UYJ36" s="424"/>
      <c r="UYK36" s="427"/>
      <c r="UYL36" s="424"/>
      <c r="UYM36" s="427"/>
      <c r="UYN36" s="424"/>
      <c r="UYO36" s="427"/>
      <c r="UYP36" s="424"/>
      <c r="UYQ36" s="427"/>
      <c r="UYR36" s="424"/>
      <c r="UYS36" s="427"/>
      <c r="UYT36" s="424"/>
      <c r="UYU36" s="427"/>
      <c r="UYV36" s="424"/>
      <c r="UYW36" s="427"/>
      <c r="UYX36" s="424"/>
      <c r="UYY36" s="427"/>
      <c r="UYZ36" s="424"/>
      <c r="UZA36" s="427"/>
      <c r="UZB36" s="424"/>
      <c r="UZC36" s="427"/>
      <c r="UZD36" s="424"/>
      <c r="UZE36" s="427"/>
      <c r="UZF36" s="424"/>
      <c r="UZG36" s="427"/>
      <c r="UZH36" s="424"/>
      <c r="UZI36" s="427"/>
      <c r="UZJ36" s="424"/>
      <c r="UZK36" s="427"/>
      <c r="UZL36" s="424"/>
      <c r="UZM36" s="427"/>
      <c r="UZN36" s="424"/>
      <c r="UZO36" s="427"/>
      <c r="UZP36" s="424"/>
      <c r="UZQ36" s="427"/>
      <c r="UZR36" s="424"/>
      <c r="UZS36" s="427"/>
      <c r="UZT36" s="424"/>
      <c r="UZU36" s="427"/>
      <c r="UZV36" s="424"/>
      <c r="UZW36" s="427"/>
      <c r="UZX36" s="424"/>
      <c r="UZY36" s="427"/>
      <c r="UZZ36" s="424"/>
      <c r="VAA36" s="427"/>
      <c r="VAB36" s="424"/>
      <c r="VAC36" s="427"/>
      <c r="VAD36" s="424"/>
      <c r="VAE36" s="427"/>
      <c r="VAF36" s="424"/>
      <c r="VAG36" s="427"/>
      <c r="VAH36" s="424"/>
      <c r="VAI36" s="427"/>
      <c r="VAJ36" s="424"/>
      <c r="VAK36" s="427"/>
      <c r="VAL36" s="424"/>
      <c r="VAM36" s="427"/>
      <c r="VAN36" s="424"/>
      <c r="VAO36" s="427"/>
      <c r="VAP36" s="424"/>
      <c r="VAQ36" s="427"/>
      <c r="VAR36" s="424"/>
      <c r="VAS36" s="427"/>
      <c r="VAT36" s="424"/>
      <c r="VAU36" s="427"/>
      <c r="VAV36" s="424"/>
      <c r="VAW36" s="427"/>
      <c r="VAX36" s="424"/>
      <c r="VAY36" s="427"/>
      <c r="VAZ36" s="424"/>
      <c r="VBA36" s="427"/>
      <c r="VBB36" s="424"/>
      <c r="VBC36" s="427"/>
      <c r="VBD36" s="424"/>
      <c r="VBE36" s="427"/>
      <c r="VBF36" s="424"/>
      <c r="VBG36" s="427"/>
      <c r="VBH36" s="424"/>
      <c r="VBI36" s="427"/>
      <c r="VBJ36" s="424"/>
      <c r="VBK36" s="427"/>
      <c r="VBL36" s="424"/>
      <c r="VBM36" s="427"/>
      <c r="VBN36" s="424"/>
      <c r="VBO36" s="427"/>
      <c r="VBP36" s="424"/>
      <c r="VBQ36" s="427"/>
      <c r="VBR36" s="424"/>
      <c r="VBS36" s="427"/>
      <c r="VBT36" s="424"/>
      <c r="VBU36" s="427"/>
      <c r="VBV36" s="424"/>
      <c r="VBW36" s="427"/>
      <c r="VBX36" s="424"/>
      <c r="VBY36" s="427"/>
      <c r="VBZ36" s="424"/>
      <c r="VCA36" s="427"/>
      <c r="VCB36" s="424"/>
      <c r="VCC36" s="427"/>
      <c r="VCD36" s="424"/>
      <c r="VCE36" s="427"/>
      <c r="VCF36" s="424"/>
      <c r="VCG36" s="427"/>
      <c r="VCH36" s="424"/>
      <c r="VCI36" s="427"/>
      <c r="VCJ36" s="424"/>
      <c r="VCK36" s="427"/>
      <c r="VCL36" s="424"/>
      <c r="VCM36" s="427"/>
      <c r="VCN36" s="424"/>
      <c r="VCO36" s="427"/>
      <c r="VCP36" s="424"/>
      <c r="VCQ36" s="427"/>
      <c r="VCR36" s="424"/>
      <c r="VCS36" s="427"/>
      <c r="VCT36" s="424"/>
      <c r="VCU36" s="427"/>
      <c r="VCV36" s="424"/>
      <c r="VCW36" s="427"/>
      <c r="VCX36" s="424"/>
      <c r="VCY36" s="427"/>
      <c r="VCZ36" s="424"/>
      <c r="VDA36" s="427"/>
      <c r="VDB36" s="424"/>
      <c r="VDC36" s="427"/>
      <c r="VDD36" s="424"/>
      <c r="VDE36" s="427"/>
      <c r="VDF36" s="424"/>
      <c r="VDG36" s="427"/>
      <c r="VDH36" s="424"/>
      <c r="VDI36" s="427"/>
      <c r="VDJ36" s="424"/>
      <c r="VDK36" s="427"/>
      <c r="VDL36" s="424"/>
      <c r="VDM36" s="427"/>
      <c r="VDN36" s="424"/>
      <c r="VDO36" s="427"/>
      <c r="VDP36" s="424"/>
      <c r="VDQ36" s="427"/>
      <c r="VDR36" s="424"/>
      <c r="VDS36" s="427"/>
      <c r="VDT36" s="424"/>
      <c r="VDU36" s="427"/>
      <c r="VDV36" s="424"/>
      <c r="VDW36" s="427"/>
      <c r="VDX36" s="424"/>
      <c r="VDY36" s="427"/>
      <c r="VDZ36" s="424"/>
      <c r="VEA36" s="427"/>
      <c r="VEB36" s="424"/>
      <c r="VEC36" s="427"/>
      <c r="VED36" s="424"/>
      <c r="VEE36" s="427"/>
      <c r="VEF36" s="424"/>
      <c r="VEG36" s="427"/>
      <c r="VEH36" s="424"/>
      <c r="VEI36" s="427"/>
      <c r="VEJ36" s="424"/>
      <c r="VEK36" s="427"/>
      <c r="VEL36" s="424"/>
      <c r="VEM36" s="427"/>
      <c r="VEN36" s="424"/>
      <c r="VEO36" s="427"/>
      <c r="VEP36" s="424"/>
      <c r="VEQ36" s="427"/>
      <c r="VER36" s="424"/>
      <c r="VES36" s="427"/>
      <c r="VET36" s="424"/>
      <c r="VEU36" s="427"/>
      <c r="VEV36" s="424"/>
      <c r="VEW36" s="427"/>
      <c r="VEX36" s="424"/>
      <c r="VEY36" s="427"/>
      <c r="VEZ36" s="424"/>
      <c r="VFA36" s="427"/>
      <c r="VFB36" s="424"/>
      <c r="VFC36" s="427"/>
      <c r="VFD36" s="424"/>
      <c r="VFE36" s="427"/>
      <c r="VFF36" s="424"/>
      <c r="VFG36" s="427"/>
      <c r="VFH36" s="424"/>
      <c r="VFI36" s="427"/>
      <c r="VFJ36" s="424"/>
      <c r="VFK36" s="427"/>
      <c r="VFL36" s="424"/>
      <c r="VFM36" s="427"/>
      <c r="VFN36" s="424"/>
      <c r="VFO36" s="427"/>
      <c r="VFP36" s="424"/>
      <c r="VFQ36" s="427"/>
      <c r="VFR36" s="424"/>
      <c r="VFS36" s="427"/>
      <c r="VFT36" s="424"/>
      <c r="VFU36" s="427"/>
      <c r="VFV36" s="424"/>
      <c r="VFW36" s="427"/>
      <c r="VFX36" s="424"/>
      <c r="VFY36" s="427"/>
      <c r="VFZ36" s="424"/>
      <c r="VGA36" s="427"/>
      <c r="VGB36" s="424"/>
      <c r="VGC36" s="427"/>
      <c r="VGD36" s="424"/>
      <c r="VGE36" s="427"/>
      <c r="VGF36" s="424"/>
      <c r="VGG36" s="427"/>
      <c r="VGH36" s="424"/>
      <c r="VGI36" s="427"/>
      <c r="VGJ36" s="424"/>
      <c r="VGK36" s="427"/>
      <c r="VGL36" s="424"/>
      <c r="VGM36" s="427"/>
      <c r="VGN36" s="424"/>
      <c r="VGO36" s="427"/>
      <c r="VGP36" s="424"/>
      <c r="VGQ36" s="427"/>
      <c r="VGR36" s="424"/>
      <c r="VGS36" s="427"/>
      <c r="VGT36" s="424"/>
      <c r="VGU36" s="427"/>
      <c r="VGV36" s="424"/>
      <c r="VGW36" s="427"/>
      <c r="VGX36" s="424"/>
      <c r="VGY36" s="427"/>
      <c r="VGZ36" s="424"/>
      <c r="VHA36" s="427"/>
      <c r="VHB36" s="424"/>
      <c r="VHC36" s="427"/>
      <c r="VHD36" s="424"/>
      <c r="VHE36" s="427"/>
      <c r="VHF36" s="424"/>
      <c r="VHG36" s="427"/>
      <c r="VHH36" s="424"/>
      <c r="VHI36" s="427"/>
      <c r="VHJ36" s="424"/>
      <c r="VHK36" s="427"/>
      <c r="VHL36" s="424"/>
      <c r="VHM36" s="427"/>
      <c r="VHN36" s="424"/>
      <c r="VHO36" s="427"/>
      <c r="VHP36" s="424"/>
      <c r="VHQ36" s="427"/>
      <c r="VHR36" s="424"/>
      <c r="VHS36" s="427"/>
      <c r="VHT36" s="424"/>
      <c r="VHU36" s="427"/>
      <c r="VHV36" s="424"/>
      <c r="VHW36" s="427"/>
      <c r="VHX36" s="424"/>
      <c r="VHY36" s="427"/>
      <c r="VHZ36" s="424"/>
      <c r="VIA36" s="427"/>
      <c r="VIB36" s="424"/>
      <c r="VIC36" s="427"/>
      <c r="VID36" s="424"/>
      <c r="VIE36" s="427"/>
      <c r="VIF36" s="424"/>
      <c r="VIG36" s="427"/>
      <c r="VIH36" s="424"/>
      <c r="VII36" s="427"/>
      <c r="VIJ36" s="424"/>
      <c r="VIK36" s="427"/>
      <c r="VIL36" s="424"/>
      <c r="VIM36" s="427"/>
      <c r="VIN36" s="424"/>
      <c r="VIO36" s="427"/>
      <c r="VIP36" s="424"/>
      <c r="VIQ36" s="427"/>
      <c r="VIR36" s="424"/>
      <c r="VIS36" s="427"/>
      <c r="VIT36" s="424"/>
      <c r="VIU36" s="427"/>
      <c r="VIV36" s="424"/>
      <c r="VIW36" s="427"/>
      <c r="VIX36" s="424"/>
      <c r="VIY36" s="427"/>
      <c r="VIZ36" s="424"/>
      <c r="VJA36" s="427"/>
      <c r="VJB36" s="424"/>
      <c r="VJC36" s="427"/>
      <c r="VJD36" s="424"/>
      <c r="VJE36" s="427"/>
      <c r="VJF36" s="424"/>
      <c r="VJG36" s="427"/>
      <c r="VJH36" s="424"/>
      <c r="VJI36" s="427"/>
      <c r="VJJ36" s="424"/>
      <c r="VJK36" s="427"/>
      <c r="VJL36" s="424"/>
      <c r="VJM36" s="427"/>
      <c r="VJN36" s="424"/>
      <c r="VJO36" s="427"/>
      <c r="VJP36" s="424"/>
      <c r="VJQ36" s="427"/>
      <c r="VJR36" s="424"/>
      <c r="VJS36" s="427"/>
      <c r="VJT36" s="424"/>
      <c r="VJU36" s="427"/>
      <c r="VJV36" s="424"/>
      <c r="VJW36" s="427"/>
      <c r="VJX36" s="424"/>
      <c r="VJY36" s="427"/>
      <c r="VJZ36" s="424"/>
      <c r="VKA36" s="427"/>
      <c r="VKB36" s="424"/>
      <c r="VKC36" s="427"/>
      <c r="VKD36" s="424"/>
      <c r="VKE36" s="427"/>
      <c r="VKF36" s="424"/>
      <c r="VKG36" s="427"/>
      <c r="VKH36" s="424"/>
      <c r="VKI36" s="427"/>
      <c r="VKJ36" s="424"/>
      <c r="VKK36" s="427"/>
      <c r="VKL36" s="424"/>
      <c r="VKM36" s="427"/>
      <c r="VKN36" s="424"/>
      <c r="VKO36" s="427"/>
      <c r="VKP36" s="424"/>
      <c r="VKQ36" s="427"/>
      <c r="VKR36" s="424"/>
      <c r="VKS36" s="427"/>
      <c r="VKT36" s="424"/>
      <c r="VKU36" s="427"/>
      <c r="VKV36" s="424"/>
      <c r="VKW36" s="427"/>
      <c r="VKX36" s="424"/>
      <c r="VKY36" s="427"/>
      <c r="VKZ36" s="424"/>
      <c r="VLA36" s="427"/>
      <c r="VLB36" s="424"/>
      <c r="VLC36" s="427"/>
      <c r="VLD36" s="424"/>
      <c r="VLE36" s="427"/>
      <c r="VLF36" s="424"/>
      <c r="VLG36" s="427"/>
      <c r="VLH36" s="424"/>
      <c r="VLI36" s="427"/>
      <c r="VLJ36" s="424"/>
      <c r="VLK36" s="427"/>
      <c r="VLL36" s="424"/>
      <c r="VLM36" s="427"/>
      <c r="VLN36" s="424"/>
      <c r="VLO36" s="427"/>
      <c r="VLP36" s="424"/>
      <c r="VLQ36" s="427"/>
      <c r="VLR36" s="424"/>
      <c r="VLS36" s="427"/>
      <c r="VLT36" s="424"/>
      <c r="VLU36" s="427"/>
      <c r="VLV36" s="424"/>
      <c r="VLW36" s="427"/>
      <c r="VLX36" s="424"/>
      <c r="VLY36" s="427"/>
      <c r="VLZ36" s="424"/>
      <c r="VMA36" s="427"/>
      <c r="VMB36" s="424"/>
      <c r="VMC36" s="427"/>
      <c r="VMD36" s="424"/>
      <c r="VME36" s="427"/>
      <c r="VMF36" s="424"/>
      <c r="VMG36" s="427"/>
      <c r="VMH36" s="424"/>
      <c r="VMI36" s="427"/>
      <c r="VMJ36" s="424"/>
      <c r="VMK36" s="427"/>
      <c r="VML36" s="424"/>
      <c r="VMM36" s="427"/>
      <c r="VMN36" s="424"/>
      <c r="VMO36" s="427"/>
      <c r="VMP36" s="424"/>
      <c r="VMQ36" s="427"/>
      <c r="VMR36" s="424"/>
      <c r="VMS36" s="427"/>
      <c r="VMT36" s="424"/>
      <c r="VMU36" s="427"/>
      <c r="VMV36" s="424"/>
      <c r="VMW36" s="427"/>
      <c r="VMX36" s="424"/>
      <c r="VMY36" s="427"/>
      <c r="VMZ36" s="424"/>
      <c r="VNA36" s="427"/>
      <c r="VNB36" s="424"/>
      <c r="VNC36" s="427"/>
      <c r="VND36" s="424"/>
      <c r="VNE36" s="427"/>
      <c r="VNF36" s="424"/>
      <c r="VNG36" s="427"/>
      <c r="VNH36" s="424"/>
      <c r="VNI36" s="427"/>
      <c r="VNJ36" s="424"/>
      <c r="VNK36" s="427"/>
      <c r="VNL36" s="424"/>
      <c r="VNM36" s="427"/>
      <c r="VNN36" s="424"/>
      <c r="VNO36" s="427"/>
      <c r="VNP36" s="424"/>
      <c r="VNQ36" s="427"/>
      <c r="VNR36" s="424"/>
      <c r="VNS36" s="427"/>
      <c r="VNT36" s="424"/>
      <c r="VNU36" s="427"/>
      <c r="VNV36" s="424"/>
      <c r="VNW36" s="427"/>
      <c r="VNX36" s="424"/>
      <c r="VNY36" s="427"/>
      <c r="VNZ36" s="424"/>
      <c r="VOA36" s="427"/>
      <c r="VOB36" s="424"/>
      <c r="VOC36" s="427"/>
      <c r="VOD36" s="424"/>
      <c r="VOE36" s="427"/>
      <c r="VOF36" s="424"/>
      <c r="VOG36" s="427"/>
      <c r="VOH36" s="424"/>
      <c r="VOI36" s="427"/>
      <c r="VOJ36" s="424"/>
      <c r="VOK36" s="427"/>
      <c r="VOL36" s="424"/>
      <c r="VOM36" s="427"/>
      <c r="VON36" s="424"/>
      <c r="VOO36" s="427"/>
      <c r="VOP36" s="424"/>
      <c r="VOQ36" s="427"/>
      <c r="VOR36" s="424"/>
      <c r="VOS36" s="427"/>
      <c r="VOT36" s="424"/>
      <c r="VOU36" s="427"/>
      <c r="VOV36" s="424"/>
      <c r="VOW36" s="427"/>
      <c r="VOX36" s="424"/>
      <c r="VOY36" s="427"/>
      <c r="VOZ36" s="424"/>
      <c r="VPA36" s="427"/>
      <c r="VPB36" s="424"/>
      <c r="VPC36" s="427"/>
      <c r="VPD36" s="424"/>
      <c r="VPE36" s="427"/>
      <c r="VPF36" s="424"/>
      <c r="VPG36" s="427"/>
      <c r="VPH36" s="424"/>
      <c r="VPI36" s="427"/>
      <c r="VPJ36" s="424"/>
      <c r="VPK36" s="427"/>
      <c r="VPL36" s="424"/>
      <c r="VPM36" s="427"/>
      <c r="VPN36" s="424"/>
      <c r="VPO36" s="427"/>
      <c r="VPP36" s="424"/>
      <c r="VPQ36" s="427"/>
      <c r="VPR36" s="424"/>
      <c r="VPS36" s="427"/>
      <c r="VPT36" s="424"/>
      <c r="VPU36" s="427"/>
      <c r="VPV36" s="424"/>
      <c r="VPW36" s="427"/>
      <c r="VPX36" s="424"/>
      <c r="VPY36" s="427"/>
      <c r="VPZ36" s="424"/>
      <c r="VQA36" s="427"/>
      <c r="VQB36" s="424"/>
      <c r="VQC36" s="427"/>
      <c r="VQD36" s="424"/>
      <c r="VQE36" s="427"/>
      <c r="VQF36" s="424"/>
      <c r="VQG36" s="427"/>
      <c r="VQH36" s="424"/>
      <c r="VQI36" s="427"/>
      <c r="VQJ36" s="424"/>
      <c r="VQK36" s="427"/>
      <c r="VQL36" s="424"/>
      <c r="VQM36" s="427"/>
      <c r="VQN36" s="424"/>
      <c r="VQO36" s="427"/>
      <c r="VQP36" s="424"/>
      <c r="VQQ36" s="427"/>
      <c r="VQR36" s="424"/>
      <c r="VQS36" s="427"/>
      <c r="VQT36" s="424"/>
      <c r="VQU36" s="427"/>
      <c r="VQV36" s="424"/>
      <c r="VQW36" s="427"/>
      <c r="VQX36" s="424"/>
      <c r="VQY36" s="427"/>
      <c r="VQZ36" s="424"/>
      <c r="VRA36" s="427"/>
      <c r="VRB36" s="424"/>
      <c r="VRC36" s="427"/>
      <c r="VRD36" s="424"/>
      <c r="VRE36" s="427"/>
      <c r="VRF36" s="424"/>
      <c r="VRG36" s="427"/>
      <c r="VRH36" s="424"/>
      <c r="VRI36" s="427"/>
      <c r="VRJ36" s="424"/>
      <c r="VRK36" s="427"/>
      <c r="VRL36" s="424"/>
      <c r="VRM36" s="427"/>
      <c r="VRN36" s="424"/>
      <c r="VRO36" s="427"/>
      <c r="VRP36" s="424"/>
      <c r="VRQ36" s="427"/>
      <c r="VRR36" s="424"/>
      <c r="VRS36" s="427"/>
      <c r="VRT36" s="424"/>
      <c r="VRU36" s="427"/>
      <c r="VRV36" s="424"/>
      <c r="VRW36" s="427"/>
      <c r="VRX36" s="424"/>
      <c r="VRY36" s="427"/>
      <c r="VRZ36" s="424"/>
      <c r="VSA36" s="427"/>
      <c r="VSB36" s="424"/>
      <c r="VSC36" s="427"/>
      <c r="VSD36" s="424"/>
      <c r="VSE36" s="427"/>
      <c r="VSF36" s="424"/>
      <c r="VSG36" s="427"/>
      <c r="VSH36" s="424"/>
      <c r="VSI36" s="427"/>
      <c r="VSJ36" s="424"/>
      <c r="VSK36" s="427"/>
      <c r="VSL36" s="424"/>
      <c r="VSM36" s="427"/>
      <c r="VSN36" s="424"/>
      <c r="VSO36" s="427"/>
      <c r="VSP36" s="424"/>
      <c r="VSQ36" s="427"/>
      <c r="VSR36" s="424"/>
      <c r="VSS36" s="427"/>
      <c r="VST36" s="424"/>
      <c r="VSU36" s="427"/>
      <c r="VSV36" s="424"/>
      <c r="VSW36" s="427"/>
      <c r="VSX36" s="424"/>
      <c r="VSY36" s="427"/>
      <c r="VSZ36" s="424"/>
      <c r="VTA36" s="427"/>
      <c r="VTB36" s="424"/>
      <c r="VTC36" s="427"/>
      <c r="VTD36" s="424"/>
      <c r="VTE36" s="427"/>
      <c r="VTF36" s="424"/>
      <c r="VTG36" s="427"/>
      <c r="VTH36" s="424"/>
      <c r="VTI36" s="427"/>
      <c r="VTJ36" s="424"/>
      <c r="VTK36" s="427"/>
      <c r="VTL36" s="424"/>
      <c r="VTM36" s="427"/>
      <c r="VTN36" s="424"/>
      <c r="VTO36" s="427"/>
      <c r="VTP36" s="424"/>
      <c r="VTQ36" s="427"/>
      <c r="VTR36" s="424"/>
      <c r="VTS36" s="427"/>
      <c r="VTT36" s="424"/>
      <c r="VTU36" s="427"/>
      <c r="VTV36" s="424"/>
      <c r="VTW36" s="427"/>
      <c r="VTX36" s="424"/>
      <c r="VTY36" s="427"/>
      <c r="VTZ36" s="424"/>
      <c r="VUA36" s="427"/>
      <c r="VUB36" s="424"/>
      <c r="VUC36" s="427"/>
      <c r="VUD36" s="424"/>
      <c r="VUE36" s="427"/>
      <c r="VUF36" s="424"/>
      <c r="VUG36" s="427"/>
      <c r="VUH36" s="424"/>
      <c r="VUI36" s="427"/>
      <c r="VUJ36" s="424"/>
      <c r="VUK36" s="427"/>
      <c r="VUL36" s="424"/>
      <c r="VUM36" s="427"/>
      <c r="VUN36" s="424"/>
      <c r="VUO36" s="427"/>
      <c r="VUP36" s="424"/>
      <c r="VUQ36" s="427"/>
      <c r="VUR36" s="424"/>
      <c r="VUS36" s="427"/>
      <c r="VUT36" s="424"/>
      <c r="VUU36" s="427"/>
      <c r="VUV36" s="424"/>
      <c r="VUW36" s="427"/>
      <c r="VUX36" s="424"/>
      <c r="VUY36" s="427"/>
      <c r="VUZ36" s="424"/>
      <c r="VVA36" s="427"/>
      <c r="VVB36" s="424"/>
      <c r="VVC36" s="427"/>
      <c r="VVD36" s="424"/>
      <c r="VVE36" s="427"/>
      <c r="VVF36" s="424"/>
      <c r="VVG36" s="427"/>
      <c r="VVH36" s="424"/>
      <c r="VVI36" s="427"/>
      <c r="VVJ36" s="424"/>
      <c r="VVK36" s="427"/>
      <c r="VVL36" s="424"/>
      <c r="VVM36" s="427"/>
      <c r="VVN36" s="424"/>
      <c r="VVO36" s="427"/>
      <c r="VVP36" s="424"/>
      <c r="VVQ36" s="427"/>
      <c r="VVR36" s="424"/>
      <c r="VVS36" s="427"/>
      <c r="VVT36" s="424"/>
      <c r="VVU36" s="427"/>
      <c r="VVV36" s="424"/>
      <c r="VVW36" s="427"/>
      <c r="VVX36" s="424"/>
      <c r="VVY36" s="427"/>
      <c r="VVZ36" s="424"/>
      <c r="VWA36" s="427"/>
      <c r="VWB36" s="424"/>
      <c r="VWC36" s="427"/>
      <c r="VWD36" s="424"/>
      <c r="VWE36" s="427"/>
      <c r="VWF36" s="424"/>
      <c r="VWG36" s="427"/>
      <c r="VWH36" s="424"/>
      <c r="VWI36" s="427"/>
      <c r="VWJ36" s="424"/>
      <c r="VWK36" s="427"/>
      <c r="VWL36" s="424"/>
      <c r="VWM36" s="427"/>
      <c r="VWN36" s="424"/>
      <c r="VWO36" s="427"/>
      <c r="VWP36" s="424"/>
      <c r="VWQ36" s="427"/>
      <c r="VWR36" s="424"/>
      <c r="VWS36" s="427"/>
      <c r="VWT36" s="424"/>
      <c r="VWU36" s="427"/>
      <c r="VWV36" s="424"/>
      <c r="VWW36" s="427"/>
      <c r="VWX36" s="424"/>
      <c r="VWY36" s="427"/>
      <c r="VWZ36" s="424"/>
      <c r="VXA36" s="427"/>
      <c r="VXB36" s="424"/>
      <c r="VXC36" s="427"/>
      <c r="VXD36" s="424"/>
      <c r="VXE36" s="427"/>
      <c r="VXF36" s="424"/>
      <c r="VXG36" s="427"/>
      <c r="VXH36" s="424"/>
      <c r="VXI36" s="427"/>
      <c r="VXJ36" s="424"/>
      <c r="VXK36" s="427"/>
      <c r="VXL36" s="424"/>
      <c r="VXM36" s="427"/>
      <c r="VXN36" s="424"/>
      <c r="VXO36" s="427"/>
      <c r="VXP36" s="424"/>
      <c r="VXQ36" s="427"/>
      <c r="VXR36" s="424"/>
      <c r="VXS36" s="427"/>
      <c r="VXT36" s="424"/>
      <c r="VXU36" s="427"/>
      <c r="VXV36" s="424"/>
      <c r="VXW36" s="427"/>
      <c r="VXX36" s="424"/>
      <c r="VXY36" s="427"/>
      <c r="VXZ36" s="424"/>
      <c r="VYA36" s="427"/>
      <c r="VYB36" s="424"/>
      <c r="VYC36" s="427"/>
      <c r="VYD36" s="424"/>
      <c r="VYE36" s="427"/>
      <c r="VYF36" s="424"/>
      <c r="VYG36" s="427"/>
      <c r="VYH36" s="424"/>
      <c r="VYI36" s="427"/>
      <c r="VYJ36" s="424"/>
      <c r="VYK36" s="427"/>
      <c r="VYL36" s="424"/>
      <c r="VYM36" s="427"/>
      <c r="VYN36" s="424"/>
      <c r="VYO36" s="427"/>
      <c r="VYP36" s="424"/>
      <c r="VYQ36" s="427"/>
      <c r="VYR36" s="424"/>
      <c r="VYS36" s="427"/>
      <c r="VYT36" s="424"/>
      <c r="VYU36" s="427"/>
      <c r="VYV36" s="424"/>
      <c r="VYW36" s="427"/>
      <c r="VYX36" s="424"/>
      <c r="VYY36" s="427"/>
      <c r="VYZ36" s="424"/>
      <c r="VZA36" s="427"/>
      <c r="VZB36" s="424"/>
      <c r="VZC36" s="427"/>
      <c r="VZD36" s="424"/>
      <c r="VZE36" s="427"/>
      <c r="VZF36" s="424"/>
      <c r="VZG36" s="427"/>
      <c r="VZH36" s="424"/>
      <c r="VZI36" s="427"/>
      <c r="VZJ36" s="424"/>
      <c r="VZK36" s="427"/>
      <c r="VZL36" s="424"/>
      <c r="VZM36" s="427"/>
      <c r="VZN36" s="424"/>
      <c r="VZO36" s="427"/>
      <c r="VZP36" s="424"/>
      <c r="VZQ36" s="427"/>
      <c r="VZR36" s="424"/>
      <c r="VZS36" s="427"/>
      <c r="VZT36" s="424"/>
      <c r="VZU36" s="427"/>
      <c r="VZV36" s="424"/>
      <c r="VZW36" s="427"/>
      <c r="VZX36" s="424"/>
      <c r="VZY36" s="427"/>
      <c r="VZZ36" s="424"/>
      <c r="WAA36" s="427"/>
      <c r="WAB36" s="424"/>
      <c r="WAC36" s="427"/>
      <c r="WAD36" s="424"/>
      <c r="WAE36" s="427"/>
      <c r="WAF36" s="424"/>
      <c r="WAG36" s="427"/>
      <c r="WAH36" s="424"/>
      <c r="WAI36" s="427"/>
      <c r="WAJ36" s="424"/>
      <c r="WAK36" s="427"/>
      <c r="WAL36" s="424"/>
      <c r="WAM36" s="427"/>
      <c r="WAN36" s="424"/>
      <c r="WAO36" s="427"/>
      <c r="WAP36" s="424"/>
      <c r="WAQ36" s="427"/>
      <c r="WAR36" s="424"/>
      <c r="WAS36" s="427"/>
      <c r="WAT36" s="424"/>
      <c r="WAU36" s="427"/>
      <c r="WAV36" s="424"/>
      <c r="WAW36" s="427"/>
      <c r="WAX36" s="424"/>
      <c r="WAY36" s="427"/>
      <c r="WAZ36" s="424"/>
      <c r="WBA36" s="427"/>
      <c r="WBB36" s="424"/>
      <c r="WBC36" s="427"/>
      <c r="WBD36" s="424"/>
      <c r="WBE36" s="427"/>
      <c r="WBF36" s="424"/>
      <c r="WBG36" s="427"/>
      <c r="WBH36" s="424"/>
      <c r="WBI36" s="427"/>
      <c r="WBJ36" s="424"/>
      <c r="WBK36" s="427"/>
      <c r="WBL36" s="424"/>
      <c r="WBM36" s="427"/>
      <c r="WBN36" s="424"/>
      <c r="WBO36" s="427"/>
      <c r="WBP36" s="424"/>
      <c r="WBQ36" s="427"/>
      <c r="WBR36" s="424"/>
      <c r="WBS36" s="427"/>
      <c r="WBT36" s="424"/>
      <c r="WBU36" s="427"/>
      <c r="WBV36" s="424"/>
      <c r="WBW36" s="427"/>
      <c r="WBX36" s="424"/>
      <c r="WBY36" s="427"/>
      <c r="WBZ36" s="424"/>
      <c r="WCA36" s="427"/>
      <c r="WCB36" s="424"/>
      <c r="WCC36" s="427"/>
      <c r="WCD36" s="424"/>
      <c r="WCE36" s="427"/>
      <c r="WCF36" s="424"/>
      <c r="WCG36" s="427"/>
      <c r="WCH36" s="424"/>
      <c r="WCI36" s="427"/>
      <c r="WCJ36" s="424"/>
      <c r="WCK36" s="427"/>
      <c r="WCL36" s="424"/>
      <c r="WCM36" s="427"/>
      <c r="WCN36" s="424"/>
      <c r="WCO36" s="427"/>
      <c r="WCP36" s="424"/>
      <c r="WCQ36" s="427"/>
      <c r="WCR36" s="424"/>
      <c r="WCS36" s="427"/>
      <c r="WCT36" s="424"/>
      <c r="WCU36" s="427"/>
      <c r="WCV36" s="424"/>
      <c r="WCW36" s="427"/>
      <c r="WCX36" s="424"/>
      <c r="WCY36" s="427"/>
      <c r="WCZ36" s="424"/>
      <c r="WDA36" s="427"/>
      <c r="WDB36" s="424"/>
      <c r="WDC36" s="427"/>
      <c r="WDD36" s="424"/>
      <c r="WDE36" s="427"/>
      <c r="WDF36" s="424"/>
      <c r="WDG36" s="427"/>
      <c r="WDH36" s="424"/>
      <c r="WDI36" s="427"/>
      <c r="WDJ36" s="424"/>
      <c r="WDK36" s="427"/>
      <c r="WDL36" s="424"/>
      <c r="WDM36" s="427"/>
      <c r="WDN36" s="424"/>
      <c r="WDO36" s="427"/>
      <c r="WDP36" s="424"/>
      <c r="WDQ36" s="427"/>
      <c r="WDR36" s="424"/>
      <c r="WDS36" s="427"/>
      <c r="WDT36" s="424"/>
      <c r="WDU36" s="427"/>
      <c r="WDV36" s="424"/>
      <c r="WDW36" s="427"/>
      <c r="WDX36" s="424"/>
      <c r="WDY36" s="427"/>
      <c r="WDZ36" s="424"/>
      <c r="WEA36" s="427"/>
      <c r="WEB36" s="424"/>
      <c r="WEC36" s="427"/>
      <c r="WED36" s="424"/>
      <c r="WEE36" s="427"/>
      <c r="WEF36" s="424"/>
      <c r="WEG36" s="427"/>
      <c r="WEH36" s="424"/>
      <c r="WEI36" s="427"/>
      <c r="WEJ36" s="424"/>
      <c r="WEK36" s="427"/>
      <c r="WEL36" s="424"/>
      <c r="WEM36" s="427"/>
      <c r="WEN36" s="424"/>
      <c r="WEO36" s="427"/>
      <c r="WEP36" s="424"/>
      <c r="WEQ36" s="427"/>
      <c r="WER36" s="424"/>
      <c r="WES36" s="427"/>
      <c r="WET36" s="424"/>
      <c r="WEU36" s="427"/>
      <c r="WEV36" s="424"/>
      <c r="WEW36" s="427"/>
      <c r="WEX36" s="424"/>
      <c r="WEY36" s="427"/>
      <c r="WEZ36" s="424"/>
      <c r="WFA36" s="427"/>
      <c r="WFB36" s="424"/>
      <c r="WFC36" s="427"/>
      <c r="WFD36" s="424"/>
      <c r="WFE36" s="427"/>
      <c r="WFF36" s="424"/>
      <c r="WFG36" s="427"/>
      <c r="WFH36" s="424"/>
      <c r="WFI36" s="427"/>
      <c r="WFJ36" s="424"/>
      <c r="WFK36" s="427"/>
      <c r="WFL36" s="424"/>
      <c r="WFM36" s="427"/>
      <c r="WFN36" s="424"/>
      <c r="WFO36" s="427"/>
      <c r="WFP36" s="424"/>
      <c r="WFQ36" s="427"/>
      <c r="WFR36" s="424"/>
      <c r="WFS36" s="427"/>
      <c r="WFT36" s="424"/>
      <c r="WFU36" s="427"/>
      <c r="WFV36" s="424"/>
      <c r="WFW36" s="427"/>
      <c r="WFX36" s="424"/>
      <c r="WFY36" s="427"/>
      <c r="WFZ36" s="424"/>
      <c r="WGA36" s="427"/>
      <c r="WGB36" s="424"/>
      <c r="WGC36" s="427"/>
      <c r="WGD36" s="424"/>
      <c r="WGE36" s="427"/>
      <c r="WGF36" s="424"/>
      <c r="WGG36" s="427"/>
      <c r="WGH36" s="424"/>
      <c r="WGI36" s="427"/>
      <c r="WGJ36" s="424"/>
      <c r="WGK36" s="427"/>
      <c r="WGL36" s="424"/>
      <c r="WGM36" s="427"/>
      <c r="WGN36" s="424"/>
      <c r="WGO36" s="427"/>
      <c r="WGP36" s="424"/>
      <c r="WGQ36" s="427"/>
      <c r="WGR36" s="424"/>
      <c r="WGS36" s="427"/>
      <c r="WGT36" s="424"/>
      <c r="WGU36" s="427"/>
      <c r="WGV36" s="424"/>
      <c r="WGW36" s="427"/>
      <c r="WGX36" s="424"/>
      <c r="WGY36" s="427"/>
      <c r="WGZ36" s="424"/>
      <c r="WHA36" s="427"/>
      <c r="WHB36" s="424"/>
      <c r="WHC36" s="427"/>
      <c r="WHD36" s="424"/>
      <c r="WHE36" s="427"/>
      <c r="WHF36" s="424"/>
      <c r="WHG36" s="427"/>
      <c r="WHH36" s="424"/>
      <c r="WHI36" s="427"/>
      <c r="WHJ36" s="424"/>
      <c r="WHK36" s="427"/>
      <c r="WHL36" s="424"/>
      <c r="WHM36" s="427"/>
      <c r="WHN36" s="424"/>
      <c r="WHO36" s="427"/>
      <c r="WHP36" s="424"/>
      <c r="WHQ36" s="427"/>
      <c r="WHR36" s="424"/>
      <c r="WHS36" s="427"/>
      <c r="WHT36" s="424"/>
      <c r="WHU36" s="427"/>
      <c r="WHV36" s="424"/>
      <c r="WHW36" s="427"/>
      <c r="WHX36" s="424"/>
      <c r="WHY36" s="427"/>
      <c r="WHZ36" s="424"/>
      <c r="WIA36" s="427"/>
      <c r="WIB36" s="424"/>
      <c r="WIC36" s="427"/>
      <c r="WID36" s="424"/>
      <c r="WIE36" s="427"/>
      <c r="WIF36" s="424"/>
      <c r="WIG36" s="427"/>
      <c r="WIH36" s="424"/>
      <c r="WII36" s="427"/>
      <c r="WIJ36" s="424"/>
      <c r="WIK36" s="427"/>
      <c r="WIL36" s="424"/>
      <c r="WIM36" s="427"/>
      <c r="WIN36" s="424"/>
      <c r="WIO36" s="427"/>
      <c r="WIP36" s="424"/>
      <c r="WIQ36" s="427"/>
      <c r="WIR36" s="424"/>
      <c r="WIS36" s="427"/>
      <c r="WIT36" s="424"/>
      <c r="WIU36" s="427"/>
      <c r="WIV36" s="424"/>
      <c r="WIW36" s="427"/>
      <c r="WIX36" s="424"/>
      <c r="WIY36" s="427"/>
      <c r="WIZ36" s="424"/>
      <c r="WJA36" s="427"/>
      <c r="WJB36" s="424"/>
      <c r="WJC36" s="427"/>
      <c r="WJD36" s="424"/>
      <c r="WJE36" s="427"/>
      <c r="WJF36" s="424"/>
      <c r="WJG36" s="427"/>
      <c r="WJH36" s="424"/>
      <c r="WJI36" s="427"/>
      <c r="WJJ36" s="424"/>
      <c r="WJK36" s="427"/>
      <c r="WJL36" s="424"/>
      <c r="WJM36" s="427"/>
      <c r="WJN36" s="424"/>
      <c r="WJO36" s="427"/>
      <c r="WJP36" s="424"/>
      <c r="WJQ36" s="427"/>
      <c r="WJR36" s="424"/>
      <c r="WJS36" s="427"/>
      <c r="WJT36" s="424"/>
      <c r="WJU36" s="427"/>
      <c r="WJV36" s="424"/>
      <c r="WJW36" s="427"/>
      <c r="WJX36" s="424"/>
      <c r="WJY36" s="427"/>
      <c r="WJZ36" s="424"/>
      <c r="WKA36" s="427"/>
      <c r="WKB36" s="424"/>
      <c r="WKC36" s="427"/>
      <c r="WKD36" s="424"/>
      <c r="WKE36" s="427"/>
      <c r="WKF36" s="424"/>
      <c r="WKG36" s="427"/>
      <c r="WKH36" s="424"/>
      <c r="WKI36" s="427"/>
      <c r="WKJ36" s="424"/>
      <c r="WKK36" s="427"/>
      <c r="WKL36" s="424"/>
      <c r="WKM36" s="427"/>
      <c r="WKN36" s="424"/>
      <c r="WKO36" s="427"/>
      <c r="WKP36" s="424"/>
      <c r="WKQ36" s="427"/>
      <c r="WKR36" s="424"/>
      <c r="WKS36" s="427"/>
      <c r="WKT36" s="424"/>
      <c r="WKU36" s="427"/>
      <c r="WKV36" s="424"/>
      <c r="WKW36" s="427"/>
      <c r="WKX36" s="424"/>
      <c r="WKY36" s="427"/>
      <c r="WKZ36" s="424"/>
      <c r="WLA36" s="427"/>
      <c r="WLB36" s="424"/>
      <c r="WLC36" s="427"/>
      <c r="WLD36" s="424"/>
      <c r="WLE36" s="427"/>
      <c r="WLF36" s="424"/>
      <c r="WLG36" s="427"/>
      <c r="WLH36" s="424"/>
      <c r="WLI36" s="427"/>
      <c r="WLJ36" s="424"/>
      <c r="WLK36" s="427"/>
      <c r="WLL36" s="424"/>
      <c r="WLM36" s="427"/>
      <c r="WLN36" s="424"/>
      <c r="WLO36" s="427"/>
      <c r="WLP36" s="424"/>
      <c r="WLQ36" s="427"/>
      <c r="WLR36" s="424"/>
      <c r="WLS36" s="427"/>
      <c r="WLT36" s="424"/>
      <c r="WLU36" s="427"/>
      <c r="WLV36" s="424"/>
      <c r="WLW36" s="427"/>
      <c r="WLX36" s="424"/>
      <c r="WLY36" s="427"/>
      <c r="WLZ36" s="424"/>
      <c r="WMA36" s="427"/>
      <c r="WMB36" s="424"/>
      <c r="WMC36" s="427"/>
      <c r="WMD36" s="424"/>
      <c r="WME36" s="427"/>
      <c r="WMF36" s="424"/>
      <c r="WMG36" s="427"/>
      <c r="WMH36" s="424"/>
      <c r="WMI36" s="427"/>
      <c r="WMJ36" s="424"/>
      <c r="WMK36" s="427"/>
      <c r="WML36" s="424"/>
      <c r="WMM36" s="427"/>
      <c r="WMN36" s="424"/>
      <c r="WMO36" s="427"/>
      <c r="WMP36" s="424"/>
      <c r="WMQ36" s="427"/>
      <c r="WMR36" s="424"/>
      <c r="WMS36" s="427"/>
      <c r="WMT36" s="424"/>
      <c r="WMU36" s="427"/>
      <c r="WMV36" s="424"/>
      <c r="WMW36" s="427"/>
      <c r="WMX36" s="424"/>
      <c r="WMY36" s="427"/>
      <c r="WMZ36" s="424"/>
      <c r="WNA36" s="427"/>
      <c r="WNB36" s="424"/>
      <c r="WNC36" s="427"/>
      <c r="WND36" s="424"/>
      <c r="WNE36" s="427"/>
      <c r="WNF36" s="424"/>
      <c r="WNG36" s="427"/>
      <c r="WNH36" s="424"/>
      <c r="WNI36" s="427"/>
      <c r="WNJ36" s="424"/>
      <c r="WNK36" s="427"/>
      <c r="WNL36" s="424"/>
      <c r="WNM36" s="427"/>
      <c r="WNN36" s="424"/>
      <c r="WNO36" s="427"/>
      <c r="WNP36" s="424"/>
      <c r="WNQ36" s="427"/>
      <c r="WNR36" s="424"/>
      <c r="WNS36" s="427"/>
      <c r="WNT36" s="424"/>
      <c r="WNU36" s="427"/>
      <c r="WNV36" s="424"/>
      <c r="WNW36" s="427"/>
      <c r="WNX36" s="424"/>
      <c r="WNY36" s="427"/>
      <c r="WNZ36" s="424"/>
      <c r="WOA36" s="427"/>
      <c r="WOB36" s="424"/>
      <c r="WOC36" s="427"/>
      <c r="WOD36" s="424"/>
      <c r="WOE36" s="427"/>
      <c r="WOF36" s="424"/>
      <c r="WOG36" s="427"/>
      <c r="WOH36" s="424"/>
      <c r="WOI36" s="427"/>
      <c r="WOJ36" s="424"/>
      <c r="WOK36" s="427"/>
      <c r="WOL36" s="424"/>
      <c r="WOM36" s="427"/>
      <c r="WON36" s="424"/>
      <c r="WOO36" s="427"/>
      <c r="WOP36" s="424"/>
      <c r="WOQ36" s="427"/>
      <c r="WOR36" s="424"/>
      <c r="WOS36" s="427"/>
      <c r="WOT36" s="424"/>
      <c r="WOU36" s="427"/>
      <c r="WOV36" s="424"/>
      <c r="WOW36" s="427"/>
      <c r="WOX36" s="424"/>
      <c r="WOY36" s="427"/>
      <c r="WOZ36" s="424"/>
      <c r="WPA36" s="427"/>
      <c r="WPB36" s="424"/>
      <c r="WPC36" s="427"/>
      <c r="WPD36" s="424"/>
      <c r="WPE36" s="427"/>
      <c r="WPF36" s="424"/>
      <c r="WPG36" s="427"/>
      <c r="WPH36" s="424"/>
      <c r="WPI36" s="427"/>
      <c r="WPJ36" s="424"/>
      <c r="WPK36" s="427"/>
      <c r="WPL36" s="424"/>
      <c r="WPM36" s="427"/>
      <c r="WPN36" s="424"/>
      <c r="WPO36" s="427"/>
      <c r="WPP36" s="424"/>
      <c r="WPQ36" s="427"/>
      <c r="WPR36" s="424"/>
      <c r="WPS36" s="427"/>
      <c r="WPT36" s="424"/>
      <c r="WPU36" s="427"/>
      <c r="WPV36" s="424"/>
      <c r="WPW36" s="427"/>
      <c r="WPX36" s="424"/>
      <c r="WPY36" s="427"/>
      <c r="WPZ36" s="424"/>
      <c r="WQA36" s="427"/>
      <c r="WQB36" s="424"/>
      <c r="WQC36" s="427"/>
      <c r="WQD36" s="424"/>
      <c r="WQE36" s="427"/>
      <c r="WQF36" s="424"/>
      <c r="WQG36" s="427"/>
      <c r="WQH36" s="424"/>
      <c r="WQI36" s="427"/>
      <c r="WQJ36" s="424"/>
      <c r="WQK36" s="427"/>
      <c r="WQL36" s="424"/>
      <c r="WQM36" s="427"/>
      <c r="WQN36" s="424"/>
      <c r="WQO36" s="427"/>
      <c r="WQP36" s="424"/>
      <c r="WQQ36" s="427"/>
      <c r="WQR36" s="424"/>
      <c r="WQS36" s="427"/>
      <c r="WQT36" s="424"/>
      <c r="WQU36" s="427"/>
      <c r="WQV36" s="424"/>
      <c r="WQW36" s="427"/>
      <c r="WQX36" s="424"/>
      <c r="WQY36" s="427"/>
      <c r="WQZ36" s="424"/>
      <c r="WRA36" s="427"/>
      <c r="WRB36" s="424"/>
      <c r="WRC36" s="427"/>
      <c r="WRD36" s="424"/>
      <c r="WRE36" s="427"/>
      <c r="WRF36" s="424"/>
      <c r="WRG36" s="427"/>
      <c r="WRH36" s="424"/>
      <c r="WRI36" s="427"/>
      <c r="WRJ36" s="424"/>
      <c r="WRK36" s="427"/>
      <c r="WRL36" s="424"/>
      <c r="WRM36" s="427"/>
      <c r="WRN36" s="424"/>
      <c r="WRO36" s="427"/>
      <c r="WRP36" s="424"/>
      <c r="WRQ36" s="427"/>
      <c r="WRR36" s="424"/>
      <c r="WRS36" s="427"/>
      <c r="WRT36" s="424"/>
      <c r="WRU36" s="427"/>
      <c r="WRV36" s="424"/>
      <c r="WRW36" s="427"/>
      <c r="WRX36" s="424"/>
      <c r="WRY36" s="427"/>
      <c r="WRZ36" s="424"/>
      <c r="WSA36" s="427"/>
      <c r="WSB36" s="424"/>
      <c r="WSC36" s="427"/>
      <c r="WSD36" s="424"/>
      <c r="WSE36" s="427"/>
      <c r="WSF36" s="424"/>
      <c r="WSG36" s="427"/>
      <c r="WSH36" s="424"/>
      <c r="WSI36" s="427"/>
      <c r="WSJ36" s="424"/>
      <c r="WSK36" s="427"/>
      <c r="WSL36" s="424"/>
      <c r="WSM36" s="427"/>
      <c r="WSN36" s="424"/>
      <c r="WSO36" s="427"/>
      <c r="WSP36" s="424"/>
      <c r="WSQ36" s="427"/>
      <c r="WSR36" s="424"/>
      <c r="WSS36" s="427"/>
      <c r="WST36" s="424"/>
      <c r="WSU36" s="427"/>
      <c r="WSV36" s="424"/>
      <c r="WSW36" s="427"/>
      <c r="WSX36" s="424"/>
      <c r="WSY36" s="427"/>
      <c r="WSZ36" s="424"/>
      <c r="WTA36" s="427"/>
      <c r="WTB36" s="424"/>
      <c r="WTC36" s="427"/>
      <c r="WTD36" s="424"/>
      <c r="WTE36" s="427"/>
      <c r="WTF36" s="424"/>
      <c r="WTG36" s="427"/>
      <c r="WTH36" s="424"/>
      <c r="WTI36" s="427"/>
      <c r="WTJ36" s="424"/>
      <c r="WTK36" s="427"/>
      <c r="WTL36" s="424"/>
      <c r="WTM36" s="427"/>
      <c r="WTN36" s="424"/>
      <c r="WTO36" s="427"/>
      <c r="WTP36" s="424"/>
      <c r="WTQ36" s="427"/>
      <c r="WTR36" s="424"/>
      <c r="WTS36" s="427"/>
      <c r="WTT36" s="424"/>
      <c r="WTU36" s="427"/>
      <c r="WTV36" s="424"/>
      <c r="WTW36" s="427"/>
      <c r="WTX36" s="424"/>
      <c r="WTY36" s="427"/>
      <c r="WTZ36" s="424"/>
      <c r="WUA36" s="427"/>
      <c r="WUB36" s="424"/>
      <c r="WUC36" s="427"/>
      <c r="WUD36" s="424"/>
      <c r="WUE36" s="427"/>
      <c r="WUF36" s="424"/>
      <c r="WUG36" s="427"/>
      <c r="WUH36" s="424"/>
      <c r="WUI36" s="427"/>
      <c r="WUJ36" s="424"/>
      <c r="WUK36" s="427"/>
      <c r="WUL36" s="424"/>
      <c r="WUM36" s="427"/>
      <c r="WUN36" s="424"/>
      <c r="WUO36" s="427"/>
      <c r="WUP36" s="424"/>
      <c r="WUQ36" s="427"/>
      <c r="WUR36" s="424"/>
      <c r="WUS36" s="427"/>
      <c r="WUT36" s="424"/>
      <c r="WUU36" s="427"/>
      <c r="WUV36" s="424"/>
      <c r="WUW36" s="427"/>
      <c r="WUX36" s="424"/>
      <c r="WUY36" s="427"/>
      <c r="WUZ36" s="424"/>
      <c r="WVA36" s="427"/>
      <c r="WVB36" s="424"/>
      <c r="WVC36" s="427"/>
      <c r="WVD36" s="424"/>
      <c r="WVE36" s="427"/>
      <c r="WVF36" s="424"/>
      <c r="WVG36" s="427"/>
      <c r="WVH36" s="424"/>
      <c r="WVI36" s="427"/>
      <c r="WVJ36" s="424"/>
      <c r="WVK36" s="427"/>
      <c r="WVL36" s="424"/>
      <c r="WVM36" s="427"/>
      <c r="WVN36" s="424"/>
      <c r="WVO36" s="427"/>
      <c r="WVP36" s="424"/>
      <c r="WVQ36" s="427"/>
      <c r="WVR36" s="424"/>
      <c r="WVS36" s="427"/>
      <c r="WVT36" s="424"/>
      <c r="WVU36" s="427"/>
      <c r="WVV36" s="424"/>
      <c r="WVW36" s="427"/>
      <c r="WVX36" s="424"/>
      <c r="WVY36" s="427"/>
      <c r="WVZ36" s="424"/>
      <c r="WWA36" s="427"/>
      <c r="WWB36" s="424"/>
      <c r="WWC36" s="427"/>
      <c r="WWD36" s="424"/>
      <c r="WWE36" s="427"/>
      <c r="WWF36" s="424"/>
      <c r="WWG36" s="427"/>
      <c r="WWH36" s="424"/>
      <c r="WWI36" s="427"/>
      <c r="WWJ36" s="424"/>
      <c r="WWK36" s="427"/>
      <c r="WWL36" s="424"/>
      <c r="WWM36" s="427"/>
      <c r="WWN36" s="424"/>
      <c r="WWO36" s="427"/>
      <c r="WWP36" s="424"/>
      <c r="WWQ36" s="427"/>
      <c r="WWR36" s="424"/>
      <c r="WWS36" s="427"/>
      <c r="WWT36" s="424"/>
      <c r="WWU36" s="427"/>
      <c r="WWV36" s="424"/>
      <c r="WWW36" s="427"/>
      <c r="WWX36" s="424"/>
      <c r="WWY36" s="427"/>
      <c r="WWZ36" s="424"/>
      <c r="WXA36" s="427"/>
      <c r="WXB36" s="424"/>
      <c r="WXC36" s="427"/>
      <c r="WXD36" s="424"/>
      <c r="WXE36" s="427"/>
      <c r="WXF36" s="424"/>
      <c r="WXG36" s="427"/>
      <c r="WXH36" s="424"/>
      <c r="WXI36" s="427"/>
      <c r="WXJ36" s="424"/>
      <c r="WXK36" s="427"/>
      <c r="WXL36" s="424"/>
      <c r="WXM36" s="427"/>
      <c r="WXN36" s="424"/>
      <c r="WXO36" s="427"/>
      <c r="WXP36" s="424"/>
      <c r="WXQ36" s="427"/>
      <c r="WXR36" s="424"/>
      <c r="WXS36" s="427"/>
      <c r="WXT36" s="424"/>
      <c r="WXU36" s="427"/>
      <c r="WXV36" s="424"/>
      <c r="WXW36" s="427"/>
      <c r="WXX36" s="424"/>
      <c r="WXY36" s="427"/>
      <c r="WXZ36" s="424"/>
      <c r="WYA36" s="427"/>
      <c r="WYB36" s="424"/>
      <c r="WYC36" s="427"/>
      <c r="WYD36" s="424"/>
      <c r="WYE36" s="427"/>
      <c r="WYF36" s="424"/>
      <c r="WYG36" s="427"/>
      <c r="WYH36" s="424"/>
      <c r="WYI36" s="427"/>
      <c r="WYJ36" s="424"/>
      <c r="WYK36" s="427"/>
      <c r="WYL36" s="424"/>
      <c r="WYM36" s="427"/>
      <c r="WYN36" s="424"/>
      <c r="WYO36" s="427"/>
      <c r="WYP36" s="424"/>
      <c r="WYQ36" s="427"/>
      <c r="WYR36" s="424"/>
      <c r="WYS36" s="427"/>
      <c r="WYT36" s="424"/>
      <c r="WYU36" s="427"/>
      <c r="WYV36" s="424"/>
      <c r="WYW36" s="427"/>
      <c r="WYX36" s="424"/>
      <c r="WYY36" s="427"/>
      <c r="WYZ36" s="424"/>
      <c r="WZA36" s="427"/>
      <c r="WZB36" s="424"/>
      <c r="WZC36" s="427"/>
      <c r="WZD36" s="424"/>
      <c r="WZE36" s="427"/>
      <c r="WZF36" s="424"/>
      <c r="WZG36" s="427"/>
      <c r="WZH36" s="424"/>
      <c r="WZI36" s="427"/>
      <c r="WZJ36" s="424"/>
      <c r="WZK36" s="427"/>
      <c r="WZL36" s="424"/>
      <c r="WZM36" s="427"/>
      <c r="WZN36" s="424"/>
      <c r="WZO36" s="427"/>
      <c r="WZP36" s="424"/>
      <c r="WZQ36" s="427"/>
      <c r="WZR36" s="424"/>
      <c r="WZS36" s="427"/>
      <c r="WZT36" s="424"/>
      <c r="WZU36" s="427"/>
      <c r="WZV36" s="424"/>
      <c r="WZW36" s="427"/>
      <c r="WZX36" s="424"/>
      <c r="WZY36" s="427"/>
      <c r="WZZ36" s="424"/>
      <c r="XAA36" s="427"/>
      <c r="XAB36" s="424"/>
      <c r="XAC36" s="427"/>
      <c r="XAD36" s="424"/>
      <c r="XAE36" s="427"/>
      <c r="XAF36" s="424"/>
      <c r="XAG36" s="427"/>
      <c r="XAH36" s="424"/>
      <c r="XAI36" s="427"/>
      <c r="XAJ36" s="424"/>
      <c r="XAK36" s="427"/>
      <c r="XAL36" s="424"/>
      <c r="XAM36" s="427"/>
      <c r="XAN36" s="424"/>
      <c r="XAO36" s="427"/>
      <c r="XAP36" s="424"/>
      <c r="XAQ36" s="427"/>
      <c r="XAR36" s="424"/>
      <c r="XAS36" s="427"/>
      <c r="XAT36" s="424"/>
      <c r="XAU36" s="427"/>
      <c r="XAV36" s="424"/>
      <c r="XAW36" s="427"/>
      <c r="XAX36" s="424"/>
      <c r="XAY36" s="427"/>
      <c r="XAZ36" s="424"/>
      <c r="XBA36" s="427"/>
      <c r="XBB36" s="424"/>
      <c r="XBC36" s="427"/>
      <c r="XBD36" s="424"/>
      <c r="XBE36" s="427"/>
      <c r="XBF36" s="424"/>
      <c r="XBG36" s="427"/>
      <c r="XBH36" s="424"/>
      <c r="XBI36" s="427"/>
      <c r="XBJ36" s="424"/>
      <c r="XBK36" s="427"/>
      <c r="XBL36" s="424"/>
      <c r="XBM36" s="427"/>
      <c r="XBN36" s="424"/>
      <c r="XBO36" s="427"/>
      <c r="XBP36" s="424"/>
      <c r="XBQ36" s="427"/>
      <c r="XBR36" s="424"/>
      <c r="XBS36" s="427"/>
      <c r="XBT36" s="424"/>
      <c r="XBU36" s="427"/>
      <c r="XBV36" s="424"/>
      <c r="XBW36" s="427"/>
      <c r="XBX36" s="424"/>
      <c r="XBY36" s="427"/>
      <c r="XBZ36" s="424"/>
      <c r="XCA36" s="427"/>
      <c r="XCB36" s="424"/>
      <c r="XCC36" s="427"/>
      <c r="XCD36" s="424"/>
      <c r="XCE36" s="427"/>
      <c r="XCF36" s="424"/>
      <c r="XCG36" s="427"/>
      <c r="XCH36" s="424"/>
      <c r="XCI36" s="427"/>
      <c r="XCJ36" s="424"/>
      <c r="XCK36" s="427"/>
      <c r="XCL36" s="424"/>
      <c r="XCM36" s="427"/>
      <c r="XCN36" s="424"/>
      <c r="XCO36" s="427"/>
      <c r="XCP36" s="424"/>
      <c r="XCQ36" s="427"/>
      <c r="XCR36" s="424"/>
      <c r="XCS36" s="427"/>
      <c r="XCT36" s="424"/>
      <c r="XCU36" s="427"/>
      <c r="XCV36" s="424"/>
      <c r="XCW36" s="427"/>
      <c r="XCX36" s="424"/>
      <c r="XCY36" s="427"/>
      <c r="XCZ36" s="424"/>
      <c r="XDA36" s="427"/>
      <c r="XDB36" s="424"/>
      <c r="XDC36" s="427"/>
      <c r="XDD36" s="424"/>
      <c r="XDE36" s="427"/>
      <c r="XDF36" s="424"/>
      <c r="XDG36" s="427"/>
      <c r="XDH36" s="424"/>
      <c r="XDI36" s="427"/>
      <c r="XDJ36" s="424"/>
      <c r="XDK36" s="427"/>
      <c r="XDL36" s="424"/>
      <c r="XDM36" s="427"/>
      <c r="XDN36" s="424"/>
      <c r="XDO36" s="427"/>
      <c r="XDP36" s="424"/>
      <c r="XDQ36" s="427"/>
      <c r="XDR36" s="424"/>
      <c r="XDS36" s="427"/>
      <c r="XDT36" s="424"/>
      <c r="XDU36" s="427"/>
      <c r="XDV36" s="424"/>
      <c r="XDW36" s="427"/>
      <c r="XDX36" s="424"/>
      <c r="XDY36" s="427"/>
      <c r="XDZ36" s="424"/>
      <c r="XEA36" s="427"/>
      <c r="XEB36" s="424"/>
      <c r="XEC36" s="427"/>
      <c r="XED36" s="424"/>
      <c r="XEE36" s="427"/>
      <c r="XEF36" s="424"/>
      <c r="XEG36" s="427"/>
      <c r="XEH36" s="424"/>
      <c r="XEI36" s="427"/>
      <c r="XEJ36" s="424"/>
      <c r="XEK36" s="427"/>
      <c r="XEL36" s="424"/>
      <c r="XEM36" s="427"/>
      <c r="XEN36" s="424"/>
      <c r="XEO36" s="427"/>
      <c r="XEP36" s="424"/>
      <c r="XEQ36" s="427"/>
      <c r="XER36" s="424"/>
      <c r="XES36" s="427"/>
      <c r="XET36" s="424"/>
      <c r="XEU36" s="427"/>
      <c r="XEV36" s="424"/>
      <c r="XEW36" s="427"/>
      <c r="XEX36" s="424"/>
      <c r="XEY36" s="427"/>
      <c r="XEZ36" s="424"/>
      <c r="XFA36" s="427"/>
      <c r="XFB36" s="424"/>
      <c r="XFC36" s="427"/>
      <c r="XFD36" s="424"/>
    </row>
    <row r="37" spans="2:16384" ht="72.5" customHeight="1" x14ac:dyDescent="0.3">
      <c r="B37" s="369" t="s">
        <v>1223</v>
      </c>
      <c r="C37" s="363"/>
      <c r="D37" s="363"/>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c r="AG37" s="359"/>
      <c r="AH37" s="359"/>
      <c r="AI37" s="359"/>
      <c r="AJ37" s="359"/>
      <c r="AK37" s="359"/>
      <c r="AL37" s="359"/>
      <c r="AM37" s="359"/>
      <c r="AN37" s="359"/>
      <c r="AO37" s="359"/>
      <c r="AP37" s="359"/>
      <c r="AQ37" s="359"/>
      <c r="AR37" s="359"/>
      <c r="AS37" s="359"/>
      <c r="AT37" s="359"/>
      <c r="AU37" s="359"/>
      <c r="AV37" s="359"/>
      <c r="AW37" s="359"/>
      <c r="AX37" s="359"/>
      <c r="AY37" s="359"/>
      <c r="AZ37" s="359"/>
      <c r="BA37" s="359"/>
      <c r="BB37" s="359"/>
      <c r="BC37" s="359"/>
      <c r="BD37" s="359"/>
      <c r="BE37" s="359"/>
      <c r="BF37" s="359"/>
      <c r="BG37" s="359"/>
      <c r="BH37" s="359"/>
      <c r="BI37" s="359"/>
      <c r="BJ37" s="359"/>
      <c r="BK37" s="359"/>
      <c r="BL37" s="359"/>
      <c r="BM37" s="359"/>
      <c r="BN37" s="359"/>
      <c r="BO37" s="359"/>
      <c r="BP37" s="359"/>
      <c r="BQ37" s="359"/>
      <c r="BR37" s="359"/>
      <c r="BS37" s="359"/>
      <c r="BT37" s="359"/>
      <c r="BU37" s="359"/>
      <c r="BV37" s="359"/>
      <c r="BW37" s="426"/>
      <c r="BX37" s="424"/>
      <c r="BY37" s="426"/>
      <c r="BZ37" s="424"/>
      <c r="CA37" s="426"/>
      <c r="CB37" s="424"/>
      <c r="CC37" s="426"/>
      <c r="CD37" s="424"/>
      <c r="CE37" s="426"/>
      <c r="CF37" s="424"/>
      <c r="CG37" s="426"/>
      <c r="CH37" s="424"/>
      <c r="CI37" s="426"/>
      <c r="CJ37" s="424"/>
      <c r="CK37" s="426"/>
      <c r="CL37" s="424"/>
      <c r="CM37" s="426"/>
      <c r="CN37" s="424"/>
      <c r="CO37" s="426"/>
      <c r="CP37" s="424"/>
      <c r="CQ37" s="426"/>
      <c r="CR37" s="424"/>
      <c r="CS37" s="426"/>
      <c r="CT37" s="424"/>
      <c r="CU37" s="426"/>
      <c r="CV37" s="424"/>
      <c r="CW37" s="426"/>
      <c r="CX37" s="424"/>
      <c r="CY37" s="426"/>
      <c r="CZ37" s="424"/>
      <c r="DA37" s="426"/>
      <c r="DB37" s="424"/>
      <c r="DC37" s="426"/>
      <c r="DD37" s="424"/>
      <c r="DE37" s="426"/>
      <c r="DF37" s="424"/>
      <c r="DG37" s="426"/>
      <c r="DH37" s="424"/>
      <c r="DI37" s="426"/>
      <c r="DJ37" s="424"/>
      <c r="DK37" s="426"/>
      <c r="DL37" s="424"/>
      <c r="DM37" s="426"/>
      <c r="DN37" s="424"/>
      <c r="DO37" s="426"/>
      <c r="DP37" s="424"/>
      <c r="DQ37" s="426"/>
      <c r="DR37" s="424"/>
      <c r="DS37" s="426"/>
      <c r="DT37" s="424"/>
      <c r="DU37" s="426"/>
      <c r="DV37" s="424"/>
      <c r="DW37" s="426"/>
      <c r="DX37" s="424"/>
      <c r="DY37" s="426"/>
      <c r="DZ37" s="424"/>
      <c r="EA37" s="426"/>
      <c r="EB37" s="424"/>
      <c r="EC37" s="426"/>
      <c r="ED37" s="424"/>
      <c r="EE37" s="426"/>
      <c r="EF37" s="424"/>
      <c r="EG37" s="426"/>
      <c r="EH37" s="424"/>
      <c r="EI37" s="426"/>
      <c r="EJ37" s="424"/>
      <c r="EK37" s="426"/>
      <c r="EL37" s="424"/>
      <c r="EM37" s="426"/>
      <c r="EN37" s="424"/>
      <c r="EO37" s="426"/>
      <c r="EP37" s="424"/>
      <c r="EQ37" s="426"/>
      <c r="ER37" s="424"/>
      <c r="ES37" s="426"/>
      <c r="ET37" s="424"/>
      <c r="EU37" s="426"/>
      <c r="EV37" s="424"/>
      <c r="EW37" s="426"/>
      <c r="EX37" s="424"/>
      <c r="EY37" s="426"/>
      <c r="EZ37" s="424"/>
      <c r="FA37" s="426"/>
      <c r="FB37" s="424"/>
      <c r="FC37" s="426"/>
      <c r="FD37" s="424"/>
      <c r="FE37" s="426"/>
      <c r="FF37" s="424"/>
      <c r="FG37" s="426"/>
      <c r="FH37" s="424"/>
      <c r="FI37" s="426"/>
      <c r="FJ37" s="424"/>
      <c r="FK37" s="426"/>
      <c r="FL37" s="424"/>
      <c r="FM37" s="426"/>
      <c r="FN37" s="424"/>
      <c r="FO37" s="426"/>
      <c r="FP37" s="424"/>
      <c r="FQ37" s="426"/>
      <c r="FR37" s="424"/>
      <c r="FS37" s="426"/>
      <c r="FT37" s="424"/>
      <c r="FU37" s="426"/>
      <c r="FV37" s="424"/>
      <c r="FW37" s="426"/>
      <c r="FX37" s="424"/>
      <c r="FY37" s="426"/>
      <c r="FZ37" s="424"/>
      <c r="GA37" s="426"/>
      <c r="GB37" s="424"/>
      <c r="GC37" s="426"/>
      <c r="GD37" s="424"/>
      <c r="GE37" s="426"/>
      <c r="GF37" s="424"/>
      <c r="GG37" s="426"/>
      <c r="GH37" s="424"/>
      <c r="GI37" s="426"/>
      <c r="GJ37" s="424"/>
      <c r="GK37" s="426"/>
      <c r="GL37" s="424"/>
      <c r="GM37" s="426"/>
      <c r="GN37" s="424"/>
      <c r="GO37" s="426"/>
      <c r="GP37" s="424"/>
      <c r="GQ37" s="426"/>
      <c r="GR37" s="424"/>
      <c r="GS37" s="426"/>
      <c r="GT37" s="424"/>
      <c r="GU37" s="426"/>
      <c r="GV37" s="424"/>
      <c r="GW37" s="426"/>
      <c r="GX37" s="424"/>
      <c r="GY37" s="426"/>
      <c r="GZ37" s="424"/>
      <c r="HA37" s="426"/>
      <c r="HB37" s="424"/>
      <c r="HC37" s="426"/>
      <c r="HD37" s="424"/>
      <c r="HE37" s="426"/>
      <c r="HF37" s="424"/>
      <c r="HG37" s="426"/>
      <c r="HH37" s="424"/>
      <c r="HI37" s="426"/>
      <c r="HJ37" s="424"/>
      <c r="HK37" s="426"/>
      <c r="HL37" s="424"/>
      <c r="HM37" s="426"/>
      <c r="HN37" s="424"/>
      <c r="HO37" s="426"/>
      <c r="HP37" s="424"/>
      <c r="HQ37" s="426"/>
      <c r="HR37" s="424"/>
      <c r="HS37" s="426"/>
      <c r="HT37" s="424"/>
      <c r="HU37" s="426"/>
      <c r="HV37" s="424"/>
      <c r="HW37" s="426"/>
      <c r="HX37" s="424"/>
      <c r="HY37" s="426"/>
      <c r="HZ37" s="424"/>
      <c r="IA37" s="426"/>
      <c r="IB37" s="424"/>
      <c r="IC37" s="426"/>
      <c r="ID37" s="424"/>
      <c r="IE37" s="426"/>
      <c r="IF37" s="424"/>
      <c r="IG37" s="426"/>
      <c r="IH37" s="424"/>
      <c r="II37" s="426"/>
      <c r="IJ37" s="424"/>
      <c r="IK37" s="426"/>
      <c r="IL37" s="424"/>
      <c r="IM37" s="426"/>
      <c r="IN37" s="424"/>
      <c r="IO37" s="426"/>
      <c r="IP37" s="424"/>
      <c r="IQ37" s="426"/>
      <c r="IR37" s="424"/>
      <c r="IS37" s="426"/>
      <c r="IT37" s="424"/>
      <c r="IU37" s="426"/>
      <c r="IV37" s="424"/>
      <c r="IW37" s="426"/>
      <c r="IX37" s="424"/>
      <c r="IY37" s="426"/>
      <c r="IZ37" s="424"/>
      <c r="JA37" s="426"/>
      <c r="JB37" s="424"/>
      <c r="JC37" s="426"/>
      <c r="JD37" s="424"/>
      <c r="JE37" s="426"/>
      <c r="JF37" s="424"/>
      <c r="JG37" s="426"/>
      <c r="JH37" s="424"/>
      <c r="JI37" s="426"/>
      <c r="JJ37" s="424"/>
      <c r="JK37" s="426"/>
      <c r="JL37" s="424"/>
      <c r="JM37" s="426"/>
      <c r="JN37" s="424"/>
      <c r="JO37" s="426"/>
      <c r="JP37" s="424"/>
      <c r="JQ37" s="426"/>
      <c r="JR37" s="424"/>
      <c r="JS37" s="426"/>
      <c r="JT37" s="424"/>
      <c r="JU37" s="426"/>
      <c r="JV37" s="424"/>
      <c r="JW37" s="426"/>
      <c r="JX37" s="424"/>
      <c r="JY37" s="426"/>
      <c r="JZ37" s="424"/>
      <c r="KA37" s="426"/>
      <c r="KB37" s="424"/>
      <c r="KC37" s="426"/>
      <c r="KD37" s="424"/>
      <c r="KE37" s="426"/>
      <c r="KF37" s="424"/>
      <c r="KG37" s="426"/>
      <c r="KH37" s="424"/>
      <c r="KI37" s="426"/>
      <c r="KJ37" s="424"/>
      <c r="KK37" s="426"/>
      <c r="KL37" s="424"/>
      <c r="KM37" s="426"/>
      <c r="KN37" s="424"/>
      <c r="KO37" s="426"/>
      <c r="KP37" s="424"/>
      <c r="KQ37" s="426"/>
      <c r="KR37" s="424"/>
      <c r="KS37" s="426"/>
      <c r="KT37" s="424"/>
      <c r="KU37" s="426"/>
      <c r="KV37" s="424"/>
      <c r="KW37" s="426"/>
      <c r="KX37" s="424"/>
      <c r="KY37" s="426"/>
      <c r="KZ37" s="424"/>
      <c r="LA37" s="426"/>
      <c r="LB37" s="424"/>
      <c r="LC37" s="426"/>
      <c r="LD37" s="424"/>
      <c r="LE37" s="426"/>
      <c r="LF37" s="424"/>
      <c r="LG37" s="426"/>
      <c r="LH37" s="424"/>
      <c r="LI37" s="426"/>
      <c r="LJ37" s="424"/>
      <c r="LK37" s="426"/>
      <c r="LL37" s="424"/>
      <c r="LM37" s="426"/>
      <c r="LN37" s="424"/>
      <c r="LO37" s="426"/>
      <c r="LP37" s="424"/>
      <c r="LQ37" s="426"/>
      <c r="LR37" s="424"/>
      <c r="LS37" s="426"/>
      <c r="LT37" s="424"/>
      <c r="LU37" s="426"/>
      <c r="LV37" s="424"/>
      <c r="LW37" s="426"/>
      <c r="LX37" s="424"/>
      <c r="LY37" s="426"/>
      <c r="LZ37" s="424"/>
      <c r="MA37" s="426"/>
      <c r="MB37" s="424"/>
      <c r="MC37" s="426"/>
      <c r="MD37" s="424"/>
      <c r="ME37" s="426"/>
      <c r="MF37" s="424"/>
      <c r="MG37" s="426"/>
      <c r="MH37" s="424"/>
      <c r="MI37" s="426"/>
      <c r="MJ37" s="424"/>
      <c r="MK37" s="426"/>
      <c r="ML37" s="424"/>
      <c r="MM37" s="426"/>
      <c r="MN37" s="424"/>
      <c r="MO37" s="426"/>
      <c r="MP37" s="424"/>
      <c r="MQ37" s="426"/>
      <c r="MR37" s="424"/>
      <c r="MS37" s="426"/>
      <c r="MT37" s="424"/>
      <c r="MU37" s="426"/>
      <c r="MV37" s="424"/>
      <c r="MW37" s="426"/>
      <c r="MX37" s="424"/>
      <c r="MY37" s="426"/>
      <c r="MZ37" s="424"/>
      <c r="NA37" s="426"/>
      <c r="NB37" s="424"/>
      <c r="NC37" s="426"/>
      <c r="ND37" s="424"/>
      <c r="NE37" s="426"/>
      <c r="NF37" s="424"/>
      <c r="NG37" s="426"/>
      <c r="NH37" s="424"/>
      <c r="NI37" s="426"/>
      <c r="NJ37" s="424"/>
      <c r="NK37" s="426"/>
      <c r="NL37" s="424"/>
      <c r="NM37" s="426"/>
      <c r="NN37" s="424"/>
      <c r="NO37" s="426"/>
      <c r="NP37" s="424"/>
      <c r="NQ37" s="426"/>
      <c r="NR37" s="424"/>
      <c r="NS37" s="426"/>
      <c r="NT37" s="424"/>
      <c r="NU37" s="426"/>
      <c r="NV37" s="424"/>
      <c r="NW37" s="426"/>
      <c r="NX37" s="424"/>
      <c r="NY37" s="426"/>
      <c r="NZ37" s="424"/>
      <c r="OA37" s="426"/>
      <c r="OB37" s="424"/>
      <c r="OC37" s="426"/>
      <c r="OD37" s="424"/>
      <c r="OE37" s="426"/>
      <c r="OF37" s="424"/>
      <c r="OG37" s="426"/>
      <c r="OH37" s="424"/>
      <c r="OI37" s="426"/>
      <c r="OJ37" s="424"/>
      <c r="OK37" s="426"/>
      <c r="OL37" s="424"/>
      <c r="OM37" s="426"/>
      <c r="ON37" s="424"/>
      <c r="OO37" s="426"/>
      <c r="OP37" s="424"/>
      <c r="OQ37" s="426"/>
      <c r="OR37" s="424"/>
      <c r="OS37" s="426"/>
      <c r="OT37" s="424"/>
      <c r="OU37" s="426"/>
      <c r="OV37" s="424"/>
      <c r="OW37" s="426"/>
      <c r="OX37" s="424"/>
      <c r="OY37" s="426"/>
      <c r="OZ37" s="424"/>
      <c r="PA37" s="426"/>
      <c r="PB37" s="424"/>
      <c r="PC37" s="426"/>
      <c r="PD37" s="424"/>
      <c r="PE37" s="426"/>
      <c r="PF37" s="424"/>
      <c r="PG37" s="426"/>
      <c r="PH37" s="424"/>
      <c r="PI37" s="426"/>
      <c r="PJ37" s="424"/>
      <c r="PK37" s="426"/>
      <c r="PL37" s="424"/>
      <c r="PM37" s="426"/>
      <c r="PN37" s="424"/>
      <c r="PO37" s="426"/>
      <c r="PP37" s="424"/>
      <c r="PQ37" s="426"/>
      <c r="PR37" s="424"/>
      <c r="PS37" s="426"/>
      <c r="PT37" s="424"/>
      <c r="PU37" s="426"/>
      <c r="PV37" s="424"/>
      <c r="PW37" s="426"/>
      <c r="PX37" s="424"/>
      <c r="PY37" s="426"/>
      <c r="PZ37" s="424"/>
      <c r="QA37" s="426"/>
      <c r="QB37" s="424"/>
      <c r="QC37" s="426"/>
      <c r="QD37" s="424"/>
      <c r="QE37" s="426"/>
      <c r="QF37" s="424"/>
      <c r="QG37" s="426"/>
      <c r="QH37" s="424"/>
      <c r="QI37" s="426"/>
      <c r="QJ37" s="424"/>
      <c r="QK37" s="426"/>
      <c r="QL37" s="424"/>
      <c r="QM37" s="426"/>
      <c r="QN37" s="424"/>
      <c r="QO37" s="426"/>
      <c r="QP37" s="424"/>
      <c r="QQ37" s="426"/>
      <c r="QR37" s="424"/>
      <c r="QS37" s="426"/>
      <c r="QT37" s="424"/>
      <c r="QU37" s="426"/>
      <c r="QV37" s="424"/>
      <c r="QW37" s="426"/>
      <c r="QX37" s="424"/>
      <c r="QY37" s="426"/>
      <c r="QZ37" s="424"/>
      <c r="RA37" s="426"/>
      <c r="RB37" s="424"/>
      <c r="RC37" s="426"/>
      <c r="RD37" s="424"/>
      <c r="RE37" s="426"/>
      <c r="RF37" s="424"/>
      <c r="RG37" s="426"/>
      <c r="RH37" s="424"/>
      <c r="RI37" s="426"/>
      <c r="RJ37" s="424"/>
      <c r="RK37" s="426"/>
      <c r="RL37" s="424"/>
      <c r="RM37" s="426"/>
      <c r="RN37" s="424"/>
      <c r="RO37" s="426"/>
      <c r="RP37" s="424"/>
      <c r="RQ37" s="426"/>
      <c r="RR37" s="424"/>
      <c r="RS37" s="426"/>
      <c r="RT37" s="424"/>
      <c r="RU37" s="426"/>
      <c r="RV37" s="424"/>
      <c r="RW37" s="426"/>
      <c r="RX37" s="424"/>
      <c r="RY37" s="426"/>
      <c r="RZ37" s="424"/>
      <c r="SA37" s="426"/>
      <c r="SB37" s="424"/>
      <c r="SC37" s="426"/>
      <c r="SD37" s="424"/>
      <c r="SE37" s="426"/>
      <c r="SF37" s="424"/>
      <c r="SG37" s="426"/>
      <c r="SH37" s="424"/>
      <c r="SI37" s="426"/>
      <c r="SJ37" s="424"/>
      <c r="SK37" s="426"/>
      <c r="SL37" s="424"/>
      <c r="SM37" s="426"/>
      <c r="SN37" s="424"/>
      <c r="SO37" s="426"/>
      <c r="SP37" s="424"/>
      <c r="SQ37" s="426"/>
      <c r="SR37" s="424"/>
      <c r="SS37" s="426"/>
      <c r="ST37" s="424"/>
      <c r="SU37" s="426"/>
      <c r="SV37" s="424"/>
      <c r="SW37" s="426"/>
      <c r="SX37" s="424"/>
      <c r="SY37" s="426"/>
      <c r="SZ37" s="424"/>
      <c r="TA37" s="426"/>
      <c r="TB37" s="424"/>
      <c r="TC37" s="426"/>
      <c r="TD37" s="424"/>
      <c r="TE37" s="426"/>
      <c r="TF37" s="424"/>
      <c r="TG37" s="426"/>
      <c r="TH37" s="424"/>
      <c r="TI37" s="426"/>
      <c r="TJ37" s="424"/>
      <c r="TK37" s="426"/>
      <c r="TL37" s="424"/>
      <c r="TM37" s="426"/>
      <c r="TN37" s="424"/>
      <c r="TO37" s="426"/>
      <c r="TP37" s="424"/>
      <c r="TQ37" s="426"/>
      <c r="TR37" s="424"/>
      <c r="TS37" s="426"/>
      <c r="TT37" s="424"/>
      <c r="TU37" s="426"/>
      <c r="TV37" s="424"/>
      <c r="TW37" s="426"/>
      <c r="TX37" s="424"/>
      <c r="TY37" s="426"/>
      <c r="TZ37" s="424"/>
      <c r="UA37" s="426"/>
      <c r="UB37" s="424"/>
      <c r="UC37" s="426"/>
      <c r="UD37" s="424"/>
      <c r="UE37" s="426"/>
      <c r="UF37" s="424"/>
      <c r="UG37" s="426"/>
      <c r="UH37" s="424"/>
      <c r="UI37" s="426"/>
      <c r="UJ37" s="424"/>
      <c r="UK37" s="426"/>
      <c r="UL37" s="424"/>
      <c r="UM37" s="426"/>
      <c r="UN37" s="424"/>
      <c r="UO37" s="426"/>
      <c r="UP37" s="424"/>
      <c r="UQ37" s="426"/>
      <c r="UR37" s="424"/>
      <c r="US37" s="426"/>
      <c r="UT37" s="424"/>
      <c r="UU37" s="426"/>
      <c r="UV37" s="424"/>
      <c r="UW37" s="426"/>
      <c r="UX37" s="424"/>
      <c r="UY37" s="426"/>
      <c r="UZ37" s="424"/>
      <c r="VA37" s="426"/>
      <c r="VB37" s="424"/>
      <c r="VC37" s="426"/>
      <c r="VD37" s="424"/>
      <c r="VE37" s="426"/>
      <c r="VF37" s="424"/>
      <c r="VG37" s="426"/>
      <c r="VH37" s="424"/>
      <c r="VI37" s="426"/>
      <c r="VJ37" s="424"/>
      <c r="VK37" s="426"/>
      <c r="VL37" s="424"/>
      <c r="VM37" s="426"/>
      <c r="VN37" s="424"/>
      <c r="VO37" s="426"/>
      <c r="VP37" s="424"/>
      <c r="VQ37" s="426"/>
      <c r="VR37" s="424"/>
      <c r="VS37" s="426"/>
      <c r="VT37" s="424"/>
      <c r="VU37" s="426"/>
      <c r="VV37" s="424"/>
      <c r="VW37" s="426"/>
      <c r="VX37" s="424"/>
      <c r="VY37" s="426"/>
      <c r="VZ37" s="424"/>
      <c r="WA37" s="426"/>
      <c r="WB37" s="424"/>
      <c r="WC37" s="426"/>
      <c r="WD37" s="424"/>
      <c r="WE37" s="426"/>
      <c r="WF37" s="424"/>
      <c r="WG37" s="426"/>
      <c r="WH37" s="424"/>
      <c r="WI37" s="426"/>
      <c r="WJ37" s="424"/>
      <c r="WK37" s="426"/>
      <c r="WL37" s="424"/>
      <c r="WM37" s="426"/>
      <c r="WN37" s="424"/>
      <c r="WO37" s="426"/>
      <c r="WP37" s="424"/>
      <c r="WQ37" s="426"/>
      <c r="WR37" s="424"/>
      <c r="WS37" s="426"/>
      <c r="WT37" s="424"/>
      <c r="WU37" s="426"/>
      <c r="WV37" s="424"/>
      <c r="WW37" s="426"/>
      <c r="WX37" s="424"/>
      <c r="WY37" s="426"/>
      <c r="WZ37" s="424"/>
      <c r="XA37" s="426"/>
      <c r="XB37" s="424"/>
      <c r="XC37" s="426"/>
      <c r="XD37" s="424"/>
      <c r="XE37" s="426"/>
      <c r="XF37" s="424"/>
      <c r="XG37" s="426"/>
      <c r="XH37" s="424"/>
      <c r="XI37" s="426"/>
      <c r="XJ37" s="424"/>
      <c r="XK37" s="426"/>
      <c r="XL37" s="424"/>
      <c r="XM37" s="426"/>
      <c r="XN37" s="424"/>
      <c r="XO37" s="426"/>
      <c r="XP37" s="424"/>
      <c r="XQ37" s="426"/>
      <c r="XR37" s="424"/>
      <c r="XS37" s="426"/>
      <c r="XT37" s="424"/>
      <c r="XU37" s="426"/>
      <c r="XV37" s="424"/>
      <c r="XW37" s="426"/>
      <c r="XX37" s="424"/>
      <c r="XY37" s="426"/>
      <c r="XZ37" s="424"/>
      <c r="YA37" s="426"/>
      <c r="YB37" s="424"/>
      <c r="YC37" s="426"/>
      <c r="YD37" s="424"/>
      <c r="YE37" s="426"/>
      <c r="YF37" s="424"/>
      <c r="YG37" s="426"/>
      <c r="YH37" s="424"/>
      <c r="YI37" s="426"/>
      <c r="YJ37" s="424"/>
      <c r="YK37" s="426"/>
      <c r="YL37" s="424"/>
      <c r="YM37" s="426"/>
      <c r="YN37" s="424"/>
      <c r="YO37" s="426"/>
      <c r="YP37" s="424"/>
      <c r="YQ37" s="426"/>
      <c r="YR37" s="424"/>
      <c r="YS37" s="426"/>
      <c r="YT37" s="424"/>
      <c r="YU37" s="426"/>
      <c r="YV37" s="424"/>
      <c r="YW37" s="426"/>
      <c r="YX37" s="424"/>
      <c r="YY37" s="426"/>
      <c r="YZ37" s="424"/>
      <c r="ZA37" s="426"/>
      <c r="ZB37" s="424"/>
      <c r="ZC37" s="426"/>
      <c r="ZD37" s="424"/>
      <c r="ZE37" s="426"/>
      <c r="ZF37" s="424"/>
      <c r="ZG37" s="426"/>
      <c r="ZH37" s="424"/>
      <c r="ZI37" s="426"/>
      <c r="ZJ37" s="424"/>
      <c r="ZK37" s="426"/>
      <c r="ZL37" s="424"/>
      <c r="ZM37" s="426"/>
      <c r="ZN37" s="424"/>
      <c r="ZO37" s="426"/>
      <c r="ZP37" s="424"/>
      <c r="ZQ37" s="426"/>
      <c r="ZR37" s="424"/>
      <c r="ZS37" s="426"/>
      <c r="ZT37" s="424"/>
      <c r="ZU37" s="426"/>
      <c r="ZV37" s="424"/>
      <c r="ZW37" s="426"/>
      <c r="ZX37" s="424"/>
      <c r="ZY37" s="426"/>
      <c r="ZZ37" s="424"/>
      <c r="AAA37" s="426"/>
      <c r="AAB37" s="424"/>
      <c r="AAC37" s="426"/>
      <c r="AAD37" s="424"/>
      <c r="AAE37" s="426"/>
      <c r="AAF37" s="424"/>
      <c r="AAG37" s="426"/>
      <c r="AAH37" s="424"/>
      <c r="AAI37" s="426"/>
      <c r="AAJ37" s="424"/>
      <c r="AAK37" s="426"/>
      <c r="AAL37" s="424"/>
      <c r="AAM37" s="426"/>
      <c r="AAN37" s="424"/>
      <c r="AAO37" s="426"/>
      <c r="AAP37" s="424"/>
      <c r="AAQ37" s="426"/>
      <c r="AAR37" s="424"/>
      <c r="AAS37" s="426"/>
      <c r="AAT37" s="424"/>
      <c r="AAU37" s="426"/>
      <c r="AAV37" s="424"/>
      <c r="AAW37" s="426"/>
      <c r="AAX37" s="424"/>
      <c r="AAY37" s="426"/>
      <c r="AAZ37" s="424"/>
      <c r="ABA37" s="426"/>
      <c r="ABB37" s="424"/>
      <c r="ABC37" s="426"/>
      <c r="ABD37" s="424"/>
      <c r="ABE37" s="426"/>
      <c r="ABF37" s="424"/>
      <c r="ABG37" s="426"/>
      <c r="ABH37" s="424"/>
      <c r="ABI37" s="426"/>
      <c r="ABJ37" s="424"/>
      <c r="ABK37" s="426"/>
      <c r="ABL37" s="424"/>
      <c r="ABM37" s="426"/>
      <c r="ABN37" s="424"/>
      <c r="ABO37" s="426"/>
      <c r="ABP37" s="424"/>
      <c r="ABQ37" s="426"/>
      <c r="ABR37" s="424"/>
      <c r="ABS37" s="426"/>
      <c r="ABT37" s="424"/>
      <c r="ABU37" s="426"/>
      <c r="ABV37" s="424"/>
      <c r="ABW37" s="426"/>
      <c r="ABX37" s="424"/>
      <c r="ABY37" s="426"/>
      <c r="ABZ37" s="424"/>
      <c r="ACA37" s="426"/>
      <c r="ACB37" s="424"/>
      <c r="ACC37" s="426"/>
      <c r="ACD37" s="424"/>
      <c r="ACE37" s="426"/>
      <c r="ACF37" s="424"/>
      <c r="ACG37" s="426"/>
      <c r="ACH37" s="424"/>
      <c r="ACI37" s="426"/>
      <c r="ACJ37" s="424"/>
      <c r="ACK37" s="426"/>
      <c r="ACL37" s="424"/>
      <c r="ACM37" s="426"/>
      <c r="ACN37" s="424"/>
      <c r="ACO37" s="426"/>
      <c r="ACP37" s="424"/>
      <c r="ACQ37" s="426"/>
      <c r="ACR37" s="424"/>
      <c r="ACS37" s="426"/>
      <c r="ACT37" s="424"/>
      <c r="ACU37" s="426"/>
      <c r="ACV37" s="424"/>
      <c r="ACW37" s="426"/>
      <c r="ACX37" s="424"/>
      <c r="ACY37" s="426"/>
      <c r="ACZ37" s="424"/>
      <c r="ADA37" s="426"/>
      <c r="ADB37" s="424"/>
      <c r="ADC37" s="426"/>
      <c r="ADD37" s="424"/>
      <c r="ADE37" s="426"/>
      <c r="ADF37" s="424"/>
      <c r="ADG37" s="426"/>
      <c r="ADH37" s="424"/>
      <c r="ADI37" s="426"/>
      <c r="ADJ37" s="424"/>
      <c r="ADK37" s="426"/>
      <c r="ADL37" s="424"/>
      <c r="ADM37" s="426"/>
      <c r="ADN37" s="424"/>
      <c r="ADO37" s="426"/>
      <c r="ADP37" s="424"/>
      <c r="ADQ37" s="426"/>
      <c r="ADR37" s="424"/>
      <c r="ADS37" s="426"/>
      <c r="ADT37" s="424"/>
      <c r="ADU37" s="426"/>
      <c r="ADV37" s="424"/>
      <c r="ADW37" s="426"/>
      <c r="ADX37" s="424"/>
      <c r="ADY37" s="426"/>
      <c r="ADZ37" s="424"/>
      <c r="AEA37" s="426"/>
      <c r="AEB37" s="424"/>
      <c r="AEC37" s="426"/>
      <c r="AED37" s="424"/>
      <c r="AEE37" s="426"/>
      <c r="AEF37" s="424"/>
      <c r="AEG37" s="426"/>
      <c r="AEH37" s="424"/>
      <c r="AEI37" s="426"/>
      <c r="AEJ37" s="424"/>
      <c r="AEK37" s="426"/>
      <c r="AEL37" s="424"/>
      <c r="AEM37" s="426"/>
      <c r="AEN37" s="424"/>
      <c r="AEO37" s="426"/>
      <c r="AEP37" s="424"/>
      <c r="AEQ37" s="426"/>
      <c r="AER37" s="424"/>
      <c r="AES37" s="426"/>
      <c r="AET37" s="424"/>
      <c r="AEU37" s="426"/>
      <c r="AEV37" s="424"/>
      <c r="AEW37" s="426"/>
      <c r="AEX37" s="424"/>
      <c r="AEY37" s="426"/>
      <c r="AEZ37" s="424"/>
      <c r="AFA37" s="426"/>
      <c r="AFB37" s="424"/>
      <c r="AFC37" s="426"/>
      <c r="AFD37" s="424"/>
      <c r="AFE37" s="426"/>
      <c r="AFF37" s="424"/>
      <c r="AFG37" s="426"/>
      <c r="AFH37" s="424"/>
      <c r="AFI37" s="426"/>
      <c r="AFJ37" s="424"/>
      <c r="AFK37" s="426"/>
      <c r="AFL37" s="424"/>
      <c r="AFM37" s="426"/>
      <c r="AFN37" s="424"/>
      <c r="AFO37" s="426"/>
      <c r="AFP37" s="424"/>
      <c r="AFQ37" s="426"/>
      <c r="AFR37" s="424"/>
      <c r="AFS37" s="426"/>
      <c r="AFT37" s="424"/>
      <c r="AFU37" s="426"/>
      <c r="AFV37" s="424"/>
      <c r="AFW37" s="426"/>
      <c r="AFX37" s="424"/>
      <c r="AFY37" s="426"/>
      <c r="AFZ37" s="424"/>
      <c r="AGA37" s="426"/>
      <c r="AGB37" s="424"/>
      <c r="AGC37" s="426"/>
      <c r="AGD37" s="424"/>
      <c r="AGE37" s="426"/>
      <c r="AGF37" s="424"/>
      <c r="AGG37" s="426"/>
      <c r="AGH37" s="424"/>
      <c r="AGI37" s="426"/>
      <c r="AGJ37" s="424"/>
      <c r="AGK37" s="426"/>
      <c r="AGL37" s="424"/>
      <c r="AGM37" s="426"/>
      <c r="AGN37" s="424"/>
      <c r="AGO37" s="426"/>
      <c r="AGP37" s="424"/>
      <c r="AGQ37" s="426"/>
      <c r="AGR37" s="424"/>
      <c r="AGS37" s="426"/>
      <c r="AGT37" s="424"/>
      <c r="AGU37" s="426"/>
      <c r="AGV37" s="424"/>
      <c r="AGW37" s="426"/>
      <c r="AGX37" s="424"/>
      <c r="AGY37" s="426"/>
      <c r="AGZ37" s="424"/>
      <c r="AHA37" s="426"/>
      <c r="AHB37" s="424"/>
      <c r="AHC37" s="426"/>
      <c r="AHD37" s="424"/>
      <c r="AHE37" s="426"/>
      <c r="AHF37" s="424"/>
      <c r="AHG37" s="426"/>
      <c r="AHH37" s="424"/>
      <c r="AHI37" s="426"/>
      <c r="AHJ37" s="424"/>
      <c r="AHK37" s="426"/>
      <c r="AHL37" s="424"/>
      <c r="AHM37" s="426"/>
      <c r="AHN37" s="424"/>
      <c r="AHO37" s="426"/>
      <c r="AHP37" s="424"/>
      <c r="AHQ37" s="426"/>
      <c r="AHR37" s="424"/>
      <c r="AHS37" s="426"/>
      <c r="AHT37" s="424"/>
      <c r="AHU37" s="426"/>
      <c r="AHV37" s="424"/>
      <c r="AHW37" s="426"/>
      <c r="AHX37" s="424"/>
      <c r="AHY37" s="426"/>
      <c r="AHZ37" s="424"/>
      <c r="AIA37" s="426"/>
      <c r="AIB37" s="424"/>
      <c r="AIC37" s="426"/>
      <c r="AID37" s="424"/>
      <c r="AIE37" s="426"/>
      <c r="AIF37" s="424"/>
      <c r="AIG37" s="426"/>
      <c r="AIH37" s="424"/>
      <c r="AII37" s="426"/>
      <c r="AIJ37" s="424"/>
      <c r="AIK37" s="426"/>
      <c r="AIL37" s="424"/>
      <c r="AIM37" s="426"/>
      <c r="AIN37" s="424"/>
      <c r="AIO37" s="426"/>
      <c r="AIP37" s="424"/>
      <c r="AIQ37" s="426"/>
      <c r="AIR37" s="424"/>
      <c r="AIS37" s="426"/>
      <c r="AIT37" s="424"/>
      <c r="AIU37" s="426"/>
      <c r="AIV37" s="424"/>
      <c r="AIW37" s="426"/>
      <c r="AIX37" s="424"/>
      <c r="AIY37" s="426"/>
      <c r="AIZ37" s="424"/>
      <c r="AJA37" s="426"/>
      <c r="AJB37" s="424"/>
      <c r="AJC37" s="426"/>
      <c r="AJD37" s="424"/>
      <c r="AJE37" s="426"/>
      <c r="AJF37" s="424"/>
      <c r="AJG37" s="426"/>
      <c r="AJH37" s="424"/>
      <c r="AJI37" s="426"/>
      <c r="AJJ37" s="424"/>
      <c r="AJK37" s="426"/>
      <c r="AJL37" s="424"/>
      <c r="AJM37" s="426"/>
      <c r="AJN37" s="424"/>
      <c r="AJO37" s="426"/>
      <c r="AJP37" s="424"/>
      <c r="AJQ37" s="426"/>
      <c r="AJR37" s="424"/>
      <c r="AJS37" s="426"/>
      <c r="AJT37" s="424"/>
      <c r="AJU37" s="426"/>
      <c r="AJV37" s="424"/>
      <c r="AJW37" s="426"/>
      <c r="AJX37" s="424"/>
      <c r="AJY37" s="426"/>
      <c r="AJZ37" s="424"/>
      <c r="AKA37" s="426"/>
      <c r="AKB37" s="424"/>
      <c r="AKC37" s="426"/>
      <c r="AKD37" s="424"/>
      <c r="AKE37" s="426"/>
      <c r="AKF37" s="424"/>
      <c r="AKG37" s="426"/>
      <c r="AKH37" s="424"/>
      <c r="AKI37" s="426"/>
      <c r="AKJ37" s="424"/>
      <c r="AKK37" s="426"/>
      <c r="AKL37" s="424"/>
      <c r="AKM37" s="426"/>
      <c r="AKN37" s="424"/>
      <c r="AKO37" s="426"/>
      <c r="AKP37" s="424"/>
      <c r="AKQ37" s="426"/>
      <c r="AKR37" s="424"/>
      <c r="AKS37" s="426"/>
      <c r="AKT37" s="424"/>
      <c r="AKU37" s="426"/>
      <c r="AKV37" s="424"/>
      <c r="AKW37" s="426"/>
      <c r="AKX37" s="424"/>
      <c r="AKY37" s="426"/>
      <c r="AKZ37" s="424"/>
      <c r="ALA37" s="426"/>
      <c r="ALB37" s="424"/>
      <c r="ALC37" s="426"/>
      <c r="ALD37" s="424"/>
      <c r="ALE37" s="426"/>
      <c r="ALF37" s="424"/>
      <c r="ALG37" s="426"/>
      <c r="ALH37" s="424"/>
      <c r="ALI37" s="426"/>
      <c r="ALJ37" s="424"/>
      <c r="ALK37" s="426"/>
      <c r="ALL37" s="424"/>
      <c r="ALM37" s="426"/>
      <c r="ALN37" s="424"/>
      <c r="ALO37" s="426"/>
      <c r="ALP37" s="424"/>
      <c r="ALQ37" s="426"/>
      <c r="ALR37" s="424"/>
      <c r="ALS37" s="426"/>
      <c r="ALT37" s="424"/>
      <c r="ALU37" s="426"/>
      <c r="ALV37" s="424"/>
      <c r="ALW37" s="426"/>
      <c r="ALX37" s="424"/>
      <c r="ALY37" s="426"/>
      <c r="ALZ37" s="424"/>
      <c r="AMA37" s="426"/>
      <c r="AMB37" s="424"/>
      <c r="AMC37" s="426"/>
      <c r="AMD37" s="424"/>
      <c r="AME37" s="426"/>
      <c r="AMF37" s="424"/>
      <c r="AMG37" s="426"/>
      <c r="AMH37" s="424"/>
      <c r="AMI37" s="426"/>
      <c r="AMJ37" s="424"/>
      <c r="AMK37" s="426"/>
      <c r="AML37" s="424"/>
      <c r="AMM37" s="426"/>
      <c r="AMN37" s="424"/>
      <c r="AMO37" s="426"/>
      <c r="AMP37" s="424"/>
      <c r="AMQ37" s="426"/>
      <c r="AMR37" s="424"/>
      <c r="AMS37" s="426"/>
      <c r="AMT37" s="424"/>
      <c r="AMU37" s="426"/>
      <c r="AMV37" s="424"/>
      <c r="AMW37" s="426"/>
      <c r="AMX37" s="424"/>
      <c r="AMY37" s="426"/>
      <c r="AMZ37" s="424"/>
      <c r="ANA37" s="426"/>
      <c r="ANB37" s="424"/>
      <c r="ANC37" s="426"/>
      <c r="AND37" s="424"/>
      <c r="ANE37" s="426"/>
      <c r="ANF37" s="424"/>
      <c r="ANG37" s="426"/>
      <c r="ANH37" s="424"/>
      <c r="ANI37" s="426"/>
      <c r="ANJ37" s="424"/>
      <c r="ANK37" s="426"/>
      <c r="ANL37" s="424"/>
      <c r="ANM37" s="426"/>
      <c r="ANN37" s="424"/>
      <c r="ANO37" s="426"/>
      <c r="ANP37" s="424"/>
      <c r="ANQ37" s="426"/>
      <c r="ANR37" s="424"/>
      <c r="ANS37" s="426"/>
      <c r="ANT37" s="424"/>
      <c r="ANU37" s="426"/>
      <c r="ANV37" s="424"/>
      <c r="ANW37" s="426"/>
      <c r="ANX37" s="424"/>
      <c r="ANY37" s="426"/>
      <c r="ANZ37" s="424"/>
      <c r="AOA37" s="426"/>
      <c r="AOB37" s="424"/>
      <c r="AOC37" s="426"/>
      <c r="AOD37" s="424"/>
      <c r="AOE37" s="426"/>
      <c r="AOF37" s="424"/>
      <c r="AOG37" s="426"/>
      <c r="AOH37" s="424"/>
      <c r="AOI37" s="426"/>
      <c r="AOJ37" s="424"/>
      <c r="AOK37" s="426"/>
      <c r="AOL37" s="424"/>
      <c r="AOM37" s="426"/>
      <c r="AON37" s="424"/>
      <c r="AOO37" s="426"/>
      <c r="AOP37" s="424"/>
      <c r="AOQ37" s="426"/>
      <c r="AOR37" s="424"/>
      <c r="AOS37" s="426"/>
      <c r="AOT37" s="424"/>
      <c r="AOU37" s="426"/>
      <c r="AOV37" s="424"/>
      <c r="AOW37" s="426"/>
      <c r="AOX37" s="424"/>
      <c r="AOY37" s="426"/>
      <c r="AOZ37" s="424"/>
      <c r="APA37" s="426"/>
      <c r="APB37" s="424"/>
      <c r="APC37" s="426"/>
      <c r="APD37" s="424"/>
      <c r="APE37" s="426"/>
      <c r="APF37" s="424"/>
      <c r="APG37" s="426"/>
      <c r="APH37" s="424"/>
      <c r="API37" s="426"/>
      <c r="APJ37" s="424"/>
      <c r="APK37" s="426"/>
      <c r="APL37" s="424"/>
      <c r="APM37" s="426"/>
      <c r="APN37" s="424"/>
      <c r="APO37" s="426"/>
      <c r="APP37" s="424"/>
      <c r="APQ37" s="426"/>
      <c r="APR37" s="424"/>
      <c r="APS37" s="426"/>
      <c r="APT37" s="424"/>
      <c r="APU37" s="426"/>
      <c r="APV37" s="424"/>
      <c r="APW37" s="426"/>
      <c r="APX37" s="424"/>
      <c r="APY37" s="426"/>
      <c r="APZ37" s="424"/>
      <c r="AQA37" s="426"/>
      <c r="AQB37" s="424"/>
      <c r="AQC37" s="426"/>
      <c r="AQD37" s="424"/>
      <c r="AQE37" s="426"/>
      <c r="AQF37" s="424"/>
      <c r="AQG37" s="426"/>
      <c r="AQH37" s="424"/>
      <c r="AQI37" s="426"/>
      <c r="AQJ37" s="424"/>
      <c r="AQK37" s="426"/>
      <c r="AQL37" s="424"/>
      <c r="AQM37" s="426"/>
      <c r="AQN37" s="424"/>
      <c r="AQO37" s="426"/>
      <c r="AQP37" s="424"/>
      <c r="AQQ37" s="426"/>
      <c r="AQR37" s="424"/>
      <c r="AQS37" s="426"/>
      <c r="AQT37" s="424"/>
      <c r="AQU37" s="426"/>
      <c r="AQV37" s="424"/>
      <c r="AQW37" s="426"/>
      <c r="AQX37" s="424"/>
      <c r="AQY37" s="426"/>
      <c r="AQZ37" s="424"/>
      <c r="ARA37" s="426"/>
      <c r="ARB37" s="424"/>
      <c r="ARC37" s="426"/>
      <c r="ARD37" s="424"/>
      <c r="ARE37" s="426"/>
      <c r="ARF37" s="424"/>
      <c r="ARG37" s="426"/>
      <c r="ARH37" s="424"/>
      <c r="ARI37" s="426"/>
      <c r="ARJ37" s="424"/>
      <c r="ARK37" s="426"/>
      <c r="ARL37" s="424"/>
      <c r="ARM37" s="426"/>
      <c r="ARN37" s="424"/>
      <c r="ARO37" s="426"/>
      <c r="ARP37" s="424"/>
      <c r="ARQ37" s="426"/>
      <c r="ARR37" s="424"/>
      <c r="ARS37" s="426"/>
      <c r="ART37" s="424"/>
      <c r="ARU37" s="426"/>
      <c r="ARV37" s="424"/>
      <c r="ARW37" s="426"/>
      <c r="ARX37" s="424"/>
      <c r="ARY37" s="426"/>
      <c r="ARZ37" s="424"/>
      <c r="ASA37" s="426"/>
      <c r="ASB37" s="424"/>
      <c r="ASC37" s="426"/>
      <c r="ASD37" s="424"/>
      <c r="ASE37" s="426"/>
      <c r="ASF37" s="424"/>
      <c r="ASG37" s="426"/>
      <c r="ASH37" s="424"/>
      <c r="ASI37" s="426"/>
      <c r="ASJ37" s="424"/>
      <c r="ASK37" s="426"/>
      <c r="ASL37" s="424"/>
      <c r="ASM37" s="426"/>
      <c r="ASN37" s="424"/>
      <c r="ASO37" s="426"/>
      <c r="ASP37" s="424"/>
      <c r="ASQ37" s="426"/>
      <c r="ASR37" s="424"/>
      <c r="ASS37" s="426"/>
      <c r="AST37" s="424"/>
      <c r="ASU37" s="426"/>
      <c r="ASV37" s="424"/>
      <c r="ASW37" s="426"/>
      <c r="ASX37" s="424"/>
      <c r="ASY37" s="426"/>
      <c r="ASZ37" s="424"/>
      <c r="ATA37" s="426"/>
      <c r="ATB37" s="424"/>
      <c r="ATC37" s="426"/>
      <c r="ATD37" s="424"/>
      <c r="ATE37" s="426"/>
      <c r="ATF37" s="424"/>
      <c r="ATG37" s="426"/>
      <c r="ATH37" s="424"/>
      <c r="ATI37" s="426"/>
      <c r="ATJ37" s="424"/>
      <c r="ATK37" s="426"/>
      <c r="ATL37" s="424"/>
      <c r="ATM37" s="426"/>
      <c r="ATN37" s="424"/>
      <c r="ATO37" s="426"/>
      <c r="ATP37" s="424"/>
      <c r="ATQ37" s="426"/>
      <c r="ATR37" s="424"/>
      <c r="ATS37" s="426"/>
      <c r="ATT37" s="424"/>
      <c r="ATU37" s="426"/>
      <c r="ATV37" s="424"/>
      <c r="ATW37" s="426"/>
      <c r="ATX37" s="424"/>
      <c r="ATY37" s="426"/>
      <c r="ATZ37" s="424"/>
      <c r="AUA37" s="426"/>
      <c r="AUB37" s="424"/>
      <c r="AUC37" s="426"/>
      <c r="AUD37" s="424"/>
      <c r="AUE37" s="426"/>
      <c r="AUF37" s="424"/>
      <c r="AUG37" s="426"/>
      <c r="AUH37" s="424"/>
      <c r="AUI37" s="426"/>
      <c r="AUJ37" s="424"/>
      <c r="AUK37" s="426"/>
      <c r="AUL37" s="424"/>
      <c r="AUM37" s="426"/>
      <c r="AUN37" s="424"/>
      <c r="AUO37" s="426"/>
      <c r="AUP37" s="424"/>
      <c r="AUQ37" s="426"/>
      <c r="AUR37" s="424"/>
      <c r="AUS37" s="426"/>
      <c r="AUT37" s="424"/>
      <c r="AUU37" s="426"/>
      <c r="AUV37" s="424"/>
      <c r="AUW37" s="426"/>
      <c r="AUX37" s="424"/>
      <c r="AUY37" s="426"/>
      <c r="AUZ37" s="424"/>
      <c r="AVA37" s="426"/>
      <c r="AVB37" s="424"/>
      <c r="AVC37" s="426"/>
      <c r="AVD37" s="424"/>
      <c r="AVE37" s="426"/>
      <c r="AVF37" s="424"/>
      <c r="AVG37" s="426"/>
      <c r="AVH37" s="424"/>
      <c r="AVI37" s="426"/>
      <c r="AVJ37" s="424"/>
      <c r="AVK37" s="426"/>
      <c r="AVL37" s="424"/>
      <c r="AVM37" s="426"/>
      <c r="AVN37" s="424"/>
      <c r="AVO37" s="426"/>
      <c r="AVP37" s="424"/>
      <c r="AVQ37" s="426"/>
      <c r="AVR37" s="424"/>
      <c r="AVS37" s="426"/>
      <c r="AVT37" s="424"/>
      <c r="AVU37" s="426"/>
      <c r="AVV37" s="424"/>
      <c r="AVW37" s="426"/>
      <c r="AVX37" s="424"/>
      <c r="AVY37" s="426"/>
      <c r="AVZ37" s="424"/>
      <c r="AWA37" s="426"/>
      <c r="AWB37" s="424"/>
      <c r="AWC37" s="426"/>
      <c r="AWD37" s="424"/>
      <c r="AWE37" s="426"/>
      <c r="AWF37" s="424"/>
      <c r="AWG37" s="426"/>
      <c r="AWH37" s="424"/>
      <c r="AWI37" s="426"/>
      <c r="AWJ37" s="424"/>
      <c r="AWK37" s="426"/>
      <c r="AWL37" s="424"/>
      <c r="AWM37" s="426"/>
      <c r="AWN37" s="424"/>
      <c r="AWO37" s="426"/>
      <c r="AWP37" s="424"/>
      <c r="AWQ37" s="426"/>
      <c r="AWR37" s="424"/>
      <c r="AWS37" s="426"/>
      <c r="AWT37" s="424"/>
      <c r="AWU37" s="426"/>
      <c r="AWV37" s="424"/>
      <c r="AWW37" s="426"/>
      <c r="AWX37" s="424"/>
      <c r="AWY37" s="426"/>
      <c r="AWZ37" s="424"/>
      <c r="AXA37" s="426"/>
      <c r="AXB37" s="424"/>
      <c r="AXC37" s="426"/>
      <c r="AXD37" s="424"/>
      <c r="AXE37" s="426"/>
      <c r="AXF37" s="424"/>
      <c r="AXG37" s="426"/>
      <c r="AXH37" s="424"/>
      <c r="AXI37" s="426"/>
      <c r="AXJ37" s="424"/>
      <c r="AXK37" s="426"/>
      <c r="AXL37" s="424"/>
      <c r="AXM37" s="426"/>
      <c r="AXN37" s="424"/>
      <c r="AXO37" s="426"/>
      <c r="AXP37" s="424"/>
      <c r="AXQ37" s="426"/>
      <c r="AXR37" s="424"/>
      <c r="AXS37" s="426"/>
      <c r="AXT37" s="424"/>
      <c r="AXU37" s="426"/>
      <c r="AXV37" s="424"/>
      <c r="AXW37" s="426"/>
      <c r="AXX37" s="424"/>
      <c r="AXY37" s="426"/>
      <c r="AXZ37" s="424"/>
      <c r="AYA37" s="426"/>
      <c r="AYB37" s="424"/>
      <c r="AYC37" s="426"/>
      <c r="AYD37" s="424"/>
      <c r="AYE37" s="426"/>
      <c r="AYF37" s="424"/>
      <c r="AYG37" s="426"/>
      <c r="AYH37" s="424"/>
      <c r="AYI37" s="426"/>
      <c r="AYJ37" s="424"/>
      <c r="AYK37" s="426"/>
      <c r="AYL37" s="424"/>
      <c r="AYM37" s="426"/>
      <c r="AYN37" s="424"/>
      <c r="AYO37" s="426"/>
      <c r="AYP37" s="424"/>
      <c r="AYQ37" s="426"/>
      <c r="AYR37" s="424"/>
      <c r="AYS37" s="426"/>
      <c r="AYT37" s="424"/>
      <c r="AYU37" s="426"/>
      <c r="AYV37" s="424"/>
      <c r="AYW37" s="426"/>
      <c r="AYX37" s="424"/>
      <c r="AYY37" s="426"/>
      <c r="AYZ37" s="424"/>
      <c r="AZA37" s="426"/>
      <c r="AZB37" s="424"/>
      <c r="AZC37" s="426"/>
      <c r="AZD37" s="424"/>
      <c r="AZE37" s="426"/>
      <c r="AZF37" s="424"/>
      <c r="AZG37" s="426"/>
      <c r="AZH37" s="424"/>
      <c r="AZI37" s="426"/>
      <c r="AZJ37" s="424"/>
      <c r="AZK37" s="426"/>
      <c r="AZL37" s="424"/>
      <c r="AZM37" s="426"/>
      <c r="AZN37" s="424"/>
      <c r="AZO37" s="426"/>
      <c r="AZP37" s="424"/>
      <c r="AZQ37" s="426"/>
      <c r="AZR37" s="424"/>
      <c r="AZS37" s="426"/>
      <c r="AZT37" s="424"/>
      <c r="AZU37" s="426"/>
      <c r="AZV37" s="424"/>
      <c r="AZW37" s="426"/>
      <c r="AZX37" s="424"/>
      <c r="AZY37" s="426"/>
      <c r="AZZ37" s="424"/>
      <c r="BAA37" s="426"/>
      <c r="BAB37" s="424"/>
      <c r="BAC37" s="426"/>
      <c r="BAD37" s="424"/>
      <c r="BAE37" s="426"/>
      <c r="BAF37" s="424"/>
      <c r="BAG37" s="426"/>
      <c r="BAH37" s="424"/>
      <c r="BAI37" s="426"/>
      <c r="BAJ37" s="424"/>
      <c r="BAK37" s="426"/>
      <c r="BAL37" s="424"/>
      <c r="BAM37" s="426"/>
      <c r="BAN37" s="424"/>
      <c r="BAO37" s="426"/>
      <c r="BAP37" s="424"/>
      <c r="BAQ37" s="426"/>
      <c r="BAR37" s="424"/>
      <c r="BAS37" s="426"/>
      <c r="BAT37" s="424"/>
      <c r="BAU37" s="426"/>
      <c r="BAV37" s="424"/>
      <c r="BAW37" s="426"/>
      <c r="BAX37" s="424"/>
      <c r="BAY37" s="426"/>
      <c r="BAZ37" s="424"/>
      <c r="BBA37" s="426"/>
      <c r="BBB37" s="424"/>
      <c r="BBC37" s="426"/>
      <c r="BBD37" s="424"/>
      <c r="BBE37" s="426"/>
      <c r="BBF37" s="424"/>
      <c r="BBG37" s="426"/>
      <c r="BBH37" s="424"/>
      <c r="BBI37" s="426"/>
      <c r="BBJ37" s="424"/>
      <c r="BBK37" s="426"/>
      <c r="BBL37" s="424"/>
      <c r="BBM37" s="426"/>
      <c r="BBN37" s="424"/>
      <c r="BBO37" s="426"/>
      <c r="BBP37" s="424"/>
      <c r="BBQ37" s="426"/>
      <c r="BBR37" s="424"/>
      <c r="BBS37" s="426"/>
      <c r="BBT37" s="424"/>
      <c r="BBU37" s="426"/>
      <c r="BBV37" s="424"/>
      <c r="BBW37" s="426"/>
      <c r="BBX37" s="424"/>
      <c r="BBY37" s="426"/>
      <c r="BBZ37" s="424"/>
      <c r="BCA37" s="426"/>
      <c r="BCB37" s="424"/>
      <c r="BCC37" s="426"/>
      <c r="BCD37" s="424"/>
      <c r="BCE37" s="426"/>
      <c r="BCF37" s="424"/>
      <c r="BCG37" s="426"/>
      <c r="BCH37" s="424"/>
      <c r="BCI37" s="426"/>
      <c r="BCJ37" s="424"/>
      <c r="BCK37" s="426"/>
      <c r="BCL37" s="424"/>
      <c r="BCM37" s="426"/>
      <c r="BCN37" s="424"/>
      <c r="BCO37" s="426"/>
      <c r="BCP37" s="424"/>
      <c r="BCQ37" s="426"/>
      <c r="BCR37" s="424"/>
      <c r="BCS37" s="426"/>
      <c r="BCT37" s="424"/>
      <c r="BCU37" s="426"/>
      <c r="BCV37" s="424"/>
      <c r="BCW37" s="426"/>
      <c r="BCX37" s="424"/>
      <c r="BCY37" s="426"/>
      <c r="BCZ37" s="424"/>
      <c r="BDA37" s="426"/>
      <c r="BDB37" s="424"/>
      <c r="BDC37" s="426"/>
      <c r="BDD37" s="424"/>
      <c r="BDE37" s="426"/>
      <c r="BDF37" s="424"/>
      <c r="BDG37" s="426"/>
      <c r="BDH37" s="424"/>
      <c r="BDI37" s="426"/>
      <c r="BDJ37" s="424"/>
      <c r="BDK37" s="426"/>
      <c r="BDL37" s="424"/>
      <c r="BDM37" s="426"/>
      <c r="BDN37" s="424"/>
      <c r="BDO37" s="426"/>
      <c r="BDP37" s="424"/>
      <c r="BDQ37" s="426"/>
      <c r="BDR37" s="424"/>
      <c r="BDS37" s="426"/>
      <c r="BDT37" s="424"/>
      <c r="BDU37" s="426"/>
      <c r="BDV37" s="424"/>
      <c r="BDW37" s="426"/>
      <c r="BDX37" s="424"/>
      <c r="BDY37" s="426"/>
      <c r="BDZ37" s="424"/>
      <c r="BEA37" s="426"/>
      <c r="BEB37" s="424"/>
      <c r="BEC37" s="426"/>
      <c r="BED37" s="424"/>
      <c r="BEE37" s="426"/>
      <c r="BEF37" s="424"/>
      <c r="BEG37" s="426"/>
      <c r="BEH37" s="424"/>
      <c r="BEI37" s="426"/>
      <c r="BEJ37" s="424"/>
      <c r="BEK37" s="426"/>
      <c r="BEL37" s="424"/>
      <c r="BEM37" s="426"/>
      <c r="BEN37" s="424"/>
      <c r="BEO37" s="426"/>
      <c r="BEP37" s="424"/>
      <c r="BEQ37" s="426"/>
      <c r="BER37" s="424"/>
      <c r="BES37" s="426"/>
      <c r="BET37" s="424"/>
      <c r="BEU37" s="426"/>
      <c r="BEV37" s="424"/>
      <c r="BEW37" s="426"/>
      <c r="BEX37" s="424"/>
      <c r="BEY37" s="426"/>
      <c r="BEZ37" s="424"/>
      <c r="BFA37" s="426"/>
      <c r="BFB37" s="424"/>
      <c r="BFC37" s="426"/>
      <c r="BFD37" s="424"/>
      <c r="BFE37" s="426"/>
      <c r="BFF37" s="424"/>
      <c r="BFG37" s="426"/>
      <c r="BFH37" s="424"/>
      <c r="BFI37" s="426"/>
      <c r="BFJ37" s="424"/>
      <c r="BFK37" s="426"/>
      <c r="BFL37" s="424"/>
      <c r="BFM37" s="426"/>
      <c r="BFN37" s="424"/>
      <c r="BFO37" s="426"/>
      <c r="BFP37" s="424"/>
      <c r="BFQ37" s="426"/>
      <c r="BFR37" s="424"/>
      <c r="BFS37" s="426"/>
      <c r="BFT37" s="424"/>
      <c r="BFU37" s="426"/>
      <c r="BFV37" s="424"/>
      <c r="BFW37" s="426"/>
      <c r="BFX37" s="424"/>
      <c r="BFY37" s="426"/>
      <c r="BFZ37" s="424"/>
      <c r="BGA37" s="426"/>
      <c r="BGB37" s="424"/>
      <c r="BGC37" s="426"/>
      <c r="BGD37" s="424"/>
      <c r="BGE37" s="426"/>
      <c r="BGF37" s="424"/>
      <c r="BGG37" s="426"/>
      <c r="BGH37" s="424"/>
      <c r="BGI37" s="426"/>
      <c r="BGJ37" s="424"/>
      <c r="BGK37" s="426"/>
      <c r="BGL37" s="424"/>
      <c r="BGM37" s="426"/>
      <c r="BGN37" s="424"/>
      <c r="BGO37" s="426"/>
      <c r="BGP37" s="424"/>
      <c r="BGQ37" s="426"/>
      <c r="BGR37" s="424"/>
      <c r="BGS37" s="426"/>
      <c r="BGT37" s="424"/>
      <c r="BGU37" s="426"/>
      <c r="BGV37" s="424"/>
      <c r="BGW37" s="426"/>
      <c r="BGX37" s="424"/>
      <c r="BGY37" s="426"/>
      <c r="BGZ37" s="424"/>
      <c r="BHA37" s="426"/>
      <c r="BHB37" s="424"/>
      <c r="BHC37" s="426"/>
      <c r="BHD37" s="424"/>
      <c r="BHE37" s="426"/>
      <c r="BHF37" s="424"/>
      <c r="BHG37" s="426"/>
      <c r="BHH37" s="424"/>
      <c r="BHI37" s="426"/>
      <c r="BHJ37" s="424"/>
      <c r="BHK37" s="426"/>
      <c r="BHL37" s="424"/>
      <c r="BHM37" s="426"/>
      <c r="BHN37" s="424"/>
      <c r="BHO37" s="426"/>
      <c r="BHP37" s="424"/>
      <c r="BHQ37" s="426"/>
      <c r="BHR37" s="424"/>
      <c r="BHS37" s="426"/>
      <c r="BHT37" s="424"/>
      <c r="BHU37" s="426"/>
      <c r="BHV37" s="424"/>
      <c r="BHW37" s="426"/>
      <c r="BHX37" s="424"/>
      <c r="BHY37" s="426"/>
      <c r="BHZ37" s="424"/>
      <c r="BIA37" s="426"/>
      <c r="BIB37" s="424"/>
      <c r="BIC37" s="426"/>
      <c r="BID37" s="424"/>
      <c r="BIE37" s="426"/>
      <c r="BIF37" s="424"/>
      <c r="BIG37" s="426"/>
      <c r="BIH37" s="424"/>
      <c r="BII37" s="426"/>
      <c r="BIJ37" s="424"/>
      <c r="BIK37" s="426"/>
      <c r="BIL37" s="424"/>
      <c r="BIM37" s="426"/>
      <c r="BIN37" s="424"/>
      <c r="BIO37" s="426"/>
      <c r="BIP37" s="424"/>
      <c r="BIQ37" s="426"/>
      <c r="BIR37" s="424"/>
      <c r="BIS37" s="426"/>
      <c r="BIT37" s="424"/>
      <c r="BIU37" s="426"/>
      <c r="BIV37" s="424"/>
      <c r="BIW37" s="426"/>
      <c r="BIX37" s="424"/>
      <c r="BIY37" s="426"/>
      <c r="BIZ37" s="424"/>
      <c r="BJA37" s="426"/>
      <c r="BJB37" s="424"/>
      <c r="BJC37" s="426"/>
      <c r="BJD37" s="424"/>
      <c r="BJE37" s="426"/>
      <c r="BJF37" s="424"/>
      <c r="BJG37" s="426"/>
      <c r="BJH37" s="424"/>
      <c r="BJI37" s="426"/>
      <c r="BJJ37" s="424"/>
      <c r="BJK37" s="426"/>
      <c r="BJL37" s="424"/>
      <c r="BJM37" s="426"/>
      <c r="BJN37" s="424"/>
      <c r="BJO37" s="426"/>
      <c r="BJP37" s="424"/>
      <c r="BJQ37" s="426"/>
      <c r="BJR37" s="424"/>
      <c r="BJS37" s="426"/>
      <c r="BJT37" s="424"/>
      <c r="BJU37" s="426"/>
      <c r="BJV37" s="424"/>
      <c r="BJW37" s="426"/>
      <c r="BJX37" s="424"/>
      <c r="BJY37" s="426"/>
      <c r="BJZ37" s="424"/>
      <c r="BKA37" s="426"/>
      <c r="BKB37" s="424"/>
      <c r="BKC37" s="426"/>
      <c r="BKD37" s="424"/>
      <c r="BKE37" s="426"/>
      <c r="BKF37" s="424"/>
      <c r="BKG37" s="426"/>
      <c r="BKH37" s="424"/>
      <c r="BKI37" s="426"/>
      <c r="BKJ37" s="424"/>
      <c r="BKK37" s="426"/>
      <c r="BKL37" s="424"/>
      <c r="BKM37" s="426"/>
      <c r="BKN37" s="424"/>
      <c r="BKO37" s="426"/>
      <c r="BKP37" s="424"/>
      <c r="BKQ37" s="426"/>
      <c r="BKR37" s="424"/>
      <c r="BKS37" s="426"/>
      <c r="BKT37" s="424"/>
      <c r="BKU37" s="426"/>
      <c r="BKV37" s="424"/>
      <c r="BKW37" s="426"/>
      <c r="BKX37" s="424"/>
      <c r="BKY37" s="426"/>
      <c r="BKZ37" s="424"/>
      <c r="BLA37" s="426"/>
      <c r="BLB37" s="424"/>
      <c r="BLC37" s="426"/>
      <c r="BLD37" s="424"/>
      <c r="BLE37" s="426"/>
      <c r="BLF37" s="424"/>
      <c r="BLG37" s="426"/>
      <c r="BLH37" s="424"/>
      <c r="BLI37" s="426"/>
      <c r="BLJ37" s="424"/>
      <c r="BLK37" s="426"/>
      <c r="BLL37" s="424"/>
      <c r="BLM37" s="426"/>
      <c r="BLN37" s="424"/>
      <c r="BLO37" s="426"/>
      <c r="BLP37" s="424"/>
      <c r="BLQ37" s="426"/>
      <c r="BLR37" s="424"/>
      <c r="BLS37" s="426"/>
      <c r="BLT37" s="424"/>
      <c r="BLU37" s="426"/>
      <c r="BLV37" s="424"/>
      <c r="BLW37" s="426"/>
      <c r="BLX37" s="424"/>
      <c r="BLY37" s="426"/>
      <c r="BLZ37" s="424"/>
      <c r="BMA37" s="426"/>
      <c r="BMB37" s="424"/>
      <c r="BMC37" s="426"/>
      <c r="BMD37" s="424"/>
      <c r="BME37" s="426"/>
      <c r="BMF37" s="424"/>
      <c r="BMG37" s="426"/>
      <c r="BMH37" s="424"/>
      <c r="BMI37" s="426"/>
      <c r="BMJ37" s="424"/>
      <c r="BMK37" s="426"/>
      <c r="BML37" s="424"/>
      <c r="BMM37" s="426"/>
      <c r="BMN37" s="424"/>
      <c r="BMO37" s="426"/>
      <c r="BMP37" s="424"/>
      <c r="BMQ37" s="426"/>
      <c r="BMR37" s="424"/>
      <c r="BMS37" s="426"/>
      <c r="BMT37" s="424"/>
      <c r="BMU37" s="426"/>
      <c r="BMV37" s="424"/>
      <c r="BMW37" s="426"/>
      <c r="BMX37" s="424"/>
      <c r="BMY37" s="426"/>
      <c r="BMZ37" s="424"/>
      <c r="BNA37" s="426"/>
      <c r="BNB37" s="424"/>
      <c r="BNC37" s="426"/>
      <c r="BND37" s="424"/>
      <c r="BNE37" s="426"/>
      <c r="BNF37" s="424"/>
      <c r="BNG37" s="426"/>
      <c r="BNH37" s="424"/>
      <c r="BNI37" s="426"/>
      <c r="BNJ37" s="424"/>
      <c r="BNK37" s="426"/>
      <c r="BNL37" s="424"/>
      <c r="BNM37" s="426"/>
      <c r="BNN37" s="424"/>
      <c r="BNO37" s="426"/>
      <c r="BNP37" s="424"/>
      <c r="BNQ37" s="426"/>
      <c r="BNR37" s="424"/>
      <c r="BNS37" s="426"/>
      <c r="BNT37" s="424"/>
      <c r="BNU37" s="426"/>
      <c r="BNV37" s="424"/>
      <c r="BNW37" s="426"/>
      <c r="BNX37" s="424"/>
      <c r="BNY37" s="426"/>
      <c r="BNZ37" s="424"/>
      <c r="BOA37" s="426"/>
      <c r="BOB37" s="424"/>
      <c r="BOC37" s="426"/>
      <c r="BOD37" s="424"/>
      <c r="BOE37" s="426"/>
      <c r="BOF37" s="424"/>
      <c r="BOG37" s="426"/>
      <c r="BOH37" s="424"/>
      <c r="BOI37" s="426"/>
      <c r="BOJ37" s="424"/>
      <c r="BOK37" s="426"/>
      <c r="BOL37" s="424"/>
      <c r="BOM37" s="426"/>
      <c r="BON37" s="424"/>
      <c r="BOO37" s="426"/>
      <c r="BOP37" s="424"/>
      <c r="BOQ37" s="426"/>
      <c r="BOR37" s="424"/>
      <c r="BOS37" s="426"/>
      <c r="BOT37" s="424"/>
      <c r="BOU37" s="426"/>
      <c r="BOV37" s="424"/>
      <c r="BOW37" s="426"/>
      <c r="BOX37" s="424"/>
      <c r="BOY37" s="426"/>
      <c r="BOZ37" s="424"/>
      <c r="BPA37" s="426"/>
      <c r="BPB37" s="424"/>
      <c r="BPC37" s="426"/>
      <c r="BPD37" s="424"/>
      <c r="BPE37" s="426"/>
      <c r="BPF37" s="424"/>
      <c r="BPG37" s="426"/>
      <c r="BPH37" s="424"/>
      <c r="BPI37" s="426"/>
      <c r="BPJ37" s="424"/>
      <c r="BPK37" s="426"/>
      <c r="BPL37" s="424"/>
      <c r="BPM37" s="426"/>
      <c r="BPN37" s="424"/>
      <c r="BPO37" s="426"/>
      <c r="BPP37" s="424"/>
      <c r="BPQ37" s="426"/>
      <c r="BPR37" s="424"/>
      <c r="BPS37" s="426"/>
      <c r="BPT37" s="424"/>
      <c r="BPU37" s="426"/>
      <c r="BPV37" s="424"/>
      <c r="BPW37" s="426"/>
      <c r="BPX37" s="424"/>
      <c r="BPY37" s="426"/>
      <c r="BPZ37" s="424"/>
      <c r="BQA37" s="426"/>
      <c r="BQB37" s="424"/>
      <c r="BQC37" s="426"/>
      <c r="BQD37" s="424"/>
      <c r="BQE37" s="426"/>
      <c r="BQF37" s="424"/>
      <c r="BQG37" s="426"/>
      <c r="BQH37" s="424"/>
      <c r="BQI37" s="426"/>
      <c r="BQJ37" s="424"/>
      <c r="BQK37" s="426"/>
      <c r="BQL37" s="424"/>
      <c r="BQM37" s="426"/>
      <c r="BQN37" s="424"/>
      <c r="BQO37" s="426"/>
      <c r="BQP37" s="424"/>
      <c r="BQQ37" s="426"/>
      <c r="BQR37" s="424"/>
      <c r="BQS37" s="426"/>
      <c r="BQT37" s="424"/>
      <c r="BQU37" s="426"/>
      <c r="BQV37" s="424"/>
      <c r="BQW37" s="426"/>
      <c r="BQX37" s="424"/>
      <c r="BQY37" s="426"/>
      <c r="BQZ37" s="424"/>
      <c r="BRA37" s="426"/>
      <c r="BRB37" s="424"/>
      <c r="BRC37" s="426"/>
      <c r="BRD37" s="424"/>
      <c r="BRE37" s="426"/>
      <c r="BRF37" s="424"/>
      <c r="BRG37" s="426"/>
      <c r="BRH37" s="424"/>
      <c r="BRI37" s="426"/>
      <c r="BRJ37" s="424"/>
      <c r="BRK37" s="426"/>
      <c r="BRL37" s="424"/>
      <c r="BRM37" s="426"/>
      <c r="BRN37" s="424"/>
      <c r="BRO37" s="426"/>
      <c r="BRP37" s="424"/>
      <c r="BRQ37" s="426"/>
      <c r="BRR37" s="424"/>
      <c r="BRS37" s="426"/>
      <c r="BRT37" s="424"/>
      <c r="BRU37" s="426"/>
      <c r="BRV37" s="424"/>
      <c r="BRW37" s="426"/>
      <c r="BRX37" s="424"/>
      <c r="BRY37" s="426"/>
      <c r="BRZ37" s="424"/>
      <c r="BSA37" s="426"/>
      <c r="BSB37" s="424"/>
      <c r="BSC37" s="426"/>
      <c r="BSD37" s="424"/>
      <c r="BSE37" s="426"/>
      <c r="BSF37" s="424"/>
      <c r="BSG37" s="426"/>
      <c r="BSH37" s="424"/>
      <c r="BSI37" s="426"/>
      <c r="BSJ37" s="424"/>
      <c r="BSK37" s="426"/>
      <c r="BSL37" s="424"/>
      <c r="BSM37" s="426"/>
      <c r="BSN37" s="424"/>
      <c r="BSO37" s="426"/>
      <c r="BSP37" s="424"/>
      <c r="BSQ37" s="426"/>
      <c r="BSR37" s="424"/>
      <c r="BSS37" s="426"/>
      <c r="BST37" s="424"/>
      <c r="BSU37" s="426"/>
      <c r="BSV37" s="424"/>
      <c r="BSW37" s="426"/>
      <c r="BSX37" s="424"/>
      <c r="BSY37" s="426"/>
      <c r="BSZ37" s="424"/>
      <c r="BTA37" s="426"/>
      <c r="BTB37" s="424"/>
      <c r="BTC37" s="426"/>
      <c r="BTD37" s="424"/>
      <c r="BTE37" s="426"/>
      <c r="BTF37" s="424"/>
      <c r="BTG37" s="426"/>
      <c r="BTH37" s="424"/>
      <c r="BTI37" s="426"/>
      <c r="BTJ37" s="424"/>
      <c r="BTK37" s="426"/>
      <c r="BTL37" s="424"/>
      <c r="BTM37" s="426"/>
      <c r="BTN37" s="424"/>
      <c r="BTO37" s="426"/>
      <c r="BTP37" s="424"/>
      <c r="BTQ37" s="426"/>
      <c r="BTR37" s="424"/>
      <c r="BTS37" s="426"/>
      <c r="BTT37" s="424"/>
      <c r="BTU37" s="426"/>
      <c r="BTV37" s="424"/>
      <c r="BTW37" s="426"/>
      <c r="BTX37" s="424"/>
      <c r="BTY37" s="426"/>
      <c r="BTZ37" s="424"/>
      <c r="BUA37" s="426"/>
      <c r="BUB37" s="424"/>
      <c r="BUC37" s="426"/>
      <c r="BUD37" s="424"/>
      <c r="BUE37" s="426"/>
      <c r="BUF37" s="424"/>
      <c r="BUG37" s="426"/>
      <c r="BUH37" s="424"/>
      <c r="BUI37" s="426"/>
      <c r="BUJ37" s="424"/>
      <c r="BUK37" s="426"/>
      <c r="BUL37" s="424"/>
      <c r="BUM37" s="426"/>
      <c r="BUN37" s="424"/>
      <c r="BUO37" s="426"/>
      <c r="BUP37" s="424"/>
      <c r="BUQ37" s="426"/>
      <c r="BUR37" s="424"/>
      <c r="BUS37" s="426"/>
      <c r="BUT37" s="424"/>
      <c r="BUU37" s="426"/>
      <c r="BUV37" s="424"/>
      <c r="BUW37" s="426"/>
      <c r="BUX37" s="424"/>
      <c r="BUY37" s="426"/>
      <c r="BUZ37" s="424"/>
      <c r="BVA37" s="426"/>
      <c r="BVB37" s="424"/>
      <c r="BVC37" s="426"/>
      <c r="BVD37" s="424"/>
      <c r="BVE37" s="426"/>
      <c r="BVF37" s="424"/>
      <c r="BVG37" s="426"/>
      <c r="BVH37" s="424"/>
      <c r="BVI37" s="426"/>
      <c r="BVJ37" s="424"/>
      <c r="BVK37" s="426"/>
      <c r="BVL37" s="424"/>
      <c r="BVM37" s="426"/>
      <c r="BVN37" s="424"/>
      <c r="BVO37" s="426"/>
      <c r="BVP37" s="424"/>
      <c r="BVQ37" s="426"/>
      <c r="BVR37" s="424"/>
      <c r="BVS37" s="426"/>
      <c r="BVT37" s="424"/>
      <c r="BVU37" s="426"/>
      <c r="BVV37" s="424"/>
      <c r="BVW37" s="426"/>
      <c r="BVX37" s="424"/>
      <c r="BVY37" s="426"/>
      <c r="BVZ37" s="424"/>
      <c r="BWA37" s="426"/>
      <c r="BWB37" s="424"/>
      <c r="BWC37" s="426"/>
      <c r="BWD37" s="424"/>
      <c r="BWE37" s="426"/>
      <c r="BWF37" s="424"/>
      <c r="BWG37" s="426"/>
      <c r="BWH37" s="424"/>
      <c r="BWI37" s="426"/>
      <c r="BWJ37" s="424"/>
      <c r="BWK37" s="426"/>
      <c r="BWL37" s="424"/>
      <c r="BWM37" s="426"/>
      <c r="BWN37" s="424"/>
      <c r="BWO37" s="426"/>
      <c r="BWP37" s="424"/>
      <c r="BWQ37" s="426"/>
      <c r="BWR37" s="424"/>
      <c r="BWS37" s="426"/>
      <c r="BWT37" s="424"/>
      <c r="BWU37" s="426"/>
      <c r="BWV37" s="424"/>
      <c r="BWW37" s="426"/>
      <c r="BWX37" s="424"/>
      <c r="BWY37" s="426"/>
      <c r="BWZ37" s="424"/>
      <c r="BXA37" s="426"/>
      <c r="BXB37" s="424"/>
      <c r="BXC37" s="426"/>
      <c r="BXD37" s="424"/>
      <c r="BXE37" s="426"/>
      <c r="BXF37" s="424"/>
      <c r="BXG37" s="426"/>
      <c r="BXH37" s="424"/>
      <c r="BXI37" s="426"/>
      <c r="BXJ37" s="424"/>
      <c r="BXK37" s="426"/>
      <c r="BXL37" s="424"/>
      <c r="BXM37" s="426"/>
      <c r="BXN37" s="424"/>
      <c r="BXO37" s="426"/>
      <c r="BXP37" s="424"/>
      <c r="BXQ37" s="426"/>
      <c r="BXR37" s="424"/>
      <c r="BXS37" s="426"/>
      <c r="BXT37" s="424"/>
      <c r="BXU37" s="426"/>
      <c r="BXV37" s="424"/>
      <c r="BXW37" s="426"/>
      <c r="BXX37" s="424"/>
      <c r="BXY37" s="426"/>
      <c r="BXZ37" s="424"/>
      <c r="BYA37" s="426"/>
      <c r="BYB37" s="424"/>
      <c r="BYC37" s="426"/>
      <c r="BYD37" s="424"/>
      <c r="BYE37" s="426"/>
      <c r="BYF37" s="424"/>
      <c r="BYG37" s="426"/>
      <c r="BYH37" s="424"/>
      <c r="BYI37" s="426"/>
      <c r="BYJ37" s="424"/>
      <c r="BYK37" s="426"/>
      <c r="BYL37" s="424"/>
      <c r="BYM37" s="426"/>
      <c r="BYN37" s="424"/>
      <c r="BYO37" s="426"/>
      <c r="BYP37" s="424"/>
      <c r="BYQ37" s="426"/>
      <c r="BYR37" s="424"/>
      <c r="BYS37" s="426"/>
      <c r="BYT37" s="424"/>
      <c r="BYU37" s="426"/>
      <c r="BYV37" s="424"/>
      <c r="BYW37" s="426"/>
      <c r="BYX37" s="424"/>
      <c r="BYY37" s="426"/>
      <c r="BYZ37" s="424"/>
      <c r="BZA37" s="426"/>
      <c r="BZB37" s="424"/>
      <c r="BZC37" s="426"/>
      <c r="BZD37" s="424"/>
      <c r="BZE37" s="426"/>
      <c r="BZF37" s="424"/>
      <c r="BZG37" s="426"/>
      <c r="BZH37" s="424"/>
      <c r="BZI37" s="426"/>
      <c r="BZJ37" s="424"/>
      <c r="BZK37" s="426"/>
      <c r="BZL37" s="424"/>
      <c r="BZM37" s="426"/>
      <c r="BZN37" s="424"/>
      <c r="BZO37" s="426"/>
      <c r="BZP37" s="424"/>
      <c r="BZQ37" s="426"/>
      <c r="BZR37" s="424"/>
      <c r="BZS37" s="426"/>
      <c r="BZT37" s="424"/>
      <c r="BZU37" s="426"/>
      <c r="BZV37" s="424"/>
      <c r="BZW37" s="426"/>
      <c r="BZX37" s="424"/>
      <c r="BZY37" s="426"/>
      <c r="BZZ37" s="424"/>
      <c r="CAA37" s="426"/>
      <c r="CAB37" s="424"/>
      <c r="CAC37" s="426"/>
      <c r="CAD37" s="424"/>
      <c r="CAE37" s="426"/>
      <c r="CAF37" s="424"/>
      <c r="CAG37" s="426"/>
      <c r="CAH37" s="424"/>
      <c r="CAI37" s="426"/>
      <c r="CAJ37" s="424"/>
      <c r="CAK37" s="426"/>
      <c r="CAL37" s="424"/>
      <c r="CAM37" s="426"/>
      <c r="CAN37" s="424"/>
      <c r="CAO37" s="426"/>
      <c r="CAP37" s="424"/>
      <c r="CAQ37" s="426"/>
      <c r="CAR37" s="424"/>
      <c r="CAS37" s="426"/>
      <c r="CAT37" s="424"/>
      <c r="CAU37" s="426"/>
      <c r="CAV37" s="424"/>
      <c r="CAW37" s="426"/>
      <c r="CAX37" s="424"/>
      <c r="CAY37" s="426"/>
      <c r="CAZ37" s="424"/>
      <c r="CBA37" s="426"/>
      <c r="CBB37" s="424"/>
      <c r="CBC37" s="426"/>
      <c r="CBD37" s="424"/>
      <c r="CBE37" s="426"/>
      <c r="CBF37" s="424"/>
      <c r="CBG37" s="426"/>
      <c r="CBH37" s="424"/>
      <c r="CBI37" s="426"/>
      <c r="CBJ37" s="424"/>
      <c r="CBK37" s="426"/>
      <c r="CBL37" s="424"/>
      <c r="CBM37" s="426"/>
      <c r="CBN37" s="424"/>
      <c r="CBO37" s="426"/>
      <c r="CBP37" s="424"/>
      <c r="CBQ37" s="426"/>
      <c r="CBR37" s="424"/>
      <c r="CBS37" s="426"/>
      <c r="CBT37" s="424"/>
      <c r="CBU37" s="426"/>
      <c r="CBV37" s="424"/>
      <c r="CBW37" s="426"/>
      <c r="CBX37" s="424"/>
      <c r="CBY37" s="426"/>
      <c r="CBZ37" s="424"/>
      <c r="CCA37" s="426"/>
      <c r="CCB37" s="424"/>
      <c r="CCC37" s="426"/>
      <c r="CCD37" s="424"/>
      <c r="CCE37" s="426"/>
      <c r="CCF37" s="424"/>
      <c r="CCG37" s="426"/>
      <c r="CCH37" s="424"/>
      <c r="CCI37" s="426"/>
      <c r="CCJ37" s="424"/>
      <c r="CCK37" s="426"/>
      <c r="CCL37" s="424"/>
      <c r="CCM37" s="426"/>
      <c r="CCN37" s="424"/>
      <c r="CCO37" s="426"/>
      <c r="CCP37" s="424"/>
      <c r="CCQ37" s="426"/>
      <c r="CCR37" s="424"/>
      <c r="CCS37" s="426"/>
      <c r="CCT37" s="424"/>
      <c r="CCU37" s="426"/>
      <c r="CCV37" s="424"/>
      <c r="CCW37" s="426"/>
      <c r="CCX37" s="424"/>
      <c r="CCY37" s="426"/>
      <c r="CCZ37" s="424"/>
      <c r="CDA37" s="426"/>
      <c r="CDB37" s="424"/>
      <c r="CDC37" s="426"/>
      <c r="CDD37" s="424"/>
      <c r="CDE37" s="426"/>
      <c r="CDF37" s="424"/>
      <c r="CDG37" s="426"/>
      <c r="CDH37" s="424"/>
      <c r="CDI37" s="426"/>
      <c r="CDJ37" s="424"/>
      <c r="CDK37" s="426"/>
      <c r="CDL37" s="424"/>
      <c r="CDM37" s="426"/>
      <c r="CDN37" s="424"/>
      <c r="CDO37" s="426"/>
      <c r="CDP37" s="424"/>
      <c r="CDQ37" s="426"/>
      <c r="CDR37" s="424"/>
      <c r="CDS37" s="426"/>
      <c r="CDT37" s="424"/>
      <c r="CDU37" s="426"/>
      <c r="CDV37" s="424"/>
      <c r="CDW37" s="426"/>
      <c r="CDX37" s="424"/>
      <c r="CDY37" s="426"/>
      <c r="CDZ37" s="424"/>
      <c r="CEA37" s="426"/>
      <c r="CEB37" s="424"/>
      <c r="CEC37" s="426"/>
      <c r="CED37" s="424"/>
      <c r="CEE37" s="426"/>
      <c r="CEF37" s="424"/>
      <c r="CEG37" s="426"/>
      <c r="CEH37" s="424"/>
      <c r="CEI37" s="426"/>
      <c r="CEJ37" s="424"/>
      <c r="CEK37" s="426"/>
      <c r="CEL37" s="424"/>
      <c r="CEM37" s="426"/>
      <c r="CEN37" s="424"/>
      <c r="CEO37" s="426"/>
      <c r="CEP37" s="424"/>
      <c r="CEQ37" s="426"/>
      <c r="CER37" s="424"/>
      <c r="CES37" s="426"/>
      <c r="CET37" s="424"/>
      <c r="CEU37" s="426"/>
      <c r="CEV37" s="424"/>
      <c r="CEW37" s="426"/>
      <c r="CEX37" s="424"/>
      <c r="CEY37" s="426"/>
      <c r="CEZ37" s="424"/>
      <c r="CFA37" s="426"/>
      <c r="CFB37" s="424"/>
      <c r="CFC37" s="426"/>
      <c r="CFD37" s="424"/>
      <c r="CFE37" s="426"/>
      <c r="CFF37" s="424"/>
      <c r="CFG37" s="426"/>
      <c r="CFH37" s="424"/>
      <c r="CFI37" s="426"/>
      <c r="CFJ37" s="424"/>
      <c r="CFK37" s="426"/>
      <c r="CFL37" s="424"/>
      <c r="CFM37" s="426"/>
      <c r="CFN37" s="424"/>
      <c r="CFO37" s="426"/>
      <c r="CFP37" s="424"/>
      <c r="CFQ37" s="426"/>
      <c r="CFR37" s="424"/>
      <c r="CFS37" s="426"/>
      <c r="CFT37" s="424"/>
      <c r="CFU37" s="426"/>
      <c r="CFV37" s="424"/>
      <c r="CFW37" s="426"/>
      <c r="CFX37" s="424"/>
      <c r="CFY37" s="426"/>
      <c r="CFZ37" s="424"/>
      <c r="CGA37" s="426"/>
      <c r="CGB37" s="424"/>
      <c r="CGC37" s="426"/>
      <c r="CGD37" s="424"/>
      <c r="CGE37" s="426"/>
      <c r="CGF37" s="424"/>
      <c r="CGG37" s="426"/>
      <c r="CGH37" s="424"/>
      <c r="CGI37" s="426"/>
      <c r="CGJ37" s="424"/>
      <c r="CGK37" s="426"/>
      <c r="CGL37" s="424"/>
      <c r="CGM37" s="426"/>
      <c r="CGN37" s="424"/>
      <c r="CGO37" s="426"/>
      <c r="CGP37" s="424"/>
      <c r="CGQ37" s="426"/>
      <c r="CGR37" s="424"/>
      <c r="CGS37" s="426"/>
      <c r="CGT37" s="424"/>
      <c r="CGU37" s="426"/>
      <c r="CGV37" s="424"/>
      <c r="CGW37" s="426"/>
      <c r="CGX37" s="424"/>
      <c r="CGY37" s="426"/>
      <c r="CGZ37" s="424"/>
      <c r="CHA37" s="426"/>
      <c r="CHB37" s="424"/>
      <c r="CHC37" s="426"/>
      <c r="CHD37" s="424"/>
      <c r="CHE37" s="426"/>
      <c r="CHF37" s="424"/>
      <c r="CHG37" s="426"/>
      <c r="CHH37" s="424"/>
      <c r="CHI37" s="426"/>
      <c r="CHJ37" s="424"/>
      <c r="CHK37" s="426"/>
      <c r="CHL37" s="424"/>
      <c r="CHM37" s="426"/>
      <c r="CHN37" s="424"/>
      <c r="CHO37" s="426"/>
      <c r="CHP37" s="424"/>
      <c r="CHQ37" s="426"/>
      <c r="CHR37" s="424"/>
      <c r="CHS37" s="426"/>
      <c r="CHT37" s="424"/>
      <c r="CHU37" s="426"/>
      <c r="CHV37" s="424"/>
      <c r="CHW37" s="426"/>
      <c r="CHX37" s="424"/>
      <c r="CHY37" s="426"/>
      <c r="CHZ37" s="424"/>
      <c r="CIA37" s="426"/>
      <c r="CIB37" s="424"/>
      <c r="CIC37" s="426"/>
      <c r="CID37" s="424"/>
      <c r="CIE37" s="426"/>
      <c r="CIF37" s="424"/>
      <c r="CIG37" s="426"/>
      <c r="CIH37" s="424"/>
      <c r="CII37" s="426"/>
      <c r="CIJ37" s="424"/>
      <c r="CIK37" s="426"/>
      <c r="CIL37" s="424"/>
      <c r="CIM37" s="426"/>
      <c r="CIN37" s="424"/>
      <c r="CIO37" s="426"/>
      <c r="CIP37" s="424"/>
      <c r="CIQ37" s="426"/>
      <c r="CIR37" s="424"/>
      <c r="CIS37" s="426"/>
      <c r="CIT37" s="424"/>
      <c r="CIU37" s="426"/>
      <c r="CIV37" s="424"/>
      <c r="CIW37" s="426"/>
      <c r="CIX37" s="424"/>
      <c r="CIY37" s="426"/>
      <c r="CIZ37" s="424"/>
      <c r="CJA37" s="426"/>
      <c r="CJB37" s="424"/>
      <c r="CJC37" s="426"/>
      <c r="CJD37" s="424"/>
      <c r="CJE37" s="426"/>
      <c r="CJF37" s="424"/>
      <c r="CJG37" s="426"/>
      <c r="CJH37" s="424"/>
      <c r="CJI37" s="426"/>
      <c r="CJJ37" s="424"/>
      <c r="CJK37" s="426"/>
      <c r="CJL37" s="424"/>
      <c r="CJM37" s="426"/>
      <c r="CJN37" s="424"/>
      <c r="CJO37" s="426"/>
      <c r="CJP37" s="424"/>
      <c r="CJQ37" s="426"/>
      <c r="CJR37" s="424"/>
      <c r="CJS37" s="426"/>
      <c r="CJT37" s="424"/>
      <c r="CJU37" s="426"/>
      <c r="CJV37" s="424"/>
      <c r="CJW37" s="426"/>
      <c r="CJX37" s="424"/>
      <c r="CJY37" s="426"/>
      <c r="CJZ37" s="424"/>
      <c r="CKA37" s="426"/>
      <c r="CKB37" s="424"/>
      <c r="CKC37" s="426"/>
      <c r="CKD37" s="424"/>
      <c r="CKE37" s="426"/>
      <c r="CKF37" s="424"/>
      <c r="CKG37" s="426"/>
      <c r="CKH37" s="424"/>
      <c r="CKI37" s="426"/>
      <c r="CKJ37" s="424"/>
      <c r="CKK37" s="426"/>
      <c r="CKL37" s="424"/>
      <c r="CKM37" s="426"/>
      <c r="CKN37" s="424"/>
      <c r="CKO37" s="426"/>
      <c r="CKP37" s="424"/>
      <c r="CKQ37" s="426"/>
      <c r="CKR37" s="424"/>
      <c r="CKS37" s="426"/>
      <c r="CKT37" s="424"/>
      <c r="CKU37" s="426"/>
      <c r="CKV37" s="424"/>
      <c r="CKW37" s="426"/>
      <c r="CKX37" s="424"/>
      <c r="CKY37" s="426"/>
      <c r="CKZ37" s="424"/>
      <c r="CLA37" s="426"/>
      <c r="CLB37" s="424"/>
      <c r="CLC37" s="426"/>
      <c r="CLD37" s="424"/>
      <c r="CLE37" s="426"/>
      <c r="CLF37" s="424"/>
      <c r="CLG37" s="426"/>
      <c r="CLH37" s="424"/>
      <c r="CLI37" s="426"/>
      <c r="CLJ37" s="424"/>
      <c r="CLK37" s="426"/>
      <c r="CLL37" s="424"/>
      <c r="CLM37" s="426"/>
      <c r="CLN37" s="424"/>
      <c r="CLO37" s="426"/>
      <c r="CLP37" s="424"/>
      <c r="CLQ37" s="426"/>
      <c r="CLR37" s="424"/>
      <c r="CLS37" s="426"/>
      <c r="CLT37" s="424"/>
      <c r="CLU37" s="426"/>
      <c r="CLV37" s="424"/>
      <c r="CLW37" s="426"/>
      <c r="CLX37" s="424"/>
      <c r="CLY37" s="426"/>
      <c r="CLZ37" s="424"/>
      <c r="CMA37" s="426"/>
      <c r="CMB37" s="424"/>
      <c r="CMC37" s="426"/>
      <c r="CMD37" s="424"/>
      <c r="CME37" s="426"/>
      <c r="CMF37" s="424"/>
      <c r="CMG37" s="426"/>
      <c r="CMH37" s="424"/>
      <c r="CMI37" s="426"/>
      <c r="CMJ37" s="424"/>
      <c r="CMK37" s="426"/>
      <c r="CML37" s="424"/>
      <c r="CMM37" s="426"/>
      <c r="CMN37" s="424"/>
      <c r="CMO37" s="426"/>
      <c r="CMP37" s="424"/>
      <c r="CMQ37" s="426"/>
      <c r="CMR37" s="424"/>
      <c r="CMS37" s="426"/>
      <c r="CMT37" s="424"/>
      <c r="CMU37" s="426"/>
      <c r="CMV37" s="424"/>
      <c r="CMW37" s="426"/>
      <c r="CMX37" s="424"/>
      <c r="CMY37" s="426"/>
      <c r="CMZ37" s="424"/>
      <c r="CNA37" s="426"/>
      <c r="CNB37" s="424"/>
      <c r="CNC37" s="426"/>
      <c r="CND37" s="424"/>
      <c r="CNE37" s="426"/>
      <c r="CNF37" s="424"/>
      <c r="CNG37" s="426"/>
      <c r="CNH37" s="424"/>
      <c r="CNI37" s="426"/>
      <c r="CNJ37" s="424"/>
      <c r="CNK37" s="426"/>
      <c r="CNL37" s="424"/>
      <c r="CNM37" s="426"/>
      <c r="CNN37" s="424"/>
      <c r="CNO37" s="426"/>
      <c r="CNP37" s="424"/>
      <c r="CNQ37" s="426"/>
      <c r="CNR37" s="424"/>
      <c r="CNS37" s="426"/>
      <c r="CNT37" s="424"/>
      <c r="CNU37" s="426"/>
      <c r="CNV37" s="424"/>
      <c r="CNW37" s="426"/>
      <c r="CNX37" s="424"/>
      <c r="CNY37" s="426"/>
      <c r="CNZ37" s="424"/>
      <c r="COA37" s="426"/>
      <c r="COB37" s="424"/>
      <c r="COC37" s="426"/>
      <c r="COD37" s="424"/>
      <c r="COE37" s="426"/>
      <c r="COF37" s="424"/>
      <c r="COG37" s="426"/>
      <c r="COH37" s="424"/>
      <c r="COI37" s="426"/>
      <c r="COJ37" s="424"/>
      <c r="COK37" s="426"/>
      <c r="COL37" s="424"/>
      <c r="COM37" s="426"/>
      <c r="CON37" s="424"/>
      <c r="COO37" s="426"/>
      <c r="COP37" s="424"/>
      <c r="COQ37" s="426"/>
      <c r="COR37" s="424"/>
      <c r="COS37" s="426"/>
      <c r="COT37" s="424"/>
      <c r="COU37" s="426"/>
      <c r="COV37" s="424"/>
      <c r="COW37" s="426"/>
      <c r="COX37" s="424"/>
      <c r="COY37" s="426"/>
      <c r="COZ37" s="424"/>
      <c r="CPA37" s="426"/>
      <c r="CPB37" s="424"/>
      <c r="CPC37" s="426"/>
      <c r="CPD37" s="424"/>
      <c r="CPE37" s="426"/>
      <c r="CPF37" s="424"/>
      <c r="CPG37" s="426"/>
      <c r="CPH37" s="424"/>
      <c r="CPI37" s="426"/>
      <c r="CPJ37" s="424"/>
      <c r="CPK37" s="426"/>
      <c r="CPL37" s="424"/>
      <c r="CPM37" s="426"/>
      <c r="CPN37" s="424"/>
      <c r="CPO37" s="426"/>
      <c r="CPP37" s="424"/>
      <c r="CPQ37" s="426"/>
      <c r="CPR37" s="424"/>
      <c r="CPS37" s="426"/>
      <c r="CPT37" s="424"/>
      <c r="CPU37" s="426"/>
      <c r="CPV37" s="424"/>
      <c r="CPW37" s="426"/>
      <c r="CPX37" s="424"/>
      <c r="CPY37" s="426"/>
      <c r="CPZ37" s="424"/>
      <c r="CQA37" s="426"/>
      <c r="CQB37" s="424"/>
      <c r="CQC37" s="426"/>
      <c r="CQD37" s="424"/>
      <c r="CQE37" s="426"/>
      <c r="CQF37" s="424"/>
      <c r="CQG37" s="426"/>
      <c r="CQH37" s="424"/>
      <c r="CQI37" s="426"/>
      <c r="CQJ37" s="424"/>
      <c r="CQK37" s="426"/>
      <c r="CQL37" s="424"/>
      <c r="CQM37" s="426"/>
      <c r="CQN37" s="424"/>
      <c r="CQO37" s="426"/>
      <c r="CQP37" s="424"/>
      <c r="CQQ37" s="426"/>
      <c r="CQR37" s="424"/>
      <c r="CQS37" s="426"/>
      <c r="CQT37" s="424"/>
      <c r="CQU37" s="426"/>
      <c r="CQV37" s="424"/>
      <c r="CQW37" s="426"/>
      <c r="CQX37" s="424"/>
      <c r="CQY37" s="426"/>
      <c r="CQZ37" s="424"/>
      <c r="CRA37" s="426"/>
      <c r="CRB37" s="424"/>
      <c r="CRC37" s="426"/>
      <c r="CRD37" s="424"/>
      <c r="CRE37" s="426"/>
      <c r="CRF37" s="424"/>
      <c r="CRG37" s="426"/>
      <c r="CRH37" s="424"/>
      <c r="CRI37" s="426"/>
      <c r="CRJ37" s="424"/>
      <c r="CRK37" s="426"/>
      <c r="CRL37" s="424"/>
      <c r="CRM37" s="426"/>
      <c r="CRN37" s="424"/>
      <c r="CRO37" s="426"/>
      <c r="CRP37" s="424"/>
      <c r="CRQ37" s="426"/>
      <c r="CRR37" s="424"/>
      <c r="CRS37" s="426"/>
      <c r="CRT37" s="424"/>
      <c r="CRU37" s="426"/>
      <c r="CRV37" s="424"/>
      <c r="CRW37" s="426"/>
      <c r="CRX37" s="424"/>
      <c r="CRY37" s="426"/>
      <c r="CRZ37" s="424"/>
      <c r="CSA37" s="426"/>
      <c r="CSB37" s="424"/>
      <c r="CSC37" s="426"/>
      <c r="CSD37" s="424"/>
      <c r="CSE37" s="426"/>
      <c r="CSF37" s="424"/>
      <c r="CSG37" s="426"/>
      <c r="CSH37" s="424"/>
      <c r="CSI37" s="426"/>
      <c r="CSJ37" s="424"/>
      <c r="CSK37" s="426"/>
      <c r="CSL37" s="424"/>
      <c r="CSM37" s="426"/>
      <c r="CSN37" s="424"/>
      <c r="CSO37" s="426"/>
      <c r="CSP37" s="424"/>
      <c r="CSQ37" s="426"/>
      <c r="CSR37" s="424"/>
      <c r="CSS37" s="426"/>
      <c r="CST37" s="424"/>
      <c r="CSU37" s="426"/>
      <c r="CSV37" s="424"/>
      <c r="CSW37" s="426"/>
      <c r="CSX37" s="424"/>
      <c r="CSY37" s="426"/>
      <c r="CSZ37" s="424"/>
      <c r="CTA37" s="426"/>
      <c r="CTB37" s="424"/>
      <c r="CTC37" s="426"/>
      <c r="CTD37" s="424"/>
      <c r="CTE37" s="426"/>
      <c r="CTF37" s="424"/>
      <c r="CTG37" s="426"/>
      <c r="CTH37" s="424"/>
      <c r="CTI37" s="426"/>
      <c r="CTJ37" s="424"/>
      <c r="CTK37" s="426"/>
      <c r="CTL37" s="424"/>
      <c r="CTM37" s="426"/>
      <c r="CTN37" s="424"/>
      <c r="CTO37" s="426"/>
      <c r="CTP37" s="424"/>
      <c r="CTQ37" s="426"/>
      <c r="CTR37" s="424"/>
      <c r="CTS37" s="426"/>
      <c r="CTT37" s="424"/>
      <c r="CTU37" s="426"/>
      <c r="CTV37" s="424"/>
      <c r="CTW37" s="426"/>
      <c r="CTX37" s="424"/>
      <c r="CTY37" s="426"/>
      <c r="CTZ37" s="424"/>
      <c r="CUA37" s="426"/>
      <c r="CUB37" s="424"/>
      <c r="CUC37" s="426"/>
      <c r="CUD37" s="424"/>
      <c r="CUE37" s="426"/>
      <c r="CUF37" s="424"/>
      <c r="CUG37" s="426"/>
      <c r="CUH37" s="424"/>
      <c r="CUI37" s="426"/>
      <c r="CUJ37" s="424"/>
      <c r="CUK37" s="426"/>
      <c r="CUL37" s="424"/>
      <c r="CUM37" s="426"/>
      <c r="CUN37" s="424"/>
      <c r="CUO37" s="426"/>
      <c r="CUP37" s="424"/>
      <c r="CUQ37" s="426"/>
      <c r="CUR37" s="424"/>
      <c r="CUS37" s="426"/>
      <c r="CUT37" s="424"/>
      <c r="CUU37" s="426"/>
      <c r="CUV37" s="424"/>
      <c r="CUW37" s="426"/>
      <c r="CUX37" s="424"/>
      <c r="CUY37" s="426"/>
      <c r="CUZ37" s="424"/>
      <c r="CVA37" s="426"/>
      <c r="CVB37" s="424"/>
      <c r="CVC37" s="426"/>
      <c r="CVD37" s="424"/>
      <c r="CVE37" s="426"/>
      <c r="CVF37" s="424"/>
      <c r="CVG37" s="426"/>
      <c r="CVH37" s="424"/>
      <c r="CVI37" s="426"/>
      <c r="CVJ37" s="424"/>
      <c r="CVK37" s="426"/>
      <c r="CVL37" s="424"/>
      <c r="CVM37" s="426"/>
      <c r="CVN37" s="424"/>
      <c r="CVO37" s="426"/>
      <c r="CVP37" s="424"/>
      <c r="CVQ37" s="426"/>
      <c r="CVR37" s="424"/>
      <c r="CVS37" s="426"/>
      <c r="CVT37" s="424"/>
      <c r="CVU37" s="426"/>
      <c r="CVV37" s="424"/>
      <c r="CVW37" s="426"/>
      <c r="CVX37" s="424"/>
      <c r="CVY37" s="426"/>
      <c r="CVZ37" s="424"/>
      <c r="CWA37" s="426"/>
      <c r="CWB37" s="424"/>
      <c r="CWC37" s="426"/>
      <c r="CWD37" s="424"/>
      <c r="CWE37" s="426"/>
      <c r="CWF37" s="424"/>
      <c r="CWG37" s="426"/>
      <c r="CWH37" s="424"/>
      <c r="CWI37" s="426"/>
      <c r="CWJ37" s="424"/>
      <c r="CWK37" s="426"/>
      <c r="CWL37" s="424"/>
      <c r="CWM37" s="426"/>
      <c r="CWN37" s="424"/>
      <c r="CWO37" s="426"/>
      <c r="CWP37" s="424"/>
      <c r="CWQ37" s="426"/>
      <c r="CWR37" s="424"/>
      <c r="CWS37" s="426"/>
      <c r="CWT37" s="424"/>
      <c r="CWU37" s="426"/>
      <c r="CWV37" s="424"/>
      <c r="CWW37" s="426"/>
      <c r="CWX37" s="424"/>
      <c r="CWY37" s="426"/>
      <c r="CWZ37" s="424"/>
      <c r="CXA37" s="426"/>
      <c r="CXB37" s="424"/>
      <c r="CXC37" s="426"/>
      <c r="CXD37" s="424"/>
      <c r="CXE37" s="426"/>
      <c r="CXF37" s="424"/>
      <c r="CXG37" s="426"/>
      <c r="CXH37" s="424"/>
      <c r="CXI37" s="426"/>
      <c r="CXJ37" s="424"/>
      <c r="CXK37" s="426"/>
      <c r="CXL37" s="424"/>
      <c r="CXM37" s="426"/>
      <c r="CXN37" s="424"/>
      <c r="CXO37" s="426"/>
      <c r="CXP37" s="424"/>
      <c r="CXQ37" s="426"/>
      <c r="CXR37" s="424"/>
      <c r="CXS37" s="426"/>
      <c r="CXT37" s="424"/>
      <c r="CXU37" s="426"/>
      <c r="CXV37" s="424"/>
      <c r="CXW37" s="426"/>
      <c r="CXX37" s="424"/>
      <c r="CXY37" s="426"/>
      <c r="CXZ37" s="424"/>
      <c r="CYA37" s="426"/>
      <c r="CYB37" s="424"/>
      <c r="CYC37" s="426"/>
      <c r="CYD37" s="424"/>
      <c r="CYE37" s="426"/>
      <c r="CYF37" s="424"/>
      <c r="CYG37" s="426"/>
      <c r="CYH37" s="424"/>
      <c r="CYI37" s="426"/>
      <c r="CYJ37" s="424"/>
      <c r="CYK37" s="426"/>
      <c r="CYL37" s="424"/>
      <c r="CYM37" s="426"/>
      <c r="CYN37" s="424"/>
      <c r="CYO37" s="426"/>
      <c r="CYP37" s="424"/>
      <c r="CYQ37" s="426"/>
      <c r="CYR37" s="424"/>
      <c r="CYS37" s="426"/>
      <c r="CYT37" s="424"/>
      <c r="CYU37" s="426"/>
      <c r="CYV37" s="424"/>
      <c r="CYW37" s="426"/>
      <c r="CYX37" s="424"/>
      <c r="CYY37" s="426"/>
      <c r="CYZ37" s="424"/>
      <c r="CZA37" s="426"/>
      <c r="CZB37" s="424"/>
      <c r="CZC37" s="426"/>
      <c r="CZD37" s="424"/>
      <c r="CZE37" s="426"/>
      <c r="CZF37" s="424"/>
      <c r="CZG37" s="426"/>
      <c r="CZH37" s="424"/>
      <c r="CZI37" s="426"/>
      <c r="CZJ37" s="424"/>
      <c r="CZK37" s="426"/>
      <c r="CZL37" s="424"/>
      <c r="CZM37" s="426"/>
      <c r="CZN37" s="424"/>
      <c r="CZO37" s="426"/>
      <c r="CZP37" s="424"/>
      <c r="CZQ37" s="426"/>
      <c r="CZR37" s="424"/>
      <c r="CZS37" s="426"/>
      <c r="CZT37" s="424"/>
      <c r="CZU37" s="426"/>
      <c r="CZV37" s="424"/>
      <c r="CZW37" s="426"/>
      <c r="CZX37" s="424"/>
      <c r="CZY37" s="426"/>
      <c r="CZZ37" s="424"/>
      <c r="DAA37" s="426"/>
      <c r="DAB37" s="424"/>
      <c r="DAC37" s="426"/>
      <c r="DAD37" s="424"/>
      <c r="DAE37" s="426"/>
      <c r="DAF37" s="424"/>
      <c r="DAG37" s="426"/>
      <c r="DAH37" s="424"/>
      <c r="DAI37" s="426"/>
      <c r="DAJ37" s="424"/>
      <c r="DAK37" s="426"/>
      <c r="DAL37" s="424"/>
      <c r="DAM37" s="426"/>
      <c r="DAN37" s="424"/>
      <c r="DAO37" s="426"/>
      <c r="DAP37" s="424"/>
      <c r="DAQ37" s="426"/>
      <c r="DAR37" s="424"/>
      <c r="DAS37" s="426"/>
      <c r="DAT37" s="424"/>
      <c r="DAU37" s="426"/>
      <c r="DAV37" s="424"/>
      <c r="DAW37" s="426"/>
      <c r="DAX37" s="424"/>
      <c r="DAY37" s="426"/>
      <c r="DAZ37" s="424"/>
      <c r="DBA37" s="426"/>
      <c r="DBB37" s="424"/>
      <c r="DBC37" s="426"/>
      <c r="DBD37" s="424"/>
      <c r="DBE37" s="426"/>
      <c r="DBF37" s="424"/>
      <c r="DBG37" s="426"/>
      <c r="DBH37" s="424"/>
      <c r="DBI37" s="426"/>
      <c r="DBJ37" s="424"/>
      <c r="DBK37" s="426"/>
      <c r="DBL37" s="424"/>
      <c r="DBM37" s="426"/>
      <c r="DBN37" s="424"/>
      <c r="DBO37" s="426"/>
      <c r="DBP37" s="424"/>
      <c r="DBQ37" s="426"/>
      <c r="DBR37" s="424"/>
      <c r="DBS37" s="426"/>
      <c r="DBT37" s="424"/>
      <c r="DBU37" s="426"/>
      <c r="DBV37" s="424"/>
      <c r="DBW37" s="426"/>
      <c r="DBX37" s="424"/>
      <c r="DBY37" s="426"/>
      <c r="DBZ37" s="424"/>
      <c r="DCA37" s="426"/>
      <c r="DCB37" s="424"/>
      <c r="DCC37" s="426"/>
      <c r="DCD37" s="424"/>
      <c r="DCE37" s="426"/>
      <c r="DCF37" s="424"/>
      <c r="DCG37" s="426"/>
      <c r="DCH37" s="424"/>
      <c r="DCI37" s="426"/>
      <c r="DCJ37" s="424"/>
      <c r="DCK37" s="426"/>
      <c r="DCL37" s="424"/>
      <c r="DCM37" s="426"/>
      <c r="DCN37" s="424"/>
      <c r="DCO37" s="426"/>
      <c r="DCP37" s="424"/>
      <c r="DCQ37" s="426"/>
      <c r="DCR37" s="424"/>
      <c r="DCS37" s="426"/>
      <c r="DCT37" s="424"/>
      <c r="DCU37" s="426"/>
      <c r="DCV37" s="424"/>
      <c r="DCW37" s="426"/>
      <c r="DCX37" s="424"/>
      <c r="DCY37" s="426"/>
      <c r="DCZ37" s="424"/>
      <c r="DDA37" s="426"/>
      <c r="DDB37" s="424"/>
      <c r="DDC37" s="426"/>
      <c r="DDD37" s="424"/>
      <c r="DDE37" s="426"/>
      <c r="DDF37" s="424"/>
      <c r="DDG37" s="426"/>
      <c r="DDH37" s="424"/>
      <c r="DDI37" s="426"/>
      <c r="DDJ37" s="424"/>
      <c r="DDK37" s="426"/>
      <c r="DDL37" s="424"/>
      <c r="DDM37" s="426"/>
      <c r="DDN37" s="424"/>
      <c r="DDO37" s="426"/>
      <c r="DDP37" s="424"/>
      <c r="DDQ37" s="426"/>
      <c r="DDR37" s="424"/>
      <c r="DDS37" s="426"/>
      <c r="DDT37" s="424"/>
      <c r="DDU37" s="426"/>
      <c r="DDV37" s="424"/>
      <c r="DDW37" s="426"/>
      <c r="DDX37" s="424"/>
      <c r="DDY37" s="426"/>
      <c r="DDZ37" s="424"/>
      <c r="DEA37" s="426"/>
      <c r="DEB37" s="424"/>
      <c r="DEC37" s="426"/>
      <c r="DED37" s="424"/>
      <c r="DEE37" s="426"/>
      <c r="DEF37" s="424"/>
      <c r="DEG37" s="426"/>
      <c r="DEH37" s="424"/>
      <c r="DEI37" s="426"/>
      <c r="DEJ37" s="424"/>
      <c r="DEK37" s="426"/>
      <c r="DEL37" s="424"/>
      <c r="DEM37" s="426"/>
      <c r="DEN37" s="424"/>
      <c r="DEO37" s="426"/>
      <c r="DEP37" s="424"/>
      <c r="DEQ37" s="426"/>
      <c r="DER37" s="424"/>
      <c r="DES37" s="426"/>
      <c r="DET37" s="424"/>
      <c r="DEU37" s="426"/>
      <c r="DEV37" s="424"/>
      <c r="DEW37" s="426"/>
      <c r="DEX37" s="424"/>
      <c r="DEY37" s="426"/>
      <c r="DEZ37" s="424"/>
      <c r="DFA37" s="426"/>
      <c r="DFB37" s="424"/>
      <c r="DFC37" s="426"/>
      <c r="DFD37" s="424"/>
      <c r="DFE37" s="426"/>
      <c r="DFF37" s="424"/>
      <c r="DFG37" s="426"/>
      <c r="DFH37" s="424"/>
      <c r="DFI37" s="426"/>
      <c r="DFJ37" s="424"/>
      <c r="DFK37" s="426"/>
      <c r="DFL37" s="424"/>
      <c r="DFM37" s="426"/>
      <c r="DFN37" s="424"/>
      <c r="DFO37" s="426"/>
      <c r="DFP37" s="424"/>
      <c r="DFQ37" s="426"/>
      <c r="DFR37" s="424"/>
      <c r="DFS37" s="426"/>
      <c r="DFT37" s="424"/>
      <c r="DFU37" s="426"/>
      <c r="DFV37" s="424"/>
      <c r="DFW37" s="426"/>
      <c r="DFX37" s="424"/>
      <c r="DFY37" s="426"/>
      <c r="DFZ37" s="424"/>
      <c r="DGA37" s="426"/>
      <c r="DGB37" s="424"/>
      <c r="DGC37" s="426"/>
      <c r="DGD37" s="424"/>
      <c r="DGE37" s="426"/>
      <c r="DGF37" s="424"/>
      <c r="DGG37" s="426"/>
      <c r="DGH37" s="424"/>
      <c r="DGI37" s="426"/>
      <c r="DGJ37" s="424"/>
      <c r="DGK37" s="426"/>
      <c r="DGL37" s="424"/>
      <c r="DGM37" s="426"/>
      <c r="DGN37" s="424"/>
      <c r="DGO37" s="426"/>
      <c r="DGP37" s="424"/>
      <c r="DGQ37" s="426"/>
      <c r="DGR37" s="424"/>
      <c r="DGS37" s="426"/>
      <c r="DGT37" s="424"/>
      <c r="DGU37" s="426"/>
      <c r="DGV37" s="424"/>
      <c r="DGW37" s="426"/>
      <c r="DGX37" s="424"/>
      <c r="DGY37" s="426"/>
      <c r="DGZ37" s="424"/>
      <c r="DHA37" s="426"/>
      <c r="DHB37" s="424"/>
      <c r="DHC37" s="426"/>
      <c r="DHD37" s="424"/>
      <c r="DHE37" s="426"/>
      <c r="DHF37" s="424"/>
      <c r="DHG37" s="426"/>
      <c r="DHH37" s="424"/>
      <c r="DHI37" s="426"/>
      <c r="DHJ37" s="424"/>
      <c r="DHK37" s="426"/>
      <c r="DHL37" s="424"/>
      <c r="DHM37" s="426"/>
      <c r="DHN37" s="424"/>
      <c r="DHO37" s="426"/>
      <c r="DHP37" s="424"/>
      <c r="DHQ37" s="426"/>
      <c r="DHR37" s="424"/>
      <c r="DHS37" s="426"/>
      <c r="DHT37" s="424"/>
      <c r="DHU37" s="426"/>
      <c r="DHV37" s="424"/>
      <c r="DHW37" s="426"/>
      <c r="DHX37" s="424"/>
      <c r="DHY37" s="426"/>
      <c r="DHZ37" s="424"/>
      <c r="DIA37" s="426"/>
      <c r="DIB37" s="424"/>
      <c r="DIC37" s="426"/>
      <c r="DID37" s="424"/>
      <c r="DIE37" s="426"/>
      <c r="DIF37" s="424"/>
      <c r="DIG37" s="426"/>
      <c r="DIH37" s="424"/>
      <c r="DII37" s="426"/>
      <c r="DIJ37" s="424"/>
      <c r="DIK37" s="426"/>
      <c r="DIL37" s="424"/>
      <c r="DIM37" s="426"/>
      <c r="DIN37" s="424"/>
      <c r="DIO37" s="426"/>
      <c r="DIP37" s="424"/>
      <c r="DIQ37" s="426"/>
      <c r="DIR37" s="424"/>
      <c r="DIS37" s="426"/>
      <c r="DIT37" s="424"/>
      <c r="DIU37" s="426"/>
      <c r="DIV37" s="424"/>
      <c r="DIW37" s="426"/>
      <c r="DIX37" s="424"/>
      <c r="DIY37" s="426"/>
      <c r="DIZ37" s="424"/>
      <c r="DJA37" s="426"/>
      <c r="DJB37" s="424"/>
      <c r="DJC37" s="426"/>
      <c r="DJD37" s="424"/>
      <c r="DJE37" s="426"/>
      <c r="DJF37" s="424"/>
      <c r="DJG37" s="426"/>
      <c r="DJH37" s="424"/>
      <c r="DJI37" s="426"/>
      <c r="DJJ37" s="424"/>
      <c r="DJK37" s="426"/>
      <c r="DJL37" s="424"/>
      <c r="DJM37" s="426"/>
      <c r="DJN37" s="424"/>
      <c r="DJO37" s="426"/>
      <c r="DJP37" s="424"/>
      <c r="DJQ37" s="426"/>
      <c r="DJR37" s="424"/>
      <c r="DJS37" s="426"/>
      <c r="DJT37" s="424"/>
      <c r="DJU37" s="426"/>
      <c r="DJV37" s="424"/>
      <c r="DJW37" s="426"/>
      <c r="DJX37" s="424"/>
      <c r="DJY37" s="426"/>
      <c r="DJZ37" s="424"/>
      <c r="DKA37" s="426"/>
      <c r="DKB37" s="424"/>
      <c r="DKC37" s="426"/>
      <c r="DKD37" s="424"/>
      <c r="DKE37" s="426"/>
      <c r="DKF37" s="424"/>
      <c r="DKG37" s="426"/>
      <c r="DKH37" s="424"/>
      <c r="DKI37" s="426"/>
      <c r="DKJ37" s="424"/>
      <c r="DKK37" s="426"/>
      <c r="DKL37" s="424"/>
      <c r="DKM37" s="426"/>
      <c r="DKN37" s="424"/>
      <c r="DKO37" s="426"/>
      <c r="DKP37" s="424"/>
      <c r="DKQ37" s="426"/>
      <c r="DKR37" s="424"/>
      <c r="DKS37" s="426"/>
      <c r="DKT37" s="424"/>
      <c r="DKU37" s="426"/>
      <c r="DKV37" s="424"/>
      <c r="DKW37" s="426"/>
      <c r="DKX37" s="424"/>
      <c r="DKY37" s="426"/>
      <c r="DKZ37" s="424"/>
      <c r="DLA37" s="426"/>
      <c r="DLB37" s="424"/>
      <c r="DLC37" s="426"/>
      <c r="DLD37" s="424"/>
      <c r="DLE37" s="426"/>
      <c r="DLF37" s="424"/>
      <c r="DLG37" s="426"/>
      <c r="DLH37" s="424"/>
      <c r="DLI37" s="426"/>
      <c r="DLJ37" s="424"/>
      <c r="DLK37" s="426"/>
      <c r="DLL37" s="424"/>
      <c r="DLM37" s="426"/>
      <c r="DLN37" s="424"/>
      <c r="DLO37" s="426"/>
      <c r="DLP37" s="424"/>
      <c r="DLQ37" s="426"/>
      <c r="DLR37" s="424"/>
      <c r="DLS37" s="426"/>
      <c r="DLT37" s="424"/>
      <c r="DLU37" s="426"/>
      <c r="DLV37" s="424"/>
      <c r="DLW37" s="426"/>
      <c r="DLX37" s="424"/>
      <c r="DLY37" s="426"/>
      <c r="DLZ37" s="424"/>
      <c r="DMA37" s="426"/>
      <c r="DMB37" s="424"/>
      <c r="DMC37" s="426"/>
      <c r="DMD37" s="424"/>
      <c r="DME37" s="426"/>
      <c r="DMF37" s="424"/>
      <c r="DMG37" s="426"/>
      <c r="DMH37" s="424"/>
      <c r="DMI37" s="426"/>
      <c r="DMJ37" s="424"/>
      <c r="DMK37" s="426"/>
      <c r="DML37" s="424"/>
      <c r="DMM37" s="426"/>
      <c r="DMN37" s="424"/>
      <c r="DMO37" s="426"/>
      <c r="DMP37" s="424"/>
      <c r="DMQ37" s="426"/>
      <c r="DMR37" s="424"/>
      <c r="DMS37" s="426"/>
      <c r="DMT37" s="424"/>
      <c r="DMU37" s="426"/>
      <c r="DMV37" s="424"/>
      <c r="DMW37" s="426"/>
      <c r="DMX37" s="424"/>
      <c r="DMY37" s="426"/>
      <c r="DMZ37" s="424"/>
      <c r="DNA37" s="426"/>
      <c r="DNB37" s="424"/>
      <c r="DNC37" s="426"/>
      <c r="DND37" s="424"/>
      <c r="DNE37" s="426"/>
      <c r="DNF37" s="424"/>
      <c r="DNG37" s="426"/>
      <c r="DNH37" s="424"/>
      <c r="DNI37" s="426"/>
      <c r="DNJ37" s="424"/>
      <c r="DNK37" s="426"/>
      <c r="DNL37" s="424"/>
      <c r="DNM37" s="426"/>
      <c r="DNN37" s="424"/>
      <c r="DNO37" s="426"/>
      <c r="DNP37" s="424"/>
      <c r="DNQ37" s="426"/>
      <c r="DNR37" s="424"/>
      <c r="DNS37" s="426"/>
      <c r="DNT37" s="424"/>
      <c r="DNU37" s="426"/>
      <c r="DNV37" s="424"/>
      <c r="DNW37" s="426"/>
      <c r="DNX37" s="424"/>
      <c r="DNY37" s="426"/>
      <c r="DNZ37" s="424"/>
      <c r="DOA37" s="426"/>
      <c r="DOB37" s="424"/>
      <c r="DOC37" s="426"/>
      <c r="DOD37" s="424"/>
      <c r="DOE37" s="426"/>
      <c r="DOF37" s="424"/>
      <c r="DOG37" s="426"/>
      <c r="DOH37" s="424"/>
      <c r="DOI37" s="426"/>
      <c r="DOJ37" s="424"/>
      <c r="DOK37" s="426"/>
      <c r="DOL37" s="424"/>
      <c r="DOM37" s="426"/>
      <c r="DON37" s="424"/>
      <c r="DOO37" s="426"/>
      <c r="DOP37" s="424"/>
      <c r="DOQ37" s="426"/>
      <c r="DOR37" s="424"/>
      <c r="DOS37" s="426"/>
      <c r="DOT37" s="424"/>
      <c r="DOU37" s="426"/>
      <c r="DOV37" s="424"/>
      <c r="DOW37" s="426"/>
      <c r="DOX37" s="424"/>
      <c r="DOY37" s="426"/>
      <c r="DOZ37" s="424"/>
      <c r="DPA37" s="426"/>
      <c r="DPB37" s="424"/>
      <c r="DPC37" s="426"/>
      <c r="DPD37" s="424"/>
      <c r="DPE37" s="426"/>
      <c r="DPF37" s="424"/>
      <c r="DPG37" s="426"/>
      <c r="DPH37" s="424"/>
      <c r="DPI37" s="426"/>
      <c r="DPJ37" s="424"/>
      <c r="DPK37" s="426"/>
      <c r="DPL37" s="424"/>
      <c r="DPM37" s="426"/>
      <c r="DPN37" s="424"/>
      <c r="DPO37" s="426"/>
      <c r="DPP37" s="424"/>
      <c r="DPQ37" s="426"/>
      <c r="DPR37" s="424"/>
      <c r="DPS37" s="426"/>
      <c r="DPT37" s="424"/>
      <c r="DPU37" s="426"/>
      <c r="DPV37" s="424"/>
      <c r="DPW37" s="426"/>
      <c r="DPX37" s="424"/>
      <c r="DPY37" s="426"/>
      <c r="DPZ37" s="424"/>
      <c r="DQA37" s="426"/>
      <c r="DQB37" s="424"/>
      <c r="DQC37" s="426"/>
      <c r="DQD37" s="424"/>
      <c r="DQE37" s="426"/>
      <c r="DQF37" s="424"/>
      <c r="DQG37" s="426"/>
      <c r="DQH37" s="424"/>
      <c r="DQI37" s="426"/>
      <c r="DQJ37" s="424"/>
      <c r="DQK37" s="426"/>
      <c r="DQL37" s="424"/>
      <c r="DQM37" s="426"/>
      <c r="DQN37" s="424"/>
      <c r="DQO37" s="426"/>
      <c r="DQP37" s="424"/>
      <c r="DQQ37" s="426"/>
      <c r="DQR37" s="424"/>
      <c r="DQS37" s="426"/>
      <c r="DQT37" s="424"/>
      <c r="DQU37" s="426"/>
      <c r="DQV37" s="424"/>
      <c r="DQW37" s="426"/>
      <c r="DQX37" s="424"/>
      <c r="DQY37" s="426"/>
      <c r="DQZ37" s="424"/>
      <c r="DRA37" s="426"/>
      <c r="DRB37" s="424"/>
      <c r="DRC37" s="426"/>
      <c r="DRD37" s="424"/>
      <c r="DRE37" s="426"/>
      <c r="DRF37" s="424"/>
      <c r="DRG37" s="426"/>
      <c r="DRH37" s="424"/>
      <c r="DRI37" s="426"/>
      <c r="DRJ37" s="424"/>
      <c r="DRK37" s="426"/>
      <c r="DRL37" s="424"/>
      <c r="DRM37" s="426"/>
      <c r="DRN37" s="424"/>
      <c r="DRO37" s="426"/>
      <c r="DRP37" s="424"/>
      <c r="DRQ37" s="426"/>
      <c r="DRR37" s="424"/>
      <c r="DRS37" s="426"/>
      <c r="DRT37" s="424"/>
      <c r="DRU37" s="426"/>
      <c r="DRV37" s="424"/>
      <c r="DRW37" s="426"/>
      <c r="DRX37" s="424"/>
      <c r="DRY37" s="426"/>
      <c r="DRZ37" s="424"/>
      <c r="DSA37" s="426"/>
      <c r="DSB37" s="424"/>
      <c r="DSC37" s="426"/>
      <c r="DSD37" s="424"/>
      <c r="DSE37" s="426"/>
      <c r="DSF37" s="424"/>
      <c r="DSG37" s="426"/>
      <c r="DSH37" s="424"/>
      <c r="DSI37" s="426"/>
      <c r="DSJ37" s="424"/>
      <c r="DSK37" s="426"/>
      <c r="DSL37" s="424"/>
      <c r="DSM37" s="426"/>
      <c r="DSN37" s="424"/>
      <c r="DSO37" s="426"/>
      <c r="DSP37" s="424"/>
      <c r="DSQ37" s="426"/>
      <c r="DSR37" s="424"/>
      <c r="DSS37" s="426"/>
      <c r="DST37" s="424"/>
      <c r="DSU37" s="426"/>
      <c r="DSV37" s="424"/>
      <c r="DSW37" s="426"/>
      <c r="DSX37" s="424"/>
      <c r="DSY37" s="426"/>
      <c r="DSZ37" s="424"/>
      <c r="DTA37" s="426"/>
      <c r="DTB37" s="424"/>
      <c r="DTC37" s="426"/>
      <c r="DTD37" s="424"/>
      <c r="DTE37" s="426"/>
      <c r="DTF37" s="424"/>
      <c r="DTG37" s="426"/>
      <c r="DTH37" s="424"/>
      <c r="DTI37" s="426"/>
      <c r="DTJ37" s="424"/>
      <c r="DTK37" s="426"/>
      <c r="DTL37" s="424"/>
      <c r="DTM37" s="426"/>
      <c r="DTN37" s="424"/>
      <c r="DTO37" s="426"/>
      <c r="DTP37" s="424"/>
      <c r="DTQ37" s="426"/>
      <c r="DTR37" s="424"/>
      <c r="DTS37" s="426"/>
      <c r="DTT37" s="424"/>
      <c r="DTU37" s="426"/>
      <c r="DTV37" s="424"/>
      <c r="DTW37" s="426"/>
      <c r="DTX37" s="424"/>
      <c r="DTY37" s="426"/>
      <c r="DTZ37" s="424"/>
      <c r="DUA37" s="426"/>
      <c r="DUB37" s="424"/>
      <c r="DUC37" s="426"/>
      <c r="DUD37" s="424"/>
      <c r="DUE37" s="426"/>
      <c r="DUF37" s="424"/>
      <c r="DUG37" s="426"/>
      <c r="DUH37" s="424"/>
      <c r="DUI37" s="426"/>
      <c r="DUJ37" s="424"/>
      <c r="DUK37" s="426"/>
      <c r="DUL37" s="424"/>
      <c r="DUM37" s="426"/>
      <c r="DUN37" s="424"/>
      <c r="DUO37" s="426"/>
      <c r="DUP37" s="424"/>
      <c r="DUQ37" s="426"/>
      <c r="DUR37" s="424"/>
      <c r="DUS37" s="426"/>
      <c r="DUT37" s="424"/>
      <c r="DUU37" s="426"/>
      <c r="DUV37" s="424"/>
      <c r="DUW37" s="426"/>
      <c r="DUX37" s="424"/>
      <c r="DUY37" s="426"/>
      <c r="DUZ37" s="424"/>
      <c r="DVA37" s="426"/>
      <c r="DVB37" s="424"/>
      <c r="DVC37" s="426"/>
      <c r="DVD37" s="424"/>
      <c r="DVE37" s="426"/>
      <c r="DVF37" s="424"/>
      <c r="DVG37" s="426"/>
      <c r="DVH37" s="424"/>
      <c r="DVI37" s="426"/>
      <c r="DVJ37" s="424"/>
      <c r="DVK37" s="426"/>
      <c r="DVL37" s="424"/>
      <c r="DVM37" s="426"/>
      <c r="DVN37" s="424"/>
      <c r="DVO37" s="426"/>
      <c r="DVP37" s="424"/>
      <c r="DVQ37" s="426"/>
      <c r="DVR37" s="424"/>
      <c r="DVS37" s="426"/>
      <c r="DVT37" s="424"/>
      <c r="DVU37" s="426"/>
      <c r="DVV37" s="424"/>
      <c r="DVW37" s="426"/>
      <c r="DVX37" s="424"/>
      <c r="DVY37" s="426"/>
      <c r="DVZ37" s="424"/>
      <c r="DWA37" s="426"/>
      <c r="DWB37" s="424"/>
      <c r="DWC37" s="426"/>
      <c r="DWD37" s="424"/>
      <c r="DWE37" s="426"/>
      <c r="DWF37" s="424"/>
      <c r="DWG37" s="426"/>
      <c r="DWH37" s="424"/>
      <c r="DWI37" s="426"/>
      <c r="DWJ37" s="424"/>
      <c r="DWK37" s="426"/>
      <c r="DWL37" s="424"/>
      <c r="DWM37" s="426"/>
      <c r="DWN37" s="424"/>
      <c r="DWO37" s="426"/>
      <c r="DWP37" s="424"/>
      <c r="DWQ37" s="426"/>
      <c r="DWR37" s="424"/>
      <c r="DWS37" s="426"/>
      <c r="DWT37" s="424"/>
      <c r="DWU37" s="426"/>
      <c r="DWV37" s="424"/>
      <c r="DWW37" s="426"/>
      <c r="DWX37" s="424"/>
      <c r="DWY37" s="426"/>
      <c r="DWZ37" s="424"/>
      <c r="DXA37" s="426"/>
      <c r="DXB37" s="424"/>
      <c r="DXC37" s="426"/>
      <c r="DXD37" s="424"/>
      <c r="DXE37" s="426"/>
      <c r="DXF37" s="424"/>
      <c r="DXG37" s="426"/>
      <c r="DXH37" s="424"/>
      <c r="DXI37" s="426"/>
      <c r="DXJ37" s="424"/>
      <c r="DXK37" s="426"/>
      <c r="DXL37" s="424"/>
      <c r="DXM37" s="426"/>
      <c r="DXN37" s="424"/>
      <c r="DXO37" s="426"/>
      <c r="DXP37" s="424"/>
      <c r="DXQ37" s="426"/>
      <c r="DXR37" s="424"/>
      <c r="DXS37" s="426"/>
      <c r="DXT37" s="424"/>
      <c r="DXU37" s="426"/>
      <c r="DXV37" s="424"/>
      <c r="DXW37" s="426"/>
      <c r="DXX37" s="424"/>
      <c r="DXY37" s="426"/>
      <c r="DXZ37" s="424"/>
      <c r="DYA37" s="426"/>
      <c r="DYB37" s="424"/>
      <c r="DYC37" s="426"/>
      <c r="DYD37" s="424"/>
      <c r="DYE37" s="426"/>
      <c r="DYF37" s="424"/>
      <c r="DYG37" s="426"/>
      <c r="DYH37" s="424"/>
      <c r="DYI37" s="426"/>
      <c r="DYJ37" s="424"/>
      <c r="DYK37" s="426"/>
      <c r="DYL37" s="424"/>
      <c r="DYM37" s="426"/>
      <c r="DYN37" s="424"/>
      <c r="DYO37" s="426"/>
      <c r="DYP37" s="424"/>
      <c r="DYQ37" s="426"/>
      <c r="DYR37" s="424"/>
      <c r="DYS37" s="426"/>
      <c r="DYT37" s="424"/>
      <c r="DYU37" s="426"/>
      <c r="DYV37" s="424"/>
      <c r="DYW37" s="426"/>
      <c r="DYX37" s="424"/>
      <c r="DYY37" s="426"/>
      <c r="DYZ37" s="424"/>
      <c r="DZA37" s="426"/>
      <c r="DZB37" s="424"/>
      <c r="DZC37" s="426"/>
      <c r="DZD37" s="424"/>
      <c r="DZE37" s="426"/>
      <c r="DZF37" s="424"/>
      <c r="DZG37" s="426"/>
      <c r="DZH37" s="424"/>
      <c r="DZI37" s="426"/>
      <c r="DZJ37" s="424"/>
      <c r="DZK37" s="426"/>
      <c r="DZL37" s="424"/>
      <c r="DZM37" s="426"/>
      <c r="DZN37" s="424"/>
      <c r="DZO37" s="426"/>
      <c r="DZP37" s="424"/>
      <c r="DZQ37" s="426"/>
      <c r="DZR37" s="424"/>
      <c r="DZS37" s="426"/>
      <c r="DZT37" s="424"/>
      <c r="DZU37" s="426"/>
      <c r="DZV37" s="424"/>
      <c r="DZW37" s="426"/>
      <c r="DZX37" s="424"/>
      <c r="DZY37" s="426"/>
      <c r="DZZ37" s="424"/>
      <c r="EAA37" s="426"/>
      <c r="EAB37" s="424"/>
      <c r="EAC37" s="426"/>
      <c r="EAD37" s="424"/>
      <c r="EAE37" s="426"/>
      <c r="EAF37" s="424"/>
      <c r="EAG37" s="426"/>
      <c r="EAH37" s="424"/>
      <c r="EAI37" s="426"/>
      <c r="EAJ37" s="424"/>
      <c r="EAK37" s="426"/>
      <c r="EAL37" s="424"/>
      <c r="EAM37" s="426"/>
      <c r="EAN37" s="424"/>
      <c r="EAO37" s="426"/>
      <c r="EAP37" s="424"/>
      <c r="EAQ37" s="426"/>
      <c r="EAR37" s="424"/>
      <c r="EAS37" s="426"/>
      <c r="EAT37" s="424"/>
      <c r="EAU37" s="426"/>
      <c r="EAV37" s="424"/>
      <c r="EAW37" s="426"/>
      <c r="EAX37" s="424"/>
      <c r="EAY37" s="426"/>
      <c r="EAZ37" s="424"/>
      <c r="EBA37" s="426"/>
      <c r="EBB37" s="424"/>
      <c r="EBC37" s="426"/>
      <c r="EBD37" s="424"/>
      <c r="EBE37" s="426"/>
      <c r="EBF37" s="424"/>
      <c r="EBG37" s="426"/>
      <c r="EBH37" s="424"/>
      <c r="EBI37" s="426"/>
      <c r="EBJ37" s="424"/>
      <c r="EBK37" s="426"/>
      <c r="EBL37" s="424"/>
      <c r="EBM37" s="426"/>
      <c r="EBN37" s="424"/>
      <c r="EBO37" s="426"/>
      <c r="EBP37" s="424"/>
      <c r="EBQ37" s="426"/>
      <c r="EBR37" s="424"/>
      <c r="EBS37" s="426"/>
      <c r="EBT37" s="424"/>
      <c r="EBU37" s="426"/>
      <c r="EBV37" s="424"/>
      <c r="EBW37" s="426"/>
      <c r="EBX37" s="424"/>
      <c r="EBY37" s="426"/>
      <c r="EBZ37" s="424"/>
      <c r="ECA37" s="426"/>
      <c r="ECB37" s="424"/>
      <c r="ECC37" s="426"/>
      <c r="ECD37" s="424"/>
      <c r="ECE37" s="426"/>
      <c r="ECF37" s="424"/>
      <c r="ECG37" s="426"/>
      <c r="ECH37" s="424"/>
      <c r="ECI37" s="426"/>
      <c r="ECJ37" s="424"/>
      <c r="ECK37" s="426"/>
      <c r="ECL37" s="424"/>
      <c r="ECM37" s="426"/>
      <c r="ECN37" s="424"/>
      <c r="ECO37" s="426"/>
      <c r="ECP37" s="424"/>
      <c r="ECQ37" s="426"/>
      <c r="ECR37" s="424"/>
      <c r="ECS37" s="426"/>
      <c r="ECT37" s="424"/>
      <c r="ECU37" s="426"/>
      <c r="ECV37" s="424"/>
      <c r="ECW37" s="426"/>
      <c r="ECX37" s="424"/>
      <c r="ECY37" s="426"/>
      <c r="ECZ37" s="424"/>
      <c r="EDA37" s="426"/>
      <c r="EDB37" s="424"/>
      <c r="EDC37" s="426"/>
      <c r="EDD37" s="424"/>
      <c r="EDE37" s="426"/>
      <c r="EDF37" s="424"/>
      <c r="EDG37" s="426"/>
      <c r="EDH37" s="424"/>
      <c r="EDI37" s="426"/>
      <c r="EDJ37" s="424"/>
      <c r="EDK37" s="426"/>
      <c r="EDL37" s="424"/>
      <c r="EDM37" s="426"/>
      <c r="EDN37" s="424"/>
      <c r="EDO37" s="426"/>
      <c r="EDP37" s="424"/>
      <c r="EDQ37" s="426"/>
      <c r="EDR37" s="424"/>
      <c r="EDS37" s="426"/>
      <c r="EDT37" s="424"/>
      <c r="EDU37" s="426"/>
      <c r="EDV37" s="424"/>
      <c r="EDW37" s="426"/>
      <c r="EDX37" s="424"/>
      <c r="EDY37" s="426"/>
      <c r="EDZ37" s="424"/>
      <c r="EEA37" s="426"/>
      <c r="EEB37" s="424"/>
      <c r="EEC37" s="426"/>
      <c r="EED37" s="424"/>
      <c r="EEE37" s="426"/>
      <c r="EEF37" s="424"/>
      <c r="EEG37" s="426"/>
      <c r="EEH37" s="424"/>
      <c r="EEI37" s="426"/>
      <c r="EEJ37" s="424"/>
      <c r="EEK37" s="426"/>
      <c r="EEL37" s="424"/>
      <c r="EEM37" s="426"/>
      <c r="EEN37" s="424"/>
      <c r="EEO37" s="426"/>
      <c r="EEP37" s="424"/>
      <c r="EEQ37" s="426"/>
      <c r="EER37" s="424"/>
      <c r="EES37" s="426"/>
      <c r="EET37" s="424"/>
      <c r="EEU37" s="426"/>
      <c r="EEV37" s="424"/>
      <c r="EEW37" s="426"/>
      <c r="EEX37" s="424"/>
      <c r="EEY37" s="426"/>
      <c r="EEZ37" s="424"/>
      <c r="EFA37" s="426"/>
      <c r="EFB37" s="424"/>
      <c r="EFC37" s="426"/>
      <c r="EFD37" s="424"/>
      <c r="EFE37" s="426"/>
      <c r="EFF37" s="424"/>
      <c r="EFG37" s="426"/>
      <c r="EFH37" s="424"/>
      <c r="EFI37" s="426"/>
      <c r="EFJ37" s="424"/>
      <c r="EFK37" s="426"/>
      <c r="EFL37" s="424"/>
      <c r="EFM37" s="426"/>
      <c r="EFN37" s="424"/>
      <c r="EFO37" s="426"/>
      <c r="EFP37" s="424"/>
      <c r="EFQ37" s="426"/>
      <c r="EFR37" s="424"/>
      <c r="EFS37" s="426"/>
      <c r="EFT37" s="424"/>
      <c r="EFU37" s="426"/>
      <c r="EFV37" s="424"/>
      <c r="EFW37" s="426"/>
      <c r="EFX37" s="424"/>
      <c r="EFY37" s="426"/>
      <c r="EFZ37" s="424"/>
      <c r="EGA37" s="426"/>
      <c r="EGB37" s="424"/>
      <c r="EGC37" s="426"/>
      <c r="EGD37" s="424"/>
      <c r="EGE37" s="426"/>
      <c r="EGF37" s="424"/>
      <c r="EGG37" s="426"/>
      <c r="EGH37" s="424"/>
      <c r="EGI37" s="426"/>
      <c r="EGJ37" s="424"/>
      <c r="EGK37" s="426"/>
      <c r="EGL37" s="424"/>
      <c r="EGM37" s="426"/>
      <c r="EGN37" s="424"/>
      <c r="EGO37" s="426"/>
      <c r="EGP37" s="424"/>
      <c r="EGQ37" s="426"/>
      <c r="EGR37" s="424"/>
      <c r="EGS37" s="426"/>
      <c r="EGT37" s="424"/>
      <c r="EGU37" s="426"/>
      <c r="EGV37" s="424"/>
      <c r="EGW37" s="426"/>
      <c r="EGX37" s="424"/>
      <c r="EGY37" s="426"/>
      <c r="EGZ37" s="424"/>
      <c r="EHA37" s="426"/>
      <c r="EHB37" s="424"/>
      <c r="EHC37" s="426"/>
      <c r="EHD37" s="424"/>
      <c r="EHE37" s="426"/>
      <c r="EHF37" s="424"/>
      <c r="EHG37" s="426"/>
      <c r="EHH37" s="424"/>
      <c r="EHI37" s="426"/>
      <c r="EHJ37" s="424"/>
      <c r="EHK37" s="426"/>
      <c r="EHL37" s="424"/>
      <c r="EHM37" s="426"/>
      <c r="EHN37" s="424"/>
      <c r="EHO37" s="426"/>
      <c r="EHP37" s="424"/>
      <c r="EHQ37" s="426"/>
      <c r="EHR37" s="424"/>
      <c r="EHS37" s="426"/>
      <c r="EHT37" s="424"/>
      <c r="EHU37" s="426"/>
      <c r="EHV37" s="424"/>
      <c r="EHW37" s="426"/>
      <c r="EHX37" s="424"/>
      <c r="EHY37" s="426"/>
      <c r="EHZ37" s="424"/>
      <c r="EIA37" s="426"/>
      <c r="EIB37" s="424"/>
      <c r="EIC37" s="426"/>
      <c r="EID37" s="424"/>
      <c r="EIE37" s="426"/>
      <c r="EIF37" s="424"/>
      <c r="EIG37" s="426"/>
      <c r="EIH37" s="424"/>
      <c r="EII37" s="426"/>
      <c r="EIJ37" s="424"/>
      <c r="EIK37" s="426"/>
      <c r="EIL37" s="424"/>
      <c r="EIM37" s="426"/>
      <c r="EIN37" s="424"/>
      <c r="EIO37" s="426"/>
      <c r="EIP37" s="424"/>
      <c r="EIQ37" s="426"/>
      <c r="EIR37" s="424"/>
      <c r="EIS37" s="426"/>
      <c r="EIT37" s="424"/>
      <c r="EIU37" s="426"/>
      <c r="EIV37" s="424"/>
      <c r="EIW37" s="426"/>
      <c r="EIX37" s="424"/>
      <c r="EIY37" s="426"/>
      <c r="EIZ37" s="424"/>
      <c r="EJA37" s="426"/>
      <c r="EJB37" s="424"/>
      <c r="EJC37" s="426"/>
      <c r="EJD37" s="424"/>
      <c r="EJE37" s="426"/>
      <c r="EJF37" s="424"/>
      <c r="EJG37" s="426"/>
      <c r="EJH37" s="424"/>
      <c r="EJI37" s="426"/>
      <c r="EJJ37" s="424"/>
      <c r="EJK37" s="426"/>
      <c r="EJL37" s="424"/>
      <c r="EJM37" s="426"/>
      <c r="EJN37" s="424"/>
      <c r="EJO37" s="426"/>
      <c r="EJP37" s="424"/>
      <c r="EJQ37" s="426"/>
      <c r="EJR37" s="424"/>
      <c r="EJS37" s="426"/>
      <c r="EJT37" s="424"/>
      <c r="EJU37" s="426"/>
      <c r="EJV37" s="424"/>
      <c r="EJW37" s="426"/>
      <c r="EJX37" s="424"/>
      <c r="EJY37" s="426"/>
      <c r="EJZ37" s="424"/>
      <c r="EKA37" s="426"/>
      <c r="EKB37" s="424"/>
      <c r="EKC37" s="426"/>
      <c r="EKD37" s="424"/>
      <c r="EKE37" s="426"/>
      <c r="EKF37" s="424"/>
      <c r="EKG37" s="426"/>
      <c r="EKH37" s="424"/>
      <c r="EKI37" s="426"/>
      <c r="EKJ37" s="424"/>
      <c r="EKK37" s="426"/>
      <c r="EKL37" s="424"/>
      <c r="EKM37" s="426"/>
      <c r="EKN37" s="424"/>
      <c r="EKO37" s="426"/>
      <c r="EKP37" s="424"/>
      <c r="EKQ37" s="426"/>
      <c r="EKR37" s="424"/>
      <c r="EKS37" s="426"/>
      <c r="EKT37" s="424"/>
      <c r="EKU37" s="426"/>
      <c r="EKV37" s="424"/>
      <c r="EKW37" s="426"/>
      <c r="EKX37" s="424"/>
      <c r="EKY37" s="426"/>
      <c r="EKZ37" s="424"/>
      <c r="ELA37" s="426"/>
      <c r="ELB37" s="424"/>
      <c r="ELC37" s="426"/>
      <c r="ELD37" s="424"/>
      <c r="ELE37" s="426"/>
      <c r="ELF37" s="424"/>
      <c r="ELG37" s="426"/>
      <c r="ELH37" s="424"/>
      <c r="ELI37" s="426"/>
      <c r="ELJ37" s="424"/>
      <c r="ELK37" s="426"/>
      <c r="ELL37" s="424"/>
      <c r="ELM37" s="426"/>
      <c r="ELN37" s="424"/>
      <c r="ELO37" s="426"/>
      <c r="ELP37" s="424"/>
      <c r="ELQ37" s="426"/>
      <c r="ELR37" s="424"/>
      <c r="ELS37" s="426"/>
      <c r="ELT37" s="424"/>
      <c r="ELU37" s="426"/>
      <c r="ELV37" s="424"/>
      <c r="ELW37" s="426"/>
      <c r="ELX37" s="424"/>
      <c r="ELY37" s="426"/>
      <c r="ELZ37" s="424"/>
      <c r="EMA37" s="426"/>
      <c r="EMB37" s="424"/>
      <c r="EMC37" s="426"/>
      <c r="EMD37" s="424"/>
      <c r="EME37" s="426"/>
      <c r="EMF37" s="424"/>
      <c r="EMG37" s="426"/>
      <c r="EMH37" s="424"/>
      <c r="EMI37" s="426"/>
      <c r="EMJ37" s="424"/>
      <c r="EMK37" s="426"/>
      <c r="EML37" s="424"/>
      <c r="EMM37" s="426"/>
      <c r="EMN37" s="424"/>
      <c r="EMO37" s="426"/>
      <c r="EMP37" s="424"/>
      <c r="EMQ37" s="426"/>
      <c r="EMR37" s="424"/>
      <c r="EMS37" s="426"/>
      <c r="EMT37" s="424"/>
      <c r="EMU37" s="426"/>
      <c r="EMV37" s="424"/>
      <c r="EMW37" s="426"/>
      <c r="EMX37" s="424"/>
      <c r="EMY37" s="426"/>
      <c r="EMZ37" s="424"/>
      <c r="ENA37" s="426"/>
      <c r="ENB37" s="424"/>
      <c r="ENC37" s="426"/>
      <c r="END37" s="424"/>
      <c r="ENE37" s="426"/>
      <c r="ENF37" s="424"/>
      <c r="ENG37" s="426"/>
      <c r="ENH37" s="424"/>
      <c r="ENI37" s="426"/>
      <c r="ENJ37" s="424"/>
      <c r="ENK37" s="426"/>
      <c r="ENL37" s="424"/>
      <c r="ENM37" s="426"/>
      <c r="ENN37" s="424"/>
      <c r="ENO37" s="426"/>
      <c r="ENP37" s="424"/>
      <c r="ENQ37" s="426"/>
      <c r="ENR37" s="424"/>
      <c r="ENS37" s="426"/>
      <c r="ENT37" s="424"/>
      <c r="ENU37" s="426"/>
      <c r="ENV37" s="424"/>
      <c r="ENW37" s="426"/>
      <c r="ENX37" s="424"/>
      <c r="ENY37" s="426"/>
      <c r="ENZ37" s="424"/>
      <c r="EOA37" s="426"/>
      <c r="EOB37" s="424"/>
      <c r="EOC37" s="426"/>
      <c r="EOD37" s="424"/>
      <c r="EOE37" s="426"/>
      <c r="EOF37" s="424"/>
      <c r="EOG37" s="426"/>
      <c r="EOH37" s="424"/>
      <c r="EOI37" s="426"/>
      <c r="EOJ37" s="424"/>
      <c r="EOK37" s="426"/>
      <c r="EOL37" s="424"/>
      <c r="EOM37" s="426"/>
      <c r="EON37" s="424"/>
      <c r="EOO37" s="426"/>
      <c r="EOP37" s="424"/>
      <c r="EOQ37" s="426"/>
      <c r="EOR37" s="424"/>
      <c r="EOS37" s="426"/>
      <c r="EOT37" s="424"/>
      <c r="EOU37" s="426"/>
      <c r="EOV37" s="424"/>
      <c r="EOW37" s="426"/>
      <c r="EOX37" s="424"/>
      <c r="EOY37" s="426"/>
      <c r="EOZ37" s="424"/>
      <c r="EPA37" s="426"/>
      <c r="EPB37" s="424"/>
      <c r="EPC37" s="426"/>
      <c r="EPD37" s="424"/>
      <c r="EPE37" s="426"/>
      <c r="EPF37" s="424"/>
      <c r="EPG37" s="426"/>
      <c r="EPH37" s="424"/>
      <c r="EPI37" s="426"/>
      <c r="EPJ37" s="424"/>
      <c r="EPK37" s="426"/>
      <c r="EPL37" s="424"/>
      <c r="EPM37" s="426"/>
      <c r="EPN37" s="424"/>
      <c r="EPO37" s="426"/>
      <c r="EPP37" s="424"/>
      <c r="EPQ37" s="426"/>
      <c r="EPR37" s="424"/>
      <c r="EPS37" s="426"/>
      <c r="EPT37" s="424"/>
      <c r="EPU37" s="426"/>
      <c r="EPV37" s="424"/>
      <c r="EPW37" s="426"/>
      <c r="EPX37" s="424"/>
      <c r="EPY37" s="426"/>
      <c r="EPZ37" s="424"/>
      <c r="EQA37" s="426"/>
      <c r="EQB37" s="424"/>
      <c r="EQC37" s="426"/>
      <c r="EQD37" s="424"/>
      <c r="EQE37" s="426"/>
      <c r="EQF37" s="424"/>
      <c r="EQG37" s="426"/>
      <c r="EQH37" s="424"/>
      <c r="EQI37" s="426"/>
      <c r="EQJ37" s="424"/>
      <c r="EQK37" s="426"/>
      <c r="EQL37" s="424"/>
      <c r="EQM37" s="426"/>
      <c r="EQN37" s="424"/>
      <c r="EQO37" s="426"/>
      <c r="EQP37" s="424"/>
      <c r="EQQ37" s="426"/>
      <c r="EQR37" s="424"/>
      <c r="EQS37" s="426"/>
      <c r="EQT37" s="424"/>
      <c r="EQU37" s="426"/>
      <c r="EQV37" s="424"/>
      <c r="EQW37" s="426"/>
      <c r="EQX37" s="424"/>
      <c r="EQY37" s="426"/>
      <c r="EQZ37" s="424"/>
      <c r="ERA37" s="426"/>
      <c r="ERB37" s="424"/>
      <c r="ERC37" s="426"/>
      <c r="ERD37" s="424"/>
      <c r="ERE37" s="426"/>
      <c r="ERF37" s="424"/>
      <c r="ERG37" s="426"/>
      <c r="ERH37" s="424"/>
      <c r="ERI37" s="426"/>
      <c r="ERJ37" s="424"/>
      <c r="ERK37" s="426"/>
      <c r="ERL37" s="424"/>
      <c r="ERM37" s="426"/>
      <c r="ERN37" s="424"/>
      <c r="ERO37" s="426"/>
      <c r="ERP37" s="424"/>
      <c r="ERQ37" s="426"/>
      <c r="ERR37" s="424"/>
      <c r="ERS37" s="426"/>
      <c r="ERT37" s="424"/>
      <c r="ERU37" s="426"/>
      <c r="ERV37" s="424"/>
      <c r="ERW37" s="426"/>
      <c r="ERX37" s="424"/>
      <c r="ERY37" s="426"/>
      <c r="ERZ37" s="424"/>
      <c r="ESA37" s="426"/>
      <c r="ESB37" s="424"/>
      <c r="ESC37" s="426"/>
      <c r="ESD37" s="424"/>
      <c r="ESE37" s="426"/>
      <c r="ESF37" s="424"/>
      <c r="ESG37" s="426"/>
      <c r="ESH37" s="424"/>
      <c r="ESI37" s="426"/>
      <c r="ESJ37" s="424"/>
      <c r="ESK37" s="426"/>
      <c r="ESL37" s="424"/>
      <c r="ESM37" s="426"/>
      <c r="ESN37" s="424"/>
      <c r="ESO37" s="426"/>
      <c r="ESP37" s="424"/>
      <c r="ESQ37" s="426"/>
      <c r="ESR37" s="424"/>
      <c r="ESS37" s="426"/>
      <c r="EST37" s="424"/>
      <c r="ESU37" s="426"/>
      <c r="ESV37" s="424"/>
      <c r="ESW37" s="426"/>
      <c r="ESX37" s="424"/>
      <c r="ESY37" s="426"/>
      <c r="ESZ37" s="424"/>
      <c r="ETA37" s="426"/>
      <c r="ETB37" s="424"/>
      <c r="ETC37" s="426"/>
      <c r="ETD37" s="424"/>
      <c r="ETE37" s="426"/>
      <c r="ETF37" s="424"/>
      <c r="ETG37" s="426"/>
      <c r="ETH37" s="424"/>
      <c r="ETI37" s="426"/>
      <c r="ETJ37" s="424"/>
      <c r="ETK37" s="426"/>
      <c r="ETL37" s="424"/>
      <c r="ETM37" s="426"/>
      <c r="ETN37" s="424"/>
      <c r="ETO37" s="426"/>
      <c r="ETP37" s="424"/>
      <c r="ETQ37" s="426"/>
      <c r="ETR37" s="424"/>
      <c r="ETS37" s="426"/>
      <c r="ETT37" s="424"/>
      <c r="ETU37" s="426"/>
      <c r="ETV37" s="424"/>
      <c r="ETW37" s="426"/>
      <c r="ETX37" s="424"/>
      <c r="ETY37" s="426"/>
      <c r="ETZ37" s="424"/>
      <c r="EUA37" s="426"/>
      <c r="EUB37" s="424"/>
      <c r="EUC37" s="426"/>
      <c r="EUD37" s="424"/>
      <c r="EUE37" s="426"/>
      <c r="EUF37" s="424"/>
      <c r="EUG37" s="426"/>
      <c r="EUH37" s="424"/>
      <c r="EUI37" s="426"/>
      <c r="EUJ37" s="424"/>
      <c r="EUK37" s="426"/>
      <c r="EUL37" s="424"/>
      <c r="EUM37" s="426"/>
      <c r="EUN37" s="424"/>
      <c r="EUO37" s="426"/>
      <c r="EUP37" s="424"/>
      <c r="EUQ37" s="426"/>
      <c r="EUR37" s="424"/>
      <c r="EUS37" s="426"/>
      <c r="EUT37" s="424"/>
      <c r="EUU37" s="426"/>
      <c r="EUV37" s="424"/>
      <c r="EUW37" s="426"/>
      <c r="EUX37" s="424"/>
      <c r="EUY37" s="426"/>
      <c r="EUZ37" s="424"/>
      <c r="EVA37" s="426"/>
      <c r="EVB37" s="424"/>
      <c r="EVC37" s="426"/>
      <c r="EVD37" s="424"/>
      <c r="EVE37" s="426"/>
      <c r="EVF37" s="424"/>
      <c r="EVG37" s="426"/>
      <c r="EVH37" s="424"/>
      <c r="EVI37" s="426"/>
      <c r="EVJ37" s="424"/>
      <c r="EVK37" s="426"/>
      <c r="EVL37" s="424"/>
      <c r="EVM37" s="426"/>
      <c r="EVN37" s="424"/>
      <c r="EVO37" s="426"/>
      <c r="EVP37" s="424"/>
      <c r="EVQ37" s="426"/>
      <c r="EVR37" s="424"/>
      <c r="EVS37" s="426"/>
      <c r="EVT37" s="424"/>
      <c r="EVU37" s="426"/>
      <c r="EVV37" s="424"/>
      <c r="EVW37" s="426"/>
      <c r="EVX37" s="424"/>
      <c r="EVY37" s="426"/>
      <c r="EVZ37" s="424"/>
      <c r="EWA37" s="426"/>
      <c r="EWB37" s="424"/>
      <c r="EWC37" s="426"/>
      <c r="EWD37" s="424"/>
      <c r="EWE37" s="426"/>
      <c r="EWF37" s="424"/>
      <c r="EWG37" s="426"/>
      <c r="EWH37" s="424"/>
      <c r="EWI37" s="426"/>
      <c r="EWJ37" s="424"/>
      <c r="EWK37" s="426"/>
      <c r="EWL37" s="424"/>
      <c r="EWM37" s="426"/>
      <c r="EWN37" s="424"/>
      <c r="EWO37" s="426"/>
      <c r="EWP37" s="424"/>
      <c r="EWQ37" s="426"/>
      <c r="EWR37" s="424"/>
      <c r="EWS37" s="426"/>
      <c r="EWT37" s="424"/>
      <c r="EWU37" s="426"/>
      <c r="EWV37" s="424"/>
      <c r="EWW37" s="426"/>
      <c r="EWX37" s="424"/>
      <c r="EWY37" s="426"/>
      <c r="EWZ37" s="424"/>
      <c r="EXA37" s="426"/>
      <c r="EXB37" s="424"/>
      <c r="EXC37" s="426"/>
      <c r="EXD37" s="424"/>
      <c r="EXE37" s="426"/>
      <c r="EXF37" s="424"/>
      <c r="EXG37" s="426"/>
      <c r="EXH37" s="424"/>
      <c r="EXI37" s="426"/>
      <c r="EXJ37" s="424"/>
      <c r="EXK37" s="426"/>
      <c r="EXL37" s="424"/>
      <c r="EXM37" s="426"/>
      <c r="EXN37" s="424"/>
      <c r="EXO37" s="426"/>
      <c r="EXP37" s="424"/>
      <c r="EXQ37" s="426"/>
      <c r="EXR37" s="424"/>
      <c r="EXS37" s="426"/>
      <c r="EXT37" s="424"/>
      <c r="EXU37" s="426"/>
      <c r="EXV37" s="424"/>
      <c r="EXW37" s="426"/>
      <c r="EXX37" s="424"/>
      <c r="EXY37" s="426"/>
      <c r="EXZ37" s="424"/>
      <c r="EYA37" s="426"/>
      <c r="EYB37" s="424"/>
      <c r="EYC37" s="426"/>
      <c r="EYD37" s="424"/>
      <c r="EYE37" s="426"/>
      <c r="EYF37" s="424"/>
      <c r="EYG37" s="426"/>
      <c r="EYH37" s="424"/>
      <c r="EYI37" s="426"/>
      <c r="EYJ37" s="424"/>
      <c r="EYK37" s="426"/>
      <c r="EYL37" s="424"/>
      <c r="EYM37" s="426"/>
      <c r="EYN37" s="424"/>
      <c r="EYO37" s="426"/>
      <c r="EYP37" s="424"/>
      <c r="EYQ37" s="426"/>
      <c r="EYR37" s="424"/>
      <c r="EYS37" s="426"/>
      <c r="EYT37" s="424"/>
      <c r="EYU37" s="426"/>
      <c r="EYV37" s="424"/>
      <c r="EYW37" s="426"/>
      <c r="EYX37" s="424"/>
      <c r="EYY37" s="426"/>
      <c r="EYZ37" s="424"/>
      <c r="EZA37" s="426"/>
      <c r="EZB37" s="424"/>
      <c r="EZC37" s="426"/>
      <c r="EZD37" s="424"/>
      <c r="EZE37" s="426"/>
      <c r="EZF37" s="424"/>
      <c r="EZG37" s="426"/>
      <c r="EZH37" s="424"/>
      <c r="EZI37" s="426"/>
      <c r="EZJ37" s="424"/>
      <c r="EZK37" s="426"/>
      <c r="EZL37" s="424"/>
      <c r="EZM37" s="426"/>
      <c r="EZN37" s="424"/>
      <c r="EZO37" s="426"/>
      <c r="EZP37" s="424"/>
      <c r="EZQ37" s="426"/>
      <c r="EZR37" s="424"/>
      <c r="EZS37" s="426"/>
      <c r="EZT37" s="424"/>
      <c r="EZU37" s="426"/>
      <c r="EZV37" s="424"/>
      <c r="EZW37" s="426"/>
      <c r="EZX37" s="424"/>
      <c r="EZY37" s="426"/>
      <c r="EZZ37" s="424"/>
      <c r="FAA37" s="426"/>
      <c r="FAB37" s="424"/>
      <c r="FAC37" s="426"/>
      <c r="FAD37" s="424"/>
      <c r="FAE37" s="426"/>
      <c r="FAF37" s="424"/>
      <c r="FAG37" s="426"/>
      <c r="FAH37" s="424"/>
      <c r="FAI37" s="426"/>
      <c r="FAJ37" s="424"/>
      <c r="FAK37" s="426"/>
      <c r="FAL37" s="424"/>
      <c r="FAM37" s="426"/>
      <c r="FAN37" s="424"/>
      <c r="FAO37" s="426"/>
      <c r="FAP37" s="424"/>
      <c r="FAQ37" s="426"/>
      <c r="FAR37" s="424"/>
      <c r="FAS37" s="426"/>
      <c r="FAT37" s="424"/>
      <c r="FAU37" s="426"/>
      <c r="FAV37" s="424"/>
      <c r="FAW37" s="426"/>
      <c r="FAX37" s="424"/>
      <c r="FAY37" s="426"/>
      <c r="FAZ37" s="424"/>
      <c r="FBA37" s="426"/>
      <c r="FBB37" s="424"/>
      <c r="FBC37" s="426"/>
      <c r="FBD37" s="424"/>
      <c r="FBE37" s="426"/>
      <c r="FBF37" s="424"/>
      <c r="FBG37" s="426"/>
      <c r="FBH37" s="424"/>
      <c r="FBI37" s="426"/>
      <c r="FBJ37" s="424"/>
      <c r="FBK37" s="426"/>
      <c r="FBL37" s="424"/>
      <c r="FBM37" s="426"/>
      <c r="FBN37" s="424"/>
      <c r="FBO37" s="426"/>
      <c r="FBP37" s="424"/>
      <c r="FBQ37" s="426"/>
      <c r="FBR37" s="424"/>
      <c r="FBS37" s="426"/>
      <c r="FBT37" s="424"/>
      <c r="FBU37" s="426"/>
      <c r="FBV37" s="424"/>
      <c r="FBW37" s="426"/>
      <c r="FBX37" s="424"/>
      <c r="FBY37" s="426"/>
      <c r="FBZ37" s="424"/>
      <c r="FCA37" s="426"/>
      <c r="FCB37" s="424"/>
      <c r="FCC37" s="426"/>
      <c r="FCD37" s="424"/>
      <c r="FCE37" s="426"/>
      <c r="FCF37" s="424"/>
      <c r="FCG37" s="426"/>
      <c r="FCH37" s="424"/>
      <c r="FCI37" s="426"/>
      <c r="FCJ37" s="424"/>
      <c r="FCK37" s="426"/>
      <c r="FCL37" s="424"/>
      <c r="FCM37" s="426"/>
      <c r="FCN37" s="424"/>
      <c r="FCO37" s="426"/>
      <c r="FCP37" s="424"/>
      <c r="FCQ37" s="426"/>
      <c r="FCR37" s="424"/>
      <c r="FCS37" s="426"/>
      <c r="FCT37" s="424"/>
      <c r="FCU37" s="426"/>
      <c r="FCV37" s="424"/>
      <c r="FCW37" s="426"/>
      <c r="FCX37" s="424"/>
      <c r="FCY37" s="426"/>
      <c r="FCZ37" s="424"/>
      <c r="FDA37" s="426"/>
      <c r="FDB37" s="424"/>
      <c r="FDC37" s="426"/>
      <c r="FDD37" s="424"/>
      <c r="FDE37" s="426"/>
      <c r="FDF37" s="424"/>
      <c r="FDG37" s="426"/>
      <c r="FDH37" s="424"/>
      <c r="FDI37" s="426"/>
      <c r="FDJ37" s="424"/>
      <c r="FDK37" s="426"/>
      <c r="FDL37" s="424"/>
      <c r="FDM37" s="426"/>
      <c r="FDN37" s="424"/>
      <c r="FDO37" s="426"/>
      <c r="FDP37" s="424"/>
      <c r="FDQ37" s="426"/>
      <c r="FDR37" s="424"/>
      <c r="FDS37" s="426"/>
      <c r="FDT37" s="424"/>
      <c r="FDU37" s="426"/>
      <c r="FDV37" s="424"/>
      <c r="FDW37" s="426"/>
      <c r="FDX37" s="424"/>
      <c r="FDY37" s="426"/>
      <c r="FDZ37" s="424"/>
      <c r="FEA37" s="426"/>
      <c r="FEB37" s="424"/>
      <c r="FEC37" s="426"/>
      <c r="FED37" s="424"/>
      <c r="FEE37" s="426"/>
      <c r="FEF37" s="424"/>
      <c r="FEG37" s="426"/>
      <c r="FEH37" s="424"/>
      <c r="FEI37" s="426"/>
      <c r="FEJ37" s="424"/>
      <c r="FEK37" s="426"/>
      <c r="FEL37" s="424"/>
      <c r="FEM37" s="426"/>
      <c r="FEN37" s="424"/>
      <c r="FEO37" s="426"/>
      <c r="FEP37" s="424"/>
      <c r="FEQ37" s="426"/>
      <c r="FER37" s="424"/>
      <c r="FES37" s="426"/>
      <c r="FET37" s="424"/>
      <c r="FEU37" s="426"/>
      <c r="FEV37" s="424"/>
      <c r="FEW37" s="426"/>
      <c r="FEX37" s="424"/>
      <c r="FEY37" s="426"/>
      <c r="FEZ37" s="424"/>
      <c r="FFA37" s="426"/>
      <c r="FFB37" s="424"/>
      <c r="FFC37" s="426"/>
      <c r="FFD37" s="424"/>
      <c r="FFE37" s="426"/>
      <c r="FFF37" s="424"/>
      <c r="FFG37" s="426"/>
      <c r="FFH37" s="424"/>
      <c r="FFI37" s="426"/>
      <c r="FFJ37" s="424"/>
      <c r="FFK37" s="426"/>
      <c r="FFL37" s="424"/>
      <c r="FFM37" s="426"/>
      <c r="FFN37" s="424"/>
      <c r="FFO37" s="426"/>
      <c r="FFP37" s="424"/>
      <c r="FFQ37" s="426"/>
      <c r="FFR37" s="424"/>
      <c r="FFS37" s="426"/>
      <c r="FFT37" s="424"/>
      <c r="FFU37" s="426"/>
      <c r="FFV37" s="424"/>
      <c r="FFW37" s="426"/>
      <c r="FFX37" s="424"/>
      <c r="FFY37" s="426"/>
      <c r="FFZ37" s="424"/>
      <c r="FGA37" s="426"/>
      <c r="FGB37" s="424"/>
      <c r="FGC37" s="426"/>
      <c r="FGD37" s="424"/>
      <c r="FGE37" s="426"/>
      <c r="FGF37" s="424"/>
      <c r="FGG37" s="426"/>
      <c r="FGH37" s="424"/>
      <c r="FGI37" s="426"/>
      <c r="FGJ37" s="424"/>
      <c r="FGK37" s="426"/>
      <c r="FGL37" s="424"/>
      <c r="FGM37" s="426"/>
      <c r="FGN37" s="424"/>
      <c r="FGO37" s="426"/>
      <c r="FGP37" s="424"/>
      <c r="FGQ37" s="426"/>
      <c r="FGR37" s="424"/>
      <c r="FGS37" s="426"/>
      <c r="FGT37" s="424"/>
      <c r="FGU37" s="426"/>
      <c r="FGV37" s="424"/>
      <c r="FGW37" s="426"/>
      <c r="FGX37" s="424"/>
      <c r="FGY37" s="426"/>
      <c r="FGZ37" s="424"/>
      <c r="FHA37" s="426"/>
      <c r="FHB37" s="424"/>
      <c r="FHC37" s="426"/>
      <c r="FHD37" s="424"/>
      <c r="FHE37" s="426"/>
      <c r="FHF37" s="424"/>
      <c r="FHG37" s="426"/>
      <c r="FHH37" s="424"/>
      <c r="FHI37" s="426"/>
      <c r="FHJ37" s="424"/>
      <c r="FHK37" s="426"/>
      <c r="FHL37" s="424"/>
      <c r="FHM37" s="426"/>
      <c r="FHN37" s="424"/>
      <c r="FHO37" s="426"/>
      <c r="FHP37" s="424"/>
      <c r="FHQ37" s="426"/>
      <c r="FHR37" s="424"/>
      <c r="FHS37" s="426"/>
      <c r="FHT37" s="424"/>
      <c r="FHU37" s="426"/>
      <c r="FHV37" s="424"/>
      <c r="FHW37" s="426"/>
      <c r="FHX37" s="424"/>
      <c r="FHY37" s="426"/>
      <c r="FHZ37" s="424"/>
      <c r="FIA37" s="426"/>
      <c r="FIB37" s="424"/>
      <c r="FIC37" s="426"/>
      <c r="FID37" s="424"/>
      <c r="FIE37" s="426"/>
      <c r="FIF37" s="424"/>
      <c r="FIG37" s="426"/>
      <c r="FIH37" s="424"/>
      <c r="FII37" s="426"/>
      <c r="FIJ37" s="424"/>
      <c r="FIK37" s="426"/>
      <c r="FIL37" s="424"/>
      <c r="FIM37" s="426"/>
      <c r="FIN37" s="424"/>
      <c r="FIO37" s="426"/>
      <c r="FIP37" s="424"/>
      <c r="FIQ37" s="426"/>
      <c r="FIR37" s="424"/>
      <c r="FIS37" s="426"/>
      <c r="FIT37" s="424"/>
      <c r="FIU37" s="426"/>
      <c r="FIV37" s="424"/>
      <c r="FIW37" s="426"/>
      <c r="FIX37" s="424"/>
      <c r="FIY37" s="426"/>
      <c r="FIZ37" s="424"/>
      <c r="FJA37" s="426"/>
      <c r="FJB37" s="424"/>
      <c r="FJC37" s="426"/>
      <c r="FJD37" s="424"/>
      <c r="FJE37" s="426"/>
      <c r="FJF37" s="424"/>
      <c r="FJG37" s="426"/>
      <c r="FJH37" s="424"/>
      <c r="FJI37" s="426"/>
      <c r="FJJ37" s="424"/>
      <c r="FJK37" s="426"/>
      <c r="FJL37" s="424"/>
      <c r="FJM37" s="426"/>
      <c r="FJN37" s="424"/>
      <c r="FJO37" s="426"/>
      <c r="FJP37" s="424"/>
      <c r="FJQ37" s="426"/>
      <c r="FJR37" s="424"/>
      <c r="FJS37" s="426"/>
      <c r="FJT37" s="424"/>
      <c r="FJU37" s="426"/>
      <c r="FJV37" s="424"/>
      <c r="FJW37" s="426"/>
      <c r="FJX37" s="424"/>
      <c r="FJY37" s="426"/>
      <c r="FJZ37" s="424"/>
      <c r="FKA37" s="426"/>
      <c r="FKB37" s="424"/>
      <c r="FKC37" s="426"/>
      <c r="FKD37" s="424"/>
      <c r="FKE37" s="426"/>
      <c r="FKF37" s="424"/>
      <c r="FKG37" s="426"/>
      <c r="FKH37" s="424"/>
      <c r="FKI37" s="426"/>
      <c r="FKJ37" s="424"/>
      <c r="FKK37" s="426"/>
      <c r="FKL37" s="424"/>
      <c r="FKM37" s="426"/>
      <c r="FKN37" s="424"/>
      <c r="FKO37" s="426"/>
      <c r="FKP37" s="424"/>
      <c r="FKQ37" s="426"/>
      <c r="FKR37" s="424"/>
      <c r="FKS37" s="426"/>
      <c r="FKT37" s="424"/>
      <c r="FKU37" s="426"/>
      <c r="FKV37" s="424"/>
      <c r="FKW37" s="426"/>
      <c r="FKX37" s="424"/>
      <c r="FKY37" s="426"/>
      <c r="FKZ37" s="424"/>
      <c r="FLA37" s="426"/>
      <c r="FLB37" s="424"/>
      <c r="FLC37" s="426"/>
      <c r="FLD37" s="424"/>
      <c r="FLE37" s="426"/>
      <c r="FLF37" s="424"/>
      <c r="FLG37" s="426"/>
      <c r="FLH37" s="424"/>
      <c r="FLI37" s="426"/>
      <c r="FLJ37" s="424"/>
      <c r="FLK37" s="426"/>
      <c r="FLL37" s="424"/>
      <c r="FLM37" s="426"/>
      <c r="FLN37" s="424"/>
      <c r="FLO37" s="426"/>
      <c r="FLP37" s="424"/>
      <c r="FLQ37" s="426"/>
      <c r="FLR37" s="424"/>
      <c r="FLS37" s="426"/>
      <c r="FLT37" s="424"/>
      <c r="FLU37" s="426"/>
      <c r="FLV37" s="424"/>
      <c r="FLW37" s="426"/>
      <c r="FLX37" s="424"/>
      <c r="FLY37" s="426"/>
      <c r="FLZ37" s="424"/>
      <c r="FMA37" s="426"/>
      <c r="FMB37" s="424"/>
      <c r="FMC37" s="426"/>
      <c r="FMD37" s="424"/>
      <c r="FME37" s="426"/>
      <c r="FMF37" s="424"/>
      <c r="FMG37" s="426"/>
      <c r="FMH37" s="424"/>
      <c r="FMI37" s="426"/>
      <c r="FMJ37" s="424"/>
      <c r="FMK37" s="426"/>
      <c r="FML37" s="424"/>
      <c r="FMM37" s="426"/>
      <c r="FMN37" s="424"/>
      <c r="FMO37" s="426"/>
      <c r="FMP37" s="424"/>
      <c r="FMQ37" s="426"/>
      <c r="FMR37" s="424"/>
      <c r="FMS37" s="426"/>
      <c r="FMT37" s="424"/>
      <c r="FMU37" s="426"/>
      <c r="FMV37" s="424"/>
      <c r="FMW37" s="426"/>
      <c r="FMX37" s="424"/>
      <c r="FMY37" s="426"/>
      <c r="FMZ37" s="424"/>
      <c r="FNA37" s="426"/>
      <c r="FNB37" s="424"/>
      <c r="FNC37" s="426"/>
      <c r="FND37" s="424"/>
      <c r="FNE37" s="426"/>
      <c r="FNF37" s="424"/>
      <c r="FNG37" s="426"/>
      <c r="FNH37" s="424"/>
      <c r="FNI37" s="426"/>
      <c r="FNJ37" s="424"/>
      <c r="FNK37" s="426"/>
      <c r="FNL37" s="424"/>
      <c r="FNM37" s="426"/>
      <c r="FNN37" s="424"/>
      <c r="FNO37" s="426"/>
      <c r="FNP37" s="424"/>
      <c r="FNQ37" s="426"/>
      <c r="FNR37" s="424"/>
      <c r="FNS37" s="426"/>
      <c r="FNT37" s="424"/>
      <c r="FNU37" s="426"/>
      <c r="FNV37" s="424"/>
      <c r="FNW37" s="426"/>
      <c r="FNX37" s="424"/>
      <c r="FNY37" s="426"/>
      <c r="FNZ37" s="424"/>
      <c r="FOA37" s="426"/>
      <c r="FOB37" s="424"/>
      <c r="FOC37" s="426"/>
      <c r="FOD37" s="424"/>
      <c r="FOE37" s="426"/>
      <c r="FOF37" s="424"/>
      <c r="FOG37" s="426"/>
      <c r="FOH37" s="424"/>
      <c r="FOI37" s="426"/>
      <c r="FOJ37" s="424"/>
      <c r="FOK37" s="426"/>
      <c r="FOL37" s="424"/>
      <c r="FOM37" s="426"/>
      <c r="FON37" s="424"/>
      <c r="FOO37" s="426"/>
      <c r="FOP37" s="424"/>
      <c r="FOQ37" s="426"/>
      <c r="FOR37" s="424"/>
      <c r="FOS37" s="426"/>
      <c r="FOT37" s="424"/>
      <c r="FOU37" s="426"/>
      <c r="FOV37" s="424"/>
      <c r="FOW37" s="426"/>
      <c r="FOX37" s="424"/>
      <c r="FOY37" s="426"/>
      <c r="FOZ37" s="424"/>
      <c r="FPA37" s="426"/>
      <c r="FPB37" s="424"/>
      <c r="FPC37" s="426"/>
      <c r="FPD37" s="424"/>
      <c r="FPE37" s="426"/>
      <c r="FPF37" s="424"/>
      <c r="FPG37" s="426"/>
      <c r="FPH37" s="424"/>
      <c r="FPI37" s="426"/>
      <c r="FPJ37" s="424"/>
      <c r="FPK37" s="426"/>
      <c r="FPL37" s="424"/>
      <c r="FPM37" s="426"/>
      <c r="FPN37" s="424"/>
      <c r="FPO37" s="426"/>
      <c r="FPP37" s="424"/>
      <c r="FPQ37" s="426"/>
      <c r="FPR37" s="424"/>
      <c r="FPS37" s="426"/>
      <c r="FPT37" s="424"/>
      <c r="FPU37" s="426"/>
      <c r="FPV37" s="424"/>
      <c r="FPW37" s="426"/>
      <c r="FPX37" s="424"/>
      <c r="FPY37" s="426"/>
      <c r="FPZ37" s="424"/>
      <c r="FQA37" s="426"/>
      <c r="FQB37" s="424"/>
      <c r="FQC37" s="426"/>
      <c r="FQD37" s="424"/>
      <c r="FQE37" s="426"/>
      <c r="FQF37" s="424"/>
      <c r="FQG37" s="426"/>
      <c r="FQH37" s="424"/>
      <c r="FQI37" s="426"/>
      <c r="FQJ37" s="424"/>
      <c r="FQK37" s="426"/>
      <c r="FQL37" s="424"/>
      <c r="FQM37" s="426"/>
      <c r="FQN37" s="424"/>
      <c r="FQO37" s="426"/>
      <c r="FQP37" s="424"/>
      <c r="FQQ37" s="426"/>
      <c r="FQR37" s="424"/>
      <c r="FQS37" s="426"/>
      <c r="FQT37" s="424"/>
      <c r="FQU37" s="426"/>
      <c r="FQV37" s="424"/>
      <c r="FQW37" s="426"/>
      <c r="FQX37" s="424"/>
      <c r="FQY37" s="426"/>
      <c r="FQZ37" s="424"/>
      <c r="FRA37" s="426"/>
      <c r="FRB37" s="424"/>
      <c r="FRC37" s="426"/>
      <c r="FRD37" s="424"/>
      <c r="FRE37" s="426"/>
      <c r="FRF37" s="424"/>
      <c r="FRG37" s="426"/>
      <c r="FRH37" s="424"/>
      <c r="FRI37" s="426"/>
      <c r="FRJ37" s="424"/>
      <c r="FRK37" s="426"/>
      <c r="FRL37" s="424"/>
      <c r="FRM37" s="426"/>
      <c r="FRN37" s="424"/>
      <c r="FRO37" s="426"/>
      <c r="FRP37" s="424"/>
      <c r="FRQ37" s="426"/>
      <c r="FRR37" s="424"/>
      <c r="FRS37" s="426"/>
      <c r="FRT37" s="424"/>
      <c r="FRU37" s="426"/>
      <c r="FRV37" s="424"/>
      <c r="FRW37" s="426"/>
      <c r="FRX37" s="424"/>
      <c r="FRY37" s="426"/>
      <c r="FRZ37" s="424"/>
      <c r="FSA37" s="426"/>
      <c r="FSB37" s="424"/>
      <c r="FSC37" s="426"/>
      <c r="FSD37" s="424"/>
      <c r="FSE37" s="426"/>
      <c r="FSF37" s="424"/>
      <c r="FSG37" s="426"/>
      <c r="FSH37" s="424"/>
      <c r="FSI37" s="426"/>
      <c r="FSJ37" s="424"/>
      <c r="FSK37" s="426"/>
      <c r="FSL37" s="424"/>
      <c r="FSM37" s="426"/>
      <c r="FSN37" s="424"/>
      <c r="FSO37" s="426"/>
      <c r="FSP37" s="424"/>
      <c r="FSQ37" s="426"/>
      <c r="FSR37" s="424"/>
      <c r="FSS37" s="426"/>
      <c r="FST37" s="424"/>
      <c r="FSU37" s="426"/>
      <c r="FSV37" s="424"/>
      <c r="FSW37" s="426"/>
      <c r="FSX37" s="424"/>
      <c r="FSY37" s="426"/>
      <c r="FSZ37" s="424"/>
      <c r="FTA37" s="426"/>
      <c r="FTB37" s="424"/>
      <c r="FTC37" s="426"/>
      <c r="FTD37" s="424"/>
      <c r="FTE37" s="426"/>
      <c r="FTF37" s="424"/>
      <c r="FTG37" s="426"/>
      <c r="FTH37" s="424"/>
      <c r="FTI37" s="426"/>
      <c r="FTJ37" s="424"/>
      <c r="FTK37" s="426"/>
      <c r="FTL37" s="424"/>
      <c r="FTM37" s="426"/>
      <c r="FTN37" s="424"/>
      <c r="FTO37" s="426"/>
      <c r="FTP37" s="424"/>
      <c r="FTQ37" s="426"/>
      <c r="FTR37" s="424"/>
      <c r="FTS37" s="426"/>
      <c r="FTT37" s="424"/>
      <c r="FTU37" s="426"/>
      <c r="FTV37" s="424"/>
      <c r="FTW37" s="426"/>
      <c r="FTX37" s="424"/>
      <c r="FTY37" s="426"/>
      <c r="FTZ37" s="424"/>
      <c r="FUA37" s="426"/>
      <c r="FUB37" s="424"/>
      <c r="FUC37" s="426"/>
      <c r="FUD37" s="424"/>
      <c r="FUE37" s="426"/>
      <c r="FUF37" s="424"/>
      <c r="FUG37" s="426"/>
      <c r="FUH37" s="424"/>
      <c r="FUI37" s="426"/>
      <c r="FUJ37" s="424"/>
      <c r="FUK37" s="426"/>
      <c r="FUL37" s="424"/>
      <c r="FUM37" s="426"/>
      <c r="FUN37" s="424"/>
      <c r="FUO37" s="426"/>
      <c r="FUP37" s="424"/>
      <c r="FUQ37" s="426"/>
      <c r="FUR37" s="424"/>
      <c r="FUS37" s="426"/>
      <c r="FUT37" s="424"/>
      <c r="FUU37" s="426"/>
      <c r="FUV37" s="424"/>
      <c r="FUW37" s="426"/>
      <c r="FUX37" s="424"/>
      <c r="FUY37" s="426"/>
      <c r="FUZ37" s="424"/>
      <c r="FVA37" s="426"/>
      <c r="FVB37" s="424"/>
      <c r="FVC37" s="426"/>
      <c r="FVD37" s="424"/>
      <c r="FVE37" s="426"/>
      <c r="FVF37" s="424"/>
      <c r="FVG37" s="426"/>
      <c r="FVH37" s="424"/>
      <c r="FVI37" s="426"/>
      <c r="FVJ37" s="424"/>
      <c r="FVK37" s="426"/>
      <c r="FVL37" s="424"/>
      <c r="FVM37" s="426"/>
      <c r="FVN37" s="424"/>
      <c r="FVO37" s="426"/>
      <c r="FVP37" s="424"/>
      <c r="FVQ37" s="426"/>
      <c r="FVR37" s="424"/>
      <c r="FVS37" s="426"/>
      <c r="FVT37" s="424"/>
      <c r="FVU37" s="426"/>
      <c r="FVV37" s="424"/>
      <c r="FVW37" s="426"/>
      <c r="FVX37" s="424"/>
      <c r="FVY37" s="426"/>
      <c r="FVZ37" s="424"/>
      <c r="FWA37" s="426"/>
      <c r="FWB37" s="424"/>
      <c r="FWC37" s="426"/>
      <c r="FWD37" s="424"/>
      <c r="FWE37" s="426"/>
      <c r="FWF37" s="424"/>
      <c r="FWG37" s="426"/>
      <c r="FWH37" s="424"/>
      <c r="FWI37" s="426"/>
      <c r="FWJ37" s="424"/>
      <c r="FWK37" s="426"/>
      <c r="FWL37" s="424"/>
      <c r="FWM37" s="426"/>
      <c r="FWN37" s="424"/>
      <c r="FWO37" s="426"/>
      <c r="FWP37" s="424"/>
      <c r="FWQ37" s="426"/>
      <c r="FWR37" s="424"/>
      <c r="FWS37" s="426"/>
      <c r="FWT37" s="424"/>
      <c r="FWU37" s="426"/>
      <c r="FWV37" s="424"/>
      <c r="FWW37" s="426"/>
      <c r="FWX37" s="424"/>
      <c r="FWY37" s="426"/>
      <c r="FWZ37" s="424"/>
      <c r="FXA37" s="426"/>
      <c r="FXB37" s="424"/>
      <c r="FXC37" s="426"/>
      <c r="FXD37" s="424"/>
      <c r="FXE37" s="426"/>
      <c r="FXF37" s="424"/>
      <c r="FXG37" s="426"/>
      <c r="FXH37" s="424"/>
      <c r="FXI37" s="426"/>
      <c r="FXJ37" s="424"/>
      <c r="FXK37" s="426"/>
      <c r="FXL37" s="424"/>
      <c r="FXM37" s="426"/>
      <c r="FXN37" s="424"/>
      <c r="FXO37" s="426"/>
      <c r="FXP37" s="424"/>
      <c r="FXQ37" s="426"/>
      <c r="FXR37" s="424"/>
      <c r="FXS37" s="426"/>
      <c r="FXT37" s="424"/>
      <c r="FXU37" s="426"/>
      <c r="FXV37" s="424"/>
      <c r="FXW37" s="426"/>
      <c r="FXX37" s="424"/>
      <c r="FXY37" s="426"/>
      <c r="FXZ37" s="424"/>
      <c r="FYA37" s="426"/>
      <c r="FYB37" s="424"/>
      <c r="FYC37" s="426"/>
      <c r="FYD37" s="424"/>
      <c r="FYE37" s="426"/>
      <c r="FYF37" s="424"/>
      <c r="FYG37" s="426"/>
      <c r="FYH37" s="424"/>
      <c r="FYI37" s="426"/>
      <c r="FYJ37" s="424"/>
      <c r="FYK37" s="426"/>
      <c r="FYL37" s="424"/>
      <c r="FYM37" s="426"/>
      <c r="FYN37" s="424"/>
      <c r="FYO37" s="426"/>
      <c r="FYP37" s="424"/>
      <c r="FYQ37" s="426"/>
      <c r="FYR37" s="424"/>
      <c r="FYS37" s="426"/>
      <c r="FYT37" s="424"/>
      <c r="FYU37" s="426"/>
      <c r="FYV37" s="424"/>
      <c r="FYW37" s="426"/>
      <c r="FYX37" s="424"/>
      <c r="FYY37" s="426"/>
      <c r="FYZ37" s="424"/>
      <c r="FZA37" s="426"/>
      <c r="FZB37" s="424"/>
      <c r="FZC37" s="426"/>
      <c r="FZD37" s="424"/>
      <c r="FZE37" s="426"/>
      <c r="FZF37" s="424"/>
      <c r="FZG37" s="426"/>
      <c r="FZH37" s="424"/>
      <c r="FZI37" s="426"/>
      <c r="FZJ37" s="424"/>
      <c r="FZK37" s="426"/>
      <c r="FZL37" s="424"/>
      <c r="FZM37" s="426"/>
      <c r="FZN37" s="424"/>
      <c r="FZO37" s="426"/>
      <c r="FZP37" s="424"/>
      <c r="FZQ37" s="426"/>
      <c r="FZR37" s="424"/>
      <c r="FZS37" s="426"/>
      <c r="FZT37" s="424"/>
      <c r="FZU37" s="426"/>
      <c r="FZV37" s="424"/>
      <c r="FZW37" s="426"/>
      <c r="FZX37" s="424"/>
      <c r="FZY37" s="426"/>
      <c r="FZZ37" s="424"/>
      <c r="GAA37" s="426"/>
      <c r="GAB37" s="424"/>
      <c r="GAC37" s="426"/>
      <c r="GAD37" s="424"/>
      <c r="GAE37" s="426"/>
      <c r="GAF37" s="424"/>
      <c r="GAG37" s="426"/>
      <c r="GAH37" s="424"/>
      <c r="GAI37" s="426"/>
      <c r="GAJ37" s="424"/>
      <c r="GAK37" s="426"/>
      <c r="GAL37" s="424"/>
      <c r="GAM37" s="426"/>
      <c r="GAN37" s="424"/>
      <c r="GAO37" s="426"/>
      <c r="GAP37" s="424"/>
      <c r="GAQ37" s="426"/>
      <c r="GAR37" s="424"/>
      <c r="GAS37" s="426"/>
      <c r="GAT37" s="424"/>
      <c r="GAU37" s="426"/>
      <c r="GAV37" s="424"/>
      <c r="GAW37" s="426"/>
      <c r="GAX37" s="424"/>
      <c r="GAY37" s="426"/>
      <c r="GAZ37" s="424"/>
      <c r="GBA37" s="426"/>
      <c r="GBB37" s="424"/>
      <c r="GBC37" s="426"/>
      <c r="GBD37" s="424"/>
      <c r="GBE37" s="426"/>
      <c r="GBF37" s="424"/>
      <c r="GBG37" s="426"/>
      <c r="GBH37" s="424"/>
      <c r="GBI37" s="426"/>
      <c r="GBJ37" s="424"/>
      <c r="GBK37" s="426"/>
      <c r="GBL37" s="424"/>
      <c r="GBM37" s="426"/>
      <c r="GBN37" s="424"/>
      <c r="GBO37" s="426"/>
      <c r="GBP37" s="424"/>
      <c r="GBQ37" s="426"/>
      <c r="GBR37" s="424"/>
      <c r="GBS37" s="426"/>
      <c r="GBT37" s="424"/>
      <c r="GBU37" s="426"/>
      <c r="GBV37" s="424"/>
      <c r="GBW37" s="426"/>
      <c r="GBX37" s="424"/>
      <c r="GBY37" s="426"/>
      <c r="GBZ37" s="424"/>
      <c r="GCA37" s="426"/>
      <c r="GCB37" s="424"/>
      <c r="GCC37" s="426"/>
      <c r="GCD37" s="424"/>
      <c r="GCE37" s="426"/>
      <c r="GCF37" s="424"/>
      <c r="GCG37" s="426"/>
      <c r="GCH37" s="424"/>
      <c r="GCI37" s="426"/>
      <c r="GCJ37" s="424"/>
      <c r="GCK37" s="426"/>
      <c r="GCL37" s="424"/>
      <c r="GCM37" s="426"/>
      <c r="GCN37" s="424"/>
      <c r="GCO37" s="426"/>
      <c r="GCP37" s="424"/>
      <c r="GCQ37" s="426"/>
      <c r="GCR37" s="424"/>
      <c r="GCS37" s="426"/>
      <c r="GCT37" s="424"/>
      <c r="GCU37" s="426"/>
      <c r="GCV37" s="424"/>
      <c r="GCW37" s="426"/>
      <c r="GCX37" s="424"/>
      <c r="GCY37" s="426"/>
      <c r="GCZ37" s="424"/>
      <c r="GDA37" s="426"/>
      <c r="GDB37" s="424"/>
      <c r="GDC37" s="426"/>
      <c r="GDD37" s="424"/>
      <c r="GDE37" s="426"/>
      <c r="GDF37" s="424"/>
      <c r="GDG37" s="426"/>
      <c r="GDH37" s="424"/>
      <c r="GDI37" s="426"/>
      <c r="GDJ37" s="424"/>
      <c r="GDK37" s="426"/>
      <c r="GDL37" s="424"/>
      <c r="GDM37" s="426"/>
      <c r="GDN37" s="424"/>
      <c r="GDO37" s="426"/>
      <c r="GDP37" s="424"/>
      <c r="GDQ37" s="426"/>
      <c r="GDR37" s="424"/>
      <c r="GDS37" s="426"/>
      <c r="GDT37" s="424"/>
      <c r="GDU37" s="426"/>
      <c r="GDV37" s="424"/>
      <c r="GDW37" s="426"/>
      <c r="GDX37" s="424"/>
      <c r="GDY37" s="426"/>
      <c r="GDZ37" s="424"/>
      <c r="GEA37" s="426"/>
      <c r="GEB37" s="424"/>
      <c r="GEC37" s="426"/>
      <c r="GED37" s="424"/>
      <c r="GEE37" s="426"/>
      <c r="GEF37" s="424"/>
      <c r="GEG37" s="426"/>
      <c r="GEH37" s="424"/>
      <c r="GEI37" s="426"/>
      <c r="GEJ37" s="424"/>
      <c r="GEK37" s="426"/>
      <c r="GEL37" s="424"/>
      <c r="GEM37" s="426"/>
      <c r="GEN37" s="424"/>
      <c r="GEO37" s="426"/>
      <c r="GEP37" s="424"/>
      <c r="GEQ37" s="426"/>
      <c r="GER37" s="424"/>
      <c r="GES37" s="426"/>
      <c r="GET37" s="424"/>
      <c r="GEU37" s="426"/>
      <c r="GEV37" s="424"/>
      <c r="GEW37" s="426"/>
      <c r="GEX37" s="424"/>
      <c r="GEY37" s="426"/>
      <c r="GEZ37" s="424"/>
      <c r="GFA37" s="426"/>
      <c r="GFB37" s="424"/>
      <c r="GFC37" s="426"/>
      <c r="GFD37" s="424"/>
      <c r="GFE37" s="426"/>
      <c r="GFF37" s="424"/>
      <c r="GFG37" s="426"/>
      <c r="GFH37" s="424"/>
      <c r="GFI37" s="426"/>
      <c r="GFJ37" s="424"/>
      <c r="GFK37" s="426"/>
      <c r="GFL37" s="424"/>
      <c r="GFM37" s="426"/>
      <c r="GFN37" s="424"/>
      <c r="GFO37" s="426"/>
      <c r="GFP37" s="424"/>
      <c r="GFQ37" s="426"/>
      <c r="GFR37" s="424"/>
      <c r="GFS37" s="426"/>
      <c r="GFT37" s="424"/>
      <c r="GFU37" s="426"/>
      <c r="GFV37" s="424"/>
      <c r="GFW37" s="426"/>
      <c r="GFX37" s="424"/>
      <c r="GFY37" s="426"/>
      <c r="GFZ37" s="424"/>
      <c r="GGA37" s="426"/>
      <c r="GGB37" s="424"/>
      <c r="GGC37" s="426"/>
      <c r="GGD37" s="424"/>
      <c r="GGE37" s="426"/>
      <c r="GGF37" s="424"/>
      <c r="GGG37" s="426"/>
      <c r="GGH37" s="424"/>
      <c r="GGI37" s="426"/>
      <c r="GGJ37" s="424"/>
      <c r="GGK37" s="426"/>
      <c r="GGL37" s="424"/>
      <c r="GGM37" s="426"/>
      <c r="GGN37" s="424"/>
      <c r="GGO37" s="426"/>
      <c r="GGP37" s="424"/>
      <c r="GGQ37" s="426"/>
      <c r="GGR37" s="424"/>
      <c r="GGS37" s="426"/>
      <c r="GGT37" s="424"/>
      <c r="GGU37" s="426"/>
      <c r="GGV37" s="424"/>
      <c r="GGW37" s="426"/>
      <c r="GGX37" s="424"/>
      <c r="GGY37" s="426"/>
      <c r="GGZ37" s="424"/>
      <c r="GHA37" s="426"/>
      <c r="GHB37" s="424"/>
      <c r="GHC37" s="426"/>
      <c r="GHD37" s="424"/>
      <c r="GHE37" s="426"/>
      <c r="GHF37" s="424"/>
      <c r="GHG37" s="426"/>
      <c r="GHH37" s="424"/>
      <c r="GHI37" s="426"/>
      <c r="GHJ37" s="424"/>
      <c r="GHK37" s="426"/>
      <c r="GHL37" s="424"/>
      <c r="GHM37" s="426"/>
      <c r="GHN37" s="424"/>
      <c r="GHO37" s="426"/>
      <c r="GHP37" s="424"/>
      <c r="GHQ37" s="426"/>
      <c r="GHR37" s="424"/>
      <c r="GHS37" s="426"/>
      <c r="GHT37" s="424"/>
      <c r="GHU37" s="426"/>
      <c r="GHV37" s="424"/>
      <c r="GHW37" s="426"/>
      <c r="GHX37" s="424"/>
      <c r="GHY37" s="426"/>
      <c r="GHZ37" s="424"/>
      <c r="GIA37" s="426"/>
      <c r="GIB37" s="424"/>
      <c r="GIC37" s="426"/>
      <c r="GID37" s="424"/>
      <c r="GIE37" s="426"/>
      <c r="GIF37" s="424"/>
      <c r="GIG37" s="426"/>
      <c r="GIH37" s="424"/>
      <c r="GII37" s="426"/>
      <c r="GIJ37" s="424"/>
      <c r="GIK37" s="426"/>
      <c r="GIL37" s="424"/>
      <c r="GIM37" s="426"/>
      <c r="GIN37" s="424"/>
      <c r="GIO37" s="426"/>
      <c r="GIP37" s="424"/>
      <c r="GIQ37" s="426"/>
      <c r="GIR37" s="424"/>
      <c r="GIS37" s="426"/>
      <c r="GIT37" s="424"/>
      <c r="GIU37" s="426"/>
      <c r="GIV37" s="424"/>
      <c r="GIW37" s="426"/>
      <c r="GIX37" s="424"/>
      <c r="GIY37" s="426"/>
      <c r="GIZ37" s="424"/>
      <c r="GJA37" s="426"/>
      <c r="GJB37" s="424"/>
      <c r="GJC37" s="426"/>
      <c r="GJD37" s="424"/>
      <c r="GJE37" s="426"/>
      <c r="GJF37" s="424"/>
      <c r="GJG37" s="426"/>
      <c r="GJH37" s="424"/>
      <c r="GJI37" s="426"/>
      <c r="GJJ37" s="424"/>
      <c r="GJK37" s="426"/>
      <c r="GJL37" s="424"/>
      <c r="GJM37" s="426"/>
      <c r="GJN37" s="424"/>
      <c r="GJO37" s="426"/>
      <c r="GJP37" s="424"/>
      <c r="GJQ37" s="426"/>
      <c r="GJR37" s="424"/>
      <c r="GJS37" s="426"/>
      <c r="GJT37" s="424"/>
      <c r="GJU37" s="426"/>
      <c r="GJV37" s="424"/>
      <c r="GJW37" s="426"/>
      <c r="GJX37" s="424"/>
      <c r="GJY37" s="426"/>
      <c r="GJZ37" s="424"/>
      <c r="GKA37" s="426"/>
      <c r="GKB37" s="424"/>
      <c r="GKC37" s="426"/>
      <c r="GKD37" s="424"/>
      <c r="GKE37" s="426"/>
      <c r="GKF37" s="424"/>
      <c r="GKG37" s="426"/>
      <c r="GKH37" s="424"/>
      <c r="GKI37" s="426"/>
      <c r="GKJ37" s="424"/>
      <c r="GKK37" s="426"/>
      <c r="GKL37" s="424"/>
      <c r="GKM37" s="426"/>
      <c r="GKN37" s="424"/>
      <c r="GKO37" s="426"/>
      <c r="GKP37" s="424"/>
      <c r="GKQ37" s="426"/>
      <c r="GKR37" s="424"/>
      <c r="GKS37" s="426"/>
      <c r="GKT37" s="424"/>
      <c r="GKU37" s="426"/>
      <c r="GKV37" s="424"/>
      <c r="GKW37" s="426"/>
      <c r="GKX37" s="424"/>
      <c r="GKY37" s="426"/>
      <c r="GKZ37" s="424"/>
      <c r="GLA37" s="426"/>
      <c r="GLB37" s="424"/>
      <c r="GLC37" s="426"/>
      <c r="GLD37" s="424"/>
      <c r="GLE37" s="426"/>
      <c r="GLF37" s="424"/>
      <c r="GLG37" s="426"/>
      <c r="GLH37" s="424"/>
      <c r="GLI37" s="426"/>
      <c r="GLJ37" s="424"/>
      <c r="GLK37" s="426"/>
      <c r="GLL37" s="424"/>
      <c r="GLM37" s="426"/>
      <c r="GLN37" s="424"/>
      <c r="GLO37" s="426"/>
      <c r="GLP37" s="424"/>
      <c r="GLQ37" s="426"/>
      <c r="GLR37" s="424"/>
      <c r="GLS37" s="426"/>
      <c r="GLT37" s="424"/>
      <c r="GLU37" s="426"/>
      <c r="GLV37" s="424"/>
      <c r="GLW37" s="426"/>
      <c r="GLX37" s="424"/>
      <c r="GLY37" s="426"/>
      <c r="GLZ37" s="424"/>
      <c r="GMA37" s="426"/>
      <c r="GMB37" s="424"/>
      <c r="GMC37" s="426"/>
      <c r="GMD37" s="424"/>
      <c r="GME37" s="426"/>
      <c r="GMF37" s="424"/>
      <c r="GMG37" s="426"/>
      <c r="GMH37" s="424"/>
      <c r="GMI37" s="426"/>
      <c r="GMJ37" s="424"/>
      <c r="GMK37" s="426"/>
      <c r="GML37" s="424"/>
      <c r="GMM37" s="426"/>
      <c r="GMN37" s="424"/>
      <c r="GMO37" s="426"/>
      <c r="GMP37" s="424"/>
      <c r="GMQ37" s="426"/>
      <c r="GMR37" s="424"/>
      <c r="GMS37" s="426"/>
      <c r="GMT37" s="424"/>
      <c r="GMU37" s="426"/>
      <c r="GMV37" s="424"/>
      <c r="GMW37" s="426"/>
      <c r="GMX37" s="424"/>
      <c r="GMY37" s="426"/>
      <c r="GMZ37" s="424"/>
      <c r="GNA37" s="426"/>
      <c r="GNB37" s="424"/>
      <c r="GNC37" s="426"/>
      <c r="GND37" s="424"/>
      <c r="GNE37" s="426"/>
      <c r="GNF37" s="424"/>
      <c r="GNG37" s="426"/>
      <c r="GNH37" s="424"/>
      <c r="GNI37" s="426"/>
      <c r="GNJ37" s="424"/>
      <c r="GNK37" s="426"/>
      <c r="GNL37" s="424"/>
      <c r="GNM37" s="426"/>
      <c r="GNN37" s="424"/>
      <c r="GNO37" s="426"/>
      <c r="GNP37" s="424"/>
      <c r="GNQ37" s="426"/>
      <c r="GNR37" s="424"/>
      <c r="GNS37" s="426"/>
      <c r="GNT37" s="424"/>
      <c r="GNU37" s="426"/>
      <c r="GNV37" s="424"/>
      <c r="GNW37" s="426"/>
      <c r="GNX37" s="424"/>
      <c r="GNY37" s="426"/>
      <c r="GNZ37" s="424"/>
      <c r="GOA37" s="426"/>
      <c r="GOB37" s="424"/>
      <c r="GOC37" s="426"/>
      <c r="GOD37" s="424"/>
      <c r="GOE37" s="426"/>
      <c r="GOF37" s="424"/>
      <c r="GOG37" s="426"/>
      <c r="GOH37" s="424"/>
      <c r="GOI37" s="426"/>
      <c r="GOJ37" s="424"/>
      <c r="GOK37" s="426"/>
      <c r="GOL37" s="424"/>
      <c r="GOM37" s="426"/>
      <c r="GON37" s="424"/>
      <c r="GOO37" s="426"/>
      <c r="GOP37" s="424"/>
      <c r="GOQ37" s="426"/>
      <c r="GOR37" s="424"/>
      <c r="GOS37" s="426"/>
      <c r="GOT37" s="424"/>
      <c r="GOU37" s="426"/>
      <c r="GOV37" s="424"/>
      <c r="GOW37" s="426"/>
      <c r="GOX37" s="424"/>
      <c r="GOY37" s="426"/>
      <c r="GOZ37" s="424"/>
      <c r="GPA37" s="426"/>
      <c r="GPB37" s="424"/>
      <c r="GPC37" s="426"/>
      <c r="GPD37" s="424"/>
      <c r="GPE37" s="426"/>
      <c r="GPF37" s="424"/>
      <c r="GPG37" s="426"/>
      <c r="GPH37" s="424"/>
      <c r="GPI37" s="426"/>
      <c r="GPJ37" s="424"/>
      <c r="GPK37" s="426"/>
      <c r="GPL37" s="424"/>
      <c r="GPM37" s="426"/>
      <c r="GPN37" s="424"/>
      <c r="GPO37" s="426"/>
      <c r="GPP37" s="424"/>
      <c r="GPQ37" s="426"/>
      <c r="GPR37" s="424"/>
      <c r="GPS37" s="426"/>
      <c r="GPT37" s="424"/>
      <c r="GPU37" s="426"/>
      <c r="GPV37" s="424"/>
      <c r="GPW37" s="426"/>
      <c r="GPX37" s="424"/>
      <c r="GPY37" s="426"/>
      <c r="GPZ37" s="424"/>
      <c r="GQA37" s="426"/>
      <c r="GQB37" s="424"/>
      <c r="GQC37" s="426"/>
      <c r="GQD37" s="424"/>
      <c r="GQE37" s="426"/>
      <c r="GQF37" s="424"/>
      <c r="GQG37" s="426"/>
      <c r="GQH37" s="424"/>
      <c r="GQI37" s="426"/>
      <c r="GQJ37" s="424"/>
      <c r="GQK37" s="426"/>
      <c r="GQL37" s="424"/>
      <c r="GQM37" s="426"/>
      <c r="GQN37" s="424"/>
      <c r="GQO37" s="426"/>
      <c r="GQP37" s="424"/>
      <c r="GQQ37" s="426"/>
      <c r="GQR37" s="424"/>
      <c r="GQS37" s="426"/>
      <c r="GQT37" s="424"/>
      <c r="GQU37" s="426"/>
      <c r="GQV37" s="424"/>
      <c r="GQW37" s="426"/>
      <c r="GQX37" s="424"/>
      <c r="GQY37" s="426"/>
      <c r="GQZ37" s="424"/>
      <c r="GRA37" s="426"/>
      <c r="GRB37" s="424"/>
      <c r="GRC37" s="426"/>
      <c r="GRD37" s="424"/>
      <c r="GRE37" s="426"/>
      <c r="GRF37" s="424"/>
      <c r="GRG37" s="426"/>
      <c r="GRH37" s="424"/>
      <c r="GRI37" s="426"/>
      <c r="GRJ37" s="424"/>
      <c r="GRK37" s="426"/>
      <c r="GRL37" s="424"/>
      <c r="GRM37" s="426"/>
      <c r="GRN37" s="424"/>
      <c r="GRO37" s="426"/>
      <c r="GRP37" s="424"/>
      <c r="GRQ37" s="426"/>
      <c r="GRR37" s="424"/>
      <c r="GRS37" s="426"/>
      <c r="GRT37" s="424"/>
      <c r="GRU37" s="426"/>
      <c r="GRV37" s="424"/>
      <c r="GRW37" s="426"/>
      <c r="GRX37" s="424"/>
      <c r="GRY37" s="426"/>
      <c r="GRZ37" s="424"/>
      <c r="GSA37" s="426"/>
      <c r="GSB37" s="424"/>
      <c r="GSC37" s="426"/>
      <c r="GSD37" s="424"/>
      <c r="GSE37" s="426"/>
      <c r="GSF37" s="424"/>
      <c r="GSG37" s="426"/>
      <c r="GSH37" s="424"/>
      <c r="GSI37" s="426"/>
      <c r="GSJ37" s="424"/>
      <c r="GSK37" s="426"/>
      <c r="GSL37" s="424"/>
      <c r="GSM37" s="426"/>
      <c r="GSN37" s="424"/>
      <c r="GSO37" s="426"/>
      <c r="GSP37" s="424"/>
      <c r="GSQ37" s="426"/>
      <c r="GSR37" s="424"/>
      <c r="GSS37" s="426"/>
      <c r="GST37" s="424"/>
      <c r="GSU37" s="426"/>
      <c r="GSV37" s="424"/>
      <c r="GSW37" s="426"/>
      <c r="GSX37" s="424"/>
      <c r="GSY37" s="426"/>
      <c r="GSZ37" s="424"/>
      <c r="GTA37" s="426"/>
      <c r="GTB37" s="424"/>
      <c r="GTC37" s="426"/>
      <c r="GTD37" s="424"/>
      <c r="GTE37" s="426"/>
      <c r="GTF37" s="424"/>
      <c r="GTG37" s="426"/>
      <c r="GTH37" s="424"/>
      <c r="GTI37" s="426"/>
      <c r="GTJ37" s="424"/>
      <c r="GTK37" s="426"/>
      <c r="GTL37" s="424"/>
      <c r="GTM37" s="426"/>
      <c r="GTN37" s="424"/>
      <c r="GTO37" s="426"/>
      <c r="GTP37" s="424"/>
      <c r="GTQ37" s="426"/>
      <c r="GTR37" s="424"/>
      <c r="GTS37" s="426"/>
      <c r="GTT37" s="424"/>
      <c r="GTU37" s="426"/>
      <c r="GTV37" s="424"/>
      <c r="GTW37" s="426"/>
      <c r="GTX37" s="424"/>
      <c r="GTY37" s="426"/>
      <c r="GTZ37" s="424"/>
      <c r="GUA37" s="426"/>
      <c r="GUB37" s="424"/>
      <c r="GUC37" s="426"/>
      <c r="GUD37" s="424"/>
      <c r="GUE37" s="426"/>
      <c r="GUF37" s="424"/>
      <c r="GUG37" s="426"/>
      <c r="GUH37" s="424"/>
      <c r="GUI37" s="426"/>
      <c r="GUJ37" s="424"/>
      <c r="GUK37" s="426"/>
      <c r="GUL37" s="424"/>
      <c r="GUM37" s="426"/>
      <c r="GUN37" s="424"/>
      <c r="GUO37" s="426"/>
      <c r="GUP37" s="424"/>
      <c r="GUQ37" s="426"/>
      <c r="GUR37" s="424"/>
      <c r="GUS37" s="426"/>
      <c r="GUT37" s="424"/>
      <c r="GUU37" s="426"/>
      <c r="GUV37" s="424"/>
      <c r="GUW37" s="426"/>
      <c r="GUX37" s="424"/>
      <c r="GUY37" s="426"/>
      <c r="GUZ37" s="424"/>
      <c r="GVA37" s="426"/>
      <c r="GVB37" s="424"/>
      <c r="GVC37" s="426"/>
      <c r="GVD37" s="424"/>
      <c r="GVE37" s="426"/>
      <c r="GVF37" s="424"/>
      <c r="GVG37" s="426"/>
      <c r="GVH37" s="424"/>
      <c r="GVI37" s="426"/>
      <c r="GVJ37" s="424"/>
      <c r="GVK37" s="426"/>
      <c r="GVL37" s="424"/>
      <c r="GVM37" s="426"/>
      <c r="GVN37" s="424"/>
      <c r="GVO37" s="426"/>
      <c r="GVP37" s="424"/>
      <c r="GVQ37" s="426"/>
      <c r="GVR37" s="424"/>
      <c r="GVS37" s="426"/>
      <c r="GVT37" s="424"/>
      <c r="GVU37" s="426"/>
      <c r="GVV37" s="424"/>
      <c r="GVW37" s="426"/>
      <c r="GVX37" s="424"/>
      <c r="GVY37" s="426"/>
      <c r="GVZ37" s="424"/>
      <c r="GWA37" s="426"/>
      <c r="GWB37" s="424"/>
      <c r="GWC37" s="426"/>
      <c r="GWD37" s="424"/>
      <c r="GWE37" s="426"/>
      <c r="GWF37" s="424"/>
      <c r="GWG37" s="426"/>
      <c r="GWH37" s="424"/>
      <c r="GWI37" s="426"/>
      <c r="GWJ37" s="424"/>
      <c r="GWK37" s="426"/>
      <c r="GWL37" s="424"/>
      <c r="GWM37" s="426"/>
      <c r="GWN37" s="424"/>
      <c r="GWO37" s="426"/>
      <c r="GWP37" s="424"/>
      <c r="GWQ37" s="426"/>
      <c r="GWR37" s="424"/>
      <c r="GWS37" s="426"/>
      <c r="GWT37" s="424"/>
      <c r="GWU37" s="426"/>
      <c r="GWV37" s="424"/>
      <c r="GWW37" s="426"/>
      <c r="GWX37" s="424"/>
      <c r="GWY37" s="426"/>
      <c r="GWZ37" s="424"/>
      <c r="GXA37" s="426"/>
      <c r="GXB37" s="424"/>
      <c r="GXC37" s="426"/>
      <c r="GXD37" s="424"/>
      <c r="GXE37" s="426"/>
      <c r="GXF37" s="424"/>
      <c r="GXG37" s="426"/>
      <c r="GXH37" s="424"/>
      <c r="GXI37" s="426"/>
      <c r="GXJ37" s="424"/>
      <c r="GXK37" s="426"/>
      <c r="GXL37" s="424"/>
      <c r="GXM37" s="426"/>
      <c r="GXN37" s="424"/>
      <c r="GXO37" s="426"/>
      <c r="GXP37" s="424"/>
      <c r="GXQ37" s="426"/>
      <c r="GXR37" s="424"/>
      <c r="GXS37" s="426"/>
      <c r="GXT37" s="424"/>
      <c r="GXU37" s="426"/>
      <c r="GXV37" s="424"/>
      <c r="GXW37" s="426"/>
      <c r="GXX37" s="424"/>
      <c r="GXY37" s="426"/>
      <c r="GXZ37" s="424"/>
      <c r="GYA37" s="426"/>
      <c r="GYB37" s="424"/>
      <c r="GYC37" s="426"/>
      <c r="GYD37" s="424"/>
      <c r="GYE37" s="426"/>
      <c r="GYF37" s="424"/>
      <c r="GYG37" s="426"/>
      <c r="GYH37" s="424"/>
      <c r="GYI37" s="426"/>
      <c r="GYJ37" s="424"/>
      <c r="GYK37" s="426"/>
      <c r="GYL37" s="424"/>
      <c r="GYM37" s="426"/>
      <c r="GYN37" s="424"/>
      <c r="GYO37" s="426"/>
      <c r="GYP37" s="424"/>
      <c r="GYQ37" s="426"/>
      <c r="GYR37" s="424"/>
      <c r="GYS37" s="426"/>
      <c r="GYT37" s="424"/>
      <c r="GYU37" s="426"/>
      <c r="GYV37" s="424"/>
      <c r="GYW37" s="426"/>
      <c r="GYX37" s="424"/>
      <c r="GYY37" s="426"/>
      <c r="GYZ37" s="424"/>
      <c r="GZA37" s="426"/>
      <c r="GZB37" s="424"/>
      <c r="GZC37" s="426"/>
      <c r="GZD37" s="424"/>
      <c r="GZE37" s="426"/>
      <c r="GZF37" s="424"/>
      <c r="GZG37" s="426"/>
      <c r="GZH37" s="424"/>
      <c r="GZI37" s="426"/>
      <c r="GZJ37" s="424"/>
      <c r="GZK37" s="426"/>
      <c r="GZL37" s="424"/>
      <c r="GZM37" s="426"/>
      <c r="GZN37" s="424"/>
      <c r="GZO37" s="426"/>
      <c r="GZP37" s="424"/>
      <c r="GZQ37" s="426"/>
      <c r="GZR37" s="424"/>
      <c r="GZS37" s="426"/>
      <c r="GZT37" s="424"/>
      <c r="GZU37" s="426"/>
      <c r="GZV37" s="424"/>
      <c r="GZW37" s="426"/>
      <c r="GZX37" s="424"/>
      <c r="GZY37" s="426"/>
      <c r="GZZ37" s="424"/>
      <c r="HAA37" s="426"/>
      <c r="HAB37" s="424"/>
      <c r="HAC37" s="426"/>
      <c r="HAD37" s="424"/>
      <c r="HAE37" s="426"/>
      <c r="HAF37" s="424"/>
      <c r="HAG37" s="426"/>
      <c r="HAH37" s="424"/>
      <c r="HAI37" s="426"/>
      <c r="HAJ37" s="424"/>
      <c r="HAK37" s="426"/>
      <c r="HAL37" s="424"/>
      <c r="HAM37" s="426"/>
      <c r="HAN37" s="424"/>
      <c r="HAO37" s="426"/>
      <c r="HAP37" s="424"/>
      <c r="HAQ37" s="426"/>
      <c r="HAR37" s="424"/>
      <c r="HAS37" s="426"/>
      <c r="HAT37" s="424"/>
      <c r="HAU37" s="426"/>
      <c r="HAV37" s="424"/>
      <c r="HAW37" s="426"/>
      <c r="HAX37" s="424"/>
      <c r="HAY37" s="426"/>
      <c r="HAZ37" s="424"/>
      <c r="HBA37" s="426"/>
      <c r="HBB37" s="424"/>
      <c r="HBC37" s="426"/>
      <c r="HBD37" s="424"/>
      <c r="HBE37" s="426"/>
      <c r="HBF37" s="424"/>
      <c r="HBG37" s="426"/>
      <c r="HBH37" s="424"/>
      <c r="HBI37" s="426"/>
      <c r="HBJ37" s="424"/>
      <c r="HBK37" s="426"/>
      <c r="HBL37" s="424"/>
      <c r="HBM37" s="426"/>
      <c r="HBN37" s="424"/>
      <c r="HBO37" s="426"/>
      <c r="HBP37" s="424"/>
      <c r="HBQ37" s="426"/>
      <c r="HBR37" s="424"/>
      <c r="HBS37" s="426"/>
      <c r="HBT37" s="424"/>
      <c r="HBU37" s="426"/>
      <c r="HBV37" s="424"/>
      <c r="HBW37" s="426"/>
      <c r="HBX37" s="424"/>
      <c r="HBY37" s="426"/>
      <c r="HBZ37" s="424"/>
      <c r="HCA37" s="426"/>
      <c r="HCB37" s="424"/>
      <c r="HCC37" s="426"/>
      <c r="HCD37" s="424"/>
      <c r="HCE37" s="426"/>
      <c r="HCF37" s="424"/>
      <c r="HCG37" s="426"/>
      <c r="HCH37" s="424"/>
      <c r="HCI37" s="426"/>
      <c r="HCJ37" s="424"/>
      <c r="HCK37" s="426"/>
      <c r="HCL37" s="424"/>
      <c r="HCM37" s="426"/>
      <c r="HCN37" s="424"/>
      <c r="HCO37" s="426"/>
      <c r="HCP37" s="424"/>
      <c r="HCQ37" s="426"/>
      <c r="HCR37" s="424"/>
      <c r="HCS37" s="426"/>
      <c r="HCT37" s="424"/>
      <c r="HCU37" s="426"/>
      <c r="HCV37" s="424"/>
      <c r="HCW37" s="426"/>
      <c r="HCX37" s="424"/>
      <c r="HCY37" s="426"/>
      <c r="HCZ37" s="424"/>
      <c r="HDA37" s="426"/>
      <c r="HDB37" s="424"/>
      <c r="HDC37" s="426"/>
      <c r="HDD37" s="424"/>
      <c r="HDE37" s="426"/>
      <c r="HDF37" s="424"/>
      <c r="HDG37" s="426"/>
      <c r="HDH37" s="424"/>
      <c r="HDI37" s="426"/>
      <c r="HDJ37" s="424"/>
      <c r="HDK37" s="426"/>
      <c r="HDL37" s="424"/>
      <c r="HDM37" s="426"/>
      <c r="HDN37" s="424"/>
      <c r="HDO37" s="426"/>
      <c r="HDP37" s="424"/>
      <c r="HDQ37" s="426"/>
      <c r="HDR37" s="424"/>
      <c r="HDS37" s="426"/>
      <c r="HDT37" s="424"/>
      <c r="HDU37" s="426"/>
      <c r="HDV37" s="424"/>
      <c r="HDW37" s="426"/>
      <c r="HDX37" s="424"/>
      <c r="HDY37" s="426"/>
      <c r="HDZ37" s="424"/>
      <c r="HEA37" s="426"/>
      <c r="HEB37" s="424"/>
      <c r="HEC37" s="426"/>
      <c r="HED37" s="424"/>
      <c r="HEE37" s="426"/>
      <c r="HEF37" s="424"/>
      <c r="HEG37" s="426"/>
      <c r="HEH37" s="424"/>
      <c r="HEI37" s="426"/>
      <c r="HEJ37" s="424"/>
      <c r="HEK37" s="426"/>
      <c r="HEL37" s="424"/>
      <c r="HEM37" s="426"/>
      <c r="HEN37" s="424"/>
      <c r="HEO37" s="426"/>
      <c r="HEP37" s="424"/>
      <c r="HEQ37" s="426"/>
      <c r="HER37" s="424"/>
      <c r="HES37" s="426"/>
      <c r="HET37" s="424"/>
      <c r="HEU37" s="426"/>
      <c r="HEV37" s="424"/>
      <c r="HEW37" s="426"/>
      <c r="HEX37" s="424"/>
      <c r="HEY37" s="426"/>
      <c r="HEZ37" s="424"/>
      <c r="HFA37" s="426"/>
      <c r="HFB37" s="424"/>
      <c r="HFC37" s="426"/>
      <c r="HFD37" s="424"/>
      <c r="HFE37" s="426"/>
      <c r="HFF37" s="424"/>
      <c r="HFG37" s="426"/>
      <c r="HFH37" s="424"/>
      <c r="HFI37" s="426"/>
      <c r="HFJ37" s="424"/>
      <c r="HFK37" s="426"/>
      <c r="HFL37" s="424"/>
      <c r="HFM37" s="426"/>
      <c r="HFN37" s="424"/>
      <c r="HFO37" s="426"/>
      <c r="HFP37" s="424"/>
      <c r="HFQ37" s="426"/>
      <c r="HFR37" s="424"/>
      <c r="HFS37" s="426"/>
      <c r="HFT37" s="424"/>
      <c r="HFU37" s="426"/>
      <c r="HFV37" s="424"/>
      <c r="HFW37" s="426"/>
      <c r="HFX37" s="424"/>
      <c r="HFY37" s="426"/>
      <c r="HFZ37" s="424"/>
      <c r="HGA37" s="426"/>
      <c r="HGB37" s="424"/>
      <c r="HGC37" s="426"/>
      <c r="HGD37" s="424"/>
      <c r="HGE37" s="426"/>
      <c r="HGF37" s="424"/>
      <c r="HGG37" s="426"/>
      <c r="HGH37" s="424"/>
      <c r="HGI37" s="426"/>
      <c r="HGJ37" s="424"/>
      <c r="HGK37" s="426"/>
      <c r="HGL37" s="424"/>
      <c r="HGM37" s="426"/>
      <c r="HGN37" s="424"/>
      <c r="HGO37" s="426"/>
      <c r="HGP37" s="424"/>
      <c r="HGQ37" s="426"/>
      <c r="HGR37" s="424"/>
      <c r="HGS37" s="426"/>
      <c r="HGT37" s="424"/>
      <c r="HGU37" s="426"/>
      <c r="HGV37" s="424"/>
      <c r="HGW37" s="426"/>
      <c r="HGX37" s="424"/>
      <c r="HGY37" s="426"/>
      <c r="HGZ37" s="424"/>
      <c r="HHA37" s="426"/>
      <c r="HHB37" s="424"/>
      <c r="HHC37" s="426"/>
      <c r="HHD37" s="424"/>
      <c r="HHE37" s="426"/>
      <c r="HHF37" s="424"/>
      <c r="HHG37" s="426"/>
      <c r="HHH37" s="424"/>
      <c r="HHI37" s="426"/>
      <c r="HHJ37" s="424"/>
      <c r="HHK37" s="426"/>
      <c r="HHL37" s="424"/>
      <c r="HHM37" s="426"/>
      <c r="HHN37" s="424"/>
      <c r="HHO37" s="426"/>
      <c r="HHP37" s="424"/>
      <c r="HHQ37" s="426"/>
      <c r="HHR37" s="424"/>
      <c r="HHS37" s="426"/>
      <c r="HHT37" s="424"/>
      <c r="HHU37" s="426"/>
      <c r="HHV37" s="424"/>
      <c r="HHW37" s="426"/>
      <c r="HHX37" s="424"/>
      <c r="HHY37" s="426"/>
      <c r="HHZ37" s="424"/>
      <c r="HIA37" s="426"/>
      <c r="HIB37" s="424"/>
      <c r="HIC37" s="426"/>
      <c r="HID37" s="424"/>
      <c r="HIE37" s="426"/>
      <c r="HIF37" s="424"/>
      <c r="HIG37" s="426"/>
      <c r="HIH37" s="424"/>
      <c r="HII37" s="426"/>
      <c r="HIJ37" s="424"/>
      <c r="HIK37" s="426"/>
      <c r="HIL37" s="424"/>
      <c r="HIM37" s="426"/>
      <c r="HIN37" s="424"/>
      <c r="HIO37" s="426"/>
      <c r="HIP37" s="424"/>
      <c r="HIQ37" s="426"/>
      <c r="HIR37" s="424"/>
      <c r="HIS37" s="426"/>
      <c r="HIT37" s="424"/>
      <c r="HIU37" s="426"/>
      <c r="HIV37" s="424"/>
      <c r="HIW37" s="426"/>
      <c r="HIX37" s="424"/>
      <c r="HIY37" s="426"/>
      <c r="HIZ37" s="424"/>
      <c r="HJA37" s="426"/>
      <c r="HJB37" s="424"/>
      <c r="HJC37" s="426"/>
      <c r="HJD37" s="424"/>
      <c r="HJE37" s="426"/>
      <c r="HJF37" s="424"/>
      <c r="HJG37" s="426"/>
      <c r="HJH37" s="424"/>
      <c r="HJI37" s="426"/>
      <c r="HJJ37" s="424"/>
      <c r="HJK37" s="426"/>
      <c r="HJL37" s="424"/>
      <c r="HJM37" s="426"/>
      <c r="HJN37" s="424"/>
      <c r="HJO37" s="426"/>
      <c r="HJP37" s="424"/>
      <c r="HJQ37" s="426"/>
      <c r="HJR37" s="424"/>
      <c r="HJS37" s="426"/>
      <c r="HJT37" s="424"/>
      <c r="HJU37" s="426"/>
      <c r="HJV37" s="424"/>
      <c r="HJW37" s="426"/>
      <c r="HJX37" s="424"/>
      <c r="HJY37" s="426"/>
      <c r="HJZ37" s="424"/>
      <c r="HKA37" s="426"/>
      <c r="HKB37" s="424"/>
      <c r="HKC37" s="426"/>
      <c r="HKD37" s="424"/>
      <c r="HKE37" s="426"/>
      <c r="HKF37" s="424"/>
      <c r="HKG37" s="426"/>
      <c r="HKH37" s="424"/>
      <c r="HKI37" s="426"/>
      <c r="HKJ37" s="424"/>
      <c r="HKK37" s="426"/>
      <c r="HKL37" s="424"/>
      <c r="HKM37" s="426"/>
      <c r="HKN37" s="424"/>
      <c r="HKO37" s="426"/>
      <c r="HKP37" s="424"/>
      <c r="HKQ37" s="426"/>
      <c r="HKR37" s="424"/>
      <c r="HKS37" s="426"/>
      <c r="HKT37" s="424"/>
      <c r="HKU37" s="426"/>
      <c r="HKV37" s="424"/>
      <c r="HKW37" s="426"/>
      <c r="HKX37" s="424"/>
      <c r="HKY37" s="426"/>
      <c r="HKZ37" s="424"/>
      <c r="HLA37" s="426"/>
      <c r="HLB37" s="424"/>
      <c r="HLC37" s="426"/>
      <c r="HLD37" s="424"/>
      <c r="HLE37" s="426"/>
      <c r="HLF37" s="424"/>
      <c r="HLG37" s="426"/>
      <c r="HLH37" s="424"/>
      <c r="HLI37" s="426"/>
      <c r="HLJ37" s="424"/>
      <c r="HLK37" s="426"/>
      <c r="HLL37" s="424"/>
      <c r="HLM37" s="426"/>
      <c r="HLN37" s="424"/>
      <c r="HLO37" s="426"/>
      <c r="HLP37" s="424"/>
      <c r="HLQ37" s="426"/>
      <c r="HLR37" s="424"/>
      <c r="HLS37" s="426"/>
      <c r="HLT37" s="424"/>
      <c r="HLU37" s="426"/>
      <c r="HLV37" s="424"/>
      <c r="HLW37" s="426"/>
      <c r="HLX37" s="424"/>
      <c r="HLY37" s="426"/>
      <c r="HLZ37" s="424"/>
      <c r="HMA37" s="426"/>
      <c r="HMB37" s="424"/>
      <c r="HMC37" s="426"/>
      <c r="HMD37" s="424"/>
      <c r="HME37" s="426"/>
      <c r="HMF37" s="424"/>
      <c r="HMG37" s="426"/>
      <c r="HMH37" s="424"/>
      <c r="HMI37" s="426"/>
      <c r="HMJ37" s="424"/>
      <c r="HMK37" s="426"/>
      <c r="HML37" s="424"/>
      <c r="HMM37" s="426"/>
      <c r="HMN37" s="424"/>
      <c r="HMO37" s="426"/>
      <c r="HMP37" s="424"/>
      <c r="HMQ37" s="426"/>
      <c r="HMR37" s="424"/>
      <c r="HMS37" s="426"/>
      <c r="HMT37" s="424"/>
      <c r="HMU37" s="426"/>
      <c r="HMV37" s="424"/>
      <c r="HMW37" s="426"/>
      <c r="HMX37" s="424"/>
      <c r="HMY37" s="426"/>
      <c r="HMZ37" s="424"/>
      <c r="HNA37" s="426"/>
      <c r="HNB37" s="424"/>
      <c r="HNC37" s="426"/>
      <c r="HND37" s="424"/>
      <c r="HNE37" s="426"/>
      <c r="HNF37" s="424"/>
      <c r="HNG37" s="426"/>
      <c r="HNH37" s="424"/>
      <c r="HNI37" s="426"/>
      <c r="HNJ37" s="424"/>
      <c r="HNK37" s="426"/>
      <c r="HNL37" s="424"/>
      <c r="HNM37" s="426"/>
      <c r="HNN37" s="424"/>
      <c r="HNO37" s="426"/>
      <c r="HNP37" s="424"/>
      <c r="HNQ37" s="426"/>
      <c r="HNR37" s="424"/>
      <c r="HNS37" s="426"/>
      <c r="HNT37" s="424"/>
      <c r="HNU37" s="426"/>
      <c r="HNV37" s="424"/>
      <c r="HNW37" s="426"/>
      <c r="HNX37" s="424"/>
      <c r="HNY37" s="426"/>
      <c r="HNZ37" s="424"/>
      <c r="HOA37" s="426"/>
      <c r="HOB37" s="424"/>
      <c r="HOC37" s="426"/>
      <c r="HOD37" s="424"/>
      <c r="HOE37" s="426"/>
      <c r="HOF37" s="424"/>
      <c r="HOG37" s="426"/>
      <c r="HOH37" s="424"/>
      <c r="HOI37" s="426"/>
      <c r="HOJ37" s="424"/>
      <c r="HOK37" s="426"/>
      <c r="HOL37" s="424"/>
      <c r="HOM37" s="426"/>
      <c r="HON37" s="424"/>
      <c r="HOO37" s="426"/>
      <c r="HOP37" s="424"/>
      <c r="HOQ37" s="426"/>
      <c r="HOR37" s="424"/>
      <c r="HOS37" s="426"/>
      <c r="HOT37" s="424"/>
      <c r="HOU37" s="426"/>
      <c r="HOV37" s="424"/>
      <c r="HOW37" s="426"/>
      <c r="HOX37" s="424"/>
      <c r="HOY37" s="426"/>
      <c r="HOZ37" s="424"/>
      <c r="HPA37" s="426"/>
      <c r="HPB37" s="424"/>
      <c r="HPC37" s="426"/>
      <c r="HPD37" s="424"/>
      <c r="HPE37" s="426"/>
      <c r="HPF37" s="424"/>
      <c r="HPG37" s="426"/>
      <c r="HPH37" s="424"/>
      <c r="HPI37" s="426"/>
      <c r="HPJ37" s="424"/>
      <c r="HPK37" s="426"/>
      <c r="HPL37" s="424"/>
      <c r="HPM37" s="426"/>
      <c r="HPN37" s="424"/>
      <c r="HPO37" s="426"/>
      <c r="HPP37" s="424"/>
      <c r="HPQ37" s="426"/>
      <c r="HPR37" s="424"/>
      <c r="HPS37" s="426"/>
      <c r="HPT37" s="424"/>
      <c r="HPU37" s="426"/>
      <c r="HPV37" s="424"/>
      <c r="HPW37" s="426"/>
      <c r="HPX37" s="424"/>
      <c r="HPY37" s="426"/>
      <c r="HPZ37" s="424"/>
      <c r="HQA37" s="426"/>
      <c r="HQB37" s="424"/>
      <c r="HQC37" s="426"/>
      <c r="HQD37" s="424"/>
      <c r="HQE37" s="426"/>
      <c r="HQF37" s="424"/>
      <c r="HQG37" s="426"/>
      <c r="HQH37" s="424"/>
      <c r="HQI37" s="426"/>
      <c r="HQJ37" s="424"/>
      <c r="HQK37" s="426"/>
      <c r="HQL37" s="424"/>
      <c r="HQM37" s="426"/>
      <c r="HQN37" s="424"/>
      <c r="HQO37" s="426"/>
      <c r="HQP37" s="424"/>
      <c r="HQQ37" s="426"/>
      <c r="HQR37" s="424"/>
      <c r="HQS37" s="426"/>
      <c r="HQT37" s="424"/>
      <c r="HQU37" s="426"/>
      <c r="HQV37" s="424"/>
      <c r="HQW37" s="426"/>
      <c r="HQX37" s="424"/>
      <c r="HQY37" s="426"/>
      <c r="HQZ37" s="424"/>
      <c r="HRA37" s="426"/>
      <c r="HRB37" s="424"/>
      <c r="HRC37" s="426"/>
      <c r="HRD37" s="424"/>
      <c r="HRE37" s="426"/>
      <c r="HRF37" s="424"/>
      <c r="HRG37" s="426"/>
      <c r="HRH37" s="424"/>
      <c r="HRI37" s="426"/>
      <c r="HRJ37" s="424"/>
      <c r="HRK37" s="426"/>
      <c r="HRL37" s="424"/>
      <c r="HRM37" s="426"/>
      <c r="HRN37" s="424"/>
      <c r="HRO37" s="426"/>
      <c r="HRP37" s="424"/>
      <c r="HRQ37" s="426"/>
      <c r="HRR37" s="424"/>
      <c r="HRS37" s="426"/>
      <c r="HRT37" s="424"/>
      <c r="HRU37" s="426"/>
      <c r="HRV37" s="424"/>
      <c r="HRW37" s="426"/>
      <c r="HRX37" s="424"/>
      <c r="HRY37" s="426"/>
      <c r="HRZ37" s="424"/>
      <c r="HSA37" s="426"/>
      <c r="HSB37" s="424"/>
      <c r="HSC37" s="426"/>
      <c r="HSD37" s="424"/>
      <c r="HSE37" s="426"/>
      <c r="HSF37" s="424"/>
      <c r="HSG37" s="426"/>
      <c r="HSH37" s="424"/>
      <c r="HSI37" s="426"/>
      <c r="HSJ37" s="424"/>
      <c r="HSK37" s="426"/>
      <c r="HSL37" s="424"/>
      <c r="HSM37" s="426"/>
      <c r="HSN37" s="424"/>
      <c r="HSO37" s="426"/>
      <c r="HSP37" s="424"/>
      <c r="HSQ37" s="426"/>
      <c r="HSR37" s="424"/>
      <c r="HSS37" s="426"/>
      <c r="HST37" s="424"/>
      <c r="HSU37" s="426"/>
      <c r="HSV37" s="424"/>
      <c r="HSW37" s="426"/>
      <c r="HSX37" s="424"/>
      <c r="HSY37" s="426"/>
      <c r="HSZ37" s="424"/>
      <c r="HTA37" s="426"/>
      <c r="HTB37" s="424"/>
      <c r="HTC37" s="426"/>
      <c r="HTD37" s="424"/>
      <c r="HTE37" s="426"/>
      <c r="HTF37" s="424"/>
      <c r="HTG37" s="426"/>
      <c r="HTH37" s="424"/>
      <c r="HTI37" s="426"/>
      <c r="HTJ37" s="424"/>
      <c r="HTK37" s="426"/>
      <c r="HTL37" s="424"/>
      <c r="HTM37" s="426"/>
      <c r="HTN37" s="424"/>
      <c r="HTO37" s="426"/>
      <c r="HTP37" s="424"/>
      <c r="HTQ37" s="426"/>
      <c r="HTR37" s="424"/>
      <c r="HTS37" s="426"/>
      <c r="HTT37" s="424"/>
      <c r="HTU37" s="426"/>
      <c r="HTV37" s="424"/>
      <c r="HTW37" s="426"/>
      <c r="HTX37" s="424"/>
      <c r="HTY37" s="426"/>
      <c r="HTZ37" s="424"/>
      <c r="HUA37" s="426"/>
      <c r="HUB37" s="424"/>
      <c r="HUC37" s="426"/>
      <c r="HUD37" s="424"/>
      <c r="HUE37" s="426"/>
      <c r="HUF37" s="424"/>
      <c r="HUG37" s="426"/>
      <c r="HUH37" s="424"/>
      <c r="HUI37" s="426"/>
      <c r="HUJ37" s="424"/>
      <c r="HUK37" s="426"/>
      <c r="HUL37" s="424"/>
      <c r="HUM37" s="426"/>
      <c r="HUN37" s="424"/>
      <c r="HUO37" s="426"/>
      <c r="HUP37" s="424"/>
      <c r="HUQ37" s="426"/>
      <c r="HUR37" s="424"/>
      <c r="HUS37" s="426"/>
      <c r="HUT37" s="424"/>
      <c r="HUU37" s="426"/>
      <c r="HUV37" s="424"/>
      <c r="HUW37" s="426"/>
      <c r="HUX37" s="424"/>
      <c r="HUY37" s="426"/>
      <c r="HUZ37" s="424"/>
      <c r="HVA37" s="426"/>
      <c r="HVB37" s="424"/>
      <c r="HVC37" s="426"/>
      <c r="HVD37" s="424"/>
      <c r="HVE37" s="426"/>
      <c r="HVF37" s="424"/>
      <c r="HVG37" s="426"/>
      <c r="HVH37" s="424"/>
      <c r="HVI37" s="426"/>
      <c r="HVJ37" s="424"/>
      <c r="HVK37" s="426"/>
      <c r="HVL37" s="424"/>
      <c r="HVM37" s="426"/>
      <c r="HVN37" s="424"/>
      <c r="HVO37" s="426"/>
      <c r="HVP37" s="424"/>
      <c r="HVQ37" s="426"/>
      <c r="HVR37" s="424"/>
      <c r="HVS37" s="426"/>
      <c r="HVT37" s="424"/>
      <c r="HVU37" s="426"/>
      <c r="HVV37" s="424"/>
      <c r="HVW37" s="426"/>
      <c r="HVX37" s="424"/>
      <c r="HVY37" s="426"/>
      <c r="HVZ37" s="424"/>
      <c r="HWA37" s="426"/>
      <c r="HWB37" s="424"/>
      <c r="HWC37" s="426"/>
      <c r="HWD37" s="424"/>
      <c r="HWE37" s="426"/>
      <c r="HWF37" s="424"/>
      <c r="HWG37" s="426"/>
      <c r="HWH37" s="424"/>
      <c r="HWI37" s="426"/>
      <c r="HWJ37" s="424"/>
      <c r="HWK37" s="426"/>
      <c r="HWL37" s="424"/>
      <c r="HWM37" s="426"/>
      <c r="HWN37" s="424"/>
      <c r="HWO37" s="426"/>
      <c r="HWP37" s="424"/>
      <c r="HWQ37" s="426"/>
      <c r="HWR37" s="424"/>
      <c r="HWS37" s="426"/>
      <c r="HWT37" s="424"/>
      <c r="HWU37" s="426"/>
      <c r="HWV37" s="424"/>
      <c r="HWW37" s="426"/>
      <c r="HWX37" s="424"/>
      <c r="HWY37" s="426"/>
      <c r="HWZ37" s="424"/>
      <c r="HXA37" s="426"/>
      <c r="HXB37" s="424"/>
      <c r="HXC37" s="426"/>
      <c r="HXD37" s="424"/>
      <c r="HXE37" s="426"/>
      <c r="HXF37" s="424"/>
      <c r="HXG37" s="426"/>
      <c r="HXH37" s="424"/>
      <c r="HXI37" s="426"/>
      <c r="HXJ37" s="424"/>
      <c r="HXK37" s="426"/>
      <c r="HXL37" s="424"/>
      <c r="HXM37" s="426"/>
      <c r="HXN37" s="424"/>
      <c r="HXO37" s="426"/>
      <c r="HXP37" s="424"/>
      <c r="HXQ37" s="426"/>
      <c r="HXR37" s="424"/>
      <c r="HXS37" s="426"/>
      <c r="HXT37" s="424"/>
      <c r="HXU37" s="426"/>
      <c r="HXV37" s="424"/>
      <c r="HXW37" s="426"/>
      <c r="HXX37" s="424"/>
      <c r="HXY37" s="426"/>
      <c r="HXZ37" s="424"/>
      <c r="HYA37" s="426"/>
      <c r="HYB37" s="424"/>
      <c r="HYC37" s="426"/>
      <c r="HYD37" s="424"/>
      <c r="HYE37" s="426"/>
      <c r="HYF37" s="424"/>
      <c r="HYG37" s="426"/>
      <c r="HYH37" s="424"/>
      <c r="HYI37" s="426"/>
      <c r="HYJ37" s="424"/>
      <c r="HYK37" s="426"/>
      <c r="HYL37" s="424"/>
      <c r="HYM37" s="426"/>
      <c r="HYN37" s="424"/>
      <c r="HYO37" s="426"/>
      <c r="HYP37" s="424"/>
      <c r="HYQ37" s="426"/>
      <c r="HYR37" s="424"/>
      <c r="HYS37" s="426"/>
      <c r="HYT37" s="424"/>
      <c r="HYU37" s="426"/>
      <c r="HYV37" s="424"/>
      <c r="HYW37" s="426"/>
      <c r="HYX37" s="424"/>
      <c r="HYY37" s="426"/>
      <c r="HYZ37" s="424"/>
      <c r="HZA37" s="426"/>
      <c r="HZB37" s="424"/>
      <c r="HZC37" s="426"/>
      <c r="HZD37" s="424"/>
      <c r="HZE37" s="426"/>
      <c r="HZF37" s="424"/>
      <c r="HZG37" s="426"/>
      <c r="HZH37" s="424"/>
      <c r="HZI37" s="426"/>
      <c r="HZJ37" s="424"/>
      <c r="HZK37" s="426"/>
      <c r="HZL37" s="424"/>
      <c r="HZM37" s="426"/>
      <c r="HZN37" s="424"/>
      <c r="HZO37" s="426"/>
      <c r="HZP37" s="424"/>
      <c r="HZQ37" s="426"/>
      <c r="HZR37" s="424"/>
      <c r="HZS37" s="426"/>
      <c r="HZT37" s="424"/>
      <c r="HZU37" s="426"/>
      <c r="HZV37" s="424"/>
      <c r="HZW37" s="426"/>
      <c r="HZX37" s="424"/>
      <c r="HZY37" s="426"/>
      <c r="HZZ37" s="424"/>
      <c r="IAA37" s="426"/>
      <c r="IAB37" s="424"/>
      <c r="IAC37" s="426"/>
      <c r="IAD37" s="424"/>
      <c r="IAE37" s="426"/>
      <c r="IAF37" s="424"/>
      <c r="IAG37" s="426"/>
      <c r="IAH37" s="424"/>
      <c r="IAI37" s="426"/>
      <c r="IAJ37" s="424"/>
      <c r="IAK37" s="426"/>
      <c r="IAL37" s="424"/>
      <c r="IAM37" s="426"/>
      <c r="IAN37" s="424"/>
      <c r="IAO37" s="426"/>
      <c r="IAP37" s="424"/>
      <c r="IAQ37" s="426"/>
      <c r="IAR37" s="424"/>
      <c r="IAS37" s="426"/>
      <c r="IAT37" s="424"/>
      <c r="IAU37" s="426"/>
      <c r="IAV37" s="424"/>
      <c r="IAW37" s="426"/>
      <c r="IAX37" s="424"/>
      <c r="IAY37" s="426"/>
      <c r="IAZ37" s="424"/>
      <c r="IBA37" s="426"/>
      <c r="IBB37" s="424"/>
      <c r="IBC37" s="426"/>
      <c r="IBD37" s="424"/>
      <c r="IBE37" s="426"/>
      <c r="IBF37" s="424"/>
      <c r="IBG37" s="426"/>
      <c r="IBH37" s="424"/>
      <c r="IBI37" s="426"/>
      <c r="IBJ37" s="424"/>
      <c r="IBK37" s="426"/>
      <c r="IBL37" s="424"/>
      <c r="IBM37" s="426"/>
      <c r="IBN37" s="424"/>
      <c r="IBO37" s="426"/>
      <c r="IBP37" s="424"/>
      <c r="IBQ37" s="426"/>
      <c r="IBR37" s="424"/>
      <c r="IBS37" s="426"/>
      <c r="IBT37" s="424"/>
      <c r="IBU37" s="426"/>
      <c r="IBV37" s="424"/>
      <c r="IBW37" s="426"/>
      <c r="IBX37" s="424"/>
      <c r="IBY37" s="426"/>
      <c r="IBZ37" s="424"/>
      <c r="ICA37" s="426"/>
      <c r="ICB37" s="424"/>
      <c r="ICC37" s="426"/>
      <c r="ICD37" s="424"/>
      <c r="ICE37" s="426"/>
      <c r="ICF37" s="424"/>
      <c r="ICG37" s="426"/>
      <c r="ICH37" s="424"/>
      <c r="ICI37" s="426"/>
      <c r="ICJ37" s="424"/>
      <c r="ICK37" s="426"/>
      <c r="ICL37" s="424"/>
      <c r="ICM37" s="426"/>
      <c r="ICN37" s="424"/>
      <c r="ICO37" s="426"/>
      <c r="ICP37" s="424"/>
      <c r="ICQ37" s="426"/>
      <c r="ICR37" s="424"/>
      <c r="ICS37" s="426"/>
      <c r="ICT37" s="424"/>
      <c r="ICU37" s="426"/>
      <c r="ICV37" s="424"/>
      <c r="ICW37" s="426"/>
      <c r="ICX37" s="424"/>
      <c r="ICY37" s="426"/>
      <c r="ICZ37" s="424"/>
      <c r="IDA37" s="426"/>
      <c r="IDB37" s="424"/>
      <c r="IDC37" s="426"/>
      <c r="IDD37" s="424"/>
      <c r="IDE37" s="426"/>
      <c r="IDF37" s="424"/>
      <c r="IDG37" s="426"/>
      <c r="IDH37" s="424"/>
      <c r="IDI37" s="426"/>
      <c r="IDJ37" s="424"/>
      <c r="IDK37" s="426"/>
      <c r="IDL37" s="424"/>
      <c r="IDM37" s="426"/>
      <c r="IDN37" s="424"/>
      <c r="IDO37" s="426"/>
      <c r="IDP37" s="424"/>
      <c r="IDQ37" s="426"/>
      <c r="IDR37" s="424"/>
      <c r="IDS37" s="426"/>
      <c r="IDT37" s="424"/>
      <c r="IDU37" s="426"/>
      <c r="IDV37" s="424"/>
      <c r="IDW37" s="426"/>
      <c r="IDX37" s="424"/>
      <c r="IDY37" s="426"/>
      <c r="IDZ37" s="424"/>
      <c r="IEA37" s="426"/>
      <c r="IEB37" s="424"/>
      <c r="IEC37" s="426"/>
      <c r="IED37" s="424"/>
      <c r="IEE37" s="426"/>
      <c r="IEF37" s="424"/>
      <c r="IEG37" s="426"/>
      <c r="IEH37" s="424"/>
      <c r="IEI37" s="426"/>
      <c r="IEJ37" s="424"/>
      <c r="IEK37" s="426"/>
      <c r="IEL37" s="424"/>
      <c r="IEM37" s="426"/>
      <c r="IEN37" s="424"/>
      <c r="IEO37" s="426"/>
      <c r="IEP37" s="424"/>
      <c r="IEQ37" s="426"/>
      <c r="IER37" s="424"/>
      <c r="IES37" s="426"/>
      <c r="IET37" s="424"/>
      <c r="IEU37" s="426"/>
      <c r="IEV37" s="424"/>
      <c r="IEW37" s="426"/>
      <c r="IEX37" s="424"/>
      <c r="IEY37" s="426"/>
      <c r="IEZ37" s="424"/>
      <c r="IFA37" s="426"/>
      <c r="IFB37" s="424"/>
      <c r="IFC37" s="426"/>
      <c r="IFD37" s="424"/>
      <c r="IFE37" s="426"/>
      <c r="IFF37" s="424"/>
      <c r="IFG37" s="426"/>
      <c r="IFH37" s="424"/>
      <c r="IFI37" s="426"/>
      <c r="IFJ37" s="424"/>
      <c r="IFK37" s="426"/>
      <c r="IFL37" s="424"/>
      <c r="IFM37" s="426"/>
      <c r="IFN37" s="424"/>
      <c r="IFO37" s="426"/>
      <c r="IFP37" s="424"/>
      <c r="IFQ37" s="426"/>
      <c r="IFR37" s="424"/>
      <c r="IFS37" s="426"/>
      <c r="IFT37" s="424"/>
      <c r="IFU37" s="426"/>
      <c r="IFV37" s="424"/>
      <c r="IFW37" s="426"/>
      <c r="IFX37" s="424"/>
      <c r="IFY37" s="426"/>
      <c r="IFZ37" s="424"/>
      <c r="IGA37" s="426"/>
      <c r="IGB37" s="424"/>
      <c r="IGC37" s="426"/>
      <c r="IGD37" s="424"/>
      <c r="IGE37" s="426"/>
      <c r="IGF37" s="424"/>
      <c r="IGG37" s="426"/>
      <c r="IGH37" s="424"/>
      <c r="IGI37" s="426"/>
      <c r="IGJ37" s="424"/>
      <c r="IGK37" s="426"/>
      <c r="IGL37" s="424"/>
      <c r="IGM37" s="426"/>
      <c r="IGN37" s="424"/>
      <c r="IGO37" s="426"/>
      <c r="IGP37" s="424"/>
      <c r="IGQ37" s="426"/>
      <c r="IGR37" s="424"/>
      <c r="IGS37" s="426"/>
      <c r="IGT37" s="424"/>
      <c r="IGU37" s="426"/>
      <c r="IGV37" s="424"/>
      <c r="IGW37" s="426"/>
      <c r="IGX37" s="424"/>
      <c r="IGY37" s="426"/>
      <c r="IGZ37" s="424"/>
      <c r="IHA37" s="426"/>
      <c r="IHB37" s="424"/>
      <c r="IHC37" s="426"/>
      <c r="IHD37" s="424"/>
      <c r="IHE37" s="426"/>
      <c r="IHF37" s="424"/>
      <c r="IHG37" s="426"/>
      <c r="IHH37" s="424"/>
      <c r="IHI37" s="426"/>
      <c r="IHJ37" s="424"/>
      <c r="IHK37" s="426"/>
      <c r="IHL37" s="424"/>
      <c r="IHM37" s="426"/>
      <c r="IHN37" s="424"/>
      <c r="IHO37" s="426"/>
      <c r="IHP37" s="424"/>
      <c r="IHQ37" s="426"/>
      <c r="IHR37" s="424"/>
      <c r="IHS37" s="426"/>
      <c r="IHT37" s="424"/>
      <c r="IHU37" s="426"/>
      <c r="IHV37" s="424"/>
      <c r="IHW37" s="426"/>
      <c r="IHX37" s="424"/>
      <c r="IHY37" s="426"/>
      <c r="IHZ37" s="424"/>
      <c r="IIA37" s="426"/>
      <c r="IIB37" s="424"/>
      <c r="IIC37" s="426"/>
      <c r="IID37" s="424"/>
      <c r="IIE37" s="426"/>
      <c r="IIF37" s="424"/>
      <c r="IIG37" s="426"/>
      <c r="IIH37" s="424"/>
      <c r="III37" s="426"/>
      <c r="IIJ37" s="424"/>
      <c r="IIK37" s="426"/>
      <c r="IIL37" s="424"/>
      <c r="IIM37" s="426"/>
      <c r="IIN37" s="424"/>
      <c r="IIO37" s="426"/>
      <c r="IIP37" s="424"/>
      <c r="IIQ37" s="426"/>
      <c r="IIR37" s="424"/>
      <c r="IIS37" s="426"/>
      <c r="IIT37" s="424"/>
      <c r="IIU37" s="426"/>
      <c r="IIV37" s="424"/>
      <c r="IIW37" s="426"/>
      <c r="IIX37" s="424"/>
      <c r="IIY37" s="426"/>
      <c r="IIZ37" s="424"/>
      <c r="IJA37" s="426"/>
      <c r="IJB37" s="424"/>
      <c r="IJC37" s="426"/>
      <c r="IJD37" s="424"/>
      <c r="IJE37" s="426"/>
      <c r="IJF37" s="424"/>
      <c r="IJG37" s="426"/>
      <c r="IJH37" s="424"/>
      <c r="IJI37" s="426"/>
      <c r="IJJ37" s="424"/>
      <c r="IJK37" s="426"/>
      <c r="IJL37" s="424"/>
      <c r="IJM37" s="426"/>
      <c r="IJN37" s="424"/>
      <c r="IJO37" s="426"/>
      <c r="IJP37" s="424"/>
      <c r="IJQ37" s="426"/>
      <c r="IJR37" s="424"/>
      <c r="IJS37" s="426"/>
      <c r="IJT37" s="424"/>
      <c r="IJU37" s="426"/>
      <c r="IJV37" s="424"/>
      <c r="IJW37" s="426"/>
      <c r="IJX37" s="424"/>
      <c r="IJY37" s="426"/>
      <c r="IJZ37" s="424"/>
      <c r="IKA37" s="426"/>
      <c r="IKB37" s="424"/>
      <c r="IKC37" s="426"/>
      <c r="IKD37" s="424"/>
      <c r="IKE37" s="426"/>
      <c r="IKF37" s="424"/>
      <c r="IKG37" s="426"/>
      <c r="IKH37" s="424"/>
      <c r="IKI37" s="426"/>
      <c r="IKJ37" s="424"/>
      <c r="IKK37" s="426"/>
      <c r="IKL37" s="424"/>
      <c r="IKM37" s="426"/>
      <c r="IKN37" s="424"/>
      <c r="IKO37" s="426"/>
      <c r="IKP37" s="424"/>
      <c r="IKQ37" s="426"/>
      <c r="IKR37" s="424"/>
      <c r="IKS37" s="426"/>
      <c r="IKT37" s="424"/>
      <c r="IKU37" s="426"/>
      <c r="IKV37" s="424"/>
      <c r="IKW37" s="426"/>
      <c r="IKX37" s="424"/>
      <c r="IKY37" s="426"/>
      <c r="IKZ37" s="424"/>
      <c r="ILA37" s="426"/>
      <c r="ILB37" s="424"/>
      <c r="ILC37" s="426"/>
      <c r="ILD37" s="424"/>
      <c r="ILE37" s="426"/>
      <c r="ILF37" s="424"/>
      <c r="ILG37" s="426"/>
      <c r="ILH37" s="424"/>
      <c r="ILI37" s="426"/>
      <c r="ILJ37" s="424"/>
      <c r="ILK37" s="426"/>
      <c r="ILL37" s="424"/>
      <c r="ILM37" s="426"/>
      <c r="ILN37" s="424"/>
      <c r="ILO37" s="426"/>
      <c r="ILP37" s="424"/>
      <c r="ILQ37" s="426"/>
      <c r="ILR37" s="424"/>
      <c r="ILS37" s="426"/>
      <c r="ILT37" s="424"/>
      <c r="ILU37" s="426"/>
      <c r="ILV37" s="424"/>
      <c r="ILW37" s="426"/>
      <c r="ILX37" s="424"/>
      <c r="ILY37" s="426"/>
      <c r="ILZ37" s="424"/>
      <c r="IMA37" s="426"/>
      <c r="IMB37" s="424"/>
      <c r="IMC37" s="426"/>
      <c r="IMD37" s="424"/>
      <c r="IME37" s="426"/>
      <c r="IMF37" s="424"/>
      <c r="IMG37" s="426"/>
      <c r="IMH37" s="424"/>
      <c r="IMI37" s="426"/>
      <c r="IMJ37" s="424"/>
      <c r="IMK37" s="426"/>
      <c r="IML37" s="424"/>
      <c r="IMM37" s="426"/>
      <c r="IMN37" s="424"/>
      <c r="IMO37" s="426"/>
      <c r="IMP37" s="424"/>
      <c r="IMQ37" s="426"/>
      <c r="IMR37" s="424"/>
      <c r="IMS37" s="426"/>
      <c r="IMT37" s="424"/>
      <c r="IMU37" s="426"/>
      <c r="IMV37" s="424"/>
      <c r="IMW37" s="426"/>
      <c r="IMX37" s="424"/>
      <c r="IMY37" s="426"/>
      <c r="IMZ37" s="424"/>
      <c r="INA37" s="426"/>
      <c r="INB37" s="424"/>
      <c r="INC37" s="426"/>
      <c r="IND37" s="424"/>
      <c r="INE37" s="426"/>
      <c r="INF37" s="424"/>
      <c r="ING37" s="426"/>
      <c r="INH37" s="424"/>
      <c r="INI37" s="426"/>
      <c r="INJ37" s="424"/>
      <c r="INK37" s="426"/>
      <c r="INL37" s="424"/>
      <c r="INM37" s="426"/>
      <c r="INN37" s="424"/>
      <c r="INO37" s="426"/>
      <c r="INP37" s="424"/>
      <c r="INQ37" s="426"/>
      <c r="INR37" s="424"/>
      <c r="INS37" s="426"/>
      <c r="INT37" s="424"/>
      <c r="INU37" s="426"/>
      <c r="INV37" s="424"/>
      <c r="INW37" s="426"/>
      <c r="INX37" s="424"/>
      <c r="INY37" s="426"/>
      <c r="INZ37" s="424"/>
      <c r="IOA37" s="426"/>
      <c r="IOB37" s="424"/>
      <c r="IOC37" s="426"/>
      <c r="IOD37" s="424"/>
      <c r="IOE37" s="426"/>
      <c r="IOF37" s="424"/>
      <c r="IOG37" s="426"/>
      <c r="IOH37" s="424"/>
      <c r="IOI37" s="426"/>
      <c r="IOJ37" s="424"/>
      <c r="IOK37" s="426"/>
      <c r="IOL37" s="424"/>
      <c r="IOM37" s="426"/>
      <c r="ION37" s="424"/>
      <c r="IOO37" s="426"/>
      <c r="IOP37" s="424"/>
      <c r="IOQ37" s="426"/>
      <c r="IOR37" s="424"/>
      <c r="IOS37" s="426"/>
      <c r="IOT37" s="424"/>
      <c r="IOU37" s="426"/>
      <c r="IOV37" s="424"/>
      <c r="IOW37" s="426"/>
      <c r="IOX37" s="424"/>
      <c r="IOY37" s="426"/>
      <c r="IOZ37" s="424"/>
      <c r="IPA37" s="426"/>
      <c r="IPB37" s="424"/>
      <c r="IPC37" s="426"/>
      <c r="IPD37" s="424"/>
      <c r="IPE37" s="426"/>
      <c r="IPF37" s="424"/>
      <c r="IPG37" s="426"/>
      <c r="IPH37" s="424"/>
      <c r="IPI37" s="426"/>
      <c r="IPJ37" s="424"/>
      <c r="IPK37" s="426"/>
      <c r="IPL37" s="424"/>
      <c r="IPM37" s="426"/>
      <c r="IPN37" s="424"/>
      <c r="IPO37" s="426"/>
      <c r="IPP37" s="424"/>
      <c r="IPQ37" s="426"/>
      <c r="IPR37" s="424"/>
      <c r="IPS37" s="426"/>
      <c r="IPT37" s="424"/>
      <c r="IPU37" s="426"/>
      <c r="IPV37" s="424"/>
      <c r="IPW37" s="426"/>
      <c r="IPX37" s="424"/>
      <c r="IPY37" s="426"/>
      <c r="IPZ37" s="424"/>
      <c r="IQA37" s="426"/>
      <c r="IQB37" s="424"/>
      <c r="IQC37" s="426"/>
      <c r="IQD37" s="424"/>
      <c r="IQE37" s="426"/>
      <c r="IQF37" s="424"/>
      <c r="IQG37" s="426"/>
      <c r="IQH37" s="424"/>
      <c r="IQI37" s="426"/>
      <c r="IQJ37" s="424"/>
      <c r="IQK37" s="426"/>
      <c r="IQL37" s="424"/>
      <c r="IQM37" s="426"/>
      <c r="IQN37" s="424"/>
      <c r="IQO37" s="426"/>
      <c r="IQP37" s="424"/>
      <c r="IQQ37" s="426"/>
      <c r="IQR37" s="424"/>
      <c r="IQS37" s="426"/>
      <c r="IQT37" s="424"/>
      <c r="IQU37" s="426"/>
      <c r="IQV37" s="424"/>
      <c r="IQW37" s="426"/>
      <c r="IQX37" s="424"/>
      <c r="IQY37" s="426"/>
      <c r="IQZ37" s="424"/>
      <c r="IRA37" s="426"/>
      <c r="IRB37" s="424"/>
      <c r="IRC37" s="426"/>
      <c r="IRD37" s="424"/>
      <c r="IRE37" s="426"/>
      <c r="IRF37" s="424"/>
      <c r="IRG37" s="426"/>
      <c r="IRH37" s="424"/>
      <c r="IRI37" s="426"/>
      <c r="IRJ37" s="424"/>
      <c r="IRK37" s="426"/>
      <c r="IRL37" s="424"/>
      <c r="IRM37" s="426"/>
      <c r="IRN37" s="424"/>
      <c r="IRO37" s="426"/>
      <c r="IRP37" s="424"/>
      <c r="IRQ37" s="426"/>
      <c r="IRR37" s="424"/>
      <c r="IRS37" s="426"/>
      <c r="IRT37" s="424"/>
      <c r="IRU37" s="426"/>
      <c r="IRV37" s="424"/>
      <c r="IRW37" s="426"/>
      <c r="IRX37" s="424"/>
      <c r="IRY37" s="426"/>
      <c r="IRZ37" s="424"/>
      <c r="ISA37" s="426"/>
      <c r="ISB37" s="424"/>
      <c r="ISC37" s="426"/>
      <c r="ISD37" s="424"/>
      <c r="ISE37" s="426"/>
      <c r="ISF37" s="424"/>
      <c r="ISG37" s="426"/>
      <c r="ISH37" s="424"/>
      <c r="ISI37" s="426"/>
      <c r="ISJ37" s="424"/>
      <c r="ISK37" s="426"/>
      <c r="ISL37" s="424"/>
      <c r="ISM37" s="426"/>
      <c r="ISN37" s="424"/>
      <c r="ISO37" s="426"/>
      <c r="ISP37" s="424"/>
      <c r="ISQ37" s="426"/>
      <c r="ISR37" s="424"/>
      <c r="ISS37" s="426"/>
      <c r="IST37" s="424"/>
      <c r="ISU37" s="426"/>
      <c r="ISV37" s="424"/>
      <c r="ISW37" s="426"/>
      <c r="ISX37" s="424"/>
      <c r="ISY37" s="426"/>
      <c r="ISZ37" s="424"/>
      <c r="ITA37" s="426"/>
      <c r="ITB37" s="424"/>
      <c r="ITC37" s="426"/>
      <c r="ITD37" s="424"/>
      <c r="ITE37" s="426"/>
      <c r="ITF37" s="424"/>
      <c r="ITG37" s="426"/>
      <c r="ITH37" s="424"/>
      <c r="ITI37" s="426"/>
      <c r="ITJ37" s="424"/>
      <c r="ITK37" s="426"/>
      <c r="ITL37" s="424"/>
      <c r="ITM37" s="426"/>
      <c r="ITN37" s="424"/>
      <c r="ITO37" s="426"/>
      <c r="ITP37" s="424"/>
      <c r="ITQ37" s="426"/>
      <c r="ITR37" s="424"/>
      <c r="ITS37" s="426"/>
      <c r="ITT37" s="424"/>
      <c r="ITU37" s="426"/>
      <c r="ITV37" s="424"/>
      <c r="ITW37" s="426"/>
      <c r="ITX37" s="424"/>
      <c r="ITY37" s="426"/>
      <c r="ITZ37" s="424"/>
      <c r="IUA37" s="426"/>
      <c r="IUB37" s="424"/>
      <c r="IUC37" s="426"/>
      <c r="IUD37" s="424"/>
      <c r="IUE37" s="426"/>
      <c r="IUF37" s="424"/>
      <c r="IUG37" s="426"/>
      <c r="IUH37" s="424"/>
      <c r="IUI37" s="426"/>
      <c r="IUJ37" s="424"/>
      <c r="IUK37" s="426"/>
      <c r="IUL37" s="424"/>
      <c r="IUM37" s="426"/>
      <c r="IUN37" s="424"/>
      <c r="IUO37" s="426"/>
      <c r="IUP37" s="424"/>
      <c r="IUQ37" s="426"/>
      <c r="IUR37" s="424"/>
      <c r="IUS37" s="426"/>
      <c r="IUT37" s="424"/>
      <c r="IUU37" s="426"/>
      <c r="IUV37" s="424"/>
      <c r="IUW37" s="426"/>
      <c r="IUX37" s="424"/>
      <c r="IUY37" s="426"/>
      <c r="IUZ37" s="424"/>
      <c r="IVA37" s="426"/>
      <c r="IVB37" s="424"/>
      <c r="IVC37" s="426"/>
      <c r="IVD37" s="424"/>
      <c r="IVE37" s="426"/>
      <c r="IVF37" s="424"/>
      <c r="IVG37" s="426"/>
      <c r="IVH37" s="424"/>
      <c r="IVI37" s="426"/>
      <c r="IVJ37" s="424"/>
      <c r="IVK37" s="426"/>
      <c r="IVL37" s="424"/>
      <c r="IVM37" s="426"/>
      <c r="IVN37" s="424"/>
      <c r="IVO37" s="426"/>
      <c r="IVP37" s="424"/>
      <c r="IVQ37" s="426"/>
      <c r="IVR37" s="424"/>
      <c r="IVS37" s="426"/>
      <c r="IVT37" s="424"/>
      <c r="IVU37" s="426"/>
      <c r="IVV37" s="424"/>
      <c r="IVW37" s="426"/>
      <c r="IVX37" s="424"/>
      <c r="IVY37" s="426"/>
      <c r="IVZ37" s="424"/>
      <c r="IWA37" s="426"/>
      <c r="IWB37" s="424"/>
      <c r="IWC37" s="426"/>
      <c r="IWD37" s="424"/>
      <c r="IWE37" s="426"/>
      <c r="IWF37" s="424"/>
      <c r="IWG37" s="426"/>
      <c r="IWH37" s="424"/>
      <c r="IWI37" s="426"/>
      <c r="IWJ37" s="424"/>
      <c r="IWK37" s="426"/>
      <c r="IWL37" s="424"/>
      <c r="IWM37" s="426"/>
      <c r="IWN37" s="424"/>
      <c r="IWO37" s="426"/>
      <c r="IWP37" s="424"/>
      <c r="IWQ37" s="426"/>
      <c r="IWR37" s="424"/>
      <c r="IWS37" s="426"/>
      <c r="IWT37" s="424"/>
      <c r="IWU37" s="426"/>
      <c r="IWV37" s="424"/>
      <c r="IWW37" s="426"/>
      <c r="IWX37" s="424"/>
      <c r="IWY37" s="426"/>
      <c r="IWZ37" s="424"/>
      <c r="IXA37" s="426"/>
      <c r="IXB37" s="424"/>
      <c r="IXC37" s="426"/>
      <c r="IXD37" s="424"/>
      <c r="IXE37" s="426"/>
      <c r="IXF37" s="424"/>
      <c r="IXG37" s="426"/>
      <c r="IXH37" s="424"/>
      <c r="IXI37" s="426"/>
      <c r="IXJ37" s="424"/>
      <c r="IXK37" s="426"/>
      <c r="IXL37" s="424"/>
      <c r="IXM37" s="426"/>
      <c r="IXN37" s="424"/>
      <c r="IXO37" s="426"/>
      <c r="IXP37" s="424"/>
      <c r="IXQ37" s="426"/>
      <c r="IXR37" s="424"/>
      <c r="IXS37" s="426"/>
      <c r="IXT37" s="424"/>
      <c r="IXU37" s="426"/>
      <c r="IXV37" s="424"/>
      <c r="IXW37" s="426"/>
      <c r="IXX37" s="424"/>
      <c r="IXY37" s="426"/>
      <c r="IXZ37" s="424"/>
      <c r="IYA37" s="426"/>
      <c r="IYB37" s="424"/>
      <c r="IYC37" s="426"/>
      <c r="IYD37" s="424"/>
      <c r="IYE37" s="426"/>
      <c r="IYF37" s="424"/>
      <c r="IYG37" s="426"/>
      <c r="IYH37" s="424"/>
      <c r="IYI37" s="426"/>
      <c r="IYJ37" s="424"/>
      <c r="IYK37" s="426"/>
      <c r="IYL37" s="424"/>
      <c r="IYM37" s="426"/>
      <c r="IYN37" s="424"/>
      <c r="IYO37" s="426"/>
      <c r="IYP37" s="424"/>
      <c r="IYQ37" s="426"/>
      <c r="IYR37" s="424"/>
      <c r="IYS37" s="426"/>
      <c r="IYT37" s="424"/>
      <c r="IYU37" s="426"/>
      <c r="IYV37" s="424"/>
      <c r="IYW37" s="426"/>
      <c r="IYX37" s="424"/>
      <c r="IYY37" s="426"/>
      <c r="IYZ37" s="424"/>
      <c r="IZA37" s="426"/>
      <c r="IZB37" s="424"/>
      <c r="IZC37" s="426"/>
      <c r="IZD37" s="424"/>
      <c r="IZE37" s="426"/>
      <c r="IZF37" s="424"/>
      <c r="IZG37" s="426"/>
      <c r="IZH37" s="424"/>
      <c r="IZI37" s="426"/>
      <c r="IZJ37" s="424"/>
      <c r="IZK37" s="426"/>
      <c r="IZL37" s="424"/>
      <c r="IZM37" s="426"/>
      <c r="IZN37" s="424"/>
      <c r="IZO37" s="426"/>
      <c r="IZP37" s="424"/>
      <c r="IZQ37" s="426"/>
      <c r="IZR37" s="424"/>
      <c r="IZS37" s="426"/>
      <c r="IZT37" s="424"/>
      <c r="IZU37" s="426"/>
      <c r="IZV37" s="424"/>
      <c r="IZW37" s="426"/>
      <c r="IZX37" s="424"/>
      <c r="IZY37" s="426"/>
      <c r="IZZ37" s="424"/>
      <c r="JAA37" s="426"/>
      <c r="JAB37" s="424"/>
      <c r="JAC37" s="426"/>
      <c r="JAD37" s="424"/>
      <c r="JAE37" s="426"/>
      <c r="JAF37" s="424"/>
      <c r="JAG37" s="426"/>
      <c r="JAH37" s="424"/>
      <c r="JAI37" s="426"/>
      <c r="JAJ37" s="424"/>
      <c r="JAK37" s="426"/>
      <c r="JAL37" s="424"/>
      <c r="JAM37" s="426"/>
      <c r="JAN37" s="424"/>
      <c r="JAO37" s="426"/>
      <c r="JAP37" s="424"/>
      <c r="JAQ37" s="426"/>
      <c r="JAR37" s="424"/>
      <c r="JAS37" s="426"/>
      <c r="JAT37" s="424"/>
      <c r="JAU37" s="426"/>
      <c r="JAV37" s="424"/>
      <c r="JAW37" s="426"/>
      <c r="JAX37" s="424"/>
      <c r="JAY37" s="426"/>
      <c r="JAZ37" s="424"/>
      <c r="JBA37" s="426"/>
      <c r="JBB37" s="424"/>
      <c r="JBC37" s="426"/>
      <c r="JBD37" s="424"/>
      <c r="JBE37" s="426"/>
      <c r="JBF37" s="424"/>
      <c r="JBG37" s="426"/>
      <c r="JBH37" s="424"/>
      <c r="JBI37" s="426"/>
      <c r="JBJ37" s="424"/>
      <c r="JBK37" s="426"/>
      <c r="JBL37" s="424"/>
      <c r="JBM37" s="426"/>
      <c r="JBN37" s="424"/>
      <c r="JBO37" s="426"/>
      <c r="JBP37" s="424"/>
      <c r="JBQ37" s="426"/>
      <c r="JBR37" s="424"/>
      <c r="JBS37" s="426"/>
      <c r="JBT37" s="424"/>
      <c r="JBU37" s="426"/>
      <c r="JBV37" s="424"/>
      <c r="JBW37" s="426"/>
      <c r="JBX37" s="424"/>
      <c r="JBY37" s="426"/>
      <c r="JBZ37" s="424"/>
      <c r="JCA37" s="426"/>
      <c r="JCB37" s="424"/>
      <c r="JCC37" s="426"/>
      <c r="JCD37" s="424"/>
      <c r="JCE37" s="426"/>
      <c r="JCF37" s="424"/>
      <c r="JCG37" s="426"/>
      <c r="JCH37" s="424"/>
      <c r="JCI37" s="426"/>
      <c r="JCJ37" s="424"/>
      <c r="JCK37" s="426"/>
      <c r="JCL37" s="424"/>
      <c r="JCM37" s="426"/>
      <c r="JCN37" s="424"/>
      <c r="JCO37" s="426"/>
      <c r="JCP37" s="424"/>
      <c r="JCQ37" s="426"/>
      <c r="JCR37" s="424"/>
      <c r="JCS37" s="426"/>
      <c r="JCT37" s="424"/>
      <c r="JCU37" s="426"/>
      <c r="JCV37" s="424"/>
      <c r="JCW37" s="426"/>
      <c r="JCX37" s="424"/>
      <c r="JCY37" s="426"/>
      <c r="JCZ37" s="424"/>
      <c r="JDA37" s="426"/>
      <c r="JDB37" s="424"/>
      <c r="JDC37" s="426"/>
      <c r="JDD37" s="424"/>
      <c r="JDE37" s="426"/>
      <c r="JDF37" s="424"/>
      <c r="JDG37" s="426"/>
      <c r="JDH37" s="424"/>
      <c r="JDI37" s="426"/>
      <c r="JDJ37" s="424"/>
      <c r="JDK37" s="426"/>
      <c r="JDL37" s="424"/>
      <c r="JDM37" s="426"/>
      <c r="JDN37" s="424"/>
      <c r="JDO37" s="426"/>
      <c r="JDP37" s="424"/>
      <c r="JDQ37" s="426"/>
      <c r="JDR37" s="424"/>
      <c r="JDS37" s="426"/>
      <c r="JDT37" s="424"/>
      <c r="JDU37" s="426"/>
      <c r="JDV37" s="424"/>
      <c r="JDW37" s="426"/>
      <c r="JDX37" s="424"/>
      <c r="JDY37" s="426"/>
      <c r="JDZ37" s="424"/>
      <c r="JEA37" s="426"/>
      <c r="JEB37" s="424"/>
      <c r="JEC37" s="426"/>
      <c r="JED37" s="424"/>
      <c r="JEE37" s="426"/>
      <c r="JEF37" s="424"/>
      <c r="JEG37" s="426"/>
      <c r="JEH37" s="424"/>
      <c r="JEI37" s="426"/>
      <c r="JEJ37" s="424"/>
      <c r="JEK37" s="426"/>
      <c r="JEL37" s="424"/>
      <c r="JEM37" s="426"/>
      <c r="JEN37" s="424"/>
      <c r="JEO37" s="426"/>
      <c r="JEP37" s="424"/>
      <c r="JEQ37" s="426"/>
      <c r="JER37" s="424"/>
      <c r="JES37" s="426"/>
      <c r="JET37" s="424"/>
      <c r="JEU37" s="426"/>
      <c r="JEV37" s="424"/>
      <c r="JEW37" s="426"/>
      <c r="JEX37" s="424"/>
      <c r="JEY37" s="426"/>
      <c r="JEZ37" s="424"/>
      <c r="JFA37" s="426"/>
      <c r="JFB37" s="424"/>
      <c r="JFC37" s="426"/>
      <c r="JFD37" s="424"/>
      <c r="JFE37" s="426"/>
      <c r="JFF37" s="424"/>
      <c r="JFG37" s="426"/>
      <c r="JFH37" s="424"/>
      <c r="JFI37" s="426"/>
      <c r="JFJ37" s="424"/>
      <c r="JFK37" s="426"/>
      <c r="JFL37" s="424"/>
      <c r="JFM37" s="426"/>
      <c r="JFN37" s="424"/>
      <c r="JFO37" s="426"/>
      <c r="JFP37" s="424"/>
      <c r="JFQ37" s="426"/>
      <c r="JFR37" s="424"/>
      <c r="JFS37" s="426"/>
      <c r="JFT37" s="424"/>
      <c r="JFU37" s="426"/>
      <c r="JFV37" s="424"/>
      <c r="JFW37" s="426"/>
      <c r="JFX37" s="424"/>
      <c r="JFY37" s="426"/>
      <c r="JFZ37" s="424"/>
      <c r="JGA37" s="426"/>
      <c r="JGB37" s="424"/>
      <c r="JGC37" s="426"/>
      <c r="JGD37" s="424"/>
      <c r="JGE37" s="426"/>
      <c r="JGF37" s="424"/>
      <c r="JGG37" s="426"/>
      <c r="JGH37" s="424"/>
      <c r="JGI37" s="426"/>
      <c r="JGJ37" s="424"/>
      <c r="JGK37" s="426"/>
      <c r="JGL37" s="424"/>
      <c r="JGM37" s="426"/>
      <c r="JGN37" s="424"/>
      <c r="JGO37" s="426"/>
      <c r="JGP37" s="424"/>
      <c r="JGQ37" s="426"/>
      <c r="JGR37" s="424"/>
      <c r="JGS37" s="426"/>
      <c r="JGT37" s="424"/>
      <c r="JGU37" s="426"/>
      <c r="JGV37" s="424"/>
      <c r="JGW37" s="426"/>
      <c r="JGX37" s="424"/>
      <c r="JGY37" s="426"/>
      <c r="JGZ37" s="424"/>
      <c r="JHA37" s="426"/>
      <c r="JHB37" s="424"/>
      <c r="JHC37" s="426"/>
      <c r="JHD37" s="424"/>
      <c r="JHE37" s="426"/>
      <c r="JHF37" s="424"/>
      <c r="JHG37" s="426"/>
      <c r="JHH37" s="424"/>
      <c r="JHI37" s="426"/>
      <c r="JHJ37" s="424"/>
      <c r="JHK37" s="426"/>
      <c r="JHL37" s="424"/>
      <c r="JHM37" s="426"/>
      <c r="JHN37" s="424"/>
      <c r="JHO37" s="426"/>
      <c r="JHP37" s="424"/>
      <c r="JHQ37" s="426"/>
      <c r="JHR37" s="424"/>
      <c r="JHS37" s="426"/>
      <c r="JHT37" s="424"/>
      <c r="JHU37" s="426"/>
      <c r="JHV37" s="424"/>
      <c r="JHW37" s="426"/>
      <c r="JHX37" s="424"/>
      <c r="JHY37" s="426"/>
      <c r="JHZ37" s="424"/>
      <c r="JIA37" s="426"/>
      <c r="JIB37" s="424"/>
      <c r="JIC37" s="426"/>
      <c r="JID37" s="424"/>
      <c r="JIE37" s="426"/>
      <c r="JIF37" s="424"/>
      <c r="JIG37" s="426"/>
      <c r="JIH37" s="424"/>
      <c r="JII37" s="426"/>
      <c r="JIJ37" s="424"/>
      <c r="JIK37" s="426"/>
      <c r="JIL37" s="424"/>
      <c r="JIM37" s="426"/>
      <c r="JIN37" s="424"/>
      <c r="JIO37" s="426"/>
      <c r="JIP37" s="424"/>
      <c r="JIQ37" s="426"/>
      <c r="JIR37" s="424"/>
      <c r="JIS37" s="426"/>
      <c r="JIT37" s="424"/>
      <c r="JIU37" s="426"/>
      <c r="JIV37" s="424"/>
      <c r="JIW37" s="426"/>
      <c r="JIX37" s="424"/>
      <c r="JIY37" s="426"/>
      <c r="JIZ37" s="424"/>
      <c r="JJA37" s="426"/>
      <c r="JJB37" s="424"/>
      <c r="JJC37" s="426"/>
      <c r="JJD37" s="424"/>
      <c r="JJE37" s="426"/>
      <c r="JJF37" s="424"/>
      <c r="JJG37" s="426"/>
      <c r="JJH37" s="424"/>
      <c r="JJI37" s="426"/>
      <c r="JJJ37" s="424"/>
      <c r="JJK37" s="426"/>
      <c r="JJL37" s="424"/>
      <c r="JJM37" s="426"/>
      <c r="JJN37" s="424"/>
      <c r="JJO37" s="426"/>
      <c r="JJP37" s="424"/>
      <c r="JJQ37" s="426"/>
      <c r="JJR37" s="424"/>
      <c r="JJS37" s="426"/>
      <c r="JJT37" s="424"/>
      <c r="JJU37" s="426"/>
      <c r="JJV37" s="424"/>
      <c r="JJW37" s="426"/>
      <c r="JJX37" s="424"/>
      <c r="JJY37" s="426"/>
      <c r="JJZ37" s="424"/>
      <c r="JKA37" s="426"/>
      <c r="JKB37" s="424"/>
      <c r="JKC37" s="426"/>
      <c r="JKD37" s="424"/>
      <c r="JKE37" s="426"/>
      <c r="JKF37" s="424"/>
      <c r="JKG37" s="426"/>
      <c r="JKH37" s="424"/>
      <c r="JKI37" s="426"/>
      <c r="JKJ37" s="424"/>
      <c r="JKK37" s="426"/>
      <c r="JKL37" s="424"/>
      <c r="JKM37" s="426"/>
      <c r="JKN37" s="424"/>
      <c r="JKO37" s="426"/>
      <c r="JKP37" s="424"/>
      <c r="JKQ37" s="426"/>
      <c r="JKR37" s="424"/>
      <c r="JKS37" s="426"/>
      <c r="JKT37" s="424"/>
      <c r="JKU37" s="426"/>
      <c r="JKV37" s="424"/>
      <c r="JKW37" s="426"/>
      <c r="JKX37" s="424"/>
      <c r="JKY37" s="426"/>
      <c r="JKZ37" s="424"/>
      <c r="JLA37" s="426"/>
      <c r="JLB37" s="424"/>
      <c r="JLC37" s="426"/>
      <c r="JLD37" s="424"/>
      <c r="JLE37" s="426"/>
      <c r="JLF37" s="424"/>
      <c r="JLG37" s="426"/>
      <c r="JLH37" s="424"/>
      <c r="JLI37" s="426"/>
      <c r="JLJ37" s="424"/>
      <c r="JLK37" s="426"/>
      <c r="JLL37" s="424"/>
      <c r="JLM37" s="426"/>
      <c r="JLN37" s="424"/>
      <c r="JLO37" s="426"/>
      <c r="JLP37" s="424"/>
      <c r="JLQ37" s="426"/>
      <c r="JLR37" s="424"/>
      <c r="JLS37" s="426"/>
      <c r="JLT37" s="424"/>
      <c r="JLU37" s="426"/>
      <c r="JLV37" s="424"/>
      <c r="JLW37" s="426"/>
      <c r="JLX37" s="424"/>
      <c r="JLY37" s="426"/>
      <c r="JLZ37" s="424"/>
      <c r="JMA37" s="426"/>
      <c r="JMB37" s="424"/>
      <c r="JMC37" s="426"/>
      <c r="JMD37" s="424"/>
      <c r="JME37" s="426"/>
      <c r="JMF37" s="424"/>
      <c r="JMG37" s="426"/>
      <c r="JMH37" s="424"/>
      <c r="JMI37" s="426"/>
      <c r="JMJ37" s="424"/>
      <c r="JMK37" s="426"/>
      <c r="JML37" s="424"/>
      <c r="JMM37" s="426"/>
      <c r="JMN37" s="424"/>
      <c r="JMO37" s="426"/>
      <c r="JMP37" s="424"/>
      <c r="JMQ37" s="426"/>
      <c r="JMR37" s="424"/>
      <c r="JMS37" s="426"/>
      <c r="JMT37" s="424"/>
      <c r="JMU37" s="426"/>
      <c r="JMV37" s="424"/>
      <c r="JMW37" s="426"/>
      <c r="JMX37" s="424"/>
      <c r="JMY37" s="426"/>
      <c r="JMZ37" s="424"/>
      <c r="JNA37" s="426"/>
      <c r="JNB37" s="424"/>
      <c r="JNC37" s="426"/>
      <c r="JND37" s="424"/>
      <c r="JNE37" s="426"/>
      <c r="JNF37" s="424"/>
      <c r="JNG37" s="426"/>
      <c r="JNH37" s="424"/>
      <c r="JNI37" s="426"/>
      <c r="JNJ37" s="424"/>
      <c r="JNK37" s="426"/>
      <c r="JNL37" s="424"/>
      <c r="JNM37" s="426"/>
      <c r="JNN37" s="424"/>
      <c r="JNO37" s="426"/>
      <c r="JNP37" s="424"/>
      <c r="JNQ37" s="426"/>
      <c r="JNR37" s="424"/>
      <c r="JNS37" s="426"/>
      <c r="JNT37" s="424"/>
      <c r="JNU37" s="426"/>
      <c r="JNV37" s="424"/>
      <c r="JNW37" s="426"/>
      <c r="JNX37" s="424"/>
      <c r="JNY37" s="426"/>
      <c r="JNZ37" s="424"/>
      <c r="JOA37" s="426"/>
      <c r="JOB37" s="424"/>
      <c r="JOC37" s="426"/>
      <c r="JOD37" s="424"/>
      <c r="JOE37" s="426"/>
      <c r="JOF37" s="424"/>
      <c r="JOG37" s="426"/>
      <c r="JOH37" s="424"/>
      <c r="JOI37" s="426"/>
      <c r="JOJ37" s="424"/>
      <c r="JOK37" s="426"/>
      <c r="JOL37" s="424"/>
      <c r="JOM37" s="426"/>
      <c r="JON37" s="424"/>
      <c r="JOO37" s="426"/>
      <c r="JOP37" s="424"/>
      <c r="JOQ37" s="426"/>
      <c r="JOR37" s="424"/>
      <c r="JOS37" s="426"/>
      <c r="JOT37" s="424"/>
      <c r="JOU37" s="426"/>
      <c r="JOV37" s="424"/>
      <c r="JOW37" s="426"/>
      <c r="JOX37" s="424"/>
      <c r="JOY37" s="426"/>
      <c r="JOZ37" s="424"/>
      <c r="JPA37" s="426"/>
      <c r="JPB37" s="424"/>
      <c r="JPC37" s="426"/>
      <c r="JPD37" s="424"/>
      <c r="JPE37" s="426"/>
      <c r="JPF37" s="424"/>
      <c r="JPG37" s="426"/>
      <c r="JPH37" s="424"/>
      <c r="JPI37" s="426"/>
      <c r="JPJ37" s="424"/>
      <c r="JPK37" s="426"/>
      <c r="JPL37" s="424"/>
      <c r="JPM37" s="426"/>
      <c r="JPN37" s="424"/>
      <c r="JPO37" s="426"/>
      <c r="JPP37" s="424"/>
      <c r="JPQ37" s="426"/>
      <c r="JPR37" s="424"/>
      <c r="JPS37" s="426"/>
      <c r="JPT37" s="424"/>
      <c r="JPU37" s="426"/>
      <c r="JPV37" s="424"/>
      <c r="JPW37" s="426"/>
      <c r="JPX37" s="424"/>
      <c r="JPY37" s="426"/>
      <c r="JPZ37" s="424"/>
      <c r="JQA37" s="426"/>
      <c r="JQB37" s="424"/>
      <c r="JQC37" s="426"/>
      <c r="JQD37" s="424"/>
      <c r="JQE37" s="426"/>
      <c r="JQF37" s="424"/>
      <c r="JQG37" s="426"/>
      <c r="JQH37" s="424"/>
      <c r="JQI37" s="426"/>
      <c r="JQJ37" s="424"/>
      <c r="JQK37" s="426"/>
      <c r="JQL37" s="424"/>
      <c r="JQM37" s="426"/>
      <c r="JQN37" s="424"/>
      <c r="JQO37" s="426"/>
      <c r="JQP37" s="424"/>
      <c r="JQQ37" s="426"/>
      <c r="JQR37" s="424"/>
      <c r="JQS37" s="426"/>
      <c r="JQT37" s="424"/>
      <c r="JQU37" s="426"/>
      <c r="JQV37" s="424"/>
      <c r="JQW37" s="426"/>
      <c r="JQX37" s="424"/>
      <c r="JQY37" s="426"/>
      <c r="JQZ37" s="424"/>
      <c r="JRA37" s="426"/>
      <c r="JRB37" s="424"/>
      <c r="JRC37" s="426"/>
      <c r="JRD37" s="424"/>
      <c r="JRE37" s="426"/>
      <c r="JRF37" s="424"/>
      <c r="JRG37" s="426"/>
      <c r="JRH37" s="424"/>
      <c r="JRI37" s="426"/>
      <c r="JRJ37" s="424"/>
      <c r="JRK37" s="426"/>
      <c r="JRL37" s="424"/>
      <c r="JRM37" s="426"/>
      <c r="JRN37" s="424"/>
      <c r="JRO37" s="426"/>
      <c r="JRP37" s="424"/>
      <c r="JRQ37" s="426"/>
      <c r="JRR37" s="424"/>
      <c r="JRS37" s="426"/>
      <c r="JRT37" s="424"/>
      <c r="JRU37" s="426"/>
      <c r="JRV37" s="424"/>
      <c r="JRW37" s="426"/>
      <c r="JRX37" s="424"/>
      <c r="JRY37" s="426"/>
      <c r="JRZ37" s="424"/>
      <c r="JSA37" s="426"/>
      <c r="JSB37" s="424"/>
      <c r="JSC37" s="426"/>
      <c r="JSD37" s="424"/>
      <c r="JSE37" s="426"/>
      <c r="JSF37" s="424"/>
      <c r="JSG37" s="426"/>
      <c r="JSH37" s="424"/>
      <c r="JSI37" s="426"/>
      <c r="JSJ37" s="424"/>
      <c r="JSK37" s="426"/>
      <c r="JSL37" s="424"/>
      <c r="JSM37" s="426"/>
      <c r="JSN37" s="424"/>
      <c r="JSO37" s="426"/>
      <c r="JSP37" s="424"/>
      <c r="JSQ37" s="426"/>
      <c r="JSR37" s="424"/>
      <c r="JSS37" s="426"/>
      <c r="JST37" s="424"/>
      <c r="JSU37" s="426"/>
      <c r="JSV37" s="424"/>
      <c r="JSW37" s="426"/>
      <c r="JSX37" s="424"/>
      <c r="JSY37" s="426"/>
      <c r="JSZ37" s="424"/>
      <c r="JTA37" s="426"/>
      <c r="JTB37" s="424"/>
      <c r="JTC37" s="426"/>
      <c r="JTD37" s="424"/>
      <c r="JTE37" s="426"/>
      <c r="JTF37" s="424"/>
      <c r="JTG37" s="426"/>
      <c r="JTH37" s="424"/>
      <c r="JTI37" s="426"/>
      <c r="JTJ37" s="424"/>
      <c r="JTK37" s="426"/>
      <c r="JTL37" s="424"/>
      <c r="JTM37" s="426"/>
      <c r="JTN37" s="424"/>
      <c r="JTO37" s="426"/>
      <c r="JTP37" s="424"/>
      <c r="JTQ37" s="426"/>
      <c r="JTR37" s="424"/>
      <c r="JTS37" s="426"/>
      <c r="JTT37" s="424"/>
      <c r="JTU37" s="426"/>
      <c r="JTV37" s="424"/>
      <c r="JTW37" s="426"/>
      <c r="JTX37" s="424"/>
      <c r="JTY37" s="426"/>
      <c r="JTZ37" s="424"/>
      <c r="JUA37" s="426"/>
      <c r="JUB37" s="424"/>
      <c r="JUC37" s="426"/>
      <c r="JUD37" s="424"/>
      <c r="JUE37" s="426"/>
      <c r="JUF37" s="424"/>
      <c r="JUG37" s="426"/>
      <c r="JUH37" s="424"/>
      <c r="JUI37" s="426"/>
      <c r="JUJ37" s="424"/>
      <c r="JUK37" s="426"/>
      <c r="JUL37" s="424"/>
      <c r="JUM37" s="426"/>
      <c r="JUN37" s="424"/>
      <c r="JUO37" s="426"/>
      <c r="JUP37" s="424"/>
      <c r="JUQ37" s="426"/>
      <c r="JUR37" s="424"/>
      <c r="JUS37" s="426"/>
      <c r="JUT37" s="424"/>
      <c r="JUU37" s="426"/>
      <c r="JUV37" s="424"/>
      <c r="JUW37" s="426"/>
      <c r="JUX37" s="424"/>
      <c r="JUY37" s="426"/>
      <c r="JUZ37" s="424"/>
      <c r="JVA37" s="426"/>
      <c r="JVB37" s="424"/>
      <c r="JVC37" s="426"/>
      <c r="JVD37" s="424"/>
      <c r="JVE37" s="426"/>
      <c r="JVF37" s="424"/>
      <c r="JVG37" s="426"/>
      <c r="JVH37" s="424"/>
      <c r="JVI37" s="426"/>
      <c r="JVJ37" s="424"/>
      <c r="JVK37" s="426"/>
      <c r="JVL37" s="424"/>
      <c r="JVM37" s="426"/>
      <c r="JVN37" s="424"/>
      <c r="JVO37" s="426"/>
      <c r="JVP37" s="424"/>
      <c r="JVQ37" s="426"/>
      <c r="JVR37" s="424"/>
      <c r="JVS37" s="426"/>
      <c r="JVT37" s="424"/>
      <c r="JVU37" s="426"/>
      <c r="JVV37" s="424"/>
      <c r="JVW37" s="426"/>
      <c r="JVX37" s="424"/>
      <c r="JVY37" s="426"/>
      <c r="JVZ37" s="424"/>
      <c r="JWA37" s="426"/>
      <c r="JWB37" s="424"/>
      <c r="JWC37" s="426"/>
      <c r="JWD37" s="424"/>
      <c r="JWE37" s="426"/>
      <c r="JWF37" s="424"/>
      <c r="JWG37" s="426"/>
      <c r="JWH37" s="424"/>
      <c r="JWI37" s="426"/>
      <c r="JWJ37" s="424"/>
      <c r="JWK37" s="426"/>
      <c r="JWL37" s="424"/>
      <c r="JWM37" s="426"/>
      <c r="JWN37" s="424"/>
      <c r="JWO37" s="426"/>
      <c r="JWP37" s="424"/>
      <c r="JWQ37" s="426"/>
      <c r="JWR37" s="424"/>
      <c r="JWS37" s="426"/>
      <c r="JWT37" s="424"/>
      <c r="JWU37" s="426"/>
      <c r="JWV37" s="424"/>
      <c r="JWW37" s="426"/>
      <c r="JWX37" s="424"/>
      <c r="JWY37" s="426"/>
      <c r="JWZ37" s="424"/>
      <c r="JXA37" s="426"/>
      <c r="JXB37" s="424"/>
      <c r="JXC37" s="426"/>
      <c r="JXD37" s="424"/>
      <c r="JXE37" s="426"/>
      <c r="JXF37" s="424"/>
      <c r="JXG37" s="426"/>
      <c r="JXH37" s="424"/>
      <c r="JXI37" s="426"/>
      <c r="JXJ37" s="424"/>
      <c r="JXK37" s="426"/>
      <c r="JXL37" s="424"/>
      <c r="JXM37" s="426"/>
      <c r="JXN37" s="424"/>
      <c r="JXO37" s="426"/>
      <c r="JXP37" s="424"/>
      <c r="JXQ37" s="426"/>
      <c r="JXR37" s="424"/>
      <c r="JXS37" s="426"/>
      <c r="JXT37" s="424"/>
      <c r="JXU37" s="426"/>
      <c r="JXV37" s="424"/>
      <c r="JXW37" s="426"/>
      <c r="JXX37" s="424"/>
      <c r="JXY37" s="426"/>
      <c r="JXZ37" s="424"/>
      <c r="JYA37" s="426"/>
      <c r="JYB37" s="424"/>
      <c r="JYC37" s="426"/>
      <c r="JYD37" s="424"/>
      <c r="JYE37" s="426"/>
      <c r="JYF37" s="424"/>
      <c r="JYG37" s="426"/>
      <c r="JYH37" s="424"/>
      <c r="JYI37" s="426"/>
      <c r="JYJ37" s="424"/>
      <c r="JYK37" s="426"/>
      <c r="JYL37" s="424"/>
      <c r="JYM37" s="426"/>
      <c r="JYN37" s="424"/>
      <c r="JYO37" s="426"/>
      <c r="JYP37" s="424"/>
      <c r="JYQ37" s="426"/>
      <c r="JYR37" s="424"/>
      <c r="JYS37" s="426"/>
      <c r="JYT37" s="424"/>
      <c r="JYU37" s="426"/>
      <c r="JYV37" s="424"/>
      <c r="JYW37" s="426"/>
      <c r="JYX37" s="424"/>
      <c r="JYY37" s="426"/>
      <c r="JYZ37" s="424"/>
      <c r="JZA37" s="426"/>
      <c r="JZB37" s="424"/>
      <c r="JZC37" s="426"/>
      <c r="JZD37" s="424"/>
      <c r="JZE37" s="426"/>
      <c r="JZF37" s="424"/>
      <c r="JZG37" s="426"/>
      <c r="JZH37" s="424"/>
      <c r="JZI37" s="426"/>
      <c r="JZJ37" s="424"/>
      <c r="JZK37" s="426"/>
      <c r="JZL37" s="424"/>
      <c r="JZM37" s="426"/>
      <c r="JZN37" s="424"/>
      <c r="JZO37" s="426"/>
      <c r="JZP37" s="424"/>
      <c r="JZQ37" s="426"/>
      <c r="JZR37" s="424"/>
      <c r="JZS37" s="426"/>
      <c r="JZT37" s="424"/>
      <c r="JZU37" s="426"/>
      <c r="JZV37" s="424"/>
      <c r="JZW37" s="426"/>
      <c r="JZX37" s="424"/>
      <c r="JZY37" s="426"/>
      <c r="JZZ37" s="424"/>
      <c r="KAA37" s="426"/>
      <c r="KAB37" s="424"/>
      <c r="KAC37" s="426"/>
      <c r="KAD37" s="424"/>
      <c r="KAE37" s="426"/>
      <c r="KAF37" s="424"/>
      <c r="KAG37" s="426"/>
      <c r="KAH37" s="424"/>
      <c r="KAI37" s="426"/>
      <c r="KAJ37" s="424"/>
      <c r="KAK37" s="426"/>
      <c r="KAL37" s="424"/>
      <c r="KAM37" s="426"/>
      <c r="KAN37" s="424"/>
      <c r="KAO37" s="426"/>
      <c r="KAP37" s="424"/>
      <c r="KAQ37" s="426"/>
      <c r="KAR37" s="424"/>
      <c r="KAS37" s="426"/>
      <c r="KAT37" s="424"/>
      <c r="KAU37" s="426"/>
      <c r="KAV37" s="424"/>
      <c r="KAW37" s="426"/>
      <c r="KAX37" s="424"/>
      <c r="KAY37" s="426"/>
      <c r="KAZ37" s="424"/>
      <c r="KBA37" s="426"/>
      <c r="KBB37" s="424"/>
      <c r="KBC37" s="426"/>
      <c r="KBD37" s="424"/>
      <c r="KBE37" s="426"/>
      <c r="KBF37" s="424"/>
      <c r="KBG37" s="426"/>
      <c r="KBH37" s="424"/>
      <c r="KBI37" s="426"/>
      <c r="KBJ37" s="424"/>
      <c r="KBK37" s="426"/>
      <c r="KBL37" s="424"/>
      <c r="KBM37" s="426"/>
      <c r="KBN37" s="424"/>
      <c r="KBO37" s="426"/>
      <c r="KBP37" s="424"/>
      <c r="KBQ37" s="426"/>
      <c r="KBR37" s="424"/>
      <c r="KBS37" s="426"/>
      <c r="KBT37" s="424"/>
      <c r="KBU37" s="426"/>
      <c r="KBV37" s="424"/>
      <c r="KBW37" s="426"/>
      <c r="KBX37" s="424"/>
      <c r="KBY37" s="426"/>
      <c r="KBZ37" s="424"/>
      <c r="KCA37" s="426"/>
      <c r="KCB37" s="424"/>
      <c r="KCC37" s="426"/>
      <c r="KCD37" s="424"/>
      <c r="KCE37" s="426"/>
      <c r="KCF37" s="424"/>
      <c r="KCG37" s="426"/>
      <c r="KCH37" s="424"/>
      <c r="KCI37" s="426"/>
      <c r="KCJ37" s="424"/>
      <c r="KCK37" s="426"/>
      <c r="KCL37" s="424"/>
      <c r="KCM37" s="426"/>
      <c r="KCN37" s="424"/>
      <c r="KCO37" s="426"/>
      <c r="KCP37" s="424"/>
      <c r="KCQ37" s="426"/>
      <c r="KCR37" s="424"/>
      <c r="KCS37" s="426"/>
      <c r="KCT37" s="424"/>
      <c r="KCU37" s="426"/>
      <c r="KCV37" s="424"/>
      <c r="KCW37" s="426"/>
      <c r="KCX37" s="424"/>
      <c r="KCY37" s="426"/>
      <c r="KCZ37" s="424"/>
      <c r="KDA37" s="426"/>
      <c r="KDB37" s="424"/>
      <c r="KDC37" s="426"/>
      <c r="KDD37" s="424"/>
      <c r="KDE37" s="426"/>
      <c r="KDF37" s="424"/>
      <c r="KDG37" s="426"/>
      <c r="KDH37" s="424"/>
      <c r="KDI37" s="426"/>
      <c r="KDJ37" s="424"/>
      <c r="KDK37" s="426"/>
      <c r="KDL37" s="424"/>
      <c r="KDM37" s="426"/>
      <c r="KDN37" s="424"/>
      <c r="KDO37" s="426"/>
      <c r="KDP37" s="424"/>
      <c r="KDQ37" s="426"/>
      <c r="KDR37" s="424"/>
      <c r="KDS37" s="426"/>
      <c r="KDT37" s="424"/>
      <c r="KDU37" s="426"/>
      <c r="KDV37" s="424"/>
      <c r="KDW37" s="426"/>
      <c r="KDX37" s="424"/>
      <c r="KDY37" s="426"/>
      <c r="KDZ37" s="424"/>
      <c r="KEA37" s="426"/>
      <c r="KEB37" s="424"/>
      <c r="KEC37" s="426"/>
      <c r="KED37" s="424"/>
      <c r="KEE37" s="426"/>
      <c r="KEF37" s="424"/>
      <c r="KEG37" s="426"/>
      <c r="KEH37" s="424"/>
      <c r="KEI37" s="426"/>
      <c r="KEJ37" s="424"/>
      <c r="KEK37" s="426"/>
      <c r="KEL37" s="424"/>
      <c r="KEM37" s="426"/>
      <c r="KEN37" s="424"/>
      <c r="KEO37" s="426"/>
      <c r="KEP37" s="424"/>
      <c r="KEQ37" s="426"/>
      <c r="KER37" s="424"/>
      <c r="KES37" s="426"/>
      <c r="KET37" s="424"/>
      <c r="KEU37" s="426"/>
      <c r="KEV37" s="424"/>
      <c r="KEW37" s="426"/>
      <c r="KEX37" s="424"/>
      <c r="KEY37" s="426"/>
      <c r="KEZ37" s="424"/>
      <c r="KFA37" s="426"/>
      <c r="KFB37" s="424"/>
      <c r="KFC37" s="426"/>
      <c r="KFD37" s="424"/>
      <c r="KFE37" s="426"/>
      <c r="KFF37" s="424"/>
      <c r="KFG37" s="426"/>
      <c r="KFH37" s="424"/>
      <c r="KFI37" s="426"/>
      <c r="KFJ37" s="424"/>
      <c r="KFK37" s="426"/>
      <c r="KFL37" s="424"/>
      <c r="KFM37" s="426"/>
      <c r="KFN37" s="424"/>
      <c r="KFO37" s="426"/>
      <c r="KFP37" s="424"/>
      <c r="KFQ37" s="426"/>
      <c r="KFR37" s="424"/>
      <c r="KFS37" s="426"/>
      <c r="KFT37" s="424"/>
      <c r="KFU37" s="426"/>
      <c r="KFV37" s="424"/>
      <c r="KFW37" s="426"/>
      <c r="KFX37" s="424"/>
      <c r="KFY37" s="426"/>
      <c r="KFZ37" s="424"/>
      <c r="KGA37" s="426"/>
      <c r="KGB37" s="424"/>
      <c r="KGC37" s="426"/>
      <c r="KGD37" s="424"/>
      <c r="KGE37" s="426"/>
      <c r="KGF37" s="424"/>
      <c r="KGG37" s="426"/>
      <c r="KGH37" s="424"/>
      <c r="KGI37" s="426"/>
      <c r="KGJ37" s="424"/>
      <c r="KGK37" s="426"/>
      <c r="KGL37" s="424"/>
      <c r="KGM37" s="426"/>
      <c r="KGN37" s="424"/>
      <c r="KGO37" s="426"/>
      <c r="KGP37" s="424"/>
      <c r="KGQ37" s="426"/>
      <c r="KGR37" s="424"/>
      <c r="KGS37" s="426"/>
      <c r="KGT37" s="424"/>
      <c r="KGU37" s="426"/>
      <c r="KGV37" s="424"/>
      <c r="KGW37" s="426"/>
      <c r="KGX37" s="424"/>
      <c r="KGY37" s="426"/>
      <c r="KGZ37" s="424"/>
      <c r="KHA37" s="426"/>
      <c r="KHB37" s="424"/>
      <c r="KHC37" s="426"/>
      <c r="KHD37" s="424"/>
      <c r="KHE37" s="426"/>
      <c r="KHF37" s="424"/>
      <c r="KHG37" s="426"/>
      <c r="KHH37" s="424"/>
      <c r="KHI37" s="426"/>
      <c r="KHJ37" s="424"/>
      <c r="KHK37" s="426"/>
      <c r="KHL37" s="424"/>
      <c r="KHM37" s="426"/>
      <c r="KHN37" s="424"/>
      <c r="KHO37" s="426"/>
      <c r="KHP37" s="424"/>
      <c r="KHQ37" s="426"/>
      <c r="KHR37" s="424"/>
      <c r="KHS37" s="426"/>
      <c r="KHT37" s="424"/>
      <c r="KHU37" s="426"/>
      <c r="KHV37" s="424"/>
      <c r="KHW37" s="426"/>
      <c r="KHX37" s="424"/>
      <c r="KHY37" s="426"/>
      <c r="KHZ37" s="424"/>
      <c r="KIA37" s="426"/>
      <c r="KIB37" s="424"/>
      <c r="KIC37" s="426"/>
      <c r="KID37" s="424"/>
      <c r="KIE37" s="426"/>
      <c r="KIF37" s="424"/>
      <c r="KIG37" s="426"/>
      <c r="KIH37" s="424"/>
      <c r="KII37" s="426"/>
      <c r="KIJ37" s="424"/>
      <c r="KIK37" s="426"/>
      <c r="KIL37" s="424"/>
      <c r="KIM37" s="426"/>
      <c r="KIN37" s="424"/>
      <c r="KIO37" s="426"/>
      <c r="KIP37" s="424"/>
      <c r="KIQ37" s="426"/>
      <c r="KIR37" s="424"/>
      <c r="KIS37" s="426"/>
      <c r="KIT37" s="424"/>
      <c r="KIU37" s="426"/>
      <c r="KIV37" s="424"/>
      <c r="KIW37" s="426"/>
      <c r="KIX37" s="424"/>
      <c r="KIY37" s="426"/>
      <c r="KIZ37" s="424"/>
      <c r="KJA37" s="426"/>
      <c r="KJB37" s="424"/>
      <c r="KJC37" s="426"/>
      <c r="KJD37" s="424"/>
      <c r="KJE37" s="426"/>
      <c r="KJF37" s="424"/>
      <c r="KJG37" s="426"/>
      <c r="KJH37" s="424"/>
      <c r="KJI37" s="426"/>
      <c r="KJJ37" s="424"/>
      <c r="KJK37" s="426"/>
      <c r="KJL37" s="424"/>
      <c r="KJM37" s="426"/>
      <c r="KJN37" s="424"/>
      <c r="KJO37" s="426"/>
      <c r="KJP37" s="424"/>
      <c r="KJQ37" s="426"/>
      <c r="KJR37" s="424"/>
      <c r="KJS37" s="426"/>
      <c r="KJT37" s="424"/>
      <c r="KJU37" s="426"/>
      <c r="KJV37" s="424"/>
      <c r="KJW37" s="426"/>
      <c r="KJX37" s="424"/>
      <c r="KJY37" s="426"/>
      <c r="KJZ37" s="424"/>
      <c r="KKA37" s="426"/>
      <c r="KKB37" s="424"/>
      <c r="KKC37" s="426"/>
      <c r="KKD37" s="424"/>
      <c r="KKE37" s="426"/>
      <c r="KKF37" s="424"/>
      <c r="KKG37" s="426"/>
      <c r="KKH37" s="424"/>
      <c r="KKI37" s="426"/>
      <c r="KKJ37" s="424"/>
      <c r="KKK37" s="426"/>
      <c r="KKL37" s="424"/>
      <c r="KKM37" s="426"/>
      <c r="KKN37" s="424"/>
      <c r="KKO37" s="426"/>
      <c r="KKP37" s="424"/>
      <c r="KKQ37" s="426"/>
      <c r="KKR37" s="424"/>
      <c r="KKS37" s="426"/>
      <c r="KKT37" s="424"/>
      <c r="KKU37" s="426"/>
      <c r="KKV37" s="424"/>
      <c r="KKW37" s="426"/>
      <c r="KKX37" s="424"/>
      <c r="KKY37" s="426"/>
      <c r="KKZ37" s="424"/>
      <c r="KLA37" s="426"/>
      <c r="KLB37" s="424"/>
      <c r="KLC37" s="426"/>
      <c r="KLD37" s="424"/>
      <c r="KLE37" s="426"/>
      <c r="KLF37" s="424"/>
      <c r="KLG37" s="426"/>
      <c r="KLH37" s="424"/>
      <c r="KLI37" s="426"/>
      <c r="KLJ37" s="424"/>
      <c r="KLK37" s="426"/>
      <c r="KLL37" s="424"/>
      <c r="KLM37" s="426"/>
      <c r="KLN37" s="424"/>
      <c r="KLO37" s="426"/>
      <c r="KLP37" s="424"/>
      <c r="KLQ37" s="426"/>
      <c r="KLR37" s="424"/>
      <c r="KLS37" s="426"/>
      <c r="KLT37" s="424"/>
      <c r="KLU37" s="426"/>
      <c r="KLV37" s="424"/>
      <c r="KLW37" s="426"/>
      <c r="KLX37" s="424"/>
      <c r="KLY37" s="426"/>
      <c r="KLZ37" s="424"/>
      <c r="KMA37" s="426"/>
      <c r="KMB37" s="424"/>
      <c r="KMC37" s="426"/>
      <c r="KMD37" s="424"/>
      <c r="KME37" s="426"/>
      <c r="KMF37" s="424"/>
      <c r="KMG37" s="426"/>
      <c r="KMH37" s="424"/>
      <c r="KMI37" s="426"/>
      <c r="KMJ37" s="424"/>
      <c r="KMK37" s="426"/>
      <c r="KML37" s="424"/>
      <c r="KMM37" s="426"/>
      <c r="KMN37" s="424"/>
      <c r="KMO37" s="426"/>
      <c r="KMP37" s="424"/>
      <c r="KMQ37" s="426"/>
      <c r="KMR37" s="424"/>
      <c r="KMS37" s="426"/>
      <c r="KMT37" s="424"/>
      <c r="KMU37" s="426"/>
      <c r="KMV37" s="424"/>
      <c r="KMW37" s="426"/>
      <c r="KMX37" s="424"/>
      <c r="KMY37" s="426"/>
      <c r="KMZ37" s="424"/>
      <c r="KNA37" s="426"/>
      <c r="KNB37" s="424"/>
      <c r="KNC37" s="426"/>
      <c r="KND37" s="424"/>
      <c r="KNE37" s="426"/>
      <c r="KNF37" s="424"/>
      <c r="KNG37" s="426"/>
      <c r="KNH37" s="424"/>
      <c r="KNI37" s="426"/>
      <c r="KNJ37" s="424"/>
      <c r="KNK37" s="426"/>
      <c r="KNL37" s="424"/>
      <c r="KNM37" s="426"/>
      <c r="KNN37" s="424"/>
      <c r="KNO37" s="426"/>
      <c r="KNP37" s="424"/>
      <c r="KNQ37" s="426"/>
      <c r="KNR37" s="424"/>
      <c r="KNS37" s="426"/>
      <c r="KNT37" s="424"/>
      <c r="KNU37" s="426"/>
      <c r="KNV37" s="424"/>
      <c r="KNW37" s="426"/>
      <c r="KNX37" s="424"/>
      <c r="KNY37" s="426"/>
      <c r="KNZ37" s="424"/>
      <c r="KOA37" s="426"/>
      <c r="KOB37" s="424"/>
      <c r="KOC37" s="426"/>
      <c r="KOD37" s="424"/>
      <c r="KOE37" s="426"/>
      <c r="KOF37" s="424"/>
      <c r="KOG37" s="426"/>
      <c r="KOH37" s="424"/>
      <c r="KOI37" s="426"/>
      <c r="KOJ37" s="424"/>
      <c r="KOK37" s="426"/>
      <c r="KOL37" s="424"/>
      <c r="KOM37" s="426"/>
      <c r="KON37" s="424"/>
      <c r="KOO37" s="426"/>
      <c r="KOP37" s="424"/>
      <c r="KOQ37" s="426"/>
      <c r="KOR37" s="424"/>
      <c r="KOS37" s="426"/>
      <c r="KOT37" s="424"/>
      <c r="KOU37" s="426"/>
      <c r="KOV37" s="424"/>
      <c r="KOW37" s="426"/>
      <c r="KOX37" s="424"/>
      <c r="KOY37" s="426"/>
      <c r="KOZ37" s="424"/>
      <c r="KPA37" s="426"/>
      <c r="KPB37" s="424"/>
      <c r="KPC37" s="426"/>
      <c r="KPD37" s="424"/>
      <c r="KPE37" s="426"/>
      <c r="KPF37" s="424"/>
      <c r="KPG37" s="426"/>
      <c r="KPH37" s="424"/>
      <c r="KPI37" s="426"/>
      <c r="KPJ37" s="424"/>
      <c r="KPK37" s="426"/>
      <c r="KPL37" s="424"/>
      <c r="KPM37" s="426"/>
      <c r="KPN37" s="424"/>
      <c r="KPO37" s="426"/>
      <c r="KPP37" s="424"/>
      <c r="KPQ37" s="426"/>
      <c r="KPR37" s="424"/>
      <c r="KPS37" s="426"/>
      <c r="KPT37" s="424"/>
      <c r="KPU37" s="426"/>
      <c r="KPV37" s="424"/>
      <c r="KPW37" s="426"/>
      <c r="KPX37" s="424"/>
      <c r="KPY37" s="426"/>
      <c r="KPZ37" s="424"/>
      <c r="KQA37" s="426"/>
      <c r="KQB37" s="424"/>
      <c r="KQC37" s="426"/>
      <c r="KQD37" s="424"/>
      <c r="KQE37" s="426"/>
      <c r="KQF37" s="424"/>
      <c r="KQG37" s="426"/>
      <c r="KQH37" s="424"/>
      <c r="KQI37" s="426"/>
      <c r="KQJ37" s="424"/>
      <c r="KQK37" s="426"/>
      <c r="KQL37" s="424"/>
      <c r="KQM37" s="426"/>
      <c r="KQN37" s="424"/>
      <c r="KQO37" s="426"/>
      <c r="KQP37" s="424"/>
      <c r="KQQ37" s="426"/>
      <c r="KQR37" s="424"/>
      <c r="KQS37" s="426"/>
      <c r="KQT37" s="424"/>
      <c r="KQU37" s="426"/>
      <c r="KQV37" s="424"/>
      <c r="KQW37" s="426"/>
      <c r="KQX37" s="424"/>
      <c r="KQY37" s="426"/>
      <c r="KQZ37" s="424"/>
      <c r="KRA37" s="426"/>
      <c r="KRB37" s="424"/>
      <c r="KRC37" s="426"/>
      <c r="KRD37" s="424"/>
      <c r="KRE37" s="426"/>
      <c r="KRF37" s="424"/>
      <c r="KRG37" s="426"/>
      <c r="KRH37" s="424"/>
      <c r="KRI37" s="426"/>
      <c r="KRJ37" s="424"/>
      <c r="KRK37" s="426"/>
      <c r="KRL37" s="424"/>
      <c r="KRM37" s="426"/>
      <c r="KRN37" s="424"/>
      <c r="KRO37" s="426"/>
      <c r="KRP37" s="424"/>
      <c r="KRQ37" s="426"/>
      <c r="KRR37" s="424"/>
      <c r="KRS37" s="426"/>
      <c r="KRT37" s="424"/>
      <c r="KRU37" s="426"/>
      <c r="KRV37" s="424"/>
      <c r="KRW37" s="426"/>
      <c r="KRX37" s="424"/>
      <c r="KRY37" s="426"/>
      <c r="KRZ37" s="424"/>
      <c r="KSA37" s="426"/>
      <c r="KSB37" s="424"/>
      <c r="KSC37" s="426"/>
      <c r="KSD37" s="424"/>
      <c r="KSE37" s="426"/>
      <c r="KSF37" s="424"/>
      <c r="KSG37" s="426"/>
      <c r="KSH37" s="424"/>
      <c r="KSI37" s="426"/>
      <c r="KSJ37" s="424"/>
      <c r="KSK37" s="426"/>
      <c r="KSL37" s="424"/>
      <c r="KSM37" s="426"/>
      <c r="KSN37" s="424"/>
      <c r="KSO37" s="426"/>
      <c r="KSP37" s="424"/>
      <c r="KSQ37" s="426"/>
      <c r="KSR37" s="424"/>
      <c r="KSS37" s="426"/>
      <c r="KST37" s="424"/>
      <c r="KSU37" s="426"/>
      <c r="KSV37" s="424"/>
      <c r="KSW37" s="426"/>
      <c r="KSX37" s="424"/>
      <c r="KSY37" s="426"/>
      <c r="KSZ37" s="424"/>
      <c r="KTA37" s="426"/>
      <c r="KTB37" s="424"/>
      <c r="KTC37" s="426"/>
      <c r="KTD37" s="424"/>
      <c r="KTE37" s="426"/>
      <c r="KTF37" s="424"/>
      <c r="KTG37" s="426"/>
      <c r="KTH37" s="424"/>
      <c r="KTI37" s="426"/>
      <c r="KTJ37" s="424"/>
      <c r="KTK37" s="426"/>
      <c r="KTL37" s="424"/>
      <c r="KTM37" s="426"/>
      <c r="KTN37" s="424"/>
      <c r="KTO37" s="426"/>
      <c r="KTP37" s="424"/>
      <c r="KTQ37" s="426"/>
      <c r="KTR37" s="424"/>
      <c r="KTS37" s="426"/>
      <c r="KTT37" s="424"/>
      <c r="KTU37" s="426"/>
      <c r="KTV37" s="424"/>
      <c r="KTW37" s="426"/>
      <c r="KTX37" s="424"/>
      <c r="KTY37" s="426"/>
      <c r="KTZ37" s="424"/>
      <c r="KUA37" s="426"/>
      <c r="KUB37" s="424"/>
      <c r="KUC37" s="426"/>
      <c r="KUD37" s="424"/>
      <c r="KUE37" s="426"/>
      <c r="KUF37" s="424"/>
      <c r="KUG37" s="426"/>
      <c r="KUH37" s="424"/>
      <c r="KUI37" s="426"/>
      <c r="KUJ37" s="424"/>
      <c r="KUK37" s="426"/>
      <c r="KUL37" s="424"/>
      <c r="KUM37" s="426"/>
      <c r="KUN37" s="424"/>
      <c r="KUO37" s="426"/>
      <c r="KUP37" s="424"/>
      <c r="KUQ37" s="426"/>
      <c r="KUR37" s="424"/>
      <c r="KUS37" s="426"/>
      <c r="KUT37" s="424"/>
      <c r="KUU37" s="426"/>
      <c r="KUV37" s="424"/>
      <c r="KUW37" s="426"/>
      <c r="KUX37" s="424"/>
      <c r="KUY37" s="426"/>
      <c r="KUZ37" s="424"/>
      <c r="KVA37" s="426"/>
      <c r="KVB37" s="424"/>
      <c r="KVC37" s="426"/>
      <c r="KVD37" s="424"/>
      <c r="KVE37" s="426"/>
      <c r="KVF37" s="424"/>
      <c r="KVG37" s="426"/>
      <c r="KVH37" s="424"/>
      <c r="KVI37" s="426"/>
      <c r="KVJ37" s="424"/>
      <c r="KVK37" s="426"/>
      <c r="KVL37" s="424"/>
      <c r="KVM37" s="426"/>
      <c r="KVN37" s="424"/>
      <c r="KVO37" s="426"/>
      <c r="KVP37" s="424"/>
      <c r="KVQ37" s="426"/>
      <c r="KVR37" s="424"/>
      <c r="KVS37" s="426"/>
      <c r="KVT37" s="424"/>
      <c r="KVU37" s="426"/>
      <c r="KVV37" s="424"/>
      <c r="KVW37" s="426"/>
      <c r="KVX37" s="424"/>
      <c r="KVY37" s="426"/>
      <c r="KVZ37" s="424"/>
      <c r="KWA37" s="426"/>
      <c r="KWB37" s="424"/>
      <c r="KWC37" s="426"/>
      <c r="KWD37" s="424"/>
      <c r="KWE37" s="426"/>
      <c r="KWF37" s="424"/>
      <c r="KWG37" s="426"/>
      <c r="KWH37" s="424"/>
      <c r="KWI37" s="426"/>
      <c r="KWJ37" s="424"/>
      <c r="KWK37" s="426"/>
      <c r="KWL37" s="424"/>
      <c r="KWM37" s="426"/>
      <c r="KWN37" s="424"/>
      <c r="KWO37" s="426"/>
      <c r="KWP37" s="424"/>
      <c r="KWQ37" s="426"/>
      <c r="KWR37" s="424"/>
      <c r="KWS37" s="426"/>
      <c r="KWT37" s="424"/>
      <c r="KWU37" s="426"/>
      <c r="KWV37" s="424"/>
      <c r="KWW37" s="426"/>
      <c r="KWX37" s="424"/>
      <c r="KWY37" s="426"/>
      <c r="KWZ37" s="424"/>
      <c r="KXA37" s="426"/>
      <c r="KXB37" s="424"/>
      <c r="KXC37" s="426"/>
      <c r="KXD37" s="424"/>
      <c r="KXE37" s="426"/>
      <c r="KXF37" s="424"/>
      <c r="KXG37" s="426"/>
      <c r="KXH37" s="424"/>
      <c r="KXI37" s="426"/>
      <c r="KXJ37" s="424"/>
      <c r="KXK37" s="426"/>
      <c r="KXL37" s="424"/>
      <c r="KXM37" s="426"/>
      <c r="KXN37" s="424"/>
      <c r="KXO37" s="426"/>
      <c r="KXP37" s="424"/>
      <c r="KXQ37" s="426"/>
      <c r="KXR37" s="424"/>
      <c r="KXS37" s="426"/>
      <c r="KXT37" s="424"/>
      <c r="KXU37" s="426"/>
      <c r="KXV37" s="424"/>
      <c r="KXW37" s="426"/>
      <c r="KXX37" s="424"/>
      <c r="KXY37" s="426"/>
      <c r="KXZ37" s="424"/>
      <c r="KYA37" s="426"/>
      <c r="KYB37" s="424"/>
      <c r="KYC37" s="426"/>
      <c r="KYD37" s="424"/>
      <c r="KYE37" s="426"/>
      <c r="KYF37" s="424"/>
      <c r="KYG37" s="426"/>
      <c r="KYH37" s="424"/>
      <c r="KYI37" s="426"/>
      <c r="KYJ37" s="424"/>
      <c r="KYK37" s="426"/>
      <c r="KYL37" s="424"/>
      <c r="KYM37" s="426"/>
      <c r="KYN37" s="424"/>
      <c r="KYO37" s="426"/>
      <c r="KYP37" s="424"/>
      <c r="KYQ37" s="426"/>
      <c r="KYR37" s="424"/>
      <c r="KYS37" s="426"/>
      <c r="KYT37" s="424"/>
      <c r="KYU37" s="426"/>
      <c r="KYV37" s="424"/>
      <c r="KYW37" s="426"/>
      <c r="KYX37" s="424"/>
      <c r="KYY37" s="426"/>
      <c r="KYZ37" s="424"/>
      <c r="KZA37" s="426"/>
      <c r="KZB37" s="424"/>
      <c r="KZC37" s="426"/>
      <c r="KZD37" s="424"/>
      <c r="KZE37" s="426"/>
      <c r="KZF37" s="424"/>
      <c r="KZG37" s="426"/>
      <c r="KZH37" s="424"/>
      <c r="KZI37" s="426"/>
      <c r="KZJ37" s="424"/>
      <c r="KZK37" s="426"/>
      <c r="KZL37" s="424"/>
      <c r="KZM37" s="426"/>
      <c r="KZN37" s="424"/>
      <c r="KZO37" s="426"/>
      <c r="KZP37" s="424"/>
      <c r="KZQ37" s="426"/>
      <c r="KZR37" s="424"/>
      <c r="KZS37" s="426"/>
      <c r="KZT37" s="424"/>
      <c r="KZU37" s="426"/>
      <c r="KZV37" s="424"/>
      <c r="KZW37" s="426"/>
      <c r="KZX37" s="424"/>
      <c r="KZY37" s="426"/>
      <c r="KZZ37" s="424"/>
      <c r="LAA37" s="426"/>
      <c r="LAB37" s="424"/>
      <c r="LAC37" s="426"/>
      <c r="LAD37" s="424"/>
      <c r="LAE37" s="426"/>
      <c r="LAF37" s="424"/>
      <c r="LAG37" s="426"/>
      <c r="LAH37" s="424"/>
      <c r="LAI37" s="426"/>
      <c r="LAJ37" s="424"/>
      <c r="LAK37" s="426"/>
      <c r="LAL37" s="424"/>
      <c r="LAM37" s="426"/>
      <c r="LAN37" s="424"/>
      <c r="LAO37" s="426"/>
      <c r="LAP37" s="424"/>
      <c r="LAQ37" s="426"/>
      <c r="LAR37" s="424"/>
      <c r="LAS37" s="426"/>
      <c r="LAT37" s="424"/>
      <c r="LAU37" s="426"/>
      <c r="LAV37" s="424"/>
      <c r="LAW37" s="426"/>
      <c r="LAX37" s="424"/>
      <c r="LAY37" s="426"/>
      <c r="LAZ37" s="424"/>
      <c r="LBA37" s="426"/>
      <c r="LBB37" s="424"/>
      <c r="LBC37" s="426"/>
      <c r="LBD37" s="424"/>
      <c r="LBE37" s="426"/>
      <c r="LBF37" s="424"/>
      <c r="LBG37" s="426"/>
      <c r="LBH37" s="424"/>
      <c r="LBI37" s="426"/>
      <c r="LBJ37" s="424"/>
      <c r="LBK37" s="426"/>
      <c r="LBL37" s="424"/>
      <c r="LBM37" s="426"/>
      <c r="LBN37" s="424"/>
      <c r="LBO37" s="426"/>
      <c r="LBP37" s="424"/>
      <c r="LBQ37" s="426"/>
      <c r="LBR37" s="424"/>
      <c r="LBS37" s="426"/>
      <c r="LBT37" s="424"/>
      <c r="LBU37" s="426"/>
      <c r="LBV37" s="424"/>
      <c r="LBW37" s="426"/>
      <c r="LBX37" s="424"/>
      <c r="LBY37" s="426"/>
      <c r="LBZ37" s="424"/>
      <c r="LCA37" s="426"/>
      <c r="LCB37" s="424"/>
      <c r="LCC37" s="426"/>
      <c r="LCD37" s="424"/>
      <c r="LCE37" s="426"/>
      <c r="LCF37" s="424"/>
      <c r="LCG37" s="426"/>
      <c r="LCH37" s="424"/>
      <c r="LCI37" s="426"/>
      <c r="LCJ37" s="424"/>
      <c r="LCK37" s="426"/>
      <c r="LCL37" s="424"/>
      <c r="LCM37" s="426"/>
      <c r="LCN37" s="424"/>
      <c r="LCO37" s="426"/>
      <c r="LCP37" s="424"/>
      <c r="LCQ37" s="426"/>
      <c r="LCR37" s="424"/>
      <c r="LCS37" s="426"/>
      <c r="LCT37" s="424"/>
      <c r="LCU37" s="426"/>
      <c r="LCV37" s="424"/>
      <c r="LCW37" s="426"/>
      <c r="LCX37" s="424"/>
      <c r="LCY37" s="426"/>
      <c r="LCZ37" s="424"/>
      <c r="LDA37" s="426"/>
      <c r="LDB37" s="424"/>
      <c r="LDC37" s="426"/>
      <c r="LDD37" s="424"/>
      <c r="LDE37" s="426"/>
      <c r="LDF37" s="424"/>
      <c r="LDG37" s="426"/>
      <c r="LDH37" s="424"/>
      <c r="LDI37" s="426"/>
      <c r="LDJ37" s="424"/>
      <c r="LDK37" s="426"/>
      <c r="LDL37" s="424"/>
      <c r="LDM37" s="426"/>
      <c r="LDN37" s="424"/>
      <c r="LDO37" s="426"/>
      <c r="LDP37" s="424"/>
      <c r="LDQ37" s="426"/>
      <c r="LDR37" s="424"/>
      <c r="LDS37" s="426"/>
      <c r="LDT37" s="424"/>
      <c r="LDU37" s="426"/>
      <c r="LDV37" s="424"/>
      <c r="LDW37" s="426"/>
      <c r="LDX37" s="424"/>
      <c r="LDY37" s="426"/>
      <c r="LDZ37" s="424"/>
      <c r="LEA37" s="426"/>
      <c r="LEB37" s="424"/>
      <c r="LEC37" s="426"/>
      <c r="LED37" s="424"/>
      <c r="LEE37" s="426"/>
      <c r="LEF37" s="424"/>
      <c r="LEG37" s="426"/>
      <c r="LEH37" s="424"/>
      <c r="LEI37" s="426"/>
      <c r="LEJ37" s="424"/>
      <c r="LEK37" s="426"/>
      <c r="LEL37" s="424"/>
      <c r="LEM37" s="426"/>
      <c r="LEN37" s="424"/>
      <c r="LEO37" s="426"/>
      <c r="LEP37" s="424"/>
      <c r="LEQ37" s="426"/>
      <c r="LER37" s="424"/>
      <c r="LES37" s="426"/>
      <c r="LET37" s="424"/>
      <c r="LEU37" s="426"/>
      <c r="LEV37" s="424"/>
      <c r="LEW37" s="426"/>
      <c r="LEX37" s="424"/>
      <c r="LEY37" s="426"/>
      <c r="LEZ37" s="424"/>
      <c r="LFA37" s="426"/>
      <c r="LFB37" s="424"/>
      <c r="LFC37" s="426"/>
      <c r="LFD37" s="424"/>
      <c r="LFE37" s="426"/>
      <c r="LFF37" s="424"/>
      <c r="LFG37" s="426"/>
      <c r="LFH37" s="424"/>
      <c r="LFI37" s="426"/>
      <c r="LFJ37" s="424"/>
      <c r="LFK37" s="426"/>
      <c r="LFL37" s="424"/>
      <c r="LFM37" s="426"/>
      <c r="LFN37" s="424"/>
      <c r="LFO37" s="426"/>
      <c r="LFP37" s="424"/>
      <c r="LFQ37" s="426"/>
      <c r="LFR37" s="424"/>
      <c r="LFS37" s="426"/>
      <c r="LFT37" s="424"/>
      <c r="LFU37" s="426"/>
      <c r="LFV37" s="424"/>
      <c r="LFW37" s="426"/>
      <c r="LFX37" s="424"/>
      <c r="LFY37" s="426"/>
      <c r="LFZ37" s="424"/>
      <c r="LGA37" s="426"/>
      <c r="LGB37" s="424"/>
      <c r="LGC37" s="426"/>
      <c r="LGD37" s="424"/>
      <c r="LGE37" s="426"/>
      <c r="LGF37" s="424"/>
      <c r="LGG37" s="426"/>
      <c r="LGH37" s="424"/>
      <c r="LGI37" s="426"/>
      <c r="LGJ37" s="424"/>
      <c r="LGK37" s="426"/>
      <c r="LGL37" s="424"/>
      <c r="LGM37" s="426"/>
      <c r="LGN37" s="424"/>
      <c r="LGO37" s="426"/>
      <c r="LGP37" s="424"/>
      <c r="LGQ37" s="426"/>
      <c r="LGR37" s="424"/>
      <c r="LGS37" s="426"/>
      <c r="LGT37" s="424"/>
      <c r="LGU37" s="426"/>
      <c r="LGV37" s="424"/>
      <c r="LGW37" s="426"/>
      <c r="LGX37" s="424"/>
      <c r="LGY37" s="426"/>
      <c r="LGZ37" s="424"/>
      <c r="LHA37" s="426"/>
      <c r="LHB37" s="424"/>
      <c r="LHC37" s="426"/>
      <c r="LHD37" s="424"/>
      <c r="LHE37" s="426"/>
      <c r="LHF37" s="424"/>
      <c r="LHG37" s="426"/>
      <c r="LHH37" s="424"/>
      <c r="LHI37" s="426"/>
      <c r="LHJ37" s="424"/>
      <c r="LHK37" s="426"/>
      <c r="LHL37" s="424"/>
      <c r="LHM37" s="426"/>
      <c r="LHN37" s="424"/>
      <c r="LHO37" s="426"/>
      <c r="LHP37" s="424"/>
      <c r="LHQ37" s="426"/>
      <c r="LHR37" s="424"/>
      <c r="LHS37" s="426"/>
      <c r="LHT37" s="424"/>
      <c r="LHU37" s="426"/>
      <c r="LHV37" s="424"/>
      <c r="LHW37" s="426"/>
      <c r="LHX37" s="424"/>
      <c r="LHY37" s="426"/>
      <c r="LHZ37" s="424"/>
      <c r="LIA37" s="426"/>
      <c r="LIB37" s="424"/>
      <c r="LIC37" s="426"/>
      <c r="LID37" s="424"/>
      <c r="LIE37" s="426"/>
      <c r="LIF37" s="424"/>
      <c r="LIG37" s="426"/>
      <c r="LIH37" s="424"/>
      <c r="LII37" s="426"/>
      <c r="LIJ37" s="424"/>
      <c r="LIK37" s="426"/>
      <c r="LIL37" s="424"/>
      <c r="LIM37" s="426"/>
      <c r="LIN37" s="424"/>
      <c r="LIO37" s="426"/>
      <c r="LIP37" s="424"/>
      <c r="LIQ37" s="426"/>
      <c r="LIR37" s="424"/>
      <c r="LIS37" s="426"/>
      <c r="LIT37" s="424"/>
      <c r="LIU37" s="426"/>
      <c r="LIV37" s="424"/>
      <c r="LIW37" s="426"/>
      <c r="LIX37" s="424"/>
      <c r="LIY37" s="426"/>
      <c r="LIZ37" s="424"/>
      <c r="LJA37" s="426"/>
      <c r="LJB37" s="424"/>
      <c r="LJC37" s="426"/>
      <c r="LJD37" s="424"/>
      <c r="LJE37" s="426"/>
      <c r="LJF37" s="424"/>
      <c r="LJG37" s="426"/>
      <c r="LJH37" s="424"/>
      <c r="LJI37" s="426"/>
      <c r="LJJ37" s="424"/>
      <c r="LJK37" s="426"/>
      <c r="LJL37" s="424"/>
      <c r="LJM37" s="426"/>
      <c r="LJN37" s="424"/>
      <c r="LJO37" s="426"/>
      <c r="LJP37" s="424"/>
      <c r="LJQ37" s="426"/>
      <c r="LJR37" s="424"/>
      <c r="LJS37" s="426"/>
      <c r="LJT37" s="424"/>
      <c r="LJU37" s="426"/>
      <c r="LJV37" s="424"/>
      <c r="LJW37" s="426"/>
      <c r="LJX37" s="424"/>
      <c r="LJY37" s="426"/>
      <c r="LJZ37" s="424"/>
      <c r="LKA37" s="426"/>
      <c r="LKB37" s="424"/>
      <c r="LKC37" s="426"/>
      <c r="LKD37" s="424"/>
      <c r="LKE37" s="426"/>
      <c r="LKF37" s="424"/>
      <c r="LKG37" s="426"/>
      <c r="LKH37" s="424"/>
      <c r="LKI37" s="426"/>
      <c r="LKJ37" s="424"/>
      <c r="LKK37" s="426"/>
      <c r="LKL37" s="424"/>
      <c r="LKM37" s="426"/>
      <c r="LKN37" s="424"/>
      <c r="LKO37" s="426"/>
      <c r="LKP37" s="424"/>
      <c r="LKQ37" s="426"/>
      <c r="LKR37" s="424"/>
      <c r="LKS37" s="426"/>
      <c r="LKT37" s="424"/>
      <c r="LKU37" s="426"/>
      <c r="LKV37" s="424"/>
      <c r="LKW37" s="426"/>
      <c r="LKX37" s="424"/>
      <c r="LKY37" s="426"/>
      <c r="LKZ37" s="424"/>
      <c r="LLA37" s="426"/>
      <c r="LLB37" s="424"/>
      <c r="LLC37" s="426"/>
      <c r="LLD37" s="424"/>
      <c r="LLE37" s="426"/>
      <c r="LLF37" s="424"/>
      <c r="LLG37" s="426"/>
      <c r="LLH37" s="424"/>
      <c r="LLI37" s="426"/>
      <c r="LLJ37" s="424"/>
      <c r="LLK37" s="426"/>
      <c r="LLL37" s="424"/>
      <c r="LLM37" s="426"/>
      <c r="LLN37" s="424"/>
      <c r="LLO37" s="426"/>
      <c r="LLP37" s="424"/>
      <c r="LLQ37" s="426"/>
      <c r="LLR37" s="424"/>
      <c r="LLS37" s="426"/>
      <c r="LLT37" s="424"/>
      <c r="LLU37" s="426"/>
      <c r="LLV37" s="424"/>
      <c r="LLW37" s="426"/>
      <c r="LLX37" s="424"/>
      <c r="LLY37" s="426"/>
      <c r="LLZ37" s="424"/>
      <c r="LMA37" s="426"/>
      <c r="LMB37" s="424"/>
      <c r="LMC37" s="426"/>
      <c r="LMD37" s="424"/>
      <c r="LME37" s="426"/>
      <c r="LMF37" s="424"/>
      <c r="LMG37" s="426"/>
      <c r="LMH37" s="424"/>
      <c r="LMI37" s="426"/>
      <c r="LMJ37" s="424"/>
      <c r="LMK37" s="426"/>
      <c r="LML37" s="424"/>
      <c r="LMM37" s="426"/>
      <c r="LMN37" s="424"/>
      <c r="LMO37" s="426"/>
      <c r="LMP37" s="424"/>
      <c r="LMQ37" s="426"/>
      <c r="LMR37" s="424"/>
      <c r="LMS37" s="426"/>
      <c r="LMT37" s="424"/>
      <c r="LMU37" s="426"/>
      <c r="LMV37" s="424"/>
      <c r="LMW37" s="426"/>
      <c r="LMX37" s="424"/>
      <c r="LMY37" s="426"/>
      <c r="LMZ37" s="424"/>
      <c r="LNA37" s="426"/>
      <c r="LNB37" s="424"/>
      <c r="LNC37" s="426"/>
      <c r="LND37" s="424"/>
      <c r="LNE37" s="426"/>
      <c r="LNF37" s="424"/>
      <c r="LNG37" s="426"/>
      <c r="LNH37" s="424"/>
      <c r="LNI37" s="426"/>
      <c r="LNJ37" s="424"/>
      <c r="LNK37" s="426"/>
      <c r="LNL37" s="424"/>
      <c r="LNM37" s="426"/>
      <c r="LNN37" s="424"/>
      <c r="LNO37" s="426"/>
      <c r="LNP37" s="424"/>
      <c r="LNQ37" s="426"/>
      <c r="LNR37" s="424"/>
      <c r="LNS37" s="426"/>
      <c r="LNT37" s="424"/>
      <c r="LNU37" s="426"/>
      <c r="LNV37" s="424"/>
      <c r="LNW37" s="426"/>
      <c r="LNX37" s="424"/>
      <c r="LNY37" s="426"/>
      <c r="LNZ37" s="424"/>
      <c r="LOA37" s="426"/>
      <c r="LOB37" s="424"/>
      <c r="LOC37" s="426"/>
      <c r="LOD37" s="424"/>
      <c r="LOE37" s="426"/>
      <c r="LOF37" s="424"/>
      <c r="LOG37" s="426"/>
      <c r="LOH37" s="424"/>
      <c r="LOI37" s="426"/>
      <c r="LOJ37" s="424"/>
      <c r="LOK37" s="426"/>
      <c r="LOL37" s="424"/>
      <c r="LOM37" s="426"/>
      <c r="LON37" s="424"/>
      <c r="LOO37" s="426"/>
      <c r="LOP37" s="424"/>
      <c r="LOQ37" s="426"/>
      <c r="LOR37" s="424"/>
      <c r="LOS37" s="426"/>
      <c r="LOT37" s="424"/>
      <c r="LOU37" s="426"/>
      <c r="LOV37" s="424"/>
      <c r="LOW37" s="426"/>
      <c r="LOX37" s="424"/>
      <c r="LOY37" s="426"/>
      <c r="LOZ37" s="424"/>
      <c r="LPA37" s="426"/>
      <c r="LPB37" s="424"/>
      <c r="LPC37" s="426"/>
      <c r="LPD37" s="424"/>
      <c r="LPE37" s="426"/>
      <c r="LPF37" s="424"/>
      <c r="LPG37" s="426"/>
      <c r="LPH37" s="424"/>
      <c r="LPI37" s="426"/>
      <c r="LPJ37" s="424"/>
      <c r="LPK37" s="426"/>
      <c r="LPL37" s="424"/>
      <c r="LPM37" s="426"/>
      <c r="LPN37" s="424"/>
      <c r="LPO37" s="426"/>
      <c r="LPP37" s="424"/>
      <c r="LPQ37" s="426"/>
      <c r="LPR37" s="424"/>
      <c r="LPS37" s="426"/>
      <c r="LPT37" s="424"/>
      <c r="LPU37" s="426"/>
      <c r="LPV37" s="424"/>
      <c r="LPW37" s="426"/>
      <c r="LPX37" s="424"/>
      <c r="LPY37" s="426"/>
      <c r="LPZ37" s="424"/>
      <c r="LQA37" s="426"/>
      <c r="LQB37" s="424"/>
      <c r="LQC37" s="426"/>
      <c r="LQD37" s="424"/>
      <c r="LQE37" s="426"/>
      <c r="LQF37" s="424"/>
      <c r="LQG37" s="426"/>
      <c r="LQH37" s="424"/>
      <c r="LQI37" s="426"/>
      <c r="LQJ37" s="424"/>
      <c r="LQK37" s="426"/>
      <c r="LQL37" s="424"/>
      <c r="LQM37" s="426"/>
      <c r="LQN37" s="424"/>
      <c r="LQO37" s="426"/>
      <c r="LQP37" s="424"/>
      <c r="LQQ37" s="426"/>
      <c r="LQR37" s="424"/>
      <c r="LQS37" s="426"/>
      <c r="LQT37" s="424"/>
      <c r="LQU37" s="426"/>
      <c r="LQV37" s="424"/>
      <c r="LQW37" s="426"/>
      <c r="LQX37" s="424"/>
      <c r="LQY37" s="426"/>
      <c r="LQZ37" s="424"/>
      <c r="LRA37" s="426"/>
      <c r="LRB37" s="424"/>
      <c r="LRC37" s="426"/>
      <c r="LRD37" s="424"/>
      <c r="LRE37" s="426"/>
      <c r="LRF37" s="424"/>
      <c r="LRG37" s="426"/>
      <c r="LRH37" s="424"/>
      <c r="LRI37" s="426"/>
      <c r="LRJ37" s="424"/>
      <c r="LRK37" s="426"/>
      <c r="LRL37" s="424"/>
      <c r="LRM37" s="426"/>
      <c r="LRN37" s="424"/>
      <c r="LRO37" s="426"/>
      <c r="LRP37" s="424"/>
      <c r="LRQ37" s="426"/>
      <c r="LRR37" s="424"/>
      <c r="LRS37" s="426"/>
      <c r="LRT37" s="424"/>
      <c r="LRU37" s="426"/>
      <c r="LRV37" s="424"/>
      <c r="LRW37" s="426"/>
      <c r="LRX37" s="424"/>
      <c r="LRY37" s="426"/>
      <c r="LRZ37" s="424"/>
      <c r="LSA37" s="426"/>
      <c r="LSB37" s="424"/>
      <c r="LSC37" s="426"/>
      <c r="LSD37" s="424"/>
      <c r="LSE37" s="426"/>
      <c r="LSF37" s="424"/>
      <c r="LSG37" s="426"/>
      <c r="LSH37" s="424"/>
      <c r="LSI37" s="426"/>
      <c r="LSJ37" s="424"/>
      <c r="LSK37" s="426"/>
      <c r="LSL37" s="424"/>
      <c r="LSM37" s="426"/>
      <c r="LSN37" s="424"/>
      <c r="LSO37" s="426"/>
      <c r="LSP37" s="424"/>
      <c r="LSQ37" s="426"/>
      <c r="LSR37" s="424"/>
      <c r="LSS37" s="426"/>
      <c r="LST37" s="424"/>
      <c r="LSU37" s="426"/>
      <c r="LSV37" s="424"/>
      <c r="LSW37" s="426"/>
      <c r="LSX37" s="424"/>
      <c r="LSY37" s="426"/>
      <c r="LSZ37" s="424"/>
      <c r="LTA37" s="426"/>
      <c r="LTB37" s="424"/>
      <c r="LTC37" s="426"/>
      <c r="LTD37" s="424"/>
      <c r="LTE37" s="426"/>
      <c r="LTF37" s="424"/>
      <c r="LTG37" s="426"/>
      <c r="LTH37" s="424"/>
      <c r="LTI37" s="426"/>
      <c r="LTJ37" s="424"/>
      <c r="LTK37" s="426"/>
      <c r="LTL37" s="424"/>
      <c r="LTM37" s="426"/>
      <c r="LTN37" s="424"/>
      <c r="LTO37" s="426"/>
      <c r="LTP37" s="424"/>
      <c r="LTQ37" s="426"/>
      <c r="LTR37" s="424"/>
      <c r="LTS37" s="426"/>
      <c r="LTT37" s="424"/>
      <c r="LTU37" s="426"/>
      <c r="LTV37" s="424"/>
      <c r="LTW37" s="426"/>
      <c r="LTX37" s="424"/>
      <c r="LTY37" s="426"/>
      <c r="LTZ37" s="424"/>
      <c r="LUA37" s="426"/>
      <c r="LUB37" s="424"/>
      <c r="LUC37" s="426"/>
      <c r="LUD37" s="424"/>
      <c r="LUE37" s="426"/>
      <c r="LUF37" s="424"/>
      <c r="LUG37" s="426"/>
      <c r="LUH37" s="424"/>
      <c r="LUI37" s="426"/>
      <c r="LUJ37" s="424"/>
      <c r="LUK37" s="426"/>
      <c r="LUL37" s="424"/>
      <c r="LUM37" s="426"/>
      <c r="LUN37" s="424"/>
      <c r="LUO37" s="426"/>
      <c r="LUP37" s="424"/>
      <c r="LUQ37" s="426"/>
      <c r="LUR37" s="424"/>
      <c r="LUS37" s="426"/>
      <c r="LUT37" s="424"/>
      <c r="LUU37" s="426"/>
      <c r="LUV37" s="424"/>
      <c r="LUW37" s="426"/>
      <c r="LUX37" s="424"/>
      <c r="LUY37" s="426"/>
      <c r="LUZ37" s="424"/>
      <c r="LVA37" s="426"/>
      <c r="LVB37" s="424"/>
      <c r="LVC37" s="426"/>
      <c r="LVD37" s="424"/>
      <c r="LVE37" s="426"/>
      <c r="LVF37" s="424"/>
      <c r="LVG37" s="426"/>
      <c r="LVH37" s="424"/>
      <c r="LVI37" s="426"/>
      <c r="LVJ37" s="424"/>
      <c r="LVK37" s="426"/>
      <c r="LVL37" s="424"/>
      <c r="LVM37" s="426"/>
      <c r="LVN37" s="424"/>
      <c r="LVO37" s="426"/>
      <c r="LVP37" s="424"/>
      <c r="LVQ37" s="426"/>
      <c r="LVR37" s="424"/>
      <c r="LVS37" s="426"/>
      <c r="LVT37" s="424"/>
      <c r="LVU37" s="426"/>
      <c r="LVV37" s="424"/>
      <c r="LVW37" s="426"/>
      <c r="LVX37" s="424"/>
      <c r="LVY37" s="426"/>
      <c r="LVZ37" s="424"/>
      <c r="LWA37" s="426"/>
      <c r="LWB37" s="424"/>
      <c r="LWC37" s="426"/>
      <c r="LWD37" s="424"/>
      <c r="LWE37" s="426"/>
      <c r="LWF37" s="424"/>
      <c r="LWG37" s="426"/>
      <c r="LWH37" s="424"/>
      <c r="LWI37" s="426"/>
      <c r="LWJ37" s="424"/>
      <c r="LWK37" s="426"/>
      <c r="LWL37" s="424"/>
      <c r="LWM37" s="426"/>
      <c r="LWN37" s="424"/>
      <c r="LWO37" s="426"/>
      <c r="LWP37" s="424"/>
      <c r="LWQ37" s="426"/>
      <c r="LWR37" s="424"/>
      <c r="LWS37" s="426"/>
      <c r="LWT37" s="424"/>
      <c r="LWU37" s="426"/>
      <c r="LWV37" s="424"/>
      <c r="LWW37" s="426"/>
      <c r="LWX37" s="424"/>
      <c r="LWY37" s="426"/>
      <c r="LWZ37" s="424"/>
      <c r="LXA37" s="426"/>
      <c r="LXB37" s="424"/>
      <c r="LXC37" s="426"/>
      <c r="LXD37" s="424"/>
      <c r="LXE37" s="426"/>
      <c r="LXF37" s="424"/>
      <c r="LXG37" s="426"/>
      <c r="LXH37" s="424"/>
      <c r="LXI37" s="426"/>
      <c r="LXJ37" s="424"/>
      <c r="LXK37" s="426"/>
      <c r="LXL37" s="424"/>
      <c r="LXM37" s="426"/>
      <c r="LXN37" s="424"/>
      <c r="LXO37" s="426"/>
      <c r="LXP37" s="424"/>
      <c r="LXQ37" s="426"/>
      <c r="LXR37" s="424"/>
      <c r="LXS37" s="426"/>
      <c r="LXT37" s="424"/>
      <c r="LXU37" s="426"/>
      <c r="LXV37" s="424"/>
      <c r="LXW37" s="426"/>
      <c r="LXX37" s="424"/>
      <c r="LXY37" s="426"/>
      <c r="LXZ37" s="424"/>
      <c r="LYA37" s="426"/>
      <c r="LYB37" s="424"/>
      <c r="LYC37" s="426"/>
      <c r="LYD37" s="424"/>
      <c r="LYE37" s="426"/>
      <c r="LYF37" s="424"/>
      <c r="LYG37" s="426"/>
      <c r="LYH37" s="424"/>
      <c r="LYI37" s="426"/>
      <c r="LYJ37" s="424"/>
      <c r="LYK37" s="426"/>
      <c r="LYL37" s="424"/>
      <c r="LYM37" s="426"/>
      <c r="LYN37" s="424"/>
      <c r="LYO37" s="426"/>
      <c r="LYP37" s="424"/>
      <c r="LYQ37" s="426"/>
      <c r="LYR37" s="424"/>
      <c r="LYS37" s="426"/>
      <c r="LYT37" s="424"/>
      <c r="LYU37" s="426"/>
      <c r="LYV37" s="424"/>
      <c r="LYW37" s="426"/>
      <c r="LYX37" s="424"/>
      <c r="LYY37" s="426"/>
      <c r="LYZ37" s="424"/>
      <c r="LZA37" s="426"/>
      <c r="LZB37" s="424"/>
      <c r="LZC37" s="426"/>
      <c r="LZD37" s="424"/>
      <c r="LZE37" s="426"/>
      <c r="LZF37" s="424"/>
      <c r="LZG37" s="426"/>
      <c r="LZH37" s="424"/>
      <c r="LZI37" s="426"/>
      <c r="LZJ37" s="424"/>
      <c r="LZK37" s="426"/>
      <c r="LZL37" s="424"/>
      <c r="LZM37" s="426"/>
      <c r="LZN37" s="424"/>
      <c r="LZO37" s="426"/>
      <c r="LZP37" s="424"/>
      <c r="LZQ37" s="426"/>
      <c r="LZR37" s="424"/>
      <c r="LZS37" s="426"/>
      <c r="LZT37" s="424"/>
      <c r="LZU37" s="426"/>
      <c r="LZV37" s="424"/>
      <c r="LZW37" s="426"/>
      <c r="LZX37" s="424"/>
      <c r="LZY37" s="426"/>
      <c r="LZZ37" s="424"/>
      <c r="MAA37" s="426"/>
      <c r="MAB37" s="424"/>
      <c r="MAC37" s="426"/>
      <c r="MAD37" s="424"/>
      <c r="MAE37" s="426"/>
      <c r="MAF37" s="424"/>
      <c r="MAG37" s="426"/>
      <c r="MAH37" s="424"/>
      <c r="MAI37" s="426"/>
      <c r="MAJ37" s="424"/>
      <c r="MAK37" s="426"/>
      <c r="MAL37" s="424"/>
      <c r="MAM37" s="426"/>
      <c r="MAN37" s="424"/>
      <c r="MAO37" s="426"/>
      <c r="MAP37" s="424"/>
      <c r="MAQ37" s="426"/>
      <c r="MAR37" s="424"/>
      <c r="MAS37" s="426"/>
      <c r="MAT37" s="424"/>
      <c r="MAU37" s="426"/>
      <c r="MAV37" s="424"/>
      <c r="MAW37" s="426"/>
      <c r="MAX37" s="424"/>
      <c r="MAY37" s="426"/>
      <c r="MAZ37" s="424"/>
      <c r="MBA37" s="426"/>
      <c r="MBB37" s="424"/>
      <c r="MBC37" s="426"/>
      <c r="MBD37" s="424"/>
      <c r="MBE37" s="426"/>
      <c r="MBF37" s="424"/>
      <c r="MBG37" s="426"/>
      <c r="MBH37" s="424"/>
      <c r="MBI37" s="426"/>
      <c r="MBJ37" s="424"/>
      <c r="MBK37" s="426"/>
      <c r="MBL37" s="424"/>
      <c r="MBM37" s="426"/>
      <c r="MBN37" s="424"/>
      <c r="MBO37" s="426"/>
      <c r="MBP37" s="424"/>
      <c r="MBQ37" s="426"/>
      <c r="MBR37" s="424"/>
      <c r="MBS37" s="426"/>
      <c r="MBT37" s="424"/>
      <c r="MBU37" s="426"/>
      <c r="MBV37" s="424"/>
      <c r="MBW37" s="426"/>
      <c r="MBX37" s="424"/>
      <c r="MBY37" s="426"/>
      <c r="MBZ37" s="424"/>
      <c r="MCA37" s="426"/>
      <c r="MCB37" s="424"/>
      <c r="MCC37" s="426"/>
      <c r="MCD37" s="424"/>
      <c r="MCE37" s="426"/>
      <c r="MCF37" s="424"/>
      <c r="MCG37" s="426"/>
      <c r="MCH37" s="424"/>
      <c r="MCI37" s="426"/>
      <c r="MCJ37" s="424"/>
      <c r="MCK37" s="426"/>
      <c r="MCL37" s="424"/>
      <c r="MCM37" s="426"/>
      <c r="MCN37" s="424"/>
      <c r="MCO37" s="426"/>
      <c r="MCP37" s="424"/>
      <c r="MCQ37" s="426"/>
      <c r="MCR37" s="424"/>
      <c r="MCS37" s="426"/>
      <c r="MCT37" s="424"/>
      <c r="MCU37" s="426"/>
      <c r="MCV37" s="424"/>
      <c r="MCW37" s="426"/>
      <c r="MCX37" s="424"/>
      <c r="MCY37" s="426"/>
      <c r="MCZ37" s="424"/>
      <c r="MDA37" s="426"/>
      <c r="MDB37" s="424"/>
      <c r="MDC37" s="426"/>
      <c r="MDD37" s="424"/>
      <c r="MDE37" s="426"/>
      <c r="MDF37" s="424"/>
      <c r="MDG37" s="426"/>
      <c r="MDH37" s="424"/>
      <c r="MDI37" s="426"/>
      <c r="MDJ37" s="424"/>
      <c r="MDK37" s="426"/>
      <c r="MDL37" s="424"/>
      <c r="MDM37" s="426"/>
      <c r="MDN37" s="424"/>
      <c r="MDO37" s="426"/>
      <c r="MDP37" s="424"/>
      <c r="MDQ37" s="426"/>
      <c r="MDR37" s="424"/>
      <c r="MDS37" s="426"/>
      <c r="MDT37" s="424"/>
      <c r="MDU37" s="426"/>
      <c r="MDV37" s="424"/>
      <c r="MDW37" s="426"/>
      <c r="MDX37" s="424"/>
      <c r="MDY37" s="426"/>
      <c r="MDZ37" s="424"/>
      <c r="MEA37" s="426"/>
      <c r="MEB37" s="424"/>
      <c r="MEC37" s="426"/>
      <c r="MED37" s="424"/>
      <c r="MEE37" s="426"/>
      <c r="MEF37" s="424"/>
      <c r="MEG37" s="426"/>
      <c r="MEH37" s="424"/>
      <c r="MEI37" s="426"/>
      <c r="MEJ37" s="424"/>
      <c r="MEK37" s="426"/>
      <c r="MEL37" s="424"/>
      <c r="MEM37" s="426"/>
      <c r="MEN37" s="424"/>
      <c r="MEO37" s="426"/>
      <c r="MEP37" s="424"/>
      <c r="MEQ37" s="426"/>
      <c r="MER37" s="424"/>
      <c r="MES37" s="426"/>
      <c r="MET37" s="424"/>
      <c r="MEU37" s="426"/>
      <c r="MEV37" s="424"/>
      <c r="MEW37" s="426"/>
      <c r="MEX37" s="424"/>
      <c r="MEY37" s="426"/>
      <c r="MEZ37" s="424"/>
      <c r="MFA37" s="426"/>
      <c r="MFB37" s="424"/>
      <c r="MFC37" s="426"/>
      <c r="MFD37" s="424"/>
      <c r="MFE37" s="426"/>
      <c r="MFF37" s="424"/>
      <c r="MFG37" s="426"/>
      <c r="MFH37" s="424"/>
      <c r="MFI37" s="426"/>
      <c r="MFJ37" s="424"/>
      <c r="MFK37" s="426"/>
      <c r="MFL37" s="424"/>
      <c r="MFM37" s="426"/>
      <c r="MFN37" s="424"/>
      <c r="MFO37" s="426"/>
      <c r="MFP37" s="424"/>
      <c r="MFQ37" s="426"/>
      <c r="MFR37" s="424"/>
      <c r="MFS37" s="426"/>
      <c r="MFT37" s="424"/>
      <c r="MFU37" s="426"/>
      <c r="MFV37" s="424"/>
      <c r="MFW37" s="426"/>
      <c r="MFX37" s="424"/>
      <c r="MFY37" s="426"/>
      <c r="MFZ37" s="424"/>
      <c r="MGA37" s="426"/>
      <c r="MGB37" s="424"/>
      <c r="MGC37" s="426"/>
      <c r="MGD37" s="424"/>
      <c r="MGE37" s="426"/>
      <c r="MGF37" s="424"/>
      <c r="MGG37" s="426"/>
      <c r="MGH37" s="424"/>
      <c r="MGI37" s="426"/>
      <c r="MGJ37" s="424"/>
      <c r="MGK37" s="426"/>
      <c r="MGL37" s="424"/>
      <c r="MGM37" s="426"/>
      <c r="MGN37" s="424"/>
      <c r="MGO37" s="426"/>
      <c r="MGP37" s="424"/>
      <c r="MGQ37" s="426"/>
      <c r="MGR37" s="424"/>
      <c r="MGS37" s="426"/>
      <c r="MGT37" s="424"/>
      <c r="MGU37" s="426"/>
      <c r="MGV37" s="424"/>
      <c r="MGW37" s="426"/>
      <c r="MGX37" s="424"/>
      <c r="MGY37" s="426"/>
      <c r="MGZ37" s="424"/>
      <c r="MHA37" s="426"/>
      <c r="MHB37" s="424"/>
      <c r="MHC37" s="426"/>
      <c r="MHD37" s="424"/>
      <c r="MHE37" s="426"/>
      <c r="MHF37" s="424"/>
      <c r="MHG37" s="426"/>
      <c r="MHH37" s="424"/>
      <c r="MHI37" s="426"/>
      <c r="MHJ37" s="424"/>
      <c r="MHK37" s="426"/>
      <c r="MHL37" s="424"/>
      <c r="MHM37" s="426"/>
      <c r="MHN37" s="424"/>
      <c r="MHO37" s="426"/>
      <c r="MHP37" s="424"/>
      <c r="MHQ37" s="426"/>
      <c r="MHR37" s="424"/>
      <c r="MHS37" s="426"/>
      <c r="MHT37" s="424"/>
      <c r="MHU37" s="426"/>
      <c r="MHV37" s="424"/>
      <c r="MHW37" s="426"/>
      <c r="MHX37" s="424"/>
      <c r="MHY37" s="426"/>
      <c r="MHZ37" s="424"/>
      <c r="MIA37" s="426"/>
      <c r="MIB37" s="424"/>
      <c r="MIC37" s="426"/>
      <c r="MID37" s="424"/>
      <c r="MIE37" s="426"/>
      <c r="MIF37" s="424"/>
      <c r="MIG37" s="426"/>
      <c r="MIH37" s="424"/>
      <c r="MII37" s="426"/>
      <c r="MIJ37" s="424"/>
      <c r="MIK37" s="426"/>
      <c r="MIL37" s="424"/>
      <c r="MIM37" s="426"/>
      <c r="MIN37" s="424"/>
      <c r="MIO37" s="426"/>
      <c r="MIP37" s="424"/>
      <c r="MIQ37" s="426"/>
      <c r="MIR37" s="424"/>
      <c r="MIS37" s="426"/>
      <c r="MIT37" s="424"/>
      <c r="MIU37" s="426"/>
      <c r="MIV37" s="424"/>
      <c r="MIW37" s="426"/>
      <c r="MIX37" s="424"/>
      <c r="MIY37" s="426"/>
      <c r="MIZ37" s="424"/>
      <c r="MJA37" s="426"/>
      <c r="MJB37" s="424"/>
      <c r="MJC37" s="426"/>
      <c r="MJD37" s="424"/>
      <c r="MJE37" s="426"/>
      <c r="MJF37" s="424"/>
      <c r="MJG37" s="426"/>
      <c r="MJH37" s="424"/>
      <c r="MJI37" s="426"/>
      <c r="MJJ37" s="424"/>
      <c r="MJK37" s="426"/>
      <c r="MJL37" s="424"/>
      <c r="MJM37" s="426"/>
      <c r="MJN37" s="424"/>
      <c r="MJO37" s="426"/>
      <c r="MJP37" s="424"/>
      <c r="MJQ37" s="426"/>
      <c r="MJR37" s="424"/>
      <c r="MJS37" s="426"/>
      <c r="MJT37" s="424"/>
      <c r="MJU37" s="426"/>
      <c r="MJV37" s="424"/>
      <c r="MJW37" s="426"/>
      <c r="MJX37" s="424"/>
      <c r="MJY37" s="426"/>
      <c r="MJZ37" s="424"/>
      <c r="MKA37" s="426"/>
      <c r="MKB37" s="424"/>
      <c r="MKC37" s="426"/>
      <c r="MKD37" s="424"/>
      <c r="MKE37" s="426"/>
      <c r="MKF37" s="424"/>
      <c r="MKG37" s="426"/>
      <c r="MKH37" s="424"/>
      <c r="MKI37" s="426"/>
      <c r="MKJ37" s="424"/>
      <c r="MKK37" s="426"/>
      <c r="MKL37" s="424"/>
      <c r="MKM37" s="426"/>
      <c r="MKN37" s="424"/>
      <c r="MKO37" s="426"/>
      <c r="MKP37" s="424"/>
      <c r="MKQ37" s="426"/>
      <c r="MKR37" s="424"/>
      <c r="MKS37" s="426"/>
      <c r="MKT37" s="424"/>
      <c r="MKU37" s="426"/>
      <c r="MKV37" s="424"/>
      <c r="MKW37" s="426"/>
      <c r="MKX37" s="424"/>
      <c r="MKY37" s="426"/>
      <c r="MKZ37" s="424"/>
      <c r="MLA37" s="426"/>
      <c r="MLB37" s="424"/>
      <c r="MLC37" s="426"/>
      <c r="MLD37" s="424"/>
      <c r="MLE37" s="426"/>
      <c r="MLF37" s="424"/>
      <c r="MLG37" s="426"/>
      <c r="MLH37" s="424"/>
      <c r="MLI37" s="426"/>
      <c r="MLJ37" s="424"/>
      <c r="MLK37" s="426"/>
      <c r="MLL37" s="424"/>
      <c r="MLM37" s="426"/>
      <c r="MLN37" s="424"/>
      <c r="MLO37" s="426"/>
      <c r="MLP37" s="424"/>
      <c r="MLQ37" s="426"/>
      <c r="MLR37" s="424"/>
      <c r="MLS37" s="426"/>
      <c r="MLT37" s="424"/>
      <c r="MLU37" s="426"/>
      <c r="MLV37" s="424"/>
      <c r="MLW37" s="426"/>
      <c r="MLX37" s="424"/>
      <c r="MLY37" s="426"/>
      <c r="MLZ37" s="424"/>
      <c r="MMA37" s="426"/>
      <c r="MMB37" s="424"/>
      <c r="MMC37" s="426"/>
      <c r="MMD37" s="424"/>
      <c r="MME37" s="426"/>
      <c r="MMF37" s="424"/>
      <c r="MMG37" s="426"/>
      <c r="MMH37" s="424"/>
      <c r="MMI37" s="426"/>
      <c r="MMJ37" s="424"/>
      <c r="MMK37" s="426"/>
      <c r="MML37" s="424"/>
      <c r="MMM37" s="426"/>
      <c r="MMN37" s="424"/>
      <c r="MMO37" s="426"/>
      <c r="MMP37" s="424"/>
      <c r="MMQ37" s="426"/>
      <c r="MMR37" s="424"/>
      <c r="MMS37" s="426"/>
      <c r="MMT37" s="424"/>
      <c r="MMU37" s="426"/>
      <c r="MMV37" s="424"/>
      <c r="MMW37" s="426"/>
      <c r="MMX37" s="424"/>
      <c r="MMY37" s="426"/>
      <c r="MMZ37" s="424"/>
      <c r="MNA37" s="426"/>
      <c r="MNB37" s="424"/>
      <c r="MNC37" s="426"/>
      <c r="MND37" s="424"/>
      <c r="MNE37" s="426"/>
      <c r="MNF37" s="424"/>
      <c r="MNG37" s="426"/>
      <c r="MNH37" s="424"/>
      <c r="MNI37" s="426"/>
      <c r="MNJ37" s="424"/>
      <c r="MNK37" s="426"/>
      <c r="MNL37" s="424"/>
      <c r="MNM37" s="426"/>
      <c r="MNN37" s="424"/>
      <c r="MNO37" s="426"/>
      <c r="MNP37" s="424"/>
      <c r="MNQ37" s="426"/>
      <c r="MNR37" s="424"/>
      <c r="MNS37" s="426"/>
      <c r="MNT37" s="424"/>
      <c r="MNU37" s="426"/>
      <c r="MNV37" s="424"/>
      <c r="MNW37" s="426"/>
      <c r="MNX37" s="424"/>
      <c r="MNY37" s="426"/>
      <c r="MNZ37" s="424"/>
      <c r="MOA37" s="426"/>
      <c r="MOB37" s="424"/>
      <c r="MOC37" s="426"/>
      <c r="MOD37" s="424"/>
      <c r="MOE37" s="426"/>
      <c r="MOF37" s="424"/>
      <c r="MOG37" s="426"/>
      <c r="MOH37" s="424"/>
      <c r="MOI37" s="426"/>
      <c r="MOJ37" s="424"/>
      <c r="MOK37" s="426"/>
      <c r="MOL37" s="424"/>
      <c r="MOM37" s="426"/>
      <c r="MON37" s="424"/>
      <c r="MOO37" s="426"/>
      <c r="MOP37" s="424"/>
      <c r="MOQ37" s="426"/>
      <c r="MOR37" s="424"/>
      <c r="MOS37" s="426"/>
      <c r="MOT37" s="424"/>
      <c r="MOU37" s="426"/>
      <c r="MOV37" s="424"/>
      <c r="MOW37" s="426"/>
      <c r="MOX37" s="424"/>
      <c r="MOY37" s="426"/>
      <c r="MOZ37" s="424"/>
      <c r="MPA37" s="426"/>
      <c r="MPB37" s="424"/>
      <c r="MPC37" s="426"/>
      <c r="MPD37" s="424"/>
      <c r="MPE37" s="426"/>
      <c r="MPF37" s="424"/>
      <c r="MPG37" s="426"/>
      <c r="MPH37" s="424"/>
      <c r="MPI37" s="426"/>
      <c r="MPJ37" s="424"/>
      <c r="MPK37" s="426"/>
      <c r="MPL37" s="424"/>
      <c r="MPM37" s="426"/>
      <c r="MPN37" s="424"/>
      <c r="MPO37" s="426"/>
      <c r="MPP37" s="424"/>
      <c r="MPQ37" s="426"/>
      <c r="MPR37" s="424"/>
      <c r="MPS37" s="426"/>
      <c r="MPT37" s="424"/>
      <c r="MPU37" s="426"/>
      <c r="MPV37" s="424"/>
      <c r="MPW37" s="426"/>
      <c r="MPX37" s="424"/>
      <c r="MPY37" s="426"/>
      <c r="MPZ37" s="424"/>
      <c r="MQA37" s="426"/>
      <c r="MQB37" s="424"/>
      <c r="MQC37" s="426"/>
      <c r="MQD37" s="424"/>
      <c r="MQE37" s="426"/>
      <c r="MQF37" s="424"/>
      <c r="MQG37" s="426"/>
      <c r="MQH37" s="424"/>
      <c r="MQI37" s="426"/>
      <c r="MQJ37" s="424"/>
      <c r="MQK37" s="426"/>
      <c r="MQL37" s="424"/>
      <c r="MQM37" s="426"/>
      <c r="MQN37" s="424"/>
      <c r="MQO37" s="426"/>
      <c r="MQP37" s="424"/>
      <c r="MQQ37" s="426"/>
      <c r="MQR37" s="424"/>
      <c r="MQS37" s="426"/>
      <c r="MQT37" s="424"/>
      <c r="MQU37" s="426"/>
      <c r="MQV37" s="424"/>
      <c r="MQW37" s="426"/>
      <c r="MQX37" s="424"/>
      <c r="MQY37" s="426"/>
      <c r="MQZ37" s="424"/>
      <c r="MRA37" s="426"/>
      <c r="MRB37" s="424"/>
      <c r="MRC37" s="426"/>
      <c r="MRD37" s="424"/>
      <c r="MRE37" s="426"/>
      <c r="MRF37" s="424"/>
      <c r="MRG37" s="426"/>
      <c r="MRH37" s="424"/>
      <c r="MRI37" s="426"/>
      <c r="MRJ37" s="424"/>
      <c r="MRK37" s="426"/>
      <c r="MRL37" s="424"/>
      <c r="MRM37" s="426"/>
      <c r="MRN37" s="424"/>
      <c r="MRO37" s="426"/>
      <c r="MRP37" s="424"/>
      <c r="MRQ37" s="426"/>
      <c r="MRR37" s="424"/>
      <c r="MRS37" s="426"/>
      <c r="MRT37" s="424"/>
      <c r="MRU37" s="426"/>
      <c r="MRV37" s="424"/>
      <c r="MRW37" s="426"/>
      <c r="MRX37" s="424"/>
      <c r="MRY37" s="426"/>
      <c r="MRZ37" s="424"/>
      <c r="MSA37" s="426"/>
      <c r="MSB37" s="424"/>
      <c r="MSC37" s="426"/>
      <c r="MSD37" s="424"/>
      <c r="MSE37" s="426"/>
      <c r="MSF37" s="424"/>
      <c r="MSG37" s="426"/>
      <c r="MSH37" s="424"/>
      <c r="MSI37" s="426"/>
      <c r="MSJ37" s="424"/>
      <c r="MSK37" s="426"/>
      <c r="MSL37" s="424"/>
      <c r="MSM37" s="426"/>
      <c r="MSN37" s="424"/>
      <c r="MSO37" s="426"/>
      <c r="MSP37" s="424"/>
      <c r="MSQ37" s="426"/>
      <c r="MSR37" s="424"/>
      <c r="MSS37" s="426"/>
      <c r="MST37" s="424"/>
      <c r="MSU37" s="426"/>
      <c r="MSV37" s="424"/>
      <c r="MSW37" s="426"/>
      <c r="MSX37" s="424"/>
      <c r="MSY37" s="426"/>
      <c r="MSZ37" s="424"/>
      <c r="MTA37" s="426"/>
      <c r="MTB37" s="424"/>
      <c r="MTC37" s="426"/>
      <c r="MTD37" s="424"/>
      <c r="MTE37" s="426"/>
      <c r="MTF37" s="424"/>
      <c r="MTG37" s="426"/>
      <c r="MTH37" s="424"/>
      <c r="MTI37" s="426"/>
      <c r="MTJ37" s="424"/>
      <c r="MTK37" s="426"/>
      <c r="MTL37" s="424"/>
      <c r="MTM37" s="426"/>
      <c r="MTN37" s="424"/>
      <c r="MTO37" s="426"/>
      <c r="MTP37" s="424"/>
      <c r="MTQ37" s="426"/>
      <c r="MTR37" s="424"/>
      <c r="MTS37" s="426"/>
      <c r="MTT37" s="424"/>
      <c r="MTU37" s="426"/>
      <c r="MTV37" s="424"/>
      <c r="MTW37" s="426"/>
      <c r="MTX37" s="424"/>
      <c r="MTY37" s="426"/>
      <c r="MTZ37" s="424"/>
      <c r="MUA37" s="426"/>
      <c r="MUB37" s="424"/>
      <c r="MUC37" s="426"/>
      <c r="MUD37" s="424"/>
      <c r="MUE37" s="426"/>
      <c r="MUF37" s="424"/>
      <c r="MUG37" s="426"/>
      <c r="MUH37" s="424"/>
      <c r="MUI37" s="426"/>
      <c r="MUJ37" s="424"/>
      <c r="MUK37" s="426"/>
      <c r="MUL37" s="424"/>
      <c r="MUM37" s="426"/>
      <c r="MUN37" s="424"/>
      <c r="MUO37" s="426"/>
      <c r="MUP37" s="424"/>
      <c r="MUQ37" s="426"/>
      <c r="MUR37" s="424"/>
      <c r="MUS37" s="426"/>
      <c r="MUT37" s="424"/>
      <c r="MUU37" s="426"/>
      <c r="MUV37" s="424"/>
      <c r="MUW37" s="426"/>
      <c r="MUX37" s="424"/>
      <c r="MUY37" s="426"/>
      <c r="MUZ37" s="424"/>
      <c r="MVA37" s="426"/>
      <c r="MVB37" s="424"/>
      <c r="MVC37" s="426"/>
      <c r="MVD37" s="424"/>
      <c r="MVE37" s="426"/>
      <c r="MVF37" s="424"/>
      <c r="MVG37" s="426"/>
      <c r="MVH37" s="424"/>
      <c r="MVI37" s="426"/>
      <c r="MVJ37" s="424"/>
      <c r="MVK37" s="426"/>
      <c r="MVL37" s="424"/>
      <c r="MVM37" s="426"/>
      <c r="MVN37" s="424"/>
      <c r="MVO37" s="426"/>
      <c r="MVP37" s="424"/>
      <c r="MVQ37" s="426"/>
      <c r="MVR37" s="424"/>
      <c r="MVS37" s="426"/>
      <c r="MVT37" s="424"/>
      <c r="MVU37" s="426"/>
      <c r="MVV37" s="424"/>
      <c r="MVW37" s="426"/>
      <c r="MVX37" s="424"/>
      <c r="MVY37" s="426"/>
      <c r="MVZ37" s="424"/>
      <c r="MWA37" s="426"/>
      <c r="MWB37" s="424"/>
      <c r="MWC37" s="426"/>
      <c r="MWD37" s="424"/>
      <c r="MWE37" s="426"/>
      <c r="MWF37" s="424"/>
      <c r="MWG37" s="426"/>
      <c r="MWH37" s="424"/>
      <c r="MWI37" s="426"/>
      <c r="MWJ37" s="424"/>
      <c r="MWK37" s="426"/>
      <c r="MWL37" s="424"/>
      <c r="MWM37" s="426"/>
      <c r="MWN37" s="424"/>
      <c r="MWO37" s="426"/>
      <c r="MWP37" s="424"/>
      <c r="MWQ37" s="426"/>
      <c r="MWR37" s="424"/>
      <c r="MWS37" s="426"/>
      <c r="MWT37" s="424"/>
      <c r="MWU37" s="426"/>
      <c r="MWV37" s="424"/>
      <c r="MWW37" s="426"/>
      <c r="MWX37" s="424"/>
      <c r="MWY37" s="426"/>
      <c r="MWZ37" s="424"/>
      <c r="MXA37" s="426"/>
      <c r="MXB37" s="424"/>
      <c r="MXC37" s="426"/>
      <c r="MXD37" s="424"/>
      <c r="MXE37" s="426"/>
      <c r="MXF37" s="424"/>
      <c r="MXG37" s="426"/>
      <c r="MXH37" s="424"/>
      <c r="MXI37" s="426"/>
      <c r="MXJ37" s="424"/>
      <c r="MXK37" s="426"/>
      <c r="MXL37" s="424"/>
      <c r="MXM37" s="426"/>
      <c r="MXN37" s="424"/>
      <c r="MXO37" s="426"/>
      <c r="MXP37" s="424"/>
      <c r="MXQ37" s="426"/>
      <c r="MXR37" s="424"/>
      <c r="MXS37" s="426"/>
      <c r="MXT37" s="424"/>
      <c r="MXU37" s="426"/>
      <c r="MXV37" s="424"/>
      <c r="MXW37" s="426"/>
      <c r="MXX37" s="424"/>
      <c r="MXY37" s="426"/>
      <c r="MXZ37" s="424"/>
      <c r="MYA37" s="426"/>
      <c r="MYB37" s="424"/>
      <c r="MYC37" s="426"/>
      <c r="MYD37" s="424"/>
      <c r="MYE37" s="426"/>
      <c r="MYF37" s="424"/>
      <c r="MYG37" s="426"/>
      <c r="MYH37" s="424"/>
      <c r="MYI37" s="426"/>
      <c r="MYJ37" s="424"/>
      <c r="MYK37" s="426"/>
      <c r="MYL37" s="424"/>
      <c r="MYM37" s="426"/>
      <c r="MYN37" s="424"/>
      <c r="MYO37" s="426"/>
      <c r="MYP37" s="424"/>
      <c r="MYQ37" s="426"/>
      <c r="MYR37" s="424"/>
      <c r="MYS37" s="426"/>
      <c r="MYT37" s="424"/>
      <c r="MYU37" s="426"/>
      <c r="MYV37" s="424"/>
      <c r="MYW37" s="426"/>
      <c r="MYX37" s="424"/>
      <c r="MYY37" s="426"/>
      <c r="MYZ37" s="424"/>
      <c r="MZA37" s="426"/>
      <c r="MZB37" s="424"/>
      <c r="MZC37" s="426"/>
      <c r="MZD37" s="424"/>
      <c r="MZE37" s="426"/>
      <c r="MZF37" s="424"/>
      <c r="MZG37" s="426"/>
      <c r="MZH37" s="424"/>
      <c r="MZI37" s="426"/>
      <c r="MZJ37" s="424"/>
      <c r="MZK37" s="426"/>
      <c r="MZL37" s="424"/>
      <c r="MZM37" s="426"/>
      <c r="MZN37" s="424"/>
      <c r="MZO37" s="426"/>
      <c r="MZP37" s="424"/>
      <c r="MZQ37" s="426"/>
      <c r="MZR37" s="424"/>
      <c r="MZS37" s="426"/>
      <c r="MZT37" s="424"/>
      <c r="MZU37" s="426"/>
      <c r="MZV37" s="424"/>
      <c r="MZW37" s="426"/>
      <c r="MZX37" s="424"/>
      <c r="MZY37" s="426"/>
      <c r="MZZ37" s="424"/>
      <c r="NAA37" s="426"/>
      <c r="NAB37" s="424"/>
      <c r="NAC37" s="426"/>
      <c r="NAD37" s="424"/>
      <c r="NAE37" s="426"/>
      <c r="NAF37" s="424"/>
      <c r="NAG37" s="426"/>
      <c r="NAH37" s="424"/>
      <c r="NAI37" s="426"/>
      <c r="NAJ37" s="424"/>
      <c r="NAK37" s="426"/>
      <c r="NAL37" s="424"/>
      <c r="NAM37" s="426"/>
      <c r="NAN37" s="424"/>
      <c r="NAO37" s="426"/>
      <c r="NAP37" s="424"/>
      <c r="NAQ37" s="426"/>
      <c r="NAR37" s="424"/>
      <c r="NAS37" s="426"/>
      <c r="NAT37" s="424"/>
      <c r="NAU37" s="426"/>
      <c r="NAV37" s="424"/>
      <c r="NAW37" s="426"/>
      <c r="NAX37" s="424"/>
      <c r="NAY37" s="426"/>
      <c r="NAZ37" s="424"/>
      <c r="NBA37" s="426"/>
      <c r="NBB37" s="424"/>
      <c r="NBC37" s="426"/>
      <c r="NBD37" s="424"/>
      <c r="NBE37" s="426"/>
      <c r="NBF37" s="424"/>
      <c r="NBG37" s="426"/>
      <c r="NBH37" s="424"/>
      <c r="NBI37" s="426"/>
      <c r="NBJ37" s="424"/>
      <c r="NBK37" s="426"/>
      <c r="NBL37" s="424"/>
      <c r="NBM37" s="426"/>
      <c r="NBN37" s="424"/>
      <c r="NBO37" s="426"/>
      <c r="NBP37" s="424"/>
      <c r="NBQ37" s="426"/>
      <c r="NBR37" s="424"/>
      <c r="NBS37" s="426"/>
      <c r="NBT37" s="424"/>
      <c r="NBU37" s="426"/>
      <c r="NBV37" s="424"/>
      <c r="NBW37" s="426"/>
      <c r="NBX37" s="424"/>
      <c r="NBY37" s="426"/>
      <c r="NBZ37" s="424"/>
      <c r="NCA37" s="426"/>
      <c r="NCB37" s="424"/>
      <c r="NCC37" s="426"/>
      <c r="NCD37" s="424"/>
      <c r="NCE37" s="426"/>
      <c r="NCF37" s="424"/>
      <c r="NCG37" s="426"/>
      <c r="NCH37" s="424"/>
      <c r="NCI37" s="426"/>
      <c r="NCJ37" s="424"/>
      <c r="NCK37" s="426"/>
      <c r="NCL37" s="424"/>
      <c r="NCM37" s="426"/>
      <c r="NCN37" s="424"/>
      <c r="NCO37" s="426"/>
      <c r="NCP37" s="424"/>
      <c r="NCQ37" s="426"/>
      <c r="NCR37" s="424"/>
      <c r="NCS37" s="426"/>
      <c r="NCT37" s="424"/>
      <c r="NCU37" s="426"/>
      <c r="NCV37" s="424"/>
      <c r="NCW37" s="426"/>
      <c r="NCX37" s="424"/>
      <c r="NCY37" s="426"/>
      <c r="NCZ37" s="424"/>
      <c r="NDA37" s="426"/>
      <c r="NDB37" s="424"/>
      <c r="NDC37" s="426"/>
      <c r="NDD37" s="424"/>
      <c r="NDE37" s="426"/>
      <c r="NDF37" s="424"/>
      <c r="NDG37" s="426"/>
      <c r="NDH37" s="424"/>
      <c r="NDI37" s="426"/>
      <c r="NDJ37" s="424"/>
      <c r="NDK37" s="426"/>
      <c r="NDL37" s="424"/>
      <c r="NDM37" s="426"/>
      <c r="NDN37" s="424"/>
      <c r="NDO37" s="426"/>
      <c r="NDP37" s="424"/>
      <c r="NDQ37" s="426"/>
      <c r="NDR37" s="424"/>
      <c r="NDS37" s="426"/>
      <c r="NDT37" s="424"/>
      <c r="NDU37" s="426"/>
      <c r="NDV37" s="424"/>
      <c r="NDW37" s="426"/>
      <c r="NDX37" s="424"/>
      <c r="NDY37" s="426"/>
      <c r="NDZ37" s="424"/>
      <c r="NEA37" s="426"/>
      <c r="NEB37" s="424"/>
      <c r="NEC37" s="426"/>
      <c r="NED37" s="424"/>
      <c r="NEE37" s="426"/>
      <c r="NEF37" s="424"/>
      <c r="NEG37" s="426"/>
      <c r="NEH37" s="424"/>
      <c r="NEI37" s="426"/>
      <c r="NEJ37" s="424"/>
      <c r="NEK37" s="426"/>
      <c r="NEL37" s="424"/>
      <c r="NEM37" s="426"/>
      <c r="NEN37" s="424"/>
      <c r="NEO37" s="426"/>
      <c r="NEP37" s="424"/>
      <c r="NEQ37" s="426"/>
      <c r="NER37" s="424"/>
      <c r="NES37" s="426"/>
      <c r="NET37" s="424"/>
      <c r="NEU37" s="426"/>
      <c r="NEV37" s="424"/>
      <c r="NEW37" s="426"/>
      <c r="NEX37" s="424"/>
      <c r="NEY37" s="426"/>
      <c r="NEZ37" s="424"/>
      <c r="NFA37" s="426"/>
      <c r="NFB37" s="424"/>
      <c r="NFC37" s="426"/>
      <c r="NFD37" s="424"/>
      <c r="NFE37" s="426"/>
      <c r="NFF37" s="424"/>
      <c r="NFG37" s="426"/>
      <c r="NFH37" s="424"/>
      <c r="NFI37" s="426"/>
      <c r="NFJ37" s="424"/>
      <c r="NFK37" s="426"/>
      <c r="NFL37" s="424"/>
      <c r="NFM37" s="426"/>
      <c r="NFN37" s="424"/>
      <c r="NFO37" s="426"/>
      <c r="NFP37" s="424"/>
      <c r="NFQ37" s="426"/>
      <c r="NFR37" s="424"/>
      <c r="NFS37" s="426"/>
      <c r="NFT37" s="424"/>
      <c r="NFU37" s="426"/>
      <c r="NFV37" s="424"/>
      <c r="NFW37" s="426"/>
      <c r="NFX37" s="424"/>
      <c r="NFY37" s="426"/>
      <c r="NFZ37" s="424"/>
      <c r="NGA37" s="426"/>
      <c r="NGB37" s="424"/>
      <c r="NGC37" s="426"/>
      <c r="NGD37" s="424"/>
      <c r="NGE37" s="426"/>
      <c r="NGF37" s="424"/>
      <c r="NGG37" s="426"/>
      <c r="NGH37" s="424"/>
      <c r="NGI37" s="426"/>
      <c r="NGJ37" s="424"/>
      <c r="NGK37" s="426"/>
      <c r="NGL37" s="424"/>
      <c r="NGM37" s="426"/>
      <c r="NGN37" s="424"/>
      <c r="NGO37" s="426"/>
      <c r="NGP37" s="424"/>
      <c r="NGQ37" s="426"/>
      <c r="NGR37" s="424"/>
      <c r="NGS37" s="426"/>
      <c r="NGT37" s="424"/>
      <c r="NGU37" s="426"/>
      <c r="NGV37" s="424"/>
      <c r="NGW37" s="426"/>
      <c r="NGX37" s="424"/>
      <c r="NGY37" s="426"/>
      <c r="NGZ37" s="424"/>
      <c r="NHA37" s="426"/>
      <c r="NHB37" s="424"/>
      <c r="NHC37" s="426"/>
      <c r="NHD37" s="424"/>
      <c r="NHE37" s="426"/>
      <c r="NHF37" s="424"/>
      <c r="NHG37" s="426"/>
      <c r="NHH37" s="424"/>
      <c r="NHI37" s="426"/>
      <c r="NHJ37" s="424"/>
      <c r="NHK37" s="426"/>
      <c r="NHL37" s="424"/>
      <c r="NHM37" s="426"/>
      <c r="NHN37" s="424"/>
      <c r="NHO37" s="426"/>
      <c r="NHP37" s="424"/>
      <c r="NHQ37" s="426"/>
      <c r="NHR37" s="424"/>
      <c r="NHS37" s="426"/>
      <c r="NHT37" s="424"/>
      <c r="NHU37" s="426"/>
      <c r="NHV37" s="424"/>
      <c r="NHW37" s="426"/>
      <c r="NHX37" s="424"/>
      <c r="NHY37" s="426"/>
      <c r="NHZ37" s="424"/>
      <c r="NIA37" s="426"/>
      <c r="NIB37" s="424"/>
      <c r="NIC37" s="426"/>
      <c r="NID37" s="424"/>
      <c r="NIE37" s="426"/>
      <c r="NIF37" s="424"/>
      <c r="NIG37" s="426"/>
      <c r="NIH37" s="424"/>
      <c r="NII37" s="426"/>
      <c r="NIJ37" s="424"/>
      <c r="NIK37" s="426"/>
      <c r="NIL37" s="424"/>
      <c r="NIM37" s="426"/>
      <c r="NIN37" s="424"/>
      <c r="NIO37" s="426"/>
      <c r="NIP37" s="424"/>
      <c r="NIQ37" s="426"/>
      <c r="NIR37" s="424"/>
      <c r="NIS37" s="426"/>
      <c r="NIT37" s="424"/>
      <c r="NIU37" s="426"/>
      <c r="NIV37" s="424"/>
      <c r="NIW37" s="426"/>
      <c r="NIX37" s="424"/>
      <c r="NIY37" s="426"/>
      <c r="NIZ37" s="424"/>
      <c r="NJA37" s="426"/>
      <c r="NJB37" s="424"/>
      <c r="NJC37" s="426"/>
      <c r="NJD37" s="424"/>
      <c r="NJE37" s="426"/>
      <c r="NJF37" s="424"/>
      <c r="NJG37" s="426"/>
      <c r="NJH37" s="424"/>
      <c r="NJI37" s="426"/>
      <c r="NJJ37" s="424"/>
      <c r="NJK37" s="426"/>
      <c r="NJL37" s="424"/>
      <c r="NJM37" s="426"/>
      <c r="NJN37" s="424"/>
      <c r="NJO37" s="426"/>
      <c r="NJP37" s="424"/>
      <c r="NJQ37" s="426"/>
      <c r="NJR37" s="424"/>
      <c r="NJS37" s="426"/>
      <c r="NJT37" s="424"/>
      <c r="NJU37" s="426"/>
      <c r="NJV37" s="424"/>
      <c r="NJW37" s="426"/>
      <c r="NJX37" s="424"/>
      <c r="NJY37" s="426"/>
      <c r="NJZ37" s="424"/>
      <c r="NKA37" s="426"/>
      <c r="NKB37" s="424"/>
      <c r="NKC37" s="426"/>
      <c r="NKD37" s="424"/>
      <c r="NKE37" s="426"/>
      <c r="NKF37" s="424"/>
      <c r="NKG37" s="426"/>
      <c r="NKH37" s="424"/>
      <c r="NKI37" s="426"/>
      <c r="NKJ37" s="424"/>
      <c r="NKK37" s="426"/>
      <c r="NKL37" s="424"/>
      <c r="NKM37" s="426"/>
      <c r="NKN37" s="424"/>
      <c r="NKO37" s="426"/>
      <c r="NKP37" s="424"/>
      <c r="NKQ37" s="426"/>
      <c r="NKR37" s="424"/>
      <c r="NKS37" s="426"/>
      <c r="NKT37" s="424"/>
      <c r="NKU37" s="426"/>
      <c r="NKV37" s="424"/>
      <c r="NKW37" s="426"/>
      <c r="NKX37" s="424"/>
      <c r="NKY37" s="426"/>
      <c r="NKZ37" s="424"/>
      <c r="NLA37" s="426"/>
      <c r="NLB37" s="424"/>
      <c r="NLC37" s="426"/>
      <c r="NLD37" s="424"/>
      <c r="NLE37" s="426"/>
      <c r="NLF37" s="424"/>
      <c r="NLG37" s="426"/>
      <c r="NLH37" s="424"/>
      <c r="NLI37" s="426"/>
      <c r="NLJ37" s="424"/>
      <c r="NLK37" s="426"/>
      <c r="NLL37" s="424"/>
      <c r="NLM37" s="426"/>
      <c r="NLN37" s="424"/>
      <c r="NLO37" s="426"/>
      <c r="NLP37" s="424"/>
      <c r="NLQ37" s="426"/>
      <c r="NLR37" s="424"/>
      <c r="NLS37" s="426"/>
      <c r="NLT37" s="424"/>
      <c r="NLU37" s="426"/>
      <c r="NLV37" s="424"/>
      <c r="NLW37" s="426"/>
      <c r="NLX37" s="424"/>
      <c r="NLY37" s="426"/>
      <c r="NLZ37" s="424"/>
      <c r="NMA37" s="426"/>
      <c r="NMB37" s="424"/>
      <c r="NMC37" s="426"/>
      <c r="NMD37" s="424"/>
      <c r="NME37" s="426"/>
      <c r="NMF37" s="424"/>
      <c r="NMG37" s="426"/>
      <c r="NMH37" s="424"/>
      <c r="NMI37" s="426"/>
      <c r="NMJ37" s="424"/>
      <c r="NMK37" s="426"/>
      <c r="NML37" s="424"/>
      <c r="NMM37" s="426"/>
      <c r="NMN37" s="424"/>
      <c r="NMO37" s="426"/>
      <c r="NMP37" s="424"/>
      <c r="NMQ37" s="426"/>
      <c r="NMR37" s="424"/>
      <c r="NMS37" s="426"/>
      <c r="NMT37" s="424"/>
      <c r="NMU37" s="426"/>
      <c r="NMV37" s="424"/>
      <c r="NMW37" s="426"/>
      <c r="NMX37" s="424"/>
      <c r="NMY37" s="426"/>
      <c r="NMZ37" s="424"/>
      <c r="NNA37" s="426"/>
      <c r="NNB37" s="424"/>
      <c r="NNC37" s="426"/>
      <c r="NND37" s="424"/>
      <c r="NNE37" s="426"/>
      <c r="NNF37" s="424"/>
      <c r="NNG37" s="426"/>
      <c r="NNH37" s="424"/>
      <c r="NNI37" s="426"/>
      <c r="NNJ37" s="424"/>
      <c r="NNK37" s="426"/>
      <c r="NNL37" s="424"/>
      <c r="NNM37" s="426"/>
      <c r="NNN37" s="424"/>
      <c r="NNO37" s="426"/>
      <c r="NNP37" s="424"/>
      <c r="NNQ37" s="426"/>
      <c r="NNR37" s="424"/>
      <c r="NNS37" s="426"/>
      <c r="NNT37" s="424"/>
      <c r="NNU37" s="426"/>
      <c r="NNV37" s="424"/>
      <c r="NNW37" s="426"/>
      <c r="NNX37" s="424"/>
      <c r="NNY37" s="426"/>
      <c r="NNZ37" s="424"/>
      <c r="NOA37" s="426"/>
      <c r="NOB37" s="424"/>
      <c r="NOC37" s="426"/>
      <c r="NOD37" s="424"/>
      <c r="NOE37" s="426"/>
      <c r="NOF37" s="424"/>
      <c r="NOG37" s="426"/>
      <c r="NOH37" s="424"/>
      <c r="NOI37" s="426"/>
      <c r="NOJ37" s="424"/>
      <c r="NOK37" s="426"/>
      <c r="NOL37" s="424"/>
      <c r="NOM37" s="426"/>
      <c r="NON37" s="424"/>
      <c r="NOO37" s="426"/>
      <c r="NOP37" s="424"/>
      <c r="NOQ37" s="426"/>
      <c r="NOR37" s="424"/>
      <c r="NOS37" s="426"/>
      <c r="NOT37" s="424"/>
      <c r="NOU37" s="426"/>
      <c r="NOV37" s="424"/>
      <c r="NOW37" s="426"/>
      <c r="NOX37" s="424"/>
      <c r="NOY37" s="426"/>
      <c r="NOZ37" s="424"/>
      <c r="NPA37" s="426"/>
      <c r="NPB37" s="424"/>
      <c r="NPC37" s="426"/>
      <c r="NPD37" s="424"/>
      <c r="NPE37" s="426"/>
      <c r="NPF37" s="424"/>
      <c r="NPG37" s="426"/>
      <c r="NPH37" s="424"/>
      <c r="NPI37" s="426"/>
      <c r="NPJ37" s="424"/>
      <c r="NPK37" s="426"/>
      <c r="NPL37" s="424"/>
      <c r="NPM37" s="426"/>
      <c r="NPN37" s="424"/>
      <c r="NPO37" s="426"/>
      <c r="NPP37" s="424"/>
      <c r="NPQ37" s="426"/>
      <c r="NPR37" s="424"/>
      <c r="NPS37" s="426"/>
      <c r="NPT37" s="424"/>
      <c r="NPU37" s="426"/>
      <c r="NPV37" s="424"/>
      <c r="NPW37" s="426"/>
      <c r="NPX37" s="424"/>
      <c r="NPY37" s="426"/>
      <c r="NPZ37" s="424"/>
      <c r="NQA37" s="426"/>
      <c r="NQB37" s="424"/>
      <c r="NQC37" s="426"/>
      <c r="NQD37" s="424"/>
      <c r="NQE37" s="426"/>
      <c r="NQF37" s="424"/>
      <c r="NQG37" s="426"/>
      <c r="NQH37" s="424"/>
      <c r="NQI37" s="426"/>
      <c r="NQJ37" s="424"/>
      <c r="NQK37" s="426"/>
      <c r="NQL37" s="424"/>
      <c r="NQM37" s="426"/>
      <c r="NQN37" s="424"/>
      <c r="NQO37" s="426"/>
      <c r="NQP37" s="424"/>
      <c r="NQQ37" s="426"/>
      <c r="NQR37" s="424"/>
      <c r="NQS37" s="426"/>
      <c r="NQT37" s="424"/>
      <c r="NQU37" s="426"/>
      <c r="NQV37" s="424"/>
      <c r="NQW37" s="426"/>
      <c r="NQX37" s="424"/>
      <c r="NQY37" s="426"/>
      <c r="NQZ37" s="424"/>
      <c r="NRA37" s="426"/>
      <c r="NRB37" s="424"/>
      <c r="NRC37" s="426"/>
      <c r="NRD37" s="424"/>
      <c r="NRE37" s="426"/>
      <c r="NRF37" s="424"/>
      <c r="NRG37" s="426"/>
      <c r="NRH37" s="424"/>
      <c r="NRI37" s="426"/>
      <c r="NRJ37" s="424"/>
      <c r="NRK37" s="426"/>
      <c r="NRL37" s="424"/>
      <c r="NRM37" s="426"/>
      <c r="NRN37" s="424"/>
      <c r="NRO37" s="426"/>
      <c r="NRP37" s="424"/>
      <c r="NRQ37" s="426"/>
      <c r="NRR37" s="424"/>
      <c r="NRS37" s="426"/>
      <c r="NRT37" s="424"/>
      <c r="NRU37" s="426"/>
      <c r="NRV37" s="424"/>
      <c r="NRW37" s="426"/>
      <c r="NRX37" s="424"/>
      <c r="NRY37" s="426"/>
      <c r="NRZ37" s="424"/>
      <c r="NSA37" s="426"/>
      <c r="NSB37" s="424"/>
      <c r="NSC37" s="426"/>
      <c r="NSD37" s="424"/>
      <c r="NSE37" s="426"/>
      <c r="NSF37" s="424"/>
      <c r="NSG37" s="426"/>
      <c r="NSH37" s="424"/>
      <c r="NSI37" s="426"/>
      <c r="NSJ37" s="424"/>
      <c r="NSK37" s="426"/>
      <c r="NSL37" s="424"/>
      <c r="NSM37" s="426"/>
      <c r="NSN37" s="424"/>
      <c r="NSO37" s="426"/>
      <c r="NSP37" s="424"/>
      <c r="NSQ37" s="426"/>
      <c r="NSR37" s="424"/>
      <c r="NSS37" s="426"/>
      <c r="NST37" s="424"/>
      <c r="NSU37" s="426"/>
      <c r="NSV37" s="424"/>
      <c r="NSW37" s="426"/>
      <c r="NSX37" s="424"/>
      <c r="NSY37" s="426"/>
      <c r="NSZ37" s="424"/>
      <c r="NTA37" s="426"/>
      <c r="NTB37" s="424"/>
      <c r="NTC37" s="426"/>
      <c r="NTD37" s="424"/>
      <c r="NTE37" s="426"/>
      <c r="NTF37" s="424"/>
      <c r="NTG37" s="426"/>
      <c r="NTH37" s="424"/>
      <c r="NTI37" s="426"/>
      <c r="NTJ37" s="424"/>
      <c r="NTK37" s="426"/>
      <c r="NTL37" s="424"/>
      <c r="NTM37" s="426"/>
      <c r="NTN37" s="424"/>
      <c r="NTO37" s="426"/>
      <c r="NTP37" s="424"/>
      <c r="NTQ37" s="426"/>
      <c r="NTR37" s="424"/>
      <c r="NTS37" s="426"/>
      <c r="NTT37" s="424"/>
      <c r="NTU37" s="426"/>
      <c r="NTV37" s="424"/>
      <c r="NTW37" s="426"/>
      <c r="NTX37" s="424"/>
      <c r="NTY37" s="426"/>
      <c r="NTZ37" s="424"/>
      <c r="NUA37" s="426"/>
      <c r="NUB37" s="424"/>
      <c r="NUC37" s="426"/>
      <c r="NUD37" s="424"/>
      <c r="NUE37" s="426"/>
      <c r="NUF37" s="424"/>
      <c r="NUG37" s="426"/>
      <c r="NUH37" s="424"/>
      <c r="NUI37" s="426"/>
      <c r="NUJ37" s="424"/>
      <c r="NUK37" s="426"/>
      <c r="NUL37" s="424"/>
      <c r="NUM37" s="426"/>
      <c r="NUN37" s="424"/>
      <c r="NUO37" s="426"/>
      <c r="NUP37" s="424"/>
      <c r="NUQ37" s="426"/>
      <c r="NUR37" s="424"/>
      <c r="NUS37" s="426"/>
      <c r="NUT37" s="424"/>
      <c r="NUU37" s="426"/>
      <c r="NUV37" s="424"/>
      <c r="NUW37" s="426"/>
      <c r="NUX37" s="424"/>
      <c r="NUY37" s="426"/>
      <c r="NUZ37" s="424"/>
      <c r="NVA37" s="426"/>
      <c r="NVB37" s="424"/>
      <c r="NVC37" s="426"/>
      <c r="NVD37" s="424"/>
      <c r="NVE37" s="426"/>
      <c r="NVF37" s="424"/>
      <c r="NVG37" s="426"/>
      <c r="NVH37" s="424"/>
      <c r="NVI37" s="426"/>
      <c r="NVJ37" s="424"/>
      <c r="NVK37" s="426"/>
      <c r="NVL37" s="424"/>
      <c r="NVM37" s="426"/>
      <c r="NVN37" s="424"/>
      <c r="NVO37" s="426"/>
      <c r="NVP37" s="424"/>
      <c r="NVQ37" s="426"/>
      <c r="NVR37" s="424"/>
      <c r="NVS37" s="426"/>
      <c r="NVT37" s="424"/>
      <c r="NVU37" s="426"/>
      <c r="NVV37" s="424"/>
      <c r="NVW37" s="426"/>
      <c r="NVX37" s="424"/>
      <c r="NVY37" s="426"/>
      <c r="NVZ37" s="424"/>
      <c r="NWA37" s="426"/>
      <c r="NWB37" s="424"/>
      <c r="NWC37" s="426"/>
      <c r="NWD37" s="424"/>
      <c r="NWE37" s="426"/>
      <c r="NWF37" s="424"/>
      <c r="NWG37" s="426"/>
      <c r="NWH37" s="424"/>
      <c r="NWI37" s="426"/>
      <c r="NWJ37" s="424"/>
      <c r="NWK37" s="426"/>
      <c r="NWL37" s="424"/>
      <c r="NWM37" s="426"/>
      <c r="NWN37" s="424"/>
      <c r="NWO37" s="426"/>
      <c r="NWP37" s="424"/>
      <c r="NWQ37" s="426"/>
      <c r="NWR37" s="424"/>
      <c r="NWS37" s="426"/>
      <c r="NWT37" s="424"/>
      <c r="NWU37" s="426"/>
      <c r="NWV37" s="424"/>
      <c r="NWW37" s="426"/>
      <c r="NWX37" s="424"/>
      <c r="NWY37" s="426"/>
      <c r="NWZ37" s="424"/>
      <c r="NXA37" s="426"/>
      <c r="NXB37" s="424"/>
      <c r="NXC37" s="426"/>
      <c r="NXD37" s="424"/>
      <c r="NXE37" s="426"/>
      <c r="NXF37" s="424"/>
      <c r="NXG37" s="426"/>
      <c r="NXH37" s="424"/>
      <c r="NXI37" s="426"/>
      <c r="NXJ37" s="424"/>
      <c r="NXK37" s="426"/>
      <c r="NXL37" s="424"/>
      <c r="NXM37" s="426"/>
      <c r="NXN37" s="424"/>
      <c r="NXO37" s="426"/>
      <c r="NXP37" s="424"/>
      <c r="NXQ37" s="426"/>
      <c r="NXR37" s="424"/>
      <c r="NXS37" s="426"/>
      <c r="NXT37" s="424"/>
      <c r="NXU37" s="426"/>
      <c r="NXV37" s="424"/>
      <c r="NXW37" s="426"/>
      <c r="NXX37" s="424"/>
      <c r="NXY37" s="426"/>
      <c r="NXZ37" s="424"/>
      <c r="NYA37" s="426"/>
      <c r="NYB37" s="424"/>
      <c r="NYC37" s="426"/>
      <c r="NYD37" s="424"/>
      <c r="NYE37" s="426"/>
      <c r="NYF37" s="424"/>
      <c r="NYG37" s="426"/>
      <c r="NYH37" s="424"/>
      <c r="NYI37" s="426"/>
      <c r="NYJ37" s="424"/>
      <c r="NYK37" s="426"/>
      <c r="NYL37" s="424"/>
      <c r="NYM37" s="426"/>
      <c r="NYN37" s="424"/>
      <c r="NYO37" s="426"/>
      <c r="NYP37" s="424"/>
      <c r="NYQ37" s="426"/>
      <c r="NYR37" s="424"/>
      <c r="NYS37" s="426"/>
      <c r="NYT37" s="424"/>
      <c r="NYU37" s="426"/>
      <c r="NYV37" s="424"/>
      <c r="NYW37" s="426"/>
      <c r="NYX37" s="424"/>
      <c r="NYY37" s="426"/>
      <c r="NYZ37" s="424"/>
      <c r="NZA37" s="426"/>
      <c r="NZB37" s="424"/>
      <c r="NZC37" s="426"/>
      <c r="NZD37" s="424"/>
      <c r="NZE37" s="426"/>
      <c r="NZF37" s="424"/>
      <c r="NZG37" s="426"/>
      <c r="NZH37" s="424"/>
      <c r="NZI37" s="426"/>
      <c r="NZJ37" s="424"/>
      <c r="NZK37" s="426"/>
      <c r="NZL37" s="424"/>
      <c r="NZM37" s="426"/>
      <c r="NZN37" s="424"/>
      <c r="NZO37" s="426"/>
      <c r="NZP37" s="424"/>
      <c r="NZQ37" s="426"/>
      <c r="NZR37" s="424"/>
      <c r="NZS37" s="426"/>
      <c r="NZT37" s="424"/>
      <c r="NZU37" s="426"/>
      <c r="NZV37" s="424"/>
      <c r="NZW37" s="426"/>
      <c r="NZX37" s="424"/>
      <c r="NZY37" s="426"/>
      <c r="NZZ37" s="424"/>
      <c r="OAA37" s="426"/>
      <c r="OAB37" s="424"/>
      <c r="OAC37" s="426"/>
      <c r="OAD37" s="424"/>
      <c r="OAE37" s="426"/>
      <c r="OAF37" s="424"/>
      <c r="OAG37" s="426"/>
      <c r="OAH37" s="424"/>
      <c r="OAI37" s="426"/>
      <c r="OAJ37" s="424"/>
      <c r="OAK37" s="426"/>
      <c r="OAL37" s="424"/>
      <c r="OAM37" s="426"/>
      <c r="OAN37" s="424"/>
      <c r="OAO37" s="426"/>
      <c r="OAP37" s="424"/>
      <c r="OAQ37" s="426"/>
      <c r="OAR37" s="424"/>
      <c r="OAS37" s="426"/>
      <c r="OAT37" s="424"/>
      <c r="OAU37" s="426"/>
      <c r="OAV37" s="424"/>
      <c r="OAW37" s="426"/>
      <c r="OAX37" s="424"/>
      <c r="OAY37" s="426"/>
      <c r="OAZ37" s="424"/>
      <c r="OBA37" s="426"/>
      <c r="OBB37" s="424"/>
      <c r="OBC37" s="426"/>
      <c r="OBD37" s="424"/>
      <c r="OBE37" s="426"/>
      <c r="OBF37" s="424"/>
      <c r="OBG37" s="426"/>
      <c r="OBH37" s="424"/>
      <c r="OBI37" s="426"/>
      <c r="OBJ37" s="424"/>
      <c r="OBK37" s="426"/>
      <c r="OBL37" s="424"/>
      <c r="OBM37" s="426"/>
      <c r="OBN37" s="424"/>
      <c r="OBO37" s="426"/>
      <c r="OBP37" s="424"/>
      <c r="OBQ37" s="426"/>
      <c r="OBR37" s="424"/>
      <c r="OBS37" s="426"/>
      <c r="OBT37" s="424"/>
      <c r="OBU37" s="426"/>
      <c r="OBV37" s="424"/>
      <c r="OBW37" s="426"/>
      <c r="OBX37" s="424"/>
      <c r="OBY37" s="426"/>
      <c r="OBZ37" s="424"/>
      <c r="OCA37" s="426"/>
      <c r="OCB37" s="424"/>
      <c r="OCC37" s="426"/>
      <c r="OCD37" s="424"/>
      <c r="OCE37" s="426"/>
      <c r="OCF37" s="424"/>
      <c r="OCG37" s="426"/>
      <c r="OCH37" s="424"/>
      <c r="OCI37" s="426"/>
      <c r="OCJ37" s="424"/>
      <c r="OCK37" s="426"/>
      <c r="OCL37" s="424"/>
      <c r="OCM37" s="426"/>
      <c r="OCN37" s="424"/>
      <c r="OCO37" s="426"/>
      <c r="OCP37" s="424"/>
      <c r="OCQ37" s="426"/>
      <c r="OCR37" s="424"/>
      <c r="OCS37" s="426"/>
      <c r="OCT37" s="424"/>
      <c r="OCU37" s="426"/>
      <c r="OCV37" s="424"/>
      <c r="OCW37" s="426"/>
      <c r="OCX37" s="424"/>
      <c r="OCY37" s="426"/>
      <c r="OCZ37" s="424"/>
      <c r="ODA37" s="426"/>
      <c r="ODB37" s="424"/>
      <c r="ODC37" s="426"/>
      <c r="ODD37" s="424"/>
      <c r="ODE37" s="426"/>
      <c r="ODF37" s="424"/>
      <c r="ODG37" s="426"/>
      <c r="ODH37" s="424"/>
      <c r="ODI37" s="426"/>
      <c r="ODJ37" s="424"/>
      <c r="ODK37" s="426"/>
      <c r="ODL37" s="424"/>
      <c r="ODM37" s="426"/>
      <c r="ODN37" s="424"/>
      <c r="ODO37" s="426"/>
      <c r="ODP37" s="424"/>
      <c r="ODQ37" s="426"/>
      <c r="ODR37" s="424"/>
      <c r="ODS37" s="426"/>
      <c r="ODT37" s="424"/>
      <c r="ODU37" s="426"/>
      <c r="ODV37" s="424"/>
      <c r="ODW37" s="426"/>
      <c r="ODX37" s="424"/>
      <c r="ODY37" s="426"/>
      <c r="ODZ37" s="424"/>
      <c r="OEA37" s="426"/>
      <c r="OEB37" s="424"/>
      <c r="OEC37" s="426"/>
      <c r="OED37" s="424"/>
      <c r="OEE37" s="426"/>
      <c r="OEF37" s="424"/>
      <c r="OEG37" s="426"/>
      <c r="OEH37" s="424"/>
      <c r="OEI37" s="426"/>
      <c r="OEJ37" s="424"/>
      <c r="OEK37" s="426"/>
      <c r="OEL37" s="424"/>
      <c r="OEM37" s="426"/>
      <c r="OEN37" s="424"/>
      <c r="OEO37" s="426"/>
      <c r="OEP37" s="424"/>
      <c r="OEQ37" s="426"/>
      <c r="OER37" s="424"/>
      <c r="OES37" s="426"/>
      <c r="OET37" s="424"/>
      <c r="OEU37" s="426"/>
      <c r="OEV37" s="424"/>
      <c r="OEW37" s="426"/>
      <c r="OEX37" s="424"/>
      <c r="OEY37" s="426"/>
      <c r="OEZ37" s="424"/>
      <c r="OFA37" s="426"/>
      <c r="OFB37" s="424"/>
      <c r="OFC37" s="426"/>
      <c r="OFD37" s="424"/>
      <c r="OFE37" s="426"/>
      <c r="OFF37" s="424"/>
      <c r="OFG37" s="426"/>
      <c r="OFH37" s="424"/>
      <c r="OFI37" s="426"/>
      <c r="OFJ37" s="424"/>
      <c r="OFK37" s="426"/>
      <c r="OFL37" s="424"/>
      <c r="OFM37" s="426"/>
      <c r="OFN37" s="424"/>
      <c r="OFO37" s="426"/>
      <c r="OFP37" s="424"/>
      <c r="OFQ37" s="426"/>
      <c r="OFR37" s="424"/>
      <c r="OFS37" s="426"/>
      <c r="OFT37" s="424"/>
      <c r="OFU37" s="426"/>
      <c r="OFV37" s="424"/>
      <c r="OFW37" s="426"/>
      <c r="OFX37" s="424"/>
      <c r="OFY37" s="426"/>
      <c r="OFZ37" s="424"/>
      <c r="OGA37" s="426"/>
      <c r="OGB37" s="424"/>
      <c r="OGC37" s="426"/>
      <c r="OGD37" s="424"/>
      <c r="OGE37" s="426"/>
      <c r="OGF37" s="424"/>
      <c r="OGG37" s="426"/>
      <c r="OGH37" s="424"/>
      <c r="OGI37" s="426"/>
      <c r="OGJ37" s="424"/>
      <c r="OGK37" s="426"/>
      <c r="OGL37" s="424"/>
      <c r="OGM37" s="426"/>
      <c r="OGN37" s="424"/>
      <c r="OGO37" s="426"/>
      <c r="OGP37" s="424"/>
      <c r="OGQ37" s="426"/>
      <c r="OGR37" s="424"/>
      <c r="OGS37" s="426"/>
      <c r="OGT37" s="424"/>
      <c r="OGU37" s="426"/>
      <c r="OGV37" s="424"/>
      <c r="OGW37" s="426"/>
      <c r="OGX37" s="424"/>
      <c r="OGY37" s="426"/>
      <c r="OGZ37" s="424"/>
      <c r="OHA37" s="426"/>
      <c r="OHB37" s="424"/>
      <c r="OHC37" s="426"/>
      <c r="OHD37" s="424"/>
      <c r="OHE37" s="426"/>
      <c r="OHF37" s="424"/>
      <c r="OHG37" s="426"/>
      <c r="OHH37" s="424"/>
      <c r="OHI37" s="426"/>
      <c r="OHJ37" s="424"/>
      <c r="OHK37" s="426"/>
      <c r="OHL37" s="424"/>
      <c r="OHM37" s="426"/>
      <c r="OHN37" s="424"/>
      <c r="OHO37" s="426"/>
      <c r="OHP37" s="424"/>
      <c r="OHQ37" s="426"/>
      <c r="OHR37" s="424"/>
      <c r="OHS37" s="426"/>
      <c r="OHT37" s="424"/>
      <c r="OHU37" s="426"/>
      <c r="OHV37" s="424"/>
      <c r="OHW37" s="426"/>
      <c r="OHX37" s="424"/>
      <c r="OHY37" s="426"/>
      <c r="OHZ37" s="424"/>
      <c r="OIA37" s="426"/>
      <c r="OIB37" s="424"/>
      <c r="OIC37" s="426"/>
      <c r="OID37" s="424"/>
      <c r="OIE37" s="426"/>
      <c r="OIF37" s="424"/>
      <c r="OIG37" s="426"/>
      <c r="OIH37" s="424"/>
      <c r="OII37" s="426"/>
      <c r="OIJ37" s="424"/>
      <c r="OIK37" s="426"/>
      <c r="OIL37" s="424"/>
      <c r="OIM37" s="426"/>
      <c r="OIN37" s="424"/>
      <c r="OIO37" s="426"/>
      <c r="OIP37" s="424"/>
      <c r="OIQ37" s="426"/>
      <c r="OIR37" s="424"/>
      <c r="OIS37" s="426"/>
      <c r="OIT37" s="424"/>
      <c r="OIU37" s="426"/>
      <c r="OIV37" s="424"/>
      <c r="OIW37" s="426"/>
      <c r="OIX37" s="424"/>
      <c r="OIY37" s="426"/>
      <c r="OIZ37" s="424"/>
      <c r="OJA37" s="426"/>
      <c r="OJB37" s="424"/>
      <c r="OJC37" s="426"/>
      <c r="OJD37" s="424"/>
      <c r="OJE37" s="426"/>
      <c r="OJF37" s="424"/>
      <c r="OJG37" s="426"/>
      <c r="OJH37" s="424"/>
      <c r="OJI37" s="426"/>
      <c r="OJJ37" s="424"/>
      <c r="OJK37" s="426"/>
      <c r="OJL37" s="424"/>
      <c r="OJM37" s="426"/>
      <c r="OJN37" s="424"/>
      <c r="OJO37" s="426"/>
      <c r="OJP37" s="424"/>
      <c r="OJQ37" s="426"/>
      <c r="OJR37" s="424"/>
      <c r="OJS37" s="426"/>
      <c r="OJT37" s="424"/>
      <c r="OJU37" s="426"/>
      <c r="OJV37" s="424"/>
      <c r="OJW37" s="426"/>
      <c r="OJX37" s="424"/>
      <c r="OJY37" s="426"/>
      <c r="OJZ37" s="424"/>
      <c r="OKA37" s="426"/>
      <c r="OKB37" s="424"/>
      <c r="OKC37" s="426"/>
      <c r="OKD37" s="424"/>
      <c r="OKE37" s="426"/>
      <c r="OKF37" s="424"/>
      <c r="OKG37" s="426"/>
      <c r="OKH37" s="424"/>
      <c r="OKI37" s="426"/>
      <c r="OKJ37" s="424"/>
      <c r="OKK37" s="426"/>
      <c r="OKL37" s="424"/>
      <c r="OKM37" s="426"/>
      <c r="OKN37" s="424"/>
      <c r="OKO37" s="426"/>
      <c r="OKP37" s="424"/>
      <c r="OKQ37" s="426"/>
      <c r="OKR37" s="424"/>
      <c r="OKS37" s="426"/>
      <c r="OKT37" s="424"/>
      <c r="OKU37" s="426"/>
      <c r="OKV37" s="424"/>
      <c r="OKW37" s="426"/>
      <c r="OKX37" s="424"/>
      <c r="OKY37" s="426"/>
      <c r="OKZ37" s="424"/>
      <c r="OLA37" s="426"/>
      <c r="OLB37" s="424"/>
      <c r="OLC37" s="426"/>
      <c r="OLD37" s="424"/>
      <c r="OLE37" s="426"/>
      <c r="OLF37" s="424"/>
      <c r="OLG37" s="426"/>
      <c r="OLH37" s="424"/>
      <c r="OLI37" s="426"/>
      <c r="OLJ37" s="424"/>
      <c r="OLK37" s="426"/>
      <c r="OLL37" s="424"/>
      <c r="OLM37" s="426"/>
      <c r="OLN37" s="424"/>
      <c r="OLO37" s="426"/>
      <c r="OLP37" s="424"/>
      <c r="OLQ37" s="426"/>
      <c r="OLR37" s="424"/>
      <c r="OLS37" s="426"/>
      <c r="OLT37" s="424"/>
      <c r="OLU37" s="426"/>
      <c r="OLV37" s="424"/>
      <c r="OLW37" s="426"/>
      <c r="OLX37" s="424"/>
      <c r="OLY37" s="426"/>
      <c r="OLZ37" s="424"/>
      <c r="OMA37" s="426"/>
      <c r="OMB37" s="424"/>
      <c r="OMC37" s="426"/>
      <c r="OMD37" s="424"/>
      <c r="OME37" s="426"/>
      <c r="OMF37" s="424"/>
      <c r="OMG37" s="426"/>
      <c r="OMH37" s="424"/>
      <c r="OMI37" s="426"/>
      <c r="OMJ37" s="424"/>
      <c r="OMK37" s="426"/>
      <c r="OML37" s="424"/>
      <c r="OMM37" s="426"/>
      <c r="OMN37" s="424"/>
      <c r="OMO37" s="426"/>
      <c r="OMP37" s="424"/>
      <c r="OMQ37" s="426"/>
      <c r="OMR37" s="424"/>
      <c r="OMS37" s="426"/>
      <c r="OMT37" s="424"/>
      <c r="OMU37" s="426"/>
      <c r="OMV37" s="424"/>
      <c r="OMW37" s="426"/>
      <c r="OMX37" s="424"/>
      <c r="OMY37" s="426"/>
      <c r="OMZ37" s="424"/>
      <c r="ONA37" s="426"/>
      <c r="ONB37" s="424"/>
      <c r="ONC37" s="426"/>
      <c r="OND37" s="424"/>
      <c r="ONE37" s="426"/>
      <c r="ONF37" s="424"/>
      <c r="ONG37" s="426"/>
      <c r="ONH37" s="424"/>
      <c r="ONI37" s="426"/>
      <c r="ONJ37" s="424"/>
      <c r="ONK37" s="426"/>
      <c r="ONL37" s="424"/>
      <c r="ONM37" s="426"/>
      <c r="ONN37" s="424"/>
      <c r="ONO37" s="426"/>
      <c r="ONP37" s="424"/>
      <c r="ONQ37" s="426"/>
      <c r="ONR37" s="424"/>
      <c r="ONS37" s="426"/>
      <c r="ONT37" s="424"/>
      <c r="ONU37" s="426"/>
      <c r="ONV37" s="424"/>
      <c r="ONW37" s="426"/>
      <c r="ONX37" s="424"/>
      <c r="ONY37" s="426"/>
      <c r="ONZ37" s="424"/>
      <c r="OOA37" s="426"/>
      <c r="OOB37" s="424"/>
      <c r="OOC37" s="426"/>
      <c r="OOD37" s="424"/>
      <c r="OOE37" s="426"/>
      <c r="OOF37" s="424"/>
      <c r="OOG37" s="426"/>
      <c r="OOH37" s="424"/>
      <c r="OOI37" s="426"/>
      <c r="OOJ37" s="424"/>
      <c r="OOK37" s="426"/>
      <c r="OOL37" s="424"/>
      <c r="OOM37" s="426"/>
      <c r="OON37" s="424"/>
      <c r="OOO37" s="426"/>
      <c r="OOP37" s="424"/>
      <c r="OOQ37" s="426"/>
      <c r="OOR37" s="424"/>
      <c r="OOS37" s="426"/>
      <c r="OOT37" s="424"/>
      <c r="OOU37" s="426"/>
      <c r="OOV37" s="424"/>
      <c r="OOW37" s="426"/>
      <c r="OOX37" s="424"/>
      <c r="OOY37" s="426"/>
      <c r="OOZ37" s="424"/>
      <c r="OPA37" s="426"/>
      <c r="OPB37" s="424"/>
      <c r="OPC37" s="426"/>
      <c r="OPD37" s="424"/>
      <c r="OPE37" s="426"/>
      <c r="OPF37" s="424"/>
      <c r="OPG37" s="426"/>
      <c r="OPH37" s="424"/>
      <c r="OPI37" s="426"/>
      <c r="OPJ37" s="424"/>
      <c r="OPK37" s="426"/>
      <c r="OPL37" s="424"/>
      <c r="OPM37" s="426"/>
      <c r="OPN37" s="424"/>
      <c r="OPO37" s="426"/>
      <c r="OPP37" s="424"/>
      <c r="OPQ37" s="426"/>
      <c r="OPR37" s="424"/>
      <c r="OPS37" s="426"/>
      <c r="OPT37" s="424"/>
      <c r="OPU37" s="426"/>
      <c r="OPV37" s="424"/>
      <c r="OPW37" s="426"/>
      <c r="OPX37" s="424"/>
      <c r="OPY37" s="426"/>
      <c r="OPZ37" s="424"/>
      <c r="OQA37" s="426"/>
      <c r="OQB37" s="424"/>
      <c r="OQC37" s="426"/>
      <c r="OQD37" s="424"/>
      <c r="OQE37" s="426"/>
      <c r="OQF37" s="424"/>
      <c r="OQG37" s="426"/>
      <c r="OQH37" s="424"/>
      <c r="OQI37" s="426"/>
      <c r="OQJ37" s="424"/>
      <c r="OQK37" s="426"/>
      <c r="OQL37" s="424"/>
      <c r="OQM37" s="426"/>
      <c r="OQN37" s="424"/>
      <c r="OQO37" s="426"/>
      <c r="OQP37" s="424"/>
      <c r="OQQ37" s="426"/>
      <c r="OQR37" s="424"/>
      <c r="OQS37" s="426"/>
      <c r="OQT37" s="424"/>
      <c r="OQU37" s="426"/>
      <c r="OQV37" s="424"/>
      <c r="OQW37" s="426"/>
      <c r="OQX37" s="424"/>
      <c r="OQY37" s="426"/>
      <c r="OQZ37" s="424"/>
      <c r="ORA37" s="426"/>
      <c r="ORB37" s="424"/>
      <c r="ORC37" s="426"/>
      <c r="ORD37" s="424"/>
      <c r="ORE37" s="426"/>
      <c r="ORF37" s="424"/>
      <c r="ORG37" s="426"/>
      <c r="ORH37" s="424"/>
      <c r="ORI37" s="426"/>
      <c r="ORJ37" s="424"/>
      <c r="ORK37" s="426"/>
      <c r="ORL37" s="424"/>
      <c r="ORM37" s="426"/>
      <c r="ORN37" s="424"/>
      <c r="ORO37" s="426"/>
      <c r="ORP37" s="424"/>
      <c r="ORQ37" s="426"/>
      <c r="ORR37" s="424"/>
      <c r="ORS37" s="426"/>
      <c r="ORT37" s="424"/>
      <c r="ORU37" s="426"/>
      <c r="ORV37" s="424"/>
      <c r="ORW37" s="426"/>
      <c r="ORX37" s="424"/>
      <c r="ORY37" s="426"/>
      <c r="ORZ37" s="424"/>
      <c r="OSA37" s="426"/>
      <c r="OSB37" s="424"/>
      <c r="OSC37" s="426"/>
      <c r="OSD37" s="424"/>
      <c r="OSE37" s="426"/>
      <c r="OSF37" s="424"/>
      <c r="OSG37" s="426"/>
      <c r="OSH37" s="424"/>
      <c r="OSI37" s="426"/>
      <c r="OSJ37" s="424"/>
      <c r="OSK37" s="426"/>
      <c r="OSL37" s="424"/>
      <c r="OSM37" s="426"/>
      <c r="OSN37" s="424"/>
      <c r="OSO37" s="426"/>
      <c r="OSP37" s="424"/>
      <c r="OSQ37" s="426"/>
      <c r="OSR37" s="424"/>
      <c r="OSS37" s="426"/>
      <c r="OST37" s="424"/>
      <c r="OSU37" s="426"/>
      <c r="OSV37" s="424"/>
      <c r="OSW37" s="426"/>
      <c r="OSX37" s="424"/>
      <c r="OSY37" s="426"/>
      <c r="OSZ37" s="424"/>
      <c r="OTA37" s="426"/>
      <c r="OTB37" s="424"/>
      <c r="OTC37" s="426"/>
      <c r="OTD37" s="424"/>
      <c r="OTE37" s="426"/>
      <c r="OTF37" s="424"/>
      <c r="OTG37" s="426"/>
      <c r="OTH37" s="424"/>
      <c r="OTI37" s="426"/>
      <c r="OTJ37" s="424"/>
      <c r="OTK37" s="426"/>
      <c r="OTL37" s="424"/>
      <c r="OTM37" s="426"/>
      <c r="OTN37" s="424"/>
      <c r="OTO37" s="426"/>
      <c r="OTP37" s="424"/>
      <c r="OTQ37" s="426"/>
      <c r="OTR37" s="424"/>
      <c r="OTS37" s="426"/>
      <c r="OTT37" s="424"/>
      <c r="OTU37" s="426"/>
      <c r="OTV37" s="424"/>
      <c r="OTW37" s="426"/>
      <c r="OTX37" s="424"/>
      <c r="OTY37" s="426"/>
      <c r="OTZ37" s="424"/>
      <c r="OUA37" s="426"/>
      <c r="OUB37" s="424"/>
      <c r="OUC37" s="426"/>
      <c r="OUD37" s="424"/>
      <c r="OUE37" s="426"/>
      <c r="OUF37" s="424"/>
      <c r="OUG37" s="426"/>
      <c r="OUH37" s="424"/>
      <c r="OUI37" s="426"/>
      <c r="OUJ37" s="424"/>
      <c r="OUK37" s="426"/>
      <c r="OUL37" s="424"/>
      <c r="OUM37" s="426"/>
      <c r="OUN37" s="424"/>
      <c r="OUO37" s="426"/>
      <c r="OUP37" s="424"/>
      <c r="OUQ37" s="426"/>
      <c r="OUR37" s="424"/>
      <c r="OUS37" s="426"/>
      <c r="OUT37" s="424"/>
      <c r="OUU37" s="426"/>
      <c r="OUV37" s="424"/>
      <c r="OUW37" s="426"/>
      <c r="OUX37" s="424"/>
      <c r="OUY37" s="426"/>
      <c r="OUZ37" s="424"/>
      <c r="OVA37" s="426"/>
      <c r="OVB37" s="424"/>
      <c r="OVC37" s="426"/>
      <c r="OVD37" s="424"/>
      <c r="OVE37" s="426"/>
      <c r="OVF37" s="424"/>
      <c r="OVG37" s="426"/>
      <c r="OVH37" s="424"/>
      <c r="OVI37" s="426"/>
      <c r="OVJ37" s="424"/>
      <c r="OVK37" s="426"/>
      <c r="OVL37" s="424"/>
      <c r="OVM37" s="426"/>
      <c r="OVN37" s="424"/>
      <c r="OVO37" s="426"/>
      <c r="OVP37" s="424"/>
      <c r="OVQ37" s="426"/>
      <c r="OVR37" s="424"/>
      <c r="OVS37" s="426"/>
      <c r="OVT37" s="424"/>
      <c r="OVU37" s="426"/>
      <c r="OVV37" s="424"/>
      <c r="OVW37" s="426"/>
      <c r="OVX37" s="424"/>
      <c r="OVY37" s="426"/>
      <c r="OVZ37" s="424"/>
      <c r="OWA37" s="426"/>
      <c r="OWB37" s="424"/>
      <c r="OWC37" s="426"/>
      <c r="OWD37" s="424"/>
      <c r="OWE37" s="426"/>
      <c r="OWF37" s="424"/>
      <c r="OWG37" s="426"/>
      <c r="OWH37" s="424"/>
      <c r="OWI37" s="426"/>
      <c r="OWJ37" s="424"/>
      <c r="OWK37" s="426"/>
      <c r="OWL37" s="424"/>
      <c r="OWM37" s="426"/>
      <c r="OWN37" s="424"/>
      <c r="OWO37" s="426"/>
      <c r="OWP37" s="424"/>
      <c r="OWQ37" s="426"/>
      <c r="OWR37" s="424"/>
      <c r="OWS37" s="426"/>
      <c r="OWT37" s="424"/>
      <c r="OWU37" s="426"/>
      <c r="OWV37" s="424"/>
      <c r="OWW37" s="426"/>
      <c r="OWX37" s="424"/>
      <c r="OWY37" s="426"/>
      <c r="OWZ37" s="424"/>
      <c r="OXA37" s="426"/>
      <c r="OXB37" s="424"/>
      <c r="OXC37" s="426"/>
      <c r="OXD37" s="424"/>
      <c r="OXE37" s="426"/>
      <c r="OXF37" s="424"/>
      <c r="OXG37" s="426"/>
      <c r="OXH37" s="424"/>
      <c r="OXI37" s="426"/>
      <c r="OXJ37" s="424"/>
      <c r="OXK37" s="426"/>
      <c r="OXL37" s="424"/>
      <c r="OXM37" s="426"/>
      <c r="OXN37" s="424"/>
      <c r="OXO37" s="426"/>
      <c r="OXP37" s="424"/>
      <c r="OXQ37" s="426"/>
      <c r="OXR37" s="424"/>
      <c r="OXS37" s="426"/>
      <c r="OXT37" s="424"/>
      <c r="OXU37" s="426"/>
      <c r="OXV37" s="424"/>
      <c r="OXW37" s="426"/>
      <c r="OXX37" s="424"/>
      <c r="OXY37" s="426"/>
      <c r="OXZ37" s="424"/>
      <c r="OYA37" s="426"/>
      <c r="OYB37" s="424"/>
      <c r="OYC37" s="426"/>
      <c r="OYD37" s="424"/>
      <c r="OYE37" s="426"/>
      <c r="OYF37" s="424"/>
      <c r="OYG37" s="426"/>
      <c r="OYH37" s="424"/>
      <c r="OYI37" s="426"/>
      <c r="OYJ37" s="424"/>
      <c r="OYK37" s="426"/>
      <c r="OYL37" s="424"/>
      <c r="OYM37" s="426"/>
      <c r="OYN37" s="424"/>
      <c r="OYO37" s="426"/>
      <c r="OYP37" s="424"/>
      <c r="OYQ37" s="426"/>
      <c r="OYR37" s="424"/>
      <c r="OYS37" s="426"/>
      <c r="OYT37" s="424"/>
      <c r="OYU37" s="426"/>
      <c r="OYV37" s="424"/>
      <c r="OYW37" s="426"/>
      <c r="OYX37" s="424"/>
      <c r="OYY37" s="426"/>
      <c r="OYZ37" s="424"/>
      <c r="OZA37" s="426"/>
      <c r="OZB37" s="424"/>
      <c r="OZC37" s="426"/>
      <c r="OZD37" s="424"/>
      <c r="OZE37" s="426"/>
      <c r="OZF37" s="424"/>
      <c r="OZG37" s="426"/>
      <c r="OZH37" s="424"/>
      <c r="OZI37" s="426"/>
      <c r="OZJ37" s="424"/>
      <c r="OZK37" s="426"/>
      <c r="OZL37" s="424"/>
      <c r="OZM37" s="426"/>
      <c r="OZN37" s="424"/>
      <c r="OZO37" s="426"/>
      <c r="OZP37" s="424"/>
      <c r="OZQ37" s="426"/>
      <c r="OZR37" s="424"/>
      <c r="OZS37" s="426"/>
      <c r="OZT37" s="424"/>
      <c r="OZU37" s="426"/>
      <c r="OZV37" s="424"/>
      <c r="OZW37" s="426"/>
      <c r="OZX37" s="424"/>
      <c r="OZY37" s="426"/>
      <c r="OZZ37" s="424"/>
      <c r="PAA37" s="426"/>
      <c r="PAB37" s="424"/>
      <c r="PAC37" s="426"/>
      <c r="PAD37" s="424"/>
      <c r="PAE37" s="426"/>
      <c r="PAF37" s="424"/>
      <c r="PAG37" s="426"/>
      <c r="PAH37" s="424"/>
      <c r="PAI37" s="426"/>
      <c r="PAJ37" s="424"/>
      <c r="PAK37" s="426"/>
      <c r="PAL37" s="424"/>
      <c r="PAM37" s="426"/>
      <c r="PAN37" s="424"/>
      <c r="PAO37" s="426"/>
      <c r="PAP37" s="424"/>
      <c r="PAQ37" s="426"/>
      <c r="PAR37" s="424"/>
      <c r="PAS37" s="426"/>
      <c r="PAT37" s="424"/>
      <c r="PAU37" s="426"/>
      <c r="PAV37" s="424"/>
      <c r="PAW37" s="426"/>
      <c r="PAX37" s="424"/>
      <c r="PAY37" s="426"/>
      <c r="PAZ37" s="424"/>
      <c r="PBA37" s="426"/>
      <c r="PBB37" s="424"/>
      <c r="PBC37" s="426"/>
      <c r="PBD37" s="424"/>
      <c r="PBE37" s="426"/>
      <c r="PBF37" s="424"/>
      <c r="PBG37" s="426"/>
      <c r="PBH37" s="424"/>
      <c r="PBI37" s="426"/>
      <c r="PBJ37" s="424"/>
      <c r="PBK37" s="426"/>
      <c r="PBL37" s="424"/>
      <c r="PBM37" s="426"/>
      <c r="PBN37" s="424"/>
      <c r="PBO37" s="426"/>
      <c r="PBP37" s="424"/>
      <c r="PBQ37" s="426"/>
      <c r="PBR37" s="424"/>
      <c r="PBS37" s="426"/>
      <c r="PBT37" s="424"/>
      <c r="PBU37" s="426"/>
      <c r="PBV37" s="424"/>
      <c r="PBW37" s="426"/>
      <c r="PBX37" s="424"/>
      <c r="PBY37" s="426"/>
      <c r="PBZ37" s="424"/>
      <c r="PCA37" s="426"/>
      <c r="PCB37" s="424"/>
      <c r="PCC37" s="426"/>
      <c r="PCD37" s="424"/>
      <c r="PCE37" s="426"/>
      <c r="PCF37" s="424"/>
      <c r="PCG37" s="426"/>
      <c r="PCH37" s="424"/>
      <c r="PCI37" s="426"/>
      <c r="PCJ37" s="424"/>
      <c r="PCK37" s="426"/>
      <c r="PCL37" s="424"/>
      <c r="PCM37" s="426"/>
      <c r="PCN37" s="424"/>
      <c r="PCO37" s="426"/>
      <c r="PCP37" s="424"/>
      <c r="PCQ37" s="426"/>
      <c r="PCR37" s="424"/>
      <c r="PCS37" s="426"/>
      <c r="PCT37" s="424"/>
      <c r="PCU37" s="426"/>
      <c r="PCV37" s="424"/>
      <c r="PCW37" s="426"/>
      <c r="PCX37" s="424"/>
      <c r="PCY37" s="426"/>
      <c r="PCZ37" s="424"/>
      <c r="PDA37" s="426"/>
      <c r="PDB37" s="424"/>
      <c r="PDC37" s="426"/>
      <c r="PDD37" s="424"/>
      <c r="PDE37" s="426"/>
      <c r="PDF37" s="424"/>
      <c r="PDG37" s="426"/>
      <c r="PDH37" s="424"/>
      <c r="PDI37" s="426"/>
      <c r="PDJ37" s="424"/>
      <c r="PDK37" s="426"/>
      <c r="PDL37" s="424"/>
      <c r="PDM37" s="426"/>
      <c r="PDN37" s="424"/>
      <c r="PDO37" s="426"/>
      <c r="PDP37" s="424"/>
      <c r="PDQ37" s="426"/>
      <c r="PDR37" s="424"/>
      <c r="PDS37" s="426"/>
      <c r="PDT37" s="424"/>
      <c r="PDU37" s="426"/>
      <c r="PDV37" s="424"/>
      <c r="PDW37" s="426"/>
      <c r="PDX37" s="424"/>
      <c r="PDY37" s="426"/>
      <c r="PDZ37" s="424"/>
      <c r="PEA37" s="426"/>
      <c r="PEB37" s="424"/>
      <c r="PEC37" s="426"/>
      <c r="PED37" s="424"/>
      <c r="PEE37" s="426"/>
      <c r="PEF37" s="424"/>
      <c r="PEG37" s="426"/>
      <c r="PEH37" s="424"/>
      <c r="PEI37" s="426"/>
      <c r="PEJ37" s="424"/>
      <c r="PEK37" s="426"/>
      <c r="PEL37" s="424"/>
      <c r="PEM37" s="426"/>
      <c r="PEN37" s="424"/>
      <c r="PEO37" s="426"/>
      <c r="PEP37" s="424"/>
      <c r="PEQ37" s="426"/>
      <c r="PER37" s="424"/>
      <c r="PES37" s="426"/>
      <c r="PET37" s="424"/>
      <c r="PEU37" s="426"/>
      <c r="PEV37" s="424"/>
      <c r="PEW37" s="426"/>
      <c r="PEX37" s="424"/>
      <c r="PEY37" s="426"/>
      <c r="PEZ37" s="424"/>
      <c r="PFA37" s="426"/>
      <c r="PFB37" s="424"/>
      <c r="PFC37" s="426"/>
      <c r="PFD37" s="424"/>
      <c r="PFE37" s="426"/>
      <c r="PFF37" s="424"/>
      <c r="PFG37" s="426"/>
      <c r="PFH37" s="424"/>
      <c r="PFI37" s="426"/>
      <c r="PFJ37" s="424"/>
      <c r="PFK37" s="426"/>
      <c r="PFL37" s="424"/>
      <c r="PFM37" s="426"/>
      <c r="PFN37" s="424"/>
      <c r="PFO37" s="426"/>
      <c r="PFP37" s="424"/>
      <c r="PFQ37" s="426"/>
      <c r="PFR37" s="424"/>
      <c r="PFS37" s="426"/>
      <c r="PFT37" s="424"/>
      <c r="PFU37" s="426"/>
      <c r="PFV37" s="424"/>
      <c r="PFW37" s="426"/>
      <c r="PFX37" s="424"/>
      <c r="PFY37" s="426"/>
      <c r="PFZ37" s="424"/>
      <c r="PGA37" s="426"/>
      <c r="PGB37" s="424"/>
      <c r="PGC37" s="426"/>
      <c r="PGD37" s="424"/>
      <c r="PGE37" s="426"/>
      <c r="PGF37" s="424"/>
      <c r="PGG37" s="426"/>
      <c r="PGH37" s="424"/>
      <c r="PGI37" s="426"/>
      <c r="PGJ37" s="424"/>
      <c r="PGK37" s="426"/>
      <c r="PGL37" s="424"/>
      <c r="PGM37" s="426"/>
      <c r="PGN37" s="424"/>
      <c r="PGO37" s="426"/>
      <c r="PGP37" s="424"/>
      <c r="PGQ37" s="426"/>
      <c r="PGR37" s="424"/>
      <c r="PGS37" s="426"/>
      <c r="PGT37" s="424"/>
      <c r="PGU37" s="426"/>
      <c r="PGV37" s="424"/>
      <c r="PGW37" s="426"/>
      <c r="PGX37" s="424"/>
      <c r="PGY37" s="426"/>
      <c r="PGZ37" s="424"/>
      <c r="PHA37" s="426"/>
      <c r="PHB37" s="424"/>
      <c r="PHC37" s="426"/>
      <c r="PHD37" s="424"/>
      <c r="PHE37" s="426"/>
      <c r="PHF37" s="424"/>
      <c r="PHG37" s="426"/>
      <c r="PHH37" s="424"/>
      <c r="PHI37" s="426"/>
      <c r="PHJ37" s="424"/>
      <c r="PHK37" s="426"/>
      <c r="PHL37" s="424"/>
      <c r="PHM37" s="426"/>
      <c r="PHN37" s="424"/>
      <c r="PHO37" s="426"/>
      <c r="PHP37" s="424"/>
      <c r="PHQ37" s="426"/>
      <c r="PHR37" s="424"/>
      <c r="PHS37" s="426"/>
      <c r="PHT37" s="424"/>
      <c r="PHU37" s="426"/>
      <c r="PHV37" s="424"/>
      <c r="PHW37" s="426"/>
      <c r="PHX37" s="424"/>
      <c r="PHY37" s="426"/>
      <c r="PHZ37" s="424"/>
      <c r="PIA37" s="426"/>
      <c r="PIB37" s="424"/>
      <c r="PIC37" s="426"/>
      <c r="PID37" s="424"/>
      <c r="PIE37" s="426"/>
      <c r="PIF37" s="424"/>
      <c r="PIG37" s="426"/>
      <c r="PIH37" s="424"/>
      <c r="PII37" s="426"/>
      <c r="PIJ37" s="424"/>
      <c r="PIK37" s="426"/>
      <c r="PIL37" s="424"/>
      <c r="PIM37" s="426"/>
      <c r="PIN37" s="424"/>
      <c r="PIO37" s="426"/>
      <c r="PIP37" s="424"/>
      <c r="PIQ37" s="426"/>
      <c r="PIR37" s="424"/>
      <c r="PIS37" s="426"/>
      <c r="PIT37" s="424"/>
      <c r="PIU37" s="426"/>
      <c r="PIV37" s="424"/>
      <c r="PIW37" s="426"/>
      <c r="PIX37" s="424"/>
      <c r="PIY37" s="426"/>
      <c r="PIZ37" s="424"/>
      <c r="PJA37" s="426"/>
      <c r="PJB37" s="424"/>
      <c r="PJC37" s="426"/>
      <c r="PJD37" s="424"/>
      <c r="PJE37" s="426"/>
      <c r="PJF37" s="424"/>
      <c r="PJG37" s="426"/>
      <c r="PJH37" s="424"/>
      <c r="PJI37" s="426"/>
      <c r="PJJ37" s="424"/>
      <c r="PJK37" s="426"/>
      <c r="PJL37" s="424"/>
      <c r="PJM37" s="426"/>
      <c r="PJN37" s="424"/>
      <c r="PJO37" s="426"/>
      <c r="PJP37" s="424"/>
      <c r="PJQ37" s="426"/>
      <c r="PJR37" s="424"/>
      <c r="PJS37" s="426"/>
      <c r="PJT37" s="424"/>
      <c r="PJU37" s="426"/>
      <c r="PJV37" s="424"/>
      <c r="PJW37" s="426"/>
      <c r="PJX37" s="424"/>
      <c r="PJY37" s="426"/>
      <c r="PJZ37" s="424"/>
      <c r="PKA37" s="426"/>
      <c r="PKB37" s="424"/>
      <c r="PKC37" s="426"/>
      <c r="PKD37" s="424"/>
      <c r="PKE37" s="426"/>
      <c r="PKF37" s="424"/>
      <c r="PKG37" s="426"/>
      <c r="PKH37" s="424"/>
      <c r="PKI37" s="426"/>
      <c r="PKJ37" s="424"/>
      <c r="PKK37" s="426"/>
      <c r="PKL37" s="424"/>
      <c r="PKM37" s="426"/>
      <c r="PKN37" s="424"/>
      <c r="PKO37" s="426"/>
      <c r="PKP37" s="424"/>
      <c r="PKQ37" s="426"/>
      <c r="PKR37" s="424"/>
      <c r="PKS37" s="426"/>
      <c r="PKT37" s="424"/>
      <c r="PKU37" s="426"/>
      <c r="PKV37" s="424"/>
      <c r="PKW37" s="426"/>
      <c r="PKX37" s="424"/>
      <c r="PKY37" s="426"/>
      <c r="PKZ37" s="424"/>
      <c r="PLA37" s="426"/>
      <c r="PLB37" s="424"/>
      <c r="PLC37" s="426"/>
      <c r="PLD37" s="424"/>
      <c r="PLE37" s="426"/>
      <c r="PLF37" s="424"/>
      <c r="PLG37" s="426"/>
      <c r="PLH37" s="424"/>
      <c r="PLI37" s="426"/>
      <c r="PLJ37" s="424"/>
      <c r="PLK37" s="426"/>
      <c r="PLL37" s="424"/>
      <c r="PLM37" s="426"/>
      <c r="PLN37" s="424"/>
      <c r="PLO37" s="426"/>
      <c r="PLP37" s="424"/>
      <c r="PLQ37" s="426"/>
      <c r="PLR37" s="424"/>
      <c r="PLS37" s="426"/>
      <c r="PLT37" s="424"/>
      <c r="PLU37" s="426"/>
      <c r="PLV37" s="424"/>
      <c r="PLW37" s="426"/>
      <c r="PLX37" s="424"/>
      <c r="PLY37" s="426"/>
      <c r="PLZ37" s="424"/>
      <c r="PMA37" s="426"/>
      <c r="PMB37" s="424"/>
      <c r="PMC37" s="426"/>
      <c r="PMD37" s="424"/>
      <c r="PME37" s="426"/>
      <c r="PMF37" s="424"/>
      <c r="PMG37" s="426"/>
      <c r="PMH37" s="424"/>
      <c r="PMI37" s="426"/>
      <c r="PMJ37" s="424"/>
      <c r="PMK37" s="426"/>
      <c r="PML37" s="424"/>
      <c r="PMM37" s="426"/>
      <c r="PMN37" s="424"/>
      <c r="PMO37" s="426"/>
      <c r="PMP37" s="424"/>
      <c r="PMQ37" s="426"/>
      <c r="PMR37" s="424"/>
      <c r="PMS37" s="426"/>
      <c r="PMT37" s="424"/>
      <c r="PMU37" s="426"/>
      <c r="PMV37" s="424"/>
      <c r="PMW37" s="426"/>
      <c r="PMX37" s="424"/>
      <c r="PMY37" s="426"/>
      <c r="PMZ37" s="424"/>
      <c r="PNA37" s="426"/>
      <c r="PNB37" s="424"/>
      <c r="PNC37" s="426"/>
      <c r="PND37" s="424"/>
      <c r="PNE37" s="426"/>
      <c r="PNF37" s="424"/>
      <c r="PNG37" s="426"/>
      <c r="PNH37" s="424"/>
      <c r="PNI37" s="426"/>
      <c r="PNJ37" s="424"/>
      <c r="PNK37" s="426"/>
      <c r="PNL37" s="424"/>
      <c r="PNM37" s="426"/>
      <c r="PNN37" s="424"/>
      <c r="PNO37" s="426"/>
      <c r="PNP37" s="424"/>
      <c r="PNQ37" s="426"/>
      <c r="PNR37" s="424"/>
      <c r="PNS37" s="426"/>
      <c r="PNT37" s="424"/>
      <c r="PNU37" s="426"/>
      <c r="PNV37" s="424"/>
      <c r="PNW37" s="426"/>
      <c r="PNX37" s="424"/>
      <c r="PNY37" s="426"/>
      <c r="PNZ37" s="424"/>
      <c r="POA37" s="426"/>
      <c r="POB37" s="424"/>
      <c r="POC37" s="426"/>
      <c r="POD37" s="424"/>
      <c r="POE37" s="426"/>
      <c r="POF37" s="424"/>
      <c r="POG37" s="426"/>
      <c r="POH37" s="424"/>
      <c r="POI37" s="426"/>
      <c r="POJ37" s="424"/>
      <c r="POK37" s="426"/>
      <c r="POL37" s="424"/>
      <c r="POM37" s="426"/>
      <c r="PON37" s="424"/>
      <c r="POO37" s="426"/>
      <c r="POP37" s="424"/>
      <c r="POQ37" s="426"/>
      <c r="POR37" s="424"/>
      <c r="POS37" s="426"/>
      <c r="POT37" s="424"/>
      <c r="POU37" s="426"/>
      <c r="POV37" s="424"/>
      <c r="POW37" s="426"/>
      <c r="POX37" s="424"/>
      <c r="POY37" s="426"/>
      <c r="POZ37" s="424"/>
      <c r="PPA37" s="426"/>
      <c r="PPB37" s="424"/>
      <c r="PPC37" s="426"/>
      <c r="PPD37" s="424"/>
      <c r="PPE37" s="426"/>
      <c r="PPF37" s="424"/>
      <c r="PPG37" s="426"/>
      <c r="PPH37" s="424"/>
      <c r="PPI37" s="426"/>
      <c r="PPJ37" s="424"/>
      <c r="PPK37" s="426"/>
      <c r="PPL37" s="424"/>
      <c r="PPM37" s="426"/>
      <c r="PPN37" s="424"/>
      <c r="PPO37" s="426"/>
      <c r="PPP37" s="424"/>
      <c r="PPQ37" s="426"/>
      <c r="PPR37" s="424"/>
      <c r="PPS37" s="426"/>
      <c r="PPT37" s="424"/>
      <c r="PPU37" s="426"/>
      <c r="PPV37" s="424"/>
      <c r="PPW37" s="426"/>
      <c r="PPX37" s="424"/>
      <c r="PPY37" s="426"/>
      <c r="PPZ37" s="424"/>
      <c r="PQA37" s="426"/>
      <c r="PQB37" s="424"/>
      <c r="PQC37" s="426"/>
      <c r="PQD37" s="424"/>
      <c r="PQE37" s="426"/>
      <c r="PQF37" s="424"/>
      <c r="PQG37" s="426"/>
      <c r="PQH37" s="424"/>
      <c r="PQI37" s="426"/>
      <c r="PQJ37" s="424"/>
      <c r="PQK37" s="426"/>
      <c r="PQL37" s="424"/>
      <c r="PQM37" s="426"/>
      <c r="PQN37" s="424"/>
      <c r="PQO37" s="426"/>
      <c r="PQP37" s="424"/>
      <c r="PQQ37" s="426"/>
      <c r="PQR37" s="424"/>
      <c r="PQS37" s="426"/>
      <c r="PQT37" s="424"/>
      <c r="PQU37" s="426"/>
      <c r="PQV37" s="424"/>
      <c r="PQW37" s="426"/>
      <c r="PQX37" s="424"/>
      <c r="PQY37" s="426"/>
      <c r="PQZ37" s="424"/>
      <c r="PRA37" s="426"/>
      <c r="PRB37" s="424"/>
      <c r="PRC37" s="426"/>
      <c r="PRD37" s="424"/>
      <c r="PRE37" s="426"/>
      <c r="PRF37" s="424"/>
      <c r="PRG37" s="426"/>
      <c r="PRH37" s="424"/>
      <c r="PRI37" s="426"/>
      <c r="PRJ37" s="424"/>
      <c r="PRK37" s="426"/>
      <c r="PRL37" s="424"/>
      <c r="PRM37" s="426"/>
      <c r="PRN37" s="424"/>
      <c r="PRO37" s="426"/>
      <c r="PRP37" s="424"/>
      <c r="PRQ37" s="426"/>
      <c r="PRR37" s="424"/>
      <c r="PRS37" s="426"/>
      <c r="PRT37" s="424"/>
      <c r="PRU37" s="426"/>
      <c r="PRV37" s="424"/>
      <c r="PRW37" s="426"/>
      <c r="PRX37" s="424"/>
      <c r="PRY37" s="426"/>
      <c r="PRZ37" s="424"/>
      <c r="PSA37" s="426"/>
      <c r="PSB37" s="424"/>
      <c r="PSC37" s="426"/>
      <c r="PSD37" s="424"/>
      <c r="PSE37" s="426"/>
      <c r="PSF37" s="424"/>
      <c r="PSG37" s="426"/>
      <c r="PSH37" s="424"/>
      <c r="PSI37" s="426"/>
      <c r="PSJ37" s="424"/>
      <c r="PSK37" s="426"/>
      <c r="PSL37" s="424"/>
      <c r="PSM37" s="426"/>
      <c r="PSN37" s="424"/>
      <c r="PSO37" s="426"/>
      <c r="PSP37" s="424"/>
      <c r="PSQ37" s="426"/>
      <c r="PSR37" s="424"/>
      <c r="PSS37" s="426"/>
      <c r="PST37" s="424"/>
      <c r="PSU37" s="426"/>
      <c r="PSV37" s="424"/>
      <c r="PSW37" s="426"/>
      <c r="PSX37" s="424"/>
      <c r="PSY37" s="426"/>
      <c r="PSZ37" s="424"/>
      <c r="PTA37" s="426"/>
      <c r="PTB37" s="424"/>
      <c r="PTC37" s="426"/>
      <c r="PTD37" s="424"/>
      <c r="PTE37" s="426"/>
      <c r="PTF37" s="424"/>
      <c r="PTG37" s="426"/>
      <c r="PTH37" s="424"/>
      <c r="PTI37" s="426"/>
      <c r="PTJ37" s="424"/>
      <c r="PTK37" s="426"/>
      <c r="PTL37" s="424"/>
      <c r="PTM37" s="426"/>
      <c r="PTN37" s="424"/>
      <c r="PTO37" s="426"/>
      <c r="PTP37" s="424"/>
      <c r="PTQ37" s="426"/>
      <c r="PTR37" s="424"/>
      <c r="PTS37" s="426"/>
      <c r="PTT37" s="424"/>
      <c r="PTU37" s="426"/>
      <c r="PTV37" s="424"/>
      <c r="PTW37" s="426"/>
      <c r="PTX37" s="424"/>
      <c r="PTY37" s="426"/>
      <c r="PTZ37" s="424"/>
      <c r="PUA37" s="426"/>
      <c r="PUB37" s="424"/>
      <c r="PUC37" s="426"/>
      <c r="PUD37" s="424"/>
      <c r="PUE37" s="426"/>
      <c r="PUF37" s="424"/>
      <c r="PUG37" s="426"/>
      <c r="PUH37" s="424"/>
      <c r="PUI37" s="426"/>
      <c r="PUJ37" s="424"/>
      <c r="PUK37" s="426"/>
      <c r="PUL37" s="424"/>
      <c r="PUM37" s="426"/>
      <c r="PUN37" s="424"/>
      <c r="PUO37" s="426"/>
      <c r="PUP37" s="424"/>
      <c r="PUQ37" s="426"/>
      <c r="PUR37" s="424"/>
      <c r="PUS37" s="426"/>
      <c r="PUT37" s="424"/>
      <c r="PUU37" s="426"/>
      <c r="PUV37" s="424"/>
      <c r="PUW37" s="426"/>
      <c r="PUX37" s="424"/>
      <c r="PUY37" s="426"/>
      <c r="PUZ37" s="424"/>
      <c r="PVA37" s="426"/>
      <c r="PVB37" s="424"/>
      <c r="PVC37" s="426"/>
      <c r="PVD37" s="424"/>
      <c r="PVE37" s="426"/>
      <c r="PVF37" s="424"/>
      <c r="PVG37" s="426"/>
      <c r="PVH37" s="424"/>
      <c r="PVI37" s="426"/>
      <c r="PVJ37" s="424"/>
      <c r="PVK37" s="426"/>
      <c r="PVL37" s="424"/>
      <c r="PVM37" s="426"/>
      <c r="PVN37" s="424"/>
      <c r="PVO37" s="426"/>
      <c r="PVP37" s="424"/>
      <c r="PVQ37" s="426"/>
      <c r="PVR37" s="424"/>
      <c r="PVS37" s="426"/>
      <c r="PVT37" s="424"/>
      <c r="PVU37" s="426"/>
      <c r="PVV37" s="424"/>
      <c r="PVW37" s="426"/>
      <c r="PVX37" s="424"/>
      <c r="PVY37" s="426"/>
      <c r="PVZ37" s="424"/>
      <c r="PWA37" s="426"/>
      <c r="PWB37" s="424"/>
      <c r="PWC37" s="426"/>
      <c r="PWD37" s="424"/>
      <c r="PWE37" s="426"/>
      <c r="PWF37" s="424"/>
      <c r="PWG37" s="426"/>
      <c r="PWH37" s="424"/>
      <c r="PWI37" s="426"/>
      <c r="PWJ37" s="424"/>
      <c r="PWK37" s="426"/>
      <c r="PWL37" s="424"/>
      <c r="PWM37" s="426"/>
      <c r="PWN37" s="424"/>
      <c r="PWO37" s="426"/>
      <c r="PWP37" s="424"/>
      <c r="PWQ37" s="426"/>
      <c r="PWR37" s="424"/>
      <c r="PWS37" s="426"/>
      <c r="PWT37" s="424"/>
      <c r="PWU37" s="426"/>
      <c r="PWV37" s="424"/>
      <c r="PWW37" s="426"/>
      <c r="PWX37" s="424"/>
      <c r="PWY37" s="426"/>
      <c r="PWZ37" s="424"/>
      <c r="PXA37" s="426"/>
      <c r="PXB37" s="424"/>
      <c r="PXC37" s="426"/>
      <c r="PXD37" s="424"/>
      <c r="PXE37" s="426"/>
      <c r="PXF37" s="424"/>
      <c r="PXG37" s="426"/>
      <c r="PXH37" s="424"/>
      <c r="PXI37" s="426"/>
      <c r="PXJ37" s="424"/>
      <c r="PXK37" s="426"/>
      <c r="PXL37" s="424"/>
      <c r="PXM37" s="426"/>
      <c r="PXN37" s="424"/>
      <c r="PXO37" s="426"/>
      <c r="PXP37" s="424"/>
      <c r="PXQ37" s="426"/>
      <c r="PXR37" s="424"/>
      <c r="PXS37" s="426"/>
      <c r="PXT37" s="424"/>
      <c r="PXU37" s="426"/>
      <c r="PXV37" s="424"/>
      <c r="PXW37" s="426"/>
      <c r="PXX37" s="424"/>
      <c r="PXY37" s="426"/>
      <c r="PXZ37" s="424"/>
      <c r="PYA37" s="426"/>
      <c r="PYB37" s="424"/>
      <c r="PYC37" s="426"/>
      <c r="PYD37" s="424"/>
      <c r="PYE37" s="426"/>
      <c r="PYF37" s="424"/>
      <c r="PYG37" s="426"/>
      <c r="PYH37" s="424"/>
      <c r="PYI37" s="426"/>
      <c r="PYJ37" s="424"/>
      <c r="PYK37" s="426"/>
      <c r="PYL37" s="424"/>
      <c r="PYM37" s="426"/>
      <c r="PYN37" s="424"/>
      <c r="PYO37" s="426"/>
      <c r="PYP37" s="424"/>
      <c r="PYQ37" s="426"/>
      <c r="PYR37" s="424"/>
      <c r="PYS37" s="426"/>
      <c r="PYT37" s="424"/>
      <c r="PYU37" s="426"/>
      <c r="PYV37" s="424"/>
      <c r="PYW37" s="426"/>
      <c r="PYX37" s="424"/>
      <c r="PYY37" s="426"/>
      <c r="PYZ37" s="424"/>
      <c r="PZA37" s="426"/>
      <c r="PZB37" s="424"/>
      <c r="PZC37" s="426"/>
      <c r="PZD37" s="424"/>
      <c r="PZE37" s="426"/>
      <c r="PZF37" s="424"/>
      <c r="PZG37" s="426"/>
      <c r="PZH37" s="424"/>
      <c r="PZI37" s="426"/>
      <c r="PZJ37" s="424"/>
      <c r="PZK37" s="426"/>
      <c r="PZL37" s="424"/>
      <c r="PZM37" s="426"/>
      <c r="PZN37" s="424"/>
      <c r="PZO37" s="426"/>
      <c r="PZP37" s="424"/>
      <c r="PZQ37" s="426"/>
      <c r="PZR37" s="424"/>
      <c r="PZS37" s="426"/>
      <c r="PZT37" s="424"/>
      <c r="PZU37" s="426"/>
      <c r="PZV37" s="424"/>
      <c r="PZW37" s="426"/>
      <c r="PZX37" s="424"/>
      <c r="PZY37" s="426"/>
      <c r="PZZ37" s="424"/>
      <c r="QAA37" s="426"/>
      <c r="QAB37" s="424"/>
      <c r="QAC37" s="426"/>
      <c r="QAD37" s="424"/>
      <c r="QAE37" s="426"/>
      <c r="QAF37" s="424"/>
      <c r="QAG37" s="426"/>
      <c r="QAH37" s="424"/>
      <c r="QAI37" s="426"/>
      <c r="QAJ37" s="424"/>
      <c r="QAK37" s="426"/>
      <c r="QAL37" s="424"/>
      <c r="QAM37" s="426"/>
      <c r="QAN37" s="424"/>
      <c r="QAO37" s="426"/>
      <c r="QAP37" s="424"/>
      <c r="QAQ37" s="426"/>
      <c r="QAR37" s="424"/>
      <c r="QAS37" s="426"/>
      <c r="QAT37" s="424"/>
      <c r="QAU37" s="426"/>
      <c r="QAV37" s="424"/>
      <c r="QAW37" s="426"/>
      <c r="QAX37" s="424"/>
      <c r="QAY37" s="426"/>
      <c r="QAZ37" s="424"/>
      <c r="QBA37" s="426"/>
      <c r="QBB37" s="424"/>
      <c r="QBC37" s="426"/>
      <c r="QBD37" s="424"/>
      <c r="QBE37" s="426"/>
      <c r="QBF37" s="424"/>
      <c r="QBG37" s="426"/>
      <c r="QBH37" s="424"/>
      <c r="QBI37" s="426"/>
      <c r="QBJ37" s="424"/>
      <c r="QBK37" s="426"/>
      <c r="QBL37" s="424"/>
      <c r="QBM37" s="426"/>
      <c r="QBN37" s="424"/>
      <c r="QBO37" s="426"/>
      <c r="QBP37" s="424"/>
      <c r="QBQ37" s="426"/>
      <c r="QBR37" s="424"/>
      <c r="QBS37" s="426"/>
      <c r="QBT37" s="424"/>
      <c r="QBU37" s="426"/>
      <c r="QBV37" s="424"/>
      <c r="QBW37" s="426"/>
      <c r="QBX37" s="424"/>
      <c r="QBY37" s="426"/>
      <c r="QBZ37" s="424"/>
      <c r="QCA37" s="426"/>
      <c r="QCB37" s="424"/>
      <c r="QCC37" s="426"/>
      <c r="QCD37" s="424"/>
      <c r="QCE37" s="426"/>
      <c r="QCF37" s="424"/>
      <c r="QCG37" s="426"/>
      <c r="QCH37" s="424"/>
      <c r="QCI37" s="426"/>
      <c r="QCJ37" s="424"/>
      <c r="QCK37" s="426"/>
      <c r="QCL37" s="424"/>
      <c r="QCM37" s="426"/>
      <c r="QCN37" s="424"/>
      <c r="QCO37" s="426"/>
      <c r="QCP37" s="424"/>
      <c r="QCQ37" s="426"/>
      <c r="QCR37" s="424"/>
      <c r="QCS37" s="426"/>
      <c r="QCT37" s="424"/>
      <c r="QCU37" s="426"/>
      <c r="QCV37" s="424"/>
      <c r="QCW37" s="426"/>
      <c r="QCX37" s="424"/>
      <c r="QCY37" s="426"/>
      <c r="QCZ37" s="424"/>
      <c r="QDA37" s="426"/>
      <c r="QDB37" s="424"/>
      <c r="QDC37" s="426"/>
      <c r="QDD37" s="424"/>
      <c r="QDE37" s="426"/>
      <c r="QDF37" s="424"/>
      <c r="QDG37" s="426"/>
      <c r="QDH37" s="424"/>
      <c r="QDI37" s="426"/>
      <c r="QDJ37" s="424"/>
      <c r="QDK37" s="426"/>
      <c r="QDL37" s="424"/>
      <c r="QDM37" s="426"/>
      <c r="QDN37" s="424"/>
      <c r="QDO37" s="426"/>
      <c r="QDP37" s="424"/>
      <c r="QDQ37" s="426"/>
      <c r="QDR37" s="424"/>
      <c r="QDS37" s="426"/>
      <c r="QDT37" s="424"/>
      <c r="QDU37" s="426"/>
      <c r="QDV37" s="424"/>
      <c r="QDW37" s="426"/>
      <c r="QDX37" s="424"/>
      <c r="QDY37" s="426"/>
      <c r="QDZ37" s="424"/>
      <c r="QEA37" s="426"/>
      <c r="QEB37" s="424"/>
      <c r="QEC37" s="426"/>
      <c r="QED37" s="424"/>
      <c r="QEE37" s="426"/>
      <c r="QEF37" s="424"/>
      <c r="QEG37" s="426"/>
      <c r="QEH37" s="424"/>
      <c r="QEI37" s="426"/>
      <c r="QEJ37" s="424"/>
      <c r="QEK37" s="426"/>
      <c r="QEL37" s="424"/>
      <c r="QEM37" s="426"/>
      <c r="QEN37" s="424"/>
      <c r="QEO37" s="426"/>
      <c r="QEP37" s="424"/>
      <c r="QEQ37" s="426"/>
      <c r="QER37" s="424"/>
      <c r="QES37" s="426"/>
      <c r="QET37" s="424"/>
      <c r="QEU37" s="426"/>
      <c r="QEV37" s="424"/>
      <c r="QEW37" s="426"/>
      <c r="QEX37" s="424"/>
      <c r="QEY37" s="426"/>
      <c r="QEZ37" s="424"/>
      <c r="QFA37" s="426"/>
      <c r="QFB37" s="424"/>
      <c r="QFC37" s="426"/>
      <c r="QFD37" s="424"/>
      <c r="QFE37" s="426"/>
      <c r="QFF37" s="424"/>
      <c r="QFG37" s="426"/>
      <c r="QFH37" s="424"/>
      <c r="QFI37" s="426"/>
      <c r="QFJ37" s="424"/>
      <c r="QFK37" s="426"/>
      <c r="QFL37" s="424"/>
      <c r="QFM37" s="426"/>
      <c r="QFN37" s="424"/>
      <c r="QFO37" s="426"/>
      <c r="QFP37" s="424"/>
      <c r="QFQ37" s="426"/>
      <c r="QFR37" s="424"/>
      <c r="QFS37" s="426"/>
      <c r="QFT37" s="424"/>
      <c r="QFU37" s="426"/>
      <c r="QFV37" s="424"/>
      <c r="QFW37" s="426"/>
      <c r="QFX37" s="424"/>
      <c r="QFY37" s="426"/>
      <c r="QFZ37" s="424"/>
      <c r="QGA37" s="426"/>
      <c r="QGB37" s="424"/>
      <c r="QGC37" s="426"/>
      <c r="QGD37" s="424"/>
      <c r="QGE37" s="426"/>
      <c r="QGF37" s="424"/>
      <c r="QGG37" s="426"/>
      <c r="QGH37" s="424"/>
      <c r="QGI37" s="426"/>
      <c r="QGJ37" s="424"/>
      <c r="QGK37" s="426"/>
      <c r="QGL37" s="424"/>
      <c r="QGM37" s="426"/>
      <c r="QGN37" s="424"/>
      <c r="QGO37" s="426"/>
      <c r="QGP37" s="424"/>
      <c r="QGQ37" s="426"/>
      <c r="QGR37" s="424"/>
      <c r="QGS37" s="426"/>
      <c r="QGT37" s="424"/>
      <c r="QGU37" s="426"/>
      <c r="QGV37" s="424"/>
      <c r="QGW37" s="426"/>
      <c r="QGX37" s="424"/>
      <c r="QGY37" s="426"/>
      <c r="QGZ37" s="424"/>
      <c r="QHA37" s="426"/>
      <c r="QHB37" s="424"/>
      <c r="QHC37" s="426"/>
      <c r="QHD37" s="424"/>
      <c r="QHE37" s="426"/>
      <c r="QHF37" s="424"/>
      <c r="QHG37" s="426"/>
      <c r="QHH37" s="424"/>
      <c r="QHI37" s="426"/>
      <c r="QHJ37" s="424"/>
      <c r="QHK37" s="426"/>
      <c r="QHL37" s="424"/>
      <c r="QHM37" s="426"/>
      <c r="QHN37" s="424"/>
      <c r="QHO37" s="426"/>
      <c r="QHP37" s="424"/>
      <c r="QHQ37" s="426"/>
      <c r="QHR37" s="424"/>
      <c r="QHS37" s="426"/>
      <c r="QHT37" s="424"/>
      <c r="QHU37" s="426"/>
      <c r="QHV37" s="424"/>
      <c r="QHW37" s="426"/>
      <c r="QHX37" s="424"/>
      <c r="QHY37" s="426"/>
      <c r="QHZ37" s="424"/>
      <c r="QIA37" s="426"/>
      <c r="QIB37" s="424"/>
      <c r="QIC37" s="426"/>
      <c r="QID37" s="424"/>
      <c r="QIE37" s="426"/>
      <c r="QIF37" s="424"/>
      <c r="QIG37" s="426"/>
      <c r="QIH37" s="424"/>
      <c r="QII37" s="426"/>
      <c r="QIJ37" s="424"/>
      <c r="QIK37" s="426"/>
      <c r="QIL37" s="424"/>
      <c r="QIM37" s="426"/>
      <c r="QIN37" s="424"/>
      <c r="QIO37" s="426"/>
      <c r="QIP37" s="424"/>
      <c r="QIQ37" s="426"/>
      <c r="QIR37" s="424"/>
      <c r="QIS37" s="426"/>
      <c r="QIT37" s="424"/>
      <c r="QIU37" s="426"/>
      <c r="QIV37" s="424"/>
      <c r="QIW37" s="426"/>
      <c r="QIX37" s="424"/>
      <c r="QIY37" s="426"/>
      <c r="QIZ37" s="424"/>
      <c r="QJA37" s="426"/>
      <c r="QJB37" s="424"/>
      <c r="QJC37" s="426"/>
      <c r="QJD37" s="424"/>
      <c r="QJE37" s="426"/>
      <c r="QJF37" s="424"/>
      <c r="QJG37" s="426"/>
      <c r="QJH37" s="424"/>
      <c r="QJI37" s="426"/>
      <c r="QJJ37" s="424"/>
      <c r="QJK37" s="426"/>
      <c r="QJL37" s="424"/>
      <c r="QJM37" s="426"/>
      <c r="QJN37" s="424"/>
      <c r="QJO37" s="426"/>
      <c r="QJP37" s="424"/>
      <c r="QJQ37" s="426"/>
      <c r="QJR37" s="424"/>
      <c r="QJS37" s="426"/>
      <c r="QJT37" s="424"/>
      <c r="QJU37" s="426"/>
      <c r="QJV37" s="424"/>
      <c r="QJW37" s="426"/>
      <c r="QJX37" s="424"/>
      <c r="QJY37" s="426"/>
      <c r="QJZ37" s="424"/>
      <c r="QKA37" s="426"/>
      <c r="QKB37" s="424"/>
      <c r="QKC37" s="426"/>
      <c r="QKD37" s="424"/>
      <c r="QKE37" s="426"/>
      <c r="QKF37" s="424"/>
      <c r="QKG37" s="426"/>
      <c r="QKH37" s="424"/>
      <c r="QKI37" s="426"/>
      <c r="QKJ37" s="424"/>
      <c r="QKK37" s="426"/>
      <c r="QKL37" s="424"/>
      <c r="QKM37" s="426"/>
      <c r="QKN37" s="424"/>
      <c r="QKO37" s="426"/>
      <c r="QKP37" s="424"/>
      <c r="QKQ37" s="426"/>
      <c r="QKR37" s="424"/>
      <c r="QKS37" s="426"/>
      <c r="QKT37" s="424"/>
      <c r="QKU37" s="426"/>
      <c r="QKV37" s="424"/>
      <c r="QKW37" s="426"/>
      <c r="QKX37" s="424"/>
      <c r="QKY37" s="426"/>
      <c r="QKZ37" s="424"/>
      <c r="QLA37" s="426"/>
      <c r="QLB37" s="424"/>
      <c r="QLC37" s="426"/>
      <c r="QLD37" s="424"/>
      <c r="QLE37" s="426"/>
      <c r="QLF37" s="424"/>
      <c r="QLG37" s="426"/>
      <c r="QLH37" s="424"/>
      <c r="QLI37" s="426"/>
      <c r="QLJ37" s="424"/>
      <c r="QLK37" s="426"/>
      <c r="QLL37" s="424"/>
      <c r="QLM37" s="426"/>
      <c r="QLN37" s="424"/>
      <c r="QLO37" s="426"/>
      <c r="QLP37" s="424"/>
      <c r="QLQ37" s="426"/>
      <c r="QLR37" s="424"/>
      <c r="QLS37" s="426"/>
      <c r="QLT37" s="424"/>
      <c r="QLU37" s="426"/>
      <c r="QLV37" s="424"/>
      <c r="QLW37" s="426"/>
      <c r="QLX37" s="424"/>
      <c r="QLY37" s="426"/>
      <c r="QLZ37" s="424"/>
      <c r="QMA37" s="426"/>
      <c r="QMB37" s="424"/>
      <c r="QMC37" s="426"/>
      <c r="QMD37" s="424"/>
      <c r="QME37" s="426"/>
      <c r="QMF37" s="424"/>
      <c r="QMG37" s="426"/>
      <c r="QMH37" s="424"/>
      <c r="QMI37" s="426"/>
      <c r="QMJ37" s="424"/>
      <c r="QMK37" s="426"/>
      <c r="QML37" s="424"/>
      <c r="QMM37" s="426"/>
      <c r="QMN37" s="424"/>
      <c r="QMO37" s="426"/>
      <c r="QMP37" s="424"/>
      <c r="QMQ37" s="426"/>
      <c r="QMR37" s="424"/>
      <c r="QMS37" s="426"/>
      <c r="QMT37" s="424"/>
      <c r="QMU37" s="426"/>
      <c r="QMV37" s="424"/>
      <c r="QMW37" s="426"/>
      <c r="QMX37" s="424"/>
      <c r="QMY37" s="426"/>
      <c r="QMZ37" s="424"/>
      <c r="QNA37" s="426"/>
      <c r="QNB37" s="424"/>
      <c r="QNC37" s="426"/>
      <c r="QND37" s="424"/>
      <c r="QNE37" s="426"/>
      <c r="QNF37" s="424"/>
      <c r="QNG37" s="426"/>
      <c r="QNH37" s="424"/>
      <c r="QNI37" s="426"/>
      <c r="QNJ37" s="424"/>
      <c r="QNK37" s="426"/>
      <c r="QNL37" s="424"/>
      <c r="QNM37" s="426"/>
      <c r="QNN37" s="424"/>
      <c r="QNO37" s="426"/>
      <c r="QNP37" s="424"/>
      <c r="QNQ37" s="426"/>
      <c r="QNR37" s="424"/>
      <c r="QNS37" s="426"/>
      <c r="QNT37" s="424"/>
      <c r="QNU37" s="426"/>
      <c r="QNV37" s="424"/>
      <c r="QNW37" s="426"/>
      <c r="QNX37" s="424"/>
      <c r="QNY37" s="426"/>
      <c r="QNZ37" s="424"/>
      <c r="QOA37" s="426"/>
      <c r="QOB37" s="424"/>
      <c r="QOC37" s="426"/>
      <c r="QOD37" s="424"/>
      <c r="QOE37" s="426"/>
      <c r="QOF37" s="424"/>
      <c r="QOG37" s="426"/>
      <c r="QOH37" s="424"/>
      <c r="QOI37" s="426"/>
      <c r="QOJ37" s="424"/>
      <c r="QOK37" s="426"/>
      <c r="QOL37" s="424"/>
      <c r="QOM37" s="426"/>
      <c r="QON37" s="424"/>
      <c r="QOO37" s="426"/>
      <c r="QOP37" s="424"/>
      <c r="QOQ37" s="426"/>
      <c r="QOR37" s="424"/>
      <c r="QOS37" s="426"/>
      <c r="QOT37" s="424"/>
      <c r="QOU37" s="426"/>
      <c r="QOV37" s="424"/>
      <c r="QOW37" s="426"/>
      <c r="QOX37" s="424"/>
      <c r="QOY37" s="426"/>
      <c r="QOZ37" s="424"/>
      <c r="QPA37" s="426"/>
      <c r="QPB37" s="424"/>
      <c r="QPC37" s="426"/>
      <c r="QPD37" s="424"/>
      <c r="QPE37" s="426"/>
      <c r="QPF37" s="424"/>
      <c r="QPG37" s="426"/>
      <c r="QPH37" s="424"/>
      <c r="QPI37" s="426"/>
      <c r="QPJ37" s="424"/>
      <c r="QPK37" s="426"/>
      <c r="QPL37" s="424"/>
      <c r="QPM37" s="426"/>
      <c r="QPN37" s="424"/>
      <c r="QPO37" s="426"/>
      <c r="QPP37" s="424"/>
      <c r="QPQ37" s="426"/>
      <c r="QPR37" s="424"/>
      <c r="QPS37" s="426"/>
      <c r="QPT37" s="424"/>
      <c r="QPU37" s="426"/>
      <c r="QPV37" s="424"/>
      <c r="QPW37" s="426"/>
      <c r="QPX37" s="424"/>
      <c r="QPY37" s="426"/>
      <c r="QPZ37" s="424"/>
      <c r="QQA37" s="426"/>
      <c r="QQB37" s="424"/>
      <c r="QQC37" s="426"/>
      <c r="QQD37" s="424"/>
      <c r="QQE37" s="426"/>
      <c r="QQF37" s="424"/>
      <c r="QQG37" s="426"/>
      <c r="QQH37" s="424"/>
      <c r="QQI37" s="426"/>
      <c r="QQJ37" s="424"/>
      <c r="QQK37" s="426"/>
      <c r="QQL37" s="424"/>
      <c r="QQM37" s="426"/>
      <c r="QQN37" s="424"/>
      <c r="QQO37" s="426"/>
      <c r="QQP37" s="424"/>
      <c r="QQQ37" s="426"/>
      <c r="QQR37" s="424"/>
      <c r="QQS37" s="426"/>
      <c r="QQT37" s="424"/>
      <c r="QQU37" s="426"/>
      <c r="QQV37" s="424"/>
      <c r="QQW37" s="426"/>
      <c r="QQX37" s="424"/>
      <c r="QQY37" s="426"/>
      <c r="QQZ37" s="424"/>
      <c r="QRA37" s="426"/>
      <c r="QRB37" s="424"/>
      <c r="QRC37" s="426"/>
      <c r="QRD37" s="424"/>
      <c r="QRE37" s="426"/>
      <c r="QRF37" s="424"/>
      <c r="QRG37" s="426"/>
      <c r="QRH37" s="424"/>
      <c r="QRI37" s="426"/>
      <c r="QRJ37" s="424"/>
      <c r="QRK37" s="426"/>
      <c r="QRL37" s="424"/>
      <c r="QRM37" s="426"/>
      <c r="QRN37" s="424"/>
      <c r="QRO37" s="426"/>
      <c r="QRP37" s="424"/>
      <c r="QRQ37" s="426"/>
      <c r="QRR37" s="424"/>
      <c r="QRS37" s="426"/>
      <c r="QRT37" s="424"/>
      <c r="QRU37" s="426"/>
      <c r="QRV37" s="424"/>
      <c r="QRW37" s="426"/>
      <c r="QRX37" s="424"/>
      <c r="QRY37" s="426"/>
      <c r="QRZ37" s="424"/>
      <c r="QSA37" s="426"/>
      <c r="QSB37" s="424"/>
      <c r="QSC37" s="426"/>
      <c r="QSD37" s="424"/>
      <c r="QSE37" s="426"/>
      <c r="QSF37" s="424"/>
      <c r="QSG37" s="426"/>
      <c r="QSH37" s="424"/>
      <c r="QSI37" s="426"/>
      <c r="QSJ37" s="424"/>
      <c r="QSK37" s="426"/>
      <c r="QSL37" s="424"/>
      <c r="QSM37" s="426"/>
      <c r="QSN37" s="424"/>
      <c r="QSO37" s="426"/>
      <c r="QSP37" s="424"/>
      <c r="QSQ37" s="426"/>
      <c r="QSR37" s="424"/>
      <c r="QSS37" s="426"/>
      <c r="QST37" s="424"/>
      <c r="QSU37" s="426"/>
      <c r="QSV37" s="424"/>
      <c r="QSW37" s="426"/>
      <c r="QSX37" s="424"/>
      <c r="QSY37" s="426"/>
      <c r="QSZ37" s="424"/>
      <c r="QTA37" s="426"/>
      <c r="QTB37" s="424"/>
      <c r="QTC37" s="426"/>
      <c r="QTD37" s="424"/>
      <c r="QTE37" s="426"/>
      <c r="QTF37" s="424"/>
      <c r="QTG37" s="426"/>
      <c r="QTH37" s="424"/>
      <c r="QTI37" s="426"/>
      <c r="QTJ37" s="424"/>
      <c r="QTK37" s="426"/>
      <c r="QTL37" s="424"/>
      <c r="QTM37" s="426"/>
      <c r="QTN37" s="424"/>
      <c r="QTO37" s="426"/>
      <c r="QTP37" s="424"/>
      <c r="QTQ37" s="426"/>
      <c r="QTR37" s="424"/>
      <c r="QTS37" s="426"/>
      <c r="QTT37" s="424"/>
      <c r="QTU37" s="426"/>
      <c r="QTV37" s="424"/>
      <c r="QTW37" s="426"/>
      <c r="QTX37" s="424"/>
      <c r="QTY37" s="426"/>
      <c r="QTZ37" s="424"/>
      <c r="QUA37" s="426"/>
      <c r="QUB37" s="424"/>
      <c r="QUC37" s="426"/>
      <c r="QUD37" s="424"/>
      <c r="QUE37" s="426"/>
      <c r="QUF37" s="424"/>
      <c r="QUG37" s="426"/>
      <c r="QUH37" s="424"/>
      <c r="QUI37" s="426"/>
      <c r="QUJ37" s="424"/>
      <c r="QUK37" s="426"/>
      <c r="QUL37" s="424"/>
      <c r="QUM37" s="426"/>
      <c r="QUN37" s="424"/>
      <c r="QUO37" s="426"/>
      <c r="QUP37" s="424"/>
      <c r="QUQ37" s="426"/>
      <c r="QUR37" s="424"/>
      <c r="QUS37" s="426"/>
      <c r="QUT37" s="424"/>
      <c r="QUU37" s="426"/>
      <c r="QUV37" s="424"/>
      <c r="QUW37" s="426"/>
      <c r="QUX37" s="424"/>
      <c r="QUY37" s="426"/>
      <c r="QUZ37" s="424"/>
      <c r="QVA37" s="426"/>
      <c r="QVB37" s="424"/>
      <c r="QVC37" s="426"/>
      <c r="QVD37" s="424"/>
      <c r="QVE37" s="426"/>
      <c r="QVF37" s="424"/>
      <c r="QVG37" s="426"/>
      <c r="QVH37" s="424"/>
      <c r="QVI37" s="426"/>
      <c r="QVJ37" s="424"/>
      <c r="QVK37" s="426"/>
      <c r="QVL37" s="424"/>
      <c r="QVM37" s="426"/>
      <c r="QVN37" s="424"/>
      <c r="QVO37" s="426"/>
      <c r="QVP37" s="424"/>
      <c r="QVQ37" s="426"/>
      <c r="QVR37" s="424"/>
      <c r="QVS37" s="426"/>
      <c r="QVT37" s="424"/>
      <c r="QVU37" s="426"/>
      <c r="QVV37" s="424"/>
      <c r="QVW37" s="426"/>
      <c r="QVX37" s="424"/>
      <c r="QVY37" s="426"/>
      <c r="QVZ37" s="424"/>
      <c r="QWA37" s="426"/>
      <c r="QWB37" s="424"/>
      <c r="QWC37" s="426"/>
      <c r="QWD37" s="424"/>
      <c r="QWE37" s="426"/>
      <c r="QWF37" s="424"/>
      <c r="QWG37" s="426"/>
      <c r="QWH37" s="424"/>
      <c r="QWI37" s="426"/>
      <c r="QWJ37" s="424"/>
      <c r="QWK37" s="426"/>
      <c r="QWL37" s="424"/>
      <c r="QWM37" s="426"/>
      <c r="QWN37" s="424"/>
      <c r="QWO37" s="426"/>
      <c r="QWP37" s="424"/>
      <c r="QWQ37" s="426"/>
      <c r="QWR37" s="424"/>
      <c r="QWS37" s="426"/>
      <c r="QWT37" s="424"/>
      <c r="QWU37" s="426"/>
      <c r="QWV37" s="424"/>
      <c r="QWW37" s="426"/>
      <c r="QWX37" s="424"/>
      <c r="QWY37" s="426"/>
      <c r="QWZ37" s="424"/>
      <c r="QXA37" s="426"/>
      <c r="QXB37" s="424"/>
      <c r="QXC37" s="426"/>
      <c r="QXD37" s="424"/>
      <c r="QXE37" s="426"/>
      <c r="QXF37" s="424"/>
      <c r="QXG37" s="426"/>
      <c r="QXH37" s="424"/>
      <c r="QXI37" s="426"/>
      <c r="QXJ37" s="424"/>
      <c r="QXK37" s="426"/>
      <c r="QXL37" s="424"/>
      <c r="QXM37" s="426"/>
      <c r="QXN37" s="424"/>
      <c r="QXO37" s="426"/>
      <c r="QXP37" s="424"/>
      <c r="QXQ37" s="426"/>
      <c r="QXR37" s="424"/>
      <c r="QXS37" s="426"/>
      <c r="QXT37" s="424"/>
      <c r="QXU37" s="426"/>
      <c r="QXV37" s="424"/>
      <c r="QXW37" s="426"/>
      <c r="QXX37" s="424"/>
      <c r="QXY37" s="426"/>
      <c r="QXZ37" s="424"/>
      <c r="QYA37" s="426"/>
      <c r="QYB37" s="424"/>
      <c r="QYC37" s="426"/>
      <c r="QYD37" s="424"/>
      <c r="QYE37" s="426"/>
      <c r="QYF37" s="424"/>
      <c r="QYG37" s="426"/>
      <c r="QYH37" s="424"/>
      <c r="QYI37" s="426"/>
      <c r="QYJ37" s="424"/>
      <c r="QYK37" s="426"/>
      <c r="QYL37" s="424"/>
      <c r="QYM37" s="426"/>
      <c r="QYN37" s="424"/>
      <c r="QYO37" s="426"/>
      <c r="QYP37" s="424"/>
      <c r="QYQ37" s="426"/>
      <c r="QYR37" s="424"/>
      <c r="QYS37" s="426"/>
      <c r="QYT37" s="424"/>
      <c r="QYU37" s="426"/>
      <c r="QYV37" s="424"/>
      <c r="QYW37" s="426"/>
      <c r="QYX37" s="424"/>
      <c r="QYY37" s="426"/>
      <c r="QYZ37" s="424"/>
      <c r="QZA37" s="426"/>
      <c r="QZB37" s="424"/>
      <c r="QZC37" s="426"/>
      <c r="QZD37" s="424"/>
      <c r="QZE37" s="426"/>
      <c r="QZF37" s="424"/>
      <c r="QZG37" s="426"/>
      <c r="QZH37" s="424"/>
      <c r="QZI37" s="426"/>
      <c r="QZJ37" s="424"/>
      <c r="QZK37" s="426"/>
      <c r="QZL37" s="424"/>
      <c r="QZM37" s="426"/>
      <c r="QZN37" s="424"/>
      <c r="QZO37" s="426"/>
      <c r="QZP37" s="424"/>
      <c r="QZQ37" s="426"/>
      <c r="QZR37" s="424"/>
      <c r="QZS37" s="426"/>
      <c r="QZT37" s="424"/>
      <c r="QZU37" s="426"/>
      <c r="QZV37" s="424"/>
      <c r="QZW37" s="426"/>
      <c r="QZX37" s="424"/>
      <c r="QZY37" s="426"/>
      <c r="QZZ37" s="424"/>
      <c r="RAA37" s="426"/>
      <c r="RAB37" s="424"/>
      <c r="RAC37" s="426"/>
      <c r="RAD37" s="424"/>
      <c r="RAE37" s="426"/>
      <c r="RAF37" s="424"/>
      <c r="RAG37" s="426"/>
      <c r="RAH37" s="424"/>
      <c r="RAI37" s="426"/>
      <c r="RAJ37" s="424"/>
      <c r="RAK37" s="426"/>
      <c r="RAL37" s="424"/>
      <c r="RAM37" s="426"/>
      <c r="RAN37" s="424"/>
      <c r="RAO37" s="426"/>
      <c r="RAP37" s="424"/>
      <c r="RAQ37" s="426"/>
      <c r="RAR37" s="424"/>
      <c r="RAS37" s="426"/>
      <c r="RAT37" s="424"/>
      <c r="RAU37" s="426"/>
      <c r="RAV37" s="424"/>
      <c r="RAW37" s="426"/>
      <c r="RAX37" s="424"/>
      <c r="RAY37" s="426"/>
      <c r="RAZ37" s="424"/>
      <c r="RBA37" s="426"/>
      <c r="RBB37" s="424"/>
      <c r="RBC37" s="426"/>
      <c r="RBD37" s="424"/>
      <c r="RBE37" s="426"/>
      <c r="RBF37" s="424"/>
      <c r="RBG37" s="426"/>
      <c r="RBH37" s="424"/>
      <c r="RBI37" s="426"/>
      <c r="RBJ37" s="424"/>
      <c r="RBK37" s="426"/>
      <c r="RBL37" s="424"/>
      <c r="RBM37" s="426"/>
      <c r="RBN37" s="424"/>
      <c r="RBO37" s="426"/>
      <c r="RBP37" s="424"/>
      <c r="RBQ37" s="426"/>
      <c r="RBR37" s="424"/>
      <c r="RBS37" s="426"/>
      <c r="RBT37" s="424"/>
      <c r="RBU37" s="426"/>
      <c r="RBV37" s="424"/>
      <c r="RBW37" s="426"/>
      <c r="RBX37" s="424"/>
      <c r="RBY37" s="426"/>
      <c r="RBZ37" s="424"/>
      <c r="RCA37" s="426"/>
      <c r="RCB37" s="424"/>
      <c r="RCC37" s="426"/>
      <c r="RCD37" s="424"/>
      <c r="RCE37" s="426"/>
      <c r="RCF37" s="424"/>
      <c r="RCG37" s="426"/>
      <c r="RCH37" s="424"/>
      <c r="RCI37" s="426"/>
      <c r="RCJ37" s="424"/>
      <c r="RCK37" s="426"/>
      <c r="RCL37" s="424"/>
      <c r="RCM37" s="426"/>
      <c r="RCN37" s="424"/>
      <c r="RCO37" s="426"/>
      <c r="RCP37" s="424"/>
      <c r="RCQ37" s="426"/>
      <c r="RCR37" s="424"/>
      <c r="RCS37" s="426"/>
      <c r="RCT37" s="424"/>
      <c r="RCU37" s="426"/>
      <c r="RCV37" s="424"/>
      <c r="RCW37" s="426"/>
      <c r="RCX37" s="424"/>
      <c r="RCY37" s="426"/>
      <c r="RCZ37" s="424"/>
      <c r="RDA37" s="426"/>
      <c r="RDB37" s="424"/>
      <c r="RDC37" s="426"/>
      <c r="RDD37" s="424"/>
      <c r="RDE37" s="426"/>
      <c r="RDF37" s="424"/>
      <c r="RDG37" s="426"/>
      <c r="RDH37" s="424"/>
      <c r="RDI37" s="426"/>
      <c r="RDJ37" s="424"/>
      <c r="RDK37" s="426"/>
      <c r="RDL37" s="424"/>
      <c r="RDM37" s="426"/>
      <c r="RDN37" s="424"/>
      <c r="RDO37" s="426"/>
      <c r="RDP37" s="424"/>
      <c r="RDQ37" s="426"/>
      <c r="RDR37" s="424"/>
      <c r="RDS37" s="426"/>
      <c r="RDT37" s="424"/>
      <c r="RDU37" s="426"/>
      <c r="RDV37" s="424"/>
      <c r="RDW37" s="426"/>
      <c r="RDX37" s="424"/>
      <c r="RDY37" s="426"/>
      <c r="RDZ37" s="424"/>
      <c r="REA37" s="426"/>
      <c r="REB37" s="424"/>
      <c r="REC37" s="426"/>
      <c r="RED37" s="424"/>
      <c r="REE37" s="426"/>
      <c r="REF37" s="424"/>
      <c r="REG37" s="426"/>
      <c r="REH37" s="424"/>
      <c r="REI37" s="426"/>
      <c r="REJ37" s="424"/>
      <c r="REK37" s="426"/>
      <c r="REL37" s="424"/>
      <c r="REM37" s="426"/>
      <c r="REN37" s="424"/>
      <c r="REO37" s="426"/>
      <c r="REP37" s="424"/>
      <c r="REQ37" s="426"/>
      <c r="RER37" s="424"/>
      <c r="RES37" s="426"/>
      <c r="RET37" s="424"/>
      <c r="REU37" s="426"/>
      <c r="REV37" s="424"/>
      <c r="REW37" s="426"/>
      <c r="REX37" s="424"/>
      <c r="REY37" s="426"/>
      <c r="REZ37" s="424"/>
      <c r="RFA37" s="426"/>
      <c r="RFB37" s="424"/>
      <c r="RFC37" s="426"/>
      <c r="RFD37" s="424"/>
      <c r="RFE37" s="426"/>
      <c r="RFF37" s="424"/>
      <c r="RFG37" s="426"/>
      <c r="RFH37" s="424"/>
      <c r="RFI37" s="426"/>
      <c r="RFJ37" s="424"/>
      <c r="RFK37" s="426"/>
      <c r="RFL37" s="424"/>
      <c r="RFM37" s="426"/>
      <c r="RFN37" s="424"/>
      <c r="RFO37" s="426"/>
      <c r="RFP37" s="424"/>
      <c r="RFQ37" s="426"/>
      <c r="RFR37" s="424"/>
      <c r="RFS37" s="426"/>
      <c r="RFT37" s="424"/>
      <c r="RFU37" s="426"/>
      <c r="RFV37" s="424"/>
      <c r="RFW37" s="426"/>
      <c r="RFX37" s="424"/>
      <c r="RFY37" s="426"/>
      <c r="RFZ37" s="424"/>
      <c r="RGA37" s="426"/>
      <c r="RGB37" s="424"/>
      <c r="RGC37" s="426"/>
      <c r="RGD37" s="424"/>
      <c r="RGE37" s="426"/>
      <c r="RGF37" s="424"/>
      <c r="RGG37" s="426"/>
      <c r="RGH37" s="424"/>
      <c r="RGI37" s="426"/>
      <c r="RGJ37" s="424"/>
      <c r="RGK37" s="426"/>
      <c r="RGL37" s="424"/>
      <c r="RGM37" s="426"/>
      <c r="RGN37" s="424"/>
      <c r="RGO37" s="426"/>
      <c r="RGP37" s="424"/>
      <c r="RGQ37" s="426"/>
      <c r="RGR37" s="424"/>
      <c r="RGS37" s="426"/>
      <c r="RGT37" s="424"/>
      <c r="RGU37" s="426"/>
      <c r="RGV37" s="424"/>
      <c r="RGW37" s="426"/>
      <c r="RGX37" s="424"/>
      <c r="RGY37" s="426"/>
      <c r="RGZ37" s="424"/>
      <c r="RHA37" s="426"/>
      <c r="RHB37" s="424"/>
      <c r="RHC37" s="426"/>
      <c r="RHD37" s="424"/>
      <c r="RHE37" s="426"/>
      <c r="RHF37" s="424"/>
      <c r="RHG37" s="426"/>
      <c r="RHH37" s="424"/>
      <c r="RHI37" s="426"/>
      <c r="RHJ37" s="424"/>
      <c r="RHK37" s="426"/>
      <c r="RHL37" s="424"/>
      <c r="RHM37" s="426"/>
      <c r="RHN37" s="424"/>
      <c r="RHO37" s="426"/>
      <c r="RHP37" s="424"/>
      <c r="RHQ37" s="426"/>
      <c r="RHR37" s="424"/>
      <c r="RHS37" s="426"/>
      <c r="RHT37" s="424"/>
      <c r="RHU37" s="426"/>
      <c r="RHV37" s="424"/>
      <c r="RHW37" s="426"/>
      <c r="RHX37" s="424"/>
      <c r="RHY37" s="426"/>
      <c r="RHZ37" s="424"/>
      <c r="RIA37" s="426"/>
      <c r="RIB37" s="424"/>
      <c r="RIC37" s="426"/>
      <c r="RID37" s="424"/>
      <c r="RIE37" s="426"/>
      <c r="RIF37" s="424"/>
      <c r="RIG37" s="426"/>
      <c r="RIH37" s="424"/>
      <c r="RII37" s="426"/>
      <c r="RIJ37" s="424"/>
      <c r="RIK37" s="426"/>
      <c r="RIL37" s="424"/>
      <c r="RIM37" s="426"/>
      <c r="RIN37" s="424"/>
      <c r="RIO37" s="426"/>
      <c r="RIP37" s="424"/>
      <c r="RIQ37" s="426"/>
      <c r="RIR37" s="424"/>
      <c r="RIS37" s="426"/>
      <c r="RIT37" s="424"/>
      <c r="RIU37" s="426"/>
      <c r="RIV37" s="424"/>
      <c r="RIW37" s="426"/>
      <c r="RIX37" s="424"/>
      <c r="RIY37" s="426"/>
      <c r="RIZ37" s="424"/>
      <c r="RJA37" s="426"/>
      <c r="RJB37" s="424"/>
      <c r="RJC37" s="426"/>
      <c r="RJD37" s="424"/>
      <c r="RJE37" s="426"/>
      <c r="RJF37" s="424"/>
      <c r="RJG37" s="426"/>
      <c r="RJH37" s="424"/>
      <c r="RJI37" s="426"/>
      <c r="RJJ37" s="424"/>
      <c r="RJK37" s="426"/>
      <c r="RJL37" s="424"/>
      <c r="RJM37" s="426"/>
      <c r="RJN37" s="424"/>
      <c r="RJO37" s="426"/>
      <c r="RJP37" s="424"/>
      <c r="RJQ37" s="426"/>
      <c r="RJR37" s="424"/>
      <c r="RJS37" s="426"/>
      <c r="RJT37" s="424"/>
      <c r="RJU37" s="426"/>
      <c r="RJV37" s="424"/>
      <c r="RJW37" s="426"/>
      <c r="RJX37" s="424"/>
      <c r="RJY37" s="426"/>
      <c r="RJZ37" s="424"/>
      <c r="RKA37" s="426"/>
      <c r="RKB37" s="424"/>
      <c r="RKC37" s="426"/>
      <c r="RKD37" s="424"/>
      <c r="RKE37" s="426"/>
      <c r="RKF37" s="424"/>
      <c r="RKG37" s="426"/>
      <c r="RKH37" s="424"/>
      <c r="RKI37" s="426"/>
      <c r="RKJ37" s="424"/>
      <c r="RKK37" s="426"/>
      <c r="RKL37" s="424"/>
      <c r="RKM37" s="426"/>
      <c r="RKN37" s="424"/>
      <c r="RKO37" s="426"/>
      <c r="RKP37" s="424"/>
      <c r="RKQ37" s="426"/>
      <c r="RKR37" s="424"/>
      <c r="RKS37" s="426"/>
      <c r="RKT37" s="424"/>
      <c r="RKU37" s="426"/>
      <c r="RKV37" s="424"/>
      <c r="RKW37" s="426"/>
      <c r="RKX37" s="424"/>
      <c r="RKY37" s="426"/>
      <c r="RKZ37" s="424"/>
      <c r="RLA37" s="426"/>
      <c r="RLB37" s="424"/>
      <c r="RLC37" s="426"/>
      <c r="RLD37" s="424"/>
      <c r="RLE37" s="426"/>
      <c r="RLF37" s="424"/>
      <c r="RLG37" s="426"/>
      <c r="RLH37" s="424"/>
      <c r="RLI37" s="426"/>
      <c r="RLJ37" s="424"/>
      <c r="RLK37" s="426"/>
      <c r="RLL37" s="424"/>
      <c r="RLM37" s="426"/>
      <c r="RLN37" s="424"/>
      <c r="RLO37" s="426"/>
      <c r="RLP37" s="424"/>
      <c r="RLQ37" s="426"/>
      <c r="RLR37" s="424"/>
      <c r="RLS37" s="426"/>
      <c r="RLT37" s="424"/>
      <c r="RLU37" s="426"/>
      <c r="RLV37" s="424"/>
      <c r="RLW37" s="426"/>
      <c r="RLX37" s="424"/>
      <c r="RLY37" s="426"/>
      <c r="RLZ37" s="424"/>
      <c r="RMA37" s="426"/>
      <c r="RMB37" s="424"/>
      <c r="RMC37" s="426"/>
      <c r="RMD37" s="424"/>
      <c r="RME37" s="426"/>
      <c r="RMF37" s="424"/>
      <c r="RMG37" s="426"/>
      <c r="RMH37" s="424"/>
      <c r="RMI37" s="426"/>
      <c r="RMJ37" s="424"/>
      <c r="RMK37" s="426"/>
      <c r="RML37" s="424"/>
      <c r="RMM37" s="426"/>
      <c r="RMN37" s="424"/>
      <c r="RMO37" s="426"/>
      <c r="RMP37" s="424"/>
      <c r="RMQ37" s="426"/>
      <c r="RMR37" s="424"/>
      <c r="RMS37" s="426"/>
      <c r="RMT37" s="424"/>
      <c r="RMU37" s="426"/>
      <c r="RMV37" s="424"/>
      <c r="RMW37" s="426"/>
      <c r="RMX37" s="424"/>
      <c r="RMY37" s="426"/>
      <c r="RMZ37" s="424"/>
      <c r="RNA37" s="426"/>
      <c r="RNB37" s="424"/>
      <c r="RNC37" s="426"/>
      <c r="RND37" s="424"/>
      <c r="RNE37" s="426"/>
      <c r="RNF37" s="424"/>
      <c r="RNG37" s="426"/>
      <c r="RNH37" s="424"/>
      <c r="RNI37" s="426"/>
      <c r="RNJ37" s="424"/>
      <c r="RNK37" s="426"/>
      <c r="RNL37" s="424"/>
      <c r="RNM37" s="426"/>
      <c r="RNN37" s="424"/>
      <c r="RNO37" s="426"/>
      <c r="RNP37" s="424"/>
      <c r="RNQ37" s="426"/>
      <c r="RNR37" s="424"/>
      <c r="RNS37" s="426"/>
      <c r="RNT37" s="424"/>
      <c r="RNU37" s="426"/>
      <c r="RNV37" s="424"/>
      <c r="RNW37" s="426"/>
      <c r="RNX37" s="424"/>
      <c r="RNY37" s="426"/>
      <c r="RNZ37" s="424"/>
      <c r="ROA37" s="426"/>
      <c r="ROB37" s="424"/>
      <c r="ROC37" s="426"/>
      <c r="ROD37" s="424"/>
      <c r="ROE37" s="426"/>
      <c r="ROF37" s="424"/>
      <c r="ROG37" s="426"/>
      <c r="ROH37" s="424"/>
      <c r="ROI37" s="426"/>
      <c r="ROJ37" s="424"/>
      <c r="ROK37" s="426"/>
      <c r="ROL37" s="424"/>
      <c r="ROM37" s="426"/>
      <c r="RON37" s="424"/>
      <c r="ROO37" s="426"/>
      <c r="ROP37" s="424"/>
      <c r="ROQ37" s="426"/>
      <c r="ROR37" s="424"/>
      <c r="ROS37" s="426"/>
      <c r="ROT37" s="424"/>
      <c r="ROU37" s="426"/>
      <c r="ROV37" s="424"/>
      <c r="ROW37" s="426"/>
      <c r="ROX37" s="424"/>
      <c r="ROY37" s="426"/>
      <c r="ROZ37" s="424"/>
      <c r="RPA37" s="426"/>
      <c r="RPB37" s="424"/>
      <c r="RPC37" s="426"/>
      <c r="RPD37" s="424"/>
      <c r="RPE37" s="426"/>
      <c r="RPF37" s="424"/>
      <c r="RPG37" s="426"/>
      <c r="RPH37" s="424"/>
      <c r="RPI37" s="426"/>
      <c r="RPJ37" s="424"/>
      <c r="RPK37" s="426"/>
      <c r="RPL37" s="424"/>
      <c r="RPM37" s="426"/>
      <c r="RPN37" s="424"/>
      <c r="RPO37" s="426"/>
      <c r="RPP37" s="424"/>
      <c r="RPQ37" s="426"/>
      <c r="RPR37" s="424"/>
      <c r="RPS37" s="426"/>
      <c r="RPT37" s="424"/>
      <c r="RPU37" s="426"/>
      <c r="RPV37" s="424"/>
      <c r="RPW37" s="426"/>
      <c r="RPX37" s="424"/>
      <c r="RPY37" s="426"/>
      <c r="RPZ37" s="424"/>
      <c r="RQA37" s="426"/>
      <c r="RQB37" s="424"/>
      <c r="RQC37" s="426"/>
      <c r="RQD37" s="424"/>
      <c r="RQE37" s="426"/>
      <c r="RQF37" s="424"/>
      <c r="RQG37" s="426"/>
      <c r="RQH37" s="424"/>
      <c r="RQI37" s="426"/>
      <c r="RQJ37" s="424"/>
      <c r="RQK37" s="426"/>
      <c r="RQL37" s="424"/>
      <c r="RQM37" s="426"/>
      <c r="RQN37" s="424"/>
      <c r="RQO37" s="426"/>
      <c r="RQP37" s="424"/>
      <c r="RQQ37" s="426"/>
      <c r="RQR37" s="424"/>
      <c r="RQS37" s="426"/>
      <c r="RQT37" s="424"/>
      <c r="RQU37" s="426"/>
      <c r="RQV37" s="424"/>
      <c r="RQW37" s="426"/>
      <c r="RQX37" s="424"/>
      <c r="RQY37" s="426"/>
      <c r="RQZ37" s="424"/>
      <c r="RRA37" s="426"/>
      <c r="RRB37" s="424"/>
      <c r="RRC37" s="426"/>
      <c r="RRD37" s="424"/>
      <c r="RRE37" s="426"/>
      <c r="RRF37" s="424"/>
      <c r="RRG37" s="426"/>
      <c r="RRH37" s="424"/>
      <c r="RRI37" s="426"/>
      <c r="RRJ37" s="424"/>
      <c r="RRK37" s="426"/>
      <c r="RRL37" s="424"/>
      <c r="RRM37" s="426"/>
      <c r="RRN37" s="424"/>
      <c r="RRO37" s="426"/>
      <c r="RRP37" s="424"/>
      <c r="RRQ37" s="426"/>
      <c r="RRR37" s="424"/>
      <c r="RRS37" s="426"/>
      <c r="RRT37" s="424"/>
      <c r="RRU37" s="426"/>
      <c r="RRV37" s="424"/>
      <c r="RRW37" s="426"/>
      <c r="RRX37" s="424"/>
      <c r="RRY37" s="426"/>
      <c r="RRZ37" s="424"/>
      <c r="RSA37" s="426"/>
      <c r="RSB37" s="424"/>
      <c r="RSC37" s="426"/>
      <c r="RSD37" s="424"/>
      <c r="RSE37" s="426"/>
      <c r="RSF37" s="424"/>
      <c r="RSG37" s="426"/>
      <c r="RSH37" s="424"/>
      <c r="RSI37" s="426"/>
      <c r="RSJ37" s="424"/>
      <c r="RSK37" s="426"/>
      <c r="RSL37" s="424"/>
      <c r="RSM37" s="426"/>
      <c r="RSN37" s="424"/>
      <c r="RSO37" s="426"/>
      <c r="RSP37" s="424"/>
      <c r="RSQ37" s="426"/>
      <c r="RSR37" s="424"/>
      <c r="RSS37" s="426"/>
      <c r="RST37" s="424"/>
      <c r="RSU37" s="426"/>
      <c r="RSV37" s="424"/>
      <c r="RSW37" s="426"/>
      <c r="RSX37" s="424"/>
      <c r="RSY37" s="426"/>
      <c r="RSZ37" s="424"/>
      <c r="RTA37" s="426"/>
      <c r="RTB37" s="424"/>
      <c r="RTC37" s="426"/>
      <c r="RTD37" s="424"/>
      <c r="RTE37" s="426"/>
      <c r="RTF37" s="424"/>
      <c r="RTG37" s="426"/>
      <c r="RTH37" s="424"/>
      <c r="RTI37" s="426"/>
      <c r="RTJ37" s="424"/>
      <c r="RTK37" s="426"/>
      <c r="RTL37" s="424"/>
      <c r="RTM37" s="426"/>
      <c r="RTN37" s="424"/>
      <c r="RTO37" s="426"/>
      <c r="RTP37" s="424"/>
      <c r="RTQ37" s="426"/>
      <c r="RTR37" s="424"/>
      <c r="RTS37" s="426"/>
      <c r="RTT37" s="424"/>
      <c r="RTU37" s="426"/>
      <c r="RTV37" s="424"/>
      <c r="RTW37" s="426"/>
      <c r="RTX37" s="424"/>
      <c r="RTY37" s="426"/>
      <c r="RTZ37" s="424"/>
      <c r="RUA37" s="426"/>
      <c r="RUB37" s="424"/>
      <c r="RUC37" s="426"/>
      <c r="RUD37" s="424"/>
      <c r="RUE37" s="426"/>
      <c r="RUF37" s="424"/>
      <c r="RUG37" s="426"/>
      <c r="RUH37" s="424"/>
      <c r="RUI37" s="426"/>
      <c r="RUJ37" s="424"/>
      <c r="RUK37" s="426"/>
      <c r="RUL37" s="424"/>
      <c r="RUM37" s="426"/>
      <c r="RUN37" s="424"/>
      <c r="RUO37" s="426"/>
      <c r="RUP37" s="424"/>
      <c r="RUQ37" s="426"/>
      <c r="RUR37" s="424"/>
      <c r="RUS37" s="426"/>
      <c r="RUT37" s="424"/>
      <c r="RUU37" s="426"/>
      <c r="RUV37" s="424"/>
      <c r="RUW37" s="426"/>
      <c r="RUX37" s="424"/>
      <c r="RUY37" s="426"/>
      <c r="RUZ37" s="424"/>
      <c r="RVA37" s="426"/>
      <c r="RVB37" s="424"/>
      <c r="RVC37" s="426"/>
      <c r="RVD37" s="424"/>
      <c r="RVE37" s="426"/>
      <c r="RVF37" s="424"/>
      <c r="RVG37" s="426"/>
      <c r="RVH37" s="424"/>
      <c r="RVI37" s="426"/>
      <c r="RVJ37" s="424"/>
      <c r="RVK37" s="426"/>
      <c r="RVL37" s="424"/>
      <c r="RVM37" s="426"/>
      <c r="RVN37" s="424"/>
      <c r="RVO37" s="426"/>
      <c r="RVP37" s="424"/>
      <c r="RVQ37" s="426"/>
      <c r="RVR37" s="424"/>
      <c r="RVS37" s="426"/>
      <c r="RVT37" s="424"/>
      <c r="RVU37" s="426"/>
      <c r="RVV37" s="424"/>
      <c r="RVW37" s="426"/>
      <c r="RVX37" s="424"/>
      <c r="RVY37" s="426"/>
      <c r="RVZ37" s="424"/>
      <c r="RWA37" s="426"/>
      <c r="RWB37" s="424"/>
      <c r="RWC37" s="426"/>
      <c r="RWD37" s="424"/>
      <c r="RWE37" s="426"/>
      <c r="RWF37" s="424"/>
      <c r="RWG37" s="426"/>
      <c r="RWH37" s="424"/>
      <c r="RWI37" s="426"/>
      <c r="RWJ37" s="424"/>
      <c r="RWK37" s="426"/>
      <c r="RWL37" s="424"/>
      <c r="RWM37" s="426"/>
      <c r="RWN37" s="424"/>
      <c r="RWO37" s="426"/>
      <c r="RWP37" s="424"/>
      <c r="RWQ37" s="426"/>
      <c r="RWR37" s="424"/>
      <c r="RWS37" s="426"/>
      <c r="RWT37" s="424"/>
      <c r="RWU37" s="426"/>
      <c r="RWV37" s="424"/>
      <c r="RWW37" s="426"/>
      <c r="RWX37" s="424"/>
      <c r="RWY37" s="426"/>
      <c r="RWZ37" s="424"/>
      <c r="RXA37" s="426"/>
      <c r="RXB37" s="424"/>
      <c r="RXC37" s="426"/>
      <c r="RXD37" s="424"/>
      <c r="RXE37" s="426"/>
      <c r="RXF37" s="424"/>
      <c r="RXG37" s="426"/>
      <c r="RXH37" s="424"/>
      <c r="RXI37" s="426"/>
      <c r="RXJ37" s="424"/>
      <c r="RXK37" s="426"/>
      <c r="RXL37" s="424"/>
      <c r="RXM37" s="426"/>
      <c r="RXN37" s="424"/>
      <c r="RXO37" s="426"/>
      <c r="RXP37" s="424"/>
      <c r="RXQ37" s="426"/>
      <c r="RXR37" s="424"/>
      <c r="RXS37" s="426"/>
      <c r="RXT37" s="424"/>
      <c r="RXU37" s="426"/>
      <c r="RXV37" s="424"/>
      <c r="RXW37" s="426"/>
      <c r="RXX37" s="424"/>
      <c r="RXY37" s="426"/>
      <c r="RXZ37" s="424"/>
      <c r="RYA37" s="426"/>
      <c r="RYB37" s="424"/>
      <c r="RYC37" s="426"/>
      <c r="RYD37" s="424"/>
      <c r="RYE37" s="426"/>
      <c r="RYF37" s="424"/>
      <c r="RYG37" s="426"/>
      <c r="RYH37" s="424"/>
      <c r="RYI37" s="426"/>
      <c r="RYJ37" s="424"/>
      <c r="RYK37" s="426"/>
      <c r="RYL37" s="424"/>
      <c r="RYM37" s="426"/>
      <c r="RYN37" s="424"/>
      <c r="RYO37" s="426"/>
      <c r="RYP37" s="424"/>
      <c r="RYQ37" s="426"/>
      <c r="RYR37" s="424"/>
      <c r="RYS37" s="426"/>
      <c r="RYT37" s="424"/>
      <c r="RYU37" s="426"/>
      <c r="RYV37" s="424"/>
      <c r="RYW37" s="426"/>
      <c r="RYX37" s="424"/>
      <c r="RYY37" s="426"/>
      <c r="RYZ37" s="424"/>
      <c r="RZA37" s="426"/>
      <c r="RZB37" s="424"/>
      <c r="RZC37" s="426"/>
      <c r="RZD37" s="424"/>
      <c r="RZE37" s="426"/>
      <c r="RZF37" s="424"/>
      <c r="RZG37" s="426"/>
      <c r="RZH37" s="424"/>
      <c r="RZI37" s="426"/>
      <c r="RZJ37" s="424"/>
      <c r="RZK37" s="426"/>
      <c r="RZL37" s="424"/>
      <c r="RZM37" s="426"/>
      <c r="RZN37" s="424"/>
      <c r="RZO37" s="426"/>
      <c r="RZP37" s="424"/>
      <c r="RZQ37" s="426"/>
      <c r="RZR37" s="424"/>
      <c r="RZS37" s="426"/>
      <c r="RZT37" s="424"/>
      <c r="RZU37" s="426"/>
      <c r="RZV37" s="424"/>
      <c r="RZW37" s="426"/>
      <c r="RZX37" s="424"/>
      <c r="RZY37" s="426"/>
      <c r="RZZ37" s="424"/>
      <c r="SAA37" s="426"/>
      <c r="SAB37" s="424"/>
      <c r="SAC37" s="426"/>
      <c r="SAD37" s="424"/>
      <c r="SAE37" s="426"/>
      <c r="SAF37" s="424"/>
      <c r="SAG37" s="426"/>
      <c r="SAH37" s="424"/>
      <c r="SAI37" s="426"/>
      <c r="SAJ37" s="424"/>
      <c r="SAK37" s="426"/>
      <c r="SAL37" s="424"/>
      <c r="SAM37" s="426"/>
      <c r="SAN37" s="424"/>
      <c r="SAO37" s="426"/>
      <c r="SAP37" s="424"/>
      <c r="SAQ37" s="426"/>
      <c r="SAR37" s="424"/>
      <c r="SAS37" s="426"/>
      <c r="SAT37" s="424"/>
      <c r="SAU37" s="426"/>
      <c r="SAV37" s="424"/>
      <c r="SAW37" s="426"/>
      <c r="SAX37" s="424"/>
      <c r="SAY37" s="426"/>
      <c r="SAZ37" s="424"/>
      <c r="SBA37" s="426"/>
      <c r="SBB37" s="424"/>
      <c r="SBC37" s="426"/>
      <c r="SBD37" s="424"/>
      <c r="SBE37" s="426"/>
      <c r="SBF37" s="424"/>
      <c r="SBG37" s="426"/>
      <c r="SBH37" s="424"/>
      <c r="SBI37" s="426"/>
      <c r="SBJ37" s="424"/>
      <c r="SBK37" s="426"/>
      <c r="SBL37" s="424"/>
      <c r="SBM37" s="426"/>
      <c r="SBN37" s="424"/>
      <c r="SBO37" s="426"/>
      <c r="SBP37" s="424"/>
      <c r="SBQ37" s="426"/>
      <c r="SBR37" s="424"/>
      <c r="SBS37" s="426"/>
      <c r="SBT37" s="424"/>
      <c r="SBU37" s="426"/>
      <c r="SBV37" s="424"/>
      <c r="SBW37" s="426"/>
      <c r="SBX37" s="424"/>
      <c r="SBY37" s="426"/>
      <c r="SBZ37" s="424"/>
      <c r="SCA37" s="426"/>
      <c r="SCB37" s="424"/>
      <c r="SCC37" s="426"/>
      <c r="SCD37" s="424"/>
      <c r="SCE37" s="426"/>
      <c r="SCF37" s="424"/>
      <c r="SCG37" s="426"/>
      <c r="SCH37" s="424"/>
      <c r="SCI37" s="426"/>
      <c r="SCJ37" s="424"/>
      <c r="SCK37" s="426"/>
      <c r="SCL37" s="424"/>
      <c r="SCM37" s="426"/>
      <c r="SCN37" s="424"/>
      <c r="SCO37" s="426"/>
      <c r="SCP37" s="424"/>
      <c r="SCQ37" s="426"/>
      <c r="SCR37" s="424"/>
      <c r="SCS37" s="426"/>
      <c r="SCT37" s="424"/>
      <c r="SCU37" s="426"/>
      <c r="SCV37" s="424"/>
      <c r="SCW37" s="426"/>
      <c r="SCX37" s="424"/>
      <c r="SCY37" s="426"/>
      <c r="SCZ37" s="424"/>
      <c r="SDA37" s="426"/>
      <c r="SDB37" s="424"/>
      <c r="SDC37" s="426"/>
      <c r="SDD37" s="424"/>
      <c r="SDE37" s="426"/>
      <c r="SDF37" s="424"/>
      <c r="SDG37" s="426"/>
      <c r="SDH37" s="424"/>
      <c r="SDI37" s="426"/>
      <c r="SDJ37" s="424"/>
      <c r="SDK37" s="426"/>
      <c r="SDL37" s="424"/>
      <c r="SDM37" s="426"/>
      <c r="SDN37" s="424"/>
      <c r="SDO37" s="426"/>
      <c r="SDP37" s="424"/>
      <c r="SDQ37" s="426"/>
      <c r="SDR37" s="424"/>
      <c r="SDS37" s="426"/>
      <c r="SDT37" s="424"/>
      <c r="SDU37" s="426"/>
      <c r="SDV37" s="424"/>
      <c r="SDW37" s="426"/>
      <c r="SDX37" s="424"/>
      <c r="SDY37" s="426"/>
      <c r="SDZ37" s="424"/>
      <c r="SEA37" s="426"/>
      <c r="SEB37" s="424"/>
      <c r="SEC37" s="426"/>
      <c r="SED37" s="424"/>
      <c r="SEE37" s="426"/>
      <c r="SEF37" s="424"/>
      <c r="SEG37" s="426"/>
      <c r="SEH37" s="424"/>
      <c r="SEI37" s="426"/>
      <c r="SEJ37" s="424"/>
      <c r="SEK37" s="426"/>
      <c r="SEL37" s="424"/>
      <c r="SEM37" s="426"/>
      <c r="SEN37" s="424"/>
      <c r="SEO37" s="426"/>
      <c r="SEP37" s="424"/>
      <c r="SEQ37" s="426"/>
      <c r="SER37" s="424"/>
      <c r="SES37" s="426"/>
      <c r="SET37" s="424"/>
      <c r="SEU37" s="426"/>
      <c r="SEV37" s="424"/>
      <c r="SEW37" s="426"/>
      <c r="SEX37" s="424"/>
      <c r="SEY37" s="426"/>
      <c r="SEZ37" s="424"/>
      <c r="SFA37" s="426"/>
      <c r="SFB37" s="424"/>
      <c r="SFC37" s="426"/>
      <c r="SFD37" s="424"/>
      <c r="SFE37" s="426"/>
      <c r="SFF37" s="424"/>
      <c r="SFG37" s="426"/>
      <c r="SFH37" s="424"/>
      <c r="SFI37" s="426"/>
      <c r="SFJ37" s="424"/>
      <c r="SFK37" s="426"/>
      <c r="SFL37" s="424"/>
      <c r="SFM37" s="426"/>
      <c r="SFN37" s="424"/>
      <c r="SFO37" s="426"/>
      <c r="SFP37" s="424"/>
      <c r="SFQ37" s="426"/>
      <c r="SFR37" s="424"/>
      <c r="SFS37" s="426"/>
      <c r="SFT37" s="424"/>
      <c r="SFU37" s="426"/>
      <c r="SFV37" s="424"/>
      <c r="SFW37" s="426"/>
      <c r="SFX37" s="424"/>
      <c r="SFY37" s="426"/>
      <c r="SFZ37" s="424"/>
      <c r="SGA37" s="426"/>
      <c r="SGB37" s="424"/>
      <c r="SGC37" s="426"/>
      <c r="SGD37" s="424"/>
      <c r="SGE37" s="426"/>
      <c r="SGF37" s="424"/>
      <c r="SGG37" s="426"/>
      <c r="SGH37" s="424"/>
      <c r="SGI37" s="426"/>
      <c r="SGJ37" s="424"/>
      <c r="SGK37" s="426"/>
      <c r="SGL37" s="424"/>
      <c r="SGM37" s="426"/>
      <c r="SGN37" s="424"/>
      <c r="SGO37" s="426"/>
      <c r="SGP37" s="424"/>
      <c r="SGQ37" s="426"/>
      <c r="SGR37" s="424"/>
      <c r="SGS37" s="426"/>
      <c r="SGT37" s="424"/>
      <c r="SGU37" s="426"/>
      <c r="SGV37" s="424"/>
      <c r="SGW37" s="426"/>
      <c r="SGX37" s="424"/>
      <c r="SGY37" s="426"/>
      <c r="SGZ37" s="424"/>
      <c r="SHA37" s="426"/>
      <c r="SHB37" s="424"/>
      <c r="SHC37" s="426"/>
      <c r="SHD37" s="424"/>
      <c r="SHE37" s="426"/>
      <c r="SHF37" s="424"/>
      <c r="SHG37" s="426"/>
      <c r="SHH37" s="424"/>
      <c r="SHI37" s="426"/>
      <c r="SHJ37" s="424"/>
      <c r="SHK37" s="426"/>
      <c r="SHL37" s="424"/>
      <c r="SHM37" s="426"/>
      <c r="SHN37" s="424"/>
      <c r="SHO37" s="426"/>
      <c r="SHP37" s="424"/>
      <c r="SHQ37" s="426"/>
      <c r="SHR37" s="424"/>
      <c r="SHS37" s="426"/>
      <c r="SHT37" s="424"/>
      <c r="SHU37" s="426"/>
      <c r="SHV37" s="424"/>
      <c r="SHW37" s="426"/>
      <c r="SHX37" s="424"/>
      <c r="SHY37" s="426"/>
      <c r="SHZ37" s="424"/>
      <c r="SIA37" s="426"/>
      <c r="SIB37" s="424"/>
      <c r="SIC37" s="426"/>
      <c r="SID37" s="424"/>
      <c r="SIE37" s="426"/>
      <c r="SIF37" s="424"/>
      <c r="SIG37" s="426"/>
      <c r="SIH37" s="424"/>
      <c r="SII37" s="426"/>
      <c r="SIJ37" s="424"/>
      <c r="SIK37" s="426"/>
      <c r="SIL37" s="424"/>
      <c r="SIM37" s="426"/>
      <c r="SIN37" s="424"/>
      <c r="SIO37" s="426"/>
      <c r="SIP37" s="424"/>
      <c r="SIQ37" s="426"/>
      <c r="SIR37" s="424"/>
      <c r="SIS37" s="426"/>
      <c r="SIT37" s="424"/>
      <c r="SIU37" s="426"/>
      <c r="SIV37" s="424"/>
      <c r="SIW37" s="426"/>
      <c r="SIX37" s="424"/>
      <c r="SIY37" s="426"/>
      <c r="SIZ37" s="424"/>
      <c r="SJA37" s="426"/>
      <c r="SJB37" s="424"/>
      <c r="SJC37" s="426"/>
      <c r="SJD37" s="424"/>
      <c r="SJE37" s="426"/>
      <c r="SJF37" s="424"/>
      <c r="SJG37" s="426"/>
      <c r="SJH37" s="424"/>
      <c r="SJI37" s="426"/>
      <c r="SJJ37" s="424"/>
      <c r="SJK37" s="426"/>
      <c r="SJL37" s="424"/>
      <c r="SJM37" s="426"/>
      <c r="SJN37" s="424"/>
      <c r="SJO37" s="426"/>
      <c r="SJP37" s="424"/>
      <c r="SJQ37" s="426"/>
      <c r="SJR37" s="424"/>
      <c r="SJS37" s="426"/>
      <c r="SJT37" s="424"/>
      <c r="SJU37" s="426"/>
      <c r="SJV37" s="424"/>
      <c r="SJW37" s="426"/>
      <c r="SJX37" s="424"/>
      <c r="SJY37" s="426"/>
      <c r="SJZ37" s="424"/>
      <c r="SKA37" s="426"/>
      <c r="SKB37" s="424"/>
      <c r="SKC37" s="426"/>
      <c r="SKD37" s="424"/>
      <c r="SKE37" s="426"/>
      <c r="SKF37" s="424"/>
      <c r="SKG37" s="426"/>
      <c r="SKH37" s="424"/>
      <c r="SKI37" s="426"/>
      <c r="SKJ37" s="424"/>
      <c r="SKK37" s="426"/>
      <c r="SKL37" s="424"/>
      <c r="SKM37" s="426"/>
      <c r="SKN37" s="424"/>
      <c r="SKO37" s="426"/>
      <c r="SKP37" s="424"/>
      <c r="SKQ37" s="426"/>
      <c r="SKR37" s="424"/>
      <c r="SKS37" s="426"/>
      <c r="SKT37" s="424"/>
      <c r="SKU37" s="426"/>
      <c r="SKV37" s="424"/>
      <c r="SKW37" s="426"/>
      <c r="SKX37" s="424"/>
      <c r="SKY37" s="426"/>
      <c r="SKZ37" s="424"/>
      <c r="SLA37" s="426"/>
      <c r="SLB37" s="424"/>
      <c r="SLC37" s="426"/>
      <c r="SLD37" s="424"/>
      <c r="SLE37" s="426"/>
      <c r="SLF37" s="424"/>
      <c r="SLG37" s="426"/>
      <c r="SLH37" s="424"/>
      <c r="SLI37" s="426"/>
      <c r="SLJ37" s="424"/>
      <c r="SLK37" s="426"/>
      <c r="SLL37" s="424"/>
      <c r="SLM37" s="426"/>
      <c r="SLN37" s="424"/>
      <c r="SLO37" s="426"/>
      <c r="SLP37" s="424"/>
      <c r="SLQ37" s="426"/>
      <c r="SLR37" s="424"/>
      <c r="SLS37" s="426"/>
      <c r="SLT37" s="424"/>
      <c r="SLU37" s="426"/>
      <c r="SLV37" s="424"/>
      <c r="SLW37" s="426"/>
      <c r="SLX37" s="424"/>
      <c r="SLY37" s="426"/>
      <c r="SLZ37" s="424"/>
      <c r="SMA37" s="426"/>
      <c r="SMB37" s="424"/>
      <c r="SMC37" s="426"/>
      <c r="SMD37" s="424"/>
      <c r="SME37" s="426"/>
      <c r="SMF37" s="424"/>
      <c r="SMG37" s="426"/>
      <c r="SMH37" s="424"/>
      <c r="SMI37" s="426"/>
      <c r="SMJ37" s="424"/>
      <c r="SMK37" s="426"/>
      <c r="SML37" s="424"/>
      <c r="SMM37" s="426"/>
      <c r="SMN37" s="424"/>
      <c r="SMO37" s="426"/>
      <c r="SMP37" s="424"/>
      <c r="SMQ37" s="426"/>
      <c r="SMR37" s="424"/>
      <c r="SMS37" s="426"/>
      <c r="SMT37" s="424"/>
      <c r="SMU37" s="426"/>
      <c r="SMV37" s="424"/>
      <c r="SMW37" s="426"/>
      <c r="SMX37" s="424"/>
      <c r="SMY37" s="426"/>
      <c r="SMZ37" s="424"/>
      <c r="SNA37" s="426"/>
      <c r="SNB37" s="424"/>
      <c r="SNC37" s="426"/>
      <c r="SND37" s="424"/>
      <c r="SNE37" s="426"/>
      <c r="SNF37" s="424"/>
      <c r="SNG37" s="426"/>
      <c r="SNH37" s="424"/>
      <c r="SNI37" s="426"/>
      <c r="SNJ37" s="424"/>
      <c r="SNK37" s="426"/>
      <c r="SNL37" s="424"/>
      <c r="SNM37" s="426"/>
      <c r="SNN37" s="424"/>
      <c r="SNO37" s="426"/>
      <c r="SNP37" s="424"/>
      <c r="SNQ37" s="426"/>
      <c r="SNR37" s="424"/>
      <c r="SNS37" s="426"/>
      <c r="SNT37" s="424"/>
      <c r="SNU37" s="426"/>
      <c r="SNV37" s="424"/>
      <c r="SNW37" s="426"/>
      <c r="SNX37" s="424"/>
      <c r="SNY37" s="426"/>
      <c r="SNZ37" s="424"/>
      <c r="SOA37" s="426"/>
      <c r="SOB37" s="424"/>
      <c r="SOC37" s="426"/>
      <c r="SOD37" s="424"/>
      <c r="SOE37" s="426"/>
      <c r="SOF37" s="424"/>
      <c r="SOG37" s="426"/>
      <c r="SOH37" s="424"/>
      <c r="SOI37" s="426"/>
      <c r="SOJ37" s="424"/>
      <c r="SOK37" s="426"/>
      <c r="SOL37" s="424"/>
      <c r="SOM37" s="426"/>
      <c r="SON37" s="424"/>
      <c r="SOO37" s="426"/>
      <c r="SOP37" s="424"/>
      <c r="SOQ37" s="426"/>
      <c r="SOR37" s="424"/>
      <c r="SOS37" s="426"/>
      <c r="SOT37" s="424"/>
      <c r="SOU37" s="426"/>
      <c r="SOV37" s="424"/>
      <c r="SOW37" s="426"/>
      <c r="SOX37" s="424"/>
      <c r="SOY37" s="426"/>
      <c r="SOZ37" s="424"/>
      <c r="SPA37" s="426"/>
      <c r="SPB37" s="424"/>
      <c r="SPC37" s="426"/>
      <c r="SPD37" s="424"/>
      <c r="SPE37" s="426"/>
      <c r="SPF37" s="424"/>
      <c r="SPG37" s="426"/>
      <c r="SPH37" s="424"/>
      <c r="SPI37" s="426"/>
      <c r="SPJ37" s="424"/>
      <c r="SPK37" s="426"/>
      <c r="SPL37" s="424"/>
      <c r="SPM37" s="426"/>
      <c r="SPN37" s="424"/>
      <c r="SPO37" s="426"/>
      <c r="SPP37" s="424"/>
      <c r="SPQ37" s="426"/>
      <c r="SPR37" s="424"/>
      <c r="SPS37" s="426"/>
      <c r="SPT37" s="424"/>
      <c r="SPU37" s="426"/>
      <c r="SPV37" s="424"/>
      <c r="SPW37" s="426"/>
      <c r="SPX37" s="424"/>
      <c r="SPY37" s="426"/>
      <c r="SPZ37" s="424"/>
      <c r="SQA37" s="426"/>
      <c r="SQB37" s="424"/>
      <c r="SQC37" s="426"/>
      <c r="SQD37" s="424"/>
      <c r="SQE37" s="426"/>
      <c r="SQF37" s="424"/>
      <c r="SQG37" s="426"/>
      <c r="SQH37" s="424"/>
      <c r="SQI37" s="426"/>
      <c r="SQJ37" s="424"/>
      <c r="SQK37" s="426"/>
      <c r="SQL37" s="424"/>
      <c r="SQM37" s="426"/>
      <c r="SQN37" s="424"/>
      <c r="SQO37" s="426"/>
      <c r="SQP37" s="424"/>
      <c r="SQQ37" s="426"/>
      <c r="SQR37" s="424"/>
      <c r="SQS37" s="426"/>
      <c r="SQT37" s="424"/>
      <c r="SQU37" s="426"/>
      <c r="SQV37" s="424"/>
      <c r="SQW37" s="426"/>
      <c r="SQX37" s="424"/>
      <c r="SQY37" s="426"/>
      <c r="SQZ37" s="424"/>
      <c r="SRA37" s="426"/>
      <c r="SRB37" s="424"/>
      <c r="SRC37" s="426"/>
      <c r="SRD37" s="424"/>
      <c r="SRE37" s="426"/>
      <c r="SRF37" s="424"/>
      <c r="SRG37" s="426"/>
      <c r="SRH37" s="424"/>
      <c r="SRI37" s="426"/>
      <c r="SRJ37" s="424"/>
      <c r="SRK37" s="426"/>
      <c r="SRL37" s="424"/>
      <c r="SRM37" s="426"/>
      <c r="SRN37" s="424"/>
      <c r="SRO37" s="426"/>
      <c r="SRP37" s="424"/>
      <c r="SRQ37" s="426"/>
      <c r="SRR37" s="424"/>
      <c r="SRS37" s="426"/>
      <c r="SRT37" s="424"/>
      <c r="SRU37" s="426"/>
      <c r="SRV37" s="424"/>
      <c r="SRW37" s="426"/>
      <c r="SRX37" s="424"/>
      <c r="SRY37" s="426"/>
      <c r="SRZ37" s="424"/>
      <c r="SSA37" s="426"/>
      <c r="SSB37" s="424"/>
      <c r="SSC37" s="426"/>
      <c r="SSD37" s="424"/>
      <c r="SSE37" s="426"/>
      <c r="SSF37" s="424"/>
      <c r="SSG37" s="426"/>
      <c r="SSH37" s="424"/>
      <c r="SSI37" s="426"/>
      <c r="SSJ37" s="424"/>
      <c r="SSK37" s="426"/>
      <c r="SSL37" s="424"/>
      <c r="SSM37" s="426"/>
      <c r="SSN37" s="424"/>
      <c r="SSO37" s="426"/>
      <c r="SSP37" s="424"/>
      <c r="SSQ37" s="426"/>
      <c r="SSR37" s="424"/>
      <c r="SSS37" s="426"/>
      <c r="SST37" s="424"/>
      <c r="SSU37" s="426"/>
      <c r="SSV37" s="424"/>
      <c r="SSW37" s="426"/>
      <c r="SSX37" s="424"/>
      <c r="SSY37" s="426"/>
      <c r="SSZ37" s="424"/>
      <c r="STA37" s="426"/>
      <c r="STB37" s="424"/>
      <c r="STC37" s="426"/>
      <c r="STD37" s="424"/>
      <c r="STE37" s="426"/>
      <c r="STF37" s="424"/>
      <c r="STG37" s="426"/>
      <c r="STH37" s="424"/>
      <c r="STI37" s="426"/>
      <c r="STJ37" s="424"/>
      <c r="STK37" s="426"/>
      <c r="STL37" s="424"/>
      <c r="STM37" s="426"/>
      <c r="STN37" s="424"/>
      <c r="STO37" s="426"/>
      <c r="STP37" s="424"/>
      <c r="STQ37" s="426"/>
      <c r="STR37" s="424"/>
      <c r="STS37" s="426"/>
      <c r="STT37" s="424"/>
      <c r="STU37" s="426"/>
      <c r="STV37" s="424"/>
      <c r="STW37" s="426"/>
      <c r="STX37" s="424"/>
      <c r="STY37" s="426"/>
      <c r="STZ37" s="424"/>
      <c r="SUA37" s="426"/>
      <c r="SUB37" s="424"/>
      <c r="SUC37" s="426"/>
      <c r="SUD37" s="424"/>
      <c r="SUE37" s="426"/>
      <c r="SUF37" s="424"/>
      <c r="SUG37" s="426"/>
      <c r="SUH37" s="424"/>
      <c r="SUI37" s="426"/>
      <c r="SUJ37" s="424"/>
      <c r="SUK37" s="426"/>
      <c r="SUL37" s="424"/>
      <c r="SUM37" s="426"/>
      <c r="SUN37" s="424"/>
      <c r="SUO37" s="426"/>
      <c r="SUP37" s="424"/>
      <c r="SUQ37" s="426"/>
      <c r="SUR37" s="424"/>
      <c r="SUS37" s="426"/>
      <c r="SUT37" s="424"/>
      <c r="SUU37" s="426"/>
      <c r="SUV37" s="424"/>
      <c r="SUW37" s="426"/>
      <c r="SUX37" s="424"/>
      <c r="SUY37" s="426"/>
      <c r="SUZ37" s="424"/>
      <c r="SVA37" s="426"/>
      <c r="SVB37" s="424"/>
      <c r="SVC37" s="426"/>
      <c r="SVD37" s="424"/>
      <c r="SVE37" s="426"/>
      <c r="SVF37" s="424"/>
      <c r="SVG37" s="426"/>
      <c r="SVH37" s="424"/>
      <c r="SVI37" s="426"/>
      <c r="SVJ37" s="424"/>
      <c r="SVK37" s="426"/>
      <c r="SVL37" s="424"/>
      <c r="SVM37" s="426"/>
      <c r="SVN37" s="424"/>
      <c r="SVO37" s="426"/>
      <c r="SVP37" s="424"/>
      <c r="SVQ37" s="426"/>
      <c r="SVR37" s="424"/>
      <c r="SVS37" s="426"/>
      <c r="SVT37" s="424"/>
      <c r="SVU37" s="426"/>
      <c r="SVV37" s="424"/>
      <c r="SVW37" s="426"/>
      <c r="SVX37" s="424"/>
      <c r="SVY37" s="426"/>
      <c r="SVZ37" s="424"/>
      <c r="SWA37" s="426"/>
      <c r="SWB37" s="424"/>
      <c r="SWC37" s="426"/>
      <c r="SWD37" s="424"/>
      <c r="SWE37" s="426"/>
      <c r="SWF37" s="424"/>
      <c r="SWG37" s="426"/>
      <c r="SWH37" s="424"/>
      <c r="SWI37" s="426"/>
      <c r="SWJ37" s="424"/>
      <c r="SWK37" s="426"/>
      <c r="SWL37" s="424"/>
      <c r="SWM37" s="426"/>
      <c r="SWN37" s="424"/>
      <c r="SWO37" s="426"/>
      <c r="SWP37" s="424"/>
      <c r="SWQ37" s="426"/>
      <c r="SWR37" s="424"/>
      <c r="SWS37" s="426"/>
      <c r="SWT37" s="424"/>
      <c r="SWU37" s="426"/>
      <c r="SWV37" s="424"/>
      <c r="SWW37" s="426"/>
      <c r="SWX37" s="424"/>
      <c r="SWY37" s="426"/>
      <c r="SWZ37" s="424"/>
      <c r="SXA37" s="426"/>
      <c r="SXB37" s="424"/>
      <c r="SXC37" s="426"/>
      <c r="SXD37" s="424"/>
      <c r="SXE37" s="426"/>
      <c r="SXF37" s="424"/>
      <c r="SXG37" s="426"/>
      <c r="SXH37" s="424"/>
      <c r="SXI37" s="426"/>
      <c r="SXJ37" s="424"/>
      <c r="SXK37" s="426"/>
      <c r="SXL37" s="424"/>
      <c r="SXM37" s="426"/>
      <c r="SXN37" s="424"/>
      <c r="SXO37" s="426"/>
      <c r="SXP37" s="424"/>
      <c r="SXQ37" s="426"/>
      <c r="SXR37" s="424"/>
      <c r="SXS37" s="426"/>
      <c r="SXT37" s="424"/>
      <c r="SXU37" s="426"/>
      <c r="SXV37" s="424"/>
      <c r="SXW37" s="426"/>
      <c r="SXX37" s="424"/>
      <c r="SXY37" s="426"/>
      <c r="SXZ37" s="424"/>
      <c r="SYA37" s="426"/>
      <c r="SYB37" s="424"/>
      <c r="SYC37" s="426"/>
      <c r="SYD37" s="424"/>
      <c r="SYE37" s="426"/>
      <c r="SYF37" s="424"/>
      <c r="SYG37" s="426"/>
      <c r="SYH37" s="424"/>
      <c r="SYI37" s="426"/>
      <c r="SYJ37" s="424"/>
      <c r="SYK37" s="426"/>
      <c r="SYL37" s="424"/>
      <c r="SYM37" s="426"/>
      <c r="SYN37" s="424"/>
      <c r="SYO37" s="426"/>
      <c r="SYP37" s="424"/>
      <c r="SYQ37" s="426"/>
      <c r="SYR37" s="424"/>
      <c r="SYS37" s="426"/>
      <c r="SYT37" s="424"/>
      <c r="SYU37" s="426"/>
      <c r="SYV37" s="424"/>
      <c r="SYW37" s="426"/>
      <c r="SYX37" s="424"/>
      <c r="SYY37" s="426"/>
      <c r="SYZ37" s="424"/>
      <c r="SZA37" s="426"/>
      <c r="SZB37" s="424"/>
      <c r="SZC37" s="426"/>
      <c r="SZD37" s="424"/>
      <c r="SZE37" s="426"/>
      <c r="SZF37" s="424"/>
      <c r="SZG37" s="426"/>
      <c r="SZH37" s="424"/>
      <c r="SZI37" s="426"/>
      <c r="SZJ37" s="424"/>
      <c r="SZK37" s="426"/>
      <c r="SZL37" s="424"/>
      <c r="SZM37" s="426"/>
      <c r="SZN37" s="424"/>
      <c r="SZO37" s="426"/>
      <c r="SZP37" s="424"/>
      <c r="SZQ37" s="426"/>
      <c r="SZR37" s="424"/>
      <c r="SZS37" s="426"/>
      <c r="SZT37" s="424"/>
      <c r="SZU37" s="426"/>
      <c r="SZV37" s="424"/>
      <c r="SZW37" s="426"/>
      <c r="SZX37" s="424"/>
      <c r="SZY37" s="426"/>
      <c r="SZZ37" s="424"/>
      <c r="TAA37" s="426"/>
      <c r="TAB37" s="424"/>
      <c r="TAC37" s="426"/>
      <c r="TAD37" s="424"/>
      <c r="TAE37" s="426"/>
      <c r="TAF37" s="424"/>
      <c r="TAG37" s="426"/>
      <c r="TAH37" s="424"/>
      <c r="TAI37" s="426"/>
      <c r="TAJ37" s="424"/>
      <c r="TAK37" s="426"/>
      <c r="TAL37" s="424"/>
      <c r="TAM37" s="426"/>
      <c r="TAN37" s="424"/>
      <c r="TAO37" s="426"/>
      <c r="TAP37" s="424"/>
      <c r="TAQ37" s="426"/>
      <c r="TAR37" s="424"/>
      <c r="TAS37" s="426"/>
      <c r="TAT37" s="424"/>
      <c r="TAU37" s="426"/>
      <c r="TAV37" s="424"/>
      <c r="TAW37" s="426"/>
      <c r="TAX37" s="424"/>
      <c r="TAY37" s="426"/>
      <c r="TAZ37" s="424"/>
      <c r="TBA37" s="426"/>
      <c r="TBB37" s="424"/>
      <c r="TBC37" s="426"/>
      <c r="TBD37" s="424"/>
      <c r="TBE37" s="426"/>
      <c r="TBF37" s="424"/>
      <c r="TBG37" s="426"/>
      <c r="TBH37" s="424"/>
      <c r="TBI37" s="426"/>
      <c r="TBJ37" s="424"/>
      <c r="TBK37" s="426"/>
      <c r="TBL37" s="424"/>
      <c r="TBM37" s="426"/>
      <c r="TBN37" s="424"/>
      <c r="TBO37" s="426"/>
      <c r="TBP37" s="424"/>
      <c r="TBQ37" s="426"/>
      <c r="TBR37" s="424"/>
      <c r="TBS37" s="426"/>
      <c r="TBT37" s="424"/>
      <c r="TBU37" s="426"/>
      <c r="TBV37" s="424"/>
      <c r="TBW37" s="426"/>
      <c r="TBX37" s="424"/>
      <c r="TBY37" s="426"/>
      <c r="TBZ37" s="424"/>
      <c r="TCA37" s="426"/>
      <c r="TCB37" s="424"/>
      <c r="TCC37" s="426"/>
      <c r="TCD37" s="424"/>
      <c r="TCE37" s="426"/>
      <c r="TCF37" s="424"/>
      <c r="TCG37" s="426"/>
      <c r="TCH37" s="424"/>
      <c r="TCI37" s="426"/>
      <c r="TCJ37" s="424"/>
      <c r="TCK37" s="426"/>
      <c r="TCL37" s="424"/>
      <c r="TCM37" s="426"/>
      <c r="TCN37" s="424"/>
      <c r="TCO37" s="426"/>
      <c r="TCP37" s="424"/>
      <c r="TCQ37" s="426"/>
      <c r="TCR37" s="424"/>
      <c r="TCS37" s="426"/>
      <c r="TCT37" s="424"/>
      <c r="TCU37" s="426"/>
      <c r="TCV37" s="424"/>
      <c r="TCW37" s="426"/>
      <c r="TCX37" s="424"/>
      <c r="TCY37" s="426"/>
      <c r="TCZ37" s="424"/>
      <c r="TDA37" s="426"/>
      <c r="TDB37" s="424"/>
      <c r="TDC37" s="426"/>
      <c r="TDD37" s="424"/>
      <c r="TDE37" s="426"/>
      <c r="TDF37" s="424"/>
      <c r="TDG37" s="426"/>
      <c r="TDH37" s="424"/>
      <c r="TDI37" s="426"/>
      <c r="TDJ37" s="424"/>
      <c r="TDK37" s="426"/>
      <c r="TDL37" s="424"/>
      <c r="TDM37" s="426"/>
      <c r="TDN37" s="424"/>
      <c r="TDO37" s="426"/>
      <c r="TDP37" s="424"/>
      <c r="TDQ37" s="426"/>
      <c r="TDR37" s="424"/>
      <c r="TDS37" s="426"/>
      <c r="TDT37" s="424"/>
      <c r="TDU37" s="426"/>
      <c r="TDV37" s="424"/>
      <c r="TDW37" s="426"/>
      <c r="TDX37" s="424"/>
      <c r="TDY37" s="426"/>
      <c r="TDZ37" s="424"/>
      <c r="TEA37" s="426"/>
      <c r="TEB37" s="424"/>
      <c r="TEC37" s="426"/>
      <c r="TED37" s="424"/>
      <c r="TEE37" s="426"/>
      <c r="TEF37" s="424"/>
      <c r="TEG37" s="426"/>
      <c r="TEH37" s="424"/>
      <c r="TEI37" s="426"/>
      <c r="TEJ37" s="424"/>
      <c r="TEK37" s="426"/>
      <c r="TEL37" s="424"/>
      <c r="TEM37" s="426"/>
      <c r="TEN37" s="424"/>
      <c r="TEO37" s="426"/>
      <c r="TEP37" s="424"/>
      <c r="TEQ37" s="426"/>
      <c r="TER37" s="424"/>
      <c r="TES37" s="426"/>
      <c r="TET37" s="424"/>
      <c r="TEU37" s="426"/>
      <c r="TEV37" s="424"/>
      <c r="TEW37" s="426"/>
      <c r="TEX37" s="424"/>
      <c r="TEY37" s="426"/>
      <c r="TEZ37" s="424"/>
      <c r="TFA37" s="426"/>
      <c r="TFB37" s="424"/>
      <c r="TFC37" s="426"/>
      <c r="TFD37" s="424"/>
      <c r="TFE37" s="426"/>
      <c r="TFF37" s="424"/>
      <c r="TFG37" s="426"/>
      <c r="TFH37" s="424"/>
      <c r="TFI37" s="426"/>
      <c r="TFJ37" s="424"/>
      <c r="TFK37" s="426"/>
      <c r="TFL37" s="424"/>
      <c r="TFM37" s="426"/>
      <c r="TFN37" s="424"/>
      <c r="TFO37" s="426"/>
      <c r="TFP37" s="424"/>
      <c r="TFQ37" s="426"/>
      <c r="TFR37" s="424"/>
      <c r="TFS37" s="426"/>
      <c r="TFT37" s="424"/>
      <c r="TFU37" s="426"/>
      <c r="TFV37" s="424"/>
      <c r="TFW37" s="426"/>
      <c r="TFX37" s="424"/>
      <c r="TFY37" s="426"/>
      <c r="TFZ37" s="424"/>
      <c r="TGA37" s="426"/>
      <c r="TGB37" s="424"/>
      <c r="TGC37" s="426"/>
      <c r="TGD37" s="424"/>
      <c r="TGE37" s="426"/>
      <c r="TGF37" s="424"/>
      <c r="TGG37" s="426"/>
      <c r="TGH37" s="424"/>
      <c r="TGI37" s="426"/>
      <c r="TGJ37" s="424"/>
      <c r="TGK37" s="426"/>
      <c r="TGL37" s="424"/>
      <c r="TGM37" s="426"/>
      <c r="TGN37" s="424"/>
      <c r="TGO37" s="426"/>
      <c r="TGP37" s="424"/>
      <c r="TGQ37" s="426"/>
      <c r="TGR37" s="424"/>
      <c r="TGS37" s="426"/>
      <c r="TGT37" s="424"/>
      <c r="TGU37" s="426"/>
      <c r="TGV37" s="424"/>
      <c r="TGW37" s="426"/>
      <c r="TGX37" s="424"/>
      <c r="TGY37" s="426"/>
      <c r="TGZ37" s="424"/>
      <c r="THA37" s="426"/>
      <c r="THB37" s="424"/>
      <c r="THC37" s="426"/>
      <c r="THD37" s="424"/>
      <c r="THE37" s="426"/>
      <c r="THF37" s="424"/>
      <c r="THG37" s="426"/>
      <c r="THH37" s="424"/>
      <c r="THI37" s="426"/>
      <c r="THJ37" s="424"/>
      <c r="THK37" s="426"/>
      <c r="THL37" s="424"/>
      <c r="THM37" s="426"/>
      <c r="THN37" s="424"/>
      <c r="THO37" s="426"/>
      <c r="THP37" s="424"/>
      <c r="THQ37" s="426"/>
      <c r="THR37" s="424"/>
      <c r="THS37" s="426"/>
      <c r="THT37" s="424"/>
      <c r="THU37" s="426"/>
      <c r="THV37" s="424"/>
      <c r="THW37" s="426"/>
      <c r="THX37" s="424"/>
      <c r="THY37" s="426"/>
      <c r="THZ37" s="424"/>
      <c r="TIA37" s="426"/>
      <c r="TIB37" s="424"/>
      <c r="TIC37" s="426"/>
      <c r="TID37" s="424"/>
      <c r="TIE37" s="426"/>
      <c r="TIF37" s="424"/>
      <c r="TIG37" s="426"/>
      <c r="TIH37" s="424"/>
      <c r="TII37" s="426"/>
      <c r="TIJ37" s="424"/>
      <c r="TIK37" s="426"/>
      <c r="TIL37" s="424"/>
      <c r="TIM37" s="426"/>
      <c r="TIN37" s="424"/>
      <c r="TIO37" s="426"/>
      <c r="TIP37" s="424"/>
      <c r="TIQ37" s="426"/>
      <c r="TIR37" s="424"/>
      <c r="TIS37" s="426"/>
      <c r="TIT37" s="424"/>
      <c r="TIU37" s="426"/>
      <c r="TIV37" s="424"/>
      <c r="TIW37" s="426"/>
      <c r="TIX37" s="424"/>
      <c r="TIY37" s="426"/>
      <c r="TIZ37" s="424"/>
      <c r="TJA37" s="426"/>
      <c r="TJB37" s="424"/>
      <c r="TJC37" s="426"/>
      <c r="TJD37" s="424"/>
      <c r="TJE37" s="426"/>
      <c r="TJF37" s="424"/>
      <c r="TJG37" s="426"/>
      <c r="TJH37" s="424"/>
      <c r="TJI37" s="426"/>
      <c r="TJJ37" s="424"/>
      <c r="TJK37" s="426"/>
      <c r="TJL37" s="424"/>
      <c r="TJM37" s="426"/>
      <c r="TJN37" s="424"/>
      <c r="TJO37" s="426"/>
      <c r="TJP37" s="424"/>
      <c r="TJQ37" s="426"/>
      <c r="TJR37" s="424"/>
      <c r="TJS37" s="426"/>
      <c r="TJT37" s="424"/>
      <c r="TJU37" s="426"/>
      <c r="TJV37" s="424"/>
      <c r="TJW37" s="426"/>
      <c r="TJX37" s="424"/>
      <c r="TJY37" s="426"/>
      <c r="TJZ37" s="424"/>
      <c r="TKA37" s="426"/>
      <c r="TKB37" s="424"/>
      <c r="TKC37" s="426"/>
      <c r="TKD37" s="424"/>
      <c r="TKE37" s="426"/>
      <c r="TKF37" s="424"/>
      <c r="TKG37" s="426"/>
      <c r="TKH37" s="424"/>
      <c r="TKI37" s="426"/>
      <c r="TKJ37" s="424"/>
      <c r="TKK37" s="426"/>
      <c r="TKL37" s="424"/>
      <c r="TKM37" s="426"/>
      <c r="TKN37" s="424"/>
      <c r="TKO37" s="426"/>
      <c r="TKP37" s="424"/>
      <c r="TKQ37" s="426"/>
      <c r="TKR37" s="424"/>
      <c r="TKS37" s="426"/>
      <c r="TKT37" s="424"/>
      <c r="TKU37" s="426"/>
      <c r="TKV37" s="424"/>
      <c r="TKW37" s="426"/>
      <c r="TKX37" s="424"/>
      <c r="TKY37" s="426"/>
      <c r="TKZ37" s="424"/>
      <c r="TLA37" s="426"/>
      <c r="TLB37" s="424"/>
      <c r="TLC37" s="426"/>
      <c r="TLD37" s="424"/>
      <c r="TLE37" s="426"/>
      <c r="TLF37" s="424"/>
      <c r="TLG37" s="426"/>
      <c r="TLH37" s="424"/>
      <c r="TLI37" s="426"/>
      <c r="TLJ37" s="424"/>
      <c r="TLK37" s="426"/>
      <c r="TLL37" s="424"/>
      <c r="TLM37" s="426"/>
      <c r="TLN37" s="424"/>
      <c r="TLO37" s="426"/>
      <c r="TLP37" s="424"/>
      <c r="TLQ37" s="426"/>
      <c r="TLR37" s="424"/>
      <c r="TLS37" s="426"/>
      <c r="TLT37" s="424"/>
      <c r="TLU37" s="426"/>
      <c r="TLV37" s="424"/>
      <c r="TLW37" s="426"/>
      <c r="TLX37" s="424"/>
      <c r="TLY37" s="426"/>
      <c r="TLZ37" s="424"/>
      <c r="TMA37" s="426"/>
      <c r="TMB37" s="424"/>
      <c r="TMC37" s="426"/>
      <c r="TMD37" s="424"/>
      <c r="TME37" s="426"/>
      <c r="TMF37" s="424"/>
      <c r="TMG37" s="426"/>
      <c r="TMH37" s="424"/>
      <c r="TMI37" s="426"/>
      <c r="TMJ37" s="424"/>
      <c r="TMK37" s="426"/>
      <c r="TML37" s="424"/>
      <c r="TMM37" s="426"/>
      <c r="TMN37" s="424"/>
      <c r="TMO37" s="426"/>
      <c r="TMP37" s="424"/>
      <c r="TMQ37" s="426"/>
      <c r="TMR37" s="424"/>
      <c r="TMS37" s="426"/>
      <c r="TMT37" s="424"/>
      <c r="TMU37" s="426"/>
      <c r="TMV37" s="424"/>
      <c r="TMW37" s="426"/>
      <c r="TMX37" s="424"/>
      <c r="TMY37" s="426"/>
      <c r="TMZ37" s="424"/>
      <c r="TNA37" s="426"/>
      <c r="TNB37" s="424"/>
      <c r="TNC37" s="426"/>
      <c r="TND37" s="424"/>
      <c r="TNE37" s="426"/>
      <c r="TNF37" s="424"/>
      <c r="TNG37" s="426"/>
      <c r="TNH37" s="424"/>
      <c r="TNI37" s="426"/>
      <c r="TNJ37" s="424"/>
      <c r="TNK37" s="426"/>
      <c r="TNL37" s="424"/>
      <c r="TNM37" s="426"/>
      <c r="TNN37" s="424"/>
      <c r="TNO37" s="426"/>
      <c r="TNP37" s="424"/>
      <c r="TNQ37" s="426"/>
      <c r="TNR37" s="424"/>
      <c r="TNS37" s="426"/>
      <c r="TNT37" s="424"/>
      <c r="TNU37" s="426"/>
      <c r="TNV37" s="424"/>
      <c r="TNW37" s="426"/>
      <c r="TNX37" s="424"/>
      <c r="TNY37" s="426"/>
      <c r="TNZ37" s="424"/>
      <c r="TOA37" s="426"/>
      <c r="TOB37" s="424"/>
      <c r="TOC37" s="426"/>
      <c r="TOD37" s="424"/>
      <c r="TOE37" s="426"/>
      <c r="TOF37" s="424"/>
      <c r="TOG37" s="426"/>
      <c r="TOH37" s="424"/>
      <c r="TOI37" s="426"/>
      <c r="TOJ37" s="424"/>
      <c r="TOK37" s="426"/>
      <c r="TOL37" s="424"/>
      <c r="TOM37" s="426"/>
      <c r="TON37" s="424"/>
      <c r="TOO37" s="426"/>
      <c r="TOP37" s="424"/>
      <c r="TOQ37" s="426"/>
      <c r="TOR37" s="424"/>
      <c r="TOS37" s="426"/>
      <c r="TOT37" s="424"/>
      <c r="TOU37" s="426"/>
      <c r="TOV37" s="424"/>
      <c r="TOW37" s="426"/>
      <c r="TOX37" s="424"/>
      <c r="TOY37" s="426"/>
      <c r="TOZ37" s="424"/>
      <c r="TPA37" s="426"/>
      <c r="TPB37" s="424"/>
      <c r="TPC37" s="426"/>
      <c r="TPD37" s="424"/>
      <c r="TPE37" s="426"/>
      <c r="TPF37" s="424"/>
      <c r="TPG37" s="426"/>
      <c r="TPH37" s="424"/>
      <c r="TPI37" s="426"/>
      <c r="TPJ37" s="424"/>
      <c r="TPK37" s="426"/>
      <c r="TPL37" s="424"/>
      <c r="TPM37" s="426"/>
      <c r="TPN37" s="424"/>
      <c r="TPO37" s="426"/>
      <c r="TPP37" s="424"/>
      <c r="TPQ37" s="426"/>
      <c r="TPR37" s="424"/>
      <c r="TPS37" s="426"/>
      <c r="TPT37" s="424"/>
      <c r="TPU37" s="426"/>
      <c r="TPV37" s="424"/>
      <c r="TPW37" s="426"/>
      <c r="TPX37" s="424"/>
      <c r="TPY37" s="426"/>
      <c r="TPZ37" s="424"/>
      <c r="TQA37" s="426"/>
      <c r="TQB37" s="424"/>
      <c r="TQC37" s="426"/>
      <c r="TQD37" s="424"/>
      <c r="TQE37" s="426"/>
      <c r="TQF37" s="424"/>
      <c r="TQG37" s="426"/>
      <c r="TQH37" s="424"/>
      <c r="TQI37" s="426"/>
      <c r="TQJ37" s="424"/>
      <c r="TQK37" s="426"/>
      <c r="TQL37" s="424"/>
      <c r="TQM37" s="426"/>
      <c r="TQN37" s="424"/>
      <c r="TQO37" s="426"/>
      <c r="TQP37" s="424"/>
      <c r="TQQ37" s="426"/>
      <c r="TQR37" s="424"/>
      <c r="TQS37" s="426"/>
      <c r="TQT37" s="424"/>
      <c r="TQU37" s="426"/>
      <c r="TQV37" s="424"/>
      <c r="TQW37" s="426"/>
      <c r="TQX37" s="424"/>
      <c r="TQY37" s="426"/>
      <c r="TQZ37" s="424"/>
      <c r="TRA37" s="426"/>
      <c r="TRB37" s="424"/>
      <c r="TRC37" s="426"/>
      <c r="TRD37" s="424"/>
      <c r="TRE37" s="426"/>
      <c r="TRF37" s="424"/>
      <c r="TRG37" s="426"/>
      <c r="TRH37" s="424"/>
      <c r="TRI37" s="426"/>
      <c r="TRJ37" s="424"/>
      <c r="TRK37" s="426"/>
      <c r="TRL37" s="424"/>
      <c r="TRM37" s="426"/>
      <c r="TRN37" s="424"/>
      <c r="TRO37" s="426"/>
      <c r="TRP37" s="424"/>
      <c r="TRQ37" s="426"/>
      <c r="TRR37" s="424"/>
      <c r="TRS37" s="426"/>
      <c r="TRT37" s="424"/>
      <c r="TRU37" s="426"/>
      <c r="TRV37" s="424"/>
      <c r="TRW37" s="426"/>
      <c r="TRX37" s="424"/>
      <c r="TRY37" s="426"/>
      <c r="TRZ37" s="424"/>
      <c r="TSA37" s="426"/>
      <c r="TSB37" s="424"/>
      <c r="TSC37" s="426"/>
      <c r="TSD37" s="424"/>
      <c r="TSE37" s="426"/>
      <c r="TSF37" s="424"/>
      <c r="TSG37" s="426"/>
      <c r="TSH37" s="424"/>
      <c r="TSI37" s="426"/>
      <c r="TSJ37" s="424"/>
      <c r="TSK37" s="426"/>
      <c r="TSL37" s="424"/>
      <c r="TSM37" s="426"/>
      <c r="TSN37" s="424"/>
      <c r="TSO37" s="426"/>
      <c r="TSP37" s="424"/>
      <c r="TSQ37" s="426"/>
      <c r="TSR37" s="424"/>
      <c r="TSS37" s="426"/>
      <c r="TST37" s="424"/>
      <c r="TSU37" s="426"/>
      <c r="TSV37" s="424"/>
      <c r="TSW37" s="426"/>
      <c r="TSX37" s="424"/>
      <c r="TSY37" s="426"/>
      <c r="TSZ37" s="424"/>
      <c r="TTA37" s="426"/>
      <c r="TTB37" s="424"/>
      <c r="TTC37" s="426"/>
      <c r="TTD37" s="424"/>
      <c r="TTE37" s="426"/>
      <c r="TTF37" s="424"/>
      <c r="TTG37" s="426"/>
      <c r="TTH37" s="424"/>
      <c r="TTI37" s="426"/>
      <c r="TTJ37" s="424"/>
      <c r="TTK37" s="426"/>
      <c r="TTL37" s="424"/>
      <c r="TTM37" s="426"/>
      <c r="TTN37" s="424"/>
      <c r="TTO37" s="426"/>
      <c r="TTP37" s="424"/>
      <c r="TTQ37" s="426"/>
      <c r="TTR37" s="424"/>
      <c r="TTS37" s="426"/>
      <c r="TTT37" s="424"/>
      <c r="TTU37" s="426"/>
      <c r="TTV37" s="424"/>
      <c r="TTW37" s="426"/>
      <c r="TTX37" s="424"/>
      <c r="TTY37" s="426"/>
      <c r="TTZ37" s="424"/>
      <c r="TUA37" s="426"/>
      <c r="TUB37" s="424"/>
      <c r="TUC37" s="426"/>
      <c r="TUD37" s="424"/>
      <c r="TUE37" s="426"/>
      <c r="TUF37" s="424"/>
      <c r="TUG37" s="426"/>
      <c r="TUH37" s="424"/>
      <c r="TUI37" s="426"/>
      <c r="TUJ37" s="424"/>
      <c r="TUK37" s="426"/>
      <c r="TUL37" s="424"/>
      <c r="TUM37" s="426"/>
      <c r="TUN37" s="424"/>
      <c r="TUO37" s="426"/>
      <c r="TUP37" s="424"/>
      <c r="TUQ37" s="426"/>
      <c r="TUR37" s="424"/>
      <c r="TUS37" s="426"/>
      <c r="TUT37" s="424"/>
      <c r="TUU37" s="426"/>
      <c r="TUV37" s="424"/>
      <c r="TUW37" s="426"/>
      <c r="TUX37" s="424"/>
      <c r="TUY37" s="426"/>
      <c r="TUZ37" s="424"/>
      <c r="TVA37" s="426"/>
      <c r="TVB37" s="424"/>
      <c r="TVC37" s="426"/>
      <c r="TVD37" s="424"/>
      <c r="TVE37" s="426"/>
      <c r="TVF37" s="424"/>
      <c r="TVG37" s="426"/>
      <c r="TVH37" s="424"/>
      <c r="TVI37" s="426"/>
      <c r="TVJ37" s="424"/>
      <c r="TVK37" s="426"/>
      <c r="TVL37" s="424"/>
      <c r="TVM37" s="426"/>
      <c r="TVN37" s="424"/>
      <c r="TVO37" s="426"/>
      <c r="TVP37" s="424"/>
      <c r="TVQ37" s="426"/>
      <c r="TVR37" s="424"/>
      <c r="TVS37" s="426"/>
      <c r="TVT37" s="424"/>
      <c r="TVU37" s="426"/>
      <c r="TVV37" s="424"/>
      <c r="TVW37" s="426"/>
      <c r="TVX37" s="424"/>
      <c r="TVY37" s="426"/>
      <c r="TVZ37" s="424"/>
      <c r="TWA37" s="426"/>
      <c r="TWB37" s="424"/>
      <c r="TWC37" s="426"/>
      <c r="TWD37" s="424"/>
      <c r="TWE37" s="426"/>
      <c r="TWF37" s="424"/>
      <c r="TWG37" s="426"/>
      <c r="TWH37" s="424"/>
      <c r="TWI37" s="426"/>
      <c r="TWJ37" s="424"/>
      <c r="TWK37" s="426"/>
      <c r="TWL37" s="424"/>
      <c r="TWM37" s="426"/>
      <c r="TWN37" s="424"/>
      <c r="TWO37" s="426"/>
      <c r="TWP37" s="424"/>
      <c r="TWQ37" s="426"/>
      <c r="TWR37" s="424"/>
      <c r="TWS37" s="426"/>
      <c r="TWT37" s="424"/>
      <c r="TWU37" s="426"/>
      <c r="TWV37" s="424"/>
      <c r="TWW37" s="426"/>
      <c r="TWX37" s="424"/>
      <c r="TWY37" s="426"/>
      <c r="TWZ37" s="424"/>
      <c r="TXA37" s="426"/>
      <c r="TXB37" s="424"/>
      <c r="TXC37" s="426"/>
      <c r="TXD37" s="424"/>
      <c r="TXE37" s="426"/>
      <c r="TXF37" s="424"/>
      <c r="TXG37" s="426"/>
      <c r="TXH37" s="424"/>
      <c r="TXI37" s="426"/>
      <c r="TXJ37" s="424"/>
      <c r="TXK37" s="426"/>
      <c r="TXL37" s="424"/>
      <c r="TXM37" s="426"/>
      <c r="TXN37" s="424"/>
      <c r="TXO37" s="426"/>
      <c r="TXP37" s="424"/>
      <c r="TXQ37" s="426"/>
      <c r="TXR37" s="424"/>
      <c r="TXS37" s="426"/>
      <c r="TXT37" s="424"/>
      <c r="TXU37" s="426"/>
      <c r="TXV37" s="424"/>
      <c r="TXW37" s="426"/>
      <c r="TXX37" s="424"/>
      <c r="TXY37" s="426"/>
      <c r="TXZ37" s="424"/>
      <c r="TYA37" s="426"/>
      <c r="TYB37" s="424"/>
      <c r="TYC37" s="426"/>
      <c r="TYD37" s="424"/>
      <c r="TYE37" s="426"/>
      <c r="TYF37" s="424"/>
      <c r="TYG37" s="426"/>
      <c r="TYH37" s="424"/>
      <c r="TYI37" s="426"/>
      <c r="TYJ37" s="424"/>
      <c r="TYK37" s="426"/>
      <c r="TYL37" s="424"/>
      <c r="TYM37" s="426"/>
      <c r="TYN37" s="424"/>
      <c r="TYO37" s="426"/>
      <c r="TYP37" s="424"/>
      <c r="TYQ37" s="426"/>
      <c r="TYR37" s="424"/>
      <c r="TYS37" s="426"/>
      <c r="TYT37" s="424"/>
      <c r="TYU37" s="426"/>
      <c r="TYV37" s="424"/>
      <c r="TYW37" s="426"/>
      <c r="TYX37" s="424"/>
      <c r="TYY37" s="426"/>
      <c r="TYZ37" s="424"/>
      <c r="TZA37" s="426"/>
      <c r="TZB37" s="424"/>
      <c r="TZC37" s="426"/>
      <c r="TZD37" s="424"/>
      <c r="TZE37" s="426"/>
      <c r="TZF37" s="424"/>
      <c r="TZG37" s="426"/>
      <c r="TZH37" s="424"/>
      <c r="TZI37" s="426"/>
      <c r="TZJ37" s="424"/>
      <c r="TZK37" s="426"/>
      <c r="TZL37" s="424"/>
      <c r="TZM37" s="426"/>
      <c r="TZN37" s="424"/>
      <c r="TZO37" s="426"/>
      <c r="TZP37" s="424"/>
      <c r="TZQ37" s="426"/>
      <c r="TZR37" s="424"/>
      <c r="TZS37" s="426"/>
      <c r="TZT37" s="424"/>
      <c r="TZU37" s="426"/>
      <c r="TZV37" s="424"/>
      <c r="TZW37" s="426"/>
      <c r="TZX37" s="424"/>
      <c r="TZY37" s="426"/>
      <c r="TZZ37" s="424"/>
      <c r="UAA37" s="426"/>
      <c r="UAB37" s="424"/>
      <c r="UAC37" s="426"/>
      <c r="UAD37" s="424"/>
      <c r="UAE37" s="426"/>
      <c r="UAF37" s="424"/>
      <c r="UAG37" s="426"/>
      <c r="UAH37" s="424"/>
      <c r="UAI37" s="426"/>
      <c r="UAJ37" s="424"/>
      <c r="UAK37" s="426"/>
      <c r="UAL37" s="424"/>
      <c r="UAM37" s="426"/>
      <c r="UAN37" s="424"/>
      <c r="UAO37" s="426"/>
      <c r="UAP37" s="424"/>
      <c r="UAQ37" s="426"/>
      <c r="UAR37" s="424"/>
      <c r="UAS37" s="426"/>
      <c r="UAT37" s="424"/>
      <c r="UAU37" s="426"/>
      <c r="UAV37" s="424"/>
      <c r="UAW37" s="426"/>
      <c r="UAX37" s="424"/>
      <c r="UAY37" s="426"/>
      <c r="UAZ37" s="424"/>
      <c r="UBA37" s="426"/>
      <c r="UBB37" s="424"/>
      <c r="UBC37" s="426"/>
      <c r="UBD37" s="424"/>
      <c r="UBE37" s="426"/>
      <c r="UBF37" s="424"/>
      <c r="UBG37" s="426"/>
      <c r="UBH37" s="424"/>
      <c r="UBI37" s="426"/>
      <c r="UBJ37" s="424"/>
      <c r="UBK37" s="426"/>
      <c r="UBL37" s="424"/>
      <c r="UBM37" s="426"/>
      <c r="UBN37" s="424"/>
      <c r="UBO37" s="426"/>
      <c r="UBP37" s="424"/>
      <c r="UBQ37" s="426"/>
      <c r="UBR37" s="424"/>
      <c r="UBS37" s="426"/>
      <c r="UBT37" s="424"/>
      <c r="UBU37" s="426"/>
      <c r="UBV37" s="424"/>
      <c r="UBW37" s="426"/>
      <c r="UBX37" s="424"/>
      <c r="UBY37" s="426"/>
      <c r="UBZ37" s="424"/>
      <c r="UCA37" s="426"/>
      <c r="UCB37" s="424"/>
      <c r="UCC37" s="426"/>
      <c r="UCD37" s="424"/>
      <c r="UCE37" s="426"/>
      <c r="UCF37" s="424"/>
      <c r="UCG37" s="426"/>
      <c r="UCH37" s="424"/>
      <c r="UCI37" s="426"/>
      <c r="UCJ37" s="424"/>
      <c r="UCK37" s="426"/>
      <c r="UCL37" s="424"/>
      <c r="UCM37" s="426"/>
      <c r="UCN37" s="424"/>
      <c r="UCO37" s="426"/>
      <c r="UCP37" s="424"/>
      <c r="UCQ37" s="426"/>
      <c r="UCR37" s="424"/>
      <c r="UCS37" s="426"/>
      <c r="UCT37" s="424"/>
      <c r="UCU37" s="426"/>
      <c r="UCV37" s="424"/>
      <c r="UCW37" s="426"/>
      <c r="UCX37" s="424"/>
      <c r="UCY37" s="426"/>
      <c r="UCZ37" s="424"/>
      <c r="UDA37" s="426"/>
      <c r="UDB37" s="424"/>
      <c r="UDC37" s="426"/>
      <c r="UDD37" s="424"/>
      <c r="UDE37" s="426"/>
      <c r="UDF37" s="424"/>
      <c r="UDG37" s="426"/>
      <c r="UDH37" s="424"/>
      <c r="UDI37" s="426"/>
      <c r="UDJ37" s="424"/>
      <c r="UDK37" s="426"/>
      <c r="UDL37" s="424"/>
      <c r="UDM37" s="426"/>
      <c r="UDN37" s="424"/>
      <c r="UDO37" s="426"/>
      <c r="UDP37" s="424"/>
      <c r="UDQ37" s="426"/>
      <c r="UDR37" s="424"/>
      <c r="UDS37" s="426"/>
      <c r="UDT37" s="424"/>
      <c r="UDU37" s="426"/>
      <c r="UDV37" s="424"/>
      <c r="UDW37" s="426"/>
      <c r="UDX37" s="424"/>
      <c r="UDY37" s="426"/>
      <c r="UDZ37" s="424"/>
      <c r="UEA37" s="426"/>
      <c r="UEB37" s="424"/>
      <c r="UEC37" s="426"/>
      <c r="UED37" s="424"/>
      <c r="UEE37" s="426"/>
      <c r="UEF37" s="424"/>
      <c r="UEG37" s="426"/>
      <c r="UEH37" s="424"/>
      <c r="UEI37" s="426"/>
      <c r="UEJ37" s="424"/>
      <c r="UEK37" s="426"/>
      <c r="UEL37" s="424"/>
      <c r="UEM37" s="426"/>
      <c r="UEN37" s="424"/>
      <c r="UEO37" s="426"/>
      <c r="UEP37" s="424"/>
      <c r="UEQ37" s="426"/>
      <c r="UER37" s="424"/>
      <c r="UES37" s="426"/>
      <c r="UET37" s="424"/>
      <c r="UEU37" s="426"/>
      <c r="UEV37" s="424"/>
      <c r="UEW37" s="426"/>
      <c r="UEX37" s="424"/>
      <c r="UEY37" s="426"/>
      <c r="UEZ37" s="424"/>
      <c r="UFA37" s="426"/>
      <c r="UFB37" s="424"/>
      <c r="UFC37" s="426"/>
      <c r="UFD37" s="424"/>
      <c r="UFE37" s="426"/>
      <c r="UFF37" s="424"/>
      <c r="UFG37" s="426"/>
      <c r="UFH37" s="424"/>
      <c r="UFI37" s="426"/>
      <c r="UFJ37" s="424"/>
      <c r="UFK37" s="426"/>
      <c r="UFL37" s="424"/>
      <c r="UFM37" s="426"/>
      <c r="UFN37" s="424"/>
      <c r="UFO37" s="426"/>
      <c r="UFP37" s="424"/>
      <c r="UFQ37" s="426"/>
      <c r="UFR37" s="424"/>
      <c r="UFS37" s="426"/>
      <c r="UFT37" s="424"/>
      <c r="UFU37" s="426"/>
      <c r="UFV37" s="424"/>
      <c r="UFW37" s="426"/>
      <c r="UFX37" s="424"/>
      <c r="UFY37" s="426"/>
      <c r="UFZ37" s="424"/>
      <c r="UGA37" s="426"/>
      <c r="UGB37" s="424"/>
      <c r="UGC37" s="426"/>
      <c r="UGD37" s="424"/>
      <c r="UGE37" s="426"/>
      <c r="UGF37" s="424"/>
      <c r="UGG37" s="426"/>
      <c r="UGH37" s="424"/>
      <c r="UGI37" s="426"/>
      <c r="UGJ37" s="424"/>
      <c r="UGK37" s="426"/>
      <c r="UGL37" s="424"/>
      <c r="UGM37" s="426"/>
      <c r="UGN37" s="424"/>
      <c r="UGO37" s="426"/>
      <c r="UGP37" s="424"/>
      <c r="UGQ37" s="426"/>
      <c r="UGR37" s="424"/>
      <c r="UGS37" s="426"/>
      <c r="UGT37" s="424"/>
      <c r="UGU37" s="426"/>
      <c r="UGV37" s="424"/>
      <c r="UGW37" s="426"/>
      <c r="UGX37" s="424"/>
      <c r="UGY37" s="426"/>
      <c r="UGZ37" s="424"/>
      <c r="UHA37" s="426"/>
      <c r="UHB37" s="424"/>
      <c r="UHC37" s="426"/>
      <c r="UHD37" s="424"/>
      <c r="UHE37" s="426"/>
      <c r="UHF37" s="424"/>
      <c r="UHG37" s="426"/>
      <c r="UHH37" s="424"/>
      <c r="UHI37" s="426"/>
      <c r="UHJ37" s="424"/>
      <c r="UHK37" s="426"/>
      <c r="UHL37" s="424"/>
      <c r="UHM37" s="426"/>
      <c r="UHN37" s="424"/>
      <c r="UHO37" s="426"/>
      <c r="UHP37" s="424"/>
      <c r="UHQ37" s="426"/>
      <c r="UHR37" s="424"/>
      <c r="UHS37" s="426"/>
      <c r="UHT37" s="424"/>
      <c r="UHU37" s="426"/>
      <c r="UHV37" s="424"/>
      <c r="UHW37" s="426"/>
      <c r="UHX37" s="424"/>
      <c r="UHY37" s="426"/>
      <c r="UHZ37" s="424"/>
      <c r="UIA37" s="426"/>
      <c r="UIB37" s="424"/>
      <c r="UIC37" s="426"/>
      <c r="UID37" s="424"/>
      <c r="UIE37" s="426"/>
      <c r="UIF37" s="424"/>
      <c r="UIG37" s="426"/>
      <c r="UIH37" s="424"/>
      <c r="UII37" s="426"/>
      <c r="UIJ37" s="424"/>
      <c r="UIK37" s="426"/>
      <c r="UIL37" s="424"/>
      <c r="UIM37" s="426"/>
      <c r="UIN37" s="424"/>
      <c r="UIO37" s="426"/>
      <c r="UIP37" s="424"/>
      <c r="UIQ37" s="426"/>
      <c r="UIR37" s="424"/>
      <c r="UIS37" s="426"/>
      <c r="UIT37" s="424"/>
      <c r="UIU37" s="426"/>
      <c r="UIV37" s="424"/>
      <c r="UIW37" s="426"/>
      <c r="UIX37" s="424"/>
      <c r="UIY37" s="426"/>
      <c r="UIZ37" s="424"/>
      <c r="UJA37" s="426"/>
      <c r="UJB37" s="424"/>
      <c r="UJC37" s="426"/>
      <c r="UJD37" s="424"/>
      <c r="UJE37" s="426"/>
      <c r="UJF37" s="424"/>
      <c r="UJG37" s="426"/>
      <c r="UJH37" s="424"/>
      <c r="UJI37" s="426"/>
      <c r="UJJ37" s="424"/>
      <c r="UJK37" s="426"/>
      <c r="UJL37" s="424"/>
      <c r="UJM37" s="426"/>
      <c r="UJN37" s="424"/>
      <c r="UJO37" s="426"/>
      <c r="UJP37" s="424"/>
      <c r="UJQ37" s="426"/>
      <c r="UJR37" s="424"/>
      <c r="UJS37" s="426"/>
      <c r="UJT37" s="424"/>
      <c r="UJU37" s="426"/>
      <c r="UJV37" s="424"/>
      <c r="UJW37" s="426"/>
      <c r="UJX37" s="424"/>
      <c r="UJY37" s="426"/>
      <c r="UJZ37" s="424"/>
      <c r="UKA37" s="426"/>
      <c r="UKB37" s="424"/>
      <c r="UKC37" s="426"/>
      <c r="UKD37" s="424"/>
      <c r="UKE37" s="426"/>
      <c r="UKF37" s="424"/>
      <c r="UKG37" s="426"/>
      <c r="UKH37" s="424"/>
      <c r="UKI37" s="426"/>
      <c r="UKJ37" s="424"/>
      <c r="UKK37" s="426"/>
      <c r="UKL37" s="424"/>
      <c r="UKM37" s="426"/>
      <c r="UKN37" s="424"/>
      <c r="UKO37" s="426"/>
      <c r="UKP37" s="424"/>
      <c r="UKQ37" s="426"/>
      <c r="UKR37" s="424"/>
      <c r="UKS37" s="426"/>
      <c r="UKT37" s="424"/>
      <c r="UKU37" s="426"/>
      <c r="UKV37" s="424"/>
      <c r="UKW37" s="426"/>
      <c r="UKX37" s="424"/>
      <c r="UKY37" s="426"/>
      <c r="UKZ37" s="424"/>
      <c r="ULA37" s="426"/>
      <c r="ULB37" s="424"/>
      <c r="ULC37" s="426"/>
      <c r="ULD37" s="424"/>
      <c r="ULE37" s="426"/>
      <c r="ULF37" s="424"/>
      <c r="ULG37" s="426"/>
      <c r="ULH37" s="424"/>
      <c r="ULI37" s="426"/>
      <c r="ULJ37" s="424"/>
      <c r="ULK37" s="426"/>
      <c r="ULL37" s="424"/>
      <c r="ULM37" s="426"/>
      <c r="ULN37" s="424"/>
      <c r="ULO37" s="426"/>
      <c r="ULP37" s="424"/>
      <c r="ULQ37" s="426"/>
      <c r="ULR37" s="424"/>
      <c r="ULS37" s="426"/>
      <c r="ULT37" s="424"/>
      <c r="ULU37" s="426"/>
      <c r="ULV37" s="424"/>
      <c r="ULW37" s="426"/>
      <c r="ULX37" s="424"/>
      <c r="ULY37" s="426"/>
      <c r="ULZ37" s="424"/>
      <c r="UMA37" s="426"/>
      <c r="UMB37" s="424"/>
      <c r="UMC37" s="426"/>
      <c r="UMD37" s="424"/>
      <c r="UME37" s="426"/>
      <c r="UMF37" s="424"/>
      <c r="UMG37" s="426"/>
      <c r="UMH37" s="424"/>
      <c r="UMI37" s="426"/>
      <c r="UMJ37" s="424"/>
      <c r="UMK37" s="426"/>
      <c r="UML37" s="424"/>
      <c r="UMM37" s="426"/>
      <c r="UMN37" s="424"/>
      <c r="UMO37" s="426"/>
      <c r="UMP37" s="424"/>
      <c r="UMQ37" s="426"/>
      <c r="UMR37" s="424"/>
      <c r="UMS37" s="426"/>
      <c r="UMT37" s="424"/>
      <c r="UMU37" s="426"/>
      <c r="UMV37" s="424"/>
      <c r="UMW37" s="426"/>
      <c r="UMX37" s="424"/>
      <c r="UMY37" s="426"/>
      <c r="UMZ37" s="424"/>
      <c r="UNA37" s="426"/>
      <c r="UNB37" s="424"/>
      <c r="UNC37" s="426"/>
      <c r="UND37" s="424"/>
      <c r="UNE37" s="426"/>
      <c r="UNF37" s="424"/>
      <c r="UNG37" s="426"/>
      <c r="UNH37" s="424"/>
      <c r="UNI37" s="426"/>
      <c r="UNJ37" s="424"/>
      <c r="UNK37" s="426"/>
      <c r="UNL37" s="424"/>
      <c r="UNM37" s="426"/>
      <c r="UNN37" s="424"/>
      <c r="UNO37" s="426"/>
      <c r="UNP37" s="424"/>
      <c r="UNQ37" s="426"/>
      <c r="UNR37" s="424"/>
      <c r="UNS37" s="426"/>
      <c r="UNT37" s="424"/>
      <c r="UNU37" s="426"/>
      <c r="UNV37" s="424"/>
      <c r="UNW37" s="426"/>
      <c r="UNX37" s="424"/>
      <c r="UNY37" s="426"/>
      <c r="UNZ37" s="424"/>
      <c r="UOA37" s="426"/>
      <c r="UOB37" s="424"/>
      <c r="UOC37" s="426"/>
      <c r="UOD37" s="424"/>
      <c r="UOE37" s="426"/>
      <c r="UOF37" s="424"/>
      <c r="UOG37" s="426"/>
      <c r="UOH37" s="424"/>
      <c r="UOI37" s="426"/>
      <c r="UOJ37" s="424"/>
      <c r="UOK37" s="426"/>
      <c r="UOL37" s="424"/>
      <c r="UOM37" s="426"/>
      <c r="UON37" s="424"/>
      <c r="UOO37" s="426"/>
      <c r="UOP37" s="424"/>
      <c r="UOQ37" s="426"/>
      <c r="UOR37" s="424"/>
      <c r="UOS37" s="426"/>
      <c r="UOT37" s="424"/>
      <c r="UOU37" s="426"/>
      <c r="UOV37" s="424"/>
      <c r="UOW37" s="426"/>
      <c r="UOX37" s="424"/>
      <c r="UOY37" s="426"/>
      <c r="UOZ37" s="424"/>
      <c r="UPA37" s="426"/>
      <c r="UPB37" s="424"/>
      <c r="UPC37" s="426"/>
      <c r="UPD37" s="424"/>
      <c r="UPE37" s="426"/>
      <c r="UPF37" s="424"/>
      <c r="UPG37" s="426"/>
      <c r="UPH37" s="424"/>
      <c r="UPI37" s="426"/>
      <c r="UPJ37" s="424"/>
      <c r="UPK37" s="426"/>
      <c r="UPL37" s="424"/>
      <c r="UPM37" s="426"/>
      <c r="UPN37" s="424"/>
      <c r="UPO37" s="426"/>
      <c r="UPP37" s="424"/>
      <c r="UPQ37" s="426"/>
      <c r="UPR37" s="424"/>
      <c r="UPS37" s="426"/>
      <c r="UPT37" s="424"/>
      <c r="UPU37" s="426"/>
      <c r="UPV37" s="424"/>
      <c r="UPW37" s="426"/>
      <c r="UPX37" s="424"/>
      <c r="UPY37" s="426"/>
      <c r="UPZ37" s="424"/>
      <c r="UQA37" s="426"/>
      <c r="UQB37" s="424"/>
      <c r="UQC37" s="426"/>
      <c r="UQD37" s="424"/>
      <c r="UQE37" s="426"/>
      <c r="UQF37" s="424"/>
      <c r="UQG37" s="426"/>
      <c r="UQH37" s="424"/>
      <c r="UQI37" s="426"/>
      <c r="UQJ37" s="424"/>
      <c r="UQK37" s="426"/>
      <c r="UQL37" s="424"/>
      <c r="UQM37" s="426"/>
      <c r="UQN37" s="424"/>
      <c r="UQO37" s="426"/>
      <c r="UQP37" s="424"/>
      <c r="UQQ37" s="426"/>
      <c r="UQR37" s="424"/>
      <c r="UQS37" s="426"/>
      <c r="UQT37" s="424"/>
      <c r="UQU37" s="426"/>
      <c r="UQV37" s="424"/>
      <c r="UQW37" s="426"/>
      <c r="UQX37" s="424"/>
      <c r="UQY37" s="426"/>
      <c r="UQZ37" s="424"/>
      <c r="URA37" s="426"/>
      <c r="URB37" s="424"/>
      <c r="URC37" s="426"/>
      <c r="URD37" s="424"/>
      <c r="URE37" s="426"/>
      <c r="URF37" s="424"/>
      <c r="URG37" s="426"/>
      <c r="URH37" s="424"/>
      <c r="URI37" s="426"/>
      <c r="URJ37" s="424"/>
      <c r="URK37" s="426"/>
      <c r="URL37" s="424"/>
      <c r="URM37" s="426"/>
      <c r="URN37" s="424"/>
      <c r="URO37" s="426"/>
      <c r="URP37" s="424"/>
      <c r="URQ37" s="426"/>
      <c r="URR37" s="424"/>
      <c r="URS37" s="426"/>
      <c r="URT37" s="424"/>
      <c r="URU37" s="426"/>
      <c r="URV37" s="424"/>
      <c r="URW37" s="426"/>
      <c r="URX37" s="424"/>
      <c r="URY37" s="426"/>
      <c r="URZ37" s="424"/>
      <c r="USA37" s="426"/>
      <c r="USB37" s="424"/>
      <c r="USC37" s="426"/>
      <c r="USD37" s="424"/>
      <c r="USE37" s="426"/>
      <c r="USF37" s="424"/>
      <c r="USG37" s="426"/>
      <c r="USH37" s="424"/>
      <c r="USI37" s="426"/>
      <c r="USJ37" s="424"/>
      <c r="USK37" s="426"/>
      <c r="USL37" s="424"/>
      <c r="USM37" s="426"/>
      <c r="USN37" s="424"/>
      <c r="USO37" s="426"/>
      <c r="USP37" s="424"/>
      <c r="USQ37" s="426"/>
      <c r="USR37" s="424"/>
      <c r="USS37" s="426"/>
      <c r="UST37" s="424"/>
      <c r="USU37" s="426"/>
      <c r="USV37" s="424"/>
      <c r="USW37" s="426"/>
      <c r="USX37" s="424"/>
      <c r="USY37" s="426"/>
      <c r="USZ37" s="424"/>
      <c r="UTA37" s="426"/>
      <c r="UTB37" s="424"/>
      <c r="UTC37" s="426"/>
      <c r="UTD37" s="424"/>
      <c r="UTE37" s="426"/>
      <c r="UTF37" s="424"/>
      <c r="UTG37" s="426"/>
      <c r="UTH37" s="424"/>
      <c r="UTI37" s="426"/>
      <c r="UTJ37" s="424"/>
      <c r="UTK37" s="426"/>
      <c r="UTL37" s="424"/>
      <c r="UTM37" s="426"/>
      <c r="UTN37" s="424"/>
      <c r="UTO37" s="426"/>
      <c r="UTP37" s="424"/>
      <c r="UTQ37" s="426"/>
      <c r="UTR37" s="424"/>
      <c r="UTS37" s="426"/>
      <c r="UTT37" s="424"/>
      <c r="UTU37" s="426"/>
      <c r="UTV37" s="424"/>
      <c r="UTW37" s="426"/>
      <c r="UTX37" s="424"/>
      <c r="UTY37" s="426"/>
      <c r="UTZ37" s="424"/>
      <c r="UUA37" s="426"/>
      <c r="UUB37" s="424"/>
      <c r="UUC37" s="426"/>
      <c r="UUD37" s="424"/>
      <c r="UUE37" s="426"/>
      <c r="UUF37" s="424"/>
      <c r="UUG37" s="426"/>
      <c r="UUH37" s="424"/>
      <c r="UUI37" s="426"/>
      <c r="UUJ37" s="424"/>
      <c r="UUK37" s="426"/>
      <c r="UUL37" s="424"/>
      <c r="UUM37" s="426"/>
      <c r="UUN37" s="424"/>
      <c r="UUO37" s="426"/>
      <c r="UUP37" s="424"/>
      <c r="UUQ37" s="426"/>
      <c r="UUR37" s="424"/>
      <c r="UUS37" s="426"/>
      <c r="UUT37" s="424"/>
      <c r="UUU37" s="426"/>
      <c r="UUV37" s="424"/>
      <c r="UUW37" s="426"/>
      <c r="UUX37" s="424"/>
      <c r="UUY37" s="426"/>
      <c r="UUZ37" s="424"/>
      <c r="UVA37" s="426"/>
      <c r="UVB37" s="424"/>
      <c r="UVC37" s="426"/>
      <c r="UVD37" s="424"/>
      <c r="UVE37" s="426"/>
      <c r="UVF37" s="424"/>
      <c r="UVG37" s="426"/>
      <c r="UVH37" s="424"/>
      <c r="UVI37" s="426"/>
      <c r="UVJ37" s="424"/>
      <c r="UVK37" s="426"/>
      <c r="UVL37" s="424"/>
      <c r="UVM37" s="426"/>
      <c r="UVN37" s="424"/>
      <c r="UVO37" s="426"/>
      <c r="UVP37" s="424"/>
      <c r="UVQ37" s="426"/>
      <c r="UVR37" s="424"/>
      <c r="UVS37" s="426"/>
      <c r="UVT37" s="424"/>
      <c r="UVU37" s="426"/>
      <c r="UVV37" s="424"/>
      <c r="UVW37" s="426"/>
      <c r="UVX37" s="424"/>
      <c r="UVY37" s="426"/>
      <c r="UVZ37" s="424"/>
      <c r="UWA37" s="426"/>
      <c r="UWB37" s="424"/>
      <c r="UWC37" s="426"/>
      <c r="UWD37" s="424"/>
      <c r="UWE37" s="426"/>
      <c r="UWF37" s="424"/>
      <c r="UWG37" s="426"/>
      <c r="UWH37" s="424"/>
      <c r="UWI37" s="426"/>
      <c r="UWJ37" s="424"/>
      <c r="UWK37" s="426"/>
      <c r="UWL37" s="424"/>
      <c r="UWM37" s="426"/>
      <c r="UWN37" s="424"/>
      <c r="UWO37" s="426"/>
      <c r="UWP37" s="424"/>
      <c r="UWQ37" s="426"/>
      <c r="UWR37" s="424"/>
      <c r="UWS37" s="426"/>
      <c r="UWT37" s="424"/>
      <c r="UWU37" s="426"/>
      <c r="UWV37" s="424"/>
      <c r="UWW37" s="426"/>
      <c r="UWX37" s="424"/>
      <c r="UWY37" s="426"/>
      <c r="UWZ37" s="424"/>
      <c r="UXA37" s="426"/>
      <c r="UXB37" s="424"/>
      <c r="UXC37" s="426"/>
      <c r="UXD37" s="424"/>
      <c r="UXE37" s="426"/>
      <c r="UXF37" s="424"/>
      <c r="UXG37" s="426"/>
      <c r="UXH37" s="424"/>
      <c r="UXI37" s="426"/>
      <c r="UXJ37" s="424"/>
      <c r="UXK37" s="426"/>
      <c r="UXL37" s="424"/>
      <c r="UXM37" s="426"/>
      <c r="UXN37" s="424"/>
      <c r="UXO37" s="426"/>
      <c r="UXP37" s="424"/>
      <c r="UXQ37" s="426"/>
      <c r="UXR37" s="424"/>
      <c r="UXS37" s="426"/>
      <c r="UXT37" s="424"/>
      <c r="UXU37" s="426"/>
      <c r="UXV37" s="424"/>
      <c r="UXW37" s="426"/>
      <c r="UXX37" s="424"/>
      <c r="UXY37" s="426"/>
      <c r="UXZ37" s="424"/>
      <c r="UYA37" s="426"/>
      <c r="UYB37" s="424"/>
      <c r="UYC37" s="426"/>
      <c r="UYD37" s="424"/>
      <c r="UYE37" s="426"/>
      <c r="UYF37" s="424"/>
      <c r="UYG37" s="426"/>
      <c r="UYH37" s="424"/>
      <c r="UYI37" s="426"/>
      <c r="UYJ37" s="424"/>
      <c r="UYK37" s="426"/>
      <c r="UYL37" s="424"/>
      <c r="UYM37" s="426"/>
      <c r="UYN37" s="424"/>
      <c r="UYO37" s="426"/>
      <c r="UYP37" s="424"/>
      <c r="UYQ37" s="426"/>
      <c r="UYR37" s="424"/>
      <c r="UYS37" s="426"/>
      <c r="UYT37" s="424"/>
      <c r="UYU37" s="426"/>
      <c r="UYV37" s="424"/>
      <c r="UYW37" s="426"/>
      <c r="UYX37" s="424"/>
      <c r="UYY37" s="426"/>
      <c r="UYZ37" s="424"/>
      <c r="UZA37" s="426"/>
      <c r="UZB37" s="424"/>
      <c r="UZC37" s="426"/>
      <c r="UZD37" s="424"/>
      <c r="UZE37" s="426"/>
      <c r="UZF37" s="424"/>
      <c r="UZG37" s="426"/>
      <c r="UZH37" s="424"/>
      <c r="UZI37" s="426"/>
      <c r="UZJ37" s="424"/>
      <c r="UZK37" s="426"/>
      <c r="UZL37" s="424"/>
      <c r="UZM37" s="426"/>
      <c r="UZN37" s="424"/>
      <c r="UZO37" s="426"/>
      <c r="UZP37" s="424"/>
      <c r="UZQ37" s="426"/>
      <c r="UZR37" s="424"/>
      <c r="UZS37" s="426"/>
      <c r="UZT37" s="424"/>
      <c r="UZU37" s="426"/>
      <c r="UZV37" s="424"/>
      <c r="UZW37" s="426"/>
      <c r="UZX37" s="424"/>
      <c r="UZY37" s="426"/>
      <c r="UZZ37" s="424"/>
      <c r="VAA37" s="426"/>
      <c r="VAB37" s="424"/>
      <c r="VAC37" s="426"/>
      <c r="VAD37" s="424"/>
      <c r="VAE37" s="426"/>
      <c r="VAF37" s="424"/>
      <c r="VAG37" s="426"/>
      <c r="VAH37" s="424"/>
      <c r="VAI37" s="426"/>
      <c r="VAJ37" s="424"/>
      <c r="VAK37" s="426"/>
      <c r="VAL37" s="424"/>
      <c r="VAM37" s="426"/>
      <c r="VAN37" s="424"/>
      <c r="VAO37" s="426"/>
      <c r="VAP37" s="424"/>
      <c r="VAQ37" s="426"/>
      <c r="VAR37" s="424"/>
      <c r="VAS37" s="426"/>
      <c r="VAT37" s="424"/>
      <c r="VAU37" s="426"/>
      <c r="VAV37" s="424"/>
      <c r="VAW37" s="426"/>
      <c r="VAX37" s="424"/>
      <c r="VAY37" s="426"/>
      <c r="VAZ37" s="424"/>
      <c r="VBA37" s="426"/>
      <c r="VBB37" s="424"/>
      <c r="VBC37" s="426"/>
      <c r="VBD37" s="424"/>
      <c r="VBE37" s="426"/>
      <c r="VBF37" s="424"/>
      <c r="VBG37" s="426"/>
      <c r="VBH37" s="424"/>
      <c r="VBI37" s="426"/>
      <c r="VBJ37" s="424"/>
      <c r="VBK37" s="426"/>
      <c r="VBL37" s="424"/>
      <c r="VBM37" s="426"/>
      <c r="VBN37" s="424"/>
      <c r="VBO37" s="426"/>
      <c r="VBP37" s="424"/>
      <c r="VBQ37" s="426"/>
      <c r="VBR37" s="424"/>
      <c r="VBS37" s="426"/>
      <c r="VBT37" s="424"/>
      <c r="VBU37" s="426"/>
      <c r="VBV37" s="424"/>
      <c r="VBW37" s="426"/>
      <c r="VBX37" s="424"/>
      <c r="VBY37" s="426"/>
      <c r="VBZ37" s="424"/>
      <c r="VCA37" s="426"/>
      <c r="VCB37" s="424"/>
      <c r="VCC37" s="426"/>
      <c r="VCD37" s="424"/>
      <c r="VCE37" s="426"/>
      <c r="VCF37" s="424"/>
      <c r="VCG37" s="426"/>
      <c r="VCH37" s="424"/>
      <c r="VCI37" s="426"/>
      <c r="VCJ37" s="424"/>
      <c r="VCK37" s="426"/>
      <c r="VCL37" s="424"/>
      <c r="VCM37" s="426"/>
      <c r="VCN37" s="424"/>
      <c r="VCO37" s="426"/>
      <c r="VCP37" s="424"/>
      <c r="VCQ37" s="426"/>
      <c r="VCR37" s="424"/>
      <c r="VCS37" s="426"/>
      <c r="VCT37" s="424"/>
      <c r="VCU37" s="426"/>
      <c r="VCV37" s="424"/>
      <c r="VCW37" s="426"/>
      <c r="VCX37" s="424"/>
      <c r="VCY37" s="426"/>
      <c r="VCZ37" s="424"/>
      <c r="VDA37" s="426"/>
      <c r="VDB37" s="424"/>
      <c r="VDC37" s="426"/>
      <c r="VDD37" s="424"/>
      <c r="VDE37" s="426"/>
      <c r="VDF37" s="424"/>
      <c r="VDG37" s="426"/>
      <c r="VDH37" s="424"/>
      <c r="VDI37" s="426"/>
      <c r="VDJ37" s="424"/>
      <c r="VDK37" s="426"/>
      <c r="VDL37" s="424"/>
      <c r="VDM37" s="426"/>
      <c r="VDN37" s="424"/>
      <c r="VDO37" s="426"/>
      <c r="VDP37" s="424"/>
      <c r="VDQ37" s="426"/>
      <c r="VDR37" s="424"/>
      <c r="VDS37" s="426"/>
      <c r="VDT37" s="424"/>
      <c r="VDU37" s="426"/>
      <c r="VDV37" s="424"/>
      <c r="VDW37" s="426"/>
      <c r="VDX37" s="424"/>
      <c r="VDY37" s="426"/>
      <c r="VDZ37" s="424"/>
      <c r="VEA37" s="426"/>
      <c r="VEB37" s="424"/>
      <c r="VEC37" s="426"/>
      <c r="VED37" s="424"/>
      <c r="VEE37" s="426"/>
      <c r="VEF37" s="424"/>
      <c r="VEG37" s="426"/>
      <c r="VEH37" s="424"/>
      <c r="VEI37" s="426"/>
      <c r="VEJ37" s="424"/>
      <c r="VEK37" s="426"/>
      <c r="VEL37" s="424"/>
      <c r="VEM37" s="426"/>
      <c r="VEN37" s="424"/>
      <c r="VEO37" s="426"/>
      <c r="VEP37" s="424"/>
      <c r="VEQ37" s="426"/>
      <c r="VER37" s="424"/>
      <c r="VES37" s="426"/>
      <c r="VET37" s="424"/>
      <c r="VEU37" s="426"/>
      <c r="VEV37" s="424"/>
      <c r="VEW37" s="426"/>
      <c r="VEX37" s="424"/>
      <c r="VEY37" s="426"/>
      <c r="VEZ37" s="424"/>
      <c r="VFA37" s="426"/>
      <c r="VFB37" s="424"/>
      <c r="VFC37" s="426"/>
      <c r="VFD37" s="424"/>
      <c r="VFE37" s="426"/>
      <c r="VFF37" s="424"/>
      <c r="VFG37" s="426"/>
      <c r="VFH37" s="424"/>
      <c r="VFI37" s="426"/>
      <c r="VFJ37" s="424"/>
      <c r="VFK37" s="426"/>
      <c r="VFL37" s="424"/>
      <c r="VFM37" s="426"/>
      <c r="VFN37" s="424"/>
      <c r="VFO37" s="426"/>
      <c r="VFP37" s="424"/>
      <c r="VFQ37" s="426"/>
      <c r="VFR37" s="424"/>
      <c r="VFS37" s="426"/>
      <c r="VFT37" s="424"/>
      <c r="VFU37" s="426"/>
      <c r="VFV37" s="424"/>
      <c r="VFW37" s="426"/>
      <c r="VFX37" s="424"/>
      <c r="VFY37" s="426"/>
      <c r="VFZ37" s="424"/>
      <c r="VGA37" s="426"/>
      <c r="VGB37" s="424"/>
      <c r="VGC37" s="426"/>
      <c r="VGD37" s="424"/>
      <c r="VGE37" s="426"/>
      <c r="VGF37" s="424"/>
      <c r="VGG37" s="426"/>
      <c r="VGH37" s="424"/>
      <c r="VGI37" s="426"/>
      <c r="VGJ37" s="424"/>
      <c r="VGK37" s="426"/>
      <c r="VGL37" s="424"/>
      <c r="VGM37" s="426"/>
      <c r="VGN37" s="424"/>
      <c r="VGO37" s="426"/>
      <c r="VGP37" s="424"/>
      <c r="VGQ37" s="426"/>
      <c r="VGR37" s="424"/>
      <c r="VGS37" s="426"/>
      <c r="VGT37" s="424"/>
      <c r="VGU37" s="426"/>
      <c r="VGV37" s="424"/>
      <c r="VGW37" s="426"/>
      <c r="VGX37" s="424"/>
      <c r="VGY37" s="426"/>
      <c r="VGZ37" s="424"/>
      <c r="VHA37" s="426"/>
      <c r="VHB37" s="424"/>
      <c r="VHC37" s="426"/>
      <c r="VHD37" s="424"/>
      <c r="VHE37" s="426"/>
      <c r="VHF37" s="424"/>
      <c r="VHG37" s="426"/>
      <c r="VHH37" s="424"/>
      <c r="VHI37" s="426"/>
      <c r="VHJ37" s="424"/>
      <c r="VHK37" s="426"/>
      <c r="VHL37" s="424"/>
      <c r="VHM37" s="426"/>
      <c r="VHN37" s="424"/>
      <c r="VHO37" s="426"/>
      <c r="VHP37" s="424"/>
      <c r="VHQ37" s="426"/>
      <c r="VHR37" s="424"/>
      <c r="VHS37" s="426"/>
      <c r="VHT37" s="424"/>
      <c r="VHU37" s="426"/>
      <c r="VHV37" s="424"/>
      <c r="VHW37" s="426"/>
      <c r="VHX37" s="424"/>
      <c r="VHY37" s="426"/>
      <c r="VHZ37" s="424"/>
      <c r="VIA37" s="426"/>
      <c r="VIB37" s="424"/>
      <c r="VIC37" s="426"/>
      <c r="VID37" s="424"/>
      <c r="VIE37" s="426"/>
      <c r="VIF37" s="424"/>
      <c r="VIG37" s="426"/>
      <c r="VIH37" s="424"/>
      <c r="VII37" s="426"/>
      <c r="VIJ37" s="424"/>
      <c r="VIK37" s="426"/>
      <c r="VIL37" s="424"/>
      <c r="VIM37" s="426"/>
      <c r="VIN37" s="424"/>
      <c r="VIO37" s="426"/>
      <c r="VIP37" s="424"/>
      <c r="VIQ37" s="426"/>
      <c r="VIR37" s="424"/>
      <c r="VIS37" s="426"/>
      <c r="VIT37" s="424"/>
      <c r="VIU37" s="426"/>
      <c r="VIV37" s="424"/>
      <c r="VIW37" s="426"/>
      <c r="VIX37" s="424"/>
      <c r="VIY37" s="426"/>
      <c r="VIZ37" s="424"/>
      <c r="VJA37" s="426"/>
      <c r="VJB37" s="424"/>
      <c r="VJC37" s="426"/>
      <c r="VJD37" s="424"/>
      <c r="VJE37" s="426"/>
      <c r="VJF37" s="424"/>
      <c r="VJG37" s="426"/>
      <c r="VJH37" s="424"/>
      <c r="VJI37" s="426"/>
      <c r="VJJ37" s="424"/>
      <c r="VJK37" s="426"/>
      <c r="VJL37" s="424"/>
      <c r="VJM37" s="426"/>
      <c r="VJN37" s="424"/>
      <c r="VJO37" s="426"/>
      <c r="VJP37" s="424"/>
      <c r="VJQ37" s="426"/>
      <c r="VJR37" s="424"/>
      <c r="VJS37" s="426"/>
      <c r="VJT37" s="424"/>
      <c r="VJU37" s="426"/>
      <c r="VJV37" s="424"/>
      <c r="VJW37" s="426"/>
      <c r="VJX37" s="424"/>
      <c r="VJY37" s="426"/>
      <c r="VJZ37" s="424"/>
      <c r="VKA37" s="426"/>
      <c r="VKB37" s="424"/>
      <c r="VKC37" s="426"/>
      <c r="VKD37" s="424"/>
      <c r="VKE37" s="426"/>
      <c r="VKF37" s="424"/>
      <c r="VKG37" s="426"/>
      <c r="VKH37" s="424"/>
      <c r="VKI37" s="426"/>
      <c r="VKJ37" s="424"/>
      <c r="VKK37" s="426"/>
      <c r="VKL37" s="424"/>
      <c r="VKM37" s="426"/>
      <c r="VKN37" s="424"/>
      <c r="VKO37" s="426"/>
      <c r="VKP37" s="424"/>
      <c r="VKQ37" s="426"/>
      <c r="VKR37" s="424"/>
      <c r="VKS37" s="426"/>
      <c r="VKT37" s="424"/>
      <c r="VKU37" s="426"/>
      <c r="VKV37" s="424"/>
      <c r="VKW37" s="426"/>
      <c r="VKX37" s="424"/>
      <c r="VKY37" s="426"/>
      <c r="VKZ37" s="424"/>
      <c r="VLA37" s="426"/>
      <c r="VLB37" s="424"/>
      <c r="VLC37" s="426"/>
      <c r="VLD37" s="424"/>
      <c r="VLE37" s="426"/>
      <c r="VLF37" s="424"/>
      <c r="VLG37" s="426"/>
      <c r="VLH37" s="424"/>
      <c r="VLI37" s="426"/>
      <c r="VLJ37" s="424"/>
      <c r="VLK37" s="426"/>
      <c r="VLL37" s="424"/>
      <c r="VLM37" s="426"/>
      <c r="VLN37" s="424"/>
      <c r="VLO37" s="426"/>
      <c r="VLP37" s="424"/>
      <c r="VLQ37" s="426"/>
      <c r="VLR37" s="424"/>
      <c r="VLS37" s="426"/>
      <c r="VLT37" s="424"/>
      <c r="VLU37" s="426"/>
      <c r="VLV37" s="424"/>
      <c r="VLW37" s="426"/>
      <c r="VLX37" s="424"/>
      <c r="VLY37" s="426"/>
      <c r="VLZ37" s="424"/>
      <c r="VMA37" s="426"/>
      <c r="VMB37" s="424"/>
      <c r="VMC37" s="426"/>
      <c r="VMD37" s="424"/>
      <c r="VME37" s="426"/>
      <c r="VMF37" s="424"/>
      <c r="VMG37" s="426"/>
      <c r="VMH37" s="424"/>
      <c r="VMI37" s="426"/>
      <c r="VMJ37" s="424"/>
      <c r="VMK37" s="426"/>
      <c r="VML37" s="424"/>
      <c r="VMM37" s="426"/>
      <c r="VMN37" s="424"/>
      <c r="VMO37" s="426"/>
      <c r="VMP37" s="424"/>
      <c r="VMQ37" s="426"/>
      <c r="VMR37" s="424"/>
      <c r="VMS37" s="426"/>
      <c r="VMT37" s="424"/>
      <c r="VMU37" s="426"/>
      <c r="VMV37" s="424"/>
      <c r="VMW37" s="426"/>
      <c r="VMX37" s="424"/>
      <c r="VMY37" s="426"/>
      <c r="VMZ37" s="424"/>
      <c r="VNA37" s="426"/>
      <c r="VNB37" s="424"/>
      <c r="VNC37" s="426"/>
      <c r="VND37" s="424"/>
      <c r="VNE37" s="426"/>
      <c r="VNF37" s="424"/>
      <c r="VNG37" s="426"/>
      <c r="VNH37" s="424"/>
      <c r="VNI37" s="426"/>
      <c r="VNJ37" s="424"/>
      <c r="VNK37" s="426"/>
      <c r="VNL37" s="424"/>
      <c r="VNM37" s="426"/>
      <c r="VNN37" s="424"/>
      <c r="VNO37" s="426"/>
      <c r="VNP37" s="424"/>
      <c r="VNQ37" s="426"/>
      <c r="VNR37" s="424"/>
      <c r="VNS37" s="426"/>
      <c r="VNT37" s="424"/>
      <c r="VNU37" s="426"/>
      <c r="VNV37" s="424"/>
      <c r="VNW37" s="426"/>
      <c r="VNX37" s="424"/>
      <c r="VNY37" s="426"/>
      <c r="VNZ37" s="424"/>
      <c r="VOA37" s="426"/>
      <c r="VOB37" s="424"/>
      <c r="VOC37" s="426"/>
      <c r="VOD37" s="424"/>
      <c r="VOE37" s="426"/>
      <c r="VOF37" s="424"/>
      <c r="VOG37" s="426"/>
      <c r="VOH37" s="424"/>
      <c r="VOI37" s="426"/>
      <c r="VOJ37" s="424"/>
      <c r="VOK37" s="426"/>
      <c r="VOL37" s="424"/>
      <c r="VOM37" s="426"/>
      <c r="VON37" s="424"/>
      <c r="VOO37" s="426"/>
      <c r="VOP37" s="424"/>
      <c r="VOQ37" s="426"/>
      <c r="VOR37" s="424"/>
      <c r="VOS37" s="426"/>
      <c r="VOT37" s="424"/>
      <c r="VOU37" s="426"/>
      <c r="VOV37" s="424"/>
      <c r="VOW37" s="426"/>
      <c r="VOX37" s="424"/>
      <c r="VOY37" s="426"/>
      <c r="VOZ37" s="424"/>
      <c r="VPA37" s="426"/>
      <c r="VPB37" s="424"/>
      <c r="VPC37" s="426"/>
      <c r="VPD37" s="424"/>
      <c r="VPE37" s="426"/>
      <c r="VPF37" s="424"/>
      <c r="VPG37" s="426"/>
      <c r="VPH37" s="424"/>
      <c r="VPI37" s="426"/>
      <c r="VPJ37" s="424"/>
      <c r="VPK37" s="426"/>
      <c r="VPL37" s="424"/>
      <c r="VPM37" s="426"/>
      <c r="VPN37" s="424"/>
      <c r="VPO37" s="426"/>
      <c r="VPP37" s="424"/>
      <c r="VPQ37" s="426"/>
      <c r="VPR37" s="424"/>
      <c r="VPS37" s="426"/>
      <c r="VPT37" s="424"/>
      <c r="VPU37" s="426"/>
      <c r="VPV37" s="424"/>
      <c r="VPW37" s="426"/>
      <c r="VPX37" s="424"/>
      <c r="VPY37" s="426"/>
      <c r="VPZ37" s="424"/>
      <c r="VQA37" s="426"/>
      <c r="VQB37" s="424"/>
      <c r="VQC37" s="426"/>
      <c r="VQD37" s="424"/>
      <c r="VQE37" s="426"/>
      <c r="VQF37" s="424"/>
      <c r="VQG37" s="426"/>
      <c r="VQH37" s="424"/>
      <c r="VQI37" s="426"/>
      <c r="VQJ37" s="424"/>
      <c r="VQK37" s="426"/>
      <c r="VQL37" s="424"/>
      <c r="VQM37" s="426"/>
      <c r="VQN37" s="424"/>
      <c r="VQO37" s="426"/>
      <c r="VQP37" s="424"/>
      <c r="VQQ37" s="426"/>
      <c r="VQR37" s="424"/>
      <c r="VQS37" s="426"/>
      <c r="VQT37" s="424"/>
      <c r="VQU37" s="426"/>
      <c r="VQV37" s="424"/>
      <c r="VQW37" s="426"/>
      <c r="VQX37" s="424"/>
      <c r="VQY37" s="426"/>
      <c r="VQZ37" s="424"/>
      <c r="VRA37" s="426"/>
      <c r="VRB37" s="424"/>
      <c r="VRC37" s="426"/>
      <c r="VRD37" s="424"/>
      <c r="VRE37" s="426"/>
      <c r="VRF37" s="424"/>
      <c r="VRG37" s="426"/>
      <c r="VRH37" s="424"/>
      <c r="VRI37" s="426"/>
      <c r="VRJ37" s="424"/>
      <c r="VRK37" s="426"/>
      <c r="VRL37" s="424"/>
      <c r="VRM37" s="426"/>
      <c r="VRN37" s="424"/>
      <c r="VRO37" s="426"/>
      <c r="VRP37" s="424"/>
      <c r="VRQ37" s="426"/>
      <c r="VRR37" s="424"/>
      <c r="VRS37" s="426"/>
      <c r="VRT37" s="424"/>
      <c r="VRU37" s="426"/>
      <c r="VRV37" s="424"/>
      <c r="VRW37" s="426"/>
      <c r="VRX37" s="424"/>
      <c r="VRY37" s="426"/>
      <c r="VRZ37" s="424"/>
      <c r="VSA37" s="426"/>
      <c r="VSB37" s="424"/>
      <c r="VSC37" s="426"/>
      <c r="VSD37" s="424"/>
      <c r="VSE37" s="426"/>
      <c r="VSF37" s="424"/>
      <c r="VSG37" s="426"/>
      <c r="VSH37" s="424"/>
      <c r="VSI37" s="426"/>
      <c r="VSJ37" s="424"/>
      <c r="VSK37" s="426"/>
      <c r="VSL37" s="424"/>
      <c r="VSM37" s="426"/>
      <c r="VSN37" s="424"/>
      <c r="VSO37" s="426"/>
      <c r="VSP37" s="424"/>
      <c r="VSQ37" s="426"/>
      <c r="VSR37" s="424"/>
      <c r="VSS37" s="426"/>
      <c r="VST37" s="424"/>
      <c r="VSU37" s="426"/>
      <c r="VSV37" s="424"/>
      <c r="VSW37" s="426"/>
      <c r="VSX37" s="424"/>
      <c r="VSY37" s="426"/>
      <c r="VSZ37" s="424"/>
      <c r="VTA37" s="426"/>
      <c r="VTB37" s="424"/>
      <c r="VTC37" s="426"/>
      <c r="VTD37" s="424"/>
      <c r="VTE37" s="426"/>
      <c r="VTF37" s="424"/>
      <c r="VTG37" s="426"/>
      <c r="VTH37" s="424"/>
      <c r="VTI37" s="426"/>
      <c r="VTJ37" s="424"/>
      <c r="VTK37" s="426"/>
      <c r="VTL37" s="424"/>
      <c r="VTM37" s="426"/>
      <c r="VTN37" s="424"/>
      <c r="VTO37" s="426"/>
      <c r="VTP37" s="424"/>
      <c r="VTQ37" s="426"/>
      <c r="VTR37" s="424"/>
      <c r="VTS37" s="426"/>
      <c r="VTT37" s="424"/>
      <c r="VTU37" s="426"/>
      <c r="VTV37" s="424"/>
      <c r="VTW37" s="426"/>
      <c r="VTX37" s="424"/>
      <c r="VTY37" s="426"/>
      <c r="VTZ37" s="424"/>
      <c r="VUA37" s="426"/>
      <c r="VUB37" s="424"/>
      <c r="VUC37" s="426"/>
      <c r="VUD37" s="424"/>
      <c r="VUE37" s="426"/>
      <c r="VUF37" s="424"/>
      <c r="VUG37" s="426"/>
      <c r="VUH37" s="424"/>
      <c r="VUI37" s="426"/>
      <c r="VUJ37" s="424"/>
      <c r="VUK37" s="426"/>
      <c r="VUL37" s="424"/>
      <c r="VUM37" s="426"/>
      <c r="VUN37" s="424"/>
      <c r="VUO37" s="426"/>
      <c r="VUP37" s="424"/>
      <c r="VUQ37" s="426"/>
      <c r="VUR37" s="424"/>
      <c r="VUS37" s="426"/>
      <c r="VUT37" s="424"/>
      <c r="VUU37" s="426"/>
      <c r="VUV37" s="424"/>
      <c r="VUW37" s="426"/>
      <c r="VUX37" s="424"/>
      <c r="VUY37" s="426"/>
      <c r="VUZ37" s="424"/>
      <c r="VVA37" s="426"/>
      <c r="VVB37" s="424"/>
      <c r="VVC37" s="426"/>
      <c r="VVD37" s="424"/>
      <c r="VVE37" s="426"/>
      <c r="VVF37" s="424"/>
      <c r="VVG37" s="426"/>
      <c r="VVH37" s="424"/>
      <c r="VVI37" s="426"/>
      <c r="VVJ37" s="424"/>
      <c r="VVK37" s="426"/>
      <c r="VVL37" s="424"/>
      <c r="VVM37" s="426"/>
      <c r="VVN37" s="424"/>
      <c r="VVO37" s="426"/>
      <c r="VVP37" s="424"/>
      <c r="VVQ37" s="426"/>
      <c r="VVR37" s="424"/>
      <c r="VVS37" s="426"/>
      <c r="VVT37" s="424"/>
      <c r="VVU37" s="426"/>
      <c r="VVV37" s="424"/>
      <c r="VVW37" s="426"/>
      <c r="VVX37" s="424"/>
      <c r="VVY37" s="426"/>
      <c r="VVZ37" s="424"/>
      <c r="VWA37" s="426"/>
      <c r="VWB37" s="424"/>
      <c r="VWC37" s="426"/>
      <c r="VWD37" s="424"/>
      <c r="VWE37" s="426"/>
      <c r="VWF37" s="424"/>
      <c r="VWG37" s="426"/>
      <c r="VWH37" s="424"/>
      <c r="VWI37" s="426"/>
      <c r="VWJ37" s="424"/>
      <c r="VWK37" s="426"/>
      <c r="VWL37" s="424"/>
      <c r="VWM37" s="426"/>
      <c r="VWN37" s="424"/>
      <c r="VWO37" s="426"/>
      <c r="VWP37" s="424"/>
      <c r="VWQ37" s="426"/>
      <c r="VWR37" s="424"/>
      <c r="VWS37" s="426"/>
      <c r="VWT37" s="424"/>
      <c r="VWU37" s="426"/>
      <c r="VWV37" s="424"/>
      <c r="VWW37" s="426"/>
      <c r="VWX37" s="424"/>
      <c r="VWY37" s="426"/>
      <c r="VWZ37" s="424"/>
      <c r="VXA37" s="426"/>
      <c r="VXB37" s="424"/>
      <c r="VXC37" s="426"/>
      <c r="VXD37" s="424"/>
      <c r="VXE37" s="426"/>
      <c r="VXF37" s="424"/>
      <c r="VXG37" s="426"/>
      <c r="VXH37" s="424"/>
      <c r="VXI37" s="426"/>
      <c r="VXJ37" s="424"/>
      <c r="VXK37" s="426"/>
      <c r="VXL37" s="424"/>
      <c r="VXM37" s="426"/>
      <c r="VXN37" s="424"/>
      <c r="VXO37" s="426"/>
      <c r="VXP37" s="424"/>
      <c r="VXQ37" s="426"/>
      <c r="VXR37" s="424"/>
      <c r="VXS37" s="426"/>
      <c r="VXT37" s="424"/>
      <c r="VXU37" s="426"/>
      <c r="VXV37" s="424"/>
      <c r="VXW37" s="426"/>
      <c r="VXX37" s="424"/>
      <c r="VXY37" s="426"/>
      <c r="VXZ37" s="424"/>
      <c r="VYA37" s="426"/>
      <c r="VYB37" s="424"/>
      <c r="VYC37" s="426"/>
      <c r="VYD37" s="424"/>
      <c r="VYE37" s="426"/>
      <c r="VYF37" s="424"/>
      <c r="VYG37" s="426"/>
      <c r="VYH37" s="424"/>
      <c r="VYI37" s="426"/>
      <c r="VYJ37" s="424"/>
      <c r="VYK37" s="426"/>
      <c r="VYL37" s="424"/>
      <c r="VYM37" s="426"/>
      <c r="VYN37" s="424"/>
      <c r="VYO37" s="426"/>
      <c r="VYP37" s="424"/>
      <c r="VYQ37" s="426"/>
      <c r="VYR37" s="424"/>
      <c r="VYS37" s="426"/>
      <c r="VYT37" s="424"/>
      <c r="VYU37" s="426"/>
      <c r="VYV37" s="424"/>
      <c r="VYW37" s="426"/>
      <c r="VYX37" s="424"/>
      <c r="VYY37" s="426"/>
      <c r="VYZ37" s="424"/>
      <c r="VZA37" s="426"/>
      <c r="VZB37" s="424"/>
      <c r="VZC37" s="426"/>
      <c r="VZD37" s="424"/>
      <c r="VZE37" s="426"/>
      <c r="VZF37" s="424"/>
      <c r="VZG37" s="426"/>
      <c r="VZH37" s="424"/>
      <c r="VZI37" s="426"/>
      <c r="VZJ37" s="424"/>
      <c r="VZK37" s="426"/>
      <c r="VZL37" s="424"/>
      <c r="VZM37" s="426"/>
      <c r="VZN37" s="424"/>
      <c r="VZO37" s="426"/>
      <c r="VZP37" s="424"/>
      <c r="VZQ37" s="426"/>
      <c r="VZR37" s="424"/>
      <c r="VZS37" s="426"/>
      <c r="VZT37" s="424"/>
      <c r="VZU37" s="426"/>
      <c r="VZV37" s="424"/>
      <c r="VZW37" s="426"/>
      <c r="VZX37" s="424"/>
      <c r="VZY37" s="426"/>
      <c r="VZZ37" s="424"/>
      <c r="WAA37" s="426"/>
      <c r="WAB37" s="424"/>
      <c r="WAC37" s="426"/>
      <c r="WAD37" s="424"/>
      <c r="WAE37" s="426"/>
      <c r="WAF37" s="424"/>
      <c r="WAG37" s="426"/>
      <c r="WAH37" s="424"/>
      <c r="WAI37" s="426"/>
      <c r="WAJ37" s="424"/>
      <c r="WAK37" s="426"/>
      <c r="WAL37" s="424"/>
      <c r="WAM37" s="426"/>
      <c r="WAN37" s="424"/>
      <c r="WAO37" s="426"/>
      <c r="WAP37" s="424"/>
      <c r="WAQ37" s="426"/>
      <c r="WAR37" s="424"/>
      <c r="WAS37" s="426"/>
      <c r="WAT37" s="424"/>
      <c r="WAU37" s="426"/>
      <c r="WAV37" s="424"/>
      <c r="WAW37" s="426"/>
      <c r="WAX37" s="424"/>
      <c r="WAY37" s="426"/>
      <c r="WAZ37" s="424"/>
      <c r="WBA37" s="426"/>
      <c r="WBB37" s="424"/>
      <c r="WBC37" s="426"/>
      <c r="WBD37" s="424"/>
      <c r="WBE37" s="426"/>
      <c r="WBF37" s="424"/>
      <c r="WBG37" s="426"/>
      <c r="WBH37" s="424"/>
      <c r="WBI37" s="426"/>
      <c r="WBJ37" s="424"/>
      <c r="WBK37" s="426"/>
      <c r="WBL37" s="424"/>
      <c r="WBM37" s="426"/>
      <c r="WBN37" s="424"/>
      <c r="WBO37" s="426"/>
      <c r="WBP37" s="424"/>
      <c r="WBQ37" s="426"/>
      <c r="WBR37" s="424"/>
      <c r="WBS37" s="426"/>
      <c r="WBT37" s="424"/>
      <c r="WBU37" s="426"/>
      <c r="WBV37" s="424"/>
      <c r="WBW37" s="426"/>
      <c r="WBX37" s="424"/>
      <c r="WBY37" s="426"/>
      <c r="WBZ37" s="424"/>
      <c r="WCA37" s="426"/>
      <c r="WCB37" s="424"/>
      <c r="WCC37" s="426"/>
      <c r="WCD37" s="424"/>
      <c r="WCE37" s="426"/>
      <c r="WCF37" s="424"/>
      <c r="WCG37" s="426"/>
      <c r="WCH37" s="424"/>
      <c r="WCI37" s="426"/>
      <c r="WCJ37" s="424"/>
      <c r="WCK37" s="426"/>
      <c r="WCL37" s="424"/>
      <c r="WCM37" s="426"/>
      <c r="WCN37" s="424"/>
      <c r="WCO37" s="426"/>
      <c r="WCP37" s="424"/>
      <c r="WCQ37" s="426"/>
      <c r="WCR37" s="424"/>
      <c r="WCS37" s="426"/>
      <c r="WCT37" s="424"/>
      <c r="WCU37" s="426"/>
      <c r="WCV37" s="424"/>
      <c r="WCW37" s="426"/>
      <c r="WCX37" s="424"/>
      <c r="WCY37" s="426"/>
      <c r="WCZ37" s="424"/>
      <c r="WDA37" s="426"/>
      <c r="WDB37" s="424"/>
      <c r="WDC37" s="426"/>
      <c r="WDD37" s="424"/>
      <c r="WDE37" s="426"/>
      <c r="WDF37" s="424"/>
      <c r="WDG37" s="426"/>
      <c r="WDH37" s="424"/>
      <c r="WDI37" s="426"/>
      <c r="WDJ37" s="424"/>
      <c r="WDK37" s="426"/>
      <c r="WDL37" s="424"/>
      <c r="WDM37" s="426"/>
      <c r="WDN37" s="424"/>
      <c r="WDO37" s="426"/>
      <c r="WDP37" s="424"/>
      <c r="WDQ37" s="426"/>
      <c r="WDR37" s="424"/>
      <c r="WDS37" s="426"/>
      <c r="WDT37" s="424"/>
      <c r="WDU37" s="426"/>
      <c r="WDV37" s="424"/>
      <c r="WDW37" s="426"/>
      <c r="WDX37" s="424"/>
      <c r="WDY37" s="426"/>
      <c r="WDZ37" s="424"/>
      <c r="WEA37" s="426"/>
      <c r="WEB37" s="424"/>
      <c r="WEC37" s="426"/>
      <c r="WED37" s="424"/>
      <c r="WEE37" s="426"/>
      <c r="WEF37" s="424"/>
      <c r="WEG37" s="426"/>
      <c r="WEH37" s="424"/>
      <c r="WEI37" s="426"/>
      <c r="WEJ37" s="424"/>
      <c r="WEK37" s="426"/>
      <c r="WEL37" s="424"/>
      <c r="WEM37" s="426"/>
      <c r="WEN37" s="424"/>
      <c r="WEO37" s="426"/>
      <c r="WEP37" s="424"/>
      <c r="WEQ37" s="426"/>
      <c r="WER37" s="424"/>
      <c r="WES37" s="426"/>
      <c r="WET37" s="424"/>
      <c r="WEU37" s="426"/>
      <c r="WEV37" s="424"/>
      <c r="WEW37" s="426"/>
      <c r="WEX37" s="424"/>
      <c r="WEY37" s="426"/>
      <c r="WEZ37" s="424"/>
      <c r="WFA37" s="426"/>
      <c r="WFB37" s="424"/>
      <c r="WFC37" s="426"/>
      <c r="WFD37" s="424"/>
      <c r="WFE37" s="426"/>
      <c r="WFF37" s="424"/>
      <c r="WFG37" s="426"/>
      <c r="WFH37" s="424"/>
      <c r="WFI37" s="426"/>
      <c r="WFJ37" s="424"/>
      <c r="WFK37" s="426"/>
      <c r="WFL37" s="424"/>
      <c r="WFM37" s="426"/>
      <c r="WFN37" s="424"/>
      <c r="WFO37" s="426"/>
      <c r="WFP37" s="424"/>
      <c r="WFQ37" s="426"/>
      <c r="WFR37" s="424"/>
      <c r="WFS37" s="426"/>
      <c r="WFT37" s="424"/>
      <c r="WFU37" s="426"/>
      <c r="WFV37" s="424"/>
      <c r="WFW37" s="426"/>
      <c r="WFX37" s="424"/>
      <c r="WFY37" s="426"/>
      <c r="WFZ37" s="424"/>
      <c r="WGA37" s="426"/>
      <c r="WGB37" s="424"/>
      <c r="WGC37" s="426"/>
      <c r="WGD37" s="424"/>
      <c r="WGE37" s="426"/>
      <c r="WGF37" s="424"/>
      <c r="WGG37" s="426"/>
      <c r="WGH37" s="424"/>
      <c r="WGI37" s="426"/>
      <c r="WGJ37" s="424"/>
      <c r="WGK37" s="426"/>
      <c r="WGL37" s="424"/>
      <c r="WGM37" s="426"/>
      <c r="WGN37" s="424"/>
      <c r="WGO37" s="426"/>
      <c r="WGP37" s="424"/>
      <c r="WGQ37" s="426"/>
      <c r="WGR37" s="424"/>
      <c r="WGS37" s="426"/>
      <c r="WGT37" s="424"/>
      <c r="WGU37" s="426"/>
      <c r="WGV37" s="424"/>
      <c r="WGW37" s="426"/>
      <c r="WGX37" s="424"/>
      <c r="WGY37" s="426"/>
      <c r="WGZ37" s="424"/>
      <c r="WHA37" s="426"/>
      <c r="WHB37" s="424"/>
      <c r="WHC37" s="426"/>
      <c r="WHD37" s="424"/>
      <c r="WHE37" s="426"/>
      <c r="WHF37" s="424"/>
      <c r="WHG37" s="426"/>
      <c r="WHH37" s="424"/>
      <c r="WHI37" s="426"/>
      <c r="WHJ37" s="424"/>
      <c r="WHK37" s="426"/>
      <c r="WHL37" s="424"/>
      <c r="WHM37" s="426"/>
      <c r="WHN37" s="424"/>
      <c r="WHO37" s="426"/>
      <c r="WHP37" s="424"/>
      <c r="WHQ37" s="426"/>
      <c r="WHR37" s="424"/>
      <c r="WHS37" s="426"/>
      <c r="WHT37" s="424"/>
      <c r="WHU37" s="426"/>
      <c r="WHV37" s="424"/>
      <c r="WHW37" s="426"/>
      <c r="WHX37" s="424"/>
      <c r="WHY37" s="426"/>
      <c r="WHZ37" s="424"/>
      <c r="WIA37" s="426"/>
      <c r="WIB37" s="424"/>
      <c r="WIC37" s="426"/>
      <c r="WID37" s="424"/>
      <c r="WIE37" s="426"/>
      <c r="WIF37" s="424"/>
      <c r="WIG37" s="426"/>
      <c r="WIH37" s="424"/>
      <c r="WII37" s="426"/>
      <c r="WIJ37" s="424"/>
      <c r="WIK37" s="426"/>
      <c r="WIL37" s="424"/>
      <c r="WIM37" s="426"/>
      <c r="WIN37" s="424"/>
      <c r="WIO37" s="426"/>
      <c r="WIP37" s="424"/>
      <c r="WIQ37" s="426"/>
      <c r="WIR37" s="424"/>
      <c r="WIS37" s="426"/>
      <c r="WIT37" s="424"/>
      <c r="WIU37" s="426"/>
      <c r="WIV37" s="424"/>
      <c r="WIW37" s="426"/>
      <c r="WIX37" s="424"/>
      <c r="WIY37" s="426"/>
      <c r="WIZ37" s="424"/>
      <c r="WJA37" s="426"/>
      <c r="WJB37" s="424"/>
      <c r="WJC37" s="426"/>
      <c r="WJD37" s="424"/>
      <c r="WJE37" s="426"/>
      <c r="WJF37" s="424"/>
      <c r="WJG37" s="426"/>
      <c r="WJH37" s="424"/>
      <c r="WJI37" s="426"/>
      <c r="WJJ37" s="424"/>
      <c r="WJK37" s="426"/>
      <c r="WJL37" s="424"/>
      <c r="WJM37" s="426"/>
      <c r="WJN37" s="424"/>
      <c r="WJO37" s="426"/>
      <c r="WJP37" s="424"/>
      <c r="WJQ37" s="426"/>
      <c r="WJR37" s="424"/>
      <c r="WJS37" s="426"/>
      <c r="WJT37" s="424"/>
      <c r="WJU37" s="426"/>
      <c r="WJV37" s="424"/>
      <c r="WJW37" s="426"/>
      <c r="WJX37" s="424"/>
      <c r="WJY37" s="426"/>
      <c r="WJZ37" s="424"/>
      <c r="WKA37" s="426"/>
      <c r="WKB37" s="424"/>
      <c r="WKC37" s="426"/>
      <c r="WKD37" s="424"/>
      <c r="WKE37" s="426"/>
      <c r="WKF37" s="424"/>
      <c r="WKG37" s="426"/>
      <c r="WKH37" s="424"/>
      <c r="WKI37" s="426"/>
      <c r="WKJ37" s="424"/>
      <c r="WKK37" s="426"/>
      <c r="WKL37" s="424"/>
      <c r="WKM37" s="426"/>
      <c r="WKN37" s="424"/>
      <c r="WKO37" s="426"/>
      <c r="WKP37" s="424"/>
      <c r="WKQ37" s="426"/>
      <c r="WKR37" s="424"/>
      <c r="WKS37" s="426"/>
      <c r="WKT37" s="424"/>
      <c r="WKU37" s="426"/>
      <c r="WKV37" s="424"/>
      <c r="WKW37" s="426"/>
      <c r="WKX37" s="424"/>
      <c r="WKY37" s="426"/>
      <c r="WKZ37" s="424"/>
      <c r="WLA37" s="426"/>
      <c r="WLB37" s="424"/>
      <c r="WLC37" s="426"/>
      <c r="WLD37" s="424"/>
      <c r="WLE37" s="426"/>
      <c r="WLF37" s="424"/>
      <c r="WLG37" s="426"/>
      <c r="WLH37" s="424"/>
      <c r="WLI37" s="426"/>
      <c r="WLJ37" s="424"/>
      <c r="WLK37" s="426"/>
      <c r="WLL37" s="424"/>
      <c r="WLM37" s="426"/>
      <c r="WLN37" s="424"/>
      <c r="WLO37" s="426"/>
      <c r="WLP37" s="424"/>
      <c r="WLQ37" s="426"/>
      <c r="WLR37" s="424"/>
      <c r="WLS37" s="426"/>
      <c r="WLT37" s="424"/>
      <c r="WLU37" s="426"/>
      <c r="WLV37" s="424"/>
      <c r="WLW37" s="426"/>
      <c r="WLX37" s="424"/>
      <c r="WLY37" s="426"/>
      <c r="WLZ37" s="424"/>
      <c r="WMA37" s="426"/>
      <c r="WMB37" s="424"/>
      <c r="WMC37" s="426"/>
      <c r="WMD37" s="424"/>
      <c r="WME37" s="426"/>
      <c r="WMF37" s="424"/>
      <c r="WMG37" s="426"/>
      <c r="WMH37" s="424"/>
      <c r="WMI37" s="426"/>
      <c r="WMJ37" s="424"/>
      <c r="WMK37" s="426"/>
      <c r="WML37" s="424"/>
      <c r="WMM37" s="426"/>
      <c r="WMN37" s="424"/>
      <c r="WMO37" s="426"/>
      <c r="WMP37" s="424"/>
      <c r="WMQ37" s="426"/>
      <c r="WMR37" s="424"/>
      <c r="WMS37" s="426"/>
      <c r="WMT37" s="424"/>
      <c r="WMU37" s="426"/>
      <c r="WMV37" s="424"/>
      <c r="WMW37" s="426"/>
      <c r="WMX37" s="424"/>
      <c r="WMY37" s="426"/>
      <c r="WMZ37" s="424"/>
      <c r="WNA37" s="426"/>
      <c r="WNB37" s="424"/>
      <c r="WNC37" s="426"/>
      <c r="WND37" s="424"/>
      <c r="WNE37" s="426"/>
      <c r="WNF37" s="424"/>
      <c r="WNG37" s="426"/>
      <c r="WNH37" s="424"/>
      <c r="WNI37" s="426"/>
      <c r="WNJ37" s="424"/>
      <c r="WNK37" s="426"/>
      <c r="WNL37" s="424"/>
      <c r="WNM37" s="426"/>
      <c r="WNN37" s="424"/>
      <c r="WNO37" s="426"/>
      <c r="WNP37" s="424"/>
      <c r="WNQ37" s="426"/>
      <c r="WNR37" s="424"/>
      <c r="WNS37" s="426"/>
      <c r="WNT37" s="424"/>
      <c r="WNU37" s="426"/>
      <c r="WNV37" s="424"/>
      <c r="WNW37" s="426"/>
      <c r="WNX37" s="424"/>
      <c r="WNY37" s="426"/>
      <c r="WNZ37" s="424"/>
      <c r="WOA37" s="426"/>
      <c r="WOB37" s="424"/>
      <c r="WOC37" s="426"/>
      <c r="WOD37" s="424"/>
      <c r="WOE37" s="426"/>
      <c r="WOF37" s="424"/>
      <c r="WOG37" s="426"/>
      <c r="WOH37" s="424"/>
      <c r="WOI37" s="426"/>
      <c r="WOJ37" s="424"/>
      <c r="WOK37" s="426"/>
      <c r="WOL37" s="424"/>
      <c r="WOM37" s="426"/>
      <c r="WON37" s="424"/>
      <c r="WOO37" s="426"/>
      <c r="WOP37" s="424"/>
      <c r="WOQ37" s="426"/>
      <c r="WOR37" s="424"/>
      <c r="WOS37" s="426"/>
      <c r="WOT37" s="424"/>
      <c r="WOU37" s="426"/>
      <c r="WOV37" s="424"/>
      <c r="WOW37" s="426"/>
      <c r="WOX37" s="424"/>
      <c r="WOY37" s="426"/>
      <c r="WOZ37" s="424"/>
      <c r="WPA37" s="426"/>
      <c r="WPB37" s="424"/>
      <c r="WPC37" s="426"/>
      <c r="WPD37" s="424"/>
      <c r="WPE37" s="426"/>
      <c r="WPF37" s="424"/>
      <c r="WPG37" s="426"/>
      <c r="WPH37" s="424"/>
      <c r="WPI37" s="426"/>
      <c r="WPJ37" s="424"/>
      <c r="WPK37" s="426"/>
      <c r="WPL37" s="424"/>
      <c r="WPM37" s="426"/>
      <c r="WPN37" s="424"/>
      <c r="WPO37" s="426"/>
      <c r="WPP37" s="424"/>
      <c r="WPQ37" s="426"/>
      <c r="WPR37" s="424"/>
      <c r="WPS37" s="426"/>
      <c r="WPT37" s="424"/>
      <c r="WPU37" s="426"/>
      <c r="WPV37" s="424"/>
      <c r="WPW37" s="426"/>
      <c r="WPX37" s="424"/>
      <c r="WPY37" s="426"/>
      <c r="WPZ37" s="424"/>
      <c r="WQA37" s="426"/>
      <c r="WQB37" s="424"/>
      <c r="WQC37" s="426"/>
      <c r="WQD37" s="424"/>
      <c r="WQE37" s="426"/>
      <c r="WQF37" s="424"/>
      <c r="WQG37" s="426"/>
      <c r="WQH37" s="424"/>
      <c r="WQI37" s="426"/>
      <c r="WQJ37" s="424"/>
      <c r="WQK37" s="426"/>
      <c r="WQL37" s="424"/>
      <c r="WQM37" s="426"/>
      <c r="WQN37" s="424"/>
      <c r="WQO37" s="426"/>
      <c r="WQP37" s="424"/>
      <c r="WQQ37" s="426"/>
      <c r="WQR37" s="424"/>
      <c r="WQS37" s="426"/>
      <c r="WQT37" s="424"/>
      <c r="WQU37" s="426"/>
      <c r="WQV37" s="424"/>
      <c r="WQW37" s="426"/>
      <c r="WQX37" s="424"/>
      <c r="WQY37" s="426"/>
      <c r="WQZ37" s="424"/>
      <c r="WRA37" s="426"/>
      <c r="WRB37" s="424"/>
      <c r="WRC37" s="426"/>
      <c r="WRD37" s="424"/>
      <c r="WRE37" s="426"/>
      <c r="WRF37" s="424"/>
      <c r="WRG37" s="426"/>
      <c r="WRH37" s="424"/>
      <c r="WRI37" s="426"/>
      <c r="WRJ37" s="424"/>
      <c r="WRK37" s="426"/>
      <c r="WRL37" s="424"/>
      <c r="WRM37" s="426"/>
      <c r="WRN37" s="424"/>
      <c r="WRO37" s="426"/>
      <c r="WRP37" s="424"/>
      <c r="WRQ37" s="426"/>
      <c r="WRR37" s="424"/>
      <c r="WRS37" s="426"/>
      <c r="WRT37" s="424"/>
      <c r="WRU37" s="426"/>
      <c r="WRV37" s="424"/>
      <c r="WRW37" s="426"/>
      <c r="WRX37" s="424"/>
      <c r="WRY37" s="426"/>
      <c r="WRZ37" s="424"/>
      <c r="WSA37" s="426"/>
      <c r="WSB37" s="424"/>
      <c r="WSC37" s="426"/>
      <c r="WSD37" s="424"/>
      <c r="WSE37" s="426"/>
      <c r="WSF37" s="424"/>
      <c r="WSG37" s="426"/>
      <c r="WSH37" s="424"/>
      <c r="WSI37" s="426"/>
      <c r="WSJ37" s="424"/>
      <c r="WSK37" s="426"/>
      <c r="WSL37" s="424"/>
      <c r="WSM37" s="426"/>
      <c r="WSN37" s="424"/>
      <c r="WSO37" s="426"/>
      <c r="WSP37" s="424"/>
      <c r="WSQ37" s="426"/>
      <c r="WSR37" s="424"/>
      <c r="WSS37" s="426"/>
      <c r="WST37" s="424"/>
      <c r="WSU37" s="426"/>
      <c r="WSV37" s="424"/>
      <c r="WSW37" s="426"/>
      <c r="WSX37" s="424"/>
      <c r="WSY37" s="426"/>
      <c r="WSZ37" s="424"/>
      <c r="WTA37" s="426"/>
      <c r="WTB37" s="424"/>
      <c r="WTC37" s="426"/>
      <c r="WTD37" s="424"/>
      <c r="WTE37" s="426"/>
      <c r="WTF37" s="424"/>
      <c r="WTG37" s="426"/>
      <c r="WTH37" s="424"/>
      <c r="WTI37" s="426"/>
      <c r="WTJ37" s="424"/>
      <c r="WTK37" s="426"/>
      <c r="WTL37" s="424"/>
      <c r="WTM37" s="426"/>
      <c r="WTN37" s="424"/>
      <c r="WTO37" s="426"/>
      <c r="WTP37" s="424"/>
      <c r="WTQ37" s="426"/>
      <c r="WTR37" s="424"/>
      <c r="WTS37" s="426"/>
      <c r="WTT37" s="424"/>
      <c r="WTU37" s="426"/>
      <c r="WTV37" s="424"/>
      <c r="WTW37" s="426"/>
      <c r="WTX37" s="424"/>
      <c r="WTY37" s="426"/>
      <c r="WTZ37" s="424"/>
      <c r="WUA37" s="426"/>
      <c r="WUB37" s="424"/>
      <c r="WUC37" s="426"/>
      <c r="WUD37" s="424"/>
      <c r="WUE37" s="426"/>
      <c r="WUF37" s="424"/>
      <c r="WUG37" s="426"/>
      <c r="WUH37" s="424"/>
      <c r="WUI37" s="426"/>
      <c r="WUJ37" s="424"/>
      <c r="WUK37" s="426"/>
      <c r="WUL37" s="424"/>
      <c r="WUM37" s="426"/>
      <c r="WUN37" s="424"/>
      <c r="WUO37" s="426"/>
      <c r="WUP37" s="424"/>
      <c r="WUQ37" s="426"/>
      <c r="WUR37" s="424"/>
      <c r="WUS37" s="426"/>
      <c r="WUT37" s="424"/>
      <c r="WUU37" s="426"/>
      <c r="WUV37" s="424"/>
      <c r="WUW37" s="426"/>
      <c r="WUX37" s="424"/>
      <c r="WUY37" s="426"/>
      <c r="WUZ37" s="424"/>
      <c r="WVA37" s="426"/>
      <c r="WVB37" s="424"/>
      <c r="WVC37" s="426"/>
      <c r="WVD37" s="424"/>
      <c r="WVE37" s="426"/>
      <c r="WVF37" s="424"/>
      <c r="WVG37" s="426"/>
      <c r="WVH37" s="424"/>
      <c r="WVI37" s="426"/>
      <c r="WVJ37" s="424"/>
      <c r="WVK37" s="426"/>
      <c r="WVL37" s="424"/>
      <c r="WVM37" s="426"/>
      <c r="WVN37" s="424"/>
      <c r="WVO37" s="426"/>
      <c r="WVP37" s="424"/>
      <c r="WVQ37" s="426"/>
      <c r="WVR37" s="424"/>
      <c r="WVS37" s="426"/>
      <c r="WVT37" s="424"/>
      <c r="WVU37" s="426"/>
      <c r="WVV37" s="424"/>
      <c r="WVW37" s="426"/>
      <c r="WVX37" s="424"/>
      <c r="WVY37" s="426"/>
      <c r="WVZ37" s="424"/>
      <c r="WWA37" s="426"/>
      <c r="WWB37" s="424"/>
      <c r="WWC37" s="426"/>
      <c r="WWD37" s="424"/>
      <c r="WWE37" s="426"/>
      <c r="WWF37" s="424"/>
      <c r="WWG37" s="426"/>
      <c r="WWH37" s="424"/>
      <c r="WWI37" s="426"/>
      <c r="WWJ37" s="424"/>
      <c r="WWK37" s="426"/>
      <c r="WWL37" s="424"/>
      <c r="WWM37" s="426"/>
      <c r="WWN37" s="424"/>
      <c r="WWO37" s="426"/>
      <c r="WWP37" s="424"/>
      <c r="WWQ37" s="426"/>
      <c r="WWR37" s="424"/>
      <c r="WWS37" s="426"/>
      <c r="WWT37" s="424"/>
      <c r="WWU37" s="426"/>
      <c r="WWV37" s="424"/>
      <c r="WWW37" s="426"/>
      <c r="WWX37" s="424"/>
      <c r="WWY37" s="426"/>
      <c r="WWZ37" s="424"/>
      <c r="WXA37" s="426"/>
      <c r="WXB37" s="424"/>
      <c r="WXC37" s="426"/>
      <c r="WXD37" s="424"/>
      <c r="WXE37" s="426"/>
      <c r="WXF37" s="424"/>
      <c r="WXG37" s="426"/>
      <c r="WXH37" s="424"/>
      <c r="WXI37" s="426"/>
      <c r="WXJ37" s="424"/>
      <c r="WXK37" s="426"/>
      <c r="WXL37" s="424"/>
      <c r="WXM37" s="426"/>
      <c r="WXN37" s="424"/>
      <c r="WXO37" s="426"/>
      <c r="WXP37" s="424"/>
      <c r="WXQ37" s="426"/>
      <c r="WXR37" s="424"/>
      <c r="WXS37" s="426"/>
      <c r="WXT37" s="424"/>
      <c r="WXU37" s="426"/>
      <c r="WXV37" s="424"/>
      <c r="WXW37" s="426"/>
      <c r="WXX37" s="424"/>
      <c r="WXY37" s="426"/>
      <c r="WXZ37" s="424"/>
      <c r="WYA37" s="426"/>
      <c r="WYB37" s="424"/>
      <c r="WYC37" s="426"/>
      <c r="WYD37" s="424"/>
      <c r="WYE37" s="426"/>
      <c r="WYF37" s="424"/>
      <c r="WYG37" s="426"/>
      <c r="WYH37" s="424"/>
      <c r="WYI37" s="426"/>
      <c r="WYJ37" s="424"/>
      <c r="WYK37" s="426"/>
      <c r="WYL37" s="424"/>
      <c r="WYM37" s="426"/>
      <c r="WYN37" s="424"/>
      <c r="WYO37" s="426"/>
      <c r="WYP37" s="424"/>
      <c r="WYQ37" s="426"/>
      <c r="WYR37" s="424"/>
      <c r="WYS37" s="426"/>
      <c r="WYT37" s="424"/>
      <c r="WYU37" s="426"/>
      <c r="WYV37" s="424"/>
      <c r="WYW37" s="426"/>
      <c r="WYX37" s="424"/>
      <c r="WYY37" s="426"/>
      <c r="WYZ37" s="424"/>
      <c r="WZA37" s="426"/>
      <c r="WZB37" s="424"/>
      <c r="WZC37" s="426"/>
      <c r="WZD37" s="424"/>
      <c r="WZE37" s="426"/>
      <c r="WZF37" s="424"/>
      <c r="WZG37" s="426"/>
      <c r="WZH37" s="424"/>
      <c r="WZI37" s="426"/>
      <c r="WZJ37" s="424"/>
      <c r="WZK37" s="426"/>
      <c r="WZL37" s="424"/>
      <c r="WZM37" s="426"/>
      <c r="WZN37" s="424"/>
      <c r="WZO37" s="426"/>
      <c r="WZP37" s="424"/>
      <c r="WZQ37" s="426"/>
      <c r="WZR37" s="424"/>
      <c r="WZS37" s="426"/>
      <c r="WZT37" s="424"/>
      <c r="WZU37" s="426"/>
      <c r="WZV37" s="424"/>
      <c r="WZW37" s="426"/>
      <c r="WZX37" s="424"/>
      <c r="WZY37" s="426"/>
      <c r="WZZ37" s="424"/>
      <c r="XAA37" s="426"/>
      <c r="XAB37" s="424"/>
      <c r="XAC37" s="426"/>
      <c r="XAD37" s="424"/>
      <c r="XAE37" s="426"/>
      <c r="XAF37" s="424"/>
      <c r="XAG37" s="426"/>
      <c r="XAH37" s="424"/>
      <c r="XAI37" s="426"/>
      <c r="XAJ37" s="424"/>
      <c r="XAK37" s="426"/>
      <c r="XAL37" s="424"/>
      <c r="XAM37" s="426"/>
      <c r="XAN37" s="424"/>
      <c r="XAO37" s="426"/>
      <c r="XAP37" s="424"/>
      <c r="XAQ37" s="426"/>
      <c r="XAR37" s="424"/>
      <c r="XAS37" s="426"/>
      <c r="XAT37" s="424"/>
      <c r="XAU37" s="426"/>
      <c r="XAV37" s="424"/>
      <c r="XAW37" s="426"/>
      <c r="XAX37" s="424"/>
      <c r="XAY37" s="426"/>
      <c r="XAZ37" s="424"/>
      <c r="XBA37" s="426"/>
      <c r="XBB37" s="424"/>
      <c r="XBC37" s="426"/>
      <c r="XBD37" s="424"/>
      <c r="XBE37" s="426"/>
      <c r="XBF37" s="424"/>
      <c r="XBG37" s="426"/>
      <c r="XBH37" s="424"/>
      <c r="XBI37" s="426"/>
      <c r="XBJ37" s="424"/>
      <c r="XBK37" s="426"/>
      <c r="XBL37" s="424"/>
      <c r="XBM37" s="426"/>
      <c r="XBN37" s="424"/>
      <c r="XBO37" s="426"/>
      <c r="XBP37" s="424"/>
      <c r="XBQ37" s="426"/>
      <c r="XBR37" s="424"/>
      <c r="XBS37" s="426"/>
      <c r="XBT37" s="424"/>
      <c r="XBU37" s="426"/>
      <c r="XBV37" s="424"/>
      <c r="XBW37" s="426"/>
      <c r="XBX37" s="424"/>
      <c r="XBY37" s="426"/>
      <c r="XBZ37" s="424"/>
      <c r="XCA37" s="426"/>
      <c r="XCB37" s="424"/>
      <c r="XCC37" s="426"/>
      <c r="XCD37" s="424"/>
      <c r="XCE37" s="426"/>
      <c r="XCF37" s="424"/>
      <c r="XCG37" s="426"/>
      <c r="XCH37" s="424"/>
      <c r="XCI37" s="426"/>
      <c r="XCJ37" s="424"/>
      <c r="XCK37" s="426"/>
      <c r="XCL37" s="424"/>
      <c r="XCM37" s="426"/>
      <c r="XCN37" s="424"/>
      <c r="XCO37" s="426"/>
      <c r="XCP37" s="424"/>
      <c r="XCQ37" s="426"/>
      <c r="XCR37" s="424"/>
      <c r="XCS37" s="426"/>
      <c r="XCT37" s="424"/>
      <c r="XCU37" s="426"/>
      <c r="XCV37" s="424"/>
      <c r="XCW37" s="426"/>
      <c r="XCX37" s="424"/>
      <c r="XCY37" s="426"/>
      <c r="XCZ37" s="424"/>
      <c r="XDA37" s="426"/>
      <c r="XDB37" s="424"/>
      <c r="XDC37" s="426"/>
      <c r="XDD37" s="424"/>
      <c r="XDE37" s="426"/>
      <c r="XDF37" s="424"/>
      <c r="XDG37" s="426"/>
      <c r="XDH37" s="424"/>
      <c r="XDI37" s="426"/>
      <c r="XDJ37" s="424"/>
      <c r="XDK37" s="426"/>
      <c r="XDL37" s="424"/>
      <c r="XDM37" s="426"/>
      <c r="XDN37" s="424"/>
      <c r="XDO37" s="426"/>
      <c r="XDP37" s="424"/>
      <c r="XDQ37" s="426"/>
      <c r="XDR37" s="424"/>
      <c r="XDS37" s="426"/>
      <c r="XDT37" s="424"/>
      <c r="XDU37" s="426"/>
      <c r="XDV37" s="424"/>
      <c r="XDW37" s="426"/>
      <c r="XDX37" s="424"/>
      <c r="XDY37" s="426"/>
      <c r="XDZ37" s="424"/>
      <c r="XEA37" s="426"/>
      <c r="XEB37" s="424"/>
      <c r="XEC37" s="426"/>
      <c r="XED37" s="424"/>
      <c r="XEE37" s="426"/>
      <c r="XEF37" s="424"/>
      <c r="XEG37" s="426"/>
      <c r="XEH37" s="424"/>
      <c r="XEI37" s="426"/>
      <c r="XEJ37" s="424"/>
      <c r="XEK37" s="426"/>
      <c r="XEL37" s="424"/>
      <c r="XEM37" s="426"/>
      <c r="XEN37" s="424"/>
      <c r="XEO37" s="426"/>
      <c r="XEP37" s="424"/>
      <c r="XEQ37" s="426"/>
      <c r="XER37" s="424"/>
      <c r="XES37" s="426"/>
      <c r="XET37" s="424"/>
      <c r="XEU37" s="426"/>
      <c r="XEV37" s="424"/>
      <c r="XEW37" s="426"/>
      <c r="XEX37" s="424"/>
      <c r="XEY37" s="426"/>
      <c r="XEZ37" s="424"/>
      <c r="XFA37" s="426"/>
      <c r="XFB37" s="424"/>
      <c r="XFC37" s="426"/>
      <c r="XFD37" s="424"/>
    </row>
    <row r="38" spans="2:16384" ht="26" customHeight="1" x14ac:dyDescent="0.3">
      <c r="B38" s="370" t="s">
        <v>1224</v>
      </c>
      <c r="C38" s="363"/>
      <c r="D38" s="363"/>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359"/>
      <c r="AK38" s="359"/>
      <c r="AL38" s="359"/>
      <c r="AM38" s="359"/>
      <c r="AN38" s="359"/>
      <c r="AO38" s="359"/>
      <c r="AP38" s="359"/>
      <c r="AQ38" s="359"/>
      <c r="AR38" s="359"/>
      <c r="AS38" s="359"/>
      <c r="AT38" s="359"/>
      <c r="AU38" s="359"/>
      <c r="AV38" s="359"/>
      <c r="AW38" s="359"/>
      <c r="AX38" s="359"/>
      <c r="AY38" s="359"/>
      <c r="AZ38" s="359"/>
      <c r="BA38" s="359"/>
      <c r="BB38" s="359"/>
      <c r="BC38" s="359"/>
      <c r="BD38" s="359"/>
      <c r="BE38" s="359"/>
      <c r="BF38" s="359"/>
      <c r="BG38" s="359"/>
      <c r="BH38" s="359"/>
      <c r="BI38" s="359"/>
      <c r="BJ38" s="359"/>
      <c r="BK38" s="359"/>
      <c r="BL38" s="359"/>
      <c r="BM38" s="359"/>
      <c r="BN38" s="359"/>
      <c r="BO38" s="359"/>
      <c r="BP38" s="359"/>
      <c r="BQ38" s="359"/>
      <c r="BR38" s="359"/>
      <c r="BS38" s="359"/>
      <c r="BT38" s="359"/>
      <c r="BU38" s="359"/>
      <c r="BV38" s="359"/>
      <c r="BW38" s="372"/>
      <c r="BX38" s="372"/>
      <c r="BY38" s="372"/>
      <c r="BZ38" s="372"/>
      <c r="CA38" s="372"/>
      <c r="CB38" s="372"/>
      <c r="CC38" s="372"/>
      <c r="CD38" s="372"/>
      <c r="CE38" s="372"/>
      <c r="CF38" s="372"/>
      <c r="CG38" s="372"/>
      <c r="CH38" s="372"/>
      <c r="CI38" s="372"/>
      <c r="CJ38" s="372"/>
      <c r="CK38" s="372"/>
      <c r="CL38" s="372"/>
      <c r="CM38" s="372"/>
      <c r="CN38" s="372"/>
      <c r="CO38" s="372"/>
      <c r="CP38" s="372"/>
      <c r="CQ38" s="372"/>
      <c r="CR38" s="372"/>
      <c r="CS38" s="372"/>
      <c r="CT38" s="372"/>
      <c r="CU38" s="372"/>
      <c r="CV38" s="372"/>
      <c r="CW38" s="372"/>
      <c r="CX38" s="372"/>
      <c r="CY38" s="372"/>
      <c r="CZ38" s="372"/>
      <c r="DA38" s="372"/>
      <c r="DB38" s="372"/>
      <c r="DC38" s="372"/>
      <c r="DD38" s="372"/>
      <c r="DE38" s="372"/>
      <c r="DF38" s="372"/>
      <c r="DG38" s="372"/>
      <c r="DH38" s="372"/>
      <c r="DI38" s="372"/>
      <c r="DJ38" s="372"/>
      <c r="DK38" s="372"/>
      <c r="DL38" s="372"/>
      <c r="DM38" s="372"/>
      <c r="DN38" s="372"/>
      <c r="DO38" s="372"/>
      <c r="DP38" s="372"/>
      <c r="DQ38" s="372"/>
      <c r="DR38" s="372"/>
      <c r="DS38" s="372"/>
      <c r="DT38" s="372"/>
      <c r="DU38" s="372"/>
      <c r="DV38" s="372"/>
      <c r="DW38" s="372"/>
      <c r="DX38" s="372"/>
      <c r="DY38" s="372"/>
      <c r="DZ38" s="372"/>
      <c r="EA38" s="372"/>
      <c r="EB38" s="372"/>
      <c r="EC38" s="372"/>
      <c r="ED38" s="372"/>
      <c r="EE38" s="372"/>
      <c r="EF38" s="372"/>
      <c r="EG38" s="372"/>
      <c r="EH38" s="372"/>
      <c r="EI38" s="372"/>
      <c r="EJ38" s="372"/>
      <c r="EK38" s="372"/>
      <c r="EL38" s="372"/>
      <c r="EM38" s="372"/>
      <c r="EN38" s="372"/>
      <c r="EO38" s="372"/>
      <c r="EP38" s="372"/>
      <c r="EQ38" s="372"/>
      <c r="ER38" s="372"/>
      <c r="ES38" s="372"/>
      <c r="ET38" s="372"/>
      <c r="EU38" s="372"/>
      <c r="EV38" s="372"/>
      <c r="EW38" s="372"/>
      <c r="EX38" s="372"/>
      <c r="EY38" s="372"/>
      <c r="EZ38" s="372"/>
      <c r="FA38" s="372"/>
      <c r="FB38" s="372"/>
      <c r="FC38" s="372"/>
      <c r="FD38" s="372"/>
      <c r="FE38" s="372"/>
      <c r="FF38" s="372"/>
      <c r="FG38" s="372"/>
      <c r="FH38" s="372"/>
      <c r="FI38" s="372"/>
      <c r="FJ38" s="372"/>
      <c r="FK38" s="372"/>
      <c r="FL38" s="372"/>
      <c r="FM38" s="372"/>
      <c r="FN38" s="372"/>
      <c r="FO38" s="372"/>
      <c r="FP38" s="372"/>
      <c r="FQ38" s="372"/>
      <c r="FR38" s="372"/>
      <c r="FS38" s="372"/>
      <c r="FT38" s="372"/>
      <c r="FU38" s="372"/>
      <c r="FV38" s="372"/>
      <c r="FW38" s="372"/>
      <c r="FX38" s="372"/>
      <c r="FY38" s="372"/>
      <c r="FZ38" s="372"/>
      <c r="GA38" s="372"/>
      <c r="GB38" s="372"/>
      <c r="GC38" s="372"/>
      <c r="GD38" s="372"/>
      <c r="GE38" s="372"/>
      <c r="GF38" s="372"/>
      <c r="GG38" s="372"/>
      <c r="GH38" s="372"/>
      <c r="GI38" s="372"/>
      <c r="GJ38" s="372"/>
      <c r="GK38" s="372"/>
      <c r="GL38" s="372"/>
      <c r="GM38" s="372"/>
      <c r="GN38" s="372"/>
      <c r="GO38" s="372"/>
      <c r="GP38" s="372"/>
      <c r="GQ38" s="372"/>
      <c r="GR38" s="372"/>
      <c r="GS38" s="372"/>
      <c r="GT38" s="372"/>
      <c r="GU38" s="372"/>
      <c r="GV38" s="372"/>
      <c r="GW38" s="372"/>
      <c r="GX38" s="372"/>
      <c r="GY38" s="372"/>
      <c r="GZ38" s="372"/>
      <c r="HA38" s="372"/>
      <c r="HB38" s="372"/>
      <c r="HC38" s="372"/>
      <c r="HD38" s="372"/>
      <c r="HE38" s="372"/>
      <c r="HF38" s="372"/>
      <c r="HG38" s="372"/>
      <c r="HH38" s="372"/>
      <c r="HI38" s="372"/>
      <c r="HJ38" s="372"/>
      <c r="HK38" s="372"/>
      <c r="HL38" s="372"/>
      <c r="HM38" s="372"/>
      <c r="HN38" s="372"/>
      <c r="HO38" s="372"/>
      <c r="HP38" s="372"/>
      <c r="HQ38" s="372"/>
      <c r="HR38" s="372"/>
      <c r="HS38" s="372"/>
      <c r="HT38" s="372"/>
      <c r="HU38" s="372"/>
      <c r="HV38" s="372"/>
      <c r="HW38" s="372"/>
      <c r="HX38" s="372"/>
      <c r="HY38" s="372"/>
      <c r="HZ38" s="372"/>
      <c r="IA38" s="372"/>
      <c r="IB38" s="372"/>
      <c r="IC38" s="372"/>
      <c r="ID38" s="372"/>
      <c r="IE38" s="372"/>
      <c r="IF38" s="372"/>
      <c r="IG38" s="372"/>
      <c r="IH38" s="372"/>
      <c r="II38" s="372"/>
      <c r="IJ38" s="372"/>
      <c r="IK38" s="372"/>
      <c r="IL38" s="372"/>
      <c r="IM38" s="372"/>
      <c r="IN38" s="372"/>
      <c r="IO38" s="372"/>
      <c r="IP38" s="372"/>
      <c r="IQ38" s="372"/>
      <c r="IR38" s="372"/>
      <c r="IS38" s="372"/>
      <c r="IT38" s="372"/>
      <c r="IU38" s="372"/>
      <c r="IV38" s="372"/>
      <c r="IW38" s="372"/>
      <c r="IX38" s="372"/>
      <c r="IY38" s="372"/>
      <c r="IZ38" s="372"/>
      <c r="JA38" s="372"/>
      <c r="JB38" s="372"/>
      <c r="JC38" s="372"/>
      <c r="JD38" s="372"/>
      <c r="JE38" s="372"/>
      <c r="JF38" s="372"/>
      <c r="JG38" s="372"/>
      <c r="JH38" s="372"/>
      <c r="JI38" s="372"/>
      <c r="JJ38" s="372"/>
      <c r="JK38" s="372"/>
      <c r="JL38" s="372"/>
      <c r="JM38" s="372"/>
      <c r="JN38" s="372"/>
      <c r="JO38" s="372"/>
      <c r="JP38" s="372"/>
      <c r="JQ38" s="372"/>
      <c r="JR38" s="372"/>
      <c r="JS38" s="372"/>
      <c r="JT38" s="372"/>
      <c r="JU38" s="372"/>
      <c r="JV38" s="372"/>
      <c r="JW38" s="372"/>
      <c r="JX38" s="372"/>
      <c r="JY38" s="372"/>
      <c r="JZ38" s="372"/>
      <c r="KA38" s="372"/>
      <c r="KB38" s="372"/>
      <c r="KC38" s="372"/>
      <c r="KD38" s="372"/>
      <c r="KE38" s="372"/>
      <c r="KF38" s="372"/>
      <c r="KG38" s="372"/>
      <c r="KH38" s="372"/>
      <c r="KI38" s="372"/>
      <c r="KJ38" s="372"/>
      <c r="KK38" s="372"/>
      <c r="KL38" s="372"/>
      <c r="KM38" s="372"/>
      <c r="KN38" s="372"/>
      <c r="KO38" s="372"/>
      <c r="KP38" s="372"/>
      <c r="KQ38" s="372"/>
      <c r="KR38" s="372"/>
      <c r="KS38" s="372"/>
      <c r="KT38" s="372"/>
      <c r="KU38" s="372"/>
      <c r="KV38" s="372"/>
      <c r="KW38" s="372"/>
      <c r="KX38" s="372"/>
      <c r="KY38" s="372"/>
      <c r="KZ38" s="372"/>
      <c r="LA38" s="372"/>
      <c r="LB38" s="372"/>
      <c r="LC38" s="372"/>
      <c r="LD38" s="372"/>
      <c r="LE38" s="372"/>
      <c r="LF38" s="372"/>
      <c r="LG38" s="372"/>
      <c r="LH38" s="372"/>
      <c r="LI38" s="372"/>
      <c r="LJ38" s="372"/>
      <c r="LK38" s="372"/>
      <c r="LL38" s="372"/>
      <c r="LM38" s="372"/>
      <c r="LN38" s="372"/>
      <c r="LO38" s="372"/>
      <c r="LP38" s="372"/>
      <c r="LQ38" s="372"/>
      <c r="LR38" s="372"/>
      <c r="LS38" s="372"/>
      <c r="LT38" s="372"/>
      <c r="LU38" s="372"/>
      <c r="LV38" s="372"/>
      <c r="LW38" s="372"/>
      <c r="LX38" s="372"/>
      <c r="LY38" s="372"/>
      <c r="LZ38" s="372"/>
      <c r="MA38" s="372"/>
      <c r="MB38" s="372"/>
      <c r="MC38" s="372"/>
      <c r="MD38" s="372"/>
      <c r="ME38" s="372"/>
      <c r="MF38" s="372"/>
      <c r="MG38" s="372"/>
      <c r="MH38" s="372"/>
      <c r="MI38" s="372"/>
      <c r="MJ38" s="372"/>
      <c r="MK38" s="372"/>
      <c r="ML38" s="372"/>
      <c r="MM38" s="372"/>
      <c r="MN38" s="372"/>
      <c r="MO38" s="372"/>
      <c r="MP38" s="372"/>
      <c r="MQ38" s="372"/>
      <c r="MR38" s="372"/>
      <c r="MS38" s="372"/>
      <c r="MT38" s="372"/>
      <c r="MU38" s="372"/>
      <c r="MV38" s="372"/>
      <c r="MW38" s="372"/>
      <c r="MX38" s="372"/>
      <c r="MY38" s="372"/>
      <c r="MZ38" s="372"/>
      <c r="NA38" s="372"/>
      <c r="NB38" s="372"/>
      <c r="NC38" s="372"/>
      <c r="ND38" s="372"/>
      <c r="NE38" s="372"/>
      <c r="NF38" s="372"/>
      <c r="NG38" s="372"/>
      <c r="NH38" s="372"/>
      <c r="NI38" s="372"/>
      <c r="NJ38" s="372"/>
      <c r="NK38" s="372"/>
      <c r="NL38" s="372"/>
      <c r="NM38" s="372"/>
      <c r="NN38" s="372"/>
      <c r="NO38" s="372"/>
      <c r="NP38" s="372"/>
      <c r="NQ38" s="372"/>
      <c r="NR38" s="372"/>
      <c r="NS38" s="372"/>
      <c r="NT38" s="372"/>
      <c r="NU38" s="372"/>
      <c r="NV38" s="372"/>
      <c r="NW38" s="372"/>
      <c r="NX38" s="372"/>
      <c r="NY38" s="372"/>
      <c r="NZ38" s="372"/>
      <c r="OA38" s="372"/>
      <c r="OB38" s="372"/>
      <c r="OC38" s="372"/>
      <c r="OD38" s="372"/>
      <c r="OE38" s="372"/>
      <c r="OF38" s="372"/>
      <c r="OG38" s="372"/>
      <c r="OH38" s="372"/>
      <c r="OI38" s="372"/>
      <c r="OJ38" s="372"/>
      <c r="OK38" s="372"/>
      <c r="OL38" s="372"/>
      <c r="OM38" s="372"/>
      <c r="ON38" s="372"/>
      <c r="OO38" s="372"/>
      <c r="OP38" s="372"/>
      <c r="OQ38" s="372"/>
      <c r="OR38" s="372"/>
      <c r="OS38" s="372"/>
      <c r="OT38" s="372"/>
      <c r="OU38" s="372"/>
      <c r="OV38" s="372"/>
      <c r="OW38" s="372"/>
      <c r="OX38" s="372"/>
      <c r="OY38" s="372"/>
      <c r="OZ38" s="372"/>
      <c r="PA38" s="372"/>
      <c r="PB38" s="372"/>
      <c r="PC38" s="372"/>
      <c r="PD38" s="372"/>
      <c r="PE38" s="372"/>
      <c r="PF38" s="372"/>
      <c r="PG38" s="372"/>
      <c r="PH38" s="372"/>
      <c r="PI38" s="372"/>
      <c r="PJ38" s="372"/>
      <c r="PK38" s="372"/>
      <c r="PL38" s="372"/>
      <c r="PM38" s="372"/>
      <c r="PN38" s="372"/>
      <c r="PO38" s="372"/>
      <c r="PP38" s="372"/>
      <c r="PQ38" s="372"/>
      <c r="PR38" s="372"/>
      <c r="PS38" s="372"/>
      <c r="PT38" s="372"/>
      <c r="PU38" s="372"/>
      <c r="PV38" s="372"/>
      <c r="PW38" s="372"/>
      <c r="PX38" s="372"/>
      <c r="PY38" s="372"/>
      <c r="PZ38" s="372"/>
      <c r="QA38" s="372"/>
      <c r="QB38" s="372"/>
      <c r="QC38" s="372"/>
      <c r="QD38" s="372"/>
      <c r="QE38" s="372"/>
      <c r="QF38" s="372"/>
      <c r="QG38" s="372"/>
      <c r="QH38" s="372"/>
      <c r="QI38" s="372"/>
      <c r="QJ38" s="372"/>
      <c r="QK38" s="372"/>
      <c r="QL38" s="372"/>
      <c r="QM38" s="372"/>
      <c r="QN38" s="372"/>
      <c r="QO38" s="372"/>
      <c r="QP38" s="372"/>
      <c r="QQ38" s="372"/>
      <c r="QR38" s="372"/>
      <c r="QS38" s="372"/>
      <c r="QT38" s="372"/>
      <c r="QU38" s="372"/>
      <c r="QV38" s="372"/>
      <c r="QW38" s="372"/>
      <c r="QX38" s="372"/>
      <c r="QY38" s="372"/>
      <c r="QZ38" s="372"/>
      <c r="RA38" s="372"/>
      <c r="RB38" s="372"/>
      <c r="RC38" s="372"/>
      <c r="RD38" s="372"/>
      <c r="RE38" s="372"/>
      <c r="RF38" s="372"/>
      <c r="RG38" s="372"/>
      <c r="RH38" s="372"/>
      <c r="RI38" s="372"/>
      <c r="RJ38" s="372"/>
      <c r="RK38" s="372"/>
      <c r="RL38" s="372"/>
      <c r="RM38" s="372"/>
      <c r="RN38" s="372"/>
      <c r="RO38" s="372"/>
      <c r="RP38" s="372"/>
      <c r="RQ38" s="372"/>
      <c r="RR38" s="372"/>
      <c r="RS38" s="372"/>
      <c r="RT38" s="372"/>
      <c r="RU38" s="372"/>
      <c r="RV38" s="372"/>
      <c r="RW38" s="372"/>
      <c r="RX38" s="372"/>
      <c r="RY38" s="372"/>
      <c r="RZ38" s="372"/>
      <c r="SA38" s="372"/>
      <c r="SB38" s="372"/>
      <c r="SC38" s="372"/>
      <c r="SD38" s="372"/>
      <c r="SE38" s="372"/>
      <c r="SF38" s="372"/>
      <c r="SG38" s="372"/>
      <c r="SH38" s="372"/>
      <c r="SI38" s="372"/>
      <c r="SJ38" s="372"/>
      <c r="SK38" s="372"/>
      <c r="SL38" s="372"/>
      <c r="SM38" s="372"/>
      <c r="SN38" s="372"/>
      <c r="SO38" s="372"/>
      <c r="SP38" s="372"/>
      <c r="SQ38" s="372"/>
      <c r="SR38" s="372"/>
      <c r="SS38" s="372"/>
      <c r="ST38" s="372"/>
      <c r="SU38" s="372"/>
      <c r="SV38" s="372"/>
      <c r="SW38" s="372"/>
      <c r="SX38" s="372"/>
      <c r="SY38" s="372"/>
      <c r="SZ38" s="372"/>
      <c r="TA38" s="372"/>
      <c r="TB38" s="372"/>
      <c r="TC38" s="372"/>
      <c r="TD38" s="372"/>
      <c r="TE38" s="372"/>
      <c r="TF38" s="372"/>
      <c r="TG38" s="372"/>
      <c r="TH38" s="372"/>
      <c r="TI38" s="372"/>
      <c r="TJ38" s="372"/>
      <c r="TK38" s="372"/>
      <c r="TL38" s="372"/>
      <c r="TM38" s="372"/>
      <c r="TN38" s="372"/>
      <c r="TO38" s="372"/>
      <c r="TP38" s="372"/>
      <c r="TQ38" s="372"/>
      <c r="TR38" s="372"/>
      <c r="TS38" s="372"/>
      <c r="TT38" s="372"/>
      <c r="TU38" s="372"/>
      <c r="TV38" s="372"/>
      <c r="TW38" s="372"/>
      <c r="TX38" s="372"/>
      <c r="TY38" s="372"/>
      <c r="TZ38" s="372"/>
      <c r="UA38" s="372"/>
      <c r="UB38" s="372"/>
      <c r="UC38" s="372"/>
      <c r="UD38" s="372"/>
      <c r="UE38" s="372"/>
      <c r="UF38" s="372"/>
      <c r="UG38" s="372"/>
      <c r="UH38" s="372"/>
      <c r="UI38" s="372"/>
      <c r="UJ38" s="372"/>
      <c r="UK38" s="372"/>
      <c r="UL38" s="372"/>
      <c r="UM38" s="372"/>
      <c r="UN38" s="372"/>
      <c r="UO38" s="372"/>
      <c r="UP38" s="372"/>
      <c r="UQ38" s="372"/>
      <c r="UR38" s="372"/>
      <c r="US38" s="372"/>
      <c r="UT38" s="372"/>
      <c r="UU38" s="372"/>
      <c r="UV38" s="372"/>
      <c r="UW38" s="372"/>
      <c r="UX38" s="372"/>
      <c r="UY38" s="372"/>
      <c r="UZ38" s="372"/>
      <c r="VA38" s="372"/>
      <c r="VB38" s="372"/>
      <c r="VC38" s="372"/>
      <c r="VD38" s="372"/>
      <c r="VE38" s="372"/>
      <c r="VF38" s="372"/>
      <c r="VG38" s="372"/>
      <c r="VH38" s="372"/>
      <c r="VI38" s="372"/>
      <c r="VJ38" s="372"/>
      <c r="VK38" s="372"/>
      <c r="VL38" s="372"/>
      <c r="VM38" s="372"/>
      <c r="VN38" s="372"/>
      <c r="VO38" s="372"/>
      <c r="VP38" s="372"/>
      <c r="VQ38" s="372"/>
      <c r="VR38" s="372"/>
      <c r="VS38" s="372"/>
      <c r="VT38" s="372"/>
      <c r="VU38" s="372"/>
      <c r="VV38" s="372"/>
      <c r="VW38" s="372"/>
      <c r="VX38" s="372"/>
      <c r="VY38" s="372"/>
      <c r="VZ38" s="372"/>
      <c r="WA38" s="372"/>
      <c r="WB38" s="372"/>
      <c r="WC38" s="372"/>
      <c r="WD38" s="372"/>
      <c r="WE38" s="372"/>
      <c r="WF38" s="372"/>
      <c r="WG38" s="372"/>
      <c r="WH38" s="372"/>
      <c r="WI38" s="372"/>
      <c r="WJ38" s="372"/>
      <c r="WK38" s="372"/>
      <c r="WL38" s="372"/>
      <c r="WM38" s="372"/>
      <c r="WN38" s="372"/>
      <c r="WO38" s="372"/>
      <c r="WP38" s="372"/>
      <c r="WQ38" s="372"/>
      <c r="WR38" s="372"/>
      <c r="WS38" s="372"/>
      <c r="WT38" s="372"/>
      <c r="WU38" s="372"/>
      <c r="WV38" s="372"/>
      <c r="WW38" s="372"/>
      <c r="WX38" s="372"/>
      <c r="WY38" s="372"/>
      <c r="WZ38" s="372"/>
      <c r="XA38" s="372"/>
      <c r="XB38" s="372"/>
      <c r="XC38" s="372"/>
      <c r="XD38" s="372"/>
      <c r="XE38" s="372"/>
      <c r="XF38" s="372"/>
      <c r="XG38" s="372"/>
      <c r="XH38" s="372"/>
      <c r="XI38" s="372"/>
      <c r="XJ38" s="372"/>
      <c r="XK38" s="372"/>
      <c r="XL38" s="372"/>
      <c r="XM38" s="372"/>
      <c r="XN38" s="372"/>
      <c r="XO38" s="372"/>
      <c r="XP38" s="372"/>
      <c r="XQ38" s="372"/>
      <c r="XR38" s="372"/>
      <c r="XS38" s="372"/>
      <c r="XT38" s="372"/>
      <c r="XU38" s="372"/>
      <c r="XV38" s="372"/>
      <c r="XW38" s="372"/>
      <c r="XX38" s="372"/>
      <c r="XY38" s="372"/>
      <c r="XZ38" s="372"/>
      <c r="YA38" s="372"/>
      <c r="YB38" s="372"/>
      <c r="YC38" s="372"/>
      <c r="YD38" s="372"/>
      <c r="YE38" s="372"/>
      <c r="YF38" s="372"/>
      <c r="YG38" s="372"/>
      <c r="YH38" s="372"/>
      <c r="YI38" s="372"/>
      <c r="YJ38" s="372"/>
      <c r="YK38" s="372"/>
      <c r="YL38" s="372"/>
      <c r="YM38" s="372"/>
      <c r="YN38" s="372"/>
      <c r="YO38" s="372"/>
      <c r="YP38" s="372"/>
      <c r="YQ38" s="372"/>
      <c r="YR38" s="372"/>
      <c r="YS38" s="372"/>
      <c r="YT38" s="372"/>
      <c r="YU38" s="372"/>
      <c r="YV38" s="372"/>
      <c r="YW38" s="372"/>
      <c r="YX38" s="372"/>
      <c r="YY38" s="372"/>
      <c r="YZ38" s="372"/>
      <c r="ZA38" s="372"/>
      <c r="ZB38" s="372"/>
      <c r="ZC38" s="372"/>
      <c r="ZD38" s="372"/>
      <c r="ZE38" s="372"/>
      <c r="ZF38" s="372"/>
      <c r="ZG38" s="372"/>
      <c r="ZH38" s="372"/>
      <c r="ZI38" s="372"/>
      <c r="ZJ38" s="372"/>
      <c r="ZK38" s="372"/>
      <c r="ZL38" s="372"/>
      <c r="ZM38" s="372"/>
      <c r="ZN38" s="372"/>
      <c r="ZO38" s="372"/>
      <c r="ZP38" s="372"/>
      <c r="ZQ38" s="372"/>
      <c r="ZR38" s="372"/>
      <c r="ZS38" s="372"/>
      <c r="ZT38" s="372"/>
      <c r="ZU38" s="372"/>
      <c r="ZV38" s="372"/>
      <c r="ZW38" s="372"/>
      <c r="ZX38" s="372"/>
      <c r="ZY38" s="372"/>
      <c r="ZZ38" s="372"/>
      <c r="AAA38" s="372"/>
      <c r="AAB38" s="372"/>
      <c r="AAC38" s="372"/>
      <c r="AAD38" s="372"/>
      <c r="AAE38" s="372"/>
      <c r="AAF38" s="372"/>
      <c r="AAG38" s="372"/>
      <c r="AAH38" s="372"/>
      <c r="AAI38" s="372"/>
      <c r="AAJ38" s="372"/>
      <c r="AAK38" s="372"/>
      <c r="AAL38" s="372"/>
      <c r="AAM38" s="372"/>
      <c r="AAN38" s="372"/>
      <c r="AAO38" s="372"/>
      <c r="AAP38" s="372"/>
      <c r="AAQ38" s="372"/>
      <c r="AAR38" s="372"/>
      <c r="AAS38" s="372"/>
      <c r="AAT38" s="372"/>
      <c r="AAU38" s="372"/>
      <c r="AAV38" s="372"/>
      <c r="AAW38" s="372"/>
      <c r="AAX38" s="372"/>
      <c r="AAY38" s="372"/>
      <c r="AAZ38" s="372"/>
      <c r="ABA38" s="372"/>
      <c r="ABB38" s="372"/>
      <c r="ABC38" s="372"/>
      <c r="ABD38" s="372"/>
      <c r="ABE38" s="372"/>
      <c r="ABF38" s="372"/>
      <c r="ABG38" s="372"/>
      <c r="ABH38" s="372"/>
      <c r="ABI38" s="372"/>
      <c r="ABJ38" s="372"/>
      <c r="ABK38" s="372"/>
      <c r="ABL38" s="372"/>
      <c r="ABM38" s="372"/>
      <c r="ABN38" s="372"/>
      <c r="ABO38" s="372"/>
      <c r="ABP38" s="372"/>
      <c r="ABQ38" s="372"/>
      <c r="ABR38" s="372"/>
      <c r="ABS38" s="372"/>
      <c r="ABT38" s="372"/>
      <c r="ABU38" s="372"/>
      <c r="ABV38" s="372"/>
      <c r="ABW38" s="372"/>
      <c r="ABX38" s="372"/>
      <c r="ABY38" s="372"/>
      <c r="ABZ38" s="372"/>
      <c r="ACA38" s="372"/>
      <c r="ACB38" s="372"/>
      <c r="ACC38" s="372"/>
      <c r="ACD38" s="372"/>
      <c r="ACE38" s="372"/>
      <c r="ACF38" s="372"/>
      <c r="ACG38" s="372"/>
      <c r="ACH38" s="372"/>
      <c r="ACI38" s="372"/>
      <c r="ACJ38" s="372"/>
      <c r="ACK38" s="372"/>
      <c r="ACL38" s="372"/>
      <c r="ACM38" s="372"/>
      <c r="ACN38" s="372"/>
      <c r="ACO38" s="372"/>
      <c r="ACP38" s="372"/>
      <c r="ACQ38" s="372"/>
      <c r="ACR38" s="372"/>
      <c r="ACS38" s="372"/>
      <c r="ACT38" s="372"/>
      <c r="ACU38" s="372"/>
      <c r="ACV38" s="372"/>
      <c r="ACW38" s="372"/>
      <c r="ACX38" s="372"/>
      <c r="ACY38" s="372"/>
      <c r="ACZ38" s="372"/>
      <c r="ADA38" s="372"/>
      <c r="ADB38" s="372"/>
      <c r="ADC38" s="372"/>
      <c r="ADD38" s="372"/>
      <c r="ADE38" s="372"/>
      <c r="ADF38" s="372"/>
      <c r="ADG38" s="372"/>
      <c r="ADH38" s="372"/>
      <c r="ADI38" s="372"/>
      <c r="ADJ38" s="372"/>
      <c r="ADK38" s="372"/>
      <c r="ADL38" s="372"/>
      <c r="ADM38" s="372"/>
      <c r="ADN38" s="372"/>
      <c r="ADO38" s="372"/>
      <c r="ADP38" s="372"/>
      <c r="ADQ38" s="372"/>
      <c r="ADR38" s="372"/>
      <c r="ADS38" s="372"/>
      <c r="ADT38" s="372"/>
      <c r="ADU38" s="372"/>
      <c r="ADV38" s="372"/>
      <c r="ADW38" s="372"/>
      <c r="ADX38" s="372"/>
      <c r="ADY38" s="372"/>
      <c r="ADZ38" s="372"/>
      <c r="AEA38" s="372"/>
      <c r="AEB38" s="372"/>
      <c r="AEC38" s="372"/>
      <c r="AED38" s="372"/>
      <c r="AEE38" s="372"/>
      <c r="AEF38" s="372"/>
      <c r="AEG38" s="372"/>
      <c r="AEH38" s="372"/>
      <c r="AEI38" s="372"/>
      <c r="AEJ38" s="372"/>
      <c r="AEK38" s="372"/>
      <c r="AEL38" s="372"/>
      <c r="AEM38" s="372"/>
      <c r="AEN38" s="372"/>
      <c r="AEO38" s="372"/>
      <c r="AEP38" s="372"/>
      <c r="AEQ38" s="372"/>
      <c r="AER38" s="372"/>
      <c r="AES38" s="372"/>
      <c r="AET38" s="372"/>
      <c r="AEU38" s="372"/>
      <c r="AEV38" s="372"/>
      <c r="AEW38" s="372"/>
      <c r="AEX38" s="372"/>
      <c r="AEY38" s="372"/>
      <c r="AEZ38" s="372"/>
      <c r="AFA38" s="372"/>
      <c r="AFB38" s="372"/>
      <c r="AFC38" s="372"/>
      <c r="AFD38" s="372"/>
      <c r="AFE38" s="372"/>
      <c r="AFF38" s="372"/>
      <c r="AFG38" s="372"/>
      <c r="AFH38" s="372"/>
      <c r="AFI38" s="372"/>
      <c r="AFJ38" s="372"/>
      <c r="AFK38" s="372"/>
      <c r="AFL38" s="372"/>
      <c r="AFM38" s="372"/>
      <c r="AFN38" s="372"/>
      <c r="AFO38" s="372"/>
      <c r="AFP38" s="372"/>
      <c r="AFQ38" s="372"/>
      <c r="AFR38" s="372"/>
      <c r="AFS38" s="372"/>
      <c r="AFT38" s="372"/>
      <c r="AFU38" s="372"/>
      <c r="AFV38" s="372"/>
      <c r="AFW38" s="372"/>
      <c r="AFX38" s="372"/>
      <c r="AFY38" s="372"/>
      <c r="AFZ38" s="372"/>
      <c r="AGA38" s="372"/>
      <c r="AGB38" s="372"/>
      <c r="AGC38" s="372"/>
      <c r="AGD38" s="372"/>
      <c r="AGE38" s="372"/>
      <c r="AGF38" s="372"/>
      <c r="AGG38" s="372"/>
      <c r="AGH38" s="372"/>
      <c r="AGI38" s="372"/>
      <c r="AGJ38" s="372"/>
      <c r="AGK38" s="372"/>
      <c r="AGL38" s="372"/>
      <c r="AGM38" s="372"/>
      <c r="AGN38" s="372"/>
      <c r="AGO38" s="372"/>
      <c r="AGP38" s="372"/>
      <c r="AGQ38" s="372"/>
      <c r="AGR38" s="372"/>
      <c r="AGS38" s="372"/>
      <c r="AGT38" s="372"/>
      <c r="AGU38" s="372"/>
      <c r="AGV38" s="372"/>
      <c r="AGW38" s="372"/>
      <c r="AGX38" s="372"/>
      <c r="AGY38" s="372"/>
      <c r="AGZ38" s="372"/>
      <c r="AHA38" s="372"/>
      <c r="AHB38" s="372"/>
      <c r="AHC38" s="372"/>
      <c r="AHD38" s="372"/>
      <c r="AHE38" s="372"/>
      <c r="AHF38" s="372"/>
      <c r="AHG38" s="372"/>
      <c r="AHH38" s="372"/>
      <c r="AHI38" s="372"/>
      <c r="AHJ38" s="372"/>
      <c r="AHK38" s="372"/>
      <c r="AHL38" s="372"/>
      <c r="AHM38" s="372"/>
      <c r="AHN38" s="372"/>
      <c r="AHO38" s="372"/>
      <c r="AHP38" s="372"/>
      <c r="AHQ38" s="372"/>
      <c r="AHR38" s="372"/>
      <c r="AHS38" s="372"/>
      <c r="AHT38" s="372"/>
      <c r="AHU38" s="372"/>
      <c r="AHV38" s="372"/>
      <c r="AHW38" s="372"/>
      <c r="AHX38" s="372"/>
      <c r="AHY38" s="372"/>
      <c r="AHZ38" s="372"/>
      <c r="AIA38" s="372"/>
      <c r="AIB38" s="372"/>
      <c r="AIC38" s="372"/>
      <c r="AID38" s="372"/>
      <c r="AIE38" s="372"/>
      <c r="AIF38" s="372"/>
      <c r="AIG38" s="372"/>
      <c r="AIH38" s="372"/>
      <c r="AII38" s="372"/>
      <c r="AIJ38" s="372"/>
      <c r="AIK38" s="372"/>
      <c r="AIL38" s="372"/>
      <c r="AIM38" s="372"/>
      <c r="AIN38" s="372"/>
      <c r="AIO38" s="372"/>
      <c r="AIP38" s="372"/>
      <c r="AIQ38" s="372"/>
      <c r="AIR38" s="372"/>
      <c r="AIS38" s="372"/>
      <c r="AIT38" s="372"/>
      <c r="AIU38" s="372"/>
      <c r="AIV38" s="372"/>
      <c r="AIW38" s="372"/>
      <c r="AIX38" s="372"/>
      <c r="AIY38" s="372"/>
      <c r="AIZ38" s="372"/>
      <c r="AJA38" s="372"/>
      <c r="AJB38" s="372"/>
      <c r="AJC38" s="372"/>
      <c r="AJD38" s="372"/>
      <c r="AJE38" s="372"/>
      <c r="AJF38" s="372"/>
      <c r="AJG38" s="372"/>
      <c r="AJH38" s="372"/>
      <c r="AJI38" s="372"/>
      <c r="AJJ38" s="372"/>
      <c r="AJK38" s="372"/>
      <c r="AJL38" s="372"/>
      <c r="AJM38" s="372"/>
      <c r="AJN38" s="372"/>
      <c r="AJO38" s="372"/>
      <c r="AJP38" s="372"/>
      <c r="AJQ38" s="372"/>
      <c r="AJR38" s="372"/>
      <c r="AJS38" s="372"/>
      <c r="AJT38" s="372"/>
      <c r="AJU38" s="372"/>
      <c r="AJV38" s="372"/>
      <c r="AJW38" s="372"/>
      <c r="AJX38" s="372"/>
      <c r="AJY38" s="372"/>
      <c r="AJZ38" s="372"/>
      <c r="AKA38" s="372"/>
      <c r="AKB38" s="372"/>
      <c r="AKC38" s="372"/>
      <c r="AKD38" s="372"/>
      <c r="AKE38" s="372"/>
      <c r="AKF38" s="372"/>
      <c r="AKG38" s="372"/>
      <c r="AKH38" s="372"/>
      <c r="AKI38" s="372"/>
      <c r="AKJ38" s="372"/>
      <c r="AKK38" s="372"/>
      <c r="AKL38" s="372"/>
      <c r="AKM38" s="372"/>
      <c r="AKN38" s="372"/>
      <c r="AKO38" s="372"/>
      <c r="AKP38" s="372"/>
      <c r="AKQ38" s="372"/>
      <c r="AKR38" s="372"/>
      <c r="AKS38" s="372"/>
      <c r="AKT38" s="372"/>
      <c r="AKU38" s="372"/>
      <c r="AKV38" s="372"/>
      <c r="AKW38" s="372"/>
      <c r="AKX38" s="372"/>
      <c r="AKY38" s="372"/>
      <c r="AKZ38" s="372"/>
      <c r="ALA38" s="372"/>
      <c r="ALB38" s="372"/>
      <c r="ALC38" s="372"/>
      <c r="ALD38" s="372"/>
      <c r="ALE38" s="372"/>
      <c r="ALF38" s="372"/>
      <c r="ALG38" s="372"/>
      <c r="ALH38" s="372"/>
      <c r="ALI38" s="372"/>
      <c r="ALJ38" s="372"/>
      <c r="ALK38" s="372"/>
      <c r="ALL38" s="372"/>
      <c r="ALM38" s="372"/>
      <c r="ALN38" s="372"/>
      <c r="ALO38" s="372"/>
      <c r="ALP38" s="372"/>
      <c r="ALQ38" s="372"/>
      <c r="ALR38" s="372"/>
      <c r="ALS38" s="372"/>
      <c r="ALT38" s="372"/>
      <c r="ALU38" s="372"/>
      <c r="ALV38" s="372"/>
      <c r="ALW38" s="372"/>
      <c r="ALX38" s="372"/>
      <c r="ALY38" s="372"/>
      <c r="ALZ38" s="372"/>
      <c r="AMA38" s="372"/>
      <c r="AMB38" s="372"/>
      <c r="AMC38" s="372"/>
      <c r="AMD38" s="372"/>
      <c r="AME38" s="372"/>
      <c r="AMF38" s="372"/>
      <c r="AMG38" s="372"/>
      <c r="AMH38" s="372"/>
      <c r="AMI38" s="372"/>
      <c r="AMJ38" s="372"/>
      <c r="AMK38" s="372"/>
      <c r="AML38" s="372"/>
      <c r="AMM38" s="372"/>
      <c r="AMN38" s="372"/>
      <c r="AMO38" s="372"/>
      <c r="AMP38" s="372"/>
      <c r="AMQ38" s="372"/>
      <c r="AMR38" s="372"/>
      <c r="AMS38" s="372"/>
      <c r="AMT38" s="372"/>
      <c r="AMU38" s="372"/>
      <c r="AMV38" s="372"/>
      <c r="AMW38" s="372"/>
      <c r="AMX38" s="372"/>
      <c r="AMY38" s="372"/>
      <c r="AMZ38" s="372"/>
      <c r="ANA38" s="372"/>
      <c r="ANB38" s="372"/>
      <c r="ANC38" s="372"/>
      <c r="AND38" s="372"/>
      <c r="ANE38" s="372"/>
      <c r="ANF38" s="372"/>
      <c r="ANG38" s="372"/>
      <c r="ANH38" s="372"/>
      <c r="ANI38" s="372"/>
      <c r="ANJ38" s="372"/>
      <c r="ANK38" s="372"/>
      <c r="ANL38" s="372"/>
      <c r="ANM38" s="372"/>
      <c r="ANN38" s="372"/>
      <c r="ANO38" s="372"/>
      <c r="ANP38" s="372"/>
      <c r="ANQ38" s="372"/>
      <c r="ANR38" s="372"/>
      <c r="ANS38" s="372"/>
      <c r="ANT38" s="372"/>
      <c r="ANU38" s="372"/>
      <c r="ANV38" s="372"/>
      <c r="ANW38" s="372"/>
      <c r="ANX38" s="372"/>
      <c r="ANY38" s="372"/>
      <c r="ANZ38" s="372"/>
      <c r="AOA38" s="372"/>
      <c r="AOB38" s="372"/>
      <c r="AOC38" s="372"/>
      <c r="AOD38" s="372"/>
      <c r="AOE38" s="372"/>
      <c r="AOF38" s="372"/>
      <c r="AOG38" s="372"/>
      <c r="AOH38" s="372"/>
      <c r="AOI38" s="372"/>
      <c r="AOJ38" s="372"/>
      <c r="AOK38" s="372"/>
      <c r="AOL38" s="372"/>
      <c r="AOM38" s="372"/>
      <c r="AON38" s="372"/>
      <c r="AOO38" s="372"/>
      <c r="AOP38" s="372"/>
      <c r="AOQ38" s="372"/>
      <c r="AOR38" s="372"/>
      <c r="AOS38" s="372"/>
      <c r="AOT38" s="372"/>
      <c r="AOU38" s="372"/>
      <c r="AOV38" s="372"/>
      <c r="AOW38" s="372"/>
      <c r="AOX38" s="372"/>
      <c r="AOY38" s="372"/>
      <c r="AOZ38" s="372"/>
      <c r="APA38" s="372"/>
      <c r="APB38" s="372"/>
      <c r="APC38" s="372"/>
      <c r="APD38" s="372"/>
      <c r="APE38" s="372"/>
      <c r="APF38" s="372"/>
      <c r="APG38" s="372"/>
      <c r="APH38" s="372"/>
      <c r="API38" s="372"/>
      <c r="APJ38" s="372"/>
      <c r="APK38" s="372"/>
      <c r="APL38" s="372"/>
      <c r="APM38" s="372"/>
      <c r="APN38" s="372"/>
      <c r="APO38" s="372"/>
      <c r="APP38" s="372"/>
      <c r="APQ38" s="372"/>
      <c r="APR38" s="372"/>
      <c r="APS38" s="372"/>
      <c r="APT38" s="372"/>
      <c r="APU38" s="372"/>
      <c r="APV38" s="372"/>
      <c r="APW38" s="372"/>
      <c r="APX38" s="372"/>
      <c r="APY38" s="372"/>
      <c r="APZ38" s="372"/>
      <c r="AQA38" s="372"/>
      <c r="AQB38" s="372"/>
      <c r="AQC38" s="372"/>
      <c r="AQD38" s="372"/>
      <c r="AQE38" s="372"/>
      <c r="AQF38" s="372"/>
      <c r="AQG38" s="372"/>
      <c r="AQH38" s="372"/>
      <c r="AQI38" s="372"/>
      <c r="AQJ38" s="372"/>
      <c r="AQK38" s="372"/>
      <c r="AQL38" s="372"/>
      <c r="AQM38" s="372"/>
      <c r="AQN38" s="372"/>
      <c r="AQO38" s="372"/>
      <c r="AQP38" s="372"/>
      <c r="AQQ38" s="372"/>
      <c r="AQR38" s="372"/>
      <c r="AQS38" s="372"/>
      <c r="AQT38" s="372"/>
      <c r="AQU38" s="372"/>
      <c r="AQV38" s="372"/>
      <c r="AQW38" s="372"/>
      <c r="AQX38" s="372"/>
      <c r="AQY38" s="372"/>
      <c r="AQZ38" s="372"/>
      <c r="ARA38" s="372"/>
      <c r="ARB38" s="372"/>
      <c r="ARC38" s="372"/>
      <c r="ARD38" s="372"/>
      <c r="ARE38" s="372"/>
      <c r="ARF38" s="372"/>
      <c r="ARG38" s="372"/>
      <c r="ARH38" s="372"/>
      <c r="ARI38" s="372"/>
      <c r="ARJ38" s="372"/>
      <c r="ARK38" s="372"/>
      <c r="ARL38" s="372"/>
      <c r="ARM38" s="372"/>
      <c r="ARN38" s="372"/>
      <c r="ARO38" s="372"/>
      <c r="ARP38" s="372"/>
      <c r="ARQ38" s="372"/>
      <c r="ARR38" s="372"/>
      <c r="ARS38" s="372"/>
      <c r="ART38" s="372"/>
      <c r="ARU38" s="372"/>
      <c r="ARV38" s="372"/>
      <c r="ARW38" s="372"/>
      <c r="ARX38" s="372"/>
      <c r="ARY38" s="372"/>
      <c r="ARZ38" s="372"/>
      <c r="ASA38" s="372"/>
      <c r="ASB38" s="372"/>
      <c r="ASC38" s="372"/>
      <c r="ASD38" s="372"/>
      <c r="ASE38" s="372"/>
      <c r="ASF38" s="372"/>
      <c r="ASG38" s="372"/>
      <c r="ASH38" s="372"/>
      <c r="ASI38" s="372"/>
      <c r="ASJ38" s="372"/>
      <c r="ASK38" s="372"/>
      <c r="ASL38" s="372"/>
      <c r="ASM38" s="372"/>
      <c r="ASN38" s="372"/>
      <c r="ASO38" s="372"/>
      <c r="ASP38" s="372"/>
      <c r="ASQ38" s="372"/>
      <c r="ASR38" s="372"/>
      <c r="ASS38" s="372"/>
      <c r="AST38" s="372"/>
      <c r="ASU38" s="372"/>
      <c r="ASV38" s="372"/>
      <c r="ASW38" s="372"/>
      <c r="ASX38" s="372"/>
      <c r="ASY38" s="372"/>
      <c r="ASZ38" s="372"/>
      <c r="ATA38" s="372"/>
      <c r="ATB38" s="372"/>
      <c r="ATC38" s="372"/>
      <c r="ATD38" s="372"/>
      <c r="ATE38" s="372"/>
      <c r="ATF38" s="372"/>
      <c r="ATG38" s="372"/>
      <c r="ATH38" s="372"/>
      <c r="ATI38" s="372"/>
      <c r="ATJ38" s="372"/>
      <c r="ATK38" s="372"/>
      <c r="ATL38" s="372"/>
      <c r="ATM38" s="372"/>
      <c r="ATN38" s="372"/>
      <c r="ATO38" s="372"/>
      <c r="ATP38" s="372"/>
      <c r="ATQ38" s="372"/>
      <c r="ATR38" s="372"/>
      <c r="ATS38" s="372"/>
      <c r="ATT38" s="372"/>
      <c r="ATU38" s="372"/>
      <c r="ATV38" s="372"/>
      <c r="ATW38" s="372"/>
      <c r="ATX38" s="372"/>
      <c r="ATY38" s="372"/>
      <c r="ATZ38" s="372"/>
      <c r="AUA38" s="372"/>
      <c r="AUB38" s="372"/>
      <c r="AUC38" s="372"/>
      <c r="AUD38" s="372"/>
      <c r="AUE38" s="372"/>
      <c r="AUF38" s="372"/>
      <c r="AUG38" s="372"/>
      <c r="AUH38" s="372"/>
      <c r="AUI38" s="372"/>
      <c r="AUJ38" s="372"/>
      <c r="AUK38" s="372"/>
      <c r="AUL38" s="372"/>
      <c r="AUM38" s="372"/>
      <c r="AUN38" s="372"/>
      <c r="AUO38" s="372"/>
      <c r="AUP38" s="372"/>
      <c r="AUQ38" s="372"/>
      <c r="AUR38" s="372"/>
      <c r="AUS38" s="372"/>
      <c r="AUT38" s="372"/>
      <c r="AUU38" s="372"/>
      <c r="AUV38" s="372"/>
      <c r="AUW38" s="372"/>
      <c r="AUX38" s="372"/>
      <c r="AUY38" s="372"/>
      <c r="AUZ38" s="372"/>
      <c r="AVA38" s="372"/>
      <c r="AVB38" s="372"/>
      <c r="AVC38" s="372"/>
      <c r="AVD38" s="372"/>
      <c r="AVE38" s="372"/>
      <c r="AVF38" s="372"/>
      <c r="AVG38" s="372"/>
      <c r="AVH38" s="372"/>
      <c r="AVI38" s="372"/>
      <c r="AVJ38" s="372"/>
      <c r="AVK38" s="372"/>
      <c r="AVL38" s="372"/>
      <c r="AVM38" s="372"/>
      <c r="AVN38" s="372"/>
      <c r="AVO38" s="372"/>
      <c r="AVP38" s="372"/>
      <c r="AVQ38" s="372"/>
      <c r="AVR38" s="372"/>
      <c r="AVS38" s="372"/>
      <c r="AVT38" s="372"/>
      <c r="AVU38" s="372"/>
      <c r="AVV38" s="372"/>
      <c r="AVW38" s="372"/>
      <c r="AVX38" s="372"/>
      <c r="AVY38" s="372"/>
      <c r="AVZ38" s="372"/>
      <c r="AWA38" s="372"/>
      <c r="AWB38" s="372"/>
      <c r="AWC38" s="372"/>
      <c r="AWD38" s="372"/>
      <c r="AWE38" s="372"/>
      <c r="AWF38" s="372"/>
      <c r="AWG38" s="372"/>
      <c r="AWH38" s="372"/>
      <c r="AWI38" s="372"/>
      <c r="AWJ38" s="372"/>
      <c r="AWK38" s="372"/>
      <c r="AWL38" s="372"/>
      <c r="AWM38" s="372"/>
      <c r="AWN38" s="372"/>
      <c r="AWO38" s="372"/>
      <c r="AWP38" s="372"/>
      <c r="AWQ38" s="372"/>
      <c r="AWR38" s="372"/>
      <c r="AWS38" s="372"/>
      <c r="AWT38" s="372"/>
      <c r="AWU38" s="372"/>
      <c r="AWV38" s="372"/>
      <c r="AWW38" s="372"/>
      <c r="AWX38" s="372"/>
      <c r="AWY38" s="372"/>
      <c r="AWZ38" s="372"/>
      <c r="AXA38" s="372"/>
      <c r="AXB38" s="372"/>
      <c r="AXC38" s="372"/>
      <c r="AXD38" s="372"/>
      <c r="AXE38" s="372"/>
      <c r="AXF38" s="372"/>
      <c r="AXG38" s="372"/>
      <c r="AXH38" s="372"/>
      <c r="AXI38" s="372"/>
      <c r="AXJ38" s="372"/>
      <c r="AXK38" s="372"/>
      <c r="AXL38" s="372"/>
      <c r="AXM38" s="372"/>
      <c r="AXN38" s="372"/>
      <c r="AXO38" s="372"/>
      <c r="AXP38" s="372"/>
      <c r="AXQ38" s="372"/>
      <c r="AXR38" s="372"/>
      <c r="AXS38" s="372"/>
      <c r="AXT38" s="372"/>
      <c r="AXU38" s="372"/>
      <c r="AXV38" s="372"/>
      <c r="AXW38" s="372"/>
      <c r="AXX38" s="372"/>
      <c r="AXY38" s="372"/>
      <c r="AXZ38" s="372"/>
      <c r="AYA38" s="372"/>
      <c r="AYB38" s="372"/>
      <c r="AYC38" s="372"/>
      <c r="AYD38" s="372"/>
      <c r="AYE38" s="372"/>
      <c r="AYF38" s="372"/>
      <c r="AYG38" s="372"/>
      <c r="AYH38" s="372"/>
      <c r="AYI38" s="372"/>
      <c r="AYJ38" s="372"/>
      <c r="AYK38" s="372"/>
      <c r="AYL38" s="372"/>
      <c r="AYM38" s="372"/>
      <c r="AYN38" s="372"/>
      <c r="AYO38" s="372"/>
      <c r="AYP38" s="372"/>
      <c r="AYQ38" s="372"/>
      <c r="AYR38" s="372"/>
      <c r="AYS38" s="372"/>
      <c r="AYT38" s="372"/>
      <c r="AYU38" s="372"/>
      <c r="AYV38" s="372"/>
      <c r="AYW38" s="372"/>
      <c r="AYX38" s="372"/>
      <c r="AYY38" s="372"/>
      <c r="AYZ38" s="372"/>
      <c r="AZA38" s="372"/>
      <c r="AZB38" s="372"/>
      <c r="AZC38" s="372"/>
      <c r="AZD38" s="372"/>
      <c r="AZE38" s="372"/>
      <c r="AZF38" s="372"/>
      <c r="AZG38" s="372"/>
      <c r="AZH38" s="372"/>
      <c r="AZI38" s="372"/>
      <c r="AZJ38" s="372"/>
      <c r="AZK38" s="372"/>
      <c r="AZL38" s="372"/>
      <c r="AZM38" s="372"/>
      <c r="AZN38" s="372"/>
      <c r="AZO38" s="372"/>
      <c r="AZP38" s="372"/>
      <c r="AZQ38" s="372"/>
      <c r="AZR38" s="372"/>
      <c r="AZS38" s="372"/>
      <c r="AZT38" s="372"/>
      <c r="AZU38" s="372"/>
      <c r="AZV38" s="372"/>
      <c r="AZW38" s="372"/>
      <c r="AZX38" s="372"/>
      <c r="AZY38" s="372"/>
      <c r="AZZ38" s="372"/>
      <c r="BAA38" s="372"/>
      <c r="BAB38" s="372"/>
      <c r="BAC38" s="372"/>
      <c r="BAD38" s="372"/>
      <c r="BAE38" s="372"/>
      <c r="BAF38" s="372"/>
      <c r="BAG38" s="372"/>
      <c r="BAH38" s="372"/>
      <c r="BAI38" s="372"/>
      <c r="BAJ38" s="372"/>
      <c r="BAK38" s="372"/>
      <c r="BAL38" s="372"/>
      <c r="BAM38" s="372"/>
      <c r="BAN38" s="372"/>
      <c r="BAO38" s="372"/>
      <c r="BAP38" s="372"/>
      <c r="BAQ38" s="372"/>
      <c r="BAR38" s="372"/>
      <c r="BAS38" s="372"/>
      <c r="BAT38" s="372"/>
      <c r="BAU38" s="372"/>
      <c r="BAV38" s="372"/>
      <c r="BAW38" s="372"/>
      <c r="BAX38" s="372"/>
      <c r="BAY38" s="372"/>
      <c r="BAZ38" s="372"/>
      <c r="BBA38" s="372"/>
      <c r="BBB38" s="372"/>
      <c r="BBC38" s="372"/>
      <c r="BBD38" s="372"/>
      <c r="BBE38" s="372"/>
      <c r="BBF38" s="372"/>
      <c r="BBG38" s="372"/>
      <c r="BBH38" s="372"/>
      <c r="BBI38" s="372"/>
      <c r="BBJ38" s="372"/>
      <c r="BBK38" s="372"/>
      <c r="BBL38" s="372"/>
      <c r="BBM38" s="372"/>
      <c r="BBN38" s="372"/>
      <c r="BBO38" s="372"/>
      <c r="BBP38" s="372"/>
      <c r="BBQ38" s="372"/>
      <c r="BBR38" s="372"/>
      <c r="BBS38" s="372"/>
      <c r="BBT38" s="372"/>
      <c r="BBU38" s="372"/>
      <c r="BBV38" s="372"/>
      <c r="BBW38" s="372"/>
      <c r="BBX38" s="372"/>
      <c r="BBY38" s="372"/>
      <c r="BBZ38" s="372"/>
      <c r="BCA38" s="372"/>
      <c r="BCB38" s="372"/>
      <c r="BCC38" s="372"/>
      <c r="BCD38" s="372"/>
      <c r="BCE38" s="372"/>
      <c r="BCF38" s="372"/>
      <c r="BCG38" s="372"/>
      <c r="BCH38" s="372"/>
      <c r="BCI38" s="372"/>
      <c r="BCJ38" s="372"/>
      <c r="BCK38" s="372"/>
      <c r="BCL38" s="372"/>
      <c r="BCM38" s="372"/>
      <c r="BCN38" s="372"/>
      <c r="BCO38" s="372"/>
      <c r="BCP38" s="372"/>
      <c r="BCQ38" s="372"/>
      <c r="BCR38" s="372"/>
      <c r="BCS38" s="372"/>
      <c r="BCT38" s="372"/>
      <c r="BCU38" s="372"/>
      <c r="BCV38" s="372"/>
      <c r="BCW38" s="372"/>
      <c r="BCX38" s="372"/>
      <c r="BCY38" s="372"/>
      <c r="BCZ38" s="372"/>
      <c r="BDA38" s="372"/>
      <c r="BDB38" s="372"/>
      <c r="BDC38" s="372"/>
      <c r="BDD38" s="372"/>
      <c r="BDE38" s="372"/>
      <c r="BDF38" s="372"/>
      <c r="BDG38" s="372"/>
      <c r="BDH38" s="372"/>
      <c r="BDI38" s="372"/>
      <c r="BDJ38" s="372"/>
      <c r="BDK38" s="372"/>
      <c r="BDL38" s="372"/>
      <c r="BDM38" s="372"/>
      <c r="BDN38" s="372"/>
      <c r="BDO38" s="372"/>
      <c r="BDP38" s="372"/>
      <c r="BDQ38" s="372"/>
      <c r="BDR38" s="372"/>
      <c r="BDS38" s="372"/>
      <c r="BDT38" s="372"/>
      <c r="BDU38" s="372"/>
      <c r="BDV38" s="372"/>
      <c r="BDW38" s="372"/>
      <c r="BDX38" s="372"/>
      <c r="BDY38" s="372"/>
      <c r="BDZ38" s="372"/>
      <c r="BEA38" s="372"/>
      <c r="BEB38" s="372"/>
      <c r="BEC38" s="372"/>
      <c r="BED38" s="372"/>
      <c r="BEE38" s="372"/>
      <c r="BEF38" s="372"/>
      <c r="BEG38" s="372"/>
      <c r="BEH38" s="372"/>
      <c r="BEI38" s="372"/>
      <c r="BEJ38" s="372"/>
      <c r="BEK38" s="372"/>
      <c r="BEL38" s="372"/>
      <c r="BEM38" s="372"/>
      <c r="BEN38" s="372"/>
      <c r="BEO38" s="372"/>
      <c r="BEP38" s="372"/>
      <c r="BEQ38" s="372"/>
      <c r="BER38" s="372"/>
      <c r="BES38" s="372"/>
      <c r="BET38" s="372"/>
      <c r="BEU38" s="372"/>
      <c r="BEV38" s="372"/>
      <c r="BEW38" s="372"/>
      <c r="BEX38" s="372"/>
      <c r="BEY38" s="372"/>
      <c r="BEZ38" s="372"/>
      <c r="BFA38" s="372"/>
      <c r="BFB38" s="372"/>
      <c r="BFC38" s="372"/>
      <c r="BFD38" s="372"/>
      <c r="BFE38" s="372"/>
      <c r="BFF38" s="372"/>
      <c r="BFG38" s="372"/>
      <c r="BFH38" s="372"/>
      <c r="BFI38" s="372"/>
      <c r="BFJ38" s="372"/>
      <c r="BFK38" s="372"/>
      <c r="BFL38" s="372"/>
      <c r="BFM38" s="372"/>
      <c r="BFN38" s="372"/>
      <c r="BFO38" s="372"/>
      <c r="BFP38" s="372"/>
      <c r="BFQ38" s="372"/>
      <c r="BFR38" s="372"/>
      <c r="BFS38" s="372"/>
      <c r="BFT38" s="372"/>
      <c r="BFU38" s="372"/>
      <c r="BFV38" s="372"/>
      <c r="BFW38" s="372"/>
      <c r="BFX38" s="372"/>
      <c r="BFY38" s="372"/>
      <c r="BFZ38" s="372"/>
      <c r="BGA38" s="372"/>
      <c r="BGB38" s="372"/>
      <c r="BGC38" s="372"/>
      <c r="BGD38" s="372"/>
      <c r="BGE38" s="372"/>
      <c r="BGF38" s="372"/>
      <c r="BGG38" s="372"/>
      <c r="BGH38" s="372"/>
      <c r="BGI38" s="372"/>
      <c r="BGJ38" s="372"/>
      <c r="BGK38" s="372"/>
      <c r="BGL38" s="372"/>
      <c r="BGM38" s="372"/>
      <c r="BGN38" s="372"/>
      <c r="BGO38" s="372"/>
      <c r="BGP38" s="372"/>
      <c r="BGQ38" s="372"/>
      <c r="BGR38" s="372"/>
      <c r="BGS38" s="372"/>
      <c r="BGT38" s="372"/>
      <c r="BGU38" s="372"/>
      <c r="BGV38" s="372"/>
      <c r="BGW38" s="372"/>
      <c r="BGX38" s="372"/>
      <c r="BGY38" s="372"/>
      <c r="BGZ38" s="372"/>
      <c r="BHA38" s="372"/>
      <c r="BHB38" s="372"/>
      <c r="BHC38" s="372"/>
      <c r="BHD38" s="372"/>
      <c r="BHE38" s="372"/>
      <c r="BHF38" s="372"/>
      <c r="BHG38" s="372"/>
      <c r="BHH38" s="372"/>
      <c r="BHI38" s="372"/>
      <c r="BHJ38" s="372"/>
      <c r="BHK38" s="372"/>
      <c r="BHL38" s="372"/>
      <c r="BHM38" s="372"/>
      <c r="BHN38" s="372"/>
      <c r="BHO38" s="372"/>
      <c r="BHP38" s="372"/>
      <c r="BHQ38" s="372"/>
      <c r="BHR38" s="372"/>
      <c r="BHS38" s="372"/>
      <c r="BHT38" s="372"/>
      <c r="BHU38" s="372"/>
      <c r="BHV38" s="372"/>
      <c r="BHW38" s="372"/>
      <c r="BHX38" s="372"/>
      <c r="BHY38" s="372"/>
      <c r="BHZ38" s="372"/>
      <c r="BIA38" s="372"/>
      <c r="BIB38" s="372"/>
      <c r="BIC38" s="372"/>
      <c r="BID38" s="372"/>
      <c r="BIE38" s="372"/>
      <c r="BIF38" s="372"/>
      <c r="BIG38" s="372"/>
      <c r="BIH38" s="372"/>
      <c r="BII38" s="372"/>
      <c r="BIJ38" s="372"/>
      <c r="BIK38" s="372"/>
      <c r="BIL38" s="372"/>
      <c r="BIM38" s="372"/>
      <c r="BIN38" s="372"/>
      <c r="BIO38" s="372"/>
      <c r="BIP38" s="372"/>
      <c r="BIQ38" s="372"/>
      <c r="BIR38" s="372"/>
      <c r="BIS38" s="372"/>
      <c r="BIT38" s="372"/>
      <c r="BIU38" s="372"/>
      <c r="BIV38" s="372"/>
      <c r="BIW38" s="372"/>
      <c r="BIX38" s="372"/>
      <c r="BIY38" s="372"/>
      <c r="BIZ38" s="372"/>
      <c r="BJA38" s="372"/>
      <c r="BJB38" s="372"/>
      <c r="BJC38" s="372"/>
      <c r="BJD38" s="372"/>
      <c r="BJE38" s="372"/>
      <c r="BJF38" s="372"/>
      <c r="BJG38" s="372"/>
      <c r="BJH38" s="372"/>
      <c r="BJI38" s="372"/>
      <c r="BJJ38" s="372"/>
      <c r="BJK38" s="372"/>
      <c r="BJL38" s="372"/>
      <c r="BJM38" s="372"/>
      <c r="BJN38" s="372"/>
      <c r="BJO38" s="372"/>
      <c r="BJP38" s="372"/>
      <c r="BJQ38" s="372"/>
      <c r="BJR38" s="372"/>
      <c r="BJS38" s="372"/>
      <c r="BJT38" s="372"/>
      <c r="BJU38" s="372"/>
      <c r="BJV38" s="372"/>
      <c r="BJW38" s="372"/>
      <c r="BJX38" s="372"/>
      <c r="BJY38" s="372"/>
      <c r="BJZ38" s="372"/>
      <c r="BKA38" s="372"/>
      <c r="BKB38" s="372"/>
      <c r="BKC38" s="372"/>
      <c r="BKD38" s="372"/>
      <c r="BKE38" s="372"/>
      <c r="BKF38" s="372"/>
      <c r="BKG38" s="372"/>
      <c r="BKH38" s="372"/>
      <c r="BKI38" s="372"/>
      <c r="BKJ38" s="372"/>
      <c r="BKK38" s="372"/>
      <c r="BKL38" s="372"/>
      <c r="BKM38" s="372"/>
      <c r="BKN38" s="372"/>
      <c r="BKO38" s="372"/>
      <c r="BKP38" s="372"/>
      <c r="BKQ38" s="372"/>
      <c r="BKR38" s="372"/>
      <c r="BKS38" s="372"/>
      <c r="BKT38" s="372"/>
      <c r="BKU38" s="372"/>
      <c r="BKV38" s="372"/>
      <c r="BKW38" s="372"/>
      <c r="BKX38" s="372"/>
      <c r="BKY38" s="372"/>
      <c r="BKZ38" s="372"/>
      <c r="BLA38" s="372"/>
      <c r="BLB38" s="372"/>
      <c r="BLC38" s="372"/>
      <c r="BLD38" s="372"/>
      <c r="BLE38" s="372"/>
      <c r="BLF38" s="372"/>
      <c r="BLG38" s="372"/>
      <c r="BLH38" s="372"/>
      <c r="BLI38" s="372"/>
      <c r="BLJ38" s="372"/>
      <c r="BLK38" s="372"/>
      <c r="BLL38" s="372"/>
      <c r="BLM38" s="372"/>
      <c r="BLN38" s="372"/>
      <c r="BLO38" s="372"/>
      <c r="BLP38" s="372"/>
      <c r="BLQ38" s="372"/>
      <c r="BLR38" s="372"/>
      <c r="BLS38" s="372"/>
      <c r="BLT38" s="372"/>
      <c r="BLU38" s="372"/>
      <c r="BLV38" s="372"/>
      <c r="BLW38" s="372"/>
      <c r="BLX38" s="372"/>
      <c r="BLY38" s="372"/>
      <c r="BLZ38" s="372"/>
      <c r="BMA38" s="372"/>
      <c r="BMB38" s="372"/>
      <c r="BMC38" s="372"/>
      <c r="BMD38" s="372"/>
      <c r="BME38" s="372"/>
      <c r="BMF38" s="372"/>
      <c r="BMG38" s="372"/>
      <c r="BMH38" s="372"/>
      <c r="BMI38" s="372"/>
      <c r="BMJ38" s="372"/>
      <c r="BMK38" s="372"/>
      <c r="BML38" s="372"/>
      <c r="BMM38" s="372"/>
      <c r="BMN38" s="372"/>
      <c r="BMO38" s="372"/>
      <c r="BMP38" s="372"/>
      <c r="BMQ38" s="372"/>
      <c r="BMR38" s="372"/>
      <c r="BMS38" s="372"/>
      <c r="BMT38" s="372"/>
      <c r="BMU38" s="372"/>
      <c r="BMV38" s="372"/>
      <c r="BMW38" s="372"/>
      <c r="BMX38" s="372"/>
      <c r="BMY38" s="372"/>
      <c r="BMZ38" s="372"/>
      <c r="BNA38" s="372"/>
      <c r="BNB38" s="372"/>
      <c r="BNC38" s="372"/>
      <c r="BND38" s="372"/>
      <c r="BNE38" s="372"/>
      <c r="BNF38" s="372"/>
      <c r="BNG38" s="372"/>
      <c r="BNH38" s="372"/>
      <c r="BNI38" s="372"/>
      <c r="BNJ38" s="372"/>
      <c r="BNK38" s="372"/>
      <c r="BNL38" s="372"/>
      <c r="BNM38" s="372"/>
      <c r="BNN38" s="372"/>
      <c r="BNO38" s="372"/>
      <c r="BNP38" s="372"/>
      <c r="BNQ38" s="372"/>
      <c r="BNR38" s="372"/>
      <c r="BNS38" s="372"/>
      <c r="BNT38" s="372"/>
      <c r="BNU38" s="372"/>
      <c r="BNV38" s="372"/>
      <c r="BNW38" s="372"/>
      <c r="BNX38" s="372"/>
      <c r="BNY38" s="372"/>
      <c r="BNZ38" s="372"/>
      <c r="BOA38" s="372"/>
      <c r="BOB38" s="372"/>
      <c r="BOC38" s="372"/>
      <c r="BOD38" s="372"/>
      <c r="BOE38" s="372"/>
      <c r="BOF38" s="372"/>
      <c r="BOG38" s="372"/>
      <c r="BOH38" s="372"/>
      <c r="BOI38" s="372"/>
      <c r="BOJ38" s="372"/>
      <c r="BOK38" s="372"/>
      <c r="BOL38" s="372"/>
      <c r="BOM38" s="372"/>
      <c r="BON38" s="372"/>
      <c r="BOO38" s="372"/>
      <c r="BOP38" s="372"/>
      <c r="BOQ38" s="372"/>
      <c r="BOR38" s="372"/>
      <c r="BOS38" s="372"/>
      <c r="BOT38" s="372"/>
      <c r="BOU38" s="372"/>
      <c r="BOV38" s="372"/>
      <c r="BOW38" s="372"/>
      <c r="BOX38" s="372"/>
      <c r="BOY38" s="372"/>
      <c r="BOZ38" s="372"/>
      <c r="BPA38" s="372"/>
      <c r="BPB38" s="372"/>
      <c r="BPC38" s="372"/>
      <c r="BPD38" s="372"/>
      <c r="BPE38" s="372"/>
      <c r="BPF38" s="372"/>
      <c r="BPG38" s="372"/>
      <c r="BPH38" s="372"/>
      <c r="BPI38" s="372"/>
      <c r="BPJ38" s="372"/>
      <c r="BPK38" s="372"/>
      <c r="BPL38" s="372"/>
      <c r="BPM38" s="372"/>
      <c r="BPN38" s="372"/>
      <c r="BPO38" s="372"/>
      <c r="BPP38" s="372"/>
      <c r="BPQ38" s="372"/>
      <c r="BPR38" s="372"/>
      <c r="BPS38" s="372"/>
      <c r="BPT38" s="372"/>
      <c r="BPU38" s="372"/>
      <c r="BPV38" s="372"/>
      <c r="BPW38" s="372"/>
      <c r="BPX38" s="372"/>
      <c r="BPY38" s="372"/>
      <c r="BPZ38" s="372"/>
      <c r="BQA38" s="372"/>
      <c r="BQB38" s="372"/>
      <c r="BQC38" s="372"/>
      <c r="BQD38" s="372"/>
      <c r="BQE38" s="372"/>
      <c r="BQF38" s="372"/>
      <c r="BQG38" s="372"/>
      <c r="BQH38" s="372"/>
      <c r="BQI38" s="372"/>
      <c r="BQJ38" s="372"/>
      <c r="BQK38" s="372"/>
      <c r="BQL38" s="372"/>
      <c r="BQM38" s="372"/>
      <c r="BQN38" s="372"/>
      <c r="BQO38" s="372"/>
      <c r="BQP38" s="372"/>
      <c r="BQQ38" s="372"/>
      <c r="BQR38" s="372"/>
      <c r="BQS38" s="372"/>
      <c r="BQT38" s="372"/>
      <c r="BQU38" s="372"/>
      <c r="BQV38" s="372"/>
      <c r="BQW38" s="372"/>
      <c r="BQX38" s="372"/>
      <c r="BQY38" s="372"/>
      <c r="BQZ38" s="372"/>
      <c r="BRA38" s="372"/>
      <c r="BRB38" s="372"/>
      <c r="BRC38" s="372"/>
      <c r="BRD38" s="372"/>
      <c r="BRE38" s="372"/>
      <c r="BRF38" s="372"/>
      <c r="BRG38" s="372"/>
      <c r="BRH38" s="372"/>
      <c r="BRI38" s="372"/>
      <c r="BRJ38" s="372"/>
      <c r="BRK38" s="372"/>
      <c r="BRL38" s="372"/>
      <c r="BRM38" s="372"/>
      <c r="BRN38" s="372"/>
      <c r="BRO38" s="372"/>
      <c r="BRP38" s="372"/>
      <c r="BRQ38" s="372"/>
      <c r="BRR38" s="372"/>
      <c r="BRS38" s="372"/>
      <c r="BRT38" s="372"/>
      <c r="BRU38" s="372"/>
      <c r="BRV38" s="372"/>
      <c r="BRW38" s="372"/>
      <c r="BRX38" s="372"/>
      <c r="BRY38" s="372"/>
      <c r="BRZ38" s="372"/>
      <c r="BSA38" s="372"/>
      <c r="BSB38" s="372"/>
      <c r="BSC38" s="372"/>
      <c r="BSD38" s="372"/>
      <c r="BSE38" s="372"/>
      <c r="BSF38" s="372"/>
      <c r="BSG38" s="372"/>
      <c r="BSH38" s="372"/>
      <c r="BSI38" s="372"/>
      <c r="BSJ38" s="372"/>
      <c r="BSK38" s="372"/>
      <c r="BSL38" s="372"/>
      <c r="BSM38" s="372"/>
      <c r="BSN38" s="372"/>
      <c r="BSO38" s="372"/>
      <c r="BSP38" s="372"/>
      <c r="BSQ38" s="372"/>
      <c r="BSR38" s="372"/>
      <c r="BSS38" s="372"/>
      <c r="BST38" s="372"/>
      <c r="BSU38" s="372"/>
      <c r="BSV38" s="372"/>
      <c r="BSW38" s="372"/>
      <c r="BSX38" s="372"/>
      <c r="BSY38" s="372"/>
      <c r="BSZ38" s="372"/>
      <c r="BTA38" s="372"/>
      <c r="BTB38" s="372"/>
      <c r="BTC38" s="372"/>
      <c r="BTD38" s="372"/>
      <c r="BTE38" s="372"/>
      <c r="BTF38" s="372"/>
      <c r="BTG38" s="372"/>
      <c r="BTH38" s="372"/>
      <c r="BTI38" s="372"/>
      <c r="BTJ38" s="372"/>
      <c r="BTK38" s="372"/>
      <c r="BTL38" s="372"/>
      <c r="BTM38" s="372"/>
      <c r="BTN38" s="372"/>
      <c r="BTO38" s="372"/>
      <c r="BTP38" s="372"/>
      <c r="BTQ38" s="372"/>
      <c r="BTR38" s="372"/>
      <c r="BTS38" s="372"/>
      <c r="BTT38" s="372"/>
      <c r="BTU38" s="372"/>
      <c r="BTV38" s="372"/>
      <c r="BTW38" s="372"/>
      <c r="BTX38" s="372"/>
      <c r="BTY38" s="372"/>
      <c r="BTZ38" s="372"/>
      <c r="BUA38" s="372"/>
      <c r="BUB38" s="372"/>
      <c r="BUC38" s="372"/>
      <c r="BUD38" s="372"/>
      <c r="BUE38" s="372"/>
      <c r="BUF38" s="372"/>
      <c r="BUG38" s="372"/>
      <c r="BUH38" s="372"/>
      <c r="BUI38" s="372"/>
      <c r="BUJ38" s="372"/>
      <c r="BUK38" s="372"/>
      <c r="BUL38" s="372"/>
      <c r="BUM38" s="372"/>
      <c r="BUN38" s="372"/>
      <c r="BUO38" s="372"/>
      <c r="BUP38" s="372"/>
      <c r="BUQ38" s="372"/>
      <c r="BUR38" s="372"/>
      <c r="BUS38" s="372"/>
      <c r="BUT38" s="372"/>
      <c r="BUU38" s="372"/>
      <c r="BUV38" s="372"/>
      <c r="BUW38" s="372"/>
      <c r="BUX38" s="372"/>
      <c r="BUY38" s="372"/>
      <c r="BUZ38" s="372"/>
      <c r="BVA38" s="372"/>
      <c r="BVB38" s="372"/>
      <c r="BVC38" s="372"/>
      <c r="BVD38" s="372"/>
      <c r="BVE38" s="372"/>
      <c r="BVF38" s="372"/>
      <c r="BVG38" s="372"/>
      <c r="BVH38" s="372"/>
      <c r="BVI38" s="372"/>
      <c r="BVJ38" s="372"/>
      <c r="BVK38" s="372"/>
      <c r="BVL38" s="372"/>
      <c r="BVM38" s="372"/>
      <c r="BVN38" s="372"/>
      <c r="BVO38" s="372"/>
      <c r="BVP38" s="372"/>
      <c r="BVQ38" s="372"/>
      <c r="BVR38" s="372"/>
      <c r="BVS38" s="372"/>
      <c r="BVT38" s="372"/>
      <c r="BVU38" s="372"/>
      <c r="BVV38" s="372"/>
      <c r="BVW38" s="372"/>
      <c r="BVX38" s="372"/>
      <c r="BVY38" s="372"/>
      <c r="BVZ38" s="372"/>
      <c r="BWA38" s="372"/>
      <c r="BWB38" s="372"/>
      <c r="BWC38" s="372"/>
      <c r="BWD38" s="372"/>
      <c r="BWE38" s="372"/>
      <c r="BWF38" s="372"/>
      <c r="BWG38" s="372"/>
      <c r="BWH38" s="372"/>
      <c r="BWI38" s="372"/>
      <c r="BWJ38" s="372"/>
      <c r="BWK38" s="372"/>
      <c r="BWL38" s="372"/>
      <c r="BWM38" s="372"/>
      <c r="BWN38" s="372"/>
      <c r="BWO38" s="372"/>
      <c r="BWP38" s="372"/>
      <c r="BWQ38" s="372"/>
      <c r="BWR38" s="372"/>
      <c r="BWS38" s="372"/>
      <c r="BWT38" s="372"/>
      <c r="BWU38" s="372"/>
      <c r="BWV38" s="372"/>
      <c r="BWW38" s="372"/>
      <c r="BWX38" s="372"/>
      <c r="BWY38" s="372"/>
      <c r="BWZ38" s="372"/>
      <c r="BXA38" s="372"/>
      <c r="BXB38" s="372"/>
      <c r="BXC38" s="372"/>
      <c r="BXD38" s="372"/>
      <c r="BXE38" s="372"/>
      <c r="BXF38" s="372"/>
      <c r="BXG38" s="372"/>
      <c r="BXH38" s="372"/>
      <c r="BXI38" s="372"/>
      <c r="BXJ38" s="372"/>
      <c r="BXK38" s="372"/>
      <c r="BXL38" s="372"/>
      <c r="BXM38" s="372"/>
      <c r="BXN38" s="372"/>
      <c r="BXO38" s="372"/>
      <c r="BXP38" s="372"/>
      <c r="BXQ38" s="372"/>
      <c r="BXR38" s="372"/>
      <c r="BXS38" s="372"/>
      <c r="BXT38" s="372"/>
      <c r="BXU38" s="372"/>
      <c r="BXV38" s="372"/>
      <c r="BXW38" s="372"/>
      <c r="BXX38" s="372"/>
      <c r="BXY38" s="372"/>
      <c r="BXZ38" s="372"/>
      <c r="BYA38" s="372"/>
      <c r="BYB38" s="372"/>
      <c r="BYC38" s="372"/>
      <c r="BYD38" s="372"/>
      <c r="BYE38" s="372"/>
      <c r="BYF38" s="372"/>
      <c r="BYG38" s="372"/>
      <c r="BYH38" s="372"/>
      <c r="BYI38" s="372"/>
      <c r="BYJ38" s="372"/>
      <c r="BYK38" s="372"/>
      <c r="BYL38" s="372"/>
      <c r="BYM38" s="372"/>
      <c r="BYN38" s="372"/>
      <c r="BYO38" s="372"/>
      <c r="BYP38" s="372"/>
      <c r="BYQ38" s="372"/>
      <c r="BYR38" s="372"/>
      <c r="BYS38" s="372"/>
      <c r="BYT38" s="372"/>
      <c r="BYU38" s="372"/>
      <c r="BYV38" s="372"/>
      <c r="BYW38" s="372"/>
      <c r="BYX38" s="372"/>
      <c r="BYY38" s="372"/>
      <c r="BYZ38" s="372"/>
      <c r="BZA38" s="372"/>
      <c r="BZB38" s="372"/>
      <c r="BZC38" s="372"/>
      <c r="BZD38" s="372"/>
      <c r="BZE38" s="372"/>
      <c r="BZF38" s="372"/>
      <c r="BZG38" s="372"/>
      <c r="BZH38" s="372"/>
      <c r="BZI38" s="372"/>
      <c r="BZJ38" s="372"/>
      <c r="BZK38" s="372"/>
      <c r="BZL38" s="372"/>
      <c r="BZM38" s="372"/>
      <c r="BZN38" s="372"/>
      <c r="BZO38" s="372"/>
      <c r="BZP38" s="372"/>
      <c r="BZQ38" s="372"/>
      <c r="BZR38" s="372"/>
      <c r="BZS38" s="372"/>
      <c r="BZT38" s="372"/>
      <c r="BZU38" s="372"/>
      <c r="BZV38" s="372"/>
      <c r="BZW38" s="372"/>
      <c r="BZX38" s="372"/>
      <c r="BZY38" s="372"/>
      <c r="BZZ38" s="372"/>
      <c r="CAA38" s="372"/>
      <c r="CAB38" s="372"/>
      <c r="CAC38" s="372"/>
      <c r="CAD38" s="372"/>
      <c r="CAE38" s="372"/>
      <c r="CAF38" s="372"/>
      <c r="CAG38" s="372"/>
      <c r="CAH38" s="372"/>
      <c r="CAI38" s="372"/>
      <c r="CAJ38" s="372"/>
      <c r="CAK38" s="372"/>
      <c r="CAL38" s="372"/>
      <c r="CAM38" s="372"/>
      <c r="CAN38" s="372"/>
      <c r="CAO38" s="372"/>
      <c r="CAP38" s="372"/>
      <c r="CAQ38" s="372"/>
      <c r="CAR38" s="372"/>
      <c r="CAS38" s="372"/>
      <c r="CAT38" s="372"/>
      <c r="CAU38" s="372"/>
      <c r="CAV38" s="372"/>
      <c r="CAW38" s="372"/>
      <c r="CAX38" s="372"/>
      <c r="CAY38" s="372"/>
      <c r="CAZ38" s="372"/>
      <c r="CBA38" s="372"/>
      <c r="CBB38" s="372"/>
      <c r="CBC38" s="372"/>
      <c r="CBD38" s="372"/>
      <c r="CBE38" s="372"/>
      <c r="CBF38" s="372"/>
      <c r="CBG38" s="372"/>
      <c r="CBH38" s="372"/>
      <c r="CBI38" s="372"/>
      <c r="CBJ38" s="372"/>
      <c r="CBK38" s="372"/>
      <c r="CBL38" s="372"/>
      <c r="CBM38" s="372"/>
      <c r="CBN38" s="372"/>
      <c r="CBO38" s="372"/>
      <c r="CBP38" s="372"/>
      <c r="CBQ38" s="372"/>
      <c r="CBR38" s="372"/>
      <c r="CBS38" s="372"/>
      <c r="CBT38" s="372"/>
      <c r="CBU38" s="372"/>
      <c r="CBV38" s="372"/>
      <c r="CBW38" s="372"/>
      <c r="CBX38" s="372"/>
      <c r="CBY38" s="372"/>
      <c r="CBZ38" s="372"/>
      <c r="CCA38" s="372"/>
      <c r="CCB38" s="372"/>
      <c r="CCC38" s="372"/>
      <c r="CCD38" s="372"/>
      <c r="CCE38" s="372"/>
      <c r="CCF38" s="372"/>
      <c r="CCG38" s="372"/>
      <c r="CCH38" s="372"/>
      <c r="CCI38" s="372"/>
      <c r="CCJ38" s="372"/>
      <c r="CCK38" s="372"/>
      <c r="CCL38" s="372"/>
      <c r="CCM38" s="372"/>
      <c r="CCN38" s="372"/>
      <c r="CCO38" s="372"/>
      <c r="CCP38" s="372"/>
      <c r="CCQ38" s="372"/>
      <c r="CCR38" s="372"/>
      <c r="CCS38" s="372"/>
      <c r="CCT38" s="372"/>
      <c r="CCU38" s="372"/>
      <c r="CCV38" s="372"/>
      <c r="CCW38" s="372"/>
      <c r="CCX38" s="372"/>
      <c r="CCY38" s="372"/>
      <c r="CCZ38" s="372"/>
      <c r="CDA38" s="372"/>
      <c r="CDB38" s="372"/>
      <c r="CDC38" s="372"/>
      <c r="CDD38" s="372"/>
      <c r="CDE38" s="372"/>
      <c r="CDF38" s="372"/>
      <c r="CDG38" s="372"/>
      <c r="CDH38" s="372"/>
      <c r="CDI38" s="372"/>
      <c r="CDJ38" s="372"/>
      <c r="CDK38" s="372"/>
      <c r="CDL38" s="372"/>
      <c r="CDM38" s="372"/>
      <c r="CDN38" s="372"/>
      <c r="CDO38" s="372"/>
      <c r="CDP38" s="372"/>
      <c r="CDQ38" s="372"/>
      <c r="CDR38" s="372"/>
      <c r="CDS38" s="372"/>
      <c r="CDT38" s="372"/>
      <c r="CDU38" s="372"/>
      <c r="CDV38" s="372"/>
      <c r="CDW38" s="372"/>
      <c r="CDX38" s="372"/>
      <c r="CDY38" s="372"/>
      <c r="CDZ38" s="372"/>
      <c r="CEA38" s="372"/>
      <c r="CEB38" s="372"/>
      <c r="CEC38" s="372"/>
      <c r="CED38" s="372"/>
      <c r="CEE38" s="372"/>
      <c r="CEF38" s="372"/>
      <c r="CEG38" s="372"/>
      <c r="CEH38" s="372"/>
      <c r="CEI38" s="372"/>
      <c r="CEJ38" s="372"/>
      <c r="CEK38" s="372"/>
      <c r="CEL38" s="372"/>
      <c r="CEM38" s="372"/>
      <c r="CEN38" s="372"/>
      <c r="CEO38" s="372"/>
      <c r="CEP38" s="372"/>
      <c r="CEQ38" s="372"/>
      <c r="CER38" s="372"/>
      <c r="CES38" s="372"/>
      <c r="CET38" s="372"/>
      <c r="CEU38" s="372"/>
      <c r="CEV38" s="372"/>
      <c r="CEW38" s="372"/>
      <c r="CEX38" s="372"/>
      <c r="CEY38" s="372"/>
      <c r="CEZ38" s="372"/>
      <c r="CFA38" s="372"/>
      <c r="CFB38" s="372"/>
      <c r="CFC38" s="372"/>
      <c r="CFD38" s="372"/>
      <c r="CFE38" s="372"/>
      <c r="CFF38" s="372"/>
      <c r="CFG38" s="372"/>
      <c r="CFH38" s="372"/>
      <c r="CFI38" s="372"/>
      <c r="CFJ38" s="372"/>
      <c r="CFK38" s="372"/>
      <c r="CFL38" s="372"/>
      <c r="CFM38" s="372"/>
      <c r="CFN38" s="372"/>
      <c r="CFO38" s="372"/>
      <c r="CFP38" s="372"/>
      <c r="CFQ38" s="372"/>
      <c r="CFR38" s="372"/>
      <c r="CFS38" s="372"/>
      <c r="CFT38" s="372"/>
      <c r="CFU38" s="372"/>
      <c r="CFV38" s="372"/>
      <c r="CFW38" s="372"/>
      <c r="CFX38" s="372"/>
      <c r="CFY38" s="372"/>
      <c r="CFZ38" s="372"/>
      <c r="CGA38" s="372"/>
      <c r="CGB38" s="372"/>
      <c r="CGC38" s="372"/>
      <c r="CGD38" s="372"/>
      <c r="CGE38" s="372"/>
      <c r="CGF38" s="372"/>
      <c r="CGG38" s="372"/>
      <c r="CGH38" s="372"/>
      <c r="CGI38" s="372"/>
      <c r="CGJ38" s="372"/>
      <c r="CGK38" s="372"/>
      <c r="CGL38" s="372"/>
      <c r="CGM38" s="372"/>
      <c r="CGN38" s="372"/>
      <c r="CGO38" s="372"/>
      <c r="CGP38" s="372"/>
      <c r="CGQ38" s="372"/>
      <c r="CGR38" s="372"/>
      <c r="CGS38" s="372"/>
      <c r="CGT38" s="372"/>
      <c r="CGU38" s="372"/>
      <c r="CGV38" s="372"/>
      <c r="CGW38" s="372"/>
      <c r="CGX38" s="372"/>
      <c r="CGY38" s="372"/>
      <c r="CGZ38" s="372"/>
      <c r="CHA38" s="372"/>
      <c r="CHB38" s="372"/>
      <c r="CHC38" s="372"/>
      <c r="CHD38" s="372"/>
      <c r="CHE38" s="372"/>
      <c r="CHF38" s="372"/>
      <c r="CHG38" s="372"/>
      <c r="CHH38" s="372"/>
      <c r="CHI38" s="372"/>
      <c r="CHJ38" s="372"/>
      <c r="CHK38" s="372"/>
      <c r="CHL38" s="372"/>
      <c r="CHM38" s="372"/>
      <c r="CHN38" s="372"/>
      <c r="CHO38" s="372"/>
      <c r="CHP38" s="372"/>
      <c r="CHQ38" s="372"/>
      <c r="CHR38" s="372"/>
      <c r="CHS38" s="372"/>
      <c r="CHT38" s="372"/>
      <c r="CHU38" s="372"/>
      <c r="CHV38" s="372"/>
      <c r="CHW38" s="372"/>
      <c r="CHX38" s="372"/>
      <c r="CHY38" s="372"/>
      <c r="CHZ38" s="372"/>
      <c r="CIA38" s="372"/>
      <c r="CIB38" s="372"/>
      <c r="CIC38" s="372"/>
      <c r="CID38" s="372"/>
      <c r="CIE38" s="372"/>
      <c r="CIF38" s="372"/>
      <c r="CIG38" s="372"/>
      <c r="CIH38" s="372"/>
      <c r="CII38" s="372"/>
      <c r="CIJ38" s="372"/>
      <c r="CIK38" s="372"/>
      <c r="CIL38" s="372"/>
      <c r="CIM38" s="372"/>
      <c r="CIN38" s="372"/>
      <c r="CIO38" s="372"/>
      <c r="CIP38" s="372"/>
      <c r="CIQ38" s="372"/>
      <c r="CIR38" s="372"/>
      <c r="CIS38" s="372"/>
      <c r="CIT38" s="372"/>
      <c r="CIU38" s="372"/>
      <c r="CIV38" s="372"/>
      <c r="CIW38" s="372"/>
      <c r="CIX38" s="372"/>
      <c r="CIY38" s="372"/>
      <c r="CIZ38" s="372"/>
      <c r="CJA38" s="372"/>
      <c r="CJB38" s="372"/>
      <c r="CJC38" s="372"/>
      <c r="CJD38" s="372"/>
      <c r="CJE38" s="372"/>
      <c r="CJF38" s="372"/>
      <c r="CJG38" s="372"/>
      <c r="CJH38" s="372"/>
      <c r="CJI38" s="372"/>
      <c r="CJJ38" s="372"/>
      <c r="CJK38" s="372"/>
      <c r="CJL38" s="372"/>
      <c r="CJM38" s="372"/>
      <c r="CJN38" s="372"/>
      <c r="CJO38" s="372"/>
      <c r="CJP38" s="372"/>
      <c r="CJQ38" s="372"/>
      <c r="CJR38" s="372"/>
      <c r="CJS38" s="372"/>
      <c r="CJT38" s="372"/>
      <c r="CJU38" s="372"/>
      <c r="CJV38" s="372"/>
      <c r="CJW38" s="372"/>
      <c r="CJX38" s="372"/>
      <c r="CJY38" s="372"/>
      <c r="CJZ38" s="372"/>
      <c r="CKA38" s="372"/>
      <c r="CKB38" s="372"/>
      <c r="CKC38" s="372"/>
      <c r="CKD38" s="372"/>
      <c r="CKE38" s="372"/>
      <c r="CKF38" s="372"/>
      <c r="CKG38" s="372"/>
      <c r="CKH38" s="372"/>
      <c r="CKI38" s="372"/>
      <c r="CKJ38" s="372"/>
      <c r="CKK38" s="372"/>
      <c r="CKL38" s="372"/>
      <c r="CKM38" s="372"/>
      <c r="CKN38" s="372"/>
      <c r="CKO38" s="372"/>
      <c r="CKP38" s="372"/>
      <c r="CKQ38" s="372"/>
      <c r="CKR38" s="372"/>
      <c r="CKS38" s="372"/>
      <c r="CKT38" s="372"/>
      <c r="CKU38" s="372"/>
      <c r="CKV38" s="372"/>
      <c r="CKW38" s="372"/>
      <c r="CKX38" s="372"/>
      <c r="CKY38" s="372"/>
      <c r="CKZ38" s="372"/>
      <c r="CLA38" s="372"/>
      <c r="CLB38" s="372"/>
      <c r="CLC38" s="372"/>
      <c r="CLD38" s="372"/>
      <c r="CLE38" s="372"/>
      <c r="CLF38" s="372"/>
      <c r="CLG38" s="372"/>
      <c r="CLH38" s="372"/>
      <c r="CLI38" s="372"/>
      <c r="CLJ38" s="372"/>
      <c r="CLK38" s="372"/>
      <c r="CLL38" s="372"/>
      <c r="CLM38" s="372"/>
      <c r="CLN38" s="372"/>
      <c r="CLO38" s="372"/>
      <c r="CLP38" s="372"/>
      <c r="CLQ38" s="372"/>
      <c r="CLR38" s="372"/>
      <c r="CLS38" s="372"/>
      <c r="CLT38" s="372"/>
      <c r="CLU38" s="372"/>
      <c r="CLV38" s="372"/>
      <c r="CLW38" s="372"/>
      <c r="CLX38" s="372"/>
      <c r="CLY38" s="372"/>
      <c r="CLZ38" s="372"/>
      <c r="CMA38" s="372"/>
      <c r="CMB38" s="372"/>
      <c r="CMC38" s="372"/>
      <c r="CMD38" s="372"/>
      <c r="CME38" s="372"/>
      <c r="CMF38" s="372"/>
      <c r="CMG38" s="372"/>
      <c r="CMH38" s="372"/>
      <c r="CMI38" s="372"/>
      <c r="CMJ38" s="372"/>
      <c r="CMK38" s="372"/>
      <c r="CML38" s="372"/>
      <c r="CMM38" s="372"/>
      <c r="CMN38" s="372"/>
      <c r="CMO38" s="372"/>
      <c r="CMP38" s="372"/>
      <c r="CMQ38" s="372"/>
      <c r="CMR38" s="372"/>
      <c r="CMS38" s="372"/>
      <c r="CMT38" s="372"/>
      <c r="CMU38" s="372"/>
      <c r="CMV38" s="372"/>
      <c r="CMW38" s="372"/>
      <c r="CMX38" s="372"/>
      <c r="CMY38" s="372"/>
      <c r="CMZ38" s="372"/>
      <c r="CNA38" s="372"/>
      <c r="CNB38" s="372"/>
      <c r="CNC38" s="372"/>
      <c r="CND38" s="372"/>
      <c r="CNE38" s="372"/>
      <c r="CNF38" s="372"/>
      <c r="CNG38" s="372"/>
      <c r="CNH38" s="372"/>
      <c r="CNI38" s="372"/>
      <c r="CNJ38" s="372"/>
      <c r="CNK38" s="372"/>
      <c r="CNL38" s="372"/>
      <c r="CNM38" s="372"/>
      <c r="CNN38" s="372"/>
      <c r="CNO38" s="372"/>
      <c r="CNP38" s="372"/>
      <c r="CNQ38" s="372"/>
      <c r="CNR38" s="372"/>
      <c r="CNS38" s="372"/>
      <c r="CNT38" s="372"/>
      <c r="CNU38" s="372"/>
      <c r="CNV38" s="372"/>
      <c r="CNW38" s="372"/>
      <c r="CNX38" s="372"/>
      <c r="CNY38" s="372"/>
      <c r="CNZ38" s="372"/>
      <c r="COA38" s="372"/>
      <c r="COB38" s="372"/>
      <c r="COC38" s="372"/>
      <c r="COD38" s="372"/>
      <c r="COE38" s="372"/>
      <c r="COF38" s="372"/>
      <c r="COG38" s="372"/>
      <c r="COH38" s="372"/>
      <c r="COI38" s="372"/>
      <c r="COJ38" s="372"/>
      <c r="COK38" s="372"/>
      <c r="COL38" s="372"/>
      <c r="COM38" s="372"/>
      <c r="CON38" s="372"/>
      <c r="COO38" s="372"/>
      <c r="COP38" s="372"/>
      <c r="COQ38" s="372"/>
      <c r="COR38" s="372"/>
      <c r="COS38" s="372"/>
      <c r="COT38" s="372"/>
      <c r="COU38" s="372"/>
      <c r="COV38" s="372"/>
      <c r="COW38" s="372"/>
      <c r="COX38" s="372"/>
      <c r="COY38" s="372"/>
      <c r="COZ38" s="372"/>
      <c r="CPA38" s="372"/>
      <c r="CPB38" s="372"/>
      <c r="CPC38" s="372"/>
      <c r="CPD38" s="372"/>
      <c r="CPE38" s="372"/>
      <c r="CPF38" s="372"/>
      <c r="CPG38" s="372"/>
      <c r="CPH38" s="372"/>
      <c r="CPI38" s="372"/>
      <c r="CPJ38" s="372"/>
      <c r="CPK38" s="372"/>
      <c r="CPL38" s="372"/>
      <c r="CPM38" s="372"/>
      <c r="CPN38" s="372"/>
      <c r="CPO38" s="372"/>
      <c r="CPP38" s="372"/>
      <c r="CPQ38" s="372"/>
      <c r="CPR38" s="372"/>
      <c r="CPS38" s="372"/>
      <c r="CPT38" s="372"/>
      <c r="CPU38" s="372"/>
      <c r="CPV38" s="372"/>
      <c r="CPW38" s="372"/>
      <c r="CPX38" s="372"/>
      <c r="CPY38" s="372"/>
      <c r="CPZ38" s="372"/>
      <c r="CQA38" s="372"/>
      <c r="CQB38" s="372"/>
      <c r="CQC38" s="372"/>
      <c r="CQD38" s="372"/>
      <c r="CQE38" s="372"/>
      <c r="CQF38" s="372"/>
      <c r="CQG38" s="372"/>
      <c r="CQH38" s="372"/>
      <c r="CQI38" s="372"/>
      <c r="CQJ38" s="372"/>
      <c r="CQK38" s="372"/>
      <c r="CQL38" s="372"/>
      <c r="CQM38" s="372"/>
      <c r="CQN38" s="372"/>
      <c r="CQO38" s="372"/>
      <c r="CQP38" s="372"/>
      <c r="CQQ38" s="372"/>
      <c r="CQR38" s="372"/>
      <c r="CQS38" s="372"/>
      <c r="CQT38" s="372"/>
      <c r="CQU38" s="372"/>
      <c r="CQV38" s="372"/>
      <c r="CQW38" s="372"/>
      <c r="CQX38" s="372"/>
      <c r="CQY38" s="372"/>
      <c r="CQZ38" s="372"/>
      <c r="CRA38" s="372"/>
      <c r="CRB38" s="372"/>
      <c r="CRC38" s="372"/>
      <c r="CRD38" s="372"/>
      <c r="CRE38" s="372"/>
      <c r="CRF38" s="372"/>
      <c r="CRG38" s="372"/>
      <c r="CRH38" s="372"/>
      <c r="CRI38" s="372"/>
      <c r="CRJ38" s="372"/>
      <c r="CRK38" s="372"/>
      <c r="CRL38" s="372"/>
      <c r="CRM38" s="372"/>
      <c r="CRN38" s="372"/>
      <c r="CRO38" s="372"/>
      <c r="CRP38" s="372"/>
      <c r="CRQ38" s="372"/>
      <c r="CRR38" s="372"/>
      <c r="CRS38" s="372"/>
      <c r="CRT38" s="372"/>
      <c r="CRU38" s="372"/>
      <c r="CRV38" s="372"/>
      <c r="CRW38" s="372"/>
      <c r="CRX38" s="372"/>
      <c r="CRY38" s="372"/>
      <c r="CRZ38" s="372"/>
      <c r="CSA38" s="372"/>
      <c r="CSB38" s="372"/>
      <c r="CSC38" s="372"/>
      <c r="CSD38" s="372"/>
      <c r="CSE38" s="372"/>
      <c r="CSF38" s="372"/>
      <c r="CSG38" s="372"/>
      <c r="CSH38" s="372"/>
      <c r="CSI38" s="372"/>
      <c r="CSJ38" s="372"/>
      <c r="CSK38" s="372"/>
      <c r="CSL38" s="372"/>
      <c r="CSM38" s="372"/>
      <c r="CSN38" s="372"/>
      <c r="CSO38" s="372"/>
      <c r="CSP38" s="372"/>
      <c r="CSQ38" s="372"/>
      <c r="CSR38" s="372"/>
      <c r="CSS38" s="372"/>
      <c r="CST38" s="372"/>
      <c r="CSU38" s="372"/>
      <c r="CSV38" s="372"/>
      <c r="CSW38" s="372"/>
      <c r="CSX38" s="372"/>
      <c r="CSY38" s="372"/>
      <c r="CSZ38" s="372"/>
      <c r="CTA38" s="372"/>
      <c r="CTB38" s="372"/>
      <c r="CTC38" s="372"/>
      <c r="CTD38" s="372"/>
      <c r="CTE38" s="372"/>
      <c r="CTF38" s="372"/>
      <c r="CTG38" s="372"/>
      <c r="CTH38" s="372"/>
      <c r="CTI38" s="372"/>
      <c r="CTJ38" s="372"/>
      <c r="CTK38" s="372"/>
      <c r="CTL38" s="372"/>
      <c r="CTM38" s="372"/>
      <c r="CTN38" s="372"/>
      <c r="CTO38" s="372"/>
      <c r="CTP38" s="372"/>
      <c r="CTQ38" s="372"/>
      <c r="CTR38" s="372"/>
      <c r="CTS38" s="372"/>
      <c r="CTT38" s="372"/>
      <c r="CTU38" s="372"/>
      <c r="CTV38" s="372"/>
      <c r="CTW38" s="372"/>
      <c r="CTX38" s="372"/>
      <c r="CTY38" s="372"/>
      <c r="CTZ38" s="372"/>
      <c r="CUA38" s="372"/>
      <c r="CUB38" s="372"/>
      <c r="CUC38" s="372"/>
      <c r="CUD38" s="372"/>
      <c r="CUE38" s="372"/>
      <c r="CUF38" s="372"/>
      <c r="CUG38" s="372"/>
      <c r="CUH38" s="372"/>
      <c r="CUI38" s="372"/>
      <c r="CUJ38" s="372"/>
      <c r="CUK38" s="372"/>
      <c r="CUL38" s="372"/>
      <c r="CUM38" s="372"/>
      <c r="CUN38" s="372"/>
      <c r="CUO38" s="372"/>
      <c r="CUP38" s="372"/>
      <c r="CUQ38" s="372"/>
      <c r="CUR38" s="372"/>
      <c r="CUS38" s="372"/>
      <c r="CUT38" s="372"/>
      <c r="CUU38" s="372"/>
      <c r="CUV38" s="372"/>
      <c r="CUW38" s="372"/>
      <c r="CUX38" s="372"/>
      <c r="CUY38" s="372"/>
      <c r="CUZ38" s="372"/>
      <c r="CVA38" s="372"/>
      <c r="CVB38" s="372"/>
      <c r="CVC38" s="372"/>
      <c r="CVD38" s="372"/>
      <c r="CVE38" s="372"/>
      <c r="CVF38" s="372"/>
      <c r="CVG38" s="372"/>
      <c r="CVH38" s="372"/>
      <c r="CVI38" s="372"/>
      <c r="CVJ38" s="372"/>
      <c r="CVK38" s="372"/>
      <c r="CVL38" s="372"/>
      <c r="CVM38" s="372"/>
      <c r="CVN38" s="372"/>
      <c r="CVO38" s="372"/>
      <c r="CVP38" s="372"/>
      <c r="CVQ38" s="372"/>
      <c r="CVR38" s="372"/>
      <c r="CVS38" s="372"/>
      <c r="CVT38" s="372"/>
      <c r="CVU38" s="372"/>
      <c r="CVV38" s="372"/>
      <c r="CVW38" s="372"/>
      <c r="CVX38" s="372"/>
      <c r="CVY38" s="372"/>
      <c r="CVZ38" s="372"/>
      <c r="CWA38" s="372"/>
      <c r="CWB38" s="372"/>
      <c r="CWC38" s="372"/>
      <c r="CWD38" s="372"/>
      <c r="CWE38" s="372"/>
      <c r="CWF38" s="372"/>
      <c r="CWG38" s="372"/>
      <c r="CWH38" s="372"/>
      <c r="CWI38" s="372"/>
      <c r="CWJ38" s="372"/>
      <c r="CWK38" s="372"/>
      <c r="CWL38" s="372"/>
      <c r="CWM38" s="372"/>
      <c r="CWN38" s="372"/>
      <c r="CWO38" s="372"/>
      <c r="CWP38" s="372"/>
      <c r="CWQ38" s="372"/>
      <c r="CWR38" s="372"/>
      <c r="CWS38" s="372"/>
      <c r="CWT38" s="372"/>
      <c r="CWU38" s="372"/>
      <c r="CWV38" s="372"/>
      <c r="CWW38" s="372"/>
      <c r="CWX38" s="372"/>
      <c r="CWY38" s="372"/>
      <c r="CWZ38" s="372"/>
      <c r="CXA38" s="372"/>
      <c r="CXB38" s="372"/>
      <c r="CXC38" s="372"/>
      <c r="CXD38" s="372"/>
      <c r="CXE38" s="372"/>
      <c r="CXF38" s="372"/>
      <c r="CXG38" s="372"/>
      <c r="CXH38" s="372"/>
      <c r="CXI38" s="372"/>
      <c r="CXJ38" s="372"/>
      <c r="CXK38" s="372"/>
      <c r="CXL38" s="372"/>
      <c r="CXM38" s="372"/>
      <c r="CXN38" s="372"/>
      <c r="CXO38" s="372"/>
      <c r="CXP38" s="372"/>
      <c r="CXQ38" s="372"/>
      <c r="CXR38" s="372"/>
      <c r="CXS38" s="372"/>
      <c r="CXT38" s="372"/>
      <c r="CXU38" s="372"/>
      <c r="CXV38" s="372"/>
      <c r="CXW38" s="372"/>
      <c r="CXX38" s="372"/>
      <c r="CXY38" s="372"/>
      <c r="CXZ38" s="372"/>
      <c r="CYA38" s="372"/>
      <c r="CYB38" s="372"/>
      <c r="CYC38" s="372"/>
      <c r="CYD38" s="372"/>
      <c r="CYE38" s="372"/>
      <c r="CYF38" s="372"/>
      <c r="CYG38" s="372"/>
      <c r="CYH38" s="372"/>
      <c r="CYI38" s="372"/>
      <c r="CYJ38" s="372"/>
      <c r="CYK38" s="372"/>
      <c r="CYL38" s="372"/>
      <c r="CYM38" s="372"/>
      <c r="CYN38" s="372"/>
      <c r="CYO38" s="372"/>
      <c r="CYP38" s="372"/>
      <c r="CYQ38" s="372"/>
      <c r="CYR38" s="372"/>
      <c r="CYS38" s="372"/>
      <c r="CYT38" s="372"/>
      <c r="CYU38" s="372"/>
      <c r="CYV38" s="372"/>
      <c r="CYW38" s="372"/>
      <c r="CYX38" s="372"/>
      <c r="CYY38" s="372"/>
      <c r="CYZ38" s="372"/>
      <c r="CZA38" s="372"/>
      <c r="CZB38" s="372"/>
      <c r="CZC38" s="372"/>
      <c r="CZD38" s="372"/>
      <c r="CZE38" s="372"/>
      <c r="CZF38" s="372"/>
      <c r="CZG38" s="372"/>
      <c r="CZH38" s="372"/>
      <c r="CZI38" s="372"/>
      <c r="CZJ38" s="372"/>
      <c r="CZK38" s="372"/>
      <c r="CZL38" s="372"/>
      <c r="CZM38" s="372"/>
      <c r="CZN38" s="372"/>
      <c r="CZO38" s="372"/>
      <c r="CZP38" s="372"/>
      <c r="CZQ38" s="372"/>
      <c r="CZR38" s="372"/>
      <c r="CZS38" s="372"/>
      <c r="CZT38" s="372"/>
      <c r="CZU38" s="372"/>
      <c r="CZV38" s="372"/>
      <c r="CZW38" s="372"/>
      <c r="CZX38" s="372"/>
      <c r="CZY38" s="372"/>
      <c r="CZZ38" s="372"/>
      <c r="DAA38" s="372"/>
      <c r="DAB38" s="372"/>
      <c r="DAC38" s="372"/>
      <c r="DAD38" s="372"/>
      <c r="DAE38" s="372"/>
      <c r="DAF38" s="372"/>
      <c r="DAG38" s="372"/>
      <c r="DAH38" s="372"/>
      <c r="DAI38" s="372"/>
      <c r="DAJ38" s="372"/>
      <c r="DAK38" s="372"/>
      <c r="DAL38" s="372"/>
      <c r="DAM38" s="372"/>
      <c r="DAN38" s="372"/>
      <c r="DAO38" s="372"/>
      <c r="DAP38" s="372"/>
      <c r="DAQ38" s="372"/>
      <c r="DAR38" s="372"/>
      <c r="DAS38" s="372"/>
      <c r="DAT38" s="372"/>
      <c r="DAU38" s="372"/>
      <c r="DAV38" s="372"/>
      <c r="DAW38" s="372"/>
      <c r="DAX38" s="372"/>
      <c r="DAY38" s="372"/>
      <c r="DAZ38" s="372"/>
      <c r="DBA38" s="372"/>
      <c r="DBB38" s="372"/>
      <c r="DBC38" s="372"/>
      <c r="DBD38" s="372"/>
      <c r="DBE38" s="372"/>
      <c r="DBF38" s="372"/>
      <c r="DBG38" s="372"/>
      <c r="DBH38" s="372"/>
      <c r="DBI38" s="372"/>
      <c r="DBJ38" s="372"/>
      <c r="DBK38" s="372"/>
      <c r="DBL38" s="372"/>
      <c r="DBM38" s="372"/>
      <c r="DBN38" s="372"/>
      <c r="DBO38" s="372"/>
      <c r="DBP38" s="372"/>
      <c r="DBQ38" s="372"/>
      <c r="DBR38" s="372"/>
      <c r="DBS38" s="372"/>
      <c r="DBT38" s="372"/>
      <c r="DBU38" s="372"/>
      <c r="DBV38" s="372"/>
      <c r="DBW38" s="372"/>
      <c r="DBX38" s="372"/>
      <c r="DBY38" s="372"/>
      <c r="DBZ38" s="372"/>
      <c r="DCA38" s="372"/>
      <c r="DCB38" s="372"/>
      <c r="DCC38" s="372"/>
      <c r="DCD38" s="372"/>
      <c r="DCE38" s="372"/>
      <c r="DCF38" s="372"/>
      <c r="DCG38" s="372"/>
      <c r="DCH38" s="372"/>
      <c r="DCI38" s="372"/>
      <c r="DCJ38" s="372"/>
      <c r="DCK38" s="372"/>
      <c r="DCL38" s="372"/>
      <c r="DCM38" s="372"/>
      <c r="DCN38" s="372"/>
      <c r="DCO38" s="372"/>
      <c r="DCP38" s="372"/>
      <c r="DCQ38" s="372"/>
      <c r="DCR38" s="372"/>
      <c r="DCS38" s="372"/>
      <c r="DCT38" s="372"/>
      <c r="DCU38" s="372"/>
      <c r="DCV38" s="372"/>
      <c r="DCW38" s="372"/>
      <c r="DCX38" s="372"/>
      <c r="DCY38" s="372"/>
      <c r="DCZ38" s="372"/>
      <c r="DDA38" s="372"/>
      <c r="DDB38" s="372"/>
      <c r="DDC38" s="372"/>
      <c r="DDD38" s="372"/>
      <c r="DDE38" s="372"/>
      <c r="DDF38" s="372"/>
      <c r="DDG38" s="372"/>
      <c r="DDH38" s="372"/>
      <c r="DDI38" s="372"/>
      <c r="DDJ38" s="372"/>
      <c r="DDK38" s="372"/>
      <c r="DDL38" s="372"/>
      <c r="DDM38" s="372"/>
      <c r="DDN38" s="372"/>
      <c r="DDO38" s="372"/>
      <c r="DDP38" s="372"/>
      <c r="DDQ38" s="372"/>
      <c r="DDR38" s="372"/>
      <c r="DDS38" s="372"/>
      <c r="DDT38" s="372"/>
      <c r="DDU38" s="372"/>
      <c r="DDV38" s="372"/>
      <c r="DDW38" s="372"/>
      <c r="DDX38" s="372"/>
      <c r="DDY38" s="372"/>
      <c r="DDZ38" s="372"/>
      <c r="DEA38" s="372"/>
      <c r="DEB38" s="372"/>
      <c r="DEC38" s="372"/>
      <c r="DED38" s="372"/>
      <c r="DEE38" s="372"/>
      <c r="DEF38" s="372"/>
      <c r="DEG38" s="372"/>
      <c r="DEH38" s="372"/>
      <c r="DEI38" s="372"/>
      <c r="DEJ38" s="372"/>
      <c r="DEK38" s="372"/>
      <c r="DEL38" s="372"/>
      <c r="DEM38" s="372"/>
      <c r="DEN38" s="372"/>
      <c r="DEO38" s="372"/>
      <c r="DEP38" s="372"/>
      <c r="DEQ38" s="372"/>
      <c r="DER38" s="372"/>
      <c r="DES38" s="372"/>
      <c r="DET38" s="372"/>
      <c r="DEU38" s="372"/>
      <c r="DEV38" s="372"/>
      <c r="DEW38" s="372"/>
      <c r="DEX38" s="372"/>
      <c r="DEY38" s="372"/>
      <c r="DEZ38" s="372"/>
      <c r="DFA38" s="372"/>
      <c r="DFB38" s="372"/>
      <c r="DFC38" s="372"/>
      <c r="DFD38" s="372"/>
      <c r="DFE38" s="372"/>
      <c r="DFF38" s="372"/>
      <c r="DFG38" s="372"/>
      <c r="DFH38" s="372"/>
      <c r="DFI38" s="372"/>
      <c r="DFJ38" s="372"/>
      <c r="DFK38" s="372"/>
      <c r="DFL38" s="372"/>
      <c r="DFM38" s="372"/>
      <c r="DFN38" s="372"/>
      <c r="DFO38" s="372"/>
      <c r="DFP38" s="372"/>
      <c r="DFQ38" s="372"/>
      <c r="DFR38" s="372"/>
      <c r="DFS38" s="372"/>
      <c r="DFT38" s="372"/>
      <c r="DFU38" s="372"/>
      <c r="DFV38" s="372"/>
      <c r="DFW38" s="372"/>
      <c r="DFX38" s="372"/>
      <c r="DFY38" s="372"/>
      <c r="DFZ38" s="372"/>
      <c r="DGA38" s="372"/>
      <c r="DGB38" s="372"/>
      <c r="DGC38" s="372"/>
      <c r="DGD38" s="372"/>
      <c r="DGE38" s="372"/>
      <c r="DGF38" s="372"/>
      <c r="DGG38" s="372"/>
      <c r="DGH38" s="372"/>
      <c r="DGI38" s="372"/>
      <c r="DGJ38" s="372"/>
      <c r="DGK38" s="372"/>
      <c r="DGL38" s="372"/>
      <c r="DGM38" s="372"/>
      <c r="DGN38" s="372"/>
      <c r="DGO38" s="372"/>
      <c r="DGP38" s="372"/>
      <c r="DGQ38" s="372"/>
      <c r="DGR38" s="372"/>
      <c r="DGS38" s="372"/>
      <c r="DGT38" s="372"/>
      <c r="DGU38" s="372"/>
      <c r="DGV38" s="372"/>
      <c r="DGW38" s="372"/>
      <c r="DGX38" s="372"/>
      <c r="DGY38" s="372"/>
      <c r="DGZ38" s="372"/>
      <c r="DHA38" s="372"/>
      <c r="DHB38" s="372"/>
      <c r="DHC38" s="372"/>
      <c r="DHD38" s="372"/>
      <c r="DHE38" s="372"/>
      <c r="DHF38" s="372"/>
      <c r="DHG38" s="372"/>
      <c r="DHH38" s="372"/>
      <c r="DHI38" s="372"/>
      <c r="DHJ38" s="372"/>
      <c r="DHK38" s="372"/>
      <c r="DHL38" s="372"/>
      <c r="DHM38" s="372"/>
      <c r="DHN38" s="372"/>
      <c r="DHO38" s="372"/>
      <c r="DHP38" s="372"/>
      <c r="DHQ38" s="372"/>
      <c r="DHR38" s="372"/>
      <c r="DHS38" s="372"/>
      <c r="DHT38" s="372"/>
      <c r="DHU38" s="372"/>
      <c r="DHV38" s="372"/>
      <c r="DHW38" s="372"/>
      <c r="DHX38" s="372"/>
      <c r="DHY38" s="372"/>
      <c r="DHZ38" s="372"/>
      <c r="DIA38" s="372"/>
      <c r="DIB38" s="372"/>
      <c r="DIC38" s="372"/>
      <c r="DID38" s="372"/>
      <c r="DIE38" s="372"/>
      <c r="DIF38" s="372"/>
      <c r="DIG38" s="372"/>
      <c r="DIH38" s="372"/>
      <c r="DII38" s="372"/>
      <c r="DIJ38" s="372"/>
      <c r="DIK38" s="372"/>
      <c r="DIL38" s="372"/>
      <c r="DIM38" s="372"/>
      <c r="DIN38" s="372"/>
      <c r="DIO38" s="372"/>
      <c r="DIP38" s="372"/>
      <c r="DIQ38" s="372"/>
      <c r="DIR38" s="372"/>
      <c r="DIS38" s="372"/>
      <c r="DIT38" s="372"/>
      <c r="DIU38" s="372"/>
      <c r="DIV38" s="372"/>
      <c r="DIW38" s="372"/>
      <c r="DIX38" s="372"/>
      <c r="DIY38" s="372"/>
      <c r="DIZ38" s="372"/>
      <c r="DJA38" s="372"/>
      <c r="DJB38" s="372"/>
      <c r="DJC38" s="372"/>
      <c r="DJD38" s="372"/>
      <c r="DJE38" s="372"/>
      <c r="DJF38" s="372"/>
      <c r="DJG38" s="372"/>
      <c r="DJH38" s="372"/>
      <c r="DJI38" s="372"/>
      <c r="DJJ38" s="372"/>
      <c r="DJK38" s="372"/>
      <c r="DJL38" s="372"/>
      <c r="DJM38" s="372"/>
      <c r="DJN38" s="372"/>
      <c r="DJO38" s="372"/>
      <c r="DJP38" s="372"/>
      <c r="DJQ38" s="372"/>
      <c r="DJR38" s="372"/>
      <c r="DJS38" s="372"/>
      <c r="DJT38" s="372"/>
      <c r="DJU38" s="372"/>
      <c r="DJV38" s="372"/>
      <c r="DJW38" s="372"/>
      <c r="DJX38" s="372"/>
      <c r="DJY38" s="372"/>
      <c r="DJZ38" s="372"/>
      <c r="DKA38" s="372"/>
      <c r="DKB38" s="372"/>
      <c r="DKC38" s="372"/>
      <c r="DKD38" s="372"/>
      <c r="DKE38" s="372"/>
      <c r="DKF38" s="372"/>
      <c r="DKG38" s="372"/>
      <c r="DKH38" s="372"/>
      <c r="DKI38" s="372"/>
      <c r="DKJ38" s="372"/>
      <c r="DKK38" s="372"/>
      <c r="DKL38" s="372"/>
      <c r="DKM38" s="372"/>
      <c r="DKN38" s="372"/>
      <c r="DKO38" s="372"/>
      <c r="DKP38" s="372"/>
      <c r="DKQ38" s="372"/>
      <c r="DKR38" s="372"/>
      <c r="DKS38" s="372"/>
      <c r="DKT38" s="372"/>
      <c r="DKU38" s="372"/>
      <c r="DKV38" s="372"/>
      <c r="DKW38" s="372"/>
      <c r="DKX38" s="372"/>
      <c r="DKY38" s="372"/>
      <c r="DKZ38" s="372"/>
      <c r="DLA38" s="372"/>
      <c r="DLB38" s="372"/>
      <c r="DLC38" s="372"/>
      <c r="DLD38" s="372"/>
      <c r="DLE38" s="372"/>
      <c r="DLF38" s="372"/>
      <c r="DLG38" s="372"/>
      <c r="DLH38" s="372"/>
      <c r="DLI38" s="372"/>
      <c r="DLJ38" s="372"/>
      <c r="DLK38" s="372"/>
      <c r="DLL38" s="372"/>
      <c r="DLM38" s="372"/>
      <c r="DLN38" s="372"/>
      <c r="DLO38" s="372"/>
      <c r="DLP38" s="372"/>
      <c r="DLQ38" s="372"/>
      <c r="DLR38" s="372"/>
      <c r="DLS38" s="372"/>
      <c r="DLT38" s="372"/>
      <c r="DLU38" s="372"/>
      <c r="DLV38" s="372"/>
      <c r="DLW38" s="372"/>
      <c r="DLX38" s="372"/>
      <c r="DLY38" s="372"/>
      <c r="DLZ38" s="372"/>
      <c r="DMA38" s="372"/>
      <c r="DMB38" s="372"/>
      <c r="DMC38" s="372"/>
      <c r="DMD38" s="372"/>
      <c r="DME38" s="372"/>
      <c r="DMF38" s="372"/>
      <c r="DMG38" s="372"/>
      <c r="DMH38" s="372"/>
      <c r="DMI38" s="372"/>
      <c r="DMJ38" s="372"/>
      <c r="DMK38" s="372"/>
      <c r="DML38" s="372"/>
      <c r="DMM38" s="372"/>
      <c r="DMN38" s="372"/>
      <c r="DMO38" s="372"/>
      <c r="DMP38" s="372"/>
      <c r="DMQ38" s="372"/>
      <c r="DMR38" s="372"/>
      <c r="DMS38" s="372"/>
      <c r="DMT38" s="372"/>
      <c r="DMU38" s="372"/>
      <c r="DMV38" s="372"/>
      <c r="DMW38" s="372"/>
      <c r="DMX38" s="372"/>
      <c r="DMY38" s="372"/>
      <c r="DMZ38" s="372"/>
      <c r="DNA38" s="372"/>
      <c r="DNB38" s="372"/>
      <c r="DNC38" s="372"/>
      <c r="DND38" s="372"/>
      <c r="DNE38" s="372"/>
      <c r="DNF38" s="372"/>
      <c r="DNG38" s="372"/>
      <c r="DNH38" s="372"/>
      <c r="DNI38" s="372"/>
      <c r="DNJ38" s="372"/>
      <c r="DNK38" s="372"/>
      <c r="DNL38" s="372"/>
      <c r="DNM38" s="372"/>
      <c r="DNN38" s="372"/>
      <c r="DNO38" s="372"/>
      <c r="DNP38" s="372"/>
      <c r="DNQ38" s="372"/>
      <c r="DNR38" s="372"/>
      <c r="DNS38" s="372"/>
      <c r="DNT38" s="372"/>
      <c r="DNU38" s="372"/>
      <c r="DNV38" s="372"/>
      <c r="DNW38" s="372"/>
      <c r="DNX38" s="372"/>
      <c r="DNY38" s="372"/>
      <c r="DNZ38" s="372"/>
      <c r="DOA38" s="372"/>
      <c r="DOB38" s="372"/>
      <c r="DOC38" s="372"/>
      <c r="DOD38" s="372"/>
      <c r="DOE38" s="372"/>
      <c r="DOF38" s="372"/>
      <c r="DOG38" s="372"/>
      <c r="DOH38" s="372"/>
      <c r="DOI38" s="372"/>
      <c r="DOJ38" s="372"/>
      <c r="DOK38" s="372"/>
      <c r="DOL38" s="372"/>
      <c r="DOM38" s="372"/>
      <c r="DON38" s="372"/>
      <c r="DOO38" s="372"/>
      <c r="DOP38" s="372"/>
      <c r="DOQ38" s="372"/>
      <c r="DOR38" s="372"/>
      <c r="DOS38" s="372"/>
      <c r="DOT38" s="372"/>
      <c r="DOU38" s="372"/>
      <c r="DOV38" s="372"/>
      <c r="DOW38" s="372"/>
      <c r="DOX38" s="372"/>
      <c r="DOY38" s="372"/>
      <c r="DOZ38" s="372"/>
      <c r="DPA38" s="372"/>
      <c r="DPB38" s="372"/>
      <c r="DPC38" s="372"/>
      <c r="DPD38" s="372"/>
      <c r="DPE38" s="372"/>
      <c r="DPF38" s="372"/>
      <c r="DPG38" s="372"/>
      <c r="DPH38" s="372"/>
      <c r="DPI38" s="372"/>
      <c r="DPJ38" s="372"/>
      <c r="DPK38" s="372"/>
      <c r="DPL38" s="372"/>
      <c r="DPM38" s="372"/>
      <c r="DPN38" s="372"/>
      <c r="DPO38" s="372"/>
      <c r="DPP38" s="372"/>
      <c r="DPQ38" s="372"/>
      <c r="DPR38" s="372"/>
      <c r="DPS38" s="372"/>
      <c r="DPT38" s="372"/>
      <c r="DPU38" s="372"/>
      <c r="DPV38" s="372"/>
      <c r="DPW38" s="372"/>
      <c r="DPX38" s="372"/>
      <c r="DPY38" s="372"/>
      <c r="DPZ38" s="372"/>
      <c r="DQA38" s="372"/>
      <c r="DQB38" s="372"/>
      <c r="DQC38" s="372"/>
      <c r="DQD38" s="372"/>
      <c r="DQE38" s="372"/>
      <c r="DQF38" s="372"/>
      <c r="DQG38" s="372"/>
      <c r="DQH38" s="372"/>
      <c r="DQI38" s="372"/>
      <c r="DQJ38" s="372"/>
      <c r="DQK38" s="372"/>
      <c r="DQL38" s="372"/>
      <c r="DQM38" s="372"/>
      <c r="DQN38" s="372"/>
      <c r="DQO38" s="372"/>
      <c r="DQP38" s="372"/>
      <c r="DQQ38" s="372"/>
      <c r="DQR38" s="372"/>
      <c r="DQS38" s="372"/>
      <c r="DQT38" s="372"/>
      <c r="DQU38" s="372"/>
      <c r="DQV38" s="372"/>
      <c r="DQW38" s="372"/>
      <c r="DQX38" s="372"/>
      <c r="DQY38" s="372"/>
      <c r="DQZ38" s="372"/>
      <c r="DRA38" s="372"/>
      <c r="DRB38" s="372"/>
      <c r="DRC38" s="372"/>
      <c r="DRD38" s="372"/>
      <c r="DRE38" s="372"/>
      <c r="DRF38" s="372"/>
      <c r="DRG38" s="372"/>
      <c r="DRH38" s="372"/>
      <c r="DRI38" s="372"/>
      <c r="DRJ38" s="372"/>
      <c r="DRK38" s="372"/>
      <c r="DRL38" s="372"/>
      <c r="DRM38" s="372"/>
      <c r="DRN38" s="372"/>
      <c r="DRO38" s="372"/>
      <c r="DRP38" s="372"/>
      <c r="DRQ38" s="372"/>
      <c r="DRR38" s="372"/>
      <c r="DRS38" s="372"/>
      <c r="DRT38" s="372"/>
      <c r="DRU38" s="372"/>
      <c r="DRV38" s="372"/>
      <c r="DRW38" s="372"/>
      <c r="DRX38" s="372"/>
      <c r="DRY38" s="372"/>
      <c r="DRZ38" s="372"/>
      <c r="DSA38" s="372"/>
      <c r="DSB38" s="372"/>
      <c r="DSC38" s="372"/>
      <c r="DSD38" s="372"/>
      <c r="DSE38" s="372"/>
      <c r="DSF38" s="372"/>
      <c r="DSG38" s="372"/>
      <c r="DSH38" s="372"/>
      <c r="DSI38" s="372"/>
      <c r="DSJ38" s="372"/>
      <c r="DSK38" s="372"/>
      <c r="DSL38" s="372"/>
      <c r="DSM38" s="372"/>
      <c r="DSN38" s="372"/>
      <c r="DSO38" s="372"/>
      <c r="DSP38" s="372"/>
      <c r="DSQ38" s="372"/>
      <c r="DSR38" s="372"/>
      <c r="DSS38" s="372"/>
      <c r="DST38" s="372"/>
      <c r="DSU38" s="372"/>
      <c r="DSV38" s="372"/>
      <c r="DSW38" s="372"/>
      <c r="DSX38" s="372"/>
      <c r="DSY38" s="372"/>
      <c r="DSZ38" s="372"/>
      <c r="DTA38" s="372"/>
      <c r="DTB38" s="372"/>
      <c r="DTC38" s="372"/>
      <c r="DTD38" s="372"/>
      <c r="DTE38" s="372"/>
      <c r="DTF38" s="372"/>
      <c r="DTG38" s="372"/>
      <c r="DTH38" s="372"/>
      <c r="DTI38" s="372"/>
      <c r="DTJ38" s="372"/>
      <c r="DTK38" s="372"/>
      <c r="DTL38" s="372"/>
      <c r="DTM38" s="372"/>
      <c r="DTN38" s="372"/>
      <c r="DTO38" s="372"/>
      <c r="DTP38" s="372"/>
      <c r="DTQ38" s="372"/>
      <c r="DTR38" s="372"/>
      <c r="DTS38" s="372"/>
      <c r="DTT38" s="372"/>
      <c r="DTU38" s="372"/>
      <c r="DTV38" s="372"/>
      <c r="DTW38" s="372"/>
      <c r="DTX38" s="372"/>
      <c r="DTY38" s="372"/>
      <c r="DTZ38" s="372"/>
      <c r="DUA38" s="372"/>
      <c r="DUB38" s="372"/>
      <c r="DUC38" s="372"/>
      <c r="DUD38" s="372"/>
      <c r="DUE38" s="372"/>
      <c r="DUF38" s="372"/>
      <c r="DUG38" s="372"/>
      <c r="DUH38" s="372"/>
      <c r="DUI38" s="372"/>
      <c r="DUJ38" s="372"/>
      <c r="DUK38" s="372"/>
      <c r="DUL38" s="372"/>
      <c r="DUM38" s="372"/>
      <c r="DUN38" s="372"/>
      <c r="DUO38" s="372"/>
      <c r="DUP38" s="372"/>
      <c r="DUQ38" s="372"/>
      <c r="DUR38" s="372"/>
      <c r="DUS38" s="372"/>
      <c r="DUT38" s="372"/>
      <c r="DUU38" s="372"/>
      <c r="DUV38" s="372"/>
      <c r="DUW38" s="372"/>
      <c r="DUX38" s="372"/>
      <c r="DUY38" s="372"/>
      <c r="DUZ38" s="372"/>
      <c r="DVA38" s="372"/>
      <c r="DVB38" s="372"/>
      <c r="DVC38" s="372"/>
      <c r="DVD38" s="372"/>
      <c r="DVE38" s="372"/>
      <c r="DVF38" s="372"/>
      <c r="DVG38" s="372"/>
      <c r="DVH38" s="372"/>
      <c r="DVI38" s="372"/>
      <c r="DVJ38" s="372"/>
      <c r="DVK38" s="372"/>
      <c r="DVL38" s="372"/>
      <c r="DVM38" s="372"/>
      <c r="DVN38" s="372"/>
      <c r="DVO38" s="372"/>
      <c r="DVP38" s="372"/>
      <c r="DVQ38" s="372"/>
      <c r="DVR38" s="372"/>
      <c r="DVS38" s="372"/>
      <c r="DVT38" s="372"/>
      <c r="DVU38" s="372"/>
      <c r="DVV38" s="372"/>
      <c r="DVW38" s="372"/>
      <c r="DVX38" s="372"/>
      <c r="DVY38" s="372"/>
      <c r="DVZ38" s="372"/>
      <c r="DWA38" s="372"/>
      <c r="DWB38" s="372"/>
      <c r="DWC38" s="372"/>
      <c r="DWD38" s="372"/>
      <c r="DWE38" s="372"/>
      <c r="DWF38" s="372"/>
      <c r="DWG38" s="372"/>
      <c r="DWH38" s="372"/>
      <c r="DWI38" s="372"/>
      <c r="DWJ38" s="372"/>
      <c r="DWK38" s="372"/>
      <c r="DWL38" s="372"/>
      <c r="DWM38" s="372"/>
      <c r="DWN38" s="372"/>
      <c r="DWO38" s="372"/>
      <c r="DWP38" s="372"/>
      <c r="DWQ38" s="372"/>
      <c r="DWR38" s="372"/>
      <c r="DWS38" s="372"/>
      <c r="DWT38" s="372"/>
      <c r="DWU38" s="372"/>
      <c r="DWV38" s="372"/>
      <c r="DWW38" s="372"/>
      <c r="DWX38" s="372"/>
      <c r="DWY38" s="372"/>
      <c r="DWZ38" s="372"/>
      <c r="DXA38" s="372"/>
      <c r="DXB38" s="372"/>
      <c r="DXC38" s="372"/>
      <c r="DXD38" s="372"/>
      <c r="DXE38" s="372"/>
      <c r="DXF38" s="372"/>
      <c r="DXG38" s="372"/>
      <c r="DXH38" s="372"/>
      <c r="DXI38" s="372"/>
      <c r="DXJ38" s="372"/>
      <c r="DXK38" s="372"/>
      <c r="DXL38" s="372"/>
      <c r="DXM38" s="372"/>
      <c r="DXN38" s="372"/>
      <c r="DXO38" s="372"/>
      <c r="DXP38" s="372"/>
      <c r="DXQ38" s="372"/>
      <c r="DXR38" s="372"/>
      <c r="DXS38" s="372"/>
      <c r="DXT38" s="372"/>
      <c r="DXU38" s="372"/>
      <c r="DXV38" s="372"/>
      <c r="DXW38" s="372"/>
      <c r="DXX38" s="372"/>
      <c r="DXY38" s="372"/>
      <c r="DXZ38" s="372"/>
      <c r="DYA38" s="372"/>
      <c r="DYB38" s="372"/>
      <c r="DYC38" s="372"/>
      <c r="DYD38" s="372"/>
      <c r="DYE38" s="372"/>
      <c r="DYF38" s="372"/>
      <c r="DYG38" s="372"/>
      <c r="DYH38" s="372"/>
      <c r="DYI38" s="372"/>
      <c r="DYJ38" s="372"/>
      <c r="DYK38" s="372"/>
      <c r="DYL38" s="372"/>
      <c r="DYM38" s="372"/>
      <c r="DYN38" s="372"/>
      <c r="DYO38" s="372"/>
      <c r="DYP38" s="372"/>
      <c r="DYQ38" s="372"/>
      <c r="DYR38" s="372"/>
      <c r="DYS38" s="372"/>
      <c r="DYT38" s="372"/>
      <c r="DYU38" s="372"/>
      <c r="DYV38" s="372"/>
      <c r="DYW38" s="372"/>
      <c r="DYX38" s="372"/>
      <c r="DYY38" s="372"/>
      <c r="DYZ38" s="372"/>
      <c r="DZA38" s="372"/>
      <c r="DZB38" s="372"/>
      <c r="DZC38" s="372"/>
      <c r="DZD38" s="372"/>
      <c r="DZE38" s="372"/>
      <c r="DZF38" s="372"/>
      <c r="DZG38" s="372"/>
      <c r="DZH38" s="372"/>
      <c r="DZI38" s="372"/>
      <c r="DZJ38" s="372"/>
      <c r="DZK38" s="372"/>
      <c r="DZL38" s="372"/>
      <c r="DZM38" s="372"/>
      <c r="DZN38" s="372"/>
      <c r="DZO38" s="372"/>
      <c r="DZP38" s="372"/>
      <c r="DZQ38" s="372"/>
      <c r="DZR38" s="372"/>
      <c r="DZS38" s="372"/>
      <c r="DZT38" s="372"/>
      <c r="DZU38" s="372"/>
      <c r="DZV38" s="372"/>
      <c r="DZW38" s="372"/>
      <c r="DZX38" s="372"/>
      <c r="DZY38" s="372"/>
      <c r="DZZ38" s="372"/>
      <c r="EAA38" s="372"/>
      <c r="EAB38" s="372"/>
      <c r="EAC38" s="372"/>
      <c r="EAD38" s="372"/>
      <c r="EAE38" s="372"/>
      <c r="EAF38" s="372"/>
      <c r="EAG38" s="372"/>
      <c r="EAH38" s="372"/>
      <c r="EAI38" s="372"/>
      <c r="EAJ38" s="372"/>
      <c r="EAK38" s="372"/>
      <c r="EAL38" s="372"/>
      <c r="EAM38" s="372"/>
      <c r="EAN38" s="372"/>
      <c r="EAO38" s="372"/>
      <c r="EAP38" s="372"/>
      <c r="EAQ38" s="372"/>
      <c r="EAR38" s="372"/>
      <c r="EAS38" s="372"/>
      <c r="EAT38" s="372"/>
      <c r="EAU38" s="372"/>
      <c r="EAV38" s="372"/>
      <c r="EAW38" s="372"/>
      <c r="EAX38" s="372"/>
      <c r="EAY38" s="372"/>
      <c r="EAZ38" s="372"/>
      <c r="EBA38" s="372"/>
      <c r="EBB38" s="372"/>
      <c r="EBC38" s="372"/>
      <c r="EBD38" s="372"/>
      <c r="EBE38" s="372"/>
      <c r="EBF38" s="372"/>
      <c r="EBG38" s="372"/>
      <c r="EBH38" s="372"/>
      <c r="EBI38" s="372"/>
      <c r="EBJ38" s="372"/>
      <c r="EBK38" s="372"/>
      <c r="EBL38" s="372"/>
      <c r="EBM38" s="372"/>
      <c r="EBN38" s="372"/>
      <c r="EBO38" s="372"/>
      <c r="EBP38" s="372"/>
      <c r="EBQ38" s="372"/>
      <c r="EBR38" s="372"/>
      <c r="EBS38" s="372"/>
      <c r="EBT38" s="372"/>
      <c r="EBU38" s="372"/>
      <c r="EBV38" s="372"/>
      <c r="EBW38" s="372"/>
      <c r="EBX38" s="372"/>
      <c r="EBY38" s="372"/>
      <c r="EBZ38" s="372"/>
      <c r="ECA38" s="372"/>
      <c r="ECB38" s="372"/>
      <c r="ECC38" s="372"/>
      <c r="ECD38" s="372"/>
      <c r="ECE38" s="372"/>
      <c r="ECF38" s="372"/>
      <c r="ECG38" s="372"/>
      <c r="ECH38" s="372"/>
      <c r="ECI38" s="372"/>
      <c r="ECJ38" s="372"/>
      <c r="ECK38" s="372"/>
      <c r="ECL38" s="372"/>
      <c r="ECM38" s="372"/>
      <c r="ECN38" s="372"/>
      <c r="ECO38" s="372"/>
      <c r="ECP38" s="372"/>
      <c r="ECQ38" s="372"/>
      <c r="ECR38" s="372"/>
      <c r="ECS38" s="372"/>
      <c r="ECT38" s="372"/>
      <c r="ECU38" s="372"/>
      <c r="ECV38" s="372"/>
      <c r="ECW38" s="372"/>
      <c r="ECX38" s="372"/>
      <c r="ECY38" s="372"/>
      <c r="ECZ38" s="372"/>
      <c r="EDA38" s="372"/>
      <c r="EDB38" s="372"/>
      <c r="EDC38" s="372"/>
      <c r="EDD38" s="372"/>
      <c r="EDE38" s="372"/>
      <c r="EDF38" s="372"/>
      <c r="EDG38" s="372"/>
      <c r="EDH38" s="372"/>
      <c r="EDI38" s="372"/>
      <c r="EDJ38" s="372"/>
      <c r="EDK38" s="372"/>
      <c r="EDL38" s="372"/>
      <c r="EDM38" s="372"/>
      <c r="EDN38" s="372"/>
      <c r="EDO38" s="372"/>
      <c r="EDP38" s="372"/>
      <c r="EDQ38" s="372"/>
      <c r="EDR38" s="372"/>
      <c r="EDS38" s="372"/>
      <c r="EDT38" s="372"/>
      <c r="EDU38" s="372"/>
      <c r="EDV38" s="372"/>
      <c r="EDW38" s="372"/>
      <c r="EDX38" s="372"/>
      <c r="EDY38" s="372"/>
      <c r="EDZ38" s="372"/>
      <c r="EEA38" s="372"/>
      <c r="EEB38" s="372"/>
      <c r="EEC38" s="372"/>
      <c r="EED38" s="372"/>
      <c r="EEE38" s="372"/>
      <c r="EEF38" s="372"/>
      <c r="EEG38" s="372"/>
      <c r="EEH38" s="372"/>
      <c r="EEI38" s="372"/>
      <c r="EEJ38" s="372"/>
      <c r="EEK38" s="372"/>
      <c r="EEL38" s="372"/>
      <c r="EEM38" s="372"/>
      <c r="EEN38" s="372"/>
      <c r="EEO38" s="372"/>
      <c r="EEP38" s="372"/>
      <c r="EEQ38" s="372"/>
      <c r="EER38" s="372"/>
      <c r="EES38" s="372"/>
      <c r="EET38" s="372"/>
      <c r="EEU38" s="372"/>
      <c r="EEV38" s="372"/>
      <c r="EEW38" s="372"/>
      <c r="EEX38" s="372"/>
      <c r="EEY38" s="372"/>
      <c r="EEZ38" s="372"/>
      <c r="EFA38" s="372"/>
      <c r="EFB38" s="372"/>
      <c r="EFC38" s="372"/>
      <c r="EFD38" s="372"/>
      <c r="EFE38" s="372"/>
      <c r="EFF38" s="372"/>
      <c r="EFG38" s="372"/>
      <c r="EFH38" s="372"/>
      <c r="EFI38" s="372"/>
      <c r="EFJ38" s="372"/>
      <c r="EFK38" s="372"/>
      <c r="EFL38" s="372"/>
      <c r="EFM38" s="372"/>
      <c r="EFN38" s="372"/>
      <c r="EFO38" s="372"/>
      <c r="EFP38" s="372"/>
      <c r="EFQ38" s="372"/>
      <c r="EFR38" s="372"/>
      <c r="EFS38" s="372"/>
      <c r="EFT38" s="372"/>
      <c r="EFU38" s="372"/>
      <c r="EFV38" s="372"/>
      <c r="EFW38" s="372"/>
      <c r="EFX38" s="372"/>
      <c r="EFY38" s="372"/>
      <c r="EFZ38" s="372"/>
      <c r="EGA38" s="372"/>
      <c r="EGB38" s="372"/>
      <c r="EGC38" s="372"/>
      <c r="EGD38" s="372"/>
      <c r="EGE38" s="372"/>
      <c r="EGF38" s="372"/>
      <c r="EGG38" s="372"/>
      <c r="EGH38" s="372"/>
      <c r="EGI38" s="372"/>
      <c r="EGJ38" s="372"/>
      <c r="EGK38" s="372"/>
      <c r="EGL38" s="372"/>
      <c r="EGM38" s="372"/>
      <c r="EGN38" s="372"/>
      <c r="EGO38" s="372"/>
      <c r="EGP38" s="372"/>
      <c r="EGQ38" s="372"/>
      <c r="EGR38" s="372"/>
      <c r="EGS38" s="372"/>
      <c r="EGT38" s="372"/>
      <c r="EGU38" s="372"/>
      <c r="EGV38" s="372"/>
      <c r="EGW38" s="372"/>
      <c r="EGX38" s="372"/>
      <c r="EGY38" s="372"/>
      <c r="EGZ38" s="372"/>
      <c r="EHA38" s="372"/>
      <c r="EHB38" s="372"/>
      <c r="EHC38" s="372"/>
      <c r="EHD38" s="372"/>
      <c r="EHE38" s="372"/>
      <c r="EHF38" s="372"/>
      <c r="EHG38" s="372"/>
      <c r="EHH38" s="372"/>
      <c r="EHI38" s="372"/>
      <c r="EHJ38" s="372"/>
      <c r="EHK38" s="372"/>
      <c r="EHL38" s="372"/>
      <c r="EHM38" s="372"/>
      <c r="EHN38" s="372"/>
      <c r="EHO38" s="372"/>
      <c r="EHP38" s="372"/>
      <c r="EHQ38" s="372"/>
      <c r="EHR38" s="372"/>
      <c r="EHS38" s="372"/>
      <c r="EHT38" s="372"/>
      <c r="EHU38" s="372"/>
      <c r="EHV38" s="372"/>
      <c r="EHW38" s="372"/>
      <c r="EHX38" s="372"/>
      <c r="EHY38" s="372"/>
      <c r="EHZ38" s="372"/>
      <c r="EIA38" s="372"/>
      <c r="EIB38" s="372"/>
      <c r="EIC38" s="372"/>
      <c r="EID38" s="372"/>
      <c r="EIE38" s="372"/>
      <c r="EIF38" s="372"/>
      <c r="EIG38" s="372"/>
      <c r="EIH38" s="372"/>
      <c r="EII38" s="372"/>
      <c r="EIJ38" s="372"/>
      <c r="EIK38" s="372"/>
      <c r="EIL38" s="372"/>
      <c r="EIM38" s="372"/>
      <c r="EIN38" s="372"/>
      <c r="EIO38" s="372"/>
      <c r="EIP38" s="372"/>
      <c r="EIQ38" s="372"/>
      <c r="EIR38" s="372"/>
      <c r="EIS38" s="372"/>
      <c r="EIT38" s="372"/>
      <c r="EIU38" s="372"/>
      <c r="EIV38" s="372"/>
      <c r="EIW38" s="372"/>
      <c r="EIX38" s="372"/>
      <c r="EIY38" s="372"/>
      <c r="EIZ38" s="372"/>
      <c r="EJA38" s="372"/>
      <c r="EJB38" s="372"/>
      <c r="EJC38" s="372"/>
      <c r="EJD38" s="372"/>
      <c r="EJE38" s="372"/>
      <c r="EJF38" s="372"/>
      <c r="EJG38" s="372"/>
      <c r="EJH38" s="372"/>
      <c r="EJI38" s="372"/>
      <c r="EJJ38" s="372"/>
      <c r="EJK38" s="372"/>
      <c r="EJL38" s="372"/>
      <c r="EJM38" s="372"/>
      <c r="EJN38" s="372"/>
      <c r="EJO38" s="372"/>
      <c r="EJP38" s="372"/>
      <c r="EJQ38" s="372"/>
      <c r="EJR38" s="372"/>
      <c r="EJS38" s="372"/>
      <c r="EJT38" s="372"/>
      <c r="EJU38" s="372"/>
      <c r="EJV38" s="372"/>
      <c r="EJW38" s="372"/>
      <c r="EJX38" s="372"/>
      <c r="EJY38" s="372"/>
      <c r="EJZ38" s="372"/>
      <c r="EKA38" s="372"/>
      <c r="EKB38" s="372"/>
      <c r="EKC38" s="372"/>
      <c r="EKD38" s="372"/>
      <c r="EKE38" s="372"/>
      <c r="EKF38" s="372"/>
      <c r="EKG38" s="372"/>
      <c r="EKH38" s="372"/>
      <c r="EKI38" s="372"/>
      <c r="EKJ38" s="372"/>
      <c r="EKK38" s="372"/>
      <c r="EKL38" s="372"/>
      <c r="EKM38" s="372"/>
      <c r="EKN38" s="372"/>
      <c r="EKO38" s="372"/>
      <c r="EKP38" s="372"/>
      <c r="EKQ38" s="372"/>
      <c r="EKR38" s="372"/>
      <c r="EKS38" s="372"/>
      <c r="EKT38" s="372"/>
      <c r="EKU38" s="372"/>
      <c r="EKV38" s="372"/>
      <c r="EKW38" s="372"/>
      <c r="EKX38" s="372"/>
      <c r="EKY38" s="372"/>
      <c r="EKZ38" s="372"/>
      <c r="ELA38" s="372"/>
      <c r="ELB38" s="372"/>
      <c r="ELC38" s="372"/>
      <c r="ELD38" s="372"/>
      <c r="ELE38" s="372"/>
      <c r="ELF38" s="372"/>
      <c r="ELG38" s="372"/>
      <c r="ELH38" s="372"/>
      <c r="ELI38" s="372"/>
      <c r="ELJ38" s="372"/>
      <c r="ELK38" s="372"/>
      <c r="ELL38" s="372"/>
      <c r="ELM38" s="372"/>
      <c r="ELN38" s="372"/>
      <c r="ELO38" s="372"/>
      <c r="ELP38" s="372"/>
      <c r="ELQ38" s="372"/>
      <c r="ELR38" s="372"/>
      <c r="ELS38" s="372"/>
      <c r="ELT38" s="372"/>
      <c r="ELU38" s="372"/>
      <c r="ELV38" s="372"/>
      <c r="ELW38" s="372"/>
      <c r="ELX38" s="372"/>
      <c r="ELY38" s="372"/>
      <c r="ELZ38" s="372"/>
      <c r="EMA38" s="372"/>
      <c r="EMB38" s="372"/>
      <c r="EMC38" s="372"/>
      <c r="EMD38" s="372"/>
      <c r="EME38" s="372"/>
      <c r="EMF38" s="372"/>
      <c r="EMG38" s="372"/>
      <c r="EMH38" s="372"/>
      <c r="EMI38" s="372"/>
      <c r="EMJ38" s="372"/>
      <c r="EMK38" s="372"/>
      <c r="EML38" s="372"/>
      <c r="EMM38" s="372"/>
      <c r="EMN38" s="372"/>
      <c r="EMO38" s="372"/>
      <c r="EMP38" s="372"/>
      <c r="EMQ38" s="372"/>
      <c r="EMR38" s="372"/>
      <c r="EMS38" s="372"/>
      <c r="EMT38" s="372"/>
      <c r="EMU38" s="372"/>
      <c r="EMV38" s="372"/>
      <c r="EMW38" s="372"/>
      <c r="EMX38" s="372"/>
      <c r="EMY38" s="372"/>
      <c r="EMZ38" s="372"/>
      <c r="ENA38" s="372"/>
      <c r="ENB38" s="372"/>
      <c r="ENC38" s="372"/>
      <c r="END38" s="372"/>
      <c r="ENE38" s="372"/>
      <c r="ENF38" s="372"/>
      <c r="ENG38" s="372"/>
      <c r="ENH38" s="372"/>
      <c r="ENI38" s="372"/>
      <c r="ENJ38" s="372"/>
      <c r="ENK38" s="372"/>
      <c r="ENL38" s="372"/>
      <c r="ENM38" s="372"/>
      <c r="ENN38" s="372"/>
      <c r="ENO38" s="372"/>
      <c r="ENP38" s="372"/>
      <c r="ENQ38" s="372"/>
      <c r="ENR38" s="372"/>
      <c r="ENS38" s="372"/>
      <c r="ENT38" s="372"/>
      <c r="ENU38" s="372"/>
      <c r="ENV38" s="372"/>
      <c r="ENW38" s="372"/>
      <c r="ENX38" s="372"/>
      <c r="ENY38" s="372"/>
      <c r="ENZ38" s="372"/>
      <c r="EOA38" s="372"/>
      <c r="EOB38" s="372"/>
      <c r="EOC38" s="372"/>
      <c r="EOD38" s="372"/>
      <c r="EOE38" s="372"/>
      <c r="EOF38" s="372"/>
      <c r="EOG38" s="372"/>
      <c r="EOH38" s="372"/>
      <c r="EOI38" s="372"/>
      <c r="EOJ38" s="372"/>
      <c r="EOK38" s="372"/>
      <c r="EOL38" s="372"/>
      <c r="EOM38" s="372"/>
      <c r="EON38" s="372"/>
      <c r="EOO38" s="372"/>
      <c r="EOP38" s="372"/>
      <c r="EOQ38" s="372"/>
      <c r="EOR38" s="372"/>
      <c r="EOS38" s="372"/>
      <c r="EOT38" s="372"/>
      <c r="EOU38" s="372"/>
      <c r="EOV38" s="372"/>
      <c r="EOW38" s="372"/>
      <c r="EOX38" s="372"/>
      <c r="EOY38" s="372"/>
      <c r="EOZ38" s="372"/>
      <c r="EPA38" s="372"/>
      <c r="EPB38" s="372"/>
      <c r="EPC38" s="372"/>
      <c r="EPD38" s="372"/>
      <c r="EPE38" s="372"/>
      <c r="EPF38" s="372"/>
      <c r="EPG38" s="372"/>
      <c r="EPH38" s="372"/>
      <c r="EPI38" s="372"/>
      <c r="EPJ38" s="372"/>
      <c r="EPK38" s="372"/>
      <c r="EPL38" s="372"/>
      <c r="EPM38" s="372"/>
      <c r="EPN38" s="372"/>
      <c r="EPO38" s="372"/>
      <c r="EPP38" s="372"/>
      <c r="EPQ38" s="372"/>
      <c r="EPR38" s="372"/>
      <c r="EPS38" s="372"/>
      <c r="EPT38" s="372"/>
      <c r="EPU38" s="372"/>
      <c r="EPV38" s="372"/>
      <c r="EPW38" s="372"/>
      <c r="EPX38" s="372"/>
      <c r="EPY38" s="372"/>
      <c r="EPZ38" s="372"/>
      <c r="EQA38" s="372"/>
      <c r="EQB38" s="372"/>
      <c r="EQC38" s="372"/>
      <c r="EQD38" s="372"/>
      <c r="EQE38" s="372"/>
      <c r="EQF38" s="372"/>
      <c r="EQG38" s="372"/>
      <c r="EQH38" s="372"/>
      <c r="EQI38" s="372"/>
      <c r="EQJ38" s="372"/>
      <c r="EQK38" s="372"/>
      <c r="EQL38" s="372"/>
      <c r="EQM38" s="372"/>
      <c r="EQN38" s="372"/>
      <c r="EQO38" s="372"/>
      <c r="EQP38" s="372"/>
      <c r="EQQ38" s="372"/>
      <c r="EQR38" s="372"/>
      <c r="EQS38" s="372"/>
      <c r="EQT38" s="372"/>
      <c r="EQU38" s="372"/>
      <c r="EQV38" s="372"/>
      <c r="EQW38" s="372"/>
      <c r="EQX38" s="372"/>
      <c r="EQY38" s="372"/>
      <c r="EQZ38" s="372"/>
      <c r="ERA38" s="372"/>
      <c r="ERB38" s="372"/>
      <c r="ERC38" s="372"/>
      <c r="ERD38" s="372"/>
      <c r="ERE38" s="372"/>
      <c r="ERF38" s="372"/>
      <c r="ERG38" s="372"/>
      <c r="ERH38" s="372"/>
      <c r="ERI38" s="372"/>
      <c r="ERJ38" s="372"/>
      <c r="ERK38" s="372"/>
      <c r="ERL38" s="372"/>
      <c r="ERM38" s="372"/>
      <c r="ERN38" s="372"/>
      <c r="ERO38" s="372"/>
      <c r="ERP38" s="372"/>
      <c r="ERQ38" s="372"/>
      <c r="ERR38" s="372"/>
      <c r="ERS38" s="372"/>
      <c r="ERT38" s="372"/>
      <c r="ERU38" s="372"/>
      <c r="ERV38" s="372"/>
      <c r="ERW38" s="372"/>
      <c r="ERX38" s="372"/>
      <c r="ERY38" s="372"/>
      <c r="ERZ38" s="372"/>
      <c r="ESA38" s="372"/>
      <c r="ESB38" s="372"/>
      <c r="ESC38" s="372"/>
      <c r="ESD38" s="372"/>
      <c r="ESE38" s="372"/>
      <c r="ESF38" s="372"/>
      <c r="ESG38" s="372"/>
      <c r="ESH38" s="372"/>
      <c r="ESI38" s="372"/>
      <c r="ESJ38" s="372"/>
      <c r="ESK38" s="372"/>
      <c r="ESL38" s="372"/>
      <c r="ESM38" s="372"/>
      <c r="ESN38" s="372"/>
      <c r="ESO38" s="372"/>
      <c r="ESP38" s="372"/>
      <c r="ESQ38" s="372"/>
      <c r="ESR38" s="372"/>
      <c r="ESS38" s="372"/>
      <c r="EST38" s="372"/>
      <c r="ESU38" s="372"/>
      <c r="ESV38" s="372"/>
      <c r="ESW38" s="372"/>
      <c r="ESX38" s="372"/>
      <c r="ESY38" s="372"/>
      <c r="ESZ38" s="372"/>
      <c r="ETA38" s="372"/>
      <c r="ETB38" s="372"/>
      <c r="ETC38" s="372"/>
      <c r="ETD38" s="372"/>
      <c r="ETE38" s="372"/>
      <c r="ETF38" s="372"/>
      <c r="ETG38" s="372"/>
      <c r="ETH38" s="372"/>
      <c r="ETI38" s="372"/>
      <c r="ETJ38" s="372"/>
      <c r="ETK38" s="372"/>
      <c r="ETL38" s="372"/>
      <c r="ETM38" s="372"/>
      <c r="ETN38" s="372"/>
      <c r="ETO38" s="372"/>
      <c r="ETP38" s="372"/>
      <c r="ETQ38" s="372"/>
      <c r="ETR38" s="372"/>
      <c r="ETS38" s="372"/>
      <c r="ETT38" s="372"/>
      <c r="ETU38" s="372"/>
      <c r="ETV38" s="372"/>
      <c r="ETW38" s="372"/>
      <c r="ETX38" s="372"/>
      <c r="ETY38" s="372"/>
      <c r="ETZ38" s="372"/>
      <c r="EUA38" s="372"/>
      <c r="EUB38" s="372"/>
      <c r="EUC38" s="372"/>
      <c r="EUD38" s="372"/>
      <c r="EUE38" s="372"/>
      <c r="EUF38" s="372"/>
      <c r="EUG38" s="372"/>
      <c r="EUH38" s="372"/>
      <c r="EUI38" s="372"/>
      <c r="EUJ38" s="372"/>
      <c r="EUK38" s="372"/>
      <c r="EUL38" s="372"/>
      <c r="EUM38" s="372"/>
      <c r="EUN38" s="372"/>
      <c r="EUO38" s="372"/>
      <c r="EUP38" s="372"/>
      <c r="EUQ38" s="372"/>
      <c r="EUR38" s="372"/>
      <c r="EUS38" s="372"/>
      <c r="EUT38" s="372"/>
      <c r="EUU38" s="372"/>
      <c r="EUV38" s="372"/>
      <c r="EUW38" s="372"/>
      <c r="EUX38" s="372"/>
      <c r="EUY38" s="372"/>
      <c r="EUZ38" s="372"/>
      <c r="EVA38" s="372"/>
      <c r="EVB38" s="372"/>
      <c r="EVC38" s="372"/>
      <c r="EVD38" s="372"/>
      <c r="EVE38" s="372"/>
      <c r="EVF38" s="372"/>
      <c r="EVG38" s="372"/>
      <c r="EVH38" s="372"/>
      <c r="EVI38" s="372"/>
      <c r="EVJ38" s="372"/>
      <c r="EVK38" s="372"/>
      <c r="EVL38" s="372"/>
      <c r="EVM38" s="372"/>
      <c r="EVN38" s="372"/>
      <c r="EVO38" s="372"/>
      <c r="EVP38" s="372"/>
      <c r="EVQ38" s="372"/>
      <c r="EVR38" s="372"/>
      <c r="EVS38" s="372"/>
      <c r="EVT38" s="372"/>
      <c r="EVU38" s="372"/>
      <c r="EVV38" s="372"/>
      <c r="EVW38" s="372"/>
      <c r="EVX38" s="372"/>
      <c r="EVY38" s="372"/>
      <c r="EVZ38" s="372"/>
      <c r="EWA38" s="372"/>
      <c r="EWB38" s="372"/>
      <c r="EWC38" s="372"/>
      <c r="EWD38" s="372"/>
      <c r="EWE38" s="372"/>
      <c r="EWF38" s="372"/>
      <c r="EWG38" s="372"/>
      <c r="EWH38" s="372"/>
      <c r="EWI38" s="372"/>
      <c r="EWJ38" s="372"/>
      <c r="EWK38" s="372"/>
      <c r="EWL38" s="372"/>
      <c r="EWM38" s="372"/>
      <c r="EWN38" s="372"/>
      <c r="EWO38" s="372"/>
      <c r="EWP38" s="372"/>
      <c r="EWQ38" s="372"/>
      <c r="EWR38" s="372"/>
      <c r="EWS38" s="372"/>
      <c r="EWT38" s="372"/>
      <c r="EWU38" s="372"/>
      <c r="EWV38" s="372"/>
      <c r="EWW38" s="372"/>
      <c r="EWX38" s="372"/>
      <c r="EWY38" s="372"/>
      <c r="EWZ38" s="372"/>
      <c r="EXA38" s="372"/>
      <c r="EXB38" s="372"/>
      <c r="EXC38" s="372"/>
      <c r="EXD38" s="372"/>
      <c r="EXE38" s="372"/>
      <c r="EXF38" s="372"/>
      <c r="EXG38" s="372"/>
      <c r="EXH38" s="372"/>
      <c r="EXI38" s="372"/>
      <c r="EXJ38" s="372"/>
      <c r="EXK38" s="372"/>
      <c r="EXL38" s="372"/>
      <c r="EXM38" s="372"/>
      <c r="EXN38" s="372"/>
      <c r="EXO38" s="372"/>
      <c r="EXP38" s="372"/>
      <c r="EXQ38" s="372"/>
      <c r="EXR38" s="372"/>
      <c r="EXS38" s="372"/>
      <c r="EXT38" s="372"/>
      <c r="EXU38" s="372"/>
      <c r="EXV38" s="372"/>
      <c r="EXW38" s="372"/>
      <c r="EXX38" s="372"/>
      <c r="EXY38" s="372"/>
      <c r="EXZ38" s="372"/>
      <c r="EYA38" s="372"/>
      <c r="EYB38" s="372"/>
      <c r="EYC38" s="372"/>
      <c r="EYD38" s="372"/>
      <c r="EYE38" s="372"/>
      <c r="EYF38" s="372"/>
      <c r="EYG38" s="372"/>
      <c r="EYH38" s="372"/>
      <c r="EYI38" s="372"/>
      <c r="EYJ38" s="372"/>
      <c r="EYK38" s="372"/>
      <c r="EYL38" s="372"/>
      <c r="EYM38" s="372"/>
      <c r="EYN38" s="372"/>
      <c r="EYO38" s="372"/>
      <c r="EYP38" s="372"/>
      <c r="EYQ38" s="372"/>
      <c r="EYR38" s="372"/>
      <c r="EYS38" s="372"/>
      <c r="EYT38" s="372"/>
      <c r="EYU38" s="372"/>
      <c r="EYV38" s="372"/>
      <c r="EYW38" s="372"/>
      <c r="EYX38" s="372"/>
      <c r="EYY38" s="372"/>
      <c r="EYZ38" s="372"/>
      <c r="EZA38" s="372"/>
      <c r="EZB38" s="372"/>
      <c r="EZC38" s="372"/>
      <c r="EZD38" s="372"/>
      <c r="EZE38" s="372"/>
      <c r="EZF38" s="372"/>
      <c r="EZG38" s="372"/>
      <c r="EZH38" s="372"/>
      <c r="EZI38" s="372"/>
      <c r="EZJ38" s="372"/>
      <c r="EZK38" s="372"/>
      <c r="EZL38" s="372"/>
      <c r="EZM38" s="372"/>
      <c r="EZN38" s="372"/>
      <c r="EZO38" s="372"/>
      <c r="EZP38" s="372"/>
      <c r="EZQ38" s="372"/>
      <c r="EZR38" s="372"/>
      <c r="EZS38" s="372"/>
      <c r="EZT38" s="372"/>
      <c r="EZU38" s="372"/>
      <c r="EZV38" s="372"/>
      <c r="EZW38" s="372"/>
      <c r="EZX38" s="372"/>
      <c r="EZY38" s="372"/>
      <c r="EZZ38" s="372"/>
      <c r="FAA38" s="372"/>
      <c r="FAB38" s="372"/>
      <c r="FAC38" s="372"/>
      <c r="FAD38" s="372"/>
      <c r="FAE38" s="372"/>
      <c r="FAF38" s="372"/>
      <c r="FAG38" s="372"/>
      <c r="FAH38" s="372"/>
      <c r="FAI38" s="372"/>
      <c r="FAJ38" s="372"/>
      <c r="FAK38" s="372"/>
      <c r="FAL38" s="372"/>
      <c r="FAM38" s="372"/>
      <c r="FAN38" s="372"/>
      <c r="FAO38" s="372"/>
      <c r="FAP38" s="372"/>
      <c r="FAQ38" s="372"/>
      <c r="FAR38" s="372"/>
      <c r="FAS38" s="372"/>
      <c r="FAT38" s="372"/>
      <c r="FAU38" s="372"/>
      <c r="FAV38" s="372"/>
      <c r="FAW38" s="372"/>
      <c r="FAX38" s="372"/>
      <c r="FAY38" s="372"/>
      <c r="FAZ38" s="372"/>
      <c r="FBA38" s="372"/>
      <c r="FBB38" s="372"/>
      <c r="FBC38" s="372"/>
      <c r="FBD38" s="372"/>
      <c r="FBE38" s="372"/>
      <c r="FBF38" s="372"/>
      <c r="FBG38" s="372"/>
      <c r="FBH38" s="372"/>
      <c r="FBI38" s="372"/>
      <c r="FBJ38" s="372"/>
      <c r="FBK38" s="372"/>
      <c r="FBL38" s="372"/>
      <c r="FBM38" s="372"/>
      <c r="FBN38" s="372"/>
      <c r="FBO38" s="372"/>
      <c r="FBP38" s="372"/>
      <c r="FBQ38" s="372"/>
      <c r="FBR38" s="372"/>
      <c r="FBS38" s="372"/>
      <c r="FBT38" s="372"/>
      <c r="FBU38" s="372"/>
      <c r="FBV38" s="372"/>
      <c r="FBW38" s="372"/>
      <c r="FBX38" s="372"/>
      <c r="FBY38" s="372"/>
      <c r="FBZ38" s="372"/>
      <c r="FCA38" s="372"/>
      <c r="FCB38" s="372"/>
      <c r="FCC38" s="372"/>
      <c r="FCD38" s="372"/>
      <c r="FCE38" s="372"/>
      <c r="FCF38" s="372"/>
      <c r="FCG38" s="372"/>
      <c r="FCH38" s="372"/>
      <c r="FCI38" s="372"/>
      <c r="FCJ38" s="372"/>
      <c r="FCK38" s="372"/>
      <c r="FCL38" s="372"/>
      <c r="FCM38" s="372"/>
      <c r="FCN38" s="372"/>
      <c r="FCO38" s="372"/>
      <c r="FCP38" s="372"/>
      <c r="FCQ38" s="372"/>
      <c r="FCR38" s="372"/>
      <c r="FCS38" s="372"/>
      <c r="FCT38" s="372"/>
      <c r="FCU38" s="372"/>
      <c r="FCV38" s="372"/>
      <c r="FCW38" s="372"/>
      <c r="FCX38" s="372"/>
      <c r="FCY38" s="372"/>
      <c r="FCZ38" s="372"/>
      <c r="FDA38" s="372"/>
      <c r="FDB38" s="372"/>
      <c r="FDC38" s="372"/>
      <c r="FDD38" s="372"/>
      <c r="FDE38" s="372"/>
      <c r="FDF38" s="372"/>
      <c r="FDG38" s="372"/>
      <c r="FDH38" s="372"/>
      <c r="FDI38" s="372"/>
      <c r="FDJ38" s="372"/>
      <c r="FDK38" s="372"/>
      <c r="FDL38" s="372"/>
      <c r="FDM38" s="372"/>
      <c r="FDN38" s="372"/>
      <c r="FDO38" s="372"/>
      <c r="FDP38" s="372"/>
      <c r="FDQ38" s="372"/>
      <c r="FDR38" s="372"/>
      <c r="FDS38" s="372"/>
      <c r="FDT38" s="372"/>
      <c r="FDU38" s="372"/>
      <c r="FDV38" s="372"/>
      <c r="FDW38" s="372"/>
      <c r="FDX38" s="372"/>
      <c r="FDY38" s="372"/>
      <c r="FDZ38" s="372"/>
      <c r="FEA38" s="372"/>
      <c r="FEB38" s="372"/>
      <c r="FEC38" s="372"/>
      <c r="FED38" s="372"/>
      <c r="FEE38" s="372"/>
      <c r="FEF38" s="372"/>
      <c r="FEG38" s="372"/>
      <c r="FEH38" s="372"/>
      <c r="FEI38" s="372"/>
      <c r="FEJ38" s="372"/>
      <c r="FEK38" s="372"/>
      <c r="FEL38" s="372"/>
      <c r="FEM38" s="372"/>
      <c r="FEN38" s="372"/>
      <c r="FEO38" s="372"/>
      <c r="FEP38" s="372"/>
      <c r="FEQ38" s="372"/>
      <c r="FER38" s="372"/>
      <c r="FES38" s="372"/>
      <c r="FET38" s="372"/>
      <c r="FEU38" s="372"/>
      <c r="FEV38" s="372"/>
      <c r="FEW38" s="372"/>
      <c r="FEX38" s="372"/>
      <c r="FEY38" s="372"/>
      <c r="FEZ38" s="372"/>
      <c r="FFA38" s="372"/>
      <c r="FFB38" s="372"/>
      <c r="FFC38" s="372"/>
      <c r="FFD38" s="372"/>
      <c r="FFE38" s="372"/>
      <c r="FFF38" s="372"/>
      <c r="FFG38" s="372"/>
      <c r="FFH38" s="372"/>
      <c r="FFI38" s="372"/>
      <c r="FFJ38" s="372"/>
      <c r="FFK38" s="372"/>
      <c r="FFL38" s="372"/>
      <c r="FFM38" s="372"/>
      <c r="FFN38" s="372"/>
      <c r="FFO38" s="372"/>
      <c r="FFP38" s="372"/>
      <c r="FFQ38" s="372"/>
      <c r="FFR38" s="372"/>
      <c r="FFS38" s="372"/>
      <c r="FFT38" s="372"/>
      <c r="FFU38" s="372"/>
      <c r="FFV38" s="372"/>
      <c r="FFW38" s="372"/>
      <c r="FFX38" s="372"/>
      <c r="FFY38" s="372"/>
      <c r="FFZ38" s="372"/>
      <c r="FGA38" s="372"/>
      <c r="FGB38" s="372"/>
      <c r="FGC38" s="372"/>
      <c r="FGD38" s="372"/>
      <c r="FGE38" s="372"/>
      <c r="FGF38" s="372"/>
      <c r="FGG38" s="372"/>
      <c r="FGH38" s="372"/>
      <c r="FGI38" s="372"/>
      <c r="FGJ38" s="372"/>
      <c r="FGK38" s="372"/>
      <c r="FGL38" s="372"/>
      <c r="FGM38" s="372"/>
      <c r="FGN38" s="372"/>
      <c r="FGO38" s="372"/>
      <c r="FGP38" s="372"/>
      <c r="FGQ38" s="372"/>
      <c r="FGR38" s="372"/>
      <c r="FGS38" s="372"/>
      <c r="FGT38" s="372"/>
      <c r="FGU38" s="372"/>
      <c r="FGV38" s="372"/>
      <c r="FGW38" s="372"/>
      <c r="FGX38" s="372"/>
      <c r="FGY38" s="372"/>
      <c r="FGZ38" s="372"/>
      <c r="FHA38" s="372"/>
      <c r="FHB38" s="372"/>
      <c r="FHC38" s="372"/>
      <c r="FHD38" s="372"/>
      <c r="FHE38" s="372"/>
      <c r="FHF38" s="372"/>
      <c r="FHG38" s="372"/>
      <c r="FHH38" s="372"/>
      <c r="FHI38" s="372"/>
      <c r="FHJ38" s="372"/>
      <c r="FHK38" s="372"/>
      <c r="FHL38" s="372"/>
      <c r="FHM38" s="372"/>
      <c r="FHN38" s="372"/>
      <c r="FHO38" s="372"/>
      <c r="FHP38" s="372"/>
      <c r="FHQ38" s="372"/>
      <c r="FHR38" s="372"/>
      <c r="FHS38" s="372"/>
      <c r="FHT38" s="372"/>
      <c r="FHU38" s="372"/>
      <c r="FHV38" s="372"/>
      <c r="FHW38" s="372"/>
      <c r="FHX38" s="372"/>
      <c r="FHY38" s="372"/>
      <c r="FHZ38" s="372"/>
      <c r="FIA38" s="372"/>
      <c r="FIB38" s="372"/>
      <c r="FIC38" s="372"/>
      <c r="FID38" s="372"/>
      <c r="FIE38" s="372"/>
      <c r="FIF38" s="372"/>
      <c r="FIG38" s="372"/>
      <c r="FIH38" s="372"/>
      <c r="FII38" s="372"/>
      <c r="FIJ38" s="372"/>
      <c r="FIK38" s="372"/>
      <c r="FIL38" s="372"/>
      <c r="FIM38" s="372"/>
      <c r="FIN38" s="372"/>
      <c r="FIO38" s="372"/>
      <c r="FIP38" s="372"/>
      <c r="FIQ38" s="372"/>
      <c r="FIR38" s="372"/>
      <c r="FIS38" s="372"/>
      <c r="FIT38" s="372"/>
      <c r="FIU38" s="372"/>
      <c r="FIV38" s="372"/>
      <c r="FIW38" s="372"/>
      <c r="FIX38" s="372"/>
      <c r="FIY38" s="372"/>
      <c r="FIZ38" s="372"/>
      <c r="FJA38" s="372"/>
      <c r="FJB38" s="372"/>
      <c r="FJC38" s="372"/>
      <c r="FJD38" s="372"/>
      <c r="FJE38" s="372"/>
      <c r="FJF38" s="372"/>
      <c r="FJG38" s="372"/>
      <c r="FJH38" s="372"/>
      <c r="FJI38" s="372"/>
      <c r="FJJ38" s="372"/>
      <c r="FJK38" s="372"/>
      <c r="FJL38" s="372"/>
      <c r="FJM38" s="372"/>
      <c r="FJN38" s="372"/>
      <c r="FJO38" s="372"/>
      <c r="FJP38" s="372"/>
      <c r="FJQ38" s="372"/>
      <c r="FJR38" s="372"/>
      <c r="FJS38" s="372"/>
      <c r="FJT38" s="372"/>
      <c r="FJU38" s="372"/>
      <c r="FJV38" s="372"/>
      <c r="FJW38" s="372"/>
      <c r="FJX38" s="372"/>
      <c r="FJY38" s="372"/>
      <c r="FJZ38" s="372"/>
      <c r="FKA38" s="372"/>
      <c r="FKB38" s="372"/>
      <c r="FKC38" s="372"/>
      <c r="FKD38" s="372"/>
      <c r="FKE38" s="372"/>
      <c r="FKF38" s="372"/>
      <c r="FKG38" s="372"/>
      <c r="FKH38" s="372"/>
      <c r="FKI38" s="372"/>
      <c r="FKJ38" s="372"/>
      <c r="FKK38" s="372"/>
      <c r="FKL38" s="372"/>
      <c r="FKM38" s="372"/>
      <c r="FKN38" s="372"/>
      <c r="FKO38" s="372"/>
      <c r="FKP38" s="372"/>
      <c r="FKQ38" s="372"/>
      <c r="FKR38" s="372"/>
      <c r="FKS38" s="372"/>
      <c r="FKT38" s="372"/>
      <c r="FKU38" s="372"/>
      <c r="FKV38" s="372"/>
      <c r="FKW38" s="372"/>
      <c r="FKX38" s="372"/>
      <c r="FKY38" s="372"/>
      <c r="FKZ38" s="372"/>
      <c r="FLA38" s="372"/>
      <c r="FLB38" s="372"/>
      <c r="FLC38" s="372"/>
      <c r="FLD38" s="372"/>
      <c r="FLE38" s="372"/>
      <c r="FLF38" s="372"/>
      <c r="FLG38" s="372"/>
      <c r="FLH38" s="372"/>
      <c r="FLI38" s="372"/>
      <c r="FLJ38" s="372"/>
      <c r="FLK38" s="372"/>
      <c r="FLL38" s="372"/>
      <c r="FLM38" s="372"/>
      <c r="FLN38" s="372"/>
      <c r="FLO38" s="372"/>
      <c r="FLP38" s="372"/>
      <c r="FLQ38" s="372"/>
      <c r="FLR38" s="372"/>
      <c r="FLS38" s="372"/>
      <c r="FLT38" s="372"/>
      <c r="FLU38" s="372"/>
      <c r="FLV38" s="372"/>
      <c r="FLW38" s="372"/>
      <c r="FLX38" s="372"/>
      <c r="FLY38" s="372"/>
      <c r="FLZ38" s="372"/>
      <c r="FMA38" s="372"/>
      <c r="FMB38" s="372"/>
      <c r="FMC38" s="372"/>
      <c r="FMD38" s="372"/>
      <c r="FME38" s="372"/>
      <c r="FMF38" s="372"/>
      <c r="FMG38" s="372"/>
      <c r="FMH38" s="372"/>
      <c r="FMI38" s="372"/>
      <c r="FMJ38" s="372"/>
      <c r="FMK38" s="372"/>
      <c r="FML38" s="372"/>
      <c r="FMM38" s="372"/>
      <c r="FMN38" s="372"/>
      <c r="FMO38" s="372"/>
      <c r="FMP38" s="372"/>
      <c r="FMQ38" s="372"/>
      <c r="FMR38" s="372"/>
      <c r="FMS38" s="372"/>
      <c r="FMT38" s="372"/>
      <c r="FMU38" s="372"/>
      <c r="FMV38" s="372"/>
      <c r="FMW38" s="372"/>
      <c r="FMX38" s="372"/>
      <c r="FMY38" s="372"/>
      <c r="FMZ38" s="372"/>
      <c r="FNA38" s="372"/>
      <c r="FNB38" s="372"/>
      <c r="FNC38" s="372"/>
      <c r="FND38" s="372"/>
      <c r="FNE38" s="372"/>
      <c r="FNF38" s="372"/>
      <c r="FNG38" s="372"/>
      <c r="FNH38" s="372"/>
      <c r="FNI38" s="372"/>
      <c r="FNJ38" s="372"/>
      <c r="FNK38" s="372"/>
      <c r="FNL38" s="372"/>
      <c r="FNM38" s="372"/>
      <c r="FNN38" s="372"/>
      <c r="FNO38" s="372"/>
      <c r="FNP38" s="372"/>
      <c r="FNQ38" s="372"/>
      <c r="FNR38" s="372"/>
      <c r="FNS38" s="372"/>
      <c r="FNT38" s="372"/>
      <c r="FNU38" s="372"/>
      <c r="FNV38" s="372"/>
      <c r="FNW38" s="372"/>
      <c r="FNX38" s="372"/>
      <c r="FNY38" s="372"/>
      <c r="FNZ38" s="372"/>
      <c r="FOA38" s="372"/>
      <c r="FOB38" s="372"/>
      <c r="FOC38" s="372"/>
      <c r="FOD38" s="372"/>
      <c r="FOE38" s="372"/>
      <c r="FOF38" s="372"/>
      <c r="FOG38" s="372"/>
      <c r="FOH38" s="372"/>
      <c r="FOI38" s="372"/>
      <c r="FOJ38" s="372"/>
      <c r="FOK38" s="372"/>
      <c r="FOL38" s="372"/>
      <c r="FOM38" s="372"/>
      <c r="FON38" s="372"/>
      <c r="FOO38" s="372"/>
      <c r="FOP38" s="372"/>
      <c r="FOQ38" s="372"/>
      <c r="FOR38" s="372"/>
      <c r="FOS38" s="372"/>
      <c r="FOT38" s="372"/>
      <c r="FOU38" s="372"/>
      <c r="FOV38" s="372"/>
      <c r="FOW38" s="372"/>
      <c r="FOX38" s="372"/>
      <c r="FOY38" s="372"/>
      <c r="FOZ38" s="372"/>
      <c r="FPA38" s="372"/>
      <c r="FPB38" s="372"/>
      <c r="FPC38" s="372"/>
      <c r="FPD38" s="372"/>
      <c r="FPE38" s="372"/>
      <c r="FPF38" s="372"/>
      <c r="FPG38" s="372"/>
      <c r="FPH38" s="372"/>
      <c r="FPI38" s="372"/>
      <c r="FPJ38" s="372"/>
      <c r="FPK38" s="372"/>
      <c r="FPL38" s="372"/>
      <c r="FPM38" s="372"/>
      <c r="FPN38" s="372"/>
      <c r="FPO38" s="372"/>
      <c r="FPP38" s="372"/>
      <c r="FPQ38" s="372"/>
      <c r="FPR38" s="372"/>
      <c r="FPS38" s="372"/>
      <c r="FPT38" s="372"/>
      <c r="FPU38" s="372"/>
      <c r="FPV38" s="372"/>
      <c r="FPW38" s="372"/>
      <c r="FPX38" s="372"/>
      <c r="FPY38" s="372"/>
      <c r="FPZ38" s="372"/>
      <c r="FQA38" s="372"/>
      <c r="FQB38" s="372"/>
      <c r="FQC38" s="372"/>
      <c r="FQD38" s="372"/>
      <c r="FQE38" s="372"/>
      <c r="FQF38" s="372"/>
      <c r="FQG38" s="372"/>
      <c r="FQH38" s="372"/>
      <c r="FQI38" s="372"/>
      <c r="FQJ38" s="372"/>
      <c r="FQK38" s="372"/>
      <c r="FQL38" s="372"/>
      <c r="FQM38" s="372"/>
      <c r="FQN38" s="372"/>
      <c r="FQO38" s="372"/>
      <c r="FQP38" s="372"/>
      <c r="FQQ38" s="372"/>
      <c r="FQR38" s="372"/>
      <c r="FQS38" s="372"/>
      <c r="FQT38" s="372"/>
      <c r="FQU38" s="372"/>
      <c r="FQV38" s="372"/>
      <c r="FQW38" s="372"/>
      <c r="FQX38" s="372"/>
      <c r="FQY38" s="372"/>
      <c r="FQZ38" s="372"/>
      <c r="FRA38" s="372"/>
      <c r="FRB38" s="372"/>
      <c r="FRC38" s="372"/>
      <c r="FRD38" s="372"/>
      <c r="FRE38" s="372"/>
      <c r="FRF38" s="372"/>
      <c r="FRG38" s="372"/>
      <c r="FRH38" s="372"/>
      <c r="FRI38" s="372"/>
      <c r="FRJ38" s="372"/>
      <c r="FRK38" s="372"/>
      <c r="FRL38" s="372"/>
      <c r="FRM38" s="372"/>
      <c r="FRN38" s="372"/>
      <c r="FRO38" s="372"/>
      <c r="FRP38" s="372"/>
      <c r="FRQ38" s="372"/>
      <c r="FRR38" s="372"/>
      <c r="FRS38" s="372"/>
      <c r="FRT38" s="372"/>
      <c r="FRU38" s="372"/>
      <c r="FRV38" s="372"/>
      <c r="FRW38" s="372"/>
      <c r="FRX38" s="372"/>
      <c r="FRY38" s="372"/>
      <c r="FRZ38" s="372"/>
      <c r="FSA38" s="372"/>
      <c r="FSB38" s="372"/>
      <c r="FSC38" s="372"/>
      <c r="FSD38" s="372"/>
      <c r="FSE38" s="372"/>
      <c r="FSF38" s="372"/>
      <c r="FSG38" s="372"/>
      <c r="FSH38" s="372"/>
      <c r="FSI38" s="372"/>
      <c r="FSJ38" s="372"/>
      <c r="FSK38" s="372"/>
      <c r="FSL38" s="372"/>
      <c r="FSM38" s="372"/>
      <c r="FSN38" s="372"/>
      <c r="FSO38" s="372"/>
      <c r="FSP38" s="372"/>
      <c r="FSQ38" s="372"/>
      <c r="FSR38" s="372"/>
      <c r="FSS38" s="372"/>
      <c r="FST38" s="372"/>
      <c r="FSU38" s="372"/>
      <c r="FSV38" s="372"/>
      <c r="FSW38" s="372"/>
      <c r="FSX38" s="372"/>
      <c r="FSY38" s="372"/>
      <c r="FSZ38" s="372"/>
      <c r="FTA38" s="372"/>
      <c r="FTB38" s="372"/>
      <c r="FTC38" s="372"/>
      <c r="FTD38" s="372"/>
      <c r="FTE38" s="372"/>
      <c r="FTF38" s="372"/>
      <c r="FTG38" s="372"/>
      <c r="FTH38" s="372"/>
      <c r="FTI38" s="372"/>
      <c r="FTJ38" s="372"/>
      <c r="FTK38" s="372"/>
      <c r="FTL38" s="372"/>
      <c r="FTM38" s="372"/>
      <c r="FTN38" s="372"/>
      <c r="FTO38" s="372"/>
      <c r="FTP38" s="372"/>
      <c r="FTQ38" s="372"/>
      <c r="FTR38" s="372"/>
      <c r="FTS38" s="372"/>
      <c r="FTT38" s="372"/>
      <c r="FTU38" s="372"/>
      <c r="FTV38" s="372"/>
      <c r="FTW38" s="372"/>
      <c r="FTX38" s="372"/>
      <c r="FTY38" s="372"/>
      <c r="FTZ38" s="372"/>
      <c r="FUA38" s="372"/>
      <c r="FUB38" s="372"/>
      <c r="FUC38" s="372"/>
      <c r="FUD38" s="372"/>
      <c r="FUE38" s="372"/>
      <c r="FUF38" s="372"/>
      <c r="FUG38" s="372"/>
      <c r="FUH38" s="372"/>
      <c r="FUI38" s="372"/>
      <c r="FUJ38" s="372"/>
      <c r="FUK38" s="372"/>
      <c r="FUL38" s="372"/>
      <c r="FUM38" s="372"/>
      <c r="FUN38" s="372"/>
      <c r="FUO38" s="372"/>
      <c r="FUP38" s="372"/>
      <c r="FUQ38" s="372"/>
      <c r="FUR38" s="372"/>
      <c r="FUS38" s="372"/>
      <c r="FUT38" s="372"/>
      <c r="FUU38" s="372"/>
      <c r="FUV38" s="372"/>
      <c r="FUW38" s="372"/>
      <c r="FUX38" s="372"/>
      <c r="FUY38" s="372"/>
      <c r="FUZ38" s="372"/>
      <c r="FVA38" s="372"/>
      <c r="FVB38" s="372"/>
      <c r="FVC38" s="372"/>
      <c r="FVD38" s="372"/>
      <c r="FVE38" s="372"/>
      <c r="FVF38" s="372"/>
      <c r="FVG38" s="372"/>
      <c r="FVH38" s="372"/>
      <c r="FVI38" s="372"/>
      <c r="FVJ38" s="372"/>
      <c r="FVK38" s="372"/>
      <c r="FVL38" s="372"/>
      <c r="FVM38" s="372"/>
      <c r="FVN38" s="372"/>
      <c r="FVO38" s="372"/>
      <c r="FVP38" s="372"/>
      <c r="FVQ38" s="372"/>
      <c r="FVR38" s="372"/>
      <c r="FVS38" s="372"/>
      <c r="FVT38" s="372"/>
      <c r="FVU38" s="372"/>
      <c r="FVV38" s="372"/>
      <c r="FVW38" s="372"/>
      <c r="FVX38" s="372"/>
      <c r="FVY38" s="372"/>
      <c r="FVZ38" s="372"/>
      <c r="FWA38" s="372"/>
      <c r="FWB38" s="372"/>
      <c r="FWC38" s="372"/>
      <c r="FWD38" s="372"/>
      <c r="FWE38" s="372"/>
      <c r="FWF38" s="372"/>
      <c r="FWG38" s="372"/>
      <c r="FWH38" s="372"/>
      <c r="FWI38" s="372"/>
      <c r="FWJ38" s="372"/>
      <c r="FWK38" s="372"/>
      <c r="FWL38" s="372"/>
      <c r="FWM38" s="372"/>
      <c r="FWN38" s="372"/>
      <c r="FWO38" s="372"/>
      <c r="FWP38" s="372"/>
      <c r="FWQ38" s="372"/>
      <c r="FWR38" s="372"/>
      <c r="FWS38" s="372"/>
      <c r="FWT38" s="372"/>
      <c r="FWU38" s="372"/>
      <c r="FWV38" s="372"/>
      <c r="FWW38" s="372"/>
      <c r="FWX38" s="372"/>
      <c r="FWY38" s="372"/>
      <c r="FWZ38" s="372"/>
      <c r="FXA38" s="372"/>
      <c r="FXB38" s="372"/>
      <c r="FXC38" s="372"/>
      <c r="FXD38" s="372"/>
      <c r="FXE38" s="372"/>
      <c r="FXF38" s="372"/>
      <c r="FXG38" s="372"/>
      <c r="FXH38" s="372"/>
      <c r="FXI38" s="372"/>
      <c r="FXJ38" s="372"/>
      <c r="FXK38" s="372"/>
      <c r="FXL38" s="372"/>
      <c r="FXM38" s="372"/>
      <c r="FXN38" s="372"/>
      <c r="FXO38" s="372"/>
      <c r="FXP38" s="372"/>
      <c r="FXQ38" s="372"/>
      <c r="FXR38" s="372"/>
      <c r="FXS38" s="372"/>
      <c r="FXT38" s="372"/>
      <c r="FXU38" s="372"/>
      <c r="FXV38" s="372"/>
      <c r="FXW38" s="372"/>
      <c r="FXX38" s="372"/>
      <c r="FXY38" s="372"/>
      <c r="FXZ38" s="372"/>
      <c r="FYA38" s="372"/>
      <c r="FYB38" s="372"/>
      <c r="FYC38" s="372"/>
      <c r="FYD38" s="372"/>
      <c r="FYE38" s="372"/>
      <c r="FYF38" s="372"/>
      <c r="FYG38" s="372"/>
      <c r="FYH38" s="372"/>
      <c r="FYI38" s="372"/>
      <c r="FYJ38" s="372"/>
      <c r="FYK38" s="372"/>
      <c r="FYL38" s="372"/>
      <c r="FYM38" s="372"/>
      <c r="FYN38" s="372"/>
      <c r="FYO38" s="372"/>
      <c r="FYP38" s="372"/>
      <c r="FYQ38" s="372"/>
      <c r="FYR38" s="372"/>
      <c r="FYS38" s="372"/>
      <c r="FYT38" s="372"/>
      <c r="FYU38" s="372"/>
      <c r="FYV38" s="372"/>
      <c r="FYW38" s="372"/>
      <c r="FYX38" s="372"/>
      <c r="FYY38" s="372"/>
      <c r="FYZ38" s="372"/>
      <c r="FZA38" s="372"/>
      <c r="FZB38" s="372"/>
      <c r="FZC38" s="372"/>
      <c r="FZD38" s="372"/>
      <c r="FZE38" s="372"/>
      <c r="FZF38" s="372"/>
      <c r="FZG38" s="372"/>
      <c r="FZH38" s="372"/>
      <c r="FZI38" s="372"/>
      <c r="FZJ38" s="372"/>
      <c r="FZK38" s="372"/>
      <c r="FZL38" s="372"/>
      <c r="FZM38" s="372"/>
      <c r="FZN38" s="372"/>
      <c r="FZO38" s="372"/>
      <c r="FZP38" s="372"/>
      <c r="FZQ38" s="372"/>
      <c r="FZR38" s="372"/>
      <c r="FZS38" s="372"/>
      <c r="FZT38" s="372"/>
      <c r="FZU38" s="372"/>
      <c r="FZV38" s="372"/>
      <c r="FZW38" s="372"/>
      <c r="FZX38" s="372"/>
      <c r="FZY38" s="372"/>
      <c r="FZZ38" s="372"/>
      <c r="GAA38" s="372"/>
      <c r="GAB38" s="372"/>
      <c r="GAC38" s="372"/>
      <c r="GAD38" s="372"/>
      <c r="GAE38" s="372"/>
      <c r="GAF38" s="372"/>
      <c r="GAG38" s="372"/>
      <c r="GAH38" s="372"/>
      <c r="GAI38" s="372"/>
      <c r="GAJ38" s="372"/>
      <c r="GAK38" s="372"/>
      <c r="GAL38" s="372"/>
      <c r="GAM38" s="372"/>
      <c r="GAN38" s="372"/>
      <c r="GAO38" s="372"/>
      <c r="GAP38" s="372"/>
      <c r="GAQ38" s="372"/>
      <c r="GAR38" s="372"/>
      <c r="GAS38" s="372"/>
      <c r="GAT38" s="372"/>
      <c r="GAU38" s="372"/>
      <c r="GAV38" s="372"/>
      <c r="GAW38" s="372"/>
      <c r="GAX38" s="372"/>
      <c r="GAY38" s="372"/>
      <c r="GAZ38" s="372"/>
      <c r="GBA38" s="372"/>
      <c r="GBB38" s="372"/>
      <c r="GBC38" s="372"/>
      <c r="GBD38" s="372"/>
      <c r="GBE38" s="372"/>
      <c r="GBF38" s="372"/>
      <c r="GBG38" s="372"/>
      <c r="GBH38" s="372"/>
      <c r="GBI38" s="372"/>
      <c r="GBJ38" s="372"/>
      <c r="GBK38" s="372"/>
      <c r="GBL38" s="372"/>
      <c r="GBM38" s="372"/>
      <c r="GBN38" s="372"/>
      <c r="GBO38" s="372"/>
      <c r="GBP38" s="372"/>
      <c r="GBQ38" s="372"/>
      <c r="GBR38" s="372"/>
      <c r="GBS38" s="372"/>
      <c r="GBT38" s="372"/>
      <c r="GBU38" s="372"/>
      <c r="GBV38" s="372"/>
      <c r="GBW38" s="372"/>
      <c r="GBX38" s="372"/>
      <c r="GBY38" s="372"/>
      <c r="GBZ38" s="372"/>
      <c r="GCA38" s="372"/>
      <c r="GCB38" s="372"/>
      <c r="GCC38" s="372"/>
      <c r="GCD38" s="372"/>
      <c r="GCE38" s="372"/>
      <c r="GCF38" s="372"/>
      <c r="GCG38" s="372"/>
      <c r="GCH38" s="372"/>
      <c r="GCI38" s="372"/>
      <c r="GCJ38" s="372"/>
      <c r="GCK38" s="372"/>
      <c r="GCL38" s="372"/>
      <c r="GCM38" s="372"/>
      <c r="GCN38" s="372"/>
      <c r="GCO38" s="372"/>
      <c r="GCP38" s="372"/>
      <c r="GCQ38" s="372"/>
      <c r="GCR38" s="372"/>
      <c r="GCS38" s="372"/>
      <c r="GCT38" s="372"/>
      <c r="GCU38" s="372"/>
      <c r="GCV38" s="372"/>
      <c r="GCW38" s="372"/>
      <c r="GCX38" s="372"/>
      <c r="GCY38" s="372"/>
      <c r="GCZ38" s="372"/>
      <c r="GDA38" s="372"/>
      <c r="GDB38" s="372"/>
      <c r="GDC38" s="372"/>
      <c r="GDD38" s="372"/>
      <c r="GDE38" s="372"/>
      <c r="GDF38" s="372"/>
      <c r="GDG38" s="372"/>
      <c r="GDH38" s="372"/>
      <c r="GDI38" s="372"/>
      <c r="GDJ38" s="372"/>
      <c r="GDK38" s="372"/>
      <c r="GDL38" s="372"/>
      <c r="GDM38" s="372"/>
      <c r="GDN38" s="372"/>
      <c r="GDO38" s="372"/>
      <c r="GDP38" s="372"/>
      <c r="GDQ38" s="372"/>
      <c r="GDR38" s="372"/>
      <c r="GDS38" s="372"/>
      <c r="GDT38" s="372"/>
      <c r="GDU38" s="372"/>
      <c r="GDV38" s="372"/>
      <c r="GDW38" s="372"/>
      <c r="GDX38" s="372"/>
      <c r="GDY38" s="372"/>
      <c r="GDZ38" s="372"/>
      <c r="GEA38" s="372"/>
      <c r="GEB38" s="372"/>
      <c r="GEC38" s="372"/>
      <c r="GED38" s="372"/>
      <c r="GEE38" s="372"/>
      <c r="GEF38" s="372"/>
      <c r="GEG38" s="372"/>
      <c r="GEH38" s="372"/>
      <c r="GEI38" s="372"/>
      <c r="GEJ38" s="372"/>
      <c r="GEK38" s="372"/>
      <c r="GEL38" s="372"/>
      <c r="GEM38" s="372"/>
      <c r="GEN38" s="372"/>
      <c r="GEO38" s="372"/>
      <c r="GEP38" s="372"/>
      <c r="GEQ38" s="372"/>
      <c r="GER38" s="372"/>
      <c r="GES38" s="372"/>
      <c r="GET38" s="372"/>
      <c r="GEU38" s="372"/>
      <c r="GEV38" s="372"/>
      <c r="GEW38" s="372"/>
      <c r="GEX38" s="372"/>
      <c r="GEY38" s="372"/>
      <c r="GEZ38" s="372"/>
      <c r="GFA38" s="372"/>
      <c r="GFB38" s="372"/>
      <c r="GFC38" s="372"/>
      <c r="GFD38" s="372"/>
      <c r="GFE38" s="372"/>
      <c r="GFF38" s="372"/>
      <c r="GFG38" s="372"/>
      <c r="GFH38" s="372"/>
      <c r="GFI38" s="372"/>
      <c r="GFJ38" s="372"/>
      <c r="GFK38" s="372"/>
      <c r="GFL38" s="372"/>
      <c r="GFM38" s="372"/>
      <c r="GFN38" s="372"/>
      <c r="GFO38" s="372"/>
      <c r="GFP38" s="372"/>
      <c r="GFQ38" s="372"/>
      <c r="GFR38" s="372"/>
      <c r="GFS38" s="372"/>
      <c r="GFT38" s="372"/>
      <c r="GFU38" s="372"/>
      <c r="GFV38" s="372"/>
      <c r="GFW38" s="372"/>
      <c r="GFX38" s="372"/>
      <c r="GFY38" s="372"/>
      <c r="GFZ38" s="372"/>
      <c r="GGA38" s="372"/>
      <c r="GGB38" s="372"/>
      <c r="GGC38" s="372"/>
      <c r="GGD38" s="372"/>
      <c r="GGE38" s="372"/>
      <c r="GGF38" s="372"/>
      <c r="GGG38" s="372"/>
      <c r="GGH38" s="372"/>
      <c r="GGI38" s="372"/>
      <c r="GGJ38" s="372"/>
      <c r="GGK38" s="372"/>
      <c r="GGL38" s="372"/>
      <c r="GGM38" s="372"/>
      <c r="GGN38" s="372"/>
      <c r="GGO38" s="372"/>
      <c r="GGP38" s="372"/>
      <c r="GGQ38" s="372"/>
      <c r="GGR38" s="372"/>
      <c r="GGS38" s="372"/>
      <c r="GGT38" s="372"/>
      <c r="GGU38" s="372"/>
      <c r="GGV38" s="372"/>
      <c r="GGW38" s="372"/>
      <c r="GGX38" s="372"/>
      <c r="GGY38" s="372"/>
      <c r="GGZ38" s="372"/>
      <c r="GHA38" s="372"/>
      <c r="GHB38" s="372"/>
      <c r="GHC38" s="372"/>
      <c r="GHD38" s="372"/>
      <c r="GHE38" s="372"/>
      <c r="GHF38" s="372"/>
      <c r="GHG38" s="372"/>
      <c r="GHH38" s="372"/>
      <c r="GHI38" s="372"/>
      <c r="GHJ38" s="372"/>
      <c r="GHK38" s="372"/>
      <c r="GHL38" s="372"/>
      <c r="GHM38" s="372"/>
      <c r="GHN38" s="372"/>
      <c r="GHO38" s="372"/>
      <c r="GHP38" s="372"/>
      <c r="GHQ38" s="372"/>
      <c r="GHR38" s="372"/>
      <c r="GHS38" s="372"/>
      <c r="GHT38" s="372"/>
      <c r="GHU38" s="372"/>
      <c r="GHV38" s="372"/>
      <c r="GHW38" s="372"/>
      <c r="GHX38" s="372"/>
      <c r="GHY38" s="372"/>
      <c r="GHZ38" s="372"/>
      <c r="GIA38" s="372"/>
      <c r="GIB38" s="372"/>
      <c r="GIC38" s="372"/>
      <c r="GID38" s="372"/>
      <c r="GIE38" s="372"/>
      <c r="GIF38" s="372"/>
      <c r="GIG38" s="372"/>
      <c r="GIH38" s="372"/>
      <c r="GII38" s="372"/>
      <c r="GIJ38" s="372"/>
      <c r="GIK38" s="372"/>
      <c r="GIL38" s="372"/>
      <c r="GIM38" s="372"/>
      <c r="GIN38" s="372"/>
      <c r="GIO38" s="372"/>
      <c r="GIP38" s="372"/>
      <c r="GIQ38" s="372"/>
      <c r="GIR38" s="372"/>
      <c r="GIS38" s="372"/>
      <c r="GIT38" s="372"/>
      <c r="GIU38" s="372"/>
      <c r="GIV38" s="372"/>
      <c r="GIW38" s="372"/>
      <c r="GIX38" s="372"/>
      <c r="GIY38" s="372"/>
      <c r="GIZ38" s="372"/>
      <c r="GJA38" s="372"/>
      <c r="GJB38" s="372"/>
      <c r="GJC38" s="372"/>
      <c r="GJD38" s="372"/>
      <c r="GJE38" s="372"/>
      <c r="GJF38" s="372"/>
      <c r="GJG38" s="372"/>
      <c r="GJH38" s="372"/>
      <c r="GJI38" s="372"/>
      <c r="GJJ38" s="372"/>
      <c r="GJK38" s="372"/>
      <c r="GJL38" s="372"/>
      <c r="GJM38" s="372"/>
      <c r="GJN38" s="372"/>
      <c r="GJO38" s="372"/>
      <c r="GJP38" s="372"/>
      <c r="GJQ38" s="372"/>
      <c r="GJR38" s="372"/>
      <c r="GJS38" s="372"/>
      <c r="GJT38" s="372"/>
      <c r="GJU38" s="372"/>
      <c r="GJV38" s="372"/>
      <c r="GJW38" s="372"/>
      <c r="GJX38" s="372"/>
      <c r="GJY38" s="372"/>
      <c r="GJZ38" s="372"/>
      <c r="GKA38" s="372"/>
      <c r="GKB38" s="372"/>
      <c r="GKC38" s="372"/>
      <c r="GKD38" s="372"/>
      <c r="GKE38" s="372"/>
      <c r="GKF38" s="372"/>
      <c r="GKG38" s="372"/>
      <c r="GKH38" s="372"/>
      <c r="GKI38" s="372"/>
      <c r="GKJ38" s="372"/>
      <c r="GKK38" s="372"/>
      <c r="GKL38" s="372"/>
      <c r="GKM38" s="372"/>
      <c r="GKN38" s="372"/>
      <c r="GKO38" s="372"/>
      <c r="GKP38" s="372"/>
      <c r="GKQ38" s="372"/>
      <c r="GKR38" s="372"/>
      <c r="GKS38" s="372"/>
      <c r="GKT38" s="372"/>
      <c r="GKU38" s="372"/>
      <c r="GKV38" s="372"/>
      <c r="GKW38" s="372"/>
      <c r="GKX38" s="372"/>
      <c r="GKY38" s="372"/>
      <c r="GKZ38" s="372"/>
      <c r="GLA38" s="372"/>
      <c r="GLB38" s="372"/>
      <c r="GLC38" s="372"/>
      <c r="GLD38" s="372"/>
      <c r="GLE38" s="372"/>
      <c r="GLF38" s="372"/>
      <c r="GLG38" s="372"/>
      <c r="GLH38" s="372"/>
      <c r="GLI38" s="372"/>
      <c r="GLJ38" s="372"/>
      <c r="GLK38" s="372"/>
      <c r="GLL38" s="372"/>
      <c r="GLM38" s="372"/>
      <c r="GLN38" s="372"/>
      <c r="GLO38" s="372"/>
      <c r="GLP38" s="372"/>
      <c r="GLQ38" s="372"/>
      <c r="GLR38" s="372"/>
      <c r="GLS38" s="372"/>
      <c r="GLT38" s="372"/>
      <c r="GLU38" s="372"/>
      <c r="GLV38" s="372"/>
      <c r="GLW38" s="372"/>
      <c r="GLX38" s="372"/>
      <c r="GLY38" s="372"/>
      <c r="GLZ38" s="372"/>
      <c r="GMA38" s="372"/>
      <c r="GMB38" s="372"/>
      <c r="GMC38" s="372"/>
      <c r="GMD38" s="372"/>
      <c r="GME38" s="372"/>
      <c r="GMF38" s="372"/>
      <c r="GMG38" s="372"/>
      <c r="GMH38" s="372"/>
      <c r="GMI38" s="372"/>
      <c r="GMJ38" s="372"/>
      <c r="GMK38" s="372"/>
      <c r="GML38" s="372"/>
      <c r="GMM38" s="372"/>
      <c r="GMN38" s="372"/>
      <c r="GMO38" s="372"/>
      <c r="GMP38" s="372"/>
      <c r="GMQ38" s="372"/>
      <c r="GMR38" s="372"/>
      <c r="GMS38" s="372"/>
      <c r="GMT38" s="372"/>
      <c r="GMU38" s="372"/>
      <c r="GMV38" s="372"/>
      <c r="GMW38" s="372"/>
      <c r="GMX38" s="372"/>
      <c r="GMY38" s="372"/>
      <c r="GMZ38" s="372"/>
      <c r="GNA38" s="372"/>
      <c r="GNB38" s="372"/>
      <c r="GNC38" s="372"/>
      <c r="GND38" s="372"/>
      <c r="GNE38" s="372"/>
      <c r="GNF38" s="372"/>
      <c r="GNG38" s="372"/>
      <c r="GNH38" s="372"/>
      <c r="GNI38" s="372"/>
      <c r="GNJ38" s="372"/>
      <c r="GNK38" s="372"/>
      <c r="GNL38" s="372"/>
      <c r="GNM38" s="372"/>
      <c r="GNN38" s="372"/>
      <c r="GNO38" s="372"/>
      <c r="GNP38" s="372"/>
      <c r="GNQ38" s="372"/>
      <c r="GNR38" s="372"/>
      <c r="GNS38" s="372"/>
      <c r="GNT38" s="372"/>
      <c r="GNU38" s="372"/>
      <c r="GNV38" s="372"/>
      <c r="GNW38" s="372"/>
      <c r="GNX38" s="372"/>
      <c r="GNY38" s="372"/>
      <c r="GNZ38" s="372"/>
      <c r="GOA38" s="372"/>
      <c r="GOB38" s="372"/>
      <c r="GOC38" s="372"/>
      <c r="GOD38" s="372"/>
      <c r="GOE38" s="372"/>
      <c r="GOF38" s="372"/>
      <c r="GOG38" s="372"/>
      <c r="GOH38" s="372"/>
      <c r="GOI38" s="372"/>
      <c r="GOJ38" s="372"/>
      <c r="GOK38" s="372"/>
      <c r="GOL38" s="372"/>
      <c r="GOM38" s="372"/>
      <c r="GON38" s="372"/>
      <c r="GOO38" s="372"/>
      <c r="GOP38" s="372"/>
      <c r="GOQ38" s="372"/>
      <c r="GOR38" s="372"/>
      <c r="GOS38" s="372"/>
      <c r="GOT38" s="372"/>
      <c r="GOU38" s="372"/>
      <c r="GOV38" s="372"/>
      <c r="GOW38" s="372"/>
      <c r="GOX38" s="372"/>
      <c r="GOY38" s="372"/>
      <c r="GOZ38" s="372"/>
      <c r="GPA38" s="372"/>
      <c r="GPB38" s="372"/>
      <c r="GPC38" s="372"/>
      <c r="GPD38" s="372"/>
      <c r="GPE38" s="372"/>
      <c r="GPF38" s="372"/>
      <c r="GPG38" s="372"/>
      <c r="GPH38" s="372"/>
      <c r="GPI38" s="372"/>
      <c r="GPJ38" s="372"/>
      <c r="GPK38" s="372"/>
      <c r="GPL38" s="372"/>
      <c r="GPM38" s="372"/>
      <c r="GPN38" s="372"/>
      <c r="GPO38" s="372"/>
      <c r="GPP38" s="372"/>
      <c r="GPQ38" s="372"/>
      <c r="GPR38" s="372"/>
      <c r="GPS38" s="372"/>
      <c r="GPT38" s="372"/>
      <c r="GPU38" s="372"/>
      <c r="GPV38" s="372"/>
      <c r="GPW38" s="372"/>
      <c r="GPX38" s="372"/>
      <c r="GPY38" s="372"/>
      <c r="GPZ38" s="372"/>
      <c r="GQA38" s="372"/>
      <c r="GQB38" s="372"/>
      <c r="GQC38" s="372"/>
      <c r="GQD38" s="372"/>
      <c r="GQE38" s="372"/>
      <c r="GQF38" s="372"/>
      <c r="GQG38" s="372"/>
      <c r="GQH38" s="372"/>
      <c r="GQI38" s="372"/>
      <c r="GQJ38" s="372"/>
      <c r="GQK38" s="372"/>
      <c r="GQL38" s="372"/>
      <c r="GQM38" s="372"/>
      <c r="GQN38" s="372"/>
      <c r="GQO38" s="372"/>
      <c r="GQP38" s="372"/>
      <c r="GQQ38" s="372"/>
      <c r="GQR38" s="372"/>
      <c r="GQS38" s="372"/>
      <c r="GQT38" s="372"/>
      <c r="GQU38" s="372"/>
      <c r="GQV38" s="372"/>
      <c r="GQW38" s="372"/>
      <c r="GQX38" s="372"/>
      <c r="GQY38" s="372"/>
      <c r="GQZ38" s="372"/>
      <c r="GRA38" s="372"/>
      <c r="GRB38" s="372"/>
      <c r="GRC38" s="372"/>
      <c r="GRD38" s="372"/>
      <c r="GRE38" s="372"/>
      <c r="GRF38" s="372"/>
      <c r="GRG38" s="372"/>
      <c r="GRH38" s="372"/>
      <c r="GRI38" s="372"/>
      <c r="GRJ38" s="372"/>
      <c r="GRK38" s="372"/>
      <c r="GRL38" s="372"/>
      <c r="GRM38" s="372"/>
      <c r="GRN38" s="372"/>
      <c r="GRO38" s="372"/>
      <c r="GRP38" s="372"/>
      <c r="GRQ38" s="372"/>
      <c r="GRR38" s="372"/>
      <c r="GRS38" s="372"/>
      <c r="GRT38" s="372"/>
      <c r="GRU38" s="372"/>
      <c r="GRV38" s="372"/>
      <c r="GRW38" s="372"/>
      <c r="GRX38" s="372"/>
      <c r="GRY38" s="372"/>
      <c r="GRZ38" s="372"/>
      <c r="GSA38" s="372"/>
      <c r="GSB38" s="372"/>
      <c r="GSC38" s="372"/>
      <c r="GSD38" s="372"/>
      <c r="GSE38" s="372"/>
      <c r="GSF38" s="372"/>
      <c r="GSG38" s="372"/>
      <c r="GSH38" s="372"/>
      <c r="GSI38" s="372"/>
      <c r="GSJ38" s="372"/>
      <c r="GSK38" s="372"/>
      <c r="GSL38" s="372"/>
      <c r="GSM38" s="372"/>
      <c r="GSN38" s="372"/>
      <c r="GSO38" s="372"/>
      <c r="GSP38" s="372"/>
      <c r="GSQ38" s="372"/>
      <c r="GSR38" s="372"/>
      <c r="GSS38" s="372"/>
      <c r="GST38" s="372"/>
      <c r="GSU38" s="372"/>
      <c r="GSV38" s="372"/>
      <c r="GSW38" s="372"/>
      <c r="GSX38" s="372"/>
      <c r="GSY38" s="372"/>
      <c r="GSZ38" s="372"/>
      <c r="GTA38" s="372"/>
      <c r="GTB38" s="372"/>
      <c r="GTC38" s="372"/>
      <c r="GTD38" s="372"/>
      <c r="GTE38" s="372"/>
      <c r="GTF38" s="372"/>
      <c r="GTG38" s="372"/>
      <c r="GTH38" s="372"/>
      <c r="GTI38" s="372"/>
      <c r="GTJ38" s="372"/>
      <c r="GTK38" s="372"/>
      <c r="GTL38" s="372"/>
      <c r="GTM38" s="372"/>
      <c r="GTN38" s="372"/>
      <c r="GTO38" s="372"/>
      <c r="GTP38" s="372"/>
      <c r="GTQ38" s="372"/>
      <c r="GTR38" s="372"/>
      <c r="GTS38" s="372"/>
      <c r="GTT38" s="372"/>
      <c r="GTU38" s="372"/>
      <c r="GTV38" s="372"/>
      <c r="GTW38" s="372"/>
      <c r="GTX38" s="372"/>
      <c r="GTY38" s="372"/>
      <c r="GTZ38" s="372"/>
      <c r="GUA38" s="372"/>
      <c r="GUB38" s="372"/>
      <c r="GUC38" s="372"/>
      <c r="GUD38" s="372"/>
      <c r="GUE38" s="372"/>
      <c r="GUF38" s="372"/>
      <c r="GUG38" s="372"/>
      <c r="GUH38" s="372"/>
      <c r="GUI38" s="372"/>
      <c r="GUJ38" s="372"/>
      <c r="GUK38" s="372"/>
      <c r="GUL38" s="372"/>
      <c r="GUM38" s="372"/>
      <c r="GUN38" s="372"/>
      <c r="GUO38" s="372"/>
      <c r="GUP38" s="372"/>
      <c r="GUQ38" s="372"/>
      <c r="GUR38" s="372"/>
      <c r="GUS38" s="372"/>
      <c r="GUT38" s="372"/>
      <c r="GUU38" s="372"/>
      <c r="GUV38" s="372"/>
      <c r="GUW38" s="372"/>
      <c r="GUX38" s="372"/>
      <c r="GUY38" s="372"/>
      <c r="GUZ38" s="372"/>
      <c r="GVA38" s="372"/>
      <c r="GVB38" s="372"/>
      <c r="GVC38" s="372"/>
      <c r="GVD38" s="372"/>
      <c r="GVE38" s="372"/>
      <c r="GVF38" s="372"/>
      <c r="GVG38" s="372"/>
      <c r="GVH38" s="372"/>
      <c r="GVI38" s="372"/>
      <c r="GVJ38" s="372"/>
      <c r="GVK38" s="372"/>
      <c r="GVL38" s="372"/>
      <c r="GVM38" s="372"/>
      <c r="GVN38" s="372"/>
      <c r="GVO38" s="372"/>
      <c r="GVP38" s="372"/>
      <c r="GVQ38" s="372"/>
      <c r="GVR38" s="372"/>
      <c r="GVS38" s="372"/>
      <c r="GVT38" s="372"/>
      <c r="GVU38" s="372"/>
      <c r="GVV38" s="372"/>
      <c r="GVW38" s="372"/>
      <c r="GVX38" s="372"/>
      <c r="GVY38" s="372"/>
      <c r="GVZ38" s="372"/>
      <c r="GWA38" s="372"/>
      <c r="GWB38" s="372"/>
      <c r="GWC38" s="372"/>
      <c r="GWD38" s="372"/>
      <c r="GWE38" s="372"/>
      <c r="GWF38" s="372"/>
      <c r="GWG38" s="372"/>
      <c r="GWH38" s="372"/>
      <c r="GWI38" s="372"/>
      <c r="GWJ38" s="372"/>
      <c r="GWK38" s="372"/>
      <c r="GWL38" s="372"/>
      <c r="GWM38" s="372"/>
      <c r="GWN38" s="372"/>
      <c r="GWO38" s="372"/>
      <c r="GWP38" s="372"/>
      <c r="GWQ38" s="372"/>
      <c r="GWR38" s="372"/>
      <c r="GWS38" s="372"/>
      <c r="GWT38" s="372"/>
      <c r="GWU38" s="372"/>
      <c r="GWV38" s="372"/>
      <c r="GWW38" s="372"/>
      <c r="GWX38" s="372"/>
      <c r="GWY38" s="372"/>
      <c r="GWZ38" s="372"/>
      <c r="GXA38" s="372"/>
      <c r="GXB38" s="372"/>
      <c r="GXC38" s="372"/>
      <c r="GXD38" s="372"/>
      <c r="GXE38" s="372"/>
      <c r="GXF38" s="372"/>
      <c r="GXG38" s="372"/>
      <c r="GXH38" s="372"/>
      <c r="GXI38" s="372"/>
      <c r="GXJ38" s="372"/>
      <c r="GXK38" s="372"/>
      <c r="GXL38" s="372"/>
      <c r="GXM38" s="372"/>
      <c r="GXN38" s="372"/>
      <c r="GXO38" s="372"/>
      <c r="GXP38" s="372"/>
      <c r="GXQ38" s="372"/>
      <c r="GXR38" s="372"/>
      <c r="GXS38" s="372"/>
      <c r="GXT38" s="372"/>
      <c r="GXU38" s="372"/>
      <c r="GXV38" s="372"/>
      <c r="GXW38" s="372"/>
      <c r="GXX38" s="372"/>
      <c r="GXY38" s="372"/>
      <c r="GXZ38" s="372"/>
      <c r="GYA38" s="372"/>
      <c r="GYB38" s="372"/>
      <c r="GYC38" s="372"/>
      <c r="GYD38" s="372"/>
      <c r="GYE38" s="372"/>
      <c r="GYF38" s="372"/>
      <c r="GYG38" s="372"/>
      <c r="GYH38" s="372"/>
      <c r="GYI38" s="372"/>
      <c r="GYJ38" s="372"/>
      <c r="GYK38" s="372"/>
      <c r="GYL38" s="372"/>
      <c r="GYM38" s="372"/>
      <c r="GYN38" s="372"/>
      <c r="GYO38" s="372"/>
      <c r="GYP38" s="372"/>
      <c r="GYQ38" s="372"/>
      <c r="GYR38" s="372"/>
      <c r="GYS38" s="372"/>
      <c r="GYT38" s="372"/>
      <c r="GYU38" s="372"/>
      <c r="GYV38" s="372"/>
      <c r="GYW38" s="372"/>
      <c r="GYX38" s="372"/>
      <c r="GYY38" s="372"/>
      <c r="GYZ38" s="372"/>
      <c r="GZA38" s="372"/>
      <c r="GZB38" s="372"/>
      <c r="GZC38" s="372"/>
      <c r="GZD38" s="372"/>
      <c r="GZE38" s="372"/>
      <c r="GZF38" s="372"/>
      <c r="GZG38" s="372"/>
      <c r="GZH38" s="372"/>
      <c r="GZI38" s="372"/>
      <c r="GZJ38" s="372"/>
      <c r="GZK38" s="372"/>
      <c r="GZL38" s="372"/>
      <c r="GZM38" s="372"/>
      <c r="GZN38" s="372"/>
      <c r="GZO38" s="372"/>
      <c r="GZP38" s="372"/>
      <c r="GZQ38" s="372"/>
      <c r="GZR38" s="372"/>
      <c r="GZS38" s="372"/>
      <c r="GZT38" s="372"/>
      <c r="GZU38" s="372"/>
      <c r="GZV38" s="372"/>
      <c r="GZW38" s="372"/>
      <c r="GZX38" s="372"/>
      <c r="GZY38" s="372"/>
      <c r="GZZ38" s="372"/>
      <c r="HAA38" s="372"/>
      <c r="HAB38" s="372"/>
      <c r="HAC38" s="372"/>
      <c r="HAD38" s="372"/>
      <c r="HAE38" s="372"/>
      <c r="HAF38" s="372"/>
      <c r="HAG38" s="372"/>
      <c r="HAH38" s="372"/>
      <c r="HAI38" s="372"/>
      <c r="HAJ38" s="372"/>
      <c r="HAK38" s="372"/>
      <c r="HAL38" s="372"/>
      <c r="HAM38" s="372"/>
      <c r="HAN38" s="372"/>
      <c r="HAO38" s="372"/>
      <c r="HAP38" s="372"/>
      <c r="HAQ38" s="372"/>
      <c r="HAR38" s="372"/>
      <c r="HAS38" s="372"/>
      <c r="HAT38" s="372"/>
      <c r="HAU38" s="372"/>
      <c r="HAV38" s="372"/>
      <c r="HAW38" s="372"/>
      <c r="HAX38" s="372"/>
      <c r="HAY38" s="372"/>
      <c r="HAZ38" s="372"/>
      <c r="HBA38" s="372"/>
      <c r="HBB38" s="372"/>
      <c r="HBC38" s="372"/>
      <c r="HBD38" s="372"/>
      <c r="HBE38" s="372"/>
      <c r="HBF38" s="372"/>
      <c r="HBG38" s="372"/>
      <c r="HBH38" s="372"/>
      <c r="HBI38" s="372"/>
      <c r="HBJ38" s="372"/>
      <c r="HBK38" s="372"/>
      <c r="HBL38" s="372"/>
      <c r="HBM38" s="372"/>
      <c r="HBN38" s="372"/>
      <c r="HBO38" s="372"/>
      <c r="HBP38" s="372"/>
      <c r="HBQ38" s="372"/>
      <c r="HBR38" s="372"/>
      <c r="HBS38" s="372"/>
      <c r="HBT38" s="372"/>
      <c r="HBU38" s="372"/>
      <c r="HBV38" s="372"/>
      <c r="HBW38" s="372"/>
      <c r="HBX38" s="372"/>
      <c r="HBY38" s="372"/>
      <c r="HBZ38" s="372"/>
      <c r="HCA38" s="372"/>
      <c r="HCB38" s="372"/>
      <c r="HCC38" s="372"/>
      <c r="HCD38" s="372"/>
      <c r="HCE38" s="372"/>
      <c r="HCF38" s="372"/>
      <c r="HCG38" s="372"/>
      <c r="HCH38" s="372"/>
      <c r="HCI38" s="372"/>
      <c r="HCJ38" s="372"/>
      <c r="HCK38" s="372"/>
      <c r="HCL38" s="372"/>
      <c r="HCM38" s="372"/>
      <c r="HCN38" s="372"/>
      <c r="HCO38" s="372"/>
      <c r="HCP38" s="372"/>
      <c r="HCQ38" s="372"/>
      <c r="HCR38" s="372"/>
      <c r="HCS38" s="372"/>
      <c r="HCT38" s="372"/>
      <c r="HCU38" s="372"/>
      <c r="HCV38" s="372"/>
      <c r="HCW38" s="372"/>
      <c r="HCX38" s="372"/>
      <c r="HCY38" s="372"/>
      <c r="HCZ38" s="372"/>
      <c r="HDA38" s="372"/>
      <c r="HDB38" s="372"/>
      <c r="HDC38" s="372"/>
      <c r="HDD38" s="372"/>
      <c r="HDE38" s="372"/>
      <c r="HDF38" s="372"/>
      <c r="HDG38" s="372"/>
      <c r="HDH38" s="372"/>
      <c r="HDI38" s="372"/>
      <c r="HDJ38" s="372"/>
      <c r="HDK38" s="372"/>
      <c r="HDL38" s="372"/>
      <c r="HDM38" s="372"/>
      <c r="HDN38" s="372"/>
      <c r="HDO38" s="372"/>
      <c r="HDP38" s="372"/>
      <c r="HDQ38" s="372"/>
      <c r="HDR38" s="372"/>
      <c r="HDS38" s="372"/>
      <c r="HDT38" s="372"/>
      <c r="HDU38" s="372"/>
      <c r="HDV38" s="372"/>
      <c r="HDW38" s="372"/>
      <c r="HDX38" s="372"/>
      <c r="HDY38" s="372"/>
      <c r="HDZ38" s="372"/>
      <c r="HEA38" s="372"/>
      <c r="HEB38" s="372"/>
      <c r="HEC38" s="372"/>
      <c r="HED38" s="372"/>
      <c r="HEE38" s="372"/>
      <c r="HEF38" s="372"/>
      <c r="HEG38" s="372"/>
      <c r="HEH38" s="372"/>
      <c r="HEI38" s="372"/>
      <c r="HEJ38" s="372"/>
      <c r="HEK38" s="372"/>
      <c r="HEL38" s="372"/>
      <c r="HEM38" s="372"/>
      <c r="HEN38" s="372"/>
      <c r="HEO38" s="372"/>
      <c r="HEP38" s="372"/>
      <c r="HEQ38" s="372"/>
      <c r="HER38" s="372"/>
      <c r="HES38" s="372"/>
      <c r="HET38" s="372"/>
      <c r="HEU38" s="372"/>
      <c r="HEV38" s="372"/>
      <c r="HEW38" s="372"/>
      <c r="HEX38" s="372"/>
      <c r="HEY38" s="372"/>
      <c r="HEZ38" s="372"/>
      <c r="HFA38" s="372"/>
      <c r="HFB38" s="372"/>
      <c r="HFC38" s="372"/>
      <c r="HFD38" s="372"/>
      <c r="HFE38" s="372"/>
      <c r="HFF38" s="372"/>
      <c r="HFG38" s="372"/>
      <c r="HFH38" s="372"/>
      <c r="HFI38" s="372"/>
      <c r="HFJ38" s="372"/>
      <c r="HFK38" s="372"/>
      <c r="HFL38" s="372"/>
      <c r="HFM38" s="372"/>
      <c r="HFN38" s="372"/>
      <c r="HFO38" s="372"/>
      <c r="HFP38" s="372"/>
      <c r="HFQ38" s="372"/>
      <c r="HFR38" s="372"/>
      <c r="HFS38" s="372"/>
      <c r="HFT38" s="372"/>
      <c r="HFU38" s="372"/>
      <c r="HFV38" s="372"/>
      <c r="HFW38" s="372"/>
      <c r="HFX38" s="372"/>
      <c r="HFY38" s="372"/>
      <c r="HFZ38" s="372"/>
      <c r="HGA38" s="372"/>
      <c r="HGB38" s="372"/>
      <c r="HGC38" s="372"/>
      <c r="HGD38" s="372"/>
      <c r="HGE38" s="372"/>
      <c r="HGF38" s="372"/>
      <c r="HGG38" s="372"/>
      <c r="HGH38" s="372"/>
      <c r="HGI38" s="372"/>
      <c r="HGJ38" s="372"/>
      <c r="HGK38" s="372"/>
      <c r="HGL38" s="372"/>
      <c r="HGM38" s="372"/>
      <c r="HGN38" s="372"/>
      <c r="HGO38" s="372"/>
      <c r="HGP38" s="372"/>
      <c r="HGQ38" s="372"/>
      <c r="HGR38" s="372"/>
      <c r="HGS38" s="372"/>
      <c r="HGT38" s="372"/>
      <c r="HGU38" s="372"/>
      <c r="HGV38" s="372"/>
      <c r="HGW38" s="372"/>
      <c r="HGX38" s="372"/>
      <c r="HGY38" s="372"/>
      <c r="HGZ38" s="372"/>
      <c r="HHA38" s="372"/>
      <c r="HHB38" s="372"/>
      <c r="HHC38" s="372"/>
      <c r="HHD38" s="372"/>
      <c r="HHE38" s="372"/>
      <c r="HHF38" s="372"/>
      <c r="HHG38" s="372"/>
      <c r="HHH38" s="372"/>
      <c r="HHI38" s="372"/>
      <c r="HHJ38" s="372"/>
      <c r="HHK38" s="372"/>
      <c r="HHL38" s="372"/>
      <c r="HHM38" s="372"/>
      <c r="HHN38" s="372"/>
      <c r="HHO38" s="372"/>
      <c r="HHP38" s="372"/>
      <c r="HHQ38" s="372"/>
      <c r="HHR38" s="372"/>
      <c r="HHS38" s="372"/>
      <c r="HHT38" s="372"/>
      <c r="HHU38" s="372"/>
      <c r="HHV38" s="372"/>
      <c r="HHW38" s="372"/>
      <c r="HHX38" s="372"/>
      <c r="HHY38" s="372"/>
      <c r="HHZ38" s="372"/>
      <c r="HIA38" s="372"/>
      <c r="HIB38" s="372"/>
      <c r="HIC38" s="372"/>
      <c r="HID38" s="372"/>
      <c r="HIE38" s="372"/>
      <c r="HIF38" s="372"/>
      <c r="HIG38" s="372"/>
      <c r="HIH38" s="372"/>
      <c r="HII38" s="372"/>
      <c r="HIJ38" s="372"/>
      <c r="HIK38" s="372"/>
      <c r="HIL38" s="372"/>
      <c r="HIM38" s="372"/>
      <c r="HIN38" s="372"/>
      <c r="HIO38" s="372"/>
      <c r="HIP38" s="372"/>
      <c r="HIQ38" s="372"/>
      <c r="HIR38" s="372"/>
      <c r="HIS38" s="372"/>
      <c r="HIT38" s="372"/>
      <c r="HIU38" s="372"/>
      <c r="HIV38" s="372"/>
      <c r="HIW38" s="372"/>
      <c r="HIX38" s="372"/>
      <c r="HIY38" s="372"/>
      <c r="HIZ38" s="372"/>
      <c r="HJA38" s="372"/>
      <c r="HJB38" s="372"/>
      <c r="HJC38" s="372"/>
      <c r="HJD38" s="372"/>
      <c r="HJE38" s="372"/>
      <c r="HJF38" s="372"/>
      <c r="HJG38" s="372"/>
      <c r="HJH38" s="372"/>
      <c r="HJI38" s="372"/>
      <c r="HJJ38" s="372"/>
      <c r="HJK38" s="372"/>
      <c r="HJL38" s="372"/>
      <c r="HJM38" s="372"/>
      <c r="HJN38" s="372"/>
      <c r="HJO38" s="372"/>
      <c r="HJP38" s="372"/>
      <c r="HJQ38" s="372"/>
      <c r="HJR38" s="372"/>
      <c r="HJS38" s="372"/>
      <c r="HJT38" s="372"/>
      <c r="HJU38" s="372"/>
      <c r="HJV38" s="372"/>
      <c r="HJW38" s="372"/>
      <c r="HJX38" s="372"/>
      <c r="HJY38" s="372"/>
      <c r="HJZ38" s="372"/>
      <c r="HKA38" s="372"/>
      <c r="HKB38" s="372"/>
      <c r="HKC38" s="372"/>
      <c r="HKD38" s="372"/>
      <c r="HKE38" s="372"/>
      <c r="HKF38" s="372"/>
      <c r="HKG38" s="372"/>
      <c r="HKH38" s="372"/>
      <c r="HKI38" s="372"/>
      <c r="HKJ38" s="372"/>
      <c r="HKK38" s="372"/>
      <c r="HKL38" s="372"/>
      <c r="HKM38" s="372"/>
      <c r="HKN38" s="372"/>
      <c r="HKO38" s="372"/>
      <c r="HKP38" s="372"/>
      <c r="HKQ38" s="372"/>
      <c r="HKR38" s="372"/>
      <c r="HKS38" s="372"/>
      <c r="HKT38" s="372"/>
      <c r="HKU38" s="372"/>
      <c r="HKV38" s="372"/>
      <c r="HKW38" s="372"/>
      <c r="HKX38" s="372"/>
      <c r="HKY38" s="372"/>
      <c r="HKZ38" s="372"/>
      <c r="HLA38" s="372"/>
      <c r="HLB38" s="372"/>
      <c r="HLC38" s="372"/>
      <c r="HLD38" s="372"/>
      <c r="HLE38" s="372"/>
      <c r="HLF38" s="372"/>
      <c r="HLG38" s="372"/>
      <c r="HLH38" s="372"/>
      <c r="HLI38" s="372"/>
      <c r="HLJ38" s="372"/>
      <c r="HLK38" s="372"/>
      <c r="HLL38" s="372"/>
      <c r="HLM38" s="372"/>
      <c r="HLN38" s="372"/>
      <c r="HLO38" s="372"/>
      <c r="HLP38" s="372"/>
      <c r="HLQ38" s="372"/>
      <c r="HLR38" s="372"/>
      <c r="HLS38" s="372"/>
      <c r="HLT38" s="372"/>
      <c r="HLU38" s="372"/>
      <c r="HLV38" s="372"/>
      <c r="HLW38" s="372"/>
      <c r="HLX38" s="372"/>
      <c r="HLY38" s="372"/>
      <c r="HLZ38" s="372"/>
      <c r="HMA38" s="372"/>
      <c r="HMB38" s="372"/>
      <c r="HMC38" s="372"/>
      <c r="HMD38" s="372"/>
      <c r="HME38" s="372"/>
      <c r="HMF38" s="372"/>
      <c r="HMG38" s="372"/>
      <c r="HMH38" s="372"/>
      <c r="HMI38" s="372"/>
      <c r="HMJ38" s="372"/>
      <c r="HMK38" s="372"/>
      <c r="HML38" s="372"/>
      <c r="HMM38" s="372"/>
      <c r="HMN38" s="372"/>
      <c r="HMO38" s="372"/>
      <c r="HMP38" s="372"/>
      <c r="HMQ38" s="372"/>
      <c r="HMR38" s="372"/>
      <c r="HMS38" s="372"/>
      <c r="HMT38" s="372"/>
      <c r="HMU38" s="372"/>
      <c r="HMV38" s="372"/>
      <c r="HMW38" s="372"/>
      <c r="HMX38" s="372"/>
      <c r="HMY38" s="372"/>
      <c r="HMZ38" s="372"/>
      <c r="HNA38" s="372"/>
      <c r="HNB38" s="372"/>
      <c r="HNC38" s="372"/>
      <c r="HND38" s="372"/>
      <c r="HNE38" s="372"/>
      <c r="HNF38" s="372"/>
      <c r="HNG38" s="372"/>
      <c r="HNH38" s="372"/>
      <c r="HNI38" s="372"/>
      <c r="HNJ38" s="372"/>
      <c r="HNK38" s="372"/>
      <c r="HNL38" s="372"/>
      <c r="HNM38" s="372"/>
      <c r="HNN38" s="372"/>
      <c r="HNO38" s="372"/>
      <c r="HNP38" s="372"/>
      <c r="HNQ38" s="372"/>
      <c r="HNR38" s="372"/>
      <c r="HNS38" s="372"/>
      <c r="HNT38" s="372"/>
      <c r="HNU38" s="372"/>
      <c r="HNV38" s="372"/>
      <c r="HNW38" s="372"/>
      <c r="HNX38" s="372"/>
      <c r="HNY38" s="372"/>
      <c r="HNZ38" s="372"/>
      <c r="HOA38" s="372"/>
      <c r="HOB38" s="372"/>
      <c r="HOC38" s="372"/>
      <c r="HOD38" s="372"/>
      <c r="HOE38" s="372"/>
      <c r="HOF38" s="372"/>
      <c r="HOG38" s="372"/>
      <c r="HOH38" s="372"/>
      <c r="HOI38" s="372"/>
      <c r="HOJ38" s="372"/>
      <c r="HOK38" s="372"/>
      <c r="HOL38" s="372"/>
      <c r="HOM38" s="372"/>
      <c r="HON38" s="372"/>
      <c r="HOO38" s="372"/>
      <c r="HOP38" s="372"/>
      <c r="HOQ38" s="372"/>
      <c r="HOR38" s="372"/>
      <c r="HOS38" s="372"/>
      <c r="HOT38" s="372"/>
      <c r="HOU38" s="372"/>
      <c r="HOV38" s="372"/>
      <c r="HOW38" s="372"/>
      <c r="HOX38" s="372"/>
      <c r="HOY38" s="372"/>
      <c r="HOZ38" s="372"/>
      <c r="HPA38" s="372"/>
      <c r="HPB38" s="372"/>
      <c r="HPC38" s="372"/>
      <c r="HPD38" s="372"/>
      <c r="HPE38" s="372"/>
      <c r="HPF38" s="372"/>
      <c r="HPG38" s="372"/>
      <c r="HPH38" s="372"/>
      <c r="HPI38" s="372"/>
      <c r="HPJ38" s="372"/>
      <c r="HPK38" s="372"/>
      <c r="HPL38" s="372"/>
      <c r="HPM38" s="372"/>
      <c r="HPN38" s="372"/>
      <c r="HPO38" s="372"/>
      <c r="HPP38" s="372"/>
      <c r="HPQ38" s="372"/>
      <c r="HPR38" s="372"/>
      <c r="HPS38" s="372"/>
      <c r="HPT38" s="372"/>
      <c r="HPU38" s="372"/>
      <c r="HPV38" s="372"/>
      <c r="HPW38" s="372"/>
      <c r="HPX38" s="372"/>
      <c r="HPY38" s="372"/>
      <c r="HPZ38" s="372"/>
      <c r="HQA38" s="372"/>
      <c r="HQB38" s="372"/>
      <c r="HQC38" s="372"/>
      <c r="HQD38" s="372"/>
      <c r="HQE38" s="372"/>
      <c r="HQF38" s="372"/>
      <c r="HQG38" s="372"/>
      <c r="HQH38" s="372"/>
      <c r="HQI38" s="372"/>
      <c r="HQJ38" s="372"/>
      <c r="HQK38" s="372"/>
      <c r="HQL38" s="372"/>
      <c r="HQM38" s="372"/>
      <c r="HQN38" s="372"/>
      <c r="HQO38" s="372"/>
      <c r="HQP38" s="372"/>
      <c r="HQQ38" s="372"/>
      <c r="HQR38" s="372"/>
      <c r="HQS38" s="372"/>
      <c r="HQT38" s="372"/>
      <c r="HQU38" s="372"/>
      <c r="HQV38" s="372"/>
      <c r="HQW38" s="372"/>
      <c r="HQX38" s="372"/>
      <c r="HQY38" s="372"/>
      <c r="HQZ38" s="372"/>
      <c r="HRA38" s="372"/>
      <c r="HRB38" s="372"/>
      <c r="HRC38" s="372"/>
      <c r="HRD38" s="372"/>
      <c r="HRE38" s="372"/>
      <c r="HRF38" s="372"/>
      <c r="HRG38" s="372"/>
      <c r="HRH38" s="372"/>
      <c r="HRI38" s="372"/>
      <c r="HRJ38" s="372"/>
      <c r="HRK38" s="372"/>
      <c r="HRL38" s="372"/>
      <c r="HRM38" s="372"/>
      <c r="HRN38" s="372"/>
      <c r="HRO38" s="372"/>
      <c r="HRP38" s="372"/>
      <c r="HRQ38" s="372"/>
      <c r="HRR38" s="372"/>
      <c r="HRS38" s="372"/>
      <c r="HRT38" s="372"/>
      <c r="HRU38" s="372"/>
      <c r="HRV38" s="372"/>
      <c r="HRW38" s="372"/>
      <c r="HRX38" s="372"/>
      <c r="HRY38" s="372"/>
      <c r="HRZ38" s="372"/>
      <c r="HSA38" s="372"/>
      <c r="HSB38" s="372"/>
      <c r="HSC38" s="372"/>
      <c r="HSD38" s="372"/>
      <c r="HSE38" s="372"/>
      <c r="HSF38" s="372"/>
      <c r="HSG38" s="372"/>
      <c r="HSH38" s="372"/>
      <c r="HSI38" s="372"/>
      <c r="HSJ38" s="372"/>
      <c r="HSK38" s="372"/>
      <c r="HSL38" s="372"/>
      <c r="HSM38" s="372"/>
      <c r="HSN38" s="372"/>
      <c r="HSO38" s="372"/>
      <c r="HSP38" s="372"/>
      <c r="HSQ38" s="372"/>
      <c r="HSR38" s="372"/>
      <c r="HSS38" s="372"/>
      <c r="HST38" s="372"/>
      <c r="HSU38" s="372"/>
      <c r="HSV38" s="372"/>
      <c r="HSW38" s="372"/>
      <c r="HSX38" s="372"/>
      <c r="HSY38" s="372"/>
      <c r="HSZ38" s="372"/>
      <c r="HTA38" s="372"/>
      <c r="HTB38" s="372"/>
      <c r="HTC38" s="372"/>
      <c r="HTD38" s="372"/>
      <c r="HTE38" s="372"/>
      <c r="HTF38" s="372"/>
      <c r="HTG38" s="372"/>
      <c r="HTH38" s="372"/>
      <c r="HTI38" s="372"/>
      <c r="HTJ38" s="372"/>
      <c r="HTK38" s="372"/>
      <c r="HTL38" s="372"/>
      <c r="HTM38" s="372"/>
      <c r="HTN38" s="372"/>
      <c r="HTO38" s="372"/>
      <c r="HTP38" s="372"/>
      <c r="HTQ38" s="372"/>
      <c r="HTR38" s="372"/>
      <c r="HTS38" s="372"/>
      <c r="HTT38" s="372"/>
      <c r="HTU38" s="372"/>
      <c r="HTV38" s="372"/>
      <c r="HTW38" s="372"/>
      <c r="HTX38" s="372"/>
      <c r="HTY38" s="372"/>
      <c r="HTZ38" s="372"/>
      <c r="HUA38" s="372"/>
      <c r="HUB38" s="372"/>
      <c r="HUC38" s="372"/>
      <c r="HUD38" s="372"/>
      <c r="HUE38" s="372"/>
      <c r="HUF38" s="372"/>
      <c r="HUG38" s="372"/>
      <c r="HUH38" s="372"/>
      <c r="HUI38" s="372"/>
      <c r="HUJ38" s="372"/>
      <c r="HUK38" s="372"/>
      <c r="HUL38" s="372"/>
      <c r="HUM38" s="372"/>
      <c r="HUN38" s="372"/>
      <c r="HUO38" s="372"/>
      <c r="HUP38" s="372"/>
      <c r="HUQ38" s="372"/>
      <c r="HUR38" s="372"/>
      <c r="HUS38" s="372"/>
      <c r="HUT38" s="372"/>
      <c r="HUU38" s="372"/>
      <c r="HUV38" s="372"/>
      <c r="HUW38" s="372"/>
      <c r="HUX38" s="372"/>
      <c r="HUY38" s="372"/>
      <c r="HUZ38" s="372"/>
      <c r="HVA38" s="372"/>
      <c r="HVB38" s="372"/>
      <c r="HVC38" s="372"/>
      <c r="HVD38" s="372"/>
      <c r="HVE38" s="372"/>
      <c r="HVF38" s="372"/>
      <c r="HVG38" s="372"/>
      <c r="HVH38" s="372"/>
      <c r="HVI38" s="372"/>
      <c r="HVJ38" s="372"/>
      <c r="HVK38" s="372"/>
      <c r="HVL38" s="372"/>
      <c r="HVM38" s="372"/>
      <c r="HVN38" s="372"/>
      <c r="HVO38" s="372"/>
      <c r="HVP38" s="372"/>
      <c r="HVQ38" s="372"/>
      <c r="HVR38" s="372"/>
      <c r="HVS38" s="372"/>
      <c r="HVT38" s="372"/>
      <c r="HVU38" s="372"/>
      <c r="HVV38" s="372"/>
      <c r="HVW38" s="372"/>
      <c r="HVX38" s="372"/>
      <c r="HVY38" s="372"/>
      <c r="HVZ38" s="372"/>
      <c r="HWA38" s="372"/>
      <c r="HWB38" s="372"/>
      <c r="HWC38" s="372"/>
      <c r="HWD38" s="372"/>
      <c r="HWE38" s="372"/>
      <c r="HWF38" s="372"/>
      <c r="HWG38" s="372"/>
      <c r="HWH38" s="372"/>
      <c r="HWI38" s="372"/>
      <c r="HWJ38" s="372"/>
      <c r="HWK38" s="372"/>
      <c r="HWL38" s="372"/>
      <c r="HWM38" s="372"/>
      <c r="HWN38" s="372"/>
      <c r="HWO38" s="372"/>
      <c r="HWP38" s="372"/>
      <c r="HWQ38" s="372"/>
      <c r="HWR38" s="372"/>
      <c r="HWS38" s="372"/>
      <c r="HWT38" s="372"/>
      <c r="HWU38" s="372"/>
      <c r="HWV38" s="372"/>
      <c r="HWW38" s="372"/>
      <c r="HWX38" s="372"/>
      <c r="HWY38" s="372"/>
      <c r="HWZ38" s="372"/>
      <c r="HXA38" s="372"/>
      <c r="HXB38" s="372"/>
      <c r="HXC38" s="372"/>
      <c r="HXD38" s="372"/>
      <c r="HXE38" s="372"/>
      <c r="HXF38" s="372"/>
      <c r="HXG38" s="372"/>
      <c r="HXH38" s="372"/>
      <c r="HXI38" s="372"/>
      <c r="HXJ38" s="372"/>
      <c r="HXK38" s="372"/>
      <c r="HXL38" s="372"/>
      <c r="HXM38" s="372"/>
      <c r="HXN38" s="372"/>
      <c r="HXO38" s="372"/>
      <c r="HXP38" s="372"/>
      <c r="HXQ38" s="372"/>
      <c r="HXR38" s="372"/>
      <c r="HXS38" s="372"/>
      <c r="HXT38" s="372"/>
      <c r="HXU38" s="372"/>
      <c r="HXV38" s="372"/>
      <c r="HXW38" s="372"/>
      <c r="HXX38" s="372"/>
      <c r="HXY38" s="372"/>
      <c r="HXZ38" s="372"/>
      <c r="HYA38" s="372"/>
      <c r="HYB38" s="372"/>
      <c r="HYC38" s="372"/>
      <c r="HYD38" s="372"/>
      <c r="HYE38" s="372"/>
      <c r="HYF38" s="372"/>
      <c r="HYG38" s="372"/>
      <c r="HYH38" s="372"/>
      <c r="HYI38" s="372"/>
      <c r="HYJ38" s="372"/>
      <c r="HYK38" s="372"/>
      <c r="HYL38" s="372"/>
      <c r="HYM38" s="372"/>
      <c r="HYN38" s="372"/>
      <c r="HYO38" s="372"/>
      <c r="HYP38" s="372"/>
      <c r="HYQ38" s="372"/>
      <c r="HYR38" s="372"/>
      <c r="HYS38" s="372"/>
      <c r="HYT38" s="372"/>
      <c r="HYU38" s="372"/>
      <c r="HYV38" s="372"/>
      <c r="HYW38" s="372"/>
      <c r="HYX38" s="372"/>
      <c r="HYY38" s="372"/>
      <c r="HYZ38" s="372"/>
      <c r="HZA38" s="372"/>
      <c r="HZB38" s="372"/>
      <c r="HZC38" s="372"/>
      <c r="HZD38" s="372"/>
      <c r="HZE38" s="372"/>
      <c r="HZF38" s="372"/>
      <c r="HZG38" s="372"/>
      <c r="HZH38" s="372"/>
      <c r="HZI38" s="372"/>
      <c r="HZJ38" s="372"/>
      <c r="HZK38" s="372"/>
      <c r="HZL38" s="372"/>
      <c r="HZM38" s="372"/>
      <c r="HZN38" s="372"/>
      <c r="HZO38" s="372"/>
      <c r="HZP38" s="372"/>
      <c r="HZQ38" s="372"/>
      <c r="HZR38" s="372"/>
      <c r="HZS38" s="372"/>
      <c r="HZT38" s="372"/>
      <c r="HZU38" s="372"/>
      <c r="HZV38" s="372"/>
      <c r="HZW38" s="372"/>
      <c r="HZX38" s="372"/>
      <c r="HZY38" s="372"/>
      <c r="HZZ38" s="372"/>
      <c r="IAA38" s="372"/>
      <c r="IAB38" s="372"/>
      <c r="IAC38" s="372"/>
      <c r="IAD38" s="372"/>
      <c r="IAE38" s="372"/>
      <c r="IAF38" s="372"/>
      <c r="IAG38" s="372"/>
      <c r="IAH38" s="372"/>
      <c r="IAI38" s="372"/>
      <c r="IAJ38" s="372"/>
      <c r="IAK38" s="372"/>
      <c r="IAL38" s="372"/>
      <c r="IAM38" s="372"/>
      <c r="IAN38" s="372"/>
      <c r="IAO38" s="372"/>
      <c r="IAP38" s="372"/>
      <c r="IAQ38" s="372"/>
      <c r="IAR38" s="372"/>
      <c r="IAS38" s="372"/>
      <c r="IAT38" s="372"/>
      <c r="IAU38" s="372"/>
      <c r="IAV38" s="372"/>
      <c r="IAW38" s="372"/>
      <c r="IAX38" s="372"/>
      <c r="IAY38" s="372"/>
      <c r="IAZ38" s="372"/>
      <c r="IBA38" s="372"/>
      <c r="IBB38" s="372"/>
      <c r="IBC38" s="372"/>
      <c r="IBD38" s="372"/>
      <c r="IBE38" s="372"/>
      <c r="IBF38" s="372"/>
      <c r="IBG38" s="372"/>
      <c r="IBH38" s="372"/>
      <c r="IBI38" s="372"/>
      <c r="IBJ38" s="372"/>
      <c r="IBK38" s="372"/>
      <c r="IBL38" s="372"/>
      <c r="IBM38" s="372"/>
      <c r="IBN38" s="372"/>
      <c r="IBO38" s="372"/>
      <c r="IBP38" s="372"/>
      <c r="IBQ38" s="372"/>
      <c r="IBR38" s="372"/>
      <c r="IBS38" s="372"/>
      <c r="IBT38" s="372"/>
      <c r="IBU38" s="372"/>
      <c r="IBV38" s="372"/>
      <c r="IBW38" s="372"/>
      <c r="IBX38" s="372"/>
      <c r="IBY38" s="372"/>
      <c r="IBZ38" s="372"/>
      <c r="ICA38" s="372"/>
      <c r="ICB38" s="372"/>
      <c r="ICC38" s="372"/>
      <c r="ICD38" s="372"/>
      <c r="ICE38" s="372"/>
      <c r="ICF38" s="372"/>
      <c r="ICG38" s="372"/>
      <c r="ICH38" s="372"/>
      <c r="ICI38" s="372"/>
      <c r="ICJ38" s="372"/>
      <c r="ICK38" s="372"/>
      <c r="ICL38" s="372"/>
      <c r="ICM38" s="372"/>
      <c r="ICN38" s="372"/>
      <c r="ICO38" s="372"/>
      <c r="ICP38" s="372"/>
      <c r="ICQ38" s="372"/>
      <c r="ICR38" s="372"/>
      <c r="ICS38" s="372"/>
      <c r="ICT38" s="372"/>
      <c r="ICU38" s="372"/>
      <c r="ICV38" s="372"/>
      <c r="ICW38" s="372"/>
      <c r="ICX38" s="372"/>
      <c r="ICY38" s="372"/>
      <c r="ICZ38" s="372"/>
      <c r="IDA38" s="372"/>
      <c r="IDB38" s="372"/>
      <c r="IDC38" s="372"/>
      <c r="IDD38" s="372"/>
      <c r="IDE38" s="372"/>
      <c r="IDF38" s="372"/>
      <c r="IDG38" s="372"/>
      <c r="IDH38" s="372"/>
      <c r="IDI38" s="372"/>
      <c r="IDJ38" s="372"/>
      <c r="IDK38" s="372"/>
      <c r="IDL38" s="372"/>
      <c r="IDM38" s="372"/>
      <c r="IDN38" s="372"/>
      <c r="IDO38" s="372"/>
      <c r="IDP38" s="372"/>
      <c r="IDQ38" s="372"/>
      <c r="IDR38" s="372"/>
      <c r="IDS38" s="372"/>
      <c r="IDT38" s="372"/>
      <c r="IDU38" s="372"/>
      <c r="IDV38" s="372"/>
      <c r="IDW38" s="372"/>
      <c r="IDX38" s="372"/>
      <c r="IDY38" s="372"/>
      <c r="IDZ38" s="372"/>
      <c r="IEA38" s="372"/>
      <c r="IEB38" s="372"/>
      <c r="IEC38" s="372"/>
      <c r="IED38" s="372"/>
      <c r="IEE38" s="372"/>
      <c r="IEF38" s="372"/>
      <c r="IEG38" s="372"/>
      <c r="IEH38" s="372"/>
      <c r="IEI38" s="372"/>
      <c r="IEJ38" s="372"/>
      <c r="IEK38" s="372"/>
      <c r="IEL38" s="372"/>
      <c r="IEM38" s="372"/>
      <c r="IEN38" s="372"/>
      <c r="IEO38" s="372"/>
      <c r="IEP38" s="372"/>
      <c r="IEQ38" s="372"/>
      <c r="IER38" s="372"/>
      <c r="IES38" s="372"/>
      <c r="IET38" s="372"/>
      <c r="IEU38" s="372"/>
      <c r="IEV38" s="372"/>
      <c r="IEW38" s="372"/>
      <c r="IEX38" s="372"/>
      <c r="IEY38" s="372"/>
      <c r="IEZ38" s="372"/>
      <c r="IFA38" s="372"/>
      <c r="IFB38" s="372"/>
      <c r="IFC38" s="372"/>
      <c r="IFD38" s="372"/>
      <c r="IFE38" s="372"/>
      <c r="IFF38" s="372"/>
      <c r="IFG38" s="372"/>
      <c r="IFH38" s="372"/>
      <c r="IFI38" s="372"/>
      <c r="IFJ38" s="372"/>
      <c r="IFK38" s="372"/>
      <c r="IFL38" s="372"/>
      <c r="IFM38" s="372"/>
      <c r="IFN38" s="372"/>
      <c r="IFO38" s="372"/>
      <c r="IFP38" s="372"/>
      <c r="IFQ38" s="372"/>
      <c r="IFR38" s="372"/>
      <c r="IFS38" s="372"/>
      <c r="IFT38" s="372"/>
      <c r="IFU38" s="372"/>
      <c r="IFV38" s="372"/>
      <c r="IFW38" s="372"/>
      <c r="IFX38" s="372"/>
      <c r="IFY38" s="372"/>
      <c r="IFZ38" s="372"/>
      <c r="IGA38" s="372"/>
      <c r="IGB38" s="372"/>
      <c r="IGC38" s="372"/>
      <c r="IGD38" s="372"/>
      <c r="IGE38" s="372"/>
      <c r="IGF38" s="372"/>
      <c r="IGG38" s="372"/>
      <c r="IGH38" s="372"/>
      <c r="IGI38" s="372"/>
      <c r="IGJ38" s="372"/>
      <c r="IGK38" s="372"/>
      <c r="IGL38" s="372"/>
      <c r="IGM38" s="372"/>
      <c r="IGN38" s="372"/>
      <c r="IGO38" s="372"/>
      <c r="IGP38" s="372"/>
      <c r="IGQ38" s="372"/>
      <c r="IGR38" s="372"/>
      <c r="IGS38" s="372"/>
      <c r="IGT38" s="372"/>
      <c r="IGU38" s="372"/>
      <c r="IGV38" s="372"/>
      <c r="IGW38" s="372"/>
      <c r="IGX38" s="372"/>
      <c r="IGY38" s="372"/>
      <c r="IGZ38" s="372"/>
      <c r="IHA38" s="372"/>
      <c r="IHB38" s="372"/>
      <c r="IHC38" s="372"/>
      <c r="IHD38" s="372"/>
      <c r="IHE38" s="372"/>
      <c r="IHF38" s="372"/>
      <c r="IHG38" s="372"/>
      <c r="IHH38" s="372"/>
      <c r="IHI38" s="372"/>
      <c r="IHJ38" s="372"/>
      <c r="IHK38" s="372"/>
      <c r="IHL38" s="372"/>
      <c r="IHM38" s="372"/>
      <c r="IHN38" s="372"/>
      <c r="IHO38" s="372"/>
      <c r="IHP38" s="372"/>
      <c r="IHQ38" s="372"/>
      <c r="IHR38" s="372"/>
      <c r="IHS38" s="372"/>
      <c r="IHT38" s="372"/>
      <c r="IHU38" s="372"/>
      <c r="IHV38" s="372"/>
      <c r="IHW38" s="372"/>
      <c r="IHX38" s="372"/>
      <c r="IHY38" s="372"/>
      <c r="IHZ38" s="372"/>
      <c r="IIA38" s="372"/>
      <c r="IIB38" s="372"/>
      <c r="IIC38" s="372"/>
      <c r="IID38" s="372"/>
      <c r="IIE38" s="372"/>
      <c r="IIF38" s="372"/>
      <c r="IIG38" s="372"/>
      <c r="IIH38" s="372"/>
      <c r="III38" s="372"/>
      <c r="IIJ38" s="372"/>
      <c r="IIK38" s="372"/>
      <c r="IIL38" s="372"/>
      <c r="IIM38" s="372"/>
      <c r="IIN38" s="372"/>
      <c r="IIO38" s="372"/>
      <c r="IIP38" s="372"/>
      <c r="IIQ38" s="372"/>
      <c r="IIR38" s="372"/>
      <c r="IIS38" s="372"/>
      <c r="IIT38" s="372"/>
      <c r="IIU38" s="372"/>
      <c r="IIV38" s="372"/>
      <c r="IIW38" s="372"/>
      <c r="IIX38" s="372"/>
      <c r="IIY38" s="372"/>
      <c r="IIZ38" s="372"/>
      <c r="IJA38" s="372"/>
      <c r="IJB38" s="372"/>
      <c r="IJC38" s="372"/>
      <c r="IJD38" s="372"/>
      <c r="IJE38" s="372"/>
      <c r="IJF38" s="372"/>
      <c r="IJG38" s="372"/>
      <c r="IJH38" s="372"/>
      <c r="IJI38" s="372"/>
      <c r="IJJ38" s="372"/>
      <c r="IJK38" s="372"/>
      <c r="IJL38" s="372"/>
      <c r="IJM38" s="372"/>
      <c r="IJN38" s="372"/>
      <c r="IJO38" s="372"/>
      <c r="IJP38" s="372"/>
      <c r="IJQ38" s="372"/>
      <c r="IJR38" s="372"/>
      <c r="IJS38" s="372"/>
      <c r="IJT38" s="372"/>
      <c r="IJU38" s="372"/>
      <c r="IJV38" s="372"/>
      <c r="IJW38" s="372"/>
      <c r="IJX38" s="372"/>
      <c r="IJY38" s="372"/>
      <c r="IJZ38" s="372"/>
      <c r="IKA38" s="372"/>
      <c r="IKB38" s="372"/>
      <c r="IKC38" s="372"/>
      <c r="IKD38" s="372"/>
      <c r="IKE38" s="372"/>
      <c r="IKF38" s="372"/>
      <c r="IKG38" s="372"/>
      <c r="IKH38" s="372"/>
      <c r="IKI38" s="372"/>
      <c r="IKJ38" s="372"/>
      <c r="IKK38" s="372"/>
      <c r="IKL38" s="372"/>
      <c r="IKM38" s="372"/>
      <c r="IKN38" s="372"/>
      <c r="IKO38" s="372"/>
      <c r="IKP38" s="372"/>
      <c r="IKQ38" s="372"/>
      <c r="IKR38" s="372"/>
      <c r="IKS38" s="372"/>
      <c r="IKT38" s="372"/>
      <c r="IKU38" s="372"/>
      <c r="IKV38" s="372"/>
      <c r="IKW38" s="372"/>
      <c r="IKX38" s="372"/>
      <c r="IKY38" s="372"/>
      <c r="IKZ38" s="372"/>
      <c r="ILA38" s="372"/>
      <c r="ILB38" s="372"/>
      <c r="ILC38" s="372"/>
      <c r="ILD38" s="372"/>
      <c r="ILE38" s="372"/>
      <c r="ILF38" s="372"/>
      <c r="ILG38" s="372"/>
      <c r="ILH38" s="372"/>
      <c r="ILI38" s="372"/>
      <c r="ILJ38" s="372"/>
      <c r="ILK38" s="372"/>
      <c r="ILL38" s="372"/>
      <c r="ILM38" s="372"/>
      <c r="ILN38" s="372"/>
      <c r="ILO38" s="372"/>
      <c r="ILP38" s="372"/>
      <c r="ILQ38" s="372"/>
      <c r="ILR38" s="372"/>
      <c r="ILS38" s="372"/>
      <c r="ILT38" s="372"/>
      <c r="ILU38" s="372"/>
      <c r="ILV38" s="372"/>
      <c r="ILW38" s="372"/>
      <c r="ILX38" s="372"/>
      <c r="ILY38" s="372"/>
      <c r="ILZ38" s="372"/>
      <c r="IMA38" s="372"/>
      <c r="IMB38" s="372"/>
      <c r="IMC38" s="372"/>
      <c r="IMD38" s="372"/>
      <c r="IME38" s="372"/>
      <c r="IMF38" s="372"/>
      <c r="IMG38" s="372"/>
      <c r="IMH38" s="372"/>
      <c r="IMI38" s="372"/>
      <c r="IMJ38" s="372"/>
      <c r="IMK38" s="372"/>
      <c r="IML38" s="372"/>
      <c r="IMM38" s="372"/>
      <c r="IMN38" s="372"/>
      <c r="IMO38" s="372"/>
      <c r="IMP38" s="372"/>
      <c r="IMQ38" s="372"/>
      <c r="IMR38" s="372"/>
      <c r="IMS38" s="372"/>
      <c r="IMT38" s="372"/>
      <c r="IMU38" s="372"/>
      <c r="IMV38" s="372"/>
      <c r="IMW38" s="372"/>
      <c r="IMX38" s="372"/>
      <c r="IMY38" s="372"/>
      <c r="IMZ38" s="372"/>
      <c r="INA38" s="372"/>
      <c r="INB38" s="372"/>
      <c r="INC38" s="372"/>
      <c r="IND38" s="372"/>
      <c r="INE38" s="372"/>
      <c r="INF38" s="372"/>
      <c r="ING38" s="372"/>
      <c r="INH38" s="372"/>
      <c r="INI38" s="372"/>
      <c r="INJ38" s="372"/>
      <c r="INK38" s="372"/>
      <c r="INL38" s="372"/>
      <c r="INM38" s="372"/>
      <c r="INN38" s="372"/>
      <c r="INO38" s="372"/>
      <c r="INP38" s="372"/>
      <c r="INQ38" s="372"/>
      <c r="INR38" s="372"/>
      <c r="INS38" s="372"/>
      <c r="INT38" s="372"/>
      <c r="INU38" s="372"/>
      <c r="INV38" s="372"/>
      <c r="INW38" s="372"/>
      <c r="INX38" s="372"/>
      <c r="INY38" s="372"/>
      <c r="INZ38" s="372"/>
      <c r="IOA38" s="372"/>
      <c r="IOB38" s="372"/>
      <c r="IOC38" s="372"/>
      <c r="IOD38" s="372"/>
      <c r="IOE38" s="372"/>
      <c r="IOF38" s="372"/>
      <c r="IOG38" s="372"/>
      <c r="IOH38" s="372"/>
      <c r="IOI38" s="372"/>
      <c r="IOJ38" s="372"/>
      <c r="IOK38" s="372"/>
      <c r="IOL38" s="372"/>
      <c r="IOM38" s="372"/>
      <c r="ION38" s="372"/>
      <c r="IOO38" s="372"/>
      <c r="IOP38" s="372"/>
      <c r="IOQ38" s="372"/>
      <c r="IOR38" s="372"/>
      <c r="IOS38" s="372"/>
      <c r="IOT38" s="372"/>
      <c r="IOU38" s="372"/>
      <c r="IOV38" s="372"/>
      <c r="IOW38" s="372"/>
      <c r="IOX38" s="372"/>
      <c r="IOY38" s="372"/>
      <c r="IOZ38" s="372"/>
      <c r="IPA38" s="372"/>
      <c r="IPB38" s="372"/>
      <c r="IPC38" s="372"/>
      <c r="IPD38" s="372"/>
      <c r="IPE38" s="372"/>
      <c r="IPF38" s="372"/>
      <c r="IPG38" s="372"/>
      <c r="IPH38" s="372"/>
      <c r="IPI38" s="372"/>
      <c r="IPJ38" s="372"/>
      <c r="IPK38" s="372"/>
      <c r="IPL38" s="372"/>
      <c r="IPM38" s="372"/>
      <c r="IPN38" s="372"/>
      <c r="IPO38" s="372"/>
      <c r="IPP38" s="372"/>
      <c r="IPQ38" s="372"/>
      <c r="IPR38" s="372"/>
      <c r="IPS38" s="372"/>
      <c r="IPT38" s="372"/>
      <c r="IPU38" s="372"/>
      <c r="IPV38" s="372"/>
      <c r="IPW38" s="372"/>
      <c r="IPX38" s="372"/>
      <c r="IPY38" s="372"/>
      <c r="IPZ38" s="372"/>
      <c r="IQA38" s="372"/>
      <c r="IQB38" s="372"/>
      <c r="IQC38" s="372"/>
      <c r="IQD38" s="372"/>
      <c r="IQE38" s="372"/>
      <c r="IQF38" s="372"/>
      <c r="IQG38" s="372"/>
      <c r="IQH38" s="372"/>
      <c r="IQI38" s="372"/>
      <c r="IQJ38" s="372"/>
      <c r="IQK38" s="372"/>
      <c r="IQL38" s="372"/>
      <c r="IQM38" s="372"/>
      <c r="IQN38" s="372"/>
      <c r="IQO38" s="372"/>
      <c r="IQP38" s="372"/>
      <c r="IQQ38" s="372"/>
      <c r="IQR38" s="372"/>
      <c r="IQS38" s="372"/>
      <c r="IQT38" s="372"/>
      <c r="IQU38" s="372"/>
      <c r="IQV38" s="372"/>
      <c r="IQW38" s="372"/>
      <c r="IQX38" s="372"/>
      <c r="IQY38" s="372"/>
      <c r="IQZ38" s="372"/>
      <c r="IRA38" s="372"/>
      <c r="IRB38" s="372"/>
      <c r="IRC38" s="372"/>
      <c r="IRD38" s="372"/>
      <c r="IRE38" s="372"/>
      <c r="IRF38" s="372"/>
      <c r="IRG38" s="372"/>
      <c r="IRH38" s="372"/>
      <c r="IRI38" s="372"/>
      <c r="IRJ38" s="372"/>
      <c r="IRK38" s="372"/>
      <c r="IRL38" s="372"/>
      <c r="IRM38" s="372"/>
      <c r="IRN38" s="372"/>
      <c r="IRO38" s="372"/>
      <c r="IRP38" s="372"/>
      <c r="IRQ38" s="372"/>
      <c r="IRR38" s="372"/>
      <c r="IRS38" s="372"/>
      <c r="IRT38" s="372"/>
      <c r="IRU38" s="372"/>
      <c r="IRV38" s="372"/>
      <c r="IRW38" s="372"/>
      <c r="IRX38" s="372"/>
      <c r="IRY38" s="372"/>
      <c r="IRZ38" s="372"/>
      <c r="ISA38" s="372"/>
      <c r="ISB38" s="372"/>
      <c r="ISC38" s="372"/>
      <c r="ISD38" s="372"/>
      <c r="ISE38" s="372"/>
      <c r="ISF38" s="372"/>
      <c r="ISG38" s="372"/>
      <c r="ISH38" s="372"/>
      <c r="ISI38" s="372"/>
      <c r="ISJ38" s="372"/>
      <c r="ISK38" s="372"/>
      <c r="ISL38" s="372"/>
      <c r="ISM38" s="372"/>
      <c r="ISN38" s="372"/>
      <c r="ISO38" s="372"/>
      <c r="ISP38" s="372"/>
      <c r="ISQ38" s="372"/>
      <c r="ISR38" s="372"/>
      <c r="ISS38" s="372"/>
      <c r="IST38" s="372"/>
      <c r="ISU38" s="372"/>
      <c r="ISV38" s="372"/>
      <c r="ISW38" s="372"/>
      <c r="ISX38" s="372"/>
      <c r="ISY38" s="372"/>
      <c r="ISZ38" s="372"/>
      <c r="ITA38" s="372"/>
      <c r="ITB38" s="372"/>
      <c r="ITC38" s="372"/>
      <c r="ITD38" s="372"/>
      <c r="ITE38" s="372"/>
      <c r="ITF38" s="372"/>
      <c r="ITG38" s="372"/>
      <c r="ITH38" s="372"/>
      <c r="ITI38" s="372"/>
      <c r="ITJ38" s="372"/>
      <c r="ITK38" s="372"/>
      <c r="ITL38" s="372"/>
      <c r="ITM38" s="372"/>
      <c r="ITN38" s="372"/>
      <c r="ITO38" s="372"/>
      <c r="ITP38" s="372"/>
      <c r="ITQ38" s="372"/>
      <c r="ITR38" s="372"/>
      <c r="ITS38" s="372"/>
      <c r="ITT38" s="372"/>
      <c r="ITU38" s="372"/>
      <c r="ITV38" s="372"/>
      <c r="ITW38" s="372"/>
      <c r="ITX38" s="372"/>
      <c r="ITY38" s="372"/>
      <c r="ITZ38" s="372"/>
      <c r="IUA38" s="372"/>
      <c r="IUB38" s="372"/>
      <c r="IUC38" s="372"/>
      <c r="IUD38" s="372"/>
      <c r="IUE38" s="372"/>
      <c r="IUF38" s="372"/>
      <c r="IUG38" s="372"/>
      <c r="IUH38" s="372"/>
      <c r="IUI38" s="372"/>
      <c r="IUJ38" s="372"/>
      <c r="IUK38" s="372"/>
      <c r="IUL38" s="372"/>
      <c r="IUM38" s="372"/>
      <c r="IUN38" s="372"/>
      <c r="IUO38" s="372"/>
      <c r="IUP38" s="372"/>
      <c r="IUQ38" s="372"/>
      <c r="IUR38" s="372"/>
      <c r="IUS38" s="372"/>
      <c r="IUT38" s="372"/>
      <c r="IUU38" s="372"/>
      <c r="IUV38" s="372"/>
      <c r="IUW38" s="372"/>
      <c r="IUX38" s="372"/>
      <c r="IUY38" s="372"/>
      <c r="IUZ38" s="372"/>
      <c r="IVA38" s="372"/>
      <c r="IVB38" s="372"/>
      <c r="IVC38" s="372"/>
      <c r="IVD38" s="372"/>
      <c r="IVE38" s="372"/>
      <c r="IVF38" s="372"/>
      <c r="IVG38" s="372"/>
      <c r="IVH38" s="372"/>
      <c r="IVI38" s="372"/>
      <c r="IVJ38" s="372"/>
      <c r="IVK38" s="372"/>
      <c r="IVL38" s="372"/>
      <c r="IVM38" s="372"/>
      <c r="IVN38" s="372"/>
      <c r="IVO38" s="372"/>
      <c r="IVP38" s="372"/>
      <c r="IVQ38" s="372"/>
      <c r="IVR38" s="372"/>
      <c r="IVS38" s="372"/>
      <c r="IVT38" s="372"/>
      <c r="IVU38" s="372"/>
      <c r="IVV38" s="372"/>
      <c r="IVW38" s="372"/>
      <c r="IVX38" s="372"/>
      <c r="IVY38" s="372"/>
      <c r="IVZ38" s="372"/>
      <c r="IWA38" s="372"/>
      <c r="IWB38" s="372"/>
      <c r="IWC38" s="372"/>
      <c r="IWD38" s="372"/>
      <c r="IWE38" s="372"/>
      <c r="IWF38" s="372"/>
      <c r="IWG38" s="372"/>
      <c r="IWH38" s="372"/>
      <c r="IWI38" s="372"/>
      <c r="IWJ38" s="372"/>
      <c r="IWK38" s="372"/>
      <c r="IWL38" s="372"/>
      <c r="IWM38" s="372"/>
      <c r="IWN38" s="372"/>
      <c r="IWO38" s="372"/>
      <c r="IWP38" s="372"/>
      <c r="IWQ38" s="372"/>
      <c r="IWR38" s="372"/>
      <c r="IWS38" s="372"/>
      <c r="IWT38" s="372"/>
      <c r="IWU38" s="372"/>
      <c r="IWV38" s="372"/>
      <c r="IWW38" s="372"/>
      <c r="IWX38" s="372"/>
      <c r="IWY38" s="372"/>
      <c r="IWZ38" s="372"/>
      <c r="IXA38" s="372"/>
      <c r="IXB38" s="372"/>
      <c r="IXC38" s="372"/>
      <c r="IXD38" s="372"/>
      <c r="IXE38" s="372"/>
      <c r="IXF38" s="372"/>
      <c r="IXG38" s="372"/>
      <c r="IXH38" s="372"/>
      <c r="IXI38" s="372"/>
      <c r="IXJ38" s="372"/>
      <c r="IXK38" s="372"/>
      <c r="IXL38" s="372"/>
      <c r="IXM38" s="372"/>
      <c r="IXN38" s="372"/>
      <c r="IXO38" s="372"/>
      <c r="IXP38" s="372"/>
      <c r="IXQ38" s="372"/>
      <c r="IXR38" s="372"/>
      <c r="IXS38" s="372"/>
      <c r="IXT38" s="372"/>
      <c r="IXU38" s="372"/>
      <c r="IXV38" s="372"/>
      <c r="IXW38" s="372"/>
      <c r="IXX38" s="372"/>
      <c r="IXY38" s="372"/>
      <c r="IXZ38" s="372"/>
      <c r="IYA38" s="372"/>
      <c r="IYB38" s="372"/>
      <c r="IYC38" s="372"/>
      <c r="IYD38" s="372"/>
      <c r="IYE38" s="372"/>
      <c r="IYF38" s="372"/>
      <c r="IYG38" s="372"/>
      <c r="IYH38" s="372"/>
      <c r="IYI38" s="372"/>
      <c r="IYJ38" s="372"/>
      <c r="IYK38" s="372"/>
      <c r="IYL38" s="372"/>
      <c r="IYM38" s="372"/>
      <c r="IYN38" s="372"/>
      <c r="IYO38" s="372"/>
      <c r="IYP38" s="372"/>
      <c r="IYQ38" s="372"/>
      <c r="IYR38" s="372"/>
      <c r="IYS38" s="372"/>
      <c r="IYT38" s="372"/>
      <c r="IYU38" s="372"/>
      <c r="IYV38" s="372"/>
      <c r="IYW38" s="372"/>
      <c r="IYX38" s="372"/>
      <c r="IYY38" s="372"/>
      <c r="IYZ38" s="372"/>
      <c r="IZA38" s="372"/>
      <c r="IZB38" s="372"/>
      <c r="IZC38" s="372"/>
      <c r="IZD38" s="372"/>
      <c r="IZE38" s="372"/>
      <c r="IZF38" s="372"/>
      <c r="IZG38" s="372"/>
      <c r="IZH38" s="372"/>
      <c r="IZI38" s="372"/>
      <c r="IZJ38" s="372"/>
      <c r="IZK38" s="372"/>
      <c r="IZL38" s="372"/>
      <c r="IZM38" s="372"/>
      <c r="IZN38" s="372"/>
      <c r="IZO38" s="372"/>
      <c r="IZP38" s="372"/>
      <c r="IZQ38" s="372"/>
      <c r="IZR38" s="372"/>
      <c r="IZS38" s="372"/>
      <c r="IZT38" s="372"/>
      <c r="IZU38" s="372"/>
      <c r="IZV38" s="372"/>
      <c r="IZW38" s="372"/>
      <c r="IZX38" s="372"/>
      <c r="IZY38" s="372"/>
      <c r="IZZ38" s="372"/>
      <c r="JAA38" s="372"/>
      <c r="JAB38" s="372"/>
      <c r="JAC38" s="372"/>
      <c r="JAD38" s="372"/>
      <c r="JAE38" s="372"/>
      <c r="JAF38" s="372"/>
      <c r="JAG38" s="372"/>
      <c r="JAH38" s="372"/>
      <c r="JAI38" s="372"/>
      <c r="JAJ38" s="372"/>
      <c r="JAK38" s="372"/>
      <c r="JAL38" s="372"/>
      <c r="JAM38" s="372"/>
      <c r="JAN38" s="372"/>
      <c r="JAO38" s="372"/>
      <c r="JAP38" s="372"/>
      <c r="JAQ38" s="372"/>
      <c r="JAR38" s="372"/>
      <c r="JAS38" s="372"/>
      <c r="JAT38" s="372"/>
      <c r="JAU38" s="372"/>
      <c r="JAV38" s="372"/>
      <c r="JAW38" s="372"/>
      <c r="JAX38" s="372"/>
      <c r="JAY38" s="372"/>
      <c r="JAZ38" s="372"/>
      <c r="JBA38" s="372"/>
      <c r="JBB38" s="372"/>
      <c r="JBC38" s="372"/>
      <c r="JBD38" s="372"/>
      <c r="JBE38" s="372"/>
      <c r="JBF38" s="372"/>
      <c r="JBG38" s="372"/>
      <c r="JBH38" s="372"/>
      <c r="JBI38" s="372"/>
      <c r="JBJ38" s="372"/>
      <c r="JBK38" s="372"/>
      <c r="JBL38" s="372"/>
      <c r="JBM38" s="372"/>
      <c r="JBN38" s="372"/>
      <c r="JBO38" s="372"/>
      <c r="JBP38" s="372"/>
      <c r="JBQ38" s="372"/>
      <c r="JBR38" s="372"/>
      <c r="JBS38" s="372"/>
      <c r="JBT38" s="372"/>
      <c r="JBU38" s="372"/>
      <c r="JBV38" s="372"/>
      <c r="JBW38" s="372"/>
      <c r="JBX38" s="372"/>
      <c r="JBY38" s="372"/>
      <c r="JBZ38" s="372"/>
      <c r="JCA38" s="372"/>
      <c r="JCB38" s="372"/>
      <c r="JCC38" s="372"/>
      <c r="JCD38" s="372"/>
      <c r="JCE38" s="372"/>
      <c r="JCF38" s="372"/>
      <c r="JCG38" s="372"/>
      <c r="JCH38" s="372"/>
      <c r="JCI38" s="372"/>
      <c r="JCJ38" s="372"/>
      <c r="JCK38" s="372"/>
      <c r="JCL38" s="372"/>
      <c r="JCM38" s="372"/>
      <c r="JCN38" s="372"/>
      <c r="JCO38" s="372"/>
      <c r="JCP38" s="372"/>
      <c r="JCQ38" s="372"/>
      <c r="JCR38" s="372"/>
      <c r="JCS38" s="372"/>
      <c r="JCT38" s="372"/>
      <c r="JCU38" s="372"/>
      <c r="JCV38" s="372"/>
      <c r="JCW38" s="372"/>
      <c r="JCX38" s="372"/>
      <c r="JCY38" s="372"/>
      <c r="JCZ38" s="372"/>
      <c r="JDA38" s="372"/>
      <c r="JDB38" s="372"/>
      <c r="JDC38" s="372"/>
      <c r="JDD38" s="372"/>
      <c r="JDE38" s="372"/>
      <c r="JDF38" s="372"/>
      <c r="JDG38" s="372"/>
      <c r="JDH38" s="372"/>
      <c r="JDI38" s="372"/>
      <c r="JDJ38" s="372"/>
      <c r="JDK38" s="372"/>
      <c r="JDL38" s="372"/>
      <c r="JDM38" s="372"/>
      <c r="JDN38" s="372"/>
      <c r="JDO38" s="372"/>
      <c r="JDP38" s="372"/>
      <c r="JDQ38" s="372"/>
      <c r="JDR38" s="372"/>
      <c r="JDS38" s="372"/>
      <c r="JDT38" s="372"/>
      <c r="JDU38" s="372"/>
      <c r="JDV38" s="372"/>
      <c r="JDW38" s="372"/>
      <c r="JDX38" s="372"/>
      <c r="JDY38" s="372"/>
      <c r="JDZ38" s="372"/>
      <c r="JEA38" s="372"/>
      <c r="JEB38" s="372"/>
      <c r="JEC38" s="372"/>
      <c r="JED38" s="372"/>
      <c r="JEE38" s="372"/>
      <c r="JEF38" s="372"/>
      <c r="JEG38" s="372"/>
      <c r="JEH38" s="372"/>
      <c r="JEI38" s="372"/>
      <c r="JEJ38" s="372"/>
      <c r="JEK38" s="372"/>
      <c r="JEL38" s="372"/>
      <c r="JEM38" s="372"/>
      <c r="JEN38" s="372"/>
      <c r="JEO38" s="372"/>
      <c r="JEP38" s="372"/>
      <c r="JEQ38" s="372"/>
      <c r="JER38" s="372"/>
      <c r="JES38" s="372"/>
      <c r="JET38" s="372"/>
      <c r="JEU38" s="372"/>
      <c r="JEV38" s="372"/>
      <c r="JEW38" s="372"/>
      <c r="JEX38" s="372"/>
      <c r="JEY38" s="372"/>
      <c r="JEZ38" s="372"/>
      <c r="JFA38" s="372"/>
      <c r="JFB38" s="372"/>
      <c r="JFC38" s="372"/>
      <c r="JFD38" s="372"/>
      <c r="JFE38" s="372"/>
      <c r="JFF38" s="372"/>
      <c r="JFG38" s="372"/>
      <c r="JFH38" s="372"/>
      <c r="JFI38" s="372"/>
      <c r="JFJ38" s="372"/>
      <c r="JFK38" s="372"/>
      <c r="JFL38" s="372"/>
      <c r="JFM38" s="372"/>
      <c r="JFN38" s="372"/>
      <c r="JFO38" s="372"/>
      <c r="JFP38" s="372"/>
      <c r="JFQ38" s="372"/>
      <c r="JFR38" s="372"/>
      <c r="JFS38" s="372"/>
      <c r="JFT38" s="372"/>
      <c r="JFU38" s="372"/>
      <c r="JFV38" s="372"/>
      <c r="JFW38" s="372"/>
      <c r="JFX38" s="372"/>
      <c r="JFY38" s="372"/>
      <c r="JFZ38" s="372"/>
      <c r="JGA38" s="372"/>
      <c r="JGB38" s="372"/>
      <c r="JGC38" s="372"/>
      <c r="JGD38" s="372"/>
      <c r="JGE38" s="372"/>
      <c r="JGF38" s="372"/>
      <c r="JGG38" s="372"/>
      <c r="JGH38" s="372"/>
      <c r="JGI38" s="372"/>
      <c r="JGJ38" s="372"/>
      <c r="JGK38" s="372"/>
      <c r="JGL38" s="372"/>
      <c r="JGM38" s="372"/>
      <c r="JGN38" s="372"/>
      <c r="JGO38" s="372"/>
      <c r="JGP38" s="372"/>
      <c r="JGQ38" s="372"/>
      <c r="JGR38" s="372"/>
      <c r="JGS38" s="372"/>
      <c r="JGT38" s="372"/>
      <c r="JGU38" s="372"/>
      <c r="JGV38" s="372"/>
      <c r="JGW38" s="372"/>
      <c r="JGX38" s="372"/>
      <c r="JGY38" s="372"/>
      <c r="JGZ38" s="372"/>
      <c r="JHA38" s="372"/>
      <c r="JHB38" s="372"/>
      <c r="JHC38" s="372"/>
      <c r="JHD38" s="372"/>
      <c r="JHE38" s="372"/>
      <c r="JHF38" s="372"/>
      <c r="JHG38" s="372"/>
      <c r="JHH38" s="372"/>
      <c r="JHI38" s="372"/>
      <c r="JHJ38" s="372"/>
      <c r="JHK38" s="372"/>
      <c r="JHL38" s="372"/>
      <c r="JHM38" s="372"/>
      <c r="JHN38" s="372"/>
      <c r="JHO38" s="372"/>
      <c r="JHP38" s="372"/>
      <c r="JHQ38" s="372"/>
      <c r="JHR38" s="372"/>
      <c r="JHS38" s="372"/>
      <c r="JHT38" s="372"/>
      <c r="JHU38" s="372"/>
      <c r="JHV38" s="372"/>
      <c r="JHW38" s="372"/>
      <c r="JHX38" s="372"/>
      <c r="JHY38" s="372"/>
      <c r="JHZ38" s="372"/>
      <c r="JIA38" s="372"/>
      <c r="JIB38" s="372"/>
      <c r="JIC38" s="372"/>
      <c r="JID38" s="372"/>
      <c r="JIE38" s="372"/>
      <c r="JIF38" s="372"/>
      <c r="JIG38" s="372"/>
      <c r="JIH38" s="372"/>
      <c r="JII38" s="372"/>
      <c r="JIJ38" s="372"/>
      <c r="JIK38" s="372"/>
      <c r="JIL38" s="372"/>
      <c r="JIM38" s="372"/>
      <c r="JIN38" s="372"/>
      <c r="JIO38" s="372"/>
      <c r="JIP38" s="372"/>
      <c r="JIQ38" s="372"/>
      <c r="JIR38" s="372"/>
      <c r="JIS38" s="372"/>
      <c r="JIT38" s="372"/>
      <c r="JIU38" s="372"/>
      <c r="JIV38" s="372"/>
      <c r="JIW38" s="372"/>
      <c r="JIX38" s="372"/>
      <c r="JIY38" s="372"/>
      <c r="JIZ38" s="372"/>
      <c r="JJA38" s="372"/>
      <c r="JJB38" s="372"/>
      <c r="JJC38" s="372"/>
      <c r="JJD38" s="372"/>
      <c r="JJE38" s="372"/>
      <c r="JJF38" s="372"/>
      <c r="JJG38" s="372"/>
      <c r="JJH38" s="372"/>
      <c r="JJI38" s="372"/>
      <c r="JJJ38" s="372"/>
      <c r="JJK38" s="372"/>
      <c r="JJL38" s="372"/>
      <c r="JJM38" s="372"/>
      <c r="JJN38" s="372"/>
      <c r="JJO38" s="372"/>
      <c r="JJP38" s="372"/>
      <c r="JJQ38" s="372"/>
      <c r="JJR38" s="372"/>
      <c r="JJS38" s="372"/>
      <c r="JJT38" s="372"/>
      <c r="JJU38" s="372"/>
      <c r="JJV38" s="372"/>
      <c r="JJW38" s="372"/>
      <c r="JJX38" s="372"/>
      <c r="JJY38" s="372"/>
      <c r="JJZ38" s="372"/>
      <c r="JKA38" s="372"/>
      <c r="JKB38" s="372"/>
      <c r="JKC38" s="372"/>
      <c r="JKD38" s="372"/>
      <c r="JKE38" s="372"/>
      <c r="JKF38" s="372"/>
      <c r="JKG38" s="372"/>
      <c r="JKH38" s="372"/>
      <c r="JKI38" s="372"/>
      <c r="JKJ38" s="372"/>
      <c r="JKK38" s="372"/>
      <c r="JKL38" s="372"/>
      <c r="JKM38" s="372"/>
      <c r="JKN38" s="372"/>
      <c r="JKO38" s="372"/>
      <c r="JKP38" s="372"/>
      <c r="JKQ38" s="372"/>
      <c r="JKR38" s="372"/>
      <c r="JKS38" s="372"/>
      <c r="JKT38" s="372"/>
      <c r="JKU38" s="372"/>
      <c r="JKV38" s="372"/>
      <c r="JKW38" s="372"/>
      <c r="JKX38" s="372"/>
      <c r="JKY38" s="372"/>
      <c r="JKZ38" s="372"/>
      <c r="JLA38" s="372"/>
      <c r="JLB38" s="372"/>
      <c r="JLC38" s="372"/>
      <c r="JLD38" s="372"/>
      <c r="JLE38" s="372"/>
      <c r="JLF38" s="372"/>
      <c r="JLG38" s="372"/>
      <c r="JLH38" s="372"/>
      <c r="JLI38" s="372"/>
      <c r="JLJ38" s="372"/>
      <c r="JLK38" s="372"/>
      <c r="JLL38" s="372"/>
      <c r="JLM38" s="372"/>
      <c r="JLN38" s="372"/>
      <c r="JLO38" s="372"/>
      <c r="JLP38" s="372"/>
      <c r="JLQ38" s="372"/>
      <c r="JLR38" s="372"/>
      <c r="JLS38" s="372"/>
      <c r="JLT38" s="372"/>
      <c r="JLU38" s="372"/>
      <c r="JLV38" s="372"/>
      <c r="JLW38" s="372"/>
      <c r="JLX38" s="372"/>
      <c r="JLY38" s="372"/>
      <c r="JLZ38" s="372"/>
      <c r="JMA38" s="372"/>
      <c r="JMB38" s="372"/>
      <c r="JMC38" s="372"/>
      <c r="JMD38" s="372"/>
      <c r="JME38" s="372"/>
      <c r="JMF38" s="372"/>
      <c r="JMG38" s="372"/>
      <c r="JMH38" s="372"/>
      <c r="JMI38" s="372"/>
      <c r="JMJ38" s="372"/>
      <c r="JMK38" s="372"/>
      <c r="JML38" s="372"/>
      <c r="JMM38" s="372"/>
      <c r="JMN38" s="372"/>
      <c r="JMO38" s="372"/>
      <c r="JMP38" s="372"/>
      <c r="JMQ38" s="372"/>
      <c r="JMR38" s="372"/>
      <c r="JMS38" s="372"/>
      <c r="JMT38" s="372"/>
      <c r="JMU38" s="372"/>
      <c r="JMV38" s="372"/>
      <c r="JMW38" s="372"/>
      <c r="JMX38" s="372"/>
      <c r="JMY38" s="372"/>
      <c r="JMZ38" s="372"/>
      <c r="JNA38" s="372"/>
      <c r="JNB38" s="372"/>
      <c r="JNC38" s="372"/>
      <c r="JND38" s="372"/>
      <c r="JNE38" s="372"/>
      <c r="JNF38" s="372"/>
      <c r="JNG38" s="372"/>
      <c r="JNH38" s="372"/>
      <c r="JNI38" s="372"/>
      <c r="JNJ38" s="372"/>
      <c r="JNK38" s="372"/>
      <c r="JNL38" s="372"/>
      <c r="JNM38" s="372"/>
      <c r="JNN38" s="372"/>
      <c r="JNO38" s="372"/>
      <c r="JNP38" s="372"/>
      <c r="JNQ38" s="372"/>
      <c r="JNR38" s="372"/>
      <c r="JNS38" s="372"/>
      <c r="JNT38" s="372"/>
      <c r="JNU38" s="372"/>
      <c r="JNV38" s="372"/>
      <c r="JNW38" s="372"/>
      <c r="JNX38" s="372"/>
      <c r="JNY38" s="372"/>
      <c r="JNZ38" s="372"/>
      <c r="JOA38" s="372"/>
      <c r="JOB38" s="372"/>
      <c r="JOC38" s="372"/>
      <c r="JOD38" s="372"/>
      <c r="JOE38" s="372"/>
      <c r="JOF38" s="372"/>
      <c r="JOG38" s="372"/>
      <c r="JOH38" s="372"/>
      <c r="JOI38" s="372"/>
      <c r="JOJ38" s="372"/>
      <c r="JOK38" s="372"/>
      <c r="JOL38" s="372"/>
      <c r="JOM38" s="372"/>
      <c r="JON38" s="372"/>
      <c r="JOO38" s="372"/>
      <c r="JOP38" s="372"/>
      <c r="JOQ38" s="372"/>
      <c r="JOR38" s="372"/>
      <c r="JOS38" s="372"/>
      <c r="JOT38" s="372"/>
      <c r="JOU38" s="372"/>
      <c r="JOV38" s="372"/>
      <c r="JOW38" s="372"/>
      <c r="JOX38" s="372"/>
      <c r="JOY38" s="372"/>
      <c r="JOZ38" s="372"/>
      <c r="JPA38" s="372"/>
      <c r="JPB38" s="372"/>
      <c r="JPC38" s="372"/>
      <c r="JPD38" s="372"/>
      <c r="JPE38" s="372"/>
      <c r="JPF38" s="372"/>
      <c r="JPG38" s="372"/>
      <c r="JPH38" s="372"/>
      <c r="JPI38" s="372"/>
      <c r="JPJ38" s="372"/>
      <c r="JPK38" s="372"/>
      <c r="JPL38" s="372"/>
      <c r="JPM38" s="372"/>
      <c r="JPN38" s="372"/>
      <c r="JPO38" s="372"/>
      <c r="JPP38" s="372"/>
      <c r="JPQ38" s="372"/>
      <c r="JPR38" s="372"/>
      <c r="JPS38" s="372"/>
      <c r="JPT38" s="372"/>
      <c r="JPU38" s="372"/>
      <c r="JPV38" s="372"/>
      <c r="JPW38" s="372"/>
      <c r="JPX38" s="372"/>
      <c r="JPY38" s="372"/>
      <c r="JPZ38" s="372"/>
      <c r="JQA38" s="372"/>
      <c r="JQB38" s="372"/>
      <c r="JQC38" s="372"/>
      <c r="JQD38" s="372"/>
      <c r="JQE38" s="372"/>
      <c r="JQF38" s="372"/>
      <c r="JQG38" s="372"/>
      <c r="JQH38" s="372"/>
      <c r="JQI38" s="372"/>
      <c r="JQJ38" s="372"/>
      <c r="JQK38" s="372"/>
      <c r="JQL38" s="372"/>
      <c r="JQM38" s="372"/>
      <c r="JQN38" s="372"/>
      <c r="JQO38" s="372"/>
      <c r="JQP38" s="372"/>
      <c r="JQQ38" s="372"/>
      <c r="JQR38" s="372"/>
      <c r="JQS38" s="372"/>
      <c r="JQT38" s="372"/>
      <c r="JQU38" s="372"/>
      <c r="JQV38" s="372"/>
      <c r="JQW38" s="372"/>
      <c r="JQX38" s="372"/>
      <c r="JQY38" s="372"/>
      <c r="JQZ38" s="372"/>
      <c r="JRA38" s="372"/>
      <c r="JRB38" s="372"/>
      <c r="JRC38" s="372"/>
      <c r="JRD38" s="372"/>
      <c r="JRE38" s="372"/>
      <c r="JRF38" s="372"/>
      <c r="JRG38" s="372"/>
      <c r="JRH38" s="372"/>
      <c r="JRI38" s="372"/>
      <c r="JRJ38" s="372"/>
      <c r="JRK38" s="372"/>
      <c r="JRL38" s="372"/>
      <c r="JRM38" s="372"/>
      <c r="JRN38" s="372"/>
      <c r="JRO38" s="372"/>
      <c r="JRP38" s="372"/>
      <c r="JRQ38" s="372"/>
      <c r="JRR38" s="372"/>
      <c r="JRS38" s="372"/>
      <c r="JRT38" s="372"/>
      <c r="JRU38" s="372"/>
      <c r="JRV38" s="372"/>
      <c r="JRW38" s="372"/>
      <c r="JRX38" s="372"/>
      <c r="JRY38" s="372"/>
      <c r="JRZ38" s="372"/>
      <c r="JSA38" s="372"/>
      <c r="JSB38" s="372"/>
      <c r="JSC38" s="372"/>
      <c r="JSD38" s="372"/>
      <c r="JSE38" s="372"/>
      <c r="JSF38" s="372"/>
      <c r="JSG38" s="372"/>
      <c r="JSH38" s="372"/>
      <c r="JSI38" s="372"/>
      <c r="JSJ38" s="372"/>
      <c r="JSK38" s="372"/>
      <c r="JSL38" s="372"/>
      <c r="JSM38" s="372"/>
      <c r="JSN38" s="372"/>
      <c r="JSO38" s="372"/>
      <c r="JSP38" s="372"/>
      <c r="JSQ38" s="372"/>
      <c r="JSR38" s="372"/>
      <c r="JSS38" s="372"/>
      <c r="JST38" s="372"/>
      <c r="JSU38" s="372"/>
      <c r="JSV38" s="372"/>
      <c r="JSW38" s="372"/>
      <c r="JSX38" s="372"/>
      <c r="JSY38" s="372"/>
      <c r="JSZ38" s="372"/>
      <c r="JTA38" s="372"/>
      <c r="JTB38" s="372"/>
      <c r="JTC38" s="372"/>
      <c r="JTD38" s="372"/>
      <c r="JTE38" s="372"/>
      <c r="JTF38" s="372"/>
      <c r="JTG38" s="372"/>
      <c r="JTH38" s="372"/>
      <c r="JTI38" s="372"/>
      <c r="JTJ38" s="372"/>
      <c r="JTK38" s="372"/>
      <c r="JTL38" s="372"/>
      <c r="JTM38" s="372"/>
      <c r="JTN38" s="372"/>
      <c r="JTO38" s="372"/>
      <c r="JTP38" s="372"/>
      <c r="JTQ38" s="372"/>
      <c r="JTR38" s="372"/>
      <c r="JTS38" s="372"/>
      <c r="JTT38" s="372"/>
      <c r="JTU38" s="372"/>
      <c r="JTV38" s="372"/>
      <c r="JTW38" s="372"/>
      <c r="JTX38" s="372"/>
      <c r="JTY38" s="372"/>
      <c r="JTZ38" s="372"/>
      <c r="JUA38" s="372"/>
      <c r="JUB38" s="372"/>
      <c r="JUC38" s="372"/>
      <c r="JUD38" s="372"/>
      <c r="JUE38" s="372"/>
      <c r="JUF38" s="372"/>
      <c r="JUG38" s="372"/>
      <c r="JUH38" s="372"/>
      <c r="JUI38" s="372"/>
      <c r="JUJ38" s="372"/>
      <c r="JUK38" s="372"/>
      <c r="JUL38" s="372"/>
      <c r="JUM38" s="372"/>
      <c r="JUN38" s="372"/>
      <c r="JUO38" s="372"/>
      <c r="JUP38" s="372"/>
      <c r="JUQ38" s="372"/>
      <c r="JUR38" s="372"/>
      <c r="JUS38" s="372"/>
      <c r="JUT38" s="372"/>
      <c r="JUU38" s="372"/>
      <c r="JUV38" s="372"/>
      <c r="JUW38" s="372"/>
      <c r="JUX38" s="372"/>
      <c r="JUY38" s="372"/>
      <c r="JUZ38" s="372"/>
      <c r="JVA38" s="372"/>
      <c r="JVB38" s="372"/>
      <c r="JVC38" s="372"/>
      <c r="JVD38" s="372"/>
      <c r="JVE38" s="372"/>
      <c r="JVF38" s="372"/>
      <c r="JVG38" s="372"/>
      <c r="JVH38" s="372"/>
      <c r="JVI38" s="372"/>
      <c r="JVJ38" s="372"/>
      <c r="JVK38" s="372"/>
      <c r="JVL38" s="372"/>
      <c r="JVM38" s="372"/>
      <c r="JVN38" s="372"/>
      <c r="JVO38" s="372"/>
      <c r="JVP38" s="372"/>
      <c r="JVQ38" s="372"/>
      <c r="JVR38" s="372"/>
      <c r="JVS38" s="372"/>
      <c r="JVT38" s="372"/>
      <c r="JVU38" s="372"/>
      <c r="JVV38" s="372"/>
      <c r="JVW38" s="372"/>
      <c r="JVX38" s="372"/>
      <c r="JVY38" s="372"/>
      <c r="JVZ38" s="372"/>
      <c r="JWA38" s="372"/>
      <c r="JWB38" s="372"/>
      <c r="JWC38" s="372"/>
      <c r="JWD38" s="372"/>
      <c r="JWE38" s="372"/>
      <c r="JWF38" s="372"/>
      <c r="JWG38" s="372"/>
      <c r="JWH38" s="372"/>
      <c r="JWI38" s="372"/>
      <c r="JWJ38" s="372"/>
      <c r="JWK38" s="372"/>
      <c r="JWL38" s="372"/>
      <c r="JWM38" s="372"/>
      <c r="JWN38" s="372"/>
      <c r="JWO38" s="372"/>
      <c r="JWP38" s="372"/>
      <c r="JWQ38" s="372"/>
      <c r="JWR38" s="372"/>
      <c r="JWS38" s="372"/>
      <c r="JWT38" s="372"/>
      <c r="JWU38" s="372"/>
      <c r="JWV38" s="372"/>
      <c r="JWW38" s="372"/>
      <c r="JWX38" s="372"/>
      <c r="JWY38" s="372"/>
      <c r="JWZ38" s="372"/>
      <c r="JXA38" s="372"/>
      <c r="JXB38" s="372"/>
      <c r="JXC38" s="372"/>
      <c r="JXD38" s="372"/>
      <c r="JXE38" s="372"/>
      <c r="JXF38" s="372"/>
      <c r="JXG38" s="372"/>
      <c r="JXH38" s="372"/>
      <c r="JXI38" s="372"/>
      <c r="JXJ38" s="372"/>
      <c r="JXK38" s="372"/>
      <c r="JXL38" s="372"/>
      <c r="JXM38" s="372"/>
      <c r="JXN38" s="372"/>
      <c r="JXO38" s="372"/>
      <c r="JXP38" s="372"/>
      <c r="JXQ38" s="372"/>
      <c r="JXR38" s="372"/>
      <c r="JXS38" s="372"/>
      <c r="JXT38" s="372"/>
      <c r="JXU38" s="372"/>
      <c r="JXV38" s="372"/>
      <c r="JXW38" s="372"/>
      <c r="JXX38" s="372"/>
      <c r="JXY38" s="372"/>
      <c r="JXZ38" s="372"/>
      <c r="JYA38" s="372"/>
      <c r="JYB38" s="372"/>
      <c r="JYC38" s="372"/>
      <c r="JYD38" s="372"/>
      <c r="JYE38" s="372"/>
      <c r="JYF38" s="372"/>
      <c r="JYG38" s="372"/>
      <c r="JYH38" s="372"/>
      <c r="JYI38" s="372"/>
      <c r="JYJ38" s="372"/>
      <c r="JYK38" s="372"/>
      <c r="JYL38" s="372"/>
      <c r="JYM38" s="372"/>
      <c r="JYN38" s="372"/>
      <c r="JYO38" s="372"/>
      <c r="JYP38" s="372"/>
      <c r="JYQ38" s="372"/>
      <c r="JYR38" s="372"/>
      <c r="JYS38" s="372"/>
      <c r="JYT38" s="372"/>
      <c r="JYU38" s="372"/>
      <c r="JYV38" s="372"/>
      <c r="JYW38" s="372"/>
      <c r="JYX38" s="372"/>
      <c r="JYY38" s="372"/>
      <c r="JYZ38" s="372"/>
      <c r="JZA38" s="372"/>
      <c r="JZB38" s="372"/>
      <c r="JZC38" s="372"/>
      <c r="JZD38" s="372"/>
      <c r="JZE38" s="372"/>
      <c r="JZF38" s="372"/>
      <c r="JZG38" s="372"/>
      <c r="JZH38" s="372"/>
      <c r="JZI38" s="372"/>
      <c r="JZJ38" s="372"/>
      <c r="JZK38" s="372"/>
      <c r="JZL38" s="372"/>
      <c r="JZM38" s="372"/>
      <c r="JZN38" s="372"/>
      <c r="JZO38" s="372"/>
      <c r="JZP38" s="372"/>
      <c r="JZQ38" s="372"/>
      <c r="JZR38" s="372"/>
      <c r="JZS38" s="372"/>
      <c r="JZT38" s="372"/>
      <c r="JZU38" s="372"/>
      <c r="JZV38" s="372"/>
      <c r="JZW38" s="372"/>
      <c r="JZX38" s="372"/>
      <c r="JZY38" s="372"/>
      <c r="JZZ38" s="372"/>
      <c r="KAA38" s="372"/>
      <c r="KAB38" s="372"/>
      <c r="KAC38" s="372"/>
      <c r="KAD38" s="372"/>
      <c r="KAE38" s="372"/>
      <c r="KAF38" s="372"/>
      <c r="KAG38" s="372"/>
      <c r="KAH38" s="372"/>
      <c r="KAI38" s="372"/>
      <c r="KAJ38" s="372"/>
      <c r="KAK38" s="372"/>
      <c r="KAL38" s="372"/>
      <c r="KAM38" s="372"/>
      <c r="KAN38" s="372"/>
      <c r="KAO38" s="372"/>
      <c r="KAP38" s="372"/>
      <c r="KAQ38" s="372"/>
      <c r="KAR38" s="372"/>
      <c r="KAS38" s="372"/>
      <c r="KAT38" s="372"/>
      <c r="KAU38" s="372"/>
      <c r="KAV38" s="372"/>
      <c r="KAW38" s="372"/>
      <c r="KAX38" s="372"/>
      <c r="KAY38" s="372"/>
      <c r="KAZ38" s="372"/>
      <c r="KBA38" s="372"/>
      <c r="KBB38" s="372"/>
      <c r="KBC38" s="372"/>
      <c r="KBD38" s="372"/>
      <c r="KBE38" s="372"/>
      <c r="KBF38" s="372"/>
      <c r="KBG38" s="372"/>
      <c r="KBH38" s="372"/>
      <c r="KBI38" s="372"/>
      <c r="KBJ38" s="372"/>
      <c r="KBK38" s="372"/>
      <c r="KBL38" s="372"/>
      <c r="KBM38" s="372"/>
      <c r="KBN38" s="372"/>
      <c r="KBO38" s="372"/>
      <c r="KBP38" s="372"/>
      <c r="KBQ38" s="372"/>
      <c r="KBR38" s="372"/>
      <c r="KBS38" s="372"/>
      <c r="KBT38" s="372"/>
      <c r="KBU38" s="372"/>
      <c r="KBV38" s="372"/>
      <c r="KBW38" s="372"/>
      <c r="KBX38" s="372"/>
      <c r="KBY38" s="372"/>
      <c r="KBZ38" s="372"/>
      <c r="KCA38" s="372"/>
      <c r="KCB38" s="372"/>
      <c r="KCC38" s="372"/>
      <c r="KCD38" s="372"/>
      <c r="KCE38" s="372"/>
      <c r="KCF38" s="372"/>
      <c r="KCG38" s="372"/>
      <c r="KCH38" s="372"/>
      <c r="KCI38" s="372"/>
      <c r="KCJ38" s="372"/>
      <c r="KCK38" s="372"/>
      <c r="KCL38" s="372"/>
      <c r="KCM38" s="372"/>
      <c r="KCN38" s="372"/>
      <c r="KCO38" s="372"/>
      <c r="KCP38" s="372"/>
      <c r="KCQ38" s="372"/>
      <c r="KCR38" s="372"/>
      <c r="KCS38" s="372"/>
      <c r="KCT38" s="372"/>
      <c r="KCU38" s="372"/>
      <c r="KCV38" s="372"/>
      <c r="KCW38" s="372"/>
      <c r="KCX38" s="372"/>
      <c r="KCY38" s="372"/>
      <c r="KCZ38" s="372"/>
      <c r="KDA38" s="372"/>
      <c r="KDB38" s="372"/>
      <c r="KDC38" s="372"/>
      <c r="KDD38" s="372"/>
      <c r="KDE38" s="372"/>
      <c r="KDF38" s="372"/>
      <c r="KDG38" s="372"/>
      <c r="KDH38" s="372"/>
      <c r="KDI38" s="372"/>
      <c r="KDJ38" s="372"/>
      <c r="KDK38" s="372"/>
      <c r="KDL38" s="372"/>
      <c r="KDM38" s="372"/>
      <c r="KDN38" s="372"/>
      <c r="KDO38" s="372"/>
      <c r="KDP38" s="372"/>
      <c r="KDQ38" s="372"/>
      <c r="KDR38" s="372"/>
      <c r="KDS38" s="372"/>
      <c r="KDT38" s="372"/>
      <c r="KDU38" s="372"/>
      <c r="KDV38" s="372"/>
      <c r="KDW38" s="372"/>
      <c r="KDX38" s="372"/>
      <c r="KDY38" s="372"/>
      <c r="KDZ38" s="372"/>
      <c r="KEA38" s="372"/>
      <c r="KEB38" s="372"/>
      <c r="KEC38" s="372"/>
      <c r="KED38" s="372"/>
      <c r="KEE38" s="372"/>
      <c r="KEF38" s="372"/>
      <c r="KEG38" s="372"/>
      <c r="KEH38" s="372"/>
      <c r="KEI38" s="372"/>
      <c r="KEJ38" s="372"/>
      <c r="KEK38" s="372"/>
      <c r="KEL38" s="372"/>
      <c r="KEM38" s="372"/>
      <c r="KEN38" s="372"/>
      <c r="KEO38" s="372"/>
      <c r="KEP38" s="372"/>
      <c r="KEQ38" s="372"/>
      <c r="KER38" s="372"/>
      <c r="KES38" s="372"/>
      <c r="KET38" s="372"/>
      <c r="KEU38" s="372"/>
      <c r="KEV38" s="372"/>
      <c r="KEW38" s="372"/>
      <c r="KEX38" s="372"/>
      <c r="KEY38" s="372"/>
      <c r="KEZ38" s="372"/>
      <c r="KFA38" s="372"/>
      <c r="KFB38" s="372"/>
      <c r="KFC38" s="372"/>
      <c r="KFD38" s="372"/>
      <c r="KFE38" s="372"/>
      <c r="KFF38" s="372"/>
      <c r="KFG38" s="372"/>
      <c r="KFH38" s="372"/>
      <c r="KFI38" s="372"/>
      <c r="KFJ38" s="372"/>
      <c r="KFK38" s="372"/>
      <c r="KFL38" s="372"/>
      <c r="KFM38" s="372"/>
      <c r="KFN38" s="372"/>
      <c r="KFO38" s="372"/>
      <c r="KFP38" s="372"/>
      <c r="KFQ38" s="372"/>
      <c r="KFR38" s="372"/>
      <c r="KFS38" s="372"/>
      <c r="KFT38" s="372"/>
      <c r="KFU38" s="372"/>
      <c r="KFV38" s="372"/>
      <c r="KFW38" s="372"/>
      <c r="KFX38" s="372"/>
      <c r="KFY38" s="372"/>
      <c r="KFZ38" s="372"/>
      <c r="KGA38" s="372"/>
      <c r="KGB38" s="372"/>
      <c r="KGC38" s="372"/>
      <c r="KGD38" s="372"/>
      <c r="KGE38" s="372"/>
      <c r="KGF38" s="372"/>
      <c r="KGG38" s="372"/>
      <c r="KGH38" s="372"/>
      <c r="KGI38" s="372"/>
      <c r="KGJ38" s="372"/>
      <c r="KGK38" s="372"/>
      <c r="KGL38" s="372"/>
      <c r="KGM38" s="372"/>
      <c r="KGN38" s="372"/>
      <c r="KGO38" s="372"/>
      <c r="KGP38" s="372"/>
      <c r="KGQ38" s="372"/>
      <c r="KGR38" s="372"/>
      <c r="KGS38" s="372"/>
      <c r="KGT38" s="372"/>
      <c r="KGU38" s="372"/>
      <c r="KGV38" s="372"/>
      <c r="KGW38" s="372"/>
      <c r="KGX38" s="372"/>
      <c r="KGY38" s="372"/>
      <c r="KGZ38" s="372"/>
      <c r="KHA38" s="372"/>
      <c r="KHB38" s="372"/>
      <c r="KHC38" s="372"/>
      <c r="KHD38" s="372"/>
      <c r="KHE38" s="372"/>
      <c r="KHF38" s="372"/>
      <c r="KHG38" s="372"/>
      <c r="KHH38" s="372"/>
      <c r="KHI38" s="372"/>
      <c r="KHJ38" s="372"/>
      <c r="KHK38" s="372"/>
      <c r="KHL38" s="372"/>
      <c r="KHM38" s="372"/>
      <c r="KHN38" s="372"/>
      <c r="KHO38" s="372"/>
      <c r="KHP38" s="372"/>
      <c r="KHQ38" s="372"/>
      <c r="KHR38" s="372"/>
      <c r="KHS38" s="372"/>
      <c r="KHT38" s="372"/>
      <c r="KHU38" s="372"/>
      <c r="KHV38" s="372"/>
      <c r="KHW38" s="372"/>
      <c r="KHX38" s="372"/>
      <c r="KHY38" s="372"/>
      <c r="KHZ38" s="372"/>
      <c r="KIA38" s="372"/>
      <c r="KIB38" s="372"/>
      <c r="KIC38" s="372"/>
      <c r="KID38" s="372"/>
      <c r="KIE38" s="372"/>
      <c r="KIF38" s="372"/>
      <c r="KIG38" s="372"/>
      <c r="KIH38" s="372"/>
      <c r="KII38" s="372"/>
      <c r="KIJ38" s="372"/>
      <c r="KIK38" s="372"/>
      <c r="KIL38" s="372"/>
      <c r="KIM38" s="372"/>
      <c r="KIN38" s="372"/>
      <c r="KIO38" s="372"/>
      <c r="KIP38" s="372"/>
      <c r="KIQ38" s="372"/>
      <c r="KIR38" s="372"/>
      <c r="KIS38" s="372"/>
      <c r="KIT38" s="372"/>
      <c r="KIU38" s="372"/>
      <c r="KIV38" s="372"/>
      <c r="KIW38" s="372"/>
      <c r="KIX38" s="372"/>
      <c r="KIY38" s="372"/>
      <c r="KIZ38" s="372"/>
      <c r="KJA38" s="372"/>
      <c r="KJB38" s="372"/>
      <c r="KJC38" s="372"/>
      <c r="KJD38" s="372"/>
      <c r="KJE38" s="372"/>
      <c r="KJF38" s="372"/>
      <c r="KJG38" s="372"/>
      <c r="KJH38" s="372"/>
      <c r="KJI38" s="372"/>
      <c r="KJJ38" s="372"/>
      <c r="KJK38" s="372"/>
      <c r="KJL38" s="372"/>
      <c r="KJM38" s="372"/>
      <c r="KJN38" s="372"/>
      <c r="KJO38" s="372"/>
      <c r="KJP38" s="372"/>
      <c r="KJQ38" s="372"/>
      <c r="KJR38" s="372"/>
      <c r="KJS38" s="372"/>
      <c r="KJT38" s="372"/>
      <c r="KJU38" s="372"/>
      <c r="KJV38" s="372"/>
      <c r="KJW38" s="372"/>
      <c r="KJX38" s="372"/>
      <c r="KJY38" s="372"/>
      <c r="KJZ38" s="372"/>
      <c r="KKA38" s="372"/>
      <c r="KKB38" s="372"/>
      <c r="KKC38" s="372"/>
      <c r="KKD38" s="372"/>
      <c r="KKE38" s="372"/>
      <c r="KKF38" s="372"/>
      <c r="KKG38" s="372"/>
      <c r="KKH38" s="372"/>
      <c r="KKI38" s="372"/>
      <c r="KKJ38" s="372"/>
      <c r="KKK38" s="372"/>
      <c r="KKL38" s="372"/>
      <c r="KKM38" s="372"/>
      <c r="KKN38" s="372"/>
      <c r="KKO38" s="372"/>
      <c r="KKP38" s="372"/>
      <c r="KKQ38" s="372"/>
      <c r="KKR38" s="372"/>
      <c r="KKS38" s="372"/>
      <c r="KKT38" s="372"/>
      <c r="KKU38" s="372"/>
      <c r="KKV38" s="372"/>
      <c r="KKW38" s="372"/>
      <c r="KKX38" s="372"/>
      <c r="KKY38" s="372"/>
      <c r="KKZ38" s="372"/>
      <c r="KLA38" s="372"/>
      <c r="KLB38" s="372"/>
      <c r="KLC38" s="372"/>
      <c r="KLD38" s="372"/>
      <c r="KLE38" s="372"/>
      <c r="KLF38" s="372"/>
      <c r="KLG38" s="372"/>
      <c r="KLH38" s="372"/>
      <c r="KLI38" s="372"/>
      <c r="KLJ38" s="372"/>
      <c r="KLK38" s="372"/>
      <c r="KLL38" s="372"/>
      <c r="KLM38" s="372"/>
      <c r="KLN38" s="372"/>
      <c r="KLO38" s="372"/>
      <c r="KLP38" s="372"/>
      <c r="KLQ38" s="372"/>
      <c r="KLR38" s="372"/>
      <c r="KLS38" s="372"/>
      <c r="KLT38" s="372"/>
      <c r="KLU38" s="372"/>
      <c r="KLV38" s="372"/>
      <c r="KLW38" s="372"/>
      <c r="KLX38" s="372"/>
      <c r="KLY38" s="372"/>
      <c r="KLZ38" s="372"/>
      <c r="KMA38" s="372"/>
      <c r="KMB38" s="372"/>
      <c r="KMC38" s="372"/>
      <c r="KMD38" s="372"/>
      <c r="KME38" s="372"/>
      <c r="KMF38" s="372"/>
      <c r="KMG38" s="372"/>
      <c r="KMH38" s="372"/>
      <c r="KMI38" s="372"/>
      <c r="KMJ38" s="372"/>
      <c r="KMK38" s="372"/>
      <c r="KML38" s="372"/>
      <c r="KMM38" s="372"/>
      <c r="KMN38" s="372"/>
      <c r="KMO38" s="372"/>
      <c r="KMP38" s="372"/>
      <c r="KMQ38" s="372"/>
      <c r="KMR38" s="372"/>
      <c r="KMS38" s="372"/>
      <c r="KMT38" s="372"/>
      <c r="KMU38" s="372"/>
      <c r="KMV38" s="372"/>
      <c r="KMW38" s="372"/>
      <c r="KMX38" s="372"/>
      <c r="KMY38" s="372"/>
      <c r="KMZ38" s="372"/>
      <c r="KNA38" s="372"/>
      <c r="KNB38" s="372"/>
      <c r="KNC38" s="372"/>
      <c r="KND38" s="372"/>
      <c r="KNE38" s="372"/>
      <c r="KNF38" s="372"/>
      <c r="KNG38" s="372"/>
      <c r="KNH38" s="372"/>
      <c r="KNI38" s="372"/>
      <c r="KNJ38" s="372"/>
      <c r="KNK38" s="372"/>
      <c r="KNL38" s="372"/>
      <c r="KNM38" s="372"/>
      <c r="KNN38" s="372"/>
      <c r="KNO38" s="372"/>
      <c r="KNP38" s="372"/>
      <c r="KNQ38" s="372"/>
      <c r="KNR38" s="372"/>
      <c r="KNS38" s="372"/>
      <c r="KNT38" s="372"/>
      <c r="KNU38" s="372"/>
      <c r="KNV38" s="372"/>
      <c r="KNW38" s="372"/>
      <c r="KNX38" s="372"/>
      <c r="KNY38" s="372"/>
      <c r="KNZ38" s="372"/>
      <c r="KOA38" s="372"/>
      <c r="KOB38" s="372"/>
      <c r="KOC38" s="372"/>
      <c r="KOD38" s="372"/>
      <c r="KOE38" s="372"/>
      <c r="KOF38" s="372"/>
      <c r="KOG38" s="372"/>
      <c r="KOH38" s="372"/>
      <c r="KOI38" s="372"/>
      <c r="KOJ38" s="372"/>
      <c r="KOK38" s="372"/>
      <c r="KOL38" s="372"/>
      <c r="KOM38" s="372"/>
      <c r="KON38" s="372"/>
      <c r="KOO38" s="372"/>
      <c r="KOP38" s="372"/>
      <c r="KOQ38" s="372"/>
      <c r="KOR38" s="372"/>
      <c r="KOS38" s="372"/>
      <c r="KOT38" s="372"/>
      <c r="KOU38" s="372"/>
      <c r="KOV38" s="372"/>
      <c r="KOW38" s="372"/>
      <c r="KOX38" s="372"/>
      <c r="KOY38" s="372"/>
      <c r="KOZ38" s="372"/>
      <c r="KPA38" s="372"/>
      <c r="KPB38" s="372"/>
      <c r="KPC38" s="372"/>
      <c r="KPD38" s="372"/>
      <c r="KPE38" s="372"/>
      <c r="KPF38" s="372"/>
      <c r="KPG38" s="372"/>
      <c r="KPH38" s="372"/>
      <c r="KPI38" s="372"/>
      <c r="KPJ38" s="372"/>
      <c r="KPK38" s="372"/>
      <c r="KPL38" s="372"/>
      <c r="KPM38" s="372"/>
      <c r="KPN38" s="372"/>
      <c r="KPO38" s="372"/>
      <c r="KPP38" s="372"/>
      <c r="KPQ38" s="372"/>
      <c r="KPR38" s="372"/>
      <c r="KPS38" s="372"/>
      <c r="KPT38" s="372"/>
      <c r="KPU38" s="372"/>
      <c r="KPV38" s="372"/>
      <c r="KPW38" s="372"/>
      <c r="KPX38" s="372"/>
      <c r="KPY38" s="372"/>
      <c r="KPZ38" s="372"/>
      <c r="KQA38" s="372"/>
      <c r="KQB38" s="372"/>
      <c r="KQC38" s="372"/>
      <c r="KQD38" s="372"/>
      <c r="KQE38" s="372"/>
      <c r="KQF38" s="372"/>
      <c r="KQG38" s="372"/>
      <c r="KQH38" s="372"/>
      <c r="KQI38" s="372"/>
      <c r="KQJ38" s="372"/>
      <c r="KQK38" s="372"/>
      <c r="KQL38" s="372"/>
      <c r="KQM38" s="372"/>
      <c r="KQN38" s="372"/>
      <c r="KQO38" s="372"/>
      <c r="KQP38" s="372"/>
      <c r="KQQ38" s="372"/>
      <c r="KQR38" s="372"/>
      <c r="KQS38" s="372"/>
      <c r="KQT38" s="372"/>
      <c r="KQU38" s="372"/>
      <c r="KQV38" s="372"/>
      <c r="KQW38" s="372"/>
      <c r="KQX38" s="372"/>
      <c r="KQY38" s="372"/>
      <c r="KQZ38" s="372"/>
      <c r="KRA38" s="372"/>
      <c r="KRB38" s="372"/>
      <c r="KRC38" s="372"/>
      <c r="KRD38" s="372"/>
      <c r="KRE38" s="372"/>
      <c r="KRF38" s="372"/>
      <c r="KRG38" s="372"/>
      <c r="KRH38" s="372"/>
      <c r="KRI38" s="372"/>
      <c r="KRJ38" s="372"/>
      <c r="KRK38" s="372"/>
      <c r="KRL38" s="372"/>
      <c r="KRM38" s="372"/>
      <c r="KRN38" s="372"/>
      <c r="KRO38" s="372"/>
      <c r="KRP38" s="372"/>
      <c r="KRQ38" s="372"/>
      <c r="KRR38" s="372"/>
      <c r="KRS38" s="372"/>
      <c r="KRT38" s="372"/>
      <c r="KRU38" s="372"/>
      <c r="KRV38" s="372"/>
      <c r="KRW38" s="372"/>
      <c r="KRX38" s="372"/>
      <c r="KRY38" s="372"/>
      <c r="KRZ38" s="372"/>
      <c r="KSA38" s="372"/>
      <c r="KSB38" s="372"/>
      <c r="KSC38" s="372"/>
      <c r="KSD38" s="372"/>
      <c r="KSE38" s="372"/>
      <c r="KSF38" s="372"/>
      <c r="KSG38" s="372"/>
      <c r="KSH38" s="372"/>
      <c r="KSI38" s="372"/>
      <c r="KSJ38" s="372"/>
      <c r="KSK38" s="372"/>
      <c r="KSL38" s="372"/>
      <c r="KSM38" s="372"/>
      <c r="KSN38" s="372"/>
      <c r="KSO38" s="372"/>
      <c r="KSP38" s="372"/>
      <c r="KSQ38" s="372"/>
      <c r="KSR38" s="372"/>
      <c r="KSS38" s="372"/>
      <c r="KST38" s="372"/>
      <c r="KSU38" s="372"/>
      <c r="KSV38" s="372"/>
      <c r="KSW38" s="372"/>
      <c r="KSX38" s="372"/>
      <c r="KSY38" s="372"/>
      <c r="KSZ38" s="372"/>
      <c r="KTA38" s="372"/>
      <c r="KTB38" s="372"/>
      <c r="KTC38" s="372"/>
      <c r="KTD38" s="372"/>
      <c r="KTE38" s="372"/>
      <c r="KTF38" s="372"/>
      <c r="KTG38" s="372"/>
      <c r="KTH38" s="372"/>
      <c r="KTI38" s="372"/>
      <c r="KTJ38" s="372"/>
      <c r="KTK38" s="372"/>
      <c r="KTL38" s="372"/>
      <c r="KTM38" s="372"/>
      <c r="KTN38" s="372"/>
      <c r="KTO38" s="372"/>
      <c r="KTP38" s="372"/>
      <c r="KTQ38" s="372"/>
      <c r="KTR38" s="372"/>
      <c r="KTS38" s="372"/>
      <c r="KTT38" s="372"/>
      <c r="KTU38" s="372"/>
      <c r="KTV38" s="372"/>
      <c r="KTW38" s="372"/>
      <c r="KTX38" s="372"/>
      <c r="KTY38" s="372"/>
      <c r="KTZ38" s="372"/>
      <c r="KUA38" s="372"/>
      <c r="KUB38" s="372"/>
      <c r="KUC38" s="372"/>
      <c r="KUD38" s="372"/>
      <c r="KUE38" s="372"/>
      <c r="KUF38" s="372"/>
      <c r="KUG38" s="372"/>
      <c r="KUH38" s="372"/>
      <c r="KUI38" s="372"/>
      <c r="KUJ38" s="372"/>
      <c r="KUK38" s="372"/>
      <c r="KUL38" s="372"/>
      <c r="KUM38" s="372"/>
      <c r="KUN38" s="372"/>
      <c r="KUO38" s="372"/>
      <c r="KUP38" s="372"/>
      <c r="KUQ38" s="372"/>
      <c r="KUR38" s="372"/>
      <c r="KUS38" s="372"/>
      <c r="KUT38" s="372"/>
      <c r="KUU38" s="372"/>
      <c r="KUV38" s="372"/>
      <c r="KUW38" s="372"/>
      <c r="KUX38" s="372"/>
      <c r="KUY38" s="372"/>
      <c r="KUZ38" s="372"/>
      <c r="KVA38" s="372"/>
      <c r="KVB38" s="372"/>
      <c r="KVC38" s="372"/>
      <c r="KVD38" s="372"/>
      <c r="KVE38" s="372"/>
      <c r="KVF38" s="372"/>
      <c r="KVG38" s="372"/>
      <c r="KVH38" s="372"/>
      <c r="KVI38" s="372"/>
      <c r="KVJ38" s="372"/>
      <c r="KVK38" s="372"/>
      <c r="KVL38" s="372"/>
      <c r="KVM38" s="372"/>
      <c r="KVN38" s="372"/>
      <c r="KVO38" s="372"/>
      <c r="KVP38" s="372"/>
      <c r="KVQ38" s="372"/>
      <c r="KVR38" s="372"/>
      <c r="KVS38" s="372"/>
      <c r="KVT38" s="372"/>
      <c r="KVU38" s="372"/>
      <c r="KVV38" s="372"/>
      <c r="KVW38" s="372"/>
      <c r="KVX38" s="372"/>
      <c r="KVY38" s="372"/>
      <c r="KVZ38" s="372"/>
      <c r="KWA38" s="372"/>
      <c r="KWB38" s="372"/>
      <c r="KWC38" s="372"/>
      <c r="KWD38" s="372"/>
      <c r="KWE38" s="372"/>
      <c r="KWF38" s="372"/>
      <c r="KWG38" s="372"/>
      <c r="KWH38" s="372"/>
      <c r="KWI38" s="372"/>
      <c r="KWJ38" s="372"/>
      <c r="KWK38" s="372"/>
      <c r="KWL38" s="372"/>
      <c r="KWM38" s="372"/>
      <c r="KWN38" s="372"/>
      <c r="KWO38" s="372"/>
      <c r="KWP38" s="372"/>
      <c r="KWQ38" s="372"/>
      <c r="KWR38" s="372"/>
      <c r="KWS38" s="372"/>
      <c r="KWT38" s="372"/>
      <c r="KWU38" s="372"/>
      <c r="KWV38" s="372"/>
      <c r="KWW38" s="372"/>
      <c r="KWX38" s="372"/>
      <c r="KWY38" s="372"/>
      <c r="KWZ38" s="372"/>
      <c r="KXA38" s="372"/>
      <c r="KXB38" s="372"/>
      <c r="KXC38" s="372"/>
      <c r="KXD38" s="372"/>
      <c r="KXE38" s="372"/>
      <c r="KXF38" s="372"/>
      <c r="KXG38" s="372"/>
      <c r="KXH38" s="372"/>
      <c r="KXI38" s="372"/>
      <c r="KXJ38" s="372"/>
      <c r="KXK38" s="372"/>
      <c r="KXL38" s="372"/>
      <c r="KXM38" s="372"/>
      <c r="KXN38" s="372"/>
      <c r="KXO38" s="372"/>
      <c r="KXP38" s="372"/>
      <c r="KXQ38" s="372"/>
      <c r="KXR38" s="372"/>
      <c r="KXS38" s="372"/>
      <c r="KXT38" s="372"/>
      <c r="KXU38" s="372"/>
      <c r="KXV38" s="372"/>
      <c r="KXW38" s="372"/>
      <c r="KXX38" s="372"/>
      <c r="KXY38" s="372"/>
      <c r="KXZ38" s="372"/>
      <c r="KYA38" s="372"/>
      <c r="KYB38" s="372"/>
      <c r="KYC38" s="372"/>
      <c r="KYD38" s="372"/>
      <c r="KYE38" s="372"/>
      <c r="KYF38" s="372"/>
      <c r="KYG38" s="372"/>
      <c r="KYH38" s="372"/>
      <c r="KYI38" s="372"/>
      <c r="KYJ38" s="372"/>
      <c r="KYK38" s="372"/>
      <c r="KYL38" s="372"/>
      <c r="KYM38" s="372"/>
      <c r="KYN38" s="372"/>
      <c r="KYO38" s="372"/>
      <c r="KYP38" s="372"/>
      <c r="KYQ38" s="372"/>
      <c r="KYR38" s="372"/>
      <c r="KYS38" s="372"/>
      <c r="KYT38" s="372"/>
      <c r="KYU38" s="372"/>
      <c r="KYV38" s="372"/>
      <c r="KYW38" s="372"/>
      <c r="KYX38" s="372"/>
      <c r="KYY38" s="372"/>
      <c r="KYZ38" s="372"/>
      <c r="KZA38" s="372"/>
      <c r="KZB38" s="372"/>
      <c r="KZC38" s="372"/>
      <c r="KZD38" s="372"/>
      <c r="KZE38" s="372"/>
      <c r="KZF38" s="372"/>
      <c r="KZG38" s="372"/>
      <c r="KZH38" s="372"/>
      <c r="KZI38" s="372"/>
      <c r="KZJ38" s="372"/>
      <c r="KZK38" s="372"/>
      <c r="KZL38" s="372"/>
      <c r="KZM38" s="372"/>
      <c r="KZN38" s="372"/>
      <c r="KZO38" s="372"/>
      <c r="KZP38" s="372"/>
      <c r="KZQ38" s="372"/>
      <c r="KZR38" s="372"/>
      <c r="KZS38" s="372"/>
      <c r="KZT38" s="372"/>
      <c r="KZU38" s="372"/>
      <c r="KZV38" s="372"/>
      <c r="KZW38" s="372"/>
      <c r="KZX38" s="372"/>
      <c r="KZY38" s="372"/>
      <c r="KZZ38" s="372"/>
      <c r="LAA38" s="372"/>
      <c r="LAB38" s="372"/>
      <c r="LAC38" s="372"/>
      <c r="LAD38" s="372"/>
      <c r="LAE38" s="372"/>
      <c r="LAF38" s="372"/>
      <c r="LAG38" s="372"/>
      <c r="LAH38" s="372"/>
      <c r="LAI38" s="372"/>
      <c r="LAJ38" s="372"/>
      <c r="LAK38" s="372"/>
      <c r="LAL38" s="372"/>
      <c r="LAM38" s="372"/>
      <c r="LAN38" s="372"/>
      <c r="LAO38" s="372"/>
      <c r="LAP38" s="372"/>
      <c r="LAQ38" s="372"/>
      <c r="LAR38" s="372"/>
      <c r="LAS38" s="372"/>
      <c r="LAT38" s="372"/>
      <c r="LAU38" s="372"/>
      <c r="LAV38" s="372"/>
      <c r="LAW38" s="372"/>
      <c r="LAX38" s="372"/>
      <c r="LAY38" s="372"/>
      <c r="LAZ38" s="372"/>
      <c r="LBA38" s="372"/>
      <c r="LBB38" s="372"/>
      <c r="LBC38" s="372"/>
      <c r="LBD38" s="372"/>
      <c r="LBE38" s="372"/>
      <c r="LBF38" s="372"/>
      <c r="LBG38" s="372"/>
      <c r="LBH38" s="372"/>
      <c r="LBI38" s="372"/>
      <c r="LBJ38" s="372"/>
      <c r="LBK38" s="372"/>
      <c r="LBL38" s="372"/>
      <c r="LBM38" s="372"/>
      <c r="LBN38" s="372"/>
      <c r="LBO38" s="372"/>
      <c r="LBP38" s="372"/>
      <c r="LBQ38" s="372"/>
      <c r="LBR38" s="372"/>
      <c r="LBS38" s="372"/>
      <c r="LBT38" s="372"/>
      <c r="LBU38" s="372"/>
      <c r="LBV38" s="372"/>
      <c r="LBW38" s="372"/>
      <c r="LBX38" s="372"/>
      <c r="LBY38" s="372"/>
      <c r="LBZ38" s="372"/>
      <c r="LCA38" s="372"/>
      <c r="LCB38" s="372"/>
      <c r="LCC38" s="372"/>
      <c r="LCD38" s="372"/>
      <c r="LCE38" s="372"/>
      <c r="LCF38" s="372"/>
      <c r="LCG38" s="372"/>
      <c r="LCH38" s="372"/>
      <c r="LCI38" s="372"/>
      <c r="LCJ38" s="372"/>
      <c r="LCK38" s="372"/>
      <c r="LCL38" s="372"/>
      <c r="LCM38" s="372"/>
      <c r="LCN38" s="372"/>
      <c r="LCO38" s="372"/>
      <c r="LCP38" s="372"/>
      <c r="LCQ38" s="372"/>
      <c r="LCR38" s="372"/>
      <c r="LCS38" s="372"/>
      <c r="LCT38" s="372"/>
      <c r="LCU38" s="372"/>
      <c r="LCV38" s="372"/>
      <c r="LCW38" s="372"/>
      <c r="LCX38" s="372"/>
      <c r="LCY38" s="372"/>
      <c r="LCZ38" s="372"/>
      <c r="LDA38" s="372"/>
      <c r="LDB38" s="372"/>
      <c r="LDC38" s="372"/>
      <c r="LDD38" s="372"/>
      <c r="LDE38" s="372"/>
      <c r="LDF38" s="372"/>
      <c r="LDG38" s="372"/>
      <c r="LDH38" s="372"/>
      <c r="LDI38" s="372"/>
      <c r="LDJ38" s="372"/>
      <c r="LDK38" s="372"/>
      <c r="LDL38" s="372"/>
      <c r="LDM38" s="372"/>
      <c r="LDN38" s="372"/>
      <c r="LDO38" s="372"/>
      <c r="LDP38" s="372"/>
      <c r="LDQ38" s="372"/>
      <c r="LDR38" s="372"/>
      <c r="LDS38" s="372"/>
      <c r="LDT38" s="372"/>
      <c r="LDU38" s="372"/>
      <c r="LDV38" s="372"/>
      <c r="LDW38" s="372"/>
      <c r="LDX38" s="372"/>
      <c r="LDY38" s="372"/>
      <c r="LDZ38" s="372"/>
      <c r="LEA38" s="372"/>
      <c r="LEB38" s="372"/>
      <c r="LEC38" s="372"/>
      <c r="LED38" s="372"/>
      <c r="LEE38" s="372"/>
      <c r="LEF38" s="372"/>
      <c r="LEG38" s="372"/>
      <c r="LEH38" s="372"/>
      <c r="LEI38" s="372"/>
      <c r="LEJ38" s="372"/>
      <c r="LEK38" s="372"/>
      <c r="LEL38" s="372"/>
      <c r="LEM38" s="372"/>
      <c r="LEN38" s="372"/>
      <c r="LEO38" s="372"/>
      <c r="LEP38" s="372"/>
      <c r="LEQ38" s="372"/>
      <c r="LER38" s="372"/>
      <c r="LES38" s="372"/>
      <c r="LET38" s="372"/>
      <c r="LEU38" s="372"/>
      <c r="LEV38" s="372"/>
      <c r="LEW38" s="372"/>
      <c r="LEX38" s="372"/>
      <c r="LEY38" s="372"/>
      <c r="LEZ38" s="372"/>
      <c r="LFA38" s="372"/>
      <c r="LFB38" s="372"/>
      <c r="LFC38" s="372"/>
      <c r="LFD38" s="372"/>
      <c r="LFE38" s="372"/>
      <c r="LFF38" s="372"/>
      <c r="LFG38" s="372"/>
      <c r="LFH38" s="372"/>
      <c r="LFI38" s="372"/>
      <c r="LFJ38" s="372"/>
      <c r="LFK38" s="372"/>
      <c r="LFL38" s="372"/>
      <c r="LFM38" s="372"/>
      <c r="LFN38" s="372"/>
      <c r="LFO38" s="372"/>
      <c r="LFP38" s="372"/>
      <c r="LFQ38" s="372"/>
      <c r="LFR38" s="372"/>
      <c r="LFS38" s="372"/>
      <c r="LFT38" s="372"/>
      <c r="LFU38" s="372"/>
      <c r="LFV38" s="372"/>
      <c r="LFW38" s="372"/>
      <c r="LFX38" s="372"/>
      <c r="LFY38" s="372"/>
      <c r="LFZ38" s="372"/>
      <c r="LGA38" s="372"/>
      <c r="LGB38" s="372"/>
      <c r="LGC38" s="372"/>
      <c r="LGD38" s="372"/>
      <c r="LGE38" s="372"/>
      <c r="LGF38" s="372"/>
      <c r="LGG38" s="372"/>
      <c r="LGH38" s="372"/>
      <c r="LGI38" s="372"/>
      <c r="LGJ38" s="372"/>
      <c r="LGK38" s="372"/>
      <c r="LGL38" s="372"/>
      <c r="LGM38" s="372"/>
      <c r="LGN38" s="372"/>
      <c r="LGO38" s="372"/>
      <c r="LGP38" s="372"/>
      <c r="LGQ38" s="372"/>
      <c r="LGR38" s="372"/>
      <c r="LGS38" s="372"/>
      <c r="LGT38" s="372"/>
      <c r="LGU38" s="372"/>
      <c r="LGV38" s="372"/>
      <c r="LGW38" s="372"/>
      <c r="LGX38" s="372"/>
      <c r="LGY38" s="372"/>
      <c r="LGZ38" s="372"/>
      <c r="LHA38" s="372"/>
      <c r="LHB38" s="372"/>
      <c r="LHC38" s="372"/>
      <c r="LHD38" s="372"/>
      <c r="LHE38" s="372"/>
      <c r="LHF38" s="372"/>
      <c r="LHG38" s="372"/>
      <c r="LHH38" s="372"/>
      <c r="LHI38" s="372"/>
      <c r="LHJ38" s="372"/>
      <c r="LHK38" s="372"/>
      <c r="LHL38" s="372"/>
      <c r="LHM38" s="372"/>
      <c r="LHN38" s="372"/>
      <c r="LHO38" s="372"/>
      <c r="LHP38" s="372"/>
      <c r="LHQ38" s="372"/>
      <c r="LHR38" s="372"/>
      <c r="LHS38" s="372"/>
      <c r="LHT38" s="372"/>
      <c r="LHU38" s="372"/>
      <c r="LHV38" s="372"/>
      <c r="LHW38" s="372"/>
      <c r="LHX38" s="372"/>
      <c r="LHY38" s="372"/>
      <c r="LHZ38" s="372"/>
      <c r="LIA38" s="372"/>
      <c r="LIB38" s="372"/>
      <c r="LIC38" s="372"/>
      <c r="LID38" s="372"/>
      <c r="LIE38" s="372"/>
      <c r="LIF38" s="372"/>
      <c r="LIG38" s="372"/>
      <c r="LIH38" s="372"/>
      <c r="LII38" s="372"/>
      <c r="LIJ38" s="372"/>
      <c r="LIK38" s="372"/>
      <c r="LIL38" s="372"/>
      <c r="LIM38" s="372"/>
      <c r="LIN38" s="372"/>
      <c r="LIO38" s="372"/>
      <c r="LIP38" s="372"/>
      <c r="LIQ38" s="372"/>
      <c r="LIR38" s="372"/>
      <c r="LIS38" s="372"/>
      <c r="LIT38" s="372"/>
      <c r="LIU38" s="372"/>
      <c r="LIV38" s="372"/>
      <c r="LIW38" s="372"/>
      <c r="LIX38" s="372"/>
      <c r="LIY38" s="372"/>
      <c r="LIZ38" s="372"/>
      <c r="LJA38" s="372"/>
      <c r="LJB38" s="372"/>
      <c r="LJC38" s="372"/>
      <c r="LJD38" s="372"/>
      <c r="LJE38" s="372"/>
      <c r="LJF38" s="372"/>
      <c r="LJG38" s="372"/>
      <c r="LJH38" s="372"/>
      <c r="LJI38" s="372"/>
      <c r="LJJ38" s="372"/>
      <c r="LJK38" s="372"/>
      <c r="LJL38" s="372"/>
      <c r="LJM38" s="372"/>
      <c r="LJN38" s="372"/>
      <c r="LJO38" s="372"/>
      <c r="LJP38" s="372"/>
      <c r="LJQ38" s="372"/>
      <c r="LJR38" s="372"/>
      <c r="LJS38" s="372"/>
      <c r="LJT38" s="372"/>
      <c r="LJU38" s="372"/>
      <c r="LJV38" s="372"/>
      <c r="LJW38" s="372"/>
      <c r="LJX38" s="372"/>
      <c r="LJY38" s="372"/>
      <c r="LJZ38" s="372"/>
      <c r="LKA38" s="372"/>
      <c r="LKB38" s="372"/>
      <c r="LKC38" s="372"/>
      <c r="LKD38" s="372"/>
      <c r="LKE38" s="372"/>
      <c r="LKF38" s="372"/>
      <c r="LKG38" s="372"/>
      <c r="LKH38" s="372"/>
      <c r="LKI38" s="372"/>
      <c r="LKJ38" s="372"/>
      <c r="LKK38" s="372"/>
      <c r="LKL38" s="372"/>
      <c r="LKM38" s="372"/>
      <c r="LKN38" s="372"/>
      <c r="LKO38" s="372"/>
      <c r="LKP38" s="372"/>
      <c r="LKQ38" s="372"/>
      <c r="LKR38" s="372"/>
      <c r="LKS38" s="372"/>
      <c r="LKT38" s="372"/>
      <c r="LKU38" s="372"/>
      <c r="LKV38" s="372"/>
      <c r="LKW38" s="372"/>
      <c r="LKX38" s="372"/>
      <c r="LKY38" s="372"/>
      <c r="LKZ38" s="372"/>
      <c r="LLA38" s="372"/>
      <c r="LLB38" s="372"/>
      <c r="LLC38" s="372"/>
      <c r="LLD38" s="372"/>
      <c r="LLE38" s="372"/>
      <c r="LLF38" s="372"/>
      <c r="LLG38" s="372"/>
      <c r="LLH38" s="372"/>
      <c r="LLI38" s="372"/>
      <c r="LLJ38" s="372"/>
      <c r="LLK38" s="372"/>
      <c r="LLL38" s="372"/>
      <c r="LLM38" s="372"/>
      <c r="LLN38" s="372"/>
      <c r="LLO38" s="372"/>
      <c r="LLP38" s="372"/>
      <c r="LLQ38" s="372"/>
      <c r="LLR38" s="372"/>
      <c r="LLS38" s="372"/>
      <c r="LLT38" s="372"/>
      <c r="LLU38" s="372"/>
      <c r="LLV38" s="372"/>
      <c r="LLW38" s="372"/>
      <c r="LLX38" s="372"/>
      <c r="LLY38" s="372"/>
      <c r="LLZ38" s="372"/>
      <c r="LMA38" s="372"/>
      <c r="LMB38" s="372"/>
      <c r="LMC38" s="372"/>
      <c r="LMD38" s="372"/>
      <c r="LME38" s="372"/>
      <c r="LMF38" s="372"/>
      <c r="LMG38" s="372"/>
      <c r="LMH38" s="372"/>
      <c r="LMI38" s="372"/>
      <c r="LMJ38" s="372"/>
      <c r="LMK38" s="372"/>
      <c r="LML38" s="372"/>
      <c r="LMM38" s="372"/>
      <c r="LMN38" s="372"/>
      <c r="LMO38" s="372"/>
      <c r="LMP38" s="372"/>
      <c r="LMQ38" s="372"/>
      <c r="LMR38" s="372"/>
      <c r="LMS38" s="372"/>
      <c r="LMT38" s="372"/>
      <c r="LMU38" s="372"/>
      <c r="LMV38" s="372"/>
      <c r="LMW38" s="372"/>
      <c r="LMX38" s="372"/>
      <c r="LMY38" s="372"/>
      <c r="LMZ38" s="372"/>
      <c r="LNA38" s="372"/>
      <c r="LNB38" s="372"/>
      <c r="LNC38" s="372"/>
      <c r="LND38" s="372"/>
      <c r="LNE38" s="372"/>
      <c r="LNF38" s="372"/>
      <c r="LNG38" s="372"/>
      <c r="LNH38" s="372"/>
      <c r="LNI38" s="372"/>
      <c r="LNJ38" s="372"/>
      <c r="LNK38" s="372"/>
      <c r="LNL38" s="372"/>
      <c r="LNM38" s="372"/>
      <c r="LNN38" s="372"/>
      <c r="LNO38" s="372"/>
      <c r="LNP38" s="372"/>
      <c r="LNQ38" s="372"/>
      <c r="LNR38" s="372"/>
      <c r="LNS38" s="372"/>
      <c r="LNT38" s="372"/>
      <c r="LNU38" s="372"/>
      <c r="LNV38" s="372"/>
      <c r="LNW38" s="372"/>
      <c r="LNX38" s="372"/>
      <c r="LNY38" s="372"/>
      <c r="LNZ38" s="372"/>
      <c r="LOA38" s="372"/>
      <c r="LOB38" s="372"/>
      <c r="LOC38" s="372"/>
      <c r="LOD38" s="372"/>
      <c r="LOE38" s="372"/>
      <c r="LOF38" s="372"/>
      <c r="LOG38" s="372"/>
      <c r="LOH38" s="372"/>
      <c r="LOI38" s="372"/>
      <c r="LOJ38" s="372"/>
      <c r="LOK38" s="372"/>
      <c r="LOL38" s="372"/>
      <c r="LOM38" s="372"/>
      <c r="LON38" s="372"/>
      <c r="LOO38" s="372"/>
      <c r="LOP38" s="372"/>
      <c r="LOQ38" s="372"/>
      <c r="LOR38" s="372"/>
      <c r="LOS38" s="372"/>
      <c r="LOT38" s="372"/>
      <c r="LOU38" s="372"/>
      <c r="LOV38" s="372"/>
      <c r="LOW38" s="372"/>
      <c r="LOX38" s="372"/>
      <c r="LOY38" s="372"/>
      <c r="LOZ38" s="372"/>
      <c r="LPA38" s="372"/>
      <c r="LPB38" s="372"/>
      <c r="LPC38" s="372"/>
      <c r="LPD38" s="372"/>
      <c r="LPE38" s="372"/>
      <c r="LPF38" s="372"/>
      <c r="LPG38" s="372"/>
      <c r="LPH38" s="372"/>
      <c r="LPI38" s="372"/>
      <c r="LPJ38" s="372"/>
      <c r="LPK38" s="372"/>
      <c r="LPL38" s="372"/>
      <c r="LPM38" s="372"/>
      <c r="LPN38" s="372"/>
      <c r="LPO38" s="372"/>
      <c r="LPP38" s="372"/>
      <c r="LPQ38" s="372"/>
      <c r="LPR38" s="372"/>
      <c r="LPS38" s="372"/>
      <c r="LPT38" s="372"/>
      <c r="LPU38" s="372"/>
      <c r="LPV38" s="372"/>
      <c r="LPW38" s="372"/>
      <c r="LPX38" s="372"/>
      <c r="LPY38" s="372"/>
      <c r="LPZ38" s="372"/>
      <c r="LQA38" s="372"/>
      <c r="LQB38" s="372"/>
      <c r="LQC38" s="372"/>
      <c r="LQD38" s="372"/>
      <c r="LQE38" s="372"/>
      <c r="LQF38" s="372"/>
      <c r="LQG38" s="372"/>
      <c r="LQH38" s="372"/>
      <c r="LQI38" s="372"/>
      <c r="LQJ38" s="372"/>
      <c r="LQK38" s="372"/>
      <c r="LQL38" s="372"/>
      <c r="LQM38" s="372"/>
      <c r="LQN38" s="372"/>
      <c r="LQO38" s="372"/>
      <c r="LQP38" s="372"/>
      <c r="LQQ38" s="372"/>
      <c r="LQR38" s="372"/>
      <c r="LQS38" s="372"/>
      <c r="LQT38" s="372"/>
      <c r="LQU38" s="372"/>
      <c r="LQV38" s="372"/>
      <c r="LQW38" s="372"/>
      <c r="LQX38" s="372"/>
      <c r="LQY38" s="372"/>
      <c r="LQZ38" s="372"/>
      <c r="LRA38" s="372"/>
      <c r="LRB38" s="372"/>
      <c r="LRC38" s="372"/>
      <c r="LRD38" s="372"/>
      <c r="LRE38" s="372"/>
      <c r="LRF38" s="372"/>
      <c r="LRG38" s="372"/>
      <c r="LRH38" s="372"/>
      <c r="LRI38" s="372"/>
      <c r="LRJ38" s="372"/>
      <c r="LRK38" s="372"/>
      <c r="LRL38" s="372"/>
      <c r="LRM38" s="372"/>
      <c r="LRN38" s="372"/>
      <c r="LRO38" s="372"/>
      <c r="LRP38" s="372"/>
      <c r="LRQ38" s="372"/>
      <c r="LRR38" s="372"/>
      <c r="LRS38" s="372"/>
      <c r="LRT38" s="372"/>
      <c r="LRU38" s="372"/>
      <c r="LRV38" s="372"/>
      <c r="LRW38" s="372"/>
      <c r="LRX38" s="372"/>
      <c r="LRY38" s="372"/>
      <c r="LRZ38" s="372"/>
      <c r="LSA38" s="372"/>
      <c r="LSB38" s="372"/>
      <c r="LSC38" s="372"/>
      <c r="LSD38" s="372"/>
      <c r="LSE38" s="372"/>
      <c r="LSF38" s="372"/>
      <c r="LSG38" s="372"/>
      <c r="LSH38" s="372"/>
      <c r="LSI38" s="372"/>
      <c r="LSJ38" s="372"/>
      <c r="LSK38" s="372"/>
      <c r="LSL38" s="372"/>
      <c r="LSM38" s="372"/>
      <c r="LSN38" s="372"/>
      <c r="LSO38" s="372"/>
      <c r="LSP38" s="372"/>
      <c r="LSQ38" s="372"/>
      <c r="LSR38" s="372"/>
      <c r="LSS38" s="372"/>
      <c r="LST38" s="372"/>
      <c r="LSU38" s="372"/>
      <c r="LSV38" s="372"/>
      <c r="LSW38" s="372"/>
      <c r="LSX38" s="372"/>
      <c r="LSY38" s="372"/>
      <c r="LSZ38" s="372"/>
      <c r="LTA38" s="372"/>
      <c r="LTB38" s="372"/>
      <c r="LTC38" s="372"/>
      <c r="LTD38" s="372"/>
      <c r="LTE38" s="372"/>
      <c r="LTF38" s="372"/>
      <c r="LTG38" s="372"/>
      <c r="LTH38" s="372"/>
      <c r="LTI38" s="372"/>
      <c r="LTJ38" s="372"/>
      <c r="LTK38" s="372"/>
      <c r="LTL38" s="372"/>
      <c r="LTM38" s="372"/>
      <c r="LTN38" s="372"/>
      <c r="LTO38" s="372"/>
      <c r="LTP38" s="372"/>
      <c r="LTQ38" s="372"/>
      <c r="LTR38" s="372"/>
      <c r="LTS38" s="372"/>
      <c r="LTT38" s="372"/>
      <c r="LTU38" s="372"/>
      <c r="LTV38" s="372"/>
      <c r="LTW38" s="372"/>
      <c r="LTX38" s="372"/>
      <c r="LTY38" s="372"/>
      <c r="LTZ38" s="372"/>
      <c r="LUA38" s="372"/>
      <c r="LUB38" s="372"/>
      <c r="LUC38" s="372"/>
      <c r="LUD38" s="372"/>
      <c r="LUE38" s="372"/>
      <c r="LUF38" s="372"/>
      <c r="LUG38" s="372"/>
      <c r="LUH38" s="372"/>
      <c r="LUI38" s="372"/>
      <c r="LUJ38" s="372"/>
      <c r="LUK38" s="372"/>
      <c r="LUL38" s="372"/>
      <c r="LUM38" s="372"/>
      <c r="LUN38" s="372"/>
      <c r="LUO38" s="372"/>
      <c r="LUP38" s="372"/>
      <c r="LUQ38" s="372"/>
      <c r="LUR38" s="372"/>
      <c r="LUS38" s="372"/>
      <c r="LUT38" s="372"/>
      <c r="LUU38" s="372"/>
      <c r="LUV38" s="372"/>
      <c r="LUW38" s="372"/>
      <c r="LUX38" s="372"/>
      <c r="LUY38" s="372"/>
      <c r="LUZ38" s="372"/>
      <c r="LVA38" s="372"/>
      <c r="LVB38" s="372"/>
      <c r="LVC38" s="372"/>
      <c r="LVD38" s="372"/>
      <c r="LVE38" s="372"/>
      <c r="LVF38" s="372"/>
      <c r="LVG38" s="372"/>
      <c r="LVH38" s="372"/>
      <c r="LVI38" s="372"/>
      <c r="LVJ38" s="372"/>
      <c r="LVK38" s="372"/>
      <c r="LVL38" s="372"/>
      <c r="LVM38" s="372"/>
      <c r="LVN38" s="372"/>
      <c r="LVO38" s="372"/>
      <c r="LVP38" s="372"/>
      <c r="LVQ38" s="372"/>
      <c r="LVR38" s="372"/>
      <c r="LVS38" s="372"/>
      <c r="LVT38" s="372"/>
      <c r="LVU38" s="372"/>
      <c r="LVV38" s="372"/>
      <c r="LVW38" s="372"/>
      <c r="LVX38" s="372"/>
      <c r="LVY38" s="372"/>
      <c r="LVZ38" s="372"/>
      <c r="LWA38" s="372"/>
      <c r="LWB38" s="372"/>
      <c r="LWC38" s="372"/>
      <c r="LWD38" s="372"/>
      <c r="LWE38" s="372"/>
      <c r="LWF38" s="372"/>
      <c r="LWG38" s="372"/>
      <c r="LWH38" s="372"/>
      <c r="LWI38" s="372"/>
      <c r="LWJ38" s="372"/>
      <c r="LWK38" s="372"/>
      <c r="LWL38" s="372"/>
      <c r="LWM38" s="372"/>
      <c r="LWN38" s="372"/>
      <c r="LWO38" s="372"/>
      <c r="LWP38" s="372"/>
      <c r="LWQ38" s="372"/>
      <c r="LWR38" s="372"/>
      <c r="LWS38" s="372"/>
      <c r="LWT38" s="372"/>
      <c r="LWU38" s="372"/>
      <c r="LWV38" s="372"/>
      <c r="LWW38" s="372"/>
      <c r="LWX38" s="372"/>
      <c r="LWY38" s="372"/>
      <c r="LWZ38" s="372"/>
      <c r="LXA38" s="372"/>
      <c r="LXB38" s="372"/>
      <c r="LXC38" s="372"/>
      <c r="LXD38" s="372"/>
      <c r="LXE38" s="372"/>
      <c r="LXF38" s="372"/>
      <c r="LXG38" s="372"/>
      <c r="LXH38" s="372"/>
      <c r="LXI38" s="372"/>
      <c r="LXJ38" s="372"/>
      <c r="LXK38" s="372"/>
      <c r="LXL38" s="372"/>
      <c r="LXM38" s="372"/>
      <c r="LXN38" s="372"/>
      <c r="LXO38" s="372"/>
      <c r="LXP38" s="372"/>
      <c r="LXQ38" s="372"/>
      <c r="LXR38" s="372"/>
      <c r="LXS38" s="372"/>
      <c r="LXT38" s="372"/>
      <c r="LXU38" s="372"/>
      <c r="LXV38" s="372"/>
      <c r="LXW38" s="372"/>
      <c r="LXX38" s="372"/>
      <c r="LXY38" s="372"/>
      <c r="LXZ38" s="372"/>
      <c r="LYA38" s="372"/>
      <c r="LYB38" s="372"/>
      <c r="LYC38" s="372"/>
      <c r="LYD38" s="372"/>
      <c r="LYE38" s="372"/>
      <c r="LYF38" s="372"/>
      <c r="LYG38" s="372"/>
      <c r="LYH38" s="372"/>
      <c r="LYI38" s="372"/>
      <c r="LYJ38" s="372"/>
      <c r="LYK38" s="372"/>
      <c r="LYL38" s="372"/>
      <c r="LYM38" s="372"/>
      <c r="LYN38" s="372"/>
      <c r="LYO38" s="372"/>
      <c r="LYP38" s="372"/>
      <c r="LYQ38" s="372"/>
      <c r="LYR38" s="372"/>
      <c r="LYS38" s="372"/>
      <c r="LYT38" s="372"/>
      <c r="LYU38" s="372"/>
      <c r="LYV38" s="372"/>
      <c r="LYW38" s="372"/>
      <c r="LYX38" s="372"/>
      <c r="LYY38" s="372"/>
      <c r="LYZ38" s="372"/>
      <c r="LZA38" s="372"/>
      <c r="LZB38" s="372"/>
      <c r="LZC38" s="372"/>
      <c r="LZD38" s="372"/>
      <c r="LZE38" s="372"/>
      <c r="LZF38" s="372"/>
      <c r="LZG38" s="372"/>
      <c r="LZH38" s="372"/>
      <c r="LZI38" s="372"/>
      <c r="LZJ38" s="372"/>
      <c r="LZK38" s="372"/>
      <c r="LZL38" s="372"/>
      <c r="LZM38" s="372"/>
      <c r="LZN38" s="372"/>
      <c r="LZO38" s="372"/>
      <c r="LZP38" s="372"/>
      <c r="LZQ38" s="372"/>
      <c r="LZR38" s="372"/>
      <c r="LZS38" s="372"/>
      <c r="LZT38" s="372"/>
      <c r="LZU38" s="372"/>
      <c r="LZV38" s="372"/>
      <c r="LZW38" s="372"/>
      <c r="LZX38" s="372"/>
      <c r="LZY38" s="372"/>
      <c r="LZZ38" s="372"/>
      <c r="MAA38" s="372"/>
      <c r="MAB38" s="372"/>
      <c r="MAC38" s="372"/>
      <c r="MAD38" s="372"/>
      <c r="MAE38" s="372"/>
      <c r="MAF38" s="372"/>
      <c r="MAG38" s="372"/>
      <c r="MAH38" s="372"/>
      <c r="MAI38" s="372"/>
      <c r="MAJ38" s="372"/>
      <c r="MAK38" s="372"/>
      <c r="MAL38" s="372"/>
      <c r="MAM38" s="372"/>
      <c r="MAN38" s="372"/>
      <c r="MAO38" s="372"/>
      <c r="MAP38" s="372"/>
      <c r="MAQ38" s="372"/>
      <c r="MAR38" s="372"/>
      <c r="MAS38" s="372"/>
      <c r="MAT38" s="372"/>
      <c r="MAU38" s="372"/>
      <c r="MAV38" s="372"/>
      <c r="MAW38" s="372"/>
      <c r="MAX38" s="372"/>
      <c r="MAY38" s="372"/>
      <c r="MAZ38" s="372"/>
      <c r="MBA38" s="372"/>
      <c r="MBB38" s="372"/>
      <c r="MBC38" s="372"/>
      <c r="MBD38" s="372"/>
      <c r="MBE38" s="372"/>
      <c r="MBF38" s="372"/>
      <c r="MBG38" s="372"/>
      <c r="MBH38" s="372"/>
      <c r="MBI38" s="372"/>
      <c r="MBJ38" s="372"/>
      <c r="MBK38" s="372"/>
      <c r="MBL38" s="372"/>
      <c r="MBM38" s="372"/>
      <c r="MBN38" s="372"/>
      <c r="MBO38" s="372"/>
      <c r="MBP38" s="372"/>
      <c r="MBQ38" s="372"/>
      <c r="MBR38" s="372"/>
      <c r="MBS38" s="372"/>
      <c r="MBT38" s="372"/>
      <c r="MBU38" s="372"/>
      <c r="MBV38" s="372"/>
      <c r="MBW38" s="372"/>
      <c r="MBX38" s="372"/>
      <c r="MBY38" s="372"/>
      <c r="MBZ38" s="372"/>
      <c r="MCA38" s="372"/>
      <c r="MCB38" s="372"/>
      <c r="MCC38" s="372"/>
      <c r="MCD38" s="372"/>
      <c r="MCE38" s="372"/>
      <c r="MCF38" s="372"/>
      <c r="MCG38" s="372"/>
      <c r="MCH38" s="372"/>
      <c r="MCI38" s="372"/>
      <c r="MCJ38" s="372"/>
      <c r="MCK38" s="372"/>
      <c r="MCL38" s="372"/>
      <c r="MCM38" s="372"/>
      <c r="MCN38" s="372"/>
      <c r="MCO38" s="372"/>
      <c r="MCP38" s="372"/>
      <c r="MCQ38" s="372"/>
      <c r="MCR38" s="372"/>
      <c r="MCS38" s="372"/>
      <c r="MCT38" s="372"/>
      <c r="MCU38" s="372"/>
      <c r="MCV38" s="372"/>
      <c r="MCW38" s="372"/>
      <c r="MCX38" s="372"/>
      <c r="MCY38" s="372"/>
      <c r="MCZ38" s="372"/>
      <c r="MDA38" s="372"/>
      <c r="MDB38" s="372"/>
      <c r="MDC38" s="372"/>
      <c r="MDD38" s="372"/>
      <c r="MDE38" s="372"/>
      <c r="MDF38" s="372"/>
      <c r="MDG38" s="372"/>
      <c r="MDH38" s="372"/>
      <c r="MDI38" s="372"/>
      <c r="MDJ38" s="372"/>
      <c r="MDK38" s="372"/>
      <c r="MDL38" s="372"/>
      <c r="MDM38" s="372"/>
      <c r="MDN38" s="372"/>
      <c r="MDO38" s="372"/>
      <c r="MDP38" s="372"/>
      <c r="MDQ38" s="372"/>
      <c r="MDR38" s="372"/>
      <c r="MDS38" s="372"/>
      <c r="MDT38" s="372"/>
      <c r="MDU38" s="372"/>
      <c r="MDV38" s="372"/>
      <c r="MDW38" s="372"/>
      <c r="MDX38" s="372"/>
      <c r="MDY38" s="372"/>
      <c r="MDZ38" s="372"/>
      <c r="MEA38" s="372"/>
      <c r="MEB38" s="372"/>
      <c r="MEC38" s="372"/>
      <c r="MED38" s="372"/>
      <c r="MEE38" s="372"/>
      <c r="MEF38" s="372"/>
      <c r="MEG38" s="372"/>
      <c r="MEH38" s="372"/>
      <c r="MEI38" s="372"/>
      <c r="MEJ38" s="372"/>
      <c r="MEK38" s="372"/>
      <c r="MEL38" s="372"/>
      <c r="MEM38" s="372"/>
      <c r="MEN38" s="372"/>
      <c r="MEO38" s="372"/>
      <c r="MEP38" s="372"/>
      <c r="MEQ38" s="372"/>
      <c r="MER38" s="372"/>
      <c r="MES38" s="372"/>
      <c r="MET38" s="372"/>
      <c r="MEU38" s="372"/>
      <c r="MEV38" s="372"/>
      <c r="MEW38" s="372"/>
      <c r="MEX38" s="372"/>
      <c r="MEY38" s="372"/>
      <c r="MEZ38" s="372"/>
      <c r="MFA38" s="372"/>
      <c r="MFB38" s="372"/>
      <c r="MFC38" s="372"/>
      <c r="MFD38" s="372"/>
      <c r="MFE38" s="372"/>
      <c r="MFF38" s="372"/>
      <c r="MFG38" s="372"/>
      <c r="MFH38" s="372"/>
      <c r="MFI38" s="372"/>
      <c r="MFJ38" s="372"/>
      <c r="MFK38" s="372"/>
      <c r="MFL38" s="372"/>
      <c r="MFM38" s="372"/>
      <c r="MFN38" s="372"/>
      <c r="MFO38" s="372"/>
      <c r="MFP38" s="372"/>
      <c r="MFQ38" s="372"/>
      <c r="MFR38" s="372"/>
      <c r="MFS38" s="372"/>
      <c r="MFT38" s="372"/>
      <c r="MFU38" s="372"/>
      <c r="MFV38" s="372"/>
      <c r="MFW38" s="372"/>
      <c r="MFX38" s="372"/>
      <c r="MFY38" s="372"/>
      <c r="MFZ38" s="372"/>
      <c r="MGA38" s="372"/>
      <c r="MGB38" s="372"/>
      <c r="MGC38" s="372"/>
      <c r="MGD38" s="372"/>
      <c r="MGE38" s="372"/>
      <c r="MGF38" s="372"/>
      <c r="MGG38" s="372"/>
      <c r="MGH38" s="372"/>
      <c r="MGI38" s="372"/>
      <c r="MGJ38" s="372"/>
      <c r="MGK38" s="372"/>
      <c r="MGL38" s="372"/>
      <c r="MGM38" s="372"/>
      <c r="MGN38" s="372"/>
      <c r="MGO38" s="372"/>
      <c r="MGP38" s="372"/>
      <c r="MGQ38" s="372"/>
      <c r="MGR38" s="372"/>
      <c r="MGS38" s="372"/>
      <c r="MGT38" s="372"/>
      <c r="MGU38" s="372"/>
      <c r="MGV38" s="372"/>
      <c r="MGW38" s="372"/>
      <c r="MGX38" s="372"/>
      <c r="MGY38" s="372"/>
      <c r="MGZ38" s="372"/>
      <c r="MHA38" s="372"/>
      <c r="MHB38" s="372"/>
      <c r="MHC38" s="372"/>
      <c r="MHD38" s="372"/>
      <c r="MHE38" s="372"/>
      <c r="MHF38" s="372"/>
      <c r="MHG38" s="372"/>
      <c r="MHH38" s="372"/>
      <c r="MHI38" s="372"/>
      <c r="MHJ38" s="372"/>
      <c r="MHK38" s="372"/>
      <c r="MHL38" s="372"/>
      <c r="MHM38" s="372"/>
      <c r="MHN38" s="372"/>
      <c r="MHO38" s="372"/>
      <c r="MHP38" s="372"/>
      <c r="MHQ38" s="372"/>
      <c r="MHR38" s="372"/>
      <c r="MHS38" s="372"/>
      <c r="MHT38" s="372"/>
      <c r="MHU38" s="372"/>
      <c r="MHV38" s="372"/>
      <c r="MHW38" s="372"/>
      <c r="MHX38" s="372"/>
      <c r="MHY38" s="372"/>
      <c r="MHZ38" s="372"/>
      <c r="MIA38" s="372"/>
      <c r="MIB38" s="372"/>
      <c r="MIC38" s="372"/>
      <c r="MID38" s="372"/>
      <c r="MIE38" s="372"/>
      <c r="MIF38" s="372"/>
      <c r="MIG38" s="372"/>
      <c r="MIH38" s="372"/>
      <c r="MII38" s="372"/>
      <c r="MIJ38" s="372"/>
      <c r="MIK38" s="372"/>
      <c r="MIL38" s="372"/>
      <c r="MIM38" s="372"/>
      <c r="MIN38" s="372"/>
      <c r="MIO38" s="372"/>
      <c r="MIP38" s="372"/>
      <c r="MIQ38" s="372"/>
      <c r="MIR38" s="372"/>
      <c r="MIS38" s="372"/>
      <c r="MIT38" s="372"/>
      <c r="MIU38" s="372"/>
      <c r="MIV38" s="372"/>
      <c r="MIW38" s="372"/>
      <c r="MIX38" s="372"/>
      <c r="MIY38" s="372"/>
      <c r="MIZ38" s="372"/>
      <c r="MJA38" s="372"/>
      <c r="MJB38" s="372"/>
      <c r="MJC38" s="372"/>
      <c r="MJD38" s="372"/>
      <c r="MJE38" s="372"/>
      <c r="MJF38" s="372"/>
      <c r="MJG38" s="372"/>
      <c r="MJH38" s="372"/>
      <c r="MJI38" s="372"/>
      <c r="MJJ38" s="372"/>
      <c r="MJK38" s="372"/>
      <c r="MJL38" s="372"/>
      <c r="MJM38" s="372"/>
      <c r="MJN38" s="372"/>
      <c r="MJO38" s="372"/>
      <c r="MJP38" s="372"/>
      <c r="MJQ38" s="372"/>
      <c r="MJR38" s="372"/>
      <c r="MJS38" s="372"/>
      <c r="MJT38" s="372"/>
      <c r="MJU38" s="372"/>
      <c r="MJV38" s="372"/>
      <c r="MJW38" s="372"/>
      <c r="MJX38" s="372"/>
      <c r="MJY38" s="372"/>
      <c r="MJZ38" s="372"/>
      <c r="MKA38" s="372"/>
      <c r="MKB38" s="372"/>
      <c r="MKC38" s="372"/>
      <c r="MKD38" s="372"/>
      <c r="MKE38" s="372"/>
      <c r="MKF38" s="372"/>
      <c r="MKG38" s="372"/>
      <c r="MKH38" s="372"/>
      <c r="MKI38" s="372"/>
      <c r="MKJ38" s="372"/>
      <c r="MKK38" s="372"/>
      <c r="MKL38" s="372"/>
      <c r="MKM38" s="372"/>
      <c r="MKN38" s="372"/>
      <c r="MKO38" s="372"/>
      <c r="MKP38" s="372"/>
      <c r="MKQ38" s="372"/>
      <c r="MKR38" s="372"/>
      <c r="MKS38" s="372"/>
      <c r="MKT38" s="372"/>
      <c r="MKU38" s="372"/>
      <c r="MKV38" s="372"/>
      <c r="MKW38" s="372"/>
      <c r="MKX38" s="372"/>
      <c r="MKY38" s="372"/>
      <c r="MKZ38" s="372"/>
      <c r="MLA38" s="372"/>
      <c r="MLB38" s="372"/>
      <c r="MLC38" s="372"/>
      <c r="MLD38" s="372"/>
      <c r="MLE38" s="372"/>
      <c r="MLF38" s="372"/>
      <c r="MLG38" s="372"/>
      <c r="MLH38" s="372"/>
      <c r="MLI38" s="372"/>
      <c r="MLJ38" s="372"/>
      <c r="MLK38" s="372"/>
      <c r="MLL38" s="372"/>
      <c r="MLM38" s="372"/>
      <c r="MLN38" s="372"/>
      <c r="MLO38" s="372"/>
      <c r="MLP38" s="372"/>
      <c r="MLQ38" s="372"/>
      <c r="MLR38" s="372"/>
      <c r="MLS38" s="372"/>
      <c r="MLT38" s="372"/>
      <c r="MLU38" s="372"/>
      <c r="MLV38" s="372"/>
      <c r="MLW38" s="372"/>
      <c r="MLX38" s="372"/>
      <c r="MLY38" s="372"/>
      <c r="MLZ38" s="372"/>
      <c r="MMA38" s="372"/>
      <c r="MMB38" s="372"/>
      <c r="MMC38" s="372"/>
      <c r="MMD38" s="372"/>
      <c r="MME38" s="372"/>
      <c r="MMF38" s="372"/>
      <c r="MMG38" s="372"/>
      <c r="MMH38" s="372"/>
      <c r="MMI38" s="372"/>
      <c r="MMJ38" s="372"/>
      <c r="MMK38" s="372"/>
      <c r="MML38" s="372"/>
      <c r="MMM38" s="372"/>
      <c r="MMN38" s="372"/>
      <c r="MMO38" s="372"/>
      <c r="MMP38" s="372"/>
      <c r="MMQ38" s="372"/>
      <c r="MMR38" s="372"/>
      <c r="MMS38" s="372"/>
      <c r="MMT38" s="372"/>
      <c r="MMU38" s="372"/>
      <c r="MMV38" s="372"/>
      <c r="MMW38" s="372"/>
      <c r="MMX38" s="372"/>
      <c r="MMY38" s="372"/>
      <c r="MMZ38" s="372"/>
      <c r="MNA38" s="372"/>
      <c r="MNB38" s="372"/>
      <c r="MNC38" s="372"/>
      <c r="MND38" s="372"/>
      <c r="MNE38" s="372"/>
      <c r="MNF38" s="372"/>
      <c r="MNG38" s="372"/>
      <c r="MNH38" s="372"/>
      <c r="MNI38" s="372"/>
      <c r="MNJ38" s="372"/>
      <c r="MNK38" s="372"/>
      <c r="MNL38" s="372"/>
      <c r="MNM38" s="372"/>
      <c r="MNN38" s="372"/>
      <c r="MNO38" s="372"/>
      <c r="MNP38" s="372"/>
      <c r="MNQ38" s="372"/>
      <c r="MNR38" s="372"/>
      <c r="MNS38" s="372"/>
      <c r="MNT38" s="372"/>
      <c r="MNU38" s="372"/>
      <c r="MNV38" s="372"/>
      <c r="MNW38" s="372"/>
      <c r="MNX38" s="372"/>
      <c r="MNY38" s="372"/>
      <c r="MNZ38" s="372"/>
      <c r="MOA38" s="372"/>
      <c r="MOB38" s="372"/>
      <c r="MOC38" s="372"/>
      <c r="MOD38" s="372"/>
      <c r="MOE38" s="372"/>
      <c r="MOF38" s="372"/>
      <c r="MOG38" s="372"/>
      <c r="MOH38" s="372"/>
      <c r="MOI38" s="372"/>
      <c r="MOJ38" s="372"/>
      <c r="MOK38" s="372"/>
      <c r="MOL38" s="372"/>
      <c r="MOM38" s="372"/>
      <c r="MON38" s="372"/>
      <c r="MOO38" s="372"/>
      <c r="MOP38" s="372"/>
      <c r="MOQ38" s="372"/>
      <c r="MOR38" s="372"/>
      <c r="MOS38" s="372"/>
      <c r="MOT38" s="372"/>
      <c r="MOU38" s="372"/>
      <c r="MOV38" s="372"/>
      <c r="MOW38" s="372"/>
      <c r="MOX38" s="372"/>
      <c r="MOY38" s="372"/>
      <c r="MOZ38" s="372"/>
      <c r="MPA38" s="372"/>
      <c r="MPB38" s="372"/>
      <c r="MPC38" s="372"/>
      <c r="MPD38" s="372"/>
      <c r="MPE38" s="372"/>
      <c r="MPF38" s="372"/>
      <c r="MPG38" s="372"/>
      <c r="MPH38" s="372"/>
      <c r="MPI38" s="372"/>
      <c r="MPJ38" s="372"/>
      <c r="MPK38" s="372"/>
      <c r="MPL38" s="372"/>
      <c r="MPM38" s="372"/>
      <c r="MPN38" s="372"/>
      <c r="MPO38" s="372"/>
      <c r="MPP38" s="372"/>
      <c r="MPQ38" s="372"/>
      <c r="MPR38" s="372"/>
      <c r="MPS38" s="372"/>
      <c r="MPT38" s="372"/>
      <c r="MPU38" s="372"/>
      <c r="MPV38" s="372"/>
      <c r="MPW38" s="372"/>
      <c r="MPX38" s="372"/>
      <c r="MPY38" s="372"/>
      <c r="MPZ38" s="372"/>
      <c r="MQA38" s="372"/>
      <c r="MQB38" s="372"/>
      <c r="MQC38" s="372"/>
      <c r="MQD38" s="372"/>
      <c r="MQE38" s="372"/>
      <c r="MQF38" s="372"/>
      <c r="MQG38" s="372"/>
      <c r="MQH38" s="372"/>
      <c r="MQI38" s="372"/>
      <c r="MQJ38" s="372"/>
      <c r="MQK38" s="372"/>
      <c r="MQL38" s="372"/>
      <c r="MQM38" s="372"/>
      <c r="MQN38" s="372"/>
      <c r="MQO38" s="372"/>
      <c r="MQP38" s="372"/>
      <c r="MQQ38" s="372"/>
      <c r="MQR38" s="372"/>
      <c r="MQS38" s="372"/>
      <c r="MQT38" s="372"/>
      <c r="MQU38" s="372"/>
      <c r="MQV38" s="372"/>
      <c r="MQW38" s="372"/>
      <c r="MQX38" s="372"/>
      <c r="MQY38" s="372"/>
      <c r="MQZ38" s="372"/>
      <c r="MRA38" s="372"/>
      <c r="MRB38" s="372"/>
      <c r="MRC38" s="372"/>
      <c r="MRD38" s="372"/>
      <c r="MRE38" s="372"/>
      <c r="MRF38" s="372"/>
      <c r="MRG38" s="372"/>
      <c r="MRH38" s="372"/>
      <c r="MRI38" s="372"/>
      <c r="MRJ38" s="372"/>
      <c r="MRK38" s="372"/>
      <c r="MRL38" s="372"/>
      <c r="MRM38" s="372"/>
      <c r="MRN38" s="372"/>
      <c r="MRO38" s="372"/>
      <c r="MRP38" s="372"/>
      <c r="MRQ38" s="372"/>
      <c r="MRR38" s="372"/>
      <c r="MRS38" s="372"/>
      <c r="MRT38" s="372"/>
      <c r="MRU38" s="372"/>
      <c r="MRV38" s="372"/>
      <c r="MRW38" s="372"/>
      <c r="MRX38" s="372"/>
      <c r="MRY38" s="372"/>
      <c r="MRZ38" s="372"/>
      <c r="MSA38" s="372"/>
      <c r="MSB38" s="372"/>
      <c r="MSC38" s="372"/>
      <c r="MSD38" s="372"/>
      <c r="MSE38" s="372"/>
      <c r="MSF38" s="372"/>
      <c r="MSG38" s="372"/>
      <c r="MSH38" s="372"/>
      <c r="MSI38" s="372"/>
      <c r="MSJ38" s="372"/>
      <c r="MSK38" s="372"/>
      <c r="MSL38" s="372"/>
      <c r="MSM38" s="372"/>
      <c r="MSN38" s="372"/>
      <c r="MSO38" s="372"/>
      <c r="MSP38" s="372"/>
      <c r="MSQ38" s="372"/>
      <c r="MSR38" s="372"/>
      <c r="MSS38" s="372"/>
      <c r="MST38" s="372"/>
      <c r="MSU38" s="372"/>
      <c r="MSV38" s="372"/>
      <c r="MSW38" s="372"/>
      <c r="MSX38" s="372"/>
      <c r="MSY38" s="372"/>
      <c r="MSZ38" s="372"/>
      <c r="MTA38" s="372"/>
      <c r="MTB38" s="372"/>
      <c r="MTC38" s="372"/>
      <c r="MTD38" s="372"/>
      <c r="MTE38" s="372"/>
      <c r="MTF38" s="372"/>
      <c r="MTG38" s="372"/>
      <c r="MTH38" s="372"/>
      <c r="MTI38" s="372"/>
      <c r="MTJ38" s="372"/>
      <c r="MTK38" s="372"/>
      <c r="MTL38" s="372"/>
      <c r="MTM38" s="372"/>
      <c r="MTN38" s="372"/>
      <c r="MTO38" s="372"/>
      <c r="MTP38" s="372"/>
      <c r="MTQ38" s="372"/>
      <c r="MTR38" s="372"/>
      <c r="MTS38" s="372"/>
      <c r="MTT38" s="372"/>
      <c r="MTU38" s="372"/>
      <c r="MTV38" s="372"/>
      <c r="MTW38" s="372"/>
      <c r="MTX38" s="372"/>
      <c r="MTY38" s="372"/>
      <c r="MTZ38" s="372"/>
      <c r="MUA38" s="372"/>
      <c r="MUB38" s="372"/>
      <c r="MUC38" s="372"/>
      <c r="MUD38" s="372"/>
      <c r="MUE38" s="372"/>
      <c r="MUF38" s="372"/>
      <c r="MUG38" s="372"/>
      <c r="MUH38" s="372"/>
      <c r="MUI38" s="372"/>
      <c r="MUJ38" s="372"/>
      <c r="MUK38" s="372"/>
      <c r="MUL38" s="372"/>
      <c r="MUM38" s="372"/>
      <c r="MUN38" s="372"/>
      <c r="MUO38" s="372"/>
      <c r="MUP38" s="372"/>
      <c r="MUQ38" s="372"/>
      <c r="MUR38" s="372"/>
      <c r="MUS38" s="372"/>
      <c r="MUT38" s="372"/>
      <c r="MUU38" s="372"/>
      <c r="MUV38" s="372"/>
      <c r="MUW38" s="372"/>
      <c r="MUX38" s="372"/>
      <c r="MUY38" s="372"/>
      <c r="MUZ38" s="372"/>
      <c r="MVA38" s="372"/>
      <c r="MVB38" s="372"/>
      <c r="MVC38" s="372"/>
      <c r="MVD38" s="372"/>
      <c r="MVE38" s="372"/>
      <c r="MVF38" s="372"/>
      <c r="MVG38" s="372"/>
      <c r="MVH38" s="372"/>
      <c r="MVI38" s="372"/>
      <c r="MVJ38" s="372"/>
      <c r="MVK38" s="372"/>
      <c r="MVL38" s="372"/>
      <c r="MVM38" s="372"/>
      <c r="MVN38" s="372"/>
      <c r="MVO38" s="372"/>
      <c r="MVP38" s="372"/>
      <c r="MVQ38" s="372"/>
      <c r="MVR38" s="372"/>
      <c r="MVS38" s="372"/>
      <c r="MVT38" s="372"/>
      <c r="MVU38" s="372"/>
      <c r="MVV38" s="372"/>
      <c r="MVW38" s="372"/>
      <c r="MVX38" s="372"/>
      <c r="MVY38" s="372"/>
      <c r="MVZ38" s="372"/>
      <c r="MWA38" s="372"/>
      <c r="MWB38" s="372"/>
      <c r="MWC38" s="372"/>
      <c r="MWD38" s="372"/>
      <c r="MWE38" s="372"/>
      <c r="MWF38" s="372"/>
      <c r="MWG38" s="372"/>
      <c r="MWH38" s="372"/>
      <c r="MWI38" s="372"/>
      <c r="MWJ38" s="372"/>
      <c r="MWK38" s="372"/>
      <c r="MWL38" s="372"/>
      <c r="MWM38" s="372"/>
      <c r="MWN38" s="372"/>
      <c r="MWO38" s="372"/>
      <c r="MWP38" s="372"/>
      <c r="MWQ38" s="372"/>
      <c r="MWR38" s="372"/>
      <c r="MWS38" s="372"/>
      <c r="MWT38" s="372"/>
      <c r="MWU38" s="372"/>
      <c r="MWV38" s="372"/>
      <c r="MWW38" s="372"/>
      <c r="MWX38" s="372"/>
      <c r="MWY38" s="372"/>
      <c r="MWZ38" s="372"/>
      <c r="MXA38" s="372"/>
      <c r="MXB38" s="372"/>
      <c r="MXC38" s="372"/>
      <c r="MXD38" s="372"/>
      <c r="MXE38" s="372"/>
      <c r="MXF38" s="372"/>
      <c r="MXG38" s="372"/>
      <c r="MXH38" s="372"/>
      <c r="MXI38" s="372"/>
      <c r="MXJ38" s="372"/>
      <c r="MXK38" s="372"/>
      <c r="MXL38" s="372"/>
      <c r="MXM38" s="372"/>
      <c r="MXN38" s="372"/>
      <c r="MXO38" s="372"/>
      <c r="MXP38" s="372"/>
      <c r="MXQ38" s="372"/>
      <c r="MXR38" s="372"/>
      <c r="MXS38" s="372"/>
      <c r="MXT38" s="372"/>
      <c r="MXU38" s="372"/>
      <c r="MXV38" s="372"/>
      <c r="MXW38" s="372"/>
      <c r="MXX38" s="372"/>
      <c r="MXY38" s="372"/>
      <c r="MXZ38" s="372"/>
      <c r="MYA38" s="372"/>
      <c r="MYB38" s="372"/>
      <c r="MYC38" s="372"/>
      <c r="MYD38" s="372"/>
      <c r="MYE38" s="372"/>
      <c r="MYF38" s="372"/>
      <c r="MYG38" s="372"/>
      <c r="MYH38" s="372"/>
      <c r="MYI38" s="372"/>
      <c r="MYJ38" s="372"/>
      <c r="MYK38" s="372"/>
      <c r="MYL38" s="372"/>
      <c r="MYM38" s="372"/>
      <c r="MYN38" s="372"/>
      <c r="MYO38" s="372"/>
      <c r="MYP38" s="372"/>
      <c r="MYQ38" s="372"/>
      <c r="MYR38" s="372"/>
      <c r="MYS38" s="372"/>
      <c r="MYT38" s="372"/>
      <c r="MYU38" s="372"/>
      <c r="MYV38" s="372"/>
      <c r="MYW38" s="372"/>
      <c r="MYX38" s="372"/>
      <c r="MYY38" s="372"/>
      <c r="MYZ38" s="372"/>
      <c r="MZA38" s="372"/>
      <c r="MZB38" s="372"/>
      <c r="MZC38" s="372"/>
      <c r="MZD38" s="372"/>
      <c r="MZE38" s="372"/>
      <c r="MZF38" s="372"/>
      <c r="MZG38" s="372"/>
      <c r="MZH38" s="372"/>
      <c r="MZI38" s="372"/>
      <c r="MZJ38" s="372"/>
      <c r="MZK38" s="372"/>
      <c r="MZL38" s="372"/>
      <c r="MZM38" s="372"/>
      <c r="MZN38" s="372"/>
      <c r="MZO38" s="372"/>
      <c r="MZP38" s="372"/>
      <c r="MZQ38" s="372"/>
      <c r="MZR38" s="372"/>
      <c r="MZS38" s="372"/>
      <c r="MZT38" s="372"/>
      <c r="MZU38" s="372"/>
      <c r="MZV38" s="372"/>
      <c r="MZW38" s="372"/>
      <c r="MZX38" s="372"/>
      <c r="MZY38" s="372"/>
      <c r="MZZ38" s="372"/>
      <c r="NAA38" s="372"/>
      <c r="NAB38" s="372"/>
      <c r="NAC38" s="372"/>
      <c r="NAD38" s="372"/>
      <c r="NAE38" s="372"/>
      <c r="NAF38" s="372"/>
      <c r="NAG38" s="372"/>
      <c r="NAH38" s="372"/>
      <c r="NAI38" s="372"/>
      <c r="NAJ38" s="372"/>
      <c r="NAK38" s="372"/>
      <c r="NAL38" s="372"/>
      <c r="NAM38" s="372"/>
      <c r="NAN38" s="372"/>
      <c r="NAO38" s="372"/>
      <c r="NAP38" s="372"/>
      <c r="NAQ38" s="372"/>
      <c r="NAR38" s="372"/>
      <c r="NAS38" s="372"/>
      <c r="NAT38" s="372"/>
      <c r="NAU38" s="372"/>
      <c r="NAV38" s="372"/>
      <c r="NAW38" s="372"/>
      <c r="NAX38" s="372"/>
      <c r="NAY38" s="372"/>
      <c r="NAZ38" s="372"/>
      <c r="NBA38" s="372"/>
      <c r="NBB38" s="372"/>
      <c r="NBC38" s="372"/>
      <c r="NBD38" s="372"/>
      <c r="NBE38" s="372"/>
      <c r="NBF38" s="372"/>
      <c r="NBG38" s="372"/>
      <c r="NBH38" s="372"/>
      <c r="NBI38" s="372"/>
      <c r="NBJ38" s="372"/>
      <c r="NBK38" s="372"/>
      <c r="NBL38" s="372"/>
      <c r="NBM38" s="372"/>
      <c r="NBN38" s="372"/>
      <c r="NBO38" s="372"/>
      <c r="NBP38" s="372"/>
      <c r="NBQ38" s="372"/>
      <c r="NBR38" s="372"/>
      <c r="NBS38" s="372"/>
      <c r="NBT38" s="372"/>
      <c r="NBU38" s="372"/>
      <c r="NBV38" s="372"/>
      <c r="NBW38" s="372"/>
      <c r="NBX38" s="372"/>
      <c r="NBY38" s="372"/>
      <c r="NBZ38" s="372"/>
      <c r="NCA38" s="372"/>
      <c r="NCB38" s="372"/>
      <c r="NCC38" s="372"/>
      <c r="NCD38" s="372"/>
      <c r="NCE38" s="372"/>
      <c r="NCF38" s="372"/>
      <c r="NCG38" s="372"/>
      <c r="NCH38" s="372"/>
      <c r="NCI38" s="372"/>
      <c r="NCJ38" s="372"/>
      <c r="NCK38" s="372"/>
      <c r="NCL38" s="372"/>
      <c r="NCM38" s="372"/>
      <c r="NCN38" s="372"/>
      <c r="NCO38" s="372"/>
      <c r="NCP38" s="372"/>
      <c r="NCQ38" s="372"/>
      <c r="NCR38" s="372"/>
      <c r="NCS38" s="372"/>
      <c r="NCT38" s="372"/>
      <c r="NCU38" s="372"/>
      <c r="NCV38" s="372"/>
      <c r="NCW38" s="372"/>
      <c r="NCX38" s="372"/>
      <c r="NCY38" s="372"/>
      <c r="NCZ38" s="372"/>
      <c r="NDA38" s="372"/>
      <c r="NDB38" s="372"/>
      <c r="NDC38" s="372"/>
      <c r="NDD38" s="372"/>
      <c r="NDE38" s="372"/>
      <c r="NDF38" s="372"/>
      <c r="NDG38" s="372"/>
      <c r="NDH38" s="372"/>
      <c r="NDI38" s="372"/>
      <c r="NDJ38" s="372"/>
      <c r="NDK38" s="372"/>
      <c r="NDL38" s="372"/>
      <c r="NDM38" s="372"/>
      <c r="NDN38" s="372"/>
      <c r="NDO38" s="372"/>
      <c r="NDP38" s="372"/>
      <c r="NDQ38" s="372"/>
      <c r="NDR38" s="372"/>
      <c r="NDS38" s="372"/>
      <c r="NDT38" s="372"/>
      <c r="NDU38" s="372"/>
      <c r="NDV38" s="372"/>
      <c r="NDW38" s="372"/>
      <c r="NDX38" s="372"/>
      <c r="NDY38" s="372"/>
      <c r="NDZ38" s="372"/>
      <c r="NEA38" s="372"/>
      <c r="NEB38" s="372"/>
      <c r="NEC38" s="372"/>
      <c r="NED38" s="372"/>
      <c r="NEE38" s="372"/>
      <c r="NEF38" s="372"/>
      <c r="NEG38" s="372"/>
      <c r="NEH38" s="372"/>
      <c r="NEI38" s="372"/>
      <c r="NEJ38" s="372"/>
      <c r="NEK38" s="372"/>
      <c r="NEL38" s="372"/>
      <c r="NEM38" s="372"/>
      <c r="NEN38" s="372"/>
      <c r="NEO38" s="372"/>
      <c r="NEP38" s="372"/>
      <c r="NEQ38" s="372"/>
      <c r="NER38" s="372"/>
      <c r="NES38" s="372"/>
      <c r="NET38" s="372"/>
      <c r="NEU38" s="372"/>
      <c r="NEV38" s="372"/>
      <c r="NEW38" s="372"/>
      <c r="NEX38" s="372"/>
      <c r="NEY38" s="372"/>
      <c r="NEZ38" s="372"/>
      <c r="NFA38" s="372"/>
      <c r="NFB38" s="372"/>
      <c r="NFC38" s="372"/>
      <c r="NFD38" s="372"/>
      <c r="NFE38" s="372"/>
      <c r="NFF38" s="372"/>
      <c r="NFG38" s="372"/>
      <c r="NFH38" s="372"/>
      <c r="NFI38" s="372"/>
      <c r="NFJ38" s="372"/>
      <c r="NFK38" s="372"/>
      <c r="NFL38" s="372"/>
      <c r="NFM38" s="372"/>
      <c r="NFN38" s="372"/>
      <c r="NFO38" s="372"/>
      <c r="NFP38" s="372"/>
      <c r="NFQ38" s="372"/>
      <c r="NFR38" s="372"/>
      <c r="NFS38" s="372"/>
      <c r="NFT38" s="372"/>
      <c r="NFU38" s="372"/>
      <c r="NFV38" s="372"/>
      <c r="NFW38" s="372"/>
      <c r="NFX38" s="372"/>
      <c r="NFY38" s="372"/>
      <c r="NFZ38" s="372"/>
      <c r="NGA38" s="372"/>
      <c r="NGB38" s="372"/>
      <c r="NGC38" s="372"/>
      <c r="NGD38" s="372"/>
      <c r="NGE38" s="372"/>
      <c r="NGF38" s="372"/>
      <c r="NGG38" s="372"/>
      <c r="NGH38" s="372"/>
      <c r="NGI38" s="372"/>
      <c r="NGJ38" s="372"/>
      <c r="NGK38" s="372"/>
      <c r="NGL38" s="372"/>
      <c r="NGM38" s="372"/>
      <c r="NGN38" s="372"/>
      <c r="NGO38" s="372"/>
      <c r="NGP38" s="372"/>
      <c r="NGQ38" s="372"/>
      <c r="NGR38" s="372"/>
      <c r="NGS38" s="372"/>
      <c r="NGT38" s="372"/>
      <c r="NGU38" s="372"/>
      <c r="NGV38" s="372"/>
      <c r="NGW38" s="372"/>
      <c r="NGX38" s="372"/>
      <c r="NGY38" s="372"/>
      <c r="NGZ38" s="372"/>
      <c r="NHA38" s="372"/>
      <c r="NHB38" s="372"/>
      <c r="NHC38" s="372"/>
      <c r="NHD38" s="372"/>
      <c r="NHE38" s="372"/>
      <c r="NHF38" s="372"/>
      <c r="NHG38" s="372"/>
      <c r="NHH38" s="372"/>
      <c r="NHI38" s="372"/>
      <c r="NHJ38" s="372"/>
      <c r="NHK38" s="372"/>
      <c r="NHL38" s="372"/>
      <c r="NHM38" s="372"/>
      <c r="NHN38" s="372"/>
      <c r="NHO38" s="372"/>
      <c r="NHP38" s="372"/>
      <c r="NHQ38" s="372"/>
      <c r="NHR38" s="372"/>
      <c r="NHS38" s="372"/>
      <c r="NHT38" s="372"/>
      <c r="NHU38" s="372"/>
      <c r="NHV38" s="372"/>
      <c r="NHW38" s="372"/>
      <c r="NHX38" s="372"/>
      <c r="NHY38" s="372"/>
      <c r="NHZ38" s="372"/>
      <c r="NIA38" s="372"/>
      <c r="NIB38" s="372"/>
      <c r="NIC38" s="372"/>
      <c r="NID38" s="372"/>
      <c r="NIE38" s="372"/>
      <c r="NIF38" s="372"/>
      <c r="NIG38" s="372"/>
      <c r="NIH38" s="372"/>
      <c r="NII38" s="372"/>
      <c r="NIJ38" s="372"/>
      <c r="NIK38" s="372"/>
      <c r="NIL38" s="372"/>
      <c r="NIM38" s="372"/>
      <c r="NIN38" s="372"/>
      <c r="NIO38" s="372"/>
      <c r="NIP38" s="372"/>
      <c r="NIQ38" s="372"/>
      <c r="NIR38" s="372"/>
      <c r="NIS38" s="372"/>
      <c r="NIT38" s="372"/>
      <c r="NIU38" s="372"/>
      <c r="NIV38" s="372"/>
      <c r="NIW38" s="372"/>
      <c r="NIX38" s="372"/>
      <c r="NIY38" s="372"/>
      <c r="NIZ38" s="372"/>
      <c r="NJA38" s="372"/>
      <c r="NJB38" s="372"/>
      <c r="NJC38" s="372"/>
      <c r="NJD38" s="372"/>
      <c r="NJE38" s="372"/>
      <c r="NJF38" s="372"/>
      <c r="NJG38" s="372"/>
      <c r="NJH38" s="372"/>
      <c r="NJI38" s="372"/>
      <c r="NJJ38" s="372"/>
      <c r="NJK38" s="372"/>
      <c r="NJL38" s="372"/>
      <c r="NJM38" s="372"/>
      <c r="NJN38" s="372"/>
      <c r="NJO38" s="372"/>
      <c r="NJP38" s="372"/>
      <c r="NJQ38" s="372"/>
      <c r="NJR38" s="372"/>
      <c r="NJS38" s="372"/>
      <c r="NJT38" s="372"/>
      <c r="NJU38" s="372"/>
      <c r="NJV38" s="372"/>
      <c r="NJW38" s="372"/>
      <c r="NJX38" s="372"/>
      <c r="NJY38" s="372"/>
      <c r="NJZ38" s="372"/>
      <c r="NKA38" s="372"/>
      <c r="NKB38" s="372"/>
      <c r="NKC38" s="372"/>
      <c r="NKD38" s="372"/>
      <c r="NKE38" s="372"/>
      <c r="NKF38" s="372"/>
      <c r="NKG38" s="372"/>
      <c r="NKH38" s="372"/>
      <c r="NKI38" s="372"/>
      <c r="NKJ38" s="372"/>
      <c r="NKK38" s="372"/>
      <c r="NKL38" s="372"/>
      <c r="NKM38" s="372"/>
      <c r="NKN38" s="372"/>
      <c r="NKO38" s="372"/>
      <c r="NKP38" s="372"/>
      <c r="NKQ38" s="372"/>
      <c r="NKR38" s="372"/>
      <c r="NKS38" s="372"/>
      <c r="NKT38" s="372"/>
      <c r="NKU38" s="372"/>
      <c r="NKV38" s="372"/>
      <c r="NKW38" s="372"/>
      <c r="NKX38" s="372"/>
      <c r="NKY38" s="372"/>
      <c r="NKZ38" s="372"/>
      <c r="NLA38" s="372"/>
      <c r="NLB38" s="372"/>
      <c r="NLC38" s="372"/>
      <c r="NLD38" s="372"/>
      <c r="NLE38" s="372"/>
      <c r="NLF38" s="372"/>
      <c r="NLG38" s="372"/>
      <c r="NLH38" s="372"/>
      <c r="NLI38" s="372"/>
      <c r="NLJ38" s="372"/>
      <c r="NLK38" s="372"/>
      <c r="NLL38" s="372"/>
      <c r="NLM38" s="372"/>
      <c r="NLN38" s="372"/>
      <c r="NLO38" s="372"/>
      <c r="NLP38" s="372"/>
      <c r="NLQ38" s="372"/>
      <c r="NLR38" s="372"/>
      <c r="NLS38" s="372"/>
      <c r="NLT38" s="372"/>
      <c r="NLU38" s="372"/>
      <c r="NLV38" s="372"/>
      <c r="NLW38" s="372"/>
      <c r="NLX38" s="372"/>
      <c r="NLY38" s="372"/>
      <c r="NLZ38" s="372"/>
      <c r="NMA38" s="372"/>
      <c r="NMB38" s="372"/>
      <c r="NMC38" s="372"/>
      <c r="NMD38" s="372"/>
      <c r="NME38" s="372"/>
      <c r="NMF38" s="372"/>
      <c r="NMG38" s="372"/>
      <c r="NMH38" s="372"/>
      <c r="NMI38" s="372"/>
      <c r="NMJ38" s="372"/>
      <c r="NMK38" s="372"/>
      <c r="NML38" s="372"/>
      <c r="NMM38" s="372"/>
      <c r="NMN38" s="372"/>
      <c r="NMO38" s="372"/>
      <c r="NMP38" s="372"/>
      <c r="NMQ38" s="372"/>
      <c r="NMR38" s="372"/>
      <c r="NMS38" s="372"/>
      <c r="NMT38" s="372"/>
      <c r="NMU38" s="372"/>
      <c r="NMV38" s="372"/>
      <c r="NMW38" s="372"/>
      <c r="NMX38" s="372"/>
      <c r="NMY38" s="372"/>
      <c r="NMZ38" s="372"/>
      <c r="NNA38" s="372"/>
      <c r="NNB38" s="372"/>
      <c r="NNC38" s="372"/>
      <c r="NND38" s="372"/>
      <c r="NNE38" s="372"/>
      <c r="NNF38" s="372"/>
      <c r="NNG38" s="372"/>
      <c r="NNH38" s="372"/>
      <c r="NNI38" s="372"/>
      <c r="NNJ38" s="372"/>
      <c r="NNK38" s="372"/>
      <c r="NNL38" s="372"/>
      <c r="NNM38" s="372"/>
      <c r="NNN38" s="372"/>
      <c r="NNO38" s="372"/>
      <c r="NNP38" s="372"/>
      <c r="NNQ38" s="372"/>
      <c r="NNR38" s="372"/>
      <c r="NNS38" s="372"/>
      <c r="NNT38" s="372"/>
      <c r="NNU38" s="372"/>
      <c r="NNV38" s="372"/>
      <c r="NNW38" s="372"/>
      <c r="NNX38" s="372"/>
      <c r="NNY38" s="372"/>
      <c r="NNZ38" s="372"/>
      <c r="NOA38" s="372"/>
      <c r="NOB38" s="372"/>
      <c r="NOC38" s="372"/>
      <c r="NOD38" s="372"/>
      <c r="NOE38" s="372"/>
      <c r="NOF38" s="372"/>
      <c r="NOG38" s="372"/>
      <c r="NOH38" s="372"/>
      <c r="NOI38" s="372"/>
      <c r="NOJ38" s="372"/>
      <c r="NOK38" s="372"/>
      <c r="NOL38" s="372"/>
      <c r="NOM38" s="372"/>
      <c r="NON38" s="372"/>
      <c r="NOO38" s="372"/>
      <c r="NOP38" s="372"/>
      <c r="NOQ38" s="372"/>
      <c r="NOR38" s="372"/>
      <c r="NOS38" s="372"/>
      <c r="NOT38" s="372"/>
      <c r="NOU38" s="372"/>
      <c r="NOV38" s="372"/>
      <c r="NOW38" s="372"/>
      <c r="NOX38" s="372"/>
      <c r="NOY38" s="372"/>
      <c r="NOZ38" s="372"/>
      <c r="NPA38" s="372"/>
      <c r="NPB38" s="372"/>
      <c r="NPC38" s="372"/>
      <c r="NPD38" s="372"/>
      <c r="NPE38" s="372"/>
      <c r="NPF38" s="372"/>
      <c r="NPG38" s="372"/>
      <c r="NPH38" s="372"/>
      <c r="NPI38" s="372"/>
      <c r="NPJ38" s="372"/>
      <c r="NPK38" s="372"/>
      <c r="NPL38" s="372"/>
      <c r="NPM38" s="372"/>
      <c r="NPN38" s="372"/>
      <c r="NPO38" s="372"/>
      <c r="NPP38" s="372"/>
      <c r="NPQ38" s="372"/>
      <c r="NPR38" s="372"/>
      <c r="NPS38" s="372"/>
      <c r="NPT38" s="372"/>
      <c r="NPU38" s="372"/>
      <c r="NPV38" s="372"/>
      <c r="NPW38" s="372"/>
      <c r="NPX38" s="372"/>
      <c r="NPY38" s="372"/>
      <c r="NPZ38" s="372"/>
      <c r="NQA38" s="372"/>
      <c r="NQB38" s="372"/>
      <c r="NQC38" s="372"/>
      <c r="NQD38" s="372"/>
      <c r="NQE38" s="372"/>
      <c r="NQF38" s="372"/>
      <c r="NQG38" s="372"/>
      <c r="NQH38" s="372"/>
      <c r="NQI38" s="372"/>
      <c r="NQJ38" s="372"/>
      <c r="NQK38" s="372"/>
      <c r="NQL38" s="372"/>
      <c r="NQM38" s="372"/>
      <c r="NQN38" s="372"/>
      <c r="NQO38" s="372"/>
      <c r="NQP38" s="372"/>
      <c r="NQQ38" s="372"/>
      <c r="NQR38" s="372"/>
      <c r="NQS38" s="372"/>
      <c r="NQT38" s="372"/>
      <c r="NQU38" s="372"/>
      <c r="NQV38" s="372"/>
      <c r="NQW38" s="372"/>
      <c r="NQX38" s="372"/>
      <c r="NQY38" s="372"/>
      <c r="NQZ38" s="372"/>
      <c r="NRA38" s="372"/>
      <c r="NRB38" s="372"/>
      <c r="NRC38" s="372"/>
      <c r="NRD38" s="372"/>
      <c r="NRE38" s="372"/>
      <c r="NRF38" s="372"/>
      <c r="NRG38" s="372"/>
      <c r="NRH38" s="372"/>
      <c r="NRI38" s="372"/>
      <c r="NRJ38" s="372"/>
      <c r="NRK38" s="372"/>
      <c r="NRL38" s="372"/>
      <c r="NRM38" s="372"/>
      <c r="NRN38" s="372"/>
      <c r="NRO38" s="372"/>
      <c r="NRP38" s="372"/>
      <c r="NRQ38" s="372"/>
      <c r="NRR38" s="372"/>
      <c r="NRS38" s="372"/>
      <c r="NRT38" s="372"/>
      <c r="NRU38" s="372"/>
      <c r="NRV38" s="372"/>
      <c r="NRW38" s="372"/>
      <c r="NRX38" s="372"/>
      <c r="NRY38" s="372"/>
      <c r="NRZ38" s="372"/>
      <c r="NSA38" s="372"/>
      <c r="NSB38" s="372"/>
      <c r="NSC38" s="372"/>
      <c r="NSD38" s="372"/>
      <c r="NSE38" s="372"/>
      <c r="NSF38" s="372"/>
      <c r="NSG38" s="372"/>
      <c r="NSH38" s="372"/>
      <c r="NSI38" s="372"/>
      <c r="NSJ38" s="372"/>
      <c r="NSK38" s="372"/>
      <c r="NSL38" s="372"/>
      <c r="NSM38" s="372"/>
      <c r="NSN38" s="372"/>
      <c r="NSO38" s="372"/>
      <c r="NSP38" s="372"/>
      <c r="NSQ38" s="372"/>
      <c r="NSR38" s="372"/>
      <c r="NSS38" s="372"/>
      <c r="NST38" s="372"/>
      <c r="NSU38" s="372"/>
      <c r="NSV38" s="372"/>
      <c r="NSW38" s="372"/>
      <c r="NSX38" s="372"/>
      <c r="NSY38" s="372"/>
      <c r="NSZ38" s="372"/>
      <c r="NTA38" s="372"/>
      <c r="NTB38" s="372"/>
      <c r="NTC38" s="372"/>
      <c r="NTD38" s="372"/>
      <c r="NTE38" s="372"/>
      <c r="NTF38" s="372"/>
      <c r="NTG38" s="372"/>
      <c r="NTH38" s="372"/>
      <c r="NTI38" s="372"/>
      <c r="NTJ38" s="372"/>
      <c r="NTK38" s="372"/>
      <c r="NTL38" s="372"/>
      <c r="NTM38" s="372"/>
      <c r="NTN38" s="372"/>
      <c r="NTO38" s="372"/>
      <c r="NTP38" s="372"/>
      <c r="NTQ38" s="372"/>
      <c r="NTR38" s="372"/>
      <c r="NTS38" s="372"/>
      <c r="NTT38" s="372"/>
      <c r="NTU38" s="372"/>
      <c r="NTV38" s="372"/>
      <c r="NTW38" s="372"/>
      <c r="NTX38" s="372"/>
      <c r="NTY38" s="372"/>
      <c r="NTZ38" s="372"/>
      <c r="NUA38" s="372"/>
      <c r="NUB38" s="372"/>
      <c r="NUC38" s="372"/>
      <c r="NUD38" s="372"/>
      <c r="NUE38" s="372"/>
      <c r="NUF38" s="372"/>
      <c r="NUG38" s="372"/>
      <c r="NUH38" s="372"/>
      <c r="NUI38" s="372"/>
      <c r="NUJ38" s="372"/>
      <c r="NUK38" s="372"/>
      <c r="NUL38" s="372"/>
      <c r="NUM38" s="372"/>
      <c r="NUN38" s="372"/>
      <c r="NUO38" s="372"/>
      <c r="NUP38" s="372"/>
      <c r="NUQ38" s="372"/>
      <c r="NUR38" s="372"/>
      <c r="NUS38" s="372"/>
      <c r="NUT38" s="372"/>
      <c r="NUU38" s="372"/>
      <c r="NUV38" s="372"/>
      <c r="NUW38" s="372"/>
      <c r="NUX38" s="372"/>
      <c r="NUY38" s="372"/>
      <c r="NUZ38" s="372"/>
      <c r="NVA38" s="372"/>
      <c r="NVB38" s="372"/>
      <c r="NVC38" s="372"/>
      <c r="NVD38" s="372"/>
      <c r="NVE38" s="372"/>
      <c r="NVF38" s="372"/>
      <c r="NVG38" s="372"/>
      <c r="NVH38" s="372"/>
      <c r="NVI38" s="372"/>
      <c r="NVJ38" s="372"/>
      <c r="NVK38" s="372"/>
      <c r="NVL38" s="372"/>
      <c r="NVM38" s="372"/>
      <c r="NVN38" s="372"/>
      <c r="NVO38" s="372"/>
      <c r="NVP38" s="372"/>
      <c r="NVQ38" s="372"/>
      <c r="NVR38" s="372"/>
      <c r="NVS38" s="372"/>
      <c r="NVT38" s="372"/>
      <c r="NVU38" s="372"/>
      <c r="NVV38" s="372"/>
      <c r="NVW38" s="372"/>
      <c r="NVX38" s="372"/>
      <c r="NVY38" s="372"/>
      <c r="NVZ38" s="372"/>
      <c r="NWA38" s="372"/>
      <c r="NWB38" s="372"/>
      <c r="NWC38" s="372"/>
      <c r="NWD38" s="372"/>
      <c r="NWE38" s="372"/>
      <c r="NWF38" s="372"/>
      <c r="NWG38" s="372"/>
      <c r="NWH38" s="372"/>
      <c r="NWI38" s="372"/>
      <c r="NWJ38" s="372"/>
      <c r="NWK38" s="372"/>
      <c r="NWL38" s="372"/>
      <c r="NWM38" s="372"/>
      <c r="NWN38" s="372"/>
      <c r="NWO38" s="372"/>
      <c r="NWP38" s="372"/>
      <c r="NWQ38" s="372"/>
      <c r="NWR38" s="372"/>
      <c r="NWS38" s="372"/>
      <c r="NWT38" s="372"/>
      <c r="NWU38" s="372"/>
      <c r="NWV38" s="372"/>
      <c r="NWW38" s="372"/>
      <c r="NWX38" s="372"/>
      <c r="NWY38" s="372"/>
      <c r="NWZ38" s="372"/>
      <c r="NXA38" s="372"/>
      <c r="NXB38" s="372"/>
      <c r="NXC38" s="372"/>
      <c r="NXD38" s="372"/>
      <c r="NXE38" s="372"/>
      <c r="NXF38" s="372"/>
      <c r="NXG38" s="372"/>
      <c r="NXH38" s="372"/>
      <c r="NXI38" s="372"/>
      <c r="NXJ38" s="372"/>
      <c r="NXK38" s="372"/>
      <c r="NXL38" s="372"/>
      <c r="NXM38" s="372"/>
      <c r="NXN38" s="372"/>
      <c r="NXO38" s="372"/>
      <c r="NXP38" s="372"/>
      <c r="NXQ38" s="372"/>
      <c r="NXR38" s="372"/>
      <c r="NXS38" s="372"/>
      <c r="NXT38" s="372"/>
      <c r="NXU38" s="372"/>
      <c r="NXV38" s="372"/>
      <c r="NXW38" s="372"/>
      <c r="NXX38" s="372"/>
      <c r="NXY38" s="372"/>
      <c r="NXZ38" s="372"/>
      <c r="NYA38" s="372"/>
      <c r="NYB38" s="372"/>
      <c r="NYC38" s="372"/>
      <c r="NYD38" s="372"/>
      <c r="NYE38" s="372"/>
      <c r="NYF38" s="372"/>
      <c r="NYG38" s="372"/>
      <c r="NYH38" s="372"/>
      <c r="NYI38" s="372"/>
      <c r="NYJ38" s="372"/>
      <c r="NYK38" s="372"/>
      <c r="NYL38" s="372"/>
      <c r="NYM38" s="372"/>
      <c r="NYN38" s="372"/>
      <c r="NYO38" s="372"/>
      <c r="NYP38" s="372"/>
      <c r="NYQ38" s="372"/>
      <c r="NYR38" s="372"/>
      <c r="NYS38" s="372"/>
      <c r="NYT38" s="372"/>
      <c r="NYU38" s="372"/>
      <c r="NYV38" s="372"/>
      <c r="NYW38" s="372"/>
      <c r="NYX38" s="372"/>
      <c r="NYY38" s="372"/>
      <c r="NYZ38" s="372"/>
      <c r="NZA38" s="372"/>
      <c r="NZB38" s="372"/>
      <c r="NZC38" s="372"/>
      <c r="NZD38" s="372"/>
      <c r="NZE38" s="372"/>
      <c r="NZF38" s="372"/>
      <c r="NZG38" s="372"/>
      <c r="NZH38" s="372"/>
      <c r="NZI38" s="372"/>
      <c r="NZJ38" s="372"/>
      <c r="NZK38" s="372"/>
      <c r="NZL38" s="372"/>
      <c r="NZM38" s="372"/>
      <c r="NZN38" s="372"/>
      <c r="NZO38" s="372"/>
      <c r="NZP38" s="372"/>
      <c r="NZQ38" s="372"/>
      <c r="NZR38" s="372"/>
      <c r="NZS38" s="372"/>
      <c r="NZT38" s="372"/>
      <c r="NZU38" s="372"/>
      <c r="NZV38" s="372"/>
      <c r="NZW38" s="372"/>
      <c r="NZX38" s="372"/>
      <c r="NZY38" s="372"/>
      <c r="NZZ38" s="372"/>
      <c r="OAA38" s="372"/>
      <c r="OAB38" s="372"/>
      <c r="OAC38" s="372"/>
      <c r="OAD38" s="372"/>
      <c r="OAE38" s="372"/>
      <c r="OAF38" s="372"/>
      <c r="OAG38" s="372"/>
      <c r="OAH38" s="372"/>
      <c r="OAI38" s="372"/>
      <c r="OAJ38" s="372"/>
      <c r="OAK38" s="372"/>
      <c r="OAL38" s="372"/>
      <c r="OAM38" s="372"/>
      <c r="OAN38" s="372"/>
      <c r="OAO38" s="372"/>
      <c r="OAP38" s="372"/>
      <c r="OAQ38" s="372"/>
      <c r="OAR38" s="372"/>
      <c r="OAS38" s="372"/>
      <c r="OAT38" s="372"/>
      <c r="OAU38" s="372"/>
      <c r="OAV38" s="372"/>
      <c r="OAW38" s="372"/>
      <c r="OAX38" s="372"/>
      <c r="OAY38" s="372"/>
      <c r="OAZ38" s="372"/>
      <c r="OBA38" s="372"/>
      <c r="OBB38" s="372"/>
      <c r="OBC38" s="372"/>
      <c r="OBD38" s="372"/>
      <c r="OBE38" s="372"/>
      <c r="OBF38" s="372"/>
      <c r="OBG38" s="372"/>
      <c r="OBH38" s="372"/>
      <c r="OBI38" s="372"/>
      <c r="OBJ38" s="372"/>
      <c r="OBK38" s="372"/>
      <c r="OBL38" s="372"/>
      <c r="OBM38" s="372"/>
      <c r="OBN38" s="372"/>
      <c r="OBO38" s="372"/>
      <c r="OBP38" s="372"/>
      <c r="OBQ38" s="372"/>
      <c r="OBR38" s="372"/>
      <c r="OBS38" s="372"/>
      <c r="OBT38" s="372"/>
      <c r="OBU38" s="372"/>
      <c r="OBV38" s="372"/>
      <c r="OBW38" s="372"/>
      <c r="OBX38" s="372"/>
      <c r="OBY38" s="372"/>
      <c r="OBZ38" s="372"/>
      <c r="OCA38" s="372"/>
      <c r="OCB38" s="372"/>
      <c r="OCC38" s="372"/>
      <c r="OCD38" s="372"/>
      <c r="OCE38" s="372"/>
      <c r="OCF38" s="372"/>
      <c r="OCG38" s="372"/>
      <c r="OCH38" s="372"/>
      <c r="OCI38" s="372"/>
      <c r="OCJ38" s="372"/>
      <c r="OCK38" s="372"/>
      <c r="OCL38" s="372"/>
      <c r="OCM38" s="372"/>
      <c r="OCN38" s="372"/>
      <c r="OCO38" s="372"/>
      <c r="OCP38" s="372"/>
      <c r="OCQ38" s="372"/>
      <c r="OCR38" s="372"/>
      <c r="OCS38" s="372"/>
      <c r="OCT38" s="372"/>
      <c r="OCU38" s="372"/>
      <c r="OCV38" s="372"/>
      <c r="OCW38" s="372"/>
      <c r="OCX38" s="372"/>
      <c r="OCY38" s="372"/>
      <c r="OCZ38" s="372"/>
      <c r="ODA38" s="372"/>
      <c r="ODB38" s="372"/>
      <c r="ODC38" s="372"/>
      <c r="ODD38" s="372"/>
      <c r="ODE38" s="372"/>
      <c r="ODF38" s="372"/>
      <c r="ODG38" s="372"/>
      <c r="ODH38" s="372"/>
      <c r="ODI38" s="372"/>
      <c r="ODJ38" s="372"/>
      <c r="ODK38" s="372"/>
      <c r="ODL38" s="372"/>
      <c r="ODM38" s="372"/>
      <c r="ODN38" s="372"/>
      <c r="ODO38" s="372"/>
      <c r="ODP38" s="372"/>
      <c r="ODQ38" s="372"/>
      <c r="ODR38" s="372"/>
      <c r="ODS38" s="372"/>
      <c r="ODT38" s="372"/>
      <c r="ODU38" s="372"/>
      <c r="ODV38" s="372"/>
      <c r="ODW38" s="372"/>
      <c r="ODX38" s="372"/>
      <c r="ODY38" s="372"/>
      <c r="ODZ38" s="372"/>
      <c r="OEA38" s="372"/>
      <c r="OEB38" s="372"/>
      <c r="OEC38" s="372"/>
      <c r="OED38" s="372"/>
      <c r="OEE38" s="372"/>
      <c r="OEF38" s="372"/>
      <c r="OEG38" s="372"/>
      <c r="OEH38" s="372"/>
      <c r="OEI38" s="372"/>
      <c r="OEJ38" s="372"/>
      <c r="OEK38" s="372"/>
      <c r="OEL38" s="372"/>
      <c r="OEM38" s="372"/>
      <c r="OEN38" s="372"/>
      <c r="OEO38" s="372"/>
      <c r="OEP38" s="372"/>
      <c r="OEQ38" s="372"/>
      <c r="OER38" s="372"/>
      <c r="OES38" s="372"/>
      <c r="OET38" s="372"/>
      <c r="OEU38" s="372"/>
      <c r="OEV38" s="372"/>
      <c r="OEW38" s="372"/>
      <c r="OEX38" s="372"/>
      <c r="OEY38" s="372"/>
      <c r="OEZ38" s="372"/>
      <c r="OFA38" s="372"/>
      <c r="OFB38" s="372"/>
      <c r="OFC38" s="372"/>
      <c r="OFD38" s="372"/>
      <c r="OFE38" s="372"/>
      <c r="OFF38" s="372"/>
      <c r="OFG38" s="372"/>
      <c r="OFH38" s="372"/>
      <c r="OFI38" s="372"/>
      <c r="OFJ38" s="372"/>
      <c r="OFK38" s="372"/>
      <c r="OFL38" s="372"/>
      <c r="OFM38" s="372"/>
      <c r="OFN38" s="372"/>
      <c r="OFO38" s="372"/>
      <c r="OFP38" s="372"/>
      <c r="OFQ38" s="372"/>
      <c r="OFR38" s="372"/>
      <c r="OFS38" s="372"/>
      <c r="OFT38" s="372"/>
      <c r="OFU38" s="372"/>
      <c r="OFV38" s="372"/>
      <c r="OFW38" s="372"/>
      <c r="OFX38" s="372"/>
      <c r="OFY38" s="372"/>
      <c r="OFZ38" s="372"/>
      <c r="OGA38" s="372"/>
      <c r="OGB38" s="372"/>
      <c r="OGC38" s="372"/>
      <c r="OGD38" s="372"/>
      <c r="OGE38" s="372"/>
      <c r="OGF38" s="372"/>
      <c r="OGG38" s="372"/>
      <c r="OGH38" s="372"/>
      <c r="OGI38" s="372"/>
      <c r="OGJ38" s="372"/>
      <c r="OGK38" s="372"/>
      <c r="OGL38" s="372"/>
      <c r="OGM38" s="372"/>
      <c r="OGN38" s="372"/>
      <c r="OGO38" s="372"/>
      <c r="OGP38" s="372"/>
      <c r="OGQ38" s="372"/>
      <c r="OGR38" s="372"/>
      <c r="OGS38" s="372"/>
      <c r="OGT38" s="372"/>
      <c r="OGU38" s="372"/>
      <c r="OGV38" s="372"/>
      <c r="OGW38" s="372"/>
      <c r="OGX38" s="372"/>
      <c r="OGY38" s="372"/>
      <c r="OGZ38" s="372"/>
      <c r="OHA38" s="372"/>
      <c r="OHB38" s="372"/>
      <c r="OHC38" s="372"/>
      <c r="OHD38" s="372"/>
      <c r="OHE38" s="372"/>
      <c r="OHF38" s="372"/>
      <c r="OHG38" s="372"/>
      <c r="OHH38" s="372"/>
      <c r="OHI38" s="372"/>
      <c r="OHJ38" s="372"/>
      <c r="OHK38" s="372"/>
      <c r="OHL38" s="372"/>
      <c r="OHM38" s="372"/>
      <c r="OHN38" s="372"/>
      <c r="OHO38" s="372"/>
      <c r="OHP38" s="372"/>
      <c r="OHQ38" s="372"/>
      <c r="OHR38" s="372"/>
      <c r="OHS38" s="372"/>
      <c r="OHT38" s="372"/>
      <c r="OHU38" s="372"/>
      <c r="OHV38" s="372"/>
      <c r="OHW38" s="372"/>
      <c r="OHX38" s="372"/>
      <c r="OHY38" s="372"/>
      <c r="OHZ38" s="372"/>
      <c r="OIA38" s="372"/>
      <c r="OIB38" s="372"/>
      <c r="OIC38" s="372"/>
      <c r="OID38" s="372"/>
      <c r="OIE38" s="372"/>
      <c r="OIF38" s="372"/>
      <c r="OIG38" s="372"/>
      <c r="OIH38" s="372"/>
      <c r="OII38" s="372"/>
      <c r="OIJ38" s="372"/>
      <c r="OIK38" s="372"/>
      <c r="OIL38" s="372"/>
      <c r="OIM38" s="372"/>
      <c r="OIN38" s="372"/>
      <c r="OIO38" s="372"/>
      <c r="OIP38" s="372"/>
      <c r="OIQ38" s="372"/>
      <c r="OIR38" s="372"/>
      <c r="OIS38" s="372"/>
      <c r="OIT38" s="372"/>
      <c r="OIU38" s="372"/>
      <c r="OIV38" s="372"/>
      <c r="OIW38" s="372"/>
      <c r="OIX38" s="372"/>
      <c r="OIY38" s="372"/>
      <c r="OIZ38" s="372"/>
      <c r="OJA38" s="372"/>
      <c r="OJB38" s="372"/>
      <c r="OJC38" s="372"/>
      <c r="OJD38" s="372"/>
      <c r="OJE38" s="372"/>
      <c r="OJF38" s="372"/>
      <c r="OJG38" s="372"/>
      <c r="OJH38" s="372"/>
      <c r="OJI38" s="372"/>
      <c r="OJJ38" s="372"/>
      <c r="OJK38" s="372"/>
      <c r="OJL38" s="372"/>
      <c r="OJM38" s="372"/>
      <c r="OJN38" s="372"/>
      <c r="OJO38" s="372"/>
      <c r="OJP38" s="372"/>
      <c r="OJQ38" s="372"/>
      <c r="OJR38" s="372"/>
      <c r="OJS38" s="372"/>
      <c r="OJT38" s="372"/>
      <c r="OJU38" s="372"/>
      <c r="OJV38" s="372"/>
      <c r="OJW38" s="372"/>
      <c r="OJX38" s="372"/>
      <c r="OJY38" s="372"/>
      <c r="OJZ38" s="372"/>
      <c r="OKA38" s="372"/>
      <c r="OKB38" s="372"/>
      <c r="OKC38" s="372"/>
      <c r="OKD38" s="372"/>
      <c r="OKE38" s="372"/>
      <c r="OKF38" s="372"/>
      <c r="OKG38" s="372"/>
      <c r="OKH38" s="372"/>
      <c r="OKI38" s="372"/>
      <c r="OKJ38" s="372"/>
      <c r="OKK38" s="372"/>
      <c r="OKL38" s="372"/>
      <c r="OKM38" s="372"/>
      <c r="OKN38" s="372"/>
      <c r="OKO38" s="372"/>
      <c r="OKP38" s="372"/>
      <c r="OKQ38" s="372"/>
      <c r="OKR38" s="372"/>
      <c r="OKS38" s="372"/>
      <c r="OKT38" s="372"/>
      <c r="OKU38" s="372"/>
      <c r="OKV38" s="372"/>
      <c r="OKW38" s="372"/>
      <c r="OKX38" s="372"/>
      <c r="OKY38" s="372"/>
      <c r="OKZ38" s="372"/>
      <c r="OLA38" s="372"/>
      <c r="OLB38" s="372"/>
      <c r="OLC38" s="372"/>
      <c r="OLD38" s="372"/>
      <c r="OLE38" s="372"/>
      <c r="OLF38" s="372"/>
      <c r="OLG38" s="372"/>
      <c r="OLH38" s="372"/>
      <c r="OLI38" s="372"/>
      <c r="OLJ38" s="372"/>
      <c r="OLK38" s="372"/>
      <c r="OLL38" s="372"/>
      <c r="OLM38" s="372"/>
      <c r="OLN38" s="372"/>
      <c r="OLO38" s="372"/>
      <c r="OLP38" s="372"/>
      <c r="OLQ38" s="372"/>
      <c r="OLR38" s="372"/>
      <c r="OLS38" s="372"/>
      <c r="OLT38" s="372"/>
      <c r="OLU38" s="372"/>
      <c r="OLV38" s="372"/>
      <c r="OLW38" s="372"/>
      <c r="OLX38" s="372"/>
      <c r="OLY38" s="372"/>
      <c r="OLZ38" s="372"/>
      <c r="OMA38" s="372"/>
      <c r="OMB38" s="372"/>
      <c r="OMC38" s="372"/>
      <c r="OMD38" s="372"/>
      <c r="OME38" s="372"/>
      <c r="OMF38" s="372"/>
      <c r="OMG38" s="372"/>
      <c r="OMH38" s="372"/>
      <c r="OMI38" s="372"/>
      <c r="OMJ38" s="372"/>
      <c r="OMK38" s="372"/>
      <c r="OML38" s="372"/>
      <c r="OMM38" s="372"/>
      <c r="OMN38" s="372"/>
      <c r="OMO38" s="372"/>
      <c r="OMP38" s="372"/>
      <c r="OMQ38" s="372"/>
      <c r="OMR38" s="372"/>
      <c r="OMS38" s="372"/>
      <c r="OMT38" s="372"/>
      <c r="OMU38" s="372"/>
      <c r="OMV38" s="372"/>
      <c r="OMW38" s="372"/>
      <c r="OMX38" s="372"/>
      <c r="OMY38" s="372"/>
      <c r="OMZ38" s="372"/>
      <c r="ONA38" s="372"/>
      <c r="ONB38" s="372"/>
      <c r="ONC38" s="372"/>
      <c r="OND38" s="372"/>
      <c r="ONE38" s="372"/>
      <c r="ONF38" s="372"/>
      <c r="ONG38" s="372"/>
      <c r="ONH38" s="372"/>
      <c r="ONI38" s="372"/>
      <c r="ONJ38" s="372"/>
      <c r="ONK38" s="372"/>
      <c r="ONL38" s="372"/>
      <c r="ONM38" s="372"/>
      <c r="ONN38" s="372"/>
      <c r="ONO38" s="372"/>
      <c r="ONP38" s="372"/>
      <c r="ONQ38" s="372"/>
      <c r="ONR38" s="372"/>
      <c r="ONS38" s="372"/>
      <c r="ONT38" s="372"/>
      <c r="ONU38" s="372"/>
      <c r="ONV38" s="372"/>
      <c r="ONW38" s="372"/>
      <c r="ONX38" s="372"/>
      <c r="ONY38" s="372"/>
      <c r="ONZ38" s="372"/>
      <c r="OOA38" s="372"/>
      <c r="OOB38" s="372"/>
      <c r="OOC38" s="372"/>
      <c r="OOD38" s="372"/>
      <c r="OOE38" s="372"/>
      <c r="OOF38" s="372"/>
      <c r="OOG38" s="372"/>
      <c r="OOH38" s="372"/>
      <c r="OOI38" s="372"/>
      <c r="OOJ38" s="372"/>
      <c r="OOK38" s="372"/>
      <c r="OOL38" s="372"/>
      <c r="OOM38" s="372"/>
      <c r="OON38" s="372"/>
      <c r="OOO38" s="372"/>
      <c r="OOP38" s="372"/>
      <c r="OOQ38" s="372"/>
      <c r="OOR38" s="372"/>
      <c r="OOS38" s="372"/>
      <c r="OOT38" s="372"/>
      <c r="OOU38" s="372"/>
      <c r="OOV38" s="372"/>
      <c r="OOW38" s="372"/>
      <c r="OOX38" s="372"/>
      <c r="OOY38" s="372"/>
      <c r="OOZ38" s="372"/>
      <c r="OPA38" s="372"/>
      <c r="OPB38" s="372"/>
      <c r="OPC38" s="372"/>
      <c r="OPD38" s="372"/>
      <c r="OPE38" s="372"/>
      <c r="OPF38" s="372"/>
      <c r="OPG38" s="372"/>
      <c r="OPH38" s="372"/>
      <c r="OPI38" s="372"/>
      <c r="OPJ38" s="372"/>
      <c r="OPK38" s="372"/>
      <c r="OPL38" s="372"/>
      <c r="OPM38" s="372"/>
      <c r="OPN38" s="372"/>
      <c r="OPO38" s="372"/>
      <c r="OPP38" s="372"/>
      <c r="OPQ38" s="372"/>
      <c r="OPR38" s="372"/>
      <c r="OPS38" s="372"/>
      <c r="OPT38" s="372"/>
      <c r="OPU38" s="372"/>
      <c r="OPV38" s="372"/>
      <c r="OPW38" s="372"/>
      <c r="OPX38" s="372"/>
      <c r="OPY38" s="372"/>
      <c r="OPZ38" s="372"/>
      <c r="OQA38" s="372"/>
      <c r="OQB38" s="372"/>
      <c r="OQC38" s="372"/>
      <c r="OQD38" s="372"/>
      <c r="OQE38" s="372"/>
      <c r="OQF38" s="372"/>
      <c r="OQG38" s="372"/>
      <c r="OQH38" s="372"/>
      <c r="OQI38" s="372"/>
      <c r="OQJ38" s="372"/>
      <c r="OQK38" s="372"/>
      <c r="OQL38" s="372"/>
      <c r="OQM38" s="372"/>
      <c r="OQN38" s="372"/>
      <c r="OQO38" s="372"/>
      <c r="OQP38" s="372"/>
      <c r="OQQ38" s="372"/>
      <c r="OQR38" s="372"/>
      <c r="OQS38" s="372"/>
      <c r="OQT38" s="372"/>
      <c r="OQU38" s="372"/>
      <c r="OQV38" s="372"/>
      <c r="OQW38" s="372"/>
      <c r="OQX38" s="372"/>
      <c r="OQY38" s="372"/>
      <c r="OQZ38" s="372"/>
      <c r="ORA38" s="372"/>
      <c r="ORB38" s="372"/>
      <c r="ORC38" s="372"/>
      <c r="ORD38" s="372"/>
      <c r="ORE38" s="372"/>
      <c r="ORF38" s="372"/>
      <c r="ORG38" s="372"/>
      <c r="ORH38" s="372"/>
      <c r="ORI38" s="372"/>
      <c r="ORJ38" s="372"/>
      <c r="ORK38" s="372"/>
      <c r="ORL38" s="372"/>
      <c r="ORM38" s="372"/>
      <c r="ORN38" s="372"/>
      <c r="ORO38" s="372"/>
      <c r="ORP38" s="372"/>
      <c r="ORQ38" s="372"/>
      <c r="ORR38" s="372"/>
      <c r="ORS38" s="372"/>
      <c r="ORT38" s="372"/>
      <c r="ORU38" s="372"/>
      <c r="ORV38" s="372"/>
      <c r="ORW38" s="372"/>
      <c r="ORX38" s="372"/>
      <c r="ORY38" s="372"/>
      <c r="ORZ38" s="372"/>
      <c r="OSA38" s="372"/>
      <c r="OSB38" s="372"/>
      <c r="OSC38" s="372"/>
      <c r="OSD38" s="372"/>
      <c r="OSE38" s="372"/>
      <c r="OSF38" s="372"/>
      <c r="OSG38" s="372"/>
      <c r="OSH38" s="372"/>
      <c r="OSI38" s="372"/>
      <c r="OSJ38" s="372"/>
      <c r="OSK38" s="372"/>
      <c r="OSL38" s="372"/>
      <c r="OSM38" s="372"/>
      <c r="OSN38" s="372"/>
      <c r="OSO38" s="372"/>
      <c r="OSP38" s="372"/>
      <c r="OSQ38" s="372"/>
      <c r="OSR38" s="372"/>
      <c r="OSS38" s="372"/>
      <c r="OST38" s="372"/>
      <c r="OSU38" s="372"/>
      <c r="OSV38" s="372"/>
      <c r="OSW38" s="372"/>
      <c r="OSX38" s="372"/>
      <c r="OSY38" s="372"/>
      <c r="OSZ38" s="372"/>
      <c r="OTA38" s="372"/>
      <c r="OTB38" s="372"/>
      <c r="OTC38" s="372"/>
      <c r="OTD38" s="372"/>
      <c r="OTE38" s="372"/>
      <c r="OTF38" s="372"/>
      <c r="OTG38" s="372"/>
      <c r="OTH38" s="372"/>
      <c r="OTI38" s="372"/>
      <c r="OTJ38" s="372"/>
      <c r="OTK38" s="372"/>
      <c r="OTL38" s="372"/>
      <c r="OTM38" s="372"/>
      <c r="OTN38" s="372"/>
      <c r="OTO38" s="372"/>
      <c r="OTP38" s="372"/>
      <c r="OTQ38" s="372"/>
      <c r="OTR38" s="372"/>
      <c r="OTS38" s="372"/>
      <c r="OTT38" s="372"/>
      <c r="OTU38" s="372"/>
      <c r="OTV38" s="372"/>
      <c r="OTW38" s="372"/>
      <c r="OTX38" s="372"/>
      <c r="OTY38" s="372"/>
      <c r="OTZ38" s="372"/>
      <c r="OUA38" s="372"/>
      <c r="OUB38" s="372"/>
      <c r="OUC38" s="372"/>
      <c r="OUD38" s="372"/>
      <c r="OUE38" s="372"/>
      <c r="OUF38" s="372"/>
      <c r="OUG38" s="372"/>
      <c r="OUH38" s="372"/>
      <c r="OUI38" s="372"/>
      <c r="OUJ38" s="372"/>
      <c r="OUK38" s="372"/>
      <c r="OUL38" s="372"/>
      <c r="OUM38" s="372"/>
      <c r="OUN38" s="372"/>
      <c r="OUO38" s="372"/>
      <c r="OUP38" s="372"/>
      <c r="OUQ38" s="372"/>
      <c r="OUR38" s="372"/>
      <c r="OUS38" s="372"/>
      <c r="OUT38" s="372"/>
      <c r="OUU38" s="372"/>
      <c r="OUV38" s="372"/>
      <c r="OUW38" s="372"/>
      <c r="OUX38" s="372"/>
      <c r="OUY38" s="372"/>
      <c r="OUZ38" s="372"/>
      <c r="OVA38" s="372"/>
      <c r="OVB38" s="372"/>
      <c r="OVC38" s="372"/>
      <c r="OVD38" s="372"/>
      <c r="OVE38" s="372"/>
      <c r="OVF38" s="372"/>
      <c r="OVG38" s="372"/>
      <c r="OVH38" s="372"/>
      <c r="OVI38" s="372"/>
      <c r="OVJ38" s="372"/>
      <c r="OVK38" s="372"/>
      <c r="OVL38" s="372"/>
      <c r="OVM38" s="372"/>
      <c r="OVN38" s="372"/>
      <c r="OVO38" s="372"/>
      <c r="OVP38" s="372"/>
      <c r="OVQ38" s="372"/>
      <c r="OVR38" s="372"/>
      <c r="OVS38" s="372"/>
      <c r="OVT38" s="372"/>
      <c r="OVU38" s="372"/>
      <c r="OVV38" s="372"/>
      <c r="OVW38" s="372"/>
      <c r="OVX38" s="372"/>
      <c r="OVY38" s="372"/>
      <c r="OVZ38" s="372"/>
      <c r="OWA38" s="372"/>
      <c r="OWB38" s="372"/>
      <c r="OWC38" s="372"/>
      <c r="OWD38" s="372"/>
      <c r="OWE38" s="372"/>
      <c r="OWF38" s="372"/>
      <c r="OWG38" s="372"/>
      <c r="OWH38" s="372"/>
      <c r="OWI38" s="372"/>
      <c r="OWJ38" s="372"/>
      <c r="OWK38" s="372"/>
      <c r="OWL38" s="372"/>
      <c r="OWM38" s="372"/>
      <c r="OWN38" s="372"/>
      <c r="OWO38" s="372"/>
      <c r="OWP38" s="372"/>
      <c r="OWQ38" s="372"/>
      <c r="OWR38" s="372"/>
      <c r="OWS38" s="372"/>
      <c r="OWT38" s="372"/>
      <c r="OWU38" s="372"/>
      <c r="OWV38" s="372"/>
      <c r="OWW38" s="372"/>
      <c r="OWX38" s="372"/>
      <c r="OWY38" s="372"/>
      <c r="OWZ38" s="372"/>
      <c r="OXA38" s="372"/>
      <c r="OXB38" s="372"/>
      <c r="OXC38" s="372"/>
      <c r="OXD38" s="372"/>
      <c r="OXE38" s="372"/>
      <c r="OXF38" s="372"/>
      <c r="OXG38" s="372"/>
      <c r="OXH38" s="372"/>
      <c r="OXI38" s="372"/>
      <c r="OXJ38" s="372"/>
      <c r="OXK38" s="372"/>
      <c r="OXL38" s="372"/>
      <c r="OXM38" s="372"/>
      <c r="OXN38" s="372"/>
      <c r="OXO38" s="372"/>
      <c r="OXP38" s="372"/>
      <c r="OXQ38" s="372"/>
      <c r="OXR38" s="372"/>
      <c r="OXS38" s="372"/>
      <c r="OXT38" s="372"/>
      <c r="OXU38" s="372"/>
      <c r="OXV38" s="372"/>
      <c r="OXW38" s="372"/>
      <c r="OXX38" s="372"/>
      <c r="OXY38" s="372"/>
      <c r="OXZ38" s="372"/>
      <c r="OYA38" s="372"/>
      <c r="OYB38" s="372"/>
      <c r="OYC38" s="372"/>
      <c r="OYD38" s="372"/>
      <c r="OYE38" s="372"/>
      <c r="OYF38" s="372"/>
      <c r="OYG38" s="372"/>
      <c r="OYH38" s="372"/>
      <c r="OYI38" s="372"/>
      <c r="OYJ38" s="372"/>
      <c r="OYK38" s="372"/>
      <c r="OYL38" s="372"/>
      <c r="OYM38" s="372"/>
      <c r="OYN38" s="372"/>
      <c r="OYO38" s="372"/>
      <c r="OYP38" s="372"/>
      <c r="OYQ38" s="372"/>
      <c r="OYR38" s="372"/>
      <c r="OYS38" s="372"/>
      <c r="OYT38" s="372"/>
      <c r="OYU38" s="372"/>
      <c r="OYV38" s="372"/>
      <c r="OYW38" s="372"/>
      <c r="OYX38" s="372"/>
      <c r="OYY38" s="372"/>
      <c r="OYZ38" s="372"/>
      <c r="OZA38" s="372"/>
      <c r="OZB38" s="372"/>
      <c r="OZC38" s="372"/>
      <c r="OZD38" s="372"/>
      <c r="OZE38" s="372"/>
      <c r="OZF38" s="372"/>
      <c r="OZG38" s="372"/>
      <c r="OZH38" s="372"/>
      <c r="OZI38" s="372"/>
      <c r="OZJ38" s="372"/>
      <c r="OZK38" s="372"/>
      <c r="OZL38" s="372"/>
      <c r="OZM38" s="372"/>
      <c r="OZN38" s="372"/>
      <c r="OZO38" s="372"/>
      <c r="OZP38" s="372"/>
      <c r="OZQ38" s="372"/>
      <c r="OZR38" s="372"/>
      <c r="OZS38" s="372"/>
      <c r="OZT38" s="372"/>
      <c r="OZU38" s="372"/>
      <c r="OZV38" s="372"/>
      <c r="OZW38" s="372"/>
      <c r="OZX38" s="372"/>
      <c r="OZY38" s="372"/>
      <c r="OZZ38" s="372"/>
      <c r="PAA38" s="372"/>
      <c r="PAB38" s="372"/>
      <c r="PAC38" s="372"/>
      <c r="PAD38" s="372"/>
      <c r="PAE38" s="372"/>
      <c r="PAF38" s="372"/>
      <c r="PAG38" s="372"/>
      <c r="PAH38" s="372"/>
      <c r="PAI38" s="372"/>
      <c r="PAJ38" s="372"/>
      <c r="PAK38" s="372"/>
      <c r="PAL38" s="372"/>
      <c r="PAM38" s="372"/>
      <c r="PAN38" s="372"/>
      <c r="PAO38" s="372"/>
      <c r="PAP38" s="372"/>
      <c r="PAQ38" s="372"/>
      <c r="PAR38" s="372"/>
      <c r="PAS38" s="372"/>
      <c r="PAT38" s="372"/>
      <c r="PAU38" s="372"/>
      <c r="PAV38" s="372"/>
      <c r="PAW38" s="372"/>
      <c r="PAX38" s="372"/>
      <c r="PAY38" s="372"/>
      <c r="PAZ38" s="372"/>
      <c r="PBA38" s="372"/>
      <c r="PBB38" s="372"/>
      <c r="PBC38" s="372"/>
      <c r="PBD38" s="372"/>
      <c r="PBE38" s="372"/>
      <c r="PBF38" s="372"/>
      <c r="PBG38" s="372"/>
      <c r="PBH38" s="372"/>
      <c r="PBI38" s="372"/>
      <c r="PBJ38" s="372"/>
      <c r="PBK38" s="372"/>
      <c r="PBL38" s="372"/>
      <c r="PBM38" s="372"/>
      <c r="PBN38" s="372"/>
      <c r="PBO38" s="372"/>
      <c r="PBP38" s="372"/>
      <c r="PBQ38" s="372"/>
      <c r="PBR38" s="372"/>
      <c r="PBS38" s="372"/>
      <c r="PBT38" s="372"/>
      <c r="PBU38" s="372"/>
      <c r="PBV38" s="372"/>
      <c r="PBW38" s="372"/>
      <c r="PBX38" s="372"/>
      <c r="PBY38" s="372"/>
      <c r="PBZ38" s="372"/>
      <c r="PCA38" s="372"/>
      <c r="PCB38" s="372"/>
      <c r="PCC38" s="372"/>
      <c r="PCD38" s="372"/>
      <c r="PCE38" s="372"/>
      <c r="PCF38" s="372"/>
      <c r="PCG38" s="372"/>
      <c r="PCH38" s="372"/>
      <c r="PCI38" s="372"/>
      <c r="PCJ38" s="372"/>
      <c r="PCK38" s="372"/>
      <c r="PCL38" s="372"/>
      <c r="PCM38" s="372"/>
      <c r="PCN38" s="372"/>
      <c r="PCO38" s="372"/>
      <c r="PCP38" s="372"/>
      <c r="PCQ38" s="372"/>
      <c r="PCR38" s="372"/>
      <c r="PCS38" s="372"/>
      <c r="PCT38" s="372"/>
      <c r="PCU38" s="372"/>
      <c r="PCV38" s="372"/>
      <c r="PCW38" s="372"/>
      <c r="PCX38" s="372"/>
      <c r="PCY38" s="372"/>
      <c r="PCZ38" s="372"/>
      <c r="PDA38" s="372"/>
      <c r="PDB38" s="372"/>
      <c r="PDC38" s="372"/>
      <c r="PDD38" s="372"/>
      <c r="PDE38" s="372"/>
      <c r="PDF38" s="372"/>
      <c r="PDG38" s="372"/>
      <c r="PDH38" s="372"/>
      <c r="PDI38" s="372"/>
      <c r="PDJ38" s="372"/>
      <c r="PDK38" s="372"/>
      <c r="PDL38" s="372"/>
      <c r="PDM38" s="372"/>
      <c r="PDN38" s="372"/>
      <c r="PDO38" s="372"/>
      <c r="PDP38" s="372"/>
      <c r="PDQ38" s="372"/>
      <c r="PDR38" s="372"/>
      <c r="PDS38" s="372"/>
      <c r="PDT38" s="372"/>
      <c r="PDU38" s="372"/>
      <c r="PDV38" s="372"/>
      <c r="PDW38" s="372"/>
      <c r="PDX38" s="372"/>
      <c r="PDY38" s="372"/>
      <c r="PDZ38" s="372"/>
      <c r="PEA38" s="372"/>
      <c r="PEB38" s="372"/>
      <c r="PEC38" s="372"/>
      <c r="PED38" s="372"/>
      <c r="PEE38" s="372"/>
      <c r="PEF38" s="372"/>
      <c r="PEG38" s="372"/>
      <c r="PEH38" s="372"/>
      <c r="PEI38" s="372"/>
      <c r="PEJ38" s="372"/>
      <c r="PEK38" s="372"/>
      <c r="PEL38" s="372"/>
      <c r="PEM38" s="372"/>
      <c r="PEN38" s="372"/>
      <c r="PEO38" s="372"/>
      <c r="PEP38" s="372"/>
      <c r="PEQ38" s="372"/>
      <c r="PER38" s="372"/>
      <c r="PES38" s="372"/>
      <c r="PET38" s="372"/>
      <c r="PEU38" s="372"/>
      <c r="PEV38" s="372"/>
      <c r="PEW38" s="372"/>
      <c r="PEX38" s="372"/>
      <c r="PEY38" s="372"/>
      <c r="PEZ38" s="372"/>
      <c r="PFA38" s="372"/>
      <c r="PFB38" s="372"/>
      <c r="PFC38" s="372"/>
      <c r="PFD38" s="372"/>
      <c r="PFE38" s="372"/>
      <c r="PFF38" s="372"/>
      <c r="PFG38" s="372"/>
      <c r="PFH38" s="372"/>
      <c r="PFI38" s="372"/>
      <c r="PFJ38" s="372"/>
      <c r="PFK38" s="372"/>
      <c r="PFL38" s="372"/>
      <c r="PFM38" s="372"/>
      <c r="PFN38" s="372"/>
      <c r="PFO38" s="372"/>
      <c r="PFP38" s="372"/>
      <c r="PFQ38" s="372"/>
      <c r="PFR38" s="372"/>
      <c r="PFS38" s="372"/>
      <c r="PFT38" s="372"/>
      <c r="PFU38" s="372"/>
      <c r="PFV38" s="372"/>
      <c r="PFW38" s="372"/>
      <c r="PFX38" s="372"/>
      <c r="PFY38" s="372"/>
      <c r="PFZ38" s="372"/>
      <c r="PGA38" s="372"/>
      <c r="PGB38" s="372"/>
      <c r="PGC38" s="372"/>
      <c r="PGD38" s="372"/>
      <c r="PGE38" s="372"/>
      <c r="PGF38" s="372"/>
      <c r="PGG38" s="372"/>
      <c r="PGH38" s="372"/>
      <c r="PGI38" s="372"/>
      <c r="PGJ38" s="372"/>
      <c r="PGK38" s="372"/>
      <c r="PGL38" s="372"/>
      <c r="PGM38" s="372"/>
      <c r="PGN38" s="372"/>
      <c r="PGO38" s="372"/>
      <c r="PGP38" s="372"/>
      <c r="PGQ38" s="372"/>
      <c r="PGR38" s="372"/>
      <c r="PGS38" s="372"/>
      <c r="PGT38" s="372"/>
      <c r="PGU38" s="372"/>
      <c r="PGV38" s="372"/>
      <c r="PGW38" s="372"/>
      <c r="PGX38" s="372"/>
      <c r="PGY38" s="372"/>
      <c r="PGZ38" s="372"/>
      <c r="PHA38" s="372"/>
      <c r="PHB38" s="372"/>
      <c r="PHC38" s="372"/>
      <c r="PHD38" s="372"/>
      <c r="PHE38" s="372"/>
      <c r="PHF38" s="372"/>
      <c r="PHG38" s="372"/>
      <c r="PHH38" s="372"/>
      <c r="PHI38" s="372"/>
      <c r="PHJ38" s="372"/>
      <c r="PHK38" s="372"/>
      <c r="PHL38" s="372"/>
      <c r="PHM38" s="372"/>
      <c r="PHN38" s="372"/>
      <c r="PHO38" s="372"/>
      <c r="PHP38" s="372"/>
      <c r="PHQ38" s="372"/>
      <c r="PHR38" s="372"/>
      <c r="PHS38" s="372"/>
      <c r="PHT38" s="372"/>
      <c r="PHU38" s="372"/>
      <c r="PHV38" s="372"/>
      <c r="PHW38" s="372"/>
      <c r="PHX38" s="372"/>
      <c r="PHY38" s="372"/>
      <c r="PHZ38" s="372"/>
      <c r="PIA38" s="372"/>
      <c r="PIB38" s="372"/>
      <c r="PIC38" s="372"/>
      <c r="PID38" s="372"/>
      <c r="PIE38" s="372"/>
      <c r="PIF38" s="372"/>
      <c r="PIG38" s="372"/>
      <c r="PIH38" s="372"/>
      <c r="PII38" s="372"/>
      <c r="PIJ38" s="372"/>
      <c r="PIK38" s="372"/>
      <c r="PIL38" s="372"/>
      <c r="PIM38" s="372"/>
      <c r="PIN38" s="372"/>
      <c r="PIO38" s="372"/>
      <c r="PIP38" s="372"/>
      <c r="PIQ38" s="372"/>
      <c r="PIR38" s="372"/>
      <c r="PIS38" s="372"/>
      <c r="PIT38" s="372"/>
      <c r="PIU38" s="372"/>
      <c r="PIV38" s="372"/>
      <c r="PIW38" s="372"/>
      <c r="PIX38" s="372"/>
      <c r="PIY38" s="372"/>
      <c r="PIZ38" s="372"/>
      <c r="PJA38" s="372"/>
      <c r="PJB38" s="372"/>
      <c r="PJC38" s="372"/>
      <c r="PJD38" s="372"/>
      <c r="PJE38" s="372"/>
      <c r="PJF38" s="372"/>
      <c r="PJG38" s="372"/>
      <c r="PJH38" s="372"/>
      <c r="PJI38" s="372"/>
      <c r="PJJ38" s="372"/>
      <c r="PJK38" s="372"/>
      <c r="PJL38" s="372"/>
      <c r="PJM38" s="372"/>
      <c r="PJN38" s="372"/>
      <c r="PJO38" s="372"/>
      <c r="PJP38" s="372"/>
      <c r="PJQ38" s="372"/>
      <c r="PJR38" s="372"/>
      <c r="PJS38" s="372"/>
      <c r="PJT38" s="372"/>
      <c r="PJU38" s="372"/>
      <c r="PJV38" s="372"/>
      <c r="PJW38" s="372"/>
      <c r="PJX38" s="372"/>
      <c r="PJY38" s="372"/>
      <c r="PJZ38" s="372"/>
      <c r="PKA38" s="372"/>
      <c r="PKB38" s="372"/>
      <c r="PKC38" s="372"/>
      <c r="PKD38" s="372"/>
      <c r="PKE38" s="372"/>
      <c r="PKF38" s="372"/>
      <c r="PKG38" s="372"/>
      <c r="PKH38" s="372"/>
      <c r="PKI38" s="372"/>
      <c r="PKJ38" s="372"/>
      <c r="PKK38" s="372"/>
      <c r="PKL38" s="372"/>
      <c r="PKM38" s="372"/>
      <c r="PKN38" s="372"/>
      <c r="PKO38" s="372"/>
      <c r="PKP38" s="372"/>
      <c r="PKQ38" s="372"/>
      <c r="PKR38" s="372"/>
      <c r="PKS38" s="372"/>
      <c r="PKT38" s="372"/>
      <c r="PKU38" s="372"/>
      <c r="PKV38" s="372"/>
      <c r="PKW38" s="372"/>
      <c r="PKX38" s="372"/>
      <c r="PKY38" s="372"/>
      <c r="PKZ38" s="372"/>
      <c r="PLA38" s="372"/>
      <c r="PLB38" s="372"/>
      <c r="PLC38" s="372"/>
      <c r="PLD38" s="372"/>
      <c r="PLE38" s="372"/>
      <c r="PLF38" s="372"/>
      <c r="PLG38" s="372"/>
      <c r="PLH38" s="372"/>
      <c r="PLI38" s="372"/>
      <c r="PLJ38" s="372"/>
      <c r="PLK38" s="372"/>
      <c r="PLL38" s="372"/>
      <c r="PLM38" s="372"/>
      <c r="PLN38" s="372"/>
      <c r="PLO38" s="372"/>
      <c r="PLP38" s="372"/>
      <c r="PLQ38" s="372"/>
      <c r="PLR38" s="372"/>
      <c r="PLS38" s="372"/>
      <c r="PLT38" s="372"/>
      <c r="PLU38" s="372"/>
      <c r="PLV38" s="372"/>
      <c r="PLW38" s="372"/>
      <c r="PLX38" s="372"/>
      <c r="PLY38" s="372"/>
      <c r="PLZ38" s="372"/>
      <c r="PMA38" s="372"/>
      <c r="PMB38" s="372"/>
      <c r="PMC38" s="372"/>
      <c r="PMD38" s="372"/>
      <c r="PME38" s="372"/>
      <c r="PMF38" s="372"/>
      <c r="PMG38" s="372"/>
      <c r="PMH38" s="372"/>
      <c r="PMI38" s="372"/>
      <c r="PMJ38" s="372"/>
      <c r="PMK38" s="372"/>
      <c r="PML38" s="372"/>
      <c r="PMM38" s="372"/>
      <c r="PMN38" s="372"/>
      <c r="PMO38" s="372"/>
      <c r="PMP38" s="372"/>
      <c r="PMQ38" s="372"/>
      <c r="PMR38" s="372"/>
      <c r="PMS38" s="372"/>
      <c r="PMT38" s="372"/>
      <c r="PMU38" s="372"/>
      <c r="PMV38" s="372"/>
      <c r="PMW38" s="372"/>
      <c r="PMX38" s="372"/>
      <c r="PMY38" s="372"/>
      <c r="PMZ38" s="372"/>
      <c r="PNA38" s="372"/>
      <c r="PNB38" s="372"/>
      <c r="PNC38" s="372"/>
      <c r="PND38" s="372"/>
      <c r="PNE38" s="372"/>
      <c r="PNF38" s="372"/>
      <c r="PNG38" s="372"/>
      <c r="PNH38" s="372"/>
      <c r="PNI38" s="372"/>
      <c r="PNJ38" s="372"/>
      <c r="PNK38" s="372"/>
      <c r="PNL38" s="372"/>
      <c r="PNM38" s="372"/>
      <c r="PNN38" s="372"/>
      <c r="PNO38" s="372"/>
      <c r="PNP38" s="372"/>
      <c r="PNQ38" s="372"/>
      <c r="PNR38" s="372"/>
      <c r="PNS38" s="372"/>
      <c r="PNT38" s="372"/>
      <c r="PNU38" s="372"/>
      <c r="PNV38" s="372"/>
      <c r="PNW38" s="372"/>
      <c r="PNX38" s="372"/>
      <c r="PNY38" s="372"/>
      <c r="PNZ38" s="372"/>
      <c r="POA38" s="372"/>
      <c r="POB38" s="372"/>
      <c r="POC38" s="372"/>
      <c r="POD38" s="372"/>
      <c r="POE38" s="372"/>
      <c r="POF38" s="372"/>
      <c r="POG38" s="372"/>
      <c r="POH38" s="372"/>
      <c r="POI38" s="372"/>
      <c r="POJ38" s="372"/>
      <c r="POK38" s="372"/>
      <c r="POL38" s="372"/>
      <c r="POM38" s="372"/>
      <c r="PON38" s="372"/>
      <c r="POO38" s="372"/>
      <c r="POP38" s="372"/>
      <c r="POQ38" s="372"/>
      <c r="POR38" s="372"/>
      <c r="POS38" s="372"/>
      <c r="POT38" s="372"/>
      <c r="POU38" s="372"/>
      <c r="POV38" s="372"/>
      <c r="POW38" s="372"/>
      <c r="POX38" s="372"/>
      <c r="POY38" s="372"/>
      <c r="POZ38" s="372"/>
      <c r="PPA38" s="372"/>
      <c r="PPB38" s="372"/>
      <c r="PPC38" s="372"/>
      <c r="PPD38" s="372"/>
      <c r="PPE38" s="372"/>
      <c r="PPF38" s="372"/>
      <c r="PPG38" s="372"/>
      <c r="PPH38" s="372"/>
      <c r="PPI38" s="372"/>
      <c r="PPJ38" s="372"/>
      <c r="PPK38" s="372"/>
      <c r="PPL38" s="372"/>
      <c r="PPM38" s="372"/>
      <c r="PPN38" s="372"/>
      <c r="PPO38" s="372"/>
      <c r="PPP38" s="372"/>
      <c r="PPQ38" s="372"/>
      <c r="PPR38" s="372"/>
      <c r="PPS38" s="372"/>
      <c r="PPT38" s="372"/>
      <c r="PPU38" s="372"/>
      <c r="PPV38" s="372"/>
      <c r="PPW38" s="372"/>
      <c r="PPX38" s="372"/>
      <c r="PPY38" s="372"/>
      <c r="PPZ38" s="372"/>
      <c r="PQA38" s="372"/>
      <c r="PQB38" s="372"/>
      <c r="PQC38" s="372"/>
      <c r="PQD38" s="372"/>
      <c r="PQE38" s="372"/>
      <c r="PQF38" s="372"/>
      <c r="PQG38" s="372"/>
      <c r="PQH38" s="372"/>
      <c r="PQI38" s="372"/>
      <c r="PQJ38" s="372"/>
      <c r="PQK38" s="372"/>
      <c r="PQL38" s="372"/>
      <c r="PQM38" s="372"/>
      <c r="PQN38" s="372"/>
      <c r="PQO38" s="372"/>
      <c r="PQP38" s="372"/>
      <c r="PQQ38" s="372"/>
      <c r="PQR38" s="372"/>
      <c r="PQS38" s="372"/>
      <c r="PQT38" s="372"/>
      <c r="PQU38" s="372"/>
      <c r="PQV38" s="372"/>
      <c r="PQW38" s="372"/>
      <c r="PQX38" s="372"/>
      <c r="PQY38" s="372"/>
      <c r="PQZ38" s="372"/>
      <c r="PRA38" s="372"/>
      <c r="PRB38" s="372"/>
      <c r="PRC38" s="372"/>
      <c r="PRD38" s="372"/>
      <c r="PRE38" s="372"/>
      <c r="PRF38" s="372"/>
      <c r="PRG38" s="372"/>
      <c r="PRH38" s="372"/>
      <c r="PRI38" s="372"/>
      <c r="PRJ38" s="372"/>
      <c r="PRK38" s="372"/>
      <c r="PRL38" s="372"/>
      <c r="PRM38" s="372"/>
      <c r="PRN38" s="372"/>
      <c r="PRO38" s="372"/>
      <c r="PRP38" s="372"/>
      <c r="PRQ38" s="372"/>
      <c r="PRR38" s="372"/>
      <c r="PRS38" s="372"/>
      <c r="PRT38" s="372"/>
      <c r="PRU38" s="372"/>
      <c r="PRV38" s="372"/>
      <c r="PRW38" s="372"/>
      <c r="PRX38" s="372"/>
      <c r="PRY38" s="372"/>
      <c r="PRZ38" s="372"/>
      <c r="PSA38" s="372"/>
      <c r="PSB38" s="372"/>
      <c r="PSC38" s="372"/>
      <c r="PSD38" s="372"/>
      <c r="PSE38" s="372"/>
      <c r="PSF38" s="372"/>
      <c r="PSG38" s="372"/>
      <c r="PSH38" s="372"/>
      <c r="PSI38" s="372"/>
      <c r="PSJ38" s="372"/>
      <c r="PSK38" s="372"/>
      <c r="PSL38" s="372"/>
      <c r="PSM38" s="372"/>
      <c r="PSN38" s="372"/>
      <c r="PSO38" s="372"/>
      <c r="PSP38" s="372"/>
      <c r="PSQ38" s="372"/>
      <c r="PSR38" s="372"/>
      <c r="PSS38" s="372"/>
      <c r="PST38" s="372"/>
      <c r="PSU38" s="372"/>
      <c r="PSV38" s="372"/>
      <c r="PSW38" s="372"/>
      <c r="PSX38" s="372"/>
      <c r="PSY38" s="372"/>
      <c r="PSZ38" s="372"/>
      <c r="PTA38" s="372"/>
      <c r="PTB38" s="372"/>
      <c r="PTC38" s="372"/>
      <c r="PTD38" s="372"/>
      <c r="PTE38" s="372"/>
      <c r="PTF38" s="372"/>
      <c r="PTG38" s="372"/>
      <c r="PTH38" s="372"/>
      <c r="PTI38" s="372"/>
      <c r="PTJ38" s="372"/>
      <c r="PTK38" s="372"/>
      <c r="PTL38" s="372"/>
      <c r="PTM38" s="372"/>
      <c r="PTN38" s="372"/>
      <c r="PTO38" s="372"/>
      <c r="PTP38" s="372"/>
      <c r="PTQ38" s="372"/>
      <c r="PTR38" s="372"/>
      <c r="PTS38" s="372"/>
      <c r="PTT38" s="372"/>
      <c r="PTU38" s="372"/>
      <c r="PTV38" s="372"/>
      <c r="PTW38" s="372"/>
      <c r="PTX38" s="372"/>
      <c r="PTY38" s="372"/>
      <c r="PTZ38" s="372"/>
      <c r="PUA38" s="372"/>
      <c r="PUB38" s="372"/>
      <c r="PUC38" s="372"/>
      <c r="PUD38" s="372"/>
      <c r="PUE38" s="372"/>
      <c r="PUF38" s="372"/>
      <c r="PUG38" s="372"/>
      <c r="PUH38" s="372"/>
      <c r="PUI38" s="372"/>
      <c r="PUJ38" s="372"/>
      <c r="PUK38" s="372"/>
      <c r="PUL38" s="372"/>
      <c r="PUM38" s="372"/>
      <c r="PUN38" s="372"/>
      <c r="PUO38" s="372"/>
      <c r="PUP38" s="372"/>
      <c r="PUQ38" s="372"/>
      <c r="PUR38" s="372"/>
      <c r="PUS38" s="372"/>
      <c r="PUT38" s="372"/>
      <c r="PUU38" s="372"/>
      <c r="PUV38" s="372"/>
      <c r="PUW38" s="372"/>
      <c r="PUX38" s="372"/>
      <c r="PUY38" s="372"/>
      <c r="PUZ38" s="372"/>
      <c r="PVA38" s="372"/>
      <c r="PVB38" s="372"/>
      <c r="PVC38" s="372"/>
      <c r="PVD38" s="372"/>
      <c r="PVE38" s="372"/>
      <c r="PVF38" s="372"/>
      <c r="PVG38" s="372"/>
      <c r="PVH38" s="372"/>
      <c r="PVI38" s="372"/>
      <c r="PVJ38" s="372"/>
      <c r="PVK38" s="372"/>
      <c r="PVL38" s="372"/>
      <c r="PVM38" s="372"/>
      <c r="PVN38" s="372"/>
      <c r="PVO38" s="372"/>
      <c r="PVP38" s="372"/>
      <c r="PVQ38" s="372"/>
      <c r="PVR38" s="372"/>
      <c r="PVS38" s="372"/>
      <c r="PVT38" s="372"/>
      <c r="PVU38" s="372"/>
      <c r="PVV38" s="372"/>
      <c r="PVW38" s="372"/>
      <c r="PVX38" s="372"/>
      <c r="PVY38" s="372"/>
      <c r="PVZ38" s="372"/>
      <c r="PWA38" s="372"/>
      <c r="PWB38" s="372"/>
      <c r="PWC38" s="372"/>
      <c r="PWD38" s="372"/>
      <c r="PWE38" s="372"/>
      <c r="PWF38" s="372"/>
      <c r="PWG38" s="372"/>
      <c r="PWH38" s="372"/>
      <c r="PWI38" s="372"/>
      <c r="PWJ38" s="372"/>
      <c r="PWK38" s="372"/>
      <c r="PWL38" s="372"/>
      <c r="PWM38" s="372"/>
      <c r="PWN38" s="372"/>
      <c r="PWO38" s="372"/>
      <c r="PWP38" s="372"/>
      <c r="PWQ38" s="372"/>
      <c r="PWR38" s="372"/>
      <c r="PWS38" s="372"/>
      <c r="PWT38" s="372"/>
      <c r="PWU38" s="372"/>
      <c r="PWV38" s="372"/>
      <c r="PWW38" s="372"/>
      <c r="PWX38" s="372"/>
      <c r="PWY38" s="372"/>
      <c r="PWZ38" s="372"/>
      <c r="PXA38" s="372"/>
      <c r="PXB38" s="372"/>
      <c r="PXC38" s="372"/>
      <c r="PXD38" s="372"/>
      <c r="PXE38" s="372"/>
      <c r="PXF38" s="372"/>
      <c r="PXG38" s="372"/>
      <c r="PXH38" s="372"/>
      <c r="PXI38" s="372"/>
      <c r="PXJ38" s="372"/>
      <c r="PXK38" s="372"/>
      <c r="PXL38" s="372"/>
      <c r="PXM38" s="372"/>
      <c r="PXN38" s="372"/>
      <c r="PXO38" s="372"/>
      <c r="PXP38" s="372"/>
      <c r="PXQ38" s="372"/>
      <c r="PXR38" s="372"/>
      <c r="PXS38" s="372"/>
      <c r="PXT38" s="372"/>
      <c r="PXU38" s="372"/>
      <c r="PXV38" s="372"/>
      <c r="PXW38" s="372"/>
      <c r="PXX38" s="372"/>
      <c r="PXY38" s="372"/>
      <c r="PXZ38" s="372"/>
      <c r="PYA38" s="372"/>
      <c r="PYB38" s="372"/>
      <c r="PYC38" s="372"/>
      <c r="PYD38" s="372"/>
      <c r="PYE38" s="372"/>
      <c r="PYF38" s="372"/>
      <c r="PYG38" s="372"/>
      <c r="PYH38" s="372"/>
      <c r="PYI38" s="372"/>
      <c r="PYJ38" s="372"/>
      <c r="PYK38" s="372"/>
      <c r="PYL38" s="372"/>
      <c r="PYM38" s="372"/>
      <c r="PYN38" s="372"/>
      <c r="PYO38" s="372"/>
      <c r="PYP38" s="372"/>
      <c r="PYQ38" s="372"/>
      <c r="PYR38" s="372"/>
      <c r="PYS38" s="372"/>
      <c r="PYT38" s="372"/>
      <c r="PYU38" s="372"/>
      <c r="PYV38" s="372"/>
      <c r="PYW38" s="372"/>
      <c r="PYX38" s="372"/>
      <c r="PYY38" s="372"/>
      <c r="PYZ38" s="372"/>
      <c r="PZA38" s="372"/>
      <c r="PZB38" s="372"/>
      <c r="PZC38" s="372"/>
      <c r="PZD38" s="372"/>
      <c r="PZE38" s="372"/>
      <c r="PZF38" s="372"/>
      <c r="PZG38" s="372"/>
      <c r="PZH38" s="372"/>
      <c r="PZI38" s="372"/>
      <c r="PZJ38" s="372"/>
      <c r="PZK38" s="372"/>
      <c r="PZL38" s="372"/>
      <c r="PZM38" s="372"/>
      <c r="PZN38" s="372"/>
      <c r="PZO38" s="372"/>
      <c r="PZP38" s="372"/>
      <c r="PZQ38" s="372"/>
      <c r="PZR38" s="372"/>
      <c r="PZS38" s="372"/>
      <c r="PZT38" s="372"/>
      <c r="PZU38" s="372"/>
      <c r="PZV38" s="372"/>
      <c r="PZW38" s="372"/>
      <c r="PZX38" s="372"/>
      <c r="PZY38" s="372"/>
      <c r="PZZ38" s="372"/>
      <c r="QAA38" s="372"/>
      <c r="QAB38" s="372"/>
      <c r="QAC38" s="372"/>
      <c r="QAD38" s="372"/>
      <c r="QAE38" s="372"/>
      <c r="QAF38" s="372"/>
      <c r="QAG38" s="372"/>
      <c r="QAH38" s="372"/>
      <c r="QAI38" s="372"/>
      <c r="QAJ38" s="372"/>
      <c r="QAK38" s="372"/>
      <c r="QAL38" s="372"/>
      <c r="QAM38" s="372"/>
      <c r="QAN38" s="372"/>
      <c r="QAO38" s="372"/>
      <c r="QAP38" s="372"/>
      <c r="QAQ38" s="372"/>
      <c r="QAR38" s="372"/>
      <c r="QAS38" s="372"/>
      <c r="QAT38" s="372"/>
      <c r="QAU38" s="372"/>
      <c r="QAV38" s="372"/>
      <c r="QAW38" s="372"/>
      <c r="QAX38" s="372"/>
      <c r="QAY38" s="372"/>
      <c r="QAZ38" s="372"/>
      <c r="QBA38" s="372"/>
      <c r="QBB38" s="372"/>
      <c r="QBC38" s="372"/>
      <c r="QBD38" s="372"/>
      <c r="QBE38" s="372"/>
      <c r="QBF38" s="372"/>
      <c r="QBG38" s="372"/>
      <c r="QBH38" s="372"/>
      <c r="QBI38" s="372"/>
      <c r="QBJ38" s="372"/>
      <c r="QBK38" s="372"/>
      <c r="QBL38" s="372"/>
      <c r="QBM38" s="372"/>
      <c r="QBN38" s="372"/>
      <c r="QBO38" s="372"/>
      <c r="QBP38" s="372"/>
      <c r="QBQ38" s="372"/>
      <c r="QBR38" s="372"/>
      <c r="QBS38" s="372"/>
      <c r="QBT38" s="372"/>
      <c r="QBU38" s="372"/>
      <c r="QBV38" s="372"/>
      <c r="QBW38" s="372"/>
      <c r="QBX38" s="372"/>
      <c r="QBY38" s="372"/>
      <c r="QBZ38" s="372"/>
      <c r="QCA38" s="372"/>
      <c r="QCB38" s="372"/>
      <c r="QCC38" s="372"/>
      <c r="QCD38" s="372"/>
      <c r="QCE38" s="372"/>
      <c r="QCF38" s="372"/>
      <c r="QCG38" s="372"/>
      <c r="QCH38" s="372"/>
      <c r="QCI38" s="372"/>
      <c r="QCJ38" s="372"/>
      <c r="QCK38" s="372"/>
      <c r="QCL38" s="372"/>
      <c r="QCM38" s="372"/>
      <c r="QCN38" s="372"/>
      <c r="QCO38" s="372"/>
      <c r="QCP38" s="372"/>
      <c r="QCQ38" s="372"/>
      <c r="QCR38" s="372"/>
      <c r="QCS38" s="372"/>
      <c r="QCT38" s="372"/>
      <c r="QCU38" s="372"/>
      <c r="QCV38" s="372"/>
      <c r="QCW38" s="372"/>
      <c r="QCX38" s="372"/>
      <c r="QCY38" s="372"/>
      <c r="QCZ38" s="372"/>
      <c r="QDA38" s="372"/>
      <c r="QDB38" s="372"/>
      <c r="QDC38" s="372"/>
      <c r="QDD38" s="372"/>
      <c r="QDE38" s="372"/>
      <c r="QDF38" s="372"/>
      <c r="QDG38" s="372"/>
      <c r="QDH38" s="372"/>
      <c r="QDI38" s="372"/>
      <c r="QDJ38" s="372"/>
      <c r="QDK38" s="372"/>
      <c r="QDL38" s="372"/>
      <c r="QDM38" s="372"/>
      <c r="QDN38" s="372"/>
      <c r="QDO38" s="372"/>
      <c r="QDP38" s="372"/>
      <c r="QDQ38" s="372"/>
      <c r="QDR38" s="372"/>
      <c r="QDS38" s="372"/>
      <c r="QDT38" s="372"/>
      <c r="QDU38" s="372"/>
      <c r="QDV38" s="372"/>
      <c r="QDW38" s="372"/>
      <c r="QDX38" s="372"/>
      <c r="QDY38" s="372"/>
      <c r="QDZ38" s="372"/>
      <c r="QEA38" s="372"/>
      <c r="QEB38" s="372"/>
      <c r="QEC38" s="372"/>
      <c r="QED38" s="372"/>
      <c r="QEE38" s="372"/>
      <c r="QEF38" s="372"/>
      <c r="QEG38" s="372"/>
      <c r="QEH38" s="372"/>
      <c r="QEI38" s="372"/>
      <c r="QEJ38" s="372"/>
      <c r="QEK38" s="372"/>
      <c r="QEL38" s="372"/>
      <c r="QEM38" s="372"/>
      <c r="QEN38" s="372"/>
      <c r="QEO38" s="372"/>
      <c r="QEP38" s="372"/>
      <c r="QEQ38" s="372"/>
      <c r="QER38" s="372"/>
      <c r="QES38" s="372"/>
      <c r="QET38" s="372"/>
      <c r="QEU38" s="372"/>
      <c r="QEV38" s="372"/>
      <c r="QEW38" s="372"/>
      <c r="QEX38" s="372"/>
      <c r="QEY38" s="372"/>
      <c r="QEZ38" s="372"/>
      <c r="QFA38" s="372"/>
      <c r="QFB38" s="372"/>
      <c r="QFC38" s="372"/>
      <c r="QFD38" s="372"/>
      <c r="QFE38" s="372"/>
      <c r="QFF38" s="372"/>
      <c r="QFG38" s="372"/>
      <c r="QFH38" s="372"/>
      <c r="QFI38" s="372"/>
      <c r="QFJ38" s="372"/>
      <c r="QFK38" s="372"/>
      <c r="QFL38" s="372"/>
      <c r="QFM38" s="372"/>
      <c r="QFN38" s="372"/>
      <c r="QFO38" s="372"/>
      <c r="QFP38" s="372"/>
      <c r="QFQ38" s="372"/>
      <c r="QFR38" s="372"/>
      <c r="QFS38" s="372"/>
      <c r="QFT38" s="372"/>
      <c r="QFU38" s="372"/>
      <c r="QFV38" s="372"/>
      <c r="QFW38" s="372"/>
      <c r="QFX38" s="372"/>
      <c r="QFY38" s="372"/>
      <c r="QFZ38" s="372"/>
      <c r="QGA38" s="372"/>
      <c r="QGB38" s="372"/>
      <c r="QGC38" s="372"/>
      <c r="QGD38" s="372"/>
      <c r="QGE38" s="372"/>
      <c r="QGF38" s="372"/>
      <c r="QGG38" s="372"/>
      <c r="QGH38" s="372"/>
      <c r="QGI38" s="372"/>
      <c r="QGJ38" s="372"/>
      <c r="QGK38" s="372"/>
      <c r="QGL38" s="372"/>
      <c r="QGM38" s="372"/>
      <c r="QGN38" s="372"/>
      <c r="QGO38" s="372"/>
      <c r="QGP38" s="372"/>
      <c r="QGQ38" s="372"/>
      <c r="QGR38" s="372"/>
      <c r="QGS38" s="372"/>
      <c r="QGT38" s="372"/>
      <c r="QGU38" s="372"/>
      <c r="QGV38" s="372"/>
      <c r="QGW38" s="372"/>
      <c r="QGX38" s="372"/>
      <c r="QGY38" s="372"/>
      <c r="QGZ38" s="372"/>
      <c r="QHA38" s="372"/>
      <c r="QHB38" s="372"/>
      <c r="QHC38" s="372"/>
      <c r="QHD38" s="372"/>
      <c r="QHE38" s="372"/>
      <c r="QHF38" s="372"/>
      <c r="QHG38" s="372"/>
      <c r="QHH38" s="372"/>
      <c r="QHI38" s="372"/>
      <c r="QHJ38" s="372"/>
      <c r="QHK38" s="372"/>
      <c r="QHL38" s="372"/>
      <c r="QHM38" s="372"/>
      <c r="QHN38" s="372"/>
      <c r="QHO38" s="372"/>
      <c r="QHP38" s="372"/>
      <c r="QHQ38" s="372"/>
      <c r="QHR38" s="372"/>
      <c r="QHS38" s="372"/>
      <c r="QHT38" s="372"/>
      <c r="QHU38" s="372"/>
      <c r="QHV38" s="372"/>
      <c r="QHW38" s="372"/>
      <c r="QHX38" s="372"/>
      <c r="QHY38" s="372"/>
      <c r="QHZ38" s="372"/>
      <c r="QIA38" s="372"/>
      <c r="QIB38" s="372"/>
      <c r="QIC38" s="372"/>
      <c r="QID38" s="372"/>
      <c r="QIE38" s="372"/>
      <c r="QIF38" s="372"/>
      <c r="QIG38" s="372"/>
      <c r="QIH38" s="372"/>
      <c r="QII38" s="372"/>
      <c r="QIJ38" s="372"/>
      <c r="QIK38" s="372"/>
      <c r="QIL38" s="372"/>
      <c r="QIM38" s="372"/>
      <c r="QIN38" s="372"/>
      <c r="QIO38" s="372"/>
      <c r="QIP38" s="372"/>
      <c r="QIQ38" s="372"/>
      <c r="QIR38" s="372"/>
      <c r="QIS38" s="372"/>
      <c r="QIT38" s="372"/>
      <c r="QIU38" s="372"/>
      <c r="QIV38" s="372"/>
      <c r="QIW38" s="372"/>
      <c r="QIX38" s="372"/>
      <c r="QIY38" s="372"/>
      <c r="QIZ38" s="372"/>
      <c r="QJA38" s="372"/>
      <c r="QJB38" s="372"/>
      <c r="QJC38" s="372"/>
      <c r="QJD38" s="372"/>
      <c r="QJE38" s="372"/>
      <c r="QJF38" s="372"/>
      <c r="QJG38" s="372"/>
      <c r="QJH38" s="372"/>
      <c r="QJI38" s="372"/>
      <c r="QJJ38" s="372"/>
      <c r="QJK38" s="372"/>
      <c r="QJL38" s="372"/>
      <c r="QJM38" s="372"/>
      <c r="QJN38" s="372"/>
      <c r="QJO38" s="372"/>
      <c r="QJP38" s="372"/>
      <c r="QJQ38" s="372"/>
      <c r="QJR38" s="372"/>
      <c r="QJS38" s="372"/>
      <c r="QJT38" s="372"/>
      <c r="QJU38" s="372"/>
      <c r="QJV38" s="372"/>
      <c r="QJW38" s="372"/>
      <c r="QJX38" s="372"/>
      <c r="QJY38" s="372"/>
      <c r="QJZ38" s="372"/>
      <c r="QKA38" s="372"/>
      <c r="QKB38" s="372"/>
      <c r="QKC38" s="372"/>
      <c r="QKD38" s="372"/>
      <c r="QKE38" s="372"/>
      <c r="QKF38" s="372"/>
      <c r="QKG38" s="372"/>
      <c r="QKH38" s="372"/>
      <c r="QKI38" s="372"/>
      <c r="QKJ38" s="372"/>
      <c r="QKK38" s="372"/>
      <c r="QKL38" s="372"/>
      <c r="QKM38" s="372"/>
      <c r="QKN38" s="372"/>
      <c r="QKO38" s="372"/>
      <c r="QKP38" s="372"/>
      <c r="QKQ38" s="372"/>
      <c r="QKR38" s="372"/>
      <c r="QKS38" s="372"/>
      <c r="QKT38" s="372"/>
      <c r="QKU38" s="372"/>
      <c r="QKV38" s="372"/>
      <c r="QKW38" s="372"/>
      <c r="QKX38" s="372"/>
      <c r="QKY38" s="372"/>
      <c r="QKZ38" s="372"/>
      <c r="QLA38" s="372"/>
      <c r="QLB38" s="372"/>
      <c r="QLC38" s="372"/>
      <c r="QLD38" s="372"/>
      <c r="QLE38" s="372"/>
      <c r="QLF38" s="372"/>
      <c r="QLG38" s="372"/>
      <c r="QLH38" s="372"/>
      <c r="QLI38" s="372"/>
      <c r="QLJ38" s="372"/>
      <c r="QLK38" s="372"/>
      <c r="QLL38" s="372"/>
      <c r="QLM38" s="372"/>
      <c r="QLN38" s="372"/>
      <c r="QLO38" s="372"/>
      <c r="QLP38" s="372"/>
      <c r="QLQ38" s="372"/>
      <c r="QLR38" s="372"/>
      <c r="QLS38" s="372"/>
      <c r="QLT38" s="372"/>
      <c r="QLU38" s="372"/>
      <c r="QLV38" s="372"/>
      <c r="QLW38" s="372"/>
      <c r="QLX38" s="372"/>
      <c r="QLY38" s="372"/>
      <c r="QLZ38" s="372"/>
      <c r="QMA38" s="372"/>
      <c r="QMB38" s="372"/>
      <c r="QMC38" s="372"/>
      <c r="QMD38" s="372"/>
      <c r="QME38" s="372"/>
      <c r="QMF38" s="372"/>
      <c r="QMG38" s="372"/>
      <c r="QMH38" s="372"/>
      <c r="QMI38" s="372"/>
      <c r="QMJ38" s="372"/>
      <c r="QMK38" s="372"/>
      <c r="QML38" s="372"/>
      <c r="QMM38" s="372"/>
      <c r="QMN38" s="372"/>
      <c r="QMO38" s="372"/>
      <c r="QMP38" s="372"/>
      <c r="QMQ38" s="372"/>
      <c r="QMR38" s="372"/>
      <c r="QMS38" s="372"/>
      <c r="QMT38" s="372"/>
      <c r="QMU38" s="372"/>
      <c r="QMV38" s="372"/>
      <c r="QMW38" s="372"/>
      <c r="QMX38" s="372"/>
      <c r="QMY38" s="372"/>
      <c r="QMZ38" s="372"/>
      <c r="QNA38" s="372"/>
      <c r="QNB38" s="372"/>
      <c r="QNC38" s="372"/>
      <c r="QND38" s="372"/>
      <c r="QNE38" s="372"/>
      <c r="QNF38" s="372"/>
      <c r="QNG38" s="372"/>
      <c r="QNH38" s="372"/>
      <c r="QNI38" s="372"/>
      <c r="QNJ38" s="372"/>
      <c r="QNK38" s="372"/>
      <c r="QNL38" s="372"/>
      <c r="QNM38" s="372"/>
      <c r="QNN38" s="372"/>
      <c r="QNO38" s="372"/>
      <c r="QNP38" s="372"/>
      <c r="QNQ38" s="372"/>
      <c r="QNR38" s="372"/>
      <c r="QNS38" s="372"/>
      <c r="QNT38" s="372"/>
      <c r="QNU38" s="372"/>
      <c r="QNV38" s="372"/>
      <c r="QNW38" s="372"/>
      <c r="QNX38" s="372"/>
      <c r="QNY38" s="372"/>
      <c r="QNZ38" s="372"/>
      <c r="QOA38" s="372"/>
      <c r="QOB38" s="372"/>
      <c r="QOC38" s="372"/>
      <c r="QOD38" s="372"/>
      <c r="QOE38" s="372"/>
      <c r="QOF38" s="372"/>
      <c r="QOG38" s="372"/>
      <c r="QOH38" s="372"/>
      <c r="QOI38" s="372"/>
      <c r="QOJ38" s="372"/>
      <c r="QOK38" s="372"/>
      <c r="QOL38" s="372"/>
      <c r="QOM38" s="372"/>
      <c r="QON38" s="372"/>
      <c r="QOO38" s="372"/>
      <c r="QOP38" s="372"/>
      <c r="QOQ38" s="372"/>
      <c r="QOR38" s="372"/>
      <c r="QOS38" s="372"/>
      <c r="QOT38" s="372"/>
      <c r="QOU38" s="372"/>
      <c r="QOV38" s="372"/>
      <c r="QOW38" s="372"/>
      <c r="QOX38" s="372"/>
      <c r="QOY38" s="372"/>
      <c r="QOZ38" s="372"/>
      <c r="QPA38" s="372"/>
      <c r="QPB38" s="372"/>
      <c r="QPC38" s="372"/>
      <c r="QPD38" s="372"/>
      <c r="QPE38" s="372"/>
      <c r="QPF38" s="372"/>
      <c r="QPG38" s="372"/>
      <c r="QPH38" s="372"/>
      <c r="QPI38" s="372"/>
      <c r="QPJ38" s="372"/>
      <c r="QPK38" s="372"/>
      <c r="QPL38" s="372"/>
      <c r="QPM38" s="372"/>
      <c r="QPN38" s="372"/>
      <c r="QPO38" s="372"/>
      <c r="QPP38" s="372"/>
      <c r="QPQ38" s="372"/>
      <c r="QPR38" s="372"/>
      <c r="QPS38" s="372"/>
      <c r="QPT38" s="372"/>
      <c r="QPU38" s="372"/>
      <c r="QPV38" s="372"/>
      <c r="QPW38" s="372"/>
      <c r="QPX38" s="372"/>
      <c r="QPY38" s="372"/>
      <c r="QPZ38" s="372"/>
      <c r="QQA38" s="372"/>
      <c r="QQB38" s="372"/>
      <c r="QQC38" s="372"/>
      <c r="QQD38" s="372"/>
      <c r="QQE38" s="372"/>
      <c r="QQF38" s="372"/>
      <c r="QQG38" s="372"/>
      <c r="QQH38" s="372"/>
      <c r="QQI38" s="372"/>
      <c r="QQJ38" s="372"/>
      <c r="QQK38" s="372"/>
      <c r="QQL38" s="372"/>
      <c r="QQM38" s="372"/>
      <c r="QQN38" s="372"/>
      <c r="QQO38" s="372"/>
      <c r="QQP38" s="372"/>
      <c r="QQQ38" s="372"/>
      <c r="QQR38" s="372"/>
      <c r="QQS38" s="372"/>
      <c r="QQT38" s="372"/>
      <c r="QQU38" s="372"/>
      <c r="QQV38" s="372"/>
      <c r="QQW38" s="372"/>
      <c r="QQX38" s="372"/>
      <c r="QQY38" s="372"/>
      <c r="QQZ38" s="372"/>
      <c r="QRA38" s="372"/>
      <c r="QRB38" s="372"/>
      <c r="QRC38" s="372"/>
      <c r="QRD38" s="372"/>
      <c r="QRE38" s="372"/>
      <c r="QRF38" s="372"/>
      <c r="QRG38" s="372"/>
      <c r="QRH38" s="372"/>
      <c r="QRI38" s="372"/>
      <c r="QRJ38" s="372"/>
      <c r="QRK38" s="372"/>
      <c r="QRL38" s="372"/>
      <c r="QRM38" s="372"/>
      <c r="QRN38" s="372"/>
      <c r="QRO38" s="372"/>
      <c r="QRP38" s="372"/>
      <c r="QRQ38" s="372"/>
      <c r="QRR38" s="372"/>
      <c r="QRS38" s="372"/>
      <c r="QRT38" s="372"/>
      <c r="QRU38" s="372"/>
      <c r="QRV38" s="372"/>
      <c r="QRW38" s="372"/>
      <c r="QRX38" s="372"/>
      <c r="QRY38" s="372"/>
      <c r="QRZ38" s="372"/>
      <c r="QSA38" s="372"/>
      <c r="QSB38" s="372"/>
      <c r="QSC38" s="372"/>
      <c r="QSD38" s="372"/>
      <c r="QSE38" s="372"/>
      <c r="QSF38" s="372"/>
      <c r="QSG38" s="372"/>
      <c r="QSH38" s="372"/>
      <c r="QSI38" s="372"/>
      <c r="QSJ38" s="372"/>
      <c r="QSK38" s="372"/>
      <c r="QSL38" s="372"/>
      <c r="QSM38" s="372"/>
      <c r="QSN38" s="372"/>
      <c r="QSO38" s="372"/>
      <c r="QSP38" s="372"/>
      <c r="QSQ38" s="372"/>
      <c r="QSR38" s="372"/>
      <c r="QSS38" s="372"/>
      <c r="QST38" s="372"/>
      <c r="QSU38" s="372"/>
      <c r="QSV38" s="372"/>
      <c r="QSW38" s="372"/>
      <c r="QSX38" s="372"/>
      <c r="QSY38" s="372"/>
      <c r="QSZ38" s="372"/>
      <c r="QTA38" s="372"/>
      <c r="QTB38" s="372"/>
      <c r="QTC38" s="372"/>
      <c r="QTD38" s="372"/>
      <c r="QTE38" s="372"/>
      <c r="QTF38" s="372"/>
      <c r="QTG38" s="372"/>
      <c r="QTH38" s="372"/>
      <c r="QTI38" s="372"/>
      <c r="QTJ38" s="372"/>
      <c r="QTK38" s="372"/>
      <c r="QTL38" s="372"/>
      <c r="QTM38" s="372"/>
      <c r="QTN38" s="372"/>
      <c r="QTO38" s="372"/>
      <c r="QTP38" s="372"/>
      <c r="QTQ38" s="372"/>
      <c r="QTR38" s="372"/>
      <c r="QTS38" s="372"/>
      <c r="QTT38" s="372"/>
      <c r="QTU38" s="372"/>
      <c r="QTV38" s="372"/>
      <c r="QTW38" s="372"/>
      <c r="QTX38" s="372"/>
      <c r="QTY38" s="372"/>
      <c r="QTZ38" s="372"/>
      <c r="QUA38" s="372"/>
      <c r="QUB38" s="372"/>
      <c r="QUC38" s="372"/>
      <c r="QUD38" s="372"/>
      <c r="QUE38" s="372"/>
      <c r="QUF38" s="372"/>
      <c r="QUG38" s="372"/>
      <c r="QUH38" s="372"/>
      <c r="QUI38" s="372"/>
      <c r="QUJ38" s="372"/>
      <c r="QUK38" s="372"/>
      <c r="QUL38" s="372"/>
      <c r="QUM38" s="372"/>
      <c r="QUN38" s="372"/>
      <c r="QUO38" s="372"/>
      <c r="QUP38" s="372"/>
      <c r="QUQ38" s="372"/>
      <c r="QUR38" s="372"/>
      <c r="QUS38" s="372"/>
      <c r="QUT38" s="372"/>
      <c r="QUU38" s="372"/>
      <c r="QUV38" s="372"/>
      <c r="QUW38" s="372"/>
      <c r="QUX38" s="372"/>
      <c r="QUY38" s="372"/>
      <c r="QUZ38" s="372"/>
      <c r="QVA38" s="372"/>
      <c r="QVB38" s="372"/>
      <c r="QVC38" s="372"/>
      <c r="QVD38" s="372"/>
      <c r="QVE38" s="372"/>
      <c r="QVF38" s="372"/>
      <c r="QVG38" s="372"/>
      <c r="QVH38" s="372"/>
      <c r="QVI38" s="372"/>
      <c r="QVJ38" s="372"/>
      <c r="QVK38" s="372"/>
      <c r="QVL38" s="372"/>
      <c r="QVM38" s="372"/>
      <c r="QVN38" s="372"/>
      <c r="QVO38" s="372"/>
      <c r="QVP38" s="372"/>
      <c r="QVQ38" s="372"/>
      <c r="QVR38" s="372"/>
      <c r="QVS38" s="372"/>
      <c r="QVT38" s="372"/>
      <c r="QVU38" s="372"/>
      <c r="QVV38" s="372"/>
      <c r="QVW38" s="372"/>
      <c r="QVX38" s="372"/>
      <c r="QVY38" s="372"/>
      <c r="QVZ38" s="372"/>
      <c r="QWA38" s="372"/>
      <c r="QWB38" s="372"/>
      <c r="QWC38" s="372"/>
      <c r="QWD38" s="372"/>
      <c r="QWE38" s="372"/>
      <c r="QWF38" s="372"/>
      <c r="QWG38" s="372"/>
      <c r="QWH38" s="372"/>
      <c r="QWI38" s="372"/>
      <c r="QWJ38" s="372"/>
      <c r="QWK38" s="372"/>
      <c r="QWL38" s="372"/>
      <c r="QWM38" s="372"/>
      <c r="QWN38" s="372"/>
      <c r="QWO38" s="372"/>
      <c r="QWP38" s="372"/>
      <c r="QWQ38" s="372"/>
      <c r="QWR38" s="372"/>
      <c r="QWS38" s="372"/>
      <c r="QWT38" s="372"/>
      <c r="QWU38" s="372"/>
      <c r="QWV38" s="372"/>
      <c r="QWW38" s="372"/>
      <c r="QWX38" s="372"/>
      <c r="QWY38" s="372"/>
      <c r="QWZ38" s="372"/>
      <c r="QXA38" s="372"/>
      <c r="QXB38" s="372"/>
      <c r="QXC38" s="372"/>
      <c r="QXD38" s="372"/>
      <c r="QXE38" s="372"/>
      <c r="QXF38" s="372"/>
      <c r="QXG38" s="372"/>
      <c r="QXH38" s="372"/>
      <c r="QXI38" s="372"/>
      <c r="QXJ38" s="372"/>
      <c r="QXK38" s="372"/>
      <c r="QXL38" s="372"/>
      <c r="QXM38" s="372"/>
      <c r="QXN38" s="372"/>
      <c r="QXO38" s="372"/>
      <c r="QXP38" s="372"/>
      <c r="QXQ38" s="372"/>
      <c r="QXR38" s="372"/>
      <c r="QXS38" s="372"/>
      <c r="QXT38" s="372"/>
      <c r="QXU38" s="372"/>
      <c r="QXV38" s="372"/>
      <c r="QXW38" s="372"/>
      <c r="QXX38" s="372"/>
      <c r="QXY38" s="372"/>
      <c r="QXZ38" s="372"/>
      <c r="QYA38" s="372"/>
      <c r="QYB38" s="372"/>
      <c r="QYC38" s="372"/>
      <c r="QYD38" s="372"/>
      <c r="QYE38" s="372"/>
      <c r="QYF38" s="372"/>
      <c r="QYG38" s="372"/>
      <c r="QYH38" s="372"/>
      <c r="QYI38" s="372"/>
      <c r="QYJ38" s="372"/>
      <c r="QYK38" s="372"/>
      <c r="QYL38" s="372"/>
      <c r="QYM38" s="372"/>
      <c r="QYN38" s="372"/>
      <c r="QYO38" s="372"/>
      <c r="QYP38" s="372"/>
      <c r="QYQ38" s="372"/>
      <c r="QYR38" s="372"/>
      <c r="QYS38" s="372"/>
      <c r="QYT38" s="372"/>
      <c r="QYU38" s="372"/>
      <c r="QYV38" s="372"/>
      <c r="QYW38" s="372"/>
      <c r="QYX38" s="372"/>
      <c r="QYY38" s="372"/>
      <c r="QYZ38" s="372"/>
      <c r="QZA38" s="372"/>
      <c r="QZB38" s="372"/>
      <c r="QZC38" s="372"/>
      <c r="QZD38" s="372"/>
      <c r="QZE38" s="372"/>
      <c r="QZF38" s="372"/>
      <c r="QZG38" s="372"/>
      <c r="QZH38" s="372"/>
      <c r="QZI38" s="372"/>
      <c r="QZJ38" s="372"/>
      <c r="QZK38" s="372"/>
      <c r="QZL38" s="372"/>
      <c r="QZM38" s="372"/>
      <c r="QZN38" s="372"/>
      <c r="QZO38" s="372"/>
      <c r="QZP38" s="372"/>
      <c r="QZQ38" s="372"/>
      <c r="QZR38" s="372"/>
      <c r="QZS38" s="372"/>
      <c r="QZT38" s="372"/>
      <c r="QZU38" s="372"/>
      <c r="QZV38" s="372"/>
      <c r="QZW38" s="372"/>
      <c r="QZX38" s="372"/>
      <c r="QZY38" s="372"/>
      <c r="QZZ38" s="372"/>
      <c r="RAA38" s="372"/>
      <c r="RAB38" s="372"/>
      <c r="RAC38" s="372"/>
      <c r="RAD38" s="372"/>
      <c r="RAE38" s="372"/>
      <c r="RAF38" s="372"/>
      <c r="RAG38" s="372"/>
      <c r="RAH38" s="372"/>
      <c r="RAI38" s="372"/>
      <c r="RAJ38" s="372"/>
      <c r="RAK38" s="372"/>
      <c r="RAL38" s="372"/>
      <c r="RAM38" s="372"/>
      <c r="RAN38" s="372"/>
      <c r="RAO38" s="372"/>
      <c r="RAP38" s="372"/>
      <c r="RAQ38" s="372"/>
      <c r="RAR38" s="372"/>
      <c r="RAS38" s="372"/>
      <c r="RAT38" s="372"/>
      <c r="RAU38" s="372"/>
      <c r="RAV38" s="372"/>
      <c r="RAW38" s="372"/>
      <c r="RAX38" s="372"/>
      <c r="RAY38" s="372"/>
      <c r="RAZ38" s="372"/>
      <c r="RBA38" s="372"/>
      <c r="RBB38" s="372"/>
      <c r="RBC38" s="372"/>
      <c r="RBD38" s="372"/>
      <c r="RBE38" s="372"/>
      <c r="RBF38" s="372"/>
      <c r="RBG38" s="372"/>
      <c r="RBH38" s="372"/>
      <c r="RBI38" s="372"/>
      <c r="RBJ38" s="372"/>
      <c r="RBK38" s="372"/>
      <c r="RBL38" s="372"/>
      <c r="RBM38" s="372"/>
      <c r="RBN38" s="372"/>
      <c r="RBO38" s="372"/>
      <c r="RBP38" s="372"/>
      <c r="RBQ38" s="372"/>
      <c r="RBR38" s="372"/>
      <c r="RBS38" s="372"/>
      <c r="RBT38" s="372"/>
      <c r="RBU38" s="372"/>
      <c r="RBV38" s="372"/>
      <c r="RBW38" s="372"/>
      <c r="RBX38" s="372"/>
      <c r="RBY38" s="372"/>
      <c r="RBZ38" s="372"/>
      <c r="RCA38" s="372"/>
      <c r="RCB38" s="372"/>
      <c r="RCC38" s="372"/>
      <c r="RCD38" s="372"/>
      <c r="RCE38" s="372"/>
      <c r="RCF38" s="372"/>
      <c r="RCG38" s="372"/>
      <c r="RCH38" s="372"/>
      <c r="RCI38" s="372"/>
      <c r="RCJ38" s="372"/>
      <c r="RCK38" s="372"/>
      <c r="RCL38" s="372"/>
      <c r="RCM38" s="372"/>
      <c r="RCN38" s="372"/>
      <c r="RCO38" s="372"/>
      <c r="RCP38" s="372"/>
      <c r="RCQ38" s="372"/>
      <c r="RCR38" s="372"/>
      <c r="RCS38" s="372"/>
      <c r="RCT38" s="372"/>
      <c r="RCU38" s="372"/>
      <c r="RCV38" s="372"/>
      <c r="RCW38" s="372"/>
      <c r="RCX38" s="372"/>
      <c r="RCY38" s="372"/>
      <c r="RCZ38" s="372"/>
      <c r="RDA38" s="372"/>
      <c r="RDB38" s="372"/>
      <c r="RDC38" s="372"/>
      <c r="RDD38" s="372"/>
      <c r="RDE38" s="372"/>
      <c r="RDF38" s="372"/>
      <c r="RDG38" s="372"/>
      <c r="RDH38" s="372"/>
      <c r="RDI38" s="372"/>
      <c r="RDJ38" s="372"/>
      <c r="RDK38" s="372"/>
      <c r="RDL38" s="372"/>
      <c r="RDM38" s="372"/>
      <c r="RDN38" s="372"/>
      <c r="RDO38" s="372"/>
      <c r="RDP38" s="372"/>
      <c r="RDQ38" s="372"/>
      <c r="RDR38" s="372"/>
      <c r="RDS38" s="372"/>
      <c r="RDT38" s="372"/>
      <c r="RDU38" s="372"/>
      <c r="RDV38" s="372"/>
      <c r="RDW38" s="372"/>
      <c r="RDX38" s="372"/>
      <c r="RDY38" s="372"/>
      <c r="RDZ38" s="372"/>
      <c r="REA38" s="372"/>
      <c r="REB38" s="372"/>
      <c r="REC38" s="372"/>
      <c r="RED38" s="372"/>
      <c r="REE38" s="372"/>
      <c r="REF38" s="372"/>
      <c r="REG38" s="372"/>
      <c r="REH38" s="372"/>
      <c r="REI38" s="372"/>
      <c r="REJ38" s="372"/>
      <c r="REK38" s="372"/>
      <c r="REL38" s="372"/>
      <c r="REM38" s="372"/>
      <c r="REN38" s="372"/>
      <c r="REO38" s="372"/>
      <c r="REP38" s="372"/>
      <c r="REQ38" s="372"/>
      <c r="RER38" s="372"/>
      <c r="RES38" s="372"/>
      <c r="RET38" s="372"/>
      <c r="REU38" s="372"/>
      <c r="REV38" s="372"/>
      <c r="REW38" s="372"/>
      <c r="REX38" s="372"/>
      <c r="REY38" s="372"/>
      <c r="REZ38" s="372"/>
      <c r="RFA38" s="372"/>
      <c r="RFB38" s="372"/>
      <c r="RFC38" s="372"/>
      <c r="RFD38" s="372"/>
      <c r="RFE38" s="372"/>
      <c r="RFF38" s="372"/>
      <c r="RFG38" s="372"/>
      <c r="RFH38" s="372"/>
      <c r="RFI38" s="372"/>
      <c r="RFJ38" s="372"/>
      <c r="RFK38" s="372"/>
      <c r="RFL38" s="372"/>
      <c r="RFM38" s="372"/>
      <c r="RFN38" s="372"/>
      <c r="RFO38" s="372"/>
      <c r="RFP38" s="372"/>
      <c r="RFQ38" s="372"/>
      <c r="RFR38" s="372"/>
      <c r="RFS38" s="372"/>
      <c r="RFT38" s="372"/>
      <c r="RFU38" s="372"/>
      <c r="RFV38" s="372"/>
      <c r="RFW38" s="372"/>
      <c r="RFX38" s="372"/>
      <c r="RFY38" s="372"/>
      <c r="RFZ38" s="372"/>
      <c r="RGA38" s="372"/>
      <c r="RGB38" s="372"/>
      <c r="RGC38" s="372"/>
      <c r="RGD38" s="372"/>
      <c r="RGE38" s="372"/>
      <c r="RGF38" s="372"/>
      <c r="RGG38" s="372"/>
      <c r="RGH38" s="372"/>
      <c r="RGI38" s="372"/>
      <c r="RGJ38" s="372"/>
      <c r="RGK38" s="372"/>
      <c r="RGL38" s="372"/>
      <c r="RGM38" s="372"/>
      <c r="RGN38" s="372"/>
      <c r="RGO38" s="372"/>
      <c r="RGP38" s="372"/>
      <c r="RGQ38" s="372"/>
      <c r="RGR38" s="372"/>
      <c r="RGS38" s="372"/>
      <c r="RGT38" s="372"/>
      <c r="RGU38" s="372"/>
      <c r="RGV38" s="372"/>
      <c r="RGW38" s="372"/>
      <c r="RGX38" s="372"/>
      <c r="RGY38" s="372"/>
      <c r="RGZ38" s="372"/>
      <c r="RHA38" s="372"/>
      <c r="RHB38" s="372"/>
      <c r="RHC38" s="372"/>
      <c r="RHD38" s="372"/>
      <c r="RHE38" s="372"/>
      <c r="RHF38" s="372"/>
      <c r="RHG38" s="372"/>
      <c r="RHH38" s="372"/>
      <c r="RHI38" s="372"/>
      <c r="RHJ38" s="372"/>
      <c r="RHK38" s="372"/>
      <c r="RHL38" s="372"/>
      <c r="RHM38" s="372"/>
      <c r="RHN38" s="372"/>
      <c r="RHO38" s="372"/>
      <c r="RHP38" s="372"/>
      <c r="RHQ38" s="372"/>
      <c r="RHR38" s="372"/>
      <c r="RHS38" s="372"/>
      <c r="RHT38" s="372"/>
      <c r="RHU38" s="372"/>
      <c r="RHV38" s="372"/>
      <c r="RHW38" s="372"/>
      <c r="RHX38" s="372"/>
      <c r="RHY38" s="372"/>
      <c r="RHZ38" s="372"/>
      <c r="RIA38" s="372"/>
      <c r="RIB38" s="372"/>
      <c r="RIC38" s="372"/>
      <c r="RID38" s="372"/>
      <c r="RIE38" s="372"/>
      <c r="RIF38" s="372"/>
      <c r="RIG38" s="372"/>
      <c r="RIH38" s="372"/>
      <c r="RII38" s="372"/>
      <c r="RIJ38" s="372"/>
      <c r="RIK38" s="372"/>
      <c r="RIL38" s="372"/>
      <c r="RIM38" s="372"/>
      <c r="RIN38" s="372"/>
      <c r="RIO38" s="372"/>
      <c r="RIP38" s="372"/>
      <c r="RIQ38" s="372"/>
      <c r="RIR38" s="372"/>
      <c r="RIS38" s="372"/>
      <c r="RIT38" s="372"/>
      <c r="RIU38" s="372"/>
      <c r="RIV38" s="372"/>
      <c r="RIW38" s="372"/>
      <c r="RIX38" s="372"/>
      <c r="RIY38" s="372"/>
      <c r="RIZ38" s="372"/>
      <c r="RJA38" s="372"/>
      <c r="RJB38" s="372"/>
      <c r="RJC38" s="372"/>
      <c r="RJD38" s="372"/>
      <c r="RJE38" s="372"/>
      <c r="RJF38" s="372"/>
      <c r="RJG38" s="372"/>
      <c r="RJH38" s="372"/>
      <c r="RJI38" s="372"/>
      <c r="RJJ38" s="372"/>
      <c r="RJK38" s="372"/>
      <c r="RJL38" s="372"/>
      <c r="RJM38" s="372"/>
      <c r="RJN38" s="372"/>
      <c r="RJO38" s="372"/>
      <c r="RJP38" s="372"/>
      <c r="RJQ38" s="372"/>
      <c r="RJR38" s="372"/>
      <c r="RJS38" s="372"/>
      <c r="RJT38" s="372"/>
      <c r="RJU38" s="372"/>
      <c r="RJV38" s="372"/>
      <c r="RJW38" s="372"/>
      <c r="RJX38" s="372"/>
      <c r="RJY38" s="372"/>
      <c r="RJZ38" s="372"/>
      <c r="RKA38" s="372"/>
      <c r="RKB38" s="372"/>
      <c r="RKC38" s="372"/>
      <c r="RKD38" s="372"/>
      <c r="RKE38" s="372"/>
      <c r="RKF38" s="372"/>
      <c r="RKG38" s="372"/>
      <c r="RKH38" s="372"/>
      <c r="RKI38" s="372"/>
      <c r="RKJ38" s="372"/>
      <c r="RKK38" s="372"/>
      <c r="RKL38" s="372"/>
      <c r="RKM38" s="372"/>
      <c r="RKN38" s="372"/>
      <c r="RKO38" s="372"/>
      <c r="RKP38" s="372"/>
      <c r="RKQ38" s="372"/>
      <c r="RKR38" s="372"/>
      <c r="RKS38" s="372"/>
      <c r="RKT38" s="372"/>
      <c r="RKU38" s="372"/>
      <c r="RKV38" s="372"/>
      <c r="RKW38" s="372"/>
      <c r="RKX38" s="372"/>
      <c r="RKY38" s="372"/>
      <c r="RKZ38" s="372"/>
      <c r="RLA38" s="372"/>
      <c r="RLB38" s="372"/>
      <c r="RLC38" s="372"/>
      <c r="RLD38" s="372"/>
      <c r="RLE38" s="372"/>
      <c r="RLF38" s="372"/>
      <c r="RLG38" s="372"/>
      <c r="RLH38" s="372"/>
      <c r="RLI38" s="372"/>
      <c r="RLJ38" s="372"/>
      <c r="RLK38" s="372"/>
      <c r="RLL38" s="372"/>
      <c r="RLM38" s="372"/>
      <c r="RLN38" s="372"/>
      <c r="RLO38" s="372"/>
      <c r="RLP38" s="372"/>
      <c r="RLQ38" s="372"/>
      <c r="RLR38" s="372"/>
      <c r="RLS38" s="372"/>
      <c r="RLT38" s="372"/>
      <c r="RLU38" s="372"/>
      <c r="RLV38" s="372"/>
      <c r="RLW38" s="372"/>
      <c r="RLX38" s="372"/>
      <c r="RLY38" s="372"/>
      <c r="RLZ38" s="372"/>
      <c r="RMA38" s="372"/>
      <c r="RMB38" s="372"/>
      <c r="RMC38" s="372"/>
      <c r="RMD38" s="372"/>
      <c r="RME38" s="372"/>
      <c r="RMF38" s="372"/>
      <c r="RMG38" s="372"/>
      <c r="RMH38" s="372"/>
      <c r="RMI38" s="372"/>
      <c r="RMJ38" s="372"/>
      <c r="RMK38" s="372"/>
      <c r="RML38" s="372"/>
      <c r="RMM38" s="372"/>
      <c r="RMN38" s="372"/>
      <c r="RMO38" s="372"/>
      <c r="RMP38" s="372"/>
      <c r="RMQ38" s="372"/>
      <c r="RMR38" s="372"/>
      <c r="RMS38" s="372"/>
      <c r="RMT38" s="372"/>
      <c r="RMU38" s="372"/>
      <c r="RMV38" s="372"/>
      <c r="RMW38" s="372"/>
      <c r="RMX38" s="372"/>
      <c r="RMY38" s="372"/>
      <c r="RMZ38" s="372"/>
      <c r="RNA38" s="372"/>
      <c r="RNB38" s="372"/>
      <c r="RNC38" s="372"/>
      <c r="RND38" s="372"/>
      <c r="RNE38" s="372"/>
      <c r="RNF38" s="372"/>
      <c r="RNG38" s="372"/>
      <c r="RNH38" s="372"/>
      <c r="RNI38" s="372"/>
      <c r="RNJ38" s="372"/>
      <c r="RNK38" s="372"/>
      <c r="RNL38" s="372"/>
      <c r="RNM38" s="372"/>
      <c r="RNN38" s="372"/>
      <c r="RNO38" s="372"/>
      <c r="RNP38" s="372"/>
      <c r="RNQ38" s="372"/>
      <c r="RNR38" s="372"/>
      <c r="RNS38" s="372"/>
      <c r="RNT38" s="372"/>
      <c r="RNU38" s="372"/>
      <c r="RNV38" s="372"/>
      <c r="RNW38" s="372"/>
      <c r="RNX38" s="372"/>
      <c r="RNY38" s="372"/>
      <c r="RNZ38" s="372"/>
      <c r="ROA38" s="372"/>
      <c r="ROB38" s="372"/>
      <c r="ROC38" s="372"/>
      <c r="ROD38" s="372"/>
      <c r="ROE38" s="372"/>
      <c r="ROF38" s="372"/>
      <c r="ROG38" s="372"/>
      <c r="ROH38" s="372"/>
      <c r="ROI38" s="372"/>
      <c r="ROJ38" s="372"/>
      <c r="ROK38" s="372"/>
      <c r="ROL38" s="372"/>
      <c r="ROM38" s="372"/>
      <c r="RON38" s="372"/>
      <c r="ROO38" s="372"/>
      <c r="ROP38" s="372"/>
      <c r="ROQ38" s="372"/>
      <c r="ROR38" s="372"/>
      <c r="ROS38" s="372"/>
      <c r="ROT38" s="372"/>
      <c r="ROU38" s="372"/>
      <c r="ROV38" s="372"/>
      <c r="ROW38" s="372"/>
      <c r="ROX38" s="372"/>
      <c r="ROY38" s="372"/>
      <c r="ROZ38" s="372"/>
      <c r="RPA38" s="372"/>
      <c r="RPB38" s="372"/>
      <c r="RPC38" s="372"/>
      <c r="RPD38" s="372"/>
      <c r="RPE38" s="372"/>
      <c r="RPF38" s="372"/>
      <c r="RPG38" s="372"/>
      <c r="RPH38" s="372"/>
      <c r="RPI38" s="372"/>
      <c r="RPJ38" s="372"/>
      <c r="RPK38" s="372"/>
      <c r="RPL38" s="372"/>
      <c r="RPM38" s="372"/>
      <c r="RPN38" s="372"/>
      <c r="RPO38" s="372"/>
      <c r="RPP38" s="372"/>
      <c r="RPQ38" s="372"/>
      <c r="RPR38" s="372"/>
      <c r="RPS38" s="372"/>
      <c r="RPT38" s="372"/>
      <c r="RPU38" s="372"/>
      <c r="RPV38" s="372"/>
      <c r="RPW38" s="372"/>
      <c r="RPX38" s="372"/>
      <c r="RPY38" s="372"/>
      <c r="RPZ38" s="372"/>
      <c r="RQA38" s="372"/>
      <c r="RQB38" s="372"/>
      <c r="RQC38" s="372"/>
      <c r="RQD38" s="372"/>
      <c r="RQE38" s="372"/>
      <c r="RQF38" s="372"/>
      <c r="RQG38" s="372"/>
      <c r="RQH38" s="372"/>
      <c r="RQI38" s="372"/>
      <c r="RQJ38" s="372"/>
      <c r="RQK38" s="372"/>
      <c r="RQL38" s="372"/>
      <c r="RQM38" s="372"/>
      <c r="RQN38" s="372"/>
      <c r="RQO38" s="372"/>
      <c r="RQP38" s="372"/>
      <c r="RQQ38" s="372"/>
      <c r="RQR38" s="372"/>
      <c r="RQS38" s="372"/>
      <c r="RQT38" s="372"/>
      <c r="RQU38" s="372"/>
      <c r="RQV38" s="372"/>
      <c r="RQW38" s="372"/>
      <c r="RQX38" s="372"/>
      <c r="RQY38" s="372"/>
      <c r="RQZ38" s="372"/>
      <c r="RRA38" s="372"/>
      <c r="RRB38" s="372"/>
      <c r="RRC38" s="372"/>
      <c r="RRD38" s="372"/>
      <c r="RRE38" s="372"/>
      <c r="RRF38" s="372"/>
      <c r="RRG38" s="372"/>
      <c r="RRH38" s="372"/>
      <c r="RRI38" s="372"/>
      <c r="RRJ38" s="372"/>
      <c r="RRK38" s="372"/>
      <c r="RRL38" s="372"/>
      <c r="RRM38" s="372"/>
      <c r="RRN38" s="372"/>
      <c r="RRO38" s="372"/>
      <c r="RRP38" s="372"/>
      <c r="RRQ38" s="372"/>
      <c r="RRR38" s="372"/>
      <c r="RRS38" s="372"/>
      <c r="RRT38" s="372"/>
      <c r="RRU38" s="372"/>
      <c r="RRV38" s="372"/>
      <c r="RRW38" s="372"/>
      <c r="RRX38" s="372"/>
      <c r="RRY38" s="372"/>
      <c r="RRZ38" s="372"/>
      <c r="RSA38" s="372"/>
      <c r="RSB38" s="372"/>
      <c r="RSC38" s="372"/>
      <c r="RSD38" s="372"/>
      <c r="RSE38" s="372"/>
      <c r="RSF38" s="372"/>
      <c r="RSG38" s="372"/>
      <c r="RSH38" s="372"/>
      <c r="RSI38" s="372"/>
      <c r="RSJ38" s="372"/>
      <c r="RSK38" s="372"/>
      <c r="RSL38" s="372"/>
      <c r="RSM38" s="372"/>
      <c r="RSN38" s="372"/>
      <c r="RSO38" s="372"/>
      <c r="RSP38" s="372"/>
      <c r="RSQ38" s="372"/>
      <c r="RSR38" s="372"/>
      <c r="RSS38" s="372"/>
      <c r="RST38" s="372"/>
      <c r="RSU38" s="372"/>
      <c r="RSV38" s="372"/>
      <c r="RSW38" s="372"/>
      <c r="RSX38" s="372"/>
      <c r="RSY38" s="372"/>
      <c r="RSZ38" s="372"/>
      <c r="RTA38" s="372"/>
      <c r="RTB38" s="372"/>
      <c r="RTC38" s="372"/>
      <c r="RTD38" s="372"/>
      <c r="RTE38" s="372"/>
      <c r="RTF38" s="372"/>
      <c r="RTG38" s="372"/>
      <c r="RTH38" s="372"/>
      <c r="RTI38" s="372"/>
      <c r="RTJ38" s="372"/>
      <c r="RTK38" s="372"/>
      <c r="RTL38" s="372"/>
      <c r="RTM38" s="372"/>
      <c r="RTN38" s="372"/>
      <c r="RTO38" s="372"/>
      <c r="RTP38" s="372"/>
      <c r="RTQ38" s="372"/>
      <c r="RTR38" s="372"/>
      <c r="RTS38" s="372"/>
      <c r="RTT38" s="372"/>
      <c r="RTU38" s="372"/>
      <c r="RTV38" s="372"/>
      <c r="RTW38" s="372"/>
      <c r="RTX38" s="372"/>
      <c r="RTY38" s="372"/>
      <c r="RTZ38" s="372"/>
      <c r="RUA38" s="372"/>
      <c r="RUB38" s="372"/>
      <c r="RUC38" s="372"/>
      <c r="RUD38" s="372"/>
      <c r="RUE38" s="372"/>
      <c r="RUF38" s="372"/>
      <c r="RUG38" s="372"/>
      <c r="RUH38" s="372"/>
      <c r="RUI38" s="372"/>
      <c r="RUJ38" s="372"/>
      <c r="RUK38" s="372"/>
      <c r="RUL38" s="372"/>
      <c r="RUM38" s="372"/>
      <c r="RUN38" s="372"/>
      <c r="RUO38" s="372"/>
      <c r="RUP38" s="372"/>
      <c r="RUQ38" s="372"/>
      <c r="RUR38" s="372"/>
      <c r="RUS38" s="372"/>
      <c r="RUT38" s="372"/>
      <c r="RUU38" s="372"/>
      <c r="RUV38" s="372"/>
      <c r="RUW38" s="372"/>
      <c r="RUX38" s="372"/>
      <c r="RUY38" s="372"/>
      <c r="RUZ38" s="372"/>
      <c r="RVA38" s="372"/>
      <c r="RVB38" s="372"/>
      <c r="RVC38" s="372"/>
      <c r="RVD38" s="372"/>
      <c r="RVE38" s="372"/>
      <c r="RVF38" s="372"/>
      <c r="RVG38" s="372"/>
      <c r="RVH38" s="372"/>
      <c r="RVI38" s="372"/>
      <c r="RVJ38" s="372"/>
      <c r="RVK38" s="372"/>
      <c r="RVL38" s="372"/>
      <c r="RVM38" s="372"/>
      <c r="RVN38" s="372"/>
      <c r="RVO38" s="372"/>
      <c r="RVP38" s="372"/>
      <c r="RVQ38" s="372"/>
      <c r="RVR38" s="372"/>
      <c r="RVS38" s="372"/>
      <c r="RVT38" s="372"/>
      <c r="RVU38" s="372"/>
      <c r="RVV38" s="372"/>
      <c r="RVW38" s="372"/>
      <c r="RVX38" s="372"/>
      <c r="RVY38" s="372"/>
      <c r="RVZ38" s="372"/>
      <c r="RWA38" s="372"/>
      <c r="RWB38" s="372"/>
      <c r="RWC38" s="372"/>
      <c r="RWD38" s="372"/>
      <c r="RWE38" s="372"/>
      <c r="RWF38" s="372"/>
      <c r="RWG38" s="372"/>
      <c r="RWH38" s="372"/>
      <c r="RWI38" s="372"/>
      <c r="RWJ38" s="372"/>
      <c r="RWK38" s="372"/>
      <c r="RWL38" s="372"/>
      <c r="RWM38" s="372"/>
      <c r="RWN38" s="372"/>
      <c r="RWO38" s="372"/>
      <c r="RWP38" s="372"/>
      <c r="RWQ38" s="372"/>
      <c r="RWR38" s="372"/>
      <c r="RWS38" s="372"/>
      <c r="RWT38" s="372"/>
      <c r="RWU38" s="372"/>
      <c r="RWV38" s="372"/>
      <c r="RWW38" s="372"/>
      <c r="RWX38" s="372"/>
      <c r="RWY38" s="372"/>
      <c r="RWZ38" s="372"/>
      <c r="RXA38" s="372"/>
      <c r="RXB38" s="372"/>
      <c r="RXC38" s="372"/>
      <c r="RXD38" s="372"/>
      <c r="RXE38" s="372"/>
      <c r="RXF38" s="372"/>
      <c r="RXG38" s="372"/>
      <c r="RXH38" s="372"/>
      <c r="RXI38" s="372"/>
      <c r="RXJ38" s="372"/>
      <c r="RXK38" s="372"/>
      <c r="RXL38" s="372"/>
      <c r="RXM38" s="372"/>
      <c r="RXN38" s="372"/>
      <c r="RXO38" s="372"/>
      <c r="RXP38" s="372"/>
      <c r="RXQ38" s="372"/>
      <c r="RXR38" s="372"/>
      <c r="RXS38" s="372"/>
      <c r="RXT38" s="372"/>
      <c r="RXU38" s="372"/>
      <c r="RXV38" s="372"/>
      <c r="RXW38" s="372"/>
      <c r="RXX38" s="372"/>
      <c r="RXY38" s="372"/>
      <c r="RXZ38" s="372"/>
      <c r="RYA38" s="372"/>
      <c r="RYB38" s="372"/>
      <c r="RYC38" s="372"/>
      <c r="RYD38" s="372"/>
      <c r="RYE38" s="372"/>
      <c r="RYF38" s="372"/>
      <c r="RYG38" s="372"/>
      <c r="RYH38" s="372"/>
      <c r="RYI38" s="372"/>
      <c r="RYJ38" s="372"/>
      <c r="RYK38" s="372"/>
      <c r="RYL38" s="372"/>
      <c r="RYM38" s="372"/>
      <c r="RYN38" s="372"/>
      <c r="RYO38" s="372"/>
      <c r="RYP38" s="372"/>
      <c r="RYQ38" s="372"/>
      <c r="RYR38" s="372"/>
      <c r="RYS38" s="372"/>
      <c r="RYT38" s="372"/>
      <c r="RYU38" s="372"/>
      <c r="RYV38" s="372"/>
      <c r="RYW38" s="372"/>
      <c r="RYX38" s="372"/>
      <c r="RYY38" s="372"/>
      <c r="RYZ38" s="372"/>
      <c r="RZA38" s="372"/>
      <c r="RZB38" s="372"/>
      <c r="RZC38" s="372"/>
      <c r="RZD38" s="372"/>
      <c r="RZE38" s="372"/>
      <c r="RZF38" s="372"/>
      <c r="RZG38" s="372"/>
      <c r="RZH38" s="372"/>
      <c r="RZI38" s="372"/>
      <c r="RZJ38" s="372"/>
      <c r="RZK38" s="372"/>
      <c r="RZL38" s="372"/>
      <c r="RZM38" s="372"/>
      <c r="RZN38" s="372"/>
      <c r="RZO38" s="372"/>
      <c r="RZP38" s="372"/>
      <c r="RZQ38" s="372"/>
      <c r="RZR38" s="372"/>
      <c r="RZS38" s="372"/>
      <c r="RZT38" s="372"/>
      <c r="RZU38" s="372"/>
      <c r="RZV38" s="372"/>
      <c r="RZW38" s="372"/>
      <c r="RZX38" s="372"/>
      <c r="RZY38" s="372"/>
      <c r="RZZ38" s="372"/>
      <c r="SAA38" s="372"/>
      <c r="SAB38" s="372"/>
      <c r="SAC38" s="372"/>
      <c r="SAD38" s="372"/>
      <c r="SAE38" s="372"/>
      <c r="SAF38" s="372"/>
      <c r="SAG38" s="372"/>
      <c r="SAH38" s="372"/>
      <c r="SAI38" s="372"/>
      <c r="SAJ38" s="372"/>
      <c r="SAK38" s="372"/>
      <c r="SAL38" s="372"/>
      <c r="SAM38" s="372"/>
      <c r="SAN38" s="372"/>
      <c r="SAO38" s="372"/>
      <c r="SAP38" s="372"/>
      <c r="SAQ38" s="372"/>
      <c r="SAR38" s="372"/>
      <c r="SAS38" s="372"/>
      <c r="SAT38" s="372"/>
      <c r="SAU38" s="372"/>
      <c r="SAV38" s="372"/>
      <c r="SAW38" s="372"/>
      <c r="SAX38" s="372"/>
      <c r="SAY38" s="372"/>
      <c r="SAZ38" s="372"/>
      <c r="SBA38" s="372"/>
      <c r="SBB38" s="372"/>
      <c r="SBC38" s="372"/>
      <c r="SBD38" s="372"/>
      <c r="SBE38" s="372"/>
      <c r="SBF38" s="372"/>
      <c r="SBG38" s="372"/>
      <c r="SBH38" s="372"/>
      <c r="SBI38" s="372"/>
      <c r="SBJ38" s="372"/>
      <c r="SBK38" s="372"/>
      <c r="SBL38" s="372"/>
      <c r="SBM38" s="372"/>
      <c r="SBN38" s="372"/>
      <c r="SBO38" s="372"/>
      <c r="SBP38" s="372"/>
      <c r="SBQ38" s="372"/>
      <c r="SBR38" s="372"/>
      <c r="SBS38" s="372"/>
      <c r="SBT38" s="372"/>
      <c r="SBU38" s="372"/>
      <c r="SBV38" s="372"/>
      <c r="SBW38" s="372"/>
      <c r="SBX38" s="372"/>
      <c r="SBY38" s="372"/>
      <c r="SBZ38" s="372"/>
      <c r="SCA38" s="372"/>
      <c r="SCB38" s="372"/>
      <c r="SCC38" s="372"/>
      <c r="SCD38" s="372"/>
      <c r="SCE38" s="372"/>
      <c r="SCF38" s="372"/>
      <c r="SCG38" s="372"/>
      <c r="SCH38" s="372"/>
      <c r="SCI38" s="372"/>
      <c r="SCJ38" s="372"/>
      <c r="SCK38" s="372"/>
      <c r="SCL38" s="372"/>
      <c r="SCM38" s="372"/>
      <c r="SCN38" s="372"/>
      <c r="SCO38" s="372"/>
      <c r="SCP38" s="372"/>
      <c r="SCQ38" s="372"/>
      <c r="SCR38" s="372"/>
      <c r="SCS38" s="372"/>
      <c r="SCT38" s="372"/>
      <c r="SCU38" s="372"/>
      <c r="SCV38" s="372"/>
      <c r="SCW38" s="372"/>
      <c r="SCX38" s="372"/>
      <c r="SCY38" s="372"/>
      <c r="SCZ38" s="372"/>
      <c r="SDA38" s="372"/>
      <c r="SDB38" s="372"/>
      <c r="SDC38" s="372"/>
      <c r="SDD38" s="372"/>
      <c r="SDE38" s="372"/>
      <c r="SDF38" s="372"/>
      <c r="SDG38" s="372"/>
      <c r="SDH38" s="372"/>
      <c r="SDI38" s="372"/>
      <c r="SDJ38" s="372"/>
      <c r="SDK38" s="372"/>
      <c r="SDL38" s="372"/>
      <c r="SDM38" s="372"/>
      <c r="SDN38" s="372"/>
      <c r="SDO38" s="372"/>
      <c r="SDP38" s="372"/>
      <c r="SDQ38" s="372"/>
      <c r="SDR38" s="372"/>
      <c r="SDS38" s="372"/>
      <c r="SDT38" s="372"/>
      <c r="SDU38" s="372"/>
      <c r="SDV38" s="372"/>
      <c r="SDW38" s="372"/>
      <c r="SDX38" s="372"/>
      <c r="SDY38" s="372"/>
      <c r="SDZ38" s="372"/>
      <c r="SEA38" s="372"/>
      <c r="SEB38" s="372"/>
      <c r="SEC38" s="372"/>
      <c r="SED38" s="372"/>
      <c r="SEE38" s="372"/>
      <c r="SEF38" s="372"/>
      <c r="SEG38" s="372"/>
      <c r="SEH38" s="372"/>
      <c r="SEI38" s="372"/>
      <c r="SEJ38" s="372"/>
      <c r="SEK38" s="372"/>
      <c r="SEL38" s="372"/>
      <c r="SEM38" s="372"/>
      <c r="SEN38" s="372"/>
      <c r="SEO38" s="372"/>
      <c r="SEP38" s="372"/>
      <c r="SEQ38" s="372"/>
      <c r="SER38" s="372"/>
      <c r="SES38" s="372"/>
      <c r="SET38" s="372"/>
      <c r="SEU38" s="372"/>
      <c r="SEV38" s="372"/>
      <c r="SEW38" s="372"/>
      <c r="SEX38" s="372"/>
      <c r="SEY38" s="372"/>
      <c r="SEZ38" s="372"/>
      <c r="SFA38" s="372"/>
      <c r="SFB38" s="372"/>
      <c r="SFC38" s="372"/>
      <c r="SFD38" s="372"/>
      <c r="SFE38" s="372"/>
      <c r="SFF38" s="372"/>
      <c r="SFG38" s="372"/>
      <c r="SFH38" s="372"/>
      <c r="SFI38" s="372"/>
      <c r="SFJ38" s="372"/>
      <c r="SFK38" s="372"/>
      <c r="SFL38" s="372"/>
      <c r="SFM38" s="372"/>
      <c r="SFN38" s="372"/>
      <c r="SFO38" s="372"/>
      <c r="SFP38" s="372"/>
      <c r="SFQ38" s="372"/>
      <c r="SFR38" s="372"/>
      <c r="SFS38" s="372"/>
      <c r="SFT38" s="372"/>
      <c r="SFU38" s="372"/>
      <c r="SFV38" s="372"/>
      <c r="SFW38" s="372"/>
      <c r="SFX38" s="372"/>
      <c r="SFY38" s="372"/>
      <c r="SFZ38" s="372"/>
      <c r="SGA38" s="372"/>
      <c r="SGB38" s="372"/>
      <c r="SGC38" s="372"/>
      <c r="SGD38" s="372"/>
      <c r="SGE38" s="372"/>
      <c r="SGF38" s="372"/>
      <c r="SGG38" s="372"/>
      <c r="SGH38" s="372"/>
      <c r="SGI38" s="372"/>
      <c r="SGJ38" s="372"/>
      <c r="SGK38" s="372"/>
      <c r="SGL38" s="372"/>
      <c r="SGM38" s="372"/>
      <c r="SGN38" s="372"/>
      <c r="SGO38" s="372"/>
      <c r="SGP38" s="372"/>
      <c r="SGQ38" s="372"/>
      <c r="SGR38" s="372"/>
      <c r="SGS38" s="372"/>
      <c r="SGT38" s="372"/>
      <c r="SGU38" s="372"/>
      <c r="SGV38" s="372"/>
      <c r="SGW38" s="372"/>
      <c r="SGX38" s="372"/>
      <c r="SGY38" s="372"/>
      <c r="SGZ38" s="372"/>
      <c r="SHA38" s="372"/>
      <c r="SHB38" s="372"/>
      <c r="SHC38" s="372"/>
      <c r="SHD38" s="372"/>
      <c r="SHE38" s="372"/>
      <c r="SHF38" s="372"/>
      <c r="SHG38" s="372"/>
      <c r="SHH38" s="372"/>
      <c r="SHI38" s="372"/>
      <c r="SHJ38" s="372"/>
      <c r="SHK38" s="372"/>
      <c r="SHL38" s="372"/>
      <c r="SHM38" s="372"/>
      <c r="SHN38" s="372"/>
      <c r="SHO38" s="372"/>
      <c r="SHP38" s="372"/>
      <c r="SHQ38" s="372"/>
      <c r="SHR38" s="372"/>
      <c r="SHS38" s="372"/>
      <c r="SHT38" s="372"/>
      <c r="SHU38" s="372"/>
      <c r="SHV38" s="372"/>
      <c r="SHW38" s="372"/>
      <c r="SHX38" s="372"/>
      <c r="SHY38" s="372"/>
      <c r="SHZ38" s="372"/>
      <c r="SIA38" s="372"/>
      <c r="SIB38" s="372"/>
      <c r="SIC38" s="372"/>
      <c r="SID38" s="372"/>
      <c r="SIE38" s="372"/>
      <c r="SIF38" s="372"/>
      <c r="SIG38" s="372"/>
      <c r="SIH38" s="372"/>
      <c r="SII38" s="372"/>
      <c r="SIJ38" s="372"/>
      <c r="SIK38" s="372"/>
      <c r="SIL38" s="372"/>
      <c r="SIM38" s="372"/>
      <c r="SIN38" s="372"/>
      <c r="SIO38" s="372"/>
      <c r="SIP38" s="372"/>
      <c r="SIQ38" s="372"/>
      <c r="SIR38" s="372"/>
      <c r="SIS38" s="372"/>
      <c r="SIT38" s="372"/>
      <c r="SIU38" s="372"/>
      <c r="SIV38" s="372"/>
      <c r="SIW38" s="372"/>
      <c r="SIX38" s="372"/>
      <c r="SIY38" s="372"/>
      <c r="SIZ38" s="372"/>
      <c r="SJA38" s="372"/>
      <c r="SJB38" s="372"/>
      <c r="SJC38" s="372"/>
      <c r="SJD38" s="372"/>
      <c r="SJE38" s="372"/>
      <c r="SJF38" s="372"/>
      <c r="SJG38" s="372"/>
      <c r="SJH38" s="372"/>
      <c r="SJI38" s="372"/>
      <c r="SJJ38" s="372"/>
      <c r="SJK38" s="372"/>
      <c r="SJL38" s="372"/>
      <c r="SJM38" s="372"/>
      <c r="SJN38" s="372"/>
      <c r="SJO38" s="372"/>
      <c r="SJP38" s="372"/>
      <c r="SJQ38" s="372"/>
      <c r="SJR38" s="372"/>
      <c r="SJS38" s="372"/>
      <c r="SJT38" s="372"/>
      <c r="SJU38" s="372"/>
      <c r="SJV38" s="372"/>
      <c r="SJW38" s="372"/>
      <c r="SJX38" s="372"/>
      <c r="SJY38" s="372"/>
      <c r="SJZ38" s="372"/>
      <c r="SKA38" s="372"/>
      <c r="SKB38" s="372"/>
      <c r="SKC38" s="372"/>
      <c r="SKD38" s="372"/>
      <c r="SKE38" s="372"/>
      <c r="SKF38" s="372"/>
      <c r="SKG38" s="372"/>
      <c r="SKH38" s="372"/>
      <c r="SKI38" s="372"/>
      <c r="SKJ38" s="372"/>
      <c r="SKK38" s="372"/>
      <c r="SKL38" s="372"/>
      <c r="SKM38" s="372"/>
      <c r="SKN38" s="372"/>
      <c r="SKO38" s="372"/>
      <c r="SKP38" s="372"/>
      <c r="SKQ38" s="372"/>
      <c r="SKR38" s="372"/>
      <c r="SKS38" s="372"/>
      <c r="SKT38" s="372"/>
      <c r="SKU38" s="372"/>
      <c r="SKV38" s="372"/>
      <c r="SKW38" s="372"/>
      <c r="SKX38" s="372"/>
      <c r="SKY38" s="372"/>
      <c r="SKZ38" s="372"/>
      <c r="SLA38" s="372"/>
      <c r="SLB38" s="372"/>
      <c r="SLC38" s="372"/>
      <c r="SLD38" s="372"/>
      <c r="SLE38" s="372"/>
      <c r="SLF38" s="372"/>
      <c r="SLG38" s="372"/>
      <c r="SLH38" s="372"/>
      <c r="SLI38" s="372"/>
      <c r="SLJ38" s="372"/>
      <c r="SLK38" s="372"/>
      <c r="SLL38" s="372"/>
      <c r="SLM38" s="372"/>
      <c r="SLN38" s="372"/>
      <c r="SLO38" s="372"/>
      <c r="SLP38" s="372"/>
      <c r="SLQ38" s="372"/>
      <c r="SLR38" s="372"/>
      <c r="SLS38" s="372"/>
      <c r="SLT38" s="372"/>
      <c r="SLU38" s="372"/>
      <c r="SLV38" s="372"/>
      <c r="SLW38" s="372"/>
      <c r="SLX38" s="372"/>
      <c r="SLY38" s="372"/>
      <c r="SLZ38" s="372"/>
      <c r="SMA38" s="372"/>
      <c r="SMB38" s="372"/>
      <c r="SMC38" s="372"/>
      <c r="SMD38" s="372"/>
      <c r="SME38" s="372"/>
      <c r="SMF38" s="372"/>
      <c r="SMG38" s="372"/>
      <c r="SMH38" s="372"/>
      <c r="SMI38" s="372"/>
      <c r="SMJ38" s="372"/>
      <c r="SMK38" s="372"/>
      <c r="SML38" s="372"/>
      <c r="SMM38" s="372"/>
      <c r="SMN38" s="372"/>
      <c r="SMO38" s="372"/>
      <c r="SMP38" s="372"/>
      <c r="SMQ38" s="372"/>
      <c r="SMR38" s="372"/>
      <c r="SMS38" s="372"/>
      <c r="SMT38" s="372"/>
      <c r="SMU38" s="372"/>
      <c r="SMV38" s="372"/>
      <c r="SMW38" s="372"/>
      <c r="SMX38" s="372"/>
      <c r="SMY38" s="372"/>
      <c r="SMZ38" s="372"/>
      <c r="SNA38" s="372"/>
      <c r="SNB38" s="372"/>
      <c r="SNC38" s="372"/>
      <c r="SND38" s="372"/>
      <c r="SNE38" s="372"/>
      <c r="SNF38" s="372"/>
      <c r="SNG38" s="372"/>
      <c r="SNH38" s="372"/>
      <c r="SNI38" s="372"/>
      <c r="SNJ38" s="372"/>
      <c r="SNK38" s="372"/>
      <c r="SNL38" s="372"/>
      <c r="SNM38" s="372"/>
      <c r="SNN38" s="372"/>
      <c r="SNO38" s="372"/>
      <c r="SNP38" s="372"/>
      <c r="SNQ38" s="372"/>
      <c r="SNR38" s="372"/>
      <c r="SNS38" s="372"/>
      <c r="SNT38" s="372"/>
      <c r="SNU38" s="372"/>
      <c r="SNV38" s="372"/>
      <c r="SNW38" s="372"/>
      <c r="SNX38" s="372"/>
      <c r="SNY38" s="372"/>
      <c r="SNZ38" s="372"/>
      <c r="SOA38" s="372"/>
      <c r="SOB38" s="372"/>
      <c r="SOC38" s="372"/>
      <c r="SOD38" s="372"/>
      <c r="SOE38" s="372"/>
      <c r="SOF38" s="372"/>
      <c r="SOG38" s="372"/>
      <c r="SOH38" s="372"/>
      <c r="SOI38" s="372"/>
      <c r="SOJ38" s="372"/>
      <c r="SOK38" s="372"/>
      <c r="SOL38" s="372"/>
      <c r="SOM38" s="372"/>
      <c r="SON38" s="372"/>
      <c r="SOO38" s="372"/>
      <c r="SOP38" s="372"/>
      <c r="SOQ38" s="372"/>
      <c r="SOR38" s="372"/>
      <c r="SOS38" s="372"/>
      <c r="SOT38" s="372"/>
      <c r="SOU38" s="372"/>
      <c r="SOV38" s="372"/>
      <c r="SOW38" s="372"/>
      <c r="SOX38" s="372"/>
      <c r="SOY38" s="372"/>
      <c r="SOZ38" s="372"/>
      <c r="SPA38" s="372"/>
      <c r="SPB38" s="372"/>
      <c r="SPC38" s="372"/>
      <c r="SPD38" s="372"/>
      <c r="SPE38" s="372"/>
      <c r="SPF38" s="372"/>
      <c r="SPG38" s="372"/>
      <c r="SPH38" s="372"/>
      <c r="SPI38" s="372"/>
      <c r="SPJ38" s="372"/>
      <c r="SPK38" s="372"/>
      <c r="SPL38" s="372"/>
      <c r="SPM38" s="372"/>
      <c r="SPN38" s="372"/>
      <c r="SPO38" s="372"/>
      <c r="SPP38" s="372"/>
      <c r="SPQ38" s="372"/>
      <c r="SPR38" s="372"/>
      <c r="SPS38" s="372"/>
      <c r="SPT38" s="372"/>
      <c r="SPU38" s="372"/>
      <c r="SPV38" s="372"/>
      <c r="SPW38" s="372"/>
      <c r="SPX38" s="372"/>
      <c r="SPY38" s="372"/>
      <c r="SPZ38" s="372"/>
      <c r="SQA38" s="372"/>
      <c r="SQB38" s="372"/>
      <c r="SQC38" s="372"/>
      <c r="SQD38" s="372"/>
      <c r="SQE38" s="372"/>
      <c r="SQF38" s="372"/>
      <c r="SQG38" s="372"/>
      <c r="SQH38" s="372"/>
      <c r="SQI38" s="372"/>
      <c r="SQJ38" s="372"/>
      <c r="SQK38" s="372"/>
      <c r="SQL38" s="372"/>
      <c r="SQM38" s="372"/>
      <c r="SQN38" s="372"/>
      <c r="SQO38" s="372"/>
      <c r="SQP38" s="372"/>
      <c r="SQQ38" s="372"/>
      <c r="SQR38" s="372"/>
      <c r="SQS38" s="372"/>
      <c r="SQT38" s="372"/>
      <c r="SQU38" s="372"/>
      <c r="SQV38" s="372"/>
      <c r="SQW38" s="372"/>
      <c r="SQX38" s="372"/>
      <c r="SQY38" s="372"/>
      <c r="SQZ38" s="372"/>
      <c r="SRA38" s="372"/>
      <c r="SRB38" s="372"/>
      <c r="SRC38" s="372"/>
      <c r="SRD38" s="372"/>
      <c r="SRE38" s="372"/>
      <c r="SRF38" s="372"/>
      <c r="SRG38" s="372"/>
      <c r="SRH38" s="372"/>
      <c r="SRI38" s="372"/>
      <c r="SRJ38" s="372"/>
      <c r="SRK38" s="372"/>
      <c r="SRL38" s="372"/>
      <c r="SRM38" s="372"/>
      <c r="SRN38" s="372"/>
      <c r="SRO38" s="372"/>
      <c r="SRP38" s="372"/>
      <c r="SRQ38" s="372"/>
      <c r="SRR38" s="372"/>
      <c r="SRS38" s="372"/>
      <c r="SRT38" s="372"/>
      <c r="SRU38" s="372"/>
      <c r="SRV38" s="372"/>
      <c r="SRW38" s="372"/>
      <c r="SRX38" s="372"/>
      <c r="SRY38" s="372"/>
      <c r="SRZ38" s="372"/>
      <c r="SSA38" s="372"/>
      <c r="SSB38" s="372"/>
      <c r="SSC38" s="372"/>
      <c r="SSD38" s="372"/>
      <c r="SSE38" s="372"/>
      <c r="SSF38" s="372"/>
      <c r="SSG38" s="372"/>
      <c r="SSH38" s="372"/>
      <c r="SSI38" s="372"/>
      <c r="SSJ38" s="372"/>
      <c r="SSK38" s="372"/>
      <c r="SSL38" s="372"/>
      <c r="SSM38" s="372"/>
      <c r="SSN38" s="372"/>
      <c r="SSO38" s="372"/>
      <c r="SSP38" s="372"/>
      <c r="SSQ38" s="372"/>
      <c r="SSR38" s="372"/>
      <c r="SSS38" s="372"/>
      <c r="SST38" s="372"/>
      <c r="SSU38" s="372"/>
      <c r="SSV38" s="372"/>
      <c r="SSW38" s="372"/>
      <c r="SSX38" s="372"/>
      <c r="SSY38" s="372"/>
      <c r="SSZ38" s="372"/>
      <c r="STA38" s="372"/>
      <c r="STB38" s="372"/>
      <c r="STC38" s="372"/>
      <c r="STD38" s="372"/>
      <c r="STE38" s="372"/>
      <c r="STF38" s="372"/>
      <c r="STG38" s="372"/>
      <c r="STH38" s="372"/>
      <c r="STI38" s="372"/>
      <c r="STJ38" s="372"/>
      <c r="STK38" s="372"/>
      <c r="STL38" s="372"/>
      <c r="STM38" s="372"/>
      <c r="STN38" s="372"/>
      <c r="STO38" s="372"/>
      <c r="STP38" s="372"/>
      <c r="STQ38" s="372"/>
      <c r="STR38" s="372"/>
      <c r="STS38" s="372"/>
      <c r="STT38" s="372"/>
      <c r="STU38" s="372"/>
      <c r="STV38" s="372"/>
      <c r="STW38" s="372"/>
      <c r="STX38" s="372"/>
      <c r="STY38" s="372"/>
      <c r="STZ38" s="372"/>
      <c r="SUA38" s="372"/>
      <c r="SUB38" s="372"/>
      <c r="SUC38" s="372"/>
      <c r="SUD38" s="372"/>
      <c r="SUE38" s="372"/>
      <c r="SUF38" s="372"/>
      <c r="SUG38" s="372"/>
      <c r="SUH38" s="372"/>
      <c r="SUI38" s="372"/>
      <c r="SUJ38" s="372"/>
      <c r="SUK38" s="372"/>
      <c r="SUL38" s="372"/>
      <c r="SUM38" s="372"/>
      <c r="SUN38" s="372"/>
      <c r="SUO38" s="372"/>
      <c r="SUP38" s="372"/>
      <c r="SUQ38" s="372"/>
      <c r="SUR38" s="372"/>
      <c r="SUS38" s="372"/>
      <c r="SUT38" s="372"/>
      <c r="SUU38" s="372"/>
      <c r="SUV38" s="372"/>
      <c r="SUW38" s="372"/>
      <c r="SUX38" s="372"/>
      <c r="SUY38" s="372"/>
      <c r="SUZ38" s="372"/>
      <c r="SVA38" s="372"/>
      <c r="SVB38" s="372"/>
      <c r="SVC38" s="372"/>
      <c r="SVD38" s="372"/>
      <c r="SVE38" s="372"/>
      <c r="SVF38" s="372"/>
      <c r="SVG38" s="372"/>
      <c r="SVH38" s="372"/>
      <c r="SVI38" s="372"/>
      <c r="SVJ38" s="372"/>
      <c r="SVK38" s="372"/>
      <c r="SVL38" s="372"/>
      <c r="SVM38" s="372"/>
      <c r="SVN38" s="372"/>
      <c r="SVO38" s="372"/>
      <c r="SVP38" s="372"/>
      <c r="SVQ38" s="372"/>
      <c r="SVR38" s="372"/>
      <c r="SVS38" s="372"/>
      <c r="SVT38" s="372"/>
      <c r="SVU38" s="372"/>
      <c r="SVV38" s="372"/>
      <c r="SVW38" s="372"/>
      <c r="SVX38" s="372"/>
      <c r="SVY38" s="372"/>
      <c r="SVZ38" s="372"/>
      <c r="SWA38" s="372"/>
      <c r="SWB38" s="372"/>
      <c r="SWC38" s="372"/>
      <c r="SWD38" s="372"/>
      <c r="SWE38" s="372"/>
      <c r="SWF38" s="372"/>
      <c r="SWG38" s="372"/>
      <c r="SWH38" s="372"/>
      <c r="SWI38" s="372"/>
      <c r="SWJ38" s="372"/>
      <c r="SWK38" s="372"/>
      <c r="SWL38" s="372"/>
      <c r="SWM38" s="372"/>
      <c r="SWN38" s="372"/>
      <c r="SWO38" s="372"/>
      <c r="SWP38" s="372"/>
      <c r="SWQ38" s="372"/>
      <c r="SWR38" s="372"/>
      <c r="SWS38" s="372"/>
      <c r="SWT38" s="372"/>
      <c r="SWU38" s="372"/>
      <c r="SWV38" s="372"/>
      <c r="SWW38" s="372"/>
      <c r="SWX38" s="372"/>
      <c r="SWY38" s="372"/>
      <c r="SWZ38" s="372"/>
      <c r="SXA38" s="372"/>
      <c r="SXB38" s="372"/>
      <c r="SXC38" s="372"/>
      <c r="SXD38" s="372"/>
      <c r="SXE38" s="372"/>
      <c r="SXF38" s="372"/>
      <c r="SXG38" s="372"/>
      <c r="SXH38" s="372"/>
      <c r="SXI38" s="372"/>
      <c r="SXJ38" s="372"/>
      <c r="SXK38" s="372"/>
      <c r="SXL38" s="372"/>
      <c r="SXM38" s="372"/>
      <c r="SXN38" s="372"/>
      <c r="SXO38" s="372"/>
      <c r="SXP38" s="372"/>
      <c r="SXQ38" s="372"/>
      <c r="SXR38" s="372"/>
      <c r="SXS38" s="372"/>
      <c r="SXT38" s="372"/>
      <c r="SXU38" s="372"/>
      <c r="SXV38" s="372"/>
      <c r="SXW38" s="372"/>
      <c r="SXX38" s="372"/>
      <c r="SXY38" s="372"/>
      <c r="SXZ38" s="372"/>
      <c r="SYA38" s="372"/>
      <c r="SYB38" s="372"/>
      <c r="SYC38" s="372"/>
      <c r="SYD38" s="372"/>
      <c r="SYE38" s="372"/>
      <c r="SYF38" s="372"/>
      <c r="SYG38" s="372"/>
      <c r="SYH38" s="372"/>
      <c r="SYI38" s="372"/>
      <c r="SYJ38" s="372"/>
      <c r="SYK38" s="372"/>
      <c r="SYL38" s="372"/>
      <c r="SYM38" s="372"/>
      <c r="SYN38" s="372"/>
      <c r="SYO38" s="372"/>
      <c r="SYP38" s="372"/>
      <c r="SYQ38" s="372"/>
      <c r="SYR38" s="372"/>
      <c r="SYS38" s="372"/>
      <c r="SYT38" s="372"/>
      <c r="SYU38" s="372"/>
      <c r="SYV38" s="372"/>
      <c r="SYW38" s="372"/>
      <c r="SYX38" s="372"/>
      <c r="SYY38" s="372"/>
      <c r="SYZ38" s="372"/>
      <c r="SZA38" s="372"/>
      <c r="SZB38" s="372"/>
      <c r="SZC38" s="372"/>
      <c r="SZD38" s="372"/>
      <c r="SZE38" s="372"/>
      <c r="SZF38" s="372"/>
      <c r="SZG38" s="372"/>
      <c r="SZH38" s="372"/>
      <c r="SZI38" s="372"/>
      <c r="SZJ38" s="372"/>
      <c r="SZK38" s="372"/>
      <c r="SZL38" s="372"/>
      <c r="SZM38" s="372"/>
      <c r="SZN38" s="372"/>
      <c r="SZO38" s="372"/>
      <c r="SZP38" s="372"/>
      <c r="SZQ38" s="372"/>
      <c r="SZR38" s="372"/>
      <c r="SZS38" s="372"/>
      <c r="SZT38" s="372"/>
      <c r="SZU38" s="372"/>
      <c r="SZV38" s="372"/>
      <c r="SZW38" s="372"/>
      <c r="SZX38" s="372"/>
      <c r="SZY38" s="372"/>
      <c r="SZZ38" s="372"/>
      <c r="TAA38" s="372"/>
      <c r="TAB38" s="372"/>
      <c r="TAC38" s="372"/>
      <c r="TAD38" s="372"/>
      <c r="TAE38" s="372"/>
      <c r="TAF38" s="372"/>
      <c r="TAG38" s="372"/>
      <c r="TAH38" s="372"/>
      <c r="TAI38" s="372"/>
      <c r="TAJ38" s="372"/>
      <c r="TAK38" s="372"/>
      <c r="TAL38" s="372"/>
      <c r="TAM38" s="372"/>
      <c r="TAN38" s="372"/>
      <c r="TAO38" s="372"/>
      <c r="TAP38" s="372"/>
      <c r="TAQ38" s="372"/>
      <c r="TAR38" s="372"/>
      <c r="TAS38" s="372"/>
      <c r="TAT38" s="372"/>
      <c r="TAU38" s="372"/>
      <c r="TAV38" s="372"/>
      <c r="TAW38" s="372"/>
      <c r="TAX38" s="372"/>
      <c r="TAY38" s="372"/>
      <c r="TAZ38" s="372"/>
      <c r="TBA38" s="372"/>
      <c r="TBB38" s="372"/>
      <c r="TBC38" s="372"/>
      <c r="TBD38" s="372"/>
      <c r="TBE38" s="372"/>
      <c r="TBF38" s="372"/>
      <c r="TBG38" s="372"/>
      <c r="TBH38" s="372"/>
      <c r="TBI38" s="372"/>
      <c r="TBJ38" s="372"/>
      <c r="TBK38" s="372"/>
      <c r="TBL38" s="372"/>
      <c r="TBM38" s="372"/>
      <c r="TBN38" s="372"/>
      <c r="TBO38" s="372"/>
      <c r="TBP38" s="372"/>
      <c r="TBQ38" s="372"/>
      <c r="TBR38" s="372"/>
      <c r="TBS38" s="372"/>
      <c r="TBT38" s="372"/>
      <c r="TBU38" s="372"/>
      <c r="TBV38" s="372"/>
      <c r="TBW38" s="372"/>
      <c r="TBX38" s="372"/>
      <c r="TBY38" s="372"/>
      <c r="TBZ38" s="372"/>
      <c r="TCA38" s="372"/>
      <c r="TCB38" s="372"/>
      <c r="TCC38" s="372"/>
      <c r="TCD38" s="372"/>
      <c r="TCE38" s="372"/>
      <c r="TCF38" s="372"/>
      <c r="TCG38" s="372"/>
      <c r="TCH38" s="372"/>
      <c r="TCI38" s="372"/>
      <c r="TCJ38" s="372"/>
      <c r="TCK38" s="372"/>
      <c r="TCL38" s="372"/>
      <c r="TCM38" s="372"/>
      <c r="TCN38" s="372"/>
      <c r="TCO38" s="372"/>
      <c r="TCP38" s="372"/>
      <c r="TCQ38" s="372"/>
      <c r="TCR38" s="372"/>
      <c r="TCS38" s="372"/>
      <c r="TCT38" s="372"/>
      <c r="TCU38" s="372"/>
      <c r="TCV38" s="372"/>
      <c r="TCW38" s="372"/>
      <c r="TCX38" s="372"/>
      <c r="TCY38" s="372"/>
      <c r="TCZ38" s="372"/>
      <c r="TDA38" s="372"/>
      <c r="TDB38" s="372"/>
      <c r="TDC38" s="372"/>
      <c r="TDD38" s="372"/>
      <c r="TDE38" s="372"/>
      <c r="TDF38" s="372"/>
      <c r="TDG38" s="372"/>
      <c r="TDH38" s="372"/>
      <c r="TDI38" s="372"/>
      <c r="TDJ38" s="372"/>
      <c r="TDK38" s="372"/>
      <c r="TDL38" s="372"/>
      <c r="TDM38" s="372"/>
      <c r="TDN38" s="372"/>
      <c r="TDO38" s="372"/>
      <c r="TDP38" s="372"/>
      <c r="TDQ38" s="372"/>
      <c r="TDR38" s="372"/>
      <c r="TDS38" s="372"/>
      <c r="TDT38" s="372"/>
      <c r="TDU38" s="372"/>
      <c r="TDV38" s="372"/>
      <c r="TDW38" s="372"/>
      <c r="TDX38" s="372"/>
      <c r="TDY38" s="372"/>
      <c r="TDZ38" s="372"/>
      <c r="TEA38" s="372"/>
      <c r="TEB38" s="372"/>
      <c r="TEC38" s="372"/>
      <c r="TED38" s="372"/>
      <c r="TEE38" s="372"/>
      <c r="TEF38" s="372"/>
      <c r="TEG38" s="372"/>
      <c r="TEH38" s="372"/>
      <c r="TEI38" s="372"/>
      <c r="TEJ38" s="372"/>
      <c r="TEK38" s="372"/>
      <c r="TEL38" s="372"/>
      <c r="TEM38" s="372"/>
      <c r="TEN38" s="372"/>
      <c r="TEO38" s="372"/>
      <c r="TEP38" s="372"/>
      <c r="TEQ38" s="372"/>
      <c r="TER38" s="372"/>
      <c r="TES38" s="372"/>
      <c r="TET38" s="372"/>
      <c r="TEU38" s="372"/>
      <c r="TEV38" s="372"/>
      <c r="TEW38" s="372"/>
      <c r="TEX38" s="372"/>
      <c r="TEY38" s="372"/>
      <c r="TEZ38" s="372"/>
      <c r="TFA38" s="372"/>
      <c r="TFB38" s="372"/>
      <c r="TFC38" s="372"/>
      <c r="TFD38" s="372"/>
      <c r="TFE38" s="372"/>
      <c r="TFF38" s="372"/>
      <c r="TFG38" s="372"/>
      <c r="TFH38" s="372"/>
      <c r="TFI38" s="372"/>
      <c r="TFJ38" s="372"/>
      <c r="TFK38" s="372"/>
      <c r="TFL38" s="372"/>
      <c r="TFM38" s="372"/>
      <c r="TFN38" s="372"/>
      <c r="TFO38" s="372"/>
      <c r="TFP38" s="372"/>
      <c r="TFQ38" s="372"/>
      <c r="TFR38" s="372"/>
      <c r="TFS38" s="372"/>
      <c r="TFT38" s="372"/>
      <c r="TFU38" s="372"/>
      <c r="TFV38" s="372"/>
      <c r="TFW38" s="372"/>
      <c r="TFX38" s="372"/>
      <c r="TFY38" s="372"/>
      <c r="TFZ38" s="372"/>
      <c r="TGA38" s="372"/>
      <c r="TGB38" s="372"/>
      <c r="TGC38" s="372"/>
      <c r="TGD38" s="372"/>
      <c r="TGE38" s="372"/>
      <c r="TGF38" s="372"/>
      <c r="TGG38" s="372"/>
      <c r="TGH38" s="372"/>
      <c r="TGI38" s="372"/>
      <c r="TGJ38" s="372"/>
      <c r="TGK38" s="372"/>
      <c r="TGL38" s="372"/>
      <c r="TGM38" s="372"/>
      <c r="TGN38" s="372"/>
      <c r="TGO38" s="372"/>
      <c r="TGP38" s="372"/>
      <c r="TGQ38" s="372"/>
      <c r="TGR38" s="372"/>
      <c r="TGS38" s="372"/>
      <c r="TGT38" s="372"/>
      <c r="TGU38" s="372"/>
      <c r="TGV38" s="372"/>
      <c r="TGW38" s="372"/>
      <c r="TGX38" s="372"/>
      <c r="TGY38" s="372"/>
      <c r="TGZ38" s="372"/>
      <c r="THA38" s="372"/>
      <c r="THB38" s="372"/>
      <c r="THC38" s="372"/>
      <c r="THD38" s="372"/>
      <c r="THE38" s="372"/>
      <c r="THF38" s="372"/>
      <c r="THG38" s="372"/>
      <c r="THH38" s="372"/>
      <c r="THI38" s="372"/>
      <c r="THJ38" s="372"/>
      <c r="THK38" s="372"/>
      <c r="THL38" s="372"/>
      <c r="THM38" s="372"/>
      <c r="THN38" s="372"/>
      <c r="THO38" s="372"/>
      <c r="THP38" s="372"/>
      <c r="THQ38" s="372"/>
      <c r="THR38" s="372"/>
      <c r="THS38" s="372"/>
      <c r="THT38" s="372"/>
      <c r="THU38" s="372"/>
      <c r="THV38" s="372"/>
      <c r="THW38" s="372"/>
      <c r="THX38" s="372"/>
      <c r="THY38" s="372"/>
      <c r="THZ38" s="372"/>
      <c r="TIA38" s="372"/>
      <c r="TIB38" s="372"/>
      <c r="TIC38" s="372"/>
      <c r="TID38" s="372"/>
      <c r="TIE38" s="372"/>
      <c r="TIF38" s="372"/>
      <c r="TIG38" s="372"/>
      <c r="TIH38" s="372"/>
      <c r="TII38" s="372"/>
      <c r="TIJ38" s="372"/>
      <c r="TIK38" s="372"/>
      <c r="TIL38" s="372"/>
      <c r="TIM38" s="372"/>
      <c r="TIN38" s="372"/>
      <c r="TIO38" s="372"/>
      <c r="TIP38" s="372"/>
      <c r="TIQ38" s="372"/>
      <c r="TIR38" s="372"/>
      <c r="TIS38" s="372"/>
      <c r="TIT38" s="372"/>
      <c r="TIU38" s="372"/>
      <c r="TIV38" s="372"/>
      <c r="TIW38" s="372"/>
      <c r="TIX38" s="372"/>
      <c r="TIY38" s="372"/>
      <c r="TIZ38" s="372"/>
      <c r="TJA38" s="372"/>
      <c r="TJB38" s="372"/>
      <c r="TJC38" s="372"/>
      <c r="TJD38" s="372"/>
      <c r="TJE38" s="372"/>
      <c r="TJF38" s="372"/>
      <c r="TJG38" s="372"/>
      <c r="TJH38" s="372"/>
      <c r="TJI38" s="372"/>
      <c r="TJJ38" s="372"/>
      <c r="TJK38" s="372"/>
      <c r="TJL38" s="372"/>
      <c r="TJM38" s="372"/>
      <c r="TJN38" s="372"/>
      <c r="TJO38" s="372"/>
      <c r="TJP38" s="372"/>
      <c r="TJQ38" s="372"/>
      <c r="TJR38" s="372"/>
      <c r="TJS38" s="372"/>
      <c r="TJT38" s="372"/>
      <c r="TJU38" s="372"/>
      <c r="TJV38" s="372"/>
      <c r="TJW38" s="372"/>
      <c r="TJX38" s="372"/>
      <c r="TJY38" s="372"/>
      <c r="TJZ38" s="372"/>
      <c r="TKA38" s="372"/>
      <c r="TKB38" s="372"/>
      <c r="TKC38" s="372"/>
      <c r="TKD38" s="372"/>
      <c r="TKE38" s="372"/>
      <c r="TKF38" s="372"/>
      <c r="TKG38" s="372"/>
      <c r="TKH38" s="372"/>
      <c r="TKI38" s="372"/>
      <c r="TKJ38" s="372"/>
      <c r="TKK38" s="372"/>
      <c r="TKL38" s="372"/>
      <c r="TKM38" s="372"/>
      <c r="TKN38" s="372"/>
      <c r="TKO38" s="372"/>
      <c r="TKP38" s="372"/>
      <c r="TKQ38" s="372"/>
      <c r="TKR38" s="372"/>
      <c r="TKS38" s="372"/>
      <c r="TKT38" s="372"/>
      <c r="TKU38" s="372"/>
      <c r="TKV38" s="372"/>
      <c r="TKW38" s="372"/>
      <c r="TKX38" s="372"/>
      <c r="TKY38" s="372"/>
      <c r="TKZ38" s="372"/>
      <c r="TLA38" s="372"/>
      <c r="TLB38" s="372"/>
      <c r="TLC38" s="372"/>
      <c r="TLD38" s="372"/>
      <c r="TLE38" s="372"/>
      <c r="TLF38" s="372"/>
      <c r="TLG38" s="372"/>
      <c r="TLH38" s="372"/>
      <c r="TLI38" s="372"/>
      <c r="TLJ38" s="372"/>
      <c r="TLK38" s="372"/>
      <c r="TLL38" s="372"/>
      <c r="TLM38" s="372"/>
      <c r="TLN38" s="372"/>
      <c r="TLO38" s="372"/>
      <c r="TLP38" s="372"/>
      <c r="TLQ38" s="372"/>
      <c r="TLR38" s="372"/>
      <c r="TLS38" s="372"/>
      <c r="TLT38" s="372"/>
      <c r="TLU38" s="372"/>
      <c r="TLV38" s="372"/>
      <c r="TLW38" s="372"/>
      <c r="TLX38" s="372"/>
      <c r="TLY38" s="372"/>
      <c r="TLZ38" s="372"/>
      <c r="TMA38" s="372"/>
      <c r="TMB38" s="372"/>
      <c r="TMC38" s="372"/>
      <c r="TMD38" s="372"/>
      <c r="TME38" s="372"/>
      <c r="TMF38" s="372"/>
      <c r="TMG38" s="372"/>
      <c r="TMH38" s="372"/>
      <c r="TMI38" s="372"/>
      <c r="TMJ38" s="372"/>
      <c r="TMK38" s="372"/>
      <c r="TML38" s="372"/>
      <c r="TMM38" s="372"/>
      <c r="TMN38" s="372"/>
      <c r="TMO38" s="372"/>
      <c r="TMP38" s="372"/>
      <c r="TMQ38" s="372"/>
      <c r="TMR38" s="372"/>
      <c r="TMS38" s="372"/>
      <c r="TMT38" s="372"/>
      <c r="TMU38" s="372"/>
      <c r="TMV38" s="372"/>
      <c r="TMW38" s="372"/>
      <c r="TMX38" s="372"/>
      <c r="TMY38" s="372"/>
      <c r="TMZ38" s="372"/>
      <c r="TNA38" s="372"/>
      <c r="TNB38" s="372"/>
      <c r="TNC38" s="372"/>
      <c r="TND38" s="372"/>
      <c r="TNE38" s="372"/>
      <c r="TNF38" s="372"/>
      <c r="TNG38" s="372"/>
      <c r="TNH38" s="372"/>
      <c r="TNI38" s="372"/>
      <c r="TNJ38" s="372"/>
      <c r="TNK38" s="372"/>
      <c r="TNL38" s="372"/>
      <c r="TNM38" s="372"/>
      <c r="TNN38" s="372"/>
      <c r="TNO38" s="372"/>
      <c r="TNP38" s="372"/>
      <c r="TNQ38" s="372"/>
      <c r="TNR38" s="372"/>
      <c r="TNS38" s="372"/>
      <c r="TNT38" s="372"/>
      <c r="TNU38" s="372"/>
      <c r="TNV38" s="372"/>
      <c r="TNW38" s="372"/>
      <c r="TNX38" s="372"/>
      <c r="TNY38" s="372"/>
      <c r="TNZ38" s="372"/>
      <c r="TOA38" s="372"/>
      <c r="TOB38" s="372"/>
      <c r="TOC38" s="372"/>
      <c r="TOD38" s="372"/>
      <c r="TOE38" s="372"/>
      <c r="TOF38" s="372"/>
      <c r="TOG38" s="372"/>
      <c r="TOH38" s="372"/>
      <c r="TOI38" s="372"/>
      <c r="TOJ38" s="372"/>
      <c r="TOK38" s="372"/>
      <c r="TOL38" s="372"/>
      <c r="TOM38" s="372"/>
      <c r="TON38" s="372"/>
      <c r="TOO38" s="372"/>
      <c r="TOP38" s="372"/>
      <c r="TOQ38" s="372"/>
      <c r="TOR38" s="372"/>
      <c r="TOS38" s="372"/>
      <c r="TOT38" s="372"/>
      <c r="TOU38" s="372"/>
      <c r="TOV38" s="372"/>
      <c r="TOW38" s="372"/>
      <c r="TOX38" s="372"/>
      <c r="TOY38" s="372"/>
      <c r="TOZ38" s="372"/>
      <c r="TPA38" s="372"/>
      <c r="TPB38" s="372"/>
      <c r="TPC38" s="372"/>
      <c r="TPD38" s="372"/>
      <c r="TPE38" s="372"/>
      <c r="TPF38" s="372"/>
      <c r="TPG38" s="372"/>
      <c r="TPH38" s="372"/>
      <c r="TPI38" s="372"/>
      <c r="TPJ38" s="372"/>
      <c r="TPK38" s="372"/>
      <c r="TPL38" s="372"/>
      <c r="TPM38" s="372"/>
      <c r="TPN38" s="372"/>
      <c r="TPO38" s="372"/>
      <c r="TPP38" s="372"/>
      <c r="TPQ38" s="372"/>
      <c r="TPR38" s="372"/>
      <c r="TPS38" s="372"/>
      <c r="TPT38" s="372"/>
      <c r="TPU38" s="372"/>
      <c r="TPV38" s="372"/>
      <c r="TPW38" s="372"/>
      <c r="TPX38" s="372"/>
      <c r="TPY38" s="372"/>
      <c r="TPZ38" s="372"/>
      <c r="TQA38" s="372"/>
      <c r="TQB38" s="372"/>
      <c r="TQC38" s="372"/>
      <c r="TQD38" s="372"/>
      <c r="TQE38" s="372"/>
      <c r="TQF38" s="372"/>
      <c r="TQG38" s="372"/>
      <c r="TQH38" s="372"/>
      <c r="TQI38" s="372"/>
      <c r="TQJ38" s="372"/>
      <c r="TQK38" s="372"/>
      <c r="TQL38" s="372"/>
      <c r="TQM38" s="372"/>
      <c r="TQN38" s="372"/>
      <c r="TQO38" s="372"/>
      <c r="TQP38" s="372"/>
      <c r="TQQ38" s="372"/>
      <c r="TQR38" s="372"/>
      <c r="TQS38" s="372"/>
      <c r="TQT38" s="372"/>
      <c r="TQU38" s="372"/>
      <c r="TQV38" s="372"/>
      <c r="TQW38" s="372"/>
      <c r="TQX38" s="372"/>
      <c r="TQY38" s="372"/>
      <c r="TQZ38" s="372"/>
      <c r="TRA38" s="372"/>
      <c r="TRB38" s="372"/>
      <c r="TRC38" s="372"/>
      <c r="TRD38" s="372"/>
      <c r="TRE38" s="372"/>
      <c r="TRF38" s="372"/>
      <c r="TRG38" s="372"/>
      <c r="TRH38" s="372"/>
      <c r="TRI38" s="372"/>
      <c r="TRJ38" s="372"/>
      <c r="TRK38" s="372"/>
      <c r="TRL38" s="372"/>
      <c r="TRM38" s="372"/>
      <c r="TRN38" s="372"/>
      <c r="TRO38" s="372"/>
      <c r="TRP38" s="372"/>
      <c r="TRQ38" s="372"/>
      <c r="TRR38" s="372"/>
      <c r="TRS38" s="372"/>
      <c r="TRT38" s="372"/>
      <c r="TRU38" s="372"/>
      <c r="TRV38" s="372"/>
      <c r="TRW38" s="372"/>
      <c r="TRX38" s="372"/>
      <c r="TRY38" s="372"/>
      <c r="TRZ38" s="372"/>
      <c r="TSA38" s="372"/>
      <c r="TSB38" s="372"/>
      <c r="TSC38" s="372"/>
      <c r="TSD38" s="372"/>
      <c r="TSE38" s="372"/>
      <c r="TSF38" s="372"/>
      <c r="TSG38" s="372"/>
      <c r="TSH38" s="372"/>
      <c r="TSI38" s="372"/>
      <c r="TSJ38" s="372"/>
      <c r="TSK38" s="372"/>
      <c r="TSL38" s="372"/>
      <c r="TSM38" s="372"/>
      <c r="TSN38" s="372"/>
      <c r="TSO38" s="372"/>
      <c r="TSP38" s="372"/>
      <c r="TSQ38" s="372"/>
      <c r="TSR38" s="372"/>
      <c r="TSS38" s="372"/>
      <c r="TST38" s="372"/>
      <c r="TSU38" s="372"/>
      <c r="TSV38" s="372"/>
      <c r="TSW38" s="372"/>
      <c r="TSX38" s="372"/>
      <c r="TSY38" s="372"/>
      <c r="TSZ38" s="372"/>
      <c r="TTA38" s="372"/>
      <c r="TTB38" s="372"/>
      <c r="TTC38" s="372"/>
      <c r="TTD38" s="372"/>
      <c r="TTE38" s="372"/>
      <c r="TTF38" s="372"/>
      <c r="TTG38" s="372"/>
      <c r="TTH38" s="372"/>
      <c r="TTI38" s="372"/>
      <c r="TTJ38" s="372"/>
      <c r="TTK38" s="372"/>
      <c r="TTL38" s="372"/>
      <c r="TTM38" s="372"/>
      <c r="TTN38" s="372"/>
      <c r="TTO38" s="372"/>
      <c r="TTP38" s="372"/>
      <c r="TTQ38" s="372"/>
      <c r="TTR38" s="372"/>
      <c r="TTS38" s="372"/>
      <c r="TTT38" s="372"/>
      <c r="TTU38" s="372"/>
      <c r="TTV38" s="372"/>
      <c r="TTW38" s="372"/>
      <c r="TTX38" s="372"/>
      <c r="TTY38" s="372"/>
      <c r="TTZ38" s="372"/>
      <c r="TUA38" s="372"/>
      <c r="TUB38" s="372"/>
      <c r="TUC38" s="372"/>
      <c r="TUD38" s="372"/>
      <c r="TUE38" s="372"/>
      <c r="TUF38" s="372"/>
      <c r="TUG38" s="372"/>
      <c r="TUH38" s="372"/>
      <c r="TUI38" s="372"/>
      <c r="TUJ38" s="372"/>
      <c r="TUK38" s="372"/>
      <c r="TUL38" s="372"/>
      <c r="TUM38" s="372"/>
      <c r="TUN38" s="372"/>
      <c r="TUO38" s="372"/>
      <c r="TUP38" s="372"/>
      <c r="TUQ38" s="372"/>
      <c r="TUR38" s="372"/>
      <c r="TUS38" s="372"/>
      <c r="TUT38" s="372"/>
      <c r="TUU38" s="372"/>
      <c r="TUV38" s="372"/>
      <c r="TUW38" s="372"/>
      <c r="TUX38" s="372"/>
      <c r="TUY38" s="372"/>
      <c r="TUZ38" s="372"/>
      <c r="TVA38" s="372"/>
      <c r="TVB38" s="372"/>
      <c r="TVC38" s="372"/>
      <c r="TVD38" s="372"/>
      <c r="TVE38" s="372"/>
      <c r="TVF38" s="372"/>
      <c r="TVG38" s="372"/>
      <c r="TVH38" s="372"/>
      <c r="TVI38" s="372"/>
      <c r="TVJ38" s="372"/>
      <c r="TVK38" s="372"/>
      <c r="TVL38" s="372"/>
      <c r="TVM38" s="372"/>
      <c r="TVN38" s="372"/>
      <c r="TVO38" s="372"/>
      <c r="TVP38" s="372"/>
      <c r="TVQ38" s="372"/>
      <c r="TVR38" s="372"/>
      <c r="TVS38" s="372"/>
      <c r="TVT38" s="372"/>
      <c r="TVU38" s="372"/>
      <c r="TVV38" s="372"/>
      <c r="TVW38" s="372"/>
      <c r="TVX38" s="372"/>
      <c r="TVY38" s="372"/>
      <c r="TVZ38" s="372"/>
      <c r="TWA38" s="372"/>
      <c r="TWB38" s="372"/>
      <c r="TWC38" s="372"/>
      <c r="TWD38" s="372"/>
      <c r="TWE38" s="372"/>
      <c r="TWF38" s="372"/>
      <c r="TWG38" s="372"/>
      <c r="TWH38" s="372"/>
      <c r="TWI38" s="372"/>
      <c r="TWJ38" s="372"/>
      <c r="TWK38" s="372"/>
      <c r="TWL38" s="372"/>
      <c r="TWM38" s="372"/>
      <c r="TWN38" s="372"/>
      <c r="TWO38" s="372"/>
      <c r="TWP38" s="372"/>
      <c r="TWQ38" s="372"/>
      <c r="TWR38" s="372"/>
      <c r="TWS38" s="372"/>
      <c r="TWT38" s="372"/>
      <c r="TWU38" s="372"/>
      <c r="TWV38" s="372"/>
      <c r="TWW38" s="372"/>
      <c r="TWX38" s="372"/>
      <c r="TWY38" s="372"/>
      <c r="TWZ38" s="372"/>
      <c r="TXA38" s="372"/>
      <c r="TXB38" s="372"/>
      <c r="TXC38" s="372"/>
      <c r="TXD38" s="372"/>
      <c r="TXE38" s="372"/>
      <c r="TXF38" s="372"/>
      <c r="TXG38" s="372"/>
      <c r="TXH38" s="372"/>
      <c r="TXI38" s="372"/>
      <c r="TXJ38" s="372"/>
      <c r="TXK38" s="372"/>
      <c r="TXL38" s="372"/>
      <c r="TXM38" s="372"/>
      <c r="TXN38" s="372"/>
      <c r="TXO38" s="372"/>
      <c r="TXP38" s="372"/>
      <c r="TXQ38" s="372"/>
      <c r="TXR38" s="372"/>
      <c r="TXS38" s="372"/>
      <c r="TXT38" s="372"/>
      <c r="TXU38" s="372"/>
      <c r="TXV38" s="372"/>
      <c r="TXW38" s="372"/>
      <c r="TXX38" s="372"/>
      <c r="TXY38" s="372"/>
      <c r="TXZ38" s="372"/>
      <c r="TYA38" s="372"/>
      <c r="TYB38" s="372"/>
      <c r="TYC38" s="372"/>
      <c r="TYD38" s="372"/>
      <c r="TYE38" s="372"/>
      <c r="TYF38" s="372"/>
      <c r="TYG38" s="372"/>
      <c r="TYH38" s="372"/>
      <c r="TYI38" s="372"/>
      <c r="TYJ38" s="372"/>
      <c r="TYK38" s="372"/>
      <c r="TYL38" s="372"/>
      <c r="TYM38" s="372"/>
      <c r="TYN38" s="372"/>
      <c r="TYO38" s="372"/>
      <c r="TYP38" s="372"/>
      <c r="TYQ38" s="372"/>
      <c r="TYR38" s="372"/>
      <c r="TYS38" s="372"/>
      <c r="TYT38" s="372"/>
      <c r="TYU38" s="372"/>
      <c r="TYV38" s="372"/>
      <c r="TYW38" s="372"/>
      <c r="TYX38" s="372"/>
      <c r="TYY38" s="372"/>
      <c r="TYZ38" s="372"/>
      <c r="TZA38" s="372"/>
      <c r="TZB38" s="372"/>
      <c r="TZC38" s="372"/>
      <c r="TZD38" s="372"/>
      <c r="TZE38" s="372"/>
      <c r="TZF38" s="372"/>
      <c r="TZG38" s="372"/>
      <c r="TZH38" s="372"/>
      <c r="TZI38" s="372"/>
      <c r="TZJ38" s="372"/>
      <c r="TZK38" s="372"/>
      <c r="TZL38" s="372"/>
      <c r="TZM38" s="372"/>
      <c r="TZN38" s="372"/>
      <c r="TZO38" s="372"/>
      <c r="TZP38" s="372"/>
      <c r="TZQ38" s="372"/>
      <c r="TZR38" s="372"/>
      <c r="TZS38" s="372"/>
      <c r="TZT38" s="372"/>
      <c r="TZU38" s="372"/>
      <c r="TZV38" s="372"/>
      <c r="TZW38" s="372"/>
      <c r="TZX38" s="372"/>
      <c r="TZY38" s="372"/>
      <c r="TZZ38" s="372"/>
      <c r="UAA38" s="372"/>
      <c r="UAB38" s="372"/>
      <c r="UAC38" s="372"/>
      <c r="UAD38" s="372"/>
      <c r="UAE38" s="372"/>
      <c r="UAF38" s="372"/>
      <c r="UAG38" s="372"/>
      <c r="UAH38" s="372"/>
      <c r="UAI38" s="372"/>
      <c r="UAJ38" s="372"/>
      <c r="UAK38" s="372"/>
      <c r="UAL38" s="372"/>
      <c r="UAM38" s="372"/>
      <c r="UAN38" s="372"/>
      <c r="UAO38" s="372"/>
      <c r="UAP38" s="372"/>
      <c r="UAQ38" s="372"/>
      <c r="UAR38" s="372"/>
      <c r="UAS38" s="372"/>
      <c r="UAT38" s="372"/>
      <c r="UAU38" s="372"/>
      <c r="UAV38" s="372"/>
      <c r="UAW38" s="372"/>
      <c r="UAX38" s="372"/>
      <c r="UAY38" s="372"/>
      <c r="UAZ38" s="372"/>
      <c r="UBA38" s="372"/>
      <c r="UBB38" s="372"/>
      <c r="UBC38" s="372"/>
      <c r="UBD38" s="372"/>
      <c r="UBE38" s="372"/>
      <c r="UBF38" s="372"/>
      <c r="UBG38" s="372"/>
      <c r="UBH38" s="372"/>
      <c r="UBI38" s="372"/>
      <c r="UBJ38" s="372"/>
      <c r="UBK38" s="372"/>
      <c r="UBL38" s="372"/>
      <c r="UBM38" s="372"/>
      <c r="UBN38" s="372"/>
      <c r="UBO38" s="372"/>
      <c r="UBP38" s="372"/>
      <c r="UBQ38" s="372"/>
      <c r="UBR38" s="372"/>
      <c r="UBS38" s="372"/>
      <c r="UBT38" s="372"/>
      <c r="UBU38" s="372"/>
      <c r="UBV38" s="372"/>
      <c r="UBW38" s="372"/>
      <c r="UBX38" s="372"/>
      <c r="UBY38" s="372"/>
      <c r="UBZ38" s="372"/>
      <c r="UCA38" s="372"/>
      <c r="UCB38" s="372"/>
      <c r="UCC38" s="372"/>
      <c r="UCD38" s="372"/>
      <c r="UCE38" s="372"/>
      <c r="UCF38" s="372"/>
      <c r="UCG38" s="372"/>
      <c r="UCH38" s="372"/>
      <c r="UCI38" s="372"/>
      <c r="UCJ38" s="372"/>
      <c r="UCK38" s="372"/>
      <c r="UCL38" s="372"/>
      <c r="UCM38" s="372"/>
      <c r="UCN38" s="372"/>
      <c r="UCO38" s="372"/>
      <c r="UCP38" s="372"/>
      <c r="UCQ38" s="372"/>
      <c r="UCR38" s="372"/>
      <c r="UCS38" s="372"/>
      <c r="UCT38" s="372"/>
      <c r="UCU38" s="372"/>
      <c r="UCV38" s="372"/>
      <c r="UCW38" s="372"/>
      <c r="UCX38" s="372"/>
      <c r="UCY38" s="372"/>
      <c r="UCZ38" s="372"/>
      <c r="UDA38" s="372"/>
      <c r="UDB38" s="372"/>
      <c r="UDC38" s="372"/>
      <c r="UDD38" s="372"/>
      <c r="UDE38" s="372"/>
      <c r="UDF38" s="372"/>
      <c r="UDG38" s="372"/>
      <c r="UDH38" s="372"/>
      <c r="UDI38" s="372"/>
      <c r="UDJ38" s="372"/>
      <c r="UDK38" s="372"/>
      <c r="UDL38" s="372"/>
      <c r="UDM38" s="372"/>
      <c r="UDN38" s="372"/>
      <c r="UDO38" s="372"/>
      <c r="UDP38" s="372"/>
      <c r="UDQ38" s="372"/>
      <c r="UDR38" s="372"/>
      <c r="UDS38" s="372"/>
      <c r="UDT38" s="372"/>
      <c r="UDU38" s="372"/>
      <c r="UDV38" s="372"/>
      <c r="UDW38" s="372"/>
      <c r="UDX38" s="372"/>
      <c r="UDY38" s="372"/>
      <c r="UDZ38" s="372"/>
      <c r="UEA38" s="372"/>
      <c r="UEB38" s="372"/>
      <c r="UEC38" s="372"/>
      <c r="UED38" s="372"/>
      <c r="UEE38" s="372"/>
      <c r="UEF38" s="372"/>
      <c r="UEG38" s="372"/>
      <c r="UEH38" s="372"/>
      <c r="UEI38" s="372"/>
      <c r="UEJ38" s="372"/>
      <c r="UEK38" s="372"/>
      <c r="UEL38" s="372"/>
      <c r="UEM38" s="372"/>
      <c r="UEN38" s="372"/>
      <c r="UEO38" s="372"/>
      <c r="UEP38" s="372"/>
      <c r="UEQ38" s="372"/>
      <c r="UER38" s="372"/>
      <c r="UES38" s="372"/>
      <c r="UET38" s="372"/>
      <c r="UEU38" s="372"/>
      <c r="UEV38" s="372"/>
      <c r="UEW38" s="372"/>
      <c r="UEX38" s="372"/>
      <c r="UEY38" s="372"/>
      <c r="UEZ38" s="372"/>
      <c r="UFA38" s="372"/>
      <c r="UFB38" s="372"/>
      <c r="UFC38" s="372"/>
      <c r="UFD38" s="372"/>
      <c r="UFE38" s="372"/>
      <c r="UFF38" s="372"/>
      <c r="UFG38" s="372"/>
      <c r="UFH38" s="372"/>
      <c r="UFI38" s="372"/>
      <c r="UFJ38" s="372"/>
      <c r="UFK38" s="372"/>
      <c r="UFL38" s="372"/>
      <c r="UFM38" s="372"/>
      <c r="UFN38" s="372"/>
      <c r="UFO38" s="372"/>
      <c r="UFP38" s="372"/>
      <c r="UFQ38" s="372"/>
      <c r="UFR38" s="372"/>
      <c r="UFS38" s="372"/>
      <c r="UFT38" s="372"/>
      <c r="UFU38" s="372"/>
      <c r="UFV38" s="372"/>
      <c r="UFW38" s="372"/>
      <c r="UFX38" s="372"/>
      <c r="UFY38" s="372"/>
      <c r="UFZ38" s="372"/>
      <c r="UGA38" s="372"/>
      <c r="UGB38" s="372"/>
      <c r="UGC38" s="372"/>
      <c r="UGD38" s="372"/>
      <c r="UGE38" s="372"/>
      <c r="UGF38" s="372"/>
      <c r="UGG38" s="372"/>
      <c r="UGH38" s="372"/>
      <c r="UGI38" s="372"/>
      <c r="UGJ38" s="372"/>
      <c r="UGK38" s="372"/>
      <c r="UGL38" s="372"/>
      <c r="UGM38" s="372"/>
      <c r="UGN38" s="372"/>
      <c r="UGO38" s="372"/>
      <c r="UGP38" s="372"/>
      <c r="UGQ38" s="372"/>
      <c r="UGR38" s="372"/>
      <c r="UGS38" s="372"/>
      <c r="UGT38" s="372"/>
      <c r="UGU38" s="372"/>
      <c r="UGV38" s="372"/>
      <c r="UGW38" s="372"/>
      <c r="UGX38" s="372"/>
      <c r="UGY38" s="372"/>
      <c r="UGZ38" s="372"/>
      <c r="UHA38" s="372"/>
      <c r="UHB38" s="372"/>
      <c r="UHC38" s="372"/>
      <c r="UHD38" s="372"/>
      <c r="UHE38" s="372"/>
      <c r="UHF38" s="372"/>
      <c r="UHG38" s="372"/>
      <c r="UHH38" s="372"/>
      <c r="UHI38" s="372"/>
      <c r="UHJ38" s="372"/>
      <c r="UHK38" s="372"/>
      <c r="UHL38" s="372"/>
      <c r="UHM38" s="372"/>
      <c r="UHN38" s="372"/>
      <c r="UHO38" s="372"/>
      <c r="UHP38" s="372"/>
      <c r="UHQ38" s="372"/>
      <c r="UHR38" s="372"/>
      <c r="UHS38" s="372"/>
      <c r="UHT38" s="372"/>
      <c r="UHU38" s="372"/>
      <c r="UHV38" s="372"/>
      <c r="UHW38" s="372"/>
      <c r="UHX38" s="372"/>
      <c r="UHY38" s="372"/>
      <c r="UHZ38" s="372"/>
      <c r="UIA38" s="372"/>
      <c r="UIB38" s="372"/>
      <c r="UIC38" s="372"/>
      <c r="UID38" s="372"/>
      <c r="UIE38" s="372"/>
      <c r="UIF38" s="372"/>
      <c r="UIG38" s="372"/>
      <c r="UIH38" s="372"/>
      <c r="UII38" s="372"/>
      <c r="UIJ38" s="372"/>
      <c r="UIK38" s="372"/>
      <c r="UIL38" s="372"/>
      <c r="UIM38" s="372"/>
      <c r="UIN38" s="372"/>
      <c r="UIO38" s="372"/>
      <c r="UIP38" s="372"/>
      <c r="UIQ38" s="372"/>
      <c r="UIR38" s="372"/>
      <c r="UIS38" s="372"/>
      <c r="UIT38" s="372"/>
      <c r="UIU38" s="372"/>
      <c r="UIV38" s="372"/>
      <c r="UIW38" s="372"/>
      <c r="UIX38" s="372"/>
      <c r="UIY38" s="372"/>
      <c r="UIZ38" s="372"/>
      <c r="UJA38" s="372"/>
      <c r="UJB38" s="372"/>
      <c r="UJC38" s="372"/>
      <c r="UJD38" s="372"/>
      <c r="UJE38" s="372"/>
      <c r="UJF38" s="372"/>
      <c r="UJG38" s="372"/>
      <c r="UJH38" s="372"/>
      <c r="UJI38" s="372"/>
      <c r="UJJ38" s="372"/>
      <c r="UJK38" s="372"/>
      <c r="UJL38" s="372"/>
      <c r="UJM38" s="372"/>
      <c r="UJN38" s="372"/>
      <c r="UJO38" s="372"/>
      <c r="UJP38" s="372"/>
      <c r="UJQ38" s="372"/>
      <c r="UJR38" s="372"/>
      <c r="UJS38" s="372"/>
      <c r="UJT38" s="372"/>
      <c r="UJU38" s="372"/>
      <c r="UJV38" s="372"/>
      <c r="UJW38" s="372"/>
      <c r="UJX38" s="372"/>
      <c r="UJY38" s="372"/>
      <c r="UJZ38" s="372"/>
      <c r="UKA38" s="372"/>
      <c r="UKB38" s="372"/>
      <c r="UKC38" s="372"/>
      <c r="UKD38" s="372"/>
      <c r="UKE38" s="372"/>
      <c r="UKF38" s="372"/>
      <c r="UKG38" s="372"/>
      <c r="UKH38" s="372"/>
      <c r="UKI38" s="372"/>
      <c r="UKJ38" s="372"/>
      <c r="UKK38" s="372"/>
      <c r="UKL38" s="372"/>
      <c r="UKM38" s="372"/>
      <c r="UKN38" s="372"/>
      <c r="UKO38" s="372"/>
      <c r="UKP38" s="372"/>
      <c r="UKQ38" s="372"/>
      <c r="UKR38" s="372"/>
      <c r="UKS38" s="372"/>
      <c r="UKT38" s="372"/>
      <c r="UKU38" s="372"/>
      <c r="UKV38" s="372"/>
      <c r="UKW38" s="372"/>
      <c r="UKX38" s="372"/>
      <c r="UKY38" s="372"/>
      <c r="UKZ38" s="372"/>
      <c r="ULA38" s="372"/>
      <c r="ULB38" s="372"/>
      <c r="ULC38" s="372"/>
      <c r="ULD38" s="372"/>
      <c r="ULE38" s="372"/>
      <c r="ULF38" s="372"/>
      <c r="ULG38" s="372"/>
      <c r="ULH38" s="372"/>
      <c r="ULI38" s="372"/>
      <c r="ULJ38" s="372"/>
      <c r="ULK38" s="372"/>
      <c r="ULL38" s="372"/>
      <c r="ULM38" s="372"/>
      <c r="ULN38" s="372"/>
      <c r="ULO38" s="372"/>
      <c r="ULP38" s="372"/>
      <c r="ULQ38" s="372"/>
      <c r="ULR38" s="372"/>
      <c r="ULS38" s="372"/>
      <c r="ULT38" s="372"/>
      <c r="ULU38" s="372"/>
      <c r="ULV38" s="372"/>
      <c r="ULW38" s="372"/>
      <c r="ULX38" s="372"/>
      <c r="ULY38" s="372"/>
      <c r="ULZ38" s="372"/>
      <c r="UMA38" s="372"/>
      <c r="UMB38" s="372"/>
      <c r="UMC38" s="372"/>
      <c r="UMD38" s="372"/>
      <c r="UME38" s="372"/>
      <c r="UMF38" s="372"/>
      <c r="UMG38" s="372"/>
      <c r="UMH38" s="372"/>
      <c r="UMI38" s="372"/>
      <c r="UMJ38" s="372"/>
      <c r="UMK38" s="372"/>
      <c r="UML38" s="372"/>
      <c r="UMM38" s="372"/>
      <c r="UMN38" s="372"/>
      <c r="UMO38" s="372"/>
      <c r="UMP38" s="372"/>
      <c r="UMQ38" s="372"/>
      <c r="UMR38" s="372"/>
      <c r="UMS38" s="372"/>
      <c r="UMT38" s="372"/>
      <c r="UMU38" s="372"/>
      <c r="UMV38" s="372"/>
      <c r="UMW38" s="372"/>
      <c r="UMX38" s="372"/>
      <c r="UMY38" s="372"/>
      <c r="UMZ38" s="372"/>
      <c r="UNA38" s="372"/>
      <c r="UNB38" s="372"/>
      <c r="UNC38" s="372"/>
      <c r="UND38" s="372"/>
      <c r="UNE38" s="372"/>
      <c r="UNF38" s="372"/>
      <c r="UNG38" s="372"/>
      <c r="UNH38" s="372"/>
      <c r="UNI38" s="372"/>
      <c r="UNJ38" s="372"/>
      <c r="UNK38" s="372"/>
      <c r="UNL38" s="372"/>
      <c r="UNM38" s="372"/>
      <c r="UNN38" s="372"/>
      <c r="UNO38" s="372"/>
      <c r="UNP38" s="372"/>
      <c r="UNQ38" s="372"/>
      <c r="UNR38" s="372"/>
      <c r="UNS38" s="372"/>
      <c r="UNT38" s="372"/>
      <c r="UNU38" s="372"/>
      <c r="UNV38" s="372"/>
      <c r="UNW38" s="372"/>
      <c r="UNX38" s="372"/>
      <c r="UNY38" s="372"/>
      <c r="UNZ38" s="372"/>
      <c r="UOA38" s="372"/>
      <c r="UOB38" s="372"/>
      <c r="UOC38" s="372"/>
      <c r="UOD38" s="372"/>
      <c r="UOE38" s="372"/>
      <c r="UOF38" s="372"/>
      <c r="UOG38" s="372"/>
      <c r="UOH38" s="372"/>
      <c r="UOI38" s="372"/>
      <c r="UOJ38" s="372"/>
      <c r="UOK38" s="372"/>
      <c r="UOL38" s="372"/>
      <c r="UOM38" s="372"/>
      <c r="UON38" s="372"/>
      <c r="UOO38" s="372"/>
      <c r="UOP38" s="372"/>
      <c r="UOQ38" s="372"/>
      <c r="UOR38" s="372"/>
      <c r="UOS38" s="372"/>
      <c r="UOT38" s="372"/>
      <c r="UOU38" s="372"/>
      <c r="UOV38" s="372"/>
      <c r="UOW38" s="372"/>
      <c r="UOX38" s="372"/>
      <c r="UOY38" s="372"/>
      <c r="UOZ38" s="372"/>
      <c r="UPA38" s="372"/>
      <c r="UPB38" s="372"/>
      <c r="UPC38" s="372"/>
      <c r="UPD38" s="372"/>
      <c r="UPE38" s="372"/>
      <c r="UPF38" s="372"/>
      <c r="UPG38" s="372"/>
      <c r="UPH38" s="372"/>
      <c r="UPI38" s="372"/>
      <c r="UPJ38" s="372"/>
      <c r="UPK38" s="372"/>
      <c r="UPL38" s="372"/>
      <c r="UPM38" s="372"/>
      <c r="UPN38" s="372"/>
      <c r="UPO38" s="372"/>
      <c r="UPP38" s="372"/>
      <c r="UPQ38" s="372"/>
      <c r="UPR38" s="372"/>
      <c r="UPS38" s="372"/>
      <c r="UPT38" s="372"/>
      <c r="UPU38" s="372"/>
      <c r="UPV38" s="372"/>
      <c r="UPW38" s="372"/>
      <c r="UPX38" s="372"/>
      <c r="UPY38" s="372"/>
      <c r="UPZ38" s="372"/>
      <c r="UQA38" s="372"/>
      <c r="UQB38" s="372"/>
      <c r="UQC38" s="372"/>
      <c r="UQD38" s="372"/>
      <c r="UQE38" s="372"/>
      <c r="UQF38" s="372"/>
      <c r="UQG38" s="372"/>
      <c r="UQH38" s="372"/>
      <c r="UQI38" s="372"/>
      <c r="UQJ38" s="372"/>
      <c r="UQK38" s="372"/>
      <c r="UQL38" s="372"/>
      <c r="UQM38" s="372"/>
      <c r="UQN38" s="372"/>
      <c r="UQO38" s="372"/>
      <c r="UQP38" s="372"/>
      <c r="UQQ38" s="372"/>
      <c r="UQR38" s="372"/>
      <c r="UQS38" s="372"/>
      <c r="UQT38" s="372"/>
      <c r="UQU38" s="372"/>
      <c r="UQV38" s="372"/>
      <c r="UQW38" s="372"/>
      <c r="UQX38" s="372"/>
      <c r="UQY38" s="372"/>
      <c r="UQZ38" s="372"/>
      <c r="URA38" s="372"/>
      <c r="URB38" s="372"/>
      <c r="URC38" s="372"/>
      <c r="URD38" s="372"/>
      <c r="URE38" s="372"/>
      <c r="URF38" s="372"/>
      <c r="URG38" s="372"/>
      <c r="URH38" s="372"/>
      <c r="URI38" s="372"/>
      <c r="URJ38" s="372"/>
      <c r="URK38" s="372"/>
      <c r="URL38" s="372"/>
      <c r="URM38" s="372"/>
      <c r="URN38" s="372"/>
      <c r="URO38" s="372"/>
      <c r="URP38" s="372"/>
      <c r="URQ38" s="372"/>
      <c r="URR38" s="372"/>
      <c r="URS38" s="372"/>
      <c r="URT38" s="372"/>
      <c r="URU38" s="372"/>
      <c r="URV38" s="372"/>
      <c r="URW38" s="372"/>
      <c r="URX38" s="372"/>
      <c r="URY38" s="372"/>
      <c r="URZ38" s="372"/>
      <c r="USA38" s="372"/>
      <c r="USB38" s="372"/>
      <c r="USC38" s="372"/>
      <c r="USD38" s="372"/>
      <c r="USE38" s="372"/>
      <c r="USF38" s="372"/>
      <c r="USG38" s="372"/>
      <c r="USH38" s="372"/>
      <c r="USI38" s="372"/>
      <c r="USJ38" s="372"/>
      <c r="USK38" s="372"/>
      <c r="USL38" s="372"/>
      <c r="USM38" s="372"/>
      <c r="USN38" s="372"/>
      <c r="USO38" s="372"/>
      <c r="USP38" s="372"/>
      <c r="USQ38" s="372"/>
      <c r="USR38" s="372"/>
      <c r="USS38" s="372"/>
      <c r="UST38" s="372"/>
      <c r="USU38" s="372"/>
      <c r="USV38" s="372"/>
      <c r="USW38" s="372"/>
      <c r="USX38" s="372"/>
      <c r="USY38" s="372"/>
      <c r="USZ38" s="372"/>
      <c r="UTA38" s="372"/>
      <c r="UTB38" s="372"/>
      <c r="UTC38" s="372"/>
      <c r="UTD38" s="372"/>
      <c r="UTE38" s="372"/>
      <c r="UTF38" s="372"/>
      <c r="UTG38" s="372"/>
      <c r="UTH38" s="372"/>
      <c r="UTI38" s="372"/>
      <c r="UTJ38" s="372"/>
      <c r="UTK38" s="372"/>
      <c r="UTL38" s="372"/>
      <c r="UTM38" s="372"/>
      <c r="UTN38" s="372"/>
      <c r="UTO38" s="372"/>
      <c r="UTP38" s="372"/>
      <c r="UTQ38" s="372"/>
      <c r="UTR38" s="372"/>
      <c r="UTS38" s="372"/>
      <c r="UTT38" s="372"/>
      <c r="UTU38" s="372"/>
      <c r="UTV38" s="372"/>
      <c r="UTW38" s="372"/>
      <c r="UTX38" s="372"/>
      <c r="UTY38" s="372"/>
      <c r="UTZ38" s="372"/>
      <c r="UUA38" s="372"/>
      <c r="UUB38" s="372"/>
      <c r="UUC38" s="372"/>
      <c r="UUD38" s="372"/>
      <c r="UUE38" s="372"/>
      <c r="UUF38" s="372"/>
      <c r="UUG38" s="372"/>
      <c r="UUH38" s="372"/>
      <c r="UUI38" s="372"/>
      <c r="UUJ38" s="372"/>
      <c r="UUK38" s="372"/>
      <c r="UUL38" s="372"/>
      <c r="UUM38" s="372"/>
      <c r="UUN38" s="372"/>
      <c r="UUO38" s="372"/>
      <c r="UUP38" s="372"/>
      <c r="UUQ38" s="372"/>
      <c r="UUR38" s="372"/>
      <c r="UUS38" s="372"/>
      <c r="UUT38" s="372"/>
      <c r="UUU38" s="372"/>
      <c r="UUV38" s="372"/>
      <c r="UUW38" s="372"/>
      <c r="UUX38" s="372"/>
      <c r="UUY38" s="372"/>
      <c r="UUZ38" s="372"/>
      <c r="UVA38" s="372"/>
      <c r="UVB38" s="372"/>
      <c r="UVC38" s="372"/>
      <c r="UVD38" s="372"/>
      <c r="UVE38" s="372"/>
      <c r="UVF38" s="372"/>
      <c r="UVG38" s="372"/>
      <c r="UVH38" s="372"/>
      <c r="UVI38" s="372"/>
      <c r="UVJ38" s="372"/>
      <c r="UVK38" s="372"/>
      <c r="UVL38" s="372"/>
      <c r="UVM38" s="372"/>
      <c r="UVN38" s="372"/>
      <c r="UVO38" s="372"/>
      <c r="UVP38" s="372"/>
      <c r="UVQ38" s="372"/>
      <c r="UVR38" s="372"/>
      <c r="UVS38" s="372"/>
      <c r="UVT38" s="372"/>
      <c r="UVU38" s="372"/>
      <c r="UVV38" s="372"/>
      <c r="UVW38" s="372"/>
      <c r="UVX38" s="372"/>
      <c r="UVY38" s="372"/>
      <c r="UVZ38" s="372"/>
      <c r="UWA38" s="372"/>
      <c r="UWB38" s="372"/>
      <c r="UWC38" s="372"/>
      <c r="UWD38" s="372"/>
      <c r="UWE38" s="372"/>
      <c r="UWF38" s="372"/>
      <c r="UWG38" s="372"/>
      <c r="UWH38" s="372"/>
      <c r="UWI38" s="372"/>
      <c r="UWJ38" s="372"/>
      <c r="UWK38" s="372"/>
      <c r="UWL38" s="372"/>
      <c r="UWM38" s="372"/>
      <c r="UWN38" s="372"/>
      <c r="UWO38" s="372"/>
      <c r="UWP38" s="372"/>
      <c r="UWQ38" s="372"/>
      <c r="UWR38" s="372"/>
      <c r="UWS38" s="372"/>
      <c r="UWT38" s="372"/>
      <c r="UWU38" s="372"/>
      <c r="UWV38" s="372"/>
      <c r="UWW38" s="372"/>
      <c r="UWX38" s="372"/>
      <c r="UWY38" s="372"/>
      <c r="UWZ38" s="372"/>
      <c r="UXA38" s="372"/>
      <c r="UXB38" s="372"/>
      <c r="UXC38" s="372"/>
      <c r="UXD38" s="372"/>
      <c r="UXE38" s="372"/>
      <c r="UXF38" s="372"/>
      <c r="UXG38" s="372"/>
      <c r="UXH38" s="372"/>
      <c r="UXI38" s="372"/>
      <c r="UXJ38" s="372"/>
      <c r="UXK38" s="372"/>
      <c r="UXL38" s="372"/>
      <c r="UXM38" s="372"/>
      <c r="UXN38" s="372"/>
      <c r="UXO38" s="372"/>
      <c r="UXP38" s="372"/>
      <c r="UXQ38" s="372"/>
      <c r="UXR38" s="372"/>
      <c r="UXS38" s="372"/>
      <c r="UXT38" s="372"/>
      <c r="UXU38" s="372"/>
      <c r="UXV38" s="372"/>
      <c r="UXW38" s="372"/>
      <c r="UXX38" s="372"/>
      <c r="UXY38" s="372"/>
      <c r="UXZ38" s="372"/>
      <c r="UYA38" s="372"/>
      <c r="UYB38" s="372"/>
      <c r="UYC38" s="372"/>
      <c r="UYD38" s="372"/>
      <c r="UYE38" s="372"/>
      <c r="UYF38" s="372"/>
      <c r="UYG38" s="372"/>
      <c r="UYH38" s="372"/>
      <c r="UYI38" s="372"/>
      <c r="UYJ38" s="372"/>
      <c r="UYK38" s="372"/>
      <c r="UYL38" s="372"/>
      <c r="UYM38" s="372"/>
      <c r="UYN38" s="372"/>
      <c r="UYO38" s="372"/>
      <c r="UYP38" s="372"/>
      <c r="UYQ38" s="372"/>
      <c r="UYR38" s="372"/>
      <c r="UYS38" s="372"/>
      <c r="UYT38" s="372"/>
      <c r="UYU38" s="372"/>
      <c r="UYV38" s="372"/>
      <c r="UYW38" s="372"/>
      <c r="UYX38" s="372"/>
      <c r="UYY38" s="372"/>
      <c r="UYZ38" s="372"/>
      <c r="UZA38" s="372"/>
      <c r="UZB38" s="372"/>
      <c r="UZC38" s="372"/>
      <c r="UZD38" s="372"/>
      <c r="UZE38" s="372"/>
      <c r="UZF38" s="372"/>
      <c r="UZG38" s="372"/>
      <c r="UZH38" s="372"/>
      <c r="UZI38" s="372"/>
      <c r="UZJ38" s="372"/>
      <c r="UZK38" s="372"/>
      <c r="UZL38" s="372"/>
      <c r="UZM38" s="372"/>
      <c r="UZN38" s="372"/>
      <c r="UZO38" s="372"/>
      <c r="UZP38" s="372"/>
      <c r="UZQ38" s="372"/>
      <c r="UZR38" s="372"/>
      <c r="UZS38" s="372"/>
      <c r="UZT38" s="372"/>
      <c r="UZU38" s="372"/>
      <c r="UZV38" s="372"/>
      <c r="UZW38" s="372"/>
      <c r="UZX38" s="372"/>
      <c r="UZY38" s="372"/>
      <c r="UZZ38" s="372"/>
      <c r="VAA38" s="372"/>
      <c r="VAB38" s="372"/>
      <c r="VAC38" s="372"/>
      <c r="VAD38" s="372"/>
      <c r="VAE38" s="372"/>
      <c r="VAF38" s="372"/>
      <c r="VAG38" s="372"/>
      <c r="VAH38" s="372"/>
      <c r="VAI38" s="372"/>
      <c r="VAJ38" s="372"/>
      <c r="VAK38" s="372"/>
      <c r="VAL38" s="372"/>
      <c r="VAM38" s="372"/>
      <c r="VAN38" s="372"/>
      <c r="VAO38" s="372"/>
      <c r="VAP38" s="372"/>
      <c r="VAQ38" s="372"/>
      <c r="VAR38" s="372"/>
      <c r="VAS38" s="372"/>
      <c r="VAT38" s="372"/>
      <c r="VAU38" s="372"/>
      <c r="VAV38" s="372"/>
      <c r="VAW38" s="372"/>
      <c r="VAX38" s="372"/>
      <c r="VAY38" s="372"/>
      <c r="VAZ38" s="372"/>
      <c r="VBA38" s="372"/>
      <c r="VBB38" s="372"/>
      <c r="VBC38" s="372"/>
      <c r="VBD38" s="372"/>
      <c r="VBE38" s="372"/>
      <c r="VBF38" s="372"/>
      <c r="VBG38" s="372"/>
      <c r="VBH38" s="372"/>
      <c r="VBI38" s="372"/>
      <c r="VBJ38" s="372"/>
      <c r="VBK38" s="372"/>
      <c r="VBL38" s="372"/>
      <c r="VBM38" s="372"/>
      <c r="VBN38" s="372"/>
      <c r="VBO38" s="372"/>
      <c r="VBP38" s="372"/>
      <c r="VBQ38" s="372"/>
      <c r="VBR38" s="372"/>
      <c r="VBS38" s="372"/>
      <c r="VBT38" s="372"/>
      <c r="VBU38" s="372"/>
      <c r="VBV38" s="372"/>
      <c r="VBW38" s="372"/>
      <c r="VBX38" s="372"/>
      <c r="VBY38" s="372"/>
      <c r="VBZ38" s="372"/>
      <c r="VCA38" s="372"/>
      <c r="VCB38" s="372"/>
      <c r="VCC38" s="372"/>
      <c r="VCD38" s="372"/>
      <c r="VCE38" s="372"/>
      <c r="VCF38" s="372"/>
      <c r="VCG38" s="372"/>
      <c r="VCH38" s="372"/>
      <c r="VCI38" s="372"/>
      <c r="VCJ38" s="372"/>
      <c r="VCK38" s="372"/>
      <c r="VCL38" s="372"/>
      <c r="VCM38" s="372"/>
      <c r="VCN38" s="372"/>
      <c r="VCO38" s="372"/>
      <c r="VCP38" s="372"/>
      <c r="VCQ38" s="372"/>
      <c r="VCR38" s="372"/>
      <c r="VCS38" s="372"/>
      <c r="VCT38" s="372"/>
      <c r="VCU38" s="372"/>
      <c r="VCV38" s="372"/>
      <c r="VCW38" s="372"/>
      <c r="VCX38" s="372"/>
      <c r="VCY38" s="372"/>
      <c r="VCZ38" s="372"/>
      <c r="VDA38" s="372"/>
      <c r="VDB38" s="372"/>
      <c r="VDC38" s="372"/>
      <c r="VDD38" s="372"/>
      <c r="VDE38" s="372"/>
      <c r="VDF38" s="372"/>
      <c r="VDG38" s="372"/>
      <c r="VDH38" s="372"/>
      <c r="VDI38" s="372"/>
      <c r="VDJ38" s="372"/>
      <c r="VDK38" s="372"/>
      <c r="VDL38" s="372"/>
      <c r="VDM38" s="372"/>
      <c r="VDN38" s="372"/>
      <c r="VDO38" s="372"/>
      <c r="VDP38" s="372"/>
      <c r="VDQ38" s="372"/>
      <c r="VDR38" s="372"/>
      <c r="VDS38" s="372"/>
      <c r="VDT38" s="372"/>
      <c r="VDU38" s="372"/>
      <c r="VDV38" s="372"/>
      <c r="VDW38" s="372"/>
      <c r="VDX38" s="372"/>
      <c r="VDY38" s="372"/>
      <c r="VDZ38" s="372"/>
      <c r="VEA38" s="372"/>
      <c r="VEB38" s="372"/>
      <c r="VEC38" s="372"/>
      <c r="VED38" s="372"/>
      <c r="VEE38" s="372"/>
      <c r="VEF38" s="372"/>
      <c r="VEG38" s="372"/>
      <c r="VEH38" s="372"/>
      <c r="VEI38" s="372"/>
      <c r="VEJ38" s="372"/>
      <c r="VEK38" s="372"/>
      <c r="VEL38" s="372"/>
      <c r="VEM38" s="372"/>
      <c r="VEN38" s="372"/>
      <c r="VEO38" s="372"/>
      <c r="VEP38" s="372"/>
      <c r="VEQ38" s="372"/>
      <c r="VER38" s="372"/>
      <c r="VES38" s="372"/>
      <c r="VET38" s="372"/>
      <c r="VEU38" s="372"/>
      <c r="VEV38" s="372"/>
      <c r="VEW38" s="372"/>
      <c r="VEX38" s="372"/>
      <c r="VEY38" s="372"/>
      <c r="VEZ38" s="372"/>
      <c r="VFA38" s="372"/>
      <c r="VFB38" s="372"/>
      <c r="VFC38" s="372"/>
      <c r="VFD38" s="372"/>
      <c r="VFE38" s="372"/>
      <c r="VFF38" s="372"/>
      <c r="VFG38" s="372"/>
      <c r="VFH38" s="372"/>
      <c r="VFI38" s="372"/>
      <c r="VFJ38" s="372"/>
      <c r="VFK38" s="372"/>
      <c r="VFL38" s="372"/>
      <c r="VFM38" s="372"/>
      <c r="VFN38" s="372"/>
      <c r="VFO38" s="372"/>
      <c r="VFP38" s="372"/>
      <c r="VFQ38" s="372"/>
      <c r="VFR38" s="372"/>
      <c r="VFS38" s="372"/>
      <c r="VFT38" s="372"/>
      <c r="VFU38" s="372"/>
      <c r="VFV38" s="372"/>
      <c r="VFW38" s="372"/>
      <c r="VFX38" s="372"/>
      <c r="VFY38" s="372"/>
      <c r="VFZ38" s="372"/>
      <c r="VGA38" s="372"/>
      <c r="VGB38" s="372"/>
      <c r="VGC38" s="372"/>
      <c r="VGD38" s="372"/>
      <c r="VGE38" s="372"/>
      <c r="VGF38" s="372"/>
      <c r="VGG38" s="372"/>
      <c r="VGH38" s="372"/>
      <c r="VGI38" s="372"/>
      <c r="VGJ38" s="372"/>
      <c r="VGK38" s="372"/>
      <c r="VGL38" s="372"/>
      <c r="VGM38" s="372"/>
      <c r="VGN38" s="372"/>
      <c r="VGO38" s="372"/>
      <c r="VGP38" s="372"/>
      <c r="VGQ38" s="372"/>
      <c r="VGR38" s="372"/>
      <c r="VGS38" s="372"/>
      <c r="VGT38" s="372"/>
      <c r="VGU38" s="372"/>
      <c r="VGV38" s="372"/>
      <c r="VGW38" s="372"/>
      <c r="VGX38" s="372"/>
      <c r="VGY38" s="372"/>
      <c r="VGZ38" s="372"/>
      <c r="VHA38" s="372"/>
      <c r="VHB38" s="372"/>
      <c r="VHC38" s="372"/>
      <c r="VHD38" s="372"/>
      <c r="VHE38" s="372"/>
      <c r="VHF38" s="372"/>
      <c r="VHG38" s="372"/>
      <c r="VHH38" s="372"/>
      <c r="VHI38" s="372"/>
      <c r="VHJ38" s="372"/>
      <c r="VHK38" s="372"/>
      <c r="VHL38" s="372"/>
      <c r="VHM38" s="372"/>
      <c r="VHN38" s="372"/>
      <c r="VHO38" s="372"/>
      <c r="VHP38" s="372"/>
      <c r="VHQ38" s="372"/>
      <c r="VHR38" s="372"/>
      <c r="VHS38" s="372"/>
      <c r="VHT38" s="372"/>
      <c r="VHU38" s="372"/>
      <c r="VHV38" s="372"/>
      <c r="VHW38" s="372"/>
      <c r="VHX38" s="372"/>
      <c r="VHY38" s="372"/>
      <c r="VHZ38" s="372"/>
      <c r="VIA38" s="372"/>
      <c r="VIB38" s="372"/>
      <c r="VIC38" s="372"/>
      <c r="VID38" s="372"/>
      <c r="VIE38" s="372"/>
      <c r="VIF38" s="372"/>
      <c r="VIG38" s="372"/>
      <c r="VIH38" s="372"/>
      <c r="VII38" s="372"/>
      <c r="VIJ38" s="372"/>
      <c r="VIK38" s="372"/>
      <c r="VIL38" s="372"/>
      <c r="VIM38" s="372"/>
      <c r="VIN38" s="372"/>
      <c r="VIO38" s="372"/>
      <c r="VIP38" s="372"/>
      <c r="VIQ38" s="372"/>
      <c r="VIR38" s="372"/>
      <c r="VIS38" s="372"/>
      <c r="VIT38" s="372"/>
      <c r="VIU38" s="372"/>
      <c r="VIV38" s="372"/>
      <c r="VIW38" s="372"/>
      <c r="VIX38" s="372"/>
      <c r="VIY38" s="372"/>
      <c r="VIZ38" s="372"/>
      <c r="VJA38" s="372"/>
      <c r="VJB38" s="372"/>
      <c r="VJC38" s="372"/>
      <c r="VJD38" s="372"/>
      <c r="VJE38" s="372"/>
      <c r="VJF38" s="372"/>
      <c r="VJG38" s="372"/>
      <c r="VJH38" s="372"/>
      <c r="VJI38" s="372"/>
      <c r="VJJ38" s="372"/>
      <c r="VJK38" s="372"/>
      <c r="VJL38" s="372"/>
      <c r="VJM38" s="372"/>
      <c r="VJN38" s="372"/>
      <c r="VJO38" s="372"/>
      <c r="VJP38" s="372"/>
      <c r="VJQ38" s="372"/>
      <c r="VJR38" s="372"/>
      <c r="VJS38" s="372"/>
      <c r="VJT38" s="372"/>
      <c r="VJU38" s="372"/>
      <c r="VJV38" s="372"/>
      <c r="VJW38" s="372"/>
      <c r="VJX38" s="372"/>
      <c r="VJY38" s="372"/>
      <c r="VJZ38" s="372"/>
      <c r="VKA38" s="372"/>
      <c r="VKB38" s="372"/>
      <c r="VKC38" s="372"/>
      <c r="VKD38" s="372"/>
      <c r="VKE38" s="372"/>
      <c r="VKF38" s="372"/>
      <c r="VKG38" s="372"/>
      <c r="VKH38" s="372"/>
      <c r="VKI38" s="372"/>
      <c r="VKJ38" s="372"/>
      <c r="VKK38" s="372"/>
      <c r="VKL38" s="372"/>
      <c r="VKM38" s="372"/>
      <c r="VKN38" s="372"/>
      <c r="VKO38" s="372"/>
      <c r="VKP38" s="372"/>
      <c r="VKQ38" s="372"/>
      <c r="VKR38" s="372"/>
      <c r="VKS38" s="372"/>
      <c r="VKT38" s="372"/>
      <c r="VKU38" s="372"/>
      <c r="VKV38" s="372"/>
      <c r="VKW38" s="372"/>
      <c r="VKX38" s="372"/>
      <c r="VKY38" s="372"/>
      <c r="VKZ38" s="372"/>
      <c r="VLA38" s="372"/>
      <c r="VLB38" s="372"/>
      <c r="VLC38" s="372"/>
      <c r="VLD38" s="372"/>
      <c r="VLE38" s="372"/>
      <c r="VLF38" s="372"/>
      <c r="VLG38" s="372"/>
      <c r="VLH38" s="372"/>
      <c r="VLI38" s="372"/>
      <c r="VLJ38" s="372"/>
      <c r="VLK38" s="372"/>
      <c r="VLL38" s="372"/>
      <c r="VLM38" s="372"/>
      <c r="VLN38" s="372"/>
      <c r="VLO38" s="372"/>
      <c r="VLP38" s="372"/>
      <c r="VLQ38" s="372"/>
      <c r="VLR38" s="372"/>
      <c r="VLS38" s="372"/>
      <c r="VLT38" s="372"/>
      <c r="VLU38" s="372"/>
      <c r="VLV38" s="372"/>
      <c r="VLW38" s="372"/>
      <c r="VLX38" s="372"/>
      <c r="VLY38" s="372"/>
      <c r="VLZ38" s="372"/>
      <c r="VMA38" s="372"/>
      <c r="VMB38" s="372"/>
      <c r="VMC38" s="372"/>
      <c r="VMD38" s="372"/>
      <c r="VME38" s="372"/>
      <c r="VMF38" s="372"/>
      <c r="VMG38" s="372"/>
      <c r="VMH38" s="372"/>
      <c r="VMI38" s="372"/>
      <c r="VMJ38" s="372"/>
      <c r="VMK38" s="372"/>
      <c r="VML38" s="372"/>
      <c r="VMM38" s="372"/>
      <c r="VMN38" s="372"/>
      <c r="VMO38" s="372"/>
      <c r="VMP38" s="372"/>
      <c r="VMQ38" s="372"/>
      <c r="VMR38" s="372"/>
      <c r="VMS38" s="372"/>
      <c r="VMT38" s="372"/>
      <c r="VMU38" s="372"/>
      <c r="VMV38" s="372"/>
      <c r="VMW38" s="372"/>
      <c r="VMX38" s="372"/>
      <c r="VMY38" s="372"/>
      <c r="VMZ38" s="372"/>
      <c r="VNA38" s="372"/>
      <c r="VNB38" s="372"/>
      <c r="VNC38" s="372"/>
      <c r="VND38" s="372"/>
      <c r="VNE38" s="372"/>
      <c r="VNF38" s="372"/>
      <c r="VNG38" s="372"/>
      <c r="VNH38" s="372"/>
      <c r="VNI38" s="372"/>
      <c r="VNJ38" s="372"/>
      <c r="VNK38" s="372"/>
      <c r="VNL38" s="372"/>
      <c r="VNM38" s="372"/>
      <c r="VNN38" s="372"/>
      <c r="VNO38" s="372"/>
      <c r="VNP38" s="372"/>
      <c r="VNQ38" s="372"/>
      <c r="VNR38" s="372"/>
      <c r="VNS38" s="372"/>
      <c r="VNT38" s="372"/>
      <c r="VNU38" s="372"/>
      <c r="VNV38" s="372"/>
      <c r="VNW38" s="372"/>
      <c r="VNX38" s="372"/>
      <c r="VNY38" s="372"/>
      <c r="VNZ38" s="372"/>
      <c r="VOA38" s="372"/>
      <c r="VOB38" s="372"/>
      <c r="VOC38" s="372"/>
      <c r="VOD38" s="372"/>
      <c r="VOE38" s="372"/>
      <c r="VOF38" s="372"/>
      <c r="VOG38" s="372"/>
      <c r="VOH38" s="372"/>
      <c r="VOI38" s="372"/>
      <c r="VOJ38" s="372"/>
      <c r="VOK38" s="372"/>
      <c r="VOL38" s="372"/>
      <c r="VOM38" s="372"/>
      <c r="VON38" s="372"/>
      <c r="VOO38" s="372"/>
      <c r="VOP38" s="372"/>
      <c r="VOQ38" s="372"/>
      <c r="VOR38" s="372"/>
      <c r="VOS38" s="372"/>
      <c r="VOT38" s="372"/>
      <c r="VOU38" s="372"/>
      <c r="VOV38" s="372"/>
      <c r="VOW38" s="372"/>
      <c r="VOX38" s="372"/>
      <c r="VOY38" s="372"/>
      <c r="VOZ38" s="372"/>
      <c r="VPA38" s="372"/>
      <c r="VPB38" s="372"/>
      <c r="VPC38" s="372"/>
      <c r="VPD38" s="372"/>
      <c r="VPE38" s="372"/>
      <c r="VPF38" s="372"/>
      <c r="VPG38" s="372"/>
      <c r="VPH38" s="372"/>
      <c r="VPI38" s="372"/>
      <c r="VPJ38" s="372"/>
      <c r="VPK38" s="372"/>
      <c r="VPL38" s="372"/>
      <c r="VPM38" s="372"/>
      <c r="VPN38" s="372"/>
      <c r="VPO38" s="372"/>
      <c r="VPP38" s="372"/>
      <c r="VPQ38" s="372"/>
      <c r="VPR38" s="372"/>
      <c r="VPS38" s="372"/>
      <c r="VPT38" s="372"/>
      <c r="VPU38" s="372"/>
      <c r="VPV38" s="372"/>
      <c r="VPW38" s="372"/>
      <c r="VPX38" s="372"/>
      <c r="VPY38" s="372"/>
      <c r="VPZ38" s="372"/>
      <c r="VQA38" s="372"/>
      <c r="VQB38" s="372"/>
      <c r="VQC38" s="372"/>
      <c r="VQD38" s="372"/>
      <c r="VQE38" s="372"/>
      <c r="VQF38" s="372"/>
      <c r="VQG38" s="372"/>
      <c r="VQH38" s="372"/>
      <c r="VQI38" s="372"/>
      <c r="VQJ38" s="372"/>
      <c r="VQK38" s="372"/>
      <c r="VQL38" s="372"/>
      <c r="VQM38" s="372"/>
      <c r="VQN38" s="372"/>
      <c r="VQO38" s="372"/>
      <c r="VQP38" s="372"/>
      <c r="VQQ38" s="372"/>
      <c r="VQR38" s="372"/>
      <c r="VQS38" s="372"/>
      <c r="VQT38" s="372"/>
      <c r="VQU38" s="372"/>
      <c r="VQV38" s="372"/>
      <c r="VQW38" s="372"/>
      <c r="VQX38" s="372"/>
      <c r="VQY38" s="372"/>
      <c r="VQZ38" s="372"/>
      <c r="VRA38" s="372"/>
      <c r="VRB38" s="372"/>
      <c r="VRC38" s="372"/>
      <c r="VRD38" s="372"/>
      <c r="VRE38" s="372"/>
      <c r="VRF38" s="372"/>
      <c r="VRG38" s="372"/>
      <c r="VRH38" s="372"/>
      <c r="VRI38" s="372"/>
      <c r="VRJ38" s="372"/>
      <c r="VRK38" s="372"/>
      <c r="VRL38" s="372"/>
      <c r="VRM38" s="372"/>
      <c r="VRN38" s="372"/>
      <c r="VRO38" s="372"/>
      <c r="VRP38" s="372"/>
      <c r="VRQ38" s="372"/>
      <c r="VRR38" s="372"/>
      <c r="VRS38" s="372"/>
      <c r="VRT38" s="372"/>
      <c r="VRU38" s="372"/>
      <c r="VRV38" s="372"/>
      <c r="VRW38" s="372"/>
      <c r="VRX38" s="372"/>
      <c r="VRY38" s="372"/>
      <c r="VRZ38" s="372"/>
      <c r="VSA38" s="372"/>
      <c r="VSB38" s="372"/>
      <c r="VSC38" s="372"/>
      <c r="VSD38" s="372"/>
      <c r="VSE38" s="372"/>
      <c r="VSF38" s="372"/>
      <c r="VSG38" s="372"/>
      <c r="VSH38" s="372"/>
      <c r="VSI38" s="372"/>
      <c r="VSJ38" s="372"/>
      <c r="VSK38" s="372"/>
      <c r="VSL38" s="372"/>
      <c r="VSM38" s="372"/>
      <c r="VSN38" s="372"/>
      <c r="VSO38" s="372"/>
      <c r="VSP38" s="372"/>
      <c r="VSQ38" s="372"/>
      <c r="VSR38" s="372"/>
      <c r="VSS38" s="372"/>
      <c r="VST38" s="372"/>
      <c r="VSU38" s="372"/>
      <c r="VSV38" s="372"/>
      <c r="VSW38" s="372"/>
      <c r="VSX38" s="372"/>
      <c r="VSY38" s="372"/>
      <c r="VSZ38" s="372"/>
      <c r="VTA38" s="372"/>
      <c r="VTB38" s="372"/>
      <c r="VTC38" s="372"/>
      <c r="VTD38" s="372"/>
      <c r="VTE38" s="372"/>
      <c r="VTF38" s="372"/>
      <c r="VTG38" s="372"/>
      <c r="VTH38" s="372"/>
      <c r="VTI38" s="372"/>
      <c r="VTJ38" s="372"/>
      <c r="VTK38" s="372"/>
      <c r="VTL38" s="372"/>
      <c r="VTM38" s="372"/>
      <c r="VTN38" s="372"/>
      <c r="VTO38" s="372"/>
      <c r="VTP38" s="372"/>
      <c r="VTQ38" s="372"/>
      <c r="VTR38" s="372"/>
      <c r="VTS38" s="372"/>
      <c r="VTT38" s="372"/>
      <c r="VTU38" s="372"/>
      <c r="VTV38" s="372"/>
      <c r="VTW38" s="372"/>
      <c r="VTX38" s="372"/>
      <c r="VTY38" s="372"/>
      <c r="VTZ38" s="372"/>
      <c r="VUA38" s="372"/>
      <c r="VUB38" s="372"/>
      <c r="VUC38" s="372"/>
      <c r="VUD38" s="372"/>
      <c r="VUE38" s="372"/>
      <c r="VUF38" s="372"/>
      <c r="VUG38" s="372"/>
      <c r="VUH38" s="372"/>
      <c r="VUI38" s="372"/>
      <c r="VUJ38" s="372"/>
      <c r="VUK38" s="372"/>
      <c r="VUL38" s="372"/>
      <c r="VUM38" s="372"/>
      <c r="VUN38" s="372"/>
      <c r="VUO38" s="372"/>
      <c r="VUP38" s="372"/>
      <c r="VUQ38" s="372"/>
      <c r="VUR38" s="372"/>
      <c r="VUS38" s="372"/>
      <c r="VUT38" s="372"/>
      <c r="VUU38" s="372"/>
      <c r="VUV38" s="372"/>
      <c r="VUW38" s="372"/>
      <c r="VUX38" s="372"/>
      <c r="VUY38" s="372"/>
      <c r="VUZ38" s="372"/>
      <c r="VVA38" s="372"/>
      <c r="VVB38" s="372"/>
      <c r="VVC38" s="372"/>
      <c r="VVD38" s="372"/>
      <c r="VVE38" s="372"/>
      <c r="VVF38" s="372"/>
      <c r="VVG38" s="372"/>
      <c r="VVH38" s="372"/>
      <c r="VVI38" s="372"/>
      <c r="VVJ38" s="372"/>
      <c r="VVK38" s="372"/>
      <c r="VVL38" s="372"/>
      <c r="VVM38" s="372"/>
      <c r="VVN38" s="372"/>
      <c r="VVO38" s="372"/>
      <c r="VVP38" s="372"/>
      <c r="VVQ38" s="372"/>
      <c r="VVR38" s="372"/>
      <c r="VVS38" s="372"/>
      <c r="VVT38" s="372"/>
      <c r="VVU38" s="372"/>
      <c r="VVV38" s="372"/>
      <c r="VVW38" s="372"/>
      <c r="VVX38" s="372"/>
      <c r="VVY38" s="372"/>
      <c r="VVZ38" s="372"/>
      <c r="VWA38" s="372"/>
      <c r="VWB38" s="372"/>
      <c r="VWC38" s="372"/>
      <c r="VWD38" s="372"/>
      <c r="VWE38" s="372"/>
      <c r="VWF38" s="372"/>
      <c r="VWG38" s="372"/>
      <c r="VWH38" s="372"/>
      <c r="VWI38" s="372"/>
      <c r="VWJ38" s="372"/>
      <c r="VWK38" s="372"/>
      <c r="VWL38" s="372"/>
      <c r="VWM38" s="372"/>
      <c r="VWN38" s="372"/>
      <c r="VWO38" s="372"/>
      <c r="VWP38" s="372"/>
      <c r="VWQ38" s="372"/>
      <c r="VWR38" s="372"/>
      <c r="VWS38" s="372"/>
      <c r="VWT38" s="372"/>
      <c r="VWU38" s="372"/>
      <c r="VWV38" s="372"/>
      <c r="VWW38" s="372"/>
      <c r="VWX38" s="372"/>
      <c r="VWY38" s="372"/>
      <c r="VWZ38" s="372"/>
      <c r="VXA38" s="372"/>
      <c r="VXB38" s="372"/>
      <c r="VXC38" s="372"/>
      <c r="VXD38" s="372"/>
      <c r="VXE38" s="372"/>
      <c r="VXF38" s="372"/>
      <c r="VXG38" s="372"/>
      <c r="VXH38" s="372"/>
      <c r="VXI38" s="372"/>
      <c r="VXJ38" s="372"/>
      <c r="VXK38" s="372"/>
      <c r="VXL38" s="372"/>
      <c r="VXM38" s="372"/>
      <c r="VXN38" s="372"/>
      <c r="VXO38" s="372"/>
      <c r="VXP38" s="372"/>
      <c r="VXQ38" s="372"/>
      <c r="VXR38" s="372"/>
      <c r="VXS38" s="372"/>
      <c r="VXT38" s="372"/>
      <c r="VXU38" s="372"/>
      <c r="VXV38" s="372"/>
      <c r="VXW38" s="372"/>
      <c r="VXX38" s="372"/>
      <c r="VXY38" s="372"/>
      <c r="VXZ38" s="372"/>
      <c r="VYA38" s="372"/>
      <c r="VYB38" s="372"/>
      <c r="VYC38" s="372"/>
      <c r="VYD38" s="372"/>
      <c r="VYE38" s="372"/>
      <c r="VYF38" s="372"/>
      <c r="VYG38" s="372"/>
      <c r="VYH38" s="372"/>
      <c r="VYI38" s="372"/>
      <c r="VYJ38" s="372"/>
      <c r="VYK38" s="372"/>
      <c r="VYL38" s="372"/>
      <c r="VYM38" s="372"/>
      <c r="VYN38" s="372"/>
      <c r="VYO38" s="372"/>
      <c r="VYP38" s="372"/>
      <c r="VYQ38" s="372"/>
      <c r="VYR38" s="372"/>
      <c r="VYS38" s="372"/>
      <c r="VYT38" s="372"/>
      <c r="VYU38" s="372"/>
      <c r="VYV38" s="372"/>
      <c r="VYW38" s="372"/>
      <c r="VYX38" s="372"/>
      <c r="VYY38" s="372"/>
      <c r="VYZ38" s="372"/>
      <c r="VZA38" s="372"/>
      <c r="VZB38" s="372"/>
      <c r="VZC38" s="372"/>
      <c r="VZD38" s="372"/>
      <c r="VZE38" s="372"/>
      <c r="VZF38" s="372"/>
      <c r="VZG38" s="372"/>
      <c r="VZH38" s="372"/>
      <c r="VZI38" s="372"/>
      <c r="VZJ38" s="372"/>
      <c r="VZK38" s="372"/>
      <c r="VZL38" s="372"/>
      <c r="VZM38" s="372"/>
      <c r="VZN38" s="372"/>
      <c r="VZO38" s="372"/>
      <c r="VZP38" s="372"/>
      <c r="VZQ38" s="372"/>
      <c r="VZR38" s="372"/>
      <c r="VZS38" s="372"/>
      <c r="VZT38" s="372"/>
      <c r="VZU38" s="372"/>
      <c r="VZV38" s="372"/>
      <c r="VZW38" s="372"/>
      <c r="VZX38" s="372"/>
      <c r="VZY38" s="372"/>
      <c r="VZZ38" s="372"/>
      <c r="WAA38" s="372"/>
      <c r="WAB38" s="372"/>
      <c r="WAC38" s="372"/>
      <c r="WAD38" s="372"/>
      <c r="WAE38" s="372"/>
      <c r="WAF38" s="372"/>
      <c r="WAG38" s="372"/>
      <c r="WAH38" s="372"/>
      <c r="WAI38" s="372"/>
      <c r="WAJ38" s="372"/>
      <c r="WAK38" s="372"/>
      <c r="WAL38" s="372"/>
      <c r="WAM38" s="372"/>
      <c r="WAN38" s="372"/>
      <c r="WAO38" s="372"/>
      <c r="WAP38" s="372"/>
      <c r="WAQ38" s="372"/>
      <c r="WAR38" s="372"/>
      <c r="WAS38" s="372"/>
      <c r="WAT38" s="372"/>
      <c r="WAU38" s="372"/>
      <c r="WAV38" s="372"/>
      <c r="WAW38" s="372"/>
      <c r="WAX38" s="372"/>
      <c r="WAY38" s="372"/>
      <c r="WAZ38" s="372"/>
      <c r="WBA38" s="372"/>
      <c r="WBB38" s="372"/>
      <c r="WBC38" s="372"/>
      <c r="WBD38" s="372"/>
      <c r="WBE38" s="372"/>
      <c r="WBF38" s="372"/>
      <c r="WBG38" s="372"/>
      <c r="WBH38" s="372"/>
      <c r="WBI38" s="372"/>
      <c r="WBJ38" s="372"/>
      <c r="WBK38" s="372"/>
      <c r="WBL38" s="372"/>
      <c r="WBM38" s="372"/>
      <c r="WBN38" s="372"/>
      <c r="WBO38" s="372"/>
      <c r="WBP38" s="372"/>
      <c r="WBQ38" s="372"/>
      <c r="WBR38" s="372"/>
      <c r="WBS38" s="372"/>
      <c r="WBT38" s="372"/>
      <c r="WBU38" s="372"/>
      <c r="WBV38" s="372"/>
      <c r="WBW38" s="372"/>
      <c r="WBX38" s="372"/>
      <c r="WBY38" s="372"/>
      <c r="WBZ38" s="372"/>
      <c r="WCA38" s="372"/>
      <c r="WCB38" s="372"/>
      <c r="WCC38" s="372"/>
      <c r="WCD38" s="372"/>
      <c r="WCE38" s="372"/>
      <c r="WCF38" s="372"/>
      <c r="WCG38" s="372"/>
      <c r="WCH38" s="372"/>
      <c r="WCI38" s="372"/>
      <c r="WCJ38" s="372"/>
      <c r="WCK38" s="372"/>
      <c r="WCL38" s="372"/>
      <c r="WCM38" s="372"/>
      <c r="WCN38" s="372"/>
      <c r="WCO38" s="372"/>
      <c r="WCP38" s="372"/>
      <c r="WCQ38" s="372"/>
      <c r="WCR38" s="372"/>
      <c r="WCS38" s="372"/>
      <c r="WCT38" s="372"/>
      <c r="WCU38" s="372"/>
      <c r="WCV38" s="372"/>
      <c r="WCW38" s="372"/>
      <c r="WCX38" s="372"/>
      <c r="WCY38" s="372"/>
      <c r="WCZ38" s="372"/>
      <c r="WDA38" s="372"/>
      <c r="WDB38" s="372"/>
      <c r="WDC38" s="372"/>
      <c r="WDD38" s="372"/>
      <c r="WDE38" s="372"/>
      <c r="WDF38" s="372"/>
      <c r="WDG38" s="372"/>
      <c r="WDH38" s="372"/>
      <c r="WDI38" s="372"/>
      <c r="WDJ38" s="372"/>
      <c r="WDK38" s="372"/>
      <c r="WDL38" s="372"/>
      <c r="WDM38" s="372"/>
      <c r="WDN38" s="372"/>
      <c r="WDO38" s="372"/>
      <c r="WDP38" s="372"/>
      <c r="WDQ38" s="372"/>
      <c r="WDR38" s="372"/>
      <c r="WDS38" s="372"/>
      <c r="WDT38" s="372"/>
      <c r="WDU38" s="372"/>
      <c r="WDV38" s="372"/>
      <c r="WDW38" s="372"/>
      <c r="WDX38" s="372"/>
      <c r="WDY38" s="372"/>
      <c r="WDZ38" s="372"/>
      <c r="WEA38" s="372"/>
      <c r="WEB38" s="372"/>
      <c r="WEC38" s="372"/>
      <c r="WED38" s="372"/>
      <c r="WEE38" s="372"/>
      <c r="WEF38" s="372"/>
      <c r="WEG38" s="372"/>
      <c r="WEH38" s="372"/>
      <c r="WEI38" s="372"/>
      <c r="WEJ38" s="372"/>
      <c r="WEK38" s="372"/>
      <c r="WEL38" s="372"/>
      <c r="WEM38" s="372"/>
      <c r="WEN38" s="372"/>
      <c r="WEO38" s="372"/>
      <c r="WEP38" s="372"/>
      <c r="WEQ38" s="372"/>
      <c r="WER38" s="372"/>
      <c r="WES38" s="372"/>
      <c r="WET38" s="372"/>
      <c r="WEU38" s="372"/>
      <c r="WEV38" s="372"/>
      <c r="WEW38" s="372"/>
      <c r="WEX38" s="372"/>
      <c r="WEY38" s="372"/>
      <c r="WEZ38" s="372"/>
      <c r="WFA38" s="372"/>
      <c r="WFB38" s="372"/>
      <c r="WFC38" s="372"/>
      <c r="WFD38" s="372"/>
      <c r="WFE38" s="372"/>
      <c r="WFF38" s="372"/>
      <c r="WFG38" s="372"/>
      <c r="WFH38" s="372"/>
      <c r="WFI38" s="372"/>
      <c r="WFJ38" s="372"/>
      <c r="WFK38" s="372"/>
      <c r="WFL38" s="372"/>
      <c r="WFM38" s="372"/>
      <c r="WFN38" s="372"/>
      <c r="WFO38" s="372"/>
      <c r="WFP38" s="372"/>
      <c r="WFQ38" s="372"/>
      <c r="WFR38" s="372"/>
      <c r="WFS38" s="372"/>
      <c r="WFT38" s="372"/>
      <c r="WFU38" s="372"/>
      <c r="WFV38" s="372"/>
      <c r="WFW38" s="372"/>
      <c r="WFX38" s="372"/>
      <c r="WFY38" s="372"/>
      <c r="WFZ38" s="372"/>
      <c r="WGA38" s="372"/>
      <c r="WGB38" s="372"/>
      <c r="WGC38" s="372"/>
      <c r="WGD38" s="372"/>
      <c r="WGE38" s="372"/>
      <c r="WGF38" s="372"/>
      <c r="WGG38" s="372"/>
      <c r="WGH38" s="372"/>
      <c r="WGI38" s="372"/>
      <c r="WGJ38" s="372"/>
      <c r="WGK38" s="372"/>
      <c r="WGL38" s="372"/>
      <c r="WGM38" s="372"/>
      <c r="WGN38" s="372"/>
      <c r="WGO38" s="372"/>
      <c r="WGP38" s="372"/>
      <c r="WGQ38" s="372"/>
      <c r="WGR38" s="372"/>
      <c r="WGS38" s="372"/>
      <c r="WGT38" s="372"/>
      <c r="WGU38" s="372"/>
      <c r="WGV38" s="372"/>
      <c r="WGW38" s="372"/>
      <c r="WGX38" s="372"/>
      <c r="WGY38" s="372"/>
      <c r="WGZ38" s="372"/>
      <c r="WHA38" s="372"/>
      <c r="WHB38" s="372"/>
      <c r="WHC38" s="372"/>
      <c r="WHD38" s="372"/>
      <c r="WHE38" s="372"/>
      <c r="WHF38" s="372"/>
      <c r="WHG38" s="372"/>
      <c r="WHH38" s="372"/>
      <c r="WHI38" s="372"/>
      <c r="WHJ38" s="372"/>
      <c r="WHK38" s="372"/>
      <c r="WHL38" s="372"/>
      <c r="WHM38" s="372"/>
      <c r="WHN38" s="372"/>
      <c r="WHO38" s="372"/>
      <c r="WHP38" s="372"/>
      <c r="WHQ38" s="372"/>
      <c r="WHR38" s="372"/>
      <c r="WHS38" s="372"/>
      <c r="WHT38" s="372"/>
      <c r="WHU38" s="372"/>
      <c r="WHV38" s="372"/>
      <c r="WHW38" s="372"/>
      <c r="WHX38" s="372"/>
      <c r="WHY38" s="372"/>
      <c r="WHZ38" s="372"/>
      <c r="WIA38" s="372"/>
      <c r="WIB38" s="372"/>
      <c r="WIC38" s="372"/>
      <c r="WID38" s="372"/>
      <c r="WIE38" s="372"/>
      <c r="WIF38" s="372"/>
      <c r="WIG38" s="372"/>
      <c r="WIH38" s="372"/>
      <c r="WII38" s="372"/>
      <c r="WIJ38" s="372"/>
      <c r="WIK38" s="372"/>
      <c r="WIL38" s="372"/>
      <c r="WIM38" s="372"/>
      <c r="WIN38" s="372"/>
      <c r="WIO38" s="372"/>
      <c r="WIP38" s="372"/>
      <c r="WIQ38" s="372"/>
      <c r="WIR38" s="372"/>
      <c r="WIS38" s="372"/>
      <c r="WIT38" s="372"/>
      <c r="WIU38" s="372"/>
      <c r="WIV38" s="372"/>
      <c r="WIW38" s="372"/>
      <c r="WIX38" s="372"/>
      <c r="WIY38" s="372"/>
      <c r="WIZ38" s="372"/>
      <c r="WJA38" s="372"/>
      <c r="WJB38" s="372"/>
      <c r="WJC38" s="372"/>
      <c r="WJD38" s="372"/>
      <c r="WJE38" s="372"/>
      <c r="WJF38" s="372"/>
      <c r="WJG38" s="372"/>
      <c r="WJH38" s="372"/>
      <c r="WJI38" s="372"/>
      <c r="WJJ38" s="372"/>
      <c r="WJK38" s="372"/>
      <c r="WJL38" s="372"/>
      <c r="WJM38" s="372"/>
      <c r="WJN38" s="372"/>
      <c r="WJO38" s="372"/>
      <c r="WJP38" s="372"/>
      <c r="WJQ38" s="372"/>
      <c r="WJR38" s="372"/>
      <c r="WJS38" s="372"/>
      <c r="WJT38" s="372"/>
      <c r="WJU38" s="372"/>
      <c r="WJV38" s="372"/>
      <c r="WJW38" s="372"/>
      <c r="WJX38" s="372"/>
      <c r="WJY38" s="372"/>
      <c r="WJZ38" s="372"/>
      <c r="WKA38" s="372"/>
      <c r="WKB38" s="372"/>
      <c r="WKC38" s="372"/>
      <c r="WKD38" s="372"/>
      <c r="WKE38" s="372"/>
      <c r="WKF38" s="372"/>
      <c r="WKG38" s="372"/>
      <c r="WKH38" s="372"/>
      <c r="WKI38" s="372"/>
      <c r="WKJ38" s="372"/>
      <c r="WKK38" s="372"/>
      <c r="WKL38" s="372"/>
      <c r="WKM38" s="372"/>
      <c r="WKN38" s="372"/>
      <c r="WKO38" s="372"/>
      <c r="WKP38" s="372"/>
      <c r="WKQ38" s="372"/>
      <c r="WKR38" s="372"/>
      <c r="WKS38" s="372"/>
      <c r="WKT38" s="372"/>
      <c r="WKU38" s="372"/>
      <c r="WKV38" s="372"/>
      <c r="WKW38" s="372"/>
      <c r="WKX38" s="372"/>
      <c r="WKY38" s="372"/>
      <c r="WKZ38" s="372"/>
      <c r="WLA38" s="372"/>
      <c r="WLB38" s="372"/>
      <c r="WLC38" s="372"/>
      <c r="WLD38" s="372"/>
      <c r="WLE38" s="372"/>
      <c r="WLF38" s="372"/>
      <c r="WLG38" s="372"/>
      <c r="WLH38" s="372"/>
      <c r="WLI38" s="372"/>
      <c r="WLJ38" s="372"/>
      <c r="WLK38" s="372"/>
      <c r="WLL38" s="372"/>
      <c r="WLM38" s="372"/>
      <c r="WLN38" s="372"/>
      <c r="WLO38" s="372"/>
      <c r="WLP38" s="372"/>
      <c r="WLQ38" s="372"/>
      <c r="WLR38" s="372"/>
      <c r="WLS38" s="372"/>
      <c r="WLT38" s="372"/>
      <c r="WLU38" s="372"/>
      <c r="WLV38" s="372"/>
      <c r="WLW38" s="372"/>
      <c r="WLX38" s="372"/>
      <c r="WLY38" s="372"/>
      <c r="WLZ38" s="372"/>
      <c r="WMA38" s="372"/>
      <c r="WMB38" s="372"/>
      <c r="WMC38" s="372"/>
      <c r="WMD38" s="372"/>
      <c r="WME38" s="372"/>
      <c r="WMF38" s="372"/>
      <c r="WMG38" s="372"/>
      <c r="WMH38" s="372"/>
      <c r="WMI38" s="372"/>
      <c r="WMJ38" s="372"/>
      <c r="WMK38" s="372"/>
      <c r="WML38" s="372"/>
      <c r="WMM38" s="372"/>
      <c r="WMN38" s="372"/>
      <c r="WMO38" s="372"/>
      <c r="WMP38" s="372"/>
      <c r="WMQ38" s="372"/>
      <c r="WMR38" s="372"/>
      <c r="WMS38" s="372"/>
      <c r="WMT38" s="372"/>
      <c r="WMU38" s="372"/>
      <c r="WMV38" s="372"/>
      <c r="WMW38" s="372"/>
      <c r="WMX38" s="372"/>
      <c r="WMY38" s="372"/>
      <c r="WMZ38" s="372"/>
      <c r="WNA38" s="372"/>
      <c r="WNB38" s="372"/>
      <c r="WNC38" s="372"/>
      <c r="WND38" s="372"/>
      <c r="WNE38" s="372"/>
      <c r="WNF38" s="372"/>
      <c r="WNG38" s="372"/>
      <c r="WNH38" s="372"/>
      <c r="WNI38" s="372"/>
      <c r="WNJ38" s="372"/>
      <c r="WNK38" s="372"/>
      <c r="WNL38" s="372"/>
      <c r="WNM38" s="372"/>
      <c r="WNN38" s="372"/>
      <c r="WNO38" s="372"/>
      <c r="WNP38" s="372"/>
      <c r="WNQ38" s="372"/>
      <c r="WNR38" s="372"/>
      <c r="WNS38" s="372"/>
      <c r="WNT38" s="372"/>
      <c r="WNU38" s="372"/>
      <c r="WNV38" s="372"/>
      <c r="WNW38" s="372"/>
      <c r="WNX38" s="372"/>
      <c r="WNY38" s="372"/>
      <c r="WNZ38" s="372"/>
      <c r="WOA38" s="372"/>
      <c r="WOB38" s="372"/>
      <c r="WOC38" s="372"/>
      <c r="WOD38" s="372"/>
      <c r="WOE38" s="372"/>
      <c r="WOF38" s="372"/>
      <c r="WOG38" s="372"/>
      <c r="WOH38" s="372"/>
      <c r="WOI38" s="372"/>
      <c r="WOJ38" s="372"/>
      <c r="WOK38" s="372"/>
      <c r="WOL38" s="372"/>
      <c r="WOM38" s="372"/>
      <c r="WON38" s="372"/>
      <c r="WOO38" s="372"/>
      <c r="WOP38" s="372"/>
      <c r="WOQ38" s="372"/>
      <c r="WOR38" s="372"/>
      <c r="WOS38" s="372"/>
      <c r="WOT38" s="372"/>
      <c r="WOU38" s="372"/>
      <c r="WOV38" s="372"/>
      <c r="WOW38" s="372"/>
      <c r="WOX38" s="372"/>
      <c r="WOY38" s="372"/>
      <c r="WOZ38" s="372"/>
      <c r="WPA38" s="372"/>
      <c r="WPB38" s="372"/>
      <c r="WPC38" s="372"/>
      <c r="WPD38" s="372"/>
      <c r="WPE38" s="372"/>
      <c r="WPF38" s="372"/>
      <c r="WPG38" s="372"/>
      <c r="WPH38" s="372"/>
      <c r="WPI38" s="372"/>
      <c r="WPJ38" s="372"/>
      <c r="WPK38" s="372"/>
      <c r="WPL38" s="372"/>
      <c r="WPM38" s="372"/>
      <c r="WPN38" s="372"/>
      <c r="WPO38" s="372"/>
      <c r="WPP38" s="372"/>
      <c r="WPQ38" s="372"/>
      <c r="WPR38" s="372"/>
      <c r="WPS38" s="372"/>
      <c r="WPT38" s="372"/>
      <c r="WPU38" s="372"/>
      <c r="WPV38" s="372"/>
      <c r="WPW38" s="372"/>
      <c r="WPX38" s="372"/>
      <c r="WPY38" s="372"/>
      <c r="WPZ38" s="372"/>
      <c r="WQA38" s="372"/>
      <c r="WQB38" s="372"/>
      <c r="WQC38" s="372"/>
      <c r="WQD38" s="372"/>
      <c r="WQE38" s="372"/>
      <c r="WQF38" s="372"/>
      <c r="WQG38" s="372"/>
      <c r="WQH38" s="372"/>
      <c r="WQI38" s="372"/>
      <c r="WQJ38" s="372"/>
      <c r="WQK38" s="372"/>
      <c r="WQL38" s="372"/>
      <c r="WQM38" s="372"/>
      <c r="WQN38" s="372"/>
      <c r="WQO38" s="372"/>
      <c r="WQP38" s="372"/>
      <c r="WQQ38" s="372"/>
      <c r="WQR38" s="372"/>
      <c r="WQS38" s="372"/>
      <c r="WQT38" s="372"/>
      <c r="WQU38" s="372"/>
      <c r="WQV38" s="372"/>
      <c r="WQW38" s="372"/>
      <c r="WQX38" s="372"/>
      <c r="WQY38" s="372"/>
      <c r="WQZ38" s="372"/>
      <c r="WRA38" s="372"/>
      <c r="WRB38" s="372"/>
      <c r="WRC38" s="372"/>
      <c r="WRD38" s="372"/>
      <c r="WRE38" s="372"/>
      <c r="WRF38" s="372"/>
      <c r="WRG38" s="372"/>
      <c r="WRH38" s="372"/>
      <c r="WRI38" s="372"/>
      <c r="WRJ38" s="372"/>
      <c r="WRK38" s="372"/>
      <c r="WRL38" s="372"/>
      <c r="WRM38" s="372"/>
      <c r="WRN38" s="372"/>
      <c r="WRO38" s="372"/>
      <c r="WRP38" s="372"/>
      <c r="WRQ38" s="372"/>
      <c r="WRR38" s="372"/>
      <c r="WRS38" s="372"/>
      <c r="WRT38" s="372"/>
      <c r="WRU38" s="372"/>
      <c r="WRV38" s="372"/>
      <c r="WRW38" s="372"/>
      <c r="WRX38" s="372"/>
      <c r="WRY38" s="372"/>
      <c r="WRZ38" s="372"/>
      <c r="WSA38" s="372"/>
      <c r="WSB38" s="372"/>
      <c r="WSC38" s="372"/>
      <c r="WSD38" s="372"/>
      <c r="WSE38" s="372"/>
      <c r="WSF38" s="372"/>
      <c r="WSG38" s="372"/>
      <c r="WSH38" s="372"/>
      <c r="WSI38" s="372"/>
      <c r="WSJ38" s="372"/>
      <c r="WSK38" s="372"/>
      <c r="WSL38" s="372"/>
      <c r="WSM38" s="372"/>
      <c r="WSN38" s="372"/>
      <c r="WSO38" s="372"/>
      <c r="WSP38" s="372"/>
      <c r="WSQ38" s="372"/>
      <c r="WSR38" s="372"/>
      <c r="WSS38" s="372"/>
      <c r="WST38" s="372"/>
      <c r="WSU38" s="372"/>
      <c r="WSV38" s="372"/>
      <c r="WSW38" s="372"/>
      <c r="WSX38" s="372"/>
      <c r="WSY38" s="372"/>
      <c r="WSZ38" s="372"/>
      <c r="WTA38" s="372"/>
      <c r="WTB38" s="372"/>
      <c r="WTC38" s="372"/>
      <c r="WTD38" s="372"/>
      <c r="WTE38" s="372"/>
      <c r="WTF38" s="372"/>
      <c r="WTG38" s="372"/>
      <c r="WTH38" s="372"/>
      <c r="WTI38" s="372"/>
      <c r="WTJ38" s="372"/>
      <c r="WTK38" s="372"/>
      <c r="WTL38" s="372"/>
      <c r="WTM38" s="372"/>
      <c r="WTN38" s="372"/>
      <c r="WTO38" s="372"/>
      <c r="WTP38" s="372"/>
      <c r="WTQ38" s="372"/>
      <c r="WTR38" s="372"/>
      <c r="WTS38" s="372"/>
      <c r="WTT38" s="372"/>
      <c r="WTU38" s="372"/>
      <c r="WTV38" s="372"/>
      <c r="WTW38" s="372"/>
      <c r="WTX38" s="372"/>
      <c r="WTY38" s="372"/>
      <c r="WTZ38" s="372"/>
      <c r="WUA38" s="372"/>
      <c r="WUB38" s="372"/>
      <c r="WUC38" s="372"/>
      <c r="WUD38" s="372"/>
      <c r="WUE38" s="372"/>
      <c r="WUF38" s="372"/>
      <c r="WUG38" s="372"/>
      <c r="WUH38" s="372"/>
      <c r="WUI38" s="372"/>
      <c r="WUJ38" s="372"/>
      <c r="WUK38" s="372"/>
      <c r="WUL38" s="372"/>
      <c r="WUM38" s="372"/>
      <c r="WUN38" s="372"/>
      <c r="WUO38" s="372"/>
      <c r="WUP38" s="372"/>
      <c r="WUQ38" s="372"/>
      <c r="WUR38" s="372"/>
      <c r="WUS38" s="372"/>
      <c r="WUT38" s="372"/>
      <c r="WUU38" s="372"/>
      <c r="WUV38" s="372"/>
      <c r="WUW38" s="372"/>
      <c r="WUX38" s="372"/>
      <c r="WUY38" s="372"/>
      <c r="WUZ38" s="372"/>
      <c r="WVA38" s="372"/>
      <c r="WVB38" s="372"/>
      <c r="WVC38" s="372"/>
      <c r="WVD38" s="372"/>
      <c r="WVE38" s="372"/>
      <c r="WVF38" s="372"/>
      <c r="WVG38" s="372"/>
      <c r="WVH38" s="372"/>
      <c r="WVI38" s="372"/>
      <c r="WVJ38" s="372"/>
      <c r="WVK38" s="372"/>
      <c r="WVL38" s="372"/>
      <c r="WVM38" s="372"/>
      <c r="WVN38" s="372"/>
      <c r="WVO38" s="372"/>
      <c r="WVP38" s="372"/>
      <c r="WVQ38" s="372"/>
      <c r="WVR38" s="372"/>
      <c r="WVS38" s="372"/>
      <c r="WVT38" s="372"/>
      <c r="WVU38" s="372"/>
      <c r="WVV38" s="372"/>
      <c r="WVW38" s="372"/>
      <c r="WVX38" s="372"/>
      <c r="WVY38" s="372"/>
      <c r="WVZ38" s="372"/>
      <c r="WWA38" s="372"/>
      <c r="WWB38" s="372"/>
      <c r="WWC38" s="372"/>
      <c r="WWD38" s="372"/>
      <c r="WWE38" s="372"/>
      <c r="WWF38" s="372"/>
      <c r="WWG38" s="372"/>
      <c r="WWH38" s="372"/>
      <c r="WWI38" s="372"/>
      <c r="WWJ38" s="372"/>
      <c r="WWK38" s="372"/>
      <c r="WWL38" s="372"/>
      <c r="WWM38" s="372"/>
      <c r="WWN38" s="372"/>
      <c r="WWO38" s="372"/>
      <c r="WWP38" s="372"/>
      <c r="WWQ38" s="372"/>
      <c r="WWR38" s="372"/>
      <c r="WWS38" s="372"/>
      <c r="WWT38" s="372"/>
      <c r="WWU38" s="372"/>
      <c r="WWV38" s="372"/>
      <c r="WWW38" s="372"/>
      <c r="WWX38" s="372"/>
      <c r="WWY38" s="372"/>
      <c r="WWZ38" s="372"/>
      <c r="WXA38" s="372"/>
      <c r="WXB38" s="372"/>
      <c r="WXC38" s="372"/>
      <c r="WXD38" s="372"/>
      <c r="WXE38" s="372"/>
      <c r="WXF38" s="372"/>
      <c r="WXG38" s="372"/>
      <c r="WXH38" s="372"/>
      <c r="WXI38" s="372"/>
      <c r="WXJ38" s="372"/>
      <c r="WXK38" s="372"/>
      <c r="WXL38" s="372"/>
      <c r="WXM38" s="372"/>
      <c r="WXN38" s="372"/>
      <c r="WXO38" s="372"/>
      <c r="WXP38" s="372"/>
      <c r="WXQ38" s="372"/>
      <c r="WXR38" s="372"/>
      <c r="WXS38" s="372"/>
      <c r="WXT38" s="372"/>
      <c r="WXU38" s="372"/>
      <c r="WXV38" s="372"/>
      <c r="WXW38" s="372"/>
      <c r="WXX38" s="372"/>
      <c r="WXY38" s="372"/>
      <c r="WXZ38" s="372"/>
      <c r="WYA38" s="372"/>
      <c r="WYB38" s="372"/>
      <c r="WYC38" s="372"/>
      <c r="WYD38" s="372"/>
      <c r="WYE38" s="372"/>
      <c r="WYF38" s="372"/>
      <c r="WYG38" s="372"/>
      <c r="WYH38" s="372"/>
      <c r="WYI38" s="372"/>
      <c r="WYJ38" s="372"/>
      <c r="WYK38" s="372"/>
      <c r="WYL38" s="372"/>
      <c r="WYM38" s="372"/>
      <c r="WYN38" s="372"/>
      <c r="WYO38" s="372"/>
      <c r="WYP38" s="372"/>
      <c r="WYQ38" s="372"/>
      <c r="WYR38" s="372"/>
      <c r="WYS38" s="372"/>
      <c r="WYT38" s="372"/>
      <c r="WYU38" s="372"/>
      <c r="WYV38" s="372"/>
      <c r="WYW38" s="372"/>
      <c r="WYX38" s="372"/>
      <c r="WYY38" s="372"/>
      <c r="WYZ38" s="372"/>
      <c r="WZA38" s="372"/>
      <c r="WZB38" s="372"/>
      <c r="WZC38" s="372"/>
      <c r="WZD38" s="372"/>
      <c r="WZE38" s="372"/>
      <c r="WZF38" s="372"/>
      <c r="WZG38" s="372"/>
      <c r="WZH38" s="372"/>
      <c r="WZI38" s="372"/>
      <c r="WZJ38" s="372"/>
      <c r="WZK38" s="372"/>
      <c r="WZL38" s="372"/>
      <c r="WZM38" s="372"/>
      <c r="WZN38" s="372"/>
      <c r="WZO38" s="372"/>
      <c r="WZP38" s="372"/>
      <c r="WZQ38" s="372"/>
      <c r="WZR38" s="372"/>
      <c r="WZS38" s="372"/>
      <c r="WZT38" s="372"/>
      <c r="WZU38" s="372"/>
      <c r="WZV38" s="372"/>
      <c r="WZW38" s="372"/>
      <c r="WZX38" s="372"/>
      <c r="WZY38" s="372"/>
      <c r="WZZ38" s="372"/>
      <c r="XAA38" s="372"/>
      <c r="XAB38" s="372"/>
      <c r="XAC38" s="372"/>
      <c r="XAD38" s="372"/>
      <c r="XAE38" s="372"/>
      <c r="XAF38" s="372"/>
      <c r="XAG38" s="372"/>
      <c r="XAH38" s="372"/>
      <c r="XAI38" s="372"/>
      <c r="XAJ38" s="372"/>
      <c r="XAK38" s="372"/>
      <c r="XAL38" s="372"/>
      <c r="XAM38" s="372"/>
      <c r="XAN38" s="372"/>
      <c r="XAO38" s="372"/>
      <c r="XAP38" s="372"/>
      <c r="XAQ38" s="372"/>
      <c r="XAR38" s="372"/>
      <c r="XAS38" s="372"/>
      <c r="XAT38" s="372"/>
      <c r="XAU38" s="372"/>
      <c r="XAV38" s="372"/>
      <c r="XAW38" s="372"/>
      <c r="XAX38" s="372"/>
      <c r="XAY38" s="372"/>
      <c r="XAZ38" s="372"/>
      <c r="XBA38" s="372"/>
      <c r="XBB38" s="372"/>
      <c r="XBC38" s="372"/>
      <c r="XBD38" s="372"/>
      <c r="XBE38" s="372"/>
      <c r="XBF38" s="372"/>
      <c r="XBG38" s="372"/>
      <c r="XBH38" s="372"/>
      <c r="XBI38" s="372"/>
      <c r="XBJ38" s="372"/>
      <c r="XBK38" s="372"/>
      <c r="XBL38" s="372"/>
      <c r="XBM38" s="372"/>
      <c r="XBN38" s="372"/>
      <c r="XBO38" s="372"/>
      <c r="XBP38" s="372"/>
      <c r="XBQ38" s="372"/>
      <c r="XBR38" s="372"/>
      <c r="XBS38" s="372"/>
      <c r="XBT38" s="372"/>
      <c r="XBU38" s="372"/>
      <c r="XBV38" s="372"/>
      <c r="XBW38" s="372"/>
      <c r="XBX38" s="372"/>
      <c r="XBY38" s="372"/>
      <c r="XBZ38" s="372"/>
      <c r="XCA38" s="372"/>
      <c r="XCB38" s="372"/>
      <c r="XCC38" s="372"/>
      <c r="XCD38" s="372"/>
      <c r="XCE38" s="372"/>
      <c r="XCF38" s="372"/>
      <c r="XCG38" s="372"/>
      <c r="XCH38" s="372"/>
      <c r="XCI38" s="372"/>
      <c r="XCJ38" s="372"/>
      <c r="XCK38" s="372"/>
      <c r="XCL38" s="372"/>
      <c r="XCM38" s="372"/>
      <c r="XCN38" s="372"/>
      <c r="XCO38" s="372"/>
      <c r="XCP38" s="372"/>
      <c r="XCQ38" s="372"/>
      <c r="XCR38" s="372"/>
      <c r="XCS38" s="372"/>
      <c r="XCT38" s="372"/>
      <c r="XCU38" s="372"/>
      <c r="XCV38" s="372"/>
      <c r="XCW38" s="372"/>
      <c r="XCX38" s="372"/>
      <c r="XCY38" s="372"/>
      <c r="XCZ38" s="372"/>
      <c r="XDA38" s="372"/>
      <c r="XDB38" s="372"/>
      <c r="XDC38" s="372"/>
      <c r="XDD38" s="372"/>
      <c r="XDE38" s="372"/>
      <c r="XDF38" s="372"/>
      <c r="XDG38" s="372"/>
      <c r="XDH38" s="372"/>
      <c r="XDI38" s="372"/>
      <c r="XDJ38" s="372"/>
      <c r="XDK38" s="372"/>
      <c r="XDL38" s="372"/>
      <c r="XDM38" s="372"/>
      <c r="XDN38" s="372"/>
      <c r="XDO38" s="372"/>
      <c r="XDP38" s="372"/>
      <c r="XDQ38" s="372"/>
      <c r="XDR38" s="372"/>
      <c r="XDS38" s="372"/>
      <c r="XDT38" s="372"/>
      <c r="XDU38" s="372"/>
      <c r="XDV38" s="372"/>
      <c r="XDW38" s="372"/>
      <c r="XDX38" s="372"/>
      <c r="XDY38" s="372"/>
      <c r="XDZ38" s="372"/>
      <c r="XEA38" s="372"/>
      <c r="XEB38" s="372"/>
      <c r="XEC38" s="372"/>
      <c r="XED38" s="372"/>
      <c r="XEE38" s="372"/>
      <c r="XEF38" s="372"/>
      <c r="XEG38" s="372"/>
      <c r="XEH38" s="372"/>
      <c r="XEI38" s="372"/>
      <c r="XEJ38" s="372"/>
      <c r="XEK38" s="372"/>
      <c r="XEL38" s="372"/>
      <c r="XEM38" s="372"/>
      <c r="XEN38" s="372"/>
      <c r="XEO38" s="372"/>
      <c r="XEP38" s="372"/>
      <c r="XEQ38" s="372"/>
      <c r="XER38" s="372"/>
      <c r="XES38" s="372"/>
      <c r="XET38" s="372"/>
      <c r="XEU38" s="372"/>
      <c r="XEV38" s="372"/>
      <c r="XEW38" s="372"/>
      <c r="XEX38" s="372"/>
      <c r="XEY38" s="372"/>
      <c r="XEZ38" s="372"/>
      <c r="XFA38" s="372"/>
      <c r="XFB38" s="372"/>
      <c r="XFC38" s="372"/>
      <c r="XFD38" s="372"/>
    </row>
    <row r="39" spans="2:16384" ht="70" customHeight="1" x14ac:dyDescent="0.3">
      <c r="B39" s="369" t="s">
        <v>1225</v>
      </c>
      <c r="C39" s="363"/>
      <c r="D39" s="363"/>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359"/>
      <c r="AE39" s="359"/>
      <c r="AF39" s="359"/>
      <c r="AG39" s="359"/>
      <c r="AH39" s="359"/>
      <c r="AI39" s="359"/>
      <c r="AJ39" s="359"/>
      <c r="AK39" s="359"/>
      <c r="AL39" s="359"/>
      <c r="AM39" s="359"/>
      <c r="AN39" s="359"/>
      <c r="AO39" s="359"/>
      <c r="AP39" s="359"/>
      <c r="AQ39" s="359"/>
      <c r="AR39" s="359"/>
      <c r="AS39" s="359"/>
      <c r="AT39" s="359"/>
      <c r="AU39" s="359"/>
      <c r="AV39" s="359"/>
      <c r="AW39" s="359"/>
      <c r="AX39" s="359"/>
      <c r="AY39" s="359"/>
      <c r="AZ39" s="359"/>
      <c r="BA39" s="359"/>
      <c r="BB39" s="359"/>
      <c r="BC39" s="359"/>
      <c r="BD39" s="359"/>
      <c r="BE39" s="359"/>
      <c r="BF39" s="359"/>
      <c r="BG39" s="359"/>
      <c r="BH39" s="359"/>
      <c r="BI39" s="359"/>
      <c r="BJ39" s="359"/>
      <c r="BK39" s="359"/>
      <c r="BL39" s="359"/>
      <c r="BM39" s="359"/>
      <c r="BN39" s="359"/>
      <c r="BO39" s="359"/>
      <c r="BP39" s="359"/>
      <c r="BQ39" s="359"/>
      <c r="BR39" s="359"/>
      <c r="BS39" s="359"/>
      <c r="BT39" s="359"/>
      <c r="BU39" s="359"/>
      <c r="BV39" s="359"/>
      <c r="BW39" s="427"/>
      <c r="BX39" s="424"/>
      <c r="BY39" s="427"/>
      <c r="BZ39" s="424"/>
      <c r="CA39" s="427"/>
      <c r="CB39" s="424"/>
      <c r="CC39" s="427"/>
      <c r="CD39" s="424"/>
      <c r="CE39" s="427"/>
      <c r="CF39" s="424"/>
      <c r="CG39" s="427"/>
      <c r="CH39" s="424"/>
      <c r="CI39" s="427"/>
      <c r="CJ39" s="424"/>
      <c r="CK39" s="427"/>
      <c r="CL39" s="424"/>
      <c r="CM39" s="427"/>
      <c r="CN39" s="424"/>
      <c r="CO39" s="427"/>
      <c r="CP39" s="424"/>
      <c r="CQ39" s="427"/>
      <c r="CR39" s="424"/>
      <c r="CS39" s="427"/>
      <c r="CT39" s="424"/>
      <c r="CU39" s="427"/>
      <c r="CV39" s="424"/>
      <c r="CW39" s="427"/>
      <c r="CX39" s="424"/>
      <c r="CY39" s="427"/>
      <c r="CZ39" s="424"/>
      <c r="DA39" s="427"/>
      <c r="DB39" s="424"/>
      <c r="DC39" s="427"/>
      <c r="DD39" s="424"/>
      <c r="DE39" s="427"/>
      <c r="DF39" s="424"/>
      <c r="DG39" s="427"/>
      <c r="DH39" s="424"/>
      <c r="DI39" s="427"/>
      <c r="DJ39" s="424"/>
      <c r="DK39" s="427"/>
      <c r="DL39" s="424"/>
      <c r="DM39" s="427"/>
      <c r="DN39" s="424"/>
      <c r="DO39" s="427"/>
      <c r="DP39" s="424"/>
      <c r="DQ39" s="427"/>
      <c r="DR39" s="424"/>
      <c r="DS39" s="427"/>
      <c r="DT39" s="424"/>
      <c r="DU39" s="427"/>
      <c r="DV39" s="424"/>
      <c r="DW39" s="427"/>
      <c r="DX39" s="424"/>
      <c r="DY39" s="427"/>
      <c r="DZ39" s="424"/>
      <c r="EA39" s="427"/>
      <c r="EB39" s="424"/>
      <c r="EC39" s="427"/>
      <c r="ED39" s="424"/>
      <c r="EE39" s="427"/>
      <c r="EF39" s="424"/>
      <c r="EG39" s="427"/>
      <c r="EH39" s="424"/>
      <c r="EI39" s="427"/>
      <c r="EJ39" s="424"/>
      <c r="EK39" s="427"/>
      <c r="EL39" s="424"/>
      <c r="EM39" s="427"/>
      <c r="EN39" s="424"/>
      <c r="EO39" s="427"/>
      <c r="EP39" s="424"/>
      <c r="EQ39" s="427"/>
      <c r="ER39" s="424"/>
      <c r="ES39" s="427"/>
      <c r="ET39" s="424"/>
      <c r="EU39" s="427"/>
      <c r="EV39" s="424"/>
      <c r="EW39" s="427"/>
      <c r="EX39" s="424"/>
      <c r="EY39" s="427"/>
      <c r="EZ39" s="424"/>
      <c r="FA39" s="427"/>
      <c r="FB39" s="424"/>
      <c r="FC39" s="427"/>
      <c r="FD39" s="424"/>
      <c r="FE39" s="427"/>
      <c r="FF39" s="424"/>
      <c r="FG39" s="427"/>
      <c r="FH39" s="424"/>
      <c r="FI39" s="427"/>
      <c r="FJ39" s="424"/>
      <c r="FK39" s="427"/>
      <c r="FL39" s="424"/>
      <c r="FM39" s="427"/>
      <c r="FN39" s="424"/>
      <c r="FO39" s="427"/>
      <c r="FP39" s="424"/>
      <c r="FQ39" s="427"/>
      <c r="FR39" s="424"/>
      <c r="FS39" s="427"/>
      <c r="FT39" s="424"/>
      <c r="FU39" s="427"/>
      <c r="FV39" s="424"/>
      <c r="FW39" s="427"/>
      <c r="FX39" s="424"/>
      <c r="FY39" s="427"/>
      <c r="FZ39" s="424"/>
      <c r="GA39" s="427"/>
      <c r="GB39" s="424"/>
      <c r="GC39" s="427"/>
      <c r="GD39" s="424"/>
      <c r="GE39" s="427"/>
      <c r="GF39" s="424"/>
      <c r="GG39" s="427"/>
      <c r="GH39" s="424"/>
      <c r="GI39" s="427"/>
      <c r="GJ39" s="424"/>
      <c r="GK39" s="427"/>
      <c r="GL39" s="424"/>
      <c r="GM39" s="427"/>
      <c r="GN39" s="424"/>
      <c r="GO39" s="427"/>
      <c r="GP39" s="424"/>
      <c r="GQ39" s="427"/>
      <c r="GR39" s="424"/>
      <c r="GS39" s="427"/>
      <c r="GT39" s="424"/>
      <c r="GU39" s="427"/>
      <c r="GV39" s="424"/>
      <c r="GW39" s="427"/>
      <c r="GX39" s="424"/>
      <c r="GY39" s="427"/>
      <c r="GZ39" s="424"/>
      <c r="HA39" s="427"/>
      <c r="HB39" s="424"/>
      <c r="HC39" s="427"/>
      <c r="HD39" s="424"/>
      <c r="HE39" s="427"/>
      <c r="HF39" s="424"/>
      <c r="HG39" s="427"/>
      <c r="HH39" s="424"/>
      <c r="HI39" s="427"/>
      <c r="HJ39" s="424"/>
      <c r="HK39" s="427"/>
      <c r="HL39" s="424"/>
      <c r="HM39" s="427"/>
      <c r="HN39" s="424"/>
      <c r="HO39" s="427"/>
      <c r="HP39" s="424"/>
      <c r="HQ39" s="427"/>
      <c r="HR39" s="424"/>
      <c r="HS39" s="427"/>
      <c r="HT39" s="424"/>
      <c r="HU39" s="427"/>
      <c r="HV39" s="424"/>
      <c r="HW39" s="427"/>
      <c r="HX39" s="424"/>
      <c r="HY39" s="427"/>
      <c r="HZ39" s="424"/>
      <c r="IA39" s="427"/>
      <c r="IB39" s="424"/>
      <c r="IC39" s="427"/>
      <c r="ID39" s="424"/>
      <c r="IE39" s="427"/>
      <c r="IF39" s="424"/>
      <c r="IG39" s="427"/>
      <c r="IH39" s="424"/>
      <c r="II39" s="427"/>
      <c r="IJ39" s="424"/>
      <c r="IK39" s="427"/>
      <c r="IL39" s="424"/>
      <c r="IM39" s="427"/>
      <c r="IN39" s="424"/>
      <c r="IO39" s="427"/>
      <c r="IP39" s="424"/>
      <c r="IQ39" s="427"/>
      <c r="IR39" s="424"/>
      <c r="IS39" s="427"/>
      <c r="IT39" s="424"/>
      <c r="IU39" s="427"/>
      <c r="IV39" s="424"/>
      <c r="IW39" s="427"/>
      <c r="IX39" s="424"/>
      <c r="IY39" s="427"/>
      <c r="IZ39" s="424"/>
      <c r="JA39" s="427"/>
      <c r="JB39" s="424"/>
      <c r="JC39" s="427"/>
      <c r="JD39" s="424"/>
      <c r="JE39" s="427"/>
      <c r="JF39" s="424"/>
      <c r="JG39" s="427"/>
      <c r="JH39" s="424"/>
      <c r="JI39" s="427"/>
      <c r="JJ39" s="424"/>
      <c r="JK39" s="427"/>
      <c r="JL39" s="424"/>
      <c r="JM39" s="427"/>
      <c r="JN39" s="424"/>
      <c r="JO39" s="427"/>
      <c r="JP39" s="424"/>
      <c r="JQ39" s="427"/>
      <c r="JR39" s="424"/>
      <c r="JS39" s="427"/>
      <c r="JT39" s="424"/>
      <c r="JU39" s="427"/>
      <c r="JV39" s="424"/>
      <c r="JW39" s="427"/>
      <c r="JX39" s="424"/>
      <c r="JY39" s="427"/>
      <c r="JZ39" s="424"/>
      <c r="KA39" s="427"/>
      <c r="KB39" s="424"/>
      <c r="KC39" s="427"/>
      <c r="KD39" s="424"/>
      <c r="KE39" s="427"/>
      <c r="KF39" s="424"/>
      <c r="KG39" s="427"/>
      <c r="KH39" s="424"/>
      <c r="KI39" s="427"/>
      <c r="KJ39" s="424"/>
      <c r="KK39" s="427"/>
      <c r="KL39" s="424"/>
      <c r="KM39" s="427"/>
      <c r="KN39" s="424"/>
      <c r="KO39" s="427"/>
      <c r="KP39" s="424"/>
      <c r="KQ39" s="427"/>
      <c r="KR39" s="424"/>
      <c r="KS39" s="427"/>
      <c r="KT39" s="424"/>
      <c r="KU39" s="427"/>
      <c r="KV39" s="424"/>
      <c r="KW39" s="427"/>
      <c r="KX39" s="424"/>
      <c r="KY39" s="427"/>
      <c r="KZ39" s="424"/>
      <c r="LA39" s="427"/>
      <c r="LB39" s="424"/>
      <c r="LC39" s="427"/>
      <c r="LD39" s="424"/>
      <c r="LE39" s="427"/>
      <c r="LF39" s="424"/>
      <c r="LG39" s="427"/>
      <c r="LH39" s="424"/>
      <c r="LI39" s="427"/>
      <c r="LJ39" s="424"/>
      <c r="LK39" s="427"/>
      <c r="LL39" s="424"/>
      <c r="LM39" s="427"/>
      <c r="LN39" s="424"/>
      <c r="LO39" s="427"/>
      <c r="LP39" s="424"/>
      <c r="LQ39" s="427"/>
      <c r="LR39" s="424"/>
      <c r="LS39" s="427"/>
      <c r="LT39" s="424"/>
      <c r="LU39" s="427"/>
      <c r="LV39" s="424"/>
      <c r="LW39" s="427"/>
      <c r="LX39" s="424"/>
      <c r="LY39" s="427"/>
      <c r="LZ39" s="424"/>
      <c r="MA39" s="427"/>
      <c r="MB39" s="424"/>
      <c r="MC39" s="427"/>
      <c r="MD39" s="424"/>
      <c r="ME39" s="427"/>
      <c r="MF39" s="424"/>
      <c r="MG39" s="427"/>
      <c r="MH39" s="424"/>
      <c r="MI39" s="427"/>
      <c r="MJ39" s="424"/>
      <c r="MK39" s="427"/>
      <c r="ML39" s="424"/>
      <c r="MM39" s="427"/>
      <c r="MN39" s="424"/>
      <c r="MO39" s="427"/>
      <c r="MP39" s="424"/>
      <c r="MQ39" s="427"/>
      <c r="MR39" s="424"/>
      <c r="MS39" s="427"/>
      <c r="MT39" s="424"/>
      <c r="MU39" s="427"/>
      <c r="MV39" s="424"/>
      <c r="MW39" s="427"/>
      <c r="MX39" s="424"/>
      <c r="MY39" s="427"/>
      <c r="MZ39" s="424"/>
      <c r="NA39" s="427"/>
      <c r="NB39" s="424"/>
      <c r="NC39" s="427"/>
      <c r="ND39" s="424"/>
      <c r="NE39" s="427"/>
      <c r="NF39" s="424"/>
      <c r="NG39" s="427"/>
      <c r="NH39" s="424"/>
      <c r="NI39" s="427"/>
      <c r="NJ39" s="424"/>
      <c r="NK39" s="427"/>
      <c r="NL39" s="424"/>
      <c r="NM39" s="427"/>
      <c r="NN39" s="424"/>
      <c r="NO39" s="427"/>
      <c r="NP39" s="424"/>
      <c r="NQ39" s="427"/>
      <c r="NR39" s="424"/>
      <c r="NS39" s="427"/>
      <c r="NT39" s="424"/>
      <c r="NU39" s="427"/>
      <c r="NV39" s="424"/>
      <c r="NW39" s="427"/>
      <c r="NX39" s="424"/>
      <c r="NY39" s="427"/>
      <c r="NZ39" s="424"/>
      <c r="OA39" s="427"/>
      <c r="OB39" s="424"/>
      <c r="OC39" s="427"/>
      <c r="OD39" s="424"/>
      <c r="OE39" s="427"/>
      <c r="OF39" s="424"/>
      <c r="OG39" s="427"/>
      <c r="OH39" s="424"/>
      <c r="OI39" s="427"/>
      <c r="OJ39" s="424"/>
      <c r="OK39" s="427"/>
      <c r="OL39" s="424"/>
      <c r="OM39" s="427"/>
      <c r="ON39" s="424"/>
      <c r="OO39" s="427"/>
      <c r="OP39" s="424"/>
      <c r="OQ39" s="427"/>
      <c r="OR39" s="424"/>
      <c r="OS39" s="427"/>
      <c r="OT39" s="424"/>
      <c r="OU39" s="427"/>
      <c r="OV39" s="424"/>
      <c r="OW39" s="427"/>
      <c r="OX39" s="424"/>
      <c r="OY39" s="427"/>
      <c r="OZ39" s="424"/>
      <c r="PA39" s="427"/>
      <c r="PB39" s="424"/>
      <c r="PC39" s="427"/>
      <c r="PD39" s="424"/>
      <c r="PE39" s="427"/>
      <c r="PF39" s="424"/>
      <c r="PG39" s="427"/>
      <c r="PH39" s="424"/>
      <c r="PI39" s="427"/>
      <c r="PJ39" s="424"/>
      <c r="PK39" s="427"/>
      <c r="PL39" s="424"/>
      <c r="PM39" s="427"/>
      <c r="PN39" s="424"/>
      <c r="PO39" s="427"/>
      <c r="PP39" s="424"/>
      <c r="PQ39" s="427"/>
      <c r="PR39" s="424"/>
      <c r="PS39" s="427"/>
      <c r="PT39" s="424"/>
      <c r="PU39" s="427"/>
      <c r="PV39" s="424"/>
      <c r="PW39" s="427"/>
      <c r="PX39" s="424"/>
      <c r="PY39" s="427"/>
      <c r="PZ39" s="424"/>
      <c r="QA39" s="427"/>
      <c r="QB39" s="424"/>
      <c r="QC39" s="427"/>
      <c r="QD39" s="424"/>
      <c r="QE39" s="427"/>
      <c r="QF39" s="424"/>
      <c r="QG39" s="427"/>
      <c r="QH39" s="424"/>
      <c r="QI39" s="427"/>
      <c r="QJ39" s="424"/>
      <c r="QK39" s="427"/>
      <c r="QL39" s="424"/>
      <c r="QM39" s="427"/>
      <c r="QN39" s="424"/>
      <c r="QO39" s="427"/>
      <c r="QP39" s="424"/>
      <c r="QQ39" s="427"/>
      <c r="QR39" s="424"/>
      <c r="QS39" s="427"/>
      <c r="QT39" s="424"/>
      <c r="QU39" s="427"/>
      <c r="QV39" s="424"/>
      <c r="QW39" s="427"/>
      <c r="QX39" s="424"/>
      <c r="QY39" s="427"/>
      <c r="QZ39" s="424"/>
      <c r="RA39" s="427"/>
      <c r="RB39" s="424"/>
      <c r="RC39" s="427"/>
      <c r="RD39" s="424"/>
      <c r="RE39" s="427"/>
      <c r="RF39" s="424"/>
      <c r="RG39" s="427"/>
      <c r="RH39" s="424"/>
      <c r="RI39" s="427"/>
      <c r="RJ39" s="424"/>
      <c r="RK39" s="427"/>
      <c r="RL39" s="424"/>
      <c r="RM39" s="427"/>
      <c r="RN39" s="424"/>
      <c r="RO39" s="427"/>
      <c r="RP39" s="424"/>
      <c r="RQ39" s="427"/>
      <c r="RR39" s="424"/>
      <c r="RS39" s="427"/>
      <c r="RT39" s="424"/>
      <c r="RU39" s="427"/>
      <c r="RV39" s="424"/>
      <c r="RW39" s="427"/>
      <c r="RX39" s="424"/>
      <c r="RY39" s="427"/>
      <c r="RZ39" s="424"/>
      <c r="SA39" s="427"/>
      <c r="SB39" s="424"/>
      <c r="SC39" s="427"/>
      <c r="SD39" s="424"/>
      <c r="SE39" s="427"/>
      <c r="SF39" s="424"/>
      <c r="SG39" s="427"/>
      <c r="SH39" s="424"/>
      <c r="SI39" s="427"/>
      <c r="SJ39" s="424"/>
      <c r="SK39" s="427"/>
      <c r="SL39" s="424"/>
      <c r="SM39" s="427"/>
      <c r="SN39" s="424"/>
      <c r="SO39" s="427"/>
      <c r="SP39" s="424"/>
      <c r="SQ39" s="427"/>
      <c r="SR39" s="424"/>
      <c r="SS39" s="427"/>
      <c r="ST39" s="424"/>
      <c r="SU39" s="427"/>
      <c r="SV39" s="424"/>
      <c r="SW39" s="427"/>
      <c r="SX39" s="424"/>
      <c r="SY39" s="427"/>
      <c r="SZ39" s="424"/>
      <c r="TA39" s="427"/>
      <c r="TB39" s="424"/>
      <c r="TC39" s="427"/>
      <c r="TD39" s="424"/>
      <c r="TE39" s="427"/>
      <c r="TF39" s="424"/>
      <c r="TG39" s="427"/>
      <c r="TH39" s="424"/>
      <c r="TI39" s="427"/>
      <c r="TJ39" s="424"/>
      <c r="TK39" s="427"/>
      <c r="TL39" s="424"/>
      <c r="TM39" s="427"/>
      <c r="TN39" s="424"/>
      <c r="TO39" s="427"/>
      <c r="TP39" s="424"/>
      <c r="TQ39" s="427"/>
      <c r="TR39" s="424"/>
      <c r="TS39" s="427"/>
      <c r="TT39" s="424"/>
      <c r="TU39" s="427"/>
      <c r="TV39" s="424"/>
      <c r="TW39" s="427"/>
      <c r="TX39" s="424"/>
      <c r="TY39" s="427"/>
      <c r="TZ39" s="424"/>
      <c r="UA39" s="427"/>
      <c r="UB39" s="424"/>
      <c r="UC39" s="427"/>
      <c r="UD39" s="424"/>
      <c r="UE39" s="427"/>
      <c r="UF39" s="424"/>
      <c r="UG39" s="427"/>
      <c r="UH39" s="424"/>
      <c r="UI39" s="427"/>
      <c r="UJ39" s="424"/>
      <c r="UK39" s="427"/>
      <c r="UL39" s="424"/>
      <c r="UM39" s="427"/>
      <c r="UN39" s="424"/>
      <c r="UO39" s="427"/>
      <c r="UP39" s="424"/>
      <c r="UQ39" s="427"/>
      <c r="UR39" s="424"/>
      <c r="US39" s="427"/>
      <c r="UT39" s="424"/>
      <c r="UU39" s="427"/>
      <c r="UV39" s="424"/>
      <c r="UW39" s="427"/>
      <c r="UX39" s="424"/>
      <c r="UY39" s="427"/>
      <c r="UZ39" s="424"/>
      <c r="VA39" s="427"/>
      <c r="VB39" s="424"/>
      <c r="VC39" s="427"/>
      <c r="VD39" s="424"/>
      <c r="VE39" s="427"/>
      <c r="VF39" s="424"/>
      <c r="VG39" s="427"/>
      <c r="VH39" s="424"/>
      <c r="VI39" s="427"/>
      <c r="VJ39" s="424"/>
      <c r="VK39" s="427"/>
      <c r="VL39" s="424"/>
      <c r="VM39" s="427"/>
      <c r="VN39" s="424"/>
      <c r="VO39" s="427"/>
      <c r="VP39" s="424"/>
      <c r="VQ39" s="427"/>
      <c r="VR39" s="424"/>
      <c r="VS39" s="427"/>
      <c r="VT39" s="424"/>
      <c r="VU39" s="427"/>
      <c r="VV39" s="424"/>
      <c r="VW39" s="427"/>
      <c r="VX39" s="424"/>
      <c r="VY39" s="427"/>
      <c r="VZ39" s="424"/>
      <c r="WA39" s="427"/>
      <c r="WB39" s="424"/>
      <c r="WC39" s="427"/>
      <c r="WD39" s="424"/>
      <c r="WE39" s="427"/>
      <c r="WF39" s="424"/>
      <c r="WG39" s="427"/>
      <c r="WH39" s="424"/>
      <c r="WI39" s="427"/>
      <c r="WJ39" s="424"/>
      <c r="WK39" s="427"/>
      <c r="WL39" s="424"/>
      <c r="WM39" s="427"/>
      <c r="WN39" s="424"/>
      <c r="WO39" s="427"/>
      <c r="WP39" s="424"/>
      <c r="WQ39" s="427"/>
      <c r="WR39" s="424"/>
      <c r="WS39" s="427"/>
      <c r="WT39" s="424"/>
      <c r="WU39" s="427"/>
      <c r="WV39" s="424"/>
      <c r="WW39" s="427"/>
      <c r="WX39" s="424"/>
      <c r="WY39" s="427"/>
      <c r="WZ39" s="424"/>
      <c r="XA39" s="427"/>
      <c r="XB39" s="424"/>
      <c r="XC39" s="427"/>
      <c r="XD39" s="424"/>
      <c r="XE39" s="427"/>
      <c r="XF39" s="424"/>
      <c r="XG39" s="427"/>
      <c r="XH39" s="424"/>
      <c r="XI39" s="427"/>
      <c r="XJ39" s="424"/>
      <c r="XK39" s="427"/>
      <c r="XL39" s="424"/>
      <c r="XM39" s="427"/>
      <c r="XN39" s="424"/>
      <c r="XO39" s="427"/>
      <c r="XP39" s="424"/>
      <c r="XQ39" s="427"/>
      <c r="XR39" s="424"/>
      <c r="XS39" s="427"/>
      <c r="XT39" s="424"/>
      <c r="XU39" s="427"/>
      <c r="XV39" s="424"/>
      <c r="XW39" s="427"/>
      <c r="XX39" s="424"/>
      <c r="XY39" s="427"/>
      <c r="XZ39" s="424"/>
      <c r="YA39" s="427"/>
      <c r="YB39" s="424"/>
      <c r="YC39" s="427"/>
      <c r="YD39" s="424"/>
      <c r="YE39" s="427"/>
      <c r="YF39" s="424"/>
      <c r="YG39" s="427"/>
      <c r="YH39" s="424"/>
      <c r="YI39" s="427"/>
      <c r="YJ39" s="424"/>
      <c r="YK39" s="427"/>
      <c r="YL39" s="424"/>
      <c r="YM39" s="427"/>
      <c r="YN39" s="424"/>
      <c r="YO39" s="427"/>
      <c r="YP39" s="424"/>
      <c r="YQ39" s="427"/>
      <c r="YR39" s="424"/>
      <c r="YS39" s="427"/>
      <c r="YT39" s="424"/>
      <c r="YU39" s="427"/>
      <c r="YV39" s="424"/>
      <c r="YW39" s="427"/>
      <c r="YX39" s="424"/>
      <c r="YY39" s="427"/>
      <c r="YZ39" s="424"/>
      <c r="ZA39" s="427"/>
      <c r="ZB39" s="424"/>
      <c r="ZC39" s="427"/>
      <c r="ZD39" s="424"/>
      <c r="ZE39" s="427"/>
      <c r="ZF39" s="424"/>
      <c r="ZG39" s="427"/>
      <c r="ZH39" s="424"/>
      <c r="ZI39" s="427"/>
      <c r="ZJ39" s="424"/>
      <c r="ZK39" s="427"/>
      <c r="ZL39" s="424"/>
      <c r="ZM39" s="427"/>
      <c r="ZN39" s="424"/>
      <c r="ZO39" s="427"/>
      <c r="ZP39" s="424"/>
      <c r="ZQ39" s="427"/>
      <c r="ZR39" s="424"/>
      <c r="ZS39" s="427"/>
      <c r="ZT39" s="424"/>
      <c r="ZU39" s="427"/>
      <c r="ZV39" s="424"/>
      <c r="ZW39" s="427"/>
      <c r="ZX39" s="424"/>
      <c r="ZY39" s="427"/>
      <c r="ZZ39" s="424"/>
      <c r="AAA39" s="427"/>
      <c r="AAB39" s="424"/>
      <c r="AAC39" s="427"/>
      <c r="AAD39" s="424"/>
      <c r="AAE39" s="427"/>
      <c r="AAF39" s="424"/>
      <c r="AAG39" s="427"/>
      <c r="AAH39" s="424"/>
      <c r="AAI39" s="427"/>
      <c r="AAJ39" s="424"/>
      <c r="AAK39" s="427"/>
      <c r="AAL39" s="424"/>
      <c r="AAM39" s="427"/>
      <c r="AAN39" s="424"/>
      <c r="AAO39" s="427"/>
      <c r="AAP39" s="424"/>
      <c r="AAQ39" s="427"/>
      <c r="AAR39" s="424"/>
      <c r="AAS39" s="427"/>
      <c r="AAT39" s="424"/>
      <c r="AAU39" s="427"/>
      <c r="AAV39" s="424"/>
      <c r="AAW39" s="427"/>
      <c r="AAX39" s="424"/>
      <c r="AAY39" s="427"/>
      <c r="AAZ39" s="424"/>
      <c r="ABA39" s="427"/>
      <c r="ABB39" s="424"/>
      <c r="ABC39" s="427"/>
      <c r="ABD39" s="424"/>
      <c r="ABE39" s="427"/>
      <c r="ABF39" s="424"/>
      <c r="ABG39" s="427"/>
      <c r="ABH39" s="424"/>
      <c r="ABI39" s="427"/>
      <c r="ABJ39" s="424"/>
      <c r="ABK39" s="427"/>
      <c r="ABL39" s="424"/>
      <c r="ABM39" s="427"/>
      <c r="ABN39" s="424"/>
      <c r="ABO39" s="427"/>
      <c r="ABP39" s="424"/>
      <c r="ABQ39" s="427"/>
      <c r="ABR39" s="424"/>
      <c r="ABS39" s="427"/>
      <c r="ABT39" s="424"/>
      <c r="ABU39" s="427"/>
      <c r="ABV39" s="424"/>
      <c r="ABW39" s="427"/>
      <c r="ABX39" s="424"/>
      <c r="ABY39" s="427"/>
      <c r="ABZ39" s="424"/>
      <c r="ACA39" s="427"/>
      <c r="ACB39" s="424"/>
      <c r="ACC39" s="427"/>
      <c r="ACD39" s="424"/>
      <c r="ACE39" s="427"/>
      <c r="ACF39" s="424"/>
      <c r="ACG39" s="427"/>
      <c r="ACH39" s="424"/>
      <c r="ACI39" s="427"/>
      <c r="ACJ39" s="424"/>
      <c r="ACK39" s="427"/>
      <c r="ACL39" s="424"/>
      <c r="ACM39" s="427"/>
      <c r="ACN39" s="424"/>
      <c r="ACO39" s="427"/>
      <c r="ACP39" s="424"/>
      <c r="ACQ39" s="427"/>
      <c r="ACR39" s="424"/>
      <c r="ACS39" s="427"/>
      <c r="ACT39" s="424"/>
      <c r="ACU39" s="427"/>
      <c r="ACV39" s="424"/>
      <c r="ACW39" s="427"/>
      <c r="ACX39" s="424"/>
      <c r="ACY39" s="427"/>
      <c r="ACZ39" s="424"/>
      <c r="ADA39" s="427"/>
      <c r="ADB39" s="424"/>
      <c r="ADC39" s="427"/>
      <c r="ADD39" s="424"/>
      <c r="ADE39" s="427"/>
      <c r="ADF39" s="424"/>
      <c r="ADG39" s="427"/>
      <c r="ADH39" s="424"/>
      <c r="ADI39" s="427"/>
      <c r="ADJ39" s="424"/>
      <c r="ADK39" s="427"/>
      <c r="ADL39" s="424"/>
      <c r="ADM39" s="427"/>
      <c r="ADN39" s="424"/>
      <c r="ADO39" s="427"/>
      <c r="ADP39" s="424"/>
      <c r="ADQ39" s="427"/>
      <c r="ADR39" s="424"/>
      <c r="ADS39" s="427"/>
      <c r="ADT39" s="424"/>
      <c r="ADU39" s="427"/>
      <c r="ADV39" s="424"/>
      <c r="ADW39" s="427"/>
      <c r="ADX39" s="424"/>
      <c r="ADY39" s="427"/>
      <c r="ADZ39" s="424"/>
      <c r="AEA39" s="427"/>
      <c r="AEB39" s="424"/>
      <c r="AEC39" s="427"/>
      <c r="AED39" s="424"/>
      <c r="AEE39" s="427"/>
      <c r="AEF39" s="424"/>
      <c r="AEG39" s="427"/>
      <c r="AEH39" s="424"/>
      <c r="AEI39" s="427"/>
      <c r="AEJ39" s="424"/>
      <c r="AEK39" s="427"/>
      <c r="AEL39" s="424"/>
      <c r="AEM39" s="427"/>
      <c r="AEN39" s="424"/>
      <c r="AEO39" s="427"/>
      <c r="AEP39" s="424"/>
      <c r="AEQ39" s="427"/>
      <c r="AER39" s="424"/>
      <c r="AES39" s="427"/>
      <c r="AET39" s="424"/>
      <c r="AEU39" s="427"/>
      <c r="AEV39" s="424"/>
      <c r="AEW39" s="427"/>
      <c r="AEX39" s="424"/>
      <c r="AEY39" s="427"/>
      <c r="AEZ39" s="424"/>
      <c r="AFA39" s="427"/>
      <c r="AFB39" s="424"/>
      <c r="AFC39" s="427"/>
      <c r="AFD39" s="424"/>
      <c r="AFE39" s="427"/>
      <c r="AFF39" s="424"/>
      <c r="AFG39" s="427"/>
      <c r="AFH39" s="424"/>
      <c r="AFI39" s="427"/>
      <c r="AFJ39" s="424"/>
      <c r="AFK39" s="427"/>
      <c r="AFL39" s="424"/>
      <c r="AFM39" s="427"/>
      <c r="AFN39" s="424"/>
      <c r="AFO39" s="427"/>
      <c r="AFP39" s="424"/>
      <c r="AFQ39" s="427"/>
      <c r="AFR39" s="424"/>
      <c r="AFS39" s="427"/>
      <c r="AFT39" s="424"/>
      <c r="AFU39" s="427"/>
      <c r="AFV39" s="424"/>
      <c r="AFW39" s="427"/>
      <c r="AFX39" s="424"/>
      <c r="AFY39" s="427"/>
      <c r="AFZ39" s="424"/>
      <c r="AGA39" s="427"/>
      <c r="AGB39" s="424"/>
      <c r="AGC39" s="427"/>
      <c r="AGD39" s="424"/>
      <c r="AGE39" s="427"/>
      <c r="AGF39" s="424"/>
      <c r="AGG39" s="427"/>
      <c r="AGH39" s="424"/>
      <c r="AGI39" s="427"/>
      <c r="AGJ39" s="424"/>
      <c r="AGK39" s="427"/>
      <c r="AGL39" s="424"/>
      <c r="AGM39" s="427"/>
      <c r="AGN39" s="424"/>
      <c r="AGO39" s="427"/>
      <c r="AGP39" s="424"/>
      <c r="AGQ39" s="427"/>
      <c r="AGR39" s="424"/>
      <c r="AGS39" s="427"/>
      <c r="AGT39" s="424"/>
      <c r="AGU39" s="427"/>
      <c r="AGV39" s="424"/>
      <c r="AGW39" s="427"/>
      <c r="AGX39" s="424"/>
      <c r="AGY39" s="427"/>
      <c r="AGZ39" s="424"/>
      <c r="AHA39" s="427"/>
      <c r="AHB39" s="424"/>
      <c r="AHC39" s="427"/>
      <c r="AHD39" s="424"/>
      <c r="AHE39" s="427"/>
      <c r="AHF39" s="424"/>
      <c r="AHG39" s="427"/>
      <c r="AHH39" s="424"/>
      <c r="AHI39" s="427"/>
      <c r="AHJ39" s="424"/>
      <c r="AHK39" s="427"/>
      <c r="AHL39" s="424"/>
      <c r="AHM39" s="427"/>
      <c r="AHN39" s="424"/>
      <c r="AHO39" s="427"/>
      <c r="AHP39" s="424"/>
      <c r="AHQ39" s="427"/>
      <c r="AHR39" s="424"/>
      <c r="AHS39" s="427"/>
      <c r="AHT39" s="424"/>
      <c r="AHU39" s="427"/>
      <c r="AHV39" s="424"/>
      <c r="AHW39" s="427"/>
      <c r="AHX39" s="424"/>
      <c r="AHY39" s="427"/>
      <c r="AHZ39" s="424"/>
      <c r="AIA39" s="427"/>
      <c r="AIB39" s="424"/>
      <c r="AIC39" s="427"/>
      <c r="AID39" s="424"/>
      <c r="AIE39" s="427"/>
      <c r="AIF39" s="424"/>
      <c r="AIG39" s="427"/>
      <c r="AIH39" s="424"/>
      <c r="AII39" s="427"/>
      <c r="AIJ39" s="424"/>
      <c r="AIK39" s="427"/>
      <c r="AIL39" s="424"/>
      <c r="AIM39" s="427"/>
      <c r="AIN39" s="424"/>
      <c r="AIO39" s="427"/>
      <c r="AIP39" s="424"/>
      <c r="AIQ39" s="427"/>
      <c r="AIR39" s="424"/>
      <c r="AIS39" s="427"/>
      <c r="AIT39" s="424"/>
      <c r="AIU39" s="427"/>
      <c r="AIV39" s="424"/>
      <c r="AIW39" s="427"/>
      <c r="AIX39" s="424"/>
      <c r="AIY39" s="427"/>
      <c r="AIZ39" s="424"/>
      <c r="AJA39" s="427"/>
      <c r="AJB39" s="424"/>
      <c r="AJC39" s="427"/>
      <c r="AJD39" s="424"/>
      <c r="AJE39" s="427"/>
      <c r="AJF39" s="424"/>
      <c r="AJG39" s="427"/>
      <c r="AJH39" s="424"/>
      <c r="AJI39" s="427"/>
      <c r="AJJ39" s="424"/>
      <c r="AJK39" s="427"/>
      <c r="AJL39" s="424"/>
      <c r="AJM39" s="427"/>
      <c r="AJN39" s="424"/>
      <c r="AJO39" s="427"/>
      <c r="AJP39" s="424"/>
      <c r="AJQ39" s="427"/>
      <c r="AJR39" s="424"/>
      <c r="AJS39" s="427"/>
      <c r="AJT39" s="424"/>
      <c r="AJU39" s="427"/>
      <c r="AJV39" s="424"/>
      <c r="AJW39" s="427"/>
      <c r="AJX39" s="424"/>
      <c r="AJY39" s="427"/>
      <c r="AJZ39" s="424"/>
      <c r="AKA39" s="427"/>
      <c r="AKB39" s="424"/>
      <c r="AKC39" s="427"/>
      <c r="AKD39" s="424"/>
      <c r="AKE39" s="427"/>
      <c r="AKF39" s="424"/>
      <c r="AKG39" s="427"/>
      <c r="AKH39" s="424"/>
      <c r="AKI39" s="427"/>
      <c r="AKJ39" s="424"/>
      <c r="AKK39" s="427"/>
      <c r="AKL39" s="424"/>
      <c r="AKM39" s="427"/>
      <c r="AKN39" s="424"/>
      <c r="AKO39" s="427"/>
      <c r="AKP39" s="424"/>
      <c r="AKQ39" s="427"/>
      <c r="AKR39" s="424"/>
      <c r="AKS39" s="427"/>
      <c r="AKT39" s="424"/>
      <c r="AKU39" s="427"/>
      <c r="AKV39" s="424"/>
      <c r="AKW39" s="427"/>
      <c r="AKX39" s="424"/>
      <c r="AKY39" s="427"/>
      <c r="AKZ39" s="424"/>
      <c r="ALA39" s="427"/>
      <c r="ALB39" s="424"/>
      <c r="ALC39" s="427"/>
      <c r="ALD39" s="424"/>
      <c r="ALE39" s="427"/>
      <c r="ALF39" s="424"/>
      <c r="ALG39" s="427"/>
      <c r="ALH39" s="424"/>
      <c r="ALI39" s="427"/>
      <c r="ALJ39" s="424"/>
      <c r="ALK39" s="427"/>
      <c r="ALL39" s="424"/>
      <c r="ALM39" s="427"/>
      <c r="ALN39" s="424"/>
      <c r="ALO39" s="427"/>
      <c r="ALP39" s="424"/>
      <c r="ALQ39" s="427"/>
      <c r="ALR39" s="424"/>
      <c r="ALS39" s="427"/>
      <c r="ALT39" s="424"/>
      <c r="ALU39" s="427"/>
      <c r="ALV39" s="424"/>
      <c r="ALW39" s="427"/>
      <c r="ALX39" s="424"/>
      <c r="ALY39" s="427"/>
      <c r="ALZ39" s="424"/>
      <c r="AMA39" s="427"/>
      <c r="AMB39" s="424"/>
      <c r="AMC39" s="427"/>
      <c r="AMD39" s="424"/>
      <c r="AME39" s="427"/>
      <c r="AMF39" s="424"/>
      <c r="AMG39" s="427"/>
      <c r="AMH39" s="424"/>
      <c r="AMI39" s="427"/>
      <c r="AMJ39" s="424"/>
      <c r="AMK39" s="427"/>
      <c r="AML39" s="424"/>
      <c r="AMM39" s="427"/>
      <c r="AMN39" s="424"/>
      <c r="AMO39" s="427"/>
      <c r="AMP39" s="424"/>
      <c r="AMQ39" s="427"/>
      <c r="AMR39" s="424"/>
      <c r="AMS39" s="427"/>
      <c r="AMT39" s="424"/>
      <c r="AMU39" s="427"/>
      <c r="AMV39" s="424"/>
      <c r="AMW39" s="427"/>
      <c r="AMX39" s="424"/>
      <c r="AMY39" s="427"/>
      <c r="AMZ39" s="424"/>
      <c r="ANA39" s="427"/>
      <c r="ANB39" s="424"/>
      <c r="ANC39" s="427"/>
      <c r="AND39" s="424"/>
      <c r="ANE39" s="427"/>
      <c r="ANF39" s="424"/>
      <c r="ANG39" s="427"/>
      <c r="ANH39" s="424"/>
      <c r="ANI39" s="427"/>
      <c r="ANJ39" s="424"/>
      <c r="ANK39" s="427"/>
      <c r="ANL39" s="424"/>
      <c r="ANM39" s="427"/>
      <c r="ANN39" s="424"/>
      <c r="ANO39" s="427"/>
      <c r="ANP39" s="424"/>
      <c r="ANQ39" s="427"/>
      <c r="ANR39" s="424"/>
      <c r="ANS39" s="427"/>
      <c r="ANT39" s="424"/>
      <c r="ANU39" s="427"/>
      <c r="ANV39" s="424"/>
      <c r="ANW39" s="427"/>
      <c r="ANX39" s="424"/>
      <c r="ANY39" s="427"/>
      <c r="ANZ39" s="424"/>
      <c r="AOA39" s="427"/>
      <c r="AOB39" s="424"/>
      <c r="AOC39" s="427"/>
      <c r="AOD39" s="424"/>
      <c r="AOE39" s="427"/>
      <c r="AOF39" s="424"/>
      <c r="AOG39" s="427"/>
      <c r="AOH39" s="424"/>
      <c r="AOI39" s="427"/>
      <c r="AOJ39" s="424"/>
      <c r="AOK39" s="427"/>
      <c r="AOL39" s="424"/>
      <c r="AOM39" s="427"/>
      <c r="AON39" s="424"/>
      <c r="AOO39" s="427"/>
      <c r="AOP39" s="424"/>
      <c r="AOQ39" s="427"/>
      <c r="AOR39" s="424"/>
      <c r="AOS39" s="427"/>
      <c r="AOT39" s="424"/>
      <c r="AOU39" s="427"/>
      <c r="AOV39" s="424"/>
      <c r="AOW39" s="427"/>
      <c r="AOX39" s="424"/>
      <c r="AOY39" s="427"/>
      <c r="AOZ39" s="424"/>
      <c r="APA39" s="427"/>
      <c r="APB39" s="424"/>
      <c r="APC39" s="427"/>
      <c r="APD39" s="424"/>
      <c r="APE39" s="427"/>
      <c r="APF39" s="424"/>
      <c r="APG39" s="427"/>
      <c r="APH39" s="424"/>
      <c r="API39" s="427"/>
      <c r="APJ39" s="424"/>
      <c r="APK39" s="427"/>
      <c r="APL39" s="424"/>
      <c r="APM39" s="427"/>
      <c r="APN39" s="424"/>
      <c r="APO39" s="427"/>
      <c r="APP39" s="424"/>
      <c r="APQ39" s="427"/>
      <c r="APR39" s="424"/>
      <c r="APS39" s="427"/>
      <c r="APT39" s="424"/>
      <c r="APU39" s="427"/>
      <c r="APV39" s="424"/>
      <c r="APW39" s="427"/>
      <c r="APX39" s="424"/>
      <c r="APY39" s="427"/>
      <c r="APZ39" s="424"/>
      <c r="AQA39" s="427"/>
      <c r="AQB39" s="424"/>
      <c r="AQC39" s="427"/>
      <c r="AQD39" s="424"/>
      <c r="AQE39" s="427"/>
      <c r="AQF39" s="424"/>
      <c r="AQG39" s="427"/>
      <c r="AQH39" s="424"/>
      <c r="AQI39" s="427"/>
      <c r="AQJ39" s="424"/>
      <c r="AQK39" s="427"/>
      <c r="AQL39" s="424"/>
      <c r="AQM39" s="427"/>
      <c r="AQN39" s="424"/>
      <c r="AQO39" s="427"/>
      <c r="AQP39" s="424"/>
      <c r="AQQ39" s="427"/>
      <c r="AQR39" s="424"/>
      <c r="AQS39" s="427"/>
      <c r="AQT39" s="424"/>
      <c r="AQU39" s="427"/>
      <c r="AQV39" s="424"/>
      <c r="AQW39" s="427"/>
      <c r="AQX39" s="424"/>
      <c r="AQY39" s="427"/>
      <c r="AQZ39" s="424"/>
      <c r="ARA39" s="427"/>
      <c r="ARB39" s="424"/>
      <c r="ARC39" s="427"/>
      <c r="ARD39" s="424"/>
      <c r="ARE39" s="427"/>
      <c r="ARF39" s="424"/>
      <c r="ARG39" s="427"/>
      <c r="ARH39" s="424"/>
      <c r="ARI39" s="427"/>
      <c r="ARJ39" s="424"/>
      <c r="ARK39" s="427"/>
      <c r="ARL39" s="424"/>
      <c r="ARM39" s="427"/>
      <c r="ARN39" s="424"/>
      <c r="ARO39" s="427"/>
      <c r="ARP39" s="424"/>
      <c r="ARQ39" s="427"/>
      <c r="ARR39" s="424"/>
      <c r="ARS39" s="427"/>
      <c r="ART39" s="424"/>
      <c r="ARU39" s="427"/>
      <c r="ARV39" s="424"/>
      <c r="ARW39" s="427"/>
      <c r="ARX39" s="424"/>
      <c r="ARY39" s="427"/>
      <c r="ARZ39" s="424"/>
      <c r="ASA39" s="427"/>
      <c r="ASB39" s="424"/>
      <c r="ASC39" s="427"/>
      <c r="ASD39" s="424"/>
      <c r="ASE39" s="427"/>
      <c r="ASF39" s="424"/>
      <c r="ASG39" s="427"/>
      <c r="ASH39" s="424"/>
      <c r="ASI39" s="427"/>
      <c r="ASJ39" s="424"/>
      <c r="ASK39" s="427"/>
      <c r="ASL39" s="424"/>
      <c r="ASM39" s="427"/>
      <c r="ASN39" s="424"/>
      <c r="ASO39" s="427"/>
      <c r="ASP39" s="424"/>
      <c r="ASQ39" s="427"/>
      <c r="ASR39" s="424"/>
      <c r="ASS39" s="427"/>
      <c r="AST39" s="424"/>
      <c r="ASU39" s="427"/>
      <c r="ASV39" s="424"/>
      <c r="ASW39" s="427"/>
      <c r="ASX39" s="424"/>
      <c r="ASY39" s="427"/>
      <c r="ASZ39" s="424"/>
      <c r="ATA39" s="427"/>
      <c r="ATB39" s="424"/>
      <c r="ATC39" s="427"/>
      <c r="ATD39" s="424"/>
      <c r="ATE39" s="427"/>
      <c r="ATF39" s="424"/>
      <c r="ATG39" s="427"/>
      <c r="ATH39" s="424"/>
      <c r="ATI39" s="427"/>
      <c r="ATJ39" s="424"/>
      <c r="ATK39" s="427"/>
      <c r="ATL39" s="424"/>
      <c r="ATM39" s="427"/>
      <c r="ATN39" s="424"/>
      <c r="ATO39" s="427"/>
      <c r="ATP39" s="424"/>
      <c r="ATQ39" s="427"/>
      <c r="ATR39" s="424"/>
      <c r="ATS39" s="427"/>
      <c r="ATT39" s="424"/>
      <c r="ATU39" s="427"/>
      <c r="ATV39" s="424"/>
      <c r="ATW39" s="427"/>
      <c r="ATX39" s="424"/>
      <c r="ATY39" s="427"/>
      <c r="ATZ39" s="424"/>
      <c r="AUA39" s="427"/>
      <c r="AUB39" s="424"/>
      <c r="AUC39" s="427"/>
      <c r="AUD39" s="424"/>
      <c r="AUE39" s="427"/>
      <c r="AUF39" s="424"/>
      <c r="AUG39" s="427"/>
      <c r="AUH39" s="424"/>
      <c r="AUI39" s="427"/>
      <c r="AUJ39" s="424"/>
      <c r="AUK39" s="427"/>
      <c r="AUL39" s="424"/>
      <c r="AUM39" s="427"/>
      <c r="AUN39" s="424"/>
      <c r="AUO39" s="427"/>
      <c r="AUP39" s="424"/>
      <c r="AUQ39" s="427"/>
      <c r="AUR39" s="424"/>
      <c r="AUS39" s="427"/>
      <c r="AUT39" s="424"/>
      <c r="AUU39" s="427"/>
      <c r="AUV39" s="424"/>
      <c r="AUW39" s="427"/>
      <c r="AUX39" s="424"/>
      <c r="AUY39" s="427"/>
      <c r="AUZ39" s="424"/>
      <c r="AVA39" s="427"/>
      <c r="AVB39" s="424"/>
      <c r="AVC39" s="427"/>
      <c r="AVD39" s="424"/>
      <c r="AVE39" s="427"/>
      <c r="AVF39" s="424"/>
      <c r="AVG39" s="427"/>
      <c r="AVH39" s="424"/>
      <c r="AVI39" s="427"/>
      <c r="AVJ39" s="424"/>
      <c r="AVK39" s="427"/>
      <c r="AVL39" s="424"/>
      <c r="AVM39" s="427"/>
      <c r="AVN39" s="424"/>
      <c r="AVO39" s="427"/>
      <c r="AVP39" s="424"/>
      <c r="AVQ39" s="427"/>
      <c r="AVR39" s="424"/>
      <c r="AVS39" s="427"/>
      <c r="AVT39" s="424"/>
      <c r="AVU39" s="427"/>
      <c r="AVV39" s="424"/>
      <c r="AVW39" s="427"/>
      <c r="AVX39" s="424"/>
      <c r="AVY39" s="427"/>
      <c r="AVZ39" s="424"/>
      <c r="AWA39" s="427"/>
      <c r="AWB39" s="424"/>
      <c r="AWC39" s="427"/>
      <c r="AWD39" s="424"/>
      <c r="AWE39" s="427"/>
      <c r="AWF39" s="424"/>
      <c r="AWG39" s="427"/>
      <c r="AWH39" s="424"/>
      <c r="AWI39" s="427"/>
      <c r="AWJ39" s="424"/>
      <c r="AWK39" s="427"/>
      <c r="AWL39" s="424"/>
      <c r="AWM39" s="427"/>
      <c r="AWN39" s="424"/>
      <c r="AWO39" s="427"/>
      <c r="AWP39" s="424"/>
      <c r="AWQ39" s="427"/>
      <c r="AWR39" s="424"/>
      <c r="AWS39" s="427"/>
      <c r="AWT39" s="424"/>
      <c r="AWU39" s="427"/>
      <c r="AWV39" s="424"/>
      <c r="AWW39" s="427"/>
      <c r="AWX39" s="424"/>
      <c r="AWY39" s="427"/>
      <c r="AWZ39" s="424"/>
      <c r="AXA39" s="427"/>
      <c r="AXB39" s="424"/>
      <c r="AXC39" s="427"/>
      <c r="AXD39" s="424"/>
      <c r="AXE39" s="427"/>
      <c r="AXF39" s="424"/>
      <c r="AXG39" s="427"/>
      <c r="AXH39" s="424"/>
      <c r="AXI39" s="427"/>
      <c r="AXJ39" s="424"/>
      <c r="AXK39" s="427"/>
      <c r="AXL39" s="424"/>
      <c r="AXM39" s="427"/>
      <c r="AXN39" s="424"/>
      <c r="AXO39" s="427"/>
      <c r="AXP39" s="424"/>
      <c r="AXQ39" s="427"/>
      <c r="AXR39" s="424"/>
      <c r="AXS39" s="427"/>
      <c r="AXT39" s="424"/>
      <c r="AXU39" s="427"/>
      <c r="AXV39" s="424"/>
      <c r="AXW39" s="427"/>
      <c r="AXX39" s="424"/>
      <c r="AXY39" s="427"/>
      <c r="AXZ39" s="424"/>
      <c r="AYA39" s="427"/>
      <c r="AYB39" s="424"/>
      <c r="AYC39" s="427"/>
      <c r="AYD39" s="424"/>
      <c r="AYE39" s="427"/>
      <c r="AYF39" s="424"/>
      <c r="AYG39" s="427"/>
      <c r="AYH39" s="424"/>
      <c r="AYI39" s="427"/>
      <c r="AYJ39" s="424"/>
      <c r="AYK39" s="427"/>
      <c r="AYL39" s="424"/>
      <c r="AYM39" s="427"/>
      <c r="AYN39" s="424"/>
      <c r="AYO39" s="427"/>
      <c r="AYP39" s="424"/>
      <c r="AYQ39" s="427"/>
      <c r="AYR39" s="424"/>
      <c r="AYS39" s="427"/>
      <c r="AYT39" s="424"/>
      <c r="AYU39" s="427"/>
      <c r="AYV39" s="424"/>
      <c r="AYW39" s="427"/>
      <c r="AYX39" s="424"/>
      <c r="AYY39" s="427"/>
      <c r="AYZ39" s="424"/>
      <c r="AZA39" s="427"/>
      <c r="AZB39" s="424"/>
      <c r="AZC39" s="427"/>
      <c r="AZD39" s="424"/>
      <c r="AZE39" s="427"/>
      <c r="AZF39" s="424"/>
      <c r="AZG39" s="427"/>
      <c r="AZH39" s="424"/>
      <c r="AZI39" s="427"/>
      <c r="AZJ39" s="424"/>
      <c r="AZK39" s="427"/>
      <c r="AZL39" s="424"/>
      <c r="AZM39" s="427"/>
      <c r="AZN39" s="424"/>
      <c r="AZO39" s="427"/>
      <c r="AZP39" s="424"/>
      <c r="AZQ39" s="427"/>
      <c r="AZR39" s="424"/>
      <c r="AZS39" s="427"/>
      <c r="AZT39" s="424"/>
      <c r="AZU39" s="427"/>
      <c r="AZV39" s="424"/>
      <c r="AZW39" s="427"/>
      <c r="AZX39" s="424"/>
      <c r="AZY39" s="427"/>
      <c r="AZZ39" s="424"/>
      <c r="BAA39" s="427"/>
      <c r="BAB39" s="424"/>
      <c r="BAC39" s="427"/>
      <c r="BAD39" s="424"/>
      <c r="BAE39" s="427"/>
      <c r="BAF39" s="424"/>
      <c r="BAG39" s="427"/>
      <c r="BAH39" s="424"/>
      <c r="BAI39" s="427"/>
      <c r="BAJ39" s="424"/>
      <c r="BAK39" s="427"/>
      <c r="BAL39" s="424"/>
      <c r="BAM39" s="427"/>
      <c r="BAN39" s="424"/>
      <c r="BAO39" s="427"/>
      <c r="BAP39" s="424"/>
      <c r="BAQ39" s="427"/>
      <c r="BAR39" s="424"/>
      <c r="BAS39" s="427"/>
      <c r="BAT39" s="424"/>
      <c r="BAU39" s="427"/>
      <c r="BAV39" s="424"/>
      <c r="BAW39" s="427"/>
      <c r="BAX39" s="424"/>
      <c r="BAY39" s="427"/>
      <c r="BAZ39" s="424"/>
      <c r="BBA39" s="427"/>
      <c r="BBB39" s="424"/>
      <c r="BBC39" s="427"/>
      <c r="BBD39" s="424"/>
      <c r="BBE39" s="427"/>
      <c r="BBF39" s="424"/>
      <c r="BBG39" s="427"/>
      <c r="BBH39" s="424"/>
      <c r="BBI39" s="427"/>
      <c r="BBJ39" s="424"/>
      <c r="BBK39" s="427"/>
      <c r="BBL39" s="424"/>
      <c r="BBM39" s="427"/>
      <c r="BBN39" s="424"/>
      <c r="BBO39" s="427"/>
      <c r="BBP39" s="424"/>
      <c r="BBQ39" s="427"/>
      <c r="BBR39" s="424"/>
      <c r="BBS39" s="427"/>
      <c r="BBT39" s="424"/>
      <c r="BBU39" s="427"/>
      <c r="BBV39" s="424"/>
      <c r="BBW39" s="427"/>
      <c r="BBX39" s="424"/>
      <c r="BBY39" s="427"/>
      <c r="BBZ39" s="424"/>
      <c r="BCA39" s="427"/>
      <c r="BCB39" s="424"/>
      <c r="BCC39" s="427"/>
      <c r="BCD39" s="424"/>
      <c r="BCE39" s="427"/>
      <c r="BCF39" s="424"/>
      <c r="BCG39" s="427"/>
      <c r="BCH39" s="424"/>
      <c r="BCI39" s="427"/>
      <c r="BCJ39" s="424"/>
      <c r="BCK39" s="427"/>
      <c r="BCL39" s="424"/>
      <c r="BCM39" s="427"/>
      <c r="BCN39" s="424"/>
      <c r="BCO39" s="427"/>
      <c r="BCP39" s="424"/>
      <c r="BCQ39" s="427"/>
      <c r="BCR39" s="424"/>
      <c r="BCS39" s="427"/>
      <c r="BCT39" s="424"/>
      <c r="BCU39" s="427"/>
      <c r="BCV39" s="424"/>
      <c r="BCW39" s="427"/>
      <c r="BCX39" s="424"/>
      <c r="BCY39" s="427"/>
      <c r="BCZ39" s="424"/>
      <c r="BDA39" s="427"/>
      <c r="BDB39" s="424"/>
      <c r="BDC39" s="427"/>
      <c r="BDD39" s="424"/>
      <c r="BDE39" s="427"/>
      <c r="BDF39" s="424"/>
      <c r="BDG39" s="427"/>
      <c r="BDH39" s="424"/>
      <c r="BDI39" s="427"/>
      <c r="BDJ39" s="424"/>
      <c r="BDK39" s="427"/>
      <c r="BDL39" s="424"/>
      <c r="BDM39" s="427"/>
      <c r="BDN39" s="424"/>
      <c r="BDO39" s="427"/>
      <c r="BDP39" s="424"/>
      <c r="BDQ39" s="427"/>
      <c r="BDR39" s="424"/>
      <c r="BDS39" s="427"/>
      <c r="BDT39" s="424"/>
      <c r="BDU39" s="427"/>
      <c r="BDV39" s="424"/>
      <c r="BDW39" s="427"/>
      <c r="BDX39" s="424"/>
      <c r="BDY39" s="427"/>
      <c r="BDZ39" s="424"/>
      <c r="BEA39" s="427"/>
      <c r="BEB39" s="424"/>
      <c r="BEC39" s="427"/>
      <c r="BED39" s="424"/>
      <c r="BEE39" s="427"/>
      <c r="BEF39" s="424"/>
      <c r="BEG39" s="427"/>
      <c r="BEH39" s="424"/>
      <c r="BEI39" s="427"/>
      <c r="BEJ39" s="424"/>
      <c r="BEK39" s="427"/>
      <c r="BEL39" s="424"/>
      <c r="BEM39" s="427"/>
      <c r="BEN39" s="424"/>
      <c r="BEO39" s="427"/>
      <c r="BEP39" s="424"/>
      <c r="BEQ39" s="427"/>
      <c r="BER39" s="424"/>
      <c r="BES39" s="427"/>
      <c r="BET39" s="424"/>
      <c r="BEU39" s="427"/>
      <c r="BEV39" s="424"/>
      <c r="BEW39" s="427"/>
      <c r="BEX39" s="424"/>
      <c r="BEY39" s="427"/>
      <c r="BEZ39" s="424"/>
      <c r="BFA39" s="427"/>
      <c r="BFB39" s="424"/>
      <c r="BFC39" s="427"/>
      <c r="BFD39" s="424"/>
      <c r="BFE39" s="427"/>
      <c r="BFF39" s="424"/>
      <c r="BFG39" s="427"/>
      <c r="BFH39" s="424"/>
      <c r="BFI39" s="427"/>
      <c r="BFJ39" s="424"/>
      <c r="BFK39" s="427"/>
      <c r="BFL39" s="424"/>
      <c r="BFM39" s="427"/>
      <c r="BFN39" s="424"/>
      <c r="BFO39" s="427"/>
      <c r="BFP39" s="424"/>
      <c r="BFQ39" s="427"/>
      <c r="BFR39" s="424"/>
      <c r="BFS39" s="427"/>
      <c r="BFT39" s="424"/>
      <c r="BFU39" s="427"/>
      <c r="BFV39" s="424"/>
      <c r="BFW39" s="427"/>
      <c r="BFX39" s="424"/>
      <c r="BFY39" s="427"/>
      <c r="BFZ39" s="424"/>
      <c r="BGA39" s="427"/>
      <c r="BGB39" s="424"/>
      <c r="BGC39" s="427"/>
      <c r="BGD39" s="424"/>
      <c r="BGE39" s="427"/>
      <c r="BGF39" s="424"/>
      <c r="BGG39" s="427"/>
      <c r="BGH39" s="424"/>
      <c r="BGI39" s="427"/>
      <c r="BGJ39" s="424"/>
      <c r="BGK39" s="427"/>
      <c r="BGL39" s="424"/>
      <c r="BGM39" s="427"/>
      <c r="BGN39" s="424"/>
      <c r="BGO39" s="427"/>
      <c r="BGP39" s="424"/>
      <c r="BGQ39" s="427"/>
      <c r="BGR39" s="424"/>
      <c r="BGS39" s="427"/>
      <c r="BGT39" s="424"/>
      <c r="BGU39" s="427"/>
      <c r="BGV39" s="424"/>
      <c r="BGW39" s="427"/>
      <c r="BGX39" s="424"/>
      <c r="BGY39" s="427"/>
      <c r="BGZ39" s="424"/>
      <c r="BHA39" s="427"/>
      <c r="BHB39" s="424"/>
      <c r="BHC39" s="427"/>
      <c r="BHD39" s="424"/>
      <c r="BHE39" s="427"/>
      <c r="BHF39" s="424"/>
      <c r="BHG39" s="427"/>
      <c r="BHH39" s="424"/>
      <c r="BHI39" s="427"/>
      <c r="BHJ39" s="424"/>
      <c r="BHK39" s="427"/>
      <c r="BHL39" s="424"/>
      <c r="BHM39" s="427"/>
      <c r="BHN39" s="424"/>
      <c r="BHO39" s="427"/>
      <c r="BHP39" s="424"/>
      <c r="BHQ39" s="427"/>
      <c r="BHR39" s="424"/>
      <c r="BHS39" s="427"/>
      <c r="BHT39" s="424"/>
      <c r="BHU39" s="427"/>
      <c r="BHV39" s="424"/>
      <c r="BHW39" s="427"/>
      <c r="BHX39" s="424"/>
      <c r="BHY39" s="427"/>
      <c r="BHZ39" s="424"/>
      <c r="BIA39" s="427"/>
      <c r="BIB39" s="424"/>
      <c r="BIC39" s="427"/>
      <c r="BID39" s="424"/>
      <c r="BIE39" s="427"/>
      <c r="BIF39" s="424"/>
      <c r="BIG39" s="427"/>
      <c r="BIH39" s="424"/>
      <c r="BII39" s="427"/>
      <c r="BIJ39" s="424"/>
      <c r="BIK39" s="427"/>
      <c r="BIL39" s="424"/>
      <c r="BIM39" s="427"/>
      <c r="BIN39" s="424"/>
      <c r="BIO39" s="427"/>
      <c r="BIP39" s="424"/>
      <c r="BIQ39" s="427"/>
      <c r="BIR39" s="424"/>
      <c r="BIS39" s="427"/>
      <c r="BIT39" s="424"/>
      <c r="BIU39" s="427"/>
      <c r="BIV39" s="424"/>
      <c r="BIW39" s="427"/>
      <c r="BIX39" s="424"/>
      <c r="BIY39" s="427"/>
      <c r="BIZ39" s="424"/>
      <c r="BJA39" s="427"/>
      <c r="BJB39" s="424"/>
      <c r="BJC39" s="427"/>
      <c r="BJD39" s="424"/>
      <c r="BJE39" s="427"/>
      <c r="BJF39" s="424"/>
      <c r="BJG39" s="427"/>
      <c r="BJH39" s="424"/>
      <c r="BJI39" s="427"/>
      <c r="BJJ39" s="424"/>
      <c r="BJK39" s="427"/>
      <c r="BJL39" s="424"/>
      <c r="BJM39" s="427"/>
      <c r="BJN39" s="424"/>
      <c r="BJO39" s="427"/>
      <c r="BJP39" s="424"/>
      <c r="BJQ39" s="427"/>
      <c r="BJR39" s="424"/>
      <c r="BJS39" s="427"/>
      <c r="BJT39" s="424"/>
      <c r="BJU39" s="427"/>
      <c r="BJV39" s="424"/>
      <c r="BJW39" s="427"/>
      <c r="BJX39" s="424"/>
      <c r="BJY39" s="427"/>
      <c r="BJZ39" s="424"/>
      <c r="BKA39" s="427"/>
      <c r="BKB39" s="424"/>
      <c r="BKC39" s="427"/>
      <c r="BKD39" s="424"/>
      <c r="BKE39" s="427"/>
      <c r="BKF39" s="424"/>
      <c r="BKG39" s="427"/>
      <c r="BKH39" s="424"/>
      <c r="BKI39" s="427"/>
      <c r="BKJ39" s="424"/>
      <c r="BKK39" s="427"/>
      <c r="BKL39" s="424"/>
      <c r="BKM39" s="427"/>
      <c r="BKN39" s="424"/>
      <c r="BKO39" s="427"/>
      <c r="BKP39" s="424"/>
      <c r="BKQ39" s="427"/>
      <c r="BKR39" s="424"/>
      <c r="BKS39" s="427"/>
      <c r="BKT39" s="424"/>
      <c r="BKU39" s="427"/>
      <c r="BKV39" s="424"/>
      <c r="BKW39" s="427"/>
      <c r="BKX39" s="424"/>
      <c r="BKY39" s="427"/>
      <c r="BKZ39" s="424"/>
      <c r="BLA39" s="427"/>
      <c r="BLB39" s="424"/>
      <c r="BLC39" s="427"/>
      <c r="BLD39" s="424"/>
      <c r="BLE39" s="427"/>
      <c r="BLF39" s="424"/>
      <c r="BLG39" s="427"/>
      <c r="BLH39" s="424"/>
      <c r="BLI39" s="427"/>
      <c r="BLJ39" s="424"/>
      <c r="BLK39" s="427"/>
      <c r="BLL39" s="424"/>
      <c r="BLM39" s="427"/>
      <c r="BLN39" s="424"/>
      <c r="BLO39" s="427"/>
      <c r="BLP39" s="424"/>
      <c r="BLQ39" s="427"/>
      <c r="BLR39" s="424"/>
      <c r="BLS39" s="427"/>
      <c r="BLT39" s="424"/>
      <c r="BLU39" s="427"/>
      <c r="BLV39" s="424"/>
      <c r="BLW39" s="427"/>
      <c r="BLX39" s="424"/>
      <c r="BLY39" s="427"/>
      <c r="BLZ39" s="424"/>
      <c r="BMA39" s="427"/>
      <c r="BMB39" s="424"/>
      <c r="BMC39" s="427"/>
      <c r="BMD39" s="424"/>
      <c r="BME39" s="427"/>
      <c r="BMF39" s="424"/>
      <c r="BMG39" s="427"/>
      <c r="BMH39" s="424"/>
      <c r="BMI39" s="427"/>
      <c r="BMJ39" s="424"/>
      <c r="BMK39" s="427"/>
      <c r="BML39" s="424"/>
      <c r="BMM39" s="427"/>
      <c r="BMN39" s="424"/>
      <c r="BMO39" s="427"/>
      <c r="BMP39" s="424"/>
      <c r="BMQ39" s="427"/>
      <c r="BMR39" s="424"/>
      <c r="BMS39" s="427"/>
      <c r="BMT39" s="424"/>
      <c r="BMU39" s="427"/>
      <c r="BMV39" s="424"/>
      <c r="BMW39" s="427"/>
      <c r="BMX39" s="424"/>
      <c r="BMY39" s="427"/>
      <c r="BMZ39" s="424"/>
      <c r="BNA39" s="427"/>
      <c r="BNB39" s="424"/>
      <c r="BNC39" s="427"/>
      <c r="BND39" s="424"/>
      <c r="BNE39" s="427"/>
      <c r="BNF39" s="424"/>
      <c r="BNG39" s="427"/>
      <c r="BNH39" s="424"/>
      <c r="BNI39" s="427"/>
      <c r="BNJ39" s="424"/>
      <c r="BNK39" s="427"/>
      <c r="BNL39" s="424"/>
      <c r="BNM39" s="427"/>
      <c r="BNN39" s="424"/>
      <c r="BNO39" s="427"/>
      <c r="BNP39" s="424"/>
      <c r="BNQ39" s="427"/>
      <c r="BNR39" s="424"/>
      <c r="BNS39" s="427"/>
      <c r="BNT39" s="424"/>
      <c r="BNU39" s="427"/>
      <c r="BNV39" s="424"/>
      <c r="BNW39" s="427"/>
      <c r="BNX39" s="424"/>
      <c r="BNY39" s="427"/>
      <c r="BNZ39" s="424"/>
      <c r="BOA39" s="427"/>
      <c r="BOB39" s="424"/>
      <c r="BOC39" s="427"/>
      <c r="BOD39" s="424"/>
      <c r="BOE39" s="427"/>
      <c r="BOF39" s="424"/>
      <c r="BOG39" s="427"/>
      <c r="BOH39" s="424"/>
      <c r="BOI39" s="427"/>
      <c r="BOJ39" s="424"/>
      <c r="BOK39" s="427"/>
      <c r="BOL39" s="424"/>
      <c r="BOM39" s="427"/>
      <c r="BON39" s="424"/>
      <c r="BOO39" s="427"/>
      <c r="BOP39" s="424"/>
      <c r="BOQ39" s="427"/>
      <c r="BOR39" s="424"/>
      <c r="BOS39" s="427"/>
      <c r="BOT39" s="424"/>
      <c r="BOU39" s="427"/>
      <c r="BOV39" s="424"/>
      <c r="BOW39" s="427"/>
      <c r="BOX39" s="424"/>
      <c r="BOY39" s="427"/>
      <c r="BOZ39" s="424"/>
      <c r="BPA39" s="427"/>
      <c r="BPB39" s="424"/>
      <c r="BPC39" s="427"/>
      <c r="BPD39" s="424"/>
      <c r="BPE39" s="427"/>
      <c r="BPF39" s="424"/>
      <c r="BPG39" s="427"/>
      <c r="BPH39" s="424"/>
      <c r="BPI39" s="427"/>
      <c r="BPJ39" s="424"/>
      <c r="BPK39" s="427"/>
      <c r="BPL39" s="424"/>
      <c r="BPM39" s="427"/>
      <c r="BPN39" s="424"/>
      <c r="BPO39" s="427"/>
      <c r="BPP39" s="424"/>
      <c r="BPQ39" s="427"/>
      <c r="BPR39" s="424"/>
      <c r="BPS39" s="427"/>
      <c r="BPT39" s="424"/>
      <c r="BPU39" s="427"/>
      <c r="BPV39" s="424"/>
      <c r="BPW39" s="427"/>
      <c r="BPX39" s="424"/>
      <c r="BPY39" s="427"/>
      <c r="BPZ39" s="424"/>
      <c r="BQA39" s="427"/>
      <c r="BQB39" s="424"/>
      <c r="BQC39" s="427"/>
      <c r="BQD39" s="424"/>
      <c r="BQE39" s="427"/>
      <c r="BQF39" s="424"/>
      <c r="BQG39" s="427"/>
      <c r="BQH39" s="424"/>
      <c r="BQI39" s="427"/>
      <c r="BQJ39" s="424"/>
      <c r="BQK39" s="427"/>
      <c r="BQL39" s="424"/>
      <c r="BQM39" s="427"/>
      <c r="BQN39" s="424"/>
      <c r="BQO39" s="427"/>
      <c r="BQP39" s="424"/>
      <c r="BQQ39" s="427"/>
      <c r="BQR39" s="424"/>
      <c r="BQS39" s="427"/>
      <c r="BQT39" s="424"/>
      <c r="BQU39" s="427"/>
      <c r="BQV39" s="424"/>
      <c r="BQW39" s="427"/>
      <c r="BQX39" s="424"/>
      <c r="BQY39" s="427"/>
      <c r="BQZ39" s="424"/>
      <c r="BRA39" s="427"/>
      <c r="BRB39" s="424"/>
      <c r="BRC39" s="427"/>
      <c r="BRD39" s="424"/>
      <c r="BRE39" s="427"/>
      <c r="BRF39" s="424"/>
      <c r="BRG39" s="427"/>
      <c r="BRH39" s="424"/>
      <c r="BRI39" s="427"/>
      <c r="BRJ39" s="424"/>
      <c r="BRK39" s="427"/>
      <c r="BRL39" s="424"/>
      <c r="BRM39" s="427"/>
      <c r="BRN39" s="424"/>
      <c r="BRO39" s="427"/>
      <c r="BRP39" s="424"/>
      <c r="BRQ39" s="427"/>
      <c r="BRR39" s="424"/>
      <c r="BRS39" s="427"/>
      <c r="BRT39" s="424"/>
      <c r="BRU39" s="427"/>
      <c r="BRV39" s="424"/>
      <c r="BRW39" s="427"/>
      <c r="BRX39" s="424"/>
      <c r="BRY39" s="427"/>
      <c r="BRZ39" s="424"/>
      <c r="BSA39" s="427"/>
      <c r="BSB39" s="424"/>
      <c r="BSC39" s="427"/>
      <c r="BSD39" s="424"/>
      <c r="BSE39" s="427"/>
      <c r="BSF39" s="424"/>
      <c r="BSG39" s="427"/>
      <c r="BSH39" s="424"/>
      <c r="BSI39" s="427"/>
      <c r="BSJ39" s="424"/>
      <c r="BSK39" s="427"/>
      <c r="BSL39" s="424"/>
      <c r="BSM39" s="427"/>
      <c r="BSN39" s="424"/>
      <c r="BSO39" s="427"/>
      <c r="BSP39" s="424"/>
      <c r="BSQ39" s="427"/>
      <c r="BSR39" s="424"/>
      <c r="BSS39" s="427"/>
      <c r="BST39" s="424"/>
      <c r="BSU39" s="427"/>
      <c r="BSV39" s="424"/>
      <c r="BSW39" s="427"/>
      <c r="BSX39" s="424"/>
      <c r="BSY39" s="427"/>
      <c r="BSZ39" s="424"/>
      <c r="BTA39" s="427"/>
      <c r="BTB39" s="424"/>
      <c r="BTC39" s="427"/>
      <c r="BTD39" s="424"/>
      <c r="BTE39" s="427"/>
      <c r="BTF39" s="424"/>
      <c r="BTG39" s="427"/>
      <c r="BTH39" s="424"/>
      <c r="BTI39" s="427"/>
      <c r="BTJ39" s="424"/>
      <c r="BTK39" s="427"/>
      <c r="BTL39" s="424"/>
      <c r="BTM39" s="427"/>
      <c r="BTN39" s="424"/>
      <c r="BTO39" s="427"/>
      <c r="BTP39" s="424"/>
      <c r="BTQ39" s="427"/>
      <c r="BTR39" s="424"/>
      <c r="BTS39" s="427"/>
      <c r="BTT39" s="424"/>
      <c r="BTU39" s="427"/>
      <c r="BTV39" s="424"/>
      <c r="BTW39" s="427"/>
      <c r="BTX39" s="424"/>
      <c r="BTY39" s="427"/>
      <c r="BTZ39" s="424"/>
      <c r="BUA39" s="427"/>
      <c r="BUB39" s="424"/>
      <c r="BUC39" s="427"/>
      <c r="BUD39" s="424"/>
      <c r="BUE39" s="427"/>
      <c r="BUF39" s="424"/>
      <c r="BUG39" s="427"/>
      <c r="BUH39" s="424"/>
      <c r="BUI39" s="427"/>
      <c r="BUJ39" s="424"/>
      <c r="BUK39" s="427"/>
      <c r="BUL39" s="424"/>
      <c r="BUM39" s="427"/>
      <c r="BUN39" s="424"/>
      <c r="BUO39" s="427"/>
      <c r="BUP39" s="424"/>
      <c r="BUQ39" s="427"/>
      <c r="BUR39" s="424"/>
      <c r="BUS39" s="427"/>
      <c r="BUT39" s="424"/>
      <c r="BUU39" s="427"/>
      <c r="BUV39" s="424"/>
      <c r="BUW39" s="427"/>
      <c r="BUX39" s="424"/>
      <c r="BUY39" s="427"/>
      <c r="BUZ39" s="424"/>
      <c r="BVA39" s="427"/>
      <c r="BVB39" s="424"/>
      <c r="BVC39" s="427"/>
      <c r="BVD39" s="424"/>
      <c r="BVE39" s="427"/>
      <c r="BVF39" s="424"/>
      <c r="BVG39" s="427"/>
      <c r="BVH39" s="424"/>
      <c r="BVI39" s="427"/>
      <c r="BVJ39" s="424"/>
      <c r="BVK39" s="427"/>
      <c r="BVL39" s="424"/>
      <c r="BVM39" s="427"/>
      <c r="BVN39" s="424"/>
      <c r="BVO39" s="427"/>
      <c r="BVP39" s="424"/>
      <c r="BVQ39" s="427"/>
      <c r="BVR39" s="424"/>
      <c r="BVS39" s="427"/>
      <c r="BVT39" s="424"/>
      <c r="BVU39" s="427"/>
      <c r="BVV39" s="424"/>
      <c r="BVW39" s="427"/>
      <c r="BVX39" s="424"/>
      <c r="BVY39" s="427"/>
      <c r="BVZ39" s="424"/>
      <c r="BWA39" s="427"/>
      <c r="BWB39" s="424"/>
      <c r="BWC39" s="427"/>
      <c r="BWD39" s="424"/>
      <c r="BWE39" s="427"/>
      <c r="BWF39" s="424"/>
      <c r="BWG39" s="427"/>
      <c r="BWH39" s="424"/>
      <c r="BWI39" s="427"/>
      <c r="BWJ39" s="424"/>
      <c r="BWK39" s="427"/>
      <c r="BWL39" s="424"/>
      <c r="BWM39" s="427"/>
      <c r="BWN39" s="424"/>
      <c r="BWO39" s="427"/>
      <c r="BWP39" s="424"/>
      <c r="BWQ39" s="427"/>
      <c r="BWR39" s="424"/>
      <c r="BWS39" s="427"/>
      <c r="BWT39" s="424"/>
      <c r="BWU39" s="427"/>
      <c r="BWV39" s="424"/>
      <c r="BWW39" s="427"/>
      <c r="BWX39" s="424"/>
      <c r="BWY39" s="427"/>
      <c r="BWZ39" s="424"/>
      <c r="BXA39" s="427"/>
      <c r="BXB39" s="424"/>
      <c r="BXC39" s="427"/>
      <c r="BXD39" s="424"/>
      <c r="BXE39" s="427"/>
      <c r="BXF39" s="424"/>
      <c r="BXG39" s="427"/>
      <c r="BXH39" s="424"/>
      <c r="BXI39" s="427"/>
      <c r="BXJ39" s="424"/>
      <c r="BXK39" s="427"/>
      <c r="BXL39" s="424"/>
      <c r="BXM39" s="427"/>
      <c r="BXN39" s="424"/>
      <c r="BXO39" s="427"/>
      <c r="BXP39" s="424"/>
      <c r="BXQ39" s="427"/>
      <c r="BXR39" s="424"/>
      <c r="BXS39" s="427"/>
      <c r="BXT39" s="424"/>
      <c r="BXU39" s="427"/>
      <c r="BXV39" s="424"/>
      <c r="BXW39" s="427"/>
      <c r="BXX39" s="424"/>
      <c r="BXY39" s="427"/>
      <c r="BXZ39" s="424"/>
      <c r="BYA39" s="427"/>
      <c r="BYB39" s="424"/>
      <c r="BYC39" s="427"/>
      <c r="BYD39" s="424"/>
      <c r="BYE39" s="427"/>
      <c r="BYF39" s="424"/>
      <c r="BYG39" s="427"/>
      <c r="BYH39" s="424"/>
      <c r="BYI39" s="427"/>
      <c r="BYJ39" s="424"/>
      <c r="BYK39" s="427"/>
      <c r="BYL39" s="424"/>
      <c r="BYM39" s="427"/>
      <c r="BYN39" s="424"/>
      <c r="BYO39" s="427"/>
      <c r="BYP39" s="424"/>
      <c r="BYQ39" s="427"/>
      <c r="BYR39" s="424"/>
      <c r="BYS39" s="427"/>
      <c r="BYT39" s="424"/>
      <c r="BYU39" s="427"/>
      <c r="BYV39" s="424"/>
      <c r="BYW39" s="427"/>
      <c r="BYX39" s="424"/>
      <c r="BYY39" s="427"/>
      <c r="BYZ39" s="424"/>
      <c r="BZA39" s="427"/>
      <c r="BZB39" s="424"/>
      <c r="BZC39" s="427"/>
      <c r="BZD39" s="424"/>
      <c r="BZE39" s="427"/>
      <c r="BZF39" s="424"/>
      <c r="BZG39" s="427"/>
      <c r="BZH39" s="424"/>
      <c r="BZI39" s="427"/>
      <c r="BZJ39" s="424"/>
      <c r="BZK39" s="427"/>
      <c r="BZL39" s="424"/>
      <c r="BZM39" s="427"/>
      <c r="BZN39" s="424"/>
      <c r="BZO39" s="427"/>
      <c r="BZP39" s="424"/>
      <c r="BZQ39" s="427"/>
      <c r="BZR39" s="424"/>
      <c r="BZS39" s="427"/>
      <c r="BZT39" s="424"/>
      <c r="BZU39" s="427"/>
      <c r="BZV39" s="424"/>
      <c r="BZW39" s="427"/>
      <c r="BZX39" s="424"/>
      <c r="BZY39" s="427"/>
      <c r="BZZ39" s="424"/>
      <c r="CAA39" s="427"/>
      <c r="CAB39" s="424"/>
      <c r="CAC39" s="427"/>
      <c r="CAD39" s="424"/>
      <c r="CAE39" s="427"/>
      <c r="CAF39" s="424"/>
      <c r="CAG39" s="427"/>
      <c r="CAH39" s="424"/>
      <c r="CAI39" s="427"/>
      <c r="CAJ39" s="424"/>
      <c r="CAK39" s="427"/>
      <c r="CAL39" s="424"/>
      <c r="CAM39" s="427"/>
      <c r="CAN39" s="424"/>
      <c r="CAO39" s="427"/>
      <c r="CAP39" s="424"/>
      <c r="CAQ39" s="427"/>
      <c r="CAR39" s="424"/>
      <c r="CAS39" s="427"/>
      <c r="CAT39" s="424"/>
      <c r="CAU39" s="427"/>
      <c r="CAV39" s="424"/>
      <c r="CAW39" s="427"/>
      <c r="CAX39" s="424"/>
      <c r="CAY39" s="427"/>
      <c r="CAZ39" s="424"/>
      <c r="CBA39" s="427"/>
      <c r="CBB39" s="424"/>
      <c r="CBC39" s="427"/>
      <c r="CBD39" s="424"/>
      <c r="CBE39" s="427"/>
      <c r="CBF39" s="424"/>
      <c r="CBG39" s="427"/>
      <c r="CBH39" s="424"/>
      <c r="CBI39" s="427"/>
      <c r="CBJ39" s="424"/>
      <c r="CBK39" s="427"/>
      <c r="CBL39" s="424"/>
      <c r="CBM39" s="427"/>
      <c r="CBN39" s="424"/>
      <c r="CBO39" s="427"/>
      <c r="CBP39" s="424"/>
      <c r="CBQ39" s="427"/>
      <c r="CBR39" s="424"/>
      <c r="CBS39" s="427"/>
      <c r="CBT39" s="424"/>
      <c r="CBU39" s="427"/>
      <c r="CBV39" s="424"/>
      <c r="CBW39" s="427"/>
      <c r="CBX39" s="424"/>
      <c r="CBY39" s="427"/>
      <c r="CBZ39" s="424"/>
      <c r="CCA39" s="427"/>
      <c r="CCB39" s="424"/>
      <c r="CCC39" s="427"/>
      <c r="CCD39" s="424"/>
      <c r="CCE39" s="427"/>
      <c r="CCF39" s="424"/>
      <c r="CCG39" s="427"/>
      <c r="CCH39" s="424"/>
      <c r="CCI39" s="427"/>
      <c r="CCJ39" s="424"/>
      <c r="CCK39" s="427"/>
      <c r="CCL39" s="424"/>
      <c r="CCM39" s="427"/>
      <c r="CCN39" s="424"/>
      <c r="CCO39" s="427"/>
      <c r="CCP39" s="424"/>
      <c r="CCQ39" s="427"/>
      <c r="CCR39" s="424"/>
      <c r="CCS39" s="427"/>
      <c r="CCT39" s="424"/>
      <c r="CCU39" s="427"/>
      <c r="CCV39" s="424"/>
      <c r="CCW39" s="427"/>
      <c r="CCX39" s="424"/>
      <c r="CCY39" s="427"/>
      <c r="CCZ39" s="424"/>
      <c r="CDA39" s="427"/>
      <c r="CDB39" s="424"/>
      <c r="CDC39" s="427"/>
      <c r="CDD39" s="424"/>
      <c r="CDE39" s="427"/>
      <c r="CDF39" s="424"/>
      <c r="CDG39" s="427"/>
      <c r="CDH39" s="424"/>
      <c r="CDI39" s="427"/>
      <c r="CDJ39" s="424"/>
      <c r="CDK39" s="427"/>
      <c r="CDL39" s="424"/>
      <c r="CDM39" s="427"/>
      <c r="CDN39" s="424"/>
      <c r="CDO39" s="427"/>
      <c r="CDP39" s="424"/>
      <c r="CDQ39" s="427"/>
      <c r="CDR39" s="424"/>
      <c r="CDS39" s="427"/>
      <c r="CDT39" s="424"/>
      <c r="CDU39" s="427"/>
      <c r="CDV39" s="424"/>
      <c r="CDW39" s="427"/>
      <c r="CDX39" s="424"/>
      <c r="CDY39" s="427"/>
      <c r="CDZ39" s="424"/>
      <c r="CEA39" s="427"/>
      <c r="CEB39" s="424"/>
      <c r="CEC39" s="427"/>
      <c r="CED39" s="424"/>
      <c r="CEE39" s="427"/>
      <c r="CEF39" s="424"/>
      <c r="CEG39" s="427"/>
      <c r="CEH39" s="424"/>
      <c r="CEI39" s="427"/>
      <c r="CEJ39" s="424"/>
      <c r="CEK39" s="427"/>
      <c r="CEL39" s="424"/>
      <c r="CEM39" s="427"/>
      <c r="CEN39" s="424"/>
      <c r="CEO39" s="427"/>
      <c r="CEP39" s="424"/>
      <c r="CEQ39" s="427"/>
      <c r="CER39" s="424"/>
      <c r="CES39" s="427"/>
      <c r="CET39" s="424"/>
      <c r="CEU39" s="427"/>
      <c r="CEV39" s="424"/>
      <c r="CEW39" s="427"/>
      <c r="CEX39" s="424"/>
      <c r="CEY39" s="427"/>
      <c r="CEZ39" s="424"/>
      <c r="CFA39" s="427"/>
      <c r="CFB39" s="424"/>
      <c r="CFC39" s="427"/>
      <c r="CFD39" s="424"/>
      <c r="CFE39" s="427"/>
      <c r="CFF39" s="424"/>
      <c r="CFG39" s="427"/>
      <c r="CFH39" s="424"/>
      <c r="CFI39" s="427"/>
      <c r="CFJ39" s="424"/>
      <c r="CFK39" s="427"/>
      <c r="CFL39" s="424"/>
      <c r="CFM39" s="427"/>
      <c r="CFN39" s="424"/>
      <c r="CFO39" s="427"/>
      <c r="CFP39" s="424"/>
      <c r="CFQ39" s="427"/>
      <c r="CFR39" s="424"/>
      <c r="CFS39" s="427"/>
      <c r="CFT39" s="424"/>
      <c r="CFU39" s="427"/>
      <c r="CFV39" s="424"/>
      <c r="CFW39" s="427"/>
      <c r="CFX39" s="424"/>
      <c r="CFY39" s="427"/>
      <c r="CFZ39" s="424"/>
      <c r="CGA39" s="427"/>
      <c r="CGB39" s="424"/>
      <c r="CGC39" s="427"/>
      <c r="CGD39" s="424"/>
      <c r="CGE39" s="427"/>
      <c r="CGF39" s="424"/>
      <c r="CGG39" s="427"/>
      <c r="CGH39" s="424"/>
      <c r="CGI39" s="427"/>
      <c r="CGJ39" s="424"/>
      <c r="CGK39" s="427"/>
      <c r="CGL39" s="424"/>
      <c r="CGM39" s="427"/>
      <c r="CGN39" s="424"/>
      <c r="CGO39" s="427"/>
      <c r="CGP39" s="424"/>
      <c r="CGQ39" s="427"/>
      <c r="CGR39" s="424"/>
      <c r="CGS39" s="427"/>
      <c r="CGT39" s="424"/>
      <c r="CGU39" s="427"/>
      <c r="CGV39" s="424"/>
      <c r="CGW39" s="427"/>
      <c r="CGX39" s="424"/>
      <c r="CGY39" s="427"/>
      <c r="CGZ39" s="424"/>
      <c r="CHA39" s="427"/>
      <c r="CHB39" s="424"/>
      <c r="CHC39" s="427"/>
      <c r="CHD39" s="424"/>
      <c r="CHE39" s="427"/>
      <c r="CHF39" s="424"/>
      <c r="CHG39" s="427"/>
      <c r="CHH39" s="424"/>
      <c r="CHI39" s="427"/>
      <c r="CHJ39" s="424"/>
      <c r="CHK39" s="427"/>
      <c r="CHL39" s="424"/>
      <c r="CHM39" s="427"/>
      <c r="CHN39" s="424"/>
      <c r="CHO39" s="427"/>
      <c r="CHP39" s="424"/>
      <c r="CHQ39" s="427"/>
      <c r="CHR39" s="424"/>
      <c r="CHS39" s="427"/>
      <c r="CHT39" s="424"/>
      <c r="CHU39" s="427"/>
      <c r="CHV39" s="424"/>
      <c r="CHW39" s="427"/>
      <c r="CHX39" s="424"/>
      <c r="CHY39" s="427"/>
      <c r="CHZ39" s="424"/>
      <c r="CIA39" s="427"/>
      <c r="CIB39" s="424"/>
      <c r="CIC39" s="427"/>
      <c r="CID39" s="424"/>
      <c r="CIE39" s="427"/>
      <c r="CIF39" s="424"/>
      <c r="CIG39" s="427"/>
      <c r="CIH39" s="424"/>
      <c r="CII39" s="427"/>
      <c r="CIJ39" s="424"/>
      <c r="CIK39" s="427"/>
      <c r="CIL39" s="424"/>
      <c r="CIM39" s="427"/>
      <c r="CIN39" s="424"/>
      <c r="CIO39" s="427"/>
      <c r="CIP39" s="424"/>
      <c r="CIQ39" s="427"/>
      <c r="CIR39" s="424"/>
      <c r="CIS39" s="427"/>
      <c r="CIT39" s="424"/>
      <c r="CIU39" s="427"/>
      <c r="CIV39" s="424"/>
      <c r="CIW39" s="427"/>
      <c r="CIX39" s="424"/>
      <c r="CIY39" s="427"/>
      <c r="CIZ39" s="424"/>
      <c r="CJA39" s="427"/>
      <c r="CJB39" s="424"/>
      <c r="CJC39" s="427"/>
      <c r="CJD39" s="424"/>
      <c r="CJE39" s="427"/>
      <c r="CJF39" s="424"/>
      <c r="CJG39" s="427"/>
      <c r="CJH39" s="424"/>
      <c r="CJI39" s="427"/>
      <c r="CJJ39" s="424"/>
      <c r="CJK39" s="427"/>
      <c r="CJL39" s="424"/>
      <c r="CJM39" s="427"/>
      <c r="CJN39" s="424"/>
      <c r="CJO39" s="427"/>
      <c r="CJP39" s="424"/>
      <c r="CJQ39" s="427"/>
      <c r="CJR39" s="424"/>
      <c r="CJS39" s="427"/>
      <c r="CJT39" s="424"/>
      <c r="CJU39" s="427"/>
      <c r="CJV39" s="424"/>
      <c r="CJW39" s="427"/>
      <c r="CJX39" s="424"/>
      <c r="CJY39" s="427"/>
      <c r="CJZ39" s="424"/>
      <c r="CKA39" s="427"/>
      <c r="CKB39" s="424"/>
      <c r="CKC39" s="427"/>
      <c r="CKD39" s="424"/>
      <c r="CKE39" s="427"/>
      <c r="CKF39" s="424"/>
      <c r="CKG39" s="427"/>
      <c r="CKH39" s="424"/>
      <c r="CKI39" s="427"/>
      <c r="CKJ39" s="424"/>
      <c r="CKK39" s="427"/>
      <c r="CKL39" s="424"/>
      <c r="CKM39" s="427"/>
      <c r="CKN39" s="424"/>
      <c r="CKO39" s="427"/>
      <c r="CKP39" s="424"/>
      <c r="CKQ39" s="427"/>
      <c r="CKR39" s="424"/>
      <c r="CKS39" s="427"/>
      <c r="CKT39" s="424"/>
      <c r="CKU39" s="427"/>
      <c r="CKV39" s="424"/>
      <c r="CKW39" s="427"/>
      <c r="CKX39" s="424"/>
      <c r="CKY39" s="427"/>
      <c r="CKZ39" s="424"/>
      <c r="CLA39" s="427"/>
      <c r="CLB39" s="424"/>
      <c r="CLC39" s="427"/>
      <c r="CLD39" s="424"/>
      <c r="CLE39" s="427"/>
      <c r="CLF39" s="424"/>
      <c r="CLG39" s="427"/>
      <c r="CLH39" s="424"/>
      <c r="CLI39" s="427"/>
      <c r="CLJ39" s="424"/>
      <c r="CLK39" s="427"/>
      <c r="CLL39" s="424"/>
      <c r="CLM39" s="427"/>
      <c r="CLN39" s="424"/>
      <c r="CLO39" s="427"/>
      <c r="CLP39" s="424"/>
      <c r="CLQ39" s="427"/>
      <c r="CLR39" s="424"/>
      <c r="CLS39" s="427"/>
      <c r="CLT39" s="424"/>
      <c r="CLU39" s="427"/>
      <c r="CLV39" s="424"/>
      <c r="CLW39" s="427"/>
      <c r="CLX39" s="424"/>
      <c r="CLY39" s="427"/>
      <c r="CLZ39" s="424"/>
      <c r="CMA39" s="427"/>
      <c r="CMB39" s="424"/>
      <c r="CMC39" s="427"/>
      <c r="CMD39" s="424"/>
      <c r="CME39" s="427"/>
      <c r="CMF39" s="424"/>
      <c r="CMG39" s="427"/>
      <c r="CMH39" s="424"/>
      <c r="CMI39" s="427"/>
      <c r="CMJ39" s="424"/>
      <c r="CMK39" s="427"/>
      <c r="CML39" s="424"/>
      <c r="CMM39" s="427"/>
      <c r="CMN39" s="424"/>
      <c r="CMO39" s="427"/>
      <c r="CMP39" s="424"/>
      <c r="CMQ39" s="427"/>
      <c r="CMR39" s="424"/>
      <c r="CMS39" s="427"/>
      <c r="CMT39" s="424"/>
      <c r="CMU39" s="427"/>
      <c r="CMV39" s="424"/>
      <c r="CMW39" s="427"/>
      <c r="CMX39" s="424"/>
      <c r="CMY39" s="427"/>
      <c r="CMZ39" s="424"/>
      <c r="CNA39" s="427"/>
      <c r="CNB39" s="424"/>
      <c r="CNC39" s="427"/>
      <c r="CND39" s="424"/>
      <c r="CNE39" s="427"/>
      <c r="CNF39" s="424"/>
      <c r="CNG39" s="427"/>
      <c r="CNH39" s="424"/>
      <c r="CNI39" s="427"/>
      <c r="CNJ39" s="424"/>
      <c r="CNK39" s="427"/>
      <c r="CNL39" s="424"/>
      <c r="CNM39" s="427"/>
      <c r="CNN39" s="424"/>
      <c r="CNO39" s="427"/>
      <c r="CNP39" s="424"/>
      <c r="CNQ39" s="427"/>
      <c r="CNR39" s="424"/>
      <c r="CNS39" s="427"/>
      <c r="CNT39" s="424"/>
      <c r="CNU39" s="427"/>
      <c r="CNV39" s="424"/>
      <c r="CNW39" s="427"/>
      <c r="CNX39" s="424"/>
      <c r="CNY39" s="427"/>
      <c r="CNZ39" s="424"/>
      <c r="COA39" s="427"/>
      <c r="COB39" s="424"/>
      <c r="COC39" s="427"/>
      <c r="COD39" s="424"/>
      <c r="COE39" s="427"/>
      <c r="COF39" s="424"/>
      <c r="COG39" s="427"/>
      <c r="COH39" s="424"/>
      <c r="COI39" s="427"/>
      <c r="COJ39" s="424"/>
      <c r="COK39" s="427"/>
      <c r="COL39" s="424"/>
      <c r="COM39" s="427"/>
      <c r="CON39" s="424"/>
      <c r="COO39" s="427"/>
      <c r="COP39" s="424"/>
      <c r="COQ39" s="427"/>
      <c r="COR39" s="424"/>
      <c r="COS39" s="427"/>
      <c r="COT39" s="424"/>
      <c r="COU39" s="427"/>
      <c r="COV39" s="424"/>
      <c r="COW39" s="427"/>
      <c r="COX39" s="424"/>
      <c r="COY39" s="427"/>
      <c r="COZ39" s="424"/>
      <c r="CPA39" s="427"/>
      <c r="CPB39" s="424"/>
      <c r="CPC39" s="427"/>
      <c r="CPD39" s="424"/>
      <c r="CPE39" s="427"/>
      <c r="CPF39" s="424"/>
      <c r="CPG39" s="427"/>
      <c r="CPH39" s="424"/>
      <c r="CPI39" s="427"/>
      <c r="CPJ39" s="424"/>
      <c r="CPK39" s="427"/>
      <c r="CPL39" s="424"/>
      <c r="CPM39" s="427"/>
      <c r="CPN39" s="424"/>
      <c r="CPO39" s="427"/>
      <c r="CPP39" s="424"/>
      <c r="CPQ39" s="427"/>
      <c r="CPR39" s="424"/>
      <c r="CPS39" s="427"/>
      <c r="CPT39" s="424"/>
      <c r="CPU39" s="427"/>
      <c r="CPV39" s="424"/>
      <c r="CPW39" s="427"/>
      <c r="CPX39" s="424"/>
      <c r="CPY39" s="427"/>
      <c r="CPZ39" s="424"/>
      <c r="CQA39" s="427"/>
      <c r="CQB39" s="424"/>
      <c r="CQC39" s="427"/>
      <c r="CQD39" s="424"/>
      <c r="CQE39" s="427"/>
      <c r="CQF39" s="424"/>
      <c r="CQG39" s="427"/>
      <c r="CQH39" s="424"/>
      <c r="CQI39" s="427"/>
      <c r="CQJ39" s="424"/>
      <c r="CQK39" s="427"/>
      <c r="CQL39" s="424"/>
      <c r="CQM39" s="427"/>
      <c r="CQN39" s="424"/>
      <c r="CQO39" s="427"/>
      <c r="CQP39" s="424"/>
      <c r="CQQ39" s="427"/>
      <c r="CQR39" s="424"/>
      <c r="CQS39" s="427"/>
      <c r="CQT39" s="424"/>
      <c r="CQU39" s="427"/>
      <c r="CQV39" s="424"/>
      <c r="CQW39" s="427"/>
      <c r="CQX39" s="424"/>
      <c r="CQY39" s="427"/>
      <c r="CQZ39" s="424"/>
      <c r="CRA39" s="427"/>
      <c r="CRB39" s="424"/>
      <c r="CRC39" s="427"/>
      <c r="CRD39" s="424"/>
      <c r="CRE39" s="427"/>
      <c r="CRF39" s="424"/>
      <c r="CRG39" s="427"/>
      <c r="CRH39" s="424"/>
      <c r="CRI39" s="427"/>
      <c r="CRJ39" s="424"/>
      <c r="CRK39" s="427"/>
      <c r="CRL39" s="424"/>
      <c r="CRM39" s="427"/>
      <c r="CRN39" s="424"/>
      <c r="CRO39" s="427"/>
      <c r="CRP39" s="424"/>
      <c r="CRQ39" s="427"/>
      <c r="CRR39" s="424"/>
      <c r="CRS39" s="427"/>
      <c r="CRT39" s="424"/>
      <c r="CRU39" s="427"/>
      <c r="CRV39" s="424"/>
      <c r="CRW39" s="427"/>
      <c r="CRX39" s="424"/>
      <c r="CRY39" s="427"/>
      <c r="CRZ39" s="424"/>
      <c r="CSA39" s="427"/>
      <c r="CSB39" s="424"/>
      <c r="CSC39" s="427"/>
      <c r="CSD39" s="424"/>
      <c r="CSE39" s="427"/>
      <c r="CSF39" s="424"/>
      <c r="CSG39" s="427"/>
      <c r="CSH39" s="424"/>
      <c r="CSI39" s="427"/>
      <c r="CSJ39" s="424"/>
      <c r="CSK39" s="427"/>
      <c r="CSL39" s="424"/>
      <c r="CSM39" s="427"/>
      <c r="CSN39" s="424"/>
      <c r="CSO39" s="427"/>
      <c r="CSP39" s="424"/>
      <c r="CSQ39" s="427"/>
      <c r="CSR39" s="424"/>
      <c r="CSS39" s="427"/>
      <c r="CST39" s="424"/>
      <c r="CSU39" s="427"/>
      <c r="CSV39" s="424"/>
      <c r="CSW39" s="427"/>
      <c r="CSX39" s="424"/>
      <c r="CSY39" s="427"/>
      <c r="CSZ39" s="424"/>
      <c r="CTA39" s="427"/>
      <c r="CTB39" s="424"/>
      <c r="CTC39" s="427"/>
      <c r="CTD39" s="424"/>
      <c r="CTE39" s="427"/>
      <c r="CTF39" s="424"/>
      <c r="CTG39" s="427"/>
      <c r="CTH39" s="424"/>
      <c r="CTI39" s="427"/>
      <c r="CTJ39" s="424"/>
      <c r="CTK39" s="427"/>
      <c r="CTL39" s="424"/>
      <c r="CTM39" s="427"/>
      <c r="CTN39" s="424"/>
      <c r="CTO39" s="427"/>
      <c r="CTP39" s="424"/>
      <c r="CTQ39" s="427"/>
      <c r="CTR39" s="424"/>
      <c r="CTS39" s="427"/>
      <c r="CTT39" s="424"/>
      <c r="CTU39" s="427"/>
      <c r="CTV39" s="424"/>
      <c r="CTW39" s="427"/>
      <c r="CTX39" s="424"/>
      <c r="CTY39" s="427"/>
      <c r="CTZ39" s="424"/>
      <c r="CUA39" s="427"/>
      <c r="CUB39" s="424"/>
      <c r="CUC39" s="427"/>
      <c r="CUD39" s="424"/>
      <c r="CUE39" s="427"/>
      <c r="CUF39" s="424"/>
      <c r="CUG39" s="427"/>
      <c r="CUH39" s="424"/>
      <c r="CUI39" s="427"/>
      <c r="CUJ39" s="424"/>
      <c r="CUK39" s="427"/>
      <c r="CUL39" s="424"/>
      <c r="CUM39" s="427"/>
      <c r="CUN39" s="424"/>
      <c r="CUO39" s="427"/>
      <c r="CUP39" s="424"/>
      <c r="CUQ39" s="427"/>
      <c r="CUR39" s="424"/>
      <c r="CUS39" s="427"/>
      <c r="CUT39" s="424"/>
      <c r="CUU39" s="427"/>
      <c r="CUV39" s="424"/>
      <c r="CUW39" s="427"/>
      <c r="CUX39" s="424"/>
      <c r="CUY39" s="427"/>
      <c r="CUZ39" s="424"/>
      <c r="CVA39" s="427"/>
      <c r="CVB39" s="424"/>
      <c r="CVC39" s="427"/>
      <c r="CVD39" s="424"/>
      <c r="CVE39" s="427"/>
      <c r="CVF39" s="424"/>
      <c r="CVG39" s="427"/>
      <c r="CVH39" s="424"/>
      <c r="CVI39" s="427"/>
      <c r="CVJ39" s="424"/>
      <c r="CVK39" s="427"/>
      <c r="CVL39" s="424"/>
      <c r="CVM39" s="427"/>
      <c r="CVN39" s="424"/>
      <c r="CVO39" s="427"/>
      <c r="CVP39" s="424"/>
      <c r="CVQ39" s="427"/>
      <c r="CVR39" s="424"/>
      <c r="CVS39" s="427"/>
      <c r="CVT39" s="424"/>
      <c r="CVU39" s="427"/>
      <c r="CVV39" s="424"/>
      <c r="CVW39" s="427"/>
      <c r="CVX39" s="424"/>
      <c r="CVY39" s="427"/>
      <c r="CVZ39" s="424"/>
      <c r="CWA39" s="427"/>
      <c r="CWB39" s="424"/>
      <c r="CWC39" s="427"/>
      <c r="CWD39" s="424"/>
      <c r="CWE39" s="427"/>
      <c r="CWF39" s="424"/>
      <c r="CWG39" s="427"/>
      <c r="CWH39" s="424"/>
      <c r="CWI39" s="427"/>
      <c r="CWJ39" s="424"/>
      <c r="CWK39" s="427"/>
      <c r="CWL39" s="424"/>
      <c r="CWM39" s="427"/>
      <c r="CWN39" s="424"/>
      <c r="CWO39" s="427"/>
      <c r="CWP39" s="424"/>
      <c r="CWQ39" s="427"/>
      <c r="CWR39" s="424"/>
      <c r="CWS39" s="427"/>
      <c r="CWT39" s="424"/>
      <c r="CWU39" s="427"/>
      <c r="CWV39" s="424"/>
      <c r="CWW39" s="427"/>
      <c r="CWX39" s="424"/>
      <c r="CWY39" s="427"/>
      <c r="CWZ39" s="424"/>
      <c r="CXA39" s="427"/>
      <c r="CXB39" s="424"/>
      <c r="CXC39" s="427"/>
      <c r="CXD39" s="424"/>
      <c r="CXE39" s="427"/>
      <c r="CXF39" s="424"/>
      <c r="CXG39" s="427"/>
      <c r="CXH39" s="424"/>
      <c r="CXI39" s="427"/>
      <c r="CXJ39" s="424"/>
      <c r="CXK39" s="427"/>
      <c r="CXL39" s="424"/>
      <c r="CXM39" s="427"/>
      <c r="CXN39" s="424"/>
      <c r="CXO39" s="427"/>
      <c r="CXP39" s="424"/>
      <c r="CXQ39" s="427"/>
      <c r="CXR39" s="424"/>
      <c r="CXS39" s="427"/>
      <c r="CXT39" s="424"/>
      <c r="CXU39" s="427"/>
      <c r="CXV39" s="424"/>
      <c r="CXW39" s="427"/>
      <c r="CXX39" s="424"/>
      <c r="CXY39" s="427"/>
      <c r="CXZ39" s="424"/>
      <c r="CYA39" s="427"/>
      <c r="CYB39" s="424"/>
      <c r="CYC39" s="427"/>
      <c r="CYD39" s="424"/>
      <c r="CYE39" s="427"/>
      <c r="CYF39" s="424"/>
      <c r="CYG39" s="427"/>
      <c r="CYH39" s="424"/>
      <c r="CYI39" s="427"/>
      <c r="CYJ39" s="424"/>
      <c r="CYK39" s="427"/>
      <c r="CYL39" s="424"/>
      <c r="CYM39" s="427"/>
      <c r="CYN39" s="424"/>
      <c r="CYO39" s="427"/>
      <c r="CYP39" s="424"/>
      <c r="CYQ39" s="427"/>
      <c r="CYR39" s="424"/>
      <c r="CYS39" s="427"/>
      <c r="CYT39" s="424"/>
      <c r="CYU39" s="427"/>
      <c r="CYV39" s="424"/>
      <c r="CYW39" s="427"/>
      <c r="CYX39" s="424"/>
      <c r="CYY39" s="427"/>
      <c r="CYZ39" s="424"/>
      <c r="CZA39" s="427"/>
      <c r="CZB39" s="424"/>
      <c r="CZC39" s="427"/>
      <c r="CZD39" s="424"/>
      <c r="CZE39" s="427"/>
      <c r="CZF39" s="424"/>
      <c r="CZG39" s="427"/>
      <c r="CZH39" s="424"/>
      <c r="CZI39" s="427"/>
      <c r="CZJ39" s="424"/>
      <c r="CZK39" s="427"/>
      <c r="CZL39" s="424"/>
      <c r="CZM39" s="427"/>
      <c r="CZN39" s="424"/>
      <c r="CZO39" s="427"/>
      <c r="CZP39" s="424"/>
      <c r="CZQ39" s="427"/>
      <c r="CZR39" s="424"/>
      <c r="CZS39" s="427"/>
      <c r="CZT39" s="424"/>
      <c r="CZU39" s="427"/>
      <c r="CZV39" s="424"/>
      <c r="CZW39" s="427"/>
      <c r="CZX39" s="424"/>
      <c r="CZY39" s="427"/>
      <c r="CZZ39" s="424"/>
      <c r="DAA39" s="427"/>
      <c r="DAB39" s="424"/>
      <c r="DAC39" s="427"/>
      <c r="DAD39" s="424"/>
      <c r="DAE39" s="427"/>
      <c r="DAF39" s="424"/>
      <c r="DAG39" s="427"/>
      <c r="DAH39" s="424"/>
      <c r="DAI39" s="427"/>
      <c r="DAJ39" s="424"/>
      <c r="DAK39" s="427"/>
      <c r="DAL39" s="424"/>
      <c r="DAM39" s="427"/>
      <c r="DAN39" s="424"/>
      <c r="DAO39" s="427"/>
      <c r="DAP39" s="424"/>
      <c r="DAQ39" s="427"/>
      <c r="DAR39" s="424"/>
      <c r="DAS39" s="427"/>
      <c r="DAT39" s="424"/>
      <c r="DAU39" s="427"/>
      <c r="DAV39" s="424"/>
      <c r="DAW39" s="427"/>
      <c r="DAX39" s="424"/>
      <c r="DAY39" s="427"/>
      <c r="DAZ39" s="424"/>
      <c r="DBA39" s="427"/>
      <c r="DBB39" s="424"/>
      <c r="DBC39" s="427"/>
      <c r="DBD39" s="424"/>
      <c r="DBE39" s="427"/>
      <c r="DBF39" s="424"/>
      <c r="DBG39" s="427"/>
      <c r="DBH39" s="424"/>
      <c r="DBI39" s="427"/>
      <c r="DBJ39" s="424"/>
      <c r="DBK39" s="427"/>
      <c r="DBL39" s="424"/>
      <c r="DBM39" s="427"/>
      <c r="DBN39" s="424"/>
      <c r="DBO39" s="427"/>
      <c r="DBP39" s="424"/>
      <c r="DBQ39" s="427"/>
      <c r="DBR39" s="424"/>
      <c r="DBS39" s="427"/>
      <c r="DBT39" s="424"/>
      <c r="DBU39" s="427"/>
      <c r="DBV39" s="424"/>
      <c r="DBW39" s="427"/>
      <c r="DBX39" s="424"/>
      <c r="DBY39" s="427"/>
      <c r="DBZ39" s="424"/>
      <c r="DCA39" s="427"/>
      <c r="DCB39" s="424"/>
      <c r="DCC39" s="427"/>
      <c r="DCD39" s="424"/>
      <c r="DCE39" s="427"/>
      <c r="DCF39" s="424"/>
      <c r="DCG39" s="427"/>
      <c r="DCH39" s="424"/>
      <c r="DCI39" s="427"/>
      <c r="DCJ39" s="424"/>
      <c r="DCK39" s="427"/>
      <c r="DCL39" s="424"/>
      <c r="DCM39" s="427"/>
      <c r="DCN39" s="424"/>
      <c r="DCO39" s="427"/>
      <c r="DCP39" s="424"/>
      <c r="DCQ39" s="427"/>
      <c r="DCR39" s="424"/>
      <c r="DCS39" s="427"/>
      <c r="DCT39" s="424"/>
      <c r="DCU39" s="427"/>
      <c r="DCV39" s="424"/>
      <c r="DCW39" s="427"/>
      <c r="DCX39" s="424"/>
      <c r="DCY39" s="427"/>
      <c r="DCZ39" s="424"/>
      <c r="DDA39" s="427"/>
      <c r="DDB39" s="424"/>
      <c r="DDC39" s="427"/>
      <c r="DDD39" s="424"/>
      <c r="DDE39" s="427"/>
      <c r="DDF39" s="424"/>
      <c r="DDG39" s="427"/>
      <c r="DDH39" s="424"/>
      <c r="DDI39" s="427"/>
      <c r="DDJ39" s="424"/>
      <c r="DDK39" s="427"/>
      <c r="DDL39" s="424"/>
      <c r="DDM39" s="427"/>
      <c r="DDN39" s="424"/>
      <c r="DDO39" s="427"/>
      <c r="DDP39" s="424"/>
      <c r="DDQ39" s="427"/>
      <c r="DDR39" s="424"/>
      <c r="DDS39" s="427"/>
      <c r="DDT39" s="424"/>
      <c r="DDU39" s="427"/>
      <c r="DDV39" s="424"/>
      <c r="DDW39" s="427"/>
      <c r="DDX39" s="424"/>
      <c r="DDY39" s="427"/>
      <c r="DDZ39" s="424"/>
      <c r="DEA39" s="427"/>
      <c r="DEB39" s="424"/>
      <c r="DEC39" s="427"/>
      <c r="DED39" s="424"/>
      <c r="DEE39" s="427"/>
      <c r="DEF39" s="424"/>
      <c r="DEG39" s="427"/>
      <c r="DEH39" s="424"/>
      <c r="DEI39" s="427"/>
      <c r="DEJ39" s="424"/>
      <c r="DEK39" s="427"/>
      <c r="DEL39" s="424"/>
      <c r="DEM39" s="427"/>
      <c r="DEN39" s="424"/>
      <c r="DEO39" s="427"/>
      <c r="DEP39" s="424"/>
      <c r="DEQ39" s="427"/>
      <c r="DER39" s="424"/>
      <c r="DES39" s="427"/>
      <c r="DET39" s="424"/>
      <c r="DEU39" s="427"/>
      <c r="DEV39" s="424"/>
      <c r="DEW39" s="427"/>
      <c r="DEX39" s="424"/>
      <c r="DEY39" s="427"/>
      <c r="DEZ39" s="424"/>
      <c r="DFA39" s="427"/>
      <c r="DFB39" s="424"/>
      <c r="DFC39" s="427"/>
      <c r="DFD39" s="424"/>
      <c r="DFE39" s="427"/>
      <c r="DFF39" s="424"/>
      <c r="DFG39" s="427"/>
      <c r="DFH39" s="424"/>
      <c r="DFI39" s="427"/>
      <c r="DFJ39" s="424"/>
      <c r="DFK39" s="427"/>
      <c r="DFL39" s="424"/>
      <c r="DFM39" s="427"/>
      <c r="DFN39" s="424"/>
      <c r="DFO39" s="427"/>
      <c r="DFP39" s="424"/>
      <c r="DFQ39" s="427"/>
      <c r="DFR39" s="424"/>
      <c r="DFS39" s="427"/>
      <c r="DFT39" s="424"/>
      <c r="DFU39" s="427"/>
      <c r="DFV39" s="424"/>
      <c r="DFW39" s="427"/>
      <c r="DFX39" s="424"/>
      <c r="DFY39" s="427"/>
      <c r="DFZ39" s="424"/>
      <c r="DGA39" s="427"/>
      <c r="DGB39" s="424"/>
      <c r="DGC39" s="427"/>
      <c r="DGD39" s="424"/>
      <c r="DGE39" s="427"/>
      <c r="DGF39" s="424"/>
      <c r="DGG39" s="427"/>
      <c r="DGH39" s="424"/>
      <c r="DGI39" s="427"/>
      <c r="DGJ39" s="424"/>
      <c r="DGK39" s="427"/>
      <c r="DGL39" s="424"/>
      <c r="DGM39" s="427"/>
      <c r="DGN39" s="424"/>
      <c r="DGO39" s="427"/>
      <c r="DGP39" s="424"/>
      <c r="DGQ39" s="427"/>
      <c r="DGR39" s="424"/>
      <c r="DGS39" s="427"/>
      <c r="DGT39" s="424"/>
      <c r="DGU39" s="427"/>
      <c r="DGV39" s="424"/>
      <c r="DGW39" s="427"/>
      <c r="DGX39" s="424"/>
      <c r="DGY39" s="427"/>
      <c r="DGZ39" s="424"/>
      <c r="DHA39" s="427"/>
      <c r="DHB39" s="424"/>
      <c r="DHC39" s="427"/>
      <c r="DHD39" s="424"/>
      <c r="DHE39" s="427"/>
      <c r="DHF39" s="424"/>
      <c r="DHG39" s="427"/>
      <c r="DHH39" s="424"/>
      <c r="DHI39" s="427"/>
      <c r="DHJ39" s="424"/>
      <c r="DHK39" s="427"/>
      <c r="DHL39" s="424"/>
      <c r="DHM39" s="427"/>
      <c r="DHN39" s="424"/>
      <c r="DHO39" s="427"/>
      <c r="DHP39" s="424"/>
      <c r="DHQ39" s="427"/>
      <c r="DHR39" s="424"/>
      <c r="DHS39" s="427"/>
      <c r="DHT39" s="424"/>
      <c r="DHU39" s="427"/>
      <c r="DHV39" s="424"/>
      <c r="DHW39" s="427"/>
      <c r="DHX39" s="424"/>
      <c r="DHY39" s="427"/>
      <c r="DHZ39" s="424"/>
      <c r="DIA39" s="427"/>
      <c r="DIB39" s="424"/>
      <c r="DIC39" s="427"/>
      <c r="DID39" s="424"/>
      <c r="DIE39" s="427"/>
      <c r="DIF39" s="424"/>
      <c r="DIG39" s="427"/>
      <c r="DIH39" s="424"/>
      <c r="DII39" s="427"/>
      <c r="DIJ39" s="424"/>
      <c r="DIK39" s="427"/>
      <c r="DIL39" s="424"/>
      <c r="DIM39" s="427"/>
      <c r="DIN39" s="424"/>
      <c r="DIO39" s="427"/>
      <c r="DIP39" s="424"/>
      <c r="DIQ39" s="427"/>
      <c r="DIR39" s="424"/>
      <c r="DIS39" s="427"/>
      <c r="DIT39" s="424"/>
      <c r="DIU39" s="427"/>
      <c r="DIV39" s="424"/>
      <c r="DIW39" s="427"/>
      <c r="DIX39" s="424"/>
      <c r="DIY39" s="427"/>
      <c r="DIZ39" s="424"/>
      <c r="DJA39" s="427"/>
      <c r="DJB39" s="424"/>
      <c r="DJC39" s="427"/>
      <c r="DJD39" s="424"/>
      <c r="DJE39" s="427"/>
      <c r="DJF39" s="424"/>
      <c r="DJG39" s="427"/>
      <c r="DJH39" s="424"/>
      <c r="DJI39" s="427"/>
      <c r="DJJ39" s="424"/>
      <c r="DJK39" s="427"/>
      <c r="DJL39" s="424"/>
      <c r="DJM39" s="427"/>
      <c r="DJN39" s="424"/>
      <c r="DJO39" s="427"/>
      <c r="DJP39" s="424"/>
      <c r="DJQ39" s="427"/>
      <c r="DJR39" s="424"/>
      <c r="DJS39" s="427"/>
      <c r="DJT39" s="424"/>
      <c r="DJU39" s="427"/>
      <c r="DJV39" s="424"/>
      <c r="DJW39" s="427"/>
      <c r="DJX39" s="424"/>
      <c r="DJY39" s="427"/>
      <c r="DJZ39" s="424"/>
      <c r="DKA39" s="427"/>
      <c r="DKB39" s="424"/>
      <c r="DKC39" s="427"/>
      <c r="DKD39" s="424"/>
      <c r="DKE39" s="427"/>
      <c r="DKF39" s="424"/>
      <c r="DKG39" s="427"/>
      <c r="DKH39" s="424"/>
      <c r="DKI39" s="427"/>
      <c r="DKJ39" s="424"/>
      <c r="DKK39" s="427"/>
      <c r="DKL39" s="424"/>
      <c r="DKM39" s="427"/>
      <c r="DKN39" s="424"/>
      <c r="DKO39" s="427"/>
      <c r="DKP39" s="424"/>
      <c r="DKQ39" s="427"/>
      <c r="DKR39" s="424"/>
      <c r="DKS39" s="427"/>
      <c r="DKT39" s="424"/>
      <c r="DKU39" s="427"/>
      <c r="DKV39" s="424"/>
      <c r="DKW39" s="427"/>
      <c r="DKX39" s="424"/>
      <c r="DKY39" s="427"/>
      <c r="DKZ39" s="424"/>
      <c r="DLA39" s="427"/>
      <c r="DLB39" s="424"/>
      <c r="DLC39" s="427"/>
      <c r="DLD39" s="424"/>
      <c r="DLE39" s="427"/>
      <c r="DLF39" s="424"/>
      <c r="DLG39" s="427"/>
      <c r="DLH39" s="424"/>
      <c r="DLI39" s="427"/>
      <c r="DLJ39" s="424"/>
      <c r="DLK39" s="427"/>
      <c r="DLL39" s="424"/>
      <c r="DLM39" s="427"/>
      <c r="DLN39" s="424"/>
      <c r="DLO39" s="427"/>
      <c r="DLP39" s="424"/>
      <c r="DLQ39" s="427"/>
      <c r="DLR39" s="424"/>
      <c r="DLS39" s="427"/>
      <c r="DLT39" s="424"/>
      <c r="DLU39" s="427"/>
      <c r="DLV39" s="424"/>
      <c r="DLW39" s="427"/>
      <c r="DLX39" s="424"/>
      <c r="DLY39" s="427"/>
      <c r="DLZ39" s="424"/>
      <c r="DMA39" s="427"/>
      <c r="DMB39" s="424"/>
      <c r="DMC39" s="427"/>
      <c r="DMD39" s="424"/>
      <c r="DME39" s="427"/>
      <c r="DMF39" s="424"/>
      <c r="DMG39" s="427"/>
      <c r="DMH39" s="424"/>
      <c r="DMI39" s="427"/>
      <c r="DMJ39" s="424"/>
      <c r="DMK39" s="427"/>
      <c r="DML39" s="424"/>
      <c r="DMM39" s="427"/>
      <c r="DMN39" s="424"/>
      <c r="DMO39" s="427"/>
      <c r="DMP39" s="424"/>
      <c r="DMQ39" s="427"/>
      <c r="DMR39" s="424"/>
      <c r="DMS39" s="427"/>
      <c r="DMT39" s="424"/>
      <c r="DMU39" s="427"/>
      <c r="DMV39" s="424"/>
      <c r="DMW39" s="427"/>
      <c r="DMX39" s="424"/>
      <c r="DMY39" s="427"/>
      <c r="DMZ39" s="424"/>
      <c r="DNA39" s="427"/>
      <c r="DNB39" s="424"/>
      <c r="DNC39" s="427"/>
      <c r="DND39" s="424"/>
      <c r="DNE39" s="427"/>
      <c r="DNF39" s="424"/>
      <c r="DNG39" s="427"/>
      <c r="DNH39" s="424"/>
      <c r="DNI39" s="427"/>
      <c r="DNJ39" s="424"/>
      <c r="DNK39" s="427"/>
      <c r="DNL39" s="424"/>
      <c r="DNM39" s="427"/>
      <c r="DNN39" s="424"/>
      <c r="DNO39" s="427"/>
      <c r="DNP39" s="424"/>
      <c r="DNQ39" s="427"/>
      <c r="DNR39" s="424"/>
      <c r="DNS39" s="427"/>
      <c r="DNT39" s="424"/>
      <c r="DNU39" s="427"/>
      <c r="DNV39" s="424"/>
      <c r="DNW39" s="427"/>
      <c r="DNX39" s="424"/>
      <c r="DNY39" s="427"/>
      <c r="DNZ39" s="424"/>
      <c r="DOA39" s="427"/>
      <c r="DOB39" s="424"/>
      <c r="DOC39" s="427"/>
      <c r="DOD39" s="424"/>
      <c r="DOE39" s="427"/>
      <c r="DOF39" s="424"/>
      <c r="DOG39" s="427"/>
      <c r="DOH39" s="424"/>
      <c r="DOI39" s="427"/>
      <c r="DOJ39" s="424"/>
      <c r="DOK39" s="427"/>
      <c r="DOL39" s="424"/>
      <c r="DOM39" s="427"/>
      <c r="DON39" s="424"/>
      <c r="DOO39" s="427"/>
      <c r="DOP39" s="424"/>
      <c r="DOQ39" s="427"/>
      <c r="DOR39" s="424"/>
      <c r="DOS39" s="427"/>
      <c r="DOT39" s="424"/>
      <c r="DOU39" s="427"/>
      <c r="DOV39" s="424"/>
      <c r="DOW39" s="427"/>
      <c r="DOX39" s="424"/>
      <c r="DOY39" s="427"/>
      <c r="DOZ39" s="424"/>
      <c r="DPA39" s="427"/>
      <c r="DPB39" s="424"/>
      <c r="DPC39" s="427"/>
      <c r="DPD39" s="424"/>
      <c r="DPE39" s="427"/>
      <c r="DPF39" s="424"/>
      <c r="DPG39" s="427"/>
      <c r="DPH39" s="424"/>
      <c r="DPI39" s="427"/>
      <c r="DPJ39" s="424"/>
      <c r="DPK39" s="427"/>
      <c r="DPL39" s="424"/>
      <c r="DPM39" s="427"/>
      <c r="DPN39" s="424"/>
      <c r="DPO39" s="427"/>
      <c r="DPP39" s="424"/>
      <c r="DPQ39" s="427"/>
      <c r="DPR39" s="424"/>
      <c r="DPS39" s="427"/>
      <c r="DPT39" s="424"/>
      <c r="DPU39" s="427"/>
      <c r="DPV39" s="424"/>
      <c r="DPW39" s="427"/>
      <c r="DPX39" s="424"/>
      <c r="DPY39" s="427"/>
      <c r="DPZ39" s="424"/>
      <c r="DQA39" s="427"/>
      <c r="DQB39" s="424"/>
      <c r="DQC39" s="427"/>
      <c r="DQD39" s="424"/>
      <c r="DQE39" s="427"/>
      <c r="DQF39" s="424"/>
      <c r="DQG39" s="427"/>
      <c r="DQH39" s="424"/>
      <c r="DQI39" s="427"/>
      <c r="DQJ39" s="424"/>
      <c r="DQK39" s="427"/>
      <c r="DQL39" s="424"/>
      <c r="DQM39" s="427"/>
      <c r="DQN39" s="424"/>
      <c r="DQO39" s="427"/>
      <c r="DQP39" s="424"/>
      <c r="DQQ39" s="427"/>
      <c r="DQR39" s="424"/>
      <c r="DQS39" s="427"/>
      <c r="DQT39" s="424"/>
      <c r="DQU39" s="427"/>
      <c r="DQV39" s="424"/>
      <c r="DQW39" s="427"/>
      <c r="DQX39" s="424"/>
      <c r="DQY39" s="427"/>
      <c r="DQZ39" s="424"/>
      <c r="DRA39" s="427"/>
      <c r="DRB39" s="424"/>
      <c r="DRC39" s="427"/>
      <c r="DRD39" s="424"/>
      <c r="DRE39" s="427"/>
      <c r="DRF39" s="424"/>
      <c r="DRG39" s="427"/>
      <c r="DRH39" s="424"/>
      <c r="DRI39" s="427"/>
      <c r="DRJ39" s="424"/>
      <c r="DRK39" s="427"/>
      <c r="DRL39" s="424"/>
      <c r="DRM39" s="427"/>
      <c r="DRN39" s="424"/>
      <c r="DRO39" s="427"/>
      <c r="DRP39" s="424"/>
      <c r="DRQ39" s="427"/>
      <c r="DRR39" s="424"/>
      <c r="DRS39" s="427"/>
      <c r="DRT39" s="424"/>
      <c r="DRU39" s="427"/>
      <c r="DRV39" s="424"/>
      <c r="DRW39" s="427"/>
      <c r="DRX39" s="424"/>
      <c r="DRY39" s="427"/>
      <c r="DRZ39" s="424"/>
      <c r="DSA39" s="427"/>
      <c r="DSB39" s="424"/>
      <c r="DSC39" s="427"/>
      <c r="DSD39" s="424"/>
      <c r="DSE39" s="427"/>
      <c r="DSF39" s="424"/>
      <c r="DSG39" s="427"/>
      <c r="DSH39" s="424"/>
      <c r="DSI39" s="427"/>
      <c r="DSJ39" s="424"/>
      <c r="DSK39" s="427"/>
      <c r="DSL39" s="424"/>
      <c r="DSM39" s="427"/>
      <c r="DSN39" s="424"/>
      <c r="DSO39" s="427"/>
      <c r="DSP39" s="424"/>
      <c r="DSQ39" s="427"/>
      <c r="DSR39" s="424"/>
      <c r="DSS39" s="427"/>
      <c r="DST39" s="424"/>
      <c r="DSU39" s="427"/>
      <c r="DSV39" s="424"/>
      <c r="DSW39" s="427"/>
      <c r="DSX39" s="424"/>
      <c r="DSY39" s="427"/>
      <c r="DSZ39" s="424"/>
      <c r="DTA39" s="427"/>
      <c r="DTB39" s="424"/>
      <c r="DTC39" s="427"/>
      <c r="DTD39" s="424"/>
      <c r="DTE39" s="427"/>
      <c r="DTF39" s="424"/>
      <c r="DTG39" s="427"/>
      <c r="DTH39" s="424"/>
      <c r="DTI39" s="427"/>
      <c r="DTJ39" s="424"/>
      <c r="DTK39" s="427"/>
      <c r="DTL39" s="424"/>
      <c r="DTM39" s="427"/>
      <c r="DTN39" s="424"/>
      <c r="DTO39" s="427"/>
      <c r="DTP39" s="424"/>
      <c r="DTQ39" s="427"/>
      <c r="DTR39" s="424"/>
      <c r="DTS39" s="427"/>
      <c r="DTT39" s="424"/>
      <c r="DTU39" s="427"/>
      <c r="DTV39" s="424"/>
      <c r="DTW39" s="427"/>
      <c r="DTX39" s="424"/>
      <c r="DTY39" s="427"/>
      <c r="DTZ39" s="424"/>
      <c r="DUA39" s="427"/>
      <c r="DUB39" s="424"/>
      <c r="DUC39" s="427"/>
      <c r="DUD39" s="424"/>
      <c r="DUE39" s="427"/>
      <c r="DUF39" s="424"/>
      <c r="DUG39" s="427"/>
      <c r="DUH39" s="424"/>
      <c r="DUI39" s="427"/>
      <c r="DUJ39" s="424"/>
      <c r="DUK39" s="427"/>
      <c r="DUL39" s="424"/>
      <c r="DUM39" s="427"/>
      <c r="DUN39" s="424"/>
      <c r="DUO39" s="427"/>
      <c r="DUP39" s="424"/>
      <c r="DUQ39" s="427"/>
      <c r="DUR39" s="424"/>
      <c r="DUS39" s="427"/>
      <c r="DUT39" s="424"/>
      <c r="DUU39" s="427"/>
      <c r="DUV39" s="424"/>
      <c r="DUW39" s="427"/>
      <c r="DUX39" s="424"/>
      <c r="DUY39" s="427"/>
      <c r="DUZ39" s="424"/>
      <c r="DVA39" s="427"/>
      <c r="DVB39" s="424"/>
      <c r="DVC39" s="427"/>
      <c r="DVD39" s="424"/>
      <c r="DVE39" s="427"/>
      <c r="DVF39" s="424"/>
      <c r="DVG39" s="427"/>
      <c r="DVH39" s="424"/>
      <c r="DVI39" s="427"/>
      <c r="DVJ39" s="424"/>
      <c r="DVK39" s="427"/>
      <c r="DVL39" s="424"/>
      <c r="DVM39" s="427"/>
      <c r="DVN39" s="424"/>
      <c r="DVO39" s="427"/>
      <c r="DVP39" s="424"/>
      <c r="DVQ39" s="427"/>
      <c r="DVR39" s="424"/>
      <c r="DVS39" s="427"/>
      <c r="DVT39" s="424"/>
      <c r="DVU39" s="427"/>
      <c r="DVV39" s="424"/>
      <c r="DVW39" s="427"/>
      <c r="DVX39" s="424"/>
      <c r="DVY39" s="427"/>
      <c r="DVZ39" s="424"/>
      <c r="DWA39" s="427"/>
      <c r="DWB39" s="424"/>
      <c r="DWC39" s="427"/>
      <c r="DWD39" s="424"/>
      <c r="DWE39" s="427"/>
      <c r="DWF39" s="424"/>
      <c r="DWG39" s="427"/>
      <c r="DWH39" s="424"/>
      <c r="DWI39" s="427"/>
      <c r="DWJ39" s="424"/>
      <c r="DWK39" s="427"/>
      <c r="DWL39" s="424"/>
      <c r="DWM39" s="427"/>
      <c r="DWN39" s="424"/>
      <c r="DWO39" s="427"/>
      <c r="DWP39" s="424"/>
      <c r="DWQ39" s="427"/>
      <c r="DWR39" s="424"/>
      <c r="DWS39" s="427"/>
      <c r="DWT39" s="424"/>
      <c r="DWU39" s="427"/>
      <c r="DWV39" s="424"/>
      <c r="DWW39" s="427"/>
      <c r="DWX39" s="424"/>
      <c r="DWY39" s="427"/>
      <c r="DWZ39" s="424"/>
      <c r="DXA39" s="427"/>
      <c r="DXB39" s="424"/>
      <c r="DXC39" s="427"/>
      <c r="DXD39" s="424"/>
      <c r="DXE39" s="427"/>
      <c r="DXF39" s="424"/>
      <c r="DXG39" s="427"/>
      <c r="DXH39" s="424"/>
      <c r="DXI39" s="427"/>
      <c r="DXJ39" s="424"/>
      <c r="DXK39" s="427"/>
      <c r="DXL39" s="424"/>
      <c r="DXM39" s="427"/>
      <c r="DXN39" s="424"/>
      <c r="DXO39" s="427"/>
      <c r="DXP39" s="424"/>
      <c r="DXQ39" s="427"/>
      <c r="DXR39" s="424"/>
      <c r="DXS39" s="427"/>
      <c r="DXT39" s="424"/>
      <c r="DXU39" s="427"/>
      <c r="DXV39" s="424"/>
      <c r="DXW39" s="427"/>
      <c r="DXX39" s="424"/>
      <c r="DXY39" s="427"/>
      <c r="DXZ39" s="424"/>
      <c r="DYA39" s="427"/>
      <c r="DYB39" s="424"/>
      <c r="DYC39" s="427"/>
      <c r="DYD39" s="424"/>
      <c r="DYE39" s="427"/>
      <c r="DYF39" s="424"/>
      <c r="DYG39" s="427"/>
      <c r="DYH39" s="424"/>
      <c r="DYI39" s="427"/>
      <c r="DYJ39" s="424"/>
      <c r="DYK39" s="427"/>
      <c r="DYL39" s="424"/>
      <c r="DYM39" s="427"/>
      <c r="DYN39" s="424"/>
      <c r="DYO39" s="427"/>
      <c r="DYP39" s="424"/>
      <c r="DYQ39" s="427"/>
      <c r="DYR39" s="424"/>
      <c r="DYS39" s="427"/>
      <c r="DYT39" s="424"/>
      <c r="DYU39" s="427"/>
      <c r="DYV39" s="424"/>
      <c r="DYW39" s="427"/>
      <c r="DYX39" s="424"/>
      <c r="DYY39" s="427"/>
      <c r="DYZ39" s="424"/>
      <c r="DZA39" s="427"/>
      <c r="DZB39" s="424"/>
      <c r="DZC39" s="427"/>
      <c r="DZD39" s="424"/>
      <c r="DZE39" s="427"/>
      <c r="DZF39" s="424"/>
      <c r="DZG39" s="427"/>
      <c r="DZH39" s="424"/>
      <c r="DZI39" s="427"/>
      <c r="DZJ39" s="424"/>
      <c r="DZK39" s="427"/>
      <c r="DZL39" s="424"/>
      <c r="DZM39" s="427"/>
      <c r="DZN39" s="424"/>
      <c r="DZO39" s="427"/>
      <c r="DZP39" s="424"/>
      <c r="DZQ39" s="427"/>
      <c r="DZR39" s="424"/>
      <c r="DZS39" s="427"/>
      <c r="DZT39" s="424"/>
      <c r="DZU39" s="427"/>
      <c r="DZV39" s="424"/>
      <c r="DZW39" s="427"/>
      <c r="DZX39" s="424"/>
      <c r="DZY39" s="427"/>
      <c r="DZZ39" s="424"/>
      <c r="EAA39" s="427"/>
      <c r="EAB39" s="424"/>
      <c r="EAC39" s="427"/>
      <c r="EAD39" s="424"/>
      <c r="EAE39" s="427"/>
      <c r="EAF39" s="424"/>
      <c r="EAG39" s="427"/>
      <c r="EAH39" s="424"/>
      <c r="EAI39" s="427"/>
      <c r="EAJ39" s="424"/>
      <c r="EAK39" s="427"/>
      <c r="EAL39" s="424"/>
      <c r="EAM39" s="427"/>
      <c r="EAN39" s="424"/>
      <c r="EAO39" s="427"/>
      <c r="EAP39" s="424"/>
      <c r="EAQ39" s="427"/>
      <c r="EAR39" s="424"/>
      <c r="EAS39" s="427"/>
      <c r="EAT39" s="424"/>
      <c r="EAU39" s="427"/>
      <c r="EAV39" s="424"/>
      <c r="EAW39" s="427"/>
      <c r="EAX39" s="424"/>
      <c r="EAY39" s="427"/>
      <c r="EAZ39" s="424"/>
      <c r="EBA39" s="427"/>
      <c r="EBB39" s="424"/>
      <c r="EBC39" s="427"/>
      <c r="EBD39" s="424"/>
      <c r="EBE39" s="427"/>
      <c r="EBF39" s="424"/>
      <c r="EBG39" s="427"/>
      <c r="EBH39" s="424"/>
      <c r="EBI39" s="427"/>
      <c r="EBJ39" s="424"/>
      <c r="EBK39" s="427"/>
      <c r="EBL39" s="424"/>
      <c r="EBM39" s="427"/>
      <c r="EBN39" s="424"/>
      <c r="EBO39" s="427"/>
      <c r="EBP39" s="424"/>
      <c r="EBQ39" s="427"/>
      <c r="EBR39" s="424"/>
      <c r="EBS39" s="427"/>
      <c r="EBT39" s="424"/>
      <c r="EBU39" s="427"/>
      <c r="EBV39" s="424"/>
      <c r="EBW39" s="427"/>
      <c r="EBX39" s="424"/>
      <c r="EBY39" s="427"/>
      <c r="EBZ39" s="424"/>
      <c r="ECA39" s="427"/>
      <c r="ECB39" s="424"/>
      <c r="ECC39" s="427"/>
      <c r="ECD39" s="424"/>
      <c r="ECE39" s="427"/>
      <c r="ECF39" s="424"/>
      <c r="ECG39" s="427"/>
      <c r="ECH39" s="424"/>
      <c r="ECI39" s="427"/>
      <c r="ECJ39" s="424"/>
      <c r="ECK39" s="427"/>
      <c r="ECL39" s="424"/>
      <c r="ECM39" s="427"/>
      <c r="ECN39" s="424"/>
      <c r="ECO39" s="427"/>
      <c r="ECP39" s="424"/>
      <c r="ECQ39" s="427"/>
      <c r="ECR39" s="424"/>
      <c r="ECS39" s="427"/>
      <c r="ECT39" s="424"/>
      <c r="ECU39" s="427"/>
      <c r="ECV39" s="424"/>
      <c r="ECW39" s="427"/>
      <c r="ECX39" s="424"/>
      <c r="ECY39" s="427"/>
      <c r="ECZ39" s="424"/>
      <c r="EDA39" s="427"/>
      <c r="EDB39" s="424"/>
      <c r="EDC39" s="427"/>
      <c r="EDD39" s="424"/>
      <c r="EDE39" s="427"/>
      <c r="EDF39" s="424"/>
      <c r="EDG39" s="427"/>
      <c r="EDH39" s="424"/>
      <c r="EDI39" s="427"/>
      <c r="EDJ39" s="424"/>
      <c r="EDK39" s="427"/>
      <c r="EDL39" s="424"/>
      <c r="EDM39" s="427"/>
      <c r="EDN39" s="424"/>
      <c r="EDO39" s="427"/>
      <c r="EDP39" s="424"/>
      <c r="EDQ39" s="427"/>
      <c r="EDR39" s="424"/>
      <c r="EDS39" s="427"/>
      <c r="EDT39" s="424"/>
      <c r="EDU39" s="427"/>
      <c r="EDV39" s="424"/>
      <c r="EDW39" s="427"/>
      <c r="EDX39" s="424"/>
      <c r="EDY39" s="427"/>
      <c r="EDZ39" s="424"/>
      <c r="EEA39" s="427"/>
      <c r="EEB39" s="424"/>
      <c r="EEC39" s="427"/>
      <c r="EED39" s="424"/>
      <c r="EEE39" s="427"/>
      <c r="EEF39" s="424"/>
      <c r="EEG39" s="427"/>
      <c r="EEH39" s="424"/>
      <c r="EEI39" s="427"/>
      <c r="EEJ39" s="424"/>
      <c r="EEK39" s="427"/>
      <c r="EEL39" s="424"/>
      <c r="EEM39" s="427"/>
      <c r="EEN39" s="424"/>
      <c r="EEO39" s="427"/>
      <c r="EEP39" s="424"/>
      <c r="EEQ39" s="427"/>
      <c r="EER39" s="424"/>
      <c r="EES39" s="427"/>
      <c r="EET39" s="424"/>
      <c r="EEU39" s="427"/>
      <c r="EEV39" s="424"/>
      <c r="EEW39" s="427"/>
      <c r="EEX39" s="424"/>
      <c r="EEY39" s="427"/>
      <c r="EEZ39" s="424"/>
      <c r="EFA39" s="427"/>
      <c r="EFB39" s="424"/>
      <c r="EFC39" s="427"/>
      <c r="EFD39" s="424"/>
      <c r="EFE39" s="427"/>
      <c r="EFF39" s="424"/>
      <c r="EFG39" s="427"/>
      <c r="EFH39" s="424"/>
      <c r="EFI39" s="427"/>
      <c r="EFJ39" s="424"/>
      <c r="EFK39" s="427"/>
      <c r="EFL39" s="424"/>
      <c r="EFM39" s="427"/>
      <c r="EFN39" s="424"/>
      <c r="EFO39" s="427"/>
      <c r="EFP39" s="424"/>
      <c r="EFQ39" s="427"/>
      <c r="EFR39" s="424"/>
      <c r="EFS39" s="427"/>
      <c r="EFT39" s="424"/>
      <c r="EFU39" s="427"/>
      <c r="EFV39" s="424"/>
      <c r="EFW39" s="427"/>
      <c r="EFX39" s="424"/>
      <c r="EFY39" s="427"/>
      <c r="EFZ39" s="424"/>
      <c r="EGA39" s="427"/>
      <c r="EGB39" s="424"/>
      <c r="EGC39" s="427"/>
      <c r="EGD39" s="424"/>
      <c r="EGE39" s="427"/>
      <c r="EGF39" s="424"/>
      <c r="EGG39" s="427"/>
      <c r="EGH39" s="424"/>
      <c r="EGI39" s="427"/>
      <c r="EGJ39" s="424"/>
      <c r="EGK39" s="427"/>
      <c r="EGL39" s="424"/>
      <c r="EGM39" s="427"/>
      <c r="EGN39" s="424"/>
      <c r="EGO39" s="427"/>
      <c r="EGP39" s="424"/>
      <c r="EGQ39" s="427"/>
      <c r="EGR39" s="424"/>
      <c r="EGS39" s="427"/>
      <c r="EGT39" s="424"/>
      <c r="EGU39" s="427"/>
      <c r="EGV39" s="424"/>
      <c r="EGW39" s="427"/>
      <c r="EGX39" s="424"/>
      <c r="EGY39" s="427"/>
      <c r="EGZ39" s="424"/>
      <c r="EHA39" s="427"/>
      <c r="EHB39" s="424"/>
      <c r="EHC39" s="427"/>
      <c r="EHD39" s="424"/>
      <c r="EHE39" s="427"/>
      <c r="EHF39" s="424"/>
      <c r="EHG39" s="427"/>
      <c r="EHH39" s="424"/>
      <c r="EHI39" s="427"/>
      <c r="EHJ39" s="424"/>
      <c r="EHK39" s="427"/>
      <c r="EHL39" s="424"/>
      <c r="EHM39" s="427"/>
      <c r="EHN39" s="424"/>
      <c r="EHO39" s="427"/>
      <c r="EHP39" s="424"/>
      <c r="EHQ39" s="427"/>
      <c r="EHR39" s="424"/>
      <c r="EHS39" s="427"/>
      <c r="EHT39" s="424"/>
      <c r="EHU39" s="427"/>
      <c r="EHV39" s="424"/>
      <c r="EHW39" s="427"/>
      <c r="EHX39" s="424"/>
      <c r="EHY39" s="427"/>
      <c r="EHZ39" s="424"/>
      <c r="EIA39" s="427"/>
      <c r="EIB39" s="424"/>
      <c r="EIC39" s="427"/>
      <c r="EID39" s="424"/>
      <c r="EIE39" s="427"/>
      <c r="EIF39" s="424"/>
      <c r="EIG39" s="427"/>
      <c r="EIH39" s="424"/>
      <c r="EII39" s="427"/>
      <c r="EIJ39" s="424"/>
      <c r="EIK39" s="427"/>
      <c r="EIL39" s="424"/>
      <c r="EIM39" s="427"/>
      <c r="EIN39" s="424"/>
      <c r="EIO39" s="427"/>
      <c r="EIP39" s="424"/>
      <c r="EIQ39" s="427"/>
      <c r="EIR39" s="424"/>
      <c r="EIS39" s="427"/>
      <c r="EIT39" s="424"/>
      <c r="EIU39" s="427"/>
      <c r="EIV39" s="424"/>
      <c r="EIW39" s="427"/>
      <c r="EIX39" s="424"/>
      <c r="EIY39" s="427"/>
      <c r="EIZ39" s="424"/>
      <c r="EJA39" s="427"/>
      <c r="EJB39" s="424"/>
      <c r="EJC39" s="427"/>
      <c r="EJD39" s="424"/>
      <c r="EJE39" s="427"/>
      <c r="EJF39" s="424"/>
      <c r="EJG39" s="427"/>
      <c r="EJH39" s="424"/>
      <c r="EJI39" s="427"/>
      <c r="EJJ39" s="424"/>
      <c r="EJK39" s="427"/>
      <c r="EJL39" s="424"/>
      <c r="EJM39" s="427"/>
      <c r="EJN39" s="424"/>
      <c r="EJO39" s="427"/>
      <c r="EJP39" s="424"/>
      <c r="EJQ39" s="427"/>
      <c r="EJR39" s="424"/>
      <c r="EJS39" s="427"/>
      <c r="EJT39" s="424"/>
      <c r="EJU39" s="427"/>
      <c r="EJV39" s="424"/>
      <c r="EJW39" s="427"/>
      <c r="EJX39" s="424"/>
      <c r="EJY39" s="427"/>
      <c r="EJZ39" s="424"/>
      <c r="EKA39" s="427"/>
      <c r="EKB39" s="424"/>
      <c r="EKC39" s="427"/>
      <c r="EKD39" s="424"/>
      <c r="EKE39" s="427"/>
      <c r="EKF39" s="424"/>
      <c r="EKG39" s="427"/>
      <c r="EKH39" s="424"/>
      <c r="EKI39" s="427"/>
      <c r="EKJ39" s="424"/>
      <c r="EKK39" s="427"/>
      <c r="EKL39" s="424"/>
      <c r="EKM39" s="427"/>
      <c r="EKN39" s="424"/>
      <c r="EKO39" s="427"/>
      <c r="EKP39" s="424"/>
      <c r="EKQ39" s="427"/>
      <c r="EKR39" s="424"/>
      <c r="EKS39" s="427"/>
      <c r="EKT39" s="424"/>
      <c r="EKU39" s="427"/>
      <c r="EKV39" s="424"/>
      <c r="EKW39" s="427"/>
      <c r="EKX39" s="424"/>
      <c r="EKY39" s="427"/>
      <c r="EKZ39" s="424"/>
      <c r="ELA39" s="427"/>
      <c r="ELB39" s="424"/>
      <c r="ELC39" s="427"/>
      <c r="ELD39" s="424"/>
      <c r="ELE39" s="427"/>
      <c r="ELF39" s="424"/>
      <c r="ELG39" s="427"/>
      <c r="ELH39" s="424"/>
      <c r="ELI39" s="427"/>
      <c r="ELJ39" s="424"/>
      <c r="ELK39" s="427"/>
      <c r="ELL39" s="424"/>
      <c r="ELM39" s="427"/>
      <c r="ELN39" s="424"/>
      <c r="ELO39" s="427"/>
      <c r="ELP39" s="424"/>
      <c r="ELQ39" s="427"/>
      <c r="ELR39" s="424"/>
      <c r="ELS39" s="427"/>
      <c r="ELT39" s="424"/>
      <c r="ELU39" s="427"/>
      <c r="ELV39" s="424"/>
      <c r="ELW39" s="427"/>
      <c r="ELX39" s="424"/>
      <c r="ELY39" s="427"/>
      <c r="ELZ39" s="424"/>
      <c r="EMA39" s="427"/>
      <c r="EMB39" s="424"/>
      <c r="EMC39" s="427"/>
      <c r="EMD39" s="424"/>
      <c r="EME39" s="427"/>
      <c r="EMF39" s="424"/>
      <c r="EMG39" s="427"/>
      <c r="EMH39" s="424"/>
      <c r="EMI39" s="427"/>
      <c r="EMJ39" s="424"/>
      <c r="EMK39" s="427"/>
      <c r="EML39" s="424"/>
      <c r="EMM39" s="427"/>
      <c r="EMN39" s="424"/>
      <c r="EMO39" s="427"/>
      <c r="EMP39" s="424"/>
      <c r="EMQ39" s="427"/>
      <c r="EMR39" s="424"/>
      <c r="EMS39" s="427"/>
      <c r="EMT39" s="424"/>
      <c r="EMU39" s="427"/>
      <c r="EMV39" s="424"/>
      <c r="EMW39" s="427"/>
      <c r="EMX39" s="424"/>
      <c r="EMY39" s="427"/>
      <c r="EMZ39" s="424"/>
      <c r="ENA39" s="427"/>
      <c r="ENB39" s="424"/>
      <c r="ENC39" s="427"/>
      <c r="END39" s="424"/>
      <c r="ENE39" s="427"/>
      <c r="ENF39" s="424"/>
      <c r="ENG39" s="427"/>
      <c r="ENH39" s="424"/>
      <c r="ENI39" s="427"/>
      <c r="ENJ39" s="424"/>
      <c r="ENK39" s="427"/>
      <c r="ENL39" s="424"/>
      <c r="ENM39" s="427"/>
      <c r="ENN39" s="424"/>
      <c r="ENO39" s="427"/>
      <c r="ENP39" s="424"/>
      <c r="ENQ39" s="427"/>
      <c r="ENR39" s="424"/>
      <c r="ENS39" s="427"/>
      <c r="ENT39" s="424"/>
      <c r="ENU39" s="427"/>
      <c r="ENV39" s="424"/>
      <c r="ENW39" s="427"/>
      <c r="ENX39" s="424"/>
      <c r="ENY39" s="427"/>
      <c r="ENZ39" s="424"/>
      <c r="EOA39" s="427"/>
      <c r="EOB39" s="424"/>
      <c r="EOC39" s="427"/>
      <c r="EOD39" s="424"/>
      <c r="EOE39" s="427"/>
      <c r="EOF39" s="424"/>
      <c r="EOG39" s="427"/>
      <c r="EOH39" s="424"/>
      <c r="EOI39" s="427"/>
      <c r="EOJ39" s="424"/>
      <c r="EOK39" s="427"/>
      <c r="EOL39" s="424"/>
      <c r="EOM39" s="427"/>
      <c r="EON39" s="424"/>
      <c r="EOO39" s="427"/>
      <c r="EOP39" s="424"/>
      <c r="EOQ39" s="427"/>
      <c r="EOR39" s="424"/>
      <c r="EOS39" s="427"/>
      <c r="EOT39" s="424"/>
      <c r="EOU39" s="427"/>
      <c r="EOV39" s="424"/>
      <c r="EOW39" s="427"/>
      <c r="EOX39" s="424"/>
      <c r="EOY39" s="427"/>
      <c r="EOZ39" s="424"/>
      <c r="EPA39" s="427"/>
      <c r="EPB39" s="424"/>
      <c r="EPC39" s="427"/>
      <c r="EPD39" s="424"/>
      <c r="EPE39" s="427"/>
      <c r="EPF39" s="424"/>
      <c r="EPG39" s="427"/>
      <c r="EPH39" s="424"/>
      <c r="EPI39" s="427"/>
      <c r="EPJ39" s="424"/>
      <c r="EPK39" s="427"/>
      <c r="EPL39" s="424"/>
      <c r="EPM39" s="427"/>
      <c r="EPN39" s="424"/>
      <c r="EPO39" s="427"/>
      <c r="EPP39" s="424"/>
      <c r="EPQ39" s="427"/>
      <c r="EPR39" s="424"/>
      <c r="EPS39" s="427"/>
      <c r="EPT39" s="424"/>
      <c r="EPU39" s="427"/>
      <c r="EPV39" s="424"/>
      <c r="EPW39" s="427"/>
      <c r="EPX39" s="424"/>
      <c r="EPY39" s="427"/>
      <c r="EPZ39" s="424"/>
      <c r="EQA39" s="427"/>
      <c r="EQB39" s="424"/>
      <c r="EQC39" s="427"/>
      <c r="EQD39" s="424"/>
      <c r="EQE39" s="427"/>
      <c r="EQF39" s="424"/>
      <c r="EQG39" s="427"/>
      <c r="EQH39" s="424"/>
      <c r="EQI39" s="427"/>
      <c r="EQJ39" s="424"/>
      <c r="EQK39" s="427"/>
      <c r="EQL39" s="424"/>
      <c r="EQM39" s="427"/>
      <c r="EQN39" s="424"/>
      <c r="EQO39" s="427"/>
      <c r="EQP39" s="424"/>
      <c r="EQQ39" s="427"/>
      <c r="EQR39" s="424"/>
      <c r="EQS39" s="427"/>
      <c r="EQT39" s="424"/>
      <c r="EQU39" s="427"/>
      <c r="EQV39" s="424"/>
      <c r="EQW39" s="427"/>
      <c r="EQX39" s="424"/>
      <c r="EQY39" s="427"/>
      <c r="EQZ39" s="424"/>
      <c r="ERA39" s="427"/>
      <c r="ERB39" s="424"/>
      <c r="ERC39" s="427"/>
      <c r="ERD39" s="424"/>
      <c r="ERE39" s="427"/>
      <c r="ERF39" s="424"/>
      <c r="ERG39" s="427"/>
      <c r="ERH39" s="424"/>
      <c r="ERI39" s="427"/>
      <c r="ERJ39" s="424"/>
      <c r="ERK39" s="427"/>
      <c r="ERL39" s="424"/>
      <c r="ERM39" s="427"/>
      <c r="ERN39" s="424"/>
      <c r="ERO39" s="427"/>
      <c r="ERP39" s="424"/>
      <c r="ERQ39" s="427"/>
      <c r="ERR39" s="424"/>
      <c r="ERS39" s="427"/>
      <c r="ERT39" s="424"/>
      <c r="ERU39" s="427"/>
      <c r="ERV39" s="424"/>
      <c r="ERW39" s="427"/>
      <c r="ERX39" s="424"/>
      <c r="ERY39" s="427"/>
      <c r="ERZ39" s="424"/>
      <c r="ESA39" s="427"/>
      <c r="ESB39" s="424"/>
      <c r="ESC39" s="427"/>
      <c r="ESD39" s="424"/>
      <c r="ESE39" s="427"/>
      <c r="ESF39" s="424"/>
      <c r="ESG39" s="427"/>
      <c r="ESH39" s="424"/>
      <c r="ESI39" s="427"/>
      <c r="ESJ39" s="424"/>
      <c r="ESK39" s="427"/>
      <c r="ESL39" s="424"/>
      <c r="ESM39" s="427"/>
      <c r="ESN39" s="424"/>
      <c r="ESO39" s="427"/>
      <c r="ESP39" s="424"/>
      <c r="ESQ39" s="427"/>
      <c r="ESR39" s="424"/>
      <c r="ESS39" s="427"/>
      <c r="EST39" s="424"/>
      <c r="ESU39" s="427"/>
      <c r="ESV39" s="424"/>
      <c r="ESW39" s="427"/>
      <c r="ESX39" s="424"/>
      <c r="ESY39" s="427"/>
      <c r="ESZ39" s="424"/>
      <c r="ETA39" s="427"/>
      <c r="ETB39" s="424"/>
      <c r="ETC39" s="427"/>
      <c r="ETD39" s="424"/>
      <c r="ETE39" s="427"/>
      <c r="ETF39" s="424"/>
      <c r="ETG39" s="427"/>
      <c r="ETH39" s="424"/>
      <c r="ETI39" s="427"/>
      <c r="ETJ39" s="424"/>
      <c r="ETK39" s="427"/>
      <c r="ETL39" s="424"/>
      <c r="ETM39" s="427"/>
      <c r="ETN39" s="424"/>
      <c r="ETO39" s="427"/>
      <c r="ETP39" s="424"/>
      <c r="ETQ39" s="427"/>
      <c r="ETR39" s="424"/>
      <c r="ETS39" s="427"/>
      <c r="ETT39" s="424"/>
      <c r="ETU39" s="427"/>
      <c r="ETV39" s="424"/>
      <c r="ETW39" s="427"/>
      <c r="ETX39" s="424"/>
      <c r="ETY39" s="427"/>
      <c r="ETZ39" s="424"/>
      <c r="EUA39" s="427"/>
      <c r="EUB39" s="424"/>
      <c r="EUC39" s="427"/>
      <c r="EUD39" s="424"/>
      <c r="EUE39" s="427"/>
      <c r="EUF39" s="424"/>
      <c r="EUG39" s="427"/>
      <c r="EUH39" s="424"/>
      <c r="EUI39" s="427"/>
      <c r="EUJ39" s="424"/>
      <c r="EUK39" s="427"/>
      <c r="EUL39" s="424"/>
      <c r="EUM39" s="427"/>
      <c r="EUN39" s="424"/>
      <c r="EUO39" s="427"/>
      <c r="EUP39" s="424"/>
      <c r="EUQ39" s="427"/>
      <c r="EUR39" s="424"/>
      <c r="EUS39" s="427"/>
      <c r="EUT39" s="424"/>
      <c r="EUU39" s="427"/>
      <c r="EUV39" s="424"/>
      <c r="EUW39" s="427"/>
      <c r="EUX39" s="424"/>
      <c r="EUY39" s="427"/>
      <c r="EUZ39" s="424"/>
      <c r="EVA39" s="427"/>
      <c r="EVB39" s="424"/>
      <c r="EVC39" s="427"/>
      <c r="EVD39" s="424"/>
      <c r="EVE39" s="427"/>
      <c r="EVF39" s="424"/>
      <c r="EVG39" s="427"/>
      <c r="EVH39" s="424"/>
      <c r="EVI39" s="427"/>
      <c r="EVJ39" s="424"/>
      <c r="EVK39" s="427"/>
      <c r="EVL39" s="424"/>
      <c r="EVM39" s="427"/>
      <c r="EVN39" s="424"/>
      <c r="EVO39" s="427"/>
      <c r="EVP39" s="424"/>
      <c r="EVQ39" s="427"/>
      <c r="EVR39" s="424"/>
      <c r="EVS39" s="427"/>
      <c r="EVT39" s="424"/>
      <c r="EVU39" s="427"/>
      <c r="EVV39" s="424"/>
      <c r="EVW39" s="427"/>
      <c r="EVX39" s="424"/>
      <c r="EVY39" s="427"/>
      <c r="EVZ39" s="424"/>
      <c r="EWA39" s="427"/>
      <c r="EWB39" s="424"/>
      <c r="EWC39" s="427"/>
      <c r="EWD39" s="424"/>
      <c r="EWE39" s="427"/>
      <c r="EWF39" s="424"/>
      <c r="EWG39" s="427"/>
      <c r="EWH39" s="424"/>
      <c r="EWI39" s="427"/>
      <c r="EWJ39" s="424"/>
      <c r="EWK39" s="427"/>
      <c r="EWL39" s="424"/>
      <c r="EWM39" s="427"/>
      <c r="EWN39" s="424"/>
      <c r="EWO39" s="427"/>
      <c r="EWP39" s="424"/>
      <c r="EWQ39" s="427"/>
      <c r="EWR39" s="424"/>
      <c r="EWS39" s="427"/>
      <c r="EWT39" s="424"/>
      <c r="EWU39" s="427"/>
      <c r="EWV39" s="424"/>
      <c r="EWW39" s="427"/>
      <c r="EWX39" s="424"/>
      <c r="EWY39" s="427"/>
      <c r="EWZ39" s="424"/>
      <c r="EXA39" s="427"/>
      <c r="EXB39" s="424"/>
      <c r="EXC39" s="427"/>
      <c r="EXD39" s="424"/>
      <c r="EXE39" s="427"/>
      <c r="EXF39" s="424"/>
      <c r="EXG39" s="427"/>
      <c r="EXH39" s="424"/>
      <c r="EXI39" s="427"/>
      <c r="EXJ39" s="424"/>
      <c r="EXK39" s="427"/>
      <c r="EXL39" s="424"/>
      <c r="EXM39" s="427"/>
      <c r="EXN39" s="424"/>
      <c r="EXO39" s="427"/>
      <c r="EXP39" s="424"/>
      <c r="EXQ39" s="427"/>
      <c r="EXR39" s="424"/>
      <c r="EXS39" s="427"/>
      <c r="EXT39" s="424"/>
      <c r="EXU39" s="427"/>
      <c r="EXV39" s="424"/>
      <c r="EXW39" s="427"/>
      <c r="EXX39" s="424"/>
      <c r="EXY39" s="427"/>
      <c r="EXZ39" s="424"/>
      <c r="EYA39" s="427"/>
      <c r="EYB39" s="424"/>
      <c r="EYC39" s="427"/>
      <c r="EYD39" s="424"/>
      <c r="EYE39" s="427"/>
      <c r="EYF39" s="424"/>
      <c r="EYG39" s="427"/>
      <c r="EYH39" s="424"/>
      <c r="EYI39" s="427"/>
      <c r="EYJ39" s="424"/>
      <c r="EYK39" s="427"/>
      <c r="EYL39" s="424"/>
      <c r="EYM39" s="427"/>
      <c r="EYN39" s="424"/>
      <c r="EYO39" s="427"/>
      <c r="EYP39" s="424"/>
      <c r="EYQ39" s="427"/>
      <c r="EYR39" s="424"/>
      <c r="EYS39" s="427"/>
      <c r="EYT39" s="424"/>
      <c r="EYU39" s="427"/>
      <c r="EYV39" s="424"/>
      <c r="EYW39" s="427"/>
      <c r="EYX39" s="424"/>
      <c r="EYY39" s="427"/>
      <c r="EYZ39" s="424"/>
      <c r="EZA39" s="427"/>
      <c r="EZB39" s="424"/>
      <c r="EZC39" s="427"/>
      <c r="EZD39" s="424"/>
      <c r="EZE39" s="427"/>
      <c r="EZF39" s="424"/>
      <c r="EZG39" s="427"/>
      <c r="EZH39" s="424"/>
      <c r="EZI39" s="427"/>
      <c r="EZJ39" s="424"/>
      <c r="EZK39" s="427"/>
      <c r="EZL39" s="424"/>
      <c r="EZM39" s="427"/>
      <c r="EZN39" s="424"/>
      <c r="EZO39" s="427"/>
      <c r="EZP39" s="424"/>
      <c r="EZQ39" s="427"/>
      <c r="EZR39" s="424"/>
      <c r="EZS39" s="427"/>
      <c r="EZT39" s="424"/>
      <c r="EZU39" s="427"/>
      <c r="EZV39" s="424"/>
      <c r="EZW39" s="427"/>
      <c r="EZX39" s="424"/>
      <c r="EZY39" s="427"/>
      <c r="EZZ39" s="424"/>
      <c r="FAA39" s="427"/>
      <c r="FAB39" s="424"/>
      <c r="FAC39" s="427"/>
      <c r="FAD39" s="424"/>
      <c r="FAE39" s="427"/>
      <c r="FAF39" s="424"/>
      <c r="FAG39" s="427"/>
      <c r="FAH39" s="424"/>
      <c r="FAI39" s="427"/>
      <c r="FAJ39" s="424"/>
      <c r="FAK39" s="427"/>
      <c r="FAL39" s="424"/>
      <c r="FAM39" s="427"/>
      <c r="FAN39" s="424"/>
      <c r="FAO39" s="427"/>
      <c r="FAP39" s="424"/>
      <c r="FAQ39" s="427"/>
      <c r="FAR39" s="424"/>
      <c r="FAS39" s="427"/>
      <c r="FAT39" s="424"/>
      <c r="FAU39" s="427"/>
      <c r="FAV39" s="424"/>
      <c r="FAW39" s="427"/>
      <c r="FAX39" s="424"/>
      <c r="FAY39" s="427"/>
      <c r="FAZ39" s="424"/>
      <c r="FBA39" s="427"/>
      <c r="FBB39" s="424"/>
      <c r="FBC39" s="427"/>
      <c r="FBD39" s="424"/>
      <c r="FBE39" s="427"/>
      <c r="FBF39" s="424"/>
      <c r="FBG39" s="427"/>
      <c r="FBH39" s="424"/>
      <c r="FBI39" s="427"/>
      <c r="FBJ39" s="424"/>
      <c r="FBK39" s="427"/>
      <c r="FBL39" s="424"/>
      <c r="FBM39" s="427"/>
      <c r="FBN39" s="424"/>
      <c r="FBO39" s="427"/>
      <c r="FBP39" s="424"/>
      <c r="FBQ39" s="427"/>
      <c r="FBR39" s="424"/>
      <c r="FBS39" s="427"/>
      <c r="FBT39" s="424"/>
      <c r="FBU39" s="427"/>
      <c r="FBV39" s="424"/>
      <c r="FBW39" s="427"/>
      <c r="FBX39" s="424"/>
      <c r="FBY39" s="427"/>
      <c r="FBZ39" s="424"/>
      <c r="FCA39" s="427"/>
      <c r="FCB39" s="424"/>
      <c r="FCC39" s="427"/>
      <c r="FCD39" s="424"/>
      <c r="FCE39" s="427"/>
      <c r="FCF39" s="424"/>
      <c r="FCG39" s="427"/>
      <c r="FCH39" s="424"/>
      <c r="FCI39" s="427"/>
      <c r="FCJ39" s="424"/>
      <c r="FCK39" s="427"/>
      <c r="FCL39" s="424"/>
      <c r="FCM39" s="427"/>
      <c r="FCN39" s="424"/>
      <c r="FCO39" s="427"/>
      <c r="FCP39" s="424"/>
      <c r="FCQ39" s="427"/>
      <c r="FCR39" s="424"/>
      <c r="FCS39" s="427"/>
      <c r="FCT39" s="424"/>
      <c r="FCU39" s="427"/>
      <c r="FCV39" s="424"/>
      <c r="FCW39" s="427"/>
      <c r="FCX39" s="424"/>
      <c r="FCY39" s="427"/>
      <c r="FCZ39" s="424"/>
      <c r="FDA39" s="427"/>
      <c r="FDB39" s="424"/>
      <c r="FDC39" s="427"/>
      <c r="FDD39" s="424"/>
      <c r="FDE39" s="427"/>
      <c r="FDF39" s="424"/>
      <c r="FDG39" s="427"/>
      <c r="FDH39" s="424"/>
      <c r="FDI39" s="427"/>
      <c r="FDJ39" s="424"/>
      <c r="FDK39" s="427"/>
      <c r="FDL39" s="424"/>
      <c r="FDM39" s="427"/>
      <c r="FDN39" s="424"/>
      <c r="FDO39" s="427"/>
      <c r="FDP39" s="424"/>
      <c r="FDQ39" s="427"/>
      <c r="FDR39" s="424"/>
      <c r="FDS39" s="427"/>
      <c r="FDT39" s="424"/>
      <c r="FDU39" s="427"/>
      <c r="FDV39" s="424"/>
      <c r="FDW39" s="427"/>
      <c r="FDX39" s="424"/>
      <c r="FDY39" s="427"/>
      <c r="FDZ39" s="424"/>
      <c r="FEA39" s="427"/>
      <c r="FEB39" s="424"/>
      <c r="FEC39" s="427"/>
      <c r="FED39" s="424"/>
      <c r="FEE39" s="427"/>
      <c r="FEF39" s="424"/>
      <c r="FEG39" s="427"/>
      <c r="FEH39" s="424"/>
      <c r="FEI39" s="427"/>
      <c r="FEJ39" s="424"/>
      <c r="FEK39" s="427"/>
      <c r="FEL39" s="424"/>
      <c r="FEM39" s="427"/>
      <c r="FEN39" s="424"/>
      <c r="FEO39" s="427"/>
      <c r="FEP39" s="424"/>
      <c r="FEQ39" s="427"/>
      <c r="FER39" s="424"/>
      <c r="FES39" s="427"/>
      <c r="FET39" s="424"/>
      <c r="FEU39" s="427"/>
      <c r="FEV39" s="424"/>
      <c r="FEW39" s="427"/>
      <c r="FEX39" s="424"/>
      <c r="FEY39" s="427"/>
      <c r="FEZ39" s="424"/>
      <c r="FFA39" s="427"/>
      <c r="FFB39" s="424"/>
      <c r="FFC39" s="427"/>
      <c r="FFD39" s="424"/>
      <c r="FFE39" s="427"/>
      <c r="FFF39" s="424"/>
      <c r="FFG39" s="427"/>
      <c r="FFH39" s="424"/>
      <c r="FFI39" s="427"/>
      <c r="FFJ39" s="424"/>
      <c r="FFK39" s="427"/>
      <c r="FFL39" s="424"/>
      <c r="FFM39" s="427"/>
      <c r="FFN39" s="424"/>
      <c r="FFO39" s="427"/>
      <c r="FFP39" s="424"/>
      <c r="FFQ39" s="427"/>
      <c r="FFR39" s="424"/>
      <c r="FFS39" s="427"/>
      <c r="FFT39" s="424"/>
      <c r="FFU39" s="427"/>
      <c r="FFV39" s="424"/>
      <c r="FFW39" s="427"/>
      <c r="FFX39" s="424"/>
      <c r="FFY39" s="427"/>
      <c r="FFZ39" s="424"/>
      <c r="FGA39" s="427"/>
      <c r="FGB39" s="424"/>
      <c r="FGC39" s="427"/>
      <c r="FGD39" s="424"/>
      <c r="FGE39" s="427"/>
      <c r="FGF39" s="424"/>
      <c r="FGG39" s="427"/>
      <c r="FGH39" s="424"/>
      <c r="FGI39" s="427"/>
      <c r="FGJ39" s="424"/>
      <c r="FGK39" s="427"/>
      <c r="FGL39" s="424"/>
      <c r="FGM39" s="427"/>
      <c r="FGN39" s="424"/>
      <c r="FGO39" s="427"/>
      <c r="FGP39" s="424"/>
      <c r="FGQ39" s="427"/>
      <c r="FGR39" s="424"/>
      <c r="FGS39" s="427"/>
      <c r="FGT39" s="424"/>
      <c r="FGU39" s="427"/>
      <c r="FGV39" s="424"/>
      <c r="FGW39" s="427"/>
      <c r="FGX39" s="424"/>
      <c r="FGY39" s="427"/>
      <c r="FGZ39" s="424"/>
      <c r="FHA39" s="427"/>
      <c r="FHB39" s="424"/>
      <c r="FHC39" s="427"/>
      <c r="FHD39" s="424"/>
      <c r="FHE39" s="427"/>
      <c r="FHF39" s="424"/>
      <c r="FHG39" s="427"/>
      <c r="FHH39" s="424"/>
      <c r="FHI39" s="427"/>
      <c r="FHJ39" s="424"/>
      <c r="FHK39" s="427"/>
      <c r="FHL39" s="424"/>
      <c r="FHM39" s="427"/>
      <c r="FHN39" s="424"/>
      <c r="FHO39" s="427"/>
      <c r="FHP39" s="424"/>
      <c r="FHQ39" s="427"/>
      <c r="FHR39" s="424"/>
      <c r="FHS39" s="427"/>
      <c r="FHT39" s="424"/>
      <c r="FHU39" s="427"/>
      <c r="FHV39" s="424"/>
      <c r="FHW39" s="427"/>
      <c r="FHX39" s="424"/>
      <c r="FHY39" s="427"/>
      <c r="FHZ39" s="424"/>
      <c r="FIA39" s="427"/>
      <c r="FIB39" s="424"/>
      <c r="FIC39" s="427"/>
      <c r="FID39" s="424"/>
      <c r="FIE39" s="427"/>
      <c r="FIF39" s="424"/>
      <c r="FIG39" s="427"/>
      <c r="FIH39" s="424"/>
      <c r="FII39" s="427"/>
      <c r="FIJ39" s="424"/>
      <c r="FIK39" s="427"/>
      <c r="FIL39" s="424"/>
      <c r="FIM39" s="427"/>
      <c r="FIN39" s="424"/>
      <c r="FIO39" s="427"/>
      <c r="FIP39" s="424"/>
      <c r="FIQ39" s="427"/>
      <c r="FIR39" s="424"/>
      <c r="FIS39" s="427"/>
      <c r="FIT39" s="424"/>
      <c r="FIU39" s="427"/>
      <c r="FIV39" s="424"/>
      <c r="FIW39" s="427"/>
      <c r="FIX39" s="424"/>
      <c r="FIY39" s="427"/>
      <c r="FIZ39" s="424"/>
      <c r="FJA39" s="427"/>
      <c r="FJB39" s="424"/>
      <c r="FJC39" s="427"/>
      <c r="FJD39" s="424"/>
      <c r="FJE39" s="427"/>
      <c r="FJF39" s="424"/>
      <c r="FJG39" s="427"/>
      <c r="FJH39" s="424"/>
      <c r="FJI39" s="427"/>
      <c r="FJJ39" s="424"/>
      <c r="FJK39" s="427"/>
      <c r="FJL39" s="424"/>
      <c r="FJM39" s="427"/>
      <c r="FJN39" s="424"/>
      <c r="FJO39" s="427"/>
      <c r="FJP39" s="424"/>
      <c r="FJQ39" s="427"/>
      <c r="FJR39" s="424"/>
      <c r="FJS39" s="427"/>
      <c r="FJT39" s="424"/>
      <c r="FJU39" s="427"/>
      <c r="FJV39" s="424"/>
      <c r="FJW39" s="427"/>
      <c r="FJX39" s="424"/>
      <c r="FJY39" s="427"/>
      <c r="FJZ39" s="424"/>
      <c r="FKA39" s="427"/>
      <c r="FKB39" s="424"/>
      <c r="FKC39" s="427"/>
      <c r="FKD39" s="424"/>
      <c r="FKE39" s="427"/>
      <c r="FKF39" s="424"/>
      <c r="FKG39" s="427"/>
      <c r="FKH39" s="424"/>
      <c r="FKI39" s="427"/>
      <c r="FKJ39" s="424"/>
      <c r="FKK39" s="427"/>
      <c r="FKL39" s="424"/>
      <c r="FKM39" s="427"/>
      <c r="FKN39" s="424"/>
      <c r="FKO39" s="427"/>
      <c r="FKP39" s="424"/>
      <c r="FKQ39" s="427"/>
      <c r="FKR39" s="424"/>
      <c r="FKS39" s="427"/>
      <c r="FKT39" s="424"/>
      <c r="FKU39" s="427"/>
      <c r="FKV39" s="424"/>
      <c r="FKW39" s="427"/>
      <c r="FKX39" s="424"/>
      <c r="FKY39" s="427"/>
      <c r="FKZ39" s="424"/>
      <c r="FLA39" s="427"/>
      <c r="FLB39" s="424"/>
      <c r="FLC39" s="427"/>
      <c r="FLD39" s="424"/>
      <c r="FLE39" s="427"/>
      <c r="FLF39" s="424"/>
      <c r="FLG39" s="427"/>
      <c r="FLH39" s="424"/>
      <c r="FLI39" s="427"/>
      <c r="FLJ39" s="424"/>
      <c r="FLK39" s="427"/>
      <c r="FLL39" s="424"/>
      <c r="FLM39" s="427"/>
      <c r="FLN39" s="424"/>
      <c r="FLO39" s="427"/>
      <c r="FLP39" s="424"/>
      <c r="FLQ39" s="427"/>
      <c r="FLR39" s="424"/>
      <c r="FLS39" s="427"/>
      <c r="FLT39" s="424"/>
      <c r="FLU39" s="427"/>
      <c r="FLV39" s="424"/>
      <c r="FLW39" s="427"/>
      <c r="FLX39" s="424"/>
      <c r="FLY39" s="427"/>
      <c r="FLZ39" s="424"/>
      <c r="FMA39" s="427"/>
      <c r="FMB39" s="424"/>
      <c r="FMC39" s="427"/>
      <c r="FMD39" s="424"/>
      <c r="FME39" s="427"/>
      <c r="FMF39" s="424"/>
      <c r="FMG39" s="427"/>
      <c r="FMH39" s="424"/>
      <c r="FMI39" s="427"/>
      <c r="FMJ39" s="424"/>
      <c r="FMK39" s="427"/>
      <c r="FML39" s="424"/>
      <c r="FMM39" s="427"/>
      <c r="FMN39" s="424"/>
      <c r="FMO39" s="427"/>
      <c r="FMP39" s="424"/>
      <c r="FMQ39" s="427"/>
      <c r="FMR39" s="424"/>
      <c r="FMS39" s="427"/>
      <c r="FMT39" s="424"/>
      <c r="FMU39" s="427"/>
      <c r="FMV39" s="424"/>
      <c r="FMW39" s="427"/>
      <c r="FMX39" s="424"/>
      <c r="FMY39" s="427"/>
      <c r="FMZ39" s="424"/>
      <c r="FNA39" s="427"/>
      <c r="FNB39" s="424"/>
      <c r="FNC39" s="427"/>
      <c r="FND39" s="424"/>
      <c r="FNE39" s="427"/>
      <c r="FNF39" s="424"/>
      <c r="FNG39" s="427"/>
      <c r="FNH39" s="424"/>
      <c r="FNI39" s="427"/>
      <c r="FNJ39" s="424"/>
      <c r="FNK39" s="427"/>
      <c r="FNL39" s="424"/>
      <c r="FNM39" s="427"/>
      <c r="FNN39" s="424"/>
      <c r="FNO39" s="427"/>
      <c r="FNP39" s="424"/>
      <c r="FNQ39" s="427"/>
      <c r="FNR39" s="424"/>
      <c r="FNS39" s="427"/>
      <c r="FNT39" s="424"/>
      <c r="FNU39" s="427"/>
      <c r="FNV39" s="424"/>
      <c r="FNW39" s="427"/>
      <c r="FNX39" s="424"/>
      <c r="FNY39" s="427"/>
      <c r="FNZ39" s="424"/>
      <c r="FOA39" s="427"/>
      <c r="FOB39" s="424"/>
      <c r="FOC39" s="427"/>
      <c r="FOD39" s="424"/>
      <c r="FOE39" s="427"/>
      <c r="FOF39" s="424"/>
      <c r="FOG39" s="427"/>
      <c r="FOH39" s="424"/>
      <c r="FOI39" s="427"/>
      <c r="FOJ39" s="424"/>
      <c r="FOK39" s="427"/>
      <c r="FOL39" s="424"/>
      <c r="FOM39" s="427"/>
      <c r="FON39" s="424"/>
      <c r="FOO39" s="427"/>
      <c r="FOP39" s="424"/>
      <c r="FOQ39" s="427"/>
      <c r="FOR39" s="424"/>
      <c r="FOS39" s="427"/>
      <c r="FOT39" s="424"/>
      <c r="FOU39" s="427"/>
      <c r="FOV39" s="424"/>
      <c r="FOW39" s="427"/>
      <c r="FOX39" s="424"/>
      <c r="FOY39" s="427"/>
      <c r="FOZ39" s="424"/>
      <c r="FPA39" s="427"/>
      <c r="FPB39" s="424"/>
      <c r="FPC39" s="427"/>
      <c r="FPD39" s="424"/>
      <c r="FPE39" s="427"/>
      <c r="FPF39" s="424"/>
      <c r="FPG39" s="427"/>
      <c r="FPH39" s="424"/>
      <c r="FPI39" s="427"/>
      <c r="FPJ39" s="424"/>
      <c r="FPK39" s="427"/>
      <c r="FPL39" s="424"/>
      <c r="FPM39" s="427"/>
      <c r="FPN39" s="424"/>
      <c r="FPO39" s="427"/>
      <c r="FPP39" s="424"/>
      <c r="FPQ39" s="427"/>
      <c r="FPR39" s="424"/>
      <c r="FPS39" s="427"/>
      <c r="FPT39" s="424"/>
      <c r="FPU39" s="427"/>
      <c r="FPV39" s="424"/>
      <c r="FPW39" s="427"/>
      <c r="FPX39" s="424"/>
      <c r="FPY39" s="427"/>
      <c r="FPZ39" s="424"/>
      <c r="FQA39" s="427"/>
      <c r="FQB39" s="424"/>
      <c r="FQC39" s="427"/>
      <c r="FQD39" s="424"/>
      <c r="FQE39" s="427"/>
      <c r="FQF39" s="424"/>
      <c r="FQG39" s="427"/>
      <c r="FQH39" s="424"/>
      <c r="FQI39" s="427"/>
      <c r="FQJ39" s="424"/>
      <c r="FQK39" s="427"/>
      <c r="FQL39" s="424"/>
      <c r="FQM39" s="427"/>
      <c r="FQN39" s="424"/>
      <c r="FQO39" s="427"/>
      <c r="FQP39" s="424"/>
      <c r="FQQ39" s="427"/>
      <c r="FQR39" s="424"/>
      <c r="FQS39" s="427"/>
      <c r="FQT39" s="424"/>
      <c r="FQU39" s="427"/>
      <c r="FQV39" s="424"/>
      <c r="FQW39" s="427"/>
      <c r="FQX39" s="424"/>
      <c r="FQY39" s="427"/>
      <c r="FQZ39" s="424"/>
      <c r="FRA39" s="427"/>
      <c r="FRB39" s="424"/>
      <c r="FRC39" s="427"/>
      <c r="FRD39" s="424"/>
      <c r="FRE39" s="427"/>
      <c r="FRF39" s="424"/>
      <c r="FRG39" s="427"/>
      <c r="FRH39" s="424"/>
      <c r="FRI39" s="427"/>
      <c r="FRJ39" s="424"/>
      <c r="FRK39" s="427"/>
      <c r="FRL39" s="424"/>
      <c r="FRM39" s="427"/>
      <c r="FRN39" s="424"/>
      <c r="FRO39" s="427"/>
      <c r="FRP39" s="424"/>
      <c r="FRQ39" s="427"/>
      <c r="FRR39" s="424"/>
      <c r="FRS39" s="427"/>
      <c r="FRT39" s="424"/>
      <c r="FRU39" s="427"/>
      <c r="FRV39" s="424"/>
      <c r="FRW39" s="427"/>
      <c r="FRX39" s="424"/>
      <c r="FRY39" s="427"/>
      <c r="FRZ39" s="424"/>
      <c r="FSA39" s="427"/>
      <c r="FSB39" s="424"/>
      <c r="FSC39" s="427"/>
      <c r="FSD39" s="424"/>
      <c r="FSE39" s="427"/>
      <c r="FSF39" s="424"/>
      <c r="FSG39" s="427"/>
      <c r="FSH39" s="424"/>
      <c r="FSI39" s="427"/>
      <c r="FSJ39" s="424"/>
      <c r="FSK39" s="427"/>
      <c r="FSL39" s="424"/>
      <c r="FSM39" s="427"/>
      <c r="FSN39" s="424"/>
      <c r="FSO39" s="427"/>
      <c r="FSP39" s="424"/>
      <c r="FSQ39" s="427"/>
      <c r="FSR39" s="424"/>
      <c r="FSS39" s="427"/>
      <c r="FST39" s="424"/>
      <c r="FSU39" s="427"/>
      <c r="FSV39" s="424"/>
      <c r="FSW39" s="427"/>
      <c r="FSX39" s="424"/>
      <c r="FSY39" s="427"/>
      <c r="FSZ39" s="424"/>
      <c r="FTA39" s="427"/>
      <c r="FTB39" s="424"/>
      <c r="FTC39" s="427"/>
      <c r="FTD39" s="424"/>
      <c r="FTE39" s="427"/>
      <c r="FTF39" s="424"/>
      <c r="FTG39" s="427"/>
      <c r="FTH39" s="424"/>
      <c r="FTI39" s="427"/>
      <c r="FTJ39" s="424"/>
      <c r="FTK39" s="427"/>
      <c r="FTL39" s="424"/>
      <c r="FTM39" s="427"/>
      <c r="FTN39" s="424"/>
      <c r="FTO39" s="427"/>
      <c r="FTP39" s="424"/>
      <c r="FTQ39" s="427"/>
      <c r="FTR39" s="424"/>
      <c r="FTS39" s="427"/>
      <c r="FTT39" s="424"/>
      <c r="FTU39" s="427"/>
      <c r="FTV39" s="424"/>
      <c r="FTW39" s="427"/>
      <c r="FTX39" s="424"/>
      <c r="FTY39" s="427"/>
      <c r="FTZ39" s="424"/>
      <c r="FUA39" s="427"/>
      <c r="FUB39" s="424"/>
      <c r="FUC39" s="427"/>
      <c r="FUD39" s="424"/>
      <c r="FUE39" s="427"/>
      <c r="FUF39" s="424"/>
      <c r="FUG39" s="427"/>
      <c r="FUH39" s="424"/>
      <c r="FUI39" s="427"/>
      <c r="FUJ39" s="424"/>
      <c r="FUK39" s="427"/>
      <c r="FUL39" s="424"/>
      <c r="FUM39" s="427"/>
      <c r="FUN39" s="424"/>
      <c r="FUO39" s="427"/>
      <c r="FUP39" s="424"/>
      <c r="FUQ39" s="427"/>
      <c r="FUR39" s="424"/>
      <c r="FUS39" s="427"/>
      <c r="FUT39" s="424"/>
      <c r="FUU39" s="427"/>
      <c r="FUV39" s="424"/>
      <c r="FUW39" s="427"/>
      <c r="FUX39" s="424"/>
      <c r="FUY39" s="427"/>
      <c r="FUZ39" s="424"/>
      <c r="FVA39" s="427"/>
      <c r="FVB39" s="424"/>
      <c r="FVC39" s="427"/>
      <c r="FVD39" s="424"/>
      <c r="FVE39" s="427"/>
      <c r="FVF39" s="424"/>
      <c r="FVG39" s="427"/>
      <c r="FVH39" s="424"/>
      <c r="FVI39" s="427"/>
      <c r="FVJ39" s="424"/>
      <c r="FVK39" s="427"/>
      <c r="FVL39" s="424"/>
      <c r="FVM39" s="427"/>
      <c r="FVN39" s="424"/>
      <c r="FVO39" s="427"/>
      <c r="FVP39" s="424"/>
      <c r="FVQ39" s="427"/>
      <c r="FVR39" s="424"/>
      <c r="FVS39" s="427"/>
      <c r="FVT39" s="424"/>
      <c r="FVU39" s="427"/>
      <c r="FVV39" s="424"/>
      <c r="FVW39" s="427"/>
      <c r="FVX39" s="424"/>
      <c r="FVY39" s="427"/>
      <c r="FVZ39" s="424"/>
      <c r="FWA39" s="427"/>
      <c r="FWB39" s="424"/>
      <c r="FWC39" s="427"/>
      <c r="FWD39" s="424"/>
      <c r="FWE39" s="427"/>
      <c r="FWF39" s="424"/>
      <c r="FWG39" s="427"/>
      <c r="FWH39" s="424"/>
      <c r="FWI39" s="427"/>
      <c r="FWJ39" s="424"/>
      <c r="FWK39" s="427"/>
      <c r="FWL39" s="424"/>
      <c r="FWM39" s="427"/>
      <c r="FWN39" s="424"/>
      <c r="FWO39" s="427"/>
      <c r="FWP39" s="424"/>
      <c r="FWQ39" s="427"/>
      <c r="FWR39" s="424"/>
      <c r="FWS39" s="427"/>
      <c r="FWT39" s="424"/>
      <c r="FWU39" s="427"/>
      <c r="FWV39" s="424"/>
      <c r="FWW39" s="427"/>
      <c r="FWX39" s="424"/>
      <c r="FWY39" s="427"/>
      <c r="FWZ39" s="424"/>
      <c r="FXA39" s="427"/>
      <c r="FXB39" s="424"/>
      <c r="FXC39" s="427"/>
      <c r="FXD39" s="424"/>
      <c r="FXE39" s="427"/>
      <c r="FXF39" s="424"/>
      <c r="FXG39" s="427"/>
      <c r="FXH39" s="424"/>
      <c r="FXI39" s="427"/>
      <c r="FXJ39" s="424"/>
      <c r="FXK39" s="427"/>
      <c r="FXL39" s="424"/>
      <c r="FXM39" s="427"/>
      <c r="FXN39" s="424"/>
      <c r="FXO39" s="427"/>
      <c r="FXP39" s="424"/>
      <c r="FXQ39" s="427"/>
      <c r="FXR39" s="424"/>
      <c r="FXS39" s="427"/>
      <c r="FXT39" s="424"/>
      <c r="FXU39" s="427"/>
      <c r="FXV39" s="424"/>
      <c r="FXW39" s="427"/>
      <c r="FXX39" s="424"/>
      <c r="FXY39" s="427"/>
      <c r="FXZ39" s="424"/>
      <c r="FYA39" s="427"/>
      <c r="FYB39" s="424"/>
      <c r="FYC39" s="427"/>
      <c r="FYD39" s="424"/>
      <c r="FYE39" s="427"/>
      <c r="FYF39" s="424"/>
      <c r="FYG39" s="427"/>
      <c r="FYH39" s="424"/>
      <c r="FYI39" s="427"/>
      <c r="FYJ39" s="424"/>
      <c r="FYK39" s="427"/>
      <c r="FYL39" s="424"/>
      <c r="FYM39" s="427"/>
      <c r="FYN39" s="424"/>
      <c r="FYO39" s="427"/>
      <c r="FYP39" s="424"/>
      <c r="FYQ39" s="427"/>
      <c r="FYR39" s="424"/>
      <c r="FYS39" s="427"/>
      <c r="FYT39" s="424"/>
      <c r="FYU39" s="427"/>
      <c r="FYV39" s="424"/>
      <c r="FYW39" s="427"/>
      <c r="FYX39" s="424"/>
      <c r="FYY39" s="427"/>
      <c r="FYZ39" s="424"/>
      <c r="FZA39" s="427"/>
      <c r="FZB39" s="424"/>
      <c r="FZC39" s="427"/>
      <c r="FZD39" s="424"/>
      <c r="FZE39" s="427"/>
      <c r="FZF39" s="424"/>
      <c r="FZG39" s="427"/>
      <c r="FZH39" s="424"/>
      <c r="FZI39" s="427"/>
      <c r="FZJ39" s="424"/>
      <c r="FZK39" s="427"/>
      <c r="FZL39" s="424"/>
      <c r="FZM39" s="427"/>
      <c r="FZN39" s="424"/>
      <c r="FZO39" s="427"/>
      <c r="FZP39" s="424"/>
      <c r="FZQ39" s="427"/>
      <c r="FZR39" s="424"/>
      <c r="FZS39" s="427"/>
      <c r="FZT39" s="424"/>
      <c r="FZU39" s="427"/>
      <c r="FZV39" s="424"/>
      <c r="FZW39" s="427"/>
      <c r="FZX39" s="424"/>
      <c r="FZY39" s="427"/>
      <c r="FZZ39" s="424"/>
      <c r="GAA39" s="427"/>
      <c r="GAB39" s="424"/>
      <c r="GAC39" s="427"/>
      <c r="GAD39" s="424"/>
      <c r="GAE39" s="427"/>
      <c r="GAF39" s="424"/>
      <c r="GAG39" s="427"/>
      <c r="GAH39" s="424"/>
      <c r="GAI39" s="427"/>
      <c r="GAJ39" s="424"/>
      <c r="GAK39" s="427"/>
      <c r="GAL39" s="424"/>
      <c r="GAM39" s="427"/>
      <c r="GAN39" s="424"/>
      <c r="GAO39" s="427"/>
      <c r="GAP39" s="424"/>
      <c r="GAQ39" s="427"/>
      <c r="GAR39" s="424"/>
      <c r="GAS39" s="427"/>
      <c r="GAT39" s="424"/>
      <c r="GAU39" s="427"/>
      <c r="GAV39" s="424"/>
      <c r="GAW39" s="427"/>
      <c r="GAX39" s="424"/>
      <c r="GAY39" s="427"/>
      <c r="GAZ39" s="424"/>
      <c r="GBA39" s="427"/>
      <c r="GBB39" s="424"/>
      <c r="GBC39" s="427"/>
      <c r="GBD39" s="424"/>
      <c r="GBE39" s="427"/>
      <c r="GBF39" s="424"/>
      <c r="GBG39" s="427"/>
      <c r="GBH39" s="424"/>
      <c r="GBI39" s="427"/>
      <c r="GBJ39" s="424"/>
      <c r="GBK39" s="427"/>
      <c r="GBL39" s="424"/>
      <c r="GBM39" s="427"/>
      <c r="GBN39" s="424"/>
      <c r="GBO39" s="427"/>
      <c r="GBP39" s="424"/>
      <c r="GBQ39" s="427"/>
      <c r="GBR39" s="424"/>
      <c r="GBS39" s="427"/>
      <c r="GBT39" s="424"/>
      <c r="GBU39" s="427"/>
      <c r="GBV39" s="424"/>
      <c r="GBW39" s="427"/>
      <c r="GBX39" s="424"/>
      <c r="GBY39" s="427"/>
      <c r="GBZ39" s="424"/>
      <c r="GCA39" s="427"/>
      <c r="GCB39" s="424"/>
      <c r="GCC39" s="427"/>
      <c r="GCD39" s="424"/>
      <c r="GCE39" s="427"/>
      <c r="GCF39" s="424"/>
      <c r="GCG39" s="427"/>
      <c r="GCH39" s="424"/>
      <c r="GCI39" s="427"/>
      <c r="GCJ39" s="424"/>
      <c r="GCK39" s="427"/>
      <c r="GCL39" s="424"/>
      <c r="GCM39" s="427"/>
      <c r="GCN39" s="424"/>
      <c r="GCO39" s="427"/>
      <c r="GCP39" s="424"/>
      <c r="GCQ39" s="427"/>
      <c r="GCR39" s="424"/>
      <c r="GCS39" s="427"/>
      <c r="GCT39" s="424"/>
      <c r="GCU39" s="427"/>
      <c r="GCV39" s="424"/>
      <c r="GCW39" s="427"/>
      <c r="GCX39" s="424"/>
      <c r="GCY39" s="427"/>
      <c r="GCZ39" s="424"/>
      <c r="GDA39" s="427"/>
      <c r="GDB39" s="424"/>
      <c r="GDC39" s="427"/>
      <c r="GDD39" s="424"/>
      <c r="GDE39" s="427"/>
      <c r="GDF39" s="424"/>
      <c r="GDG39" s="427"/>
      <c r="GDH39" s="424"/>
      <c r="GDI39" s="427"/>
      <c r="GDJ39" s="424"/>
      <c r="GDK39" s="427"/>
      <c r="GDL39" s="424"/>
      <c r="GDM39" s="427"/>
      <c r="GDN39" s="424"/>
      <c r="GDO39" s="427"/>
      <c r="GDP39" s="424"/>
      <c r="GDQ39" s="427"/>
      <c r="GDR39" s="424"/>
      <c r="GDS39" s="427"/>
      <c r="GDT39" s="424"/>
      <c r="GDU39" s="427"/>
      <c r="GDV39" s="424"/>
      <c r="GDW39" s="427"/>
      <c r="GDX39" s="424"/>
      <c r="GDY39" s="427"/>
      <c r="GDZ39" s="424"/>
      <c r="GEA39" s="427"/>
      <c r="GEB39" s="424"/>
      <c r="GEC39" s="427"/>
      <c r="GED39" s="424"/>
      <c r="GEE39" s="427"/>
      <c r="GEF39" s="424"/>
      <c r="GEG39" s="427"/>
      <c r="GEH39" s="424"/>
      <c r="GEI39" s="427"/>
      <c r="GEJ39" s="424"/>
      <c r="GEK39" s="427"/>
      <c r="GEL39" s="424"/>
      <c r="GEM39" s="427"/>
      <c r="GEN39" s="424"/>
      <c r="GEO39" s="427"/>
      <c r="GEP39" s="424"/>
      <c r="GEQ39" s="427"/>
      <c r="GER39" s="424"/>
      <c r="GES39" s="427"/>
      <c r="GET39" s="424"/>
      <c r="GEU39" s="427"/>
      <c r="GEV39" s="424"/>
      <c r="GEW39" s="427"/>
      <c r="GEX39" s="424"/>
      <c r="GEY39" s="427"/>
      <c r="GEZ39" s="424"/>
      <c r="GFA39" s="427"/>
      <c r="GFB39" s="424"/>
      <c r="GFC39" s="427"/>
      <c r="GFD39" s="424"/>
      <c r="GFE39" s="427"/>
      <c r="GFF39" s="424"/>
      <c r="GFG39" s="427"/>
      <c r="GFH39" s="424"/>
      <c r="GFI39" s="427"/>
      <c r="GFJ39" s="424"/>
      <c r="GFK39" s="427"/>
      <c r="GFL39" s="424"/>
      <c r="GFM39" s="427"/>
      <c r="GFN39" s="424"/>
      <c r="GFO39" s="427"/>
      <c r="GFP39" s="424"/>
      <c r="GFQ39" s="427"/>
      <c r="GFR39" s="424"/>
      <c r="GFS39" s="427"/>
      <c r="GFT39" s="424"/>
      <c r="GFU39" s="427"/>
      <c r="GFV39" s="424"/>
      <c r="GFW39" s="427"/>
      <c r="GFX39" s="424"/>
      <c r="GFY39" s="427"/>
      <c r="GFZ39" s="424"/>
      <c r="GGA39" s="427"/>
      <c r="GGB39" s="424"/>
      <c r="GGC39" s="427"/>
      <c r="GGD39" s="424"/>
      <c r="GGE39" s="427"/>
      <c r="GGF39" s="424"/>
      <c r="GGG39" s="427"/>
      <c r="GGH39" s="424"/>
      <c r="GGI39" s="427"/>
      <c r="GGJ39" s="424"/>
      <c r="GGK39" s="427"/>
      <c r="GGL39" s="424"/>
      <c r="GGM39" s="427"/>
      <c r="GGN39" s="424"/>
      <c r="GGO39" s="427"/>
      <c r="GGP39" s="424"/>
      <c r="GGQ39" s="427"/>
      <c r="GGR39" s="424"/>
      <c r="GGS39" s="427"/>
      <c r="GGT39" s="424"/>
      <c r="GGU39" s="427"/>
      <c r="GGV39" s="424"/>
      <c r="GGW39" s="427"/>
      <c r="GGX39" s="424"/>
      <c r="GGY39" s="427"/>
      <c r="GGZ39" s="424"/>
      <c r="GHA39" s="427"/>
      <c r="GHB39" s="424"/>
      <c r="GHC39" s="427"/>
      <c r="GHD39" s="424"/>
      <c r="GHE39" s="427"/>
      <c r="GHF39" s="424"/>
      <c r="GHG39" s="427"/>
      <c r="GHH39" s="424"/>
      <c r="GHI39" s="427"/>
      <c r="GHJ39" s="424"/>
      <c r="GHK39" s="427"/>
      <c r="GHL39" s="424"/>
      <c r="GHM39" s="427"/>
      <c r="GHN39" s="424"/>
      <c r="GHO39" s="427"/>
      <c r="GHP39" s="424"/>
      <c r="GHQ39" s="427"/>
      <c r="GHR39" s="424"/>
      <c r="GHS39" s="427"/>
      <c r="GHT39" s="424"/>
      <c r="GHU39" s="427"/>
      <c r="GHV39" s="424"/>
      <c r="GHW39" s="427"/>
      <c r="GHX39" s="424"/>
      <c r="GHY39" s="427"/>
      <c r="GHZ39" s="424"/>
      <c r="GIA39" s="427"/>
      <c r="GIB39" s="424"/>
      <c r="GIC39" s="427"/>
      <c r="GID39" s="424"/>
      <c r="GIE39" s="427"/>
      <c r="GIF39" s="424"/>
      <c r="GIG39" s="427"/>
      <c r="GIH39" s="424"/>
      <c r="GII39" s="427"/>
      <c r="GIJ39" s="424"/>
      <c r="GIK39" s="427"/>
      <c r="GIL39" s="424"/>
      <c r="GIM39" s="427"/>
      <c r="GIN39" s="424"/>
      <c r="GIO39" s="427"/>
      <c r="GIP39" s="424"/>
      <c r="GIQ39" s="427"/>
      <c r="GIR39" s="424"/>
      <c r="GIS39" s="427"/>
      <c r="GIT39" s="424"/>
      <c r="GIU39" s="427"/>
      <c r="GIV39" s="424"/>
      <c r="GIW39" s="427"/>
      <c r="GIX39" s="424"/>
      <c r="GIY39" s="427"/>
      <c r="GIZ39" s="424"/>
      <c r="GJA39" s="427"/>
      <c r="GJB39" s="424"/>
      <c r="GJC39" s="427"/>
      <c r="GJD39" s="424"/>
      <c r="GJE39" s="427"/>
      <c r="GJF39" s="424"/>
      <c r="GJG39" s="427"/>
      <c r="GJH39" s="424"/>
      <c r="GJI39" s="427"/>
      <c r="GJJ39" s="424"/>
      <c r="GJK39" s="427"/>
      <c r="GJL39" s="424"/>
      <c r="GJM39" s="427"/>
      <c r="GJN39" s="424"/>
      <c r="GJO39" s="427"/>
      <c r="GJP39" s="424"/>
      <c r="GJQ39" s="427"/>
      <c r="GJR39" s="424"/>
      <c r="GJS39" s="427"/>
      <c r="GJT39" s="424"/>
      <c r="GJU39" s="427"/>
      <c r="GJV39" s="424"/>
      <c r="GJW39" s="427"/>
      <c r="GJX39" s="424"/>
      <c r="GJY39" s="427"/>
      <c r="GJZ39" s="424"/>
      <c r="GKA39" s="427"/>
      <c r="GKB39" s="424"/>
      <c r="GKC39" s="427"/>
      <c r="GKD39" s="424"/>
      <c r="GKE39" s="427"/>
      <c r="GKF39" s="424"/>
      <c r="GKG39" s="427"/>
      <c r="GKH39" s="424"/>
      <c r="GKI39" s="427"/>
      <c r="GKJ39" s="424"/>
      <c r="GKK39" s="427"/>
      <c r="GKL39" s="424"/>
      <c r="GKM39" s="427"/>
      <c r="GKN39" s="424"/>
      <c r="GKO39" s="427"/>
      <c r="GKP39" s="424"/>
      <c r="GKQ39" s="427"/>
      <c r="GKR39" s="424"/>
      <c r="GKS39" s="427"/>
      <c r="GKT39" s="424"/>
      <c r="GKU39" s="427"/>
      <c r="GKV39" s="424"/>
      <c r="GKW39" s="427"/>
      <c r="GKX39" s="424"/>
      <c r="GKY39" s="427"/>
      <c r="GKZ39" s="424"/>
      <c r="GLA39" s="427"/>
      <c r="GLB39" s="424"/>
      <c r="GLC39" s="427"/>
      <c r="GLD39" s="424"/>
      <c r="GLE39" s="427"/>
      <c r="GLF39" s="424"/>
      <c r="GLG39" s="427"/>
      <c r="GLH39" s="424"/>
      <c r="GLI39" s="427"/>
      <c r="GLJ39" s="424"/>
      <c r="GLK39" s="427"/>
      <c r="GLL39" s="424"/>
      <c r="GLM39" s="427"/>
      <c r="GLN39" s="424"/>
      <c r="GLO39" s="427"/>
      <c r="GLP39" s="424"/>
      <c r="GLQ39" s="427"/>
      <c r="GLR39" s="424"/>
      <c r="GLS39" s="427"/>
      <c r="GLT39" s="424"/>
      <c r="GLU39" s="427"/>
      <c r="GLV39" s="424"/>
      <c r="GLW39" s="427"/>
      <c r="GLX39" s="424"/>
      <c r="GLY39" s="427"/>
      <c r="GLZ39" s="424"/>
      <c r="GMA39" s="427"/>
      <c r="GMB39" s="424"/>
      <c r="GMC39" s="427"/>
      <c r="GMD39" s="424"/>
      <c r="GME39" s="427"/>
      <c r="GMF39" s="424"/>
      <c r="GMG39" s="427"/>
      <c r="GMH39" s="424"/>
      <c r="GMI39" s="427"/>
      <c r="GMJ39" s="424"/>
      <c r="GMK39" s="427"/>
      <c r="GML39" s="424"/>
      <c r="GMM39" s="427"/>
      <c r="GMN39" s="424"/>
      <c r="GMO39" s="427"/>
      <c r="GMP39" s="424"/>
      <c r="GMQ39" s="427"/>
      <c r="GMR39" s="424"/>
      <c r="GMS39" s="427"/>
      <c r="GMT39" s="424"/>
      <c r="GMU39" s="427"/>
      <c r="GMV39" s="424"/>
      <c r="GMW39" s="427"/>
      <c r="GMX39" s="424"/>
      <c r="GMY39" s="427"/>
      <c r="GMZ39" s="424"/>
      <c r="GNA39" s="427"/>
      <c r="GNB39" s="424"/>
      <c r="GNC39" s="427"/>
      <c r="GND39" s="424"/>
      <c r="GNE39" s="427"/>
      <c r="GNF39" s="424"/>
      <c r="GNG39" s="427"/>
      <c r="GNH39" s="424"/>
      <c r="GNI39" s="427"/>
      <c r="GNJ39" s="424"/>
      <c r="GNK39" s="427"/>
      <c r="GNL39" s="424"/>
      <c r="GNM39" s="427"/>
      <c r="GNN39" s="424"/>
      <c r="GNO39" s="427"/>
      <c r="GNP39" s="424"/>
      <c r="GNQ39" s="427"/>
      <c r="GNR39" s="424"/>
      <c r="GNS39" s="427"/>
      <c r="GNT39" s="424"/>
      <c r="GNU39" s="427"/>
      <c r="GNV39" s="424"/>
      <c r="GNW39" s="427"/>
      <c r="GNX39" s="424"/>
      <c r="GNY39" s="427"/>
      <c r="GNZ39" s="424"/>
      <c r="GOA39" s="427"/>
      <c r="GOB39" s="424"/>
      <c r="GOC39" s="427"/>
      <c r="GOD39" s="424"/>
      <c r="GOE39" s="427"/>
      <c r="GOF39" s="424"/>
      <c r="GOG39" s="427"/>
      <c r="GOH39" s="424"/>
      <c r="GOI39" s="427"/>
      <c r="GOJ39" s="424"/>
      <c r="GOK39" s="427"/>
      <c r="GOL39" s="424"/>
      <c r="GOM39" s="427"/>
      <c r="GON39" s="424"/>
      <c r="GOO39" s="427"/>
      <c r="GOP39" s="424"/>
      <c r="GOQ39" s="427"/>
      <c r="GOR39" s="424"/>
      <c r="GOS39" s="427"/>
      <c r="GOT39" s="424"/>
      <c r="GOU39" s="427"/>
      <c r="GOV39" s="424"/>
      <c r="GOW39" s="427"/>
      <c r="GOX39" s="424"/>
      <c r="GOY39" s="427"/>
      <c r="GOZ39" s="424"/>
      <c r="GPA39" s="427"/>
      <c r="GPB39" s="424"/>
      <c r="GPC39" s="427"/>
      <c r="GPD39" s="424"/>
      <c r="GPE39" s="427"/>
      <c r="GPF39" s="424"/>
      <c r="GPG39" s="427"/>
      <c r="GPH39" s="424"/>
      <c r="GPI39" s="427"/>
      <c r="GPJ39" s="424"/>
      <c r="GPK39" s="427"/>
      <c r="GPL39" s="424"/>
      <c r="GPM39" s="427"/>
      <c r="GPN39" s="424"/>
      <c r="GPO39" s="427"/>
      <c r="GPP39" s="424"/>
      <c r="GPQ39" s="427"/>
      <c r="GPR39" s="424"/>
      <c r="GPS39" s="427"/>
      <c r="GPT39" s="424"/>
      <c r="GPU39" s="427"/>
      <c r="GPV39" s="424"/>
      <c r="GPW39" s="427"/>
      <c r="GPX39" s="424"/>
      <c r="GPY39" s="427"/>
      <c r="GPZ39" s="424"/>
      <c r="GQA39" s="427"/>
      <c r="GQB39" s="424"/>
      <c r="GQC39" s="427"/>
      <c r="GQD39" s="424"/>
      <c r="GQE39" s="427"/>
      <c r="GQF39" s="424"/>
      <c r="GQG39" s="427"/>
      <c r="GQH39" s="424"/>
      <c r="GQI39" s="427"/>
      <c r="GQJ39" s="424"/>
      <c r="GQK39" s="427"/>
      <c r="GQL39" s="424"/>
      <c r="GQM39" s="427"/>
      <c r="GQN39" s="424"/>
      <c r="GQO39" s="427"/>
      <c r="GQP39" s="424"/>
      <c r="GQQ39" s="427"/>
      <c r="GQR39" s="424"/>
      <c r="GQS39" s="427"/>
      <c r="GQT39" s="424"/>
      <c r="GQU39" s="427"/>
      <c r="GQV39" s="424"/>
      <c r="GQW39" s="427"/>
      <c r="GQX39" s="424"/>
      <c r="GQY39" s="427"/>
      <c r="GQZ39" s="424"/>
      <c r="GRA39" s="427"/>
      <c r="GRB39" s="424"/>
      <c r="GRC39" s="427"/>
      <c r="GRD39" s="424"/>
      <c r="GRE39" s="427"/>
      <c r="GRF39" s="424"/>
      <c r="GRG39" s="427"/>
      <c r="GRH39" s="424"/>
      <c r="GRI39" s="427"/>
      <c r="GRJ39" s="424"/>
      <c r="GRK39" s="427"/>
      <c r="GRL39" s="424"/>
      <c r="GRM39" s="427"/>
      <c r="GRN39" s="424"/>
      <c r="GRO39" s="427"/>
      <c r="GRP39" s="424"/>
      <c r="GRQ39" s="427"/>
      <c r="GRR39" s="424"/>
      <c r="GRS39" s="427"/>
      <c r="GRT39" s="424"/>
      <c r="GRU39" s="427"/>
      <c r="GRV39" s="424"/>
      <c r="GRW39" s="427"/>
      <c r="GRX39" s="424"/>
      <c r="GRY39" s="427"/>
      <c r="GRZ39" s="424"/>
      <c r="GSA39" s="427"/>
      <c r="GSB39" s="424"/>
      <c r="GSC39" s="427"/>
      <c r="GSD39" s="424"/>
      <c r="GSE39" s="427"/>
      <c r="GSF39" s="424"/>
      <c r="GSG39" s="427"/>
      <c r="GSH39" s="424"/>
      <c r="GSI39" s="427"/>
      <c r="GSJ39" s="424"/>
      <c r="GSK39" s="427"/>
      <c r="GSL39" s="424"/>
      <c r="GSM39" s="427"/>
      <c r="GSN39" s="424"/>
      <c r="GSO39" s="427"/>
      <c r="GSP39" s="424"/>
      <c r="GSQ39" s="427"/>
      <c r="GSR39" s="424"/>
      <c r="GSS39" s="427"/>
      <c r="GST39" s="424"/>
      <c r="GSU39" s="427"/>
      <c r="GSV39" s="424"/>
      <c r="GSW39" s="427"/>
      <c r="GSX39" s="424"/>
      <c r="GSY39" s="427"/>
      <c r="GSZ39" s="424"/>
      <c r="GTA39" s="427"/>
      <c r="GTB39" s="424"/>
      <c r="GTC39" s="427"/>
      <c r="GTD39" s="424"/>
      <c r="GTE39" s="427"/>
      <c r="GTF39" s="424"/>
      <c r="GTG39" s="427"/>
      <c r="GTH39" s="424"/>
      <c r="GTI39" s="427"/>
      <c r="GTJ39" s="424"/>
      <c r="GTK39" s="427"/>
      <c r="GTL39" s="424"/>
      <c r="GTM39" s="427"/>
      <c r="GTN39" s="424"/>
      <c r="GTO39" s="427"/>
      <c r="GTP39" s="424"/>
      <c r="GTQ39" s="427"/>
      <c r="GTR39" s="424"/>
      <c r="GTS39" s="427"/>
      <c r="GTT39" s="424"/>
      <c r="GTU39" s="427"/>
      <c r="GTV39" s="424"/>
      <c r="GTW39" s="427"/>
      <c r="GTX39" s="424"/>
      <c r="GTY39" s="427"/>
      <c r="GTZ39" s="424"/>
      <c r="GUA39" s="427"/>
      <c r="GUB39" s="424"/>
      <c r="GUC39" s="427"/>
      <c r="GUD39" s="424"/>
      <c r="GUE39" s="427"/>
      <c r="GUF39" s="424"/>
      <c r="GUG39" s="427"/>
      <c r="GUH39" s="424"/>
      <c r="GUI39" s="427"/>
      <c r="GUJ39" s="424"/>
      <c r="GUK39" s="427"/>
      <c r="GUL39" s="424"/>
      <c r="GUM39" s="427"/>
      <c r="GUN39" s="424"/>
      <c r="GUO39" s="427"/>
      <c r="GUP39" s="424"/>
      <c r="GUQ39" s="427"/>
      <c r="GUR39" s="424"/>
      <c r="GUS39" s="427"/>
      <c r="GUT39" s="424"/>
      <c r="GUU39" s="427"/>
      <c r="GUV39" s="424"/>
      <c r="GUW39" s="427"/>
      <c r="GUX39" s="424"/>
      <c r="GUY39" s="427"/>
      <c r="GUZ39" s="424"/>
      <c r="GVA39" s="427"/>
      <c r="GVB39" s="424"/>
      <c r="GVC39" s="427"/>
      <c r="GVD39" s="424"/>
      <c r="GVE39" s="427"/>
      <c r="GVF39" s="424"/>
      <c r="GVG39" s="427"/>
      <c r="GVH39" s="424"/>
      <c r="GVI39" s="427"/>
      <c r="GVJ39" s="424"/>
      <c r="GVK39" s="427"/>
      <c r="GVL39" s="424"/>
      <c r="GVM39" s="427"/>
      <c r="GVN39" s="424"/>
      <c r="GVO39" s="427"/>
      <c r="GVP39" s="424"/>
      <c r="GVQ39" s="427"/>
      <c r="GVR39" s="424"/>
      <c r="GVS39" s="427"/>
      <c r="GVT39" s="424"/>
      <c r="GVU39" s="427"/>
      <c r="GVV39" s="424"/>
      <c r="GVW39" s="427"/>
      <c r="GVX39" s="424"/>
      <c r="GVY39" s="427"/>
      <c r="GVZ39" s="424"/>
      <c r="GWA39" s="427"/>
      <c r="GWB39" s="424"/>
      <c r="GWC39" s="427"/>
      <c r="GWD39" s="424"/>
      <c r="GWE39" s="427"/>
      <c r="GWF39" s="424"/>
      <c r="GWG39" s="427"/>
      <c r="GWH39" s="424"/>
      <c r="GWI39" s="427"/>
      <c r="GWJ39" s="424"/>
      <c r="GWK39" s="427"/>
      <c r="GWL39" s="424"/>
      <c r="GWM39" s="427"/>
      <c r="GWN39" s="424"/>
      <c r="GWO39" s="427"/>
      <c r="GWP39" s="424"/>
      <c r="GWQ39" s="427"/>
      <c r="GWR39" s="424"/>
      <c r="GWS39" s="427"/>
      <c r="GWT39" s="424"/>
      <c r="GWU39" s="427"/>
      <c r="GWV39" s="424"/>
      <c r="GWW39" s="427"/>
      <c r="GWX39" s="424"/>
      <c r="GWY39" s="427"/>
      <c r="GWZ39" s="424"/>
      <c r="GXA39" s="427"/>
      <c r="GXB39" s="424"/>
      <c r="GXC39" s="427"/>
      <c r="GXD39" s="424"/>
      <c r="GXE39" s="427"/>
      <c r="GXF39" s="424"/>
      <c r="GXG39" s="427"/>
      <c r="GXH39" s="424"/>
      <c r="GXI39" s="427"/>
      <c r="GXJ39" s="424"/>
      <c r="GXK39" s="427"/>
      <c r="GXL39" s="424"/>
      <c r="GXM39" s="427"/>
      <c r="GXN39" s="424"/>
      <c r="GXO39" s="427"/>
      <c r="GXP39" s="424"/>
      <c r="GXQ39" s="427"/>
      <c r="GXR39" s="424"/>
      <c r="GXS39" s="427"/>
      <c r="GXT39" s="424"/>
      <c r="GXU39" s="427"/>
      <c r="GXV39" s="424"/>
      <c r="GXW39" s="427"/>
      <c r="GXX39" s="424"/>
      <c r="GXY39" s="427"/>
      <c r="GXZ39" s="424"/>
      <c r="GYA39" s="427"/>
      <c r="GYB39" s="424"/>
      <c r="GYC39" s="427"/>
      <c r="GYD39" s="424"/>
      <c r="GYE39" s="427"/>
      <c r="GYF39" s="424"/>
      <c r="GYG39" s="427"/>
      <c r="GYH39" s="424"/>
      <c r="GYI39" s="427"/>
      <c r="GYJ39" s="424"/>
      <c r="GYK39" s="427"/>
      <c r="GYL39" s="424"/>
      <c r="GYM39" s="427"/>
      <c r="GYN39" s="424"/>
      <c r="GYO39" s="427"/>
      <c r="GYP39" s="424"/>
      <c r="GYQ39" s="427"/>
      <c r="GYR39" s="424"/>
      <c r="GYS39" s="427"/>
      <c r="GYT39" s="424"/>
      <c r="GYU39" s="427"/>
      <c r="GYV39" s="424"/>
      <c r="GYW39" s="427"/>
      <c r="GYX39" s="424"/>
      <c r="GYY39" s="427"/>
      <c r="GYZ39" s="424"/>
      <c r="GZA39" s="427"/>
      <c r="GZB39" s="424"/>
      <c r="GZC39" s="427"/>
      <c r="GZD39" s="424"/>
      <c r="GZE39" s="427"/>
      <c r="GZF39" s="424"/>
      <c r="GZG39" s="427"/>
      <c r="GZH39" s="424"/>
      <c r="GZI39" s="427"/>
      <c r="GZJ39" s="424"/>
      <c r="GZK39" s="427"/>
      <c r="GZL39" s="424"/>
      <c r="GZM39" s="427"/>
      <c r="GZN39" s="424"/>
      <c r="GZO39" s="427"/>
      <c r="GZP39" s="424"/>
      <c r="GZQ39" s="427"/>
      <c r="GZR39" s="424"/>
      <c r="GZS39" s="427"/>
      <c r="GZT39" s="424"/>
      <c r="GZU39" s="427"/>
      <c r="GZV39" s="424"/>
      <c r="GZW39" s="427"/>
      <c r="GZX39" s="424"/>
      <c r="GZY39" s="427"/>
      <c r="GZZ39" s="424"/>
      <c r="HAA39" s="427"/>
      <c r="HAB39" s="424"/>
      <c r="HAC39" s="427"/>
      <c r="HAD39" s="424"/>
      <c r="HAE39" s="427"/>
      <c r="HAF39" s="424"/>
      <c r="HAG39" s="427"/>
      <c r="HAH39" s="424"/>
      <c r="HAI39" s="427"/>
      <c r="HAJ39" s="424"/>
      <c r="HAK39" s="427"/>
      <c r="HAL39" s="424"/>
      <c r="HAM39" s="427"/>
      <c r="HAN39" s="424"/>
      <c r="HAO39" s="427"/>
      <c r="HAP39" s="424"/>
      <c r="HAQ39" s="427"/>
      <c r="HAR39" s="424"/>
      <c r="HAS39" s="427"/>
      <c r="HAT39" s="424"/>
      <c r="HAU39" s="427"/>
      <c r="HAV39" s="424"/>
      <c r="HAW39" s="427"/>
      <c r="HAX39" s="424"/>
      <c r="HAY39" s="427"/>
      <c r="HAZ39" s="424"/>
      <c r="HBA39" s="427"/>
      <c r="HBB39" s="424"/>
      <c r="HBC39" s="427"/>
      <c r="HBD39" s="424"/>
      <c r="HBE39" s="427"/>
      <c r="HBF39" s="424"/>
      <c r="HBG39" s="427"/>
      <c r="HBH39" s="424"/>
      <c r="HBI39" s="427"/>
      <c r="HBJ39" s="424"/>
      <c r="HBK39" s="427"/>
      <c r="HBL39" s="424"/>
      <c r="HBM39" s="427"/>
      <c r="HBN39" s="424"/>
      <c r="HBO39" s="427"/>
      <c r="HBP39" s="424"/>
      <c r="HBQ39" s="427"/>
      <c r="HBR39" s="424"/>
      <c r="HBS39" s="427"/>
      <c r="HBT39" s="424"/>
      <c r="HBU39" s="427"/>
      <c r="HBV39" s="424"/>
      <c r="HBW39" s="427"/>
      <c r="HBX39" s="424"/>
      <c r="HBY39" s="427"/>
      <c r="HBZ39" s="424"/>
      <c r="HCA39" s="427"/>
      <c r="HCB39" s="424"/>
      <c r="HCC39" s="427"/>
      <c r="HCD39" s="424"/>
      <c r="HCE39" s="427"/>
      <c r="HCF39" s="424"/>
      <c r="HCG39" s="427"/>
      <c r="HCH39" s="424"/>
      <c r="HCI39" s="427"/>
      <c r="HCJ39" s="424"/>
      <c r="HCK39" s="427"/>
      <c r="HCL39" s="424"/>
      <c r="HCM39" s="427"/>
      <c r="HCN39" s="424"/>
      <c r="HCO39" s="427"/>
      <c r="HCP39" s="424"/>
      <c r="HCQ39" s="427"/>
      <c r="HCR39" s="424"/>
      <c r="HCS39" s="427"/>
      <c r="HCT39" s="424"/>
      <c r="HCU39" s="427"/>
      <c r="HCV39" s="424"/>
      <c r="HCW39" s="427"/>
      <c r="HCX39" s="424"/>
      <c r="HCY39" s="427"/>
      <c r="HCZ39" s="424"/>
      <c r="HDA39" s="427"/>
      <c r="HDB39" s="424"/>
      <c r="HDC39" s="427"/>
      <c r="HDD39" s="424"/>
      <c r="HDE39" s="427"/>
      <c r="HDF39" s="424"/>
      <c r="HDG39" s="427"/>
      <c r="HDH39" s="424"/>
      <c r="HDI39" s="427"/>
      <c r="HDJ39" s="424"/>
      <c r="HDK39" s="427"/>
      <c r="HDL39" s="424"/>
      <c r="HDM39" s="427"/>
      <c r="HDN39" s="424"/>
      <c r="HDO39" s="427"/>
      <c r="HDP39" s="424"/>
      <c r="HDQ39" s="427"/>
      <c r="HDR39" s="424"/>
      <c r="HDS39" s="427"/>
      <c r="HDT39" s="424"/>
      <c r="HDU39" s="427"/>
      <c r="HDV39" s="424"/>
      <c r="HDW39" s="427"/>
      <c r="HDX39" s="424"/>
      <c r="HDY39" s="427"/>
      <c r="HDZ39" s="424"/>
      <c r="HEA39" s="427"/>
      <c r="HEB39" s="424"/>
      <c r="HEC39" s="427"/>
      <c r="HED39" s="424"/>
      <c r="HEE39" s="427"/>
      <c r="HEF39" s="424"/>
      <c r="HEG39" s="427"/>
      <c r="HEH39" s="424"/>
      <c r="HEI39" s="427"/>
      <c r="HEJ39" s="424"/>
      <c r="HEK39" s="427"/>
      <c r="HEL39" s="424"/>
      <c r="HEM39" s="427"/>
      <c r="HEN39" s="424"/>
      <c r="HEO39" s="427"/>
      <c r="HEP39" s="424"/>
      <c r="HEQ39" s="427"/>
      <c r="HER39" s="424"/>
      <c r="HES39" s="427"/>
      <c r="HET39" s="424"/>
      <c r="HEU39" s="427"/>
      <c r="HEV39" s="424"/>
      <c r="HEW39" s="427"/>
      <c r="HEX39" s="424"/>
      <c r="HEY39" s="427"/>
      <c r="HEZ39" s="424"/>
      <c r="HFA39" s="427"/>
      <c r="HFB39" s="424"/>
      <c r="HFC39" s="427"/>
      <c r="HFD39" s="424"/>
      <c r="HFE39" s="427"/>
      <c r="HFF39" s="424"/>
      <c r="HFG39" s="427"/>
      <c r="HFH39" s="424"/>
      <c r="HFI39" s="427"/>
      <c r="HFJ39" s="424"/>
      <c r="HFK39" s="427"/>
      <c r="HFL39" s="424"/>
      <c r="HFM39" s="427"/>
      <c r="HFN39" s="424"/>
      <c r="HFO39" s="427"/>
      <c r="HFP39" s="424"/>
      <c r="HFQ39" s="427"/>
      <c r="HFR39" s="424"/>
      <c r="HFS39" s="427"/>
      <c r="HFT39" s="424"/>
      <c r="HFU39" s="427"/>
      <c r="HFV39" s="424"/>
      <c r="HFW39" s="427"/>
      <c r="HFX39" s="424"/>
      <c r="HFY39" s="427"/>
      <c r="HFZ39" s="424"/>
      <c r="HGA39" s="427"/>
      <c r="HGB39" s="424"/>
      <c r="HGC39" s="427"/>
      <c r="HGD39" s="424"/>
      <c r="HGE39" s="427"/>
      <c r="HGF39" s="424"/>
      <c r="HGG39" s="427"/>
      <c r="HGH39" s="424"/>
      <c r="HGI39" s="427"/>
      <c r="HGJ39" s="424"/>
      <c r="HGK39" s="427"/>
      <c r="HGL39" s="424"/>
      <c r="HGM39" s="427"/>
      <c r="HGN39" s="424"/>
      <c r="HGO39" s="427"/>
      <c r="HGP39" s="424"/>
      <c r="HGQ39" s="427"/>
      <c r="HGR39" s="424"/>
      <c r="HGS39" s="427"/>
      <c r="HGT39" s="424"/>
      <c r="HGU39" s="427"/>
      <c r="HGV39" s="424"/>
      <c r="HGW39" s="427"/>
      <c r="HGX39" s="424"/>
      <c r="HGY39" s="427"/>
      <c r="HGZ39" s="424"/>
      <c r="HHA39" s="427"/>
      <c r="HHB39" s="424"/>
      <c r="HHC39" s="427"/>
      <c r="HHD39" s="424"/>
      <c r="HHE39" s="427"/>
      <c r="HHF39" s="424"/>
      <c r="HHG39" s="427"/>
      <c r="HHH39" s="424"/>
      <c r="HHI39" s="427"/>
      <c r="HHJ39" s="424"/>
      <c r="HHK39" s="427"/>
      <c r="HHL39" s="424"/>
      <c r="HHM39" s="427"/>
      <c r="HHN39" s="424"/>
      <c r="HHO39" s="427"/>
      <c r="HHP39" s="424"/>
      <c r="HHQ39" s="427"/>
      <c r="HHR39" s="424"/>
      <c r="HHS39" s="427"/>
      <c r="HHT39" s="424"/>
      <c r="HHU39" s="427"/>
      <c r="HHV39" s="424"/>
      <c r="HHW39" s="427"/>
      <c r="HHX39" s="424"/>
      <c r="HHY39" s="427"/>
      <c r="HHZ39" s="424"/>
      <c r="HIA39" s="427"/>
      <c r="HIB39" s="424"/>
      <c r="HIC39" s="427"/>
      <c r="HID39" s="424"/>
      <c r="HIE39" s="427"/>
      <c r="HIF39" s="424"/>
      <c r="HIG39" s="427"/>
      <c r="HIH39" s="424"/>
      <c r="HII39" s="427"/>
      <c r="HIJ39" s="424"/>
      <c r="HIK39" s="427"/>
      <c r="HIL39" s="424"/>
      <c r="HIM39" s="427"/>
      <c r="HIN39" s="424"/>
      <c r="HIO39" s="427"/>
      <c r="HIP39" s="424"/>
      <c r="HIQ39" s="427"/>
      <c r="HIR39" s="424"/>
      <c r="HIS39" s="427"/>
      <c r="HIT39" s="424"/>
      <c r="HIU39" s="427"/>
      <c r="HIV39" s="424"/>
      <c r="HIW39" s="427"/>
      <c r="HIX39" s="424"/>
      <c r="HIY39" s="427"/>
      <c r="HIZ39" s="424"/>
      <c r="HJA39" s="427"/>
      <c r="HJB39" s="424"/>
      <c r="HJC39" s="427"/>
      <c r="HJD39" s="424"/>
      <c r="HJE39" s="427"/>
      <c r="HJF39" s="424"/>
      <c r="HJG39" s="427"/>
      <c r="HJH39" s="424"/>
      <c r="HJI39" s="427"/>
      <c r="HJJ39" s="424"/>
      <c r="HJK39" s="427"/>
      <c r="HJL39" s="424"/>
      <c r="HJM39" s="427"/>
      <c r="HJN39" s="424"/>
      <c r="HJO39" s="427"/>
      <c r="HJP39" s="424"/>
      <c r="HJQ39" s="427"/>
      <c r="HJR39" s="424"/>
      <c r="HJS39" s="427"/>
      <c r="HJT39" s="424"/>
      <c r="HJU39" s="427"/>
      <c r="HJV39" s="424"/>
      <c r="HJW39" s="427"/>
      <c r="HJX39" s="424"/>
      <c r="HJY39" s="427"/>
      <c r="HJZ39" s="424"/>
      <c r="HKA39" s="427"/>
      <c r="HKB39" s="424"/>
      <c r="HKC39" s="427"/>
      <c r="HKD39" s="424"/>
      <c r="HKE39" s="427"/>
      <c r="HKF39" s="424"/>
      <c r="HKG39" s="427"/>
      <c r="HKH39" s="424"/>
      <c r="HKI39" s="427"/>
      <c r="HKJ39" s="424"/>
      <c r="HKK39" s="427"/>
      <c r="HKL39" s="424"/>
      <c r="HKM39" s="427"/>
      <c r="HKN39" s="424"/>
      <c r="HKO39" s="427"/>
      <c r="HKP39" s="424"/>
      <c r="HKQ39" s="427"/>
      <c r="HKR39" s="424"/>
      <c r="HKS39" s="427"/>
      <c r="HKT39" s="424"/>
      <c r="HKU39" s="427"/>
      <c r="HKV39" s="424"/>
      <c r="HKW39" s="427"/>
      <c r="HKX39" s="424"/>
      <c r="HKY39" s="427"/>
      <c r="HKZ39" s="424"/>
      <c r="HLA39" s="427"/>
      <c r="HLB39" s="424"/>
      <c r="HLC39" s="427"/>
      <c r="HLD39" s="424"/>
      <c r="HLE39" s="427"/>
      <c r="HLF39" s="424"/>
      <c r="HLG39" s="427"/>
      <c r="HLH39" s="424"/>
      <c r="HLI39" s="427"/>
      <c r="HLJ39" s="424"/>
      <c r="HLK39" s="427"/>
      <c r="HLL39" s="424"/>
      <c r="HLM39" s="427"/>
      <c r="HLN39" s="424"/>
      <c r="HLO39" s="427"/>
      <c r="HLP39" s="424"/>
      <c r="HLQ39" s="427"/>
      <c r="HLR39" s="424"/>
      <c r="HLS39" s="427"/>
      <c r="HLT39" s="424"/>
      <c r="HLU39" s="427"/>
      <c r="HLV39" s="424"/>
      <c r="HLW39" s="427"/>
      <c r="HLX39" s="424"/>
      <c r="HLY39" s="427"/>
      <c r="HLZ39" s="424"/>
      <c r="HMA39" s="427"/>
      <c r="HMB39" s="424"/>
      <c r="HMC39" s="427"/>
      <c r="HMD39" s="424"/>
      <c r="HME39" s="427"/>
      <c r="HMF39" s="424"/>
      <c r="HMG39" s="427"/>
      <c r="HMH39" s="424"/>
      <c r="HMI39" s="427"/>
      <c r="HMJ39" s="424"/>
      <c r="HMK39" s="427"/>
      <c r="HML39" s="424"/>
      <c r="HMM39" s="427"/>
      <c r="HMN39" s="424"/>
      <c r="HMO39" s="427"/>
      <c r="HMP39" s="424"/>
      <c r="HMQ39" s="427"/>
      <c r="HMR39" s="424"/>
      <c r="HMS39" s="427"/>
      <c r="HMT39" s="424"/>
      <c r="HMU39" s="427"/>
      <c r="HMV39" s="424"/>
      <c r="HMW39" s="427"/>
      <c r="HMX39" s="424"/>
      <c r="HMY39" s="427"/>
      <c r="HMZ39" s="424"/>
      <c r="HNA39" s="427"/>
      <c r="HNB39" s="424"/>
      <c r="HNC39" s="427"/>
      <c r="HND39" s="424"/>
      <c r="HNE39" s="427"/>
      <c r="HNF39" s="424"/>
      <c r="HNG39" s="427"/>
      <c r="HNH39" s="424"/>
      <c r="HNI39" s="427"/>
      <c r="HNJ39" s="424"/>
      <c r="HNK39" s="427"/>
      <c r="HNL39" s="424"/>
      <c r="HNM39" s="427"/>
      <c r="HNN39" s="424"/>
      <c r="HNO39" s="427"/>
      <c r="HNP39" s="424"/>
      <c r="HNQ39" s="427"/>
      <c r="HNR39" s="424"/>
      <c r="HNS39" s="427"/>
      <c r="HNT39" s="424"/>
      <c r="HNU39" s="427"/>
      <c r="HNV39" s="424"/>
      <c r="HNW39" s="427"/>
      <c r="HNX39" s="424"/>
      <c r="HNY39" s="427"/>
      <c r="HNZ39" s="424"/>
      <c r="HOA39" s="427"/>
      <c r="HOB39" s="424"/>
      <c r="HOC39" s="427"/>
      <c r="HOD39" s="424"/>
      <c r="HOE39" s="427"/>
      <c r="HOF39" s="424"/>
      <c r="HOG39" s="427"/>
      <c r="HOH39" s="424"/>
      <c r="HOI39" s="427"/>
      <c r="HOJ39" s="424"/>
      <c r="HOK39" s="427"/>
      <c r="HOL39" s="424"/>
      <c r="HOM39" s="427"/>
      <c r="HON39" s="424"/>
      <c r="HOO39" s="427"/>
      <c r="HOP39" s="424"/>
      <c r="HOQ39" s="427"/>
      <c r="HOR39" s="424"/>
      <c r="HOS39" s="427"/>
      <c r="HOT39" s="424"/>
      <c r="HOU39" s="427"/>
      <c r="HOV39" s="424"/>
      <c r="HOW39" s="427"/>
      <c r="HOX39" s="424"/>
      <c r="HOY39" s="427"/>
      <c r="HOZ39" s="424"/>
      <c r="HPA39" s="427"/>
      <c r="HPB39" s="424"/>
      <c r="HPC39" s="427"/>
      <c r="HPD39" s="424"/>
      <c r="HPE39" s="427"/>
      <c r="HPF39" s="424"/>
      <c r="HPG39" s="427"/>
      <c r="HPH39" s="424"/>
      <c r="HPI39" s="427"/>
      <c r="HPJ39" s="424"/>
      <c r="HPK39" s="427"/>
      <c r="HPL39" s="424"/>
      <c r="HPM39" s="427"/>
      <c r="HPN39" s="424"/>
      <c r="HPO39" s="427"/>
      <c r="HPP39" s="424"/>
      <c r="HPQ39" s="427"/>
      <c r="HPR39" s="424"/>
      <c r="HPS39" s="427"/>
      <c r="HPT39" s="424"/>
      <c r="HPU39" s="427"/>
      <c r="HPV39" s="424"/>
      <c r="HPW39" s="427"/>
      <c r="HPX39" s="424"/>
      <c r="HPY39" s="427"/>
      <c r="HPZ39" s="424"/>
      <c r="HQA39" s="427"/>
      <c r="HQB39" s="424"/>
      <c r="HQC39" s="427"/>
      <c r="HQD39" s="424"/>
      <c r="HQE39" s="427"/>
      <c r="HQF39" s="424"/>
      <c r="HQG39" s="427"/>
      <c r="HQH39" s="424"/>
      <c r="HQI39" s="427"/>
      <c r="HQJ39" s="424"/>
      <c r="HQK39" s="427"/>
      <c r="HQL39" s="424"/>
      <c r="HQM39" s="427"/>
      <c r="HQN39" s="424"/>
      <c r="HQO39" s="427"/>
      <c r="HQP39" s="424"/>
      <c r="HQQ39" s="427"/>
      <c r="HQR39" s="424"/>
      <c r="HQS39" s="427"/>
      <c r="HQT39" s="424"/>
      <c r="HQU39" s="427"/>
      <c r="HQV39" s="424"/>
      <c r="HQW39" s="427"/>
      <c r="HQX39" s="424"/>
      <c r="HQY39" s="427"/>
      <c r="HQZ39" s="424"/>
      <c r="HRA39" s="427"/>
      <c r="HRB39" s="424"/>
      <c r="HRC39" s="427"/>
      <c r="HRD39" s="424"/>
      <c r="HRE39" s="427"/>
      <c r="HRF39" s="424"/>
      <c r="HRG39" s="427"/>
      <c r="HRH39" s="424"/>
      <c r="HRI39" s="427"/>
      <c r="HRJ39" s="424"/>
      <c r="HRK39" s="427"/>
      <c r="HRL39" s="424"/>
      <c r="HRM39" s="427"/>
      <c r="HRN39" s="424"/>
      <c r="HRO39" s="427"/>
      <c r="HRP39" s="424"/>
      <c r="HRQ39" s="427"/>
      <c r="HRR39" s="424"/>
      <c r="HRS39" s="427"/>
      <c r="HRT39" s="424"/>
      <c r="HRU39" s="427"/>
      <c r="HRV39" s="424"/>
      <c r="HRW39" s="427"/>
      <c r="HRX39" s="424"/>
      <c r="HRY39" s="427"/>
      <c r="HRZ39" s="424"/>
      <c r="HSA39" s="427"/>
      <c r="HSB39" s="424"/>
      <c r="HSC39" s="427"/>
      <c r="HSD39" s="424"/>
      <c r="HSE39" s="427"/>
      <c r="HSF39" s="424"/>
      <c r="HSG39" s="427"/>
      <c r="HSH39" s="424"/>
      <c r="HSI39" s="427"/>
      <c r="HSJ39" s="424"/>
      <c r="HSK39" s="427"/>
      <c r="HSL39" s="424"/>
      <c r="HSM39" s="427"/>
      <c r="HSN39" s="424"/>
      <c r="HSO39" s="427"/>
      <c r="HSP39" s="424"/>
      <c r="HSQ39" s="427"/>
      <c r="HSR39" s="424"/>
      <c r="HSS39" s="427"/>
      <c r="HST39" s="424"/>
      <c r="HSU39" s="427"/>
      <c r="HSV39" s="424"/>
      <c r="HSW39" s="427"/>
      <c r="HSX39" s="424"/>
      <c r="HSY39" s="427"/>
      <c r="HSZ39" s="424"/>
      <c r="HTA39" s="427"/>
      <c r="HTB39" s="424"/>
      <c r="HTC39" s="427"/>
      <c r="HTD39" s="424"/>
      <c r="HTE39" s="427"/>
      <c r="HTF39" s="424"/>
      <c r="HTG39" s="427"/>
      <c r="HTH39" s="424"/>
      <c r="HTI39" s="427"/>
      <c r="HTJ39" s="424"/>
      <c r="HTK39" s="427"/>
      <c r="HTL39" s="424"/>
      <c r="HTM39" s="427"/>
      <c r="HTN39" s="424"/>
      <c r="HTO39" s="427"/>
      <c r="HTP39" s="424"/>
      <c r="HTQ39" s="427"/>
      <c r="HTR39" s="424"/>
      <c r="HTS39" s="427"/>
      <c r="HTT39" s="424"/>
      <c r="HTU39" s="427"/>
      <c r="HTV39" s="424"/>
      <c r="HTW39" s="427"/>
      <c r="HTX39" s="424"/>
      <c r="HTY39" s="427"/>
      <c r="HTZ39" s="424"/>
      <c r="HUA39" s="427"/>
      <c r="HUB39" s="424"/>
      <c r="HUC39" s="427"/>
      <c r="HUD39" s="424"/>
      <c r="HUE39" s="427"/>
      <c r="HUF39" s="424"/>
      <c r="HUG39" s="427"/>
      <c r="HUH39" s="424"/>
      <c r="HUI39" s="427"/>
      <c r="HUJ39" s="424"/>
      <c r="HUK39" s="427"/>
      <c r="HUL39" s="424"/>
      <c r="HUM39" s="427"/>
      <c r="HUN39" s="424"/>
      <c r="HUO39" s="427"/>
      <c r="HUP39" s="424"/>
      <c r="HUQ39" s="427"/>
      <c r="HUR39" s="424"/>
      <c r="HUS39" s="427"/>
      <c r="HUT39" s="424"/>
      <c r="HUU39" s="427"/>
      <c r="HUV39" s="424"/>
      <c r="HUW39" s="427"/>
      <c r="HUX39" s="424"/>
      <c r="HUY39" s="427"/>
      <c r="HUZ39" s="424"/>
      <c r="HVA39" s="427"/>
      <c r="HVB39" s="424"/>
      <c r="HVC39" s="427"/>
      <c r="HVD39" s="424"/>
      <c r="HVE39" s="427"/>
      <c r="HVF39" s="424"/>
      <c r="HVG39" s="427"/>
      <c r="HVH39" s="424"/>
      <c r="HVI39" s="427"/>
      <c r="HVJ39" s="424"/>
      <c r="HVK39" s="427"/>
      <c r="HVL39" s="424"/>
      <c r="HVM39" s="427"/>
      <c r="HVN39" s="424"/>
      <c r="HVO39" s="427"/>
      <c r="HVP39" s="424"/>
      <c r="HVQ39" s="427"/>
      <c r="HVR39" s="424"/>
      <c r="HVS39" s="427"/>
      <c r="HVT39" s="424"/>
      <c r="HVU39" s="427"/>
      <c r="HVV39" s="424"/>
      <c r="HVW39" s="427"/>
      <c r="HVX39" s="424"/>
      <c r="HVY39" s="427"/>
      <c r="HVZ39" s="424"/>
      <c r="HWA39" s="427"/>
      <c r="HWB39" s="424"/>
      <c r="HWC39" s="427"/>
      <c r="HWD39" s="424"/>
      <c r="HWE39" s="427"/>
      <c r="HWF39" s="424"/>
      <c r="HWG39" s="427"/>
      <c r="HWH39" s="424"/>
      <c r="HWI39" s="427"/>
      <c r="HWJ39" s="424"/>
      <c r="HWK39" s="427"/>
      <c r="HWL39" s="424"/>
      <c r="HWM39" s="427"/>
      <c r="HWN39" s="424"/>
      <c r="HWO39" s="427"/>
      <c r="HWP39" s="424"/>
      <c r="HWQ39" s="427"/>
      <c r="HWR39" s="424"/>
      <c r="HWS39" s="427"/>
      <c r="HWT39" s="424"/>
      <c r="HWU39" s="427"/>
      <c r="HWV39" s="424"/>
      <c r="HWW39" s="427"/>
      <c r="HWX39" s="424"/>
      <c r="HWY39" s="427"/>
      <c r="HWZ39" s="424"/>
      <c r="HXA39" s="427"/>
      <c r="HXB39" s="424"/>
      <c r="HXC39" s="427"/>
      <c r="HXD39" s="424"/>
      <c r="HXE39" s="427"/>
      <c r="HXF39" s="424"/>
      <c r="HXG39" s="427"/>
      <c r="HXH39" s="424"/>
      <c r="HXI39" s="427"/>
      <c r="HXJ39" s="424"/>
      <c r="HXK39" s="427"/>
      <c r="HXL39" s="424"/>
      <c r="HXM39" s="427"/>
      <c r="HXN39" s="424"/>
      <c r="HXO39" s="427"/>
      <c r="HXP39" s="424"/>
      <c r="HXQ39" s="427"/>
      <c r="HXR39" s="424"/>
      <c r="HXS39" s="427"/>
      <c r="HXT39" s="424"/>
      <c r="HXU39" s="427"/>
      <c r="HXV39" s="424"/>
      <c r="HXW39" s="427"/>
      <c r="HXX39" s="424"/>
      <c r="HXY39" s="427"/>
      <c r="HXZ39" s="424"/>
      <c r="HYA39" s="427"/>
      <c r="HYB39" s="424"/>
      <c r="HYC39" s="427"/>
      <c r="HYD39" s="424"/>
      <c r="HYE39" s="427"/>
      <c r="HYF39" s="424"/>
      <c r="HYG39" s="427"/>
      <c r="HYH39" s="424"/>
      <c r="HYI39" s="427"/>
      <c r="HYJ39" s="424"/>
      <c r="HYK39" s="427"/>
      <c r="HYL39" s="424"/>
      <c r="HYM39" s="427"/>
      <c r="HYN39" s="424"/>
      <c r="HYO39" s="427"/>
      <c r="HYP39" s="424"/>
      <c r="HYQ39" s="427"/>
      <c r="HYR39" s="424"/>
      <c r="HYS39" s="427"/>
      <c r="HYT39" s="424"/>
      <c r="HYU39" s="427"/>
      <c r="HYV39" s="424"/>
      <c r="HYW39" s="427"/>
      <c r="HYX39" s="424"/>
      <c r="HYY39" s="427"/>
      <c r="HYZ39" s="424"/>
      <c r="HZA39" s="427"/>
      <c r="HZB39" s="424"/>
      <c r="HZC39" s="427"/>
      <c r="HZD39" s="424"/>
      <c r="HZE39" s="427"/>
      <c r="HZF39" s="424"/>
      <c r="HZG39" s="427"/>
      <c r="HZH39" s="424"/>
      <c r="HZI39" s="427"/>
      <c r="HZJ39" s="424"/>
      <c r="HZK39" s="427"/>
      <c r="HZL39" s="424"/>
      <c r="HZM39" s="427"/>
      <c r="HZN39" s="424"/>
      <c r="HZO39" s="427"/>
      <c r="HZP39" s="424"/>
      <c r="HZQ39" s="427"/>
      <c r="HZR39" s="424"/>
      <c r="HZS39" s="427"/>
      <c r="HZT39" s="424"/>
      <c r="HZU39" s="427"/>
      <c r="HZV39" s="424"/>
      <c r="HZW39" s="427"/>
      <c r="HZX39" s="424"/>
      <c r="HZY39" s="427"/>
      <c r="HZZ39" s="424"/>
      <c r="IAA39" s="427"/>
      <c r="IAB39" s="424"/>
      <c r="IAC39" s="427"/>
      <c r="IAD39" s="424"/>
      <c r="IAE39" s="427"/>
      <c r="IAF39" s="424"/>
      <c r="IAG39" s="427"/>
      <c r="IAH39" s="424"/>
      <c r="IAI39" s="427"/>
      <c r="IAJ39" s="424"/>
      <c r="IAK39" s="427"/>
      <c r="IAL39" s="424"/>
      <c r="IAM39" s="427"/>
      <c r="IAN39" s="424"/>
      <c r="IAO39" s="427"/>
      <c r="IAP39" s="424"/>
      <c r="IAQ39" s="427"/>
      <c r="IAR39" s="424"/>
      <c r="IAS39" s="427"/>
      <c r="IAT39" s="424"/>
      <c r="IAU39" s="427"/>
      <c r="IAV39" s="424"/>
      <c r="IAW39" s="427"/>
      <c r="IAX39" s="424"/>
      <c r="IAY39" s="427"/>
      <c r="IAZ39" s="424"/>
      <c r="IBA39" s="427"/>
      <c r="IBB39" s="424"/>
      <c r="IBC39" s="427"/>
      <c r="IBD39" s="424"/>
      <c r="IBE39" s="427"/>
      <c r="IBF39" s="424"/>
      <c r="IBG39" s="427"/>
      <c r="IBH39" s="424"/>
      <c r="IBI39" s="427"/>
      <c r="IBJ39" s="424"/>
      <c r="IBK39" s="427"/>
      <c r="IBL39" s="424"/>
      <c r="IBM39" s="427"/>
      <c r="IBN39" s="424"/>
      <c r="IBO39" s="427"/>
      <c r="IBP39" s="424"/>
      <c r="IBQ39" s="427"/>
      <c r="IBR39" s="424"/>
      <c r="IBS39" s="427"/>
      <c r="IBT39" s="424"/>
      <c r="IBU39" s="427"/>
      <c r="IBV39" s="424"/>
      <c r="IBW39" s="427"/>
      <c r="IBX39" s="424"/>
      <c r="IBY39" s="427"/>
      <c r="IBZ39" s="424"/>
      <c r="ICA39" s="427"/>
      <c r="ICB39" s="424"/>
      <c r="ICC39" s="427"/>
      <c r="ICD39" s="424"/>
      <c r="ICE39" s="427"/>
      <c r="ICF39" s="424"/>
      <c r="ICG39" s="427"/>
      <c r="ICH39" s="424"/>
      <c r="ICI39" s="427"/>
      <c r="ICJ39" s="424"/>
      <c r="ICK39" s="427"/>
      <c r="ICL39" s="424"/>
      <c r="ICM39" s="427"/>
      <c r="ICN39" s="424"/>
      <c r="ICO39" s="427"/>
      <c r="ICP39" s="424"/>
      <c r="ICQ39" s="427"/>
      <c r="ICR39" s="424"/>
      <c r="ICS39" s="427"/>
      <c r="ICT39" s="424"/>
      <c r="ICU39" s="427"/>
      <c r="ICV39" s="424"/>
      <c r="ICW39" s="427"/>
      <c r="ICX39" s="424"/>
      <c r="ICY39" s="427"/>
      <c r="ICZ39" s="424"/>
      <c r="IDA39" s="427"/>
      <c r="IDB39" s="424"/>
      <c r="IDC39" s="427"/>
      <c r="IDD39" s="424"/>
      <c r="IDE39" s="427"/>
      <c r="IDF39" s="424"/>
      <c r="IDG39" s="427"/>
      <c r="IDH39" s="424"/>
      <c r="IDI39" s="427"/>
      <c r="IDJ39" s="424"/>
      <c r="IDK39" s="427"/>
      <c r="IDL39" s="424"/>
      <c r="IDM39" s="427"/>
      <c r="IDN39" s="424"/>
      <c r="IDO39" s="427"/>
      <c r="IDP39" s="424"/>
      <c r="IDQ39" s="427"/>
      <c r="IDR39" s="424"/>
      <c r="IDS39" s="427"/>
      <c r="IDT39" s="424"/>
      <c r="IDU39" s="427"/>
      <c r="IDV39" s="424"/>
      <c r="IDW39" s="427"/>
      <c r="IDX39" s="424"/>
      <c r="IDY39" s="427"/>
      <c r="IDZ39" s="424"/>
      <c r="IEA39" s="427"/>
      <c r="IEB39" s="424"/>
      <c r="IEC39" s="427"/>
      <c r="IED39" s="424"/>
      <c r="IEE39" s="427"/>
      <c r="IEF39" s="424"/>
      <c r="IEG39" s="427"/>
      <c r="IEH39" s="424"/>
      <c r="IEI39" s="427"/>
      <c r="IEJ39" s="424"/>
      <c r="IEK39" s="427"/>
      <c r="IEL39" s="424"/>
      <c r="IEM39" s="427"/>
      <c r="IEN39" s="424"/>
      <c r="IEO39" s="427"/>
      <c r="IEP39" s="424"/>
      <c r="IEQ39" s="427"/>
      <c r="IER39" s="424"/>
      <c r="IES39" s="427"/>
      <c r="IET39" s="424"/>
      <c r="IEU39" s="427"/>
      <c r="IEV39" s="424"/>
      <c r="IEW39" s="427"/>
      <c r="IEX39" s="424"/>
      <c r="IEY39" s="427"/>
      <c r="IEZ39" s="424"/>
      <c r="IFA39" s="427"/>
      <c r="IFB39" s="424"/>
      <c r="IFC39" s="427"/>
      <c r="IFD39" s="424"/>
      <c r="IFE39" s="427"/>
      <c r="IFF39" s="424"/>
      <c r="IFG39" s="427"/>
      <c r="IFH39" s="424"/>
      <c r="IFI39" s="427"/>
      <c r="IFJ39" s="424"/>
      <c r="IFK39" s="427"/>
      <c r="IFL39" s="424"/>
      <c r="IFM39" s="427"/>
      <c r="IFN39" s="424"/>
      <c r="IFO39" s="427"/>
      <c r="IFP39" s="424"/>
      <c r="IFQ39" s="427"/>
      <c r="IFR39" s="424"/>
      <c r="IFS39" s="427"/>
      <c r="IFT39" s="424"/>
      <c r="IFU39" s="427"/>
      <c r="IFV39" s="424"/>
      <c r="IFW39" s="427"/>
      <c r="IFX39" s="424"/>
      <c r="IFY39" s="427"/>
      <c r="IFZ39" s="424"/>
      <c r="IGA39" s="427"/>
      <c r="IGB39" s="424"/>
      <c r="IGC39" s="427"/>
      <c r="IGD39" s="424"/>
      <c r="IGE39" s="427"/>
      <c r="IGF39" s="424"/>
      <c r="IGG39" s="427"/>
      <c r="IGH39" s="424"/>
      <c r="IGI39" s="427"/>
      <c r="IGJ39" s="424"/>
      <c r="IGK39" s="427"/>
      <c r="IGL39" s="424"/>
      <c r="IGM39" s="427"/>
      <c r="IGN39" s="424"/>
      <c r="IGO39" s="427"/>
      <c r="IGP39" s="424"/>
      <c r="IGQ39" s="427"/>
      <c r="IGR39" s="424"/>
      <c r="IGS39" s="427"/>
      <c r="IGT39" s="424"/>
      <c r="IGU39" s="427"/>
      <c r="IGV39" s="424"/>
      <c r="IGW39" s="427"/>
      <c r="IGX39" s="424"/>
      <c r="IGY39" s="427"/>
      <c r="IGZ39" s="424"/>
      <c r="IHA39" s="427"/>
      <c r="IHB39" s="424"/>
      <c r="IHC39" s="427"/>
      <c r="IHD39" s="424"/>
      <c r="IHE39" s="427"/>
      <c r="IHF39" s="424"/>
      <c r="IHG39" s="427"/>
      <c r="IHH39" s="424"/>
      <c r="IHI39" s="427"/>
      <c r="IHJ39" s="424"/>
      <c r="IHK39" s="427"/>
      <c r="IHL39" s="424"/>
      <c r="IHM39" s="427"/>
      <c r="IHN39" s="424"/>
      <c r="IHO39" s="427"/>
      <c r="IHP39" s="424"/>
      <c r="IHQ39" s="427"/>
      <c r="IHR39" s="424"/>
      <c r="IHS39" s="427"/>
      <c r="IHT39" s="424"/>
      <c r="IHU39" s="427"/>
      <c r="IHV39" s="424"/>
      <c r="IHW39" s="427"/>
      <c r="IHX39" s="424"/>
      <c r="IHY39" s="427"/>
      <c r="IHZ39" s="424"/>
      <c r="IIA39" s="427"/>
      <c r="IIB39" s="424"/>
      <c r="IIC39" s="427"/>
      <c r="IID39" s="424"/>
      <c r="IIE39" s="427"/>
      <c r="IIF39" s="424"/>
      <c r="IIG39" s="427"/>
      <c r="IIH39" s="424"/>
      <c r="III39" s="427"/>
      <c r="IIJ39" s="424"/>
      <c r="IIK39" s="427"/>
      <c r="IIL39" s="424"/>
      <c r="IIM39" s="427"/>
      <c r="IIN39" s="424"/>
      <c r="IIO39" s="427"/>
      <c r="IIP39" s="424"/>
      <c r="IIQ39" s="427"/>
      <c r="IIR39" s="424"/>
      <c r="IIS39" s="427"/>
      <c r="IIT39" s="424"/>
      <c r="IIU39" s="427"/>
      <c r="IIV39" s="424"/>
      <c r="IIW39" s="427"/>
      <c r="IIX39" s="424"/>
      <c r="IIY39" s="427"/>
      <c r="IIZ39" s="424"/>
      <c r="IJA39" s="427"/>
      <c r="IJB39" s="424"/>
      <c r="IJC39" s="427"/>
      <c r="IJD39" s="424"/>
      <c r="IJE39" s="427"/>
      <c r="IJF39" s="424"/>
      <c r="IJG39" s="427"/>
      <c r="IJH39" s="424"/>
      <c r="IJI39" s="427"/>
      <c r="IJJ39" s="424"/>
      <c r="IJK39" s="427"/>
      <c r="IJL39" s="424"/>
      <c r="IJM39" s="427"/>
      <c r="IJN39" s="424"/>
      <c r="IJO39" s="427"/>
      <c r="IJP39" s="424"/>
      <c r="IJQ39" s="427"/>
      <c r="IJR39" s="424"/>
      <c r="IJS39" s="427"/>
      <c r="IJT39" s="424"/>
      <c r="IJU39" s="427"/>
      <c r="IJV39" s="424"/>
      <c r="IJW39" s="427"/>
      <c r="IJX39" s="424"/>
      <c r="IJY39" s="427"/>
      <c r="IJZ39" s="424"/>
      <c r="IKA39" s="427"/>
      <c r="IKB39" s="424"/>
      <c r="IKC39" s="427"/>
      <c r="IKD39" s="424"/>
      <c r="IKE39" s="427"/>
      <c r="IKF39" s="424"/>
      <c r="IKG39" s="427"/>
      <c r="IKH39" s="424"/>
      <c r="IKI39" s="427"/>
      <c r="IKJ39" s="424"/>
      <c r="IKK39" s="427"/>
      <c r="IKL39" s="424"/>
      <c r="IKM39" s="427"/>
      <c r="IKN39" s="424"/>
      <c r="IKO39" s="427"/>
      <c r="IKP39" s="424"/>
      <c r="IKQ39" s="427"/>
      <c r="IKR39" s="424"/>
      <c r="IKS39" s="427"/>
      <c r="IKT39" s="424"/>
      <c r="IKU39" s="427"/>
      <c r="IKV39" s="424"/>
      <c r="IKW39" s="427"/>
      <c r="IKX39" s="424"/>
      <c r="IKY39" s="427"/>
      <c r="IKZ39" s="424"/>
      <c r="ILA39" s="427"/>
      <c r="ILB39" s="424"/>
      <c r="ILC39" s="427"/>
      <c r="ILD39" s="424"/>
      <c r="ILE39" s="427"/>
      <c r="ILF39" s="424"/>
      <c r="ILG39" s="427"/>
      <c r="ILH39" s="424"/>
      <c r="ILI39" s="427"/>
      <c r="ILJ39" s="424"/>
      <c r="ILK39" s="427"/>
      <c r="ILL39" s="424"/>
      <c r="ILM39" s="427"/>
      <c r="ILN39" s="424"/>
      <c r="ILO39" s="427"/>
      <c r="ILP39" s="424"/>
      <c r="ILQ39" s="427"/>
      <c r="ILR39" s="424"/>
      <c r="ILS39" s="427"/>
      <c r="ILT39" s="424"/>
      <c r="ILU39" s="427"/>
      <c r="ILV39" s="424"/>
      <c r="ILW39" s="427"/>
      <c r="ILX39" s="424"/>
      <c r="ILY39" s="427"/>
      <c r="ILZ39" s="424"/>
      <c r="IMA39" s="427"/>
      <c r="IMB39" s="424"/>
      <c r="IMC39" s="427"/>
      <c r="IMD39" s="424"/>
      <c r="IME39" s="427"/>
      <c r="IMF39" s="424"/>
      <c r="IMG39" s="427"/>
      <c r="IMH39" s="424"/>
      <c r="IMI39" s="427"/>
      <c r="IMJ39" s="424"/>
      <c r="IMK39" s="427"/>
      <c r="IML39" s="424"/>
      <c r="IMM39" s="427"/>
      <c r="IMN39" s="424"/>
      <c r="IMO39" s="427"/>
      <c r="IMP39" s="424"/>
      <c r="IMQ39" s="427"/>
      <c r="IMR39" s="424"/>
      <c r="IMS39" s="427"/>
      <c r="IMT39" s="424"/>
      <c r="IMU39" s="427"/>
      <c r="IMV39" s="424"/>
      <c r="IMW39" s="427"/>
      <c r="IMX39" s="424"/>
      <c r="IMY39" s="427"/>
      <c r="IMZ39" s="424"/>
      <c r="INA39" s="427"/>
      <c r="INB39" s="424"/>
      <c r="INC39" s="427"/>
      <c r="IND39" s="424"/>
      <c r="INE39" s="427"/>
      <c r="INF39" s="424"/>
      <c r="ING39" s="427"/>
      <c r="INH39" s="424"/>
      <c r="INI39" s="427"/>
      <c r="INJ39" s="424"/>
      <c r="INK39" s="427"/>
      <c r="INL39" s="424"/>
      <c r="INM39" s="427"/>
      <c r="INN39" s="424"/>
      <c r="INO39" s="427"/>
      <c r="INP39" s="424"/>
      <c r="INQ39" s="427"/>
      <c r="INR39" s="424"/>
      <c r="INS39" s="427"/>
      <c r="INT39" s="424"/>
      <c r="INU39" s="427"/>
      <c r="INV39" s="424"/>
      <c r="INW39" s="427"/>
      <c r="INX39" s="424"/>
      <c r="INY39" s="427"/>
      <c r="INZ39" s="424"/>
      <c r="IOA39" s="427"/>
      <c r="IOB39" s="424"/>
      <c r="IOC39" s="427"/>
      <c r="IOD39" s="424"/>
      <c r="IOE39" s="427"/>
      <c r="IOF39" s="424"/>
      <c r="IOG39" s="427"/>
      <c r="IOH39" s="424"/>
      <c r="IOI39" s="427"/>
      <c r="IOJ39" s="424"/>
      <c r="IOK39" s="427"/>
      <c r="IOL39" s="424"/>
      <c r="IOM39" s="427"/>
      <c r="ION39" s="424"/>
      <c r="IOO39" s="427"/>
      <c r="IOP39" s="424"/>
      <c r="IOQ39" s="427"/>
      <c r="IOR39" s="424"/>
      <c r="IOS39" s="427"/>
      <c r="IOT39" s="424"/>
      <c r="IOU39" s="427"/>
      <c r="IOV39" s="424"/>
      <c r="IOW39" s="427"/>
      <c r="IOX39" s="424"/>
      <c r="IOY39" s="427"/>
      <c r="IOZ39" s="424"/>
      <c r="IPA39" s="427"/>
      <c r="IPB39" s="424"/>
      <c r="IPC39" s="427"/>
      <c r="IPD39" s="424"/>
      <c r="IPE39" s="427"/>
      <c r="IPF39" s="424"/>
      <c r="IPG39" s="427"/>
      <c r="IPH39" s="424"/>
      <c r="IPI39" s="427"/>
      <c r="IPJ39" s="424"/>
      <c r="IPK39" s="427"/>
      <c r="IPL39" s="424"/>
      <c r="IPM39" s="427"/>
      <c r="IPN39" s="424"/>
      <c r="IPO39" s="427"/>
      <c r="IPP39" s="424"/>
      <c r="IPQ39" s="427"/>
      <c r="IPR39" s="424"/>
      <c r="IPS39" s="427"/>
      <c r="IPT39" s="424"/>
      <c r="IPU39" s="427"/>
      <c r="IPV39" s="424"/>
      <c r="IPW39" s="427"/>
      <c r="IPX39" s="424"/>
      <c r="IPY39" s="427"/>
      <c r="IPZ39" s="424"/>
      <c r="IQA39" s="427"/>
      <c r="IQB39" s="424"/>
      <c r="IQC39" s="427"/>
      <c r="IQD39" s="424"/>
      <c r="IQE39" s="427"/>
      <c r="IQF39" s="424"/>
      <c r="IQG39" s="427"/>
      <c r="IQH39" s="424"/>
      <c r="IQI39" s="427"/>
      <c r="IQJ39" s="424"/>
      <c r="IQK39" s="427"/>
      <c r="IQL39" s="424"/>
      <c r="IQM39" s="427"/>
      <c r="IQN39" s="424"/>
      <c r="IQO39" s="427"/>
      <c r="IQP39" s="424"/>
      <c r="IQQ39" s="427"/>
      <c r="IQR39" s="424"/>
      <c r="IQS39" s="427"/>
      <c r="IQT39" s="424"/>
      <c r="IQU39" s="427"/>
      <c r="IQV39" s="424"/>
      <c r="IQW39" s="427"/>
      <c r="IQX39" s="424"/>
      <c r="IQY39" s="427"/>
      <c r="IQZ39" s="424"/>
      <c r="IRA39" s="427"/>
      <c r="IRB39" s="424"/>
      <c r="IRC39" s="427"/>
      <c r="IRD39" s="424"/>
      <c r="IRE39" s="427"/>
      <c r="IRF39" s="424"/>
      <c r="IRG39" s="427"/>
      <c r="IRH39" s="424"/>
      <c r="IRI39" s="427"/>
      <c r="IRJ39" s="424"/>
      <c r="IRK39" s="427"/>
      <c r="IRL39" s="424"/>
      <c r="IRM39" s="427"/>
      <c r="IRN39" s="424"/>
      <c r="IRO39" s="427"/>
      <c r="IRP39" s="424"/>
      <c r="IRQ39" s="427"/>
      <c r="IRR39" s="424"/>
      <c r="IRS39" s="427"/>
      <c r="IRT39" s="424"/>
      <c r="IRU39" s="427"/>
      <c r="IRV39" s="424"/>
      <c r="IRW39" s="427"/>
      <c r="IRX39" s="424"/>
      <c r="IRY39" s="427"/>
      <c r="IRZ39" s="424"/>
      <c r="ISA39" s="427"/>
      <c r="ISB39" s="424"/>
      <c r="ISC39" s="427"/>
      <c r="ISD39" s="424"/>
      <c r="ISE39" s="427"/>
      <c r="ISF39" s="424"/>
      <c r="ISG39" s="427"/>
      <c r="ISH39" s="424"/>
      <c r="ISI39" s="427"/>
      <c r="ISJ39" s="424"/>
      <c r="ISK39" s="427"/>
      <c r="ISL39" s="424"/>
      <c r="ISM39" s="427"/>
      <c r="ISN39" s="424"/>
      <c r="ISO39" s="427"/>
      <c r="ISP39" s="424"/>
      <c r="ISQ39" s="427"/>
      <c r="ISR39" s="424"/>
      <c r="ISS39" s="427"/>
      <c r="IST39" s="424"/>
      <c r="ISU39" s="427"/>
      <c r="ISV39" s="424"/>
      <c r="ISW39" s="427"/>
      <c r="ISX39" s="424"/>
      <c r="ISY39" s="427"/>
      <c r="ISZ39" s="424"/>
      <c r="ITA39" s="427"/>
      <c r="ITB39" s="424"/>
      <c r="ITC39" s="427"/>
      <c r="ITD39" s="424"/>
      <c r="ITE39" s="427"/>
      <c r="ITF39" s="424"/>
      <c r="ITG39" s="427"/>
      <c r="ITH39" s="424"/>
      <c r="ITI39" s="427"/>
      <c r="ITJ39" s="424"/>
      <c r="ITK39" s="427"/>
      <c r="ITL39" s="424"/>
      <c r="ITM39" s="427"/>
      <c r="ITN39" s="424"/>
      <c r="ITO39" s="427"/>
      <c r="ITP39" s="424"/>
      <c r="ITQ39" s="427"/>
      <c r="ITR39" s="424"/>
      <c r="ITS39" s="427"/>
      <c r="ITT39" s="424"/>
      <c r="ITU39" s="427"/>
      <c r="ITV39" s="424"/>
      <c r="ITW39" s="427"/>
      <c r="ITX39" s="424"/>
      <c r="ITY39" s="427"/>
      <c r="ITZ39" s="424"/>
      <c r="IUA39" s="427"/>
      <c r="IUB39" s="424"/>
      <c r="IUC39" s="427"/>
      <c r="IUD39" s="424"/>
      <c r="IUE39" s="427"/>
      <c r="IUF39" s="424"/>
      <c r="IUG39" s="427"/>
      <c r="IUH39" s="424"/>
      <c r="IUI39" s="427"/>
      <c r="IUJ39" s="424"/>
      <c r="IUK39" s="427"/>
      <c r="IUL39" s="424"/>
      <c r="IUM39" s="427"/>
      <c r="IUN39" s="424"/>
      <c r="IUO39" s="427"/>
      <c r="IUP39" s="424"/>
      <c r="IUQ39" s="427"/>
      <c r="IUR39" s="424"/>
      <c r="IUS39" s="427"/>
      <c r="IUT39" s="424"/>
      <c r="IUU39" s="427"/>
      <c r="IUV39" s="424"/>
      <c r="IUW39" s="427"/>
      <c r="IUX39" s="424"/>
      <c r="IUY39" s="427"/>
      <c r="IUZ39" s="424"/>
      <c r="IVA39" s="427"/>
      <c r="IVB39" s="424"/>
      <c r="IVC39" s="427"/>
      <c r="IVD39" s="424"/>
      <c r="IVE39" s="427"/>
      <c r="IVF39" s="424"/>
      <c r="IVG39" s="427"/>
      <c r="IVH39" s="424"/>
      <c r="IVI39" s="427"/>
      <c r="IVJ39" s="424"/>
      <c r="IVK39" s="427"/>
      <c r="IVL39" s="424"/>
      <c r="IVM39" s="427"/>
      <c r="IVN39" s="424"/>
      <c r="IVO39" s="427"/>
      <c r="IVP39" s="424"/>
      <c r="IVQ39" s="427"/>
      <c r="IVR39" s="424"/>
      <c r="IVS39" s="427"/>
      <c r="IVT39" s="424"/>
      <c r="IVU39" s="427"/>
      <c r="IVV39" s="424"/>
      <c r="IVW39" s="427"/>
      <c r="IVX39" s="424"/>
      <c r="IVY39" s="427"/>
      <c r="IVZ39" s="424"/>
      <c r="IWA39" s="427"/>
      <c r="IWB39" s="424"/>
      <c r="IWC39" s="427"/>
      <c r="IWD39" s="424"/>
      <c r="IWE39" s="427"/>
      <c r="IWF39" s="424"/>
      <c r="IWG39" s="427"/>
      <c r="IWH39" s="424"/>
      <c r="IWI39" s="427"/>
      <c r="IWJ39" s="424"/>
      <c r="IWK39" s="427"/>
      <c r="IWL39" s="424"/>
      <c r="IWM39" s="427"/>
      <c r="IWN39" s="424"/>
      <c r="IWO39" s="427"/>
      <c r="IWP39" s="424"/>
      <c r="IWQ39" s="427"/>
      <c r="IWR39" s="424"/>
      <c r="IWS39" s="427"/>
      <c r="IWT39" s="424"/>
      <c r="IWU39" s="427"/>
      <c r="IWV39" s="424"/>
      <c r="IWW39" s="427"/>
      <c r="IWX39" s="424"/>
      <c r="IWY39" s="427"/>
      <c r="IWZ39" s="424"/>
      <c r="IXA39" s="427"/>
      <c r="IXB39" s="424"/>
      <c r="IXC39" s="427"/>
      <c r="IXD39" s="424"/>
      <c r="IXE39" s="427"/>
      <c r="IXF39" s="424"/>
      <c r="IXG39" s="427"/>
      <c r="IXH39" s="424"/>
      <c r="IXI39" s="427"/>
      <c r="IXJ39" s="424"/>
      <c r="IXK39" s="427"/>
      <c r="IXL39" s="424"/>
      <c r="IXM39" s="427"/>
      <c r="IXN39" s="424"/>
      <c r="IXO39" s="427"/>
      <c r="IXP39" s="424"/>
      <c r="IXQ39" s="427"/>
      <c r="IXR39" s="424"/>
      <c r="IXS39" s="427"/>
      <c r="IXT39" s="424"/>
      <c r="IXU39" s="427"/>
      <c r="IXV39" s="424"/>
      <c r="IXW39" s="427"/>
      <c r="IXX39" s="424"/>
      <c r="IXY39" s="427"/>
      <c r="IXZ39" s="424"/>
      <c r="IYA39" s="427"/>
      <c r="IYB39" s="424"/>
      <c r="IYC39" s="427"/>
      <c r="IYD39" s="424"/>
      <c r="IYE39" s="427"/>
      <c r="IYF39" s="424"/>
      <c r="IYG39" s="427"/>
      <c r="IYH39" s="424"/>
      <c r="IYI39" s="427"/>
      <c r="IYJ39" s="424"/>
      <c r="IYK39" s="427"/>
      <c r="IYL39" s="424"/>
      <c r="IYM39" s="427"/>
      <c r="IYN39" s="424"/>
      <c r="IYO39" s="427"/>
      <c r="IYP39" s="424"/>
      <c r="IYQ39" s="427"/>
      <c r="IYR39" s="424"/>
      <c r="IYS39" s="427"/>
      <c r="IYT39" s="424"/>
      <c r="IYU39" s="427"/>
      <c r="IYV39" s="424"/>
      <c r="IYW39" s="427"/>
      <c r="IYX39" s="424"/>
      <c r="IYY39" s="427"/>
      <c r="IYZ39" s="424"/>
      <c r="IZA39" s="427"/>
      <c r="IZB39" s="424"/>
      <c r="IZC39" s="427"/>
      <c r="IZD39" s="424"/>
      <c r="IZE39" s="427"/>
      <c r="IZF39" s="424"/>
      <c r="IZG39" s="427"/>
      <c r="IZH39" s="424"/>
      <c r="IZI39" s="427"/>
      <c r="IZJ39" s="424"/>
      <c r="IZK39" s="427"/>
      <c r="IZL39" s="424"/>
      <c r="IZM39" s="427"/>
      <c r="IZN39" s="424"/>
      <c r="IZO39" s="427"/>
      <c r="IZP39" s="424"/>
      <c r="IZQ39" s="427"/>
      <c r="IZR39" s="424"/>
      <c r="IZS39" s="427"/>
      <c r="IZT39" s="424"/>
      <c r="IZU39" s="427"/>
      <c r="IZV39" s="424"/>
      <c r="IZW39" s="427"/>
      <c r="IZX39" s="424"/>
      <c r="IZY39" s="427"/>
      <c r="IZZ39" s="424"/>
      <c r="JAA39" s="427"/>
      <c r="JAB39" s="424"/>
      <c r="JAC39" s="427"/>
      <c r="JAD39" s="424"/>
      <c r="JAE39" s="427"/>
      <c r="JAF39" s="424"/>
      <c r="JAG39" s="427"/>
      <c r="JAH39" s="424"/>
      <c r="JAI39" s="427"/>
      <c r="JAJ39" s="424"/>
      <c r="JAK39" s="427"/>
      <c r="JAL39" s="424"/>
      <c r="JAM39" s="427"/>
      <c r="JAN39" s="424"/>
      <c r="JAO39" s="427"/>
      <c r="JAP39" s="424"/>
      <c r="JAQ39" s="427"/>
      <c r="JAR39" s="424"/>
      <c r="JAS39" s="427"/>
      <c r="JAT39" s="424"/>
      <c r="JAU39" s="427"/>
      <c r="JAV39" s="424"/>
      <c r="JAW39" s="427"/>
      <c r="JAX39" s="424"/>
      <c r="JAY39" s="427"/>
      <c r="JAZ39" s="424"/>
      <c r="JBA39" s="427"/>
      <c r="JBB39" s="424"/>
      <c r="JBC39" s="427"/>
      <c r="JBD39" s="424"/>
      <c r="JBE39" s="427"/>
      <c r="JBF39" s="424"/>
      <c r="JBG39" s="427"/>
      <c r="JBH39" s="424"/>
      <c r="JBI39" s="427"/>
      <c r="JBJ39" s="424"/>
      <c r="JBK39" s="427"/>
      <c r="JBL39" s="424"/>
      <c r="JBM39" s="427"/>
      <c r="JBN39" s="424"/>
      <c r="JBO39" s="427"/>
      <c r="JBP39" s="424"/>
      <c r="JBQ39" s="427"/>
      <c r="JBR39" s="424"/>
      <c r="JBS39" s="427"/>
      <c r="JBT39" s="424"/>
      <c r="JBU39" s="427"/>
      <c r="JBV39" s="424"/>
      <c r="JBW39" s="427"/>
      <c r="JBX39" s="424"/>
      <c r="JBY39" s="427"/>
      <c r="JBZ39" s="424"/>
      <c r="JCA39" s="427"/>
      <c r="JCB39" s="424"/>
      <c r="JCC39" s="427"/>
      <c r="JCD39" s="424"/>
      <c r="JCE39" s="427"/>
      <c r="JCF39" s="424"/>
      <c r="JCG39" s="427"/>
      <c r="JCH39" s="424"/>
      <c r="JCI39" s="427"/>
      <c r="JCJ39" s="424"/>
      <c r="JCK39" s="427"/>
      <c r="JCL39" s="424"/>
      <c r="JCM39" s="427"/>
      <c r="JCN39" s="424"/>
      <c r="JCO39" s="427"/>
      <c r="JCP39" s="424"/>
      <c r="JCQ39" s="427"/>
      <c r="JCR39" s="424"/>
      <c r="JCS39" s="427"/>
      <c r="JCT39" s="424"/>
      <c r="JCU39" s="427"/>
      <c r="JCV39" s="424"/>
      <c r="JCW39" s="427"/>
      <c r="JCX39" s="424"/>
      <c r="JCY39" s="427"/>
      <c r="JCZ39" s="424"/>
      <c r="JDA39" s="427"/>
      <c r="JDB39" s="424"/>
      <c r="JDC39" s="427"/>
      <c r="JDD39" s="424"/>
      <c r="JDE39" s="427"/>
      <c r="JDF39" s="424"/>
      <c r="JDG39" s="427"/>
      <c r="JDH39" s="424"/>
      <c r="JDI39" s="427"/>
      <c r="JDJ39" s="424"/>
      <c r="JDK39" s="427"/>
      <c r="JDL39" s="424"/>
      <c r="JDM39" s="427"/>
      <c r="JDN39" s="424"/>
      <c r="JDO39" s="427"/>
      <c r="JDP39" s="424"/>
      <c r="JDQ39" s="427"/>
      <c r="JDR39" s="424"/>
      <c r="JDS39" s="427"/>
      <c r="JDT39" s="424"/>
      <c r="JDU39" s="427"/>
      <c r="JDV39" s="424"/>
      <c r="JDW39" s="427"/>
      <c r="JDX39" s="424"/>
      <c r="JDY39" s="427"/>
      <c r="JDZ39" s="424"/>
      <c r="JEA39" s="427"/>
      <c r="JEB39" s="424"/>
      <c r="JEC39" s="427"/>
      <c r="JED39" s="424"/>
      <c r="JEE39" s="427"/>
      <c r="JEF39" s="424"/>
      <c r="JEG39" s="427"/>
      <c r="JEH39" s="424"/>
      <c r="JEI39" s="427"/>
      <c r="JEJ39" s="424"/>
      <c r="JEK39" s="427"/>
      <c r="JEL39" s="424"/>
      <c r="JEM39" s="427"/>
      <c r="JEN39" s="424"/>
      <c r="JEO39" s="427"/>
      <c r="JEP39" s="424"/>
      <c r="JEQ39" s="427"/>
      <c r="JER39" s="424"/>
      <c r="JES39" s="427"/>
      <c r="JET39" s="424"/>
      <c r="JEU39" s="427"/>
      <c r="JEV39" s="424"/>
      <c r="JEW39" s="427"/>
      <c r="JEX39" s="424"/>
      <c r="JEY39" s="427"/>
      <c r="JEZ39" s="424"/>
      <c r="JFA39" s="427"/>
      <c r="JFB39" s="424"/>
      <c r="JFC39" s="427"/>
      <c r="JFD39" s="424"/>
      <c r="JFE39" s="427"/>
      <c r="JFF39" s="424"/>
      <c r="JFG39" s="427"/>
      <c r="JFH39" s="424"/>
      <c r="JFI39" s="427"/>
      <c r="JFJ39" s="424"/>
      <c r="JFK39" s="427"/>
      <c r="JFL39" s="424"/>
      <c r="JFM39" s="427"/>
      <c r="JFN39" s="424"/>
      <c r="JFO39" s="427"/>
      <c r="JFP39" s="424"/>
      <c r="JFQ39" s="427"/>
      <c r="JFR39" s="424"/>
      <c r="JFS39" s="427"/>
      <c r="JFT39" s="424"/>
      <c r="JFU39" s="427"/>
      <c r="JFV39" s="424"/>
      <c r="JFW39" s="427"/>
      <c r="JFX39" s="424"/>
      <c r="JFY39" s="427"/>
      <c r="JFZ39" s="424"/>
      <c r="JGA39" s="427"/>
      <c r="JGB39" s="424"/>
      <c r="JGC39" s="427"/>
      <c r="JGD39" s="424"/>
      <c r="JGE39" s="427"/>
      <c r="JGF39" s="424"/>
      <c r="JGG39" s="427"/>
      <c r="JGH39" s="424"/>
      <c r="JGI39" s="427"/>
      <c r="JGJ39" s="424"/>
      <c r="JGK39" s="427"/>
      <c r="JGL39" s="424"/>
      <c r="JGM39" s="427"/>
      <c r="JGN39" s="424"/>
      <c r="JGO39" s="427"/>
      <c r="JGP39" s="424"/>
      <c r="JGQ39" s="427"/>
      <c r="JGR39" s="424"/>
      <c r="JGS39" s="427"/>
      <c r="JGT39" s="424"/>
      <c r="JGU39" s="427"/>
      <c r="JGV39" s="424"/>
      <c r="JGW39" s="427"/>
      <c r="JGX39" s="424"/>
      <c r="JGY39" s="427"/>
      <c r="JGZ39" s="424"/>
      <c r="JHA39" s="427"/>
      <c r="JHB39" s="424"/>
      <c r="JHC39" s="427"/>
      <c r="JHD39" s="424"/>
      <c r="JHE39" s="427"/>
      <c r="JHF39" s="424"/>
      <c r="JHG39" s="427"/>
      <c r="JHH39" s="424"/>
      <c r="JHI39" s="427"/>
      <c r="JHJ39" s="424"/>
      <c r="JHK39" s="427"/>
      <c r="JHL39" s="424"/>
      <c r="JHM39" s="427"/>
      <c r="JHN39" s="424"/>
      <c r="JHO39" s="427"/>
      <c r="JHP39" s="424"/>
      <c r="JHQ39" s="427"/>
      <c r="JHR39" s="424"/>
      <c r="JHS39" s="427"/>
      <c r="JHT39" s="424"/>
      <c r="JHU39" s="427"/>
      <c r="JHV39" s="424"/>
      <c r="JHW39" s="427"/>
      <c r="JHX39" s="424"/>
      <c r="JHY39" s="427"/>
      <c r="JHZ39" s="424"/>
      <c r="JIA39" s="427"/>
      <c r="JIB39" s="424"/>
      <c r="JIC39" s="427"/>
      <c r="JID39" s="424"/>
      <c r="JIE39" s="427"/>
      <c r="JIF39" s="424"/>
      <c r="JIG39" s="427"/>
      <c r="JIH39" s="424"/>
      <c r="JII39" s="427"/>
      <c r="JIJ39" s="424"/>
      <c r="JIK39" s="427"/>
      <c r="JIL39" s="424"/>
      <c r="JIM39" s="427"/>
      <c r="JIN39" s="424"/>
      <c r="JIO39" s="427"/>
      <c r="JIP39" s="424"/>
      <c r="JIQ39" s="427"/>
      <c r="JIR39" s="424"/>
      <c r="JIS39" s="427"/>
      <c r="JIT39" s="424"/>
      <c r="JIU39" s="427"/>
      <c r="JIV39" s="424"/>
      <c r="JIW39" s="427"/>
      <c r="JIX39" s="424"/>
      <c r="JIY39" s="427"/>
      <c r="JIZ39" s="424"/>
      <c r="JJA39" s="427"/>
      <c r="JJB39" s="424"/>
      <c r="JJC39" s="427"/>
      <c r="JJD39" s="424"/>
      <c r="JJE39" s="427"/>
      <c r="JJF39" s="424"/>
      <c r="JJG39" s="427"/>
      <c r="JJH39" s="424"/>
      <c r="JJI39" s="427"/>
      <c r="JJJ39" s="424"/>
      <c r="JJK39" s="427"/>
      <c r="JJL39" s="424"/>
      <c r="JJM39" s="427"/>
      <c r="JJN39" s="424"/>
      <c r="JJO39" s="427"/>
      <c r="JJP39" s="424"/>
      <c r="JJQ39" s="427"/>
      <c r="JJR39" s="424"/>
      <c r="JJS39" s="427"/>
      <c r="JJT39" s="424"/>
      <c r="JJU39" s="427"/>
      <c r="JJV39" s="424"/>
      <c r="JJW39" s="427"/>
      <c r="JJX39" s="424"/>
      <c r="JJY39" s="427"/>
      <c r="JJZ39" s="424"/>
      <c r="JKA39" s="427"/>
      <c r="JKB39" s="424"/>
      <c r="JKC39" s="427"/>
      <c r="JKD39" s="424"/>
      <c r="JKE39" s="427"/>
      <c r="JKF39" s="424"/>
      <c r="JKG39" s="427"/>
      <c r="JKH39" s="424"/>
      <c r="JKI39" s="427"/>
      <c r="JKJ39" s="424"/>
      <c r="JKK39" s="427"/>
      <c r="JKL39" s="424"/>
      <c r="JKM39" s="427"/>
      <c r="JKN39" s="424"/>
      <c r="JKO39" s="427"/>
      <c r="JKP39" s="424"/>
      <c r="JKQ39" s="427"/>
      <c r="JKR39" s="424"/>
      <c r="JKS39" s="427"/>
      <c r="JKT39" s="424"/>
      <c r="JKU39" s="427"/>
      <c r="JKV39" s="424"/>
      <c r="JKW39" s="427"/>
      <c r="JKX39" s="424"/>
      <c r="JKY39" s="427"/>
      <c r="JKZ39" s="424"/>
      <c r="JLA39" s="427"/>
      <c r="JLB39" s="424"/>
      <c r="JLC39" s="427"/>
      <c r="JLD39" s="424"/>
      <c r="JLE39" s="427"/>
      <c r="JLF39" s="424"/>
      <c r="JLG39" s="427"/>
      <c r="JLH39" s="424"/>
      <c r="JLI39" s="427"/>
      <c r="JLJ39" s="424"/>
      <c r="JLK39" s="427"/>
      <c r="JLL39" s="424"/>
      <c r="JLM39" s="427"/>
      <c r="JLN39" s="424"/>
      <c r="JLO39" s="427"/>
      <c r="JLP39" s="424"/>
      <c r="JLQ39" s="427"/>
      <c r="JLR39" s="424"/>
      <c r="JLS39" s="427"/>
      <c r="JLT39" s="424"/>
      <c r="JLU39" s="427"/>
      <c r="JLV39" s="424"/>
      <c r="JLW39" s="427"/>
      <c r="JLX39" s="424"/>
      <c r="JLY39" s="427"/>
      <c r="JLZ39" s="424"/>
      <c r="JMA39" s="427"/>
      <c r="JMB39" s="424"/>
      <c r="JMC39" s="427"/>
      <c r="JMD39" s="424"/>
      <c r="JME39" s="427"/>
      <c r="JMF39" s="424"/>
      <c r="JMG39" s="427"/>
      <c r="JMH39" s="424"/>
      <c r="JMI39" s="427"/>
      <c r="JMJ39" s="424"/>
      <c r="JMK39" s="427"/>
      <c r="JML39" s="424"/>
      <c r="JMM39" s="427"/>
      <c r="JMN39" s="424"/>
      <c r="JMO39" s="427"/>
      <c r="JMP39" s="424"/>
      <c r="JMQ39" s="427"/>
      <c r="JMR39" s="424"/>
      <c r="JMS39" s="427"/>
      <c r="JMT39" s="424"/>
      <c r="JMU39" s="427"/>
      <c r="JMV39" s="424"/>
      <c r="JMW39" s="427"/>
      <c r="JMX39" s="424"/>
      <c r="JMY39" s="427"/>
      <c r="JMZ39" s="424"/>
      <c r="JNA39" s="427"/>
      <c r="JNB39" s="424"/>
      <c r="JNC39" s="427"/>
      <c r="JND39" s="424"/>
      <c r="JNE39" s="427"/>
      <c r="JNF39" s="424"/>
      <c r="JNG39" s="427"/>
      <c r="JNH39" s="424"/>
      <c r="JNI39" s="427"/>
      <c r="JNJ39" s="424"/>
      <c r="JNK39" s="427"/>
      <c r="JNL39" s="424"/>
      <c r="JNM39" s="427"/>
      <c r="JNN39" s="424"/>
      <c r="JNO39" s="427"/>
      <c r="JNP39" s="424"/>
      <c r="JNQ39" s="427"/>
      <c r="JNR39" s="424"/>
      <c r="JNS39" s="427"/>
      <c r="JNT39" s="424"/>
      <c r="JNU39" s="427"/>
      <c r="JNV39" s="424"/>
      <c r="JNW39" s="427"/>
      <c r="JNX39" s="424"/>
      <c r="JNY39" s="427"/>
      <c r="JNZ39" s="424"/>
      <c r="JOA39" s="427"/>
      <c r="JOB39" s="424"/>
      <c r="JOC39" s="427"/>
      <c r="JOD39" s="424"/>
      <c r="JOE39" s="427"/>
      <c r="JOF39" s="424"/>
      <c r="JOG39" s="427"/>
      <c r="JOH39" s="424"/>
      <c r="JOI39" s="427"/>
      <c r="JOJ39" s="424"/>
      <c r="JOK39" s="427"/>
      <c r="JOL39" s="424"/>
      <c r="JOM39" s="427"/>
      <c r="JON39" s="424"/>
      <c r="JOO39" s="427"/>
      <c r="JOP39" s="424"/>
      <c r="JOQ39" s="427"/>
      <c r="JOR39" s="424"/>
      <c r="JOS39" s="427"/>
      <c r="JOT39" s="424"/>
      <c r="JOU39" s="427"/>
      <c r="JOV39" s="424"/>
      <c r="JOW39" s="427"/>
      <c r="JOX39" s="424"/>
      <c r="JOY39" s="427"/>
      <c r="JOZ39" s="424"/>
      <c r="JPA39" s="427"/>
      <c r="JPB39" s="424"/>
      <c r="JPC39" s="427"/>
      <c r="JPD39" s="424"/>
      <c r="JPE39" s="427"/>
      <c r="JPF39" s="424"/>
      <c r="JPG39" s="427"/>
      <c r="JPH39" s="424"/>
      <c r="JPI39" s="427"/>
      <c r="JPJ39" s="424"/>
      <c r="JPK39" s="427"/>
      <c r="JPL39" s="424"/>
      <c r="JPM39" s="427"/>
      <c r="JPN39" s="424"/>
      <c r="JPO39" s="427"/>
      <c r="JPP39" s="424"/>
      <c r="JPQ39" s="427"/>
      <c r="JPR39" s="424"/>
      <c r="JPS39" s="427"/>
      <c r="JPT39" s="424"/>
      <c r="JPU39" s="427"/>
      <c r="JPV39" s="424"/>
      <c r="JPW39" s="427"/>
      <c r="JPX39" s="424"/>
      <c r="JPY39" s="427"/>
      <c r="JPZ39" s="424"/>
      <c r="JQA39" s="427"/>
      <c r="JQB39" s="424"/>
      <c r="JQC39" s="427"/>
      <c r="JQD39" s="424"/>
      <c r="JQE39" s="427"/>
      <c r="JQF39" s="424"/>
      <c r="JQG39" s="427"/>
      <c r="JQH39" s="424"/>
      <c r="JQI39" s="427"/>
      <c r="JQJ39" s="424"/>
      <c r="JQK39" s="427"/>
      <c r="JQL39" s="424"/>
      <c r="JQM39" s="427"/>
      <c r="JQN39" s="424"/>
      <c r="JQO39" s="427"/>
      <c r="JQP39" s="424"/>
      <c r="JQQ39" s="427"/>
      <c r="JQR39" s="424"/>
      <c r="JQS39" s="427"/>
      <c r="JQT39" s="424"/>
      <c r="JQU39" s="427"/>
      <c r="JQV39" s="424"/>
      <c r="JQW39" s="427"/>
      <c r="JQX39" s="424"/>
      <c r="JQY39" s="427"/>
      <c r="JQZ39" s="424"/>
      <c r="JRA39" s="427"/>
      <c r="JRB39" s="424"/>
      <c r="JRC39" s="427"/>
      <c r="JRD39" s="424"/>
      <c r="JRE39" s="427"/>
      <c r="JRF39" s="424"/>
      <c r="JRG39" s="427"/>
      <c r="JRH39" s="424"/>
      <c r="JRI39" s="427"/>
      <c r="JRJ39" s="424"/>
      <c r="JRK39" s="427"/>
      <c r="JRL39" s="424"/>
      <c r="JRM39" s="427"/>
      <c r="JRN39" s="424"/>
      <c r="JRO39" s="427"/>
      <c r="JRP39" s="424"/>
      <c r="JRQ39" s="427"/>
      <c r="JRR39" s="424"/>
      <c r="JRS39" s="427"/>
      <c r="JRT39" s="424"/>
      <c r="JRU39" s="427"/>
      <c r="JRV39" s="424"/>
      <c r="JRW39" s="427"/>
      <c r="JRX39" s="424"/>
      <c r="JRY39" s="427"/>
      <c r="JRZ39" s="424"/>
      <c r="JSA39" s="427"/>
      <c r="JSB39" s="424"/>
      <c r="JSC39" s="427"/>
      <c r="JSD39" s="424"/>
      <c r="JSE39" s="427"/>
      <c r="JSF39" s="424"/>
      <c r="JSG39" s="427"/>
      <c r="JSH39" s="424"/>
      <c r="JSI39" s="427"/>
      <c r="JSJ39" s="424"/>
      <c r="JSK39" s="427"/>
      <c r="JSL39" s="424"/>
      <c r="JSM39" s="427"/>
      <c r="JSN39" s="424"/>
      <c r="JSO39" s="427"/>
      <c r="JSP39" s="424"/>
      <c r="JSQ39" s="427"/>
      <c r="JSR39" s="424"/>
      <c r="JSS39" s="427"/>
      <c r="JST39" s="424"/>
      <c r="JSU39" s="427"/>
      <c r="JSV39" s="424"/>
      <c r="JSW39" s="427"/>
      <c r="JSX39" s="424"/>
      <c r="JSY39" s="427"/>
      <c r="JSZ39" s="424"/>
      <c r="JTA39" s="427"/>
      <c r="JTB39" s="424"/>
      <c r="JTC39" s="427"/>
      <c r="JTD39" s="424"/>
      <c r="JTE39" s="427"/>
      <c r="JTF39" s="424"/>
      <c r="JTG39" s="427"/>
      <c r="JTH39" s="424"/>
      <c r="JTI39" s="427"/>
      <c r="JTJ39" s="424"/>
      <c r="JTK39" s="427"/>
      <c r="JTL39" s="424"/>
      <c r="JTM39" s="427"/>
      <c r="JTN39" s="424"/>
      <c r="JTO39" s="427"/>
      <c r="JTP39" s="424"/>
      <c r="JTQ39" s="427"/>
      <c r="JTR39" s="424"/>
      <c r="JTS39" s="427"/>
      <c r="JTT39" s="424"/>
      <c r="JTU39" s="427"/>
      <c r="JTV39" s="424"/>
      <c r="JTW39" s="427"/>
      <c r="JTX39" s="424"/>
      <c r="JTY39" s="427"/>
      <c r="JTZ39" s="424"/>
      <c r="JUA39" s="427"/>
      <c r="JUB39" s="424"/>
      <c r="JUC39" s="427"/>
      <c r="JUD39" s="424"/>
      <c r="JUE39" s="427"/>
      <c r="JUF39" s="424"/>
      <c r="JUG39" s="427"/>
      <c r="JUH39" s="424"/>
      <c r="JUI39" s="427"/>
      <c r="JUJ39" s="424"/>
      <c r="JUK39" s="427"/>
      <c r="JUL39" s="424"/>
      <c r="JUM39" s="427"/>
      <c r="JUN39" s="424"/>
      <c r="JUO39" s="427"/>
      <c r="JUP39" s="424"/>
      <c r="JUQ39" s="427"/>
      <c r="JUR39" s="424"/>
      <c r="JUS39" s="427"/>
      <c r="JUT39" s="424"/>
      <c r="JUU39" s="427"/>
      <c r="JUV39" s="424"/>
      <c r="JUW39" s="427"/>
      <c r="JUX39" s="424"/>
      <c r="JUY39" s="427"/>
      <c r="JUZ39" s="424"/>
      <c r="JVA39" s="427"/>
      <c r="JVB39" s="424"/>
      <c r="JVC39" s="427"/>
      <c r="JVD39" s="424"/>
      <c r="JVE39" s="427"/>
      <c r="JVF39" s="424"/>
      <c r="JVG39" s="427"/>
      <c r="JVH39" s="424"/>
      <c r="JVI39" s="427"/>
      <c r="JVJ39" s="424"/>
      <c r="JVK39" s="427"/>
      <c r="JVL39" s="424"/>
      <c r="JVM39" s="427"/>
      <c r="JVN39" s="424"/>
      <c r="JVO39" s="427"/>
      <c r="JVP39" s="424"/>
      <c r="JVQ39" s="427"/>
      <c r="JVR39" s="424"/>
      <c r="JVS39" s="427"/>
      <c r="JVT39" s="424"/>
      <c r="JVU39" s="427"/>
      <c r="JVV39" s="424"/>
      <c r="JVW39" s="427"/>
      <c r="JVX39" s="424"/>
      <c r="JVY39" s="427"/>
      <c r="JVZ39" s="424"/>
      <c r="JWA39" s="427"/>
      <c r="JWB39" s="424"/>
      <c r="JWC39" s="427"/>
      <c r="JWD39" s="424"/>
      <c r="JWE39" s="427"/>
      <c r="JWF39" s="424"/>
      <c r="JWG39" s="427"/>
      <c r="JWH39" s="424"/>
      <c r="JWI39" s="427"/>
      <c r="JWJ39" s="424"/>
      <c r="JWK39" s="427"/>
      <c r="JWL39" s="424"/>
      <c r="JWM39" s="427"/>
      <c r="JWN39" s="424"/>
      <c r="JWO39" s="427"/>
      <c r="JWP39" s="424"/>
      <c r="JWQ39" s="427"/>
      <c r="JWR39" s="424"/>
      <c r="JWS39" s="427"/>
      <c r="JWT39" s="424"/>
      <c r="JWU39" s="427"/>
      <c r="JWV39" s="424"/>
      <c r="JWW39" s="427"/>
      <c r="JWX39" s="424"/>
      <c r="JWY39" s="427"/>
      <c r="JWZ39" s="424"/>
      <c r="JXA39" s="427"/>
      <c r="JXB39" s="424"/>
      <c r="JXC39" s="427"/>
      <c r="JXD39" s="424"/>
      <c r="JXE39" s="427"/>
      <c r="JXF39" s="424"/>
      <c r="JXG39" s="427"/>
      <c r="JXH39" s="424"/>
      <c r="JXI39" s="427"/>
      <c r="JXJ39" s="424"/>
      <c r="JXK39" s="427"/>
      <c r="JXL39" s="424"/>
      <c r="JXM39" s="427"/>
      <c r="JXN39" s="424"/>
      <c r="JXO39" s="427"/>
      <c r="JXP39" s="424"/>
      <c r="JXQ39" s="427"/>
      <c r="JXR39" s="424"/>
      <c r="JXS39" s="427"/>
      <c r="JXT39" s="424"/>
      <c r="JXU39" s="427"/>
      <c r="JXV39" s="424"/>
      <c r="JXW39" s="427"/>
      <c r="JXX39" s="424"/>
      <c r="JXY39" s="427"/>
      <c r="JXZ39" s="424"/>
      <c r="JYA39" s="427"/>
      <c r="JYB39" s="424"/>
      <c r="JYC39" s="427"/>
      <c r="JYD39" s="424"/>
      <c r="JYE39" s="427"/>
      <c r="JYF39" s="424"/>
      <c r="JYG39" s="427"/>
      <c r="JYH39" s="424"/>
      <c r="JYI39" s="427"/>
      <c r="JYJ39" s="424"/>
      <c r="JYK39" s="427"/>
      <c r="JYL39" s="424"/>
      <c r="JYM39" s="427"/>
      <c r="JYN39" s="424"/>
      <c r="JYO39" s="427"/>
      <c r="JYP39" s="424"/>
      <c r="JYQ39" s="427"/>
      <c r="JYR39" s="424"/>
      <c r="JYS39" s="427"/>
      <c r="JYT39" s="424"/>
      <c r="JYU39" s="427"/>
      <c r="JYV39" s="424"/>
      <c r="JYW39" s="427"/>
      <c r="JYX39" s="424"/>
      <c r="JYY39" s="427"/>
      <c r="JYZ39" s="424"/>
      <c r="JZA39" s="427"/>
      <c r="JZB39" s="424"/>
      <c r="JZC39" s="427"/>
      <c r="JZD39" s="424"/>
      <c r="JZE39" s="427"/>
      <c r="JZF39" s="424"/>
      <c r="JZG39" s="427"/>
      <c r="JZH39" s="424"/>
      <c r="JZI39" s="427"/>
      <c r="JZJ39" s="424"/>
      <c r="JZK39" s="427"/>
      <c r="JZL39" s="424"/>
      <c r="JZM39" s="427"/>
      <c r="JZN39" s="424"/>
      <c r="JZO39" s="427"/>
      <c r="JZP39" s="424"/>
      <c r="JZQ39" s="427"/>
      <c r="JZR39" s="424"/>
      <c r="JZS39" s="427"/>
      <c r="JZT39" s="424"/>
      <c r="JZU39" s="427"/>
      <c r="JZV39" s="424"/>
      <c r="JZW39" s="427"/>
      <c r="JZX39" s="424"/>
      <c r="JZY39" s="427"/>
      <c r="JZZ39" s="424"/>
      <c r="KAA39" s="427"/>
      <c r="KAB39" s="424"/>
      <c r="KAC39" s="427"/>
      <c r="KAD39" s="424"/>
      <c r="KAE39" s="427"/>
      <c r="KAF39" s="424"/>
      <c r="KAG39" s="427"/>
      <c r="KAH39" s="424"/>
      <c r="KAI39" s="427"/>
      <c r="KAJ39" s="424"/>
      <c r="KAK39" s="427"/>
      <c r="KAL39" s="424"/>
      <c r="KAM39" s="427"/>
      <c r="KAN39" s="424"/>
      <c r="KAO39" s="427"/>
      <c r="KAP39" s="424"/>
      <c r="KAQ39" s="427"/>
      <c r="KAR39" s="424"/>
      <c r="KAS39" s="427"/>
      <c r="KAT39" s="424"/>
      <c r="KAU39" s="427"/>
      <c r="KAV39" s="424"/>
      <c r="KAW39" s="427"/>
      <c r="KAX39" s="424"/>
      <c r="KAY39" s="427"/>
      <c r="KAZ39" s="424"/>
      <c r="KBA39" s="427"/>
      <c r="KBB39" s="424"/>
      <c r="KBC39" s="427"/>
      <c r="KBD39" s="424"/>
      <c r="KBE39" s="427"/>
      <c r="KBF39" s="424"/>
      <c r="KBG39" s="427"/>
      <c r="KBH39" s="424"/>
      <c r="KBI39" s="427"/>
      <c r="KBJ39" s="424"/>
      <c r="KBK39" s="427"/>
      <c r="KBL39" s="424"/>
      <c r="KBM39" s="427"/>
      <c r="KBN39" s="424"/>
      <c r="KBO39" s="427"/>
      <c r="KBP39" s="424"/>
      <c r="KBQ39" s="427"/>
      <c r="KBR39" s="424"/>
      <c r="KBS39" s="427"/>
      <c r="KBT39" s="424"/>
      <c r="KBU39" s="427"/>
      <c r="KBV39" s="424"/>
      <c r="KBW39" s="427"/>
      <c r="KBX39" s="424"/>
      <c r="KBY39" s="427"/>
      <c r="KBZ39" s="424"/>
      <c r="KCA39" s="427"/>
      <c r="KCB39" s="424"/>
      <c r="KCC39" s="427"/>
      <c r="KCD39" s="424"/>
      <c r="KCE39" s="427"/>
      <c r="KCF39" s="424"/>
      <c r="KCG39" s="427"/>
      <c r="KCH39" s="424"/>
      <c r="KCI39" s="427"/>
      <c r="KCJ39" s="424"/>
      <c r="KCK39" s="427"/>
      <c r="KCL39" s="424"/>
      <c r="KCM39" s="427"/>
      <c r="KCN39" s="424"/>
      <c r="KCO39" s="427"/>
      <c r="KCP39" s="424"/>
      <c r="KCQ39" s="427"/>
      <c r="KCR39" s="424"/>
      <c r="KCS39" s="427"/>
      <c r="KCT39" s="424"/>
      <c r="KCU39" s="427"/>
      <c r="KCV39" s="424"/>
      <c r="KCW39" s="427"/>
      <c r="KCX39" s="424"/>
      <c r="KCY39" s="427"/>
      <c r="KCZ39" s="424"/>
      <c r="KDA39" s="427"/>
      <c r="KDB39" s="424"/>
      <c r="KDC39" s="427"/>
      <c r="KDD39" s="424"/>
      <c r="KDE39" s="427"/>
      <c r="KDF39" s="424"/>
      <c r="KDG39" s="427"/>
      <c r="KDH39" s="424"/>
      <c r="KDI39" s="427"/>
      <c r="KDJ39" s="424"/>
      <c r="KDK39" s="427"/>
      <c r="KDL39" s="424"/>
      <c r="KDM39" s="427"/>
      <c r="KDN39" s="424"/>
      <c r="KDO39" s="427"/>
      <c r="KDP39" s="424"/>
      <c r="KDQ39" s="427"/>
      <c r="KDR39" s="424"/>
      <c r="KDS39" s="427"/>
      <c r="KDT39" s="424"/>
      <c r="KDU39" s="427"/>
      <c r="KDV39" s="424"/>
      <c r="KDW39" s="427"/>
      <c r="KDX39" s="424"/>
      <c r="KDY39" s="427"/>
      <c r="KDZ39" s="424"/>
      <c r="KEA39" s="427"/>
      <c r="KEB39" s="424"/>
      <c r="KEC39" s="427"/>
      <c r="KED39" s="424"/>
      <c r="KEE39" s="427"/>
      <c r="KEF39" s="424"/>
      <c r="KEG39" s="427"/>
      <c r="KEH39" s="424"/>
      <c r="KEI39" s="427"/>
      <c r="KEJ39" s="424"/>
      <c r="KEK39" s="427"/>
      <c r="KEL39" s="424"/>
      <c r="KEM39" s="427"/>
      <c r="KEN39" s="424"/>
      <c r="KEO39" s="427"/>
      <c r="KEP39" s="424"/>
      <c r="KEQ39" s="427"/>
      <c r="KER39" s="424"/>
      <c r="KES39" s="427"/>
      <c r="KET39" s="424"/>
      <c r="KEU39" s="427"/>
      <c r="KEV39" s="424"/>
      <c r="KEW39" s="427"/>
      <c r="KEX39" s="424"/>
      <c r="KEY39" s="427"/>
      <c r="KEZ39" s="424"/>
      <c r="KFA39" s="427"/>
      <c r="KFB39" s="424"/>
      <c r="KFC39" s="427"/>
      <c r="KFD39" s="424"/>
      <c r="KFE39" s="427"/>
      <c r="KFF39" s="424"/>
      <c r="KFG39" s="427"/>
      <c r="KFH39" s="424"/>
      <c r="KFI39" s="427"/>
      <c r="KFJ39" s="424"/>
      <c r="KFK39" s="427"/>
      <c r="KFL39" s="424"/>
      <c r="KFM39" s="427"/>
      <c r="KFN39" s="424"/>
      <c r="KFO39" s="427"/>
      <c r="KFP39" s="424"/>
      <c r="KFQ39" s="427"/>
      <c r="KFR39" s="424"/>
      <c r="KFS39" s="427"/>
      <c r="KFT39" s="424"/>
      <c r="KFU39" s="427"/>
      <c r="KFV39" s="424"/>
      <c r="KFW39" s="427"/>
      <c r="KFX39" s="424"/>
      <c r="KFY39" s="427"/>
      <c r="KFZ39" s="424"/>
      <c r="KGA39" s="427"/>
      <c r="KGB39" s="424"/>
      <c r="KGC39" s="427"/>
      <c r="KGD39" s="424"/>
      <c r="KGE39" s="427"/>
      <c r="KGF39" s="424"/>
      <c r="KGG39" s="427"/>
      <c r="KGH39" s="424"/>
      <c r="KGI39" s="427"/>
      <c r="KGJ39" s="424"/>
      <c r="KGK39" s="427"/>
      <c r="KGL39" s="424"/>
      <c r="KGM39" s="427"/>
      <c r="KGN39" s="424"/>
      <c r="KGO39" s="427"/>
      <c r="KGP39" s="424"/>
      <c r="KGQ39" s="427"/>
      <c r="KGR39" s="424"/>
      <c r="KGS39" s="427"/>
      <c r="KGT39" s="424"/>
      <c r="KGU39" s="427"/>
      <c r="KGV39" s="424"/>
      <c r="KGW39" s="427"/>
      <c r="KGX39" s="424"/>
      <c r="KGY39" s="427"/>
      <c r="KGZ39" s="424"/>
      <c r="KHA39" s="427"/>
      <c r="KHB39" s="424"/>
      <c r="KHC39" s="427"/>
      <c r="KHD39" s="424"/>
      <c r="KHE39" s="427"/>
      <c r="KHF39" s="424"/>
      <c r="KHG39" s="427"/>
      <c r="KHH39" s="424"/>
      <c r="KHI39" s="427"/>
      <c r="KHJ39" s="424"/>
      <c r="KHK39" s="427"/>
      <c r="KHL39" s="424"/>
      <c r="KHM39" s="427"/>
      <c r="KHN39" s="424"/>
      <c r="KHO39" s="427"/>
      <c r="KHP39" s="424"/>
      <c r="KHQ39" s="427"/>
      <c r="KHR39" s="424"/>
      <c r="KHS39" s="427"/>
      <c r="KHT39" s="424"/>
      <c r="KHU39" s="427"/>
      <c r="KHV39" s="424"/>
      <c r="KHW39" s="427"/>
      <c r="KHX39" s="424"/>
      <c r="KHY39" s="427"/>
      <c r="KHZ39" s="424"/>
      <c r="KIA39" s="427"/>
      <c r="KIB39" s="424"/>
      <c r="KIC39" s="427"/>
      <c r="KID39" s="424"/>
      <c r="KIE39" s="427"/>
      <c r="KIF39" s="424"/>
      <c r="KIG39" s="427"/>
      <c r="KIH39" s="424"/>
      <c r="KII39" s="427"/>
      <c r="KIJ39" s="424"/>
      <c r="KIK39" s="427"/>
      <c r="KIL39" s="424"/>
      <c r="KIM39" s="427"/>
      <c r="KIN39" s="424"/>
      <c r="KIO39" s="427"/>
      <c r="KIP39" s="424"/>
      <c r="KIQ39" s="427"/>
      <c r="KIR39" s="424"/>
      <c r="KIS39" s="427"/>
      <c r="KIT39" s="424"/>
      <c r="KIU39" s="427"/>
      <c r="KIV39" s="424"/>
      <c r="KIW39" s="427"/>
      <c r="KIX39" s="424"/>
      <c r="KIY39" s="427"/>
      <c r="KIZ39" s="424"/>
      <c r="KJA39" s="427"/>
      <c r="KJB39" s="424"/>
      <c r="KJC39" s="427"/>
      <c r="KJD39" s="424"/>
      <c r="KJE39" s="427"/>
      <c r="KJF39" s="424"/>
      <c r="KJG39" s="427"/>
      <c r="KJH39" s="424"/>
      <c r="KJI39" s="427"/>
      <c r="KJJ39" s="424"/>
      <c r="KJK39" s="427"/>
      <c r="KJL39" s="424"/>
      <c r="KJM39" s="427"/>
      <c r="KJN39" s="424"/>
      <c r="KJO39" s="427"/>
      <c r="KJP39" s="424"/>
      <c r="KJQ39" s="427"/>
      <c r="KJR39" s="424"/>
      <c r="KJS39" s="427"/>
      <c r="KJT39" s="424"/>
      <c r="KJU39" s="427"/>
      <c r="KJV39" s="424"/>
      <c r="KJW39" s="427"/>
      <c r="KJX39" s="424"/>
      <c r="KJY39" s="427"/>
      <c r="KJZ39" s="424"/>
      <c r="KKA39" s="427"/>
      <c r="KKB39" s="424"/>
      <c r="KKC39" s="427"/>
      <c r="KKD39" s="424"/>
      <c r="KKE39" s="427"/>
      <c r="KKF39" s="424"/>
      <c r="KKG39" s="427"/>
      <c r="KKH39" s="424"/>
      <c r="KKI39" s="427"/>
      <c r="KKJ39" s="424"/>
      <c r="KKK39" s="427"/>
      <c r="KKL39" s="424"/>
      <c r="KKM39" s="427"/>
      <c r="KKN39" s="424"/>
      <c r="KKO39" s="427"/>
      <c r="KKP39" s="424"/>
      <c r="KKQ39" s="427"/>
      <c r="KKR39" s="424"/>
      <c r="KKS39" s="427"/>
      <c r="KKT39" s="424"/>
      <c r="KKU39" s="427"/>
      <c r="KKV39" s="424"/>
      <c r="KKW39" s="427"/>
      <c r="KKX39" s="424"/>
      <c r="KKY39" s="427"/>
      <c r="KKZ39" s="424"/>
      <c r="KLA39" s="427"/>
      <c r="KLB39" s="424"/>
      <c r="KLC39" s="427"/>
      <c r="KLD39" s="424"/>
      <c r="KLE39" s="427"/>
      <c r="KLF39" s="424"/>
      <c r="KLG39" s="427"/>
      <c r="KLH39" s="424"/>
      <c r="KLI39" s="427"/>
      <c r="KLJ39" s="424"/>
      <c r="KLK39" s="427"/>
      <c r="KLL39" s="424"/>
      <c r="KLM39" s="427"/>
      <c r="KLN39" s="424"/>
      <c r="KLO39" s="427"/>
      <c r="KLP39" s="424"/>
      <c r="KLQ39" s="427"/>
      <c r="KLR39" s="424"/>
      <c r="KLS39" s="427"/>
      <c r="KLT39" s="424"/>
      <c r="KLU39" s="427"/>
      <c r="KLV39" s="424"/>
      <c r="KLW39" s="427"/>
      <c r="KLX39" s="424"/>
      <c r="KLY39" s="427"/>
      <c r="KLZ39" s="424"/>
      <c r="KMA39" s="427"/>
      <c r="KMB39" s="424"/>
      <c r="KMC39" s="427"/>
      <c r="KMD39" s="424"/>
      <c r="KME39" s="427"/>
      <c r="KMF39" s="424"/>
      <c r="KMG39" s="427"/>
      <c r="KMH39" s="424"/>
      <c r="KMI39" s="427"/>
      <c r="KMJ39" s="424"/>
      <c r="KMK39" s="427"/>
      <c r="KML39" s="424"/>
      <c r="KMM39" s="427"/>
      <c r="KMN39" s="424"/>
      <c r="KMO39" s="427"/>
      <c r="KMP39" s="424"/>
      <c r="KMQ39" s="427"/>
      <c r="KMR39" s="424"/>
      <c r="KMS39" s="427"/>
      <c r="KMT39" s="424"/>
      <c r="KMU39" s="427"/>
      <c r="KMV39" s="424"/>
      <c r="KMW39" s="427"/>
      <c r="KMX39" s="424"/>
      <c r="KMY39" s="427"/>
      <c r="KMZ39" s="424"/>
      <c r="KNA39" s="427"/>
      <c r="KNB39" s="424"/>
      <c r="KNC39" s="427"/>
      <c r="KND39" s="424"/>
      <c r="KNE39" s="427"/>
      <c r="KNF39" s="424"/>
      <c r="KNG39" s="427"/>
      <c r="KNH39" s="424"/>
      <c r="KNI39" s="427"/>
      <c r="KNJ39" s="424"/>
      <c r="KNK39" s="427"/>
      <c r="KNL39" s="424"/>
      <c r="KNM39" s="427"/>
      <c r="KNN39" s="424"/>
      <c r="KNO39" s="427"/>
      <c r="KNP39" s="424"/>
      <c r="KNQ39" s="427"/>
      <c r="KNR39" s="424"/>
      <c r="KNS39" s="427"/>
      <c r="KNT39" s="424"/>
      <c r="KNU39" s="427"/>
      <c r="KNV39" s="424"/>
      <c r="KNW39" s="427"/>
      <c r="KNX39" s="424"/>
      <c r="KNY39" s="427"/>
      <c r="KNZ39" s="424"/>
      <c r="KOA39" s="427"/>
      <c r="KOB39" s="424"/>
      <c r="KOC39" s="427"/>
      <c r="KOD39" s="424"/>
      <c r="KOE39" s="427"/>
      <c r="KOF39" s="424"/>
      <c r="KOG39" s="427"/>
      <c r="KOH39" s="424"/>
      <c r="KOI39" s="427"/>
      <c r="KOJ39" s="424"/>
      <c r="KOK39" s="427"/>
      <c r="KOL39" s="424"/>
      <c r="KOM39" s="427"/>
      <c r="KON39" s="424"/>
      <c r="KOO39" s="427"/>
      <c r="KOP39" s="424"/>
      <c r="KOQ39" s="427"/>
      <c r="KOR39" s="424"/>
      <c r="KOS39" s="427"/>
      <c r="KOT39" s="424"/>
      <c r="KOU39" s="427"/>
      <c r="KOV39" s="424"/>
      <c r="KOW39" s="427"/>
      <c r="KOX39" s="424"/>
      <c r="KOY39" s="427"/>
      <c r="KOZ39" s="424"/>
      <c r="KPA39" s="427"/>
      <c r="KPB39" s="424"/>
      <c r="KPC39" s="427"/>
      <c r="KPD39" s="424"/>
      <c r="KPE39" s="427"/>
      <c r="KPF39" s="424"/>
      <c r="KPG39" s="427"/>
      <c r="KPH39" s="424"/>
      <c r="KPI39" s="427"/>
      <c r="KPJ39" s="424"/>
      <c r="KPK39" s="427"/>
      <c r="KPL39" s="424"/>
      <c r="KPM39" s="427"/>
      <c r="KPN39" s="424"/>
      <c r="KPO39" s="427"/>
      <c r="KPP39" s="424"/>
      <c r="KPQ39" s="427"/>
      <c r="KPR39" s="424"/>
      <c r="KPS39" s="427"/>
      <c r="KPT39" s="424"/>
      <c r="KPU39" s="427"/>
      <c r="KPV39" s="424"/>
      <c r="KPW39" s="427"/>
      <c r="KPX39" s="424"/>
      <c r="KPY39" s="427"/>
      <c r="KPZ39" s="424"/>
      <c r="KQA39" s="427"/>
      <c r="KQB39" s="424"/>
      <c r="KQC39" s="427"/>
      <c r="KQD39" s="424"/>
      <c r="KQE39" s="427"/>
      <c r="KQF39" s="424"/>
      <c r="KQG39" s="427"/>
      <c r="KQH39" s="424"/>
      <c r="KQI39" s="427"/>
      <c r="KQJ39" s="424"/>
      <c r="KQK39" s="427"/>
      <c r="KQL39" s="424"/>
      <c r="KQM39" s="427"/>
      <c r="KQN39" s="424"/>
      <c r="KQO39" s="427"/>
      <c r="KQP39" s="424"/>
      <c r="KQQ39" s="427"/>
      <c r="KQR39" s="424"/>
      <c r="KQS39" s="427"/>
      <c r="KQT39" s="424"/>
      <c r="KQU39" s="427"/>
      <c r="KQV39" s="424"/>
      <c r="KQW39" s="427"/>
      <c r="KQX39" s="424"/>
      <c r="KQY39" s="427"/>
      <c r="KQZ39" s="424"/>
      <c r="KRA39" s="427"/>
      <c r="KRB39" s="424"/>
      <c r="KRC39" s="427"/>
      <c r="KRD39" s="424"/>
      <c r="KRE39" s="427"/>
      <c r="KRF39" s="424"/>
      <c r="KRG39" s="427"/>
      <c r="KRH39" s="424"/>
      <c r="KRI39" s="427"/>
      <c r="KRJ39" s="424"/>
      <c r="KRK39" s="427"/>
      <c r="KRL39" s="424"/>
      <c r="KRM39" s="427"/>
      <c r="KRN39" s="424"/>
      <c r="KRO39" s="427"/>
      <c r="KRP39" s="424"/>
      <c r="KRQ39" s="427"/>
      <c r="KRR39" s="424"/>
      <c r="KRS39" s="427"/>
      <c r="KRT39" s="424"/>
      <c r="KRU39" s="427"/>
      <c r="KRV39" s="424"/>
      <c r="KRW39" s="427"/>
      <c r="KRX39" s="424"/>
      <c r="KRY39" s="427"/>
      <c r="KRZ39" s="424"/>
      <c r="KSA39" s="427"/>
      <c r="KSB39" s="424"/>
      <c r="KSC39" s="427"/>
      <c r="KSD39" s="424"/>
      <c r="KSE39" s="427"/>
      <c r="KSF39" s="424"/>
      <c r="KSG39" s="427"/>
      <c r="KSH39" s="424"/>
      <c r="KSI39" s="427"/>
      <c r="KSJ39" s="424"/>
      <c r="KSK39" s="427"/>
      <c r="KSL39" s="424"/>
      <c r="KSM39" s="427"/>
      <c r="KSN39" s="424"/>
      <c r="KSO39" s="427"/>
      <c r="KSP39" s="424"/>
      <c r="KSQ39" s="427"/>
      <c r="KSR39" s="424"/>
      <c r="KSS39" s="427"/>
      <c r="KST39" s="424"/>
      <c r="KSU39" s="427"/>
      <c r="KSV39" s="424"/>
      <c r="KSW39" s="427"/>
      <c r="KSX39" s="424"/>
      <c r="KSY39" s="427"/>
      <c r="KSZ39" s="424"/>
      <c r="KTA39" s="427"/>
      <c r="KTB39" s="424"/>
      <c r="KTC39" s="427"/>
      <c r="KTD39" s="424"/>
      <c r="KTE39" s="427"/>
      <c r="KTF39" s="424"/>
      <c r="KTG39" s="427"/>
      <c r="KTH39" s="424"/>
      <c r="KTI39" s="427"/>
      <c r="KTJ39" s="424"/>
      <c r="KTK39" s="427"/>
      <c r="KTL39" s="424"/>
      <c r="KTM39" s="427"/>
      <c r="KTN39" s="424"/>
      <c r="KTO39" s="427"/>
      <c r="KTP39" s="424"/>
      <c r="KTQ39" s="427"/>
      <c r="KTR39" s="424"/>
      <c r="KTS39" s="427"/>
      <c r="KTT39" s="424"/>
      <c r="KTU39" s="427"/>
      <c r="KTV39" s="424"/>
      <c r="KTW39" s="427"/>
      <c r="KTX39" s="424"/>
      <c r="KTY39" s="427"/>
      <c r="KTZ39" s="424"/>
      <c r="KUA39" s="427"/>
      <c r="KUB39" s="424"/>
      <c r="KUC39" s="427"/>
      <c r="KUD39" s="424"/>
      <c r="KUE39" s="427"/>
      <c r="KUF39" s="424"/>
      <c r="KUG39" s="427"/>
      <c r="KUH39" s="424"/>
      <c r="KUI39" s="427"/>
      <c r="KUJ39" s="424"/>
      <c r="KUK39" s="427"/>
      <c r="KUL39" s="424"/>
      <c r="KUM39" s="427"/>
      <c r="KUN39" s="424"/>
      <c r="KUO39" s="427"/>
      <c r="KUP39" s="424"/>
      <c r="KUQ39" s="427"/>
      <c r="KUR39" s="424"/>
      <c r="KUS39" s="427"/>
      <c r="KUT39" s="424"/>
      <c r="KUU39" s="427"/>
      <c r="KUV39" s="424"/>
      <c r="KUW39" s="427"/>
      <c r="KUX39" s="424"/>
      <c r="KUY39" s="427"/>
      <c r="KUZ39" s="424"/>
      <c r="KVA39" s="427"/>
      <c r="KVB39" s="424"/>
      <c r="KVC39" s="427"/>
      <c r="KVD39" s="424"/>
      <c r="KVE39" s="427"/>
      <c r="KVF39" s="424"/>
      <c r="KVG39" s="427"/>
      <c r="KVH39" s="424"/>
      <c r="KVI39" s="427"/>
      <c r="KVJ39" s="424"/>
      <c r="KVK39" s="427"/>
      <c r="KVL39" s="424"/>
      <c r="KVM39" s="427"/>
      <c r="KVN39" s="424"/>
      <c r="KVO39" s="427"/>
      <c r="KVP39" s="424"/>
      <c r="KVQ39" s="427"/>
      <c r="KVR39" s="424"/>
      <c r="KVS39" s="427"/>
      <c r="KVT39" s="424"/>
      <c r="KVU39" s="427"/>
      <c r="KVV39" s="424"/>
      <c r="KVW39" s="427"/>
      <c r="KVX39" s="424"/>
      <c r="KVY39" s="427"/>
      <c r="KVZ39" s="424"/>
      <c r="KWA39" s="427"/>
      <c r="KWB39" s="424"/>
      <c r="KWC39" s="427"/>
      <c r="KWD39" s="424"/>
      <c r="KWE39" s="427"/>
      <c r="KWF39" s="424"/>
      <c r="KWG39" s="427"/>
      <c r="KWH39" s="424"/>
      <c r="KWI39" s="427"/>
      <c r="KWJ39" s="424"/>
      <c r="KWK39" s="427"/>
      <c r="KWL39" s="424"/>
      <c r="KWM39" s="427"/>
      <c r="KWN39" s="424"/>
      <c r="KWO39" s="427"/>
      <c r="KWP39" s="424"/>
      <c r="KWQ39" s="427"/>
      <c r="KWR39" s="424"/>
      <c r="KWS39" s="427"/>
      <c r="KWT39" s="424"/>
      <c r="KWU39" s="427"/>
      <c r="KWV39" s="424"/>
      <c r="KWW39" s="427"/>
      <c r="KWX39" s="424"/>
      <c r="KWY39" s="427"/>
      <c r="KWZ39" s="424"/>
      <c r="KXA39" s="427"/>
      <c r="KXB39" s="424"/>
      <c r="KXC39" s="427"/>
      <c r="KXD39" s="424"/>
      <c r="KXE39" s="427"/>
      <c r="KXF39" s="424"/>
      <c r="KXG39" s="427"/>
      <c r="KXH39" s="424"/>
      <c r="KXI39" s="427"/>
      <c r="KXJ39" s="424"/>
      <c r="KXK39" s="427"/>
      <c r="KXL39" s="424"/>
      <c r="KXM39" s="427"/>
      <c r="KXN39" s="424"/>
      <c r="KXO39" s="427"/>
      <c r="KXP39" s="424"/>
      <c r="KXQ39" s="427"/>
      <c r="KXR39" s="424"/>
      <c r="KXS39" s="427"/>
      <c r="KXT39" s="424"/>
      <c r="KXU39" s="427"/>
      <c r="KXV39" s="424"/>
      <c r="KXW39" s="427"/>
      <c r="KXX39" s="424"/>
      <c r="KXY39" s="427"/>
      <c r="KXZ39" s="424"/>
      <c r="KYA39" s="427"/>
      <c r="KYB39" s="424"/>
      <c r="KYC39" s="427"/>
      <c r="KYD39" s="424"/>
      <c r="KYE39" s="427"/>
      <c r="KYF39" s="424"/>
      <c r="KYG39" s="427"/>
      <c r="KYH39" s="424"/>
      <c r="KYI39" s="427"/>
      <c r="KYJ39" s="424"/>
      <c r="KYK39" s="427"/>
      <c r="KYL39" s="424"/>
      <c r="KYM39" s="427"/>
      <c r="KYN39" s="424"/>
      <c r="KYO39" s="427"/>
      <c r="KYP39" s="424"/>
      <c r="KYQ39" s="427"/>
      <c r="KYR39" s="424"/>
      <c r="KYS39" s="427"/>
      <c r="KYT39" s="424"/>
      <c r="KYU39" s="427"/>
      <c r="KYV39" s="424"/>
      <c r="KYW39" s="427"/>
      <c r="KYX39" s="424"/>
      <c r="KYY39" s="427"/>
      <c r="KYZ39" s="424"/>
      <c r="KZA39" s="427"/>
      <c r="KZB39" s="424"/>
      <c r="KZC39" s="427"/>
      <c r="KZD39" s="424"/>
      <c r="KZE39" s="427"/>
      <c r="KZF39" s="424"/>
      <c r="KZG39" s="427"/>
      <c r="KZH39" s="424"/>
      <c r="KZI39" s="427"/>
      <c r="KZJ39" s="424"/>
      <c r="KZK39" s="427"/>
      <c r="KZL39" s="424"/>
      <c r="KZM39" s="427"/>
      <c r="KZN39" s="424"/>
      <c r="KZO39" s="427"/>
      <c r="KZP39" s="424"/>
      <c r="KZQ39" s="427"/>
      <c r="KZR39" s="424"/>
      <c r="KZS39" s="427"/>
      <c r="KZT39" s="424"/>
      <c r="KZU39" s="427"/>
      <c r="KZV39" s="424"/>
      <c r="KZW39" s="427"/>
      <c r="KZX39" s="424"/>
      <c r="KZY39" s="427"/>
      <c r="KZZ39" s="424"/>
      <c r="LAA39" s="427"/>
      <c r="LAB39" s="424"/>
      <c r="LAC39" s="427"/>
      <c r="LAD39" s="424"/>
      <c r="LAE39" s="427"/>
      <c r="LAF39" s="424"/>
      <c r="LAG39" s="427"/>
      <c r="LAH39" s="424"/>
      <c r="LAI39" s="427"/>
      <c r="LAJ39" s="424"/>
      <c r="LAK39" s="427"/>
      <c r="LAL39" s="424"/>
      <c r="LAM39" s="427"/>
      <c r="LAN39" s="424"/>
      <c r="LAO39" s="427"/>
      <c r="LAP39" s="424"/>
      <c r="LAQ39" s="427"/>
      <c r="LAR39" s="424"/>
      <c r="LAS39" s="427"/>
      <c r="LAT39" s="424"/>
      <c r="LAU39" s="427"/>
      <c r="LAV39" s="424"/>
      <c r="LAW39" s="427"/>
      <c r="LAX39" s="424"/>
      <c r="LAY39" s="427"/>
      <c r="LAZ39" s="424"/>
      <c r="LBA39" s="427"/>
      <c r="LBB39" s="424"/>
      <c r="LBC39" s="427"/>
      <c r="LBD39" s="424"/>
      <c r="LBE39" s="427"/>
      <c r="LBF39" s="424"/>
      <c r="LBG39" s="427"/>
      <c r="LBH39" s="424"/>
      <c r="LBI39" s="427"/>
      <c r="LBJ39" s="424"/>
      <c r="LBK39" s="427"/>
      <c r="LBL39" s="424"/>
      <c r="LBM39" s="427"/>
      <c r="LBN39" s="424"/>
      <c r="LBO39" s="427"/>
      <c r="LBP39" s="424"/>
      <c r="LBQ39" s="427"/>
      <c r="LBR39" s="424"/>
      <c r="LBS39" s="427"/>
      <c r="LBT39" s="424"/>
      <c r="LBU39" s="427"/>
      <c r="LBV39" s="424"/>
      <c r="LBW39" s="427"/>
      <c r="LBX39" s="424"/>
      <c r="LBY39" s="427"/>
      <c r="LBZ39" s="424"/>
      <c r="LCA39" s="427"/>
      <c r="LCB39" s="424"/>
      <c r="LCC39" s="427"/>
      <c r="LCD39" s="424"/>
      <c r="LCE39" s="427"/>
      <c r="LCF39" s="424"/>
      <c r="LCG39" s="427"/>
      <c r="LCH39" s="424"/>
      <c r="LCI39" s="427"/>
      <c r="LCJ39" s="424"/>
      <c r="LCK39" s="427"/>
      <c r="LCL39" s="424"/>
      <c r="LCM39" s="427"/>
      <c r="LCN39" s="424"/>
      <c r="LCO39" s="427"/>
      <c r="LCP39" s="424"/>
      <c r="LCQ39" s="427"/>
      <c r="LCR39" s="424"/>
      <c r="LCS39" s="427"/>
      <c r="LCT39" s="424"/>
      <c r="LCU39" s="427"/>
      <c r="LCV39" s="424"/>
      <c r="LCW39" s="427"/>
      <c r="LCX39" s="424"/>
      <c r="LCY39" s="427"/>
      <c r="LCZ39" s="424"/>
      <c r="LDA39" s="427"/>
      <c r="LDB39" s="424"/>
      <c r="LDC39" s="427"/>
      <c r="LDD39" s="424"/>
      <c r="LDE39" s="427"/>
      <c r="LDF39" s="424"/>
      <c r="LDG39" s="427"/>
      <c r="LDH39" s="424"/>
      <c r="LDI39" s="427"/>
      <c r="LDJ39" s="424"/>
      <c r="LDK39" s="427"/>
      <c r="LDL39" s="424"/>
      <c r="LDM39" s="427"/>
      <c r="LDN39" s="424"/>
      <c r="LDO39" s="427"/>
      <c r="LDP39" s="424"/>
      <c r="LDQ39" s="427"/>
      <c r="LDR39" s="424"/>
      <c r="LDS39" s="427"/>
      <c r="LDT39" s="424"/>
      <c r="LDU39" s="427"/>
      <c r="LDV39" s="424"/>
      <c r="LDW39" s="427"/>
      <c r="LDX39" s="424"/>
      <c r="LDY39" s="427"/>
      <c r="LDZ39" s="424"/>
      <c r="LEA39" s="427"/>
      <c r="LEB39" s="424"/>
      <c r="LEC39" s="427"/>
      <c r="LED39" s="424"/>
      <c r="LEE39" s="427"/>
      <c r="LEF39" s="424"/>
      <c r="LEG39" s="427"/>
      <c r="LEH39" s="424"/>
      <c r="LEI39" s="427"/>
      <c r="LEJ39" s="424"/>
      <c r="LEK39" s="427"/>
      <c r="LEL39" s="424"/>
      <c r="LEM39" s="427"/>
      <c r="LEN39" s="424"/>
      <c r="LEO39" s="427"/>
      <c r="LEP39" s="424"/>
      <c r="LEQ39" s="427"/>
      <c r="LER39" s="424"/>
      <c r="LES39" s="427"/>
      <c r="LET39" s="424"/>
      <c r="LEU39" s="427"/>
      <c r="LEV39" s="424"/>
      <c r="LEW39" s="427"/>
      <c r="LEX39" s="424"/>
      <c r="LEY39" s="427"/>
      <c r="LEZ39" s="424"/>
      <c r="LFA39" s="427"/>
      <c r="LFB39" s="424"/>
      <c r="LFC39" s="427"/>
      <c r="LFD39" s="424"/>
      <c r="LFE39" s="427"/>
      <c r="LFF39" s="424"/>
      <c r="LFG39" s="427"/>
      <c r="LFH39" s="424"/>
      <c r="LFI39" s="427"/>
      <c r="LFJ39" s="424"/>
      <c r="LFK39" s="427"/>
      <c r="LFL39" s="424"/>
      <c r="LFM39" s="427"/>
      <c r="LFN39" s="424"/>
      <c r="LFO39" s="427"/>
      <c r="LFP39" s="424"/>
      <c r="LFQ39" s="427"/>
      <c r="LFR39" s="424"/>
      <c r="LFS39" s="427"/>
      <c r="LFT39" s="424"/>
      <c r="LFU39" s="427"/>
      <c r="LFV39" s="424"/>
      <c r="LFW39" s="427"/>
      <c r="LFX39" s="424"/>
      <c r="LFY39" s="427"/>
      <c r="LFZ39" s="424"/>
      <c r="LGA39" s="427"/>
      <c r="LGB39" s="424"/>
      <c r="LGC39" s="427"/>
      <c r="LGD39" s="424"/>
      <c r="LGE39" s="427"/>
      <c r="LGF39" s="424"/>
      <c r="LGG39" s="427"/>
      <c r="LGH39" s="424"/>
      <c r="LGI39" s="427"/>
      <c r="LGJ39" s="424"/>
      <c r="LGK39" s="427"/>
      <c r="LGL39" s="424"/>
      <c r="LGM39" s="427"/>
      <c r="LGN39" s="424"/>
      <c r="LGO39" s="427"/>
      <c r="LGP39" s="424"/>
      <c r="LGQ39" s="427"/>
      <c r="LGR39" s="424"/>
      <c r="LGS39" s="427"/>
      <c r="LGT39" s="424"/>
      <c r="LGU39" s="427"/>
      <c r="LGV39" s="424"/>
      <c r="LGW39" s="427"/>
      <c r="LGX39" s="424"/>
      <c r="LGY39" s="427"/>
      <c r="LGZ39" s="424"/>
      <c r="LHA39" s="427"/>
      <c r="LHB39" s="424"/>
      <c r="LHC39" s="427"/>
      <c r="LHD39" s="424"/>
      <c r="LHE39" s="427"/>
      <c r="LHF39" s="424"/>
      <c r="LHG39" s="427"/>
      <c r="LHH39" s="424"/>
      <c r="LHI39" s="427"/>
      <c r="LHJ39" s="424"/>
      <c r="LHK39" s="427"/>
      <c r="LHL39" s="424"/>
      <c r="LHM39" s="427"/>
      <c r="LHN39" s="424"/>
      <c r="LHO39" s="427"/>
      <c r="LHP39" s="424"/>
      <c r="LHQ39" s="427"/>
      <c r="LHR39" s="424"/>
      <c r="LHS39" s="427"/>
      <c r="LHT39" s="424"/>
      <c r="LHU39" s="427"/>
      <c r="LHV39" s="424"/>
      <c r="LHW39" s="427"/>
      <c r="LHX39" s="424"/>
      <c r="LHY39" s="427"/>
      <c r="LHZ39" s="424"/>
      <c r="LIA39" s="427"/>
      <c r="LIB39" s="424"/>
      <c r="LIC39" s="427"/>
      <c r="LID39" s="424"/>
      <c r="LIE39" s="427"/>
      <c r="LIF39" s="424"/>
      <c r="LIG39" s="427"/>
      <c r="LIH39" s="424"/>
      <c r="LII39" s="427"/>
      <c r="LIJ39" s="424"/>
      <c r="LIK39" s="427"/>
      <c r="LIL39" s="424"/>
      <c r="LIM39" s="427"/>
      <c r="LIN39" s="424"/>
      <c r="LIO39" s="427"/>
      <c r="LIP39" s="424"/>
      <c r="LIQ39" s="427"/>
      <c r="LIR39" s="424"/>
      <c r="LIS39" s="427"/>
      <c r="LIT39" s="424"/>
      <c r="LIU39" s="427"/>
      <c r="LIV39" s="424"/>
      <c r="LIW39" s="427"/>
      <c r="LIX39" s="424"/>
      <c r="LIY39" s="427"/>
      <c r="LIZ39" s="424"/>
      <c r="LJA39" s="427"/>
      <c r="LJB39" s="424"/>
      <c r="LJC39" s="427"/>
      <c r="LJD39" s="424"/>
      <c r="LJE39" s="427"/>
      <c r="LJF39" s="424"/>
      <c r="LJG39" s="427"/>
      <c r="LJH39" s="424"/>
      <c r="LJI39" s="427"/>
      <c r="LJJ39" s="424"/>
      <c r="LJK39" s="427"/>
      <c r="LJL39" s="424"/>
      <c r="LJM39" s="427"/>
      <c r="LJN39" s="424"/>
      <c r="LJO39" s="427"/>
      <c r="LJP39" s="424"/>
      <c r="LJQ39" s="427"/>
      <c r="LJR39" s="424"/>
      <c r="LJS39" s="427"/>
      <c r="LJT39" s="424"/>
      <c r="LJU39" s="427"/>
      <c r="LJV39" s="424"/>
      <c r="LJW39" s="427"/>
      <c r="LJX39" s="424"/>
      <c r="LJY39" s="427"/>
      <c r="LJZ39" s="424"/>
      <c r="LKA39" s="427"/>
      <c r="LKB39" s="424"/>
      <c r="LKC39" s="427"/>
      <c r="LKD39" s="424"/>
      <c r="LKE39" s="427"/>
      <c r="LKF39" s="424"/>
      <c r="LKG39" s="427"/>
      <c r="LKH39" s="424"/>
      <c r="LKI39" s="427"/>
      <c r="LKJ39" s="424"/>
      <c r="LKK39" s="427"/>
      <c r="LKL39" s="424"/>
      <c r="LKM39" s="427"/>
      <c r="LKN39" s="424"/>
      <c r="LKO39" s="427"/>
      <c r="LKP39" s="424"/>
      <c r="LKQ39" s="427"/>
      <c r="LKR39" s="424"/>
      <c r="LKS39" s="427"/>
      <c r="LKT39" s="424"/>
      <c r="LKU39" s="427"/>
      <c r="LKV39" s="424"/>
      <c r="LKW39" s="427"/>
      <c r="LKX39" s="424"/>
      <c r="LKY39" s="427"/>
      <c r="LKZ39" s="424"/>
      <c r="LLA39" s="427"/>
      <c r="LLB39" s="424"/>
      <c r="LLC39" s="427"/>
      <c r="LLD39" s="424"/>
      <c r="LLE39" s="427"/>
      <c r="LLF39" s="424"/>
      <c r="LLG39" s="427"/>
      <c r="LLH39" s="424"/>
      <c r="LLI39" s="427"/>
      <c r="LLJ39" s="424"/>
      <c r="LLK39" s="427"/>
      <c r="LLL39" s="424"/>
      <c r="LLM39" s="427"/>
      <c r="LLN39" s="424"/>
      <c r="LLO39" s="427"/>
      <c r="LLP39" s="424"/>
      <c r="LLQ39" s="427"/>
      <c r="LLR39" s="424"/>
      <c r="LLS39" s="427"/>
      <c r="LLT39" s="424"/>
      <c r="LLU39" s="427"/>
      <c r="LLV39" s="424"/>
      <c r="LLW39" s="427"/>
      <c r="LLX39" s="424"/>
      <c r="LLY39" s="427"/>
      <c r="LLZ39" s="424"/>
      <c r="LMA39" s="427"/>
      <c r="LMB39" s="424"/>
      <c r="LMC39" s="427"/>
      <c r="LMD39" s="424"/>
      <c r="LME39" s="427"/>
      <c r="LMF39" s="424"/>
      <c r="LMG39" s="427"/>
      <c r="LMH39" s="424"/>
      <c r="LMI39" s="427"/>
      <c r="LMJ39" s="424"/>
      <c r="LMK39" s="427"/>
      <c r="LML39" s="424"/>
      <c r="LMM39" s="427"/>
      <c r="LMN39" s="424"/>
      <c r="LMO39" s="427"/>
      <c r="LMP39" s="424"/>
      <c r="LMQ39" s="427"/>
      <c r="LMR39" s="424"/>
      <c r="LMS39" s="427"/>
      <c r="LMT39" s="424"/>
      <c r="LMU39" s="427"/>
      <c r="LMV39" s="424"/>
      <c r="LMW39" s="427"/>
      <c r="LMX39" s="424"/>
      <c r="LMY39" s="427"/>
      <c r="LMZ39" s="424"/>
      <c r="LNA39" s="427"/>
      <c r="LNB39" s="424"/>
      <c r="LNC39" s="427"/>
      <c r="LND39" s="424"/>
      <c r="LNE39" s="427"/>
      <c r="LNF39" s="424"/>
      <c r="LNG39" s="427"/>
      <c r="LNH39" s="424"/>
      <c r="LNI39" s="427"/>
      <c r="LNJ39" s="424"/>
      <c r="LNK39" s="427"/>
      <c r="LNL39" s="424"/>
      <c r="LNM39" s="427"/>
      <c r="LNN39" s="424"/>
      <c r="LNO39" s="427"/>
      <c r="LNP39" s="424"/>
      <c r="LNQ39" s="427"/>
      <c r="LNR39" s="424"/>
      <c r="LNS39" s="427"/>
      <c r="LNT39" s="424"/>
      <c r="LNU39" s="427"/>
      <c r="LNV39" s="424"/>
      <c r="LNW39" s="427"/>
      <c r="LNX39" s="424"/>
      <c r="LNY39" s="427"/>
      <c r="LNZ39" s="424"/>
      <c r="LOA39" s="427"/>
      <c r="LOB39" s="424"/>
      <c r="LOC39" s="427"/>
      <c r="LOD39" s="424"/>
      <c r="LOE39" s="427"/>
      <c r="LOF39" s="424"/>
      <c r="LOG39" s="427"/>
      <c r="LOH39" s="424"/>
      <c r="LOI39" s="427"/>
      <c r="LOJ39" s="424"/>
      <c r="LOK39" s="427"/>
      <c r="LOL39" s="424"/>
      <c r="LOM39" s="427"/>
      <c r="LON39" s="424"/>
      <c r="LOO39" s="427"/>
      <c r="LOP39" s="424"/>
      <c r="LOQ39" s="427"/>
      <c r="LOR39" s="424"/>
      <c r="LOS39" s="427"/>
      <c r="LOT39" s="424"/>
      <c r="LOU39" s="427"/>
      <c r="LOV39" s="424"/>
      <c r="LOW39" s="427"/>
      <c r="LOX39" s="424"/>
      <c r="LOY39" s="427"/>
      <c r="LOZ39" s="424"/>
      <c r="LPA39" s="427"/>
      <c r="LPB39" s="424"/>
      <c r="LPC39" s="427"/>
      <c r="LPD39" s="424"/>
      <c r="LPE39" s="427"/>
      <c r="LPF39" s="424"/>
      <c r="LPG39" s="427"/>
      <c r="LPH39" s="424"/>
      <c r="LPI39" s="427"/>
      <c r="LPJ39" s="424"/>
      <c r="LPK39" s="427"/>
      <c r="LPL39" s="424"/>
      <c r="LPM39" s="427"/>
      <c r="LPN39" s="424"/>
      <c r="LPO39" s="427"/>
      <c r="LPP39" s="424"/>
      <c r="LPQ39" s="427"/>
      <c r="LPR39" s="424"/>
      <c r="LPS39" s="427"/>
      <c r="LPT39" s="424"/>
      <c r="LPU39" s="427"/>
      <c r="LPV39" s="424"/>
      <c r="LPW39" s="427"/>
      <c r="LPX39" s="424"/>
      <c r="LPY39" s="427"/>
      <c r="LPZ39" s="424"/>
      <c r="LQA39" s="427"/>
      <c r="LQB39" s="424"/>
      <c r="LQC39" s="427"/>
      <c r="LQD39" s="424"/>
      <c r="LQE39" s="427"/>
      <c r="LQF39" s="424"/>
      <c r="LQG39" s="427"/>
      <c r="LQH39" s="424"/>
      <c r="LQI39" s="427"/>
      <c r="LQJ39" s="424"/>
      <c r="LQK39" s="427"/>
      <c r="LQL39" s="424"/>
      <c r="LQM39" s="427"/>
      <c r="LQN39" s="424"/>
      <c r="LQO39" s="427"/>
      <c r="LQP39" s="424"/>
      <c r="LQQ39" s="427"/>
      <c r="LQR39" s="424"/>
      <c r="LQS39" s="427"/>
      <c r="LQT39" s="424"/>
      <c r="LQU39" s="427"/>
      <c r="LQV39" s="424"/>
      <c r="LQW39" s="427"/>
      <c r="LQX39" s="424"/>
      <c r="LQY39" s="427"/>
      <c r="LQZ39" s="424"/>
      <c r="LRA39" s="427"/>
      <c r="LRB39" s="424"/>
      <c r="LRC39" s="427"/>
      <c r="LRD39" s="424"/>
      <c r="LRE39" s="427"/>
      <c r="LRF39" s="424"/>
      <c r="LRG39" s="427"/>
      <c r="LRH39" s="424"/>
      <c r="LRI39" s="427"/>
      <c r="LRJ39" s="424"/>
      <c r="LRK39" s="427"/>
      <c r="LRL39" s="424"/>
      <c r="LRM39" s="427"/>
      <c r="LRN39" s="424"/>
      <c r="LRO39" s="427"/>
      <c r="LRP39" s="424"/>
      <c r="LRQ39" s="427"/>
      <c r="LRR39" s="424"/>
      <c r="LRS39" s="427"/>
      <c r="LRT39" s="424"/>
      <c r="LRU39" s="427"/>
      <c r="LRV39" s="424"/>
      <c r="LRW39" s="427"/>
      <c r="LRX39" s="424"/>
      <c r="LRY39" s="427"/>
      <c r="LRZ39" s="424"/>
      <c r="LSA39" s="427"/>
      <c r="LSB39" s="424"/>
      <c r="LSC39" s="427"/>
      <c r="LSD39" s="424"/>
      <c r="LSE39" s="427"/>
      <c r="LSF39" s="424"/>
      <c r="LSG39" s="427"/>
      <c r="LSH39" s="424"/>
      <c r="LSI39" s="427"/>
      <c r="LSJ39" s="424"/>
      <c r="LSK39" s="427"/>
      <c r="LSL39" s="424"/>
      <c r="LSM39" s="427"/>
      <c r="LSN39" s="424"/>
      <c r="LSO39" s="427"/>
      <c r="LSP39" s="424"/>
      <c r="LSQ39" s="427"/>
      <c r="LSR39" s="424"/>
      <c r="LSS39" s="427"/>
      <c r="LST39" s="424"/>
      <c r="LSU39" s="427"/>
      <c r="LSV39" s="424"/>
      <c r="LSW39" s="427"/>
      <c r="LSX39" s="424"/>
      <c r="LSY39" s="427"/>
      <c r="LSZ39" s="424"/>
      <c r="LTA39" s="427"/>
      <c r="LTB39" s="424"/>
      <c r="LTC39" s="427"/>
      <c r="LTD39" s="424"/>
      <c r="LTE39" s="427"/>
      <c r="LTF39" s="424"/>
      <c r="LTG39" s="427"/>
      <c r="LTH39" s="424"/>
      <c r="LTI39" s="427"/>
      <c r="LTJ39" s="424"/>
      <c r="LTK39" s="427"/>
      <c r="LTL39" s="424"/>
      <c r="LTM39" s="427"/>
      <c r="LTN39" s="424"/>
      <c r="LTO39" s="427"/>
      <c r="LTP39" s="424"/>
      <c r="LTQ39" s="427"/>
      <c r="LTR39" s="424"/>
      <c r="LTS39" s="427"/>
      <c r="LTT39" s="424"/>
      <c r="LTU39" s="427"/>
      <c r="LTV39" s="424"/>
      <c r="LTW39" s="427"/>
      <c r="LTX39" s="424"/>
      <c r="LTY39" s="427"/>
      <c r="LTZ39" s="424"/>
      <c r="LUA39" s="427"/>
      <c r="LUB39" s="424"/>
      <c r="LUC39" s="427"/>
      <c r="LUD39" s="424"/>
      <c r="LUE39" s="427"/>
      <c r="LUF39" s="424"/>
      <c r="LUG39" s="427"/>
      <c r="LUH39" s="424"/>
      <c r="LUI39" s="427"/>
      <c r="LUJ39" s="424"/>
      <c r="LUK39" s="427"/>
      <c r="LUL39" s="424"/>
      <c r="LUM39" s="427"/>
      <c r="LUN39" s="424"/>
      <c r="LUO39" s="427"/>
      <c r="LUP39" s="424"/>
      <c r="LUQ39" s="427"/>
      <c r="LUR39" s="424"/>
      <c r="LUS39" s="427"/>
      <c r="LUT39" s="424"/>
      <c r="LUU39" s="427"/>
      <c r="LUV39" s="424"/>
      <c r="LUW39" s="427"/>
      <c r="LUX39" s="424"/>
      <c r="LUY39" s="427"/>
      <c r="LUZ39" s="424"/>
      <c r="LVA39" s="427"/>
      <c r="LVB39" s="424"/>
      <c r="LVC39" s="427"/>
      <c r="LVD39" s="424"/>
      <c r="LVE39" s="427"/>
      <c r="LVF39" s="424"/>
      <c r="LVG39" s="427"/>
      <c r="LVH39" s="424"/>
      <c r="LVI39" s="427"/>
      <c r="LVJ39" s="424"/>
      <c r="LVK39" s="427"/>
      <c r="LVL39" s="424"/>
      <c r="LVM39" s="427"/>
      <c r="LVN39" s="424"/>
      <c r="LVO39" s="427"/>
      <c r="LVP39" s="424"/>
      <c r="LVQ39" s="427"/>
      <c r="LVR39" s="424"/>
      <c r="LVS39" s="427"/>
      <c r="LVT39" s="424"/>
      <c r="LVU39" s="427"/>
      <c r="LVV39" s="424"/>
      <c r="LVW39" s="427"/>
      <c r="LVX39" s="424"/>
      <c r="LVY39" s="427"/>
      <c r="LVZ39" s="424"/>
      <c r="LWA39" s="427"/>
      <c r="LWB39" s="424"/>
      <c r="LWC39" s="427"/>
      <c r="LWD39" s="424"/>
      <c r="LWE39" s="427"/>
      <c r="LWF39" s="424"/>
      <c r="LWG39" s="427"/>
      <c r="LWH39" s="424"/>
      <c r="LWI39" s="427"/>
      <c r="LWJ39" s="424"/>
      <c r="LWK39" s="427"/>
      <c r="LWL39" s="424"/>
      <c r="LWM39" s="427"/>
      <c r="LWN39" s="424"/>
      <c r="LWO39" s="427"/>
      <c r="LWP39" s="424"/>
      <c r="LWQ39" s="427"/>
      <c r="LWR39" s="424"/>
      <c r="LWS39" s="427"/>
      <c r="LWT39" s="424"/>
      <c r="LWU39" s="427"/>
      <c r="LWV39" s="424"/>
      <c r="LWW39" s="427"/>
      <c r="LWX39" s="424"/>
      <c r="LWY39" s="427"/>
      <c r="LWZ39" s="424"/>
      <c r="LXA39" s="427"/>
      <c r="LXB39" s="424"/>
      <c r="LXC39" s="427"/>
      <c r="LXD39" s="424"/>
      <c r="LXE39" s="427"/>
      <c r="LXF39" s="424"/>
      <c r="LXG39" s="427"/>
      <c r="LXH39" s="424"/>
      <c r="LXI39" s="427"/>
      <c r="LXJ39" s="424"/>
      <c r="LXK39" s="427"/>
      <c r="LXL39" s="424"/>
      <c r="LXM39" s="427"/>
      <c r="LXN39" s="424"/>
      <c r="LXO39" s="427"/>
      <c r="LXP39" s="424"/>
      <c r="LXQ39" s="427"/>
      <c r="LXR39" s="424"/>
      <c r="LXS39" s="427"/>
      <c r="LXT39" s="424"/>
      <c r="LXU39" s="427"/>
      <c r="LXV39" s="424"/>
      <c r="LXW39" s="427"/>
      <c r="LXX39" s="424"/>
      <c r="LXY39" s="427"/>
      <c r="LXZ39" s="424"/>
      <c r="LYA39" s="427"/>
      <c r="LYB39" s="424"/>
      <c r="LYC39" s="427"/>
      <c r="LYD39" s="424"/>
      <c r="LYE39" s="427"/>
      <c r="LYF39" s="424"/>
      <c r="LYG39" s="427"/>
      <c r="LYH39" s="424"/>
      <c r="LYI39" s="427"/>
      <c r="LYJ39" s="424"/>
      <c r="LYK39" s="427"/>
      <c r="LYL39" s="424"/>
      <c r="LYM39" s="427"/>
      <c r="LYN39" s="424"/>
      <c r="LYO39" s="427"/>
      <c r="LYP39" s="424"/>
      <c r="LYQ39" s="427"/>
      <c r="LYR39" s="424"/>
      <c r="LYS39" s="427"/>
      <c r="LYT39" s="424"/>
      <c r="LYU39" s="427"/>
      <c r="LYV39" s="424"/>
      <c r="LYW39" s="427"/>
      <c r="LYX39" s="424"/>
      <c r="LYY39" s="427"/>
      <c r="LYZ39" s="424"/>
      <c r="LZA39" s="427"/>
      <c r="LZB39" s="424"/>
      <c r="LZC39" s="427"/>
      <c r="LZD39" s="424"/>
      <c r="LZE39" s="427"/>
      <c r="LZF39" s="424"/>
      <c r="LZG39" s="427"/>
      <c r="LZH39" s="424"/>
      <c r="LZI39" s="427"/>
      <c r="LZJ39" s="424"/>
      <c r="LZK39" s="427"/>
      <c r="LZL39" s="424"/>
      <c r="LZM39" s="427"/>
      <c r="LZN39" s="424"/>
      <c r="LZO39" s="427"/>
      <c r="LZP39" s="424"/>
      <c r="LZQ39" s="427"/>
      <c r="LZR39" s="424"/>
      <c r="LZS39" s="427"/>
      <c r="LZT39" s="424"/>
      <c r="LZU39" s="427"/>
      <c r="LZV39" s="424"/>
      <c r="LZW39" s="427"/>
      <c r="LZX39" s="424"/>
      <c r="LZY39" s="427"/>
      <c r="LZZ39" s="424"/>
      <c r="MAA39" s="427"/>
      <c r="MAB39" s="424"/>
      <c r="MAC39" s="427"/>
      <c r="MAD39" s="424"/>
      <c r="MAE39" s="427"/>
      <c r="MAF39" s="424"/>
      <c r="MAG39" s="427"/>
      <c r="MAH39" s="424"/>
      <c r="MAI39" s="427"/>
      <c r="MAJ39" s="424"/>
      <c r="MAK39" s="427"/>
      <c r="MAL39" s="424"/>
      <c r="MAM39" s="427"/>
      <c r="MAN39" s="424"/>
      <c r="MAO39" s="427"/>
      <c r="MAP39" s="424"/>
      <c r="MAQ39" s="427"/>
      <c r="MAR39" s="424"/>
      <c r="MAS39" s="427"/>
      <c r="MAT39" s="424"/>
      <c r="MAU39" s="427"/>
      <c r="MAV39" s="424"/>
      <c r="MAW39" s="427"/>
      <c r="MAX39" s="424"/>
      <c r="MAY39" s="427"/>
      <c r="MAZ39" s="424"/>
      <c r="MBA39" s="427"/>
      <c r="MBB39" s="424"/>
      <c r="MBC39" s="427"/>
      <c r="MBD39" s="424"/>
      <c r="MBE39" s="427"/>
      <c r="MBF39" s="424"/>
      <c r="MBG39" s="427"/>
      <c r="MBH39" s="424"/>
      <c r="MBI39" s="427"/>
      <c r="MBJ39" s="424"/>
      <c r="MBK39" s="427"/>
      <c r="MBL39" s="424"/>
      <c r="MBM39" s="427"/>
      <c r="MBN39" s="424"/>
      <c r="MBO39" s="427"/>
      <c r="MBP39" s="424"/>
      <c r="MBQ39" s="427"/>
      <c r="MBR39" s="424"/>
      <c r="MBS39" s="427"/>
      <c r="MBT39" s="424"/>
      <c r="MBU39" s="427"/>
      <c r="MBV39" s="424"/>
      <c r="MBW39" s="427"/>
      <c r="MBX39" s="424"/>
      <c r="MBY39" s="427"/>
      <c r="MBZ39" s="424"/>
      <c r="MCA39" s="427"/>
      <c r="MCB39" s="424"/>
      <c r="MCC39" s="427"/>
      <c r="MCD39" s="424"/>
      <c r="MCE39" s="427"/>
      <c r="MCF39" s="424"/>
      <c r="MCG39" s="427"/>
      <c r="MCH39" s="424"/>
      <c r="MCI39" s="427"/>
      <c r="MCJ39" s="424"/>
      <c r="MCK39" s="427"/>
      <c r="MCL39" s="424"/>
      <c r="MCM39" s="427"/>
      <c r="MCN39" s="424"/>
      <c r="MCO39" s="427"/>
      <c r="MCP39" s="424"/>
      <c r="MCQ39" s="427"/>
      <c r="MCR39" s="424"/>
      <c r="MCS39" s="427"/>
      <c r="MCT39" s="424"/>
      <c r="MCU39" s="427"/>
      <c r="MCV39" s="424"/>
      <c r="MCW39" s="427"/>
      <c r="MCX39" s="424"/>
      <c r="MCY39" s="427"/>
      <c r="MCZ39" s="424"/>
      <c r="MDA39" s="427"/>
      <c r="MDB39" s="424"/>
      <c r="MDC39" s="427"/>
      <c r="MDD39" s="424"/>
      <c r="MDE39" s="427"/>
      <c r="MDF39" s="424"/>
      <c r="MDG39" s="427"/>
      <c r="MDH39" s="424"/>
      <c r="MDI39" s="427"/>
      <c r="MDJ39" s="424"/>
      <c r="MDK39" s="427"/>
      <c r="MDL39" s="424"/>
      <c r="MDM39" s="427"/>
      <c r="MDN39" s="424"/>
      <c r="MDO39" s="427"/>
      <c r="MDP39" s="424"/>
      <c r="MDQ39" s="427"/>
      <c r="MDR39" s="424"/>
      <c r="MDS39" s="427"/>
      <c r="MDT39" s="424"/>
      <c r="MDU39" s="427"/>
      <c r="MDV39" s="424"/>
      <c r="MDW39" s="427"/>
      <c r="MDX39" s="424"/>
      <c r="MDY39" s="427"/>
      <c r="MDZ39" s="424"/>
      <c r="MEA39" s="427"/>
      <c r="MEB39" s="424"/>
      <c r="MEC39" s="427"/>
      <c r="MED39" s="424"/>
      <c r="MEE39" s="427"/>
      <c r="MEF39" s="424"/>
      <c r="MEG39" s="427"/>
      <c r="MEH39" s="424"/>
      <c r="MEI39" s="427"/>
      <c r="MEJ39" s="424"/>
      <c r="MEK39" s="427"/>
      <c r="MEL39" s="424"/>
      <c r="MEM39" s="427"/>
      <c r="MEN39" s="424"/>
      <c r="MEO39" s="427"/>
      <c r="MEP39" s="424"/>
      <c r="MEQ39" s="427"/>
      <c r="MER39" s="424"/>
      <c r="MES39" s="427"/>
      <c r="MET39" s="424"/>
      <c r="MEU39" s="427"/>
      <c r="MEV39" s="424"/>
      <c r="MEW39" s="427"/>
      <c r="MEX39" s="424"/>
      <c r="MEY39" s="427"/>
      <c r="MEZ39" s="424"/>
      <c r="MFA39" s="427"/>
      <c r="MFB39" s="424"/>
      <c r="MFC39" s="427"/>
      <c r="MFD39" s="424"/>
      <c r="MFE39" s="427"/>
      <c r="MFF39" s="424"/>
      <c r="MFG39" s="427"/>
      <c r="MFH39" s="424"/>
      <c r="MFI39" s="427"/>
      <c r="MFJ39" s="424"/>
      <c r="MFK39" s="427"/>
      <c r="MFL39" s="424"/>
      <c r="MFM39" s="427"/>
      <c r="MFN39" s="424"/>
      <c r="MFO39" s="427"/>
      <c r="MFP39" s="424"/>
      <c r="MFQ39" s="427"/>
      <c r="MFR39" s="424"/>
      <c r="MFS39" s="427"/>
      <c r="MFT39" s="424"/>
      <c r="MFU39" s="427"/>
      <c r="MFV39" s="424"/>
      <c r="MFW39" s="427"/>
      <c r="MFX39" s="424"/>
      <c r="MFY39" s="427"/>
      <c r="MFZ39" s="424"/>
      <c r="MGA39" s="427"/>
      <c r="MGB39" s="424"/>
      <c r="MGC39" s="427"/>
      <c r="MGD39" s="424"/>
      <c r="MGE39" s="427"/>
      <c r="MGF39" s="424"/>
      <c r="MGG39" s="427"/>
      <c r="MGH39" s="424"/>
      <c r="MGI39" s="427"/>
      <c r="MGJ39" s="424"/>
      <c r="MGK39" s="427"/>
      <c r="MGL39" s="424"/>
      <c r="MGM39" s="427"/>
      <c r="MGN39" s="424"/>
      <c r="MGO39" s="427"/>
      <c r="MGP39" s="424"/>
      <c r="MGQ39" s="427"/>
      <c r="MGR39" s="424"/>
      <c r="MGS39" s="427"/>
      <c r="MGT39" s="424"/>
      <c r="MGU39" s="427"/>
      <c r="MGV39" s="424"/>
      <c r="MGW39" s="427"/>
      <c r="MGX39" s="424"/>
      <c r="MGY39" s="427"/>
      <c r="MGZ39" s="424"/>
      <c r="MHA39" s="427"/>
      <c r="MHB39" s="424"/>
      <c r="MHC39" s="427"/>
      <c r="MHD39" s="424"/>
      <c r="MHE39" s="427"/>
      <c r="MHF39" s="424"/>
      <c r="MHG39" s="427"/>
      <c r="MHH39" s="424"/>
      <c r="MHI39" s="427"/>
      <c r="MHJ39" s="424"/>
      <c r="MHK39" s="427"/>
      <c r="MHL39" s="424"/>
      <c r="MHM39" s="427"/>
      <c r="MHN39" s="424"/>
      <c r="MHO39" s="427"/>
      <c r="MHP39" s="424"/>
      <c r="MHQ39" s="427"/>
      <c r="MHR39" s="424"/>
      <c r="MHS39" s="427"/>
      <c r="MHT39" s="424"/>
      <c r="MHU39" s="427"/>
      <c r="MHV39" s="424"/>
      <c r="MHW39" s="427"/>
      <c r="MHX39" s="424"/>
      <c r="MHY39" s="427"/>
      <c r="MHZ39" s="424"/>
      <c r="MIA39" s="427"/>
      <c r="MIB39" s="424"/>
      <c r="MIC39" s="427"/>
      <c r="MID39" s="424"/>
      <c r="MIE39" s="427"/>
      <c r="MIF39" s="424"/>
      <c r="MIG39" s="427"/>
      <c r="MIH39" s="424"/>
      <c r="MII39" s="427"/>
      <c r="MIJ39" s="424"/>
      <c r="MIK39" s="427"/>
      <c r="MIL39" s="424"/>
      <c r="MIM39" s="427"/>
      <c r="MIN39" s="424"/>
      <c r="MIO39" s="427"/>
      <c r="MIP39" s="424"/>
      <c r="MIQ39" s="427"/>
      <c r="MIR39" s="424"/>
      <c r="MIS39" s="427"/>
      <c r="MIT39" s="424"/>
      <c r="MIU39" s="427"/>
      <c r="MIV39" s="424"/>
      <c r="MIW39" s="427"/>
      <c r="MIX39" s="424"/>
      <c r="MIY39" s="427"/>
      <c r="MIZ39" s="424"/>
      <c r="MJA39" s="427"/>
      <c r="MJB39" s="424"/>
      <c r="MJC39" s="427"/>
      <c r="MJD39" s="424"/>
      <c r="MJE39" s="427"/>
      <c r="MJF39" s="424"/>
      <c r="MJG39" s="427"/>
      <c r="MJH39" s="424"/>
      <c r="MJI39" s="427"/>
      <c r="MJJ39" s="424"/>
      <c r="MJK39" s="427"/>
      <c r="MJL39" s="424"/>
      <c r="MJM39" s="427"/>
      <c r="MJN39" s="424"/>
      <c r="MJO39" s="427"/>
      <c r="MJP39" s="424"/>
      <c r="MJQ39" s="427"/>
      <c r="MJR39" s="424"/>
      <c r="MJS39" s="427"/>
      <c r="MJT39" s="424"/>
      <c r="MJU39" s="427"/>
      <c r="MJV39" s="424"/>
      <c r="MJW39" s="427"/>
      <c r="MJX39" s="424"/>
      <c r="MJY39" s="427"/>
      <c r="MJZ39" s="424"/>
      <c r="MKA39" s="427"/>
      <c r="MKB39" s="424"/>
      <c r="MKC39" s="427"/>
      <c r="MKD39" s="424"/>
      <c r="MKE39" s="427"/>
      <c r="MKF39" s="424"/>
      <c r="MKG39" s="427"/>
      <c r="MKH39" s="424"/>
      <c r="MKI39" s="427"/>
      <c r="MKJ39" s="424"/>
      <c r="MKK39" s="427"/>
      <c r="MKL39" s="424"/>
      <c r="MKM39" s="427"/>
      <c r="MKN39" s="424"/>
      <c r="MKO39" s="427"/>
      <c r="MKP39" s="424"/>
      <c r="MKQ39" s="427"/>
      <c r="MKR39" s="424"/>
      <c r="MKS39" s="427"/>
      <c r="MKT39" s="424"/>
      <c r="MKU39" s="427"/>
      <c r="MKV39" s="424"/>
      <c r="MKW39" s="427"/>
      <c r="MKX39" s="424"/>
      <c r="MKY39" s="427"/>
      <c r="MKZ39" s="424"/>
      <c r="MLA39" s="427"/>
      <c r="MLB39" s="424"/>
      <c r="MLC39" s="427"/>
      <c r="MLD39" s="424"/>
      <c r="MLE39" s="427"/>
      <c r="MLF39" s="424"/>
      <c r="MLG39" s="427"/>
      <c r="MLH39" s="424"/>
      <c r="MLI39" s="427"/>
      <c r="MLJ39" s="424"/>
      <c r="MLK39" s="427"/>
      <c r="MLL39" s="424"/>
      <c r="MLM39" s="427"/>
      <c r="MLN39" s="424"/>
      <c r="MLO39" s="427"/>
      <c r="MLP39" s="424"/>
      <c r="MLQ39" s="427"/>
      <c r="MLR39" s="424"/>
      <c r="MLS39" s="427"/>
      <c r="MLT39" s="424"/>
      <c r="MLU39" s="427"/>
      <c r="MLV39" s="424"/>
      <c r="MLW39" s="427"/>
      <c r="MLX39" s="424"/>
      <c r="MLY39" s="427"/>
      <c r="MLZ39" s="424"/>
      <c r="MMA39" s="427"/>
      <c r="MMB39" s="424"/>
      <c r="MMC39" s="427"/>
      <c r="MMD39" s="424"/>
      <c r="MME39" s="427"/>
      <c r="MMF39" s="424"/>
      <c r="MMG39" s="427"/>
      <c r="MMH39" s="424"/>
      <c r="MMI39" s="427"/>
      <c r="MMJ39" s="424"/>
      <c r="MMK39" s="427"/>
      <c r="MML39" s="424"/>
      <c r="MMM39" s="427"/>
      <c r="MMN39" s="424"/>
      <c r="MMO39" s="427"/>
      <c r="MMP39" s="424"/>
      <c r="MMQ39" s="427"/>
      <c r="MMR39" s="424"/>
      <c r="MMS39" s="427"/>
      <c r="MMT39" s="424"/>
      <c r="MMU39" s="427"/>
      <c r="MMV39" s="424"/>
      <c r="MMW39" s="427"/>
      <c r="MMX39" s="424"/>
      <c r="MMY39" s="427"/>
      <c r="MMZ39" s="424"/>
      <c r="MNA39" s="427"/>
      <c r="MNB39" s="424"/>
      <c r="MNC39" s="427"/>
      <c r="MND39" s="424"/>
      <c r="MNE39" s="427"/>
      <c r="MNF39" s="424"/>
      <c r="MNG39" s="427"/>
      <c r="MNH39" s="424"/>
      <c r="MNI39" s="427"/>
      <c r="MNJ39" s="424"/>
      <c r="MNK39" s="427"/>
      <c r="MNL39" s="424"/>
      <c r="MNM39" s="427"/>
      <c r="MNN39" s="424"/>
      <c r="MNO39" s="427"/>
      <c r="MNP39" s="424"/>
      <c r="MNQ39" s="427"/>
      <c r="MNR39" s="424"/>
      <c r="MNS39" s="427"/>
      <c r="MNT39" s="424"/>
      <c r="MNU39" s="427"/>
      <c r="MNV39" s="424"/>
      <c r="MNW39" s="427"/>
      <c r="MNX39" s="424"/>
      <c r="MNY39" s="427"/>
      <c r="MNZ39" s="424"/>
      <c r="MOA39" s="427"/>
      <c r="MOB39" s="424"/>
      <c r="MOC39" s="427"/>
      <c r="MOD39" s="424"/>
      <c r="MOE39" s="427"/>
      <c r="MOF39" s="424"/>
      <c r="MOG39" s="427"/>
      <c r="MOH39" s="424"/>
      <c r="MOI39" s="427"/>
      <c r="MOJ39" s="424"/>
      <c r="MOK39" s="427"/>
      <c r="MOL39" s="424"/>
      <c r="MOM39" s="427"/>
      <c r="MON39" s="424"/>
      <c r="MOO39" s="427"/>
      <c r="MOP39" s="424"/>
      <c r="MOQ39" s="427"/>
      <c r="MOR39" s="424"/>
      <c r="MOS39" s="427"/>
      <c r="MOT39" s="424"/>
      <c r="MOU39" s="427"/>
      <c r="MOV39" s="424"/>
      <c r="MOW39" s="427"/>
      <c r="MOX39" s="424"/>
      <c r="MOY39" s="427"/>
      <c r="MOZ39" s="424"/>
      <c r="MPA39" s="427"/>
      <c r="MPB39" s="424"/>
      <c r="MPC39" s="427"/>
      <c r="MPD39" s="424"/>
      <c r="MPE39" s="427"/>
      <c r="MPF39" s="424"/>
      <c r="MPG39" s="427"/>
      <c r="MPH39" s="424"/>
      <c r="MPI39" s="427"/>
      <c r="MPJ39" s="424"/>
      <c r="MPK39" s="427"/>
      <c r="MPL39" s="424"/>
      <c r="MPM39" s="427"/>
      <c r="MPN39" s="424"/>
      <c r="MPO39" s="427"/>
      <c r="MPP39" s="424"/>
      <c r="MPQ39" s="427"/>
      <c r="MPR39" s="424"/>
      <c r="MPS39" s="427"/>
      <c r="MPT39" s="424"/>
      <c r="MPU39" s="427"/>
      <c r="MPV39" s="424"/>
      <c r="MPW39" s="427"/>
      <c r="MPX39" s="424"/>
      <c r="MPY39" s="427"/>
      <c r="MPZ39" s="424"/>
      <c r="MQA39" s="427"/>
      <c r="MQB39" s="424"/>
      <c r="MQC39" s="427"/>
      <c r="MQD39" s="424"/>
      <c r="MQE39" s="427"/>
      <c r="MQF39" s="424"/>
      <c r="MQG39" s="427"/>
      <c r="MQH39" s="424"/>
      <c r="MQI39" s="427"/>
      <c r="MQJ39" s="424"/>
      <c r="MQK39" s="427"/>
      <c r="MQL39" s="424"/>
      <c r="MQM39" s="427"/>
      <c r="MQN39" s="424"/>
      <c r="MQO39" s="427"/>
      <c r="MQP39" s="424"/>
      <c r="MQQ39" s="427"/>
      <c r="MQR39" s="424"/>
      <c r="MQS39" s="427"/>
      <c r="MQT39" s="424"/>
      <c r="MQU39" s="427"/>
      <c r="MQV39" s="424"/>
      <c r="MQW39" s="427"/>
      <c r="MQX39" s="424"/>
      <c r="MQY39" s="427"/>
      <c r="MQZ39" s="424"/>
      <c r="MRA39" s="427"/>
      <c r="MRB39" s="424"/>
      <c r="MRC39" s="427"/>
      <c r="MRD39" s="424"/>
      <c r="MRE39" s="427"/>
      <c r="MRF39" s="424"/>
      <c r="MRG39" s="427"/>
      <c r="MRH39" s="424"/>
      <c r="MRI39" s="427"/>
      <c r="MRJ39" s="424"/>
      <c r="MRK39" s="427"/>
      <c r="MRL39" s="424"/>
      <c r="MRM39" s="427"/>
      <c r="MRN39" s="424"/>
      <c r="MRO39" s="427"/>
      <c r="MRP39" s="424"/>
      <c r="MRQ39" s="427"/>
      <c r="MRR39" s="424"/>
      <c r="MRS39" s="427"/>
      <c r="MRT39" s="424"/>
      <c r="MRU39" s="427"/>
      <c r="MRV39" s="424"/>
      <c r="MRW39" s="427"/>
      <c r="MRX39" s="424"/>
      <c r="MRY39" s="427"/>
      <c r="MRZ39" s="424"/>
      <c r="MSA39" s="427"/>
      <c r="MSB39" s="424"/>
      <c r="MSC39" s="427"/>
      <c r="MSD39" s="424"/>
      <c r="MSE39" s="427"/>
      <c r="MSF39" s="424"/>
      <c r="MSG39" s="427"/>
      <c r="MSH39" s="424"/>
      <c r="MSI39" s="427"/>
      <c r="MSJ39" s="424"/>
      <c r="MSK39" s="427"/>
      <c r="MSL39" s="424"/>
      <c r="MSM39" s="427"/>
      <c r="MSN39" s="424"/>
      <c r="MSO39" s="427"/>
      <c r="MSP39" s="424"/>
      <c r="MSQ39" s="427"/>
      <c r="MSR39" s="424"/>
      <c r="MSS39" s="427"/>
      <c r="MST39" s="424"/>
      <c r="MSU39" s="427"/>
      <c r="MSV39" s="424"/>
      <c r="MSW39" s="427"/>
      <c r="MSX39" s="424"/>
      <c r="MSY39" s="427"/>
      <c r="MSZ39" s="424"/>
      <c r="MTA39" s="427"/>
      <c r="MTB39" s="424"/>
      <c r="MTC39" s="427"/>
      <c r="MTD39" s="424"/>
      <c r="MTE39" s="427"/>
      <c r="MTF39" s="424"/>
      <c r="MTG39" s="427"/>
      <c r="MTH39" s="424"/>
      <c r="MTI39" s="427"/>
      <c r="MTJ39" s="424"/>
      <c r="MTK39" s="427"/>
      <c r="MTL39" s="424"/>
      <c r="MTM39" s="427"/>
      <c r="MTN39" s="424"/>
      <c r="MTO39" s="427"/>
      <c r="MTP39" s="424"/>
      <c r="MTQ39" s="427"/>
      <c r="MTR39" s="424"/>
      <c r="MTS39" s="427"/>
      <c r="MTT39" s="424"/>
      <c r="MTU39" s="427"/>
      <c r="MTV39" s="424"/>
      <c r="MTW39" s="427"/>
      <c r="MTX39" s="424"/>
      <c r="MTY39" s="427"/>
      <c r="MTZ39" s="424"/>
      <c r="MUA39" s="427"/>
      <c r="MUB39" s="424"/>
      <c r="MUC39" s="427"/>
      <c r="MUD39" s="424"/>
      <c r="MUE39" s="427"/>
      <c r="MUF39" s="424"/>
      <c r="MUG39" s="427"/>
      <c r="MUH39" s="424"/>
      <c r="MUI39" s="427"/>
      <c r="MUJ39" s="424"/>
      <c r="MUK39" s="427"/>
      <c r="MUL39" s="424"/>
      <c r="MUM39" s="427"/>
      <c r="MUN39" s="424"/>
      <c r="MUO39" s="427"/>
      <c r="MUP39" s="424"/>
      <c r="MUQ39" s="427"/>
      <c r="MUR39" s="424"/>
      <c r="MUS39" s="427"/>
      <c r="MUT39" s="424"/>
      <c r="MUU39" s="427"/>
      <c r="MUV39" s="424"/>
      <c r="MUW39" s="427"/>
      <c r="MUX39" s="424"/>
      <c r="MUY39" s="427"/>
      <c r="MUZ39" s="424"/>
      <c r="MVA39" s="427"/>
      <c r="MVB39" s="424"/>
      <c r="MVC39" s="427"/>
      <c r="MVD39" s="424"/>
      <c r="MVE39" s="427"/>
      <c r="MVF39" s="424"/>
      <c r="MVG39" s="427"/>
      <c r="MVH39" s="424"/>
      <c r="MVI39" s="427"/>
      <c r="MVJ39" s="424"/>
      <c r="MVK39" s="427"/>
      <c r="MVL39" s="424"/>
      <c r="MVM39" s="427"/>
      <c r="MVN39" s="424"/>
      <c r="MVO39" s="427"/>
      <c r="MVP39" s="424"/>
      <c r="MVQ39" s="427"/>
      <c r="MVR39" s="424"/>
      <c r="MVS39" s="427"/>
      <c r="MVT39" s="424"/>
      <c r="MVU39" s="427"/>
      <c r="MVV39" s="424"/>
      <c r="MVW39" s="427"/>
      <c r="MVX39" s="424"/>
      <c r="MVY39" s="427"/>
      <c r="MVZ39" s="424"/>
      <c r="MWA39" s="427"/>
      <c r="MWB39" s="424"/>
      <c r="MWC39" s="427"/>
      <c r="MWD39" s="424"/>
      <c r="MWE39" s="427"/>
      <c r="MWF39" s="424"/>
      <c r="MWG39" s="427"/>
      <c r="MWH39" s="424"/>
      <c r="MWI39" s="427"/>
      <c r="MWJ39" s="424"/>
      <c r="MWK39" s="427"/>
      <c r="MWL39" s="424"/>
      <c r="MWM39" s="427"/>
      <c r="MWN39" s="424"/>
      <c r="MWO39" s="427"/>
      <c r="MWP39" s="424"/>
      <c r="MWQ39" s="427"/>
      <c r="MWR39" s="424"/>
      <c r="MWS39" s="427"/>
      <c r="MWT39" s="424"/>
      <c r="MWU39" s="427"/>
      <c r="MWV39" s="424"/>
      <c r="MWW39" s="427"/>
      <c r="MWX39" s="424"/>
      <c r="MWY39" s="427"/>
      <c r="MWZ39" s="424"/>
      <c r="MXA39" s="427"/>
      <c r="MXB39" s="424"/>
      <c r="MXC39" s="427"/>
      <c r="MXD39" s="424"/>
      <c r="MXE39" s="427"/>
      <c r="MXF39" s="424"/>
      <c r="MXG39" s="427"/>
      <c r="MXH39" s="424"/>
      <c r="MXI39" s="427"/>
      <c r="MXJ39" s="424"/>
      <c r="MXK39" s="427"/>
      <c r="MXL39" s="424"/>
      <c r="MXM39" s="427"/>
      <c r="MXN39" s="424"/>
      <c r="MXO39" s="427"/>
      <c r="MXP39" s="424"/>
      <c r="MXQ39" s="427"/>
      <c r="MXR39" s="424"/>
      <c r="MXS39" s="427"/>
      <c r="MXT39" s="424"/>
      <c r="MXU39" s="427"/>
      <c r="MXV39" s="424"/>
      <c r="MXW39" s="427"/>
      <c r="MXX39" s="424"/>
      <c r="MXY39" s="427"/>
      <c r="MXZ39" s="424"/>
      <c r="MYA39" s="427"/>
      <c r="MYB39" s="424"/>
      <c r="MYC39" s="427"/>
      <c r="MYD39" s="424"/>
      <c r="MYE39" s="427"/>
      <c r="MYF39" s="424"/>
      <c r="MYG39" s="427"/>
      <c r="MYH39" s="424"/>
      <c r="MYI39" s="427"/>
      <c r="MYJ39" s="424"/>
      <c r="MYK39" s="427"/>
      <c r="MYL39" s="424"/>
      <c r="MYM39" s="427"/>
      <c r="MYN39" s="424"/>
      <c r="MYO39" s="427"/>
      <c r="MYP39" s="424"/>
      <c r="MYQ39" s="427"/>
      <c r="MYR39" s="424"/>
      <c r="MYS39" s="427"/>
      <c r="MYT39" s="424"/>
      <c r="MYU39" s="427"/>
      <c r="MYV39" s="424"/>
      <c r="MYW39" s="427"/>
      <c r="MYX39" s="424"/>
      <c r="MYY39" s="427"/>
      <c r="MYZ39" s="424"/>
      <c r="MZA39" s="427"/>
      <c r="MZB39" s="424"/>
      <c r="MZC39" s="427"/>
      <c r="MZD39" s="424"/>
      <c r="MZE39" s="427"/>
      <c r="MZF39" s="424"/>
      <c r="MZG39" s="427"/>
      <c r="MZH39" s="424"/>
      <c r="MZI39" s="427"/>
      <c r="MZJ39" s="424"/>
      <c r="MZK39" s="427"/>
      <c r="MZL39" s="424"/>
      <c r="MZM39" s="427"/>
      <c r="MZN39" s="424"/>
      <c r="MZO39" s="427"/>
      <c r="MZP39" s="424"/>
      <c r="MZQ39" s="427"/>
      <c r="MZR39" s="424"/>
      <c r="MZS39" s="427"/>
      <c r="MZT39" s="424"/>
      <c r="MZU39" s="427"/>
      <c r="MZV39" s="424"/>
      <c r="MZW39" s="427"/>
      <c r="MZX39" s="424"/>
      <c r="MZY39" s="427"/>
      <c r="MZZ39" s="424"/>
      <c r="NAA39" s="427"/>
      <c r="NAB39" s="424"/>
      <c r="NAC39" s="427"/>
      <c r="NAD39" s="424"/>
      <c r="NAE39" s="427"/>
      <c r="NAF39" s="424"/>
      <c r="NAG39" s="427"/>
      <c r="NAH39" s="424"/>
      <c r="NAI39" s="427"/>
      <c r="NAJ39" s="424"/>
      <c r="NAK39" s="427"/>
      <c r="NAL39" s="424"/>
      <c r="NAM39" s="427"/>
      <c r="NAN39" s="424"/>
      <c r="NAO39" s="427"/>
      <c r="NAP39" s="424"/>
      <c r="NAQ39" s="427"/>
      <c r="NAR39" s="424"/>
      <c r="NAS39" s="427"/>
      <c r="NAT39" s="424"/>
      <c r="NAU39" s="427"/>
      <c r="NAV39" s="424"/>
      <c r="NAW39" s="427"/>
      <c r="NAX39" s="424"/>
      <c r="NAY39" s="427"/>
      <c r="NAZ39" s="424"/>
      <c r="NBA39" s="427"/>
      <c r="NBB39" s="424"/>
      <c r="NBC39" s="427"/>
      <c r="NBD39" s="424"/>
      <c r="NBE39" s="427"/>
      <c r="NBF39" s="424"/>
      <c r="NBG39" s="427"/>
      <c r="NBH39" s="424"/>
      <c r="NBI39" s="427"/>
      <c r="NBJ39" s="424"/>
      <c r="NBK39" s="427"/>
      <c r="NBL39" s="424"/>
      <c r="NBM39" s="427"/>
      <c r="NBN39" s="424"/>
      <c r="NBO39" s="427"/>
      <c r="NBP39" s="424"/>
      <c r="NBQ39" s="427"/>
      <c r="NBR39" s="424"/>
      <c r="NBS39" s="427"/>
      <c r="NBT39" s="424"/>
      <c r="NBU39" s="427"/>
      <c r="NBV39" s="424"/>
      <c r="NBW39" s="427"/>
      <c r="NBX39" s="424"/>
      <c r="NBY39" s="427"/>
      <c r="NBZ39" s="424"/>
      <c r="NCA39" s="427"/>
      <c r="NCB39" s="424"/>
      <c r="NCC39" s="427"/>
      <c r="NCD39" s="424"/>
      <c r="NCE39" s="427"/>
      <c r="NCF39" s="424"/>
      <c r="NCG39" s="427"/>
      <c r="NCH39" s="424"/>
      <c r="NCI39" s="427"/>
      <c r="NCJ39" s="424"/>
      <c r="NCK39" s="427"/>
      <c r="NCL39" s="424"/>
      <c r="NCM39" s="427"/>
      <c r="NCN39" s="424"/>
      <c r="NCO39" s="427"/>
      <c r="NCP39" s="424"/>
      <c r="NCQ39" s="427"/>
      <c r="NCR39" s="424"/>
      <c r="NCS39" s="427"/>
      <c r="NCT39" s="424"/>
      <c r="NCU39" s="427"/>
      <c r="NCV39" s="424"/>
      <c r="NCW39" s="427"/>
      <c r="NCX39" s="424"/>
      <c r="NCY39" s="427"/>
      <c r="NCZ39" s="424"/>
      <c r="NDA39" s="427"/>
      <c r="NDB39" s="424"/>
      <c r="NDC39" s="427"/>
      <c r="NDD39" s="424"/>
      <c r="NDE39" s="427"/>
      <c r="NDF39" s="424"/>
      <c r="NDG39" s="427"/>
      <c r="NDH39" s="424"/>
      <c r="NDI39" s="427"/>
      <c r="NDJ39" s="424"/>
      <c r="NDK39" s="427"/>
      <c r="NDL39" s="424"/>
      <c r="NDM39" s="427"/>
      <c r="NDN39" s="424"/>
      <c r="NDO39" s="427"/>
      <c r="NDP39" s="424"/>
      <c r="NDQ39" s="427"/>
      <c r="NDR39" s="424"/>
      <c r="NDS39" s="427"/>
      <c r="NDT39" s="424"/>
      <c r="NDU39" s="427"/>
      <c r="NDV39" s="424"/>
      <c r="NDW39" s="427"/>
      <c r="NDX39" s="424"/>
      <c r="NDY39" s="427"/>
      <c r="NDZ39" s="424"/>
      <c r="NEA39" s="427"/>
      <c r="NEB39" s="424"/>
      <c r="NEC39" s="427"/>
      <c r="NED39" s="424"/>
      <c r="NEE39" s="427"/>
      <c r="NEF39" s="424"/>
      <c r="NEG39" s="427"/>
      <c r="NEH39" s="424"/>
      <c r="NEI39" s="427"/>
      <c r="NEJ39" s="424"/>
      <c r="NEK39" s="427"/>
      <c r="NEL39" s="424"/>
      <c r="NEM39" s="427"/>
      <c r="NEN39" s="424"/>
      <c r="NEO39" s="427"/>
      <c r="NEP39" s="424"/>
      <c r="NEQ39" s="427"/>
      <c r="NER39" s="424"/>
      <c r="NES39" s="427"/>
      <c r="NET39" s="424"/>
      <c r="NEU39" s="427"/>
      <c r="NEV39" s="424"/>
      <c r="NEW39" s="427"/>
      <c r="NEX39" s="424"/>
      <c r="NEY39" s="427"/>
      <c r="NEZ39" s="424"/>
      <c r="NFA39" s="427"/>
      <c r="NFB39" s="424"/>
      <c r="NFC39" s="427"/>
      <c r="NFD39" s="424"/>
      <c r="NFE39" s="427"/>
      <c r="NFF39" s="424"/>
      <c r="NFG39" s="427"/>
      <c r="NFH39" s="424"/>
      <c r="NFI39" s="427"/>
      <c r="NFJ39" s="424"/>
      <c r="NFK39" s="427"/>
      <c r="NFL39" s="424"/>
      <c r="NFM39" s="427"/>
      <c r="NFN39" s="424"/>
      <c r="NFO39" s="427"/>
      <c r="NFP39" s="424"/>
      <c r="NFQ39" s="427"/>
      <c r="NFR39" s="424"/>
      <c r="NFS39" s="427"/>
      <c r="NFT39" s="424"/>
      <c r="NFU39" s="427"/>
      <c r="NFV39" s="424"/>
      <c r="NFW39" s="427"/>
      <c r="NFX39" s="424"/>
      <c r="NFY39" s="427"/>
      <c r="NFZ39" s="424"/>
      <c r="NGA39" s="427"/>
      <c r="NGB39" s="424"/>
      <c r="NGC39" s="427"/>
      <c r="NGD39" s="424"/>
      <c r="NGE39" s="427"/>
      <c r="NGF39" s="424"/>
      <c r="NGG39" s="427"/>
      <c r="NGH39" s="424"/>
      <c r="NGI39" s="427"/>
      <c r="NGJ39" s="424"/>
      <c r="NGK39" s="427"/>
      <c r="NGL39" s="424"/>
      <c r="NGM39" s="427"/>
      <c r="NGN39" s="424"/>
      <c r="NGO39" s="427"/>
      <c r="NGP39" s="424"/>
      <c r="NGQ39" s="427"/>
      <c r="NGR39" s="424"/>
      <c r="NGS39" s="427"/>
      <c r="NGT39" s="424"/>
      <c r="NGU39" s="427"/>
      <c r="NGV39" s="424"/>
      <c r="NGW39" s="427"/>
      <c r="NGX39" s="424"/>
      <c r="NGY39" s="427"/>
      <c r="NGZ39" s="424"/>
      <c r="NHA39" s="427"/>
      <c r="NHB39" s="424"/>
      <c r="NHC39" s="427"/>
      <c r="NHD39" s="424"/>
      <c r="NHE39" s="427"/>
      <c r="NHF39" s="424"/>
      <c r="NHG39" s="427"/>
      <c r="NHH39" s="424"/>
      <c r="NHI39" s="427"/>
      <c r="NHJ39" s="424"/>
      <c r="NHK39" s="427"/>
      <c r="NHL39" s="424"/>
      <c r="NHM39" s="427"/>
      <c r="NHN39" s="424"/>
      <c r="NHO39" s="427"/>
      <c r="NHP39" s="424"/>
      <c r="NHQ39" s="427"/>
      <c r="NHR39" s="424"/>
      <c r="NHS39" s="427"/>
      <c r="NHT39" s="424"/>
      <c r="NHU39" s="427"/>
      <c r="NHV39" s="424"/>
      <c r="NHW39" s="427"/>
      <c r="NHX39" s="424"/>
      <c r="NHY39" s="427"/>
      <c r="NHZ39" s="424"/>
      <c r="NIA39" s="427"/>
      <c r="NIB39" s="424"/>
      <c r="NIC39" s="427"/>
      <c r="NID39" s="424"/>
      <c r="NIE39" s="427"/>
      <c r="NIF39" s="424"/>
      <c r="NIG39" s="427"/>
      <c r="NIH39" s="424"/>
      <c r="NII39" s="427"/>
      <c r="NIJ39" s="424"/>
      <c r="NIK39" s="427"/>
      <c r="NIL39" s="424"/>
      <c r="NIM39" s="427"/>
      <c r="NIN39" s="424"/>
      <c r="NIO39" s="427"/>
      <c r="NIP39" s="424"/>
      <c r="NIQ39" s="427"/>
      <c r="NIR39" s="424"/>
      <c r="NIS39" s="427"/>
      <c r="NIT39" s="424"/>
      <c r="NIU39" s="427"/>
      <c r="NIV39" s="424"/>
      <c r="NIW39" s="427"/>
      <c r="NIX39" s="424"/>
      <c r="NIY39" s="427"/>
      <c r="NIZ39" s="424"/>
      <c r="NJA39" s="427"/>
      <c r="NJB39" s="424"/>
      <c r="NJC39" s="427"/>
      <c r="NJD39" s="424"/>
      <c r="NJE39" s="427"/>
      <c r="NJF39" s="424"/>
      <c r="NJG39" s="427"/>
      <c r="NJH39" s="424"/>
      <c r="NJI39" s="427"/>
      <c r="NJJ39" s="424"/>
      <c r="NJK39" s="427"/>
      <c r="NJL39" s="424"/>
      <c r="NJM39" s="427"/>
      <c r="NJN39" s="424"/>
      <c r="NJO39" s="427"/>
      <c r="NJP39" s="424"/>
      <c r="NJQ39" s="427"/>
      <c r="NJR39" s="424"/>
      <c r="NJS39" s="427"/>
      <c r="NJT39" s="424"/>
      <c r="NJU39" s="427"/>
      <c r="NJV39" s="424"/>
      <c r="NJW39" s="427"/>
      <c r="NJX39" s="424"/>
      <c r="NJY39" s="427"/>
      <c r="NJZ39" s="424"/>
      <c r="NKA39" s="427"/>
      <c r="NKB39" s="424"/>
      <c r="NKC39" s="427"/>
      <c r="NKD39" s="424"/>
      <c r="NKE39" s="427"/>
      <c r="NKF39" s="424"/>
      <c r="NKG39" s="427"/>
      <c r="NKH39" s="424"/>
      <c r="NKI39" s="427"/>
      <c r="NKJ39" s="424"/>
      <c r="NKK39" s="427"/>
      <c r="NKL39" s="424"/>
      <c r="NKM39" s="427"/>
      <c r="NKN39" s="424"/>
      <c r="NKO39" s="427"/>
      <c r="NKP39" s="424"/>
      <c r="NKQ39" s="427"/>
      <c r="NKR39" s="424"/>
      <c r="NKS39" s="427"/>
      <c r="NKT39" s="424"/>
      <c r="NKU39" s="427"/>
      <c r="NKV39" s="424"/>
      <c r="NKW39" s="427"/>
      <c r="NKX39" s="424"/>
      <c r="NKY39" s="427"/>
      <c r="NKZ39" s="424"/>
      <c r="NLA39" s="427"/>
      <c r="NLB39" s="424"/>
      <c r="NLC39" s="427"/>
      <c r="NLD39" s="424"/>
      <c r="NLE39" s="427"/>
      <c r="NLF39" s="424"/>
      <c r="NLG39" s="427"/>
      <c r="NLH39" s="424"/>
      <c r="NLI39" s="427"/>
      <c r="NLJ39" s="424"/>
      <c r="NLK39" s="427"/>
      <c r="NLL39" s="424"/>
      <c r="NLM39" s="427"/>
      <c r="NLN39" s="424"/>
      <c r="NLO39" s="427"/>
      <c r="NLP39" s="424"/>
      <c r="NLQ39" s="427"/>
      <c r="NLR39" s="424"/>
      <c r="NLS39" s="427"/>
      <c r="NLT39" s="424"/>
      <c r="NLU39" s="427"/>
      <c r="NLV39" s="424"/>
      <c r="NLW39" s="427"/>
      <c r="NLX39" s="424"/>
      <c r="NLY39" s="427"/>
      <c r="NLZ39" s="424"/>
      <c r="NMA39" s="427"/>
      <c r="NMB39" s="424"/>
      <c r="NMC39" s="427"/>
      <c r="NMD39" s="424"/>
      <c r="NME39" s="427"/>
      <c r="NMF39" s="424"/>
      <c r="NMG39" s="427"/>
      <c r="NMH39" s="424"/>
      <c r="NMI39" s="427"/>
      <c r="NMJ39" s="424"/>
      <c r="NMK39" s="427"/>
      <c r="NML39" s="424"/>
      <c r="NMM39" s="427"/>
      <c r="NMN39" s="424"/>
      <c r="NMO39" s="427"/>
      <c r="NMP39" s="424"/>
      <c r="NMQ39" s="427"/>
      <c r="NMR39" s="424"/>
      <c r="NMS39" s="427"/>
      <c r="NMT39" s="424"/>
      <c r="NMU39" s="427"/>
      <c r="NMV39" s="424"/>
      <c r="NMW39" s="427"/>
      <c r="NMX39" s="424"/>
      <c r="NMY39" s="427"/>
      <c r="NMZ39" s="424"/>
      <c r="NNA39" s="427"/>
      <c r="NNB39" s="424"/>
      <c r="NNC39" s="427"/>
      <c r="NND39" s="424"/>
      <c r="NNE39" s="427"/>
      <c r="NNF39" s="424"/>
      <c r="NNG39" s="427"/>
      <c r="NNH39" s="424"/>
      <c r="NNI39" s="427"/>
      <c r="NNJ39" s="424"/>
      <c r="NNK39" s="427"/>
      <c r="NNL39" s="424"/>
      <c r="NNM39" s="427"/>
      <c r="NNN39" s="424"/>
      <c r="NNO39" s="427"/>
      <c r="NNP39" s="424"/>
      <c r="NNQ39" s="427"/>
      <c r="NNR39" s="424"/>
      <c r="NNS39" s="427"/>
      <c r="NNT39" s="424"/>
      <c r="NNU39" s="427"/>
      <c r="NNV39" s="424"/>
      <c r="NNW39" s="427"/>
      <c r="NNX39" s="424"/>
      <c r="NNY39" s="427"/>
      <c r="NNZ39" s="424"/>
      <c r="NOA39" s="427"/>
      <c r="NOB39" s="424"/>
      <c r="NOC39" s="427"/>
      <c r="NOD39" s="424"/>
      <c r="NOE39" s="427"/>
      <c r="NOF39" s="424"/>
      <c r="NOG39" s="427"/>
      <c r="NOH39" s="424"/>
      <c r="NOI39" s="427"/>
      <c r="NOJ39" s="424"/>
      <c r="NOK39" s="427"/>
      <c r="NOL39" s="424"/>
      <c r="NOM39" s="427"/>
      <c r="NON39" s="424"/>
      <c r="NOO39" s="427"/>
      <c r="NOP39" s="424"/>
      <c r="NOQ39" s="427"/>
      <c r="NOR39" s="424"/>
      <c r="NOS39" s="427"/>
      <c r="NOT39" s="424"/>
      <c r="NOU39" s="427"/>
      <c r="NOV39" s="424"/>
      <c r="NOW39" s="427"/>
      <c r="NOX39" s="424"/>
      <c r="NOY39" s="427"/>
      <c r="NOZ39" s="424"/>
      <c r="NPA39" s="427"/>
      <c r="NPB39" s="424"/>
      <c r="NPC39" s="427"/>
      <c r="NPD39" s="424"/>
      <c r="NPE39" s="427"/>
      <c r="NPF39" s="424"/>
      <c r="NPG39" s="427"/>
      <c r="NPH39" s="424"/>
      <c r="NPI39" s="427"/>
      <c r="NPJ39" s="424"/>
      <c r="NPK39" s="427"/>
      <c r="NPL39" s="424"/>
      <c r="NPM39" s="427"/>
      <c r="NPN39" s="424"/>
      <c r="NPO39" s="427"/>
      <c r="NPP39" s="424"/>
      <c r="NPQ39" s="427"/>
      <c r="NPR39" s="424"/>
      <c r="NPS39" s="427"/>
      <c r="NPT39" s="424"/>
      <c r="NPU39" s="427"/>
      <c r="NPV39" s="424"/>
      <c r="NPW39" s="427"/>
      <c r="NPX39" s="424"/>
      <c r="NPY39" s="427"/>
      <c r="NPZ39" s="424"/>
      <c r="NQA39" s="427"/>
      <c r="NQB39" s="424"/>
      <c r="NQC39" s="427"/>
      <c r="NQD39" s="424"/>
      <c r="NQE39" s="427"/>
      <c r="NQF39" s="424"/>
      <c r="NQG39" s="427"/>
      <c r="NQH39" s="424"/>
      <c r="NQI39" s="427"/>
      <c r="NQJ39" s="424"/>
      <c r="NQK39" s="427"/>
      <c r="NQL39" s="424"/>
      <c r="NQM39" s="427"/>
      <c r="NQN39" s="424"/>
      <c r="NQO39" s="427"/>
      <c r="NQP39" s="424"/>
      <c r="NQQ39" s="427"/>
      <c r="NQR39" s="424"/>
      <c r="NQS39" s="427"/>
      <c r="NQT39" s="424"/>
      <c r="NQU39" s="427"/>
      <c r="NQV39" s="424"/>
      <c r="NQW39" s="427"/>
      <c r="NQX39" s="424"/>
      <c r="NQY39" s="427"/>
      <c r="NQZ39" s="424"/>
      <c r="NRA39" s="427"/>
      <c r="NRB39" s="424"/>
      <c r="NRC39" s="427"/>
      <c r="NRD39" s="424"/>
      <c r="NRE39" s="427"/>
      <c r="NRF39" s="424"/>
      <c r="NRG39" s="427"/>
      <c r="NRH39" s="424"/>
      <c r="NRI39" s="427"/>
      <c r="NRJ39" s="424"/>
      <c r="NRK39" s="427"/>
      <c r="NRL39" s="424"/>
      <c r="NRM39" s="427"/>
      <c r="NRN39" s="424"/>
      <c r="NRO39" s="427"/>
      <c r="NRP39" s="424"/>
      <c r="NRQ39" s="427"/>
      <c r="NRR39" s="424"/>
      <c r="NRS39" s="427"/>
      <c r="NRT39" s="424"/>
      <c r="NRU39" s="427"/>
      <c r="NRV39" s="424"/>
      <c r="NRW39" s="427"/>
      <c r="NRX39" s="424"/>
      <c r="NRY39" s="427"/>
      <c r="NRZ39" s="424"/>
      <c r="NSA39" s="427"/>
      <c r="NSB39" s="424"/>
      <c r="NSC39" s="427"/>
      <c r="NSD39" s="424"/>
      <c r="NSE39" s="427"/>
      <c r="NSF39" s="424"/>
      <c r="NSG39" s="427"/>
      <c r="NSH39" s="424"/>
      <c r="NSI39" s="427"/>
      <c r="NSJ39" s="424"/>
      <c r="NSK39" s="427"/>
      <c r="NSL39" s="424"/>
      <c r="NSM39" s="427"/>
      <c r="NSN39" s="424"/>
      <c r="NSO39" s="427"/>
      <c r="NSP39" s="424"/>
      <c r="NSQ39" s="427"/>
      <c r="NSR39" s="424"/>
      <c r="NSS39" s="427"/>
      <c r="NST39" s="424"/>
      <c r="NSU39" s="427"/>
      <c r="NSV39" s="424"/>
      <c r="NSW39" s="427"/>
      <c r="NSX39" s="424"/>
      <c r="NSY39" s="427"/>
      <c r="NSZ39" s="424"/>
      <c r="NTA39" s="427"/>
      <c r="NTB39" s="424"/>
      <c r="NTC39" s="427"/>
      <c r="NTD39" s="424"/>
      <c r="NTE39" s="427"/>
      <c r="NTF39" s="424"/>
      <c r="NTG39" s="427"/>
      <c r="NTH39" s="424"/>
      <c r="NTI39" s="427"/>
      <c r="NTJ39" s="424"/>
      <c r="NTK39" s="427"/>
      <c r="NTL39" s="424"/>
      <c r="NTM39" s="427"/>
      <c r="NTN39" s="424"/>
      <c r="NTO39" s="427"/>
      <c r="NTP39" s="424"/>
      <c r="NTQ39" s="427"/>
      <c r="NTR39" s="424"/>
      <c r="NTS39" s="427"/>
      <c r="NTT39" s="424"/>
      <c r="NTU39" s="427"/>
      <c r="NTV39" s="424"/>
      <c r="NTW39" s="427"/>
      <c r="NTX39" s="424"/>
      <c r="NTY39" s="427"/>
      <c r="NTZ39" s="424"/>
      <c r="NUA39" s="427"/>
      <c r="NUB39" s="424"/>
      <c r="NUC39" s="427"/>
      <c r="NUD39" s="424"/>
      <c r="NUE39" s="427"/>
      <c r="NUF39" s="424"/>
      <c r="NUG39" s="427"/>
      <c r="NUH39" s="424"/>
      <c r="NUI39" s="427"/>
      <c r="NUJ39" s="424"/>
      <c r="NUK39" s="427"/>
      <c r="NUL39" s="424"/>
      <c r="NUM39" s="427"/>
      <c r="NUN39" s="424"/>
      <c r="NUO39" s="427"/>
      <c r="NUP39" s="424"/>
      <c r="NUQ39" s="427"/>
      <c r="NUR39" s="424"/>
      <c r="NUS39" s="427"/>
      <c r="NUT39" s="424"/>
      <c r="NUU39" s="427"/>
      <c r="NUV39" s="424"/>
      <c r="NUW39" s="427"/>
      <c r="NUX39" s="424"/>
      <c r="NUY39" s="427"/>
      <c r="NUZ39" s="424"/>
      <c r="NVA39" s="427"/>
      <c r="NVB39" s="424"/>
      <c r="NVC39" s="427"/>
      <c r="NVD39" s="424"/>
      <c r="NVE39" s="427"/>
      <c r="NVF39" s="424"/>
      <c r="NVG39" s="427"/>
      <c r="NVH39" s="424"/>
      <c r="NVI39" s="427"/>
      <c r="NVJ39" s="424"/>
      <c r="NVK39" s="427"/>
      <c r="NVL39" s="424"/>
      <c r="NVM39" s="427"/>
      <c r="NVN39" s="424"/>
      <c r="NVO39" s="427"/>
      <c r="NVP39" s="424"/>
      <c r="NVQ39" s="427"/>
      <c r="NVR39" s="424"/>
      <c r="NVS39" s="427"/>
      <c r="NVT39" s="424"/>
      <c r="NVU39" s="427"/>
      <c r="NVV39" s="424"/>
      <c r="NVW39" s="427"/>
      <c r="NVX39" s="424"/>
      <c r="NVY39" s="427"/>
      <c r="NVZ39" s="424"/>
      <c r="NWA39" s="427"/>
      <c r="NWB39" s="424"/>
      <c r="NWC39" s="427"/>
      <c r="NWD39" s="424"/>
      <c r="NWE39" s="427"/>
      <c r="NWF39" s="424"/>
      <c r="NWG39" s="427"/>
      <c r="NWH39" s="424"/>
      <c r="NWI39" s="427"/>
      <c r="NWJ39" s="424"/>
      <c r="NWK39" s="427"/>
      <c r="NWL39" s="424"/>
      <c r="NWM39" s="427"/>
      <c r="NWN39" s="424"/>
      <c r="NWO39" s="427"/>
      <c r="NWP39" s="424"/>
      <c r="NWQ39" s="427"/>
      <c r="NWR39" s="424"/>
      <c r="NWS39" s="427"/>
      <c r="NWT39" s="424"/>
      <c r="NWU39" s="427"/>
      <c r="NWV39" s="424"/>
      <c r="NWW39" s="427"/>
      <c r="NWX39" s="424"/>
      <c r="NWY39" s="427"/>
      <c r="NWZ39" s="424"/>
      <c r="NXA39" s="427"/>
      <c r="NXB39" s="424"/>
      <c r="NXC39" s="427"/>
      <c r="NXD39" s="424"/>
      <c r="NXE39" s="427"/>
      <c r="NXF39" s="424"/>
      <c r="NXG39" s="427"/>
      <c r="NXH39" s="424"/>
      <c r="NXI39" s="427"/>
      <c r="NXJ39" s="424"/>
      <c r="NXK39" s="427"/>
      <c r="NXL39" s="424"/>
      <c r="NXM39" s="427"/>
      <c r="NXN39" s="424"/>
      <c r="NXO39" s="427"/>
      <c r="NXP39" s="424"/>
      <c r="NXQ39" s="427"/>
      <c r="NXR39" s="424"/>
      <c r="NXS39" s="427"/>
      <c r="NXT39" s="424"/>
      <c r="NXU39" s="427"/>
      <c r="NXV39" s="424"/>
      <c r="NXW39" s="427"/>
      <c r="NXX39" s="424"/>
      <c r="NXY39" s="427"/>
      <c r="NXZ39" s="424"/>
      <c r="NYA39" s="427"/>
      <c r="NYB39" s="424"/>
      <c r="NYC39" s="427"/>
      <c r="NYD39" s="424"/>
      <c r="NYE39" s="427"/>
      <c r="NYF39" s="424"/>
      <c r="NYG39" s="427"/>
      <c r="NYH39" s="424"/>
      <c r="NYI39" s="427"/>
      <c r="NYJ39" s="424"/>
      <c r="NYK39" s="427"/>
      <c r="NYL39" s="424"/>
      <c r="NYM39" s="427"/>
      <c r="NYN39" s="424"/>
      <c r="NYO39" s="427"/>
      <c r="NYP39" s="424"/>
      <c r="NYQ39" s="427"/>
      <c r="NYR39" s="424"/>
      <c r="NYS39" s="427"/>
      <c r="NYT39" s="424"/>
      <c r="NYU39" s="427"/>
      <c r="NYV39" s="424"/>
      <c r="NYW39" s="427"/>
      <c r="NYX39" s="424"/>
      <c r="NYY39" s="427"/>
      <c r="NYZ39" s="424"/>
      <c r="NZA39" s="427"/>
      <c r="NZB39" s="424"/>
      <c r="NZC39" s="427"/>
      <c r="NZD39" s="424"/>
      <c r="NZE39" s="427"/>
      <c r="NZF39" s="424"/>
      <c r="NZG39" s="427"/>
      <c r="NZH39" s="424"/>
      <c r="NZI39" s="427"/>
      <c r="NZJ39" s="424"/>
      <c r="NZK39" s="427"/>
      <c r="NZL39" s="424"/>
      <c r="NZM39" s="427"/>
      <c r="NZN39" s="424"/>
      <c r="NZO39" s="427"/>
      <c r="NZP39" s="424"/>
      <c r="NZQ39" s="427"/>
      <c r="NZR39" s="424"/>
      <c r="NZS39" s="427"/>
      <c r="NZT39" s="424"/>
      <c r="NZU39" s="427"/>
      <c r="NZV39" s="424"/>
      <c r="NZW39" s="427"/>
      <c r="NZX39" s="424"/>
      <c r="NZY39" s="427"/>
      <c r="NZZ39" s="424"/>
      <c r="OAA39" s="427"/>
      <c r="OAB39" s="424"/>
      <c r="OAC39" s="427"/>
      <c r="OAD39" s="424"/>
      <c r="OAE39" s="427"/>
      <c r="OAF39" s="424"/>
      <c r="OAG39" s="427"/>
      <c r="OAH39" s="424"/>
      <c r="OAI39" s="427"/>
      <c r="OAJ39" s="424"/>
      <c r="OAK39" s="427"/>
      <c r="OAL39" s="424"/>
      <c r="OAM39" s="427"/>
      <c r="OAN39" s="424"/>
      <c r="OAO39" s="427"/>
      <c r="OAP39" s="424"/>
      <c r="OAQ39" s="427"/>
      <c r="OAR39" s="424"/>
      <c r="OAS39" s="427"/>
      <c r="OAT39" s="424"/>
      <c r="OAU39" s="427"/>
      <c r="OAV39" s="424"/>
      <c r="OAW39" s="427"/>
      <c r="OAX39" s="424"/>
      <c r="OAY39" s="427"/>
      <c r="OAZ39" s="424"/>
      <c r="OBA39" s="427"/>
      <c r="OBB39" s="424"/>
      <c r="OBC39" s="427"/>
      <c r="OBD39" s="424"/>
      <c r="OBE39" s="427"/>
      <c r="OBF39" s="424"/>
      <c r="OBG39" s="427"/>
      <c r="OBH39" s="424"/>
      <c r="OBI39" s="427"/>
      <c r="OBJ39" s="424"/>
      <c r="OBK39" s="427"/>
      <c r="OBL39" s="424"/>
      <c r="OBM39" s="427"/>
      <c r="OBN39" s="424"/>
      <c r="OBO39" s="427"/>
      <c r="OBP39" s="424"/>
      <c r="OBQ39" s="427"/>
      <c r="OBR39" s="424"/>
      <c r="OBS39" s="427"/>
      <c r="OBT39" s="424"/>
      <c r="OBU39" s="427"/>
      <c r="OBV39" s="424"/>
      <c r="OBW39" s="427"/>
      <c r="OBX39" s="424"/>
      <c r="OBY39" s="427"/>
      <c r="OBZ39" s="424"/>
      <c r="OCA39" s="427"/>
      <c r="OCB39" s="424"/>
      <c r="OCC39" s="427"/>
      <c r="OCD39" s="424"/>
      <c r="OCE39" s="427"/>
      <c r="OCF39" s="424"/>
      <c r="OCG39" s="427"/>
      <c r="OCH39" s="424"/>
      <c r="OCI39" s="427"/>
      <c r="OCJ39" s="424"/>
      <c r="OCK39" s="427"/>
      <c r="OCL39" s="424"/>
      <c r="OCM39" s="427"/>
      <c r="OCN39" s="424"/>
      <c r="OCO39" s="427"/>
      <c r="OCP39" s="424"/>
      <c r="OCQ39" s="427"/>
      <c r="OCR39" s="424"/>
      <c r="OCS39" s="427"/>
      <c r="OCT39" s="424"/>
      <c r="OCU39" s="427"/>
      <c r="OCV39" s="424"/>
      <c r="OCW39" s="427"/>
      <c r="OCX39" s="424"/>
      <c r="OCY39" s="427"/>
      <c r="OCZ39" s="424"/>
      <c r="ODA39" s="427"/>
      <c r="ODB39" s="424"/>
      <c r="ODC39" s="427"/>
      <c r="ODD39" s="424"/>
      <c r="ODE39" s="427"/>
      <c r="ODF39" s="424"/>
      <c r="ODG39" s="427"/>
      <c r="ODH39" s="424"/>
      <c r="ODI39" s="427"/>
      <c r="ODJ39" s="424"/>
      <c r="ODK39" s="427"/>
      <c r="ODL39" s="424"/>
      <c r="ODM39" s="427"/>
      <c r="ODN39" s="424"/>
      <c r="ODO39" s="427"/>
      <c r="ODP39" s="424"/>
      <c r="ODQ39" s="427"/>
      <c r="ODR39" s="424"/>
      <c r="ODS39" s="427"/>
      <c r="ODT39" s="424"/>
      <c r="ODU39" s="427"/>
      <c r="ODV39" s="424"/>
      <c r="ODW39" s="427"/>
      <c r="ODX39" s="424"/>
      <c r="ODY39" s="427"/>
      <c r="ODZ39" s="424"/>
      <c r="OEA39" s="427"/>
      <c r="OEB39" s="424"/>
      <c r="OEC39" s="427"/>
      <c r="OED39" s="424"/>
      <c r="OEE39" s="427"/>
      <c r="OEF39" s="424"/>
      <c r="OEG39" s="427"/>
      <c r="OEH39" s="424"/>
      <c r="OEI39" s="427"/>
      <c r="OEJ39" s="424"/>
      <c r="OEK39" s="427"/>
      <c r="OEL39" s="424"/>
      <c r="OEM39" s="427"/>
      <c r="OEN39" s="424"/>
      <c r="OEO39" s="427"/>
      <c r="OEP39" s="424"/>
      <c r="OEQ39" s="427"/>
      <c r="OER39" s="424"/>
      <c r="OES39" s="427"/>
      <c r="OET39" s="424"/>
      <c r="OEU39" s="427"/>
      <c r="OEV39" s="424"/>
      <c r="OEW39" s="427"/>
      <c r="OEX39" s="424"/>
      <c r="OEY39" s="427"/>
      <c r="OEZ39" s="424"/>
      <c r="OFA39" s="427"/>
      <c r="OFB39" s="424"/>
      <c r="OFC39" s="427"/>
      <c r="OFD39" s="424"/>
      <c r="OFE39" s="427"/>
      <c r="OFF39" s="424"/>
      <c r="OFG39" s="427"/>
      <c r="OFH39" s="424"/>
      <c r="OFI39" s="427"/>
      <c r="OFJ39" s="424"/>
      <c r="OFK39" s="427"/>
      <c r="OFL39" s="424"/>
      <c r="OFM39" s="427"/>
      <c r="OFN39" s="424"/>
      <c r="OFO39" s="427"/>
      <c r="OFP39" s="424"/>
      <c r="OFQ39" s="427"/>
      <c r="OFR39" s="424"/>
      <c r="OFS39" s="427"/>
      <c r="OFT39" s="424"/>
      <c r="OFU39" s="427"/>
      <c r="OFV39" s="424"/>
      <c r="OFW39" s="427"/>
      <c r="OFX39" s="424"/>
      <c r="OFY39" s="427"/>
      <c r="OFZ39" s="424"/>
      <c r="OGA39" s="427"/>
      <c r="OGB39" s="424"/>
      <c r="OGC39" s="427"/>
      <c r="OGD39" s="424"/>
      <c r="OGE39" s="427"/>
      <c r="OGF39" s="424"/>
      <c r="OGG39" s="427"/>
      <c r="OGH39" s="424"/>
      <c r="OGI39" s="427"/>
      <c r="OGJ39" s="424"/>
      <c r="OGK39" s="427"/>
      <c r="OGL39" s="424"/>
      <c r="OGM39" s="427"/>
      <c r="OGN39" s="424"/>
      <c r="OGO39" s="427"/>
      <c r="OGP39" s="424"/>
      <c r="OGQ39" s="427"/>
      <c r="OGR39" s="424"/>
      <c r="OGS39" s="427"/>
      <c r="OGT39" s="424"/>
      <c r="OGU39" s="427"/>
      <c r="OGV39" s="424"/>
      <c r="OGW39" s="427"/>
      <c r="OGX39" s="424"/>
      <c r="OGY39" s="427"/>
      <c r="OGZ39" s="424"/>
      <c r="OHA39" s="427"/>
      <c r="OHB39" s="424"/>
      <c r="OHC39" s="427"/>
      <c r="OHD39" s="424"/>
      <c r="OHE39" s="427"/>
      <c r="OHF39" s="424"/>
      <c r="OHG39" s="427"/>
      <c r="OHH39" s="424"/>
      <c r="OHI39" s="427"/>
      <c r="OHJ39" s="424"/>
      <c r="OHK39" s="427"/>
      <c r="OHL39" s="424"/>
      <c r="OHM39" s="427"/>
      <c r="OHN39" s="424"/>
      <c r="OHO39" s="427"/>
      <c r="OHP39" s="424"/>
      <c r="OHQ39" s="427"/>
      <c r="OHR39" s="424"/>
      <c r="OHS39" s="427"/>
      <c r="OHT39" s="424"/>
      <c r="OHU39" s="427"/>
      <c r="OHV39" s="424"/>
      <c r="OHW39" s="427"/>
      <c r="OHX39" s="424"/>
      <c r="OHY39" s="427"/>
      <c r="OHZ39" s="424"/>
      <c r="OIA39" s="427"/>
      <c r="OIB39" s="424"/>
      <c r="OIC39" s="427"/>
      <c r="OID39" s="424"/>
      <c r="OIE39" s="427"/>
      <c r="OIF39" s="424"/>
      <c r="OIG39" s="427"/>
      <c r="OIH39" s="424"/>
      <c r="OII39" s="427"/>
      <c r="OIJ39" s="424"/>
      <c r="OIK39" s="427"/>
      <c r="OIL39" s="424"/>
      <c r="OIM39" s="427"/>
      <c r="OIN39" s="424"/>
      <c r="OIO39" s="427"/>
      <c r="OIP39" s="424"/>
      <c r="OIQ39" s="427"/>
      <c r="OIR39" s="424"/>
      <c r="OIS39" s="427"/>
      <c r="OIT39" s="424"/>
      <c r="OIU39" s="427"/>
      <c r="OIV39" s="424"/>
      <c r="OIW39" s="427"/>
      <c r="OIX39" s="424"/>
      <c r="OIY39" s="427"/>
      <c r="OIZ39" s="424"/>
      <c r="OJA39" s="427"/>
      <c r="OJB39" s="424"/>
      <c r="OJC39" s="427"/>
      <c r="OJD39" s="424"/>
      <c r="OJE39" s="427"/>
      <c r="OJF39" s="424"/>
      <c r="OJG39" s="427"/>
      <c r="OJH39" s="424"/>
      <c r="OJI39" s="427"/>
      <c r="OJJ39" s="424"/>
      <c r="OJK39" s="427"/>
      <c r="OJL39" s="424"/>
      <c r="OJM39" s="427"/>
      <c r="OJN39" s="424"/>
      <c r="OJO39" s="427"/>
      <c r="OJP39" s="424"/>
      <c r="OJQ39" s="427"/>
      <c r="OJR39" s="424"/>
      <c r="OJS39" s="427"/>
      <c r="OJT39" s="424"/>
      <c r="OJU39" s="427"/>
      <c r="OJV39" s="424"/>
      <c r="OJW39" s="427"/>
      <c r="OJX39" s="424"/>
      <c r="OJY39" s="427"/>
      <c r="OJZ39" s="424"/>
      <c r="OKA39" s="427"/>
      <c r="OKB39" s="424"/>
      <c r="OKC39" s="427"/>
      <c r="OKD39" s="424"/>
      <c r="OKE39" s="427"/>
      <c r="OKF39" s="424"/>
      <c r="OKG39" s="427"/>
      <c r="OKH39" s="424"/>
      <c r="OKI39" s="427"/>
      <c r="OKJ39" s="424"/>
      <c r="OKK39" s="427"/>
      <c r="OKL39" s="424"/>
      <c r="OKM39" s="427"/>
      <c r="OKN39" s="424"/>
      <c r="OKO39" s="427"/>
      <c r="OKP39" s="424"/>
      <c r="OKQ39" s="427"/>
      <c r="OKR39" s="424"/>
      <c r="OKS39" s="427"/>
      <c r="OKT39" s="424"/>
      <c r="OKU39" s="427"/>
      <c r="OKV39" s="424"/>
      <c r="OKW39" s="427"/>
      <c r="OKX39" s="424"/>
      <c r="OKY39" s="427"/>
      <c r="OKZ39" s="424"/>
      <c r="OLA39" s="427"/>
      <c r="OLB39" s="424"/>
      <c r="OLC39" s="427"/>
      <c r="OLD39" s="424"/>
      <c r="OLE39" s="427"/>
      <c r="OLF39" s="424"/>
      <c r="OLG39" s="427"/>
      <c r="OLH39" s="424"/>
      <c r="OLI39" s="427"/>
      <c r="OLJ39" s="424"/>
      <c r="OLK39" s="427"/>
      <c r="OLL39" s="424"/>
      <c r="OLM39" s="427"/>
      <c r="OLN39" s="424"/>
      <c r="OLO39" s="427"/>
      <c r="OLP39" s="424"/>
      <c r="OLQ39" s="427"/>
      <c r="OLR39" s="424"/>
      <c r="OLS39" s="427"/>
      <c r="OLT39" s="424"/>
      <c r="OLU39" s="427"/>
      <c r="OLV39" s="424"/>
      <c r="OLW39" s="427"/>
      <c r="OLX39" s="424"/>
      <c r="OLY39" s="427"/>
      <c r="OLZ39" s="424"/>
      <c r="OMA39" s="427"/>
      <c r="OMB39" s="424"/>
      <c r="OMC39" s="427"/>
      <c r="OMD39" s="424"/>
      <c r="OME39" s="427"/>
      <c r="OMF39" s="424"/>
      <c r="OMG39" s="427"/>
      <c r="OMH39" s="424"/>
      <c r="OMI39" s="427"/>
      <c r="OMJ39" s="424"/>
      <c r="OMK39" s="427"/>
      <c r="OML39" s="424"/>
      <c r="OMM39" s="427"/>
      <c r="OMN39" s="424"/>
      <c r="OMO39" s="427"/>
      <c r="OMP39" s="424"/>
      <c r="OMQ39" s="427"/>
      <c r="OMR39" s="424"/>
      <c r="OMS39" s="427"/>
      <c r="OMT39" s="424"/>
      <c r="OMU39" s="427"/>
      <c r="OMV39" s="424"/>
      <c r="OMW39" s="427"/>
      <c r="OMX39" s="424"/>
      <c r="OMY39" s="427"/>
      <c r="OMZ39" s="424"/>
      <c r="ONA39" s="427"/>
      <c r="ONB39" s="424"/>
      <c r="ONC39" s="427"/>
      <c r="OND39" s="424"/>
      <c r="ONE39" s="427"/>
      <c r="ONF39" s="424"/>
      <c r="ONG39" s="427"/>
      <c r="ONH39" s="424"/>
      <c r="ONI39" s="427"/>
      <c r="ONJ39" s="424"/>
      <c r="ONK39" s="427"/>
      <c r="ONL39" s="424"/>
      <c r="ONM39" s="427"/>
      <c r="ONN39" s="424"/>
      <c r="ONO39" s="427"/>
      <c r="ONP39" s="424"/>
      <c r="ONQ39" s="427"/>
      <c r="ONR39" s="424"/>
      <c r="ONS39" s="427"/>
      <c r="ONT39" s="424"/>
      <c r="ONU39" s="427"/>
      <c r="ONV39" s="424"/>
      <c r="ONW39" s="427"/>
      <c r="ONX39" s="424"/>
      <c r="ONY39" s="427"/>
      <c r="ONZ39" s="424"/>
      <c r="OOA39" s="427"/>
      <c r="OOB39" s="424"/>
      <c r="OOC39" s="427"/>
      <c r="OOD39" s="424"/>
      <c r="OOE39" s="427"/>
      <c r="OOF39" s="424"/>
      <c r="OOG39" s="427"/>
      <c r="OOH39" s="424"/>
      <c r="OOI39" s="427"/>
      <c r="OOJ39" s="424"/>
      <c r="OOK39" s="427"/>
      <c r="OOL39" s="424"/>
      <c r="OOM39" s="427"/>
      <c r="OON39" s="424"/>
      <c r="OOO39" s="427"/>
      <c r="OOP39" s="424"/>
      <c r="OOQ39" s="427"/>
      <c r="OOR39" s="424"/>
      <c r="OOS39" s="427"/>
      <c r="OOT39" s="424"/>
      <c r="OOU39" s="427"/>
      <c r="OOV39" s="424"/>
      <c r="OOW39" s="427"/>
      <c r="OOX39" s="424"/>
      <c r="OOY39" s="427"/>
      <c r="OOZ39" s="424"/>
      <c r="OPA39" s="427"/>
      <c r="OPB39" s="424"/>
      <c r="OPC39" s="427"/>
      <c r="OPD39" s="424"/>
      <c r="OPE39" s="427"/>
      <c r="OPF39" s="424"/>
      <c r="OPG39" s="427"/>
      <c r="OPH39" s="424"/>
      <c r="OPI39" s="427"/>
      <c r="OPJ39" s="424"/>
      <c r="OPK39" s="427"/>
      <c r="OPL39" s="424"/>
      <c r="OPM39" s="427"/>
      <c r="OPN39" s="424"/>
      <c r="OPO39" s="427"/>
      <c r="OPP39" s="424"/>
      <c r="OPQ39" s="427"/>
      <c r="OPR39" s="424"/>
      <c r="OPS39" s="427"/>
      <c r="OPT39" s="424"/>
      <c r="OPU39" s="427"/>
      <c r="OPV39" s="424"/>
      <c r="OPW39" s="427"/>
      <c r="OPX39" s="424"/>
      <c r="OPY39" s="427"/>
      <c r="OPZ39" s="424"/>
      <c r="OQA39" s="427"/>
      <c r="OQB39" s="424"/>
      <c r="OQC39" s="427"/>
      <c r="OQD39" s="424"/>
      <c r="OQE39" s="427"/>
      <c r="OQF39" s="424"/>
      <c r="OQG39" s="427"/>
      <c r="OQH39" s="424"/>
      <c r="OQI39" s="427"/>
      <c r="OQJ39" s="424"/>
      <c r="OQK39" s="427"/>
      <c r="OQL39" s="424"/>
      <c r="OQM39" s="427"/>
      <c r="OQN39" s="424"/>
      <c r="OQO39" s="427"/>
      <c r="OQP39" s="424"/>
      <c r="OQQ39" s="427"/>
      <c r="OQR39" s="424"/>
      <c r="OQS39" s="427"/>
      <c r="OQT39" s="424"/>
      <c r="OQU39" s="427"/>
      <c r="OQV39" s="424"/>
      <c r="OQW39" s="427"/>
      <c r="OQX39" s="424"/>
      <c r="OQY39" s="427"/>
      <c r="OQZ39" s="424"/>
      <c r="ORA39" s="427"/>
      <c r="ORB39" s="424"/>
      <c r="ORC39" s="427"/>
      <c r="ORD39" s="424"/>
      <c r="ORE39" s="427"/>
      <c r="ORF39" s="424"/>
      <c r="ORG39" s="427"/>
      <c r="ORH39" s="424"/>
      <c r="ORI39" s="427"/>
      <c r="ORJ39" s="424"/>
      <c r="ORK39" s="427"/>
      <c r="ORL39" s="424"/>
      <c r="ORM39" s="427"/>
      <c r="ORN39" s="424"/>
      <c r="ORO39" s="427"/>
      <c r="ORP39" s="424"/>
      <c r="ORQ39" s="427"/>
      <c r="ORR39" s="424"/>
      <c r="ORS39" s="427"/>
      <c r="ORT39" s="424"/>
      <c r="ORU39" s="427"/>
      <c r="ORV39" s="424"/>
      <c r="ORW39" s="427"/>
      <c r="ORX39" s="424"/>
      <c r="ORY39" s="427"/>
      <c r="ORZ39" s="424"/>
      <c r="OSA39" s="427"/>
      <c r="OSB39" s="424"/>
      <c r="OSC39" s="427"/>
      <c r="OSD39" s="424"/>
      <c r="OSE39" s="427"/>
      <c r="OSF39" s="424"/>
      <c r="OSG39" s="427"/>
      <c r="OSH39" s="424"/>
      <c r="OSI39" s="427"/>
      <c r="OSJ39" s="424"/>
      <c r="OSK39" s="427"/>
      <c r="OSL39" s="424"/>
      <c r="OSM39" s="427"/>
      <c r="OSN39" s="424"/>
      <c r="OSO39" s="427"/>
      <c r="OSP39" s="424"/>
      <c r="OSQ39" s="427"/>
      <c r="OSR39" s="424"/>
      <c r="OSS39" s="427"/>
      <c r="OST39" s="424"/>
      <c r="OSU39" s="427"/>
      <c r="OSV39" s="424"/>
      <c r="OSW39" s="427"/>
      <c r="OSX39" s="424"/>
      <c r="OSY39" s="427"/>
      <c r="OSZ39" s="424"/>
      <c r="OTA39" s="427"/>
      <c r="OTB39" s="424"/>
      <c r="OTC39" s="427"/>
      <c r="OTD39" s="424"/>
      <c r="OTE39" s="427"/>
      <c r="OTF39" s="424"/>
      <c r="OTG39" s="427"/>
      <c r="OTH39" s="424"/>
      <c r="OTI39" s="427"/>
      <c r="OTJ39" s="424"/>
      <c r="OTK39" s="427"/>
      <c r="OTL39" s="424"/>
      <c r="OTM39" s="427"/>
      <c r="OTN39" s="424"/>
      <c r="OTO39" s="427"/>
      <c r="OTP39" s="424"/>
      <c r="OTQ39" s="427"/>
      <c r="OTR39" s="424"/>
      <c r="OTS39" s="427"/>
      <c r="OTT39" s="424"/>
      <c r="OTU39" s="427"/>
      <c r="OTV39" s="424"/>
      <c r="OTW39" s="427"/>
      <c r="OTX39" s="424"/>
      <c r="OTY39" s="427"/>
      <c r="OTZ39" s="424"/>
      <c r="OUA39" s="427"/>
      <c r="OUB39" s="424"/>
      <c r="OUC39" s="427"/>
      <c r="OUD39" s="424"/>
      <c r="OUE39" s="427"/>
      <c r="OUF39" s="424"/>
      <c r="OUG39" s="427"/>
      <c r="OUH39" s="424"/>
      <c r="OUI39" s="427"/>
      <c r="OUJ39" s="424"/>
      <c r="OUK39" s="427"/>
      <c r="OUL39" s="424"/>
      <c r="OUM39" s="427"/>
      <c r="OUN39" s="424"/>
      <c r="OUO39" s="427"/>
      <c r="OUP39" s="424"/>
      <c r="OUQ39" s="427"/>
      <c r="OUR39" s="424"/>
      <c r="OUS39" s="427"/>
      <c r="OUT39" s="424"/>
      <c r="OUU39" s="427"/>
      <c r="OUV39" s="424"/>
      <c r="OUW39" s="427"/>
      <c r="OUX39" s="424"/>
      <c r="OUY39" s="427"/>
      <c r="OUZ39" s="424"/>
      <c r="OVA39" s="427"/>
      <c r="OVB39" s="424"/>
      <c r="OVC39" s="427"/>
      <c r="OVD39" s="424"/>
      <c r="OVE39" s="427"/>
      <c r="OVF39" s="424"/>
      <c r="OVG39" s="427"/>
      <c r="OVH39" s="424"/>
      <c r="OVI39" s="427"/>
      <c r="OVJ39" s="424"/>
      <c r="OVK39" s="427"/>
      <c r="OVL39" s="424"/>
      <c r="OVM39" s="427"/>
      <c r="OVN39" s="424"/>
      <c r="OVO39" s="427"/>
      <c r="OVP39" s="424"/>
      <c r="OVQ39" s="427"/>
      <c r="OVR39" s="424"/>
      <c r="OVS39" s="427"/>
      <c r="OVT39" s="424"/>
      <c r="OVU39" s="427"/>
      <c r="OVV39" s="424"/>
      <c r="OVW39" s="427"/>
      <c r="OVX39" s="424"/>
      <c r="OVY39" s="427"/>
      <c r="OVZ39" s="424"/>
      <c r="OWA39" s="427"/>
      <c r="OWB39" s="424"/>
      <c r="OWC39" s="427"/>
      <c r="OWD39" s="424"/>
      <c r="OWE39" s="427"/>
      <c r="OWF39" s="424"/>
      <c r="OWG39" s="427"/>
      <c r="OWH39" s="424"/>
      <c r="OWI39" s="427"/>
      <c r="OWJ39" s="424"/>
      <c r="OWK39" s="427"/>
      <c r="OWL39" s="424"/>
      <c r="OWM39" s="427"/>
      <c r="OWN39" s="424"/>
      <c r="OWO39" s="427"/>
      <c r="OWP39" s="424"/>
      <c r="OWQ39" s="427"/>
      <c r="OWR39" s="424"/>
      <c r="OWS39" s="427"/>
      <c r="OWT39" s="424"/>
      <c r="OWU39" s="427"/>
      <c r="OWV39" s="424"/>
      <c r="OWW39" s="427"/>
      <c r="OWX39" s="424"/>
      <c r="OWY39" s="427"/>
      <c r="OWZ39" s="424"/>
      <c r="OXA39" s="427"/>
      <c r="OXB39" s="424"/>
      <c r="OXC39" s="427"/>
      <c r="OXD39" s="424"/>
      <c r="OXE39" s="427"/>
      <c r="OXF39" s="424"/>
      <c r="OXG39" s="427"/>
      <c r="OXH39" s="424"/>
      <c r="OXI39" s="427"/>
      <c r="OXJ39" s="424"/>
      <c r="OXK39" s="427"/>
      <c r="OXL39" s="424"/>
      <c r="OXM39" s="427"/>
      <c r="OXN39" s="424"/>
      <c r="OXO39" s="427"/>
      <c r="OXP39" s="424"/>
      <c r="OXQ39" s="427"/>
      <c r="OXR39" s="424"/>
      <c r="OXS39" s="427"/>
      <c r="OXT39" s="424"/>
      <c r="OXU39" s="427"/>
      <c r="OXV39" s="424"/>
      <c r="OXW39" s="427"/>
      <c r="OXX39" s="424"/>
      <c r="OXY39" s="427"/>
      <c r="OXZ39" s="424"/>
      <c r="OYA39" s="427"/>
      <c r="OYB39" s="424"/>
      <c r="OYC39" s="427"/>
      <c r="OYD39" s="424"/>
      <c r="OYE39" s="427"/>
      <c r="OYF39" s="424"/>
      <c r="OYG39" s="427"/>
      <c r="OYH39" s="424"/>
      <c r="OYI39" s="427"/>
      <c r="OYJ39" s="424"/>
      <c r="OYK39" s="427"/>
      <c r="OYL39" s="424"/>
      <c r="OYM39" s="427"/>
      <c r="OYN39" s="424"/>
      <c r="OYO39" s="427"/>
      <c r="OYP39" s="424"/>
      <c r="OYQ39" s="427"/>
      <c r="OYR39" s="424"/>
      <c r="OYS39" s="427"/>
      <c r="OYT39" s="424"/>
      <c r="OYU39" s="427"/>
      <c r="OYV39" s="424"/>
      <c r="OYW39" s="427"/>
      <c r="OYX39" s="424"/>
      <c r="OYY39" s="427"/>
      <c r="OYZ39" s="424"/>
      <c r="OZA39" s="427"/>
      <c r="OZB39" s="424"/>
      <c r="OZC39" s="427"/>
      <c r="OZD39" s="424"/>
      <c r="OZE39" s="427"/>
      <c r="OZF39" s="424"/>
      <c r="OZG39" s="427"/>
      <c r="OZH39" s="424"/>
      <c r="OZI39" s="427"/>
      <c r="OZJ39" s="424"/>
      <c r="OZK39" s="427"/>
      <c r="OZL39" s="424"/>
      <c r="OZM39" s="427"/>
      <c r="OZN39" s="424"/>
      <c r="OZO39" s="427"/>
      <c r="OZP39" s="424"/>
      <c r="OZQ39" s="427"/>
      <c r="OZR39" s="424"/>
      <c r="OZS39" s="427"/>
      <c r="OZT39" s="424"/>
      <c r="OZU39" s="427"/>
      <c r="OZV39" s="424"/>
      <c r="OZW39" s="427"/>
      <c r="OZX39" s="424"/>
      <c r="OZY39" s="427"/>
      <c r="OZZ39" s="424"/>
      <c r="PAA39" s="427"/>
      <c r="PAB39" s="424"/>
      <c r="PAC39" s="427"/>
      <c r="PAD39" s="424"/>
      <c r="PAE39" s="427"/>
      <c r="PAF39" s="424"/>
      <c r="PAG39" s="427"/>
      <c r="PAH39" s="424"/>
      <c r="PAI39" s="427"/>
      <c r="PAJ39" s="424"/>
      <c r="PAK39" s="427"/>
      <c r="PAL39" s="424"/>
      <c r="PAM39" s="427"/>
      <c r="PAN39" s="424"/>
      <c r="PAO39" s="427"/>
      <c r="PAP39" s="424"/>
      <c r="PAQ39" s="427"/>
      <c r="PAR39" s="424"/>
      <c r="PAS39" s="427"/>
      <c r="PAT39" s="424"/>
      <c r="PAU39" s="427"/>
      <c r="PAV39" s="424"/>
      <c r="PAW39" s="427"/>
      <c r="PAX39" s="424"/>
      <c r="PAY39" s="427"/>
      <c r="PAZ39" s="424"/>
      <c r="PBA39" s="427"/>
      <c r="PBB39" s="424"/>
      <c r="PBC39" s="427"/>
      <c r="PBD39" s="424"/>
      <c r="PBE39" s="427"/>
      <c r="PBF39" s="424"/>
      <c r="PBG39" s="427"/>
      <c r="PBH39" s="424"/>
      <c r="PBI39" s="427"/>
      <c r="PBJ39" s="424"/>
      <c r="PBK39" s="427"/>
      <c r="PBL39" s="424"/>
      <c r="PBM39" s="427"/>
      <c r="PBN39" s="424"/>
      <c r="PBO39" s="427"/>
      <c r="PBP39" s="424"/>
      <c r="PBQ39" s="427"/>
      <c r="PBR39" s="424"/>
      <c r="PBS39" s="427"/>
      <c r="PBT39" s="424"/>
      <c r="PBU39" s="427"/>
      <c r="PBV39" s="424"/>
      <c r="PBW39" s="427"/>
      <c r="PBX39" s="424"/>
      <c r="PBY39" s="427"/>
      <c r="PBZ39" s="424"/>
      <c r="PCA39" s="427"/>
      <c r="PCB39" s="424"/>
      <c r="PCC39" s="427"/>
      <c r="PCD39" s="424"/>
      <c r="PCE39" s="427"/>
      <c r="PCF39" s="424"/>
      <c r="PCG39" s="427"/>
      <c r="PCH39" s="424"/>
      <c r="PCI39" s="427"/>
      <c r="PCJ39" s="424"/>
      <c r="PCK39" s="427"/>
      <c r="PCL39" s="424"/>
      <c r="PCM39" s="427"/>
      <c r="PCN39" s="424"/>
      <c r="PCO39" s="427"/>
      <c r="PCP39" s="424"/>
      <c r="PCQ39" s="427"/>
      <c r="PCR39" s="424"/>
      <c r="PCS39" s="427"/>
      <c r="PCT39" s="424"/>
      <c r="PCU39" s="427"/>
      <c r="PCV39" s="424"/>
      <c r="PCW39" s="427"/>
      <c r="PCX39" s="424"/>
      <c r="PCY39" s="427"/>
      <c r="PCZ39" s="424"/>
      <c r="PDA39" s="427"/>
      <c r="PDB39" s="424"/>
      <c r="PDC39" s="427"/>
      <c r="PDD39" s="424"/>
      <c r="PDE39" s="427"/>
      <c r="PDF39" s="424"/>
      <c r="PDG39" s="427"/>
      <c r="PDH39" s="424"/>
      <c r="PDI39" s="427"/>
      <c r="PDJ39" s="424"/>
      <c r="PDK39" s="427"/>
      <c r="PDL39" s="424"/>
      <c r="PDM39" s="427"/>
      <c r="PDN39" s="424"/>
      <c r="PDO39" s="427"/>
      <c r="PDP39" s="424"/>
      <c r="PDQ39" s="427"/>
      <c r="PDR39" s="424"/>
      <c r="PDS39" s="427"/>
      <c r="PDT39" s="424"/>
      <c r="PDU39" s="427"/>
      <c r="PDV39" s="424"/>
      <c r="PDW39" s="427"/>
      <c r="PDX39" s="424"/>
      <c r="PDY39" s="427"/>
      <c r="PDZ39" s="424"/>
      <c r="PEA39" s="427"/>
      <c r="PEB39" s="424"/>
      <c r="PEC39" s="427"/>
      <c r="PED39" s="424"/>
      <c r="PEE39" s="427"/>
      <c r="PEF39" s="424"/>
      <c r="PEG39" s="427"/>
      <c r="PEH39" s="424"/>
      <c r="PEI39" s="427"/>
      <c r="PEJ39" s="424"/>
      <c r="PEK39" s="427"/>
      <c r="PEL39" s="424"/>
      <c r="PEM39" s="427"/>
      <c r="PEN39" s="424"/>
      <c r="PEO39" s="427"/>
      <c r="PEP39" s="424"/>
      <c r="PEQ39" s="427"/>
      <c r="PER39" s="424"/>
      <c r="PES39" s="427"/>
      <c r="PET39" s="424"/>
      <c r="PEU39" s="427"/>
      <c r="PEV39" s="424"/>
      <c r="PEW39" s="427"/>
      <c r="PEX39" s="424"/>
      <c r="PEY39" s="427"/>
      <c r="PEZ39" s="424"/>
      <c r="PFA39" s="427"/>
      <c r="PFB39" s="424"/>
      <c r="PFC39" s="427"/>
      <c r="PFD39" s="424"/>
      <c r="PFE39" s="427"/>
      <c r="PFF39" s="424"/>
      <c r="PFG39" s="427"/>
      <c r="PFH39" s="424"/>
      <c r="PFI39" s="427"/>
      <c r="PFJ39" s="424"/>
      <c r="PFK39" s="427"/>
      <c r="PFL39" s="424"/>
      <c r="PFM39" s="427"/>
      <c r="PFN39" s="424"/>
      <c r="PFO39" s="427"/>
      <c r="PFP39" s="424"/>
      <c r="PFQ39" s="427"/>
      <c r="PFR39" s="424"/>
      <c r="PFS39" s="427"/>
      <c r="PFT39" s="424"/>
      <c r="PFU39" s="427"/>
      <c r="PFV39" s="424"/>
      <c r="PFW39" s="427"/>
      <c r="PFX39" s="424"/>
      <c r="PFY39" s="427"/>
      <c r="PFZ39" s="424"/>
      <c r="PGA39" s="427"/>
      <c r="PGB39" s="424"/>
      <c r="PGC39" s="427"/>
      <c r="PGD39" s="424"/>
      <c r="PGE39" s="427"/>
      <c r="PGF39" s="424"/>
      <c r="PGG39" s="427"/>
      <c r="PGH39" s="424"/>
      <c r="PGI39" s="427"/>
      <c r="PGJ39" s="424"/>
      <c r="PGK39" s="427"/>
      <c r="PGL39" s="424"/>
      <c r="PGM39" s="427"/>
      <c r="PGN39" s="424"/>
      <c r="PGO39" s="427"/>
      <c r="PGP39" s="424"/>
      <c r="PGQ39" s="427"/>
      <c r="PGR39" s="424"/>
      <c r="PGS39" s="427"/>
      <c r="PGT39" s="424"/>
      <c r="PGU39" s="427"/>
      <c r="PGV39" s="424"/>
      <c r="PGW39" s="427"/>
      <c r="PGX39" s="424"/>
      <c r="PGY39" s="427"/>
      <c r="PGZ39" s="424"/>
      <c r="PHA39" s="427"/>
      <c r="PHB39" s="424"/>
      <c r="PHC39" s="427"/>
      <c r="PHD39" s="424"/>
      <c r="PHE39" s="427"/>
      <c r="PHF39" s="424"/>
      <c r="PHG39" s="427"/>
      <c r="PHH39" s="424"/>
      <c r="PHI39" s="427"/>
      <c r="PHJ39" s="424"/>
      <c r="PHK39" s="427"/>
      <c r="PHL39" s="424"/>
      <c r="PHM39" s="427"/>
      <c r="PHN39" s="424"/>
      <c r="PHO39" s="427"/>
      <c r="PHP39" s="424"/>
      <c r="PHQ39" s="427"/>
      <c r="PHR39" s="424"/>
      <c r="PHS39" s="427"/>
      <c r="PHT39" s="424"/>
      <c r="PHU39" s="427"/>
      <c r="PHV39" s="424"/>
      <c r="PHW39" s="427"/>
      <c r="PHX39" s="424"/>
      <c r="PHY39" s="427"/>
      <c r="PHZ39" s="424"/>
      <c r="PIA39" s="427"/>
      <c r="PIB39" s="424"/>
      <c r="PIC39" s="427"/>
      <c r="PID39" s="424"/>
      <c r="PIE39" s="427"/>
      <c r="PIF39" s="424"/>
      <c r="PIG39" s="427"/>
      <c r="PIH39" s="424"/>
      <c r="PII39" s="427"/>
      <c r="PIJ39" s="424"/>
      <c r="PIK39" s="427"/>
      <c r="PIL39" s="424"/>
      <c r="PIM39" s="427"/>
      <c r="PIN39" s="424"/>
      <c r="PIO39" s="427"/>
      <c r="PIP39" s="424"/>
      <c r="PIQ39" s="427"/>
      <c r="PIR39" s="424"/>
      <c r="PIS39" s="427"/>
      <c r="PIT39" s="424"/>
      <c r="PIU39" s="427"/>
      <c r="PIV39" s="424"/>
      <c r="PIW39" s="427"/>
      <c r="PIX39" s="424"/>
      <c r="PIY39" s="427"/>
      <c r="PIZ39" s="424"/>
      <c r="PJA39" s="427"/>
      <c r="PJB39" s="424"/>
      <c r="PJC39" s="427"/>
      <c r="PJD39" s="424"/>
      <c r="PJE39" s="427"/>
      <c r="PJF39" s="424"/>
      <c r="PJG39" s="427"/>
      <c r="PJH39" s="424"/>
      <c r="PJI39" s="427"/>
      <c r="PJJ39" s="424"/>
      <c r="PJK39" s="427"/>
      <c r="PJL39" s="424"/>
      <c r="PJM39" s="427"/>
      <c r="PJN39" s="424"/>
      <c r="PJO39" s="427"/>
      <c r="PJP39" s="424"/>
      <c r="PJQ39" s="427"/>
      <c r="PJR39" s="424"/>
      <c r="PJS39" s="427"/>
      <c r="PJT39" s="424"/>
      <c r="PJU39" s="427"/>
      <c r="PJV39" s="424"/>
      <c r="PJW39" s="427"/>
      <c r="PJX39" s="424"/>
      <c r="PJY39" s="427"/>
      <c r="PJZ39" s="424"/>
      <c r="PKA39" s="427"/>
      <c r="PKB39" s="424"/>
      <c r="PKC39" s="427"/>
      <c r="PKD39" s="424"/>
      <c r="PKE39" s="427"/>
      <c r="PKF39" s="424"/>
      <c r="PKG39" s="427"/>
      <c r="PKH39" s="424"/>
      <c r="PKI39" s="427"/>
      <c r="PKJ39" s="424"/>
      <c r="PKK39" s="427"/>
      <c r="PKL39" s="424"/>
      <c r="PKM39" s="427"/>
      <c r="PKN39" s="424"/>
      <c r="PKO39" s="427"/>
      <c r="PKP39" s="424"/>
      <c r="PKQ39" s="427"/>
      <c r="PKR39" s="424"/>
      <c r="PKS39" s="427"/>
      <c r="PKT39" s="424"/>
      <c r="PKU39" s="427"/>
      <c r="PKV39" s="424"/>
      <c r="PKW39" s="427"/>
      <c r="PKX39" s="424"/>
      <c r="PKY39" s="427"/>
      <c r="PKZ39" s="424"/>
      <c r="PLA39" s="427"/>
      <c r="PLB39" s="424"/>
      <c r="PLC39" s="427"/>
      <c r="PLD39" s="424"/>
      <c r="PLE39" s="427"/>
      <c r="PLF39" s="424"/>
      <c r="PLG39" s="427"/>
      <c r="PLH39" s="424"/>
      <c r="PLI39" s="427"/>
      <c r="PLJ39" s="424"/>
      <c r="PLK39" s="427"/>
      <c r="PLL39" s="424"/>
      <c r="PLM39" s="427"/>
      <c r="PLN39" s="424"/>
      <c r="PLO39" s="427"/>
      <c r="PLP39" s="424"/>
      <c r="PLQ39" s="427"/>
      <c r="PLR39" s="424"/>
      <c r="PLS39" s="427"/>
      <c r="PLT39" s="424"/>
      <c r="PLU39" s="427"/>
      <c r="PLV39" s="424"/>
      <c r="PLW39" s="427"/>
      <c r="PLX39" s="424"/>
      <c r="PLY39" s="427"/>
      <c r="PLZ39" s="424"/>
      <c r="PMA39" s="427"/>
      <c r="PMB39" s="424"/>
      <c r="PMC39" s="427"/>
      <c r="PMD39" s="424"/>
      <c r="PME39" s="427"/>
      <c r="PMF39" s="424"/>
      <c r="PMG39" s="427"/>
      <c r="PMH39" s="424"/>
      <c r="PMI39" s="427"/>
      <c r="PMJ39" s="424"/>
      <c r="PMK39" s="427"/>
      <c r="PML39" s="424"/>
      <c r="PMM39" s="427"/>
      <c r="PMN39" s="424"/>
      <c r="PMO39" s="427"/>
      <c r="PMP39" s="424"/>
      <c r="PMQ39" s="427"/>
      <c r="PMR39" s="424"/>
      <c r="PMS39" s="427"/>
      <c r="PMT39" s="424"/>
      <c r="PMU39" s="427"/>
      <c r="PMV39" s="424"/>
      <c r="PMW39" s="427"/>
      <c r="PMX39" s="424"/>
      <c r="PMY39" s="427"/>
      <c r="PMZ39" s="424"/>
      <c r="PNA39" s="427"/>
      <c r="PNB39" s="424"/>
      <c r="PNC39" s="427"/>
      <c r="PND39" s="424"/>
      <c r="PNE39" s="427"/>
      <c r="PNF39" s="424"/>
      <c r="PNG39" s="427"/>
      <c r="PNH39" s="424"/>
      <c r="PNI39" s="427"/>
      <c r="PNJ39" s="424"/>
      <c r="PNK39" s="427"/>
      <c r="PNL39" s="424"/>
      <c r="PNM39" s="427"/>
      <c r="PNN39" s="424"/>
      <c r="PNO39" s="427"/>
      <c r="PNP39" s="424"/>
      <c r="PNQ39" s="427"/>
      <c r="PNR39" s="424"/>
      <c r="PNS39" s="427"/>
      <c r="PNT39" s="424"/>
      <c r="PNU39" s="427"/>
      <c r="PNV39" s="424"/>
      <c r="PNW39" s="427"/>
      <c r="PNX39" s="424"/>
      <c r="PNY39" s="427"/>
      <c r="PNZ39" s="424"/>
      <c r="POA39" s="427"/>
      <c r="POB39" s="424"/>
      <c r="POC39" s="427"/>
      <c r="POD39" s="424"/>
      <c r="POE39" s="427"/>
      <c r="POF39" s="424"/>
      <c r="POG39" s="427"/>
      <c r="POH39" s="424"/>
      <c r="POI39" s="427"/>
      <c r="POJ39" s="424"/>
      <c r="POK39" s="427"/>
      <c r="POL39" s="424"/>
      <c r="POM39" s="427"/>
      <c r="PON39" s="424"/>
      <c r="POO39" s="427"/>
      <c r="POP39" s="424"/>
      <c r="POQ39" s="427"/>
      <c r="POR39" s="424"/>
      <c r="POS39" s="427"/>
      <c r="POT39" s="424"/>
      <c r="POU39" s="427"/>
      <c r="POV39" s="424"/>
      <c r="POW39" s="427"/>
      <c r="POX39" s="424"/>
      <c r="POY39" s="427"/>
      <c r="POZ39" s="424"/>
      <c r="PPA39" s="427"/>
      <c r="PPB39" s="424"/>
      <c r="PPC39" s="427"/>
      <c r="PPD39" s="424"/>
      <c r="PPE39" s="427"/>
      <c r="PPF39" s="424"/>
      <c r="PPG39" s="427"/>
      <c r="PPH39" s="424"/>
      <c r="PPI39" s="427"/>
      <c r="PPJ39" s="424"/>
      <c r="PPK39" s="427"/>
      <c r="PPL39" s="424"/>
      <c r="PPM39" s="427"/>
      <c r="PPN39" s="424"/>
      <c r="PPO39" s="427"/>
      <c r="PPP39" s="424"/>
      <c r="PPQ39" s="427"/>
      <c r="PPR39" s="424"/>
      <c r="PPS39" s="427"/>
      <c r="PPT39" s="424"/>
      <c r="PPU39" s="427"/>
      <c r="PPV39" s="424"/>
      <c r="PPW39" s="427"/>
      <c r="PPX39" s="424"/>
      <c r="PPY39" s="427"/>
      <c r="PPZ39" s="424"/>
      <c r="PQA39" s="427"/>
      <c r="PQB39" s="424"/>
      <c r="PQC39" s="427"/>
      <c r="PQD39" s="424"/>
      <c r="PQE39" s="427"/>
      <c r="PQF39" s="424"/>
      <c r="PQG39" s="427"/>
      <c r="PQH39" s="424"/>
      <c r="PQI39" s="427"/>
      <c r="PQJ39" s="424"/>
      <c r="PQK39" s="427"/>
      <c r="PQL39" s="424"/>
      <c r="PQM39" s="427"/>
      <c r="PQN39" s="424"/>
      <c r="PQO39" s="427"/>
      <c r="PQP39" s="424"/>
      <c r="PQQ39" s="427"/>
      <c r="PQR39" s="424"/>
      <c r="PQS39" s="427"/>
      <c r="PQT39" s="424"/>
      <c r="PQU39" s="427"/>
      <c r="PQV39" s="424"/>
      <c r="PQW39" s="427"/>
      <c r="PQX39" s="424"/>
      <c r="PQY39" s="427"/>
      <c r="PQZ39" s="424"/>
      <c r="PRA39" s="427"/>
      <c r="PRB39" s="424"/>
      <c r="PRC39" s="427"/>
      <c r="PRD39" s="424"/>
      <c r="PRE39" s="427"/>
      <c r="PRF39" s="424"/>
      <c r="PRG39" s="427"/>
      <c r="PRH39" s="424"/>
      <c r="PRI39" s="427"/>
      <c r="PRJ39" s="424"/>
      <c r="PRK39" s="427"/>
      <c r="PRL39" s="424"/>
      <c r="PRM39" s="427"/>
      <c r="PRN39" s="424"/>
      <c r="PRO39" s="427"/>
      <c r="PRP39" s="424"/>
      <c r="PRQ39" s="427"/>
      <c r="PRR39" s="424"/>
      <c r="PRS39" s="427"/>
      <c r="PRT39" s="424"/>
      <c r="PRU39" s="427"/>
      <c r="PRV39" s="424"/>
      <c r="PRW39" s="427"/>
      <c r="PRX39" s="424"/>
      <c r="PRY39" s="427"/>
      <c r="PRZ39" s="424"/>
      <c r="PSA39" s="427"/>
      <c r="PSB39" s="424"/>
      <c r="PSC39" s="427"/>
      <c r="PSD39" s="424"/>
      <c r="PSE39" s="427"/>
      <c r="PSF39" s="424"/>
      <c r="PSG39" s="427"/>
      <c r="PSH39" s="424"/>
      <c r="PSI39" s="427"/>
      <c r="PSJ39" s="424"/>
      <c r="PSK39" s="427"/>
      <c r="PSL39" s="424"/>
      <c r="PSM39" s="427"/>
      <c r="PSN39" s="424"/>
      <c r="PSO39" s="427"/>
      <c r="PSP39" s="424"/>
      <c r="PSQ39" s="427"/>
      <c r="PSR39" s="424"/>
      <c r="PSS39" s="427"/>
      <c r="PST39" s="424"/>
      <c r="PSU39" s="427"/>
      <c r="PSV39" s="424"/>
      <c r="PSW39" s="427"/>
      <c r="PSX39" s="424"/>
      <c r="PSY39" s="427"/>
      <c r="PSZ39" s="424"/>
      <c r="PTA39" s="427"/>
      <c r="PTB39" s="424"/>
      <c r="PTC39" s="427"/>
      <c r="PTD39" s="424"/>
      <c r="PTE39" s="427"/>
      <c r="PTF39" s="424"/>
      <c r="PTG39" s="427"/>
      <c r="PTH39" s="424"/>
      <c r="PTI39" s="427"/>
      <c r="PTJ39" s="424"/>
      <c r="PTK39" s="427"/>
      <c r="PTL39" s="424"/>
      <c r="PTM39" s="427"/>
      <c r="PTN39" s="424"/>
      <c r="PTO39" s="427"/>
      <c r="PTP39" s="424"/>
      <c r="PTQ39" s="427"/>
      <c r="PTR39" s="424"/>
      <c r="PTS39" s="427"/>
      <c r="PTT39" s="424"/>
      <c r="PTU39" s="427"/>
      <c r="PTV39" s="424"/>
      <c r="PTW39" s="427"/>
      <c r="PTX39" s="424"/>
      <c r="PTY39" s="427"/>
      <c r="PTZ39" s="424"/>
      <c r="PUA39" s="427"/>
      <c r="PUB39" s="424"/>
      <c r="PUC39" s="427"/>
      <c r="PUD39" s="424"/>
      <c r="PUE39" s="427"/>
      <c r="PUF39" s="424"/>
      <c r="PUG39" s="427"/>
      <c r="PUH39" s="424"/>
      <c r="PUI39" s="427"/>
      <c r="PUJ39" s="424"/>
      <c r="PUK39" s="427"/>
      <c r="PUL39" s="424"/>
      <c r="PUM39" s="427"/>
      <c r="PUN39" s="424"/>
      <c r="PUO39" s="427"/>
      <c r="PUP39" s="424"/>
      <c r="PUQ39" s="427"/>
      <c r="PUR39" s="424"/>
      <c r="PUS39" s="427"/>
      <c r="PUT39" s="424"/>
      <c r="PUU39" s="427"/>
      <c r="PUV39" s="424"/>
      <c r="PUW39" s="427"/>
      <c r="PUX39" s="424"/>
      <c r="PUY39" s="427"/>
      <c r="PUZ39" s="424"/>
      <c r="PVA39" s="427"/>
      <c r="PVB39" s="424"/>
      <c r="PVC39" s="427"/>
      <c r="PVD39" s="424"/>
      <c r="PVE39" s="427"/>
      <c r="PVF39" s="424"/>
      <c r="PVG39" s="427"/>
      <c r="PVH39" s="424"/>
      <c r="PVI39" s="427"/>
      <c r="PVJ39" s="424"/>
      <c r="PVK39" s="427"/>
      <c r="PVL39" s="424"/>
      <c r="PVM39" s="427"/>
      <c r="PVN39" s="424"/>
      <c r="PVO39" s="427"/>
      <c r="PVP39" s="424"/>
      <c r="PVQ39" s="427"/>
      <c r="PVR39" s="424"/>
      <c r="PVS39" s="427"/>
      <c r="PVT39" s="424"/>
      <c r="PVU39" s="427"/>
      <c r="PVV39" s="424"/>
      <c r="PVW39" s="427"/>
      <c r="PVX39" s="424"/>
      <c r="PVY39" s="427"/>
      <c r="PVZ39" s="424"/>
      <c r="PWA39" s="427"/>
      <c r="PWB39" s="424"/>
      <c r="PWC39" s="427"/>
      <c r="PWD39" s="424"/>
      <c r="PWE39" s="427"/>
      <c r="PWF39" s="424"/>
      <c r="PWG39" s="427"/>
      <c r="PWH39" s="424"/>
      <c r="PWI39" s="427"/>
      <c r="PWJ39" s="424"/>
      <c r="PWK39" s="427"/>
      <c r="PWL39" s="424"/>
      <c r="PWM39" s="427"/>
      <c r="PWN39" s="424"/>
      <c r="PWO39" s="427"/>
      <c r="PWP39" s="424"/>
      <c r="PWQ39" s="427"/>
      <c r="PWR39" s="424"/>
      <c r="PWS39" s="427"/>
      <c r="PWT39" s="424"/>
      <c r="PWU39" s="427"/>
      <c r="PWV39" s="424"/>
      <c r="PWW39" s="427"/>
      <c r="PWX39" s="424"/>
      <c r="PWY39" s="427"/>
      <c r="PWZ39" s="424"/>
      <c r="PXA39" s="427"/>
      <c r="PXB39" s="424"/>
      <c r="PXC39" s="427"/>
      <c r="PXD39" s="424"/>
      <c r="PXE39" s="427"/>
      <c r="PXF39" s="424"/>
      <c r="PXG39" s="427"/>
      <c r="PXH39" s="424"/>
      <c r="PXI39" s="427"/>
      <c r="PXJ39" s="424"/>
      <c r="PXK39" s="427"/>
      <c r="PXL39" s="424"/>
      <c r="PXM39" s="427"/>
      <c r="PXN39" s="424"/>
      <c r="PXO39" s="427"/>
      <c r="PXP39" s="424"/>
      <c r="PXQ39" s="427"/>
      <c r="PXR39" s="424"/>
      <c r="PXS39" s="427"/>
      <c r="PXT39" s="424"/>
      <c r="PXU39" s="427"/>
      <c r="PXV39" s="424"/>
      <c r="PXW39" s="427"/>
      <c r="PXX39" s="424"/>
      <c r="PXY39" s="427"/>
      <c r="PXZ39" s="424"/>
      <c r="PYA39" s="427"/>
      <c r="PYB39" s="424"/>
      <c r="PYC39" s="427"/>
      <c r="PYD39" s="424"/>
      <c r="PYE39" s="427"/>
      <c r="PYF39" s="424"/>
      <c r="PYG39" s="427"/>
      <c r="PYH39" s="424"/>
      <c r="PYI39" s="427"/>
      <c r="PYJ39" s="424"/>
      <c r="PYK39" s="427"/>
      <c r="PYL39" s="424"/>
      <c r="PYM39" s="427"/>
      <c r="PYN39" s="424"/>
      <c r="PYO39" s="427"/>
      <c r="PYP39" s="424"/>
      <c r="PYQ39" s="427"/>
      <c r="PYR39" s="424"/>
      <c r="PYS39" s="427"/>
      <c r="PYT39" s="424"/>
      <c r="PYU39" s="427"/>
      <c r="PYV39" s="424"/>
      <c r="PYW39" s="427"/>
      <c r="PYX39" s="424"/>
      <c r="PYY39" s="427"/>
      <c r="PYZ39" s="424"/>
      <c r="PZA39" s="427"/>
      <c r="PZB39" s="424"/>
      <c r="PZC39" s="427"/>
      <c r="PZD39" s="424"/>
      <c r="PZE39" s="427"/>
      <c r="PZF39" s="424"/>
      <c r="PZG39" s="427"/>
      <c r="PZH39" s="424"/>
      <c r="PZI39" s="427"/>
      <c r="PZJ39" s="424"/>
      <c r="PZK39" s="427"/>
      <c r="PZL39" s="424"/>
      <c r="PZM39" s="427"/>
      <c r="PZN39" s="424"/>
      <c r="PZO39" s="427"/>
      <c r="PZP39" s="424"/>
      <c r="PZQ39" s="427"/>
      <c r="PZR39" s="424"/>
      <c r="PZS39" s="427"/>
      <c r="PZT39" s="424"/>
      <c r="PZU39" s="427"/>
      <c r="PZV39" s="424"/>
      <c r="PZW39" s="427"/>
      <c r="PZX39" s="424"/>
      <c r="PZY39" s="427"/>
      <c r="PZZ39" s="424"/>
      <c r="QAA39" s="427"/>
      <c r="QAB39" s="424"/>
      <c r="QAC39" s="427"/>
      <c r="QAD39" s="424"/>
      <c r="QAE39" s="427"/>
      <c r="QAF39" s="424"/>
      <c r="QAG39" s="427"/>
      <c r="QAH39" s="424"/>
      <c r="QAI39" s="427"/>
      <c r="QAJ39" s="424"/>
      <c r="QAK39" s="427"/>
      <c r="QAL39" s="424"/>
      <c r="QAM39" s="427"/>
      <c r="QAN39" s="424"/>
      <c r="QAO39" s="427"/>
      <c r="QAP39" s="424"/>
      <c r="QAQ39" s="427"/>
      <c r="QAR39" s="424"/>
      <c r="QAS39" s="427"/>
      <c r="QAT39" s="424"/>
      <c r="QAU39" s="427"/>
      <c r="QAV39" s="424"/>
      <c r="QAW39" s="427"/>
      <c r="QAX39" s="424"/>
      <c r="QAY39" s="427"/>
      <c r="QAZ39" s="424"/>
      <c r="QBA39" s="427"/>
      <c r="QBB39" s="424"/>
      <c r="QBC39" s="427"/>
      <c r="QBD39" s="424"/>
      <c r="QBE39" s="427"/>
      <c r="QBF39" s="424"/>
      <c r="QBG39" s="427"/>
      <c r="QBH39" s="424"/>
      <c r="QBI39" s="427"/>
      <c r="QBJ39" s="424"/>
      <c r="QBK39" s="427"/>
      <c r="QBL39" s="424"/>
      <c r="QBM39" s="427"/>
      <c r="QBN39" s="424"/>
      <c r="QBO39" s="427"/>
      <c r="QBP39" s="424"/>
      <c r="QBQ39" s="427"/>
      <c r="QBR39" s="424"/>
      <c r="QBS39" s="427"/>
      <c r="QBT39" s="424"/>
      <c r="QBU39" s="427"/>
      <c r="QBV39" s="424"/>
      <c r="QBW39" s="427"/>
      <c r="QBX39" s="424"/>
      <c r="QBY39" s="427"/>
      <c r="QBZ39" s="424"/>
      <c r="QCA39" s="427"/>
      <c r="QCB39" s="424"/>
      <c r="QCC39" s="427"/>
      <c r="QCD39" s="424"/>
      <c r="QCE39" s="427"/>
      <c r="QCF39" s="424"/>
      <c r="QCG39" s="427"/>
      <c r="QCH39" s="424"/>
      <c r="QCI39" s="427"/>
      <c r="QCJ39" s="424"/>
      <c r="QCK39" s="427"/>
      <c r="QCL39" s="424"/>
      <c r="QCM39" s="427"/>
      <c r="QCN39" s="424"/>
      <c r="QCO39" s="427"/>
      <c r="QCP39" s="424"/>
      <c r="QCQ39" s="427"/>
      <c r="QCR39" s="424"/>
      <c r="QCS39" s="427"/>
      <c r="QCT39" s="424"/>
      <c r="QCU39" s="427"/>
      <c r="QCV39" s="424"/>
      <c r="QCW39" s="427"/>
      <c r="QCX39" s="424"/>
      <c r="QCY39" s="427"/>
      <c r="QCZ39" s="424"/>
      <c r="QDA39" s="427"/>
      <c r="QDB39" s="424"/>
      <c r="QDC39" s="427"/>
      <c r="QDD39" s="424"/>
      <c r="QDE39" s="427"/>
      <c r="QDF39" s="424"/>
      <c r="QDG39" s="427"/>
      <c r="QDH39" s="424"/>
      <c r="QDI39" s="427"/>
      <c r="QDJ39" s="424"/>
      <c r="QDK39" s="427"/>
      <c r="QDL39" s="424"/>
      <c r="QDM39" s="427"/>
      <c r="QDN39" s="424"/>
      <c r="QDO39" s="427"/>
      <c r="QDP39" s="424"/>
      <c r="QDQ39" s="427"/>
      <c r="QDR39" s="424"/>
      <c r="QDS39" s="427"/>
      <c r="QDT39" s="424"/>
      <c r="QDU39" s="427"/>
      <c r="QDV39" s="424"/>
      <c r="QDW39" s="427"/>
      <c r="QDX39" s="424"/>
      <c r="QDY39" s="427"/>
      <c r="QDZ39" s="424"/>
      <c r="QEA39" s="427"/>
      <c r="QEB39" s="424"/>
      <c r="QEC39" s="427"/>
      <c r="QED39" s="424"/>
      <c r="QEE39" s="427"/>
      <c r="QEF39" s="424"/>
      <c r="QEG39" s="427"/>
      <c r="QEH39" s="424"/>
      <c r="QEI39" s="427"/>
      <c r="QEJ39" s="424"/>
      <c r="QEK39" s="427"/>
      <c r="QEL39" s="424"/>
      <c r="QEM39" s="427"/>
      <c r="QEN39" s="424"/>
      <c r="QEO39" s="427"/>
      <c r="QEP39" s="424"/>
      <c r="QEQ39" s="427"/>
      <c r="QER39" s="424"/>
      <c r="QES39" s="427"/>
      <c r="QET39" s="424"/>
      <c r="QEU39" s="427"/>
      <c r="QEV39" s="424"/>
      <c r="QEW39" s="427"/>
      <c r="QEX39" s="424"/>
      <c r="QEY39" s="427"/>
      <c r="QEZ39" s="424"/>
      <c r="QFA39" s="427"/>
      <c r="QFB39" s="424"/>
      <c r="QFC39" s="427"/>
      <c r="QFD39" s="424"/>
      <c r="QFE39" s="427"/>
      <c r="QFF39" s="424"/>
      <c r="QFG39" s="427"/>
      <c r="QFH39" s="424"/>
      <c r="QFI39" s="427"/>
      <c r="QFJ39" s="424"/>
      <c r="QFK39" s="427"/>
      <c r="QFL39" s="424"/>
      <c r="QFM39" s="427"/>
      <c r="QFN39" s="424"/>
      <c r="QFO39" s="427"/>
      <c r="QFP39" s="424"/>
      <c r="QFQ39" s="427"/>
      <c r="QFR39" s="424"/>
      <c r="QFS39" s="427"/>
      <c r="QFT39" s="424"/>
      <c r="QFU39" s="427"/>
      <c r="QFV39" s="424"/>
      <c r="QFW39" s="427"/>
      <c r="QFX39" s="424"/>
      <c r="QFY39" s="427"/>
      <c r="QFZ39" s="424"/>
      <c r="QGA39" s="427"/>
      <c r="QGB39" s="424"/>
      <c r="QGC39" s="427"/>
      <c r="QGD39" s="424"/>
      <c r="QGE39" s="427"/>
      <c r="QGF39" s="424"/>
      <c r="QGG39" s="427"/>
      <c r="QGH39" s="424"/>
      <c r="QGI39" s="427"/>
      <c r="QGJ39" s="424"/>
      <c r="QGK39" s="427"/>
      <c r="QGL39" s="424"/>
      <c r="QGM39" s="427"/>
      <c r="QGN39" s="424"/>
      <c r="QGO39" s="427"/>
      <c r="QGP39" s="424"/>
      <c r="QGQ39" s="427"/>
      <c r="QGR39" s="424"/>
      <c r="QGS39" s="427"/>
      <c r="QGT39" s="424"/>
      <c r="QGU39" s="427"/>
      <c r="QGV39" s="424"/>
      <c r="QGW39" s="427"/>
      <c r="QGX39" s="424"/>
      <c r="QGY39" s="427"/>
      <c r="QGZ39" s="424"/>
      <c r="QHA39" s="427"/>
      <c r="QHB39" s="424"/>
      <c r="QHC39" s="427"/>
      <c r="QHD39" s="424"/>
      <c r="QHE39" s="427"/>
      <c r="QHF39" s="424"/>
      <c r="QHG39" s="427"/>
      <c r="QHH39" s="424"/>
      <c r="QHI39" s="427"/>
      <c r="QHJ39" s="424"/>
      <c r="QHK39" s="427"/>
      <c r="QHL39" s="424"/>
      <c r="QHM39" s="427"/>
      <c r="QHN39" s="424"/>
      <c r="QHO39" s="427"/>
      <c r="QHP39" s="424"/>
      <c r="QHQ39" s="427"/>
      <c r="QHR39" s="424"/>
      <c r="QHS39" s="427"/>
      <c r="QHT39" s="424"/>
      <c r="QHU39" s="427"/>
      <c r="QHV39" s="424"/>
      <c r="QHW39" s="427"/>
      <c r="QHX39" s="424"/>
      <c r="QHY39" s="427"/>
      <c r="QHZ39" s="424"/>
      <c r="QIA39" s="427"/>
      <c r="QIB39" s="424"/>
      <c r="QIC39" s="427"/>
      <c r="QID39" s="424"/>
      <c r="QIE39" s="427"/>
      <c r="QIF39" s="424"/>
      <c r="QIG39" s="427"/>
      <c r="QIH39" s="424"/>
      <c r="QII39" s="427"/>
      <c r="QIJ39" s="424"/>
      <c r="QIK39" s="427"/>
      <c r="QIL39" s="424"/>
      <c r="QIM39" s="427"/>
      <c r="QIN39" s="424"/>
      <c r="QIO39" s="427"/>
      <c r="QIP39" s="424"/>
      <c r="QIQ39" s="427"/>
      <c r="QIR39" s="424"/>
      <c r="QIS39" s="427"/>
      <c r="QIT39" s="424"/>
      <c r="QIU39" s="427"/>
      <c r="QIV39" s="424"/>
      <c r="QIW39" s="427"/>
      <c r="QIX39" s="424"/>
      <c r="QIY39" s="427"/>
      <c r="QIZ39" s="424"/>
      <c r="QJA39" s="427"/>
      <c r="QJB39" s="424"/>
      <c r="QJC39" s="427"/>
      <c r="QJD39" s="424"/>
      <c r="QJE39" s="427"/>
      <c r="QJF39" s="424"/>
      <c r="QJG39" s="427"/>
      <c r="QJH39" s="424"/>
      <c r="QJI39" s="427"/>
      <c r="QJJ39" s="424"/>
      <c r="QJK39" s="427"/>
      <c r="QJL39" s="424"/>
      <c r="QJM39" s="427"/>
      <c r="QJN39" s="424"/>
      <c r="QJO39" s="427"/>
      <c r="QJP39" s="424"/>
      <c r="QJQ39" s="427"/>
      <c r="QJR39" s="424"/>
      <c r="QJS39" s="427"/>
      <c r="QJT39" s="424"/>
      <c r="QJU39" s="427"/>
      <c r="QJV39" s="424"/>
      <c r="QJW39" s="427"/>
      <c r="QJX39" s="424"/>
      <c r="QJY39" s="427"/>
      <c r="QJZ39" s="424"/>
      <c r="QKA39" s="427"/>
      <c r="QKB39" s="424"/>
      <c r="QKC39" s="427"/>
      <c r="QKD39" s="424"/>
      <c r="QKE39" s="427"/>
      <c r="QKF39" s="424"/>
      <c r="QKG39" s="427"/>
      <c r="QKH39" s="424"/>
      <c r="QKI39" s="427"/>
      <c r="QKJ39" s="424"/>
      <c r="QKK39" s="427"/>
      <c r="QKL39" s="424"/>
      <c r="QKM39" s="427"/>
      <c r="QKN39" s="424"/>
      <c r="QKO39" s="427"/>
      <c r="QKP39" s="424"/>
      <c r="QKQ39" s="427"/>
      <c r="QKR39" s="424"/>
      <c r="QKS39" s="427"/>
      <c r="QKT39" s="424"/>
      <c r="QKU39" s="427"/>
      <c r="QKV39" s="424"/>
      <c r="QKW39" s="427"/>
      <c r="QKX39" s="424"/>
      <c r="QKY39" s="427"/>
      <c r="QKZ39" s="424"/>
      <c r="QLA39" s="427"/>
      <c r="QLB39" s="424"/>
      <c r="QLC39" s="427"/>
      <c r="QLD39" s="424"/>
      <c r="QLE39" s="427"/>
      <c r="QLF39" s="424"/>
      <c r="QLG39" s="427"/>
      <c r="QLH39" s="424"/>
      <c r="QLI39" s="427"/>
      <c r="QLJ39" s="424"/>
      <c r="QLK39" s="427"/>
      <c r="QLL39" s="424"/>
      <c r="QLM39" s="427"/>
      <c r="QLN39" s="424"/>
      <c r="QLO39" s="427"/>
      <c r="QLP39" s="424"/>
      <c r="QLQ39" s="427"/>
      <c r="QLR39" s="424"/>
      <c r="QLS39" s="427"/>
      <c r="QLT39" s="424"/>
      <c r="QLU39" s="427"/>
      <c r="QLV39" s="424"/>
      <c r="QLW39" s="427"/>
      <c r="QLX39" s="424"/>
      <c r="QLY39" s="427"/>
      <c r="QLZ39" s="424"/>
      <c r="QMA39" s="427"/>
      <c r="QMB39" s="424"/>
      <c r="QMC39" s="427"/>
      <c r="QMD39" s="424"/>
      <c r="QME39" s="427"/>
      <c r="QMF39" s="424"/>
      <c r="QMG39" s="427"/>
      <c r="QMH39" s="424"/>
      <c r="QMI39" s="427"/>
      <c r="QMJ39" s="424"/>
      <c r="QMK39" s="427"/>
      <c r="QML39" s="424"/>
      <c r="QMM39" s="427"/>
      <c r="QMN39" s="424"/>
      <c r="QMO39" s="427"/>
      <c r="QMP39" s="424"/>
      <c r="QMQ39" s="427"/>
      <c r="QMR39" s="424"/>
      <c r="QMS39" s="427"/>
      <c r="QMT39" s="424"/>
      <c r="QMU39" s="427"/>
      <c r="QMV39" s="424"/>
      <c r="QMW39" s="427"/>
      <c r="QMX39" s="424"/>
      <c r="QMY39" s="427"/>
      <c r="QMZ39" s="424"/>
      <c r="QNA39" s="427"/>
      <c r="QNB39" s="424"/>
      <c r="QNC39" s="427"/>
      <c r="QND39" s="424"/>
      <c r="QNE39" s="427"/>
      <c r="QNF39" s="424"/>
      <c r="QNG39" s="427"/>
      <c r="QNH39" s="424"/>
      <c r="QNI39" s="427"/>
      <c r="QNJ39" s="424"/>
      <c r="QNK39" s="427"/>
      <c r="QNL39" s="424"/>
      <c r="QNM39" s="427"/>
      <c r="QNN39" s="424"/>
      <c r="QNO39" s="427"/>
      <c r="QNP39" s="424"/>
      <c r="QNQ39" s="427"/>
      <c r="QNR39" s="424"/>
      <c r="QNS39" s="427"/>
      <c r="QNT39" s="424"/>
      <c r="QNU39" s="427"/>
      <c r="QNV39" s="424"/>
      <c r="QNW39" s="427"/>
      <c r="QNX39" s="424"/>
      <c r="QNY39" s="427"/>
      <c r="QNZ39" s="424"/>
      <c r="QOA39" s="427"/>
      <c r="QOB39" s="424"/>
      <c r="QOC39" s="427"/>
      <c r="QOD39" s="424"/>
      <c r="QOE39" s="427"/>
      <c r="QOF39" s="424"/>
      <c r="QOG39" s="427"/>
      <c r="QOH39" s="424"/>
      <c r="QOI39" s="427"/>
      <c r="QOJ39" s="424"/>
      <c r="QOK39" s="427"/>
      <c r="QOL39" s="424"/>
      <c r="QOM39" s="427"/>
      <c r="QON39" s="424"/>
      <c r="QOO39" s="427"/>
      <c r="QOP39" s="424"/>
      <c r="QOQ39" s="427"/>
      <c r="QOR39" s="424"/>
      <c r="QOS39" s="427"/>
      <c r="QOT39" s="424"/>
      <c r="QOU39" s="427"/>
      <c r="QOV39" s="424"/>
      <c r="QOW39" s="427"/>
      <c r="QOX39" s="424"/>
      <c r="QOY39" s="427"/>
      <c r="QOZ39" s="424"/>
      <c r="QPA39" s="427"/>
      <c r="QPB39" s="424"/>
      <c r="QPC39" s="427"/>
      <c r="QPD39" s="424"/>
      <c r="QPE39" s="427"/>
      <c r="QPF39" s="424"/>
      <c r="QPG39" s="427"/>
      <c r="QPH39" s="424"/>
      <c r="QPI39" s="427"/>
      <c r="QPJ39" s="424"/>
      <c r="QPK39" s="427"/>
      <c r="QPL39" s="424"/>
      <c r="QPM39" s="427"/>
      <c r="QPN39" s="424"/>
      <c r="QPO39" s="427"/>
      <c r="QPP39" s="424"/>
      <c r="QPQ39" s="427"/>
      <c r="QPR39" s="424"/>
      <c r="QPS39" s="427"/>
      <c r="QPT39" s="424"/>
      <c r="QPU39" s="427"/>
      <c r="QPV39" s="424"/>
      <c r="QPW39" s="427"/>
      <c r="QPX39" s="424"/>
      <c r="QPY39" s="427"/>
      <c r="QPZ39" s="424"/>
      <c r="QQA39" s="427"/>
      <c r="QQB39" s="424"/>
      <c r="QQC39" s="427"/>
      <c r="QQD39" s="424"/>
      <c r="QQE39" s="427"/>
      <c r="QQF39" s="424"/>
      <c r="QQG39" s="427"/>
      <c r="QQH39" s="424"/>
      <c r="QQI39" s="427"/>
      <c r="QQJ39" s="424"/>
      <c r="QQK39" s="427"/>
      <c r="QQL39" s="424"/>
      <c r="QQM39" s="427"/>
      <c r="QQN39" s="424"/>
      <c r="QQO39" s="427"/>
      <c r="QQP39" s="424"/>
      <c r="QQQ39" s="427"/>
      <c r="QQR39" s="424"/>
      <c r="QQS39" s="427"/>
      <c r="QQT39" s="424"/>
      <c r="QQU39" s="427"/>
      <c r="QQV39" s="424"/>
      <c r="QQW39" s="427"/>
      <c r="QQX39" s="424"/>
      <c r="QQY39" s="427"/>
      <c r="QQZ39" s="424"/>
      <c r="QRA39" s="427"/>
      <c r="QRB39" s="424"/>
      <c r="QRC39" s="427"/>
      <c r="QRD39" s="424"/>
      <c r="QRE39" s="427"/>
      <c r="QRF39" s="424"/>
      <c r="QRG39" s="427"/>
      <c r="QRH39" s="424"/>
      <c r="QRI39" s="427"/>
      <c r="QRJ39" s="424"/>
      <c r="QRK39" s="427"/>
      <c r="QRL39" s="424"/>
      <c r="QRM39" s="427"/>
      <c r="QRN39" s="424"/>
      <c r="QRO39" s="427"/>
      <c r="QRP39" s="424"/>
      <c r="QRQ39" s="427"/>
      <c r="QRR39" s="424"/>
      <c r="QRS39" s="427"/>
      <c r="QRT39" s="424"/>
      <c r="QRU39" s="427"/>
      <c r="QRV39" s="424"/>
      <c r="QRW39" s="427"/>
      <c r="QRX39" s="424"/>
      <c r="QRY39" s="427"/>
      <c r="QRZ39" s="424"/>
      <c r="QSA39" s="427"/>
      <c r="QSB39" s="424"/>
      <c r="QSC39" s="427"/>
      <c r="QSD39" s="424"/>
      <c r="QSE39" s="427"/>
      <c r="QSF39" s="424"/>
      <c r="QSG39" s="427"/>
      <c r="QSH39" s="424"/>
      <c r="QSI39" s="427"/>
      <c r="QSJ39" s="424"/>
      <c r="QSK39" s="427"/>
      <c r="QSL39" s="424"/>
      <c r="QSM39" s="427"/>
      <c r="QSN39" s="424"/>
      <c r="QSO39" s="427"/>
      <c r="QSP39" s="424"/>
      <c r="QSQ39" s="427"/>
      <c r="QSR39" s="424"/>
      <c r="QSS39" s="427"/>
      <c r="QST39" s="424"/>
      <c r="QSU39" s="427"/>
      <c r="QSV39" s="424"/>
      <c r="QSW39" s="427"/>
      <c r="QSX39" s="424"/>
      <c r="QSY39" s="427"/>
      <c r="QSZ39" s="424"/>
      <c r="QTA39" s="427"/>
      <c r="QTB39" s="424"/>
      <c r="QTC39" s="427"/>
      <c r="QTD39" s="424"/>
      <c r="QTE39" s="427"/>
      <c r="QTF39" s="424"/>
      <c r="QTG39" s="427"/>
      <c r="QTH39" s="424"/>
      <c r="QTI39" s="427"/>
      <c r="QTJ39" s="424"/>
      <c r="QTK39" s="427"/>
      <c r="QTL39" s="424"/>
      <c r="QTM39" s="427"/>
      <c r="QTN39" s="424"/>
      <c r="QTO39" s="427"/>
      <c r="QTP39" s="424"/>
      <c r="QTQ39" s="427"/>
      <c r="QTR39" s="424"/>
      <c r="QTS39" s="427"/>
      <c r="QTT39" s="424"/>
      <c r="QTU39" s="427"/>
      <c r="QTV39" s="424"/>
      <c r="QTW39" s="427"/>
      <c r="QTX39" s="424"/>
      <c r="QTY39" s="427"/>
      <c r="QTZ39" s="424"/>
      <c r="QUA39" s="427"/>
      <c r="QUB39" s="424"/>
      <c r="QUC39" s="427"/>
      <c r="QUD39" s="424"/>
      <c r="QUE39" s="427"/>
      <c r="QUF39" s="424"/>
      <c r="QUG39" s="427"/>
      <c r="QUH39" s="424"/>
      <c r="QUI39" s="427"/>
      <c r="QUJ39" s="424"/>
      <c r="QUK39" s="427"/>
      <c r="QUL39" s="424"/>
      <c r="QUM39" s="427"/>
      <c r="QUN39" s="424"/>
      <c r="QUO39" s="427"/>
      <c r="QUP39" s="424"/>
      <c r="QUQ39" s="427"/>
      <c r="QUR39" s="424"/>
      <c r="QUS39" s="427"/>
      <c r="QUT39" s="424"/>
      <c r="QUU39" s="427"/>
      <c r="QUV39" s="424"/>
      <c r="QUW39" s="427"/>
      <c r="QUX39" s="424"/>
      <c r="QUY39" s="427"/>
      <c r="QUZ39" s="424"/>
      <c r="QVA39" s="427"/>
      <c r="QVB39" s="424"/>
      <c r="QVC39" s="427"/>
      <c r="QVD39" s="424"/>
      <c r="QVE39" s="427"/>
      <c r="QVF39" s="424"/>
      <c r="QVG39" s="427"/>
      <c r="QVH39" s="424"/>
      <c r="QVI39" s="427"/>
      <c r="QVJ39" s="424"/>
      <c r="QVK39" s="427"/>
      <c r="QVL39" s="424"/>
      <c r="QVM39" s="427"/>
      <c r="QVN39" s="424"/>
      <c r="QVO39" s="427"/>
      <c r="QVP39" s="424"/>
      <c r="QVQ39" s="427"/>
      <c r="QVR39" s="424"/>
      <c r="QVS39" s="427"/>
      <c r="QVT39" s="424"/>
      <c r="QVU39" s="427"/>
      <c r="QVV39" s="424"/>
      <c r="QVW39" s="427"/>
      <c r="QVX39" s="424"/>
      <c r="QVY39" s="427"/>
      <c r="QVZ39" s="424"/>
      <c r="QWA39" s="427"/>
      <c r="QWB39" s="424"/>
      <c r="QWC39" s="427"/>
      <c r="QWD39" s="424"/>
      <c r="QWE39" s="427"/>
      <c r="QWF39" s="424"/>
      <c r="QWG39" s="427"/>
      <c r="QWH39" s="424"/>
      <c r="QWI39" s="427"/>
      <c r="QWJ39" s="424"/>
      <c r="QWK39" s="427"/>
      <c r="QWL39" s="424"/>
      <c r="QWM39" s="427"/>
      <c r="QWN39" s="424"/>
      <c r="QWO39" s="427"/>
      <c r="QWP39" s="424"/>
      <c r="QWQ39" s="427"/>
      <c r="QWR39" s="424"/>
      <c r="QWS39" s="427"/>
      <c r="QWT39" s="424"/>
      <c r="QWU39" s="427"/>
      <c r="QWV39" s="424"/>
      <c r="QWW39" s="427"/>
      <c r="QWX39" s="424"/>
      <c r="QWY39" s="427"/>
      <c r="QWZ39" s="424"/>
      <c r="QXA39" s="427"/>
      <c r="QXB39" s="424"/>
      <c r="QXC39" s="427"/>
      <c r="QXD39" s="424"/>
      <c r="QXE39" s="427"/>
      <c r="QXF39" s="424"/>
      <c r="QXG39" s="427"/>
      <c r="QXH39" s="424"/>
      <c r="QXI39" s="427"/>
      <c r="QXJ39" s="424"/>
      <c r="QXK39" s="427"/>
      <c r="QXL39" s="424"/>
      <c r="QXM39" s="427"/>
      <c r="QXN39" s="424"/>
      <c r="QXO39" s="427"/>
      <c r="QXP39" s="424"/>
      <c r="QXQ39" s="427"/>
      <c r="QXR39" s="424"/>
      <c r="QXS39" s="427"/>
      <c r="QXT39" s="424"/>
      <c r="QXU39" s="427"/>
      <c r="QXV39" s="424"/>
      <c r="QXW39" s="427"/>
      <c r="QXX39" s="424"/>
      <c r="QXY39" s="427"/>
      <c r="QXZ39" s="424"/>
      <c r="QYA39" s="427"/>
      <c r="QYB39" s="424"/>
      <c r="QYC39" s="427"/>
      <c r="QYD39" s="424"/>
      <c r="QYE39" s="427"/>
      <c r="QYF39" s="424"/>
      <c r="QYG39" s="427"/>
      <c r="QYH39" s="424"/>
      <c r="QYI39" s="427"/>
      <c r="QYJ39" s="424"/>
      <c r="QYK39" s="427"/>
      <c r="QYL39" s="424"/>
      <c r="QYM39" s="427"/>
      <c r="QYN39" s="424"/>
      <c r="QYO39" s="427"/>
      <c r="QYP39" s="424"/>
      <c r="QYQ39" s="427"/>
      <c r="QYR39" s="424"/>
      <c r="QYS39" s="427"/>
      <c r="QYT39" s="424"/>
      <c r="QYU39" s="427"/>
      <c r="QYV39" s="424"/>
      <c r="QYW39" s="427"/>
      <c r="QYX39" s="424"/>
      <c r="QYY39" s="427"/>
      <c r="QYZ39" s="424"/>
      <c r="QZA39" s="427"/>
      <c r="QZB39" s="424"/>
      <c r="QZC39" s="427"/>
      <c r="QZD39" s="424"/>
      <c r="QZE39" s="427"/>
      <c r="QZF39" s="424"/>
      <c r="QZG39" s="427"/>
      <c r="QZH39" s="424"/>
      <c r="QZI39" s="427"/>
      <c r="QZJ39" s="424"/>
      <c r="QZK39" s="427"/>
      <c r="QZL39" s="424"/>
      <c r="QZM39" s="427"/>
      <c r="QZN39" s="424"/>
      <c r="QZO39" s="427"/>
      <c r="QZP39" s="424"/>
      <c r="QZQ39" s="427"/>
      <c r="QZR39" s="424"/>
      <c r="QZS39" s="427"/>
      <c r="QZT39" s="424"/>
      <c r="QZU39" s="427"/>
      <c r="QZV39" s="424"/>
      <c r="QZW39" s="427"/>
      <c r="QZX39" s="424"/>
      <c r="QZY39" s="427"/>
      <c r="QZZ39" s="424"/>
      <c r="RAA39" s="427"/>
      <c r="RAB39" s="424"/>
      <c r="RAC39" s="427"/>
      <c r="RAD39" s="424"/>
      <c r="RAE39" s="427"/>
      <c r="RAF39" s="424"/>
      <c r="RAG39" s="427"/>
      <c r="RAH39" s="424"/>
      <c r="RAI39" s="427"/>
      <c r="RAJ39" s="424"/>
      <c r="RAK39" s="427"/>
      <c r="RAL39" s="424"/>
      <c r="RAM39" s="427"/>
      <c r="RAN39" s="424"/>
      <c r="RAO39" s="427"/>
      <c r="RAP39" s="424"/>
      <c r="RAQ39" s="427"/>
      <c r="RAR39" s="424"/>
      <c r="RAS39" s="427"/>
      <c r="RAT39" s="424"/>
      <c r="RAU39" s="427"/>
      <c r="RAV39" s="424"/>
      <c r="RAW39" s="427"/>
      <c r="RAX39" s="424"/>
      <c r="RAY39" s="427"/>
      <c r="RAZ39" s="424"/>
      <c r="RBA39" s="427"/>
      <c r="RBB39" s="424"/>
      <c r="RBC39" s="427"/>
      <c r="RBD39" s="424"/>
      <c r="RBE39" s="427"/>
      <c r="RBF39" s="424"/>
      <c r="RBG39" s="427"/>
      <c r="RBH39" s="424"/>
      <c r="RBI39" s="427"/>
      <c r="RBJ39" s="424"/>
      <c r="RBK39" s="427"/>
      <c r="RBL39" s="424"/>
      <c r="RBM39" s="427"/>
      <c r="RBN39" s="424"/>
      <c r="RBO39" s="427"/>
      <c r="RBP39" s="424"/>
      <c r="RBQ39" s="427"/>
      <c r="RBR39" s="424"/>
      <c r="RBS39" s="427"/>
      <c r="RBT39" s="424"/>
      <c r="RBU39" s="427"/>
      <c r="RBV39" s="424"/>
      <c r="RBW39" s="427"/>
      <c r="RBX39" s="424"/>
      <c r="RBY39" s="427"/>
      <c r="RBZ39" s="424"/>
      <c r="RCA39" s="427"/>
      <c r="RCB39" s="424"/>
      <c r="RCC39" s="427"/>
      <c r="RCD39" s="424"/>
      <c r="RCE39" s="427"/>
      <c r="RCF39" s="424"/>
      <c r="RCG39" s="427"/>
      <c r="RCH39" s="424"/>
      <c r="RCI39" s="427"/>
      <c r="RCJ39" s="424"/>
      <c r="RCK39" s="427"/>
      <c r="RCL39" s="424"/>
      <c r="RCM39" s="427"/>
      <c r="RCN39" s="424"/>
      <c r="RCO39" s="427"/>
      <c r="RCP39" s="424"/>
      <c r="RCQ39" s="427"/>
      <c r="RCR39" s="424"/>
      <c r="RCS39" s="427"/>
      <c r="RCT39" s="424"/>
      <c r="RCU39" s="427"/>
      <c r="RCV39" s="424"/>
      <c r="RCW39" s="427"/>
      <c r="RCX39" s="424"/>
      <c r="RCY39" s="427"/>
      <c r="RCZ39" s="424"/>
      <c r="RDA39" s="427"/>
      <c r="RDB39" s="424"/>
      <c r="RDC39" s="427"/>
      <c r="RDD39" s="424"/>
      <c r="RDE39" s="427"/>
      <c r="RDF39" s="424"/>
      <c r="RDG39" s="427"/>
      <c r="RDH39" s="424"/>
      <c r="RDI39" s="427"/>
      <c r="RDJ39" s="424"/>
      <c r="RDK39" s="427"/>
      <c r="RDL39" s="424"/>
      <c r="RDM39" s="427"/>
      <c r="RDN39" s="424"/>
      <c r="RDO39" s="427"/>
      <c r="RDP39" s="424"/>
      <c r="RDQ39" s="427"/>
      <c r="RDR39" s="424"/>
      <c r="RDS39" s="427"/>
      <c r="RDT39" s="424"/>
      <c r="RDU39" s="427"/>
      <c r="RDV39" s="424"/>
      <c r="RDW39" s="427"/>
      <c r="RDX39" s="424"/>
      <c r="RDY39" s="427"/>
      <c r="RDZ39" s="424"/>
      <c r="REA39" s="427"/>
      <c r="REB39" s="424"/>
      <c r="REC39" s="427"/>
      <c r="RED39" s="424"/>
      <c r="REE39" s="427"/>
      <c r="REF39" s="424"/>
      <c r="REG39" s="427"/>
      <c r="REH39" s="424"/>
      <c r="REI39" s="427"/>
      <c r="REJ39" s="424"/>
      <c r="REK39" s="427"/>
      <c r="REL39" s="424"/>
      <c r="REM39" s="427"/>
      <c r="REN39" s="424"/>
      <c r="REO39" s="427"/>
      <c r="REP39" s="424"/>
      <c r="REQ39" s="427"/>
      <c r="RER39" s="424"/>
      <c r="RES39" s="427"/>
      <c r="RET39" s="424"/>
      <c r="REU39" s="427"/>
      <c r="REV39" s="424"/>
      <c r="REW39" s="427"/>
      <c r="REX39" s="424"/>
      <c r="REY39" s="427"/>
      <c r="REZ39" s="424"/>
      <c r="RFA39" s="427"/>
      <c r="RFB39" s="424"/>
      <c r="RFC39" s="427"/>
      <c r="RFD39" s="424"/>
      <c r="RFE39" s="427"/>
      <c r="RFF39" s="424"/>
      <c r="RFG39" s="427"/>
      <c r="RFH39" s="424"/>
      <c r="RFI39" s="427"/>
      <c r="RFJ39" s="424"/>
      <c r="RFK39" s="427"/>
      <c r="RFL39" s="424"/>
      <c r="RFM39" s="427"/>
      <c r="RFN39" s="424"/>
      <c r="RFO39" s="427"/>
      <c r="RFP39" s="424"/>
      <c r="RFQ39" s="427"/>
      <c r="RFR39" s="424"/>
      <c r="RFS39" s="427"/>
      <c r="RFT39" s="424"/>
      <c r="RFU39" s="427"/>
      <c r="RFV39" s="424"/>
      <c r="RFW39" s="427"/>
      <c r="RFX39" s="424"/>
      <c r="RFY39" s="427"/>
      <c r="RFZ39" s="424"/>
      <c r="RGA39" s="427"/>
      <c r="RGB39" s="424"/>
      <c r="RGC39" s="427"/>
      <c r="RGD39" s="424"/>
      <c r="RGE39" s="427"/>
      <c r="RGF39" s="424"/>
      <c r="RGG39" s="427"/>
      <c r="RGH39" s="424"/>
      <c r="RGI39" s="427"/>
      <c r="RGJ39" s="424"/>
      <c r="RGK39" s="427"/>
      <c r="RGL39" s="424"/>
      <c r="RGM39" s="427"/>
      <c r="RGN39" s="424"/>
      <c r="RGO39" s="427"/>
      <c r="RGP39" s="424"/>
      <c r="RGQ39" s="427"/>
      <c r="RGR39" s="424"/>
      <c r="RGS39" s="427"/>
      <c r="RGT39" s="424"/>
      <c r="RGU39" s="427"/>
      <c r="RGV39" s="424"/>
      <c r="RGW39" s="427"/>
      <c r="RGX39" s="424"/>
      <c r="RGY39" s="427"/>
      <c r="RGZ39" s="424"/>
      <c r="RHA39" s="427"/>
      <c r="RHB39" s="424"/>
      <c r="RHC39" s="427"/>
      <c r="RHD39" s="424"/>
      <c r="RHE39" s="427"/>
      <c r="RHF39" s="424"/>
      <c r="RHG39" s="427"/>
      <c r="RHH39" s="424"/>
      <c r="RHI39" s="427"/>
      <c r="RHJ39" s="424"/>
      <c r="RHK39" s="427"/>
      <c r="RHL39" s="424"/>
      <c r="RHM39" s="427"/>
      <c r="RHN39" s="424"/>
      <c r="RHO39" s="427"/>
      <c r="RHP39" s="424"/>
      <c r="RHQ39" s="427"/>
      <c r="RHR39" s="424"/>
      <c r="RHS39" s="427"/>
      <c r="RHT39" s="424"/>
      <c r="RHU39" s="427"/>
      <c r="RHV39" s="424"/>
      <c r="RHW39" s="427"/>
      <c r="RHX39" s="424"/>
      <c r="RHY39" s="427"/>
      <c r="RHZ39" s="424"/>
      <c r="RIA39" s="427"/>
      <c r="RIB39" s="424"/>
      <c r="RIC39" s="427"/>
      <c r="RID39" s="424"/>
      <c r="RIE39" s="427"/>
      <c r="RIF39" s="424"/>
      <c r="RIG39" s="427"/>
      <c r="RIH39" s="424"/>
      <c r="RII39" s="427"/>
      <c r="RIJ39" s="424"/>
      <c r="RIK39" s="427"/>
      <c r="RIL39" s="424"/>
      <c r="RIM39" s="427"/>
      <c r="RIN39" s="424"/>
      <c r="RIO39" s="427"/>
      <c r="RIP39" s="424"/>
      <c r="RIQ39" s="427"/>
      <c r="RIR39" s="424"/>
      <c r="RIS39" s="427"/>
      <c r="RIT39" s="424"/>
      <c r="RIU39" s="427"/>
      <c r="RIV39" s="424"/>
      <c r="RIW39" s="427"/>
      <c r="RIX39" s="424"/>
      <c r="RIY39" s="427"/>
      <c r="RIZ39" s="424"/>
      <c r="RJA39" s="427"/>
      <c r="RJB39" s="424"/>
      <c r="RJC39" s="427"/>
      <c r="RJD39" s="424"/>
      <c r="RJE39" s="427"/>
      <c r="RJF39" s="424"/>
      <c r="RJG39" s="427"/>
      <c r="RJH39" s="424"/>
      <c r="RJI39" s="427"/>
      <c r="RJJ39" s="424"/>
      <c r="RJK39" s="427"/>
      <c r="RJL39" s="424"/>
      <c r="RJM39" s="427"/>
      <c r="RJN39" s="424"/>
      <c r="RJO39" s="427"/>
      <c r="RJP39" s="424"/>
      <c r="RJQ39" s="427"/>
      <c r="RJR39" s="424"/>
      <c r="RJS39" s="427"/>
      <c r="RJT39" s="424"/>
      <c r="RJU39" s="427"/>
      <c r="RJV39" s="424"/>
      <c r="RJW39" s="427"/>
      <c r="RJX39" s="424"/>
      <c r="RJY39" s="427"/>
      <c r="RJZ39" s="424"/>
      <c r="RKA39" s="427"/>
      <c r="RKB39" s="424"/>
      <c r="RKC39" s="427"/>
      <c r="RKD39" s="424"/>
      <c r="RKE39" s="427"/>
      <c r="RKF39" s="424"/>
      <c r="RKG39" s="427"/>
      <c r="RKH39" s="424"/>
      <c r="RKI39" s="427"/>
      <c r="RKJ39" s="424"/>
      <c r="RKK39" s="427"/>
      <c r="RKL39" s="424"/>
      <c r="RKM39" s="427"/>
      <c r="RKN39" s="424"/>
      <c r="RKO39" s="427"/>
      <c r="RKP39" s="424"/>
      <c r="RKQ39" s="427"/>
      <c r="RKR39" s="424"/>
      <c r="RKS39" s="427"/>
      <c r="RKT39" s="424"/>
      <c r="RKU39" s="427"/>
      <c r="RKV39" s="424"/>
      <c r="RKW39" s="427"/>
      <c r="RKX39" s="424"/>
      <c r="RKY39" s="427"/>
      <c r="RKZ39" s="424"/>
      <c r="RLA39" s="427"/>
      <c r="RLB39" s="424"/>
      <c r="RLC39" s="427"/>
      <c r="RLD39" s="424"/>
      <c r="RLE39" s="427"/>
      <c r="RLF39" s="424"/>
      <c r="RLG39" s="427"/>
      <c r="RLH39" s="424"/>
      <c r="RLI39" s="427"/>
      <c r="RLJ39" s="424"/>
      <c r="RLK39" s="427"/>
      <c r="RLL39" s="424"/>
      <c r="RLM39" s="427"/>
      <c r="RLN39" s="424"/>
      <c r="RLO39" s="427"/>
      <c r="RLP39" s="424"/>
      <c r="RLQ39" s="427"/>
      <c r="RLR39" s="424"/>
      <c r="RLS39" s="427"/>
      <c r="RLT39" s="424"/>
      <c r="RLU39" s="427"/>
      <c r="RLV39" s="424"/>
      <c r="RLW39" s="427"/>
      <c r="RLX39" s="424"/>
      <c r="RLY39" s="427"/>
      <c r="RLZ39" s="424"/>
      <c r="RMA39" s="427"/>
      <c r="RMB39" s="424"/>
      <c r="RMC39" s="427"/>
      <c r="RMD39" s="424"/>
      <c r="RME39" s="427"/>
      <c r="RMF39" s="424"/>
      <c r="RMG39" s="427"/>
      <c r="RMH39" s="424"/>
      <c r="RMI39" s="427"/>
      <c r="RMJ39" s="424"/>
      <c r="RMK39" s="427"/>
      <c r="RML39" s="424"/>
      <c r="RMM39" s="427"/>
      <c r="RMN39" s="424"/>
      <c r="RMO39" s="427"/>
      <c r="RMP39" s="424"/>
      <c r="RMQ39" s="427"/>
      <c r="RMR39" s="424"/>
      <c r="RMS39" s="427"/>
      <c r="RMT39" s="424"/>
      <c r="RMU39" s="427"/>
      <c r="RMV39" s="424"/>
      <c r="RMW39" s="427"/>
      <c r="RMX39" s="424"/>
      <c r="RMY39" s="427"/>
      <c r="RMZ39" s="424"/>
      <c r="RNA39" s="427"/>
      <c r="RNB39" s="424"/>
      <c r="RNC39" s="427"/>
      <c r="RND39" s="424"/>
      <c r="RNE39" s="427"/>
      <c r="RNF39" s="424"/>
      <c r="RNG39" s="427"/>
      <c r="RNH39" s="424"/>
      <c r="RNI39" s="427"/>
      <c r="RNJ39" s="424"/>
      <c r="RNK39" s="427"/>
      <c r="RNL39" s="424"/>
      <c r="RNM39" s="427"/>
      <c r="RNN39" s="424"/>
      <c r="RNO39" s="427"/>
      <c r="RNP39" s="424"/>
      <c r="RNQ39" s="427"/>
      <c r="RNR39" s="424"/>
      <c r="RNS39" s="427"/>
      <c r="RNT39" s="424"/>
      <c r="RNU39" s="427"/>
      <c r="RNV39" s="424"/>
      <c r="RNW39" s="427"/>
      <c r="RNX39" s="424"/>
      <c r="RNY39" s="427"/>
      <c r="RNZ39" s="424"/>
      <c r="ROA39" s="427"/>
      <c r="ROB39" s="424"/>
      <c r="ROC39" s="427"/>
      <c r="ROD39" s="424"/>
      <c r="ROE39" s="427"/>
      <c r="ROF39" s="424"/>
      <c r="ROG39" s="427"/>
      <c r="ROH39" s="424"/>
      <c r="ROI39" s="427"/>
      <c r="ROJ39" s="424"/>
      <c r="ROK39" s="427"/>
      <c r="ROL39" s="424"/>
      <c r="ROM39" s="427"/>
      <c r="RON39" s="424"/>
      <c r="ROO39" s="427"/>
      <c r="ROP39" s="424"/>
      <c r="ROQ39" s="427"/>
      <c r="ROR39" s="424"/>
      <c r="ROS39" s="427"/>
      <c r="ROT39" s="424"/>
      <c r="ROU39" s="427"/>
      <c r="ROV39" s="424"/>
      <c r="ROW39" s="427"/>
      <c r="ROX39" s="424"/>
      <c r="ROY39" s="427"/>
      <c r="ROZ39" s="424"/>
      <c r="RPA39" s="427"/>
      <c r="RPB39" s="424"/>
      <c r="RPC39" s="427"/>
      <c r="RPD39" s="424"/>
      <c r="RPE39" s="427"/>
      <c r="RPF39" s="424"/>
      <c r="RPG39" s="427"/>
      <c r="RPH39" s="424"/>
      <c r="RPI39" s="427"/>
      <c r="RPJ39" s="424"/>
      <c r="RPK39" s="427"/>
      <c r="RPL39" s="424"/>
      <c r="RPM39" s="427"/>
      <c r="RPN39" s="424"/>
      <c r="RPO39" s="427"/>
      <c r="RPP39" s="424"/>
      <c r="RPQ39" s="427"/>
      <c r="RPR39" s="424"/>
      <c r="RPS39" s="427"/>
      <c r="RPT39" s="424"/>
      <c r="RPU39" s="427"/>
      <c r="RPV39" s="424"/>
      <c r="RPW39" s="427"/>
      <c r="RPX39" s="424"/>
      <c r="RPY39" s="427"/>
      <c r="RPZ39" s="424"/>
      <c r="RQA39" s="427"/>
      <c r="RQB39" s="424"/>
      <c r="RQC39" s="427"/>
      <c r="RQD39" s="424"/>
      <c r="RQE39" s="427"/>
      <c r="RQF39" s="424"/>
      <c r="RQG39" s="427"/>
      <c r="RQH39" s="424"/>
      <c r="RQI39" s="427"/>
      <c r="RQJ39" s="424"/>
      <c r="RQK39" s="427"/>
      <c r="RQL39" s="424"/>
      <c r="RQM39" s="427"/>
      <c r="RQN39" s="424"/>
      <c r="RQO39" s="427"/>
      <c r="RQP39" s="424"/>
      <c r="RQQ39" s="427"/>
      <c r="RQR39" s="424"/>
      <c r="RQS39" s="427"/>
      <c r="RQT39" s="424"/>
      <c r="RQU39" s="427"/>
      <c r="RQV39" s="424"/>
      <c r="RQW39" s="427"/>
      <c r="RQX39" s="424"/>
      <c r="RQY39" s="427"/>
      <c r="RQZ39" s="424"/>
      <c r="RRA39" s="427"/>
      <c r="RRB39" s="424"/>
      <c r="RRC39" s="427"/>
      <c r="RRD39" s="424"/>
      <c r="RRE39" s="427"/>
      <c r="RRF39" s="424"/>
      <c r="RRG39" s="427"/>
      <c r="RRH39" s="424"/>
      <c r="RRI39" s="427"/>
      <c r="RRJ39" s="424"/>
      <c r="RRK39" s="427"/>
      <c r="RRL39" s="424"/>
      <c r="RRM39" s="427"/>
      <c r="RRN39" s="424"/>
      <c r="RRO39" s="427"/>
      <c r="RRP39" s="424"/>
      <c r="RRQ39" s="427"/>
      <c r="RRR39" s="424"/>
      <c r="RRS39" s="427"/>
      <c r="RRT39" s="424"/>
      <c r="RRU39" s="427"/>
      <c r="RRV39" s="424"/>
      <c r="RRW39" s="427"/>
      <c r="RRX39" s="424"/>
      <c r="RRY39" s="427"/>
      <c r="RRZ39" s="424"/>
      <c r="RSA39" s="427"/>
      <c r="RSB39" s="424"/>
      <c r="RSC39" s="427"/>
      <c r="RSD39" s="424"/>
      <c r="RSE39" s="427"/>
      <c r="RSF39" s="424"/>
      <c r="RSG39" s="427"/>
      <c r="RSH39" s="424"/>
      <c r="RSI39" s="427"/>
      <c r="RSJ39" s="424"/>
      <c r="RSK39" s="427"/>
      <c r="RSL39" s="424"/>
      <c r="RSM39" s="427"/>
      <c r="RSN39" s="424"/>
      <c r="RSO39" s="427"/>
      <c r="RSP39" s="424"/>
      <c r="RSQ39" s="427"/>
      <c r="RSR39" s="424"/>
      <c r="RSS39" s="427"/>
      <c r="RST39" s="424"/>
      <c r="RSU39" s="427"/>
      <c r="RSV39" s="424"/>
      <c r="RSW39" s="427"/>
      <c r="RSX39" s="424"/>
      <c r="RSY39" s="427"/>
      <c r="RSZ39" s="424"/>
      <c r="RTA39" s="427"/>
      <c r="RTB39" s="424"/>
      <c r="RTC39" s="427"/>
      <c r="RTD39" s="424"/>
      <c r="RTE39" s="427"/>
      <c r="RTF39" s="424"/>
      <c r="RTG39" s="427"/>
      <c r="RTH39" s="424"/>
      <c r="RTI39" s="427"/>
      <c r="RTJ39" s="424"/>
      <c r="RTK39" s="427"/>
      <c r="RTL39" s="424"/>
      <c r="RTM39" s="427"/>
      <c r="RTN39" s="424"/>
      <c r="RTO39" s="427"/>
      <c r="RTP39" s="424"/>
      <c r="RTQ39" s="427"/>
      <c r="RTR39" s="424"/>
      <c r="RTS39" s="427"/>
      <c r="RTT39" s="424"/>
      <c r="RTU39" s="427"/>
      <c r="RTV39" s="424"/>
      <c r="RTW39" s="427"/>
      <c r="RTX39" s="424"/>
      <c r="RTY39" s="427"/>
      <c r="RTZ39" s="424"/>
      <c r="RUA39" s="427"/>
      <c r="RUB39" s="424"/>
      <c r="RUC39" s="427"/>
      <c r="RUD39" s="424"/>
      <c r="RUE39" s="427"/>
      <c r="RUF39" s="424"/>
      <c r="RUG39" s="427"/>
      <c r="RUH39" s="424"/>
      <c r="RUI39" s="427"/>
      <c r="RUJ39" s="424"/>
      <c r="RUK39" s="427"/>
      <c r="RUL39" s="424"/>
      <c r="RUM39" s="427"/>
      <c r="RUN39" s="424"/>
      <c r="RUO39" s="427"/>
      <c r="RUP39" s="424"/>
      <c r="RUQ39" s="427"/>
      <c r="RUR39" s="424"/>
      <c r="RUS39" s="427"/>
      <c r="RUT39" s="424"/>
      <c r="RUU39" s="427"/>
      <c r="RUV39" s="424"/>
      <c r="RUW39" s="427"/>
      <c r="RUX39" s="424"/>
      <c r="RUY39" s="427"/>
      <c r="RUZ39" s="424"/>
      <c r="RVA39" s="427"/>
      <c r="RVB39" s="424"/>
      <c r="RVC39" s="427"/>
      <c r="RVD39" s="424"/>
      <c r="RVE39" s="427"/>
      <c r="RVF39" s="424"/>
      <c r="RVG39" s="427"/>
      <c r="RVH39" s="424"/>
      <c r="RVI39" s="427"/>
      <c r="RVJ39" s="424"/>
      <c r="RVK39" s="427"/>
      <c r="RVL39" s="424"/>
      <c r="RVM39" s="427"/>
      <c r="RVN39" s="424"/>
      <c r="RVO39" s="427"/>
      <c r="RVP39" s="424"/>
      <c r="RVQ39" s="427"/>
      <c r="RVR39" s="424"/>
      <c r="RVS39" s="427"/>
      <c r="RVT39" s="424"/>
      <c r="RVU39" s="427"/>
      <c r="RVV39" s="424"/>
      <c r="RVW39" s="427"/>
      <c r="RVX39" s="424"/>
      <c r="RVY39" s="427"/>
      <c r="RVZ39" s="424"/>
      <c r="RWA39" s="427"/>
      <c r="RWB39" s="424"/>
      <c r="RWC39" s="427"/>
      <c r="RWD39" s="424"/>
      <c r="RWE39" s="427"/>
      <c r="RWF39" s="424"/>
      <c r="RWG39" s="427"/>
      <c r="RWH39" s="424"/>
      <c r="RWI39" s="427"/>
      <c r="RWJ39" s="424"/>
      <c r="RWK39" s="427"/>
      <c r="RWL39" s="424"/>
      <c r="RWM39" s="427"/>
      <c r="RWN39" s="424"/>
      <c r="RWO39" s="427"/>
      <c r="RWP39" s="424"/>
      <c r="RWQ39" s="427"/>
      <c r="RWR39" s="424"/>
      <c r="RWS39" s="427"/>
      <c r="RWT39" s="424"/>
      <c r="RWU39" s="427"/>
      <c r="RWV39" s="424"/>
      <c r="RWW39" s="427"/>
      <c r="RWX39" s="424"/>
      <c r="RWY39" s="427"/>
      <c r="RWZ39" s="424"/>
      <c r="RXA39" s="427"/>
      <c r="RXB39" s="424"/>
      <c r="RXC39" s="427"/>
      <c r="RXD39" s="424"/>
      <c r="RXE39" s="427"/>
      <c r="RXF39" s="424"/>
      <c r="RXG39" s="427"/>
      <c r="RXH39" s="424"/>
      <c r="RXI39" s="427"/>
      <c r="RXJ39" s="424"/>
      <c r="RXK39" s="427"/>
      <c r="RXL39" s="424"/>
      <c r="RXM39" s="427"/>
      <c r="RXN39" s="424"/>
      <c r="RXO39" s="427"/>
      <c r="RXP39" s="424"/>
      <c r="RXQ39" s="427"/>
      <c r="RXR39" s="424"/>
      <c r="RXS39" s="427"/>
      <c r="RXT39" s="424"/>
      <c r="RXU39" s="427"/>
      <c r="RXV39" s="424"/>
      <c r="RXW39" s="427"/>
      <c r="RXX39" s="424"/>
      <c r="RXY39" s="427"/>
      <c r="RXZ39" s="424"/>
      <c r="RYA39" s="427"/>
      <c r="RYB39" s="424"/>
      <c r="RYC39" s="427"/>
      <c r="RYD39" s="424"/>
      <c r="RYE39" s="427"/>
      <c r="RYF39" s="424"/>
      <c r="RYG39" s="427"/>
      <c r="RYH39" s="424"/>
      <c r="RYI39" s="427"/>
      <c r="RYJ39" s="424"/>
      <c r="RYK39" s="427"/>
      <c r="RYL39" s="424"/>
      <c r="RYM39" s="427"/>
      <c r="RYN39" s="424"/>
      <c r="RYO39" s="427"/>
      <c r="RYP39" s="424"/>
      <c r="RYQ39" s="427"/>
      <c r="RYR39" s="424"/>
      <c r="RYS39" s="427"/>
      <c r="RYT39" s="424"/>
      <c r="RYU39" s="427"/>
      <c r="RYV39" s="424"/>
      <c r="RYW39" s="427"/>
      <c r="RYX39" s="424"/>
      <c r="RYY39" s="427"/>
      <c r="RYZ39" s="424"/>
      <c r="RZA39" s="427"/>
      <c r="RZB39" s="424"/>
      <c r="RZC39" s="427"/>
      <c r="RZD39" s="424"/>
      <c r="RZE39" s="427"/>
      <c r="RZF39" s="424"/>
      <c r="RZG39" s="427"/>
      <c r="RZH39" s="424"/>
      <c r="RZI39" s="427"/>
      <c r="RZJ39" s="424"/>
      <c r="RZK39" s="427"/>
      <c r="RZL39" s="424"/>
      <c r="RZM39" s="427"/>
      <c r="RZN39" s="424"/>
      <c r="RZO39" s="427"/>
      <c r="RZP39" s="424"/>
      <c r="RZQ39" s="427"/>
      <c r="RZR39" s="424"/>
      <c r="RZS39" s="427"/>
      <c r="RZT39" s="424"/>
      <c r="RZU39" s="427"/>
      <c r="RZV39" s="424"/>
      <c r="RZW39" s="427"/>
      <c r="RZX39" s="424"/>
      <c r="RZY39" s="427"/>
      <c r="RZZ39" s="424"/>
      <c r="SAA39" s="427"/>
      <c r="SAB39" s="424"/>
      <c r="SAC39" s="427"/>
      <c r="SAD39" s="424"/>
      <c r="SAE39" s="427"/>
      <c r="SAF39" s="424"/>
      <c r="SAG39" s="427"/>
      <c r="SAH39" s="424"/>
      <c r="SAI39" s="427"/>
      <c r="SAJ39" s="424"/>
      <c r="SAK39" s="427"/>
      <c r="SAL39" s="424"/>
      <c r="SAM39" s="427"/>
      <c r="SAN39" s="424"/>
      <c r="SAO39" s="427"/>
      <c r="SAP39" s="424"/>
      <c r="SAQ39" s="427"/>
      <c r="SAR39" s="424"/>
      <c r="SAS39" s="427"/>
      <c r="SAT39" s="424"/>
      <c r="SAU39" s="427"/>
      <c r="SAV39" s="424"/>
      <c r="SAW39" s="427"/>
      <c r="SAX39" s="424"/>
      <c r="SAY39" s="427"/>
      <c r="SAZ39" s="424"/>
      <c r="SBA39" s="427"/>
      <c r="SBB39" s="424"/>
      <c r="SBC39" s="427"/>
      <c r="SBD39" s="424"/>
      <c r="SBE39" s="427"/>
      <c r="SBF39" s="424"/>
      <c r="SBG39" s="427"/>
      <c r="SBH39" s="424"/>
      <c r="SBI39" s="427"/>
      <c r="SBJ39" s="424"/>
      <c r="SBK39" s="427"/>
      <c r="SBL39" s="424"/>
      <c r="SBM39" s="427"/>
      <c r="SBN39" s="424"/>
      <c r="SBO39" s="427"/>
      <c r="SBP39" s="424"/>
      <c r="SBQ39" s="427"/>
      <c r="SBR39" s="424"/>
      <c r="SBS39" s="427"/>
      <c r="SBT39" s="424"/>
      <c r="SBU39" s="427"/>
      <c r="SBV39" s="424"/>
      <c r="SBW39" s="427"/>
      <c r="SBX39" s="424"/>
      <c r="SBY39" s="427"/>
      <c r="SBZ39" s="424"/>
      <c r="SCA39" s="427"/>
      <c r="SCB39" s="424"/>
      <c r="SCC39" s="427"/>
      <c r="SCD39" s="424"/>
      <c r="SCE39" s="427"/>
      <c r="SCF39" s="424"/>
      <c r="SCG39" s="427"/>
      <c r="SCH39" s="424"/>
      <c r="SCI39" s="427"/>
      <c r="SCJ39" s="424"/>
      <c r="SCK39" s="427"/>
      <c r="SCL39" s="424"/>
      <c r="SCM39" s="427"/>
      <c r="SCN39" s="424"/>
      <c r="SCO39" s="427"/>
      <c r="SCP39" s="424"/>
      <c r="SCQ39" s="427"/>
      <c r="SCR39" s="424"/>
      <c r="SCS39" s="427"/>
      <c r="SCT39" s="424"/>
      <c r="SCU39" s="427"/>
      <c r="SCV39" s="424"/>
      <c r="SCW39" s="427"/>
      <c r="SCX39" s="424"/>
      <c r="SCY39" s="427"/>
      <c r="SCZ39" s="424"/>
      <c r="SDA39" s="427"/>
      <c r="SDB39" s="424"/>
      <c r="SDC39" s="427"/>
      <c r="SDD39" s="424"/>
      <c r="SDE39" s="427"/>
      <c r="SDF39" s="424"/>
      <c r="SDG39" s="427"/>
      <c r="SDH39" s="424"/>
      <c r="SDI39" s="427"/>
      <c r="SDJ39" s="424"/>
      <c r="SDK39" s="427"/>
      <c r="SDL39" s="424"/>
      <c r="SDM39" s="427"/>
      <c r="SDN39" s="424"/>
      <c r="SDO39" s="427"/>
      <c r="SDP39" s="424"/>
      <c r="SDQ39" s="427"/>
      <c r="SDR39" s="424"/>
      <c r="SDS39" s="427"/>
      <c r="SDT39" s="424"/>
      <c r="SDU39" s="427"/>
      <c r="SDV39" s="424"/>
      <c r="SDW39" s="427"/>
      <c r="SDX39" s="424"/>
      <c r="SDY39" s="427"/>
      <c r="SDZ39" s="424"/>
      <c r="SEA39" s="427"/>
      <c r="SEB39" s="424"/>
      <c r="SEC39" s="427"/>
      <c r="SED39" s="424"/>
      <c r="SEE39" s="427"/>
      <c r="SEF39" s="424"/>
      <c r="SEG39" s="427"/>
      <c r="SEH39" s="424"/>
      <c r="SEI39" s="427"/>
      <c r="SEJ39" s="424"/>
      <c r="SEK39" s="427"/>
      <c r="SEL39" s="424"/>
      <c r="SEM39" s="427"/>
      <c r="SEN39" s="424"/>
      <c r="SEO39" s="427"/>
      <c r="SEP39" s="424"/>
      <c r="SEQ39" s="427"/>
      <c r="SER39" s="424"/>
      <c r="SES39" s="427"/>
      <c r="SET39" s="424"/>
      <c r="SEU39" s="427"/>
      <c r="SEV39" s="424"/>
      <c r="SEW39" s="427"/>
      <c r="SEX39" s="424"/>
      <c r="SEY39" s="427"/>
      <c r="SEZ39" s="424"/>
      <c r="SFA39" s="427"/>
      <c r="SFB39" s="424"/>
      <c r="SFC39" s="427"/>
      <c r="SFD39" s="424"/>
      <c r="SFE39" s="427"/>
      <c r="SFF39" s="424"/>
      <c r="SFG39" s="427"/>
      <c r="SFH39" s="424"/>
      <c r="SFI39" s="427"/>
      <c r="SFJ39" s="424"/>
      <c r="SFK39" s="427"/>
      <c r="SFL39" s="424"/>
      <c r="SFM39" s="427"/>
      <c r="SFN39" s="424"/>
      <c r="SFO39" s="427"/>
      <c r="SFP39" s="424"/>
      <c r="SFQ39" s="427"/>
      <c r="SFR39" s="424"/>
      <c r="SFS39" s="427"/>
      <c r="SFT39" s="424"/>
      <c r="SFU39" s="427"/>
      <c r="SFV39" s="424"/>
      <c r="SFW39" s="427"/>
      <c r="SFX39" s="424"/>
      <c r="SFY39" s="427"/>
      <c r="SFZ39" s="424"/>
      <c r="SGA39" s="427"/>
      <c r="SGB39" s="424"/>
      <c r="SGC39" s="427"/>
      <c r="SGD39" s="424"/>
      <c r="SGE39" s="427"/>
      <c r="SGF39" s="424"/>
      <c r="SGG39" s="427"/>
      <c r="SGH39" s="424"/>
      <c r="SGI39" s="427"/>
      <c r="SGJ39" s="424"/>
      <c r="SGK39" s="427"/>
      <c r="SGL39" s="424"/>
      <c r="SGM39" s="427"/>
      <c r="SGN39" s="424"/>
      <c r="SGO39" s="427"/>
      <c r="SGP39" s="424"/>
      <c r="SGQ39" s="427"/>
      <c r="SGR39" s="424"/>
      <c r="SGS39" s="427"/>
      <c r="SGT39" s="424"/>
      <c r="SGU39" s="427"/>
      <c r="SGV39" s="424"/>
      <c r="SGW39" s="427"/>
      <c r="SGX39" s="424"/>
      <c r="SGY39" s="427"/>
      <c r="SGZ39" s="424"/>
      <c r="SHA39" s="427"/>
      <c r="SHB39" s="424"/>
      <c r="SHC39" s="427"/>
      <c r="SHD39" s="424"/>
      <c r="SHE39" s="427"/>
      <c r="SHF39" s="424"/>
      <c r="SHG39" s="427"/>
      <c r="SHH39" s="424"/>
      <c r="SHI39" s="427"/>
      <c r="SHJ39" s="424"/>
      <c r="SHK39" s="427"/>
      <c r="SHL39" s="424"/>
      <c r="SHM39" s="427"/>
      <c r="SHN39" s="424"/>
      <c r="SHO39" s="427"/>
      <c r="SHP39" s="424"/>
      <c r="SHQ39" s="427"/>
      <c r="SHR39" s="424"/>
      <c r="SHS39" s="427"/>
      <c r="SHT39" s="424"/>
      <c r="SHU39" s="427"/>
      <c r="SHV39" s="424"/>
      <c r="SHW39" s="427"/>
      <c r="SHX39" s="424"/>
      <c r="SHY39" s="427"/>
      <c r="SHZ39" s="424"/>
      <c r="SIA39" s="427"/>
      <c r="SIB39" s="424"/>
      <c r="SIC39" s="427"/>
      <c r="SID39" s="424"/>
      <c r="SIE39" s="427"/>
      <c r="SIF39" s="424"/>
      <c r="SIG39" s="427"/>
      <c r="SIH39" s="424"/>
      <c r="SII39" s="427"/>
      <c r="SIJ39" s="424"/>
      <c r="SIK39" s="427"/>
      <c r="SIL39" s="424"/>
      <c r="SIM39" s="427"/>
      <c r="SIN39" s="424"/>
      <c r="SIO39" s="427"/>
      <c r="SIP39" s="424"/>
      <c r="SIQ39" s="427"/>
      <c r="SIR39" s="424"/>
      <c r="SIS39" s="427"/>
      <c r="SIT39" s="424"/>
      <c r="SIU39" s="427"/>
      <c r="SIV39" s="424"/>
      <c r="SIW39" s="427"/>
      <c r="SIX39" s="424"/>
      <c r="SIY39" s="427"/>
      <c r="SIZ39" s="424"/>
      <c r="SJA39" s="427"/>
      <c r="SJB39" s="424"/>
      <c r="SJC39" s="427"/>
      <c r="SJD39" s="424"/>
      <c r="SJE39" s="427"/>
      <c r="SJF39" s="424"/>
      <c r="SJG39" s="427"/>
      <c r="SJH39" s="424"/>
      <c r="SJI39" s="427"/>
      <c r="SJJ39" s="424"/>
      <c r="SJK39" s="427"/>
      <c r="SJL39" s="424"/>
      <c r="SJM39" s="427"/>
      <c r="SJN39" s="424"/>
      <c r="SJO39" s="427"/>
      <c r="SJP39" s="424"/>
      <c r="SJQ39" s="427"/>
      <c r="SJR39" s="424"/>
      <c r="SJS39" s="427"/>
      <c r="SJT39" s="424"/>
      <c r="SJU39" s="427"/>
      <c r="SJV39" s="424"/>
      <c r="SJW39" s="427"/>
      <c r="SJX39" s="424"/>
      <c r="SJY39" s="427"/>
      <c r="SJZ39" s="424"/>
      <c r="SKA39" s="427"/>
      <c r="SKB39" s="424"/>
      <c r="SKC39" s="427"/>
      <c r="SKD39" s="424"/>
      <c r="SKE39" s="427"/>
      <c r="SKF39" s="424"/>
      <c r="SKG39" s="427"/>
      <c r="SKH39" s="424"/>
      <c r="SKI39" s="427"/>
      <c r="SKJ39" s="424"/>
      <c r="SKK39" s="427"/>
      <c r="SKL39" s="424"/>
      <c r="SKM39" s="427"/>
      <c r="SKN39" s="424"/>
      <c r="SKO39" s="427"/>
      <c r="SKP39" s="424"/>
      <c r="SKQ39" s="427"/>
      <c r="SKR39" s="424"/>
      <c r="SKS39" s="427"/>
      <c r="SKT39" s="424"/>
      <c r="SKU39" s="427"/>
      <c r="SKV39" s="424"/>
      <c r="SKW39" s="427"/>
      <c r="SKX39" s="424"/>
      <c r="SKY39" s="427"/>
      <c r="SKZ39" s="424"/>
      <c r="SLA39" s="427"/>
      <c r="SLB39" s="424"/>
      <c r="SLC39" s="427"/>
      <c r="SLD39" s="424"/>
      <c r="SLE39" s="427"/>
      <c r="SLF39" s="424"/>
      <c r="SLG39" s="427"/>
      <c r="SLH39" s="424"/>
      <c r="SLI39" s="427"/>
      <c r="SLJ39" s="424"/>
      <c r="SLK39" s="427"/>
      <c r="SLL39" s="424"/>
      <c r="SLM39" s="427"/>
      <c r="SLN39" s="424"/>
      <c r="SLO39" s="427"/>
      <c r="SLP39" s="424"/>
      <c r="SLQ39" s="427"/>
      <c r="SLR39" s="424"/>
      <c r="SLS39" s="427"/>
      <c r="SLT39" s="424"/>
      <c r="SLU39" s="427"/>
      <c r="SLV39" s="424"/>
      <c r="SLW39" s="427"/>
      <c r="SLX39" s="424"/>
      <c r="SLY39" s="427"/>
      <c r="SLZ39" s="424"/>
      <c r="SMA39" s="427"/>
      <c r="SMB39" s="424"/>
      <c r="SMC39" s="427"/>
      <c r="SMD39" s="424"/>
      <c r="SME39" s="427"/>
      <c r="SMF39" s="424"/>
      <c r="SMG39" s="427"/>
      <c r="SMH39" s="424"/>
      <c r="SMI39" s="427"/>
      <c r="SMJ39" s="424"/>
      <c r="SMK39" s="427"/>
      <c r="SML39" s="424"/>
      <c r="SMM39" s="427"/>
      <c r="SMN39" s="424"/>
      <c r="SMO39" s="427"/>
      <c r="SMP39" s="424"/>
      <c r="SMQ39" s="427"/>
      <c r="SMR39" s="424"/>
      <c r="SMS39" s="427"/>
      <c r="SMT39" s="424"/>
      <c r="SMU39" s="427"/>
      <c r="SMV39" s="424"/>
      <c r="SMW39" s="427"/>
      <c r="SMX39" s="424"/>
      <c r="SMY39" s="427"/>
      <c r="SMZ39" s="424"/>
      <c r="SNA39" s="427"/>
      <c r="SNB39" s="424"/>
      <c r="SNC39" s="427"/>
      <c r="SND39" s="424"/>
      <c r="SNE39" s="427"/>
      <c r="SNF39" s="424"/>
      <c r="SNG39" s="427"/>
      <c r="SNH39" s="424"/>
      <c r="SNI39" s="427"/>
      <c r="SNJ39" s="424"/>
      <c r="SNK39" s="427"/>
      <c r="SNL39" s="424"/>
      <c r="SNM39" s="427"/>
      <c r="SNN39" s="424"/>
      <c r="SNO39" s="427"/>
      <c r="SNP39" s="424"/>
      <c r="SNQ39" s="427"/>
      <c r="SNR39" s="424"/>
      <c r="SNS39" s="427"/>
      <c r="SNT39" s="424"/>
      <c r="SNU39" s="427"/>
      <c r="SNV39" s="424"/>
      <c r="SNW39" s="427"/>
      <c r="SNX39" s="424"/>
      <c r="SNY39" s="427"/>
      <c r="SNZ39" s="424"/>
      <c r="SOA39" s="427"/>
      <c r="SOB39" s="424"/>
      <c r="SOC39" s="427"/>
      <c r="SOD39" s="424"/>
      <c r="SOE39" s="427"/>
      <c r="SOF39" s="424"/>
      <c r="SOG39" s="427"/>
      <c r="SOH39" s="424"/>
      <c r="SOI39" s="427"/>
      <c r="SOJ39" s="424"/>
      <c r="SOK39" s="427"/>
      <c r="SOL39" s="424"/>
      <c r="SOM39" s="427"/>
      <c r="SON39" s="424"/>
      <c r="SOO39" s="427"/>
      <c r="SOP39" s="424"/>
      <c r="SOQ39" s="427"/>
      <c r="SOR39" s="424"/>
      <c r="SOS39" s="427"/>
      <c r="SOT39" s="424"/>
      <c r="SOU39" s="427"/>
      <c r="SOV39" s="424"/>
      <c r="SOW39" s="427"/>
      <c r="SOX39" s="424"/>
      <c r="SOY39" s="427"/>
      <c r="SOZ39" s="424"/>
      <c r="SPA39" s="427"/>
      <c r="SPB39" s="424"/>
      <c r="SPC39" s="427"/>
      <c r="SPD39" s="424"/>
      <c r="SPE39" s="427"/>
      <c r="SPF39" s="424"/>
      <c r="SPG39" s="427"/>
      <c r="SPH39" s="424"/>
      <c r="SPI39" s="427"/>
      <c r="SPJ39" s="424"/>
      <c r="SPK39" s="427"/>
      <c r="SPL39" s="424"/>
      <c r="SPM39" s="427"/>
      <c r="SPN39" s="424"/>
      <c r="SPO39" s="427"/>
      <c r="SPP39" s="424"/>
      <c r="SPQ39" s="427"/>
      <c r="SPR39" s="424"/>
      <c r="SPS39" s="427"/>
      <c r="SPT39" s="424"/>
      <c r="SPU39" s="427"/>
      <c r="SPV39" s="424"/>
      <c r="SPW39" s="427"/>
      <c r="SPX39" s="424"/>
      <c r="SPY39" s="427"/>
      <c r="SPZ39" s="424"/>
      <c r="SQA39" s="427"/>
      <c r="SQB39" s="424"/>
      <c r="SQC39" s="427"/>
      <c r="SQD39" s="424"/>
      <c r="SQE39" s="427"/>
      <c r="SQF39" s="424"/>
      <c r="SQG39" s="427"/>
      <c r="SQH39" s="424"/>
      <c r="SQI39" s="427"/>
      <c r="SQJ39" s="424"/>
      <c r="SQK39" s="427"/>
      <c r="SQL39" s="424"/>
      <c r="SQM39" s="427"/>
      <c r="SQN39" s="424"/>
      <c r="SQO39" s="427"/>
      <c r="SQP39" s="424"/>
      <c r="SQQ39" s="427"/>
      <c r="SQR39" s="424"/>
      <c r="SQS39" s="427"/>
      <c r="SQT39" s="424"/>
      <c r="SQU39" s="427"/>
      <c r="SQV39" s="424"/>
      <c r="SQW39" s="427"/>
      <c r="SQX39" s="424"/>
      <c r="SQY39" s="427"/>
      <c r="SQZ39" s="424"/>
      <c r="SRA39" s="427"/>
      <c r="SRB39" s="424"/>
      <c r="SRC39" s="427"/>
      <c r="SRD39" s="424"/>
      <c r="SRE39" s="427"/>
      <c r="SRF39" s="424"/>
      <c r="SRG39" s="427"/>
      <c r="SRH39" s="424"/>
      <c r="SRI39" s="427"/>
      <c r="SRJ39" s="424"/>
      <c r="SRK39" s="427"/>
      <c r="SRL39" s="424"/>
      <c r="SRM39" s="427"/>
      <c r="SRN39" s="424"/>
      <c r="SRO39" s="427"/>
      <c r="SRP39" s="424"/>
      <c r="SRQ39" s="427"/>
      <c r="SRR39" s="424"/>
      <c r="SRS39" s="427"/>
      <c r="SRT39" s="424"/>
      <c r="SRU39" s="427"/>
      <c r="SRV39" s="424"/>
      <c r="SRW39" s="427"/>
      <c r="SRX39" s="424"/>
      <c r="SRY39" s="427"/>
      <c r="SRZ39" s="424"/>
      <c r="SSA39" s="427"/>
      <c r="SSB39" s="424"/>
      <c r="SSC39" s="427"/>
      <c r="SSD39" s="424"/>
      <c r="SSE39" s="427"/>
      <c r="SSF39" s="424"/>
      <c r="SSG39" s="427"/>
      <c r="SSH39" s="424"/>
      <c r="SSI39" s="427"/>
      <c r="SSJ39" s="424"/>
      <c r="SSK39" s="427"/>
      <c r="SSL39" s="424"/>
      <c r="SSM39" s="427"/>
      <c r="SSN39" s="424"/>
      <c r="SSO39" s="427"/>
      <c r="SSP39" s="424"/>
      <c r="SSQ39" s="427"/>
      <c r="SSR39" s="424"/>
      <c r="SSS39" s="427"/>
      <c r="SST39" s="424"/>
      <c r="SSU39" s="427"/>
      <c r="SSV39" s="424"/>
      <c r="SSW39" s="427"/>
      <c r="SSX39" s="424"/>
      <c r="SSY39" s="427"/>
      <c r="SSZ39" s="424"/>
      <c r="STA39" s="427"/>
      <c r="STB39" s="424"/>
      <c r="STC39" s="427"/>
      <c r="STD39" s="424"/>
      <c r="STE39" s="427"/>
      <c r="STF39" s="424"/>
      <c r="STG39" s="427"/>
      <c r="STH39" s="424"/>
      <c r="STI39" s="427"/>
      <c r="STJ39" s="424"/>
      <c r="STK39" s="427"/>
      <c r="STL39" s="424"/>
      <c r="STM39" s="427"/>
      <c r="STN39" s="424"/>
      <c r="STO39" s="427"/>
      <c r="STP39" s="424"/>
      <c r="STQ39" s="427"/>
      <c r="STR39" s="424"/>
      <c r="STS39" s="427"/>
      <c r="STT39" s="424"/>
      <c r="STU39" s="427"/>
      <c r="STV39" s="424"/>
      <c r="STW39" s="427"/>
      <c r="STX39" s="424"/>
      <c r="STY39" s="427"/>
      <c r="STZ39" s="424"/>
      <c r="SUA39" s="427"/>
      <c r="SUB39" s="424"/>
      <c r="SUC39" s="427"/>
      <c r="SUD39" s="424"/>
      <c r="SUE39" s="427"/>
      <c r="SUF39" s="424"/>
      <c r="SUG39" s="427"/>
      <c r="SUH39" s="424"/>
      <c r="SUI39" s="427"/>
      <c r="SUJ39" s="424"/>
      <c r="SUK39" s="427"/>
      <c r="SUL39" s="424"/>
      <c r="SUM39" s="427"/>
      <c r="SUN39" s="424"/>
      <c r="SUO39" s="427"/>
      <c r="SUP39" s="424"/>
      <c r="SUQ39" s="427"/>
      <c r="SUR39" s="424"/>
      <c r="SUS39" s="427"/>
      <c r="SUT39" s="424"/>
      <c r="SUU39" s="427"/>
      <c r="SUV39" s="424"/>
      <c r="SUW39" s="427"/>
      <c r="SUX39" s="424"/>
      <c r="SUY39" s="427"/>
      <c r="SUZ39" s="424"/>
      <c r="SVA39" s="427"/>
      <c r="SVB39" s="424"/>
      <c r="SVC39" s="427"/>
      <c r="SVD39" s="424"/>
      <c r="SVE39" s="427"/>
      <c r="SVF39" s="424"/>
      <c r="SVG39" s="427"/>
      <c r="SVH39" s="424"/>
      <c r="SVI39" s="427"/>
      <c r="SVJ39" s="424"/>
      <c r="SVK39" s="427"/>
      <c r="SVL39" s="424"/>
      <c r="SVM39" s="427"/>
      <c r="SVN39" s="424"/>
      <c r="SVO39" s="427"/>
      <c r="SVP39" s="424"/>
      <c r="SVQ39" s="427"/>
      <c r="SVR39" s="424"/>
      <c r="SVS39" s="427"/>
      <c r="SVT39" s="424"/>
      <c r="SVU39" s="427"/>
      <c r="SVV39" s="424"/>
      <c r="SVW39" s="427"/>
      <c r="SVX39" s="424"/>
      <c r="SVY39" s="427"/>
      <c r="SVZ39" s="424"/>
      <c r="SWA39" s="427"/>
      <c r="SWB39" s="424"/>
      <c r="SWC39" s="427"/>
      <c r="SWD39" s="424"/>
      <c r="SWE39" s="427"/>
      <c r="SWF39" s="424"/>
      <c r="SWG39" s="427"/>
      <c r="SWH39" s="424"/>
      <c r="SWI39" s="427"/>
      <c r="SWJ39" s="424"/>
      <c r="SWK39" s="427"/>
      <c r="SWL39" s="424"/>
      <c r="SWM39" s="427"/>
      <c r="SWN39" s="424"/>
      <c r="SWO39" s="427"/>
      <c r="SWP39" s="424"/>
      <c r="SWQ39" s="427"/>
      <c r="SWR39" s="424"/>
      <c r="SWS39" s="427"/>
      <c r="SWT39" s="424"/>
      <c r="SWU39" s="427"/>
      <c r="SWV39" s="424"/>
      <c r="SWW39" s="427"/>
      <c r="SWX39" s="424"/>
      <c r="SWY39" s="427"/>
      <c r="SWZ39" s="424"/>
      <c r="SXA39" s="427"/>
      <c r="SXB39" s="424"/>
      <c r="SXC39" s="427"/>
      <c r="SXD39" s="424"/>
      <c r="SXE39" s="427"/>
      <c r="SXF39" s="424"/>
      <c r="SXG39" s="427"/>
      <c r="SXH39" s="424"/>
      <c r="SXI39" s="427"/>
      <c r="SXJ39" s="424"/>
      <c r="SXK39" s="427"/>
      <c r="SXL39" s="424"/>
      <c r="SXM39" s="427"/>
      <c r="SXN39" s="424"/>
      <c r="SXO39" s="427"/>
      <c r="SXP39" s="424"/>
      <c r="SXQ39" s="427"/>
      <c r="SXR39" s="424"/>
      <c r="SXS39" s="427"/>
      <c r="SXT39" s="424"/>
      <c r="SXU39" s="427"/>
      <c r="SXV39" s="424"/>
      <c r="SXW39" s="427"/>
      <c r="SXX39" s="424"/>
      <c r="SXY39" s="427"/>
      <c r="SXZ39" s="424"/>
      <c r="SYA39" s="427"/>
      <c r="SYB39" s="424"/>
      <c r="SYC39" s="427"/>
      <c r="SYD39" s="424"/>
      <c r="SYE39" s="427"/>
      <c r="SYF39" s="424"/>
      <c r="SYG39" s="427"/>
      <c r="SYH39" s="424"/>
      <c r="SYI39" s="427"/>
      <c r="SYJ39" s="424"/>
      <c r="SYK39" s="427"/>
      <c r="SYL39" s="424"/>
      <c r="SYM39" s="427"/>
      <c r="SYN39" s="424"/>
      <c r="SYO39" s="427"/>
      <c r="SYP39" s="424"/>
      <c r="SYQ39" s="427"/>
      <c r="SYR39" s="424"/>
      <c r="SYS39" s="427"/>
      <c r="SYT39" s="424"/>
      <c r="SYU39" s="427"/>
      <c r="SYV39" s="424"/>
      <c r="SYW39" s="427"/>
      <c r="SYX39" s="424"/>
      <c r="SYY39" s="427"/>
      <c r="SYZ39" s="424"/>
      <c r="SZA39" s="427"/>
      <c r="SZB39" s="424"/>
      <c r="SZC39" s="427"/>
      <c r="SZD39" s="424"/>
      <c r="SZE39" s="427"/>
      <c r="SZF39" s="424"/>
      <c r="SZG39" s="427"/>
      <c r="SZH39" s="424"/>
      <c r="SZI39" s="427"/>
      <c r="SZJ39" s="424"/>
      <c r="SZK39" s="427"/>
      <c r="SZL39" s="424"/>
      <c r="SZM39" s="427"/>
      <c r="SZN39" s="424"/>
      <c r="SZO39" s="427"/>
      <c r="SZP39" s="424"/>
      <c r="SZQ39" s="427"/>
      <c r="SZR39" s="424"/>
      <c r="SZS39" s="427"/>
      <c r="SZT39" s="424"/>
      <c r="SZU39" s="427"/>
      <c r="SZV39" s="424"/>
      <c r="SZW39" s="427"/>
      <c r="SZX39" s="424"/>
      <c r="SZY39" s="427"/>
      <c r="SZZ39" s="424"/>
      <c r="TAA39" s="427"/>
      <c r="TAB39" s="424"/>
      <c r="TAC39" s="427"/>
      <c r="TAD39" s="424"/>
      <c r="TAE39" s="427"/>
      <c r="TAF39" s="424"/>
      <c r="TAG39" s="427"/>
      <c r="TAH39" s="424"/>
      <c r="TAI39" s="427"/>
      <c r="TAJ39" s="424"/>
      <c r="TAK39" s="427"/>
      <c r="TAL39" s="424"/>
      <c r="TAM39" s="427"/>
      <c r="TAN39" s="424"/>
      <c r="TAO39" s="427"/>
      <c r="TAP39" s="424"/>
      <c r="TAQ39" s="427"/>
      <c r="TAR39" s="424"/>
      <c r="TAS39" s="427"/>
      <c r="TAT39" s="424"/>
      <c r="TAU39" s="427"/>
      <c r="TAV39" s="424"/>
      <c r="TAW39" s="427"/>
      <c r="TAX39" s="424"/>
      <c r="TAY39" s="427"/>
      <c r="TAZ39" s="424"/>
      <c r="TBA39" s="427"/>
      <c r="TBB39" s="424"/>
      <c r="TBC39" s="427"/>
      <c r="TBD39" s="424"/>
      <c r="TBE39" s="427"/>
      <c r="TBF39" s="424"/>
      <c r="TBG39" s="427"/>
      <c r="TBH39" s="424"/>
      <c r="TBI39" s="427"/>
      <c r="TBJ39" s="424"/>
      <c r="TBK39" s="427"/>
      <c r="TBL39" s="424"/>
      <c r="TBM39" s="427"/>
      <c r="TBN39" s="424"/>
      <c r="TBO39" s="427"/>
      <c r="TBP39" s="424"/>
      <c r="TBQ39" s="427"/>
      <c r="TBR39" s="424"/>
      <c r="TBS39" s="427"/>
      <c r="TBT39" s="424"/>
      <c r="TBU39" s="427"/>
      <c r="TBV39" s="424"/>
      <c r="TBW39" s="427"/>
      <c r="TBX39" s="424"/>
      <c r="TBY39" s="427"/>
      <c r="TBZ39" s="424"/>
      <c r="TCA39" s="427"/>
      <c r="TCB39" s="424"/>
      <c r="TCC39" s="427"/>
      <c r="TCD39" s="424"/>
      <c r="TCE39" s="427"/>
      <c r="TCF39" s="424"/>
      <c r="TCG39" s="427"/>
      <c r="TCH39" s="424"/>
      <c r="TCI39" s="427"/>
      <c r="TCJ39" s="424"/>
      <c r="TCK39" s="427"/>
      <c r="TCL39" s="424"/>
      <c r="TCM39" s="427"/>
      <c r="TCN39" s="424"/>
      <c r="TCO39" s="427"/>
      <c r="TCP39" s="424"/>
      <c r="TCQ39" s="427"/>
      <c r="TCR39" s="424"/>
      <c r="TCS39" s="427"/>
      <c r="TCT39" s="424"/>
      <c r="TCU39" s="427"/>
      <c r="TCV39" s="424"/>
      <c r="TCW39" s="427"/>
      <c r="TCX39" s="424"/>
      <c r="TCY39" s="427"/>
      <c r="TCZ39" s="424"/>
      <c r="TDA39" s="427"/>
      <c r="TDB39" s="424"/>
      <c r="TDC39" s="427"/>
      <c r="TDD39" s="424"/>
      <c r="TDE39" s="427"/>
      <c r="TDF39" s="424"/>
      <c r="TDG39" s="427"/>
      <c r="TDH39" s="424"/>
      <c r="TDI39" s="427"/>
      <c r="TDJ39" s="424"/>
      <c r="TDK39" s="427"/>
      <c r="TDL39" s="424"/>
      <c r="TDM39" s="427"/>
      <c r="TDN39" s="424"/>
      <c r="TDO39" s="427"/>
      <c r="TDP39" s="424"/>
      <c r="TDQ39" s="427"/>
      <c r="TDR39" s="424"/>
      <c r="TDS39" s="427"/>
      <c r="TDT39" s="424"/>
      <c r="TDU39" s="427"/>
      <c r="TDV39" s="424"/>
      <c r="TDW39" s="427"/>
      <c r="TDX39" s="424"/>
      <c r="TDY39" s="427"/>
      <c r="TDZ39" s="424"/>
      <c r="TEA39" s="427"/>
      <c r="TEB39" s="424"/>
      <c r="TEC39" s="427"/>
      <c r="TED39" s="424"/>
      <c r="TEE39" s="427"/>
      <c r="TEF39" s="424"/>
      <c r="TEG39" s="427"/>
      <c r="TEH39" s="424"/>
      <c r="TEI39" s="427"/>
      <c r="TEJ39" s="424"/>
      <c r="TEK39" s="427"/>
      <c r="TEL39" s="424"/>
      <c r="TEM39" s="427"/>
      <c r="TEN39" s="424"/>
      <c r="TEO39" s="427"/>
      <c r="TEP39" s="424"/>
      <c r="TEQ39" s="427"/>
      <c r="TER39" s="424"/>
      <c r="TES39" s="427"/>
      <c r="TET39" s="424"/>
      <c r="TEU39" s="427"/>
      <c r="TEV39" s="424"/>
      <c r="TEW39" s="427"/>
      <c r="TEX39" s="424"/>
      <c r="TEY39" s="427"/>
      <c r="TEZ39" s="424"/>
      <c r="TFA39" s="427"/>
      <c r="TFB39" s="424"/>
      <c r="TFC39" s="427"/>
      <c r="TFD39" s="424"/>
      <c r="TFE39" s="427"/>
      <c r="TFF39" s="424"/>
      <c r="TFG39" s="427"/>
      <c r="TFH39" s="424"/>
      <c r="TFI39" s="427"/>
      <c r="TFJ39" s="424"/>
      <c r="TFK39" s="427"/>
      <c r="TFL39" s="424"/>
      <c r="TFM39" s="427"/>
      <c r="TFN39" s="424"/>
      <c r="TFO39" s="427"/>
      <c r="TFP39" s="424"/>
      <c r="TFQ39" s="427"/>
      <c r="TFR39" s="424"/>
      <c r="TFS39" s="427"/>
      <c r="TFT39" s="424"/>
      <c r="TFU39" s="427"/>
      <c r="TFV39" s="424"/>
      <c r="TFW39" s="427"/>
      <c r="TFX39" s="424"/>
      <c r="TFY39" s="427"/>
      <c r="TFZ39" s="424"/>
      <c r="TGA39" s="427"/>
      <c r="TGB39" s="424"/>
      <c r="TGC39" s="427"/>
      <c r="TGD39" s="424"/>
      <c r="TGE39" s="427"/>
      <c r="TGF39" s="424"/>
      <c r="TGG39" s="427"/>
      <c r="TGH39" s="424"/>
      <c r="TGI39" s="427"/>
      <c r="TGJ39" s="424"/>
      <c r="TGK39" s="427"/>
      <c r="TGL39" s="424"/>
      <c r="TGM39" s="427"/>
      <c r="TGN39" s="424"/>
      <c r="TGO39" s="427"/>
      <c r="TGP39" s="424"/>
      <c r="TGQ39" s="427"/>
      <c r="TGR39" s="424"/>
      <c r="TGS39" s="427"/>
      <c r="TGT39" s="424"/>
      <c r="TGU39" s="427"/>
      <c r="TGV39" s="424"/>
      <c r="TGW39" s="427"/>
      <c r="TGX39" s="424"/>
      <c r="TGY39" s="427"/>
      <c r="TGZ39" s="424"/>
      <c r="THA39" s="427"/>
      <c r="THB39" s="424"/>
      <c r="THC39" s="427"/>
      <c r="THD39" s="424"/>
      <c r="THE39" s="427"/>
      <c r="THF39" s="424"/>
      <c r="THG39" s="427"/>
      <c r="THH39" s="424"/>
      <c r="THI39" s="427"/>
      <c r="THJ39" s="424"/>
      <c r="THK39" s="427"/>
      <c r="THL39" s="424"/>
      <c r="THM39" s="427"/>
      <c r="THN39" s="424"/>
      <c r="THO39" s="427"/>
      <c r="THP39" s="424"/>
      <c r="THQ39" s="427"/>
      <c r="THR39" s="424"/>
      <c r="THS39" s="427"/>
      <c r="THT39" s="424"/>
      <c r="THU39" s="427"/>
      <c r="THV39" s="424"/>
      <c r="THW39" s="427"/>
      <c r="THX39" s="424"/>
      <c r="THY39" s="427"/>
      <c r="THZ39" s="424"/>
      <c r="TIA39" s="427"/>
      <c r="TIB39" s="424"/>
      <c r="TIC39" s="427"/>
      <c r="TID39" s="424"/>
      <c r="TIE39" s="427"/>
      <c r="TIF39" s="424"/>
      <c r="TIG39" s="427"/>
      <c r="TIH39" s="424"/>
      <c r="TII39" s="427"/>
      <c r="TIJ39" s="424"/>
      <c r="TIK39" s="427"/>
      <c r="TIL39" s="424"/>
      <c r="TIM39" s="427"/>
      <c r="TIN39" s="424"/>
      <c r="TIO39" s="427"/>
      <c r="TIP39" s="424"/>
      <c r="TIQ39" s="427"/>
      <c r="TIR39" s="424"/>
      <c r="TIS39" s="427"/>
      <c r="TIT39" s="424"/>
      <c r="TIU39" s="427"/>
      <c r="TIV39" s="424"/>
      <c r="TIW39" s="427"/>
      <c r="TIX39" s="424"/>
      <c r="TIY39" s="427"/>
      <c r="TIZ39" s="424"/>
      <c r="TJA39" s="427"/>
      <c r="TJB39" s="424"/>
      <c r="TJC39" s="427"/>
      <c r="TJD39" s="424"/>
      <c r="TJE39" s="427"/>
      <c r="TJF39" s="424"/>
      <c r="TJG39" s="427"/>
      <c r="TJH39" s="424"/>
      <c r="TJI39" s="427"/>
      <c r="TJJ39" s="424"/>
      <c r="TJK39" s="427"/>
      <c r="TJL39" s="424"/>
      <c r="TJM39" s="427"/>
      <c r="TJN39" s="424"/>
      <c r="TJO39" s="427"/>
      <c r="TJP39" s="424"/>
      <c r="TJQ39" s="427"/>
      <c r="TJR39" s="424"/>
      <c r="TJS39" s="427"/>
      <c r="TJT39" s="424"/>
      <c r="TJU39" s="427"/>
      <c r="TJV39" s="424"/>
      <c r="TJW39" s="427"/>
      <c r="TJX39" s="424"/>
      <c r="TJY39" s="427"/>
      <c r="TJZ39" s="424"/>
      <c r="TKA39" s="427"/>
      <c r="TKB39" s="424"/>
      <c r="TKC39" s="427"/>
      <c r="TKD39" s="424"/>
      <c r="TKE39" s="427"/>
      <c r="TKF39" s="424"/>
      <c r="TKG39" s="427"/>
      <c r="TKH39" s="424"/>
      <c r="TKI39" s="427"/>
      <c r="TKJ39" s="424"/>
      <c r="TKK39" s="427"/>
      <c r="TKL39" s="424"/>
      <c r="TKM39" s="427"/>
      <c r="TKN39" s="424"/>
      <c r="TKO39" s="427"/>
      <c r="TKP39" s="424"/>
      <c r="TKQ39" s="427"/>
      <c r="TKR39" s="424"/>
      <c r="TKS39" s="427"/>
      <c r="TKT39" s="424"/>
      <c r="TKU39" s="427"/>
      <c r="TKV39" s="424"/>
      <c r="TKW39" s="427"/>
      <c r="TKX39" s="424"/>
      <c r="TKY39" s="427"/>
      <c r="TKZ39" s="424"/>
      <c r="TLA39" s="427"/>
      <c r="TLB39" s="424"/>
      <c r="TLC39" s="427"/>
      <c r="TLD39" s="424"/>
      <c r="TLE39" s="427"/>
      <c r="TLF39" s="424"/>
      <c r="TLG39" s="427"/>
      <c r="TLH39" s="424"/>
      <c r="TLI39" s="427"/>
      <c r="TLJ39" s="424"/>
      <c r="TLK39" s="427"/>
      <c r="TLL39" s="424"/>
      <c r="TLM39" s="427"/>
      <c r="TLN39" s="424"/>
      <c r="TLO39" s="427"/>
      <c r="TLP39" s="424"/>
      <c r="TLQ39" s="427"/>
      <c r="TLR39" s="424"/>
      <c r="TLS39" s="427"/>
      <c r="TLT39" s="424"/>
      <c r="TLU39" s="427"/>
      <c r="TLV39" s="424"/>
      <c r="TLW39" s="427"/>
      <c r="TLX39" s="424"/>
      <c r="TLY39" s="427"/>
      <c r="TLZ39" s="424"/>
      <c r="TMA39" s="427"/>
      <c r="TMB39" s="424"/>
      <c r="TMC39" s="427"/>
      <c r="TMD39" s="424"/>
      <c r="TME39" s="427"/>
      <c r="TMF39" s="424"/>
      <c r="TMG39" s="427"/>
      <c r="TMH39" s="424"/>
      <c r="TMI39" s="427"/>
      <c r="TMJ39" s="424"/>
      <c r="TMK39" s="427"/>
      <c r="TML39" s="424"/>
      <c r="TMM39" s="427"/>
      <c r="TMN39" s="424"/>
      <c r="TMO39" s="427"/>
      <c r="TMP39" s="424"/>
      <c r="TMQ39" s="427"/>
      <c r="TMR39" s="424"/>
      <c r="TMS39" s="427"/>
      <c r="TMT39" s="424"/>
      <c r="TMU39" s="427"/>
      <c r="TMV39" s="424"/>
      <c r="TMW39" s="427"/>
      <c r="TMX39" s="424"/>
      <c r="TMY39" s="427"/>
      <c r="TMZ39" s="424"/>
      <c r="TNA39" s="427"/>
      <c r="TNB39" s="424"/>
      <c r="TNC39" s="427"/>
      <c r="TND39" s="424"/>
      <c r="TNE39" s="427"/>
      <c r="TNF39" s="424"/>
      <c r="TNG39" s="427"/>
      <c r="TNH39" s="424"/>
      <c r="TNI39" s="427"/>
      <c r="TNJ39" s="424"/>
      <c r="TNK39" s="427"/>
      <c r="TNL39" s="424"/>
      <c r="TNM39" s="427"/>
      <c r="TNN39" s="424"/>
      <c r="TNO39" s="427"/>
      <c r="TNP39" s="424"/>
      <c r="TNQ39" s="427"/>
      <c r="TNR39" s="424"/>
      <c r="TNS39" s="427"/>
      <c r="TNT39" s="424"/>
      <c r="TNU39" s="427"/>
      <c r="TNV39" s="424"/>
      <c r="TNW39" s="427"/>
      <c r="TNX39" s="424"/>
      <c r="TNY39" s="427"/>
      <c r="TNZ39" s="424"/>
      <c r="TOA39" s="427"/>
      <c r="TOB39" s="424"/>
      <c r="TOC39" s="427"/>
      <c r="TOD39" s="424"/>
      <c r="TOE39" s="427"/>
      <c r="TOF39" s="424"/>
      <c r="TOG39" s="427"/>
      <c r="TOH39" s="424"/>
      <c r="TOI39" s="427"/>
      <c r="TOJ39" s="424"/>
      <c r="TOK39" s="427"/>
      <c r="TOL39" s="424"/>
      <c r="TOM39" s="427"/>
      <c r="TON39" s="424"/>
      <c r="TOO39" s="427"/>
      <c r="TOP39" s="424"/>
      <c r="TOQ39" s="427"/>
      <c r="TOR39" s="424"/>
      <c r="TOS39" s="427"/>
      <c r="TOT39" s="424"/>
      <c r="TOU39" s="427"/>
      <c r="TOV39" s="424"/>
      <c r="TOW39" s="427"/>
      <c r="TOX39" s="424"/>
      <c r="TOY39" s="427"/>
      <c r="TOZ39" s="424"/>
      <c r="TPA39" s="427"/>
      <c r="TPB39" s="424"/>
      <c r="TPC39" s="427"/>
      <c r="TPD39" s="424"/>
      <c r="TPE39" s="427"/>
      <c r="TPF39" s="424"/>
      <c r="TPG39" s="427"/>
      <c r="TPH39" s="424"/>
      <c r="TPI39" s="427"/>
      <c r="TPJ39" s="424"/>
      <c r="TPK39" s="427"/>
      <c r="TPL39" s="424"/>
      <c r="TPM39" s="427"/>
      <c r="TPN39" s="424"/>
      <c r="TPO39" s="427"/>
      <c r="TPP39" s="424"/>
      <c r="TPQ39" s="427"/>
      <c r="TPR39" s="424"/>
      <c r="TPS39" s="427"/>
      <c r="TPT39" s="424"/>
      <c r="TPU39" s="427"/>
      <c r="TPV39" s="424"/>
      <c r="TPW39" s="427"/>
      <c r="TPX39" s="424"/>
      <c r="TPY39" s="427"/>
      <c r="TPZ39" s="424"/>
      <c r="TQA39" s="427"/>
      <c r="TQB39" s="424"/>
      <c r="TQC39" s="427"/>
      <c r="TQD39" s="424"/>
      <c r="TQE39" s="427"/>
      <c r="TQF39" s="424"/>
      <c r="TQG39" s="427"/>
      <c r="TQH39" s="424"/>
      <c r="TQI39" s="427"/>
      <c r="TQJ39" s="424"/>
      <c r="TQK39" s="427"/>
      <c r="TQL39" s="424"/>
      <c r="TQM39" s="427"/>
      <c r="TQN39" s="424"/>
      <c r="TQO39" s="427"/>
      <c r="TQP39" s="424"/>
      <c r="TQQ39" s="427"/>
      <c r="TQR39" s="424"/>
      <c r="TQS39" s="427"/>
      <c r="TQT39" s="424"/>
      <c r="TQU39" s="427"/>
      <c r="TQV39" s="424"/>
      <c r="TQW39" s="427"/>
      <c r="TQX39" s="424"/>
      <c r="TQY39" s="427"/>
      <c r="TQZ39" s="424"/>
      <c r="TRA39" s="427"/>
      <c r="TRB39" s="424"/>
      <c r="TRC39" s="427"/>
      <c r="TRD39" s="424"/>
      <c r="TRE39" s="427"/>
      <c r="TRF39" s="424"/>
      <c r="TRG39" s="427"/>
      <c r="TRH39" s="424"/>
      <c r="TRI39" s="427"/>
      <c r="TRJ39" s="424"/>
      <c r="TRK39" s="427"/>
      <c r="TRL39" s="424"/>
      <c r="TRM39" s="427"/>
      <c r="TRN39" s="424"/>
      <c r="TRO39" s="427"/>
      <c r="TRP39" s="424"/>
      <c r="TRQ39" s="427"/>
      <c r="TRR39" s="424"/>
      <c r="TRS39" s="427"/>
      <c r="TRT39" s="424"/>
      <c r="TRU39" s="427"/>
      <c r="TRV39" s="424"/>
      <c r="TRW39" s="427"/>
      <c r="TRX39" s="424"/>
      <c r="TRY39" s="427"/>
      <c r="TRZ39" s="424"/>
      <c r="TSA39" s="427"/>
      <c r="TSB39" s="424"/>
      <c r="TSC39" s="427"/>
      <c r="TSD39" s="424"/>
      <c r="TSE39" s="427"/>
      <c r="TSF39" s="424"/>
      <c r="TSG39" s="427"/>
      <c r="TSH39" s="424"/>
      <c r="TSI39" s="427"/>
      <c r="TSJ39" s="424"/>
      <c r="TSK39" s="427"/>
      <c r="TSL39" s="424"/>
      <c r="TSM39" s="427"/>
      <c r="TSN39" s="424"/>
      <c r="TSO39" s="427"/>
      <c r="TSP39" s="424"/>
      <c r="TSQ39" s="427"/>
      <c r="TSR39" s="424"/>
      <c r="TSS39" s="427"/>
      <c r="TST39" s="424"/>
      <c r="TSU39" s="427"/>
      <c r="TSV39" s="424"/>
      <c r="TSW39" s="427"/>
      <c r="TSX39" s="424"/>
      <c r="TSY39" s="427"/>
      <c r="TSZ39" s="424"/>
      <c r="TTA39" s="427"/>
      <c r="TTB39" s="424"/>
      <c r="TTC39" s="427"/>
      <c r="TTD39" s="424"/>
      <c r="TTE39" s="427"/>
      <c r="TTF39" s="424"/>
      <c r="TTG39" s="427"/>
      <c r="TTH39" s="424"/>
      <c r="TTI39" s="427"/>
      <c r="TTJ39" s="424"/>
      <c r="TTK39" s="427"/>
      <c r="TTL39" s="424"/>
      <c r="TTM39" s="427"/>
      <c r="TTN39" s="424"/>
      <c r="TTO39" s="427"/>
      <c r="TTP39" s="424"/>
      <c r="TTQ39" s="427"/>
      <c r="TTR39" s="424"/>
      <c r="TTS39" s="427"/>
      <c r="TTT39" s="424"/>
      <c r="TTU39" s="427"/>
      <c r="TTV39" s="424"/>
      <c r="TTW39" s="427"/>
      <c r="TTX39" s="424"/>
      <c r="TTY39" s="427"/>
      <c r="TTZ39" s="424"/>
      <c r="TUA39" s="427"/>
      <c r="TUB39" s="424"/>
      <c r="TUC39" s="427"/>
      <c r="TUD39" s="424"/>
      <c r="TUE39" s="427"/>
      <c r="TUF39" s="424"/>
      <c r="TUG39" s="427"/>
      <c r="TUH39" s="424"/>
      <c r="TUI39" s="427"/>
      <c r="TUJ39" s="424"/>
      <c r="TUK39" s="427"/>
      <c r="TUL39" s="424"/>
      <c r="TUM39" s="427"/>
      <c r="TUN39" s="424"/>
      <c r="TUO39" s="427"/>
      <c r="TUP39" s="424"/>
      <c r="TUQ39" s="427"/>
      <c r="TUR39" s="424"/>
      <c r="TUS39" s="427"/>
      <c r="TUT39" s="424"/>
      <c r="TUU39" s="427"/>
      <c r="TUV39" s="424"/>
      <c r="TUW39" s="427"/>
      <c r="TUX39" s="424"/>
      <c r="TUY39" s="427"/>
      <c r="TUZ39" s="424"/>
      <c r="TVA39" s="427"/>
      <c r="TVB39" s="424"/>
      <c r="TVC39" s="427"/>
      <c r="TVD39" s="424"/>
      <c r="TVE39" s="427"/>
      <c r="TVF39" s="424"/>
      <c r="TVG39" s="427"/>
      <c r="TVH39" s="424"/>
      <c r="TVI39" s="427"/>
      <c r="TVJ39" s="424"/>
      <c r="TVK39" s="427"/>
      <c r="TVL39" s="424"/>
      <c r="TVM39" s="427"/>
      <c r="TVN39" s="424"/>
      <c r="TVO39" s="427"/>
      <c r="TVP39" s="424"/>
      <c r="TVQ39" s="427"/>
      <c r="TVR39" s="424"/>
      <c r="TVS39" s="427"/>
      <c r="TVT39" s="424"/>
      <c r="TVU39" s="427"/>
      <c r="TVV39" s="424"/>
      <c r="TVW39" s="427"/>
      <c r="TVX39" s="424"/>
      <c r="TVY39" s="427"/>
      <c r="TVZ39" s="424"/>
      <c r="TWA39" s="427"/>
      <c r="TWB39" s="424"/>
      <c r="TWC39" s="427"/>
      <c r="TWD39" s="424"/>
      <c r="TWE39" s="427"/>
      <c r="TWF39" s="424"/>
      <c r="TWG39" s="427"/>
      <c r="TWH39" s="424"/>
      <c r="TWI39" s="427"/>
      <c r="TWJ39" s="424"/>
      <c r="TWK39" s="427"/>
      <c r="TWL39" s="424"/>
      <c r="TWM39" s="427"/>
      <c r="TWN39" s="424"/>
      <c r="TWO39" s="427"/>
      <c r="TWP39" s="424"/>
      <c r="TWQ39" s="427"/>
      <c r="TWR39" s="424"/>
      <c r="TWS39" s="427"/>
      <c r="TWT39" s="424"/>
      <c r="TWU39" s="427"/>
      <c r="TWV39" s="424"/>
      <c r="TWW39" s="427"/>
      <c r="TWX39" s="424"/>
      <c r="TWY39" s="427"/>
      <c r="TWZ39" s="424"/>
      <c r="TXA39" s="427"/>
      <c r="TXB39" s="424"/>
      <c r="TXC39" s="427"/>
      <c r="TXD39" s="424"/>
      <c r="TXE39" s="427"/>
      <c r="TXF39" s="424"/>
      <c r="TXG39" s="427"/>
      <c r="TXH39" s="424"/>
      <c r="TXI39" s="427"/>
      <c r="TXJ39" s="424"/>
      <c r="TXK39" s="427"/>
      <c r="TXL39" s="424"/>
      <c r="TXM39" s="427"/>
      <c r="TXN39" s="424"/>
      <c r="TXO39" s="427"/>
      <c r="TXP39" s="424"/>
      <c r="TXQ39" s="427"/>
      <c r="TXR39" s="424"/>
      <c r="TXS39" s="427"/>
      <c r="TXT39" s="424"/>
      <c r="TXU39" s="427"/>
      <c r="TXV39" s="424"/>
      <c r="TXW39" s="427"/>
      <c r="TXX39" s="424"/>
      <c r="TXY39" s="427"/>
      <c r="TXZ39" s="424"/>
      <c r="TYA39" s="427"/>
      <c r="TYB39" s="424"/>
      <c r="TYC39" s="427"/>
      <c r="TYD39" s="424"/>
      <c r="TYE39" s="427"/>
      <c r="TYF39" s="424"/>
      <c r="TYG39" s="427"/>
      <c r="TYH39" s="424"/>
      <c r="TYI39" s="427"/>
      <c r="TYJ39" s="424"/>
      <c r="TYK39" s="427"/>
      <c r="TYL39" s="424"/>
      <c r="TYM39" s="427"/>
      <c r="TYN39" s="424"/>
      <c r="TYO39" s="427"/>
      <c r="TYP39" s="424"/>
      <c r="TYQ39" s="427"/>
      <c r="TYR39" s="424"/>
      <c r="TYS39" s="427"/>
      <c r="TYT39" s="424"/>
      <c r="TYU39" s="427"/>
      <c r="TYV39" s="424"/>
      <c r="TYW39" s="427"/>
      <c r="TYX39" s="424"/>
      <c r="TYY39" s="427"/>
      <c r="TYZ39" s="424"/>
      <c r="TZA39" s="427"/>
      <c r="TZB39" s="424"/>
      <c r="TZC39" s="427"/>
      <c r="TZD39" s="424"/>
      <c r="TZE39" s="427"/>
      <c r="TZF39" s="424"/>
      <c r="TZG39" s="427"/>
      <c r="TZH39" s="424"/>
      <c r="TZI39" s="427"/>
      <c r="TZJ39" s="424"/>
      <c r="TZK39" s="427"/>
      <c r="TZL39" s="424"/>
      <c r="TZM39" s="427"/>
      <c r="TZN39" s="424"/>
      <c r="TZO39" s="427"/>
      <c r="TZP39" s="424"/>
      <c r="TZQ39" s="427"/>
      <c r="TZR39" s="424"/>
      <c r="TZS39" s="427"/>
      <c r="TZT39" s="424"/>
      <c r="TZU39" s="427"/>
      <c r="TZV39" s="424"/>
      <c r="TZW39" s="427"/>
      <c r="TZX39" s="424"/>
      <c r="TZY39" s="427"/>
      <c r="TZZ39" s="424"/>
      <c r="UAA39" s="427"/>
      <c r="UAB39" s="424"/>
      <c r="UAC39" s="427"/>
      <c r="UAD39" s="424"/>
      <c r="UAE39" s="427"/>
      <c r="UAF39" s="424"/>
      <c r="UAG39" s="427"/>
      <c r="UAH39" s="424"/>
      <c r="UAI39" s="427"/>
      <c r="UAJ39" s="424"/>
      <c r="UAK39" s="427"/>
      <c r="UAL39" s="424"/>
      <c r="UAM39" s="427"/>
      <c r="UAN39" s="424"/>
      <c r="UAO39" s="427"/>
      <c r="UAP39" s="424"/>
      <c r="UAQ39" s="427"/>
      <c r="UAR39" s="424"/>
      <c r="UAS39" s="427"/>
      <c r="UAT39" s="424"/>
      <c r="UAU39" s="427"/>
      <c r="UAV39" s="424"/>
      <c r="UAW39" s="427"/>
      <c r="UAX39" s="424"/>
      <c r="UAY39" s="427"/>
      <c r="UAZ39" s="424"/>
      <c r="UBA39" s="427"/>
      <c r="UBB39" s="424"/>
      <c r="UBC39" s="427"/>
      <c r="UBD39" s="424"/>
      <c r="UBE39" s="427"/>
      <c r="UBF39" s="424"/>
      <c r="UBG39" s="427"/>
      <c r="UBH39" s="424"/>
      <c r="UBI39" s="427"/>
      <c r="UBJ39" s="424"/>
      <c r="UBK39" s="427"/>
      <c r="UBL39" s="424"/>
      <c r="UBM39" s="427"/>
      <c r="UBN39" s="424"/>
      <c r="UBO39" s="427"/>
      <c r="UBP39" s="424"/>
      <c r="UBQ39" s="427"/>
      <c r="UBR39" s="424"/>
      <c r="UBS39" s="427"/>
      <c r="UBT39" s="424"/>
      <c r="UBU39" s="427"/>
      <c r="UBV39" s="424"/>
      <c r="UBW39" s="427"/>
      <c r="UBX39" s="424"/>
      <c r="UBY39" s="427"/>
      <c r="UBZ39" s="424"/>
      <c r="UCA39" s="427"/>
      <c r="UCB39" s="424"/>
      <c r="UCC39" s="427"/>
      <c r="UCD39" s="424"/>
      <c r="UCE39" s="427"/>
      <c r="UCF39" s="424"/>
      <c r="UCG39" s="427"/>
      <c r="UCH39" s="424"/>
      <c r="UCI39" s="427"/>
      <c r="UCJ39" s="424"/>
      <c r="UCK39" s="427"/>
      <c r="UCL39" s="424"/>
      <c r="UCM39" s="427"/>
      <c r="UCN39" s="424"/>
      <c r="UCO39" s="427"/>
      <c r="UCP39" s="424"/>
      <c r="UCQ39" s="427"/>
      <c r="UCR39" s="424"/>
      <c r="UCS39" s="427"/>
      <c r="UCT39" s="424"/>
      <c r="UCU39" s="427"/>
      <c r="UCV39" s="424"/>
      <c r="UCW39" s="427"/>
      <c r="UCX39" s="424"/>
      <c r="UCY39" s="427"/>
      <c r="UCZ39" s="424"/>
      <c r="UDA39" s="427"/>
      <c r="UDB39" s="424"/>
      <c r="UDC39" s="427"/>
      <c r="UDD39" s="424"/>
      <c r="UDE39" s="427"/>
      <c r="UDF39" s="424"/>
      <c r="UDG39" s="427"/>
      <c r="UDH39" s="424"/>
      <c r="UDI39" s="427"/>
      <c r="UDJ39" s="424"/>
      <c r="UDK39" s="427"/>
      <c r="UDL39" s="424"/>
      <c r="UDM39" s="427"/>
      <c r="UDN39" s="424"/>
      <c r="UDO39" s="427"/>
      <c r="UDP39" s="424"/>
      <c r="UDQ39" s="427"/>
      <c r="UDR39" s="424"/>
      <c r="UDS39" s="427"/>
      <c r="UDT39" s="424"/>
      <c r="UDU39" s="427"/>
      <c r="UDV39" s="424"/>
      <c r="UDW39" s="427"/>
      <c r="UDX39" s="424"/>
      <c r="UDY39" s="427"/>
      <c r="UDZ39" s="424"/>
      <c r="UEA39" s="427"/>
      <c r="UEB39" s="424"/>
      <c r="UEC39" s="427"/>
      <c r="UED39" s="424"/>
      <c r="UEE39" s="427"/>
      <c r="UEF39" s="424"/>
      <c r="UEG39" s="427"/>
      <c r="UEH39" s="424"/>
      <c r="UEI39" s="427"/>
      <c r="UEJ39" s="424"/>
      <c r="UEK39" s="427"/>
      <c r="UEL39" s="424"/>
      <c r="UEM39" s="427"/>
      <c r="UEN39" s="424"/>
      <c r="UEO39" s="427"/>
      <c r="UEP39" s="424"/>
      <c r="UEQ39" s="427"/>
      <c r="UER39" s="424"/>
      <c r="UES39" s="427"/>
      <c r="UET39" s="424"/>
      <c r="UEU39" s="427"/>
      <c r="UEV39" s="424"/>
      <c r="UEW39" s="427"/>
      <c r="UEX39" s="424"/>
      <c r="UEY39" s="427"/>
      <c r="UEZ39" s="424"/>
      <c r="UFA39" s="427"/>
      <c r="UFB39" s="424"/>
      <c r="UFC39" s="427"/>
      <c r="UFD39" s="424"/>
      <c r="UFE39" s="427"/>
      <c r="UFF39" s="424"/>
      <c r="UFG39" s="427"/>
      <c r="UFH39" s="424"/>
      <c r="UFI39" s="427"/>
      <c r="UFJ39" s="424"/>
      <c r="UFK39" s="427"/>
      <c r="UFL39" s="424"/>
      <c r="UFM39" s="427"/>
      <c r="UFN39" s="424"/>
      <c r="UFO39" s="427"/>
      <c r="UFP39" s="424"/>
      <c r="UFQ39" s="427"/>
      <c r="UFR39" s="424"/>
      <c r="UFS39" s="427"/>
      <c r="UFT39" s="424"/>
      <c r="UFU39" s="427"/>
      <c r="UFV39" s="424"/>
      <c r="UFW39" s="427"/>
      <c r="UFX39" s="424"/>
      <c r="UFY39" s="427"/>
      <c r="UFZ39" s="424"/>
      <c r="UGA39" s="427"/>
      <c r="UGB39" s="424"/>
      <c r="UGC39" s="427"/>
      <c r="UGD39" s="424"/>
      <c r="UGE39" s="427"/>
      <c r="UGF39" s="424"/>
      <c r="UGG39" s="427"/>
      <c r="UGH39" s="424"/>
      <c r="UGI39" s="427"/>
      <c r="UGJ39" s="424"/>
      <c r="UGK39" s="427"/>
      <c r="UGL39" s="424"/>
      <c r="UGM39" s="427"/>
      <c r="UGN39" s="424"/>
      <c r="UGO39" s="427"/>
      <c r="UGP39" s="424"/>
      <c r="UGQ39" s="427"/>
      <c r="UGR39" s="424"/>
      <c r="UGS39" s="427"/>
      <c r="UGT39" s="424"/>
      <c r="UGU39" s="427"/>
      <c r="UGV39" s="424"/>
      <c r="UGW39" s="427"/>
      <c r="UGX39" s="424"/>
      <c r="UGY39" s="427"/>
      <c r="UGZ39" s="424"/>
      <c r="UHA39" s="427"/>
      <c r="UHB39" s="424"/>
      <c r="UHC39" s="427"/>
      <c r="UHD39" s="424"/>
      <c r="UHE39" s="427"/>
      <c r="UHF39" s="424"/>
      <c r="UHG39" s="427"/>
      <c r="UHH39" s="424"/>
      <c r="UHI39" s="427"/>
      <c r="UHJ39" s="424"/>
      <c r="UHK39" s="427"/>
      <c r="UHL39" s="424"/>
      <c r="UHM39" s="427"/>
      <c r="UHN39" s="424"/>
      <c r="UHO39" s="427"/>
      <c r="UHP39" s="424"/>
      <c r="UHQ39" s="427"/>
      <c r="UHR39" s="424"/>
      <c r="UHS39" s="427"/>
      <c r="UHT39" s="424"/>
      <c r="UHU39" s="427"/>
      <c r="UHV39" s="424"/>
      <c r="UHW39" s="427"/>
      <c r="UHX39" s="424"/>
      <c r="UHY39" s="427"/>
      <c r="UHZ39" s="424"/>
      <c r="UIA39" s="427"/>
      <c r="UIB39" s="424"/>
      <c r="UIC39" s="427"/>
      <c r="UID39" s="424"/>
      <c r="UIE39" s="427"/>
      <c r="UIF39" s="424"/>
      <c r="UIG39" s="427"/>
      <c r="UIH39" s="424"/>
      <c r="UII39" s="427"/>
      <c r="UIJ39" s="424"/>
      <c r="UIK39" s="427"/>
      <c r="UIL39" s="424"/>
      <c r="UIM39" s="427"/>
      <c r="UIN39" s="424"/>
      <c r="UIO39" s="427"/>
      <c r="UIP39" s="424"/>
      <c r="UIQ39" s="427"/>
      <c r="UIR39" s="424"/>
      <c r="UIS39" s="427"/>
      <c r="UIT39" s="424"/>
      <c r="UIU39" s="427"/>
      <c r="UIV39" s="424"/>
      <c r="UIW39" s="427"/>
      <c r="UIX39" s="424"/>
      <c r="UIY39" s="427"/>
      <c r="UIZ39" s="424"/>
      <c r="UJA39" s="427"/>
      <c r="UJB39" s="424"/>
      <c r="UJC39" s="427"/>
      <c r="UJD39" s="424"/>
      <c r="UJE39" s="427"/>
      <c r="UJF39" s="424"/>
      <c r="UJG39" s="427"/>
      <c r="UJH39" s="424"/>
      <c r="UJI39" s="427"/>
      <c r="UJJ39" s="424"/>
      <c r="UJK39" s="427"/>
      <c r="UJL39" s="424"/>
      <c r="UJM39" s="427"/>
      <c r="UJN39" s="424"/>
      <c r="UJO39" s="427"/>
      <c r="UJP39" s="424"/>
      <c r="UJQ39" s="427"/>
      <c r="UJR39" s="424"/>
      <c r="UJS39" s="427"/>
      <c r="UJT39" s="424"/>
      <c r="UJU39" s="427"/>
      <c r="UJV39" s="424"/>
      <c r="UJW39" s="427"/>
      <c r="UJX39" s="424"/>
      <c r="UJY39" s="427"/>
      <c r="UJZ39" s="424"/>
      <c r="UKA39" s="427"/>
      <c r="UKB39" s="424"/>
      <c r="UKC39" s="427"/>
      <c r="UKD39" s="424"/>
      <c r="UKE39" s="427"/>
      <c r="UKF39" s="424"/>
      <c r="UKG39" s="427"/>
      <c r="UKH39" s="424"/>
      <c r="UKI39" s="427"/>
      <c r="UKJ39" s="424"/>
      <c r="UKK39" s="427"/>
      <c r="UKL39" s="424"/>
      <c r="UKM39" s="427"/>
      <c r="UKN39" s="424"/>
      <c r="UKO39" s="427"/>
      <c r="UKP39" s="424"/>
      <c r="UKQ39" s="427"/>
      <c r="UKR39" s="424"/>
      <c r="UKS39" s="427"/>
      <c r="UKT39" s="424"/>
      <c r="UKU39" s="427"/>
      <c r="UKV39" s="424"/>
      <c r="UKW39" s="427"/>
      <c r="UKX39" s="424"/>
      <c r="UKY39" s="427"/>
      <c r="UKZ39" s="424"/>
      <c r="ULA39" s="427"/>
      <c r="ULB39" s="424"/>
      <c r="ULC39" s="427"/>
      <c r="ULD39" s="424"/>
      <c r="ULE39" s="427"/>
      <c r="ULF39" s="424"/>
      <c r="ULG39" s="427"/>
      <c r="ULH39" s="424"/>
      <c r="ULI39" s="427"/>
      <c r="ULJ39" s="424"/>
      <c r="ULK39" s="427"/>
      <c r="ULL39" s="424"/>
      <c r="ULM39" s="427"/>
      <c r="ULN39" s="424"/>
      <c r="ULO39" s="427"/>
      <c r="ULP39" s="424"/>
      <c r="ULQ39" s="427"/>
      <c r="ULR39" s="424"/>
      <c r="ULS39" s="427"/>
      <c r="ULT39" s="424"/>
      <c r="ULU39" s="427"/>
      <c r="ULV39" s="424"/>
      <c r="ULW39" s="427"/>
      <c r="ULX39" s="424"/>
      <c r="ULY39" s="427"/>
      <c r="ULZ39" s="424"/>
      <c r="UMA39" s="427"/>
      <c r="UMB39" s="424"/>
      <c r="UMC39" s="427"/>
      <c r="UMD39" s="424"/>
      <c r="UME39" s="427"/>
      <c r="UMF39" s="424"/>
      <c r="UMG39" s="427"/>
      <c r="UMH39" s="424"/>
      <c r="UMI39" s="427"/>
      <c r="UMJ39" s="424"/>
      <c r="UMK39" s="427"/>
      <c r="UML39" s="424"/>
      <c r="UMM39" s="427"/>
      <c r="UMN39" s="424"/>
      <c r="UMO39" s="427"/>
      <c r="UMP39" s="424"/>
      <c r="UMQ39" s="427"/>
      <c r="UMR39" s="424"/>
      <c r="UMS39" s="427"/>
      <c r="UMT39" s="424"/>
      <c r="UMU39" s="427"/>
      <c r="UMV39" s="424"/>
      <c r="UMW39" s="427"/>
      <c r="UMX39" s="424"/>
      <c r="UMY39" s="427"/>
      <c r="UMZ39" s="424"/>
      <c r="UNA39" s="427"/>
      <c r="UNB39" s="424"/>
      <c r="UNC39" s="427"/>
      <c r="UND39" s="424"/>
      <c r="UNE39" s="427"/>
      <c r="UNF39" s="424"/>
      <c r="UNG39" s="427"/>
      <c r="UNH39" s="424"/>
      <c r="UNI39" s="427"/>
      <c r="UNJ39" s="424"/>
      <c r="UNK39" s="427"/>
      <c r="UNL39" s="424"/>
      <c r="UNM39" s="427"/>
      <c r="UNN39" s="424"/>
      <c r="UNO39" s="427"/>
      <c r="UNP39" s="424"/>
      <c r="UNQ39" s="427"/>
      <c r="UNR39" s="424"/>
      <c r="UNS39" s="427"/>
      <c r="UNT39" s="424"/>
      <c r="UNU39" s="427"/>
      <c r="UNV39" s="424"/>
      <c r="UNW39" s="427"/>
      <c r="UNX39" s="424"/>
      <c r="UNY39" s="427"/>
      <c r="UNZ39" s="424"/>
      <c r="UOA39" s="427"/>
      <c r="UOB39" s="424"/>
      <c r="UOC39" s="427"/>
      <c r="UOD39" s="424"/>
      <c r="UOE39" s="427"/>
      <c r="UOF39" s="424"/>
      <c r="UOG39" s="427"/>
      <c r="UOH39" s="424"/>
      <c r="UOI39" s="427"/>
      <c r="UOJ39" s="424"/>
      <c r="UOK39" s="427"/>
      <c r="UOL39" s="424"/>
      <c r="UOM39" s="427"/>
      <c r="UON39" s="424"/>
      <c r="UOO39" s="427"/>
      <c r="UOP39" s="424"/>
      <c r="UOQ39" s="427"/>
      <c r="UOR39" s="424"/>
      <c r="UOS39" s="427"/>
      <c r="UOT39" s="424"/>
      <c r="UOU39" s="427"/>
      <c r="UOV39" s="424"/>
      <c r="UOW39" s="427"/>
      <c r="UOX39" s="424"/>
      <c r="UOY39" s="427"/>
      <c r="UOZ39" s="424"/>
      <c r="UPA39" s="427"/>
      <c r="UPB39" s="424"/>
      <c r="UPC39" s="427"/>
      <c r="UPD39" s="424"/>
      <c r="UPE39" s="427"/>
      <c r="UPF39" s="424"/>
      <c r="UPG39" s="427"/>
      <c r="UPH39" s="424"/>
      <c r="UPI39" s="427"/>
      <c r="UPJ39" s="424"/>
      <c r="UPK39" s="427"/>
      <c r="UPL39" s="424"/>
      <c r="UPM39" s="427"/>
      <c r="UPN39" s="424"/>
      <c r="UPO39" s="427"/>
      <c r="UPP39" s="424"/>
      <c r="UPQ39" s="427"/>
      <c r="UPR39" s="424"/>
      <c r="UPS39" s="427"/>
      <c r="UPT39" s="424"/>
      <c r="UPU39" s="427"/>
      <c r="UPV39" s="424"/>
      <c r="UPW39" s="427"/>
      <c r="UPX39" s="424"/>
      <c r="UPY39" s="427"/>
      <c r="UPZ39" s="424"/>
      <c r="UQA39" s="427"/>
      <c r="UQB39" s="424"/>
      <c r="UQC39" s="427"/>
      <c r="UQD39" s="424"/>
      <c r="UQE39" s="427"/>
      <c r="UQF39" s="424"/>
      <c r="UQG39" s="427"/>
      <c r="UQH39" s="424"/>
      <c r="UQI39" s="427"/>
      <c r="UQJ39" s="424"/>
      <c r="UQK39" s="427"/>
      <c r="UQL39" s="424"/>
      <c r="UQM39" s="427"/>
      <c r="UQN39" s="424"/>
      <c r="UQO39" s="427"/>
      <c r="UQP39" s="424"/>
      <c r="UQQ39" s="427"/>
      <c r="UQR39" s="424"/>
      <c r="UQS39" s="427"/>
      <c r="UQT39" s="424"/>
      <c r="UQU39" s="427"/>
      <c r="UQV39" s="424"/>
      <c r="UQW39" s="427"/>
      <c r="UQX39" s="424"/>
      <c r="UQY39" s="427"/>
      <c r="UQZ39" s="424"/>
      <c r="URA39" s="427"/>
      <c r="URB39" s="424"/>
      <c r="URC39" s="427"/>
      <c r="URD39" s="424"/>
      <c r="URE39" s="427"/>
      <c r="URF39" s="424"/>
      <c r="URG39" s="427"/>
      <c r="URH39" s="424"/>
      <c r="URI39" s="427"/>
      <c r="URJ39" s="424"/>
      <c r="URK39" s="427"/>
      <c r="URL39" s="424"/>
      <c r="URM39" s="427"/>
      <c r="URN39" s="424"/>
      <c r="URO39" s="427"/>
      <c r="URP39" s="424"/>
      <c r="URQ39" s="427"/>
      <c r="URR39" s="424"/>
      <c r="URS39" s="427"/>
      <c r="URT39" s="424"/>
      <c r="URU39" s="427"/>
      <c r="URV39" s="424"/>
      <c r="URW39" s="427"/>
      <c r="URX39" s="424"/>
      <c r="URY39" s="427"/>
      <c r="URZ39" s="424"/>
      <c r="USA39" s="427"/>
      <c r="USB39" s="424"/>
      <c r="USC39" s="427"/>
      <c r="USD39" s="424"/>
      <c r="USE39" s="427"/>
      <c r="USF39" s="424"/>
      <c r="USG39" s="427"/>
      <c r="USH39" s="424"/>
      <c r="USI39" s="427"/>
      <c r="USJ39" s="424"/>
      <c r="USK39" s="427"/>
      <c r="USL39" s="424"/>
      <c r="USM39" s="427"/>
      <c r="USN39" s="424"/>
      <c r="USO39" s="427"/>
      <c r="USP39" s="424"/>
      <c r="USQ39" s="427"/>
      <c r="USR39" s="424"/>
      <c r="USS39" s="427"/>
      <c r="UST39" s="424"/>
      <c r="USU39" s="427"/>
      <c r="USV39" s="424"/>
      <c r="USW39" s="427"/>
      <c r="USX39" s="424"/>
      <c r="USY39" s="427"/>
      <c r="USZ39" s="424"/>
      <c r="UTA39" s="427"/>
      <c r="UTB39" s="424"/>
      <c r="UTC39" s="427"/>
      <c r="UTD39" s="424"/>
      <c r="UTE39" s="427"/>
      <c r="UTF39" s="424"/>
      <c r="UTG39" s="427"/>
      <c r="UTH39" s="424"/>
      <c r="UTI39" s="427"/>
      <c r="UTJ39" s="424"/>
      <c r="UTK39" s="427"/>
      <c r="UTL39" s="424"/>
      <c r="UTM39" s="427"/>
      <c r="UTN39" s="424"/>
      <c r="UTO39" s="427"/>
      <c r="UTP39" s="424"/>
      <c r="UTQ39" s="427"/>
      <c r="UTR39" s="424"/>
      <c r="UTS39" s="427"/>
      <c r="UTT39" s="424"/>
      <c r="UTU39" s="427"/>
      <c r="UTV39" s="424"/>
      <c r="UTW39" s="427"/>
      <c r="UTX39" s="424"/>
      <c r="UTY39" s="427"/>
      <c r="UTZ39" s="424"/>
      <c r="UUA39" s="427"/>
      <c r="UUB39" s="424"/>
      <c r="UUC39" s="427"/>
      <c r="UUD39" s="424"/>
      <c r="UUE39" s="427"/>
      <c r="UUF39" s="424"/>
      <c r="UUG39" s="427"/>
      <c r="UUH39" s="424"/>
      <c r="UUI39" s="427"/>
      <c r="UUJ39" s="424"/>
      <c r="UUK39" s="427"/>
      <c r="UUL39" s="424"/>
      <c r="UUM39" s="427"/>
      <c r="UUN39" s="424"/>
      <c r="UUO39" s="427"/>
      <c r="UUP39" s="424"/>
      <c r="UUQ39" s="427"/>
      <c r="UUR39" s="424"/>
      <c r="UUS39" s="427"/>
      <c r="UUT39" s="424"/>
      <c r="UUU39" s="427"/>
      <c r="UUV39" s="424"/>
      <c r="UUW39" s="427"/>
      <c r="UUX39" s="424"/>
      <c r="UUY39" s="427"/>
      <c r="UUZ39" s="424"/>
      <c r="UVA39" s="427"/>
      <c r="UVB39" s="424"/>
      <c r="UVC39" s="427"/>
      <c r="UVD39" s="424"/>
      <c r="UVE39" s="427"/>
      <c r="UVF39" s="424"/>
      <c r="UVG39" s="427"/>
      <c r="UVH39" s="424"/>
      <c r="UVI39" s="427"/>
      <c r="UVJ39" s="424"/>
      <c r="UVK39" s="427"/>
      <c r="UVL39" s="424"/>
      <c r="UVM39" s="427"/>
      <c r="UVN39" s="424"/>
      <c r="UVO39" s="427"/>
      <c r="UVP39" s="424"/>
      <c r="UVQ39" s="427"/>
      <c r="UVR39" s="424"/>
      <c r="UVS39" s="427"/>
      <c r="UVT39" s="424"/>
      <c r="UVU39" s="427"/>
      <c r="UVV39" s="424"/>
      <c r="UVW39" s="427"/>
      <c r="UVX39" s="424"/>
      <c r="UVY39" s="427"/>
      <c r="UVZ39" s="424"/>
      <c r="UWA39" s="427"/>
      <c r="UWB39" s="424"/>
      <c r="UWC39" s="427"/>
      <c r="UWD39" s="424"/>
      <c r="UWE39" s="427"/>
      <c r="UWF39" s="424"/>
      <c r="UWG39" s="427"/>
      <c r="UWH39" s="424"/>
      <c r="UWI39" s="427"/>
      <c r="UWJ39" s="424"/>
      <c r="UWK39" s="427"/>
      <c r="UWL39" s="424"/>
      <c r="UWM39" s="427"/>
      <c r="UWN39" s="424"/>
      <c r="UWO39" s="427"/>
      <c r="UWP39" s="424"/>
      <c r="UWQ39" s="427"/>
      <c r="UWR39" s="424"/>
      <c r="UWS39" s="427"/>
      <c r="UWT39" s="424"/>
      <c r="UWU39" s="427"/>
      <c r="UWV39" s="424"/>
      <c r="UWW39" s="427"/>
      <c r="UWX39" s="424"/>
      <c r="UWY39" s="427"/>
      <c r="UWZ39" s="424"/>
      <c r="UXA39" s="427"/>
      <c r="UXB39" s="424"/>
      <c r="UXC39" s="427"/>
      <c r="UXD39" s="424"/>
      <c r="UXE39" s="427"/>
      <c r="UXF39" s="424"/>
      <c r="UXG39" s="427"/>
      <c r="UXH39" s="424"/>
      <c r="UXI39" s="427"/>
      <c r="UXJ39" s="424"/>
      <c r="UXK39" s="427"/>
      <c r="UXL39" s="424"/>
      <c r="UXM39" s="427"/>
      <c r="UXN39" s="424"/>
      <c r="UXO39" s="427"/>
      <c r="UXP39" s="424"/>
      <c r="UXQ39" s="427"/>
      <c r="UXR39" s="424"/>
      <c r="UXS39" s="427"/>
      <c r="UXT39" s="424"/>
      <c r="UXU39" s="427"/>
      <c r="UXV39" s="424"/>
      <c r="UXW39" s="427"/>
      <c r="UXX39" s="424"/>
      <c r="UXY39" s="427"/>
      <c r="UXZ39" s="424"/>
      <c r="UYA39" s="427"/>
      <c r="UYB39" s="424"/>
      <c r="UYC39" s="427"/>
      <c r="UYD39" s="424"/>
      <c r="UYE39" s="427"/>
      <c r="UYF39" s="424"/>
      <c r="UYG39" s="427"/>
      <c r="UYH39" s="424"/>
      <c r="UYI39" s="427"/>
      <c r="UYJ39" s="424"/>
      <c r="UYK39" s="427"/>
      <c r="UYL39" s="424"/>
      <c r="UYM39" s="427"/>
      <c r="UYN39" s="424"/>
      <c r="UYO39" s="427"/>
      <c r="UYP39" s="424"/>
      <c r="UYQ39" s="427"/>
      <c r="UYR39" s="424"/>
      <c r="UYS39" s="427"/>
      <c r="UYT39" s="424"/>
      <c r="UYU39" s="427"/>
      <c r="UYV39" s="424"/>
      <c r="UYW39" s="427"/>
      <c r="UYX39" s="424"/>
      <c r="UYY39" s="427"/>
      <c r="UYZ39" s="424"/>
      <c r="UZA39" s="427"/>
      <c r="UZB39" s="424"/>
      <c r="UZC39" s="427"/>
      <c r="UZD39" s="424"/>
      <c r="UZE39" s="427"/>
      <c r="UZF39" s="424"/>
      <c r="UZG39" s="427"/>
      <c r="UZH39" s="424"/>
      <c r="UZI39" s="427"/>
      <c r="UZJ39" s="424"/>
      <c r="UZK39" s="427"/>
      <c r="UZL39" s="424"/>
      <c r="UZM39" s="427"/>
      <c r="UZN39" s="424"/>
      <c r="UZO39" s="427"/>
      <c r="UZP39" s="424"/>
      <c r="UZQ39" s="427"/>
      <c r="UZR39" s="424"/>
      <c r="UZS39" s="427"/>
      <c r="UZT39" s="424"/>
      <c r="UZU39" s="427"/>
      <c r="UZV39" s="424"/>
      <c r="UZW39" s="427"/>
      <c r="UZX39" s="424"/>
      <c r="UZY39" s="427"/>
      <c r="UZZ39" s="424"/>
      <c r="VAA39" s="427"/>
      <c r="VAB39" s="424"/>
      <c r="VAC39" s="427"/>
      <c r="VAD39" s="424"/>
      <c r="VAE39" s="427"/>
      <c r="VAF39" s="424"/>
      <c r="VAG39" s="427"/>
      <c r="VAH39" s="424"/>
      <c r="VAI39" s="427"/>
      <c r="VAJ39" s="424"/>
      <c r="VAK39" s="427"/>
      <c r="VAL39" s="424"/>
      <c r="VAM39" s="427"/>
      <c r="VAN39" s="424"/>
      <c r="VAO39" s="427"/>
      <c r="VAP39" s="424"/>
      <c r="VAQ39" s="427"/>
      <c r="VAR39" s="424"/>
      <c r="VAS39" s="427"/>
      <c r="VAT39" s="424"/>
      <c r="VAU39" s="427"/>
      <c r="VAV39" s="424"/>
      <c r="VAW39" s="427"/>
      <c r="VAX39" s="424"/>
      <c r="VAY39" s="427"/>
      <c r="VAZ39" s="424"/>
      <c r="VBA39" s="427"/>
      <c r="VBB39" s="424"/>
      <c r="VBC39" s="427"/>
      <c r="VBD39" s="424"/>
      <c r="VBE39" s="427"/>
      <c r="VBF39" s="424"/>
      <c r="VBG39" s="427"/>
      <c r="VBH39" s="424"/>
      <c r="VBI39" s="427"/>
      <c r="VBJ39" s="424"/>
      <c r="VBK39" s="427"/>
      <c r="VBL39" s="424"/>
      <c r="VBM39" s="427"/>
      <c r="VBN39" s="424"/>
      <c r="VBO39" s="427"/>
      <c r="VBP39" s="424"/>
      <c r="VBQ39" s="427"/>
      <c r="VBR39" s="424"/>
      <c r="VBS39" s="427"/>
      <c r="VBT39" s="424"/>
      <c r="VBU39" s="427"/>
      <c r="VBV39" s="424"/>
      <c r="VBW39" s="427"/>
      <c r="VBX39" s="424"/>
      <c r="VBY39" s="427"/>
      <c r="VBZ39" s="424"/>
      <c r="VCA39" s="427"/>
      <c r="VCB39" s="424"/>
      <c r="VCC39" s="427"/>
      <c r="VCD39" s="424"/>
      <c r="VCE39" s="427"/>
      <c r="VCF39" s="424"/>
      <c r="VCG39" s="427"/>
      <c r="VCH39" s="424"/>
      <c r="VCI39" s="427"/>
      <c r="VCJ39" s="424"/>
      <c r="VCK39" s="427"/>
      <c r="VCL39" s="424"/>
      <c r="VCM39" s="427"/>
      <c r="VCN39" s="424"/>
      <c r="VCO39" s="427"/>
      <c r="VCP39" s="424"/>
      <c r="VCQ39" s="427"/>
      <c r="VCR39" s="424"/>
      <c r="VCS39" s="427"/>
      <c r="VCT39" s="424"/>
      <c r="VCU39" s="427"/>
      <c r="VCV39" s="424"/>
      <c r="VCW39" s="427"/>
      <c r="VCX39" s="424"/>
      <c r="VCY39" s="427"/>
      <c r="VCZ39" s="424"/>
      <c r="VDA39" s="427"/>
      <c r="VDB39" s="424"/>
      <c r="VDC39" s="427"/>
      <c r="VDD39" s="424"/>
      <c r="VDE39" s="427"/>
      <c r="VDF39" s="424"/>
      <c r="VDG39" s="427"/>
      <c r="VDH39" s="424"/>
      <c r="VDI39" s="427"/>
      <c r="VDJ39" s="424"/>
      <c r="VDK39" s="427"/>
      <c r="VDL39" s="424"/>
      <c r="VDM39" s="427"/>
      <c r="VDN39" s="424"/>
      <c r="VDO39" s="427"/>
      <c r="VDP39" s="424"/>
      <c r="VDQ39" s="427"/>
      <c r="VDR39" s="424"/>
      <c r="VDS39" s="427"/>
      <c r="VDT39" s="424"/>
      <c r="VDU39" s="427"/>
      <c r="VDV39" s="424"/>
      <c r="VDW39" s="427"/>
      <c r="VDX39" s="424"/>
      <c r="VDY39" s="427"/>
      <c r="VDZ39" s="424"/>
      <c r="VEA39" s="427"/>
      <c r="VEB39" s="424"/>
      <c r="VEC39" s="427"/>
      <c r="VED39" s="424"/>
      <c r="VEE39" s="427"/>
      <c r="VEF39" s="424"/>
      <c r="VEG39" s="427"/>
      <c r="VEH39" s="424"/>
      <c r="VEI39" s="427"/>
      <c r="VEJ39" s="424"/>
      <c r="VEK39" s="427"/>
      <c r="VEL39" s="424"/>
      <c r="VEM39" s="427"/>
      <c r="VEN39" s="424"/>
      <c r="VEO39" s="427"/>
      <c r="VEP39" s="424"/>
      <c r="VEQ39" s="427"/>
      <c r="VER39" s="424"/>
      <c r="VES39" s="427"/>
      <c r="VET39" s="424"/>
      <c r="VEU39" s="427"/>
      <c r="VEV39" s="424"/>
      <c r="VEW39" s="427"/>
      <c r="VEX39" s="424"/>
      <c r="VEY39" s="427"/>
      <c r="VEZ39" s="424"/>
      <c r="VFA39" s="427"/>
      <c r="VFB39" s="424"/>
      <c r="VFC39" s="427"/>
      <c r="VFD39" s="424"/>
      <c r="VFE39" s="427"/>
      <c r="VFF39" s="424"/>
      <c r="VFG39" s="427"/>
      <c r="VFH39" s="424"/>
      <c r="VFI39" s="427"/>
      <c r="VFJ39" s="424"/>
      <c r="VFK39" s="427"/>
      <c r="VFL39" s="424"/>
      <c r="VFM39" s="427"/>
      <c r="VFN39" s="424"/>
      <c r="VFO39" s="427"/>
      <c r="VFP39" s="424"/>
      <c r="VFQ39" s="427"/>
      <c r="VFR39" s="424"/>
      <c r="VFS39" s="427"/>
      <c r="VFT39" s="424"/>
      <c r="VFU39" s="427"/>
      <c r="VFV39" s="424"/>
      <c r="VFW39" s="427"/>
      <c r="VFX39" s="424"/>
      <c r="VFY39" s="427"/>
      <c r="VFZ39" s="424"/>
      <c r="VGA39" s="427"/>
      <c r="VGB39" s="424"/>
      <c r="VGC39" s="427"/>
      <c r="VGD39" s="424"/>
      <c r="VGE39" s="427"/>
      <c r="VGF39" s="424"/>
      <c r="VGG39" s="427"/>
      <c r="VGH39" s="424"/>
      <c r="VGI39" s="427"/>
      <c r="VGJ39" s="424"/>
      <c r="VGK39" s="427"/>
      <c r="VGL39" s="424"/>
      <c r="VGM39" s="427"/>
      <c r="VGN39" s="424"/>
      <c r="VGO39" s="427"/>
      <c r="VGP39" s="424"/>
      <c r="VGQ39" s="427"/>
      <c r="VGR39" s="424"/>
      <c r="VGS39" s="427"/>
      <c r="VGT39" s="424"/>
      <c r="VGU39" s="427"/>
      <c r="VGV39" s="424"/>
      <c r="VGW39" s="427"/>
      <c r="VGX39" s="424"/>
      <c r="VGY39" s="427"/>
      <c r="VGZ39" s="424"/>
      <c r="VHA39" s="427"/>
      <c r="VHB39" s="424"/>
      <c r="VHC39" s="427"/>
      <c r="VHD39" s="424"/>
      <c r="VHE39" s="427"/>
      <c r="VHF39" s="424"/>
      <c r="VHG39" s="427"/>
      <c r="VHH39" s="424"/>
      <c r="VHI39" s="427"/>
      <c r="VHJ39" s="424"/>
      <c r="VHK39" s="427"/>
      <c r="VHL39" s="424"/>
      <c r="VHM39" s="427"/>
      <c r="VHN39" s="424"/>
      <c r="VHO39" s="427"/>
      <c r="VHP39" s="424"/>
      <c r="VHQ39" s="427"/>
      <c r="VHR39" s="424"/>
      <c r="VHS39" s="427"/>
      <c r="VHT39" s="424"/>
      <c r="VHU39" s="427"/>
      <c r="VHV39" s="424"/>
      <c r="VHW39" s="427"/>
      <c r="VHX39" s="424"/>
      <c r="VHY39" s="427"/>
      <c r="VHZ39" s="424"/>
      <c r="VIA39" s="427"/>
      <c r="VIB39" s="424"/>
      <c r="VIC39" s="427"/>
      <c r="VID39" s="424"/>
      <c r="VIE39" s="427"/>
      <c r="VIF39" s="424"/>
      <c r="VIG39" s="427"/>
      <c r="VIH39" s="424"/>
      <c r="VII39" s="427"/>
      <c r="VIJ39" s="424"/>
      <c r="VIK39" s="427"/>
      <c r="VIL39" s="424"/>
      <c r="VIM39" s="427"/>
      <c r="VIN39" s="424"/>
      <c r="VIO39" s="427"/>
      <c r="VIP39" s="424"/>
      <c r="VIQ39" s="427"/>
      <c r="VIR39" s="424"/>
      <c r="VIS39" s="427"/>
      <c r="VIT39" s="424"/>
      <c r="VIU39" s="427"/>
      <c r="VIV39" s="424"/>
      <c r="VIW39" s="427"/>
      <c r="VIX39" s="424"/>
      <c r="VIY39" s="427"/>
      <c r="VIZ39" s="424"/>
      <c r="VJA39" s="427"/>
      <c r="VJB39" s="424"/>
      <c r="VJC39" s="427"/>
      <c r="VJD39" s="424"/>
      <c r="VJE39" s="427"/>
      <c r="VJF39" s="424"/>
      <c r="VJG39" s="427"/>
      <c r="VJH39" s="424"/>
      <c r="VJI39" s="427"/>
      <c r="VJJ39" s="424"/>
      <c r="VJK39" s="427"/>
      <c r="VJL39" s="424"/>
      <c r="VJM39" s="427"/>
      <c r="VJN39" s="424"/>
      <c r="VJO39" s="427"/>
      <c r="VJP39" s="424"/>
      <c r="VJQ39" s="427"/>
      <c r="VJR39" s="424"/>
      <c r="VJS39" s="427"/>
      <c r="VJT39" s="424"/>
      <c r="VJU39" s="427"/>
      <c r="VJV39" s="424"/>
      <c r="VJW39" s="427"/>
      <c r="VJX39" s="424"/>
      <c r="VJY39" s="427"/>
      <c r="VJZ39" s="424"/>
      <c r="VKA39" s="427"/>
      <c r="VKB39" s="424"/>
      <c r="VKC39" s="427"/>
      <c r="VKD39" s="424"/>
      <c r="VKE39" s="427"/>
      <c r="VKF39" s="424"/>
      <c r="VKG39" s="427"/>
      <c r="VKH39" s="424"/>
      <c r="VKI39" s="427"/>
      <c r="VKJ39" s="424"/>
      <c r="VKK39" s="427"/>
      <c r="VKL39" s="424"/>
      <c r="VKM39" s="427"/>
      <c r="VKN39" s="424"/>
      <c r="VKO39" s="427"/>
      <c r="VKP39" s="424"/>
      <c r="VKQ39" s="427"/>
      <c r="VKR39" s="424"/>
      <c r="VKS39" s="427"/>
      <c r="VKT39" s="424"/>
      <c r="VKU39" s="427"/>
      <c r="VKV39" s="424"/>
      <c r="VKW39" s="427"/>
      <c r="VKX39" s="424"/>
      <c r="VKY39" s="427"/>
      <c r="VKZ39" s="424"/>
      <c r="VLA39" s="427"/>
      <c r="VLB39" s="424"/>
      <c r="VLC39" s="427"/>
      <c r="VLD39" s="424"/>
      <c r="VLE39" s="427"/>
      <c r="VLF39" s="424"/>
      <c r="VLG39" s="427"/>
      <c r="VLH39" s="424"/>
      <c r="VLI39" s="427"/>
      <c r="VLJ39" s="424"/>
      <c r="VLK39" s="427"/>
      <c r="VLL39" s="424"/>
      <c r="VLM39" s="427"/>
      <c r="VLN39" s="424"/>
      <c r="VLO39" s="427"/>
      <c r="VLP39" s="424"/>
      <c r="VLQ39" s="427"/>
      <c r="VLR39" s="424"/>
      <c r="VLS39" s="427"/>
      <c r="VLT39" s="424"/>
      <c r="VLU39" s="427"/>
      <c r="VLV39" s="424"/>
      <c r="VLW39" s="427"/>
      <c r="VLX39" s="424"/>
      <c r="VLY39" s="427"/>
      <c r="VLZ39" s="424"/>
      <c r="VMA39" s="427"/>
      <c r="VMB39" s="424"/>
      <c r="VMC39" s="427"/>
      <c r="VMD39" s="424"/>
      <c r="VME39" s="427"/>
      <c r="VMF39" s="424"/>
      <c r="VMG39" s="427"/>
      <c r="VMH39" s="424"/>
      <c r="VMI39" s="427"/>
      <c r="VMJ39" s="424"/>
      <c r="VMK39" s="427"/>
      <c r="VML39" s="424"/>
      <c r="VMM39" s="427"/>
      <c r="VMN39" s="424"/>
      <c r="VMO39" s="427"/>
      <c r="VMP39" s="424"/>
      <c r="VMQ39" s="427"/>
      <c r="VMR39" s="424"/>
      <c r="VMS39" s="427"/>
      <c r="VMT39" s="424"/>
      <c r="VMU39" s="427"/>
      <c r="VMV39" s="424"/>
      <c r="VMW39" s="427"/>
      <c r="VMX39" s="424"/>
      <c r="VMY39" s="427"/>
      <c r="VMZ39" s="424"/>
      <c r="VNA39" s="427"/>
      <c r="VNB39" s="424"/>
      <c r="VNC39" s="427"/>
      <c r="VND39" s="424"/>
      <c r="VNE39" s="427"/>
      <c r="VNF39" s="424"/>
      <c r="VNG39" s="427"/>
      <c r="VNH39" s="424"/>
      <c r="VNI39" s="427"/>
      <c r="VNJ39" s="424"/>
      <c r="VNK39" s="427"/>
      <c r="VNL39" s="424"/>
      <c r="VNM39" s="427"/>
      <c r="VNN39" s="424"/>
      <c r="VNO39" s="427"/>
      <c r="VNP39" s="424"/>
      <c r="VNQ39" s="427"/>
      <c r="VNR39" s="424"/>
      <c r="VNS39" s="427"/>
      <c r="VNT39" s="424"/>
      <c r="VNU39" s="427"/>
      <c r="VNV39" s="424"/>
      <c r="VNW39" s="427"/>
      <c r="VNX39" s="424"/>
      <c r="VNY39" s="427"/>
      <c r="VNZ39" s="424"/>
      <c r="VOA39" s="427"/>
      <c r="VOB39" s="424"/>
      <c r="VOC39" s="427"/>
      <c r="VOD39" s="424"/>
      <c r="VOE39" s="427"/>
      <c r="VOF39" s="424"/>
      <c r="VOG39" s="427"/>
      <c r="VOH39" s="424"/>
      <c r="VOI39" s="427"/>
      <c r="VOJ39" s="424"/>
      <c r="VOK39" s="427"/>
      <c r="VOL39" s="424"/>
      <c r="VOM39" s="427"/>
      <c r="VON39" s="424"/>
      <c r="VOO39" s="427"/>
      <c r="VOP39" s="424"/>
      <c r="VOQ39" s="427"/>
      <c r="VOR39" s="424"/>
      <c r="VOS39" s="427"/>
      <c r="VOT39" s="424"/>
      <c r="VOU39" s="427"/>
      <c r="VOV39" s="424"/>
      <c r="VOW39" s="427"/>
      <c r="VOX39" s="424"/>
      <c r="VOY39" s="427"/>
      <c r="VOZ39" s="424"/>
      <c r="VPA39" s="427"/>
      <c r="VPB39" s="424"/>
      <c r="VPC39" s="427"/>
      <c r="VPD39" s="424"/>
      <c r="VPE39" s="427"/>
      <c r="VPF39" s="424"/>
      <c r="VPG39" s="427"/>
      <c r="VPH39" s="424"/>
      <c r="VPI39" s="427"/>
      <c r="VPJ39" s="424"/>
      <c r="VPK39" s="427"/>
      <c r="VPL39" s="424"/>
      <c r="VPM39" s="427"/>
      <c r="VPN39" s="424"/>
      <c r="VPO39" s="427"/>
      <c r="VPP39" s="424"/>
      <c r="VPQ39" s="427"/>
      <c r="VPR39" s="424"/>
      <c r="VPS39" s="427"/>
      <c r="VPT39" s="424"/>
      <c r="VPU39" s="427"/>
      <c r="VPV39" s="424"/>
      <c r="VPW39" s="427"/>
      <c r="VPX39" s="424"/>
      <c r="VPY39" s="427"/>
      <c r="VPZ39" s="424"/>
      <c r="VQA39" s="427"/>
      <c r="VQB39" s="424"/>
      <c r="VQC39" s="427"/>
      <c r="VQD39" s="424"/>
      <c r="VQE39" s="427"/>
      <c r="VQF39" s="424"/>
      <c r="VQG39" s="427"/>
      <c r="VQH39" s="424"/>
      <c r="VQI39" s="427"/>
      <c r="VQJ39" s="424"/>
      <c r="VQK39" s="427"/>
      <c r="VQL39" s="424"/>
      <c r="VQM39" s="427"/>
      <c r="VQN39" s="424"/>
      <c r="VQO39" s="427"/>
      <c r="VQP39" s="424"/>
      <c r="VQQ39" s="427"/>
      <c r="VQR39" s="424"/>
      <c r="VQS39" s="427"/>
      <c r="VQT39" s="424"/>
      <c r="VQU39" s="427"/>
      <c r="VQV39" s="424"/>
      <c r="VQW39" s="427"/>
      <c r="VQX39" s="424"/>
      <c r="VQY39" s="427"/>
      <c r="VQZ39" s="424"/>
      <c r="VRA39" s="427"/>
      <c r="VRB39" s="424"/>
      <c r="VRC39" s="427"/>
      <c r="VRD39" s="424"/>
      <c r="VRE39" s="427"/>
      <c r="VRF39" s="424"/>
      <c r="VRG39" s="427"/>
      <c r="VRH39" s="424"/>
      <c r="VRI39" s="427"/>
      <c r="VRJ39" s="424"/>
      <c r="VRK39" s="427"/>
      <c r="VRL39" s="424"/>
      <c r="VRM39" s="427"/>
      <c r="VRN39" s="424"/>
      <c r="VRO39" s="427"/>
      <c r="VRP39" s="424"/>
      <c r="VRQ39" s="427"/>
      <c r="VRR39" s="424"/>
      <c r="VRS39" s="427"/>
      <c r="VRT39" s="424"/>
      <c r="VRU39" s="427"/>
      <c r="VRV39" s="424"/>
      <c r="VRW39" s="427"/>
      <c r="VRX39" s="424"/>
      <c r="VRY39" s="427"/>
      <c r="VRZ39" s="424"/>
      <c r="VSA39" s="427"/>
      <c r="VSB39" s="424"/>
      <c r="VSC39" s="427"/>
      <c r="VSD39" s="424"/>
      <c r="VSE39" s="427"/>
      <c r="VSF39" s="424"/>
      <c r="VSG39" s="427"/>
      <c r="VSH39" s="424"/>
      <c r="VSI39" s="427"/>
      <c r="VSJ39" s="424"/>
      <c r="VSK39" s="427"/>
      <c r="VSL39" s="424"/>
      <c r="VSM39" s="427"/>
      <c r="VSN39" s="424"/>
      <c r="VSO39" s="427"/>
      <c r="VSP39" s="424"/>
      <c r="VSQ39" s="427"/>
      <c r="VSR39" s="424"/>
      <c r="VSS39" s="427"/>
      <c r="VST39" s="424"/>
      <c r="VSU39" s="427"/>
      <c r="VSV39" s="424"/>
      <c r="VSW39" s="427"/>
      <c r="VSX39" s="424"/>
      <c r="VSY39" s="427"/>
      <c r="VSZ39" s="424"/>
      <c r="VTA39" s="427"/>
      <c r="VTB39" s="424"/>
      <c r="VTC39" s="427"/>
      <c r="VTD39" s="424"/>
      <c r="VTE39" s="427"/>
      <c r="VTF39" s="424"/>
      <c r="VTG39" s="427"/>
      <c r="VTH39" s="424"/>
      <c r="VTI39" s="427"/>
      <c r="VTJ39" s="424"/>
      <c r="VTK39" s="427"/>
      <c r="VTL39" s="424"/>
      <c r="VTM39" s="427"/>
      <c r="VTN39" s="424"/>
      <c r="VTO39" s="427"/>
      <c r="VTP39" s="424"/>
      <c r="VTQ39" s="427"/>
      <c r="VTR39" s="424"/>
      <c r="VTS39" s="427"/>
      <c r="VTT39" s="424"/>
      <c r="VTU39" s="427"/>
      <c r="VTV39" s="424"/>
      <c r="VTW39" s="427"/>
      <c r="VTX39" s="424"/>
      <c r="VTY39" s="427"/>
      <c r="VTZ39" s="424"/>
      <c r="VUA39" s="427"/>
      <c r="VUB39" s="424"/>
      <c r="VUC39" s="427"/>
      <c r="VUD39" s="424"/>
      <c r="VUE39" s="427"/>
      <c r="VUF39" s="424"/>
      <c r="VUG39" s="427"/>
      <c r="VUH39" s="424"/>
      <c r="VUI39" s="427"/>
      <c r="VUJ39" s="424"/>
      <c r="VUK39" s="427"/>
      <c r="VUL39" s="424"/>
      <c r="VUM39" s="427"/>
      <c r="VUN39" s="424"/>
      <c r="VUO39" s="427"/>
      <c r="VUP39" s="424"/>
      <c r="VUQ39" s="427"/>
      <c r="VUR39" s="424"/>
      <c r="VUS39" s="427"/>
      <c r="VUT39" s="424"/>
      <c r="VUU39" s="427"/>
      <c r="VUV39" s="424"/>
      <c r="VUW39" s="427"/>
      <c r="VUX39" s="424"/>
      <c r="VUY39" s="427"/>
      <c r="VUZ39" s="424"/>
      <c r="VVA39" s="427"/>
      <c r="VVB39" s="424"/>
      <c r="VVC39" s="427"/>
      <c r="VVD39" s="424"/>
      <c r="VVE39" s="427"/>
      <c r="VVF39" s="424"/>
      <c r="VVG39" s="427"/>
      <c r="VVH39" s="424"/>
      <c r="VVI39" s="427"/>
      <c r="VVJ39" s="424"/>
      <c r="VVK39" s="427"/>
      <c r="VVL39" s="424"/>
      <c r="VVM39" s="427"/>
      <c r="VVN39" s="424"/>
      <c r="VVO39" s="427"/>
      <c r="VVP39" s="424"/>
      <c r="VVQ39" s="427"/>
      <c r="VVR39" s="424"/>
      <c r="VVS39" s="427"/>
      <c r="VVT39" s="424"/>
      <c r="VVU39" s="427"/>
      <c r="VVV39" s="424"/>
      <c r="VVW39" s="427"/>
      <c r="VVX39" s="424"/>
      <c r="VVY39" s="427"/>
      <c r="VVZ39" s="424"/>
      <c r="VWA39" s="427"/>
      <c r="VWB39" s="424"/>
      <c r="VWC39" s="427"/>
      <c r="VWD39" s="424"/>
      <c r="VWE39" s="427"/>
      <c r="VWF39" s="424"/>
      <c r="VWG39" s="427"/>
      <c r="VWH39" s="424"/>
      <c r="VWI39" s="427"/>
      <c r="VWJ39" s="424"/>
      <c r="VWK39" s="427"/>
      <c r="VWL39" s="424"/>
      <c r="VWM39" s="427"/>
      <c r="VWN39" s="424"/>
      <c r="VWO39" s="427"/>
      <c r="VWP39" s="424"/>
      <c r="VWQ39" s="427"/>
      <c r="VWR39" s="424"/>
      <c r="VWS39" s="427"/>
      <c r="VWT39" s="424"/>
      <c r="VWU39" s="427"/>
      <c r="VWV39" s="424"/>
      <c r="VWW39" s="427"/>
      <c r="VWX39" s="424"/>
      <c r="VWY39" s="427"/>
      <c r="VWZ39" s="424"/>
      <c r="VXA39" s="427"/>
      <c r="VXB39" s="424"/>
      <c r="VXC39" s="427"/>
      <c r="VXD39" s="424"/>
      <c r="VXE39" s="427"/>
      <c r="VXF39" s="424"/>
      <c r="VXG39" s="427"/>
      <c r="VXH39" s="424"/>
      <c r="VXI39" s="427"/>
      <c r="VXJ39" s="424"/>
      <c r="VXK39" s="427"/>
      <c r="VXL39" s="424"/>
      <c r="VXM39" s="427"/>
      <c r="VXN39" s="424"/>
      <c r="VXO39" s="427"/>
      <c r="VXP39" s="424"/>
      <c r="VXQ39" s="427"/>
      <c r="VXR39" s="424"/>
      <c r="VXS39" s="427"/>
      <c r="VXT39" s="424"/>
      <c r="VXU39" s="427"/>
      <c r="VXV39" s="424"/>
      <c r="VXW39" s="427"/>
      <c r="VXX39" s="424"/>
      <c r="VXY39" s="427"/>
      <c r="VXZ39" s="424"/>
      <c r="VYA39" s="427"/>
      <c r="VYB39" s="424"/>
      <c r="VYC39" s="427"/>
      <c r="VYD39" s="424"/>
      <c r="VYE39" s="427"/>
      <c r="VYF39" s="424"/>
      <c r="VYG39" s="427"/>
      <c r="VYH39" s="424"/>
      <c r="VYI39" s="427"/>
      <c r="VYJ39" s="424"/>
      <c r="VYK39" s="427"/>
      <c r="VYL39" s="424"/>
      <c r="VYM39" s="427"/>
      <c r="VYN39" s="424"/>
      <c r="VYO39" s="427"/>
      <c r="VYP39" s="424"/>
      <c r="VYQ39" s="427"/>
      <c r="VYR39" s="424"/>
      <c r="VYS39" s="427"/>
      <c r="VYT39" s="424"/>
      <c r="VYU39" s="427"/>
      <c r="VYV39" s="424"/>
      <c r="VYW39" s="427"/>
      <c r="VYX39" s="424"/>
      <c r="VYY39" s="427"/>
      <c r="VYZ39" s="424"/>
      <c r="VZA39" s="427"/>
      <c r="VZB39" s="424"/>
      <c r="VZC39" s="427"/>
      <c r="VZD39" s="424"/>
      <c r="VZE39" s="427"/>
      <c r="VZF39" s="424"/>
      <c r="VZG39" s="427"/>
      <c r="VZH39" s="424"/>
      <c r="VZI39" s="427"/>
      <c r="VZJ39" s="424"/>
      <c r="VZK39" s="427"/>
      <c r="VZL39" s="424"/>
      <c r="VZM39" s="427"/>
      <c r="VZN39" s="424"/>
      <c r="VZO39" s="427"/>
      <c r="VZP39" s="424"/>
      <c r="VZQ39" s="427"/>
      <c r="VZR39" s="424"/>
      <c r="VZS39" s="427"/>
      <c r="VZT39" s="424"/>
      <c r="VZU39" s="427"/>
      <c r="VZV39" s="424"/>
      <c r="VZW39" s="427"/>
      <c r="VZX39" s="424"/>
      <c r="VZY39" s="427"/>
      <c r="VZZ39" s="424"/>
      <c r="WAA39" s="427"/>
      <c r="WAB39" s="424"/>
      <c r="WAC39" s="427"/>
      <c r="WAD39" s="424"/>
      <c r="WAE39" s="427"/>
      <c r="WAF39" s="424"/>
      <c r="WAG39" s="427"/>
      <c r="WAH39" s="424"/>
      <c r="WAI39" s="427"/>
      <c r="WAJ39" s="424"/>
      <c r="WAK39" s="427"/>
      <c r="WAL39" s="424"/>
      <c r="WAM39" s="427"/>
      <c r="WAN39" s="424"/>
      <c r="WAO39" s="427"/>
      <c r="WAP39" s="424"/>
      <c r="WAQ39" s="427"/>
      <c r="WAR39" s="424"/>
      <c r="WAS39" s="427"/>
      <c r="WAT39" s="424"/>
      <c r="WAU39" s="427"/>
      <c r="WAV39" s="424"/>
      <c r="WAW39" s="427"/>
      <c r="WAX39" s="424"/>
      <c r="WAY39" s="427"/>
      <c r="WAZ39" s="424"/>
      <c r="WBA39" s="427"/>
      <c r="WBB39" s="424"/>
      <c r="WBC39" s="427"/>
      <c r="WBD39" s="424"/>
      <c r="WBE39" s="427"/>
      <c r="WBF39" s="424"/>
      <c r="WBG39" s="427"/>
      <c r="WBH39" s="424"/>
      <c r="WBI39" s="427"/>
      <c r="WBJ39" s="424"/>
      <c r="WBK39" s="427"/>
      <c r="WBL39" s="424"/>
      <c r="WBM39" s="427"/>
      <c r="WBN39" s="424"/>
      <c r="WBO39" s="427"/>
      <c r="WBP39" s="424"/>
      <c r="WBQ39" s="427"/>
      <c r="WBR39" s="424"/>
      <c r="WBS39" s="427"/>
      <c r="WBT39" s="424"/>
      <c r="WBU39" s="427"/>
      <c r="WBV39" s="424"/>
      <c r="WBW39" s="427"/>
      <c r="WBX39" s="424"/>
      <c r="WBY39" s="427"/>
      <c r="WBZ39" s="424"/>
      <c r="WCA39" s="427"/>
      <c r="WCB39" s="424"/>
      <c r="WCC39" s="427"/>
      <c r="WCD39" s="424"/>
      <c r="WCE39" s="427"/>
      <c r="WCF39" s="424"/>
      <c r="WCG39" s="427"/>
      <c r="WCH39" s="424"/>
      <c r="WCI39" s="427"/>
      <c r="WCJ39" s="424"/>
      <c r="WCK39" s="427"/>
      <c r="WCL39" s="424"/>
      <c r="WCM39" s="427"/>
      <c r="WCN39" s="424"/>
      <c r="WCO39" s="427"/>
      <c r="WCP39" s="424"/>
      <c r="WCQ39" s="427"/>
      <c r="WCR39" s="424"/>
      <c r="WCS39" s="427"/>
      <c r="WCT39" s="424"/>
      <c r="WCU39" s="427"/>
      <c r="WCV39" s="424"/>
      <c r="WCW39" s="427"/>
      <c r="WCX39" s="424"/>
      <c r="WCY39" s="427"/>
      <c r="WCZ39" s="424"/>
      <c r="WDA39" s="427"/>
      <c r="WDB39" s="424"/>
      <c r="WDC39" s="427"/>
      <c r="WDD39" s="424"/>
      <c r="WDE39" s="427"/>
      <c r="WDF39" s="424"/>
      <c r="WDG39" s="427"/>
      <c r="WDH39" s="424"/>
      <c r="WDI39" s="427"/>
      <c r="WDJ39" s="424"/>
      <c r="WDK39" s="427"/>
      <c r="WDL39" s="424"/>
      <c r="WDM39" s="427"/>
      <c r="WDN39" s="424"/>
      <c r="WDO39" s="427"/>
      <c r="WDP39" s="424"/>
      <c r="WDQ39" s="427"/>
      <c r="WDR39" s="424"/>
      <c r="WDS39" s="427"/>
      <c r="WDT39" s="424"/>
      <c r="WDU39" s="427"/>
      <c r="WDV39" s="424"/>
      <c r="WDW39" s="427"/>
      <c r="WDX39" s="424"/>
      <c r="WDY39" s="427"/>
      <c r="WDZ39" s="424"/>
      <c r="WEA39" s="427"/>
      <c r="WEB39" s="424"/>
      <c r="WEC39" s="427"/>
      <c r="WED39" s="424"/>
      <c r="WEE39" s="427"/>
      <c r="WEF39" s="424"/>
      <c r="WEG39" s="427"/>
      <c r="WEH39" s="424"/>
      <c r="WEI39" s="427"/>
      <c r="WEJ39" s="424"/>
      <c r="WEK39" s="427"/>
      <c r="WEL39" s="424"/>
      <c r="WEM39" s="427"/>
      <c r="WEN39" s="424"/>
      <c r="WEO39" s="427"/>
      <c r="WEP39" s="424"/>
      <c r="WEQ39" s="427"/>
      <c r="WER39" s="424"/>
      <c r="WES39" s="427"/>
      <c r="WET39" s="424"/>
      <c r="WEU39" s="427"/>
      <c r="WEV39" s="424"/>
      <c r="WEW39" s="427"/>
      <c r="WEX39" s="424"/>
      <c r="WEY39" s="427"/>
      <c r="WEZ39" s="424"/>
      <c r="WFA39" s="427"/>
      <c r="WFB39" s="424"/>
      <c r="WFC39" s="427"/>
      <c r="WFD39" s="424"/>
      <c r="WFE39" s="427"/>
      <c r="WFF39" s="424"/>
      <c r="WFG39" s="427"/>
      <c r="WFH39" s="424"/>
      <c r="WFI39" s="427"/>
      <c r="WFJ39" s="424"/>
      <c r="WFK39" s="427"/>
      <c r="WFL39" s="424"/>
      <c r="WFM39" s="427"/>
      <c r="WFN39" s="424"/>
      <c r="WFO39" s="427"/>
      <c r="WFP39" s="424"/>
      <c r="WFQ39" s="427"/>
      <c r="WFR39" s="424"/>
      <c r="WFS39" s="427"/>
      <c r="WFT39" s="424"/>
      <c r="WFU39" s="427"/>
      <c r="WFV39" s="424"/>
      <c r="WFW39" s="427"/>
      <c r="WFX39" s="424"/>
      <c r="WFY39" s="427"/>
      <c r="WFZ39" s="424"/>
      <c r="WGA39" s="427"/>
      <c r="WGB39" s="424"/>
      <c r="WGC39" s="427"/>
      <c r="WGD39" s="424"/>
      <c r="WGE39" s="427"/>
      <c r="WGF39" s="424"/>
      <c r="WGG39" s="427"/>
      <c r="WGH39" s="424"/>
      <c r="WGI39" s="427"/>
      <c r="WGJ39" s="424"/>
      <c r="WGK39" s="427"/>
      <c r="WGL39" s="424"/>
      <c r="WGM39" s="427"/>
      <c r="WGN39" s="424"/>
      <c r="WGO39" s="427"/>
      <c r="WGP39" s="424"/>
      <c r="WGQ39" s="427"/>
      <c r="WGR39" s="424"/>
      <c r="WGS39" s="427"/>
      <c r="WGT39" s="424"/>
      <c r="WGU39" s="427"/>
      <c r="WGV39" s="424"/>
      <c r="WGW39" s="427"/>
      <c r="WGX39" s="424"/>
      <c r="WGY39" s="427"/>
      <c r="WGZ39" s="424"/>
      <c r="WHA39" s="427"/>
      <c r="WHB39" s="424"/>
      <c r="WHC39" s="427"/>
      <c r="WHD39" s="424"/>
      <c r="WHE39" s="427"/>
      <c r="WHF39" s="424"/>
      <c r="WHG39" s="427"/>
      <c r="WHH39" s="424"/>
      <c r="WHI39" s="427"/>
      <c r="WHJ39" s="424"/>
      <c r="WHK39" s="427"/>
      <c r="WHL39" s="424"/>
      <c r="WHM39" s="427"/>
      <c r="WHN39" s="424"/>
      <c r="WHO39" s="427"/>
      <c r="WHP39" s="424"/>
      <c r="WHQ39" s="427"/>
      <c r="WHR39" s="424"/>
      <c r="WHS39" s="427"/>
      <c r="WHT39" s="424"/>
      <c r="WHU39" s="427"/>
      <c r="WHV39" s="424"/>
      <c r="WHW39" s="427"/>
      <c r="WHX39" s="424"/>
      <c r="WHY39" s="427"/>
      <c r="WHZ39" s="424"/>
      <c r="WIA39" s="427"/>
      <c r="WIB39" s="424"/>
      <c r="WIC39" s="427"/>
      <c r="WID39" s="424"/>
      <c r="WIE39" s="427"/>
      <c r="WIF39" s="424"/>
      <c r="WIG39" s="427"/>
      <c r="WIH39" s="424"/>
      <c r="WII39" s="427"/>
      <c r="WIJ39" s="424"/>
      <c r="WIK39" s="427"/>
      <c r="WIL39" s="424"/>
      <c r="WIM39" s="427"/>
      <c r="WIN39" s="424"/>
      <c r="WIO39" s="427"/>
      <c r="WIP39" s="424"/>
      <c r="WIQ39" s="427"/>
      <c r="WIR39" s="424"/>
      <c r="WIS39" s="427"/>
      <c r="WIT39" s="424"/>
      <c r="WIU39" s="427"/>
      <c r="WIV39" s="424"/>
      <c r="WIW39" s="427"/>
      <c r="WIX39" s="424"/>
      <c r="WIY39" s="427"/>
      <c r="WIZ39" s="424"/>
      <c r="WJA39" s="427"/>
      <c r="WJB39" s="424"/>
      <c r="WJC39" s="427"/>
      <c r="WJD39" s="424"/>
      <c r="WJE39" s="427"/>
      <c r="WJF39" s="424"/>
      <c r="WJG39" s="427"/>
      <c r="WJH39" s="424"/>
      <c r="WJI39" s="427"/>
      <c r="WJJ39" s="424"/>
      <c r="WJK39" s="427"/>
      <c r="WJL39" s="424"/>
      <c r="WJM39" s="427"/>
      <c r="WJN39" s="424"/>
      <c r="WJO39" s="427"/>
      <c r="WJP39" s="424"/>
      <c r="WJQ39" s="427"/>
      <c r="WJR39" s="424"/>
      <c r="WJS39" s="427"/>
      <c r="WJT39" s="424"/>
      <c r="WJU39" s="427"/>
      <c r="WJV39" s="424"/>
      <c r="WJW39" s="427"/>
      <c r="WJX39" s="424"/>
      <c r="WJY39" s="427"/>
      <c r="WJZ39" s="424"/>
      <c r="WKA39" s="427"/>
      <c r="WKB39" s="424"/>
      <c r="WKC39" s="427"/>
      <c r="WKD39" s="424"/>
      <c r="WKE39" s="427"/>
      <c r="WKF39" s="424"/>
      <c r="WKG39" s="427"/>
      <c r="WKH39" s="424"/>
      <c r="WKI39" s="427"/>
      <c r="WKJ39" s="424"/>
      <c r="WKK39" s="427"/>
      <c r="WKL39" s="424"/>
      <c r="WKM39" s="427"/>
      <c r="WKN39" s="424"/>
      <c r="WKO39" s="427"/>
      <c r="WKP39" s="424"/>
      <c r="WKQ39" s="427"/>
      <c r="WKR39" s="424"/>
      <c r="WKS39" s="427"/>
      <c r="WKT39" s="424"/>
      <c r="WKU39" s="427"/>
      <c r="WKV39" s="424"/>
      <c r="WKW39" s="427"/>
      <c r="WKX39" s="424"/>
      <c r="WKY39" s="427"/>
      <c r="WKZ39" s="424"/>
      <c r="WLA39" s="427"/>
      <c r="WLB39" s="424"/>
      <c r="WLC39" s="427"/>
      <c r="WLD39" s="424"/>
      <c r="WLE39" s="427"/>
      <c r="WLF39" s="424"/>
      <c r="WLG39" s="427"/>
      <c r="WLH39" s="424"/>
      <c r="WLI39" s="427"/>
      <c r="WLJ39" s="424"/>
      <c r="WLK39" s="427"/>
      <c r="WLL39" s="424"/>
      <c r="WLM39" s="427"/>
      <c r="WLN39" s="424"/>
      <c r="WLO39" s="427"/>
      <c r="WLP39" s="424"/>
      <c r="WLQ39" s="427"/>
      <c r="WLR39" s="424"/>
      <c r="WLS39" s="427"/>
      <c r="WLT39" s="424"/>
      <c r="WLU39" s="427"/>
      <c r="WLV39" s="424"/>
      <c r="WLW39" s="427"/>
      <c r="WLX39" s="424"/>
      <c r="WLY39" s="427"/>
      <c r="WLZ39" s="424"/>
      <c r="WMA39" s="427"/>
      <c r="WMB39" s="424"/>
      <c r="WMC39" s="427"/>
      <c r="WMD39" s="424"/>
      <c r="WME39" s="427"/>
      <c r="WMF39" s="424"/>
      <c r="WMG39" s="427"/>
      <c r="WMH39" s="424"/>
      <c r="WMI39" s="427"/>
      <c r="WMJ39" s="424"/>
      <c r="WMK39" s="427"/>
      <c r="WML39" s="424"/>
      <c r="WMM39" s="427"/>
      <c r="WMN39" s="424"/>
      <c r="WMO39" s="427"/>
      <c r="WMP39" s="424"/>
      <c r="WMQ39" s="427"/>
      <c r="WMR39" s="424"/>
      <c r="WMS39" s="427"/>
      <c r="WMT39" s="424"/>
      <c r="WMU39" s="427"/>
      <c r="WMV39" s="424"/>
      <c r="WMW39" s="427"/>
      <c r="WMX39" s="424"/>
      <c r="WMY39" s="427"/>
      <c r="WMZ39" s="424"/>
      <c r="WNA39" s="427"/>
      <c r="WNB39" s="424"/>
      <c r="WNC39" s="427"/>
      <c r="WND39" s="424"/>
      <c r="WNE39" s="427"/>
      <c r="WNF39" s="424"/>
      <c r="WNG39" s="427"/>
      <c r="WNH39" s="424"/>
      <c r="WNI39" s="427"/>
      <c r="WNJ39" s="424"/>
      <c r="WNK39" s="427"/>
      <c r="WNL39" s="424"/>
      <c r="WNM39" s="427"/>
      <c r="WNN39" s="424"/>
      <c r="WNO39" s="427"/>
      <c r="WNP39" s="424"/>
      <c r="WNQ39" s="427"/>
      <c r="WNR39" s="424"/>
      <c r="WNS39" s="427"/>
      <c r="WNT39" s="424"/>
      <c r="WNU39" s="427"/>
      <c r="WNV39" s="424"/>
      <c r="WNW39" s="427"/>
      <c r="WNX39" s="424"/>
      <c r="WNY39" s="427"/>
      <c r="WNZ39" s="424"/>
      <c r="WOA39" s="427"/>
      <c r="WOB39" s="424"/>
      <c r="WOC39" s="427"/>
      <c r="WOD39" s="424"/>
      <c r="WOE39" s="427"/>
      <c r="WOF39" s="424"/>
      <c r="WOG39" s="427"/>
      <c r="WOH39" s="424"/>
      <c r="WOI39" s="427"/>
      <c r="WOJ39" s="424"/>
      <c r="WOK39" s="427"/>
      <c r="WOL39" s="424"/>
      <c r="WOM39" s="427"/>
      <c r="WON39" s="424"/>
      <c r="WOO39" s="427"/>
      <c r="WOP39" s="424"/>
      <c r="WOQ39" s="427"/>
      <c r="WOR39" s="424"/>
      <c r="WOS39" s="427"/>
      <c r="WOT39" s="424"/>
      <c r="WOU39" s="427"/>
      <c r="WOV39" s="424"/>
      <c r="WOW39" s="427"/>
      <c r="WOX39" s="424"/>
      <c r="WOY39" s="427"/>
      <c r="WOZ39" s="424"/>
      <c r="WPA39" s="427"/>
      <c r="WPB39" s="424"/>
      <c r="WPC39" s="427"/>
      <c r="WPD39" s="424"/>
      <c r="WPE39" s="427"/>
      <c r="WPF39" s="424"/>
      <c r="WPG39" s="427"/>
      <c r="WPH39" s="424"/>
      <c r="WPI39" s="427"/>
      <c r="WPJ39" s="424"/>
      <c r="WPK39" s="427"/>
      <c r="WPL39" s="424"/>
      <c r="WPM39" s="427"/>
      <c r="WPN39" s="424"/>
      <c r="WPO39" s="427"/>
      <c r="WPP39" s="424"/>
      <c r="WPQ39" s="427"/>
      <c r="WPR39" s="424"/>
      <c r="WPS39" s="427"/>
      <c r="WPT39" s="424"/>
      <c r="WPU39" s="427"/>
      <c r="WPV39" s="424"/>
      <c r="WPW39" s="427"/>
      <c r="WPX39" s="424"/>
      <c r="WPY39" s="427"/>
      <c r="WPZ39" s="424"/>
      <c r="WQA39" s="427"/>
      <c r="WQB39" s="424"/>
      <c r="WQC39" s="427"/>
      <c r="WQD39" s="424"/>
      <c r="WQE39" s="427"/>
      <c r="WQF39" s="424"/>
      <c r="WQG39" s="427"/>
      <c r="WQH39" s="424"/>
      <c r="WQI39" s="427"/>
      <c r="WQJ39" s="424"/>
      <c r="WQK39" s="427"/>
      <c r="WQL39" s="424"/>
      <c r="WQM39" s="427"/>
      <c r="WQN39" s="424"/>
      <c r="WQO39" s="427"/>
      <c r="WQP39" s="424"/>
      <c r="WQQ39" s="427"/>
      <c r="WQR39" s="424"/>
      <c r="WQS39" s="427"/>
      <c r="WQT39" s="424"/>
      <c r="WQU39" s="427"/>
      <c r="WQV39" s="424"/>
      <c r="WQW39" s="427"/>
      <c r="WQX39" s="424"/>
      <c r="WQY39" s="427"/>
      <c r="WQZ39" s="424"/>
      <c r="WRA39" s="427"/>
      <c r="WRB39" s="424"/>
      <c r="WRC39" s="427"/>
      <c r="WRD39" s="424"/>
      <c r="WRE39" s="427"/>
      <c r="WRF39" s="424"/>
      <c r="WRG39" s="427"/>
      <c r="WRH39" s="424"/>
      <c r="WRI39" s="427"/>
      <c r="WRJ39" s="424"/>
      <c r="WRK39" s="427"/>
      <c r="WRL39" s="424"/>
      <c r="WRM39" s="427"/>
      <c r="WRN39" s="424"/>
      <c r="WRO39" s="427"/>
      <c r="WRP39" s="424"/>
      <c r="WRQ39" s="427"/>
      <c r="WRR39" s="424"/>
      <c r="WRS39" s="427"/>
      <c r="WRT39" s="424"/>
      <c r="WRU39" s="427"/>
      <c r="WRV39" s="424"/>
      <c r="WRW39" s="427"/>
      <c r="WRX39" s="424"/>
      <c r="WRY39" s="427"/>
      <c r="WRZ39" s="424"/>
      <c r="WSA39" s="427"/>
      <c r="WSB39" s="424"/>
      <c r="WSC39" s="427"/>
      <c r="WSD39" s="424"/>
      <c r="WSE39" s="427"/>
      <c r="WSF39" s="424"/>
      <c r="WSG39" s="427"/>
      <c r="WSH39" s="424"/>
      <c r="WSI39" s="427"/>
      <c r="WSJ39" s="424"/>
      <c r="WSK39" s="427"/>
      <c r="WSL39" s="424"/>
      <c r="WSM39" s="427"/>
      <c r="WSN39" s="424"/>
      <c r="WSO39" s="427"/>
      <c r="WSP39" s="424"/>
      <c r="WSQ39" s="427"/>
      <c r="WSR39" s="424"/>
      <c r="WSS39" s="427"/>
      <c r="WST39" s="424"/>
      <c r="WSU39" s="427"/>
      <c r="WSV39" s="424"/>
      <c r="WSW39" s="427"/>
      <c r="WSX39" s="424"/>
      <c r="WSY39" s="427"/>
      <c r="WSZ39" s="424"/>
      <c r="WTA39" s="427"/>
      <c r="WTB39" s="424"/>
      <c r="WTC39" s="427"/>
      <c r="WTD39" s="424"/>
      <c r="WTE39" s="427"/>
      <c r="WTF39" s="424"/>
      <c r="WTG39" s="427"/>
      <c r="WTH39" s="424"/>
      <c r="WTI39" s="427"/>
      <c r="WTJ39" s="424"/>
      <c r="WTK39" s="427"/>
      <c r="WTL39" s="424"/>
      <c r="WTM39" s="427"/>
      <c r="WTN39" s="424"/>
      <c r="WTO39" s="427"/>
      <c r="WTP39" s="424"/>
      <c r="WTQ39" s="427"/>
      <c r="WTR39" s="424"/>
      <c r="WTS39" s="427"/>
      <c r="WTT39" s="424"/>
      <c r="WTU39" s="427"/>
      <c r="WTV39" s="424"/>
      <c r="WTW39" s="427"/>
      <c r="WTX39" s="424"/>
      <c r="WTY39" s="427"/>
      <c r="WTZ39" s="424"/>
      <c r="WUA39" s="427"/>
      <c r="WUB39" s="424"/>
      <c r="WUC39" s="427"/>
      <c r="WUD39" s="424"/>
      <c r="WUE39" s="427"/>
      <c r="WUF39" s="424"/>
      <c r="WUG39" s="427"/>
      <c r="WUH39" s="424"/>
      <c r="WUI39" s="427"/>
      <c r="WUJ39" s="424"/>
      <c r="WUK39" s="427"/>
      <c r="WUL39" s="424"/>
      <c r="WUM39" s="427"/>
      <c r="WUN39" s="424"/>
      <c r="WUO39" s="427"/>
      <c r="WUP39" s="424"/>
      <c r="WUQ39" s="427"/>
      <c r="WUR39" s="424"/>
      <c r="WUS39" s="427"/>
      <c r="WUT39" s="424"/>
      <c r="WUU39" s="427"/>
      <c r="WUV39" s="424"/>
      <c r="WUW39" s="427"/>
      <c r="WUX39" s="424"/>
      <c r="WUY39" s="427"/>
      <c r="WUZ39" s="424"/>
      <c r="WVA39" s="427"/>
      <c r="WVB39" s="424"/>
      <c r="WVC39" s="427"/>
      <c r="WVD39" s="424"/>
      <c r="WVE39" s="427"/>
      <c r="WVF39" s="424"/>
      <c r="WVG39" s="427"/>
      <c r="WVH39" s="424"/>
      <c r="WVI39" s="427"/>
      <c r="WVJ39" s="424"/>
      <c r="WVK39" s="427"/>
      <c r="WVL39" s="424"/>
      <c r="WVM39" s="427"/>
      <c r="WVN39" s="424"/>
      <c r="WVO39" s="427"/>
      <c r="WVP39" s="424"/>
      <c r="WVQ39" s="427"/>
      <c r="WVR39" s="424"/>
      <c r="WVS39" s="427"/>
      <c r="WVT39" s="424"/>
      <c r="WVU39" s="427"/>
      <c r="WVV39" s="424"/>
      <c r="WVW39" s="427"/>
      <c r="WVX39" s="424"/>
      <c r="WVY39" s="427"/>
      <c r="WVZ39" s="424"/>
      <c r="WWA39" s="427"/>
      <c r="WWB39" s="424"/>
      <c r="WWC39" s="427"/>
      <c r="WWD39" s="424"/>
      <c r="WWE39" s="427"/>
      <c r="WWF39" s="424"/>
      <c r="WWG39" s="427"/>
      <c r="WWH39" s="424"/>
      <c r="WWI39" s="427"/>
      <c r="WWJ39" s="424"/>
      <c r="WWK39" s="427"/>
      <c r="WWL39" s="424"/>
      <c r="WWM39" s="427"/>
      <c r="WWN39" s="424"/>
      <c r="WWO39" s="427"/>
      <c r="WWP39" s="424"/>
      <c r="WWQ39" s="427"/>
      <c r="WWR39" s="424"/>
      <c r="WWS39" s="427"/>
      <c r="WWT39" s="424"/>
      <c r="WWU39" s="427"/>
      <c r="WWV39" s="424"/>
      <c r="WWW39" s="427"/>
      <c r="WWX39" s="424"/>
      <c r="WWY39" s="427"/>
      <c r="WWZ39" s="424"/>
      <c r="WXA39" s="427"/>
      <c r="WXB39" s="424"/>
      <c r="WXC39" s="427"/>
      <c r="WXD39" s="424"/>
      <c r="WXE39" s="427"/>
      <c r="WXF39" s="424"/>
      <c r="WXG39" s="427"/>
      <c r="WXH39" s="424"/>
      <c r="WXI39" s="427"/>
      <c r="WXJ39" s="424"/>
      <c r="WXK39" s="427"/>
      <c r="WXL39" s="424"/>
      <c r="WXM39" s="427"/>
      <c r="WXN39" s="424"/>
      <c r="WXO39" s="427"/>
      <c r="WXP39" s="424"/>
      <c r="WXQ39" s="427"/>
      <c r="WXR39" s="424"/>
      <c r="WXS39" s="427"/>
      <c r="WXT39" s="424"/>
      <c r="WXU39" s="427"/>
      <c r="WXV39" s="424"/>
      <c r="WXW39" s="427"/>
      <c r="WXX39" s="424"/>
      <c r="WXY39" s="427"/>
      <c r="WXZ39" s="424"/>
      <c r="WYA39" s="427"/>
      <c r="WYB39" s="424"/>
      <c r="WYC39" s="427"/>
      <c r="WYD39" s="424"/>
      <c r="WYE39" s="427"/>
      <c r="WYF39" s="424"/>
      <c r="WYG39" s="427"/>
      <c r="WYH39" s="424"/>
      <c r="WYI39" s="427"/>
      <c r="WYJ39" s="424"/>
      <c r="WYK39" s="427"/>
      <c r="WYL39" s="424"/>
      <c r="WYM39" s="427"/>
      <c r="WYN39" s="424"/>
      <c r="WYO39" s="427"/>
      <c r="WYP39" s="424"/>
      <c r="WYQ39" s="427"/>
      <c r="WYR39" s="424"/>
      <c r="WYS39" s="427"/>
      <c r="WYT39" s="424"/>
      <c r="WYU39" s="427"/>
      <c r="WYV39" s="424"/>
      <c r="WYW39" s="427"/>
      <c r="WYX39" s="424"/>
      <c r="WYY39" s="427"/>
      <c r="WYZ39" s="424"/>
      <c r="WZA39" s="427"/>
      <c r="WZB39" s="424"/>
      <c r="WZC39" s="427"/>
      <c r="WZD39" s="424"/>
      <c r="WZE39" s="427"/>
      <c r="WZF39" s="424"/>
      <c r="WZG39" s="427"/>
      <c r="WZH39" s="424"/>
      <c r="WZI39" s="427"/>
      <c r="WZJ39" s="424"/>
      <c r="WZK39" s="427"/>
      <c r="WZL39" s="424"/>
      <c r="WZM39" s="427"/>
      <c r="WZN39" s="424"/>
      <c r="WZO39" s="427"/>
      <c r="WZP39" s="424"/>
      <c r="WZQ39" s="427"/>
      <c r="WZR39" s="424"/>
      <c r="WZS39" s="427"/>
      <c r="WZT39" s="424"/>
      <c r="WZU39" s="427"/>
      <c r="WZV39" s="424"/>
      <c r="WZW39" s="427"/>
      <c r="WZX39" s="424"/>
      <c r="WZY39" s="427"/>
      <c r="WZZ39" s="424"/>
      <c r="XAA39" s="427"/>
      <c r="XAB39" s="424"/>
      <c r="XAC39" s="427"/>
      <c r="XAD39" s="424"/>
      <c r="XAE39" s="427"/>
      <c r="XAF39" s="424"/>
      <c r="XAG39" s="427"/>
      <c r="XAH39" s="424"/>
      <c r="XAI39" s="427"/>
      <c r="XAJ39" s="424"/>
      <c r="XAK39" s="427"/>
      <c r="XAL39" s="424"/>
      <c r="XAM39" s="427"/>
      <c r="XAN39" s="424"/>
      <c r="XAO39" s="427"/>
      <c r="XAP39" s="424"/>
      <c r="XAQ39" s="427"/>
      <c r="XAR39" s="424"/>
      <c r="XAS39" s="427"/>
      <c r="XAT39" s="424"/>
      <c r="XAU39" s="427"/>
      <c r="XAV39" s="424"/>
      <c r="XAW39" s="427"/>
      <c r="XAX39" s="424"/>
      <c r="XAY39" s="427"/>
      <c r="XAZ39" s="424"/>
      <c r="XBA39" s="427"/>
      <c r="XBB39" s="424"/>
      <c r="XBC39" s="427"/>
      <c r="XBD39" s="424"/>
      <c r="XBE39" s="427"/>
      <c r="XBF39" s="424"/>
      <c r="XBG39" s="427"/>
      <c r="XBH39" s="424"/>
      <c r="XBI39" s="427"/>
      <c r="XBJ39" s="424"/>
      <c r="XBK39" s="427"/>
      <c r="XBL39" s="424"/>
      <c r="XBM39" s="427"/>
      <c r="XBN39" s="424"/>
      <c r="XBO39" s="427"/>
      <c r="XBP39" s="424"/>
      <c r="XBQ39" s="427"/>
      <c r="XBR39" s="424"/>
      <c r="XBS39" s="427"/>
      <c r="XBT39" s="424"/>
      <c r="XBU39" s="427"/>
      <c r="XBV39" s="424"/>
      <c r="XBW39" s="427"/>
      <c r="XBX39" s="424"/>
      <c r="XBY39" s="427"/>
      <c r="XBZ39" s="424"/>
      <c r="XCA39" s="427"/>
      <c r="XCB39" s="424"/>
      <c r="XCC39" s="427"/>
      <c r="XCD39" s="424"/>
      <c r="XCE39" s="427"/>
      <c r="XCF39" s="424"/>
      <c r="XCG39" s="427"/>
      <c r="XCH39" s="424"/>
      <c r="XCI39" s="427"/>
      <c r="XCJ39" s="424"/>
      <c r="XCK39" s="427"/>
      <c r="XCL39" s="424"/>
      <c r="XCM39" s="427"/>
      <c r="XCN39" s="424"/>
      <c r="XCO39" s="427"/>
      <c r="XCP39" s="424"/>
      <c r="XCQ39" s="427"/>
      <c r="XCR39" s="424"/>
      <c r="XCS39" s="427"/>
      <c r="XCT39" s="424"/>
      <c r="XCU39" s="427"/>
      <c r="XCV39" s="424"/>
      <c r="XCW39" s="427"/>
      <c r="XCX39" s="424"/>
      <c r="XCY39" s="427"/>
      <c r="XCZ39" s="424"/>
      <c r="XDA39" s="427"/>
      <c r="XDB39" s="424"/>
      <c r="XDC39" s="427"/>
      <c r="XDD39" s="424"/>
      <c r="XDE39" s="427"/>
      <c r="XDF39" s="424"/>
      <c r="XDG39" s="427"/>
      <c r="XDH39" s="424"/>
      <c r="XDI39" s="427"/>
      <c r="XDJ39" s="424"/>
      <c r="XDK39" s="427"/>
      <c r="XDL39" s="424"/>
      <c r="XDM39" s="427"/>
      <c r="XDN39" s="424"/>
      <c r="XDO39" s="427"/>
      <c r="XDP39" s="424"/>
      <c r="XDQ39" s="427"/>
      <c r="XDR39" s="424"/>
      <c r="XDS39" s="427"/>
      <c r="XDT39" s="424"/>
      <c r="XDU39" s="427"/>
      <c r="XDV39" s="424"/>
      <c r="XDW39" s="427"/>
      <c r="XDX39" s="424"/>
      <c r="XDY39" s="427"/>
      <c r="XDZ39" s="424"/>
      <c r="XEA39" s="427"/>
      <c r="XEB39" s="424"/>
      <c r="XEC39" s="427"/>
      <c r="XED39" s="424"/>
      <c r="XEE39" s="427"/>
      <c r="XEF39" s="424"/>
      <c r="XEG39" s="427"/>
      <c r="XEH39" s="424"/>
      <c r="XEI39" s="427"/>
      <c r="XEJ39" s="424"/>
      <c r="XEK39" s="427"/>
      <c r="XEL39" s="424"/>
      <c r="XEM39" s="427"/>
      <c r="XEN39" s="424"/>
      <c r="XEO39" s="427"/>
      <c r="XEP39" s="424"/>
      <c r="XEQ39" s="427"/>
      <c r="XER39" s="424"/>
      <c r="XES39" s="427"/>
      <c r="XET39" s="424"/>
      <c r="XEU39" s="427"/>
      <c r="XEV39" s="424"/>
      <c r="XEW39" s="427"/>
      <c r="XEX39" s="424"/>
      <c r="XEY39" s="427"/>
      <c r="XEZ39" s="424"/>
      <c r="XFA39" s="427"/>
      <c r="XFB39" s="424"/>
      <c r="XFC39" s="427"/>
      <c r="XFD39" s="424"/>
    </row>
    <row r="40" spans="2:16384" ht="28.5" customHeight="1" x14ac:dyDescent="0.3">
      <c r="B40" s="370" t="s">
        <v>1226</v>
      </c>
      <c r="C40" s="363"/>
      <c r="D40" s="363"/>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59"/>
      <c r="AS40" s="359"/>
      <c r="AT40" s="359"/>
      <c r="AU40" s="359"/>
      <c r="AV40" s="359"/>
      <c r="AW40" s="359"/>
      <c r="AX40" s="359"/>
      <c r="AY40" s="359"/>
      <c r="AZ40" s="359"/>
      <c r="BA40" s="359"/>
      <c r="BB40" s="359"/>
      <c r="BC40" s="359"/>
      <c r="BD40" s="359"/>
      <c r="BE40" s="359"/>
      <c r="BF40" s="359"/>
      <c r="BG40" s="359"/>
      <c r="BH40" s="359"/>
      <c r="BI40" s="359"/>
      <c r="BJ40" s="359"/>
      <c r="BK40" s="359"/>
      <c r="BL40" s="359"/>
      <c r="BM40" s="359"/>
      <c r="BN40" s="359"/>
      <c r="BO40" s="359"/>
      <c r="BP40" s="359"/>
      <c r="BQ40" s="359"/>
      <c r="BR40" s="359"/>
      <c r="BS40" s="359"/>
      <c r="BT40" s="359"/>
      <c r="BU40" s="359"/>
      <c r="BV40" s="359"/>
      <c r="BW40" s="426"/>
      <c r="BX40" s="424"/>
      <c r="BY40" s="426"/>
      <c r="BZ40" s="424"/>
      <c r="CA40" s="426"/>
      <c r="CB40" s="424"/>
      <c r="CC40" s="426"/>
      <c r="CD40" s="424"/>
      <c r="CE40" s="426"/>
      <c r="CF40" s="424"/>
      <c r="CG40" s="426"/>
      <c r="CH40" s="424"/>
      <c r="CI40" s="426"/>
      <c r="CJ40" s="424"/>
      <c r="CK40" s="426"/>
      <c r="CL40" s="424"/>
      <c r="CM40" s="426"/>
      <c r="CN40" s="424"/>
      <c r="CO40" s="426"/>
      <c r="CP40" s="424"/>
      <c r="CQ40" s="426"/>
      <c r="CR40" s="424"/>
      <c r="CS40" s="426"/>
      <c r="CT40" s="424"/>
      <c r="CU40" s="426"/>
      <c r="CV40" s="424"/>
      <c r="CW40" s="426"/>
      <c r="CX40" s="424"/>
      <c r="CY40" s="426"/>
      <c r="CZ40" s="424"/>
      <c r="DA40" s="426"/>
      <c r="DB40" s="424"/>
      <c r="DC40" s="426"/>
      <c r="DD40" s="424"/>
      <c r="DE40" s="426"/>
      <c r="DF40" s="424"/>
      <c r="DG40" s="426"/>
      <c r="DH40" s="424"/>
      <c r="DI40" s="426"/>
      <c r="DJ40" s="424"/>
      <c r="DK40" s="426"/>
      <c r="DL40" s="424"/>
      <c r="DM40" s="426"/>
      <c r="DN40" s="424"/>
      <c r="DO40" s="426"/>
      <c r="DP40" s="424"/>
      <c r="DQ40" s="426"/>
      <c r="DR40" s="424"/>
      <c r="DS40" s="426"/>
      <c r="DT40" s="424"/>
      <c r="DU40" s="426"/>
      <c r="DV40" s="424"/>
      <c r="DW40" s="426"/>
      <c r="DX40" s="424"/>
      <c r="DY40" s="426"/>
      <c r="DZ40" s="424"/>
      <c r="EA40" s="426"/>
      <c r="EB40" s="424"/>
      <c r="EC40" s="426"/>
      <c r="ED40" s="424"/>
      <c r="EE40" s="426"/>
      <c r="EF40" s="424"/>
      <c r="EG40" s="426"/>
      <c r="EH40" s="424"/>
      <c r="EI40" s="426"/>
      <c r="EJ40" s="424"/>
      <c r="EK40" s="426"/>
      <c r="EL40" s="424"/>
      <c r="EM40" s="426"/>
      <c r="EN40" s="424"/>
      <c r="EO40" s="426"/>
      <c r="EP40" s="424"/>
      <c r="EQ40" s="426"/>
      <c r="ER40" s="424"/>
      <c r="ES40" s="426"/>
      <c r="ET40" s="424"/>
      <c r="EU40" s="426"/>
      <c r="EV40" s="424"/>
      <c r="EW40" s="426"/>
      <c r="EX40" s="424"/>
      <c r="EY40" s="426"/>
      <c r="EZ40" s="424"/>
      <c r="FA40" s="426"/>
      <c r="FB40" s="424"/>
      <c r="FC40" s="426"/>
      <c r="FD40" s="424"/>
      <c r="FE40" s="426"/>
      <c r="FF40" s="424"/>
      <c r="FG40" s="426"/>
      <c r="FH40" s="424"/>
      <c r="FI40" s="426"/>
      <c r="FJ40" s="424"/>
      <c r="FK40" s="426"/>
      <c r="FL40" s="424"/>
      <c r="FM40" s="426"/>
      <c r="FN40" s="424"/>
      <c r="FO40" s="426"/>
      <c r="FP40" s="424"/>
      <c r="FQ40" s="426"/>
      <c r="FR40" s="424"/>
      <c r="FS40" s="426"/>
      <c r="FT40" s="424"/>
      <c r="FU40" s="426"/>
      <c r="FV40" s="424"/>
      <c r="FW40" s="426"/>
      <c r="FX40" s="424"/>
      <c r="FY40" s="426"/>
      <c r="FZ40" s="424"/>
      <c r="GA40" s="426"/>
      <c r="GB40" s="424"/>
      <c r="GC40" s="426"/>
      <c r="GD40" s="424"/>
      <c r="GE40" s="426"/>
      <c r="GF40" s="424"/>
      <c r="GG40" s="426"/>
      <c r="GH40" s="424"/>
      <c r="GI40" s="426"/>
      <c r="GJ40" s="424"/>
      <c r="GK40" s="426"/>
      <c r="GL40" s="424"/>
      <c r="GM40" s="426"/>
      <c r="GN40" s="424"/>
      <c r="GO40" s="426"/>
      <c r="GP40" s="424"/>
      <c r="GQ40" s="426"/>
      <c r="GR40" s="424"/>
      <c r="GS40" s="426"/>
      <c r="GT40" s="424"/>
      <c r="GU40" s="426"/>
      <c r="GV40" s="424"/>
      <c r="GW40" s="426"/>
      <c r="GX40" s="424"/>
      <c r="GY40" s="426"/>
      <c r="GZ40" s="424"/>
      <c r="HA40" s="426"/>
      <c r="HB40" s="424"/>
      <c r="HC40" s="426"/>
      <c r="HD40" s="424"/>
      <c r="HE40" s="426"/>
      <c r="HF40" s="424"/>
      <c r="HG40" s="426"/>
      <c r="HH40" s="424"/>
      <c r="HI40" s="426"/>
      <c r="HJ40" s="424"/>
      <c r="HK40" s="426"/>
      <c r="HL40" s="424"/>
      <c r="HM40" s="426"/>
      <c r="HN40" s="424"/>
      <c r="HO40" s="426"/>
      <c r="HP40" s="424"/>
      <c r="HQ40" s="426"/>
      <c r="HR40" s="424"/>
      <c r="HS40" s="426"/>
      <c r="HT40" s="424"/>
      <c r="HU40" s="426"/>
      <c r="HV40" s="424"/>
      <c r="HW40" s="426"/>
      <c r="HX40" s="424"/>
      <c r="HY40" s="426"/>
      <c r="HZ40" s="424"/>
      <c r="IA40" s="426"/>
      <c r="IB40" s="424"/>
      <c r="IC40" s="426"/>
      <c r="ID40" s="424"/>
      <c r="IE40" s="426"/>
      <c r="IF40" s="424"/>
      <c r="IG40" s="426"/>
      <c r="IH40" s="424"/>
      <c r="II40" s="426"/>
      <c r="IJ40" s="424"/>
      <c r="IK40" s="426"/>
      <c r="IL40" s="424"/>
      <c r="IM40" s="426"/>
      <c r="IN40" s="424"/>
      <c r="IO40" s="426"/>
      <c r="IP40" s="424"/>
      <c r="IQ40" s="426"/>
      <c r="IR40" s="424"/>
      <c r="IS40" s="426"/>
      <c r="IT40" s="424"/>
      <c r="IU40" s="426"/>
      <c r="IV40" s="424"/>
      <c r="IW40" s="426"/>
      <c r="IX40" s="424"/>
      <c r="IY40" s="426"/>
      <c r="IZ40" s="424"/>
      <c r="JA40" s="426"/>
      <c r="JB40" s="424"/>
      <c r="JC40" s="426"/>
      <c r="JD40" s="424"/>
      <c r="JE40" s="426"/>
      <c r="JF40" s="424"/>
      <c r="JG40" s="426"/>
      <c r="JH40" s="424"/>
      <c r="JI40" s="426"/>
      <c r="JJ40" s="424"/>
      <c r="JK40" s="426"/>
      <c r="JL40" s="424"/>
      <c r="JM40" s="426"/>
      <c r="JN40" s="424"/>
      <c r="JO40" s="426"/>
      <c r="JP40" s="424"/>
      <c r="JQ40" s="426"/>
      <c r="JR40" s="424"/>
      <c r="JS40" s="426"/>
      <c r="JT40" s="424"/>
      <c r="JU40" s="426"/>
      <c r="JV40" s="424"/>
      <c r="JW40" s="426"/>
      <c r="JX40" s="424"/>
      <c r="JY40" s="426"/>
      <c r="JZ40" s="424"/>
      <c r="KA40" s="426"/>
      <c r="KB40" s="424"/>
      <c r="KC40" s="426"/>
      <c r="KD40" s="424"/>
      <c r="KE40" s="426"/>
      <c r="KF40" s="424"/>
      <c r="KG40" s="426"/>
      <c r="KH40" s="424"/>
      <c r="KI40" s="426"/>
      <c r="KJ40" s="424"/>
      <c r="KK40" s="426"/>
      <c r="KL40" s="424"/>
      <c r="KM40" s="426"/>
      <c r="KN40" s="424"/>
      <c r="KO40" s="426"/>
      <c r="KP40" s="424"/>
      <c r="KQ40" s="426"/>
      <c r="KR40" s="424"/>
      <c r="KS40" s="426"/>
      <c r="KT40" s="424"/>
      <c r="KU40" s="426"/>
      <c r="KV40" s="424"/>
      <c r="KW40" s="426"/>
      <c r="KX40" s="424"/>
      <c r="KY40" s="426"/>
      <c r="KZ40" s="424"/>
      <c r="LA40" s="426"/>
      <c r="LB40" s="424"/>
      <c r="LC40" s="426"/>
      <c r="LD40" s="424"/>
      <c r="LE40" s="426"/>
      <c r="LF40" s="424"/>
      <c r="LG40" s="426"/>
      <c r="LH40" s="424"/>
      <c r="LI40" s="426"/>
      <c r="LJ40" s="424"/>
      <c r="LK40" s="426"/>
      <c r="LL40" s="424"/>
      <c r="LM40" s="426"/>
      <c r="LN40" s="424"/>
      <c r="LO40" s="426"/>
      <c r="LP40" s="424"/>
      <c r="LQ40" s="426"/>
      <c r="LR40" s="424"/>
      <c r="LS40" s="426"/>
      <c r="LT40" s="424"/>
      <c r="LU40" s="426"/>
      <c r="LV40" s="424"/>
      <c r="LW40" s="426"/>
      <c r="LX40" s="424"/>
      <c r="LY40" s="426"/>
      <c r="LZ40" s="424"/>
      <c r="MA40" s="426"/>
      <c r="MB40" s="424"/>
      <c r="MC40" s="426"/>
      <c r="MD40" s="424"/>
      <c r="ME40" s="426"/>
      <c r="MF40" s="424"/>
      <c r="MG40" s="426"/>
      <c r="MH40" s="424"/>
      <c r="MI40" s="426"/>
      <c r="MJ40" s="424"/>
      <c r="MK40" s="426"/>
      <c r="ML40" s="424"/>
      <c r="MM40" s="426"/>
      <c r="MN40" s="424"/>
      <c r="MO40" s="426"/>
      <c r="MP40" s="424"/>
      <c r="MQ40" s="426"/>
      <c r="MR40" s="424"/>
      <c r="MS40" s="426"/>
      <c r="MT40" s="424"/>
      <c r="MU40" s="426"/>
      <c r="MV40" s="424"/>
      <c r="MW40" s="426"/>
      <c r="MX40" s="424"/>
      <c r="MY40" s="426"/>
      <c r="MZ40" s="424"/>
      <c r="NA40" s="426"/>
      <c r="NB40" s="424"/>
      <c r="NC40" s="426"/>
      <c r="ND40" s="424"/>
      <c r="NE40" s="426"/>
      <c r="NF40" s="424"/>
      <c r="NG40" s="426"/>
      <c r="NH40" s="424"/>
      <c r="NI40" s="426"/>
      <c r="NJ40" s="424"/>
      <c r="NK40" s="426"/>
      <c r="NL40" s="424"/>
      <c r="NM40" s="426"/>
      <c r="NN40" s="424"/>
      <c r="NO40" s="426"/>
      <c r="NP40" s="424"/>
      <c r="NQ40" s="426"/>
      <c r="NR40" s="424"/>
      <c r="NS40" s="426"/>
      <c r="NT40" s="424"/>
      <c r="NU40" s="426"/>
      <c r="NV40" s="424"/>
      <c r="NW40" s="426"/>
      <c r="NX40" s="424"/>
      <c r="NY40" s="426"/>
      <c r="NZ40" s="424"/>
      <c r="OA40" s="426"/>
      <c r="OB40" s="424"/>
      <c r="OC40" s="426"/>
      <c r="OD40" s="424"/>
      <c r="OE40" s="426"/>
      <c r="OF40" s="424"/>
      <c r="OG40" s="426"/>
      <c r="OH40" s="424"/>
      <c r="OI40" s="426"/>
      <c r="OJ40" s="424"/>
      <c r="OK40" s="426"/>
      <c r="OL40" s="424"/>
      <c r="OM40" s="426"/>
      <c r="ON40" s="424"/>
      <c r="OO40" s="426"/>
      <c r="OP40" s="424"/>
      <c r="OQ40" s="426"/>
      <c r="OR40" s="424"/>
      <c r="OS40" s="426"/>
      <c r="OT40" s="424"/>
      <c r="OU40" s="426"/>
      <c r="OV40" s="424"/>
      <c r="OW40" s="426"/>
      <c r="OX40" s="424"/>
      <c r="OY40" s="426"/>
      <c r="OZ40" s="424"/>
      <c r="PA40" s="426"/>
      <c r="PB40" s="424"/>
      <c r="PC40" s="426"/>
      <c r="PD40" s="424"/>
      <c r="PE40" s="426"/>
      <c r="PF40" s="424"/>
      <c r="PG40" s="426"/>
      <c r="PH40" s="424"/>
      <c r="PI40" s="426"/>
      <c r="PJ40" s="424"/>
      <c r="PK40" s="426"/>
      <c r="PL40" s="424"/>
      <c r="PM40" s="426"/>
      <c r="PN40" s="424"/>
      <c r="PO40" s="426"/>
      <c r="PP40" s="424"/>
      <c r="PQ40" s="426"/>
      <c r="PR40" s="424"/>
      <c r="PS40" s="426"/>
      <c r="PT40" s="424"/>
      <c r="PU40" s="426"/>
      <c r="PV40" s="424"/>
      <c r="PW40" s="426"/>
      <c r="PX40" s="424"/>
      <c r="PY40" s="426"/>
      <c r="PZ40" s="424"/>
      <c r="QA40" s="426"/>
      <c r="QB40" s="424"/>
      <c r="QC40" s="426"/>
      <c r="QD40" s="424"/>
      <c r="QE40" s="426"/>
      <c r="QF40" s="424"/>
      <c r="QG40" s="426"/>
      <c r="QH40" s="424"/>
      <c r="QI40" s="426"/>
      <c r="QJ40" s="424"/>
      <c r="QK40" s="426"/>
      <c r="QL40" s="424"/>
      <c r="QM40" s="426"/>
      <c r="QN40" s="424"/>
      <c r="QO40" s="426"/>
      <c r="QP40" s="424"/>
      <c r="QQ40" s="426"/>
      <c r="QR40" s="424"/>
      <c r="QS40" s="426"/>
      <c r="QT40" s="424"/>
      <c r="QU40" s="426"/>
      <c r="QV40" s="424"/>
      <c r="QW40" s="426"/>
      <c r="QX40" s="424"/>
      <c r="QY40" s="426"/>
      <c r="QZ40" s="424"/>
      <c r="RA40" s="426"/>
      <c r="RB40" s="424"/>
      <c r="RC40" s="426"/>
      <c r="RD40" s="424"/>
      <c r="RE40" s="426"/>
      <c r="RF40" s="424"/>
      <c r="RG40" s="426"/>
      <c r="RH40" s="424"/>
      <c r="RI40" s="426"/>
      <c r="RJ40" s="424"/>
      <c r="RK40" s="426"/>
      <c r="RL40" s="424"/>
      <c r="RM40" s="426"/>
      <c r="RN40" s="424"/>
      <c r="RO40" s="426"/>
      <c r="RP40" s="424"/>
      <c r="RQ40" s="426"/>
      <c r="RR40" s="424"/>
      <c r="RS40" s="426"/>
      <c r="RT40" s="424"/>
      <c r="RU40" s="426"/>
      <c r="RV40" s="424"/>
      <c r="RW40" s="426"/>
      <c r="RX40" s="424"/>
      <c r="RY40" s="426"/>
      <c r="RZ40" s="424"/>
      <c r="SA40" s="426"/>
      <c r="SB40" s="424"/>
      <c r="SC40" s="426"/>
      <c r="SD40" s="424"/>
      <c r="SE40" s="426"/>
      <c r="SF40" s="424"/>
      <c r="SG40" s="426"/>
      <c r="SH40" s="424"/>
      <c r="SI40" s="426"/>
      <c r="SJ40" s="424"/>
      <c r="SK40" s="426"/>
      <c r="SL40" s="424"/>
      <c r="SM40" s="426"/>
      <c r="SN40" s="424"/>
      <c r="SO40" s="426"/>
      <c r="SP40" s="424"/>
      <c r="SQ40" s="426"/>
      <c r="SR40" s="424"/>
      <c r="SS40" s="426"/>
      <c r="ST40" s="424"/>
      <c r="SU40" s="426"/>
      <c r="SV40" s="424"/>
      <c r="SW40" s="426"/>
      <c r="SX40" s="424"/>
      <c r="SY40" s="426"/>
      <c r="SZ40" s="424"/>
      <c r="TA40" s="426"/>
      <c r="TB40" s="424"/>
      <c r="TC40" s="426"/>
      <c r="TD40" s="424"/>
      <c r="TE40" s="426"/>
      <c r="TF40" s="424"/>
      <c r="TG40" s="426"/>
      <c r="TH40" s="424"/>
      <c r="TI40" s="426"/>
      <c r="TJ40" s="424"/>
      <c r="TK40" s="426"/>
      <c r="TL40" s="424"/>
      <c r="TM40" s="426"/>
      <c r="TN40" s="424"/>
      <c r="TO40" s="426"/>
      <c r="TP40" s="424"/>
      <c r="TQ40" s="426"/>
      <c r="TR40" s="424"/>
      <c r="TS40" s="426"/>
      <c r="TT40" s="424"/>
      <c r="TU40" s="426"/>
      <c r="TV40" s="424"/>
      <c r="TW40" s="426"/>
      <c r="TX40" s="424"/>
      <c r="TY40" s="426"/>
      <c r="TZ40" s="424"/>
      <c r="UA40" s="426"/>
      <c r="UB40" s="424"/>
      <c r="UC40" s="426"/>
      <c r="UD40" s="424"/>
      <c r="UE40" s="426"/>
      <c r="UF40" s="424"/>
      <c r="UG40" s="426"/>
      <c r="UH40" s="424"/>
      <c r="UI40" s="426"/>
      <c r="UJ40" s="424"/>
      <c r="UK40" s="426"/>
      <c r="UL40" s="424"/>
      <c r="UM40" s="426"/>
      <c r="UN40" s="424"/>
      <c r="UO40" s="426"/>
      <c r="UP40" s="424"/>
      <c r="UQ40" s="426"/>
      <c r="UR40" s="424"/>
      <c r="US40" s="426"/>
      <c r="UT40" s="424"/>
      <c r="UU40" s="426"/>
      <c r="UV40" s="424"/>
      <c r="UW40" s="426"/>
      <c r="UX40" s="424"/>
      <c r="UY40" s="426"/>
      <c r="UZ40" s="424"/>
      <c r="VA40" s="426"/>
      <c r="VB40" s="424"/>
      <c r="VC40" s="426"/>
      <c r="VD40" s="424"/>
      <c r="VE40" s="426"/>
      <c r="VF40" s="424"/>
      <c r="VG40" s="426"/>
      <c r="VH40" s="424"/>
      <c r="VI40" s="426"/>
      <c r="VJ40" s="424"/>
      <c r="VK40" s="426"/>
      <c r="VL40" s="424"/>
      <c r="VM40" s="426"/>
      <c r="VN40" s="424"/>
      <c r="VO40" s="426"/>
      <c r="VP40" s="424"/>
      <c r="VQ40" s="426"/>
      <c r="VR40" s="424"/>
      <c r="VS40" s="426"/>
      <c r="VT40" s="424"/>
      <c r="VU40" s="426"/>
      <c r="VV40" s="424"/>
      <c r="VW40" s="426"/>
      <c r="VX40" s="424"/>
      <c r="VY40" s="426"/>
      <c r="VZ40" s="424"/>
      <c r="WA40" s="426"/>
      <c r="WB40" s="424"/>
      <c r="WC40" s="426"/>
      <c r="WD40" s="424"/>
      <c r="WE40" s="426"/>
      <c r="WF40" s="424"/>
      <c r="WG40" s="426"/>
      <c r="WH40" s="424"/>
      <c r="WI40" s="426"/>
      <c r="WJ40" s="424"/>
      <c r="WK40" s="426"/>
      <c r="WL40" s="424"/>
      <c r="WM40" s="426"/>
      <c r="WN40" s="424"/>
      <c r="WO40" s="426"/>
      <c r="WP40" s="424"/>
      <c r="WQ40" s="426"/>
      <c r="WR40" s="424"/>
      <c r="WS40" s="426"/>
      <c r="WT40" s="424"/>
      <c r="WU40" s="426"/>
      <c r="WV40" s="424"/>
      <c r="WW40" s="426"/>
      <c r="WX40" s="424"/>
      <c r="WY40" s="426"/>
      <c r="WZ40" s="424"/>
      <c r="XA40" s="426"/>
      <c r="XB40" s="424"/>
      <c r="XC40" s="426"/>
      <c r="XD40" s="424"/>
      <c r="XE40" s="426"/>
      <c r="XF40" s="424"/>
      <c r="XG40" s="426"/>
      <c r="XH40" s="424"/>
      <c r="XI40" s="426"/>
      <c r="XJ40" s="424"/>
      <c r="XK40" s="426"/>
      <c r="XL40" s="424"/>
      <c r="XM40" s="426"/>
      <c r="XN40" s="424"/>
      <c r="XO40" s="426"/>
      <c r="XP40" s="424"/>
      <c r="XQ40" s="426"/>
      <c r="XR40" s="424"/>
      <c r="XS40" s="426"/>
      <c r="XT40" s="424"/>
      <c r="XU40" s="426"/>
      <c r="XV40" s="424"/>
      <c r="XW40" s="426"/>
      <c r="XX40" s="424"/>
      <c r="XY40" s="426"/>
      <c r="XZ40" s="424"/>
      <c r="YA40" s="426"/>
      <c r="YB40" s="424"/>
      <c r="YC40" s="426"/>
      <c r="YD40" s="424"/>
      <c r="YE40" s="426"/>
      <c r="YF40" s="424"/>
      <c r="YG40" s="426"/>
      <c r="YH40" s="424"/>
      <c r="YI40" s="426"/>
      <c r="YJ40" s="424"/>
      <c r="YK40" s="426"/>
      <c r="YL40" s="424"/>
      <c r="YM40" s="426"/>
      <c r="YN40" s="424"/>
      <c r="YO40" s="426"/>
      <c r="YP40" s="424"/>
      <c r="YQ40" s="426"/>
      <c r="YR40" s="424"/>
      <c r="YS40" s="426"/>
      <c r="YT40" s="424"/>
      <c r="YU40" s="426"/>
      <c r="YV40" s="424"/>
      <c r="YW40" s="426"/>
      <c r="YX40" s="424"/>
      <c r="YY40" s="426"/>
      <c r="YZ40" s="424"/>
      <c r="ZA40" s="426"/>
      <c r="ZB40" s="424"/>
      <c r="ZC40" s="426"/>
      <c r="ZD40" s="424"/>
      <c r="ZE40" s="426"/>
      <c r="ZF40" s="424"/>
      <c r="ZG40" s="426"/>
      <c r="ZH40" s="424"/>
      <c r="ZI40" s="426"/>
      <c r="ZJ40" s="424"/>
      <c r="ZK40" s="426"/>
      <c r="ZL40" s="424"/>
      <c r="ZM40" s="426"/>
      <c r="ZN40" s="424"/>
      <c r="ZO40" s="426"/>
      <c r="ZP40" s="424"/>
      <c r="ZQ40" s="426"/>
      <c r="ZR40" s="424"/>
      <c r="ZS40" s="426"/>
      <c r="ZT40" s="424"/>
      <c r="ZU40" s="426"/>
      <c r="ZV40" s="424"/>
      <c r="ZW40" s="426"/>
      <c r="ZX40" s="424"/>
      <c r="ZY40" s="426"/>
      <c r="ZZ40" s="424"/>
      <c r="AAA40" s="426"/>
      <c r="AAB40" s="424"/>
      <c r="AAC40" s="426"/>
      <c r="AAD40" s="424"/>
      <c r="AAE40" s="426"/>
      <c r="AAF40" s="424"/>
      <c r="AAG40" s="426"/>
      <c r="AAH40" s="424"/>
      <c r="AAI40" s="426"/>
      <c r="AAJ40" s="424"/>
      <c r="AAK40" s="426"/>
      <c r="AAL40" s="424"/>
      <c r="AAM40" s="426"/>
      <c r="AAN40" s="424"/>
      <c r="AAO40" s="426"/>
      <c r="AAP40" s="424"/>
      <c r="AAQ40" s="426"/>
      <c r="AAR40" s="424"/>
      <c r="AAS40" s="426"/>
      <c r="AAT40" s="424"/>
      <c r="AAU40" s="426"/>
      <c r="AAV40" s="424"/>
      <c r="AAW40" s="426"/>
      <c r="AAX40" s="424"/>
      <c r="AAY40" s="426"/>
      <c r="AAZ40" s="424"/>
      <c r="ABA40" s="426"/>
      <c r="ABB40" s="424"/>
      <c r="ABC40" s="426"/>
      <c r="ABD40" s="424"/>
      <c r="ABE40" s="426"/>
      <c r="ABF40" s="424"/>
      <c r="ABG40" s="426"/>
      <c r="ABH40" s="424"/>
      <c r="ABI40" s="426"/>
      <c r="ABJ40" s="424"/>
      <c r="ABK40" s="426"/>
      <c r="ABL40" s="424"/>
      <c r="ABM40" s="426"/>
      <c r="ABN40" s="424"/>
      <c r="ABO40" s="426"/>
      <c r="ABP40" s="424"/>
      <c r="ABQ40" s="426"/>
      <c r="ABR40" s="424"/>
      <c r="ABS40" s="426"/>
      <c r="ABT40" s="424"/>
      <c r="ABU40" s="426"/>
      <c r="ABV40" s="424"/>
      <c r="ABW40" s="426"/>
      <c r="ABX40" s="424"/>
      <c r="ABY40" s="426"/>
      <c r="ABZ40" s="424"/>
      <c r="ACA40" s="426"/>
      <c r="ACB40" s="424"/>
      <c r="ACC40" s="426"/>
      <c r="ACD40" s="424"/>
      <c r="ACE40" s="426"/>
      <c r="ACF40" s="424"/>
      <c r="ACG40" s="426"/>
      <c r="ACH40" s="424"/>
      <c r="ACI40" s="426"/>
      <c r="ACJ40" s="424"/>
      <c r="ACK40" s="426"/>
      <c r="ACL40" s="424"/>
      <c r="ACM40" s="426"/>
      <c r="ACN40" s="424"/>
      <c r="ACO40" s="426"/>
      <c r="ACP40" s="424"/>
      <c r="ACQ40" s="426"/>
      <c r="ACR40" s="424"/>
      <c r="ACS40" s="426"/>
      <c r="ACT40" s="424"/>
      <c r="ACU40" s="426"/>
      <c r="ACV40" s="424"/>
      <c r="ACW40" s="426"/>
      <c r="ACX40" s="424"/>
      <c r="ACY40" s="426"/>
      <c r="ACZ40" s="424"/>
      <c r="ADA40" s="426"/>
      <c r="ADB40" s="424"/>
      <c r="ADC40" s="426"/>
      <c r="ADD40" s="424"/>
      <c r="ADE40" s="426"/>
      <c r="ADF40" s="424"/>
      <c r="ADG40" s="426"/>
      <c r="ADH40" s="424"/>
      <c r="ADI40" s="426"/>
      <c r="ADJ40" s="424"/>
      <c r="ADK40" s="426"/>
      <c r="ADL40" s="424"/>
      <c r="ADM40" s="426"/>
      <c r="ADN40" s="424"/>
      <c r="ADO40" s="426"/>
      <c r="ADP40" s="424"/>
      <c r="ADQ40" s="426"/>
      <c r="ADR40" s="424"/>
      <c r="ADS40" s="426"/>
      <c r="ADT40" s="424"/>
      <c r="ADU40" s="426"/>
      <c r="ADV40" s="424"/>
      <c r="ADW40" s="426"/>
      <c r="ADX40" s="424"/>
      <c r="ADY40" s="426"/>
      <c r="ADZ40" s="424"/>
      <c r="AEA40" s="426"/>
      <c r="AEB40" s="424"/>
      <c r="AEC40" s="426"/>
      <c r="AED40" s="424"/>
      <c r="AEE40" s="426"/>
      <c r="AEF40" s="424"/>
      <c r="AEG40" s="426"/>
      <c r="AEH40" s="424"/>
      <c r="AEI40" s="426"/>
      <c r="AEJ40" s="424"/>
      <c r="AEK40" s="426"/>
      <c r="AEL40" s="424"/>
      <c r="AEM40" s="426"/>
      <c r="AEN40" s="424"/>
      <c r="AEO40" s="426"/>
      <c r="AEP40" s="424"/>
      <c r="AEQ40" s="426"/>
      <c r="AER40" s="424"/>
      <c r="AES40" s="426"/>
      <c r="AET40" s="424"/>
      <c r="AEU40" s="426"/>
      <c r="AEV40" s="424"/>
      <c r="AEW40" s="426"/>
      <c r="AEX40" s="424"/>
      <c r="AEY40" s="426"/>
      <c r="AEZ40" s="424"/>
      <c r="AFA40" s="426"/>
      <c r="AFB40" s="424"/>
      <c r="AFC40" s="426"/>
      <c r="AFD40" s="424"/>
      <c r="AFE40" s="426"/>
      <c r="AFF40" s="424"/>
      <c r="AFG40" s="426"/>
      <c r="AFH40" s="424"/>
      <c r="AFI40" s="426"/>
      <c r="AFJ40" s="424"/>
      <c r="AFK40" s="426"/>
      <c r="AFL40" s="424"/>
      <c r="AFM40" s="426"/>
      <c r="AFN40" s="424"/>
      <c r="AFO40" s="426"/>
      <c r="AFP40" s="424"/>
      <c r="AFQ40" s="426"/>
      <c r="AFR40" s="424"/>
      <c r="AFS40" s="426"/>
      <c r="AFT40" s="424"/>
      <c r="AFU40" s="426"/>
      <c r="AFV40" s="424"/>
      <c r="AFW40" s="426"/>
      <c r="AFX40" s="424"/>
      <c r="AFY40" s="426"/>
      <c r="AFZ40" s="424"/>
      <c r="AGA40" s="426"/>
      <c r="AGB40" s="424"/>
      <c r="AGC40" s="426"/>
      <c r="AGD40" s="424"/>
      <c r="AGE40" s="426"/>
      <c r="AGF40" s="424"/>
      <c r="AGG40" s="426"/>
      <c r="AGH40" s="424"/>
      <c r="AGI40" s="426"/>
      <c r="AGJ40" s="424"/>
      <c r="AGK40" s="426"/>
      <c r="AGL40" s="424"/>
      <c r="AGM40" s="426"/>
      <c r="AGN40" s="424"/>
      <c r="AGO40" s="426"/>
      <c r="AGP40" s="424"/>
      <c r="AGQ40" s="426"/>
      <c r="AGR40" s="424"/>
      <c r="AGS40" s="426"/>
      <c r="AGT40" s="424"/>
      <c r="AGU40" s="426"/>
      <c r="AGV40" s="424"/>
      <c r="AGW40" s="426"/>
      <c r="AGX40" s="424"/>
      <c r="AGY40" s="426"/>
      <c r="AGZ40" s="424"/>
      <c r="AHA40" s="426"/>
      <c r="AHB40" s="424"/>
      <c r="AHC40" s="426"/>
      <c r="AHD40" s="424"/>
      <c r="AHE40" s="426"/>
      <c r="AHF40" s="424"/>
      <c r="AHG40" s="426"/>
      <c r="AHH40" s="424"/>
      <c r="AHI40" s="426"/>
      <c r="AHJ40" s="424"/>
      <c r="AHK40" s="426"/>
      <c r="AHL40" s="424"/>
      <c r="AHM40" s="426"/>
      <c r="AHN40" s="424"/>
      <c r="AHO40" s="426"/>
      <c r="AHP40" s="424"/>
      <c r="AHQ40" s="426"/>
      <c r="AHR40" s="424"/>
      <c r="AHS40" s="426"/>
      <c r="AHT40" s="424"/>
      <c r="AHU40" s="426"/>
      <c r="AHV40" s="424"/>
      <c r="AHW40" s="426"/>
      <c r="AHX40" s="424"/>
      <c r="AHY40" s="426"/>
      <c r="AHZ40" s="424"/>
      <c r="AIA40" s="426"/>
      <c r="AIB40" s="424"/>
      <c r="AIC40" s="426"/>
      <c r="AID40" s="424"/>
      <c r="AIE40" s="426"/>
      <c r="AIF40" s="424"/>
      <c r="AIG40" s="426"/>
      <c r="AIH40" s="424"/>
      <c r="AII40" s="426"/>
      <c r="AIJ40" s="424"/>
      <c r="AIK40" s="426"/>
      <c r="AIL40" s="424"/>
      <c r="AIM40" s="426"/>
      <c r="AIN40" s="424"/>
      <c r="AIO40" s="426"/>
      <c r="AIP40" s="424"/>
      <c r="AIQ40" s="426"/>
      <c r="AIR40" s="424"/>
      <c r="AIS40" s="426"/>
      <c r="AIT40" s="424"/>
      <c r="AIU40" s="426"/>
      <c r="AIV40" s="424"/>
      <c r="AIW40" s="426"/>
      <c r="AIX40" s="424"/>
      <c r="AIY40" s="426"/>
      <c r="AIZ40" s="424"/>
      <c r="AJA40" s="426"/>
      <c r="AJB40" s="424"/>
      <c r="AJC40" s="426"/>
      <c r="AJD40" s="424"/>
      <c r="AJE40" s="426"/>
      <c r="AJF40" s="424"/>
      <c r="AJG40" s="426"/>
      <c r="AJH40" s="424"/>
      <c r="AJI40" s="426"/>
      <c r="AJJ40" s="424"/>
      <c r="AJK40" s="426"/>
      <c r="AJL40" s="424"/>
      <c r="AJM40" s="426"/>
      <c r="AJN40" s="424"/>
      <c r="AJO40" s="426"/>
      <c r="AJP40" s="424"/>
      <c r="AJQ40" s="426"/>
      <c r="AJR40" s="424"/>
      <c r="AJS40" s="426"/>
      <c r="AJT40" s="424"/>
      <c r="AJU40" s="426"/>
      <c r="AJV40" s="424"/>
      <c r="AJW40" s="426"/>
      <c r="AJX40" s="424"/>
      <c r="AJY40" s="426"/>
      <c r="AJZ40" s="424"/>
      <c r="AKA40" s="426"/>
      <c r="AKB40" s="424"/>
      <c r="AKC40" s="426"/>
      <c r="AKD40" s="424"/>
      <c r="AKE40" s="426"/>
      <c r="AKF40" s="424"/>
      <c r="AKG40" s="426"/>
      <c r="AKH40" s="424"/>
      <c r="AKI40" s="426"/>
      <c r="AKJ40" s="424"/>
      <c r="AKK40" s="426"/>
      <c r="AKL40" s="424"/>
      <c r="AKM40" s="426"/>
      <c r="AKN40" s="424"/>
      <c r="AKO40" s="426"/>
      <c r="AKP40" s="424"/>
      <c r="AKQ40" s="426"/>
      <c r="AKR40" s="424"/>
      <c r="AKS40" s="426"/>
      <c r="AKT40" s="424"/>
      <c r="AKU40" s="426"/>
      <c r="AKV40" s="424"/>
      <c r="AKW40" s="426"/>
      <c r="AKX40" s="424"/>
      <c r="AKY40" s="426"/>
      <c r="AKZ40" s="424"/>
      <c r="ALA40" s="426"/>
      <c r="ALB40" s="424"/>
      <c r="ALC40" s="426"/>
      <c r="ALD40" s="424"/>
      <c r="ALE40" s="426"/>
      <c r="ALF40" s="424"/>
      <c r="ALG40" s="426"/>
      <c r="ALH40" s="424"/>
      <c r="ALI40" s="426"/>
      <c r="ALJ40" s="424"/>
      <c r="ALK40" s="426"/>
      <c r="ALL40" s="424"/>
      <c r="ALM40" s="426"/>
      <c r="ALN40" s="424"/>
      <c r="ALO40" s="426"/>
      <c r="ALP40" s="424"/>
      <c r="ALQ40" s="426"/>
      <c r="ALR40" s="424"/>
      <c r="ALS40" s="426"/>
      <c r="ALT40" s="424"/>
      <c r="ALU40" s="426"/>
      <c r="ALV40" s="424"/>
      <c r="ALW40" s="426"/>
      <c r="ALX40" s="424"/>
      <c r="ALY40" s="426"/>
      <c r="ALZ40" s="424"/>
      <c r="AMA40" s="426"/>
      <c r="AMB40" s="424"/>
      <c r="AMC40" s="426"/>
      <c r="AMD40" s="424"/>
      <c r="AME40" s="426"/>
      <c r="AMF40" s="424"/>
      <c r="AMG40" s="426"/>
      <c r="AMH40" s="424"/>
      <c r="AMI40" s="426"/>
      <c r="AMJ40" s="424"/>
      <c r="AMK40" s="426"/>
      <c r="AML40" s="424"/>
      <c r="AMM40" s="426"/>
      <c r="AMN40" s="424"/>
      <c r="AMO40" s="426"/>
      <c r="AMP40" s="424"/>
      <c r="AMQ40" s="426"/>
      <c r="AMR40" s="424"/>
      <c r="AMS40" s="426"/>
      <c r="AMT40" s="424"/>
      <c r="AMU40" s="426"/>
      <c r="AMV40" s="424"/>
      <c r="AMW40" s="426"/>
      <c r="AMX40" s="424"/>
      <c r="AMY40" s="426"/>
      <c r="AMZ40" s="424"/>
      <c r="ANA40" s="426"/>
      <c r="ANB40" s="424"/>
      <c r="ANC40" s="426"/>
      <c r="AND40" s="424"/>
      <c r="ANE40" s="426"/>
      <c r="ANF40" s="424"/>
      <c r="ANG40" s="426"/>
      <c r="ANH40" s="424"/>
      <c r="ANI40" s="426"/>
      <c r="ANJ40" s="424"/>
      <c r="ANK40" s="426"/>
      <c r="ANL40" s="424"/>
      <c r="ANM40" s="426"/>
      <c r="ANN40" s="424"/>
      <c r="ANO40" s="426"/>
      <c r="ANP40" s="424"/>
      <c r="ANQ40" s="426"/>
      <c r="ANR40" s="424"/>
      <c r="ANS40" s="426"/>
      <c r="ANT40" s="424"/>
      <c r="ANU40" s="426"/>
      <c r="ANV40" s="424"/>
      <c r="ANW40" s="426"/>
      <c r="ANX40" s="424"/>
      <c r="ANY40" s="426"/>
      <c r="ANZ40" s="424"/>
      <c r="AOA40" s="426"/>
      <c r="AOB40" s="424"/>
      <c r="AOC40" s="426"/>
      <c r="AOD40" s="424"/>
      <c r="AOE40" s="426"/>
      <c r="AOF40" s="424"/>
      <c r="AOG40" s="426"/>
      <c r="AOH40" s="424"/>
      <c r="AOI40" s="426"/>
      <c r="AOJ40" s="424"/>
      <c r="AOK40" s="426"/>
      <c r="AOL40" s="424"/>
      <c r="AOM40" s="426"/>
      <c r="AON40" s="424"/>
      <c r="AOO40" s="426"/>
      <c r="AOP40" s="424"/>
      <c r="AOQ40" s="426"/>
      <c r="AOR40" s="424"/>
      <c r="AOS40" s="426"/>
      <c r="AOT40" s="424"/>
      <c r="AOU40" s="426"/>
      <c r="AOV40" s="424"/>
      <c r="AOW40" s="426"/>
      <c r="AOX40" s="424"/>
      <c r="AOY40" s="426"/>
      <c r="AOZ40" s="424"/>
      <c r="APA40" s="426"/>
      <c r="APB40" s="424"/>
      <c r="APC40" s="426"/>
      <c r="APD40" s="424"/>
      <c r="APE40" s="426"/>
      <c r="APF40" s="424"/>
      <c r="APG40" s="426"/>
      <c r="APH40" s="424"/>
      <c r="API40" s="426"/>
      <c r="APJ40" s="424"/>
      <c r="APK40" s="426"/>
      <c r="APL40" s="424"/>
      <c r="APM40" s="426"/>
      <c r="APN40" s="424"/>
      <c r="APO40" s="426"/>
      <c r="APP40" s="424"/>
      <c r="APQ40" s="426"/>
      <c r="APR40" s="424"/>
      <c r="APS40" s="426"/>
      <c r="APT40" s="424"/>
      <c r="APU40" s="426"/>
      <c r="APV40" s="424"/>
      <c r="APW40" s="426"/>
      <c r="APX40" s="424"/>
      <c r="APY40" s="426"/>
      <c r="APZ40" s="424"/>
      <c r="AQA40" s="426"/>
      <c r="AQB40" s="424"/>
      <c r="AQC40" s="426"/>
      <c r="AQD40" s="424"/>
      <c r="AQE40" s="426"/>
      <c r="AQF40" s="424"/>
      <c r="AQG40" s="426"/>
      <c r="AQH40" s="424"/>
      <c r="AQI40" s="426"/>
      <c r="AQJ40" s="424"/>
      <c r="AQK40" s="426"/>
      <c r="AQL40" s="424"/>
      <c r="AQM40" s="426"/>
      <c r="AQN40" s="424"/>
      <c r="AQO40" s="426"/>
      <c r="AQP40" s="424"/>
      <c r="AQQ40" s="426"/>
      <c r="AQR40" s="424"/>
      <c r="AQS40" s="426"/>
      <c r="AQT40" s="424"/>
      <c r="AQU40" s="426"/>
      <c r="AQV40" s="424"/>
      <c r="AQW40" s="426"/>
      <c r="AQX40" s="424"/>
      <c r="AQY40" s="426"/>
      <c r="AQZ40" s="424"/>
      <c r="ARA40" s="426"/>
      <c r="ARB40" s="424"/>
      <c r="ARC40" s="426"/>
      <c r="ARD40" s="424"/>
      <c r="ARE40" s="426"/>
      <c r="ARF40" s="424"/>
      <c r="ARG40" s="426"/>
      <c r="ARH40" s="424"/>
      <c r="ARI40" s="426"/>
      <c r="ARJ40" s="424"/>
      <c r="ARK40" s="426"/>
      <c r="ARL40" s="424"/>
      <c r="ARM40" s="426"/>
      <c r="ARN40" s="424"/>
      <c r="ARO40" s="426"/>
      <c r="ARP40" s="424"/>
      <c r="ARQ40" s="426"/>
      <c r="ARR40" s="424"/>
      <c r="ARS40" s="426"/>
      <c r="ART40" s="424"/>
      <c r="ARU40" s="426"/>
      <c r="ARV40" s="424"/>
      <c r="ARW40" s="426"/>
      <c r="ARX40" s="424"/>
      <c r="ARY40" s="426"/>
      <c r="ARZ40" s="424"/>
      <c r="ASA40" s="426"/>
      <c r="ASB40" s="424"/>
      <c r="ASC40" s="426"/>
      <c r="ASD40" s="424"/>
      <c r="ASE40" s="426"/>
      <c r="ASF40" s="424"/>
      <c r="ASG40" s="426"/>
      <c r="ASH40" s="424"/>
      <c r="ASI40" s="426"/>
      <c r="ASJ40" s="424"/>
      <c r="ASK40" s="426"/>
      <c r="ASL40" s="424"/>
      <c r="ASM40" s="426"/>
      <c r="ASN40" s="424"/>
      <c r="ASO40" s="426"/>
      <c r="ASP40" s="424"/>
      <c r="ASQ40" s="426"/>
      <c r="ASR40" s="424"/>
      <c r="ASS40" s="426"/>
      <c r="AST40" s="424"/>
      <c r="ASU40" s="426"/>
      <c r="ASV40" s="424"/>
      <c r="ASW40" s="426"/>
      <c r="ASX40" s="424"/>
      <c r="ASY40" s="426"/>
      <c r="ASZ40" s="424"/>
      <c r="ATA40" s="426"/>
      <c r="ATB40" s="424"/>
      <c r="ATC40" s="426"/>
      <c r="ATD40" s="424"/>
      <c r="ATE40" s="426"/>
      <c r="ATF40" s="424"/>
      <c r="ATG40" s="426"/>
      <c r="ATH40" s="424"/>
      <c r="ATI40" s="426"/>
      <c r="ATJ40" s="424"/>
      <c r="ATK40" s="426"/>
      <c r="ATL40" s="424"/>
      <c r="ATM40" s="426"/>
      <c r="ATN40" s="424"/>
      <c r="ATO40" s="426"/>
      <c r="ATP40" s="424"/>
      <c r="ATQ40" s="426"/>
      <c r="ATR40" s="424"/>
      <c r="ATS40" s="426"/>
      <c r="ATT40" s="424"/>
      <c r="ATU40" s="426"/>
      <c r="ATV40" s="424"/>
      <c r="ATW40" s="426"/>
      <c r="ATX40" s="424"/>
      <c r="ATY40" s="426"/>
      <c r="ATZ40" s="424"/>
      <c r="AUA40" s="426"/>
      <c r="AUB40" s="424"/>
      <c r="AUC40" s="426"/>
      <c r="AUD40" s="424"/>
      <c r="AUE40" s="426"/>
      <c r="AUF40" s="424"/>
      <c r="AUG40" s="426"/>
      <c r="AUH40" s="424"/>
      <c r="AUI40" s="426"/>
      <c r="AUJ40" s="424"/>
      <c r="AUK40" s="426"/>
      <c r="AUL40" s="424"/>
      <c r="AUM40" s="426"/>
      <c r="AUN40" s="424"/>
      <c r="AUO40" s="426"/>
      <c r="AUP40" s="424"/>
      <c r="AUQ40" s="426"/>
      <c r="AUR40" s="424"/>
      <c r="AUS40" s="426"/>
      <c r="AUT40" s="424"/>
      <c r="AUU40" s="426"/>
      <c r="AUV40" s="424"/>
      <c r="AUW40" s="426"/>
      <c r="AUX40" s="424"/>
      <c r="AUY40" s="426"/>
      <c r="AUZ40" s="424"/>
      <c r="AVA40" s="426"/>
      <c r="AVB40" s="424"/>
      <c r="AVC40" s="426"/>
      <c r="AVD40" s="424"/>
      <c r="AVE40" s="426"/>
      <c r="AVF40" s="424"/>
      <c r="AVG40" s="426"/>
      <c r="AVH40" s="424"/>
      <c r="AVI40" s="426"/>
      <c r="AVJ40" s="424"/>
      <c r="AVK40" s="426"/>
      <c r="AVL40" s="424"/>
      <c r="AVM40" s="426"/>
      <c r="AVN40" s="424"/>
      <c r="AVO40" s="426"/>
      <c r="AVP40" s="424"/>
      <c r="AVQ40" s="426"/>
      <c r="AVR40" s="424"/>
      <c r="AVS40" s="426"/>
      <c r="AVT40" s="424"/>
      <c r="AVU40" s="426"/>
      <c r="AVV40" s="424"/>
      <c r="AVW40" s="426"/>
      <c r="AVX40" s="424"/>
      <c r="AVY40" s="426"/>
      <c r="AVZ40" s="424"/>
      <c r="AWA40" s="426"/>
      <c r="AWB40" s="424"/>
      <c r="AWC40" s="426"/>
      <c r="AWD40" s="424"/>
      <c r="AWE40" s="426"/>
      <c r="AWF40" s="424"/>
      <c r="AWG40" s="426"/>
      <c r="AWH40" s="424"/>
      <c r="AWI40" s="426"/>
      <c r="AWJ40" s="424"/>
      <c r="AWK40" s="426"/>
      <c r="AWL40" s="424"/>
      <c r="AWM40" s="426"/>
      <c r="AWN40" s="424"/>
      <c r="AWO40" s="426"/>
      <c r="AWP40" s="424"/>
      <c r="AWQ40" s="426"/>
      <c r="AWR40" s="424"/>
      <c r="AWS40" s="426"/>
      <c r="AWT40" s="424"/>
      <c r="AWU40" s="426"/>
      <c r="AWV40" s="424"/>
      <c r="AWW40" s="426"/>
      <c r="AWX40" s="424"/>
      <c r="AWY40" s="426"/>
      <c r="AWZ40" s="424"/>
      <c r="AXA40" s="426"/>
      <c r="AXB40" s="424"/>
      <c r="AXC40" s="426"/>
      <c r="AXD40" s="424"/>
      <c r="AXE40" s="426"/>
      <c r="AXF40" s="424"/>
      <c r="AXG40" s="426"/>
      <c r="AXH40" s="424"/>
      <c r="AXI40" s="426"/>
      <c r="AXJ40" s="424"/>
      <c r="AXK40" s="426"/>
      <c r="AXL40" s="424"/>
      <c r="AXM40" s="426"/>
      <c r="AXN40" s="424"/>
      <c r="AXO40" s="426"/>
      <c r="AXP40" s="424"/>
      <c r="AXQ40" s="426"/>
      <c r="AXR40" s="424"/>
      <c r="AXS40" s="426"/>
      <c r="AXT40" s="424"/>
      <c r="AXU40" s="426"/>
      <c r="AXV40" s="424"/>
      <c r="AXW40" s="426"/>
      <c r="AXX40" s="424"/>
      <c r="AXY40" s="426"/>
      <c r="AXZ40" s="424"/>
      <c r="AYA40" s="426"/>
      <c r="AYB40" s="424"/>
      <c r="AYC40" s="426"/>
      <c r="AYD40" s="424"/>
      <c r="AYE40" s="426"/>
      <c r="AYF40" s="424"/>
      <c r="AYG40" s="426"/>
      <c r="AYH40" s="424"/>
      <c r="AYI40" s="426"/>
      <c r="AYJ40" s="424"/>
      <c r="AYK40" s="426"/>
      <c r="AYL40" s="424"/>
      <c r="AYM40" s="426"/>
      <c r="AYN40" s="424"/>
      <c r="AYO40" s="426"/>
      <c r="AYP40" s="424"/>
      <c r="AYQ40" s="426"/>
      <c r="AYR40" s="424"/>
      <c r="AYS40" s="426"/>
      <c r="AYT40" s="424"/>
      <c r="AYU40" s="426"/>
      <c r="AYV40" s="424"/>
      <c r="AYW40" s="426"/>
      <c r="AYX40" s="424"/>
      <c r="AYY40" s="426"/>
      <c r="AYZ40" s="424"/>
      <c r="AZA40" s="426"/>
      <c r="AZB40" s="424"/>
      <c r="AZC40" s="426"/>
      <c r="AZD40" s="424"/>
      <c r="AZE40" s="426"/>
      <c r="AZF40" s="424"/>
      <c r="AZG40" s="426"/>
      <c r="AZH40" s="424"/>
      <c r="AZI40" s="426"/>
      <c r="AZJ40" s="424"/>
      <c r="AZK40" s="426"/>
      <c r="AZL40" s="424"/>
      <c r="AZM40" s="426"/>
      <c r="AZN40" s="424"/>
      <c r="AZO40" s="426"/>
      <c r="AZP40" s="424"/>
      <c r="AZQ40" s="426"/>
      <c r="AZR40" s="424"/>
      <c r="AZS40" s="426"/>
      <c r="AZT40" s="424"/>
      <c r="AZU40" s="426"/>
      <c r="AZV40" s="424"/>
      <c r="AZW40" s="426"/>
      <c r="AZX40" s="424"/>
      <c r="AZY40" s="426"/>
      <c r="AZZ40" s="424"/>
      <c r="BAA40" s="426"/>
      <c r="BAB40" s="424"/>
      <c r="BAC40" s="426"/>
      <c r="BAD40" s="424"/>
      <c r="BAE40" s="426"/>
      <c r="BAF40" s="424"/>
      <c r="BAG40" s="426"/>
      <c r="BAH40" s="424"/>
      <c r="BAI40" s="426"/>
      <c r="BAJ40" s="424"/>
      <c r="BAK40" s="426"/>
      <c r="BAL40" s="424"/>
      <c r="BAM40" s="426"/>
      <c r="BAN40" s="424"/>
      <c r="BAO40" s="426"/>
      <c r="BAP40" s="424"/>
      <c r="BAQ40" s="426"/>
      <c r="BAR40" s="424"/>
      <c r="BAS40" s="426"/>
      <c r="BAT40" s="424"/>
      <c r="BAU40" s="426"/>
      <c r="BAV40" s="424"/>
      <c r="BAW40" s="426"/>
      <c r="BAX40" s="424"/>
      <c r="BAY40" s="426"/>
      <c r="BAZ40" s="424"/>
      <c r="BBA40" s="426"/>
      <c r="BBB40" s="424"/>
      <c r="BBC40" s="426"/>
      <c r="BBD40" s="424"/>
      <c r="BBE40" s="426"/>
      <c r="BBF40" s="424"/>
      <c r="BBG40" s="426"/>
      <c r="BBH40" s="424"/>
      <c r="BBI40" s="426"/>
      <c r="BBJ40" s="424"/>
      <c r="BBK40" s="426"/>
      <c r="BBL40" s="424"/>
      <c r="BBM40" s="426"/>
      <c r="BBN40" s="424"/>
      <c r="BBO40" s="426"/>
      <c r="BBP40" s="424"/>
      <c r="BBQ40" s="426"/>
      <c r="BBR40" s="424"/>
      <c r="BBS40" s="426"/>
      <c r="BBT40" s="424"/>
      <c r="BBU40" s="426"/>
      <c r="BBV40" s="424"/>
      <c r="BBW40" s="426"/>
      <c r="BBX40" s="424"/>
      <c r="BBY40" s="426"/>
      <c r="BBZ40" s="424"/>
      <c r="BCA40" s="426"/>
      <c r="BCB40" s="424"/>
      <c r="BCC40" s="426"/>
      <c r="BCD40" s="424"/>
      <c r="BCE40" s="426"/>
      <c r="BCF40" s="424"/>
      <c r="BCG40" s="426"/>
      <c r="BCH40" s="424"/>
      <c r="BCI40" s="426"/>
      <c r="BCJ40" s="424"/>
      <c r="BCK40" s="426"/>
      <c r="BCL40" s="424"/>
      <c r="BCM40" s="426"/>
      <c r="BCN40" s="424"/>
      <c r="BCO40" s="426"/>
      <c r="BCP40" s="424"/>
      <c r="BCQ40" s="426"/>
      <c r="BCR40" s="424"/>
      <c r="BCS40" s="426"/>
      <c r="BCT40" s="424"/>
      <c r="BCU40" s="426"/>
      <c r="BCV40" s="424"/>
      <c r="BCW40" s="426"/>
      <c r="BCX40" s="424"/>
      <c r="BCY40" s="426"/>
      <c r="BCZ40" s="424"/>
      <c r="BDA40" s="426"/>
      <c r="BDB40" s="424"/>
      <c r="BDC40" s="426"/>
      <c r="BDD40" s="424"/>
      <c r="BDE40" s="426"/>
      <c r="BDF40" s="424"/>
      <c r="BDG40" s="426"/>
      <c r="BDH40" s="424"/>
      <c r="BDI40" s="426"/>
      <c r="BDJ40" s="424"/>
      <c r="BDK40" s="426"/>
      <c r="BDL40" s="424"/>
      <c r="BDM40" s="426"/>
      <c r="BDN40" s="424"/>
      <c r="BDO40" s="426"/>
      <c r="BDP40" s="424"/>
      <c r="BDQ40" s="426"/>
      <c r="BDR40" s="424"/>
      <c r="BDS40" s="426"/>
      <c r="BDT40" s="424"/>
      <c r="BDU40" s="426"/>
      <c r="BDV40" s="424"/>
      <c r="BDW40" s="426"/>
      <c r="BDX40" s="424"/>
      <c r="BDY40" s="426"/>
      <c r="BDZ40" s="424"/>
      <c r="BEA40" s="426"/>
      <c r="BEB40" s="424"/>
      <c r="BEC40" s="426"/>
      <c r="BED40" s="424"/>
      <c r="BEE40" s="426"/>
      <c r="BEF40" s="424"/>
      <c r="BEG40" s="426"/>
      <c r="BEH40" s="424"/>
      <c r="BEI40" s="426"/>
      <c r="BEJ40" s="424"/>
      <c r="BEK40" s="426"/>
      <c r="BEL40" s="424"/>
      <c r="BEM40" s="426"/>
      <c r="BEN40" s="424"/>
      <c r="BEO40" s="426"/>
      <c r="BEP40" s="424"/>
      <c r="BEQ40" s="426"/>
      <c r="BER40" s="424"/>
      <c r="BES40" s="426"/>
      <c r="BET40" s="424"/>
      <c r="BEU40" s="426"/>
      <c r="BEV40" s="424"/>
      <c r="BEW40" s="426"/>
      <c r="BEX40" s="424"/>
      <c r="BEY40" s="426"/>
      <c r="BEZ40" s="424"/>
      <c r="BFA40" s="426"/>
      <c r="BFB40" s="424"/>
      <c r="BFC40" s="426"/>
      <c r="BFD40" s="424"/>
      <c r="BFE40" s="426"/>
      <c r="BFF40" s="424"/>
      <c r="BFG40" s="426"/>
      <c r="BFH40" s="424"/>
      <c r="BFI40" s="426"/>
      <c r="BFJ40" s="424"/>
      <c r="BFK40" s="426"/>
      <c r="BFL40" s="424"/>
      <c r="BFM40" s="426"/>
      <c r="BFN40" s="424"/>
      <c r="BFO40" s="426"/>
      <c r="BFP40" s="424"/>
      <c r="BFQ40" s="426"/>
      <c r="BFR40" s="424"/>
      <c r="BFS40" s="426"/>
      <c r="BFT40" s="424"/>
      <c r="BFU40" s="426"/>
      <c r="BFV40" s="424"/>
      <c r="BFW40" s="426"/>
      <c r="BFX40" s="424"/>
      <c r="BFY40" s="426"/>
      <c r="BFZ40" s="424"/>
      <c r="BGA40" s="426"/>
      <c r="BGB40" s="424"/>
      <c r="BGC40" s="426"/>
      <c r="BGD40" s="424"/>
      <c r="BGE40" s="426"/>
      <c r="BGF40" s="424"/>
      <c r="BGG40" s="426"/>
      <c r="BGH40" s="424"/>
      <c r="BGI40" s="426"/>
      <c r="BGJ40" s="424"/>
      <c r="BGK40" s="426"/>
      <c r="BGL40" s="424"/>
      <c r="BGM40" s="426"/>
      <c r="BGN40" s="424"/>
      <c r="BGO40" s="426"/>
      <c r="BGP40" s="424"/>
      <c r="BGQ40" s="426"/>
      <c r="BGR40" s="424"/>
      <c r="BGS40" s="426"/>
      <c r="BGT40" s="424"/>
      <c r="BGU40" s="426"/>
      <c r="BGV40" s="424"/>
      <c r="BGW40" s="426"/>
      <c r="BGX40" s="424"/>
      <c r="BGY40" s="426"/>
      <c r="BGZ40" s="424"/>
      <c r="BHA40" s="426"/>
      <c r="BHB40" s="424"/>
      <c r="BHC40" s="426"/>
      <c r="BHD40" s="424"/>
      <c r="BHE40" s="426"/>
      <c r="BHF40" s="424"/>
      <c r="BHG40" s="426"/>
      <c r="BHH40" s="424"/>
      <c r="BHI40" s="426"/>
      <c r="BHJ40" s="424"/>
      <c r="BHK40" s="426"/>
      <c r="BHL40" s="424"/>
      <c r="BHM40" s="426"/>
      <c r="BHN40" s="424"/>
      <c r="BHO40" s="426"/>
      <c r="BHP40" s="424"/>
      <c r="BHQ40" s="426"/>
      <c r="BHR40" s="424"/>
      <c r="BHS40" s="426"/>
      <c r="BHT40" s="424"/>
      <c r="BHU40" s="426"/>
      <c r="BHV40" s="424"/>
      <c r="BHW40" s="426"/>
      <c r="BHX40" s="424"/>
      <c r="BHY40" s="426"/>
      <c r="BHZ40" s="424"/>
      <c r="BIA40" s="426"/>
      <c r="BIB40" s="424"/>
      <c r="BIC40" s="426"/>
      <c r="BID40" s="424"/>
      <c r="BIE40" s="426"/>
      <c r="BIF40" s="424"/>
      <c r="BIG40" s="426"/>
      <c r="BIH40" s="424"/>
      <c r="BII40" s="426"/>
      <c r="BIJ40" s="424"/>
      <c r="BIK40" s="426"/>
      <c r="BIL40" s="424"/>
      <c r="BIM40" s="426"/>
      <c r="BIN40" s="424"/>
      <c r="BIO40" s="426"/>
      <c r="BIP40" s="424"/>
      <c r="BIQ40" s="426"/>
      <c r="BIR40" s="424"/>
      <c r="BIS40" s="426"/>
      <c r="BIT40" s="424"/>
      <c r="BIU40" s="426"/>
      <c r="BIV40" s="424"/>
      <c r="BIW40" s="426"/>
      <c r="BIX40" s="424"/>
      <c r="BIY40" s="426"/>
      <c r="BIZ40" s="424"/>
      <c r="BJA40" s="426"/>
      <c r="BJB40" s="424"/>
      <c r="BJC40" s="426"/>
      <c r="BJD40" s="424"/>
      <c r="BJE40" s="426"/>
      <c r="BJF40" s="424"/>
      <c r="BJG40" s="426"/>
      <c r="BJH40" s="424"/>
      <c r="BJI40" s="426"/>
      <c r="BJJ40" s="424"/>
      <c r="BJK40" s="426"/>
      <c r="BJL40" s="424"/>
      <c r="BJM40" s="426"/>
      <c r="BJN40" s="424"/>
      <c r="BJO40" s="426"/>
      <c r="BJP40" s="424"/>
      <c r="BJQ40" s="426"/>
      <c r="BJR40" s="424"/>
      <c r="BJS40" s="426"/>
      <c r="BJT40" s="424"/>
      <c r="BJU40" s="426"/>
      <c r="BJV40" s="424"/>
      <c r="BJW40" s="426"/>
      <c r="BJX40" s="424"/>
      <c r="BJY40" s="426"/>
      <c r="BJZ40" s="424"/>
      <c r="BKA40" s="426"/>
      <c r="BKB40" s="424"/>
      <c r="BKC40" s="426"/>
      <c r="BKD40" s="424"/>
      <c r="BKE40" s="426"/>
      <c r="BKF40" s="424"/>
      <c r="BKG40" s="426"/>
      <c r="BKH40" s="424"/>
      <c r="BKI40" s="426"/>
      <c r="BKJ40" s="424"/>
      <c r="BKK40" s="426"/>
      <c r="BKL40" s="424"/>
      <c r="BKM40" s="426"/>
      <c r="BKN40" s="424"/>
      <c r="BKO40" s="426"/>
      <c r="BKP40" s="424"/>
      <c r="BKQ40" s="426"/>
      <c r="BKR40" s="424"/>
      <c r="BKS40" s="426"/>
      <c r="BKT40" s="424"/>
      <c r="BKU40" s="426"/>
      <c r="BKV40" s="424"/>
      <c r="BKW40" s="426"/>
      <c r="BKX40" s="424"/>
      <c r="BKY40" s="426"/>
      <c r="BKZ40" s="424"/>
      <c r="BLA40" s="426"/>
      <c r="BLB40" s="424"/>
      <c r="BLC40" s="426"/>
      <c r="BLD40" s="424"/>
      <c r="BLE40" s="426"/>
      <c r="BLF40" s="424"/>
      <c r="BLG40" s="426"/>
      <c r="BLH40" s="424"/>
      <c r="BLI40" s="426"/>
      <c r="BLJ40" s="424"/>
      <c r="BLK40" s="426"/>
      <c r="BLL40" s="424"/>
      <c r="BLM40" s="426"/>
      <c r="BLN40" s="424"/>
      <c r="BLO40" s="426"/>
      <c r="BLP40" s="424"/>
      <c r="BLQ40" s="426"/>
      <c r="BLR40" s="424"/>
      <c r="BLS40" s="426"/>
      <c r="BLT40" s="424"/>
      <c r="BLU40" s="426"/>
      <c r="BLV40" s="424"/>
      <c r="BLW40" s="426"/>
      <c r="BLX40" s="424"/>
      <c r="BLY40" s="426"/>
      <c r="BLZ40" s="424"/>
      <c r="BMA40" s="426"/>
      <c r="BMB40" s="424"/>
      <c r="BMC40" s="426"/>
      <c r="BMD40" s="424"/>
      <c r="BME40" s="426"/>
      <c r="BMF40" s="424"/>
      <c r="BMG40" s="426"/>
      <c r="BMH40" s="424"/>
      <c r="BMI40" s="426"/>
      <c r="BMJ40" s="424"/>
      <c r="BMK40" s="426"/>
      <c r="BML40" s="424"/>
      <c r="BMM40" s="426"/>
      <c r="BMN40" s="424"/>
      <c r="BMO40" s="426"/>
      <c r="BMP40" s="424"/>
      <c r="BMQ40" s="426"/>
      <c r="BMR40" s="424"/>
      <c r="BMS40" s="426"/>
      <c r="BMT40" s="424"/>
      <c r="BMU40" s="426"/>
      <c r="BMV40" s="424"/>
      <c r="BMW40" s="426"/>
      <c r="BMX40" s="424"/>
      <c r="BMY40" s="426"/>
      <c r="BMZ40" s="424"/>
      <c r="BNA40" s="426"/>
      <c r="BNB40" s="424"/>
      <c r="BNC40" s="426"/>
      <c r="BND40" s="424"/>
      <c r="BNE40" s="426"/>
      <c r="BNF40" s="424"/>
      <c r="BNG40" s="426"/>
      <c r="BNH40" s="424"/>
      <c r="BNI40" s="426"/>
      <c r="BNJ40" s="424"/>
      <c r="BNK40" s="426"/>
      <c r="BNL40" s="424"/>
      <c r="BNM40" s="426"/>
      <c r="BNN40" s="424"/>
      <c r="BNO40" s="426"/>
      <c r="BNP40" s="424"/>
      <c r="BNQ40" s="426"/>
      <c r="BNR40" s="424"/>
      <c r="BNS40" s="426"/>
      <c r="BNT40" s="424"/>
      <c r="BNU40" s="426"/>
      <c r="BNV40" s="424"/>
      <c r="BNW40" s="426"/>
      <c r="BNX40" s="424"/>
      <c r="BNY40" s="426"/>
      <c r="BNZ40" s="424"/>
      <c r="BOA40" s="426"/>
      <c r="BOB40" s="424"/>
      <c r="BOC40" s="426"/>
      <c r="BOD40" s="424"/>
      <c r="BOE40" s="426"/>
      <c r="BOF40" s="424"/>
      <c r="BOG40" s="426"/>
      <c r="BOH40" s="424"/>
      <c r="BOI40" s="426"/>
      <c r="BOJ40" s="424"/>
      <c r="BOK40" s="426"/>
      <c r="BOL40" s="424"/>
      <c r="BOM40" s="426"/>
      <c r="BON40" s="424"/>
      <c r="BOO40" s="426"/>
      <c r="BOP40" s="424"/>
      <c r="BOQ40" s="426"/>
      <c r="BOR40" s="424"/>
      <c r="BOS40" s="426"/>
      <c r="BOT40" s="424"/>
      <c r="BOU40" s="426"/>
      <c r="BOV40" s="424"/>
      <c r="BOW40" s="426"/>
      <c r="BOX40" s="424"/>
      <c r="BOY40" s="426"/>
      <c r="BOZ40" s="424"/>
      <c r="BPA40" s="426"/>
      <c r="BPB40" s="424"/>
      <c r="BPC40" s="426"/>
      <c r="BPD40" s="424"/>
      <c r="BPE40" s="426"/>
      <c r="BPF40" s="424"/>
      <c r="BPG40" s="426"/>
      <c r="BPH40" s="424"/>
      <c r="BPI40" s="426"/>
      <c r="BPJ40" s="424"/>
      <c r="BPK40" s="426"/>
      <c r="BPL40" s="424"/>
      <c r="BPM40" s="426"/>
      <c r="BPN40" s="424"/>
      <c r="BPO40" s="426"/>
      <c r="BPP40" s="424"/>
      <c r="BPQ40" s="426"/>
      <c r="BPR40" s="424"/>
      <c r="BPS40" s="426"/>
      <c r="BPT40" s="424"/>
      <c r="BPU40" s="426"/>
      <c r="BPV40" s="424"/>
      <c r="BPW40" s="426"/>
      <c r="BPX40" s="424"/>
      <c r="BPY40" s="426"/>
      <c r="BPZ40" s="424"/>
      <c r="BQA40" s="426"/>
      <c r="BQB40" s="424"/>
      <c r="BQC40" s="426"/>
      <c r="BQD40" s="424"/>
      <c r="BQE40" s="426"/>
      <c r="BQF40" s="424"/>
      <c r="BQG40" s="426"/>
      <c r="BQH40" s="424"/>
      <c r="BQI40" s="426"/>
      <c r="BQJ40" s="424"/>
      <c r="BQK40" s="426"/>
      <c r="BQL40" s="424"/>
      <c r="BQM40" s="426"/>
      <c r="BQN40" s="424"/>
      <c r="BQO40" s="426"/>
      <c r="BQP40" s="424"/>
      <c r="BQQ40" s="426"/>
      <c r="BQR40" s="424"/>
      <c r="BQS40" s="426"/>
      <c r="BQT40" s="424"/>
      <c r="BQU40" s="426"/>
      <c r="BQV40" s="424"/>
      <c r="BQW40" s="426"/>
      <c r="BQX40" s="424"/>
      <c r="BQY40" s="426"/>
      <c r="BQZ40" s="424"/>
      <c r="BRA40" s="426"/>
      <c r="BRB40" s="424"/>
      <c r="BRC40" s="426"/>
      <c r="BRD40" s="424"/>
      <c r="BRE40" s="426"/>
      <c r="BRF40" s="424"/>
      <c r="BRG40" s="426"/>
      <c r="BRH40" s="424"/>
      <c r="BRI40" s="426"/>
      <c r="BRJ40" s="424"/>
      <c r="BRK40" s="426"/>
      <c r="BRL40" s="424"/>
      <c r="BRM40" s="426"/>
      <c r="BRN40" s="424"/>
      <c r="BRO40" s="426"/>
      <c r="BRP40" s="424"/>
      <c r="BRQ40" s="426"/>
      <c r="BRR40" s="424"/>
      <c r="BRS40" s="426"/>
      <c r="BRT40" s="424"/>
      <c r="BRU40" s="426"/>
      <c r="BRV40" s="424"/>
      <c r="BRW40" s="426"/>
      <c r="BRX40" s="424"/>
      <c r="BRY40" s="426"/>
      <c r="BRZ40" s="424"/>
      <c r="BSA40" s="426"/>
      <c r="BSB40" s="424"/>
      <c r="BSC40" s="426"/>
      <c r="BSD40" s="424"/>
      <c r="BSE40" s="426"/>
      <c r="BSF40" s="424"/>
      <c r="BSG40" s="426"/>
      <c r="BSH40" s="424"/>
      <c r="BSI40" s="426"/>
      <c r="BSJ40" s="424"/>
      <c r="BSK40" s="426"/>
      <c r="BSL40" s="424"/>
      <c r="BSM40" s="426"/>
      <c r="BSN40" s="424"/>
      <c r="BSO40" s="426"/>
      <c r="BSP40" s="424"/>
      <c r="BSQ40" s="426"/>
      <c r="BSR40" s="424"/>
      <c r="BSS40" s="426"/>
      <c r="BST40" s="424"/>
      <c r="BSU40" s="426"/>
      <c r="BSV40" s="424"/>
      <c r="BSW40" s="426"/>
      <c r="BSX40" s="424"/>
      <c r="BSY40" s="426"/>
      <c r="BSZ40" s="424"/>
      <c r="BTA40" s="426"/>
      <c r="BTB40" s="424"/>
      <c r="BTC40" s="426"/>
      <c r="BTD40" s="424"/>
      <c r="BTE40" s="426"/>
      <c r="BTF40" s="424"/>
      <c r="BTG40" s="426"/>
      <c r="BTH40" s="424"/>
      <c r="BTI40" s="426"/>
      <c r="BTJ40" s="424"/>
      <c r="BTK40" s="426"/>
      <c r="BTL40" s="424"/>
      <c r="BTM40" s="426"/>
      <c r="BTN40" s="424"/>
      <c r="BTO40" s="426"/>
      <c r="BTP40" s="424"/>
      <c r="BTQ40" s="426"/>
      <c r="BTR40" s="424"/>
      <c r="BTS40" s="426"/>
      <c r="BTT40" s="424"/>
      <c r="BTU40" s="426"/>
      <c r="BTV40" s="424"/>
      <c r="BTW40" s="426"/>
      <c r="BTX40" s="424"/>
      <c r="BTY40" s="426"/>
      <c r="BTZ40" s="424"/>
      <c r="BUA40" s="426"/>
      <c r="BUB40" s="424"/>
      <c r="BUC40" s="426"/>
      <c r="BUD40" s="424"/>
      <c r="BUE40" s="426"/>
      <c r="BUF40" s="424"/>
      <c r="BUG40" s="426"/>
      <c r="BUH40" s="424"/>
      <c r="BUI40" s="426"/>
      <c r="BUJ40" s="424"/>
      <c r="BUK40" s="426"/>
      <c r="BUL40" s="424"/>
      <c r="BUM40" s="426"/>
      <c r="BUN40" s="424"/>
      <c r="BUO40" s="426"/>
      <c r="BUP40" s="424"/>
      <c r="BUQ40" s="426"/>
      <c r="BUR40" s="424"/>
      <c r="BUS40" s="426"/>
      <c r="BUT40" s="424"/>
      <c r="BUU40" s="426"/>
      <c r="BUV40" s="424"/>
      <c r="BUW40" s="426"/>
      <c r="BUX40" s="424"/>
      <c r="BUY40" s="426"/>
      <c r="BUZ40" s="424"/>
      <c r="BVA40" s="426"/>
      <c r="BVB40" s="424"/>
      <c r="BVC40" s="426"/>
      <c r="BVD40" s="424"/>
      <c r="BVE40" s="426"/>
      <c r="BVF40" s="424"/>
      <c r="BVG40" s="426"/>
      <c r="BVH40" s="424"/>
      <c r="BVI40" s="426"/>
      <c r="BVJ40" s="424"/>
      <c r="BVK40" s="426"/>
      <c r="BVL40" s="424"/>
      <c r="BVM40" s="426"/>
      <c r="BVN40" s="424"/>
      <c r="BVO40" s="426"/>
      <c r="BVP40" s="424"/>
      <c r="BVQ40" s="426"/>
      <c r="BVR40" s="424"/>
      <c r="BVS40" s="426"/>
      <c r="BVT40" s="424"/>
      <c r="BVU40" s="426"/>
      <c r="BVV40" s="424"/>
      <c r="BVW40" s="426"/>
      <c r="BVX40" s="424"/>
      <c r="BVY40" s="426"/>
      <c r="BVZ40" s="424"/>
      <c r="BWA40" s="426"/>
      <c r="BWB40" s="424"/>
      <c r="BWC40" s="426"/>
      <c r="BWD40" s="424"/>
      <c r="BWE40" s="426"/>
      <c r="BWF40" s="424"/>
      <c r="BWG40" s="426"/>
      <c r="BWH40" s="424"/>
      <c r="BWI40" s="426"/>
      <c r="BWJ40" s="424"/>
      <c r="BWK40" s="426"/>
      <c r="BWL40" s="424"/>
      <c r="BWM40" s="426"/>
      <c r="BWN40" s="424"/>
      <c r="BWO40" s="426"/>
      <c r="BWP40" s="424"/>
      <c r="BWQ40" s="426"/>
      <c r="BWR40" s="424"/>
      <c r="BWS40" s="426"/>
      <c r="BWT40" s="424"/>
      <c r="BWU40" s="426"/>
      <c r="BWV40" s="424"/>
      <c r="BWW40" s="426"/>
      <c r="BWX40" s="424"/>
      <c r="BWY40" s="426"/>
      <c r="BWZ40" s="424"/>
      <c r="BXA40" s="426"/>
      <c r="BXB40" s="424"/>
      <c r="BXC40" s="426"/>
      <c r="BXD40" s="424"/>
      <c r="BXE40" s="426"/>
      <c r="BXF40" s="424"/>
      <c r="BXG40" s="426"/>
      <c r="BXH40" s="424"/>
      <c r="BXI40" s="426"/>
      <c r="BXJ40" s="424"/>
      <c r="BXK40" s="426"/>
      <c r="BXL40" s="424"/>
      <c r="BXM40" s="426"/>
      <c r="BXN40" s="424"/>
      <c r="BXO40" s="426"/>
      <c r="BXP40" s="424"/>
      <c r="BXQ40" s="426"/>
      <c r="BXR40" s="424"/>
      <c r="BXS40" s="426"/>
      <c r="BXT40" s="424"/>
      <c r="BXU40" s="426"/>
      <c r="BXV40" s="424"/>
      <c r="BXW40" s="426"/>
      <c r="BXX40" s="424"/>
      <c r="BXY40" s="426"/>
      <c r="BXZ40" s="424"/>
      <c r="BYA40" s="426"/>
      <c r="BYB40" s="424"/>
      <c r="BYC40" s="426"/>
      <c r="BYD40" s="424"/>
      <c r="BYE40" s="426"/>
      <c r="BYF40" s="424"/>
      <c r="BYG40" s="426"/>
      <c r="BYH40" s="424"/>
      <c r="BYI40" s="426"/>
      <c r="BYJ40" s="424"/>
      <c r="BYK40" s="426"/>
      <c r="BYL40" s="424"/>
      <c r="BYM40" s="426"/>
      <c r="BYN40" s="424"/>
      <c r="BYO40" s="426"/>
      <c r="BYP40" s="424"/>
      <c r="BYQ40" s="426"/>
      <c r="BYR40" s="424"/>
      <c r="BYS40" s="426"/>
      <c r="BYT40" s="424"/>
      <c r="BYU40" s="426"/>
      <c r="BYV40" s="424"/>
      <c r="BYW40" s="426"/>
      <c r="BYX40" s="424"/>
      <c r="BYY40" s="426"/>
      <c r="BYZ40" s="424"/>
      <c r="BZA40" s="426"/>
      <c r="BZB40" s="424"/>
      <c r="BZC40" s="426"/>
      <c r="BZD40" s="424"/>
      <c r="BZE40" s="426"/>
      <c r="BZF40" s="424"/>
      <c r="BZG40" s="426"/>
      <c r="BZH40" s="424"/>
      <c r="BZI40" s="426"/>
      <c r="BZJ40" s="424"/>
      <c r="BZK40" s="426"/>
      <c r="BZL40" s="424"/>
      <c r="BZM40" s="426"/>
      <c r="BZN40" s="424"/>
      <c r="BZO40" s="426"/>
      <c r="BZP40" s="424"/>
      <c r="BZQ40" s="426"/>
      <c r="BZR40" s="424"/>
      <c r="BZS40" s="426"/>
      <c r="BZT40" s="424"/>
      <c r="BZU40" s="426"/>
      <c r="BZV40" s="424"/>
      <c r="BZW40" s="426"/>
      <c r="BZX40" s="424"/>
      <c r="BZY40" s="426"/>
      <c r="BZZ40" s="424"/>
      <c r="CAA40" s="426"/>
      <c r="CAB40" s="424"/>
      <c r="CAC40" s="426"/>
      <c r="CAD40" s="424"/>
      <c r="CAE40" s="426"/>
      <c r="CAF40" s="424"/>
      <c r="CAG40" s="426"/>
      <c r="CAH40" s="424"/>
      <c r="CAI40" s="426"/>
      <c r="CAJ40" s="424"/>
      <c r="CAK40" s="426"/>
      <c r="CAL40" s="424"/>
      <c r="CAM40" s="426"/>
      <c r="CAN40" s="424"/>
      <c r="CAO40" s="426"/>
      <c r="CAP40" s="424"/>
      <c r="CAQ40" s="426"/>
      <c r="CAR40" s="424"/>
      <c r="CAS40" s="426"/>
      <c r="CAT40" s="424"/>
      <c r="CAU40" s="426"/>
      <c r="CAV40" s="424"/>
      <c r="CAW40" s="426"/>
      <c r="CAX40" s="424"/>
      <c r="CAY40" s="426"/>
      <c r="CAZ40" s="424"/>
      <c r="CBA40" s="426"/>
      <c r="CBB40" s="424"/>
      <c r="CBC40" s="426"/>
      <c r="CBD40" s="424"/>
      <c r="CBE40" s="426"/>
      <c r="CBF40" s="424"/>
      <c r="CBG40" s="426"/>
      <c r="CBH40" s="424"/>
      <c r="CBI40" s="426"/>
      <c r="CBJ40" s="424"/>
      <c r="CBK40" s="426"/>
      <c r="CBL40" s="424"/>
      <c r="CBM40" s="426"/>
      <c r="CBN40" s="424"/>
      <c r="CBO40" s="426"/>
      <c r="CBP40" s="424"/>
      <c r="CBQ40" s="426"/>
      <c r="CBR40" s="424"/>
      <c r="CBS40" s="426"/>
      <c r="CBT40" s="424"/>
      <c r="CBU40" s="426"/>
      <c r="CBV40" s="424"/>
      <c r="CBW40" s="426"/>
      <c r="CBX40" s="424"/>
      <c r="CBY40" s="426"/>
      <c r="CBZ40" s="424"/>
      <c r="CCA40" s="426"/>
      <c r="CCB40" s="424"/>
      <c r="CCC40" s="426"/>
      <c r="CCD40" s="424"/>
      <c r="CCE40" s="426"/>
      <c r="CCF40" s="424"/>
      <c r="CCG40" s="426"/>
      <c r="CCH40" s="424"/>
      <c r="CCI40" s="426"/>
      <c r="CCJ40" s="424"/>
      <c r="CCK40" s="426"/>
      <c r="CCL40" s="424"/>
      <c r="CCM40" s="426"/>
      <c r="CCN40" s="424"/>
      <c r="CCO40" s="426"/>
      <c r="CCP40" s="424"/>
      <c r="CCQ40" s="426"/>
      <c r="CCR40" s="424"/>
      <c r="CCS40" s="426"/>
      <c r="CCT40" s="424"/>
      <c r="CCU40" s="426"/>
      <c r="CCV40" s="424"/>
      <c r="CCW40" s="426"/>
      <c r="CCX40" s="424"/>
      <c r="CCY40" s="426"/>
      <c r="CCZ40" s="424"/>
      <c r="CDA40" s="426"/>
      <c r="CDB40" s="424"/>
      <c r="CDC40" s="426"/>
      <c r="CDD40" s="424"/>
      <c r="CDE40" s="426"/>
      <c r="CDF40" s="424"/>
      <c r="CDG40" s="426"/>
      <c r="CDH40" s="424"/>
      <c r="CDI40" s="426"/>
      <c r="CDJ40" s="424"/>
      <c r="CDK40" s="426"/>
      <c r="CDL40" s="424"/>
      <c r="CDM40" s="426"/>
      <c r="CDN40" s="424"/>
      <c r="CDO40" s="426"/>
      <c r="CDP40" s="424"/>
      <c r="CDQ40" s="426"/>
      <c r="CDR40" s="424"/>
      <c r="CDS40" s="426"/>
      <c r="CDT40" s="424"/>
      <c r="CDU40" s="426"/>
      <c r="CDV40" s="424"/>
      <c r="CDW40" s="426"/>
      <c r="CDX40" s="424"/>
      <c r="CDY40" s="426"/>
      <c r="CDZ40" s="424"/>
      <c r="CEA40" s="426"/>
      <c r="CEB40" s="424"/>
      <c r="CEC40" s="426"/>
      <c r="CED40" s="424"/>
      <c r="CEE40" s="426"/>
      <c r="CEF40" s="424"/>
      <c r="CEG40" s="426"/>
      <c r="CEH40" s="424"/>
      <c r="CEI40" s="426"/>
      <c r="CEJ40" s="424"/>
      <c r="CEK40" s="426"/>
      <c r="CEL40" s="424"/>
      <c r="CEM40" s="426"/>
      <c r="CEN40" s="424"/>
      <c r="CEO40" s="426"/>
      <c r="CEP40" s="424"/>
      <c r="CEQ40" s="426"/>
      <c r="CER40" s="424"/>
      <c r="CES40" s="426"/>
      <c r="CET40" s="424"/>
      <c r="CEU40" s="426"/>
      <c r="CEV40" s="424"/>
      <c r="CEW40" s="426"/>
      <c r="CEX40" s="424"/>
      <c r="CEY40" s="426"/>
      <c r="CEZ40" s="424"/>
      <c r="CFA40" s="426"/>
      <c r="CFB40" s="424"/>
      <c r="CFC40" s="426"/>
      <c r="CFD40" s="424"/>
      <c r="CFE40" s="426"/>
      <c r="CFF40" s="424"/>
      <c r="CFG40" s="426"/>
      <c r="CFH40" s="424"/>
      <c r="CFI40" s="426"/>
      <c r="CFJ40" s="424"/>
      <c r="CFK40" s="426"/>
      <c r="CFL40" s="424"/>
      <c r="CFM40" s="426"/>
      <c r="CFN40" s="424"/>
      <c r="CFO40" s="426"/>
      <c r="CFP40" s="424"/>
      <c r="CFQ40" s="426"/>
      <c r="CFR40" s="424"/>
      <c r="CFS40" s="426"/>
      <c r="CFT40" s="424"/>
      <c r="CFU40" s="426"/>
      <c r="CFV40" s="424"/>
      <c r="CFW40" s="426"/>
      <c r="CFX40" s="424"/>
      <c r="CFY40" s="426"/>
      <c r="CFZ40" s="424"/>
      <c r="CGA40" s="426"/>
      <c r="CGB40" s="424"/>
      <c r="CGC40" s="426"/>
      <c r="CGD40" s="424"/>
      <c r="CGE40" s="426"/>
      <c r="CGF40" s="424"/>
      <c r="CGG40" s="426"/>
      <c r="CGH40" s="424"/>
      <c r="CGI40" s="426"/>
      <c r="CGJ40" s="424"/>
      <c r="CGK40" s="426"/>
      <c r="CGL40" s="424"/>
      <c r="CGM40" s="426"/>
      <c r="CGN40" s="424"/>
      <c r="CGO40" s="426"/>
      <c r="CGP40" s="424"/>
      <c r="CGQ40" s="426"/>
      <c r="CGR40" s="424"/>
      <c r="CGS40" s="426"/>
      <c r="CGT40" s="424"/>
      <c r="CGU40" s="426"/>
      <c r="CGV40" s="424"/>
      <c r="CGW40" s="426"/>
      <c r="CGX40" s="424"/>
      <c r="CGY40" s="426"/>
      <c r="CGZ40" s="424"/>
      <c r="CHA40" s="426"/>
      <c r="CHB40" s="424"/>
      <c r="CHC40" s="426"/>
      <c r="CHD40" s="424"/>
      <c r="CHE40" s="426"/>
      <c r="CHF40" s="424"/>
      <c r="CHG40" s="426"/>
      <c r="CHH40" s="424"/>
      <c r="CHI40" s="426"/>
      <c r="CHJ40" s="424"/>
      <c r="CHK40" s="426"/>
      <c r="CHL40" s="424"/>
      <c r="CHM40" s="426"/>
      <c r="CHN40" s="424"/>
      <c r="CHO40" s="426"/>
      <c r="CHP40" s="424"/>
      <c r="CHQ40" s="426"/>
      <c r="CHR40" s="424"/>
      <c r="CHS40" s="426"/>
      <c r="CHT40" s="424"/>
      <c r="CHU40" s="426"/>
      <c r="CHV40" s="424"/>
      <c r="CHW40" s="426"/>
      <c r="CHX40" s="424"/>
      <c r="CHY40" s="426"/>
      <c r="CHZ40" s="424"/>
      <c r="CIA40" s="426"/>
      <c r="CIB40" s="424"/>
      <c r="CIC40" s="426"/>
      <c r="CID40" s="424"/>
      <c r="CIE40" s="426"/>
      <c r="CIF40" s="424"/>
      <c r="CIG40" s="426"/>
      <c r="CIH40" s="424"/>
      <c r="CII40" s="426"/>
      <c r="CIJ40" s="424"/>
      <c r="CIK40" s="426"/>
      <c r="CIL40" s="424"/>
      <c r="CIM40" s="426"/>
      <c r="CIN40" s="424"/>
      <c r="CIO40" s="426"/>
      <c r="CIP40" s="424"/>
      <c r="CIQ40" s="426"/>
      <c r="CIR40" s="424"/>
      <c r="CIS40" s="426"/>
      <c r="CIT40" s="424"/>
      <c r="CIU40" s="426"/>
      <c r="CIV40" s="424"/>
      <c r="CIW40" s="426"/>
      <c r="CIX40" s="424"/>
      <c r="CIY40" s="426"/>
      <c r="CIZ40" s="424"/>
      <c r="CJA40" s="426"/>
      <c r="CJB40" s="424"/>
      <c r="CJC40" s="426"/>
      <c r="CJD40" s="424"/>
      <c r="CJE40" s="426"/>
      <c r="CJF40" s="424"/>
      <c r="CJG40" s="426"/>
      <c r="CJH40" s="424"/>
      <c r="CJI40" s="426"/>
      <c r="CJJ40" s="424"/>
      <c r="CJK40" s="426"/>
      <c r="CJL40" s="424"/>
      <c r="CJM40" s="426"/>
      <c r="CJN40" s="424"/>
      <c r="CJO40" s="426"/>
      <c r="CJP40" s="424"/>
      <c r="CJQ40" s="426"/>
      <c r="CJR40" s="424"/>
      <c r="CJS40" s="426"/>
      <c r="CJT40" s="424"/>
      <c r="CJU40" s="426"/>
      <c r="CJV40" s="424"/>
      <c r="CJW40" s="426"/>
      <c r="CJX40" s="424"/>
      <c r="CJY40" s="426"/>
      <c r="CJZ40" s="424"/>
      <c r="CKA40" s="426"/>
      <c r="CKB40" s="424"/>
      <c r="CKC40" s="426"/>
      <c r="CKD40" s="424"/>
      <c r="CKE40" s="426"/>
      <c r="CKF40" s="424"/>
      <c r="CKG40" s="426"/>
      <c r="CKH40" s="424"/>
      <c r="CKI40" s="426"/>
      <c r="CKJ40" s="424"/>
      <c r="CKK40" s="426"/>
      <c r="CKL40" s="424"/>
      <c r="CKM40" s="426"/>
      <c r="CKN40" s="424"/>
      <c r="CKO40" s="426"/>
      <c r="CKP40" s="424"/>
      <c r="CKQ40" s="426"/>
      <c r="CKR40" s="424"/>
      <c r="CKS40" s="426"/>
      <c r="CKT40" s="424"/>
      <c r="CKU40" s="426"/>
      <c r="CKV40" s="424"/>
      <c r="CKW40" s="426"/>
      <c r="CKX40" s="424"/>
      <c r="CKY40" s="426"/>
      <c r="CKZ40" s="424"/>
      <c r="CLA40" s="426"/>
      <c r="CLB40" s="424"/>
      <c r="CLC40" s="426"/>
      <c r="CLD40" s="424"/>
      <c r="CLE40" s="426"/>
      <c r="CLF40" s="424"/>
      <c r="CLG40" s="426"/>
      <c r="CLH40" s="424"/>
      <c r="CLI40" s="426"/>
      <c r="CLJ40" s="424"/>
      <c r="CLK40" s="426"/>
      <c r="CLL40" s="424"/>
      <c r="CLM40" s="426"/>
      <c r="CLN40" s="424"/>
      <c r="CLO40" s="426"/>
      <c r="CLP40" s="424"/>
      <c r="CLQ40" s="426"/>
      <c r="CLR40" s="424"/>
      <c r="CLS40" s="426"/>
      <c r="CLT40" s="424"/>
      <c r="CLU40" s="426"/>
      <c r="CLV40" s="424"/>
      <c r="CLW40" s="426"/>
      <c r="CLX40" s="424"/>
      <c r="CLY40" s="426"/>
      <c r="CLZ40" s="424"/>
      <c r="CMA40" s="426"/>
      <c r="CMB40" s="424"/>
      <c r="CMC40" s="426"/>
      <c r="CMD40" s="424"/>
      <c r="CME40" s="426"/>
      <c r="CMF40" s="424"/>
      <c r="CMG40" s="426"/>
      <c r="CMH40" s="424"/>
      <c r="CMI40" s="426"/>
      <c r="CMJ40" s="424"/>
      <c r="CMK40" s="426"/>
      <c r="CML40" s="424"/>
      <c r="CMM40" s="426"/>
      <c r="CMN40" s="424"/>
      <c r="CMO40" s="426"/>
      <c r="CMP40" s="424"/>
      <c r="CMQ40" s="426"/>
      <c r="CMR40" s="424"/>
      <c r="CMS40" s="426"/>
      <c r="CMT40" s="424"/>
      <c r="CMU40" s="426"/>
      <c r="CMV40" s="424"/>
      <c r="CMW40" s="426"/>
      <c r="CMX40" s="424"/>
      <c r="CMY40" s="426"/>
      <c r="CMZ40" s="424"/>
      <c r="CNA40" s="426"/>
      <c r="CNB40" s="424"/>
      <c r="CNC40" s="426"/>
      <c r="CND40" s="424"/>
      <c r="CNE40" s="426"/>
      <c r="CNF40" s="424"/>
      <c r="CNG40" s="426"/>
      <c r="CNH40" s="424"/>
      <c r="CNI40" s="426"/>
      <c r="CNJ40" s="424"/>
      <c r="CNK40" s="426"/>
      <c r="CNL40" s="424"/>
      <c r="CNM40" s="426"/>
      <c r="CNN40" s="424"/>
      <c r="CNO40" s="426"/>
      <c r="CNP40" s="424"/>
      <c r="CNQ40" s="426"/>
      <c r="CNR40" s="424"/>
      <c r="CNS40" s="426"/>
      <c r="CNT40" s="424"/>
      <c r="CNU40" s="426"/>
      <c r="CNV40" s="424"/>
      <c r="CNW40" s="426"/>
      <c r="CNX40" s="424"/>
      <c r="CNY40" s="426"/>
      <c r="CNZ40" s="424"/>
      <c r="COA40" s="426"/>
      <c r="COB40" s="424"/>
      <c r="COC40" s="426"/>
      <c r="COD40" s="424"/>
      <c r="COE40" s="426"/>
      <c r="COF40" s="424"/>
      <c r="COG40" s="426"/>
      <c r="COH40" s="424"/>
      <c r="COI40" s="426"/>
      <c r="COJ40" s="424"/>
      <c r="COK40" s="426"/>
      <c r="COL40" s="424"/>
      <c r="COM40" s="426"/>
      <c r="CON40" s="424"/>
      <c r="COO40" s="426"/>
      <c r="COP40" s="424"/>
      <c r="COQ40" s="426"/>
      <c r="COR40" s="424"/>
      <c r="COS40" s="426"/>
      <c r="COT40" s="424"/>
      <c r="COU40" s="426"/>
      <c r="COV40" s="424"/>
      <c r="COW40" s="426"/>
      <c r="COX40" s="424"/>
      <c r="COY40" s="426"/>
      <c r="COZ40" s="424"/>
      <c r="CPA40" s="426"/>
      <c r="CPB40" s="424"/>
      <c r="CPC40" s="426"/>
      <c r="CPD40" s="424"/>
      <c r="CPE40" s="426"/>
      <c r="CPF40" s="424"/>
      <c r="CPG40" s="426"/>
      <c r="CPH40" s="424"/>
      <c r="CPI40" s="426"/>
      <c r="CPJ40" s="424"/>
      <c r="CPK40" s="426"/>
      <c r="CPL40" s="424"/>
      <c r="CPM40" s="426"/>
      <c r="CPN40" s="424"/>
      <c r="CPO40" s="426"/>
      <c r="CPP40" s="424"/>
      <c r="CPQ40" s="426"/>
      <c r="CPR40" s="424"/>
      <c r="CPS40" s="426"/>
      <c r="CPT40" s="424"/>
      <c r="CPU40" s="426"/>
      <c r="CPV40" s="424"/>
      <c r="CPW40" s="426"/>
      <c r="CPX40" s="424"/>
      <c r="CPY40" s="426"/>
      <c r="CPZ40" s="424"/>
      <c r="CQA40" s="426"/>
      <c r="CQB40" s="424"/>
      <c r="CQC40" s="426"/>
      <c r="CQD40" s="424"/>
      <c r="CQE40" s="426"/>
      <c r="CQF40" s="424"/>
      <c r="CQG40" s="426"/>
      <c r="CQH40" s="424"/>
      <c r="CQI40" s="426"/>
      <c r="CQJ40" s="424"/>
      <c r="CQK40" s="426"/>
      <c r="CQL40" s="424"/>
      <c r="CQM40" s="426"/>
      <c r="CQN40" s="424"/>
      <c r="CQO40" s="426"/>
      <c r="CQP40" s="424"/>
      <c r="CQQ40" s="426"/>
      <c r="CQR40" s="424"/>
      <c r="CQS40" s="426"/>
      <c r="CQT40" s="424"/>
      <c r="CQU40" s="426"/>
      <c r="CQV40" s="424"/>
      <c r="CQW40" s="426"/>
      <c r="CQX40" s="424"/>
      <c r="CQY40" s="426"/>
      <c r="CQZ40" s="424"/>
      <c r="CRA40" s="426"/>
      <c r="CRB40" s="424"/>
      <c r="CRC40" s="426"/>
      <c r="CRD40" s="424"/>
      <c r="CRE40" s="426"/>
      <c r="CRF40" s="424"/>
      <c r="CRG40" s="426"/>
      <c r="CRH40" s="424"/>
      <c r="CRI40" s="426"/>
      <c r="CRJ40" s="424"/>
      <c r="CRK40" s="426"/>
      <c r="CRL40" s="424"/>
      <c r="CRM40" s="426"/>
      <c r="CRN40" s="424"/>
      <c r="CRO40" s="426"/>
      <c r="CRP40" s="424"/>
      <c r="CRQ40" s="426"/>
      <c r="CRR40" s="424"/>
      <c r="CRS40" s="426"/>
      <c r="CRT40" s="424"/>
      <c r="CRU40" s="426"/>
      <c r="CRV40" s="424"/>
      <c r="CRW40" s="426"/>
      <c r="CRX40" s="424"/>
      <c r="CRY40" s="426"/>
      <c r="CRZ40" s="424"/>
      <c r="CSA40" s="426"/>
      <c r="CSB40" s="424"/>
      <c r="CSC40" s="426"/>
      <c r="CSD40" s="424"/>
      <c r="CSE40" s="426"/>
      <c r="CSF40" s="424"/>
      <c r="CSG40" s="426"/>
      <c r="CSH40" s="424"/>
      <c r="CSI40" s="426"/>
      <c r="CSJ40" s="424"/>
      <c r="CSK40" s="426"/>
      <c r="CSL40" s="424"/>
      <c r="CSM40" s="426"/>
      <c r="CSN40" s="424"/>
      <c r="CSO40" s="426"/>
      <c r="CSP40" s="424"/>
      <c r="CSQ40" s="426"/>
      <c r="CSR40" s="424"/>
      <c r="CSS40" s="426"/>
      <c r="CST40" s="424"/>
      <c r="CSU40" s="426"/>
      <c r="CSV40" s="424"/>
      <c r="CSW40" s="426"/>
      <c r="CSX40" s="424"/>
      <c r="CSY40" s="426"/>
      <c r="CSZ40" s="424"/>
      <c r="CTA40" s="426"/>
      <c r="CTB40" s="424"/>
      <c r="CTC40" s="426"/>
      <c r="CTD40" s="424"/>
      <c r="CTE40" s="426"/>
      <c r="CTF40" s="424"/>
      <c r="CTG40" s="426"/>
      <c r="CTH40" s="424"/>
      <c r="CTI40" s="426"/>
      <c r="CTJ40" s="424"/>
      <c r="CTK40" s="426"/>
      <c r="CTL40" s="424"/>
      <c r="CTM40" s="426"/>
      <c r="CTN40" s="424"/>
      <c r="CTO40" s="426"/>
      <c r="CTP40" s="424"/>
      <c r="CTQ40" s="426"/>
      <c r="CTR40" s="424"/>
      <c r="CTS40" s="426"/>
      <c r="CTT40" s="424"/>
      <c r="CTU40" s="426"/>
      <c r="CTV40" s="424"/>
      <c r="CTW40" s="426"/>
      <c r="CTX40" s="424"/>
      <c r="CTY40" s="426"/>
      <c r="CTZ40" s="424"/>
      <c r="CUA40" s="426"/>
      <c r="CUB40" s="424"/>
      <c r="CUC40" s="426"/>
      <c r="CUD40" s="424"/>
      <c r="CUE40" s="426"/>
      <c r="CUF40" s="424"/>
      <c r="CUG40" s="426"/>
      <c r="CUH40" s="424"/>
      <c r="CUI40" s="426"/>
      <c r="CUJ40" s="424"/>
      <c r="CUK40" s="426"/>
      <c r="CUL40" s="424"/>
      <c r="CUM40" s="426"/>
      <c r="CUN40" s="424"/>
      <c r="CUO40" s="426"/>
      <c r="CUP40" s="424"/>
      <c r="CUQ40" s="426"/>
      <c r="CUR40" s="424"/>
      <c r="CUS40" s="426"/>
      <c r="CUT40" s="424"/>
      <c r="CUU40" s="426"/>
      <c r="CUV40" s="424"/>
      <c r="CUW40" s="426"/>
      <c r="CUX40" s="424"/>
      <c r="CUY40" s="426"/>
      <c r="CUZ40" s="424"/>
      <c r="CVA40" s="426"/>
      <c r="CVB40" s="424"/>
      <c r="CVC40" s="426"/>
      <c r="CVD40" s="424"/>
      <c r="CVE40" s="426"/>
      <c r="CVF40" s="424"/>
      <c r="CVG40" s="426"/>
      <c r="CVH40" s="424"/>
      <c r="CVI40" s="426"/>
      <c r="CVJ40" s="424"/>
      <c r="CVK40" s="426"/>
      <c r="CVL40" s="424"/>
      <c r="CVM40" s="426"/>
      <c r="CVN40" s="424"/>
      <c r="CVO40" s="426"/>
      <c r="CVP40" s="424"/>
      <c r="CVQ40" s="426"/>
      <c r="CVR40" s="424"/>
      <c r="CVS40" s="426"/>
      <c r="CVT40" s="424"/>
      <c r="CVU40" s="426"/>
      <c r="CVV40" s="424"/>
      <c r="CVW40" s="426"/>
      <c r="CVX40" s="424"/>
      <c r="CVY40" s="426"/>
      <c r="CVZ40" s="424"/>
      <c r="CWA40" s="426"/>
      <c r="CWB40" s="424"/>
      <c r="CWC40" s="426"/>
      <c r="CWD40" s="424"/>
      <c r="CWE40" s="426"/>
      <c r="CWF40" s="424"/>
      <c r="CWG40" s="426"/>
      <c r="CWH40" s="424"/>
      <c r="CWI40" s="426"/>
      <c r="CWJ40" s="424"/>
      <c r="CWK40" s="426"/>
      <c r="CWL40" s="424"/>
      <c r="CWM40" s="426"/>
      <c r="CWN40" s="424"/>
      <c r="CWO40" s="426"/>
      <c r="CWP40" s="424"/>
      <c r="CWQ40" s="426"/>
      <c r="CWR40" s="424"/>
      <c r="CWS40" s="426"/>
      <c r="CWT40" s="424"/>
      <c r="CWU40" s="426"/>
      <c r="CWV40" s="424"/>
      <c r="CWW40" s="426"/>
      <c r="CWX40" s="424"/>
      <c r="CWY40" s="426"/>
      <c r="CWZ40" s="424"/>
      <c r="CXA40" s="426"/>
      <c r="CXB40" s="424"/>
      <c r="CXC40" s="426"/>
      <c r="CXD40" s="424"/>
      <c r="CXE40" s="426"/>
      <c r="CXF40" s="424"/>
      <c r="CXG40" s="426"/>
      <c r="CXH40" s="424"/>
      <c r="CXI40" s="426"/>
      <c r="CXJ40" s="424"/>
      <c r="CXK40" s="426"/>
      <c r="CXL40" s="424"/>
      <c r="CXM40" s="426"/>
      <c r="CXN40" s="424"/>
      <c r="CXO40" s="426"/>
      <c r="CXP40" s="424"/>
      <c r="CXQ40" s="426"/>
      <c r="CXR40" s="424"/>
      <c r="CXS40" s="426"/>
      <c r="CXT40" s="424"/>
      <c r="CXU40" s="426"/>
      <c r="CXV40" s="424"/>
      <c r="CXW40" s="426"/>
      <c r="CXX40" s="424"/>
      <c r="CXY40" s="426"/>
      <c r="CXZ40" s="424"/>
      <c r="CYA40" s="426"/>
      <c r="CYB40" s="424"/>
      <c r="CYC40" s="426"/>
      <c r="CYD40" s="424"/>
      <c r="CYE40" s="426"/>
      <c r="CYF40" s="424"/>
      <c r="CYG40" s="426"/>
      <c r="CYH40" s="424"/>
      <c r="CYI40" s="426"/>
      <c r="CYJ40" s="424"/>
      <c r="CYK40" s="426"/>
      <c r="CYL40" s="424"/>
      <c r="CYM40" s="426"/>
      <c r="CYN40" s="424"/>
      <c r="CYO40" s="426"/>
      <c r="CYP40" s="424"/>
      <c r="CYQ40" s="426"/>
      <c r="CYR40" s="424"/>
      <c r="CYS40" s="426"/>
      <c r="CYT40" s="424"/>
      <c r="CYU40" s="426"/>
      <c r="CYV40" s="424"/>
      <c r="CYW40" s="426"/>
      <c r="CYX40" s="424"/>
      <c r="CYY40" s="426"/>
      <c r="CYZ40" s="424"/>
      <c r="CZA40" s="426"/>
      <c r="CZB40" s="424"/>
      <c r="CZC40" s="426"/>
      <c r="CZD40" s="424"/>
      <c r="CZE40" s="426"/>
      <c r="CZF40" s="424"/>
      <c r="CZG40" s="426"/>
      <c r="CZH40" s="424"/>
      <c r="CZI40" s="426"/>
      <c r="CZJ40" s="424"/>
      <c r="CZK40" s="426"/>
      <c r="CZL40" s="424"/>
      <c r="CZM40" s="426"/>
      <c r="CZN40" s="424"/>
      <c r="CZO40" s="426"/>
      <c r="CZP40" s="424"/>
      <c r="CZQ40" s="426"/>
      <c r="CZR40" s="424"/>
      <c r="CZS40" s="426"/>
      <c r="CZT40" s="424"/>
      <c r="CZU40" s="426"/>
      <c r="CZV40" s="424"/>
      <c r="CZW40" s="426"/>
      <c r="CZX40" s="424"/>
      <c r="CZY40" s="426"/>
      <c r="CZZ40" s="424"/>
      <c r="DAA40" s="426"/>
      <c r="DAB40" s="424"/>
      <c r="DAC40" s="426"/>
      <c r="DAD40" s="424"/>
      <c r="DAE40" s="426"/>
      <c r="DAF40" s="424"/>
      <c r="DAG40" s="426"/>
      <c r="DAH40" s="424"/>
      <c r="DAI40" s="426"/>
      <c r="DAJ40" s="424"/>
      <c r="DAK40" s="426"/>
      <c r="DAL40" s="424"/>
      <c r="DAM40" s="426"/>
      <c r="DAN40" s="424"/>
      <c r="DAO40" s="426"/>
      <c r="DAP40" s="424"/>
      <c r="DAQ40" s="426"/>
      <c r="DAR40" s="424"/>
      <c r="DAS40" s="426"/>
      <c r="DAT40" s="424"/>
      <c r="DAU40" s="426"/>
      <c r="DAV40" s="424"/>
      <c r="DAW40" s="426"/>
      <c r="DAX40" s="424"/>
      <c r="DAY40" s="426"/>
      <c r="DAZ40" s="424"/>
      <c r="DBA40" s="426"/>
      <c r="DBB40" s="424"/>
      <c r="DBC40" s="426"/>
      <c r="DBD40" s="424"/>
      <c r="DBE40" s="426"/>
      <c r="DBF40" s="424"/>
      <c r="DBG40" s="426"/>
      <c r="DBH40" s="424"/>
      <c r="DBI40" s="426"/>
      <c r="DBJ40" s="424"/>
      <c r="DBK40" s="426"/>
      <c r="DBL40" s="424"/>
      <c r="DBM40" s="426"/>
      <c r="DBN40" s="424"/>
      <c r="DBO40" s="426"/>
      <c r="DBP40" s="424"/>
      <c r="DBQ40" s="426"/>
      <c r="DBR40" s="424"/>
      <c r="DBS40" s="426"/>
      <c r="DBT40" s="424"/>
      <c r="DBU40" s="426"/>
      <c r="DBV40" s="424"/>
      <c r="DBW40" s="426"/>
      <c r="DBX40" s="424"/>
      <c r="DBY40" s="426"/>
      <c r="DBZ40" s="424"/>
      <c r="DCA40" s="426"/>
      <c r="DCB40" s="424"/>
      <c r="DCC40" s="426"/>
      <c r="DCD40" s="424"/>
      <c r="DCE40" s="426"/>
      <c r="DCF40" s="424"/>
      <c r="DCG40" s="426"/>
      <c r="DCH40" s="424"/>
      <c r="DCI40" s="426"/>
      <c r="DCJ40" s="424"/>
      <c r="DCK40" s="426"/>
      <c r="DCL40" s="424"/>
      <c r="DCM40" s="426"/>
      <c r="DCN40" s="424"/>
      <c r="DCO40" s="426"/>
      <c r="DCP40" s="424"/>
      <c r="DCQ40" s="426"/>
      <c r="DCR40" s="424"/>
      <c r="DCS40" s="426"/>
      <c r="DCT40" s="424"/>
      <c r="DCU40" s="426"/>
      <c r="DCV40" s="424"/>
      <c r="DCW40" s="426"/>
      <c r="DCX40" s="424"/>
      <c r="DCY40" s="426"/>
      <c r="DCZ40" s="424"/>
      <c r="DDA40" s="426"/>
      <c r="DDB40" s="424"/>
      <c r="DDC40" s="426"/>
      <c r="DDD40" s="424"/>
      <c r="DDE40" s="426"/>
      <c r="DDF40" s="424"/>
      <c r="DDG40" s="426"/>
      <c r="DDH40" s="424"/>
      <c r="DDI40" s="426"/>
      <c r="DDJ40" s="424"/>
      <c r="DDK40" s="426"/>
      <c r="DDL40" s="424"/>
      <c r="DDM40" s="426"/>
      <c r="DDN40" s="424"/>
      <c r="DDO40" s="426"/>
      <c r="DDP40" s="424"/>
      <c r="DDQ40" s="426"/>
      <c r="DDR40" s="424"/>
      <c r="DDS40" s="426"/>
      <c r="DDT40" s="424"/>
      <c r="DDU40" s="426"/>
      <c r="DDV40" s="424"/>
      <c r="DDW40" s="426"/>
      <c r="DDX40" s="424"/>
      <c r="DDY40" s="426"/>
      <c r="DDZ40" s="424"/>
      <c r="DEA40" s="426"/>
      <c r="DEB40" s="424"/>
      <c r="DEC40" s="426"/>
      <c r="DED40" s="424"/>
      <c r="DEE40" s="426"/>
      <c r="DEF40" s="424"/>
      <c r="DEG40" s="426"/>
      <c r="DEH40" s="424"/>
      <c r="DEI40" s="426"/>
      <c r="DEJ40" s="424"/>
      <c r="DEK40" s="426"/>
      <c r="DEL40" s="424"/>
      <c r="DEM40" s="426"/>
      <c r="DEN40" s="424"/>
      <c r="DEO40" s="426"/>
      <c r="DEP40" s="424"/>
      <c r="DEQ40" s="426"/>
      <c r="DER40" s="424"/>
      <c r="DES40" s="426"/>
      <c r="DET40" s="424"/>
      <c r="DEU40" s="426"/>
      <c r="DEV40" s="424"/>
      <c r="DEW40" s="426"/>
      <c r="DEX40" s="424"/>
      <c r="DEY40" s="426"/>
      <c r="DEZ40" s="424"/>
      <c r="DFA40" s="426"/>
      <c r="DFB40" s="424"/>
      <c r="DFC40" s="426"/>
      <c r="DFD40" s="424"/>
      <c r="DFE40" s="426"/>
      <c r="DFF40" s="424"/>
      <c r="DFG40" s="426"/>
      <c r="DFH40" s="424"/>
      <c r="DFI40" s="426"/>
      <c r="DFJ40" s="424"/>
      <c r="DFK40" s="426"/>
      <c r="DFL40" s="424"/>
      <c r="DFM40" s="426"/>
      <c r="DFN40" s="424"/>
      <c r="DFO40" s="426"/>
      <c r="DFP40" s="424"/>
      <c r="DFQ40" s="426"/>
      <c r="DFR40" s="424"/>
      <c r="DFS40" s="426"/>
      <c r="DFT40" s="424"/>
      <c r="DFU40" s="426"/>
      <c r="DFV40" s="424"/>
      <c r="DFW40" s="426"/>
      <c r="DFX40" s="424"/>
      <c r="DFY40" s="426"/>
      <c r="DFZ40" s="424"/>
      <c r="DGA40" s="426"/>
      <c r="DGB40" s="424"/>
      <c r="DGC40" s="426"/>
      <c r="DGD40" s="424"/>
      <c r="DGE40" s="426"/>
      <c r="DGF40" s="424"/>
      <c r="DGG40" s="426"/>
      <c r="DGH40" s="424"/>
      <c r="DGI40" s="426"/>
      <c r="DGJ40" s="424"/>
      <c r="DGK40" s="426"/>
      <c r="DGL40" s="424"/>
      <c r="DGM40" s="426"/>
      <c r="DGN40" s="424"/>
      <c r="DGO40" s="426"/>
      <c r="DGP40" s="424"/>
      <c r="DGQ40" s="426"/>
      <c r="DGR40" s="424"/>
      <c r="DGS40" s="426"/>
      <c r="DGT40" s="424"/>
      <c r="DGU40" s="426"/>
      <c r="DGV40" s="424"/>
      <c r="DGW40" s="426"/>
      <c r="DGX40" s="424"/>
      <c r="DGY40" s="426"/>
      <c r="DGZ40" s="424"/>
      <c r="DHA40" s="426"/>
      <c r="DHB40" s="424"/>
      <c r="DHC40" s="426"/>
      <c r="DHD40" s="424"/>
      <c r="DHE40" s="426"/>
      <c r="DHF40" s="424"/>
      <c r="DHG40" s="426"/>
      <c r="DHH40" s="424"/>
      <c r="DHI40" s="426"/>
      <c r="DHJ40" s="424"/>
      <c r="DHK40" s="426"/>
      <c r="DHL40" s="424"/>
      <c r="DHM40" s="426"/>
      <c r="DHN40" s="424"/>
      <c r="DHO40" s="426"/>
      <c r="DHP40" s="424"/>
      <c r="DHQ40" s="426"/>
      <c r="DHR40" s="424"/>
      <c r="DHS40" s="426"/>
      <c r="DHT40" s="424"/>
      <c r="DHU40" s="426"/>
      <c r="DHV40" s="424"/>
      <c r="DHW40" s="426"/>
      <c r="DHX40" s="424"/>
      <c r="DHY40" s="426"/>
      <c r="DHZ40" s="424"/>
      <c r="DIA40" s="426"/>
      <c r="DIB40" s="424"/>
      <c r="DIC40" s="426"/>
      <c r="DID40" s="424"/>
      <c r="DIE40" s="426"/>
      <c r="DIF40" s="424"/>
      <c r="DIG40" s="426"/>
      <c r="DIH40" s="424"/>
      <c r="DII40" s="426"/>
      <c r="DIJ40" s="424"/>
      <c r="DIK40" s="426"/>
      <c r="DIL40" s="424"/>
      <c r="DIM40" s="426"/>
      <c r="DIN40" s="424"/>
      <c r="DIO40" s="426"/>
      <c r="DIP40" s="424"/>
      <c r="DIQ40" s="426"/>
      <c r="DIR40" s="424"/>
      <c r="DIS40" s="426"/>
      <c r="DIT40" s="424"/>
      <c r="DIU40" s="426"/>
      <c r="DIV40" s="424"/>
      <c r="DIW40" s="426"/>
      <c r="DIX40" s="424"/>
      <c r="DIY40" s="426"/>
      <c r="DIZ40" s="424"/>
      <c r="DJA40" s="426"/>
      <c r="DJB40" s="424"/>
      <c r="DJC40" s="426"/>
      <c r="DJD40" s="424"/>
      <c r="DJE40" s="426"/>
      <c r="DJF40" s="424"/>
      <c r="DJG40" s="426"/>
      <c r="DJH40" s="424"/>
      <c r="DJI40" s="426"/>
      <c r="DJJ40" s="424"/>
      <c r="DJK40" s="426"/>
      <c r="DJL40" s="424"/>
      <c r="DJM40" s="426"/>
      <c r="DJN40" s="424"/>
      <c r="DJO40" s="426"/>
      <c r="DJP40" s="424"/>
      <c r="DJQ40" s="426"/>
      <c r="DJR40" s="424"/>
      <c r="DJS40" s="426"/>
      <c r="DJT40" s="424"/>
      <c r="DJU40" s="426"/>
      <c r="DJV40" s="424"/>
      <c r="DJW40" s="426"/>
      <c r="DJX40" s="424"/>
      <c r="DJY40" s="426"/>
      <c r="DJZ40" s="424"/>
      <c r="DKA40" s="426"/>
      <c r="DKB40" s="424"/>
      <c r="DKC40" s="426"/>
      <c r="DKD40" s="424"/>
      <c r="DKE40" s="426"/>
      <c r="DKF40" s="424"/>
      <c r="DKG40" s="426"/>
      <c r="DKH40" s="424"/>
      <c r="DKI40" s="426"/>
      <c r="DKJ40" s="424"/>
      <c r="DKK40" s="426"/>
      <c r="DKL40" s="424"/>
      <c r="DKM40" s="426"/>
      <c r="DKN40" s="424"/>
      <c r="DKO40" s="426"/>
      <c r="DKP40" s="424"/>
      <c r="DKQ40" s="426"/>
      <c r="DKR40" s="424"/>
      <c r="DKS40" s="426"/>
      <c r="DKT40" s="424"/>
      <c r="DKU40" s="426"/>
      <c r="DKV40" s="424"/>
      <c r="DKW40" s="426"/>
      <c r="DKX40" s="424"/>
      <c r="DKY40" s="426"/>
      <c r="DKZ40" s="424"/>
      <c r="DLA40" s="426"/>
      <c r="DLB40" s="424"/>
      <c r="DLC40" s="426"/>
      <c r="DLD40" s="424"/>
      <c r="DLE40" s="426"/>
      <c r="DLF40" s="424"/>
      <c r="DLG40" s="426"/>
      <c r="DLH40" s="424"/>
      <c r="DLI40" s="426"/>
      <c r="DLJ40" s="424"/>
      <c r="DLK40" s="426"/>
      <c r="DLL40" s="424"/>
      <c r="DLM40" s="426"/>
      <c r="DLN40" s="424"/>
      <c r="DLO40" s="426"/>
      <c r="DLP40" s="424"/>
      <c r="DLQ40" s="426"/>
      <c r="DLR40" s="424"/>
      <c r="DLS40" s="426"/>
      <c r="DLT40" s="424"/>
      <c r="DLU40" s="426"/>
      <c r="DLV40" s="424"/>
      <c r="DLW40" s="426"/>
      <c r="DLX40" s="424"/>
      <c r="DLY40" s="426"/>
      <c r="DLZ40" s="424"/>
      <c r="DMA40" s="426"/>
      <c r="DMB40" s="424"/>
      <c r="DMC40" s="426"/>
      <c r="DMD40" s="424"/>
      <c r="DME40" s="426"/>
      <c r="DMF40" s="424"/>
      <c r="DMG40" s="426"/>
      <c r="DMH40" s="424"/>
      <c r="DMI40" s="426"/>
      <c r="DMJ40" s="424"/>
      <c r="DMK40" s="426"/>
      <c r="DML40" s="424"/>
      <c r="DMM40" s="426"/>
      <c r="DMN40" s="424"/>
      <c r="DMO40" s="426"/>
      <c r="DMP40" s="424"/>
      <c r="DMQ40" s="426"/>
      <c r="DMR40" s="424"/>
      <c r="DMS40" s="426"/>
      <c r="DMT40" s="424"/>
      <c r="DMU40" s="426"/>
      <c r="DMV40" s="424"/>
      <c r="DMW40" s="426"/>
      <c r="DMX40" s="424"/>
      <c r="DMY40" s="426"/>
      <c r="DMZ40" s="424"/>
      <c r="DNA40" s="426"/>
      <c r="DNB40" s="424"/>
      <c r="DNC40" s="426"/>
      <c r="DND40" s="424"/>
      <c r="DNE40" s="426"/>
      <c r="DNF40" s="424"/>
      <c r="DNG40" s="426"/>
      <c r="DNH40" s="424"/>
      <c r="DNI40" s="426"/>
      <c r="DNJ40" s="424"/>
      <c r="DNK40" s="426"/>
      <c r="DNL40" s="424"/>
      <c r="DNM40" s="426"/>
      <c r="DNN40" s="424"/>
      <c r="DNO40" s="426"/>
      <c r="DNP40" s="424"/>
      <c r="DNQ40" s="426"/>
      <c r="DNR40" s="424"/>
      <c r="DNS40" s="426"/>
      <c r="DNT40" s="424"/>
      <c r="DNU40" s="426"/>
      <c r="DNV40" s="424"/>
      <c r="DNW40" s="426"/>
      <c r="DNX40" s="424"/>
      <c r="DNY40" s="426"/>
      <c r="DNZ40" s="424"/>
      <c r="DOA40" s="426"/>
      <c r="DOB40" s="424"/>
      <c r="DOC40" s="426"/>
      <c r="DOD40" s="424"/>
      <c r="DOE40" s="426"/>
      <c r="DOF40" s="424"/>
      <c r="DOG40" s="426"/>
      <c r="DOH40" s="424"/>
      <c r="DOI40" s="426"/>
      <c r="DOJ40" s="424"/>
      <c r="DOK40" s="426"/>
      <c r="DOL40" s="424"/>
      <c r="DOM40" s="426"/>
      <c r="DON40" s="424"/>
      <c r="DOO40" s="426"/>
      <c r="DOP40" s="424"/>
      <c r="DOQ40" s="426"/>
      <c r="DOR40" s="424"/>
      <c r="DOS40" s="426"/>
      <c r="DOT40" s="424"/>
      <c r="DOU40" s="426"/>
      <c r="DOV40" s="424"/>
      <c r="DOW40" s="426"/>
      <c r="DOX40" s="424"/>
      <c r="DOY40" s="426"/>
      <c r="DOZ40" s="424"/>
      <c r="DPA40" s="426"/>
      <c r="DPB40" s="424"/>
      <c r="DPC40" s="426"/>
      <c r="DPD40" s="424"/>
      <c r="DPE40" s="426"/>
      <c r="DPF40" s="424"/>
      <c r="DPG40" s="426"/>
      <c r="DPH40" s="424"/>
      <c r="DPI40" s="426"/>
      <c r="DPJ40" s="424"/>
      <c r="DPK40" s="426"/>
      <c r="DPL40" s="424"/>
      <c r="DPM40" s="426"/>
      <c r="DPN40" s="424"/>
      <c r="DPO40" s="426"/>
      <c r="DPP40" s="424"/>
      <c r="DPQ40" s="426"/>
      <c r="DPR40" s="424"/>
      <c r="DPS40" s="426"/>
      <c r="DPT40" s="424"/>
      <c r="DPU40" s="426"/>
      <c r="DPV40" s="424"/>
      <c r="DPW40" s="426"/>
      <c r="DPX40" s="424"/>
      <c r="DPY40" s="426"/>
      <c r="DPZ40" s="424"/>
      <c r="DQA40" s="426"/>
      <c r="DQB40" s="424"/>
      <c r="DQC40" s="426"/>
      <c r="DQD40" s="424"/>
      <c r="DQE40" s="426"/>
      <c r="DQF40" s="424"/>
      <c r="DQG40" s="426"/>
      <c r="DQH40" s="424"/>
      <c r="DQI40" s="426"/>
      <c r="DQJ40" s="424"/>
      <c r="DQK40" s="426"/>
      <c r="DQL40" s="424"/>
      <c r="DQM40" s="426"/>
      <c r="DQN40" s="424"/>
      <c r="DQO40" s="426"/>
      <c r="DQP40" s="424"/>
      <c r="DQQ40" s="426"/>
      <c r="DQR40" s="424"/>
      <c r="DQS40" s="426"/>
      <c r="DQT40" s="424"/>
      <c r="DQU40" s="426"/>
      <c r="DQV40" s="424"/>
      <c r="DQW40" s="426"/>
      <c r="DQX40" s="424"/>
      <c r="DQY40" s="426"/>
      <c r="DQZ40" s="424"/>
      <c r="DRA40" s="426"/>
      <c r="DRB40" s="424"/>
      <c r="DRC40" s="426"/>
      <c r="DRD40" s="424"/>
      <c r="DRE40" s="426"/>
      <c r="DRF40" s="424"/>
      <c r="DRG40" s="426"/>
      <c r="DRH40" s="424"/>
      <c r="DRI40" s="426"/>
      <c r="DRJ40" s="424"/>
      <c r="DRK40" s="426"/>
      <c r="DRL40" s="424"/>
      <c r="DRM40" s="426"/>
      <c r="DRN40" s="424"/>
      <c r="DRO40" s="426"/>
      <c r="DRP40" s="424"/>
      <c r="DRQ40" s="426"/>
      <c r="DRR40" s="424"/>
      <c r="DRS40" s="426"/>
      <c r="DRT40" s="424"/>
      <c r="DRU40" s="426"/>
      <c r="DRV40" s="424"/>
      <c r="DRW40" s="426"/>
      <c r="DRX40" s="424"/>
      <c r="DRY40" s="426"/>
      <c r="DRZ40" s="424"/>
      <c r="DSA40" s="426"/>
      <c r="DSB40" s="424"/>
      <c r="DSC40" s="426"/>
      <c r="DSD40" s="424"/>
      <c r="DSE40" s="426"/>
      <c r="DSF40" s="424"/>
      <c r="DSG40" s="426"/>
      <c r="DSH40" s="424"/>
      <c r="DSI40" s="426"/>
      <c r="DSJ40" s="424"/>
      <c r="DSK40" s="426"/>
      <c r="DSL40" s="424"/>
      <c r="DSM40" s="426"/>
      <c r="DSN40" s="424"/>
      <c r="DSO40" s="426"/>
      <c r="DSP40" s="424"/>
      <c r="DSQ40" s="426"/>
      <c r="DSR40" s="424"/>
      <c r="DSS40" s="426"/>
      <c r="DST40" s="424"/>
      <c r="DSU40" s="426"/>
      <c r="DSV40" s="424"/>
      <c r="DSW40" s="426"/>
      <c r="DSX40" s="424"/>
      <c r="DSY40" s="426"/>
      <c r="DSZ40" s="424"/>
      <c r="DTA40" s="426"/>
      <c r="DTB40" s="424"/>
      <c r="DTC40" s="426"/>
      <c r="DTD40" s="424"/>
      <c r="DTE40" s="426"/>
      <c r="DTF40" s="424"/>
      <c r="DTG40" s="426"/>
      <c r="DTH40" s="424"/>
      <c r="DTI40" s="426"/>
      <c r="DTJ40" s="424"/>
      <c r="DTK40" s="426"/>
      <c r="DTL40" s="424"/>
      <c r="DTM40" s="426"/>
      <c r="DTN40" s="424"/>
      <c r="DTO40" s="426"/>
      <c r="DTP40" s="424"/>
      <c r="DTQ40" s="426"/>
      <c r="DTR40" s="424"/>
      <c r="DTS40" s="426"/>
      <c r="DTT40" s="424"/>
      <c r="DTU40" s="426"/>
      <c r="DTV40" s="424"/>
      <c r="DTW40" s="426"/>
      <c r="DTX40" s="424"/>
      <c r="DTY40" s="426"/>
      <c r="DTZ40" s="424"/>
      <c r="DUA40" s="426"/>
      <c r="DUB40" s="424"/>
      <c r="DUC40" s="426"/>
      <c r="DUD40" s="424"/>
      <c r="DUE40" s="426"/>
      <c r="DUF40" s="424"/>
      <c r="DUG40" s="426"/>
      <c r="DUH40" s="424"/>
      <c r="DUI40" s="426"/>
      <c r="DUJ40" s="424"/>
      <c r="DUK40" s="426"/>
      <c r="DUL40" s="424"/>
      <c r="DUM40" s="426"/>
      <c r="DUN40" s="424"/>
      <c r="DUO40" s="426"/>
      <c r="DUP40" s="424"/>
      <c r="DUQ40" s="426"/>
      <c r="DUR40" s="424"/>
      <c r="DUS40" s="426"/>
      <c r="DUT40" s="424"/>
      <c r="DUU40" s="426"/>
      <c r="DUV40" s="424"/>
      <c r="DUW40" s="426"/>
      <c r="DUX40" s="424"/>
      <c r="DUY40" s="426"/>
      <c r="DUZ40" s="424"/>
      <c r="DVA40" s="426"/>
      <c r="DVB40" s="424"/>
      <c r="DVC40" s="426"/>
      <c r="DVD40" s="424"/>
      <c r="DVE40" s="426"/>
      <c r="DVF40" s="424"/>
      <c r="DVG40" s="426"/>
      <c r="DVH40" s="424"/>
      <c r="DVI40" s="426"/>
      <c r="DVJ40" s="424"/>
      <c r="DVK40" s="426"/>
      <c r="DVL40" s="424"/>
      <c r="DVM40" s="426"/>
      <c r="DVN40" s="424"/>
      <c r="DVO40" s="426"/>
      <c r="DVP40" s="424"/>
      <c r="DVQ40" s="426"/>
      <c r="DVR40" s="424"/>
      <c r="DVS40" s="426"/>
      <c r="DVT40" s="424"/>
      <c r="DVU40" s="426"/>
      <c r="DVV40" s="424"/>
      <c r="DVW40" s="426"/>
      <c r="DVX40" s="424"/>
      <c r="DVY40" s="426"/>
      <c r="DVZ40" s="424"/>
      <c r="DWA40" s="426"/>
      <c r="DWB40" s="424"/>
      <c r="DWC40" s="426"/>
      <c r="DWD40" s="424"/>
      <c r="DWE40" s="426"/>
      <c r="DWF40" s="424"/>
      <c r="DWG40" s="426"/>
      <c r="DWH40" s="424"/>
      <c r="DWI40" s="426"/>
      <c r="DWJ40" s="424"/>
      <c r="DWK40" s="426"/>
      <c r="DWL40" s="424"/>
      <c r="DWM40" s="426"/>
      <c r="DWN40" s="424"/>
      <c r="DWO40" s="426"/>
      <c r="DWP40" s="424"/>
      <c r="DWQ40" s="426"/>
      <c r="DWR40" s="424"/>
      <c r="DWS40" s="426"/>
      <c r="DWT40" s="424"/>
      <c r="DWU40" s="426"/>
      <c r="DWV40" s="424"/>
      <c r="DWW40" s="426"/>
      <c r="DWX40" s="424"/>
      <c r="DWY40" s="426"/>
      <c r="DWZ40" s="424"/>
      <c r="DXA40" s="426"/>
      <c r="DXB40" s="424"/>
      <c r="DXC40" s="426"/>
      <c r="DXD40" s="424"/>
      <c r="DXE40" s="426"/>
      <c r="DXF40" s="424"/>
      <c r="DXG40" s="426"/>
      <c r="DXH40" s="424"/>
      <c r="DXI40" s="426"/>
      <c r="DXJ40" s="424"/>
      <c r="DXK40" s="426"/>
      <c r="DXL40" s="424"/>
      <c r="DXM40" s="426"/>
      <c r="DXN40" s="424"/>
      <c r="DXO40" s="426"/>
      <c r="DXP40" s="424"/>
      <c r="DXQ40" s="426"/>
      <c r="DXR40" s="424"/>
      <c r="DXS40" s="426"/>
      <c r="DXT40" s="424"/>
      <c r="DXU40" s="426"/>
      <c r="DXV40" s="424"/>
      <c r="DXW40" s="426"/>
      <c r="DXX40" s="424"/>
      <c r="DXY40" s="426"/>
      <c r="DXZ40" s="424"/>
      <c r="DYA40" s="426"/>
      <c r="DYB40" s="424"/>
      <c r="DYC40" s="426"/>
      <c r="DYD40" s="424"/>
      <c r="DYE40" s="426"/>
      <c r="DYF40" s="424"/>
      <c r="DYG40" s="426"/>
      <c r="DYH40" s="424"/>
      <c r="DYI40" s="426"/>
      <c r="DYJ40" s="424"/>
      <c r="DYK40" s="426"/>
      <c r="DYL40" s="424"/>
      <c r="DYM40" s="426"/>
      <c r="DYN40" s="424"/>
      <c r="DYO40" s="426"/>
      <c r="DYP40" s="424"/>
      <c r="DYQ40" s="426"/>
      <c r="DYR40" s="424"/>
      <c r="DYS40" s="426"/>
      <c r="DYT40" s="424"/>
      <c r="DYU40" s="426"/>
      <c r="DYV40" s="424"/>
      <c r="DYW40" s="426"/>
      <c r="DYX40" s="424"/>
      <c r="DYY40" s="426"/>
      <c r="DYZ40" s="424"/>
      <c r="DZA40" s="426"/>
      <c r="DZB40" s="424"/>
      <c r="DZC40" s="426"/>
      <c r="DZD40" s="424"/>
      <c r="DZE40" s="426"/>
      <c r="DZF40" s="424"/>
      <c r="DZG40" s="426"/>
      <c r="DZH40" s="424"/>
      <c r="DZI40" s="426"/>
      <c r="DZJ40" s="424"/>
      <c r="DZK40" s="426"/>
      <c r="DZL40" s="424"/>
      <c r="DZM40" s="426"/>
      <c r="DZN40" s="424"/>
      <c r="DZO40" s="426"/>
      <c r="DZP40" s="424"/>
      <c r="DZQ40" s="426"/>
      <c r="DZR40" s="424"/>
      <c r="DZS40" s="426"/>
      <c r="DZT40" s="424"/>
      <c r="DZU40" s="426"/>
      <c r="DZV40" s="424"/>
      <c r="DZW40" s="426"/>
      <c r="DZX40" s="424"/>
      <c r="DZY40" s="426"/>
      <c r="DZZ40" s="424"/>
      <c r="EAA40" s="426"/>
      <c r="EAB40" s="424"/>
      <c r="EAC40" s="426"/>
      <c r="EAD40" s="424"/>
      <c r="EAE40" s="426"/>
      <c r="EAF40" s="424"/>
      <c r="EAG40" s="426"/>
      <c r="EAH40" s="424"/>
      <c r="EAI40" s="426"/>
      <c r="EAJ40" s="424"/>
      <c r="EAK40" s="426"/>
      <c r="EAL40" s="424"/>
      <c r="EAM40" s="426"/>
      <c r="EAN40" s="424"/>
      <c r="EAO40" s="426"/>
      <c r="EAP40" s="424"/>
      <c r="EAQ40" s="426"/>
      <c r="EAR40" s="424"/>
      <c r="EAS40" s="426"/>
      <c r="EAT40" s="424"/>
      <c r="EAU40" s="426"/>
      <c r="EAV40" s="424"/>
      <c r="EAW40" s="426"/>
      <c r="EAX40" s="424"/>
      <c r="EAY40" s="426"/>
      <c r="EAZ40" s="424"/>
      <c r="EBA40" s="426"/>
      <c r="EBB40" s="424"/>
      <c r="EBC40" s="426"/>
      <c r="EBD40" s="424"/>
      <c r="EBE40" s="426"/>
      <c r="EBF40" s="424"/>
      <c r="EBG40" s="426"/>
      <c r="EBH40" s="424"/>
      <c r="EBI40" s="426"/>
      <c r="EBJ40" s="424"/>
      <c r="EBK40" s="426"/>
      <c r="EBL40" s="424"/>
      <c r="EBM40" s="426"/>
      <c r="EBN40" s="424"/>
      <c r="EBO40" s="426"/>
      <c r="EBP40" s="424"/>
      <c r="EBQ40" s="426"/>
      <c r="EBR40" s="424"/>
      <c r="EBS40" s="426"/>
      <c r="EBT40" s="424"/>
      <c r="EBU40" s="426"/>
      <c r="EBV40" s="424"/>
      <c r="EBW40" s="426"/>
      <c r="EBX40" s="424"/>
      <c r="EBY40" s="426"/>
      <c r="EBZ40" s="424"/>
      <c r="ECA40" s="426"/>
      <c r="ECB40" s="424"/>
      <c r="ECC40" s="426"/>
      <c r="ECD40" s="424"/>
      <c r="ECE40" s="426"/>
      <c r="ECF40" s="424"/>
      <c r="ECG40" s="426"/>
      <c r="ECH40" s="424"/>
      <c r="ECI40" s="426"/>
      <c r="ECJ40" s="424"/>
      <c r="ECK40" s="426"/>
      <c r="ECL40" s="424"/>
      <c r="ECM40" s="426"/>
      <c r="ECN40" s="424"/>
      <c r="ECO40" s="426"/>
      <c r="ECP40" s="424"/>
      <c r="ECQ40" s="426"/>
      <c r="ECR40" s="424"/>
      <c r="ECS40" s="426"/>
      <c r="ECT40" s="424"/>
      <c r="ECU40" s="426"/>
      <c r="ECV40" s="424"/>
      <c r="ECW40" s="426"/>
      <c r="ECX40" s="424"/>
      <c r="ECY40" s="426"/>
      <c r="ECZ40" s="424"/>
      <c r="EDA40" s="426"/>
      <c r="EDB40" s="424"/>
      <c r="EDC40" s="426"/>
      <c r="EDD40" s="424"/>
      <c r="EDE40" s="426"/>
      <c r="EDF40" s="424"/>
      <c r="EDG40" s="426"/>
      <c r="EDH40" s="424"/>
      <c r="EDI40" s="426"/>
      <c r="EDJ40" s="424"/>
      <c r="EDK40" s="426"/>
      <c r="EDL40" s="424"/>
      <c r="EDM40" s="426"/>
      <c r="EDN40" s="424"/>
      <c r="EDO40" s="426"/>
      <c r="EDP40" s="424"/>
      <c r="EDQ40" s="426"/>
      <c r="EDR40" s="424"/>
      <c r="EDS40" s="426"/>
      <c r="EDT40" s="424"/>
      <c r="EDU40" s="426"/>
      <c r="EDV40" s="424"/>
      <c r="EDW40" s="426"/>
      <c r="EDX40" s="424"/>
      <c r="EDY40" s="426"/>
      <c r="EDZ40" s="424"/>
      <c r="EEA40" s="426"/>
      <c r="EEB40" s="424"/>
      <c r="EEC40" s="426"/>
      <c r="EED40" s="424"/>
      <c r="EEE40" s="426"/>
      <c r="EEF40" s="424"/>
      <c r="EEG40" s="426"/>
      <c r="EEH40" s="424"/>
      <c r="EEI40" s="426"/>
      <c r="EEJ40" s="424"/>
      <c r="EEK40" s="426"/>
      <c r="EEL40" s="424"/>
      <c r="EEM40" s="426"/>
      <c r="EEN40" s="424"/>
      <c r="EEO40" s="426"/>
      <c r="EEP40" s="424"/>
      <c r="EEQ40" s="426"/>
      <c r="EER40" s="424"/>
      <c r="EES40" s="426"/>
      <c r="EET40" s="424"/>
      <c r="EEU40" s="426"/>
      <c r="EEV40" s="424"/>
      <c r="EEW40" s="426"/>
      <c r="EEX40" s="424"/>
      <c r="EEY40" s="426"/>
      <c r="EEZ40" s="424"/>
      <c r="EFA40" s="426"/>
      <c r="EFB40" s="424"/>
      <c r="EFC40" s="426"/>
      <c r="EFD40" s="424"/>
      <c r="EFE40" s="426"/>
      <c r="EFF40" s="424"/>
      <c r="EFG40" s="426"/>
      <c r="EFH40" s="424"/>
      <c r="EFI40" s="426"/>
      <c r="EFJ40" s="424"/>
      <c r="EFK40" s="426"/>
      <c r="EFL40" s="424"/>
      <c r="EFM40" s="426"/>
      <c r="EFN40" s="424"/>
      <c r="EFO40" s="426"/>
      <c r="EFP40" s="424"/>
      <c r="EFQ40" s="426"/>
      <c r="EFR40" s="424"/>
      <c r="EFS40" s="426"/>
      <c r="EFT40" s="424"/>
      <c r="EFU40" s="426"/>
      <c r="EFV40" s="424"/>
      <c r="EFW40" s="426"/>
      <c r="EFX40" s="424"/>
      <c r="EFY40" s="426"/>
      <c r="EFZ40" s="424"/>
      <c r="EGA40" s="426"/>
      <c r="EGB40" s="424"/>
      <c r="EGC40" s="426"/>
      <c r="EGD40" s="424"/>
      <c r="EGE40" s="426"/>
      <c r="EGF40" s="424"/>
      <c r="EGG40" s="426"/>
      <c r="EGH40" s="424"/>
      <c r="EGI40" s="426"/>
      <c r="EGJ40" s="424"/>
      <c r="EGK40" s="426"/>
      <c r="EGL40" s="424"/>
      <c r="EGM40" s="426"/>
      <c r="EGN40" s="424"/>
      <c r="EGO40" s="426"/>
      <c r="EGP40" s="424"/>
      <c r="EGQ40" s="426"/>
      <c r="EGR40" s="424"/>
      <c r="EGS40" s="426"/>
      <c r="EGT40" s="424"/>
      <c r="EGU40" s="426"/>
      <c r="EGV40" s="424"/>
      <c r="EGW40" s="426"/>
      <c r="EGX40" s="424"/>
      <c r="EGY40" s="426"/>
      <c r="EGZ40" s="424"/>
      <c r="EHA40" s="426"/>
      <c r="EHB40" s="424"/>
      <c r="EHC40" s="426"/>
      <c r="EHD40" s="424"/>
      <c r="EHE40" s="426"/>
      <c r="EHF40" s="424"/>
      <c r="EHG40" s="426"/>
      <c r="EHH40" s="424"/>
      <c r="EHI40" s="426"/>
      <c r="EHJ40" s="424"/>
      <c r="EHK40" s="426"/>
      <c r="EHL40" s="424"/>
      <c r="EHM40" s="426"/>
      <c r="EHN40" s="424"/>
      <c r="EHO40" s="426"/>
      <c r="EHP40" s="424"/>
      <c r="EHQ40" s="426"/>
      <c r="EHR40" s="424"/>
      <c r="EHS40" s="426"/>
      <c r="EHT40" s="424"/>
      <c r="EHU40" s="426"/>
      <c r="EHV40" s="424"/>
      <c r="EHW40" s="426"/>
      <c r="EHX40" s="424"/>
      <c r="EHY40" s="426"/>
      <c r="EHZ40" s="424"/>
      <c r="EIA40" s="426"/>
      <c r="EIB40" s="424"/>
      <c r="EIC40" s="426"/>
      <c r="EID40" s="424"/>
      <c r="EIE40" s="426"/>
      <c r="EIF40" s="424"/>
      <c r="EIG40" s="426"/>
      <c r="EIH40" s="424"/>
      <c r="EII40" s="426"/>
      <c r="EIJ40" s="424"/>
      <c r="EIK40" s="426"/>
      <c r="EIL40" s="424"/>
      <c r="EIM40" s="426"/>
      <c r="EIN40" s="424"/>
      <c r="EIO40" s="426"/>
      <c r="EIP40" s="424"/>
      <c r="EIQ40" s="426"/>
      <c r="EIR40" s="424"/>
      <c r="EIS40" s="426"/>
      <c r="EIT40" s="424"/>
      <c r="EIU40" s="426"/>
      <c r="EIV40" s="424"/>
      <c r="EIW40" s="426"/>
      <c r="EIX40" s="424"/>
      <c r="EIY40" s="426"/>
      <c r="EIZ40" s="424"/>
      <c r="EJA40" s="426"/>
      <c r="EJB40" s="424"/>
      <c r="EJC40" s="426"/>
      <c r="EJD40" s="424"/>
      <c r="EJE40" s="426"/>
      <c r="EJF40" s="424"/>
      <c r="EJG40" s="426"/>
      <c r="EJH40" s="424"/>
      <c r="EJI40" s="426"/>
      <c r="EJJ40" s="424"/>
      <c r="EJK40" s="426"/>
      <c r="EJL40" s="424"/>
      <c r="EJM40" s="426"/>
      <c r="EJN40" s="424"/>
      <c r="EJO40" s="426"/>
      <c r="EJP40" s="424"/>
      <c r="EJQ40" s="426"/>
      <c r="EJR40" s="424"/>
      <c r="EJS40" s="426"/>
      <c r="EJT40" s="424"/>
      <c r="EJU40" s="426"/>
      <c r="EJV40" s="424"/>
      <c r="EJW40" s="426"/>
      <c r="EJX40" s="424"/>
      <c r="EJY40" s="426"/>
      <c r="EJZ40" s="424"/>
      <c r="EKA40" s="426"/>
      <c r="EKB40" s="424"/>
      <c r="EKC40" s="426"/>
      <c r="EKD40" s="424"/>
      <c r="EKE40" s="426"/>
      <c r="EKF40" s="424"/>
      <c r="EKG40" s="426"/>
      <c r="EKH40" s="424"/>
      <c r="EKI40" s="426"/>
      <c r="EKJ40" s="424"/>
      <c r="EKK40" s="426"/>
      <c r="EKL40" s="424"/>
      <c r="EKM40" s="426"/>
      <c r="EKN40" s="424"/>
      <c r="EKO40" s="426"/>
      <c r="EKP40" s="424"/>
      <c r="EKQ40" s="426"/>
      <c r="EKR40" s="424"/>
      <c r="EKS40" s="426"/>
      <c r="EKT40" s="424"/>
      <c r="EKU40" s="426"/>
      <c r="EKV40" s="424"/>
      <c r="EKW40" s="426"/>
      <c r="EKX40" s="424"/>
      <c r="EKY40" s="426"/>
      <c r="EKZ40" s="424"/>
      <c r="ELA40" s="426"/>
      <c r="ELB40" s="424"/>
      <c r="ELC40" s="426"/>
      <c r="ELD40" s="424"/>
      <c r="ELE40" s="426"/>
      <c r="ELF40" s="424"/>
      <c r="ELG40" s="426"/>
      <c r="ELH40" s="424"/>
      <c r="ELI40" s="426"/>
      <c r="ELJ40" s="424"/>
      <c r="ELK40" s="426"/>
      <c r="ELL40" s="424"/>
      <c r="ELM40" s="426"/>
      <c r="ELN40" s="424"/>
      <c r="ELO40" s="426"/>
      <c r="ELP40" s="424"/>
      <c r="ELQ40" s="426"/>
      <c r="ELR40" s="424"/>
      <c r="ELS40" s="426"/>
      <c r="ELT40" s="424"/>
      <c r="ELU40" s="426"/>
      <c r="ELV40" s="424"/>
      <c r="ELW40" s="426"/>
      <c r="ELX40" s="424"/>
      <c r="ELY40" s="426"/>
      <c r="ELZ40" s="424"/>
      <c r="EMA40" s="426"/>
      <c r="EMB40" s="424"/>
      <c r="EMC40" s="426"/>
      <c r="EMD40" s="424"/>
      <c r="EME40" s="426"/>
      <c r="EMF40" s="424"/>
      <c r="EMG40" s="426"/>
      <c r="EMH40" s="424"/>
      <c r="EMI40" s="426"/>
      <c r="EMJ40" s="424"/>
      <c r="EMK40" s="426"/>
      <c r="EML40" s="424"/>
      <c r="EMM40" s="426"/>
      <c r="EMN40" s="424"/>
      <c r="EMO40" s="426"/>
      <c r="EMP40" s="424"/>
      <c r="EMQ40" s="426"/>
      <c r="EMR40" s="424"/>
      <c r="EMS40" s="426"/>
      <c r="EMT40" s="424"/>
      <c r="EMU40" s="426"/>
      <c r="EMV40" s="424"/>
      <c r="EMW40" s="426"/>
      <c r="EMX40" s="424"/>
      <c r="EMY40" s="426"/>
      <c r="EMZ40" s="424"/>
      <c r="ENA40" s="426"/>
      <c r="ENB40" s="424"/>
      <c r="ENC40" s="426"/>
      <c r="END40" s="424"/>
      <c r="ENE40" s="426"/>
      <c r="ENF40" s="424"/>
      <c r="ENG40" s="426"/>
      <c r="ENH40" s="424"/>
      <c r="ENI40" s="426"/>
      <c r="ENJ40" s="424"/>
      <c r="ENK40" s="426"/>
      <c r="ENL40" s="424"/>
      <c r="ENM40" s="426"/>
      <c r="ENN40" s="424"/>
      <c r="ENO40" s="426"/>
      <c r="ENP40" s="424"/>
      <c r="ENQ40" s="426"/>
      <c r="ENR40" s="424"/>
      <c r="ENS40" s="426"/>
      <c r="ENT40" s="424"/>
      <c r="ENU40" s="426"/>
      <c r="ENV40" s="424"/>
      <c r="ENW40" s="426"/>
      <c r="ENX40" s="424"/>
      <c r="ENY40" s="426"/>
      <c r="ENZ40" s="424"/>
      <c r="EOA40" s="426"/>
      <c r="EOB40" s="424"/>
      <c r="EOC40" s="426"/>
      <c r="EOD40" s="424"/>
      <c r="EOE40" s="426"/>
      <c r="EOF40" s="424"/>
      <c r="EOG40" s="426"/>
      <c r="EOH40" s="424"/>
      <c r="EOI40" s="426"/>
      <c r="EOJ40" s="424"/>
      <c r="EOK40" s="426"/>
      <c r="EOL40" s="424"/>
      <c r="EOM40" s="426"/>
      <c r="EON40" s="424"/>
      <c r="EOO40" s="426"/>
      <c r="EOP40" s="424"/>
      <c r="EOQ40" s="426"/>
      <c r="EOR40" s="424"/>
      <c r="EOS40" s="426"/>
      <c r="EOT40" s="424"/>
      <c r="EOU40" s="426"/>
      <c r="EOV40" s="424"/>
      <c r="EOW40" s="426"/>
      <c r="EOX40" s="424"/>
      <c r="EOY40" s="426"/>
      <c r="EOZ40" s="424"/>
      <c r="EPA40" s="426"/>
      <c r="EPB40" s="424"/>
      <c r="EPC40" s="426"/>
      <c r="EPD40" s="424"/>
      <c r="EPE40" s="426"/>
      <c r="EPF40" s="424"/>
      <c r="EPG40" s="426"/>
      <c r="EPH40" s="424"/>
      <c r="EPI40" s="426"/>
      <c r="EPJ40" s="424"/>
      <c r="EPK40" s="426"/>
      <c r="EPL40" s="424"/>
      <c r="EPM40" s="426"/>
      <c r="EPN40" s="424"/>
      <c r="EPO40" s="426"/>
      <c r="EPP40" s="424"/>
      <c r="EPQ40" s="426"/>
      <c r="EPR40" s="424"/>
      <c r="EPS40" s="426"/>
      <c r="EPT40" s="424"/>
      <c r="EPU40" s="426"/>
      <c r="EPV40" s="424"/>
      <c r="EPW40" s="426"/>
      <c r="EPX40" s="424"/>
      <c r="EPY40" s="426"/>
      <c r="EPZ40" s="424"/>
      <c r="EQA40" s="426"/>
      <c r="EQB40" s="424"/>
      <c r="EQC40" s="426"/>
      <c r="EQD40" s="424"/>
      <c r="EQE40" s="426"/>
      <c r="EQF40" s="424"/>
      <c r="EQG40" s="426"/>
      <c r="EQH40" s="424"/>
      <c r="EQI40" s="426"/>
      <c r="EQJ40" s="424"/>
      <c r="EQK40" s="426"/>
      <c r="EQL40" s="424"/>
      <c r="EQM40" s="426"/>
      <c r="EQN40" s="424"/>
      <c r="EQO40" s="426"/>
      <c r="EQP40" s="424"/>
      <c r="EQQ40" s="426"/>
      <c r="EQR40" s="424"/>
      <c r="EQS40" s="426"/>
      <c r="EQT40" s="424"/>
      <c r="EQU40" s="426"/>
      <c r="EQV40" s="424"/>
      <c r="EQW40" s="426"/>
      <c r="EQX40" s="424"/>
      <c r="EQY40" s="426"/>
      <c r="EQZ40" s="424"/>
      <c r="ERA40" s="426"/>
      <c r="ERB40" s="424"/>
      <c r="ERC40" s="426"/>
      <c r="ERD40" s="424"/>
      <c r="ERE40" s="426"/>
      <c r="ERF40" s="424"/>
      <c r="ERG40" s="426"/>
      <c r="ERH40" s="424"/>
      <c r="ERI40" s="426"/>
      <c r="ERJ40" s="424"/>
      <c r="ERK40" s="426"/>
      <c r="ERL40" s="424"/>
      <c r="ERM40" s="426"/>
      <c r="ERN40" s="424"/>
      <c r="ERO40" s="426"/>
      <c r="ERP40" s="424"/>
      <c r="ERQ40" s="426"/>
      <c r="ERR40" s="424"/>
      <c r="ERS40" s="426"/>
      <c r="ERT40" s="424"/>
      <c r="ERU40" s="426"/>
      <c r="ERV40" s="424"/>
      <c r="ERW40" s="426"/>
      <c r="ERX40" s="424"/>
      <c r="ERY40" s="426"/>
      <c r="ERZ40" s="424"/>
      <c r="ESA40" s="426"/>
      <c r="ESB40" s="424"/>
      <c r="ESC40" s="426"/>
      <c r="ESD40" s="424"/>
      <c r="ESE40" s="426"/>
      <c r="ESF40" s="424"/>
      <c r="ESG40" s="426"/>
      <c r="ESH40" s="424"/>
      <c r="ESI40" s="426"/>
      <c r="ESJ40" s="424"/>
      <c r="ESK40" s="426"/>
      <c r="ESL40" s="424"/>
      <c r="ESM40" s="426"/>
      <c r="ESN40" s="424"/>
      <c r="ESO40" s="426"/>
      <c r="ESP40" s="424"/>
      <c r="ESQ40" s="426"/>
      <c r="ESR40" s="424"/>
      <c r="ESS40" s="426"/>
      <c r="EST40" s="424"/>
      <c r="ESU40" s="426"/>
      <c r="ESV40" s="424"/>
      <c r="ESW40" s="426"/>
      <c r="ESX40" s="424"/>
      <c r="ESY40" s="426"/>
      <c r="ESZ40" s="424"/>
      <c r="ETA40" s="426"/>
      <c r="ETB40" s="424"/>
      <c r="ETC40" s="426"/>
      <c r="ETD40" s="424"/>
      <c r="ETE40" s="426"/>
      <c r="ETF40" s="424"/>
      <c r="ETG40" s="426"/>
      <c r="ETH40" s="424"/>
      <c r="ETI40" s="426"/>
      <c r="ETJ40" s="424"/>
      <c r="ETK40" s="426"/>
      <c r="ETL40" s="424"/>
      <c r="ETM40" s="426"/>
      <c r="ETN40" s="424"/>
      <c r="ETO40" s="426"/>
      <c r="ETP40" s="424"/>
      <c r="ETQ40" s="426"/>
      <c r="ETR40" s="424"/>
      <c r="ETS40" s="426"/>
      <c r="ETT40" s="424"/>
      <c r="ETU40" s="426"/>
      <c r="ETV40" s="424"/>
      <c r="ETW40" s="426"/>
      <c r="ETX40" s="424"/>
      <c r="ETY40" s="426"/>
      <c r="ETZ40" s="424"/>
      <c r="EUA40" s="426"/>
      <c r="EUB40" s="424"/>
      <c r="EUC40" s="426"/>
      <c r="EUD40" s="424"/>
      <c r="EUE40" s="426"/>
      <c r="EUF40" s="424"/>
      <c r="EUG40" s="426"/>
      <c r="EUH40" s="424"/>
      <c r="EUI40" s="426"/>
      <c r="EUJ40" s="424"/>
      <c r="EUK40" s="426"/>
      <c r="EUL40" s="424"/>
      <c r="EUM40" s="426"/>
      <c r="EUN40" s="424"/>
      <c r="EUO40" s="426"/>
      <c r="EUP40" s="424"/>
      <c r="EUQ40" s="426"/>
      <c r="EUR40" s="424"/>
      <c r="EUS40" s="426"/>
      <c r="EUT40" s="424"/>
      <c r="EUU40" s="426"/>
      <c r="EUV40" s="424"/>
      <c r="EUW40" s="426"/>
      <c r="EUX40" s="424"/>
      <c r="EUY40" s="426"/>
      <c r="EUZ40" s="424"/>
      <c r="EVA40" s="426"/>
      <c r="EVB40" s="424"/>
      <c r="EVC40" s="426"/>
      <c r="EVD40" s="424"/>
      <c r="EVE40" s="426"/>
      <c r="EVF40" s="424"/>
      <c r="EVG40" s="426"/>
      <c r="EVH40" s="424"/>
      <c r="EVI40" s="426"/>
      <c r="EVJ40" s="424"/>
      <c r="EVK40" s="426"/>
      <c r="EVL40" s="424"/>
      <c r="EVM40" s="426"/>
      <c r="EVN40" s="424"/>
      <c r="EVO40" s="426"/>
      <c r="EVP40" s="424"/>
      <c r="EVQ40" s="426"/>
      <c r="EVR40" s="424"/>
      <c r="EVS40" s="426"/>
      <c r="EVT40" s="424"/>
      <c r="EVU40" s="426"/>
      <c r="EVV40" s="424"/>
      <c r="EVW40" s="426"/>
      <c r="EVX40" s="424"/>
      <c r="EVY40" s="426"/>
      <c r="EVZ40" s="424"/>
      <c r="EWA40" s="426"/>
      <c r="EWB40" s="424"/>
      <c r="EWC40" s="426"/>
      <c r="EWD40" s="424"/>
      <c r="EWE40" s="426"/>
      <c r="EWF40" s="424"/>
      <c r="EWG40" s="426"/>
      <c r="EWH40" s="424"/>
      <c r="EWI40" s="426"/>
      <c r="EWJ40" s="424"/>
      <c r="EWK40" s="426"/>
      <c r="EWL40" s="424"/>
      <c r="EWM40" s="426"/>
      <c r="EWN40" s="424"/>
      <c r="EWO40" s="426"/>
      <c r="EWP40" s="424"/>
      <c r="EWQ40" s="426"/>
      <c r="EWR40" s="424"/>
      <c r="EWS40" s="426"/>
      <c r="EWT40" s="424"/>
      <c r="EWU40" s="426"/>
      <c r="EWV40" s="424"/>
      <c r="EWW40" s="426"/>
      <c r="EWX40" s="424"/>
      <c r="EWY40" s="426"/>
      <c r="EWZ40" s="424"/>
      <c r="EXA40" s="426"/>
      <c r="EXB40" s="424"/>
      <c r="EXC40" s="426"/>
      <c r="EXD40" s="424"/>
      <c r="EXE40" s="426"/>
      <c r="EXF40" s="424"/>
      <c r="EXG40" s="426"/>
      <c r="EXH40" s="424"/>
      <c r="EXI40" s="426"/>
      <c r="EXJ40" s="424"/>
      <c r="EXK40" s="426"/>
      <c r="EXL40" s="424"/>
      <c r="EXM40" s="426"/>
      <c r="EXN40" s="424"/>
      <c r="EXO40" s="426"/>
      <c r="EXP40" s="424"/>
      <c r="EXQ40" s="426"/>
      <c r="EXR40" s="424"/>
      <c r="EXS40" s="426"/>
      <c r="EXT40" s="424"/>
      <c r="EXU40" s="426"/>
      <c r="EXV40" s="424"/>
      <c r="EXW40" s="426"/>
      <c r="EXX40" s="424"/>
      <c r="EXY40" s="426"/>
      <c r="EXZ40" s="424"/>
      <c r="EYA40" s="426"/>
      <c r="EYB40" s="424"/>
      <c r="EYC40" s="426"/>
      <c r="EYD40" s="424"/>
      <c r="EYE40" s="426"/>
      <c r="EYF40" s="424"/>
      <c r="EYG40" s="426"/>
      <c r="EYH40" s="424"/>
      <c r="EYI40" s="426"/>
      <c r="EYJ40" s="424"/>
      <c r="EYK40" s="426"/>
      <c r="EYL40" s="424"/>
      <c r="EYM40" s="426"/>
      <c r="EYN40" s="424"/>
      <c r="EYO40" s="426"/>
      <c r="EYP40" s="424"/>
      <c r="EYQ40" s="426"/>
      <c r="EYR40" s="424"/>
      <c r="EYS40" s="426"/>
      <c r="EYT40" s="424"/>
      <c r="EYU40" s="426"/>
      <c r="EYV40" s="424"/>
      <c r="EYW40" s="426"/>
      <c r="EYX40" s="424"/>
      <c r="EYY40" s="426"/>
      <c r="EYZ40" s="424"/>
      <c r="EZA40" s="426"/>
      <c r="EZB40" s="424"/>
      <c r="EZC40" s="426"/>
      <c r="EZD40" s="424"/>
      <c r="EZE40" s="426"/>
      <c r="EZF40" s="424"/>
      <c r="EZG40" s="426"/>
      <c r="EZH40" s="424"/>
      <c r="EZI40" s="426"/>
      <c r="EZJ40" s="424"/>
      <c r="EZK40" s="426"/>
      <c r="EZL40" s="424"/>
      <c r="EZM40" s="426"/>
      <c r="EZN40" s="424"/>
      <c r="EZO40" s="426"/>
      <c r="EZP40" s="424"/>
      <c r="EZQ40" s="426"/>
      <c r="EZR40" s="424"/>
      <c r="EZS40" s="426"/>
      <c r="EZT40" s="424"/>
      <c r="EZU40" s="426"/>
      <c r="EZV40" s="424"/>
      <c r="EZW40" s="426"/>
      <c r="EZX40" s="424"/>
      <c r="EZY40" s="426"/>
      <c r="EZZ40" s="424"/>
      <c r="FAA40" s="426"/>
      <c r="FAB40" s="424"/>
      <c r="FAC40" s="426"/>
      <c r="FAD40" s="424"/>
      <c r="FAE40" s="426"/>
      <c r="FAF40" s="424"/>
      <c r="FAG40" s="426"/>
      <c r="FAH40" s="424"/>
      <c r="FAI40" s="426"/>
      <c r="FAJ40" s="424"/>
      <c r="FAK40" s="426"/>
      <c r="FAL40" s="424"/>
      <c r="FAM40" s="426"/>
      <c r="FAN40" s="424"/>
      <c r="FAO40" s="426"/>
      <c r="FAP40" s="424"/>
      <c r="FAQ40" s="426"/>
      <c r="FAR40" s="424"/>
      <c r="FAS40" s="426"/>
      <c r="FAT40" s="424"/>
      <c r="FAU40" s="426"/>
      <c r="FAV40" s="424"/>
      <c r="FAW40" s="426"/>
      <c r="FAX40" s="424"/>
      <c r="FAY40" s="426"/>
      <c r="FAZ40" s="424"/>
      <c r="FBA40" s="426"/>
      <c r="FBB40" s="424"/>
      <c r="FBC40" s="426"/>
      <c r="FBD40" s="424"/>
      <c r="FBE40" s="426"/>
      <c r="FBF40" s="424"/>
      <c r="FBG40" s="426"/>
      <c r="FBH40" s="424"/>
      <c r="FBI40" s="426"/>
      <c r="FBJ40" s="424"/>
      <c r="FBK40" s="426"/>
      <c r="FBL40" s="424"/>
      <c r="FBM40" s="426"/>
      <c r="FBN40" s="424"/>
      <c r="FBO40" s="426"/>
      <c r="FBP40" s="424"/>
      <c r="FBQ40" s="426"/>
      <c r="FBR40" s="424"/>
      <c r="FBS40" s="426"/>
      <c r="FBT40" s="424"/>
      <c r="FBU40" s="426"/>
      <c r="FBV40" s="424"/>
      <c r="FBW40" s="426"/>
      <c r="FBX40" s="424"/>
      <c r="FBY40" s="426"/>
      <c r="FBZ40" s="424"/>
      <c r="FCA40" s="426"/>
      <c r="FCB40" s="424"/>
      <c r="FCC40" s="426"/>
      <c r="FCD40" s="424"/>
      <c r="FCE40" s="426"/>
      <c r="FCF40" s="424"/>
      <c r="FCG40" s="426"/>
      <c r="FCH40" s="424"/>
      <c r="FCI40" s="426"/>
      <c r="FCJ40" s="424"/>
      <c r="FCK40" s="426"/>
      <c r="FCL40" s="424"/>
      <c r="FCM40" s="426"/>
      <c r="FCN40" s="424"/>
      <c r="FCO40" s="426"/>
      <c r="FCP40" s="424"/>
      <c r="FCQ40" s="426"/>
      <c r="FCR40" s="424"/>
      <c r="FCS40" s="426"/>
      <c r="FCT40" s="424"/>
      <c r="FCU40" s="426"/>
      <c r="FCV40" s="424"/>
      <c r="FCW40" s="426"/>
      <c r="FCX40" s="424"/>
      <c r="FCY40" s="426"/>
      <c r="FCZ40" s="424"/>
      <c r="FDA40" s="426"/>
      <c r="FDB40" s="424"/>
      <c r="FDC40" s="426"/>
      <c r="FDD40" s="424"/>
      <c r="FDE40" s="426"/>
      <c r="FDF40" s="424"/>
      <c r="FDG40" s="426"/>
      <c r="FDH40" s="424"/>
      <c r="FDI40" s="426"/>
      <c r="FDJ40" s="424"/>
      <c r="FDK40" s="426"/>
      <c r="FDL40" s="424"/>
      <c r="FDM40" s="426"/>
      <c r="FDN40" s="424"/>
      <c r="FDO40" s="426"/>
      <c r="FDP40" s="424"/>
      <c r="FDQ40" s="426"/>
      <c r="FDR40" s="424"/>
      <c r="FDS40" s="426"/>
      <c r="FDT40" s="424"/>
      <c r="FDU40" s="426"/>
      <c r="FDV40" s="424"/>
      <c r="FDW40" s="426"/>
      <c r="FDX40" s="424"/>
      <c r="FDY40" s="426"/>
      <c r="FDZ40" s="424"/>
      <c r="FEA40" s="426"/>
      <c r="FEB40" s="424"/>
      <c r="FEC40" s="426"/>
      <c r="FED40" s="424"/>
      <c r="FEE40" s="426"/>
      <c r="FEF40" s="424"/>
      <c r="FEG40" s="426"/>
      <c r="FEH40" s="424"/>
      <c r="FEI40" s="426"/>
      <c r="FEJ40" s="424"/>
      <c r="FEK40" s="426"/>
      <c r="FEL40" s="424"/>
      <c r="FEM40" s="426"/>
      <c r="FEN40" s="424"/>
      <c r="FEO40" s="426"/>
      <c r="FEP40" s="424"/>
      <c r="FEQ40" s="426"/>
      <c r="FER40" s="424"/>
      <c r="FES40" s="426"/>
      <c r="FET40" s="424"/>
      <c r="FEU40" s="426"/>
      <c r="FEV40" s="424"/>
      <c r="FEW40" s="426"/>
      <c r="FEX40" s="424"/>
      <c r="FEY40" s="426"/>
      <c r="FEZ40" s="424"/>
      <c r="FFA40" s="426"/>
      <c r="FFB40" s="424"/>
      <c r="FFC40" s="426"/>
      <c r="FFD40" s="424"/>
      <c r="FFE40" s="426"/>
      <c r="FFF40" s="424"/>
      <c r="FFG40" s="426"/>
      <c r="FFH40" s="424"/>
      <c r="FFI40" s="426"/>
      <c r="FFJ40" s="424"/>
      <c r="FFK40" s="426"/>
      <c r="FFL40" s="424"/>
      <c r="FFM40" s="426"/>
      <c r="FFN40" s="424"/>
      <c r="FFO40" s="426"/>
      <c r="FFP40" s="424"/>
      <c r="FFQ40" s="426"/>
      <c r="FFR40" s="424"/>
      <c r="FFS40" s="426"/>
      <c r="FFT40" s="424"/>
      <c r="FFU40" s="426"/>
      <c r="FFV40" s="424"/>
      <c r="FFW40" s="426"/>
      <c r="FFX40" s="424"/>
      <c r="FFY40" s="426"/>
      <c r="FFZ40" s="424"/>
      <c r="FGA40" s="426"/>
      <c r="FGB40" s="424"/>
      <c r="FGC40" s="426"/>
      <c r="FGD40" s="424"/>
      <c r="FGE40" s="426"/>
      <c r="FGF40" s="424"/>
      <c r="FGG40" s="426"/>
      <c r="FGH40" s="424"/>
      <c r="FGI40" s="426"/>
      <c r="FGJ40" s="424"/>
      <c r="FGK40" s="426"/>
      <c r="FGL40" s="424"/>
      <c r="FGM40" s="426"/>
      <c r="FGN40" s="424"/>
      <c r="FGO40" s="426"/>
      <c r="FGP40" s="424"/>
      <c r="FGQ40" s="426"/>
      <c r="FGR40" s="424"/>
      <c r="FGS40" s="426"/>
      <c r="FGT40" s="424"/>
      <c r="FGU40" s="426"/>
      <c r="FGV40" s="424"/>
      <c r="FGW40" s="426"/>
      <c r="FGX40" s="424"/>
      <c r="FGY40" s="426"/>
      <c r="FGZ40" s="424"/>
      <c r="FHA40" s="426"/>
      <c r="FHB40" s="424"/>
      <c r="FHC40" s="426"/>
      <c r="FHD40" s="424"/>
      <c r="FHE40" s="426"/>
      <c r="FHF40" s="424"/>
      <c r="FHG40" s="426"/>
      <c r="FHH40" s="424"/>
      <c r="FHI40" s="426"/>
      <c r="FHJ40" s="424"/>
      <c r="FHK40" s="426"/>
      <c r="FHL40" s="424"/>
      <c r="FHM40" s="426"/>
      <c r="FHN40" s="424"/>
      <c r="FHO40" s="426"/>
      <c r="FHP40" s="424"/>
      <c r="FHQ40" s="426"/>
      <c r="FHR40" s="424"/>
      <c r="FHS40" s="426"/>
      <c r="FHT40" s="424"/>
      <c r="FHU40" s="426"/>
      <c r="FHV40" s="424"/>
      <c r="FHW40" s="426"/>
      <c r="FHX40" s="424"/>
      <c r="FHY40" s="426"/>
      <c r="FHZ40" s="424"/>
      <c r="FIA40" s="426"/>
      <c r="FIB40" s="424"/>
      <c r="FIC40" s="426"/>
      <c r="FID40" s="424"/>
      <c r="FIE40" s="426"/>
      <c r="FIF40" s="424"/>
      <c r="FIG40" s="426"/>
      <c r="FIH40" s="424"/>
      <c r="FII40" s="426"/>
      <c r="FIJ40" s="424"/>
      <c r="FIK40" s="426"/>
      <c r="FIL40" s="424"/>
      <c r="FIM40" s="426"/>
      <c r="FIN40" s="424"/>
      <c r="FIO40" s="426"/>
      <c r="FIP40" s="424"/>
      <c r="FIQ40" s="426"/>
      <c r="FIR40" s="424"/>
      <c r="FIS40" s="426"/>
      <c r="FIT40" s="424"/>
      <c r="FIU40" s="426"/>
      <c r="FIV40" s="424"/>
      <c r="FIW40" s="426"/>
      <c r="FIX40" s="424"/>
      <c r="FIY40" s="426"/>
      <c r="FIZ40" s="424"/>
      <c r="FJA40" s="426"/>
      <c r="FJB40" s="424"/>
      <c r="FJC40" s="426"/>
      <c r="FJD40" s="424"/>
      <c r="FJE40" s="426"/>
      <c r="FJF40" s="424"/>
      <c r="FJG40" s="426"/>
      <c r="FJH40" s="424"/>
      <c r="FJI40" s="426"/>
      <c r="FJJ40" s="424"/>
      <c r="FJK40" s="426"/>
      <c r="FJL40" s="424"/>
      <c r="FJM40" s="426"/>
      <c r="FJN40" s="424"/>
      <c r="FJO40" s="426"/>
      <c r="FJP40" s="424"/>
      <c r="FJQ40" s="426"/>
      <c r="FJR40" s="424"/>
      <c r="FJS40" s="426"/>
      <c r="FJT40" s="424"/>
      <c r="FJU40" s="426"/>
      <c r="FJV40" s="424"/>
      <c r="FJW40" s="426"/>
      <c r="FJX40" s="424"/>
      <c r="FJY40" s="426"/>
      <c r="FJZ40" s="424"/>
      <c r="FKA40" s="426"/>
      <c r="FKB40" s="424"/>
      <c r="FKC40" s="426"/>
      <c r="FKD40" s="424"/>
      <c r="FKE40" s="426"/>
      <c r="FKF40" s="424"/>
      <c r="FKG40" s="426"/>
      <c r="FKH40" s="424"/>
      <c r="FKI40" s="426"/>
      <c r="FKJ40" s="424"/>
      <c r="FKK40" s="426"/>
      <c r="FKL40" s="424"/>
      <c r="FKM40" s="426"/>
      <c r="FKN40" s="424"/>
      <c r="FKO40" s="426"/>
      <c r="FKP40" s="424"/>
      <c r="FKQ40" s="426"/>
      <c r="FKR40" s="424"/>
      <c r="FKS40" s="426"/>
      <c r="FKT40" s="424"/>
      <c r="FKU40" s="426"/>
      <c r="FKV40" s="424"/>
      <c r="FKW40" s="426"/>
      <c r="FKX40" s="424"/>
      <c r="FKY40" s="426"/>
      <c r="FKZ40" s="424"/>
      <c r="FLA40" s="426"/>
      <c r="FLB40" s="424"/>
      <c r="FLC40" s="426"/>
      <c r="FLD40" s="424"/>
      <c r="FLE40" s="426"/>
      <c r="FLF40" s="424"/>
      <c r="FLG40" s="426"/>
      <c r="FLH40" s="424"/>
      <c r="FLI40" s="426"/>
      <c r="FLJ40" s="424"/>
      <c r="FLK40" s="426"/>
      <c r="FLL40" s="424"/>
      <c r="FLM40" s="426"/>
      <c r="FLN40" s="424"/>
      <c r="FLO40" s="426"/>
      <c r="FLP40" s="424"/>
      <c r="FLQ40" s="426"/>
      <c r="FLR40" s="424"/>
      <c r="FLS40" s="426"/>
      <c r="FLT40" s="424"/>
      <c r="FLU40" s="426"/>
      <c r="FLV40" s="424"/>
      <c r="FLW40" s="426"/>
      <c r="FLX40" s="424"/>
      <c r="FLY40" s="426"/>
      <c r="FLZ40" s="424"/>
      <c r="FMA40" s="426"/>
      <c r="FMB40" s="424"/>
      <c r="FMC40" s="426"/>
      <c r="FMD40" s="424"/>
      <c r="FME40" s="426"/>
      <c r="FMF40" s="424"/>
      <c r="FMG40" s="426"/>
      <c r="FMH40" s="424"/>
      <c r="FMI40" s="426"/>
      <c r="FMJ40" s="424"/>
      <c r="FMK40" s="426"/>
      <c r="FML40" s="424"/>
      <c r="FMM40" s="426"/>
      <c r="FMN40" s="424"/>
      <c r="FMO40" s="426"/>
      <c r="FMP40" s="424"/>
      <c r="FMQ40" s="426"/>
      <c r="FMR40" s="424"/>
      <c r="FMS40" s="426"/>
      <c r="FMT40" s="424"/>
      <c r="FMU40" s="426"/>
      <c r="FMV40" s="424"/>
      <c r="FMW40" s="426"/>
      <c r="FMX40" s="424"/>
      <c r="FMY40" s="426"/>
      <c r="FMZ40" s="424"/>
      <c r="FNA40" s="426"/>
      <c r="FNB40" s="424"/>
      <c r="FNC40" s="426"/>
      <c r="FND40" s="424"/>
      <c r="FNE40" s="426"/>
      <c r="FNF40" s="424"/>
      <c r="FNG40" s="426"/>
      <c r="FNH40" s="424"/>
      <c r="FNI40" s="426"/>
      <c r="FNJ40" s="424"/>
      <c r="FNK40" s="426"/>
      <c r="FNL40" s="424"/>
      <c r="FNM40" s="426"/>
      <c r="FNN40" s="424"/>
      <c r="FNO40" s="426"/>
      <c r="FNP40" s="424"/>
      <c r="FNQ40" s="426"/>
      <c r="FNR40" s="424"/>
      <c r="FNS40" s="426"/>
      <c r="FNT40" s="424"/>
      <c r="FNU40" s="426"/>
      <c r="FNV40" s="424"/>
      <c r="FNW40" s="426"/>
      <c r="FNX40" s="424"/>
      <c r="FNY40" s="426"/>
      <c r="FNZ40" s="424"/>
      <c r="FOA40" s="426"/>
      <c r="FOB40" s="424"/>
      <c r="FOC40" s="426"/>
      <c r="FOD40" s="424"/>
      <c r="FOE40" s="426"/>
      <c r="FOF40" s="424"/>
      <c r="FOG40" s="426"/>
      <c r="FOH40" s="424"/>
      <c r="FOI40" s="426"/>
      <c r="FOJ40" s="424"/>
      <c r="FOK40" s="426"/>
      <c r="FOL40" s="424"/>
      <c r="FOM40" s="426"/>
      <c r="FON40" s="424"/>
      <c r="FOO40" s="426"/>
      <c r="FOP40" s="424"/>
      <c r="FOQ40" s="426"/>
      <c r="FOR40" s="424"/>
      <c r="FOS40" s="426"/>
      <c r="FOT40" s="424"/>
      <c r="FOU40" s="426"/>
      <c r="FOV40" s="424"/>
      <c r="FOW40" s="426"/>
      <c r="FOX40" s="424"/>
      <c r="FOY40" s="426"/>
      <c r="FOZ40" s="424"/>
      <c r="FPA40" s="426"/>
      <c r="FPB40" s="424"/>
      <c r="FPC40" s="426"/>
      <c r="FPD40" s="424"/>
      <c r="FPE40" s="426"/>
      <c r="FPF40" s="424"/>
      <c r="FPG40" s="426"/>
      <c r="FPH40" s="424"/>
      <c r="FPI40" s="426"/>
      <c r="FPJ40" s="424"/>
      <c r="FPK40" s="426"/>
      <c r="FPL40" s="424"/>
      <c r="FPM40" s="426"/>
      <c r="FPN40" s="424"/>
      <c r="FPO40" s="426"/>
      <c r="FPP40" s="424"/>
      <c r="FPQ40" s="426"/>
      <c r="FPR40" s="424"/>
      <c r="FPS40" s="426"/>
      <c r="FPT40" s="424"/>
      <c r="FPU40" s="426"/>
      <c r="FPV40" s="424"/>
      <c r="FPW40" s="426"/>
      <c r="FPX40" s="424"/>
      <c r="FPY40" s="426"/>
      <c r="FPZ40" s="424"/>
      <c r="FQA40" s="426"/>
      <c r="FQB40" s="424"/>
      <c r="FQC40" s="426"/>
      <c r="FQD40" s="424"/>
      <c r="FQE40" s="426"/>
      <c r="FQF40" s="424"/>
      <c r="FQG40" s="426"/>
      <c r="FQH40" s="424"/>
      <c r="FQI40" s="426"/>
      <c r="FQJ40" s="424"/>
      <c r="FQK40" s="426"/>
      <c r="FQL40" s="424"/>
      <c r="FQM40" s="426"/>
      <c r="FQN40" s="424"/>
      <c r="FQO40" s="426"/>
      <c r="FQP40" s="424"/>
      <c r="FQQ40" s="426"/>
      <c r="FQR40" s="424"/>
      <c r="FQS40" s="426"/>
      <c r="FQT40" s="424"/>
      <c r="FQU40" s="426"/>
      <c r="FQV40" s="424"/>
      <c r="FQW40" s="426"/>
      <c r="FQX40" s="424"/>
      <c r="FQY40" s="426"/>
      <c r="FQZ40" s="424"/>
      <c r="FRA40" s="426"/>
      <c r="FRB40" s="424"/>
      <c r="FRC40" s="426"/>
      <c r="FRD40" s="424"/>
      <c r="FRE40" s="426"/>
      <c r="FRF40" s="424"/>
      <c r="FRG40" s="426"/>
      <c r="FRH40" s="424"/>
      <c r="FRI40" s="426"/>
      <c r="FRJ40" s="424"/>
      <c r="FRK40" s="426"/>
      <c r="FRL40" s="424"/>
      <c r="FRM40" s="426"/>
      <c r="FRN40" s="424"/>
      <c r="FRO40" s="426"/>
      <c r="FRP40" s="424"/>
      <c r="FRQ40" s="426"/>
      <c r="FRR40" s="424"/>
      <c r="FRS40" s="426"/>
      <c r="FRT40" s="424"/>
      <c r="FRU40" s="426"/>
      <c r="FRV40" s="424"/>
      <c r="FRW40" s="426"/>
      <c r="FRX40" s="424"/>
      <c r="FRY40" s="426"/>
      <c r="FRZ40" s="424"/>
      <c r="FSA40" s="426"/>
      <c r="FSB40" s="424"/>
      <c r="FSC40" s="426"/>
      <c r="FSD40" s="424"/>
      <c r="FSE40" s="426"/>
      <c r="FSF40" s="424"/>
      <c r="FSG40" s="426"/>
      <c r="FSH40" s="424"/>
      <c r="FSI40" s="426"/>
      <c r="FSJ40" s="424"/>
      <c r="FSK40" s="426"/>
      <c r="FSL40" s="424"/>
      <c r="FSM40" s="426"/>
      <c r="FSN40" s="424"/>
      <c r="FSO40" s="426"/>
      <c r="FSP40" s="424"/>
      <c r="FSQ40" s="426"/>
      <c r="FSR40" s="424"/>
      <c r="FSS40" s="426"/>
      <c r="FST40" s="424"/>
      <c r="FSU40" s="426"/>
      <c r="FSV40" s="424"/>
      <c r="FSW40" s="426"/>
      <c r="FSX40" s="424"/>
      <c r="FSY40" s="426"/>
      <c r="FSZ40" s="424"/>
      <c r="FTA40" s="426"/>
      <c r="FTB40" s="424"/>
      <c r="FTC40" s="426"/>
      <c r="FTD40" s="424"/>
      <c r="FTE40" s="426"/>
      <c r="FTF40" s="424"/>
      <c r="FTG40" s="426"/>
      <c r="FTH40" s="424"/>
      <c r="FTI40" s="426"/>
      <c r="FTJ40" s="424"/>
      <c r="FTK40" s="426"/>
      <c r="FTL40" s="424"/>
      <c r="FTM40" s="426"/>
      <c r="FTN40" s="424"/>
      <c r="FTO40" s="426"/>
      <c r="FTP40" s="424"/>
      <c r="FTQ40" s="426"/>
      <c r="FTR40" s="424"/>
      <c r="FTS40" s="426"/>
      <c r="FTT40" s="424"/>
      <c r="FTU40" s="426"/>
      <c r="FTV40" s="424"/>
      <c r="FTW40" s="426"/>
      <c r="FTX40" s="424"/>
      <c r="FTY40" s="426"/>
      <c r="FTZ40" s="424"/>
      <c r="FUA40" s="426"/>
      <c r="FUB40" s="424"/>
      <c r="FUC40" s="426"/>
      <c r="FUD40" s="424"/>
      <c r="FUE40" s="426"/>
      <c r="FUF40" s="424"/>
      <c r="FUG40" s="426"/>
      <c r="FUH40" s="424"/>
      <c r="FUI40" s="426"/>
      <c r="FUJ40" s="424"/>
      <c r="FUK40" s="426"/>
      <c r="FUL40" s="424"/>
      <c r="FUM40" s="426"/>
      <c r="FUN40" s="424"/>
      <c r="FUO40" s="426"/>
      <c r="FUP40" s="424"/>
      <c r="FUQ40" s="426"/>
      <c r="FUR40" s="424"/>
      <c r="FUS40" s="426"/>
      <c r="FUT40" s="424"/>
      <c r="FUU40" s="426"/>
      <c r="FUV40" s="424"/>
      <c r="FUW40" s="426"/>
      <c r="FUX40" s="424"/>
      <c r="FUY40" s="426"/>
      <c r="FUZ40" s="424"/>
      <c r="FVA40" s="426"/>
      <c r="FVB40" s="424"/>
      <c r="FVC40" s="426"/>
      <c r="FVD40" s="424"/>
      <c r="FVE40" s="426"/>
      <c r="FVF40" s="424"/>
      <c r="FVG40" s="426"/>
      <c r="FVH40" s="424"/>
      <c r="FVI40" s="426"/>
      <c r="FVJ40" s="424"/>
      <c r="FVK40" s="426"/>
      <c r="FVL40" s="424"/>
      <c r="FVM40" s="426"/>
      <c r="FVN40" s="424"/>
      <c r="FVO40" s="426"/>
      <c r="FVP40" s="424"/>
      <c r="FVQ40" s="426"/>
      <c r="FVR40" s="424"/>
      <c r="FVS40" s="426"/>
      <c r="FVT40" s="424"/>
      <c r="FVU40" s="426"/>
      <c r="FVV40" s="424"/>
      <c r="FVW40" s="426"/>
      <c r="FVX40" s="424"/>
      <c r="FVY40" s="426"/>
      <c r="FVZ40" s="424"/>
      <c r="FWA40" s="426"/>
      <c r="FWB40" s="424"/>
      <c r="FWC40" s="426"/>
      <c r="FWD40" s="424"/>
      <c r="FWE40" s="426"/>
      <c r="FWF40" s="424"/>
      <c r="FWG40" s="426"/>
      <c r="FWH40" s="424"/>
      <c r="FWI40" s="426"/>
      <c r="FWJ40" s="424"/>
      <c r="FWK40" s="426"/>
      <c r="FWL40" s="424"/>
      <c r="FWM40" s="426"/>
      <c r="FWN40" s="424"/>
      <c r="FWO40" s="426"/>
      <c r="FWP40" s="424"/>
      <c r="FWQ40" s="426"/>
      <c r="FWR40" s="424"/>
      <c r="FWS40" s="426"/>
      <c r="FWT40" s="424"/>
      <c r="FWU40" s="426"/>
      <c r="FWV40" s="424"/>
      <c r="FWW40" s="426"/>
      <c r="FWX40" s="424"/>
      <c r="FWY40" s="426"/>
      <c r="FWZ40" s="424"/>
      <c r="FXA40" s="426"/>
      <c r="FXB40" s="424"/>
      <c r="FXC40" s="426"/>
      <c r="FXD40" s="424"/>
      <c r="FXE40" s="426"/>
      <c r="FXF40" s="424"/>
      <c r="FXG40" s="426"/>
      <c r="FXH40" s="424"/>
      <c r="FXI40" s="426"/>
      <c r="FXJ40" s="424"/>
      <c r="FXK40" s="426"/>
      <c r="FXL40" s="424"/>
      <c r="FXM40" s="426"/>
      <c r="FXN40" s="424"/>
      <c r="FXO40" s="426"/>
      <c r="FXP40" s="424"/>
      <c r="FXQ40" s="426"/>
      <c r="FXR40" s="424"/>
      <c r="FXS40" s="426"/>
      <c r="FXT40" s="424"/>
      <c r="FXU40" s="426"/>
      <c r="FXV40" s="424"/>
      <c r="FXW40" s="426"/>
      <c r="FXX40" s="424"/>
      <c r="FXY40" s="426"/>
      <c r="FXZ40" s="424"/>
      <c r="FYA40" s="426"/>
      <c r="FYB40" s="424"/>
      <c r="FYC40" s="426"/>
      <c r="FYD40" s="424"/>
      <c r="FYE40" s="426"/>
      <c r="FYF40" s="424"/>
      <c r="FYG40" s="426"/>
      <c r="FYH40" s="424"/>
      <c r="FYI40" s="426"/>
      <c r="FYJ40" s="424"/>
      <c r="FYK40" s="426"/>
      <c r="FYL40" s="424"/>
      <c r="FYM40" s="426"/>
      <c r="FYN40" s="424"/>
      <c r="FYO40" s="426"/>
      <c r="FYP40" s="424"/>
      <c r="FYQ40" s="426"/>
      <c r="FYR40" s="424"/>
      <c r="FYS40" s="426"/>
      <c r="FYT40" s="424"/>
      <c r="FYU40" s="426"/>
      <c r="FYV40" s="424"/>
      <c r="FYW40" s="426"/>
      <c r="FYX40" s="424"/>
      <c r="FYY40" s="426"/>
      <c r="FYZ40" s="424"/>
      <c r="FZA40" s="426"/>
      <c r="FZB40" s="424"/>
      <c r="FZC40" s="426"/>
      <c r="FZD40" s="424"/>
      <c r="FZE40" s="426"/>
      <c r="FZF40" s="424"/>
      <c r="FZG40" s="426"/>
      <c r="FZH40" s="424"/>
      <c r="FZI40" s="426"/>
      <c r="FZJ40" s="424"/>
      <c r="FZK40" s="426"/>
      <c r="FZL40" s="424"/>
      <c r="FZM40" s="426"/>
      <c r="FZN40" s="424"/>
      <c r="FZO40" s="426"/>
      <c r="FZP40" s="424"/>
      <c r="FZQ40" s="426"/>
      <c r="FZR40" s="424"/>
      <c r="FZS40" s="426"/>
      <c r="FZT40" s="424"/>
      <c r="FZU40" s="426"/>
      <c r="FZV40" s="424"/>
      <c r="FZW40" s="426"/>
      <c r="FZX40" s="424"/>
      <c r="FZY40" s="426"/>
      <c r="FZZ40" s="424"/>
      <c r="GAA40" s="426"/>
      <c r="GAB40" s="424"/>
      <c r="GAC40" s="426"/>
      <c r="GAD40" s="424"/>
      <c r="GAE40" s="426"/>
      <c r="GAF40" s="424"/>
      <c r="GAG40" s="426"/>
      <c r="GAH40" s="424"/>
      <c r="GAI40" s="426"/>
      <c r="GAJ40" s="424"/>
      <c r="GAK40" s="426"/>
      <c r="GAL40" s="424"/>
      <c r="GAM40" s="426"/>
      <c r="GAN40" s="424"/>
      <c r="GAO40" s="426"/>
      <c r="GAP40" s="424"/>
      <c r="GAQ40" s="426"/>
      <c r="GAR40" s="424"/>
      <c r="GAS40" s="426"/>
      <c r="GAT40" s="424"/>
      <c r="GAU40" s="426"/>
      <c r="GAV40" s="424"/>
      <c r="GAW40" s="426"/>
      <c r="GAX40" s="424"/>
      <c r="GAY40" s="426"/>
      <c r="GAZ40" s="424"/>
      <c r="GBA40" s="426"/>
      <c r="GBB40" s="424"/>
      <c r="GBC40" s="426"/>
      <c r="GBD40" s="424"/>
      <c r="GBE40" s="426"/>
      <c r="GBF40" s="424"/>
      <c r="GBG40" s="426"/>
      <c r="GBH40" s="424"/>
      <c r="GBI40" s="426"/>
      <c r="GBJ40" s="424"/>
      <c r="GBK40" s="426"/>
      <c r="GBL40" s="424"/>
      <c r="GBM40" s="426"/>
      <c r="GBN40" s="424"/>
      <c r="GBO40" s="426"/>
      <c r="GBP40" s="424"/>
      <c r="GBQ40" s="426"/>
      <c r="GBR40" s="424"/>
      <c r="GBS40" s="426"/>
      <c r="GBT40" s="424"/>
      <c r="GBU40" s="426"/>
      <c r="GBV40" s="424"/>
      <c r="GBW40" s="426"/>
      <c r="GBX40" s="424"/>
      <c r="GBY40" s="426"/>
      <c r="GBZ40" s="424"/>
      <c r="GCA40" s="426"/>
      <c r="GCB40" s="424"/>
      <c r="GCC40" s="426"/>
      <c r="GCD40" s="424"/>
      <c r="GCE40" s="426"/>
      <c r="GCF40" s="424"/>
      <c r="GCG40" s="426"/>
      <c r="GCH40" s="424"/>
      <c r="GCI40" s="426"/>
      <c r="GCJ40" s="424"/>
      <c r="GCK40" s="426"/>
      <c r="GCL40" s="424"/>
      <c r="GCM40" s="426"/>
      <c r="GCN40" s="424"/>
      <c r="GCO40" s="426"/>
      <c r="GCP40" s="424"/>
      <c r="GCQ40" s="426"/>
      <c r="GCR40" s="424"/>
      <c r="GCS40" s="426"/>
      <c r="GCT40" s="424"/>
      <c r="GCU40" s="426"/>
      <c r="GCV40" s="424"/>
      <c r="GCW40" s="426"/>
      <c r="GCX40" s="424"/>
      <c r="GCY40" s="426"/>
      <c r="GCZ40" s="424"/>
      <c r="GDA40" s="426"/>
      <c r="GDB40" s="424"/>
      <c r="GDC40" s="426"/>
      <c r="GDD40" s="424"/>
      <c r="GDE40" s="426"/>
      <c r="GDF40" s="424"/>
      <c r="GDG40" s="426"/>
      <c r="GDH40" s="424"/>
      <c r="GDI40" s="426"/>
      <c r="GDJ40" s="424"/>
      <c r="GDK40" s="426"/>
      <c r="GDL40" s="424"/>
      <c r="GDM40" s="426"/>
      <c r="GDN40" s="424"/>
      <c r="GDO40" s="426"/>
      <c r="GDP40" s="424"/>
      <c r="GDQ40" s="426"/>
      <c r="GDR40" s="424"/>
      <c r="GDS40" s="426"/>
      <c r="GDT40" s="424"/>
      <c r="GDU40" s="426"/>
      <c r="GDV40" s="424"/>
      <c r="GDW40" s="426"/>
      <c r="GDX40" s="424"/>
      <c r="GDY40" s="426"/>
      <c r="GDZ40" s="424"/>
      <c r="GEA40" s="426"/>
      <c r="GEB40" s="424"/>
      <c r="GEC40" s="426"/>
      <c r="GED40" s="424"/>
      <c r="GEE40" s="426"/>
      <c r="GEF40" s="424"/>
      <c r="GEG40" s="426"/>
      <c r="GEH40" s="424"/>
      <c r="GEI40" s="426"/>
      <c r="GEJ40" s="424"/>
      <c r="GEK40" s="426"/>
      <c r="GEL40" s="424"/>
      <c r="GEM40" s="426"/>
      <c r="GEN40" s="424"/>
      <c r="GEO40" s="426"/>
      <c r="GEP40" s="424"/>
      <c r="GEQ40" s="426"/>
      <c r="GER40" s="424"/>
      <c r="GES40" s="426"/>
      <c r="GET40" s="424"/>
      <c r="GEU40" s="426"/>
      <c r="GEV40" s="424"/>
      <c r="GEW40" s="426"/>
      <c r="GEX40" s="424"/>
      <c r="GEY40" s="426"/>
      <c r="GEZ40" s="424"/>
      <c r="GFA40" s="426"/>
      <c r="GFB40" s="424"/>
      <c r="GFC40" s="426"/>
      <c r="GFD40" s="424"/>
      <c r="GFE40" s="426"/>
      <c r="GFF40" s="424"/>
      <c r="GFG40" s="426"/>
      <c r="GFH40" s="424"/>
      <c r="GFI40" s="426"/>
      <c r="GFJ40" s="424"/>
      <c r="GFK40" s="426"/>
      <c r="GFL40" s="424"/>
      <c r="GFM40" s="426"/>
      <c r="GFN40" s="424"/>
      <c r="GFO40" s="426"/>
      <c r="GFP40" s="424"/>
      <c r="GFQ40" s="426"/>
      <c r="GFR40" s="424"/>
      <c r="GFS40" s="426"/>
      <c r="GFT40" s="424"/>
      <c r="GFU40" s="426"/>
      <c r="GFV40" s="424"/>
      <c r="GFW40" s="426"/>
      <c r="GFX40" s="424"/>
      <c r="GFY40" s="426"/>
      <c r="GFZ40" s="424"/>
      <c r="GGA40" s="426"/>
      <c r="GGB40" s="424"/>
      <c r="GGC40" s="426"/>
      <c r="GGD40" s="424"/>
      <c r="GGE40" s="426"/>
      <c r="GGF40" s="424"/>
      <c r="GGG40" s="426"/>
      <c r="GGH40" s="424"/>
      <c r="GGI40" s="426"/>
      <c r="GGJ40" s="424"/>
      <c r="GGK40" s="426"/>
      <c r="GGL40" s="424"/>
      <c r="GGM40" s="426"/>
      <c r="GGN40" s="424"/>
      <c r="GGO40" s="426"/>
      <c r="GGP40" s="424"/>
      <c r="GGQ40" s="426"/>
      <c r="GGR40" s="424"/>
      <c r="GGS40" s="426"/>
      <c r="GGT40" s="424"/>
      <c r="GGU40" s="426"/>
      <c r="GGV40" s="424"/>
      <c r="GGW40" s="426"/>
      <c r="GGX40" s="424"/>
      <c r="GGY40" s="426"/>
      <c r="GGZ40" s="424"/>
      <c r="GHA40" s="426"/>
      <c r="GHB40" s="424"/>
      <c r="GHC40" s="426"/>
      <c r="GHD40" s="424"/>
      <c r="GHE40" s="426"/>
      <c r="GHF40" s="424"/>
      <c r="GHG40" s="426"/>
      <c r="GHH40" s="424"/>
      <c r="GHI40" s="426"/>
      <c r="GHJ40" s="424"/>
      <c r="GHK40" s="426"/>
      <c r="GHL40" s="424"/>
      <c r="GHM40" s="426"/>
      <c r="GHN40" s="424"/>
      <c r="GHO40" s="426"/>
      <c r="GHP40" s="424"/>
      <c r="GHQ40" s="426"/>
      <c r="GHR40" s="424"/>
      <c r="GHS40" s="426"/>
      <c r="GHT40" s="424"/>
      <c r="GHU40" s="426"/>
      <c r="GHV40" s="424"/>
      <c r="GHW40" s="426"/>
      <c r="GHX40" s="424"/>
      <c r="GHY40" s="426"/>
      <c r="GHZ40" s="424"/>
      <c r="GIA40" s="426"/>
      <c r="GIB40" s="424"/>
      <c r="GIC40" s="426"/>
      <c r="GID40" s="424"/>
      <c r="GIE40" s="426"/>
      <c r="GIF40" s="424"/>
      <c r="GIG40" s="426"/>
      <c r="GIH40" s="424"/>
      <c r="GII40" s="426"/>
      <c r="GIJ40" s="424"/>
      <c r="GIK40" s="426"/>
      <c r="GIL40" s="424"/>
      <c r="GIM40" s="426"/>
      <c r="GIN40" s="424"/>
      <c r="GIO40" s="426"/>
      <c r="GIP40" s="424"/>
      <c r="GIQ40" s="426"/>
      <c r="GIR40" s="424"/>
      <c r="GIS40" s="426"/>
      <c r="GIT40" s="424"/>
      <c r="GIU40" s="426"/>
      <c r="GIV40" s="424"/>
      <c r="GIW40" s="426"/>
      <c r="GIX40" s="424"/>
      <c r="GIY40" s="426"/>
      <c r="GIZ40" s="424"/>
      <c r="GJA40" s="426"/>
      <c r="GJB40" s="424"/>
      <c r="GJC40" s="426"/>
      <c r="GJD40" s="424"/>
      <c r="GJE40" s="426"/>
      <c r="GJF40" s="424"/>
      <c r="GJG40" s="426"/>
      <c r="GJH40" s="424"/>
      <c r="GJI40" s="426"/>
      <c r="GJJ40" s="424"/>
      <c r="GJK40" s="426"/>
      <c r="GJL40" s="424"/>
      <c r="GJM40" s="426"/>
      <c r="GJN40" s="424"/>
      <c r="GJO40" s="426"/>
      <c r="GJP40" s="424"/>
      <c r="GJQ40" s="426"/>
      <c r="GJR40" s="424"/>
      <c r="GJS40" s="426"/>
      <c r="GJT40" s="424"/>
      <c r="GJU40" s="426"/>
      <c r="GJV40" s="424"/>
      <c r="GJW40" s="426"/>
      <c r="GJX40" s="424"/>
      <c r="GJY40" s="426"/>
      <c r="GJZ40" s="424"/>
      <c r="GKA40" s="426"/>
      <c r="GKB40" s="424"/>
      <c r="GKC40" s="426"/>
      <c r="GKD40" s="424"/>
      <c r="GKE40" s="426"/>
      <c r="GKF40" s="424"/>
      <c r="GKG40" s="426"/>
      <c r="GKH40" s="424"/>
      <c r="GKI40" s="426"/>
      <c r="GKJ40" s="424"/>
      <c r="GKK40" s="426"/>
      <c r="GKL40" s="424"/>
      <c r="GKM40" s="426"/>
      <c r="GKN40" s="424"/>
      <c r="GKO40" s="426"/>
      <c r="GKP40" s="424"/>
      <c r="GKQ40" s="426"/>
      <c r="GKR40" s="424"/>
      <c r="GKS40" s="426"/>
      <c r="GKT40" s="424"/>
      <c r="GKU40" s="426"/>
      <c r="GKV40" s="424"/>
      <c r="GKW40" s="426"/>
      <c r="GKX40" s="424"/>
      <c r="GKY40" s="426"/>
      <c r="GKZ40" s="424"/>
      <c r="GLA40" s="426"/>
      <c r="GLB40" s="424"/>
      <c r="GLC40" s="426"/>
      <c r="GLD40" s="424"/>
      <c r="GLE40" s="426"/>
      <c r="GLF40" s="424"/>
      <c r="GLG40" s="426"/>
      <c r="GLH40" s="424"/>
      <c r="GLI40" s="426"/>
      <c r="GLJ40" s="424"/>
      <c r="GLK40" s="426"/>
      <c r="GLL40" s="424"/>
      <c r="GLM40" s="426"/>
      <c r="GLN40" s="424"/>
      <c r="GLO40" s="426"/>
      <c r="GLP40" s="424"/>
      <c r="GLQ40" s="426"/>
      <c r="GLR40" s="424"/>
      <c r="GLS40" s="426"/>
      <c r="GLT40" s="424"/>
      <c r="GLU40" s="426"/>
      <c r="GLV40" s="424"/>
      <c r="GLW40" s="426"/>
      <c r="GLX40" s="424"/>
      <c r="GLY40" s="426"/>
      <c r="GLZ40" s="424"/>
      <c r="GMA40" s="426"/>
      <c r="GMB40" s="424"/>
      <c r="GMC40" s="426"/>
      <c r="GMD40" s="424"/>
      <c r="GME40" s="426"/>
      <c r="GMF40" s="424"/>
      <c r="GMG40" s="426"/>
      <c r="GMH40" s="424"/>
      <c r="GMI40" s="426"/>
      <c r="GMJ40" s="424"/>
      <c r="GMK40" s="426"/>
      <c r="GML40" s="424"/>
      <c r="GMM40" s="426"/>
      <c r="GMN40" s="424"/>
      <c r="GMO40" s="426"/>
      <c r="GMP40" s="424"/>
      <c r="GMQ40" s="426"/>
      <c r="GMR40" s="424"/>
      <c r="GMS40" s="426"/>
      <c r="GMT40" s="424"/>
      <c r="GMU40" s="426"/>
      <c r="GMV40" s="424"/>
      <c r="GMW40" s="426"/>
      <c r="GMX40" s="424"/>
      <c r="GMY40" s="426"/>
      <c r="GMZ40" s="424"/>
      <c r="GNA40" s="426"/>
      <c r="GNB40" s="424"/>
      <c r="GNC40" s="426"/>
      <c r="GND40" s="424"/>
      <c r="GNE40" s="426"/>
      <c r="GNF40" s="424"/>
      <c r="GNG40" s="426"/>
      <c r="GNH40" s="424"/>
      <c r="GNI40" s="426"/>
      <c r="GNJ40" s="424"/>
      <c r="GNK40" s="426"/>
      <c r="GNL40" s="424"/>
      <c r="GNM40" s="426"/>
      <c r="GNN40" s="424"/>
      <c r="GNO40" s="426"/>
      <c r="GNP40" s="424"/>
      <c r="GNQ40" s="426"/>
      <c r="GNR40" s="424"/>
      <c r="GNS40" s="426"/>
      <c r="GNT40" s="424"/>
      <c r="GNU40" s="426"/>
      <c r="GNV40" s="424"/>
      <c r="GNW40" s="426"/>
      <c r="GNX40" s="424"/>
      <c r="GNY40" s="426"/>
      <c r="GNZ40" s="424"/>
      <c r="GOA40" s="426"/>
      <c r="GOB40" s="424"/>
      <c r="GOC40" s="426"/>
      <c r="GOD40" s="424"/>
      <c r="GOE40" s="426"/>
      <c r="GOF40" s="424"/>
      <c r="GOG40" s="426"/>
      <c r="GOH40" s="424"/>
      <c r="GOI40" s="426"/>
      <c r="GOJ40" s="424"/>
      <c r="GOK40" s="426"/>
      <c r="GOL40" s="424"/>
      <c r="GOM40" s="426"/>
      <c r="GON40" s="424"/>
      <c r="GOO40" s="426"/>
      <c r="GOP40" s="424"/>
      <c r="GOQ40" s="426"/>
      <c r="GOR40" s="424"/>
      <c r="GOS40" s="426"/>
      <c r="GOT40" s="424"/>
      <c r="GOU40" s="426"/>
      <c r="GOV40" s="424"/>
      <c r="GOW40" s="426"/>
      <c r="GOX40" s="424"/>
      <c r="GOY40" s="426"/>
      <c r="GOZ40" s="424"/>
      <c r="GPA40" s="426"/>
      <c r="GPB40" s="424"/>
      <c r="GPC40" s="426"/>
      <c r="GPD40" s="424"/>
      <c r="GPE40" s="426"/>
      <c r="GPF40" s="424"/>
      <c r="GPG40" s="426"/>
      <c r="GPH40" s="424"/>
      <c r="GPI40" s="426"/>
      <c r="GPJ40" s="424"/>
      <c r="GPK40" s="426"/>
      <c r="GPL40" s="424"/>
      <c r="GPM40" s="426"/>
      <c r="GPN40" s="424"/>
      <c r="GPO40" s="426"/>
      <c r="GPP40" s="424"/>
      <c r="GPQ40" s="426"/>
      <c r="GPR40" s="424"/>
      <c r="GPS40" s="426"/>
      <c r="GPT40" s="424"/>
      <c r="GPU40" s="426"/>
      <c r="GPV40" s="424"/>
      <c r="GPW40" s="426"/>
      <c r="GPX40" s="424"/>
      <c r="GPY40" s="426"/>
      <c r="GPZ40" s="424"/>
      <c r="GQA40" s="426"/>
      <c r="GQB40" s="424"/>
      <c r="GQC40" s="426"/>
      <c r="GQD40" s="424"/>
      <c r="GQE40" s="426"/>
      <c r="GQF40" s="424"/>
      <c r="GQG40" s="426"/>
      <c r="GQH40" s="424"/>
      <c r="GQI40" s="426"/>
      <c r="GQJ40" s="424"/>
      <c r="GQK40" s="426"/>
      <c r="GQL40" s="424"/>
      <c r="GQM40" s="426"/>
      <c r="GQN40" s="424"/>
      <c r="GQO40" s="426"/>
      <c r="GQP40" s="424"/>
      <c r="GQQ40" s="426"/>
      <c r="GQR40" s="424"/>
      <c r="GQS40" s="426"/>
      <c r="GQT40" s="424"/>
      <c r="GQU40" s="426"/>
      <c r="GQV40" s="424"/>
      <c r="GQW40" s="426"/>
      <c r="GQX40" s="424"/>
      <c r="GQY40" s="426"/>
      <c r="GQZ40" s="424"/>
      <c r="GRA40" s="426"/>
      <c r="GRB40" s="424"/>
      <c r="GRC40" s="426"/>
      <c r="GRD40" s="424"/>
      <c r="GRE40" s="426"/>
      <c r="GRF40" s="424"/>
      <c r="GRG40" s="426"/>
      <c r="GRH40" s="424"/>
      <c r="GRI40" s="426"/>
      <c r="GRJ40" s="424"/>
      <c r="GRK40" s="426"/>
      <c r="GRL40" s="424"/>
      <c r="GRM40" s="426"/>
      <c r="GRN40" s="424"/>
      <c r="GRO40" s="426"/>
      <c r="GRP40" s="424"/>
      <c r="GRQ40" s="426"/>
      <c r="GRR40" s="424"/>
      <c r="GRS40" s="426"/>
      <c r="GRT40" s="424"/>
      <c r="GRU40" s="426"/>
      <c r="GRV40" s="424"/>
      <c r="GRW40" s="426"/>
      <c r="GRX40" s="424"/>
      <c r="GRY40" s="426"/>
      <c r="GRZ40" s="424"/>
      <c r="GSA40" s="426"/>
      <c r="GSB40" s="424"/>
      <c r="GSC40" s="426"/>
      <c r="GSD40" s="424"/>
      <c r="GSE40" s="426"/>
      <c r="GSF40" s="424"/>
      <c r="GSG40" s="426"/>
      <c r="GSH40" s="424"/>
      <c r="GSI40" s="426"/>
      <c r="GSJ40" s="424"/>
      <c r="GSK40" s="426"/>
      <c r="GSL40" s="424"/>
      <c r="GSM40" s="426"/>
      <c r="GSN40" s="424"/>
      <c r="GSO40" s="426"/>
      <c r="GSP40" s="424"/>
      <c r="GSQ40" s="426"/>
      <c r="GSR40" s="424"/>
      <c r="GSS40" s="426"/>
      <c r="GST40" s="424"/>
      <c r="GSU40" s="426"/>
      <c r="GSV40" s="424"/>
      <c r="GSW40" s="426"/>
      <c r="GSX40" s="424"/>
      <c r="GSY40" s="426"/>
      <c r="GSZ40" s="424"/>
      <c r="GTA40" s="426"/>
      <c r="GTB40" s="424"/>
      <c r="GTC40" s="426"/>
      <c r="GTD40" s="424"/>
      <c r="GTE40" s="426"/>
      <c r="GTF40" s="424"/>
      <c r="GTG40" s="426"/>
      <c r="GTH40" s="424"/>
      <c r="GTI40" s="426"/>
      <c r="GTJ40" s="424"/>
      <c r="GTK40" s="426"/>
      <c r="GTL40" s="424"/>
      <c r="GTM40" s="426"/>
      <c r="GTN40" s="424"/>
      <c r="GTO40" s="426"/>
      <c r="GTP40" s="424"/>
      <c r="GTQ40" s="426"/>
      <c r="GTR40" s="424"/>
      <c r="GTS40" s="426"/>
      <c r="GTT40" s="424"/>
      <c r="GTU40" s="426"/>
      <c r="GTV40" s="424"/>
      <c r="GTW40" s="426"/>
      <c r="GTX40" s="424"/>
      <c r="GTY40" s="426"/>
      <c r="GTZ40" s="424"/>
      <c r="GUA40" s="426"/>
      <c r="GUB40" s="424"/>
      <c r="GUC40" s="426"/>
      <c r="GUD40" s="424"/>
      <c r="GUE40" s="426"/>
      <c r="GUF40" s="424"/>
      <c r="GUG40" s="426"/>
      <c r="GUH40" s="424"/>
      <c r="GUI40" s="426"/>
      <c r="GUJ40" s="424"/>
      <c r="GUK40" s="426"/>
      <c r="GUL40" s="424"/>
      <c r="GUM40" s="426"/>
      <c r="GUN40" s="424"/>
      <c r="GUO40" s="426"/>
      <c r="GUP40" s="424"/>
      <c r="GUQ40" s="426"/>
      <c r="GUR40" s="424"/>
      <c r="GUS40" s="426"/>
      <c r="GUT40" s="424"/>
      <c r="GUU40" s="426"/>
      <c r="GUV40" s="424"/>
      <c r="GUW40" s="426"/>
      <c r="GUX40" s="424"/>
      <c r="GUY40" s="426"/>
      <c r="GUZ40" s="424"/>
      <c r="GVA40" s="426"/>
      <c r="GVB40" s="424"/>
      <c r="GVC40" s="426"/>
      <c r="GVD40" s="424"/>
      <c r="GVE40" s="426"/>
      <c r="GVF40" s="424"/>
      <c r="GVG40" s="426"/>
      <c r="GVH40" s="424"/>
      <c r="GVI40" s="426"/>
      <c r="GVJ40" s="424"/>
      <c r="GVK40" s="426"/>
      <c r="GVL40" s="424"/>
      <c r="GVM40" s="426"/>
      <c r="GVN40" s="424"/>
      <c r="GVO40" s="426"/>
      <c r="GVP40" s="424"/>
      <c r="GVQ40" s="426"/>
      <c r="GVR40" s="424"/>
      <c r="GVS40" s="426"/>
      <c r="GVT40" s="424"/>
      <c r="GVU40" s="426"/>
      <c r="GVV40" s="424"/>
      <c r="GVW40" s="426"/>
      <c r="GVX40" s="424"/>
      <c r="GVY40" s="426"/>
      <c r="GVZ40" s="424"/>
      <c r="GWA40" s="426"/>
      <c r="GWB40" s="424"/>
      <c r="GWC40" s="426"/>
      <c r="GWD40" s="424"/>
      <c r="GWE40" s="426"/>
      <c r="GWF40" s="424"/>
      <c r="GWG40" s="426"/>
      <c r="GWH40" s="424"/>
      <c r="GWI40" s="426"/>
      <c r="GWJ40" s="424"/>
      <c r="GWK40" s="426"/>
      <c r="GWL40" s="424"/>
      <c r="GWM40" s="426"/>
      <c r="GWN40" s="424"/>
      <c r="GWO40" s="426"/>
      <c r="GWP40" s="424"/>
      <c r="GWQ40" s="426"/>
      <c r="GWR40" s="424"/>
      <c r="GWS40" s="426"/>
      <c r="GWT40" s="424"/>
      <c r="GWU40" s="426"/>
      <c r="GWV40" s="424"/>
      <c r="GWW40" s="426"/>
      <c r="GWX40" s="424"/>
      <c r="GWY40" s="426"/>
      <c r="GWZ40" s="424"/>
      <c r="GXA40" s="426"/>
      <c r="GXB40" s="424"/>
      <c r="GXC40" s="426"/>
      <c r="GXD40" s="424"/>
      <c r="GXE40" s="426"/>
      <c r="GXF40" s="424"/>
      <c r="GXG40" s="426"/>
      <c r="GXH40" s="424"/>
      <c r="GXI40" s="426"/>
      <c r="GXJ40" s="424"/>
      <c r="GXK40" s="426"/>
      <c r="GXL40" s="424"/>
      <c r="GXM40" s="426"/>
      <c r="GXN40" s="424"/>
      <c r="GXO40" s="426"/>
      <c r="GXP40" s="424"/>
      <c r="GXQ40" s="426"/>
      <c r="GXR40" s="424"/>
      <c r="GXS40" s="426"/>
      <c r="GXT40" s="424"/>
      <c r="GXU40" s="426"/>
      <c r="GXV40" s="424"/>
      <c r="GXW40" s="426"/>
      <c r="GXX40" s="424"/>
      <c r="GXY40" s="426"/>
      <c r="GXZ40" s="424"/>
      <c r="GYA40" s="426"/>
      <c r="GYB40" s="424"/>
      <c r="GYC40" s="426"/>
      <c r="GYD40" s="424"/>
      <c r="GYE40" s="426"/>
      <c r="GYF40" s="424"/>
      <c r="GYG40" s="426"/>
      <c r="GYH40" s="424"/>
      <c r="GYI40" s="426"/>
      <c r="GYJ40" s="424"/>
      <c r="GYK40" s="426"/>
      <c r="GYL40" s="424"/>
      <c r="GYM40" s="426"/>
      <c r="GYN40" s="424"/>
      <c r="GYO40" s="426"/>
      <c r="GYP40" s="424"/>
      <c r="GYQ40" s="426"/>
      <c r="GYR40" s="424"/>
      <c r="GYS40" s="426"/>
      <c r="GYT40" s="424"/>
      <c r="GYU40" s="426"/>
      <c r="GYV40" s="424"/>
      <c r="GYW40" s="426"/>
      <c r="GYX40" s="424"/>
      <c r="GYY40" s="426"/>
      <c r="GYZ40" s="424"/>
      <c r="GZA40" s="426"/>
      <c r="GZB40" s="424"/>
      <c r="GZC40" s="426"/>
      <c r="GZD40" s="424"/>
      <c r="GZE40" s="426"/>
      <c r="GZF40" s="424"/>
      <c r="GZG40" s="426"/>
      <c r="GZH40" s="424"/>
      <c r="GZI40" s="426"/>
      <c r="GZJ40" s="424"/>
      <c r="GZK40" s="426"/>
      <c r="GZL40" s="424"/>
      <c r="GZM40" s="426"/>
      <c r="GZN40" s="424"/>
      <c r="GZO40" s="426"/>
      <c r="GZP40" s="424"/>
      <c r="GZQ40" s="426"/>
      <c r="GZR40" s="424"/>
      <c r="GZS40" s="426"/>
      <c r="GZT40" s="424"/>
      <c r="GZU40" s="426"/>
      <c r="GZV40" s="424"/>
      <c r="GZW40" s="426"/>
      <c r="GZX40" s="424"/>
      <c r="GZY40" s="426"/>
      <c r="GZZ40" s="424"/>
      <c r="HAA40" s="426"/>
      <c r="HAB40" s="424"/>
      <c r="HAC40" s="426"/>
      <c r="HAD40" s="424"/>
      <c r="HAE40" s="426"/>
      <c r="HAF40" s="424"/>
      <c r="HAG40" s="426"/>
      <c r="HAH40" s="424"/>
      <c r="HAI40" s="426"/>
      <c r="HAJ40" s="424"/>
      <c r="HAK40" s="426"/>
      <c r="HAL40" s="424"/>
      <c r="HAM40" s="426"/>
      <c r="HAN40" s="424"/>
      <c r="HAO40" s="426"/>
      <c r="HAP40" s="424"/>
      <c r="HAQ40" s="426"/>
      <c r="HAR40" s="424"/>
      <c r="HAS40" s="426"/>
      <c r="HAT40" s="424"/>
      <c r="HAU40" s="426"/>
      <c r="HAV40" s="424"/>
      <c r="HAW40" s="426"/>
      <c r="HAX40" s="424"/>
      <c r="HAY40" s="426"/>
      <c r="HAZ40" s="424"/>
      <c r="HBA40" s="426"/>
      <c r="HBB40" s="424"/>
      <c r="HBC40" s="426"/>
      <c r="HBD40" s="424"/>
      <c r="HBE40" s="426"/>
      <c r="HBF40" s="424"/>
      <c r="HBG40" s="426"/>
      <c r="HBH40" s="424"/>
      <c r="HBI40" s="426"/>
      <c r="HBJ40" s="424"/>
      <c r="HBK40" s="426"/>
      <c r="HBL40" s="424"/>
      <c r="HBM40" s="426"/>
      <c r="HBN40" s="424"/>
      <c r="HBO40" s="426"/>
      <c r="HBP40" s="424"/>
      <c r="HBQ40" s="426"/>
      <c r="HBR40" s="424"/>
      <c r="HBS40" s="426"/>
      <c r="HBT40" s="424"/>
      <c r="HBU40" s="426"/>
      <c r="HBV40" s="424"/>
      <c r="HBW40" s="426"/>
      <c r="HBX40" s="424"/>
      <c r="HBY40" s="426"/>
      <c r="HBZ40" s="424"/>
      <c r="HCA40" s="426"/>
      <c r="HCB40" s="424"/>
      <c r="HCC40" s="426"/>
      <c r="HCD40" s="424"/>
      <c r="HCE40" s="426"/>
      <c r="HCF40" s="424"/>
      <c r="HCG40" s="426"/>
      <c r="HCH40" s="424"/>
      <c r="HCI40" s="426"/>
      <c r="HCJ40" s="424"/>
      <c r="HCK40" s="426"/>
      <c r="HCL40" s="424"/>
      <c r="HCM40" s="426"/>
      <c r="HCN40" s="424"/>
      <c r="HCO40" s="426"/>
      <c r="HCP40" s="424"/>
      <c r="HCQ40" s="426"/>
      <c r="HCR40" s="424"/>
      <c r="HCS40" s="426"/>
      <c r="HCT40" s="424"/>
      <c r="HCU40" s="426"/>
      <c r="HCV40" s="424"/>
      <c r="HCW40" s="426"/>
      <c r="HCX40" s="424"/>
      <c r="HCY40" s="426"/>
      <c r="HCZ40" s="424"/>
      <c r="HDA40" s="426"/>
      <c r="HDB40" s="424"/>
      <c r="HDC40" s="426"/>
      <c r="HDD40" s="424"/>
      <c r="HDE40" s="426"/>
      <c r="HDF40" s="424"/>
      <c r="HDG40" s="426"/>
      <c r="HDH40" s="424"/>
      <c r="HDI40" s="426"/>
      <c r="HDJ40" s="424"/>
      <c r="HDK40" s="426"/>
      <c r="HDL40" s="424"/>
      <c r="HDM40" s="426"/>
      <c r="HDN40" s="424"/>
      <c r="HDO40" s="426"/>
      <c r="HDP40" s="424"/>
      <c r="HDQ40" s="426"/>
      <c r="HDR40" s="424"/>
      <c r="HDS40" s="426"/>
      <c r="HDT40" s="424"/>
      <c r="HDU40" s="426"/>
      <c r="HDV40" s="424"/>
      <c r="HDW40" s="426"/>
      <c r="HDX40" s="424"/>
      <c r="HDY40" s="426"/>
      <c r="HDZ40" s="424"/>
      <c r="HEA40" s="426"/>
      <c r="HEB40" s="424"/>
      <c r="HEC40" s="426"/>
      <c r="HED40" s="424"/>
      <c r="HEE40" s="426"/>
      <c r="HEF40" s="424"/>
      <c r="HEG40" s="426"/>
      <c r="HEH40" s="424"/>
      <c r="HEI40" s="426"/>
      <c r="HEJ40" s="424"/>
      <c r="HEK40" s="426"/>
      <c r="HEL40" s="424"/>
      <c r="HEM40" s="426"/>
      <c r="HEN40" s="424"/>
      <c r="HEO40" s="426"/>
      <c r="HEP40" s="424"/>
      <c r="HEQ40" s="426"/>
      <c r="HER40" s="424"/>
      <c r="HES40" s="426"/>
      <c r="HET40" s="424"/>
      <c r="HEU40" s="426"/>
      <c r="HEV40" s="424"/>
      <c r="HEW40" s="426"/>
      <c r="HEX40" s="424"/>
      <c r="HEY40" s="426"/>
      <c r="HEZ40" s="424"/>
      <c r="HFA40" s="426"/>
      <c r="HFB40" s="424"/>
      <c r="HFC40" s="426"/>
      <c r="HFD40" s="424"/>
      <c r="HFE40" s="426"/>
      <c r="HFF40" s="424"/>
      <c r="HFG40" s="426"/>
      <c r="HFH40" s="424"/>
      <c r="HFI40" s="426"/>
      <c r="HFJ40" s="424"/>
      <c r="HFK40" s="426"/>
      <c r="HFL40" s="424"/>
      <c r="HFM40" s="426"/>
      <c r="HFN40" s="424"/>
      <c r="HFO40" s="426"/>
      <c r="HFP40" s="424"/>
      <c r="HFQ40" s="426"/>
      <c r="HFR40" s="424"/>
      <c r="HFS40" s="426"/>
      <c r="HFT40" s="424"/>
      <c r="HFU40" s="426"/>
      <c r="HFV40" s="424"/>
      <c r="HFW40" s="426"/>
      <c r="HFX40" s="424"/>
      <c r="HFY40" s="426"/>
      <c r="HFZ40" s="424"/>
      <c r="HGA40" s="426"/>
      <c r="HGB40" s="424"/>
      <c r="HGC40" s="426"/>
      <c r="HGD40" s="424"/>
      <c r="HGE40" s="426"/>
      <c r="HGF40" s="424"/>
      <c r="HGG40" s="426"/>
      <c r="HGH40" s="424"/>
      <c r="HGI40" s="426"/>
      <c r="HGJ40" s="424"/>
      <c r="HGK40" s="426"/>
      <c r="HGL40" s="424"/>
      <c r="HGM40" s="426"/>
      <c r="HGN40" s="424"/>
      <c r="HGO40" s="426"/>
      <c r="HGP40" s="424"/>
      <c r="HGQ40" s="426"/>
      <c r="HGR40" s="424"/>
      <c r="HGS40" s="426"/>
      <c r="HGT40" s="424"/>
      <c r="HGU40" s="426"/>
      <c r="HGV40" s="424"/>
      <c r="HGW40" s="426"/>
      <c r="HGX40" s="424"/>
      <c r="HGY40" s="426"/>
      <c r="HGZ40" s="424"/>
      <c r="HHA40" s="426"/>
      <c r="HHB40" s="424"/>
      <c r="HHC40" s="426"/>
      <c r="HHD40" s="424"/>
      <c r="HHE40" s="426"/>
      <c r="HHF40" s="424"/>
      <c r="HHG40" s="426"/>
      <c r="HHH40" s="424"/>
      <c r="HHI40" s="426"/>
      <c r="HHJ40" s="424"/>
      <c r="HHK40" s="426"/>
      <c r="HHL40" s="424"/>
      <c r="HHM40" s="426"/>
      <c r="HHN40" s="424"/>
      <c r="HHO40" s="426"/>
      <c r="HHP40" s="424"/>
      <c r="HHQ40" s="426"/>
      <c r="HHR40" s="424"/>
      <c r="HHS40" s="426"/>
      <c r="HHT40" s="424"/>
      <c r="HHU40" s="426"/>
      <c r="HHV40" s="424"/>
      <c r="HHW40" s="426"/>
      <c r="HHX40" s="424"/>
      <c r="HHY40" s="426"/>
      <c r="HHZ40" s="424"/>
      <c r="HIA40" s="426"/>
      <c r="HIB40" s="424"/>
      <c r="HIC40" s="426"/>
      <c r="HID40" s="424"/>
      <c r="HIE40" s="426"/>
      <c r="HIF40" s="424"/>
      <c r="HIG40" s="426"/>
      <c r="HIH40" s="424"/>
      <c r="HII40" s="426"/>
      <c r="HIJ40" s="424"/>
      <c r="HIK40" s="426"/>
      <c r="HIL40" s="424"/>
      <c r="HIM40" s="426"/>
      <c r="HIN40" s="424"/>
      <c r="HIO40" s="426"/>
      <c r="HIP40" s="424"/>
      <c r="HIQ40" s="426"/>
      <c r="HIR40" s="424"/>
      <c r="HIS40" s="426"/>
      <c r="HIT40" s="424"/>
      <c r="HIU40" s="426"/>
      <c r="HIV40" s="424"/>
      <c r="HIW40" s="426"/>
      <c r="HIX40" s="424"/>
      <c r="HIY40" s="426"/>
      <c r="HIZ40" s="424"/>
      <c r="HJA40" s="426"/>
      <c r="HJB40" s="424"/>
      <c r="HJC40" s="426"/>
      <c r="HJD40" s="424"/>
      <c r="HJE40" s="426"/>
      <c r="HJF40" s="424"/>
      <c r="HJG40" s="426"/>
      <c r="HJH40" s="424"/>
      <c r="HJI40" s="426"/>
      <c r="HJJ40" s="424"/>
      <c r="HJK40" s="426"/>
      <c r="HJL40" s="424"/>
      <c r="HJM40" s="426"/>
      <c r="HJN40" s="424"/>
      <c r="HJO40" s="426"/>
      <c r="HJP40" s="424"/>
      <c r="HJQ40" s="426"/>
      <c r="HJR40" s="424"/>
      <c r="HJS40" s="426"/>
      <c r="HJT40" s="424"/>
      <c r="HJU40" s="426"/>
      <c r="HJV40" s="424"/>
      <c r="HJW40" s="426"/>
      <c r="HJX40" s="424"/>
      <c r="HJY40" s="426"/>
      <c r="HJZ40" s="424"/>
      <c r="HKA40" s="426"/>
      <c r="HKB40" s="424"/>
      <c r="HKC40" s="426"/>
      <c r="HKD40" s="424"/>
      <c r="HKE40" s="426"/>
      <c r="HKF40" s="424"/>
      <c r="HKG40" s="426"/>
      <c r="HKH40" s="424"/>
      <c r="HKI40" s="426"/>
      <c r="HKJ40" s="424"/>
      <c r="HKK40" s="426"/>
      <c r="HKL40" s="424"/>
      <c r="HKM40" s="426"/>
      <c r="HKN40" s="424"/>
      <c r="HKO40" s="426"/>
      <c r="HKP40" s="424"/>
      <c r="HKQ40" s="426"/>
      <c r="HKR40" s="424"/>
      <c r="HKS40" s="426"/>
      <c r="HKT40" s="424"/>
      <c r="HKU40" s="426"/>
      <c r="HKV40" s="424"/>
      <c r="HKW40" s="426"/>
      <c r="HKX40" s="424"/>
      <c r="HKY40" s="426"/>
      <c r="HKZ40" s="424"/>
      <c r="HLA40" s="426"/>
      <c r="HLB40" s="424"/>
      <c r="HLC40" s="426"/>
      <c r="HLD40" s="424"/>
      <c r="HLE40" s="426"/>
      <c r="HLF40" s="424"/>
      <c r="HLG40" s="426"/>
      <c r="HLH40" s="424"/>
      <c r="HLI40" s="426"/>
      <c r="HLJ40" s="424"/>
      <c r="HLK40" s="426"/>
      <c r="HLL40" s="424"/>
      <c r="HLM40" s="426"/>
      <c r="HLN40" s="424"/>
      <c r="HLO40" s="426"/>
      <c r="HLP40" s="424"/>
      <c r="HLQ40" s="426"/>
      <c r="HLR40" s="424"/>
      <c r="HLS40" s="426"/>
      <c r="HLT40" s="424"/>
      <c r="HLU40" s="426"/>
      <c r="HLV40" s="424"/>
      <c r="HLW40" s="426"/>
      <c r="HLX40" s="424"/>
      <c r="HLY40" s="426"/>
      <c r="HLZ40" s="424"/>
      <c r="HMA40" s="426"/>
      <c r="HMB40" s="424"/>
      <c r="HMC40" s="426"/>
      <c r="HMD40" s="424"/>
      <c r="HME40" s="426"/>
      <c r="HMF40" s="424"/>
      <c r="HMG40" s="426"/>
      <c r="HMH40" s="424"/>
      <c r="HMI40" s="426"/>
      <c r="HMJ40" s="424"/>
      <c r="HMK40" s="426"/>
      <c r="HML40" s="424"/>
      <c r="HMM40" s="426"/>
      <c r="HMN40" s="424"/>
      <c r="HMO40" s="426"/>
      <c r="HMP40" s="424"/>
      <c r="HMQ40" s="426"/>
      <c r="HMR40" s="424"/>
      <c r="HMS40" s="426"/>
      <c r="HMT40" s="424"/>
      <c r="HMU40" s="426"/>
      <c r="HMV40" s="424"/>
      <c r="HMW40" s="426"/>
      <c r="HMX40" s="424"/>
      <c r="HMY40" s="426"/>
      <c r="HMZ40" s="424"/>
      <c r="HNA40" s="426"/>
      <c r="HNB40" s="424"/>
      <c r="HNC40" s="426"/>
      <c r="HND40" s="424"/>
      <c r="HNE40" s="426"/>
      <c r="HNF40" s="424"/>
      <c r="HNG40" s="426"/>
      <c r="HNH40" s="424"/>
      <c r="HNI40" s="426"/>
      <c r="HNJ40" s="424"/>
      <c r="HNK40" s="426"/>
      <c r="HNL40" s="424"/>
      <c r="HNM40" s="426"/>
      <c r="HNN40" s="424"/>
      <c r="HNO40" s="426"/>
      <c r="HNP40" s="424"/>
      <c r="HNQ40" s="426"/>
      <c r="HNR40" s="424"/>
      <c r="HNS40" s="426"/>
      <c r="HNT40" s="424"/>
      <c r="HNU40" s="426"/>
      <c r="HNV40" s="424"/>
      <c r="HNW40" s="426"/>
      <c r="HNX40" s="424"/>
      <c r="HNY40" s="426"/>
      <c r="HNZ40" s="424"/>
      <c r="HOA40" s="426"/>
      <c r="HOB40" s="424"/>
      <c r="HOC40" s="426"/>
      <c r="HOD40" s="424"/>
      <c r="HOE40" s="426"/>
      <c r="HOF40" s="424"/>
      <c r="HOG40" s="426"/>
      <c r="HOH40" s="424"/>
      <c r="HOI40" s="426"/>
      <c r="HOJ40" s="424"/>
      <c r="HOK40" s="426"/>
      <c r="HOL40" s="424"/>
      <c r="HOM40" s="426"/>
      <c r="HON40" s="424"/>
      <c r="HOO40" s="426"/>
      <c r="HOP40" s="424"/>
      <c r="HOQ40" s="426"/>
      <c r="HOR40" s="424"/>
      <c r="HOS40" s="426"/>
      <c r="HOT40" s="424"/>
      <c r="HOU40" s="426"/>
      <c r="HOV40" s="424"/>
      <c r="HOW40" s="426"/>
      <c r="HOX40" s="424"/>
      <c r="HOY40" s="426"/>
      <c r="HOZ40" s="424"/>
      <c r="HPA40" s="426"/>
      <c r="HPB40" s="424"/>
      <c r="HPC40" s="426"/>
      <c r="HPD40" s="424"/>
      <c r="HPE40" s="426"/>
      <c r="HPF40" s="424"/>
      <c r="HPG40" s="426"/>
      <c r="HPH40" s="424"/>
      <c r="HPI40" s="426"/>
      <c r="HPJ40" s="424"/>
      <c r="HPK40" s="426"/>
      <c r="HPL40" s="424"/>
      <c r="HPM40" s="426"/>
      <c r="HPN40" s="424"/>
      <c r="HPO40" s="426"/>
      <c r="HPP40" s="424"/>
      <c r="HPQ40" s="426"/>
      <c r="HPR40" s="424"/>
      <c r="HPS40" s="426"/>
      <c r="HPT40" s="424"/>
      <c r="HPU40" s="426"/>
      <c r="HPV40" s="424"/>
      <c r="HPW40" s="426"/>
      <c r="HPX40" s="424"/>
      <c r="HPY40" s="426"/>
      <c r="HPZ40" s="424"/>
      <c r="HQA40" s="426"/>
      <c r="HQB40" s="424"/>
      <c r="HQC40" s="426"/>
      <c r="HQD40" s="424"/>
      <c r="HQE40" s="426"/>
      <c r="HQF40" s="424"/>
      <c r="HQG40" s="426"/>
      <c r="HQH40" s="424"/>
      <c r="HQI40" s="426"/>
      <c r="HQJ40" s="424"/>
      <c r="HQK40" s="426"/>
      <c r="HQL40" s="424"/>
      <c r="HQM40" s="426"/>
      <c r="HQN40" s="424"/>
      <c r="HQO40" s="426"/>
      <c r="HQP40" s="424"/>
      <c r="HQQ40" s="426"/>
      <c r="HQR40" s="424"/>
      <c r="HQS40" s="426"/>
      <c r="HQT40" s="424"/>
      <c r="HQU40" s="426"/>
      <c r="HQV40" s="424"/>
      <c r="HQW40" s="426"/>
      <c r="HQX40" s="424"/>
      <c r="HQY40" s="426"/>
      <c r="HQZ40" s="424"/>
      <c r="HRA40" s="426"/>
      <c r="HRB40" s="424"/>
      <c r="HRC40" s="426"/>
      <c r="HRD40" s="424"/>
      <c r="HRE40" s="426"/>
      <c r="HRF40" s="424"/>
      <c r="HRG40" s="426"/>
      <c r="HRH40" s="424"/>
      <c r="HRI40" s="426"/>
      <c r="HRJ40" s="424"/>
      <c r="HRK40" s="426"/>
      <c r="HRL40" s="424"/>
      <c r="HRM40" s="426"/>
      <c r="HRN40" s="424"/>
      <c r="HRO40" s="426"/>
      <c r="HRP40" s="424"/>
      <c r="HRQ40" s="426"/>
      <c r="HRR40" s="424"/>
      <c r="HRS40" s="426"/>
      <c r="HRT40" s="424"/>
      <c r="HRU40" s="426"/>
      <c r="HRV40" s="424"/>
      <c r="HRW40" s="426"/>
      <c r="HRX40" s="424"/>
      <c r="HRY40" s="426"/>
      <c r="HRZ40" s="424"/>
      <c r="HSA40" s="426"/>
      <c r="HSB40" s="424"/>
      <c r="HSC40" s="426"/>
      <c r="HSD40" s="424"/>
      <c r="HSE40" s="426"/>
      <c r="HSF40" s="424"/>
      <c r="HSG40" s="426"/>
      <c r="HSH40" s="424"/>
      <c r="HSI40" s="426"/>
      <c r="HSJ40" s="424"/>
      <c r="HSK40" s="426"/>
      <c r="HSL40" s="424"/>
      <c r="HSM40" s="426"/>
      <c r="HSN40" s="424"/>
      <c r="HSO40" s="426"/>
      <c r="HSP40" s="424"/>
      <c r="HSQ40" s="426"/>
      <c r="HSR40" s="424"/>
      <c r="HSS40" s="426"/>
      <c r="HST40" s="424"/>
      <c r="HSU40" s="426"/>
      <c r="HSV40" s="424"/>
      <c r="HSW40" s="426"/>
      <c r="HSX40" s="424"/>
      <c r="HSY40" s="426"/>
      <c r="HSZ40" s="424"/>
      <c r="HTA40" s="426"/>
      <c r="HTB40" s="424"/>
      <c r="HTC40" s="426"/>
      <c r="HTD40" s="424"/>
      <c r="HTE40" s="426"/>
      <c r="HTF40" s="424"/>
      <c r="HTG40" s="426"/>
      <c r="HTH40" s="424"/>
      <c r="HTI40" s="426"/>
      <c r="HTJ40" s="424"/>
      <c r="HTK40" s="426"/>
      <c r="HTL40" s="424"/>
      <c r="HTM40" s="426"/>
      <c r="HTN40" s="424"/>
      <c r="HTO40" s="426"/>
      <c r="HTP40" s="424"/>
      <c r="HTQ40" s="426"/>
      <c r="HTR40" s="424"/>
      <c r="HTS40" s="426"/>
      <c r="HTT40" s="424"/>
      <c r="HTU40" s="426"/>
      <c r="HTV40" s="424"/>
      <c r="HTW40" s="426"/>
      <c r="HTX40" s="424"/>
      <c r="HTY40" s="426"/>
      <c r="HTZ40" s="424"/>
      <c r="HUA40" s="426"/>
      <c r="HUB40" s="424"/>
      <c r="HUC40" s="426"/>
      <c r="HUD40" s="424"/>
      <c r="HUE40" s="426"/>
      <c r="HUF40" s="424"/>
      <c r="HUG40" s="426"/>
      <c r="HUH40" s="424"/>
      <c r="HUI40" s="426"/>
      <c r="HUJ40" s="424"/>
      <c r="HUK40" s="426"/>
      <c r="HUL40" s="424"/>
      <c r="HUM40" s="426"/>
      <c r="HUN40" s="424"/>
      <c r="HUO40" s="426"/>
      <c r="HUP40" s="424"/>
      <c r="HUQ40" s="426"/>
      <c r="HUR40" s="424"/>
      <c r="HUS40" s="426"/>
      <c r="HUT40" s="424"/>
      <c r="HUU40" s="426"/>
      <c r="HUV40" s="424"/>
      <c r="HUW40" s="426"/>
      <c r="HUX40" s="424"/>
      <c r="HUY40" s="426"/>
      <c r="HUZ40" s="424"/>
      <c r="HVA40" s="426"/>
      <c r="HVB40" s="424"/>
      <c r="HVC40" s="426"/>
      <c r="HVD40" s="424"/>
      <c r="HVE40" s="426"/>
      <c r="HVF40" s="424"/>
      <c r="HVG40" s="426"/>
      <c r="HVH40" s="424"/>
      <c r="HVI40" s="426"/>
      <c r="HVJ40" s="424"/>
      <c r="HVK40" s="426"/>
      <c r="HVL40" s="424"/>
      <c r="HVM40" s="426"/>
      <c r="HVN40" s="424"/>
      <c r="HVO40" s="426"/>
      <c r="HVP40" s="424"/>
      <c r="HVQ40" s="426"/>
      <c r="HVR40" s="424"/>
      <c r="HVS40" s="426"/>
      <c r="HVT40" s="424"/>
      <c r="HVU40" s="426"/>
      <c r="HVV40" s="424"/>
      <c r="HVW40" s="426"/>
      <c r="HVX40" s="424"/>
      <c r="HVY40" s="426"/>
      <c r="HVZ40" s="424"/>
      <c r="HWA40" s="426"/>
      <c r="HWB40" s="424"/>
      <c r="HWC40" s="426"/>
      <c r="HWD40" s="424"/>
      <c r="HWE40" s="426"/>
      <c r="HWF40" s="424"/>
      <c r="HWG40" s="426"/>
      <c r="HWH40" s="424"/>
      <c r="HWI40" s="426"/>
      <c r="HWJ40" s="424"/>
      <c r="HWK40" s="426"/>
      <c r="HWL40" s="424"/>
      <c r="HWM40" s="426"/>
      <c r="HWN40" s="424"/>
      <c r="HWO40" s="426"/>
      <c r="HWP40" s="424"/>
      <c r="HWQ40" s="426"/>
      <c r="HWR40" s="424"/>
      <c r="HWS40" s="426"/>
      <c r="HWT40" s="424"/>
      <c r="HWU40" s="426"/>
      <c r="HWV40" s="424"/>
      <c r="HWW40" s="426"/>
      <c r="HWX40" s="424"/>
      <c r="HWY40" s="426"/>
      <c r="HWZ40" s="424"/>
      <c r="HXA40" s="426"/>
      <c r="HXB40" s="424"/>
      <c r="HXC40" s="426"/>
      <c r="HXD40" s="424"/>
      <c r="HXE40" s="426"/>
      <c r="HXF40" s="424"/>
      <c r="HXG40" s="426"/>
      <c r="HXH40" s="424"/>
      <c r="HXI40" s="426"/>
      <c r="HXJ40" s="424"/>
      <c r="HXK40" s="426"/>
      <c r="HXL40" s="424"/>
      <c r="HXM40" s="426"/>
      <c r="HXN40" s="424"/>
      <c r="HXO40" s="426"/>
      <c r="HXP40" s="424"/>
      <c r="HXQ40" s="426"/>
      <c r="HXR40" s="424"/>
      <c r="HXS40" s="426"/>
      <c r="HXT40" s="424"/>
      <c r="HXU40" s="426"/>
      <c r="HXV40" s="424"/>
      <c r="HXW40" s="426"/>
      <c r="HXX40" s="424"/>
      <c r="HXY40" s="426"/>
      <c r="HXZ40" s="424"/>
      <c r="HYA40" s="426"/>
      <c r="HYB40" s="424"/>
      <c r="HYC40" s="426"/>
      <c r="HYD40" s="424"/>
      <c r="HYE40" s="426"/>
      <c r="HYF40" s="424"/>
      <c r="HYG40" s="426"/>
      <c r="HYH40" s="424"/>
      <c r="HYI40" s="426"/>
      <c r="HYJ40" s="424"/>
      <c r="HYK40" s="426"/>
      <c r="HYL40" s="424"/>
      <c r="HYM40" s="426"/>
      <c r="HYN40" s="424"/>
      <c r="HYO40" s="426"/>
      <c r="HYP40" s="424"/>
      <c r="HYQ40" s="426"/>
      <c r="HYR40" s="424"/>
      <c r="HYS40" s="426"/>
      <c r="HYT40" s="424"/>
      <c r="HYU40" s="426"/>
      <c r="HYV40" s="424"/>
      <c r="HYW40" s="426"/>
      <c r="HYX40" s="424"/>
      <c r="HYY40" s="426"/>
      <c r="HYZ40" s="424"/>
      <c r="HZA40" s="426"/>
      <c r="HZB40" s="424"/>
      <c r="HZC40" s="426"/>
      <c r="HZD40" s="424"/>
      <c r="HZE40" s="426"/>
      <c r="HZF40" s="424"/>
      <c r="HZG40" s="426"/>
      <c r="HZH40" s="424"/>
      <c r="HZI40" s="426"/>
      <c r="HZJ40" s="424"/>
      <c r="HZK40" s="426"/>
      <c r="HZL40" s="424"/>
      <c r="HZM40" s="426"/>
      <c r="HZN40" s="424"/>
      <c r="HZO40" s="426"/>
      <c r="HZP40" s="424"/>
      <c r="HZQ40" s="426"/>
      <c r="HZR40" s="424"/>
      <c r="HZS40" s="426"/>
      <c r="HZT40" s="424"/>
      <c r="HZU40" s="426"/>
      <c r="HZV40" s="424"/>
      <c r="HZW40" s="426"/>
      <c r="HZX40" s="424"/>
      <c r="HZY40" s="426"/>
      <c r="HZZ40" s="424"/>
      <c r="IAA40" s="426"/>
      <c r="IAB40" s="424"/>
      <c r="IAC40" s="426"/>
      <c r="IAD40" s="424"/>
      <c r="IAE40" s="426"/>
      <c r="IAF40" s="424"/>
      <c r="IAG40" s="426"/>
      <c r="IAH40" s="424"/>
      <c r="IAI40" s="426"/>
      <c r="IAJ40" s="424"/>
      <c r="IAK40" s="426"/>
      <c r="IAL40" s="424"/>
      <c r="IAM40" s="426"/>
      <c r="IAN40" s="424"/>
      <c r="IAO40" s="426"/>
      <c r="IAP40" s="424"/>
      <c r="IAQ40" s="426"/>
      <c r="IAR40" s="424"/>
      <c r="IAS40" s="426"/>
      <c r="IAT40" s="424"/>
      <c r="IAU40" s="426"/>
      <c r="IAV40" s="424"/>
      <c r="IAW40" s="426"/>
      <c r="IAX40" s="424"/>
      <c r="IAY40" s="426"/>
      <c r="IAZ40" s="424"/>
      <c r="IBA40" s="426"/>
      <c r="IBB40" s="424"/>
      <c r="IBC40" s="426"/>
      <c r="IBD40" s="424"/>
      <c r="IBE40" s="426"/>
      <c r="IBF40" s="424"/>
      <c r="IBG40" s="426"/>
      <c r="IBH40" s="424"/>
      <c r="IBI40" s="426"/>
      <c r="IBJ40" s="424"/>
      <c r="IBK40" s="426"/>
      <c r="IBL40" s="424"/>
      <c r="IBM40" s="426"/>
      <c r="IBN40" s="424"/>
      <c r="IBO40" s="426"/>
      <c r="IBP40" s="424"/>
      <c r="IBQ40" s="426"/>
      <c r="IBR40" s="424"/>
      <c r="IBS40" s="426"/>
      <c r="IBT40" s="424"/>
      <c r="IBU40" s="426"/>
      <c r="IBV40" s="424"/>
      <c r="IBW40" s="426"/>
      <c r="IBX40" s="424"/>
      <c r="IBY40" s="426"/>
      <c r="IBZ40" s="424"/>
      <c r="ICA40" s="426"/>
      <c r="ICB40" s="424"/>
      <c r="ICC40" s="426"/>
      <c r="ICD40" s="424"/>
      <c r="ICE40" s="426"/>
      <c r="ICF40" s="424"/>
      <c r="ICG40" s="426"/>
      <c r="ICH40" s="424"/>
      <c r="ICI40" s="426"/>
      <c r="ICJ40" s="424"/>
      <c r="ICK40" s="426"/>
      <c r="ICL40" s="424"/>
      <c r="ICM40" s="426"/>
      <c r="ICN40" s="424"/>
      <c r="ICO40" s="426"/>
      <c r="ICP40" s="424"/>
      <c r="ICQ40" s="426"/>
      <c r="ICR40" s="424"/>
      <c r="ICS40" s="426"/>
      <c r="ICT40" s="424"/>
      <c r="ICU40" s="426"/>
      <c r="ICV40" s="424"/>
      <c r="ICW40" s="426"/>
      <c r="ICX40" s="424"/>
      <c r="ICY40" s="426"/>
      <c r="ICZ40" s="424"/>
      <c r="IDA40" s="426"/>
      <c r="IDB40" s="424"/>
      <c r="IDC40" s="426"/>
      <c r="IDD40" s="424"/>
      <c r="IDE40" s="426"/>
      <c r="IDF40" s="424"/>
      <c r="IDG40" s="426"/>
      <c r="IDH40" s="424"/>
      <c r="IDI40" s="426"/>
      <c r="IDJ40" s="424"/>
      <c r="IDK40" s="426"/>
      <c r="IDL40" s="424"/>
      <c r="IDM40" s="426"/>
      <c r="IDN40" s="424"/>
      <c r="IDO40" s="426"/>
      <c r="IDP40" s="424"/>
      <c r="IDQ40" s="426"/>
      <c r="IDR40" s="424"/>
      <c r="IDS40" s="426"/>
      <c r="IDT40" s="424"/>
      <c r="IDU40" s="426"/>
      <c r="IDV40" s="424"/>
      <c r="IDW40" s="426"/>
      <c r="IDX40" s="424"/>
      <c r="IDY40" s="426"/>
      <c r="IDZ40" s="424"/>
      <c r="IEA40" s="426"/>
      <c r="IEB40" s="424"/>
      <c r="IEC40" s="426"/>
      <c r="IED40" s="424"/>
      <c r="IEE40" s="426"/>
      <c r="IEF40" s="424"/>
      <c r="IEG40" s="426"/>
      <c r="IEH40" s="424"/>
      <c r="IEI40" s="426"/>
      <c r="IEJ40" s="424"/>
      <c r="IEK40" s="426"/>
      <c r="IEL40" s="424"/>
      <c r="IEM40" s="426"/>
      <c r="IEN40" s="424"/>
      <c r="IEO40" s="426"/>
      <c r="IEP40" s="424"/>
      <c r="IEQ40" s="426"/>
      <c r="IER40" s="424"/>
      <c r="IES40" s="426"/>
      <c r="IET40" s="424"/>
      <c r="IEU40" s="426"/>
      <c r="IEV40" s="424"/>
      <c r="IEW40" s="426"/>
      <c r="IEX40" s="424"/>
      <c r="IEY40" s="426"/>
      <c r="IEZ40" s="424"/>
      <c r="IFA40" s="426"/>
      <c r="IFB40" s="424"/>
      <c r="IFC40" s="426"/>
      <c r="IFD40" s="424"/>
      <c r="IFE40" s="426"/>
      <c r="IFF40" s="424"/>
      <c r="IFG40" s="426"/>
      <c r="IFH40" s="424"/>
      <c r="IFI40" s="426"/>
      <c r="IFJ40" s="424"/>
      <c r="IFK40" s="426"/>
      <c r="IFL40" s="424"/>
      <c r="IFM40" s="426"/>
      <c r="IFN40" s="424"/>
      <c r="IFO40" s="426"/>
      <c r="IFP40" s="424"/>
      <c r="IFQ40" s="426"/>
      <c r="IFR40" s="424"/>
      <c r="IFS40" s="426"/>
      <c r="IFT40" s="424"/>
      <c r="IFU40" s="426"/>
      <c r="IFV40" s="424"/>
      <c r="IFW40" s="426"/>
      <c r="IFX40" s="424"/>
      <c r="IFY40" s="426"/>
      <c r="IFZ40" s="424"/>
      <c r="IGA40" s="426"/>
      <c r="IGB40" s="424"/>
      <c r="IGC40" s="426"/>
      <c r="IGD40" s="424"/>
      <c r="IGE40" s="426"/>
      <c r="IGF40" s="424"/>
      <c r="IGG40" s="426"/>
      <c r="IGH40" s="424"/>
      <c r="IGI40" s="426"/>
      <c r="IGJ40" s="424"/>
      <c r="IGK40" s="426"/>
      <c r="IGL40" s="424"/>
      <c r="IGM40" s="426"/>
      <c r="IGN40" s="424"/>
      <c r="IGO40" s="426"/>
      <c r="IGP40" s="424"/>
      <c r="IGQ40" s="426"/>
      <c r="IGR40" s="424"/>
      <c r="IGS40" s="426"/>
      <c r="IGT40" s="424"/>
      <c r="IGU40" s="426"/>
      <c r="IGV40" s="424"/>
      <c r="IGW40" s="426"/>
      <c r="IGX40" s="424"/>
      <c r="IGY40" s="426"/>
      <c r="IGZ40" s="424"/>
      <c r="IHA40" s="426"/>
      <c r="IHB40" s="424"/>
      <c r="IHC40" s="426"/>
      <c r="IHD40" s="424"/>
      <c r="IHE40" s="426"/>
      <c r="IHF40" s="424"/>
      <c r="IHG40" s="426"/>
      <c r="IHH40" s="424"/>
      <c r="IHI40" s="426"/>
      <c r="IHJ40" s="424"/>
      <c r="IHK40" s="426"/>
      <c r="IHL40" s="424"/>
      <c r="IHM40" s="426"/>
      <c r="IHN40" s="424"/>
      <c r="IHO40" s="426"/>
      <c r="IHP40" s="424"/>
      <c r="IHQ40" s="426"/>
      <c r="IHR40" s="424"/>
      <c r="IHS40" s="426"/>
      <c r="IHT40" s="424"/>
      <c r="IHU40" s="426"/>
      <c r="IHV40" s="424"/>
      <c r="IHW40" s="426"/>
      <c r="IHX40" s="424"/>
      <c r="IHY40" s="426"/>
      <c r="IHZ40" s="424"/>
      <c r="IIA40" s="426"/>
      <c r="IIB40" s="424"/>
      <c r="IIC40" s="426"/>
      <c r="IID40" s="424"/>
      <c r="IIE40" s="426"/>
      <c r="IIF40" s="424"/>
      <c r="IIG40" s="426"/>
      <c r="IIH40" s="424"/>
      <c r="III40" s="426"/>
      <c r="IIJ40" s="424"/>
      <c r="IIK40" s="426"/>
      <c r="IIL40" s="424"/>
      <c r="IIM40" s="426"/>
      <c r="IIN40" s="424"/>
      <c r="IIO40" s="426"/>
      <c r="IIP40" s="424"/>
      <c r="IIQ40" s="426"/>
      <c r="IIR40" s="424"/>
      <c r="IIS40" s="426"/>
      <c r="IIT40" s="424"/>
      <c r="IIU40" s="426"/>
      <c r="IIV40" s="424"/>
      <c r="IIW40" s="426"/>
      <c r="IIX40" s="424"/>
      <c r="IIY40" s="426"/>
      <c r="IIZ40" s="424"/>
      <c r="IJA40" s="426"/>
      <c r="IJB40" s="424"/>
      <c r="IJC40" s="426"/>
      <c r="IJD40" s="424"/>
      <c r="IJE40" s="426"/>
      <c r="IJF40" s="424"/>
      <c r="IJG40" s="426"/>
      <c r="IJH40" s="424"/>
      <c r="IJI40" s="426"/>
      <c r="IJJ40" s="424"/>
      <c r="IJK40" s="426"/>
      <c r="IJL40" s="424"/>
      <c r="IJM40" s="426"/>
      <c r="IJN40" s="424"/>
      <c r="IJO40" s="426"/>
      <c r="IJP40" s="424"/>
      <c r="IJQ40" s="426"/>
      <c r="IJR40" s="424"/>
      <c r="IJS40" s="426"/>
      <c r="IJT40" s="424"/>
      <c r="IJU40" s="426"/>
      <c r="IJV40" s="424"/>
      <c r="IJW40" s="426"/>
      <c r="IJX40" s="424"/>
      <c r="IJY40" s="426"/>
      <c r="IJZ40" s="424"/>
      <c r="IKA40" s="426"/>
      <c r="IKB40" s="424"/>
      <c r="IKC40" s="426"/>
      <c r="IKD40" s="424"/>
      <c r="IKE40" s="426"/>
      <c r="IKF40" s="424"/>
      <c r="IKG40" s="426"/>
      <c r="IKH40" s="424"/>
      <c r="IKI40" s="426"/>
      <c r="IKJ40" s="424"/>
      <c r="IKK40" s="426"/>
      <c r="IKL40" s="424"/>
      <c r="IKM40" s="426"/>
      <c r="IKN40" s="424"/>
      <c r="IKO40" s="426"/>
      <c r="IKP40" s="424"/>
      <c r="IKQ40" s="426"/>
      <c r="IKR40" s="424"/>
      <c r="IKS40" s="426"/>
      <c r="IKT40" s="424"/>
      <c r="IKU40" s="426"/>
      <c r="IKV40" s="424"/>
      <c r="IKW40" s="426"/>
      <c r="IKX40" s="424"/>
      <c r="IKY40" s="426"/>
      <c r="IKZ40" s="424"/>
      <c r="ILA40" s="426"/>
      <c r="ILB40" s="424"/>
      <c r="ILC40" s="426"/>
      <c r="ILD40" s="424"/>
      <c r="ILE40" s="426"/>
      <c r="ILF40" s="424"/>
      <c r="ILG40" s="426"/>
      <c r="ILH40" s="424"/>
      <c r="ILI40" s="426"/>
      <c r="ILJ40" s="424"/>
      <c r="ILK40" s="426"/>
      <c r="ILL40" s="424"/>
      <c r="ILM40" s="426"/>
      <c r="ILN40" s="424"/>
      <c r="ILO40" s="426"/>
      <c r="ILP40" s="424"/>
      <c r="ILQ40" s="426"/>
      <c r="ILR40" s="424"/>
      <c r="ILS40" s="426"/>
      <c r="ILT40" s="424"/>
      <c r="ILU40" s="426"/>
      <c r="ILV40" s="424"/>
      <c r="ILW40" s="426"/>
      <c r="ILX40" s="424"/>
      <c r="ILY40" s="426"/>
      <c r="ILZ40" s="424"/>
      <c r="IMA40" s="426"/>
      <c r="IMB40" s="424"/>
      <c r="IMC40" s="426"/>
      <c r="IMD40" s="424"/>
      <c r="IME40" s="426"/>
      <c r="IMF40" s="424"/>
      <c r="IMG40" s="426"/>
      <c r="IMH40" s="424"/>
      <c r="IMI40" s="426"/>
      <c r="IMJ40" s="424"/>
      <c r="IMK40" s="426"/>
      <c r="IML40" s="424"/>
      <c r="IMM40" s="426"/>
      <c r="IMN40" s="424"/>
      <c r="IMO40" s="426"/>
      <c r="IMP40" s="424"/>
      <c r="IMQ40" s="426"/>
      <c r="IMR40" s="424"/>
      <c r="IMS40" s="426"/>
      <c r="IMT40" s="424"/>
      <c r="IMU40" s="426"/>
      <c r="IMV40" s="424"/>
      <c r="IMW40" s="426"/>
      <c r="IMX40" s="424"/>
      <c r="IMY40" s="426"/>
      <c r="IMZ40" s="424"/>
      <c r="INA40" s="426"/>
      <c r="INB40" s="424"/>
      <c r="INC40" s="426"/>
      <c r="IND40" s="424"/>
      <c r="INE40" s="426"/>
      <c r="INF40" s="424"/>
      <c r="ING40" s="426"/>
      <c r="INH40" s="424"/>
      <c r="INI40" s="426"/>
      <c r="INJ40" s="424"/>
      <c r="INK40" s="426"/>
      <c r="INL40" s="424"/>
      <c r="INM40" s="426"/>
      <c r="INN40" s="424"/>
      <c r="INO40" s="426"/>
      <c r="INP40" s="424"/>
      <c r="INQ40" s="426"/>
      <c r="INR40" s="424"/>
      <c r="INS40" s="426"/>
      <c r="INT40" s="424"/>
      <c r="INU40" s="426"/>
      <c r="INV40" s="424"/>
      <c r="INW40" s="426"/>
      <c r="INX40" s="424"/>
      <c r="INY40" s="426"/>
      <c r="INZ40" s="424"/>
      <c r="IOA40" s="426"/>
      <c r="IOB40" s="424"/>
      <c r="IOC40" s="426"/>
      <c r="IOD40" s="424"/>
      <c r="IOE40" s="426"/>
      <c r="IOF40" s="424"/>
      <c r="IOG40" s="426"/>
      <c r="IOH40" s="424"/>
      <c r="IOI40" s="426"/>
      <c r="IOJ40" s="424"/>
      <c r="IOK40" s="426"/>
      <c r="IOL40" s="424"/>
      <c r="IOM40" s="426"/>
      <c r="ION40" s="424"/>
      <c r="IOO40" s="426"/>
      <c r="IOP40" s="424"/>
      <c r="IOQ40" s="426"/>
      <c r="IOR40" s="424"/>
      <c r="IOS40" s="426"/>
      <c r="IOT40" s="424"/>
      <c r="IOU40" s="426"/>
      <c r="IOV40" s="424"/>
      <c r="IOW40" s="426"/>
      <c r="IOX40" s="424"/>
      <c r="IOY40" s="426"/>
      <c r="IOZ40" s="424"/>
      <c r="IPA40" s="426"/>
      <c r="IPB40" s="424"/>
      <c r="IPC40" s="426"/>
      <c r="IPD40" s="424"/>
      <c r="IPE40" s="426"/>
      <c r="IPF40" s="424"/>
      <c r="IPG40" s="426"/>
      <c r="IPH40" s="424"/>
      <c r="IPI40" s="426"/>
      <c r="IPJ40" s="424"/>
      <c r="IPK40" s="426"/>
      <c r="IPL40" s="424"/>
      <c r="IPM40" s="426"/>
      <c r="IPN40" s="424"/>
      <c r="IPO40" s="426"/>
      <c r="IPP40" s="424"/>
      <c r="IPQ40" s="426"/>
      <c r="IPR40" s="424"/>
      <c r="IPS40" s="426"/>
      <c r="IPT40" s="424"/>
      <c r="IPU40" s="426"/>
      <c r="IPV40" s="424"/>
      <c r="IPW40" s="426"/>
      <c r="IPX40" s="424"/>
      <c r="IPY40" s="426"/>
      <c r="IPZ40" s="424"/>
      <c r="IQA40" s="426"/>
      <c r="IQB40" s="424"/>
      <c r="IQC40" s="426"/>
      <c r="IQD40" s="424"/>
      <c r="IQE40" s="426"/>
      <c r="IQF40" s="424"/>
      <c r="IQG40" s="426"/>
      <c r="IQH40" s="424"/>
      <c r="IQI40" s="426"/>
      <c r="IQJ40" s="424"/>
      <c r="IQK40" s="426"/>
      <c r="IQL40" s="424"/>
      <c r="IQM40" s="426"/>
      <c r="IQN40" s="424"/>
      <c r="IQO40" s="426"/>
      <c r="IQP40" s="424"/>
      <c r="IQQ40" s="426"/>
      <c r="IQR40" s="424"/>
      <c r="IQS40" s="426"/>
      <c r="IQT40" s="424"/>
      <c r="IQU40" s="426"/>
      <c r="IQV40" s="424"/>
      <c r="IQW40" s="426"/>
      <c r="IQX40" s="424"/>
      <c r="IQY40" s="426"/>
      <c r="IQZ40" s="424"/>
      <c r="IRA40" s="426"/>
      <c r="IRB40" s="424"/>
      <c r="IRC40" s="426"/>
      <c r="IRD40" s="424"/>
      <c r="IRE40" s="426"/>
      <c r="IRF40" s="424"/>
      <c r="IRG40" s="426"/>
      <c r="IRH40" s="424"/>
      <c r="IRI40" s="426"/>
      <c r="IRJ40" s="424"/>
      <c r="IRK40" s="426"/>
      <c r="IRL40" s="424"/>
      <c r="IRM40" s="426"/>
      <c r="IRN40" s="424"/>
      <c r="IRO40" s="426"/>
      <c r="IRP40" s="424"/>
      <c r="IRQ40" s="426"/>
      <c r="IRR40" s="424"/>
      <c r="IRS40" s="426"/>
      <c r="IRT40" s="424"/>
      <c r="IRU40" s="426"/>
      <c r="IRV40" s="424"/>
      <c r="IRW40" s="426"/>
      <c r="IRX40" s="424"/>
      <c r="IRY40" s="426"/>
      <c r="IRZ40" s="424"/>
      <c r="ISA40" s="426"/>
      <c r="ISB40" s="424"/>
      <c r="ISC40" s="426"/>
      <c r="ISD40" s="424"/>
      <c r="ISE40" s="426"/>
      <c r="ISF40" s="424"/>
      <c r="ISG40" s="426"/>
      <c r="ISH40" s="424"/>
      <c r="ISI40" s="426"/>
      <c r="ISJ40" s="424"/>
      <c r="ISK40" s="426"/>
      <c r="ISL40" s="424"/>
      <c r="ISM40" s="426"/>
      <c r="ISN40" s="424"/>
      <c r="ISO40" s="426"/>
      <c r="ISP40" s="424"/>
      <c r="ISQ40" s="426"/>
      <c r="ISR40" s="424"/>
      <c r="ISS40" s="426"/>
      <c r="IST40" s="424"/>
      <c r="ISU40" s="426"/>
      <c r="ISV40" s="424"/>
      <c r="ISW40" s="426"/>
      <c r="ISX40" s="424"/>
      <c r="ISY40" s="426"/>
      <c r="ISZ40" s="424"/>
      <c r="ITA40" s="426"/>
      <c r="ITB40" s="424"/>
      <c r="ITC40" s="426"/>
      <c r="ITD40" s="424"/>
      <c r="ITE40" s="426"/>
      <c r="ITF40" s="424"/>
      <c r="ITG40" s="426"/>
      <c r="ITH40" s="424"/>
      <c r="ITI40" s="426"/>
      <c r="ITJ40" s="424"/>
      <c r="ITK40" s="426"/>
      <c r="ITL40" s="424"/>
      <c r="ITM40" s="426"/>
      <c r="ITN40" s="424"/>
      <c r="ITO40" s="426"/>
      <c r="ITP40" s="424"/>
      <c r="ITQ40" s="426"/>
      <c r="ITR40" s="424"/>
      <c r="ITS40" s="426"/>
      <c r="ITT40" s="424"/>
      <c r="ITU40" s="426"/>
      <c r="ITV40" s="424"/>
      <c r="ITW40" s="426"/>
      <c r="ITX40" s="424"/>
      <c r="ITY40" s="426"/>
      <c r="ITZ40" s="424"/>
      <c r="IUA40" s="426"/>
      <c r="IUB40" s="424"/>
      <c r="IUC40" s="426"/>
      <c r="IUD40" s="424"/>
      <c r="IUE40" s="426"/>
      <c r="IUF40" s="424"/>
      <c r="IUG40" s="426"/>
      <c r="IUH40" s="424"/>
      <c r="IUI40" s="426"/>
      <c r="IUJ40" s="424"/>
      <c r="IUK40" s="426"/>
      <c r="IUL40" s="424"/>
      <c r="IUM40" s="426"/>
      <c r="IUN40" s="424"/>
      <c r="IUO40" s="426"/>
      <c r="IUP40" s="424"/>
      <c r="IUQ40" s="426"/>
      <c r="IUR40" s="424"/>
      <c r="IUS40" s="426"/>
      <c r="IUT40" s="424"/>
      <c r="IUU40" s="426"/>
      <c r="IUV40" s="424"/>
      <c r="IUW40" s="426"/>
      <c r="IUX40" s="424"/>
      <c r="IUY40" s="426"/>
      <c r="IUZ40" s="424"/>
      <c r="IVA40" s="426"/>
      <c r="IVB40" s="424"/>
      <c r="IVC40" s="426"/>
      <c r="IVD40" s="424"/>
      <c r="IVE40" s="426"/>
      <c r="IVF40" s="424"/>
      <c r="IVG40" s="426"/>
      <c r="IVH40" s="424"/>
      <c r="IVI40" s="426"/>
      <c r="IVJ40" s="424"/>
      <c r="IVK40" s="426"/>
      <c r="IVL40" s="424"/>
      <c r="IVM40" s="426"/>
      <c r="IVN40" s="424"/>
      <c r="IVO40" s="426"/>
      <c r="IVP40" s="424"/>
      <c r="IVQ40" s="426"/>
      <c r="IVR40" s="424"/>
      <c r="IVS40" s="426"/>
      <c r="IVT40" s="424"/>
      <c r="IVU40" s="426"/>
      <c r="IVV40" s="424"/>
      <c r="IVW40" s="426"/>
      <c r="IVX40" s="424"/>
      <c r="IVY40" s="426"/>
      <c r="IVZ40" s="424"/>
      <c r="IWA40" s="426"/>
      <c r="IWB40" s="424"/>
      <c r="IWC40" s="426"/>
      <c r="IWD40" s="424"/>
      <c r="IWE40" s="426"/>
      <c r="IWF40" s="424"/>
      <c r="IWG40" s="426"/>
      <c r="IWH40" s="424"/>
      <c r="IWI40" s="426"/>
      <c r="IWJ40" s="424"/>
      <c r="IWK40" s="426"/>
      <c r="IWL40" s="424"/>
      <c r="IWM40" s="426"/>
      <c r="IWN40" s="424"/>
      <c r="IWO40" s="426"/>
      <c r="IWP40" s="424"/>
      <c r="IWQ40" s="426"/>
      <c r="IWR40" s="424"/>
      <c r="IWS40" s="426"/>
      <c r="IWT40" s="424"/>
      <c r="IWU40" s="426"/>
      <c r="IWV40" s="424"/>
      <c r="IWW40" s="426"/>
      <c r="IWX40" s="424"/>
      <c r="IWY40" s="426"/>
      <c r="IWZ40" s="424"/>
      <c r="IXA40" s="426"/>
      <c r="IXB40" s="424"/>
      <c r="IXC40" s="426"/>
      <c r="IXD40" s="424"/>
      <c r="IXE40" s="426"/>
      <c r="IXF40" s="424"/>
      <c r="IXG40" s="426"/>
      <c r="IXH40" s="424"/>
      <c r="IXI40" s="426"/>
      <c r="IXJ40" s="424"/>
      <c r="IXK40" s="426"/>
      <c r="IXL40" s="424"/>
      <c r="IXM40" s="426"/>
      <c r="IXN40" s="424"/>
      <c r="IXO40" s="426"/>
      <c r="IXP40" s="424"/>
      <c r="IXQ40" s="426"/>
      <c r="IXR40" s="424"/>
      <c r="IXS40" s="426"/>
      <c r="IXT40" s="424"/>
      <c r="IXU40" s="426"/>
      <c r="IXV40" s="424"/>
      <c r="IXW40" s="426"/>
      <c r="IXX40" s="424"/>
      <c r="IXY40" s="426"/>
      <c r="IXZ40" s="424"/>
      <c r="IYA40" s="426"/>
      <c r="IYB40" s="424"/>
      <c r="IYC40" s="426"/>
      <c r="IYD40" s="424"/>
      <c r="IYE40" s="426"/>
      <c r="IYF40" s="424"/>
      <c r="IYG40" s="426"/>
      <c r="IYH40" s="424"/>
      <c r="IYI40" s="426"/>
      <c r="IYJ40" s="424"/>
      <c r="IYK40" s="426"/>
      <c r="IYL40" s="424"/>
      <c r="IYM40" s="426"/>
      <c r="IYN40" s="424"/>
      <c r="IYO40" s="426"/>
      <c r="IYP40" s="424"/>
      <c r="IYQ40" s="426"/>
      <c r="IYR40" s="424"/>
      <c r="IYS40" s="426"/>
      <c r="IYT40" s="424"/>
      <c r="IYU40" s="426"/>
      <c r="IYV40" s="424"/>
      <c r="IYW40" s="426"/>
      <c r="IYX40" s="424"/>
      <c r="IYY40" s="426"/>
      <c r="IYZ40" s="424"/>
      <c r="IZA40" s="426"/>
      <c r="IZB40" s="424"/>
      <c r="IZC40" s="426"/>
      <c r="IZD40" s="424"/>
      <c r="IZE40" s="426"/>
      <c r="IZF40" s="424"/>
      <c r="IZG40" s="426"/>
      <c r="IZH40" s="424"/>
      <c r="IZI40" s="426"/>
      <c r="IZJ40" s="424"/>
      <c r="IZK40" s="426"/>
      <c r="IZL40" s="424"/>
      <c r="IZM40" s="426"/>
      <c r="IZN40" s="424"/>
      <c r="IZO40" s="426"/>
      <c r="IZP40" s="424"/>
      <c r="IZQ40" s="426"/>
      <c r="IZR40" s="424"/>
      <c r="IZS40" s="426"/>
      <c r="IZT40" s="424"/>
      <c r="IZU40" s="426"/>
      <c r="IZV40" s="424"/>
      <c r="IZW40" s="426"/>
      <c r="IZX40" s="424"/>
      <c r="IZY40" s="426"/>
      <c r="IZZ40" s="424"/>
      <c r="JAA40" s="426"/>
      <c r="JAB40" s="424"/>
      <c r="JAC40" s="426"/>
      <c r="JAD40" s="424"/>
      <c r="JAE40" s="426"/>
      <c r="JAF40" s="424"/>
      <c r="JAG40" s="426"/>
      <c r="JAH40" s="424"/>
      <c r="JAI40" s="426"/>
      <c r="JAJ40" s="424"/>
      <c r="JAK40" s="426"/>
      <c r="JAL40" s="424"/>
      <c r="JAM40" s="426"/>
      <c r="JAN40" s="424"/>
      <c r="JAO40" s="426"/>
      <c r="JAP40" s="424"/>
      <c r="JAQ40" s="426"/>
      <c r="JAR40" s="424"/>
      <c r="JAS40" s="426"/>
      <c r="JAT40" s="424"/>
      <c r="JAU40" s="426"/>
      <c r="JAV40" s="424"/>
      <c r="JAW40" s="426"/>
      <c r="JAX40" s="424"/>
      <c r="JAY40" s="426"/>
      <c r="JAZ40" s="424"/>
      <c r="JBA40" s="426"/>
      <c r="JBB40" s="424"/>
      <c r="JBC40" s="426"/>
      <c r="JBD40" s="424"/>
      <c r="JBE40" s="426"/>
      <c r="JBF40" s="424"/>
      <c r="JBG40" s="426"/>
      <c r="JBH40" s="424"/>
      <c r="JBI40" s="426"/>
      <c r="JBJ40" s="424"/>
      <c r="JBK40" s="426"/>
      <c r="JBL40" s="424"/>
      <c r="JBM40" s="426"/>
      <c r="JBN40" s="424"/>
      <c r="JBO40" s="426"/>
      <c r="JBP40" s="424"/>
      <c r="JBQ40" s="426"/>
      <c r="JBR40" s="424"/>
      <c r="JBS40" s="426"/>
      <c r="JBT40" s="424"/>
      <c r="JBU40" s="426"/>
      <c r="JBV40" s="424"/>
      <c r="JBW40" s="426"/>
      <c r="JBX40" s="424"/>
      <c r="JBY40" s="426"/>
      <c r="JBZ40" s="424"/>
      <c r="JCA40" s="426"/>
      <c r="JCB40" s="424"/>
      <c r="JCC40" s="426"/>
      <c r="JCD40" s="424"/>
      <c r="JCE40" s="426"/>
      <c r="JCF40" s="424"/>
      <c r="JCG40" s="426"/>
      <c r="JCH40" s="424"/>
      <c r="JCI40" s="426"/>
      <c r="JCJ40" s="424"/>
      <c r="JCK40" s="426"/>
      <c r="JCL40" s="424"/>
      <c r="JCM40" s="426"/>
      <c r="JCN40" s="424"/>
      <c r="JCO40" s="426"/>
      <c r="JCP40" s="424"/>
      <c r="JCQ40" s="426"/>
      <c r="JCR40" s="424"/>
      <c r="JCS40" s="426"/>
      <c r="JCT40" s="424"/>
      <c r="JCU40" s="426"/>
      <c r="JCV40" s="424"/>
      <c r="JCW40" s="426"/>
      <c r="JCX40" s="424"/>
      <c r="JCY40" s="426"/>
      <c r="JCZ40" s="424"/>
      <c r="JDA40" s="426"/>
      <c r="JDB40" s="424"/>
      <c r="JDC40" s="426"/>
      <c r="JDD40" s="424"/>
      <c r="JDE40" s="426"/>
      <c r="JDF40" s="424"/>
      <c r="JDG40" s="426"/>
      <c r="JDH40" s="424"/>
      <c r="JDI40" s="426"/>
      <c r="JDJ40" s="424"/>
      <c r="JDK40" s="426"/>
      <c r="JDL40" s="424"/>
      <c r="JDM40" s="426"/>
      <c r="JDN40" s="424"/>
      <c r="JDO40" s="426"/>
      <c r="JDP40" s="424"/>
      <c r="JDQ40" s="426"/>
      <c r="JDR40" s="424"/>
      <c r="JDS40" s="426"/>
      <c r="JDT40" s="424"/>
      <c r="JDU40" s="426"/>
      <c r="JDV40" s="424"/>
      <c r="JDW40" s="426"/>
      <c r="JDX40" s="424"/>
      <c r="JDY40" s="426"/>
      <c r="JDZ40" s="424"/>
      <c r="JEA40" s="426"/>
      <c r="JEB40" s="424"/>
      <c r="JEC40" s="426"/>
      <c r="JED40" s="424"/>
      <c r="JEE40" s="426"/>
      <c r="JEF40" s="424"/>
      <c r="JEG40" s="426"/>
      <c r="JEH40" s="424"/>
      <c r="JEI40" s="426"/>
      <c r="JEJ40" s="424"/>
      <c r="JEK40" s="426"/>
      <c r="JEL40" s="424"/>
      <c r="JEM40" s="426"/>
      <c r="JEN40" s="424"/>
      <c r="JEO40" s="426"/>
      <c r="JEP40" s="424"/>
      <c r="JEQ40" s="426"/>
      <c r="JER40" s="424"/>
      <c r="JES40" s="426"/>
      <c r="JET40" s="424"/>
      <c r="JEU40" s="426"/>
      <c r="JEV40" s="424"/>
      <c r="JEW40" s="426"/>
      <c r="JEX40" s="424"/>
      <c r="JEY40" s="426"/>
      <c r="JEZ40" s="424"/>
      <c r="JFA40" s="426"/>
      <c r="JFB40" s="424"/>
      <c r="JFC40" s="426"/>
      <c r="JFD40" s="424"/>
      <c r="JFE40" s="426"/>
      <c r="JFF40" s="424"/>
      <c r="JFG40" s="426"/>
      <c r="JFH40" s="424"/>
      <c r="JFI40" s="426"/>
      <c r="JFJ40" s="424"/>
      <c r="JFK40" s="426"/>
      <c r="JFL40" s="424"/>
      <c r="JFM40" s="426"/>
      <c r="JFN40" s="424"/>
      <c r="JFO40" s="426"/>
      <c r="JFP40" s="424"/>
      <c r="JFQ40" s="426"/>
      <c r="JFR40" s="424"/>
      <c r="JFS40" s="426"/>
      <c r="JFT40" s="424"/>
      <c r="JFU40" s="426"/>
      <c r="JFV40" s="424"/>
      <c r="JFW40" s="426"/>
      <c r="JFX40" s="424"/>
      <c r="JFY40" s="426"/>
      <c r="JFZ40" s="424"/>
      <c r="JGA40" s="426"/>
      <c r="JGB40" s="424"/>
      <c r="JGC40" s="426"/>
      <c r="JGD40" s="424"/>
      <c r="JGE40" s="426"/>
      <c r="JGF40" s="424"/>
      <c r="JGG40" s="426"/>
      <c r="JGH40" s="424"/>
      <c r="JGI40" s="426"/>
      <c r="JGJ40" s="424"/>
      <c r="JGK40" s="426"/>
      <c r="JGL40" s="424"/>
      <c r="JGM40" s="426"/>
      <c r="JGN40" s="424"/>
      <c r="JGO40" s="426"/>
      <c r="JGP40" s="424"/>
      <c r="JGQ40" s="426"/>
      <c r="JGR40" s="424"/>
      <c r="JGS40" s="426"/>
      <c r="JGT40" s="424"/>
      <c r="JGU40" s="426"/>
      <c r="JGV40" s="424"/>
      <c r="JGW40" s="426"/>
      <c r="JGX40" s="424"/>
      <c r="JGY40" s="426"/>
      <c r="JGZ40" s="424"/>
      <c r="JHA40" s="426"/>
      <c r="JHB40" s="424"/>
      <c r="JHC40" s="426"/>
      <c r="JHD40" s="424"/>
      <c r="JHE40" s="426"/>
      <c r="JHF40" s="424"/>
      <c r="JHG40" s="426"/>
      <c r="JHH40" s="424"/>
      <c r="JHI40" s="426"/>
      <c r="JHJ40" s="424"/>
      <c r="JHK40" s="426"/>
      <c r="JHL40" s="424"/>
      <c r="JHM40" s="426"/>
      <c r="JHN40" s="424"/>
      <c r="JHO40" s="426"/>
      <c r="JHP40" s="424"/>
      <c r="JHQ40" s="426"/>
      <c r="JHR40" s="424"/>
      <c r="JHS40" s="426"/>
      <c r="JHT40" s="424"/>
      <c r="JHU40" s="426"/>
      <c r="JHV40" s="424"/>
      <c r="JHW40" s="426"/>
      <c r="JHX40" s="424"/>
      <c r="JHY40" s="426"/>
      <c r="JHZ40" s="424"/>
      <c r="JIA40" s="426"/>
      <c r="JIB40" s="424"/>
      <c r="JIC40" s="426"/>
      <c r="JID40" s="424"/>
      <c r="JIE40" s="426"/>
      <c r="JIF40" s="424"/>
      <c r="JIG40" s="426"/>
      <c r="JIH40" s="424"/>
      <c r="JII40" s="426"/>
      <c r="JIJ40" s="424"/>
      <c r="JIK40" s="426"/>
      <c r="JIL40" s="424"/>
      <c r="JIM40" s="426"/>
      <c r="JIN40" s="424"/>
      <c r="JIO40" s="426"/>
      <c r="JIP40" s="424"/>
      <c r="JIQ40" s="426"/>
      <c r="JIR40" s="424"/>
      <c r="JIS40" s="426"/>
      <c r="JIT40" s="424"/>
      <c r="JIU40" s="426"/>
      <c r="JIV40" s="424"/>
      <c r="JIW40" s="426"/>
      <c r="JIX40" s="424"/>
      <c r="JIY40" s="426"/>
      <c r="JIZ40" s="424"/>
      <c r="JJA40" s="426"/>
      <c r="JJB40" s="424"/>
      <c r="JJC40" s="426"/>
      <c r="JJD40" s="424"/>
      <c r="JJE40" s="426"/>
      <c r="JJF40" s="424"/>
      <c r="JJG40" s="426"/>
      <c r="JJH40" s="424"/>
      <c r="JJI40" s="426"/>
      <c r="JJJ40" s="424"/>
      <c r="JJK40" s="426"/>
      <c r="JJL40" s="424"/>
      <c r="JJM40" s="426"/>
      <c r="JJN40" s="424"/>
      <c r="JJO40" s="426"/>
      <c r="JJP40" s="424"/>
      <c r="JJQ40" s="426"/>
      <c r="JJR40" s="424"/>
      <c r="JJS40" s="426"/>
      <c r="JJT40" s="424"/>
      <c r="JJU40" s="426"/>
      <c r="JJV40" s="424"/>
      <c r="JJW40" s="426"/>
      <c r="JJX40" s="424"/>
      <c r="JJY40" s="426"/>
      <c r="JJZ40" s="424"/>
      <c r="JKA40" s="426"/>
      <c r="JKB40" s="424"/>
      <c r="JKC40" s="426"/>
      <c r="JKD40" s="424"/>
      <c r="JKE40" s="426"/>
      <c r="JKF40" s="424"/>
      <c r="JKG40" s="426"/>
      <c r="JKH40" s="424"/>
      <c r="JKI40" s="426"/>
      <c r="JKJ40" s="424"/>
      <c r="JKK40" s="426"/>
      <c r="JKL40" s="424"/>
      <c r="JKM40" s="426"/>
      <c r="JKN40" s="424"/>
      <c r="JKO40" s="426"/>
      <c r="JKP40" s="424"/>
      <c r="JKQ40" s="426"/>
      <c r="JKR40" s="424"/>
      <c r="JKS40" s="426"/>
      <c r="JKT40" s="424"/>
      <c r="JKU40" s="426"/>
      <c r="JKV40" s="424"/>
      <c r="JKW40" s="426"/>
      <c r="JKX40" s="424"/>
      <c r="JKY40" s="426"/>
      <c r="JKZ40" s="424"/>
      <c r="JLA40" s="426"/>
      <c r="JLB40" s="424"/>
      <c r="JLC40" s="426"/>
      <c r="JLD40" s="424"/>
      <c r="JLE40" s="426"/>
      <c r="JLF40" s="424"/>
      <c r="JLG40" s="426"/>
      <c r="JLH40" s="424"/>
      <c r="JLI40" s="426"/>
      <c r="JLJ40" s="424"/>
      <c r="JLK40" s="426"/>
      <c r="JLL40" s="424"/>
      <c r="JLM40" s="426"/>
      <c r="JLN40" s="424"/>
      <c r="JLO40" s="426"/>
      <c r="JLP40" s="424"/>
      <c r="JLQ40" s="426"/>
      <c r="JLR40" s="424"/>
      <c r="JLS40" s="426"/>
      <c r="JLT40" s="424"/>
      <c r="JLU40" s="426"/>
      <c r="JLV40" s="424"/>
      <c r="JLW40" s="426"/>
      <c r="JLX40" s="424"/>
      <c r="JLY40" s="426"/>
      <c r="JLZ40" s="424"/>
      <c r="JMA40" s="426"/>
      <c r="JMB40" s="424"/>
      <c r="JMC40" s="426"/>
      <c r="JMD40" s="424"/>
      <c r="JME40" s="426"/>
      <c r="JMF40" s="424"/>
      <c r="JMG40" s="426"/>
      <c r="JMH40" s="424"/>
      <c r="JMI40" s="426"/>
      <c r="JMJ40" s="424"/>
      <c r="JMK40" s="426"/>
      <c r="JML40" s="424"/>
      <c r="JMM40" s="426"/>
      <c r="JMN40" s="424"/>
      <c r="JMO40" s="426"/>
      <c r="JMP40" s="424"/>
      <c r="JMQ40" s="426"/>
      <c r="JMR40" s="424"/>
      <c r="JMS40" s="426"/>
      <c r="JMT40" s="424"/>
      <c r="JMU40" s="426"/>
      <c r="JMV40" s="424"/>
      <c r="JMW40" s="426"/>
      <c r="JMX40" s="424"/>
      <c r="JMY40" s="426"/>
      <c r="JMZ40" s="424"/>
      <c r="JNA40" s="426"/>
      <c r="JNB40" s="424"/>
      <c r="JNC40" s="426"/>
      <c r="JND40" s="424"/>
      <c r="JNE40" s="426"/>
      <c r="JNF40" s="424"/>
      <c r="JNG40" s="426"/>
      <c r="JNH40" s="424"/>
      <c r="JNI40" s="426"/>
      <c r="JNJ40" s="424"/>
      <c r="JNK40" s="426"/>
      <c r="JNL40" s="424"/>
      <c r="JNM40" s="426"/>
      <c r="JNN40" s="424"/>
      <c r="JNO40" s="426"/>
      <c r="JNP40" s="424"/>
      <c r="JNQ40" s="426"/>
      <c r="JNR40" s="424"/>
      <c r="JNS40" s="426"/>
      <c r="JNT40" s="424"/>
      <c r="JNU40" s="426"/>
      <c r="JNV40" s="424"/>
      <c r="JNW40" s="426"/>
      <c r="JNX40" s="424"/>
      <c r="JNY40" s="426"/>
      <c r="JNZ40" s="424"/>
      <c r="JOA40" s="426"/>
      <c r="JOB40" s="424"/>
      <c r="JOC40" s="426"/>
      <c r="JOD40" s="424"/>
      <c r="JOE40" s="426"/>
      <c r="JOF40" s="424"/>
      <c r="JOG40" s="426"/>
      <c r="JOH40" s="424"/>
      <c r="JOI40" s="426"/>
      <c r="JOJ40" s="424"/>
      <c r="JOK40" s="426"/>
      <c r="JOL40" s="424"/>
      <c r="JOM40" s="426"/>
      <c r="JON40" s="424"/>
      <c r="JOO40" s="426"/>
      <c r="JOP40" s="424"/>
      <c r="JOQ40" s="426"/>
      <c r="JOR40" s="424"/>
      <c r="JOS40" s="426"/>
      <c r="JOT40" s="424"/>
      <c r="JOU40" s="426"/>
      <c r="JOV40" s="424"/>
      <c r="JOW40" s="426"/>
      <c r="JOX40" s="424"/>
      <c r="JOY40" s="426"/>
      <c r="JOZ40" s="424"/>
      <c r="JPA40" s="426"/>
      <c r="JPB40" s="424"/>
      <c r="JPC40" s="426"/>
      <c r="JPD40" s="424"/>
      <c r="JPE40" s="426"/>
      <c r="JPF40" s="424"/>
      <c r="JPG40" s="426"/>
      <c r="JPH40" s="424"/>
      <c r="JPI40" s="426"/>
      <c r="JPJ40" s="424"/>
      <c r="JPK40" s="426"/>
      <c r="JPL40" s="424"/>
      <c r="JPM40" s="426"/>
      <c r="JPN40" s="424"/>
      <c r="JPO40" s="426"/>
      <c r="JPP40" s="424"/>
      <c r="JPQ40" s="426"/>
      <c r="JPR40" s="424"/>
      <c r="JPS40" s="426"/>
      <c r="JPT40" s="424"/>
      <c r="JPU40" s="426"/>
      <c r="JPV40" s="424"/>
      <c r="JPW40" s="426"/>
      <c r="JPX40" s="424"/>
      <c r="JPY40" s="426"/>
      <c r="JPZ40" s="424"/>
      <c r="JQA40" s="426"/>
      <c r="JQB40" s="424"/>
      <c r="JQC40" s="426"/>
      <c r="JQD40" s="424"/>
      <c r="JQE40" s="426"/>
      <c r="JQF40" s="424"/>
      <c r="JQG40" s="426"/>
      <c r="JQH40" s="424"/>
      <c r="JQI40" s="426"/>
      <c r="JQJ40" s="424"/>
      <c r="JQK40" s="426"/>
      <c r="JQL40" s="424"/>
      <c r="JQM40" s="426"/>
      <c r="JQN40" s="424"/>
      <c r="JQO40" s="426"/>
      <c r="JQP40" s="424"/>
      <c r="JQQ40" s="426"/>
      <c r="JQR40" s="424"/>
      <c r="JQS40" s="426"/>
      <c r="JQT40" s="424"/>
      <c r="JQU40" s="426"/>
      <c r="JQV40" s="424"/>
      <c r="JQW40" s="426"/>
      <c r="JQX40" s="424"/>
      <c r="JQY40" s="426"/>
      <c r="JQZ40" s="424"/>
      <c r="JRA40" s="426"/>
      <c r="JRB40" s="424"/>
      <c r="JRC40" s="426"/>
      <c r="JRD40" s="424"/>
      <c r="JRE40" s="426"/>
      <c r="JRF40" s="424"/>
      <c r="JRG40" s="426"/>
      <c r="JRH40" s="424"/>
      <c r="JRI40" s="426"/>
      <c r="JRJ40" s="424"/>
      <c r="JRK40" s="426"/>
      <c r="JRL40" s="424"/>
      <c r="JRM40" s="426"/>
      <c r="JRN40" s="424"/>
      <c r="JRO40" s="426"/>
      <c r="JRP40" s="424"/>
      <c r="JRQ40" s="426"/>
      <c r="JRR40" s="424"/>
      <c r="JRS40" s="426"/>
      <c r="JRT40" s="424"/>
      <c r="JRU40" s="426"/>
      <c r="JRV40" s="424"/>
      <c r="JRW40" s="426"/>
      <c r="JRX40" s="424"/>
      <c r="JRY40" s="426"/>
      <c r="JRZ40" s="424"/>
      <c r="JSA40" s="426"/>
      <c r="JSB40" s="424"/>
      <c r="JSC40" s="426"/>
      <c r="JSD40" s="424"/>
      <c r="JSE40" s="426"/>
      <c r="JSF40" s="424"/>
      <c r="JSG40" s="426"/>
      <c r="JSH40" s="424"/>
      <c r="JSI40" s="426"/>
      <c r="JSJ40" s="424"/>
      <c r="JSK40" s="426"/>
      <c r="JSL40" s="424"/>
      <c r="JSM40" s="426"/>
      <c r="JSN40" s="424"/>
      <c r="JSO40" s="426"/>
      <c r="JSP40" s="424"/>
      <c r="JSQ40" s="426"/>
      <c r="JSR40" s="424"/>
      <c r="JSS40" s="426"/>
      <c r="JST40" s="424"/>
      <c r="JSU40" s="426"/>
      <c r="JSV40" s="424"/>
      <c r="JSW40" s="426"/>
      <c r="JSX40" s="424"/>
      <c r="JSY40" s="426"/>
      <c r="JSZ40" s="424"/>
      <c r="JTA40" s="426"/>
      <c r="JTB40" s="424"/>
      <c r="JTC40" s="426"/>
      <c r="JTD40" s="424"/>
      <c r="JTE40" s="426"/>
      <c r="JTF40" s="424"/>
      <c r="JTG40" s="426"/>
      <c r="JTH40" s="424"/>
      <c r="JTI40" s="426"/>
      <c r="JTJ40" s="424"/>
      <c r="JTK40" s="426"/>
      <c r="JTL40" s="424"/>
      <c r="JTM40" s="426"/>
      <c r="JTN40" s="424"/>
      <c r="JTO40" s="426"/>
      <c r="JTP40" s="424"/>
      <c r="JTQ40" s="426"/>
      <c r="JTR40" s="424"/>
      <c r="JTS40" s="426"/>
      <c r="JTT40" s="424"/>
      <c r="JTU40" s="426"/>
      <c r="JTV40" s="424"/>
      <c r="JTW40" s="426"/>
      <c r="JTX40" s="424"/>
      <c r="JTY40" s="426"/>
      <c r="JTZ40" s="424"/>
      <c r="JUA40" s="426"/>
      <c r="JUB40" s="424"/>
      <c r="JUC40" s="426"/>
      <c r="JUD40" s="424"/>
      <c r="JUE40" s="426"/>
      <c r="JUF40" s="424"/>
      <c r="JUG40" s="426"/>
      <c r="JUH40" s="424"/>
      <c r="JUI40" s="426"/>
      <c r="JUJ40" s="424"/>
      <c r="JUK40" s="426"/>
      <c r="JUL40" s="424"/>
      <c r="JUM40" s="426"/>
      <c r="JUN40" s="424"/>
      <c r="JUO40" s="426"/>
      <c r="JUP40" s="424"/>
      <c r="JUQ40" s="426"/>
      <c r="JUR40" s="424"/>
      <c r="JUS40" s="426"/>
      <c r="JUT40" s="424"/>
      <c r="JUU40" s="426"/>
      <c r="JUV40" s="424"/>
      <c r="JUW40" s="426"/>
      <c r="JUX40" s="424"/>
      <c r="JUY40" s="426"/>
      <c r="JUZ40" s="424"/>
      <c r="JVA40" s="426"/>
      <c r="JVB40" s="424"/>
      <c r="JVC40" s="426"/>
      <c r="JVD40" s="424"/>
      <c r="JVE40" s="426"/>
      <c r="JVF40" s="424"/>
      <c r="JVG40" s="426"/>
      <c r="JVH40" s="424"/>
      <c r="JVI40" s="426"/>
      <c r="JVJ40" s="424"/>
      <c r="JVK40" s="426"/>
      <c r="JVL40" s="424"/>
      <c r="JVM40" s="426"/>
      <c r="JVN40" s="424"/>
      <c r="JVO40" s="426"/>
      <c r="JVP40" s="424"/>
      <c r="JVQ40" s="426"/>
      <c r="JVR40" s="424"/>
      <c r="JVS40" s="426"/>
      <c r="JVT40" s="424"/>
      <c r="JVU40" s="426"/>
      <c r="JVV40" s="424"/>
      <c r="JVW40" s="426"/>
      <c r="JVX40" s="424"/>
      <c r="JVY40" s="426"/>
      <c r="JVZ40" s="424"/>
      <c r="JWA40" s="426"/>
      <c r="JWB40" s="424"/>
      <c r="JWC40" s="426"/>
      <c r="JWD40" s="424"/>
      <c r="JWE40" s="426"/>
      <c r="JWF40" s="424"/>
      <c r="JWG40" s="426"/>
      <c r="JWH40" s="424"/>
      <c r="JWI40" s="426"/>
      <c r="JWJ40" s="424"/>
      <c r="JWK40" s="426"/>
      <c r="JWL40" s="424"/>
      <c r="JWM40" s="426"/>
      <c r="JWN40" s="424"/>
      <c r="JWO40" s="426"/>
      <c r="JWP40" s="424"/>
      <c r="JWQ40" s="426"/>
      <c r="JWR40" s="424"/>
      <c r="JWS40" s="426"/>
      <c r="JWT40" s="424"/>
      <c r="JWU40" s="426"/>
      <c r="JWV40" s="424"/>
      <c r="JWW40" s="426"/>
      <c r="JWX40" s="424"/>
      <c r="JWY40" s="426"/>
      <c r="JWZ40" s="424"/>
      <c r="JXA40" s="426"/>
      <c r="JXB40" s="424"/>
      <c r="JXC40" s="426"/>
      <c r="JXD40" s="424"/>
      <c r="JXE40" s="426"/>
      <c r="JXF40" s="424"/>
      <c r="JXG40" s="426"/>
      <c r="JXH40" s="424"/>
      <c r="JXI40" s="426"/>
      <c r="JXJ40" s="424"/>
      <c r="JXK40" s="426"/>
      <c r="JXL40" s="424"/>
      <c r="JXM40" s="426"/>
      <c r="JXN40" s="424"/>
      <c r="JXO40" s="426"/>
      <c r="JXP40" s="424"/>
      <c r="JXQ40" s="426"/>
      <c r="JXR40" s="424"/>
      <c r="JXS40" s="426"/>
      <c r="JXT40" s="424"/>
      <c r="JXU40" s="426"/>
      <c r="JXV40" s="424"/>
      <c r="JXW40" s="426"/>
      <c r="JXX40" s="424"/>
      <c r="JXY40" s="426"/>
      <c r="JXZ40" s="424"/>
      <c r="JYA40" s="426"/>
      <c r="JYB40" s="424"/>
      <c r="JYC40" s="426"/>
      <c r="JYD40" s="424"/>
      <c r="JYE40" s="426"/>
      <c r="JYF40" s="424"/>
      <c r="JYG40" s="426"/>
      <c r="JYH40" s="424"/>
      <c r="JYI40" s="426"/>
      <c r="JYJ40" s="424"/>
      <c r="JYK40" s="426"/>
      <c r="JYL40" s="424"/>
      <c r="JYM40" s="426"/>
      <c r="JYN40" s="424"/>
      <c r="JYO40" s="426"/>
      <c r="JYP40" s="424"/>
      <c r="JYQ40" s="426"/>
      <c r="JYR40" s="424"/>
      <c r="JYS40" s="426"/>
      <c r="JYT40" s="424"/>
      <c r="JYU40" s="426"/>
      <c r="JYV40" s="424"/>
      <c r="JYW40" s="426"/>
      <c r="JYX40" s="424"/>
      <c r="JYY40" s="426"/>
      <c r="JYZ40" s="424"/>
      <c r="JZA40" s="426"/>
      <c r="JZB40" s="424"/>
      <c r="JZC40" s="426"/>
      <c r="JZD40" s="424"/>
      <c r="JZE40" s="426"/>
      <c r="JZF40" s="424"/>
      <c r="JZG40" s="426"/>
      <c r="JZH40" s="424"/>
      <c r="JZI40" s="426"/>
      <c r="JZJ40" s="424"/>
      <c r="JZK40" s="426"/>
      <c r="JZL40" s="424"/>
      <c r="JZM40" s="426"/>
      <c r="JZN40" s="424"/>
      <c r="JZO40" s="426"/>
      <c r="JZP40" s="424"/>
      <c r="JZQ40" s="426"/>
      <c r="JZR40" s="424"/>
      <c r="JZS40" s="426"/>
      <c r="JZT40" s="424"/>
      <c r="JZU40" s="426"/>
      <c r="JZV40" s="424"/>
      <c r="JZW40" s="426"/>
      <c r="JZX40" s="424"/>
      <c r="JZY40" s="426"/>
      <c r="JZZ40" s="424"/>
      <c r="KAA40" s="426"/>
      <c r="KAB40" s="424"/>
      <c r="KAC40" s="426"/>
      <c r="KAD40" s="424"/>
      <c r="KAE40" s="426"/>
      <c r="KAF40" s="424"/>
      <c r="KAG40" s="426"/>
      <c r="KAH40" s="424"/>
      <c r="KAI40" s="426"/>
      <c r="KAJ40" s="424"/>
      <c r="KAK40" s="426"/>
      <c r="KAL40" s="424"/>
      <c r="KAM40" s="426"/>
      <c r="KAN40" s="424"/>
      <c r="KAO40" s="426"/>
      <c r="KAP40" s="424"/>
      <c r="KAQ40" s="426"/>
      <c r="KAR40" s="424"/>
      <c r="KAS40" s="426"/>
      <c r="KAT40" s="424"/>
      <c r="KAU40" s="426"/>
      <c r="KAV40" s="424"/>
      <c r="KAW40" s="426"/>
      <c r="KAX40" s="424"/>
      <c r="KAY40" s="426"/>
      <c r="KAZ40" s="424"/>
      <c r="KBA40" s="426"/>
      <c r="KBB40" s="424"/>
      <c r="KBC40" s="426"/>
      <c r="KBD40" s="424"/>
      <c r="KBE40" s="426"/>
      <c r="KBF40" s="424"/>
      <c r="KBG40" s="426"/>
      <c r="KBH40" s="424"/>
      <c r="KBI40" s="426"/>
      <c r="KBJ40" s="424"/>
      <c r="KBK40" s="426"/>
      <c r="KBL40" s="424"/>
      <c r="KBM40" s="426"/>
      <c r="KBN40" s="424"/>
      <c r="KBO40" s="426"/>
      <c r="KBP40" s="424"/>
      <c r="KBQ40" s="426"/>
      <c r="KBR40" s="424"/>
      <c r="KBS40" s="426"/>
      <c r="KBT40" s="424"/>
      <c r="KBU40" s="426"/>
      <c r="KBV40" s="424"/>
      <c r="KBW40" s="426"/>
      <c r="KBX40" s="424"/>
      <c r="KBY40" s="426"/>
      <c r="KBZ40" s="424"/>
      <c r="KCA40" s="426"/>
      <c r="KCB40" s="424"/>
      <c r="KCC40" s="426"/>
      <c r="KCD40" s="424"/>
      <c r="KCE40" s="426"/>
      <c r="KCF40" s="424"/>
      <c r="KCG40" s="426"/>
      <c r="KCH40" s="424"/>
      <c r="KCI40" s="426"/>
      <c r="KCJ40" s="424"/>
      <c r="KCK40" s="426"/>
      <c r="KCL40" s="424"/>
      <c r="KCM40" s="426"/>
      <c r="KCN40" s="424"/>
      <c r="KCO40" s="426"/>
      <c r="KCP40" s="424"/>
      <c r="KCQ40" s="426"/>
      <c r="KCR40" s="424"/>
      <c r="KCS40" s="426"/>
      <c r="KCT40" s="424"/>
      <c r="KCU40" s="426"/>
      <c r="KCV40" s="424"/>
      <c r="KCW40" s="426"/>
      <c r="KCX40" s="424"/>
      <c r="KCY40" s="426"/>
      <c r="KCZ40" s="424"/>
      <c r="KDA40" s="426"/>
      <c r="KDB40" s="424"/>
      <c r="KDC40" s="426"/>
      <c r="KDD40" s="424"/>
      <c r="KDE40" s="426"/>
      <c r="KDF40" s="424"/>
      <c r="KDG40" s="426"/>
      <c r="KDH40" s="424"/>
      <c r="KDI40" s="426"/>
      <c r="KDJ40" s="424"/>
      <c r="KDK40" s="426"/>
      <c r="KDL40" s="424"/>
      <c r="KDM40" s="426"/>
      <c r="KDN40" s="424"/>
      <c r="KDO40" s="426"/>
      <c r="KDP40" s="424"/>
      <c r="KDQ40" s="426"/>
      <c r="KDR40" s="424"/>
      <c r="KDS40" s="426"/>
      <c r="KDT40" s="424"/>
      <c r="KDU40" s="426"/>
      <c r="KDV40" s="424"/>
      <c r="KDW40" s="426"/>
      <c r="KDX40" s="424"/>
      <c r="KDY40" s="426"/>
      <c r="KDZ40" s="424"/>
      <c r="KEA40" s="426"/>
      <c r="KEB40" s="424"/>
      <c r="KEC40" s="426"/>
      <c r="KED40" s="424"/>
      <c r="KEE40" s="426"/>
      <c r="KEF40" s="424"/>
      <c r="KEG40" s="426"/>
      <c r="KEH40" s="424"/>
      <c r="KEI40" s="426"/>
      <c r="KEJ40" s="424"/>
      <c r="KEK40" s="426"/>
      <c r="KEL40" s="424"/>
      <c r="KEM40" s="426"/>
      <c r="KEN40" s="424"/>
      <c r="KEO40" s="426"/>
      <c r="KEP40" s="424"/>
      <c r="KEQ40" s="426"/>
      <c r="KER40" s="424"/>
      <c r="KES40" s="426"/>
      <c r="KET40" s="424"/>
      <c r="KEU40" s="426"/>
      <c r="KEV40" s="424"/>
      <c r="KEW40" s="426"/>
      <c r="KEX40" s="424"/>
      <c r="KEY40" s="426"/>
      <c r="KEZ40" s="424"/>
      <c r="KFA40" s="426"/>
      <c r="KFB40" s="424"/>
      <c r="KFC40" s="426"/>
      <c r="KFD40" s="424"/>
      <c r="KFE40" s="426"/>
      <c r="KFF40" s="424"/>
      <c r="KFG40" s="426"/>
      <c r="KFH40" s="424"/>
      <c r="KFI40" s="426"/>
      <c r="KFJ40" s="424"/>
      <c r="KFK40" s="426"/>
      <c r="KFL40" s="424"/>
      <c r="KFM40" s="426"/>
      <c r="KFN40" s="424"/>
      <c r="KFO40" s="426"/>
      <c r="KFP40" s="424"/>
      <c r="KFQ40" s="426"/>
      <c r="KFR40" s="424"/>
      <c r="KFS40" s="426"/>
      <c r="KFT40" s="424"/>
      <c r="KFU40" s="426"/>
      <c r="KFV40" s="424"/>
      <c r="KFW40" s="426"/>
      <c r="KFX40" s="424"/>
      <c r="KFY40" s="426"/>
      <c r="KFZ40" s="424"/>
      <c r="KGA40" s="426"/>
      <c r="KGB40" s="424"/>
      <c r="KGC40" s="426"/>
      <c r="KGD40" s="424"/>
      <c r="KGE40" s="426"/>
      <c r="KGF40" s="424"/>
      <c r="KGG40" s="426"/>
      <c r="KGH40" s="424"/>
      <c r="KGI40" s="426"/>
      <c r="KGJ40" s="424"/>
      <c r="KGK40" s="426"/>
      <c r="KGL40" s="424"/>
      <c r="KGM40" s="426"/>
      <c r="KGN40" s="424"/>
      <c r="KGO40" s="426"/>
      <c r="KGP40" s="424"/>
      <c r="KGQ40" s="426"/>
      <c r="KGR40" s="424"/>
      <c r="KGS40" s="426"/>
      <c r="KGT40" s="424"/>
      <c r="KGU40" s="426"/>
      <c r="KGV40" s="424"/>
      <c r="KGW40" s="426"/>
      <c r="KGX40" s="424"/>
      <c r="KGY40" s="426"/>
      <c r="KGZ40" s="424"/>
      <c r="KHA40" s="426"/>
      <c r="KHB40" s="424"/>
      <c r="KHC40" s="426"/>
      <c r="KHD40" s="424"/>
      <c r="KHE40" s="426"/>
      <c r="KHF40" s="424"/>
      <c r="KHG40" s="426"/>
      <c r="KHH40" s="424"/>
      <c r="KHI40" s="426"/>
      <c r="KHJ40" s="424"/>
      <c r="KHK40" s="426"/>
      <c r="KHL40" s="424"/>
      <c r="KHM40" s="426"/>
      <c r="KHN40" s="424"/>
      <c r="KHO40" s="426"/>
      <c r="KHP40" s="424"/>
      <c r="KHQ40" s="426"/>
      <c r="KHR40" s="424"/>
      <c r="KHS40" s="426"/>
      <c r="KHT40" s="424"/>
      <c r="KHU40" s="426"/>
      <c r="KHV40" s="424"/>
      <c r="KHW40" s="426"/>
      <c r="KHX40" s="424"/>
      <c r="KHY40" s="426"/>
      <c r="KHZ40" s="424"/>
      <c r="KIA40" s="426"/>
      <c r="KIB40" s="424"/>
      <c r="KIC40" s="426"/>
      <c r="KID40" s="424"/>
      <c r="KIE40" s="426"/>
      <c r="KIF40" s="424"/>
      <c r="KIG40" s="426"/>
      <c r="KIH40" s="424"/>
      <c r="KII40" s="426"/>
      <c r="KIJ40" s="424"/>
      <c r="KIK40" s="426"/>
      <c r="KIL40" s="424"/>
      <c r="KIM40" s="426"/>
      <c r="KIN40" s="424"/>
      <c r="KIO40" s="426"/>
      <c r="KIP40" s="424"/>
      <c r="KIQ40" s="426"/>
      <c r="KIR40" s="424"/>
      <c r="KIS40" s="426"/>
      <c r="KIT40" s="424"/>
      <c r="KIU40" s="426"/>
      <c r="KIV40" s="424"/>
      <c r="KIW40" s="426"/>
      <c r="KIX40" s="424"/>
      <c r="KIY40" s="426"/>
      <c r="KIZ40" s="424"/>
      <c r="KJA40" s="426"/>
      <c r="KJB40" s="424"/>
      <c r="KJC40" s="426"/>
      <c r="KJD40" s="424"/>
      <c r="KJE40" s="426"/>
      <c r="KJF40" s="424"/>
      <c r="KJG40" s="426"/>
      <c r="KJH40" s="424"/>
      <c r="KJI40" s="426"/>
      <c r="KJJ40" s="424"/>
      <c r="KJK40" s="426"/>
      <c r="KJL40" s="424"/>
      <c r="KJM40" s="426"/>
      <c r="KJN40" s="424"/>
      <c r="KJO40" s="426"/>
      <c r="KJP40" s="424"/>
      <c r="KJQ40" s="426"/>
      <c r="KJR40" s="424"/>
      <c r="KJS40" s="426"/>
      <c r="KJT40" s="424"/>
      <c r="KJU40" s="426"/>
      <c r="KJV40" s="424"/>
      <c r="KJW40" s="426"/>
      <c r="KJX40" s="424"/>
      <c r="KJY40" s="426"/>
      <c r="KJZ40" s="424"/>
      <c r="KKA40" s="426"/>
      <c r="KKB40" s="424"/>
      <c r="KKC40" s="426"/>
      <c r="KKD40" s="424"/>
      <c r="KKE40" s="426"/>
      <c r="KKF40" s="424"/>
      <c r="KKG40" s="426"/>
      <c r="KKH40" s="424"/>
      <c r="KKI40" s="426"/>
      <c r="KKJ40" s="424"/>
      <c r="KKK40" s="426"/>
      <c r="KKL40" s="424"/>
      <c r="KKM40" s="426"/>
      <c r="KKN40" s="424"/>
      <c r="KKO40" s="426"/>
      <c r="KKP40" s="424"/>
      <c r="KKQ40" s="426"/>
      <c r="KKR40" s="424"/>
      <c r="KKS40" s="426"/>
      <c r="KKT40" s="424"/>
      <c r="KKU40" s="426"/>
      <c r="KKV40" s="424"/>
      <c r="KKW40" s="426"/>
      <c r="KKX40" s="424"/>
      <c r="KKY40" s="426"/>
      <c r="KKZ40" s="424"/>
      <c r="KLA40" s="426"/>
      <c r="KLB40" s="424"/>
      <c r="KLC40" s="426"/>
      <c r="KLD40" s="424"/>
      <c r="KLE40" s="426"/>
      <c r="KLF40" s="424"/>
      <c r="KLG40" s="426"/>
      <c r="KLH40" s="424"/>
      <c r="KLI40" s="426"/>
      <c r="KLJ40" s="424"/>
      <c r="KLK40" s="426"/>
      <c r="KLL40" s="424"/>
      <c r="KLM40" s="426"/>
      <c r="KLN40" s="424"/>
      <c r="KLO40" s="426"/>
      <c r="KLP40" s="424"/>
      <c r="KLQ40" s="426"/>
      <c r="KLR40" s="424"/>
      <c r="KLS40" s="426"/>
      <c r="KLT40" s="424"/>
      <c r="KLU40" s="426"/>
      <c r="KLV40" s="424"/>
      <c r="KLW40" s="426"/>
      <c r="KLX40" s="424"/>
      <c r="KLY40" s="426"/>
      <c r="KLZ40" s="424"/>
      <c r="KMA40" s="426"/>
      <c r="KMB40" s="424"/>
      <c r="KMC40" s="426"/>
      <c r="KMD40" s="424"/>
      <c r="KME40" s="426"/>
      <c r="KMF40" s="424"/>
      <c r="KMG40" s="426"/>
      <c r="KMH40" s="424"/>
      <c r="KMI40" s="426"/>
      <c r="KMJ40" s="424"/>
      <c r="KMK40" s="426"/>
      <c r="KML40" s="424"/>
      <c r="KMM40" s="426"/>
      <c r="KMN40" s="424"/>
      <c r="KMO40" s="426"/>
      <c r="KMP40" s="424"/>
      <c r="KMQ40" s="426"/>
      <c r="KMR40" s="424"/>
      <c r="KMS40" s="426"/>
      <c r="KMT40" s="424"/>
      <c r="KMU40" s="426"/>
      <c r="KMV40" s="424"/>
      <c r="KMW40" s="426"/>
      <c r="KMX40" s="424"/>
      <c r="KMY40" s="426"/>
      <c r="KMZ40" s="424"/>
      <c r="KNA40" s="426"/>
      <c r="KNB40" s="424"/>
      <c r="KNC40" s="426"/>
      <c r="KND40" s="424"/>
      <c r="KNE40" s="426"/>
      <c r="KNF40" s="424"/>
      <c r="KNG40" s="426"/>
      <c r="KNH40" s="424"/>
      <c r="KNI40" s="426"/>
      <c r="KNJ40" s="424"/>
      <c r="KNK40" s="426"/>
      <c r="KNL40" s="424"/>
      <c r="KNM40" s="426"/>
      <c r="KNN40" s="424"/>
      <c r="KNO40" s="426"/>
      <c r="KNP40" s="424"/>
      <c r="KNQ40" s="426"/>
      <c r="KNR40" s="424"/>
      <c r="KNS40" s="426"/>
      <c r="KNT40" s="424"/>
      <c r="KNU40" s="426"/>
      <c r="KNV40" s="424"/>
      <c r="KNW40" s="426"/>
      <c r="KNX40" s="424"/>
      <c r="KNY40" s="426"/>
      <c r="KNZ40" s="424"/>
      <c r="KOA40" s="426"/>
      <c r="KOB40" s="424"/>
      <c r="KOC40" s="426"/>
      <c r="KOD40" s="424"/>
      <c r="KOE40" s="426"/>
      <c r="KOF40" s="424"/>
      <c r="KOG40" s="426"/>
      <c r="KOH40" s="424"/>
      <c r="KOI40" s="426"/>
      <c r="KOJ40" s="424"/>
      <c r="KOK40" s="426"/>
      <c r="KOL40" s="424"/>
      <c r="KOM40" s="426"/>
      <c r="KON40" s="424"/>
      <c r="KOO40" s="426"/>
      <c r="KOP40" s="424"/>
      <c r="KOQ40" s="426"/>
      <c r="KOR40" s="424"/>
      <c r="KOS40" s="426"/>
      <c r="KOT40" s="424"/>
      <c r="KOU40" s="426"/>
      <c r="KOV40" s="424"/>
      <c r="KOW40" s="426"/>
      <c r="KOX40" s="424"/>
      <c r="KOY40" s="426"/>
      <c r="KOZ40" s="424"/>
      <c r="KPA40" s="426"/>
      <c r="KPB40" s="424"/>
      <c r="KPC40" s="426"/>
      <c r="KPD40" s="424"/>
      <c r="KPE40" s="426"/>
      <c r="KPF40" s="424"/>
      <c r="KPG40" s="426"/>
      <c r="KPH40" s="424"/>
      <c r="KPI40" s="426"/>
      <c r="KPJ40" s="424"/>
      <c r="KPK40" s="426"/>
      <c r="KPL40" s="424"/>
      <c r="KPM40" s="426"/>
      <c r="KPN40" s="424"/>
      <c r="KPO40" s="426"/>
      <c r="KPP40" s="424"/>
      <c r="KPQ40" s="426"/>
      <c r="KPR40" s="424"/>
      <c r="KPS40" s="426"/>
      <c r="KPT40" s="424"/>
      <c r="KPU40" s="426"/>
      <c r="KPV40" s="424"/>
      <c r="KPW40" s="426"/>
      <c r="KPX40" s="424"/>
      <c r="KPY40" s="426"/>
      <c r="KPZ40" s="424"/>
      <c r="KQA40" s="426"/>
      <c r="KQB40" s="424"/>
      <c r="KQC40" s="426"/>
      <c r="KQD40" s="424"/>
      <c r="KQE40" s="426"/>
      <c r="KQF40" s="424"/>
      <c r="KQG40" s="426"/>
      <c r="KQH40" s="424"/>
      <c r="KQI40" s="426"/>
      <c r="KQJ40" s="424"/>
      <c r="KQK40" s="426"/>
      <c r="KQL40" s="424"/>
      <c r="KQM40" s="426"/>
      <c r="KQN40" s="424"/>
      <c r="KQO40" s="426"/>
      <c r="KQP40" s="424"/>
      <c r="KQQ40" s="426"/>
      <c r="KQR40" s="424"/>
      <c r="KQS40" s="426"/>
      <c r="KQT40" s="424"/>
      <c r="KQU40" s="426"/>
      <c r="KQV40" s="424"/>
      <c r="KQW40" s="426"/>
      <c r="KQX40" s="424"/>
      <c r="KQY40" s="426"/>
      <c r="KQZ40" s="424"/>
      <c r="KRA40" s="426"/>
      <c r="KRB40" s="424"/>
      <c r="KRC40" s="426"/>
      <c r="KRD40" s="424"/>
      <c r="KRE40" s="426"/>
      <c r="KRF40" s="424"/>
      <c r="KRG40" s="426"/>
      <c r="KRH40" s="424"/>
      <c r="KRI40" s="426"/>
      <c r="KRJ40" s="424"/>
      <c r="KRK40" s="426"/>
      <c r="KRL40" s="424"/>
      <c r="KRM40" s="426"/>
      <c r="KRN40" s="424"/>
      <c r="KRO40" s="426"/>
      <c r="KRP40" s="424"/>
      <c r="KRQ40" s="426"/>
      <c r="KRR40" s="424"/>
      <c r="KRS40" s="426"/>
      <c r="KRT40" s="424"/>
      <c r="KRU40" s="426"/>
      <c r="KRV40" s="424"/>
      <c r="KRW40" s="426"/>
      <c r="KRX40" s="424"/>
      <c r="KRY40" s="426"/>
      <c r="KRZ40" s="424"/>
      <c r="KSA40" s="426"/>
      <c r="KSB40" s="424"/>
      <c r="KSC40" s="426"/>
      <c r="KSD40" s="424"/>
      <c r="KSE40" s="426"/>
      <c r="KSF40" s="424"/>
      <c r="KSG40" s="426"/>
      <c r="KSH40" s="424"/>
      <c r="KSI40" s="426"/>
      <c r="KSJ40" s="424"/>
      <c r="KSK40" s="426"/>
      <c r="KSL40" s="424"/>
      <c r="KSM40" s="426"/>
      <c r="KSN40" s="424"/>
      <c r="KSO40" s="426"/>
      <c r="KSP40" s="424"/>
      <c r="KSQ40" s="426"/>
      <c r="KSR40" s="424"/>
      <c r="KSS40" s="426"/>
      <c r="KST40" s="424"/>
      <c r="KSU40" s="426"/>
      <c r="KSV40" s="424"/>
      <c r="KSW40" s="426"/>
      <c r="KSX40" s="424"/>
      <c r="KSY40" s="426"/>
      <c r="KSZ40" s="424"/>
      <c r="KTA40" s="426"/>
      <c r="KTB40" s="424"/>
      <c r="KTC40" s="426"/>
      <c r="KTD40" s="424"/>
      <c r="KTE40" s="426"/>
      <c r="KTF40" s="424"/>
      <c r="KTG40" s="426"/>
      <c r="KTH40" s="424"/>
      <c r="KTI40" s="426"/>
      <c r="KTJ40" s="424"/>
      <c r="KTK40" s="426"/>
      <c r="KTL40" s="424"/>
      <c r="KTM40" s="426"/>
      <c r="KTN40" s="424"/>
      <c r="KTO40" s="426"/>
      <c r="KTP40" s="424"/>
      <c r="KTQ40" s="426"/>
      <c r="KTR40" s="424"/>
      <c r="KTS40" s="426"/>
      <c r="KTT40" s="424"/>
      <c r="KTU40" s="426"/>
      <c r="KTV40" s="424"/>
      <c r="KTW40" s="426"/>
      <c r="KTX40" s="424"/>
      <c r="KTY40" s="426"/>
      <c r="KTZ40" s="424"/>
      <c r="KUA40" s="426"/>
      <c r="KUB40" s="424"/>
      <c r="KUC40" s="426"/>
      <c r="KUD40" s="424"/>
      <c r="KUE40" s="426"/>
      <c r="KUF40" s="424"/>
      <c r="KUG40" s="426"/>
      <c r="KUH40" s="424"/>
      <c r="KUI40" s="426"/>
      <c r="KUJ40" s="424"/>
      <c r="KUK40" s="426"/>
      <c r="KUL40" s="424"/>
      <c r="KUM40" s="426"/>
      <c r="KUN40" s="424"/>
      <c r="KUO40" s="426"/>
      <c r="KUP40" s="424"/>
      <c r="KUQ40" s="426"/>
      <c r="KUR40" s="424"/>
      <c r="KUS40" s="426"/>
      <c r="KUT40" s="424"/>
      <c r="KUU40" s="426"/>
      <c r="KUV40" s="424"/>
      <c r="KUW40" s="426"/>
      <c r="KUX40" s="424"/>
      <c r="KUY40" s="426"/>
      <c r="KUZ40" s="424"/>
      <c r="KVA40" s="426"/>
      <c r="KVB40" s="424"/>
      <c r="KVC40" s="426"/>
      <c r="KVD40" s="424"/>
      <c r="KVE40" s="426"/>
      <c r="KVF40" s="424"/>
      <c r="KVG40" s="426"/>
      <c r="KVH40" s="424"/>
      <c r="KVI40" s="426"/>
      <c r="KVJ40" s="424"/>
      <c r="KVK40" s="426"/>
      <c r="KVL40" s="424"/>
      <c r="KVM40" s="426"/>
      <c r="KVN40" s="424"/>
      <c r="KVO40" s="426"/>
      <c r="KVP40" s="424"/>
      <c r="KVQ40" s="426"/>
      <c r="KVR40" s="424"/>
      <c r="KVS40" s="426"/>
      <c r="KVT40" s="424"/>
      <c r="KVU40" s="426"/>
      <c r="KVV40" s="424"/>
      <c r="KVW40" s="426"/>
      <c r="KVX40" s="424"/>
      <c r="KVY40" s="426"/>
      <c r="KVZ40" s="424"/>
      <c r="KWA40" s="426"/>
      <c r="KWB40" s="424"/>
      <c r="KWC40" s="426"/>
      <c r="KWD40" s="424"/>
      <c r="KWE40" s="426"/>
      <c r="KWF40" s="424"/>
      <c r="KWG40" s="426"/>
      <c r="KWH40" s="424"/>
      <c r="KWI40" s="426"/>
      <c r="KWJ40" s="424"/>
      <c r="KWK40" s="426"/>
      <c r="KWL40" s="424"/>
      <c r="KWM40" s="426"/>
      <c r="KWN40" s="424"/>
      <c r="KWO40" s="426"/>
      <c r="KWP40" s="424"/>
      <c r="KWQ40" s="426"/>
      <c r="KWR40" s="424"/>
      <c r="KWS40" s="426"/>
      <c r="KWT40" s="424"/>
      <c r="KWU40" s="426"/>
      <c r="KWV40" s="424"/>
      <c r="KWW40" s="426"/>
      <c r="KWX40" s="424"/>
      <c r="KWY40" s="426"/>
      <c r="KWZ40" s="424"/>
      <c r="KXA40" s="426"/>
      <c r="KXB40" s="424"/>
      <c r="KXC40" s="426"/>
      <c r="KXD40" s="424"/>
      <c r="KXE40" s="426"/>
      <c r="KXF40" s="424"/>
      <c r="KXG40" s="426"/>
      <c r="KXH40" s="424"/>
      <c r="KXI40" s="426"/>
      <c r="KXJ40" s="424"/>
      <c r="KXK40" s="426"/>
      <c r="KXL40" s="424"/>
      <c r="KXM40" s="426"/>
      <c r="KXN40" s="424"/>
      <c r="KXO40" s="426"/>
      <c r="KXP40" s="424"/>
      <c r="KXQ40" s="426"/>
      <c r="KXR40" s="424"/>
      <c r="KXS40" s="426"/>
      <c r="KXT40" s="424"/>
      <c r="KXU40" s="426"/>
      <c r="KXV40" s="424"/>
      <c r="KXW40" s="426"/>
      <c r="KXX40" s="424"/>
      <c r="KXY40" s="426"/>
      <c r="KXZ40" s="424"/>
      <c r="KYA40" s="426"/>
      <c r="KYB40" s="424"/>
      <c r="KYC40" s="426"/>
      <c r="KYD40" s="424"/>
      <c r="KYE40" s="426"/>
      <c r="KYF40" s="424"/>
      <c r="KYG40" s="426"/>
      <c r="KYH40" s="424"/>
      <c r="KYI40" s="426"/>
      <c r="KYJ40" s="424"/>
      <c r="KYK40" s="426"/>
      <c r="KYL40" s="424"/>
      <c r="KYM40" s="426"/>
      <c r="KYN40" s="424"/>
      <c r="KYO40" s="426"/>
      <c r="KYP40" s="424"/>
      <c r="KYQ40" s="426"/>
      <c r="KYR40" s="424"/>
      <c r="KYS40" s="426"/>
      <c r="KYT40" s="424"/>
      <c r="KYU40" s="426"/>
      <c r="KYV40" s="424"/>
      <c r="KYW40" s="426"/>
      <c r="KYX40" s="424"/>
      <c r="KYY40" s="426"/>
      <c r="KYZ40" s="424"/>
      <c r="KZA40" s="426"/>
      <c r="KZB40" s="424"/>
      <c r="KZC40" s="426"/>
      <c r="KZD40" s="424"/>
      <c r="KZE40" s="426"/>
      <c r="KZF40" s="424"/>
      <c r="KZG40" s="426"/>
      <c r="KZH40" s="424"/>
      <c r="KZI40" s="426"/>
      <c r="KZJ40" s="424"/>
      <c r="KZK40" s="426"/>
      <c r="KZL40" s="424"/>
      <c r="KZM40" s="426"/>
      <c r="KZN40" s="424"/>
      <c r="KZO40" s="426"/>
      <c r="KZP40" s="424"/>
      <c r="KZQ40" s="426"/>
      <c r="KZR40" s="424"/>
      <c r="KZS40" s="426"/>
      <c r="KZT40" s="424"/>
      <c r="KZU40" s="426"/>
      <c r="KZV40" s="424"/>
      <c r="KZW40" s="426"/>
      <c r="KZX40" s="424"/>
      <c r="KZY40" s="426"/>
      <c r="KZZ40" s="424"/>
      <c r="LAA40" s="426"/>
      <c r="LAB40" s="424"/>
      <c r="LAC40" s="426"/>
      <c r="LAD40" s="424"/>
      <c r="LAE40" s="426"/>
      <c r="LAF40" s="424"/>
      <c r="LAG40" s="426"/>
      <c r="LAH40" s="424"/>
      <c r="LAI40" s="426"/>
      <c r="LAJ40" s="424"/>
      <c r="LAK40" s="426"/>
      <c r="LAL40" s="424"/>
      <c r="LAM40" s="426"/>
      <c r="LAN40" s="424"/>
      <c r="LAO40" s="426"/>
      <c r="LAP40" s="424"/>
      <c r="LAQ40" s="426"/>
      <c r="LAR40" s="424"/>
      <c r="LAS40" s="426"/>
      <c r="LAT40" s="424"/>
      <c r="LAU40" s="426"/>
      <c r="LAV40" s="424"/>
      <c r="LAW40" s="426"/>
      <c r="LAX40" s="424"/>
      <c r="LAY40" s="426"/>
      <c r="LAZ40" s="424"/>
      <c r="LBA40" s="426"/>
      <c r="LBB40" s="424"/>
      <c r="LBC40" s="426"/>
      <c r="LBD40" s="424"/>
      <c r="LBE40" s="426"/>
      <c r="LBF40" s="424"/>
      <c r="LBG40" s="426"/>
      <c r="LBH40" s="424"/>
      <c r="LBI40" s="426"/>
      <c r="LBJ40" s="424"/>
      <c r="LBK40" s="426"/>
      <c r="LBL40" s="424"/>
      <c r="LBM40" s="426"/>
      <c r="LBN40" s="424"/>
      <c r="LBO40" s="426"/>
      <c r="LBP40" s="424"/>
      <c r="LBQ40" s="426"/>
      <c r="LBR40" s="424"/>
      <c r="LBS40" s="426"/>
      <c r="LBT40" s="424"/>
      <c r="LBU40" s="426"/>
      <c r="LBV40" s="424"/>
      <c r="LBW40" s="426"/>
      <c r="LBX40" s="424"/>
      <c r="LBY40" s="426"/>
      <c r="LBZ40" s="424"/>
      <c r="LCA40" s="426"/>
      <c r="LCB40" s="424"/>
      <c r="LCC40" s="426"/>
      <c r="LCD40" s="424"/>
      <c r="LCE40" s="426"/>
      <c r="LCF40" s="424"/>
      <c r="LCG40" s="426"/>
      <c r="LCH40" s="424"/>
      <c r="LCI40" s="426"/>
      <c r="LCJ40" s="424"/>
      <c r="LCK40" s="426"/>
      <c r="LCL40" s="424"/>
      <c r="LCM40" s="426"/>
      <c r="LCN40" s="424"/>
      <c r="LCO40" s="426"/>
      <c r="LCP40" s="424"/>
      <c r="LCQ40" s="426"/>
      <c r="LCR40" s="424"/>
      <c r="LCS40" s="426"/>
      <c r="LCT40" s="424"/>
      <c r="LCU40" s="426"/>
      <c r="LCV40" s="424"/>
      <c r="LCW40" s="426"/>
      <c r="LCX40" s="424"/>
      <c r="LCY40" s="426"/>
      <c r="LCZ40" s="424"/>
      <c r="LDA40" s="426"/>
      <c r="LDB40" s="424"/>
      <c r="LDC40" s="426"/>
      <c r="LDD40" s="424"/>
      <c r="LDE40" s="426"/>
      <c r="LDF40" s="424"/>
      <c r="LDG40" s="426"/>
      <c r="LDH40" s="424"/>
      <c r="LDI40" s="426"/>
      <c r="LDJ40" s="424"/>
      <c r="LDK40" s="426"/>
      <c r="LDL40" s="424"/>
      <c r="LDM40" s="426"/>
      <c r="LDN40" s="424"/>
      <c r="LDO40" s="426"/>
      <c r="LDP40" s="424"/>
      <c r="LDQ40" s="426"/>
      <c r="LDR40" s="424"/>
      <c r="LDS40" s="426"/>
      <c r="LDT40" s="424"/>
      <c r="LDU40" s="426"/>
      <c r="LDV40" s="424"/>
      <c r="LDW40" s="426"/>
      <c r="LDX40" s="424"/>
      <c r="LDY40" s="426"/>
      <c r="LDZ40" s="424"/>
      <c r="LEA40" s="426"/>
      <c r="LEB40" s="424"/>
      <c r="LEC40" s="426"/>
      <c r="LED40" s="424"/>
      <c r="LEE40" s="426"/>
      <c r="LEF40" s="424"/>
      <c r="LEG40" s="426"/>
      <c r="LEH40" s="424"/>
      <c r="LEI40" s="426"/>
      <c r="LEJ40" s="424"/>
      <c r="LEK40" s="426"/>
      <c r="LEL40" s="424"/>
      <c r="LEM40" s="426"/>
      <c r="LEN40" s="424"/>
      <c r="LEO40" s="426"/>
      <c r="LEP40" s="424"/>
      <c r="LEQ40" s="426"/>
      <c r="LER40" s="424"/>
      <c r="LES40" s="426"/>
      <c r="LET40" s="424"/>
      <c r="LEU40" s="426"/>
      <c r="LEV40" s="424"/>
      <c r="LEW40" s="426"/>
      <c r="LEX40" s="424"/>
      <c r="LEY40" s="426"/>
      <c r="LEZ40" s="424"/>
      <c r="LFA40" s="426"/>
      <c r="LFB40" s="424"/>
      <c r="LFC40" s="426"/>
      <c r="LFD40" s="424"/>
      <c r="LFE40" s="426"/>
      <c r="LFF40" s="424"/>
      <c r="LFG40" s="426"/>
      <c r="LFH40" s="424"/>
      <c r="LFI40" s="426"/>
      <c r="LFJ40" s="424"/>
      <c r="LFK40" s="426"/>
      <c r="LFL40" s="424"/>
      <c r="LFM40" s="426"/>
      <c r="LFN40" s="424"/>
      <c r="LFO40" s="426"/>
      <c r="LFP40" s="424"/>
      <c r="LFQ40" s="426"/>
      <c r="LFR40" s="424"/>
      <c r="LFS40" s="426"/>
      <c r="LFT40" s="424"/>
      <c r="LFU40" s="426"/>
      <c r="LFV40" s="424"/>
      <c r="LFW40" s="426"/>
      <c r="LFX40" s="424"/>
      <c r="LFY40" s="426"/>
      <c r="LFZ40" s="424"/>
      <c r="LGA40" s="426"/>
      <c r="LGB40" s="424"/>
      <c r="LGC40" s="426"/>
      <c r="LGD40" s="424"/>
      <c r="LGE40" s="426"/>
      <c r="LGF40" s="424"/>
      <c r="LGG40" s="426"/>
      <c r="LGH40" s="424"/>
      <c r="LGI40" s="426"/>
      <c r="LGJ40" s="424"/>
      <c r="LGK40" s="426"/>
      <c r="LGL40" s="424"/>
      <c r="LGM40" s="426"/>
      <c r="LGN40" s="424"/>
      <c r="LGO40" s="426"/>
      <c r="LGP40" s="424"/>
      <c r="LGQ40" s="426"/>
      <c r="LGR40" s="424"/>
      <c r="LGS40" s="426"/>
      <c r="LGT40" s="424"/>
      <c r="LGU40" s="426"/>
      <c r="LGV40" s="424"/>
      <c r="LGW40" s="426"/>
      <c r="LGX40" s="424"/>
      <c r="LGY40" s="426"/>
      <c r="LGZ40" s="424"/>
      <c r="LHA40" s="426"/>
      <c r="LHB40" s="424"/>
      <c r="LHC40" s="426"/>
      <c r="LHD40" s="424"/>
      <c r="LHE40" s="426"/>
      <c r="LHF40" s="424"/>
      <c r="LHG40" s="426"/>
      <c r="LHH40" s="424"/>
      <c r="LHI40" s="426"/>
      <c r="LHJ40" s="424"/>
      <c r="LHK40" s="426"/>
      <c r="LHL40" s="424"/>
      <c r="LHM40" s="426"/>
      <c r="LHN40" s="424"/>
      <c r="LHO40" s="426"/>
      <c r="LHP40" s="424"/>
      <c r="LHQ40" s="426"/>
      <c r="LHR40" s="424"/>
      <c r="LHS40" s="426"/>
      <c r="LHT40" s="424"/>
      <c r="LHU40" s="426"/>
      <c r="LHV40" s="424"/>
      <c r="LHW40" s="426"/>
      <c r="LHX40" s="424"/>
      <c r="LHY40" s="426"/>
      <c r="LHZ40" s="424"/>
      <c r="LIA40" s="426"/>
      <c r="LIB40" s="424"/>
      <c r="LIC40" s="426"/>
      <c r="LID40" s="424"/>
      <c r="LIE40" s="426"/>
      <c r="LIF40" s="424"/>
      <c r="LIG40" s="426"/>
      <c r="LIH40" s="424"/>
      <c r="LII40" s="426"/>
      <c r="LIJ40" s="424"/>
      <c r="LIK40" s="426"/>
      <c r="LIL40" s="424"/>
      <c r="LIM40" s="426"/>
      <c r="LIN40" s="424"/>
      <c r="LIO40" s="426"/>
      <c r="LIP40" s="424"/>
      <c r="LIQ40" s="426"/>
      <c r="LIR40" s="424"/>
      <c r="LIS40" s="426"/>
      <c r="LIT40" s="424"/>
      <c r="LIU40" s="426"/>
      <c r="LIV40" s="424"/>
      <c r="LIW40" s="426"/>
      <c r="LIX40" s="424"/>
      <c r="LIY40" s="426"/>
      <c r="LIZ40" s="424"/>
      <c r="LJA40" s="426"/>
      <c r="LJB40" s="424"/>
      <c r="LJC40" s="426"/>
      <c r="LJD40" s="424"/>
      <c r="LJE40" s="426"/>
      <c r="LJF40" s="424"/>
      <c r="LJG40" s="426"/>
      <c r="LJH40" s="424"/>
      <c r="LJI40" s="426"/>
      <c r="LJJ40" s="424"/>
      <c r="LJK40" s="426"/>
      <c r="LJL40" s="424"/>
      <c r="LJM40" s="426"/>
      <c r="LJN40" s="424"/>
      <c r="LJO40" s="426"/>
      <c r="LJP40" s="424"/>
      <c r="LJQ40" s="426"/>
      <c r="LJR40" s="424"/>
      <c r="LJS40" s="426"/>
      <c r="LJT40" s="424"/>
      <c r="LJU40" s="426"/>
      <c r="LJV40" s="424"/>
      <c r="LJW40" s="426"/>
      <c r="LJX40" s="424"/>
      <c r="LJY40" s="426"/>
      <c r="LJZ40" s="424"/>
      <c r="LKA40" s="426"/>
      <c r="LKB40" s="424"/>
      <c r="LKC40" s="426"/>
      <c r="LKD40" s="424"/>
      <c r="LKE40" s="426"/>
      <c r="LKF40" s="424"/>
      <c r="LKG40" s="426"/>
      <c r="LKH40" s="424"/>
      <c r="LKI40" s="426"/>
      <c r="LKJ40" s="424"/>
      <c r="LKK40" s="426"/>
      <c r="LKL40" s="424"/>
      <c r="LKM40" s="426"/>
      <c r="LKN40" s="424"/>
      <c r="LKO40" s="426"/>
      <c r="LKP40" s="424"/>
      <c r="LKQ40" s="426"/>
      <c r="LKR40" s="424"/>
      <c r="LKS40" s="426"/>
      <c r="LKT40" s="424"/>
      <c r="LKU40" s="426"/>
      <c r="LKV40" s="424"/>
      <c r="LKW40" s="426"/>
      <c r="LKX40" s="424"/>
      <c r="LKY40" s="426"/>
      <c r="LKZ40" s="424"/>
      <c r="LLA40" s="426"/>
      <c r="LLB40" s="424"/>
      <c r="LLC40" s="426"/>
      <c r="LLD40" s="424"/>
      <c r="LLE40" s="426"/>
      <c r="LLF40" s="424"/>
      <c r="LLG40" s="426"/>
      <c r="LLH40" s="424"/>
      <c r="LLI40" s="426"/>
      <c r="LLJ40" s="424"/>
      <c r="LLK40" s="426"/>
      <c r="LLL40" s="424"/>
      <c r="LLM40" s="426"/>
      <c r="LLN40" s="424"/>
      <c r="LLO40" s="426"/>
      <c r="LLP40" s="424"/>
      <c r="LLQ40" s="426"/>
      <c r="LLR40" s="424"/>
      <c r="LLS40" s="426"/>
      <c r="LLT40" s="424"/>
      <c r="LLU40" s="426"/>
      <c r="LLV40" s="424"/>
      <c r="LLW40" s="426"/>
      <c r="LLX40" s="424"/>
      <c r="LLY40" s="426"/>
      <c r="LLZ40" s="424"/>
      <c r="LMA40" s="426"/>
      <c r="LMB40" s="424"/>
      <c r="LMC40" s="426"/>
      <c r="LMD40" s="424"/>
      <c r="LME40" s="426"/>
      <c r="LMF40" s="424"/>
      <c r="LMG40" s="426"/>
      <c r="LMH40" s="424"/>
      <c r="LMI40" s="426"/>
      <c r="LMJ40" s="424"/>
      <c r="LMK40" s="426"/>
      <c r="LML40" s="424"/>
      <c r="LMM40" s="426"/>
      <c r="LMN40" s="424"/>
      <c r="LMO40" s="426"/>
      <c r="LMP40" s="424"/>
      <c r="LMQ40" s="426"/>
      <c r="LMR40" s="424"/>
      <c r="LMS40" s="426"/>
      <c r="LMT40" s="424"/>
      <c r="LMU40" s="426"/>
      <c r="LMV40" s="424"/>
      <c r="LMW40" s="426"/>
      <c r="LMX40" s="424"/>
      <c r="LMY40" s="426"/>
      <c r="LMZ40" s="424"/>
      <c r="LNA40" s="426"/>
      <c r="LNB40" s="424"/>
      <c r="LNC40" s="426"/>
      <c r="LND40" s="424"/>
      <c r="LNE40" s="426"/>
      <c r="LNF40" s="424"/>
      <c r="LNG40" s="426"/>
      <c r="LNH40" s="424"/>
      <c r="LNI40" s="426"/>
      <c r="LNJ40" s="424"/>
      <c r="LNK40" s="426"/>
      <c r="LNL40" s="424"/>
      <c r="LNM40" s="426"/>
      <c r="LNN40" s="424"/>
      <c r="LNO40" s="426"/>
      <c r="LNP40" s="424"/>
      <c r="LNQ40" s="426"/>
      <c r="LNR40" s="424"/>
      <c r="LNS40" s="426"/>
      <c r="LNT40" s="424"/>
      <c r="LNU40" s="426"/>
      <c r="LNV40" s="424"/>
      <c r="LNW40" s="426"/>
      <c r="LNX40" s="424"/>
      <c r="LNY40" s="426"/>
      <c r="LNZ40" s="424"/>
      <c r="LOA40" s="426"/>
      <c r="LOB40" s="424"/>
      <c r="LOC40" s="426"/>
      <c r="LOD40" s="424"/>
      <c r="LOE40" s="426"/>
      <c r="LOF40" s="424"/>
      <c r="LOG40" s="426"/>
      <c r="LOH40" s="424"/>
      <c r="LOI40" s="426"/>
      <c r="LOJ40" s="424"/>
      <c r="LOK40" s="426"/>
      <c r="LOL40" s="424"/>
      <c r="LOM40" s="426"/>
      <c r="LON40" s="424"/>
      <c r="LOO40" s="426"/>
      <c r="LOP40" s="424"/>
      <c r="LOQ40" s="426"/>
      <c r="LOR40" s="424"/>
      <c r="LOS40" s="426"/>
      <c r="LOT40" s="424"/>
      <c r="LOU40" s="426"/>
      <c r="LOV40" s="424"/>
      <c r="LOW40" s="426"/>
      <c r="LOX40" s="424"/>
      <c r="LOY40" s="426"/>
      <c r="LOZ40" s="424"/>
      <c r="LPA40" s="426"/>
      <c r="LPB40" s="424"/>
      <c r="LPC40" s="426"/>
      <c r="LPD40" s="424"/>
      <c r="LPE40" s="426"/>
      <c r="LPF40" s="424"/>
      <c r="LPG40" s="426"/>
      <c r="LPH40" s="424"/>
      <c r="LPI40" s="426"/>
      <c r="LPJ40" s="424"/>
      <c r="LPK40" s="426"/>
      <c r="LPL40" s="424"/>
      <c r="LPM40" s="426"/>
      <c r="LPN40" s="424"/>
      <c r="LPO40" s="426"/>
      <c r="LPP40" s="424"/>
      <c r="LPQ40" s="426"/>
      <c r="LPR40" s="424"/>
      <c r="LPS40" s="426"/>
      <c r="LPT40" s="424"/>
      <c r="LPU40" s="426"/>
      <c r="LPV40" s="424"/>
      <c r="LPW40" s="426"/>
      <c r="LPX40" s="424"/>
      <c r="LPY40" s="426"/>
      <c r="LPZ40" s="424"/>
      <c r="LQA40" s="426"/>
      <c r="LQB40" s="424"/>
      <c r="LQC40" s="426"/>
      <c r="LQD40" s="424"/>
      <c r="LQE40" s="426"/>
      <c r="LQF40" s="424"/>
      <c r="LQG40" s="426"/>
      <c r="LQH40" s="424"/>
      <c r="LQI40" s="426"/>
      <c r="LQJ40" s="424"/>
      <c r="LQK40" s="426"/>
      <c r="LQL40" s="424"/>
      <c r="LQM40" s="426"/>
      <c r="LQN40" s="424"/>
      <c r="LQO40" s="426"/>
      <c r="LQP40" s="424"/>
      <c r="LQQ40" s="426"/>
      <c r="LQR40" s="424"/>
      <c r="LQS40" s="426"/>
      <c r="LQT40" s="424"/>
      <c r="LQU40" s="426"/>
      <c r="LQV40" s="424"/>
      <c r="LQW40" s="426"/>
      <c r="LQX40" s="424"/>
      <c r="LQY40" s="426"/>
      <c r="LQZ40" s="424"/>
      <c r="LRA40" s="426"/>
      <c r="LRB40" s="424"/>
      <c r="LRC40" s="426"/>
      <c r="LRD40" s="424"/>
      <c r="LRE40" s="426"/>
      <c r="LRF40" s="424"/>
      <c r="LRG40" s="426"/>
      <c r="LRH40" s="424"/>
      <c r="LRI40" s="426"/>
      <c r="LRJ40" s="424"/>
      <c r="LRK40" s="426"/>
      <c r="LRL40" s="424"/>
      <c r="LRM40" s="426"/>
      <c r="LRN40" s="424"/>
      <c r="LRO40" s="426"/>
      <c r="LRP40" s="424"/>
      <c r="LRQ40" s="426"/>
      <c r="LRR40" s="424"/>
      <c r="LRS40" s="426"/>
      <c r="LRT40" s="424"/>
      <c r="LRU40" s="426"/>
      <c r="LRV40" s="424"/>
      <c r="LRW40" s="426"/>
      <c r="LRX40" s="424"/>
      <c r="LRY40" s="426"/>
      <c r="LRZ40" s="424"/>
      <c r="LSA40" s="426"/>
      <c r="LSB40" s="424"/>
      <c r="LSC40" s="426"/>
      <c r="LSD40" s="424"/>
      <c r="LSE40" s="426"/>
      <c r="LSF40" s="424"/>
      <c r="LSG40" s="426"/>
      <c r="LSH40" s="424"/>
      <c r="LSI40" s="426"/>
      <c r="LSJ40" s="424"/>
      <c r="LSK40" s="426"/>
      <c r="LSL40" s="424"/>
      <c r="LSM40" s="426"/>
      <c r="LSN40" s="424"/>
      <c r="LSO40" s="426"/>
      <c r="LSP40" s="424"/>
      <c r="LSQ40" s="426"/>
      <c r="LSR40" s="424"/>
      <c r="LSS40" s="426"/>
      <c r="LST40" s="424"/>
      <c r="LSU40" s="426"/>
      <c r="LSV40" s="424"/>
      <c r="LSW40" s="426"/>
      <c r="LSX40" s="424"/>
      <c r="LSY40" s="426"/>
      <c r="LSZ40" s="424"/>
      <c r="LTA40" s="426"/>
      <c r="LTB40" s="424"/>
      <c r="LTC40" s="426"/>
      <c r="LTD40" s="424"/>
      <c r="LTE40" s="426"/>
      <c r="LTF40" s="424"/>
      <c r="LTG40" s="426"/>
      <c r="LTH40" s="424"/>
      <c r="LTI40" s="426"/>
      <c r="LTJ40" s="424"/>
      <c r="LTK40" s="426"/>
      <c r="LTL40" s="424"/>
      <c r="LTM40" s="426"/>
      <c r="LTN40" s="424"/>
      <c r="LTO40" s="426"/>
      <c r="LTP40" s="424"/>
      <c r="LTQ40" s="426"/>
      <c r="LTR40" s="424"/>
      <c r="LTS40" s="426"/>
      <c r="LTT40" s="424"/>
      <c r="LTU40" s="426"/>
      <c r="LTV40" s="424"/>
      <c r="LTW40" s="426"/>
      <c r="LTX40" s="424"/>
      <c r="LTY40" s="426"/>
      <c r="LTZ40" s="424"/>
      <c r="LUA40" s="426"/>
      <c r="LUB40" s="424"/>
      <c r="LUC40" s="426"/>
      <c r="LUD40" s="424"/>
      <c r="LUE40" s="426"/>
      <c r="LUF40" s="424"/>
      <c r="LUG40" s="426"/>
      <c r="LUH40" s="424"/>
      <c r="LUI40" s="426"/>
      <c r="LUJ40" s="424"/>
      <c r="LUK40" s="426"/>
      <c r="LUL40" s="424"/>
      <c r="LUM40" s="426"/>
      <c r="LUN40" s="424"/>
      <c r="LUO40" s="426"/>
      <c r="LUP40" s="424"/>
      <c r="LUQ40" s="426"/>
      <c r="LUR40" s="424"/>
      <c r="LUS40" s="426"/>
      <c r="LUT40" s="424"/>
      <c r="LUU40" s="426"/>
      <c r="LUV40" s="424"/>
      <c r="LUW40" s="426"/>
      <c r="LUX40" s="424"/>
      <c r="LUY40" s="426"/>
      <c r="LUZ40" s="424"/>
      <c r="LVA40" s="426"/>
      <c r="LVB40" s="424"/>
      <c r="LVC40" s="426"/>
      <c r="LVD40" s="424"/>
      <c r="LVE40" s="426"/>
      <c r="LVF40" s="424"/>
      <c r="LVG40" s="426"/>
      <c r="LVH40" s="424"/>
      <c r="LVI40" s="426"/>
      <c r="LVJ40" s="424"/>
      <c r="LVK40" s="426"/>
      <c r="LVL40" s="424"/>
      <c r="LVM40" s="426"/>
      <c r="LVN40" s="424"/>
      <c r="LVO40" s="426"/>
      <c r="LVP40" s="424"/>
      <c r="LVQ40" s="426"/>
      <c r="LVR40" s="424"/>
      <c r="LVS40" s="426"/>
      <c r="LVT40" s="424"/>
      <c r="LVU40" s="426"/>
      <c r="LVV40" s="424"/>
      <c r="LVW40" s="426"/>
      <c r="LVX40" s="424"/>
      <c r="LVY40" s="426"/>
      <c r="LVZ40" s="424"/>
      <c r="LWA40" s="426"/>
      <c r="LWB40" s="424"/>
      <c r="LWC40" s="426"/>
      <c r="LWD40" s="424"/>
      <c r="LWE40" s="426"/>
      <c r="LWF40" s="424"/>
      <c r="LWG40" s="426"/>
      <c r="LWH40" s="424"/>
      <c r="LWI40" s="426"/>
      <c r="LWJ40" s="424"/>
      <c r="LWK40" s="426"/>
      <c r="LWL40" s="424"/>
      <c r="LWM40" s="426"/>
      <c r="LWN40" s="424"/>
      <c r="LWO40" s="426"/>
      <c r="LWP40" s="424"/>
      <c r="LWQ40" s="426"/>
      <c r="LWR40" s="424"/>
      <c r="LWS40" s="426"/>
      <c r="LWT40" s="424"/>
      <c r="LWU40" s="426"/>
      <c r="LWV40" s="424"/>
      <c r="LWW40" s="426"/>
      <c r="LWX40" s="424"/>
      <c r="LWY40" s="426"/>
      <c r="LWZ40" s="424"/>
      <c r="LXA40" s="426"/>
      <c r="LXB40" s="424"/>
      <c r="LXC40" s="426"/>
      <c r="LXD40" s="424"/>
      <c r="LXE40" s="426"/>
      <c r="LXF40" s="424"/>
      <c r="LXG40" s="426"/>
      <c r="LXH40" s="424"/>
      <c r="LXI40" s="426"/>
      <c r="LXJ40" s="424"/>
      <c r="LXK40" s="426"/>
      <c r="LXL40" s="424"/>
      <c r="LXM40" s="426"/>
      <c r="LXN40" s="424"/>
      <c r="LXO40" s="426"/>
      <c r="LXP40" s="424"/>
      <c r="LXQ40" s="426"/>
      <c r="LXR40" s="424"/>
      <c r="LXS40" s="426"/>
      <c r="LXT40" s="424"/>
      <c r="LXU40" s="426"/>
      <c r="LXV40" s="424"/>
      <c r="LXW40" s="426"/>
      <c r="LXX40" s="424"/>
      <c r="LXY40" s="426"/>
      <c r="LXZ40" s="424"/>
      <c r="LYA40" s="426"/>
      <c r="LYB40" s="424"/>
      <c r="LYC40" s="426"/>
      <c r="LYD40" s="424"/>
      <c r="LYE40" s="426"/>
      <c r="LYF40" s="424"/>
      <c r="LYG40" s="426"/>
      <c r="LYH40" s="424"/>
      <c r="LYI40" s="426"/>
      <c r="LYJ40" s="424"/>
      <c r="LYK40" s="426"/>
      <c r="LYL40" s="424"/>
      <c r="LYM40" s="426"/>
      <c r="LYN40" s="424"/>
      <c r="LYO40" s="426"/>
      <c r="LYP40" s="424"/>
      <c r="LYQ40" s="426"/>
      <c r="LYR40" s="424"/>
      <c r="LYS40" s="426"/>
      <c r="LYT40" s="424"/>
      <c r="LYU40" s="426"/>
      <c r="LYV40" s="424"/>
      <c r="LYW40" s="426"/>
      <c r="LYX40" s="424"/>
      <c r="LYY40" s="426"/>
      <c r="LYZ40" s="424"/>
      <c r="LZA40" s="426"/>
      <c r="LZB40" s="424"/>
      <c r="LZC40" s="426"/>
      <c r="LZD40" s="424"/>
      <c r="LZE40" s="426"/>
      <c r="LZF40" s="424"/>
      <c r="LZG40" s="426"/>
      <c r="LZH40" s="424"/>
      <c r="LZI40" s="426"/>
      <c r="LZJ40" s="424"/>
      <c r="LZK40" s="426"/>
      <c r="LZL40" s="424"/>
      <c r="LZM40" s="426"/>
      <c r="LZN40" s="424"/>
      <c r="LZO40" s="426"/>
      <c r="LZP40" s="424"/>
      <c r="LZQ40" s="426"/>
      <c r="LZR40" s="424"/>
      <c r="LZS40" s="426"/>
      <c r="LZT40" s="424"/>
      <c r="LZU40" s="426"/>
      <c r="LZV40" s="424"/>
      <c r="LZW40" s="426"/>
      <c r="LZX40" s="424"/>
      <c r="LZY40" s="426"/>
      <c r="LZZ40" s="424"/>
      <c r="MAA40" s="426"/>
      <c r="MAB40" s="424"/>
      <c r="MAC40" s="426"/>
      <c r="MAD40" s="424"/>
      <c r="MAE40" s="426"/>
      <c r="MAF40" s="424"/>
      <c r="MAG40" s="426"/>
      <c r="MAH40" s="424"/>
      <c r="MAI40" s="426"/>
      <c r="MAJ40" s="424"/>
      <c r="MAK40" s="426"/>
      <c r="MAL40" s="424"/>
      <c r="MAM40" s="426"/>
      <c r="MAN40" s="424"/>
      <c r="MAO40" s="426"/>
      <c r="MAP40" s="424"/>
      <c r="MAQ40" s="426"/>
      <c r="MAR40" s="424"/>
      <c r="MAS40" s="426"/>
      <c r="MAT40" s="424"/>
      <c r="MAU40" s="426"/>
      <c r="MAV40" s="424"/>
      <c r="MAW40" s="426"/>
      <c r="MAX40" s="424"/>
      <c r="MAY40" s="426"/>
      <c r="MAZ40" s="424"/>
      <c r="MBA40" s="426"/>
      <c r="MBB40" s="424"/>
      <c r="MBC40" s="426"/>
      <c r="MBD40" s="424"/>
      <c r="MBE40" s="426"/>
      <c r="MBF40" s="424"/>
      <c r="MBG40" s="426"/>
      <c r="MBH40" s="424"/>
      <c r="MBI40" s="426"/>
      <c r="MBJ40" s="424"/>
      <c r="MBK40" s="426"/>
      <c r="MBL40" s="424"/>
      <c r="MBM40" s="426"/>
      <c r="MBN40" s="424"/>
      <c r="MBO40" s="426"/>
      <c r="MBP40" s="424"/>
      <c r="MBQ40" s="426"/>
      <c r="MBR40" s="424"/>
      <c r="MBS40" s="426"/>
      <c r="MBT40" s="424"/>
      <c r="MBU40" s="426"/>
      <c r="MBV40" s="424"/>
      <c r="MBW40" s="426"/>
      <c r="MBX40" s="424"/>
      <c r="MBY40" s="426"/>
      <c r="MBZ40" s="424"/>
      <c r="MCA40" s="426"/>
      <c r="MCB40" s="424"/>
      <c r="MCC40" s="426"/>
      <c r="MCD40" s="424"/>
      <c r="MCE40" s="426"/>
      <c r="MCF40" s="424"/>
      <c r="MCG40" s="426"/>
      <c r="MCH40" s="424"/>
      <c r="MCI40" s="426"/>
      <c r="MCJ40" s="424"/>
      <c r="MCK40" s="426"/>
      <c r="MCL40" s="424"/>
      <c r="MCM40" s="426"/>
      <c r="MCN40" s="424"/>
      <c r="MCO40" s="426"/>
      <c r="MCP40" s="424"/>
      <c r="MCQ40" s="426"/>
      <c r="MCR40" s="424"/>
      <c r="MCS40" s="426"/>
      <c r="MCT40" s="424"/>
      <c r="MCU40" s="426"/>
      <c r="MCV40" s="424"/>
      <c r="MCW40" s="426"/>
      <c r="MCX40" s="424"/>
      <c r="MCY40" s="426"/>
      <c r="MCZ40" s="424"/>
      <c r="MDA40" s="426"/>
      <c r="MDB40" s="424"/>
      <c r="MDC40" s="426"/>
      <c r="MDD40" s="424"/>
      <c r="MDE40" s="426"/>
      <c r="MDF40" s="424"/>
      <c r="MDG40" s="426"/>
      <c r="MDH40" s="424"/>
      <c r="MDI40" s="426"/>
      <c r="MDJ40" s="424"/>
      <c r="MDK40" s="426"/>
      <c r="MDL40" s="424"/>
      <c r="MDM40" s="426"/>
      <c r="MDN40" s="424"/>
      <c r="MDO40" s="426"/>
      <c r="MDP40" s="424"/>
      <c r="MDQ40" s="426"/>
      <c r="MDR40" s="424"/>
      <c r="MDS40" s="426"/>
      <c r="MDT40" s="424"/>
      <c r="MDU40" s="426"/>
      <c r="MDV40" s="424"/>
      <c r="MDW40" s="426"/>
      <c r="MDX40" s="424"/>
      <c r="MDY40" s="426"/>
      <c r="MDZ40" s="424"/>
      <c r="MEA40" s="426"/>
      <c r="MEB40" s="424"/>
      <c r="MEC40" s="426"/>
      <c r="MED40" s="424"/>
      <c r="MEE40" s="426"/>
      <c r="MEF40" s="424"/>
      <c r="MEG40" s="426"/>
      <c r="MEH40" s="424"/>
      <c r="MEI40" s="426"/>
      <c r="MEJ40" s="424"/>
      <c r="MEK40" s="426"/>
      <c r="MEL40" s="424"/>
      <c r="MEM40" s="426"/>
      <c r="MEN40" s="424"/>
      <c r="MEO40" s="426"/>
      <c r="MEP40" s="424"/>
      <c r="MEQ40" s="426"/>
      <c r="MER40" s="424"/>
      <c r="MES40" s="426"/>
      <c r="MET40" s="424"/>
      <c r="MEU40" s="426"/>
      <c r="MEV40" s="424"/>
      <c r="MEW40" s="426"/>
      <c r="MEX40" s="424"/>
      <c r="MEY40" s="426"/>
      <c r="MEZ40" s="424"/>
      <c r="MFA40" s="426"/>
      <c r="MFB40" s="424"/>
      <c r="MFC40" s="426"/>
      <c r="MFD40" s="424"/>
      <c r="MFE40" s="426"/>
      <c r="MFF40" s="424"/>
      <c r="MFG40" s="426"/>
      <c r="MFH40" s="424"/>
      <c r="MFI40" s="426"/>
      <c r="MFJ40" s="424"/>
      <c r="MFK40" s="426"/>
      <c r="MFL40" s="424"/>
      <c r="MFM40" s="426"/>
      <c r="MFN40" s="424"/>
      <c r="MFO40" s="426"/>
      <c r="MFP40" s="424"/>
      <c r="MFQ40" s="426"/>
      <c r="MFR40" s="424"/>
      <c r="MFS40" s="426"/>
      <c r="MFT40" s="424"/>
      <c r="MFU40" s="426"/>
      <c r="MFV40" s="424"/>
      <c r="MFW40" s="426"/>
      <c r="MFX40" s="424"/>
      <c r="MFY40" s="426"/>
      <c r="MFZ40" s="424"/>
      <c r="MGA40" s="426"/>
      <c r="MGB40" s="424"/>
      <c r="MGC40" s="426"/>
      <c r="MGD40" s="424"/>
      <c r="MGE40" s="426"/>
      <c r="MGF40" s="424"/>
      <c r="MGG40" s="426"/>
      <c r="MGH40" s="424"/>
      <c r="MGI40" s="426"/>
      <c r="MGJ40" s="424"/>
      <c r="MGK40" s="426"/>
      <c r="MGL40" s="424"/>
      <c r="MGM40" s="426"/>
      <c r="MGN40" s="424"/>
      <c r="MGO40" s="426"/>
      <c r="MGP40" s="424"/>
      <c r="MGQ40" s="426"/>
      <c r="MGR40" s="424"/>
      <c r="MGS40" s="426"/>
      <c r="MGT40" s="424"/>
      <c r="MGU40" s="426"/>
      <c r="MGV40" s="424"/>
      <c r="MGW40" s="426"/>
      <c r="MGX40" s="424"/>
      <c r="MGY40" s="426"/>
      <c r="MGZ40" s="424"/>
      <c r="MHA40" s="426"/>
      <c r="MHB40" s="424"/>
      <c r="MHC40" s="426"/>
      <c r="MHD40" s="424"/>
      <c r="MHE40" s="426"/>
      <c r="MHF40" s="424"/>
      <c r="MHG40" s="426"/>
      <c r="MHH40" s="424"/>
      <c r="MHI40" s="426"/>
      <c r="MHJ40" s="424"/>
      <c r="MHK40" s="426"/>
      <c r="MHL40" s="424"/>
      <c r="MHM40" s="426"/>
      <c r="MHN40" s="424"/>
      <c r="MHO40" s="426"/>
      <c r="MHP40" s="424"/>
      <c r="MHQ40" s="426"/>
      <c r="MHR40" s="424"/>
      <c r="MHS40" s="426"/>
      <c r="MHT40" s="424"/>
      <c r="MHU40" s="426"/>
      <c r="MHV40" s="424"/>
      <c r="MHW40" s="426"/>
      <c r="MHX40" s="424"/>
      <c r="MHY40" s="426"/>
      <c r="MHZ40" s="424"/>
      <c r="MIA40" s="426"/>
      <c r="MIB40" s="424"/>
      <c r="MIC40" s="426"/>
      <c r="MID40" s="424"/>
      <c r="MIE40" s="426"/>
      <c r="MIF40" s="424"/>
      <c r="MIG40" s="426"/>
      <c r="MIH40" s="424"/>
      <c r="MII40" s="426"/>
      <c r="MIJ40" s="424"/>
      <c r="MIK40" s="426"/>
      <c r="MIL40" s="424"/>
      <c r="MIM40" s="426"/>
      <c r="MIN40" s="424"/>
      <c r="MIO40" s="426"/>
      <c r="MIP40" s="424"/>
      <c r="MIQ40" s="426"/>
      <c r="MIR40" s="424"/>
      <c r="MIS40" s="426"/>
      <c r="MIT40" s="424"/>
      <c r="MIU40" s="426"/>
      <c r="MIV40" s="424"/>
      <c r="MIW40" s="426"/>
      <c r="MIX40" s="424"/>
      <c r="MIY40" s="426"/>
      <c r="MIZ40" s="424"/>
      <c r="MJA40" s="426"/>
      <c r="MJB40" s="424"/>
      <c r="MJC40" s="426"/>
      <c r="MJD40" s="424"/>
      <c r="MJE40" s="426"/>
      <c r="MJF40" s="424"/>
      <c r="MJG40" s="426"/>
      <c r="MJH40" s="424"/>
      <c r="MJI40" s="426"/>
      <c r="MJJ40" s="424"/>
      <c r="MJK40" s="426"/>
      <c r="MJL40" s="424"/>
      <c r="MJM40" s="426"/>
      <c r="MJN40" s="424"/>
      <c r="MJO40" s="426"/>
      <c r="MJP40" s="424"/>
      <c r="MJQ40" s="426"/>
      <c r="MJR40" s="424"/>
      <c r="MJS40" s="426"/>
      <c r="MJT40" s="424"/>
      <c r="MJU40" s="426"/>
      <c r="MJV40" s="424"/>
      <c r="MJW40" s="426"/>
      <c r="MJX40" s="424"/>
      <c r="MJY40" s="426"/>
      <c r="MJZ40" s="424"/>
      <c r="MKA40" s="426"/>
      <c r="MKB40" s="424"/>
      <c r="MKC40" s="426"/>
      <c r="MKD40" s="424"/>
      <c r="MKE40" s="426"/>
      <c r="MKF40" s="424"/>
      <c r="MKG40" s="426"/>
      <c r="MKH40" s="424"/>
      <c r="MKI40" s="426"/>
      <c r="MKJ40" s="424"/>
      <c r="MKK40" s="426"/>
      <c r="MKL40" s="424"/>
      <c r="MKM40" s="426"/>
      <c r="MKN40" s="424"/>
      <c r="MKO40" s="426"/>
      <c r="MKP40" s="424"/>
      <c r="MKQ40" s="426"/>
      <c r="MKR40" s="424"/>
      <c r="MKS40" s="426"/>
      <c r="MKT40" s="424"/>
      <c r="MKU40" s="426"/>
      <c r="MKV40" s="424"/>
      <c r="MKW40" s="426"/>
      <c r="MKX40" s="424"/>
      <c r="MKY40" s="426"/>
      <c r="MKZ40" s="424"/>
      <c r="MLA40" s="426"/>
      <c r="MLB40" s="424"/>
      <c r="MLC40" s="426"/>
      <c r="MLD40" s="424"/>
      <c r="MLE40" s="426"/>
      <c r="MLF40" s="424"/>
      <c r="MLG40" s="426"/>
      <c r="MLH40" s="424"/>
      <c r="MLI40" s="426"/>
      <c r="MLJ40" s="424"/>
      <c r="MLK40" s="426"/>
      <c r="MLL40" s="424"/>
      <c r="MLM40" s="426"/>
      <c r="MLN40" s="424"/>
      <c r="MLO40" s="426"/>
      <c r="MLP40" s="424"/>
      <c r="MLQ40" s="426"/>
      <c r="MLR40" s="424"/>
      <c r="MLS40" s="426"/>
      <c r="MLT40" s="424"/>
      <c r="MLU40" s="426"/>
      <c r="MLV40" s="424"/>
      <c r="MLW40" s="426"/>
      <c r="MLX40" s="424"/>
      <c r="MLY40" s="426"/>
      <c r="MLZ40" s="424"/>
      <c r="MMA40" s="426"/>
      <c r="MMB40" s="424"/>
      <c r="MMC40" s="426"/>
      <c r="MMD40" s="424"/>
      <c r="MME40" s="426"/>
      <c r="MMF40" s="424"/>
      <c r="MMG40" s="426"/>
      <c r="MMH40" s="424"/>
      <c r="MMI40" s="426"/>
      <c r="MMJ40" s="424"/>
      <c r="MMK40" s="426"/>
      <c r="MML40" s="424"/>
      <c r="MMM40" s="426"/>
      <c r="MMN40" s="424"/>
      <c r="MMO40" s="426"/>
      <c r="MMP40" s="424"/>
      <c r="MMQ40" s="426"/>
      <c r="MMR40" s="424"/>
      <c r="MMS40" s="426"/>
      <c r="MMT40" s="424"/>
      <c r="MMU40" s="426"/>
      <c r="MMV40" s="424"/>
      <c r="MMW40" s="426"/>
      <c r="MMX40" s="424"/>
      <c r="MMY40" s="426"/>
      <c r="MMZ40" s="424"/>
      <c r="MNA40" s="426"/>
      <c r="MNB40" s="424"/>
      <c r="MNC40" s="426"/>
      <c r="MND40" s="424"/>
      <c r="MNE40" s="426"/>
      <c r="MNF40" s="424"/>
      <c r="MNG40" s="426"/>
      <c r="MNH40" s="424"/>
      <c r="MNI40" s="426"/>
      <c r="MNJ40" s="424"/>
      <c r="MNK40" s="426"/>
      <c r="MNL40" s="424"/>
      <c r="MNM40" s="426"/>
      <c r="MNN40" s="424"/>
      <c r="MNO40" s="426"/>
      <c r="MNP40" s="424"/>
      <c r="MNQ40" s="426"/>
      <c r="MNR40" s="424"/>
      <c r="MNS40" s="426"/>
      <c r="MNT40" s="424"/>
      <c r="MNU40" s="426"/>
      <c r="MNV40" s="424"/>
      <c r="MNW40" s="426"/>
      <c r="MNX40" s="424"/>
      <c r="MNY40" s="426"/>
      <c r="MNZ40" s="424"/>
      <c r="MOA40" s="426"/>
      <c r="MOB40" s="424"/>
      <c r="MOC40" s="426"/>
      <c r="MOD40" s="424"/>
      <c r="MOE40" s="426"/>
      <c r="MOF40" s="424"/>
      <c r="MOG40" s="426"/>
      <c r="MOH40" s="424"/>
      <c r="MOI40" s="426"/>
      <c r="MOJ40" s="424"/>
      <c r="MOK40" s="426"/>
      <c r="MOL40" s="424"/>
      <c r="MOM40" s="426"/>
      <c r="MON40" s="424"/>
      <c r="MOO40" s="426"/>
      <c r="MOP40" s="424"/>
      <c r="MOQ40" s="426"/>
      <c r="MOR40" s="424"/>
      <c r="MOS40" s="426"/>
      <c r="MOT40" s="424"/>
      <c r="MOU40" s="426"/>
      <c r="MOV40" s="424"/>
      <c r="MOW40" s="426"/>
      <c r="MOX40" s="424"/>
      <c r="MOY40" s="426"/>
      <c r="MOZ40" s="424"/>
      <c r="MPA40" s="426"/>
      <c r="MPB40" s="424"/>
      <c r="MPC40" s="426"/>
      <c r="MPD40" s="424"/>
      <c r="MPE40" s="426"/>
      <c r="MPF40" s="424"/>
      <c r="MPG40" s="426"/>
      <c r="MPH40" s="424"/>
      <c r="MPI40" s="426"/>
      <c r="MPJ40" s="424"/>
      <c r="MPK40" s="426"/>
      <c r="MPL40" s="424"/>
      <c r="MPM40" s="426"/>
      <c r="MPN40" s="424"/>
      <c r="MPO40" s="426"/>
      <c r="MPP40" s="424"/>
      <c r="MPQ40" s="426"/>
      <c r="MPR40" s="424"/>
      <c r="MPS40" s="426"/>
      <c r="MPT40" s="424"/>
      <c r="MPU40" s="426"/>
      <c r="MPV40" s="424"/>
      <c r="MPW40" s="426"/>
      <c r="MPX40" s="424"/>
      <c r="MPY40" s="426"/>
      <c r="MPZ40" s="424"/>
      <c r="MQA40" s="426"/>
      <c r="MQB40" s="424"/>
      <c r="MQC40" s="426"/>
      <c r="MQD40" s="424"/>
      <c r="MQE40" s="426"/>
      <c r="MQF40" s="424"/>
      <c r="MQG40" s="426"/>
      <c r="MQH40" s="424"/>
      <c r="MQI40" s="426"/>
      <c r="MQJ40" s="424"/>
      <c r="MQK40" s="426"/>
      <c r="MQL40" s="424"/>
      <c r="MQM40" s="426"/>
      <c r="MQN40" s="424"/>
      <c r="MQO40" s="426"/>
      <c r="MQP40" s="424"/>
      <c r="MQQ40" s="426"/>
      <c r="MQR40" s="424"/>
      <c r="MQS40" s="426"/>
      <c r="MQT40" s="424"/>
      <c r="MQU40" s="426"/>
      <c r="MQV40" s="424"/>
      <c r="MQW40" s="426"/>
      <c r="MQX40" s="424"/>
      <c r="MQY40" s="426"/>
      <c r="MQZ40" s="424"/>
      <c r="MRA40" s="426"/>
      <c r="MRB40" s="424"/>
      <c r="MRC40" s="426"/>
      <c r="MRD40" s="424"/>
      <c r="MRE40" s="426"/>
      <c r="MRF40" s="424"/>
      <c r="MRG40" s="426"/>
      <c r="MRH40" s="424"/>
      <c r="MRI40" s="426"/>
      <c r="MRJ40" s="424"/>
      <c r="MRK40" s="426"/>
      <c r="MRL40" s="424"/>
      <c r="MRM40" s="426"/>
      <c r="MRN40" s="424"/>
      <c r="MRO40" s="426"/>
      <c r="MRP40" s="424"/>
      <c r="MRQ40" s="426"/>
      <c r="MRR40" s="424"/>
      <c r="MRS40" s="426"/>
      <c r="MRT40" s="424"/>
      <c r="MRU40" s="426"/>
      <c r="MRV40" s="424"/>
      <c r="MRW40" s="426"/>
      <c r="MRX40" s="424"/>
      <c r="MRY40" s="426"/>
      <c r="MRZ40" s="424"/>
      <c r="MSA40" s="426"/>
      <c r="MSB40" s="424"/>
      <c r="MSC40" s="426"/>
      <c r="MSD40" s="424"/>
      <c r="MSE40" s="426"/>
      <c r="MSF40" s="424"/>
      <c r="MSG40" s="426"/>
      <c r="MSH40" s="424"/>
      <c r="MSI40" s="426"/>
      <c r="MSJ40" s="424"/>
      <c r="MSK40" s="426"/>
      <c r="MSL40" s="424"/>
      <c r="MSM40" s="426"/>
      <c r="MSN40" s="424"/>
      <c r="MSO40" s="426"/>
      <c r="MSP40" s="424"/>
      <c r="MSQ40" s="426"/>
      <c r="MSR40" s="424"/>
      <c r="MSS40" s="426"/>
      <c r="MST40" s="424"/>
      <c r="MSU40" s="426"/>
      <c r="MSV40" s="424"/>
      <c r="MSW40" s="426"/>
      <c r="MSX40" s="424"/>
      <c r="MSY40" s="426"/>
      <c r="MSZ40" s="424"/>
      <c r="MTA40" s="426"/>
      <c r="MTB40" s="424"/>
      <c r="MTC40" s="426"/>
      <c r="MTD40" s="424"/>
      <c r="MTE40" s="426"/>
      <c r="MTF40" s="424"/>
      <c r="MTG40" s="426"/>
      <c r="MTH40" s="424"/>
      <c r="MTI40" s="426"/>
      <c r="MTJ40" s="424"/>
      <c r="MTK40" s="426"/>
      <c r="MTL40" s="424"/>
      <c r="MTM40" s="426"/>
      <c r="MTN40" s="424"/>
      <c r="MTO40" s="426"/>
      <c r="MTP40" s="424"/>
      <c r="MTQ40" s="426"/>
      <c r="MTR40" s="424"/>
      <c r="MTS40" s="426"/>
      <c r="MTT40" s="424"/>
      <c r="MTU40" s="426"/>
      <c r="MTV40" s="424"/>
      <c r="MTW40" s="426"/>
      <c r="MTX40" s="424"/>
      <c r="MTY40" s="426"/>
      <c r="MTZ40" s="424"/>
      <c r="MUA40" s="426"/>
      <c r="MUB40" s="424"/>
      <c r="MUC40" s="426"/>
      <c r="MUD40" s="424"/>
      <c r="MUE40" s="426"/>
      <c r="MUF40" s="424"/>
      <c r="MUG40" s="426"/>
      <c r="MUH40" s="424"/>
      <c r="MUI40" s="426"/>
      <c r="MUJ40" s="424"/>
      <c r="MUK40" s="426"/>
      <c r="MUL40" s="424"/>
      <c r="MUM40" s="426"/>
      <c r="MUN40" s="424"/>
      <c r="MUO40" s="426"/>
      <c r="MUP40" s="424"/>
      <c r="MUQ40" s="426"/>
      <c r="MUR40" s="424"/>
      <c r="MUS40" s="426"/>
      <c r="MUT40" s="424"/>
      <c r="MUU40" s="426"/>
      <c r="MUV40" s="424"/>
      <c r="MUW40" s="426"/>
      <c r="MUX40" s="424"/>
      <c r="MUY40" s="426"/>
      <c r="MUZ40" s="424"/>
      <c r="MVA40" s="426"/>
      <c r="MVB40" s="424"/>
      <c r="MVC40" s="426"/>
      <c r="MVD40" s="424"/>
      <c r="MVE40" s="426"/>
      <c r="MVF40" s="424"/>
      <c r="MVG40" s="426"/>
      <c r="MVH40" s="424"/>
      <c r="MVI40" s="426"/>
      <c r="MVJ40" s="424"/>
      <c r="MVK40" s="426"/>
      <c r="MVL40" s="424"/>
      <c r="MVM40" s="426"/>
      <c r="MVN40" s="424"/>
      <c r="MVO40" s="426"/>
      <c r="MVP40" s="424"/>
      <c r="MVQ40" s="426"/>
      <c r="MVR40" s="424"/>
      <c r="MVS40" s="426"/>
      <c r="MVT40" s="424"/>
      <c r="MVU40" s="426"/>
      <c r="MVV40" s="424"/>
      <c r="MVW40" s="426"/>
      <c r="MVX40" s="424"/>
      <c r="MVY40" s="426"/>
      <c r="MVZ40" s="424"/>
      <c r="MWA40" s="426"/>
      <c r="MWB40" s="424"/>
      <c r="MWC40" s="426"/>
      <c r="MWD40" s="424"/>
      <c r="MWE40" s="426"/>
      <c r="MWF40" s="424"/>
      <c r="MWG40" s="426"/>
      <c r="MWH40" s="424"/>
      <c r="MWI40" s="426"/>
      <c r="MWJ40" s="424"/>
      <c r="MWK40" s="426"/>
      <c r="MWL40" s="424"/>
      <c r="MWM40" s="426"/>
      <c r="MWN40" s="424"/>
      <c r="MWO40" s="426"/>
      <c r="MWP40" s="424"/>
      <c r="MWQ40" s="426"/>
      <c r="MWR40" s="424"/>
      <c r="MWS40" s="426"/>
      <c r="MWT40" s="424"/>
      <c r="MWU40" s="426"/>
      <c r="MWV40" s="424"/>
      <c r="MWW40" s="426"/>
      <c r="MWX40" s="424"/>
      <c r="MWY40" s="426"/>
      <c r="MWZ40" s="424"/>
      <c r="MXA40" s="426"/>
      <c r="MXB40" s="424"/>
      <c r="MXC40" s="426"/>
      <c r="MXD40" s="424"/>
      <c r="MXE40" s="426"/>
      <c r="MXF40" s="424"/>
      <c r="MXG40" s="426"/>
      <c r="MXH40" s="424"/>
      <c r="MXI40" s="426"/>
      <c r="MXJ40" s="424"/>
      <c r="MXK40" s="426"/>
      <c r="MXL40" s="424"/>
      <c r="MXM40" s="426"/>
      <c r="MXN40" s="424"/>
      <c r="MXO40" s="426"/>
      <c r="MXP40" s="424"/>
      <c r="MXQ40" s="426"/>
      <c r="MXR40" s="424"/>
      <c r="MXS40" s="426"/>
      <c r="MXT40" s="424"/>
      <c r="MXU40" s="426"/>
      <c r="MXV40" s="424"/>
      <c r="MXW40" s="426"/>
      <c r="MXX40" s="424"/>
      <c r="MXY40" s="426"/>
      <c r="MXZ40" s="424"/>
      <c r="MYA40" s="426"/>
      <c r="MYB40" s="424"/>
      <c r="MYC40" s="426"/>
      <c r="MYD40" s="424"/>
      <c r="MYE40" s="426"/>
      <c r="MYF40" s="424"/>
      <c r="MYG40" s="426"/>
      <c r="MYH40" s="424"/>
      <c r="MYI40" s="426"/>
      <c r="MYJ40" s="424"/>
      <c r="MYK40" s="426"/>
      <c r="MYL40" s="424"/>
      <c r="MYM40" s="426"/>
      <c r="MYN40" s="424"/>
      <c r="MYO40" s="426"/>
      <c r="MYP40" s="424"/>
      <c r="MYQ40" s="426"/>
      <c r="MYR40" s="424"/>
      <c r="MYS40" s="426"/>
      <c r="MYT40" s="424"/>
      <c r="MYU40" s="426"/>
      <c r="MYV40" s="424"/>
      <c r="MYW40" s="426"/>
      <c r="MYX40" s="424"/>
      <c r="MYY40" s="426"/>
      <c r="MYZ40" s="424"/>
      <c r="MZA40" s="426"/>
      <c r="MZB40" s="424"/>
      <c r="MZC40" s="426"/>
      <c r="MZD40" s="424"/>
      <c r="MZE40" s="426"/>
      <c r="MZF40" s="424"/>
      <c r="MZG40" s="426"/>
      <c r="MZH40" s="424"/>
      <c r="MZI40" s="426"/>
      <c r="MZJ40" s="424"/>
      <c r="MZK40" s="426"/>
      <c r="MZL40" s="424"/>
      <c r="MZM40" s="426"/>
      <c r="MZN40" s="424"/>
      <c r="MZO40" s="426"/>
      <c r="MZP40" s="424"/>
      <c r="MZQ40" s="426"/>
      <c r="MZR40" s="424"/>
      <c r="MZS40" s="426"/>
      <c r="MZT40" s="424"/>
      <c r="MZU40" s="426"/>
      <c r="MZV40" s="424"/>
      <c r="MZW40" s="426"/>
      <c r="MZX40" s="424"/>
      <c r="MZY40" s="426"/>
      <c r="MZZ40" s="424"/>
      <c r="NAA40" s="426"/>
      <c r="NAB40" s="424"/>
      <c r="NAC40" s="426"/>
      <c r="NAD40" s="424"/>
      <c r="NAE40" s="426"/>
      <c r="NAF40" s="424"/>
      <c r="NAG40" s="426"/>
      <c r="NAH40" s="424"/>
      <c r="NAI40" s="426"/>
      <c r="NAJ40" s="424"/>
      <c r="NAK40" s="426"/>
      <c r="NAL40" s="424"/>
      <c r="NAM40" s="426"/>
      <c r="NAN40" s="424"/>
      <c r="NAO40" s="426"/>
      <c r="NAP40" s="424"/>
      <c r="NAQ40" s="426"/>
      <c r="NAR40" s="424"/>
      <c r="NAS40" s="426"/>
      <c r="NAT40" s="424"/>
      <c r="NAU40" s="426"/>
      <c r="NAV40" s="424"/>
      <c r="NAW40" s="426"/>
      <c r="NAX40" s="424"/>
      <c r="NAY40" s="426"/>
      <c r="NAZ40" s="424"/>
      <c r="NBA40" s="426"/>
      <c r="NBB40" s="424"/>
      <c r="NBC40" s="426"/>
      <c r="NBD40" s="424"/>
      <c r="NBE40" s="426"/>
      <c r="NBF40" s="424"/>
      <c r="NBG40" s="426"/>
      <c r="NBH40" s="424"/>
      <c r="NBI40" s="426"/>
      <c r="NBJ40" s="424"/>
      <c r="NBK40" s="426"/>
      <c r="NBL40" s="424"/>
      <c r="NBM40" s="426"/>
      <c r="NBN40" s="424"/>
      <c r="NBO40" s="426"/>
      <c r="NBP40" s="424"/>
      <c r="NBQ40" s="426"/>
      <c r="NBR40" s="424"/>
      <c r="NBS40" s="426"/>
      <c r="NBT40" s="424"/>
      <c r="NBU40" s="426"/>
      <c r="NBV40" s="424"/>
      <c r="NBW40" s="426"/>
      <c r="NBX40" s="424"/>
      <c r="NBY40" s="426"/>
      <c r="NBZ40" s="424"/>
      <c r="NCA40" s="426"/>
      <c r="NCB40" s="424"/>
      <c r="NCC40" s="426"/>
      <c r="NCD40" s="424"/>
      <c r="NCE40" s="426"/>
      <c r="NCF40" s="424"/>
      <c r="NCG40" s="426"/>
      <c r="NCH40" s="424"/>
      <c r="NCI40" s="426"/>
      <c r="NCJ40" s="424"/>
      <c r="NCK40" s="426"/>
      <c r="NCL40" s="424"/>
      <c r="NCM40" s="426"/>
      <c r="NCN40" s="424"/>
      <c r="NCO40" s="426"/>
      <c r="NCP40" s="424"/>
      <c r="NCQ40" s="426"/>
      <c r="NCR40" s="424"/>
      <c r="NCS40" s="426"/>
      <c r="NCT40" s="424"/>
      <c r="NCU40" s="426"/>
      <c r="NCV40" s="424"/>
      <c r="NCW40" s="426"/>
      <c r="NCX40" s="424"/>
      <c r="NCY40" s="426"/>
      <c r="NCZ40" s="424"/>
      <c r="NDA40" s="426"/>
      <c r="NDB40" s="424"/>
      <c r="NDC40" s="426"/>
      <c r="NDD40" s="424"/>
      <c r="NDE40" s="426"/>
      <c r="NDF40" s="424"/>
      <c r="NDG40" s="426"/>
      <c r="NDH40" s="424"/>
      <c r="NDI40" s="426"/>
      <c r="NDJ40" s="424"/>
      <c r="NDK40" s="426"/>
      <c r="NDL40" s="424"/>
      <c r="NDM40" s="426"/>
      <c r="NDN40" s="424"/>
      <c r="NDO40" s="426"/>
      <c r="NDP40" s="424"/>
      <c r="NDQ40" s="426"/>
      <c r="NDR40" s="424"/>
      <c r="NDS40" s="426"/>
      <c r="NDT40" s="424"/>
      <c r="NDU40" s="426"/>
      <c r="NDV40" s="424"/>
      <c r="NDW40" s="426"/>
      <c r="NDX40" s="424"/>
      <c r="NDY40" s="426"/>
      <c r="NDZ40" s="424"/>
      <c r="NEA40" s="426"/>
      <c r="NEB40" s="424"/>
      <c r="NEC40" s="426"/>
      <c r="NED40" s="424"/>
      <c r="NEE40" s="426"/>
      <c r="NEF40" s="424"/>
      <c r="NEG40" s="426"/>
      <c r="NEH40" s="424"/>
      <c r="NEI40" s="426"/>
      <c r="NEJ40" s="424"/>
      <c r="NEK40" s="426"/>
      <c r="NEL40" s="424"/>
      <c r="NEM40" s="426"/>
      <c r="NEN40" s="424"/>
      <c r="NEO40" s="426"/>
      <c r="NEP40" s="424"/>
      <c r="NEQ40" s="426"/>
      <c r="NER40" s="424"/>
      <c r="NES40" s="426"/>
      <c r="NET40" s="424"/>
      <c r="NEU40" s="426"/>
      <c r="NEV40" s="424"/>
      <c r="NEW40" s="426"/>
      <c r="NEX40" s="424"/>
      <c r="NEY40" s="426"/>
      <c r="NEZ40" s="424"/>
      <c r="NFA40" s="426"/>
      <c r="NFB40" s="424"/>
      <c r="NFC40" s="426"/>
      <c r="NFD40" s="424"/>
      <c r="NFE40" s="426"/>
      <c r="NFF40" s="424"/>
      <c r="NFG40" s="426"/>
      <c r="NFH40" s="424"/>
      <c r="NFI40" s="426"/>
      <c r="NFJ40" s="424"/>
      <c r="NFK40" s="426"/>
      <c r="NFL40" s="424"/>
      <c r="NFM40" s="426"/>
      <c r="NFN40" s="424"/>
      <c r="NFO40" s="426"/>
      <c r="NFP40" s="424"/>
      <c r="NFQ40" s="426"/>
      <c r="NFR40" s="424"/>
      <c r="NFS40" s="426"/>
      <c r="NFT40" s="424"/>
      <c r="NFU40" s="426"/>
      <c r="NFV40" s="424"/>
      <c r="NFW40" s="426"/>
      <c r="NFX40" s="424"/>
      <c r="NFY40" s="426"/>
      <c r="NFZ40" s="424"/>
      <c r="NGA40" s="426"/>
      <c r="NGB40" s="424"/>
      <c r="NGC40" s="426"/>
      <c r="NGD40" s="424"/>
      <c r="NGE40" s="426"/>
      <c r="NGF40" s="424"/>
      <c r="NGG40" s="426"/>
      <c r="NGH40" s="424"/>
      <c r="NGI40" s="426"/>
      <c r="NGJ40" s="424"/>
      <c r="NGK40" s="426"/>
      <c r="NGL40" s="424"/>
      <c r="NGM40" s="426"/>
      <c r="NGN40" s="424"/>
      <c r="NGO40" s="426"/>
      <c r="NGP40" s="424"/>
      <c r="NGQ40" s="426"/>
      <c r="NGR40" s="424"/>
      <c r="NGS40" s="426"/>
      <c r="NGT40" s="424"/>
      <c r="NGU40" s="426"/>
      <c r="NGV40" s="424"/>
      <c r="NGW40" s="426"/>
      <c r="NGX40" s="424"/>
      <c r="NGY40" s="426"/>
      <c r="NGZ40" s="424"/>
      <c r="NHA40" s="426"/>
      <c r="NHB40" s="424"/>
      <c r="NHC40" s="426"/>
      <c r="NHD40" s="424"/>
      <c r="NHE40" s="426"/>
      <c r="NHF40" s="424"/>
      <c r="NHG40" s="426"/>
      <c r="NHH40" s="424"/>
      <c r="NHI40" s="426"/>
      <c r="NHJ40" s="424"/>
      <c r="NHK40" s="426"/>
      <c r="NHL40" s="424"/>
      <c r="NHM40" s="426"/>
      <c r="NHN40" s="424"/>
      <c r="NHO40" s="426"/>
      <c r="NHP40" s="424"/>
      <c r="NHQ40" s="426"/>
      <c r="NHR40" s="424"/>
      <c r="NHS40" s="426"/>
      <c r="NHT40" s="424"/>
      <c r="NHU40" s="426"/>
      <c r="NHV40" s="424"/>
      <c r="NHW40" s="426"/>
      <c r="NHX40" s="424"/>
      <c r="NHY40" s="426"/>
      <c r="NHZ40" s="424"/>
      <c r="NIA40" s="426"/>
      <c r="NIB40" s="424"/>
      <c r="NIC40" s="426"/>
      <c r="NID40" s="424"/>
      <c r="NIE40" s="426"/>
      <c r="NIF40" s="424"/>
      <c r="NIG40" s="426"/>
      <c r="NIH40" s="424"/>
      <c r="NII40" s="426"/>
      <c r="NIJ40" s="424"/>
      <c r="NIK40" s="426"/>
      <c r="NIL40" s="424"/>
      <c r="NIM40" s="426"/>
      <c r="NIN40" s="424"/>
      <c r="NIO40" s="426"/>
      <c r="NIP40" s="424"/>
      <c r="NIQ40" s="426"/>
      <c r="NIR40" s="424"/>
      <c r="NIS40" s="426"/>
      <c r="NIT40" s="424"/>
      <c r="NIU40" s="426"/>
      <c r="NIV40" s="424"/>
      <c r="NIW40" s="426"/>
      <c r="NIX40" s="424"/>
      <c r="NIY40" s="426"/>
      <c r="NIZ40" s="424"/>
      <c r="NJA40" s="426"/>
      <c r="NJB40" s="424"/>
      <c r="NJC40" s="426"/>
      <c r="NJD40" s="424"/>
      <c r="NJE40" s="426"/>
      <c r="NJF40" s="424"/>
      <c r="NJG40" s="426"/>
      <c r="NJH40" s="424"/>
      <c r="NJI40" s="426"/>
      <c r="NJJ40" s="424"/>
      <c r="NJK40" s="426"/>
      <c r="NJL40" s="424"/>
      <c r="NJM40" s="426"/>
      <c r="NJN40" s="424"/>
      <c r="NJO40" s="426"/>
      <c r="NJP40" s="424"/>
      <c r="NJQ40" s="426"/>
      <c r="NJR40" s="424"/>
      <c r="NJS40" s="426"/>
      <c r="NJT40" s="424"/>
      <c r="NJU40" s="426"/>
      <c r="NJV40" s="424"/>
      <c r="NJW40" s="426"/>
      <c r="NJX40" s="424"/>
      <c r="NJY40" s="426"/>
      <c r="NJZ40" s="424"/>
      <c r="NKA40" s="426"/>
      <c r="NKB40" s="424"/>
      <c r="NKC40" s="426"/>
      <c r="NKD40" s="424"/>
      <c r="NKE40" s="426"/>
      <c r="NKF40" s="424"/>
      <c r="NKG40" s="426"/>
      <c r="NKH40" s="424"/>
      <c r="NKI40" s="426"/>
      <c r="NKJ40" s="424"/>
      <c r="NKK40" s="426"/>
      <c r="NKL40" s="424"/>
      <c r="NKM40" s="426"/>
      <c r="NKN40" s="424"/>
      <c r="NKO40" s="426"/>
      <c r="NKP40" s="424"/>
      <c r="NKQ40" s="426"/>
      <c r="NKR40" s="424"/>
      <c r="NKS40" s="426"/>
      <c r="NKT40" s="424"/>
      <c r="NKU40" s="426"/>
      <c r="NKV40" s="424"/>
      <c r="NKW40" s="426"/>
      <c r="NKX40" s="424"/>
      <c r="NKY40" s="426"/>
      <c r="NKZ40" s="424"/>
      <c r="NLA40" s="426"/>
      <c r="NLB40" s="424"/>
      <c r="NLC40" s="426"/>
      <c r="NLD40" s="424"/>
      <c r="NLE40" s="426"/>
      <c r="NLF40" s="424"/>
      <c r="NLG40" s="426"/>
      <c r="NLH40" s="424"/>
      <c r="NLI40" s="426"/>
      <c r="NLJ40" s="424"/>
      <c r="NLK40" s="426"/>
      <c r="NLL40" s="424"/>
      <c r="NLM40" s="426"/>
      <c r="NLN40" s="424"/>
      <c r="NLO40" s="426"/>
      <c r="NLP40" s="424"/>
      <c r="NLQ40" s="426"/>
      <c r="NLR40" s="424"/>
      <c r="NLS40" s="426"/>
      <c r="NLT40" s="424"/>
      <c r="NLU40" s="426"/>
      <c r="NLV40" s="424"/>
      <c r="NLW40" s="426"/>
      <c r="NLX40" s="424"/>
      <c r="NLY40" s="426"/>
      <c r="NLZ40" s="424"/>
      <c r="NMA40" s="426"/>
      <c r="NMB40" s="424"/>
      <c r="NMC40" s="426"/>
      <c r="NMD40" s="424"/>
      <c r="NME40" s="426"/>
      <c r="NMF40" s="424"/>
      <c r="NMG40" s="426"/>
      <c r="NMH40" s="424"/>
      <c r="NMI40" s="426"/>
      <c r="NMJ40" s="424"/>
      <c r="NMK40" s="426"/>
      <c r="NML40" s="424"/>
      <c r="NMM40" s="426"/>
      <c r="NMN40" s="424"/>
      <c r="NMO40" s="426"/>
      <c r="NMP40" s="424"/>
      <c r="NMQ40" s="426"/>
      <c r="NMR40" s="424"/>
      <c r="NMS40" s="426"/>
      <c r="NMT40" s="424"/>
      <c r="NMU40" s="426"/>
      <c r="NMV40" s="424"/>
      <c r="NMW40" s="426"/>
      <c r="NMX40" s="424"/>
      <c r="NMY40" s="426"/>
      <c r="NMZ40" s="424"/>
      <c r="NNA40" s="426"/>
      <c r="NNB40" s="424"/>
      <c r="NNC40" s="426"/>
      <c r="NND40" s="424"/>
      <c r="NNE40" s="426"/>
      <c r="NNF40" s="424"/>
      <c r="NNG40" s="426"/>
      <c r="NNH40" s="424"/>
      <c r="NNI40" s="426"/>
      <c r="NNJ40" s="424"/>
      <c r="NNK40" s="426"/>
      <c r="NNL40" s="424"/>
      <c r="NNM40" s="426"/>
      <c r="NNN40" s="424"/>
      <c r="NNO40" s="426"/>
      <c r="NNP40" s="424"/>
      <c r="NNQ40" s="426"/>
      <c r="NNR40" s="424"/>
      <c r="NNS40" s="426"/>
      <c r="NNT40" s="424"/>
      <c r="NNU40" s="426"/>
      <c r="NNV40" s="424"/>
      <c r="NNW40" s="426"/>
      <c r="NNX40" s="424"/>
      <c r="NNY40" s="426"/>
      <c r="NNZ40" s="424"/>
      <c r="NOA40" s="426"/>
      <c r="NOB40" s="424"/>
      <c r="NOC40" s="426"/>
      <c r="NOD40" s="424"/>
      <c r="NOE40" s="426"/>
      <c r="NOF40" s="424"/>
      <c r="NOG40" s="426"/>
      <c r="NOH40" s="424"/>
      <c r="NOI40" s="426"/>
      <c r="NOJ40" s="424"/>
      <c r="NOK40" s="426"/>
      <c r="NOL40" s="424"/>
      <c r="NOM40" s="426"/>
      <c r="NON40" s="424"/>
      <c r="NOO40" s="426"/>
      <c r="NOP40" s="424"/>
      <c r="NOQ40" s="426"/>
      <c r="NOR40" s="424"/>
      <c r="NOS40" s="426"/>
      <c r="NOT40" s="424"/>
      <c r="NOU40" s="426"/>
      <c r="NOV40" s="424"/>
      <c r="NOW40" s="426"/>
      <c r="NOX40" s="424"/>
      <c r="NOY40" s="426"/>
      <c r="NOZ40" s="424"/>
      <c r="NPA40" s="426"/>
      <c r="NPB40" s="424"/>
      <c r="NPC40" s="426"/>
      <c r="NPD40" s="424"/>
      <c r="NPE40" s="426"/>
      <c r="NPF40" s="424"/>
      <c r="NPG40" s="426"/>
      <c r="NPH40" s="424"/>
      <c r="NPI40" s="426"/>
      <c r="NPJ40" s="424"/>
      <c r="NPK40" s="426"/>
      <c r="NPL40" s="424"/>
      <c r="NPM40" s="426"/>
      <c r="NPN40" s="424"/>
      <c r="NPO40" s="426"/>
      <c r="NPP40" s="424"/>
      <c r="NPQ40" s="426"/>
      <c r="NPR40" s="424"/>
      <c r="NPS40" s="426"/>
      <c r="NPT40" s="424"/>
      <c r="NPU40" s="426"/>
      <c r="NPV40" s="424"/>
      <c r="NPW40" s="426"/>
      <c r="NPX40" s="424"/>
      <c r="NPY40" s="426"/>
      <c r="NPZ40" s="424"/>
      <c r="NQA40" s="426"/>
      <c r="NQB40" s="424"/>
      <c r="NQC40" s="426"/>
      <c r="NQD40" s="424"/>
      <c r="NQE40" s="426"/>
      <c r="NQF40" s="424"/>
      <c r="NQG40" s="426"/>
      <c r="NQH40" s="424"/>
      <c r="NQI40" s="426"/>
      <c r="NQJ40" s="424"/>
      <c r="NQK40" s="426"/>
      <c r="NQL40" s="424"/>
      <c r="NQM40" s="426"/>
      <c r="NQN40" s="424"/>
      <c r="NQO40" s="426"/>
      <c r="NQP40" s="424"/>
      <c r="NQQ40" s="426"/>
      <c r="NQR40" s="424"/>
      <c r="NQS40" s="426"/>
      <c r="NQT40" s="424"/>
      <c r="NQU40" s="426"/>
      <c r="NQV40" s="424"/>
      <c r="NQW40" s="426"/>
      <c r="NQX40" s="424"/>
      <c r="NQY40" s="426"/>
      <c r="NQZ40" s="424"/>
      <c r="NRA40" s="426"/>
      <c r="NRB40" s="424"/>
      <c r="NRC40" s="426"/>
      <c r="NRD40" s="424"/>
      <c r="NRE40" s="426"/>
      <c r="NRF40" s="424"/>
      <c r="NRG40" s="426"/>
      <c r="NRH40" s="424"/>
      <c r="NRI40" s="426"/>
      <c r="NRJ40" s="424"/>
      <c r="NRK40" s="426"/>
      <c r="NRL40" s="424"/>
      <c r="NRM40" s="426"/>
      <c r="NRN40" s="424"/>
      <c r="NRO40" s="426"/>
      <c r="NRP40" s="424"/>
      <c r="NRQ40" s="426"/>
      <c r="NRR40" s="424"/>
      <c r="NRS40" s="426"/>
      <c r="NRT40" s="424"/>
      <c r="NRU40" s="426"/>
      <c r="NRV40" s="424"/>
      <c r="NRW40" s="426"/>
      <c r="NRX40" s="424"/>
      <c r="NRY40" s="426"/>
      <c r="NRZ40" s="424"/>
      <c r="NSA40" s="426"/>
      <c r="NSB40" s="424"/>
      <c r="NSC40" s="426"/>
      <c r="NSD40" s="424"/>
      <c r="NSE40" s="426"/>
      <c r="NSF40" s="424"/>
      <c r="NSG40" s="426"/>
      <c r="NSH40" s="424"/>
      <c r="NSI40" s="426"/>
      <c r="NSJ40" s="424"/>
      <c r="NSK40" s="426"/>
      <c r="NSL40" s="424"/>
      <c r="NSM40" s="426"/>
      <c r="NSN40" s="424"/>
      <c r="NSO40" s="426"/>
      <c r="NSP40" s="424"/>
      <c r="NSQ40" s="426"/>
      <c r="NSR40" s="424"/>
      <c r="NSS40" s="426"/>
      <c r="NST40" s="424"/>
      <c r="NSU40" s="426"/>
      <c r="NSV40" s="424"/>
      <c r="NSW40" s="426"/>
      <c r="NSX40" s="424"/>
      <c r="NSY40" s="426"/>
      <c r="NSZ40" s="424"/>
      <c r="NTA40" s="426"/>
      <c r="NTB40" s="424"/>
      <c r="NTC40" s="426"/>
      <c r="NTD40" s="424"/>
      <c r="NTE40" s="426"/>
      <c r="NTF40" s="424"/>
      <c r="NTG40" s="426"/>
      <c r="NTH40" s="424"/>
      <c r="NTI40" s="426"/>
      <c r="NTJ40" s="424"/>
      <c r="NTK40" s="426"/>
      <c r="NTL40" s="424"/>
      <c r="NTM40" s="426"/>
      <c r="NTN40" s="424"/>
      <c r="NTO40" s="426"/>
      <c r="NTP40" s="424"/>
      <c r="NTQ40" s="426"/>
      <c r="NTR40" s="424"/>
      <c r="NTS40" s="426"/>
      <c r="NTT40" s="424"/>
      <c r="NTU40" s="426"/>
      <c r="NTV40" s="424"/>
      <c r="NTW40" s="426"/>
      <c r="NTX40" s="424"/>
      <c r="NTY40" s="426"/>
      <c r="NTZ40" s="424"/>
      <c r="NUA40" s="426"/>
      <c r="NUB40" s="424"/>
      <c r="NUC40" s="426"/>
      <c r="NUD40" s="424"/>
      <c r="NUE40" s="426"/>
      <c r="NUF40" s="424"/>
      <c r="NUG40" s="426"/>
      <c r="NUH40" s="424"/>
      <c r="NUI40" s="426"/>
      <c r="NUJ40" s="424"/>
      <c r="NUK40" s="426"/>
      <c r="NUL40" s="424"/>
      <c r="NUM40" s="426"/>
      <c r="NUN40" s="424"/>
      <c r="NUO40" s="426"/>
      <c r="NUP40" s="424"/>
      <c r="NUQ40" s="426"/>
      <c r="NUR40" s="424"/>
      <c r="NUS40" s="426"/>
      <c r="NUT40" s="424"/>
      <c r="NUU40" s="426"/>
      <c r="NUV40" s="424"/>
      <c r="NUW40" s="426"/>
      <c r="NUX40" s="424"/>
      <c r="NUY40" s="426"/>
      <c r="NUZ40" s="424"/>
      <c r="NVA40" s="426"/>
      <c r="NVB40" s="424"/>
      <c r="NVC40" s="426"/>
      <c r="NVD40" s="424"/>
      <c r="NVE40" s="426"/>
      <c r="NVF40" s="424"/>
      <c r="NVG40" s="426"/>
      <c r="NVH40" s="424"/>
      <c r="NVI40" s="426"/>
      <c r="NVJ40" s="424"/>
      <c r="NVK40" s="426"/>
      <c r="NVL40" s="424"/>
      <c r="NVM40" s="426"/>
      <c r="NVN40" s="424"/>
      <c r="NVO40" s="426"/>
      <c r="NVP40" s="424"/>
      <c r="NVQ40" s="426"/>
      <c r="NVR40" s="424"/>
      <c r="NVS40" s="426"/>
      <c r="NVT40" s="424"/>
      <c r="NVU40" s="426"/>
      <c r="NVV40" s="424"/>
      <c r="NVW40" s="426"/>
      <c r="NVX40" s="424"/>
      <c r="NVY40" s="426"/>
      <c r="NVZ40" s="424"/>
      <c r="NWA40" s="426"/>
      <c r="NWB40" s="424"/>
      <c r="NWC40" s="426"/>
      <c r="NWD40" s="424"/>
      <c r="NWE40" s="426"/>
      <c r="NWF40" s="424"/>
      <c r="NWG40" s="426"/>
      <c r="NWH40" s="424"/>
      <c r="NWI40" s="426"/>
      <c r="NWJ40" s="424"/>
      <c r="NWK40" s="426"/>
      <c r="NWL40" s="424"/>
      <c r="NWM40" s="426"/>
      <c r="NWN40" s="424"/>
      <c r="NWO40" s="426"/>
      <c r="NWP40" s="424"/>
      <c r="NWQ40" s="426"/>
      <c r="NWR40" s="424"/>
      <c r="NWS40" s="426"/>
      <c r="NWT40" s="424"/>
      <c r="NWU40" s="426"/>
      <c r="NWV40" s="424"/>
      <c r="NWW40" s="426"/>
      <c r="NWX40" s="424"/>
      <c r="NWY40" s="426"/>
      <c r="NWZ40" s="424"/>
      <c r="NXA40" s="426"/>
      <c r="NXB40" s="424"/>
      <c r="NXC40" s="426"/>
      <c r="NXD40" s="424"/>
      <c r="NXE40" s="426"/>
      <c r="NXF40" s="424"/>
      <c r="NXG40" s="426"/>
      <c r="NXH40" s="424"/>
      <c r="NXI40" s="426"/>
      <c r="NXJ40" s="424"/>
      <c r="NXK40" s="426"/>
      <c r="NXL40" s="424"/>
      <c r="NXM40" s="426"/>
      <c r="NXN40" s="424"/>
      <c r="NXO40" s="426"/>
      <c r="NXP40" s="424"/>
      <c r="NXQ40" s="426"/>
      <c r="NXR40" s="424"/>
      <c r="NXS40" s="426"/>
      <c r="NXT40" s="424"/>
      <c r="NXU40" s="426"/>
      <c r="NXV40" s="424"/>
      <c r="NXW40" s="426"/>
      <c r="NXX40" s="424"/>
      <c r="NXY40" s="426"/>
      <c r="NXZ40" s="424"/>
      <c r="NYA40" s="426"/>
      <c r="NYB40" s="424"/>
      <c r="NYC40" s="426"/>
      <c r="NYD40" s="424"/>
      <c r="NYE40" s="426"/>
      <c r="NYF40" s="424"/>
      <c r="NYG40" s="426"/>
      <c r="NYH40" s="424"/>
      <c r="NYI40" s="426"/>
      <c r="NYJ40" s="424"/>
      <c r="NYK40" s="426"/>
      <c r="NYL40" s="424"/>
      <c r="NYM40" s="426"/>
      <c r="NYN40" s="424"/>
      <c r="NYO40" s="426"/>
      <c r="NYP40" s="424"/>
      <c r="NYQ40" s="426"/>
      <c r="NYR40" s="424"/>
      <c r="NYS40" s="426"/>
      <c r="NYT40" s="424"/>
      <c r="NYU40" s="426"/>
      <c r="NYV40" s="424"/>
      <c r="NYW40" s="426"/>
      <c r="NYX40" s="424"/>
      <c r="NYY40" s="426"/>
      <c r="NYZ40" s="424"/>
      <c r="NZA40" s="426"/>
      <c r="NZB40" s="424"/>
      <c r="NZC40" s="426"/>
      <c r="NZD40" s="424"/>
      <c r="NZE40" s="426"/>
      <c r="NZF40" s="424"/>
      <c r="NZG40" s="426"/>
      <c r="NZH40" s="424"/>
      <c r="NZI40" s="426"/>
      <c r="NZJ40" s="424"/>
      <c r="NZK40" s="426"/>
      <c r="NZL40" s="424"/>
      <c r="NZM40" s="426"/>
      <c r="NZN40" s="424"/>
      <c r="NZO40" s="426"/>
      <c r="NZP40" s="424"/>
      <c r="NZQ40" s="426"/>
      <c r="NZR40" s="424"/>
      <c r="NZS40" s="426"/>
      <c r="NZT40" s="424"/>
      <c r="NZU40" s="426"/>
      <c r="NZV40" s="424"/>
      <c r="NZW40" s="426"/>
      <c r="NZX40" s="424"/>
      <c r="NZY40" s="426"/>
      <c r="NZZ40" s="424"/>
      <c r="OAA40" s="426"/>
      <c r="OAB40" s="424"/>
      <c r="OAC40" s="426"/>
      <c r="OAD40" s="424"/>
      <c r="OAE40" s="426"/>
      <c r="OAF40" s="424"/>
      <c r="OAG40" s="426"/>
      <c r="OAH40" s="424"/>
      <c r="OAI40" s="426"/>
      <c r="OAJ40" s="424"/>
      <c r="OAK40" s="426"/>
      <c r="OAL40" s="424"/>
      <c r="OAM40" s="426"/>
      <c r="OAN40" s="424"/>
      <c r="OAO40" s="426"/>
      <c r="OAP40" s="424"/>
      <c r="OAQ40" s="426"/>
      <c r="OAR40" s="424"/>
      <c r="OAS40" s="426"/>
      <c r="OAT40" s="424"/>
      <c r="OAU40" s="426"/>
      <c r="OAV40" s="424"/>
      <c r="OAW40" s="426"/>
      <c r="OAX40" s="424"/>
      <c r="OAY40" s="426"/>
      <c r="OAZ40" s="424"/>
      <c r="OBA40" s="426"/>
      <c r="OBB40" s="424"/>
      <c r="OBC40" s="426"/>
      <c r="OBD40" s="424"/>
      <c r="OBE40" s="426"/>
      <c r="OBF40" s="424"/>
      <c r="OBG40" s="426"/>
      <c r="OBH40" s="424"/>
      <c r="OBI40" s="426"/>
      <c r="OBJ40" s="424"/>
      <c r="OBK40" s="426"/>
      <c r="OBL40" s="424"/>
      <c r="OBM40" s="426"/>
      <c r="OBN40" s="424"/>
      <c r="OBO40" s="426"/>
      <c r="OBP40" s="424"/>
      <c r="OBQ40" s="426"/>
      <c r="OBR40" s="424"/>
      <c r="OBS40" s="426"/>
      <c r="OBT40" s="424"/>
      <c r="OBU40" s="426"/>
      <c r="OBV40" s="424"/>
      <c r="OBW40" s="426"/>
      <c r="OBX40" s="424"/>
      <c r="OBY40" s="426"/>
      <c r="OBZ40" s="424"/>
      <c r="OCA40" s="426"/>
      <c r="OCB40" s="424"/>
      <c r="OCC40" s="426"/>
      <c r="OCD40" s="424"/>
      <c r="OCE40" s="426"/>
      <c r="OCF40" s="424"/>
      <c r="OCG40" s="426"/>
      <c r="OCH40" s="424"/>
      <c r="OCI40" s="426"/>
      <c r="OCJ40" s="424"/>
      <c r="OCK40" s="426"/>
      <c r="OCL40" s="424"/>
      <c r="OCM40" s="426"/>
      <c r="OCN40" s="424"/>
      <c r="OCO40" s="426"/>
      <c r="OCP40" s="424"/>
      <c r="OCQ40" s="426"/>
      <c r="OCR40" s="424"/>
      <c r="OCS40" s="426"/>
      <c r="OCT40" s="424"/>
      <c r="OCU40" s="426"/>
      <c r="OCV40" s="424"/>
      <c r="OCW40" s="426"/>
      <c r="OCX40" s="424"/>
      <c r="OCY40" s="426"/>
      <c r="OCZ40" s="424"/>
      <c r="ODA40" s="426"/>
      <c r="ODB40" s="424"/>
      <c r="ODC40" s="426"/>
      <c r="ODD40" s="424"/>
      <c r="ODE40" s="426"/>
      <c r="ODF40" s="424"/>
      <c r="ODG40" s="426"/>
      <c r="ODH40" s="424"/>
      <c r="ODI40" s="426"/>
      <c r="ODJ40" s="424"/>
      <c r="ODK40" s="426"/>
      <c r="ODL40" s="424"/>
      <c r="ODM40" s="426"/>
      <c r="ODN40" s="424"/>
      <c r="ODO40" s="426"/>
      <c r="ODP40" s="424"/>
      <c r="ODQ40" s="426"/>
      <c r="ODR40" s="424"/>
      <c r="ODS40" s="426"/>
      <c r="ODT40" s="424"/>
      <c r="ODU40" s="426"/>
      <c r="ODV40" s="424"/>
      <c r="ODW40" s="426"/>
      <c r="ODX40" s="424"/>
      <c r="ODY40" s="426"/>
      <c r="ODZ40" s="424"/>
      <c r="OEA40" s="426"/>
      <c r="OEB40" s="424"/>
      <c r="OEC40" s="426"/>
      <c r="OED40" s="424"/>
      <c r="OEE40" s="426"/>
      <c r="OEF40" s="424"/>
      <c r="OEG40" s="426"/>
      <c r="OEH40" s="424"/>
      <c r="OEI40" s="426"/>
      <c r="OEJ40" s="424"/>
      <c r="OEK40" s="426"/>
      <c r="OEL40" s="424"/>
      <c r="OEM40" s="426"/>
      <c r="OEN40" s="424"/>
      <c r="OEO40" s="426"/>
      <c r="OEP40" s="424"/>
      <c r="OEQ40" s="426"/>
      <c r="OER40" s="424"/>
      <c r="OES40" s="426"/>
      <c r="OET40" s="424"/>
      <c r="OEU40" s="426"/>
      <c r="OEV40" s="424"/>
      <c r="OEW40" s="426"/>
      <c r="OEX40" s="424"/>
      <c r="OEY40" s="426"/>
      <c r="OEZ40" s="424"/>
      <c r="OFA40" s="426"/>
      <c r="OFB40" s="424"/>
      <c r="OFC40" s="426"/>
      <c r="OFD40" s="424"/>
      <c r="OFE40" s="426"/>
      <c r="OFF40" s="424"/>
      <c r="OFG40" s="426"/>
      <c r="OFH40" s="424"/>
      <c r="OFI40" s="426"/>
      <c r="OFJ40" s="424"/>
      <c r="OFK40" s="426"/>
      <c r="OFL40" s="424"/>
      <c r="OFM40" s="426"/>
      <c r="OFN40" s="424"/>
      <c r="OFO40" s="426"/>
      <c r="OFP40" s="424"/>
      <c r="OFQ40" s="426"/>
      <c r="OFR40" s="424"/>
      <c r="OFS40" s="426"/>
      <c r="OFT40" s="424"/>
      <c r="OFU40" s="426"/>
      <c r="OFV40" s="424"/>
      <c r="OFW40" s="426"/>
      <c r="OFX40" s="424"/>
      <c r="OFY40" s="426"/>
      <c r="OFZ40" s="424"/>
      <c r="OGA40" s="426"/>
      <c r="OGB40" s="424"/>
      <c r="OGC40" s="426"/>
      <c r="OGD40" s="424"/>
      <c r="OGE40" s="426"/>
      <c r="OGF40" s="424"/>
      <c r="OGG40" s="426"/>
      <c r="OGH40" s="424"/>
      <c r="OGI40" s="426"/>
      <c r="OGJ40" s="424"/>
      <c r="OGK40" s="426"/>
      <c r="OGL40" s="424"/>
      <c r="OGM40" s="426"/>
      <c r="OGN40" s="424"/>
      <c r="OGO40" s="426"/>
      <c r="OGP40" s="424"/>
      <c r="OGQ40" s="426"/>
      <c r="OGR40" s="424"/>
      <c r="OGS40" s="426"/>
      <c r="OGT40" s="424"/>
      <c r="OGU40" s="426"/>
      <c r="OGV40" s="424"/>
      <c r="OGW40" s="426"/>
      <c r="OGX40" s="424"/>
      <c r="OGY40" s="426"/>
      <c r="OGZ40" s="424"/>
      <c r="OHA40" s="426"/>
      <c r="OHB40" s="424"/>
      <c r="OHC40" s="426"/>
      <c r="OHD40" s="424"/>
      <c r="OHE40" s="426"/>
      <c r="OHF40" s="424"/>
      <c r="OHG40" s="426"/>
      <c r="OHH40" s="424"/>
      <c r="OHI40" s="426"/>
      <c r="OHJ40" s="424"/>
      <c r="OHK40" s="426"/>
      <c r="OHL40" s="424"/>
      <c r="OHM40" s="426"/>
      <c r="OHN40" s="424"/>
      <c r="OHO40" s="426"/>
      <c r="OHP40" s="424"/>
      <c r="OHQ40" s="426"/>
      <c r="OHR40" s="424"/>
      <c r="OHS40" s="426"/>
      <c r="OHT40" s="424"/>
      <c r="OHU40" s="426"/>
      <c r="OHV40" s="424"/>
      <c r="OHW40" s="426"/>
      <c r="OHX40" s="424"/>
      <c r="OHY40" s="426"/>
      <c r="OHZ40" s="424"/>
      <c r="OIA40" s="426"/>
      <c r="OIB40" s="424"/>
      <c r="OIC40" s="426"/>
      <c r="OID40" s="424"/>
      <c r="OIE40" s="426"/>
      <c r="OIF40" s="424"/>
      <c r="OIG40" s="426"/>
      <c r="OIH40" s="424"/>
      <c r="OII40" s="426"/>
      <c r="OIJ40" s="424"/>
      <c r="OIK40" s="426"/>
      <c r="OIL40" s="424"/>
      <c r="OIM40" s="426"/>
      <c r="OIN40" s="424"/>
      <c r="OIO40" s="426"/>
      <c r="OIP40" s="424"/>
      <c r="OIQ40" s="426"/>
      <c r="OIR40" s="424"/>
      <c r="OIS40" s="426"/>
      <c r="OIT40" s="424"/>
      <c r="OIU40" s="426"/>
      <c r="OIV40" s="424"/>
      <c r="OIW40" s="426"/>
      <c r="OIX40" s="424"/>
      <c r="OIY40" s="426"/>
      <c r="OIZ40" s="424"/>
      <c r="OJA40" s="426"/>
      <c r="OJB40" s="424"/>
      <c r="OJC40" s="426"/>
      <c r="OJD40" s="424"/>
      <c r="OJE40" s="426"/>
      <c r="OJF40" s="424"/>
      <c r="OJG40" s="426"/>
      <c r="OJH40" s="424"/>
      <c r="OJI40" s="426"/>
      <c r="OJJ40" s="424"/>
      <c r="OJK40" s="426"/>
      <c r="OJL40" s="424"/>
      <c r="OJM40" s="426"/>
      <c r="OJN40" s="424"/>
      <c r="OJO40" s="426"/>
      <c r="OJP40" s="424"/>
      <c r="OJQ40" s="426"/>
      <c r="OJR40" s="424"/>
      <c r="OJS40" s="426"/>
      <c r="OJT40" s="424"/>
      <c r="OJU40" s="426"/>
      <c r="OJV40" s="424"/>
      <c r="OJW40" s="426"/>
      <c r="OJX40" s="424"/>
      <c r="OJY40" s="426"/>
      <c r="OJZ40" s="424"/>
      <c r="OKA40" s="426"/>
      <c r="OKB40" s="424"/>
      <c r="OKC40" s="426"/>
      <c r="OKD40" s="424"/>
      <c r="OKE40" s="426"/>
      <c r="OKF40" s="424"/>
      <c r="OKG40" s="426"/>
      <c r="OKH40" s="424"/>
      <c r="OKI40" s="426"/>
      <c r="OKJ40" s="424"/>
      <c r="OKK40" s="426"/>
      <c r="OKL40" s="424"/>
      <c r="OKM40" s="426"/>
      <c r="OKN40" s="424"/>
      <c r="OKO40" s="426"/>
      <c r="OKP40" s="424"/>
      <c r="OKQ40" s="426"/>
      <c r="OKR40" s="424"/>
      <c r="OKS40" s="426"/>
      <c r="OKT40" s="424"/>
      <c r="OKU40" s="426"/>
      <c r="OKV40" s="424"/>
      <c r="OKW40" s="426"/>
      <c r="OKX40" s="424"/>
      <c r="OKY40" s="426"/>
      <c r="OKZ40" s="424"/>
      <c r="OLA40" s="426"/>
      <c r="OLB40" s="424"/>
      <c r="OLC40" s="426"/>
      <c r="OLD40" s="424"/>
      <c r="OLE40" s="426"/>
      <c r="OLF40" s="424"/>
      <c r="OLG40" s="426"/>
      <c r="OLH40" s="424"/>
      <c r="OLI40" s="426"/>
      <c r="OLJ40" s="424"/>
      <c r="OLK40" s="426"/>
      <c r="OLL40" s="424"/>
      <c r="OLM40" s="426"/>
      <c r="OLN40" s="424"/>
      <c r="OLO40" s="426"/>
      <c r="OLP40" s="424"/>
      <c r="OLQ40" s="426"/>
      <c r="OLR40" s="424"/>
      <c r="OLS40" s="426"/>
      <c r="OLT40" s="424"/>
      <c r="OLU40" s="426"/>
      <c r="OLV40" s="424"/>
      <c r="OLW40" s="426"/>
      <c r="OLX40" s="424"/>
      <c r="OLY40" s="426"/>
      <c r="OLZ40" s="424"/>
      <c r="OMA40" s="426"/>
      <c r="OMB40" s="424"/>
      <c r="OMC40" s="426"/>
      <c r="OMD40" s="424"/>
      <c r="OME40" s="426"/>
      <c r="OMF40" s="424"/>
      <c r="OMG40" s="426"/>
      <c r="OMH40" s="424"/>
      <c r="OMI40" s="426"/>
      <c r="OMJ40" s="424"/>
      <c r="OMK40" s="426"/>
      <c r="OML40" s="424"/>
      <c r="OMM40" s="426"/>
      <c r="OMN40" s="424"/>
      <c r="OMO40" s="426"/>
      <c r="OMP40" s="424"/>
      <c r="OMQ40" s="426"/>
      <c r="OMR40" s="424"/>
      <c r="OMS40" s="426"/>
      <c r="OMT40" s="424"/>
      <c r="OMU40" s="426"/>
      <c r="OMV40" s="424"/>
      <c r="OMW40" s="426"/>
      <c r="OMX40" s="424"/>
      <c r="OMY40" s="426"/>
      <c r="OMZ40" s="424"/>
      <c r="ONA40" s="426"/>
      <c r="ONB40" s="424"/>
      <c r="ONC40" s="426"/>
      <c r="OND40" s="424"/>
      <c r="ONE40" s="426"/>
      <c r="ONF40" s="424"/>
      <c r="ONG40" s="426"/>
      <c r="ONH40" s="424"/>
      <c r="ONI40" s="426"/>
      <c r="ONJ40" s="424"/>
      <c r="ONK40" s="426"/>
      <c r="ONL40" s="424"/>
      <c r="ONM40" s="426"/>
      <c r="ONN40" s="424"/>
      <c r="ONO40" s="426"/>
      <c r="ONP40" s="424"/>
      <c r="ONQ40" s="426"/>
      <c r="ONR40" s="424"/>
      <c r="ONS40" s="426"/>
      <c r="ONT40" s="424"/>
      <c r="ONU40" s="426"/>
      <c r="ONV40" s="424"/>
      <c r="ONW40" s="426"/>
      <c r="ONX40" s="424"/>
      <c r="ONY40" s="426"/>
      <c r="ONZ40" s="424"/>
      <c r="OOA40" s="426"/>
      <c r="OOB40" s="424"/>
      <c r="OOC40" s="426"/>
      <c r="OOD40" s="424"/>
      <c r="OOE40" s="426"/>
      <c r="OOF40" s="424"/>
      <c r="OOG40" s="426"/>
      <c r="OOH40" s="424"/>
      <c r="OOI40" s="426"/>
      <c r="OOJ40" s="424"/>
      <c r="OOK40" s="426"/>
      <c r="OOL40" s="424"/>
      <c r="OOM40" s="426"/>
      <c r="OON40" s="424"/>
      <c r="OOO40" s="426"/>
      <c r="OOP40" s="424"/>
      <c r="OOQ40" s="426"/>
      <c r="OOR40" s="424"/>
      <c r="OOS40" s="426"/>
      <c r="OOT40" s="424"/>
      <c r="OOU40" s="426"/>
      <c r="OOV40" s="424"/>
      <c r="OOW40" s="426"/>
      <c r="OOX40" s="424"/>
      <c r="OOY40" s="426"/>
      <c r="OOZ40" s="424"/>
      <c r="OPA40" s="426"/>
      <c r="OPB40" s="424"/>
      <c r="OPC40" s="426"/>
      <c r="OPD40" s="424"/>
      <c r="OPE40" s="426"/>
      <c r="OPF40" s="424"/>
      <c r="OPG40" s="426"/>
      <c r="OPH40" s="424"/>
      <c r="OPI40" s="426"/>
      <c r="OPJ40" s="424"/>
      <c r="OPK40" s="426"/>
      <c r="OPL40" s="424"/>
      <c r="OPM40" s="426"/>
      <c r="OPN40" s="424"/>
      <c r="OPO40" s="426"/>
      <c r="OPP40" s="424"/>
      <c r="OPQ40" s="426"/>
      <c r="OPR40" s="424"/>
      <c r="OPS40" s="426"/>
      <c r="OPT40" s="424"/>
      <c r="OPU40" s="426"/>
      <c r="OPV40" s="424"/>
      <c r="OPW40" s="426"/>
      <c r="OPX40" s="424"/>
      <c r="OPY40" s="426"/>
      <c r="OPZ40" s="424"/>
      <c r="OQA40" s="426"/>
      <c r="OQB40" s="424"/>
      <c r="OQC40" s="426"/>
      <c r="OQD40" s="424"/>
      <c r="OQE40" s="426"/>
      <c r="OQF40" s="424"/>
      <c r="OQG40" s="426"/>
      <c r="OQH40" s="424"/>
      <c r="OQI40" s="426"/>
      <c r="OQJ40" s="424"/>
      <c r="OQK40" s="426"/>
      <c r="OQL40" s="424"/>
      <c r="OQM40" s="426"/>
      <c r="OQN40" s="424"/>
      <c r="OQO40" s="426"/>
      <c r="OQP40" s="424"/>
      <c r="OQQ40" s="426"/>
      <c r="OQR40" s="424"/>
      <c r="OQS40" s="426"/>
      <c r="OQT40" s="424"/>
      <c r="OQU40" s="426"/>
      <c r="OQV40" s="424"/>
      <c r="OQW40" s="426"/>
      <c r="OQX40" s="424"/>
      <c r="OQY40" s="426"/>
      <c r="OQZ40" s="424"/>
      <c r="ORA40" s="426"/>
      <c r="ORB40" s="424"/>
      <c r="ORC40" s="426"/>
      <c r="ORD40" s="424"/>
      <c r="ORE40" s="426"/>
      <c r="ORF40" s="424"/>
      <c r="ORG40" s="426"/>
      <c r="ORH40" s="424"/>
      <c r="ORI40" s="426"/>
      <c r="ORJ40" s="424"/>
      <c r="ORK40" s="426"/>
      <c r="ORL40" s="424"/>
      <c r="ORM40" s="426"/>
      <c r="ORN40" s="424"/>
      <c r="ORO40" s="426"/>
      <c r="ORP40" s="424"/>
      <c r="ORQ40" s="426"/>
      <c r="ORR40" s="424"/>
      <c r="ORS40" s="426"/>
      <c r="ORT40" s="424"/>
      <c r="ORU40" s="426"/>
      <c r="ORV40" s="424"/>
      <c r="ORW40" s="426"/>
      <c r="ORX40" s="424"/>
      <c r="ORY40" s="426"/>
      <c r="ORZ40" s="424"/>
      <c r="OSA40" s="426"/>
      <c r="OSB40" s="424"/>
      <c r="OSC40" s="426"/>
      <c r="OSD40" s="424"/>
      <c r="OSE40" s="426"/>
      <c r="OSF40" s="424"/>
      <c r="OSG40" s="426"/>
      <c r="OSH40" s="424"/>
      <c r="OSI40" s="426"/>
      <c r="OSJ40" s="424"/>
      <c r="OSK40" s="426"/>
      <c r="OSL40" s="424"/>
      <c r="OSM40" s="426"/>
      <c r="OSN40" s="424"/>
      <c r="OSO40" s="426"/>
      <c r="OSP40" s="424"/>
      <c r="OSQ40" s="426"/>
      <c r="OSR40" s="424"/>
      <c r="OSS40" s="426"/>
      <c r="OST40" s="424"/>
      <c r="OSU40" s="426"/>
      <c r="OSV40" s="424"/>
      <c r="OSW40" s="426"/>
      <c r="OSX40" s="424"/>
      <c r="OSY40" s="426"/>
      <c r="OSZ40" s="424"/>
      <c r="OTA40" s="426"/>
      <c r="OTB40" s="424"/>
      <c r="OTC40" s="426"/>
      <c r="OTD40" s="424"/>
      <c r="OTE40" s="426"/>
      <c r="OTF40" s="424"/>
      <c r="OTG40" s="426"/>
      <c r="OTH40" s="424"/>
      <c r="OTI40" s="426"/>
      <c r="OTJ40" s="424"/>
      <c r="OTK40" s="426"/>
      <c r="OTL40" s="424"/>
      <c r="OTM40" s="426"/>
      <c r="OTN40" s="424"/>
      <c r="OTO40" s="426"/>
      <c r="OTP40" s="424"/>
      <c r="OTQ40" s="426"/>
      <c r="OTR40" s="424"/>
      <c r="OTS40" s="426"/>
      <c r="OTT40" s="424"/>
      <c r="OTU40" s="426"/>
      <c r="OTV40" s="424"/>
      <c r="OTW40" s="426"/>
      <c r="OTX40" s="424"/>
      <c r="OTY40" s="426"/>
      <c r="OTZ40" s="424"/>
      <c r="OUA40" s="426"/>
      <c r="OUB40" s="424"/>
      <c r="OUC40" s="426"/>
      <c r="OUD40" s="424"/>
      <c r="OUE40" s="426"/>
      <c r="OUF40" s="424"/>
      <c r="OUG40" s="426"/>
      <c r="OUH40" s="424"/>
      <c r="OUI40" s="426"/>
      <c r="OUJ40" s="424"/>
      <c r="OUK40" s="426"/>
      <c r="OUL40" s="424"/>
      <c r="OUM40" s="426"/>
      <c r="OUN40" s="424"/>
      <c r="OUO40" s="426"/>
      <c r="OUP40" s="424"/>
      <c r="OUQ40" s="426"/>
      <c r="OUR40" s="424"/>
      <c r="OUS40" s="426"/>
      <c r="OUT40" s="424"/>
      <c r="OUU40" s="426"/>
      <c r="OUV40" s="424"/>
      <c r="OUW40" s="426"/>
      <c r="OUX40" s="424"/>
      <c r="OUY40" s="426"/>
      <c r="OUZ40" s="424"/>
      <c r="OVA40" s="426"/>
      <c r="OVB40" s="424"/>
      <c r="OVC40" s="426"/>
      <c r="OVD40" s="424"/>
      <c r="OVE40" s="426"/>
      <c r="OVF40" s="424"/>
      <c r="OVG40" s="426"/>
      <c r="OVH40" s="424"/>
      <c r="OVI40" s="426"/>
      <c r="OVJ40" s="424"/>
      <c r="OVK40" s="426"/>
      <c r="OVL40" s="424"/>
      <c r="OVM40" s="426"/>
      <c r="OVN40" s="424"/>
      <c r="OVO40" s="426"/>
      <c r="OVP40" s="424"/>
      <c r="OVQ40" s="426"/>
      <c r="OVR40" s="424"/>
      <c r="OVS40" s="426"/>
      <c r="OVT40" s="424"/>
      <c r="OVU40" s="426"/>
      <c r="OVV40" s="424"/>
      <c r="OVW40" s="426"/>
      <c r="OVX40" s="424"/>
      <c r="OVY40" s="426"/>
      <c r="OVZ40" s="424"/>
      <c r="OWA40" s="426"/>
      <c r="OWB40" s="424"/>
      <c r="OWC40" s="426"/>
      <c r="OWD40" s="424"/>
      <c r="OWE40" s="426"/>
      <c r="OWF40" s="424"/>
      <c r="OWG40" s="426"/>
      <c r="OWH40" s="424"/>
      <c r="OWI40" s="426"/>
      <c r="OWJ40" s="424"/>
      <c r="OWK40" s="426"/>
      <c r="OWL40" s="424"/>
      <c r="OWM40" s="426"/>
      <c r="OWN40" s="424"/>
      <c r="OWO40" s="426"/>
      <c r="OWP40" s="424"/>
      <c r="OWQ40" s="426"/>
      <c r="OWR40" s="424"/>
      <c r="OWS40" s="426"/>
      <c r="OWT40" s="424"/>
      <c r="OWU40" s="426"/>
      <c r="OWV40" s="424"/>
      <c r="OWW40" s="426"/>
      <c r="OWX40" s="424"/>
      <c r="OWY40" s="426"/>
      <c r="OWZ40" s="424"/>
      <c r="OXA40" s="426"/>
      <c r="OXB40" s="424"/>
      <c r="OXC40" s="426"/>
      <c r="OXD40" s="424"/>
      <c r="OXE40" s="426"/>
      <c r="OXF40" s="424"/>
      <c r="OXG40" s="426"/>
      <c r="OXH40" s="424"/>
      <c r="OXI40" s="426"/>
      <c r="OXJ40" s="424"/>
      <c r="OXK40" s="426"/>
      <c r="OXL40" s="424"/>
      <c r="OXM40" s="426"/>
      <c r="OXN40" s="424"/>
      <c r="OXO40" s="426"/>
      <c r="OXP40" s="424"/>
      <c r="OXQ40" s="426"/>
      <c r="OXR40" s="424"/>
      <c r="OXS40" s="426"/>
      <c r="OXT40" s="424"/>
      <c r="OXU40" s="426"/>
      <c r="OXV40" s="424"/>
      <c r="OXW40" s="426"/>
      <c r="OXX40" s="424"/>
      <c r="OXY40" s="426"/>
      <c r="OXZ40" s="424"/>
      <c r="OYA40" s="426"/>
      <c r="OYB40" s="424"/>
      <c r="OYC40" s="426"/>
      <c r="OYD40" s="424"/>
      <c r="OYE40" s="426"/>
      <c r="OYF40" s="424"/>
      <c r="OYG40" s="426"/>
      <c r="OYH40" s="424"/>
      <c r="OYI40" s="426"/>
      <c r="OYJ40" s="424"/>
      <c r="OYK40" s="426"/>
      <c r="OYL40" s="424"/>
      <c r="OYM40" s="426"/>
      <c r="OYN40" s="424"/>
      <c r="OYO40" s="426"/>
      <c r="OYP40" s="424"/>
      <c r="OYQ40" s="426"/>
      <c r="OYR40" s="424"/>
      <c r="OYS40" s="426"/>
      <c r="OYT40" s="424"/>
      <c r="OYU40" s="426"/>
      <c r="OYV40" s="424"/>
      <c r="OYW40" s="426"/>
      <c r="OYX40" s="424"/>
      <c r="OYY40" s="426"/>
      <c r="OYZ40" s="424"/>
      <c r="OZA40" s="426"/>
      <c r="OZB40" s="424"/>
      <c r="OZC40" s="426"/>
      <c r="OZD40" s="424"/>
      <c r="OZE40" s="426"/>
      <c r="OZF40" s="424"/>
      <c r="OZG40" s="426"/>
      <c r="OZH40" s="424"/>
      <c r="OZI40" s="426"/>
      <c r="OZJ40" s="424"/>
      <c r="OZK40" s="426"/>
      <c r="OZL40" s="424"/>
      <c r="OZM40" s="426"/>
      <c r="OZN40" s="424"/>
      <c r="OZO40" s="426"/>
      <c r="OZP40" s="424"/>
      <c r="OZQ40" s="426"/>
      <c r="OZR40" s="424"/>
      <c r="OZS40" s="426"/>
      <c r="OZT40" s="424"/>
      <c r="OZU40" s="426"/>
      <c r="OZV40" s="424"/>
      <c r="OZW40" s="426"/>
      <c r="OZX40" s="424"/>
      <c r="OZY40" s="426"/>
      <c r="OZZ40" s="424"/>
      <c r="PAA40" s="426"/>
      <c r="PAB40" s="424"/>
      <c r="PAC40" s="426"/>
      <c r="PAD40" s="424"/>
      <c r="PAE40" s="426"/>
      <c r="PAF40" s="424"/>
      <c r="PAG40" s="426"/>
      <c r="PAH40" s="424"/>
      <c r="PAI40" s="426"/>
      <c r="PAJ40" s="424"/>
      <c r="PAK40" s="426"/>
      <c r="PAL40" s="424"/>
      <c r="PAM40" s="426"/>
      <c r="PAN40" s="424"/>
      <c r="PAO40" s="426"/>
      <c r="PAP40" s="424"/>
      <c r="PAQ40" s="426"/>
      <c r="PAR40" s="424"/>
      <c r="PAS40" s="426"/>
      <c r="PAT40" s="424"/>
      <c r="PAU40" s="426"/>
      <c r="PAV40" s="424"/>
      <c r="PAW40" s="426"/>
      <c r="PAX40" s="424"/>
      <c r="PAY40" s="426"/>
      <c r="PAZ40" s="424"/>
      <c r="PBA40" s="426"/>
      <c r="PBB40" s="424"/>
      <c r="PBC40" s="426"/>
      <c r="PBD40" s="424"/>
      <c r="PBE40" s="426"/>
      <c r="PBF40" s="424"/>
      <c r="PBG40" s="426"/>
      <c r="PBH40" s="424"/>
      <c r="PBI40" s="426"/>
      <c r="PBJ40" s="424"/>
      <c r="PBK40" s="426"/>
      <c r="PBL40" s="424"/>
      <c r="PBM40" s="426"/>
      <c r="PBN40" s="424"/>
      <c r="PBO40" s="426"/>
      <c r="PBP40" s="424"/>
      <c r="PBQ40" s="426"/>
      <c r="PBR40" s="424"/>
      <c r="PBS40" s="426"/>
      <c r="PBT40" s="424"/>
      <c r="PBU40" s="426"/>
      <c r="PBV40" s="424"/>
      <c r="PBW40" s="426"/>
      <c r="PBX40" s="424"/>
      <c r="PBY40" s="426"/>
      <c r="PBZ40" s="424"/>
      <c r="PCA40" s="426"/>
      <c r="PCB40" s="424"/>
      <c r="PCC40" s="426"/>
      <c r="PCD40" s="424"/>
      <c r="PCE40" s="426"/>
      <c r="PCF40" s="424"/>
      <c r="PCG40" s="426"/>
      <c r="PCH40" s="424"/>
      <c r="PCI40" s="426"/>
      <c r="PCJ40" s="424"/>
      <c r="PCK40" s="426"/>
      <c r="PCL40" s="424"/>
      <c r="PCM40" s="426"/>
      <c r="PCN40" s="424"/>
      <c r="PCO40" s="426"/>
      <c r="PCP40" s="424"/>
      <c r="PCQ40" s="426"/>
      <c r="PCR40" s="424"/>
      <c r="PCS40" s="426"/>
      <c r="PCT40" s="424"/>
      <c r="PCU40" s="426"/>
      <c r="PCV40" s="424"/>
      <c r="PCW40" s="426"/>
      <c r="PCX40" s="424"/>
      <c r="PCY40" s="426"/>
      <c r="PCZ40" s="424"/>
      <c r="PDA40" s="426"/>
      <c r="PDB40" s="424"/>
      <c r="PDC40" s="426"/>
      <c r="PDD40" s="424"/>
      <c r="PDE40" s="426"/>
      <c r="PDF40" s="424"/>
      <c r="PDG40" s="426"/>
      <c r="PDH40" s="424"/>
      <c r="PDI40" s="426"/>
      <c r="PDJ40" s="424"/>
      <c r="PDK40" s="426"/>
      <c r="PDL40" s="424"/>
      <c r="PDM40" s="426"/>
      <c r="PDN40" s="424"/>
      <c r="PDO40" s="426"/>
      <c r="PDP40" s="424"/>
      <c r="PDQ40" s="426"/>
      <c r="PDR40" s="424"/>
      <c r="PDS40" s="426"/>
      <c r="PDT40" s="424"/>
      <c r="PDU40" s="426"/>
      <c r="PDV40" s="424"/>
      <c r="PDW40" s="426"/>
      <c r="PDX40" s="424"/>
      <c r="PDY40" s="426"/>
      <c r="PDZ40" s="424"/>
      <c r="PEA40" s="426"/>
      <c r="PEB40" s="424"/>
      <c r="PEC40" s="426"/>
      <c r="PED40" s="424"/>
      <c r="PEE40" s="426"/>
      <c r="PEF40" s="424"/>
      <c r="PEG40" s="426"/>
      <c r="PEH40" s="424"/>
      <c r="PEI40" s="426"/>
      <c r="PEJ40" s="424"/>
      <c r="PEK40" s="426"/>
      <c r="PEL40" s="424"/>
      <c r="PEM40" s="426"/>
      <c r="PEN40" s="424"/>
      <c r="PEO40" s="426"/>
      <c r="PEP40" s="424"/>
      <c r="PEQ40" s="426"/>
      <c r="PER40" s="424"/>
      <c r="PES40" s="426"/>
      <c r="PET40" s="424"/>
      <c r="PEU40" s="426"/>
      <c r="PEV40" s="424"/>
      <c r="PEW40" s="426"/>
      <c r="PEX40" s="424"/>
      <c r="PEY40" s="426"/>
      <c r="PEZ40" s="424"/>
      <c r="PFA40" s="426"/>
      <c r="PFB40" s="424"/>
      <c r="PFC40" s="426"/>
      <c r="PFD40" s="424"/>
      <c r="PFE40" s="426"/>
      <c r="PFF40" s="424"/>
      <c r="PFG40" s="426"/>
      <c r="PFH40" s="424"/>
      <c r="PFI40" s="426"/>
      <c r="PFJ40" s="424"/>
      <c r="PFK40" s="426"/>
      <c r="PFL40" s="424"/>
      <c r="PFM40" s="426"/>
      <c r="PFN40" s="424"/>
      <c r="PFO40" s="426"/>
      <c r="PFP40" s="424"/>
      <c r="PFQ40" s="426"/>
      <c r="PFR40" s="424"/>
      <c r="PFS40" s="426"/>
      <c r="PFT40" s="424"/>
      <c r="PFU40" s="426"/>
      <c r="PFV40" s="424"/>
      <c r="PFW40" s="426"/>
      <c r="PFX40" s="424"/>
      <c r="PFY40" s="426"/>
      <c r="PFZ40" s="424"/>
      <c r="PGA40" s="426"/>
      <c r="PGB40" s="424"/>
      <c r="PGC40" s="426"/>
      <c r="PGD40" s="424"/>
      <c r="PGE40" s="426"/>
      <c r="PGF40" s="424"/>
      <c r="PGG40" s="426"/>
      <c r="PGH40" s="424"/>
      <c r="PGI40" s="426"/>
      <c r="PGJ40" s="424"/>
      <c r="PGK40" s="426"/>
      <c r="PGL40" s="424"/>
      <c r="PGM40" s="426"/>
      <c r="PGN40" s="424"/>
      <c r="PGO40" s="426"/>
      <c r="PGP40" s="424"/>
      <c r="PGQ40" s="426"/>
      <c r="PGR40" s="424"/>
      <c r="PGS40" s="426"/>
      <c r="PGT40" s="424"/>
      <c r="PGU40" s="426"/>
      <c r="PGV40" s="424"/>
      <c r="PGW40" s="426"/>
      <c r="PGX40" s="424"/>
      <c r="PGY40" s="426"/>
      <c r="PGZ40" s="424"/>
      <c r="PHA40" s="426"/>
      <c r="PHB40" s="424"/>
      <c r="PHC40" s="426"/>
      <c r="PHD40" s="424"/>
      <c r="PHE40" s="426"/>
      <c r="PHF40" s="424"/>
      <c r="PHG40" s="426"/>
      <c r="PHH40" s="424"/>
      <c r="PHI40" s="426"/>
      <c r="PHJ40" s="424"/>
      <c r="PHK40" s="426"/>
      <c r="PHL40" s="424"/>
      <c r="PHM40" s="426"/>
      <c r="PHN40" s="424"/>
      <c r="PHO40" s="426"/>
      <c r="PHP40" s="424"/>
      <c r="PHQ40" s="426"/>
      <c r="PHR40" s="424"/>
      <c r="PHS40" s="426"/>
      <c r="PHT40" s="424"/>
      <c r="PHU40" s="426"/>
      <c r="PHV40" s="424"/>
      <c r="PHW40" s="426"/>
      <c r="PHX40" s="424"/>
      <c r="PHY40" s="426"/>
      <c r="PHZ40" s="424"/>
      <c r="PIA40" s="426"/>
      <c r="PIB40" s="424"/>
      <c r="PIC40" s="426"/>
      <c r="PID40" s="424"/>
      <c r="PIE40" s="426"/>
      <c r="PIF40" s="424"/>
      <c r="PIG40" s="426"/>
      <c r="PIH40" s="424"/>
      <c r="PII40" s="426"/>
      <c r="PIJ40" s="424"/>
      <c r="PIK40" s="426"/>
      <c r="PIL40" s="424"/>
      <c r="PIM40" s="426"/>
      <c r="PIN40" s="424"/>
      <c r="PIO40" s="426"/>
      <c r="PIP40" s="424"/>
      <c r="PIQ40" s="426"/>
      <c r="PIR40" s="424"/>
      <c r="PIS40" s="426"/>
      <c r="PIT40" s="424"/>
      <c r="PIU40" s="426"/>
      <c r="PIV40" s="424"/>
      <c r="PIW40" s="426"/>
      <c r="PIX40" s="424"/>
      <c r="PIY40" s="426"/>
      <c r="PIZ40" s="424"/>
      <c r="PJA40" s="426"/>
      <c r="PJB40" s="424"/>
      <c r="PJC40" s="426"/>
      <c r="PJD40" s="424"/>
      <c r="PJE40" s="426"/>
      <c r="PJF40" s="424"/>
      <c r="PJG40" s="426"/>
      <c r="PJH40" s="424"/>
      <c r="PJI40" s="426"/>
      <c r="PJJ40" s="424"/>
      <c r="PJK40" s="426"/>
      <c r="PJL40" s="424"/>
      <c r="PJM40" s="426"/>
      <c r="PJN40" s="424"/>
      <c r="PJO40" s="426"/>
      <c r="PJP40" s="424"/>
      <c r="PJQ40" s="426"/>
      <c r="PJR40" s="424"/>
      <c r="PJS40" s="426"/>
      <c r="PJT40" s="424"/>
      <c r="PJU40" s="426"/>
      <c r="PJV40" s="424"/>
      <c r="PJW40" s="426"/>
      <c r="PJX40" s="424"/>
      <c r="PJY40" s="426"/>
      <c r="PJZ40" s="424"/>
      <c r="PKA40" s="426"/>
      <c r="PKB40" s="424"/>
      <c r="PKC40" s="426"/>
      <c r="PKD40" s="424"/>
      <c r="PKE40" s="426"/>
      <c r="PKF40" s="424"/>
      <c r="PKG40" s="426"/>
      <c r="PKH40" s="424"/>
      <c r="PKI40" s="426"/>
      <c r="PKJ40" s="424"/>
      <c r="PKK40" s="426"/>
      <c r="PKL40" s="424"/>
      <c r="PKM40" s="426"/>
      <c r="PKN40" s="424"/>
      <c r="PKO40" s="426"/>
      <c r="PKP40" s="424"/>
      <c r="PKQ40" s="426"/>
      <c r="PKR40" s="424"/>
      <c r="PKS40" s="426"/>
      <c r="PKT40" s="424"/>
      <c r="PKU40" s="426"/>
      <c r="PKV40" s="424"/>
      <c r="PKW40" s="426"/>
      <c r="PKX40" s="424"/>
      <c r="PKY40" s="426"/>
      <c r="PKZ40" s="424"/>
      <c r="PLA40" s="426"/>
      <c r="PLB40" s="424"/>
      <c r="PLC40" s="426"/>
      <c r="PLD40" s="424"/>
      <c r="PLE40" s="426"/>
      <c r="PLF40" s="424"/>
      <c r="PLG40" s="426"/>
      <c r="PLH40" s="424"/>
      <c r="PLI40" s="426"/>
      <c r="PLJ40" s="424"/>
      <c r="PLK40" s="426"/>
      <c r="PLL40" s="424"/>
      <c r="PLM40" s="426"/>
      <c r="PLN40" s="424"/>
      <c r="PLO40" s="426"/>
      <c r="PLP40" s="424"/>
      <c r="PLQ40" s="426"/>
      <c r="PLR40" s="424"/>
      <c r="PLS40" s="426"/>
      <c r="PLT40" s="424"/>
      <c r="PLU40" s="426"/>
      <c r="PLV40" s="424"/>
      <c r="PLW40" s="426"/>
      <c r="PLX40" s="424"/>
      <c r="PLY40" s="426"/>
      <c r="PLZ40" s="424"/>
      <c r="PMA40" s="426"/>
      <c r="PMB40" s="424"/>
      <c r="PMC40" s="426"/>
      <c r="PMD40" s="424"/>
      <c r="PME40" s="426"/>
      <c r="PMF40" s="424"/>
      <c r="PMG40" s="426"/>
      <c r="PMH40" s="424"/>
      <c r="PMI40" s="426"/>
      <c r="PMJ40" s="424"/>
      <c r="PMK40" s="426"/>
      <c r="PML40" s="424"/>
      <c r="PMM40" s="426"/>
      <c r="PMN40" s="424"/>
      <c r="PMO40" s="426"/>
      <c r="PMP40" s="424"/>
      <c r="PMQ40" s="426"/>
      <c r="PMR40" s="424"/>
      <c r="PMS40" s="426"/>
      <c r="PMT40" s="424"/>
      <c r="PMU40" s="426"/>
      <c r="PMV40" s="424"/>
      <c r="PMW40" s="426"/>
      <c r="PMX40" s="424"/>
      <c r="PMY40" s="426"/>
      <c r="PMZ40" s="424"/>
      <c r="PNA40" s="426"/>
      <c r="PNB40" s="424"/>
      <c r="PNC40" s="426"/>
      <c r="PND40" s="424"/>
      <c r="PNE40" s="426"/>
      <c r="PNF40" s="424"/>
      <c r="PNG40" s="426"/>
      <c r="PNH40" s="424"/>
      <c r="PNI40" s="426"/>
      <c r="PNJ40" s="424"/>
      <c r="PNK40" s="426"/>
      <c r="PNL40" s="424"/>
      <c r="PNM40" s="426"/>
      <c r="PNN40" s="424"/>
      <c r="PNO40" s="426"/>
      <c r="PNP40" s="424"/>
      <c r="PNQ40" s="426"/>
      <c r="PNR40" s="424"/>
      <c r="PNS40" s="426"/>
      <c r="PNT40" s="424"/>
      <c r="PNU40" s="426"/>
      <c r="PNV40" s="424"/>
      <c r="PNW40" s="426"/>
      <c r="PNX40" s="424"/>
      <c r="PNY40" s="426"/>
      <c r="PNZ40" s="424"/>
      <c r="POA40" s="426"/>
      <c r="POB40" s="424"/>
      <c r="POC40" s="426"/>
      <c r="POD40" s="424"/>
      <c r="POE40" s="426"/>
      <c r="POF40" s="424"/>
      <c r="POG40" s="426"/>
      <c r="POH40" s="424"/>
      <c r="POI40" s="426"/>
      <c r="POJ40" s="424"/>
      <c r="POK40" s="426"/>
      <c r="POL40" s="424"/>
      <c r="POM40" s="426"/>
      <c r="PON40" s="424"/>
      <c r="POO40" s="426"/>
      <c r="POP40" s="424"/>
      <c r="POQ40" s="426"/>
      <c r="POR40" s="424"/>
      <c r="POS40" s="426"/>
      <c r="POT40" s="424"/>
      <c r="POU40" s="426"/>
      <c r="POV40" s="424"/>
      <c r="POW40" s="426"/>
      <c r="POX40" s="424"/>
      <c r="POY40" s="426"/>
      <c r="POZ40" s="424"/>
      <c r="PPA40" s="426"/>
      <c r="PPB40" s="424"/>
      <c r="PPC40" s="426"/>
      <c r="PPD40" s="424"/>
      <c r="PPE40" s="426"/>
      <c r="PPF40" s="424"/>
      <c r="PPG40" s="426"/>
      <c r="PPH40" s="424"/>
      <c r="PPI40" s="426"/>
      <c r="PPJ40" s="424"/>
      <c r="PPK40" s="426"/>
      <c r="PPL40" s="424"/>
      <c r="PPM40" s="426"/>
      <c r="PPN40" s="424"/>
      <c r="PPO40" s="426"/>
      <c r="PPP40" s="424"/>
      <c r="PPQ40" s="426"/>
      <c r="PPR40" s="424"/>
      <c r="PPS40" s="426"/>
      <c r="PPT40" s="424"/>
      <c r="PPU40" s="426"/>
      <c r="PPV40" s="424"/>
      <c r="PPW40" s="426"/>
      <c r="PPX40" s="424"/>
      <c r="PPY40" s="426"/>
      <c r="PPZ40" s="424"/>
      <c r="PQA40" s="426"/>
      <c r="PQB40" s="424"/>
      <c r="PQC40" s="426"/>
      <c r="PQD40" s="424"/>
      <c r="PQE40" s="426"/>
      <c r="PQF40" s="424"/>
      <c r="PQG40" s="426"/>
      <c r="PQH40" s="424"/>
      <c r="PQI40" s="426"/>
      <c r="PQJ40" s="424"/>
      <c r="PQK40" s="426"/>
      <c r="PQL40" s="424"/>
      <c r="PQM40" s="426"/>
      <c r="PQN40" s="424"/>
      <c r="PQO40" s="426"/>
      <c r="PQP40" s="424"/>
      <c r="PQQ40" s="426"/>
      <c r="PQR40" s="424"/>
      <c r="PQS40" s="426"/>
      <c r="PQT40" s="424"/>
      <c r="PQU40" s="426"/>
      <c r="PQV40" s="424"/>
      <c r="PQW40" s="426"/>
      <c r="PQX40" s="424"/>
      <c r="PQY40" s="426"/>
      <c r="PQZ40" s="424"/>
      <c r="PRA40" s="426"/>
      <c r="PRB40" s="424"/>
      <c r="PRC40" s="426"/>
      <c r="PRD40" s="424"/>
      <c r="PRE40" s="426"/>
      <c r="PRF40" s="424"/>
      <c r="PRG40" s="426"/>
      <c r="PRH40" s="424"/>
      <c r="PRI40" s="426"/>
      <c r="PRJ40" s="424"/>
      <c r="PRK40" s="426"/>
      <c r="PRL40" s="424"/>
      <c r="PRM40" s="426"/>
      <c r="PRN40" s="424"/>
      <c r="PRO40" s="426"/>
      <c r="PRP40" s="424"/>
      <c r="PRQ40" s="426"/>
      <c r="PRR40" s="424"/>
      <c r="PRS40" s="426"/>
      <c r="PRT40" s="424"/>
      <c r="PRU40" s="426"/>
      <c r="PRV40" s="424"/>
      <c r="PRW40" s="426"/>
      <c r="PRX40" s="424"/>
      <c r="PRY40" s="426"/>
      <c r="PRZ40" s="424"/>
      <c r="PSA40" s="426"/>
      <c r="PSB40" s="424"/>
      <c r="PSC40" s="426"/>
      <c r="PSD40" s="424"/>
      <c r="PSE40" s="426"/>
      <c r="PSF40" s="424"/>
      <c r="PSG40" s="426"/>
      <c r="PSH40" s="424"/>
      <c r="PSI40" s="426"/>
      <c r="PSJ40" s="424"/>
      <c r="PSK40" s="426"/>
      <c r="PSL40" s="424"/>
      <c r="PSM40" s="426"/>
      <c r="PSN40" s="424"/>
      <c r="PSO40" s="426"/>
      <c r="PSP40" s="424"/>
      <c r="PSQ40" s="426"/>
      <c r="PSR40" s="424"/>
      <c r="PSS40" s="426"/>
      <c r="PST40" s="424"/>
      <c r="PSU40" s="426"/>
      <c r="PSV40" s="424"/>
      <c r="PSW40" s="426"/>
      <c r="PSX40" s="424"/>
      <c r="PSY40" s="426"/>
      <c r="PSZ40" s="424"/>
      <c r="PTA40" s="426"/>
      <c r="PTB40" s="424"/>
      <c r="PTC40" s="426"/>
      <c r="PTD40" s="424"/>
      <c r="PTE40" s="426"/>
      <c r="PTF40" s="424"/>
      <c r="PTG40" s="426"/>
      <c r="PTH40" s="424"/>
      <c r="PTI40" s="426"/>
      <c r="PTJ40" s="424"/>
      <c r="PTK40" s="426"/>
      <c r="PTL40" s="424"/>
      <c r="PTM40" s="426"/>
      <c r="PTN40" s="424"/>
      <c r="PTO40" s="426"/>
      <c r="PTP40" s="424"/>
      <c r="PTQ40" s="426"/>
      <c r="PTR40" s="424"/>
      <c r="PTS40" s="426"/>
      <c r="PTT40" s="424"/>
      <c r="PTU40" s="426"/>
      <c r="PTV40" s="424"/>
      <c r="PTW40" s="426"/>
      <c r="PTX40" s="424"/>
      <c r="PTY40" s="426"/>
      <c r="PTZ40" s="424"/>
      <c r="PUA40" s="426"/>
      <c r="PUB40" s="424"/>
      <c r="PUC40" s="426"/>
      <c r="PUD40" s="424"/>
      <c r="PUE40" s="426"/>
      <c r="PUF40" s="424"/>
      <c r="PUG40" s="426"/>
      <c r="PUH40" s="424"/>
      <c r="PUI40" s="426"/>
      <c r="PUJ40" s="424"/>
      <c r="PUK40" s="426"/>
      <c r="PUL40" s="424"/>
      <c r="PUM40" s="426"/>
      <c r="PUN40" s="424"/>
      <c r="PUO40" s="426"/>
      <c r="PUP40" s="424"/>
      <c r="PUQ40" s="426"/>
      <c r="PUR40" s="424"/>
      <c r="PUS40" s="426"/>
      <c r="PUT40" s="424"/>
      <c r="PUU40" s="426"/>
      <c r="PUV40" s="424"/>
      <c r="PUW40" s="426"/>
      <c r="PUX40" s="424"/>
      <c r="PUY40" s="426"/>
      <c r="PUZ40" s="424"/>
      <c r="PVA40" s="426"/>
      <c r="PVB40" s="424"/>
      <c r="PVC40" s="426"/>
      <c r="PVD40" s="424"/>
      <c r="PVE40" s="426"/>
      <c r="PVF40" s="424"/>
      <c r="PVG40" s="426"/>
      <c r="PVH40" s="424"/>
      <c r="PVI40" s="426"/>
      <c r="PVJ40" s="424"/>
      <c r="PVK40" s="426"/>
      <c r="PVL40" s="424"/>
      <c r="PVM40" s="426"/>
      <c r="PVN40" s="424"/>
      <c r="PVO40" s="426"/>
      <c r="PVP40" s="424"/>
      <c r="PVQ40" s="426"/>
      <c r="PVR40" s="424"/>
      <c r="PVS40" s="426"/>
      <c r="PVT40" s="424"/>
      <c r="PVU40" s="426"/>
      <c r="PVV40" s="424"/>
      <c r="PVW40" s="426"/>
      <c r="PVX40" s="424"/>
      <c r="PVY40" s="426"/>
      <c r="PVZ40" s="424"/>
      <c r="PWA40" s="426"/>
      <c r="PWB40" s="424"/>
      <c r="PWC40" s="426"/>
      <c r="PWD40" s="424"/>
      <c r="PWE40" s="426"/>
      <c r="PWF40" s="424"/>
      <c r="PWG40" s="426"/>
      <c r="PWH40" s="424"/>
      <c r="PWI40" s="426"/>
      <c r="PWJ40" s="424"/>
      <c r="PWK40" s="426"/>
      <c r="PWL40" s="424"/>
      <c r="PWM40" s="426"/>
      <c r="PWN40" s="424"/>
      <c r="PWO40" s="426"/>
      <c r="PWP40" s="424"/>
      <c r="PWQ40" s="426"/>
      <c r="PWR40" s="424"/>
      <c r="PWS40" s="426"/>
      <c r="PWT40" s="424"/>
      <c r="PWU40" s="426"/>
      <c r="PWV40" s="424"/>
      <c r="PWW40" s="426"/>
      <c r="PWX40" s="424"/>
      <c r="PWY40" s="426"/>
      <c r="PWZ40" s="424"/>
      <c r="PXA40" s="426"/>
      <c r="PXB40" s="424"/>
      <c r="PXC40" s="426"/>
      <c r="PXD40" s="424"/>
      <c r="PXE40" s="426"/>
      <c r="PXF40" s="424"/>
      <c r="PXG40" s="426"/>
      <c r="PXH40" s="424"/>
      <c r="PXI40" s="426"/>
      <c r="PXJ40" s="424"/>
      <c r="PXK40" s="426"/>
      <c r="PXL40" s="424"/>
      <c r="PXM40" s="426"/>
      <c r="PXN40" s="424"/>
      <c r="PXO40" s="426"/>
      <c r="PXP40" s="424"/>
      <c r="PXQ40" s="426"/>
      <c r="PXR40" s="424"/>
      <c r="PXS40" s="426"/>
      <c r="PXT40" s="424"/>
      <c r="PXU40" s="426"/>
      <c r="PXV40" s="424"/>
      <c r="PXW40" s="426"/>
      <c r="PXX40" s="424"/>
      <c r="PXY40" s="426"/>
      <c r="PXZ40" s="424"/>
      <c r="PYA40" s="426"/>
      <c r="PYB40" s="424"/>
      <c r="PYC40" s="426"/>
      <c r="PYD40" s="424"/>
      <c r="PYE40" s="426"/>
      <c r="PYF40" s="424"/>
      <c r="PYG40" s="426"/>
      <c r="PYH40" s="424"/>
      <c r="PYI40" s="426"/>
      <c r="PYJ40" s="424"/>
      <c r="PYK40" s="426"/>
      <c r="PYL40" s="424"/>
      <c r="PYM40" s="426"/>
      <c r="PYN40" s="424"/>
      <c r="PYO40" s="426"/>
      <c r="PYP40" s="424"/>
      <c r="PYQ40" s="426"/>
      <c r="PYR40" s="424"/>
      <c r="PYS40" s="426"/>
      <c r="PYT40" s="424"/>
      <c r="PYU40" s="426"/>
      <c r="PYV40" s="424"/>
      <c r="PYW40" s="426"/>
      <c r="PYX40" s="424"/>
      <c r="PYY40" s="426"/>
      <c r="PYZ40" s="424"/>
      <c r="PZA40" s="426"/>
      <c r="PZB40" s="424"/>
      <c r="PZC40" s="426"/>
      <c r="PZD40" s="424"/>
      <c r="PZE40" s="426"/>
      <c r="PZF40" s="424"/>
      <c r="PZG40" s="426"/>
      <c r="PZH40" s="424"/>
      <c r="PZI40" s="426"/>
      <c r="PZJ40" s="424"/>
      <c r="PZK40" s="426"/>
      <c r="PZL40" s="424"/>
      <c r="PZM40" s="426"/>
      <c r="PZN40" s="424"/>
      <c r="PZO40" s="426"/>
      <c r="PZP40" s="424"/>
      <c r="PZQ40" s="426"/>
      <c r="PZR40" s="424"/>
      <c r="PZS40" s="426"/>
      <c r="PZT40" s="424"/>
      <c r="PZU40" s="426"/>
      <c r="PZV40" s="424"/>
      <c r="PZW40" s="426"/>
      <c r="PZX40" s="424"/>
      <c r="PZY40" s="426"/>
      <c r="PZZ40" s="424"/>
      <c r="QAA40" s="426"/>
      <c r="QAB40" s="424"/>
      <c r="QAC40" s="426"/>
      <c r="QAD40" s="424"/>
      <c r="QAE40" s="426"/>
      <c r="QAF40" s="424"/>
      <c r="QAG40" s="426"/>
      <c r="QAH40" s="424"/>
      <c r="QAI40" s="426"/>
      <c r="QAJ40" s="424"/>
      <c r="QAK40" s="426"/>
      <c r="QAL40" s="424"/>
      <c r="QAM40" s="426"/>
      <c r="QAN40" s="424"/>
      <c r="QAO40" s="426"/>
      <c r="QAP40" s="424"/>
      <c r="QAQ40" s="426"/>
      <c r="QAR40" s="424"/>
      <c r="QAS40" s="426"/>
      <c r="QAT40" s="424"/>
      <c r="QAU40" s="426"/>
      <c r="QAV40" s="424"/>
      <c r="QAW40" s="426"/>
      <c r="QAX40" s="424"/>
      <c r="QAY40" s="426"/>
      <c r="QAZ40" s="424"/>
      <c r="QBA40" s="426"/>
      <c r="QBB40" s="424"/>
      <c r="QBC40" s="426"/>
      <c r="QBD40" s="424"/>
      <c r="QBE40" s="426"/>
      <c r="QBF40" s="424"/>
      <c r="QBG40" s="426"/>
      <c r="QBH40" s="424"/>
      <c r="QBI40" s="426"/>
      <c r="QBJ40" s="424"/>
      <c r="QBK40" s="426"/>
      <c r="QBL40" s="424"/>
      <c r="QBM40" s="426"/>
      <c r="QBN40" s="424"/>
      <c r="QBO40" s="426"/>
      <c r="QBP40" s="424"/>
      <c r="QBQ40" s="426"/>
      <c r="QBR40" s="424"/>
      <c r="QBS40" s="426"/>
      <c r="QBT40" s="424"/>
      <c r="QBU40" s="426"/>
      <c r="QBV40" s="424"/>
      <c r="QBW40" s="426"/>
      <c r="QBX40" s="424"/>
      <c r="QBY40" s="426"/>
      <c r="QBZ40" s="424"/>
      <c r="QCA40" s="426"/>
      <c r="QCB40" s="424"/>
      <c r="QCC40" s="426"/>
      <c r="QCD40" s="424"/>
      <c r="QCE40" s="426"/>
      <c r="QCF40" s="424"/>
      <c r="QCG40" s="426"/>
      <c r="QCH40" s="424"/>
      <c r="QCI40" s="426"/>
      <c r="QCJ40" s="424"/>
      <c r="QCK40" s="426"/>
      <c r="QCL40" s="424"/>
      <c r="QCM40" s="426"/>
      <c r="QCN40" s="424"/>
      <c r="QCO40" s="426"/>
      <c r="QCP40" s="424"/>
      <c r="QCQ40" s="426"/>
      <c r="QCR40" s="424"/>
      <c r="QCS40" s="426"/>
      <c r="QCT40" s="424"/>
      <c r="QCU40" s="426"/>
      <c r="QCV40" s="424"/>
      <c r="QCW40" s="426"/>
      <c r="QCX40" s="424"/>
      <c r="QCY40" s="426"/>
      <c r="QCZ40" s="424"/>
      <c r="QDA40" s="426"/>
      <c r="QDB40" s="424"/>
      <c r="QDC40" s="426"/>
      <c r="QDD40" s="424"/>
      <c r="QDE40" s="426"/>
      <c r="QDF40" s="424"/>
      <c r="QDG40" s="426"/>
      <c r="QDH40" s="424"/>
      <c r="QDI40" s="426"/>
      <c r="QDJ40" s="424"/>
      <c r="QDK40" s="426"/>
      <c r="QDL40" s="424"/>
      <c r="QDM40" s="426"/>
      <c r="QDN40" s="424"/>
      <c r="QDO40" s="426"/>
      <c r="QDP40" s="424"/>
      <c r="QDQ40" s="426"/>
      <c r="QDR40" s="424"/>
      <c r="QDS40" s="426"/>
      <c r="QDT40" s="424"/>
      <c r="QDU40" s="426"/>
      <c r="QDV40" s="424"/>
      <c r="QDW40" s="426"/>
      <c r="QDX40" s="424"/>
      <c r="QDY40" s="426"/>
      <c r="QDZ40" s="424"/>
      <c r="QEA40" s="426"/>
      <c r="QEB40" s="424"/>
      <c r="QEC40" s="426"/>
      <c r="QED40" s="424"/>
      <c r="QEE40" s="426"/>
      <c r="QEF40" s="424"/>
      <c r="QEG40" s="426"/>
      <c r="QEH40" s="424"/>
      <c r="QEI40" s="426"/>
      <c r="QEJ40" s="424"/>
      <c r="QEK40" s="426"/>
      <c r="QEL40" s="424"/>
      <c r="QEM40" s="426"/>
      <c r="QEN40" s="424"/>
      <c r="QEO40" s="426"/>
      <c r="QEP40" s="424"/>
      <c r="QEQ40" s="426"/>
      <c r="QER40" s="424"/>
      <c r="QES40" s="426"/>
      <c r="QET40" s="424"/>
      <c r="QEU40" s="426"/>
      <c r="QEV40" s="424"/>
      <c r="QEW40" s="426"/>
      <c r="QEX40" s="424"/>
      <c r="QEY40" s="426"/>
      <c r="QEZ40" s="424"/>
      <c r="QFA40" s="426"/>
      <c r="QFB40" s="424"/>
      <c r="QFC40" s="426"/>
      <c r="QFD40" s="424"/>
      <c r="QFE40" s="426"/>
      <c r="QFF40" s="424"/>
      <c r="QFG40" s="426"/>
      <c r="QFH40" s="424"/>
      <c r="QFI40" s="426"/>
      <c r="QFJ40" s="424"/>
      <c r="QFK40" s="426"/>
      <c r="QFL40" s="424"/>
      <c r="QFM40" s="426"/>
      <c r="QFN40" s="424"/>
      <c r="QFO40" s="426"/>
      <c r="QFP40" s="424"/>
      <c r="QFQ40" s="426"/>
      <c r="QFR40" s="424"/>
      <c r="QFS40" s="426"/>
      <c r="QFT40" s="424"/>
      <c r="QFU40" s="426"/>
      <c r="QFV40" s="424"/>
      <c r="QFW40" s="426"/>
      <c r="QFX40" s="424"/>
      <c r="QFY40" s="426"/>
      <c r="QFZ40" s="424"/>
      <c r="QGA40" s="426"/>
      <c r="QGB40" s="424"/>
      <c r="QGC40" s="426"/>
      <c r="QGD40" s="424"/>
      <c r="QGE40" s="426"/>
      <c r="QGF40" s="424"/>
      <c r="QGG40" s="426"/>
      <c r="QGH40" s="424"/>
      <c r="QGI40" s="426"/>
      <c r="QGJ40" s="424"/>
      <c r="QGK40" s="426"/>
      <c r="QGL40" s="424"/>
      <c r="QGM40" s="426"/>
      <c r="QGN40" s="424"/>
      <c r="QGO40" s="426"/>
      <c r="QGP40" s="424"/>
      <c r="QGQ40" s="426"/>
      <c r="QGR40" s="424"/>
      <c r="QGS40" s="426"/>
      <c r="QGT40" s="424"/>
      <c r="QGU40" s="426"/>
      <c r="QGV40" s="424"/>
      <c r="QGW40" s="426"/>
      <c r="QGX40" s="424"/>
      <c r="QGY40" s="426"/>
      <c r="QGZ40" s="424"/>
      <c r="QHA40" s="426"/>
      <c r="QHB40" s="424"/>
      <c r="QHC40" s="426"/>
      <c r="QHD40" s="424"/>
      <c r="QHE40" s="426"/>
      <c r="QHF40" s="424"/>
      <c r="QHG40" s="426"/>
      <c r="QHH40" s="424"/>
      <c r="QHI40" s="426"/>
      <c r="QHJ40" s="424"/>
      <c r="QHK40" s="426"/>
      <c r="QHL40" s="424"/>
      <c r="QHM40" s="426"/>
      <c r="QHN40" s="424"/>
      <c r="QHO40" s="426"/>
      <c r="QHP40" s="424"/>
      <c r="QHQ40" s="426"/>
      <c r="QHR40" s="424"/>
      <c r="QHS40" s="426"/>
      <c r="QHT40" s="424"/>
      <c r="QHU40" s="426"/>
      <c r="QHV40" s="424"/>
      <c r="QHW40" s="426"/>
      <c r="QHX40" s="424"/>
      <c r="QHY40" s="426"/>
      <c r="QHZ40" s="424"/>
      <c r="QIA40" s="426"/>
      <c r="QIB40" s="424"/>
      <c r="QIC40" s="426"/>
      <c r="QID40" s="424"/>
      <c r="QIE40" s="426"/>
      <c r="QIF40" s="424"/>
      <c r="QIG40" s="426"/>
      <c r="QIH40" s="424"/>
      <c r="QII40" s="426"/>
      <c r="QIJ40" s="424"/>
      <c r="QIK40" s="426"/>
      <c r="QIL40" s="424"/>
      <c r="QIM40" s="426"/>
      <c r="QIN40" s="424"/>
      <c r="QIO40" s="426"/>
      <c r="QIP40" s="424"/>
      <c r="QIQ40" s="426"/>
      <c r="QIR40" s="424"/>
      <c r="QIS40" s="426"/>
      <c r="QIT40" s="424"/>
      <c r="QIU40" s="426"/>
      <c r="QIV40" s="424"/>
      <c r="QIW40" s="426"/>
      <c r="QIX40" s="424"/>
      <c r="QIY40" s="426"/>
      <c r="QIZ40" s="424"/>
      <c r="QJA40" s="426"/>
      <c r="QJB40" s="424"/>
      <c r="QJC40" s="426"/>
      <c r="QJD40" s="424"/>
      <c r="QJE40" s="426"/>
      <c r="QJF40" s="424"/>
      <c r="QJG40" s="426"/>
      <c r="QJH40" s="424"/>
      <c r="QJI40" s="426"/>
      <c r="QJJ40" s="424"/>
      <c r="QJK40" s="426"/>
      <c r="QJL40" s="424"/>
      <c r="QJM40" s="426"/>
      <c r="QJN40" s="424"/>
      <c r="QJO40" s="426"/>
      <c r="QJP40" s="424"/>
      <c r="QJQ40" s="426"/>
      <c r="QJR40" s="424"/>
      <c r="QJS40" s="426"/>
      <c r="QJT40" s="424"/>
      <c r="QJU40" s="426"/>
      <c r="QJV40" s="424"/>
      <c r="QJW40" s="426"/>
      <c r="QJX40" s="424"/>
      <c r="QJY40" s="426"/>
      <c r="QJZ40" s="424"/>
      <c r="QKA40" s="426"/>
      <c r="QKB40" s="424"/>
      <c r="QKC40" s="426"/>
      <c r="QKD40" s="424"/>
      <c r="QKE40" s="426"/>
      <c r="QKF40" s="424"/>
      <c r="QKG40" s="426"/>
      <c r="QKH40" s="424"/>
      <c r="QKI40" s="426"/>
      <c r="QKJ40" s="424"/>
      <c r="QKK40" s="426"/>
      <c r="QKL40" s="424"/>
      <c r="QKM40" s="426"/>
      <c r="QKN40" s="424"/>
      <c r="QKO40" s="426"/>
      <c r="QKP40" s="424"/>
      <c r="QKQ40" s="426"/>
      <c r="QKR40" s="424"/>
      <c r="QKS40" s="426"/>
      <c r="QKT40" s="424"/>
      <c r="QKU40" s="426"/>
      <c r="QKV40" s="424"/>
      <c r="QKW40" s="426"/>
      <c r="QKX40" s="424"/>
      <c r="QKY40" s="426"/>
      <c r="QKZ40" s="424"/>
      <c r="QLA40" s="426"/>
      <c r="QLB40" s="424"/>
      <c r="QLC40" s="426"/>
      <c r="QLD40" s="424"/>
      <c r="QLE40" s="426"/>
      <c r="QLF40" s="424"/>
      <c r="QLG40" s="426"/>
      <c r="QLH40" s="424"/>
      <c r="QLI40" s="426"/>
      <c r="QLJ40" s="424"/>
      <c r="QLK40" s="426"/>
      <c r="QLL40" s="424"/>
      <c r="QLM40" s="426"/>
      <c r="QLN40" s="424"/>
      <c r="QLO40" s="426"/>
      <c r="QLP40" s="424"/>
      <c r="QLQ40" s="426"/>
      <c r="QLR40" s="424"/>
      <c r="QLS40" s="426"/>
      <c r="QLT40" s="424"/>
      <c r="QLU40" s="426"/>
      <c r="QLV40" s="424"/>
      <c r="QLW40" s="426"/>
      <c r="QLX40" s="424"/>
      <c r="QLY40" s="426"/>
      <c r="QLZ40" s="424"/>
      <c r="QMA40" s="426"/>
      <c r="QMB40" s="424"/>
      <c r="QMC40" s="426"/>
      <c r="QMD40" s="424"/>
      <c r="QME40" s="426"/>
      <c r="QMF40" s="424"/>
      <c r="QMG40" s="426"/>
      <c r="QMH40" s="424"/>
      <c r="QMI40" s="426"/>
      <c r="QMJ40" s="424"/>
      <c r="QMK40" s="426"/>
      <c r="QML40" s="424"/>
      <c r="QMM40" s="426"/>
      <c r="QMN40" s="424"/>
      <c r="QMO40" s="426"/>
      <c r="QMP40" s="424"/>
      <c r="QMQ40" s="426"/>
      <c r="QMR40" s="424"/>
      <c r="QMS40" s="426"/>
      <c r="QMT40" s="424"/>
      <c r="QMU40" s="426"/>
      <c r="QMV40" s="424"/>
      <c r="QMW40" s="426"/>
      <c r="QMX40" s="424"/>
      <c r="QMY40" s="426"/>
      <c r="QMZ40" s="424"/>
      <c r="QNA40" s="426"/>
      <c r="QNB40" s="424"/>
      <c r="QNC40" s="426"/>
      <c r="QND40" s="424"/>
      <c r="QNE40" s="426"/>
      <c r="QNF40" s="424"/>
      <c r="QNG40" s="426"/>
      <c r="QNH40" s="424"/>
      <c r="QNI40" s="426"/>
      <c r="QNJ40" s="424"/>
      <c r="QNK40" s="426"/>
      <c r="QNL40" s="424"/>
      <c r="QNM40" s="426"/>
      <c r="QNN40" s="424"/>
      <c r="QNO40" s="426"/>
      <c r="QNP40" s="424"/>
      <c r="QNQ40" s="426"/>
      <c r="QNR40" s="424"/>
      <c r="QNS40" s="426"/>
      <c r="QNT40" s="424"/>
      <c r="QNU40" s="426"/>
      <c r="QNV40" s="424"/>
      <c r="QNW40" s="426"/>
      <c r="QNX40" s="424"/>
      <c r="QNY40" s="426"/>
      <c r="QNZ40" s="424"/>
      <c r="QOA40" s="426"/>
      <c r="QOB40" s="424"/>
      <c r="QOC40" s="426"/>
      <c r="QOD40" s="424"/>
      <c r="QOE40" s="426"/>
      <c r="QOF40" s="424"/>
      <c r="QOG40" s="426"/>
      <c r="QOH40" s="424"/>
      <c r="QOI40" s="426"/>
      <c r="QOJ40" s="424"/>
      <c r="QOK40" s="426"/>
      <c r="QOL40" s="424"/>
      <c r="QOM40" s="426"/>
      <c r="QON40" s="424"/>
      <c r="QOO40" s="426"/>
      <c r="QOP40" s="424"/>
      <c r="QOQ40" s="426"/>
      <c r="QOR40" s="424"/>
      <c r="QOS40" s="426"/>
      <c r="QOT40" s="424"/>
      <c r="QOU40" s="426"/>
      <c r="QOV40" s="424"/>
      <c r="QOW40" s="426"/>
      <c r="QOX40" s="424"/>
      <c r="QOY40" s="426"/>
      <c r="QOZ40" s="424"/>
      <c r="QPA40" s="426"/>
      <c r="QPB40" s="424"/>
      <c r="QPC40" s="426"/>
      <c r="QPD40" s="424"/>
      <c r="QPE40" s="426"/>
      <c r="QPF40" s="424"/>
      <c r="QPG40" s="426"/>
      <c r="QPH40" s="424"/>
      <c r="QPI40" s="426"/>
      <c r="QPJ40" s="424"/>
      <c r="QPK40" s="426"/>
      <c r="QPL40" s="424"/>
      <c r="QPM40" s="426"/>
      <c r="QPN40" s="424"/>
      <c r="QPO40" s="426"/>
      <c r="QPP40" s="424"/>
      <c r="QPQ40" s="426"/>
      <c r="QPR40" s="424"/>
      <c r="QPS40" s="426"/>
      <c r="QPT40" s="424"/>
      <c r="QPU40" s="426"/>
      <c r="QPV40" s="424"/>
      <c r="QPW40" s="426"/>
      <c r="QPX40" s="424"/>
      <c r="QPY40" s="426"/>
      <c r="QPZ40" s="424"/>
      <c r="QQA40" s="426"/>
      <c r="QQB40" s="424"/>
      <c r="QQC40" s="426"/>
      <c r="QQD40" s="424"/>
      <c r="QQE40" s="426"/>
      <c r="QQF40" s="424"/>
      <c r="QQG40" s="426"/>
      <c r="QQH40" s="424"/>
      <c r="QQI40" s="426"/>
      <c r="QQJ40" s="424"/>
      <c r="QQK40" s="426"/>
      <c r="QQL40" s="424"/>
      <c r="QQM40" s="426"/>
      <c r="QQN40" s="424"/>
      <c r="QQO40" s="426"/>
      <c r="QQP40" s="424"/>
      <c r="QQQ40" s="426"/>
      <c r="QQR40" s="424"/>
      <c r="QQS40" s="426"/>
      <c r="QQT40" s="424"/>
      <c r="QQU40" s="426"/>
      <c r="QQV40" s="424"/>
      <c r="QQW40" s="426"/>
      <c r="QQX40" s="424"/>
      <c r="QQY40" s="426"/>
      <c r="QQZ40" s="424"/>
      <c r="QRA40" s="426"/>
      <c r="QRB40" s="424"/>
      <c r="QRC40" s="426"/>
      <c r="QRD40" s="424"/>
      <c r="QRE40" s="426"/>
      <c r="QRF40" s="424"/>
      <c r="QRG40" s="426"/>
      <c r="QRH40" s="424"/>
      <c r="QRI40" s="426"/>
      <c r="QRJ40" s="424"/>
      <c r="QRK40" s="426"/>
      <c r="QRL40" s="424"/>
      <c r="QRM40" s="426"/>
      <c r="QRN40" s="424"/>
      <c r="QRO40" s="426"/>
      <c r="QRP40" s="424"/>
      <c r="QRQ40" s="426"/>
      <c r="QRR40" s="424"/>
      <c r="QRS40" s="426"/>
      <c r="QRT40" s="424"/>
      <c r="QRU40" s="426"/>
      <c r="QRV40" s="424"/>
      <c r="QRW40" s="426"/>
      <c r="QRX40" s="424"/>
      <c r="QRY40" s="426"/>
      <c r="QRZ40" s="424"/>
      <c r="QSA40" s="426"/>
      <c r="QSB40" s="424"/>
      <c r="QSC40" s="426"/>
      <c r="QSD40" s="424"/>
      <c r="QSE40" s="426"/>
      <c r="QSF40" s="424"/>
      <c r="QSG40" s="426"/>
      <c r="QSH40" s="424"/>
      <c r="QSI40" s="426"/>
      <c r="QSJ40" s="424"/>
      <c r="QSK40" s="426"/>
      <c r="QSL40" s="424"/>
      <c r="QSM40" s="426"/>
      <c r="QSN40" s="424"/>
      <c r="QSO40" s="426"/>
      <c r="QSP40" s="424"/>
      <c r="QSQ40" s="426"/>
      <c r="QSR40" s="424"/>
      <c r="QSS40" s="426"/>
      <c r="QST40" s="424"/>
      <c r="QSU40" s="426"/>
      <c r="QSV40" s="424"/>
      <c r="QSW40" s="426"/>
      <c r="QSX40" s="424"/>
      <c r="QSY40" s="426"/>
      <c r="QSZ40" s="424"/>
      <c r="QTA40" s="426"/>
      <c r="QTB40" s="424"/>
      <c r="QTC40" s="426"/>
      <c r="QTD40" s="424"/>
      <c r="QTE40" s="426"/>
      <c r="QTF40" s="424"/>
      <c r="QTG40" s="426"/>
      <c r="QTH40" s="424"/>
      <c r="QTI40" s="426"/>
      <c r="QTJ40" s="424"/>
      <c r="QTK40" s="426"/>
      <c r="QTL40" s="424"/>
      <c r="QTM40" s="426"/>
      <c r="QTN40" s="424"/>
      <c r="QTO40" s="426"/>
      <c r="QTP40" s="424"/>
      <c r="QTQ40" s="426"/>
      <c r="QTR40" s="424"/>
      <c r="QTS40" s="426"/>
      <c r="QTT40" s="424"/>
      <c r="QTU40" s="426"/>
      <c r="QTV40" s="424"/>
      <c r="QTW40" s="426"/>
      <c r="QTX40" s="424"/>
      <c r="QTY40" s="426"/>
      <c r="QTZ40" s="424"/>
      <c r="QUA40" s="426"/>
      <c r="QUB40" s="424"/>
      <c r="QUC40" s="426"/>
      <c r="QUD40" s="424"/>
      <c r="QUE40" s="426"/>
      <c r="QUF40" s="424"/>
      <c r="QUG40" s="426"/>
      <c r="QUH40" s="424"/>
      <c r="QUI40" s="426"/>
      <c r="QUJ40" s="424"/>
      <c r="QUK40" s="426"/>
      <c r="QUL40" s="424"/>
      <c r="QUM40" s="426"/>
      <c r="QUN40" s="424"/>
      <c r="QUO40" s="426"/>
      <c r="QUP40" s="424"/>
      <c r="QUQ40" s="426"/>
      <c r="QUR40" s="424"/>
      <c r="QUS40" s="426"/>
      <c r="QUT40" s="424"/>
      <c r="QUU40" s="426"/>
      <c r="QUV40" s="424"/>
      <c r="QUW40" s="426"/>
      <c r="QUX40" s="424"/>
      <c r="QUY40" s="426"/>
      <c r="QUZ40" s="424"/>
      <c r="QVA40" s="426"/>
      <c r="QVB40" s="424"/>
      <c r="QVC40" s="426"/>
      <c r="QVD40" s="424"/>
      <c r="QVE40" s="426"/>
      <c r="QVF40" s="424"/>
      <c r="QVG40" s="426"/>
      <c r="QVH40" s="424"/>
      <c r="QVI40" s="426"/>
      <c r="QVJ40" s="424"/>
      <c r="QVK40" s="426"/>
      <c r="QVL40" s="424"/>
      <c r="QVM40" s="426"/>
      <c r="QVN40" s="424"/>
      <c r="QVO40" s="426"/>
      <c r="QVP40" s="424"/>
      <c r="QVQ40" s="426"/>
      <c r="QVR40" s="424"/>
      <c r="QVS40" s="426"/>
      <c r="QVT40" s="424"/>
      <c r="QVU40" s="426"/>
      <c r="QVV40" s="424"/>
      <c r="QVW40" s="426"/>
      <c r="QVX40" s="424"/>
      <c r="QVY40" s="426"/>
      <c r="QVZ40" s="424"/>
      <c r="QWA40" s="426"/>
      <c r="QWB40" s="424"/>
      <c r="QWC40" s="426"/>
      <c r="QWD40" s="424"/>
      <c r="QWE40" s="426"/>
      <c r="QWF40" s="424"/>
      <c r="QWG40" s="426"/>
      <c r="QWH40" s="424"/>
      <c r="QWI40" s="426"/>
      <c r="QWJ40" s="424"/>
      <c r="QWK40" s="426"/>
      <c r="QWL40" s="424"/>
      <c r="QWM40" s="426"/>
      <c r="QWN40" s="424"/>
      <c r="QWO40" s="426"/>
      <c r="QWP40" s="424"/>
      <c r="QWQ40" s="426"/>
      <c r="QWR40" s="424"/>
      <c r="QWS40" s="426"/>
      <c r="QWT40" s="424"/>
      <c r="QWU40" s="426"/>
      <c r="QWV40" s="424"/>
      <c r="QWW40" s="426"/>
      <c r="QWX40" s="424"/>
      <c r="QWY40" s="426"/>
      <c r="QWZ40" s="424"/>
      <c r="QXA40" s="426"/>
      <c r="QXB40" s="424"/>
      <c r="QXC40" s="426"/>
      <c r="QXD40" s="424"/>
      <c r="QXE40" s="426"/>
      <c r="QXF40" s="424"/>
      <c r="QXG40" s="426"/>
      <c r="QXH40" s="424"/>
      <c r="QXI40" s="426"/>
      <c r="QXJ40" s="424"/>
      <c r="QXK40" s="426"/>
      <c r="QXL40" s="424"/>
      <c r="QXM40" s="426"/>
      <c r="QXN40" s="424"/>
      <c r="QXO40" s="426"/>
      <c r="QXP40" s="424"/>
      <c r="QXQ40" s="426"/>
      <c r="QXR40" s="424"/>
      <c r="QXS40" s="426"/>
      <c r="QXT40" s="424"/>
      <c r="QXU40" s="426"/>
      <c r="QXV40" s="424"/>
      <c r="QXW40" s="426"/>
      <c r="QXX40" s="424"/>
      <c r="QXY40" s="426"/>
      <c r="QXZ40" s="424"/>
      <c r="QYA40" s="426"/>
      <c r="QYB40" s="424"/>
      <c r="QYC40" s="426"/>
      <c r="QYD40" s="424"/>
      <c r="QYE40" s="426"/>
      <c r="QYF40" s="424"/>
      <c r="QYG40" s="426"/>
      <c r="QYH40" s="424"/>
      <c r="QYI40" s="426"/>
      <c r="QYJ40" s="424"/>
      <c r="QYK40" s="426"/>
      <c r="QYL40" s="424"/>
      <c r="QYM40" s="426"/>
      <c r="QYN40" s="424"/>
      <c r="QYO40" s="426"/>
      <c r="QYP40" s="424"/>
      <c r="QYQ40" s="426"/>
      <c r="QYR40" s="424"/>
      <c r="QYS40" s="426"/>
      <c r="QYT40" s="424"/>
      <c r="QYU40" s="426"/>
      <c r="QYV40" s="424"/>
      <c r="QYW40" s="426"/>
      <c r="QYX40" s="424"/>
      <c r="QYY40" s="426"/>
      <c r="QYZ40" s="424"/>
      <c r="QZA40" s="426"/>
      <c r="QZB40" s="424"/>
      <c r="QZC40" s="426"/>
      <c r="QZD40" s="424"/>
      <c r="QZE40" s="426"/>
      <c r="QZF40" s="424"/>
      <c r="QZG40" s="426"/>
      <c r="QZH40" s="424"/>
      <c r="QZI40" s="426"/>
      <c r="QZJ40" s="424"/>
      <c r="QZK40" s="426"/>
      <c r="QZL40" s="424"/>
      <c r="QZM40" s="426"/>
      <c r="QZN40" s="424"/>
      <c r="QZO40" s="426"/>
      <c r="QZP40" s="424"/>
      <c r="QZQ40" s="426"/>
      <c r="QZR40" s="424"/>
      <c r="QZS40" s="426"/>
      <c r="QZT40" s="424"/>
      <c r="QZU40" s="426"/>
      <c r="QZV40" s="424"/>
      <c r="QZW40" s="426"/>
      <c r="QZX40" s="424"/>
      <c r="QZY40" s="426"/>
      <c r="QZZ40" s="424"/>
      <c r="RAA40" s="426"/>
      <c r="RAB40" s="424"/>
      <c r="RAC40" s="426"/>
      <c r="RAD40" s="424"/>
      <c r="RAE40" s="426"/>
      <c r="RAF40" s="424"/>
      <c r="RAG40" s="426"/>
      <c r="RAH40" s="424"/>
      <c r="RAI40" s="426"/>
      <c r="RAJ40" s="424"/>
      <c r="RAK40" s="426"/>
      <c r="RAL40" s="424"/>
      <c r="RAM40" s="426"/>
      <c r="RAN40" s="424"/>
      <c r="RAO40" s="426"/>
      <c r="RAP40" s="424"/>
      <c r="RAQ40" s="426"/>
      <c r="RAR40" s="424"/>
      <c r="RAS40" s="426"/>
      <c r="RAT40" s="424"/>
      <c r="RAU40" s="426"/>
      <c r="RAV40" s="424"/>
      <c r="RAW40" s="426"/>
      <c r="RAX40" s="424"/>
      <c r="RAY40" s="426"/>
      <c r="RAZ40" s="424"/>
      <c r="RBA40" s="426"/>
      <c r="RBB40" s="424"/>
      <c r="RBC40" s="426"/>
      <c r="RBD40" s="424"/>
      <c r="RBE40" s="426"/>
      <c r="RBF40" s="424"/>
      <c r="RBG40" s="426"/>
      <c r="RBH40" s="424"/>
      <c r="RBI40" s="426"/>
      <c r="RBJ40" s="424"/>
      <c r="RBK40" s="426"/>
      <c r="RBL40" s="424"/>
      <c r="RBM40" s="426"/>
      <c r="RBN40" s="424"/>
      <c r="RBO40" s="426"/>
      <c r="RBP40" s="424"/>
      <c r="RBQ40" s="426"/>
      <c r="RBR40" s="424"/>
      <c r="RBS40" s="426"/>
      <c r="RBT40" s="424"/>
      <c r="RBU40" s="426"/>
      <c r="RBV40" s="424"/>
      <c r="RBW40" s="426"/>
      <c r="RBX40" s="424"/>
      <c r="RBY40" s="426"/>
      <c r="RBZ40" s="424"/>
      <c r="RCA40" s="426"/>
      <c r="RCB40" s="424"/>
      <c r="RCC40" s="426"/>
      <c r="RCD40" s="424"/>
      <c r="RCE40" s="426"/>
      <c r="RCF40" s="424"/>
      <c r="RCG40" s="426"/>
      <c r="RCH40" s="424"/>
      <c r="RCI40" s="426"/>
      <c r="RCJ40" s="424"/>
      <c r="RCK40" s="426"/>
      <c r="RCL40" s="424"/>
      <c r="RCM40" s="426"/>
      <c r="RCN40" s="424"/>
      <c r="RCO40" s="426"/>
      <c r="RCP40" s="424"/>
      <c r="RCQ40" s="426"/>
      <c r="RCR40" s="424"/>
      <c r="RCS40" s="426"/>
      <c r="RCT40" s="424"/>
      <c r="RCU40" s="426"/>
      <c r="RCV40" s="424"/>
      <c r="RCW40" s="426"/>
      <c r="RCX40" s="424"/>
      <c r="RCY40" s="426"/>
      <c r="RCZ40" s="424"/>
      <c r="RDA40" s="426"/>
      <c r="RDB40" s="424"/>
      <c r="RDC40" s="426"/>
      <c r="RDD40" s="424"/>
      <c r="RDE40" s="426"/>
      <c r="RDF40" s="424"/>
      <c r="RDG40" s="426"/>
      <c r="RDH40" s="424"/>
      <c r="RDI40" s="426"/>
      <c r="RDJ40" s="424"/>
      <c r="RDK40" s="426"/>
      <c r="RDL40" s="424"/>
      <c r="RDM40" s="426"/>
      <c r="RDN40" s="424"/>
      <c r="RDO40" s="426"/>
      <c r="RDP40" s="424"/>
      <c r="RDQ40" s="426"/>
      <c r="RDR40" s="424"/>
      <c r="RDS40" s="426"/>
      <c r="RDT40" s="424"/>
      <c r="RDU40" s="426"/>
      <c r="RDV40" s="424"/>
      <c r="RDW40" s="426"/>
      <c r="RDX40" s="424"/>
      <c r="RDY40" s="426"/>
      <c r="RDZ40" s="424"/>
      <c r="REA40" s="426"/>
      <c r="REB40" s="424"/>
      <c r="REC40" s="426"/>
      <c r="RED40" s="424"/>
      <c r="REE40" s="426"/>
      <c r="REF40" s="424"/>
      <c r="REG40" s="426"/>
      <c r="REH40" s="424"/>
      <c r="REI40" s="426"/>
      <c r="REJ40" s="424"/>
      <c r="REK40" s="426"/>
      <c r="REL40" s="424"/>
      <c r="REM40" s="426"/>
      <c r="REN40" s="424"/>
      <c r="REO40" s="426"/>
      <c r="REP40" s="424"/>
      <c r="REQ40" s="426"/>
      <c r="RER40" s="424"/>
      <c r="RES40" s="426"/>
      <c r="RET40" s="424"/>
      <c r="REU40" s="426"/>
      <c r="REV40" s="424"/>
      <c r="REW40" s="426"/>
      <c r="REX40" s="424"/>
      <c r="REY40" s="426"/>
      <c r="REZ40" s="424"/>
      <c r="RFA40" s="426"/>
      <c r="RFB40" s="424"/>
      <c r="RFC40" s="426"/>
      <c r="RFD40" s="424"/>
      <c r="RFE40" s="426"/>
      <c r="RFF40" s="424"/>
      <c r="RFG40" s="426"/>
      <c r="RFH40" s="424"/>
      <c r="RFI40" s="426"/>
      <c r="RFJ40" s="424"/>
      <c r="RFK40" s="426"/>
      <c r="RFL40" s="424"/>
      <c r="RFM40" s="426"/>
      <c r="RFN40" s="424"/>
      <c r="RFO40" s="426"/>
      <c r="RFP40" s="424"/>
      <c r="RFQ40" s="426"/>
      <c r="RFR40" s="424"/>
      <c r="RFS40" s="426"/>
      <c r="RFT40" s="424"/>
      <c r="RFU40" s="426"/>
      <c r="RFV40" s="424"/>
      <c r="RFW40" s="426"/>
      <c r="RFX40" s="424"/>
      <c r="RFY40" s="426"/>
      <c r="RFZ40" s="424"/>
      <c r="RGA40" s="426"/>
      <c r="RGB40" s="424"/>
      <c r="RGC40" s="426"/>
      <c r="RGD40" s="424"/>
      <c r="RGE40" s="426"/>
      <c r="RGF40" s="424"/>
      <c r="RGG40" s="426"/>
      <c r="RGH40" s="424"/>
      <c r="RGI40" s="426"/>
      <c r="RGJ40" s="424"/>
      <c r="RGK40" s="426"/>
      <c r="RGL40" s="424"/>
      <c r="RGM40" s="426"/>
      <c r="RGN40" s="424"/>
      <c r="RGO40" s="426"/>
      <c r="RGP40" s="424"/>
      <c r="RGQ40" s="426"/>
      <c r="RGR40" s="424"/>
      <c r="RGS40" s="426"/>
      <c r="RGT40" s="424"/>
      <c r="RGU40" s="426"/>
      <c r="RGV40" s="424"/>
      <c r="RGW40" s="426"/>
      <c r="RGX40" s="424"/>
      <c r="RGY40" s="426"/>
      <c r="RGZ40" s="424"/>
      <c r="RHA40" s="426"/>
      <c r="RHB40" s="424"/>
      <c r="RHC40" s="426"/>
      <c r="RHD40" s="424"/>
      <c r="RHE40" s="426"/>
      <c r="RHF40" s="424"/>
      <c r="RHG40" s="426"/>
      <c r="RHH40" s="424"/>
      <c r="RHI40" s="426"/>
      <c r="RHJ40" s="424"/>
      <c r="RHK40" s="426"/>
      <c r="RHL40" s="424"/>
      <c r="RHM40" s="426"/>
      <c r="RHN40" s="424"/>
      <c r="RHO40" s="426"/>
      <c r="RHP40" s="424"/>
      <c r="RHQ40" s="426"/>
      <c r="RHR40" s="424"/>
      <c r="RHS40" s="426"/>
      <c r="RHT40" s="424"/>
      <c r="RHU40" s="426"/>
      <c r="RHV40" s="424"/>
      <c r="RHW40" s="426"/>
      <c r="RHX40" s="424"/>
      <c r="RHY40" s="426"/>
      <c r="RHZ40" s="424"/>
      <c r="RIA40" s="426"/>
      <c r="RIB40" s="424"/>
      <c r="RIC40" s="426"/>
      <c r="RID40" s="424"/>
      <c r="RIE40" s="426"/>
      <c r="RIF40" s="424"/>
      <c r="RIG40" s="426"/>
      <c r="RIH40" s="424"/>
      <c r="RII40" s="426"/>
      <c r="RIJ40" s="424"/>
      <c r="RIK40" s="426"/>
      <c r="RIL40" s="424"/>
      <c r="RIM40" s="426"/>
      <c r="RIN40" s="424"/>
      <c r="RIO40" s="426"/>
      <c r="RIP40" s="424"/>
      <c r="RIQ40" s="426"/>
      <c r="RIR40" s="424"/>
      <c r="RIS40" s="426"/>
      <c r="RIT40" s="424"/>
      <c r="RIU40" s="426"/>
      <c r="RIV40" s="424"/>
      <c r="RIW40" s="426"/>
      <c r="RIX40" s="424"/>
      <c r="RIY40" s="426"/>
      <c r="RIZ40" s="424"/>
      <c r="RJA40" s="426"/>
      <c r="RJB40" s="424"/>
      <c r="RJC40" s="426"/>
      <c r="RJD40" s="424"/>
      <c r="RJE40" s="426"/>
      <c r="RJF40" s="424"/>
      <c r="RJG40" s="426"/>
      <c r="RJH40" s="424"/>
      <c r="RJI40" s="426"/>
      <c r="RJJ40" s="424"/>
      <c r="RJK40" s="426"/>
      <c r="RJL40" s="424"/>
      <c r="RJM40" s="426"/>
      <c r="RJN40" s="424"/>
      <c r="RJO40" s="426"/>
      <c r="RJP40" s="424"/>
      <c r="RJQ40" s="426"/>
      <c r="RJR40" s="424"/>
      <c r="RJS40" s="426"/>
      <c r="RJT40" s="424"/>
      <c r="RJU40" s="426"/>
      <c r="RJV40" s="424"/>
      <c r="RJW40" s="426"/>
      <c r="RJX40" s="424"/>
      <c r="RJY40" s="426"/>
      <c r="RJZ40" s="424"/>
      <c r="RKA40" s="426"/>
      <c r="RKB40" s="424"/>
      <c r="RKC40" s="426"/>
      <c r="RKD40" s="424"/>
      <c r="RKE40" s="426"/>
      <c r="RKF40" s="424"/>
      <c r="RKG40" s="426"/>
      <c r="RKH40" s="424"/>
      <c r="RKI40" s="426"/>
      <c r="RKJ40" s="424"/>
      <c r="RKK40" s="426"/>
      <c r="RKL40" s="424"/>
      <c r="RKM40" s="426"/>
      <c r="RKN40" s="424"/>
      <c r="RKO40" s="426"/>
      <c r="RKP40" s="424"/>
      <c r="RKQ40" s="426"/>
      <c r="RKR40" s="424"/>
      <c r="RKS40" s="426"/>
      <c r="RKT40" s="424"/>
      <c r="RKU40" s="426"/>
      <c r="RKV40" s="424"/>
      <c r="RKW40" s="426"/>
      <c r="RKX40" s="424"/>
      <c r="RKY40" s="426"/>
      <c r="RKZ40" s="424"/>
      <c r="RLA40" s="426"/>
      <c r="RLB40" s="424"/>
      <c r="RLC40" s="426"/>
      <c r="RLD40" s="424"/>
      <c r="RLE40" s="426"/>
      <c r="RLF40" s="424"/>
      <c r="RLG40" s="426"/>
      <c r="RLH40" s="424"/>
      <c r="RLI40" s="426"/>
      <c r="RLJ40" s="424"/>
      <c r="RLK40" s="426"/>
      <c r="RLL40" s="424"/>
      <c r="RLM40" s="426"/>
      <c r="RLN40" s="424"/>
      <c r="RLO40" s="426"/>
      <c r="RLP40" s="424"/>
      <c r="RLQ40" s="426"/>
      <c r="RLR40" s="424"/>
      <c r="RLS40" s="426"/>
      <c r="RLT40" s="424"/>
      <c r="RLU40" s="426"/>
      <c r="RLV40" s="424"/>
      <c r="RLW40" s="426"/>
      <c r="RLX40" s="424"/>
      <c r="RLY40" s="426"/>
      <c r="RLZ40" s="424"/>
      <c r="RMA40" s="426"/>
      <c r="RMB40" s="424"/>
      <c r="RMC40" s="426"/>
      <c r="RMD40" s="424"/>
      <c r="RME40" s="426"/>
      <c r="RMF40" s="424"/>
      <c r="RMG40" s="426"/>
      <c r="RMH40" s="424"/>
      <c r="RMI40" s="426"/>
      <c r="RMJ40" s="424"/>
      <c r="RMK40" s="426"/>
      <c r="RML40" s="424"/>
      <c r="RMM40" s="426"/>
      <c r="RMN40" s="424"/>
      <c r="RMO40" s="426"/>
      <c r="RMP40" s="424"/>
      <c r="RMQ40" s="426"/>
      <c r="RMR40" s="424"/>
      <c r="RMS40" s="426"/>
      <c r="RMT40" s="424"/>
      <c r="RMU40" s="426"/>
      <c r="RMV40" s="424"/>
      <c r="RMW40" s="426"/>
      <c r="RMX40" s="424"/>
      <c r="RMY40" s="426"/>
      <c r="RMZ40" s="424"/>
      <c r="RNA40" s="426"/>
      <c r="RNB40" s="424"/>
      <c r="RNC40" s="426"/>
      <c r="RND40" s="424"/>
      <c r="RNE40" s="426"/>
      <c r="RNF40" s="424"/>
      <c r="RNG40" s="426"/>
      <c r="RNH40" s="424"/>
      <c r="RNI40" s="426"/>
      <c r="RNJ40" s="424"/>
      <c r="RNK40" s="426"/>
      <c r="RNL40" s="424"/>
      <c r="RNM40" s="426"/>
      <c r="RNN40" s="424"/>
      <c r="RNO40" s="426"/>
      <c r="RNP40" s="424"/>
      <c r="RNQ40" s="426"/>
      <c r="RNR40" s="424"/>
      <c r="RNS40" s="426"/>
      <c r="RNT40" s="424"/>
      <c r="RNU40" s="426"/>
      <c r="RNV40" s="424"/>
      <c r="RNW40" s="426"/>
      <c r="RNX40" s="424"/>
      <c r="RNY40" s="426"/>
      <c r="RNZ40" s="424"/>
      <c r="ROA40" s="426"/>
      <c r="ROB40" s="424"/>
      <c r="ROC40" s="426"/>
      <c r="ROD40" s="424"/>
      <c r="ROE40" s="426"/>
      <c r="ROF40" s="424"/>
      <c r="ROG40" s="426"/>
      <c r="ROH40" s="424"/>
      <c r="ROI40" s="426"/>
      <c r="ROJ40" s="424"/>
      <c r="ROK40" s="426"/>
      <c r="ROL40" s="424"/>
      <c r="ROM40" s="426"/>
      <c r="RON40" s="424"/>
      <c r="ROO40" s="426"/>
      <c r="ROP40" s="424"/>
      <c r="ROQ40" s="426"/>
      <c r="ROR40" s="424"/>
      <c r="ROS40" s="426"/>
      <c r="ROT40" s="424"/>
      <c r="ROU40" s="426"/>
      <c r="ROV40" s="424"/>
      <c r="ROW40" s="426"/>
      <c r="ROX40" s="424"/>
      <c r="ROY40" s="426"/>
      <c r="ROZ40" s="424"/>
      <c r="RPA40" s="426"/>
      <c r="RPB40" s="424"/>
      <c r="RPC40" s="426"/>
      <c r="RPD40" s="424"/>
      <c r="RPE40" s="426"/>
      <c r="RPF40" s="424"/>
      <c r="RPG40" s="426"/>
      <c r="RPH40" s="424"/>
      <c r="RPI40" s="426"/>
      <c r="RPJ40" s="424"/>
      <c r="RPK40" s="426"/>
      <c r="RPL40" s="424"/>
      <c r="RPM40" s="426"/>
      <c r="RPN40" s="424"/>
      <c r="RPO40" s="426"/>
      <c r="RPP40" s="424"/>
      <c r="RPQ40" s="426"/>
      <c r="RPR40" s="424"/>
      <c r="RPS40" s="426"/>
      <c r="RPT40" s="424"/>
      <c r="RPU40" s="426"/>
      <c r="RPV40" s="424"/>
      <c r="RPW40" s="426"/>
      <c r="RPX40" s="424"/>
      <c r="RPY40" s="426"/>
      <c r="RPZ40" s="424"/>
      <c r="RQA40" s="426"/>
      <c r="RQB40" s="424"/>
      <c r="RQC40" s="426"/>
      <c r="RQD40" s="424"/>
      <c r="RQE40" s="426"/>
      <c r="RQF40" s="424"/>
      <c r="RQG40" s="426"/>
      <c r="RQH40" s="424"/>
      <c r="RQI40" s="426"/>
      <c r="RQJ40" s="424"/>
      <c r="RQK40" s="426"/>
      <c r="RQL40" s="424"/>
      <c r="RQM40" s="426"/>
      <c r="RQN40" s="424"/>
      <c r="RQO40" s="426"/>
      <c r="RQP40" s="424"/>
      <c r="RQQ40" s="426"/>
      <c r="RQR40" s="424"/>
      <c r="RQS40" s="426"/>
      <c r="RQT40" s="424"/>
      <c r="RQU40" s="426"/>
      <c r="RQV40" s="424"/>
      <c r="RQW40" s="426"/>
      <c r="RQX40" s="424"/>
      <c r="RQY40" s="426"/>
      <c r="RQZ40" s="424"/>
      <c r="RRA40" s="426"/>
      <c r="RRB40" s="424"/>
      <c r="RRC40" s="426"/>
      <c r="RRD40" s="424"/>
      <c r="RRE40" s="426"/>
      <c r="RRF40" s="424"/>
      <c r="RRG40" s="426"/>
      <c r="RRH40" s="424"/>
      <c r="RRI40" s="426"/>
      <c r="RRJ40" s="424"/>
      <c r="RRK40" s="426"/>
      <c r="RRL40" s="424"/>
      <c r="RRM40" s="426"/>
      <c r="RRN40" s="424"/>
      <c r="RRO40" s="426"/>
      <c r="RRP40" s="424"/>
      <c r="RRQ40" s="426"/>
      <c r="RRR40" s="424"/>
      <c r="RRS40" s="426"/>
      <c r="RRT40" s="424"/>
      <c r="RRU40" s="426"/>
      <c r="RRV40" s="424"/>
      <c r="RRW40" s="426"/>
      <c r="RRX40" s="424"/>
      <c r="RRY40" s="426"/>
      <c r="RRZ40" s="424"/>
      <c r="RSA40" s="426"/>
      <c r="RSB40" s="424"/>
      <c r="RSC40" s="426"/>
      <c r="RSD40" s="424"/>
      <c r="RSE40" s="426"/>
      <c r="RSF40" s="424"/>
      <c r="RSG40" s="426"/>
      <c r="RSH40" s="424"/>
      <c r="RSI40" s="426"/>
      <c r="RSJ40" s="424"/>
      <c r="RSK40" s="426"/>
      <c r="RSL40" s="424"/>
      <c r="RSM40" s="426"/>
      <c r="RSN40" s="424"/>
      <c r="RSO40" s="426"/>
      <c r="RSP40" s="424"/>
      <c r="RSQ40" s="426"/>
      <c r="RSR40" s="424"/>
      <c r="RSS40" s="426"/>
      <c r="RST40" s="424"/>
      <c r="RSU40" s="426"/>
      <c r="RSV40" s="424"/>
      <c r="RSW40" s="426"/>
      <c r="RSX40" s="424"/>
      <c r="RSY40" s="426"/>
      <c r="RSZ40" s="424"/>
      <c r="RTA40" s="426"/>
      <c r="RTB40" s="424"/>
      <c r="RTC40" s="426"/>
      <c r="RTD40" s="424"/>
      <c r="RTE40" s="426"/>
      <c r="RTF40" s="424"/>
      <c r="RTG40" s="426"/>
      <c r="RTH40" s="424"/>
      <c r="RTI40" s="426"/>
      <c r="RTJ40" s="424"/>
      <c r="RTK40" s="426"/>
      <c r="RTL40" s="424"/>
      <c r="RTM40" s="426"/>
      <c r="RTN40" s="424"/>
      <c r="RTO40" s="426"/>
      <c r="RTP40" s="424"/>
      <c r="RTQ40" s="426"/>
      <c r="RTR40" s="424"/>
      <c r="RTS40" s="426"/>
      <c r="RTT40" s="424"/>
      <c r="RTU40" s="426"/>
      <c r="RTV40" s="424"/>
      <c r="RTW40" s="426"/>
      <c r="RTX40" s="424"/>
      <c r="RTY40" s="426"/>
      <c r="RTZ40" s="424"/>
      <c r="RUA40" s="426"/>
      <c r="RUB40" s="424"/>
      <c r="RUC40" s="426"/>
      <c r="RUD40" s="424"/>
      <c r="RUE40" s="426"/>
      <c r="RUF40" s="424"/>
      <c r="RUG40" s="426"/>
      <c r="RUH40" s="424"/>
      <c r="RUI40" s="426"/>
      <c r="RUJ40" s="424"/>
      <c r="RUK40" s="426"/>
      <c r="RUL40" s="424"/>
      <c r="RUM40" s="426"/>
      <c r="RUN40" s="424"/>
      <c r="RUO40" s="426"/>
      <c r="RUP40" s="424"/>
      <c r="RUQ40" s="426"/>
      <c r="RUR40" s="424"/>
      <c r="RUS40" s="426"/>
      <c r="RUT40" s="424"/>
      <c r="RUU40" s="426"/>
      <c r="RUV40" s="424"/>
      <c r="RUW40" s="426"/>
      <c r="RUX40" s="424"/>
      <c r="RUY40" s="426"/>
      <c r="RUZ40" s="424"/>
      <c r="RVA40" s="426"/>
      <c r="RVB40" s="424"/>
      <c r="RVC40" s="426"/>
      <c r="RVD40" s="424"/>
      <c r="RVE40" s="426"/>
      <c r="RVF40" s="424"/>
      <c r="RVG40" s="426"/>
      <c r="RVH40" s="424"/>
      <c r="RVI40" s="426"/>
      <c r="RVJ40" s="424"/>
      <c r="RVK40" s="426"/>
      <c r="RVL40" s="424"/>
      <c r="RVM40" s="426"/>
      <c r="RVN40" s="424"/>
      <c r="RVO40" s="426"/>
      <c r="RVP40" s="424"/>
      <c r="RVQ40" s="426"/>
      <c r="RVR40" s="424"/>
      <c r="RVS40" s="426"/>
      <c r="RVT40" s="424"/>
      <c r="RVU40" s="426"/>
      <c r="RVV40" s="424"/>
      <c r="RVW40" s="426"/>
      <c r="RVX40" s="424"/>
      <c r="RVY40" s="426"/>
      <c r="RVZ40" s="424"/>
      <c r="RWA40" s="426"/>
      <c r="RWB40" s="424"/>
      <c r="RWC40" s="426"/>
      <c r="RWD40" s="424"/>
      <c r="RWE40" s="426"/>
      <c r="RWF40" s="424"/>
      <c r="RWG40" s="426"/>
      <c r="RWH40" s="424"/>
      <c r="RWI40" s="426"/>
      <c r="RWJ40" s="424"/>
      <c r="RWK40" s="426"/>
      <c r="RWL40" s="424"/>
      <c r="RWM40" s="426"/>
      <c r="RWN40" s="424"/>
      <c r="RWO40" s="426"/>
      <c r="RWP40" s="424"/>
      <c r="RWQ40" s="426"/>
      <c r="RWR40" s="424"/>
      <c r="RWS40" s="426"/>
      <c r="RWT40" s="424"/>
      <c r="RWU40" s="426"/>
      <c r="RWV40" s="424"/>
      <c r="RWW40" s="426"/>
      <c r="RWX40" s="424"/>
      <c r="RWY40" s="426"/>
      <c r="RWZ40" s="424"/>
      <c r="RXA40" s="426"/>
      <c r="RXB40" s="424"/>
      <c r="RXC40" s="426"/>
      <c r="RXD40" s="424"/>
      <c r="RXE40" s="426"/>
      <c r="RXF40" s="424"/>
      <c r="RXG40" s="426"/>
      <c r="RXH40" s="424"/>
      <c r="RXI40" s="426"/>
      <c r="RXJ40" s="424"/>
      <c r="RXK40" s="426"/>
      <c r="RXL40" s="424"/>
      <c r="RXM40" s="426"/>
      <c r="RXN40" s="424"/>
      <c r="RXO40" s="426"/>
      <c r="RXP40" s="424"/>
      <c r="RXQ40" s="426"/>
      <c r="RXR40" s="424"/>
      <c r="RXS40" s="426"/>
      <c r="RXT40" s="424"/>
      <c r="RXU40" s="426"/>
      <c r="RXV40" s="424"/>
      <c r="RXW40" s="426"/>
      <c r="RXX40" s="424"/>
      <c r="RXY40" s="426"/>
      <c r="RXZ40" s="424"/>
      <c r="RYA40" s="426"/>
      <c r="RYB40" s="424"/>
      <c r="RYC40" s="426"/>
      <c r="RYD40" s="424"/>
      <c r="RYE40" s="426"/>
      <c r="RYF40" s="424"/>
      <c r="RYG40" s="426"/>
      <c r="RYH40" s="424"/>
      <c r="RYI40" s="426"/>
      <c r="RYJ40" s="424"/>
      <c r="RYK40" s="426"/>
      <c r="RYL40" s="424"/>
      <c r="RYM40" s="426"/>
      <c r="RYN40" s="424"/>
      <c r="RYO40" s="426"/>
      <c r="RYP40" s="424"/>
      <c r="RYQ40" s="426"/>
      <c r="RYR40" s="424"/>
      <c r="RYS40" s="426"/>
      <c r="RYT40" s="424"/>
      <c r="RYU40" s="426"/>
      <c r="RYV40" s="424"/>
      <c r="RYW40" s="426"/>
      <c r="RYX40" s="424"/>
      <c r="RYY40" s="426"/>
      <c r="RYZ40" s="424"/>
      <c r="RZA40" s="426"/>
      <c r="RZB40" s="424"/>
      <c r="RZC40" s="426"/>
      <c r="RZD40" s="424"/>
      <c r="RZE40" s="426"/>
      <c r="RZF40" s="424"/>
      <c r="RZG40" s="426"/>
      <c r="RZH40" s="424"/>
      <c r="RZI40" s="426"/>
      <c r="RZJ40" s="424"/>
      <c r="RZK40" s="426"/>
      <c r="RZL40" s="424"/>
      <c r="RZM40" s="426"/>
      <c r="RZN40" s="424"/>
      <c r="RZO40" s="426"/>
      <c r="RZP40" s="424"/>
      <c r="RZQ40" s="426"/>
      <c r="RZR40" s="424"/>
      <c r="RZS40" s="426"/>
      <c r="RZT40" s="424"/>
      <c r="RZU40" s="426"/>
      <c r="RZV40" s="424"/>
      <c r="RZW40" s="426"/>
      <c r="RZX40" s="424"/>
      <c r="RZY40" s="426"/>
      <c r="RZZ40" s="424"/>
      <c r="SAA40" s="426"/>
      <c r="SAB40" s="424"/>
      <c r="SAC40" s="426"/>
      <c r="SAD40" s="424"/>
      <c r="SAE40" s="426"/>
      <c r="SAF40" s="424"/>
      <c r="SAG40" s="426"/>
      <c r="SAH40" s="424"/>
      <c r="SAI40" s="426"/>
      <c r="SAJ40" s="424"/>
      <c r="SAK40" s="426"/>
      <c r="SAL40" s="424"/>
      <c r="SAM40" s="426"/>
      <c r="SAN40" s="424"/>
      <c r="SAO40" s="426"/>
      <c r="SAP40" s="424"/>
      <c r="SAQ40" s="426"/>
      <c r="SAR40" s="424"/>
      <c r="SAS40" s="426"/>
      <c r="SAT40" s="424"/>
      <c r="SAU40" s="426"/>
      <c r="SAV40" s="424"/>
      <c r="SAW40" s="426"/>
      <c r="SAX40" s="424"/>
      <c r="SAY40" s="426"/>
      <c r="SAZ40" s="424"/>
      <c r="SBA40" s="426"/>
      <c r="SBB40" s="424"/>
      <c r="SBC40" s="426"/>
      <c r="SBD40" s="424"/>
      <c r="SBE40" s="426"/>
      <c r="SBF40" s="424"/>
      <c r="SBG40" s="426"/>
      <c r="SBH40" s="424"/>
      <c r="SBI40" s="426"/>
      <c r="SBJ40" s="424"/>
      <c r="SBK40" s="426"/>
      <c r="SBL40" s="424"/>
      <c r="SBM40" s="426"/>
      <c r="SBN40" s="424"/>
      <c r="SBO40" s="426"/>
      <c r="SBP40" s="424"/>
      <c r="SBQ40" s="426"/>
      <c r="SBR40" s="424"/>
      <c r="SBS40" s="426"/>
      <c r="SBT40" s="424"/>
      <c r="SBU40" s="426"/>
      <c r="SBV40" s="424"/>
      <c r="SBW40" s="426"/>
      <c r="SBX40" s="424"/>
      <c r="SBY40" s="426"/>
      <c r="SBZ40" s="424"/>
      <c r="SCA40" s="426"/>
      <c r="SCB40" s="424"/>
      <c r="SCC40" s="426"/>
      <c r="SCD40" s="424"/>
      <c r="SCE40" s="426"/>
      <c r="SCF40" s="424"/>
      <c r="SCG40" s="426"/>
      <c r="SCH40" s="424"/>
      <c r="SCI40" s="426"/>
      <c r="SCJ40" s="424"/>
      <c r="SCK40" s="426"/>
      <c r="SCL40" s="424"/>
      <c r="SCM40" s="426"/>
      <c r="SCN40" s="424"/>
      <c r="SCO40" s="426"/>
      <c r="SCP40" s="424"/>
      <c r="SCQ40" s="426"/>
      <c r="SCR40" s="424"/>
      <c r="SCS40" s="426"/>
      <c r="SCT40" s="424"/>
      <c r="SCU40" s="426"/>
      <c r="SCV40" s="424"/>
      <c r="SCW40" s="426"/>
      <c r="SCX40" s="424"/>
      <c r="SCY40" s="426"/>
      <c r="SCZ40" s="424"/>
      <c r="SDA40" s="426"/>
      <c r="SDB40" s="424"/>
      <c r="SDC40" s="426"/>
      <c r="SDD40" s="424"/>
      <c r="SDE40" s="426"/>
      <c r="SDF40" s="424"/>
      <c r="SDG40" s="426"/>
      <c r="SDH40" s="424"/>
      <c r="SDI40" s="426"/>
      <c r="SDJ40" s="424"/>
      <c r="SDK40" s="426"/>
      <c r="SDL40" s="424"/>
      <c r="SDM40" s="426"/>
      <c r="SDN40" s="424"/>
      <c r="SDO40" s="426"/>
      <c r="SDP40" s="424"/>
      <c r="SDQ40" s="426"/>
      <c r="SDR40" s="424"/>
      <c r="SDS40" s="426"/>
      <c r="SDT40" s="424"/>
      <c r="SDU40" s="426"/>
      <c r="SDV40" s="424"/>
      <c r="SDW40" s="426"/>
      <c r="SDX40" s="424"/>
      <c r="SDY40" s="426"/>
      <c r="SDZ40" s="424"/>
      <c r="SEA40" s="426"/>
      <c r="SEB40" s="424"/>
      <c r="SEC40" s="426"/>
      <c r="SED40" s="424"/>
      <c r="SEE40" s="426"/>
      <c r="SEF40" s="424"/>
      <c r="SEG40" s="426"/>
      <c r="SEH40" s="424"/>
      <c r="SEI40" s="426"/>
      <c r="SEJ40" s="424"/>
      <c r="SEK40" s="426"/>
      <c r="SEL40" s="424"/>
      <c r="SEM40" s="426"/>
      <c r="SEN40" s="424"/>
      <c r="SEO40" s="426"/>
      <c r="SEP40" s="424"/>
      <c r="SEQ40" s="426"/>
      <c r="SER40" s="424"/>
      <c r="SES40" s="426"/>
      <c r="SET40" s="424"/>
      <c r="SEU40" s="426"/>
      <c r="SEV40" s="424"/>
      <c r="SEW40" s="426"/>
      <c r="SEX40" s="424"/>
      <c r="SEY40" s="426"/>
      <c r="SEZ40" s="424"/>
      <c r="SFA40" s="426"/>
      <c r="SFB40" s="424"/>
      <c r="SFC40" s="426"/>
      <c r="SFD40" s="424"/>
      <c r="SFE40" s="426"/>
      <c r="SFF40" s="424"/>
      <c r="SFG40" s="426"/>
      <c r="SFH40" s="424"/>
      <c r="SFI40" s="426"/>
      <c r="SFJ40" s="424"/>
      <c r="SFK40" s="426"/>
      <c r="SFL40" s="424"/>
      <c r="SFM40" s="426"/>
      <c r="SFN40" s="424"/>
      <c r="SFO40" s="426"/>
      <c r="SFP40" s="424"/>
      <c r="SFQ40" s="426"/>
      <c r="SFR40" s="424"/>
      <c r="SFS40" s="426"/>
      <c r="SFT40" s="424"/>
      <c r="SFU40" s="426"/>
      <c r="SFV40" s="424"/>
      <c r="SFW40" s="426"/>
      <c r="SFX40" s="424"/>
      <c r="SFY40" s="426"/>
      <c r="SFZ40" s="424"/>
      <c r="SGA40" s="426"/>
      <c r="SGB40" s="424"/>
      <c r="SGC40" s="426"/>
      <c r="SGD40" s="424"/>
      <c r="SGE40" s="426"/>
      <c r="SGF40" s="424"/>
      <c r="SGG40" s="426"/>
      <c r="SGH40" s="424"/>
      <c r="SGI40" s="426"/>
      <c r="SGJ40" s="424"/>
      <c r="SGK40" s="426"/>
      <c r="SGL40" s="424"/>
      <c r="SGM40" s="426"/>
      <c r="SGN40" s="424"/>
      <c r="SGO40" s="426"/>
      <c r="SGP40" s="424"/>
      <c r="SGQ40" s="426"/>
      <c r="SGR40" s="424"/>
      <c r="SGS40" s="426"/>
      <c r="SGT40" s="424"/>
      <c r="SGU40" s="426"/>
      <c r="SGV40" s="424"/>
      <c r="SGW40" s="426"/>
      <c r="SGX40" s="424"/>
      <c r="SGY40" s="426"/>
      <c r="SGZ40" s="424"/>
      <c r="SHA40" s="426"/>
      <c r="SHB40" s="424"/>
      <c r="SHC40" s="426"/>
      <c r="SHD40" s="424"/>
      <c r="SHE40" s="426"/>
      <c r="SHF40" s="424"/>
      <c r="SHG40" s="426"/>
      <c r="SHH40" s="424"/>
      <c r="SHI40" s="426"/>
      <c r="SHJ40" s="424"/>
      <c r="SHK40" s="426"/>
      <c r="SHL40" s="424"/>
      <c r="SHM40" s="426"/>
      <c r="SHN40" s="424"/>
      <c r="SHO40" s="426"/>
      <c r="SHP40" s="424"/>
      <c r="SHQ40" s="426"/>
      <c r="SHR40" s="424"/>
      <c r="SHS40" s="426"/>
      <c r="SHT40" s="424"/>
      <c r="SHU40" s="426"/>
      <c r="SHV40" s="424"/>
      <c r="SHW40" s="426"/>
      <c r="SHX40" s="424"/>
      <c r="SHY40" s="426"/>
      <c r="SHZ40" s="424"/>
      <c r="SIA40" s="426"/>
      <c r="SIB40" s="424"/>
      <c r="SIC40" s="426"/>
      <c r="SID40" s="424"/>
      <c r="SIE40" s="426"/>
      <c r="SIF40" s="424"/>
      <c r="SIG40" s="426"/>
      <c r="SIH40" s="424"/>
      <c r="SII40" s="426"/>
      <c r="SIJ40" s="424"/>
      <c r="SIK40" s="426"/>
      <c r="SIL40" s="424"/>
      <c r="SIM40" s="426"/>
      <c r="SIN40" s="424"/>
      <c r="SIO40" s="426"/>
      <c r="SIP40" s="424"/>
      <c r="SIQ40" s="426"/>
      <c r="SIR40" s="424"/>
      <c r="SIS40" s="426"/>
      <c r="SIT40" s="424"/>
      <c r="SIU40" s="426"/>
      <c r="SIV40" s="424"/>
      <c r="SIW40" s="426"/>
      <c r="SIX40" s="424"/>
      <c r="SIY40" s="426"/>
      <c r="SIZ40" s="424"/>
      <c r="SJA40" s="426"/>
      <c r="SJB40" s="424"/>
      <c r="SJC40" s="426"/>
      <c r="SJD40" s="424"/>
      <c r="SJE40" s="426"/>
      <c r="SJF40" s="424"/>
      <c r="SJG40" s="426"/>
      <c r="SJH40" s="424"/>
      <c r="SJI40" s="426"/>
      <c r="SJJ40" s="424"/>
      <c r="SJK40" s="426"/>
      <c r="SJL40" s="424"/>
      <c r="SJM40" s="426"/>
      <c r="SJN40" s="424"/>
      <c r="SJO40" s="426"/>
      <c r="SJP40" s="424"/>
      <c r="SJQ40" s="426"/>
      <c r="SJR40" s="424"/>
      <c r="SJS40" s="426"/>
      <c r="SJT40" s="424"/>
      <c r="SJU40" s="426"/>
      <c r="SJV40" s="424"/>
      <c r="SJW40" s="426"/>
      <c r="SJX40" s="424"/>
      <c r="SJY40" s="426"/>
      <c r="SJZ40" s="424"/>
      <c r="SKA40" s="426"/>
      <c r="SKB40" s="424"/>
      <c r="SKC40" s="426"/>
      <c r="SKD40" s="424"/>
      <c r="SKE40" s="426"/>
      <c r="SKF40" s="424"/>
      <c r="SKG40" s="426"/>
      <c r="SKH40" s="424"/>
      <c r="SKI40" s="426"/>
      <c r="SKJ40" s="424"/>
      <c r="SKK40" s="426"/>
      <c r="SKL40" s="424"/>
      <c r="SKM40" s="426"/>
      <c r="SKN40" s="424"/>
      <c r="SKO40" s="426"/>
      <c r="SKP40" s="424"/>
      <c r="SKQ40" s="426"/>
      <c r="SKR40" s="424"/>
      <c r="SKS40" s="426"/>
      <c r="SKT40" s="424"/>
      <c r="SKU40" s="426"/>
      <c r="SKV40" s="424"/>
      <c r="SKW40" s="426"/>
      <c r="SKX40" s="424"/>
      <c r="SKY40" s="426"/>
      <c r="SKZ40" s="424"/>
      <c r="SLA40" s="426"/>
      <c r="SLB40" s="424"/>
      <c r="SLC40" s="426"/>
      <c r="SLD40" s="424"/>
      <c r="SLE40" s="426"/>
      <c r="SLF40" s="424"/>
      <c r="SLG40" s="426"/>
      <c r="SLH40" s="424"/>
      <c r="SLI40" s="426"/>
      <c r="SLJ40" s="424"/>
      <c r="SLK40" s="426"/>
      <c r="SLL40" s="424"/>
      <c r="SLM40" s="426"/>
      <c r="SLN40" s="424"/>
      <c r="SLO40" s="426"/>
      <c r="SLP40" s="424"/>
      <c r="SLQ40" s="426"/>
      <c r="SLR40" s="424"/>
      <c r="SLS40" s="426"/>
      <c r="SLT40" s="424"/>
      <c r="SLU40" s="426"/>
      <c r="SLV40" s="424"/>
      <c r="SLW40" s="426"/>
      <c r="SLX40" s="424"/>
      <c r="SLY40" s="426"/>
      <c r="SLZ40" s="424"/>
      <c r="SMA40" s="426"/>
      <c r="SMB40" s="424"/>
      <c r="SMC40" s="426"/>
      <c r="SMD40" s="424"/>
      <c r="SME40" s="426"/>
      <c r="SMF40" s="424"/>
      <c r="SMG40" s="426"/>
      <c r="SMH40" s="424"/>
      <c r="SMI40" s="426"/>
      <c r="SMJ40" s="424"/>
      <c r="SMK40" s="426"/>
      <c r="SML40" s="424"/>
      <c r="SMM40" s="426"/>
      <c r="SMN40" s="424"/>
      <c r="SMO40" s="426"/>
      <c r="SMP40" s="424"/>
      <c r="SMQ40" s="426"/>
      <c r="SMR40" s="424"/>
      <c r="SMS40" s="426"/>
      <c r="SMT40" s="424"/>
      <c r="SMU40" s="426"/>
      <c r="SMV40" s="424"/>
      <c r="SMW40" s="426"/>
      <c r="SMX40" s="424"/>
      <c r="SMY40" s="426"/>
      <c r="SMZ40" s="424"/>
      <c r="SNA40" s="426"/>
      <c r="SNB40" s="424"/>
      <c r="SNC40" s="426"/>
      <c r="SND40" s="424"/>
      <c r="SNE40" s="426"/>
      <c r="SNF40" s="424"/>
      <c r="SNG40" s="426"/>
      <c r="SNH40" s="424"/>
      <c r="SNI40" s="426"/>
      <c r="SNJ40" s="424"/>
      <c r="SNK40" s="426"/>
      <c r="SNL40" s="424"/>
      <c r="SNM40" s="426"/>
      <c r="SNN40" s="424"/>
      <c r="SNO40" s="426"/>
      <c r="SNP40" s="424"/>
      <c r="SNQ40" s="426"/>
      <c r="SNR40" s="424"/>
      <c r="SNS40" s="426"/>
      <c r="SNT40" s="424"/>
      <c r="SNU40" s="426"/>
      <c r="SNV40" s="424"/>
      <c r="SNW40" s="426"/>
      <c r="SNX40" s="424"/>
      <c r="SNY40" s="426"/>
      <c r="SNZ40" s="424"/>
      <c r="SOA40" s="426"/>
      <c r="SOB40" s="424"/>
      <c r="SOC40" s="426"/>
      <c r="SOD40" s="424"/>
      <c r="SOE40" s="426"/>
      <c r="SOF40" s="424"/>
      <c r="SOG40" s="426"/>
      <c r="SOH40" s="424"/>
      <c r="SOI40" s="426"/>
      <c r="SOJ40" s="424"/>
      <c r="SOK40" s="426"/>
      <c r="SOL40" s="424"/>
      <c r="SOM40" s="426"/>
      <c r="SON40" s="424"/>
      <c r="SOO40" s="426"/>
      <c r="SOP40" s="424"/>
      <c r="SOQ40" s="426"/>
      <c r="SOR40" s="424"/>
      <c r="SOS40" s="426"/>
      <c r="SOT40" s="424"/>
      <c r="SOU40" s="426"/>
      <c r="SOV40" s="424"/>
      <c r="SOW40" s="426"/>
      <c r="SOX40" s="424"/>
      <c r="SOY40" s="426"/>
      <c r="SOZ40" s="424"/>
      <c r="SPA40" s="426"/>
      <c r="SPB40" s="424"/>
      <c r="SPC40" s="426"/>
      <c r="SPD40" s="424"/>
      <c r="SPE40" s="426"/>
      <c r="SPF40" s="424"/>
      <c r="SPG40" s="426"/>
      <c r="SPH40" s="424"/>
      <c r="SPI40" s="426"/>
      <c r="SPJ40" s="424"/>
      <c r="SPK40" s="426"/>
      <c r="SPL40" s="424"/>
      <c r="SPM40" s="426"/>
      <c r="SPN40" s="424"/>
      <c r="SPO40" s="426"/>
      <c r="SPP40" s="424"/>
      <c r="SPQ40" s="426"/>
      <c r="SPR40" s="424"/>
      <c r="SPS40" s="426"/>
      <c r="SPT40" s="424"/>
      <c r="SPU40" s="426"/>
      <c r="SPV40" s="424"/>
      <c r="SPW40" s="426"/>
      <c r="SPX40" s="424"/>
      <c r="SPY40" s="426"/>
      <c r="SPZ40" s="424"/>
      <c r="SQA40" s="426"/>
      <c r="SQB40" s="424"/>
      <c r="SQC40" s="426"/>
      <c r="SQD40" s="424"/>
      <c r="SQE40" s="426"/>
      <c r="SQF40" s="424"/>
      <c r="SQG40" s="426"/>
      <c r="SQH40" s="424"/>
      <c r="SQI40" s="426"/>
      <c r="SQJ40" s="424"/>
      <c r="SQK40" s="426"/>
      <c r="SQL40" s="424"/>
      <c r="SQM40" s="426"/>
      <c r="SQN40" s="424"/>
      <c r="SQO40" s="426"/>
      <c r="SQP40" s="424"/>
      <c r="SQQ40" s="426"/>
      <c r="SQR40" s="424"/>
      <c r="SQS40" s="426"/>
      <c r="SQT40" s="424"/>
      <c r="SQU40" s="426"/>
      <c r="SQV40" s="424"/>
      <c r="SQW40" s="426"/>
      <c r="SQX40" s="424"/>
      <c r="SQY40" s="426"/>
      <c r="SQZ40" s="424"/>
      <c r="SRA40" s="426"/>
      <c r="SRB40" s="424"/>
      <c r="SRC40" s="426"/>
      <c r="SRD40" s="424"/>
      <c r="SRE40" s="426"/>
      <c r="SRF40" s="424"/>
      <c r="SRG40" s="426"/>
      <c r="SRH40" s="424"/>
      <c r="SRI40" s="426"/>
      <c r="SRJ40" s="424"/>
      <c r="SRK40" s="426"/>
      <c r="SRL40" s="424"/>
      <c r="SRM40" s="426"/>
      <c r="SRN40" s="424"/>
      <c r="SRO40" s="426"/>
      <c r="SRP40" s="424"/>
      <c r="SRQ40" s="426"/>
      <c r="SRR40" s="424"/>
      <c r="SRS40" s="426"/>
      <c r="SRT40" s="424"/>
      <c r="SRU40" s="426"/>
      <c r="SRV40" s="424"/>
      <c r="SRW40" s="426"/>
      <c r="SRX40" s="424"/>
      <c r="SRY40" s="426"/>
      <c r="SRZ40" s="424"/>
      <c r="SSA40" s="426"/>
      <c r="SSB40" s="424"/>
      <c r="SSC40" s="426"/>
      <c r="SSD40" s="424"/>
      <c r="SSE40" s="426"/>
      <c r="SSF40" s="424"/>
      <c r="SSG40" s="426"/>
      <c r="SSH40" s="424"/>
      <c r="SSI40" s="426"/>
      <c r="SSJ40" s="424"/>
      <c r="SSK40" s="426"/>
      <c r="SSL40" s="424"/>
      <c r="SSM40" s="426"/>
      <c r="SSN40" s="424"/>
      <c r="SSO40" s="426"/>
      <c r="SSP40" s="424"/>
      <c r="SSQ40" s="426"/>
      <c r="SSR40" s="424"/>
      <c r="SSS40" s="426"/>
      <c r="SST40" s="424"/>
      <c r="SSU40" s="426"/>
      <c r="SSV40" s="424"/>
      <c r="SSW40" s="426"/>
      <c r="SSX40" s="424"/>
      <c r="SSY40" s="426"/>
      <c r="SSZ40" s="424"/>
      <c r="STA40" s="426"/>
      <c r="STB40" s="424"/>
      <c r="STC40" s="426"/>
      <c r="STD40" s="424"/>
      <c r="STE40" s="426"/>
      <c r="STF40" s="424"/>
      <c r="STG40" s="426"/>
      <c r="STH40" s="424"/>
      <c r="STI40" s="426"/>
      <c r="STJ40" s="424"/>
      <c r="STK40" s="426"/>
      <c r="STL40" s="424"/>
      <c r="STM40" s="426"/>
      <c r="STN40" s="424"/>
      <c r="STO40" s="426"/>
      <c r="STP40" s="424"/>
      <c r="STQ40" s="426"/>
      <c r="STR40" s="424"/>
      <c r="STS40" s="426"/>
      <c r="STT40" s="424"/>
      <c r="STU40" s="426"/>
      <c r="STV40" s="424"/>
      <c r="STW40" s="426"/>
      <c r="STX40" s="424"/>
      <c r="STY40" s="426"/>
      <c r="STZ40" s="424"/>
      <c r="SUA40" s="426"/>
      <c r="SUB40" s="424"/>
      <c r="SUC40" s="426"/>
      <c r="SUD40" s="424"/>
      <c r="SUE40" s="426"/>
      <c r="SUF40" s="424"/>
      <c r="SUG40" s="426"/>
      <c r="SUH40" s="424"/>
      <c r="SUI40" s="426"/>
      <c r="SUJ40" s="424"/>
      <c r="SUK40" s="426"/>
      <c r="SUL40" s="424"/>
      <c r="SUM40" s="426"/>
      <c r="SUN40" s="424"/>
      <c r="SUO40" s="426"/>
      <c r="SUP40" s="424"/>
      <c r="SUQ40" s="426"/>
      <c r="SUR40" s="424"/>
      <c r="SUS40" s="426"/>
      <c r="SUT40" s="424"/>
      <c r="SUU40" s="426"/>
      <c r="SUV40" s="424"/>
      <c r="SUW40" s="426"/>
      <c r="SUX40" s="424"/>
      <c r="SUY40" s="426"/>
      <c r="SUZ40" s="424"/>
      <c r="SVA40" s="426"/>
      <c r="SVB40" s="424"/>
      <c r="SVC40" s="426"/>
      <c r="SVD40" s="424"/>
      <c r="SVE40" s="426"/>
      <c r="SVF40" s="424"/>
      <c r="SVG40" s="426"/>
      <c r="SVH40" s="424"/>
      <c r="SVI40" s="426"/>
      <c r="SVJ40" s="424"/>
      <c r="SVK40" s="426"/>
      <c r="SVL40" s="424"/>
      <c r="SVM40" s="426"/>
      <c r="SVN40" s="424"/>
      <c r="SVO40" s="426"/>
      <c r="SVP40" s="424"/>
      <c r="SVQ40" s="426"/>
      <c r="SVR40" s="424"/>
      <c r="SVS40" s="426"/>
      <c r="SVT40" s="424"/>
      <c r="SVU40" s="426"/>
      <c r="SVV40" s="424"/>
      <c r="SVW40" s="426"/>
      <c r="SVX40" s="424"/>
      <c r="SVY40" s="426"/>
      <c r="SVZ40" s="424"/>
      <c r="SWA40" s="426"/>
      <c r="SWB40" s="424"/>
      <c r="SWC40" s="426"/>
      <c r="SWD40" s="424"/>
      <c r="SWE40" s="426"/>
      <c r="SWF40" s="424"/>
      <c r="SWG40" s="426"/>
      <c r="SWH40" s="424"/>
      <c r="SWI40" s="426"/>
      <c r="SWJ40" s="424"/>
      <c r="SWK40" s="426"/>
      <c r="SWL40" s="424"/>
      <c r="SWM40" s="426"/>
      <c r="SWN40" s="424"/>
      <c r="SWO40" s="426"/>
      <c r="SWP40" s="424"/>
      <c r="SWQ40" s="426"/>
      <c r="SWR40" s="424"/>
      <c r="SWS40" s="426"/>
      <c r="SWT40" s="424"/>
      <c r="SWU40" s="426"/>
      <c r="SWV40" s="424"/>
      <c r="SWW40" s="426"/>
      <c r="SWX40" s="424"/>
      <c r="SWY40" s="426"/>
      <c r="SWZ40" s="424"/>
      <c r="SXA40" s="426"/>
      <c r="SXB40" s="424"/>
      <c r="SXC40" s="426"/>
      <c r="SXD40" s="424"/>
      <c r="SXE40" s="426"/>
      <c r="SXF40" s="424"/>
      <c r="SXG40" s="426"/>
      <c r="SXH40" s="424"/>
      <c r="SXI40" s="426"/>
      <c r="SXJ40" s="424"/>
      <c r="SXK40" s="426"/>
      <c r="SXL40" s="424"/>
      <c r="SXM40" s="426"/>
      <c r="SXN40" s="424"/>
      <c r="SXO40" s="426"/>
      <c r="SXP40" s="424"/>
      <c r="SXQ40" s="426"/>
      <c r="SXR40" s="424"/>
      <c r="SXS40" s="426"/>
      <c r="SXT40" s="424"/>
      <c r="SXU40" s="426"/>
      <c r="SXV40" s="424"/>
      <c r="SXW40" s="426"/>
      <c r="SXX40" s="424"/>
      <c r="SXY40" s="426"/>
      <c r="SXZ40" s="424"/>
      <c r="SYA40" s="426"/>
      <c r="SYB40" s="424"/>
      <c r="SYC40" s="426"/>
      <c r="SYD40" s="424"/>
      <c r="SYE40" s="426"/>
      <c r="SYF40" s="424"/>
      <c r="SYG40" s="426"/>
      <c r="SYH40" s="424"/>
      <c r="SYI40" s="426"/>
      <c r="SYJ40" s="424"/>
      <c r="SYK40" s="426"/>
      <c r="SYL40" s="424"/>
      <c r="SYM40" s="426"/>
      <c r="SYN40" s="424"/>
      <c r="SYO40" s="426"/>
      <c r="SYP40" s="424"/>
      <c r="SYQ40" s="426"/>
      <c r="SYR40" s="424"/>
      <c r="SYS40" s="426"/>
      <c r="SYT40" s="424"/>
      <c r="SYU40" s="426"/>
      <c r="SYV40" s="424"/>
      <c r="SYW40" s="426"/>
      <c r="SYX40" s="424"/>
      <c r="SYY40" s="426"/>
      <c r="SYZ40" s="424"/>
      <c r="SZA40" s="426"/>
      <c r="SZB40" s="424"/>
      <c r="SZC40" s="426"/>
      <c r="SZD40" s="424"/>
      <c r="SZE40" s="426"/>
      <c r="SZF40" s="424"/>
      <c r="SZG40" s="426"/>
      <c r="SZH40" s="424"/>
      <c r="SZI40" s="426"/>
      <c r="SZJ40" s="424"/>
      <c r="SZK40" s="426"/>
      <c r="SZL40" s="424"/>
      <c r="SZM40" s="426"/>
      <c r="SZN40" s="424"/>
      <c r="SZO40" s="426"/>
      <c r="SZP40" s="424"/>
      <c r="SZQ40" s="426"/>
      <c r="SZR40" s="424"/>
      <c r="SZS40" s="426"/>
      <c r="SZT40" s="424"/>
      <c r="SZU40" s="426"/>
      <c r="SZV40" s="424"/>
      <c r="SZW40" s="426"/>
      <c r="SZX40" s="424"/>
      <c r="SZY40" s="426"/>
      <c r="SZZ40" s="424"/>
      <c r="TAA40" s="426"/>
      <c r="TAB40" s="424"/>
      <c r="TAC40" s="426"/>
      <c r="TAD40" s="424"/>
      <c r="TAE40" s="426"/>
      <c r="TAF40" s="424"/>
      <c r="TAG40" s="426"/>
      <c r="TAH40" s="424"/>
      <c r="TAI40" s="426"/>
      <c r="TAJ40" s="424"/>
      <c r="TAK40" s="426"/>
      <c r="TAL40" s="424"/>
      <c r="TAM40" s="426"/>
      <c r="TAN40" s="424"/>
      <c r="TAO40" s="426"/>
      <c r="TAP40" s="424"/>
      <c r="TAQ40" s="426"/>
      <c r="TAR40" s="424"/>
      <c r="TAS40" s="426"/>
      <c r="TAT40" s="424"/>
      <c r="TAU40" s="426"/>
      <c r="TAV40" s="424"/>
      <c r="TAW40" s="426"/>
      <c r="TAX40" s="424"/>
      <c r="TAY40" s="426"/>
      <c r="TAZ40" s="424"/>
      <c r="TBA40" s="426"/>
      <c r="TBB40" s="424"/>
      <c r="TBC40" s="426"/>
      <c r="TBD40" s="424"/>
      <c r="TBE40" s="426"/>
      <c r="TBF40" s="424"/>
      <c r="TBG40" s="426"/>
      <c r="TBH40" s="424"/>
      <c r="TBI40" s="426"/>
      <c r="TBJ40" s="424"/>
      <c r="TBK40" s="426"/>
      <c r="TBL40" s="424"/>
      <c r="TBM40" s="426"/>
      <c r="TBN40" s="424"/>
      <c r="TBO40" s="426"/>
      <c r="TBP40" s="424"/>
      <c r="TBQ40" s="426"/>
      <c r="TBR40" s="424"/>
      <c r="TBS40" s="426"/>
      <c r="TBT40" s="424"/>
      <c r="TBU40" s="426"/>
      <c r="TBV40" s="424"/>
      <c r="TBW40" s="426"/>
      <c r="TBX40" s="424"/>
      <c r="TBY40" s="426"/>
      <c r="TBZ40" s="424"/>
      <c r="TCA40" s="426"/>
      <c r="TCB40" s="424"/>
      <c r="TCC40" s="426"/>
      <c r="TCD40" s="424"/>
      <c r="TCE40" s="426"/>
      <c r="TCF40" s="424"/>
      <c r="TCG40" s="426"/>
      <c r="TCH40" s="424"/>
      <c r="TCI40" s="426"/>
      <c r="TCJ40" s="424"/>
      <c r="TCK40" s="426"/>
      <c r="TCL40" s="424"/>
      <c r="TCM40" s="426"/>
      <c r="TCN40" s="424"/>
      <c r="TCO40" s="426"/>
      <c r="TCP40" s="424"/>
      <c r="TCQ40" s="426"/>
      <c r="TCR40" s="424"/>
      <c r="TCS40" s="426"/>
      <c r="TCT40" s="424"/>
      <c r="TCU40" s="426"/>
      <c r="TCV40" s="424"/>
      <c r="TCW40" s="426"/>
      <c r="TCX40" s="424"/>
      <c r="TCY40" s="426"/>
      <c r="TCZ40" s="424"/>
      <c r="TDA40" s="426"/>
      <c r="TDB40" s="424"/>
      <c r="TDC40" s="426"/>
      <c r="TDD40" s="424"/>
      <c r="TDE40" s="426"/>
      <c r="TDF40" s="424"/>
      <c r="TDG40" s="426"/>
      <c r="TDH40" s="424"/>
      <c r="TDI40" s="426"/>
      <c r="TDJ40" s="424"/>
      <c r="TDK40" s="426"/>
      <c r="TDL40" s="424"/>
      <c r="TDM40" s="426"/>
      <c r="TDN40" s="424"/>
      <c r="TDO40" s="426"/>
      <c r="TDP40" s="424"/>
      <c r="TDQ40" s="426"/>
      <c r="TDR40" s="424"/>
      <c r="TDS40" s="426"/>
      <c r="TDT40" s="424"/>
      <c r="TDU40" s="426"/>
      <c r="TDV40" s="424"/>
      <c r="TDW40" s="426"/>
      <c r="TDX40" s="424"/>
      <c r="TDY40" s="426"/>
      <c r="TDZ40" s="424"/>
      <c r="TEA40" s="426"/>
      <c r="TEB40" s="424"/>
      <c r="TEC40" s="426"/>
      <c r="TED40" s="424"/>
      <c r="TEE40" s="426"/>
      <c r="TEF40" s="424"/>
      <c r="TEG40" s="426"/>
      <c r="TEH40" s="424"/>
      <c r="TEI40" s="426"/>
      <c r="TEJ40" s="424"/>
      <c r="TEK40" s="426"/>
      <c r="TEL40" s="424"/>
      <c r="TEM40" s="426"/>
      <c r="TEN40" s="424"/>
      <c r="TEO40" s="426"/>
      <c r="TEP40" s="424"/>
      <c r="TEQ40" s="426"/>
      <c r="TER40" s="424"/>
      <c r="TES40" s="426"/>
      <c r="TET40" s="424"/>
      <c r="TEU40" s="426"/>
      <c r="TEV40" s="424"/>
      <c r="TEW40" s="426"/>
      <c r="TEX40" s="424"/>
      <c r="TEY40" s="426"/>
      <c r="TEZ40" s="424"/>
      <c r="TFA40" s="426"/>
      <c r="TFB40" s="424"/>
      <c r="TFC40" s="426"/>
      <c r="TFD40" s="424"/>
      <c r="TFE40" s="426"/>
      <c r="TFF40" s="424"/>
      <c r="TFG40" s="426"/>
      <c r="TFH40" s="424"/>
      <c r="TFI40" s="426"/>
      <c r="TFJ40" s="424"/>
      <c r="TFK40" s="426"/>
      <c r="TFL40" s="424"/>
      <c r="TFM40" s="426"/>
      <c r="TFN40" s="424"/>
      <c r="TFO40" s="426"/>
      <c r="TFP40" s="424"/>
      <c r="TFQ40" s="426"/>
      <c r="TFR40" s="424"/>
      <c r="TFS40" s="426"/>
      <c r="TFT40" s="424"/>
      <c r="TFU40" s="426"/>
      <c r="TFV40" s="424"/>
      <c r="TFW40" s="426"/>
      <c r="TFX40" s="424"/>
      <c r="TFY40" s="426"/>
      <c r="TFZ40" s="424"/>
      <c r="TGA40" s="426"/>
      <c r="TGB40" s="424"/>
      <c r="TGC40" s="426"/>
      <c r="TGD40" s="424"/>
      <c r="TGE40" s="426"/>
      <c r="TGF40" s="424"/>
      <c r="TGG40" s="426"/>
      <c r="TGH40" s="424"/>
      <c r="TGI40" s="426"/>
      <c r="TGJ40" s="424"/>
      <c r="TGK40" s="426"/>
      <c r="TGL40" s="424"/>
      <c r="TGM40" s="426"/>
      <c r="TGN40" s="424"/>
      <c r="TGO40" s="426"/>
      <c r="TGP40" s="424"/>
      <c r="TGQ40" s="426"/>
      <c r="TGR40" s="424"/>
      <c r="TGS40" s="426"/>
      <c r="TGT40" s="424"/>
      <c r="TGU40" s="426"/>
      <c r="TGV40" s="424"/>
      <c r="TGW40" s="426"/>
      <c r="TGX40" s="424"/>
      <c r="TGY40" s="426"/>
      <c r="TGZ40" s="424"/>
      <c r="THA40" s="426"/>
      <c r="THB40" s="424"/>
      <c r="THC40" s="426"/>
      <c r="THD40" s="424"/>
      <c r="THE40" s="426"/>
      <c r="THF40" s="424"/>
      <c r="THG40" s="426"/>
      <c r="THH40" s="424"/>
      <c r="THI40" s="426"/>
      <c r="THJ40" s="424"/>
      <c r="THK40" s="426"/>
      <c r="THL40" s="424"/>
      <c r="THM40" s="426"/>
      <c r="THN40" s="424"/>
      <c r="THO40" s="426"/>
      <c r="THP40" s="424"/>
      <c r="THQ40" s="426"/>
      <c r="THR40" s="424"/>
      <c r="THS40" s="426"/>
      <c r="THT40" s="424"/>
      <c r="THU40" s="426"/>
      <c r="THV40" s="424"/>
      <c r="THW40" s="426"/>
      <c r="THX40" s="424"/>
      <c r="THY40" s="426"/>
      <c r="THZ40" s="424"/>
      <c r="TIA40" s="426"/>
      <c r="TIB40" s="424"/>
      <c r="TIC40" s="426"/>
      <c r="TID40" s="424"/>
      <c r="TIE40" s="426"/>
      <c r="TIF40" s="424"/>
      <c r="TIG40" s="426"/>
      <c r="TIH40" s="424"/>
      <c r="TII40" s="426"/>
      <c r="TIJ40" s="424"/>
      <c r="TIK40" s="426"/>
      <c r="TIL40" s="424"/>
      <c r="TIM40" s="426"/>
      <c r="TIN40" s="424"/>
      <c r="TIO40" s="426"/>
      <c r="TIP40" s="424"/>
      <c r="TIQ40" s="426"/>
      <c r="TIR40" s="424"/>
      <c r="TIS40" s="426"/>
      <c r="TIT40" s="424"/>
      <c r="TIU40" s="426"/>
      <c r="TIV40" s="424"/>
      <c r="TIW40" s="426"/>
      <c r="TIX40" s="424"/>
      <c r="TIY40" s="426"/>
      <c r="TIZ40" s="424"/>
      <c r="TJA40" s="426"/>
      <c r="TJB40" s="424"/>
      <c r="TJC40" s="426"/>
      <c r="TJD40" s="424"/>
      <c r="TJE40" s="426"/>
      <c r="TJF40" s="424"/>
      <c r="TJG40" s="426"/>
      <c r="TJH40" s="424"/>
      <c r="TJI40" s="426"/>
      <c r="TJJ40" s="424"/>
      <c r="TJK40" s="426"/>
      <c r="TJL40" s="424"/>
      <c r="TJM40" s="426"/>
      <c r="TJN40" s="424"/>
      <c r="TJO40" s="426"/>
      <c r="TJP40" s="424"/>
      <c r="TJQ40" s="426"/>
      <c r="TJR40" s="424"/>
      <c r="TJS40" s="426"/>
      <c r="TJT40" s="424"/>
      <c r="TJU40" s="426"/>
      <c r="TJV40" s="424"/>
      <c r="TJW40" s="426"/>
      <c r="TJX40" s="424"/>
      <c r="TJY40" s="426"/>
      <c r="TJZ40" s="424"/>
      <c r="TKA40" s="426"/>
      <c r="TKB40" s="424"/>
      <c r="TKC40" s="426"/>
      <c r="TKD40" s="424"/>
      <c r="TKE40" s="426"/>
      <c r="TKF40" s="424"/>
      <c r="TKG40" s="426"/>
      <c r="TKH40" s="424"/>
      <c r="TKI40" s="426"/>
      <c r="TKJ40" s="424"/>
      <c r="TKK40" s="426"/>
      <c r="TKL40" s="424"/>
      <c r="TKM40" s="426"/>
      <c r="TKN40" s="424"/>
      <c r="TKO40" s="426"/>
      <c r="TKP40" s="424"/>
      <c r="TKQ40" s="426"/>
      <c r="TKR40" s="424"/>
      <c r="TKS40" s="426"/>
      <c r="TKT40" s="424"/>
      <c r="TKU40" s="426"/>
      <c r="TKV40" s="424"/>
      <c r="TKW40" s="426"/>
      <c r="TKX40" s="424"/>
      <c r="TKY40" s="426"/>
      <c r="TKZ40" s="424"/>
      <c r="TLA40" s="426"/>
      <c r="TLB40" s="424"/>
      <c r="TLC40" s="426"/>
      <c r="TLD40" s="424"/>
      <c r="TLE40" s="426"/>
      <c r="TLF40" s="424"/>
      <c r="TLG40" s="426"/>
      <c r="TLH40" s="424"/>
      <c r="TLI40" s="426"/>
      <c r="TLJ40" s="424"/>
      <c r="TLK40" s="426"/>
      <c r="TLL40" s="424"/>
      <c r="TLM40" s="426"/>
      <c r="TLN40" s="424"/>
      <c r="TLO40" s="426"/>
      <c r="TLP40" s="424"/>
      <c r="TLQ40" s="426"/>
      <c r="TLR40" s="424"/>
      <c r="TLS40" s="426"/>
      <c r="TLT40" s="424"/>
      <c r="TLU40" s="426"/>
      <c r="TLV40" s="424"/>
      <c r="TLW40" s="426"/>
      <c r="TLX40" s="424"/>
      <c r="TLY40" s="426"/>
      <c r="TLZ40" s="424"/>
      <c r="TMA40" s="426"/>
      <c r="TMB40" s="424"/>
      <c r="TMC40" s="426"/>
      <c r="TMD40" s="424"/>
      <c r="TME40" s="426"/>
      <c r="TMF40" s="424"/>
      <c r="TMG40" s="426"/>
      <c r="TMH40" s="424"/>
      <c r="TMI40" s="426"/>
      <c r="TMJ40" s="424"/>
      <c r="TMK40" s="426"/>
      <c r="TML40" s="424"/>
      <c r="TMM40" s="426"/>
      <c r="TMN40" s="424"/>
      <c r="TMO40" s="426"/>
      <c r="TMP40" s="424"/>
      <c r="TMQ40" s="426"/>
      <c r="TMR40" s="424"/>
      <c r="TMS40" s="426"/>
      <c r="TMT40" s="424"/>
      <c r="TMU40" s="426"/>
      <c r="TMV40" s="424"/>
      <c r="TMW40" s="426"/>
      <c r="TMX40" s="424"/>
      <c r="TMY40" s="426"/>
      <c r="TMZ40" s="424"/>
      <c r="TNA40" s="426"/>
      <c r="TNB40" s="424"/>
      <c r="TNC40" s="426"/>
      <c r="TND40" s="424"/>
      <c r="TNE40" s="426"/>
      <c r="TNF40" s="424"/>
      <c r="TNG40" s="426"/>
      <c r="TNH40" s="424"/>
      <c r="TNI40" s="426"/>
      <c r="TNJ40" s="424"/>
      <c r="TNK40" s="426"/>
      <c r="TNL40" s="424"/>
      <c r="TNM40" s="426"/>
      <c r="TNN40" s="424"/>
      <c r="TNO40" s="426"/>
      <c r="TNP40" s="424"/>
      <c r="TNQ40" s="426"/>
      <c r="TNR40" s="424"/>
      <c r="TNS40" s="426"/>
      <c r="TNT40" s="424"/>
      <c r="TNU40" s="426"/>
      <c r="TNV40" s="424"/>
      <c r="TNW40" s="426"/>
      <c r="TNX40" s="424"/>
      <c r="TNY40" s="426"/>
      <c r="TNZ40" s="424"/>
      <c r="TOA40" s="426"/>
      <c r="TOB40" s="424"/>
      <c r="TOC40" s="426"/>
      <c r="TOD40" s="424"/>
      <c r="TOE40" s="426"/>
      <c r="TOF40" s="424"/>
      <c r="TOG40" s="426"/>
      <c r="TOH40" s="424"/>
      <c r="TOI40" s="426"/>
      <c r="TOJ40" s="424"/>
      <c r="TOK40" s="426"/>
      <c r="TOL40" s="424"/>
      <c r="TOM40" s="426"/>
      <c r="TON40" s="424"/>
      <c r="TOO40" s="426"/>
      <c r="TOP40" s="424"/>
      <c r="TOQ40" s="426"/>
      <c r="TOR40" s="424"/>
      <c r="TOS40" s="426"/>
      <c r="TOT40" s="424"/>
      <c r="TOU40" s="426"/>
      <c r="TOV40" s="424"/>
      <c r="TOW40" s="426"/>
      <c r="TOX40" s="424"/>
      <c r="TOY40" s="426"/>
      <c r="TOZ40" s="424"/>
      <c r="TPA40" s="426"/>
      <c r="TPB40" s="424"/>
      <c r="TPC40" s="426"/>
      <c r="TPD40" s="424"/>
      <c r="TPE40" s="426"/>
      <c r="TPF40" s="424"/>
      <c r="TPG40" s="426"/>
      <c r="TPH40" s="424"/>
      <c r="TPI40" s="426"/>
      <c r="TPJ40" s="424"/>
      <c r="TPK40" s="426"/>
      <c r="TPL40" s="424"/>
      <c r="TPM40" s="426"/>
      <c r="TPN40" s="424"/>
      <c r="TPO40" s="426"/>
      <c r="TPP40" s="424"/>
      <c r="TPQ40" s="426"/>
      <c r="TPR40" s="424"/>
      <c r="TPS40" s="426"/>
      <c r="TPT40" s="424"/>
      <c r="TPU40" s="426"/>
      <c r="TPV40" s="424"/>
      <c r="TPW40" s="426"/>
      <c r="TPX40" s="424"/>
      <c r="TPY40" s="426"/>
      <c r="TPZ40" s="424"/>
      <c r="TQA40" s="426"/>
      <c r="TQB40" s="424"/>
      <c r="TQC40" s="426"/>
      <c r="TQD40" s="424"/>
      <c r="TQE40" s="426"/>
      <c r="TQF40" s="424"/>
      <c r="TQG40" s="426"/>
      <c r="TQH40" s="424"/>
      <c r="TQI40" s="426"/>
      <c r="TQJ40" s="424"/>
      <c r="TQK40" s="426"/>
      <c r="TQL40" s="424"/>
      <c r="TQM40" s="426"/>
      <c r="TQN40" s="424"/>
      <c r="TQO40" s="426"/>
      <c r="TQP40" s="424"/>
      <c r="TQQ40" s="426"/>
      <c r="TQR40" s="424"/>
      <c r="TQS40" s="426"/>
      <c r="TQT40" s="424"/>
      <c r="TQU40" s="426"/>
      <c r="TQV40" s="424"/>
      <c r="TQW40" s="426"/>
      <c r="TQX40" s="424"/>
      <c r="TQY40" s="426"/>
      <c r="TQZ40" s="424"/>
      <c r="TRA40" s="426"/>
      <c r="TRB40" s="424"/>
      <c r="TRC40" s="426"/>
      <c r="TRD40" s="424"/>
      <c r="TRE40" s="426"/>
      <c r="TRF40" s="424"/>
      <c r="TRG40" s="426"/>
      <c r="TRH40" s="424"/>
      <c r="TRI40" s="426"/>
      <c r="TRJ40" s="424"/>
      <c r="TRK40" s="426"/>
      <c r="TRL40" s="424"/>
      <c r="TRM40" s="426"/>
      <c r="TRN40" s="424"/>
      <c r="TRO40" s="426"/>
      <c r="TRP40" s="424"/>
      <c r="TRQ40" s="426"/>
      <c r="TRR40" s="424"/>
      <c r="TRS40" s="426"/>
      <c r="TRT40" s="424"/>
      <c r="TRU40" s="426"/>
      <c r="TRV40" s="424"/>
      <c r="TRW40" s="426"/>
      <c r="TRX40" s="424"/>
      <c r="TRY40" s="426"/>
      <c r="TRZ40" s="424"/>
      <c r="TSA40" s="426"/>
      <c r="TSB40" s="424"/>
      <c r="TSC40" s="426"/>
      <c r="TSD40" s="424"/>
      <c r="TSE40" s="426"/>
      <c r="TSF40" s="424"/>
      <c r="TSG40" s="426"/>
      <c r="TSH40" s="424"/>
      <c r="TSI40" s="426"/>
      <c r="TSJ40" s="424"/>
      <c r="TSK40" s="426"/>
      <c r="TSL40" s="424"/>
      <c r="TSM40" s="426"/>
      <c r="TSN40" s="424"/>
      <c r="TSO40" s="426"/>
      <c r="TSP40" s="424"/>
      <c r="TSQ40" s="426"/>
      <c r="TSR40" s="424"/>
      <c r="TSS40" s="426"/>
      <c r="TST40" s="424"/>
      <c r="TSU40" s="426"/>
      <c r="TSV40" s="424"/>
      <c r="TSW40" s="426"/>
      <c r="TSX40" s="424"/>
      <c r="TSY40" s="426"/>
      <c r="TSZ40" s="424"/>
      <c r="TTA40" s="426"/>
      <c r="TTB40" s="424"/>
      <c r="TTC40" s="426"/>
      <c r="TTD40" s="424"/>
      <c r="TTE40" s="426"/>
      <c r="TTF40" s="424"/>
      <c r="TTG40" s="426"/>
      <c r="TTH40" s="424"/>
      <c r="TTI40" s="426"/>
      <c r="TTJ40" s="424"/>
      <c r="TTK40" s="426"/>
      <c r="TTL40" s="424"/>
      <c r="TTM40" s="426"/>
      <c r="TTN40" s="424"/>
      <c r="TTO40" s="426"/>
      <c r="TTP40" s="424"/>
      <c r="TTQ40" s="426"/>
      <c r="TTR40" s="424"/>
      <c r="TTS40" s="426"/>
      <c r="TTT40" s="424"/>
      <c r="TTU40" s="426"/>
      <c r="TTV40" s="424"/>
      <c r="TTW40" s="426"/>
      <c r="TTX40" s="424"/>
      <c r="TTY40" s="426"/>
      <c r="TTZ40" s="424"/>
      <c r="TUA40" s="426"/>
      <c r="TUB40" s="424"/>
      <c r="TUC40" s="426"/>
      <c r="TUD40" s="424"/>
      <c r="TUE40" s="426"/>
      <c r="TUF40" s="424"/>
      <c r="TUG40" s="426"/>
      <c r="TUH40" s="424"/>
      <c r="TUI40" s="426"/>
      <c r="TUJ40" s="424"/>
      <c r="TUK40" s="426"/>
      <c r="TUL40" s="424"/>
      <c r="TUM40" s="426"/>
      <c r="TUN40" s="424"/>
      <c r="TUO40" s="426"/>
      <c r="TUP40" s="424"/>
      <c r="TUQ40" s="426"/>
      <c r="TUR40" s="424"/>
      <c r="TUS40" s="426"/>
      <c r="TUT40" s="424"/>
      <c r="TUU40" s="426"/>
      <c r="TUV40" s="424"/>
      <c r="TUW40" s="426"/>
      <c r="TUX40" s="424"/>
      <c r="TUY40" s="426"/>
      <c r="TUZ40" s="424"/>
      <c r="TVA40" s="426"/>
      <c r="TVB40" s="424"/>
      <c r="TVC40" s="426"/>
      <c r="TVD40" s="424"/>
      <c r="TVE40" s="426"/>
      <c r="TVF40" s="424"/>
      <c r="TVG40" s="426"/>
      <c r="TVH40" s="424"/>
      <c r="TVI40" s="426"/>
      <c r="TVJ40" s="424"/>
      <c r="TVK40" s="426"/>
      <c r="TVL40" s="424"/>
      <c r="TVM40" s="426"/>
      <c r="TVN40" s="424"/>
      <c r="TVO40" s="426"/>
      <c r="TVP40" s="424"/>
      <c r="TVQ40" s="426"/>
      <c r="TVR40" s="424"/>
      <c r="TVS40" s="426"/>
      <c r="TVT40" s="424"/>
      <c r="TVU40" s="426"/>
      <c r="TVV40" s="424"/>
      <c r="TVW40" s="426"/>
      <c r="TVX40" s="424"/>
      <c r="TVY40" s="426"/>
      <c r="TVZ40" s="424"/>
      <c r="TWA40" s="426"/>
      <c r="TWB40" s="424"/>
      <c r="TWC40" s="426"/>
      <c r="TWD40" s="424"/>
      <c r="TWE40" s="426"/>
      <c r="TWF40" s="424"/>
      <c r="TWG40" s="426"/>
      <c r="TWH40" s="424"/>
      <c r="TWI40" s="426"/>
      <c r="TWJ40" s="424"/>
      <c r="TWK40" s="426"/>
      <c r="TWL40" s="424"/>
      <c r="TWM40" s="426"/>
      <c r="TWN40" s="424"/>
      <c r="TWO40" s="426"/>
      <c r="TWP40" s="424"/>
      <c r="TWQ40" s="426"/>
      <c r="TWR40" s="424"/>
      <c r="TWS40" s="426"/>
      <c r="TWT40" s="424"/>
      <c r="TWU40" s="426"/>
      <c r="TWV40" s="424"/>
      <c r="TWW40" s="426"/>
      <c r="TWX40" s="424"/>
      <c r="TWY40" s="426"/>
      <c r="TWZ40" s="424"/>
      <c r="TXA40" s="426"/>
      <c r="TXB40" s="424"/>
      <c r="TXC40" s="426"/>
      <c r="TXD40" s="424"/>
      <c r="TXE40" s="426"/>
      <c r="TXF40" s="424"/>
      <c r="TXG40" s="426"/>
      <c r="TXH40" s="424"/>
      <c r="TXI40" s="426"/>
      <c r="TXJ40" s="424"/>
      <c r="TXK40" s="426"/>
      <c r="TXL40" s="424"/>
      <c r="TXM40" s="426"/>
      <c r="TXN40" s="424"/>
      <c r="TXO40" s="426"/>
      <c r="TXP40" s="424"/>
      <c r="TXQ40" s="426"/>
      <c r="TXR40" s="424"/>
      <c r="TXS40" s="426"/>
      <c r="TXT40" s="424"/>
      <c r="TXU40" s="426"/>
      <c r="TXV40" s="424"/>
      <c r="TXW40" s="426"/>
      <c r="TXX40" s="424"/>
      <c r="TXY40" s="426"/>
      <c r="TXZ40" s="424"/>
      <c r="TYA40" s="426"/>
      <c r="TYB40" s="424"/>
      <c r="TYC40" s="426"/>
      <c r="TYD40" s="424"/>
      <c r="TYE40" s="426"/>
      <c r="TYF40" s="424"/>
      <c r="TYG40" s="426"/>
      <c r="TYH40" s="424"/>
      <c r="TYI40" s="426"/>
      <c r="TYJ40" s="424"/>
      <c r="TYK40" s="426"/>
      <c r="TYL40" s="424"/>
      <c r="TYM40" s="426"/>
      <c r="TYN40" s="424"/>
      <c r="TYO40" s="426"/>
      <c r="TYP40" s="424"/>
      <c r="TYQ40" s="426"/>
      <c r="TYR40" s="424"/>
      <c r="TYS40" s="426"/>
      <c r="TYT40" s="424"/>
      <c r="TYU40" s="426"/>
      <c r="TYV40" s="424"/>
      <c r="TYW40" s="426"/>
      <c r="TYX40" s="424"/>
      <c r="TYY40" s="426"/>
      <c r="TYZ40" s="424"/>
      <c r="TZA40" s="426"/>
      <c r="TZB40" s="424"/>
      <c r="TZC40" s="426"/>
      <c r="TZD40" s="424"/>
      <c r="TZE40" s="426"/>
      <c r="TZF40" s="424"/>
      <c r="TZG40" s="426"/>
      <c r="TZH40" s="424"/>
      <c r="TZI40" s="426"/>
      <c r="TZJ40" s="424"/>
      <c r="TZK40" s="426"/>
      <c r="TZL40" s="424"/>
      <c r="TZM40" s="426"/>
      <c r="TZN40" s="424"/>
      <c r="TZO40" s="426"/>
      <c r="TZP40" s="424"/>
      <c r="TZQ40" s="426"/>
      <c r="TZR40" s="424"/>
      <c r="TZS40" s="426"/>
      <c r="TZT40" s="424"/>
      <c r="TZU40" s="426"/>
      <c r="TZV40" s="424"/>
      <c r="TZW40" s="426"/>
      <c r="TZX40" s="424"/>
      <c r="TZY40" s="426"/>
      <c r="TZZ40" s="424"/>
      <c r="UAA40" s="426"/>
      <c r="UAB40" s="424"/>
      <c r="UAC40" s="426"/>
      <c r="UAD40" s="424"/>
      <c r="UAE40" s="426"/>
      <c r="UAF40" s="424"/>
      <c r="UAG40" s="426"/>
      <c r="UAH40" s="424"/>
      <c r="UAI40" s="426"/>
      <c r="UAJ40" s="424"/>
      <c r="UAK40" s="426"/>
      <c r="UAL40" s="424"/>
      <c r="UAM40" s="426"/>
      <c r="UAN40" s="424"/>
      <c r="UAO40" s="426"/>
      <c r="UAP40" s="424"/>
      <c r="UAQ40" s="426"/>
      <c r="UAR40" s="424"/>
      <c r="UAS40" s="426"/>
      <c r="UAT40" s="424"/>
      <c r="UAU40" s="426"/>
      <c r="UAV40" s="424"/>
      <c r="UAW40" s="426"/>
      <c r="UAX40" s="424"/>
      <c r="UAY40" s="426"/>
      <c r="UAZ40" s="424"/>
      <c r="UBA40" s="426"/>
      <c r="UBB40" s="424"/>
      <c r="UBC40" s="426"/>
      <c r="UBD40" s="424"/>
      <c r="UBE40" s="426"/>
      <c r="UBF40" s="424"/>
      <c r="UBG40" s="426"/>
      <c r="UBH40" s="424"/>
      <c r="UBI40" s="426"/>
      <c r="UBJ40" s="424"/>
      <c r="UBK40" s="426"/>
      <c r="UBL40" s="424"/>
      <c r="UBM40" s="426"/>
      <c r="UBN40" s="424"/>
      <c r="UBO40" s="426"/>
      <c r="UBP40" s="424"/>
      <c r="UBQ40" s="426"/>
      <c r="UBR40" s="424"/>
      <c r="UBS40" s="426"/>
      <c r="UBT40" s="424"/>
      <c r="UBU40" s="426"/>
      <c r="UBV40" s="424"/>
      <c r="UBW40" s="426"/>
      <c r="UBX40" s="424"/>
      <c r="UBY40" s="426"/>
      <c r="UBZ40" s="424"/>
      <c r="UCA40" s="426"/>
      <c r="UCB40" s="424"/>
      <c r="UCC40" s="426"/>
      <c r="UCD40" s="424"/>
      <c r="UCE40" s="426"/>
      <c r="UCF40" s="424"/>
      <c r="UCG40" s="426"/>
      <c r="UCH40" s="424"/>
      <c r="UCI40" s="426"/>
      <c r="UCJ40" s="424"/>
      <c r="UCK40" s="426"/>
      <c r="UCL40" s="424"/>
      <c r="UCM40" s="426"/>
      <c r="UCN40" s="424"/>
      <c r="UCO40" s="426"/>
      <c r="UCP40" s="424"/>
      <c r="UCQ40" s="426"/>
      <c r="UCR40" s="424"/>
      <c r="UCS40" s="426"/>
      <c r="UCT40" s="424"/>
      <c r="UCU40" s="426"/>
      <c r="UCV40" s="424"/>
      <c r="UCW40" s="426"/>
      <c r="UCX40" s="424"/>
      <c r="UCY40" s="426"/>
      <c r="UCZ40" s="424"/>
      <c r="UDA40" s="426"/>
      <c r="UDB40" s="424"/>
      <c r="UDC40" s="426"/>
      <c r="UDD40" s="424"/>
      <c r="UDE40" s="426"/>
      <c r="UDF40" s="424"/>
      <c r="UDG40" s="426"/>
      <c r="UDH40" s="424"/>
      <c r="UDI40" s="426"/>
      <c r="UDJ40" s="424"/>
      <c r="UDK40" s="426"/>
      <c r="UDL40" s="424"/>
      <c r="UDM40" s="426"/>
      <c r="UDN40" s="424"/>
      <c r="UDO40" s="426"/>
      <c r="UDP40" s="424"/>
      <c r="UDQ40" s="426"/>
      <c r="UDR40" s="424"/>
      <c r="UDS40" s="426"/>
      <c r="UDT40" s="424"/>
      <c r="UDU40" s="426"/>
      <c r="UDV40" s="424"/>
      <c r="UDW40" s="426"/>
      <c r="UDX40" s="424"/>
      <c r="UDY40" s="426"/>
      <c r="UDZ40" s="424"/>
      <c r="UEA40" s="426"/>
      <c r="UEB40" s="424"/>
      <c r="UEC40" s="426"/>
      <c r="UED40" s="424"/>
      <c r="UEE40" s="426"/>
      <c r="UEF40" s="424"/>
      <c r="UEG40" s="426"/>
      <c r="UEH40" s="424"/>
      <c r="UEI40" s="426"/>
      <c r="UEJ40" s="424"/>
      <c r="UEK40" s="426"/>
      <c r="UEL40" s="424"/>
      <c r="UEM40" s="426"/>
      <c r="UEN40" s="424"/>
      <c r="UEO40" s="426"/>
      <c r="UEP40" s="424"/>
      <c r="UEQ40" s="426"/>
      <c r="UER40" s="424"/>
      <c r="UES40" s="426"/>
      <c r="UET40" s="424"/>
      <c r="UEU40" s="426"/>
      <c r="UEV40" s="424"/>
      <c r="UEW40" s="426"/>
      <c r="UEX40" s="424"/>
      <c r="UEY40" s="426"/>
      <c r="UEZ40" s="424"/>
      <c r="UFA40" s="426"/>
      <c r="UFB40" s="424"/>
      <c r="UFC40" s="426"/>
      <c r="UFD40" s="424"/>
      <c r="UFE40" s="426"/>
      <c r="UFF40" s="424"/>
      <c r="UFG40" s="426"/>
      <c r="UFH40" s="424"/>
      <c r="UFI40" s="426"/>
      <c r="UFJ40" s="424"/>
      <c r="UFK40" s="426"/>
      <c r="UFL40" s="424"/>
      <c r="UFM40" s="426"/>
      <c r="UFN40" s="424"/>
      <c r="UFO40" s="426"/>
      <c r="UFP40" s="424"/>
      <c r="UFQ40" s="426"/>
      <c r="UFR40" s="424"/>
      <c r="UFS40" s="426"/>
      <c r="UFT40" s="424"/>
      <c r="UFU40" s="426"/>
      <c r="UFV40" s="424"/>
      <c r="UFW40" s="426"/>
      <c r="UFX40" s="424"/>
      <c r="UFY40" s="426"/>
      <c r="UFZ40" s="424"/>
      <c r="UGA40" s="426"/>
      <c r="UGB40" s="424"/>
      <c r="UGC40" s="426"/>
      <c r="UGD40" s="424"/>
      <c r="UGE40" s="426"/>
      <c r="UGF40" s="424"/>
      <c r="UGG40" s="426"/>
      <c r="UGH40" s="424"/>
      <c r="UGI40" s="426"/>
      <c r="UGJ40" s="424"/>
      <c r="UGK40" s="426"/>
      <c r="UGL40" s="424"/>
      <c r="UGM40" s="426"/>
      <c r="UGN40" s="424"/>
      <c r="UGO40" s="426"/>
      <c r="UGP40" s="424"/>
      <c r="UGQ40" s="426"/>
      <c r="UGR40" s="424"/>
      <c r="UGS40" s="426"/>
      <c r="UGT40" s="424"/>
      <c r="UGU40" s="426"/>
      <c r="UGV40" s="424"/>
      <c r="UGW40" s="426"/>
      <c r="UGX40" s="424"/>
      <c r="UGY40" s="426"/>
      <c r="UGZ40" s="424"/>
      <c r="UHA40" s="426"/>
      <c r="UHB40" s="424"/>
      <c r="UHC40" s="426"/>
      <c r="UHD40" s="424"/>
      <c r="UHE40" s="426"/>
      <c r="UHF40" s="424"/>
      <c r="UHG40" s="426"/>
      <c r="UHH40" s="424"/>
      <c r="UHI40" s="426"/>
      <c r="UHJ40" s="424"/>
      <c r="UHK40" s="426"/>
      <c r="UHL40" s="424"/>
      <c r="UHM40" s="426"/>
      <c r="UHN40" s="424"/>
      <c r="UHO40" s="426"/>
      <c r="UHP40" s="424"/>
      <c r="UHQ40" s="426"/>
      <c r="UHR40" s="424"/>
      <c r="UHS40" s="426"/>
      <c r="UHT40" s="424"/>
      <c r="UHU40" s="426"/>
      <c r="UHV40" s="424"/>
      <c r="UHW40" s="426"/>
      <c r="UHX40" s="424"/>
      <c r="UHY40" s="426"/>
      <c r="UHZ40" s="424"/>
      <c r="UIA40" s="426"/>
      <c r="UIB40" s="424"/>
      <c r="UIC40" s="426"/>
      <c r="UID40" s="424"/>
      <c r="UIE40" s="426"/>
      <c r="UIF40" s="424"/>
      <c r="UIG40" s="426"/>
      <c r="UIH40" s="424"/>
      <c r="UII40" s="426"/>
      <c r="UIJ40" s="424"/>
      <c r="UIK40" s="426"/>
      <c r="UIL40" s="424"/>
      <c r="UIM40" s="426"/>
      <c r="UIN40" s="424"/>
      <c r="UIO40" s="426"/>
      <c r="UIP40" s="424"/>
      <c r="UIQ40" s="426"/>
      <c r="UIR40" s="424"/>
      <c r="UIS40" s="426"/>
      <c r="UIT40" s="424"/>
      <c r="UIU40" s="426"/>
      <c r="UIV40" s="424"/>
      <c r="UIW40" s="426"/>
      <c r="UIX40" s="424"/>
      <c r="UIY40" s="426"/>
      <c r="UIZ40" s="424"/>
      <c r="UJA40" s="426"/>
      <c r="UJB40" s="424"/>
      <c r="UJC40" s="426"/>
      <c r="UJD40" s="424"/>
      <c r="UJE40" s="426"/>
      <c r="UJF40" s="424"/>
      <c r="UJG40" s="426"/>
      <c r="UJH40" s="424"/>
      <c r="UJI40" s="426"/>
      <c r="UJJ40" s="424"/>
      <c r="UJK40" s="426"/>
      <c r="UJL40" s="424"/>
      <c r="UJM40" s="426"/>
      <c r="UJN40" s="424"/>
      <c r="UJO40" s="426"/>
      <c r="UJP40" s="424"/>
      <c r="UJQ40" s="426"/>
      <c r="UJR40" s="424"/>
      <c r="UJS40" s="426"/>
      <c r="UJT40" s="424"/>
      <c r="UJU40" s="426"/>
      <c r="UJV40" s="424"/>
      <c r="UJW40" s="426"/>
      <c r="UJX40" s="424"/>
      <c r="UJY40" s="426"/>
      <c r="UJZ40" s="424"/>
      <c r="UKA40" s="426"/>
      <c r="UKB40" s="424"/>
      <c r="UKC40" s="426"/>
      <c r="UKD40" s="424"/>
      <c r="UKE40" s="426"/>
      <c r="UKF40" s="424"/>
      <c r="UKG40" s="426"/>
      <c r="UKH40" s="424"/>
      <c r="UKI40" s="426"/>
      <c r="UKJ40" s="424"/>
      <c r="UKK40" s="426"/>
      <c r="UKL40" s="424"/>
      <c r="UKM40" s="426"/>
      <c r="UKN40" s="424"/>
      <c r="UKO40" s="426"/>
      <c r="UKP40" s="424"/>
      <c r="UKQ40" s="426"/>
      <c r="UKR40" s="424"/>
      <c r="UKS40" s="426"/>
      <c r="UKT40" s="424"/>
      <c r="UKU40" s="426"/>
      <c r="UKV40" s="424"/>
      <c r="UKW40" s="426"/>
      <c r="UKX40" s="424"/>
      <c r="UKY40" s="426"/>
      <c r="UKZ40" s="424"/>
      <c r="ULA40" s="426"/>
      <c r="ULB40" s="424"/>
      <c r="ULC40" s="426"/>
      <c r="ULD40" s="424"/>
      <c r="ULE40" s="426"/>
      <c r="ULF40" s="424"/>
      <c r="ULG40" s="426"/>
      <c r="ULH40" s="424"/>
      <c r="ULI40" s="426"/>
      <c r="ULJ40" s="424"/>
      <c r="ULK40" s="426"/>
      <c r="ULL40" s="424"/>
      <c r="ULM40" s="426"/>
      <c r="ULN40" s="424"/>
      <c r="ULO40" s="426"/>
      <c r="ULP40" s="424"/>
      <c r="ULQ40" s="426"/>
      <c r="ULR40" s="424"/>
      <c r="ULS40" s="426"/>
      <c r="ULT40" s="424"/>
      <c r="ULU40" s="426"/>
      <c r="ULV40" s="424"/>
      <c r="ULW40" s="426"/>
      <c r="ULX40" s="424"/>
      <c r="ULY40" s="426"/>
      <c r="ULZ40" s="424"/>
      <c r="UMA40" s="426"/>
      <c r="UMB40" s="424"/>
      <c r="UMC40" s="426"/>
      <c r="UMD40" s="424"/>
      <c r="UME40" s="426"/>
      <c r="UMF40" s="424"/>
      <c r="UMG40" s="426"/>
      <c r="UMH40" s="424"/>
      <c r="UMI40" s="426"/>
      <c r="UMJ40" s="424"/>
      <c r="UMK40" s="426"/>
      <c r="UML40" s="424"/>
      <c r="UMM40" s="426"/>
      <c r="UMN40" s="424"/>
      <c r="UMO40" s="426"/>
      <c r="UMP40" s="424"/>
      <c r="UMQ40" s="426"/>
      <c r="UMR40" s="424"/>
      <c r="UMS40" s="426"/>
      <c r="UMT40" s="424"/>
      <c r="UMU40" s="426"/>
      <c r="UMV40" s="424"/>
      <c r="UMW40" s="426"/>
      <c r="UMX40" s="424"/>
      <c r="UMY40" s="426"/>
      <c r="UMZ40" s="424"/>
      <c r="UNA40" s="426"/>
      <c r="UNB40" s="424"/>
      <c r="UNC40" s="426"/>
      <c r="UND40" s="424"/>
      <c r="UNE40" s="426"/>
      <c r="UNF40" s="424"/>
      <c r="UNG40" s="426"/>
      <c r="UNH40" s="424"/>
      <c r="UNI40" s="426"/>
      <c r="UNJ40" s="424"/>
      <c r="UNK40" s="426"/>
      <c r="UNL40" s="424"/>
      <c r="UNM40" s="426"/>
      <c r="UNN40" s="424"/>
      <c r="UNO40" s="426"/>
      <c r="UNP40" s="424"/>
      <c r="UNQ40" s="426"/>
      <c r="UNR40" s="424"/>
      <c r="UNS40" s="426"/>
      <c r="UNT40" s="424"/>
      <c r="UNU40" s="426"/>
      <c r="UNV40" s="424"/>
      <c r="UNW40" s="426"/>
      <c r="UNX40" s="424"/>
      <c r="UNY40" s="426"/>
      <c r="UNZ40" s="424"/>
      <c r="UOA40" s="426"/>
      <c r="UOB40" s="424"/>
      <c r="UOC40" s="426"/>
      <c r="UOD40" s="424"/>
      <c r="UOE40" s="426"/>
      <c r="UOF40" s="424"/>
      <c r="UOG40" s="426"/>
      <c r="UOH40" s="424"/>
      <c r="UOI40" s="426"/>
      <c r="UOJ40" s="424"/>
      <c r="UOK40" s="426"/>
      <c r="UOL40" s="424"/>
      <c r="UOM40" s="426"/>
      <c r="UON40" s="424"/>
      <c r="UOO40" s="426"/>
      <c r="UOP40" s="424"/>
      <c r="UOQ40" s="426"/>
      <c r="UOR40" s="424"/>
      <c r="UOS40" s="426"/>
      <c r="UOT40" s="424"/>
      <c r="UOU40" s="426"/>
      <c r="UOV40" s="424"/>
      <c r="UOW40" s="426"/>
      <c r="UOX40" s="424"/>
      <c r="UOY40" s="426"/>
      <c r="UOZ40" s="424"/>
      <c r="UPA40" s="426"/>
      <c r="UPB40" s="424"/>
      <c r="UPC40" s="426"/>
      <c r="UPD40" s="424"/>
      <c r="UPE40" s="426"/>
      <c r="UPF40" s="424"/>
      <c r="UPG40" s="426"/>
      <c r="UPH40" s="424"/>
      <c r="UPI40" s="426"/>
      <c r="UPJ40" s="424"/>
      <c r="UPK40" s="426"/>
      <c r="UPL40" s="424"/>
      <c r="UPM40" s="426"/>
      <c r="UPN40" s="424"/>
      <c r="UPO40" s="426"/>
      <c r="UPP40" s="424"/>
      <c r="UPQ40" s="426"/>
      <c r="UPR40" s="424"/>
      <c r="UPS40" s="426"/>
      <c r="UPT40" s="424"/>
      <c r="UPU40" s="426"/>
      <c r="UPV40" s="424"/>
      <c r="UPW40" s="426"/>
      <c r="UPX40" s="424"/>
      <c r="UPY40" s="426"/>
      <c r="UPZ40" s="424"/>
      <c r="UQA40" s="426"/>
      <c r="UQB40" s="424"/>
      <c r="UQC40" s="426"/>
      <c r="UQD40" s="424"/>
      <c r="UQE40" s="426"/>
      <c r="UQF40" s="424"/>
      <c r="UQG40" s="426"/>
      <c r="UQH40" s="424"/>
      <c r="UQI40" s="426"/>
      <c r="UQJ40" s="424"/>
      <c r="UQK40" s="426"/>
      <c r="UQL40" s="424"/>
      <c r="UQM40" s="426"/>
      <c r="UQN40" s="424"/>
      <c r="UQO40" s="426"/>
      <c r="UQP40" s="424"/>
      <c r="UQQ40" s="426"/>
      <c r="UQR40" s="424"/>
      <c r="UQS40" s="426"/>
      <c r="UQT40" s="424"/>
      <c r="UQU40" s="426"/>
      <c r="UQV40" s="424"/>
      <c r="UQW40" s="426"/>
      <c r="UQX40" s="424"/>
      <c r="UQY40" s="426"/>
      <c r="UQZ40" s="424"/>
      <c r="URA40" s="426"/>
      <c r="URB40" s="424"/>
      <c r="URC40" s="426"/>
      <c r="URD40" s="424"/>
      <c r="URE40" s="426"/>
      <c r="URF40" s="424"/>
      <c r="URG40" s="426"/>
      <c r="URH40" s="424"/>
      <c r="URI40" s="426"/>
      <c r="URJ40" s="424"/>
      <c r="URK40" s="426"/>
      <c r="URL40" s="424"/>
      <c r="URM40" s="426"/>
      <c r="URN40" s="424"/>
      <c r="URO40" s="426"/>
      <c r="URP40" s="424"/>
      <c r="URQ40" s="426"/>
      <c r="URR40" s="424"/>
      <c r="URS40" s="426"/>
      <c r="URT40" s="424"/>
      <c r="URU40" s="426"/>
      <c r="URV40" s="424"/>
      <c r="URW40" s="426"/>
      <c r="URX40" s="424"/>
      <c r="URY40" s="426"/>
      <c r="URZ40" s="424"/>
      <c r="USA40" s="426"/>
      <c r="USB40" s="424"/>
      <c r="USC40" s="426"/>
      <c r="USD40" s="424"/>
      <c r="USE40" s="426"/>
      <c r="USF40" s="424"/>
      <c r="USG40" s="426"/>
      <c r="USH40" s="424"/>
      <c r="USI40" s="426"/>
      <c r="USJ40" s="424"/>
      <c r="USK40" s="426"/>
      <c r="USL40" s="424"/>
      <c r="USM40" s="426"/>
      <c r="USN40" s="424"/>
      <c r="USO40" s="426"/>
      <c r="USP40" s="424"/>
      <c r="USQ40" s="426"/>
      <c r="USR40" s="424"/>
      <c r="USS40" s="426"/>
      <c r="UST40" s="424"/>
      <c r="USU40" s="426"/>
      <c r="USV40" s="424"/>
      <c r="USW40" s="426"/>
      <c r="USX40" s="424"/>
      <c r="USY40" s="426"/>
      <c r="USZ40" s="424"/>
      <c r="UTA40" s="426"/>
      <c r="UTB40" s="424"/>
      <c r="UTC40" s="426"/>
      <c r="UTD40" s="424"/>
      <c r="UTE40" s="426"/>
      <c r="UTF40" s="424"/>
      <c r="UTG40" s="426"/>
      <c r="UTH40" s="424"/>
      <c r="UTI40" s="426"/>
      <c r="UTJ40" s="424"/>
      <c r="UTK40" s="426"/>
      <c r="UTL40" s="424"/>
      <c r="UTM40" s="426"/>
      <c r="UTN40" s="424"/>
      <c r="UTO40" s="426"/>
      <c r="UTP40" s="424"/>
      <c r="UTQ40" s="426"/>
      <c r="UTR40" s="424"/>
      <c r="UTS40" s="426"/>
      <c r="UTT40" s="424"/>
      <c r="UTU40" s="426"/>
      <c r="UTV40" s="424"/>
      <c r="UTW40" s="426"/>
      <c r="UTX40" s="424"/>
      <c r="UTY40" s="426"/>
      <c r="UTZ40" s="424"/>
      <c r="UUA40" s="426"/>
      <c r="UUB40" s="424"/>
      <c r="UUC40" s="426"/>
      <c r="UUD40" s="424"/>
      <c r="UUE40" s="426"/>
      <c r="UUF40" s="424"/>
      <c r="UUG40" s="426"/>
      <c r="UUH40" s="424"/>
      <c r="UUI40" s="426"/>
      <c r="UUJ40" s="424"/>
      <c r="UUK40" s="426"/>
      <c r="UUL40" s="424"/>
      <c r="UUM40" s="426"/>
      <c r="UUN40" s="424"/>
      <c r="UUO40" s="426"/>
      <c r="UUP40" s="424"/>
      <c r="UUQ40" s="426"/>
      <c r="UUR40" s="424"/>
      <c r="UUS40" s="426"/>
      <c r="UUT40" s="424"/>
      <c r="UUU40" s="426"/>
      <c r="UUV40" s="424"/>
      <c r="UUW40" s="426"/>
      <c r="UUX40" s="424"/>
      <c r="UUY40" s="426"/>
      <c r="UUZ40" s="424"/>
      <c r="UVA40" s="426"/>
      <c r="UVB40" s="424"/>
      <c r="UVC40" s="426"/>
      <c r="UVD40" s="424"/>
      <c r="UVE40" s="426"/>
      <c r="UVF40" s="424"/>
      <c r="UVG40" s="426"/>
      <c r="UVH40" s="424"/>
      <c r="UVI40" s="426"/>
      <c r="UVJ40" s="424"/>
      <c r="UVK40" s="426"/>
      <c r="UVL40" s="424"/>
      <c r="UVM40" s="426"/>
      <c r="UVN40" s="424"/>
      <c r="UVO40" s="426"/>
      <c r="UVP40" s="424"/>
      <c r="UVQ40" s="426"/>
      <c r="UVR40" s="424"/>
      <c r="UVS40" s="426"/>
      <c r="UVT40" s="424"/>
      <c r="UVU40" s="426"/>
      <c r="UVV40" s="424"/>
      <c r="UVW40" s="426"/>
      <c r="UVX40" s="424"/>
      <c r="UVY40" s="426"/>
      <c r="UVZ40" s="424"/>
      <c r="UWA40" s="426"/>
      <c r="UWB40" s="424"/>
      <c r="UWC40" s="426"/>
      <c r="UWD40" s="424"/>
      <c r="UWE40" s="426"/>
      <c r="UWF40" s="424"/>
      <c r="UWG40" s="426"/>
      <c r="UWH40" s="424"/>
      <c r="UWI40" s="426"/>
      <c r="UWJ40" s="424"/>
      <c r="UWK40" s="426"/>
      <c r="UWL40" s="424"/>
      <c r="UWM40" s="426"/>
      <c r="UWN40" s="424"/>
      <c r="UWO40" s="426"/>
      <c r="UWP40" s="424"/>
      <c r="UWQ40" s="426"/>
      <c r="UWR40" s="424"/>
      <c r="UWS40" s="426"/>
      <c r="UWT40" s="424"/>
      <c r="UWU40" s="426"/>
      <c r="UWV40" s="424"/>
      <c r="UWW40" s="426"/>
      <c r="UWX40" s="424"/>
      <c r="UWY40" s="426"/>
      <c r="UWZ40" s="424"/>
      <c r="UXA40" s="426"/>
      <c r="UXB40" s="424"/>
      <c r="UXC40" s="426"/>
      <c r="UXD40" s="424"/>
      <c r="UXE40" s="426"/>
      <c r="UXF40" s="424"/>
      <c r="UXG40" s="426"/>
      <c r="UXH40" s="424"/>
      <c r="UXI40" s="426"/>
      <c r="UXJ40" s="424"/>
      <c r="UXK40" s="426"/>
      <c r="UXL40" s="424"/>
      <c r="UXM40" s="426"/>
      <c r="UXN40" s="424"/>
      <c r="UXO40" s="426"/>
      <c r="UXP40" s="424"/>
      <c r="UXQ40" s="426"/>
      <c r="UXR40" s="424"/>
      <c r="UXS40" s="426"/>
      <c r="UXT40" s="424"/>
      <c r="UXU40" s="426"/>
      <c r="UXV40" s="424"/>
      <c r="UXW40" s="426"/>
      <c r="UXX40" s="424"/>
      <c r="UXY40" s="426"/>
      <c r="UXZ40" s="424"/>
      <c r="UYA40" s="426"/>
      <c r="UYB40" s="424"/>
      <c r="UYC40" s="426"/>
      <c r="UYD40" s="424"/>
      <c r="UYE40" s="426"/>
      <c r="UYF40" s="424"/>
      <c r="UYG40" s="426"/>
      <c r="UYH40" s="424"/>
      <c r="UYI40" s="426"/>
      <c r="UYJ40" s="424"/>
      <c r="UYK40" s="426"/>
      <c r="UYL40" s="424"/>
      <c r="UYM40" s="426"/>
      <c r="UYN40" s="424"/>
      <c r="UYO40" s="426"/>
      <c r="UYP40" s="424"/>
      <c r="UYQ40" s="426"/>
      <c r="UYR40" s="424"/>
      <c r="UYS40" s="426"/>
      <c r="UYT40" s="424"/>
      <c r="UYU40" s="426"/>
      <c r="UYV40" s="424"/>
      <c r="UYW40" s="426"/>
      <c r="UYX40" s="424"/>
      <c r="UYY40" s="426"/>
      <c r="UYZ40" s="424"/>
      <c r="UZA40" s="426"/>
      <c r="UZB40" s="424"/>
      <c r="UZC40" s="426"/>
      <c r="UZD40" s="424"/>
      <c r="UZE40" s="426"/>
      <c r="UZF40" s="424"/>
      <c r="UZG40" s="426"/>
      <c r="UZH40" s="424"/>
      <c r="UZI40" s="426"/>
      <c r="UZJ40" s="424"/>
      <c r="UZK40" s="426"/>
      <c r="UZL40" s="424"/>
      <c r="UZM40" s="426"/>
      <c r="UZN40" s="424"/>
      <c r="UZO40" s="426"/>
      <c r="UZP40" s="424"/>
      <c r="UZQ40" s="426"/>
      <c r="UZR40" s="424"/>
      <c r="UZS40" s="426"/>
      <c r="UZT40" s="424"/>
      <c r="UZU40" s="426"/>
      <c r="UZV40" s="424"/>
      <c r="UZW40" s="426"/>
      <c r="UZX40" s="424"/>
      <c r="UZY40" s="426"/>
      <c r="UZZ40" s="424"/>
      <c r="VAA40" s="426"/>
      <c r="VAB40" s="424"/>
      <c r="VAC40" s="426"/>
      <c r="VAD40" s="424"/>
      <c r="VAE40" s="426"/>
      <c r="VAF40" s="424"/>
      <c r="VAG40" s="426"/>
      <c r="VAH40" s="424"/>
      <c r="VAI40" s="426"/>
      <c r="VAJ40" s="424"/>
      <c r="VAK40" s="426"/>
      <c r="VAL40" s="424"/>
      <c r="VAM40" s="426"/>
      <c r="VAN40" s="424"/>
      <c r="VAO40" s="426"/>
      <c r="VAP40" s="424"/>
      <c r="VAQ40" s="426"/>
      <c r="VAR40" s="424"/>
      <c r="VAS40" s="426"/>
      <c r="VAT40" s="424"/>
      <c r="VAU40" s="426"/>
      <c r="VAV40" s="424"/>
      <c r="VAW40" s="426"/>
      <c r="VAX40" s="424"/>
      <c r="VAY40" s="426"/>
      <c r="VAZ40" s="424"/>
      <c r="VBA40" s="426"/>
      <c r="VBB40" s="424"/>
      <c r="VBC40" s="426"/>
      <c r="VBD40" s="424"/>
      <c r="VBE40" s="426"/>
      <c r="VBF40" s="424"/>
      <c r="VBG40" s="426"/>
      <c r="VBH40" s="424"/>
      <c r="VBI40" s="426"/>
      <c r="VBJ40" s="424"/>
      <c r="VBK40" s="426"/>
      <c r="VBL40" s="424"/>
      <c r="VBM40" s="426"/>
      <c r="VBN40" s="424"/>
      <c r="VBO40" s="426"/>
      <c r="VBP40" s="424"/>
      <c r="VBQ40" s="426"/>
      <c r="VBR40" s="424"/>
      <c r="VBS40" s="426"/>
      <c r="VBT40" s="424"/>
      <c r="VBU40" s="426"/>
      <c r="VBV40" s="424"/>
      <c r="VBW40" s="426"/>
      <c r="VBX40" s="424"/>
      <c r="VBY40" s="426"/>
      <c r="VBZ40" s="424"/>
      <c r="VCA40" s="426"/>
      <c r="VCB40" s="424"/>
      <c r="VCC40" s="426"/>
      <c r="VCD40" s="424"/>
      <c r="VCE40" s="426"/>
      <c r="VCF40" s="424"/>
      <c r="VCG40" s="426"/>
      <c r="VCH40" s="424"/>
      <c r="VCI40" s="426"/>
      <c r="VCJ40" s="424"/>
      <c r="VCK40" s="426"/>
      <c r="VCL40" s="424"/>
      <c r="VCM40" s="426"/>
      <c r="VCN40" s="424"/>
      <c r="VCO40" s="426"/>
      <c r="VCP40" s="424"/>
      <c r="VCQ40" s="426"/>
      <c r="VCR40" s="424"/>
      <c r="VCS40" s="426"/>
      <c r="VCT40" s="424"/>
      <c r="VCU40" s="426"/>
      <c r="VCV40" s="424"/>
      <c r="VCW40" s="426"/>
      <c r="VCX40" s="424"/>
      <c r="VCY40" s="426"/>
      <c r="VCZ40" s="424"/>
      <c r="VDA40" s="426"/>
      <c r="VDB40" s="424"/>
      <c r="VDC40" s="426"/>
      <c r="VDD40" s="424"/>
      <c r="VDE40" s="426"/>
      <c r="VDF40" s="424"/>
      <c r="VDG40" s="426"/>
      <c r="VDH40" s="424"/>
      <c r="VDI40" s="426"/>
      <c r="VDJ40" s="424"/>
      <c r="VDK40" s="426"/>
      <c r="VDL40" s="424"/>
      <c r="VDM40" s="426"/>
      <c r="VDN40" s="424"/>
      <c r="VDO40" s="426"/>
      <c r="VDP40" s="424"/>
      <c r="VDQ40" s="426"/>
      <c r="VDR40" s="424"/>
      <c r="VDS40" s="426"/>
      <c r="VDT40" s="424"/>
      <c r="VDU40" s="426"/>
      <c r="VDV40" s="424"/>
      <c r="VDW40" s="426"/>
      <c r="VDX40" s="424"/>
      <c r="VDY40" s="426"/>
      <c r="VDZ40" s="424"/>
      <c r="VEA40" s="426"/>
      <c r="VEB40" s="424"/>
      <c r="VEC40" s="426"/>
      <c r="VED40" s="424"/>
      <c r="VEE40" s="426"/>
      <c r="VEF40" s="424"/>
      <c r="VEG40" s="426"/>
      <c r="VEH40" s="424"/>
      <c r="VEI40" s="426"/>
      <c r="VEJ40" s="424"/>
      <c r="VEK40" s="426"/>
      <c r="VEL40" s="424"/>
      <c r="VEM40" s="426"/>
      <c r="VEN40" s="424"/>
      <c r="VEO40" s="426"/>
      <c r="VEP40" s="424"/>
      <c r="VEQ40" s="426"/>
      <c r="VER40" s="424"/>
      <c r="VES40" s="426"/>
      <c r="VET40" s="424"/>
      <c r="VEU40" s="426"/>
      <c r="VEV40" s="424"/>
      <c r="VEW40" s="426"/>
      <c r="VEX40" s="424"/>
      <c r="VEY40" s="426"/>
      <c r="VEZ40" s="424"/>
      <c r="VFA40" s="426"/>
      <c r="VFB40" s="424"/>
      <c r="VFC40" s="426"/>
      <c r="VFD40" s="424"/>
      <c r="VFE40" s="426"/>
      <c r="VFF40" s="424"/>
      <c r="VFG40" s="426"/>
      <c r="VFH40" s="424"/>
      <c r="VFI40" s="426"/>
      <c r="VFJ40" s="424"/>
      <c r="VFK40" s="426"/>
      <c r="VFL40" s="424"/>
      <c r="VFM40" s="426"/>
      <c r="VFN40" s="424"/>
      <c r="VFO40" s="426"/>
      <c r="VFP40" s="424"/>
      <c r="VFQ40" s="426"/>
      <c r="VFR40" s="424"/>
      <c r="VFS40" s="426"/>
      <c r="VFT40" s="424"/>
      <c r="VFU40" s="426"/>
      <c r="VFV40" s="424"/>
      <c r="VFW40" s="426"/>
      <c r="VFX40" s="424"/>
      <c r="VFY40" s="426"/>
      <c r="VFZ40" s="424"/>
      <c r="VGA40" s="426"/>
      <c r="VGB40" s="424"/>
      <c r="VGC40" s="426"/>
      <c r="VGD40" s="424"/>
      <c r="VGE40" s="426"/>
      <c r="VGF40" s="424"/>
      <c r="VGG40" s="426"/>
      <c r="VGH40" s="424"/>
      <c r="VGI40" s="426"/>
      <c r="VGJ40" s="424"/>
      <c r="VGK40" s="426"/>
      <c r="VGL40" s="424"/>
      <c r="VGM40" s="426"/>
      <c r="VGN40" s="424"/>
      <c r="VGO40" s="426"/>
      <c r="VGP40" s="424"/>
      <c r="VGQ40" s="426"/>
      <c r="VGR40" s="424"/>
      <c r="VGS40" s="426"/>
      <c r="VGT40" s="424"/>
      <c r="VGU40" s="426"/>
      <c r="VGV40" s="424"/>
      <c r="VGW40" s="426"/>
      <c r="VGX40" s="424"/>
      <c r="VGY40" s="426"/>
      <c r="VGZ40" s="424"/>
      <c r="VHA40" s="426"/>
      <c r="VHB40" s="424"/>
      <c r="VHC40" s="426"/>
      <c r="VHD40" s="424"/>
      <c r="VHE40" s="426"/>
      <c r="VHF40" s="424"/>
      <c r="VHG40" s="426"/>
      <c r="VHH40" s="424"/>
      <c r="VHI40" s="426"/>
      <c r="VHJ40" s="424"/>
      <c r="VHK40" s="426"/>
      <c r="VHL40" s="424"/>
      <c r="VHM40" s="426"/>
      <c r="VHN40" s="424"/>
      <c r="VHO40" s="426"/>
      <c r="VHP40" s="424"/>
      <c r="VHQ40" s="426"/>
      <c r="VHR40" s="424"/>
      <c r="VHS40" s="426"/>
      <c r="VHT40" s="424"/>
      <c r="VHU40" s="426"/>
      <c r="VHV40" s="424"/>
      <c r="VHW40" s="426"/>
      <c r="VHX40" s="424"/>
      <c r="VHY40" s="426"/>
      <c r="VHZ40" s="424"/>
      <c r="VIA40" s="426"/>
      <c r="VIB40" s="424"/>
      <c r="VIC40" s="426"/>
      <c r="VID40" s="424"/>
      <c r="VIE40" s="426"/>
      <c r="VIF40" s="424"/>
      <c r="VIG40" s="426"/>
      <c r="VIH40" s="424"/>
      <c r="VII40" s="426"/>
      <c r="VIJ40" s="424"/>
      <c r="VIK40" s="426"/>
      <c r="VIL40" s="424"/>
      <c r="VIM40" s="426"/>
      <c r="VIN40" s="424"/>
      <c r="VIO40" s="426"/>
      <c r="VIP40" s="424"/>
      <c r="VIQ40" s="426"/>
      <c r="VIR40" s="424"/>
      <c r="VIS40" s="426"/>
      <c r="VIT40" s="424"/>
      <c r="VIU40" s="426"/>
      <c r="VIV40" s="424"/>
      <c r="VIW40" s="426"/>
      <c r="VIX40" s="424"/>
      <c r="VIY40" s="426"/>
      <c r="VIZ40" s="424"/>
      <c r="VJA40" s="426"/>
      <c r="VJB40" s="424"/>
      <c r="VJC40" s="426"/>
      <c r="VJD40" s="424"/>
      <c r="VJE40" s="426"/>
      <c r="VJF40" s="424"/>
      <c r="VJG40" s="426"/>
      <c r="VJH40" s="424"/>
      <c r="VJI40" s="426"/>
      <c r="VJJ40" s="424"/>
      <c r="VJK40" s="426"/>
      <c r="VJL40" s="424"/>
      <c r="VJM40" s="426"/>
      <c r="VJN40" s="424"/>
      <c r="VJO40" s="426"/>
      <c r="VJP40" s="424"/>
      <c r="VJQ40" s="426"/>
      <c r="VJR40" s="424"/>
      <c r="VJS40" s="426"/>
      <c r="VJT40" s="424"/>
      <c r="VJU40" s="426"/>
      <c r="VJV40" s="424"/>
      <c r="VJW40" s="426"/>
      <c r="VJX40" s="424"/>
      <c r="VJY40" s="426"/>
      <c r="VJZ40" s="424"/>
      <c r="VKA40" s="426"/>
      <c r="VKB40" s="424"/>
      <c r="VKC40" s="426"/>
      <c r="VKD40" s="424"/>
      <c r="VKE40" s="426"/>
      <c r="VKF40" s="424"/>
      <c r="VKG40" s="426"/>
      <c r="VKH40" s="424"/>
      <c r="VKI40" s="426"/>
      <c r="VKJ40" s="424"/>
      <c r="VKK40" s="426"/>
      <c r="VKL40" s="424"/>
      <c r="VKM40" s="426"/>
      <c r="VKN40" s="424"/>
      <c r="VKO40" s="426"/>
      <c r="VKP40" s="424"/>
      <c r="VKQ40" s="426"/>
      <c r="VKR40" s="424"/>
      <c r="VKS40" s="426"/>
      <c r="VKT40" s="424"/>
      <c r="VKU40" s="426"/>
      <c r="VKV40" s="424"/>
      <c r="VKW40" s="426"/>
      <c r="VKX40" s="424"/>
      <c r="VKY40" s="426"/>
      <c r="VKZ40" s="424"/>
      <c r="VLA40" s="426"/>
      <c r="VLB40" s="424"/>
      <c r="VLC40" s="426"/>
      <c r="VLD40" s="424"/>
      <c r="VLE40" s="426"/>
      <c r="VLF40" s="424"/>
      <c r="VLG40" s="426"/>
      <c r="VLH40" s="424"/>
      <c r="VLI40" s="426"/>
      <c r="VLJ40" s="424"/>
      <c r="VLK40" s="426"/>
      <c r="VLL40" s="424"/>
      <c r="VLM40" s="426"/>
      <c r="VLN40" s="424"/>
      <c r="VLO40" s="426"/>
      <c r="VLP40" s="424"/>
      <c r="VLQ40" s="426"/>
      <c r="VLR40" s="424"/>
      <c r="VLS40" s="426"/>
      <c r="VLT40" s="424"/>
      <c r="VLU40" s="426"/>
      <c r="VLV40" s="424"/>
      <c r="VLW40" s="426"/>
      <c r="VLX40" s="424"/>
      <c r="VLY40" s="426"/>
      <c r="VLZ40" s="424"/>
      <c r="VMA40" s="426"/>
      <c r="VMB40" s="424"/>
      <c r="VMC40" s="426"/>
      <c r="VMD40" s="424"/>
      <c r="VME40" s="426"/>
      <c r="VMF40" s="424"/>
      <c r="VMG40" s="426"/>
      <c r="VMH40" s="424"/>
      <c r="VMI40" s="426"/>
      <c r="VMJ40" s="424"/>
      <c r="VMK40" s="426"/>
      <c r="VML40" s="424"/>
      <c r="VMM40" s="426"/>
      <c r="VMN40" s="424"/>
      <c r="VMO40" s="426"/>
      <c r="VMP40" s="424"/>
      <c r="VMQ40" s="426"/>
      <c r="VMR40" s="424"/>
      <c r="VMS40" s="426"/>
      <c r="VMT40" s="424"/>
      <c r="VMU40" s="426"/>
      <c r="VMV40" s="424"/>
      <c r="VMW40" s="426"/>
      <c r="VMX40" s="424"/>
      <c r="VMY40" s="426"/>
      <c r="VMZ40" s="424"/>
      <c r="VNA40" s="426"/>
      <c r="VNB40" s="424"/>
      <c r="VNC40" s="426"/>
      <c r="VND40" s="424"/>
      <c r="VNE40" s="426"/>
      <c r="VNF40" s="424"/>
      <c r="VNG40" s="426"/>
      <c r="VNH40" s="424"/>
      <c r="VNI40" s="426"/>
      <c r="VNJ40" s="424"/>
      <c r="VNK40" s="426"/>
      <c r="VNL40" s="424"/>
      <c r="VNM40" s="426"/>
      <c r="VNN40" s="424"/>
      <c r="VNO40" s="426"/>
      <c r="VNP40" s="424"/>
      <c r="VNQ40" s="426"/>
      <c r="VNR40" s="424"/>
      <c r="VNS40" s="426"/>
      <c r="VNT40" s="424"/>
      <c r="VNU40" s="426"/>
      <c r="VNV40" s="424"/>
      <c r="VNW40" s="426"/>
      <c r="VNX40" s="424"/>
      <c r="VNY40" s="426"/>
      <c r="VNZ40" s="424"/>
      <c r="VOA40" s="426"/>
      <c r="VOB40" s="424"/>
      <c r="VOC40" s="426"/>
      <c r="VOD40" s="424"/>
      <c r="VOE40" s="426"/>
      <c r="VOF40" s="424"/>
      <c r="VOG40" s="426"/>
      <c r="VOH40" s="424"/>
      <c r="VOI40" s="426"/>
      <c r="VOJ40" s="424"/>
      <c r="VOK40" s="426"/>
      <c r="VOL40" s="424"/>
      <c r="VOM40" s="426"/>
      <c r="VON40" s="424"/>
      <c r="VOO40" s="426"/>
      <c r="VOP40" s="424"/>
      <c r="VOQ40" s="426"/>
      <c r="VOR40" s="424"/>
      <c r="VOS40" s="426"/>
      <c r="VOT40" s="424"/>
      <c r="VOU40" s="426"/>
      <c r="VOV40" s="424"/>
      <c r="VOW40" s="426"/>
      <c r="VOX40" s="424"/>
      <c r="VOY40" s="426"/>
      <c r="VOZ40" s="424"/>
      <c r="VPA40" s="426"/>
      <c r="VPB40" s="424"/>
      <c r="VPC40" s="426"/>
      <c r="VPD40" s="424"/>
      <c r="VPE40" s="426"/>
      <c r="VPF40" s="424"/>
      <c r="VPG40" s="426"/>
      <c r="VPH40" s="424"/>
      <c r="VPI40" s="426"/>
      <c r="VPJ40" s="424"/>
      <c r="VPK40" s="426"/>
      <c r="VPL40" s="424"/>
      <c r="VPM40" s="426"/>
      <c r="VPN40" s="424"/>
      <c r="VPO40" s="426"/>
      <c r="VPP40" s="424"/>
      <c r="VPQ40" s="426"/>
      <c r="VPR40" s="424"/>
      <c r="VPS40" s="426"/>
      <c r="VPT40" s="424"/>
      <c r="VPU40" s="426"/>
      <c r="VPV40" s="424"/>
      <c r="VPW40" s="426"/>
      <c r="VPX40" s="424"/>
      <c r="VPY40" s="426"/>
      <c r="VPZ40" s="424"/>
      <c r="VQA40" s="426"/>
      <c r="VQB40" s="424"/>
      <c r="VQC40" s="426"/>
      <c r="VQD40" s="424"/>
      <c r="VQE40" s="426"/>
      <c r="VQF40" s="424"/>
      <c r="VQG40" s="426"/>
      <c r="VQH40" s="424"/>
      <c r="VQI40" s="426"/>
      <c r="VQJ40" s="424"/>
      <c r="VQK40" s="426"/>
      <c r="VQL40" s="424"/>
      <c r="VQM40" s="426"/>
      <c r="VQN40" s="424"/>
      <c r="VQO40" s="426"/>
      <c r="VQP40" s="424"/>
      <c r="VQQ40" s="426"/>
      <c r="VQR40" s="424"/>
      <c r="VQS40" s="426"/>
      <c r="VQT40" s="424"/>
      <c r="VQU40" s="426"/>
      <c r="VQV40" s="424"/>
      <c r="VQW40" s="426"/>
      <c r="VQX40" s="424"/>
      <c r="VQY40" s="426"/>
      <c r="VQZ40" s="424"/>
      <c r="VRA40" s="426"/>
      <c r="VRB40" s="424"/>
      <c r="VRC40" s="426"/>
      <c r="VRD40" s="424"/>
      <c r="VRE40" s="426"/>
      <c r="VRF40" s="424"/>
      <c r="VRG40" s="426"/>
      <c r="VRH40" s="424"/>
      <c r="VRI40" s="426"/>
      <c r="VRJ40" s="424"/>
      <c r="VRK40" s="426"/>
      <c r="VRL40" s="424"/>
      <c r="VRM40" s="426"/>
      <c r="VRN40" s="424"/>
      <c r="VRO40" s="426"/>
      <c r="VRP40" s="424"/>
      <c r="VRQ40" s="426"/>
      <c r="VRR40" s="424"/>
      <c r="VRS40" s="426"/>
      <c r="VRT40" s="424"/>
      <c r="VRU40" s="426"/>
      <c r="VRV40" s="424"/>
      <c r="VRW40" s="426"/>
      <c r="VRX40" s="424"/>
      <c r="VRY40" s="426"/>
      <c r="VRZ40" s="424"/>
      <c r="VSA40" s="426"/>
      <c r="VSB40" s="424"/>
      <c r="VSC40" s="426"/>
      <c r="VSD40" s="424"/>
      <c r="VSE40" s="426"/>
      <c r="VSF40" s="424"/>
      <c r="VSG40" s="426"/>
      <c r="VSH40" s="424"/>
      <c r="VSI40" s="426"/>
      <c r="VSJ40" s="424"/>
      <c r="VSK40" s="426"/>
      <c r="VSL40" s="424"/>
      <c r="VSM40" s="426"/>
      <c r="VSN40" s="424"/>
      <c r="VSO40" s="426"/>
      <c r="VSP40" s="424"/>
      <c r="VSQ40" s="426"/>
      <c r="VSR40" s="424"/>
      <c r="VSS40" s="426"/>
      <c r="VST40" s="424"/>
      <c r="VSU40" s="426"/>
      <c r="VSV40" s="424"/>
      <c r="VSW40" s="426"/>
      <c r="VSX40" s="424"/>
      <c r="VSY40" s="426"/>
      <c r="VSZ40" s="424"/>
      <c r="VTA40" s="426"/>
      <c r="VTB40" s="424"/>
      <c r="VTC40" s="426"/>
      <c r="VTD40" s="424"/>
      <c r="VTE40" s="426"/>
      <c r="VTF40" s="424"/>
      <c r="VTG40" s="426"/>
      <c r="VTH40" s="424"/>
      <c r="VTI40" s="426"/>
      <c r="VTJ40" s="424"/>
      <c r="VTK40" s="426"/>
      <c r="VTL40" s="424"/>
      <c r="VTM40" s="426"/>
      <c r="VTN40" s="424"/>
      <c r="VTO40" s="426"/>
      <c r="VTP40" s="424"/>
      <c r="VTQ40" s="426"/>
      <c r="VTR40" s="424"/>
      <c r="VTS40" s="426"/>
      <c r="VTT40" s="424"/>
      <c r="VTU40" s="426"/>
      <c r="VTV40" s="424"/>
      <c r="VTW40" s="426"/>
      <c r="VTX40" s="424"/>
      <c r="VTY40" s="426"/>
      <c r="VTZ40" s="424"/>
      <c r="VUA40" s="426"/>
      <c r="VUB40" s="424"/>
      <c r="VUC40" s="426"/>
      <c r="VUD40" s="424"/>
      <c r="VUE40" s="426"/>
      <c r="VUF40" s="424"/>
      <c r="VUG40" s="426"/>
      <c r="VUH40" s="424"/>
      <c r="VUI40" s="426"/>
      <c r="VUJ40" s="424"/>
      <c r="VUK40" s="426"/>
      <c r="VUL40" s="424"/>
      <c r="VUM40" s="426"/>
      <c r="VUN40" s="424"/>
      <c r="VUO40" s="426"/>
      <c r="VUP40" s="424"/>
      <c r="VUQ40" s="426"/>
      <c r="VUR40" s="424"/>
      <c r="VUS40" s="426"/>
      <c r="VUT40" s="424"/>
      <c r="VUU40" s="426"/>
      <c r="VUV40" s="424"/>
      <c r="VUW40" s="426"/>
      <c r="VUX40" s="424"/>
      <c r="VUY40" s="426"/>
      <c r="VUZ40" s="424"/>
      <c r="VVA40" s="426"/>
      <c r="VVB40" s="424"/>
      <c r="VVC40" s="426"/>
      <c r="VVD40" s="424"/>
      <c r="VVE40" s="426"/>
      <c r="VVF40" s="424"/>
      <c r="VVG40" s="426"/>
      <c r="VVH40" s="424"/>
      <c r="VVI40" s="426"/>
      <c r="VVJ40" s="424"/>
      <c r="VVK40" s="426"/>
      <c r="VVL40" s="424"/>
      <c r="VVM40" s="426"/>
      <c r="VVN40" s="424"/>
      <c r="VVO40" s="426"/>
      <c r="VVP40" s="424"/>
      <c r="VVQ40" s="426"/>
      <c r="VVR40" s="424"/>
      <c r="VVS40" s="426"/>
      <c r="VVT40" s="424"/>
      <c r="VVU40" s="426"/>
      <c r="VVV40" s="424"/>
      <c r="VVW40" s="426"/>
      <c r="VVX40" s="424"/>
      <c r="VVY40" s="426"/>
      <c r="VVZ40" s="424"/>
      <c r="VWA40" s="426"/>
      <c r="VWB40" s="424"/>
      <c r="VWC40" s="426"/>
      <c r="VWD40" s="424"/>
      <c r="VWE40" s="426"/>
      <c r="VWF40" s="424"/>
      <c r="VWG40" s="426"/>
      <c r="VWH40" s="424"/>
      <c r="VWI40" s="426"/>
      <c r="VWJ40" s="424"/>
      <c r="VWK40" s="426"/>
      <c r="VWL40" s="424"/>
      <c r="VWM40" s="426"/>
      <c r="VWN40" s="424"/>
      <c r="VWO40" s="426"/>
      <c r="VWP40" s="424"/>
      <c r="VWQ40" s="426"/>
      <c r="VWR40" s="424"/>
      <c r="VWS40" s="426"/>
      <c r="VWT40" s="424"/>
      <c r="VWU40" s="426"/>
      <c r="VWV40" s="424"/>
      <c r="VWW40" s="426"/>
      <c r="VWX40" s="424"/>
      <c r="VWY40" s="426"/>
      <c r="VWZ40" s="424"/>
      <c r="VXA40" s="426"/>
      <c r="VXB40" s="424"/>
      <c r="VXC40" s="426"/>
      <c r="VXD40" s="424"/>
      <c r="VXE40" s="426"/>
      <c r="VXF40" s="424"/>
      <c r="VXG40" s="426"/>
      <c r="VXH40" s="424"/>
      <c r="VXI40" s="426"/>
      <c r="VXJ40" s="424"/>
      <c r="VXK40" s="426"/>
      <c r="VXL40" s="424"/>
      <c r="VXM40" s="426"/>
      <c r="VXN40" s="424"/>
      <c r="VXO40" s="426"/>
      <c r="VXP40" s="424"/>
      <c r="VXQ40" s="426"/>
      <c r="VXR40" s="424"/>
      <c r="VXS40" s="426"/>
      <c r="VXT40" s="424"/>
      <c r="VXU40" s="426"/>
      <c r="VXV40" s="424"/>
      <c r="VXW40" s="426"/>
      <c r="VXX40" s="424"/>
      <c r="VXY40" s="426"/>
      <c r="VXZ40" s="424"/>
      <c r="VYA40" s="426"/>
      <c r="VYB40" s="424"/>
      <c r="VYC40" s="426"/>
      <c r="VYD40" s="424"/>
      <c r="VYE40" s="426"/>
      <c r="VYF40" s="424"/>
      <c r="VYG40" s="426"/>
      <c r="VYH40" s="424"/>
      <c r="VYI40" s="426"/>
      <c r="VYJ40" s="424"/>
      <c r="VYK40" s="426"/>
      <c r="VYL40" s="424"/>
      <c r="VYM40" s="426"/>
      <c r="VYN40" s="424"/>
      <c r="VYO40" s="426"/>
      <c r="VYP40" s="424"/>
      <c r="VYQ40" s="426"/>
      <c r="VYR40" s="424"/>
      <c r="VYS40" s="426"/>
      <c r="VYT40" s="424"/>
      <c r="VYU40" s="426"/>
      <c r="VYV40" s="424"/>
      <c r="VYW40" s="426"/>
      <c r="VYX40" s="424"/>
      <c r="VYY40" s="426"/>
      <c r="VYZ40" s="424"/>
      <c r="VZA40" s="426"/>
      <c r="VZB40" s="424"/>
      <c r="VZC40" s="426"/>
      <c r="VZD40" s="424"/>
      <c r="VZE40" s="426"/>
      <c r="VZF40" s="424"/>
      <c r="VZG40" s="426"/>
      <c r="VZH40" s="424"/>
      <c r="VZI40" s="426"/>
      <c r="VZJ40" s="424"/>
      <c r="VZK40" s="426"/>
      <c r="VZL40" s="424"/>
      <c r="VZM40" s="426"/>
      <c r="VZN40" s="424"/>
      <c r="VZO40" s="426"/>
      <c r="VZP40" s="424"/>
      <c r="VZQ40" s="426"/>
      <c r="VZR40" s="424"/>
      <c r="VZS40" s="426"/>
      <c r="VZT40" s="424"/>
      <c r="VZU40" s="426"/>
      <c r="VZV40" s="424"/>
      <c r="VZW40" s="426"/>
      <c r="VZX40" s="424"/>
      <c r="VZY40" s="426"/>
      <c r="VZZ40" s="424"/>
      <c r="WAA40" s="426"/>
      <c r="WAB40" s="424"/>
      <c r="WAC40" s="426"/>
      <c r="WAD40" s="424"/>
      <c r="WAE40" s="426"/>
      <c r="WAF40" s="424"/>
      <c r="WAG40" s="426"/>
      <c r="WAH40" s="424"/>
      <c r="WAI40" s="426"/>
      <c r="WAJ40" s="424"/>
      <c r="WAK40" s="426"/>
      <c r="WAL40" s="424"/>
      <c r="WAM40" s="426"/>
      <c r="WAN40" s="424"/>
      <c r="WAO40" s="426"/>
      <c r="WAP40" s="424"/>
      <c r="WAQ40" s="426"/>
      <c r="WAR40" s="424"/>
      <c r="WAS40" s="426"/>
      <c r="WAT40" s="424"/>
      <c r="WAU40" s="426"/>
      <c r="WAV40" s="424"/>
      <c r="WAW40" s="426"/>
      <c r="WAX40" s="424"/>
      <c r="WAY40" s="426"/>
      <c r="WAZ40" s="424"/>
      <c r="WBA40" s="426"/>
      <c r="WBB40" s="424"/>
      <c r="WBC40" s="426"/>
      <c r="WBD40" s="424"/>
      <c r="WBE40" s="426"/>
      <c r="WBF40" s="424"/>
      <c r="WBG40" s="426"/>
      <c r="WBH40" s="424"/>
      <c r="WBI40" s="426"/>
      <c r="WBJ40" s="424"/>
      <c r="WBK40" s="426"/>
      <c r="WBL40" s="424"/>
      <c r="WBM40" s="426"/>
      <c r="WBN40" s="424"/>
      <c r="WBO40" s="426"/>
      <c r="WBP40" s="424"/>
      <c r="WBQ40" s="426"/>
      <c r="WBR40" s="424"/>
      <c r="WBS40" s="426"/>
      <c r="WBT40" s="424"/>
      <c r="WBU40" s="426"/>
      <c r="WBV40" s="424"/>
      <c r="WBW40" s="426"/>
      <c r="WBX40" s="424"/>
      <c r="WBY40" s="426"/>
      <c r="WBZ40" s="424"/>
      <c r="WCA40" s="426"/>
      <c r="WCB40" s="424"/>
      <c r="WCC40" s="426"/>
      <c r="WCD40" s="424"/>
      <c r="WCE40" s="426"/>
      <c r="WCF40" s="424"/>
      <c r="WCG40" s="426"/>
      <c r="WCH40" s="424"/>
      <c r="WCI40" s="426"/>
      <c r="WCJ40" s="424"/>
      <c r="WCK40" s="426"/>
      <c r="WCL40" s="424"/>
      <c r="WCM40" s="426"/>
      <c r="WCN40" s="424"/>
      <c r="WCO40" s="426"/>
      <c r="WCP40" s="424"/>
      <c r="WCQ40" s="426"/>
      <c r="WCR40" s="424"/>
      <c r="WCS40" s="426"/>
      <c r="WCT40" s="424"/>
      <c r="WCU40" s="426"/>
      <c r="WCV40" s="424"/>
      <c r="WCW40" s="426"/>
      <c r="WCX40" s="424"/>
      <c r="WCY40" s="426"/>
      <c r="WCZ40" s="424"/>
      <c r="WDA40" s="426"/>
      <c r="WDB40" s="424"/>
      <c r="WDC40" s="426"/>
      <c r="WDD40" s="424"/>
      <c r="WDE40" s="426"/>
      <c r="WDF40" s="424"/>
      <c r="WDG40" s="426"/>
      <c r="WDH40" s="424"/>
      <c r="WDI40" s="426"/>
      <c r="WDJ40" s="424"/>
      <c r="WDK40" s="426"/>
      <c r="WDL40" s="424"/>
      <c r="WDM40" s="426"/>
      <c r="WDN40" s="424"/>
      <c r="WDO40" s="426"/>
      <c r="WDP40" s="424"/>
      <c r="WDQ40" s="426"/>
      <c r="WDR40" s="424"/>
      <c r="WDS40" s="426"/>
      <c r="WDT40" s="424"/>
      <c r="WDU40" s="426"/>
      <c r="WDV40" s="424"/>
      <c r="WDW40" s="426"/>
      <c r="WDX40" s="424"/>
      <c r="WDY40" s="426"/>
      <c r="WDZ40" s="424"/>
      <c r="WEA40" s="426"/>
      <c r="WEB40" s="424"/>
      <c r="WEC40" s="426"/>
      <c r="WED40" s="424"/>
      <c r="WEE40" s="426"/>
      <c r="WEF40" s="424"/>
      <c r="WEG40" s="426"/>
      <c r="WEH40" s="424"/>
      <c r="WEI40" s="426"/>
      <c r="WEJ40" s="424"/>
      <c r="WEK40" s="426"/>
      <c r="WEL40" s="424"/>
      <c r="WEM40" s="426"/>
      <c r="WEN40" s="424"/>
      <c r="WEO40" s="426"/>
      <c r="WEP40" s="424"/>
      <c r="WEQ40" s="426"/>
      <c r="WER40" s="424"/>
      <c r="WES40" s="426"/>
      <c r="WET40" s="424"/>
      <c r="WEU40" s="426"/>
      <c r="WEV40" s="424"/>
      <c r="WEW40" s="426"/>
      <c r="WEX40" s="424"/>
      <c r="WEY40" s="426"/>
      <c r="WEZ40" s="424"/>
      <c r="WFA40" s="426"/>
      <c r="WFB40" s="424"/>
      <c r="WFC40" s="426"/>
      <c r="WFD40" s="424"/>
      <c r="WFE40" s="426"/>
      <c r="WFF40" s="424"/>
      <c r="WFG40" s="426"/>
      <c r="WFH40" s="424"/>
      <c r="WFI40" s="426"/>
      <c r="WFJ40" s="424"/>
      <c r="WFK40" s="426"/>
      <c r="WFL40" s="424"/>
      <c r="WFM40" s="426"/>
      <c r="WFN40" s="424"/>
      <c r="WFO40" s="426"/>
      <c r="WFP40" s="424"/>
      <c r="WFQ40" s="426"/>
      <c r="WFR40" s="424"/>
      <c r="WFS40" s="426"/>
      <c r="WFT40" s="424"/>
      <c r="WFU40" s="426"/>
      <c r="WFV40" s="424"/>
      <c r="WFW40" s="426"/>
      <c r="WFX40" s="424"/>
      <c r="WFY40" s="426"/>
      <c r="WFZ40" s="424"/>
      <c r="WGA40" s="426"/>
      <c r="WGB40" s="424"/>
      <c r="WGC40" s="426"/>
      <c r="WGD40" s="424"/>
      <c r="WGE40" s="426"/>
      <c r="WGF40" s="424"/>
      <c r="WGG40" s="426"/>
      <c r="WGH40" s="424"/>
      <c r="WGI40" s="426"/>
      <c r="WGJ40" s="424"/>
      <c r="WGK40" s="426"/>
      <c r="WGL40" s="424"/>
      <c r="WGM40" s="426"/>
      <c r="WGN40" s="424"/>
      <c r="WGO40" s="426"/>
      <c r="WGP40" s="424"/>
      <c r="WGQ40" s="426"/>
      <c r="WGR40" s="424"/>
      <c r="WGS40" s="426"/>
      <c r="WGT40" s="424"/>
      <c r="WGU40" s="426"/>
      <c r="WGV40" s="424"/>
      <c r="WGW40" s="426"/>
      <c r="WGX40" s="424"/>
      <c r="WGY40" s="426"/>
      <c r="WGZ40" s="424"/>
      <c r="WHA40" s="426"/>
      <c r="WHB40" s="424"/>
      <c r="WHC40" s="426"/>
      <c r="WHD40" s="424"/>
      <c r="WHE40" s="426"/>
      <c r="WHF40" s="424"/>
      <c r="WHG40" s="426"/>
      <c r="WHH40" s="424"/>
      <c r="WHI40" s="426"/>
      <c r="WHJ40" s="424"/>
      <c r="WHK40" s="426"/>
      <c r="WHL40" s="424"/>
      <c r="WHM40" s="426"/>
      <c r="WHN40" s="424"/>
      <c r="WHO40" s="426"/>
      <c r="WHP40" s="424"/>
      <c r="WHQ40" s="426"/>
      <c r="WHR40" s="424"/>
      <c r="WHS40" s="426"/>
      <c r="WHT40" s="424"/>
      <c r="WHU40" s="426"/>
      <c r="WHV40" s="424"/>
      <c r="WHW40" s="426"/>
      <c r="WHX40" s="424"/>
      <c r="WHY40" s="426"/>
      <c r="WHZ40" s="424"/>
      <c r="WIA40" s="426"/>
      <c r="WIB40" s="424"/>
      <c r="WIC40" s="426"/>
      <c r="WID40" s="424"/>
      <c r="WIE40" s="426"/>
      <c r="WIF40" s="424"/>
      <c r="WIG40" s="426"/>
      <c r="WIH40" s="424"/>
      <c r="WII40" s="426"/>
      <c r="WIJ40" s="424"/>
      <c r="WIK40" s="426"/>
      <c r="WIL40" s="424"/>
      <c r="WIM40" s="426"/>
      <c r="WIN40" s="424"/>
      <c r="WIO40" s="426"/>
      <c r="WIP40" s="424"/>
      <c r="WIQ40" s="426"/>
      <c r="WIR40" s="424"/>
      <c r="WIS40" s="426"/>
      <c r="WIT40" s="424"/>
      <c r="WIU40" s="426"/>
      <c r="WIV40" s="424"/>
      <c r="WIW40" s="426"/>
      <c r="WIX40" s="424"/>
      <c r="WIY40" s="426"/>
      <c r="WIZ40" s="424"/>
      <c r="WJA40" s="426"/>
      <c r="WJB40" s="424"/>
      <c r="WJC40" s="426"/>
      <c r="WJD40" s="424"/>
      <c r="WJE40" s="426"/>
      <c r="WJF40" s="424"/>
      <c r="WJG40" s="426"/>
      <c r="WJH40" s="424"/>
      <c r="WJI40" s="426"/>
      <c r="WJJ40" s="424"/>
      <c r="WJK40" s="426"/>
      <c r="WJL40" s="424"/>
      <c r="WJM40" s="426"/>
      <c r="WJN40" s="424"/>
      <c r="WJO40" s="426"/>
      <c r="WJP40" s="424"/>
      <c r="WJQ40" s="426"/>
      <c r="WJR40" s="424"/>
      <c r="WJS40" s="426"/>
      <c r="WJT40" s="424"/>
      <c r="WJU40" s="426"/>
      <c r="WJV40" s="424"/>
      <c r="WJW40" s="426"/>
      <c r="WJX40" s="424"/>
      <c r="WJY40" s="426"/>
      <c r="WJZ40" s="424"/>
      <c r="WKA40" s="426"/>
      <c r="WKB40" s="424"/>
      <c r="WKC40" s="426"/>
      <c r="WKD40" s="424"/>
      <c r="WKE40" s="426"/>
      <c r="WKF40" s="424"/>
      <c r="WKG40" s="426"/>
      <c r="WKH40" s="424"/>
      <c r="WKI40" s="426"/>
      <c r="WKJ40" s="424"/>
      <c r="WKK40" s="426"/>
      <c r="WKL40" s="424"/>
      <c r="WKM40" s="426"/>
      <c r="WKN40" s="424"/>
      <c r="WKO40" s="426"/>
      <c r="WKP40" s="424"/>
      <c r="WKQ40" s="426"/>
      <c r="WKR40" s="424"/>
      <c r="WKS40" s="426"/>
      <c r="WKT40" s="424"/>
      <c r="WKU40" s="426"/>
      <c r="WKV40" s="424"/>
      <c r="WKW40" s="426"/>
      <c r="WKX40" s="424"/>
      <c r="WKY40" s="426"/>
      <c r="WKZ40" s="424"/>
      <c r="WLA40" s="426"/>
      <c r="WLB40" s="424"/>
      <c r="WLC40" s="426"/>
      <c r="WLD40" s="424"/>
      <c r="WLE40" s="426"/>
      <c r="WLF40" s="424"/>
      <c r="WLG40" s="426"/>
      <c r="WLH40" s="424"/>
      <c r="WLI40" s="426"/>
      <c r="WLJ40" s="424"/>
      <c r="WLK40" s="426"/>
      <c r="WLL40" s="424"/>
      <c r="WLM40" s="426"/>
      <c r="WLN40" s="424"/>
      <c r="WLO40" s="426"/>
      <c r="WLP40" s="424"/>
      <c r="WLQ40" s="426"/>
      <c r="WLR40" s="424"/>
      <c r="WLS40" s="426"/>
      <c r="WLT40" s="424"/>
      <c r="WLU40" s="426"/>
      <c r="WLV40" s="424"/>
      <c r="WLW40" s="426"/>
      <c r="WLX40" s="424"/>
      <c r="WLY40" s="426"/>
      <c r="WLZ40" s="424"/>
      <c r="WMA40" s="426"/>
      <c r="WMB40" s="424"/>
      <c r="WMC40" s="426"/>
      <c r="WMD40" s="424"/>
      <c r="WME40" s="426"/>
      <c r="WMF40" s="424"/>
      <c r="WMG40" s="426"/>
      <c r="WMH40" s="424"/>
      <c r="WMI40" s="426"/>
      <c r="WMJ40" s="424"/>
      <c r="WMK40" s="426"/>
      <c r="WML40" s="424"/>
      <c r="WMM40" s="426"/>
      <c r="WMN40" s="424"/>
      <c r="WMO40" s="426"/>
      <c r="WMP40" s="424"/>
      <c r="WMQ40" s="426"/>
      <c r="WMR40" s="424"/>
      <c r="WMS40" s="426"/>
      <c r="WMT40" s="424"/>
      <c r="WMU40" s="426"/>
      <c r="WMV40" s="424"/>
      <c r="WMW40" s="426"/>
      <c r="WMX40" s="424"/>
      <c r="WMY40" s="426"/>
      <c r="WMZ40" s="424"/>
      <c r="WNA40" s="426"/>
      <c r="WNB40" s="424"/>
      <c r="WNC40" s="426"/>
      <c r="WND40" s="424"/>
      <c r="WNE40" s="426"/>
      <c r="WNF40" s="424"/>
      <c r="WNG40" s="426"/>
      <c r="WNH40" s="424"/>
      <c r="WNI40" s="426"/>
      <c r="WNJ40" s="424"/>
      <c r="WNK40" s="426"/>
      <c r="WNL40" s="424"/>
      <c r="WNM40" s="426"/>
      <c r="WNN40" s="424"/>
      <c r="WNO40" s="426"/>
      <c r="WNP40" s="424"/>
      <c r="WNQ40" s="426"/>
      <c r="WNR40" s="424"/>
      <c r="WNS40" s="426"/>
      <c r="WNT40" s="424"/>
      <c r="WNU40" s="426"/>
      <c r="WNV40" s="424"/>
      <c r="WNW40" s="426"/>
      <c r="WNX40" s="424"/>
      <c r="WNY40" s="426"/>
      <c r="WNZ40" s="424"/>
      <c r="WOA40" s="426"/>
      <c r="WOB40" s="424"/>
      <c r="WOC40" s="426"/>
      <c r="WOD40" s="424"/>
      <c r="WOE40" s="426"/>
      <c r="WOF40" s="424"/>
      <c r="WOG40" s="426"/>
      <c r="WOH40" s="424"/>
      <c r="WOI40" s="426"/>
      <c r="WOJ40" s="424"/>
      <c r="WOK40" s="426"/>
      <c r="WOL40" s="424"/>
      <c r="WOM40" s="426"/>
      <c r="WON40" s="424"/>
      <c r="WOO40" s="426"/>
      <c r="WOP40" s="424"/>
      <c r="WOQ40" s="426"/>
      <c r="WOR40" s="424"/>
      <c r="WOS40" s="426"/>
      <c r="WOT40" s="424"/>
      <c r="WOU40" s="426"/>
      <c r="WOV40" s="424"/>
      <c r="WOW40" s="426"/>
      <c r="WOX40" s="424"/>
      <c r="WOY40" s="426"/>
      <c r="WOZ40" s="424"/>
      <c r="WPA40" s="426"/>
      <c r="WPB40" s="424"/>
      <c r="WPC40" s="426"/>
      <c r="WPD40" s="424"/>
      <c r="WPE40" s="426"/>
      <c r="WPF40" s="424"/>
      <c r="WPG40" s="426"/>
      <c r="WPH40" s="424"/>
      <c r="WPI40" s="426"/>
      <c r="WPJ40" s="424"/>
      <c r="WPK40" s="426"/>
      <c r="WPL40" s="424"/>
      <c r="WPM40" s="426"/>
      <c r="WPN40" s="424"/>
      <c r="WPO40" s="426"/>
      <c r="WPP40" s="424"/>
      <c r="WPQ40" s="426"/>
      <c r="WPR40" s="424"/>
      <c r="WPS40" s="426"/>
      <c r="WPT40" s="424"/>
      <c r="WPU40" s="426"/>
      <c r="WPV40" s="424"/>
      <c r="WPW40" s="426"/>
      <c r="WPX40" s="424"/>
      <c r="WPY40" s="426"/>
      <c r="WPZ40" s="424"/>
      <c r="WQA40" s="426"/>
      <c r="WQB40" s="424"/>
      <c r="WQC40" s="426"/>
      <c r="WQD40" s="424"/>
      <c r="WQE40" s="426"/>
      <c r="WQF40" s="424"/>
      <c r="WQG40" s="426"/>
      <c r="WQH40" s="424"/>
      <c r="WQI40" s="426"/>
      <c r="WQJ40" s="424"/>
      <c r="WQK40" s="426"/>
      <c r="WQL40" s="424"/>
      <c r="WQM40" s="426"/>
      <c r="WQN40" s="424"/>
      <c r="WQO40" s="426"/>
      <c r="WQP40" s="424"/>
      <c r="WQQ40" s="426"/>
      <c r="WQR40" s="424"/>
      <c r="WQS40" s="426"/>
      <c r="WQT40" s="424"/>
      <c r="WQU40" s="426"/>
      <c r="WQV40" s="424"/>
      <c r="WQW40" s="426"/>
      <c r="WQX40" s="424"/>
      <c r="WQY40" s="426"/>
      <c r="WQZ40" s="424"/>
      <c r="WRA40" s="426"/>
      <c r="WRB40" s="424"/>
      <c r="WRC40" s="426"/>
      <c r="WRD40" s="424"/>
      <c r="WRE40" s="426"/>
      <c r="WRF40" s="424"/>
      <c r="WRG40" s="426"/>
      <c r="WRH40" s="424"/>
      <c r="WRI40" s="426"/>
      <c r="WRJ40" s="424"/>
      <c r="WRK40" s="426"/>
      <c r="WRL40" s="424"/>
      <c r="WRM40" s="426"/>
      <c r="WRN40" s="424"/>
      <c r="WRO40" s="426"/>
      <c r="WRP40" s="424"/>
      <c r="WRQ40" s="426"/>
      <c r="WRR40" s="424"/>
      <c r="WRS40" s="426"/>
      <c r="WRT40" s="424"/>
      <c r="WRU40" s="426"/>
      <c r="WRV40" s="424"/>
      <c r="WRW40" s="426"/>
      <c r="WRX40" s="424"/>
      <c r="WRY40" s="426"/>
      <c r="WRZ40" s="424"/>
      <c r="WSA40" s="426"/>
      <c r="WSB40" s="424"/>
      <c r="WSC40" s="426"/>
      <c r="WSD40" s="424"/>
      <c r="WSE40" s="426"/>
      <c r="WSF40" s="424"/>
      <c r="WSG40" s="426"/>
      <c r="WSH40" s="424"/>
      <c r="WSI40" s="426"/>
      <c r="WSJ40" s="424"/>
      <c r="WSK40" s="426"/>
      <c r="WSL40" s="424"/>
      <c r="WSM40" s="426"/>
      <c r="WSN40" s="424"/>
      <c r="WSO40" s="426"/>
      <c r="WSP40" s="424"/>
      <c r="WSQ40" s="426"/>
      <c r="WSR40" s="424"/>
      <c r="WSS40" s="426"/>
      <c r="WST40" s="424"/>
      <c r="WSU40" s="426"/>
      <c r="WSV40" s="424"/>
      <c r="WSW40" s="426"/>
      <c r="WSX40" s="424"/>
      <c r="WSY40" s="426"/>
      <c r="WSZ40" s="424"/>
      <c r="WTA40" s="426"/>
      <c r="WTB40" s="424"/>
      <c r="WTC40" s="426"/>
      <c r="WTD40" s="424"/>
      <c r="WTE40" s="426"/>
      <c r="WTF40" s="424"/>
      <c r="WTG40" s="426"/>
      <c r="WTH40" s="424"/>
      <c r="WTI40" s="426"/>
      <c r="WTJ40" s="424"/>
      <c r="WTK40" s="426"/>
      <c r="WTL40" s="424"/>
      <c r="WTM40" s="426"/>
      <c r="WTN40" s="424"/>
      <c r="WTO40" s="426"/>
      <c r="WTP40" s="424"/>
      <c r="WTQ40" s="426"/>
      <c r="WTR40" s="424"/>
      <c r="WTS40" s="426"/>
      <c r="WTT40" s="424"/>
      <c r="WTU40" s="426"/>
      <c r="WTV40" s="424"/>
      <c r="WTW40" s="426"/>
      <c r="WTX40" s="424"/>
      <c r="WTY40" s="426"/>
      <c r="WTZ40" s="424"/>
      <c r="WUA40" s="426"/>
      <c r="WUB40" s="424"/>
      <c r="WUC40" s="426"/>
      <c r="WUD40" s="424"/>
      <c r="WUE40" s="426"/>
      <c r="WUF40" s="424"/>
      <c r="WUG40" s="426"/>
      <c r="WUH40" s="424"/>
      <c r="WUI40" s="426"/>
      <c r="WUJ40" s="424"/>
      <c r="WUK40" s="426"/>
      <c r="WUL40" s="424"/>
      <c r="WUM40" s="426"/>
      <c r="WUN40" s="424"/>
      <c r="WUO40" s="426"/>
      <c r="WUP40" s="424"/>
      <c r="WUQ40" s="426"/>
      <c r="WUR40" s="424"/>
      <c r="WUS40" s="426"/>
      <c r="WUT40" s="424"/>
      <c r="WUU40" s="426"/>
      <c r="WUV40" s="424"/>
      <c r="WUW40" s="426"/>
      <c r="WUX40" s="424"/>
      <c r="WUY40" s="426"/>
      <c r="WUZ40" s="424"/>
      <c r="WVA40" s="426"/>
      <c r="WVB40" s="424"/>
      <c r="WVC40" s="426"/>
      <c r="WVD40" s="424"/>
      <c r="WVE40" s="426"/>
      <c r="WVF40" s="424"/>
      <c r="WVG40" s="426"/>
      <c r="WVH40" s="424"/>
      <c r="WVI40" s="426"/>
      <c r="WVJ40" s="424"/>
      <c r="WVK40" s="426"/>
      <c r="WVL40" s="424"/>
      <c r="WVM40" s="426"/>
      <c r="WVN40" s="424"/>
      <c r="WVO40" s="426"/>
      <c r="WVP40" s="424"/>
      <c r="WVQ40" s="426"/>
      <c r="WVR40" s="424"/>
      <c r="WVS40" s="426"/>
      <c r="WVT40" s="424"/>
      <c r="WVU40" s="426"/>
      <c r="WVV40" s="424"/>
      <c r="WVW40" s="426"/>
      <c r="WVX40" s="424"/>
      <c r="WVY40" s="426"/>
      <c r="WVZ40" s="424"/>
      <c r="WWA40" s="426"/>
      <c r="WWB40" s="424"/>
      <c r="WWC40" s="426"/>
      <c r="WWD40" s="424"/>
      <c r="WWE40" s="426"/>
      <c r="WWF40" s="424"/>
      <c r="WWG40" s="426"/>
      <c r="WWH40" s="424"/>
      <c r="WWI40" s="426"/>
      <c r="WWJ40" s="424"/>
      <c r="WWK40" s="426"/>
      <c r="WWL40" s="424"/>
      <c r="WWM40" s="426"/>
      <c r="WWN40" s="424"/>
      <c r="WWO40" s="426"/>
      <c r="WWP40" s="424"/>
      <c r="WWQ40" s="426"/>
      <c r="WWR40" s="424"/>
      <c r="WWS40" s="426"/>
      <c r="WWT40" s="424"/>
      <c r="WWU40" s="426"/>
      <c r="WWV40" s="424"/>
      <c r="WWW40" s="426"/>
      <c r="WWX40" s="424"/>
      <c r="WWY40" s="426"/>
      <c r="WWZ40" s="424"/>
      <c r="WXA40" s="426"/>
      <c r="WXB40" s="424"/>
      <c r="WXC40" s="426"/>
      <c r="WXD40" s="424"/>
      <c r="WXE40" s="426"/>
      <c r="WXF40" s="424"/>
      <c r="WXG40" s="426"/>
      <c r="WXH40" s="424"/>
      <c r="WXI40" s="426"/>
      <c r="WXJ40" s="424"/>
      <c r="WXK40" s="426"/>
      <c r="WXL40" s="424"/>
      <c r="WXM40" s="426"/>
      <c r="WXN40" s="424"/>
      <c r="WXO40" s="426"/>
      <c r="WXP40" s="424"/>
      <c r="WXQ40" s="426"/>
      <c r="WXR40" s="424"/>
      <c r="WXS40" s="426"/>
      <c r="WXT40" s="424"/>
      <c r="WXU40" s="426"/>
      <c r="WXV40" s="424"/>
      <c r="WXW40" s="426"/>
      <c r="WXX40" s="424"/>
      <c r="WXY40" s="426"/>
      <c r="WXZ40" s="424"/>
      <c r="WYA40" s="426"/>
      <c r="WYB40" s="424"/>
      <c r="WYC40" s="426"/>
      <c r="WYD40" s="424"/>
      <c r="WYE40" s="426"/>
      <c r="WYF40" s="424"/>
      <c r="WYG40" s="426"/>
      <c r="WYH40" s="424"/>
      <c r="WYI40" s="426"/>
      <c r="WYJ40" s="424"/>
      <c r="WYK40" s="426"/>
      <c r="WYL40" s="424"/>
      <c r="WYM40" s="426"/>
      <c r="WYN40" s="424"/>
      <c r="WYO40" s="426"/>
      <c r="WYP40" s="424"/>
      <c r="WYQ40" s="426"/>
      <c r="WYR40" s="424"/>
      <c r="WYS40" s="426"/>
      <c r="WYT40" s="424"/>
      <c r="WYU40" s="426"/>
      <c r="WYV40" s="424"/>
      <c r="WYW40" s="426"/>
      <c r="WYX40" s="424"/>
      <c r="WYY40" s="426"/>
      <c r="WYZ40" s="424"/>
      <c r="WZA40" s="426"/>
      <c r="WZB40" s="424"/>
      <c r="WZC40" s="426"/>
      <c r="WZD40" s="424"/>
      <c r="WZE40" s="426"/>
      <c r="WZF40" s="424"/>
      <c r="WZG40" s="426"/>
      <c r="WZH40" s="424"/>
      <c r="WZI40" s="426"/>
      <c r="WZJ40" s="424"/>
      <c r="WZK40" s="426"/>
      <c r="WZL40" s="424"/>
      <c r="WZM40" s="426"/>
      <c r="WZN40" s="424"/>
      <c r="WZO40" s="426"/>
      <c r="WZP40" s="424"/>
      <c r="WZQ40" s="426"/>
      <c r="WZR40" s="424"/>
      <c r="WZS40" s="426"/>
      <c r="WZT40" s="424"/>
      <c r="WZU40" s="426"/>
      <c r="WZV40" s="424"/>
      <c r="WZW40" s="426"/>
      <c r="WZX40" s="424"/>
      <c r="WZY40" s="426"/>
      <c r="WZZ40" s="424"/>
      <c r="XAA40" s="426"/>
      <c r="XAB40" s="424"/>
      <c r="XAC40" s="426"/>
      <c r="XAD40" s="424"/>
      <c r="XAE40" s="426"/>
      <c r="XAF40" s="424"/>
      <c r="XAG40" s="426"/>
      <c r="XAH40" s="424"/>
      <c r="XAI40" s="426"/>
      <c r="XAJ40" s="424"/>
      <c r="XAK40" s="426"/>
      <c r="XAL40" s="424"/>
      <c r="XAM40" s="426"/>
      <c r="XAN40" s="424"/>
      <c r="XAO40" s="426"/>
      <c r="XAP40" s="424"/>
      <c r="XAQ40" s="426"/>
      <c r="XAR40" s="424"/>
      <c r="XAS40" s="426"/>
      <c r="XAT40" s="424"/>
      <c r="XAU40" s="426"/>
      <c r="XAV40" s="424"/>
      <c r="XAW40" s="426"/>
      <c r="XAX40" s="424"/>
      <c r="XAY40" s="426"/>
      <c r="XAZ40" s="424"/>
      <c r="XBA40" s="426"/>
      <c r="XBB40" s="424"/>
      <c r="XBC40" s="426"/>
      <c r="XBD40" s="424"/>
      <c r="XBE40" s="426"/>
      <c r="XBF40" s="424"/>
      <c r="XBG40" s="426"/>
      <c r="XBH40" s="424"/>
      <c r="XBI40" s="426"/>
      <c r="XBJ40" s="424"/>
      <c r="XBK40" s="426"/>
      <c r="XBL40" s="424"/>
      <c r="XBM40" s="426"/>
      <c r="XBN40" s="424"/>
      <c r="XBO40" s="426"/>
      <c r="XBP40" s="424"/>
      <c r="XBQ40" s="426"/>
      <c r="XBR40" s="424"/>
      <c r="XBS40" s="426"/>
      <c r="XBT40" s="424"/>
      <c r="XBU40" s="426"/>
      <c r="XBV40" s="424"/>
      <c r="XBW40" s="426"/>
      <c r="XBX40" s="424"/>
      <c r="XBY40" s="426"/>
      <c r="XBZ40" s="424"/>
      <c r="XCA40" s="426"/>
      <c r="XCB40" s="424"/>
      <c r="XCC40" s="426"/>
      <c r="XCD40" s="424"/>
      <c r="XCE40" s="426"/>
      <c r="XCF40" s="424"/>
      <c r="XCG40" s="426"/>
      <c r="XCH40" s="424"/>
      <c r="XCI40" s="426"/>
      <c r="XCJ40" s="424"/>
      <c r="XCK40" s="426"/>
      <c r="XCL40" s="424"/>
      <c r="XCM40" s="426"/>
      <c r="XCN40" s="424"/>
      <c r="XCO40" s="426"/>
      <c r="XCP40" s="424"/>
      <c r="XCQ40" s="426"/>
      <c r="XCR40" s="424"/>
      <c r="XCS40" s="426"/>
      <c r="XCT40" s="424"/>
      <c r="XCU40" s="426"/>
      <c r="XCV40" s="424"/>
      <c r="XCW40" s="426"/>
      <c r="XCX40" s="424"/>
      <c r="XCY40" s="426"/>
      <c r="XCZ40" s="424"/>
      <c r="XDA40" s="426"/>
      <c r="XDB40" s="424"/>
      <c r="XDC40" s="426"/>
      <c r="XDD40" s="424"/>
      <c r="XDE40" s="426"/>
      <c r="XDF40" s="424"/>
      <c r="XDG40" s="426"/>
      <c r="XDH40" s="424"/>
      <c r="XDI40" s="426"/>
      <c r="XDJ40" s="424"/>
      <c r="XDK40" s="426"/>
      <c r="XDL40" s="424"/>
      <c r="XDM40" s="426"/>
      <c r="XDN40" s="424"/>
      <c r="XDO40" s="426"/>
      <c r="XDP40" s="424"/>
      <c r="XDQ40" s="426"/>
      <c r="XDR40" s="424"/>
      <c r="XDS40" s="426"/>
      <c r="XDT40" s="424"/>
      <c r="XDU40" s="426"/>
      <c r="XDV40" s="424"/>
      <c r="XDW40" s="426"/>
      <c r="XDX40" s="424"/>
      <c r="XDY40" s="426"/>
      <c r="XDZ40" s="424"/>
      <c r="XEA40" s="426"/>
      <c r="XEB40" s="424"/>
      <c r="XEC40" s="426"/>
      <c r="XED40" s="424"/>
      <c r="XEE40" s="426"/>
      <c r="XEF40" s="424"/>
      <c r="XEG40" s="426"/>
      <c r="XEH40" s="424"/>
      <c r="XEI40" s="426"/>
      <c r="XEJ40" s="424"/>
      <c r="XEK40" s="426"/>
      <c r="XEL40" s="424"/>
      <c r="XEM40" s="426"/>
      <c r="XEN40" s="424"/>
      <c r="XEO40" s="426"/>
      <c r="XEP40" s="424"/>
      <c r="XEQ40" s="426"/>
      <c r="XER40" s="424"/>
      <c r="XES40" s="426"/>
      <c r="XET40" s="424"/>
      <c r="XEU40" s="426"/>
      <c r="XEV40" s="424"/>
      <c r="XEW40" s="426"/>
      <c r="XEX40" s="424"/>
      <c r="XEY40" s="426"/>
      <c r="XEZ40" s="424"/>
      <c r="XFA40" s="426"/>
      <c r="XFB40" s="424"/>
      <c r="XFC40" s="426"/>
      <c r="XFD40" s="424"/>
    </row>
    <row r="41" spans="2:16384" ht="67.5" customHeight="1" x14ac:dyDescent="0.25">
      <c r="B41" s="369" t="s">
        <v>1227</v>
      </c>
      <c r="C41" s="425"/>
      <c r="D41" s="424"/>
      <c r="E41" s="425"/>
      <c r="F41" s="424"/>
      <c r="G41" s="425"/>
      <c r="H41" s="424"/>
      <c r="I41" s="425"/>
      <c r="J41" s="424"/>
      <c r="K41" s="425"/>
      <c r="L41" s="424"/>
      <c r="M41" s="425"/>
      <c r="N41" s="424"/>
      <c r="O41" s="425"/>
      <c r="P41" s="424"/>
      <c r="Q41" s="425"/>
      <c r="R41" s="424"/>
      <c r="S41" s="425"/>
      <c r="T41" s="424"/>
      <c r="U41" s="425"/>
      <c r="V41" s="424"/>
      <c r="W41" s="425"/>
      <c r="X41" s="424"/>
      <c r="Y41" s="425"/>
      <c r="Z41" s="424"/>
      <c r="AA41" s="425"/>
      <c r="AB41" s="424"/>
      <c r="AC41" s="425"/>
      <c r="AD41" s="424"/>
      <c r="AE41" s="425"/>
      <c r="AF41" s="424"/>
      <c r="AG41" s="425"/>
      <c r="AH41" s="424"/>
      <c r="AI41" s="425"/>
      <c r="AJ41" s="424"/>
      <c r="AK41" s="425"/>
      <c r="AL41" s="424"/>
      <c r="AM41" s="425"/>
      <c r="AN41" s="424"/>
      <c r="AO41" s="425"/>
      <c r="AP41" s="424"/>
      <c r="AQ41" s="425"/>
      <c r="AR41" s="424"/>
      <c r="AS41" s="425"/>
      <c r="AT41" s="424"/>
      <c r="AU41" s="425"/>
      <c r="AV41" s="424"/>
      <c r="AW41" s="425"/>
      <c r="AX41" s="424"/>
      <c r="AY41" s="425"/>
      <c r="AZ41" s="424"/>
      <c r="BA41" s="425"/>
      <c r="BB41" s="424"/>
      <c r="BC41" s="425"/>
      <c r="BD41" s="424"/>
      <c r="BE41" s="425"/>
      <c r="BF41" s="424"/>
      <c r="BG41" s="425"/>
      <c r="BH41" s="424"/>
      <c r="BI41" s="425"/>
      <c r="BJ41" s="424"/>
      <c r="BK41" s="425"/>
      <c r="BL41" s="424"/>
      <c r="BM41" s="425"/>
      <c r="BN41" s="424"/>
      <c r="BO41" s="425"/>
      <c r="BP41" s="424"/>
      <c r="BQ41" s="425"/>
      <c r="BR41" s="424"/>
      <c r="BS41" s="425"/>
      <c r="BT41" s="424"/>
      <c r="BU41" s="425"/>
      <c r="BV41" s="424"/>
      <c r="BW41" s="425"/>
      <c r="BX41" s="424"/>
      <c r="BY41" s="425"/>
      <c r="BZ41" s="424"/>
      <c r="CA41" s="425"/>
      <c r="CB41" s="424"/>
      <c r="CC41" s="425"/>
      <c r="CD41" s="424"/>
      <c r="CE41" s="425"/>
      <c r="CF41" s="424"/>
      <c r="CG41" s="425"/>
      <c r="CH41" s="424"/>
      <c r="CI41" s="425"/>
      <c r="CJ41" s="424"/>
      <c r="CK41" s="425"/>
      <c r="CL41" s="424"/>
      <c r="CM41" s="425"/>
      <c r="CN41" s="424"/>
      <c r="CO41" s="425"/>
      <c r="CP41" s="424"/>
      <c r="CQ41" s="425"/>
      <c r="CR41" s="424"/>
      <c r="CS41" s="425"/>
      <c r="CT41" s="424"/>
      <c r="CU41" s="425"/>
      <c r="CV41" s="424"/>
      <c r="CW41" s="425"/>
      <c r="CX41" s="424"/>
      <c r="CY41" s="425"/>
      <c r="CZ41" s="424"/>
      <c r="DA41" s="425"/>
      <c r="DB41" s="424"/>
      <c r="DC41" s="425"/>
      <c r="DD41" s="424"/>
      <c r="DE41" s="425"/>
      <c r="DF41" s="424"/>
      <c r="DG41" s="425"/>
      <c r="DH41" s="424"/>
      <c r="DI41" s="425"/>
      <c r="DJ41" s="424"/>
      <c r="DK41" s="425"/>
      <c r="DL41" s="424"/>
      <c r="DM41" s="425"/>
      <c r="DN41" s="424"/>
      <c r="DO41" s="425"/>
      <c r="DP41" s="424"/>
      <c r="DQ41" s="425"/>
      <c r="DR41" s="424"/>
      <c r="DS41" s="425"/>
      <c r="DT41" s="424"/>
      <c r="DU41" s="425"/>
      <c r="DV41" s="424"/>
      <c r="DW41" s="425"/>
      <c r="DX41" s="424"/>
      <c r="DY41" s="425"/>
      <c r="DZ41" s="424"/>
      <c r="EA41" s="425"/>
      <c r="EB41" s="424"/>
      <c r="EC41" s="425"/>
      <c r="ED41" s="424"/>
      <c r="EE41" s="425"/>
      <c r="EF41" s="424"/>
      <c r="EG41" s="425"/>
      <c r="EH41" s="424"/>
      <c r="EI41" s="425"/>
      <c r="EJ41" s="424"/>
      <c r="EK41" s="425"/>
      <c r="EL41" s="424"/>
      <c r="EM41" s="425"/>
      <c r="EN41" s="424"/>
      <c r="EO41" s="425"/>
      <c r="EP41" s="424"/>
      <c r="EQ41" s="425"/>
      <c r="ER41" s="424"/>
      <c r="ES41" s="425"/>
      <c r="ET41" s="424"/>
      <c r="EU41" s="425"/>
      <c r="EV41" s="424"/>
      <c r="EW41" s="425"/>
      <c r="EX41" s="424"/>
      <c r="EY41" s="425"/>
      <c r="EZ41" s="424"/>
      <c r="FA41" s="425"/>
      <c r="FB41" s="424"/>
      <c r="FC41" s="425"/>
      <c r="FD41" s="424"/>
      <c r="FE41" s="425"/>
      <c r="FF41" s="424"/>
      <c r="FG41" s="425"/>
      <c r="FH41" s="424"/>
      <c r="FI41" s="425"/>
      <c r="FJ41" s="424"/>
      <c r="FK41" s="425"/>
      <c r="FL41" s="424"/>
      <c r="FM41" s="425"/>
      <c r="FN41" s="424"/>
      <c r="FO41" s="425"/>
      <c r="FP41" s="424"/>
      <c r="FQ41" s="425"/>
      <c r="FR41" s="424"/>
      <c r="FS41" s="425"/>
      <c r="FT41" s="424"/>
      <c r="FU41" s="425"/>
      <c r="FV41" s="424"/>
      <c r="FW41" s="425"/>
      <c r="FX41" s="424"/>
      <c r="FY41" s="425"/>
      <c r="FZ41" s="424"/>
      <c r="GA41" s="425"/>
      <c r="GB41" s="424"/>
      <c r="GC41" s="425"/>
      <c r="GD41" s="424"/>
      <c r="GE41" s="425"/>
      <c r="GF41" s="424"/>
      <c r="GG41" s="425"/>
      <c r="GH41" s="424"/>
      <c r="GI41" s="425"/>
      <c r="GJ41" s="424"/>
      <c r="GK41" s="425"/>
      <c r="GL41" s="424"/>
      <c r="GM41" s="425"/>
      <c r="GN41" s="424"/>
      <c r="GO41" s="425"/>
      <c r="GP41" s="424"/>
      <c r="GQ41" s="425"/>
      <c r="GR41" s="424"/>
      <c r="GS41" s="425"/>
      <c r="GT41" s="424"/>
      <c r="GU41" s="425"/>
      <c r="GV41" s="424"/>
      <c r="GW41" s="425"/>
      <c r="GX41" s="424"/>
      <c r="GY41" s="425"/>
      <c r="GZ41" s="424"/>
      <c r="HA41" s="425"/>
      <c r="HB41" s="424"/>
      <c r="HC41" s="425"/>
      <c r="HD41" s="424"/>
      <c r="HE41" s="425"/>
      <c r="HF41" s="424"/>
      <c r="HG41" s="425"/>
      <c r="HH41" s="424"/>
      <c r="HI41" s="425"/>
      <c r="HJ41" s="424"/>
      <c r="HK41" s="425"/>
      <c r="HL41" s="424"/>
      <c r="HM41" s="425"/>
      <c r="HN41" s="424"/>
      <c r="HO41" s="425"/>
      <c r="HP41" s="424"/>
      <c r="HQ41" s="425"/>
      <c r="HR41" s="424"/>
      <c r="HS41" s="425"/>
      <c r="HT41" s="424"/>
      <c r="HU41" s="425"/>
      <c r="HV41" s="424"/>
      <c r="HW41" s="425"/>
      <c r="HX41" s="424"/>
      <c r="HY41" s="425"/>
      <c r="HZ41" s="424"/>
      <c r="IA41" s="425"/>
      <c r="IB41" s="424"/>
      <c r="IC41" s="425"/>
      <c r="ID41" s="424"/>
      <c r="IE41" s="425"/>
      <c r="IF41" s="424"/>
      <c r="IG41" s="425"/>
      <c r="IH41" s="424"/>
      <c r="II41" s="425"/>
      <c r="IJ41" s="424"/>
      <c r="IK41" s="425"/>
      <c r="IL41" s="424"/>
      <c r="IM41" s="425"/>
      <c r="IN41" s="424"/>
      <c r="IO41" s="425"/>
      <c r="IP41" s="424"/>
      <c r="IQ41" s="425"/>
      <c r="IR41" s="424"/>
      <c r="IS41" s="425"/>
      <c r="IT41" s="424"/>
      <c r="IU41" s="425"/>
      <c r="IV41" s="424"/>
      <c r="IW41" s="425"/>
      <c r="IX41" s="424"/>
      <c r="IY41" s="425"/>
      <c r="IZ41" s="424"/>
      <c r="JA41" s="425"/>
      <c r="JB41" s="424"/>
      <c r="JC41" s="425"/>
      <c r="JD41" s="424"/>
      <c r="JE41" s="425"/>
      <c r="JF41" s="424"/>
      <c r="JG41" s="425"/>
      <c r="JH41" s="424"/>
      <c r="JI41" s="425"/>
      <c r="JJ41" s="424"/>
      <c r="JK41" s="425"/>
      <c r="JL41" s="424"/>
      <c r="JM41" s="425"/>
      <c r="JN41" s="424"/>
      <c r="JO41" s="425"/>
      <c r="JP41" s="424"/>
      <c r="JQ41" s="425"/>
      <c r="JR41" s="424"/>
      <c r="JS41" s="425"/>
      <c r="JT41" s="424"/>
      <c r="JU41" s="425"/>
      <c r="JV41" s="424"/>
      <c r="JW41" s="425"/>
      <c r="JX41" s="424"/>
      <c r="JY41" s="425"/>
      <c r="JZ41" s="424"/>
      <c r="KA41" s="425"/>
      <c r="KB41" s="424"/>
      <c r="KC41" s="425"/>
      <c r="KD41" s="424"/>
      <c r="KE41" s="425"/>
      <c r="KF41" s="424"/>
      <c r="KG41" s="425"/>
      <c r="KH41" s="424"/>
      <c r="KI41" s="425"/>
      <c r="KJ41" s="424"/>
      <c r="KK41" s="425"/>
      <c r="KL41" s="424"/>
      <c r="KM41" s="425"/>
      <c r="KN41" s="424"/>
      <c r="KO41" s="425"/>
      <c r="KP41" s="424"/>
      <c r="KQ41" s="425"/>
      <c r="KR41" s="424"/>
      <c r="KS41" s="425"/>
      <c r="KT41" s="424"/>
      <c r="KU41" s="425"/>
      <c r="KV41" s="424"/>
      <c r="KW41" s="425"/>
      <c r="KX41" s="424"/>
      <c r="KY41" s="425"/>
      <c r="KZ41" s="424"/>
      <c r="LA41" s="425"/>
      <c r="LB41" s="424"/>
      <c r="LC41" s="425"/>
      <c r="LD41" s="424"/>
      <c r="LE41" s="425"/>
      <c r="LF41" s="424"/>
      <c r="LG41" s="425"/>
      <c r="LH41" s="424"/>
      <c r="LI41" s="425"/>
      <c r="LJ41" s="424"/>
      <c r="LK41" s="425"/>
      <c r="LL41" s="424"/>
      <c r="LM41" s="425"/>
      <c r="LN41" s="424"/>
      <c r="LO41" s="425"/>
      <c r="LP41" s="424"/>
      <c r="LQ41" s="425"/>
      <c r="LR41" s="424"/>
      <c r="LS41" s="425"/>
      <c r="LT41" s="424"/>
      <c r="LU41" s="425"/>
      <c r="LV41" s="424"/>
      <c r="LW41" s="425"/>
      <c r="LX41" s="424"/>
      <c r="LY41" s="425"/>
      <c r="LZ41" s="424"/>
      <c r="MA41" s="425"/>
      <c r="MB41" s="424"/>
      <c r="MC41" s="425"/>
      <c r="MD41" s="424"/>
      <c r="ME41" s="425"/>
      <c r="MF41" s="424"/>
      <c r="MG41" s="425"/>
      <c r="MH41" s="424"/>
      <c r="MI41" s="425"/>
      <c r="MJ41" s="424"/>
      <c r="MK41" s="425"/>
      <c r="ML41" s="424"/>
      <c r="MM41" s="425"/>
      <c r="MN41" s="424"/>
      <c r="MO41" s="425"/>
      <c r="MP41" s="424"/>
      <c r="MQ41" s="425"/>
      <c r="MR41" s="424"/>
      <c r="MS41" s="425"/>
      <c r="MT41" s="424"/>
      <c r="MU41" s="425"/>
      <c r="MV41" s="424"/>
      <c r="MW41" s="425"/>
      <c r="MX41" s="424"/>
      <c r="MY41" s="425"/>
      <c r="MZ41" s="424"/>
      <c r="NA41" s="425"/>
      <c r="NB41" s="424"/>
      <c r="NC41" s="425"/>
      <c r="ND41" s="424"/>
      <c r="NE41" s="425"/>
      <c r="NF41" s="424"/>
      <c r="NG41" s="425"/>
      <c r="NH41" s="424"/>
      <c r="NI41" s="425"/>
      <c r="NJ41" s="424"/>
      <c r="NK41" s="425"/>
      <c r="NL41" s="424"/>
      <c r="NM41" s="425"/>
      <c r="NN41" s="424"/>
      <c r="NO41" s="425"/>
      <c r="NP41" s="424"/>
      <c r="NQ41" s="425"/>
      <c r="NR41" s="424"/>
      <c r="NS41" s="425"/>
      <c r="NT41" s="424"/>
      <c r="NU41" s="425"/>
      <c r="NV41" s="424"/>
      <c r="NW41" s="425"/>
      <c r="NX41" s="424"/>
      <c r="NY41" s="425"/>
      <c r="NZ41" s="424"/>
      <c r="OA41" s="425"/>
      <c r="OB41" s="424"/>
      <c r="OC41" s="425"/>
      <c r="OD41" s="424"/>
      <c r="OE41" s="425"/>
      <c r="OF41" s="424"/>
      <c r="OG41" s="425"/>
      <c r="OH41" s="424"/>
      <c r="OI41" s="425"/>
      <c r="OJ41" s="424"/>
      <c r="OK41" s="425"/>
      <c r="OL41" s="424"/>
      <c r="OM41" s="425"/>
      <c r="ON41" s="424"/>
      <c r="OO41" s="425"/>
      <c r="OP41" s="424"/>
      <c r="OQ41" s="425"/>
      <c r="OR41" s="424"/>
      <c r="OS41" s="425"/>
      <c r="OT41" s="424"/>
      <c r="OU41" s="425"/>
      <c r="OV41" s="424"/>
      <c r="OW41" s="425"/>
      <c r="OX41" s="424"/>
      <c r="OY41" s="425"/>
      <c r="OZ41" s="424"/>
      <c r="PA41" s="425"/>
      <c r="PB41" s="424"/>
      <c r="PC41" s="425"/>
      <c r="PD41" s="424"/>
      <c r="PE41" s="425"/>
      <c r="PF41" s="424"/>
      <c r="PG41" s="425"/>
      <c r="PH41" s="424"/>
      <c r="PI41" s="425"/>
      <c r="PJ41" s="424"/>
      <c r="PK41" s="425"/>
      <c r="PL41" s="424"/>
      <c r="PM41" s="425"/>
      <c r="PN41" s="424"/>
      <c r="PO41" s="425"/>
      <c r="PP41" s="424"/>
      <c r="PQ41" s="425"/>
      <c r="PR41" s="424"/>
      <c r="PS41" s="425"/>
      <c r="PT41" s="424"/>
      <c r="PU41" s="425"/>
      <c r="PV41" s="424"/>
      <c r="PW41" s="425"/>
      <c r="PX41" s="424"/>
      <c r="PY41" s="425"/>
      <c r="PZ41" s="424"/>
      <c r="QA41" s="425"/>
      <c r="QB41" s="424"/>
      <c r="QC41" s="425"/>
      <c r="QD41" s="424"/>
      <c r="QE41" s="425"/>
      <c r="QF41" s="424"/>
      <c r="QG41" s="425"/>
      <c r="QH41" s="424"/>
      <c r="QI41" s="425"/>
      <c r="QJ41" s="424"/>
      <c r="QK41" s="425"/>
      <c r="QL41" s="424"/>
      <c r="QM41" s="425"/>
      <c r="QN41" s="424"/>
      <c r="QO41" s="425"/>
      <c r="QP41" s="424"/>
      <c r="QQ41" s="425"/>
      <c r="QR41" s="424"/>
      <c r="QS41" s="425"/>
      <c r="QT41" s="424"/>
      <c r="QU41" s="425"/>
      <c r="QV41" s="424"/>
      <c r="QW41" s="425"/>
      <c r="QX41" s="424"/>
      <c r="QY41" s="425"/>
      <c r="QZ41" s="424"/>
      <c r="RA41" s="425"/>
      <c r="RB41" s="424"/>
      <c r="RC41" s="425"/>
      <c r="RD41" s="424"/>
      <c r="RE41" s="425"/>
      <c r="RF41" s="424"/>
      <c r="RG41" s="425"/>
      <c r="RH41" s="424"/>
      <c r="RI41" s="425"/>
      <c r="RJ41" s="424"/>
      <c r="RK41" s="425"/>
      <c r="RL41" s="424"/>
      <c r="RM41" s="425"/>
      <c r="RN41" s="424"/>
      <c r="RO41" s="425"/>
      <c r="RP41" s="424"/>
      <c r="RQ41" s="425"/>
      <c r="RR41" s="424"/>
      <c r="RS41" s="425"/>
      <c r="RT41" s="424"/>
      <c r="RU41" s="425"/>
      <c r="RV41" s="424"/>
      <c r="RW41" s="425"/>
      <c r="RX41" s="424"/>
      <c r="RY41" s="425"/>
      <c r="RZ41" s="424"/>
      <c r="SA41" s="425"/>
      <c r="SB41" s="424"/>
      <c r="SC41" s="425"/>
      <c r="SD41" s="424"/>
      <c r="SE41" s="425"/>
      <c r="SF41" s="424"/>
      <c r="SG41" s="425"/>
      <c r="SH41" s="424"/>
      <c r="SI41" s="425"/>
      <c r="SJ41" s="424"/>
      <c r="SK41" s="425"/>
      <c r="SL41" s="424"/>
      <c r="SM41" s="425"/>
      <c r="SN41" s="424"/>
      <c r="SO41" s="425"/>
      <c r="SP41" s="424"/>
      <c r="SQ41" s="425"/>
      <c r="SR41" s="424"/>
      <c r="SS41" s="425"/>
      <c r="ST41" s="424"/>
      <c r="SU41" s="425"/>
      <c r="SV41" s="424"/>
      <c r="SW41" s="425"/>
      <c r="SX41" s="424"/>
      <c r="SY41" s="425"/>
      <c r="SZ41" s="424"/>
      <c r="TA41" s="425"/>
      <c r="TB41" s="424"/>
      <c r="TC41" s="425"/>
      <c r="TD41" s="424"/>
      <c r="TE41" s="425"/>
      <c r="TF41" s="424"/>
      <c r="TG41" s="425"/>
      <c r="TH41" s="424"/>
      <c r="TI41" s="425"/>
      <c r="TJ41" s="424"/>
      <c r="TK41" s="425"/>
      <c r="TL41" s="424"/>
      <c r="TM41" s="425"/>
      <c r="TN41" s="424"/>
      <c r="TO41" s="425"/>
      <c r="TP41" s="424"/>
      <c r="TQ41" s="425"/>
      <c r="TR41" s="424"/>
      <c r="TS41" s="425"/>
      <c r="TT41" s="424"/>
      <c r="TU41" s="425"/>
      <c r="TV41" s="424"/>
      <c r="TW41" s="425"/>
      <c r="TX41" s="424"/>
      <c r="TY41" s="425"/>
      <c r="TZ41" s="424"/>
      <c r="UA41" s="425"/>
      <c r="UB41" s="424"/>
      <c r="UC41" s="425"/>
      <c r="UD41" s="424"/>
      <c r="UE41" s="425"/>
      <c r="UF41" s="424"/>
      <c r="UG41" s="425"/>
      <c r="UH41" s="424"/>
      <c r="UI41" s="425"/>
      <c r="UJ41" s="424"/>
      <c r="UK41" s="425"/>
      <c r="UL41" s="424"/>
      <c r="UM41" s="425"/>
      <c r="UN41" s="424"/>
      <c r="UO41" s="425"/>
      <c r="UP41" s="424"/>
      <c r="UQ41" s="425"/>
      <c r="UR41" s="424"/>
      <c r="US41" s="425"/>
      <c r="UT41" s="424"/>
      <c r="UU41" s="425"/>
      <c r="UV41" s="424"/>
      <c r="UW41" s="425"/>
      <c r="UX41" s="424"/>
      <c r="UY41" s="425"/>
      <c r="UZ41" s="424"/>
      <c r="VA41" s="425"/>
      <c r="VB41" s="424"/>
      <c r="VC41" s="425"/>
      <c r="VD41" s="424"/>
      <c r="VE41" s="425"/>
      <c r="VF41" s="424"/>
      <c r="VG41" s="425"/>
      <c r="VH41" s="424"/>
      <c r="VI41" s="425"/>
      <c r="VJ41" s="424"/>
      <c r="VK41" s="425"/>
      <c r="VL41" s="424"/>
      <c r="VM41" s="425"/>
      <c r="VN41" s="424"/>
      <c r="VO41" s="425"/>
      <c r="VP41" s="424"/>
      <c r="VQ41" s="425"/>
      <c r="VR41" s="424"/>
      <c r="VS41" s="425"/>
      <c r="VT41" s="424"/>
      <c r="VU41" s="425"/>
      <c r="VV41" s="424"/>
      <c r="VW41" s="425"/>
      <c r="VX41" s="424"/>
      <c r="VY41" s="425"/>
      <c r="VZ41" s="424"/>
      <c r="WA41" s="425"/>
      <c r="WB41" s="424"/>
      <c r="WC41" s="425"/>
      <c r="WD41" s="424"/>
      <c r="WE41" s="425"/>
      <c r="WF41" s="424"/>
      <c r="WG41" s="425"/>
      <c r="WH41" s="424"/>
      <c r="WI41" s="425"/>
      <c r="WJ41" s="424"/>
      <c r="WK41" s="425"/>
      <c r="WL41" s="424"/>
      <c r="WM41" s="425"/>
      <c r="WN41" s="424"/>
      <c r="WO41" s="425"/>
      <c r="WP41" s="424"/>
      <c r="WQ41" s="425"/>
      <c r="WR41" s="424"/>
      <c r="WS41" s="425"/>
      <c r="WT41" s="424"/>
      <c r="WU41" s="425"/>
      <c r="WV41" s="424"/>
      <c r="WW41" s="425"/>
      <c r="WX41" s="424"/>
      <c r="WY41" s="425"/>
      <c r="WZ41" s="424"/>
      <c r="XA41" s="425"/>
      <c r="XB41" s="424"/>
      <c r="XC41" s="425"/>
      <c r="XD41" s="424"/>
      <c r="XE41" s="425"/>
      <c r="XF41" s="424"/>
      <c r="XG41" s="425"/>
      <c r="XH41" s="424"/>
      <c r="XI41" s="425"/>
      <c r="XJ41" s="424"/>
      <c r="XK41" s="425"/>
      <c r="XL41" s="424"/>
      <c r="XM41" s="425"/>
      <c r="XN41" s="424"/>
      <c r="XO41" s="425"/>
      <c r="XP41" s="424"/>
      <c r="XQ41" s="425"/>
      <c r="XR41" s="424"/>
      <c r="XS41" s="425"/>
      <c r="XT41" s="424"/>
      <c r="XU41" s="425"/>
      <c r="XV41" s="424"/>
      <c r="XW41" s="425"/>
      <c r="XX41" s="424"/>
      <c r="XY41" s="425"/>
      <c r="XZ41" s="424"/>
      <c r="YA41" s="425"/>
      <c r="YB41" s="424"/>
      <c r="YC41" s="425"/>
      <c r="YD41" s="424"/>
      <c r="YE41" s="425"/>
      <c r="YF41" s="424"/>
      <c r="YG41" s="425"/>
      <c r="YH41" s="424"/>
      <c r="YI41" s="425"/>
      <c r="YJ41" s="424"/>
      <c r="YK41" s="425"/>
      <c r="YL41" s="424"/>
      <c r="YM41" s="425"/>
      <c r="YN41" s="424"/>
      <c r="YO41" s="425"/>
      <c r="YP41" s="424"/>
      <c r="YQ41" s="425"/>
      <c r="YR41" s="424"/>
      <c r="YS41" s="425"/>
      <c r="YT41" s="424"/>
      <c r="YU41" s="425"/>
      <c r="YV41" s="424"/>
      <c r="YW41" s="425"/>
      <c r="YX41" s="424"/>
      <c r="YY41" s="425"/>
      <c r="YZ41" s="424"/>
      <c r="ZA41" s="425"/>
      <c r="ZB41" s="424"/>
      <c r="ZC41" s="425"/>
      <c r="ZD41" s="424"/>
      <c r="ZE41" s="425"/>
      <c r="ZF41" s="424"/>
      <c r="ZG41" s="425"/>
      <c r="ZH41" s="424"/>
      <c r="ZI41" s="425"/>
      <c r="ZJ41" s="424"/>
      <c r="ZK41" s="425"/>
      <c r="ZL41" s="424"/>
      <c r="ZM41" s="425"/>
      <c r="ZN41" s="424"/>
      <c r="ZO41" s="425"/>
      <c r="ZP41" s="424"/>
      <c r="ZQ41" s="425"/>
      <c r="ZR41" s="424"/>
      <c r="ZS41" s="425"/>
      <c r="ZT41" s="424"/>
      <c r="ZU41" s="425"/>
      <c r="ZV41" s="424"/>
      <c r="ZW41" s="425"/>
      <c r="ZX41" s="424"/>
      <c r="ZY41" s="425"/>
      <c r="ZZ41" s="424"/>
      <c r="AAA41" s="425"/>
      <c r="AAB41" s="424"/>
      <c r="AAC41" s="425"/>
      <c r="AAD41" s="424"/>
      <c r="AAE41" s="425"/>
      <c r="AAF41" s="424"/>
      <c r="AAG41" s="425"/>
      <c r="AAH41" s="424"/>
      <c r="AAI41" s="425"/>
      <c r="AAJ41" s="424"/>
      <c r="AAK41" s="425"/>
      <c r="AAL41" s="424"/>
      <c r="AAM41" s="425"/>
      <c r="AAN41" s="424"/>
      <c r="AAO41" s="425"/>
      <c r="AAP41" s="424"/>
      <c r="AAQ41" s="425"/>
      <c r="AAR41" s="424"/>
      <c r="AAS41" s="425"/>
      <c r="AAT41" s="424"/>
      <c r="AAU41" s="425"/>
      <c r="AAV41" s="424"/>
      <c r="AAW41" s="425"/>
      <c r="AAX41" s="424"/>
      <c r="AAY41" s="425"/>
      <c r="AAZ41" s="424"/>
      <c r="ABA41" s="425"/>
      <c r="ABB41" s="424"/>
      <c r="ABC41" s="425"/>
      <c r="ABD41" s="424"/>
      <c r="ABE41" s="425"/>
      <c r="ABF41" s="424"/>
      <c r="ABG41" s="425"/>
      <c r="ABH41" s="424"/>
      <c r="ABI41" s="425"/>
      <c r="ABJ41" s="424"/>
      <c r="ABK41" s="425"/>
      <c r="ABL41" s="424"/>
      <c r="ABM41" s="425"/>
      <c r="ABN41" s="424"/>
      <c r="ABO41" s="425"/>
      <c r="ABP41" s="424"/>
      <c r="ABQ41" s="425"/>
      <c r="ABR41" s="424"/>
      <c r="ABS41" s="425"/>
      <c r="ABT41" s="424"/>
      <c r="ABU41" s="425"/>
      <c r="ABV41" s="424"/>
      <c r="ABW41" s="425"/>
      <c r="ABX41" s="424"/>
      <c r="ABY41" s="425"/>
      <c r="ABZ41" s="424"/>
      <c r="ACA41" s="425"/>
      <c r="ACB41" s="424"/>
      <c r="ACC41" s="425"/>
      <c r="ACD41" s="424"/>
      <c r="ACE41" s="425"/>
      <c r="ACF41" s="424"/>
      <c r="ACG41" s="425"/>
      <c r="ACH41" s="424"/>
      <c r="ACI41" s="425"/>
      <c r="ACJ41" s="424"/>
      <c r="ACK41" s="425"/>
      <c r="ACL41" s="424"/>
      <c r="ACM41" s="425"/>
      <c r="ACN41" s="424"/>
      <c r="ACO41" s="425"/>
      <c r="ACP41" s="424"/>
      <c r="ACQ41" s="425"/>
      <c r="ACR41" s="424"/>
      <c r="ACS41" s="425"/>
      <c r="ACT41" s="424"/>
      <c r="ACU41" s="425"/>
      <c r="ACV41" s="424"/>
      <c r="ACW41" s="425"/>
      <c r="ACX41" s="424"/>
      <c r="ACY41" s="425"/>
      <c r="ACZ41" s="424"/>
      <c r="ADA41" s="425"/>
      <c r="ADB41" s="424"/>
      <c r="ADC41" s="425"/>
      <c r="ADD41" s="424"/>
      <c r="ADE41" s="425"/>
      <c r="ADF41" s="424"/>
      <c r="ADG41" s="425"/>
      <c r="ADH41" s="424"/>
      <c r="ADI41" s="425"/>
      <c r="ADJ41" s="424"/>
      <c r="ADK41" s="425"/>
      <c r="ADL41" s="424"/>
      <c r="ADM41" s="425"/>
      <c r="ADN41" s="424"/>
      <c r="ADO41" s="425"/>
      <c r="ADP41" s="424"/>
      <c r="ADQ41" s="425"/>
      <c r="ADR41" s="424"/>
      <c r="ADS41" s="425"/>
      <c r="ADT41" s="424"/>
      <c r="ADU41" s="425"/>
      <c r="ADV41" s="424"/>
      <c r="ADW41" s="425"/>
      <c r="ADX41" s="424"/>
      <c r="ADY41" s="425"/>
      <c r="ADZ41" s="424"/>
      <c r="AEA41" s="425"/>
      <c r="AEB41" s="424"/>
      <c r="AEC41" s="425"/>
      <c r="AED41" s="424"/>
      <c r="AEE41" s="425"/>
      <c r="AEF41" s="424"/>
      <c r="AEG41" s="425"/>
      <c r="AEH41" s="424"/>
      <c r="AEI41" s="425"/>
      <c r="AEJ41" s="424"/>
      <c r="AEK41" s="425"/>
      <c r="AEL41" s="424"/>
      <c r="AEM41" s="425"/>
      <c r="AEN41" s="424"/>
      <c r="AEO41" s="425"/>
      <c r="AEP41" s="424"/>
      <c r="AEQ41" s="425"/>
      <c r="AER41" s="424"/>
      <c r="AES41" s="425"/>
      <c r="AET41" s="424"/>
      <c r="AEU41" s="425"/>
      <c r="AEV41" s="424"/>
      <c r="AEW41" s="425"/>
      <c r="AEX41" s="424"/>
      <c r="AEY41" s="425"/>
      <c r="AEZ41" s="424"/>
      <c r="AFA41" s="425"/>
      <c r="AFB41" s="424"/>
      <c r="AFC41" s="425"/>
      <c r="AFD41" s="424"/>
      <c r="AFE41" s="425"/>
      <c r="AFF41" s="424"/>
      <c r="AFG41" s="425"/>
      <c r="AFH41" s="424"/>
      <c r="AFI41" s="425"/>
      <c r="AFJ41" s="424"/>
      <c r="AFK41" s="425"/>
      <c r="AFL41" s="424"/>
      <c r="AFM41" s="425"/>
      <c r="AFN41" s="424"/>
      <c r="AFO41" s="425"/>
      <c r="AFP41" s="424"/>
      <c r="AFQ41" s="425"/>
      <c r="AFR41" s="424"/>
      <c r="AFS41" s="425"/>
      <c r="AFT41" s="424"/>
      <c r="AFU41" s="425"/>
      <c r="AFV41" s="424"/>
      <c r="AFW41" s="425"/>
      <c r="AFX41" s="424"/>
      <c r="AFY41" s="425"/>
      <c r="AFZ41" s="424"/>
      <c r="AGA41" s="425"/>
      <c r="AGB41" s="424"/>
      <c r="AGC41" s="425"/>
      <c r="AGD41" s="424"/>
      <c r="AGE41" s="425"/>
      <c r="AGF41" s="424"/>
      <c r="AGG41" s="425"/>
      <c r="AGH41" s="424"/>
      <c r="AGI41" s="425"/>
      <c r="AGJ41" s="424"/>
      <c r="AGK41" s="425"/>
      <c r="AGL41" s="424"/>
      <c r="AGM41" s="425"/>
      <c r="AGN41" s="424"/>
      <c r="AGO41" s="425"/>
      <c r="AGP41" s="424"/>
      <c r="AGQ41" s="425"/>
      <c r="AGR41" s="424"/>
      <c r="AGS41" s="425"/>
      <c r="AGT41" s="424"/>
      <c r="AGU41" s="425"/>
      <c r="AGV41" s="424"/>
      <c r="AGW41" s="425"/>
      <c r="AGX41" s="424"/>
      <c r="AGY41" s="425"/>
      <c r="AGZ41" s="424"/>
      <c r="AHA41" s="425"/>
      <c r="AHB41" s="424"/>
      <c r="AHC41" s="425"/>
      <c r="AHD41" s="424"/>
      <c r="AHE41" s="425"/>
      <c r="AHF41" s="424"/>
      <c r="AHG41" s="425"/>
      <c r="AHH41" s="424"/>
      <c r="AHI41" s="425"/>
      <c r="AHJ41" s="424"/>
      <c r="AHK41" s="425"/>
      <c r="AHL41" s="424"/>
      <c r="AHM41" s="425"/>
      <c r="AHN41" s="424"/>
      <c r="AHO41" s="425"/>
      <c r="AHP41" s="424"/>
      <c r="AHQ41" s="425"/>
      <c r="AHR41" s="424"/>
      <c r="AHS41" s="425"/>
      <c r="AHT41" s="424"/>
      <c r="AHU41" s="425"/>
      <c r="AHV41" s="424"/>
      <c r="AHW41" s="425"/>
      <c r="AHX41" s="424"/>
      <c r="AHY41" s="425"/>
      <c r="AHZ41" s="424"/>
      <c r="AIA41" s="425"/>
      <c r="AIB41" s="424"/>
      <c r="AIC41" s="425"/>
      <c r="AID41" s="424"/>
      <c r="AIE41" s="425"/>
      <c r="AIF41" s="424"/>
      <c r="AIG41" s="425"/>
      <c r="AIH41" s="424"/>
      <c r="AII41" s="425"/>
      <c r="AIJ41" s="424"/>
      <c r="AIK41" s="425"/>
      <c r="AIL41" s="424"/>
      <c r="AIM41" s="425"/>
      <c r="AIN41" s="424"/>
      <c r="AIO41" s="425"/>
      <c r="AIP41" s="424"/>
      <c r="AIQ41" s="425"/>
      <c r="AIR41" s="424"/>
      <c r="AIS41" s="425"/>
      <c r="AIT41" s="424"/>
      <c r="AIU41" s="425"/>
      <c r="AIV41" s="424"/>
      <c r="AIW41" s="425"/>
      <c r="AIX41" s="424"/>
      <c r="AIY41" s="425"/>
      <c r="AIZ41" s="424"/>
      <c r="AJA41" s="425"/>
      <c r="AJB41" s="424"/>
      <c r="AJC41" s="425"/>
      <c r="AJD41" s="424"/>
      <c r="AJE41" s="425"/>
      <c r="AJF41" s="424"/>
      <c r="AJG41" s="425"/>
      <c r="AJH41" s="424"/>
      <c r="AJI41" s="425"/>
      <c r="AJJ41" s="424"/>
      <c r="AJK41" s="425"/>
      <c r="AJL41" s="424"/>
      <c r="AJM41" s="425"/>
      <c r="AJN41" s="424"/>
      <c r="AJO41" s="425"/>
      <c r="AJP41" s="424"/>
      <c r="AJQ41" s="425"/>
      <c r="AJR41" s="424"/>
      <c r="AJS41" s="425"/>
      <c r="AJT41" s="424"/>
      <c r="AJU41" s="425"/>
      <c r="AJV41" s="424"/>
      <c r="AJW41" s="425"/>
      <c r="AJX41" s="424"/>
      <c r="AJY41" s="425"/>
      <c r="AJZ41" s="424"/>
      <c r="AKA41" s="425"/>
      <c r="AKB41" s="424"/>
      <c r="AKC41" s="425"/>
      <c r="AKD41" s="424"/>
      <c r="AKE41" s="425"/>
      <c r="AKF41" s="424"/>
      <c r="AKG41" s="425"/>
      <c r="AKH41" s="424"/>
      <c r="AKI41" s="425"/>
      <c r="AKJ41" s="424"/>
      <c r="AKK41" s="425"/>
      <c r="AKL41" s="424"/>
      <c r="AKM41" s="425"/>
      <c r="AKN41" s="424"/>
      <c r="AKO41" s="425"/>
      <c r="AKP41" s="424"/>
      <c r="AKQ41" s="425"/>
      <c r="AKR41" s="424"/>
      <c r="AKS41" s="425"/>
      <c r="AKT41" s="424"/>
      <c r="AKU41" s="425"/>
      <c r="AKV41" s="424"/>
      <c r="AKW41" s="425"/>
      <c r="AKX41" s="424"/>
      <c r="AKY41" s="425"/>
      <c r="AKZ41" s="424"/>
      <c r="ALA41" s="425"/>
      <c r="ALB41" s="424"/>
      <c r="ALC41" s="425"/>
      <c r="ALD41" s="424"/>
      <c r="ALE41" s="425"/>
      <c r="ALF41" s="424"/>
      <c r="ALG41" s="425"/>
      <c r="ALH41" s="424"/>
      <c r="ALI41" s="425"/>
      <c r="ALJ41" s="424"/>
      <c r="ALK41" s="425"/>
      <c r="ALL41" s="424"/>
      <c r="ALM41" s="425"/>
      <c r="ALN41" s="424"/>
      <c r="ALO41" s="425"/>
      <c r="ALP41" s="424"/>
      <c r="ALQ41" s="425"/>
      <c r="ALR41" s="424"/>
      <c r="ALS41" s="425"/>
      <c r="ALT41" s="424"/>
      <c r="ALU41" s="425"/>
      <c r="ALV41" s="424"/>
      <c r="ALW41" s="425"/>
      <c r="ALX41" s="424"/>
      <c r="ALY41" s="425"/>
      <c r="ALZ41" s="424"/>
      <c r="AMA41" s="425"/>
      <c r="AMB41" s="424"/>
      <c r="AMC41" s="425"/>
      <c r="AMD41" s="424"/>
      <c r="AME41" s="425"/>
      <c r="AMF41" s="424"/>
      <c r="AMG41" s="425"/>
      <c r="AMH41" s="424"/>
      <c r="AMI41" s="425"/>
      <c r="AMJ41" s="424"/>
      <c r="AMK41" s="425"/>
      <c r="AML41" s="424"/>
      <c r="AMM41" s="425"/>
      <c r="AMN41" s="424"/>
      <c r="AMO41" s="425"/>
      <c r="AMP41" s="424"/>
      <c r="AMQ41" s="425"/>
      <c r="AMR41" s="424"/>
      <c r="AMS41" s="425"/>
      <c r="AMT41" s="424"/>
      <c r="AMU41" s="425"/>
      <c r="AMV41" s="424"/>
      <c r="AMW41" s="425"/>
      <c r="AMX41" s="424"/>
      <c r="AMY41" s="425"/>
      <c r="AMZ41" s="424"/>
      <c r="ANA41" s="425"/>
      <c r="ANB41" s="424"/>
      <c r="ANC41" s="425"/>
      <c r="AND41" s="424"/>
      <c r="ANE41" s="425"/>
      <c r="ANF41" s="424"/>
      <c r="ANG41" s="425"/>
      <c r="ANH41" s="424"/>
      <c r="ANI41" s="425"/>
      <c r="ANJ41" s="424"/>
      <c r="ANK41" s="425"/>
      <c r="ANL41" s="424"/>
      <c r="ANM41" s="425"/>
      <c r="ANN41" s="424"/>
      <c r="ANO41" s="425"/>
      <c r="ANP41" s="424"/>
      <c r="ANQ41" s="425"/>
      <c r="ANR41" s="424"/>
      <c r="ANS41" s="425"/>
      <c r="ANT41" s="424"/>
      <c r="ANU41" s="425"/>
      <c r="ANV41" s="424"/>
      <c r="ANW41" s="425"/>
      <c r="ANX41" s="424"/>
      <c r="ANY41" s="425"/>
      <c r="ANZ41" s="424"/>
      <c r="AOA41" s="425"/>
      <c r="AOB41" s="424"/>
      <c r="AOC41" s="425"/>
      <c r="AOD41" s="424"/>
      <c r="AOE41" s="425"/>
      <c r="AOF41" s="424"/>
      <c r="AOG41" s="425"/>
      <c r="AOH41" s="424"/>
      <c r="AOI41" s="425"/>
      <c r="AOJ41" s="424"/>
      <c r="AOK41" s="425"/>
      <c r="AOL41" s="424"/>
      <c r="AOM41" s="425"/>
      <c r="AON41" s="424"/>
      <c r="AOO41" s="425"/>
      <c r="AOP41" s="424"/>
      <c r="AOQ41" s="425"/>
      <c r="AOR41" s="424"/>
      <c r="AOS41" s="425"/>
      <c r="AOT41" s="424"/>
      <c r="AOU41" s="425"/>
      <c r="AOV41" s="424"/>
      <c r="AOW41" s="425"/>
      <c r="AOX41" s="424"/>
      <c r="AOY41" s="425"/>
      <c r="AOZ41" s="424"/>
      <c r="APA41" s="425"/>
      <c r="APB41" s="424"/>
      <c r="APC41" s="425"/>
      <c r="APD41" s="424"/>
      <c r="APE41" s="425"/>
      <c r="APF41" s="424"/>
      <c r="APG41" s="425"/>
      <c r="APH41" s="424"/>
      <c r="API41" s="425"/>
      <c r="APJ41" s="424"/>
      <c r="APK41" s="425"/>
      <c r="APL41" s="424"/>
      <c r="APM41" s="425"/>
      <c r="APN41" s="424"/>
      <c r="APO41" s="425"/>
      <c r="APP41" s="424"/>
      <c r="APQ41" s="425"/>
      <c r="APR41" s="424"/>
      <c r="APS41" s="425"/>
      <c r="APT41" s="424"/>
      <c r="APU41" s="425"/>
      <c r="APV41" s="424"/>
      <c r="APW41" s="425"/>
      <c r="APX41" s="424"/>
      <c r="APY41" s="425"/>
      <c r="APZ41" s="424"/>
      <c r="AQA41" s="425"/>
      <c r="AQB41" s="424"/>
      <c r="AQC41" s="425"/>
      <c r="AQD41" s="424"/>
      <c r="AQE41" s="425"/>
      <c r="AQF41" s="424"/>
      <c r="AQG41" s="425"/>
      <c r="AQH41" s="424"/>
      <c r="AQI41" s="425"/>
      <c r="AQJ41" s="424"/>
      <c r="AQK41" s="425"/>
      <c r="AQL41" s="424"/>
      <c r="AQM41" s="425"/>
      <c r="AQN41" s="424"/>
      <c r="AQO41" s="425"/>
      <c r="AQP41" s="424"/>
      <c r="AQQ41" s="425"/>
      <c r="AQR41" s="424"/>
      <c r="AQS41" s="425"/>
      <c r="AQT41" s="424"/>
      <c r="AQU41" s="425"/>
      <c r="AQV41" s="424"/>
      <c r="AQW41" s="425"/>
      <c r="AQX41" s="424"/>
      <c r="AQY41" s="425"/>
      <c r="AQZ41" s="424"/>
      <c r="ARA41" s="425"/>
      <c r="ARB41" s="424"/>
      <c r="ARC41" s="425"/>
      <c r="ARD41" s="424"/>
      <c r="ARE41" s="425"/>
      <c r="ARF41" s="424"/>
      <c r="ARG41" s="425"/>
      <c r="ARH41" s="424"/>
      <c r="ARI41" s="425"/>
      <c r="ARJ41" s="424"/>
      <c r="ARK41" s="425"/>
      <c r="ARL41" s="424"/>
      <c r="ARM41" s="425"/>
      <c r="ARN41" s="424"/>
      <c r="ARO41" s="425"/>
      <c r="ARP41" s="424"/>
      <c r="ARQ41" s="425"/>
      <c r="ARR41" s="424"/>
      <c r="ARS41" s="425"/>
      <c r="ART41" s="424"/>
      <c r="ARU41" s="425"/>
      <c r="ARV41" s="424"/>
      <c r="ARW41" s="425"/>
      <c r="ARX41" s="424"/>
      <c r="ARY41" s="425"/>
      <c r="ARZ41" s="424"/>
      <c r="ASA41" s="425"/>
      <c r="ASB41" s="424"/>
      <c r="ASC41" s="425"/>
      <c r="ASD41" s="424"/>
      <c r="ASE41" s="425"/>
      <c r="ASF41" s="424"/>
      <c r="ASG41" s="425"/>
      <c r="ASH41" s="424"/>
      <c r="ASI41" s="425"/>
      <c r="ASJ41" s="424"/>
      <c r="ASK41" s="425"/>
      <c r="ASL41" s="424"/>
      <c r="ASM41" s="425"/>
      <c r="ASN41" s="424"/>
      <c r="ASO41" s="425"/>
      <c r="ASP41" s="424"/>
      <c r="ASQ41" s="425"/>
      <c r="ASR41" s="424"/>
      <c r="ASS41" s="425"/>
      <c r="AST41" s="424"/>
      <c r="ASU41" s="425"/>
      <c r="ASV41" s="424"/>
      <c r="ASW41" s="425"/>
      <c r="ASX41" s="424"/>
      <c r="ASY41" s="425"/>
      <c r="ASZ41" s="424"/>
      <c r="ATA41" s="425"/>
      <c r="ATB41" s="424"/>
      <c r="ATC41" s="425"/>
      <c r="ATD41" s="424"/>
      <c r="ATE41" s="425"/>
      <c r="ATF41" s="424"/>
      <c r="ATG41" s="425"/>
      <c r="ATH41" s="424"/>
      <c r="ATI41" s="425"/>
      <c r="ATJ41" s="424"/>
      <c r="ATK41" s="425"/>
      <c r="ATL41" s="424"/>
      <c r="ATM41" s="425"/>
      <c r="ATN41" s="424"/>
      <c r="ATO41" s="425"/>
      <c r="ATP41" s="424"/>
      <c r="ATQ41" s="425"/>
      <c r="ATR41" s="424"/>
      <c r="ATS41" s="425"/>
      <c r="ATT41" s="424"/>
      <c r="ATU41" s="425"/>
      <c r="ATV41" s="424"/>
      <c r="ATW41" s="425"/>
      <c r="ATX41" s="424"/>
      <c r="ATY41" s="425"/>
      <c r="ATZ41" s="424"/>
      <c r="AUA41" s="425"/>
      <c r="AUB41" s="424"/>
      <c r="AUC41" s="425"/>
      <c r="AUD41" s="424"/>
      <c r="AUE41" s="425"/>
      <c r="AUF41" s="424"/>
      <c r="AUG41" s="425"/>
      <c r="AUH41" s="424"/>
      <c r="AUI41" s="425"/>
      <c r="AUJ41" s="424"/>
      <c r="AUK41" s="425"/>
      <c r="AUL41" s="424"/>
      <c r="AUM41" s="425"/>
      <c r="AUN41" s="424"/>
      <c r="AUO41" s="425"/>
      <c r="AUP41" s="424"/>
      <c r="AUQ41" s="425"/>
      <c r="AUR41" s="424"/>
      <c r="AUS41" s="425"/>
      <c r="AUT41" s="424"/>
      <c r="AUU41" s="425"/>
      <c r="AUV41" s="424"/>
      <c r="AUW41" s="425"/>
      <c r="AUX41" s="424"/>
      <c r="AUY41" s="425"/>
      <c r="AUZ41" s="424"/>
      <c r="AVA41" s="425"/>
      <c r="AVB41" s="424"/>
      <c r="AVC41" s="425"/>
      <c r="AVD41" s="424"/>
      <c r="AVE41" s="425"/>
      <c r="AVF41" s="424"/>
      <c r="AVG41" s="425"/>
      <c r="AVH41" s="424"/>
      <c r="AVI41" s="425"/>
      <c r="AVJ41" s="424"/>
      <c r="AVK41" s="425"/>
      <c r="AVL41" s="424"/>
      <c r="AVM41" s="425"/>
      <c r="AVN41" s="424"/>
      <c r="AVO41" s="425"/>
      <c r="AVP41" s="424"/>
      <c r="AVQ41" s="425"/>
      <c r="AVR41" s="424"/>
      <c r="AVS41" s="425"/>
      <c r="AVT41" s="424"/>
      <c r="AVU41" s="425"/>
      <c r="AVV41" s="424"/>
      <c r="AVW41" s="425"/>
      <c r="AVX41" s="424"/>
      <c r="AVY41" s="425"/>
      <c r="AVZ41" s="424"/>
      <c r="AWA41" s="425"/>
      <c r="AWB41" s="424"/>
      <c r="AWC41" s="425"/>
      <c r="AWD41" s="424"/>
      <c r="AWE41" s="425"/>
      <c r="AWF41" s="424"/>
      <c r="AWG41" s="425"/>
      <c r="AWH41" s="424"/>
      <c r="AWI41" s="425"/>
      <c r="AWJ41" s="424"/>
      <c r="AWK41" s="425"/>
      <c r="AWL41" s="424"/>
      <c r="AWM41" s="425"/>
      <c r="AWN41" s="424"/>
      <c r="AWO41" s="425"/>
      <c r="AWP41" s="424"/>
      <c r="AWQ41" s="425"/>
      <c r="AWR41" s="424"/>
      <c r="AWS41" s="425"/>
      <c r="AWT41" s="424"/>
      <c r="AWU41" s="425"/>
      <c r="AWV41" s="424"/>
      <c r="AWW41" s="425"/>
      <c r="AWX41" s="424"/>
      <c r="AWY41" s="425"/>
      <c r="AWZ41" s="424"/>
      <c r="AXA41" s="425"/>
      <c r="AXB41" s="424"/>
      <c r="AXC41" s="425"/>
      <c r="AXD41" s="424"/>
      <c r="AXE41" s="425"/>
      <c r="AXF41" s="424"/>
      <c r="AXG41" s="425"/>
      <c r="AXH41" s="424"/>
      <c r="AXI41" s="425"/>
      <c r="AXJ41" s="424"/>
      <c r="AXK41" s="425"/>
      <c r="AXL41" s="424"/>
      <c r="AXM41" s="425"/>
      <c r="AXN41" s="424"/>
      <c r="AXO41" s="425"/>
      <c r="AXP41" s="424"/>
      <c r="AXQ41" s="425"/>
      <c r="AXR41" s="424"/>
      <c r="AXS41" s="425"/>
      <c r="AXT41" s="424"/>
      <c r="AXU41" s="425"/>
      <c r="AXV41" s="424"/>
      <c r="AXW41" s="425"/>
      <c r="AXX41" s="424"/>
      <c r="AXY41" s="425"/>
      <c r="AXZ41" s="424"/>
      <c r="AYA41" s="425"/>
      <c r="AYB41" s="424"/>
      <c r="AYC41" s="425"/>
      <c r="AYD41" s="424"/>
      <c r="AYE41" s="425"/>
      <c r="AYF41" s="424"/>
      <c r="AYG41" s="425"/>
      <c r="AYH41" s="424"/>
      <c r="AYI41" s="425"/>
      <c r="AYJ41" s="424"/>
      <c r="AYK41" s="425"/>
      <c r="AYL41" s="424"/>
      <c r="AYM41" s="425"/>
      <c r="AYN41" s="424"/>
      <c r="AYO41" s="425"/>
      <c r="AYP41" s="424"/>
      <c r="AYQ41" s="425"/>
      <c r="AYR41" s="424"/>
      <c r="AYS41" s="425"/>
      <c r="AYT41" s="424"/>
      <c r="AYU41" s="425"/>
      <c r="AYV41" s="424"/>
      <c r="AYW41" s="425"/>
      <c r="AYX41" s="424"/>
      <c r="AYY41" s="425"/>
      <c r="AYZ41" s="424"/>
      <c r="AZA41" s="425"/>
      <c r="AZB41" s="424"/>
      <c r="AZC41" s="425"/>
      <c r="AZD41" s="424"/>
      <c r="AZE41" s="425"/>
      <c r="AZF41" s="424"/>
      <c r="AZG41" s="425"/>
      <c r="AZH41" s="424"/>
      <c r="AZI41" s="425"/>
      <c r="AZJ41" s="424"/>
      <c r="AZK41" s="425"/>
      <c r="AZL41" s="424"/>
      <c r="AZM41" s="425"/>
      <c r="AZN41" s="424"/>
      <c r="AZO41" s="425"/>
      <c r="AZP41" s="424"/>
      <c r="AZQ41" s="425"/>
      <c r="AZR41" s="424"/>
      <c r="AZS41" s="425"/>
      <c r="AZT41" s="424"/>
      <c r="AZU41" s="425"/>
      <c r="AZV41" s="424"/>
      <c r="AZW41" s="425"/>
      <c r="AZX41" s="424"/>
      <c r="AZY41" s="425"/>
      <c r="AZZ41" s="424"/>
      <c r="BAA41" s="425"/>
      <c r="BAB41" s="424"/>
      <c r="BAC41" s="425"/>
      <c r="BAD41" s="424"/>
      <c r="BAE41" s="425"/>
      <c r="BAF41" s="424"/>
      <c r="BAG41" s="425"/>
      <c r="BAH41" s="424"/>
      <c r="BAI41" s="425"/>
      <c r="BAJ41" s="424"/>
      <c r="BAK41" s="425"/>
      <c r="BAL41" s="424"/>
      <c r="BAM41" s="425"/>
      <c r="BAN41" s="424"/>
      <c r="BAO41" s="425"/>
      <c r="BAP41" s="424"/>
      <c r="BAQ41" s="425"/>
      <c r="BAR41" s="424"/>
      <c r="BAS41" s="425"/>
      <c r="BAT41" s="424"/>
      <c r="BAU41" s="425"/>
      <c r="BAV41" s="424"/>
      <c r="BAW41" s="425"/>
      <c r="BAX41" s="424"/>
      <c r="BAY41" s="425"/>
      <c r="BAZ41" s="424"/>
      <c r="BBA41" s="425"/>
      <c r="BBB41" s="424"/>
      <c r="BBC41" s="425"/>
      <c r="BBD41" s="424"/>
      <c r="BBE41" s="425"/>
      <c r="BBF41" s="424"/>
      <c r="BBG41" s="425"/>
      <c r="BBH41" s="424"/>
      <c r="BBI41" s="425"/>
      <c r="BBJ41" s="424"/>
      <c r="BBK41" s="425"/>
      <c r="BBL41" s="424"/>
      <c r="BBM41" s="425"/>
      <c r="BBN41" s="424"/>
      <c r="BBO41" s="425"/>
      <c r="BBP41" s="424"/>
      <c r="BBQ41" s="425"/>
      <c r="BBR41" s="424"/>
      <c r="BBS41" s="425"/>
      <c r="BBT41" s="424"/>
      <c r="BBU41" s="425"/>
      <c r="BBV41" s="424"/>
      <c r="BBW41" s="425"/>
      <c r="BBX41" s="424"/>
      <c r="BBY41" s="425"/>
      <c r="BBZ41" s="424"/>
      <c r="BCA41" s="425"/>
      <c r="BCB41" s="424"/>
      <c r="BCC41" s="425"/>
      <c r="BCD41" s="424"/>
      <c r="BCE41" s="425"/>
      <c r="BCF41" s="424"/>
      <c r="BCG41" s="425"/>
      <c r="BCH41" s="424"/>
      <c r="BCI41" s="425"/>
      <c r="BCJ41" s="424"/>
      <c r="BCK41" s="425"/>
      <c r="BCL41" s="424"/>
      <c r="BCM41" s="425"/>
      <c r="BCN41" s="424"/>
      <c r="BCO41" s="425"/>
      <c r="BCP41" s="424"/>
      <c r="BCQ41" s="425"/>
      <c r="BCR41" s="424"/>
      <c r="BCS41" s="425"/>
      <c r="BCT41" s="424"/>
      <c r="BCU41" s="425"/>
      <c r="BCV41" s="424"/>
      <c r="BCW41" s="425"/>
      <c r="BCX41" s="424"/>
      <c r="BCY41" s="425"/>
      <c r="BCZ41" s="424"/>
      <c r="BDA41" s="425"/>
      <c r="BDB41" s="424"/>
      <c r="BDC41" s="425"/>
      <c r="BDD41" s="424"/>
      <c r="BDE41" s="425"/>
      <c r="BDF41" s="424"/>
      <c r="BDG41" s="425"/>
      <c r="BDH41" s="424"/>
      <c r="BDI41" s="425"/>
      <c r="BDJ41" s="424"/>
      <c r="BDK41" s="425"/>
      <c r="BDL41" s="424"/>
      <c r="BDM41" s="425"/>
      <c r="BDN41" s="424"/>
      <c r="BDO41" s="425"/>
      <c r="BDP41" s="424"/>
      <c r="BDQ41" s="425"/>
      <c r="BDR41" s="424"/>
      <c r="BDS41" s="425"/>
      <c r="BDT41" s="424"/>
      <c r="BDU41" s="425"/>
      <c r="BDV41" s="424"/>
      <c r="BDW41" s="425"/>
      <c r="BDX41" s="424"/>
      <c r="BDY41" s="425"/>
      <c r="BDZ41" s="424"/>
      <c r="BEA41" s="425"/>
      <c r="BEB41" s="424"/>
      <c r="BEC41" s="425"/>
      <c r="BED41" s="424"/>
      <c r="BEE41" s="425"/>
      <c r="BEF41" s="424"/>
      <c r="BEG41" s="425"/>
      <c r="BEH41" s="424"/>
      <c r="BEI41" s="425"/>
      <c r="BEJ41" s="424"/>
      <c r="BEK41" s="425"/>
      <c r="BEL41" s="424"/>
      <c r="BEM41" s="425"/>
      <c r="BEN41" s="424"/>
      <c r="BEO41" s="425"/>
      <c r="BEP41" s="424"/>
      <c r="BEQ41" s="425"/>
      <c r="BER41" s="424"/>
      <c r="BES41" s="425"/>
      <c r="BET41" s="424"/>
      <c r="BEU41" s="425"/>
      <c r="BEV41" s="424"/>
      <c r="BEW41" s="425"/>
      <c r="BEX41" s="424"/>
      <c r="BEY41" s="425"/>
      <c r="BEZ41" s="424"/>
      <c r="BFA41" s="425"/>
      <c r="BFB41" s="424"/>
      <c r="BFC41" s="425"/>
      <c r="BFD41" s="424"/>
      <c r="BFE41" s="425"/>
      <c r="BFF41" s="424"/>
      <c r="BFG41" s="425"/>
      <c r="BFH41" s="424"/>
      <c r="BFI41" s="425"/>
      <c r="BFJ41" s="424"/>
      <c r="BFK41" s="425"/>
      <c r="BFL41" s="424"/>
      <c r="BFM41" s="425"/>
      <c r="BFN41" s="424"/>
      <c r="BFO41" s="425"/>
      <c r="BFP41" s="424"/>
      <c r="BFQ41" s="425"/>
      <c r="BFR41" s="424"/>
      <c r="BFS41" s="425"/>
      <c r="BFT41" s="424"/>
      <c r="BFU41" s="425"/>
      <c r="BFV41" s="424"/>
      <c r="BFW41" s="425"/>
      <c r="BFX41" s="424"/>
      <c r="BFY41" s="425"/>
      <c r="BFZ41" s="424"/>
      <c r="BGA41" s="425"/>
      <c r="BGB41" s="424"/>
      <c r="BGC41" s="425"/>
      <c r="BGD41" s="424"/>
      <c r="BGE41" s="425"/>
      <c r="BGF41" s="424"/>
      <c r="BGG41" s="425"/>
      <c r="BGH41" s="424"/>
      <c r="BGI41" s="425"/>
      <c r="BGJ41" s="424"/>
      <c r="BGK41" s="425"/>
      <c r="BGL41" s="424"/>
      <c r="BGM41" s="425"/>
      <c r="BGN41" s="424"/>
      <c r="BGO41" s="425"/>
      <c r="BGP41" s="424"/>
      <c r="BGQ41" s="425"/>
      <c r="BGR41" s="424"/>
      <c r="BGS41" s="425"/>
      <c r="BGT41" s="424"/>
      <c r="BGU41" s="425"/>
      <c r="BGV41" s="424"/>
      <c r="BGW41" s="425"/>
      <c r="BGX41" s="424"/>
      <c r="BGY41" s="425"/>
      <c r="BGZ41" s="424"/>
      <c r="BHA41" s="425"/>
      <c r="BHB41" s="424"/>
      <c r="BHC41" s="425"/>
      <c r="BHD41" s="424"/>
      <c r="BHE41" s="425"/>
      <c r="BHF41" s="424"/>
      <c r="BHG41" s="425"/>
      <c r="BHH41" s="424"/>
      <c r="BHI41" s="425"/>
      <c r="BHJ41" s="424"/>
      <c r="BHK41" s="425"/>
      <c r="BHL41" s="424"/>
      <c r="BHM41" s="425"/>
      <c r="BHN41" s="424"/>
      <c r="BHO41" s="425"/>
      <c r="BHP41" s="424"/>
      <c r="BHQ41" s="425"/>
      <c r="BHR41" s="424"/>
      <c r="BHS41" s="425"/>
      <c r="BHT41" s="424"/>
      <c r="BHU41" s="425"/>
      <c r="BHV41" s="424"/>
      <c r="BHW41" s="425"/>
      <c r="BHX41" s="424"/>
      <c r="BHY41" s="425"/>
      <c r="BHZ41" s="424"/>
      <c r="BIA41" s="425"/>
      <c r="BIB41" s="424"/>
      <c r="BIC41" s="425"/>
      <c r="BID41" s="424"/>
      <c r="BIE41" s="425"/>
      <c r="BIF41" s="424"/>
      <c r="BIG41" s="425"/>
      <c r="BIH41" s="424"/>
      <c r="BII41" s="425"/>
      <c r="BIJ41" s="424"/>
      <c r="BIK41" s="425"/>
      <c r="BIL41" s="424"/>
      <c r="BIM41" s="425"/>
      <c r="BIN41" s="424"/>
      <c r="BIO41" s="425"/>
      <c r="BIP41" s="424"/>
      <c r="BIQ41" s="425"/>
      <c r="BIR41" s="424"/>
      <c r="BIS41" s="425"/>
      <c r="BIT41" s="424"/>
      <c r="BIU41" s="425"/>
      <c r="BIV41" s="424"/>
      <c r="BIW41" s="425"/>
      <c r="BIX41" s="424"/>
      <c r="BIY41" s="425"/>
      <c r="BIZ41" s="424"/>
      <c r="BJA41" s="425"/>
      <c r="BJB41" s="424"/>
      <c r="BJC41" s="425"/>
      <c r="BJD41" s="424"/>
      <c r="BJE41" s="425"/>
      <c r="BJF41" s="424"/>
      <c r="BJG41" s="425"/>
      <c r="BJH41" s="424"/>
      <c r="BJI41" s="425"/>
      <c r="BJJ41" s="424"/>
      <c r="BJK41" s="425"/>
      <c r="BJL41" s="424"/>
      <c r="BJM41" s="425"/>
      <c r="BJN41" s="424"/>
      <c r="BJO41" s="425"/>
      <c r="BJP41" s="424"/>
      <c r="BJQ41" s="425"/>
      <c r="BJR41" s="424"/>
      <c r="BJS41" s="425"/>
      <c r="BJT41" s="424"/>
      <c r="BJU41" s="425"/>
      <c r="BJV41" s="424"/>
      <c r="BJW41" s="425"/>
      <c r="BJX41" s="424"/>
      <c r="BJY41" s="425"/>
      <c r="BJZ41" s="424"/>
      <c r="BKA41" s="425"/>
      <c r="BKB41" s="424"/>
      <c r="BKC41" s="425"/>
      <c r="BKD41" s="424"/>
      <c r="BKE41" s="425"/>
      <c r="BKF41" s="424"/>
      <c r="BKG41" s="425"/>
      <c r="BKH41" s="424"/>
      <c r="BKI41" s="425"/>
      <c r="BKJ41" s="424"/>
      <c r="BKK41" s="425"/>
      <c r="BKL41" s="424"/>
      <c r="BKM41" s="425"/>
      <c r="BKN41" s="424"/>
      <c r="BKO41" s="425"/>
      <c r="BKP41" s="424"/>
      <c r="BKQ41" s="425"/>
      <c r="BKR41" s="424"/>
      <c r="BKS41" s="425"/>
      <c r="BKT41" s="424"/>
      <c r="BKU41" s="425"/>
      <c r="BKV41" s="424"/>
      <c r="BKW41" s="425"/>
      <c r="BKX41" s="424"/>
      <c r="BKY41" s="425"/>
      <c r="BKZ41" s="424"/>
      <c r="BLA41" s="425"/>
      <c r="BLB41" s="424"/>
      <c r="BLC41" s="425"/>
      <c r="BLD41" s="424"/>
      <c r="BLE41" s="425"/>
      <c r="BLF41" s="424"/>
      <c r="BLG41" s="425"/>
      <c r="BLH41" s="424"/>
      <c r="BLI41" s="425"/>
      <c r="BLJ41" s="424"/>
      <c r="BLK41" s="425"/>
      <c r="BLL41" s="424"/>
      <c r="BLM41" s="425"/>
      <c r="BLN41" s="424"/>
      <c r="BLO41" s="425"/>
      <c r="BLP41" s="424"/>
      <c r="BLQ41" s="425"/>
      <c r="BLR41" s="424"/>
      <c r="BLS41" s="425"/>
      <c r="BLT41" s="424"/>
      <c r="BLU41" s="425"/>
      <c r="BLV41" s="424"/>
      <c r="BLW41" s="425"/>
      <c r="BLX41" s="424"/>
      <c r="BLY41" s="425"/>
      <c r="BLZ41" s="424"/>
      <c r="BMA41" s="425"/>
      <c r="BMB41" s="424"/>
      <c r="BMC41" s="425"/>
      <c r="BMD41" s="424"/>
      <c r="BME41" s="425"/>
      <c r="BMF41" s="424"/>
      <c r="BMG41" s="425"/>
      <c r="BMH41" s="424"/>
      <c r="BMI41" s="425"/>
      <c r="BMJ41" s="424"/>
      <c r="BMK41" s="425"/>
      <c r="BML41" s="424"/>
      <c r="BMM41" s="425"/>
      <c r="BMN41" s="424"/>
      <c r="BMO41" s="425"/>
      <c r="BMP41" s="424"/>
      <c r="BMQ41" s="425"/>
      <c r="BMR41" s="424"/>
      <c r="BMS41" s="425"/>
      <c r="BMT41" s="424"/>
      <c r="BMU41" s="425"/>
      <c r="BMV41" s="424"/>
      <c r="BMW41" s="425"/>
      <c r="BMX41" s="424"/>
      <c r="BMY41" s="425"/>
      <c r="BMZ41" s="424"/>
      <c r="BNA41" s="425"/>
      <c r="BNB41" s="424"/>
      <c r="BNC41" s="425"/>
      <c r="BND41" s="424"/>
      <c r="BNE41" s="425"/>
      <c r="BNF41" s="424"/>
      <c r="BNG41" s="425"/>
      <c r="BNH41" s="424"/>
      <c r="BNI41" s="425"/>
      <c r="BNJ41" s="424"/>
      <c r="BNK41" s="425"/>
      <c r="BNL41" s="424"/>
      <c r="BNM41" s="425"/>
      <c r="BNN41" s="424"/>
      <c r="BNO41" s="425"/>
      <c r="BNP41" s="424"/>
      <c r="BNQ41" s="425"/>
      <c r="BNR41" s="424"/>
      <c r="BNS41" s="425"/>
      <c r="BNT41" s="424"/>
      <c r="BNU41" s="425"/>
      <c r="BNV41" s="424"/>
      <c r="BNW41" s="425"/>
      <c r="BNX41" s="424"/>
      <c r="BNY41" s="425"/>
      <c r="BNZ41" s="424"/>
      <c r="BOA41" s="425"/>
      <c r="BOB41" s="424"/>
      <c r="BOC41" s="425"/>
      <c r="BOD41" s="424"/>
      <c r="BOE41" s="425"/>
      <c r="BOF41" s="424"/>
      <c r="BOG41" s="425"/>
      <c r="BOH41" s="424"/>
      <c r="BOI41" s="425"/>
      <c r="BOJ41" s="424"/>
      <c r="BOK41" s="425"/>
      <c r="BOL41" s="424"/>
      <c r="BOM41" s="425"/>
      <c r="BON41" s="424"/>
      <c r="BOO41" s="425"/>
      <c r="BOP41" s="424"/>
      <c r="BOQ41" s="425"/>
      <c r="BOR41" s="424"/>
      <c r="BOS41" s="425"/>
      <c r="BOT41" s="424"/>
      <c r="BOU41" s="425"/>
      <c r="BOV41" s="424"/>
      <c r="BOW41" s="425"/>
      <c r="BOX41" s="424"/>
      <c r="BOY41" s="425"/>
      <c r="BOZ41" s="424"/>
      <c r="BPA41" s="425"/>
      <c r="BPB41" s="424"/>
      <c r="BPC41" s="425"/>
      <c r="BPD41" s="424"/>
      <c r="BPE41" s="425"/>
      <c r="BPF41" s="424"/>
      <c r="BPG41" s="425"/>
      <c r="BPH41" s="424"/>
      <c r="BPI41" s="425"/>
      <c r="BPJ41" s="424"/>
      <c r="BPK41" s="425"/>
      <c r="BPL41" s="424"/>
      <c r="BPM41" s="425"/>
      <c r="BPN41" s="424"/>
      <c r="BPO41" s="425"/>
      <c r="BPP41" s="424"/>
      <c r="BPQ41" s="425"/>
      <c r="BPR41" s="424"/>
      <c r="BPS41" s="425"/>
      <c r="BPT41" s="424"/>
      <c r="BPU41" s="425"/>
      <c r="BPV41" s="424"/>
      <c r="BPW41" s="425"/>
      <c r="BPX41" s="424"/>
      <c r="BPY41" s="425"/>
      <c r="BPZ41" s="424"/>
      <c r="BQA41" s="425"/>
      <c r="BQB41" s="424"/>
      <c r="BQC41" s="425"/>
      <c r="BQD41" s="424"/>
      <c r="BQE41" s="425"/>
      <c r="BQF41" s="424"/>
      <c r="BQG41" s="425"/>
      <c r="BQH41" s="424"/>
      <c r="BQI41" s="425"/>
      <c r="BQJ41" s="424"/>
      <c r="BQK41" s="425"/>
      <c r="BQL41" s="424"/>
      <c r="BQM41" s="425"/>
      <c r="BQN41" s="424"/>
      <c r="BQO41" s="425"/>
      <c r="BQP41" s="424"/>
      <c r="BQQ41" s="425"/>
      <c r="BQR41" s="424"/>
      <c r="BQS41" s="425"/>
      <c r="BQT41" s="424"/>
      <c r="BQU41" s="425"/>
      <c r="BQV41" s="424"/>
      <c r="BQW41" s="425"/>
      <c r="BQX41" s="424"/>
      <c r="BQY41" s="425"/>
      <c r="BQZ41" s="424"/>
      <c r="BRA41" s="425"/>
      <c r="BRB41" s="424"/>
      <c r="BRC41" s="425"/>
      <c r="BRD41" s="424"/>
      <c r="BRE41" s="425"/>
      <c r="BRF41" s="424"/>
      <c r="BRG41" s="425"/>
      <c r="BRH41" s="424"/>
      <c r="BRI41" s="425"/>
      <c r="BRJ41" s="424"/>
      <c r="BRK41" s="425"/>
      <c r="BRL41" s="424"/>
      <c r="BRM41" s="425"/>
      <c r="BRN41" s="424"/>
      <c r="BRO41" s="425"/>
      <c r="BRP41" s="424"/>
      <c r="BRQ41" s="425"/>
      <c r="BRR41" s="424"/>
      <c r="BRS41" s="425"/>
      <c r="BRT41" s="424"/>
      <c r="BRU41" s="425"/>
      <c r="BRV41" s="424"/>
      <c r="BRW41" s="425"/>
      <c r="BRX41" s="424"/>
      <c r="BRY41" s="425"/>
      <c r="BRZ41" s="424"/>
      <c r="BSA41" s="425"/>
      <c r="BSB41" s="424"/>
      <c r="BSC41" s="425"/>
      <c r="BSD41" s="424"/>
      <c r="BSE41" s="425"/>
      <c r="BSF41" s="424"/>
      <c r="BSG41" s="425"/>
      <c r="BSH41" s="424"/>
      <c r="BSI41" s="425"/>
      <c r="BSJ41" s="424"/>
      <c r="BSK41" s="425"/>
      <c r="BSL41" s="424"/>
      <c r="BSM41" s="425"/>
      <c r="BSN41" s="424"/>
      <c r="BSO41" s="425"/>
      <c r="BSP41" s="424"/>
      <c r="BSQ41" s="425"/>
      <c r="BSR41" s="424"/>
      <c r="BSS41" s="425"/>
      <c r="BST41" s="424"/>
      <c r="BSU41" s="425"/>
      <c r="BSV41" s="424"/>
      <c r="BSW41" s="425"/>
      <c r="BSX41" s="424"/>
      <c r="BSY41" s="425"/>
      <c r="BSZ41" s="424"/>
      <c r="BTA41" s="425"/>
      <c r="BTB41" s="424"/>
      <c r="BTC41" s="425"/>
      <c r="BTD41" s="424"/>
      <c r="BTE41" s="425"/>
      <c r="BTF41" s="424"/>
      <c r="BTG41" s="425"/>
      <c r="BTH41" s="424"/>
      <c r="BTI41" s="425"/>
      <c r="BTJ41" s="424"/>
      <c r="BTK41" s="425"/>
      <c r="BTL41" s="424"/>
      <c r="BTM41" s="425"/>
      <c r="BTN41" s="424"/>
      <c r="BTO41" s="425"/>
      <c r="BTP41" s="424"/>
      <c r="BTQ41" s="425"/>
      <c r="BTR41" s="424"/>
      <c r="BTS41" s="425"/>
      <c r="BTT41" s="424"/>
      <c r="BTU41" s="425"/>
      <c r="BTV41" s="424"/>
      <c r="BTW41" s="425"/>
      <c r="BTX41" s="424"/>
      <c r="BTY41" s="425"/>
      <c r="BTZ41" s="424"/>
      <c r="BUA41" s="425"/>
      <c r="BUB41" s="424"/>
      <c r="BUC41" s="425"/>
      <c r="BUD41" s="424"/>
      <c r="BUE41" s="425"/>
      <c r="BUF41" s="424"/>
      <c r="BUG41" s="425"/>
      <c r="BUH41" s="424"/>
      <c r="BUI41" s="425"/>
      <c r="BUJ41" s="424"/>
      <c r="BUK41" s="425"/>
      <c r="BUL41" s="424"/>
      <c r="BUM41" s="425"/>
      <c r="BUN41" s="424"/>
      <c r="BUO41" s="425"/>
      <c r="BUP41" s="424"/>
      <c r="BUQ41" s="425"/>
      <c r="BUR41" s="424"/>
      <c r="BUS41" s="425"/>
      <c r="BUT41" s="424"/>
      <c r="BUU41" s="425"/>
      <c r="BUV41" s="424"/>
      <c r="BUW41" s="425"/>
      <c r="BUX41" s="424"/>
      <c r="BUY41" s="425"/>
      <c r="BUZ41" s="424"/>
      <c r="BVA41" s="425"/>
      <c r="BVB41" s="424"/>
      <c r="BVC41" s="425"/>
      <c r="BVD41" s="424"/>
      <c r="BVE41" s="425"/>
      <c r="BVF41" s="424"/>
      <c r="BVG41" s="425"/>
      <c r="BVH41" s="424"/>
      <c r="BVI41" s="425"/>
      <c r="BVJ41" s="424"/>
      <c r="BVK41" s="425"/>
      <c r="BVL41" s="424"/>
      <c r="BVM41" s="425"/>
      <c r="BVN41" s="424"/>
      <c r="BVO41" s="425"/>
      <c r="BVP41" s="424"/>
      <c r="BVQ41" s="425"/>
      <c r="BVR41" s="424"/>
      <c r="BVS41" s="425"/>
      <c r="BVT41" s="424"/>
      <c r="BVU41" s="425"/>
      <c r="BVV41" s="424"/>
      <c r="BVW41" s="425"/>
      <c r="BVX41" s="424"/>
      <c r="BVY41" s="425"/>
      <c r="BVZ41" s="424"/>
      <c r="BWA41" s="425"/>
      <c r="BWB41" s="424"/>
      <c r="BWC41" s="425"/>
      <c r="BWD41" s="424"/>
      <c r="BWE41" s="425"/>
      <c r="BWF41" s="424"/>
      <c r="BWG41" s="425"/>
      <c r="BWH41" s="424"/>
      <c r="BWI41" s="425"/>
      <c r="BWJ41" s="424"/>
      <c r="BWK41" s="425"/>
      <c r="BWL41" s="424"/>
      <c r="BWM41" s="425"/>
      <c r="BWN41" s="424"/>
      <c r="BWO41" s="425"/>
      <c r="BWP41" s="424"/>
      <c r="BWQ41" s="425"/>
      <c r="BWR41" s="424"/>
      <c r="BWS41" s="425"/>
      <c r="BWT41" s="424"/>
      <c r="BWU41" s="425"/>
      <c r="BWV41" s="424"/>
      <c r="BWW41" s="425"/>
      <c r="BWX41" s="424"/>
      <c r="BWY41" s="425"/>
      <c r="BWZ41" s="424"/>
      <c r="BXA41" s="425"/>
      <c r="BXB41" s="424"/>
      <c r="BXC41" s="425"/>
      <c r="BXD41" s="424"/>
      <c r="BXE41" s="425"/>
      <c r="BXF41" s="424"/>
      <c r="BXG41" s="425"/>
      <c r="BXH41" s="424"/>
      <c r="BXI41" s="425"/>
      <c r="BXJ41" s="424"/>
      <c r="BXK41" s="425"/>
      <c r="BXL41" s="424"/>
      <c r="BXM41" s="425"/>
      <c r="BXN41" s="424"/>
      <c r="BXO41" s="425"/>
      <c r="BXP41" s="424"/>
      <c r="BXQ41" s="425"/>
      <c r="BXR41" s="424"/>
      <c r="BXS41" s="425"/>
      <c r="BXT41" s="424"/>
      <c r="BXU41" s="425"/>
      <c r="BXV41" s="424"/>
      <c r="BXW41" s="425"/>
      <c r="BXX41" s="424"/>
      <c r="BXY41" s="425"/>
      <c r="BXZ41" s="424"/>
      <c r="BYA41" s="425"/>
      <c r="BYB41" s="424"/>
      <c r="BYC41" s="425"/>
      <c r="BYD41" s="424"/>
      <c r="BYE41" s="425"/>
      <c r="BYF41" s="424"/>
      <c r="BYG41" s="425"/>
      <c r="BYH41" s="424"/>
      <c r="BYI41" s="425"/>
      <c r="BYJ41" s="424"/>
      <c r="BYK41" s="425"/>
      <c r="BYL41" s="424"/>
      <c r="BYM41" s="425"/>
      <c r="BYN41" s="424"/>
      <c r="BYO41" s="425"/>
      <c r="BYP41" s="424"/>
      <c r="BYQ41" s="425"/>
      <c r="BYR41" s="424"/>
      <c r="BYS41" s="425"/>
      <c r="BYT41" s="424"/>
      <c r="BYU41" s="425"/>
      <c r="BYV41" s="424"/>
      <c r="BYW41" s="425"/>
      <c r="BYX41" s="424"/>
      <c r="BYY41" s="425"/>
      <c r="BYZ41" s="424"/>
      <c r="BZA41" s="425"/>
      <c r="BZB41" s="424"/>
      <c r="BZC41" s="425"/>
      <c r="BZD41" s="424"/>
      <c r="BZE41" s="425"/>
      <c r="BZF41" s="424"/>
      <c r="BZG41" s="425"/>
      <c r="BZH41" s="424"/>
      <c r="BZI41" s="425"/>
      <c r="BZJ41" s="424"/>
      <c r="BZK41" s="425"/>
      <c r="BZL41" s="424"/>
      <c r="BZM41" s="425"/>
      <c r="BZN41" s="424"/>
      <c r="BZO41" s="425"/>
      <c r="BZP41" s="424"/>
      <c r="BZQ41" s="425"/>
      <c r="BZR41" s="424"/>
      <c r="BZS41" s="425"/>
      <c r="BZT41" s="424"/>
      <c r="BZU41" s="425"/>
      <c r="BZV41" s="424"/>
      <c r="BZW41" s="425"/>
      <c r="BZX41" s="424"/>
      <c r="BZY41" s="425"/>
      <c r="BZZ41" s="424"/>
      <c r="CAA41" s="425"/>
      <c r="CAB41" s="424"/>
      <c r="CAC41" s="425"/>
      <c r="CAD41" s="424"/>
      <c r="CAE41" s="425"/>
      <c r="CAF41" s="424"/>
      <c r="CAG41" s="425"/>
      <c r="CAH41" s="424"/>
      <c r="CAI41" s="425"/>
      <c r="CAJ41" s="424"/>
      <c r="CAK41" s="425"/>
      <c r="CAL41" s="424"/>
      <c r="CAM41" s="425"/>
      <c r="CAN41" s="424"/>
      <c r="CAO41" s="425"/>
      <c r="CAP41" s="424"/>
      <c r="CAQ41" s="425"/>
      <c r="CAR41" s="424"/>
      <c r="CAS41" s="425"/>
      <c r="CAT41" s="424"/>
      <c r="CAU41" s="425"/>
      <c r="CAV41" s="424"/>
      <c r="CAW41" s="425"/>
      <c r="CAX41" s="424"/>
      <c r="CAY41" s="425"/>
      <c r="CAZ41" s="424"/>
      <c r="CBA41" s="425"/>
      <c r="CBB41" s="424"/>
      <c r="CBC41" s="425"/>
      <c r="CBD41" s="424"/>
      <c r="CBE41" s="425"/>
      <c r="CBF41" s="424"/>
      <c r="CBG41" s="425"/>
      <c r="CBH41" s="424"/>
      <c r="CBI41" s="425"/>
      <c r="CBJ41" s="424"/>
      <c r="CBK41" s="425"/>
      <c r="CBL41" s="424"/>
      <c r="CBM41" s="425"/>
      <c r="CBN41" s="424"/>
      <c r="CBO41" s="425"/>
      <c r="CBP41" s="424"/>
      <c r="CBQ41" s="425"/>
      <c r="CBR41" s="424"/>
      <c r="CBS41" s="425"/>
      <c r="CBT41" s="424"/>
      <c r="CBU41" s="425"/>
      <c r="CBV41" s="424"/>
      <c r="CBW41" s="425"/>
      <c r="CBX41" s="424"/>
      <c r="CBY41" s="425"/>
      <c r="CBZ41" s="424"/>
      <c r="CCA41" s="425"/>
      <c r="CCB41" s="424"/>
      <c r="CCC41" s="425"/>
      <c r="CCD41" s="424"/>
      <c r="CCE41" s="425"/>
      <c r="CCF41" s="424"/>
      <c r="CCG41" s="425"/>
      <c r="CCH41" s="424"/>
      <c r="CCI41" s="425"/>
      <c r="CCJ41" s="424"/>
      <c r="CCK41" s="425"/>
      <c r="CCL41" s="424"/>
      <c r="CCM41" s="425"/>
      <c r="CCN41" s="424"/>
      <c r="CCO41" s="425"/>
      <c r="CCP41" s="424"/>
      <c r="CCQ41" s="425"/>
      <c r="CCR41" s="424"/>
      <c r="CCS41" s="425"/>
      <c r="CCT41" s="424"/>
      <c r="CCU41" s="425"/>
      <c r="CCV41" s="424"/>
      <c r="CCW41" s="425"/>
      <c r="CCX41" s="424"/>
      <c r="CCY41" s="425"/>
      <c r="CCZ41" s="424"/>
      <c r="CDA41" s="425"/>
      <c r="CDB41" s="424"/>
      <c r="CDC41" s="425"/>
      <c r="CDD41" s="424"/>
      <c r="CDE41" s="425"/>
      <c r="CDF41" s="424"/>
      <c r="CDG41" s="425"/>
      <c r="CDH41" s="424"/>
      <c r="CDI41" s="425"/>
      <c r="CDJ41" s="424"/>
      <c r="CDK41" s="425"/>
      <c r="CDL41" s="424"/>
      <c r="CDM41" s="425"/>
      <c r="CDN41" s="424"/>
      <c r="CDO41" s="425"/>
      <c r="CDP41" s="424"/>
      <c r="CDQ41" s="425"/>
      <c r="CDR41" s="424"/>
      <c r="CDS41" s="425"/>
      <c r="CDT41" s="424"/>
      <c r="CDU41" s="425"/>
      <c r="CDV41" s="424"/>
      <c r="CDW41" s="425"/>
      <c r="CDX41" s="424"/>
      <c r="CDY41" s="425"/>
      <c r="CDZ41" s="424"/>
      <c r="CEA41" s="425"/>
      <c r="CEB41" s="424"/>
      <c r="CEC41" s="425"/>
      <c r="CED41" s="424"/>
      <c r="CEE41" s="425"/>
      <c r="CEF41" s="424"/>
      <c r="CEG41" s="425"/>
      <c r="CEH41" s="424"/>
      <c r="CEI41" s="425"/>
      <c r="CEJ41" s="424"/>
      <c r="CEK41" s="425"/>
      <c r="CEL41" s="424"/>
      <c r="CEM41" s="425"/>
      <c r="CEN41" s="424"/>
      <c r="CEO41" s="425"/>
      <c r="CEP41" s="424"/>
      <c r="CEQ41" s="425"/>
      <c r="CER41" s="424"/>
      <c r="CES41" s="425"/>
      <c r="CET41" s="424"/>
      <c r="CEU41" s="425"/>
      <c r="CEV41" s="424"/>
      <c r="CEW41" s="425"/>
      <c r="CEX41" s="424"/>
      <c r="CEY41" s="425"/>
      <c r="CEZ41" s="424"/>
      <c r="CFA41" s="425"/>
      <c r="CFB41" s="424"/>
      <c r="CFC41" s="425"/>
      <c r="CFD41" s="424"/>
      <c r="CFE41" s="425"/>
      <c r="CFF41" s="424"/>
      <c r="CFG41" s="425"/>
      <c r="CFH41" s="424"/>
      <c r="CFI41" s="425"/>
      <c r="CFJ41" s="424"/>
      <c r="CFK41" s="425"/>
      <c r="CFL41" s="424"/>
      <c r="CFM41" s="425"/>
      <c r="CFN41" s="424"/>
      <c r="CFO41" s="425"/>
      <c r="CFP41" s="424"/>
      <c r="CFQ41" s="425"/>
      <c r="CFR41" s="424"/>
      <c r="CFS41" s="425"/>
      <c r="CFT41" s="424"/>
      <c r="CFU41" s="425"/>
      <c r="CFV41" s="424"/>
      <c r="CFW41" s="425"/>
      <c r="CFX41" s="424"/>
      <c r="CFY41" s="425"/>
      <c r="CFZ41" s="424"/>
      <c r="CGA41" s="425"/>
      <c r="CGB41" s="424"/>
      <c r="CGC41" s="425"/>
      <c r="CGD41" s="424"/>
      <c r="CGE41" s="425"/>
      <c r="CGF41" s="424"/>
      <c r="CGG41" s="425"/>
      <c r="CGH41" s="424"/>
      <c r="CGI41" s="425"/>
      <c r="CGJ41" s="424"/>
      <c r="CGK41" s="425"/>
      <c r="CGL41" s="424"/>
      <c r="CGM41" s="425"/>
      <c r="CGN41" s="424"/>
      <c r="CGO41" s="425"/>
      <c r="CGP41" s="424"/>
      <c r="CGQ41" s="425"/>
      <c r="CGR41" s="424"/>
      <c r="CGS41" s="425"/>
      <c r="CGT41" s="424"/>
      <c r="CGU41" s="425"/>
      <c r="CGV41" s="424"/>
      <c r="CGW41" s="425"/>
      <c r="CGX41" s="424"/>
      <c r="CGY41" s="425"/>
      <c r="CGZ41" s="424"/>
      <c r="CHA41" s="425"/>
      <c r="CHB41" s="424"/>
      <c r="CHC41" s="425"/>
      <c r="CHD41" s="424"/>
      <c r="CHE41" s="425"/>
      <c r="CHF41" s="424"/>
      <c r="CHG41" s="425"/>
      <c r="CHH41" s="424"/>
      <c r="CHI41" s="425"/>
      <c r="CHJ41" s="424"/>
      <c r="CHK41" s="425"/>
      <c r="CHL41" s="424"/>
      <c r="CHM41" s="425"/>
      <c r="CHN41" s="424"/>
      <c r="CHO41" s="425"/>
      <c r="CHP41" s="424"/>
      <c r="CHQ41" s="425"/>
      <c r="CHR41" s="424"/>
      <c r="CHS41" s="425"/>
      <c r="CHT41" s="424"/>
      <c r="CHU41" s="425"/>
      <c r="CHV41" s="424"/>
      <c r="CHW41" s="425"/>
      <c r="CHX41" s="424"/>
      <c r="CHY41" s="425"/>
      <c r="CHZ41" s="424"/>
      <c r="CIA41" s="425"/>
      <c r="CIB41" s="424"/>
      <c r="CIC41" s="425"/>
      <c r="CID41" s="424"/>
      <c r="CIE41" s="425"/>
      <c r="CIF41" s="424"/>
      <c r="CIG41" s="425"/>
      <c r="CIH41" s="424"/>
      <c r="CII41" s="425"/>
      <c r="CIJ41" s="424"/>
      <c r="CIK41" s="425"/>
      <c r="CIL41" s="424"/>
      <c r="CIM41" s="425"/>
      <c r="CIN41" s="424"/>
      <c r="CIO41" s="425"/>
      <c r="CIP41" s="424"/>
      <c r="CIQ41" s="425"/>
      <c r="CIR41" s="424"/>
      <c r="CIS41" s="425"/>
      <c r="CIT41" s="424"/>
      <c r="CIU41" s="425"/>
      <c r="CIV41" s="424"/>
      <c r="CIW41" s="425"/>
      <c r="CIX41" s="424"/>
      <c r="CIY41" s="425"/>
      <c r="CIZ41" s="424"/>
      <c r="CJA41" s="425"/>
      <c r="CJB41" s="424"/>
      <c r="CJC41" s="425"/>
      <c r="CJD41" s="424"/>
      <c r="CJE41" s="425"/>
      <c r="CJF41" s="424"/>
      <c r="CJG41" s="425"/>
      <c r="CJH41" s="424"/>
      <c r="CJI41" s="425"/>
      <c r="CJJ41" s="424"/>
      <c r="CJK41" s="425"/>
      <c r="CJL41" s="424"/>
      <c r="CJM41" s="425"/>
      <c r="CJN41" s="424"/>
      <c r="CJO41" s="425"/>
      <c r="CJP41" s="424"/>
      <c r="CJQ41" s="425"/>
      <c r="CJR41" s="424"/>
      <c r="CJS41" s="425"/>
      <c r="CJT41" s="424"/>
      <c r="CJU41" s="425"/>
      <c r="CJV41" s="424"/>
      <c r="CJW41" s="425"/>
      <c r="CJX41" s="424"/>
      <c r="CJY41" s="425"/>
      <c r="CJZ41" s="424"/>
      <c r="CKA41" s="425"/>
      <c r="CKB41" s="424"/>
      <c r="CKC41" s="425"/>
      <c r="CKD41" s="424"/>
      <c r="CKE41" s="425"/>
      <c r="CKF41" s="424"/>
      <c r="CKG41" s="425"/>
      <c r="CKH41" s="424"/>
      <c r="CKI41" s="425"/>
      <c r="CKJ41" s="424"/>
      <c r="CKK41" s="425"/>
      <c r="CKL41" s="424"/>
      <c r="CKM41" s="425"/>
      <c r="CKN41" s="424"/>
      <c r="CKO41" s="425"/>
      <c r="CKP41" s="424"/>
      <c r="CKQ41" s="425"/>
      <c r="CKR41" s="424"/>
      <c r="CKS41" s="425"/>
      <c r="CKT41" s="424"/>
      <c r="CKU41" s="425"/>
      <c r="CKV41" s="424"/>
      <c r="CKW41" s="425"/>
      <c r="CKX41" s="424"/>
      <c r="CKY41" s="425"/>
      <c r="CKZ41" s="424"/>
      <c r="CLA41" s="425"/>
      <c r="CLB41" s="424"/>
      <c r="CLC41" s="425"/>
      <c r="CLD41" s="424"/>
      <c r="CLE41" s="425"/>
      <c r="CLF41" s="424"/>
      <c r="CLG41" s="425"/>
      <c r="CLH41" s="424"/>
      <c r="CLI41" s="425"/>
      <c r="CLJ41" s="424"/>
      <c r="CLK41" s="425"/>
      <c r="CLL41" s="424"/>
      <c r="CLM41" s="425"/>
      <c r="CLN41" s="424"/>
      <c r="CLO41" s="425"/>
      <c r="CLP41" s="424"/>
      <c r="CLQ41" s="425"/>
      <c r="CLR41" s="424"/>
      <c r="CLS41" s="425"/>
      <c r="CLT41" s="424"/>
      <c r="CLU41" s="425"/>
      <c r="CLV41" s="424"/>
      <c r="CLW41" s="425"/>
      <c r="CLX41" s="424"/>
      <c r="CLY41" s="425"/>
      <c r="CLZ41" s="424"/>
      <c r="CMA41" s="425"/>
      <c r="CMB41" s="424"/>
      <c r="CMC41" s="425"/>
      <c r="CMD41" s="424"/>
      <c r="CME41" s="425"/>
      <c r="CMF41" s="424"/>
      <c r="CMG41" s="425"/>
      <c r="CMH41" s="424"/>
      <c r="CMI41" s="425"/>
      <c r="CMJ41" s="424"/>
      <c r="CMK41" s="425"/>
      <c r="CML41" s="424"/>
      <c r="CMM41" s="425"/>
      <c r="CMN41" s="424"/>
      <c r="CMO41" s="425"/>
      <c r="CMP41" s="424"/>
      <c r="CMQ41" s="425"/>
      <c r="CMR41" s="424"/>
      <c r="CMS41" s="425"/>
      <c r="CMT41" s="424"/>
      <c r="CMU41" s="425"/>
      <c r="CMV41" s="424"/>
      <c r="CMW41" s="425"/>
      <c r="CMX41" s="424"/>
      <c r="CMY41" s="425"/>
      <c r="CMZ41" s="424"/>
      <c r="CNA41" s="425"/>
      <c r="CNB41" s="424"/>
      <c r="CNC41" s="425"/>
      <c r="CND41" s="424"/>
      <c r="CNE41" s="425"/>
      <c r="CNF41" s="424"/>
      <c r="CNG41" s="425"/>
      <c r="CNH41" s="424"/>
      <c r="CNI41" s="425"/>
      <c r="CNJ41" s="424"/>
      <c r="CNK41" s="425"/>
      <c r="CNL41" s="424"/>
      <c r="CNM41" s="425"/>
      <c r="CNN41" s="424"/>
      <c r="CNO41" s="425"/>
      <c r="CNP41" s="424"/>
      <c r="CNQ41" s="425"/>
      <c r="CNR41" s="424"/>
      <c r="CNS41" s="425"/>
      <c r="CNT41" s="424"/>
      <c r="CNU41" s="425"/>
      <c r="CNV41" s="424"/>
      <c r="CNW41" s="425"/>
      <c r="CNX41" s="424"/>
      <c r="CNY41" s="425"/>
      <c r="CNZ41" s="424"/>
      <c r="COA41" s="425"/>
      <c r="COB41" s="424"/>
      <c r="COC41" s="425"/>
      <c r="COD41" s="424"/>
      <c r="COE41" s="425"/>
      <c r="COF41" s="424"/>
      <c r="COG41" s="425"/>
      <c r="COH41" s="424"/>
      <c r="COI41" s="425"/>
      <c r="COJ41" s="424"/>
      <c r="COK41" s="425"/>
      <c r="COL41" s="424"/>
      <c r="COM41" s="425"/>
      <c r="CON41" s="424"/>
      <c r="COO41" s="425"/>
      <c r="COP41" s="424"/>
      <c r="COQ41" s="425"/>
      <c r="COR41" s="424"/>
      <c r="COS41" s="425"/>
      <c r="COT41" s="424"/>
      <c r="COU41" s="425"/>
      <c r="COV41" s="424"/>
      <c r="COW41" s="425"/>
      <c r="COX41" s="424"/>
      <c r="COY41" s="425"/>
      <c r="COZ41" s="424"/>
      <c r="CPA41" s="425"/>
      <c r="CPB41" s="424"/>
      <c r="CPC41" s="425"/>
      <c r="CPD41" s="424"/>
      <c r="CPE41" s="425"/>
      <c r="CPF41" s="424"/>
      <c r="CPG41" s="425"/>
      <c r="CPH41" s="424"/>
      <c r="CPI41" s="425"/>
      <c r="CPJ41" s="424"/>
      <c r="CPK41" s="425"/>
      <c r="CPL41" s="424"/>
      <c r="CPM41" s="425"/>
      <c r="CPN41" s="424"/>
      <c r="CPO41" s="425"/>
      <c r="CPP41" s="424"/>
      <c r="CPQ41" s="425"/>
      <c r="CPR41" s="424"/>
      <c r="CPS41" s="425"/>
      <c r="CPT41" s="424"/>
      <c r="CPU41" s="425"/>
      <c r="CPV41" s="424"/>
      <c r="CPW41" s="425"/>
      <c r="CPX41" s="424"/>
      <c r="CPY41" s="425"/>
      <c r="CPZ41" s="424"/>
      <c r="CQA41" s="425"/>
      <c r="CQB41" s="424"/>
      <c r="CQC41" s="425"/>
      <c r="CQD41" s="424"/>
      <c r="CQE41" s="425"/>
      <c r="CQF41" s="424"/>
      <c r="CQG41" s="425"/>
      <c r="CQH41" s="424"/>
      <c r="CQI41" s="425"/>
      <c r="CQJ41" s="424"/>
      <c r="CQK41" s="425"/>
      <c r="CQL41" s="424"/>
      <c r="CQM41" s="425"/>
      <c r="CQN41" s="424"/>
      <c r="CQO41" s="425"/>
      <c r="CQP41" s="424"/>
      <c r="CQQ41" s="425"/>
      <c r="CQR41" s="424"/>
      <c r="CQS41" s="425"/>
      <c r="CQT41" s="424"/>
      <c r="CQU41" s="425"/>
      <c r="CQV41" s="424"/>
      <c r="CQW41" s="425"/>
      <c r="CQX41" s="424"/>
      <c r="CQY41" s="425"/>
      <c r="CQZ41" s="424"/>
      <c r="CRA41" s="425"/>
      <c r="CRB41" s="424"/>
      <c r="CRC41" s="425"/>
      <c r="CRD41" s="424"/>
      <c r="CRE41" s="425"/>
      <c r="CRF41" s="424"/>
      <c r="CRG41" s="425"/>
      <c r="CRH41" s="424"/>
      <c r="CRI41" s="425"/>
      <c r="CRJ41" s="424"/>
      <c r="CRK41" s="425"/>
      <c r="CRL41" s="424"/>
      <c r="CRM41" s="425"/>
      <c r="CRN41" s="424"/>
      <c r="CRO41" s="425"/>
      <c r="CRP41" s="424"/>
      <c r="CRQ41" s="425"/>
      <c r="CRR41" s="424"/>
      <c r="CRS41" s="425"/>
      <c r="CRT41" s="424"/>
      <c r="CRU41" s="425"/>
      <c r="CRV41" s="424"/>
      <c r="CRW41" s="425"/>
      <c r="CRX41" s="424"/>
      <c r="CRY41" s="425"/>
      <c r="CRZ41" s="424"/>
      <c r="CSA41" s="425"/>
      <c r="CSB41" s="424"/>
      <c r="CSC41" s="425"/>
      <c r="CSD41" s="424"/>
      <c r="CSE41" s="425"/>
      <c r="CSF41" s="424"/>
      <c r="CSG41" s="425"/>
      <c r="CSH41" s="424"/>
      <c r="CSI41" s="425"/>
      <c r="CSJ41" s="424"/>
      <c r="CSK41" s="425"/>
      <c r="CSL41" s="424"/>
      <c r="CSM41" s="425"/>
      <c r="CSN41" s="424"/>
      <c r="CSO41" s="425"/>
      <c r="CSP41" s="424"/>
      <c r="CSQ41" s="425"/>
      <c r="CSR41" s="424"/>
      <c r="CSS41" s="425"/>
      <c r="CST41" s="424"/>
      <c r="CSU41" s="425"/>
      <c r="CSV41" s="424"/>
      <c r="CSW41" s="425"/>
      <c r="CSX41" s="424"/>
      <c r="CSY41" s="425"/>
      <c r="CSZ41" s="424"/>
      <c r="CTA41" s="425"/>
      <c r="CTB41" s="424"/>
      <c r="CTC41" s="425"/>
      <c r="CTD41" s="424"/>
      <c r="CTE41" s="425"/>
      <c r="CTF41" s="424"/>
      <c r="CTG41" s="425"/>
      <c r="CTH41" s="424"/>
      <c r="CTI41" s="425"/>
      <c r="CTJ41" s="424"/>
      <c r="CTK41" s="425"/>
      <c r="CTL41" s="424"/>
      <c r="CTM41" s="425"/>
      <c r="CTN41" s="424"/>
      <c r="CTO41" s="425"/>
      <c r="CTP41" s="424"/>
      <c r="CTQ41" s="425"/>
      <c r="CTR41" s="424"/>
      <c r="CTS41" s="425"/>
      <c r="CTT41" s="424"/>
      <c r="CTU41" s="425"/>
      <c r="CTV41" s="424"/>
      <c r="CTW41" s="425"/>
      <c r="CTX41" s="424"/>
      <c r="CTY41" s="425"/>
      <c r="CTZ41" s="424"/>
      <c r="CUA41" s="425"/>
      <c r="CUB41" s="424"/>
      <c r="CUC41" s="425"/>
      <c r="CUD41" s="424"/>
      <c r="CUE41" s="425"/>
      <c r="CUF41" s="424"/>
      <c r="CUG41" s="425"/>
      <c r="CUH41" s="424"/>
      <c r="CUI41" s="425"/>
      <c r="CUJ41" s="424"/>
      <c r="CUK41" s="425"/>
      <c r="CUL41" s="424"/>
      <c r="CUM41" s="425"/>
      <c r="CUN41" s="424"/>
      <c r="CUO41" s="425"/>
      <c r="CUP41" s="424"/>
      <c r="CUQ41" s="425"/>
      <c r="CUR41" s="424"/>
      <c r="CUS41" s="425"/>
      <c r="CUT41" s="424"/>
      <c r="CUU41" s="425"/>
      <c r="CUV41" s="424"/>
      <c r="CUW41" s="425"/>
      <c r="CUX41" s="424"/>
      <c r="CUY41" s="425"/>
      <c r="CUZ41" s="424"/>
      <c r="CVA41" s="425"/>
      <c r="CVB41" s="424"/>
      <c r="CVC41" s="425"/>
      <c r="CVD41" s="424"/>
      <c r="CVE41" s="425"/>
      <c r="CVF41" s="424"/>
      <c r="CVG41" s="425"/>
      <c r="CVH41" s="424"/>
      <c r="CVI41" s="425"/>
      <c r="CVJ41" s="424"/>
      <c r="CVK41" s="425"/>
      <c r="CVL41" s="424"/>
      <c r="CVM41" s="425"/>
      <c r="CVN41" s="424"/>
      <c r="CVO41" s="425"/>
      <c r="CVP41" s="424"/>
      <c r="CVQ41" s="425"/>
      <c r="CVR41" s="424"/>
      <c r="CVS41" s="425"/>
      <c r="CVT41" s="424"/>
      <c r="CVU41" s="425"/>
      <c r="CVV41" s="424"/>
      <c r="CVW41" s="425"/>
      <c r="CVX41" s="424"/>
      <c r="CVY41" s="425"/>
      <c r="CVZ41" s="424"/>
      <c r="CWA41" s="425"/>
      <c r="CWB41" s="424"/>
      <c r="CWC41" s="425"/>
      <c r="CWD41" s="424"/>
      <c r="CWE41" s="425"/>
      <c r="CWF41" s="424"/>
      <c r="CWG41" s="425"/>
      <c r="CWH41" s="424"/>
      <c r="CWI41" s="425"/>
      <c r="CWJ41" s="424"/>
      <c r="CWK41" s="425"/>
      <c r="CWL41" s="424"/>
      <c r="CWM41" s="425"/>
      <c r="CWN41" s="424"/>
      <c r="CWO41" s="425"/>
      <c r="CWP41" s="424"/>
      <c r="CWQ41" s="425"/>
      <c r="CWR41" s="424"/>
      <c r="CWS41" s="425"/>
      <c r="CWT41" s="424"/>
      <c r="CWU41" s="425"/>
      <c r="CWV41" s="424"/>
      <c r="CWW41" s="425"/>
      <c r="CWX41" s="424"/>
      <c r="CWY41" s="425"/>
      <c r="CWZ41" s="424"/>
      <c r="CXA41" s="425"/>
      <c r="CXB41" s="424"/>
      <c r="CXC41" s="425"/>
      <c r="CXD41" s="424"/>
      <c r="CXE41" s="425"/>
      <c r="CXF41" s="424"/>
      <c r="CXG41" s="425"/>
      <c r="CXH41" s="424"/>
      <c r="CXI41" s="425"/>
      <c r="CXJ41" s="424"/>
      <c r="CXK41" s="425"/>
      <c r="CXL41" s="424"/>
      <c r="CXM41" s="425"/>
      <c r="CXN41" s="424"/>
      <c r="CXO41" s="425"/>
      <c r="CXP41" s="424"/>
      <c r="CXQ41" s="425"/>
      <c r="CXR41" s="424"/>
      <c r="CXS41" s="425"/>
      <c r="CXT41" s="424"/>
      <c r="CXU41" s="425"/>
      <c r="CXV41" s="424"/>
      <c r="CXW41" s="425"/>
      <c r="CXX41" s="424"/>
      <c r="CXY41" s="425"/>
      <c r="CXZ41" s="424"/>
      <c r="CYA41" s="425"/>
      <c r="CYB41" s="424"/>
      <c r="CYC41" s="425"/>
      <c r="CYD41" s="424"/>
      <c r="CYE41" s="425"/>
      <c r="CYF41" s="424"/>
      <c r="CYG41" s="425"/>
      <c r="CYH41" s="424"/>
      <c r="CYI41" s="425"/>
      <c r="CYJ41" s="424"/>
      <c r="CYK41" s="425"/>
      <c r="CYL41" s="424"/>
      <c r="CYM41" s="425"/>
      <c r="CYN41" s="424"/>
      <c r="CYO41" s="425"/>
      <c r="CYP41" s="424"/>
      <c r="CYQ41" s="425"/>
      <c r="CYR41" s="424"/>
      <c r="CYS41" s="425"/>
      <c r="CYT41" s="424"/>
      <c r="CYU41" s="425"/>
      <c r="CYV41" s="424"/>
      <c r="CYW41" s="425"/>
      <c r="CYX41" s="424"/>
      <c r="CYY41" s="425"/>
      <c r="CYZ41" s="424"/>
      <c r="CZA41" s="425"/>
      <c r="CZB41" s="424"/>
      <c r="CZC41" s="425"/>
      <c r="CZD41" s="424"/>
      <c r="CZE41" s="425"/>
      <c r="CZF41" s="424"/>
      <c r="CZG41" s="425"/>
      <c r="CZH41" s="424"/>
      <c r="CZI41" s="425"/>
      <c r="CZJ41" s="424"/>
      <c r="CZK41" s="425"/>
      <c r="CZL41" s="424"/>
      <c r="CZM41" s="425"/>
      <c r="CZN41" s="424"/>
      <c r="CZO41" s="425"/>
      <c r="CZP41" s="424"/>
      <c r="CZQ41" s="425"/>
      <c r="CZR41" s="424"/>
      <c r="CZS41" s="425"/>
      <c r="CZT41" s="424"/>
      <c r="CZU41" s="425"/>
      <c r="CZV41" s="424"/>
      <c r="CZW41" s="425"/>
      <c r="CZX41" s="424"/>
      <c r="CZY41" s="425"/>
      <c r="CZZ41" s="424"/>
      <c r="DAA41" s="425"/>
      <c r="DAB41" s="424"/>
      <c r="DAC41" s="425"/>
      <c r="DAD41" s="424"/>
      <c r="DAE41" s="425"/>
      <c r="DAF41" s="424"/>
      <c r="DAG41" s="425"/>
      <c r="DAH41" s="424"/>
      <c r="DAI41" s="425"/>
      <c r="DAJ41" s="424"/>
      <c r="DAK41" s="425"/>
      <c r="DAL41" s="424"/>
      <c r="DAM41" s="425"/>
      <c r="DAN41" s="424"/>
      <c r="DAO41" s="425"/>
      <c r="DAP41" s="424"/>
      <c r="DAQ41" s="425"/>
      <c r="DAR41" s="424"/>
      <c r="DAS41" s="425"/>
      <c r="DAT41" s="424"/>
      <c r="DAU41" s="425"/>
      <c r="DAV41" s="424"/>
      <c r="DAW41" s="425"/>
      <c r="DAX41" s="424"/>
      <c r="DAY41" s="425"/>
      <c r="DAZ41" s="424"/>
      <c r="DBA41" s="425"/>
      <c r="DBB41" s="424"/>
      <c r="DBC41" s="425"/>
      <c r="DBD41" s="424"/>
      <c r="DBE41" s="425"/>
      <c r="DBF41" s="424"/>
      <c r="DBG41" s="425"/>
      <c r="DBH41" s="424"/>
      <c r="DBI41" s="425"/>
      <c r="DBJ41" s="424"/>
      <c r="DBK41" s="425"/>
      <c r="DBL41" s="424"/>
      <c r="DBM41" s="425"/>
      <c r="DBN41" s="424"/>
      <c r="DBO41" s="425"/>
      <c r="DBP41" s="424"/>
      <c r="DBQ41" s="425"/>
      <c r="DBR41" s="424"/>
      <c r="DBS41" s="425"/>
      <c r="DBT41" s="424"/>
      <c r="DBU41" s="425"/>
      <c r="DBV41" s="424"/>
      <c r="DBW41" s="425"/>
      <c r="DBX41" s="424"/>
      <c r="DBY41" s="425"/>
      <c r="DBZ41" s="424"/>
      <c r="DCA41" s="425"/>
      <c r="DCB41" s="424"/>
      <c r="DCC41" s="425"/>
      <c r="DCD41" s="424"/>
      <c r="DCE41" s="425"/>
      <c r="DCF41" s="424"/>
      <c r="DCG41" s="425"/>
      <c r="DCH41" s="424"/>
      <c r="DCI41" s="425"/>
      <c r="DCJ41" s="424"/>
      <c r="DCK41" s="425"/>
      <c r="DCL41" s="424"/>
      <c r="DCM41" s="425"/>
      <c r="DCN41" s="424"/>
      <c r="DCO41" s="425"/>
      <c r="DCP41" s="424"/>
      <c r="DCQ41" s="425"/>
      <c r="DCR41" s="424"/>
      <c r="DCS41" s="425"/>
      <c r="DCT41" s="424"/>
      <c r="DCU41" s="425"/>
      <c r="DCV41" s="424"/>
      <c r="DCW41" s="425"/>
      <c r="DCX41" s="424"/>
      <c r="DCY41" s="425"/>
      <c r="DCZ41" s="424"/>
      <c r="DDA41" s="425"/>
      <c r="DDB41" s="424"/>
      <c r="DDC41" s="425"/>
      <c r="DDD41" s="424"/>
      <c r="DDE41" s="425"/>
      <c r="DDF41" s="424"/>
      <c r="DDG41" s="425"/>
      <c r="DDH41" s="424"/>
      <c r="DDI41" s="425"/>
      <c r="DDJ41" s="424"/>
      <c r="DDK41" s="425"/>
      <c r="DDL41" s="424"/>
      <c r="DDM41" s="425"/>
      <c r="DDN41" s="424"/>
      <c r="DDO41" s="425"/>
      <c r="DDP41" s="424"/>
      <c r="DDQ41" s="425"/>
      <c r="DDR41" s="424"/>
      <c r="DDS41" s="425"/>
      <c r="DDT41" s="424"/>
      <c r="DDU41" s="425"/>
      <c r="DDV41" s="424"/>
      <c r="DDW41" s="425"/>
      <c r="DDX41" s="424"/>
      <c r="DDY41" s="425"/>
      <c r="DDZ41" s="424"/>
      <c r="DEA41" s="425"/>
      <c r="DEB41" s="424"/>
      <c r="DEC41" s="425"/>
      <c r="DED41" s="424"/>
      <c r="DEE41" s="425"/>
      <c r="DEF41" s="424"/>
      <c r="DEG41" s="425"/>
      <c r="DEH41" s="424"/>
      <c r="DEI41" s="425"/>
      <c r="DEJ41" s="424"/>
      <c r="DEK41" s="425"/>
      <c r="DEL41" s="424"/>
      <c r="DEM41" s="425"/>
      <c r="DEN41" s="424"/>
      <c r="DEO41" s="425"/>
      <c r="DEP41" s="424"/>
      <c r="DEQ41" s="425"/>
      <c r="DER41" s="424"/>
      <c r="DES41" s="425"/>
      <c r="DET41" s="424"/>
      <c r="DEU41" s="425"/>
      <c r="DEV41" s="424"/>
      <c r="DEW41" s="425"/>
      <c r="DEX41" s="424"/>
      <c r="DEY41" s="425"/>
      <c r="DEZ41" s="424"/>
      <c r="DFA41" s="425"/>
      <c r="DFB41" s="424"/>
      <c r="DFC41" s="425"/>
      <c r="DFD41" s="424"/>
      <c r="DFE41" s="425"/>
      <c r="DFF41" s="424"/>
      <c r="DFG41" s="425"/>
      <c r="DFH41" s="424"/>
      <c r="DFI41" s="425"/>
      <c r="DFJ41" s="424"/>
      <c r="DFK41" s="425"/>
      <c r="DFL41" s="424"/>
      <c r="DFM41" s="425"/>
      <c r="DFN41" s="424"/>
      <c r="DFO41" s="425"/>
      <c r="DFP41" s="424"/>
      <c r="DFQ41" s="425"/>
      <c r="DFR41" s="424"/>
      <c r="DFS41" s="425"/>
      <c r="DFT41" s="424"/>
      <c r="DFU41" s="425"/>
      <c r="DFV41" s="424"/>
      <c r="DFW41" s="425"/>
      <c r="DFX41" s="424"/>
      <c r="DFY41" s="425"/>
      <c r="DFZ41" s="424"/>
      <c r="DGA41" s="425"/>
      <c r="DGB41" s="424"/>
      <c r="DGC41" s="425"/>
      <c r="DGD41" s="424"/>
      <c r="DGE41" s="425"/>
      <c r="DGF41" s="424"/>
      <c r="DGG41" s="425"/>
      <c r="DGH41" s="424"/>
      <c r="DGI41" s="425"/>
      <c r="DGJ41" s="424"/>
      <c r="DGK41" s="425"/>
      <c r="DGL41" s="424"/>
      <c r="DGM41" s="425"/>
      <c r="DGN41" s="424"/>
      <c r="DGO41" s="425"/>
      <c r="DGP41" s="424"/>
      <c r="DGQ41" s="425"/>
      <c r="DGR41" s="424"/>
      <c r="DGS41" s="425"/>
      <c r="DGT41" s="424"/>
      <c r="DGU41" s="425"/>
      <c r="DGV41" s="424"/>
      <c r="DGW41" s="425"/>
      <c r="DGX41" s="424"/>
      <c r="DGY41" s="425"/>
      <c r="DGZ41" s="424"/>
      <c r="DHA41" s="425"/>
      <c r="DHB41" s="424"/>
      <c r="DHC41" s="425"/>
      <c r="DHD41" s="424"/>
      <c r="DHE41" s="425"/>
      <c r="DHF41" s="424"/>
      <c r="DHG41" s="425"/>
      <c r="DHH41" s="424"/>
      <c r="DHI41" s="425"/>
      <c r="DHJ41" s="424"/>
      <c r="DHK41" s="425"/>
      <c r="DHL41" s="424"/>
      <c r="DHM41" s="425"/>
      <c r="DHN41" s="424"/>
      <c r="DHO41" s="425"/>
      <c r="DHP41" s="424"/>
      <c r="DHQ41" s="425"/>
      <c r="DHR41" s="424"/>
      <c r="DHS41" s="425"/>
      <c r="DHT41" s="424"/>
      <c r="DHU41" s="425"/>
      <c r="DHV41" s="424"/>
      <c r="DHW41" s="425"/>
      <c r="DHX41" s="424"/>
      <c r="DHY41" s="425"/>
      <c r="DHZ41" s="424"/>
      <c r="DIA41" s="425"/>
      <c r="DIB41" s="424"/>
      <c r="DIC41" s="425"/>
      <c r="DID41" s="424"/>
      <c r="DIE41" s="425"/>
      <c r="DIF41" s="424"/>
      <c r="DIG41" s="425"/>
      <c r="DIH41" s="424"/>
      <c r="DII41" s="425"/>
      <c r="DIJ41" s="424"/>
      <c r="DIK41" s="425"/>
      <c r="DIL41" s="424"/>
      <c r="DIM41" s="425"/>
      <c r="DIN41" s="424"/>
      <c r="DIO41" s="425"/>
      <c r="DIP41" s="424"/>
      <c r="DIQ41" s="425"/>
      <c r="DIR41" s="424"/>
      <c r="DIS41" s="425"/>
      <c r="DIT41" s="424"/>
      <c r="DIU41" s="425"/>
      <c r="DIV41" s="424"/>
      <c r="DIW41" s="425"/>
      <c r="DIX41" s="424"/>
      <c r="DIY41" s="425"/>
      <c r="DIZ41" s="424"/>
      <c r="DJA41" s="425"/>
      <c r="DJB41" s="424"/>
      <c r="DJC41" s="425"/>
      <c r="DJD41" s="424"/>
      <c r="DJE41" s="425"/>
      <c r="DJF41" s="424"/>
      <c r="DJG41" s="425"/>
      <c r="DJH41" s="424"/>
      <c r="DJI41" s="425"/>
      <c r="DJJ41" s="424"/>
      <c r="DJK41" s="425"/>
      <c r="DJL41" s="424"/>
      <c r="DJM41" s="425"/>
      <c r="DJN41" s="424"/>
      <c r="DJO41" s="425"/>
      <c r="DJP41" s="424"/>
      <c r="DJQ41" s="425"/>
      <c r="DJR41" s="424"/>
      <c r="DJS41" s="425"/>
      <c r="DJT41" s="424"/>
      <c r="DJU41" s="425"/>
      <c r="DJV41" s="424"/>
      <c r="DJW41" s="425"/>
      <c r="DJX41" s="424"/>
      <c r="DJY41" s="425"/>
      <c r="DJZ41" s="424"/>
      <c r="DKA41" s="425"/>
      <c r="DKB41" s="424"/>
      <c r="DKC41" s="425"/>
      <c r="DKD41" s="424"/>
      <c r="DKE41" s="425"/>
      <c r="DKF41" s="424"/>
      <c r="DKG41" s="425"/>
      <c r="DKH41" s="424"/>
      <c r="DKI41" s="425"/>
      <c r="DKJ41" s="424"/>
      <c r="DKK41" s="425"/>
      <c r="DKL41" s="424"/>
      <c r="DKM41" s="425"/>
      <c r="DKN41" s="424"/>
      <c r="DKO41" s="425"/>
      <c r="DKP41" s="424"/>
      <c r="DKQ41" s="425"/>
      <c r="DKR41" s="424"/>
      <c r="DKS41" s="425"/>
      <c r="DKT41" s="424"/>
      <c r="DKU41" s="425"/>
      <c r="DKV41" s="424"/>
      <c r="DKW41" s="425"/>
      <c r="DKX41" s="424"/>
      <c r="DKY41" s="425"/>
      <c r="DKZ41" s="424"/>
      <c r="DLA41" s="425"/>
      <c r="DLB41" s="424"/>
      <c r="DLC41" s="425"/>
      <c r="DLD41" s="424"/>
      <c r="DLE41" s="425"/>
      <c r="DLF41" s="424"/>
      <c r="DLG41" s="425"/>
      <c r="DLH41" s="424"/>
      <c r="DLI41" s="425"/>
      <c r="DLJ41" s="424"/>
      <c r="DLK41" s="425"/>
      <c r="DLL41" s="424"/>
      <c r="DLM41" s="425"/>
      <c r="DLN41" s="424"/>
      <c r="DLO41" s="425"/>
      <c r="DLP41" s="424"/>
      <c r="DLQ41" s="425"/>
      <c r="DLR41" s="424"/>
      <c r="DLS41" s="425"/>
      <c r="DLT41" s="424"/>
      <c r="DLU41" s="425"/>
      <c r="DLV41" s="424"/>
      <c r="DLW41" s="425"/>
      <c r="DLX41" s="424"/>
      <c r="DLY41" s="425"/>
      <c r="DLZ41" s="424"/>
      <c r="DMA41" s="425"/>
      <c r="DMB41" s="424"/>
      <c r="DMC41" s="425"/>
      <c r="DMD41" s="424"/>
      <c r="DME41" s="425"/>
      <c r="DMF41" s="424"/>
      <c r="DMG41" s="425"/>
      <c r="DMH41" s="424"/>
      <c r="DMI41" s="425"/>
      <c r="DMJ41" s="424"/>
      <c r="DMK41" s="425"/>
      <c r="DML41" s="424"/>
      <c r="DMM41" s="425"/>
      <c r="DMN41" s="424"/>
      <c r="DMO41" s="425"/>
      <c r="DMP41" s="424"/>
      <c r="DMQ41" s="425"/>
      <c r="DMR41" s="424"/>
      <c r="DMS41" s="425"/>
      <c r="DMT41" s="424"/>
      <c r="DMU41" s="425"/>
      <c r="DMV41" s="424"/>
      <c r="DMW41" s="425"/>
      <c r="DMX41" s="424"/>
      <c r="DMY41" s="425"/>
      <c r="DMZ41" s="424"/>
      <c r="DNA41" s="425"/>
      <c r="DNB41" s="424"/>
      <c r="DNC41" s="425"/>
      <c r="DND41" s="424"/>
      <c r="DNE41" s="425"/>
      <c r="DNF41" s="424"/>
      <c r="DNG41" s="425"/>
      <c r="DNH41" s="424"/>
      <c r="DNI41" s="425"/>
      <c r="DNJ41" s="424"/>
      <c r="DNK41" s="425"/>
      <c r="DNL41" s="424"/>
      <c r="DNM41" s="425"/>
      <c r="DNN41" s="424"/>
      <c r="DNO41" s="425"/>
      <c r="DNP41" s="424"/>
      <c r="DNQ41" s="425"/>
      <c r="DNR41" s="424"/>
      <c r="DNS41" s="425"/>
      <c r="DNT41" s="424"/>
      <c r="DNU41" s="425"/>
      <c r="DNV41" s="424"/>
      <c r="DNW41" s="425"/>
      <c r="DNX41" s="424"/>
      <c r="DNY41" s="425"/>
      <c r="DNZ41" s="424"/>
      <c r="DOA41" s="425"/>
      <c r="DOB41" s="424"/>
      <c r="DOC41" s="425"/>
      <c r="DOD41" s="424"/>
      <c r="DOE41" s="425"/>
      <c r="DOF41" s="424"/>
      <c r="DOG41" s="425"/>
      <c r="DOH41" s="424"/>
      <c r="DOI41" s="425"/>
      <c r="DOJ41" s="424"/>
      <c r="DOK41" s="425"/>
      <c r="DOL41" s="424"/>
      <c r="DOM41" s="425"/>
      <c r="DON41" s="424"/>
      <c r="DOO41" s="425"/>
      <c r="DOP41" s="424"/>
      <c r="DOQ41" s="425"/>
      <c r="DOR41" s="424"/>
      <c r="DOS41" s="425"/>
      <c r="DOT41" s="424"/>
      <c r="DOU41" s="425"/>
      <c r="DOV41" s="424"/>
      <c r="DOW41" s="425"/>
      <c r="DOX41" s="424"/>
      <c r="DOY41" s="425"/>
      <c r="DOZ41" s="424"/>
      <c r="DPA41" s="425"/>
      <c r="DPB41" s="424"/>
      <c r="DPC41" s="425"/>
      <c r="DPD41" s="424"/>
      <c r="DPE41" s="425"/>
      <c r="DPF41" s="424"/>
      <c r="DPG41" s="425"/>
      <c r="DPH41" s="424"/>
      <c r="DPI41" s="425"/>
      <c r="DPJ41" s="424"/>
      <c r="DPK41" s="425"/>
      <c r="DPL41" s="424"/>
      <c r="DPM41" s="425"/>
      <c r="DPN41" s="424"/>
      <c r="DPO41" s="425"/>
      <c r="DPP41" s="424"/>
      <c r="DPQ41" s="425"/>
      <c r="DPR41" s="424"/>
      <c r="DPS41" s="425"/>
      <c r="DPT41" s="424"/>
      <c r="DPU41" s="425"/>
      <c r="DPV41" s="424"/>
      <c r="DPW41" s="425"/>
      <c r="DPX41" s="424"/>
      <c r="DPY41" s="425"/>
      <c r="DPZ41" s="424"/>
      <c r="DQA41" s="425"/>
      <c r="DQB41" s="424"/>
      <c r="DQC41" s="425"/>
      <c r="DQD41" s="424"/>
      <c r="DQE41" s="425"/>
      <c r="DQF41" s="424"/>
      <c r="DQG41" s="425"/>
      <c r="DQH41" s="424"/>
      <c r="DQI41" s="425"/>
      <c r="DQJ41" s="424"/>
      <c r="DQK41" s="425"/>
      <c r="DQL41" s="424"/>
      <c r="DQM41" s="425"/>
      <c r="DQN41" s="424"/>
      <c r="DQO41" s="425"/>
      <c r="DQP41" s="424"/>
      <c r="DQQ41" s="425"/>
      <c r="DQR41" s="424"/>
      <c r="DQS41" s="425"/>
      <c r="DQT41" s="424"/>
      <c r="DQU41" s="425"/>
      <c r="DQV41" s="424"/>
      <c r="DQW41" s="425"/>
      <c r="DQX41" s="424"/>
      <c r="DQY41" s="425"/>
      <c r="DQZ41" s="424"/>
      <c r="DRA41" s="425"/>
      <c r="DRB41" s="424"/>
      <c r="DRC41" s="425"/>
      <c r="DRD41" s="424"/>
      <c r="DRE41" s="425"/>
      <c r="DRF41" s="424"/>
      <c r="DRG41" s="425"/>
      <c r="DRH41" s="424"/>
      <c r="DRI41" s="425"/>
      <c r="DRJ41" s="424"/>
      <c r="DRK41" s="425"/>
      <c r="DRL41" s="424"/>
      <c r="DRM41" s="425"/>
      <c r="DRN41" s="424"/>
      <c r="DRO41" s="425"/>
      <c r="DRP41" s="424"/>
      <c r="DRQ41" s="425"/>
      <c r="DRR41" s="424"/>
      <c r="DRS41" s="425"/>
      <c r="DRT41" s="424"/>
      <c r="DRU41" s="425"/>
      <c r="DRV41" s="424"/>
      <c r="DRW41" s="425"/>
      <c r="DRX41" s="424"/>
      <c r="DRY41" s="425"/>
      <c r="DRZ41" s="424"/>
      <c r="DSA41" s="425"/>
      <c r="DSB41" s="424"/>
      <c r="DSC41" s="425"/>
      <c r="DSD41" s="424"/>
      <c r="DSE41" s="425"/>
      <c r="DSF41" s="424"/>
      <c r="DSG41" s="425"/>
      <c r="DSH41" s="424"/>
      <c r="DSI41" s="425"/>
      <c r="DSJ41" s="424"/>
      <c r="DSK41" s="425"/>
      <c r="DSL41" s="424"/>
      <c r="DSM41" s="425"/>
      <c r="DSN41" s="424"/>
      <c r="DSO41" s="425"/>
      <c r="DSP41" s="424"/>
      <c r="DSQ41" s="425"/>
      <c r="DSR41" s="424"/>
      <c r="DSS41" s="425"/>
      <c r="DST41" s="424"/>
      <c r="DSU41" s="425"/>
      <c r="DSV41" s="424"/>
      <c r="DSW41" s="425"/>
      <c r="DSX41" s="424"/>
      <c r="DSY41" s="425"/>
      <c r="DSZ41" s="424"/>
      <c r="DTA41" s="425"/>
      <c r="DTB41" s="424"/>
      <c r="DTC41" s="425"/>
      <c r="DTD41" s="424"/>
      <c r="DTE41" s="425"/>
      <c r="DTF41" s="424"/>
      <c r="DTG41" s="425"/>
      <c r="DTH41" s="424"/>
      <c r="DTI41" s="425"/>
      <c r="DTJ41" s="424"/>
      <c r="DTK41" s="425"/>
      <c r="DTL41" s="424"/>
      <c r="DTM41" s="425"/>
      <c r="DTN41" s="424"/>
      <c r="DTO41" s="425"/>
      <c r="DTP41" s="424"/>
      <c r="DTQ41" s="425"/>
      <c r="DTR41" s="424"/>
      <c r="DTS41" s="425"/>
      <c r="DTT41" s="424"/>
      <c r="DTU41" s="425"/>
      <c r="DTV41" s="424"/>
      <c r="DTW41" s="425"/>
      <c r="DTX41" s="424"/>
      <c r="DTY41" s="425"/>
      <c r="DTZ41" s="424"/>
      <c r="DUA41" s="425"/>
      <c r="DUB41" s="424"/>
      <c r="DUC41" s="425"/>
      <c r="DUD41" s="424"/>
      <c r="DUE41" s="425"/>
      <c r="DUF41" s="424"/>
      <c r="DUG41" s="425"/>
      <c r="DUH41" s="424"/>
      <c r="DUI41" s="425"/>
      <c r="DUJ41" s="424"/>
      <c r="DUK41" s="425"/>
      <c r="DUL41" s="424"/>
      <c r="DUM41" s="425"/>
      <c r="DUN41" s="424"/>
      <c r="DUO41" s="425"/>
      <c r="DUP41" s="424"/>
      <c r="DUQ41" s="425"/>
      <c r="DUR41" s="424"/>
      <c r="DUS41" s="425"/>
      <c r="DUT41" s="424"/>
      <c r="DUU41" s="425"/>
      <c r="DUV41" s="424"/>
      <c r="DUW41" s="425"/>
      <c r="DUX41" s="424"/>
      <c r="DUY41" s="425"/>
      <c r="DUZ41" s="424"/>
      <c r="DVA41" s="425"/>
      <c r="DVB41" s="424"/>
      <c r="DVC41" s="425"/>
      <c r="DVD41" s="424"/>
      <c r="DVE41" s="425"/>
      <c r="DVF41" s="424"/>
      <c r="DVG41" s="425"/>
      <c r="DVH41" s="424"/>
      <c r="DVI41" s="425"/>
      <c r="DVJ41" s="424"/>
      <c r="DVK41" s="425"/>
      <c r="DVL41" s="424"/>
      <c r="DVM41" s="425"/>
      <c r="DVN41" s="424"/>
      <c r="DVO41" s="425"/>
      <c r="DVP41" s="424"/>
      <c r="DVQ41" s="425"/>
      <c r="DVR41" s="424"/>
      <c r="DVS41" s="425"/>
      <c r="DVT41" s="424"/>
      <c r="DVU41" s="425"/>
      <c r="DVV41" s="424"/>
      <c r="DVW41" s="425"/>
      <c r="DVX41" s="424"/>
      <c r="DVY41" s="425"/>
      <c r="DVZ41" s="424"/>
      <c r="DWA41" s="425"/>
      <c r="DWB41" s="424"/>
      <c r="DWC41" s="425"/>
      <c r="DWD41" s="424"/>
      <c r="DWE41" s="425"/>
      <c r="DWF41" s="424"/>
      <c r="DWG41" s="425"/>
      <c r="DWH41" s="424"/>
      <c r="DWI41" s="425"/>
      <c r="DWJ41" s="424"/>
      <c r="DWK41" s="425"/>
      <c r="DWL41" s="424"/>
      <c r="DWM41" s="425"/>
      <c r="DWN41" s="424"/>
      <c r="DWO41" s="425"/>
      <c r="DWP41" s="424"/>
      <c r="DWQ41" s="425"/>
      <c r="DWR41" s="424"/>
      <c r="DWS41" s="425"/>
      <c r="DWT41" s="424"/>
      <c r="DWU41" s="425"/>
      <c r="DWV41" s="424"/>
      <c r="DWW41" s="425"/>
      <c r="DWX41" s="424"/>
      <c r="DWY41" s="425"/>
      <c r="DWZ41" s="424"/>
      <c r="DXA41" s="425"/>
      <c r="DXB41" s="424"/>
      <c r="DXC41" s="425"/>
      <c r="DXD41" s="424"/>
      <c r="DXE41" s="425"/>
      <c r="DXF41" s="424"/>
      <c r="DXG41" s="425"/>
      <c r="DXH41" s="424"/>
      <c r="DXI41" s="425"/>
      <c r="DXJ41" s="424"/>
      <c r="DXK41" s="425"/>
      <c r="DXL41" s="424"/>
      <c r="DXM41" s="425"/>
      <c r="DXN41" s="424"/>
      <c r="DXO41" s="425"/>
      <c r="DXP41" s="424"/>
      <c r="DXQ41" s="425"/>
      <c r="DXR41" s="424"/>
      <c r="DXS41" s="425"/>
      <c r="DXT41" s="424"/>
      <c r="DXU41" s="425"/>
      <c r="DXV41" s="424"/>
      <c r="DXW41" s="425"/>
      <c r="DXX41" s="424"/>
      <c r="DXY41" s="425"/>
      <c r="DXZ41" s="424"/>
      <c r="DYA41" s="425"/>
      <c r="DYB41" s="424"/>
      <c r="DYC41" s="425"/>
      <c r="DYD41" s="424"/>
      <c r="DYE41" s="425"/>
      <c r="DYF41" s="424"/>
      <c r="DYG41" s="425"/>
      <c r="DYH41" s="424"/>
      <c r="DYI41" s="425"/>
      <c r="DYJ41" s="424"/>
      <c r="DYK41" s="425"/>
      <c r="DYL41" s="424"/>
      <c r="DYM41" s="425"/>
      <c r="DYN41" s="424"/>
      <c r="DYO41" s="425"/>
      <c r="DYP41" s="424"/>
      <c r="DYQ41" s="425"/>
      <c r="DYR41" s="424"/>
      <c r="DYS41" s="425"/>
      <c r="DYT41" s="424"/>
      <c r="DYU41" s="425"/>
      <c r="DYV41" s="424"/>
      <c r="DYW41" s="425"/>
      <c r="DYX41" s="424"/>
      <c r="DYY41" s="425"/>
      <c r="DYZ41" s="424"/>
      <c r="DZA41" s="425"/>
      <c r="DZB41" s="424"/>
      <c r="DZC41" s="425"/>
      <c r="DZD41" s="424"/>
      <c r="DZE41" s="425"/>
      <c r="DZF41" s="424"/>
      <c r="DZG41" s="425"/>
      <c r="DZH41" s="424"/>
      <c r="DZI41" s="425"/>
      <c r="DZJ41" s="424"/>
      <c r="DZK41" s="425"/>
      <c r="DZL41" s="424"/>
      <c r="DZM41" s="425"/>
      <c r="DZN41" s="424"/>
      <c r="DZO41" s="425"/>
      <c r="DZP41" s="424"/>
      <c r="DZQ41" s="425"/>
      <c r="DZR41" s="424"/>
      <c r="DZS41" s="425"/>
      <c r="DZT41" s="424"/>
      <c r="DZU41" s="425"/>
      <c r="DZV41" s="424"/>
      <c r="DZW41" s="425"/>
      <c r="DZX41" s="424"/>
      <c r="DZY41" s="425"/>
      <c r="DZZ41" s="424"/>
      <c r="EAA41" s="425"/>
      <c r="EAB41" s="424"/>
      <c r="EAC41" s="425"/>
      <c r="EAD41" s="424"/>
      <c r="EAE41" s="425"/>
      <c r="EAF41" s="424"/>
      <c r="EAG41" s="425"/>
      <c r="EAH41" s="424"/>
      <c r="EAI41" s="425"/>
      <c r="EAJ41" s="424"/>
      <c r="EAK41" s="425"/>
      <c r="EAL41" s="424"/>
      <c r="EAM41" s="425"/>
      <c r="EAN41" s="424"/>
      <c r="EAO41" s="425"/>
      <c r="EAP41" s="424"/>
      <c r="EAQ41" s="425"/>
      <c r="EAR41" s="424"/>
      <c r="EAS41" s="425"/>
      <c r="EAT41" s="424"/>
      <c r="EAU41" s="425"/>
      <c r="EAV41" s="424"/>
      <c r="EAW41" s="425"/>
      <c r="EAX41" s="424"/>
      <c r="EAY41" s="425"/>
      <c r="EAZ41" s="424"/>
      <c r="EBA41" s="425"/>
      <c r="EBB41" s="424"/>
      <c r="EBC41" s="425"/>
      <c r="EBD41" s="424"/>
      <c r="EBE41" s="425"/>
      <c r="EBF41" s="424"/>
      <c r="EBG41" s="425"/>
      <c r="EBH41" s="424"/>
      <c r="EBI41" s="425"/>
      <c r="EBJ41" s="424"/>
      <c r="EBK41" s="425"/>
      <c r="EBL41" s="424"/>
      <c r="EBM41" s="425"/>
      <c r="EBN41" s="424"/>
      <c r="EBO41" s="425"/>
      <c r="EBP41" s="424"/>
      <c r="EBQ41" s="425"/>
      <c r="EBR41" s="424"/>
      <c r="EBS41" s="425"/>
      <c r="EBT41" s="424"/>
      <c r="EBU41" s="425"/>
      <c r="EBV41" s="424"/>
      <c r="EBW41" s="425"/>
      <c r="EBX41" s="424"/>
      <c r="EBY41" s="425"/>
      <c r="EBZ41" s="424"/>
      <c r="ECA41" s="425"/>
      <c r="ECB41" s="424"/>
      <c r="ECC41" s="425"/>
      <c r="ECD41" s="424"/>
      <c r="ECE41" s="425"/>
      <c r="ECF41" s="424"/>
      <c r="ECG41" s="425"/>
      <c r="ECH41" s="424"/>
      <c r="ECI41" s="425"/>
      <c r="ECJ41" s="424"/>
      <c r="ECK41" s="425"/>
      <c r="ECL41" s="424"/>
      <c r="ECM41" s="425"/>
      <c r="ECN41" s="424"/>
      <c r="ECO41" s="425"/>
      <c r="ECP41" s="424"/>
      <c r="ECQ41" s="425"/>
      <c r="ECR41" s="424"/>
      <c r="ECS41" s="425"/>
      <c r="ECT41" s="424"/>
      <c r="ECU41" s="425"/>
      <c r="ECV41" s="424"/>
      <c r="ECW41" s="425"/>
      <c r="ECX41" s="424"/>
      <c r="ECY41" s="425"/>
      <c r="ECZ41" s="424"/>
      <c r="EDA41" s="425"/>
      <c r="EDB41" s="424"/>
      <c r="EDC41" s="425"/>
      <c r="EDD41" s="424"/>
      <c r="EDE41" s="425"/>
      <c r="EDF41" s="424"/>
      <c r="EDG41" s="425"/>
      <c r="EDH41" s="424"/>
      <c r="EDI41" s="425"/>
      <c r="EDJ41" s="424"/>
      <c r="EDK41" s="425"/>
      <c r="EDL41" s="424"/>
      <c r="EDM41" s="425"/>
      <c r="EDN41" s="424"/>
      <c r="EDO41" s="425"/>
      <c r="EDP41" s="424"/>
      <c r="EDQ41" s="425"/>
      <c r="EDR41" s="424"/>
      <c r="EDS41" s="425"/>
      <c r="EDT41" s="424"/>
      <c r="EDU41" s="425"/>
      <c r="EDV41" s="424"/>
      <c r="EDW41" s="425"/>
      <c r="EDX41" s="424"/>
      <c r="EDY41" s="425"/>
      <c r="EDZ41" s="424"/>
      <c r="EEA41" s="425"/>
      <c r="EEB41" s="424"/>
      <c r="EEC41" s="425"/>
      <c r="EED41" s="424"/>
      <c r="EEE41" s="425"/>
      <c r="EEF41" s="424"/>
      <c r="EEG41" s="425"/>
      <c r="EEH41" s="424"/>
      <c r="EEI41" s="425"/>
      <c r="EEJ41" s="424"/>
      <c r="EEK41" s="425"/>
      <c r="EEL41" s="424"/>
      <c r="EEM41" s="425"/>
      <c r="EEN41" s="424"/>
      <c r="EEO41" s="425"/>
      <c r="EEP41" s="424"/>
      <c r="EEQ41" s="425"/>
      <c r="EER41" s="424"/>
      <c r="EES41" s="425"/>
      <c r="EET41" s="424"/>
      <c r="EEU41" s="425"/>
      <c r="EEV41" s="424"/>
      <c r="EEW41" s="425"/>
      <c r="EEX41" s="424"/>
      <c r="EEY41" s="425"/>
      <c r="EEZ41" s="424"/>
      <c r="EFA41" s="425"/>
      <c r="EFB41" s="424"/>
      <c r="EFC41" s="425"/>
      <c r="EFD41" s="424"/>
      <c r="EFE41" s="425"/>
      <c r="EFF41" s="424"/>
      <c r="EFG41" s="425"/>
      <c r="EFH41" s="424"/>
      <c r="EFI41" s="425"/>
      <c r="EFJ41" s="424"/>
      <c r="EFK41" s="425"/>
      <c r="EFL41" s="424"/>
      <c r="EFM41" s="425"/>
      <c r="EFN41" s="424"/>
      <c r="EFO41" s="425"/>
      <c r="EFP41" s="424"/>
      <c r="EFQ41" s="425"/>
      <c r="EFR41" s="424"/>
      <c r="EFS41" s="425"/>
      <c r="EFT41" s="424"/>
      <c r="EFU41" s="425"/>
      <c r="EFV41" s="424"/>
      <c r="EFW41" s="425"/>
      <c r="EFX41" s="424"/>
      <c r="EFY41" s="425"/>
      <c r="EFZ41" s="424"/>
      <c r="EGA41" s="425"/>
      <c r="EGB41" s="424"/>
      <c r="EGC41" s="425"/>
      <c r="EGD41" s="424"/>
      <c r="EGE41" s="425"/>
      <c r="EGF41" s="424"/>
      <c r="EGG41" s="425"/>
      <c r="EGH41" s="424"/>
      <c r="EGI41" s="425"/>
      <c r="EGJ41" s="424"/>
      <c r="EGK41" s="425"/>
      <c r="EGL41" s="424"/>
      <c r="EGM41" s="425"/>
      <c r="EGN41" s="424"/>
      <c r="EGO41" s="425"/>
      <c r="EGP41" s="424"/>
      <c r="EGQ41" s="425"/>
      <c r="EGR41" s="424"/>
      <c r="EGS41" s="425"/>
      <c r="EGT41" s="424"/>
      <c r="EGU41" s="425"/>
      <c r="EGV41" s="424"/>
      <c r="EGW41" s="425"/>
      <c r="EGX41" s="424"/>
      <c r="EGY41" s="425"/>
      <c r="EGZ41" s="424"/>
      <c r="EHA41" s="425"/>
      <c r="EHB41" s="424"/>
      <c r="EHC41" s="425"/>
      <c r="EHD41" s="424"/>
      <c r="EHE41" s="425"/>
      <c r="EHF41" s="424"/>
      <c r="EHG41" s="425"/>
      <c r="EHH41" s="424"/>
      <c r="EHI41" s="425"/>
      <c r="EHJ41" s="424"/>
      <c r="EHK41" s="425"/>
      <c r="EHL41" s="424"/>
      <c r="EHM41" s="425"/>
      <c r="EHN41" s="424"/>
      <c r="EHO41" s="425"/>
      <c r="EHP41" s="424"/>
      <c r="EHQ41" s="425"/>
      <c r="EHR41" s="424"/>
      <c r="EHS41" s="425"/>
      <c r="EHT41" s="424"/>
      <c r="EHU41" s="425"/>
      <c r="EHV41" s="424"/>
      <c r="EHW41" s="425"/>
      <c r="EHX41" s="424"/>
      <c r="EHY41" s="425"/>
      <c r="EHZ41" s="424"/>
      <c r="EIA41" s="425"/>
      <c r="EIB41" s="424"/>
      <c r="EIC41" s="425"/>
      <c r="EID41" s="424"/>
      <c r="EIE41" s="425"/>
      <c r="EIF41" s="424"/>
      <c r="EIG41" s="425"/>
      <c r="EIH41" s="424"/>
      <c r="EII41" s="425"/>
      <c r="EIJ41" s="424"/>
      <c r="EIK41" s="425"/>
      <c r="EIL41" s="424"/>
      <c r="EIM41" s="425"/>
      <c r="EIN41" s="424"/>
      <c r="EIO41" s="425"/>
      <c r="EIP41" s="424"/>
      <c r="EIQ41" s="425"/>
      <c r="EIR41" s="424"/>
      <c r="EIS41" s="425"/>
      <c r="EIT41" s="424"/>
      <c r="EIU41" s="425"/>
      <c r="EIV41" s="424"/>
      <c r="EIW41" s="425"/>
      <c r="EIX41" s="424"/>
      <c r="EIY41" s="425"/>
      <c r="EIZ41" s="424"/>
      <c r="EJA41" s="425"/>
      <c r="EJB41" s="424"/>
      <c r="EJC41" s="425"/>
      <c r="EJD41" s="424"/>
      <c r="EJE41" s="425"/>
      <c r="EJF41" s="424"/>
      <c r="EJG41" s="425"/>
      <c r="EJH41" s="424"/>
      <c r="EJI41" s="425"/>
      <c r="EJJ41" s="424"/>
      <c r="EJK41" s="425"/>
      <c r="EJL41" s="424"/>
      <c r="EJM41" s="425"/>
      <c r="EJN41" s="424"/>
      <c r="EJO41" s="425"/>
      <c r="EJP41" s="424"/>
      <c r="EJQ41" s="425"/>
      <c r="EJR41" s="424"/>
      <c r="EJS41" s="425"/>
      <c r="EJT41" s="424"/>
      <c r="EJU41" s="425"/>
      <c r="EJV41" s="424"/>
      <c r="EJW41" s="425"/>
      <c r="EJX41" s="424"/>
      <c r="EJY41" s="425"/>
      <c r="EJZ41" s="424"/>
      <c r="EKA41" s="425"/>
      <c r="EKB41" s="424"/>
      <c r="EKC41" s="425"/>
      <c r="EKD41" s="424"/>
      <c r="EKE41" s="425"/>
      <c r="EKF41" s="424"/>
      <c r="EKG41" s="425"/>
      <c r="EKH41" s="424"/>
      <c r="EKI41" s="425"/>
      <c r="EKJ41" s="424"/>
      <c r="EKK41" s="425"/>
      <c r="EKL41" s="424"/>
      <c r="EKM41" s="425"/>
      <c r="EKN41" s="424"/>
      <c r="EKO41" s="425"/>
      <c r="EKP41" s="424"/>
      <c r="EKQ41" s="425"/>
      <c r="EKR41" s="424"/>
      <c r="EKS41" s="425"/>
      <c r="EKT41" s="424"/>
      <c r="EKU41" s="425"/>
      <c r="EKV41" s="424"/>
      <c r="EKW41" s="425"/>
      <c r="EKX41" s="424"/>
      <c r="EKY41" s="425"/>
      <c r="EKZ41" s="424"/>
      <c r="ELA41" s="425"/>
      <c r="ELB41" s="424"/>
      <c r="ELC41" s="425"/>
      <c r="ELD41" s="424"/>
      <c r="ELE41" s="425"/>
      <c r="ELF41" s="424"/>
      <c r="ELG41" s="425"/>
      <c r="ELH41" s="424"/>
      <c r="ELI41" s="425"/>
      <c r="ELJ41" s="424"/>
      <c r="ELK41" s="425"/>
      <c r="ELL41" s="424"/>
      <c r="ELM41" s="425"/>
      <c r="ELN41" s="424"/>
      <c r="ELO41" s="425"/>
      <c r="ELP41" s="424"/>
      <c r="ELQ41" s="425"/>
      <c r="ELR41" s="424"/>
      <c r="ELS41" s="425"/>
      <c r="ELT41" s="424"/>
      <c r="ELU41" s="425"/>
      <c r="ELV41" s="424"/>
      <c r="ELW41" s="425"/>
      <c r="ELX41" s="424"/>
      <c r="ELY41" s="425"/>
      <c r="ELZ41" s="424"/>
      <c r="EMA41" s="425"/>
      <c r="EMB41" s="424"/>
      <c r="EMC41" s="425"/>
      <c r="EMD41" s="424"/>
      <c r="EME41" s="425"/>
      <c r="EMF41" s="424"/>
      <c r="EMG41" s="425"/>
      <c r="EMH41" s="424"/>
      <c r="EMI41" s="425"/>
      <c r="EMJ41" s="424"/>
      <c r="EMK41" s="425"/>
      <c r="EML41" s="424"/>
      <c r="EMM41" s="425"/>
      <c r="EMN41" s="424"/>
      <c r="EMO41" s="425"/>
      <c r="EMP41" s="424"/>
      <c r="EMQ41" s="425"/>
      <c r="EMR41" s="424"/>
      <c r="EMS41" s="425"/>
      <c r="EMT41" s="424"/>
      <c r="EMU41" s="425"/>
      <c r="EMV41" s="424"/>
      <c r="EMW41" s="425"/>
      <c r="EMX41" s="424"/>
      <c r="EMY41" s="425"/>
      <c r="EMZ41" s="424"/>
      <c r="ENA41" s="425"/>
      <c r="ENB41" s="424"/>
      <c r="ENC41" s="425"/>
      <c r="END41" s="424"/>
      <c r="ENE41" s="425"/>
      <c r="ENF41" s="424"/>
      <c r="ENG41" s="425"/>
      <c r="ENH41" s="424"/>
      <c r="ENI41" s="425"/>
      <c r="ENJ41" s="424"/>
      <c r="ENK41" s="425"/>
      <c r="ENL41" s="424"/>
      <c r="ENM41" s="425"/>
      <c r="ENN41" s="424"/>
      <c r="ENO41" s="425"/>
      <c r="ENP41" s="424"/>
      <c r="ENQ41" s="425"/>
      <c r="ENR41" s="424"/>
      <c r="ENS41" s="425"/>
      <c r="ENT41" s="424"/>
      <c r="ENU41" s="425"/>
      <c r="ENV41" s="424"/>
      <c r="ENW41" s="425"/>
      <c r="ENX41" s="424"/>
      <c r="ENY41" s="425"/>
      <c r="ENZ41" s="424"/>
      <c r="EOA41" s="425"/>
      <c r="EOB41" s="424"/>
      <c r="EOC41" s="425"/>
      <c r="EOD41" s="424"/>
      <c r="EOE41" s="425"/>
      <c r="EOF41" s="424"/>
      <c r="EOG41" s="425"/>
      <c r="EOH41" s="424"/>
      <c r="EOI41" s="425"/>
      <c r="EOJ41" s="424"/>
      <c r="EOK41" s="425"/>
      <c r="EOL41" s="424"/>
      <c r="EOM41" s="425"/>
      <c r="EON41" s="424"/>
      <c r="EOO41" s="425"/>
      <c r="EOP41" s="424"/>
      <c r="EOQ41" s="425"/>
      <c r="EOR41" s="424"/>
      <c r="EOS41" s="425"/>
      <c r="EOT41" s="424"/>
      <c r="EOU41" s="425"/>
      <c r="EOV41" s="424"/>
      <c r="EOW41" s="425"/>
      <c r="EOX41" s="424"/>
      <c r="EOY41" s="425"/>
      <c r="EOZ41" s="424"/>
      <c r="EPA41" s="425"/>
      <c r="EPB41" s="424"/>
      <c r="EPC41" s="425"/>
      <c r="EPD41" s="424"/>
      <c r="EPE41" s="425"/>
      <c r="EPF41" s="424"/>
      <c r="EPG41" s="425"/>
      <c r="EPH41" s="424"/>
      <c r="EPI41" s="425"/>
      <c r="EPJ41" s="424"/>
      <c r="EPK41" s="425"/>
      <c r="EPL41" s="424"/>
      <c r="EPM41" s="425"/>
      <c r="EPN41" s="424"/>
      <c r="EPO41" s="425"/>
      <c r="EPP41" s="424"/>
      <c r="EPQ41" s="425"/>
      <c r="EPR41" s="424"/>
      <c r="EPS41" s="425"/>
      <c r="EPT41" s="424"/>
      <c r="EPU41" s="425"/>
      <c r="EPV41" s="424"/>
      <c r="EPW41" s="425"/>
      <c r="EPX41" s="424"/>
      <c r="EPY41" s="425"/>
      <c r="EPZ41" s="424"/>
      <c r="EQA41" s="425"/>
      <c r="EQB41" s="424"/>
      <c r="EQC41" s="425"/>
      <c r="EQD41" s="424"/>
      <c r="EQE41" s="425"/>
      <c r="EQF41" s="424"/>
      <c r="EQG41" s="425"/>
      <c r="EQH41" s="424"/>
      <c r="EQI41" s="425"/>
      <c r="EQJ41" s="424"/>
      <c r="EQK41" s="425"/>
      <c r="EQL41" s="424"/>
      <c r="EQM41" s="425"/>
      <c r="EQN41" s="424"/>
      <c r="EQO41" s="425"/>
      <c r="EQP41" s="424"/>
      <c r="EQQ41" s="425"/>
      <c r="EQR41" s="424"/>
      <c r="EQS41" s="425"/>
      <c r="EQT41" s="424"/>
      <c r="EQU41" s="425"/>
      <c r="EQV41" s="424"/>
      <c r="EQW41" s="425"/>
      <c r="EQX41" s="424"/>
      <c r="EQY41" s="425"/>
      <c r="EQZ41" s="424"/>
      <c r="ERA41" s="425"/>
      <c r="ERB41" s="424"/>
      <c r="ERC41" s="425"/>
      <c r="ERD41" s="424"/>
      <c r="ERE41" s="425"/>
      <c r="ERF41" s="424"/>
      <c r="ERG41" s="425"/>
      <c r="ERH41" s="424"/>
      <c r="ERI41" s="425"/>
      <c r="ERJ41" s="424"/>
      <c r="ERK41" s="425"/>
      <c r="ERL41" s="424"/>
      <c r="ERM41" s="425"/>
      <c r="ERN41" s="424"/>
      <c r="ERO41" s="425"/>
      <c r="ERP41" s="424"/>
      <c r="ERQ41" s="425"/>
      <c r="ERR41" s="424"/>
      <c r="ERS41" s="425"/>
      <c r="ERT41" s="424"/>
      <c r="ERU41" s="425"/>
      <c r="ERV41" s="424"/>
      <c r="ERW41" s="425"/>
      <c r="ERX41" s="424"/>
      <c r="ERY41" s="425"/>
      <c r="ERZ41" s="424"/>
      <c r="ESA41" s="425"/>
      <c r="ESB41" s="424"/>
      <c r="ESC41" s="425"/>
      <c r="ESD41" s="424"/>
      <c r="ESE41" s="425"/>
      <c r="ESF41" s="424"/>
      <c r="ESG41" s="425"/>
      <c r="ESH41" s="424"/>
      <c r="ESI41" s="425"/>
      <c r="ESJ41" s="424"/>
      <c r="ESK41" s="425"/>
      <c r="ESL41" s="424"/>
      <c r="ESM41" s="425"/>
      <c r="ESN41" s="424"/>
      <c r="ESO41" s="425"/>
      <c r="ESP41" s="424"/>
      <c r="ESQ41" s="425"/>
      <c r="ESR41" s="424"/>
      <c r="ESS41" s="425"/>
      <c r="EST41" s="424"/>
      <c r="ESU41" s="425"/>
      <c r="ESV41" s="424"/>
      <c r="ESW41" s="425"/>
      <c r="ESX41" s="424"/>
      <c r="ESY41" s="425"/>
      <c r="ESZ41" s="424"/>
      <c r="ETA41" s="425"/>
      <c r="ETB41" s="424"/>
      <c r="ETC41" s="425"/>
      <c r="ETD41" s="424"/>
      <c r="ETE41" s="425"/>
      <c r="ETF41" s="424"/>
      <c r="ETG41" s="425"/>
      <c r="ETH41" s="424"/>
      <c r="ETI41" s="425"/>
      <c r="ETJ41" s="424"/>
      <c r="ETK41" s="425"/>
      <c r="ETL41" s="424"/>
      <c r="ETM41" s="425"/>
      <c r="ETN41" s="424"/>
      <c r="ETO41" s="425"/>
      <c r="ETP41" s="424"/>
      <c r="ETQ41" s="425"/>
      <c r="ETR41" s="424"/>
      <c r="ETS41" s="425"/>
      <c r="ETT41" s="424"/>
      <c r="ETU41" s="425"/>
      <c r="ETV41" s="424"/>
      <c r="ETW41" s="425"/>
      <c r="ETX41" s="424"/>
      <c r="ETY41" s="425"/>
      <c r="ETZ41" s="424"/>
      <c r="EUA41" s="425"/>
      <c r="EUB41" s="424"/>
      <c r="EUC41" s="425"/>
      <c r="EUD41" s="424"/>
      <c r="EUE41" s="425"/>
      <c r="EUF41" s="424"/>
      <c r="EUG41" s="425"/>
      <c r="EUH41" s="424"/>
      <c r="EUI41" s="425"/>
      <c r="EUJ41" s="424"/>
      <c r="EUK41" s="425"/>
      <c r="EUL41" s="424"/>
      <c r="EUM41" s="425"/>
      <c r="EUN41" s="424"/>
      <c r="EUO41" s="425"/>
      <c r="EUP41" s="424"/>
      <c r="EUQ41" s="425"/>
      <c r="EUR41" s="424"/>
      <c r="EUS41" s="425"/>
      <c r="EUT41" s="424"/>
      <c r="EUU41" s="425"/>
      <c r="EUV41" s="424"/>
      <c r="EUW41" s="425"/>
      <c r="EUX41" s="424"/>
      <c r="EUY41" s="425"/>
      <c r="EUZ41" s="424"/>
      <c r="EVA41" s="425"/>
      <c r="EVB41" s="424"/>
      <c r="EVC41" s="425"/>
      <c r="EVD41" s="424"/>
      <c r="EVE41" s="425"/>
      <c r="EVF41" s="424"/>
      <c r="EVG41" s="425"/>
      <c r="EVH41" s="424"/>
      <c r="EVI41" s="425"/>
      <c r="EVJ41" s="424"/>
      <c r="EVK41" s="425"/>
      <c r="EVL41" s="424"/>
      <c r="EVM41" s="425"/>
      <c r="EVN41" s="424"/>
      <c r="EVO41" s="425"/>
      <c r="EVP41" s="424"/>
      <c r="EVQ41" s="425"/>
      <c r="EVR41" s="424"/>
      <c r="EVS41" s="425"/>
      <c r="EVT41" s="424"/>
      <c r="EVU41" s="425"/>
      <c r="EVV41" s="424"/>
      <c r="EVW41" s="425"/>
      <c r="EVX41" s="424"/>
      <c r="EVY41" s="425"/>
      <c r="EVZ41" s="424"/>
      <c r="EWA41" s="425"/>
      <c r="EWB41" s="424"/>
      <c r="EWC41" s="425"/>
      <c r="EWD41" s="424"/>
      <c r="EWE41" s="425"/>
      <c r="EWF41" s="424"/>
      <c r="EWG41" s="425"/>
      <c r="EWH41" s="424"/>
      <c r="EWI41" s="425"/>
      <c r="EWJ41" s="424"/>
      <c r="EWK41" s="425"/>
      <c r="EWL41" s="424"/>
      <c r="EWM41" s="425"/>
      <c r="EWN41" s="424"/>
      <c r="EWO41" s="425"/>
      <c r="EWP41" s="424"/>
      <c r="EWQ41" s="425"/>
      <c r="EWR41" s="424"/>
      <c r="EWS41" s="425"/>
      <c r="EWT41" s="424"/>
      <c r="EWU41" s="425"/>
      <c r="EWV41" s="424"/>
      <c r="EWW41" s="425"/>
      <c r="EWX41" s="424"/>
      <c r="EWY41" s="425"/>
      <c r="EWZ41" s="424"/>
      <c r="EXA41" s="425"/>
      <c r="EXB41" s="424"/>
      <c r="EXC41" s="425"/>
      <c r="EXD41" s="424"/>
      <c r="EXE41" s="425"/>
      <c r="EXF41" s="424"/>
      <c r="EXG41" s="425"/>
      <c r="EXH41" s="424"/>
      <c r="EXI41" s="425"/>
      <c r="EXJ41" s="424"/>
      <c r="EXK41" s="425"/>
      <c r="EXL41" s="424"/>
      <c r="EXM41" s="425"/>
      <c r="EXN41" s="424"/>
      <c r="EXO41" s="425"/>
      <c r="EXP41" s="424"/>
      <c r="EXQ41" s="425"/>
      <c r="EXR41" s="424"/>
      <c r="EXS41" s="425"/>
      <c r="EXT41" s="424"/>
      <c r="EXU41" s="425"/>
      <c r="EXV41" s="424"/>
      <c r="EXW41" s="425"/>
      <c r="EXX41" s="424"/>
      <c r="EXY41" s="425"/>
      <c r="EXZ41" s="424"/>
      <c r="EYA41" s="425"/>
      <c r="EYB41" s="424"/>
      <c r="EYC41" s="425"/>
      <c r="EYD41" s="424"/>
      <c r="EYE41" s="425"/>
      <c r="EYF41" s="424"/>
      <c r="EYG41" s="425"/>
      <c r="EYH41" s="424"/>
      <c r="EYI41" s="425"/>
      <c r="EYJ41" s="424"/>
      <c r="EYK41" s="425"/>
      <c r="EYL41" s="424"/>
      <c r="EYM41" s="425"/>
      <c r="EYN41" s="424"/>
      <c r="EYO41" s="425"/>
      <c r="EYP41" s="424"/>
      <c r="EYQ41" s="425"/>
      <c r="EYR41" s="424"/>
      <c r="EYS41" s="425"/>
      <c r="EYT41" s="424"/>
      <c r="EYU41" s="425"/>
      <c r="EYV41" s="424"/>
      <c r="EYW41" s="425"/>
      <c r="EYX41" s="424"/>
      <c r="EYY41" s="425"/>
      <c r="EYZ41" s="424"/>
      <c r="EZA41" s="425"/>
      <c r="EZB41" s="424"/>
      <c r="EZC41" s="425"/>
      <c r="EZD41" s="424"/>
      <c r="EZE41" s="425"/>
      <c r="EZF41" s="424"/>
      <c r="EZG41" s="425"/>
      <c r="EZH41" s="424"/>
      <c r="EZI41" s="425"/>
      <c r="EZJ41" s="424"/>
      <c r="EZK41" s="425"/>
      <c r="EZL41" s="424"/>
      <c r="EZM41" s="425"/>
      <c r="EZN41" s="424"/>
      <c r="EZO41" s="425"/>
      <c r="EZP41" s="424"/>
      <c r="EZQ41" s="425"/>
      <c r="EZR41" s="424"/>
      <c r="EZS41" s="425"/>
      <c r="EZT41" s="424"/>
      <c r="EZU41" s="425"/>
      <c r="EZV41" s="424"/>
      <c r="EZW41" s="425"/>
      <c r="EZX41" s="424"/>
      <c r="EZY41" s="425"/>
      <c r="EZZ41" s="424"/>
      <c r="FAA41" s="425"/>
      <c r="FAB41" s="424"/>
      <c r="FAC41" s="425"/>
      <c r="FAD41" s="424"/>
      <c r="FAE41" s="425"/>
      <c r="FAF41" s="424"/>
      <c r="FAG41" s="425"/>
      <c r="FAH41" s="424"/>
      <c r="FAI41" s="425"/>
      <c r="FAJ41" s="424"/>
      <c r="FAK41" s="425"/>
      <c r="FAL41" s="424"/>
      <c r="FAM41" s="425"/>
      <c r="FAN41" s="424"/>
      <c r="FAO41" s="425"/>
      <c r="FAP41" s="424"/>
      <c r="FAQ41" s="425"/>
      <c r="FAR41" s="424"/>
      <c r="FAS41" s="425"/>
      <c r="FAT41" s="424"/>
      <c r="FAU41" s="425"/>
      <c r="FAV41" s="424"/>
      <c r="FAW41" s="425"/>
      <c r="FAX41" s="424"/>
      <c r="FAY41" s="425"/>
      <c r="FAZ41" s="424"/>
      <c r="FBA41" s="425"/>
      <c r="FBB41" s="424"/>
      <c r="FBC41" s="425"/>
      <c r="FBD41" s="424"/>
      <c r="FBE41" s="425"/>
      <c r="FBF41" s="424"/>
      <c r="FBG41" s="425"/>
      <c r="FBH41" s="424"/>
      <c r="FBI41" s="425"/>
      <c r="FBJ41" s="424"/>
      <c r="FBK41" s="425"/>
      <c r="FBL41" s="424"/>
      <c r="FBM41" s="425"/>
      <c r="FBN41" s="424"/>
      <c r="FBO41" s="425"/>
      <c r="FBP41" s="424"/>
      <c r="FBQ41" s="425"/>
      <c r="FBR41" s="424"/>
      <c r="FBS41" s="425"/>
      <c r="FBT41" s="424"/>
      <c r="FBU41" s="425"/>
      <c r="FBV41" s="424"/>
      <c r="FBW41" s="425"/>
      <c r="FBX41" s="424"/>
      <c r="FBY41" s="425"/>
      <c r="FBZ41" s="424"/>
      <c r="FCA41" s="425"/>
      <c r="FCB41" s="424"/>
      <c r="FCC41" s="425"/>
      <c r="FCD41" s="424"/>
      <c r="FCE41" s="425"/>
      <c r="FCF41" s="424"/>
      <c r="FCG41" s="425"/>
      <c r="FCH41" s="424"/>
      <c r="FCI41" s="425"/>
      <c r="FCJ41" s="424"/>
      <c r="FCK41" s="425"/>
      <c r="FCL41" s="424"/>
      <c r="FCM41" s="425"/>
      <c r="FCN41" s="424"/>
      <c r="FCO41" s="425"/>
      <c r="FCP41" s="424"/>
      <c r="FCQ41" s="425"/>
      <c r="FCR41" s="424"/>
      <c r="FCS41" s="425"/>
      <c r="FCT41" s="424"/>
      <c r="FCU41" s="425"/>
      <c r="FCV41" s="424"/>
      <c r="FCW41" s="425"/>
      <c r="FCX41" s="424"/>
      <c r="FCY41" s="425"/>
      <c r="FCZ41" s="424"/>
      <c r="FDA41" s="425"/>
      <c r="FDB41" s="424"/>
      <c r="FDC41" s="425"/>
      <c r="FDD41" s="424"/>
      <c r="FDE41" s="425"/>
      <c r="FDF41" s="424"/>
      <c r="FDG41" s="425"/>
      <c r="FDH41" s="424"/>
      <c r="FDI41" s="425"/>
      <c r="FDJ41" s="424"/>
      <c r="FDK41" s="425"/>
      <c r="FDL41" s="424"/>
      <c r="FDM41" s="425"/>
      <c r="FDN41" s="424"/>
      <c r="FDO41" s="425"/>
      <c r="FDP41" s="424"/>
      <c r="FDQ41" s="425"/>
      <c r="FDR41" s="424"/>
      <c r="FDS41" s="425"/>
      <c r="FDT41" s="424"/>
      <c r="FDU41" s="425"/>
      <c r="FDV41" s="424"/>
      <c r="FDW41" s="425"/>
      <c r="FDX41" s="424"/>
      <c r="FDY41" s="425"/>
      <c r="FDZ41" s="424"/>
      <c r="FEA41" s="425"/>
      <c r="FEB41" s="424"/>
      <c r="FEC41" s="425"/>
      <c r="FED41" s="424"/>
      <c r="FEE41" s="425"/>
      <c r="FEF41" s="424"/>
      <c r="FEG41" s="425"/>
      <c r="FEH41" s="424"/>
      <c r="FEI41" s="425"/>
      <c r="FEJ41" s="424"/>
      <c r="FEK41" s="425"/>
      <c r="FEL41" s="424"/>
      <c r="FEM41" s="425"/>
      <c r="FEN41" s="424"/>
      <c r="FEO41" s="425"/>
      <c r="FEP41" s="424"/>
      <c r="FEQ41" s="425"/>
      <c r="FER41" s="424"/>
      <c r="FES41" s="425"/>
      <c r="FET41" s="424"/>
      <c r="FEU41" s="425"/>
      <c r="FEV41" s="424"/>
      <c r="FEW41" s="425"/>
      <c r="FEX41" s="424"/>
      <c r="FEY41" s="425"/>
      <c r="FEZ41" s="424"/>
      <c r="FFA41" s="425"/>
      <c r="FFB41" s="424"/>
      <c r="FFC41" s="425"/>
      <c r="FFD41" s="424"/>
      <c r="FFE41" s="425"/>
      <c r="FFF41" s="424"/>
      <c r="FFG41" s="425"/>
      <c r="FFH41" s="424"/>
      <c r="FFI41" s="425"/>
      <c r="FFJ41" s="424"/>
      <c r="FFK41" s="425"/>
      <c r="FFL41" s="424"/>
      <c r="FFM41" s="425"/>
      <c r="FFN41" s="424"/>
      <c r="FFO41" s="425"/>
      <c r="FFP41" s="424"/>
      <c r="FFQ41" s="425"/>
      <c r="FFR41" s="424"/>
      <c r="FFS41" s="425"/>
      <c r="FFT41" s="424"/>
      <c r="FFU41" s="425"/>
      <c r="FFV41" s="424"/>
      <c r="FFW41" s="425"/>
      <c r="FFX41" s="424"/>
      <c r="FFY41" s="425"/>
      <c r="FFZ41" s="424"/>
      <c r="FGA41" s="425"/>
      <c r="FGB41" s="424"/>
      <c r="FGC41" s="425"/>
      <c r="FGD41" s="424"/>
      <c r="FGE41" s="425"/>
      <c r="FGF41" s="424"/>
      <c r="FGG41" s="425"/>
      <c r="FGH41" s="424"/>
      <c r="FGI41" s="425"/>
      <c r="FGJ41" s="424"/>
      <c r="FGK41" s="425"/>
      <c r="FGL41" s="424"/>
      <c r="FGM41" s="425"/>
      <c r="FGN41" s="424"/>
      <c r="FGO41" s="425"/>
      <c r="FGP41" s="424"/>
      <c r="FGQ41" s="425"/>
      <c r="FGR41" s="424"/>
      <c r="FGS41" s="425"/>
      <c r="FGT41" s="424"/>
      <c r="FGU41" s="425"/>
      <c r="FGV41" s="424"/>
      <c r="FGW41" s="425"/>
      <c r="FGX41" s="424"/>
      <c r="FGY41" s="425"/>
      <c r="FGZ41" s="424"/>
      <c r="FHA41" s="425"/>
      <c r="FHB41" s="424"/>
      <c r="FHC41" s="425"/>
      <c r="FHD41" s="424"/>
      <c r="FHE41" s="425"/>
      <c r="FHF41" s="424"/>
      <c r="FHG41" s="425"/>
      <c r="FHH41" s="424"/>
      <c r="FHI41" s="425"/>
      <c r="FHJ41" s="424"/>
      <c r="FHK41" s="425"/>
      <c r="FHL41" s="424"/>
      <c r="FHM41" s="425"/>
      <c r="FHN41" s="424"/>
      <c r="FHO41" s="425"/>
      <c r="FHP41" s="424"/>
      <c r="FHQ41" s="425"/>
      <c r="FHR41" s="424"/>
      <c r="FHS41" s="425"/>
      <c r="FHT41" s="424"/>
      <c r="FHU41" s="425"/>
      <c r="FHV41" s="424"/>
      <c r="FHW41" s="425"/>
      <c r="FHX41" s="424"/>
      <c r="FHY41" s="425"/>
      <c r="FHZ41" s="424"/>
      <c r="FIA41" s="425"/>
      <c r="FIB41" s="424"/>
      <c r="FIC41" s="425"/>
      <c r="FID41" s="424"/>
      <c r="FIE41" s="425"/>
      <c r="FIF41" s="424"/>
      <c r="FIG41" s="425"/>
      <c r="FIH41" s="424"/>
      <c r="FII41" s="425"/>
      <c r="FIJ41" s="424"/>
      <c r="FIK41" s="425"/>
      <c r="FIL41" s="424"/>
      <c r="FIM41" s="425"/>
      <c r="FIN41" s="424"/>
      <c r="FIO41" s="425"/>
      <c r="FIP41" s="424"/>
      <c r="FIQ41" s="425"/>
      <c r="FIR41" s="424"/>
      <c r="FIS41" s="425"/>
      <c r="FIT41" s="424"/>
      <c r="FIU41" s="425"/>
      <c r="FIV41" s="424"/>
      <c r="FIW41" s="425"/>
      <c r="FIX41" s="424"/>
      <c r="FIY41" s="425"/>
      <c r="FIZ41" s="424"/>
      <c r="FJA41" s="425"/>
      <c r="FJB41" s="424"/>
      <c r="FJC41" s="425"/>
      <c r="FJD41" s="424"/>
      <c r="FJE41" s="425"/>
      <c r="FJF41" s="424"/>
      <c r="FJG41" s="425"/>
      <c r="FJH41" s="424"/>
      <c r="FJI41" s="425"/>
      <c r="FJJ41" s="424"/>
      <c r="FJK41" s="425"/>
      <c r="FJL41" s="424"/>
      <c r="FJM41" s="425"/>
      <c r="FJN41" s="424"/>
      <c r="FJO41" s="425"/>
      <c r="FJP41" s="424"/>
      <c r="FJQ41" s="425"/>
      <c r="FJR41" s="424"/>
      <c r="FJS41" s="425"/>
      <c r="FJT41" s="424"/>
      <c r="FJU41" s="425"/>
      <c r="FJV41" s="424"/>
      <c r="FJW41" s="425"/>
      <c r="FJX41" s="424"/>
      <c r="FJY41" s="425"/>
      <c r="FJZ41" s="424"/>
      <c r="FKA41" s="425"/>
      <c r="FKB41" s="424"/>
      <c r="FKC41" s="425"/>
      <c r="FKD41" s="424"/>
      <c r="FKE41" s="425"/>
      <c r="FKF41" s="424"/>
      <c r="FKG41" s="425"/>
      <c r="FKH41" s="424"/>
      <c r="FKI41" s="425"/>
      <c r="FKJ41" s="424"/>
      <c r="FKK41" s="425"/>
      <c r="FKL41" s="424"/>
      <c r="FKM41" s="425"/>
      <c r="FKN41" s="424"/>
      <c r="FKO41" s="425"/>
      <c r="FKP41" s="424"/>
      <c r="FKQ41" s="425"/>
      <c r="FKR41" s="424"/>
      <c r="FKS41" s="425"/>
      <c r="FKT41" s="424"/>
      <c r="FKU41" s="425"/>
      <c r="FKV41" s="424"/>
      <c r="FKW41" s="425"/>
      <c r="FKX41" s="424"/>
      <c r="FKY41" s="425"/>
      <c r="FKZ41" s="424"/>
      <c r="FLA41" s="425"/>
      <c r="FLB41" s="424"/>
      <c r="FLC41" s="425"/>
      <c r="FLD41" s="424"/>
      <c r="FLE41" s="425"/>
      <c r="FLF41" s="424"/>
      <c r="FLG41" s="425"/>
      <c r="FLH41" s="424"/>
      <c r="FLI41" s="425"/>
      <c r="FLJ41" s="424"/>
      <c r="FLK41" s="425"/>
      <c r="FLL41" s="424"/>
      <c r="FLM41" s="425"/>
      <c r="FLN41" s="424"/>
      <c r="FLO41" s="425"/>
      <c r="FLP41" s="424"/>
      <c r="FLQ41" s="425"/>
      <c r="FLR41" s="424"/>
      <c r="FLS41" s="425"/>
      <c r="FLT41" s="424"/>
      <c r="FLU41" s="425"/>
      <c r="FLV41" s="424"/>
      <c r="FLW41" s="425"/>
      <c r="FLX41" s="424"/>
      <c r="FLY41" s="425"/>
      <c r="FLZ41" s="424"/>
      <c r="FMA41" s="425"/>
      <c r="FMB41" s="424"/>
      <c r="FMC41" s="425"/>
      <c r="FMD41" s="424"/>
      <c r="FME41" s="425"/>
      <c r="FMF41" s="424"/>
      <c r="FMG41" s="425"/>
      <c r="FMH41" s="424"/>
      <c r="FMI41" s="425"/>
      <c r="FMJ41" s="424"/>
      <c r="FMK41" s="425"/>
      <c r="FML41" s="424"/>
      <c r="FMM41" s="425"/>
      <c r="FMN41" s="424"/>
      <c r="FMO41" s="425"/>
      <c r="FMP41" s="424"/>
      <c r="FMQ41" s="425"/>
      <c r="FMR41" s="424"/>
      <c r="FMS41" s="425"/>
      <c r="FMT41" s="424"/>
      <c r="FMU41" s="425"/>
      <c r="FMV41" s="424"/>
      <c r="FMW41" s="425"/>
      <c r="FMX41" s="424"/>
      <c r="FMY41" s="425"/>
      <c r="FMZ41" s="424"/>
      <c r="FNA41" s="425"/>
      <c r="FNB41" s="424"/>
      <c r="FNC41" s="425"/>
      <c r="FND41" s="424"/>
      <c r="FNE41" s="425"/>
      <c r="FNF41" s="424"/>
      <c r="FNG41" s="425"/>
      <c r="FNH41" s="424"/>
      <c r="FNI41" s="425"/>
      <c r="FNJ41" s="424"/>
      <c r="FNK41" s="425"/>
      <c r="FNL41" s="424"/>
      <c r="FNM41" s="425"/>
      <c r="FNN41" s="424"/>
      <c r="FNO41" s="425"/>
      <c r="FNP41" s="424"/>
      <c r="FNQ41" s="425"/>
      <c r="FNR41" s="424"/>
      <c r="FNS41" s="425"/>
      <c r="FNT41" s="424"/>
      <c r="FNU41" s="425"/>
      <c r="FNV41" s="424"/>
      <c r="FNW41" s="425"/>
      <c r="FNX41" s="424"/>
      <c r="FNY41" s="425"/>
      <c r="FNZ41" s="424"/>
      <c r="FOA41" s="425"/>
      <c r="FOB41" s="424"/>
      <c r="FOC41" s="425"/>
      <c r="FOD41" s="424"/>
      <c r="FOE41" s="425"/>
      <c r="FOF41" s="424"/>
      <c r="FOG41" s="425"/>
      <c r="FOH41" s="424"/>
      <c r="FOI41" s="425"/>
      <c r="FOJ41" s="424"/>
      <c r="FOK41" s="425"/>
      <c r="FOL41" s="424"/>
      <c r="FOM41" s="425"/>
      <c r="FON41" s="424"/>
      <c r="FOO41" s="425"/>
      <c r="FOP41" s="424"/>
      <c r="FOQ41" s="425"/>
      <c r="FOR41" s="424"/>
      <c r="FOS41" s="425"/>
      <c r="FOT41" s="424"/>
      <c r="FOU41" s="425"/>
      <c r="FOV41" s="424"/>
      <c r="FOW41" s="425"/>
      <c r="FOX41" s="424"/>
      <c r="FOY41" s="425"/>
      <c r="FOZ41" s="424"/>
      <c r="FPA41" s="425"/>
      <c r="FPB41" s="424"/>
      <c r="FPC41" s="425"/>
      <c r="FPD41" s="424"/>
      <c r="FPE41" s="425"/>
      <c r="FPF41" s="424"/>
      <c r="FPG41" s="425"/>
      <c r="FPH41" s="424"/>
      <c r="FPI41" s="425"/>
      <c r="FPJ41" s="424"/>
      <c r="FPK41" s="425"/>
      <c r="FPL41" s="424"/>
      <c r="FPM41" s="425"/>
      <c r="FPN41" s="424"/>
      <c r="FPO41" s="425"/>
      <c r="FPP41" s="424"/>
      <c r="FPQ41" s="425"/>
      <c r="FPR41" s="424"/>
      <c r="FPS41" s="425"/>
      <c r="FPT41" s="424"/>
      <c r="FPU41" s="425"/>
      <c r="FPV41" s="424"/>
      <c r="FPW41" s="425"/>
      <c r="FPX41" s="424"/>
      <c r="FPY41" s="425"/>
      <c r="FPZ41" s="424"/>
      <c r="FQA41" s="425"/>
      <c r="FQB41" s="424"/>
      <c r="FQC41" s="425"/>
      <c r="FQD41" s="424"/>
      <c r="FQE41" s="425"/>
      <c r="FQF41" s="424"/>
      <c r="FQG41" s="425"/>
      <c r="FQH41" s="424"/>
      <c r="FQI41" s="425"/>
      <c r="FQJ41" s="424"/>
      <c r="FQK41" s="425"/>
      <c r="FQL41" s="424"/>
      <c r="FQM41" s="425"/>
      <c r="FQN41" s="424"/>
      <c r="FQO41" s="425"/>
      <c r="FQP41" s="424"/>
      <c r="FQQ41" s="425"/>
      <c r="FQR41" s="424"/>
      <c r="FQS41" s="425"/>
      <c r="FQT41" s="424"/>
      <c r="FQU41" s="425"/>
      <c r="FQV41" s="424"/>
      <c r="FQW41" s="425"/>
      <c r="FQX41" s="424"/>
      <c r="FQY41" s="425"/>
      <c r="FQZ41" s="424"/>
      <c r="FRA41" s="425"/>
      <c r="FRB41" s="424"/>
      <c r="FRC41" s="425"/>
      <c r="FRD41" s="424"/>
      <c r="FRE41" s="425"/>
      <c r="FRF41" s="424"/>
      <c r="FRG41" s="425"/>
      <c r="FRH41" s="424"/>
      <c r="FRI41" s="425"/>
      <c r="FRJ41" s="424"/>
      <c r="FRK41" s="425"/>
      <c r="FRL41" s="424"/>
      <c r="FRM41" s="425"/>
      <c r="FRN41" s="424"/>
      <c r="FRO41" s="425"/>
      <c r="FRP41" s="424"/>
      <c r="FRQ41" s="425"/>
      <c r="FRR41" s="424"/>
      <c r="FRS41" s="425"/>
      <c r="FRT41" s="424"/>
      <c r="FRU41" s="425"/>
      <c r="FRV41" s="424"/>
      <c r="FRW41" s="425"/>
      <c r="FRX41" s="424"/>
      <c r="FRY41" s="425"/>
      <c r="FRZ41" s="424"/>
      <c r="FSA41" s="425"/>
      <c r="FSB41" s="424"/>
      <c r="FSC41" s="425"/>
      <c r="FSD41" s="424"/>
      <c r="FSE41" s="425"/>
      <c r="FSF41" s="424"/>
      <c r="FSG41" s="425"/>
      <c r="FSH41" s="424"/>
      <c r="FSI41" s="425"/>
      <c r="FSJ41" s="424"/>
      <c r="FSK41" s="425"/>
      <c r="FSL41" s="424"/>
      <c r="FSM41" s="425"/>
      <c r="FSN41" s="424"/>
      <c r="FSO41" s="425"/>
      <c r="FSP41" s="424"/>
      <c r="FSQ41" s="425"/>
      <c r="FSR41" s="424"/>
      <c r="FSS41" s="425"/>
      <c r="FST41" s="424"/>
      <c r="FSU41" s="425"/>
      <c r="FSV41" s="424"/>
      <c r="FSW41" s="425"/>
      <c r="FSX41" s="424"/>
      <c r="FSY41" s="425"/>
      <c r="FSZ41" s="424"/>
      <c r="FTA41" s="425"/>
      <c r="FTB41" s="424"/>
      <c r="FTC41" s="425"/>
      <c r="FTD41" s="424"/>
      <c r="FTE41" s="425"/>
      <c r="FTF41" s="424"/>
      <c r="FTG41" s="425"/>
      <c r="FTH41" s="424"/>
      <c r="FTI41" s="425"/>
      <c r="FTJ41" s="424"/>
      <c r="FTK41" s="425"/>
      <c r="FTL41" s="424"/>
      <c r="FTM41" s="425"/>
      <c r="FTN41" s="424"/>
      <c r="FTO41" s="425"/>
      <c r="FTP41" s="424"/>
      <c r="FTQ41" s="425"/>
      <c r="FTR41" s="424"/>
      <c r="FTS41" s="425"/>
      <c r="FTT41" s="424"/>
      <c r="FTU41" s="425"/>
      <c r="FTV41" s="424"/>
      <c r="FTW41" s="425"/>
      <c r="FTX41" s="424"/>
      <c r="FTY41" s="425"/>
      <c r="FTZ41" s="424"/>
      <c r="FUA41" s="425"/>
      <c r="FUB41" s="424"/>
      <c r="FUC41" s="425"/>
      <c r="FUD41" s="424"/>
      <c r="FUE41" s="425"/>
      <c r="FUF41" s="424"/>
      <c r="FUG41" s="425"/>
      <c r="FUH41" s="424"/>
      <c r="FUI41" s="425"/>
      <c r="FUJ41" s="424"/>
      <c r="FUK41" s="425"/>
      <c r="FUL41" s="424"/>
      <c r="FUM41" s="425"/>
      <c r="FUN41" s="424"/>
      <c r="FUO41" s="425"/>
      <c r="FUP41" s="424"/>
      <c r="FUQ41" s="425"/>
      <c r="FUR41" s="424"/>
      <c r="FUS41" s="425"/>
      <c r="FUT41" s="424"/>
      <c r="FUU41" s="425"/>
      <c r="FUV41" s="424"/>
      <c r="FUW41" s="425"/>
      <c r="FUX41" s="424"/>
      <c r="FUY41" s="425"/>
      <c r="FUZ41" s="424"/>
      <c r="FVA41" s="425"/>
      <c r="FVB41" s="424"/>
      <c r="FVC41" s="425"/>
      <c r="FVD41" s="424"/>
      <c r="FVE41" s="425"/>
      <c r="FVF41" s="424"/>
      <c r="FVG41" s="425"/>
      <c r="FVH41" s="424"/>
      <c r="FVI41" s="425"/>
      <c r="FVJ41" s="424"/>
      <c r="FVK41" s="425"/>
      <c r="FVL41" s="424"/>
      <c r="FVM41" s="425"/>
      <c r="FVN41" s="424"/>
      <c r="FVO41" s="425"/>
      <c r="FVP41" s="424"/>
      <c r="FVQ41" s="425"/>
      <c r="FVR41" s="424"/>
      <c r="FVS41" s="425"/>
      <c r="FVT41" s="424"/>
      <c r="FVU41" s="425"/>
      <c r="FVV41" s="424"/>
      <c r="FVW41" s="425"/>
      <c r="FVX41" s="424"/>
      <c r="FVY41" s="425"/>
      <c r="FVZ41" s="424"/>
      <c r="FWA41" s="425"/>
      <c r="FWB41" s="424"/>
      <c r="FWC41" s="425"/>
      <c r="FWD41" s="424"/>
      <c r="FWE41" s="425"/>
      <c r="FWF41" s="424"/>
      <c r="FWG41" s="425"/>
      <c r="FWH41" s="424"/>
      <c r="FWI41" s="425"/>
      <c r="FWJ41" s="424"/>
      <c r="FWK41" s="425"/>
      <c r="FWL41" s="424"/>
      <c r="FWM41" s="425"/>
      <c r="FWN41" s="424"/>
      <c r="FWO41" s="425"/>
      <c r="FWP41" s="424"/>
      <c r="FWQ41" s="425"/>
      <c r="FWR41" s="424"/>
      <c r="FWS41" s="425"/>
      <c r="FWT41" s="424"/>
      <c r="FWU41" s="425"/>
      <c r="FWV41" s="424"/>
      <c r="FWW41" s="425"/>
      <c r="FWX41" s="424"/>
      <c r="FWY41" s="425"/>
      <c r="FWZ41" s="424"/>
      <c r="FXA41" s="425"/>
      <c r="FXB41" s="424"/>
      <c r="FXC41" s="425"/>
      <c r="FXD41" s="424"/>
      <c r="FXE41" s="425"/>
      <c r="FXF41" s="424"/>
      <c r="FXG41" s="425"/>
      <c r="FXH41" s="424"/>
      <c r="FXI41" s="425"/>
      <c r="FXJ41" s="424"/>
      <c r="FXK41" s="425"/>
      <c r="FXL41" s="424"/>
      <c r="FXM41" s="425"/>
      <c r="FXN41" s="424"/>
      <c r="FXO41" s="425"/>
      <c r="FXP41" s="424"/>
      <c r="FXQ41" s="425"/>
      <c r="FXR41" s="424"/>
      <c r="FXS41" s="425"/>
      <c r="FXT41" s="424"/>
      <c r="FXU41" s="425"/>
      <c r="FXV41" s="424"/>
      <c r="FXW41" s="425"/>
      <c r="FXX41" s="424"/>
      <c r="FXY41" s="425"/>
      <c r="FXZ41" s="424"/>
      <c r="FYA41" s="425"/>
      <c r="FYB41" s="424"/>
      <c r="FYC41" s="425"/>
      <c r="FYD41" s="424"/>
      <c r="FYE41" s="425"/>
      <c r="FYF41" s="424"/>
      <c r="FYG41" s="425"/>
      <c r="FYH41" s="424"/>
      <c r="FYI41" s="425"/>
      <c r="FYJ41" s="424"/>
      <c r="FYK41" s="425"/>
      <c r="FYL41" s="424"/>
      <c r="FYM41" s="425"/>
      <c r="FYN41" s="424"/>
      <c r="FYO41" s="425"/>
      <c r="FYP41" s="424"/>
      <c r="FYQ41" s="425"/>
      <c r="FYR41" s="424"/>
      <c r="FYS41" s="425"/>
      <c r="FYT41" s="424"/>
      <c r="FYU41" s="425"/>
      <c r="FYV41" s="424"/>
      <c r="FYW41" s="425"/>
      <c r="FYX41" s="424"/>
      <c r="FYY41" s="425"/>
      <c r="FYZ41" s="424"/>
      <c r="FZA41" s="425"/>
      <c r="FZB41" s="424"/>
      <c r="FZC41" s="425"/>
      <c r="FZD41" s="424"/>
      <c r="FZE41" s="425"/>
      <c r="FZF41" s="424"/>
      <c r="FZG41" s="425"/>
      <c r="FZH41" s="424"/>
      <c r="FZI41" s="425"/>
      <c r="FZJ41" s="424"/>
      <c r="FZK41" s="425"/>
      <c r="FZL41" s="424"/>
      <c r="FZM41" s="425"/>
      <c r="FZN41" s="424"/>
      <c r="FZO41" s="425"/>
      <c r="FZP41" s="424"/>
      <c r="FZQ41" s="425"/>
      <c r="FZR41" s="424"/>
      <c r="FZS41" s="425"/>
      <c r="FZT41" s="424"/>
      <c r="FZU41" s="425"/>
      <c r="FZV41" s="424"/>
      <c r="FZW41" s="425"/>
      <c r="FZX41" s="424"/>
      <c r="FZY41" s="425"/>
      <c r="FZZ41" s="424"/>
      <c r="GAA41" s="425"/>
      <c r="GAB41" s="424"/>
      <c r="GAC41" s="425"/>
      <c r="GAD41" s="424"/>
      <c r="GAE41" s="425"/>
      <c r="GAF41" s="424"/>
      <c r="GAG41" s="425"/>
      <c r="GAH41" s="424"/>
      <c r="GAI41" s="425"/>
      <c r="GAJ41" s="424"/>
      <c r="GAK41" s="425"/>
      <c r="GAL41" s="424"/>
      <c r="GAM41" s="425"/>
      <c r="GAN41" s="424"/>
      <c r="GAO41" s="425"/>
      <c r="GAP41" s="424"/>
      <c r="GAQ41" s="425"/>
      <c r="GAR41" s="424"/>
      <c r="GAS41" s="425"/>
      <c r="GAT41" s="424"/>
      <c r="GAU41" s="425"/>
      <c r="GAV41" s="424"/>
      <c r="GAW41" s="425"/>
      <c r="GAX41" s="424"/>
      <c r="GAY41" s="425"/>
      <c r="GAZ41" s="424"/>
      <c r="GBA41" s="425"/>
      <c r="GBB41" s="424"/>
      <c r="GBC41" s="425"/>
      <c r="GBD41" s="424"/>
      <c r="GBE41" s="425"/>
      <c r="GBF41" s="424"/>
      <c r="GBG41" s="425"/>
      <c r="GBH41" s="424"/>
      <c r="GBI41" s="425"/>
      <c r="GBJ41" s="424"/>
      <c r="GBK41" s="425"/>
      <c r="GBL41" s="424"/>
      <c r="GBM41" s="425"/>
      <c r="GBN41" s="424"/>
      <c r="GBO41" s="425"/>
      <c r="GBP41" s="424"/>
      <c r="GBQ41" s="425"/>
      <c r="GBR41" s="424"/>
      <c r="GBS41" s="425"/>
      <c r="GBT41" s="424"/>
      <c r="GBU41" s="425"/>
      <c r="GBV41" s="424"/>
      <c r="GBW41" s="425"/>
      <c r="GBX41" s="424"/>
      <c r="GBY41" s="425"/>
      <c r="GBZ41" s="424"/>
      <c r="GCA41" s="425"/>
      <c r="GCB41" s="424"/>
      <c r="GCC41" s="425"/>
      <c r="GCD41" s="424"/>
      <c r="GCE41" s="425"/>
      <c r="GCF41" s="424"/>
      <c r="GCG41" s="425"/>
      <c r="GCH41" s="424"/>
      <c r="GCI41" s="425"/>
      <c r="GCJ41" s="424"/>
      <c r="GCK41" s="425"/>
      <c r="GCL41" s="424"/>
      <c r="GCM41" s="425"/>
      <c r="GCN41" s="424"/>
      <c r="GCO41" s="425"/>
      <c r="GCP41" s="424"/>
      <c r="GCQ41" s="425"/>
      <c r="GCR41" s="424"/>
      <c r="GCS41" s="425"/>
      <c r="GCT41" s="424"/>
      <c r="GCU41" s="425"/>
      <c r="GCV41" s="424"/>
      <c r="GCW41" s="425"/>
      <c r="GCX41" s="424"/>
      <c r="GCY41" s="425"/>
      <c r="GCZ41" s="424"/>
      <c r="GDA41" s="425"/>
      <c r="GDB41" s="424"/>
      <c r="GDC41" s="425"/>
      <c r="GDD41" s="424"/>
      <c r="GDE41" s="425"/>
      <c r="GDF41" s="424"/>
      <c r="GDG41" s="425"/>
      <c r="GDH41" s="424"/>
      <c r="GDI41" s="425"/>
      <c r="GDJ41" s="424"/>
      <c r="GDK41" s="425"/>
      <c r="GDL41" s="424"/>
      <c r="GDM41" s="425"/>
      <c r="GDN41" s="424"/>
      <c r="GDO41" s="425"/>
      <c r="GDP41" s="424"/>
      <c r="GDQ41" s="425"/>
      <c r="GDR41" s="424"/>
      <c r="GDS41" s="425"/>
      <c r="GDT41" s="424"/>
      <c r="GDU41" s="425"/>
      <c r="GDV41" s="424"/>
      <c r="GDW41" s="425"/>
      <c r="GDX41" s="424"/>
      <c r="GDY41" s="425"/>
      <c r="GDZ41" s="424"/>
      <c r="GEA41" s="425"/>
      <c r="GEB41" s="424"/>
      <c r="GEC41" s="425"/>
      <c r="GED41" s="424"/>
      <c r="GEE41" s="425"/>
      <c r="GEF41" s="424"/>
      <c r="GEG41" s="425"/>
      <c r="GEH41" s="424"/>
      <c r="GEI41" s="425"/>
      <c r="GEJ41" s="424"/>
      <c r="GEK41" s="425"/>
      <c r="GEL41" s="424"/>
      <c r="GEM41" s="425"/>
      <c r="GEN41" s="424"/>
      <c r="GEO41" s="425"/>
      <c r="GEP41" s="424"/>
      <c r="GEQ41" s="425"/>
      <c r="GER41" s="424"/>
      <c r="GES41" s="425"/>
      <c r="GET41" s="424"/>
      <c r="GEU41" s="425"/>
      <c r="GEV41" s="424"/>
      <c r="GEW41" s="425"/>
      <c r="GEX41" s="424"/>
      <c r="GEY41" s="425"/>
      <c r="GEZ41" s="424"/>
      <c r="GFA41" s="425"/>
      <c r="GFB41" s="424"/>
      <c r="GFC41" s="425"/>
      <c r="GFD41" s="424"/>
      <c r="GFE41" s="425"/>
      <c r="GFF41" s="424"/>
      <c r="GFG41" s="425"/>
      <c r="GFH41" s="424"/>
      <c r="GFI41" s="425"/>
      <c r="GFJ41" s="424"/>
      <c r="GFK41" s="425"/>
      <c r="GFL41" s="424"/>
      <c r="GFM41" s="425"/>
      <c r="GFN41" s="424"/>
      <c r="GFO41" s="425"/>
      <c r="GFP41" s="424"/>
      <c r="GFQ41" s="425"/>
      <c r="GFR41" s="424"/>
      <c r="GFS41" s="425"/>
      <c r="GFT41" s="424"/>
      <c r="GFU41" s="425"/>
      <c r="GFV41" s="424"/>
      <c r="GFW41" s="425"/>
      <c r="GFX41" s="424"/>
      <c r="GFY41" s="425"/>
      <c r="GFZ41" s="424"/>
      <c r="GGA41" s="425"/>
      <c r="GGB41" s="424"/>
      <c r="GGC41" s="425"/>
      <c r="GGD41" s="424"/>
      <c r="GGE41" s="425"/>
      <c r="GGF41" s="424"/>
      <c r="GGG41" s="425"/>
      <c r="GGH41" s="424"/>
      <c r="GGI41" s="425"/>
      <c r="GGJ41" s="424"/>
      <c r="GGK41" s="425"/>
      <c r="GGL41" s="424"/>
      <c r="GGM41" s="425"/>
      <c r="GGN41" s="424"/>
      <c r="GGO41" s="425"/>
      <c r="GGP41" s="424"/>
      <c r="GGQ41" s="425"/>
      <c r="GGR41" s="424"/>
      <c r="GGS41" s="425"/>
      <c r="GGT41" s="424"/>
      <c r="GGU41" s="425"/>
      <c r="GGV41" s="424"/>
      <c r="GGW41" s="425"/>
      <c r="GGX41" s="424"/>
      <c r="GGY41" s="425"/>
      <c r="GGZ41" s="424"/>
      <c r="GHA41" s="425"/>
      <c r="GHB41" s="424"/>
      <c r="GHC41" s="425"/>
      <c r="GHD41" s="424"/>
      <c r="GHE41" s="425"/>
      <c r="GHF41" s="424"/>
      <c r="GHG41" s="425"/>
      <c r="GHH41" s="424"/>
      <c r="GHI41" s="425"/>
      <c r="GHJ41" s="424"/>
      <c r="GHK41" s="425"/>
      <c r="GHL41" s="424"/>
      <c r="GHM41" s="425"/>
      <c r="GHN41" s="424"/>
      <c r="GHO41" s="425"/>
      <c r="GHP41" s="424"/>
      <c r="GHQ41" s="425"/>
      <c r="GHR41" s="424"/>
      <c r="GHS41" s="425"/>
      <c r="GHT41" s="424"/>
      <c r="GHU41" s="425"/>
      <c r="GHV41" s="424"/>
      <c r="GHW41" s="425"/>
      <c r="GHX41" s="424"/>
      <c r="GHY41" s="425"/>
      <c r="GHZ41" s="424"/>
      <c r="GIA41" s="425"/>
      <c r="GIB41" s="424"/>
      <c r="GIC41" s="425"/>
      <c r="GID41" s="424"/>
      <c r="GIE41" s="425"/>
      <c r="GIF41" s="424"/>
      <c r="GIG41" s="425"/>
      <c r="GIH41" s="424"/>
      <c r="GII41" s="425"/>
      <c r="GIJ41" s="424"/>
      <c r="GIK41" s="425"/>
      <c r="GIL41" s="424"/>
      <c r="GIM41" s="425"/>
      <c r="GIN41" s="424"/>
      <c r="GIO41" s="425"/>
      <c r="GIP41" s="424"/>
      <c r="GIQ41" s="425"/>
      <c r="GIR41" s="424"/>
      <c r="GIS41" s="425"/>
      <c r="GIT41" s="424"/>
      <c r="GIU41" s="425"/>
      <c r="GIV41" s="424"/>
      <c r="GIW41" s="425"/>
      <c r="GIX41" s="424"/>
      <c r="GIY41" s="425"/>
      <c r="GIZ41" s="424"/>
      <c r="GJA41" s="425"/>
      <c r="GJB41" s="424"/>
      <c r="GJC41" s="425"/>
      <c r="GJD41" s="424"/>
      <c r="GJE41" s="425"/>
      <c r="GJF41" s="424"/>
      <c r="GJG41" s="425"/>
      <c r="GJH41" s="424"/>
      <c r="GJI41" s="425"/>
      <c r="GJJ41" s="424"/>
      <c r="GJK41" s="425"/>
      <c r="GJL41" s="424"/>
      <c r="GJM41" s="425"/>
      <c r="GJN41" s="424"/>
      <c r="GJO41" s="425"/>
      <c r="GJP41" s="424"/>
      <c r="GJQ41" s="425"/>
      <c r="GJR41" s="424"/>
      <c r="GJS41" s="425"/>
      <c r="GJT41" s="424"/>
      <c r="GJU41" s="425"/>
      <c r="GJV41" s="424"/>
      <c r="GJW41" s="425"/>
      <c r="GJX41" s="424"/>
      <c r="GJY41" s="425"/>
      <c r="GJZ41" s="424"/>
      <c r="GKA41" s="425"/>
      <c r="GKB41" s="424"/>
      <c r="GKC41" s="425"/>
      <c r="GKD41" s="424"/>
      <c r="GKE41" s="425"/>
      <c r="GKF41" s="424"/>
      <c r="GKG41" s="425"/>
      <c r="GKH41" s="424"/>
      <c r="GKI41" s="425"/>
      <c r="GKJ41" s="424"/>
      <c r="GKK41" s="425"/>
      <c r="GKL41" s="424"/>
      <c r="GKM41" s="425"/>
      <c r="GKN41" s="424"/>
      <c r="GKO41" s="425"/>
      <c r="GKP41" s="424"/>
      <c r="GKQ41" s="425"/>
      <c r="GKR41" s="424"/>
      <c r="GKS41" s="425"/>
      <c r="GKT41" s="424"/>
      <c r="GKU41" s="425"/>
      <c r="GKV41" s="424"/>
      <c r="GKW41" s="425"/>
      <c r="GKX41" s="424"/>
      <c r="GKY41" s="425"/>
      <c r="GKZ41" s="424"/>
      <c r="GLA41" s="425"/>
      <c r="GLB41" s="424"/>
      <c r="GLC41" s="425"/>
      <c r="GLD41" s="424"/>
      <c r="GLE41" s="425"/>
      <c r="GLF41" s="424"/>
      <c r="GLG41" s="425"/>
      <c r="GLH41" s="424"/>
      <c r="GLI41" s="425"/>
      <c r="GLJ41" s="424"/>
      <c r="GLK41" s="425"/>
      <c r="GLL41" s="424"/>
      <c r="GLM41" s="425"/>
      <c r="GLN41" s="424"/>
      <c r="GLO41" s="425"/>
      <c r="GLP41" s="424"/>
      <c r="GLQ41" s="425"/>
      <c r="GLR41" s="424"/>
      <c r="GLS41" s="425"/>
      <c r="GLT41" s="424"/>
      <c r="GLU41" s="425"/>
      <c r="GLV41" s="424"/>
      <c r="GLW41" s="425"/>
      <c r="GLX41" s="424"/>
      <c r="GLY41" s="425"/>
      <c r="GLZ41" s="424"/>
      <c r="GMA41" s="425"/>
      <c r="GMB41" s="424"/>
      <c r="GMC41" s="425"/>
      <c r="GMD41" s="424"/>
      <c r="GME41" s="425"/>
      <c r="GMF41" s="424"/>
      <c r="GMG41" s="425"/>
      <c r="GMH41" s="424"/>
      <c r="GMI41" s="425"/>
      <c r="GMJ41" s="424"/>
      <c r="GMK41" s="425"/>
      <c r="GML41" s="424"/>
      <c r="GMM41" s="425"/>
      <c r="GMN41" s="424"/>
      <c r="GMO41" s="425"/>
      <c r="GMP41" s="424"/>
      <c r="GMQ41" s="425"/>
      <c r="GMR41" s="424"/>
      <c r="GMS41" s="425"/>
      <c r="GMT41" s="424"/>
      <c r="GMU41" s="425"/>
      <c r="GMV41" s="424"/>
      <c r="GMW41" s="425"/>
      <c r="GMX41" s="424"/>
      <c r="GMY41" s="425"/>
      <c r="GMZ41" s="424"/>
      <c r="GNA41" s="425"/>
      <c r="GNB41" s="424"/>
      <c r="GNC41" s="425"/>
      <c r="GND41" s="424"/>
      <c r="GNE41" s="425"/>
      <c r="GNF41" s="424"/>
      <c r="GNG41" s="425"/>
      <c r="GNH41" s="424"/>
      <c r="GNI41" s="425"/>
      <c r="GNJ41" s="424"/>
      <c r="GNK41" s="425"/>
      <c r="GNL41" s="424"/>
      <c r="GNM41" s="425"/>
      <c r="GNN41" s="424"/>
      <c r="GNO41" s="425"/>
      <c r="GNP41" s="424"/>
      <c r="GNQ41" s="425"/>
      <c r="GNR41" s="424"/>
      <c r="GNS41" s="425"/>
      <c r="GNT41" s="424"/>
      <c r="GNU41" s="425"/>
      <c r="GNV41" s="424"/>
      <c r="GNW41" s="425"/>
      <c r="GNX41" s="424"/>
      <c r="GNY41" s="425"/>
      <c r="GNZ41" s="424"/>
      <c r="GOA41" s="425"/>
      <c r="GOB41" s="424"/>
      <c r="GOC41" s="425"/>
      <c r="GOD41" s="424"/>
      <c r="GOE41" s="425"/>
      <c r="GOF41" s="424"/>
      <c r="GOG41" s="425"/>
      <c r="GOH41" s="424"/>
      <c r="GOI41" s="425"/>
      <c r="GOJ41" s="424"/>
      <c r="GOK41" s="425"/>
      <c r="GOL41" s="424"/>
      <c r="GOM41" s="425"/>
      <c r="GON41" s="424"/>
      <c r="GOO41" s="425"/>
      <c r="GOP41" s="424"/>
      <c r="GOQ41" s="425"/>
      <c r="GOR41" s="424"/>
      <c r="GOS41" s="425"/>
      <c r="GOT41" s="424"/>
      <c r="GOU41" s="425"/>
      <c r="GOV41" s="424"/>
      <c r="GOW41" s="425"/>
      <c r="GOX41" s="424"/>
      <c r="GOY41" s="425"/>
      <c r="GOZ41" s="424"/>
      <c r="GPA41" s="425"/>
      <c r="GPB41" s="424"/>
      <c r="GPC41" s="425"/>
      <c r="GPD41" s="424"/>
      <c r="GPE41" s="425"/>
      <c r="GPF41" s="424"/>
      <c r="GPG41" s="425"/>
      <c r="GPH41" s="424"/>
      <c r="GPI41" s="425"/>
      <c r="GPJ41" s="424"/>
      <c r="GPK41" s="425"/>
      <c r="GPL41" s="424"/>
      <c r="GPM41" s="425"/>
      <c r="GPN41" s="424"/>
      <c r="GPO41" s="425"/>
      <c r="GPP41" s="424"/>
      <c r="GPQ41" s="425"/>
      <c r="GPR41" s="424"/>
      <c r="GPS41" s="425"/>
      <c r="GPT41" s="424"/>
      <c r="GPU41" s="425"/>
      <c r="GPV41" s="424"/>
      <c r="GPW41" s="425"/>
      <c r="GPX41" s="424"/>
      <c r="GPY41" s="425"/>
      <c r="GPZ41" s="424"/>
      <c r="GQA41" s="425"/>
      <c r="GQB41" s="424"/>
      <c r="GQC41" s="425"/>
      <c r="GQD41" s="424"/>
      <c r="GQE41" s="425"/>
      <c r="GQF41" s="424"/>
      <c r="GQG41" s="425"/>
      <c r="GQH41" s="424"/>
      <c r="GQI41" s="425"/>
      <c r="GQJ41" s="424"/>
      <c r="GQK41" s="425"/>
      <c r="GQL41" s="424"/>
      <c r="GQM41" s="425"/>
      <c r="GQN41" s="424"/>
      <c r="GQO41" s="425"/>
      <c r="GQP41" s="424"/>
      <c r="GQQ41" s="425"/>
      <c r="GQR41" s="424"/>
      <c r="GQS41" s="425"/>
      <c r="GQT41" s="424"/>
      <c r="GQU41" s="425"/>
      <c r="GQV41" s="424"/>
      <c r="GQW41" s="425"/>
      <c r="GQX41" s="424"/>
      <c r="GQY41" s="425"/>
      <c r="GQZ41" s="424"/>
      <c r="GRA41" s="425"/>
      <c r="GRB41" s="424"/>
      <c r="GRC41" s="425"/>
      <c r="GRD41" s="424"/>
      <c r="GRE41" s="425"/>
      <c r="GRF41" s="424"/>
      <c r="GRG41" s="425"/>
      <c r="GRH41" s="424"/>
      <c r="GRI41" s="425"/>
      <c r="GRJ41" s="424"/>
      <c r="GRK41" s="425"/>
      <c r="GRL41" s="424"/>
      <c r="GRM41" s="425"/>
      <c r="GRN41" s="424"/>
      <c r="GRO41" s="425"/>
      <c r="GRP41" s="424"/>
      <c r="GRQ41" s="425"/>
      <c r="GRR41" s="424"/>
      <c r="GRS41" s="425"/>
      <c r="GRT41" s="424"/>
      <c r="GRU41" s="425"/>
      <c r="GRV41" s="424"/>
      <c r="GRW41" s="425"/>
      <c r="GRX41" s="424"/>
      <c r="GRY41" s="425"/>
      <c r="GRZ41" s="424"/>
      <c r="GSA41" s="425"/>
      <c r="GSB41" s="424"/>
      <c r="GSC41" s="425"/>
      <c r="GSD41" s="424"/>
      <c r="GSE41" s="425"/>
      <c r="GSF41" s="424"/>
      <c r="GSG41" s="425"/>
      <c r="GSH41" s="424"/>
      <c r="GSI41" s="425"/>
      <c r="GSJ41" s="424"/>
      <c r="GSK41" s="425"/>
      <c r="GSL41" s="424"/>
      <c r="GSM41" s="425"/>
      <c r="GSN41" s="424"/>
      <c r="GSO41" s="425"/>
      <c r="GSP41" s="424"/>
      <c r="GSQ41" s="425"/>
      <c r="GSR41" s="424"/>
      <c r="GSS41" s="425"/>
      <c r="GST41" s="424"/>
      <c r="GSU41" s="425"/>
      <c r="GSV41" s="424"/>
      <c r="GSW41" s="425"/>
      <c r="GSX41" s="424"/>
      <c r="GSY41" s="425"/>
      <c r="GSZ41" s="424"/>
      <c r="GTA41" s="425"/>
      <c r="GTB41" s="424"/>
      <c r="GTC41" s="425"/>
      <c r="GTD41" s="424"/>
      <c r="GTE41" s="425"/>
      <c r="GTF41" s="424"/>
      <c r="GTG41" s="425"/>
      <c r="GTH41" s="424"/>
      <c r="GTI41" s="425"/>
      <c r="GTJ41" s="424"/>
      <c r="GTK41" s="425"/>
      <c r="GTL41" s="424"/>
      <c r="GTM41" s="425"/>
      <c r="GTN41" s="424"/>
      <c r="GTO41" s="425"/>
      <c r="GTP41" s="424"/>
      <c r="GTQ41" s="425"/>
      <c r="GTR41" s="424"/>
      <c r="GTS41" s="425"/>
      <c r="GTT41" s="424"/>
      <c r="GTU41" s="425"/>
      <c r="GTV41" s="424"/>
      <c r="GTW41" s="425"/>
      <c r="GTX41" s="424"/>
      <c r="GTY41" s="425"/>
      <c r="GTZ41" s="424"/>
      <c r="GUA41" s="425"/>
      <c r="GUB41" s="424"/>
      <c r="GUC41" s="425"/>
      <c r="GUD41" s="424"/>
      <c r="GUE41" s="425"/>
      <c r="GUF41" s="424"/>
      <c r="GUG41" s="425"/>
      <c r="GUH41" s="424"/>
      <c r="GUI41" s="425"/>
      <c r="GUJ41" s="424"/>
      <c r="GUK41" s="425"/>
      <c r="GUL41" s="424"/>
      <c r="GUM41" s="425"/>
      <c r="GUN41" s="424"/>
      <c r="GUO41" s="425"/>
      <c r="GUP41" s="424"/>
      <c r="GUQ41" s="425"/>
      <c r="GUR41" s="424"/>
      <c r="GUS41" s="425"/>
      <c r="GUT41" s="424"/>
      <c r="GUU41" s="425"/>
      <c r="GUV41" s="424"/>
      <c r="GUW41" s="425"/>
      <c r="GUX41" s="424"/>
      <c r="GUY41" s="425"/>
      <c r="GUZ41" s="424"/>
      <c r="GVA41" s="425"/>
      <c r="GVB41" s="424"/>
      <c r="GVC41" s="425"/>
      <c r="GVD41" s="424"/>
      <c r="GVE41" s="425"/>
      <c r="GVF41" s="424"/>
      <c r="GVG41" s="425"/>
      <c r="GVH41" s="424"/>
      <c r="GVI41" s="425"/>
      <c r="GVJ41" s="424"/>
      <c r="GVK41" s="425"/>
      <c r="GVL41" s="424"/>
      <c r="GVM41" s="425"/>
      <c r="GVN41" s="424"/>
      <c r="GVO41" s="425"/>
      <c r="GVP41" s="424"/>
      <c r="GVQ41" s="425"/>
      <c r="GVR41" s="424"/>
      <c r="GVS41" s="425"/>
      <c r="GVT41" s="424"/>
      <c r="GVU41" s="425"/>
      <c r="GVV41" s="424"/>
      <c r="GVW41" s="425"/>
      <c r="GVX41" s="424"/>
      <c r="GVY41" s="425"/>
      <c r="GVZ41" s="424"/>
      <c r="GWA41" s="425"/>
      <c r="GWB41" s="424"/>
      <c r="GWC41" s="425"/>
      <c r="GWD41" s="424"/>
      <c r="GWE41" s="425"/>
      <c r="GWF41" s="424"/>
      <c r="GWG41" s="425"/>
      <c r="GWH41" s="424"/>
      <c r="GWI41" s="425"/>
      <c r="GWJ41" s="424"/>
      <c r="GWK41" s="425"/>
      <c r="GWL41" s="424"/>
      <c r="GWM41" s="425"/>
      <c r="GWN41" s="424"/>
      <c r="GWO41" s="425"/>
      <c r="GWP41" s="424"/>
      <c r="GWQ41" s="425"/>
      <c r="GWR41" s="424"/>
      <c r="GWS41" s="425"/>
      <c r="GWT41" s="424"/>
      <c r="GWU41" s="425"/>
      <c r="GWV41" s="424"/>
      <c r="GWW41" s="425"/>
      <c r="GWX41" s="424"/>
      <c r="GWY41" s="425"/>
      <c r="GWZ41" s="424"/>
      <c r="GXA41" s="425"/>
      <c r="GXB41" s="424"/>
      <c r="GXC41" s="425"/>
      <c r="GXD41" s="424"/>
      <c r="GXE41" s="425"/>
      <c r="GXF41" s="424"/>
      <c r="GXG41" s="425"/>
      <c r="GXH41" s="424"/>
      <c r="GXI41" s="425"/>
      <c r="GXJ41" s="424"/>
      <c r="GXK41" s="425"/>
      <c r="GXL41" s="424"/>
      <c r="GXM41" s="425"/>
      <c r="GXN41" s="424"/>
      <c r="GXO41" s="425"/>
      <c r="GXP41" s="424"/>
      <c r="GXQ41" s="425"/>
      <c r="GXR41" s="424"/>
      <c r="GXS41" s="425"/>
      <c r="GXT41" s="424"/>
      <c r="GXU41" s="425"/>
      <c r="GXV41" s="424"/>
      <c r="GXW41" s="425"/>
      <c r="GXX41" s="424"/>
      <c r="GXY41" s="425"/>
      <c r="GXZ41" s="424"/>
      <c r="GYA41" s="425"/>
      <c r="GYB41" s="424"/>
      <c r="GYC41" s="425"/>
      <c r="GYD41" s="424"/>
      <c r="GYE41" s="425"/>
      <c r="GYF41" s="424"/>
      <c r="GYG41" s="425"/>
      <c r="GYH41" s="424"/>
      <c r="GYI41" s="425"/>
      <c r="GYJ41" s="424"/>
      <c r="GYK41" s="425"/>
      <c r="GYL41" s="424"/>
      <c r="GYM41" s="425"/>
      <c r="GYN41" s="424"/>
      <c r="GYO41" s="425"/>
      <c r="GYP41" s="424"/>
      <c r="GYQ41" s="425"/>
      <c r="GYR41" s="424"/>
      <c r="GYS41" s="425"/>
      <c r="GYT41" s="424"/>
      <c r="GYU41" s="425"/>
      <c r="GYV41" s="424"/>
      <c r="GYW41" s="425"/>
      <c r="GYX41" s="424"/>
      <c r="GYY41" s="425"/>
      <c r="GYZ41" s="424"/>
      <c r="GZA41" s="425"/>
      <c r="GZB41" s="424"/>
      <c r="GZC41" s="425"/>
      <c r="GZD41" s="424"/>
      <c r="GZE41" s="425"/>
      <c r="GZF41" s="424"/>
      <c r="GZG41" s="425"/>
      <c r="GZH41" s="424"/>
      <c r="GZI41" s="425"/>
      <c r="GZJ41" s="424"/>
      <c r="GZK41" s="425"/>
      <c r="GZL41" s="424"/>
      <c r="GZM41" s="425"/>
      <c r="GZN41" s="424"/>
      <c r="GZO41" s="425"/>
      <c r="GZP41" s="424"/>
      <c r="GZQ41" s="425"/>
      <c r="GZR41" s="424"/>
      <c r="GZS41" s="425"/>
      <c r="GZT41" s="424"/>
      <c r="GZU41" s="425"/>
      <c r="GZV41" s="424"/>
      <c r="GZW41" s="425"/>
      <c r="GZX41" s="424"/>
      <c r="GZY41" s="425"/>
      <c r="GZZ41" s="424"/>
      <c r="HAA41" s="425"/>
      <c r="HAB41" s="424"/>
      <c r="HAC41" s="425"/>
      <c r="HAD41" s="424"/>
      <c r="HAE41" s="425"/>
      <c r="HAF41" s="424"/>
      <c r="HAG41" s="425"/>
      <c r="HAH41" s="424"/>
      <c r="HAI41" s="425"/>
      <c r="HAJ41" s="424"/>
      <c r="HAK41" s="425"/>
      <c r="HAL41" s="424"/>
      <c r="HAM41" s="425"/>
      <c r="HAN41" s="424"/>
      <c r="HAO41" s="425"/>
      <c r="HAP41" s="424"/>
      <c r="HAQ41" s="425"/>
      <c r="HAR41" s="424"/>
      <c r="HAS41" s="425"/>
      <c r="HAT41" s="424"/>
      <c r="HAU41" s="425"/>
      <c r="HAV41" s="424"/>
      <c r="HAW41" s="425"/>
      <c r="HAX41" s="424"/>
      <c r="HAY41" s="425"/>
      <c r="HAZ41" s="424"/>
      <c r="HBA41" s="425"/>
      <c r="HBB41" s="424"/>
      <c r="HBC41" s="425"/>
      <c r="HBD41" s="424"/>
      <c r="HBE41" s="425"/>
      <c r="HBF41" s="424"/>
      <c r="HBG41" s="425"/>
      <c r="HBH41" s="424"/>
      <c r="HBI41" s="425"/>
      <c r="HBJ41" s="424"/>
      <c r="HBK41" s="425"/>
      <c r="HBL41" s="424"/>
      <c r="HBM41" s="425"/>
      <c r="HBN41" s="424"/>
      <c r="HBO41" s="425"/>
      <c r="HBP41" s="424"/>
      <c r="HBQ41" s="425"/>
      <c r="HBR41" s="424"/>
      <c r="HBS41" s="425"/>
      <c r="HBT41" s="424"/>
      <c r="HBU41" s="425"/>
      <c r="HBV41" s="424"/>
      <c r="HBW41" s="425"/>
      <c r="HBX41" s="424"/>
      <c r="HBY41" s="425"/>
      <c r="HBZ41" s="424"/>
      <c r="HCA41" s="425"/>
      <c r="HCB41" s="424"/>
      <c r="HCC41" s="425"/>
      <c r="HCD41" s="424"/>
      <c r="HCE41" s="425"/>
      <c r="HCF41" s="424"/>
      <c r="HCG41" s="425"/>
      <c r="HCH41" s="424"/>
      <c r="HCI41" s="425"/>
      <c r="HCJ41" s="424"/>
      <c r="HCK41" s="425"/>
      <c r="HCL41" s="424"/>
      <c r="HCM41" s="425"/>
      <c r="HCN41" s="424"/>
      <c r="HCO41" s="425"/>
      <c r="HCP41" s="424"/>
      <c r="HCQ41" s="425"/>
      <c r="HCR41" s="424"/>
      <c r="HCS41" s="425"/>
      <c r="HCT41" s="424"/>
      <c r="HCU41" s="425"/>
      <c r="HCV41" s="424"/>
      <c r="HCW41" s="425"/>
      <c r="HCX41" s="424"/>
      <c r="HCY41" s="425"/>
      <c r="HCZ41" s="424"/>
      <c r="HDA41" s="425"/>
      <c r="HDB41" s="424"/>
      <c r="HDC41" s="425"/>
      <c r="HDD41" s="424"/>
      <c r="HDE41" s="425"/>
      <c r="HDF41" s="424"/>
      <c r="HDG41" s="425"/>
      <c r="HDH41" s="424"/>
      <c r="HDI41" s="425"/>
      <c r="HDJ41" s="424"/>
      <c r="HDK41" s="425"/>
      <c r="HDL41" s="424"/>
      <c r="HDM41" s="425"/>
      <c r="HDN41" s="424"/>
      <c r="HDO41" s="425"/>
      <c r="HDP41" s="424"/>
      <c r="HDQ41" s="425"/>
      <c r="HDR41" s="424"/>
      <c r="HDS41" s="425"/>
      <c r="HDT41" s="424"/>
      <c r="HDU41" s="425"/>
      <c r="HDV41" s="424"/>
      <c r="HDW41" s="425"/>
      <c r="HDX41" s="424"/>
      <c r="HDY41" s="425"/>
      <c r="HDZ41" s="424"/>
      <c r="HEA41" s="425"/>
      <c r="HEB41" s="424"/>
      <c r="HEC41" s="425"/>
      <c r="HED41" s="424"/>
      <c r="HEE41" s="425"/>
      <c r="HEF41" s="424"/>
      <c r="HEG41" s="425"/>
      <c r="HEH41" s="424"/>
      <c r="HEI41" s="425"/>
      <c r="HEJ41" s="424"/>
      <c r="HEK41" s="425"/>
      <c r="HEL41" s="424"/>
      <c r="HEM41" s="425"/>
      <c r="HEN41" s="424"/>
      <c r="HEO41" s="425"/>
      <c r="HEP41" s="424"/>
      <c r="HEQ41" s="425"/>
      <c r="HER41" s="424"/>
      <c r="HES41" s="425"/>
      <c r="HET41" s="424"/>
      <c r="HEU41" s="425"/>
      <c r="HEV41" s="424"/>
      <c r="HEW41" s="425"/>
      <c r="HEX41" s="424"/>
      <c r="HEY41" s="425"/>
      <c r="HEZ41" s="424"/>
      <c r="HFA41" s="425"/>
      <c r="HFB41" s="424"/>
      <c r="HFC41" s="425"/>
      <c r="HFD41" s="424"/>
      <c r="HFE41" s="425"/>
      <c r="HFF41" s="424"/>
      <c r="HFG41" s="425"/>
      <c r="HFH41" s="424"/>
      <c r="HFI41" s="425"/>
      <c r="HFJ41" s="424"/>
      <c r="HFK41" s="425"/>
      <c r="HFL41" s="424"/>
      <c r="HFM41" s="425"/>
      <c r="HFN41" s="424"/>
      <c r="HFO41" s="425"/>
      <c r="HFP41" s="424"/>
      <c r="HFQ41" s="425"/>
      <c r="HFR41" s="424"/>
      <c r="HFS41" s="425"/>
      <c r="HFT41" s="424"/>
      <c r="HFU41" s="425"/>
      <c r="HFV41" s="424"/>
      <c r="HFW41" s="425"/>
      <c r="HFX41" s="424"/>
      <c r="HFY41" s="425"/>
      <c r="HFZ41" s="424"/>
      <c r="HGA41" s="425"/>
      <c r="HGB41" s="424"/>
      <c r="HGC41" s="425"/>
      <c r="HGD41" s="424"/>
      <c r="HGE41" s="425"/>
      <c r="HGF41" s="424"/>
      <c r="HGG41" s="425"/>
      <c r="HGH41" s="424"/>
      <c r="HGI41" s="425"/>
      <c r="HGJ41" s="424"/>
      <c r="HGK41" s="425"/>
      <c r="HGL41" s="424"/>
      <c r="HGM41" s="425"/>
      <c r="HGN41" s="424"/>
      <c r="HGO41" s="425"/>
      <c r="HGP41" s="424"/>
      <c r="HGQ41" s="425"/>
      <c r="HGR41" s="424"/>
      <c r="HGS41" s="425"/>
      <c r="HGT41" s="424"/>
      <c r="HGU41" s="425"/>
      <c r="HGV41" s="424"/>
      <c r="HGW41" s="425"/>
      <c r="HGX41" s="424"/>
      <c r="HGY41" s="425"/>
      <c r="HGZ41" s="424"/>
      <c r="HHA41" s="425"/>
      <c r="HHB41" s="424"/>
      <c r="HHC41" s="425"/>
      <c r="HHD41" s="424"/>
      <c r="HHE41" s="425"/>
      <c r="HHF41" s="424"/>
      <c r="HHG41" s="425"/>
      <c r="HHH41" s="424"/>
      <c r="HHI41" s="425"/>
      <c r="HHJ41" s="424"/>
      <c r="HHK41" s="425"/>
      <c r="HHL41" s="424"/>
      <c r="HHM41" s="425"/>
      <c r="HHN41" s="424"/>
      <c r="HHO41" s="425"/>
      <c r="HHP41" s="424"/>
      <c r="HHQ41" s="425"/>
      <c r="HHR41" s="424"/>
      <c r="HHS41" s="425"/>
      <c r="HHT41" s="424"/>
      <c r="HHU41" s="425"/>
      <c r="HHV41" s="424"/>
      <c r="HHW41" s="425"/>
      <c r="HHX41" s="424"/>
      <c r="HHY41" s="425"/>
      <c r="HHZ41" s="424"/>
      <c r="HIA41" s="425"/>
      <c r="HIB41" s="424"/>
      <c r="HIC41" s="425"/>
      <c r="HID41" s="424"/>
      <c r="HIE41" s="425"/>
      <c r="HIF41" s="424"/>
      <c r="HIG41" s="425"/>
      <c r="HIH41" s="424"/>
      <c r="HII41" s="425"/>
      <c r="HIJ41" s="424"/>
      <c r="HIK41" s="425"/>
      <c r="HIL41" s="424"/>
      <c r="HIM41" s="425"/>
      <c r="HIN41" s="424"/>
      <c r="HIO41" s="425"/>
      <c r="HIP41" s="424"/>
      <c r="HIQ41" s="425"/>
      <c r="HIR41" s="424"/>
      <c r="HIS41" s="425"/>
      <c r="HIT41" s="424"/>
      <c r="HIU41" s="425"/>
      <c r="HIV41" s="424"/>
      <c r="HIW41" s="425"/>
      <c r="HIX41" s="424"/>
      <c r="HIY41" s="425"/>
      <c r="HIZ41" s="424"/>
      <c r="HJA41" s="425"/>
      <c r="HJB41" s="424"/>
      <c r="HJC41" s="425"/>
      <c r="HJD41" s="424"/>
      <c r="HJE41" s="425"/>
      <c r="HJF41" s="424"/>
      <c r="HJG41" s="425"/>
      <c r="HJH41" s="424"/>
      <c r="HJI41" s="425"/>
      <c r="HJJ41" s="424"/>
      <c r="HJK41" s="425"/>
      <c r="HJL41" s="424"/>
      <c r="HJM41" s="425"/>
      <c r="HJN41" s="424"/>
      <c r="HJO41" s="425"/>
      <c r="HJP41" s="424"/>
      <c r="HJQ41" s="425"/>
      <c r="HJR41" s="424"/>
      <c r="HJS41" s="425"/>
      <c r="HJT41" s="424"/>
      <c r="HJU41" s="425"/>
      <c r="HJV41" s="424"/>
      <c r="HJW41" s="425"/>
      <c r="HJX41" s="424"/>
      <c r="HJY41" s="425"/>
      <c r="HJZ41" s="424"/>
      <c r="HKA41" s="425"/>
      <c r="HKB41" s="424"/>
      <c r="HKC41" s="425"/>
      <c r="HKD41" s="424"/>
      <c r="HKE41" s="425"/>
      <c r="HKF41" s="424"/>
      <c r="HKG41" s="425"/>
      <c r="HKH41" s="424"/>
      <c r="HKI41" s="425"/>
      <c r="HKJ41" s="424"/>
      <c r="HKK41" s="425"/>
      <c r="HKL41" s="424"/>
      <c r="HKM41" s="425"/>
      <c r="HKN41" s="424"/>
      <c r="HKO41" s="425"/>
      <c r="HKP41" s="424"/>
      <c r="HKQ41" s="425"/>
      <c r="HKR41" s="424"/>
      <c r="HKS41" s="425"/>
      <c r="HKT41" s="424"/>
      <c r="HKU41" s="425"/>
      <c r="HKV41" s="424"/>
      <c r="HKW41" s="425"/>
      <c r="HKX41" s="424"/>
      <c r="HKY41" s="425"/>
      <c r="HKZ41" s="424"/>
      <c r="HLA41" s="425"/>
      <c r="HLB41" s="424"/>
      <c r="HLC41" s="425"/>
      <c r="HLD41" s="424"/>
      <c r="HLE41" s="425"/>
      <c r="HLF41" s="424"/>
      <c r="HLG41" s="425"/>
      <c r="HLH41" s="424"/>
      <c r="HLI41" s="425"/>
      <c r="HLJ41" s="424"/>
      <c r="HLK41" s="425"/>
      <c r="HLL41" s="424"/>
      <c r="HLM41" s="425"/>
      <c r="HLN41" s="424"/>
      <c r="HLO41" s="425"/>
      <c r="HLP41" s="424"/>
      <c r="HLQ41" s="425"/>
      <c r="HLR41" s="424"/>
      <c r="HLS41" s="425"/>
      <c r="HLT41" s="424"/>
      <c r="HLU41" s="425"/>
      <c r="HLV41" s="424"/>
      <c r="HLW41" s="425"/>
      <c r="HLX41" s="424"/>
      <c r="HLY41" s="425"/>
      <c r="HLZ41" s="424"/>
      <c r="HMA41" s="425"/>
      <c r="HMB41" s="424"/>
      <c r="HMC41" s="425"/>
      <c r="HMD41" s="424"/>
      <c r="HME41" s="425"/>
      <c r="HMF41" s="424"/>
      <c r="HMG41" s="425"/>
      <c r="HMH41" s="424"/>
      <c r="HMI41" s="425"/>
      <c r="HMJ41" s="424"/>
      <c r="HMK41" s="425"/>
      <c r="HML41" s="424"/>
      <c r="HMM41" s="425"/>
      <c r="HMN41" s="424"/>
      <c r="HMO41" s="425"/>
      <c r="HMP41" s="424"/>
      <c r="HMQ41" s="425"/>
      <c r="HMR41" s="424"/>
      <c r="HMS41" s="425"/>
      <c r="HMT41" s="424"/>
      <c r="HMU41" s="425"/>
      <c r="HMV41" s="424"/>
      <c r="HMW41" s="425"/>
      <c r="HMX41" s="424"/>
      <c r="HMY41" s="425"/>
      <c r="HMZ41" s="424"/>
      <c r="HNA41" s="425"/>
      <c r="HNB41" s="424"/>
      <c r="HNC41" s="425"/>
      <c r="HND41" s="424"/>
      <c r="HNE41" s="425"/>
      <c r="HNF41" s="424"/>
      <c r="HNG41" s="425"/>
      <c r="HNH41" s="424"/>
      <c r="HNI41" s="425"/>
      <c r="HNJ41" s="424"/>
      <c r="HNK41" s="425"/>
      <c r="HNL41" s="424"/>
      <c r="HNM41" s="425"/>
      <c r="HNN41" s="424"/>
      <c r="HNO41" s="425"/>
      <c r="HNP41" s="424"/>
      <c r="HNQ41" s="425"/>
      <c r="HNR41" s="424"/>
      <c r="HNS41" s="425"/>
      <c r="HNT41" s="424"/>
      <c r="HNU41" s="425"/>
      <c r="HNV41" s="424"/>
      <c r="HNW41" s="425"/>
      <c r="HNX41" s="424"/>
      <c r="HNY41" s="425"/>
      <c r="HNZ41" s="424"/>
      <c r="HOA41" s="425"/>
      <c r="HOB41" s="424"/>
      <c r="HOC41" s="425"/>
      <c r="HOD41" s="424"/>
      <c r="HOE41" s="425"/>
      <c r="HOF41" s="424"/>
      <c r="HOG41" s="425"/>
      <c r="HOH41" s="424"/>
      <c r="HOI41" s="425"/>
      <c r="HOJ41" s="424"/>
      <c r="HOK41" s="425"/>
      <c r="HOL41" s="424"/>
      <c r="HOM41" s="425"/>
      <c r="HON41" s="424"/>
      <c r="HOO41" s="425"/>
      <c r="HOP41" s="424"/>
      <c r="HOQ41" s="425"/>
      <c r="HOR41" s="424"/>
      <c r="HOS41" s="425"/>
      <c r="HOT41" s="424"/>
      <c r="HOU41" s="425"/>
      <c r="HOV41" s="424"/>
      <c r="HOW41" s="425"/>
      <c r="HOX41" s="424"/>
      <c r="HOY41" s="425"/>
      <c r="HOZ41" s="424"/>
      <c r="HPA41" s="425"/>
      <c r="HPB41" s="424"/>
      <c r="HPC41" s="425"/>
      <c r="HPD41" s="424"/>
      <c r="HPE41" s="425"/>
      <c r="HPF41" s="424"/>
      <c r="HPG41" s="425"/>
      <c r="HPH41" s="424"/>
      <c r="HPI41" s="425"/>
      <c r="HPJ41" s="424"/>
      <c r="HPK41" s="425"/>
      <c r="HPL41" s="424"/>
      <c r="HPM41" s="425"/>
      <c r="HPN41" s="424"/>
      <c r="HPO41" s="425"/>
      <c r="HPP41" s="424"/>
      <c r="HPQ41" s="425"/>
      <c r="HPR41" s="424"/>
      <c r="HPS41" s="425"/>
      <c r="HPT41" s="424"/>
      <c r="HPU41" s="425"/>
      <c r="HPV41" s="424"/>
      <c r="HPW41" s="425"/>
      <c r="HPX41" s="424"/>
      <c r="HPY41" s="425"/>
      <c r="HPZ41" s="424"/>
      <c r="HQA41" s="425"/>
      <c r="HQB41" s="424"/>
      <c r="HQC41" s="425"/>
      <c r="HQD41" s="424"/>
      <c r="HQE41" s="425"/>
      <c r="HQF41" s="424"/>
      <c r="HQG41" s="425"/>
      <c r="HQH41" s="424"/>
      <c r="HQI41" s="425"/>
      <c r="HQJ41" s="424"/>
      <c r="HQK41" s="425"/>
      <c r="HQL41" s="424"/>
      <c r="HQM41" s="425"/>
      <c r="HQN41" s="424"/>
      <c r="HQO41" s="425"/>
      <c r="HQP41" s="424"/>
      <c r="HQQ41" s="425"/>
      <c r="HQR41" s="424"/>
      <c r="HQS41" s="425"/>
      <c r="HQT41" s="424"/>
      <c r="HQU41" s="425"/>
      <c r="HQV41" s="424"/>
      <c r="HQW41" s="425"/>
      <c r="HQX41" s="424"/>
      <c r="HQY41" s="425"/>
      <c r="HQZ41" s="424"/>
      <c r="HRA41" s="425"/>
      <c r="HRB41" s="424"/>
      <c r="HRC41" s="425"/>
      <c r="HRD41" s="424"/>
      <c r="HRE41" s="425"/>
      <c r="HRF41" s="424"/>
      <c r="HRG41" s="425"/>
      <c r="HRH41" s="424"/>
      <c r="HRI41" s="425"/>
      <c r="HRJ41" s="424"/>
      <c r="HRK41" s="425"/>
      <c r="HRL41" s="424"/>
      <c r="HRM41" s="425"/>
      <c r="HRN41" s="424"/>
      <c r="HRO41" s="425"/>
      <c r="HRP41" s="424"/>
      <c r="HRQ41" s="425"/>
      <c r="HRR41" s="424"/>
      <c r="HRS41" s="425"/>
      <c r="HRT41" s="424"/>
      <c r="HRU41" s="425"/>
      <c r="HRV41" s="424"/>
      <c r="HRW41" s="425"/>
      <c r="HRX41" s="424"/>
      <c r="HRY41" s="425"/>
      <c r="HRZ41" s="424"/>
      <c r="HSA41" s="425"/>
      <c r="HSB41" s="424"/>
      <c r="HSC41" s="425"/>
      <c r="HSD41" s="424"/>
      <c r="HSE41" s="425"/>
      <c r="HSF41" s="424"/>
      <c r="HSG41" s="425"/>
      <c r="HSH41" s="424"/>
      <c r="HSI41" s="425"/>
      <c r="HSJ41" s="424"/>
      <c r="HSK41" s="425"/>
      <c r="HSL41" s="424"/>
      <c r="HSM41" s="425"/>
      <c r="HSN41" s="424"/>
      <c r="HSO41" s="425"/>
      <c r="HSP41" s="424"/>
      <c r="HSQ41" s="425"/>
      <c r="HSR41" s="424"/>
      <c r="HSS41" s="425"/>
      <c r="HST41" s="424"/>
      <c r="HSU41" s="425"/>
      <c r="HSV41" s="424"/>
      <c r="HSW41" s="425"/>
      <c r="HSX41" s="424"/>
      <c r="HSY41" s="425"/>
      <c r="HSZ41" s="424"/>
      <c r="HTA41" s="425"/>
      <c r="HTB41" s="424"/>
      <c r="HTC41" s="425"/>
      <c r="HTD41" s="424"/>
      <c r="HTE41" s="425"/>
      <c r="HTF41" s="424"/>
      <c r="HTG41" s="425"/>
      <c r="HTH41" s="424"/>
      <c r="HTI41" s="425"/>
      <c r="HTJ41" s="424"/>
      <c r="HTK41" s="425"/>
      <c r="HTL41" s="424"/>
      <c r="HTM41" s="425"/>
      <c r="HTN41" s="424"/>
      <c r="HTO41" s="425"/>
      <c r="HTP41" s="424"/>
      <c r="HTQ41" s="425"/>
      <c r="HTR41" s="424"/>
      <c r="HTS41" s="425"/>
      <c r="HTT41" s="424"/>
      <c r="HTU41" s="425"/>
      <c r="HTV41" s="424"/>
      <c r="HTW41" s="425"/>
      <c r="HTX41" s="424"/>
      <c r="HTY41" s="425"/>
      <c r="HTZ41" s="424"/>
      <c r="HUA41" s="425"/>
      <c r="HUB41" s="424"/>
      <c r="HUC41" s="425"/>
      <c r="HUD41" s="424"/>
      <c r="HUE41" s="425"/>
      <c r="HUF41" s="424"/>
      <c r="HUG41" s="425"/>
      <c r="HUH41" s="424"/>
      <c r="HUI41" s="425"/>
      <c r="HUJ41" s="424"/>
      <c r="HUK41" s="425"/>
      <c r="HUL41" s="424"/>
      <c r="HUM41" s="425"/>
      <c r="HUN41" s="424"/>
      <c r="HUO41" s="425"/>
      <c r="HUP41" s="424"/>
      <c r="HUQ41" s="425"/>
      <c r="HUR41" s="424"/>
      <c r="HUS41" s="425"/>
      <c r="HUT41" s="424"/>
      <c r="HUU41" s="425"/>
      <c r="HUV41" s="424"/>
      <c r="HUW41" s="425"/>
      <c r="HUX41" s="424"/>
      <c r="HUY41" s="425"/>
      <c r="HUZ41" s="424"/>
      <c r="HVA41" s="425"/>
      <c r="HVB41" s="424"/>
      <c r="HVC41" s="425"/>
      <c r="HVD41" s="424"/>
      <c r="HVE41" s="425"/>
      <c r="HVF41" s="424"/>
      <c r="HVG41" s="425"/>
      <c r="HVH41" s="424"/>
      <c r="HVI41" s="425"/>
      <c r="HVJ41" s="424"/>
      <c r="HVK41" s="425"/>
      <c r="HVL41" s="424"/>
      <c r="HVM41" s="425"/>
      <c r="HVN41" s="424"/>
      <c r="HVO41" s="425"/>
      <c r="HVP41" s="424"/>
      <c r="HVQ41" s="425"/>
      <c r="HVR41" s="424"/>
      <c r="HVS41" s="425"/>
      <c r="HVT41" s="424"/>
      <c r="HVU41" s="425"/>
      <c r="HVV41" s="424"/>
      <c r="HVW41" s="425"/>
      <c r="HVX41" s="424"/>
      <c r="HVY41" s="425"/>
      <c r="HVZ41" s="424"/>
      <c r="HWA41" s="425"/>
      <c r="HWB41" s="424"/>
      <c r="HWC41" s="425"/>
      <c r="HWD41" s="424"/>
      <c r="HWE41" s="425"/>
      <c r="HWF41" s="424"/>
      <c r="HWG41" s="425"/>
      <c r="HWH41" s="424"/>
      <c r="HWI41" s="425"/>
      <c r="HWJ41" s="424"/>
      <c r="HWK41" s="425"/>
      <c r="HWL41" s="424"/>
      <c r="HWM41" s="425"/>
      <c r="HWN41" s="424"/>
      <c r="HWO41" s="425"/>
      <c r="HWP41" s="424"/>
      <c r="HWQ41" s="425"/>
      <c r="HWR41" s="424"/>
      <c r="HWS41" s="425"/>
      <c r="HWT41" s="424"/>
      <c r="HWU41" s="425"/>
      <c r="HWV41" s="424"/>
      <c r="HWW41" s="425"/>
      <c r="HWX41" s="424"/>
      <c r="HWY41" s="425"/>
      <c r="HWZ41" s="424"/>
      <c r="HXA41" s="425"/>
      <c r="HXB41" s="424"/>
      <c r="HXC41" s="425"/>
      <c r="HXD41" s="424"/>
      <c r="HXE41" s="425"/>
      <c r="HXF41" s="424"/>
      <c r="HXG41" s="425"/>
      <c r="HXH41" s="424"/>
      <c r="HXI41" s="425"/>
      <c r="HXJ41" s="424"/>
      <c r="HXK41" s="425"/>
      <c r="HXL41" s="424"/>
      <c r="HXM41" s="425"/>
      <c r="HXN41" s="424"/>
      <c r="HXO41" s="425"/>
      <c r="HXP41" s="424"/>
      <c r="HXQ41" s="425"/>
      <c r="HXR41" s="424"/>
      <c r="HXS41" s="425"/>
      <c r="HXT41" s="424"/>
      <c r="HXU41" s="425"/>
      <c r="HXV41" s="424"/>
      <c r="HXW41" s="425"/>
      <c r="HXX41" s="424"/>
      <c r="HXY41" s="425"/>
      <c r="HXZ41" s="424"/>
      <c r="HYA41" s="425"/>
      <c r="HYB41" s="424"/>
      <c r="HYC41" s="425"/>
      <c r="HYD41" s="424"/>
      <c r="HYE41" s="425"/>
      <c r="HYF41" s="424"/>
      <c r="HYG41" s="425"/>
      <c r="HYH41" s="424"/>
      <c r="HYI41" s="425"/>
      <c r="HYJ41" s="424"/>
      <c r="HYK41" s="425"/>
      <c r="HYL41" s="424"/>
      <c r="HYM41" s="425"/>
      <c r="HYN41" s="424"/>
      <c r="HYO41" s="425"/>
      <c r="HYP41" s="424"/>
      <c r="HYQ41" s="425"/>
      <c r="HYR41" s="424"/>
      <c r="HYS41" s="425"/>
      <c r="HYT41" s="424"/>
      <c r="HYU41" s="425"/>
      <c r="HYV41" s="424"/>
      <c r="HYW41" s="425"/>
      <c r="HYX41" s="424"/>
      <c r="HYY41" s="425"/>
      <c r="HYZ41" s="424"/>
      <c r="HZA41" s="425"/>
      <c r="HZB41" s="424"/>
      <c r="HZC41" s="425"/>
      <c r="HZD41" s="424"/>
      <c r="HZE41" s="425"/>
      <c r="HZF41" s="424"/>
      <c r="HZG41" s="425"/>
      <c r="HZH41" s="424"/>
      <c r="HZI41" s="425"/>
      <c r="HZJ41" s="424"/>
      <c r="HZK41" s="425"/>
      <c r="HZL41" s="424"/>
      <c r="HZM41" s="425"/>
      <c r="HZN41" s="424"/>
      <c r="HZO41" s="425"/>
      <c r="HZP41" s="424"/>
      <c r="HZQ41" s="425"/>
      <c r="HZR41" s="424"/>
      <c r="HZS41" s="425"/>
      <c r="HZT41" s="424"/>
      <c r="HZU41" s="425"/>
      <c r="HZV41" s="424"/>
      <c r="HZW41" s="425"/>
      <c r="HZX41" s="424"/>
      <c r="HZY41" s="425"/>
      <c r="HZZ41" s="424"/>
      <c r="IAA41" s="425"/>
      <c r="IAB41" s="424"/>
      <c r="IAC41" s="425"/>
      <c r="IAD41" s="424"/>
      <c r="IAE41" s="425"/>
      <c r="IAF41" s="424"/>
      <c r="IAG41" s="425"/>
      <c r="IAH41" s="424"/>
      <c r="IAI41" s="425"/>
      <c r="IAJ41" s="424"/>
      <c r="IAK41" s="425"/>
      <c r="IAL41" s="424"/>
      <c r="IAM41" s="425"/>
      <c r="IAN41" s="424"/>
      <c r="IAO41" s="425"/>
      <c r="IAP41" s="424"/>
      <c r="IAQ41" s="425"/>
      <c r="IAR41" s="424"/>
      <c r="IAS41" s="425"/>
      <c r="IAT41" s="424"/>
      <c r="IAU41" s="425"/>
      <c r="IAV41" s="424"/>
      <c r="IAW41" s="425"/>
      <c r="IAX41" s="424"/>
      <c r="IAY41" s="425"/>
      <c r="IAZ41" s="424"/>
      <c r="IBA41" s="425"/>
      <c r="IBB41" s="424"/>
      <c r="IBC41" s="425"/>
      <c r="IBD41" s="424"/>
      <c r="IBE41" s="425"/>
      <c r="IBF41" s="424"/>
      <c r="IBG41" s="425"/>
      <c r="IBH41" s="424"/>
      <c r="IBI41" s="425"/>
      <c r="IBJ41" s="424"/>
      <c r="IBK41" s="425"/>
      <c r="IBL41" s="424"/>
      <c r="IBM41" s="425"/>
      <c r="IBN41" s="424"/>
      <c r="IBO41" s="425"/>
      <c r="IBP41" s="424"/>
      <c r="IBQ41" s="425"/>
      <c r="IBR41" s="424"/>
      <c r="IBS41" s="425"/>
      <c r="IBT41" s="424"/>
      <c r="IBU41" s="425"/>
      <c r="IBV41" s="424"/>
      <c r="IBW41" s="425"/>
      <c r="IBX41" s="424"/>
      <c r="IBY41" s="425"/>
      <c r="IBZ41" s="424"/>
      <c r="ICA41" s="425"/>
      <c r="ICB41" s="424"/>
      <c r="ICC41" s="425"/>
      <c r="ICD41" s="424"/>
      <c r="ICE41" s="425"/>
      <c r="ICF41" s="424"/>
      <c r="ICG41" s="425"/>
      <c r="ICH41" s="424"/>
      <c r="ICI41" s="425"/>
      <c r="ICJ41" s="424"/>
      <c r="ICK41" s="425"/>
      <c r="ICL41" s="424"/>
      <c r="ICM41" s="425"/>
      <c r="ICN41" s="424"/>
      <c r="ICO41" s="425"/>
      <c r="ICP41" s="424"/>
      <c r="ICQ41" s="425"/>
      <c r="ICR41" s="424"/>
      <c r="ICS41" s="425"/>
      <c r="ICT41" s="424"/>
      <c r="ICU41" s="425"/>
      <c r="ICV41" s="424"/>
      <c r="ICW41" s="425"/>
      <c r="ICX41" s="424"/>
      <c r="ICY41" s="425"/>
      <c r="ICZ41" s="424"/>
      <c r="IDA41" s="425"/>
      <c r="IDB41" s="424"/>
      <c r="IDC41" s="425"/>
      <c r="IDD41" s="424"/>
      <c r="IDE41" s="425"/>
      <c r="IDF41" s="424"/>
      <c r="IDG41" s="425"/>
      <c r="IDH41" s="424"/>
      <c r="IDI41" s="425"/>
      <c r="IDJ41" s="424"/>
      <c r="IDK41" s="425"/>
      <c r="IDL41" s="424"/>
      <c r="IDM41" s="425"/>
      <c r="IDN41" s="424"/>
      <c r="IDO41" s="425"/>
      <c r="IDP41" s="424"/>
      <c r="IDQ41" s="425"/>
      <c r="IDR41" s="424"/>
      <c r="IDS41" s="425"/>
      <c r="IDT41" s="424"/>
      <c r="IDU41" s="425"/>
      <c r="IDV41" s="424"/>
      <c r="IDW41" s="425"/>
      <c r="IDX41" s="424"/>
      <c r="IDY41" s="425"/>
      <c r="IDZ41" s="424"/>
      <c r="IEA41" s="425"/>
      <c r="IEB41" s="424"/>
      <c r="IEC41" s="425"/>
      <c r="IED41" s="424"/>
      <c r="IEE41" s="425"/>
      <c r="IEF41" s="424"/>
      <c r="IEG41" s="425"/>
      <c r="IEH41" s="424"/>
      <c r="IEI41" s="425"/>
      <c r="IEJ41" s="424"/>
      <c r="IEK41" s="425"/>
      <c r="IEL41" s="424"/>
      <c r="IEM41" s="425"/>
      <c r="IEN41" s="424"/>
      <c r="IEO41" s="425"/>
      <c r="IEP41" s="424"/>
      <c r="IEQ41" s="425"/>
      <c r="IER41" s="424"/>
      <c r="IES41" s="425"/>
      <c r="IET41" s="424"/>
      <c r="IEU41" s="425"/>
      <c r="IEV41" s="424"/>
      <c r="IEW41" s="425"/>
      <c r="IEX41" s="424"/>
      <c r="IEY41" s="425"/>
      <c r="IEZ41" s="424"/>
      <c r="IFA41" s="425"/>
      <c r="IFB41" s="424"/>
      <c r="IFC41" s="425"/>
      <c r="IFD41" s="424"/>
      <c r="IFE41" s="425"/>
      <c r="IFF41" s="424"/>
      <c r="IFG41" s="425"/>
      <c r="IFH41" s="424"/>
      <c r="IFI41" s="425"/>
      <c r="IFJ41" s="424"/>
      <c r="IFK41" s="425"/>
      <c r="IFL41" s="424"/>
      <c r="IFM41" s="425"/>
      <c r="IFN41" s="424"/>
      <c r="IFO41" s="425"/>
      <c r="IFP41" s="424"/>
      <c r="IFQ41" s="425"/>
      <c r="IFR41" s="424"/>
      <c r="IFS41" s="425"/>
      <c r="IFT41" s="424"/>
      <c r="IFU41" s="425"/>
      <c r="IFV41" s="424"/>
      <c r="IFW41" s="425"/>
      <c r="IFX41" s="424"/>
      <c r="IFY41" s="425"/>
      <c r="IFZ41" s="424"/>
      <c r="IGA41" s="425"/>
      <c r="IGB41" s="424"/>
      <c r="IGC41" s="425"/>
      <c r="IGD41" s="424"/>
      <c r="IGE41" s="425"/>
      <c r="IGF41" s="424"/>
      <c r="IGG41" s="425"/>
      <c r="IGH41" s="424"/>
      <c r="IGI41" s="425"/>
      <c r="IGJ41" s="424"/>
      <c r="IGK41" s="425"/>
      <c r="IGL41" s="424"/>
      <c r="IGM41" s="425"/>
      <c r="IGN41" s="424"/>
      <c r="IGO41" s="425"/>
      <c r="IGP41" s="424"/>
      <c r="IGQ41" s="425"/>
      <c r="IGR41" s="424"/>
      <c r="IGS41" s="425"/>
      <c r="IGT41" s="424"/>
      <c r="IGU41" s="425"/>
      <c r="IGV41" s="424"/>
      <c r="IGW41" s="425"/>
      <c r="IGX41" s="424"/>
      <c r="IGY41" s="425"/>
      <c r="IGZ41" s="424"/>
      <c r="IHA41" s="425"/>
      <c r="IHB41" s="424"/>
      <c r="IHC41" s="425"/>
      <c r="IHD41" s="424"/>
      <c r="IHE41" s="425"/>
      <c r="IHF41" s="424"/>
      <c r="IHG41" s="425"/>
      <c r="IHH41" s="424"/>
      <c r="IHI41" s="425"/>
      <c r="IHJ41" s="424"/>
      <c r="IHK41" s="425"/>
      <c r="IHL41" s="424"/>
      <c r="IHM41" s="425"/>
      <c r="IHN41" s="424"/>
      <c r="IHO41" s="425"/>
      <c r="IHP41" s="424"/>
      <c r="IHQ41" s="425"/>
      <c r="IHR41" s="424"/>
      <c r="IHS41" s="425"/>
      <c r="IHT41" s="424"/>
      <c r="IHU41" s="425"/>
      <c r="IHV41" s="424"/>
      <c r="IHW41" s="425"/>
      <c r="IHX41" s="424"/>
      <c r="IHY41" s="425"/>
      <c r="IHZ41" s="424"/>
      <c r="IIA41" s="425"/>
      <c r="IIB41" s="424"/>
      <c r="IIC41" s="425"/>
      <c r="IID41" s="424"/>
      <c r="IIE41" s="425"/>
      <c r="IIF41" s="424"/>
      <c r="IIG41" s="425"/>
      <c r="IIH41" s="424"/>
      <c r="III41" s="425"/>
      <c r="IIJ41" s="424"/>
      <c r="IIK41" s="425"/>
      <c r="IIL41" s="424"/>
      <c r="IIM41" s="425"/>
      <c r="IIN41" s="424"/>
      <c r="IIO41" s="425"/>
      <c r="IIP41" s="424"/>
      <c r="IIQ41" s="425"/>
      <c r="IIR41" s="424"/>
      <c r="IIS41" s="425"/>
      <c r="IIT41" s="424"/>
      <c r="IIU41" s="425"/>
      <c r="IIV41" s="424"/>
      <c r="IIW41" s="425"/>
      <c r="IIX41" s="424"/>
      <c r="IIY41" s="425"/>
      <c r="IIZ41" s="424"/>
      <c r="IJA41" s="425"/>
      <c r="IJB41" s="424"/>
      <c r="IJC41" s="425"/>
      <c r="IJD41" s="424"/>
      <c r="IJE41" s="425"/>
      <c r="IJF41" s="424"/>
      <c r="IJG41" s="425"/>
      <c r="IJH41" s="424"/>
      <c r="IJI41" s="425"/>
      <c r="IJJ41" s="424"/>
      <c r="IJK41" s="425"/>
      <c r="IJL41" s="424"/>
      <c r="IJM41" s="425"/>
      <c r="IJN41" s="424"/>
      <c r="IJO41" s="425"/>
      <c r="IJP41" s="424"/>
      <c r="IJQ41" s="425"/>
      <c r="IJR41" s="424"/>
      <c r="IJS41" s="425"/>
      <c r="IJT41" s="424"/>
      <c r="IJU41" s="425"/>
      <c r="IJV41" s="424"/>
      <c r="IJW41" s="425"/>
      <c r="IJX41" s="424"/>
      <c r="IJY41" s="425"/>
      <c r="IJZ41" s="424"/>
      <c r="IKA41" s="425"/>
      <c r="IKB41" s="424"/>
      <c r="IKC41" s="425"/>
      <c r="IKD41" s="424"/>
      <c r="IKE41" s="425"/>
      <c r="IKF41" s="424"/>
      <c r="IKG41" s="425"/>
      <c r="IKH41" s="424"/>
      <c r="IKI41" s="425"/>
      <c r="IKJ41" s="424"/>
      <c r="IKK41" s="425"/>
      <c r="IKL41" s="424"/>
      <c r="IKM41" s="425"/>
      <c r="IKN41" s="424"/>
      <c r="IKO41" s="425"/>
      <c r="IKP41" s="424"/>
      <c r="IKQ41" s="425"/>
      <c r="IKR41" s="424"/>
      <c r="IKS41" s="425"/>
      <c r="IKT41" s="424"/>
      <c r="IKU41" s="425"/>
      <c r="IKV41" s="424"/>
      <c r="IKW41" s="425"/>
      <c r="IKX41" s="424"/>
      <c r="IKY41" s="425"/>
      <c r="IKZ41" s="424"/>
      <c r="ILA41" s="425"/>
      <c r="ILB41" s="424"/>
      <c r="ILC41" s="425"/>
      <c r="ILD41" s="424"/>
      <c r="ILE41" s="425"/>
      <c r="ILF41" s="424"/>
      <c r="ILG41" s="425"/>
      <c r="ILH41" s="424"/>
      <c r="ILI41" s="425"/>
      <c r="ILJ41" s="424"/>
      <c r="ILK41" s="425"/>
      <c r="ILL41" s="424"/>
      <c r="ILM41" s="425"/>
      <c r="ILN41" s="424"/>
      <c r="ILO41" s="425"/>
      <c r="ILP41" s="424"/>
      <c r="ILQ41" s="425"/>
      <c r="ILR41" s="424"/>
      <c r="ILS41" s="425"/>
      <c r="ILT41" s="424"/>
      <c r="ILU41" s="425"/>
      <c r="ILV41" s="424"/>
      <c r="ILW41" s="425"/>
      <c r="ILX41" s="424"/>
      <c r="ILY41" s="425"/>
      <c r="ILZ41" s="424"/>
      <c r="IMA41" s="425"/>
      <c r="IMB41" s="424"/>
      <c r="IMC41" s="425"/>
      <c r="IMD41" s="424"/>
      <c r="IME41" s="425"/>
      <c r="IMF41" s="424"/>
      <c r="IMG41" s="425"/>
      <c r="IMH41" s="424"/>
      <c r="IMI41" s="425"/>
      <c r="IMJ41" s="424"/>
      <c r="IMK41" s="425"/>
      <c r="IML41" s="424"/>
      <c r="IMM41" s="425"/>
      <c r="IMN41" s="424"/>
      <c r="IMO41" s="425"/>
      <c r="IMP41" s="424"/>
      <c r="IMQ41" s="425"/>
      <c r="IMR41" s="424"/>
      <c r="IMS41" s="425"/>
      <c r="IMT41" s="424"/>
      <c r="IMU41" s="425"/>
      <c r="IMV41" s="424"/>
      <c r="IMW41" s="425"/>
      <c r="IMX41" s="424"/>
      <c r="IMY41" s="425"/>
      <c r="IMZ41" s="424"/>
      <c r="INA41" s="425"/>
      <c r="INB41" s="424"/>
      <c r="INC41" s="425"/>
      <c r="IND41" s="424"/>
      <c r="INE41" s="425"/>
      <c r="INF41" s="424"/>
      <c r="ING41" s="425"/>
      <c r="INH41" s="424"/>
      <c r="INI41" s="425"/>
      <c r="INJ41" s="424"/>
      <c r="INK41" s="425"/>
      <c r="INL41" s="424"/>
      <c r="INM41" s="425"/>
      <c r="INN41" s="424"/>
      <c r="INO41" s="425"/>
      <c r="INP41" s="424"/>
      <c r="INQ41" s="425"/>
      <c r="INR41" s="424"/>
      <c r="INS41" s="425"/>
      <c r="INT41" s="424"/>
      <c r="INU41" s="425"/>
      <c r="INV41" s="424"/>
      <c r="INW41" s="425"/>
      <c r="INX41" s="424"/>
      <c r="INY41" s="425"/>
      <c r="INZ41" s="424"/>
      <c r="IOA41" s="425"/>
      <c r="IOB41" s="424"/>
      <c r="IOC41" s="425"/>
      <c r="IOD41" s="424"/>
      <c r="IOE41" s="425"/>
      <c r="IOF41" s="424"/>
      <c r="IOG41" s="425"/>
      <c r="IOH41" s="424"/>
      <c r="IOI41" s="425"/>
      <c r="IOJ41" s="424"/>
      <c r="IOK41" s="425"/>
      <c r="IOL41" s="424"/>
      <c r="IOM41" s="425"/>
      <c r="ION41" s="424"/>
      <c r="IOO41" s="425"/>
      <c r="IOP41" s="424"/>
      <c r="IOQ41" s="425"/>
      <c r="IOR41" s="424"/>
      <c r="IOS41" s="425"/>
      <c r="IOT41" s="424"/>
      <c r="IOU41" s="425"/>
      <c r="IOV41" s="424"/>
      <c r="IOW41" s="425"/>
      <c r="IOX41" s="424"/>
      <c r="IOY41" s="425"/>
      <c r="IOZ41" s="424"/>
      <c r="IPA41" s="425"/>
      <c r="IPB41" s="424"/>
      <c r="IPC41" s="425"/>
      <c r="IPD41" s="424"/>
      <c r="IPE41" s="425"/>
      <c r="IPF41" s="424"/>
      <c r="IPG41" s="425"/>
      <c r="IPH41" s="424"/>
      <c r="IPI41" s="425"/>
      <c r="IPJ41" s="424"/>
      <c r="IPK41" s="425"/>
      <c r="IPL41" s="424"/>
      <c r="IPM41" s="425"/>
      <c r="IPN41" s="424"/>
      <c r="IPO41" s="425"/>
      <c r="IPP41" s="424"/>
      <c r="IPQ41" s="425"/>
      <c r="IPR41" s="424"/>
      <c r="IPS41" s="425"/>
      <c r="IPT41" s="424"/>
      <c r="IPU41" s="425"/>
      <c r="IPV41" s="424"/>
      <c r="IPW41" s="425"/>
      <c r="IPX41" s="424"/>
      <c r="IPY41" s="425"/>
      <c r="IPZ41" s="424"/>
      <c r="IQA41" s="425"/>
      <c r="IQB41" s="424"/>
      <c r="IQC41" s="425"/>
      <c r="IQD41" s="424"/>
      <c r="IQE41" s="425"/>
      <c r="IQF41" s="424"/>
      <c r="IQG41" s="425"/>
      <c r="IQH41" s="424"/>
      <c r="IQI41" s="425"/>
      <c r="IQJ41" s="424"/>
      <c r="IQK41" s="425"/>
      <c r="IQL41" s="424"/>
      <c r="IQM41" s="425"/>
      <c r="IQN41" s="424"/>
      <c r="IQO41" s="425"/>
      <c r="IQP41" s="424"/>
      <c r="IQQ41" s="425"/>
      <c r="IQR41" s="424"/>
      <c r="IQS41" s="425"/>
      <c r="IQT41" s="424"/>
      <c r="IQU41" s="425"/>
      <c r="IQV41" s="424"/>
      <c r="IQW41" s="425"/>
      <c r="IQX41" s="424"/>
      <c r="IQY41" s="425"/>
      <c r="IQZ41" s="424"/>
      <c r="IRA41" s="425"/>
      <c r="IRB41" s="424"/>
      <c r="IRC41" s="425"/>
      <c r="IRD41" s="424"/>
      <c r="IRE41" s="425"/>
      <c r="IRF41" s="424"/>
      <c r="IRG41" s="425"/>
      <c r="IRH41" s="424"/>
      <c r="IRI41" s="425"/>
      <c r="IRJ41" s="424"/>
      <c r="IRK41" s="425"/>
      <c r="IRL41" s="424"/>
      <c r="IRM41" s="425"/>
      <c r="IRN41" s="424"/>
      <c r="IRO41" s="425"/>
      <c r="IRP41" s="424"/>
      <c r="IRQ41" s="425"/>
      <c r="IRR41" s="424"/>
      <c r="IRS41" s="425"/>
      <c r="IRT41" s="424"/>
      <c r="IRU41" s="425"/>
      <c r="IRV41" s="424"/>
      <c r="IRW41" s="425"/>
      <c r="IRX41" s="424"/>
      <c r="IRY41" s="425"/>
      <c r="IRZ41" s="424"/>
      <c r="ISA41" s="425"/>
      <c r="ISB41" s="424"/>
      <c r="ISC41" s="425"/>
      <c r="ISD41" s="424"/>
      <c r="ISE41" s="425"/>
      <c r="ISF41" s="424"/>
      <c r="ISG41" s="425"/>
      <c r="ISH41" s="424"/>
      <c r="ISI41" s="425"/>
      <c r="ISJ41" s="424"/>
      <c r="ISK41" s="425"/>
      <c r="ISL41" s="424"/>
      <c r="ISM41" s="425"/>
      <c r="ISN41" s="424"/>
      <c r="ISO41" s="425"/>
      <c r="ISP41" s="424"/>
      <c r="ISQ41" s="425"/>
      <c r="ISR41" s="424"/>
      <c r="ISS41" s="425"/>
      <c r="IST41" s="424"/>
      <c r="ISU41" s="425"/>
      <c r="ISV41" s="424"/>
      <c r="ISW41" s="425"/>
      <c r="ISX41" s="424"/>
      <c r="ISY41" s="425"/>
      <c r="ISZ41" s="424"/>
      <c r="ITA41" s="425"/>
      <c r="ITB41" s="424"/>
      <c r="ITC41" s="425"/>
      <c r="ITD41" s="424"/>
      <c r="ITE41" s="425"/>
      <c r="ITF41" s="424"/>
      <c r="ITG41" s="425"/>
      <c r="ITH41" s="424"/>
      <c r="ITI41" s="425"/>
      <c r="ITJ41" s="424"/>
      <c r="ITK41" s="425"/>
      <c r="ITL41" s="424"/>
      <c r="ITM41" s="425"/>
      <c r="ITN41" s="424"/>
      <c r="ITO41" s="425"/>
      <c r="ITP41" s="424"/>
      <c r="ITQ41" s="425"/>
      <c r="ITR41" s="424"/>
      <c r="ITS41" s="425"/>
      <c r="ITT41" s="424"/>
      <c r="ITU41" s="425"/>
      <c r="ITV41" s="424"/>
      <c r="ITW41" s="425"/>
      <c r="ITX41" s="424"/>
      <c r="ITY41" s="425"/>
      <c r="ITZ41" s="424"/>
      <c r="IUA41" s="425"/>
      <c r="IUB41" s="424"/>
      <c r="IUC41" s="425"/>
      <c r="IUD41" s="424"/>
      <c r="IUE41" s="425"/>
      <c r="IUF41" s="424"/>
      <c r="IUG41" s="425"/>
      <c r="IUH41" s="424"/>
      <c r="IUI41" s="425"/>
      <c r="IUJ41" s="424"/>
      <c r="IUK41" s="425"/>
      <c r="IUL41" s="424"/>
      <c r="IUM41" s="425"/>
      <c r="IUN41" s="424"/>
      <c r="IUO41" s="425"/>
      <c r="IUP41" s="424"/>
      <c r="IUQ41" s="425"/>
      <c r="IUR41" s="424"/>
      <c r="IUS41" s="425"/>
      <c r="IUT41" s="424"/>
      <c r="IUU41" s="425"/>
      <c r="IUV41" s="424"/>
      <c r="IUW41" s="425"/>
      <c r="IUX41" s="424"/>
      <c r="IUY41" s="425"/>
      <c r="IUZ41" s="424"/>
      <c r="IVA41" s="425"/>
      <c r="IVB41" s="424"/>
      <c r="IVC41" s="425"/>
      <c r="IVD41" s="424"/>
      <c r="IVE41" s="425"/>
      <c r="IVF41" s="424"/>
      <c r="IVG41" s="425"/>
      <c r="IVH41" s="424"/>
      <c r="IVI41" s="425"/>
      <c r="IVJ41" s="424"/>
      <c r="IVK41" s="425"/>
      <c r="IVL41" s="424"/>
      <c r="IVM41" s="425"/>
      <c r="IVN41" s="424"/>
      <c r="IVO41" s="425"/>
      <c r="IVP41" s="424"/>
      <c r="IVQ41" s="425"/>
      <c r="IVR41" s="424"/>
      <c r="IVS41" s="425"/>
      <c r="IVT41" s="424"/>
      <c r="IVU41" s="425"/>
      <c r="IVV41" s="424"/>
      <c r="IVW41" s="425"/>
      <c r="IVX41" s="424"/>
      <c r="IVY41" s="425"/>
      <c r="IVZ41" s="424"/>
      <c r="IWA41" s="425"/>
      <c r="IWB41" s="424"/>
      <c r="IWC41" s="425"/>
      <c r="IWD41" s="424"/>
      <c r="IWE41" s="425"/>
      <c r="IWF41" s="424"/>
      <c r="IWG41" s="425"/>
      <c r="IWH41" s="424"/>
      <c r="IWI41" s="425"/>
      <c r="IWJ41" s="424"/>
      <c r="IWK41" s="425"/>
      <c r="IWL41" s="424"/>
      <c r="IWM41" s="425"/>
      <c r="IWN41" s="424"/>
      <c r="IWO41" s="425"/>
      <c r="IWP41" s="424"/>
      <c r="IWQ41" s="425"/>
      <c r="IWR41" s="424"/>
      <c r="IWS41" s="425"/>
      <c r="IWT41" s="424"/>
      <c r="IWU41" s="425"/>
      <c r="IWV41" s="424"/>
      <c r="IWW41" s="425"/>
      <c r="IWX41" s="424"/>
      <c r="IWY41" s="425"/>
      <c r="IWZ41" s="424"/>
      <c r="IXA41" s="425"/>
      <c r="IXB41" s="424"/>
      <c r="IXC41" s="425"/>
      <c r="IXD41" s="424"/>
      <c r="IXE41" s="425"/>
      <c r="IXF41" s="424"/>
      <c r="IXG41" s="425"/>
      <c r="IXH41" s="424"/>
      <c r="IXI41" s="425"/>
      <c r="IXJ41" s="424"/>
      <c r="IXK41" s="425"/>
      <c r="IXL41" s="424"/>
      <c r="IXM41" s="425"/>
      <c r="IXN41" s="424"/>
      <c r="IXO41" s="425"/>
      <c r="IXP41" s="424"/>
      <c r="IXQ41" s="425"/>
      <c r="IXR41" s="424"/>
      <c r="IXS41" s="425"/>
      <c r="IXT41" s="424"/>
      <c r="IXU41" s="425"/>
      <c r="IXV41" s="424"/>
      <c r="IXW41" s="425"/>
      <c r="IXX41" s="424"/>
      <c r="IXY41" s="425"/>
      <c r="IXZ41" s="424"/>
      <c r="IYA41" s="425"/>
      <c r="IYB41" s="424"/>
      <c r="IYC41" s="425"/>
      <c r="IYD41" s="424"/>
      <c r="IYE41" s="425"/>
      <c r="IYF41" s="424"/>
      <c r="IYG41" s="425"/>
      <c r="IYH41" s="424"/>
      <c r="IYI41" s="425"/>
      <c r="IYJ41" s="424"/>
      <c r="IYK41" s="425"/>
      <c r="IYL41" s="424"/>
      <c r="IYM41" s="425"/>
      <c r="IYN41" s="424"/>
      <c r="IYO41" s="425"/>
      <c r="IYP41" s="424"/>
      <c r="IYQ41" s="425"/>
      <c r="IYR41" s="424"/>
      <c r="IYS41" s="425"/>
      <c r="IYT41" s="424"/>
      <c r="IYU41" s="425"/>
      <c r="IYV41" s="424"/>
      <c r="IYW41" s="425"/>
      <c r="IYX41" s="424"/>
      <c r="IYY41" s="425"/>
      <c r="IYZ41" s="424"/>
      <c r="IZA41" s="425"/>
      <c r="IZB41" s="424"/>
      <c r="IZC41" s="425"/>
      <c r="IZD41" s="424"/>
      <c r="IZE41" s="425"/>
      <c r="IZF41" s="424"/>
      <c r="IZG41" s="425"/>
      <c r="IZH41" s="424"/>
      <c r="IZI41" s="425"/>
      <c r="IZJ41" s="424"/>
      <c r="IZK41" s="425"/>
      <c r="IZL41" s="424"/>
      <c r="IZM41" s="425"/>
      <c r="IZN41" s="424"/>
      <c r="IZO41" s="425"/>
      <c r="IZP41" s="424"/>
      <c r="IZQ41" s="425"/>
      <c r="IZR41" s="424"/>
      <c r="IZS41" s="425"/>
      <c r="IZT41" s="424"/>
      <c r="IZU41" s="425"/>
      <c r="IZV41" s="424"/>
      <c r="IZW41" s="425"/>
      <c r="IZX41" s="424"/>
      <c r="IZY41" s="425"/>
      <c r="IZZ41" s="424"/>
      <c r="JAA41" s="425"/>
      <c r="JAB41" s="424"/>
      <c r="JAC41" s="425"/>
      <c r="JAD41" s="424"/>
      <c r="JAE41" s="425"/>
      <c r="JAF41" s="424"/>
      <c r="JAG41" s="425"/>
      <c r="JAH41" s="424"/>
      <c r="JAI41" s="425"/>
      <c r="JAJ41" s="424"/>
      <c r="JAK41" s="425"/>
      <c r="JAL41" s="424"/>
      <c r="JAM41" s="425"/>
      <c r="JAN41" s="424"/>
      <c r="JAO41" s="425"/>
      <c r="JAP41" s="424"/>
      <c r="JAQ41" s="425"/>
      <c r="JAR41" s="424"/>
      <c r="JAS41" s="425"/>
      <c r="JAT41" s="424"/>
      <c r="JAU41" s="425"/>
      <c r="JAV41" s="424"/>
      <c r="JAW41" s="425"/>
      <c r="JAX41" s="424"/>
      <c r="JAY41" s="425"/>
      <c r="JAZ41" s="424"/>
      <c r="JBA41" s="425"/>
      <c r="JBB41" s="424"/>
      <c r="JBC41" s="425"/>
      <c r="JBD41" s="424"/>
      <c r="JBE41" s="425"/>
      <c r="JBF41" s="424"/>
      <c r="JBG41" s="425"/>
      <c r="JBH41" s="424"/>
      <c r="JBI41" s="425"/>
      <c r="JBJ41" s="424"/>
      <c r="JBK41" s="425"/>
      <c r="JBL41" s="424"/>
      <c r="JBM41" s="425"/>
      <c r="JBN41" s="424"/>
      <c r="JBO41" s="425"/>
      <c r="JBP41" s="424"/>
      <c r="JBQ41" s="425"/>
      <c r="JBR41" s="424"/>
      <c r="JBS41" s="425"/>
      <c r="JBT41" s="424"/>
      <c r="JBU41" s="425"/>
      <c r="JBV41" s="424"/>
      <c r="JBW41" s="425"/>
      <c r="JBX41" s="424"/>
      <c r="JBY41" s="425"/>
      <c r="JBZ41" s="424"/>
      <c r="JCA41" s="425"/>
      <c r="JCB41" s="424"/>
      <c r="JCC41" s="425"/>
      <c r="JCD41" s="424"/>
      <c r="JCE41" s="425"/>
      <c r="JCF41" s="424"/>
      <c r="JCG41" s="425"/>
      <c r="JCH41" s="424"/>
      <c r="JCI41" s="425"/>
      <c r="JCJ41" s="424"/>
      <c r="JCK41" s="425"/>
      <c r="JCL41" s="424"/>
      <c r="JCM41" s="425"/>
      <c r="JCN41" s="424"/>
      <c r="JCO41" s="425"/>
      <c r="JCP41" s="424"/>
      <c r="JCQ41" s="425"/>
      <c r="JCR41" s="424"/>
      <c r="JCS41" s="425"/>
      <c r="JCT41" s="424"/>
      <c r="JCU41" s="425"/>
      <c r="JCV41" s="424"/>
      <c r="JCW41" s="425"/>
      <c r="JCX41" s="424"/>
      <c r="JCY41" s="425"/>
      <c r="JCZ41" s="424"/>
      <c r="JDA41" s="425"/>
      <c r="JDB41" s="424"/>
      <c r="JDC41" s="425"/>
      <c r="JDD41" s="424"/>
      <c r="JDE41" s="425"/>
      <c r="JDF41" s="424"/>
      <c r="JDG41" s="425"/>
      <c r="JDH41" s="424"/>
      <c r="JDI41" s="425"/>
      <c r="JDJ41" s="424"/>
      <c r="JDK41" s="425"/>
      <c r="JDL41" s="424"/>
      <c r="JDM41" s="425"/>
      <c r="JDN41" s="424"/>
      <c r="JDO41" s="425"/>
      <c r="JDP41" s="424"/>
      <c r="JDQ41" s="425"/>
      <c r="JDR41" s="424"/>
      <c r="JDS41" s="425"/>
      <c r="JDT41" s="424"/>
      <c r="JDU41" s="425"/>
      <c r="JDV41" s="424"/>
      <c r="JDW41" s="425"/>
      <c r="JDX41" s="424"/>
      <c r="JDY41" s="425"/>
      <c r="JDZ41" s="424"/>
      <c r="JEA41" s="425"/>
      <c r="JEB41" s="424"/>
      <c r="JEC41" s="425"/>
      <c r="JED41" s="424"/>
      <c r="JEE41" s="425"/>
      <c r="JEF41" s="424"/>
      <c r="JEG41" s="425"/>
      <c r="JEH41" s="424"/>
      <c r="JEI41" s="425"/>
      <c r="JEJ41" s="424"/>
      <c r="JEK41" s="425"/>
      <c r="JEL41" s="424"/>
      <c r="JEM41" s="425"/>
      <c r="JEN41" s="424"/>
      <c r="JEO41" s="425"/>
      <c r="JEP41" s="424"/>
      <c r="JEQ41" s="425"/>
      <c r="JER41" s="424"/>
      <c r="JES41" s="425"/>
      <c r="JET41" s="424"/>
      <c r="JEU41" s="425"/>
      <c r="JEV41" s="424"/>
      <c r="JEW41" s="425"/>
      <c r="JEX41" s="424"/>
      <c r="JEY41" s="425"/>
      <c r="JEZ41" s="424"/>
      <c r="JFA41" s="425"/>
      <c r="JFB41" s="424"/>
      <c r="JFC41" s="425"/>
      <c r="JFD41" s="424"/>
      <c r="JFE41" s="425"/>
      <c r="JFF41" s="424"/>
      <c r="JFG41" s="425"/>
      <c r="JFH41" s="424"/>
      <c r="JFI41" s="425"/>
      <c r="JFJ41" s="424"/>
      <c r="JFK41" s="425"/>
      <c r="JFL41" s="424"/>
      <c r="JFM41" s="425"/>
      <c r="JFN41" s="424"/>
      <c r="JFO41" s="425"/>
      <c r="JFP41" s="424"/>
      <c r="JFQ41" s="425"/>
      <c r="JFR41" s="424"/>
      <c r="JFS41" s="425"/>
      <c r="JFT41" s="424"/>
      <c r="JFU41" s="425"/>
      <c r="JFV41" s="424"/>
      <c r="JFW41" s="425"/>
      <c r="JFX41" s="424"/>
      <c r="JFY41" s="425"/>
      <c r="JFZ41" s="424"/>
      <c r="JGA41" s="425"/>
      <c r="JGB41" s="424"/>
      <c r="JGC41" s="425"/>
      <c r="JGD41" s="424"/>
      <c r="JGE41" s="425"/>
      <c r="JGF41" s="424"/>
      <c r="JGG41" s="425"/>
      <c r="JGH41" s="424"/>
      <c r="JGI41" s="425"/>
      <c r="JGJ41" s="424"/>
      <c r="JGK41" s="425"/>
      <c r="JGL41" s="424"/>
      <c r="JGM41" s="425"/>
      <c r="JGN41" s="424"/>
      <c r="JGO41" s="425"/>
      <c r="JGP41" s="424"/>
      <c r="JGQ41" s="425"/>
      <c r="JGR41" s="424"/>
      <c r="JGS41" s="425"/>
      <c r="JGT41" s="424"/>
      <c r="JGU41" s="425"/>
      <c r="JGV41" s="424"/>
      <c r="JGW41" s="425"/>
      <c r="JGX41" s="424"/>
      <c r="JGY41" s="425"/>
      <c r="JGZ41" s="424"/>
      <c r="JHA41" s="425"/>
      <c r="JHB41" s="424"/>
      <c r="JHC41" s="425"/>
      <c r="JHD41" s="424"/>
      <c r="JHE41" s="425"/>
      <c r="JHF41" s="424"/>
      <c r="JHG41" s="425"/>
      <c r="JHH41" s="424"/>
      <c r="JHI41" s="425"/>
      <c r="JHJ41" s="424"/>
      <c r="JHK41" s="425"/>
      <c r="JHL41" s="424"/>
      <c r="JHM41" s="425"/>
      <c r="JHN41" s="424"/>
      <c r="JHO41" s="425"/>
      <c r="JHP41" s="424"/>
      <c r="JHQ41" s="425"/>
      <c r="JHR41" s="424"/>
      <c r="JHS41" s="425"/>
      <c r="JHT41" s="424"/>
      <c r="JHU41" s="425"/>
      <c r="JHV41" s="424"/>
      <c r="JHW41" s="425"/>
      <c r="JHX41" s="424"/>
      <c r="JHY41" s="425"/>
      <c r="JHZ41" s="424"/>
      <c r="JIA41" s="425"/>
      <c r="JIB41" s="424"/>
      <c r="JIC41" s="425"/>
      <c r="JID41" s="424"/>
      <c r="JIE41" s="425"/>
      <c r="JIF41" s="424"/>
      <c r="JIG41" s="425"/>
      <c r="JIH41" s="424"/>
      <c r="JII41" s="425"/>
      <c r="JIJ41" s="424"/>
      <c r="JIK41" s="425"/>
      <c r="JIL41" s="424"/>
      <c r="JIM41" s="425"/>
      <c r="JIN41" s="424"/>
      <c r="JIO41" s="425"/>
      <c r="JIP41" s="424"/>
      <c r="JIQ41" s="425"/>
      <c r="JIR41" s="424"/>
      <c r="JIS41" s="425"/>
      <c r="JIT41" s="424"/>
      <c r="JIU41" s="425"/>
      <c r="JIV41" s="424"/>
      <c r="JIW41" s="425"/>
      <c r="JIX41" s="424"/>
      <c r="JIY41" s="425"/>
      <c r="JIZ41" s="424"/>
      <c r="JJA41" s="425"/>
      <c r="JJB41" s="424"/>
      <c r="JJC41" s="425"/>
      <c r="JJD41" s="424"/>
      <c r="JJE41" s="425"/>
      <c r="JJF41" s="424"/>
      <c r="JJG41" s="425"/>
      <c r="JJH41" s="424"/>
      <c r="JJI41" s="425"/>
      <c r="JJJ41" s="424"/>
      <c r="JJK41" s="425"/>
      <c r="JJL41" s="424"/>
      <c r="JJM41" s="425"/>
      <c r="JJN41" s="424"/>
      <c r="JJO41" s="425"/>
      <c r="JJP41" s="424"/>
      <c r="JJQ41" s="425"/>
      <c r="JJR41" s="424"/>
      <c r="JJS41" s="425"/>
      <c r="JJT41" s="424"/>
      <c r="JJU41" s="425"/>
      <c r="JJV41" s="424"/>
      <c r="JJW41" s="425"/>
      <c r="JJX41" s="424"/>
      <c r="JJY41" s="425"/>
      <c r="JJZ41" s="424"/>
      <c r="JKA41" s="425"/>
      <c r="JKB41" s="424"/>
      <c r="JKC41" s="425"/>
      <c r="JKD41" s="424"/>
      <c r="JKE41" s="425"/>
      <c r="JKF41" s="424"/>
      <c r="JKG41" s="425"/>
      <c r="JKH41" s="424"/>
      <c r="JKI41" s="425"/>
      <c r="JKJ41" s="424"/>
      <c r="JKK41" s="425"/>
      <c r="JKL41" s="424"/>
      <c r="JKM41" s="425"/>
      <c r="JKN41" s="424"/>
      <c r="JKO41" s="425"/>
      <c r="JKP41" s="424"/>
      <c r="JKQ41" s="425"/>
      <c r="JKR41" s="424"/>
      <c r="JKS41" s="425"/>
      <c r="JKT41" s="424"/>
      <c r="JKU41" s="425"/>
      <c r="JKV41" s="424"/>
      <c r="JKW41" s="425"/>
      <c r="JKX41" s="424"/>
      <c r="JKY41" s="425"/>
      <c r="JKZ41" s="424"/>
      <c r="JLA41" s="425"/>
      <c r="JLB41" s="424"/>
      <c r="JLC41" s="425"/>
      <c r="JLD41" s="424"/>
      <c r="JLE41" s="425"/>
      <c r="JLF41" s="424"/>
      <c r="JLG41" s="425"/>
      <c r="JLH41" s="424"/>
      <c r="JLI41" s="425"/>
      <c r="JLJ41" s="424"/>
      <c r="JLK41" s="425"/>
      <c r="JLL41" s="424"/>
      <c r="JLM41" s="425"/>
      <c r="JLN41" s="424"/>
      <c r="JLO41" s="425"/>
      <c r="JLP41" s="424"/>
      <c r="JLQ41" s="425"/>
      <c r="JLR41" s="424"/>
      <c r="JLS41" s="425"/>
      <c r="JLT41" s="424"/>
      <c r="JLU41" s="425"/>
      <c r="JLV41" s="424"/>
      <c r="JLW41" s="425"/>
      <c r="JLX41" s="424"/>
      <c r="JLY41" s="425"/>
      <c r="JLZ41" s="424"/>
      <c r="JMA41" s="425"/>
      <c r="JMB41" s="424"/>
      <c r="JMC41" s="425"/>
      <c r="JMD41" s="424"/>
      <c r="JME41" s="425"/>
      <c r="JMF41" s="424"/>
      <c r="JMG41" s="425"/>
      <c r="JMH41" s="424"/>
      <c r="JMI41" s="425"/>
      <c r="JMJ41" s="424"/>
      <c r="JMK41" s="425"/>
      <c r="JML41" s="424"/>
      <c r="JMM41" s="425"/>
      <c r="JMN41" s="424"/>
      <c r="JMO41" s="425"/>
      <c r="JMP41" s="424"/>
      <c r="JMQ41" s="425"/>
      <c r="JMR41" s="424"/>
      <c r="JMS41" s="425"/>
      <c r="JMT41" s="424"/>
      <c r="JMU41" s="425"/>
      <c r="JMV41" s="424"/>
      <c r="JMW41" s="425"/>
      <c r="JMX41" s="424"/>
      <c r="JMY41" s="425"/>
      <c r="JMZ41" s="424"/>
      <c r="JNA41" s="425"/>
      <c r="JNB41" s="424"/>
      <c r="JNC41" s="425"/>
      <c r="JND41" s="424"/>
      <c r="JNE41" s="425"/>
      <c r="JNF41" s="424"/>
      <c r="JNG41" s="425"/>
      <c r="JNH41" s="424"/>
      <c r="JNI41" s="425"/>
      <c r="JNJ41" s="424"/>
      <c r="JNK41" s="425"/>
      <c r="JNL41" s="424"/>
      <c r="JNM41" s="425"/>
      <c r="JNN41" s="424"/>
      <c r="JNO41" s="425"/>
      <c r="JNP41" s="424"/>
      <c r="JNQ41" s="425"/>
      <c r="JNR41" s="424"/>
      <c r="JNS41" s="425"/>
      <c r="JNT41" s="424"/>
      <c r="JNU41" s="425"/>
      <c r="JNV41" s="424"/>
      <c r="JNW41" s="425"/>
      <c r="JNX41" s="424"/>
      <c r="JNY41" s="425"/>
      <c r="JNZ41" s="424"/>
      <c r="JOA41" s="425"/>
      <c r="JOB41" s="424"/>
      <c r="JOC41" s="425"/>
      <c r="JOD41" s="424"/>
      <c r="JOE41" s="425"/>
      <c r="JOF41" s="424"/>
      <c r="JOG41" s="425"/>
      <c r="JOH41" s="424"/>
      <c r="JOI41" s="425"/>
      <c r="JOJ41" s="424"/>
      <c r="JOK41" s="425"/>
      <c r="JOL41" s="424"/>
      <c r="JOM41" s="425"/>
      <c r="JON41" s="424"/>
      <c r="JOO41" s="425"/>
      <c r="JOP41" s="424"/>
      <c r="JOQ41" s="425"/>
      <c r="JOR41" s="424"/>
      <c r="JOS41" s="425"/>
      <c r="JOT41" s="424"/>
      <c r="JOU41" s="425"/>
      <c r="JOV41" s="424"/>
      <c r="JOW41" s="425"/>
      <c r="JOX41" s="424"/>
      <c r="JOY41" s="425"/>
      <c r="JOZ41" s="424"/>
      <c r="JPA41" s="425"/>
      <c r="JPB41" s="424"/>
      <c r="JPC41" s="425"/>
      <c r="JPD41" s="424"/>
      <c r="JPE41" s="425"/>
      <c r="JPF41" s="424"/>
      <c r="JPG41" s="425"/>
      <c r="JPH41" s="424"/>
      <c r="JPI41" s="425"/>
      <c r="JPJ41" s="424"/>
      <c r="JPK41" s="425"/>
      <c r="JPL41" s="424"/>
      <c r="JPM41" s="425"/>
      <c r="JPN41" s="424"/>
      <c r="JPO41" s="425"/>
      <c r="JPP41" s="424"/>
      <c r="JPQ41" s="425"/>
      <c r="JPR41" s="424"/>
      <c r="JPS41" s="425"/>
      <c r="JPT41" s="424"/>
      <c r="JPU41" s="425"/>
      <c r="JPV41" s="424"/>
      <c r="JPW41" s="425"/>
      <c r="JPX41" s="424"/>
      <c r="JPY41" s="425"/>
      <c r="JPZ41" s="424"/>
      <c r="JQA41" s="425"/>
      <c r="JQB41" s="424"/>
      <c r="JQC41" s="425"/>
      <c r="JQD41" s="424"/>
      <c r="JQE41" s="425"/>
      <c r="JQF41" s="424"/>
      <c r="JQG41" s="425"/>
      <c r="JQH41" s="424"/>
      <c r="JQI41" s="425"/>
      <c r="JQJ41" s="424"/>
      <c r="JQK41" s="425"/>
      <c r="JQL41" s="424"/>
      <c r="JQM41" s="425"/>
      <c r="JQN41" s="424"/>
      <c r="JQO41" s="425"/>
      <c r="JQP41" s="424"/>
      <c r="JQQ41" s="425"/>
      <c r="JQR41" s="424"/>
      <c r="JQS41" s="425"/>
      <c r="JQT41" s="424"/>
      <c r="JQU41" s="425"/>
      <c r="JQV41" s="424"/>
      <c r="JQW41" s="425"/>
      <c r="JQX41" s="424"/>
      <c r="JQY41" s="425"/>
      <c r="JQZ41" s="424"/>
      <c r="JRA41" s="425"/>
      <c r="JRB41" s="424"/>
      <c r="JRC41" s="425"/>
      <c r="JRD41" s="424"/>
      <c r="JRE41" s="425"/>
      <c r="JRF41" s="424"/>
      <c r="JRG41" s="425"/>
      <c r="JRH41" s="424"/>
      <c r="JRI41" s="425"/>
      <c r="JRJ41" s="424"/>
      <c r="JRK41" s="425"/>
      <c r="JRL41" s="424"/>
      <c r="JRM41" s="425"/>
      <c r="JRN41" s="424"/>
      <c r="JRO41" s="425"/>
      <c r="JRP41" s="424"/>
      <c r="JRQ41" s="425"/>
      <c r="JRR41" s="424"/>
      <c r="JRS41" s="425"/>
      <c r="JRT41" s="424"/>
      <c r="JRU41" s="425"/>
      <c r="JRV41" s="424"/>
      <c r="JRW41" s="425"/>
      <c r="JRX41" s="424"/>
      <c r="JRY41" s="425"/>
      <c r="JRZ41" s="424"/>
      <c r="JSA41" s="425"/>
      <c r="JSB41" s="424"/>
      <c r="JSC41" s="425"/>
      <c r="JSD41" s="424"/>
      <c r="JSE41" s="425"/>
      <c r="JSF41" s="424"/>
      <c r="JSG41" s="425"/>
      <c r="JSH41" s="424"/>
      <c r="JSI41" s="425"/>
      <c r="JSJ41" s="424"/>
      <c r="JSK41" s="425"/>
      <c r="JSL41" s="424"/>
      <c r="JSM41" s="425"/>
      <c r="JSN41" s="424"/>
      <c r="JSO41" s="425"/>
      <c r="JSP41" s="424"/>
      <c r="JSQ41" s="425"/>
      <c r="JSR41" s="424"/>
      <c r="JSS41" s="425"/>
      <c r="JST41" s="424"/>
      <c r="JSU41" s="425"/>
      <c r="JSV41" s="424"/>
      <c r="JSW41" s="425"/>
      <c r="JSX41" s="424"/>
      <c r="JSY41" s="425"/>
      <c r="JSZ41" s="424"/>
      <c r="JTA41" s="425"/>
      <c r="JTB41" s="424"/>
      <c r="JTC41" s="425"/>
      <c r="JTD41" s="424"/>
      <c r="JTE41" s="425"/>
      <c r="JTF41" s="424"/>
      <c r="JTG41" s="425"/>
      <c r="JTH41" s="424"/>
      <c r="JTI41" s="425"/>
      <c r="JTJ41" s="424"/>
      <c r="JTK41" s="425"/>
      <c r="JTL41" s="424"/>
      <c r="JTM41" s="425"/>
      <c r="JTN41" s="424"/>
      <c r="JTO41" s="425"/>
      <c r="JTP41" s="424"/>
      <c r="JTQ41" s="425"/>
      <c r="JTR41" s="424"/>
      <c r="JTS41" s="425"/>
      <c r="JTT41" s="424"/>
      <c r="JTU41" s="425"/>
      <c r="JTV41" s="424"/>
      <c r="JTW41" s="425"/>
      <c r="JTX41" s="424"/>
      <c r="JTY41" s="425"/>
      <c r="JTZ41" s="424"/>
      <c r="JUA41" s="425"/>
      <c r="JUB41" s="424"/>
      <c r="JUC41" s="425"/>
      <c r="JUD41" s="424"/>
      <c r="JUE41" s="425"/>
      <c r="JUF41" s="424"/>
      <c r="JUG41" s="425"/>
      <c r="JUH41" s="424"/>
      <c r="JUI41" s="425"/>
      <c r="JUJ41" s="424"/>
      <c r="JUK41" s="425"/>
      <c r="JUL41" s="424"/>
      <c r="JUM41" s="425"/>
      <c r="JUN41" s="424"/>
      <c r="JUO41" s="425"/>
      <c r="JUP41" s="424"/>
      <c r="JUQ41" s="425"/>
      <c r="JUR41" s="424"/>
      <c r="JUS41" s="425"/>
      <c r="JUT41" s="424"/>
      <c r="JUU41" s="425"/>
      <c r="JUV41" s="424"/>
      <c r="JUW41" s="425"/>
      <c r="JUX41" s="424"/>
      <c r="JUY41" s="425"/>
      <c r="JUZ41" s="424"/>
      <c r="JVA41" s="425"/>
      <c r="JVB41" s="424"/>
      <c r="JVC41" s="425"/>
      <c r="JVD41" s="424"/>
      <c r="JVE41" s="425"/>
      <c r="JVF41" s="424"/>
      <c r="JVG41" s="425"/>
      <c r="JVH41" s="424"/>
      <c r="JVI41" s="425"/>
      <c r="JVJ41" s="424"/>
      <c r="JVK41" s="425"/>
      <c r="JVL41" s="424"/>
      <c r="JVM41" s="425"/>
      <c r="JVN41" s="424"/>
      <c r="JVO41" s="425"/>
      <c r="JVP41" s="424"/>
      <c r="JVQ41" s="425"/>
      <c r="JVR41" s="424"/>
      <c r="JVS41" s="425"/>
      <c r="JVT41" s="424"/>
      <c r="JVU41" s="425"/>
      <c r="JVV41" s="424"/>
      <c r="JVW41" s="425"/>
      <c r="JVX41" s="424"/>
      <c r="JVY41" s="425"/>
      <c r="JVZ41" s="424"/>
      <c r="JWA41" s="425"/>
      <c r="JWB41" s="424"/>
      <c r="JWC41" s="425"/>
      <c r="JWD41" s="424"/>
      <c r="JWE41" s="425"/>
      <c r="JWF41" s="424"/>
      <c r="JWG41" s="425"/>
      <c r="JWH41" s="424"/>
      <c r="JWI41" s="425"/>
      <c r="JWJ41" s="424"/>
      <c r="JWK41" s="425"/>
      <c r="JWL41" s="424"/>
      <c r="JWM41" s="425"/>
      <c r="JWN41" s="424"/>
      <c r="JWO41" s="425"/>
      <c r="JWP41" s="424"/>
      <c r="JWQ41" s="425"/>
      <c r="JWR41" s="424"/>
      <c r="JWS41" s="425"/>
      <c r="JWT41" s="424"/>
      <c r="JWU41" s="425"/>
      <c r="JWV41" s="424"/>
      <c r="JWW41" s="425"/>
      <c r="JWX41" s="424"/>
      <c r="JWY41" s="425"/>
      <c r="JWZ41" s="424"/>
      <c r="JXA41" s="425"/>
      <c r="JXB41" s="424"/>
      <c r="JXC41" s="425"/>
      <c r="JXD41" s="424"/>
      <c r="JXE41" s="425"/>
      <c r="JXF41" s="424"/>
      <c r="JXG41" s="425"/>
      <c r="JXH41" s="424"/>
      <c r="JXI41" s="425"/>
      <c r="JXJ41" s="424"/>
      <c r="JXK41" s="425"/>
      <c r="JXL41" s="424"/>
      <c r="JXM41" s="425"/>
      <c r="JXN41" s="424"/>
      <c r="JXO41" s="425"/>
      <c r="JXP41" s="424"/>
      <c r="JXQ41" s="425"/>
      <c r="JXR41" s="424"/>
      <c r="JXS41" s="425"/>
      <c r="JXT41" s="424"/>
      <c r="JXU41" s="425"/>
      <c r="JXV41" s="424"/>
      <c r="JXW41" s="425"/>
      <c r="JXX41" s="424"/>
      <c r="JXY41" s="425"/>
      <c r="JXZ41" s="424"/>
      <c r="JYA41" s="425"/>
      <c r="JYB41" s="424"/>
      <c r="JYC41" s="425"/>
      <c r="JYD41" s="424"/>
      <c r="JYE41" s="425"/>
      <c r="JYF41" s="424"/>
      <c r="JYG41" s="425"/>
      <c r="JYH41" s="424"/>
      <c r="JYI41" s="425"/>
      <c r="JYJ41" s="424"/>
      <c r="JYK41" s="425"/>
      <c r="JYL41" s="424"/>
      <c r="JYM41" s="425"/>
      <c r="JYN41" s="424"/>
      <c r="JYO41" s="425"/>
      <c r="JYP41" s="424"/>
      <c r="JYQ41" s="425"/>
      <c r="JYR41" s="424"/>
      <c r="JYS41" s="425"/>
      <c r="JYT41" s="424"/>
      <c r="JYU41" s="425"/>
      <c r="JYV41" s="424"/>
      <c r="JYW41" s="425"/>
      <c r="JYX41" s="424"/>
      <c r="JYY41" s="425"/>
      <c r="JYZ41" s="424"/>
      <c r="JZA41" s="425"/>
      <c r="JZB41" s="424"/>
      <c r="JZC41" s="425"/>
      <c r="JZD41" s="424"/>
      <c r="JZE41" s="425"/>
      <c r="JZF41" s="424"/>
      <c r="JZG41" s="425"/>
      <c r="JZH41" s="424"/>
      <c r="JZI41" s="425"/>
      <c r="JZJ41" s="424"/>
      <c r="JZK41" s="425"/>
      <c r="JZL41" s="424"/>
      <c r="JZM41" s="425"/>
      <c r="JZN41" s="424"/>
      <c r="JZO41" s="425"/>
      <c r="JZP41" s="424"/>
      <c r="JZQ41" s="425"/>
      <c r="JZR41" s="424"/>
      <c r="JZS41" s="425"/>
      <c r="JZT41" s="424"/>
      <c r="JZU41" s="425"/>
      <c r="JZV41" s="424"/>
      <c r="JZW41" s="425"/>
      <c r="JZX41" s="424"/>
      <c r="JZY41" s="425"/>
      <c r="JZZ41" s="424"/>
      <c r="KAA41" s="425"/>
      <c r="KAB41" s="424"/>
      <c r="KAC41" s="425"/>
      <c r="KAD41" s="424"/>
      <c r="KAE41" s="425"/>
      <c r="KAF41" s="424"/>
      <c r="KAG41" s="425"/>
      <c r="KAH41" s="424"/>
      <c r="KAI41" s="425"/>
      <c r="KAJ41" s="424"/>
      <c r="KAK41" s="425"/>
      <c r="KAL41" s="424"/>
      <c r="KAM41" s="425"/>
      <c r="KAN41" s="424"/>
      <c r="KAO41" s="425"/>
      <c r="KAP41" s="424"/>
      <c r="KAQ41" s="425"/>
      <c r="KAR41" s="424"/>
      <c r="KAS41" s="425"/>
      <c r="KAT41" s="424"/>
      <c r="KAU41" s="425"/>
      <c r="KAV41" s="424"/>
      <c r="KAW41" s="425"/>
      <c r="KAX41" s="424"/>
      <c r="KAY41" s="425"/>
      <c r="KAZ41" s="424"/>
      <c r="KBA41" s="425"/>
      <c r="KBB41" s="424"/>
      <c r="KBC41" s="425"/>
      <c r="KBD41" s="424"/>
      <c r="KBE41" s="425"/>
      <c r="KBF41" s="424"/>
      <c r="KBG41" s="425"/>
      <c r="KBH41" s="424"/>
      <c r="KBI41" s="425"/>
      <c r="KBJ41" s="424"/>
      <c r="KBK41" s="425"/>
      <c r="KBL41" s="424"/>
      <c r="KBM41" s="425"/>
      <c r="KBN41" s="424"/>
      <c r="KBO41" s="425"/>
      <c r="KBP41" s="424"/>
      <c r="KBQ41" s="425"/>
      <c r="KBR41" s="424"/>
      <c r="KBS41" s="425"/>
      <c r="KBT41" s="424"/>
      <c r="KBU41" s="425"/>
      <c r="KBV41" s="424"/>
      <c r="KBW41" s="425"/>
      <c r="KBX41" s="424"/>
      <c r="KBY41" s="425"/>
      <c r="KBZ41" s="424"/>
      <c r="KCA41" s="425"/>
      <c r="KCB41" s="424"/>
      <c r="KCC41" s="425"/>
      <c r="KCD41" s="424"/>
      <c r="KCE41" s="425"/>
      <c r="KCF41" s="424"/>
      <c r="KCG41" s="425"/>
      <c r="KCH41" s="424"/>
      <c r="KCI41" s="425"/>
      <c r="KCJ41" s="424"/>
      <c r="KCK41" s="425"/>
      <c r="KCL41" s="424"/>
      <c r="KCM41" s="425"/>
      <c r="KCN41" s="424"/>
      <c r="KCO41" s="425"/>
      <c r="KCP41" s="424"/>
      <c r="KCQ41" s="425"/>
      <c r="KCR41" s="424"/>
      <c r="KCS41" s="425"/>
      <c r="KCT41" s="424"/>
      <c r="KCU41" s="425"/>
      <c r="KCV41" s="424"/>
      <c r="KCW41" s="425"/>
      <c r="KCX41" s="424"/>
      <c r="KCY41" s="425"/>
      <c r="KCZ41" s="424"/>
      <c r="KDA41" s="425"/>
      <c r="KDB41" s="424"/>
      <c r="KDC41" s="425"/>
      <c r="KDD41" s="424"/>
      <c r="KDE41" s="425"/>
      <c r="KDF41" s="424"/>
      <c r="KDG41" s="425"/>
      <c r="KDH41" s="424"/>
      <c r="KDI41" s="425"/>
      <c r="KDJ41" s="424"/>
      <c r="KDK41" s="425"/>
      <c r="KDL41" s="424"/>
      <c r="KDM41" s="425"/>
      <c r="KDN41" s="424"/>
      <c r="KDO41" s="425"/>
      <c r="KDP41" s="424"/>
      <c r="KDQ41" s="425"/>
      <c r="KDR41" s="424"/>
      <c r="KDS41" s="425"/>
      <c r="KDT41" s="424"/>
      <c r="KDU41" s="425"/>
      <c r="KDV41" s="424"/>
      <c r="KDW41" s="425"/>
      <c r="KDX41" s="424"/>
      <c r="KDY41" s="425"/>
      <c r="KDZ41" s="424"/>
      <c r="KEA41" s="425"/>
      <c r="KEB41" s="424"/>
      <c r="KEC41" s="425"/>
      <c r="KED41" s="424"/>
      <c r="KEE41" s="425"/>
      <c r="KEF41" s="424"/>
      <c r="KEG41" s="425"/>
      <c r="KEH41" s="424"/>
      <c r="KEI41" s="425"/>
      <c r="KEJ41" s="424"/>
      <c r="KEK41" s="425"/>
      <c r="KEL41" s="424"/>
      <c r="KEM41" s="425"/>
      <c r="KEN41" s="424"/>
      <c r="KEO41" s="425"/>
      <c r="KEP41" s="424"/>
      <c r="KEQ41" s="425"/>
      <c r="KER41" s="424"/>
      <c r="KES41" s="425"/>
      <c r="KET41" s="424"/>
      <c r="KEU41" s="425"/>
      <c r="KEV41" s="424"/>
      <c r="KEW41" s="425"/>
      <c r="KEX41" s="424"/>
      <c r="KEY41" s="425"/>
      <c r="KEZ41" s="424"/>
      <c r="KFA41" s="425"/>
      <c r="KFB41" s="424"/>
      <c r="KFC41" s="425"/>
      <c r="KFD41" s="424"/>
      <c r="KFE41" s="425"/>
      <c r="KFF41" s="424"/>
      <c r="KFG41" s="425"/>
      <c r="KFH41" s="424"/>
      <c r="KFI41" s="425"/>
      <c r="KFJ41" s="424"/>
      <c r="KFK41" s="425"/>
      <c r="KFL41" s="424"/>
      <c r="KFM41" s="425"/>
      <c r="KFN41" s="424"/>
      <c r="KFO41" s="425"/>
      <c r="KFP41" s="424"/>
      <c r="KFQ41" s="425"/>
      <c r="KFR41" s="424"/>
      <c r="KFS41" s="425"/>
      <c r="KFT41" s="424"/>
      <c r="KFU41" s="425"/>
      <c r="KFV41" s="424"/>
      <c r="KFW41" s="425"/>
      <c r="KFX41" s="424"/>
      <c r="KFY41" s="425"/>
      <c r="KFZ41" s="424"/>
      <c r="KGA41" s="425"/>
      <c r="KGB41" s="424"/>
      <c r="KGC41" s="425"/>
      <c r="KGD41" s="424"/>
      <c r="KGE41" s="425"/>
      <c r="KGF41" s="424"/>
      <c r="KGG41" s="425"/>
      <c r="KGH41" s="424"/>
      <c r="KGI41" s="425"/>
      <c r="KGJ41" s="424"/>
      <c r="KGK41" s="425"/>
      <c r="KGL41" s="424"/>
      <c r="KGM41" s="425"/>
      <c r="KGN41" s="424"/>
      <c r="KGO41" s="425"/>
      <c r="KGP41" s="424"/>
      <c r="KGQ41" s="425"/>
      <c r="KGR41" s="424"/>
      <c r="KGS41" s="425"/>
      <c r="KGT41" s="424"/>
      <c r="KGU41" s="425"/>
      <c r="KGV41" s="424"/>
      <c r="KGW41" s="425"/>
      <c r="KGX41" s="424"/>
      <c r="KGY41" s="425"/>
      <c r="KGZ41" s="424"/>
      <c r="KHA41" s="425"/>
      <c r="KHB41" s="424"/>
      <c r="KHC41" s="425"/>
      <c r="KHD41" s="424"/>
      <c r="KHE41" s="425"/>
      <c r="KHF41" s="424"/>
      <c r="KHG41" s="425"/>
      <c r="KHH41" s="424"/>
      <c r="KHI41" s="425"/>
      <c r="KHJ41" s="424"/>
      <c r="KHK41" s="425"/>
      <c r="KHL41" s="424"/>
      <c r="KHM41" s="425"/>
      <c r="KHN41" s="424"/>
      <c r="KHO41" s="425"/>
      <c r="KHP41" s="424"/>
      <c r="KHQ41" s="425"/>
      <c r="KHR41" s="424"/>
      <c r="KHS41" s="425"/>
      <c r="KHT41" s="424"/>
      <c r="KHU41" s="425"/>
      <c r="KHV41" s="424"/>
      <c r="KHW41" s="425"/>
      <c r="KHX41" s="424"/>
      <c r="KHY41" s="425"/>
      <c r="KHZ41" s="424"/>
      <c r="KIA41" s="425"/>
      <c r="KIB41" s="424"/>
      <c r="KIC41" s="425"/>
      <c r="KID41" s="424"/>
      <c r="KIE41" s="425"/>
      <c r="KIF41" s="424"/>
      <c r="KIG41" s="425"/>
      <c r="KIH41" s="424"/>
      <c r="KII41" s="425"/>
      <c r="KIJ41" s="424"/>
      <c r="KIK41" s="425"/>
      <c r="KIL41" s="424"/>
      <c r="KIM41" s="425"/>
      <c r="KIN41" s="424"/>
      <c r="KIO41" s="425"/>
      <c r="KIP41" s="424"/>
      <c r="KIQ41" s="425"/>
      <c r="KIR41" s="424"/>
      <c r="KIS41" s="425"/>
      <c r="KIT41" s="424"/>
      <c r="KIU41" s="425"/>
      <c r="KIV41" s="424"/>
      <c r="KIW41" s="425"/>
      <c r="KIX41" s="424"/>
      <c r="KIY41" s="425"/>
      <c r="KIZ41" s="424"/>
      <c r="KJA41" s="425"/>
      <c r="KJB41" s="424"/>
      <c r="KJC41" s="425"/>
      <c r="KJD41" s="424"/>
      <c r="KJE41" s="425"/>
      <c r="KJF41" s="424"/>
      <c r="KJG41" s="425"/>
      <c r="KJH41" s="424"/>
      <c r="KJI41" s="425"/>
      <c r="KJJ41" s="424"/>
      <c r="KJK41" s="425"/>
      <c r="KJL41" s="424"/>
      <c r="KJM41" s="425"/>
      <c r="KJN41" s="424"/>
      <c r="KJO41" s="425"/>
      <c r="KJP41" s="424"/>
      <c r="KJQ41" s="425"/>
      <c r="KJR41" s="424"/>
      <c r="KJS41" s="425"/>
      <c r="KJT41" s="424"/>
      <c r="KJU41" s="425"/>
      <c r="KJV41" s="424"/>
      <c r="KJW41" s="425"/>
      <c r="KJX41" s="424"/>
      <c r="KJY41" s="425"/>
      <c r="KJZ41" s="424"/>
      <c r="KKA41" s="425"/>
      <c r="KKB41" s="424"/>
      <c r="KKC41" s="425"/>
      <c r="KKD41" s="424"/>
      <c r="KKE41" s="425"/>
      <c r="KKF41" s="424"/>
      <c r="KKG41" s="425"/>
      <c r="KKH41" s="424"/>
      <c r="KKI41" s="425"/>
      <c r="KKJ41" s="424"/>
      <c r="KKK41" s="425"/>
      <c r="KKL41" s="424"/>
      <c r="KKM41" s="425"/>
      <c r="KKN41" s="424"/>
      <c r="KKO41" s="425"/>
      <c r="KKP41" s="424"/>
      <c r="KKQ41" s="425"/>
      <c r="KKR41" s="424"/>
      <c r="KKS41" s="425"/>
      <c r="KKT41" s="424"/>
      <c r="KKU41" s="425"/>
      <c r="KKV41" s="424"/>
      <c r="KKW41" s="425"/>
      <c r="KKX41" s="424"/>
      <c r="KKY41" s="425"/>
      <c r="KKZ41" s="424"/>
      <c r="KLA41" s="425"/>
      <c r="KLB41" s="424"/>
      <c r="KLC41" s="425"/>
      <c r="KLD41" s="424"/>
      <c r="KLE41" s="425"/>
      <c r="KLF41" s="424"/>
      <c r="KLG41" s="425"/>
      <c r="KLH41" s="424"/>
      <c r="KLI41" s="425"/>
      <c r="KLJ41" s="424"/>
      <c r="KLK41" s="425"/>
      <c r="KLL41" s="424"/>
      <c r="KLM41" s="425"/>
      <c r="KLN41" s="424"/>
      <c r="KLO41" s="425"/>
      <c r="KLP41" s="424"/>
      <c r="KLQ41" s="425"/>
      <c r="KLR41" s="424"/>
      <c r="KLS41" s="425"/>
      <c r="KLT41" s="424"/>
      <c r="KLU41" s="425"/>
      <c r="KLV41" s="424"/>
      <c r="KLW41" s="425"/>
      <c r="KLX41" s="424"/>
      <c r="KLY41" s="425"/>
      <c r="KLZ41" s="424"/>
      <c r="KMA41" s="425"/>
      <c r="KMB41" s="424"/>
      <c r="KMC41" s="425"/>
      <c r="KMD41" s="424"/>
      <c r="KME41" s="425"/>
      <c r="KMF41" s="424"/>
      <c r="KMG41" s="425"/>
      <c r="KMH41" s="424"/>
      <c r="KMI41" s="425"/>
      <c r="KMJ41" s="424"/>
      <c r="KMK41" s="425"/>
      <c r="KML41" s="424"/>
      <c r="KMM41" s="425"/>
      <c r="KMN41" s="424"/>
      <c r="KMO41" s="425"/>
      <c r="KMP41" s="424"/>
      <c r="KMQ41" s="425"/>
      <c r="KMR41" s="424"/>
      <c r="KMS41" s="425"/>
      <c r="KMT41" s="424"/>
      <c r="KMU41" s="425"/>
      <c r="KMV41" s="424"/>
      <c r="KMW41" s="425"/>
      <c r="KMX41" s="424"/>
      <c r="KMY41" s="425"/>
      <c r="KMZ41" s="424"/>
      <c r="KNA41" s="425"/>
      <c r="KNB41" s="424"/>
      <c r="KNC41" s="425"/>
      <c r="KND41" s="424"/>
      <c r="KNE41" s="425"/>
      <c r="KNF41" s="424"/>
      <c r="KNG41" s="425"/>
      <c r="KNH41" s="424"/>
      <c r="KNI41" s="425"/>
      <c r="KNJ41" s="424"/>
      <c r="KNK41" s="425"/>
      <c r="KNL41" s="424"/>
      <c r="KNM41" s="425"/>
      <c r="KNN41" s="424"/>
      <c r="KNO41" s="425"/>
      <c r="KNP41" s="424"/>
      <c r="KNQ41" s="425"/>
      <c r="KNR41" s="424"/>
      <c r="KNS41" s="425"/>
      <c r="KNT41" s="424"/>
      <c r="KNU41" s="425"/>
      <c r="KNV41" s="424"/>
      <c r="KNW41" s="425"/>
      <c r="KNX41" s="424"/>
      <c r="KNY41" s="425"/>
      <c r="KNZ41" s="424"/>
      <c r="KOA41" s="425"/>
      <c r="KOB41" s="424"/>
      <c r="KOC41" s="425"/>
      <c r="KOD41" s="424"/>
      <c r="KOE41" s="425"/>
      <c r="KOF41" s="424"/>
      <c r="KOG41" s="425"/>
      <c r="KOH41" s="424"/>
      <c r="KOI41" s="425"/>
      <c r="KOJ41" s="424"/>
      <c r="KOK41" s="425"/>
      <c r="KOL41" s="424"/>
      <c r="KOM41" s="425"/>
      <c r="KON41" s="424"/>
      <c r="KOO41" s="425"/>
      <c r="KOP41" s="424"/>
      <c r="KOQ41" s="425"/>
      <c r="KOR41" s="424"/>
      <c r="KOS41" s="425"/>
      <c r="KOT41" s="424"/>
      <c r="KOU41" s="425"/>
      <c r="KOV41" s="424"/>
      <c r="KOW41" s="425"/>
      <c r="KOX41" s="424"/>
      <c r="KOY41" s="425"/>
      <c r="KOZ41" s="424"/>
      <c r="KPA41" s="425"/>
      <c r="KPB41" s="424"/>
      <c r="KPC41" s="425"/>
      <c r="KPD41" s="424"/>
      <c r="KPE41" s="425"/>
      <c r="KPF41" s="424"/>
      <c r="KPG41" s="425"/>
      <c r="KPH41" s="424"/>
      <c r="KPI41" s="425"/>
      <c r="KPJ41" s="424"/>
      <c r="KPK41" s="425"/>
      <c r="KPL41" s="424"/>
      <c r="KPM41" s="425"/>
      <c r="KPN41" s="424"/>
      <c r="KPO41" s="425"/>
      <c r="KPP41" s="424"/>
      <c r="KPQ41" s="425"/>
      <c r="KPR41" s="424"/>
      <c r="KPS41" s="425"/>
      <c r="KPT41" s="424"/>
      <c r="KPU41" s="425"/>
      <c r="KPV41" s="424"/>
      <c r="KPW41" s="425"/>
      <c r="KPX41" s="424"/>
      <c r="KPY41" s="425"/>
      <c r="KPZ41" s="424"/>
      <c r="KQA41" s="425"/>
      <c r="KQB41" s="424"/>
      <c r="KQC41" s="425"/>
      <c r="KQD41" s="424"/>
      <c r="KQE41" s="425"/>
      <c r="KQF41" s="424"/>
      <c r="KQG41" s="425"/>
      <c r="KQH41" s="424"/>
      <c r="KQI41" s="425"/>
      <c r="KQJ41" s="424"/>
      <c r="KQK41" s="425"/>
      <c r="KQL41" s="424"/>
      <c r="KQM41" s="425"/>
      <c r="KQN41" s="424"/>
      <c r="KQO41" s="425"/>
      <c r="KQP41" s="424"/>
      <c r="KQQ41" s="425"/>
      <c r="KQR41" s="424"/>
      <c r="KQS41" s="425"/>
      <c r="KQT41" s="424"/>
      <c r="KQU41" s="425"/>
      <c r="KQV41" s="424"/>
      <c r="KQW41" s="425"/>
      <c r="KQX41" s="424"/>
      <c r="KQY41" s="425"/>
      <c r="KQZ41" s="424"/>
      <c r="KRA41" s="425"/>
      <c r="KRB41" s="424"/>
      <c r="KRC41" s="425"/>
      <c r="KRD41" s="424"/>
      <c r="KRE41" s="425"/>
      <c r="KRF41" s="424"/>
      <c r="KRG41" s="425"/>
      <c r="KRH41" s="424"/>
      <c r="KRI41" s="425"/>
      <c r="KRJ41" s="424"/>
      <c r="KRK41" s="425"/>
      <c r="KRL41" s="424"/>
      <c r="KRM41" s="425"/>
      <c r="KRN41" s="424"/>
      <c r="KRO41" s="425"/>
      <c r="KRP41" s="424"/>
      <c r="KRQ41" s="425"/>
      <c r="KRR41" s="424"/>
      <c r="KRS41" s="425"/>
      <c r="KRT41" s="424"/>
      <c r="KRU41" s="425"/>
      <c r="KRV41" s="424"/>
      <c r="KRW41" s="425"/>
      <c r="KRX41" s="424"/>
      <c r="KRY41" s="425"/>
      <c r="KRZ41" s="424"/>
      <c r="KSA41" s="425"/>
      <c r="KSB41" s="424"/>
      <c r="KSC41" s="425"/>
      <c r="KSD41" s="424"/>
      <c r="KSE41" s="425"/>
      <c r="KSF41" s="424"/>
      <c r="KSG41" s="425"/>
      <c r="KSH41" s="424"/>
      <c r="KSI41" s="425"/>
      <c r="KSJ41" s="424"/>
      <c r="KSK41" s="425"/>
      <c r="KSL41" s="424"/>
      <c r="KSM41" s="425"/>
      <c r="KSN41" s="424"/>
      <c r="KSO41" s="425"/>
      <c r="KSP41" s="424"/>
      <c r="KSQ41" s="425"/>
      <c r="KSR41" s="424"/>
      <c r="KSS41" s="425"/>
      <c r="KST41" s="424"/>
      <c r="KSU41" s="425"/>
      <c r="KSV41" s="424"/>
      <c r="KSW41" s="425"/>
      <c r="KSX41" s="424"/>
      <c r="KSY41" s="425"/>
      <c r="KSZ41" s="424"/>
      <c r="KTA41" s="425"/>
      <c r="KTB41" s="424"/>
      <c r="KTC41" s="425"/>
      <c r="KTD41" s="424"/>
      <c r="KTE41" s="425"/>
      <c r="KTF41" s="424"/>
      <c r="KTG41" s="425"/>
      <c r="KTH41" s="424"/>
      <c r="KTI41" s="425"/>
      <c r="KTJ41" s="424"/>
      <c r="KTK41" s="425"/>
      <c r="KTL41" s="424"/>
      <c r="KTM41" s="425"/>
      <c r="KTN41" s="424"/>
      <c r="KTO41" s="425"/>
      <c r="KTP41" s="424"/>
      <c r="KTQ41" s="425"/>
      <c r="KTR41" s="424"/>
      <c r="KTS41" s="425"/>
      <c r="KTT41" s="424"/>
      <c r="KTU41" s="425"/>
      <c r="KTV41" s="424"/>
      <c r="KTW41" s="425"/>
      <c r="KTX41" s="424"/>
      <c r="KTY41" s="425"/>
      <c r="KTZ41" s="424"/>
      <c r="KUA41" s="425"/>
      <c r="KUB41" s="424"/>
      <c r="KUC41" s="425"/>
      <c r="KUD41" s="424"/>
      <c r="KUE41" s="425"/>
      <c r="KUF41" s="424"/>
      <c r="KUG41" s="425"/>
      <c r="KUH41" s="424"/>
      <c r="KUI41" s="425"/>
      <c r="KUJ41" s="424"/>
      <c r="KUK41" s="425"/>
      <c r="KUL41" s="424"/>
      <c r="KUM41" s="425"/>
      <c r="KUN41" s="424"/>
      <c r="KUO41" s="425"/>
      <c r="KUP41" s="424"/>
      <c r="KUQ41" s="425"/>
      <c r="KUR41" s="424"/>
      <c r="KUS41" s="425"/>
      <c r="KUT41" s="424"/>
      <c r="KUU41" s="425"/>
      <c r="KUV41" s="424"/>
      <c r="KUW41" s="425"/>
      <c r="KUX41" s="424"/>
      <c r="KUY41" s="425"/>
      <c r="KUZ41" s="424"/>
      <c r="KVA41" s="425"/>
      <c r="KVB41" s="424"/>
      <c r="KVC41" s="425"/>
      <c r="KVD41" s="424"/>
      <c r="KVE41" s="425"/>
      <c r="KVF41" s="424"/>
      <c r="KVG41" s="425"/>
      <c r="KVH41" s="424"/>
      <c r="KVI41" s="425"/>
      <c r="KVJ41" s="424"/>
      <c r="KVK41" s="425"/>
      <c r="KVL41" s="424"/>
      <c r="KVM41" s="425"/>
      <c r="KVN41" s="424"/>
      <c r="KVO41" s="425"/>
      <c r="KVP41" s="424"/>
      <c r="KVQ41" s="425"/>
      <c r="KVR41" s="424"/>
      <c r="KVS41" s="425"/>
      <c r="KVT41" s="424"/>
      <c r="KVU41" s="425"/>
      <c r="KVV41" s="424"/>
      <c r="KVW41" s="425"/>
      <c r="KVX41" s="424"/>
      <c r="KVY41" s="425"/>
      <c r="KVZ41" s="424"/>
      <c r="KWA41" s="425"/>
      <c r="KWB41" s="424"/>
      <c r="KWC41" s="425"/>
      <c r="KWD41" s="424"/>
      <c r="KWE41" s="425"/>
      <c r="KWF41" s="424"/>
      <c r="KWG41" s="425"/>
      <c r="KWH41" s="424"/>
      <c r="KWI41" s="425"/>
      <c r="KWJ41" s="424"/>
      <c r="KWK41" s="425"/>
      <c r="KWL41" s="424"/>
      <c r="KWM41" s="425"/>
      <c r="KWN41" s="424"/>
      <c r="KWO41" s="425"/>
      <c r="KWP41" s="424"/>
      <c r="KWQ41" s="425"/>
      <c r="KWR41" s="424"/>
      <c r="KWS41" s="425"/>
      <c r="KWT41" s="424"/>
      <c r="KWU41" s="425"/>
      <c r="KWV41" s="424"/>
      <c r="KWW41" s="425"/>
      <c r="KWX41" s="424"/>
      <c r="KWY41" s="425"/>
      <c r="KWZ41" s="424"/>
      <c r="KXA41" s="425"/>
      <c r="KXB41" s="424"/>
      <c r="KXC41" s="425"/>
      <c r="KXD41" s="424"/>
      <c r="KXE41" s="425"/>
      <c r="KXF41" s="424"/>
      <c r="KXG41" s="425"/>
      <c r="KXH41" s="424"/>
      <c r="KXI41" s="425"/>
      <c r="KXJ41" s="424"/>
      <c r="KXK41" s="425"/>
      <c r="KXL41" s="424"/>
      <c r="KXM41" s="425"/>
      <c r="KXN41" s="424"/>
      <c r="KXO41" s="425"/>
      <c r="KXP41" s="424"/>
      <c r="KXQ41" s="425"/>
      <c r="KXR41" s="424"/>
      <c r="KXS41" s="425"/>
      <c r="KXT41" s="424"/>
      <c r="KXU41" s="425"/>
      <c r="KXV41" s="424"/>
      <c r="KXW41" s="425"/>
      <c r="KXX41" s="424"/>
      <c r="KXY41" s="425"/>
      <c r="KXZ41" s="424"/>
      <c r="KYA41" s="425"/>
      <c r="KYB41" s="424"/>
      <c r="KYC41" s="425"/>
      <c r="KYD41" s="424"/>
      <c r="KYE41" s="425"/>
      <c r="KYF41" s="424"/>
      <c r="KYG41" s="425"/>
      <c r="KYH41" s="424"/>
      <c r="KYI41" s="425"/>
      <c r="KYJ41" s="424"/>
      <c r="KYK41" s="425"/>
      <c r="KYL41" s="424"/>
      <c r="KYM41" s="425"/>
      <c r="KYN41" s="424"/>
      <c r="KYO41" s="425"/>
      <c r="KYP41" s="424"/>
      <c r="KYQ41" s="425"/>
      <c r="KYR41" s="424"/>
      <c r="KYS41" s="425"/>
      <c r="KYT41" s="424"/>
      <c r="KYU41" s="425"/>
      <c r="KYV41" s="424"/>
      <c r="KYW41" s="425"/>
      <c r="KYX41" s="424"/>
      <c r="KYY41" s="425"/>
      <c r="KYZ41" s="424"/>
      <c r="KZA41" s="425"/>
      <c r="KZB41" s="424"/>
      <c r="KZC41" s="425"/>
      <c r="KZD41" s="424"/>
      <c r="KZE41" s="425"/>
      <c r="KZF41" s="424"/>
      <c r="KZG41" s="425"/>
      <c r="KZH41" s="424"/>
      <c r="KZI41" s="425"/>
      <c r="KZJ41" s="424"/>
      <c r="KZK41" s="425"/>
      <c r="KZL41" s="424"/>
      <c r="KZM41" s="425"/>
      <c r="KZN41" s="424"/>
      <c r="KZO41" s="425"/>
      <c r="KZP41" s="424"/>
      <c r="KZQ41" s="425"/>
      <c r="KZR41" s="424"/>
      <c r="KZS41" s="425"/>
      <c r="KZT41" s="424"/>
      <c r="KZU41" s="425"/>
      <c r="KZV41" s="424"/>
      <c r="KZW41" s="425"/>
      <c r="KZX41" s="424"/>
      <c r="KZY41" s="425"/>
      <c r="KZZ41" s="424"/>
      <c r="LAA41" s="425"/>
      <c r="LAB41" s="424"/>
      <c r="LAC41" s="425"/>
      <c r="LAD41" s="424"/>
      <c r="LAE41" s="425"/>
      <c r="LAF41" s="424"/>
      <c r="LAG41" s="425"/>
      <c r="LAH41" s="424"/>
      <c r="LAI41" s="425"/>
      <c r="LAJ41" s="424"/>
      <c r="LAK41" s="425"/>
      <c r="LAL41" s="424"/>
      <c r="LAM41" s="425"/>
      <c r="LAN41" s="424"/>
      <c r="LAO41" s="425"/>
      <c r="LAP41" s="424"/>
      <c r="LAQ41" s="425"/>
      <c r="LAR41" s="424"/>
      <c r="LAS41" s="425"/>
      <c r="LAT41" s="424"/>
      <c r="LAU41" s="425"/>
      <c r="LAV41" s="424"/>
      <c r="LAW41" s="425"/>
      <c r="LAX41" s="424"/>
      <c r="LAY41" s="425"/>
      <c r="LAZ41" s="424"/>
      <c r="LBA41" s="425"/>
      <c r="LBB41" s="424"/>
      <c r="LBC41" s="425"/>
      <c r="LBD41" s="424"/>
      <c r="LBE41" s="425"/>
      <c r="LBF41" s="424"/>
      <c r="LBG41" s="425"/>
      <c r="LBH41" s="424"/>
      <c r="LBI41" s="425"/>
      <c r="LBJ41" s="424"/>
      <c r="LBK41" s="425"/>
      <c r="LBL41" s="424"/>
      <c r="LBM41" s="425"/>
      <c r="LBN41" s="424"/>
      <c r="LBO41" s="425"/>
      <c r="LBP41" s="424"/>
      <c r="LBQ41" s="425"/>
      <c r="LBR41" s="424"/>
      <c r="LBS41" s="425"/>
      <c r="LBT41" s="424"/>
      <c r="LBU41" s="425"/>
      <c r="LBV41" s="424"/>
      <c r="LBW41" s="425"/>
      <c r="LBX41" s="424"/>
      <c r="LBY41" s="425"/>
      <c r="LBZ41" s="424"/>
      <c r="LCA41" s="425"/>
      <c r="LCB41" s="424"/>
      <c r="LCC41" s="425"/>
      <c r="LCD41" s="424"/>
      <c r="LCE41" s="425"/>
      <c r="LCF41" s="424"/>
      <c r="LCG41" s="425"/>
      <c r="LCH41" s="424"/>
      <c r="LCI41" s="425"/>
      <c r="LCJ41" s="424"/>
      <c r="LCK41" s="425"/>
      <c r="LCL41" s="424"/>
      <c r="LCM41" s="425"/>
      <c r="LCN41" s="424"/>
      <c r="LCO41" s="425"/>
      <c r="LCP41" s="424"/>
      <c r="LCQ41" s="425"/>
      <c r="LCR41" s="424"/>
      <c r="LCS41" s="425"/>
      <c r="LCT41" s="424"/>
      <c r="LCU41" s="425"/>
      <c r="LCV41" s="424"/>
      <c r="LCW41" s="425"/>
      <c r="LCX41" s="424"/>
      <c r="LCY41" s="425"/>
      <c r="LCZ41" s="424"/>
      <c r="LDA41" s="425"/>
      <c r="LDB41" s="424"/>
      <c r="LDC41" s="425"/>
      <c r="LDD41" s="424"/>
      <c r="LDE41" s="425"/>
      <c r="LDF41" s="424"/>
      <c r="LDG41" s="425"/>
      <c r="LDH41" s="424"/>
      <c r="LDI41" s="425"/>
      <c r="LDJ41" s="424"/>
      <c r="LDK41" s="425"/>
      <c r="LDL41" s="424"/>
      <c r="LDM41" s="425"/>
      <c r="LDN41" s="424"/>
      <c r="LDO41" s="425"/>
      <c r="LDP41" s="424"/>
      <c r="LDQ41" s="425"/>
      <c r="LDR41" s="424"/>
      <c r="LDS41" s="425"/>
      <c r="LDT41" s="424"/>
      <c r="LDU41" s="425"/>
      <c r="LDV41" s="424"/>
      <c r="LDW41" s="425"/>
      <c r="LDX41" s="424"/>
      <c r="LDY41" s="425"/>
      <c r="LDZ41" s="424"/>
      <c r="LEA41" s="425"/>
      <c r="LEB41" s="424"/>
      <c r="LEC41" s="425"/>
      <c r="LED41" s="424"/>
      <c r="LEE41" s="425"/>
      <c r="LEF41" s="424"/>
      <c r="LEG41" s="425"/>
      <c r="LEH41" s="424"/>
      <c r="LEI41" s="425"/>
      <c r="LEJ41" s="424"/>
      <c r="LEK41" s="425"/>
      <c r="LEL41" s="424"/>
      <c r="LEM41" s="425"/>
      <c r="LEN41" s="424"/>
      <c r="LEO41" s="425"/>
      <c r="LEP41" s="424"/>
      <c r="LEQ41" s="425"/>
      <c r="LER41" s="424"/>
      <c r="LES41" s="425"/>
      <c r="LET41" s="424"/>
      <c r="LEU41" s="425"/>
      <c r="LEV41" s="424"/>
      <c r="LEW41" s="425"/>
      <c r="LEX41" s="424"/>
      <c r="LEY41" s="425"/>
      <c r="LEZ41" s="424"/>
      <c r="LFA41" s="425"/>
      <c r="LFB41" s="424"/>
      <c r="LFC41" s="425"/>
      <c r="LFD41" s="424"/>
      <c r="LFE41" s="425"/>
      <c r="LFF41" s="424"/>
      <c r="LFG41" s="425"/>
      <c r="LFH41" s="424"/>
      <c r="LFI41" s="425"/>
      <c r="LFJ41" s="424"/>
      <c r="LFK41" s="425"/>
      <c r="LFL41" s="424"/>
      <c r="LFM41" s="425"/>
      <c r="LFN41" s="424"/>
      <c r="LFO41" s="425"/>
      <c r="LFP41" s="424"/>
      <c r="LFQ41" s="425"/>
      <c r="LFR41" s="424"/>
      <c r="LFS41" s="425"/>
      <c r="LFT41" s="424"/>
      <c r="LFU41" s="425"/>
      <c r="LFV41" s="424"/>
      <c r="LFW41" s="425"/>
      <c r="LFX41" s="424"/>
      <c r="LFY41" s="425"/>
      <c r="LFZ41" s="424"/>
      <c r="LGA41" s="425"/>
      <c r="LGB41" s="424"/>
      <c r="LGC41" s="425"/>
      <c r="LGD41" s="424"/>
      <c r="LGE41" s="425"/>
      <c r="LGF41" s="424"/>
      <c r="LGG41" s="425"/>
      <c r="LGH41" s="424"/>
      <c r="LGI41" s="425"/>
      <c r="LGJ41" s="424"/>
      <c r="LGK41" s="425"/>
      <c r="LGL41" s="424"/>
      <c r="LGM41" s="425"/>
      <c r="LGN41" s="424"/>
      <c r="LGO41" s="425"/>
      <c r="LGP41" s="424"/>
      <c r="LGQ41" s="425"/>
      <c r="LGR41" s="424"/>
      <c r="LGS41" s="425"/>
      <c r="LGT41" s="424"/>
      <c r="LGU41" s="425"/>
      <c r="LGV41" s="424"/>
      <c r="LGW41" s="425"/>
      <c r="LGX41" s="424"/>
      <c r="LGY41" s="425"/>
      <c r="LGZ41" s="424"/>
      <c r="LHA41" s="425"/>
      <c r="LHB41" s="424"/>
      <c r="LHC41" s="425"/>
      <c r="LHD41" s="424"/>
      <c r="LHE41" s="425"/>
      <c r="LHF41" s="424"/>
      <c r="LHG41" s="425"/>
      <c r="LHH41" s="424"/>
      <c r="LHI41" s="425"/>
      <c r="LHJ41" s="424"/>
      <c r="LHK41" s="425"/>
      <c r="LHL41" s="424"/>
      <c r="LHM41" s="425"/>
      <c r="LHN41" s="424"/>
      <c r="LHO41" s="425"/>
      <c r="LHP41" s="424"/>
      <c r="LHQ41" s="425"/>
      <c r="LHR41" s="424"/>
      <c r="LHS41" s="425"/>
      <c r="LHT41" s="424"/>
      <c r="LHU41" s="425"/>
      <c r="LHV41" s="424"/>
      <c r="LHW41" s="425"/>
      <c r="LHX41" s="424"/>
      <c r="LHY41" s="425"/>
      <c r="LHZ41" s="424"/>
      <c r="LIA41" s="425"/>
      <c r="LIB41" s="424"/>
      <c r="LIC41" s="425"/>
      <c r="LID41" s="424"/>
      <c r="LIE41" s="425"/>
      <c r="LIF41" s="424"/>
      <c r="LIG41" s="425"/>
      <c r="LIH41" s="424"/>
      <c r="LII41" s="425"/>
      <c r="LIJ41" s="424"/>
      <c r="LIK41" s="425"/>
      <c r="LIL41" s="424"/>
      <c r="LIM41" s="425"/>
      <c r="LIN41" s="424"/>
      <c r="LIO41" s="425"/>
      <c r="LIP41" s="424"/>
      <c r="LIQ41" s="425"/>
      <c r="LIR41" s="424"/>
      <c r="LIS41" s="425"/>
      <c r="LIT41" s="424"/>
      <c r="LIU41" s="425"/>
      <c r="LIV41" s="424"/>
      <c r="LIW41" s="425"/>
      <c r="LIX41" s="424"/>
      <c r="LIY41" s="425"/>
      <c r="LIZ41" s="424"/>
      <c r="LJA41" s="425"/>
      <c r="LJB41" s="424"/>
      <c r="LJC41" s="425"/>
      <c r="LJD41" s="424"/>
      <c r="LJE41" s="425"/>
      <c r="LJF41" s="424"/>
      <c r="LJG41" s="425"/>
      <c r="LJH41" s="424"/>
      <c r="LJI41" s="425"/>
      <c r="LJJ41" s="424"/>
      <c r="LJK41" s="425"/>
      <c r="LJL41" s="424"/>
      <c r="LJM41" s="425"/>
      <c r="LJN41" s="424"/>
      <c r="LJO41" s="425"/>
      <c r="LJP41" s="424"/>
      <c r="LJQ41" s="425"/>
      <c r="LJR41" s="424"/>
      <c r="LJS41" s="425"/>
      <c r="LJT41" s="424"/>
      <c r="LJU41" s="425"/>
      <c r="LJV41" s="424"/>
      <c r="LJW41" s="425"/>
      <c r="LJX41" s="424"/>
      <c r="LJY41" s="425"/>
      <c r="LJZ41" s="424"/>
      <c r="LKA41" s="425"/>
      <c r="LKB41" s="424"/>
      <c r="LKC41" s="425"/>
      <c r="LKD41" s="424"/>
      <c r="LKE41" s="425"/>
      <c r="LKF41" s="424"/>
      <c r="LKG41" s="425"/>
      <c r="LKH41" s="424"/>
      <c r="LKI41" s="425"/>
      <c r="LKJ41" s="424"/>
      <c r="LKK41" s="425"/>
      <c r="LKL41" s="424"/>
      <c r="LKM41" s="425"/>
      <c r="LKN41" s="424"/>
      <c r="LKO41" s="425"/>
      <c r="LKP41" s="424"/>
      <c r="LKQ41" s="425"/>
      <c r="LKR41" s="424"/>
      <c r="LKS41" s="425"/>
      <c r="LKT41" s="424"/>
      <c r="LKU41" s="425"/>
      <c r="LKV41" s="424"/>
      <c r="LKW41" s="425"/>
      <c r="LKX41" s="424"/>
      <c r="LKY41" s="425"/>
      <c r="LKZ41" s="424"/>
      <c r="LLA41" s="425"/>
      <c r="LLB41" s="424"/>
      <c r="LLC41" s="425"/>
      <c r="LLD41" s="424"/>
      <c r="LLE41" s="425"/>
      <c r="LLF41" s="424"/>
      <c r="LLG41" s="425"/>
      <c r="LLH41" s="424"/>
      <c r="LLI41" s="425"/>
      <c r="LLJ41" s="424"/>
      <c r="LLK41" s="425"/>
      <c r="LLL41" s="424"/>
      <c r="LLM41" s="425"/>
      <c r="LLN41" s="424"/>
      <c r="LLO41" s="425"/>
      <c r="LLP41" s="424"/>
      <c r="LLQ41" s="425"/>
      <c r="LLR41" s="424"/>
      <c r="LLS41" s="425"/>
      <c r="LLT41" s="424"/>
      <c r="LLU41" s="425"/>
      <c r="LLV41" s="424"/>
      <c r="LLW41" s="425"/>
      <c r="LLX41" s="424"/>
      <c r="LLY41" s="425"/>
      <c r="LLZ41" s="424"/>
      <c r="LMA41" s="425"/>
      <c r="LMB41" s="424"/>
      <c r="LMC41" s="425"/>
      <c r="LMD41" s="424"/>
      <c r="LME41" s="425"/>
      <c r="LMF41" s="424"/>
      <c r="LMG41" s="425"/>
      <c r="LMH41" s="424"/>
      <c r="LMI41" s="425"/>
      <c r="LMJ41" s="424"/>
      <c r="LMK41" s="425"/>
      <c r="LML41" s="424"/>
      <c r="LMM41" s="425"/>
      <c r="LMN41" s="424"/>
      <c r="LMO41" s="425"/>
      <c r="LMP41" s="424"/>
      <c r="LMQ41" s="425"/>
      <c r="LMR41" s="424"/>
      <c r="LMS41" s="425"/>
      <c r="LMT41" s="424"/>
      <c r="LMU41" s="425"/>
      <c r="LMV41" s="424"/>
      <c r="LMW41" s="425"/>
      <c r="LMX41" s="424"/>
      <c r="LMY41" s="425"/>
      <c r="LMZ41" s="424"/>
      <c r="LNA41" s="425"/>
      <c r="LNB41" s="424"/>
      <c r="LNC41" s="425"/>
      <c r="LND41" s="424"/>
      <c r="LNE41" s="425"/>
      <c r="LNF41" s="424"/>
      <c r="LNG41" s="425"/>
      <c r="LNH41" s="424"/>
      <c r="LNI41" s="425"/>
      <c r="LNJ41" s="424"/>
      <c r="LNK41" s="425"/>
      <c r="LNL41" s="424"/>
      <c r="LNM41" s="425"/>
      <c r="LNN41" s="424"/>
      <c r="LNO41" s="425"/>
      <c r="LNP41" s="424"/>
      <c r="LNQ41" s="425"/>
      <c r="LNR41" s="424"/>
      <c r="LNS41" s="425"/>
      <c r="LNT41" s="424"/>
      <c r="LNU41" s="425"/>
      <c r="LNV41" s="424"/>
      <c r="LNW41" s="425"/>
      <c r="LNX41" s="424"/>
      <c r="LNY41" s="425"/>
      <c r="LNZ41" s="424"/>
      <c r="LOA41" s="425"/>
      <c r="LOB41" s="424"/>
      <c r="LOC41" s="425"/>
      <c r="LOD41" s="424"/>
      <c r="LOE41" s="425"/>
      <c r="LOF41" s="424"/>
      <c r="LOG41" s="425"/>
      <c r="LOH41" s="424"/>
      <c r="LOI41" s="425"/>
      <c r="LOJ41" s="424"/>
      <c r="LOK41" s="425"/>
      <c r="LOL41" s="424"/>
      <c r="LOM41" s="425"/>
      <c r="LON41" s="424"/>
      <c r="LOO41" s="425"/>
      <c r="LOP41" s="424"/>
      <c r="LOQ41" s="425"/>
      <c r="LOR41" s="424"/>
      <c r="LOS41" s="425"/>
      <c r="LOT41" s="424"/>
      <c r="LOU41" s="425"/>
      <c r="LOV41" s="424"/>
      <c r="LOW41" s="425"/>
      <c r="LOX41" s="424"/>
      <c r="LOY41" s="425"/>
      <c r="LOZ41" s="424"/>
      <c r="LPA41" s="425"/>
      <c r="LPB41" s="424"/>
      <c r="LPC41" s="425"/>
      <c r="LPD41" s="424"/>
      <c r="LPE41" s="425"/>
      <c r="LPF41" s="424"/>
      <c r="LPG41" s="425"/>
      <c r="LPH41" s="424"/>
      <c r="LPI41" s="425"/>
      <c r="LPJ41" s="424"/>
      <c r="LPK41" s="425"/>
      <c r="LPL41" s="424"/>
      <c r="LPM41" s="425"/>
      <c r="LPN41" s="424"/>
      <c r="LPO41" s="425"/>
      <c r="LPP41" s="424"/>
      <c r="LPQ41" s="425"/>
      <c r="LPR41" s="424"/>
      <c r="LPS41" s="425"/>
      <c r="LPT41" s="424"/>
      <c r="LPU41" s="425"/>
      <c r="LPV41" s="424"/>
      <c r="LPW41" s="425"/>
      <c r="LPX41" s="424"/>
      <c r="LPY41" s="425"/>
      <c r="LPZ41" s="424"/>
      <c r="LQA41" s="425"/>
      <c r="LQB41" s="424"/>
      <c r="LQC41" s="425"/>
      <c r="LQD41" s="424"/>
      <c r="LQE41" s="425"/>
      <c r="LQF41" s="424"/>
      <c r="LQG41" s="425"/>
      <c r="LQH41" s="424"/>
      <c r="LQI41" s="425"/>
      <c r="LQJ41" s="424"/>
      <c r="LQK41" s="425"/>
      <c r="LQL41" s="424"/>
      <c r="LQM41" s="425"/>
      <c r="LQN41" s="424"/>
      <c r="LQO41" s="425"/>
      <c r="LQP41" s="424"/>
      <c r="LQQ41" s="425"/>
      <c r="LQR41" s="424"/>
      <c r="LQS41" s="425"/>
      <c r="LQT41" s="424"/>
      <c r="LQU41" s="425"/>
      <c r="LQV41" s="424"/>
      <c r="LQW41" s="425"/>
      <c r="LQX41" s="424"/>
      <c r="LQY41" s="425"/>
      <c r="LQZ41" s="424"/>
      <c r="LRA41" s="425"/>
      <c r="LRB41" s="424"/>
      <c r="LRC41" s="425"/>
      <c r="LRD41" s="424"/>
      <c r="LRE41" s="425"/>
      <c r="LRF41" s="424"/>
      <c r="LRG41" s="425"/>
      <c r="LRH41" s="424"/>
      <c r="LRI41" s="425"/>
      <c r="LRJ41" s="424"/>
      <c r="LRK41" s="425"/>
      <c r="LRL41" s="424"/>
      <c r="LRM41" s="425"/>
      <c r="LRN41" s="424"/>
      <c r="LRO41" s="425"/>
      <c r="LRP41" s="424"/>
      <c r="LRQ41" s="425"/>
      <c r="LRR41" s="424"/>
      <c r="LRS41" s="425"/>
      <c r="LRT41" s="424"/>
      <c r="LRU41" s="425"/>
      <c r="LRV41" s="424"/>
      <c r="LRW41" s="425"/>
      <c r="LRX41" s="424"/>
      <c r="LRY41" s="425"/>
      <c r="LRZ41" s="424"/>
      <c r="LSA41" s="425"/>
      <c r="LSB41" s="424"/>
      <c r="LSC41" s="425"/>
      <c r="LSD41" s="424"/>
      <c r="LSE41" s="425"/>
      <c r="LSF41" s="424"/>
      <c r="LSG41" s="425"/>
      <c r="LSH41" s="424"/>
      <c r="LSI41" s="425"/>
      <c r="LSJ41" s="424"/>
      <c r="LSK41" s="425"/>
      <c r="LSL41" s="424"/>
      <c r="LSM41" s="425"/>
      <c r="LSN41" s="424"/>
      <c r="LSO41" s="425"/>
      <c r="LSP41" s="424"/>
      <c r="LSQ41" s="425"/>
      <c r="LSR41" s="424"/>
      <c r="LSS41" s="425"/>
      <c r="LST41" s="424"/>
      <c r="LSU41" s="425"/>
      <c r="LSV41" s="424"/>
      <c r="LSW41" s="425"/>
      <c r="LSX41" s="424"/>
      <c r="LSY41" s="425"/>
      <c r="LSZ41" s="424"/>
      <c r="LTA41" s="425"/>
      <c r="LTB41" s="424"/>
      <c r="LTC41" s="425"/>
      <c r="LTD41" s="424"/>
      <c r="LTE41" s="425"/>
      <c r="LTF41" s="424"/>
      <c r="LTG41" s="425"/>
      <c r="LTH41" s="424"/>
      <c r="LTI41" s="425"/>
      <c r="LTJ41" s="424"/>
      <c r="LTK41" s="425"/>
      <c r="LTL41" s="424"/>
      <c r="LTM41" s="425"/>
      <c r="LTN41" s="424"/>
      <c r="LTO41" s="425"/>
      <c r="LTP41" s="424"/>
      <c r="LTQ41" s="425"/>
      <c r="LTR41" s="424"/>
      <c r="LTS41" s="425"/>
      <c r="LTT41" s="424"/>
      <c r="LTU41" s="425"/>
      <c r="LTV41" s="424"/>
      <c r="LTW41" s="425"/>
      <c r="LTX41" s="424"/>
      <c r="LTY41" s="425"/>
      <c r="LTZ41" s="424"/>
      <c r="LUA41" s="425"/>
      <c r="LUB41" s="424"/>
      <c r="LUC41" s="425"/>
      <c r="LUD41" s="424"/>
      <c r="LUE41" s="425"/>
      <c r="LUF41" s="424"/>
      <c r="LUG41" s="425"/>
      <c r="LUH41" s="424"/>
      <c r="LUI41" s="425"/>
      <c r="LUJ41" s="424"/>
      <c r="LUK41" s="425"/>
      <c r="LUL41" s="424"/>
      <c r="LUM41" s="425"/>
      <c r="LUN41" s="424"/>
      <c r="LUO41" s="425"/>
      <c r="LUP41" s="424"/>
      <c r="LUQ41" s="425"/>
      <c r="LUR41" s="424"/>
      <c r="LUS41" s="425"/>
      <c r="LUT41" s="424"/>
      <c r="LUU41" s="425"/>
      <c r="LUV41" s="424"/>
      <c r="LUW41" s="425"/>
      <c r="LUX41" s="424"/>
      <c r="LUY41" s="425"/>
      <c r="LUZ41" s="424"/>
      <c r="LVA41" s="425"/>
      <c r="LVB41" s="424"/>
      <c r="LVC41" s="425"/>
      <c r="LVD41" s="424"/>
      <c r="LVE41" s="425"/>
      <c r="LVF41" s="424"/>
      <c r="LVG41" s="425"/>
      <c r="LVH41" s="424"/>
      <c r="LVI41" s="425"/>
      <c r="LVJ41" s="424"/>
      <c r="LVK41" s="425"/>
      <c r="LVL41" s="424"/>
      <c r="LVM41" s="425"/>
      <c r="LVN41" s="424"/>
      <c r="LVO41" s="425"/>
      <c r="LVP41" s="424"/>
      <c r="LVQ41" s="425"/>
      <c r="LVR41" s="424"/>
      <c r="LVS41" s="425"/>
      <c r="LVT41" s="424"/>
      <c r="LVU41" s="425"/>
      <c r="LVV41" s="424"/>
      <c r="LVW41" s="425"/>
      <c r="LVX41" s="424"/>
      <c r="LVY41" s="425"/>
      <c r="LVZ41" s="424"/>
      <c r="LWA41" s="425"/>
      <c r="LWB41" s="424"/>
      <c r="LWC41" s="425"/>
      <c r="LWD41" s="424"/>
      <c r="LWE41" s="425"/>
      <c r="LWF41" s="424"/>
      <c r="LWG41" s="425"/>
      <c r="LWH41" s="424"/>
      <c r="LWI41" s="425"/>
      <c r="LWJ41" s="424"/>
      <c r="LWK41" s="425"/>
      <c r="LWL41" s="424"/>
      <c r="LWM41" s="425"/>
      <c r="LWN41" s="424"/>
      <c r="LWO41" s="425"/>
      <c r="LWP41" s="424"/>
      <c r="LWQ41" s="425"/>
      <c r="LWR41" s="424"/>
      <c r="LWS41" s="425"/>
      <c r="LWT41" s="424"/>
      <c r="LWU41" s="425"/>
      <c r="LWV41" s="424"/>
      <c r="LWW41" s="425"/>
      <c r="LWX41" s="424"/>
      <c r="LWY41" s="425"/>
      <c r="LWZ41" s="424"/>
      <c r="LXA41" s="425"/>
      <c r="LXB41" s="424"/>
      <c r="LXC41" s="425"/>
      <c r="LXD41" s="424"/>
      <c r="LXE41" s="425"/>
      <c r="LXF41" s="424"/>
      <c r="LXG41" s="425"/>
      <c r="LXH41" s="424"/>
      <c r="LXI41" s="425"/>
      <c r="LXJ41" s="424"/>
      <c r="LXK41" s="425"/>
      <c r="LXL41" s="424"/>
      <c r="LXM41" s="425"/>
      <c r="LXN41" s="424"/>
      <c r="LXO41" s="425"/>
      <c r="LXP41" s="424"/>
      <c r="LXQ41" s="425"/>
      <c r="LXR41" s="424"/>
      <c r="LXS41" s="425"/>
      <c r="LXT41" s="424"/>
      <c r="LXU41" s="425"/>
      <c r="LXV41" s="424"/>
      <c r="LXW41" s="425"/>
      <c r="LXX41" s="424"/>
      <c r="LXY41" s="425"/>
      <c r="LXZ41" s="424"/>
      <c r="LYA41" s="425"/>
      <c r="LYB41" s="424"/>
      <c r="LYC41" s="425"/>
      <c r="LYD41" s="424"/>
      <c r="LYE41" s="425"/>
      <c r="LYF41" s="424"/>
      <c r="LYG41" s="425"/>
      <c r="LYH41" s="424"/>
      <c r="LYI41" s="425"/>
      <c r="LYJ41" s="424"/>
      <c r="LYK41" s="425"/>
      <c r="LYL41" s="424"/>
      <c r="LYM41" s="425"/>
      <c r="LYN41" s="424"/>
      <c r="LYO41" s="425"/>
      <c r="LYP41" s="424"/>
      <c r="LYQ41" s="425"/>
      <c r="LYR41" s="424"/>
      <c r="LYS41" s="425"/>
      <c r="LYT41" s="424"/>
      <c r="LYU41" s="425"/>
      <c r="LYV41" s="424"/>
      <c r="LYW41" s="425"/>
      <c r="LYX41" s="424"/>
      <c r="LYY41" s="425"/>
      <c r="LYZ41" s="424"/>
      <c r="LZA41" s="425"/>
      <c r="LZB41" s="424"/>
      <c r="LZC41" s="425"/>
      <c r="LZD41" s="424"/>
      <c r="LZE41" s="425"/>
      <c r="LZF41" s="424"/>
      <c r="LZG41" s="425"/>
      <c r="LZH41" s="424"/>
      <c r="LZI41" s="425"/>
      <c r="LZJ41" s="424"/>
      <c r="LZK41" s="425"/>
      <c r="LZL41" s="424"/>
      <c r="LZM41" s="425"/>
      <c r="LZN41" s="424"/>
      <c r="LZO41" s="425"/>
      <c r="LZP41" s="424"/>
      <c r="LZQ41" s="425"/>
      <c r="LZR41" s="424"/>
      <c r="LZS41" s="425"/>
      <c r="LZT41" s="424"/>
      <c r="LZU41" s="425"/>
      <c r="LZV41" s="424"/>
      <c r="LZW41" s="425"/>
      <c r="LZX41" s="424"/>
      <c r="LZY41" s="425"/>
      <c r="LZZ41" s="424"/>
      <c r="MAA41" s="425"/>
      <c r="MAB41" s="424"/>
      <c r="MAC41" s="425"/>
      <c r="MAD41" s="424"/>
      <c r="MAE41" s="425"/>
      <c r="MAF41" s="424"/>
      <c r="MAG41" s="425"/>
      <c r="MAH41" s="424"/>
      <c r="MAI41" s="425"/>
      <c r="MAJ41" s="424"/>
      <c r="MAK41" s="425"/>
      <c r="MAL41" s="424"/>
      <c r="MAM41" s="425"/>
      <c r="MAN41" s="424"/>
      <c r="MAO41" s="425"/>
      <c r="MAP41" s="424"/>
      <c r="MAQ41" s="425"/>
      <c r="MAR41" s="424"/>
      <c r="MAS41" s="425"/>
      <c r="MAT41" s="424"/>
      <c r="MAU41" s="425"/>
      <c r="MAV41" s="424"/>
      <c r="MAW41" s="425"/>
      <c r="MAX41" s="424"/>
      <c r="MAY41" s="425"/>
      <c r="MAZ41" s="424"/>
      <c r="MBA41" s="425"/>
      <c r="MBB41" s="424"/>
      <c r="MBC41" s="425"/>
      <c r="MBD41" s="424"/>
      <c r="MBE41" s="425"/>
      <c r="MBF41" s="424"/>
      <c r="MBG41" s="425"/>
      <c r="MBH41" s="424"/>
      <c r="MBI41" s="425"/>
      <c r="MBJ41" s="424"/>
      <c r="MBK41" s="425"/>
      <c r="MBL41" s="424"/>
      <c r="MBM41" s="425"/>
      <c r="MBN41" s="424"/>
      <c r="MBO41" s="425"/>
      <c r="MBP41" s="424"/>
      <c r="MBQ41" s="425"/>
      <c r="MBR41" s="424"/>
      <c r="MBS41" s="425"/>
      <c r="MBT41" s="424"/>
      <c r="MBU41" s="425"/>
      <c r="MBV41" s="424"/>
      <c r="MBW41" s="425"/>
      <c r="MBX41" s="424"/>
      <c r="MBY41" s="425"/>
      <c r="MBZ41" s="424"/>
      <c r="MCA41" s="425"/>
      <c r="MCB41" s="424"/>
      <c r="MCC41" s="425"/>
      <c r="MCD41" s="424"/>
      <c r="MCE41" s="425"/>
      <c r="MCF41" s="424"/>
      <c r="MCG41" s="425"/>
      <c r="MCH41" s="424"/>
      <c r="MCI41" s="425"/>
      <c r="MCJ41" s="424"/>
      <c r="MCK41" s="425"/>
      <c r="MCL41" s="424"/>
      <c r="MCM41" s="425"/>
      <c r="MCN41" s="424"/>
      <c r="MCO41" s="425"/>
      <c r="MCP41" s="424"/>
      <c r="MCQ41" s="425"/>
      <c r="MCR41" s="424"/>
      <c r="MCS41" s="425"/>
      <c r="MCT41" s="424"/>
      <c r="MCU41" s="425"/>
      <c r="MCV41" s="424"/>
      <c r="MCW41" s="425"/>
      <c r="MCX41" s="424"/>
      <c r="MCY41" s="425"/>
      <c r="MCZ41" s="424"/>
      <c r="MDA41" s="425"/>
      <c r="MDB41" s="424"/>
      <c r="MDC41" s="425"/>
      <c r="MDD41" s="424"/>
      <c r="MDE41" s="425"/>
      <c r="MDF41" s="424"/>
      <c r="MDG41" s="425"/>
      <c r="MDH41" s="424"/>
      <c r="MDI41" s="425"/>
      <c r="MDJ41" s="424"/>
      <c r="MDK41" s="425"/>
      <c r="MDL41" s="424"/>
      <c r="MDM41" s="425"/>
      <c r="MDN41" s="424"/>
      <c r="MDO41" s="425"/>
      <c r="MDP41" s="424"/>
      <c r="MDQ41" s="425"/>
      <c r="MDR41" s="424"/>
      <c r="MDS41" s="425"/>
      <c r="MDT41" s="424"/>
      <c r="MDU41" s="425"/>
      <c r="MDV41" s="424"/>
      <c r="MDW41" s="425"/>
      <c r="MDX41" s="424"/>
      <c r="MDY41" s="425"/>
      <c r="MDZ41" s="424"/>
      <c r="MEA41" s="425"/>
      <c r="MEB41" s="424"/>
      <c r="MEC41" s="425"/>
      <c r="MED41" s="424"/>
      <c r="MEE41" s="425"/>
      <c r="MEF41" s="424"/>
      <c r="MEG41" s="425"/>
      <c r="MEH41" s="424"/>
      <c r="MEI41" s="425"/>
      <c r="MEJ41" s="424"/>
      <c r="MEK41" s="425"/>
      <c r="MEL41" s="424"/>
      <c r="MEM41" s="425"/>
      <c r="MEN41" s="424"/>
      <c r="MEO41" s="425"/>
      <c r="MEP41" s="424"/>
      <c r="MEQ41" s="425"/>
      <c r="MER41" s="424"/>
      <c r="MES41" s="425"/>
      <c r="MET41" s="424"/>
      <c r="MEU41" s="425"/>
      <c r="MEV41" s="424"/>
      <c r="MEW41" s="425"/>
      <c r="MEX41" s="424"/>
      <c r="MEY41" s="425"/>
      <c r="MEZ41" s="424"/>
      <c r="MFA41" s="425"/>
      <c r="MFB41" s="424"/>
      <c r="MFC41" s="425"/>
      <c r="MFD41" s="424"/>
      <c r="MFE41" s="425"/>
      <c r="MFF41" s="424"/>
      <c r="MFG41" s="425"/>
      <c r="MFH41" s="424"/>
      <c r="MFI41" s="425"/>
      <c r="MFJ41" s="424"/>
      <c r="MFK41" s="425"/>
      <c r="MFL41" s="424"/>
      <c r="MFM41" s="425"/>
      <c r="MFN41" s="424"/>
      <c r="MFO41" s="425"/>
      <c r="MFP41" s="424"/>
      <c r="MFQ41" s="425"/>
      <c r="MFR41" s="424"/>
      <c r="MFS41" s="425"/>
      <c r="MFT41" s="424"/>
      <c r="MFU41" s="425"/>
      <c r="MFV41" s="424"/>
      <c r="MFW41" s="425"/>
      <c r="MFX41" s="424"/>
      <c r="MFY41" s="425"/>
      <c r="MFZ41" s="424"/>
      <c r="MGA41" s="425"/>
      <c r="MGB41" s="424"/>
      <c r="MGC41" s="425"/>
      <c r="MGD41" s="424"/>
      <c r="MGE41" s="425"/>
      <c r="MGF41" s="424"/>
      <c r="MGG41" s="425"/>
      <c r="MGH41" s="424"/>
      <c r="MGI41" s="425"/>
      <c r="MGJ41" s="424"/>
      <c r="MGK41" s="425"/>
      <c r="MGL41" s="424"/>
      <c r="MGM41" s="425"/>
      <c r="MGN41" s="424"/>
      <c r="MGO41" s="425"/>
      <c r="MGP41" s="424"/>
      <c r="MGQ41" s="425"/>
      <c r="MGR41" s="424"/>
      <c r="MGS41" s="425"/>
      <c r="MGT41" s="424"/>
      <c r="MGU41" s="425"/>
      <c r="MGV41" s="424"/>
      <c r="MGW41" s="425"/>
      <c r="MGX41" s="424"/>
      <c r="MGY41" s="425"/>
      <c r="MGZ41" s="424"/>
      <c r="MHA41" s="425"/>
      <c r="MHB41" s="424"/>
      <c r="MHC41" s="425"/>
      <c r="MHD41" s="424"/>
      <c r="MHE41" s="425"/>
      <c r="MHF41" s="424"/>
      <c r="MHG41" s="425"/>
      <c r="MHH41" s="424"/>
      <c r="MHI41" s="425"/>
      <c r="MHJ41" s="424"/>
      <c r="MHK41" s="425"/>
      <c r="MHL41" s="424"/>
      <c r="MHM41" s="425"/>
      <c r="MHN41" s="424"/>
      <c r="MHO41" s="425"/>
      <c r="MHP41" s="424"/>
      <c r="MHQ41" s="425"/>
      <c r="MHR41" s="424"/>
      <c r="MHS41" s="425"/>
      <c r="MHT41" s="424"/>
      <c r="MHU41" s="425"/>
      <c r="MHV41" s="424"/>
      <c r="MHW41" s="425"/>
      <c r="MHX41" s="424"/>
      <c r="MHY41" s="425"/>
      <c r="MHZ41" s="424"/>
      <c r="MIA41" s="425"/>
      <c r="MIB41" s="424"/>
      <c r="MIC41" s="425"/>
      <c r="MID41" s="424"/>
      <c r="MIE41" s="425"/>
      <c r="MIF41" s="424"/>
      <c r="MIG41" s="425"/>
      <c r="MIH41" s="424"/>
      <c r="MII41" s="425"/>
      <c r="MIJ41" s="424"/>
      <c r="MIK41" s="425"/>
      <c r="MIL41" s="424"/>
      <c r="MIM41" s="425"/>
      <c r="MIN41" s="424"/>
      <c r="MIO41" s="425"/>
      <c r="MIP41" s="424"/>
      <c r="MIQ41" s="425"/>
      <c r="MIR41" s="424"/>
      <c r="MIS41" s="425"/>
      <c r="MIT41" s="424"/>
      <c r="MIU41" s="425"/>
      <c r="MIV41" s="424"/>
      <c r="MIW41" s="425"/>
      <c r="MIX41" s="424"/>
      <c r="MIY41" s="425"/>
      <c r="MIZ41" s="424"/>
      <c r="MJA41" s="425"/>
      <c r="MJB41" s="424"/>
      <c r="MJC41" s="425"/>
      <c r="MJD41" s="424"/>
      <c r="MJE41" s="425"/>
      <c r="MJF41" s="424"/>
      <c r="MJG41" s="425"/>
      <c r="MJH41" s="424"/>
      <c r="MJI41" s="425"/>
      <c r="MJJ41" s="424"/>
      <c r="MJK41" s="425"/>
      <c r="MJL41" s="424"/>
      <c r="MJM41" s="425"/>
      <c r="MJN41" s="424"/>
      <c r="MJO41" s="425"/>
      <c r="MJP41" s="424"/>
      <c r="MJQ41" s="425"/>
      <c r="MJR41" s="424"/>
      <c r="MJS41" s="425"/>
      <c r="MJT41" s="424"/>
      <c r="MJU41" s="425"/>
      <c r="MJV41" s="424"/>
      <c r="MJW41" s="425"/>
      <c r="MJX41" s="424"/>
      <c r="MJY41" s="425"/>
      <c r="MJZ41" s="424"/>
      <c r="MKA41" s="425"/>
      <c r="MKB41" s="424"/>
      <c r="MKC41" s="425"/>
      <c r="MKD41" s="424"/>
      <c r="MKE41" s="425"/>
      <c r="MKF41" s="424"/>
      <c r="MKG41" s="425"/>
      <c r="MKH41" s="424"/>
      <c r="MKI41" s="425"/>
      <c r="MKJ41" s="424"/>
      <c r="MKK41" s="425"/>
      <c r="MKL41" s="424"/>
      <c r="MKM41" s="425"/>
      <c r="MKN41" s="424"/>
      <c r="MKO41" s="425"/>
      <c r="MKP41" s="424"/>
      <c r="MKQ41" s="425"/>
      <c r="MKR41" s="424"/>
      <c r="MKS41" s="425"/>
      <c r="MKT41" s="424"/>
      <c r="MKU41" s="425"/>
      <c r="MKV41" s="424"/>
      <c r="MKW41" s="425"/>
      <c r="MKX41" s="424"/>
      <c r="MKY41" s="425"/>
      <c r="MKZ41" s="424"/>
      <c r="MLA41" s="425"/>
      <c r="MLB41" s="424"/>
      <c r="MLC41" s="425"/>
      <c r="MLD41" s="424"/>
      <c r="MLE41" s="425"/>
      <c r="MLF41" s="424"/>
      <c r="MLG41" s="425"/>
      <c r="MLH41" s="424"/>
      <c r="MLI41" s="425"/>
      <c r="MLJ41" s="424"/>
      <c r="MLK41" s="425"/>
      <c r="MLL41" s="424"/>
      <c r="MLM41" s="425"/>
      <c r="MLN41" s="424"/>
      <c r="MLO41" s="425"/>
      <c r="MLP41" s="424"/>
      <c r="MLQ41" s="425"/>
      <c r="MLR41" s="424"/>
      <c r="MLS41" s="425"/>
      <c r="MLT41" s="424"/>
      <c r="MLU41" s="425"/>
      <c r="MLV41" s="424"/>
      <c r="MLW41" s="425"/>
      <c r="MLX41" s="424"/>
      <c r="MLY41" s="425"/>
      <c r="MLZ41" s="424"/>
      <c r="MMA41" s="425"/>
      <c r="MMB41" s="424"/>
      <c r="MMC41" s="425"/>
      <c r="MMD41" s="424"/>
      <c r="MME41" s="425"/>
      <c r="MMF41" s="424"/>
      <c r="MMG41" s="425"/>
      <c r="MMH41" s="424"/>
      <c r="MMI41" s="425"/>
      <c r="MMJ41" s="424"/>
      <c r="MMK41" s="425"/>
      <c r="MML41" s="424"/>
      <c r="MMM41" s="425"/>
      <c r="MMN41" s="424"/>
      <c r="MMO41" s="425"/>
      <c r="MMP41" s="424"/>
      <c r="MMQ41" s="425"/>
      <c r="MMR41" s="424"/>
      <c r="MMS41" s="425"/>
      <c r="MMT41" s="424"/>
      <c r="MMU41" s="425"/>
      <c r="MMV41" s="424"/>
      <c r="MMW41" s="425"/>
      <c r="MMX41" s="424"/>
      <c r="MMY41" s="425"/>
      <c r="MMZ41" s="424"/>
      <c r="MNA41" s="425"/>
      <c r="MNB41" s="424"/>
      <c r="MNC41" s="425"/>
      <c r="MND41" s="424"/>
      <c r="MNE41" s="425"/>
      <c r="MNF41" s="424"/>
      <c r="MNG41" s="425"/>
      <c r="MNH41" s="424"/>
      <c r="MNI41" s="425"/>
      <c r="MNJ41" s="424"/>
      <c r="MNK41" s="425"/>
      <c r="MNL41" s="424"/>
      <c r="MNM41" s="425"/>
      <c r="MNN41" s="424"/>
      <c r="MNO41" s="425"/>
      <c r="MNP41" s="424"/>
      <c r="MNQ41" s="425"/>
      <c r="MNR41" s="424"/>
      <c r="MNS41" s="425"/>
      <c r="MNT41" s="424"/>
      <c r="MNU41" s="425"/>
      <c r="MNV41" s="424"/>
      <c r="MNW41" s="425"/>
      <c r="MNX41" s="424"/>
      <c r="MNY41" s="425"/>
      <c r="MNZ41" s="424"/>
      <c r="MOA41" s="425"/>
      <c r="MOB41" s="424"/>
      <c r="MOC41" s="425"/>
      <c r="MOD41" s="424"/>
      <c r="MOE41" s="425"/>
      <c r="MOF41" s="424"/>
      <c r="MOG41" s="425"/>
      <c r="MOH41" s="424"/>
      <c r="MOI41" s="425"/>
      <c r="MOJ41" s="424"/>
      <c r="MOK41" s="425"/>
      <c r="MOL41" s="424"/>
      <c r="MOM41" s="425"/>
      <c r="MON41" s="424"/>
      <c r="MOO41" s="425"/>
      <c r="MOP41" s="424"/>
      <c r="MOQ41" s="425"/>
      <c r="MOR41" s="424"/>
      <c r="MOS41" s="425"/>
      <c r="MOT41" s="424"/>
      <c r="MOU41" s="425"/>
      <c r="MOV41" s="424"/>
      <c r="MOW41" s="425"/>
      <c r="MOX41" s="424"/>
      <c r="MOY41" s="425"/>
      <c r="MOZ41" s="424"/>
      <c r="MPA41" s="425"/>
      <c r="MPB41" s="424"/>
      <c r="MPC41" s="425"/>
      <c r="MPD41" s="424"/>
      <c r="MPE41" s="425"/>
      <c r="MPF41" s="424"/>
      <c r="MPG41" s="425"/>
      <c r="MPH41" s="424"/>
      <c r="MPI41" s="425"/>
      <c r="MPJ41" s="424"/>
      <c r="MPK41" s="425"/>
      <c r="MPL41" s="424"/>
      <c r="MPM41" s="425"/>
      <c r="MPN41" s="424"/>
      <c r="MPO41" s="425"/>
      <c r="MPP41" s="424"/>
      <c r="MPQ41" s="425"/>
      <c r="MPR41" s="424"/>
      <c r="MPS41" s="425"/>
      <c r="MPT41" s="424"/>
      <c r="MPU41" s="425"/>
      <c r="MPV41" s="424"/>
      <c r="MPW41" s="425"/>
      <c r="MPX41" s="424"/>
      <c r="MPY41" s="425"/>
      <c r="MPZ41" s="424"/>
      <c r="MQA41" s="425"/>
      <c r="MQB41" s="424"/>
      <c r="MQC41" s="425"/>
      <c r="MQD41" s="424"/>
      <c r="MQE41" s="425"/>
      <c r="MQF41" s="424"/>
      <c r="MQG41" s="425"/>
      <c r="MQH41" s="424"/>
      <c r="MQI41" s="425"/>
      <c r="MQJ41" s="424"/>
      <c r="MQK41" s="425"/>
      <c r="MQL41" s="424"/>
      <c r="MQM41" s="425"/>
      <c r="MQN41" s="424"/>
      <c r="MQO41" s="425"/>
      <c r="MQP41" s="424"/>
      <c r="MQQ41" s="425"/>
      <c r="MQR41" s="424"/>
      <c r="MQS41" s="425"/>
      <c r="MQT41" s="424"/>
      <c r="MQU41" s="425"/>
      <c r="MQV41" s="424"/>
      <c r="MQW41" s="425"/>
      <c r="MQX41" s="424"/>
      <c r="MQY41" s="425"/>
      <c r="MQZ41" s="424"/>
      <c r="MRA41" s="425"/>
      <c r="MRB41" s="424"/>
      <c r="MRC41" s="425"/>
      <c r="MRD41" s="424"/>
      <c r="MRE41" s="425"/>
      <c r="MRF41" s="424"/>
      <c r="MRG41" s="425"/>
      <c r="MRH41" s="424"/>
      <c r="MRI41" s="425"/>
      <c r="MRJ41" s="424"/>
      <c r="MRK41" s="425"/>
      <c r="MRL41" s="424"/>
      <c r="MRM41" s="425"/>
      <c r="MRN41" s="424"/>
      <c r="MRO41" s="425"/>
      <c r="MRP41" s="424"/>
      <c r="MRQ41" s="425"/>
      <c r="MRR41" s="424"/>
      <c r="MRS41" s="425"/>
      <c r="MRT41" s="424"/>
      <c r="MRU41" s="425"/>
      <c r="MRV41" s="424"/>
      <c r="MRW41" s="425"/>
      <c r="MRX41" s="424"/>
      <c r="MRY41" s="425"/>
      <c r="MRZ41" s="424"/>
      <c r="MSA41" s="425"/>
      <c r="MSB41" s="424"/>
      <c r="MSC41" s="425"/>
      <c r="MSD41" s="424"/>
      <c r="MSE41" s="425"/>
      <c r="MSF41" s="424"/>
      <c r="MSG41" s="425"/>
      <c r="MSH41" s="424"/>
      <c r="MSI41" s="425"/>
      <c r="MSJ41" s="424"/>
      <c r="MSK41" s="425"/>
      <c r="MSL41" s="424"/>
      <c r="MSM41" s="425"/>
      <c r="MSN41" s="424"/>
      <c r="MSO41" s="425"/>
      <c r="MSP41" s="424"/>
      <c r="MSQ41" s="425"/>
      <c r="MSR41" s="424"/>
      <c r="MSS41" s="425"/>
      <c r="MST41" s="424"/>
      <c r="MSU41" s="425"/>
      <c r="MSV41" s="424"/>
      <c r="MSW41" s="425"/>
      <c r="MSX41" s="424"/>
      <c r="MSY41" s="425"/>
      <c r="MSZ41" s="424"/>
      <c r="MTA41" s="425"/>
      <c r="MTB41" s="424"/>
      <c r="MTC41" s="425"/>
      <c r="MTD41" s="424"/>
      <c r="MTE41" s="425"/>
      <c r="MTF41" s="424"/>
      <c r="MTG41" s="425"/>
      <c r="MTH41" s="424"/>
      <c r="MTI41" s="425"/>
      <c r="MTJ41" s="424"/>
      <c r="MTK41" s="425"/>
      <c r="MTL41" s="424"/>
      <c r="MTM41" s="425"/>
      <c r="MTN41" s="424"/>
      <c r="MTO41" s="425"/>
      <c r="MTP41" s="424"/>
      <c r="MTQ41" s="425"/>
      <c r="MTR41" s="424"/>
      <c r="MTS41" s="425"/>
      <c r="MTT41" s="424"/>
      <c r="MTU41" s="425"/>
      <c r="MTV41" s="424"/>
      <c r="MTW41" s="425"/>
      <c r="MTX41" s="424"/>
      <c r="MTY41" s="425"/>
      <c r="MTZ41" s="424"/>
      <c r="MUA41" s="425"/>
      <c r="MUB41" s="424"/>
      <c r="MUC41" s="425"/>
      <c r="MUD41" s="424"/>
      <c r="MUE41" s="425"/>
      <c r="MUF41" s="424"/>
      <c r="MUG41" s="425"/>
      <c r="MUH41" s="424"/>
      <c r="MUI41" s="425"/>
      <c r="MUJ41" s="424"/>
      <c r="MUK41" s="425"/>
      <c r="MUL41" s="424"/>
      <c r="MUM41" s="425"/>
      <c r="MUN41" s="424"/>
      <c r="MUO41" s="425"/>
      <c r="MUP41" s="424"/>
      <c r="MUQ41" s="425"/>
      <c r="MUR41" s="424"/>
      <c r="MUS41" s="425"/>
      <c r="MUT41" s="424"/>
      <c r="MUU41" s="425"/>
      <c r="MUV41" s="424"/>
      <c r="MUW41" s="425"/>
      <c r="MUX41" s="424"/>
      <c r="MUY41" s="425"/>
      <c r="MUZ41" s="424"/>
      <c r="MVA41" s="425"/>
      <c r="MVB41" s="424"/>
      <c r="MVC41" s="425"/>
      <c r="MVD41" s="424"/>
      <c r="MVE41" s="425"/>
      <c r="MVF41" s="424"/>
      <c r="MVG41" s="425"/>
      <c r="MVH41" s="424"/>
      <c r="MVI41" s="425"/>
      <c r="MVJ41" s="424"/>
      <c r="MVK41" s="425"/>
      <c r="MVL41" s="424"/>
      <c r="MVM41" s="425"/>
      <c r="MVN41" s="424"/>
      <c r="MVO41" s="425"/>
      <c r="MVP41" s="424"/>
      <c r="MVQ41" s="425"/>
      <c r="MVR41" s="424"/>
      <c r="MVS41" s="425"/>
      <c r="MVT41" s="424"/>
      <c r="MVU41" s="425"/>
      <c r="MVV41" s="424"/>
      <c r="MVW41" s="425"/>
      <c r="MVX41" s="424"/>
      <c r="MVY41" s="425"/>
      <c r="MVZ41" s="424"/>
      <c r="MWA41" s="425"/>
      <c r="MWB41" s="424"/>
      <c r="MWC41" s="425"/>
      <c r="MWD41" s="424"/>
      <c r="MWE41" s="425"/>
      <c r="MWF41" s="424"/>
      <c r="MWG41" s="425"/>
      <c r="MWH41" s="424"/>
      <c r="MWI41" s="425"/>
      <c r="MWJ41" s="424"/>
      <c r="MWK41" s="425"/>
      <c r="MWL41" s="424"/>
      <c r="MWM41" s="425"/>
      <c r="MWN41" s="424"/>
      <c r="MWO41" s="425"/>
      <c r="MWP41" s="424"/>
      <c r="MWQ41" s="425"/>
      <c r="MWR41" s="424"/>
      <c r="MWS41" s="425"/>
      <c r="MWT41" s="424"/>
      <c r="MWU41" s="425"/>
      <c r="MWV41" s="424"/>
      <c r="MWW41" s="425"/>
      <c r="MWX41" s="424"/>
      <c r="MWY41" s="425"/>
      <c r="MWZ41" s="424"/>
      <c r="MXA41" s="425"/>
      <c r="MXB41" s="424"/>
      <c r="MXC41" s="425"/>
      <c r="MXD41" s="424"/>
      <c r="MXE41" s="425"/>
      <c r="MXF41" s="424"/>
      <c r="MXG41" s="425"/>
      <c r="MXH41" s="424"/>
      <c r="MXI41" s="425"/>
      <c r="MXJ41" s="424"/>
      <c r="MXK41" s="425"/>
      <c r="MXL41" s="424"/>
      <c r="MXM41" s="425"/>
      <c r="MXN41" s="424"/>
      <c r="MXO41" s="425"/>
      <c r="MXP41" s="424"/>
      <c r="MXQ41" s="425"/>
      <c r="MXR41" s="424"/>
      <c r="MXS41" s="425"/>
      <c r="MXT41" s="424"/>
      <c r="MXU41" s="425"/>
      <c r="MXV41" s="424"/>
      <c r="MXW41" s="425"/>
      <c r="MXX41" s="424"/>
      <c r="MXY41" s="425"/>
      <c r="MXZ41" s="424"/>
      <c r="MYA41" s="425"/>
      <c r="MYB41" s="424"/>
      <c r="MYC41" s="425"/>
      <c r="MYD41" s="424"/>
      <c r="MYE41" s="425"/>
      <c r="MYF41" s="424"/>
      <c r="MYG41" s="425"/>
      <c r="MYH41" s="424"/>
      <c r="MYI41" s="425"/>
      <c r="MYJ41" s="424"/>
      <c r="MYK41" s="425"/>
      <c r="MYL41" s="424"/>
      <c r="MYM41" s="425"/>
      <c r="MYN41" s="424"/>
      <c r="MYO41" s="425"/>
      <c r="MYP41" s="424"/>
      <c r="MYQ41" s="425"/>
      <c r="MYR41" s="424"/>
      <c r="MYS41" s="425"/>
      <c r="MYT41" s="424"/>
      <c r="MYU41" s="425"/>
      <c r="MYV41" s="424"/>
      <c r="MYW41" s="425"/>
      <c r="MYX41" s="424"/>
      <c r="MYY41" s="425"/>
      <c r="MYZ41" s="424"/>
      <c r="MZA41" s="425"/>
      <c r="MZB41" s="424"/>
      <c r="MZC41" s="425"/>
      <c r="MZD41" s="424"/>
      <c r="MZE41" s="425"/>
      <c r="MZF41" s="424"/>
      <c r="MZG41" s="425"/>
      <c r="MZH41" s="424"/>
      <c r="MZI41" s="425"/>
      <c r="MZJ41" s="424"/>
      <c r="MZK41" s="425"/>
      <c r="MZL41" s="424"/>
      <c r="MZM41" s="425"/>
      <c r="MZN41" s="424"/>
      <c r="MZO41" s="425"/>
      <c r="MZP41" s="424"/>
      <c r="MZQ41" s="425"/>
      <c r="MZR41" s="424"/>
      <c r="MZS41" s="425"/>
      <c r="MZT41" s="424"/>
      <c r="MZU41" s="425"/>
      <c r="MZV41" s="424"/>
      <c r="MZW41" s="425"/>
      <c r="MZX41" s="424"/>
      <c r="MZY41" s="425"/>
      <c r="MZZ41" s="424"/>
      <c r="NAA41" s="425"/>
      <c r="NAB41" s="424"/>
      <c r="NAC41" s="425"/>
      <c r="NAD41" s="424"/>
      <c r="NAE41" s="425"/>
      <c r="NAF41" s="424"/>
      <c r="NAG41" s="425"/>
      <c r="NAH41" s="424"/>
      <c r="NAI41" s="425"/>
      <c r="NAJ41" s="424"/>
      <c r="NAK41" s="425"/>
      <c r="NAL41" s="424"/>
      <c r="NAM41" s="425"/>
      <c r="NAN41" s="424"/>
      <c r="NAO41" s="425"/>
      <c r="NAP41" s="424"/>
      <c r="NAQ41" s="425"/>
      <c r="NAR41" s="424"/>
      <c r="NAS41" s="425"/>
      <c r="NAT41" s="424"/>
      <c r="NAU41" s="425"/>
      <c r="NAV41" s="424"/>
      <c r="NAW41" s="425"/>
      <c r="NAX41" s="424"/>
      <c r="NAY41" s="425"/>
      <c r="NAZ41" s="424"/>
      <c r="NBA41" s="425"/>
      <c r="NBB41" s="424"/>
      <c r="NBC41" s="425"/>
      <c r="NBD41" s="424"/>
      <c r="NBE41" s="425"/>
      <c r="NBF41" s="424"/>
      <c r="NBG41" s="425"/>
      <c r="NBH41" s="424"/>
      <c r="NBI41" s="425"/>
      <c r="NBJ41" s="424"/>
      <c r="NBK41" s="425"/>
      <c r="NBL41" s="424"/>
      <c r="NBM41" s="425"/>
      <c r="NBN41" s="424"/>
      <c r="NBO41" s="425"/>
      <c r="NBP41" s="424"/>
      <c r="NBQ41" s="425"/>
      <c r="NBR41" s="424"/>
      <c r="NBS41" s="425"/>
      <c r="NBT41" s="424"/>
      <c r="NBU41" s="425"/>
      <c r="NBV41" s="424"/>
      <c r="NBW41" s="425"/>
      <c r="NBX41" s="424"/>
      <c r="NBY41" s="425"/>
      <c r="NBZ41" s="424"/>
      <c r="NCA41" s="425"/>
      <c r="NCB41" s="424"/>
      <c r="NCC41" s="425"/>
      <c r="NCD41" s="424"/>
      <c r="NCE41" s="425"/>
      <c r="NCF41" s="424"/>
      <c r="NCG41" s="425"/>
      <c r="NCH41" s="424"/>
      <c r="NCI41" s="425"/>
      <c r="NCJ41" s="424"/>
      <c r="NCK41" s="425"/>
      <c r="NCL41" s="424"/>
      <c r="NCM41" s="425"/>
      <c r="NCN41" s="424"/>
      <c r="NCO41" s="425"/>
      <c r="NCP41" s="424"/>
      <c r="NCQ41" s="425"/>
      <c r="NCR41" s="424"/>
      <c r="NCS41" s="425"/>
      <c r="NCT41" s="424"/>
      <c r="NCU41" s="425"/>
      <c r="NCV41" s="424"/>
      <c r="NCW41" s="425"/>
      <c r="NCX41" s="424"/>
      <c r="NCY41" s="425"/>
      <c r="NCZ41" s="424"/>
      <c r="NDA41" s="425"/>
      <c r="NDB41" s="424"/>
      <c r="NDC41" s="425"/>
      <c r="NDD41" s="424"/>
      <c r="NDE41" s="425"/>
      <c r="NDF41" s="424"/>
      <c r="NDG41" s="425"/>
      <c r="NDH41" s="424"/>
      <c r="NDI41" s="425"/>
      <c r="NDJ41" s="424"/>
      <c r="NDK41" s="425"/>
      <c r="NDL41" s="424"/>
      <c r="NDM41" s="425"/>
      <c r="NDN41" s="424"/>
      <c r="NDO41" s="425"/>
      <c r="NDP41" s="424"/>
      <c r="NDQ41" s="425"/>
      <c r="NDR41" s="424"/>
      <c r="NDS41" s="425"/>
      <c r="NDT41" s="424"/>
      <c r="NDU41" s="425"/>
      <c r="NDV41" s="424"/>
      <c r="NDW41" s="425"/>
      <c r="NDX41" s="424"/>
      <c r="NDY41" s="425"/>
      <c r="NDZ41" s="424"/>
      <c r="NEA41" s="425"/>
      <c r="NEB41" s="424"/>
      <c r="NEC41" s="425"/>
      <c r="NED41" s="424"/>
      <c r="NEE41" s="425"/>
      <c r="NEF41" s="424"/>
      <c r="NEG41" s="425"/>
      <c r="NEH41" s="424"/>
      <c r="NEI41" s="425"/>
      <c r="NEJ41" s="424"/>
      <c r="NEK41" s="425"/>
      <c r="NEL41" s="424"/>
      <c r="NEM41" s="425"/>
      <c r="NEN41" s="424"/>
      <c r="NEO41" s="425"/>
      <c r="NEP41" s="424"/>
      <c r="NEQ41" s="425"/>
      <c r="NER41" s="424"/>
      <c r="NES41" s="425"/>
      <c r="NET41" s="424"/>
      <c r="NEU41" s="425"/>
      <c r="NEV41" s="424"/>
      <c r="NEW41" s="425"/>
      <c r="NEX41" s="424"/>
      <c r="NEY41" s="425"/>
      <c r="NEZ41" s="424"/>
      <c r="NFA41" s="425"/>
      <c r="NFB41" s="424"/>
      <c r="NFC41" s="425"/>
      <c r="NFD41" s="424"/>
      <c r="NFE41" s="425"/>
      <c r="NFF41" s="424"/>
      <c r="NFG41" s="425"/>
      <c r="NFH41" s="424"/>
      <c r="NFI41" s="425"/>
      <c r="NFJ41" s="424"/>
      <c r="NFK41" s="425"/>
      <c r="NFL41" s="424"/>
      <c r="NFM41" s="425"/>
      <c r="NFN41" s="424"/>
      <c r="NFO41" s="425"/>
      <c r="NFP41" s="424"/>
      <c r="NFQ41" s="425"/>
      <c r="NFR41" s="424"/>
      <c r="NFS41" s="425"/>
      <c r="NFT41" s="424"/>
      <c r="NFU41" s="425"/>
      <c r="NFV41" s="424"/>
      <c r="NFW41" s="425"/>
      <c r="NFX41" s="424"/>
      <c r="NFY41" s="425"/>
      <c r="NFZ41" s="424"/>
      <c r="NGA41" s="425"/>
      <c r="NGB41" s="424"/>
      <c r="NGC41" s="425"/>
      <c r="NGD41" s="424"/>
      <c r="NGE41" s="425"/>
      <c r="NGF41" s="424"/>
      <c r="NGG41" s="425"/>
      <c r="NGH41" s="424"/>
      <c r="NGI41" s="425"/>
      <c r="NGJ41" s="424"/>
      <c r="NGK41" s="425"/>
      <c r="NGL41" s="424"/>
      <c r="NGM41" s="425"/>
      <c r="NGN41" s="424"/>
      <c r="NGO41" s="425"/>
      <c r="NGP41" s="424"/>
      <c r="NGQ41" s="425"/>
      <c r="NGR41" s="424"/>
      <c r="NGS41" s="425"/>
      <c r="NGT41" s="424"/>
      <c r="NGU41" s="425"/>
      <c r="NGV41" s="424"/>
      <c r="NGW41" s="425"/>
      <c r="NGX41" s="424"/>
      <c r="NGY41" s="425"/>
      <c r="NGZ41" s="424"/>
      <c r="NHA41" s="425"/>
      <c r="NHB41" s="424"/>
      <c r="NHC41" s="425"/>
      <c r="NHD41" s="424"/>
      <c r="NHE41" s="425"/>
      <c r="NHF41" s="424"/>
      <c r="NHG41" s="425"/>
      <c r="NHH41" s="424"/>
      <c r="NHI41" s="425"/>
      <c r="NHJ41" s="424"/>
      <c r="NHK41" s="425"/>
      <c r="NHL41" s="424"/>
      <c r="NHM41" s="425"/>
      <c r="NHN41" s="424"/>
      <c r="NHO41" s="425"/>
      <c r="NHP41" s="424"/>
      <c r="NHQ41" s="425"/>
      <c r="NHR41" s="424"/>
      <c r="NHS41" s="425"/>
      <c r="NHT41" s="424"/>
      <c r="NHU41" s="425"/>
      <c r="NHV41" s="424"/>
      <c r="NHW41" s="425"/>
      <c r="NHX41" s="424"/>
      <c r="NHY41" s="425"/>
      <c r="NHZ41" s="424"/>
      <c r="NIA41" s="425"/>
      <c r="NIB41" s="424"/>
      <c r="NIC41" s="425"/>
      <c r="NID41" s="424"/>
      <c r="NIE41" s="425"/>
      <c r="NIF41" s="424"/>
      <c r="NIG41" s="425"/>
      <c r="NIH41" s="424"/>
      <c r="NII41" s="425"/>
      <c r="NIJ41" s="424"/>
      <c r="NIK41" s="425"/>
      <c r="NIL41" s="424"/>
      <c r="NIM41" s="425"/>
      <c r="NIN41" s="424"/>
      <c r="NIO41" s="425"/>
      <c r="NIP41" s="424"/>
      <c r="NIQ41" s="425"/>
      <c r="NIR41" s="424"/>
      <c r="NIS41" s="425"/>
      <c r="NIT41" s="424"/>
      <c r="NIU41" s="425"/>
      <c r="NIV41" s="424"/>
      <c r="NIW41" s="425"/>
      <c r="NIX41" s="424"/>
      <c r="NIY41" s="425"/>
      <c r="NIZ41" s="424"/>
      <c r="NJA41" s="425"/>
      <c r="NJB41" s="424"/>
      <c r="NJC41" s="425"/>
      <c r="NJD41" s="424"/>
      <c r="NJE41" s="425"/>
      <c r="NJF41" s="424"/>
      <c r="NJG41" s="425"/>
      <c r="NJH41" s="424"/>
      <c r="NJI41" s="425"/>
      <c r="NJJ41" s="424"/>
      <c r="NJK41" s="425"/>
      <c r="NJL41" s="424"/>
      <c r="NJM41" s="425"/>
      <c r="NJN41" s="424"/>
      <c r="NJO41" s="425"/>
      <c r="NJP41" s="424"/>
      <c r="NJQ41" s="425"/>
      <c r="NJR41" s="424"/>
      <c r="NJS41" s="425"/>
      <c r="NJT41" s="424"/>
      <c r="NJU41" s="425"/>
      <c r="NJV41" s="424"/>
      <c r="NJW41" s="425"/>
      <c r="NJX41" s="424"/>
      <c r="NJY41" s="425"/>
      <c r="NJZ41" s="424"/>
      <c r="NKA41" s="425"/>
      <c r="NKB41" s="424"/>
      <c r="NKC41" s="425"/>
      <c r="NKD41" s="424"/>
      <c r="NKE41" s="425"/>
      <c r="NKF41" s="424"/>
      <c r="NKG41" s="425"/>
      <c r="NKH41" s="424"/>
      <c r="NKI41" s="425"/>
      <c r="NKJ41" s="424"/>
      <c r="NKK41" s="425"/>
      <c r="NKL41" s="424"/>
      <c r="NKM41" s="425"/>
      <c r="NKN41" s="424"/>
      <c r="NKO41" s="425"/>
      <c r="NKP41" s="424"/>
      <c r="NKQ41" s="425"/>
      <c r="NKR41" s="424"/>
      <c r="NKS41" s="425"/>
      <c r="NKT41" s="424"/>
      <c r="NKU41" s="425"/>
      <c r="NKV41" s="424"/>
      <c r="NKW41" s="425"/>
      <c r="NKX41" s="424"/>
      <c r="NKY41" s="425"/>
      <c r="NKZ41" s="424"/>
      <c r="NLA41" s="425"/>
      <c r="NLB41" s="424"/>
      <c r="NLC41" s="425"/>
      <c r="NLD41" s="424"/>
      <c r="NLE41" s="425"/>
      <c r="NLF41" s="424"/>
      <c r="NLG41" s="425"/>
      <c r="NLH41" s="424"/>
      <c r="NLI41" s="425"/>
      <c r="NLJ41" s="424"/>
      <c r="NLK41" s="425"/>
      <c r="NLL41" s="424"/>
      <c r="NLM41" s="425"/>
      <c r="NLN41" s="424"/>
      <c r="NLO41" s="425"/>
      <c r="NLP41" s="424"/>
      <c r="NLQ41" s="425"/>
      <c r="NLR41" s="424"/>
      <c r="NLS41" s="425"/>
      <c r="NLT41" s="424"/>
      <c r="NLU41" s="425"/>
      <c r="NLV41" s="424"/>
      <c r="NLW41" s="425"/>
      <c r="NLX41" s="424"/>
      <c r="NLY41" s="425"/>
      <c r="NLZ41" s="424"/>
      <c r="NMA41" s="425"/>
      <c r="NMB41" s="424"/>
      <c r="NMC41" s="425"/>
      <c r="NMD41" s="424"/>
      <c r="NME41" s="425"/>
      <c r="NMF41" s="424"/>
      <c r="NMG41" s="425"/>
      <c r="NMH41" s="424"/>
      <c r="NMI41" s="425"/>
      <c r="NMJ41" s="424"/>
      <c r="NMK41" s="425"/>
      <c r="NML41" s="424"/>
      <c r="NMM41" s="425"/>
      <c r="NMN41" s="424"/>
      <c r="NMO41" s="425"/>
      <c r="NMP41" s="424"/>
      <c r="NMQ41" s="425"/>
      <c r="NMR41" s="424"/>
      <c r="NMS41" s="425"/>
      <c r="NMT41" s="424"/>
      <c r="NMU41" s="425"/>
      <c r="NMV41" s="424"/>
      <c r="NMW41" s="425"/>
      <c r="NMX41" s="424"/>
      <c r="NMY41" s="425"/>
      <c r="NMZ41" s="424"/>
      <c r="NNA41" s="425"/>
      <c r="NNB41" s="424"/>
      <c r="NNC41" s="425"/>
      <c r="NND41" s="424"/>
      <c r="NNE41" s="425"/>
      <c r="NNF41" s="424"/>
      <c r="NNG41" s="425"/>
      <c r="NNH41" s="424"/>
      <c r="NNI41" s="425"/>
      <c r="NNJ41" s="424"/>
      <c r="NNK41" s="425"/>
      <c r="NNL41" s="424"/>
      <c r="NNM41" s="425"/>
      <c r="NNN41" s="424"/>
      <c r="NNO41" s="425"/>
      <c r="NNP41" s="424"/>
      <c r="NNQ41" s="425"/>
      <c r="NNR41" s="424"/>
      <c r="NNS41" s="425"/>
      <c r="NNT41" s="424"/>
      <c r="NNU41" s="425"/>
      <c r="NNV41" s="424"/>
      <c r="NNW41" s="425"/>
      <c r="NNX41" s="424"/>
      <c r="NNY41" s="425"/>
      <c r="NNZ41" s="424"/>
      <c r="NOA41" s="425"/>
      <c r="NOB41" s="424"/>
      <c r="NOC41" s="425"/>
      <c r="NOD41" s="424"/>
      <c r="NOE41" s="425"/>
      <c r="NOF41" s="424"/>
      <c r="NOG41" s="425"/>
      <c r="NOH41" s="424"/>
      <c r="NOI41" s="425"/>
      <c r="NOJ41" s="424"/>
      <c r="NOK41" s="425"/>
      <c r="NOL41" s="424"/>
      <c r="NOM41" s="425"/>
      <c r="NON41" s="424"/>
      <c r="NOO41" s="425"/>
      <c r="NOP41" s="424"/>
      <c r="NOQ41" s="425"/>
      <c r="NOR41" s="424"/>
      <c r="NOS41" s="425"/>
      <c r="NOT41" s="424"/>
      <c r="NOU41" s="425"/>
      <c r="NOV41" s="424"/>
      <c r="NOW41" s="425"/>
      <c r="NOX41" s="424"/>
      <c r="NOY41" s="425"/>
      <c r="NOZ41" s="424"/>
      <c r="NPA41" s="425"/>
      <c r="NPB41" s="424"/>
      <c r="NPC41" s="425"/>
      <c r="NPD41" s="424"/>
      <c r="NPE41" s="425"/>
      <c r="NPF41" s="424"/>
      <c r="NPG41" s="425"/>
      <c r="NPH41" s="424"/>
      <c r="NPI41" s="425"/>
      <c r="NPJ41" s="424"/>
      <c r="NPK41" s="425"/>
      <c r="NPL41" s="424"/>
      <c r="NPM41" s="425"/>
      <c r="NPN41" s="424"/>
      <c r="NPO41" s="425"/>
      <c r="NPP41" s="424"/>
      <c r="NPQ41" s="425"/>
      <c r="NPR41" s="424"/>
      <c r="NPS41" s="425"/>
      <c r="NPT41" s="424"/>
      <c r="NPU41" s="425"/>
      <c r="NPV41" s="424"/>
      <c r="NPW41" s="425"/>
      <c r="NPX41" s="424"/>
      <c r="NPY41" s="425"/>
      <c r="NPZ41" s="424"/>
      <c r="NQA41" s="425"/>
      <c r="NQB41" s="424"/>
      <c r="NQC41" s="425"/>
      <c r="NQD41" s="424"/>
      <c r="NQE41" s="425"/>
      <c r="NQF41" s="424"/>
      <c r="NQG41" s="425"/>
      <c r="NQH41" s="424"/>
      <c r="NQI41" s="425"/>
      <c r="NQJ41" s="424"/>
      <c r="NQK41" s="425"/>
      <c r="NQL41" s="424"/>
      <c r="NQM41" s="425"/>
      <c r="NQN41" s="424"/>
      <c r="NQO41" s="425"/>
      <c r="NQP41" s="424"/>
      <c r="NQQ41" s="425"/>
      <c r="NQR41" s="424"/>
      <c r="NQS41" s="425"/>
      <c r="NQT41" s="424"/>
      <c r="NQU41" s="425"/>
      <c r="NQV41" s="424"/>
      <c r="NQW41" s="425"/>
      <c r="NQX41" s="424"/>
      <c r="NQY41" s="425"/>
      <c r="NQZ41" s="424"/>
      <c r="NRA41" s="425"/>
      <c r="NRB41" s="424"/>
      <c r="NRC41" s="425"/>
      <c r="NRD41" s="424"/>
      <c r="NRE41" s="425"/>
      <c r="NRF41" s="424"/>
      <c r="NRG41" s="425"/>
      <c r="NRH41" s="424"/>
      <c r="NRI41" s="425"/>
      <c r="NRJ41" s="424"/>
      <c r="NRK41" s="425"/>
      <c r="NRL41" s="424"/>
      <c r="NRM41" s="425"/>
      <c r="NRN41" s="424"/>
      <c r="NRO41" s="425"/>
      <c r="NRP41" s="424"/>
      <c r="NRQ41" s="425"/>
      <c r="NRR41" s="424"/>
      <c r="NRS41" s="425"/>
      <c r="NRT41" s="424"/>
      <c r="NRU41" s="425"/>
      <c r="NRV41" s="424"/>
      <c r="NRW41" s="425"/>
      <c r="NRX41" s="424"/>
      <c r="NRY41" s="425"/>
      <c r="NRZ41" s="424"/>
      <c r="NSA41" s="425"/>
      <c r="NSB41" s="424"/>
      <c r="NSC41" s="425"/>
      <c r="NSD41" s="424"/>
      <c r="NSE41" s="425"/>
      <c r="NSF41" s="424"/>
      <c r="NSG41" s="425"/>
      <c r="NSH41" s="424"/>
      <c r="NSI41" s="425"/>
      <c r="NSJ41" s="424"/>
      <c r="NSK41" s="425"/>
      <c r="NSL41" s="424"/>
      <c r="NSM41" s="425"/>
      <c r="NSN41" s="424"/>
      <c r="NSO41" s="425"/>
      <c r="NSP41" s="424"/>
      <c r="NSQ41" s="425"/>
      <c r="NSR41" s="424"/>
      <c r="NSS41" s="425"/>
      <c r="NST41" s="424"/>
      <c r="NSU41" s="425"/>
      <c r="NSV41" s="424"/>
      <c r="NSW41" s="425"/>
      <c r="NSX41" s="424"/>
      <c r="NSY41" s="425"/>
      <c r="NSZ41" s="424"/>
      <c r="NTA41" s="425"/>
      <c r="NTB41" s="424"/>
      <c r="NTC41" s="425"/>
      <c r="NTD41" s="424"/>
      <c r="NTE41" s="425"/>
      <c r="NTF41" s="424"/>
      <c r="NTG41" s="425"/>
      <c r="NTH41" s="424"/>
      <c r="NTI41" s="425"/>
      <c r="NTJ41" s="424"/>
      <c r="NTK41" s="425"/>
      <c r="NTL41" s="424"/>
      <c r="NTM41" s="425"/>
      <c r="NTN41" s="424"/>
      <c r="NTO41" s="425"/>
      <c r="NTP41" s="424"/>
      <c r="NTQ41" s="425"/>
      <c r="NTR41" s="424"/>
      <c r="NTS41" s="425"/>
      <c r="NTT41" s="424"/>
      <c r="NTU41" s="425"/>
      <c r="NTV41" s="424"/>
      <c r="NTW41" s="425"/>
      <c r="NTX41" s="424"/>
      <c r="NTY41" s="425"/>
      <c r="NTZ41" s="424"/>
      <c r="NUA41" s="425"/>
      <c r="NUB41" s="424"/>
      <c r="NUC41" s="425"/>
      <c r="NUD41" s="424"/>
      <c r="NUE41" s="425"/>
      <c r="NUF41" s="424"/>
      <c r="NUG41" s="425"/>
      <c r="NUH41" s="424"/>
      <c r="NUI41" s="425"/>
      <c r="NUJ41" s="424"/>
      <c r="NUK41" s="425"/>
      <c r="NUL41" s="424"/>
      <c r="NUM41" s="425"/>
      <c r="NUN41" s="424"/>
      <c r="NUO41" s="425"/>
      <c r="NUP41" s="424"/>
      <c r="NUQ41" s="425"/>
      <c r="NUR41" s="424"/>
      <c r="NUS41" s="425"/>
      <c r="NUT41" s="424"/>
      <c r="NUU41" s="425"/>
      <c r="NUV41" s="424"/>
      <c r="NUW41" s="425"/>
      <c r="NUX41" s="424"/>
      <c r="NUY41" s="425"/>
      <c r="NUZ41" s="424"/>
      <c r="NVA41" s="425"/>
      <c r="NVB41" s="424"/>
      <c r="NVC41" s="425"/>
      <c r="NVD41" s="424"/>
      <c r="NVE41" s="425"/>
      <c r="NVF41" s="424"/>
      <c r="NVG41" s="425"/>
      <c r="NVH41" s="424"/>
      <c r="NVI41" s="425"/>
      <c r="NVJ41" s="424"/>
      <c r="NVK41" s="425"/>
      <c r="NVL41" s="424"/>
      <c r="NVM41" s="425"/>
      <c r="NVN41" s="424"/>
      <c r="NVO41" s="425"/>
      <c r="NVP41" s="424"/>
      <c r="NVQ41" s="425"/>
      <c r="NVR41" s="424"/>
      <c r="NVS41" s="425"/>
      <c r="NVT41" s="424"/>
      <c r="NVU41" s="425"/>
      <c r="NVV41" s="424"/>
      <c r="NVW41" s="425"/>
      <c r="NVX41" s="424"/>
      <c r="NVY41" s="425"/>
      <c r="NVZ41" s="424"/>
      <c r="NWA41" s="425"/>
      <c r="NWB41" s="424"/>
      <c r="NWC41" s="425"/>
      <c r="NWD41" s="424"/>
      <c r="NWE41" s="425"/>
      <c r="NWF41" s="424"/>
      <c r="NWG41" s="425"/>
      <c r="NWH41" s="424"/>
      <c r="NWI41" s="425"/>
      <c r="NWJ41" s="424"/>
      <c r="NWK41" s="425"/>
      <c r="NWL41" s="424"/>
      <c r="NWM41" s="425"/>
      <c r="NWN41" s="424"/>
      <c r="NWO41" s="425"/>
      <c r="NWP41" s="424"/>
      <c r="NWQ41" s="425"/>
      <c r="NWR41" s="424"/>
      <c r="NWS41" s="425"/>
      <c r="NWT41" s="424"/>
      <c r="NWU41" s="425"/>
      <c r="NWV41" s="424"/>
      <c r="NWW41" s="425"/>
      <c r="NWX41" s="424"/>
      <c r="NWY41" s="425"/>
      <c r="NWZ41" s="424"/>
      <c r="NXA41" s="425"/>
      <c r="NXB41" s="424"/>
      <c r="NXC41" s="425"/>
      <c r="NXD41" s="424"/>
      <c r="NXE41" s="425"/>
      <c r="NXF41" s="424"/>
      <c r="NXG41" s="425"/>
      <c r="NXH41" s="424"/>
      <c r="NXI41" s="425"/>
      <c r="NXJ41" s="424"/>
      <c r="NXK41" s="425"/>
      <c r="NXL41" s="424"/>
      <c r="NXM41" s="425"/>
      <c r="NXN41" s="424"/>
      <c r="NXO41" s="425"/>
      <c r="NXP41" s="424"/>
      <c r="NXQ41" s="425"/>
      <c r="NXR41" s="424"/>
      <c r="NXS41" s="425"/>
      <c r="NXT41" s="424"/>
      <c r="NXU41" s="425"/>
      <c r="NXV41" s="424"/>
      <c r="NXW41" s="425"/>
      <c r="NXX41" s="424"/>
      <c r="NXY41" s="425"/>
      <c r="NXZ41" s="424"/>
      <c r="NYA41" s="425"/>
      <c r="NYB41" s="424"/>
      <c r="NYC41" s="425"/>
      <c r="NYD41" s="424"/>
      <c r="NYE41" s="425"/>
      <c r="NYF41" s="424"/>
      <c r="NYG41" s="425"/>
      <c r="NYH41" s="424"/>
      <c r="NYI41" s="425"/>
      <c r="NYJ41" s="424"/>
      <c r="NYK41" s="425"/>
      <c r="NYL41" s="424"/>
      <c r="NYM41" s="425"/>
      <c r="NYN41" s="424"/>
      <c r="NYO41" s="425"/>
      <c r="NYP41" s="424"/>
      <c r="NYQ41" s="425"/>
      <c r="NYR41" s="424"/>
      <c r="NYS41" s="425"/>
      <c r="NYT41" s="424"/>
      <c r="NYU41" s="425"/>
      <c r="NYV41" s="424"/>
      <c r="NYW41" s="425"/>
      <c r="NYX41" s="424"/>
      <c r="NYY41" s="425"/>
      <c r="NYZ41" s="424"/>
      <c r="NZA41" s="425"/>
      <c r="NZB41" s="424"/>
      <c r="NZC41" s="425"/>
      <c r="NZD41" s="424"/>
      <c r="NZE41" s="425"/>
      <c r="NZF41" s="424"/>
      <c r="NZG41" s="425"/>
      <c r="NZH41" s="424"/>
      <c r="NZI41" s="425"/>
      <c r="NZJ41" s="424"/>
      <c r="NZK41" s="425"/>
      <c r="NZL41" s="424"/>
      <c r="NZM41" s="425"/>
      <c r="NZN41" s="424"/>
      <c r="NZO41" s="425"/>
      <c r="NZP41" s="424"/>
      <c r="NZQ41" s="425"/>
      <c r="NZR41" s="424"/>
      <c r="NZS41" s="425"/>
      <c r="NZT41" s="424"/>
      <c r="NZU41" s="425"/>
      <c r="NZV41" s="424"/>
      <c r="NZW41" s="425"/>
      <c r="NZX41" s="424"/>
      <c r="NZY41" s="425"/>
      <c r="NZZ41" s="424"/>
      <c r="OAA41" s="425"/>
      <c r="OAB41" s="424"/>
      <c r="OAC41" s="425"/>
      <c r="OAD41" s="424"/>
      <c r="OAE41" s="425"/>
      <c r="OAF41" s="424"/>
      <c r="OAG41" s="425"/>
      <c r="OAH41" s="424"/>
      <c r="OAI41" s="425"/>
      <c r="OAJ41" s="424"/>
      <c r="OAK41" s="425"/>
      <c r="OAL41" s="424"/>
      <c r="OAM41" s="425"/>
      <c r="OAN41" s="424"/>
      <c r="OAO41" s="425"/>
      <c r="OAP41" s="424"/>
      <c r="OAQ41" s="425"/>
      <c r="OAR41" s="424"/>
      <c r="OAS41" s="425"/>
      <c r="OAT41" s="424"/>
      <c r="OAU41" s="425"/>
      <c r="OAV41" s="424"/>
      <c r="OAW41" s="425"/>
      <c r="OAX41" s="424"/>
      <c r="OAY41" s="425"/>
      <c r="OAZ41" s="424"/>
      <c r="OBA41" s="425"/>
      <c r="OBB41" s="424"/>
      <c r="OBC41" s="425"/>
      <c r="OBD41" s="424"/>
      <c r="OBE41" s="425"/>
      <c r="OBF41" s="424"/>
      <c r="OBG41" s="425"/>
      <c r="OBH41" s="424"/>
      <c r="OBI41" s="425"/>
      <c r="OBJ41" s="424"/>
      <c r="OBK41" s="425"/>
      <c r="OBL41" s="424"/>
      <c r="OBM41" s="425"/>
      <c r="OBN41" s="424"/>
      <c r="OBO41" s="425"/>
      <c r="OBP41" s="424"/>
      <c r="OBQ41" s="425"/>
      <c r="OBR41" s="424"/>
      <c r="OBS41" s="425"/>
      <c r="OBT41" s="424"/>
      <c r="OBU41" s="425"/>
      <c r="OBV41" s="424"/>
      <c r="OBW41" s="425"/>
      <c r="OBX41" s="424"/>
      <c r="OBY41" s="425"/>
      <c r="OBZ41" s="424"/>
      <c r="OCA41" s="425"/>
      <c r="OCB41" s="424"/>
      <c r="OCC41" s="425"/>
      <c r="OCD41" s="424"/>
      <c r="OCE41" s="425"/>
      <c r="OCF41" s="424"/>
      <c r="OCG41" s="425"/>
      <c r="OCH41" s="424"/>
      <c r="OCI41" s="425"/>
      <c r="OCJ41" s="424"/>
      <c r="OCK41" s="425"/>
      <c r="OCL41" s="424"/>
      <c r="OCM41" s="425"/>
      <c r="OCN41" s="424"/>
      <c r="OCO41" s="425"/>
      <c r="OCP41" s="424"/>
      <c r="OCQ41" s="425"/>
      <c r="OCR41" s="424"/>
      <c r="OCS41" s="425"/>
      <c r="OCT41" s="424"/>
      <c r="OCU41" s="425"/>
      <c r="OCV41" s="424"/>
      <c r="OCW41" s="425"/>
      <c r="OCX41" s="424"/>
      <c r="OCY41" s="425"/>
      <c r="OCZ41" s="424"/>
      <c r="ODA41" s="425"/>
      <c r="ODB41" s="424"/>
      <c r="ODC41" s="425"/>
      <c r="ODD41" s="424"/>
      <c r="ODE41" s="425"/>
      <c r="ODF41" s="424"/>
      <c r="ODG41" s="425"/>
      <c r="ODH41" s="424"/>
      <c r="ODI41" s="425"/>
      <c r="ODJ41" s="424"/>
      <c r="ODK41" s="425"/>
      <c r="ODL41" s="424"/>
      <c r="ODM41" s="425"/>
      <c r="ODN41" s="424"/>
      <c r="ODO41" s="425"/>
      <c r="ODP41" s="424"/>
      <c r="ODQ41" s="425"/>
      <c r="ODR41" s="424"/>
      <c r="ODS41" s="425"/>
      <c r="ODT41" s="424"/>
      <c r="ODU41" s="425"/>
      <c r="ODV41" s="424"/>
      <c r="ODW41" s="425"/>
      <c r="ODX41" s="424"/>
      <c r="ODY41" s="425"/>
      <c r="ODZ41" s="424"/>
      <c r="OEA41" s="425"/>
      <c r="OEB41" s="424"/>
      <c r="OEC41" s="425"/>
      <c r="OED41" s="424"/>
      <c r="OEE41" s="425"/>
      <c r="OEF41" s="424"/>
      <c r="OEG41" s="425"/>
      <c r="OEH41" s="424"/>
      <c r="OEI41" s="425"/>
      <c r="OEJ41" s="424"/>
      <c r="OEK41" s="425"/>
      <c r="OEL41" s="424"/>
      <c r="OEM41" s="425"/>
      <c r="OEN41" s="424"/>
      <c r="OEO41" s="425"/>
      <c r="OEP41" s="424"/>
      <c r="OEQ41" s="425"/>
      <c r="OER41" s="424"/>
      <c r="OES41" s="425"/>
      <c r="OET41" s="424"/>
      <c r="OEU41" s="425"/>
      <c r="OEV41" s="424"/>
      <c r="OEW41" s="425"/>
      <c r="OEX41" s="424"/>
      <c r="OEY41" s="425"/>
      <c r="OEZ41" s="424"/>
      <c r="OFA41" s="425"/>
      <c r="OFB41" s="424"/>
      <c r="OFC41" s="425"/>
      <c r="OFD41" s="424"/>
      <c r="OFE41" s="425"/>
      <c r="OFF41" s="424"/>
      <c r="OFG41" s="425"/>
      <c r="OFH41" s="424"/>
      <c r="OFI41" s="425"/>
      <c r="OFJ41" s="424"/>
      <c r="OFK41" s="425"/>
      <c r="OFL41" s="424"/>
      <c r="OFM41" s="425"/>
      <c r="OFN41" s="424"/>
      <c r="OFO41" s="425"/>
      <c r="OFP41" s="424"/>
      <c r="OFQ41" s="425"/>
      <c r="OFR41" s="424"/>
      <c r="OFS41" s="425"/>
      <c r="OFT41" s="424"/>
      <c r="OFU41" s="425"/>
      <c r="OFV41" s="424"/>
      <c r="OFW41" s="425"/>
      <c r="OFX41" s="424"/>
      <c r="OFY41" s="425"/>
      <c r="OFZ41" s="424"/>
      <c r="OGA41" s="425"/>
      <c r="OGB41" s="424"/>
      <c r="OGC41" s="425"/>
      <c r="OGD41" s="424"/>
      <c r="OGE41" s="425"/>
      <c r="OGF41" s="424"/>
      <c r="OGG41" s="425"/>
      <c r="OGH41" s="424"/>
      <c r="OGI41" s="425"/>
      <c r="OGJ41" s="424"/>
      <c r="OGK41" s="425"/>
      <c r="OGL41" s="424"/>
      <c r="OGM41" s="425"/>
      <c r="OGN41" s="424"/>
      <c r="OGO41" s="425"/>
      <c r="OGP41" s="424"/>
      <c r="OGQ41" s="425"/>
      <c r="OGR41" s="424"/>
      <c r="OGS41" s="425"/>
      <c r="OGT41" s="424"/>
      <c r="OGU41" s="425"/>
      <c r="OGV41" s="424"/>
      <c r="OGW41" s="425"/>
      <c r="OGX41" s="424"/>
      <c r="OGY41" s="425"/>
      <c r="OGZ41" s="424"/>
      <c r="OHA41" s="425"/>
      <c r="OHB41" s="424"/>
      <c r="OHC41" s="425"/>
      <c r="OHD41" s="424"/>
      <c r="OHE41" s="425"/>
      <c r="OHF41" s="424"/>
      <c r="OHG41" s="425"/>
      <c r="OHH41" s="424"/>
      <c r="OHI41" s="425"/>
      <c r="OHJ41" s="424"/>
      <c r="OHK41" s="425"/>
      <c r="OHL41" s="424"/>
      <c r="OHM41" s="425"/>
      <c r="OHN41" s="424"/>
      <c r="OHO41" s="425"/>
      <c r="OHP41" s="424"/>
      <c r="OHQ41" s="425"/>
      <c r="OHR41" s="424"/>
      <c r="OHS41" s="425"/>
      <c r="OHT41" s="424"/>
      <c r="OHU41" s="425"/>
      <c r="OHV41" s="424"/>
      <c r="OHW41" s="425"/>
      <c r="OHX41" s="424"/>
      <c r="OHY41" s="425"/>
      <c r="OHZ41" s="424"/>
      <c r="OIA41" s="425"/>
      <c r="OIB41" s="424"/>
      <c r="OIC41" s="425"/>
      <c r="OID41" s="424"/>
      <c r="OIE41" s="425"/>
      <c r="OIF41" s="424"/>
      <c r="OIG41" s="425"/>
      <c r="OIH41" s="424"/>
      <c r="OII41" s="425"/>
      <c r="OIJ41" s="424"/>
      <c r="OIK41" s="425"/>
      <c r="OIL41" s="424"/>
      <c r="OIM41" s="425"/>
      <c r="OIN41" s="424"/>
      <c r="OIO41" s="425"/>
      <c r="OIP41" s="424"/>
      <c r="OIQ41" s="425"/>
      <c r="OIR41" s="424"/>
      <c r="OIS41" s="425"/>
      <c r="OIT41" s="424"/>
      <c r="OIU41" s="425"/>
      <c r="OIV41" s="424"/>
      <c r="OIW41" s="425"/>
      <c r="OIX41" s="424"/>
      <c r="OIY41" s="425"/>
      <c r="OIZ41" s="424"/>
      <c r="OJA41" s="425"/>
      <c r="OJB41" s="424"/>
      <c r="OJC41" s="425"/>
      <c r="OJD41" s="424"/>
      <c r="OJE41" s="425"/>
      <c r="OJF41" s="424"/>
      <c r="OJG41" s="425"/>
      <c r="OJH41" s="424"/>
      <c r="OJI41" s="425"/>
      <c r="OJJ41" s="424"/>
      <c r="OJK41" s="425"/>
      <c r="OJL41" s="424"/>
      <c r="OJM41" s="425"/>
      <c r="OJN41" s="424"/>
      <c r="OJO41" s="425"/>
      <c r="OJP41" s="424"/>
      <c r="OJQ41" s="425"/>
      <c r="OJR41" s="424"/>
      <c r="OJS41" s="425"/>
      <c r="OJT41" s="424"/>
      <c r="OJU41" s="425"/>
      <c r="OJV41" s="424"/>
      <c r="OJW41" s="425"/>
      <c r="OJX41" s="424"/>
      <c r="OJY41" s="425"/>
      <c r="OJZ41" s="424"/>
      <c r="OKA41" s="425"/>
      <c r="OKB41" s="424"/>
      <c r="OKC41" s="425"/>
      <c r="OKD41" s="424"/>
      <c r="OKE41" s="425"/>
      <c r="OKF41" s="424"/>
      <c r="OKG41" s="425"/>
      <c r="OKH41" s="424"/>
      <c r="OKI41" s="425"/>
      <c r="OKJ41" s="424"/>
      <c r="OKK41" s="425"/>
      <c r="OKL41" s="424"/>
      <c r="OKM41" s="425"/>
      <c r="OKN41" s="424"/>
      <c r="OKO41" s="425"/>
      <c r="OKP41" s="424"/>
      <c r="OKQ41" s="425"/>
      <c r="OKR41" s="424"/>
      <c r="OKS41" s="425"/>
      <c r="OKT41" s="424"/>
      <c r="OKU41" s="425"/>
      <c r="OKV41" s="424"/>
      <c r="OKW41" s="425"/>
      <c r="OKX41" s="424"/>
      <c r="OKY41" s="425"/>
      <c r="OKZ41" s="424"/>
      <c r="OLA41" s="425"/>
      <c r="OLB41" s="424"/>
      <c r="OLC41" s="425"/>
      <c r="OLD41" s="424"/>
      <c r="OLE41" s="425"/>
      <c r="OLF41" s="424"/>
      <c r="OLG41" s="425"/>
      <c r="OLH41" s="424"/>
      <c r="OLI41" s="425"/>
      <c r="OLJ41" s="424"/>
      <c r="OLK41" s="425"/>
      <c r="OLL41" s="424"/>
      <c r="OLM41" s="425"/>
      <c r="OLN41" s="424"/>
      <c r="OLO41" s="425"/>
      <c r="OLP41" s="424"/>
      <c r="OLQ41" s="425"/>
      <c r="OLR41" s="424"/>
      <c r="OLS41" s="425"/>
      <c r="OLT41" s="424"/>
      <c r="OLU41" s="425"/>
      <c r="OLV41" s="424"/>
      <c r="OLW41" s="425"/>
      <c r="OLX41" s="424"/>
      <c r="OLY41" s="425"/>
      <c r="OLZ41" s="424"/>
      <c r="OMA41" s="425"/>
      <c r="OMB41" s="424"/>
      <c r="OMC41" s="425"/>
      <c r="OMD41" s="424"/>
      <c r="OME41" s="425"/>
      <c r="OMF41" s="424"/>
      <c r="OMG41" s="425"/>
      <c r="OMH41" s="424"/>
      <c r="OMI41" s="425"/>
      <c r="OMJ41" s="424"/>
      <c r="OMK41" s="425"/>
      <c r="OML41" s="424"/>
      <c r="OMM41" s="425"/>
      <c r="OMN41" s="424"/>
      <c r="OMO41" s="425"/>
      <c r="OMP41" s="424"/>
      <c r="OMQ41" s="425"/>
      <c r="OMR41" s="424"/>
      <c r="OMS41" s="425"/>
      <c r="OMT41" s="424"/>
      <c r="OMU41" s="425"/>
      <c r="OMV41" s="424"/>
      <c r="OMW41" s="425"/>
      <c r="OMX41" s="424"/>
      <c r="OMY41" s="425"/>
      <c r="OMZ41" s="424"/>
      <c r="ONA41" s="425"/>
      <c r="ONB41" s="424"/>
      <c r="ONC41" s="425"/>
      <c r="OND41" s="424"/>
      <c r="ONE41" s="425"/>
      <c r="ONF41" s="424"/>
      <c r="ONG41" s="425"/>
      <c r="ONH41" s="424"/>
      <c r="ONI41" s="425"/>
      <c r="ONJ41" s="424"/>
      <c r="ONK41" s="425"/>
      <c r="ONL41" s="424"/>
      <c r="ONM41" s="425"/>
      <c r="ONN41" s="424"/>
      <c r="ONO41" s="425"/>
      <c r="ONP41" s="424"/>
      <c r="ONQ41" s="425"/>
      <c r="ONR41" s="424"/>
      <c r="ONS41" s="425"/>
      <c r="ONT41" s="424"/>
      <c r="ONU41" s="425"/>
      <c r="ONV41" s="424"/>
      <c r="ONW41" s="425"/>
      <c r="ONX41" s="424"/>
      <c r="ONY41" s="425"/>
      <c r="ONZ41" s="424"/>
      <c r="OOA41" s="425"/>
      <c r="OOB41" s="424"/>
      <c r="OOC41" s="425"/>
      <c r="OOD41" s="424"/>
      <c r="OOE41" s="425"/>
      <c r="OOF41" s="424"/>
      <c r="OOG41" s="425"/>
      <c r="OOH41" s="424"/>
      <c r="OOI41" s="425"/>
      <c r="OOJ41" s="424"/>
      <c r="OOK41" s="425"/>
      <c r="OOL41" s="424"/>
      <c r="OOM41" s="425"/>
      <c r="OON41" s="424"/>
      <c r="OOO41" s="425"/>
      <c r="OOP41" s="424"/>
      <c r="OOQ41" s="425"/>
      <c r="OOR41" s="424"/>
      <c r="OOS41" s="425"/>
      <c r="OOT41" s="424"/>
      <c r="OOU41" s="425"/>
      <c r="OOV41" s="424"/>
      <c r="OOW41" s="425"/>
      <c r="OOX41" s="424"/>
      <c r="OOY41" s="425"/>
      <c r="OOZ41" s="424"/>
      <c r="OPA41" s="425"/>
      <c r="OPB41" s="424"/>
      <c r="OPC41" s="425"/>
      <c r="OPD41" s="424"/>
      <c r="OPE41" s="425"/>
      <c r="OPF41" s="424"/>
      <c r="OPG41" s="425"/>
      <c r="OPH41" s="424"/>
      <c r="OPI41" s="425"/>
      <c r="OPJ41" s="424"/>
      <c r="OPK41" s="425"/>
      <c r="OPL41" s="424"/>
      <c r="OPM41" s="425"/>
      <c r="OPN41" s="424"/>
      <c r="OPO41" s="425"/>
      <c r="OPP41" s="424"/>
      <c r="OPQ41" s="425"/>
      <c r="OPR41" s="424"/>
      <c r="OPS41" s="425"/>
      <c r="OPT41" s="424"/>
      <c r="OPU41" s="425"/>
      <c r="OPV41" s="424"/>
      <c r="OPW41" s="425"/>
      <c r="OPX41" s="424"/>
      <c r="OPY41" s="425"/>
      <c r="OPZ41" s="424"/>
      <c r="OQA41" s="425"/>
      <c r="OQB41" s="424"/>
      <c r="OQC41" s="425"/>
      <c r="OQD41" s="424"/>
      <c r="OQE41" s="425"/>
      <c r="OQF41" s="424"/>
      <c r="OQG41" s="425"/>
      <c r="OQH41" s="424"/>
      <c r="OQI41" s="425"/>
      <c r="OQJ41" s="424"/>
      <c r="OQK41" s="425"/>
      <c r="OQL41" s="424"/>
      <c r="OQM41" s="425"/>
      <c r="OQN41" s="424"/>
      <c r="OQO41" s="425"/>
      <c r="OQP41" s="424"/>
      <c r="OQQ41" s="425"/>
      <c r="OQR41" s="424"/>
      <c r="OQS41" s="425"/>
      <c r="OQT41" s="424"/>
      <c r="OQU41" s="425"/>
      <c r="OQV41" s="424"/>
      <c r="OQW41" s="425"/>
      <c r="OQX41" s="424"/>
      <c r="OQY41" s="425"/>
      <c r="OQZ41" s="424"/>
      <c r="ORA41" s="425"/>
      <c r="ORB41" s="424"/>
      <c r="ORC41" s="425"/>
      <c r="ORD41" s="424"/>
      <c r="ORE41" s="425"/>
      <c r="ORF41" s="424"/>
      <c r="ORG41" s="425"/>
      <c r="ORH41" s="424"/>
      <c r="ORI41" s="425"/>
      <c r="ORJ41" s="424"/>
      <c r="ORK41" s="425"/>
      <c r="ORL41" s="424"/>
      <c r="ORM41" s="425"/>
      <c r="ORN41" s="424"/>
      <c r="ORO41" s="425"/>
      <c r="ORP41" s="424"/>
      <c r="ORQ41" s="425"/>
      <c r="ORR41" s="424"/>
      <c r="ORS41" s="425"/>
      <c r="ORT41" s="424"/>
      <c r="ORU41" s="425"/>
      <c r="ORV41" s="424"/>
      <c r="ORW41" s="425"/>
      <c r="ORX41" s="424"/>
      <c r="ORY41" s="425"/>
      <c r="ORZ41" s="424"/>
      <c r="OSA41" s="425"/>
      <c r="OSB41" s="424"/>
      <c r="OSC41" s="425"/>
      <c r="OSD41" s="424"/>
      <c r="OSE41" s="425"/>
      <c r="OSF41" s="424"/>
      <c r="OSG41" s="425"/>
      <c r="OSH41" s="424"/>
      <c r="OSI41" s="425"/>
      <c r="OSJ41" s="424"/>
      <c r="OSK41" s="425"/>
      <c r="OSL41" s="424"/>
      <c r="OSM41" s="425"/>
      <c r="OSN41" s="424"/>
      <c r="OSO41" s="425"/>
      <c r="OSP41" s="424"/>
      <c r="OSQ41" s="425"/>
      <c r="OSR41" s="424"/>
      <c r="OSS41" s="425"/>
      <c r="OST41" s="424"/>
      <c r="OSU41" s="425"/>
      <c r="OSV41" s="424"/>
      <c r="OSW41" s="425"/>
      <c r="OSX41" s="424"/>
      <c r="OSY41" s="425"/>
      <c r="OSZ41" s="424"/>
      <c r="OTA41" s="425"/>
      <c r="OTB41" s="424"/>
      <c r="OTC41" s="425"/>
      <c r="OTD41" s="424"/>
      <c r="OTE41" s="425"/>
      <c r="OTF41" s="424"/>
      <c r="OTG41" s="425"/>
      <c r="OTH41" s="424"/>
      <c r="OTI41" s="425"/>
      <c r="OTJ41" s="424"/>
      <c r="OTK41" s="425"/>
      <c r="OTL41" s="424"/>
      <c r="OTM41" s="425"/>
      <c r="OTN41" s="424"/>
      <c r="OTO41" s="425"/>
      <c r="OTP41" s="424"/>
      <c r="OTQ41" s="425"/>
      <c r="OTR41" s="424"/>
      <c r="OTS41" s="425"/>
      <c r="OTT41" s="424"/>
      <c r="OTU41" s="425"/>
      <c r="OTV41" s="424"/>
      <c r="OTW41" s="425"/>
      <c r="OTX41" s="424"/>
      <c r="OTY41" s="425"/>
      <c r="OTZ41" s="424"/>
      <c r="OUA41" s="425"/>
      <c r="OUB41" s="424"/>
      <c r="OUC41" s="425"/>
      <c r="OUD41" s="424"/>
      <c r="OUE41" s="425"/>
      <c r="OUF41" s="424"/>
      <c r="OUG41" s="425"/>
      <c r="OUH41" s="424"/>
      <c r="OUI41" s="425"/>
      <c r="OUJ41" s="424"/>
      <c r="OUK41" s="425"/>
      <c r="OUL41" s="424"/>
      <c r="OUM41" s="425"/>
      <c r="OUN41" s="424"/>
      <c r="OUO41" s="425"/>
      <c r="OUP41" s="424"/>
      <c r="OUQ41" s="425"/>
      <c r="OUR41" s="424"/>
      <c r="OUS41" s="425"/>
      <c r="OUT41" s="424"/>
      <c r="OUU41" s="425"/>
      <c r="OUV41" s="424"/>
      <c r="OUW41" s="425"/>
      <c r="OUX41" s="424"/>
      <c r="OUY41" s="425"/>
      <c r="OUZ41" s="424"/>
      <c r="OVA41" s="425"/>
      <c r="OVB41" s="424"/>
      <c r="OVC41" s="425"/>
      <c r="OVD41" s="424"/>
      <c r="OVE41" s="425"/>
      <c r="OVF41" s="424"/>
      <c r="OVG41" s="425"/>
      <c r="OVH41" s="424"/>
      <c r="OVI41" s="425"/>
      <c r="OVJ41" s="424"/>
      <c r="OVK41" s="425"/>
      <c r="OVL41" s="424"/>
      <c r="OVM41" s="425"/>
      <c r="OVN41" s="424"/>
      <c r="OVO41" s="425"/>
      <c r="OVP41" s="424"/>
      <c r="OVQ41" s="425"/>
      <c r="OVR41" s="424"/>
      <c r="OVS41" s="425"/>
      <c r="OVT41" s="424"/>
      <c r="OVU41" s="425"/>
      <c r="OVV41" s="424"/>
      <c r="OVW41" s="425"/>
      <c r="OVX41" s="424"/>
      <c r="OVY41" s="425"/>
      <c r="OVZ41" s="424"/>
      <c r="OWA41" s="425"/>
      <c r="OWB41" s="424"/>
      <c r="OWC41" s="425"/>
      <c r="OWD41" s="424"/>
      <c r="OWE41" s="425"/>
      <c r="OWF41" s="424"/>
      <c r="OWG41" s="425"/>
      <c r="OWH41" s="424"/>
      <c r="OWI41" s="425"/>
      <c r="OWJ41" s="424"/>
      <c r="OWK41" s="425"/>
      <c r="OWL41" s="424"/>
      <c r="OWM41" s="425"/>
      <c r="OWN41" s="424"/>
      <c r="OWO41" s="425"/>
      <c r="OWP41" s="424"/>
      <c r="OWQ41" s="425"/>
      <c r="OWR41" s="424"/>
      <c r="OWS41" s="425"/>
      <c r="OWT41" s="424"/>
      <c r="OWU41" s="425"/>
      <c r="OWV41" s="424"/>
      <c r="OWW41" s="425"/>
      <c r="OWX41" s="424"/>
      <c r="OWY41" s="425"/>
      <c r="OWZ41" s="424"/>
      <c r="OXA41" s="425"/>
      <c r="OXB41" s="424"/>
      <c r="OXC41" s="425"/>
      <c r="OXD41" s="424"/>
      <c r="OXE41" s="425"/>
      <c r="OXF41" s="424"/>
      <c r="OXG41" s="425"/>
      <c r="OXH41" s="424"/>
      <c r="OXI41" s="425"/>
      <c r="OXJ41" s="424"/>
      <c r="OXK41" s="425"/>
      <c r="OXL41" s="424"/>
      <c r="OXM41" s="425"/>
      <c r="OXN41" s="424"/>
      <c r="OXO41" s="425"/>
      <c r="OXP41" s="424"/>
      <c r="OXQ41" s="425"/>
      <c r="OXR41" s="424"/>
      <c r="OXS41" s="425"/>
      <c r="OXT41" s="424"/>
      <c r="OXU41" s="425"/>
      <c r="OXV41" s="424"/>
      <c r="OXW41" s="425"/>
      <c r="OXX41" s="424"/>
      <c r="OXY41" s="425"/>
      <c r="OXZ41" s="424"/>
      <c r="OYA41" s="425"/>
      <c r="OYB41" s="424"/>
      <c r="OYC41" s="425"/>
      <c r="OYD41" s="424"/>
      <c r="OYE41" s="425"/>
      <c r="OYF41" s="424"/>
      <c r="OYG41" s="425"/>
      <c r="OYH41" s="424"/>
      <c r="OYI41" s="425"/>
      <c r="OYJ41" s="424"/>
      <c r="OYK41" s="425"/>
      <c r="OYL41" s="424"/>
      <c r="OYM41" s="425"/>
      <c r="OYN41" s="424"/>
      <c r="OYO41" s="425"/>
      <c r="OYP41" s="424"/>
      <c r="OYQ41" s="425"/>
      <c r="OYR41" s="424"/>
      <c r="OYS41" s="425"/>
      <c r="OYT41" s="424"/>
      <c r="OYU41" s="425"/>
      <c r="OYV41" s="424"/>
      <c r="OYW41" s="425"/>
      <c r="OYX41" s="424"/>
      <c r="OYY41" s="425"/>
      <c r="OYZ41" s="424"/>
      <c r="OZA41" s="425"/>
      <c r="OZB41" s="424"/>
      <c r="OZC41" s="425"/>
      <c r="OZD41" s="424"/>
      <c r="OZE41" s="425"/>
      <c r="OZF41" s="424"/>
      <c r="OZG41" s="425"/>
      <c r="OZH41" s="424"/>
      <c r="OZI41" s="425"/>
      <c r="OZJ41" s="424"/>
      <c r="OZK41" s="425"/>
      <c r="OZL41" s="424"/>
      <c r="OZM41" s="425"/>
      <c r="OZN41" s="424"/>
      <c r="OZO41" s="425"/>
      <c r="OZP41" s="424"/>
      <c r="OZQ41" s="425"/>
      <c r="OZR41" s="424"/>
      <c r="OZS41" s="425"/>
      <c r="OZT41" s="424"/>
      <c r="OZU41" s="425"/>
      <c r="OZV41" s="424"/>
      <c r="OZW41" s="425"/>
      <c r="OZX41" s="424"/>
      <c r="OZY41" s="425"/>
      <c r="OZZ41" s="424"/>
      <c r="PAA41" s="425"/>
      <c r="PAB41" s="424"/>
      <c r="PAC41" s="425"/>
      <c r="PAD41" s="424"/>
      <c r="PAE41" s="425"/>
      <c r="PAF41" s="424"/>
      <c r="PAG41" s="425"/>
      <c r="PAH41" s="424"/>
      <c r="PAI41" s="425"/>
      <c r="PAJ41" s="424"/>
      <c r="PAK41" s="425"/>
      <c r="PAL41" s="424"/>
      <c r="PAM41" s="425"/>
      <c r="PAN41" s="424"/>
      <c r="PAO41" s="425"/>
      <c r="PAP41" s="424"/>
      <c r="PAQ41" s="425"/>
      <c r="PAR41" s="424"/>
      <c r="PAS41" s="425"/>
      <c r="PAT41" s="424"/>
      <c r="PAU41" s="425"/>
      <c r="PAV41" s="424"/>
      <c r="PAW41" s="425"/>
      <c r="PAX41" s="424"/>
      <c r="PAY41" s="425"/>
      <c r="PAZ41" s="424"/>
      <c r="PBA41" s="425"/>
      <c r="PBB41" s="424"/>
      <c r="PBC41" s="425"/>
      <c r="PBD41" s="424"/>
      <c r="PBE41" s="425"/>
      <c r="PBF41" s="424"/>
      <c r="PBG41" s="425"/>
      <c r="PBH41" s="424"/>
      <c r="PBI41" s="425"/>
      <c r="PBJ41" s="424"/>
      <c r="PBK41" s="425"/>
      <c r="PBL41" s="424"/>
      <c r="PBM41" s="425"/>
      <c r="PBN41" s="424"/>
      <c r="PBO41" s="425"/>
      <c r="PBP41" s="424"/>
      <c r="PBQ41" s="425"/>
      <c r="PBR41" s="424"/>
      <c r="PBS41" s="425"/>
      <c r="PBT41" s="424"/>
      <c r="PBU41" s="425"/>
      <c r="PBV41" s="424"/>
      <c r="PBW41" s="425"/>
      <c r="PBX41" s="424"/>
      <c r="PBY41" s="425"/>
      <c r="PBZ41" s="424"/>
      <c r="PCA41" s="425"/>
      <c r="PCB41" s="424"/>
      <c r="PCC41" s="425"/>
      <c r="PCD41" s="424"/>
      <c r="PCE41" s="425"/>
      <c r="PCF41" s="424"/>
      <c r="PCG41" s="425"/>
      <c r="PCH41" s="424"/>
      <c r="PCI41" s="425"/>
      <c r="PCJ41" s="424"/>
      <c r="PCK41" s="425"/>
      <c r="PCL41" s="424"/>
      <c r="PCM41" s="425"/>
      <c r="PCN41" s="424"/>
      <c r="PCO41" s="425"/>
      <c r="PCP41" s="424"/>
      <c r="PCQ41" s="425"/>
      <c r="PCR41" s="424"/>
      <c r="PCS41" s="425"/>
      <c r="PCT41" s="424"/>
      <c r="PCU41" s="425"/>
      <c r="PCV41" s="424"/>
      <c r="PCW41" s="425"/>
      <c r="PCX41" s="424"/>
      <c r="PCY41" s="425"/>
      <c r="PCZ41" s="424"/>
      <c r="PDA41" s="425"/>
      <c r="PDB41" s="424"/>
      <c r="PDC41" s="425"/>
      <c r="PDD41" s="424"/>
      <c r="PDE41" s="425"/>
      <c r="PDF41" s="424"/>
      <c r="PDG41" s="425"/>
      <c r="PDH41" s="424"/>
      <c r="PDI41" s="425"/>
      <c r="PDJ41" s="424"/>
      <c r="PDK41" s="425"/>
      <c r="PDL41" s="424"/>
      <c r="PDM41" s="425"/>
      <c r="PDN41" s="424"/>
      <c r="PDO41" s="425"/>
      <c r="PDP41" s="424"/>
      <c r="PDQ41" s="425"/>
      <c r="PDR41" s="424"/>
      <c r="PDS41" s="425"/>
      <c r="PDT41" s="424"/>
      <c r="PDU41" s="425"/>
      <c r="PDV41" s="424"/>
      <c r="PDW41" s="425"/>
      <c r="PDX41" s="424"/>
      <c r="PDY41" s="425"/>
      <c r="PDZ41" s="424"/>
      <c r="PEA41" s="425"/>
      <c r="PEB41" s="424"/>
      <c r="PEC41" s="425"/>
      <c r="PED41" s="424"/>
      <c r="PEE41" s="425"/>
      <c r="PEF41" s="424"/>
      <c r="PEG41" s="425"/>
      <c r="PEH41" s="424"/>
      <c r="PEI41" s="425"/>
      <c r="PEJ41" s="424"/>
      <c r="PEK41" s="425"/>
      <c r="PEL41" s="424"/>
      <c r="PEM41" s="425"/>
      <c r="PEN41" s="424"/>
      <c r="PEO41" s="425"/>
      <c r="PEP41" s="424"/>
      <c r="PEQ41" s="425"/>
      <c r="PER41" s="424"/>
      <c r="PES41" s="425"/>
      <c r="PET41" s="424"/>
      <c r="PEU41" s="425"/>
      <c r="PEV41" s="424"/>
      <c r="PEW41" s="425"/>
      <c r="PEX41" s="424"/>
      <c r="PEY41" s="425"/>
      <c r="PEZ41" s="424"/>
      <c r="PFA41" s="425"/>
      <c r="PFB41" s="424"/>
      <c r="PFC41" s="425"/>
      <c r="PFD41" s="424"/>
      <c r="PFE41" s="425"/>
      <c r="PFF41" s="424"/>
      <c r="PFG41" s="425"/>
      <c r="PFH41" s="424"/>
      <c r="PFI41" s="425"/>
      <c r="PFJ41" s="424"/>
      <c r="PFK41" s="425"/>
      <c r="PFL41" s="424"/>
      <c r="PFM41" s="425"/>
      <c r="PFN41" s="424"/>
      <c r="PFO41" s="425"/>
      <c r="PFP41" s="424"/>
      <c r="PFQ41" s="425"/>
      <c r="PFR41" s="424"/>
      <c r="PFS41" s="425"/>
      <c r="PFT41" s="424"/>
      <c r="PFU41" s="425"/>
      <c r="PFV41" s="424"/>
      <c r="PFW41" s="425"/>
      <c r="PFX41" s="424"/>
      <c r="PFY41" s="425"/>
      <c r="PFZ41" s="424"/>
      <c r="PGA41" s="425"/>
      <c r="PGB41" s="424"/>
      <c r="PGC41" s="425"/>
      <c r="PGD41" s="424"/>
      <c r="PGE41" s="425"/>
      <c r="PGF41" s="424"/>
      <c r="PGG41" s="425"/>
      <c r="PGH41" s="424"/>
      <c r="PGI41" s="425"/>
      <c r="PGJ41" s="424"/>
      <c r="PGK41" s="425"/>
      <c r="PGL41" s="424"/>
      <c r="PGM41" s="425"/>
      <c r="PGN41" s="424"/>
      <c r="PGO41" s="425"/>
      <c r="PGP41" s="424"/>
      <c r="PGQ41" s="425"/>
      <c r="PGR41" s="424"/>
      <c r="PGS41" s="425"/>
      <c r="PGT41" s="424"/>
      <c r="PGU41" s="425"/>
      <c r="PGV41" s="424"/>
      <c r="PGW41" s="425"/>
      <c r="PGX41" s="424"/>
      <c r="PGY41" s="425"/>
      <c r="PGZ41" s="424"/>
      <c r="PHA41" s="425"/>
      <c r="PHB41" s="424"/>
      <c r="PHC41" s="425"/>
      <c r="PHD41" s="424"/>
      <c r="PHE41" s="425"/>
      <c r="PHF41" s="424"/>
      <c r="PHG41" s="425"/>
      <c r="PHH41" s="424"/>
      <c r="PHI41" s="425"/>
      <c r="PHJ41" s="424"/>
      <c r="PHK41" s="425"/>
      <c r="PHL41" s="424"/>
      <c r="PHM41" s="425"/>
      <c r="PHN41" s="424"/>
      <c r="PHO41" s="425"/>
      <c r="PHP41" s="424"/>
      <c r="PHQ41" s="425"/>
      <c r="PHR41" s="424"/>
      <c r="PHS41" s="425"/>
      <c r="PHT41" s="424"/>
      <c r="PHU41" s="425"/>
      <c r="PHV41" s="424"/>
      <c r="PHW41" s="425"/>
      <c r="PHX41" s="424"/>
      <c r="PHY41" s="425"/>
      <c r="PHZ41" s="424"/>
      <c r="PIA41" s="425"/>
      <c r="PIB41" s="424"/>
      <c r="PIC41" s="425"/>
      <c r="PID41" s="424"/>
      <c r="PIE41" s="425"/>
      <c r="PIF41" s="424"/>
      <c r="PIG41" s="425"/>
      <c r="PIH41" s="424"/>
      <c r="PII41" s="425"/>
      <c r="PIJ41" s="424"/>
      <c r="PIK41" s="425"/>
      <c r="PIL41" s="424"/>
      <c r="PIM41" s="425"/>
      <c r="PIN41" s="424"/>
      <c r="PIO41" s="425"/>
      <c r="PIP41" s="424"/>
      <c r="PIQ41" s="425"/>
      <c r="PIR41" s="424"/>
      <c r="PIS41" s="425"/>
      <c r="PIT41" s="424"/>
      <c r="PIU41" s="425"/>
      <c r="PIV41" s="424"/>
      <c r="PIW41" s="425"/>
      <c r="PIX41" s="424"/>
      <c r="PIY41" s="425"/>
      <c r="PIZ41" s="424"/>
      <c r="PJA41" s="425"/>
      <c r="PJB41" s="424"/>
      <c r="PJC41" s="425"/>
      <c r="PJD41" s="424"/>
      <c r="PJE41" s="425"/>
      <c r="PJF41" s="424"/>
      <c r="PJG41" s="425"/>
      <c r="PJH41" s="424"/>
      <c r="PJI41" s="425"/>
      <c r="PJJ41" s="424"/>
      <c r="PJK41" s="425"/>
      <c r="PJL41" s="424"/>
      <c r="PJM41" s="425"/>
      <c r="PJN41" s="424"/>
      <c r="PJO41" s="425"/>
      <c r="PJP41" s="424"/>
      <c r="PJQ41" s="425"/>
      <c r="PJR41" s="424"/>
      <c r="PJS41" s="425"/>
      <c r="PJT41" s="424"/>
      <c r="PJU41" s="425"/>
      <c r="PJV41" s="424"/>
      <c r="PJW41" s="425"/>
      <c r="PJX41" s="424"/>
      <c r="PJY41" s="425"/>
      <c r="PJZ41" s="424"/>
      <c r="PKA41" s="425"/>
      <c r="PKB41" s="424"/>
      <c r="PKC41" s="425"/>
      <c r="PKD41" s="424"/>
      <c r="PKE41" s="425"/>
      <c r="PKF41" s="424"/>
      <c r="PKG41" s="425"/>
      <c r="PKH41" s="424"/>
      <c r="PKI41" s="425"/>
      <c r="PKJ41" s="424"/>
      <c r="PKK41" s="425"/>
      <c r="PKL41" s="424"/>
      <c r="PKM41" s="425"/>
      <c r="PKN41" s="424"/>
      <c r="PKO41" s="425"/>
      <c r="PKP41" s="424"/>
      <c r="PKQ41" s="425"/>
      <c r="PKR41" s="424"/>
      <c r="PKS41" s="425"/>
      <c r="PKT41" s="424"/>
      <c r="PKU41" s="425"/>
      <c r="PKV41" s="424"/>
      <c r="PKW41" s="425"/>
      <c r="PKX41" s="424"/>
      <c r="PKY41" s="425"/>
      <c r="PKZ41" s="424"/>
      <c r="PLA41" s="425"/>
      <c r="PLB41" s="424"/>
      <c r="PLC41" s="425"/>
      <c r="PLD41" s="424"/>
      <c r="PLE41" s="425"/>
      <c r="PLF41" s="424"/>
      <c r="PLG41" s="425"/>
      <c r="PLH41" s="424"/>
      <c r="PLI41" s="425"/>
      <c r="PLJ41" s="424"/>
      <c r="PLK41" s="425"/>
      <c r="PLL41" s="424"/>
      <c r="PLM41" s="425"/>
      <c r="PLN41" s="424"/>
      <c r="PLO41" s="425"/>
      <c r="PLP41" s="424"/>
      <c r="PLQ41" s="425"/>
      <c r="PLR41" s="424"/>
      <c r="PLS41" s="425"/>
      <c r="PLT41" s="424"/>
      <c r="PLU41" s="425"/>
      <c r="PLV41" s="424"/>
      <c r="PLW41" s="425"/>
      <c r="PLX41" s="424"/>
      <c r="PLY41" s="425"/>
      <c r="PLZ41" s="424"/>
      <c r="PMA41" s="425"/>
      <c r="PMB41" s="424"/>
      <c r="PMC41" s="425"/>
      <c r="PMD41" s="424"/>
      <c r="PME41" s="425"/>
      <c r="PMF41" s="424"/>
      <c r="PMG41" s="425"/>
      <c r="PMH41" s="424"/>
      <c r="PMI41" s="425"/>
      <c r="PMJ41" s="424"/>
      <c r="PMK41" s="425"/>
      <c r="PML41" s="424"/>
      <c r="PMM41" s="425"/>
      <c r="PMN41" s="424"/>
      <c r="PMO41" s="425"/>
      <c r="PMP41" s="424"/>
      <c r="PMQ41" s="425"/>
      <c r="PMR41" s="424"/>
      <c r="PMS41" s="425"/>
      <c r="PMT41" s="424"/>
      <c r="PMU41" s="425"/>
      <c r="PMV41" s="424"/>
      <c r="PMW41" s="425"/>
      <c r="PMX41" s="424"/>
      <c r="PMY41" s="425"/>
      <c r="PMZ41" s="424"/>
      <c r="PNA41" s="425"/>
      <c r="PNB41" s="424"/>
      <c r="PNC41" s="425"/>
      <c r="PND41" s="424"/>
      <c r="PNE41" s="425"/>
      <c r="PNF41" s="424"/>
      <c r="PNG41" s="425"/>
      <c r="PNH41" s="424"/>
      <c r="PNI41" s="425"/>
      <c r="PNJ41" s="424"/>
      <c r="PNK41" s="425"/>
      <c r="PNL41" s="424"/>
      <c r="PNM41" s="425"/>
      <c r="PNN41" s="424"/>
      <c r="PNO41" s="425"/>
      <c r="PNP41" s="424"/>
      <c r="PNQ41" s="425"/>
      <c r="PNR41" s="424"/>
      <c r="PNS41" s="425"/>
      <c r="PNT41" s="424"/>
      <c r="PNU41" s="425"/>
      <c r="PNV41" s="424"/>
      <c r="PNW41" s="425"/>
      <c r="PNX41" s="424"/>
      <c r="PNY41" s="425"/>
      <c r="PNZ41" s="424"/>
      <c r="POA41" s="425"/>
      <c r="POB41" s="424"/>
      <c r="POC41" s="425"/>
      <c r="POD41" s="424"/>
      <c r="POE41" s="425"/>
      <c r="POF41" s="424"/>
      <c r="POG41" s="425"/>
      <c r="POH41" s="424"/>
      <c r="POI41" s="425"/>
      <c r="POJ41" s="424"/>
      <c r="POK41" s="425"/>
      <c r="POL41" s="424"/>
      <c r="POM41" s="425"/>
      <c r="PON41" s="424"/>
      <c r="POO41" s="425"/>
      <c r="POP41" s="424"/>
      <c r="POQ41" s="425"/>
      <c r="POR41" s="424"/>
      <c r="POS41" s="425"/>
      <c r="POT41" s="424"/>
      <c r="POU41" s="425"/>
      <c r="POV41" s="424"/>
      <c r="POW41" s="425"/>
      <c r="POX41" s="424"/>
      <c r="POY41" s="425"/>
      <c r="POZ41" s="424"/>
      <c r="PPA41" s="425"/>
      <c r="PPB41" s="424"/>
      <c r="PPC41" s="425"/>
      <c r="PPD41" s="424"/>
      <c r="PPE41" s="425"/>
      <c r="PPF41" s="424"/>
      <c r="PPG41" s="425"/>
      <c r="PPH41" s="424"/>
      <c r="PPI41" s="425"/>
      <c r="PPJ41" s="424"/>
      <c r="PPK41" s="425"/>
      <c r="PPL41" s="424"/>
      <c r="PPM41" s="425"/>
      <c r="PPN41" s="424"/>
      <c r="PPO41" s="425"/>
      <c r="PPP41" s="424"/>
      <c r="PPQ41" s="425"/>
      <c r="PPR41" s="424"/>
      <c r="PPS41" s="425"/>
      <c r="PPT41" s="424"/>
      <c r="PPU41" s="425"/>
      <c r="PPV41" s="424"/>
      <c r="PPW41" s="425"/>
      <c r="PPX41" s="424"/>
      <c r="PPY41" s="425"/>
      <c r="PPZ41" s="424"/>
      <c r="PQA41" s="425"/>
      <c r="PQB41" s="424"/>
      <c r="PQC41" s="425"/>
      <c r="PQD41" s="424"/>
      <c r="PQE41" s="425"/>
      <c r="PQF41" s="424"/>
      <c r="PQG41" s="425"/>
      <c r="PQH41" s="424"/>
      <c r="PQI41" s="425"/>
      <c r="PQJ41" s="424"/>
      <c r="PQK41" s="425"/>
      <c r="PQL41" s="424"/>
      <c r="PQM41" s="425"/>
      <c r="PQN41" s="424"/>
      <c r="PQO41" s="425"/>
      <c r="PQP41" s="424"/>
      <c r="PQQ41" s="425"/>
      <c r="PQR41" s="424"/>
      <c r="PQS41" s="425"/>
      <c r="PQT41" s="424"/>
      <c r="PQU41" s="425"/>
      <c r="PQV41" s="424"/>
      <c r="PQW41" s="425"/>
      <c r="PQX41" s="424"/>
      <c r="PQY41" s="425"/>
      <c r="PQZ41" s="424"/>
      <c r="PRA41" s="425"/>
      <c r="PRB41" s="424"/>
      <c r="PRC41" s="425"/>
      <c r="PRD41" s="424"/>
      <c r="PRE41" s="425"/>
      <c r="PRF41" s="424"/>
      <c r="PRG41" s="425"/>
      <c r="PRH41" s="424"/>
      <c r="PRI41" s="425"/>
      <c r="PRJ41" s="424"/>
      <c r="PRK41" s="425"/>
      <c r="PRL41" s="424"/>
      <c r="PRM41" s="425"/>
      <c r="PRN41" s="424"/>
      <c r="PRO41" s="425"/>
      <c r="PRP41" s="424"/>
      <c r="PRQ41" s="425"/>
      <c r="PRR41" s="424"/>
      <c r="PRS41" s="425"/>
      <c r="PRT41" s="424"/>
      <c r="PRU41" s="425"/>
      <c r="PRV41" s="424"/>
      <c r="PRW41" s="425"/>
      <c r="PRX41" s="424"/>
      <c r="PRY41" s="425"/>
      <c r="PRZ41" s="424"/>
      <c r="PSA41" s="425"/>
      <c r="PSB41" s="424"/>
      <c r="PSC41" s="425"/>
      <c r="PSD41" s="424"/>
      <c r="PSE41" s="425"/>
      <c r="PSF41" s="424"/>
      <c r="PSG41" s="425"/>
      <c r="PSH41" s="424"/>
      <c r="PSI41" s="425"/>
      <c r="PSJ41" s="424"/>
      <c r="PSK41" s="425"/>
      <c r="PSL41" s="424"/>
      <c r="PSM41" s="425"/>
      <c r="PSN41" s="424"/>
      <c r="PSO41" s="425"/>
      <c r="PSP41" s="424"/>
      <c r="PSQ41" s="425"/>
      <c r="PSR41" s="424"/>
      <c r="PSS41" s="425"/>
      <c r="PST41" s="424"/>
      <c r="PSU41" s="425"/>
      <c r="PSV41" s="424"/>
      <c r="PSW41" s="425"/>
      <c r="PSX41" s="424"/>
      <c r="PSY41" s="425"/>
      <c r="PSZ41" s="424"/>
      <c r="PTA41" s="425"/>
      <c r="PTB41" s="424"/>
      <c r="PTC41" s="425"/>
      <c r="PTD41" s="424"/>
      <c r="PTE41" s="425"/>
      <c r="PTF41" s="424"/>
      <c r="PTG41" s="425"/>
      <c r="PTH41" s="424"/>
      <c r="PTI41" s="425"/>
      <c r="PTJ41" s="424"/>
      <c r="PTK41" s="425"/>
      <c r="PTL41" s="424"/>
      <c r="PTM41" s="425"/>
      <c r="PTN41" s="424"/>
      <c r="PTO41" s="425"/>
      <c r="PTP41" s="424"/>
      <c r="PTQ41" s="425"/>
      <c r="PTR41" s="424"/>
      <c r="PTS41" s="425"/>
      <c r="PTT41" s="424"/>
      <c r="PTU41" s="425"/>
      <c r="PTV41" s="424"/>
      <c r="PTW41" s="425"/>
      <c r="PTX41" s="424"/>
      <c r="PTY41" s="425"/>
      <c r="PTZ41" s="424"/>
      <c r="PUA41" s="425"/>
      <c r="PUB41" s="424"/>
      <c r="PUC41" s="425"/>
      <c r="PUD41" s="424"/>
      <c r="PUE41" s="425"/>
      <c r="PUF41" s="424"/>
      <c r="PUG41" s="425"/>
      <c r="PUH41" s="424"/>
      <c r="PUI41" s="425"/>
      <c r="PUJ41" s="424"/>
      <c r="PUK41" s="425"/>
      <c r="PUL41" s="424"/>
      <c r="PUM41" s="425"/>
      <c r="PUN41" s="424"/>
      <c r="PUO41" s="425"/>
      <c r="PUP41" s="424"/>
      <c r="PUQ41" s="425"/>
      <c r="PUR41" s="424"/>
      <c r="PUS41" s="425"/>
      <c r="PUT41" s="424"/>
      <c r="PUU41" s="425"/>
      <c r="PUV41" s="424"/>
      <c r="PUW41" s="425"/>
      <c r="PUX41" s="424"/>
      <c r="PUY41" s="425"/>
      <c r="PUZ41" s="424"/>
      <c r="PVA41" s="425"/>
      <c r="PVB41" s="424"/>
      <c r="PVC41" s="425"/>
      <c r="PVD41" s="424"/>
      <c r="PVE41" s="425"/>
      <c r="PVF41" s="424"/>
      <c r="PVG41" s="425"/>
      <c r="PVH41" s="424"/>
      <c r="PVI41" s="425"/>
      <c r="PVJ41" s="424"/>
      <c r="PVK41" s="425"/>
      <c r="PVL41" s="424"/>
      <c r="PVM41" s="425"/>
      <c r="PVN41" s="424"/>
      <c r="PVO41" s="425"/>
      <c r="PVP41" s="424"/>
      <c r="PVQ41" s="425"/>
      <c r="PVR41" s="424"/>
      <c r="PVS41" s="425"/>
      <c r="PVT41" s="424"/>
      <c r="PVU41" s="425"/>
      <c r="PVV41" s="424"/>
      <c r="PVW41" s="425"/>
      <c r="PVX41" s="424"/>
      <c r="PVY41" s="425"/>
      <c r="PVZ41" s="424"/>
      <c r="PWA41" s="425"/>
      <c r="PWB41" s="424"/>
      <c r="PWC41" s="425"/>
      <c r="PWD41" s="424"/>
      <c r="PWE41" s="425"/>
      <c r="PWF41" s="424"/>
      <c r="PWG41" s="425"/>
      <c r="PWH41" s="424"/>
      <c r="PWI41" s="425"/>
      <c r="PWJ41" s="424"/>
      <c r="PWK41" s="425"/>
      <c r="PWL41" s="424"/>
      <c r="PWM41" s="425"/>
      <c r="PWN41" s="424"/>
      <c r="PWO41" s="425"/>
      <c r="PWP41" s="424"/>
      <c r="PWQ41" s="425"/>
      <c r="PWR41" s="424"/>
      <c r="PWS41" s="425"/>
      <c r="PWT41" s="424"/>
      <c r="PWU41" s="425"/>
      <c r="PWV41" s="424"/>
      <c r="PWW41" s="425"/>
      <c r="PWX41" s="424"/>
      <c r="PWY41" s="425"/>
      <c r="PWZ41" s="424"/>
      <c r="PXA41" s="425"/>
      <c r="PXB41" s="424"/>
      <c r="PXC41" s="425"/>
      <c r="PXD41" s="424"/>
      <c r="PXE41" s="425"/>
      <c r="PXF41" s="424"/>
      <c r="PXG41" s="425"/>
      <c r="PXH41" s="424"/>
      <c r="PXI41" s="425"/>
      <c r="PXJ41" s="424"/>
      <c r="PXK41" s="425"/>
      <c r="PXL41" s="424"/>
      <c r="PXM41" s="425"/>
      <c r="PXN41" s="424"/>
      <c r="PXO41" s="425"/>
      <c r="PXP41" s="424"/>
      <c r="PXQ41" s="425"/>
      <c r="PXR41" s="424"/>
      <c r="PXS41" s="425"/>
      <c r="PXT41" s="424"/>
      <c r="PXU41" s="425"/>
      <c r="PXV41" s="424"/>
      <c r="PXW41" s="425"/>
      <c r="PXX41" s="424"/>
      <c r="PXY41" s="425"/>
      <c r="PXZ41" s="424"/>
      <c r="PYA41" s="425"/>
      <c r="PYB41" s="424"/>
      <c r="PYC41" s="425"/>
      <c r="PYD41" s="424"/>
      <c r="PYE41" s="425"/>
      <c r="PYF41" s="424"/>
      <c r="PYG41" s="425"/>
      <c r="PYH41" s="424"/>
      <c r="PYI41" s="425"/>
      <c r="PYJ41" s="424"/>
      <c r="PYK41" s="425"/>
      <c r="PYL41" s="424"/>
      <c r="PYM41" s="425"/>
      <c r="PYN41" s="424"/>
      <c r="PYO41" s="425"/>
      <c r="PYP41" s="424"/>
      <c r="PYQ41" s="425"/>
      <c r="PYR41" s="424"/>
      <c r="PYS41" s="425"/>
      <c r="PYT41" s="424"/>
      <c r="PYU41" s="425"/>
      <c r="PYV41" s="424"/>
      <c r="PYW41" s="425"/>
      <c r="PYX41" s="424"/>
      <c r="PYY41" s="425"/>
      <c r="PYZ41" s="424"/>
      <c r="PZA41" s="425"/>
      <c r="PZB41" s="424"/>
      <c r="PZC41" s="425"/>
      <c r="PZD41" s="424"/>
      <c r="PZE41" s="425"/>
      <c r="PZF41" s="424"/>
      <c r="PZG41" s="425"/>
      <c r="PZH41" s="424"/>
      <c r="PZI41" s="425"/>
      <c r="PZJ41" s="424"/>
      <c r="PZK41" s="425"/>
      <c r="PZL41" s="424"/>
      <c r="PZM41" s="425"/>
      <c r="PZN41" s="424"/>
      <c r="PZO41" s="425"/>
      <c r="PZP41" s="424"/>
      <c r="PZQ41" s="425"/>
      <c r="PZR41" s="424"/>
      <c r="PZS41" s="425"/>
      <c r="PZT41" s="424"/>
      <c r="PZU41" s="425"/>
      <c r="PZV41" s="424"/>
      <c r="PZW41" s="425"/>
      <c r="PZX41" s="424"/>
      <c r="PZY41" s="425"/>
      <c r="PZZ41" s="424"/>
      <c r="QAA41" s="425"/>
      <c r="QAB41" s="424"/>
      <c r="QAC41" s="425"/>
      <c r="QAD41" s="424"/>
      <c r="QAE41" s="425"/>
      <c r="QAF41" s="424"/>
      <c r="QAG41" s="425"/>
      <c r="QAH41" s="424"/>
      <c r="QAI41" s="425"/>
      <c r="QAJ41" s="424"/>
      <c r="QAK41" s="425"/>
      <c r="QAL41" s="424"/>
      <c r="QAM41" s="425"/>
      <c r="QAN41" s="424"/>
      <c r="QAO41" s="425"/>
      <c r="QAP41" s="424"/>
      <c r="QAQ41" s="425"/>
      <c r="QAR41" s="424"/>
      <c r="QAS41" s="425"/>
      <c r="QAT41" s="424"/>
      <c r="QAU41" s="425"/>
      <c r="QAV41" s="424"/>
      <c r="QAW41" s="425"/>
      <c r="QAX41" s="424"/>
      <c r="QAY41" s="425"/>
      <c r="QAZ41" s="424"/>
      <c r="QBA41" s="425"/>
      <c r="QBB41" s="424"/>
      <c r="QBC41" s="425"/>
      <c r="QBD41" s="424"/>
      <c r="QBE41" s="425"/>
      <c r="QBF41" s="424"/>
      <c r="QBG41" s="425"/>
      <c r="QBH41" s="424"/>
      <c r="QBI41" s="425"/>
      <c r="QBJ41" s="424"/>
      <c r="QBK41" s="425"/>
      <c r="QBL41" s="424"/>
      <c r="QBM41" s="425"/>
      <c r="QBN41" s="424"/>
      <c r="QBO41" s="425"/>
      <c r="QBP41" s="424"/>
      <c r="QBQ41" s="425"/>
      <c r="QBR41" s="424"/>
      <c r="QBS41" s="425"/>
      <c r="QBT41" s="424"/>
      <c r="QBU41" s="425"/>
      <c r="QBV41" s="424"/>
      <c r="QBW41" s="425"/>
      <c r="QBX41" s="424"/>
      <c r="QBY41" s="425"/>
      <c r="QBZ41" s="424"/>
      <c r="QCA41" s="425"/>
      <c r="QCB41" s="424"/>
      <c r="QCC41" s="425"/>
      <c r="QCD41" s="424"/>
      <c r="QCE41" s="425"/>
      <c r="QCF41" s="424"/>
      <c r="QCG41" s="425"/>
      <c r="QCH41" s="424"/>
      <c r="QCI41" s="425"/>
      <c r="QCJ41" s="424"/>
      <c r="QCK41" s="425"/>
      <c r="QCL41" s="424"/>
      <c r="QCM41" s="425"/>
      <c r="QCN41" s="424"/>
      <c r="QCO41" s="425"/>
      <c r="QCP41" s="424"/>
      <c r="QCQ41" s="425"/>
      <c r="QCR41" s="424"/>
      <c r="QCS41" s="425"/>
      <c r="QCT41" s="424"/>
      <c r="QCU41" s="425"/>
      <c r="QCV41" s="424"/>
      <c r="QCW41" s="425"/>
      <c r="QCX41" s="424"/>
      <c r="QCY41" s="425"/>
      <c r="QCZ41" s="424"/>
      <c r="QDA41" s="425"/>
      <c r="QDB41" s="424"/>
      <c r="QDC41" s="425"/>
      <c r="QDD41" s="424"/>
      <c r="QDE41" s="425"/>
      <c r="QDF41" s="424"/>
      <c r="QDG41" s="425"/>
      <c r="QDH41" s="424"/>
      <c r="QDI41" s="425"/>
      <c r="QDJ41" s="424"/>
      <c r="QDK41" s="425"/>
      <c r="QDL41" s="424"/>
      <c r="QDM41" s="425"/>
      <c r="QDN41" s="424"/>
      <c r="QDO41" s="425"/>
      <c r="QDP41" s="424"/>
      <c r="QDQ41" s="425"/>
      <c r="QDR41" s="424"/>
      <c r="QDS41" s="425"/>
      <c r="QDT41" s="424"/>
      <c r="QDU41" s="425"/>
      <c r="QDV41" s="424"/>
      <c r="QDW41" s="425"/>
      <c r="QDX41" s="424"/>
      <c r="QDY41" s="425"/>
      <c r="QDZ41" s="424"/>
      <c r="QEA41" s="425"/>
      <c r="QEB41" s="424"/>
      <c r="QEC41" s="425"/>
      <c r="QED41" s="424"/>
      <c r="QEE41" s="425"/>
      <c r="QEF41" s="424"/>
      <c r="QEG41" s="425"/>
      <c r="QEH41" s="424"/>
      <c r="QEI41" s="425"/>
      <c r="QEJ41" s="424"/>
      <c r="QEK41" s="425"/>
      <c r="QEL41" s="424"/>
      <c r="QEM41" s="425"/>
      <c r="QEN41" s="424"/>
      <c r="QEO41" s="425"/>
      <c r="QEP41" s="424"/>
      <c r="QEQ41" s="425"/>
      <c r="QER41" s="424"/>
      <c r="QES41" s="425"/>
      <c r="QET41" s="424"/>
      <c r="QEU41" s="425"/>
      <c r="QEV41" s="424"/>
      <c r="QEW41" s="425"/>
      <c r="QEX41" s="424"/>
      <c r="QEY41" s="425"/>
      <c r="QEZ41" s="424"/>
      <c r="QFA41" s="425"/>
      <c r="QFB41" s="424"/>
      <c r="QFC41" s="425"/>
      <c r="QFD41" s="424"/>
      <c r="QFE41" s="425"/>
      <c r="QFF41" s="424"/>
      <c r="QFG41" s="425"/>
      <c r="QFH41" s="424"/>
      <c r="QFI41" s="425"/>
      <c r="QFJ41" s="424"/>
      <c r="QFK41" s="425"/>
      <c r="QFL41" s="424"/>
      <c r="QFM41" s="425"/>
      <c r="QFN41" s="424"/>
      <c r="QFO41" s="425"/>
      <c r="QFP41" s="424"/>
      <c r="QFQ41" s="425"/>
      <c r="QFR41" s="424"/>
      <c r="QFS41" s="425"/>
      <c r="QFT41" s="424"/>
      <c r="QFU41" s="425"/>
      <c r="QFV41" s="424"/>
      <c r="QFW41" s="425"/>
      <c r="QFX41" s="424"/>
      <c r="QFY41" s="425"/>
      <c r="QFZ41" s="424"/>
      <c r="QGA41" s="425"/>
      <c r="QGB41" s="424"/>
      <c r="QGC41" s="425"/>
      <c r="QGD41" s="424"/>
      <c r="QGE41" s="425"/>
      <c r="QGF41" s="424"/>
      <c r="QGG41" s="425"/>
      <c r="QGH41" s="424"/>
      <c r="QGI41" s="425"/>
      <c r="QGJ41" s="424"/>
      <c r="QGK41" s="425"/>
      <c r="QGL41" s="424"/>
      <c r="QGM41" s="425"/>
      <c r="QGN41" s="424"/>
      <c r="QGO41" s="425"/>
      <c r="QGP41" s="424"/>
      <c r="QGQ41" s="425"/>
      <c r="QGR41" s="424"/>
      <c r="QGS41" s="425"/>
      <c r="QGT41" s="424"/>
      <c r="QGU41" s="425"/>
      <c r="QGV41" s="424"/>
      <c r="QGW41" s="425"/>
      <c r="QGX41" s="424"/>
      <c r="QGY41" s="425"/>
      <c r="QGZ41" s="424"/>
      <c r="QHA41" s="425"/>
      <c r="QHB41" s="424"/>
      <c r="QHC41" s="425"/>
      <c r="QHD41" s="424"/>
      <c r="QHE41" s="425"/>
      <c r="QHF41" s="424"/>
      <c r="QHG41" s="425"/>
      <c r="QHH41" s="424"/>
      <c r="QHI41" s="425"/>
      <c r="QHJ41" s="424"/>
      <c r="QHK41" s="425"/>
      <c r="QHL41" s="424"/>
      <c r="QHM41" s="425"/>
      <c r="QHN41" s="424"/>
      <c r="QHO41" s="425"/>
      <c r="QHP41" s="424"/>
      <c r="QHQ41" s="425"/>
      <c r="QHR41" s="424"/>
      <c r="QHS41" s="425"/>
      <c r="QHT41" s="424"/>
      <c r="QHU41" s="425"/>
      <c r="QHV41" s="424"/>
      <c r="QHW41" s="425"/>
      <c r="QHX41" s="424"/>
      <c r="QHY41" s="425"/>
      <c r="QHZ41" s="424"/>
      <c r="QIA41" s="425"/>
      <c r="QIB41" s="424"/>
      <c r="QIC41" s="425"/>
      <c r="QID41" s="424"/>
      <c r="QIE41" s="425"/>
      <c r="QIF41" s="424"/>
      <c r="QIG41" s="425"/>
      <c r="QIH41" s="424"/>
      <c r="QII41" s="425"/>
      <c r="QIJ41" s="424"/>
      <c r="QIK41" s="425"/>
      <c r="QIL41" s="424"/>
      <c r="QIM41" s="425"/>
      <c r="QIN41" s="424"/>
      <c r="QIO41" s="425"/>
      <c r="QIP41" s="424"/>
      <c r="QIQ41" s="425"/>
      <c r="QIR41" s="424"/>
      <c r="QIS41" s="425"/>
      <c r="QIT41" s="424"/>
      <c r="QIU41" s="425"/>
      <c r="QIV41" s="424"/>
      <c r="QIW41" s="425"/>
      <c r="QIX41" s="424"/>
      <c r="QIY41" s="425"/>
      <c r="QIZ41" s="424"/>
      <c r="QJA41" s="425"/>
      <c r="QJB41" s="424"/>
      <c r="QJC41" s="425"/>
      <c r="QJD41" s="424"/>
      <c r="QJE41" s="425"/>
      <c r="QJF41" s="424"/>
      <c r="QJG41" s="425"/>
      <c r="QJH41" s="424"/>
      <c r="QJI41" s="425"/>
      <c r="QJJ41" s="424"/>
      <c r="QJK41" s="425"/>
      <c r="QJL41" s="424"/>
      <c r="QJM41" s="425"/>
      <c r="QJN41" s="424"/>
      <c r="QJO41" s="425"/>
      <c r="QJP41" s="424"/>
      <c r="QJQ41" s="425"/>
      <c r="QJR41" s="424"/>
      <c r="QJS41" s="425"/>
      <c r="QJT41" s="424"/>
      <c r="QJU41" s="425"/>
      <c r="QJV41" s="424"/>
      <c r="QJW41" s="425"/>
      <c r="QJX41" s="424"/>
      <c r="QJY41" s="425"/>
      <c r="QJZ41" s="424"/>
      <c r="QKA41" s="425"/>
      <c r="QKB41" s="424"/>
      <c r="QKC41" s="425"/>
      <c r="QKD41" s="424"/>
      <c r="QKE41" s="425"/>
      <c r="QKF41" s="424"/>
      <c r="QKG41" s="425"/>
      <c r="QKH41" s="424"/>
      <c r="QKI41" s="425"/>
      <c r="QKJ41" s="424"/>
      <c r="QKK41" s="425"/>
      <c r="QKL41" s="424"/>
      <c r="QKM41" s="425"/>
      <c r="QKN41" s="424"/>
      <c r="QKO41" s="425"/>
      <c r="QKP41" s="424"/>
      <c r="QKQ41" s="425"/>
      <c r="QKR41" s="424"/>
      <c r="QKS41" s="425"/>
      <c r="QKT41" s="424"/>
      <c r="QKU41" s="425"/>
      <c r="QKV41" s="424"/>
      <c r="QKW41" s="425"/>
      <c r="QKX41" s="424"/>
      <c r="QKY41" s="425"/>
      <c r="QKZ41" s="424"/>
      <c r="QLA41" s="425"/>
      <c r="QLB41" s="424"/>
      <c r="QLC41" s="425"/>
      <c r="QLD41" s="424"/>
      <c r="QLE41" s="425"/>
      <c r="QLF41" s="424"/>
      <c r="QLG41" s="425"/>
      <c r="QLH41" s="424"/>
      <c r="QLI41" s="425"/>
      <c r="QLJ41" s="424"/>
      <c r="QLK41" s="425"/>
      <c r="QLL41" s="424"/>
      <c r="QLM41" s="425"/>
      <c r="QLN41" s="424"/>
      <c r="QLO41" s="425"/>
      <c r="QLP41" s="424"/>
      <c r="QLQ41" s="425"/>
      <c r="QLR41" s="424"/>
      <c r="QLS41" s="425"/>
      <c r="QLT41" s="424"/>
      <c r="QLU41" s="425"/>
      <c r="QLV41" s="424"/>
      <c r="QLW41" s="425"/>
      <c r="QLX41" s="424"/>
      <c r="QLY41" s="425"/>
      <c r="QLZ41" s="424"/>
      <c r="QMA41" s="425"/>
      <c r="QMB41" s="424"/>
      <c r="QMC41" s="425"/>
      <c r="QMD41" s="424"/>
      <c r="QME41" s="425"/>
      <c r="QMF41" s="424"/>
      <c r="QMG41" s="425"/>
      <c r="QMH41" s="424"/>
      <c r="QMI41" s="425"/>
      <c r="QMJ41" s="424"/>
      <c r="QMK41" s="425"/>
      <c r="QML41" s="424"/>
      <c r="QMM41" s="425"/>
      <c r="QMN41" s="424"/>
      <c r="QMO41" s="425"/>
      <c r="QMP41" s="424"/>
      <c r="QMQ41" s="425"/>
      <c r="QMR41" s="424"/>
      <c r="QMS41" s="425"/>
      <c r="QMT41" s="424"/>
      <c r="QMU41" s="425"/>
      <c r="QMV41" s="424"/>
      <c r="QMW41" s="425"/>
      <c r="QMX41" s="424"/>
      <c r="QMY41" s="425"/>
      <c r="QMZ41" s="424"/>
      <c r="QNA41" s="425"/>
      <c r="QNB41" s="424"/>
      <c r="QNC41" s="425"/>
      <c r="QND41" s="424"/>
      <c r="QNE41" s="425"/>
      <c r="QNF41" s="424"/>
      <c r="QNG41" s="425"/>
      <c r="QNH41" s="424"/>
      <c r="QNI41" s="425"/>
      <c r="QNJ41" s="424"/>
      <c r="QNK41" s="425"/>
      <c r="QNL41" s="424"/>
      <c r="QNM41" s="425"/>
      <c r="QNN41" s="424"/>
      <c r="QNO41" s="425"/>
      <c r="QNP41" s="424"/>
      <c r="QNQ41" s="425"/>
      <c r="QNR41" s="424"/>
      <c r="QNS41" s="425"/>
      <c r="QNT41" s="424"/>
      <c r="QNU41" s="425"/>
      <c r="QNV41" s="424"/>
      <c r="QNW41" s="425"/>
      <c r="QNX41" s="424"/>
      <c r="QNY41" s="425"/>
      <c r="QNZ41" s="424"/>
      <c r="QOA41" s="425"/>
      <c r="QOB41" s="424"/>
      <c r="QOC41" s="425"/>
      <c r="QOD41" s="424"/>
      <c r="QOE41" s="425"/>
      <c r="QOF41" s="424"/>
      <c r="QOG41" s="425"/>
      <c r="QOH41" s="424"/>
      <c r="QOI41" s="425"/>
      <c r="QOJ41" s="424"/>
      <c r="QOK41" s="425"/>
      <c r="QOL41" s="424"/>
      <c r="QOM41" s="425"/>
      <c r="QON41" s="424"/>
      <c r="QOO41" s="425"/>
      <c r="QOP41" s="424"/>
      <c r="QOQ41" s="425"/>
      <c r="QOR41" s="424"/>
      <c r="QOS41" s="425"/>
      <c r="QOT41" s="424"/>
      <c r="QOU41" s="425"/>
      <c r="QOV41" s="424"/>
      <c r="QOW41" s="425"/>
      <c r="QOX41" s="424"/>
      <c r="QOY41" s="425"/>
      <c r="QOZ41" s="424"/>
      <c r="QPA41" s="425"/>
      <c r="QPB41" s="424"/>
      <c r="QPC41" s="425"/>
      <c r="QPD41" s="424"/>
      <c r="QPE41" s="425"/>
      <c r="QPF41" s="424"/>
      <c r="QPG41" s="425"/>
      <c r="QPH41" s="424"/>
      <c r="QPI41" s="425"/>
      <c r="QPJ41" s="424"/>
      <c r="QPK41" s="425"/>
      <c r="QPL41" s="424"/>
      <c r="QPM41" s="425"/>
      <c r="QPN41" s="424"/>
      <c r="QPO41" s="425"/>
      <c r="QPP41" s="424"/>
      <c r="QPQ41" s="425"/>
      <c r="QPR41" s="424"/>
      <c r="QPS41" s="425"/>
      <c r="QPT41" s="424"/>
      <c r="QPU41" s="425"/>
      <c r="QPV41" s="424"/>
      <c r="QPW41" s="425"/>
      <c r="QPX41" s="424"/>
      <c r="QPY41" s="425"/>
      <c r="QPZ41" s="424"/>
      <c r="QQA41" s="425"/>
      <c r="QQB41" s="424"/>
      <c r="QQC41" s="425"/>
      <c r="QQD41" s="424"/>
      <c r="QQE41" s="425"/>
      <c r="QQF41" s="424"/>
      <c r="QQG41" s="425"/>
      <c r="QQH41" s="424"/>
      <c r="QQI41" s="425"/>
      <c r="QQJ41" s="424"/>
      <c r="QQK41" s="425"/>
      <c r="QQL41" s="424"/>
      <c r="QQM41" s="425"/>
      <c r="QQN41" s="424"/>
      <c r="QQO41" s="425"/>
      <c r="QQP41" s="424"/>
      <c r="QQQ41" s="425"/>
      <c r="QQR41" s="424"/>
      <c r="QQS41" s="425"/>
      <c r="QQT41" s="424"/>
      <c r="QQU41" s="425"/>
      <c r="QQV41" s="424"/>
      <c r="QQW41" s="425"/>
      <c r="QQX41" s="424"/>
      <c r="QQY41" s="425"/>
      <c r="QQZ41" s="424"/>
      <c r="QRA41" s="425"/>
      <c r="QRB41" s="424"/>
      <c r="QRC41" s="425"/>
      <c r="QRD41" s="424"/>
      <c r="QRE41" s="425"/>
      <c r="QRF41" s="424"/>
      <c r="QRG41" s="425"/>
      <c r="QRH41" s="424"/>
      <c r="QRI41" s="425"/>
      <c r="QRJ41" s="424"/>
      <c r="QRK41" s="425"/>
      <c r="QRL41" s="424"/>
      <c r="QRM41" s="425"/>
      <c r="QRN41" s="424"/>
      <c r="QRO41" s="425"/>
      <c r="QRP41" s="424"/>
      <c r="QRQ41" s="425"/>
      <c r="QRR41" s="424"/>
      <c r="QRS41" s="425"/>
      <c r="QRT41" s="424"/>
      <c r="QRU41" s="425"/>
      <c r="QRV41" s="424"/>
      <c r="QRW41" s="425"/>
      <c r="QRX41" s="424"/>
      <c r="QRY41" s="425"/>
      <c r="QRZ41" s="424"/>
      <c r="QSA41" s="425"/>
      <c r="QSB41" s="424"/>
      <c r="QSC41" s="425"/>
      <c r="QSD41" s="424"/>
      <c r="QSE41" s="425"/>
      <c r="QSF41" s="424"/>
      <c r="QSG41" s="425"/>
      <c r="QSH41" s="424"/>
      <c r="QSI41" s="425"/>
      <c r="QSJ41" s="424"/>
      <c r="QSK41" s="425"/>
      <c r="QSL41" s="424"/>
      <c r="QSM41" s="425"/>
      <c r="QSN41" s="424"/>
      <c r="QSO41" s="425"/>
      <c r="QSP41" s="424"/>
      <c r="QSQ41" s="425"/>
      <c r="QSR41" s="424"/>
      <c r="QSS41" s="425"/>
      <c r="QST41" s="424"/>
      <c r="QSU41" s="425"/>
      <c r="QSV41" s="424"/>
      <c r="QSW41" s="425"/>
      <c r="QSX41" s="424"/>
      <c r="QSY41" s="425"/>
      <c r="QSZ41" s="424"/>
      <c r="QTA41" s="425"/>
      <c r="QTB41" s="424"/>
      <c r="QTC41" s="425"/>
      <c r="QTD41" s="424"/>
      <c r="QTE41" s="425"/>
      <c r="QTF41" s="424"/>
      <c r="QTG41" s="425"/>
      <c r="QTH41" s="424"/>
      <c r="QTI41" s="425"/>
      <c r="QTJ41" s="424"/>
      <c r="QTK41" s="425"/>
      <c r="QTL41" s="424"/>
      <c r="QTM41" s="425"/>
      <c r="QTN41" s="424"/>
      <c r="QTO41" s="425"/>
      <c r="QTP41" s="424"/>
      <c r="QTQ41" s="425"/>
      <c r="QTR41" s="424"/>
      <c r="QTS41" s="425"/>
      <c r="QTT41" s="424"/>
      <c r="QTU41" s="425"/>
      <c r="QTV41" s="424"/>
      <c r="QTW41" s="425"/>
      <c r="QTX41" s="424"/>
      <c r="QTY41" s="425"/>
      <c r="QTZ41" s="424"/>
      <c r="QUA41" s="425"/>
      <c r="QUB41" s="424"/>
      <c r="QUC41" s="425"/>
      <c r="QUD41" s="424"/>
      <c r="QUE41" s="425"/>
      <c r="QUF41" s="424"/>
      <c r="QUG41" s="425"/>
      <c r="QUH41" s="424"/>
      <c r="QUI41" s="425"/>
      <c r="QUJ41" s="424"/>
      <c r="QUK41" s="425"/>
      <c r="QUL41" s="424"/>
      <c r="QUM41" s="425"/>
      <c r="QUN41" s="424"/>
      <c r="QUO41" s="425"/>
      <c r="QUP41" s="424"/>
      <c r="QUQ41" s="425"/>
      <c r="QUR41" s="424"/>
      <c r="QUS41" s="425"/>
      <c r="QUT41" s="424"/>
      <c r="QUU41" s="425"/>
      <c r="QUV41" s="424"/>
      <c r="QUW41" s="425"/>
      <c r="QUX41" s="424"/>
      <c r="QUY41" s="425"/>
      <c r="QUZ41" s="424"/>
      <c r="QVA41" s="425"/>
      <c r="QVB41" s="424"/>
      <c r="QVC41" s="425"/>
      <c r="QVD41" s="424"/>
      <c r="QVE41" s="425"/>
      <c r="QVF41" s="424"/>
      <c r="QVG41" s="425"/>
      <c r="QVH41" s="424"/>
      <c r="QVI41" s="425"/>
      <c r="QVJ41" s="424"/>
      <c r="QVK41" s="425"/>
      <c r="QVL41" s="424"/>
      <c r="QVM41" s="425"/>
      <c r="QVN41" s="424"/>
      <c r="QVO41" s="425"/>
      <c r="QVP41" s="424"/>
      <c r="QVQ41" s="425"/>
      <c r="QVR41" s="424"/>
      <c r="QVS41" s="425"/>
      <c r="QVT41" s="424"/>
      <c r="QVU41" s="425"/>
      <c r="QVV41" s="424"/>
      <c r="QVW41" s="425"/>
      <c r="QVX41" s="424"/>
      <c r="QVY41" s="425"/>
      <c r="QVZ41" s="424"/>
      <c r="QWA41" s="425"/>
      <c r="QWB41" s="424"/>
      <c r="QWC41" s="425"/>
      <c r="QWD41" s="424"/>
      <c r="QWE41" s="425"/>
      <c r="QWF41" s="424"/>
      <c r="QWG41" s="425"/>
      <c r="QWH41" s="424"/>
      <c r="QWI41" s="425"/>
      <c r="QWJ41" s="424"/>
      <c r="QWK41" s="425"/>
      <c r="QWL41" s="424"/>
      <c r="QWM41" s="425"/>
      <c r="QWN41" s="424"/>
      <c r="QWO41" s="425"/>
      <c r="QWP41" s="424"/>
      <c r="QWQ41" s="425"/>
      <c r="QWR41" s="424"/>
      <c r="QWS41" s="425"/>
      <c r="QWT41" s="424"/>
      <c r="QWU41" s="425"/>
      <c r="QWV41" s="424"/>
      <c r="QWW41" s="425"/>
      <c r="QWX41" s="424"/>
      <c r="QWY41" s="425"/>
      <c r="QWZ41" s="424"/>
      <c r="QXA41" s="425"/>
      <c r="QXB41" s="424"/>
      <c r="QXC41" s="425"/>
      <c r="QXD41" s="424"/>
      <c r="QXE41" s="425"/>
      <c r="QXF41" s="424"/>
      <c r="QXG41" s="425"/>
      <c r="QXH41" s="424"/>
      <c r="QXI41" s="425"/>
      <c r="QXJ41" s="424"/>
      <c r="QXK41" s="425"/>
      <c r="QXL41" s="424"/>
      <c r="QXM41" s="425"/>
      <c r="QXN41" s="424"/>
      <c r="QXO41" s="425"/>
      <c r="QXP41" s="424"/>
      <c r="QXQ41" s="425"/>
      <c r="QXR41" s="424"/>
      <c r="QXS41" s="425"/>
      <c r="QXT41" s="424"/>
      <c r="QXU41" s="425"/>
      <c r="QXV41" s="424"/>
      <c r="QXW41" s="425"/>
      <c r="QXX41" s="424"/>
      <c r="QXY41" s="425"/>
      <c r="QXZ41" s="424"/>
      <c r="QYA41" s="425"/>
      <c r="QYB41" s="424"/>
      <c r="QYC41" s="425"/>
      <c r="QYD41" s="424"/>
      <c r="QYE41" s="425"/>
      <c r="QYF41" s="424"/>
      <c r="QYG41" s="425"/>
      <c r="QYH41" s="424"/>
      <c r="QYI41" s="425"/>
      <c r="QYJ41" s="424"/>
      <c r="QYK41" s="425"/>
      <c r="QYL41" s="424"/>
      <c r="QYM41" s="425"/>
      <c r="QYN41" s="424"/>
      <c r="QYO41" s="425"/>
      <c r="QYP41" s="424"/>
      <c r="QYQ41" s="425"/>
      <c r="QYR41" s="424"/>
      <c r="QYS41" s="425"/>
      <c r="QYT41" s="424"/>
      <c r="QYU41" s="425"/>
      <c r="QYV41" s="424"/>
      <c r="QYW41" s="425"/>
      <c r="QYX41" s="424"/>
      <c r="QYY41" s="425"/>
      <c r="QYZ41" s="424"/>
      <c r="QZA41" s="425"/>
      <c r="QZB41" s="424"/>
      <c r="QZC41" s="425"/>
      <c r="QZD41" s="424"/>
      <c r="QZE41" s="425"/>
      <c r="QZF41" s="424"/>
      <c r="QZG41" s="425"/>
      <c r="QZH41" s="424"/>
      <c r="QZI41" s="425"/>
      <c r="QZJ41" s="424"/>
      <c r="QZK41" s="425"/>
      <c r="QZL41" s="424"/>
      <c r="QZM41" s="425"/>
      <c r="QZN41" s="424"/>
      <c r="QZO41" s="425"/>
      <c r="QZP41" s="424"/>
      <c r="QZQ41" s="425"/>
      <c r="QZR41" s="424"/>
      <c r="QZS41" s="425"/>
      <c r="QZT41" s="424"/>
      <c r="QZU41" s="425"/>
      <c r="QZV41" s="424"/>
      <c r="QZW41" s="425"/>
      <c r="QZX41" s="424"/>
      <c r="QZY41" s="425"/>
      <c r="QZZ41" s="424"/>
      <c r="RAA41" s="425"/>
      <c r="RAB41" s="424"/>
      <c r="RAC41" s="425"/>
      <c r="RAD41" s="424"/>
      <c r="RAE41" s="425"/>
      <c r="RAF41" s="424"/>
      <c r="RAG41" s="425"/>
      <c r="RAH41" s="424"/>
      <c r="RAI41" s="425"/>
      <c r="RAJ41" s="424"/>
      <c r="RAK41" s="425"/>
      <c r="RAL41" s="424"/>
      <c r="RAM41" s="425"/>
      <c r="RAN41" s="424"/>
      <c r="RAO41" s="425"/>
      <c r="RAP41" s="424"/>
      <c r="RAQ41" s="425"/>
      <c r="RAR41" s="424"/>
      <c r="RAS41" s="425"/>
      <c r="RAT41" s="424"/>
      <c r="RAU41" s="425"/>
      <c r="RAV41" s="424"/>
      <c r="RAW41" s="425"/>
      <c r="RAX41" s="424"/>
      <c r="RAY41" s="425"/>
      <c r="RAZ41" s="424"/>
      <c r="RBA41" s="425"/>
      <c r="RBB41" s="424"/>
      <c r="RBC41" s="425"/>
      <c r="RBD41" s="424"/>
      <c r="RBE41" s="425"/>
      <c r="RBF41" s="424"/>
      <c r="RBG41" s="425"/>
      <c r="RBH41" s="424"/>
      <c r="RBI41" s="425"/>
      <c r="RBJ41" s="424"/>
      <c r="RBK41" s="425"/>
      <c r="RBL41" s="424"/>
      <c r="RBM41" s="425"/>
      <c r="RBN41" s="424"/>
      <c r="RBO41" s="425"/>
      <c r="RBP41" s="424"/>
      <c r="RBQ41" s="425"/>
      <c r="RBR41" s="424"/>
      <c r="RBS41" s="425"/>
      <c r="RBT41" s="424"/>
      <c r="RBU41" s="425"/>
      <c r="RBV41" s="424"/>
      <c r="RBW41" s="425"/>
      <c r="RBX41" s="424"/>
      <c r="RBY41" s="425"/>
      <c r="RBZ41" s="424"/>
      <c r="RCA41" s="425"/>
      <c r="RCB41" s="424"/>
      <c r="RCC41" s="425"/>
      <c r="RCD41" s="424"/>
      <c r="RCE41" s="425"/>
      <c r="RCF41" s="424"/>
      <c r="RCG41" s="425"/>
      <c r="RCH41" s="424"/>
      <c r="RCI41" s="425"/>
      <c r="RCJ41" s="424"/>
      <c r="RCK41" s="425"/>
      <c r="RCL41" s="424"/>
      <c r="RCM41" s="425"/>
      <c r="RCN41" s="424"/>
      <c r="RCO41" s="425"/>
      <c r="RCP41" s="424"/>
      <c r="RCQ41" s="425"/>
      <c r="RCR41" s="424"/>
      <c r="RCS41" s="425"/>
      <c r="RCT41" s="424"/>
      <c r="RCU41" s="425"/>
      <c r="RCV41" s="424"/>
      <c r="RCW41" s="425"/>
      <c r="RCX41" s="424"/>
      <c r="RCY41" s="425"/>
      <c r="RCZ41" s="424"/>
      <c r="RDA41" s="425"/>
      <c r="RDB41" s="424"/>
      <c r="RDC41" s="425"/>
      <c r="RDD41" s="424"/>
      <c r="RDE41" s="425"/>
      <c r="RDF41" s="424"/>
      <c r="RDG41" s="425"/>
      <c r="RDH41" s="424"/>
      <c r="RDI41" s="425"/>
      <c r="RDJ41" s="424"/>
      <c r="RDK41" s="425"/>
      <c r="RDL41" s="424"/>
      <c r="RDM41" s="425"/>
      <c r="RDN41" s="424"/>
      <c r="RDO41" s="425"/>
      <c r="RDP41" s="424"/>
      <c r="RDQ41" s="425"/>
      <c r="RDR41" s="424"/>
      <c r="RDS41" s="425"/>
      <c r="RDT41" s="424"/>
      <c r="RDU41" s="425"/>
      <c r="RDV41" s="424"/>
      <c r="RDW41" s="425"/>
      <c r="RDX41" s="424"/>
      <c r="RDY41" s="425"/>
      <c r="RDZ41" s="424"/>
      <c r="REA41" s="425"/>
      <c r="REB41" s="424"/>
      <c r="REC41" s="425"/>
      <c r="RED41" s="424"/>
      <c r="REE41" s="425"/>
      <c r="REF41" s="424"/>
      <c r="REG41" s="425"/>
      <c r="REH41" s="424"/>
      <c r="REI41" s="425"/>
      <c r="REJ41" s="424"/>
      <c r="REK41" s="425"/>
      <c r="REL41" s="424"/>
      <c r="REM41" s="425"/>
      <c r="REN41" s="424"/>
      <c r="REO41" s="425"/>
      <c r="REP41" s="424"/>
      <c r="REQ41" s="425"/>
      <c r="RER41" s="424"/>
      <c r="RES41" s="425"/>
      <c r="RET41" s="424"/>
      <c r="REU41" s="425"/>
      <c r="REV41" s="424"/>
      <c r="REW41" s="425"/>
      <c r="REX41" s="424"/>
      <c r="REY41" s="425"/>
      <c r="REZ41" s="424"/>
      <c r="RFA41" s="425"/>
      <c r="RFB41" s="424"/>
      <c r="RFC41" s="425"/>
      <c r="RFD41" s="424"/>
      <c r="RFE41" s="425"/>
      <c r="RFF41" s="424"/>
      <c r="RFG41" s="425"/>
      <c r="RFH41" s="424"/>
      <c r="RFI41" s="425"/>
      <c r="RFJ41" s="424"/>
      <c r="RFK41" s="425"/>
      <c r="RFL41" s="424"/>
      <c r="RFM41" s="425"/>
      <c r="RFN41" s="424"/>
      <c r="RFO41" s="425"/>
      <c r="RFP41" s="424"/>
      <c r="RFQ41" s="425"/>
      <c r="RFR41" s="424"/>
      <c r="RFS41" s="425"/>
      <c r="RFT41" s="424"/>
      <c r="RFU41" s="425"/>
      <c r="RFV41" s="424"/>
      <c r="RFW41" s="425"/>
      <c r="RFX41" s="424"/>
      <c r="RFY41" s="425"/>
      <c r="RFZ41" s="424"/>
      <c r="RGA41" s="425"/>
      <c r="RGB41" s="424"/>
      <c r="RGC41" s="425"/>
      <c r="RGD41" s="424"/>
      <c r="RGE41" s="425"/>
      <c r="RGF41" s="424"/>
      <c r="RGG41" s="425"/>
      <c r="RGH41" s="424"/>
      <c r="RGI41" s="425"/>
      <c r="RGJ41" s="424"/>
      <c r="RGK41" s="425"/>
      <c r="RGL41" s="424"/>
      <c r="RGM41" s="425"/>
      <c r="RGN41" s="424"/>
      <c r="RGO41" s="425"/>
      <c r="RGP41" s="424"/>
      <c r="RGQ41" s="425"/>
      <c r="RGR41" s="424"/>
      <c r="RGS41" s="425"/>
      <c r="RGT41" s="424"/>
      <c r="RGU41" s="425"/>
      <c r="RGV41" s="424"/>
      <c r="RGW41" s="425"/>
      <c r="RGX41" s="424"/>
      <c r="RGY41" s="425"/>
      <c r="RGZ41" s="424"/>
      <c r="RHA41" s="425"/>
      <c r="RHB41" s="424"/>
      <c r="RHC41" s="425"/>
      <c r="RHD41" s="424"/>
      <c r="RHE41" s="425"/>
      <c r="RHF41" s="424"/>
      <c r="RHG41" s="425"/>
      <c r="RHH41" s="424"/>
      <c r="RHI41" s="425"/>
      <c r="RHJ41" s="424"/>
      <c r="RHK41" s="425"/>
      <c r="RHL41" s="424"/>
      <c r="RHM41" s="425"/>
      <c r="RHN41" s="424"/>
      <c r="RHO41" s="425"/>
      <c r="RHP41" s="424"/>
      <c r="RHQ41" s="425"/>
      <c r="RHR41" s="424"/>
      <c r="RHS41" s="425"/>
      <c r="RHT41" s="424"/>
      <c r="RHU41" s="425"/>
      <c r="RHV41" s="424"/>
      <c r="RHW41" s="425"/>
      <c r="RHX41" s="424"/>
      <c r="RHY41" s="425"/>
      <c r="RHZ41" s="424"/>
      <c r="RIA41" s="425"/>
      <c r="RIB41" s="424"/>
      <c r="RIC41" s="425"/>
      <c r="RID41" s="424"/>
      <c r="RIE41" s="425"/>
      <c r="RIF41" s="424"/>
      <c r="RIG41" s="425"/>
      <c r="RIH41" s="424"/>
      <c r="RII41" s="425"/>
      <c r="RIJ41" s="424"/>
      <c r="RIK41" s="425"/>
      <c r="RIL41" s="424"/>
      <c r="RIM41" s="425"/>
      <c r="RIN41" s="424"/>
      <c r="RIO41" s="425"/>
      <c r="RIP41" s="424"/>
      <c r="RIQ41" s="425"/>
      <c r="RIR41" s="424"/>
      <c r="RIS41" s="425"/>
      <c r="RIT41" s="424"/>
      <c r="RIU41" s="425"/>
      <c r="RIV41" s="424"/>
      <c r="RIW41" s="425"/>
      <c r="RIX41" s="424"/>
      <c r="RIY41" s="425"/>
      <c r="RIZ41" s="424"/>
      <c r="RJA41" s="425"/>
      <c r="RJB41" s="424"/>
      <c r="RJC41" s="425"/>
      <c r="RJD41" s="424"/>
      <c r="RJE41" s="425"/>
      <c r="RJF41" s="424"/>
      <c r="RJG41" s="425"/>
      <c r="RJH41" s="424"/>
      <c r="RJI41" s="425"/>
      <c r="RJJ41" s="424"/>
      <c r="RJK41" s="425"/>
      <c r="RJL41" s="424"/>
      <c r="RJM41" s="425"/>
      <c r="RJN41" s="424"/>
      <c r="RJO41" s="425"/>
      <c r="RJP41" s="424"/>
      <c r="RJQ41" s="425"/>
      <c r="RJR41" s="424"/>
      <c r="RJS41" s="425"/>
      <c r="RJT41" s="424"/>
      <c r="RJU41" s="425"/>
      <c r="RJV41" s="424"/>
      <c r="RJW41" s="425"/>
      <c r="RJX41" s="424"/>
      <c r="RJY41" s="425"/>
      <c r="RJZ41" s="424"/>
      <c r="RKA41" s="425"/>
      <c r="RKB41" s="424"/>
      <c r="RKC41" s="425"/>
      <c r="RKD41" s="424"/>
      <c r="RKE41" s="425"/>
      <c r="RKF41" s="424"/>
      <c r="RKG41" s="425"/>
      <c r="RKH41" s="424"/>
      <c r="RKI41" s="425"/>
      <c r="RKJ41" s="424"/>
      <c r="RKK41" s="425"/>
      <c r="RKL41" s="424"/>
      <c r="RKM41" s="425"/>
      <c r="RKN41" s="424"/>
      <c r="RKO41" s="425"/>
      <c r="RKP41" s="424"/>
      <c r="RKQ41" s="425"/>
      <c r="RKR41" s="424"/>
      <c r="RKS41" s="425"/>
      <c r="RKT41" s="424"/>
      <c r="RKU41" s="425"/>
      <c r="RKV41" s="424"/>
      <c r="RKW41" s="425"/>
      <c r="RKX41" s="424"/>
      <c r="RKY41" s="425"/>
      <c r="RKZ41" s="424"/>
      <c r="RLA41" s="425"/>
      <c r="RLB41" s="424"/>
      <c r="RLC41" s="425"/>
      <c r="RLD41" s="424"/>
      <c r="RLE41" s="425"/>
      <c r="RLF41" s="424"/>
      <c r="RLG41" s="425"/>
      <c r="RLH41" s="424"/>
      <c r="RLI41" s="425"/>
      <c r="RLJ41" s="424"/>
      <c r="RLK41" s="425"/>
      <c r="RLL41" s="424"/>
      <c r="RLM41" s="425"/>
      <c r="RLN41" s="424"/>
      <c r="RLO41" s="425"/>
      <c r="RLP41" s="424"/>
      <c r="RLQ41" s="425"/>
      <c r="RLR41" s="424"/>
      <c r="RLS41" s="425"/>
      <c r="RLT41" s="424"/>
      <c r="RLU41" s="425"/>
      <c r="RLV41" s="424"/>
      <c r="RLW41" s="425"/>
      <c r="RLX41" s="424"/>
      <c r="RLY41" s="425"/>
      <c r="RLZ41" s="424"/>
      <c r="RMA41" s="425"/>
      <c r="RMB41" s="424"/>
      <c r="RMC41" s="425"/>
      <c r="RMD41" s="424"/>
      <c r="RME41" s="425"/>
      <c r="RMF41" s="424"/>
      <c r="RMG41" s="425"/>
      <c r="RMH41" s="424"/>
      <c r="RMI41" s="425"/>
      <c r="RMJ41" s="424"/>
      <c r="RMK41" s="425"/>
      <c r="RML41" s="424"/>
      <c r="RMM41" s="425"/>
      <c r="RMN41" s="424"/>
      <c r="RMO41" s="425"/>
      <c r="RMP41" s="424"/>
      <c r="RMQ41" s="425"/>
      <c r="RMR41" s="424"/>
      <c r="RMS41" s="425"/>
      <c r="RMT41" s="424"/>
      <c r="RMU41" s="425"/>
      <c r="RMV41" s="424"/>
      <c r="RMW41" s="425"/>
      <c r="RMX41" s="424"/>
      <c r="RMY41" s="425"/>
      <c r="RMZ41" s="424"/>
      <c r="RNA41" s="425"/>
      <c r="RNB41" s="424"/>
      <c r="RNC41" s="425"/>
      <c r="RND41" s="424"/>
      <c r="RNE41" s="425"/>
      <c r="RNF41" s="424"/>
      <c r="RNG41" s="425"/>
      <c r="RNH41" s="424"/>
      <c r="RNI41" s="425"/>
      <c r="RNJ41" s="424"/>
      <c r="RNK41" s="425"/>
      <c r="RNL41" s="424"/>
      <c r="RNM41" s="425"/>
      <c r="RNN41" s="424"/>
      <c r="RNO41" s="425"/>
      <c r="RNP41" s="424"/>
      <c r="RNQ41" s="425"/>
      <c r="RNR41" s="424"/>
      <c r="RNS41" s="425"/>
      <c r="RNT41" s="424"/>
      <c r="RNU41" s="425"/>
      <c r="RNV41" s="424"/>
      <c r="RNW41" s="425"/>
      <c r="RNX41" s="424"/>
      <c r="RNY41" s="425"/>
      <c r="RNZ41" s="424"/>
      <c r="ROA41" s="425"/>
      <c r="ROB41" s="424"/>
      <c r="ROC41" s="425"/>
      <c r="ROD41" s="424"/>
      <c r="ROE41" s="425"/>
      <c r="ROF41" s="424"/>
      <c r="ROG41" s="425"/>
      <c r="ROH41" s="424"/>
      <c r="ROI41" s="425"/>
      <c r="ROJ41" s="424"/>
      <c r="ROK41" s="425"/>
      <c r="ROL41" s="424"/>
      <c r="ROM41" s="425"/>
      <c r="RON41" s="424"/>
      <c r="ROO41" s="425"/>
      <c r="ROP41" s="424"/>
      <c r="ROQ41" s="425"/>
      <c r="ROR41" s="424"/>
      <c r="ROS41" s="425"/>
      <c r="ROT41" s="424"/>
      <c r="ROU41" s="425"/>
      <c r="ROV41" s="424"/>
      <c r="ROW41" s="425"/>
      <c r="ROX41" s="424"/>
      <c r="ROY41" s="425"/>
      <c r="ROZ41" s="424"/>
      <c r="RPA41" s="425"/>
      <c r="RPB41" s="424"/>
      <c r="RPC41" s="425"/>
      <c r="RPD41" s="424"/>
      <c r="RPE41" s="425"/>
      <c r="RPF41" s="424"/>
      <c r="RPG41" s="425"/>
      <c r="RPH41" s="424"/>
      <c r="RPI41" s="425"/>
      <c r="RPJ41" s="424"/>
      <c r="RPK41" s="425"/>
      <c r="RPL41" s="424"/>
      <c r="RPM41" s="425"/>
      <c r="RPN41" s="424"/>
      <c r="RPO41" s="425"/>
      <c r="RPP41" s="424"/>
      <c r="RPQ41" s="425"/>
      <c r="RPR41" s="424"/>
      <c r="RPS41" s="425"/>
      <c r="RPT41" s="424"/>
      <c r="RPU41" s="425"/>
      <c r="RPV41" s="424"/>
      <c r="RPW41" s="425"/>
      <c r="RPX41" s="424"/>
      <c r="RPY41" s="425"/>
      <c r="RPZ41" s="424"/>
      <c r="RQA41" s="425"/>
      <c r="RQB41" s="424"/>
      <c r="RQC41" s="425"/>
      <c r="RQD41" s="424"/>
      <c r="RQE41" s="425"/>
      <c r="RQF41" s="424"/>
      <c r="RQG41" s="425"/>
      <c r="RQH41" s="424"/>
      <c r="RQI41" s="425"/>
      <c r="RQJ41" s="424"/>
      <c r="RQK41" s="425"/>
      <c r="RQL41" s="424"/>
      <c r="RQM41" s="425"/>
      <c r="RQN41" s="424"/>
      <c r="RQO41" s="425"/>
      <c r="RQP41" s="424"/>
      <c r="RQQ41" s="425"/>
      <c r="RQR41" s="424"/>
      <c r="RQS41" s="425"/>
      <c r="RQT41" s="424"/>
      <c r="RQU41" s="425"/>
      <c r="RQV41" s="424"/>
      <c r="RQW41" s="425"/>
      <c r="RQX41" s="424"/>
      <c r="RQY41" s="425"/>
      <c r="RQZ41" s="424"/>
      <c r="RRA41" s="425"/>
      <c r="RRB41" s="424"/>
      <c r="RRC41" s="425"/>
      <c r="RRD41" s="424"/>
      <c r="RRE41" s="425"/>
      <c r="RRF41" s="424"/>
      <c r="RRG41" s="425"/>
      <c r="RRH41" s="424"/>
      <c r="RRI41" s="425"/>
      <c r="RRJ41" s="424"/>
      <c r="RRK41" s="425"/>
      <c r="RRL41" s="424"/>
      <c r="RRM41" s="425"/>
      <c r="RRN41" s="424"/>
      <c r="RRO41" s="425"/>
      <c r="RRP41" s="424"/>
      <c r="RRQ41" s="425"/>
      <c r="RRR41" s="424"/>
      <c r="RRS41" s="425"/>
      <c r="RRT41" s="424"/>
      <c r="RRU41" s="425"/>
      <c r="RRV41" s="424"/>
      <c r="RRW41" s="425"/>
      <c r="RRX41" s="424"/>
      <c r="RRY41" s="425"/>
      <c r="RRZ41" s="424"/>
      <c r="RSA41" s="425"/>
      <c r="RSB41" s="424"/>
      <c r="RSC41" s="425"/>
      <c r="RSD41" s="424"/>
      <c r="RSE41" s="425"/>
      <c r="RSF41" s="424"/>
      <c r="RSG41" s="425"/>
      <c r="RSH41" s="424"/>
      <c r="RSI41" s="425"/>
      <c r="RSJ41" s="424"/>
      <c r="RSK41" s="425"/>
      <c r="RSL41" s="424"/>
      <c r="RSM41" s="425"/>
      <c r="RSN41" s="424"/>
      <c r="RSO41" s="425"/>
      <c r="RSP41" s="424"/>
      <c r="RSQ41" s="425"/>
      <c r="RSR41" s="424"/>
      <c r="RSS41" s="425"/>
      <c r="RST41" s="424"/>
      <c r="RSU41" s="425"/>
      <c r="RSV41" s="424"/>
      <c r="RSW41" s="425"/>
      <c r="RSX41" s="424"/>
      <c r="RSY41" s="425"/>
      <c r="RSZ41" s="424"/>
      <c r="RTA41" s="425"/>
      <c r="RTB41" s="424"/>
      <c r="RTC41" s="425"/>
      <c r="RTD41" s="424"/>
      <c r="RTE41" s="425"/>
      <c r="RTF41" s="424"/>
      <c r="RTG41" s="425"/>
      <c r="RTH41" s="424"/>
      <c r="RTI41" s="425"/>
      <c r="RTJ41" s="424"/>
      <c r="RTK41" s="425"/>
      <c r="RTL41" s="424"/>
      <c r="RTM41" s="425"/>
      <c r="RTN41" s="424"/>
      <c r="RTO41" s="425"/>
      <c r="RTP41" s="424"/>
      <c r="RTQ41" s="425"/>
      <c r="RTR41" s="424"/>
      <c r="RTS41" s="425"/>
      <c r="RTT41" s="424"/>
      <c r="RTU41" s="425"/>
      <c r="RTV41" s="424"/>
      <c r="RTW41" s="425"/>
      <c r="RTX41" s="424"/>
      <c r="RTY41" s="425"/>
      <c r="RTZ41" s="424"/>
      <c r="RUA41" s="425"/>
      <c r="RUB41" s="424"/>
      <c r="RUC41" s="425"/>
      <c r="RUD41" s="424"/>
      <c r="RUE41" s="425"/>
      <c r="RUF41" s="424"/>
      <c r="RUG41" s="425"/>
      <c r="RUH41" s="424"/>
      <c r="RUI41" s="425"/>
      <c r="RUJ41" s="424"/>
      <c r="RUK41" s="425"/>
      <c r="RUL41" s="424"/>
      <c r="RUM41" s="425"/>
      <c r="RUN41" s="424"/>
      <c r="RUO41" s="425"/>
      <c r="RUP41" s="424"/>
      <c r="RUQ41" s="425"/>
      <c r="RUR41" s="424"/>
      <c r="RUS41" s="425"/>
      <c r="RUT41" s="424"/>
      <c r="RUU41" s="425"/>
      <c r="RUV41" s="424"/>
      <c r="RUW41" s="425"/>
      <c r="RUX41" s="424"/>
      <c r="RUY41" s="425"/>
      <c r="RUZ41" s="424"/>
      <c r="RVA41" s="425"/>
      <c r="RVB41" s="424"/>
      <c r="RVC41" s="425"/>
      <c r="RVD41" s="424"/>
      <c r="RVE41" s="425"/>
      <c r="RVF41" s="424"/>
      <c r="RVG41" s="425"/>
      <c r="RVH41" s="424"/>
      <c r="RVI41" s="425"/>
      <c r="RVJ41" s="424"/>
      <c r="RVK41" s="425"/>
      <c r="RVL41" s="424"/>
      <c r="RVM41" s="425"/>
      <c r="RVN41" s="424"/>
      <c r="RVO41" s="425"/>
      <c r="RVP41" s="424"/>
      <c r="RVQ41" s="425"/>
      <c r="RVR41" s="424"/>
      <c r="RVS41" s="425"/>
      <c r="RVT41" s="424"/>
      <c r="RVU41" s="425"/>
      <c r="RVV41" s="424"/>
      <c r="RVW41" s="425"/>
      <c r="RVX41" s="424"/>
      <c r="RVY41" s="425"/>
      <c r="RVZ41" s="424"/>
      <c r="RWA41" s="425"/>
      <c r="RWB41" s="424"/>
      <c r="RWC41" s="425"/>
      <c r="RWD41" s="424"/>
      <c r="RWE41" s="425"/>
      <c r="RWF41" s="424"/>
      <c r="RWG41" s="425"/>
      <c r="RWH41" s="424"/>
      <c r="RWI41" s="425"/>
      <c r="RWJ41" s="424"/>
      <c r="RWK41" s="425"/>
      <c r="RWL41" s="424"/>
      <c r="RWM41" s="425"/>
      <c r="RWN41" s="424"/>
      <c r="RWO41" s="425"/>
      <c r="RWP41" s="424"/>
      <c r="RWQ41" s="425"/>
      <c r="RWR41" s="424"/>
      <c r="RWS41" s="425"/>
      <c r="RWT41" s="424"/>
      <c r="RWU41" s="425"/>
      <c r="RWV41" s="424"/>
      <c r="RWW41" s="425"/>
      <c r="RWX41" s="424"/>
      <c r="RWY41" s="425"/>
      <c r="RWZ41" s="424"/>
      <c r="RXA41" s="425"/>
      <c r="RXB41" s="424"/>
      <c r="RXC41" s="425"/>
      <c r="RXD41" s="424"/>
      <c r="RXE41" s="425"/>
      <c r="RXF41" s="424"/>
      <c r="RXG41" s="425"/>
      <c r="RXH41" s="424"/>
      <c r="RXI41" s="425"/>
      <c r="RXJ41" s="424"/>
      <c r="RXK41" s="425"/>
      <c r="RXL41" s="424"/>
      <c r="RXM41" s="425"/>
      <c r="RXN41" s="424"/>
      <c r="RXO41" s="425"/>
      <c r="RXP41" s="424"/>
      <c r="RXQ41" s="425"/>
      <c r="RXR41" s="424"/>
      <c r="RXS41" s="425"/>
      <c r="RXT41" s="424"/>
      <c r="RXU41" s="425"/>
      <c r="RXV41" s="424"/>
      <c r="RXW41" s="425"/>
      <c r="RXX41" s="424"/>
      <c r="RXY41" s="425"/>
      <c r="RXZ41" s="424"/>
      <c r="RYA41" s="425"/>
      <c r="RYB41" s="424"/>
      <c r="RYC41" s="425"/>
      <c r="RYD41" s="424"/>
      <c r="RYE41" s="425"/>
      <c r="RYF41" s="424"/>
      <c r="RYG41" s="425"/>
      <c r="RYH41" s="424"/>
      <c r="RYI41" s="425"/>
      <c r="RYJ41" s="424"/>
      <c r="RYK41" s="425"/>
      <c r="RYL41" s="424"/>
      <c r="RYM41" s="425"/>
      <c r="RYN41" s="424"/>
      <c r="RYO41" s="425"/>
      <c r="RYP41" s="424"/>
      <c r="RYQ41" s="425"/>
      <c r="RYR41" s="424"/>
      <c r="RYS41" s="425"/>
      <c r="RYT41" s="424"/>
      <c r="RYU41" s="425"/>
      <c r="RYV41" s="424"/>
      <c r="RYW41" s="425"/>
      <c r="RYX41" s="424"/>
      <c r="RYY41" s="425"/>
      <c r="RYZ41" s="424"/>
      <c r="RZA41" s="425"/>
      <c r="RZB41" s="424"/>
      <c r="RZC41" s="425"/>
      <c r="RZD41" s="424"/>
      <c r="RZE41" s="425"/>
      <c r="RZF41" s="424"/>
      <c r="RZG41" s="425"/>
      <c r="RZH41" s="424"/>
      <c r="RZI41" s="425"/>
      <c r="RZJ41" s="424"/>
      <c r="RZK41" s="425"/>
      <c r="RZL41" s="424"/>
      <c r="RZM41" s="425"/>
      <c r="RZN41" s="424"/>
      <c r="RZO41" s="425"/>
      <c r="RZP41" s="424"/>
      <c r="RZQ41" s="425"/>
      <c r="RZR41" s="424"/>
      <c r="RZS41" s="425"/>
      <c r="RZT41" s="424"/>
      <c r="RZU41" s="425"/>
      <c r="RZV41" s="424"/>
      <c r="RZW41" s="425"/>
      <c r="RZX41" s="424"/>
      <c r="RZY41" s="425"/>
      <c r="RZZ41" s="424"/>
      <c r="SAA41" s="425"/>
      <c r="SAB41" s="424"/>
      <c r="SAC41" s="425"/>
      <c r="SAD41" s="424"/>
      <c r="SAE41" s="425"/>
      <c r="SAF41" s="424"/>
      <c r="SAG41" s="425"/>
      <c r="SAH41" s="424"/>
      <c r="SAI41" s="425"/>
      <c r="SAJ41" s="424"/>
      <c r="SAK41" s="425"/>
      <c r="SAL41" s="424"/>
      <c r="SAM41" s="425"/>
      <c r="SAN41" s="424"/>
      <c r="SAO41" s="425"/>
      <c r="SAP41" s="424"/>
      <c r="SAQ41" s="425"/>
      <c r="SAR41" s="424"/>
      <c r="SAS41" s="425"/>
      <c r="SAT41" s="424"/>
      <c r="SAU41" s="425"/>
      <c r="SAV41" s="424"/>
      <c r="SAW41" s="425"/>
      <c r="SAX41" s="424"/>
      <c r="SAY41" s="425"/>
      <c r="SAZ41" s="424"/>
      <c r="SBA41" s="425"/>
      <c r="SBB41" s="424"/>
      <c r="SBC41" s="425"/>
      <c r="SBD41" s="424"/>
      <c r="SBE41" s="425"/>
      <c r="SBF41" s="424"/>
      <c r="SBG41" s="425"/>
      <c r="SBH41" s="424"/>
      <c r="SBI41" s="425"/>
      <c r="SBJ41" s="424"/>
      <c r="SBK41" s="425"/>
      <c r="SBL41" s="424"/>
      <c r="SBM41" s="425"/>
      <c r="SBN41" s="424"/>
      <c r="SBO41" s="425"/>
      <c r="SBP41" s="424"/>
      <c r="SBQ41" s="425"/>
      <c r="SBR41" s="424"/>
      <c r="SBS41" s="425"/>
      <c r="SBT41" s="424"/>
      <c r="SBU41" s="425"/>
      <c r="SBV41" s="424"/>
      <c r="SBW41" s="425"/>
      <c r="SBX41" s="424"/>
      <c r="SBY41" s="425"/>
      <c r="SBZ41" s="424"/>
      <c r="SCA41" s="425"/>
      <c r="SCB41" s="424"/>
      <c r="SCC41" s="425"/>
      <c r="SCD41" s="424"/>
      <c r="SCE41" s="425"/>
      <c r="SCF41" s="424"/>
      <c r="SCG41" s="425"/>
      <c r="SCH41" s="424"/>
      <c r="SCI41" s="425"/>
      <c r="SCJ41" s="424"/>
      <c r="SCK41" s="425"/>
      <c r="SCL41" s="424"/>
      <c r="SCM41" s="425"/>
      <c r="SCN41" s="424"/>
      <c r="SCO41" s="425"/>
      <c r="SCP41" s="424"/>
      <c r="SCQ41" s="425"/>
      <c r="SCR41" s="424"/>
      <c r="SCS41" s="425"/>
      <c r="SCT41" s="424"/>
      <c r="SCU41" s="425"/>
      <c r="SCV41" s="424"/>
      <c r="SCW41" s="425"/>
      <c r="SCX41" s="424"/>
      <c r="SCY41" s="425"/>
      <c r="SCZ41" s="424"/>
      <c r="SDA41" s="425"/>
      <c r="SDB41" s="424"/>
      <c r="SDC41" s="425"/>
      <c r="SDD41" s="424"/>
      <c r="SDE41" s="425"/>
      <c r="SDF41" s="424"/>
      <c r="SDG41" s="425"/>
      <c r="SDH41" s="424"/>
      <c r="SDI41" s="425"/>
      <c r="SDJ41" s="424"/>
      <c r="SDK41" s="425"/>
      <c r="SDL41" s="424"/>
      <c r="SDM41" s="425"/>
      <c r="SDN41" s="424"/>
      <c r="SDO41" s="425"/>
      <c r="SDP41" s="424"/>
      <c r="SDQ41" s="425"/>
      <c r="SDR41" s="424"/>
      <c r="SDS41" s="425"/>
      <c r="SDT41" s="424"/>
      <c r="SDU41" s="425"/>
      <c r="SDV41" s="424"/>
      <c r="SDW41" s="425"/>
      <c r="SDX41" s="424"/>
      <c r="SDY41" s="425"/>
      <c r="SDZ41" s="424"/>
      <c r="SEA41" s="425"/>
      <c r="SEB41" s="424"/>
      <c r="SEC41" s="425"/>
      <c r="SED41" s="424"/>
      <c r="SEE41" s="425"/>
      <c r="SEF41" s="424"/>
      <c r="SEG41" s="425"/>
      <c r="SEH41" s="424"/>
      <c r="SEI41" s="425"/>
      <c r="SEJ41" s="424"/>
      <c r="SEK41" s="425"/>
      <c r="SEL41" s="424"/>
      <c r="SEM41" s="425"/>
      <c r="SEN41" s="424"/>
      <c r="SEO41" s="425"/>
      <c r="SEP41" s="424"/>
      <c r="SEQ41" s="425"/>
      <c r="SER41" s="424"/>
      <c r="SES41" s="425"/>
      <c r="SET41" s="424"/>
      <c r="SEU41" s="425"/>
      <c r="SEV41" s="424"/>
      <c r="SEW41" s="425"/>
      <c r="SEX41" s="424"/>
      <c r="SEY41" s="425"/>
      <c r="SEZ41" s="424"/>
      <c r="SFA41" s="425"/>
      <c r="SFB41" s="424"/>
      <c r="SFC41" s="425"/>
      <c r="SFD41" s="424"/>
      <c r="SFE41" s="425"/>
      <c r="SFF41" s="424"/>
      <c r="SFG41" s="425"/>
      <c r="SFH41" s="424"/>
      <c r="SFI41" s="425"/>
      <c r="SFJ41" s="424"/>
      <c r="SFK41" s="425"/>
      <c r="SFL41" s="424"/>
      <c r="SFM41" s="425"/>
      <c r="SFN41" s="424"/>
      <c r="SFO41" s="425"/>
      <c r="SFP41" s="424"/>
      <c r="SFQ41" s="425"/>
      <c r="SFR41" s="424"/>
      <c r="SFS41" s="425"/>
      <c r="SFT41" s="424"/>
      <c r="SFU41" s="425"/>
      <c r="SFV41" s="424"/>
      <c r="SFW41" s="425"/>
      <c r="SFX41" s="424"/>
      <c r="SFY41" s="425"/>
      <c r="SFZ41" s="424"/>
      <c r="SGA41" s="425"/>
      <c r="SGB41" s="424"/>
      <c r="SGC41" s="425"/>
      <c r="SGD41" s="424"/>
      <c r="SGE41" s="425"/>
      <c r="SGF41" s="424"/>
      <c r="SGG41" s="425"/>
      <c r="SGH41" s="424"/>
      <c r="SGI41" s="425"/>
      <c r="SGJ41" s="424"/>
      <c r="SGK41" s="425"/>
      <c r="SGL41" s="424"/>
      <c r="SGM41" s="425"/>
      <c r="SGN41" s="424"/>
      <c r="SGO41" s="425"/>
      <c r="SGP41" s="424"/>
      <c r="SGQ41" s="425"/>
      <c r="SGR41" s="424"/>
      <c r="SGS41" s="425"/>
      <c r="SGT41" s="424"/>
      <c r="SGU41" s="425"/>
      <c r="SGV41" s="424"/>
      <c r="SGW41" s="425"/>
      <c r="SGX41" s="424"/>
      <c r="SGY41" s="425"/>
      <c r="SGZ41" s="424"/>
      <c r="SHA41" s="425"/>
      <c r="SHB41" s="424"/>
      <c r="SHC41" s="425"/>
      <c r="SHD41" s="424"/>
      <c r="SHE41" s="425"/>
      <c r="SHF41" s="424"/>
      <c r="SHG41" s="425"/>
      <c r="SHH41" s="424"/>
      <c r="SHI41" s="425"/>
      <c r="SHJ41" s="424"/>
      <c r="SHK41" s="425"/>
      <c r="SHL41" s="424"/>
      <c r="SHM41" s="425"/>
      <c r="SHN41" s="424"/>
      <c r="SHO41" s="425"/>
      <c r="SHP41" s="424"/>
      <c r="SHQ41" s="425"/>
      <c r="SHR41" s="424"/>
      <c r="SHS41" s="425"/>
      <c r="SHT41" s="424"/>
      <c r="SHU41" s="425"/>
      <c r="SHV41" s="424"/>
      <c r="SHW41" s="425"/>
      <c r="SHX41" s="424"/>
      <c r="SHY41" s="425"/>
      <c r="SHZ41" s="424"/>
      <c r="SIA41" s="425"/>
      <c r="SIB41" s="424"/>
      <c r="SIC41" s="425"/>
      <c r="SID41" s="424"/>
      <c r="SIE41" s="425"/>
      <c r="SIF41" s="424"/>
      <c r="SIG41" s="425"/>
      <c r="SIH41" s="424"/>
      <c r="SII41" s="425"/>
      <c r="SIJ41" s="424"/>
      <c r="SIK41" s="425"/>
      <c r="SIL41" s="424"/>
      <c r="SIM41" s="425"/>
      <c r="SIN41" s="424"/>
      <c r="SIO41" s="425"/>
      <c r="SIP41" s="424"/>
      <c r="SIQ41" s="425"/>
      <c r="SIR41" s="424"/>
      <c r="SIS41" s="425"/>
      <c r="SIT41" s="424"/>
      <c r="SIU41" s="425"/>
      <c r="SIV41" s="424"/>
      <c r="SIW41" s="425"/>
      <c r="SIX41" s="424"/>
      <c r="SIY41" s="425"/>
      <c r="SIZ41" s="424"/>
      <c r="SJA41" s="425"/>
      <c r="SJB41" s="424"/>
      <c r="SJC41" s="425"/>
      <c r="SJD41" s="424"/>
      <c r="SJE41" s="425"/>
      <c r="SJF41" s="424"/>
      <c r="SJG41" s="425"/>
      <c r="SJH41" s="424"/>
      <c r="SJI41" s="425"/>
      <c r="SJJ41" s="424"/>
      <c r="SJK41" s="425"/>
      <c r="SJL41" s="424"/>
      <c r="SJM41" s="425"/>
      <c r="SJN41" s="424"/>
      <c r="SJO41" s="425"/>
      <c r="SJP41" s="424"/>
      <c r="SJQ41" s="425"/>
      <c r="SJR41" s="424"/>
      <c r="SJS41" s="425"/>
      <c r="SJT41" s="424"/>
      <c r="SJU41" s="425"/>
      <c r="SJV41" s="424"/>
      <c r="SJW41" s="425"/>
      <c r="SJX41" s="424"/>
      <c r="SJY41" s="425"/>
      <c r="SJZ41" s="424"/>
      <c r="SKA41" s="425"/>
      <c r="SKB41" s="424"/>
      <c r="SKC41" s="425"/>
      <c r="SKD41" s="424"/>
      <c r="SKE41" s="425"/>
      <c r="SKF41" s="424"/>
      <c r="SKG41" s="425"/>
      <c r="SKH41" s="424"/>
      <c r="SKI41" s="425"/>
      <c r="SKJ41" s="424"/>
      <c r="SKK41" s="425"/>
      <c r="SKL41" s="424"/>
      <c r="SKM41" s="425"/>
      <c r="SKN41" s="424"/>
      <c r="SKO41" s="425"/>
      <c r="SKP41" s="424"/>
      <c r="SKQ41" s="425"/>
      <c r="SKR41" s="424"/>
      <c r="SKS41" s="425"/>
      <c r="SKT41" s="424"/>
      <c r="SKU41" s="425"/>
      <c r="SKV41" s="424"/>
      <c r="SKW41" s="425"/>
      <c r="SKX41" s="424"/>
      <c r="SKY41" s="425"/>
      <c r="SKZ41" s="424"/>
      <c r="SLA41" s="425"/>
      <c r="SLB41" s="424"/>
      <c r="SLC41" s="425"/>
      <c r="SLD41" s="424"/>
      <c r="SLE41" s="425"/>
      <c r="SLF41" s="424"/>
      <c r="SLG41" s="425"/>
      <c r="SLH41" s="424"/>
      <c r="SLI41" s="425"/>
      <c r="SLJ41" s="424"/>
      <c r="SLK41" s="425"/>
      <c r="SLL41" s="424"/>
      <c r="SLM41" s="425"/>
      <c r="SLN41" s="424"/>
      <c r="SLO41" s="425"/>
      <c r="SLP41" s="424"/>
      <c r="SLQ41" s="425"/>
      <c r="SLR41" s="424"/>
      <c r="SLS41" s="425"/>
      <c r="SLT41" s="424"/>
      <c r="SLU41" s="425"/>
      <c r="SLV41" s="424"/>
      <c r="SLW41" s="425"/>
      <c r="SLX41" s="424"/>
      <c r="SLY41" s="425"/>
      <c r="SLZ41" s="424"/>
      <c r="SMA41" s="425"/>
      <c r="SMB41" s="424"/>
      <c r="SMC41" s="425"/>
      <c r="SMD41" s="424"/>
      <c r="SME41" s="425"/>
      <c r="SMF41" s="424"/>
      <c r="SMG41" s="425"/>
      <c r="SMH41" s="424"/>
      <c r="SMI41" s="425"/>
      <c r="SMJ41" s="424"/>
      <c r="SMK41" s="425"/>
      <c r="SML41" s="424"/>
      <c r="SMM41" s="425"/>
      <c r="SMN41" s="424"/>
      <c r="SMO41" s="425"/>
      <c r="SMP41" s="424"/>
      <c r="SMQ41" s="425"/>
      <c r="SMR41" s="424"/>
      <c r="SMS41" s="425"/>
      <c r="SMT41" s="424"/>
      <c r="SMU41" s="425"/>
      <c r="SMV41" s="424"/>
      <c r="SMW41" s="425"/>
      <c r="SMX41" s="424"/>
      <c r="SMY41" s="425"/>
      <c r="SMZ41" s="424"/>
      <c r="SNA41" s="425"/>
      <c r="SNB41" s="424"/>
      <c r="SNC41" s="425"/>
      <c r="SND41" s="424"/>
      <c r="SNE41" s="425"/>
      <c r="SNF41" s="424"/>
      <c r="SNG41" s="425"/>
      <c r="SNH41" s="424"/>
      <c r="SNI41" s="425"/>
      <c r="SNJ41" s="424"/>
      <c r="SNK41" s="425"/>
      <c r="SNL41" s="424"/>
      <c r="SNM41" s="425"/>
      <c r="SNN41" s="424"/>
      <c r="SNO41" s="425"/>
      <c r="SNP41" s="424"/>
      <c r="SNQ41" s="425"/>
      <c r="SNR41" s="424"/>
      <c r="SNS41" s="425"/>
      <c r="SNT41" s="424"/>
      <c r="SNU41" s="425"/>
      <c r="SNV41" s="424"/>
      <c r="SNW41" s="425"/>
      <c r="SNX41" s="424"/>
      <c r="SNY41" s="425"/>
      <c r="SNZ41" s="424"/>
      <c r="SOA41" s="425"/>
      <c r="SOB41" s="424"/>
      <c r="SOC41" s="425"/>
      <c r="SOD41" s="424"/>
      <c r="SOE41" s="425"/>
      <c r="SOF41" s="424"/>
      <c r="SOG41" s="425"/>
      <c r="SOH41" s="424"/>
      <c r="SOI41" s="425"/>
      <c r="SOJ41" s="424"/>
      <c r="SOK41" s="425"/>
      <c r="SOL41" s="424"/>
      <c r="SOM41" s="425"/>
      <c r="SON41" s="424"/>
      <c r="SOO41" s="425"/>
      <c r="SOP41" s="424"/>
      <c r="SOQ41" s="425"/>
      <c r="SOR41" s="424"/>
      <c r="SOS41" s="425"/>
      <c r="SOT41" s="424"/>
      <c r="SOU41" s="425"/>
      <c r="SOV41" s="424"/>
      <c r="SOW41" s="425"/>
      <c r="SOX41" s="424"/>
      <c r="SOY41" s="425"/>
      <c r="SOZ41" s="424"/>
      <c r="SPA41" s="425"/>
      <c r="SPB41" s="424"/>
      <c r="SPC41" s="425"/>
      <c r="SPD41" s="424"/>
      <c r="SPE41" s="425"/>
      <c r="SPF41" s="424"/>
      <c r="SPG41" s="425"/>
      <c r="SPH41" s="424"/>
      <c r="SPI41" s="425"/>
      <c r="SPJ41" s="424"/>
      <c r="SPK41" s="425"/>
      <c r="SPL41" s="424"/>
      <c r="SPM41" s="425"/>
      <c r="SPN41" s="424"/>
      <c r="SPO41" s="425"/>
      <c r="SPP41" s="424"/>
      <c r="SPQ41" s="425"/>
      <c r="SPR41" s="424"/>
      <c r="SPS41" s="425"/>
      <c r="SPT41" s="424"/>
      <c r="SPU41" s="425"/>
      <c r="SPV41" s="424"/>
      <c r="SPW41" s="425"/>
      <c r="SPX41" s="424"/>
      <c r="SPY41" s="425"/>
      <c r="SPZ41" s="424"/>
      <c r="SQA41" s="425"/>
      <c r="SQB41" s="424"/>
      <c r="SQC41" s="425"/>
      <c r="SQD41" s="424"/>
      <c r="SQE41" s="425"/>
      <c r="SQF41" s="424"/>
      <c r="SQG41" s="425"/>
      <c r="SQH41" s="424"/>
      <c r="SQI41" s="425"/>
      <c r="SQJ41" s="424"/>
      <c r="SQK41" s="425"/>
      <c r="SQL41" s="424"/>
      <c r="SQM41" s="425"/>
      <c r="SQN41" s="424"/>
      <c r="SQO41" s="425"/>
      <c r="SQP41" s="424"/>
      <c r="SQQ41" s="425"/>
      <c r="SQR41" s="424"/>
      <c r="SQS41" s="425"/>
      <c r="SQT41" s="424"/>
      <c r="SQU41" s="425"/>
      <c r="SQV41" s="424"/>
      <c r="SQW41" s="425"/>
      <c r="SQX41" s="424"/>
      <c r="SQY41" s="425"/>
      <c r="SQZ41" s="424"/>
      <c r="SRA41" s="425"/>
      <c r="SRB41" s="424"/>
      <c r="SRC41" s="425"/>
      <c r="SRD41" s="424"/>
      <c r="SRE41" s="425"/>
      <c r="SRF41" s="424"/>
      <c r="SRG41" s="425"/>
      <c r="SRH41" s="424"/>
      <c r="SRI41" s="425"/>
      <c r="SRJ41" s="424"/>
      <c r="SRK41" s="425"/>
      <c r="SRL41" s="424"/>
      <c r="SRM41" s="425"/>
      <c r="SRN41" s="424"/>
      <c r="SRO41" s="425"/>
      <c r="SRP41" s="424"/>
      <c r="SRQ41" s="425"/>
      <c r="SRR41" s="424"/>
      <c r="SRS41" s="425"/>
      <c r="SRT41" s="424"/>
      <c r="SRU41" s="425"/>
      <c r="SRV41" s="424"/>
      <c r="SRW41" s="425"/>
      <c r="SRX41" s="424"/>
      <c r="SRY41" s="425"/>
      <c r="SRZ41" s="424"/>
      <c r="SSA41" s="425"/>
      <c r="SSB41" s="424"/>
      <c r="SSC41" s="425"/>
      <c r="SSD41" s="424"/>
      <c r="SSE41" s="425"/>
      <c r="SSF41" s="424"/>
      <c r="SSG41" s="425"/>
      <c r="SSH41" s="424"/>
      <c r="SSI41" s="425"/>
      <c r="SSJ41" s="424"/>
      <c r="SSK41" s="425"/>
      <c r="SSL41" s="424"/>
      <c r="SSM41" s="425"/>
      <c r="SSN41" s="424"/>
      <c r="SSO41" s="425"/>
      <c r="SSP41" s="424"/>
      <c r="SSQ41" s="425"/>
      <c r="SSR41" s="424"/>
      <c r="SSS41" s="425"/>
      <c r="SST41" s="424"/>
      <c r="SSU41" s="425"/>
      <c r="SSV41" s="424"/>
      <c r="SSW41" s="425"/>
      <c r="SSX41" s="424"/>
      <c r="SSY41" s="425"/>
      <c r="SSZ41" s="424"/>
      <c r="STA41" s="425"/>
      <c r="STB41" s="424"/>
      <c r="STC41" s="425"/>
      <c r="STD41" s="424"/>
      <c r="STE41" s="425"/>
      <c r="STF41" s="424"/>
      <c r="STG41" s="425"/>
      <c r="STH41" s="424"/>
      <c r="STI41" s="425"/>
      <c r="STJ41" s="424"/>
      <c r="STK41" s="425"/>
      <c r="STL41" s="424"/>
      <c r="STM41" s="425"/>
      <c r="STN41" s="424"/>
      <c r="STO41" s="425"/>
      <c r="STP41" s="424"/>
      <c r="STQ41" s="425"/>
      <c r="STR41" s="424"/>
      <c r="STS41" s="425"/>
      <c r="STT41" s="424"/>
      <c r="STU41" s="425"/>
      <c r="STV41" s="424"/>
      <c r="STW41" s="425"/>
      <c r="STX41" s="424"/>
      <c r="STY41" s="425"/>
      <c r="STZ41" s="424"/>
      <c r="SUA41" s="425"/>
      <c r="SUB41" s="424"/>
      <c r="SUC41" s="425"/>
      <c r="SUD41" s="424"/>
      <c r="SUE41" s="425"/>
      <c r="SUF41" s="424"/>
      <c r="SUG41" s="425"/>
      <c r="SUH41" s="424"/>
      <c r="SUI41" s="425"/>
      <c r="SUJ41" s="424"/>
      <c r="SUK41" s="425"/>
      <c r="SUL41" s="424"/>
      <c r="SUM41" s="425"/>
      <c r="SUN41" s="424"/>
      <c r="SUO41" s="425"/>
      <c r="SUP41" s="424"/>
      <c r="SUQ41" s="425"/>
      <c r="SUR41" s="424"/>
      <c r="SUS41" s="425"/>
      <c r="SUT41" s="424"/>
      <c r="SUU41" s="425"/>
      <c r="SUV41" s="424"/>
      <c r="SUW41" s="425"/>
      <c r="SUX41" s="424"/>
      <c r="SUY41" s="425"/>
      <c r="SUZ41" s="424"/>
      <c r="SVA41" s="425"/>
      <c r="SVB41" s="424"/>
      <c r="SVC41" s="425"/>
      <c r="SVD41" s="424"/>
      <c r="SVE41" s="425"/>
      <c r="SVF41" s="424"/>
      <c r="SVG41" s="425"/>
      <c r="SVH41" s="424"/>
      <c r="SVI41" s="425"/>
      <c r="SVJ41" s="424"/>
      <c r="SVK41" s="425"/>
      <c r="SVL41" s="424"/>
      <c r="SVM41" s="425"/>
      <c r="SVN41" s="424"/>
      <c r="SVO41" s="425"/>
      <c r="SVP41" s="424"/>
      <c r="SVQ41" s="425"/>
      <c r="SVR41" s="424"/>
      <c r="SVS41" s="425"/>
      <c r="SVT41" s="424"/>
      <c r="SVU41" s="425"/>
      <c r="SVV41" s="424"/>
      <c r="SVW41" s="425"/>
      <c r="SVX41" s="424"/>
      <c r="SVY41" s="425"/>
      <c r="SVZ41" s="424"/>
      <c r="SWA41" s="425"/>
      <c r="SWB41" s="424"/>
      <c r="SWC41" s="425"/>
      <c r="SWD41" s="424"/>
      <c r="SWE41" s="425"/>
      <c r="SWF41" s="424"/>
      <c r="SWG41" s="425"/>
      <c r="SWH41" s="424"/>
      <c r="SWI41" s="425"/>
      <c r="SWJ41" s="424"/>
      <c r="SWK41" s="425"/>
      <c r="SWL41" s="424"/>
      <c r="SWM41" s="425"/>
      <c r="SWN41" s="424"/>
      <c r="SWO41" s="425"/>
      <c r="SWP41" s="424"/>
      <c r="SWQ41" s="425"/>
      <c r="SWR41" s="424"/>
      <c r="SWS41" s="425"/>
      <c r="SWT41" s="424"/>
      <c r="SWU41" s="425"/>
      <c r="SWV41" s="424"/>
      <c r="SWW41" s="425"/>
      <c r="SWX41" s="424"/>
      <c r="SWY41" s="425"/>
      <c r="SWZ41" s="424"/>
      <c r="SXA41" s="425"/>
      <c r="SXB41" s="424"/>
      <c r="SXC41" s="425"/>
      <c r="SXD41" s="424"/>
      <c r="SXE41" s="425"/>
      <c r="SXF41" s="424"/>
      <c r="SXG41" s="425"/>
      <c r="SXH41" s="424"/>
      <c r="SXI41" s="425"/>
      <c r="SXJ41" s="424"/>
      <c r="SXK41" s="425"/>
      <c r="SXL41" s="424"/>
      <c r="SXM41" s="425"/>
      <c r="SXN41" s="424"/>
      <c r="SXO41" s="425"/>
      <c r="SXP41" s="424"/>
      <c r="SXQ41" s="425"/>
      <c r="SXR41" s="424"/>
      <c r="SXS41" s="425"/>
      <c r="SXT41" s="424"/>
      <c r="SXU41" s="425"/>
      <c r="SXV41" s="424"/>
      <c r="SXW41" s="425"/>
      <c r="SXX41" s="424"/>
      <c r="SXY41" s="425"/>
      <c r="SXZ41" s="424"/>
      <c r="SYA41" s="425"/>
      <c r="SYB41" s="424"/>
      <c r="SYC41" s="425"/>
      <c r="SYD41" s="424"/>
      <c r="SYE41" s="425"/>
      <c r="SYF41" s="424"/>
      <c r="SYG41" s="425"/>
      <c r="SYH41" s="424"/>
      <c r="SYI41" s="425"/>
      <c r="SYJ41" s="424"/>
      <c r="SYK41" s="425"/>
      <c r="SYL41" s="424"/>
      <c r="SYM41" s="425"/>
      <c r="SYN41" s="424"/>
      <c r="SYO41" s="425"/>
      <c r="SYP41" s="424"/>
      <c r="SYQ41" s="425"/>
      <c r="SYR41" s="424"/>
      <c r="SYS41" s="425"/>
      <c r="SYT41" s="424"/>
      <c r="SYU41" s="425"/>
      <c r="SYV41" s="424"/>
      <c r="SYW41" s="425"/>
      <c r="SYX41" s="424"/>
      <c r="SYY41" s="425"/>
      <c r="SYZ41" s="424"/>
      <c r="SZA41" s="425"/>
      <c r="SZB41" s="424"/>
      <c r="SZC41" s="425"/>
      <c r="SZD41" s="424"/>
      <c r="SZE41" s="425"/>
      <c r="SZF41" s="424"/>
      <c r="SZG41" s="425"/>
      <c r="SZH41" s="424"/>
      <c r="SZI41" s="425"/>
      <c r="SZJ41" s="424"/>
      <c r="SZK41" s="425"/>
      <c r="SZL41" s="424"/>
      <c r="SZM41" s="425"/>
      <c r="SZN41" s="424"/>
      <c r="SZO41" s="425"/>
      <c r="SZP41" s="424"/>
      <c r="SZQ41" s="425"/>
      <c r="SZR41" s="424"/>
      <c r="SZS41" s="425"/>
      <c r="SZT41" s="424"/>
      <c r="SZU41" s="425"/>
      <c r="SZV41" s="424"/>
      <c r="SZW41" s="425"/>
      <c r="SZX41" s="424"/>
      <c r="SZY41" s="425"/>
      <c r="SZZ41" s="424"/>
      <c r="TAA41" s="425"/>
      <c r="TAB41" s="424"/>
      <c r="TAC41" s="425"/>
      <c r="TAD41" s="424"/>
      <c r="TAE41" s="425"/>
      <c r="TAF41" s="424"/>
      <c r="TAG41" s="425"/>
      <c r="TAH41" s="424"/>
      <c r="TAI41" s="425"/>
      <c r="TAJ41" s="424"/>
      <c r="TAK41" s="425"/>
      <c r="TAL41" s="424"/>
      <c r="TAM41" s="425"/>
      <c r="TAN41" s="424"/>
      <c r="TAO41" s="425"/>
      <c r="TAP41" s="424"/>
      <c r="TAQ41" s="425"/>
      <c r="TAR41" s="424"/>
      <c r="TAS41" s="425"/>
      <c r="TAT41" s="424"/>
      <c r="TAU41" s="425"/>
      <c r="TAV41" s="424"/>
      <c r="TAW41" s="425"/>
      <c r="TAX41" s="424"/>
      <c r="TAY41" s="425"/>
      <c r="TAZ41" s="424"/>
      <c r="TBA41" s="425"/>
      <c r="TBB41" s="424"/>
      <c r="TBC41" s="425"/>
      <c r="TBD41" s="424"/>
      <c r="TBE41" s="425"/>
      <c r="TBF41" s="424"/>
      <c r="TBG41" s="425"/>
      <c r="TBH41" s="424"/>
      <c r="TBI41" s="425"/>
      <c r="TBJ41" s="424"/>
      <c r="TBK41" s="425"/>
      <c r="TBL41" s="424"/>
      <c r="TBM41" s="425"/>
      <c r="TBN41" s="424"/>
      <c r="TBO41" s="425"/>
      <c r="TBP41" s="424"/>
      <c r="TBQ41" s="425"/>
      <c r="TBR41" s="424"/>
      <c r="TBS41" s="425"/>
      <c r="TBT41" s="424"/>
      <c r="TBU41" s="425"/>
      <c r="TBV41" s="424"/>
      <c r="TBW41" s="425"/>
      <c r="TBX41" s="424"/>
      <c r="TBY41" s="425"/>
      <c r="TBZ41" s="424"/>
      <c r="TCA41" s="425"/>
      <c r="TCB41" s="424"/>
      <c r="TCC41" s="425"/>
      <c r="TCD41" s="424"/>
      <c r="TCE41" s="425"/>
      <c r="TCF41" s="424"/>
      <c r="TCG41" s="425"/>
      <c r="TCH41" s="424"/>
      <c r="TCI41" s="425"/>
      <c r="TCJ41" s="424"/>
      <c r="TCK41" s="425"/>
      <c r="TCL41" s="424"/>
      <c r="TCM41" s="425"/>
      <c r="TCN41" s="424"/>
      <c r="TCO41" s="425"/>
      <c r="TCP41" s="424"/>
      <c r="TCQ41" s="425"/>
      <c r="TCR41" s="424"/>
      <c r="TCS41" s="425"/>
      <c r="TCT41" s="424"/>
      <c r="TCU41" s="425"/>
      <c r="TCV41" s="424"/>
      <c r="TCW41" s="425"/>
      <c r="TCX41" s="424"/>
      <c r="TCY41" s="425"/>
      <c r="TCZ41" s="424"/>
      <c r="TDA41" s="425"/>
      <c r="TDB41" s="424"/>
      <c r="TDC41" s="425"/>
      <c r="TDD41" s="424"/>
      <c r="TDE41" s="425"/>
      <c r="TDF41" s="424"/>
      <c r="TDG41" s="425"/>
      <c r="TDH41" s="424"/>
      <c r="TDI41" s="425"/>
      <c r="TDJ41" s="424"/>
      <c r="TDK41" s="425"/>
      <c r="TDL41" s="424"/>
      <c r="TDM41" s="425"/>
      <c r="TDN41" s="424"/>
      <c r="TDO41" s="425"/>
      <c r="TDP41" s="424"/>
      <c r="TDQ41" s="425"/>
      <c r="TDR41" s="424"/>
      <c r="TDS41" s="425"/>
      <c r="TDT41" s="424"/>
      <c r="TDU41" s="425"/>
      <c r="TDV41" s="424"/>
      <c r="TDW41" s="425"/>
      <c r="TDX41" s="424"/>
      <c r="TDY41" s="425"/>
      <c r="TDZ41" s="424"/>
      <c r="TEA41" s="425"/>
      <c r="TEB41" s="424"/>
      <c r="TEC41" s="425"/>
      <c r="TED41" s="424"/>
      <c r="TEE41" s="425"/>
      <c r="TEF41" s="424"/>
      <c r="TEG41" s="425"/>
      <c r="TEH41" s="424"/>
      <c r="TEI41" s="425"/>
      <c r="TEJ41" s="424"/>
      <c r="TEK41" s="425"/>
      <c r="TEL41" s="424"/>
      <c r="TEM41" s="425"/>
      <c r="TEN41" s="424"/>
      <c r="TEO41" s="425"/>
      <c r="TEP41" s="424"/>
      <c r="TEQ41" s="425"/>
      <c r="TER41" s="424"/>
      <c r="TES41" s="425"/>
      <c r="TET41" s="424"/>
      <c r="TEU41" s="425"/>
      <c r="TEV41" s="424"/>
      <c r="TEW41" s="425"/>
      <c r="TEX41" s="424"/>
      <c r="TEY41" s="425"/>
      <c r="TEZ41" s="424"/>
      <c r="TFA41" s="425"/>
      <c r="TFB41" s="424"/>
      <c r="TFC41" s="425"/>
      <c r="TFD41" s="424"/>
      <c r="TFE41" s="425"/>
      <c r="TFF41" s="424"/>
      <c r="TFG41" s="425"/>
      <c r="TFH41" s="424"/>
      <c r="TFI41" s="425"/>
      <c r="TFJ41" s="424"/>
      <c r="TFK41" s="425"/>
      <c r="TFL41" s="424"/>
      <c r="TFM41" s="425"/>
      <c r="TFN41" s="424"/>
      <c r="TFO41" s="425"/>
      <c r="TFP41" s="424"/>
      <c r="TFQ41" s="425"/>
      <c r="TFR41" s="424"/>
      <c r="TFS41" s="425"/>
      <c r="TFT41" s="424"/>
      <c r="TFU41" s="425"/>
      <c r="TFV41" s="424"/>
      <c r="TFW41" s="425"/>
      <c r="TFX41" s="424"/>
      <c r="TFY41" s="425"/>
      <c r="TFZ41" s="424"/>
      <c r="TGA41" s="425"/>
      <c r="TGB41" s="424"/>
      <c r="TGC41" s="425"/>
      <c r="TGD41" s="424"/>
      <c r="TGE41" s="425"/>
      <c r="TGF41" s="424"/>
      <c r="TGG41" s="425"/>
      <c r="TGH41" s="424"/>
      <c r="TGI41" s="425"/>
      <c r="TGJ41" s="424"/>
      <c r="TGK41" s="425"/>
      <c r="TGL41" s="424"/>
      <c r="TGM41" s="425"/>
      <c r="TGN41" s="424"/>
      <c r="TGO41" s="425"/>
      <c r="TGP41" s="424"/>
      <c r="TGQ41" s="425"/>
      <c r="TGR41" s="424"/>
      <c r="TGS41" s="425"/>
      <c r="TGT41" s="424"/>
      <c r="TGU41" s="425"/>
      <c r="TGV41" s="424"/>
      <c r="TGW41" s="425"/>
      <c r="TGX41" s="424"/>
      <c r="TGY41" s="425"/>
      <c r="TGZ41" s="424"/>
      <c r="THA41" s="425"/>
      <c r="THB41" s="424"/>
      <c r="THC41" s="425"/>
      <c r="THD41" s="424"/>
      <c r="THE41" s="425"/>
      <c r="THF41" s="424"/>
      <c r="THG41" s="425"/>
      <c r="THH41" s="424"/>
      <c r="THI41" s="425"/>
      <c r="THJ41" s="424"/>
      <c r="THK41" s="425"/>
      <c r="THL41" s="424"/>
      <c r="THM41" s="425"/>
      <c r="THN41" s="424"/>
      <c r="THO41" s="425"/>
      <c r="THP41" s="424"/>
      <c r="THQ41" s="425"/>
      <c r="THR41" s="424"/>
      <c r="THS41" s="425"/>
      <c r="THT41" s="424"/>
      <c r="THU41" s="425"/>
      <c r="THV41" s="424"/>
      <c r="THW41" s="425"/>
      <c r="THX41" s="424"/>
      <c r="THY41" s="425"/>
      <c r="THZ41" s="424"/>
      <c r="TIA41" s="425"/>
      <c r="TIB41" s="424"/>
      <c r="TIC41" s="425"/>
      <c r="TID41" s="424"/>
      <c r="TIE41" s="425"/>
      <c r="TIF41" s="424"/>
      <c r="TIG41" s="425"/>
      <c r="TIH41" s="424"/>
      <c r="TII41" s="425"/>
      <c r="TIJ41" s="424"/>
      <c r="TIK41" s="425"/>
      <c r="TIL41" s="424"/>
      <c r="TIM41" s="425"/>
      <c r="TIN41" s="424"/>
      <c r="TIO41" s="425"/>
      <c r="TIP41" s="424"/>
      <c r="TIQ41" s="425"/>
      <c r="TIR41" s="424"/>
      <c r="TIS41" s="425"/>
      <c r="TIT41" s="424"/>
      <c r="TIU41" s="425"/>
      <c r="TIV41" s="424"/>
      <c r="TIW41" s="425"/>
      <c r="TIX41" s="424"/>
      <c r="TIY41" s="425"/>
      <c r="TIZ41" s="424"/>
      <c r="TJA41" s="425"/>
      <c r="TJB41" s="424"/>
      <c r="TJC41" s="425"/>
      <c r="TJD41" s="424"/>
      <c r="TJE41" s="425"/>
      <c r="TJF41" s="424"/>
      <c r="TJG41" s="425"/>
      <c r="TJH41" s="424"/>
      <c r="TJI41" s="425"/>
      <c r="TJJ41" s="424"/>
      <c r="TJK41" s="425"/>
      <c r="TJL41" s="424"/>
      <c r="TJM41" s="425"/>
      <c r="TJN41" s="424"/>
      <c r="TJO41" s="425"/>
      <c r="TJP41" s="424"/>
      <c r="TJQ41" s="425"/>
      <c r="TJR41" s="424"/>
      <c r="TJS41" s="425"/>
      <c r="TJT41" s="424"/>
      <c r="TJU41" s="425"/>
      <c r="TJV41" s="424"/>
      <c r="TJW41" s="425"/>
      <c r="TJX41" s="424"/>
      <c r="TJY41" s="425"/>
      <c r="TJZ41" s="424"/>
      <c r="TKA41" s="425"/>
      <c r="TKB41" s="424"/>
      <c r="TKC41" s="425"/>
      <c r="TKD41" s="424"/>
      <c r="TKE41" s="425"/>
      <c r="TKF41" s="424"/>
      <c r="TKG41" s="425"/>
      <c r="TKH41" s="424"/>
      <c r="TKI41" s="425"/>
      <c r="TKJ41" s="424"/>
      <c r="TKK41" s="425"/>
      <c r="TKL41" s="424"/>
      <c r="TKM41" s="425"/>
      <c r="TKN41" s="424"/>
      <c r="TKO41" s="425"/>
      <c r="TKP41" s="424"/>
      <c r="TKQ41" s="425"/>
      <c r="TKR41" s="424"/>
      <c r="TKS41" s="425"/>
      <c r="TKT41" s="424"/>
      <c r="TKU41" s="425"/>
      <c r="TKV41" s="424"/>
      <c r="TKW41" s="425"/>
      <c r="TKX41" s="424"/>
      <c r="TKY41" s="425"/>
      <c r="TKZ41" s="424"/>
      <c r="TLA41" s="425"/>
      <c r="TLB41" s="424"/>
      <c r="TLC41" s="425"/>
      <c r="TLD41" s="424"/>
      <c r="TLE41" s="425"/>
      <c r="TLF41" s="424"/>
      <c r="TLG41" s="425"/>
      <c r="TLH41" s="424"/>
      <c r="TLI41" s="425"/>
      <c r="TLJ41" s="424"/>
      <c r="TLK41" s="425"/>
      <c r="TLL41" s="424"/>
      <c r="TLM41" s="425"/>
      <c r="TLN41" s="424"/>
      <c r="TLO41" s="425"/>
      <c r="TLP41" s="424"/>
      <c r="TLQ41" s="425"/>
      <c r="TLR41" s="424"/>
      <c r="TLS41" s="425"/>
      <c r="TLT41" s="424"/>
      <c r="TLU41" s="425"/>
      <c r="TLV41" s="424"/>
      <c r="TLW41" s="425"/>
      <c r="TLX41" s="424"/>
      <c r="TLY41" s="425"/>
      <c r="TLZ41" s="424"/>
      <c r="TMA41" s="425"/>
      <c r="TMB41" s="424"/>
      <c r="TMC41" s="425"/>
      <c r="TMD41" s="424"/>
      <c r="TME41" s="425"/>
      <c r="TMF41" s="424"/>
      <c r="TMG41" s="425"/>
      <c r="TMH41" s="424"/>
      <c r="TMI41" s="425"/>
      <c r="TMJ41" s="424"/>
      <c r="TMK41" s="425"/>
      <c r="TML41" s="424"/>
      <c r="TMM41" s="425"/>
      <c r="TMN41" s="424"/>
      <c r="TMO41" s="425"/>
      <c r="TMP41" s="424"/>
      <c r="TMQ41" s="425"/>
      <c r="TMR41" s="424"/>
      <c r="TMS41" s="425"/>
      <c r="TMT41" s="424"/>
      <c r="TMU41" s="425"/>
      <c r="TMV41" s="424"/>
      <c r="TMW41" s="425"/>
      <c r="TMX41" s="424"/>
      <c r="TMY41" s="425"/>
      <c r="TMZ41" s="424"/>
      <c r="TNA41" s="425"/>
      <c r="TNB41" s="424"/>
      <c r="TNC41" s="425"/>
      <c r="TND41" s="424"/>
      <c r="TNE41" s="425"/>
      <c r="TNF41" s="424"/>
      <c r="TNG41" s="425"/>
      <c r="TNH41" s="424"/>
      <c r="TNI41" s="425"/>
      <c r="TNJ41" s="424"/>
      <c r="TNK41" s="425"/>
      <c r="TNL41" s="424"/>
      <c r="TNM41" s="425"/>
      <c r="TNN41" s="424"/>
      <c r="TNO41" s="425"/>
      <c r="TNP41" s="424"/>
      <c r="TNQ41" s="425"/>
      <c r="TNR41" s="424"/>
      <c r="TNS41" s="425"/>
      <c r="TNT41" s="424"/>
      <c r="TNU41" s="425"/>
      <c r="TNV41" s="424"/>
      <c r="TNW41" s="425"/>
      <c r="TNX41" s="424"/>
      <c r="TNY41" s="425"/>
      <c r="TNZ41" s="424"/>
      <c r="TOA41" s="425"/>
      <c r="TOB41" s="424"/>
      <c r="TOC41" s="425"/>
      <c r="TOD41" s="424"/>
      <c r="TOE41" s="425"/>
      <c r="TOF41" s="424"/>
      <c r="TOG41" s="425"/>
      <c r="TOH41" s="424"/>
      <c r="TOI41" s="425"/>
      <c r="TOJ41" s="424"/>
      <c r="TOK41" s="425"/>
      <c r="TOL41" s="424"/>
      <c r="TOM41" s="425"/>
      <c r="TON41" s="424"/>
      <c r="TOO41" s="425"/>
      <c r="TOP41" s="424"/>
      <c r="TOQ41" s="425"/>
      <c r="TOR41" s="424"/>
      <c r="TOS41" s="425"/>
      <c r="TOT41" s="424"/>
      <c r="TOU41" s="425"/>
      <c r="TOV41" s="424"/>
      <c r="TOW41" s="425"/>
      <c r="TOX41" s="424"/>
      <c r="TOY41" s="425"/>
      <c r="TOZ41" s="424"/>
      <c r="TPA41" s="425"/>
      <c r="TPB41" s="424"/>
      <c r="TPC41" s="425"/>
      <c r="TPD41" s="424"/>
      <c r="TPE41" s="425"/>
      <c r="TPF41" s="424"/>
      <c r="TPG41" s="425"/>
      <c r="TPH41" s="424"/>
      <c r="TPI41" s="425"/>
      <c r="TPJ41" s="424"/>
      <c r="TPK41" s="425"/>
      <c r="TPL41" s="424"/>
      <c r="TPM41" s="425"/>
      <c r="TPN41" s="424"/>
      <c r="TPO41" s="425"/>
      <c r="TPP41" s="424"/>
      <c r="TPQ41" s="425"/>
      <c r="TPR41" s="424"/>
      <c r="TPS41" s="425"/>
      <c r="TPT41" s="424"/>
      <c r="TPU41" s="425"/>
      <c r="TPV41" s="424"/>
      <c r="TPW41" s="425"/>
      <c r="TPX41" s="424"/>
      <c r="TPY41" s="425"/>
      <c r="TPZ41" s="424"/>
      <c r="TQA41" s="425"/>
      <c r="TQB41" s="424"/>
      <c r="TQC41" s="425"/>
      <c r="TQD41" s="424"/>
      <c r="TQE41" s="425"/>
      <c r="TQF41" s="424"/>
      <c r="TQG41" s="425"/>
      <c r="TQH41" s="424"/>
      <c r="TQI41" s="425"/>
      <c r="TQJ41" s="424"/>
      <c r="TQK41" s="425"/>
      <c r="TQL41" s="424"/>
      <c r="TQM41" s="425"/>
      <c r="TQN41" s="424"/>
      <c r="TQO41" s="425"/>
      <c r="TQP41" s="424"/>
      <c r="TQQ41" s="425"/>
      <c r="TQR41" s="424"/>
      <c r="TQS41" s="425"/>
      <c r="TQT41" s="424"/>
      <c r="TQU41" s="425"/>
      <c r="TQV41" s="424"/>
      <c r="TQW41" s="425"/>
      <c r="TQX41" s="424"/>
      <c r="TQY41" s="425"/>
      <c r="TQZ41" s="424"/>
      <c r="TRA41" s="425"/>
      <c r="TRB41" s="424"/>
      <c r="TRC41" s="425"/>
      <c r="TRD41" s="424"/>
      <c r="TRE41" s="425"/>
      <c r="TRF41" s="424"/>
      <c r="TRG41" s="425"/>
      <c r="TRH41" s="424"/>
      <c r="TRI41" s="425"/>
      <c r="TRJ41" s="424"/>
      <c r="TRK41" s="425"/>
      <c r="TRL41" s="424"/>
      <c r="TRM41" s="425"/>
      <c r="TRN41" s="424"/>
      <c r="TRO41" s="425"/>
      <c r="TRP41" s="424"/>
      <c r="TRQ41" s="425"/>
      <c r="TRR41" s="424"/>
      <c r="TRS41" s="425"/>
      <c r="TRT41" s="424"/>
      <c r="TRU41" s="425"/>
      <c r="TRV41" s="424"/>
      <c r="TRW41" s="425"/>
      <c r="TRX41" s="424"/>
      <c r="TRY41" s="425"/>
      <c r="TRZ41" s="424"/>
      <c r="TSA41" s="425"/>
      <c r="TSB41" s="424"/>
      <c r="TSC41" s="425"/>
      <c r="TSD41" s="424"/>
      <c r="TSE41" s="425"/>
      <c r="TSF41" s="424"/>
      <c r="TSG41" s="425"/>
      <c r="TSH41" s="424"/>
      <c r="TSI41" s="425"/>
      <c r="TSJ41" s="424"/>
      <c r="TSK41" s="425"/>
      <c r="TSL41" s="424"/>
      <c r="TSM41" s="425"/>
      <c r="TSN41" s="424"/>
      <c r="TSO41" s="425"/>
      <c r="TSP41" s="424"/>
      <c r="TSQ41" s="425"/>
      <c r="TSR41" s="424"/>
      <c r="TSS41" s="425"/>
      <c r="TST41" s="424"/>
      <c r="TSU41" s="425"/>
      <c r="TSV41" s="424"/>
      <c r="TSW41" s="425"/>
      <c r="TSX41" s="424"/>
      <c r="TSY41" s="425"/>
      <c r="TSZ41" s="424"/>
      <c r="TTA41" s="425"/>
      <c r="TTB41" s="424"/>
      <c r="TTC41" s="425"/>
      <c r="TTD41" s="424"/>
      <c r="TTE41" s="425"/>
      <c r="TTF41" s="424"/>
      <c r="TTG41" s="425"/>
      <c r="TTH41" s="424"/>
      <c r="TTI41" s="425"/>
      <c r="TTJ41" s="424"/>
      <c r="TTK41" s="425"/>
      <c r="TTL41" s="424"/>
      <c r="TTM41" s="425"/>
      <c r="TTN41" s="424"/>
      <c r="TTO41" s="425"/>
      <c r="TTP41" s="424"/>
      <c r="TTQ41" s="425"/>
      <c r="TTR41" s="424"/>
      <c r="TTS41" s="425"/>
      <c r="TTT41" s="424"/>
      <c r="TTU41" s="425"/>
      <c r="TTV41" s="424"/>
      <c r="TTW41" s="425"/>
      <c r="TTX41" s="424"/>
      <c r="TTY41" s="425"/>
      <c r="TTZ41" s="424"/>
      <c r="TUA41" s="425"/>
      <c r="TUB41" s="424"/>
      <c r="TUC41" s="425"/>
      <c r="TUD41" s="424"/>
      <c r="TUE41" s="425"/>
      <c r="TUF41" s="424"/>
      <c r="TUG41" s="425"/>
      <c r="TUH41" s="424"/>
      <c r="TUI41" s="425"/>
      <c r="TUJ41" s="424"/>
      <c r="TUK41" s="425"/>
      <c r="TUL41" s="424"/>
      <c r="TUM41" s="425"/>
      <c r="TUN41" s="424"/>
      <c r="TUO41" s="425"/>
      <c r="TUP41" s="424"/>
      <c r="TUQ41" s="425"/>
      <c r="TUR41" s="424"/>
      <c r="TUS41" s="425"/>
      <c r="TUT41" s="424"/>
      <c r="TUU41" s="425"/>
      <c r="TUV41" s="424"/>
      <c r="TUW41" s="425"/>
      <c r="TUX41" s="424"/>
      <c r="TUY41" s="425"/>
      <c r="TUZ41" s="424"/>
      <c r="TVA41" s="425"/>
      <c r="TVB41" s="424"/>
      <c r="TVC41" s="425"/>
      <c r="TVD41" s="424"/>
      <c r="TVE41" s="425"/>
      <c r="TVF41" s="424"/>
      <c r="TVG41" s="425"/>
      <c r="TVH41" s="424"/>
      <c r="TVI41" s="425"/>
      <c r="TVJ41" s="424"/>
      <c r="TVK41" s="425"/>
      <c r="TVL41" s="424"/>
      <c r="TVM41" s="425"/>
      <c r="TVN41" s="424"/>
      <c r="TVO41" s="425"/>
      <c r="TVP41" s="424"/>
      <c r="TVQ41" s="425"/>
      <c r="TVR41" s="424"/>
      <c r="TVS41" s="425"/>
      <c r="TVT41" s="424"/>
      <c r="TVU41" s="425"/>
      <c r="TVV41" s="424"/>
      <c r="TVW41" s="425"/>
      <c r="TVX41" s="424"/>
      <c r="TVY41" s="425"/>
      <c r="TVZ41" s="424"/>
      <c r="TWA41" s="425"/>
      <c r="TWB41" s="424"/>
      <c r="TWC41" s="425"/>
      <c r="TWD41" s="424"/>
      <c r="TWE41" s="425"/>
      <c r="TWF41" s="424"/>
      <c r="TWG41" s="425"/>
      <c r="TWH41" s="424"/>
      <c r="TWI41" s="425"/>
      <c r="TWJ41" s="424"/>
      <c r="TWK41" s="425"/>
      <c r="TWL41" s="424"/>
      <c r="TWM41" s="425"/>
      <c r="TWN41" s="424"/>
      <c r="TWO41" s="425"/>
      <c r="TWP41" s="424"/>
      <c r="TWQ41" s="425"/>
      <c r="TWR41" s="424"/>
      <c r="TWS41" s="425"/>
      <c r="TWT41" s="424"/>
      <c r="TWU41" s="425"/>
      <c r="TWV41" s="424"/>
      <c r="TWW41" s="425"/>
      <c r="TWX41" s="424"/>
      <c r="TWY41" s="425"/>
      <c r="TWZ41" s="424"/>
      <c r="TXA41" s="425"/>
      <c r="TXB41" s="424"/>
      <c r="TXC41" s="425"/>
      <c r="TXD41" s="424"/>
      <c r="TXE41" s="425"/>
      <c r="TXF41" s="424"/>
      <c r="TXG41" s="425"/>
      <c r="TXH41" s="424"/>
      <c r="TXI41" s="425"/>
      <c r="TXJ41" s="424"/>
      <c r="TXK41" s="425"/>
      <c r="TXL41" s="424"/>
      <c r="TXM41" s="425"/>
      <c r="TXN41" s="424"/>
      <c r="TXO41" s="425"/>
      <c r="TXP41" s="424"/>
      <c r="TXQ41" s="425"/>
      <c r="TXR41" s="424"/>
      <c r="TXS41" s="425"/>
      <c r="TXT41" s="424"/>
      <c r="TXU41" s="425"/>
      <c r="TXV41" s="424"/>
      <c r="TXW41" s="425"/>
      <c r="TXX41" s="424"/>
      <c r="TXY41" s="425"/>
      <c r="TXZ41" s="424"/>
      <c r="TYA41" s="425"/>
      <c r="TYB41" s="424"/>
      <c r="TYC41" s="425"/>
      <c r="TYD41" s="424"/>
      <c r="TYE41" s="425"/>
      <c r="TYF41" s="424"/>
      <c r="TYG41" s="425"/>
      <c r="TYH41" s="424"/>
      <c r="TYI41" s="425"/>
      <c r="TYJ41" s="424"/>
      <c r="TYK41" s="425"/>
      <c r="TYL41" s="424"/>
      <c r="TYM41" s="425"/>
      <c r="TYN41" s="424"/>
      <c r="TYO41" s="425"/>
      <c r="TYP41" s="424"/>
      <c r="TYQ41" s="425"/>
      <c r="TYR41" s="424"/>
      <c r="TYS41" s="425"/>
      <c r="TYT41" s="424"/>
      <c r="TYU41" s="425"/>
      <c r="TYV41" s="424"/>
      <c r="TYW41" s="425"/>
      <c r="TYX41" s="424"/>
      <c r="TYY41" s="425"/>
      <c r="TYZ41" s="424"/>
      <c r="TZA41" s="425"/>
      <c r="TZB41" s="424"/>
      <c r="TZC41" s="425"/>
      <c r="TZD41" s="424"/>
      <c r="TZE41" s="425"/>
      <c r="TZF41" s="424"/>
      <c r="TZG41" s="425"/>
      <c r="TZH41" s="424"/>
      <c r="TZI41" s="425"/>
      <c r="TZJ41" s="424"/>
      <c r="TZK41" s="425"/>
      <c r="TZL41" s="424"/>
      <c r="TZM41" s="425"/>
      <c r="TZN41" s="424"/>
      <c r="TZO41" s="425"/>
      <c r="TZP41" s="424"/>
      <c r="TZQ41" s="425"/>
      <c r="TZR41" s="424"/>
      <c r="TZS41" s="425"/>
      <c r="TZT41" s="424"/>
      <c r="TZU41" s="425"/>
      <c r="TZV41" s="424"/>
      <c r="TZW41" s="425"/>
      <c r="TZX41" s="424"/>
      <c r="TZY41" s="425"/>
      <c r="TZZ41" s="424"/>
      <c r="UAA41" s="425"/>
      <c r="UAB41" s="424"/>
      <c r="UAC41" s="425"/>
      <c r="UAD41" s="424"/>
      <c r="UAE41" s="425"/>
      <c r="UAF41" s="424"/>
      <c r="UAG41" s="425"/>
      <c r="UAH41" s="424"/>
      <c r="UAI41" s="425"/>
      <c r="UAJ41" s="424"/>
      <c r="UAK41" s="425"/>
      <c r="UAL41" s="424"/>
      <c r="UAM41" s="425"/>
      <c r="UAN41" s="424"/>
      <c r="UAO41" s="425"/>
      <c r="UAP41" s="424"/>
      <c r="UAQ41" s="425"/>
      <c r="UAR41" s="424"/>
      <c r="UAS41" s="425"/>
      <c r="UAT41" s="424"/>
      <c r="UAU41" s="425"/>
      <c r="UAV41" s="424"/>
      <c r="UAW41" s="425"/>
      <c r="UAX41" s="424"/>
      <c r="UAY41" s="425"/>
      <c r="UAZ41" s="424"/>
      <c r="UBA41" s="425"/>
      <c r="UBB41" s="424"/>
      <c r="UBC41" s="425"/>
      <c r="UBD41" s="424"/>
      <c r="UBE41" s="425"/>
      <c r="UBF41" s="424"/>
      <c r="UBG41" s="425"/>
      <c r="UBH41" s="424"/>
      <c r="UBI41" s="425"/>
      <c r="UBJ41" s="424"/>
      <c r="UBK41" s="425"/>
      <c r="UBL41" s="424"/>
      <c r="UBM41" s="425"/>
      <c r="UBN41" s="424"/>
      <c r="UBO41" s="425"/>
      <c r="UBP41" s="424"/>
      <c r="UBQ41" s="425"/>
      <c r="UBR41" s="424"/>
      <c r="UBS41" s="425"/>
      <c r="UBT41" s="424"/>
      <c r="UBU41" s="425"/>
      <c r="UBV41" s="424"/>
      <c r="UBW41" s="425"/>
      <c r="UBX41" s="424"/>
      <c r="UBY41" s="425"/>
      <c r="UBZ41" s="424"/>
      <c r="UCA41" s="425"/>
      <c r="UCB41" s="424"/>
      <c r="UCC41" s="425"/>
      <c r="UCD41" s="424"/>
      <c r="UCE41" s="425"/>
      <c r="UCF41" s="424"/>
      <c r="UCG41" s="425"/>
      <c r="UCH41" s="424"/>
      <c r="UCI41" s="425"/>
      <c r="UCJ41" s="424"/>
      <c r="UCK41" s="425"/>
      <c r="UCL41" s="424"/>
      <c r="UCM41" s="425"/>
      <c r="UCN41" s="424"/>
      <c r="UCO41" s="425"/>
      <c r="UCP41" s="424"/>
      <c r="UCQ41" s="425"/>
      <c r="UCR41" s="424"/>
      <c r="UCS41" s="425"/>
      <c r="UCT41" s="424"/>
      <c r="UCU41" s="425"/>
      <c r="UCV41" s="424"/>
      <c r="UCW41" s="425"/>
      <c r="UCX41" s="424"/>
      <c r="UCY41" s="425"/>
      <c r="UCZ41" s="424"/>
      <c r="UDA41" s="425"/>
      <c r="UDB41" s="424"/>
      <c r="UDC41" s="425"/>
      <c r="UDD41" s="424"/>
      <c r="UDE41" s="425"/>
      <c r="UDF41" s="424"/>
      <c r="UDG41" s="425"/>
      <c r="UDH41" s="424"/>
      <c r="UDI41" s="425"/>
      <c r="UDJ41" s="424"/>
      <c r="UDK41" s="425"/>
      <c r="UDL41" s="424"/>
      <c r="UDM41" s="425"/>
      <c r="UDN41" s="424"/>
      <c r="UDO41" s="425"/>
      <c r="UDP41" s="424"/>
      <c r="UDQ41" s="425"/>
      <c r="UDR41" s="424"/>
      <c r="UDS41" s="425"/>
      <c r="UDT41" s="424"/>
      <c r="UDU41" s="425"/>
      <c r="UDV41" s="424"/>
      <c r="UDW41" s="425"/>
      <c r="UDX41" s="424"/>
      <c r="UDY41" s="425"/>
      <c r="UDZ41" s="424"/>
      <c r="UEA41" s="425"/>
      <c r="UEB41" s="424"/>
      <c r="UEC41" s="425"/>
      <c r="UED41" s="424"/>
      <c r="UEE41" s="425"/>
      <c r="UEF41" s="424"/>
      <c r="UEG41" s="425"/>
      <c r="UEH41" s="424"/>
      <c r="UEI41" s="425"/>
      <c r="UEJ41" s="424"/>
      <c r="UEK41" s="425"/>
      <c r="UEL41" s="424"/>
      <c r="UEM41" s="425"/>
      <c r="UEN41" s="424"/>
      <c r="UEO41" s="425"/>
      <c r="UEP41" s="424"/>
      <c r="UEQ41" s="425"/>
      <c r="UER41" s="424"/>
      <c r="UES41" s="425"/>
      <c r="UET41" s="424"/>
      <c r="UEU41" s="425"/>
      <c r="UEV41" s="424"/>
      <c r="UEW41" s="425"/>
      <c r="UEX41" s="424"/>
      <c r="UEY41" s="425"/>
      <c r="UEZ41" s="424"/>
      <c r="UFA41" s="425"/>
      <c r="UFB41" s="424"/>
      <c r="UFC41" s="425"/>
      <c r="UFD41" s="424"/>
      <c r="UFE41" s="425"/>
      <c r="UFF41" s="424"/>
      <c r="UFG41" s="425"/>
      <c r="UFH41" s="424"/>
      <c r="UFI41" s="425"/>
      <c r="UFJ41" s="424"/>
      <c r="UFK41" s="425"/>
      <c r="UFL41" s="424"/>
      <c r="UFM41" s="425"/>
      <c r="UFN41" s="424"/>
      <c r="UFO41" s="425"/>
      <c r="UFP41" s="424"/>
      <c r="UFQ41" s="425"/>
      <c r="UFR41" s="424"/>
      <c r="UFS41" s="425"/>
      <c r="UFT41" s="424"/>
      <c r="UFU41" s="425"/>
      <c r="UFV41" s="424"/>
      <c r="UFW41" s="425"/>
      <c r="UFX41" s="424"/>
      <c r="UFY41" s="425"/>
      <c r="UFZ41" s="424"/>
      <c r="UGA41" s="425"/>
      <c r="UGB41" s="424"/>
      <c r="UGC41" s="425"/>
      <c r="UGD41" s="424"/>
      <c r="UGE41" s="425"/>
      <c r="UGF41" s="424"/>
      <c r="UGG41" s="425"/>
      <c r="UGH41" s="424"/>
      <c r="UGI41" s="425"/>
      <c r="UGJ41" s="424"/>
      <c r="UGK41" s="425"/>
      <c r="UGL41" s="424"/>
      <c r="UGM41" s="425"/>
      <c r="UGN41" s="424"/>
      <c r="UGO41" s="425"/>
      <c r="UGP41" s="424"/>
      <c r="UGQ41" s="425"/>
      <c r="UGR41" s="424"/>
      <c r="UGS41" s="425"/>
      <c r="UGT41" s="424"/>
      <c r="UGU41" s="425"/>
      <c r="UGV41" s="424"/>
      <c r="UGW41" s="425"/>
      <c r="UGX41" s="424"/>
      <c r="UGY41" s="425"/>
      <c r="UGZ41" s="424"/>
      <c r="UHA41" s="425"/>
      <c r="UHB41" s="424"/>
      <c r="UHC41" s="425"/>
      <c r="UHD41" s="424"/>
      <c r="UHE41" s="425"/>
      <c r="UHF41" s="424"/>
      <c r="UHG41" s="425"/>
      <c r="UHH41" s="424"/>
      <c r="UHI41" s="425"/>
      <c r="UHJ41" s="424"/>
      <c r="UHK41" s="425"/>
      <c r="UHL41" s="424"/>
      <c r="UHM41" s="425"/>
      <c r="UHN41" s="424"/>
      <c r="UHO41" s="425"/>
      <c r="UHP41" s="424"/>
      <c r="UHQ41" s="425"/>
      <c r="UHR41" s="424"/>
      <c r="UHS41" s="425"/>
      <c r="UHT41" s="424"/>
      <c r="UHU41" s="425"/>
      <c r="UHV41" s="424"/>
      <c r="UHW41" s="425"/>
      <c r="UHX41" s="424"/>
      <c r="UHY41" s="425"/>
      <c r="UHZ41" s="424"/>
      <c r="UIA41" s="425"/>
      <c r="UIB41" s="424"/>
      <c r="UIC41" s="425"/>
      <c r="UID41" s="424"/>
      <c r="UIE41" s="425"/>
      <c r="UIF41" s="424"/>
      <c r="UIG41" s="425"/>
      <c r="UIH41" s="424"/>
      <c r="UII41" s="425"/>
      <c r="UIJ41" s="424"/>
      <c r="UIK41" s="425"/>
      <c r="UIL41" s="424"/>
      <c r="UIM41" s="425"/>
      <c r="UIN41" s="424"/>
      <c r="UIO41" s="425"/>
      <c r="UIP41" s="424"/>
      <c r="UIQ41" s="425"/>
      <c r="UIR41" s="424"/>
      <c r="UIS41" s="425"/>
      <c r="UIT41" s="424"/>
      <c r="UIU41" s="425"/>
      <c r="UIV41" s="424"/>
      <c r="UIW41" s="425"/>
      <c r="UIX41" s="424"/>
      <c r="UIY41" s="425"/>
      <c r="UIZ41" s="424"/>
      <c r="UJA41" s="425"/>
      <c r="UJB41" s="424"/>
      <c r="UJC41" s="425"/>
      <c r="UJD41" s="424"/>
      <c r="UJE41" s="425"/>
      <c r="UJF41" s="424"/>
      <c r="UJG41" s="425"/>
      <c r="UJH41" s="424"/>
      <c r="UJI41" s="425"/>
      <c r="UJJ41" s="424"/>
      <c r="UJK41" s="425"/>
      <c r="UJL41" s="424"/>
      <c r="UJM41" s="425"/>
      <c r="UJN41" s="424"/>
      <c r="UJO41" s="425"/>
      <c r="UJP41" s="424"/>
      <c r="UJQ41" s="425"/>
      <c r="UJR41" s="424"/>
      <c r="UJS41" s="425"/>
      <c r="UJT41" s="424"/>
      <c r="UJU41" s="425"/>
      <c r="UJV41" s="424"/>
      <c r="UJW41" s="425"/>
      <c r="UJX41" s="424"/>
      <c r="UJY41" s="425"/>
      <c r="UJZ41" s="424"/>
      <c r="UKA41" s="425"/>
      <c r="UKB41" s="424"/>
      <c r="UKC41" s="425"/>
      <c r="UKD41" s="424"/>
      <c r="UKE41" s="425"/>
      <c r="UKF41" s="424"/>
      <c r="UKG41" s="425"/>
      <c r="UKH41" s="424"/>
      <c r="UKI41" s="425"/>
      <c r="UKJ41" s="424"/>
      <c r="UKK41" s="425"/>
      <c r="UKL41" s="424"/>
      <c r="UKM41" s="425"/>
      <c r="UKN41" s="424"/>
      <c r="UKO41" s="425"/>
      <c r="UKP41" s="424"/>
      <c r="UKQ41" s="425"/>
      <c r="UKR41" s="424"/>
      <c r="UKS41" s="425"/>
      <c r="UKT41" s="424"/>
      <c r="UKU41" s="425"/>
      <c r="UKV41" s="424"/>
      <c r="UKW41" s="425"/>
      <c r="UKX41" s="424"/>
      <c r="UKY41" s="425"/>
      <c r="UKZ41" s="424"/>
      <c r="ULA41" s="425"/>
      <c r="ULB41" s="424"/>
      <c r="ULC41" s="425"/>
      <c r="ULD41" s="424"/>
      <c r="ULE41" s="425"/>
      <c r="ULF41" s="424"/>
      <c r="ULG41" s="425"/>
      <c r="ULH41" s="424"/>
      <c r="ULI41" s="425"/>
      <c r="ULJ41" s="424"/>
      <c r="ULK41" s="425"/>
      <c r="ULL41" s="424"/>
      <c r="ULM41" s="425"/>
      <c r="ULN41" s="424"/>
      <c r="ULO41" s="425"/>
      <c r="ULP41" s="424"/>
      <c r="ULQ41" s="425"/>
      <c r="ULR41" s="424"/>
      <c r="ULS41" s="425"/>
      <c r="ULT41" s="424"/>
      <c r="ULU41" s="425"/>
      <c r="ULV41" s="424"/>
      <c r="ULW41" s="425"/>
      <c r="ULX41" s="424"/>
      <c r="ULY41" s="425"/>
      <c r="ULZ41" s="424"/>
      <c r="UMA41" s="425"/>
      <c r="UMB41" s="424"/>
      <c r="UMC41" s="425"/>
      <c r="UMD41" s="424"/>
      <c r="UME41" s="425"/>
      <c r="UMF41" s="424"/>
      <c r="UMG41" s="425"/>
      <c r="UMH41" s="424"/>
      <c r="UMI41" s="425"/>
      <c r="UMJ41" s="424"/>
      <c r="UMK41" s="425"/>
      <c r="UML41" s="424"/>
      <c r="UMM41" s="425"/>
      <c r="UMN41" s="424"/>
      <c r="UMO41" s="425"/>
      <c r="UMP41" s="424"/>
      <c r="UMQ41" s="425"/>
      <c r="UMR41" s="424"/>
      <c r="UMS41" s="425"/>
      <c r="UMT41" s="424"/>
      <c r="UMU41" s="425"/>
      <c r="UMV41" s="424"/>
      <c r="UMW41" s="425"/>
      <c r="UMX41" s="424"/>
      <c r="UMY41" s="425"/>
      <c r="UMZ41" s="424"/>
      <c r="UNA41" s="425"/>
      <c r="UNB41" s="424"/>
      <c r="UNC41" s="425"/>
      <c r="UND41" s="424"/>
      <c r="UNE41" s="425"/>
      <c r="UNF41" s="424"/>
      <c r="UNG41" s="425"/>
      <c r="UNH41" s="424"/>
      <c r="UNI41" s="425"/>
      <c r="UNJ41" s="424"/>
      <c r="UNK41" s="425"/>
      <c r="UNL41" s="424"/>
      <c r="UNM41" s="425"/>
      <c r="UNN41" s="424"/>
      <c r="UNO41" s="425"/>
      <c r="UNP41" s="424"/>
      <c r="UNQ41" s="425"/>
      <c r="UNR41" s="424"/>
      <c r="UNS41" s="425"/>
      <c r="UNT41" s="424"/>
      <c r="UNU41" s="425"/>
      <c r="UNV41" s="424"/>
      <c r="UNW41" s="425"/>
      <c r="UNX41" s="424"/>
      <c r="UNY41" s="425"/>
      <c r="UNZ41" s="424"/>
      <c r="UOA41" s="425"/>
      <c r="UOB41" s="424"/>
      <c r="UOC41" s="425"/>
      <c r="UOD41" s="424"/>
      <c r="UOE41" s="425"/>
      <c r="UOF41" s="424"/>
      <c r="UOG41" s="425"/>
      <c r="UOH41" s="424"/>
      <c r="UOI41" s="425"/>
      <c r="UOJ41" s="424"/>
      <c r="UOK41" s="425"/>
      <c r="UOL41" s="424"/>
      <c r="UOM41" s="425"/>
      <c r="UON41" s="424"/>
      <c r="UOO41" s="425"/>
      <c r="UOP41" s="424"/>
      <c r="UOQ41" s="425"/>
      <c r="UOR41" s="424"/>
      <c r="UOS41" s="425"/>
      <c r="UOT41" s="424"/>
      <c r="UOU41" s="425"/>
      <c r="UOV41" s="424"/>
      <c r="UOW41" s="425"/>
      <c r="UOX41" s="424"/>
      <c r="UOY41" s="425"/>
      <c r="UOZ41" s="424"/>
      <c r="UPA41" s="425"/>
      <c r="UPB41" s="424"/>
      <c r="UPC41" s="425"/>
      <c r="UPD41" s="424"/>
      <c r="UPE41" s="425"/>
      <c r="UPF41" s="424"/>
      <c r="UPG41" s="425"/>
      <c r="UPH41" s="424"/>
      <c r="UPI41" s="425"/>
      <c r="UPJ41" s="424"/>
      <c r="UPK41" s="425"/>
      <c r="UPL41" s="424"/>
      <c r="UPM41" s="425"/>
      <c r="UPN41" s="424"/>
      <c r="UPO41" s="425"/>
      <c r="UPP41" s="424"/>
      <c r="UPQ41" s="425"/>
      <c r="UPR41" s="424"/>
      <c r="UPS41" s="425"/>
      <c r="UPT41" s="424"/>
      <c r="UPU41" s="425"/>
      <c r="UPV41" s="424"/>
      <c r="UPW41" s="425"/>
      <c r="UPX41" s="424"/>
      <c r="UPY41" s="425"/>
      <c r="UPZ41" s="424"/>
      <c r="UQA41" s="425"/>
      <c r="UQB41" s="424"/>
      <c r="UQC41" s="425"/>
      <c r="UQD41" s="424"/>
      <c r="UQE41" s="425"/>
      <c r="UQF41" s="424"/>
      <c r="UQG41" s="425"/>
      <c r="UQH41" s="424"/>
      <c r="UQI41" s="425"/>
      <c r="UQJ41" s="424"/>
      <c r="UQK41" s="425"/>
      <c r="UQL41" s="424"/>
      <c r="UQM41" s="425"/>
      <c r="UQN41" s="424"/>
      <c r="UQO41" s="425"/>
      <c r="UQP41" s="424"/>
      <c r="UQQ41" s="425"/>
      <c r="UQR41" s="424"/>
      <c r="UQS41" s="425"/>
      <c r="UQT41" s="424"/>
      <c r="UQU41" s="425"/>
      <c r="UQV41" s="424"/>
      <c r="UQW41" s="425"/>
      <c r="UQX41" s="424"/>
      <c r="UQY41" s="425"/>
      <c r="UQZ41" s="424"/>
      <c r="URA41" s="425"/>
      <c r="URB41" s="424"/>
      <c r="URC41" s="425"/>
      <c r="URD41" s="424"/>
      <c r="URE41" s="425"/>
      <c r="URF41" s="424"/>
      <c r="URG41" s="425"/>
      <c r="URH41" s="424"/>
      <c r="URI41" s="425"/>
      <c r="URJ41" s="424"/>
      <c r="URK41" s="425"/>
      <c r="URL41" s="424"/>
      <c r="URM41" s="425"/>
      <c r="URN41" s="424"/>
      <c r="URO41" s="425"/>
      <c r="URP41" s="424"/>
      <c r="URQ41" s="425"/>
      <c r="URR41" s="424"/>
      <c r="URS41" s="425"/>
      <c r="URT41" s="424"/>
      <c r="URU41" s="425"/>
      <c r="URV41" s="424"/>
      <c r="URW41" s="425"/>
      <c r="URX41" s="424"/>
      <c r="URY41" s="425"/>
      <c r="URZ41" s="424"/>
      <c r="USA41" s="425"/>
      <c r="USB41" s="424"/>
      <c r="USC41" s="425"/>
      <c r="USD41" s="424"/>
      <c r="USE41" s="425"/>
      <c r="USF41" s="424"/>
      <c r="USG41" s="425"/>
      <c r="USH41" s="424"/>
      <c r="USI41" s="425"/>
      <c r="USJ41" s="424"/>
      <c r="USK41" s="425"/>
      <c r="USL41" s="424"/>
      <c r="USM41" s="425"/>
      <c r="USN41" s="424"/>
      <c r="USO41" s="425"/>
      <c r="USP41" s="424"/>
      <c r="USQ41" s="425"/>
      <c r="USR41" s="424"/>
      <c r="USS41" s="425"/>
      <c r="UST41" s="424"/>
      <c r="USU41" s="425"/>
      <c r="USV41" s="424"/>
      <c r="USW41" s="425"/>
      <c r="USX41" s="424"/>
      <c r="USY41" s="425"/>
      <c r="USZ41" s="424"/>
      <c r="UTA41" s="425"/>
      <c r="UTB41" s="424"/>
      <c r="UTC41" s="425"/>
      <c r="UTD41" s="424"/>
      <c r="UTE41" s="425"/>
      <c r="UTF41" s="424"/>
      <c r="UTG41" s="425"/>
      <c r="UTH41" s="424"/>
      <c r="UTI41" s="425"/>
      <c r="UTJ41" s="424"/>
      <c r="UTK41" s="425"/>
      <c r="UTL41" s="424"/>
      <c r="UTM41" s="425"/>
      <c r="UTN41" s="424"/>
      <c r="UTO41" s="425"/>
      <c r="UTP41" s="424"/>
      <c r="UTQ41" s="425"/>
      <c r="UTR41" s="424"/>
      <c r="UTS41" s="425"/>
      <c r="UTT41" s="424"/>
      <c r="UTU41" s="425"/>
      <c r="UTV41" s="424"/>
      <c r="UTW41" s="425"/>
      <c r="UTX41" s="424"/>
      <c r="UTY41" s="425"/>
      <c r="UTZ41" s="424"/>
      <c r="UUA41" s="425"/>
      <c r="UUB41" s="424"/>
      <c r="UUC41" s="425"/>
      <c r="UUD41" s="424"/>
      <c r="UUE41" s="425"/>
      <c r="UUF41" s="424"/>
      <c r="UUG41" s="425"/>
      <c r="UUH41" s="424"/>
      <c r="UUI41" s="425"/>
      <c r="UUJ41" s="424"/>
      <c r="UUK41" s="425"/>
      <c r="UUL41" s="424"/>
      <c r="UUM41" s="425"/>
      <c r="UUN41" s="424"/>
      <c r="UUO41" s="425"/>
      <c r="UUP41" s="424"/>
      <c r="UUQ41" s="425"/>
      <c r="UUR41" s="424"/>
      <c r="UUS41" s="425"/>
      <c r="UUT41" s="424"/>
      <c r="UUU41" s="425"/>
      <c r="UUV41" s="424"/>
      <c r="UUW41" s="425"/>
      <c r="UUX41" s="424"/>
      <c r="UUY41" s="425"/>
      <c r="UUZ41" s="424"/>
      <c r="UVA41" s="425"/>
      <c r="UVB41" s="424"/>
      <c r="UVC41" s="425"/>
      <c r="UVD41" s="424"/>
      <c r="UVE41" s="425"/>
      <c r="UVF41" s="424"/>
      <c r="UVG41" s="425"/>
      <c r="UVH41" s="424"/>
      <c r="UVI41" s="425"/>
      <c r="UVJ41" s="424"/>
      <c r="UVK41" s="425"/>
      <c r="UVL41" s="424"/>
      <c r="UVM41" s="425"/>
      <c r="UVN41" s="424"/>
      <c r="UVO41" s="425"/>
      <c r="UVP41" s="424"/>
      <c r="UVQ41" s="425"/>
      <c r="UVR41" s="424"/>
      <c r="UVS41" s="425"/>
      <c r="UVT41" s="424"/>
      <c r="UVU41" s="425"/>
      <c r="UVV41" s="424"/>
      <c r="UVW41" s="425"/>
      <c r="UVX41" s="424"/>
      <c r="UVY41" s="425"/>
      <c r="UVZ41" s="424"/>
      <c r="UWA41" s="425"/>
      <c r="UWB41" s="424"/>
      <c r="UWC41" s="425"/>
      <c r="UWD41" s="424"/>
      <c r="UWE41" s="425"/>
      <c r="UWF41" s="424"/>
      <c r="UWG41" s="425"/>
      <c r="UWH41" s="424"/>
      <c r="UWI41" s="425"/>
      <c r="UWJ41" s="424"/>
      <c r="UWK41" s="425"/>
      <c r="UWL41" s="424"/>
      <c r="UWM41" s="425"/>
      <c r="UWN41" s="424"/>
      <c r="UWO41" s="425"/>
      <c r="UWP41" s="424"/>
      <c r="UWQ41" s="425"/>
      <c r="UWR41" s="424"/>
      <c r="UWS41" s="425"/>
      <c r="UWT41" s="424"/>
      <c r="UWU41" s="425"/>
      <c r="UWV41" s="424"/>
      <c r="UWW41" s="425"/>
      <c r="UWX41" s="424"/>
      <c r="UWY41" s="425"/>
      <c r="UWZ41" s="424"/>
      <c r="UXA41" s="425"/>
      <c r="UXB41" s="424"/>
      <c r="UXC41" s="425"/>
      <c r="UXD41" s="424"/>
      <c r="UXE41" s="425"/>
      <c r="UXF41" s="424"/>
      <c r="UXG41" s="425"/>
      <c r="UXH41" s="424"/>
      <c r="UXI41" s="425"/>
      <c r="UXJ41" s="424"/>
      <c r="UXK41" s="425"/>
      <c r="UXL41" s="424"/>
      <c r="UXM41" s="425"/>
      <c r="UXN41" s="424"/>
      <c r="UXO41" s="425"/>
      <c r="UXP41" s="424"/>
      <c r="UXQ41" s="425"/>
      <c r="UXR41" s="424"/>
      <c r="UXS41" s="425"/>
      <c r="UXT41" s="424"/>
      <c r="UXU41" s="425"/>
      <c r="UXV41" s="424"/>
      <c r="UXW41" s="425"/>
      <c r="UXX41" s="424"/>
      <c r="UXY41" s="425"/>
      <c r="UXZ41" s="424"/>
      <c r="UYA41" s="425"/>
      <c r="UYB41" s="424"/>
      <c r="UYC41" s="425"/>
      <c r="UYD41" s="424"/>
      <c r="UYE41" s="425"/>
      <c r="UYF41" s="424"/>
      <c r="UYG41" s="425"/>
      <c r="UYH41" s="424"/>
      <c r="UYI41" s="425"/>
      <c r="UYJ41" s="424"/>
      <c r="UYK41" s="425"/>
      <c r="UYL41" s="424"/>
      <c r="UYM41" s="425"/>
      <c r="UYN41" s="424"/>
      <c r="UYO41" s="425"/>
      <c r="UYP41" s="424"/>
      <c r="UYQ41" s="425"/>
      <c r="UYR41" s="424"/>
      <c r="UYS41" s="425"/>
      <c r="UYT41" s="424"/>
      <c r="UYU41" s="425"/>
      <c r="UYV41" s="424"/>
      <c r="UYW41" s="425"/>
      <c r="UYX41" s="424"/>
      <c r="UYY41" s="425"/>
      <c r="UYZ41" s="424"/>
      <c r="UZA41" s="425"/>
      <c r="UZB41" s="424"/>
      <c r="UZC41" s="425"/>
      <c r="UZD41" s="424"/>
      <c r="UZE41" s="425"/>
      <c r="UZF41" s="424"/>
      <c r="UZG41" s="425"/>
      <c r="UZH41" s="424"/>
      <c r="UZI41" s="425"/>
      <c r="UZJ41" s="424"/>
      <c r="UZK41" s="425"/>
      <c r="UZL41" s="424"/>
      <c r="UZM41" s="425"/>
      <c r="UZN41" s="424"/>
      <c r="UZO41" s="425"/>
      <c r="UZP41" s="424"/>
      <c r="UZQ41" s="425"/>
      <c r="UZR41" s="424"/>
      <c r="UZS41" s="425"/>
      <c r="UZT41" s="424"/>
      <c r="UZU41" s="425"/>
      <c r="UZV41" s="424"/>
      <c r="UZW41" s="425"/>
      <c r="UZX41" s="424"/>
      <c r="UZY41" s="425"/>
      <c r="UZZ41" s="424"/>
      <c r="VAA41" s="425"/>
      <c r="VAB41" s="424"/>
      <c r="VAC41" s="425"/>
      <c r="VAD41" s="424"/>
      <c r="VAE41" s="425"/>
      <c r="VAF41" s="424"/>
      <c r="VAG41" s="425"/>
      <c r="VAH41" s="424"/>
      <c r="VAI41" s="425"/>
      <c r="VAJ41" s="424"/>
      <c r="VAK41" s="425"/>
      <c r="VAL41" s="424"/>
      <c r="VAM41" s="425"/>
      <c r="VAN41" s="424"/>
      <c r="VAO41" s="425"/>
      <c r="VAP41" s="424"/>
      <c r="VAQ41" s="425"/>
      <c r="VAR41" s="424"/>
      <c r="VAS41" s="425"/>
      <c r="VAT41" s="424"/>
      <c r="VAU41" s="425"/>
      <c r="VAV41" s="424"/>
      <c r="VAW41" s="425"/>
      <c r="VAX41" s="424"/>
      <c r="VAY41" s="425"/>
      <c r="VAZ41" s="424"/>
      <c r="VBA41" s="425"/>
      <c r="VBB41" s="424"/>
      <c r="VBC41" s="425"/>
      <c r="VBD41" s="424"/>
      <c r="VBE41" s="425"/>
      <c r="VBF41" s="424"/>
      <c r="VBG41" s="425"/>
      <c r="VBH41" s="424"/>
      <c r="VBI41" s="425"/>
      <c r="VBJ41" s="424"/>
      <c r="VBK41" s="425"/>
      <c r="VBL41" s="424"/>
      <c r="VBM41" s="425"/>
      <c r="VBN41" s="424"/>
      <c r="VBO41" s="425"/>
      <c r="VBP41" s="424"/>
      <c r="VBQ41" s="425"/>
      <c r="VBR41" s="424"/>
      <c r="VBS41" s="425"/>
      <c r="VBT41" s="424"/>
      <c r="VBU41" s="425"/>
      <c r="VBV41" s="424"/>
      <c r="VBW41" s="425"/>
      <c r="VBX41" s="424"/>
      <c r="VBY41" s="425"/>
      <c r="VBZ41" s="424"/>
      <c r="VCA41" s="425"/>
      <c r="VCB41" s="424"/>
      <c r="VCC41" s="425"/>
      <c r="VCD41" s="424"/>
      <c r="VCE41" s="425"/>
      <c r="VCF41" s="424"/>
      <c r="VCG41" s="425"/>
      <c r="VCH41" s="424"/>
      <c r="VCI41" s="425"/>
      <c r="VCJ41" s="424"/>
      <c r="VCK41" s="425"/>
      <c r="VCL41" s="424"/>
      <c r="VCM41" s="425"/>
      <c r="VCN41" s="424"/>
      <c r="VCO41" s="425"/>
      <c r="VCP41" s="424"/>
      <c r="VCQ41" s="425"/>
      <c r="VCR41" s="424"/>
      <c r="VCS41" s="425"/>
      <c r="VCT41" s="424"/>
      <c r="VCU41" s="425"/>
      <c r="VCV41" s="424"/>
      <c r="VCW41" s="425"/>
      <c r="VCX41" s="424"/>
      <c r="VCY41" s="425"/>
      <c r="VCZ41" s="424"/>
      <c r="VDA41" s="425"/>
      <c r="VDB41" s="424"/>
      <c r="VDC41" s="425"/>
      <c r="VDD41" s="424"/>
      <c r="VDE41" s="425"/>
      <c r="VDF41" s="424"/>
      <c r="VDG41" s="425"/>
      <c r="VDH41" s="424"/>
      <c r="VDI41" s="425"/>
      <c r="VDJ41" s="424"/>
      <c r="VDK41" s="425"/>
      <c r="VDL41" s="424"/>
      <c r="VDM41" s="425"/>
      <c r="VDN41" s="424"/>
      <c r="VDO41" s="425"/>
      <c r="VDP41" s="424"/>
      <c r="VDQ41" s="425"/>
      <c r="VDR41" s="424"/>
      <c r="VDS41" s="425"/>
      <c r="VDT41" s="424"/>
      <c r="VDU41" s="425"/>
      <c r="VDV41" s="424"/>
      <c r="VDW41" s="425"/>
      <c r="VDX41" s="424"/>
      <c r="VDY41" s="425"/>
      <c r="VDZ41" s="424"/>
      <c r="VEA41" s="425"/>
      <c r="VEB41" s="424"/>
      <c r="VEC41" s="425"/>
      <c r="VED41" s="424"/>
      <c r="VEE41" s="425"/>
      <c r="VEF41" s="424"/>
      <c r="VEG41" s="425"/>
      <c r="VEH41" s="424"/>
      <c r="VEI41" s="425"/>
      <c r="VEJ41" s="424"/>
      <c r="VEK41" s="425"/>
      <c r="VEL41" s="424"/>
      <c r="VEM41" s="425"/>
      <c r="VEN41" s="424"/>
      <c r="VEO41" s="425"/>
      <c r="VEP41" s="424"/>
      <c r="VEQ41" s="425"/>
      <c r="VER41" s="424"/>
      <c r="VES41" s="425"/>
      <c r="VET41" s="424"/>
      <c r="VEU41" s="425"/>
      <c r="VEV41" s="424"/>
      <c r="VEW41" s="425"/>
      <c r="VEX41" s="424"/>
      <c r="VEY41" s="425"/>
      <c r="VEZ41" s="424"/>
      <c r="VFA41" s="425"/>
      <c r="VFB41" s="424"/>
      <c r="VFC41" s="425"/>
      <c r="VFD41" s="424"/>
      <c r="VFE41" s="425"/>
      <c r="VFF41" s="424"/>
      <c r="VFG41" s="425"/>
      <c r="VFH41" s="424"/>
      <c r="VFI41" s="425"/>
      <c r="VFJ41" s="424"/>
      <c r="VFK41" s="425"/>
      <c r="VFL41" s="424"/>
      <c r="VFM41" s="425"/>
      <c r="VFN41" s="424"/>
      <c r="VFO41" s="425"/>
      <c r="VFP41" s="424"/>
      <c r="VFQ41" s="425"/>
      <c r="VFR41" s="424"/>
      <c r="VFS41" s="425"/>
      <c r="VFT41" s="424"/>
      <c r="VFU41" s="425"/>
      <c r="VFV41" s="424"/>
      <c r="VFW41" s="425"/>
      <c r="VFX41" s="424"/>
      <c r="VFY41" s="425"/>
      <c r="VFZ41" s="424"/>
      <c r="VGA41" s="425"/>
      <c r="VGB41" s="424"/>
      <c r="VGC41" s="425"/>
      <c r="VGD41" s="424"/>
      <c r="VGE41" s="425"/>
      <c r="VGF41" s="424"/>
      <c r="VGG41" s="425"/>
      <c r="VGH41" s="424"/>
      <c r="VGI41" s="425"/>
      <c r="VGJ41" s="424"/>
      <c r="VGK41" s="425"/>
      <c r="VGL41" s="424"/>
      <c r="VGM41" s="425"/>
      <c r="VGN41" s="424"/>
      <c r="VGO41" s="425"/>
      <c r="VGP41" s="424"/>
      <c r="VGQ41" s="425"/>
      <c r="VGR41" s="424"/>
      <c r="VGS41" s="425"/>
      <c r="VGT41" s="424"/>
      <c r="VGU41" s="425"/>
      <c r="VGV41" s="424"/>
      <c r="VGW41" s="425"/>
      <c r="VGX41" s="424"/>
      <c r="VGY41" s="425"/>
      <c r="VGZ41" s="424"/>
      <c r="VHA41" s="425"/>
      <c r="VHB41" s="424"/>
      <c r="VHC41" s="425"/>
      <c r="VHD41" s="424"/>
      <c r="VHE41" s="425"/>
      <c r="VHF41" s="424"/>
      <c r="VHG41" s="425"/>
      <c r="VHH41" s="424"/>
      <c r="VHI41" s="425"/>
      <c r="VHJ41" s="424"/>
      <c r="VHK41" s="425"/>
      <c r="VHL41" s="424"/>
      <c r="VHM41" s="425"/>
      <c r="VHN41" s="424"/>
      <c r="VHO41" s="425"/>
      <c r="VHP41" s="424"/>
      <c r="VHQ41" s="425"/>
      <c r="VHR41" s="424"/>
      <c r="VHS41" s="425"/>
      <c r="VHT41" s="424"/>
      <c r="VHU41" s="425"/>
      <c r="VHV41" s="424"/>
      <c r="VHW41" s="425"/>
      <c r="VHX41" s="424"/>
      <c r="VHY41" s="425"/>
      <c r="VHZ41" s="424"/>
      <c r="VIA41" s="425"/>
      <c r="VIB41" s="424"/>
      <c r="VIC41" s="425"/>
      <c r="VID41" s="424"/>
      <c r="VIE41" s="425"/>
      <c r="VIF41" s="424"/>
      <c r="VIG41" s="425"/>
      <c r="VIH41" s="424"/>
      <c r="VII41" s="425"/>
      <c r="VIJ41" s="424"/>
      <c r="VIK41" s="425"/>
      <c r="VIL41" s="424"/>
      <c r="VIM41" s="425"/>
      <c r="VIN41" s="424"/>
      <c r="VIO41" s="425"/>
      <c r="VIP41" s="424"/>
      <c r="VIQ41" s="425"/>
      <c r="VIR41" s="424"/>
      <c r="VIS41" s="425"/>
      <c r="VIT41" s="424"/>
      <c r="VIU41" s="425"/>
      <c r="VIV41" s="424"/>
      <c r="VIW41" s="425"/>
      <c r="VIX41" s="424"/>
      <c r="VIY41" s="425"/>
      <c r="VIZ41" s="424"/>
      <c r="VJA41" s="425"/>
      <c r="VJB41" s="424"/>
      <c r="VJC41" s="425"/>
      <c r="VJD41" s="424"/>
      <c r="VJE41" s="425"/>
      <c r="VJF41" s="424"/>
      <c r="VJG41" s="425"/>
      <c r="VJH41" s="424"/>
      <c r="VJI41" s="425"/>
      <c r="VJJ41" s="424"/>
      <c r="VJK41" s="425"/>
      <c r="VJL41" s="424"/>
      <c r="VJM41" s="425"/>
      <c r="VJN41" s="424"/>
      <c r="VJO41" s="425"/>
      <c r="VJP41" s="424"/>
      <c r="VJQ41" s="425"/>
      <c r="VJR41" s="424"/>
      <c r="VJS41" s="425"/>
      <c r="VJT41" s="424"/>
      <c r="VJU41" s="425"/>
      <c r="VJV41" s="424"/>
      <c r="VJW41" s="425"/>
      <c r="VJX41" s="424"/>
      <c r="VJY41" s="425"/>
      <c r="VJZ41" s="424"/>
      <c r="VKA41" s="425"/>
      <c r="VKB41" s="424"/>
      <c r="VKC41" s="425"/>
      <c r="VKD41" s="424"/>
      <c r="VKE41" s="425"/>
      <c r="VKF41" s="424"/>
      <c r="VKG41" s="425"/>
      <c r="VKH41" s="424"/>
      <c r="VKI41" s="425"/>
      <c r="VKJ41" s="424"/>
      <c r="VKK41" s="425"/>
      <c r="VKL41" s="424"/>
      <c r="VKM41" s="425"/>
      <c r="VKN41" s="424"/>
      <c r="VKO41" s="425"/>
      <c r="VKP41" s="424"/>
      <c r="VKQ41" s="425"/>
      <c r="VKR41" s="424"/>
      <c r="VKS41" s="425"/>
      <c r="VKT41" s="424"/>
      <c r="VKU41" s="425"/>
      <c r="VKV41" s="424"/>
      <c r="VKW41" s="425"/>
      <c r="VKX41" s="424"/>
      <c r="VKY41" s="425"/>
      <c r="VKZ41" s="424"/>
      <c r="VLA41" s="425"/>
      <c r="VLB41" s="424"/>
      <c r="VLC41" s="425"/>
      <c r="VLD41" s="424"/>
      <c r="VLE41" s="425"/>
      <c r="VLF41" s="424"/>
      <c r="VLG41" s="425"/>
      <c r="VLH41" s="424"/>
      <c r="VLI41" s="425"/>
      <c r="VLJ41" s="424"/>
      <c r="VLK41" s="425"/>
      <c r="VLL41" s="424"/>
      <c r="VLM41" s="425"/>
      <c r="VLN41" s="424"/>
      <c r="VLO41" s="425"/>
      <c r="VLP41" s="424"/>
      <c r="VLQ41" s="425"/>
      <c r="VLR41" s="424"/>
      <c r="VLS41" s="425"/>
      <c r="VLT41" s="424"/>
      <c r="VLU41" s="425"/>
      <c r="VLV41" s="424"/>
      <c r="VLW41" s="425"/>
      <c r="VLX41" s="424"/>
      <c r="VLY41" s="425"/>
      <c r="VLZ41" s="424"/>
      <c r="VMA41" s="425"/>
      <c r="VMB41" s="424"/>
      <c r="VMC41" s="425"/>
      <c r="VMD41" s="424"/>
      <c r="VME41" s="425"/>
      <c r="VMF41" s="424"/>
      <c r="VMG41" s="425"/>
      <c r="VMH41" s="424"/>
      <c r="VMI41" s="425"/>
      <c r="VMJ41" s="424"/>
      <c r="VMK41" s="425"/>
      <c r="VML41" s="424"/>
      <c r="VMM41" s="425"/>
      <c r="VMN41" s="424"/>
      <c r="VMO41" s="425"/>
      <c r="VMP41" s="424"/>
      <c r="VMQ41" s="425"/>
      <c r="VMR41" s="424"/>
      <c r="VMS41" s="425"/>
      <c r="VMT41" s="424"/>
      <c r="VMU41" s="425"/>
      <c r="VMV41" s="424"/>
      <c r="VMW41" s="425"/>
      <c r="VMX41" s="424"/>
      <c r="VMY41" s="425"/>
      <c r="VMZ41" s="424"/>
      <c r="VNA41" s="425"/>
      <c r="VNB41" s="424"/>
      <c r="VNC41" s="425"/>
      <c r="VND41" s="424"/>
      <c r="VNE41" s="425"/>
      <c r="VNF41" s="424"/>
      <c r="VNG41" s="425"/>
      <c r="VNH41" s="424"/>
      <c r="VNI41" s="425"/>
      <c r="VNJ41" s="424"/>
      <c r="VNK41" s="425"/>
      <c r="VNL41" s="424"/>
      <c r="VNM41" s="425"/>
      <c r="VNN41" s="424"/>
      <c r="VNO41" s="425"/>
      <c r="VNP41" s="424"/>
      <c r="VNQ41" s="425"/>
      <c r="VNR41" s="424"/>
      <c r="VNS41" s="425"/>
      <c r="VNT41" s="424"/>
      <c r="VNU41" s="425"/>
      <c r="VNV41" s="424"/>
      <c r="VNW41" s="425"/>
      <c r="VNX41" s="424"/>
      <c r="VNY41" s="425"/>
      <c r="VNZ41" s="424"/>
      <c r="VOA41" s="425"/>
      <c r="VOB41" s="424"/>
      <c r="VOC41" s="425"/>
      <c r="VOD41" s="424"/>
      <c r="VOE41" s="425"/>
      <c r="VOF41" s="424"/>
      <c r="VOG41" s="425"/>
      <c r="VOH41" s="424"/>
      <c r="VOI41" s="425"/>
      <c r="VOJ41" s="424"/>
      <c r="VOK41" s="425"/>
      <c r="VOL41" s="424"/>
      <c r="VOM41" s="425"/>
      <c r="VON41" s="424"/>
      <c r="VOO41" s="425"/>
      <c r="VOP41" s="424"/>
      <c r="VOQ41" s="425"/>
      <c r="VOR41" s="424"/>
      <c r="VOS41" s="425"/>
      <c r="VOT41" s="424"/>
      <c r="VOU41" s="425"/>
      <c r="VOV41" s="424"/>
      <c r="VOW41" s="425"/>
      <c r="VOX41" s="424"/>
      <c r="VOY41" s="425"/>
      <c r="VOZ41" s="424"/>
      <c r="VPA41" s="425"/>
      <c r="VPB41" s="424"/>
      <c r="VPC41" s="425"/>
      <c r="VPD41" s="424"/>
      <c r="VPE41" s="425"/>
      <c r="VPF41" s="424"/>
      <c r="VPG41" s="425"/>
      <c r="VPH41" s="424"/>
      <c r="VPI41" s="425"/>
      <c r="VPJ41" s="424"/>
      <c r="VPK41" s="425"/>
      <c r="VPL41" s="424"/>
      <c r="VPM41" s="425"/>
      <c r="VPN41" s="424"/>
      <c r="VPO41" s="425"/>
      <c r="VPP41" s="424"/>
      <c r="VPQ41" s="425"/>
      <c r="VPR41" s="424"/>
      <c r="VPS41" s="425"/>
      <c r="VPT41" s="424"/>
      <c r="VPU41" s="425"/>
      <c r="VPV41" s="424"/>
      <c r="VPW41" s="425"/>
      <c r="VPX41" s="424"/>
      <c r="VPY41" s="425"/>
      <c r="VPZ41" s="424"/>
      <c r="VQA41" s="425"/>
      <c r="VQB41" s="424"/>
      <c r="VQC41" s="425"/>
      <c r="VQD41" s="424"/>
      <c r="VQE41" s="425"/>
      <c r="VQF41" s="424"/>
      <c r="VQG41" s="425"/>
      <c r="VQH41" s="424"/>
      <c r="VQI41" s="425"/>
      <c r="VQJ41" s="424"/>
      <c r="VQK41" s="425"/>
      <c r="VQL41" s="424"/>
      <c r="VQM41" s="425"/>
      <c r="VQN41" s="424"/>
      <c r="VQO41" s="425"/>
      <c r="VQP41" s="424"/>
      <c r="VQQ41" s="425"/>
      <c r="VQR41" s="424"/>
      <c r="VQS41" s="425"/>
      <c r="VQT41" s="424"/>
      <c r="VQU41" s="425"/>
      <c r="VQV41" s="424"/>
      <c r="VQW41" s="425"/>
      <c r="VQX41" s="424"/>
      <c r="VQY41" s="425"/>
      <c r="VQZ41" s="424"/>
      <c r="VRA41" s="425"/>
      <c r="VRB41" s="424"/>
      <c r="VRC41" s="425"/>
      <c r="VRD41" s="424"/>
      <c r="VRE41" s="425"/>
      <c r="VRF41" s="424"/>
      <c r="VRG41" s="425"/>
      <c r="VRH41" s="424"/>
      <c r="VRI41" s="425"/>
      <c r="VRJ41" s="424"/>
      <c r="VRK41" s="425"/>
      <c r="VRL41" s="424"/>
      <c r="VRM41" s="425"/>
      <c r="VRN41" s="424"/>
      <c r="VRO41" s="425"/>
      <c r="VRP41" s="424"/>
      <c r="VRQ41" s="425"/>
      <c r="VRR41" s="424"/>
      <c r="VRS41" s="425"/>
      <c r="VRT41" s="424"/>
      <c r="VRU41" s="425"/>
      <c r="VRV41" s="424"/>
      <c r="VRW41" s="425"/>
      <c r="VRX41" s="424"/>
      <c r="VRY41" s="425"/>
      <c r="VRZ41" s="424"/>
      <c r="VSA41" s="425"/>
      <c r="VSB41" s="424"/>
      <c r="VSC41" s="425"/>
      <c r="VSD41" s="424"/>
      <c r="VSE41" s="425"/>
      <c r="VSF41" s="424"/>
      <c r="VSG41" s="425"/>
      <c r="VSH41" s="424"/>
      <c r="VSI41" s="425"/>
      <c r="VSJ41" s="424"/>
      <c r="VSK41" s="425"/>
      <c r="VSL41" s="424"/>
      <c r="VSM41" s="425"/>
      <c r="VSN41" s="424"/>
      <c r="VSO41" s="425"/>
      <c r="VSP41" s="424"/>
      <c r="VSQ41" s="425"/>
      <c r="VSR41" s="424"/>
      <c r="VSS41" s="425"/>
      <c r="VST41" s="424"/>
      <c r="VSU41" s="425"/>
      <c r="VSV41" s="424"/>
      <c r="VSW41" s="425"/>
      <c r="VSX41" s="424"/>
      <c r="VSY41" s="425"/>
      <c r="VSZ41" s="424"/>
      <c r="VTA41" s="425"/>
      <c r="VTB41" s="424"/>
      <c r="VTC41" s="425"/>
      <c r="VTD41" s="424"/>
      <c r="VTE41" s="425"/>
      <c r="VTF41" s="424"/>
      <c r="VTG41" s="425"/>
      <c r="VTH41" s="424"/>
      <c r="VTI41" s="425"/>
      <c r="VTJ41" s="424"/>
      <c r="VTK41" s="425"/>
      <c r="VTL41" s="424"/>
      <c r="VTM41" s="425"/>
      <c r="VTN41" s="424"/>
      <c r="VTO41" s="425"/>
      <c r="VTP41" s="424"/>
      <c r="VTQ41" s="425"/>
      <c r="VTR41" s="424"/>
      <c r="VTS41" s="425"/>
      <c r="VTT41" s="424"/>
      <c r="VTU41" s="425"/>
      <c r="VTV41" s="424"/>
      <c r="VTW41" s="425"/>
      <c r="VTX41" s="424"/>
      <c r="VTY41" s="425"/>
      <c r="VTZ41" s="424"/>
      <c r="VUA41" s="425"/>
      <c r="VUB41" s="424"/>
      <c r="VUC41" s="425"/>
      <c r="VUD41" s="424"/>
      <c r="VUE41" s="425"/>
      <c r="VUF41" s="424"/>
      <c r="VUG41" s="425"/>
      <c r="VUH41" s="424"/>
      <c r="VUI41" s="425"/>
      <c r="VUJ41" s="424"/>
      <c r="VUK41" s="425"/>
      <c r="VUL41" s="424"/>
      <c r="VUM41" s="425"/>
      <c r="VUN41" s="424"/>
      <c r="VUO41" s="425"/>
      <c r="VUP41" s="424"/>
      <c r="VUQ41" s="425"/>
      <c r="VUR41" s="424"/>
      <c r="VUS41" s="425"/>
      <c r="VUT41" s="424"/>
      <c r="VUU41" s="425"/>
      <c r="VUV41" s="424"/>
      <c r="VUW41" s="425"/>
      <c r="VUX41" s="424"/>
      <c r="VUY41" s="425"/>
      <c r="VUZ41" s="424"/>
      <c r="VVA41" s="425"/>
      <c r="VVB41" s="424"/>
      <c r="VVC41" s="425"/>
      <c r="VVD41" s="424"/>
      <c r="VVE41" s="425"/>
      <c r="VVF41" s="424"/>
      <c r="VVG41" s="425"/>
      <c r="VVH41" s="424"/>
      <c r="VVI41" s="425"/>
      <c r="VVJ41" s="424"/>
      <c r="VVK41" s="425"/>
      <c r="VVL41" s="424"/>
      <c r="VVM41" s="425"/>
      <c r="VVN41" s="424"/>
      <c r="VVO41" s="425"/>
      <c r="VVP41" s="424"/>
      <c r="VVQ41" s="425"/>
      <c r="VVR41" s="424"/>
      <c r="VVS41" s="425"/>
      <c r="VVT41" s="424"/>
      <c r="VVU41" s="425"/>
      <c r="VVV41" s="424"/>
      <c r="VVW41" s="425"/>
      <c r="VVX41" s="424"/>
      <c r="VVY41" s="425"/>
      <c r="VVZ41" s="424"/>
      <c r="VWA41" s="425"/>
      <c r="VWB41" s="424"/>
      <c r="VWC41" s="425"/>
      <c r="VWD41" s="424"/>
      <c r="VWE41" s="425"/>
      <c r="VWF41" s="424"/>
      <c r="VWG41" s="425"/>
      <c r="VWH41" s="424"/>
      <c r="VWI41" s="425"/>
      <c r="VWJ41" s="424"/>
      <c r="VWK41" s="425"/>
      <c r="VWL41" s="424"/>
      <c r="VWM41" s="425"/>
      <c r="VWN41" s="424"/>
      <c r="VWO41" s="425"/>
      <c r="VWP41" s="424"/>
      <c r="VWQ41" s="425"/>
      <c r="VWR41" s="424"/>
      <c r="VWS41" s="425"/>
      <c r="VWT41" s="424"/>
      <c r="VWU41" s="425"/>
      <c r="VWV41" s="424"/>
      <c r="VWW41" s="425"/>
      <c r="VWX41" s="424"/>
      <c r="VWY41" s="425"/>
      <c r="VWZ41" s="424"/>
      <c r="VXA41" s="425"/>
      <c r="VXB41" s="424"/>
      <c r="VXC41" s="425"/>
      <c r="VXD41" s="424"/>
      <c r="VXE41" s="425"/>
      <c r="VXF41" s="424"/>
      <c r="VXG41" s="425"/>
      <c r="VXH41" s="424"/>
      <c r="VXI41" s="425"/>
      <c r="VXJ41" s="424"/>
      <c r="VXK41" s="425"/>
      <c r="VXL41" s="424"/>
      <c r="VXM41" s="425"/>
      <c r="VXN41" s="424"/>
      <c r="VXO41" s="425"/>
      <c r="VXP41" s="424"/>
      <c r="VXQ41" s="425"/>
      <c r="VXR41" s="424"/>
      <c r="VXS41" s="425"/>
      <c r="VXT41" s="424"/>
      <c r="VXU41" s="425"/>
      <c r="VXV41" s="424"/>
      <c r="VXW41" s="425"/>
      <c r="VXX41" s="424"/>
      <c r="VXY41" s="425"/>
      <c r="VXZ41" s="424"/>
      <c r="VYA41" s="425"/>
      <c r="VYB41" s="424"/>
      <c r="VYC41" s="425"/>
      <c r="VYD41" s="424"/>
      <c r="VYE41" s="425"/>
      <c r="VYF41" s="424"/>
      <c r="VYG41" s="425"/>
      <c r="VYH41" s="424"/>
      <c r="VYI41" s="425"/>
      <c r="VYJ41" s="424"/>
      <c r="VYK41" s="425"/>
      <c r="VYL41" s="424"/>
      <c r="VYM41" s="425"/>
      <c r="VYN41" s="424"/>
      <c r="VYO41" s="425"/>
      <c r="VYP41" s="424"/>
      <c r="VYQ41" s="425"/>
      <c r="VYR41" s="424"/>
      <c r="VYS41" s="425"/>
      <c r="VYT41" s="424"/>
      <c r="VYU41" s="425"/>
      <c r="VYV41" s="424"/>
      <c r="VYW41" s="425"/>
      <c r="VYX41" s="424"/>
      <c r="VYY41" s="425"/>
      <c r="VYZ41" s="424"/>
      <c r="VZA41" s="425"/>
      <c r="VZB41" s="424"/>
      <c r="VZC41" s="425"/>
      <c r="VZD41" s="424"/>
      <c r="VZE41" s="425"/>
      <c r="VZF41" s="424"/>
      <c r="VZG41" s="425"/>
      <c r="VZH41" s="424"/>
      <c r="VZI41" s="425"/>
      <c r="VZJ41" s="424"/>
      <c r="VZK41" s="425"/>
      <c r="VZL41" s="424"/>
      <c r="VZM41" s="425"/>
      <c r="VZN41" s="424"/>
      <c r="VZO41" s="425"/>
      <c r="VZP41" s="424"/>
      <c r="VZQ41" s="425"/>
      <c r="VZR41" s="424"/>
      <c r="VZS41" s="425"/>
      <c r="VZT41" s="424"/>
      <c r="VZU41" s="425"/>
      <c r="VZV41" s="424"/>
      <c r="VZW41" s="425"/>
      <c r="VZX41" s="424"/>
      <c r="VZY41" s="425"/>
      <c r="VZZ41" s="424"/>
      <c r="WAA41" s="425"/>
      <c r="WAB41" s="424"/>
      <c r="WAC41" s="425"/>
      <c r="WAD41" s="424"/>
      <c r="WAE41" s="425"/>
      <c r="WAF41" s="424"/>
      <c r="WAG41" s="425"/>
      <c r="WAH41" s="424"/>
      <c r="WAI41" s="425"/>
      <c r="WAJ41" s="424"/>
      <c r="WAK41" s="425"/>
      <c r="WAL41" s="424"/>
      <c r="WAM41" s="425"/>
      <c r="WAN41" s="424"/>
      <c r="WAO41" s="425"/>
      <c r="WAP41" s="424"/>
      <c r="WAQ41" s="425"/>
      <c r="WAR41" s="424"/>
      <c r="WAS41" s="425"/>
      <c r="WAT41" s="424"/>
      <c r="WAU41" s="425"/>
      <c r="WAV41" s="424"/>
      <c r="WAW41" s="425"/>
      <c r="WAX41" s="424"/>
      <c r="WAY41" s="425"/>
      <c r="WAZ41" s="424"/>
      <c r="WBA41" s="425"/>
      <c r="WBB41" s="424"/>
      <c r="WBC41" s="425"/>
      <c r="WBD41" s="424"/>
      <c r="WBE41" s="425"/>
      <c r="WBF41" s="424"/>
      <c r="WBG41" s="425"/>
      <c r="WBH41" s="424"/>
      <c r="WBI41" s="425"/>
      <c r="WBJ41" s="424"/>
      <c r="WBK41" s="425"/>
      <c r="WBL41" s="424"/>
      <c r="WBM41" s="425"/>
      <c r="WBN41" s="424"/>
      <c r="WBO41" s="425"/>
      <c r="WBP41" s="424"/>
      <c r="WBQ41" s="425"/>
      <c r="WBR41" s="424"/>
      <c r="WBS41" s="425"/>
      <c r="WBT41" s="424"/>
      <c r="WBU41" s="425"/>
      <c r="WBV41" s="424"/>
      <c r="WBW41" s="425"/>
      <c r="WBX41" s="424"/>
      <c r="WBY41" s="425"/>
      <c r="WBZ41" s="424"/>
      <c r="WCA41" s="425"/>
      <c r="WCB41" s="424"/>
      <c r="WCC41" s="425"/>
      <c r="WCD41" s="424"/>
      <c r="WCE41" s="425"/>
      <c r="WCF41" s="424"/>
      <c r="WCG41" s="425"/>
      <c r="WCH41" s="424"/>
      <c r="WCI41" s="425"/>
      <c r="WCJ41" s="424"/>
      <c r="WCK41" s="425"/>
      <c r="WCL41" s="424"/>
      <c r="WCM41" s="425"/>
      <c r="WCN41" s="424"/>
      <c r="WCO41" s="425"/>
      <c r="WCP41" s="424"/>
      <c r="WCQ41" s="425"/>
      <c r="WCR41" s="424"/>
      <c r="WCS41" s="425"/>
      <c r="WCT41" s="424"/>
      <c r="WCU41" s="425"/>
      <c r="WCV41" s="424"/>
      <c r="WCW41" s="425"/>
      <c r="WCX41" s="424"/>
      <c r="WCY41" s="425"/>
      <c r="WCZ41" s="424"/>
      <c r="WDA41" s="425"/>
      <c r="WDB41" s="424"/>
      <c r="WDC41" s="425"/>
      <c r="WDD41" s="424"/>
      <c r="WDE41" s="425"/>
      <c r="WDF41" s="424"/>
      <c r="WDG41" s="425"/>
      <c r="WDH41" s="424"/>
      <c r="WDI41" s="425"/>
      <c r="WDJ41" s="424"/>
      <c r="WDK41" s="425"/>
      <c r="WDL41" s="424"/>
      <c r="WDM41" s="425"/>
      <c r="WDN41" s="424"/>
      <c r="WDO41" s="425"/>
      <c r="WDP41" s="424"/>
      <c r="WDQ41" s="425"/>
      <c r="WDR41" s="424"/>
      <c r="WDS41" s="425"/>
      <c r="WDT41" s="424"/>
      <c r="WDU41" s="425"/>
      <c r="WDV41" s="424"/>
      <c r="WDW41" s="425"/>
      <c r="WDX41" s="424"/>
      <c r="WDY41" s="425"/>
      <c r="WDZ41" s="424"/>
      <c r="WEA41" s="425"/>
      <c r="WEB41" s="424"/>
      <c r="WEC41" s="425"/>
      <c r="WED41" s="424"/>
      <c r="WEE41" s="425"/>
      <c r="WEF41" s="424"/>
      <c r="WEG41" s="425"/>
      <c r="WEH41" s="424"/>
      <c r="WEI41" s="425"/>
      <c r="WEJ41" s="424"/>
      <c r="WEK41" s="425"/>
      <c r="WEL41" s="424"/>
      <c r="WEM41" s="425"/>
      <c r="WEN41" s="424"/>
      <c r="WEO41" s="425"/>
      <c r="WEP41" s="424"/>
      <c r="WEQ41" s="425"/>
      <c r="WER41" s="424"/>
      <c r="WES41" s="425"/>
      <c r="WET41" s="424"/>
      <c r="WEU41" s="425"/>
      <c r="WEV41" s="424"/>
      <c r="WEW41" s="425"/>
      <c r="WEX41" s="424"/>
      <c r="WEY41" s="425"/>
      <c r="WEZ41" s="424"/>
      <c r="WFA41" s="425"/>
      <c r="WFB41" s="424"/>
      <c r="WFC41" s="425"/>
      <c r="WFD41" s="424"/>
      <c r="WFE41" s="425"/>
      <c r="WFF41" s="424"/>
      <c r="WFG41" s="425"/>
      <c r="WFH41" s="424"/>
      <c r="WFI41" s="425"/>
      <c r="WFJ41" s="424"/>
      <c r="WFK41" s="425"/>
      <c r="WFL41" s="424"/>
      <c r="WFM41" s="425"/>
      <c r="WFN41" s="424"/>
      <c r="WFO41" s="425"/>
      <c r="WFP41" s="424"/>
      <c r="WFQ41" s="425"/>
      <c r="WFR41" s="424"/>
      <c r="WFS41" s="425"/>
      <c r="WFT41" s="424"/>
      <c r="WFU41" s="425"/>
      <c r="WFV41" s="424"/>
      <c r="WFW41" s="425"/>
      <c r="WFX41" s="424"/>
      <c r="WFY41" s="425"/>
      <c r="WFZ41" s="424"/>
      <c r="WGA41" s="425"/>
      <c r="WGB41" s="424"/>
      <c r="WGC41" s="425"/>
      <c r="WGD41" s="424"/>
      <c r="WGE41" s="425"/>
      <c r="WGF41" s="424"/>
      <c r="WGG41" s="425"/>
      <c r="WGH41" s="424"/>
      <c r="WGI41" s="425"/>
      <c r="WGJ41" s="424"/>
      <c r="WGK41" s="425"/>
      <c r="WGL41" s="424"/>
      <c r="WGM41" s="425"/>
      <c r="WGN41" s="424"/>
      <c r="WGO41" s="425"/>
      <c r="WGP41" s="424"/>
      <c r="WGQ41" s="425"/>
      <c r="WGR41" s="424"/>
      <c r="WGS41" s="425"/>
      <c r="WGT41" s="424"/>
      <c r="WGU41" s="425"/>
      <c r="WGV41" s="424"/>
      <c r="WGW41" s="425"/>
      <c r="WGX41" s="424"/>
      <c r="WGY41" s="425"/>
      <c r="WGZ41" s="424"/>
      <c r="WHA41" s="425"/>
      <c r="WHB41" s="424"/>
      <c r="WHC41" s="425"/>
      <c r="WHD41" s="424"/>
      <c r="WHE41" s="425"/>
      <c r="WHF41" s="424"/>
      <c r="WHG41" s="425"/>
      <c r="WHH41" s="424"/>
      <c r="WHI41" s="425"/>
      <c r="WHJ41" s="424"/>
      <c r="WHK41" s="425"/>
      <c r="WHL41" s="424"/>
      <c r="WHM41" s="425"/>
      <c r="WHN41" s="424"/>
      <c r="WHO41" s="425"/>
      <c r="WHP41" s="424"/>
      <c r="WHQ41" s="425"/>
      <c r="WHR41" s="424"/>
      <c r="WHS41" s="425"/>
      <c r="WHT41" s="424"/>
      <c r="WHU41" s="425"/>
      <c r="WHV41" s="424"/>
      <c r="WHW41" s="425"/>
      <c r="WHX41" s="424"/>
      <c r="WHY41" s="425"/>
      <c r="WHZ41" s="424"/>
      <c r="WIA41" s="425"/>
      <c r="WIB41" s="424"/>
      <c r="WIC41" s="425"/>
      <c r="WID41" s="424"/>
      <c r="WIE41" s="425"/>
      <c r="WIF41" s="424"/>
      <c r="WIG41" s="425"/>
      <c r="WIH41" s="424"/>
      <c r="WII41" s="425"/>
      <c r="WIJ41" s="424"/>
      <c r="WIK41" s="425"/>
      <c r="WIL41" s="424"/>
      <c r="WIM41" s="425"/>
      <c r="WIN41" s="424"/>
      <c r="WIO41" s="425"/>
      <c r="WIP41" s="424"/>
      <c r="WIQ41" s="425"/>
      <c r="WIR41" s="424"/>
      <c r="WIS41" s="425"/>
      <c r="WIT41" s="424"/>
      <c r="WIU41" s="425"/>
      <c r="WIV41" s="424"/>
      <c r="WIW41" s="425"/>
      <c r="WIX41" s="424"/>
      <c r="WIY41" s="425"/>
      <c r="WIZ41" s="424"/>
      <c r="WJA41" s="425"/>
      <c r="WJB41" s="424"/>
      <c r="WJC41" s="425"/>
      <c r="WJD41" s="424"/>
      <c r="WJE41" s="425"/>
      <c r="WJF41" s="424"/>
      <c r="WJG41" s="425"/>
      <c r="WJH41" s="424"/>
      <c r="WJI41" s="425"/>
      <c r="WJJ41" s="424"/>
      <c r="WJK41" s="425"/>
      <c r="WJL41" s="424"/>
      <c r="WJM41" s="425"/>
      <c r="WJN41" s="424"/>
      <c r="WJO41" s="425"/>
      <c r="WJP41" s="424"/>
      <c r="WJQ41" s="425"/>
      <c r="WJR41" s="424"/>
      <c r="WJS41" s="425"/>
      <c r="WJT41" s="424"/>
      <c r="WJU41" s="425"/>
      <c r="WJV41" s="424"/>
      <c r="WJW41" s="425"/>
      <c r="WJX41" s="424"/>
      <c r="WJY41" s="425"/>
      <c r="WJZ41" s="424"/>
      <c r="WKA41" s="425"/>
      <c r="WKB41" s="424"/>
      <c r="WKC41" s="425"/>
      <c r="WKD41" s="424"/>
      <c r="WKE41" s="425"/>
      <c r="WKF41" s="424"/>
      <c r="WKG41" s="425"/>
      <c r="WKH41" s="424"/>
      <c r="WKI41" s="425"/>
      <c r="WKJ41" s="424"/>
      <c r="WKK41" s="425"/>
      <c r="WKL41" s="424"/>
      <c r="WKM41" s="425"/>
      <c r="WKN41" s="424"/>
      <c r="WKO41" s="425"/>
      <c r="WKP41" s="424"/>
      <c r="WKQ41" s="425"/>
      <c r="WKR41" s="424"/>
      <c r="WKS41" s="425"/>
      <c r="WKT41" s="424"/>
      <c r="WKU41" s="425"/>
      <c r="WKV41" s="424"/>
      <c r="WKW41" s="425"/>
      <c r="WKX41" s="424"/>
      <c r="WKY41" s="425"/>
      <c r="WKZ41" s="424"/>
      <c r="WLA41" s="425"/>
      <c r="WLB41" s="424"/>
      <c r="WLC41" s="425"/>
      <c r="WLD41" s="424"/>
      <c r="WLE41" s="425"/>
      <c r="WLF41" s="424"/>
      <c r="WLG41" s="425"/>
      <c r="WLH41" s="424"/>
      <c r="WLI41" s="425"/>
      <c r="WLJ41" s="424"/>
      <c r="WLK41" s="425"/>
      <c r="WLL41" s="424"/>
      <c r="WLM41" s="425"/>
      <c r="WLN41" s="424"/>
      <c r="WLO41" s="425"/>
      <c r="WLP41" s="424"/>
      <c r="WLQ41" s="425"/>
      <c r="WLR41" s="424"/>
      <c r="WLS41" s="425"/>
      <c r="WLT41" s="424"/>
      <c r="WLU41" s="425"/>
      <c r="WLV41" s="424"/>
      <c r="WLW41" s="425"/>
      <c r="WLX41" s="424"/>
      <c r="WLY41" s="425"/>
      <c r="WLZ41" s="424"/>
      <c r="WMA41" s="425"/>
      <c r="WMB41" s="424"/>
      <c r="WMC41" s="425"/>
      <c r="WMD41" s="424"/>
      <c r="WME41" s="425"/>
      <c r="WMF41" s="424"/>
      <c r="WMG41" s="425"/>
      <c r="WMH41" s="424"/>
      <c r="WMI41" s="425"/>
      <c r="WMJ41" s="424"/>
      <c r="WMK41" s="425"/>
      <c r="WML41" s="424"/>
      <c r="WMM41" s="425"/>
      <c r="WMN41" s="424"/>
      <c r="WMO41" s="425"/>
      <c r="WMP41" s="424"/>
      <c r="WMQ41" s="425"/>
      <c r="WMR41" s="424"/>
      <c r="WMS41" s="425"/>
      <c r="WMT41" s="424"/>
      <c r="WMU41" s="425"/>
      <c r="WMV41" s="424"/>
      <c r="WMW41" s="425"/>
      <c r="WMX41" s="424"/>
      <c r="WMY41" s="425"/>
      <c r="WMZ41" s="424"/>
      <c r="WNA41" s="425"/>
      <c r="WNB41" s="424"/>
      <c r="WNC41" s="425"/>
      <c r="WND41" s="424"/>
      <c r="WNE41" s="425"/>
      <c r="WNF41" s="424"/>
      <c r="WNG41" s="425"/>
      <c r="WNH41" s="424"/>
      <c r="WNI41" s="425"/>
      <c r="WNJ41" s="424"/>
      <c r="WNK41" s="425"/>
      <c r="WNL41" s="424"/>
      <c r="WNM41" s="425"/>
      <c r="WNN41" s="424"/>
      <c r="WNO41" s="425"/>
      <c r="WNP41" s="424"/>
      <c r="WNQ41" s="425"/>
      <c r="WNR41" s="424"/>
      <c r="WNS41" s="425"/>
      <c r="WNT41" s="424"/>
      <c r="WNU41" s="425"/>
      <c r="WNV41" s="424"/>
      <c r="WNW41" s="425"/>
      <c r="WNX41" s="424"/>
      <c r="WNY41" s="425"/>
      <c r="WNZ41" s="424"/>
      <c r="WOA41" s="425"/>
      <c r="WOB41" s="424"/>
      <c r="WOC41" s="425"/>
      <c r="WOD41" s="424"/>
      <c r="WOE41" s="425"/>
      <c r="WOF41" s="424"/>
      <c r="WOG41" s="425"/>
      <c r="WOH41" s="424"/>
      <c r="WOI41" s="425"/>
      <c r="WOJ41" s="424"/>
      <c r="WOK41" s="425"/>
      <c r="WOL41" s="424"/>
      <c r="WOM41" s="425"/>
      <c r="WON41" s="424"/>
      <c r="WOO41" s="425"/>
      <c r="WOP41" s="424"/>
      <c r="WOQ41" s="425"/>
      <c r="WOR41" s="424"/>
      <c r="WOS41" s="425"/>
      <c r="WOT41" s="424"/>
      <c r="WOU41" s="425"/>
      <c r="WOV41" s="424"/>
      <c r="WOW41" s="425"/>
      <c r="WOX41" s="424"/>
      <c r="WOY41" s="425"/>
      <c r="WOZ41" s="424"/>
      <c r="WPA41" s="425"/>
      <c r="WPB41" s="424"/>
      <c r="WPC41" s="425"/>
      <c r="WPD41" s="424"/>
      <c r="WPE41" s="425"/>
      <c r="WPF41" s="424"/>
      <c r="WPG41" s="425"/>
      <c r="WPH41" s="424"/>
      <c r="WPI41" s="425"/>
      <c r="WPJ41" s="424"/>
      <c r="WPK41" s="425"/>
      <c r="WPL41" s="424"/>
      <c r="WPM41" s="425"/>
      <c r="WPN41" s="424"/>
      <c r="WPO41" s="425"/>
      <c r="WPP41" s="424"/>
      <c r="WPQ41" s="425"/>
      <c r="WPR41" s="424"/>
      <c r="WPS41" s="425"/>
      <c r="WPT41" s="424"/>
      <c r="WPU41" s="425"/>
      <c r="WPV41" s="424"/>
      <c r="WPW41" s="425"/>
      <c r="WPX41" s="424"/>
      <c r="WPY41" s="425"/>
      <c r="WPZ41" s="424"/>
      <c r="WQA41" s="425"/>
      <c r="WQB41" s="424"/>
      <c r="WQC41" s="425"/>
      <c r="WQD41" s="424"/>
      <c r="WQE41" s="425"/>
      <c r="WQF41" s="424"/>
      <c r="WQG41" s="425"/>
      <c r="WQH41" s="424"/>
      <c r="WQI41" s="425"/>
      <c r="WQJ41" s="424"/>
      <c r="WQK41" s="425"/>
      <c r="WQL41" s="424"/>
      <c r="WQM41" s="425"/>
      <c r="WQN41" s="424"/>
      <c r="WQO41" s="425"/>
      <c r="WQP41" s="424"/>
      <c r="WQQ41" s="425"/>
      <c r="WQR41" s="424"/>
      <c r="WQS41" s="425"/>
      <c r="WQT41" s="424"/>
      <c r="WQU41" s="425"/>
      <c r="WQV41" s="424"/>
      <c r="WQW41" s="425"/>
      <c r="WQX41" s="424"/>
      <c r="WQY41" s="425"/>
      <c r="WQZ41" s="424"/>
      <c r="WRA41" s="425"/>
      <c r="WRB41" s="424"/>
      <c r="WRC41" s="425"/>
      <c r="WRD41" s="424"/>
      <c r="WRE41" s="425"/>
      <c r="WRF41" s="424"/>
      <c r="WRG41" s="425"/>
      <c r="WRH41" s="424"/>
      <c r="WRI41" s="425"/>
      <c r="WRJ41" s="424"/>
      <c r="WRK41" s="425"/>
      <c r="WRL41" s="424"/>
      <c r="WRM41" s="425"/>
      <c r="WRN41" s="424"/>
      <c r="WRO41" s="425"/>
      <c r="WRP41" s="424"/>
      <c r="WRQ41" s="425"/>
      <c r="WRR41" s="424"/>
      <c r="WRS41" s="425"/>
      <c r="WRT41" s="424"/>
      <c r="WRU41" s="425"/>
      <c r="WRV41" s="424"/>
      <c r="WRW41" s="425"/>
      <c r="WRX41" s="424"/>
      <c r="WRY41" s="425"/>
      <c r="WRZ41" s="424"/>
      <c r="WSA41" s="425"/>
      <c r="WSB41" s="424"/>
      <c r="WSC41" s="425"/>
      <c r="WSD41" s="424"/>
      <c r="WSE41" s="425"/>
      <c r="WSF41" s="424"/>
      <c r="WSG41" s="425"/>
      <c r="WSH41" s="424"/>
      <c r="WSI41" s="425"/>
      <c r="WSJ41" s="424"/>
      <c r="WSK41" s="425"/>
      <c r="WSL41" s="424"/>
      <c r="WSM41" s="425"/>
      <c r="WSN41" s="424"/>
      <c r="WSO41" s="425"/>
      <c r="WSP41" s="424"/>
      <c r="WSQ41" s="425"/>
      <c r="WSR41" s="424"/>
      <c r="WSS41" s="425"/>
      <c r="WST41" s="424"/>
      <c r="WSU41" s="425"/>
      <c r="WSV41" s="424"/>
      <c r="WSW41" s="425"/>
      <c r="WSX41" s="424"/>
      <c r="WSY41" s="425"/>
      <c r="WSZ41" s="424"/>
      <c r="WTA41" s="425"/>
      <c r="WTB41" s="424"/>
      <c r="WTC41" s="425"/>
      <c r="WTD41" s="424"/>
      <c r="WTE41" s="425"/>
      <c r="WTF41" s="424"/>
      <c r="WTG41" s="425"/>
      <c r="WTH41" s="424"/>
      <c r="WTI41" s="425"/>
      <c r="WTJ41" s="424"/>
      <c r="WTK41" s="425"/>
      <c r="WTL41" s="424"/>
      <c r="WTM41" s="425"/>
      <c r="WTN41" s="424"/>
      <c r="WTO41" s="425"/>
      <c r="WTP41" s="424"/>
      <c r="WTQ41" s="425"/>
      <c r="WTR41" s="424"/>
      <c r="WTS41" s="425"/>
      <c r="WTT41" s="424"/>
      <c r="WTU41" s="425"/>
      <c r="WTV41" s="424"/>
      <c r="WTW41" s="425"/>
      <c r="WTX41" s="424"/>
      <c r="WTY41" s="425"/>
      <c r="WTZ41" s="424"/>
      <c r="WUA41" s="425"/>
      <c r="WUB41" s="424"/>
      <c r="WUC41" s="425"/>
      <c r="WUD41" s="424"/>
      <c r="WUE41" s="425"/>
      <c r="WUF41" s="424"/>
      <c r="WUG41" s="425"/>
      <c r="WUH41" s="424"/>
      <c r="WUI41" s="425"/>
      <c r="WUJ41" s="424"/>
      <c r="WUK41" s="425"/>
      <c r="WUL41" s="424"/>
      <c r="WUM41" s="425"/>
      <c r="WUN41" s="424"/>
      <c r="WUO41" s="425"/>
      <c r="WUP41" s="424"/>
      <c r="WUQ41" s="425"/>
      <c r="WUR41" s="424"/>
      <c r="WUS41" s="425"/>
      <c r="WUT41" s="424"/>
      <c r="WUU41" s="425"/>
      <c r="WUV41" s="424"/>
      <c r="WUW41" s="425"/>
      <c r="WUX41" s="424"/>
      <c r="WUY41" s="425"/>
      <c r="WUZ41" s="424"/>
      <c r="WVA41" s="425"/>
      <c r="WVB41" s="424"/>
      <c r="WVC41" s="425"/>
      <c r="WVD41" s="424"/>
      <c r="WVE41" s="425"/>
      <c r="WVF41" s="424"/>
      <c r="WVG41" s="425"/>
      <c r="WVH41" s="424"/>
      <c r="WVI41" s="425"/>
      <c r="WVJ41" s="424"/>
      <c r="WVK41" s="425"/>
      <c r="WVL41" s="424"/>
      <c r="WVM41" s="425"/>
      <c r="WVN41" s="424"/>
      <c r="WVO41" s="425"/>
      <c r="WVP41" s="424"/>
      <c r="WVQ41" s="425"/>
      <c r="WVR41" s="424"/>
      <c r="WVS41" s="425"/>
      <c r="WVT41" s="424"/>
      <c r="WVU41" s="425"/>
      <c r="WVV41" s="424"/>
      <c r="WVW41" s="425"/>
      <c r="WVX41" s="424"/>
      <c r="WVY41" s="425"/>
      <c r="WVZ41" s="424"/>
      <c r="WWA41" s="425"/>
      <c r="WWB41" s="424"/>
      <c r="WWC41" s="425"/>
      <c r="WWD41" s="424"/>
      <c r="WWE41" s="425"/>
      <c r="WWF41" s="424"/>
      <c r="WWG41" s="425"/>
      <c r="WWH41" s="424"/>
      <c r="WWI41" s="425"/>
      <c r="WWJ41" s="424"/>
      <c r="WWK41" s="425"/>
      <c r="WWL41" s="424"/>
      <c r="WWM41" s="425"/>
      <c r="WWN41" s="424"/>
      <c r="WWO41" s="425"/>
      <c r="WWP41" s="424"/>
      <c r="WWQ41" s="425"/>
      <c r="WWR41" s="424"/>
      <c r="WWS41" s="425"/>
      <c r="WWT41" s="424"/>
      <c r="WWU41" s="425"/>
      <c r="WWV41" s="424"/>
      <c r="WWW41" s="425"/>
      <c r="WWX41" s="424"/>
      <c r="WWY41" s="425"/>
      <c r="WWZ41" s="424"/>
      <c r="WXA41" s="425"/>
      <c r="WXB41" s="424"/>
      <c r="WXC41" s="425"/>
      <c r="WXD41" s="424"/>
      <c r="WXE41" s="425"/>
      <c r="WXF41" s="424"/>
      <c r="WXG41" s="425"/>
      <c r="WXH41" s="424"/>
      <c r="WXI41" s="425"/>
      <c r="WXJ41" s="424"/>
      <c r="WXK41" s="425"/>
      <c r="WXL41" s="424"/>
      <c r="WXM41" s="425"/>
      <c r="WXN41" s="424"/>
      <c r="WXO41" s="425"/>
      <c r="WXP41" s="424"/>
      <c r="WXQ41" s="425"/>
      <c r="WXR41" s="424"/>
      <c r="WXS41" s="425"/>
      <c r="WXT41" s="424"/>
      <c r="WXU41" s="425"/>
      <c r="WXV41" s="424"/>
      <c r="WXW41" s="425"/>
      <c r="WXX41" s="424"/>
      <c r="WXY41" s="425"/>
      <c r="WXZ41" s="424"/>
      <c r="WYA41" s="425"/>
      <c r="WYB41" s="424"/>
      <c r="WYC41" s="425"/>
      <c r="WYD41" s="424"/>
      <c r="WYE41" s="425"/>
      <c r="WYF41" s="424"/>
      <c r="WYG41" s="425"/>
      <c r="WYH41" s="424"/>
      <c r="WYI41" s="425"/>
      <c r="WYJ41" s="424"/>
      <c r="WYK41" s="425"/>
      <c r="WYL41" s="424"/>
      <c r="WYM41" s="425"/>
      <c r="WYN41" s="424"/>
      <c r="WYO41" s="425"/>
      <c r="WYP41" s="424"/>
      <c r="WYQ41" s="425"/>
      <c r="WYR41" s="424"/>
      <c r="WYS41" s="425"/>
      <c r="WYT41" s="424"/>
      <c r="WYU41" s="425"/>
      <c r="WYV41" s="424"/>
      <c r="WYW41" s="425"/>
      <c r="WYX41" s="424"/>
      <c r="WYY41" s="425"/>
      <c r="WYZ41" s="424"/>
      <c r="WZA41" s="425"/>
      <c r="WZB41" s="424"/>
      <c r="WZC41" s="425"/>
      <c r="WZD41" s="424"/>
      <c r="WZE41" s="425"/>
      <c r="WZF41" s="424"/>
      <c r="WZG41" s="425"/>
      <c r="WZH41" s="424"/>
      <c r="WZI41" s="425"/>
      <c r="WZJ41" s="424"/>
      <c r="WZK41" s="425"/>
      <c r="WZL41" s="424"/>
      <c r="WZM41" s="425"/>
      <c r="WZN41" s="424"/>
      <c r="WZO41" s="425"/>
      <c r="WZP41" s="424"/>
      <c r="WZQ41" s="425"/>
      <c r="WZR41" s="424"/>
      <c r="WZS41" s="425"/>
      <c r="WZT41" s="424"/>
      <c r="WZU41" s="425"/>
      <c r="WZV41" s="424"/>
      <c r="WZW41" s="425"/>
      <c r="WZX41" s="424"/>
      <c r="WZY41" s="425"/>
      <c r="WZZ41" s="424"/>
      <c r="XAA41" s="425"/>
      <c r="XAB41" s="424"/>
      <c r="XAC41" s="425"/>
      <c r="XAD41" s="424"/>
      <c r="XAE41" s="425"/>
      <c r="XAF41" s="424"/>
      <c r="XAG41" s="425"/>
      <c r="XAH41" s="424"/>
      <c r="XAI41" s="425"/>
      <c r="XAJ41" s="424"/>
      <c r="XAK41" s="425"/>
      <c r="XAL41" s="424"/>
      <c r="XAM41" s="425"/>
      <c r="XAN41" s="424"/>
      <c r="XAO41" s="425"/>
      <c r="XAP41" s="424"/>
      <c r="XAQ41" s="425"/>
      <c r="XAR41" s="424"/>
      <c r="XAS41" s="425"/>
      <c r="XAT41" s="424"/>
      <c r="XAU41" s="425"/>
      <c r="XAV41" s="424"/>
      <c r="XAW41" s="425"/>
      <c r="XAX41" s="424"/>
      <c r="XAY41" s="425"/>
      <c r="XAZ41" s="424"/>
      <c r="XBA41" s="425"/>
      <c r="XBB41" s="424"/>
      <c r="XBC41" s="425"/>
      <c r="XBD41" s="424"/>
      <c r="XBE41" s="425"/>
      <c r="XBF41" s="424"/>
      <c r="XBG41" s="425"/>
      <c r="XBH41" s="424"/>
      <c r="XBI41" s="425"/>
      <c r="XBJ41" s="424"/>
      <c r="XBK41" s="425"/>
      <c r="XBL41" s="424"/>
      <c r="XBM41" s="425"/>
      <c r="XBN41" s="424"/>
      <c r="XBO41" s="425"/>
      <c r="XBP41" s="424"/>
      <c r="XBQ41" s="425"/>
      <c r="XBR41" s="424"/>
      <c r="XBS41" s="425"/>
      <c r="XBT41" s="424"/>
      <c r="XBU41" s="425"/>
      <c r="XBV41" s="424"/>
      <c r="XBW41" s="425"/>
      <c r="XBX41" s="424"/>
      <c r="XBY41" s="425"/>
      <c r="XBZ41" s="424"/>
      <c r="XCA41" s="425"/>
      <c r="XCB41" s="424"/>
      <c r="XCC41" s="425"/>
      <c r="XCD41" s="424"/>
      <c r="XCE41" s="425"/>
      <c r="XCF41" s="424"/>
      <c r="XCG41" s="425"/>
      <c r="XCH41" s="424"/>
      <c r="XCI41" s="425"/>
      <c r="XCJ41" s="424"/>
      <c r="XCK41" s="425"/>
      <c r="XCL41" s="424"/>
      <c r="XCM41" s="425"/>
      <c r="XCN41" s="424"/>
      <c r="XCO41" s="425"/>
      <c r="XCP41" s="424"/>
      <c r="XCQ41" s="425"/>
      <c r="XCR41" s="424"/>
      <c r="XCS41" s="425"/>
      <c r="XCT41" s="424"/>
      <c r="XCU41" s="425"/>
      <c r="XCV41" s="424"/>
      <c r="XCW41" s="425"/>
      <c r="XCX41" s="424"/>
      <c r="XCY41" s="425"/>
      <c r="XCZ41" s="424"/>
      <c r="XDA41" s="425"/>
      <c r="XDB41" s="424"/>
      <c r="XDC41" s="425"/>
      <c r="XDD41" s="424"/>
      <c r="XDE41" s="425"/>
      <c r="XDF41" s="424"/>
      <c r="XDG41" s="425"/>
      <c r="XDH41" s="424"/>
      <c r="XDI41" s="425"/>
      <c r="XDJ41" s="424"/>
      <c r="XDK41" s="425"/>
      <c r="XDL41" s="424"/>
      <c r="XDM41" s="425"/>
      <c r="XDN41" s="424"/>
      <c r="XDO41" s="425"/>
      <c r="XDP41" s="424"/>
      <c r="XDQ41" s="425"/>
      <c r="XDR41" s="424"/>
      <c r="XDS41" s="425"/>
      <c r="XDT41" s="424"/>
      <c r="XDU41" s="425"/>
      <c r="XDV41" s="424"/>
      <c r="XDW41" s="425"/>
      <c r="XDX41" s="424"/>
      <c r="XDY41" s="425"/>
      <c r="XDZ41" s="424"/>
      <c r="XEA41" s="425"/>
      <c r="XEB41" s="424"/>
      <c r="XEC41" s="425"/>
      <c r="XED41" s="424"/>
      <c r="XEE41" s="425"/>
      <c r="XEF41" s="424"/>
      <c r="XEG41" s="425"/>
      <c r="XEH41" s="424"/>
      <c r="XEI41" s="425"/>
      <c r="XEJ41" s="424"/>
      <c r="XEK41" s="425"/>
      <c r="XEL41" s="424"/>
      <c r="XEM41" s="425"/>
      <c r="XEN41" s="424"/>
      <c r="XEO41" s="425"/>
      <c r="XEP41" s="424"/>
      <c r="XEQ41" s="425"/>
      <c r="XER41" s="424"/>
      <c r="XES41" s="425"/>
      <c r="XET41" s="424"/>
      <c r="XEU41" s="425"/>
      <c r="XEV41" s="424"/>
      <c r="XEW41" s="425"/>
      <c r="XEX41" s="424"/>
      <c r="XEY41" s="425"/>
      <c r="XEZ41" s="424"/>
      <c r="XFA41" s="425"/>
      <c r="XFB41" s="424"/>
      <c r="XFC41" s="425"/>
      <c r="XFD41" s="424"/>
    </row>
    <row r="42" spans="2:16384" s="281" customFormat="1" ht="18" customHeight="1" x14ac:dyDescent="0.3">
      <c r="B42" s="373" t="s">
        <v>1228</v>
      </c>
      <c r="C42" s="363"/>
      <c r="D42" s="363"/>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c r="AH42" s="359"/>
      <c r="AI42" s="359"/>
      <c r="AJ42" s="359"/>
      <c r="AK42" s="359"/>
      <c r="AL42" s="359"/>
      <c r="AM42" s="359"/>
      <c r="AN42" s="359"/>
      <c r="AO42" s="359"/>
      <c r="AP42" s="359"/>
      <c r="AQ42" s="359"/>
      <c r="AR42" s="359"/>
      <c r="AS42" s="359"/>
      <c r="AT42" s="359"/>
      <c r="AU42" s="359"/>
      <c r="AV42" s="359"/>
      <c r="AW42" s="359"/>
      <c r="AX42" s="359"/>
      <c r="AY42" s="359"/>
      <c r="AZ42" s="359"/>
      <c r="BA42" s="359"/>
      <c r="BB42" s="359"/>
      <c r="BC42" s="359"/>
      <c r="BD42" s="359"/>
      <c r="BE42" s="359"/>
      <c r="BF42" s="359"/>
      <c r="BG42" s="359"/>
      <c r="BH42" s="359"/>
      <c r="BI42" s="359"/>
      <c r="BJ42" s="359"/>
      <c r="BK42" s="359"/>
      <c r="BL42" s="359"/>
      <c r="BM42" s="359"/>
      <c r="BN42" s="359"/>
      <c r="BO42" s="359"/>
      <c r="BP42" s="359"/>
      <c r="BQ42" s="359"/>
      <c r="BR42" s="359"/>
      <c r="BS42" s="359"/>
      <c r="BT42" s="359"/>
      <c r="BU42" s="359"/>
      <c r="BV42" s="359"/>
    </row>
    <row r="43" spans="2:16384" s="281" customFormat="1" ht="28.5" customHeight="1" x14ac:dyDescent="0.3">
      <c r="B43" s="371" t="s">
        <v>1229</v>
      </c>
      <c r="C43" s="363"/>
      <c r="D43" s="363"/>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359"/>
      <c r="AZ43" s="359"/>
      <c r="BA43" s="359"/>
      <c r="BB43" s="359"/>
      <c r="BC43" s="359"/>
      <c r="BD43" s="359"/>
      <c r="BE43" s="359"/>
      <c r="BF43" s="359"/>
      <c r="BG43" s="359"/>
      <c r="BH43" s="359"/>
      <c r="BI43" s="359"/>
      <c r="BJ43" s="359"/>
      <c r="BK43" s="359"/>
      <c r="BL43" s="359"/>
      <c r="BM43" s="359"/>
      <c r="BN43" s="359"/>
      <c r="BO43" s="359"/>
      <c r="BP43" s="359"/>
      <c r="BQ43" s="359"/>
      <c r="BR43" s="359"/>
      <c r="BS43" s="359"/>
      <c r="BT43" s="359"/>
      <c r="BU43" s="359"/>
      <c r="BV43" s="359"/>
    </row>
    <row r="44" spans="2:16384" s="281" customFormat="1" ht="14.25" customHeight="1" x14ac:dyDescent="0.3">
      <c r="B44" s="371"/>
      <c r="C44" s="363"/>
      <c r="D44" s="363"/>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359"/>
      <c r="AZ44" s="359"/>
      <c r="BA44" s="359"/>
      <c r="BB44" s="359"/>
      <c r="BC44" s="359"/>
      <c r="BD44" s="359"/>
      <c r="BE44" s="359"/>
      <c r="BF44" s="359"/>
      <c r="BG44" s="359"/>
      <c r="BH44" s="359"/>
      <c r="BI44" s="359"/>
      <c r="BJ44" s="359"/>
      <c r="BK44" s="359"/>
      <c r="BL44" s="359"/>
      <c r="BM44" s="359"/>
      <c r="BN44" s="359"/>
      <c r="BO44" s="359"/>
      <c r="BP44" s="359"/>
      <c r="BQ44" s="359"/>
      <c r="BR44" s="359"/>
      <c r="BS44" s="359"/>
      <c r="BT44" s="359"/>
      <c r="BU44" s="359"/>
      <c r="BV44" s="359"/>
    </row>
    <row r="45" spans="2:16384" s="281" customFormat="1" ht="28.5" customHeight="1" x14ac:dyDescent="0.3">
      <c r="B45" s="371" t="s">
        <v>1230</v>
      </c>
      <c r="C45" s="363"/>
      <c r="D45" s="363"/>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c r="AY45" s="359"/>
      <c r="AZ45" s="359"/>
      <c r="BA45" s="359"/>
      <c r="BB45" s="359"/>
      <c r="BC45" s="359"/>
      <c r="BD45" s="359"/>
      <c r="BE45" s="359"/>
      <c r="BF45" s="359"/>
      <c r="BG45" s="359"/>
      <c r="BH45" s="359"/>
      <c r="BI45" s="359"/>
      <c r="BJ45" s="359"/>
      <c r="BK45" s="359"/>
      <c r="BL45" s="359"/>
      <c r="BM45" s="359"/>
      <c r="BN45" s="359"/>
      <c r="BO45" s="359"/>
      <c r="BP45" s="359"/>
      <c r="BQ45" s="359"/>
      <c r="BR45" s="359"/>
      <c r="BS45" s="359"/>
      <c r="BT45" s="359"/>
      <c r="BU45" s="359"/>
      <c r="BV45" s="359"/>
    </row>
    <row r="46" spans="2:16384" s="282" customFormat="1" ht="14.25" customHeight="1" x14ac:dyDescent="0.3">
      <c r="B46" s="371"/>
      <c r="C46" s="363"/>
      <c r="D46" s="363"/>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59"/>
      <c r="AJ46" s="359"/>
      <c r="AK46" s="359"/>
      <c r="AL46" s="359"/>
      <c r="AM46" s="359"/>
      <c r="AN46" s="359"/>
      <c r="AO46" s="359"/>
      <c r="AP46" s="359"/>
      <c r="AQ46" s="359"/>
      <c r="AR46" s="359"/>
      <c r="AS46" s="359"/>
      <c r="AT46" s="359"/>
      <c r="AU46" s="359"/>
      <c r="AV46" s="359"/>
      <c r="AW46" s="359"/>
      <c r="AX46" s="359"/>
      <c r="AY46" s="359"/>
      <c r="AZ46" s="359"/>
      <c r="BA46" s="359"/>
      <c r="BB46" s="359"/>
      <c r="BC46" s="359"/>
      <c r="BD46" s="359"/>
      <c r="BE46" s="359"/>
      <c r="BF46" s="359"/>
      <c r="BG46" s="359"/>
      <c r="BH46" s="359"/>
      <c r="BI46" s="359"/>
      <c r="BJ46" s="359"/>
      <c r="BK46" s="359"/>
      <c r="BL46" s="359"/>
      <c r="BM46" s="359"/>
      <c r="BN46" s="359"/>
      <c r="BO46" s="359"/>
      <c r="BP46" s="359"/>
      <c r="BQ46" s="359"/>
      <c r="BR46" s="359"/>
      <c r="BS46" s="359"/>
      <c r="BT46" s="359"/>
      <c r="BU46" s="359"/>
      <c r="BV46" s="359"/>
    </row>
    <row r="47" spans="2:16384" s="281" customFormat="1" ht="32.25" customHeight="1" x14ac:dyDescent="0.3">
      <c r="B47" s="371" t="s">
        <v>1231</v>
      </c>
      <c r="C47" s="363"/>
      <c r="D47" s="363"/>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c r="AJ47" s="359"/>
      <c r="AK47" s="359"/>
      <c r="AL47" s="359"/>
      <c r="AM47" s="359"/>
      <c r="AN47" s="359"/>
      <c r="AO47" s="359"/>
      <c r="AP47" s="359"/>
      <c r="AQ47" s="359"/>
      <c r="AR47" s="359"/>
      <c r="AS47" s="359"/>
      <c r="AT47" s="359"/>
      <c r="AU47" s="359"/>
      <c r="AV47" s="359"/>
      <c r="AW47" s="359"/>
      <c r="AX47" s="359"/>
      <c r="AY47" s="359"/>
      <c r="AZ47" s="359"/>
      <c r="BA47" s="359"/>
      <c r="BB47" s="359"/>
      <c r="BC47" s="359"/>
      <c r="BD47" s="359"/>
      <c r="BE47" s="359"/>
      <c r="BF47" s="359"/>
      <c r="BG47" s="359"/>
      <c r="BH47" s="359"/>
      <c r="BI47" s="359"/>
      <c r="BJ47" s="359"/>
      <c r="BK47" s="359"/>
      <c r="BL47" s="359"/>
      <c r="BM47" s="359"/>
      <c r="BN47" s="359"/>
      <c r="BO47" s="359"/>
      <c r="BP47" s="359"/>
      <c r="BQ47" s="359"/>
      <c r="BR47" s="359"/>
      <c r="BS47" s="359"/>
      <c r="BT47" s="359"/>
      <c r="BU47" s="359"/>
      <c r="BV47" s="359"/>
    </row>
    <row r="48" spans="2:16384" s="281" customFormat="1" ht="14.25" customHeight="1" x14ac:dyDescent="0.3">
      <c r="B48" s="374"/>
      <c r="C48" s="363"/>
      <c r="D48" s="363"/>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c r="BO48" s="359"/>
      <c r="BP48" s="359"/>
      <c r="BQ48" s="359"/>
      <c r="BR48" s="359"/>
      <c r="BS48" s="359"/>
      <c r="BT48" s="359"/>
      <c r="BU48" s="359"/>
      <c r="BV48" s="359"/>
    </row>
    <row r="49" spans="2:74" s="368" customFormat="1" ht="14.25" customHeight="1" x14ac:dyDescent="0.3">
      <c r="B49" s="375"/>
      <c r="C49" s="363"/>
      <c r="D49" s="363"/>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59"/>
      <c r="AJ49" s="359"/>
      <c r="AK49" s="359"/>
      <c r="AL49" s="359"/>
      <c r="AM49" s="359"/>
      <c r="AN49" s="359"/>
      <c r="AO49" s="359"/>
      <c r="AP49" s="359"/>
      <c r="AQ49" s="359"/>
      <c r="AR49" s="359"/>
      <c r="AS49" s="359"/>
      <c r="AT49" s="359"/>
      <c r="AU49" s="359"/>
      <c r="AV49" s="359"/>
      <c r="AW49" s="359"/>
      <c r="AX49" s="359"/>
      <c r="AY49" s="359"/>
      <c r="AZ49" s="359"/>
      <c r="BA49" s="359"/>
      <c r="BB49" s="359"/>
      <c r="BC49" s="359"/>
      <c r="BD49" s="359"/>
      <c r="BE49" s="359"/>
      <c r="BF49" s="359"/>
      <c r="BG49" s="359"/>
      <c r="BH49" s="359"/>
      <c r="BI49" s="359"/>
      <c r="BJ49" s="359"/>
      <c r="BK49" s="359"/>
      <c r="BL49" s="359"/>
      <c r="BM49" s="359"/>
      <c r="BN49" s="359"/>
      <c r="BO49" s="359"/>
      <c r="BP49" s="359"/>
      <c r="BQ49" s="359"/>
      <c r="BR49" s="359"/>
      <c r="BS49" s="359"/>
      <c r="BT49" s="359"/>
      <c r="BU49" s="359"/>
      <c r="BV49" s="359"/>
    </row>
    <row r="50" spans="2:74" s="368" customFormat="1" ht="14.25" customHeight="1" x14ac:dyDescent="0.3">
      <c r="B50" s="367" t="s">
        <v>1232</v>
      </c>
      <c r="C50" s="363"/>
      <c r="D50" s="363"/>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59"/>
      <c r="AL50" s="359"/>
      <c r="AM50" s="359"/>
      <c r="AN50" s="359"/>
      <c r="AO50" s="359"/>
      <c r="AP50" s="359"/>
      <c r="AQ50" s="359"/>
      <c r="AR50" s="359"/>
      <c r="AS50" s="359"/>
      <c r="AT50" s="359"/>
      <c r="AU50" s="359"/>
      <c r="AV50" s="359"/>
      <c r="AW50" s="359"/>
      <c r="AX50" s="359"/>
      <c r="AY50" s="359"/>
      <c r="AZ50" s="359"/>
      <c r="BA50" s="359"/>
      <c r="BB50" s="359"/>
      <c r="BC50" s="359"/>
      <c r="BD50" s="359"/>
      <c r="BE50" s="359"/>
      <c r="BF50" s="359"/>
      <c r="BG50" s="359"/>
      <c r="BH50" s="359"/>
      <c r="BI50" s="359"/>
      <c r="BJ50" s="359"/>
      <c r="BK50" s="359"/>
      <c r="BL50" s="359"/>
      <c r="BM50" s="359"/>
      <c r="BN50" s="359"/>
      <c r="BO50" s="359"/>
      <c r="BP50" s="359"/>
      <c r="BQ50" s="359"/>
      <c r="BR50" s="359"/>
      <c r="BS50" s="359"/>
      <c r="BT50" s="359"/>
      <c r="BU50" s="359"/>
      <c r="BV50" s="359"/>
    </row>
    <row r="51" spans="2:74" s="368" customFormat="1" ht="14.25" customHeight="1" x14ac:dyDescent="0.3">
      <c r="B51" s="369" t="s">
        <v>1323</v>
      </c>
      <c r="C51" s="363"/>
      <c r="D51" s="363"/>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c r="AE51" s="359"/>
      <c r="AF51" s="359"/>
      <c r="AG51" s="359"/>
      <c r="AH51" s="359"/>
      <c r="AI51" s="359"/>
      <c r="AJ51" s="359"/>
      <c r="AK51" s="359"/>
      <c r="AL51" s="359"/>
      <c r="AM51" s="359"/>
      <c r="AN51" s="359"/>
      <c r="AO51" s="359"/>
      <c r="AP51" s="359"/>
      <c r="AQ51" s="359"/>
      <c r="AR51" s="359"/>
      <c r="AS51" s="359"/>
      <c r="AT51" s="359"/>
      <c r="AU51" s="359"/>
      <c r="AV51" s="359"/>
      <c r="AW51" s="359"/>
      <c r="AX51" s="359"/>
      <c r="AY51" s="359"/>
      <c r="AZ51" s="359"/>
      <c r="BA51" s="359"/>
      <c r="BB51" s="359"/>
      <c r="BC51" s="359"/>
      <c r="BD51" s="359"/>
      <c r="BE51" s="359"/>
      <c r="BF51" s="359"/>
      <c r="BG51" s="359"/>
      <c r="BH51" s="359"/>
      <c r="BI51" s="359"/>
      <c r="BJ51" s="359"/>
      <c r="BK51" s="359"/>
      <c r="BL51" s="359"/>
      <c r="BM51" s="359"/>
      <c r="BN51" s="359"/>
      <c r="BO51" s="359"/>
      <c r="BP51" s="359"/>
      <c r="BQ51" s="359"/>
      <c r="BR51" s="359"/>
      <c r="BS51" s="359"/>
      <c r="BT51" s="359"/>
      <c r="BU51" s="359"/>
      <c r="BV51" s="359"/>
    </row>
    <row r="52" spans="2:74" s="368" customFormat="1" ht="14.25" customHeight="1" x14ac:dyDescent="0.3">
      <c r="B52" s="420" t="s">
        <v>1233</v>
      </c>
      <c r="C52" s="421"/>
      <c r="D52" s="363"/>
      <c r="E52" s="359"/>
      <c r="F52" s="359"/>
      <c r="G52" s="359"/>
      <c r="H52" s="359"/>
      <c r="I52" s="359"/>
      <c r="J52" s="359"/>
      <c r="K52" s="359"/>
      <c r="L52" s="359"/>
      <c r="M52" s="359"/>
      <c r="N52" s="359"/>
      <c r="O52" s="359"/>
      <c r="P52" s="359"/>
      <c r="Q52" s="359"/>
      <c r="R52" s="359"/>
      <c r="S52" s="359"/>
      <c r="T52" s="359"/>
      <c r="U52" s="359"/>
      <c r="V52" s="359"/>
      <c r="W52" s="359"/>
      <c r="X52" s="359"/>
      <c r="Y52" s="359"/>
      <c r="Z52" s="359"/>
      <c r="AA52" s="359"/>
      <c r="AB52" s="359"/>
      <c r="AC52" s="359"/>
      <c r="AD52" s="359"/>
      <c r="AE52" s="359"/>
      <c r="AF52" s="359"/>
      <c r="AG52" s="359"/>
      <c r="AH52" s="359"/>
      <c r="AI52" s="359"/>
      <c r="AJ52" s="359"/>
      <c r="AK52" s="359"/>
      <c r="AL52" s="359"/>
      <c r="AM52" s="359"/>
      <c r="AN52" s="359"/>
      <c r="AO52" s="359"/>
      <c r="AP52" s="359"/>
      <c r="AQ52" s="359"/>
      <c r="AR52" s="359"/>
      <c r="AS52" s="359"/>
      <c r="AT52" s="359"/>
      <c r="AU52" s="359"/>
      <c r="AV52" s="359"/>
      <c r="AW52" s="359"/>
      <c r="AX52" s="359"/>
      <c r="AY52" s="359"/>
      <c r="AZ52" s="359"/>
      <c r="BA52" s="359"/>
      <c r="BB52" s="359"/>
      <c r="BC52" s="359"/>
      <c r="BD52" s="359"/>
      <c r="BE52" s="359"/>
      <c r="BF52" s="359"/>
      <c r="BG52" s="359"/>
      <c r="BH52" s="359"/>
      <c r="BI52" s="359"/>
      <c r="BJ52" s="359"/>
      <c r="BK52" s="359"/>
      <c r="BL52" s="359"/>
      <c r="BM52" s="359"/>
      <c r="BN52" s="359"/>
      <c r="BO52" s="359"/>
      <c r="BP52" s="359"/>
      <c r="BQ52" s="359"/>
      <c r="BR52" s="359"/>
      <c r="BS52" s="359"/>
      <c r="BT52" s="359"/>
      <c r="BU52" s="359"/>
      <c r="BV52" s="359"/>
    </row>
    <row r="53" spans="2:74" s="368" customFormat="1" ht="14.25" customHeight="1" x14ac:dyDescent="0.3">
      <c r="B53" s="420" t="s">
        <v>1234</v>
      </c>
      <c r="C53" s="421"/>
      <c r="D53" s="363"/>
      <c r="E53" s="359"/>
      <c r="F53" s="359"/>
      <c r="G53" s="359"/>
      <c r="H53" s="359"/>
      <c r="I53" s="359"/>
      <c r="J53" s="359"/>
      <c r="K53" s="359"/>
      <c r="L53" s="359"/>
      <c r="M53" s="359"/>
      <c r="N53" s="359"/>
      <c r="O53" s="359"/>
      <c r="P53" s="359"/>
      <c r="Q53" s="359"/>
      <c r="R53" s="359"/>
      <c r="S53" s="359"/>
      <c r="T53" s="359"/>
      <c r="U53" s="359"/>
      <c r="V53" s="359"/>
      <c r="W53" s="359"/>
      <c r="X53" s="359"/>
      <c r="Y53" s="359"/>
      <c r="Z53" s="359"/>
      <c r="AA53" s="359"/>
      <c r="AB53" s="359"/>
      <c r="AC53" s="359"/>
      <c r="AD53" s="359"/>
      <c r="AE53" s="359"/>
      <c r="AF53" s="359"/>
      <c r="AG53" s="359"/>
      <c r="AH53" s="359"/>
      <c r="AI53" s="359"/>
      <c r="AJ53" s="359"/>
      <c r="AK53" s="359"/>
      <c r="AL53" s="359"/>
      <c r="AM53" s="359"/>
      <c r="AN53" s="359"/>
      <c r="AO53" s="359"/>
      <c r="AP53" s="359"/>
      <c r="AQ53" s="359"/>
      <c r="AR53" s="359"/>
      <c r="AS53" s="359"/>
      <c r="AT53" s="359"/>
      <c r="AU53" s="359"/>
      <c r="AV53" s="359"/>
      <c r="AW53" s="359"/>
      <c r="AX53" s="359"/>
      <c r="AY53" s="359"/>
      <c r="AZ53" s="359"/>
      <c r="BA53" s="359"/>
      <c r="BB53" s="359"/>
      <c r="BC53" s="359"/>
      <c r="BD53" s="359"/>
      <c r="BE53" s="359"/>
      <c r="BF53" s="359"/>
      <c r="BG53" s="359"/>
      <c r="BH53" s="359"/>
      <c r="BI53" s="359"/>
      <c r="BJ53" s="359"/>
      <c r="BK53" s="359"/>
      <c r="BL53" s="359"/>
      <c r="BM53" s="359"/>
      <c r="BN53" s="359"/>
      <c r="BO53" s="359"/>
      <c r="BP53" s="359"/>
      <c r="BQ53" s="359"/>
      <c r="BR53" s="359"/>
      <c r="BS53" s="359"/>
      <c r="BT53" s="359"/>
      <c r="BU53" s="359"/>
      <c r="BV53" s="359"/>
    </row>
    <row r="54" spans="2:74" s="368" customFormat="1" ht="14.25" customHeight="1" x14ac:dyDescent="0.3">
      <c r="B54" s="420" t="s">
        <v>1235</v>
      </c>
      <c r="C54" s="421"/>
      <c r="D54" s="363"/>
      <c r="E54" s="359"/>
      <c r="F54" s="359"/>
      <c r="G54" s="359"/>
      <c r="H54" s="359"/>
      <c r="I54" s="359"/>
      <c r="J54" s="359"/>
      <c r="K54" s="359"/>
      <c r="L54" s="359"/>
      <c r="M54" s="359"/>
      <c r="N54" s="359"/>
      <c r="O54" s="359"/>
      <c r="P54" s="359"/>
      <c r="Q54" s="359"/>
      <c r="R54" s="359"/>
      <c r="S54" s="359"/>
      <c r="T54" s="359"/>
      <c r="U54" s="359"/>
      <c r="V54" s="359"/>
      <c r="W54" s="359"/>
      <c r="X54" s="359"/>
      <c r="Y54" s="359"/>
      <c r="Z54" s="359"/>
      <c r="AA54" s="359"/>
      <c r="AB54" s="359"/>
      <c r="AC54" s="359"/>
      <c r="AD54" s="359"/>
      <c r="AE54" s="359"/>
      <c r="AF54" s="359"/>
      <c r="AG54" s="359"/>
      <c r="AH54" s="359"/>
      <c r="AI54" s="359"/>
      <c r="AJ54" s="359"/>
      <c r="AK54" s="359"/>
      <c r="AL54" s="359"/>
      <c r="AM54" s="359"/>
      <c r="AN54" s="359"/>
      <c r="AO54" s="359"/>
      <c r="AP54" s="359"/>
      <c r="AQ54" s="359"/>
      <c r="AR54" s="359"/>
      <c r="AS54" s="359"/>
      <c r="AT54" s="359"/>
      <c r="AU54" s="359"/>
      <c r="AV54" s="359"/>
      <c r="AW54" s="359"/>
      <c r="AX54" s="359"/>
      <c r="AY54" s="359"/>
      <c r="AZ54" s="359"/>
      <c r="BA54" s="359"/>
      <c r="BB54" s="359"/>
      <c r="BC54" s="359"/>
      <c r="BD54" s="359"/>
      <c r="BE54" s="359"/>
      <c r="BF54" s="359"/>
      <c r="BG54" s="359"/>
      <c r="BH54" s="359"/>
      <c r="BI54" s="359"/>
      <c r="BJ54" s="359"/>
      <c r="BK54" s="359"/>
      <c r="BL54" s="359"/>
      <c r="BM54" s="359"/>
      <c r="BN54" s="359"/>
      <c r="BO54" s="359"/>
      <c r="BP54" s="359"/>
      <c r="BQ54" s="359"/>
      <c r="BR54" s="359"/>
      <c r="BS54" s="359"/>
      <c r="BT54" s="359"/>
      <c r="BU54" s="359"/>
      <c r="BV54" s="359"/>
    </row>
    <row r="55" spans="2:74" ht="15" customHeight="1" x14ac:dyDescent="0.35">
      <c r="B55" s="380"/>
      <c r="C55" s="380"/>
      <c r="D55" s="376"/>
      <c r="E55" s="376"/>
      <c r="F55" s="376"/>
      <c r="G55" s="376"/>
      <c r="H55" s="376"/>
      <c r="I55" s="359"/>
      <c r="J55" s="359"/>
      <c r="K55" s="359"/>
      <c r="L55" s="359"/>
      <c r="M55" s="359"/>
      <c r="N55" s="359"/>
      <c r="O55" s="359"/>
      <c r="P55" s="359"/>
      <c r="Q55" s="359"/>
      <c r="R55" s="359"/>
      <c r="S55" s="359"/>
      <c r="T55" s="359"/>
      <c r="U55" s="359"/>
      <c r="V55" s="359"/>
      <c r="W55" s="359"/>
      <c r="X55" s="359"/>
      <c r="Y55" s="359"/>
      <c r="Z55" s="359"/>
      <c r="AA55" s="359"/>
      <c r="AB55" s="359"/>
      <c r="AC55" s="359"/>
      <c r="AD55" s="359"/>
      <c r="AE55" s="359"/>
      <c r="AF55" s="359"/>
      <c r="AG55" s="359"/>
      <c r="AH55" s="359"/>
      <c r="AI55" s="359"/>
      <c r="AJ55" s="359"/>
      <c r="AK55" s="359"/>
      <c r="AL55" s="359"/>
      <c r="AM55" s="359"/>
      <c r="AN55" s="359"/>
      <c r="AO55" s="359"/>
      <c r="AP55" s="359"/>
      <c r="AQ55" s="359"/>
      <c r="AR55" s="359"/>
      <c r="AS55" s="359"/>
      <c r="AT55" s="359"/>
      <c r="AU55" s="359"/>
      <c r="AV55" s="359"/>
      <c r="AW55" s="359"/>
      <c r="AX55" s="359"/>
      <c r="AY55" s="359"/>
      <c r="AZ55" s="359"/>
      <c r="BA55" s="359"/>
      <c r="BB55" s="359"/>
      <c r="BC55" s="359"/>
      <c r="BD55" s="359"/>
      <c r="BE55" s="359"/>
      <c r="BF55" s="359"/>
      <c r="BG55" s="359"/>
      <c r="BH55" s="359"/>
      <c r="BI55" s="359"/>
      <c r="BJ55" s="359"/>
      <c r="BK55" s="359"/>
      <c r="BL55" s="359"/>
      <c r="BM55" s="359"/>
      <c r="BN55" s="359"/>
      <c r="BO55" s="359"/>
      <c r="BP55" s="359"/>
      <c r="BQ55" s="359"/>
      <c r="BR55" s="359"/>
      <c r="BS55" s="359"/>
      <c r="BT55" s="359"/>
      <c r="BU55" s="359"/>
      <c r="BV55" s="359"/>
    </row>
    <row r="56" spans="2:74" ht="15.75" customHeight="1" x14ac:dyDescent="0.35">
      <c r="B56" s="422" t="s">
        <v>1236</v>
      </c>
      <c r="C56" s="421"/>
      <c r="D56" s="376"/>
      <c r="E56" s="376"/>
      <c r="F56" s="376"/>
      <c r="G56" s="376"/>
      <c r="H56" s="377"/>
      <c r="I56" s="359"/>
      <c r="J56" s="359"/>
      <c r="K56" s="359"/>
      <c r="L56" s="359"/>
      <c r="M56" s="359"/>
      <c r="N56" s="359"/>
      <c r="O56" s="359"/>
      <c r="P56" s="359"/>
      <c r="Q56" s="359"/>
      <c r="R56" s="359"/>
      <c r="S56" s="359"/>
      <c r="T56" s="359"/>
      <c r="U56" s="359"/>
      <c r="V56" s="359"/>
      <c r="W56" s="359"/>
      <c r="X56" s="359"/>
      <c r="Y56" s="359"/>
      <c r="Z56" s="359"/>
      <c r="AA56" s="359"/>
      <c r="AB56" s="359"/>
      <c r="AC56" s="359"/>
      <c r="AD56" s="359"/>
      <c r="AE56" s="359"/>
      <c r="AF56" s="359"/>
      <c r="AG56" s="359"/>
      <c r="AH56" s="359"/>
      <c r="AI56" s="359"/>
      <c r="AJ56" s="359"/>
      <c r="AK56" s="359"/>
      <c r="AL56" s="359"/>
      <c r="AM56" s="359"/>
      <c r="AN56" s="359"/>
      <c r="AO56" s="359"/>
      <c r="AP56" s="359"/>
      <c r="AQ56" s="359"/>
      <c r="AR56" s="359"/>
      <c r="AS56" s="359"/>
      <c r="AT56" s="359"/>
      <c r="AU56" s="359"/>
      <c r="AV56" s="359"/>
      <c r="AW56" s="359"/>
      <c r="AX56" s="359"/>
      <c r="AY56" s="359"/>
      <c r="AZ56" s="359"/>
      <c r="BA56" s="359"/>
      <c r="BB56" s="359"/>
      <c r="BC56" s="359"/>
      <c r="BD56" s="359"/>
      <c r="BE56" s="359"/>
      <c r="BF56" s="359"/>
      <c r="BG56" s="359"/>
      <c r="BH56" s="359"/>
      <c r="BI56" s="359"/>
      <c r="BJ56" s="359"/>
      <c r="BK56" s="359"/>
      <c r="BL56" s="359"/>
      <c r="BM56" s="359"/>
      <c r="BN56" s="359"/>
      <c r="BO56" s="359"/>
      <c r="BP56" s="359"/>
      <c r="BQ56" s="359"/>
      <c r="BR56" s="359"/>
      <c r="BS56" s="359"/>
      <c r="BT56" s="359"/>
      <c r="BU56" s="359"/>
      <c r="BV56" s="359"/>
    </row>
    <row r="57" spans="2:74" ht="15.75" customHeight="1" x14ac:dyDescent="0.35">
      <c r="B57" s="422" t="s">
        <v>1237</v>
      </c>
      <c r="C57" s="421"/>
      <c r="D57" s="376"/>
      <c r="E57" s="376"/>
      <c r="F57" s="376"/>
      <c r="G57" s="376"/>
      <c r="H57" s="377"/>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359"/>
      <c r="BC57" s="359"/>
      <c r="BD57" s="359"/>
      <c r="BE57" s="359"/>
      <c r="BF57" s="359"/>
      <c r="BG57" s="359"/>
      <c r="BH57" s="359"/>
      <c r="BI57" s="359"/>
      <c r="BJ57" s="359"/>
      <c r="BK57" s="359"/>
      <c r="BL57" s="359"/>
      <c r="BM57" s="359"/>
      <c r="BN57" s="359"/>
      <c r="BO57" s="359"/>
      <c r="BP57" s="359"/>
      <c r="BQ57" s="359"/>
      <c r="BR57" s="359"/>
      <c r="BS57" s="359"/>
      <c r="BT57" s="359"/>
      <c r="BU57" s="359"/>
      <c r="BV57" s="359"/>
    </row>
    <row r="58" spans="2:74" ht="15.75" customHeight="1" x14ac:dyDescent="0.35">
      <c r="B58" s="423"/>
      <c r="C58" s="424"/>
      <c r="D58" s="376"/>
      <c r="E58" s="376"/>
      <c r="F58" s="376"/>
      <c r="G58" s="376"/>
      <c r="H58" s="378"/>
      <c r="I58" s="359"/>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c r="AH58" s="359"/>
      <c r="AI58" s="359"/>
      <c r="AJ58" s="359"/>
      <c r="AK58" s="359"/>
      <c r="AL58" s="359"/>
      <c r="AM58" s="359"/>
      <c r="AN58" s="359"/>
      <c r="AO58" s="359"/>
      <c r="AP58" s="359"/>
      <c r="AQ58" s="359"/>
      <c r="AR58" s="359"/>
      <c r="AS58" s="359"/>
      <c r="AT58" s="359"/>
      <c r="AU58" s="359"/>
      <c r="AV58" s="359"/>
      <c r="AW58" s="359"/>
      <c r="AX58" s="359"/>
      <c r="AY58" s="359"/>
      <c r="AZ58" s="359"/>
      <c r="BA58" s="359"/>
      <c r="BB58" s="359"/>
      <c r="BC58" s="359"/>
      <c r="BD58" s="359"/>
      <c r="BE58" s="359"/>
      <c r="BF58" s="359"/>
      <c r="BG58" s="359"/>
      <c r="BH58" s="359"/>
      <c r="BI58" s="359"/>
      <c r="BJ58" s="359"/>
      <c r="BK58" s="359"/>
      <c r="BL58" s="359"/>
      <c r="BM58" s="359"/>
      <c r="BN58" s="359"/>
      <c r="BO58" s="359"/>
      <c r="BP58" s="359"/>
      <c r="BQ58" s="359"/>
      <c r="BR58" s="359"/>
      <c r="BS58" s="359"/>
      <c r="BT58" s="359"/>
      <c r="BU58" s="359"/>
      <c r="BV58" s="359"/>
    </row>
    <row r="59" spans="2:74" ht="15" customHeight="1" x14ac:dyDescent="0.35">
      <c r="B59" s="423"/>
      <c r="C59" s="424"/>
      <c r="D59" s="376"/>
      <c r="E59" s="376"/>
      <c r="F59" s="376"/>
      <c r="G59" s="376"/>
      <c r="H59" s="379"/>
      <c r="I59" s="359"/>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c r="AH59" s="359"/>
      <c r="AI59" s="359"/>
      <c r="AJ59" s="359"/>
      <c r="AK59" s="359"/>
      <c r="AL59" s="359"/>
      <c r="AM59" s="359"/>
      <c r="AN59" s="359"/>
      <c r="AO59" s="359"/>
      <c r="AP59" s="359"/>
      <c r="AQ59" s="359"/>
      <c r="AR59" s="359"/>
      <c r="AS59" s="359"/>
      <c r="AT59" s="359"/>
      <c r="AU59" s="359"/>
      <c r="AV59" s="359"/>
      <c r="AW59" s="359"/>
      <c r="AX59" s="359"/>
      <c r="AY59" s="359"/>
      <c r="AZ59" s="359"/>
      <c r="BA59" s="359"/>
      <c r="BB59" s="359"/>
      <c r="BC59" s="359"/>
      <c r="BD59" s="359"/>
      <c r="BE59" s="359"/>
      <c r="BF59" s="359"/>
      <c r="BG59" s="359"/>
      <c r="BH59" s="359"/>
      <c r="BI59" s="359"/>
      <c r="BJ59" s="359"/>
      <c r="BK59" s="359"/>
      <c r="BL59" s="359"/>
      <c r="BM59" s="359"/>
      <c r="BN59" s="359"/>
      <c r="BO59" s="359"/>
      <c r="BP59" s="359"/>
      <c r="BQ59" s="359"/>
      <c r="BR59" s="359"/>
      <c r="BS59" s="359"/>
      <c r="BT59" s="359"/>
      <c r="BU59" s="359"/>
      <c r="BV59" s="359"/>
    </row>
    <row r="60" spans="2:74" ht="15.75" customHeight="1" x14ac:dyDescent="0.35">
      <c r="B60" s="423" t="s">
        <v>1238</v>
      </c>
      <c r="C60" s="424"/>
      <c r="D60" s="376"/>
      <c r="E60" s="376"/>
      <c r="F60" s="376"/>
      <c r="G60" s="376"/>
      <c r="H60" s="378"/>
      <c r="I60" s="359"/>
      <c r="J60" s="359"/>
      <c r="K60" s="359"/>
      <c r="L60" s="359"/>
      <c r="M60" s="359"/>
      <c r="N60" s="359"/>
      <c r="O60" s="359"/>
      <c r="P60" s="359"/>
      <c r="Q60" s="359"/>
      <c r="R60" s="359"/>
      <c r="S60" s="359"/>
      <c r="T60" s="359"/>
      <c r="U60" s="359"/>
      <c r="V60" s="359"/>
      <c r="W60" s="359"/>
      <c r="X60" s="359"/>
      <c r="Y60" s="359"/>
      <c r="Z60" s="359"/>
      <c r="AA60" s="359"/>
      <c r="AB60" s="359"/>
      <c r="AC60" s="359"/>
      <c r="AD60" s="359"/>
      <c r="AE60" s="359"/>
      <c r="AF60" s="359"/>
      <c r="AG60" s="359"/>
      <c r="AH60" s="359"/>
      <c r="AI60" s="359"/>
      <c r="AJ60" s="359"/>
      <c r="AK60" s="359"/>
      <c r="AL60" s="359"/>
      <c r="AM60" s="359"/>
      <c r="AN60" s="359"/>
      <c r="AO60" s="359"/>
      <c r="AP60" s="359"/>
      <c r="AQ60" s="359"/>
      <c r="AR60" s="359"/>
      <c r="AS60" s="359"/>
      <c r="AT60" s="359"/>
      <c r="AU60" s="359"/>
      <c r="AV60" s="359"/>
      <c r="AW60" s="359"/>
      <c r="AX60" s="359"/>
      <c r="AY60" s="359"/>
      <c r="AZ60" s="359"/>
      <c r="BA60" s="359"/>
      <c r="BB60" s="359"/>
      <c r="BC60" s="359"/>
      <c r="BD60" s="359"/>
      <c r="BE60" s="359"/>
      <c r="BF60" s="359"/>
      <c r="BG60" s="359"/>
      <c r="BH60" s="359"/>
      <c r="BI60" s="359"/>
      <c r="BJ60" s="359"/>
      <c r="BK60" s="359"/>
      <c r="BL60" s="359"/>
      <c r="BM60" s="359"/>
      <c r="BN60" s="359"/>
      <c r="BO60" s="359"/>
      <c r="BP60" s="359"/>
      <c r="BQ60" s="359"/>
      <c r="BR60" s="359"/>
      <c r="BS60" s="359"/>
      <c r="BT60" s="359"/>
      <c r="BU60" s="359"/>
      <c r="BV60" s="359"/>
    </row>
    <row r="61" spans="2:74" ht="15.75" customHeight="1" x14ac:dyDescent="0.35">
      <c r="B61" s="423" t="s">
        <v>1239</v>
      </c>
      <c r="C61" s="424"/>
      <c r="D61" s="376"/>
      <c r="E61" s="376"/>
      <c r="F61" s="376"/>
      <c r="G61" s="376"/>
      <c r="H61" s="378"/>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59"/>
      <c r="AJ61" s="359"/>
      <c r="AK61" s="359"/>
      <c r="AL61" s="359"/>
      <c r="AM61" s="359"/>
      <c r="AN61" s="359"/>
      <c r="AO61" s="359"/>
      <c r="AP61" s="359"/>
      <c r="AQ61" s="359"/>
      <c r="AR61" s="359"/>
      <c r="AS61" s="359"/>
      <c r="AT61" s="359"/>
      <c r="AU61" s="359"/>
      <c r="AV61" s="359"/>
      <c r="AW61" s="359"/>
      <c r="AX61" s="359"/>
      <c r="AY61" s="359"/>
      <c r="AZ61" s="359"/>
      <c r="BA61" s="359"/>
      <c r="BB61" s="359"/>
      <c r="BC61" s="359"/>
      <c r="BD61" s="359"/>
      <c r="BE61" s="359"/>
      <c r="BF61" s="359"/>
      <c r="BG61" s="359"/>
      <c r="BH61" s="359"/>
      <c r="BI61" s="359"/>
      <c r="BJ61" s="359"/>
      <c r="BK61" s="359"/>
      <c r="BL61" s="359"/>
      <c r="BM61" s="359"/>
      <c r="BN61" s="359"/>
      <c r="BO61" s="359"/>
      <c r="BP61" s="359"/>
      <c r="BQ61" s="359"/>
      <c r="BR61" s="359"/>
      <c r="BS61" s="359"/>
      <c r="BT61" s="359"/>
      <c r="BU61" s="359"/>
      <c r="BV61" s="359"/>
    </row>
    <row r="62" spans="2:74" ht="15.75" customHeight="1" x14ac:dyDescent="0.35">
      <c r="B62" s="392" t="s">
        <v>1240</v>
      </c>
      <c r="C62" s="393"/>
      <c r="D62" s="352"/>
      <c r="E62" s="352"/>
      <c r="F62" s="352"/>
      <c r="G62" s="352"/>
      <c r="H62" s="350"/>
    </row>
    <row r="63" spans="2:74" ht="15.75" customHeight="1" x14ac:dyDescent="0.35">
      <c r="B63" s="394" t="s">
        <v>1241</v>
      </c>
      <c r="C63" s="394"/>
      <c r="D63" s="352"/>
      <c r="E63" s="352"/>
      <c r="F63" s="352"/>
      <c r="G63" s="352"/>
      <c r="H63" s="350"/>
    </row>
    <row r="64" spans="2:74" ht="14.25" customHeight="1" x14ac:dyDescent="0.35">
      <c r="B64" s="394" t="s">
        <v>1242</v>
      </c>
      <c r="C64" s="394"/>
      <c r="D64" s="352"/>
      <c r="E64" s="352"/>
      <c r="F64" s="352"/>
      <c r="G64" s="352"/>
      <c r="H64" s="351"/>
    </row>
    <row r="65" spans="2:8" ht="15.75" customHeight="1" x14ac:dyDescent="0.35">
      <c r="B65" s="394" t="s">
        <v>1243</v>
      </c>
      <c r="C65" s="394"/>
      <c r="D65" s="352"/>
      <c r="E65" s="352"/>
      <c r="F65" s="352"/>
      <c r="G65" s="352"/>
      <c r="H65" s="350"/>
    </row>
  </sheetData>
  <mergeCells count="40820">
    <mergeCell ref="C41:D41"/>
    <mergeCell ref="E41:F41"/>
    <mergeCell ref="G41:H41"/>
    <mergeCell ref="I41:J41"/>
    <mergeCell ref="K41:L41"/>
    <mergeCell ref="BY41:BZ41"/>
    <mergeCell ref="CA41:CB41"/>
    <mergeCell ref="CC41:CD41"/>
    <mergeCell ref="CE41:CF41"/>
    <mergeCell ref="DE39:DF39"/>
    <mergeCell ref="DG39:DH39"/>
    <mergeCell ref="DI39:DJ39"/>
    <mergeCell ref="DK39:DL39"/>
    <mergeCell ref="DM39:DN39"/>
    <mergeCell ref="DO39:DP39"/>
    <mergeCell ref="CS39:CT39"/>
    <mergeCell ref="CU39:CV39"/>
    <mergeCell ref="CW39:CX39"/>
    <mergeCell ref="CY39:CZ39"/>
    <mergeCell ref="DA39:DB39"/>
    <mergeCell ref="DC39:DD39"/>
    <mergeCell ref="CG39:CH39"/>
    <mergeCell ref="CI39:CJ39"/>
    <mergeCell ref="CK39:CL39"/>
    <mergeCell ref="CM39:CN39"/>
    <mergeCell ref="CO39:CP39"/>
    <mergeCell ref="CQ39:CR39"/>
    <mergeCell ref="BW39:BX39"/>
    <mergeCell ref="DE36:DF36"/>
    <mergeCell ref="DG36:DH36"/>
    <mergeCell ref="DI36:DJ36"/>
    <mergeCell ref="DK36:DL36"/>
    <mergeCell ref="DM36:DN36"/>
    <mergeCell ref="DO36:DP36"/>
    <mergeCell ref="CS36:CT36"/>
    <mergeCell ref="CU36:CV36"/>
    <mergeCell ref="CW36:CX36"/>
    <mergeCell ref="CY36:CZ36"/>
    <mergeCell ref="DA36:DB36"/>
    <mergeCell ref="DC36:DD36"/>
    <mergeCell ref="CG36:CH36"/>
    <mergeCell ref="CI36:CJ36"/>
    <mergeCell ref="CK36:CL36"/>
    <mergeCell ref="CM36:CN36"/>
    <mergeCell ref="CO36:CP36"/>
    <mergeCell ref="CQ36:CR36"/>
    <mergeCell ref="BW36:BX36"/>
    <mergeCell ref="BY36:BZ36"/>
    <mergeCell ref="CA36:CB36"/>
    <mergeCell ref="CC36:CD36"/>
    <mergeCell ref="CE36:CF36"/>
    <mergeCell ref="AG41:AH41"/>
    <mergeCell ref="AI41:AJ41"/>
    <mergeCell ref="AK41:AL41"/>
    <mergeCell ref="AM41:AN41"/>
    <mergeCell ref="AO41:AP41"/>
    <mergeCell ref="AQ41:AR41"/>
    <mergeCell ref="U41:V41"/>
    <mergeCell ref="W41:X41"/>
    <mergeCell ref="Y41:Z41"/>
    <mergeCell ref="AA41:AB41"/>
    <mergeCell ref="AC41:AD41"/>
    <mergeCell ref="AE41:AF41"/>
    <mergeCell ref="BY39:BZ39"/>
    <mergeCell ref="FY36:FZ36"/>
    <mergeCell ref="GA36:GB36"/>
    <mergeCell ref="GC36:GD36"/>
    <mergeCell ref="GE36:GF36"/>
    <mergeCell ref="GG36:GH36"/>
    <mergeCell ref="GI36:GJ36"/>
    <mergeCell ref="FM36:FN36"/>
    <mergeCell ref="FO36:FP36"/>
    <mergeCell ref="FQ36:FR36"/>
    <mergeCell ref="FS36:FT36"/>
    <mergeCell ref="FU36:FV36"/>
    <mergeCell ref="FW36:FX36"/>
    <mergeCell ref="FA36:FB36"/>
    <mergeCell ref="FC36:FD36"/>
    <mergeCell ref="FE36:FF36"/>
    <mergeCell ref="FG36:FH36"/>
    <mergeCell ref="FI36:FJ36"/>
    <mergeCell ref="FK36:FL36"/>
    <mergeCell ref="EO36:EP36"/>
    <mergeCell ref="EQ36:ER36"/>
    <mergeCell ref="ES36:ET36"/>
    <mergeCell ref="EU36:EV36"/>
    <mergeCell ref="EW36:EX36"/>
    <mergeCell ref="EY36:EZ36"/>
    <mergeCell ref="EC36:ED36"/>
    <mergeCell ref="EE36:EF36"/>
    <mergeCell ref="EG36:EH36"/>
    <mergeCell ref="EI36:EJ36"/>
    <mergeCell ref="EK36:EL36"/>
    <mergeCell ref="EM36:EN36"/>
    <mergeCell ref="DQ36:DR36"/>
    <mergeCell ref="DS36:DT36"/>
    <mergeCell ref="DU36:DV36"/>
    <mergeCell ref="DW36:DX36"/>
    <mergeCell ref="DY36:DZ36"/>
    <mergeCell ref="EA36:EB36"/>
    <mergeCell ref="IS36:IT36"/>
    <mergeCell ref="IU36:IV36"/>
    <mergeCell ref="IW36:IX36"/>
    <mergeCell ref="IY36:IZ36"/>
    <mergeCell ref="JA36:JB36"/>
    <mergeCell ref="JC36:JD36"/>
    <mergeCell ref="IG36:IH36"/>
    <mergeCell ref="II36:IJ36"/>
    <mergeCell ref="IK36:IL36"/>
    <mergeCell ref="IM36:IN36"/>
    <mergeCell ref="IO36:IP36"/>
    <mergeCell ref="IQ36:IR36"/>
    <mergeCell ref="HU36:HV36"/>
    <mergeCell ref="HW36:HX36"/>
    <mergeCell ref="HY36:HZ36"/>
    <mergeCell ref="IA36:IB36"/>
    <mergeCell ref="IC36:ID36"/>
    <mergeCell ref="IE36:IF36"/>
    <mergeCell ref="HI36:HJ36"/>
    <mergeCell ref="HK36:HL36"/>
    <mergeCell ref="HM36:HN36"/>
    <mergeCell ref="HO36:HP36"/>
    <mergeCell ref="HQ36:HR36"/>
    <mergeCell ref="HS36:HT36"/>
    <mergeCell ref="GW36:GX36"/>
    <mergeCell ref="GY36:GZ36"/>
    <mergeCell ref="HA36:HB36"/>
    <mergeCell ref="HC36:HD36"/>
    <mergeCell ref="HE36:HF36"/>
    <mergeCell ref="HG36:HH36"/>
    <mergeCell ref="GK36:GL36"/>
    <mergeCell ref="GM36:GN36"/>
    <mergeCell ref="GO36:GP36"/>
    <mergeCell ref="GQ36:GR36"/>
    <mergeCell ref="GS36:GT36"/>
    <mergeCell ref="GU36:GV36"/>
    <mergeCell ref="LM36:LN36"/>
    <mergeCell ref="LO36:LP36"/>
    <mergeCell ref="LQ36:LR36"/>
    <mergeCell ref="LS36:LT36"/>
    <mergeCell ref="LU36:LV36"/>
    <mergeCell ref="LW36:LX36"/>
    <mergeCell ref="LA36:LB36"/>
    <mergeCell ref="LC36:LD36"/>
    <mergeCell ref="LE36:LF36"/>
    <mergeCell ref="LG36:LH36"/>
    <mergeCell ref="LI36:LJ36"/>
    <mergeCell ref="LK36:LL36"/>
    <mergeCell ref="KO36:KP36"/>
    <mergeCell ref="KQ36:KR36"/>
    <mergeCell ref="KS36:KT36"/>
    <mergeCell ref="KU36:KV36"/>
    <mergeCell ref="KW36:KX36"/>
    <mergeCell ref="KY36:KZ36"/>
    <mergeCell ref="KC36:KD36"/>
    <mergeCell ref="KE36:KF36"/>
    <mergeCell ref="KG36:KH36"/>
    <mergeCell ref="KI36:KJ36"/>
    <mergeCell ref="KK36:KL36"/>
    <mergeCell ref="KM36:KN36"/>
    <mergeCell ref="JQ36:JR36"/>
    <mergeCell ref="JS36:JT36"/>
    <mergeCell ref="JU36:JV36"/>
    <mergeCell ref="JW36:JX36"/>
    <mergeCell ref="JY36:JZ36"/>
    <mergeCell ref="KA36:KB36"/>
    <mergeCell ref="JE36:JF36"/>
    <mergeCell ref="JG36:JH36"/>
    <mergeCell ref="JI36:JJ36"/>
    <mergeCell ref="JK36:JL36"/>
    <mergeCell ref="JM36:JN36"/>
    <mergeCell ref="JO36:JP36"/>
    <mergeCell ref="OG36:OH36"/>
    <mergeCell ref="OI36:OJ36"/>
    <mergeCell ref="OK36:OL36"/>
    <mergeCell ref="OM36:ON36"/>
    <mergeCell ref="OO36:OP36"/>
    <mergeCell ref="OQ36:OR36"/>
    <mergeCell ref="NU36:NV36"/>
    <mergeCell ref="NW36:NX36"/>
    <mergeCell ref="NY36:NZ36"/>
    <mergeCell ref="OA36:OB36"/>
    <mergeCell ref="OC36:OD36"/>
    <mergeCell ref="OE36:OF36"/>
    <mergeCell ref="NI36:NJ36"/>
    <mergeCell ref="NK36:NL36"/>
    <mergeCell ref="NM36:NN36"/>
    <mergeCell ref="NO36:NP36"/>
    <mergeCell ref="NQ36:NR36"/>
    <mergeCell ref="NS36:NT36"/>
    <mergeCell ref="MW36:MX36"/>
    <mergeCell ref="MY36:MZ36"/>
    <mergeCell ref="NA36:NB36"/>
    <mergeCell ref="NC36:ND36"/>
    <mergeCell ref="NE36:NF36"/>
    <mergeCell ref="NG36:NH36"/>
    <mergeCell ref="MK36:ML36"/>
    <mergeCell ref="MM36:MN36"/>
    <mergeCell ref="MO36:MP36"/>
    <mergeCell ref="MQ36:MR36"/>
    <mergeCell ref="MS36:MT36"/>
    <mergeCell ref="MU36:MV36"/>
    <mergeCell ref="LY36:LZ36"/>
    <mergeCell ref="MA36:MB36"/>
    <mergeCell ref="MC36:MD36"/>
    <mergeCell ref="ME36:MF36"/>
    <mergeCell ref="MG36:MH36"/>
    <mergeCell ref="MI36:MJ36"/>
    <mergeCell ref="RA36:RB36"/>
    <mergeCell ref="RC36:RD36"/>
    <mergeCell ref="RE36:RF36"/>
    <mergeCell ref="RG36:RH36"/>
    <mergeCell ref="RI36:RJ36"/>
    <mergeCell ref="RK36:RL36"/>
    <mergeCell ref="QO36:QP36"/>
    <mergeCell ref="QQ36:QR36"/>
    <mergeCell ref="QS36:QT36"/>
    <mergeCell ref="QU36:QV36"/>
    <mergeCell ref="QW36:QX36"/>
    <mergeCell ref="QY36:QZ36"/>
    <mergeCell ref="QC36:QD36"/>
    <mergeCell ref="QE36:QF36"/>
    <mergeCell ref="QG36:QH36"/>
    <mergeCell ref="QI36:QJ36"/>
    <mergeCell ref="QK36:QL36"/>
    <mergeCell ref="QM36:QN36"/>
    <mergeCell ref="PQ36:PR36"/>
    <mergeCell ref="PS36:PT36"/>
    <mergeCell ref="PU36:PV36"/>
    <mergeCell ref="PW36:PX36"/>
    <mergeCell ref="PY36:PZ36"/>
    <mergeCell ref="QA36:QB36"/>
    <mergeCell ref="PE36:PF36"/>
    <mergeCell ref="PG36:PH36"/>
    <mergeCell ref="PI36:PJ36"/>
    <mergeCell ref="PK36:PL36"/>
    <mergeCell ref="PM36:PN36"/>
    <mergeCell ref="PO36:PP36"/>
    <mergeCell ref="OS36:OT36"/>
    <mergeCell ref="OU36:OV36"/>
    <mergeCell ref="OW36:OX36"/>
    <mergeCell ref="OY36:OZ36"/>
    <mergeCell ref="PA36:PB36"/>
    <mergeCell ref="PC36:PD36"/>
    <mergeCell ref="TU36:TV36"/>
    <mergeCell ref="TW36:TX36"/>
    <mergeCell ref="TY36:TZ36"/>
    <mergeCell ref="UA36:UB36"/>
    <mergeCell ref="UC36:UD36"/>
    <mergeCell ref="UE36:UF36"/>
    <mergeCell ref="TI36:TJ36"/>
    <mergeCell ref="TK36:TL36"/>
    <mergeCell ref="TM36:TN36"/>
    <mergeCell ref="TO36:TP36"/>
    <mergeCell ref="TQ36:TR36"/>
    <mergeCell ref="TS36:TT36"/>
    <mergeCell ref="SW36:SX36"/>
    <mergeCell ref="SY36:SZ36"/>
    <mergeCell ref="TA36:TB36"/>
    <mergeCell ref="TC36:TD36"/>
    <mergeCell ref="TE36:TF36"/>
    <mergeCell ref="TG36:TH36"/>
    <mergeCell ref="SK36:SL36"/>
    <mergeCell ref="SM36:SN36"/>
    <mergeCell ref="SO36:SP36"/>
    <mergeCell ref="SQ36:SR36"/>
    <mergeCell ref="SS36:ST36"/>
    <mergeCell ref="SU36:SV36"/>
    <mergeCell ref="RY36:RZ36"/>
    <mergeCell ref="SA36:SB36"/>
    <mergeCell ref="SC36:SD36"/>
    <mergeCell ref="SE36:SF36"/>
    <mergeCell ref="SG36:SH36"/>
    <mergeCell ref="SI36:SJ36"/>
    <mergeCell ref="RM36:RN36"/>
    <mergeCell ref="RO36:RP36"/>
    <mergeCell ref="RQ36:RR36"/>
    <mergeCell ref="RS36:RT36"/>
    <mergeCell ref="RU36:RV36"/>
    <mergeCell ref="RW36:RX36"/>
    <mergeCell ref="WO36:WP36"/>
    <mergeCell ref="WQ36:WR36"/>
    <mergeCell ref="WS36:WT36"/>
    <mergeCell ref="WU36:WV36"/>
    <mergeCell ref="WW36:WX36"/>
    <mergeCell ref="WY36:WZ36"/>
    <mergeCell ref="WC36:WD36"/>
    <mergeCell ref="WE36:WF36"/>
    <mergeCell ref="WG36:WH36"/>
    <mergeCell ref="WI36:WJ36"/>
    <mergeCell ref="WK36:WL36"/>
    <mergeCell ref="WM36:WN36"/>
    <mergeCell ref="VQ36:VR36"/>
    <mergeCell ref="VS36:VT36"/>
    <mergeCell ref="VU36:VV36"/>
    <mergeCell ref="VW36:VX36"/>
    <mergeCell ref="VY36:VZ36"/>
    <mergeCell ref="WA36:WB36"/>
    <mergeCell ref="VE36:VF36"/>
    <mergeCell ref="VG36:VH36"/>
    <mergeCell ref="VI36:VJ36"/>
    <mergeCell ref="VK36:VL36"/>
    <mergeCell ref="VM36:VN36"/>
    <mergeCell ref="VO36:VP36"/>
    <mergeCell ref="US36:UT36"/>
    <mergeCell ref="UU36:UV36"/>
    <mergeCell ref="UW36:UX36"/>
    <mergeCell ref="UY36:UZ36"/>
    <mergeCell ref="VA36:VB36"/>
    <mergeCell ref="VC36:VD36"/>
    <mergeCell ref="UG36:UH36"/>
    <mergeCell ref="UI36:UJ36"/>
    <mergeCell ref="UK36:UL36"/>
    <mergeCell ref="UM36:UN36"/>
    <mergeCell ref="UO36:UP36"/>
    <mergeCell ref="UQ36:UR36"/>
    <mergeCell ref="ZI36:ZJ36"/>
    <mergeCell ref="ZK36:ZL36"/>
    <mergeCell ref="ZM36:ZN36"/>
    <mergeCell ref="ZO36:ZP36"/>
    <mergeCell ref="ZQ36:ZR36"/>
    <mergeCell ref="ZS36:ZT36"/>
    <mergeCell ref="YW36:YX36"/>
    <mergeCell ref="YY36:YZ36"/>
    <mergeCell ref="ZA36:ZB36"/>
    <mergeCell ref="ZC36:ZD36"/>
    <mergeCell ref="ZE36:ZF36"/>
    <mergeCell ref="ZG36:ZH36"/>
    <mergeCell ref="YK36:YL36"/>
    <mergeCell ref="YM36:YN36"/>
    <mergeCell ref="YO36:YP36"/>
    <mergeCell ref="YQ36:YR36"/>
    <mergeCell ref="YS36:YT36"/>
    <mergeCell ref="YU36:YV36"/>
    <mergeCell ref="XY36:XZ36"/>
    <mergeCell ref="YA36:YB36"/>
    <mergeCell ref="YC36:YD36"/>
    <mergeCell ref="YE36:YF36"/>
    <mergeCell ref="YG36:YH36"/>
    <mergeCell ref="YI36:YJ36"/>
    <mergeCell ref="XM36:XN36"/>
    <mergeCell ref="XO36:XP36"/>
    <mergeCell ref="XQ36:XR36"/>
    <mergeCell ref="XS36:XT36"/>
    <mergeCell ref="XU36:XV36"/>
    <mergeCell ref="XW36:XX36"/>
    <mergeCell ref="XA36:XB36"/>
    <mergeCell ref="XC36:XD36"/>
    <mergeCell ref="XE36:XF36"/>
    <mergeCell ref="XG36:XH36"/>
    <mergeCell ref="XI36:XJ36"/>
    <mergeCell ref="XK36:XL36"/>
    <mergeCell ref="ACC36:ACD36"/>
    <mergeCell ref="ACE36:ACF36"/>
    <mergeCell ref="ACG36:ACH36"/>
    <mergeCell ref="ACI36:ACJ36"/>
    <mergeCell ref="ACK36:ACL36"/>
    <mergeCell ref="ACM36:ACN36"/>
    <mergeCell ref="ABQ36:ABR36"/>
    <mergeCell ref="ABS36:ABT36"/>
    <mergeCell ref="ABU36:ABV36"/>
    <mergeCell ref="ABW36:ABX36"/>
    <mergeCell ref="ABY36:ABZ36"/>
    <mergeCell ref="ACA36:ACB36"/>
    <mergeCell ref="ABE36:ABF36"/>
    <mergeCell ref="ABG36:ABH36"/>
    <mergeCell ref="ABI36:ABJ36"/>
    <mergeCell ref="ABK36:ABL36"/>
    <mergeCell ref="ABM36:ABN36"/>
    <mergeCell ref="ABO36:ABP36"/>
    <mergeCell ref="AAS36:AAT36"/>
    <mergeCell ref="AAU36:AAV36"/>
    <mergeCell ref="AAW36:AAX36"/>
    <mergeCell ref="AAY36:AAZ36"/>
    <mergeCell ref="ABA36:ABB36"/>
    <mergeCell ref="ABC36:ABD36"/>
    <mergeCell ref="AAG36:AAH36"/>
    <mergeCell ref="AAI36:AAJ36"/>
    <mergeCell ref="AAK36:AAL36"/>
    <mergeCell ref="AAM36:AAN36"/>
    <mergeCell ref="AAO36:AAP36"/>
    <mergeCell ref="AAQ36:AAR36"/>
    <mergeCell ref="ZU36:ZV36"/>
    <mergeCell ref="ZW36:ZX36"/>
    <mergeCell ref="ZY36:ZZ36"/>
    <mergeCell ref="AAA36:AAB36"/>
    <mergeCell ref="AAC36:AAD36"/>
    <mergeCell ref="AAE36:AAF36"/>
    <mergeCell ref="AEW36:AEX36"/>
    <mergeCell ref="AEY36:AEZ36"/>
    <mergeCell ref="AFA36:AFB36"/>
    <mergeCell ref="AFC36:AFD36"/>
    <mergeCell ref="AFE36:AFF36"/>
    <mergeCell ref="AFG36:AFH36"/>
    <mergeCell ref="AEK36:AEL36"/>
    <mergeCell ref="AEM36:AEN36"/>
    <mergeCell ref="AEO36:AEP36"/>
    <mergeCell ref="AEQ36:AER36"/>
    <mergeCell ref="AES36:AET36"/>
    <mergeCell ref="AEU36:AEV36"/>
    <mergeCell ref="ADY36:ADZ36"/>
    <mergeCell ref="AEA36:AEB36"/>
    <mergeCell ref="AEC36:AED36"/>
    <mergeCell ref="AEE36:AEF36"/>
    <mergeCell ref="AEG36:AEH36"/>
    <mergeCell ref="AEI36:AEJ36"/>
    <mergeCell ref="ADM36:ADN36"/>
    <mergeCell ref="ADO36:ADP36"/>
    <mergeCell ref="ADQ36:ADR36"/>
    <mergeCell ref="ADS36:ADT36"/>
    <mergeCell ref="ADU36:ADV36"/>
    <mergeCell ref="ADW36:ADX36"/>
    <mergeCell ref="ADA36:ADB36"/>
    <mergeCell ref="ADC36:ADD36"/>
    <mergeCell ref="ADE36:ADF36"/>
    <mergeCell ref="ADG36:ADH36"/>
    <mergeCell ref="ADI36:ADJ36"/>
    <mergeCell ref="ADK36:ADL36"/>
    <mergeCell ref="ACO36:ACP36"/>
    <mergeCell ref="ACQ36:ACR36"/>
    <mergeCell ref="ACS36:ACT36"/>
    <mergeCell ref="ACU36:ACV36"/>
    <mergeCell ref="ACW36:ACX36"/>
    <mergeCell ref="ACY36:ACZ36"/>
    <mergeCell ref="AHQ36:AHR36"/>
    <mergeCell ref="AHS36:AHT36"/>
    <mergeCell ref="AHU36:AHV36"/>
    <mergeCell ref="AHW36:AHX36"/>
    <mergeCell ref="AHY36:AHZ36"/>
    <mergeCell ref="AIA36:AIB36"/>
    <mergeCell ref="AHE36:AHF36"/>
    <mergeCell ref="AHG36:AHH36"/>
    <mergeCell ref="AHI36:AHJ36"/>
    <mergeCell ref="AHK36:AHL36"/>
    <mergeCell ref="AHM36:AHN36"/>
    <mergeCell ref="AHO36:AHP36"/>
    <mergeCell ref="AGS36:AGT36"/>
    <mergeCell ref="AGU36:AGV36"/>
    <mergeCell ref="AGW36:AGX36"/>
    <mergeCell ref="AGY36:AGZ36"/>
    <mergeCell ref="AHA36:AHB36"/>
    <mergeCell ref="AHC36:AHD36"/>
    <mergeCell ref="AGG36:AGH36"/>
    <mergeCell ref="AGI36:AGJ36"/>
    <mergeCell ref="AGK36:AGL36"/>
    <mergeCell ref="AGM36:AGN36"/>
    <mergeCell ref="AGO36:AGP36"/>
    <mergeCell ref="AGQ36:AGR36"/>
    <mergeCell ref="AFU36:AFV36"/>
    <mergeCell ref="AFW36:AFX36"/>
    <mergeCell ref="AFY36:AFZ36"/>
    <mergeCell ref="AGA36:AGB36"/>
    <mergeCell ref="AGC36:AGD36"/>
    <mergeCell ref="AGE36:AGF36"/>
    <mergeCell ref="AFI36:AFJ36"/>
    <mergeCell ref="AFK36:AFL36"/>
    <mergeCell ref="AFM36:AFN36"/>
    <mergeCell ref="AFO36:AFP36"/>
    <mergeCell ref="AFQ36:AFR36"/>
    <mergeCell ref="AFS36:AFT36"/>
    <mergeCell ref="AKK36:AKL36"/>
    <mergeCell ref="AKM36:AKN36"/>
    <mergeCell ref="AKO36:AKP36"/>
    <mergeCell ref="AKQ36:AKR36"/>
    <mergeCell ref="AKS36:AKT36"/>
    <mergeCell ref="AKU36:AKV36"/>
    <mergeCell ref="AJY36:AJZ36"/>
    <mergeCell ref="AKA36:AKB36"/>
    <mergeCell ref="AKC36:AKD36"/>
    <mergeCell ref="AKE36:AKF36"/>
    <mergeCell ref="AKG36:AKH36"/>
    <mergeCell ref="AKI36:AKJ36"/>
    <mergeCell ref="AJM36:AJN36"/>
    <mergeCell ref="AJO36:AJP36"/>
    <mergeCell ref="AJQ36:AJR36"/>
    <mergeCell ref="AJS36:AJT36"/>
    <mergeCell ref="AJU36:AJV36"/>
    <mergeCell ref="AJW36:AJX36"/>
    <mergeCell ref="AJA36:AJB36"/>
    <mergeCell ref="AJC36:AJD36"/>
    <mergeCell ref="AJE36:AJF36"/>
    <mergeCell ref="AJG36:AJH36"/>
    <mergeCell ref="AJI36:AJJ36"/>
    <mergeCell ref="AJK36:AJL36"/>
    <mergeCell ref="AIO36:AIP36"/>
    <mergeCell ref="AIQ36:AIR36"/>
    <mergeCell ref="AIS36:AIT36"/>
    <mergeCell ref="AIU36:AIV36"/>
    <mergeCell ref="AIW36:AIX36"/>
    <mergeCell ref="AIY36:AIZ36"/>
    <mergeCell ref="AIC36:AID36"/>
    <mergeCell ref="AIE36:AIF36"/>
    <mergeCell ref="AIG36:AIH36"/>
    <mergeCell ref="AII36:AIJ36"/>
    <mergeCell ref="AIK36:AIL36"/>
    <mergeCell ref="AIM36:AIN36"/>
    <mergeCell ref="ANE36:ANF36"/>
    <mergeCell ref="ANG36:ANH36"/>
    <mergeCell ref="ANI36:ANJ36"/>
    <mergeCell ref="ANK36:ANL36"/>
    <mergeCell ref="ANM36:ANN36"/>
    <mergeCell ref="ANO36:ANP36"/>
    <mergeCell ref="AMS36:AMT36"/>
    <mergeCell ref="AMU36:AMV36"/>
    <mergeCell ref="AMW36:AMX36"/>
    <mergeCell ref="AMY36:AMZ36"/>
    <mergeCell ref="ANA36:ANB36"/>
    <mergeCell ref="ANC36:AND36"/>
    <mergeCell ref="AMG36:AMH36"/>
    <mergeCell ref="AMI36:AMJ36"/>
    <mergeCell ref="AMK36:AML36"/>
    <mergeCell ref="AMM36:AMN36"/>
    <mergeCell ref="AMO36:AMP36"/>
    <mergeCell ref="AMQ36:AMR36"/>
    <mergeCell ref="ALU36:ALV36"/>
    <mergeCell ref="ALW36:ALX36"/>
    <mergeCell ref="ALY36:ALZ36"/>
    <mergeCell ref="AMA36:AMB36"/>
    <mergeCell ref="AMC36:AMD36"/>
    <mergeCell ref="AME36:AMF36"/>
    <mergeCell ref="ALI36:ALJ36"/>
    <mergeCell ref="ALK36:ALL36"/>
    <mergeCell ref="ALM36:ALN36"/>
    <mergeCell ref="ALO36:ALP36"/>
    <mergeCell ref="ALQ36:ALR36"/>
    <mergeCell ref="ALS36:ALT36"/>
    <mergeCell ref="AKW36:AKX36"/>
    <mergeCell ref="AKY36:AKZ36"/>
    <mergeCell ref="ALA36:ALB36"/>
    <mergeCell ref="ALC36:ALD36"/>
    <mergeCell ref="ALE36:ALF36"/>
    <mergeCell ref="ALG36:ALH36"/>
    <mergeCell ref="APY36:APZ36"/>
    <mergeCell ref="AQA36:AQB36"/>
    <mergeCell ref="AQC36:AQD36"/>
    <mergeCell ref="AQE36:AQF36"/>
    <mergeCell ref="AQG36:AQH36"/>
    <mergeCell ref="AQI36:AQJ36"/>
    <mergeCell ref="APM36:APN36"/>
    <mergeCell ref="APO36:APP36"/>
    <mergeCell ref="APQ36:APR36"/>
    <mergeCell ref="APS36:APT36"/>
    <mergeCell ref="APU36:APV36"/>
    <mergeCell ref="APW36:APX36"/>
    <mergeCell ref="APA36:APB36"/>
    <mergeCell ref="APC36:APD36"/>
    <mergeCell ref="APE36:APF36"/>
    <mergeCell ref="APG36:APH36"/>
    <mergeCell ref="API36:APJ36"/>
    <mergeCell ref="APK36:APL36"/>
    <mergeCell ref="AOO36:AOP36"/>
    <mergeCell ref="AOQ36:AOR36"/>
    <mergeCell ref="AOS36:AOT36"/>
    <mergeCell ref="AOU36:AOV36"/>
    <mergeCell ref="AOW36:AOX36"/>
    <mergeCell ref="AOY36:AOZ36"/>
    <mergeCell ref="AOC36:AOD36"/>
    <mergeCell ref="AOE36:AOF36"/>
    <mergeCell ref="AOG36:AOH36"/>
    <mergeCell ref="AOI36:AOJ36"/>
    <mergeCell ref="AOK36:AOL36"/>
    <mergeCell ref="AOM36:AON36"/>
    <mergeCell ref="ANQ36:ANR36"/>
    <mergeCell ref="ANS36:ANT36"/>
    <mergeCell ref="ANU36:ANV36"/>
    <mergeCell ref="ANW36:ANX36"/>
    <mergeCell ref="ANY36:ANZ36"/>
    <mergeCell ref="AOA36:AOB36"/>
    <mergeCell ref="ASS36:AST36"/>
    <mergeCell ref="ASU36:ASV36"/>
    <mergeCell ref="ASW36:ASX36"/>
    <mergeCell ref="ASY36:ASZ36"/>
    <mergeCell ref="ATA36:ATB36"/>
    <mergeCell ref="ATC36:ATD36"/>
    <mergeCell ref="ASG36:ASH36"/>
    <mergeCell ref="ASI36:ASJ36"/>
    <mergeCell ref="ASK36:ASL36"/>
    <mergeCell ref="ASM36:ASN36"/>
    <mergeCell ref="ASO36:ASP36"/>
    <mergeCell ref="ASQ36:ASR36"/>
    <mergeCell ref="ARU36:ARV36"/>
    <mergeCell ref="ARW36:ARX36"/>
    <mergeCell ref="ARY36:ARZ36"/>
    <mergeCell ref="ASA36:ASB36"/>
    <mergeCell ref="ASC36:ASD36"/>
    <mergeCell ref="ASE36:ASF36"/>
    <mergeCell ref="ARI36:ARJ36"/>
    <mergeCell ref="ARK36:ARL36"/>
    <mergeCell ref="ARM36:ARN36"/>
    <mergeCell ref="ARO36:ARP36"/>
    <mergeCell ref="ARQ36:ARR36"/>
    <mergeCell ref="ARS36:ART36"/>
    <mergeCell ref="AQW36:AQX36"/>
    <mergeCell ref="AQY36:AQZ36"/>
    <mergeCell ref="ARA36:ARB36"/>
    <mergeCell ref="ARC36:ARD36"/>
    <mergeCell ref="ARE36:ARF36"/>
    <mergeCell ref="ARG36:ARH36"/>
    <mergeCell ref="AQK36:AQL36"/>
    <mergeCell ref="AQM36:AQN36"/>
    <mergeCell ref="AQO36:AQP36"/>
    <mergeCell ref="AQQ36:AQR36"/>
    <mergeCell ref="AQS36:AQT36"/>
    <mergeCell ref="AQU36:AQV36"/>
    <mergeCell ref="AVM36:AVN36"/>
    <mergeCell ref="AVO36:AVP36"/>
    <mergeCell ref="AVQ36:AVR36"/>
    <mergeCell ref="AVS36:AVT36"/>
    <mergeCell ref="AVU36:AVV36"/>
    <mergeCell ref="AVW36:AVX36"/>
    <mergeCell ref="AVA36:AVB36"/>
    <mergeCell ref="AVC36:AVD36"/>
    <mergeCell ref="AVE36:AVF36"/>
    <mergeCell ref="AVG36:AVH36"/>
    <mergeCell ref="AVI36:AVJ36"/>
    <mergeCell ref="AVK36:AVL36"/>
    <mergeCell ref="AUO36:AUP36"/>
    <mergeCell ref="AUQ36:AUR36"/>
    <mergeCell ref="AUS36:AUT36"/>
    <mergeCell ref="AUU36:AUV36"/>
    <mergeCell ref="AUW36:AUX36"/>
    <mergeCell ref="AUY36:AUZ36"/>
    <mergeCell ref="AUC36:AUD36"/>
    <mergeCell ref="AUE36:AUF36"/>
    <mergeCell ref="AUG36:AUH36"/>
    <mergeCell ref="AUI36:AUJ36"/>
    <mergeCell ref="AUK36:AUL36"/>
    <mergeCell ref="AUM36:AUN36"/>
    <mergeCell ref="ATQ36:ATR36"/>
    <mergeCell ref="ATS36:ATT36"/>
    <mergeCell ref="ATU36:ATV36"/>
    <mergeCell ref="ATW36:ATX36"/>
    <mergeCell ref="ATY36:ATZ36"/>
    <mergeCell ref="AUA36:AUB36"/>
    <mergeCell ref="ATE36:ATF36"/>
    <mergeCell ref="ATG36:ATH36"/>
    <mergeCell ref="ATI36:ATJ36"/>
    <mergeCell ref="ATK36:ATL36"/>
    <mergeCell ref="ATM36:ATN36"/>
    <mergeCell ref="ATO36:ATP36"/>
    <mergeCell ref="AYG36:AYH36"/>
    <mergeCell ref="AYI36:AYJ36"/>
    <mergeCell ref="AYK36:AYL36"/>
    <mergeCell ref="AYM36:AYN36"/>
    <mergeCell ref="AYO36:AYP36"/>
    <mergeCell ref="AYQ36:AYR36"/>
    <mergeCell ref="AXU36:AXV36"/>
    <mergeCell ref="AXW36:AXX36"/>
    <mergeCell ref="AXY36:AXZ36"/>
    <mergeCell ref="AYA36:AYB36"/>
    <mergeCell ref="AYC36:AYD36"/>
    <mergeCell ref="AYE36:AYF36"/>
    <mergeCell ref="AXI36:AXJ36"/>
    <mergeCell ref="AXK36:AXL36"/>
    <mergeCell ref="AXM36:AXN36"/>
    <mergeCell ref="AXO36:AXP36"/>
    <mergeCell ref="AXQ36:AXR36"/>
    <mergeCell ref="AXS36:AXT36"/>
    <mergeCell ref="AWW36:AWX36"/>
    <mergeCell ref="AWY36:AWZ36"/>
    <mergeCell ref="AXA36:AXB36"/>
    <mergeCell ref="AXC36:AXD36"/>
    <mergeCell ref="AXE36:AXF36"/>
    <mergeCell ref="AXG36:AXH36"/>
    <mergeCell ref="AWK36:AWL36"/>
    <mergeCell ref="AWM36:AWN36"/>
    <mergeCell ref="AWO36:AWP36"/>
    <mergeCell ref="AWQ36:AWR36"/>
    <mergeCell ref="AWS36:AWT36"/>
    <mergeCell ref="AWU36:AWV36"/>
    <mergeCell ref="AVY36:AVZ36"/>
    <mergeCell ref="AWA36:AWB36"/>
    <mergeCell ref="AWC36:AWD36"/>
    <mergeCell ref="AWE36:AWF36"/>
    <mergeCell ref="AWG36:AWH36"/>
    <mergeCell ref="AWI36:AWJ36"/>
    <mergeCell ref="BBA36:BBB36"/>
    <mergeCell ref="BBC36:BBD36"/>
    <mergeCell ref="BBE36:BBF36"/>
    <mergeCell ref="BBG36:BBH36"/>
    <mergeCell ref="BBI36:BBJ36"/>
    <mergeCell ref="BBK36:BBL36"/>
    <mergeCell ref="BAO36:BAP36"/>
    <mergeCell ref="BAQ36:BAR36"/>
    <mergeCell ref="BAS36:BAT36"/>
    <mergeCell ref="BAU36:BAV36"/>
    <mergeCell ref="BAW36:BAX36"/>
    <mergeCell ref="BAY36:BAZ36"/>
    <mergeCell ref="BAC36:BAD36"/>
    <mergeCell ref="BAE36:BAF36"/>
    <mergeCell ref="BAG36:BAH36"/>
    <mergeCell ref="BAI36:BAJ36"/>
    <mergeCell ref="BAK36:BAL36"/>
    <mergeCell ref="BAM36:BAN36"/>
    <mergeCell ref="AZQ36:AZR36"/>
    <mergeCell ref="AZS36:AZT36"/>
    <mergeCell ref="AZU36:AZV36"/>
    <mergeCell ref="AZW36:AZX36"/>
    <mergeCell ref="AZY36:AZZ36"/>
    <mergeCell ref="BAA36:BAB36"/>
    <mergeCell ref="AZE36:AZF36"/>
    <mergeCell ref="AZG36:AZH36"/>
    <mergeCell ref="AZI36:AZJ36"/>
    <mergeCell ref="AZK36:AZL36"/>
    <mergeCell ref="AZM36:AZN36"/>
    <mergeCell ref="AZO36:AZP36"/>
    <mergeCell ref="AYS36:AYT36"/>
    <mergeCell ref="AYU36:AYV36"/>
    <mergeCell ref="AYW36:AYX36"/>
    <mergeCell ref="AYY36:AYZ36"/>
    <mergeCell ref="AZA36:AZB36"/>
    <mergeCell ref="AZC36:AZD36"/>
    <mergeCell ref="BDU36:BDV36"/>
    <mergeCell ref="BDW36:BDX36"/>
    <mergeCell ref="BDY36:BDZ36"/>
    <mergeCell ref="BEA36:BEB36"/>
    <mergeCell ref="BEC36:BED36"/>
    <mergeCell ref="BEE36:BEF36"/>
    <mergeCell ref="BDI36:BDJ36"/>
    <mergeCell ref="BDK36:BDL36"/>
    <mergeCell ref="BDM36:BDN36"/>
    <mergeCell ref="BDO36:BDP36"/>
    <mergeCell ref="BDQ36:BDR36"/>
    <mergeCell ref="BDS36:BDT36"/>
    <mergeCell ref="BCW36:BCX36"/>
    <mergeCell ref="BCY36:BCZ36"/>
    <mergeCell ref="BDA36:BDB36"/>
    <mergeCell ref="BDC36:BDD36"/>
    <mergeCell ref="BDE36:BDF36"/>
    <mergeCell ref="BDG36:BDH36"/>
    <mergeCell ref="BCK36:BCL36"/>
    <mergeCell ref="BCM36:BCN36"/>
    <mergeCell ref="BCO36:BCP36"/>
    <mergeCell ref="BCQ36:BCR36"/>
    <mergeCell ref="BCS36:BCT36"/>
    <mergeCell ref="BCU36:BCV36"/>
    <mergeCell ref="BBY36:BBZ36"/>
    <mergeCell ref="BCA36:BCB36"/>
    <mergeCell ref="BCC36:BCD36"/>
    <mergeCell ref="BCE36:BCF36"/>
    <mergeCell ref="BCG36:BCH36"/>
    <mergeCell ref="BCI36:BCJ36"/>
    <mergeCell ref="BBM36:BBN36"/>
    <mergeCell ref="BBO36:BBP36"/>
    <mergeCell ref="BBQ36:BBR36"/>
    <mergeCell ref="BBS36:BBT36"/>
    <mergeCell ref="BBU36:BBV36"/>
    <mergeCell ref="BBW36:BBX36"/>
    <mergeCell ref="BGO36:BGP36"/>
    <mergeCell ref="BGQ36:BGR36"/>
    <mergeCell ref="BGS36:BGT36"/>
    <mergeCell ref="BGU36:BGV36"/>
    <mergeCell ref="BGW36:BGX36"/>
    <mergeCell ref="BGY36:BGZ36"/>
    <mergeCell ref="BGC36:BGD36"/>
    <mergeCell ref="BGE36:BGF36"/>
    <mergeCell ref="BGG36:BGH36"/>
    <mergeCell ref="BGI36:BGJ36"/>
    <mergeCell ref="BGK36:BGL36"/>
    <mergeCell ref="BGM36:BGN36"/>
    <mergeCell ref="BFQ36:BFR36"/>
    <mergeCell ref="BFS36:BFT36"/>
    <mergeCell ref="BFU36:BFV36"/>
    <mergeCell ref="BFW36:BFX36"/>
    <mergeCell ref="BFY36:BFZ36"/>
    <mergeCell ref="BGA36:BGB36"/>
    <mergeCell ref="BFE36:BFF36"/>
    <mergeCell ref="BFG36:BFH36"/>
    <mergeCell ref="BFI36:BFJ36"/>
    <mergeCell ref="BFK36:BFL36"/>
    <mergeCell ref="BFM36:BFN36"/>
    <mergeCell ref="BFO36:BFP36"/>
    <mergeCell ref="BES36:BET36"/>
    <mergeCell ref="BEU36:BEV36"/>
    <mergeCell ref="BEW36:BEX36"/>
    <mergeCell ref="BEY36:BEZ36"/>
    <mergeCell ref="BFA36:BFB36"/>
    <mergeCell ref="BFC36:BFD36"/>
    <mergeCell ref="BEG36:BEH36"/>
    <mergeCell ref="BEI36:BEJ36"/>
    <mergeCell ref="BEK36:BEL36"/>
    <mergeCell ref="BEM36:BEN36"/>
    <mergeCell ref="BEO36:BEP36"/>
    <mergeCell ref="BEQ36:BER36"/>
    <mergeCell ref="BJI36:BJJ36"/>
    <mergeCell ref="BJK36:BJL36"/>
    <mergeCell ref="BJM36:BJN36"/>
    <mergeCell ref="BJO36:BJP36"/>
    <mergeCell ref="BJQ36:BJR36"/>
    <mergeCell ref="BJS36:BJT36"/>
    <mergeCell ref="BIW36:BIX36"/>
    <mergeCell ref="BIY36:BIZ36"/>
    <mergeCell ref="BJA36:BJB36"/>
    <mergeCell ref="BJC36:BJD36"/>
    <mergeCell ref="BJE36:BJF36"/>
    <mergeCell ref="BJG36:BJH36"/>
    <mergeCell ref="BIK36:BIL36"/>
    <mergeCell ref="BIM36:BIN36"/>
    <mergeCell ref="BIO36:BIP36"/>
    <mergeCell ref="BIQ36:BIR36"/>
    <mergeCell ref="BIS36:BIT36"/>
    <mergeCell ref="BIU36:BIV36"/>
    <mergeCell ref="BHY36:BHZ36"/>
    <mergeCell ref="BIA36:BIB36"/>
    <mergeCell ref="BIC36:BID36"/>
    <mergeCell ref="BIE36:BIF36"/>
    <mergeCell ref="BIG36:BIH36"/>
    <mergeCell ref="BII36:BIJ36"/>
    <mergeCell ref="BHM36:BHN36"/>
    <mergeCell ref="BHO36:BHP36"/>
    <mergeCell ref="BHQ36:BHR36"/>
    <mergeCell ref="BHS36:BHT36"/>
    <mergeCell ref="BHU36:BHV36"/>
    <mergeCell ref="BHW36:BHX36"/>
    <mergeCell ref="BHA36:BHB36"/>
    <mergeCell ref="BHC36:BHD36"/>
    <mergeCell ref="BHE36:BHF36"/>
    <mergeCell ref="BHG36:BHH36"/>
    <mergeCell ref="BHI36:BHJ36"/>
    <mergeCell ref="BHK36:BHL36"/>
    <mergeCell ref="BMC36:BMD36"/>
    <mergeCell ref="BME36:BMF36"/>
    <mergeCell ref="BMG36:BMH36"/>
    <mergeCell ref="BMI36:BMJ36"/>
    <mergeCell ref="BMK36:BML36"/>
    <mergeCell ref="BMM36:BMN36"/>
    <mergeCell ref="BLQ36:BLR36"/>
    <mergeCell ref="BLS36:BLT36"/>
    <mergeCell ref="BLU36:BLV36"/>
    <mergeCell ref="BLW36:BLX36"/>
    <mergeCell ref="BLY36:BLZ36"/>
    <mergeCell ref="BMA36:BMB36"/>
    <mergeCell ref="BLE36:BLF36"/>
    <mergeCell ref="BLG36:BLH36"/>
    <mergeCell ref="BLI36:BLJ36"/>
    <mergeCell ref="BLK36:BLL36"/>
    <mergeCell ref="BLM36:BLN36"/>
    <mergeCell ref="BLO36:BLP36"/>
    <mergeCell ref="BKS36:BKT36"/>
    <mergeCell ref="BKU36:BKV36"/>
    <mergeCell ref="BKW36:BKX36"/>
    <mergeCell ref="BKY36:BKZ36"/>
    <mergeCell ref="BLA36:BLB36"/>
    <mergeCell ref="BLC36:BLD36"/>
    <mergeCell ref="BKG36:BKH36"/>
    <mergeCell ref="BKI36:BKJ36"/>
    <mergeCell ref="BKK36:BKL36"/>
    <mergeCell ref="BKM36:BKN36"/>
    <mergeCell ref="BKO36:BKP36"/>
    <mergeCell ref="BKQ36:BKR36"/>
    <mergeCell ref="BJU36:BJV36"/>
    <mergeCell ref="BJW36:BJX36"/>
    <mergeCell ref="BJY36:BJZ36"/>
    <mergeCell ref="BKA36:BKB36"/>
    <mergeCell ref="BKC36:BKD36"/>
    <mergeCell ref="BKE36:BKF36"/>
    <mergeCell ref="BOW36:BOX36"/>
    <mergeCell ref="BOY36:BOZ36"/>
    <mergeCell ref="BPA36:BPB36"/>
    <mergeCell ref="BPC36:BPD36"/>
    <mergeCell ref="BPE36:BPF36"/>
    <mergeCell ref="BPG36:BPH36"/>
    <mergeCell ref="BOK36:BOL36"/>
    <mergeCell ref="BOM36:BON36"/>
    <mergeCell ref="BOO36:BOP36"/>
    <mergeCell ref="BOQ36:BOR36"/>
    <mergeCell ref="BOS36:BOT36"/>
    <mergeCell ref="BOU36:BOV36"/>
    <mergeCell ref="BNY36:BNZ36"/>
    <mergeCell ref="BOA36:BOB36"/>
    <mergeCell ref="BOC36:BOD36"/>
    <mergeCell ref="BOE36:BOF36"/>
    <mergeCell ref="BOG36:BOH36"/>
    <mergeCell ref="BOI36:BOJ36"/>
    <mergeCell ref="BNM36:BNN36"/>
    <mergeCell ref="BNO36:BNP36"/>
    <mergeCell ref="BNQ36:BNR36"/>
    <mergeCell ref="BNS36:BNT36"/>
    <mergeCell ref="BNU36:BNV36"/>
    <mergeCell ref="BNW36:BNX36"/>
    <mergeCell ref="BNA36:BNB36"/>
    <mergeCell ref="BNC36:BND36"/>
    <mergeCell ref="BNE36:BNF36"/>
    <mergeCell ref="BNG36:BNH36"/>
    <mergeCell ref="BNI36:BNJ36"/>
    <mergeCell ref="BNK36:BNL36"/>
    <mergeCell ref="BMO36:BMP36"/>
    <mergeCell ref="BMQ36:BMR36"/>
    <mergeCell ref="BMS36:BMT36"/>
    <mergeCell ref="BMU36:BMV36"/>
    <mergeCell ref="BMW36:BMX36"/>
    <mergeCell ref="BMY36:BMZ36"/>
    <mergeCell ref="BRQ36:BRR36"/>
    <mergeCell ref="BRS36:BRT36"/>
    <mergeCell ref="BRU36:BRV36"/>
    <mergeCell ref="BRW36:BRX36"/>
    <mergeCell ref="BRY36:BRZ36"/>
    <mergeCell ref="BSA36:BSB36"/>
    <mergeCell ref="BRE36:BRF36"/>
    <mergeCell ref="BRG36:BRH36"/>
    <mergeCell ref="BRI36:BRJ36"/>
    <mergeCell ref="BRK36:BRL36"/>
    <mergeCell ref="BRM36:BRN36"/>
    <mergeCell ref="BRO36:BRP36"/>
    <mergeCell ref="BQS36:BQT36"/>
    <mergeCell ref="BQU36:BQV36"/>
    <mergeCell ref="BQW36:BQX36"/>
    <mergeCell ref="BQY36:BQZ36"/>
    <mergeCell ref="BRA36:BRB36"/>
    <mergeCell ref="BRC36:BRD36"/>
    <mergeCell ref="BQG36:BQH36"/>
    <mergeCell ref="BQI36:BQJ36"/>
    <mergeCell ref="BQK36:BQL36"/>
    <mergeCell ref="BQM36:BQN36"/>
    <mergeCell ref="BQO36:BQP36"/>
    <mergeCell ref="BQQ36:BQR36"/>
    <mergeCell ref="BPU36:BPV36"/>
    <mergeCell ref="BPW36:BPX36"/>
    <mergeCell ref="BPY36:BPZ36"/>
    <mergeCell ref="BQA36:BQB36"/>
    <mergeCell ref="BQC36:BQD36"/>
    <mergeCell ref="BQE36:BQF36"/>
    <mergeCell ref="BPI36:BPJ36"/>
    <mergeCell ref="BPK36:BPL36"/>
    <mergeCell ref="BPM36:BPN36"/>
    <mergeCell ref="BPO36:BPP36"/>
    <mergeCell ref="BPQ36:BPR36"/>
    <mergeCell ref="BPS36:BPT36"/>
    <mergeCell ref="BUK36:BUL36"/>
    <mergeCell ref="BUM36:BUN36"/>
    <mergeCell ref="BUO36:BUP36"/>
    <mergeCell ref="BUQ36:BUR36"/>
    <mergeCell ref="BUS36:BUT36"/>
    <mergeCell ref="BUU36:BUV36"/>
    <mergeCell ref="BTY36:BTZ36"/>
    <mergeCell ref="BUA36:BUB36"/>
    <mergeCell ref="BUC36:BUD36"/>
    <mergeCell ref="BUE36:BUF36"/>
    <mergeCell ref="BUG36:BUH36"/>
    <mergeCell ref="BUI36:BUJ36"/>
    <mergeCell ref="BTM36:BTN36"/>
    <mergeCell ref="BTO36:BTP36"/>
    <mergeCell ref="BTQ36:BTR36"/>
    <mergeCell ref="BTS36:BTT36"/>
    <mergeCell ref="BTU36:BTV36"/>
    <mergeCell ref="BTW36:BTX36"/>
    <mergeCell ref="BTA36:BTB36"/>
    <mergeCell ref="BTC36:BTD36"/>
    <mergeCell ref="BTE36:BTF36"/>
    <mergeCell ref="BTG36:BTH36"/>
    <mergeCell ref="BTI36:BTJ36"/>
    <mergeCell ref="BTK36:BTL36"/>
    <mergeCell ref="BSO36:BSP36"/>
    <mergeCell ref="BSQ36:BSR36"/>
    <mergeCell ref="BSS36:BST36"/>
    <mergeCell ref="BSU36:BSV36"/>
    <mergeCell ref="BSW36:BSX36"/>
    <mergeCell ref="BSY36:BSZ36"/>
    <mergeCell ref="BSC36:BSD36"/>
    <mergeCell ref="BSE36:BSF36"/>
    <mergeCell ref="BSG36:BSH36"/>
    <mergeCell ref="BSI36:BSJ36"/>
    <mergeCell ref="BSK36:BSL36"/>
    <mergeCell ref="BSM36:BSN36"/>
    <mergeCell ref="BXE36:BXF36"/>
    <mergeCell ref="BXG36:BXH36"/>
    <mergeCell ref="BXI36:BXJ36"/>
    <mergeCell ref="BXK36:BXL36"/>
    <mergeCell ref="BXM36:BXN36"/>
    <mergeCell ref="BXO36:BXP36"/>
    <mergeCell ref="BWS36:BWT36"/>
    <mergeCell ref="BWU36:BWV36"/>
    <mergeCell ref="BWW36:BWX36"/>
    <mergeCell ref="BWY36:BWZ36"/>
    <mergeCell ref="BXA36:BXB36"/>
    <mergeCell ref="BXC36:BXD36"/>
    <mergeCell ref="BWG36:BWH36"/>
    <mergeCell ref="BWI36:BWJ36"/>
    <mergeCell ref="BWK36:BWL36"/>
    <mergeCell ref="BWM36:BWN36"/>
    <mergeCell ref="BWO36:BWP36"/>
    <mergeCell ref="BWQ36:BWR36"/>
    <mergeCell ref="BVU36:BVV36"/>
    <mergeCell ref="BVW36:BVX36"/>
    <mergeCell ref="BVY36:BVZ36"/>
    <mergeCell ref="BWA36:BWB36"/>
    <mergeCell ref="BWC36:BWD36"/>
    <mergeCell ref="BWE36:BWF36"/>
    <mergeCell ref="BVI36:BVJ36"/>
    <mergeCell ref="BVK36:BVL36"/>
    <mergeCell ref="BVM36:BVN36"/>
    <mergeCell ref="BVO36:BVP36"/>
    <mergeCell ref="BVQ36:BVR36"/>
    <mergeCell ref="BVS36:BVT36"/>
    <mergeCell ref="BUW36:BUX36"/>
    <mergeCell ref="BUY36:BUZ36"/>
    <mergeCell ref="BVA36:BVB36"/>
    <mergeCell ref="BVC36:BVD36"/>
    <mergeCell ref="BVE36:BVF36"/>
    <mergeCell ref="BVG36:BVH36"/>
    <mergeCell ref="BZY36:BZZ36"/>
    <mergeCell ref="CAA36:CAB36"/>
    <mergeCell ref="CAC36:CAD36"/>
    <mergeCell ref="CAE36:CAF36"/>
    <mergeCell ref="CAG36:CAH36"/>
    <mergeCell ref="CAI36:CAJ36"/>
    <mergeCell ref="BZM36:BZN36"/>
    <mergeCell ref="BZO36:BZP36"/>
    <mergeCell ref="BZQ36:BZR36"/>
    <mergeCell ref="BZS36:BZT36"/>
    <mergeCell ref="BZU36:BZV36"/>
    <mergeCell ref="BZW36:BZX36"/>
    <mergeCell ref="BZA36:BZB36"/>
    <mergeCell ref="BZC36:BZD36"/>
    <mergeCell ref="BZE36:BZF36"/>
    <mergeCell ref="BZG36:BZH36"/>
    <mergeCell ref="BZI36:BZJ36"/>
    <mergeCell ref="BZK36:BZL36"/>
    <mergeCell ref="BYO36:BYP36"/>
    <mergeCell ref="BYQ36:BYR36"/>
    <mergeCell ref="BYS36:BYT36"/>
    <mergeCell ref="BYU36:BYV36"/>
    <mergeCell ref="BYW36:BYX36"/>
    <mergeCell ref="BYY36:BYZ36"/>
    <mergeCell ref="BYC36:BYD36"/>
    <mergeCell ref="BYE36:BYF36"/>
    <mergeCell ref="BYG36:BYH36"/>
    <mergeCell ref="BYI36:BYJ36"/>
    <mergeCell ref="BYK36:BYL36"/>
    <mergeCell ref="BYM36:BYN36"/>
    <mergeCell ref="BXQ36:BXR36"/>
    <mergeCell ref="BXS36:BXT36"/>
    <mergeCell ref="BXU36:BXV36"/>
    <mergeCell ref="BXW36:BXX36"/>
    <mergeCell ref="BXY36:BXZ36"/>
    <mergeCell ref="BYA36:BYB36"/>
    <mergeCell ref="CCS36:CCT36"/>
    <mergeCell ref="CCU36:CCV36"/>
    <mergeCell ref="CCW36:CCX36"/>
    <mergeCell ref="CCY36:CCZ36"/>
    <mergeCell ref="CDA36:CDB36"/>
    <mergeCell ref="CDC36:CDD36"/>
    <mergeCell ref="CCG36:CCH36"/>
    <mergeCell ref="CCI36:CCJ36"/>
    <mergeCell ref="CCK36:CCL36"/>
    <mergeCell ref="CCM36:CCN36"/>
    <mergeCell ref="CCO36:CCP36"/>
    <mergeCell ref="CCQ36:CCR36"/>
    <mergeCell ref="CBU36:CBV36"/>
    <mergeCell ref="CBW36:CBX36"/>
    <mergeCell ref="CBY36:CBZ36"/>
    <mergeCell ref="CCA36:CCB36"/>
    <mergeCell ref="CCC36:CCD36"/>
    <mergeCell ref="CCE36:CCF36"/>
    <mergeCell ref="CBI36:CBJ36"/>
    <mergeCell ref="CBK36:CBL36"/>
    <mergeCell ref="CBM36:CBN36"/>
    <mergeCell ref="CBO36:CBP36"/>
    <mergeCell ref="CBQ36:CBR36"/>
    <mergeCell ref="CBS36:CBT36"/>
    <mergeCell ref="CAW36:CAX36"/>
    <mergeCell ref="CAY36:CAZ36"/>
    <mergeCell ref="CBA36:CBB36"/>
    <mergeCell ref="CBC36:CBD36"/>
    <mergeCell ref="CBE36:CBF36"/>
    <mergeCell ref="CBG36:CBH36"/>
    <mergeCell ref="CAK36:CAL36"/>
    <mergeCell ref="CAM36:CAN36"/>
    <mergeCell ref="CAO36:CAP36"/>
    <mergeCell ref="CAQ36:CAR36"/>
    <mergeCell ref="CAS36:CAT36"/>
    <mergeCell ref="CAU36:CAV36"/>
    <mergeCell ref="CFM36:CFN36"/>
    <mergeCell ref="CFO36:CFP36"/>
    <mergeCell ref="CFQ36:CFR36"/>
    <mergeCell ref="CFS36:CFT36"/>
    <mergeCell ref="CFU36:CFV36"/>
    <mergeCell ref="CFW36:CFX36"/>
    <mergeCell ref="CFA36:CFB36"/>
    <mergeCell ref="CFC36:CFD36"/>
    <mergeCell ref="CFE36:CFF36"/>
    <mergeCell ref="CFG36:CFH36"/>
    <mergeCell ref="CFI36:CFJ36"/>
    <mergeCell ref="CFK36:CFL36"/>
    <mergeCell ref="CEO36:CEP36"/>
    <mergeCell ref="CEQ36:CER36"/>
    <mergeCell ref="CES36:CET36"/>
    <mergeCell ref="CEU36:CEV36"/>
    <mergeCell ref="CEW36:CEX36"/>
    <mergeCell ref="CEY36:CEZ36"/>
    <mergeCell ref="CEC36:CED36"/>
    <mergeCell ref="CEE36:CEF36"/>
    <mergeCell ref="CEG36:CEH36"/>
    <mergeCell ref="CEI36:CEJ36"/>
    <mergeCell ref="CEK36:CEL36"/>
    <mergeCell ref="CEM36:CEN36"/>
    <mergeCell ref="CDQ36:CDR36"/>
    <mergeCell ref="CDS36:CDT36"/>
    <mergeCell ref="CDU36:CDV36"/>
    <mergeCell ref="CDW36:CDX36"/>
    <mergeCell ref="CDY36:CDZ36"/>
    <mergeCell ref="CEA36:CEB36"/>
    <mergeCell ref="CDE36:CDF36"/>
    <mergeCell ref="CDG36:CDH36"/>
    <mergeCell ref="CDI36:CDJ36"/>
    <mergeCell ref="CDK36:CDL36"/>
    <mergeCell ref="CDM36:CDN36"/>
    <mergeCell ref="CDO36:CDP36"/>
    <mergeCell ref="CIG36:CIH36"/>
    <mergeCell ref="CII36:CIJ36"/>
    <mergeCell ref="CIK36:CIL36"/>
    <mergeCell ref="CIM36:CIN36"/>
    <mergeCell ref="CIO36:CIP36"/>
    <mergeCell ref="CIQ36:CIR36"/>
    <mergeCell ref="CHU36:CHV36"/>
    <mergeCell ref="CHW36:CHX36"/>
    <mergeCell ref="CHY36:CHZ36"/>
    <mergeCell ref="CIA36:CIB36"/>
    <mergeCell ref="CIC36:CID36"/>
    <mergeCell ref="CIE36:CIF36"/>
    <mergeCell ref="CHI36:CHJ36"/>
    <mergeCell ref="CHK36:CHL36"/>
    <mergeCell ref="CHM36:CHN36"/>
    <mergeCell ref="CHO36:CHP36"/>
    <mergeCell ref="CHQ36:CHR36"/>
    <mergeCell ref="CHS36:CHT36"/>
    <mergeCell ref="CGW36:CGX36"/>
    <mergeCell ref="CGY36:CGZ36"/>
    <mergeCell ref="CHA36:CHB36"/>
    <mergeCell ref="CHC36:CHD36"/>
    <mergeCell ref="CHE36:CHF36"/>
    <mergeCell ref="CHG36:CHH36"/>
    <mergeCell ref="CGK36:CGL36"/>
    <mergeCell ref="CGM36:CGN36"/>
    <mergeCell ref="CGO36:CGP36"/>
    <mergeCell ref="CGQ36:CGR36"/>
    <mergeCell ref="CGS36:CGT36"/>
    <mergeCell ref="CGU36:CGV36"/>
    <mergeCell ref="CFY36:CFZ36"/>
    <mergeCell ref="CGA36:CGB36"/>
    <mergeCell ref="CGC36:CGD36"/>
    <mergeCell ref="CGE36:CGF36"/>
    <mergeCell ref="CGG36:CGH36"/>
    <mergeCell ref="CGI36:CGJ36"/>
    <mergeCell ref="CLA36:CLB36"/>
    <mergeCell ref="CLC36:CLD36"/>
    <mergeCell ref="CLE36:CLF36"/>
    <mergeCell ref="CLG36:CLH36"/>
    <mergeCell ref="CLI36:CLJ36"/>
    <mergeCell ref="CLK36:CLL36"/>
    <mergeCell ref="CKO36:CKP36"/>
    <mergeCell ref="CKQ36:CKR36"/>
    <mergeCell ref="CKS36:CKT36"/>
    <mergeCell ref="CKU36:CKV36"/>
    <mergeCell ref="CKW36:CKX36"/>
    <mergeCell ref="CKY36:CKZ36"/>
    <mergeCell ref="CKC36:CKD36"/>
    <mergeCell ref="CKE36:CKF36"/>
    <mergeCell ref="CKG36:CKH36"/>
    <mergeCell ref="CKI36:CKJ36"/>
    <mergeCell ref="CKK36:CKL36"/>
    <mergeCell ref="CKM36:CKN36"/>
    <mergeCell ref="CJQ36:CJR36"/>
    <mergeCell ref="CJS36:CJT36"/>
    <mergeCell ref="CJU36:CJV36"/>
    <mergeCell ref="CJW36:CJX36"/>
    <mergeCell ref="CJY36:CJZ36"/>
    <mergeCell ref="CKA36:CKB36"/>
    <mergeCell ref="CJE36:CJF36"/>
    <mergeCell ref="CJG36:CJH36"/>
    <mergeCell ref="CJI36:CJJ36"/>
    <mergeCell ref="CJK36:CJL36"/>
    <mergeCell ref="CJM36:CJN36"/>
    <mergeCell ref="CJO36:CJP36"/>
    <mergeCell ref="CIS36:CIT36"/>
    <mergeCell ref="CIU36:CIV36"/>
    <mergeCell ref="CIW36:CIX36"/>
    <mergeCell ref="CIY36:CIZ36"/>
    <mergeCell ref="CJA36:CJB36"/>
    <mergeCell ref="CJC36:CJD36"/>
    <mergeCell ref="CNU36:CNV36"/>
    <mergeCell ref="CNW36:CNX36"/>
    <mergeCell ref="CNY36:CNZ36"/>
    <mergeCell ref="COA36:COB36"/>
    <mergeCell ref="COC36:COD36"/>
    <mergeCell ref="COE36:COF36"/>
    <mergeCell ref="CNI36:CNJ36"/>
    <mergeCell ref="CNK36:CNL36"/>
    <mergeCell ref="CNM36:CNN36"/>
    <mergeCell ref="CNO36:CNP36"/>
    <mergeCell ref="CNQ36:CNR36"/>
    <mergeCell ref="CNS36:CNT36"/>
    <mergeCell ref="CMW36:CMX36"/>
    <mergeCell ref="CMY36:CMZ36"/>
    <mergeCell ref="CNA36:CNB36"/>
    <mergeCell ref="CNC36:CND36"/>
    <mergeCell ref="CNE36:CNF36"/>
    <mergeCell ref="CNG36:CNH36"/>
    <mergeCell ref="CMK36:CML36"/>
    <mergeCell ref="CMM36:CMN36"/>
    <mergeCell ref="CMO36:CMP36"/>
    <mergeCell ref="CMQ36:CMR36"/>
    <mergeCell ref="CMS36:CMT36"/>
    <mergeCell ref="CMU36:CMV36"/>
    <mergeCell ref="CLY36:CLZ36"/>
    <mergeCell ref="CMA36:CMB36"/>
    <mergeCell ref="CMC36:CMD36"/>
    <mergeCell ref="CME36:CMF36"/>
    <mergeCell ref="CMG36:CMH36"/>
    <mergeCell ref="CMI36:CMJ36"/>
    <mergeCell ref="CLM36:CLN36"/>
    <mergeCell ref="CLO36:CLP36"/>
    <mergeCell ref="CLQ36:CLR36"/>
    <mergeCell ref="CLS36:CLT36"/>
    <mergeCell ref="CLU36:CLV36"/>
    <mergeCell ref="CLW36:CLX36"/>
    <mergeCell ref="CQO36:CQP36"/>
    <mergeCell ref="CQQ36:CQR36"/>
    <mergeCell ref="CQS36:CQT36"/>
    <mergeCell ref="CQU36:CQV36"/>
    <mergeCell ref="CQW36:CQX36"/>
    <mergeCell ref="CQY36:CQZ36"/>
    <mergeCell ref="CQC36:CQD36"/>
    <mergeCell ref="CQE36:CQF36"/>
    <mergeCell ref="CQG36:CQH36"/>
    <mergeCell ref="CQI36:CQJ36"/>
    <mergeCell ref="CQK36:CQL36"/>
    <mergeCell ref="CQM36:CQN36"/>
    <mergeCell ref="CPQ36:CPR36"/>
    <mergeCell ref="CPS36:CPT36"/>
    <mergeCell ref="CPU36:CPV36"/>
    <mergeCell ref="CPW36:CPX36"/>
    <mergeCell ref="CPY36:CPZ36"/>
    <mergeCell ref="CQA36:CQB36"/>
    <mergeCell ref="CPE36:CPF36"/>
    <mergeCell ref="CPG36:CPH36"/>
    <mergeCell ref="CPI36:CPJ36"/>
    <mergeCell ref="CPK36:CPL36"/>
    <mergeCell ref="CPM36:CPN36"/>
    <mergeCell ref="CPO36:CPP36"/>
    <mergeCell ref="COS36:COT36"/>
    <mergeCell ref="COU36:COV36"/>
    <mergeCell ref="COW36:COX36"/>
    <mergeCell ref="COY36:COZ36"/>
    <mergeCell ref="CPA36:CPB36"/>
    <mergeCell ref="CPC36:CPD36"/>
    <mergeCell ref="COG36:COH36"/>
    <mergeCell ref="COI36:COJ36"/>
    <mergeCell ref="COK36:COL36"/>
    <mergeCell ref="COM36:CON36"/>
    <mergeCell ref="COO36:COP36"/>
    <mergeCell ref="COQ36:COR36"/>
    <mergeCell ref="CTI36:CTJ36"/>
    <mergeCell ref="CTK36:CTL36"/>
    <mergeCell ref="CTM36:CTN36"/>
    <mergeCell ref="CTO36:CTP36"/>
    <mergeCell ref="CTQ36:CTR36"/>
    <mergeCell ref="CTS36:CTT36"/>
    <mergeCell ref="CSW36:CSX36"/>
    <mergeCell ref="CSY36:CSZ36"/>
    <mergeCell ref="CTA36:CTB36"/>
    <mergeCell ref="CTC36:CTD36"/>
    <mergeCell ref="CTE36:CTF36"/>
    <mergeCell ref="CTG36:CTH36"/>
    <mergeCell ref="CSK36:CSL36"/>
    <mergeCell ref="CSM36:CSN36"/>
    <mergeCell ref="CSO36:CSP36"/>
    <mergeCell ref="CSQ36:CSR36"/>
    <mergeCell ref="CSS36:CST36"/>
    <mergeCell ref="CSU36:CSV36"/>
    <mergeCell ref="CRY36:CRZ36"/>
    <mergeCell ref="CSA36:CSB36"/>
    <mergeCell ref="CSC36:CSD36"/>
    <mergeCell ref="CSE36:CSF36"/>
    <mergeCell ref="CSG36:CSH36"/>
    <mergeCell ref="CSI36:CSJ36"/>
    <mergeCell ref="CRM36:CRN36"/>
    <mergeCell ref="CRO36:CRP36"/>
    <mergeCell ref="CRQ36:CRR36"/>
    <mergeCell ref="CRS36:CRT36"/>
    <mergeCell ref="CRU36:CRV36"/>
    <mergeCell ref="CRW36:CRX36"/>
    <mergeCell ref="CRA36:CRB36"/>
    <mergeCell ref="CRC36:CRD36"/>
    <mergeCell ref="CRE36:CRF36"/>
    <mergeCell ref="CRG36:CRH36"/>
    <mergeCell ref="CRI36:CRJ36"/>
    <mergeCell ref="CRK36:CRL36"/>
    <mergeCell ref="CWC36:CWD36"/>
    <mergeCell ref="CWE36:CWF36"/>
    <mergeCell ref="CWG36:CWH36"/>
    <mergeCell ref="CWI36:CWJ36"/>
    <mergeCell ref="CWK36:CWL36"/>
    <mergeCell ref="CWM36:CWN36"/>
    <mergeCell ref="CVQ36:CVR36"/>
    <mergeCell ref="CVS36:CVT36"/>
    <mergeCell ref="CVU36:CVV36"/>
    <mergeCell ref="CVW36:CVX36"/>
    <mergeCell ref="CVY36:CVZ36"/>
    <mergeCell ref="CWA36:CWB36"/>
    <mergeCell ref="CVE36:CVF36"/>
    <mergeCell ref="CVG36:CVH36"/>
    <mergeCell ref="CVI36:CVJ36"/>
    <mergeCell ref="CVK36:CVL36"/>
    <mergeCell ref="CVM36:CVN36"/>
    <mergeCell ref="CVO36:CVP36"/>
    <mergeCell ref="CUS36:CUT36"/>
    <mergeCell ref="CUU36:CUV36"/>
    <mergeCell ref="CUW36:CUX36"/>
    <mergeCell ref="CUY36:CUZ36"/>
    <mergeCell ref="CVA36:CVB36"/>
    <mergeCell ref="CVC36:CVD36"/>
    <mergeCell ref="CUG36:CUH36"/>
    <mergeCell ref="CUI36:CUJ36"/>
    <mergeCell ref="CUK36:CUL36"/>
    <mergeCell ref="CUM36:CUN36"/>
    <mergeCell ref="CUO36:CUP36"/>
    <mergeCell ref="CUQ36:CUR36"/>
    <mergeCell ref="CTU36:CTV36"/>
    <mergeCell ref="CTW36:CTX36"/>
    <mergeCell ref="CTY36:CTZ36"/>
    <mergeCell ref="CUA36:CUB36"/>
    <mergeCell ref="CUC36:CUD36"/>
    <mergeCell ref="CUE36:CUF36"/>
    <mergeCell ref="CYW36:CYX36"/>
    <mergeCell ref="CYY36:CYZ36"/>
    <mergeCell ref="CZA36:CZB36"/>
    <mergeCell ref="CZC36:CZD36"/>
    <mergeCell ref="CZE36:CZF36"/>
    <mergeCell ref="CZG36:CZH36"/>
    <mergeCell ref="CYK36:CYL36"/>
    <mergeCell ref="CYM36:CYN36"/>
    <mergeCell ref="CYO36:CYP36"/>
    <mergeCell ref="CYQ36:CYR36"/>
    <mergeCell ref="CYS36:CYT36"/>
    <mergeCell ref="CYU36:CYV36"/>
    <mergeCell ref="CXY36:CXZ36"/>
    <mergeCell ref="CYA36:CYB36"/>
    <mergeCell ref="CYC36:CYD36"/>
    <mergeCell ref="CYE36:CYF36"/>
    <mergeCell ref="CYG36:CYH36"/>
    <mergeCell ref="CYI36:CYJ36"/>
    <mergeCell ref="CXM36:CXN36"/>
    <mergeCell ref="CXO36:CXP36"/>
    <mergeCell ref="CXQ36:CXR36"/>
    <mergeCell ref="CXS36:CXT36"/>
    <mergeCell ref="CXU36:CXV36"/>
    <mergeCell ref="CXW36:CXX36"/>
    <mergeCell ref="CXA36:CXB36"/>
    <mergeCell ref="CXC36:CXD36"/>
    <mergeCell ref="CXE36:CXF36"/>
    <mergeCell ref="CXG36:CXH36"/>
    <mergeCell ref="CXI36:CXJ36"/>
    <mergeCell ref="CXK36:CXL36"/>
    <mergeCell ref="CWO36:CWP36"/>
    <mergeCell ref="CWQ36:CWR36"/>
    <mergeCell ref="CWS36:CWT36"/>
    <mergeCell ref="CWU36:CWV36"/>
    <mergeCell ref="CWW36:CWX36"/>
    <mergeCell ref="CWY36:CWZ36"/>
    <mergeCell ref="DBQ36:DBR36"/>
    <mergeCell ref="DBS36:DBT36"/>
    <mergeCell ref="DBU36:DBV36"/>
    <mergeCell ref="DBW36:DBX36"/>
    <mergeCell ref="DBY36:DBZ36"/>
    <mergeCell ref="DCA36:DCB36"/>
    <mergeCell ref="DBE36:DBF36"/>
    <mergeCell ref="DBG36:DBH36"/>
    <mergeCell ref="DBI36:DBJ36"/>
    <mergeCell ref="DBK36:DBL36"/>
    <mergeCell ref="DBM36:DBN36"/>
    <mergeCell ref="DBO36:DBP36"/>
    <mergeCell ref="DAS36:DAT36"/>
    <mergeCell ref="DAU36:DAV36"/>
    <mergeCell ref="DAW36:DAX36"/>
    <mergeCell ref="DAY36:DAZ36"/>
    <mergeCell ref="DBA36:DBB36"/>
    <mergeCell ref="DBC36:DBD36"/>
    <mergeCell ref="DAG36:DAH36"/>
    <mergeCell ref="DAI36:DAJ36"/>
    <mergeCell ref="DAK36:DAL36"/>
    <mergeCell ref="DAM36:DAN36"/>
    <mergeCell ref="DAO36:DAP36"/>
    <mergeCell ref="DAQ36:DAR36"/>
    <mergeCell ref="CZU36:CZV36"/>
    <mergeCell ref="CZW36:CZX36"/>
    <mergeCell ref="CZY36:CZZ36"/>
    <mergeCell ref="DAA36:DAB36"/>
    <mergeCell ref="DAC36:DAD36"/>
    <mergeCell ref="DAE36:DAF36"/>
    <mergeCell ref="CZI36:CZJ36"/>
    <mergeCell ref="CZK36:CZL36"/>
    <mergeCell ref="CZM36:CZN36"/>
    <mergeCell ref="CZO36:CZP36"/>
    <mergeCell ref="CZQ36:CZR36"/>
    <mergeCell ref="CZS36:CZT36"/>
    <mergeCell ref="DEK36:DEL36"/>
    <mergeCell ref="DEM36:DEN36"/>
    <mergeCell ref="DEO36:DEP36"/>
    <mergeCell ref="DEQ36:DER36"/>
    <mergeCell ref="DES36:DET36"/>
    <mergeCell ref="DEU36:DEV36"/>
    <mergeCell ref="DDY36:DDZ36"/>
    <mergeCell ref="DEA36:DEB36"/>
    <mergeCell ref="DEC36:DED36"/>
    <mergeCell ref="DEE36:DEF36"/>
    <mergeCell ref="DEG36:DEH36"/>
    <mergeCell ref="DEI36:DEJ36"/>
    <mergeCell ref="DDM36:DDN36"/>
    <mergeCell ref="DDO36:DDP36"/>
    <mergeCell ref="DDQ36:DDR36"/>
    <mergeCell ref="DDS36:DDT36"/>
    <mergeCell ref="DDU36:DDV36"/>
    <mergeCell ref="DDW36:DDX36"/>
    <mergeCell ref="DDA36:DDB36"/>
    <mergeCell ref="DDC36:DDD36"/>
    <mergeCell ref="DDE36:DDF36"/>
    <mergeCell ref="DDG36:DDH36"/>
    <mergeCell ref="DDI36:DDJ36"/>
    <mergeCell ref="DDK36:DDL36"/>
    <mergeCell ref="DCO36:DCP36"/>
    <mergeCell ref="DCQ36:DCR36"/>
    <mergeCell ref="DCS36:DCT36"/>
    <mergeCell ref="DCU36:DCV36"/>
    <mergeCell ref="DCW36:DCX36"/>
    <mergeCell ref="DCY36:DCZ36"/>
    <mergeCell ref="DCC36:DCD36"/>
    <mergeCell ref="DCE36:DCF36"/>
    <mergeCell ref="DCG36:DCH36"/>
    <mergeCell ref="DCI36:DCJ36"/>
    <mergeCell ref="DCK36:DCL36"/>
    <mergeCell ref="DCM36:DCN36"/>
    <mergeCell ref="DHE36:DHF36"/>
    <mergeCell ref="DHG36:DHH36"/>
    <mergeCell ref="DHI36:DHJ36"/>
    <mergeCell ref="DHK36:DHL36"/>
    <mergeCell ref="DHM36:DHN36"/>
    <mergeCell ref="DHO36:DHP36"/>
    <mergeCell ref="DGS36:DGT36"/>
    <mergeCell ref="DGU36:DGV36"/>
    <mergeCell ref="DGW36:DGX36"/>
    <mergeCell ref="DGY36:DGZ36"/>
    <mergeCell ref="DHA36:DHB36"/>
    <mergeCell ref="DHC36:DHD36"/>
    <mergeCell ref="DGG36:DGH36"/>
    <mergeCell ref="DGI36:DGJ36"/>
    <mergeCell ref="DGK36:DGL36"/>
    <mergeCell ref="DGM36:DGN36"/>
    <mergeCell ref="DGO36:DGP36"/>
    <mergeCell ref="DGQ36:DGR36"/>
    <mergeCell ref="DFU36:DFV36"/>
    <mergeCell ref="DFW36:DFX36"/>
    <mergeCell ref="DFY36:DFZ36"/>
    <mergeCell ref="DGA36:DGB36"/>
    <mergeCell ref="DGC36:DGD36"/>
    <mergeCell ref="DGE36:DGF36"/>
    <mergeCell ref="DFI36:DFJ36"/>
    <mergeCell ref="DFK36:DFL36"/>
    <mergeCell ref="DFM36:DFN36"/>
    <mergeCell ref="DFO36:DFP36"/>
    <mergeCell ref="DFQ36:DFR36"/>
    <mergeCell ref="DFS36:DFT36"/>
    <mergeCell ref="DEW36:DEX36"/>
    <mergeCell ref="DEY36:DEZ36"/>
    <mergeCell ref="DFA36:DFB36"/>
    <mergeCell ref="DFC36:DFD36"/>
    <mergeCell ref="DFE36:DFF36"/>
    <mergeCell ref="DFG36:DFH36"/>
    <mergeCell ref="DJY36:DJZ36"/>
    <mergeCell ref="DKA36:DKB36"/>
    <mergeCell ref="DKC36:DKD36"/>
    <mergeCell ref="DKE36:DKF36"/>
    <mergeCell ref="DKG36:DKH36"/>
    <mergeCell ref="DKI36:DKJ36"/>
    <mergeCell ref="DJM36:DJN36"/>
    <mergeCell ref="DJO36:DJP36"/>
    <mergeCell ref="DJQ36:DJR36"/>
    <mergeCell ref="DJS36:DJT36"/>
    <mergeCell ref="DJU36:DJV36"/>
    <mergeCell ref="DJW36:DJX36"/>
    <mergeCell ref="DJA36:DJB36"/>
    <mergeCell ref="DJC36:DJD36"/>
    <mergeCell ref="DJE36:DJF36"/>
    <mergeCell ref="DJG36:DJH36"/>
    <mergeCell ref="DJI36:DJJ36"/>
    <mergeCell ref="DJK36:DJL36"/>
    <mergeCell ref="DIO36:DIP36"/>
    <mergeCell ref="DIQ36:DIR36"/>
    <mergeCell ref="DIS36:DIT36"/>
    <mergeCell ref="DIU36:DIV36"/>
    <mergeCell ref="DIW36:DIX36"/>
    <mergeCell ref="DIY36:DIZ36"/>
    <mergeCell ref="DIC36:DID36"/>
    <mergeCell ref="DIE36:DIF36"/>
    <mergeCell ref="DIG36:DIH36"/>
    <mergeCell ref="DII36:DIJ36"/>
    <mergeCell ref="DIK36:DIL36"/>
    <mergeCell ref="DIM36:DIN36"/>
    <mergeCell ref="DHQ36:DHR36"/>
    <mergeCell ref="DHS36:DHT36"/>
    <mergeCell ref="DHU36:DHV36"/>
    <mergeCell ref="DHW36:DHX36"/>
    <mergeCell ref="DHY36:DHZ36"/>
    <mergeCell ref="DIA36:DIB36"/>
    <mergeCell ref="DMS36:DMT36"/>
    <mergeCell ref="DMU36:DMV36"/>
    <mergeCell ref="DMW36:DMX36"/>
    <mergeCell ref="DMY36:DMZ36"/>
    <mergeCell ref="DNA36:DNB36"/>
    <mergeCell ref="DNC36:DND36"/>
    <mergeCell ref="DMG36:DMH36"/>
    <mergeCell ref="DMI36:DMJ36"/>
    <mergeCell ref="DMK36:DML36"/>
    <mergeCell ref="DMM36:DMN36"/>
    <mergeCell ref="DMO36:DMP36"/>
    <mergeCell ref="DMQ36:DMR36"/>
    <mergeCell ref="DLU36:DLV36"/>
    <mergeCell ref="DLW36:DLX36"/>
    <mergeCell ref="DLY36:DLZ36"/>
    <mergeCell ref="DMA36:DMB36"/>
    <mergeCell ref="DMC36:DMD36"/>
    <mergeCell ref="DME36:DMF36"/>
    <mergeCell ref="DLI36:DLJ36"/>
    <mergeCell ref="DLK36:DLL36"/>
    <mergeCell ref="DLM36:DLN36"/>
    <mergeCell ref="DLO36:DLP36"/>
    <mergeCell ref="DLQ36:DLR36"/>
    <mergeCell ref="DLS36:DLT36"/>
    <mergeCell ref="DKW36:DKX36"/>
    <mergeCell ref="DKY36:DKZ36"/>
    <mergeCell ref="DLA36:DLB36"/>
    <mergeCell ref="DLC36:DLD36"/>
    <mergeCell ref="DLE36:DLF36"/>
    <mergeCell ref="DLG36:DLH36"/>
    <mergeCell ref="DKK36:DKL36"/>
    <mergeCell ref="DKM36:DKN36"/>
    <mergeCell ref="DKO36:DKP36"/>
    <mergeCell ref="DKQ36:DKR36"/>
    <mergeCell ref="DKS36:DKT36"/>
    <mergeCell ref="DKU36:DKV36"/>
    <mergeCell ref="DPM36:DPN36"/>
    <mergeCell ref="DPO36:DPP36"/>
    <mergeCell ref="DPQ36:DPR36"/>
    <mergeCell ref="DPS36:DPT36"/>
    <mergeCell ref="DPU36:DPV36"/>
    <mergeCell ref="DPW36:DPX36"/>
    <mergeCell ref="DPA36:DPB36"/>
    <mergeCell ref="DPC36:DPD36"/>
    <mergeCell ref="DPE36:DPF36"/>
    <mergeCell ref="DPG36:DPH36"/>
    <mergeCell ref="DPI36:DPJ36"/>
    <mergeCell ref="DPK36:DPL36"/>
    <mergeCell ref="DOO36:DOP36"/>
    <mergeCell ref="DOQ36:DOR36"/>
    <mergeCell ref="DOS36:DOT36"/>
    <mergeCell ref="DOU36:DOV36"/>
    <mergeCell ref="DOW36:DOX36"/>
    <mergeCell ref="DOY36:DOZ36"/>
    <mergeCell ref="DOC36:DOD36"/>
    <mergeCell ref="DOE36:DOF36"/>
    <mergeCell ref="DOG36:DOH36"/>
    <mergeCell ref="DOI36:DOJ36"/>
    <mergeCell ref="DOK36:DOL36"/>
    <mergeCell ref="DOM36:DON36"/>
    <mergeCell ref="DNQ36:DNR36"/>
    <mergeCell ref="DNS36:DNT36"/>
    <mergeCell ref="DNU36:DNV36"/>
    <mergeCell ref="DNW36:DNX36"/>
    <mergeCell ref="DNY36:DNZ36"/>
    <mergeCell ref="DOA36:DOB36"/>
    <mergeCell ref="DNE36:DNF36"/>
    <mergeCell ref="DNG36:DNH36"/>
    <mergeCell ref="DNI36:DNJ36"/>
    <mergeCell ref="DNK36:DNL36"/>
    <mergeCell ref="DNM36:DNN36"/>
    <mergeCell ref="DNO36:DNP36"/>
    <mergeCell ref="DSG36:DSH36"/>
    <mergeCell ref="DSI36:DSJ36"/>
    <mergeCell ref="DSK36:DSL36"/>
    <mergeCell ref="DSM36:DSN36"/>
    <mergeCell ref="DSO36:DSP36"/>
    <mergeCell ref="DSQ36:DSR36"/>
    <mergeCell ref="DRU36:DRV36"/>
    <mergeCell ref="DRW36:DRX36"/>
    <mergeCell ref="DRY36:DRZ36"/>
    <mergeCell ref="DSA36:DSB36"/>
    <mergeCell ref="DSC36:DSD36"/>
    <mergeCell ref="DSE36:DSF36"/>
    <mergeCell ref="DRI36:DRJ36"/>
    <mergeCell ref="DRK36:DRL36"/>
    <mergeCell ref="DRM36:DRN36"/>
    <mergeCell ref="DRO36:DRP36"/>
    <mergeCell ref="DRQ36:DRR36"/>
    <mergeCell ref="DRS36:DRT36"/>
    <mergeCell ref="DQW36:DQX36"/>
    <mergeCell ref="DQY36:DQZ36"/>
    <mergeCell ref="DRA36:DRB36"/>
    <mergeCell ref="DRC36:DRD36"/>
    <mergeCell ref="DRE36:DRF36"/>
    <mergeCell ref="DRG36:DRH36"/>
    <mergeCell ref="DQK36:DQL36"/>
    <mergeCell ref="DQM36:DQN36"/>
    <mergeCell ref="DQO36:DQP36"/>
    <mergeCell ref="DQQ36:DQR36"/>
    <mergeCell ref="DQS36:DQT36"/>
    <mergeCell ref="DQU36:DQV36"/>
    <mergeCell ref="DPY36:DPZ36"/>
    <mergeCell ref="DQA36:DQB36"/>
    <mergeCell ref="DQC36:DQD36"/>
    <mergeCell ref="DQE36:DQF36"/>
    <mergeCell ref="DQG36:DQH36"/>
    <mergeCell ref="DQI36:DQJ36"/>
    <mergeCell ref="DVA36:DVB36"/>
    <mergeCell ref="DVC36:DVD36"/>
    <mergeCell ref="DVE36:DVF36"/>
    <mergeCell ref="DVG36:DVH36"/>
    <mergeCell ref="DVI36:DVJ36"/>
    <mergeCell ref="DVK36:DVL36"/>
    <mergeCell ref="DUO36:DUP36"/>
    <mergeCell ref="DUQ36:DUR36"/>
    <mergeCell ref="DUS36:DUT36"/>
    <mergeCell ref="DUU36:DUV36"/>
    <mergeCell ref="DUW36:DUX36"/>
    <mergeCell ref="DUY36:DUZ36"/>
    <mergeCell ref="DUC36:DUD36"/>
    <mergeCell ref="DUE36:DUF36"/>
    <mergeCell ref="DUG36:DUH36"/>
    <mergeCell ref="DUI36:DUJ36"/>
    <mergeCell ref="DUK36:DUL36"/>
    <mergeCell ref="DUM36:DUN36"/>
    <mergeCell ref="DTQ36:DTR36"/>
    <mergeCell ref="DTS36:DTT36"/>
    <mergeCell ref="DTU36:DTV36"/>
    <mergeCell ref="DTW36:DTX36"/>
    <mergeCell ref="DTY36:DTZ36"/>
    <mergeCell ref="DUA36:DUB36"/>
    <mergeCell ref="DTE36:DTF36"/>
    <mergeCell ref="DTG36:DTH36"/>
    <mergeCell ref="DTI36:DTJ36"/>
    <mergeCell ref="DTK36:DTL36"/>
    <mergeCell ref="DTM36:DTN36"/>
    <mergeCell ref="DTO36:DTP36"/>
    <mergeCell ref="DSS36:DST36"/>
    <mergeCell ref="DSU36:DSV36"/>
    <mergeCell ref="DSW36:DSX36"/>
    <mergeCell ref="DSY36:DSZ36"/>
    <mergeCell ref="DTA36:DTB36"/>
    <mergeCell ref="DTC36:DTD36"/>
    <mergeCell ref="DXU36:DXV36"/>
    <mergeCell ref="DXW36:DXX36"/>
    <mergeCell ref="DXY36:DXZ36"/>
    <mergeCell ref="DYA36:DYB36"/>
    <mergeCell ref="DYC36:DYD36"/>
    <mergeCell ref="DYE36:DYF36"/>
    <mergeCell ref="DXI36:DXJ36"/>
    <mergeCell ref="DXK36:DXL36"/>
    <mergeCell ref="DXM36:DXN36"/>
    <mergeCell ref="DXO36:DXP36"/>
    <mergeCell ref="DXQ36:DXR36"/>
    <mergeCell ref="DXS36:DXT36"/>
    <mergeCell ref="DWW36:DWX36"/>
    <mergeCell ref="DWY36:DWZ36"/>
    <mergeCell ref="DXA36:DXB36"/>
    <mergeCell ref="DXC36:DXD36"/>
    <mergeCell ref="DXE36:DXF36"/>
    <mergeCell ref="DXG36:DXH36"/>
    <mergeCell ref="DWK36:DWL36"/>
    <mergeCell ref="DWM36:DWN36"/>
    <mergeCell ref="DWO36:DWP36"/>
    <mergeCell ref="DWQ36:DWR36"/>
    <mergeCell ref="DWS36:DWT36"/>
    <mergeCell ref="DWU36:DWV36"/>
    <mergeCell ref="DVY36:DVZ36"/>
    <mergeCell ref="DWA36:DWB36"/>
    <mergeCell ref="DWC36:DWD36"/>
    <mergeCell ref="DWE36:DWF36"/>
    <mergeCell ref="DWG36:DWH36"/>
    <mergeCell ref="DWI36:DWJ36"/>
    <mergeCell ref="DVM36:DVN36"/>
    <mergeCell ref="DVO36:DVP36"/>
    <mergeCell ref="DVQ36:DVR36"/>
    <mergeCell ref="DVS36:DVT36"/>
    <mergeCell ref="DVU36:DVV36"/>
    <mergeCell ref="DVW36:DVX36"/>
    <mergeCell ref="EAO36:EAP36"/>
    <mergeCell ref="EAQ36:EAR36"/>
    <mergeCell ref="EAS36:EAT36"/>
    <mergeCell ref="EAU36:EAV36"/>
    <mergeCell ref="EAW36:EAX36"/>
    <mergeCell ref="EAY36:EAZ36"/>
    <mergeCell ref="EAC36:EAD36"/>
    <mergeCell ref="EAE36:EAF36"/>
    <mergeCell ref="EAG36:EAH36"/>
    <mergeCell ref="EAI36:EAJ36"/>
    <mergeCell ref="EAK36:EAL36"/>
    <mergeCell ref="EAM36:EAN36"/>
    <mergeCell ref="DZQ36:DZR36"/>
    <mergeCell ref="DZS36:DZT36"/>
    <mergeCell ref="DZU36:DZV36"/>
    <mergeCell ref="DZW36:DZX36"/>
    <mergeCell ref="DZY36:DZZ36"/>
    <mergeCell ref="EAA36:EAB36"/>
    <mergeCell ref="DZE36:DZF36"/>
    <mergeCell ref="DZG36:DZH36"/>
    <mergeCell ref="DZI36:DZJ36"/>
    <mergeCell ref="DZK36:DZL36"/>
    <mergeCell ref="DZM36:DZN36"/>
    <mergeCell ref="DZO36:DZP36"/>
    <mergeCell ref="DYS36:DYT36"/>
    <mergeCell ref="DYU36:DYV36"/>
    <mergeCell ref="DYW36:DYX36"/>
    <mergeCell ref="DYY36:DYZ36"/>
    <mergeCell ref="DZA36:DZB36"/>
    <mergeCell ref="DZC36:DZD36"/>
    <mergeCell ref="DYG36:DYH36"/>
    <mergeCell ref="DYI36:DYJ36"/>
    <mergeCell ref="DYK36:DYL36"/>
    <mergeCell ref="DYM36:DYN36"/>
    <mergeCell ref="DYO36:DYP36"/>
    <mergeCell ref="DYQ36:DYR36"/>
    <mergeCell ref="EDI36:EDJ36"/>
    <mergeCell ref="EDK36:EDL36"/>
    <mergeCell ref="EDM36:EDN36"/>
    <mergeCell ref="EDO36:EDP36"/>
    <mergeCell ref="EDQ36:EDR36"/>
    <mergeCell ref="EDS36:EDT36"/>
    <mergeCell ref="ECW36:ECX36"/>
    <mergeCell ref="ECY36:ECZ36"/>
    <mergeCell ref="EDA36:EDB36"/>
    <mergeCell ref="EDC36:EDD36"/>
    <mergeCell ref="EDE36:EDF36"/>
    <mergeCell ref="EDG36:EDH36"/>
    <mergeCell ref="ECK36:ECL36"/>
    <mergeCell ref="ECM36:ECN36"/>
    <mergeCell ref="ECO36:ECP36"/>
    <mergeCell ref="ECQ36:ECR36"/>
    <mergeCell ref="ECS36:ECT36"/>
    <mergeCell ref="ECU36:ECV36"/>
    <mergeCell ref="EBY36:EBZ36"/>
    <mergeCell ref="ECA36:ECB36"/>
    <mergeCell ref="ECC36:ECD36"/>
    <mergeCell ref="ECE36:ECF36"/>
    <mergeCell ref="ECG36:ECH36"/>
    <mergeCell ref="ECI36:ECJ36"/>
    <mergeCell ref="EBM36:EBN36"/>
    <mergeCell ref="EBO36:EBP36"/>
    <mergeCell ref="EBQ36:EBR36"/>
    <mergeCell ref="EBS36:EBT36"/>
    <mergeCell ref="EBU36:EBV36"/>
    <mergeCell ref="EBW36:EBX36"/>
    <mergeCell ref="EBA36:EBB36"/>
    <mergeCell ref="EBC36:EBD36"/>
    <mergeCell ref="EBE36:EBF36"/>
    <mergeCell ref="EBG36:EBH36"/>
    <mergeCell ref="EBI36:EBJ36"/>
    <mergeCell ref="EBK36:EBL36"/>
    <mergeCell ref="EGC36:EGD36"/>
    <mergeCell ref="EGE36:EGF36"/>
    <mergeCell ref="EGG36:EGH36"/>
    <mergeCell ref="EGI36:EGJ36"/>
    <mergeCell ref="EGK36:EGL36"/>
    <mergeCell ref="EGM36:EGN36"/>
    <mergeCell ref="EFQ36:EFR36"/>
    <mergeCell ref="EFS36:EFT36"/>
    <mergeCell ref="EFU36:EFV36"/>
    <mergeCell ref="EFW36:EFX36"/>
    <mergeCell ref="EFY36:EFZ36"/>
    <mergeCell ref="EGA36:EGB36"/>
    <mergeCell ref="EFE36:EFF36"/>
    <mergeCell ref="EFG36:EFH36"/>
    <mergeCell ref="EFI36:EFJ36"/>
    <mergeCell ref="EFK36:EFL36"/>
    <mergeCell ref="EFM36:EFN36"/>
    <mergeCell ref="EFO36:EFP36"/>
    <mergeCell ref="EES36:EET36"/>
    <mergeCell ref="EEU36:EEV36"/>
    <mergeCell ref="EEW36:EEX36"/>
    <mergeCell ref="EEY36:EEZ36"/>
    <mergeCell ref="EFA36:EFB36"/>
    <mergeCell ref="EFC36:EFD36"/>
    <mergeCell ref="EEG36:EEH36"/>
    <mergeCell ref="EEI36:EEJ36"/>
    <mergeCell ref="EEK36:EEL36"/>
    <mergeCell ref="EEM36:EEN36"/>
    <mergeCell ref="EEO36:EEP36"/>
    <mergeCell ref="EEQ36:EER36"/>
    <mergeCell ref="EDU36:EDV36"/>
    <mergeCell ref="EDW36:EDX36"/>
    <mergeCell ref="EDY36:EDZ36"/>
    <mergeCell ref="EEA36:EEB36"/>
    <mergeCell ref="EEC36:EED36"/>
    <mergeCell ref="EEE36:EEF36"/>
    <mergeCell ref="EIW36:EIX36"/>
    <mergeCell ref="EIY36:EIZ36"/>
    <mergeCell ref="EJA36:EJB36"/>
    <mergeCell ref="EJC36:EJD36"/>
    <mergeCell ref="EJE36:EJF36"/>
    <mergeCell ref="EJG36:EJH36"/>
    <mergeCell ref="EIK36:EIL36"/>
    <mergeCell ref="EIM36:EIN36"/>
    <mergeCell ref="EIO36:EIP36"/>
    <mergeCell ref="EIQ36:EIR36"/>
    <mergeCell ref="EIS36:EIT36"/>
    <mergeCell ref="EIU36:EIV36"/>
    <mergeCell ref="EHY36:EHZ36"/>
    <mergeCell ref="EIA36:EIB36"/>
    <mergeCell ref="EIC36:EID36"/>
    <mergeCell ref="EIE36:EIF36"/>
    <mergeCell ref="EIG36:EIH36"/>
    <mergeCell ref="EII36:EIJ36"/>
    <mergeCell ref="EHM36:EHN36"/>
    <mergeCell ref="EHO36:EHP36"/>
    <mergeCell ref="EHQ36:EHR36"/>
    <mergeCell ref="EHS36:EHT36"/>
    <mergeCell ref="EHU36:EHV36"/>
    <mergeCell ref="EHW36:EHX36"/>
    <mergeCell ref="EHA36:EHB36"/>
    <mergeCell ref="EHC36:EHD36"/>
    <mergeCell ref="EHE36:EHF36"/>
    <mergeCell ref="EHG36:EHH36"/>
    <mergeCell ref="EHI36:EHJ36"/>
    <mergeCell ref="EHK36:EHL36"/>
    <mergeCell ref="EGO36:EGP36"/>
    <mergeCell ref="EGQ36:EGR36"/>
    <mergeCell ref="EGS36:EGT36"/>
    <mergeCell ref="EGU36:EGV36"/>
    <mergeCell ref="EGW36:EGX36"/>
    <mergeCell ref="EGY36:EGZ36"/>
    <mergeCell ref="ELQ36:ELR36"/>
    <mergeCell ref="ELS36:ELT36"/>
    <mergeCell ref="ELU36:ELV36"/>
    <mergeCell ref="ELW36:ELX36"/>
    <mergeCell ref="ELY36:ELZ36"/>
    <mergeCell ref="EMA36:EMB36"/>
    <mergeCell ref="ELE36:ELF36"/>
    <mergeCell ref="ELG36:ELH36"/>
    <mergeCell ref="ELI36:ELJ36"/>
    <mergeCell ref="ELK36:ELL36"/>
    <mergeCell ref="ELM36:ELN36"/>
    <mergeCell ref="ELO36:ELP36"/>
    <mergeCell ref="EKS36:EKT36"/>
    <mergeCell ref="EKU36:EKV36"/>
    <mergeCell ref="EKW36:EKX36"/>
    <mergeCell ref="EKY36:EKZ36"/>
    <mergeCell ref="ELA36:ELB36"/>
    <mergeCell ref="ELC36:ELD36"/>
    <mergeCell ref="EKG36:EKH36"/>
    <mergeCell ref="EKI36:EKJ36"/>
    <mergeCell ref="EKK36:EKL36"/>
    <mergeCell ref="EKM36:EKN36"/>
    <mergeCell ref="EKO36:EKP36"/>
    <mergeCell ref="EKQ36:EKR36"/>
    <mergeCell ref="EJU36:EJV36"/>
    <mergeCell ref="EJW36:EJX36"/>
    <mergeCell ref="EJY36:EJZ36"/>
    <mergeCell ref="EKA36:EKB36"/>
    <mergeCell ref="EKC36:EKD36"/>
    <mergeCell ref="EKE36:EKF36"/>
    <mergeCell ref="EJI36:EJJ36"/>
    <mergeCell ref="EJK36:EJL36"/>
    <mergeCell ref="EJM36:EJN36"/>
    <mergeCell ref="EJO36:EJP36"/>
    <mergeCell ref="EJQ36:EJR36"/>
    <mergeCell ref="EJS36:EJT36"/>
    <mergeCell ref="EOK36:EOL36"/>
    <mergeCell ref="EOM36:EON36"/>
    <mergeCell ref="EOO36:EOP36"/>
    <mergeCell ref="EOQ36:EOR36"/>
    <mergeCell ref="EOS36:EOT36"/>
    <mergeCell ref="EOU36:EOV36"/>
    <mergeCell ref="ENY36:ENZ36"/>
    <mergeCell ref="EOA36:EOB36"/>
    <mergeCell ref="EOC36:EOD36"/>
    <mergeCell ref="EOE36:EOF36"/>
    <mergeCell ref="EOG36:EOH36"/>
    <mergeCell ref="EOI36:EOJ36"/>
    <mergeCell ref="ENM36:ENN36"/>
    <mergeCell ref="ENO36:ENP36"/>
    <mergeCell ref="ENQ36:ENR36"/>
    <mergeCell ref="ENS36:ENT36"/>
    <mergeCell ref="ENU36:ENV36"/>
    <mergeCell ref="ENW36:ENX36"/>
    <mergeCell ref="ENA36:ENB36"/>
    <mergeCell ref="ENC36:END36"/>
    <mergeCell ref="ENE36:ENF36"/>
    <mergeCell ref="ENG36:ENH36"/>
    <mergeCell ref="ENI36:ENJ36"/>
    <mergeCell ref="ENK36:ENL36"/>
    <mergeCell ref="EMO36:EMP36"/>
    <mergeCell ref="EMQ36:EMR36"/>
    <mergeCell ref="EMS36:EMT36"/>
    <mergeCell ref="EMU36:EMV36"/>
    <mergeCell ref="EMW36:EMX36"/>
    <mergeCell ref="EMY36:EMZ36"/>
    <mergeCell ref="EMC36:EMD36"/>
    <mergeCell ref="EME36:EMF36"/>
    <mergeCell ref="EMG36:EMH36"/>
    <mergeCell ref="EMI36:EMJ36"/>
    <mergeCell ref="EMK36:EML36"/>
    <mergeCell ref="EMM36:EMN36"/>
    <mergeCell ref="ERE36:ERF36"/>
    <mergeCell ref="ERG36:ERH36"/>
    <mergeCell ref="ERI36:ERJ36"/>
    <mergeCell ref="ERK36:ERL36"/>
    <mergeCell ref="ERM36:ERN36"/>
    <mergeCell ref="ERO36:ERP36"/>
    <mergeCell ref="EQS36:EQT36"/>
    <mergeCell ref="EQU36:EQV36"/>
    <mergeCell ref="EQW36:EQX36"/>
    <mergeCell ref="EQY36:EQZ36"/>
    <mergeCell ref="ERA36:ERB36"/>
    <mergeCell ref="ERC36:ERD36"/>
    <mergeCell ref="EQG36:EQH36"/>
    <mergeCell ref="EQI36:EQJ36"/>
    <mergeCell ref="EQK36:EQL36"/>
    <mergeCell ref="EQM36:EQN36"/>
    <mergeCell ref="EQO36:EQP36"/>
    <mergeCell ref="EQQ36:EQR36"/>
    <mergeCell ref="EPU36:EPV36"/>
    <mergeCell ref="EPW36:EPX36"/>
    <mergeCell ref="EPY36:EPZ36"/>
    <mergeCell ref="EQA36:EQB36"/>
    <mergeCell ref="EQC36:EQD36"/>
    <mergeCell ref="EQE36:EQF36"/>
    <mergeCell ref="EPI36:EPJ36"/>
    <mergeCell ref="EPK36:EPL36"/>
    <mergeCell ref="EPM36:EPN36"/>
    <mergeCell ref="EPO36:EPP36"/>
    <mergeCell ref="EPQ36:EPR36"/>
    <mergeCell ref="EPS36:EPT36"/>
    <mergeCell ref="EOW36:EOX36"/>
    <mergeCell ref="EOY36:EOZ36"/>
    <mergeCell ref="EPA36:EPB36"/>
    <mergeCell ref="EPC36:EPD36"/>
    <mergeCell ref="EPE36:EPF36"/>
    <mergeCell ref="EPG36:EPH36"/>
    <mergeCell ref="ETY36:ETZ36"/>
    <mergeCell ref="EUA36:EUB36"/>
    <mergeCell ref="EUC36:EUD36"/>
    <mergeCell ref="EUE36:EUF36"/>
    <mergeCell ref="EUG36:EUH36"/>
    <mergeCell ref="EUI36:EUJ36"/>
    <mergeCell ref="ETM36:ETN36"/>
    <mergeCell ref="ETO36:ETP36"/>
    <mergeCell ref="ETQ36:ETR36"/>
    <mergeCell ref="ETS36:ETT36"/>
    <mergeCell ref="ETU36:ETV36"/>
    <mergeCell ref="ETW36:ETX36"/>
    <mergeCell ref="ETA36:ETB36"/>
    <mergeCell ref="ETC36:ETD36"/>
    <mergeCell ref="ETE36:ETF36"/>
    <mergeCell ref="ETG36:ETH36"/>
    <mergeCell ref="ETI36:ETJ36"/>
    <mergeCell ref="ETK36:ETL36"/>
    <mergeCell ref="ESO36:ESP36"/>
    <mergeCell ref="ESQ36:ESR36"/>
    <mergeCell ref="ESS36:EST36"/>
    <mergeCell ref="ESU36:ESV36"/>
    <mergeCell ref="ESW36:ESX36"/>
    <mergeCell ref="ESY36:ESZ36"/>
    <mergeCell ref="ESC36:ESD36"/>
    <mergeCell ref="ESE36:ESF36"/>
    <mergeCell ref="ESG36:ESH36"/>
    <mergeCell ref="ESI36:ESJ36"/>
    <mergeCell ref="ESK36:ESL36"/>
    <mergeCell ref="ESM36:ESN36"/>
    <mergeCell ref="ERQ36:ERR36"/>
    <mergeCell ref="ERS36:ERT36"/>
    <mergeCell ref="ERU36:ERV36"/>
    <mergeCell ref="ERW36:ERX36"/>
    <mergeCell ref="ERY36:ERZ36"/>
    <mergeCell ref="ESA36:ESB36"/>
    <mergeCell ref="EWS36:EWT36"/>
    <mergeCell ref="EWU36:EWV36"/>
    <mergeCell ref="EWW36:EWX36"/>
    <mergeCell ref="EWY36:EWZ36"/>
    <mergeCell ref="EXA36:EXB36"/>
    <mergeCell ref="EXC36:EXD36"/>
    <mergeCell ref="EWG36:EWH36"/>
    <mergeCell ref="EWI36:EWJ36"/>
    <mergeCell ref="EWK36:EWL36"/>
    <mergeCell ref="EWM36:EWN36"/>
    <mergeCell ref="EWO36:EWP36"/>
    <mergeCell ref="EWQ36:EWR36"/>
    <mergeCell ref="EVU36:EVV36"/>
    <mergeCell ref="EVW36:EVX36"/>
    <mergeCell ref="EVY36:EVZ36"/>
    <mergeCell ref="EWA36:EWB36"/>
    <mergeCell ref="EWC36:EWD36"/>
    <mergeCell ref="EWE36:EWF36"/>
    <mergeCell ref="EVI36:EVJ36"/>
    <mergeCell ref="EVK36:EVL36"/>
    <mergeCell ref="EVM36:EVN36"/>
    <mergeCell ref="EVO36:EVP36"/>
    <mergeCell ref="EVQ36:EVR36"/>
    <mergeCell ref="EVS36:EVT36"/>
    <mergeCell ref="EUW36:EUX36"/>
    <mergeCell ref="EUY36:EUZ36"/>
    <mergeCell ref="EVA36:EVB36"/>
    <mergeCell ref="EVC36:EVD36"/>
    <mergeCell ref="EVE36:EVF36"/>
    <mergeCell ref="EVG36:EVH36"/>
    <mergeCell ref="EUK36:EUL36"/>
    <mergeCell ref="EUM36:EUN36"/>
    <mergeCell ref="EUO36:EUP36"/>
    <mergeCell ref="EUQ36:EUR36"/>
    <mergeCell ref="EUS36:EUT36"/>
    <mergeCell ref="EUU36:EUV36"/>
    <mergeCell ref="EZM36:EZN36"/>
    <mergeCell ref="EZO36:EZP36"/>
    <mergeCell ref="EZQ36:EZR36"/>
    <mergeCell ref="EZS36:EZT36"/>
    <mergeCell ref="EZU36:EZV36"/>
    <mergeCell ref="EZW36:EZX36"/>
    <mergeCell ref="EZA36:EZB36"/>
    <mergeCell ref="EZC36:EZD36"/>
    <mergeCell ref="EZE36:EZF36"/>
    <mergeCell ref="EZG36:EZH36"/>
    <mergeCell ref="EZI36:EZJ36"/>
    <mergeCell ref="EZK36:EZL36"/>
    <mergeCell ref="EYO36:EYP36"/>
    <mergeCell ref="EYQ36:EYR36"/>
    <mergeCell ref="EYS36:EYT36"/>
    <mergeCell ref="EYU36:EYV36"/>
    <mergeCell ref="EYW36:EYX36"/>
    <mergeCell ref="EYY36:EYZ36"/>
    <mergeCell ref="EYC36:EYD36"/>
    <mergeCell ref="EYE36:EYF36"/>
    <mergeCell ref="EYG36:EYH36"/>
    <mergeCell ref="EYI36:EYJ36"/>
    <mergeCell ref="EYK36:EYL36"/>
    <mergeCell ref="EYM36:EYN36"/>
    <mergeCell ref="EXQ36:EXR36"/>
    <mergeCell ref="EXS36:EXT36"/>
    <mergeCell ref="EXU36:EXV36"/>
    <mergeCell ref="EXW36:EXX36"/>
    <mergeCell ref="EXY36:EXZ36"/>
    <mergeCell ref="EYA36:EYB36"/>
    <mergeCell ref="EXE36:EXF36"/>
    <mergeCell ref="EXG36:EXH36"/>
    <mergeCell ref="EXI36:EXJ36"/>
    <mergeCell ref="EXK36:EXL36"/>
    <mergeCell ref="EXM36:EXN36"/>
    <mergeCell ref="EXO36:EXP36"/>
    <mergeCell ref="FCG36:FCH36"/>
    <mergeCell ref="FCI36:FCJ36"/>
    <mergeCell ref="FCK36:FCL36"/>
    <mergeCell ref="FCM36:FCN36"/>
    <mergeCell ref="FCO36:FCP36"/>
    <mergeCell ref="FCQ36:FCR36"/>
    <mergeCell ref="FBU36:FBV36"/>
    <mergeCell ref="FBW36:FBX36"/>
    <mergeCell ref="FBY36:FBZ36"/>
    <mergeCell ref="FCA36:FCB36"/>
    <mergeCell ref="FCC36:FCD36"/>
    <mergeCell ref="FCE36:FCF36"/>
    <mergeCell ref="FBI36:FBJ36"/>
    <mergeCell ref="FBK36:FBL36"/>
    <mergeCell ref="FBM36:FBN36"/>
    <mergeCell ref="FBO36:FBP36"/>
    <mergeCell ref="FBQ36:FBR36"/>
    <mergeCell ref="FBS36:FBT36"/>
    <mergeCell ref="FAW36:FAX36"/>
    <mergeCell ref="FAY36:FAZ36"/>
    <mergeCell ref="FBA36:FBB36"/>
    <mergeCell ref="FBC36:FBD36"/>
    <mergeCell ref="FBE36:FBF36"/>
    <mergeCell ref="FBG36:FBH36"/>
    <mergeCell ref="FAK36:FAL36"/>
    <mergeCell ref="FAM36:FAN36"/>
    <mergeCell ref="FAO36:FAP36"/>
    <mergeCell ref="FAQ36:FAR36"/>
    <mergeCell ref="FAS36:FAT36"/>
    <mergeCell ref="FAU36:FAV36"/>
    <mergeCell ref="EZY36:EZZ36"/>
    <mergeCell ref="FAA36:FAB36"/>
    <mergeCell ref="FAC36:FAD36"/>
    <mergeCell ref="FAE36:FAF36"/>
    <mergeCell ref="FAG36:FAH36"/>
    <mergeCell ref="FAI36:FAJ36"/>
    <mergeCell ref="FFA36:FFB36"/>
    <mergeCell ref="FFC36:FFD36"/>
    <mergeCell ref="FFE36:FFF36"/>
    <mergeCell ref="FFG36:FFH36"/>
    <mergeCell ref="FFI36:FFJ36"/>
    <mergeCell ref="FFK36:FFL36"/>
    <mergeCell ref="FEO36:FEP36"/>
    <mergeCell ref="FEQ36:FER36"/>
    <mergeCell ref="FES36:FET36"/>
    <mergeCell ref="FEU36:FEV36"/>
    <mergeCell ref="FEW36:FEX36"/>
    <mergeCell ref="FEY36:FEZ36"/>
    <mergeCell ref="FEC36:FED36"/>
    <mergeCell ref="FEE36:FEF36"/>
    <mergeCell ref="FEG36:FEH36"/>
    <mergeCell ref="FEI36:FEJ36"/>
    <mergeCell ref="FEK36:FEL36"/>
    <mergeCell ref="FEM36:FEN36"/>
    <mergeCell ref="FDQ36:FDR36"/>
    <mergeCell ref="FDS36:FDT36"/>
    <mergeCell ref="FDU36:FDV36"/>
    <mergeCell ref="FDW36:FDX36"/>
    <mergeCell ref="FDY36:FDZ36"/>
    <mergeCell ref="FEA36:FEB36"/>
    <mergeCell ref="FDE36:FDF36"/>
    <mergeCell ref="FDG36:FDH36"/>
    <mergeCell ref="FDI36:FDJ36"/>
    <mergeCell ref="FDK36:FDL36"/>
    <mergeCell ref="FDM36:FDN36"/>
    <mergeCell ref="FDO36:FDP36"/>
    <mergeCell ref="FCS36:FCT36"/>
    <mergeCell ref="FCU36:FCV36"/>
    <mergeCell ref="FCW36:FCX36"/>
    <mergeCell ref="FCY36:FCZ36"/>
    <mergeCell ref="FDA36:FDB36"/>
    <mergeCell ref="FDC36:FDD36"/>
    <mergeCell ref="FHU36:FHV36"/>
    <mergeCell ref="FHW36:FHX36"/>
    <mergeCell ref="FHY36:FHZ36"/>
    <mergeCell ref="FIA36:FIB36"/>
    <mergeCell ref="FIC36:FID36"/>
    <mergeCell ref="FIE36:FIF36"/>
    <mergeCell ref="FHI36:FHJ36"/>
    <mergeCell ref="FHK36:FHL36"/>
    <mergeCell ref="FHM36:FHN36"/>
    <mergeCell ref="FHO36:FHP36"/>
    <mergeCell ref="FHQ36:FHR36"/>
    <mergeCell ref="FHS36:FHT36"/>
    <mergeCell ref="FGW36:FGX36"/>
    <mergeCell ref="FGY36:FGZ36"/>
    <mergeCell ref="FHA36:FHB36"/>
    <mergeCell ref="FHC36:FHD36"/>
    <mergeCell ref="FHE36:FHF36"/>
    <mergeCell ref="FHG36:FHH36"/>
    <mergeCell ref="FGK36:FGL36"/>
    <mergeCell ref="FGM36:FGN36"/>
    <mergeCell ref="FGO36:FGP36"/>
    <mergeCell ref="FGQ36:FGR36"/>
    <mergeCell ref="FGS36:FGT36"/>
    <mergeCell ref="FGU36:FGV36"/>
    <mergeCell ref="FFY36:FFZ36"/>
    <mergeCell ref="FGA36:FGB36"/>
    <mergeCell ref="FGC36:FGD36"/>
    <mergeCell ref="FGE36:FGF36"/>
    <mergeCell ref="FGG36:FGH36"/>
    <mergeCell ref="FGI36:FGJ36"/>
    <mergeCell ref="FFM36:FFN36"/>
    <mergeCell ref="FFO36:FFP36"/>
    <mergeCell ref="FFQ36:FFR36"/>
    <mergeCell ref="FFS36:FFT36"/>
    <mergeCell ref="FFU36:FFV36"/>
    <mergeCell ref="FFW36:FFX36"/>
    <mergeCell ref="FKO36:FKP36"/>
    <mergeCell ref="FKQ36:FKR36"/>
    <mergeCell ref="FKS36:FKT36"/>
    <mergeCell ref="FKU36:FKV36"/>
    <mergeCell ref="FKW36:FKX36"/>
    <mergeCell ref="FKY36:FKZ36"/>
    <mergeCell ref="FKC36:FKD36"/>
    <mergeCell ref="FKE36:FKF36"/>
    <mergeCell ref="FKG36:FKH36"/>
    <mergeCell ref="FKI36:FKJ36"/>
    <mergeCell ref="FKK36:FKL36"/>
    <mergeCell ref="FKM36:FKN36"/>
    <mergeCell ref="FJQ36:FJR36"/>
    <mergeCell ref="FJS36:FJT36"/>
    <mergeCell ref="FJU36:FJV36"/>
    <mergeCell ref="FJW36:FJX36"/>
    <mergeCell ref="FJY36:FJZ36"/>
    <mergeCell ref="FKA36:FKB36"/>
    <mergeCell ref="FJE36:FJF36"/>
    <mergeCell ref="FJG36:FJH36"/>
    <mergeCell ref="FJI36:FJJ36"/>
    <mergeCell ref="FJK36:FJL36"/>
    <mergeCell ref="FJM36:FJN36"/>
    <mergeCell ref="FJO36:FJP36"/>
    <mergeCell ref="FIS36:FIT36"/>
    <mergeCell ref="FIU36:FIV36"/>
    <mergeCell ref="FIW36:FIX36"/>
    <mergeCell ref="FIY36:FIZ36"/>
    <mergeCell ref="FJA36:FJB36"/>
    <mergeCell ref="FJC36:FJD36"/>
    <mergeCell ref="FIG36:FIH36"/>
    <mergeCell ref="FII36:FIJ36"/>
    <mergeCell ref="FIK36:FIL36"/>
    <mergeCell ref="FIM36:FIN36"/>
    <mergeCell ref="FIO36:FIP36"/>
    <mergeCell ref="FIQ36:FIR36"/>
    <mergeCell ref="FNI36:FNJ36"/>
    <mergeCell ref="FNK36:FNL36"/>
    <mergeCell ref="FNM36:FNN36"/>
    <mergeCell ref="FNO36:FNP36"/>
    <mergeCell ref="FNQ36:FNR36"/>
    <mergeCell ref="FNS36:FNT36"/>
    <mergeCell ref="FMW36:FMX36"/>
    <mergeCell ref="FMY36:FMZ36"/>
    <mergeCell ref="FNA36:FNB36"/>
    <mergeCell ref="FNC36:FND36"/>
    <mergeCell ref="FNE36:FNF36"/>
    <mergeCell ref="FNG36:FNH36"/>
    <mergeCell ref="FMK36:FML36"/>
    <mergeCell ref="FMM36:FMN36"/>
    <mergeCell ref="FMO36:FMP36"/>
    <mergeCell ref="FMQ36:FMR36"/>
    <mergeCell ref="FMS36:FMT36"/>
    <mergeCell ref="FMU36:FMV36"/>
    <mergeCell ref="FLY36:FLZ36"/>
    <mergeCell ref="FMA36:FMB36"/>
    <mergeCell ref="FMC36:FMD36"/>
    <mergeCell ref="FME36:FMF36"/>
    <mergeCell ref="FMG36:FMH36"/>
    <mergeCell ref="FMI36:FMJ36"/>
    <mergeCell ref="FLM36:FLN36"/>
    <mergeCell ref="FLO36:FLP36"/>
    <mergeCell ref="FLQ36:FLR36"/>
    <mergeCell ref="FLS36:FLT36"/>
    <mergeCell ref="FLU36:FLV36"/>
    <mergeCell ref="FLW36:FLX36"/>
    <mergeCell ref="FLA36:FLB36"/>
    <mergeCell ref="FLC36:FLD36"/>
    <mergeCell ref="FLE36:FLF36"/>
    <mergeCell ref="FLG36:FLH36"/>
    <mergeCell ref="FLI36:FLJ36"/>
    <mergeCell ref="FLK36:FLL36"/>
    <mergeCell ref="FQC36:FQD36"/>
    <mergeCell ref="FQE36:FQF36"/>
    <mergeCell ref="FQG36:FQH36"/>
    <mergeCell ref="FQI36:FQJ36"/>
    <mergeCell ref="FQK36:FQL36"/>
    <mergeCell ref="FQM36:FQN36"/>
    <mergeCell ref="FPQ36:FPR36"/>
    <mergeCell ref="FPS36:FPT36"/>
    <mergeCell ref="FPU36:FPV36"/>
    <mergeCell ref="FPW36:FPX36"/>
    <mergeCell ref="FPY36:FPZ36"/>
    <mergeCell ref="FQA36:FQB36"/>
    <mergeCell ref="FPE36:FPF36"/>
    <mergeCell ref="FPG36:FPH36"/>
    <mergeCell ref="FPI36:FPJ36"/>
    <mergeCell ref="FPK36:FPL36"/>
    <mergeCell ref="FPM36:FPN36"/>
    <mergeCell ref="FPO36:FPP36"/>
    <mergeCell ref="FOS36:FOT36"/>
    <mergeCell ref="FOU36:FOV36"/>
    <mergeCell ref="FOW36:FOX36"/>
    <mergeCell ref="FOY36:FOZ36"/>
    <mergeCell ref="FPA36:FPB36"/>
    <mergeCell ref="FPC36:FPD36"/>
    <mergeCell ref="FOG36:FOH36"/>
    <mergeCell ref="FOI36:FOJ36"/>
    <mergeCell ref="FOK36:FOL36"/>
    <mergeCell ref="FOM36:FON36"/>
    <mergeCell ref="FOO36:FOP36"/>
    <mergeCell ref="FOQ36:FOR36"/>
    <mergeCell ref="FNU36:FNV36"/>
    <mergeCell ref="FNW36:FNX36"/>
    <mergeCell ref="FNY36:FNZ36"/>
    <mergeCell ref="FOA36:FOB36"/>
    <mergeCell ref="FOC36:FOD36"/>
    <mergeCell ref="FOE36:FOF36"/>
    <mergeCell ref="FSW36:FSX36"/>
    <mergeCell ref="FSY36:FSZ36"/>
    <mergeCell ref="FTA36:FTB36"/>
    <mergeCell ref="FTC36:FTD36"/>
    <mergeCell ref="FTE36:FTF36"/>
    <mergeCell ref="FTG36:FTH36"/>
    <mergeCell ref="FSK36:FSL36"/>
    <mergeCell ref="FSM36:FSN36"/>
    <mergeCell ref="FSO36:FSP36"/>
    <mergeCell ref="FSQ36:FSR36"/>
    <mergeCell ref="FSS36:FST36"/>
    <mergeCell ref="FSU36:FSV36"/>
    <mergeCell ref="FRY36:FRZ36"/>
    <mergeCell ref="FSA36:FSB36"/>
    <mergeCell ref="FSC36:FSD36"/>
    <mergeCell ref="FSE36:FSF36"/>
    <mergeCell ref="FSG36:FSH36"/>
    <mergeCell ref="FSI36:FSJ36"/>
    <mergeCell ref="FRM36:FRN36"/>
    <mergeCell ref="FRO36:FRP36"/>
    <mergeCell ref="FRQ36:FRR36"/>
    <mergeCell ref="FRS36:FRT36"/>
    <mergeCell ref="FRU36:FRV36"/>
    <mergeCell ref="FRW36:FRX36"/>
    <mergeCell ref="FRA36:FRB36"/>
    <mergeCell ref="FRC36:FRD36"/>
    <mergeCell ref="FRE36:FRF36"/>
    <mergeCell ref="FRG36:FRH36"/>
    <mergeCell ref="FRI36:FRJ36"/>
    <mergeCell ref="FRK36:FRL36"/>
    <mergeCell ref="FQO36:FQP36"/>
    <mergeCell ref="FQQ36:FQR36"/>
    <mergeCell ref="FQS36:FQT36"/>
    <mergeCell ref="FQU36:FQV36"/>
    <mergeCell ref="FQW36:FQX36"/>
    <mergeCell ref="FQY36:FQZ36"/>
    <mergeCell ref="FVQ36:FVR36"/>
    <mergeCell ref="FVS36:FVT36"/>
    <mergeCell ref="FVU36:FVV36"/>
    <mergeCell ref="FVW36:FVX36"/>
    <mergeCell ref="FVY36:FVZ36"/>
    <mergeCell ref="FWA36:FWB36"/>
    <mergeCell ref="FVE36:FVF36"/>
    <mergeCell ref="FVG36:FVH36"/>
    <mergeCell ref="FVI36:FVJ36"/>
    <mergeCell ref="FVK36:FVL36"/>
    <mergeCell ref="FVM36:FVN36"/>
    <mergeCell ref="FVO36:FVP36"/>
    <mergeCell ref="FUS36:FUT36"/>
    <mergeCell ref="FUU36:FUV36"/>
    <mergeCell ref="FUW36:FUX36"/>
    <mergeCell ref="FUY36:FUZ36"/>
    <mergeCell ref="FVA36:FVB36"/>
    <mergeCell ref="FVC36:FVD36"/>
    <mergeCell ref="FUG36:FUH36"/>
    <mergeCell ref="FUI36:FUJ36"/>
    <mergeCell ref="FUK36:FUL36"/>
    <mergeCell ref="FUM36:FUN36"/>
    <mergeCell ref="FUO36:FUP36"/>
    <mergeCell ref="FUQ36:FUR36"/>
    <mergeCell ref="FTU36:FTV36"/>
    <mergeCell ref="FTW36:FTX36"/>
    <mergeCell ref="FTY36:FTZ36"/>
    <mergeCell ref="FUA36:FUB36"/>
    <mergeCell ref="FUC36:FUD36"/>
    <mergeCell ref="FUE36:FUF36"/>
    <mergeCell ref="FTI36:FTJ36"/>
    <mergeCell ref="FTK36:FTL36"/>
    <mergeCell ref="FTM36:FTN36"/>
    <mergeCell ref="FTO36:FTP36"/>
    <mergeCell ref="FTQ36:FTR36"/>
    <mergeCell ref="FTS36:FTT36"/>
    <mergeCell ref="FYK36:FYL36"/>
    <mergeCell ref="FYM36:FYN36"/>
    <mergeCell ref="FYO36:FYP36"/>
    <mergeCell ref="FYQ36:FYR36"/>
    <mergeCell ref="FYS36:FYT36"/>
    <mergeCell ref="FYU36:FYV36"/>
    <mergeCell ref="FXY36:FXZ36"/>
    <mergeCell ref="FYA36:FYB36"/>
    <mergeCell ref="FYC36:FYD36"/>
    <mergeCell ref="FYE36:FYF36"/>
    <mergeCell ref="FYG36:FYH36"/>
    <mergeCell ref="FYI36:FYJ36"/>
    <mergeCell ref="FXM36:FXN36"/>
    <mergeCell ref="FXO36:FXP36"/>
    <mergeCell ref="FXQ36:FXR36"/>
    <mergeCell ref="FXS36:FXT36"/>
    <mergeCell ref="FXU36:FXV36"/>
    <mergeCell ref="FXW36:FXX36"/>
    <mergeCell ref="FXA36:FXB36"/>
    <mergeCell ref="FXC36:FXD36"/>
    <mergeCell ref="FXE36:FXF36"/>
    <mergeCell ref="FXG36:FXH36"/>
    <mergeCell ref="FXI36:FXJ36"/>
    <mergeCell ref="FXK36:FXL36"/>
    <mergeCell ref="FWO36:FWP36"/>
    <mergeCell ref="FWQ36:FWR36"/>
    <mergeCell ref="FWS36:FWT36"/>
    <mergeCell ref="FWU36:FWV36"/>
    <mergeCell ref="FWW36:FWX36"/>
    <mergeCell ref="FWY36:FWZ36"/>
    <mergeCell ref="FWC36:FWD36"/>
    <mergeCell ref="FWE36:FWF36"/>
    <mergeCell ref="FWG36:FWH36"/>
    <mergeCell ref="FWI36:FWJ36"/>
    <mergeCell ref="FWK36:FWL36"/>
    <mergeCell ref="FWM36:FWN36"/>
    <mergeCell ref="GBE36:GBF36"/>
    <mergeCell ref="GBG36:GBH36"/>
    <mergeCell ref="GBI36:GBJ36"/>
    <mergeCell ref="GBK36:GBL36"/>
    <mergeCell ref="GBM36:GBN36"/>
    <mergeCell ref="GBO36:GBP36"/>
    <mergeCell ref="GAS36:GAT36"/>
    <mergeCell ref="GAU36:GAV36"/>
    <mergeCell ref="GAW36:GAX36"/>
    <mergeCell ref="GAY36:GAZ36"/>
    <mergeCell ref="GBA36:GBB36"/>
    <mergeCell ref="GBC36:GBD36"/>
    <mergeCell ref="GAG36:GAH36"/>
    <mergeCell ref="GAI36:GAJ36"/>
    <mergeCell ref="GAK36:GAL36"/>
    <mergeCell ref="GAM36:GAN36"/>
    <mergeCell ref="GAO36:GAP36"/>
    <mergeCell ref="GAQ36:GAR36"/>
    <mergeCell ref="FZU36:FZV36"/>
    <mergeCell ref="FZW36:FZX36"/>
    <mergeCell ref="FZY36:FZZ36"/>
    <mergeCell ref="GAA36:GAB36"/>
    <mergeCell ref="GAC36:GAD36"/>
    <mergeCell ref="GAE36:GAF36"/>
    <mergeCell ref="FZI36:FZJ36"/>
    <mergeCell ref="FZK36:FZL36"/>
    <mergeCell ref="FZM36:FZN36"/>
    <mergeCell ref="FZO36:FZP36"/>
    <mergeCell ref="FZQ36:FZR36"/>
    <mergeCell ref="FZS36:FZT36"/>
    <mergeCell ref="FYW36:FYX36"/>
    <mergeCell ref="FYY36:FYZ36"/>
    <mergeCell ref="FZA36:FZB36"/>
    <mergeCell ref="FZC36:FZD36"/>
    <mergeCell ref="FZE36:FZF36"/>
    <mergeCell ref="FZG36:FZH36"/>
    <mergeCell ref="GDY36:GDZ36"/>
    <mergeCell ref="GEA36:GEB36"/>
    <mergeCell ref="GEC36:GED36"/>
    <mergeCell ref="GEE36:GEF36"/>
    <mergeCell ref="GEG36:GEH36"/>
    <mergeCell ref="GEI36:GEJ36"/>
    <mergeCell ref="GDM36:GDN36"/>
    <mergeCell ref="GDO36:GDP36"/>
    <mergeCell ref="GDQ36:GDR36"/>
    <mergeCell ref="GDS36:GDT36"/>
    <mergeCell ref="GDU36:GDV36"/>
    <mergeCell ref="GDW36:GDX36"/>
    <mergeCell ref="GDA36:GDB36"/>
    <mergeCell ref="GDC36:GDD36"/>
    <mergeCell ref="GDE36:GDF36"/>
    <mergeCell ref="GDG36:GDH36"/>
    <mergeCell ref="GDI36:GDJ36"/>
    <mergeCell ref="GDK36:GDL36"/>
    <mergeCell ref="GCO36:GCP36"/>
    <mergeCell ref="GCQ36:GCR36"/>
    <mergeCell ref="GCS36:GCT36"/>
    <mergeCell ref="GCU36:GCV36"/>
    <mergeCell ref="GCW36:GCX36"/>
    <mergeCell ref="GCY36:GCZ36"/>
    <mergeCell ref="GCC36:GCD36"/>
    <mergeCell ref="GCE36:GCF36"/>
    <mergeCell ref="GCG36:GCH36"/>
    <mergeCell ref="GCI36:GCJ36"/>
    <mergeCell ref="GCK36:GCL36"/>
    <mergeCell ref="GCM36:GCN36"/>
    <mergeCell ref="GBQ36:GBR36"/>
    <mergeCell ref="GBS36:GBT36"/>
    <mergeCell ref="GBU36:GBV36"/>
    <mergeCell ref="GBW36:GBX36"/>
    <mergeCell ref="GBY36:GBZ36"/>
    <mergeCell ref="GCA36:GCB36"/>
    <mergeCell ref="GGS36:GGT36"/>
    <mergeCell ref="GGU36:GGV36"/>
    <mergeCell ref="GGW36:GGX36"/>
    <mergeCell ref="GGY36:GGZ36"/>
    <mergeCell ref="GHA36:GHB36"/>
    <mergeCell ref="GHC36:GHD36"/>
    <mergeCell ref="GGG36:GGH36"/>
    <mergeCell ref="GGI36:GGJ36"/>
    <mergeCell ref="GGK36:GGL36"/>
    <mergeCell ref="GGM36:GGN36"/>
    <mergeCell ref="GGO36:GGP36"/>
    <mergeCell ref="GGQ36:GGR36"/>
    <mergeCell ref="GFU36:GFV36"/>
    <mergeCell ref="GFW36:GFX36"/>
    <mergeCell ref="GFY36:GFZ36"/>
    <mergeCell ref="GGA36:GGB36"/>
    <mergeCell ref="GGC36:GGD36"/>
    <mergeCell ref="GGE36:GGF36"/>
    <mergeCell ref="GFI36:GFJ36"/>
    <mergeCell ref="GFK36:GFL36"/>
    <mergeCell ref="GFM36:GFN36"/>
    <mergeCell ref="GFO36:GFP36"/>
    <mergeCell ref="GFQ36:GFR36"/>
    <mergeCell ref="GFS36:GFT36"/>
    <mergeCell ref="GEW36:GEX36"/>
    <mergeCell ref="GEY36:GEZ36"/>
    <mergeCell ref="GFA36:GFB36"/>
    <mergeCell ref="GFC36:GFD36"/>
    <mergeCell ref="GFE36:GFF36"/>
    <mergeCell ref="GFG36:GFH36"/>
    <mergeCell ref="GEK36:GEL36"/>
    <mergeCell ref="GEM36:GEN36"/>
    <mergeCell ref="GEO36:GEP36"/>
    <mergeCell ref="GEQ36:GER36"/>
    <mergeCell ref="GES36:GET36"/>
    <mergeCell ref="GEU36:GEV36"/>
    <mergeCell ref="GJM36:GJN36"/>
    <mergeCell ref="GJO36:GJP36"/>
    <mergeCell ref="GJQ36:GJR36"/>
    <mergeCell ref="GJS36:GJT36"/>
    <mergeCell ref="GJU36:GJV36"/>
    <mergeCell ref="GJW36:GJX36"/>
    <mergeCell ref="GJA36:GJB36"/>
    <mergeCell ref="GJC36:GJD36"/>
    <mergeCell ref="GJE36:GJF36"/>
    <mergeCell ref="GJG36:GJH36"/>
    <mergeCell ref="GJI36:GJJ36"/>
    <mergeCell ref="GJK36:GJL36"/>
    <mergeCell ref="GIO36:GIP36"/>
    <mergeCell ref="GIQ36:GIR36"/>
    <mergeCell ref="GIS36:GIT36"/>
    <mergeCell ref="GIU36:GIV36"/>
    <mergeCell ref="GIW36:GIX36"/>
    <mergeCell ref="GIY36:GIZ36"/>
    <mergeCell ref="GIC36:GID36"/>
    <mergeCell ref="GIE36:GIF36"/>
    <mergeCell ref="GIG36:GIH36"/>
    <mergeCell ref="GII36:GIJ36"/>
    <mergeCell ref="GIK36:GIL36"/>
    <mergeCell ref="GIM36:GIN36"/>
    <mergeCell ref="GHQ36:GHR36"/>
    <mergeCell ref="GHS36:GHT36"/>
    <mergeCell ref="GHU36:GHV36"/>
    <mergeCell ref="GHW36:GHX36"/>
    <mergeCell ref="GHY36:GHZ36"/>
    <mergeCell ref="GIA36:GIB36"/>
    <mergeCell ref="GHE36:GHF36"/>
    <mergeCell ref="GHG36:GHH36"/>
    <mergeCell ref="GHI36:GHJ36"/>
    <mergeCell ref="GHK36:GHL36"/>
    <mergeCell ref="GHM36:GHN36"/>
    <mergeCell ref="GHO36:GHP36"/>
    <mergeCell ref="GMG36:GMH36"/>
    <mergeCell ref="GMI36:GMJ36"/>
    <mergeCell ref="GMK36:GML36"/>
    <mergeCell ref="GMM36:GMN36"/>
    <mergeCell ref="GMO36:GMP36"/>
    <mergeCell ref="GMQ36:GMR36"/>
    <mergeCell ref="GLU36:GLV36"/>
    <mergeCell ref="GLW36:GLX36"/>
    <mergeCell ref="GLY36:GLZ36"/>
    <mergeCell ref="GMA36:GMB36"/>
    <mergeCell ref="GMC36:GMD36"/>
    <mergeCell ref="GME36:GMF36"/>
    <mergeCell ref="GLI36:GLJ36"/>
    <mergeCell ref="GLK36:GLL36"/>
    <mergeCell ref="GLM36:GLN36"/>
    <mergeCell ref="GLO36:GLP36"/>
    <mergeCell ref="GLQ36:GLR36"/>
    <mergeCell ref="GLS36:GLT36"/>
    <mergeCell ref="GKW36:GKX36"/>
    <mergeCell ref="GKY36:GKZ36"/>
    <mergeCell ref="GLA36:GLB36"/>
    <mergeCell ref="GLC36:GLD36"/>
    <mergeCell ref="GLE36:GLF36"/>
    <mergeCell ref="GLG36:GLH36"/>
    <mergeCell ref="GKK36:GKL36"/>
    <mergeCell ref="GKM36:GKN36"/>
    <mergeCell ref="GKO36:GKP36"/>
    <mergeCell ref="GKQ36:GKR36"/>
    <mergeCell ref="GKS36:GKT36"/>
    <mergeCell ref="GKU36:GKV36"/>
    <mergeCell ref="GJY36:GJZ36"/>
    <mergeCell ref="GKA36:GKB36"/>
    <mergeCell ref="GKC36:GKD36"/>
    <mergeCell ref="GKE36:GKF36"/>
    <mergeCell ref="GKG36:GKH36"/>
    <mergeCell ref="GKI36:GKJ36"/>
    <mergeCell ref="GPA36:GPB36"/>
    <mergeCell ref="GPC36:GPD36"/>
    <mergeCell ref="GPE36:GPF36"/>
    <mergeCell ref="GPG36:GPH36"/>
    <mergeCell ref="GPI36:GPJ36"/>
    <mergeCell ref="GPK36:GPL36"/>
    <mergeCell ref="GOO36:GOP36"/>
    <mergeCell ref="GOQ36:GOR36"/>
    <mergeCell ref="GOS36:GOT36"/>
    <mergeCell ref="GOU36:GOV36"/>
    <mergeCell ref="GOW36:GOX36"/>
    <mergeCell ref="GOY36:GOZ36"/>
    <mergeCell ref="GOC36:GOD36"/>
    <mergeCell ref="GOE36:GOF36"/>
    <mergeCell ref="GOG36:GOH36"/>
    <mergeCell ref="GOI36:GOJ36"/>
    <mergeCell ref="GOK36:GOL36"/>
    <mergeCell ref="GOM36:GON36"/>
    <mergeCell ref="GNQ36:GNR36"/>
    <mergeCell ref="GNS36:GNT36"/>
    <mergeCell ref="GNU36:GNV36"/>
    <mergeCell ref="GNW36:GNX36"/>
    <mergeCell ref="GNY36:GNZ36"/>
    <mergeCell ref="GOA36:GOB36"/>
    <mergeCell ref="GNE36:GNF36"/>
    <mergeCell ref="GNG36:GNH36"/>
    <mergeCell ref="GNI36:GNJ36"/>
    <mergeCell ref="GNK36:GNL36"/>
    <mergeCell ref="GNM36:GNN36"/>
    <mergeCell ref="GNO36:GNP36"/>
    <mergeCell ref="GMS36:GMT36"/>
    <mergeCell ref="GMU36:GMV36"/>
    <mergeCell ref="GMW36:GMX36"/>
    <mergeCell ref="GMY36:GMZ36"/>
    <mergeCell ref="GNA36:GNB36"/>
    <mergeCell ref="GNC36:GND36"/>
    <mergeCell ref="GRU36:GRV36"/>
    <mergeCell ref="GRW36:GRX36"/>
    <mergeCell ref="GRY36:GRZ36"/>
    <mergeCell ref="GSA36:GSB36"/>
    <mergeCell ref="GSC36:GSD36"/>
    <mergeCell ref="GSE36:GSF36"/>
    <mergeCell ref="GRI36:GRJ36"/>
    <mergeCell ref="GRK36:GRL36"/>
    <mergeCell ref="GRM36:GRN36"/>
    <mergeCell ref="GRO36:GRP36"/>
    <mergeCell ref="GRQ36:GRR36"/>
    <mergeCell ref="GRS36:GRT36"/>
    <mergeCell ref="GQW36:GQX36"/>
    <mergeCell ref="GQY36:GQZ36"/>
    <mergeCell ref="GRA36:GRB36"/>
    <mergeCell ref="GRC36:GRD36"/>
    <mergeCell ref="GRE36:GRF36"/>
    <mergeCell ref="GRG36:GRH36"/>
    <mergeCell ref="GQK36:GQL36"/>
    <mergeCell ref="GQM36:GQN36"/>
    <mergeCell ref="GQO36:GQP36"/>
    <mergeCell ref="GQQ36:GQR36"/>
    <mergeCell ref="GQS36:GQT36"/>
    <mergeCell ref="GQU36:GQV36"/>
    <mergeCell ref="GPY36:GPZ36"/>
    <mergeCell ref="GQA36:GQB36"/>
    <mergeCell ref="GQC36:GQD36"/>
    <mergeCell ref="GQE36:GQF36"/>
    <mergeCell ref="GQG36:GQH36"/>
    <mergeCell ref="GQI36:GQJ36"/>
    <mergeCell ref="GPM36:GPN36"/>
    <mergeCell ref="GPO36:GPP36"/>
    <mergeCell ref="GPQ36:GPR36"/>
    <mergeCell ref="GPS36:GPT36"/>
    <mergeCell ref="GPU36:GPV36"/>
    <mergeCell ref="GPW36:GPX36"/>
    <mergeCell ref="GUO36:GUP36"/>
    <mergeCell ref="GUQ36:GUR36"/>
    <mergeCell ref="GUS36:GUT36"/>
    <mergeCell ref="GUU36:GUV36"/>
    <mergeCell ref="GUW36:GUX36"/>
    <mergeCell ref="GUY36:GUZ36"/>
    <mergeCell ref="GUC36:GUD36"/>
    <mergeCell ref="GUE36:GUF36"/>
    <mergeCell ref="GUG36:GUH36"/>
    <mergeCell ref="GUI36:GUJ36"/>
    <mergeCell ref="GUK36:GUL36"/>
    <mergeCell ref="GUM36:GUN36"/>
    <mergeCell ref="GTQ36:GTR36"/>
    <mergeCell ref="GTS36:GTT36"/>
    <mergeCell ref="GTU36:GTV36"/>
    <mergeCell ref="GTW36:GTX36"/>
    <mergeCell ref="GTY36:GTZ36"/>
    <mergeCell ref="GUA36:GUB36"/>
    <mergeCell ref="GTE36:GTF36"/>
    <mergeCell ref="GTG36:GTH36"/>
    <mergeCell ref="GTI36:GTJ36"/>
    <mergeCell ref="GTK36:GTL36"/>
    <mergeCell ref="GTM36:GTN36"/>
    <mergeCell ref="GTO36:GTP36"/>
    <mergeCell ref="GSS36:GST36"/>
    <mergeCell ref="GSU36:GSV36"/>
    <mergeCell ref="GSW36:GSX36"/>
    <mergeCell ref="GSY36:GSZ36"/>
    <mergeCell ref="GTA36:GTB36"/>
    <mergeCell ref="GTC36:GTD36"/>
    <mergeCell ref="GSG36:GSH36"/>
    <mergeCell ref="GSI36:GSJ36"/>
    <mergeCell ref="GSK36:GSL36"/>
    <mergeCell ref="GSM36:GSN36"/>
    <mergeCell ref="GSO36:GSP36"/>
    <mergeCell ref="GSQ36:GSR36"/>
    <mergeCell ref="GXI36:GXJ36"/>
    <mergeCell ref="GXK36:GXL36"/>
    <mergeCell ref="GXM36:GXN36"/>
    <mergeCell ref="GXO36:GXP36"/>
    <mergeCell ref="GXQ36:GXR36"/>
    <mergeCell ref="GXS36:GXT36"/>
    <mergeCell ref="GWW36:GWX36"/>
    <mergeCell ref="GWY36:GWZ36"/>
    <mergeCell ref="GXA36:GXB36"/>
    <mergeCell ref="GXC36:GXD36"/>
    <mergeCell ref="GXE36:GXF36"/>
    <mergeCell ref="GXG36:GXH36"/>
    <mergeCell ref="GWK36:GWL36"/>
    <mergeCell ref="GWM36:GWN36"/>
    <mergeCell ref="GWO36:GWP36"/>
    <mergeCell ref="GWQ36:GWR36"/>
    <mergeCell ref="GWS36:GWT36"/>
    <mergeCell ref="GWU36:GWV36"/>
    <mergeCell ref="GVY36:GVZ36"/>
    <mergeCell ref="GWA36:GWB36"/>
    <mergeCell ref="GWC36:GWD36"/>
    <mergeCell ref="GWE36:GWF36"/>
    <mergeCell ref="GWG36:GWH36"/>
    <mergeCell ref="GWI36:GWJ36"/>
    <mergeCell ref="GVM36:GVN36"/>
    <mergeCell ref="GVO36:GVP36"/>
    <mergeCell ref="GVQ36:GVR36"/>
    <mergeCell ref="GVS36:GVT36"/>
    <mergeCell ref="GVU36:GVV36"/>
    <mergeCell ref="GVW36:GVX36"/>
    <mergeCell ref="GVA36:GVB36"/>
    <mergeCell ref="GVC36:GVD36"/>
    <mergeCell ref="GVE36:GVF36"/>
    <mergeCell ref="GVG36:GVH36"/>
    <mergeCell ref="GVI36:GVJ36"/>
    <mergeCell ref="GVK36:GVL36"/>
    <mergeCell ref="HAC36:HAD36"/>
    <mergeCell ref="HAE36:HAF36"/>
    <mergeCell ref="HAG36:HAH36"/>
    <mergeCell ref="HAI36:HAJ36"/>
    <mergeCell ref="HAK36:HAL36"/>
    <mergeCell ref="HAM36:HAN36"/>
    <mergeCell ref="GZQ36:GZR36"/>
    <mergeCell ref="GZS36:GZT36"/>
    <mergeCell ref="GZU36:GZV36"/>
    <mergeCell ref="GZW36:GZX36"/>
    <mergeCell ref="GZY36:GZZ36"/>
    <mergeCell ref="HAA36:HAB36"/>
    <mergeCell ref="GZE36:GZF36"/>
    <mergeCell ref="GZG36:GZH36"/>
    <mergeCell ref="GZI36:GZJ36"/>
    <mergeCell ref="GZK36:GZL36"/>
    <mergeCell ref="GZM36:GZN36"/>
    <mergeCell ref="GZO36:GZP36"/>
    <mergeCell ref="GYS36:GYT36"/>
    <mergeCell ref="GYU36:GYV36"/>
    <mergeCell ref="GYW36:GYX36"/>
    <mergeCell ref="GYY36:GYZ36"/>
    <mergeCell ref="GZA36:GZB36"/>
    <mergeCell ref="GZC36:GZD36"/>
    <mergeCell ref="GYG36:GYH36"/>
    <mergeCell ref="GYI36:GYJ36"/>
    <mergeCell ref="GYK36:GYL36"/>
    <mergeCell ref="GYM36:GYN36"/>
    <mergeCell ref="GYO36:GYP36"/>
    <mergeCell ref="GYQ36:GYR36"/>
    <mergeCell ref="GXU36:GXV36"/>
    <mergeCell ref="GXW36:GXX36"/>
    <mergeCell ref="GXY36:GXZ36"/>
    <mergeCell ref="GYA36:GYB36"/>
    <mergeCell ref="GYC36:GYD36"/>
    <mergeCell ref="GYE36:GYF36"/>
    <mergeCell ref="HCW36:HCX36"/>
    <mergeCell ref="HCY36:HCZ36"/>
    <mergeCell ref="HDA36:HDB36"/>
    <mergeCell ref="HDC36:HDD36"/>
    <mergeCell ref="HDE36:HDF36"/>
    <mergeCell ref="HDG36:HDH36"/>
    <mergeCell ref="HCK36:HCL36"/>
    <mergeCell ref="HCM36:HCN36"/>
    <mergeCell ref="HCO36:HCP36"/>
    <mergeCell ref="HCQ36:HCR36"/>
    <mergeCell ref="HCS36:HCT36"/>
    <mergeCell ref="HCU36:HCV36"/>
    <mergeCell ref="HBY36:HBZ36"/>
    <mergeCell ref="HCA36:HCB36"/>
    <mergeCell ref="HCC36:HCD36"/>
    <mergeCell ref="HCE36:HCF36"/>
    <mergeCell ref="HCG36:HCH36"/>
    <mergeCell ref="HCI36:HCJ36"/>
    <mergeCell ref="HBM36:HBN36"/>
    <mergeCell ref="HBO36:HBP36"/>
    <mergeCell ref="HBQ36:HBR36"/>
    <mergeCell ref="HBS36:HBT36"/>
    <mergeCell ref="HBU36:HBV36"/>
    <mergeCell ref="HBW36:HBX36"/>
    <mergeCell ref="HBA36:HBB36"/>
    <mergeCell ref="HBC36:HBD36"/>
    <mergeCell ref="HBE36:HBF36"/>
    <mergeCell ref="HBG36:HBH36"/>
    <mergeCell ref="HBI36:HBJ36"/>
    <mergeCell ref="HBK36:HBL36"/>
    <mergeCell ref="HAO36:HAP36"/>
    <mergeCell ref="HAQ36:HAR36"/>
    <mergeCell ref="HAS36:HAT36"/>
    <mergeCell ref="HAU36:HAV36"/>
    <mergeCell ref="HAW36:HAX36"/>
    <mergeCell ref="HAY36:HAZ36"/>
    <mergeCell ref="HFQ36:HFR36"/>
    <mergeCell ref="HFS36:HFT36"/>
    <mergeCell ref="HFU36:HFV36"/>
    <mergeCell ref="HFW36:HFX36"/>
    <mergeCell ref="HFY36:HFZ36"/>
    <mergeCell ref="HGA36:HGB36"/>
    <mergeCell ref="HFE36:HFF36"/>
    <mergeCell ref="HFG36:HFH36"/>
    <mergeCell ref="HFI36:HFJ36"/>
    <mergeCell ref="HFK36:HFL36"/>
    <mergeCell ref="HFM36:HFN36"/>
    <mergeCell ref="HFO36:HFP36"/>
    <mergeCell ref="HES36:HET36"/>
    <mergeCell ref="HEU36:HEV36"/>
    <mergeCell ref="HEW36:HEX36"/>
    <mergeCell ref="HEY36:HEZ36"/>
    <mergeCell ref="HFA36:HFB36"/>
    <mergeCell ref="HFC36:HFD36"/>
    <mergeCell ref="HEG36:HEH36"/>
    <mergeCell ref="HEI36:HEJ36"/>
    <mergeCell ref="HEK36:HEL36"/>
    <mergeCell ref="HEM36:HEN36"/>
    <mergeCell ref="HEO36:HEP36"/>
    <mergeCell ref="HEQ36:HER36"/>
    <mergeCell ref="HDU36:HDV36"/>
    <mergeCell ref="HDW36:HDX36"/>
    <mergeCell ref="HDY36:HDZ36"/>
    <mergeCell ref="HEA36:HEB36"/>
    <mergeCell ref="HEC36:HED36"/>
    <mergeCell ref="HEE36:HEF36"/>
    <mergeCell ref="HDI36:HDJ36"/>
    <mergeCell ref="HDK36:HDL36"/>
    <mergeCell ref="HDM36:HDN36"/>
    <mergeCell ref="HDO36:HDP36"/>
    <mergeCell ref="HDQ36:HDR36"/>
    <mergeCell ref="HDS36:HDT36"/>
    <mergeCell ref="HIK36:HIL36"/>
    <mergeCell ref="HIM36:HIN36"/>
    <mergeCell ref="HIO36:HIP36"/>
    <mergeCell ref="HIQ36:HIR36"/>
    <mergeCell ref="HIS36:HIT36"/>
    <mergeCell ref="HIU36:HIV36"/>
    <mergeCell ref="HHY36:HHZ36"/>
    <mergeCell ref="HIA36:HIB36"/>
    <mergeCell ref="HIC36:HID36"/>
    <mergeCell ref="HIE36:HIF36"/>
    <mergeCell ref="HIG36:HIH36"/>
    <mergeCell ref="HII36:HIJ36"/>
    <mergeCell ref="HHM36:HHN36"/>
    <mergeCell ref="HHO36:HHP36"/>
    <mergeCell ref="HHQ36:HHR36"/>
    <mergeCell ref="HHS36:HHT36"/>
    <mergeCell ref="HHU36:HHV36"/>
    <mergeCell ref="HHW36:HHX36"/>
    <mergeCell ref="HHA36:HHB36"/>
    <mergeCell ref="HHC36:HHD36"/>
    <mergeCell ref="HHE36:HHF36"/>
    <mergeCell ref="HHG36:HHH36"/>
    <mergeCell ref="HHI36:HHJ36"/>
    <mergeCell ref="HHK36:HHL36"/>
    <mergeCell ref="HGO36:HGP36"/>
    <mergeCell ref="HGQ36:HGR36"/>
    <mergeCell ref="HGS36:HGT36"/>
    <mergeCell ref="HGU36:HGV36"/>
    <mergeCell ref="HGW36:HGX36"/>
    <mergeCell ref="HGY36:HGZ36"/>
    <mergeCell ref="HGC36:HGD36"/>
    <mergeCell ref="HGE36:HGF36"/>
    <mergeCell ref="HGG36:HGH36"/>
    <mergeCell ref="HGI36:HGJ36"/>
    <mergeCell ref="HGK36:HGL36"/>
    <mergeCell ref="HGM36:HGN36"/>
    <mergeCell ref="HLE36:HLF36"/>
    <mergeCell ref="HLG36:HLH36"/>
    <mergeCell ref="HLI36:HLJ36"/>
    <mergeCell ref="HLK36:HLL36"/>
    <mergeCell ref="HLM36:HLN36"/>
    <mergeCell ref="HLO36:HLP36"/>
    <mergeCell ref="HKS36:HKT36"/>
    <mergeCell ref="HKU36:HKV36"/>
    <mergeCell ref="HKW36:HKX36"/>
    <mergeCell ref="HKY36:HKZ36"/>
    <mergeCell ref="HLA36:HLB36"/>
    <mergeCell ref="HLC36:HLD36"/>
    <mergeCell ref="HKG36:HKH36"/>
    <mergeCell ref="HKI36:HKJ36"/>
    <mergeCell ref="HKK36:HKL36"/>
    <mergeCell ref="HKM36:HKN36"/>
    <mergeCell ref="HKO36:HKP36"/>
    <mergeCell ref="HKQ36:HKR36"/>
    <mergeCell ref="HJU36:HJV36"/>
    <mergeCell ref="HJW36:HJX36"/>
    <mergeCell ref="HJY36:HJZ36"/>
    <mergeCell ref="HKA36:HKB36"/>
    <mergeCell ref="HKC36:HKD36"/>
    <mergeCell ref="HKE36:HKF36"/>
    <mergeCell ref="HJI36:HJJ36"/>
    <mergeCell ref="HJK36:HJL36"/>
    <mergeCell ref="HJM36:HJN36"/>
    <mergeCell ref="HJO36:HJP36"/>
    <mergeCell ref="HJQ36:HJR36"/>
    <mergeCell ref="HJS36:HJT36"/>
    <mergeCell ref="HIW36:HIX36"/>
    <mergeCell ref="HIY36:HIZ36"/>
    <mergeCell ref="HJA36:HJB36"/>
    <mergeCell ref="HJC36:HJD36"/>
    <mergeCell ref="HJE36:HJF36"/>
    <mergeCell ref="HJG36:HJH36"/>
    <mergeCell ref="HNY36:HNZ36"/>
    <mergeCell ref="HOA36:HOB36"/>
    <mergeCell ref="HOC36:HOD36"/>
    <mergeCell ref="HOE36:HOF36"/>
    <mergeCell ref="HOG36:HOH36"/>
    <mergeCell ref="HOI36:HOJ36"/>
    <mergeCell ref="HNM36:HNN36"/>
    <mergeCell ref="HNO36:HNP36"/>
    <mergeCell ref="HNQ36:HNR36"/>
    <mergeCell ref="HNS36:HNT36"/>
    <mergeCell ref="HNU36:HNV36"/>
    <mergeCell ref="HNW36:HNX36"/>
    <mergeCell ref="HNA36:HNB36"/>
    <mergeCell ref="HNC36:HND36"/>
    <mergeCell ref="HNE36:HNF36"/>
    <mergeCell ref="HNG36:HNH36"/>
    <mergeCell ref="HNI36:HNJ36"/>
    <mergeCell ref="HNK36:HNL36"/>
    <mergeCell ref="HMO36:HMP36"/>
    <mergeCell ref="HMQ36:HMR36"/>
    <mergeCell ref="HMS36:HMT36"/>
    <mergeCell ref="HMU36:HMV36"/>
    <mergeCell ref="HMW36:HMX36"/>
    <mergeCell ref="HMY36:HMZ36"/>
    <mergeCell ref="HMC36:HMD36"/>
    <mergeCell ref="HME36:HMF36"/>
    <mergeCell ref="HMG36:HMH36"/>
    <mergeCell ref="HMI36:HMJ36"/>
    <mergeCell ref="HMK36:HML36"/>
    <mergeCell ref="HMM36:HMN36"/>
    <mergeCell ref="HLQ36:HLR36"/>
    <mergeCell ref="HLS36:HLT36"/>
    <mergeCell ref="HLU36:HLV36"/>
    <mergeCell ref="HLW36:HLX36"/>
    <mergeCell ref="HLY36:HLZ36"/>
    <mergeCell ref="HMA36:HMB36"/>
    <mergeCell ref="HQS36:HQT36"/>
    <mergeCell ref="HQU36:HQV36"/>
    <mergeCell ref="HQW36:HQX36"/>
    <mergeCell ref="HQY36:HQZ36"/>
    <mergeCell ref="HRA36:HRB36"/>
    <mergeCell ref="HRC36:HRD36"/>
    <mergeCell ref="HQG36:HQH36"/>
    <mergeCell ref="HQI36:HQJ36"/>
    <mergeCell ref="HQK36:HQL36"/>
    <mergeCell ref="HQM36:HQN36"/>
    <mergeCell ref="HQO36:HQP36"/>
    <mergeCell ref="HQQ36:HQR36"/>
    <mergeCell ref="HPU36:HPV36"/>
    <mergeCell ref="HPW36:HPX36"/>
    <mergeCell ref="HPY36:HPZ36"/>
    <mergeCell ref="HQA36:HQB36"/>
    <mergeCell ref="HQC36:HQD36"/>
    <mergeCell ref="HQE36:HQF36"/>
    <mergeCell ref="HPI36:HPJ36"/>
    <mergeCell ref="HPK36:HPL36"/>
    <mergeCell ref="HPM36:HPN36"/>
    <mergeCell ref="HPO36:HPP36"/>
    <mergeCell ref="HPQ36:HPR36"/>
    <mergeCell ref="HPS36:HPT36"/>
    <mergeCell ref="HOW36:HOX36"/>
    <mergeCell ref="HOY36:HOZ36"/>
    <mergeCell ref="HPA36:HPB36"/>
    <mergeCell ref="HPC36:HPD36"/>
    <mergeCell ref="HPE36:HPF36"/>
    <mergeCell ref="HPG36:HPH36"/>
    <mergeCell ref="HOK36:HOL36"/>
    <mergeCell ref="HOM36:HON36"/>
    <mergeCell ref="HOO36:HOP36"/>
    <mergeCell ref="HOQ36:HOR36"/>
    <mergeCell ref="HOS36:HOT36"/>
    <mergeCell ref="HOU36:HOV36"/>
    <mergeCell ref="HTM36:HTN36"/>
    <mergeCell ref="HTO36:HTP36"/>
    <mergeCell ref="HTQ36:HTR36"/>
    <mergeCell ref="HTS36:HTT36"/>
    <mergeCell ref="HTU36:HTV36"/>
    <mergeCell ref="HTW36:HTX36"/>
    <mergeCell ref="HTA36:HTB36"/>
    <mergeCell ref="HTC36:HTD36"/>
    <mergeCell ref="HTE36:HTF36"/>
    <mergeCell ref="HTG36:HTH36"/>
    <mergeCell ref="HTI36:HTJ36"/>
    <mergeCell ref="HTK36:HTL36"/>
    <mergeCell ref="HSO36:HSP36"/>
    <mergeCell ref="HSQ36:HSR36"/>
    <mergeCell ref="HSS36:HST36"/>
    <mergeCell ref="HSU36:HSV36"/>
    <mergeCell ref="HSW36:HSX36"/>
    <mergeCell ref="HSY36:HSZ36"/>
    <mergeCell ref="HSC36:HSD36"/>
    <mergeCell ref="HSE36:HSF36"/>
    <mergeCell ref="HSG36:HSH36"/>
    <mergeCell ref="HSI36:HSJ36"/>
    <mergeCell ref="HSK36:HSL36"/>
    <mergeCell ref="HSM36:HSN36"/>
    <mergeCell ref="HRQ36:HRR36"/>
    <mergeCell ref="HRS36:HRT36"/>
    <mergeCell ref="HRU36:HRV36"/>
    <mergeCell ref="HRW36:HRX36"/>
    <mergeCell ref="HRY36:HRZ36"/>
    <mergeCell ref="HSA36:HSB36"/>
    <mergeCell ref="HRE36:HRF36"/>
    <mergeCell ref="HRG36:HRH36"/>
    <mergeCell ref="HRI36:HRJ36"/>
    <mergeCell ref="HRK36:HRL36"/>
    <mergeCell ref="HRM36:HRN36"/>
    <mergeCell ref="HRO36:HRP36"/>
    <mergeCell ref="HWG36:HWH36"/>
    <mergeCell ref="HWI36:HWJ36"/>
    <mergeCell ref="HWK36:HWL36"/>
    <mergeCell ref="HWM36:HWN36"/>
    <mergeCell ref="HWO36:HWP36"/>
    <mergeCell ref="HWQ36:HWR36"/>
    <mergeCell ref="HVU36:HVV36"/>
    <mergeCell ref="HVW36:HVX36"/>
    <mergeCell ref="HVY36:HVZ36"/>
    <mergeCell ref="HWA36:HWB36"/>
    <mergeCell ref="HWC36:HWD36"/>
    <mergeCell ref="HWE36:HWF36"/>
    <mergeCell ref="HVI36:HVJ36"/>
    <mergeCell ref="HVK36:HVL36"/>
    <mergeCell ref="HVM36:HVN36"/>
    <mergeCell ref="HVO36:HVP36"/>
    <mergeCell ref="HVQ36:HVR36"/>
    <mergeCell ref="HVS36:HVT36"/>
    <mergeCell ref="HUW36:HUX36"/>
    <mergeCell ref="HUY36:HUZ36"/>
    <mergeCell ref="HVA36:HVB36"/>
    <mergeCell ref="HVC36:HVD36"/>
    <mergeCell ref="HVE36:HVF36"/>
    <mergeCell ref="HVG36:HVH36"/>
    <mergeCell ref="HUK36:HUL36"/>
    <mergeCell ref="HUM36:HUN36"/>
    <mergeCell ref="HUO36:HUP36"/>
    <mergeCell ref="HUQ36:HUR36"/>
    <mergeCell ref="HUS36:HUT36"/>
    <mergeCell ref="HUU36:HUV36"/>
    <mergeCell ref="HTY36:HTZ36"/>
    <mergeCell ref="HUA36:HUB36"/>
    <mergeCell ref="HUC36:HUD36"/>
    <mergeCell ref="HUE36:HUF36"/>
    <mergeCell ref="HUG36:HUH36"/>
    <mergeCell ref="HUI36:HUJ36"/>
    <mergeCell ref="HZA36:HZB36"/>
    <mergeCell ref="HZC36:HZD36"/>
    <mergeCell ref="HZE36:HZF36"/>
    <mergeCell ref="HZG36:HZH36"/>
    <mergeCell ref="HZI36:HZJ36"/>
    <mergeCell ref="HZK36:HZL36"/>
    <mergeCell ref="HYO36:HYP36"/>
    <mergeCell ref="HYQ36:HYR36"/>
    <mergeCell ref="HYS36:HYT36"/>
    <mergeCell ref="HYU36:HYV36"/>
    <mergeCell ref="HYW36:HYX36"/>
    <mergeCell ref="HYY36:HYZ36"/>
    <mergeCell ref="HYC36:HYD36"/>
    <mergeCell ref="HYE36:HYF36"/>
    <mergeCell ref="HYG36:HYH36"/>
    <mergeCell ref="HYI36:HYJ36"/>
    <mergeCell ref="HYK36:HYL36"/>
    <mergeCell ref="HYM36:HYN36"/>
    <mergeCell ref="HXQ36:HXR36"/>
    <mergeCell ref="HXS36:HXT36"/>
    <mergeCell ref="HXU36:HXV36"/>
    <mergeCell ref="HXW36:HXX36"/>
    <mergeCell ref="HXY36:HXZ36"/>
    <mergeCell ref="HYA36:HYB36"/>
    <mergeCell ref="HXE36:HXF36"/>
    <mergeCell ref="HXG36:HXH36"/>
    <mergeCell ref="HXI36:HXJ36"/>
    <mergeCell ref="HXK36:HXL36"/>
    <mergeCell ref="HXM36:HXN36"/>
    <mergeCell ref="HXO36:HXP36"/>
    <mergeCell ref="HWS36:HWT36"/>
    <mergeCell ref="HWU36:HWV36"/>
    <mergeCell ref="HWW36:HWX36"/>
    <mergeCell ref="HWY36:HWZ36"/>
    <mergeCell ref="HXA36:HXB36"/>
    <mergeCell ref="HXC36:HXD36"/>
    <mergeCell ref="IBU36:IBV36"/>
    <mergeCell ref="IBW36:IBX36"/>
    <mergeCell ref="IBY36:IBZ36"/>
    <mergeCell ref="ICA36:ICB36"/>
    <mergeCell ref="ICC36:ICD36"/>
    <mergeCell ref="ICE36:ICF36"/>
    <mergeCell ref="IBI36:IBJ36"/>
    <mergeCell ref="IBK36:IBL36"/>
    <mergeCell ref="IBM36:IBN36"/>
    <mergeCell ref="IBO36:IBP36"/>
    <mergeCell ref="IBQ36:IBR36"/>
    <mergeCell ref="IBS36:IBT36"/>
    <mergeCell ref="IAW36:IAX36"/>
    <mergeCell ref="IAY36:IAZ36"/>
    <mergeCell ref="IBA36:IBB36"/>
    <mergeCell ref="IBC36:IBD36"/>
    <mergeCell ref="IBE36:IBF36"/>
    <mergeCell ref="IBG36:IBH36"/>
    <mergeCell ref="IAK36:IAL36"/>
    <mergeCell ref="IAM36:IAN36"/>
    <mergeCell ref="IAO36:IAP36"/>
    <mergeCell ref="IAQ36:IAR36"/>
    <mergeCell ref="IAS36:IAT36"/>
    <mergeCell ref="IAU36:IAV36"/>
    <mergeCell ref="HZY36:HZZ36"/>
    <mergeCell ref="IAA36:IAB36"/>
    <mergeCell ref="IAC36:IAD36"/>
    <mergeCell ref="IAE36:IAF36"/>
    <mergeCell ref="IAG36:IAH36"/>
    <mergeCell ref="IAI36:IAJ36"/>
    <mergeCell ref="HZM36:HZN36"/>
    <mergeCell ref="HZO36:HZP36"/>
    <mergeCell ref="HZQ36:HZR36"/>
    <mergeCell ref="HZS36:HZT36"/>
    <mergeCell ref="HZU36:HZV36"/>
    <mergeCell ref="HZW36:HZX36"/>
    <mergeCell ref="IEO36:IEP36"/>
    <mergeCell ref="IEQ36:IER36"/>
    <mergeCell ref="IES36:IET36"/>
    <mergeCell ref="IEU36:IEV36"/>
    <mergeCell ref="IEW36:IEX36"/>
    <mergeCell ref="IEY36:IEZ36"/>
    <mergeCell ref="IEC36:IED36"/>
    <mergeCell ref="IEE36:IEF36"/>
    <mergeCell ref="IEG36:IEH36"/>
    <mergeCell ref="IEI36:IEJ36"/>
    <mergeCell ref="IEK36:IEL36"/>
    <mergeCell ref="IEM36:IEN36"/>
    <mergeCell ref="IDQ36:IDR36"/>
    <mergeCell ref="IDS36:IDT36"/>
    <mergeCell ref="IDU36:IDV36"/>
    <mergeCell ref="IDW36:IDX36"/>
    <mergeCell ref="IDY36:IDZ36"/>
    <mergeCell ref="IEA36:IEB36"/>
    <mergeCell ref="IDE36:IDF36"/>
    <mergeCell ref="IDG36:IDH36"/>
    <mergeCell ref="IDI36:IDJ36"/>
    <mergeCell ref="IDK36:IDL36"/>
    <mergeCell ref="IDM36:IDN36"/>
    <mergeCell ref="IDO36:IDP36"/>
    <mergeCell ref="ICS36:ICT36"/>
    <mergeCell ref="ICU36:ICV36"/>
    <mergeCell ref="ICW36:ICX36"/>
    <mergeCell ref="ICY36:ICZ36"/>
    <mergeCell ref="IDA36:IDB36"/>
    <mergeCell ref="IDC36:IDD36"/>
    <mergeCell ref="ICG36:ICH36"/>
    <mergeCell ref="ICI36:ICJ36"/>
    <mergeCell ref="ICK36:ICL36"/>
    <mergeCell ref="ICM36:ICN36"/>
    <mergeCell ref="ICO36:ICP36"/>
    <mergeCell ref="ICQ36:ICR36"/>
    <mergeCell ref="IHI36:IHJ36"/>
    <mergeCell ref="IHK36:IHL36"/>
    <mergeCell ref="IHM36:IHN36"/>
    <mergeCell ref="IHO36:IHP36"/>
    <mergeCell ref="IHQ36:IHR36"/>
    <mergeCell ref="IHS36:IHT36"/>
    <mergeCell ref="IGW36:IGX36"/>
    <mergeCell ref="IGY36:IGZ36"/>
    <mergeCell ref="IHA36:IHB36"/>
    <mergeCell ref="IHC36:IHD36"/>
    <mergeCell ref="IHE36:IHF36"/>
    <mergeCell ref="IHG36:IHH36"/>
    <mergeCell ref="IGK36:IGL36"/>
    <mergeCell ref="IGM36:IGN36"/>
    <mergeCell ref="IGO36:IGP36"/>
    <mergeCell ref="IGQ36:IGR36"/>
    <mergeCell ref="IGS36:IGT36"/>
    <mergeCell ref="IGU36:IGV36"/>
    <mergeCell ref="IFY36:IFZ36"/>
    <mergeCell ref="IGA36:IGB36"/>
    <mergeCell ref="IGC36:IGD36"/>
    <mergeCell ref="IGE36:IGF36"/>
    <mergeCell ref="IGG36:IGH36"/>
    <mergeCell ref="IGI36:IGJ36"/>
    <mergeCell ref="IFM36:IFN36"/>
    <mergeCell ref="IFO36:IFP36"/>
    <mergeCell ref="IFQ36:IFR36"/>
    <mergeCell ref="IFS36:IFT36"/>
    <mergeCell ref="IFU36:IFV36"/>
    <mergeCell ref="IFW36:IFX36"/>
    <mergeCell ref="IFA36:IFB36"/>
    <mergeCell ref="IFC36:IFD36"/>
    <mergeCell ref="IFE36:IFF36"/>
    <mergeCell ref="IFG36:IFH36"/>
    <mergeCell ref="IFI36:IFJ36"/>
    <mergeCell ref="IFK36:IFL36"/>
    <mergeCell ref="IKC36:IKD36"/>
    <mergeCell ref="IKE36:IKF36"/>
    <mergeCell ref="IKG36:IKH36"/>
    <mergeCell ref="IKI36:IKJ36"/>
    <mergeCell ref="IKK36:IKL36"/>
    <mergeCell ref="IKM36:IKN36"/>
    <mergeCell ref="IJQ36:IJR36"/>
    <mergeCell ref="IJS36:IJT36"/>
    <mergeCell ref="IJU36:IJV36"/>
    <mergeCell ref="IJW36:IJX36"/>
    <mergeCell ref="IJY36:IJZ36"/>
    <mergeCell ref="IKA36:IKB36"/>
    <mergeCell ref="IJE36:IJF36"/>
    <mergeCell ref="IJG36:IJH36"/>
    <mergeCell ref="IJI36:IJJ36"/>
    <mergeCell ref="IJK36:IJL36"/>
    <mergeCell ref="IJM36:IJN36"/>
    <mergeCell ref="IJO36:IJP36"/>
    <mergeCell ref="IIS36:IIT36"/>
    <mergeCell ref="IIU36:IIV36"/>
    <mergeCell ref="IIW36:IIX36"/>
    <mergeCell ref="IIY36:IIZ36"/>
    <mergeCell ref="IJA36:IJB36"/>
    <mergeCell ref="IJC36:IJD36"/>
    <mergeCell ref="IIG36:IIH36"/>
    <mergeCell ref="III36:IIJ36"/>
    <mergeCell ref="IIK36:IIL36"/>
    <mergeCell ref="IIM36:IIN36"/>
    <mergeCell ref="IIO36:IIP36"/>
    <mergeCell ref="IIQ36:IIR36"/>
    <mergeCell ref="IHU36:IHV36"/>
    <mergeCell ref="IHW36:IHX36"/>
    <mergeCell ref="IHY36:IHZ36"/>
    <mergeCell ref="IIA36:IIB36"/>
    <mergeCell ref="IIC36:IID36"/>
    <mergeCell ref="IIE36:IIF36"/>
    <mergeCell ref="IMW36:IMX36"/>
    <mergeCell ref="IMY36:IMZ36"/>
    <mergeCell ref="INA36:INB36"/>
    <mergeCell ref="INC36:IND36"/>
    <mergeCell ref="INE36:INF36"/>
    <mergeCell ref="ING36:INH36"/>
    <mergeCell ref="IMK36:IML36"/>
    <mergeCell ref="IMM36:IMN36"/>
    <mergeCell ref="IMO36:IMP36"/>
    <mergeCell ref="IMQ36:IMR36"/>
    <mergeCell ref="IMS36:IMT36"/>
    <mergeCell ref="IMU36:IMV36"/>
    <mergeCell ref="ILY36:ILZ36"/>
    <mergeCell ref="IMA36:IMB36"/>
    <mergeCell ref="IMC36:IMD36"/>
    <mergeCell ref="IME36:IMF36"/>
    <mergeCell ref="IMG36:IMH36"/>
    <mergeCell ref="IMI36:IMJ36"/>
    <mergeCell ref="ILM36:ILN36"/>
    <mergeCell ref="ILO36:ILP36"/>
    <mergeCell ref="ILQ36:ILR36"/>
    <mergeCell ref="ILS36:ILT36"/>
    <mergeCell ref="ILU36:ILV36"/>
    <mergeCell ref="ILW36:ILX36"/>
    <mergeCell ref="ILA36:ILB36"/>
    <mergeCell ref="ILC36:ILD36"/>
    <mergeCell ref="ILE36:ILF36"/>
    <mergeCell ref="ILG36:ILH36"/>
    <mergeCell ref="ILI36:ILJ36"/>
    <mergeCell ref="ILK36:ILL36"/>
    <mergeCell ref="IKO36:IKP36"/>
    <mergeCell ref="IKQ36:IKR36"/>
    <mergeCell ref="IKS36:IKT36"/>
    <mergeCell ref="IKU36:IKV36"/>
    <mergeCell ref="IKW36:IKX36"/>
    <mergeCell ref="IKY36:IKZ36"/>
    <mergeCell ref="IPQ36:IPR36"/>
    <mergeCell ref="IPS36:IPT36"/>
    <mergeCell ref="IPU36:IPV36"/>
    <mergeCell ref="IPW36:IPX36"/>
    <mergeCell ref="IPY36:IPZ36"/>
    <mergeCell ref="IQA36:IQB36"/>
    <mergeCell ref="IPE36:IPF36"/>
    <mergeCell ref="IPG36:IPH36"/>
    <mergeCell ref="IPI36:IPJ36"/>
    <mergeCell ref="IPK36:IPL36"/>
    <mergeCell ref="IPM36:IPN36"/>
    <mergeCell ref="IPO36:IPP36"/>
    <mergeCell ref="IOS36:IOT36"/>
    <mergeCell ref="IOU36:IOV36"/>
    <mergeCell ref="IOW36:IOX36"/>
    <mergeCell ref="IOY36:IOZ36"/>
    <mergeCell ref="IPA36:IPB36"/>
    <mergeCell ref="IPC36:IPD36"/>
    <mergeCell ref="IOG36:IOH36"/>
    <mergeCell ref="IOI36:IOJ36"/>
    <mergeCell ref="IOK36:IOL36"/>
    <mergeCell ref="IOM36:ION36"/>
    <mergeCell ref="IOO36:IOP36"/>
    <mergeCell ref="IOQ36:IOR36"/>
    <mergeCell ref="INU36:INV36"/>
    <mergeCell ref="INW36:INX36"/>
    <mergeCell ref="INY36:INZ36"/>
    <mergeCell ref="IOA36:IOB36"/>
    <mergeCell ref="IOC36:IOD36"/>
    <mergeCell ref="IOE36:IOF36"/>
    <mergeCell ref="INI36:INJ36"/>
    <mergeCell ref="INK36:INL36"/>
    <mergeCell ref="INM36:INN36"/>
    <mergeCell ref="INO36:INP36"/>
    <mergeCell ref="INQ36:INR36"/>
    <mergeCell ref="INS36:INT36"/>
    <mergeCell ref="ISK36:ISL36"/>
    <mergeCell ref="ISM36:ISN36"/>
    <mergeCell ref="ISO36:ISP36"/>
    <mergeCell ref="ISQ36:ISR36"/>
    <mergeCell ref="ISS36:IST36"/>
    <mergeCell ref="ISU36:ISV36"/>
    <mergeCell ref="IRY36:IRZ36"/>
    <mergeCell ref="ISA36:ISB36"/>
    <mergeCell ref="ISC36:ISD36"/>
    <mergeCell ref="ISE36:ISF36"/>
    <mergeCell ref="ISG36:ISH36"/>
    <mergeCell ref="ISI36:ISJ36"/>
    <mergeCell ref="IRM36:IRN36"/>
    <mergeCell ref="IRO36:IRP36"/>
    <mergeCell ref="IRQ36:IRR36"/>
    <mergeCell ref="IRS36:IRT36"/>
    <mergeCell ref="IRU36:IRV36"/>
    <mergeCell ref="IRW36:IRX36"/>
    <mergeCell ref="IRA36:IRB36"/>
    <mergeCell ref="IRC36:IRD36"/>
    <mergeCell ref="IRE36:IRF36"/>
    <mergeCell ref="IRG36:IRH36"/>
    <mergeCell ref="IRI36:IRJ36"/>
    <mergeCell ref="IRK36:IRL36"/>
    <mergeCell ref="IQO36:IQP36"/>
    <mergeCell ref="IQQ36:IQR36"/>
    <mergeCell ref="IQS36:IQT36"/>
    <mergeCell ref="IQU36:IQV36"/>
    <mergeCell ref="IQW36:IQX36"/>
    <mergeCell ref="IQY36:IQZ36"/>
    <mergeCell ref="IQC36:IQD36"/>
    <mergeCell ref="IQE36:IQF36"/>
    <mergeCell ref="IQG36:IQH36"/>
    <mergeCell ref="IQI36:IQJ36"/>
    <mergeCell ref="IQK36:IQL36"/>
    <mergeCell ref="IQM36:IQN36"/>
    <mergeCell ref="IVE36:IVF36"/>
    <mergeCell ref="IVG36:IVH36"/>
    <mergeCell ref="IVI36:IVJ36"/>
    <mergeCell ref="IVK36:IVL36"/>
    <mergeCell ref="IVM36:IVN36"/>
    <mergeCell ref="IVO36:IVP36"/>
    <mergeCell ref="IUS36:IUT36"/>
    <mergeCell ref="IUU36:IUV36"/>
    <mergeCell ref="IUW36:IUX36"/>
    <mergeCell ref="IUY36:IUZ36"/>
    <mergeCell ref="IVA36:IVB36"/>
    <mergeCell ref="IVC36:IVD36"/>
    <mergeCell ref="IUG36:IUH36"/>
    <mergeCell ref="IUI36:IUJ36"/>
    <mergeCell ref="IUK36:IUL36"/>
    <mergeCell ref="IUM36:IUN36"/>
    <mergeCell ref="IUO36:IUP36"/>
    <mergeCell ref="IUQ36:IUR36"/>
    <mergeCell ref="ITU36:ITV36"/>
    <mergeCell ref="ITW36:ITX36"/>
    <mergeCell ref="ITY36:ITZ36"/>
    <mergeCell ref="IUA36:IUB36"/>
    <mergeCell ref="IUC36:IUD36"/>
    <mergeCell ref="IUE36:IUF36"/>
    <mergeCell ref="ITI36:ITJ36"/>
    <mergeCell ref="ITK36:ITL36"/>
    <mergeCell ref="ITM36:ITN36"/>
    <mergeCell ref="ITO36:ITP36"/>
    <mergeCell ref="ITQ36:ITR36"/>
    <mergeCell ref="ITS36:ITT36"/>
    <mergeCell ref="ISW36:ISX36"/>
    <mergeCell ref="ISY36:ISZ36"/>
    <mergeCell ref="ITA36:ITB36"/>
    <mergeCell ref="ITC36:ITD36"/>
    <mergeCell ref="ITE36:ITF36"/>
    <mergeCell ref="ITG36:ITH36"/>
    <mergeCell ref="IXY36:IXZ36"/>
    <mergeCell ref="IYA36:IYB36"/>
    <mergeCell ref="IYC36:IYD36"/>
    <mergeCell ref="IYE36:IYF36"/>
    <mergeCell ref="IYG36:IYH36"/>
    <mergeCell ref="IYI36:IYJ36"/>
    <mergeCell ref="IXM36:IXN36"/>
    <mergeCell ref="IXO36:IXP36"/>
    <mergeCell ref="IXQ36:IXR36"/>
    <mergeCell ref="IXS36:IXT36"/>
    <mergeCell ref="IXU36:IXV36"/>
    <mergeCell ref="IXW36:IXX36"/>
    <mergeCell ref="IXA36:IXB36"/>
    <mergeCell ref="IXC36:IXD36"/>
    <mergeCell ref="IXE36:IXF36"/>
    <mergeCell ref="IXG36:IXH36"/>
    <mergeCell ref="IXI36:IXJ36"/>
    <mergeCell ref="IXK36:IXL36"/>
    <mergeCell ref="IWO36:IWP36"/>
    <mergeCell ref="IWQ36:IWR36"/>
    <mergeCell ref="IWS36:IWT36"/>
    <mergeCell ref="IWU36:IWV36"/>
    <mergeCell ref="IWW36:IWX36"/>
    <mergeCell ref="IWY36:IWZ36"/>
    <mergeCell ref="IWC36:IWD36"/>
    <mergeCell ref="IWE36:IWF36"/>
    <mergeCell ref="IWG36:IWH36"/>
    <mergeCell ref="IWI36:IWJ36"/>
    <mergeCell ref="IWK36:IWL36"/>
    <mergeCell ref="IWM36:IWN36"/>
    <mergeCell ref="IVQ36:IVR36"/>
    <mergeCell ref="IVS36:IVT36"/>
    <mergeCell ref="IVU36:IVV36"/>
    <mergeCell ref="IVW36:IVX36"/>
    <mergeCell ref="IVY36:IVZ36"/>
    <mergeCell ref="IWA36:IWB36"/>
    <mergeCell ref="JAS36:JAT36"/>
    <mergeCell ref="JAU36:JAV36"/>
    <mergeCell ref="JAW36:JAX36"/>
    <mergeCell ref="JAY36:JAZ36"/>
    <mergeCell ref="JBA36:JBB36"/>
    <mergeCell ref="JBC36:JBD36"/>
    <mergeCell ref="JAG36:JAH36"/>
    <mergeCell ref="JAI36:JAJ36"/>
    <mergeCell ref="JAK36:JAL36"/>
    <mergeCell ref="JAM36:JAN36"/>
    <mergeCell ref="JAO36:JAP36"/>
    <mergeCell ref="JAQ36:JAR36"/>
    <mergeCell ref="IZU36:IZV36"/>
    <mergeCell ref="IZW36:IZX36"/>
    <mergeCell ref="IZY36:IZZ36"/>
    <mergeCell ref="JAA36:JAB36"/>
    <mergeCell ref="JAC36:JAD36"/>
    <mergeCell ref="JAE36:JAF36"/>
    <mergeCell ref="IZI36:IZJ36"/>
    <mergeCell ref="IZK36:IZL36"/>
    <mergeCell ref="IZM36:IZN36"/>
    <mergeCell ref="IZO36:IZP36"/>
    <mergeCell ref="IZQ36:IZR36"/>
    <mergeCell ref="IZS36:IZT36"/>
    <mergeCell ref="IYW36:IYX36"/>
    <mergeCell ref="IYY36:IYZ36"/>
    <mergeCell ref="IZA36:IZB36"/>
    <mergeCell ref="IZC36:IZD36"/>
    <mergeCell ref="IZE36:IZF36"/>
    <mergeCell ref="IZG36:IZH36"/>
    <mergeCell ref="IYK36:IYL36"/>
    <mergeCell ref="IYM36:IYN36"/>
    <mergeCell ref="IYO36:IYP36"/>
    <mergeCell ref="IYQ36:IYR36"/>
    <mergeCell ref="IYS36:IYT36"/>
    <mergeCell ref="IYU36:IYV36"/>
    <mergeCell ref="JDM36:JDN36"/>
    <mergeCell ref="JDO36:JDP36"/>
    <mergeCell ref="JDQ36:JDR36"/>
    <mergeCell ref="JDS36:JDT36"/>
    <mergeCell ref="JDU36:JDV36"/>
    <mergeCell ref="JDW36:JDX36"/>
    <mergeCell ref="JDA36:JDB36"/>
    <mergeCell ref="JDC36:JDD36"/>
    <mergeCell ref="JDE36:JDF36"/>
    <mergeCell ref="JDG36:JDH36"/>
    <mergeCell ref="JDI36:JDJ36"/>
    <mergeCell ref="JDK36:JDL36"/>
    <mergeCell ref="JCO36:JCP36"/>
    <mergeCell ref="JCQ36:JCR36"/>
    <mergeCell ref="JCS36:JCT36"/>
    <mergeCell ref="JCU36:JCV36"/>
    <mergeCell ref="JCW36:JCX36"/>
    <mergeCell ref="JCY36:JCZ36"/>
    <mergeCell ref="JCC36:JCD36"/>
    <mergeCell ref="JCE36:JCF36"/>
    <mergeCell ref="JCG36:JCH36"/>
    <mergeCell ref="JCI36:JCJ36"/>
    <mergeCell ref="JCK36:JCL36"/>
    <mergeCell ref="JCM36:JCN36"/>
    <mergeCell ref="JBQ36:JBR36"/>
    <mergeCell ref="JBS36:JBT36"/>
    <mergeCell ref="JBU36:JBV36"/>
    <mergeCell ref="JBW36:JBX36"/>
    <mergeCell ref="JBY36:JBZ36"/>
    <mergeCell ref="JCA36:JCB36"/>
    <mergeCell ref="JBE36:JBF36"/>
    <mergeCell ref="JBG36:JBH36"/>
    <mergeCell ref="JBI36:JBJ36"/>
    <mergeCell ref="JBK36:JBL36"/>
    <mergeCell ref="JBM36:JBN36"/>
    <mergeCell ref="JBO36:JBP36"/>
    <mergeCell ref="JGG36:JGH36"/>
    <mergeCell ref="JGI36:JGJ36"/>
    <mergeCell ref="JGK36:JGL36"/>
    <mergeCell ref="JGM36:JGN36"/>
    <mergeCell ref="JGO36:JGP36"/>
    <mergeCell ref="JGQ36:JGR36"/>
    <mergeCell ref="JFU36:JFV36"/>
    <mergeCell ref="JFW36:JFX36"/>
    <mergeCell ref="JFY36:JFZ36"/>
    <mergeCell ref="JGA36:JGB36"/>
    <mergeCell ref="JGC36:JGD36"/>
    <mergeCell ref="JGE36:JGF36"/>
    <mergeCell ref="JFI36:JFJ36"/>
    <mergeCell ref="JFK36:JFL36"/>
    <mergeCell ref="JFM36:JFN36"/>
    <mergeCell ref="JFO36:JFP36"/>
    <mergeCell ref="JFQ36:JFR36"/>
    <mergeCell ref="JFS36:JFT36"/>
    <mergeCell ref="JEW36:JEX36"/>
    <mergeCell ref="JEY36:JEZ36"/>
    <mergeCell ref="JFA36:JFB36"/>
    <mergeCell ref="JFC36:JFD36"/>
    <mergeCell ref="JFE36:JFF36"/>
    <mergeCell ref="JFG36:JFH36"/>
    <mergeCell ref="JEK36:JEL36"/>
    <mergeCell ref="JEM36:JEN36"/>
    <mergeCell ref="JEO36:JEP36"/>
    <mergeCell ref="JEQ36:JER36"/>
    <mergeCell ref="JES36:JET36"/>
    <mergeCell ref="JEU36:JEV36"/>
    <mergeCell ref="JDY36:JDZ36"/>
    <mergeCell ref="JEA36:JEB36"/>
    <mergeCell ref="JEC36:JED36"/>
    <mergeCell ref="JEE36:JEF36"/>
    <mergeCell ref="JEG36:JEH36"/>
    <mergeCell ref="JEI36:JEJ36"/>
    <mergeCell ref="JJA36:JJB36"/>
    <mergeCell ref="JJC36:JJD36"/>
    <mergeCell ref="JJE36:JJF36"/>
    <mergeCell ref="JJG36:JJH36"/>
    <mergeCell ref="JJI36:JJJ36"/>
    <mergeCell ref="JJK36:JJL36"/>
    <mergeCell ref="JIO36:JIP36"/>
    <mergeCell ref="JIQ36:JIR36"/>
    <mergeCell ref="JIS36:JIT36"/>
    <mergeCell ref="JIU36:JIV36"/>
    <mergeCell ref="JIW36:JIX36"/>
    <mergeCell ref="JIY36:JIZ36"/>
    <mergeCell ref="JIC36:JID36"/>
    <mergeCell ref="JIE36:JIF36"/>
    <mergeCell ref="JIG36:JIH36"/>
    <mergeCell ref="JII36:JIJ36"/>
    <mergeCell ref="JIK36:JIL36"/>
    <mergeCell ref="JIM36:JIN36"/>
    <mergeCell ref="JHQ36:JHR36"/>
    <mergeCell ref="JHS36:JHT36"/>
    <mergeCell ref="JHU36:JHV36"/>
    <mergeCell ref="JHW36:JHX36"/>
    <mergeCell ref="JHY36:JHZ36"/>
    <mergeCell ref="JIA36:JIB36"/>
    <mergeCell ref="JHE36:JHF36"/>
    <mergeCell ref="JHG36:JHH36"/>
    <mergeCell ref="JHI36:JHJ36"/>
    <mergeCell ref="JHK36:JHL36"/>
    <mergeCell ref="JHM36:JHN36"/>
    <mergeCell ref="JHO36:JHP36"/>
    <mergeCell ref="JGS36:JGT36"/>
    <mergeCell ref="JGU36:JGV36"/>
    <mergeCell ref="JGW36:JGX36"/>
    <mergeCell ref="JGY36:JGZ36"/>
    <mergeCell ref="JHA36:JHB36"/>
    <mergeCell ref="JHC36:JHD36"/>
    <mergeCell ref="JLU36:JLV36"/>
    <mergeCell ref="JLW36:JLX36"/>
    <mergeCell ref="JLY36:JLZ36"/>
    <mergeCell ref="JMA36:JMB36"/>
    <mergeCell ref="JMC36:JMD36"/>
    <mergeCell ref="JME36:JMF36"/>
    <mergeCell ref="JLI36:JLJ36"/>
    <mergeCell ref="JLK36:JLL36"/>
    <mergeCell ref="JLM36:JLN36"/>
    <mergeCell ref="JLO36:JLP36"/>
    <mergeCell ref="JLQ36:JLR36"/>
    <mergeCell ref="JLS36:JLT36"/>
    <mergeCell ref="JKW36:JKX36"/>
    <mergeCell ref="JKY36:JKZ36"/>
    <mergeCell ref="JLA36:JLB36"/>
    <mergeCell ref="JLC36:JLD36"/>
    <mergeCell ref="JLE36:JLF36"/>
    <mergeCell ref="JLG36:JLH36"/>
    <mergeCell ref="JKK36:JKL36"/>
    <mergeCell ref="JKM36:JKN36"/>
    <mergeCell ref="JKO36:JKP36"/>
    <mergeCell ref="JKQ36:JKR36"/>
    <mergeCell ref="JKS36:JKT36"/>
    <mergeCell ref="JKU36:JKV36"/>
    <mergeCell ref="JJY36:JJZ36"/>
    <mergeCell ref="JKA36:JKB36"/>
    <mergeCell ref="JKC36:JKD36"/>
    <mergeCell ref="JKE36:JKF36"/>
    <mergeCell ref="JKG36:JKH36"/>
    <mergeCell ref="JKI36:JKJ36"/>
    <mergeCell ref="JJM36:JJN36"/>
    <mergeCell ref="JJO36:JJP36"/>
    <mergeCell ref="JJQ36:JJR36"/>
    <mergeCell ref="JJS36:JJT36"/>
    <mergeCell ref="JJU36:JJV36"/>
    <mergeCell ref="JJW36:JJX36"/>
    <mergeCell ref="JOO36:JOP36"/>
    <mergeCell ref="JOQ36:JOR36"/>
    <mergeCell ref="JOS36:JOT36"/>
    <mergeCell ref="JOU36:JOV36"/>
    <mergeCell ref="JOW36:JOX36"/>
    <mergeCell ref="JOY36:JOZ36"/>
    <mergeCell ref="JOC36:JOD36"/>
    <mergeCell ref="JOE36:JOF36"/>
    <mergeCell ref="JOG36:JOH36"/>
    <mergeCell ref="JOI36:JOJ36"/>
    <mergeCell ref="JOK36:JOL36"/>
    <mergeCell ref="JOM36:JON36"/>
    <mergeCell ref="JNQ36:JNR36"/>
    <mergeCell ref="JNS36:JNT36"/>
    <mergeCell ref="JNU36:JNV36"/>
    <mergeCell ref="JNW36:JNX36"/>
    <mergeCell ref="JNY36:JNZ36"/>
    <mergeCell ref="JOA36:JOB36"/>
    <mergeCell ref="JNE36:JNF36"/>
    <mergeCell ref="JNG36:JNH36"/>
    <mergeCell ref="JNI36:JNJ36"/>
    <mergeCell ref="JNK36:JNL36"/>
    <mergeCell ref="JNM36:JNN36"/>
    <mergeCell ref="JNO36:JNP36"/>
    <mergeCell ref="JMS36:JMT36"/>
    <mergeCell ref="JMU36:JMV36"/>
    <mergeCell ref="JMW36:JMX36"/>
    <mergeCell ref="JMY36:JMZ36"/>
    <mergeCell ref="JNA36:JNB36"/>
    <mergeCell ref="JNC36:JND36"/>
    <mergeCell ref="JMG36:JMH36"/>
    <mergeCell ref="JMI36:JMJ36"/>
    <mergeCell ref="JMK36:JML36"/>
    <mergeCell ref="JMM36:JMN36"/>
    <mergeCell ref="JMO36:JMP36"/>
    <mergeCell ref="JMQ36:JMR36"/>
    <mergeCell ref="JRI36:JRJ36"/>
    <mergeCell ref="JRK36:JRL36"/>
    <mergeCell ref="JRM36:JRN36"/>
    <mergeCell ref="JRO36:JRP36"/>
    <mergeCell ref="JRQ36:JRR36"/>
    <mergeCell ref="JRS36:JRT36"/>
    <mergeCell ref="JQW36:JQX36"/>
    <mergeCell ref="JQY36:JQZ36"/>
    <mergeCell ref="JRA36:JRB36"/>
    <mergeCell ref="JRC36:JRD36"/>
    <mergeCell ref="JRE36:JRF36"/>
    <mergeCell ref="JRG36:JRH36"/>
    <mergeCell ref="JQK36:JQL36"/>
    <mergeCell ref="JQM36:JQN36"/>
    <mergeCell ref="JQO36:JQP36"/>
    <mergeCell ref="JQQ36:JQR36"/>
    <mergeCell ref="JQS36:JQT36"/>
    <mergeCell ref="JQU36:JQV36"/>
    <mergeCell ref="JPY36:JPZ36"/>
    <mergeCell ref="JQA36:JQB36"/>
    <mergeCell ref="JQC36:JQD36"/>
    <mergeCell ref="JQE36:JQF36"/>
    <mergeCell ref="JQG36:JQH36"/>
    <mergeCell ref="JQI36:JQJ36"/>
    <mergeCell ref="JPM36:JPN36"/>
    <mergeCell ref="JPO36:JPP36"/>
    <mergeCell ref="JPQ36:JPR36"/>
    <mergeCell ref="JPS36:JPT36"/>
    <mergeCell ref="JPU36:JPV36"/>
    <mergeCell ref="JPW36:JPX36"/>
    <mergeCell ref="JPA36:JPB36"/>
    <mergeCell ref="JPC36:JPD36"/>
    <mergeCell ref="JPE36:JPF36"/>
    <mergeCell ref="JPG36:JPH36"/>
    <mergeCell ref="JPI36:JPJ36"/>
    <mergeCell ref="JPK36:JPL36"/>
    <mergeCell ref="JUC36:JUD36"/>
    <mergeCell ref="JUE36:JUF36"/>
    <mergeCell ref="JUG36:JUH36"/>
    <mergeCell ref="JUI36:JUJ36"/>
    <mergeCell ref="JUK36:JUL36"/>
    <mergeCell ref="JUM36:JUN36"/>
    <mergeCell ref="JTQ36:JTR36"/>
    <mergeCell ref="JTS36:JTT36"/>
    <mergeCell ref="JTU36:JTV36"/>
    <mergeCell ref="JTW36:JTX36"/>
    <mergeCell ref="JTY36:JTZ36"/>
    <mergeCell ref="JUA36:JUB36"/>
    <mergeCell ref="JTE36:JTF36"/>
    <mergeCell ref="JTG36:JTH36"/>
    <mergeCell ref="JTI36:JTJ36"/>
    <mergeCell ref="JTK36:JTL36"/>
    <mergeCell ref="JTM36:JTN36"/>
    <mergeCell ref="JTO36:JTP36"/>
    <mergeCell ref="JSS36:JST36"/>
    <mergeCell ref="JSU36:JSV36"/>
    <mergeCell ref="JSW36:JSX36"/>
    <mergeCell ref="JSY36:JSZ36"/>
    <mergeCell ref="JTA36:JTB36"/>
    <mergeCell ref="JTC36:JTD36"/>
    <mergeCell ref="JSG36:JSH36"/>
    <mergeCell ref="JSI36:JSJ36"/>
    <mergeCell ref="JSK36:JSL36"/>
    <mergeCell ref="JSM36:JSN36"/>
    <mergeCell ref="JSO36:JSP36"/>
    <mergeCell ref="JSQ36:JSR36"/>
    <mergeCell ref="JRU36:JRV36"/>
    <mergeCell ref="JRW36:JRX36"/>
    <mergeCell ref="JRY36:JRZ36"/>
    <mergeCell ref="JSA36:JSB36"/>
    <mergeCell ref="JSC36:JSD36"/>
    <mergeCell ref="JSE36:JSF36"/>
    <mergeCell ref="JWW36:JWX36"/>
    <mergeCell ref="JWY36:JWZ36"/>
    <mergeCell ref="JXA36:JXB36"/>
    <mergeCell ref="JXC36:JXD36"/>
    <mergeCell ref="JXE36:JXF36"/>
    <mergeCell ref="JXG36:JXH36"/>
    <mergeCell ref="JWK36:JWL36"/>
    <mergeCell ref="JWM36:JWN36"/>
    <mergeCell ref="JWO36:JWP36"/>
    <mergeCell ref="JWQ36:JWR36"/>
    <mergeCell ref="JWS36:JWT36"/>
    <mergeCell ref="JWU36:JWV36"/>
    <mergeCell ref="JVY36:JVZ36"/>
    <mergeCell ref="JWA36:JWB36"/>
    <mergeCell ref="JWC36:JWD36"/>
    <mergeCell ref="JWE36:JWF36"/>
    <mergeCell ref="JWG36:JWH36"/>
    <mergeCell ref="JWI36:JWJ36"/>
    <mergeCell ref="JVM36:JVN36"/>
    <mergeCell ref="JVO36:JVP36"/>
    <mergeCell ref="JVQ36:JVR36"/>
    <mergeCell ref="JVS36:JVT36"/>
    <mergeCell ref="JVU36:JVV36"/>
    <mergeCell ref="JVW36:JVX36"/>
    <mergeCell ref="JVA36:JVB36"/>
    <mergeCell ref="JVC36:JVD36"/>
    <mergeCell ref="JVE36:JVF36"/>
    <mergeCell ref="JVG36:JVH36"/>
    <mergeCell ref="JVI36:JVJ36"/>
    <mergeCell ref="JVK36:JVL36"/>
    <mergeCell ref="JUO36:JUP36"/>
    <mergeCell ref="JUQ36:JUR36"/>
    <mergeCell ref="JUS36:JUT36"/>
    <mergeCell ref="JUU36:JUV36"/>
    <mergeCell ref="JUW36:JUX36"/>
    <mergeCell ref="JUY36:JUZ36"/>
    <mergeCell ref="JZQ36:JZR36"/>
    <mergeCell ref="JZS36:JZT36"/>
    <mergeCell ref="JZU36:JZV36"/>
    <mergeCell ref="JZW36:JZX36"/>
    <mergeCell ref="JZY36:JZZ36"/>
    <mergeCell ref="KAA36:KAB36"/>
    <mergeCell ref="JZE36:JZF36"/>
    <mergeCell ref="JZG36:JZH36"/>
    <mergeCell ref="JZI36:JZJ36"/>
    <mergeCell ref="JZK36:JZL36"/>
    <mergeCell ref="JZM36:JZN36"/>
    <mergeCell ref="JZO36:JZP36"/>
    <mergeCell ref="JYS36:JYT36"/>
    <mergeCell ref="JYU36:JYV36"/>
    <mergeCell ref="JYW36:JYX36"/>
    <mergeCell ref="JYY36:JYZ36"/>
    <mergeCell ref="JZA36:JZB36"/>
    <mergeCell ref="JZC36:JZD36"/>
    <mergeCell ref="JYG36:JYH36"/>
    <mergeCell ref="JYI36:JYJ36"/>
    <mergeCell ref="JYK36:JYL36"/>
    <mergeCell ref="JYM36:JYN36"/>
    <mergeCell ref="JYO36:JYP36"/>
    <mergeCell ref="JYQ36:JYR36"/>
    <mergeCell ref="JXU36:JXV36"/>
    <mergeCell ref="JXW36:JXX36"/>
    <mergeCell ref="JXY36:JXZ36"/>
    <mergeCell ref="JYA36:JYB36"/>
    <mergeCell ref="JYC36:JYD36"/>
    <mergeCell ref="JYE36:JYF36"/>
    <mergeCell ref="JXI36:JXJ36"/>
    <mergeCell ref="JXK36:JXL36"/>
    <mergeCell ref="JXM36:JXN36"/>
    <mergeCell ref="JXO36:JXP36"/>
    <mergeCell ref="JXQ36:JXR36"/>
    <mergeCell ref="JXS36:JXT36"/>
    <mergeCell ref="KCK36:KCL36"/>
    <mergeCell ref="KCM36:KCN36"/>
    <mergeCell ref="KCO36:KCP36"/>
    <mergeCell ref="KCQ36:KCR36"/>
    <mergeCell ref="KCS36:KCT36"/>
    <mergeCell ref="KCU36:KCV36"/>
    <mergeCell ref="KBY36:KBZ36"/>
    <mergeCell ref="KCA36:KCB36"/>
    <mergeCell ref="KCC36:KCD36"/>
    <mergeCell ref="KCE36:KCF36"/>
    <mergeCell ref="KCG36:KCH36"/>
    <mergeCell ref="KCI36:KCJ36"/>
    <mergeCell ref="KBM36:KBN36"/>
    <mergeCell ref="KBO36:KBP36"/>
    <mergeCell ref="KBQ36:KBR36"/>
    <mergeCell ref="KBS36:KBT36"/>
    <mergeCell ref="KBU36:KBV36"/>
    <mergeCell ref="KBW36:KBX36"/>
    <mergeCell ref="KBA36:KBB36"/>
    <mergeCell ref="KBC36:KBD36"/>
    <mergeCell ref="KBE36:KBF36"/>
    <mergeCell ref="KBG36:KBH36"/>
    <mergeCell ref="KBI36:KBJ36"/>
    <mergeCell ref="KBK36:KBL36"/>
    <mergeCell ref="KAO36:KAP36"/>
    <mergeCell ref="KAQ36:KAR36"/>
    <mergeCell ref="KAS36:KAT36"/>
    <mergeCell ref="KAU36:KAV36"/>
    <mergeCell ref="KAW36:KAX36"/>
    <mergeCell ref="KAY36:KAZ36"/>
    <mergeCell ref="KAC36:KAD36"/>
    <mergeCell ref="KAE36:KAF36"/>
    <mergeCell ref="KAG36:KAH36"/>
    <mergeCell ref="KAI36:KAJ36"/>
    <mergeCell ref="KAK36:KAL36"/>
    <mergeCell ref="KAM36:KAN36"/>
    <mergeCell ref="KFE36:KFF36"/>
    <mergeCell ref="KFG36:KFH36"/>
    <mergeCell ref="KFI36:KFJ36"/>
    <mergeCell ref="KFK36:KFL36"/>
    <mergeCell ref="KFM36:KFN36"/>
    <mergeCell ref="KFO36:KFP36"/>
    <mergeCell ref="KES36:KET36"/>
    <mergeCell ref="KEU36:KEV36"/>
    <mergeCell ref="KEW36:KEX36"/>
    <mergeCell ref="KEY36:KEZ36"/>
    <mergeCell ref="KFA36:KFB36"/>
    <mergeCell ref="KFC36:KFD36"/>
    <mergeCell ref="KEG36:KEH36"/>
    <mergeCell ref="KEI36:KEJ36"/>
    <mergeCell ref="KEK36:KEL36"/>
    <mergeCell ref="KEM36:KEN36"/>
    <mergeCell ref="KEO36:KEP36"/>
    <mergeCell ref="KEQ36:KER36"/>
    <mergeCell ref="KDU36:KDV36"/>
    <mergeCell ref="KDW36:KDX36"/>
    <mergeCell ref="KDY36:KDZ36"/>
    <mergeCell ref="KEA36:KEB36"/>
    <mergeCell ref="KEC36:KED36"/>
    <mergeCell ref="KEE36:KEF36"/>
    <mergeCell ref="KDI36:KDJ36"/>
    <mergeCell ref="KDK36:KDL36"/>
    <mergeCell ref="KDM36:KDN36"/>
    <mergeCell ref="KDO36:KDP36"/>
    <mergeCell ref="KDQ36:KDR36"/>
    <mergeCell ref="KDS36:KDT36"/>
    <mergeCell ref="KCW36:KCX36"/>
    <mergeCell ref="KCY36:KCZ36"/>
    <mergeCell ref="KDA36:KDB36"/>
    <mergeCell ref="KDC36:KDD36"/>
    <mergeCell ref="KDE36:KDF36"/>
    <mergeCell ref="KDG36:KDH36"/>
    <mergeCell ref="KHY36:KHZ36"/>
    <mergeCell ref="KIA36:KIB36"/>
    <mergeCell ref="KIC36:KID36"/>
    <mergeCell ref="KIE36:KIF36"/>
    <mergeCell ref="KIG36:KIH36"/>
    <mergeCell ref="KII36:KIJ36"/>
    <mergeCell ref="KHM36:KHN36"/>
    <mergeCell ref="KHO36:KHP36"/>
    <mergeCell ref="KHQ36:KHR36"/>
    <mergeCell ref="KHS36:KHT36"/>
    <mergeCell ref="KHU36:KHV36"/>
    <mergeCell ref="KHW36:KHX36"/>
    <mergeCell ref="KHA36:KHB36"/>
    <mergeCell ref="KHC36:KHD36"/>
    <mergeCell ref="KHE36:KHF36"/>
    <mergeCell ref="KHG36:KHH36"/>
    <mergeCell ref="KHI36:KHJ36"/>
    <mergeCell ref="KHK36:KHL36"/>
    <mergeCell ref="KGO36:KGP36"/>
    <mergeCell ref="KGQ36:KGR36"/>
    <mergeCell ref="KGS36:KGT36"/>
    <mergeCell ref="KGU36:KGV36"/>
    <mergeCell ref="KGW36:KGX36"/>
    <mergeCell ref="KGY36:KGZ36"/>
    <mergeCell ref="KGC36:KGD36"/>
    <mergeCell ref="KGE36:KGF36"/>
    <mergeCell ref="KGG36:KGH36"/>
    <mergeCell ref="KGI36:KGJ36"/>
    <mergeCell ref="KGK36:KGL36"/>
    <mergeCell ref="KGM36:KGN36"/>
    <mergeCell ref="KFQ36:KFR36"/>
    <mergeCell ref="KFS36:KFT36"/>
    <mergeCell ref="KFU36:KFV36"/>
    <mergeCell ref="KFW36:KFX36"/>
    <mergeCell ref="KFY36:KFZ36"/>
    <mergeCell ref="KGA36:KGB36"/>
    <mergeCell ref="KKS36:KKT36"/>
    <mergeCell ref="KKU36:KKV36"/>
    <mergeCell ref="KKW36:KKX36"/>
    <mergeCell ref="KKY36:KKZ36"/>
    <mergeCell ref="KLA36:KLB36"/>
    <mergeCell ref="KLC36:KLD36"/>
    <mergeCell ref="KKG36:KKH36"/>
    <mergeCell ref="KKI36:KKJ36"/>
    <mergeCell ref="KKK36:KKL36"/>
    <mergeCell ref="KKM36:KKN36"/>
    <mergeCell ref="KKO36:KKP36"/>
    <mergeCell ref="KKQ36:KKR36"/>
    <mergeCell ref="KJU36:KJV36"/>
    <mergeCell ref="KJW36:KJX36"/>
    <mergeCell ref="KJY36:KJZ36"/>
    <mergeCell ref="KKA36:KKB36"/>
    <mergeCell ref="KKC36:KKD36"/>
    <mergeCell ref="KKE36:KKF36"/>
    <mergeCell ref="KJI36:KJJ36"/>
    <mergeCell ref="KJK36:KJL36"/>
    <mergeCell ref="KJM36:KJN36"/>
    <mergeCell ref="KJO36:KJP36"/>
    <mergeCell ref="KJQ36:KJR36"/>
    <mergeCell ref="KJS36:KJT36"/>
    <mergeCell ref="KIW36:KIX36"/>
    <mergeCell ref="KIY36:KIZ36"/>
    <mergeCell ref="KJA36:KJB36"/>
    <mergeCell ref="KJC36:KJD36"/>
    <mergeCell ref="KJE36:KJF36"/>
    <mergeCell ref="KJG36:KJH36"/>
    <mergeCell ref="KIK36:KIL36"/>
    <mergeCell ref="KIM36:KIN36"/>
    <mergeCell ref="KIO36:KIP36"/>
    <mergeCell ref="KIQ36:KIR36"/>
    <mergeCell ref="KIS36:KIT36"/>
    <mergeCell ref="KIU36:KIV36"/>
    <mergeCell ref="KNM36:KNN36"/>
    <mergeCell ref="KNO36:KNP36"/>
    <mergeCell ref="KNQ36:KNR36"/>
    <mergeCell ref="KNS36:KNT36"/>
    <mergeCell ref="KNU36:KNV36"/>
    <mergeCell ref="KNW36:KNX36"/>
    <mergeCell ref="KNA36:KNB36"/>
    <mergeCell ref="KNC36:KND36"/>
    <mergeCell ref="KNE36:KNF36"/>
    <mergeCell ref="KNG36:KNH36"/>
    <mergeCell ref="KNI36:KNJ36"/>
    <mergeCell ref="KNK36:KNL36"/>
    <mergeCell ref="KMO36:KMP36"/>
    <mergeCell ref="KMQ36:KMR36"/>
    <mergeCell ref="KMS36:KMT36"/>
    <mergeCell ref="KMU36:KMV36"/>
    <mergeCell ref="KMW36:KMX36"/>
    <mergeCell ref="KMY36:KMZ36"/>
    <mergeCell ref="KMC36:KMD36"/>
    <mergeCell ref="KME36:KMF36"/>
    <mergeCell ref="KMG36:KMH36"/>
    <mergeCell ref="KMI36:KMJ36"/>
    <mergeCell ref="KMK36:KML36"/>
    <mergeCell ref="KMM36:KMN36"/>
    <mergeCell ref="KLQ36:KLR36"/>
    <mergeCell ref="KLS36:KLT36"/>
    <mergeCell ref="KLU36:KLV36"/>
    <mergeCell ref="KLW36:KLX36"/>
    <mergeCell ref="KLY36:KLZ36"/>
    <mergeCell ref="KMA36:KMB36"/>
    <mergeCell ref="KLE36:KLF36"/>
    <mergeCell ref="KLG36:KLH36"/>
    <mergeCell ref="KLI36:KLJ36"/>
    <mergeCell ref="KLK36:KLL36"/>
    <mergeCell ref="KLM36:KLN36"/>
    <mergeCell ref="KLO36:KLP36"/>
    <mergeCell ref="KQG36:KQH36"/>
    <mergeCell ref="KQI36:KQJ36"/>
    <mergeCell ref="KQK36:KQL36"/>
    <mergeCell ref="KQM36:KQN36"/>
    <mergeCell ref="KQO36:KQP36"/>
    <mergeCell ref="KQQ36:KQR36"/>
    <mergeCell ref="KPU36:KPV36"/>
    <mergeCell ref="KPW36:KPX36"/>
    <mergeCell ref="KPY36:KPZ36"/>
    <mergeCell ref="KQA36:KQB36"/>
    <mergeCell ref="KQC36:KQD36"/>
    <mergeCell ref="KQE36:KQF36"/>
    <mergeCell ref="KPI36:KPJ36"/>
    <mergeCell ref="KPK36:KPL36"/>
    <mergeCell ref="KPM36:KPN36"/>
    <mergeCell ref="KPO36:KPP36"/>
    <mergeCell ref="KPQ36:KPR36"/>
    <mergeCell ref="KPS36:KPT36"/>
    <mergeCell ref="KOW36:KOX36"/>
    <mergeCell ref="KOY36:KOZ36"/>
    <mergeCell ref="KPA36:KPB36"/>
    <mergeCell ref="KPC36:KPD36"/>
    <mergeCell ref="KPE36:KPF36"/>
    <mergeCell ref="KPG36:KPH36"/>
    <mergeCell ref="KOK36:KOL36"/>
    <mergeCell ref="KOM36:KON36"/>
    <mergeCell ref="KOO36:KOP36"/>
    <mergeCell ref="KOQ36:KOR36"/>
    <mergeCell ref="KOS36:KOT36"/>
    <mergeCell ref="KOU36:KOV36"/>
    <mergeCell ref="KNY36:KNZ36"/>
    <mergeCell ref="KOA36:KOB36"/>
    <mergeCell ref="KOC36:KOD36"/>
    <mergeCell ref="KOE36:KOF36"/>
    <mergeCell ref="KOG36:KOH36"/>
    <mergeCell ref="KOI36:KOJ36"/>
    <mergeCell ref="KTA36:KTB36"/>
    <mergeCell ref="KTC36:KTD36"/>
    <mergeCell ref="KTE36:KTF36"/>
    <mergeCell ref="KTG36:KTH36"/>
    <mergeCell ref="KTI36:KTJ36"/>
    <mergeCell ref="KTK36:KTL36"/>
    <mergeCell ref="KSO36:KSP36"/>
    <mergeCell ref="KSQ36:KSR36"/>
    <mergeCell ref="KSS36:KST36"/>
    <mergeCell ref="KSU36:KSV36"/>
    <mergeCell ref="KSW36:KSX36"/>
    <mergeCell ref="KSY36:KSZ36"/>
    <mergeCell ref="KSC36:KSD36"/>
    <mergeCell ref="KSE36:KSF36"/>
    <mergeCell ref="KSG36:KSH36"/>
    <mergeCell ref="KSI36:KSJ36"/>
    <mergeCell ref="KSK36:KSL36"/>
    <mergeCell ref="KSM36:KSN36"/>
    <mergeCell ref="KRQ36:KRR36"/>
    <mergeCell ref="KRS36:KRT36"/>
    <mergeCell ref="KRU36:KRV36"/>
    <mergeCell ref="KRW36:KRX36"/>
    <mergeCell ref="KRY36:KRZ36"/>
    <mergeCell ref="KSA36:KSB36"/>
    <mergeCell ref="KRE36:KRF36"/>
    <mergeCell ref="KRG36:KRH36"/>
    <mergeCell ref="KRI36:KRJ36"/>
    <mergeCell ref="KRK36:KRL36"/>
    <mergeCell ref="KRM36:KRN36"/>
    <mergeCell ref="KRO36:KRP36"/>
    <mergeCell ref="KQS36:KQT36"/>
    <mergeCell ref="KQU36:KQV36"/>
    <mergeCell ref="KQW36:KQX36"/>
    <mergeCell ref="KQY36:KQZ36"/>
    <mergeCell ref="KRA36:KRB36"/>
    <mergeCell ref="KRC36:KRD36"/>
    <mergeCell ref="KVU36:KVV36"/>
    <mergeCell ref="KVW36:KVX36"/>
    <mergeCell ref="KVY36:KVZ36"/>
    <mergeCell ref="KWA36:KWB36"/>
    <mergeCell ref="KWC36:KWD36"/>
    <mergeCell ref="KWE36:KWF36"/>
    <mergeCell ref="KVI36:KVJ36"/>
    <mergeCell ref="KVK36:KVL36"/>
    <mergeCell ref="KVM36:KVN36"/>
    <mergeCell ref="KVO36:KVP36"/>
    <mergeCell ref="KVQ36:KVR36"/>
    <mergeCell ref="KVS36:KVT36"/>
    <mergeCell ref="KUW36:KUX36"/>
    <mergeCell ref="KUY36:KUZ36"/>
    <mergeCell ref="KVA36:KVB36"/>
    <mergeCell ref="KVC36:KVD36"/>
    <mergeCell ref="KVE36:KVF36"/>
    <mergeCell ref="KVG36:KVH36"/>
    <mergeCell ref="KUK36:KUL36"/>
    <mergeCell ref="KUM36:KUN36"/>
    <mergeCell ref="KUO36:KUP36"/>
    <mergeCell ref="KUQ36:KUR36"/>
    <mergeCell ref="KUS36:KUT36"/>
    <mergeCell ref="KUU36:KUV36"/>
    <mergeCell ref="KTY36:KTZ36"/>
    <mergeCell ref="KUA36:KUB36"/>
    <mergeCell ref="KUC36:KUD36"/>
    <mergeCell ref="KUE36:KUF36"/>
    <mergeCell ref="KUG36:KUH36"/>
    <mergeCell ref="KUI36:KUJ36"/>
    <mergeCell ref="KTM36:KTN36"/>
    <mergeCell ref="KTO36:KTP36"/>
    <mergeCell ref="KTQ36:KTR36"/>
    <mergeCell ref="KTS36:KTT36"/>
    <mergeCell ref="KTU36:KTV36"/>
    <mergeCell ref="KTW36:KTX36"/>
    <mergeCell ref="KYO36:KYP36"/>
    <mergeCell ref="KYQ36:KYR36"/>
    <mergeCell ref="KYS36:KYT36"/>
    <mergeCell ref="KYU36:KYV36"/>
    <mergeCell ref="KYW36:KYX36"/>
    <mergeCell ref="KYY36:KYZ36"/>
    <mergeCell ref="KYC36:KYD36"/>
    <mergeCell ref="KYE36:KYF36"/>
    <mergeCell ref="KYG36:KYH36"/>
    <mergeCell ref="KYI36:KYJ36"/>
    <mergeCell ref="KYK36:KYL36"/>
    <mergeCell ref="KYM36:KYN36"/>
    <mergeCell ref="KXQ36:KXR36"/>
    <mergeCell ref="KXS36:KXT36"/>
    <mergeCell ref="KXU36:KXV36"/>
    <mergeCell ref="KXW36:KXX36"/>
    <mergeCell ref="KXY36:KXZ36"/>
    <mergeCell ref="KYA36:KYB36"/>
    <mergeCell ref="KXE36:KXF36"/>
    <mergeCell ref="KXG36:KXH36"/>
    <mergeCell ref="KXI36:KXJ36"/>
    <mergeCell ref="KXK36:KXL36"/>
    <mergeCell ref="KXM36:KXN36"/>
    <mergeCell ref="KXO36:KXP36"/>
    <mergeCell ref="KWS36:KWT36"/>
    <mergeCell ref="KWU36:KWV36"/>
    <mergeCell ref="KWW36:KWX36"/>
    <mergeCell ref="KWY36:KWZ36"/>
    <mergeCell ref="KXA36:KXB36"/>
    <mergeCell ref="KXC36:KXD36"/>
    <mergeCell ref="KWG36:KWH36"/>
    <mergeCell ref="KWI36:KWJ36"/>
    <mergeCell ref="KWK36:KWL36"/>
    <mergeCell ref="KWM36:KWN36"/>
    <mergeCell ref="KWO36:KWP36"/>
    <mergeCell ref="KWQ36:KWR36"/>
    <mergeCell ref="LBI36:LBJ36"/>
    <mergeCell ref="LBK36:LBL36"/>
    <mergeCell ref="LBM36:LBN36"/>
    <mergeCell ref="LBO36:LBP36"/>
    <mergeCell ref="LBQ36:LBR36"/>
    <mergeCell ref="LBS36:LBT36"/>
    <mergeCell ref="LAW36:LAX36"/>
    <mergeCell ref="LAY36:LAZ36"/>
    <mergeCell ref="LBA36:LBB36"/>
    <mergeCell ref="LBC36:LBD36"/>
    <mergeCell ref="LBE36:LBF36"/>
    <mergeCell ref="LBG36:LBH36"/>
    <mergeCell ref="LAK36:LAL36"/>
    <mergeCell ref="LAM36:LAN36"/>
    <mergeCell ref="LAO36:LAP36"/>
    <mergeCell ref="LAQ36:LAR36"/>
    <mergeCell ref="LAS36:LAT36"/>
    <mergeCell ref="LAU36:LAV36"/>
    <mergeCell ref="KZY36:KZZ36"/>
    <mergeCell ref="LAA36:LAB36"/>
    <mergeCell ref="LAC36:LAD36"/>
    <mergeCell ref="LAE36:LAF36"/>
    <mergeCell ref="LAG36:LAH36"/>
    <mergeCell ref="LAI36:LAJ36"/>
    <mergeCell ref="KZM36:KZN36"/>
    <mergeCell ref="KZO36:KZP36"/>
    <mergeCell ref="KZQ36:KZR36"/>
    <mergeCell ref="KZS36:KZT36"/>
    <mergeCell ref="KZU36:KZV36"/>
    <mergeCell ref="KZW36:KZX36"/>
    <mergeCell ref="KZA36:KZB36"/>
    <mergeCell ref="KZC36:KZD36"/>
    <mergeCell ref="KZE36:KZF36"/>
    <mergeCell ref="KZG36:KZH36"/>
    <mergeCell ref="KZI36:KZJ36"/>
    <mergeCell ref="KZK36:KZL36"/>
    <mergeCell ref="LEC36:LED36"/>
    <mergeCell ref="LEE36:LEF36"/>
    <mergeCell ref="LEG36:LEH36"/>
    <mergeCell ref="LEI36:LEJ36"/>
    <mergeCell ref="LEK36:LEL36"/>
    <mergeCell ref="LEM36:LEN36"/>
    <mergeCell ref="LDQ36:LDR36"/>
    <mergeCell ref="LDS36:LDT36"/>
    <mergeCell ref="LDU36:LDV36"/>
    <mergeCell ref="LDW36:LDX36"/>
    <mergeCell ref="LDY36:LDZ36"/>
    <mergeCell ref="LEA36:LEB36"/>
    <mergeCell ref="LDE36:LDF36"/>
    <mergeCell ref="LDG36:LDH36"/>
    <mergeCell ref="LDI36:LDJ36"/>
    <mergeCell ref="LDK36:LDL36"/>
    <mergeCell ref="LDM36:LDN36"/>
    <mergeCell ref="LDO36:LDP36"/>
    <mergeCell ref="LCS36:LCT36"/>
    <mergeCell ref="LCU36:LCV36"/>
    <mergeCell ref="LCW36:LCX36"/>
    <mergeCell ref="LCY36:LCZ36"/>
    <mergeCell ref="LDA36:LDB36"/>
    <mergeCell ref="LDC36:LDD36"/>
    <mergeCell ref="LCG36:LCH36"/>
    <mergeCell ref="LCI36:LCJ36"/>
    <mergeCell ref="LCK36:LCL36"/>
    <mergeCell ref="LCM36:LCN36"/>
    <mergeCell ref="LCO36:LCP36"/>
    <mergeCell ref="LCQ36:LCR36"/>
    <mergeCell ref="LBU36:LBV36"/>
    <mergeCell ref="LBW36:LBX36"/>
    <mergeCell ref="LBY36:LBZ36"/>
    <mergeCell ref="LCA36:LCB36"/>
    <mergeCell ref="LCC36:LCD36"/>
    <mergeCell ref="LCE36:LCF36"/>
    <mergeCell ref="LGW36:LGX36"/>
    <mergeCell ref="LGY36:LGZ36"/>
    <mergeCell ref="LHA36:LHB36"/>
    <mergeCell ref="LHC36:LHD36"/>
    <mergeCell ref="LHE36:LHF36"/>
    <mergeCell ref="LHG36:LHH36"/>
    <mergeCell ref="LGK36:LGL36"/>
    <mergeCell ref="LGM36:LGN36"/>
    <mergeCell ref="LGO36:LGP36"/>
    <mergeCell ref="LGQ36:LGR36"/>
    <mergeCell ref="LGS36:LGT36"/>
    <mergeCell ref="LGU36:LGV36"/>
    <mergeCell ref="LFY36:LFZ36"/>
    <mergeCell ref="LGA36:LGB36"/>
    <mergeCell ref="LGC36:LGD36"/>
    <mergeCell ref="LGE36:LGF36"/>
    <mergeCell ref="LGG36:LGH36"/>
    <mergeCell ref="LGI36:LGJ36"/>
    <mergeCell ref="LFM36:LFN36"/>
    <mergeCell ref="LFO36:LFP36"/>
    <mergeCell ref="LFQ36:LFR36"/>
    <mergeCell ref="LFS36:LFT36"/>
    <mergeCell ref="LFU36:LFV36"/>
    <mergeCell ref="LFW36:LFX36"/>
    <mergeCell ref="LFA36:LFB36"/>
    <mergeCell ref="LFC36:LFD36"/>
    <mergeCell ref="LFE36:LFF36"/>
    <mergeCell ref="LFG36:LFH36"/>
    <mergeCell ref="LFI36:LFJ36"/>
    <mergeCell ref="LFK36:LFL36"/>
    <mergeCell ref="LEO36:LEP36"/>
    <mergeCell ref="LEQ36:LER36"/>
    <mergeCell ref="LES36:LET36"/>
    <mergeCell ref="LEU36:LEV36"/>
    <mergeCell ref="LEW36:LEX36"/>
    <mergeCell ref="LEY36:LEZ36"/>
    <mergeCell ref="LJQ36:LJR36"/>
    <mergeCell ref="LJS36:LJT36"/>
    <mergeCell ref="LJU36:LJV36"/>
    <mergeCell ref="LJW36:LJX36"/>
    <mergeCell ref="LJY36:LJZ36"/>
    <mergeCell ref="LKA36:LKB36"/>
    <mergeCell ref="LJE36:LJF36"/>
    <mergeCell ref="LJG36:LJH36"/>
    <mergeCell ref="LJI36:LJJ36"/>
    <mergeCell ref="LJK36:LJL36"/>
    <mergeCell ref="LJM36:LJN36"/>
    <mergeCell ref="LJO36:LJP36"/>
    <mergeCell ref="LIS36:LIT36"/>
    <mergeCell ref="LIU36:LIV36"/>
    <mergeCell ref="LIW36:LIX36"/>
    <mergeCell ref="LIY36:LIZ36"/>
    <mergeCell ref="LJA36:LJB36"/>
    <mergeCell ref="LJC36:LJD36"/>
    <mergeCell ref="LIG36:LIH36"/>
    <mergeCell ref="LII36:LIJ36"/>
    <mergeCell ref="LIK36:LIL36"/>
    <mergeCell ref="LIM36:LIN36"/>
    <mergeCell ref="LIO36:LIP36"/>
    <mergeCell ref="LIQ36:LIR36"/>
    <mergeCell ref="LHU36:LHV36"/>
    <mergeCell ref="LHW36:LHX36"/>
    <mergeCell ref="LHY36:LHZ36"/>
    <mergeCell ref="LIA36:LIB36"/>
    <mergeCell ref="LIC36:LID36"/>
    <mergeCell ref="LIE36:LIF36"/>
    <mergeCell ref="LHI36:LHJ36"/>
    <mergeCell ref="LHK36:LHL36"/>
    <mergeCell ref="LHM36:LHN36"/>
    <mergeCell ref="LHO36:LHP36"/>
    <mergeCell ref="LHQ36:LHR36"/>
    <mergeCell ref="LHS36:LHT36"/>
    <mergeCell ref="LMK36:LML36"/>
    <mergeCell ref="LMM36:LMN36"/>
    <mergeCell ref="LMO36:LMP36"/>
    <mergeCell ref="LMQ36:LMR36"/>
    <mergeCell ref="LMS36:LMT36"/>
    <mergeCell ref="LMU36:LMV36"/>
    <mergeCell ref="LLY36:LLZ36"/>
    <mergeCell ref="LMA36:LMB36"/>
    <mergeCell ref="LMC36:LMD36"/>
    <mergeCell ref="LME36:LMF36"/>
    <mergeCell ref="LMG36:LMH36"/>
    <mergeCell ref="LMI36:LMJ36"/>
    <mergeCell ref="LLM36:LLN36"/>
    <mergeCell ref="LLO36:LLP36"/>
    <mergeCell ref="LLQ36:LLR36"/>
    <mergeCell ref="LLS36:LLT36"/>
    <mergeCell ref="LLU36:LLV36"/>
    <mergeCell ref="LLW36:LLX36"/>
    <mergeCell ref="LLA36:LLB36"/>
    <mergeCell ref="LLC36:LLD36"/>
    <mergeCell ref="LLE36:LLF36"/>
    <mergeCell ref="LLG36:LLH36"/>
    <mergeCell ref="LLI36:LLJ36"/>
    <mergeCell ref="LLK36:LLL36"/>
    <mergeCell ref="LKO36:LKP36"/>
    <mergeCell ref="LKQ36:LKR36"/>
    <mergeCell ref="LKS36:LKT36"/>
    <mergeCell ref="LKU36:LKV36"/>
    <mergeCell ref="LKW36:LKX36"/>
    <mergeCell ref="LKY36:LKZ36"/>
    <mergeCell ref="LKC36:LKD36"/>
    <mergeCell ref="LKE36:LKF36"/>
    <mergeCell ref="LKG36:LKH36"/>
    <mergeCell ref="LKI36:LKJ36"/>
    <mergeCell ref="LKK36:LKL36"/>
    <mergeCell ref="LKM36:LKN36"/>
    <mergeCell ref="LPE36:LPF36"/>
    <mergeCell ref="LPG36:LPH36"/>
    <mergeCell ref="LPI36:LPJ36"/>
    <mergeCell ref="LPK36:LPL36"/>
    <mergeCell ref="LPM36:LPN36"/>
    <mergeCell ref="LPO36:LPP36"/>
    <mergeCell ref="LOS36:LOT36"/>
    <mergeCell ref="LOU36:LOV36"/>
    <mergeCell ref="LOW36:LOX36"/>
    <mergeCell ref="LOY36:LOZ36"/>
    <mergeCell ref="LPA36:LPB36"/>
    <mergeCell ref="LPC36:LPD36"/>
    <mergeCell ref="LOG36:LOH36"/>
    <mergeCell ref="LOI36:LOJ36"/>
    <mergeCell ref="LOK36:LOL36"/>
    <mergeCell ref="LOM36:LON36"/>
    <mergeCell ref="LOO36:LOP36"/>
    <mergeCell ref="LOQ36:LOR36"/>
    <mergeCell ref="LNU36:LNV36"/>
    <mergeCell ref="LNW36:LNX36"/>
    <mergeCell ref="LNY36:LNZ36"/>
    <mergeCell ref="LOA36:LOB36"/>
    <mergeCell ref="LOC36:LOD36"/>
    <mergeCell ref="LOE36:LOF36"/>
    <mergeCell ref="LNI36:LNJ36"/>
    <mergeCell ref="LNK36:LNL36"/>
    <mergeCell ref="LNM36:LNN36"/>
    <mergeCell ref="LNO36:LNP36"/>
    <mergeCell ref="LNQ36:LNR36"/>
    <mergeCell ref="LNS36:LNT36"/>
    <mergeCell ref="LMW36:LMX36"/>
    <mergeCell ref="LMY36:LMZ36"/>
    <mergeCell ref="LNA36:LNB36"/>
    <mergeCell ref="LNC36:LND36"/>
    <mergeCell ref="LNE36:LNF36"/>
    <mergeCell ref="LNG36:LNH36"/>
    <mergeCell ref="LRY36:LRZ36"/>
    <mergeCell ref="LSA36:LSB36"/>
    <mergeCell ref="LSC36:LSD36"/>
    <mergeCell ref="LSE36:LSF36"/>
    <mergeCell ref="LSG36:LSH36"/>
    <mergeCell ref="LSI36:LSJ36"/>
    <mergeCell ref="LRM36:LRN36"/>
    <mergeCell ref="LRO36:LRP36"/>
    <mergeCell ref="LRQ36:LRR36"/>
    <mergeCell ref="LRS36:LRT36"/>
    <mergeCell ref="LRU36:LRV36"/>
    <mergeCell ref="LRW36:LRX36"/>
    <mergeCell ref="LRA36:LRB36"/>
    <mergeCell ref="LRC36:LRD36"/>
    <mergeCell ref="LRE36:LRF36"/>
    <mergeCell ref="LRG36:LRH36"/>
    <mergeCell ref="LRI36:LRJ36"/>
    <mergeCell ref="LRK36:LRL36"/>
    <mergeCell ref="LQO36:LQP36"/>
    <mergeCell ref="LQQ36:LQR36"/>
    <mergeCell ref="LQS36:LQT36"/>
    <mergeCell ref="LQU36:LQV36"/>
    <mergeCell ref="LQW36:LQX36"/>
    <mergeCell ref="LQY36:LQZ36"/>
    <mergeCell ref="LQC36:LQD36"/>
    <mergeCell ref="LQE36:LQF36"/>
    <mergeCell ref="LQG36:LQH36"/>
    <mergeCell ref="LQI36:LQJ36"/>
    <mergeCell ref="LQK36:LQL36"/>
    <mergeCell ref="LQM36:LQN36"/>
    <mergeCell ref="LPQ36:LPR36"/>
    <mergeCell ref="LPS36:LPT36"/>
    <mergeCell ref="LPU36:LPV36"/>
    <mergeCell ref="LPW36:LPX36"/>
    <mergeCell ref="LPY36:LPZ36"/>
    <mergeCell ref="LQA36:LQB36"/>
    <mergeCell ref="LUS36:LUT36"/>
    <mergeCell ref="LUU36:LUV36"/>
    <mergeCell ref="LUW36:LUX36"/>
    <mergeCell ref="LUY36:LUZ36"/>
    <mergeCell ref="LVA36:LVB36"/>
    <mergeCell ref="LVC36:LVD36"/>
    <mergeCell ref="LUG36:LUH36"/>
    <mergeCell ref="LUI36:LUJ36"/>
    <mergeCell ref="LUK36:LUL36"/>
    <mergeCell ref="LUM36:LUN36"/>
    <mergeCell ref="LUO36:LUP36"/>
    <mergeCell ref="LUQ36:LUR36"/>
    <mergeCell ref="LTU36:LTV36"/>
    <mergeCell ref="LTW36:LTX36"/>
    <mergeCell ref="LTY36:LTZ36"/>
    <mergeCell ref="LUA36:LUB36"/>
    <mergeCell ref="LUC36:LUD36"/>
    <mergeCell ref="LUE36:LUF36"/>
    <mergeCell ref="LTI36:LTJ36"/>
    <mergeCell ref="LTK36:LTL36"/>
    <mergeCell ref="LTM36:LTN36"/>
    <mergeCell ref="LTO36:LTP36"/>
    <mergeCell ref="LTQ36:LTR36"/>
    <mergeCell ref="LTS36:LTT36"/>
    <mergeCell ref="LSW36:LSX36"/>
    <mergeCell ref="LSY36:LSZ36"/>
    <mergeCell ref="LTA36:LTB36"/>
    <mergeCell ref="LTC36:LTD36"/>
    <mergeCell ref="LTE36:LTF36"/>
    <mergeCell ref="LTG36:LTH36"/>
    <mergeCell ref="LSK36:LSL36"/>
    <mergeCell ref="LSM36:LSN36"/>
    <mergeCell ref="LSO36:LSP36"/>
    <mergeCell ref="LSQ36:LSR36"/>
    <mergeCell ref="LSS36:LST36"/>
    <mergeCell ref="LSU36:LSV36"/>
    <mergeCell ref="LXM36:LXN36"/>
    <mergeCell ref="LXO36:LXP36"/>
    <mergeCell ref="LXQ36:LXR36"/>
    <mergeCell ref="LXS36:LXT36"/>
    <mergeCell ref="LXU36:LXV36"/>
    <mergeCell ref="LXW36:LXX36"/>
    <mergeCell ref="LXA36:LXB36"/>
    <mergeCell ref="LXC36:LXD36"/>
    <mergeCell ref="LXE36:LXF36"/>
    <mergeCell ref="LXG36:LXH36"/>
    <mergeCell ref="LXI36:LXJ36"/>
    <mergeCell ref="LXK36:LXL36"/>
    <mergeCell ref="LWO36:LWP36"/>
    <mergeCell ref="LWQ36:LWR36"/>
    <mergeCell ref="LWS36:LWT36"/>
    <mergeCell ref="LWU36:LWV36"/>
    <mergeCell ref="LWW36:LWX36"/>
    <mergeCell ref="LWY36:LWZ36"/>
    <mergeCell ref="LWC36:LWD36"/>
    <mergeCell ref="LWE36:LWF36"/>
    <mergeCell ref="LWG36:LWH36"/>
    <mergeCell ref="LWI36:LWJ36"/>
    <mergeCell ref="LWK36:LWL36"/>
    <mergeCell ref="LWM36:LWN36"/>
    <mergeCell ref="LVQ36:LVR36"/>
    <mergeCell ref="LVS36:LVT36"/>
    <mergeCell ref="LVU36:LVV36"/>
    <mergeCell ref="LVW36:LVX36"/>
    <mergeCell ref="LVY36:LVZ36"/>
    <mergeCell ref="LWA36:LWB36"/>
    <mergeCell ref="LVE36:LVF36"/>
    <mergeCell ref="LVG36:LVH36"/>
    <mergeCell ref="LVI36:LVJ36"/>
    <mergeCell ref="LVK36:LVL36"/>
    <mergeCell ref="LVM36:LVN36"/>
    <mergeCell ref="LVO36:LVP36"/>
    <mergeCell ref="MAG36:MAH36"/>
    <mergeCell ref="MAI36:MAJ36"/>
    <mergeCell ref="MAK36:MAL36"/>
    <mergeCell ref="MAM36:MAN36"/>
    <mergeCell ref="MAO36:MAP36"/>
    <mergeCell ref="MAQ36:MAR36"/>
    <mergeCell ref="LZU36:LZV36"/>
    <mergeCell ref="LZW36:LZX36"/>
    <mergeCell ref="LZY36:LZZ36"/>
    <mergeCell ref="MAA36:MAB36"/>
    <mergeCell ref="MAC36:MAD36"/>
    <mergeCell ref="MAE36:MAF36"/>
    <mergeCell ref="LZI36:LZJ36"/>
    <mergeCell ref="LZK36:LZL36"/>
    <mergeCell ref="LZM36:LZN36"/>
    <mergeCell ref="LZO36:LZP36"/>
    <mergeCell ref="LZQ36:LZR36"/>
    <mergeCell ref="LZS36:LZT36"/>
    <mergeCell ref="LYW36:LYX36"/>
    <mergeCell ref="LYY36:LYZ36"/>
    <mergeCell ref="LZA36:LZB36"/>
    <mergeCell ref="LZC36:LZD36"/>
    <mergeCell ref="LZE36:LZF36"/>
    <mergeCell ref="LZG36:LZH36"/>
    <mergeCell ref="LYK36:LYL36"/>
    <mergeCell ref="LYM36:LYN36"/>
    <mergeCell ref="LYO36:LYP36"/>
    <mergeCell ref="LYQ36:LYR36"/>
    <mergeCell ref="LYS36:LYT36"/>
    <mergeCell ref="LYU36:LYV36"/>
    <mergeCell ref="LXY36:LXZ36"/>
    <mergeCell ref="LYA36:LYB36"/>
    <mergeCell ref="LYC36:LYD36"/>
    <mergeCell ref="LYE36:LYF36"/>
    <mergeCell ref="LYG36:LYH36"/>
    <mergeCell ref="LYI36:LYJ36"/>
    <mergeCell ref="MDA36:MDB36"/>
    <mergeCell ref="MDC36:MDD36"/>
    <mergeCell ref="MDE36:MDF36"/>
    <mergeCell ref="MDG36:MDH36"/>
    <mergeCell ref="MDI36:MDJ36"/>
    <mergeCell ref="MDK36:MDL36"/>
    <mergeCell ref="MCO36:MCP36"/>
    <mergeCell ref="MCQ36:MCR36"/>
    <mergeCell ref="MCS36:MCT36"/>
    <mergeCell ref="MCU36:MCV36"/>
    <mergeCell ref="MCW36:MCX36"/>
    <mergeCell ref="MCY36:MCZ36"/>
    <mergeCell ref="MCC36:MCD36"/>
    <mergeCell ref="MCE36:MCF36"/>
    <mergeCell ref="MCG36:MCH36"/>
    <mergeCell ref="MCI36:MCJ36"/>
    <mergeCell ref="MCK36:MCL36"/>
    <mergeCell ref="MCM36:MCN36"/>
    <mergeCell ref="MBQ36:MBR36"/>
    <mergeCell ref="MBS36:MBT36"/>
    <mergeCell ref="MBU36:MBV36"/>
    <mergeCell ref="MBW36:MBX36"/>
    <mergeCell ref="MBY36:MBZ36"/>
    <mergeCell ref="MCA36:MCB36"/>
    <mergeCell ref="MBE36:MBF36"/>
    <mergeCell ref="MBG36:MBH36"/>
    <mergeCell ref="MBI36:MBJ36"/>
    <mergeCell ref="MBK36:MBL36"/>
    <mergeCell ref="MBM36:MBN36"/>
    <mergeCell ref="MBO36:MBP36"/>
    <mergeCell ref="MAS36:MAT36"/>
    <mergeCell ref="MAU36:MAV36"/>
    <mergeCell ref="MAW36:MAX36"/>
    <mergeCell ref="MAY36:MAZ36"/>
    <mergeCell ref="MBA36:MBB36"/>
    <mergeCell ref="MBC36:MBD36"/>
    <mergeCell ref="MFU36:MFV36"/>
    <mergeCell ref="MFW36:MFX36"/>
    <mergeCell ref="MFY36:MFZ36"/>
    <mergeCell ref="MGA36:MGB36"/>
    <mergeCell ref="MGC36:MGD36"/>
    <mergeCell ref="MGE36:MGF36"/>
    <mergeCell ref="MFI36:MFJ36"/>
    <mergeCell ref="MFK36:MFL36"/>
    <mergeCell ref="MFM36:MFN36"/>
    <mergeCell ref="MFO36:MFP36"/>
    <mergeCell ref="MFQ36:MFR36"/>
    <mergeCell ref="MFS36:MFT36"/>
    <mergeCell ref="MEW36:MEX36"/>
    <mergeCell ref="MEY36:MEZ36"/>
    <mergeCell ref="MFA36:MFB36"/>
    <mergeCell ref="MFC36:MFD36"/>
    <mergeCell ref="MFE36:MFF36"/>
    <mergeCell ref="MFG36:MFH36"/>
    <mergeCell ref="MEK36:MEL36"/>
    <mergeCell ref="MEM36:MEN36"/>
    <mergeCell ref="MEO36:MEP36"/>
    <mergeCell ref="MEQ36:MER36"/>
    <mergeCell ref="MES36:MET36"/>
    <mergeCell ref="MEU36:MEV36"/>
    <mergeCell ref="MDY36:MDZ36"/>
    <mergeCell ref="MEA36:MEB36"/>
    <mergeCell ref="MEC36:MED36"/>
    <mergeCell ref="MEE36:MEF36"/>
    <mergeCell ref="MEG36:MEH36"/>
    <mergeCell ref="MEI36:MEJ36"/>
    <mergeCell ref="MDM36:MDN36"/>
    <mergeCell ref="MDO36:MDP36"/>
    <mergeCell ref="MDQ36:MDR36"/>
    <mergeCell ref="MDS36:MDT36"/>
    <mergeCell ref="MDU36:MDV36"/>
    <mergeCell ref="MDW36:MDX36"/>
    <mergeCell ref="MIO36:MIP36"/>
    <mergeCell ref="MIQ36:MIR36"/>
    <mergeCell ref="MIS36:MIT36"/>
    <mergeCell ref="MIU36:MIV36"/>
    <mergeCell ref="MIW36:MIX36"/>
    <mergeCell ref="MIY36:MIZ36"/>
    <mergeCell ref="MIC36:MID36"/>
    <mergeCell ref="MIE36:MIF36"/>
    <mergeCell ref="MIG36:MIH36"/>
    <mergeCell ref="MII36:MIJ36"/>
    <mergeCell ref="MIK36:MIL36"/>
    <mergeCell ref="MIM36:MIN36"/>
    <mergeCell ref="MHQ36:MHR36"/>
    <mergeCell ref="MHS36:MHT36"/>
    <mergeCell ref="MHU36:MHV36"/>
    <mergeCell ref="MHW36:MHX36"/>
    <mergeCell ref="MHY36:MHZ36"/>
    <mergeCell ref="MIA36:MIB36"/>
    <mergeCell ref="MHE36:MHF36"/>
    <mergeCell ref="MHG36:MHH36"/>
    <mergeCell ref="MHI36:MHJ36"/>
    <mergeCell ref="MHK36:MHL36"/>
    <mergeCell ref="MHM36:MHN36"/>
    <mergeCell ref="MHO36:MHP36"/>
    <mergeCell ref="MGS36:MGT36"/>
    <mergeCell ref="MGU36:MGV36"/>
    <mergeCell ref="MGW36:MGX36"/>
    <mergeCell ref="MGY36:MGZ36"/>
    <mergeCell ref="MHA36:MHB36"/>
    <mergeCell ref="MHC36:MHD36"/>
    <mergeCell ref="MGG36:MGH36"/>
    <mergeCell ref="MGI36:MGJ36"/>
    <mergeCell ref="MGK36:MGL36"/>
    <mergeCell ref="MGM36:MGN36"/>
    <mergeCell ref="MGO36:MGP36"/>
    <mergeCell ref="MGQ36:MGR36"/>
    <mergeCell ref="MLI36:MLJ36"/>
    <mergeCell ref="MLK36:MLL36"/>
    <mergeCell ref="MLM36:MLN36"/>
    <mergeCell ref="MLO36:MLP36"/>
    <mergeCell ref="MLQ36:MLR36"/>
    <mergeCell ref="MLS36:MLT36"/>
    <mergeCell ref="MKW36:MKX36"/>
    <mergeCell ref="MKY36:MKZ36"/>
    <mergeCell ref="MLA36:MLB36"/>
    <mergeCell ref="MLC36:MLD36"/>
    <mergeCell ref="MLE36:MLF36"/>
    <mergeCell ref="MLG36:MLH36"/>
    <mergeCell ref="MKK36:MKL36"/>
    <mergeCell ref="MKM36:MKN36"/>
    <mergeCell ref="MKO36:MKP36"/>
    <mergeCell ref="MKQ36:MKR36"/>
    <mergeCell ref="MKS36:MKT36"/>
    <mergeCell ref="MKU36:MKV36"/>
    <mergeCell ref="MJY36:MJZ36"/>
    <mergeCell ref="MKA36:MKB36"/>
    <mergeCell ref="MKC36:MKD36"/>
    <mergeCell ref="MKE36:MKF36"/>
    <mergeCell ref="MKG36:MKH36"/>
    <mergeCell ref="MKI36:MKJ36"/>
    <mergeCell ref="MJM36:MJN36"/>
    <mergeCell ref="MJO36:MJP36"/>
    <mergeCell ref="MJQ36:MJR36"/>
    <mergeCell ref="MJS36:MJT36"/>
    <mergeCell ref="MJU36:MJV36"/>
    <mergeCell ref="MJW36:MJX36"/>
    <mergeCell ref="MJA36:MJB36"/>
    <mergeCell ref="MJC36:MJD36"/>
    <mergeCell ref="MJE36:MJF36"/>
    <mergeCell ref="MJG36:MJH36"/>
    <mergeCell ref="MJI36:MJJ36"/>
    <mergeCell ref="MJK36:MJL36"/>
    <mergeCell ref="MOC36:MOD36"/>
    <mergeCell ref="MOE36:MOF36"/>
    <mergeCell ref="MOG36:MOH36"/>
    <mergeCell ref="MOI36:MOJ36"/>
    <mergeCell ref="MOK36:MOL36"/>
    <mergeCell ref="MOM36:MON36"/>
    <mergeCell ref="MNQ36:MNR36"/>
    <mergeCell ref="MNS36:MNT36"/>
    <mergeCell ref="MNU36:MNV36"/>
    <mergeCell ref="MNW36:MNX36"/>
    <mergeCell ref="MNY36:MNZ36"/>
    <mergeCell ref="MOA36:MOB36"/>
    <mergeCell ref="MNE36:MNF36"/>
    <mergeCell ref="MNG36:MNH36"/>
    <mergeCell ref="MNI36:MNJ36"/>
    <mergeCell ref="MNK36:MNL36"/>
    <mergeCell ref="MNM36:MNN36"/>
    <mergeCell ref="MNO36:MNP36"/>
    <mergeCell ref="MMS36:MMT36"/>
    <mergeCell ref="MMU36:MMV36"/>
    <mergeCell ref="MMW36:MMX36"/>
    <mergeCell ref="MMY36:MMZ36"/>
    <mergeCell ref="MNA36:MNB36"/>
    <mergeCell ref="MNC36:MND36"/>
    <mergeCell ref="MMG36:MMH36"/>
    <mergeCell ref="MMI36:MMJ36"/>
    <mergeCell ref="MMK36:MML36"/>
    <mergeCell ref="MMM36:MMN36"/>
    <mergeCell ref="MMO36:MMP36"/>
    <mergeCell ref="MMQ36:MMR36"/>
    <mergeCell ref="MLU36:MLV36"/>
    <mergeCell ref="MLW36:MLX36"/>
    <mergeCell ref="MLY36:MLZ36"/>
    <mergeCell ref="MMA36:MMB36"/>
    <mergeCell ref="MMC36:MMD36"/>
    <mergeCell ref="MME36:MMF36"/>
    <mergeCell ref="MQW36:MQX36"/>
    <mergeCell ref="MQY36:MQZ36"/>
    <mergeCell ref="MRA36:MRB36"/>
    <mergeCell ref="MRC36:MRD36"/>
    <mergeCell ref="MRE36:MRF36"/>
    <mergeCell ref="MRG36:MRH36"/>
    <mergeCell ref="MQK36:MQL36"/>
    <mergeCell ref="MQM36:MQN36"/>
    <mergeCell ref="MQO36:MQP36"/>
    <mergeCell ref="MQQ36:MQR36"/>
    <mergeCell ref="MQS36:MQT36"/>
    <mergeCell ref="MQU36:MQV36"/>
    <mergeCell ref="MPY36:MPZ36"/>
    <mergeCell ref="MQA36:MQB36"/>
    <mergeCell ref="MQC36:MQD36"/>
    <mergeCell ref="MQE36:MQF36"/>
    <mergeCell ref="MQG36:MQH36"/>
    <mergeCell ref="MQI36:MQJ36"/>
    <mergeCell ref="MPM36:MPN36"/>
    <mergeCell ref="MPO36:MPP36"/>
    <mergeCell ref="MPQ36:MPR36"/>
    <mergeCell ref="MPS36:MPT36"/>
    <mergeCell ref="MPU36:MPV36"/>
    <mergeCell ref="MPW36:MPX36"/>
    <mergeCell ref="MPA36:MPB36"/>
    <mergeCell ref="MPC36:MPD36"/>
    <mergeCell ref="MPE36:MPF36"/>
    <mergeCell ref="MPG36:MPH36"/>
    <mergeCell ref="MPI36:MPJ36"/>
    <mergeCell ref="MPK36:MPL36"/>
    <mergeCell ref="MOO36:MOP36"/>
    <mergeCell ref="MOQ36:MOR36"/>
    <mergeCell ref="MOS36:MOT36"/>
    <mergeCell ref="MOU36:MOV36"/>
    <mergeCell ref="MOW36:MOX36"/>
    <mergeCell ref="MOY36:MOZ36"/>
    <mergeCell ref="MTQ36:MTR36"/>
    <mergeCell ref="MTS36:MTT36"/>
    <mergeCell ref="MTU36:MTV36"/>
    <mergeCell ref="MTW36:MTX36"/>
    <mergeCell ref="MTY36:MTZ36"/>
    <mergeCell ref="MUA36:MUB36"/>
    <mergeCell ref="MTE36:MTF36"/>
    <mergeCell ref="MTG36:MTH36"/>
    <mergeCell ref="MTI36:MTJ36"/>
    <mergeCell ref="MTK36:MTL36"/>
    <mergeCell ref="MTM36:MTN36"/>
    <mergeCell ref="MTO36:MTP36"/>
    <mergeCell ref="MSS36:MST36"/>
    <mergeCell ref="MSU36:MSV36"/>
    <mergeCell ref="MSW36:MSX36"/>
    <mergeCell ref="MSY36:MSZ36"/>
    <mergeCell ref="MTA36:MTB36"/>
    <mergeCell ref="MTC36:MTD36"/>
    <mergeCell ref="MSG36:MSH36"/>
    <mergeCell ref="MSI36:MSJ36"/>
    <mergeCell ref="MSK36:MSL36"/>
    <mergeCell ref="MSM36:MSN36"/>
    <mergeCell ref="MSO36:MSP36"/>
    <mergeCell ref="MSQ36:MSR36"/>
    <mergeCell ref="MRU36:MRV36"/>
    <mergeCell ref="MRW36:MRX36"/>
    <mergeCell ref="MRY36:MRZ36"/>
    <mergeCell ref="MSA36:MSB36"/>
    <mergeCell ref="MSC36:MSD36"/>
    <mergeCell ref="MSE36:MSF36"/>
    <mergeCell ref="MRI36:MRJ36"/>
    <mergeCell ref="MRK36:MRL36"/>
    <mergeCell ref="MRM36:MRN36"/>
    <mergeCell ref="MRO36:MRP36"/>
    <mergeCell ref="MRQ36:MRR36"/>
    <mergeCell ref="MRS36:MRT36"/>
    <mergeCell ref="MWK36:MWL36"/>
    <mergeCell ref="MWM36:MWN36"/>
    <mergeCell ref="MWO36:MWP36"/>
    <mergeCell ref="MWQ36:MWR36"/>
    <mergeCell ref="MWS36:MWT36"/>
    <mergeCell ref="MWU36:MWV36"/>
    <mergeCell ref="MVY36:MVZ36"/>
    <mergeCell ref="MWA36:MWB36"/>
    <mergeCell ref="MWC36:MWD36"/>
    <mergeCell ref="MWE36:MWF36"/>
    <mergeCell ref="MWG36:MWH36"/>
    <mergeCell ref="MWI36:MWJ36"/>
    <mergeCell ref="MVM36:MVN36"/>
    <mergeCell ref="MVO36:MVP36"/>
    <mergeCell ref="MVQ36:MVR36"/>
    <mergeCell ref="MVS36:MVT36"/>
    <mergeCell ref="MVU36:MVV36"/>
    <mergeCell ref="MVW36:MVX36"/>
    <mergeCell ref="MVA36:MVB36"/>
    <mergeCell ref="MVC36:MVD36"/>
    <mergeCell ref="MVE36:MVF36"/>
    <mergeCell ref="MVG36:MVH36"/>
    <mergeCell ref="MVI36:MVJ36"/>
    <mergeCell ref="MVK36:MVL36"/>
    <mergeCell ref="MUO36:MUP36"/>
    <mergeCell ref="MUQ36:MUR36"/>
    <mergeCell ref="MUS36:MUT36"/>
    <mergeCell ref="MUU36:MUV36"/>
    <mergeCell ref="MUW36:MUX36"/>
    <mergeCell ref="MUY36:MUZ36"/>
    <mergeCell ref="MUC36:MUD36"/>
    <mergeCell ref="MUE36:MUF36"/>
    <mergeCell ref="MUG36:MUH36"/>
    <mergeCell ref="MUI36:MUJ36"/>
    <mergeCell ref="MUK36:MUL36"/>
    <mergeCell ref="MUM36:MUN36"/>
    <mergeCell ref="MZE36:MZF36"/>
    <mergeCell ref="MZG36:MZH36"/>
    <mergeCell ref="MZI36:MZJ36"/>
    <mergeCell ref="MZK36:MZL36"/>
    <mergeCell ref="MZM36:MZN36"/>
    <mergeCell ref="MZO36:MZP36"/>
    <mergeCell ref="MYS36:MYT36"/>
    <mergeCell ref="MYU36:MYV36"/>
    <mergeCell ref="MYW36:MYX36"/>
    <mergeCell ref="MYY36:MYZ36"/>
    <mergeCell ref="MZA36:MZB36"/>
    <mergeCell ref="MZC36:MZD36"/>
    <mergeCell ref="MYG36:MYH36"/>
    <mergeCell ref="MYI36:MYJ36"/>
    <mergeCell ref="MYK36:MYL36"/>
    <mergeCell ref="MYM36:MYN36"/>
    <mergeCell ref="MYO36:MYP36"/>
    <mergeCell ref="MYQ36:MYR36"/>
    <mergeCell ref="MXU36:MXV36"/>
    <mergeCell ref="MXW36:MXX36"/>
    <mergeCell ref="MXY36:MXZ36"/>
    <mergeCell ref="MYA36:MYB36"/>
    <mergeCell ref="MYC36:MYD36"/>
    <mergeCell ref="MYE36:MYF36"/>
    <mergeCell ref="MXI36:MXJ36"/>
    <mergeCell ref="MXK36:MXL36"/>
    <mergeCell ref="MXM36:MXN36"/>
    <mergeCell ref="MXO36:MXP36"/>
    <mergeCell ref="MXQ36:MXR36"/>
    <mergeCell ref="MXS36:MXT36"/>
    <mergeCell ref="MWW36:MWX36"/>
    <mergeCell ref="MWY36:MWZ36"/>
    <mergeCell ref="MXA36:MXB36"/>
    <mergeCell ref="MXC36:MXD36"/>
    <mergeCell ref="MXE36:MXF36"/>
    <mergeCell ref="MXG36:MXH36"/>
    <mergeCell ref="NBY36:NBZ36"/>
    <mergeCell ref="NCA36:NCB36"/>
    <mergeCell ref="NCC36:NCD36"/>
    <mergeCell ref="NCE36:NCF36"/>
    <mergeCell ref="NCG36:NCH36"/>
    <mergeCell ref="NCI36:NCJ36"/>
    <mergeCell ref="NBM36:NBN36"/>
    <mergeCell ref="NBO36:NBP36"/>
    <mergeCell ref="NBQ36:NBR36"/>
    <mergeCell ref="NBS36:NBT36"/>
    <mergeCell ref="NBU36:NBV36"/>
    <mergeCell ref="NBW36:NBX36"/>
    <mergeCell ref="NBA36:NBB36"/>
    <mergeCell ref="NBC36:NBD36"/>
    <mergeCell ref="NBE36:NBF36"/>
    <mergeCell ref="NBG36:NBH36"/>
    <mergeCell ref="NBI36:NBJ36"/>
    <mergeCell ref="NBK36:NBL36"/>
    <mergeCell ref="NAO36:NAP36"/>
    <mergeCell ref="NAQ36:NAR36"/>
    <mergeCell ref="NAS36:NAT36"/>
    <mergeCell ref="NAU36:NAV36"/>
    <mergeCell ref="NAW36:NAX36"/>
    <mergeCell ref="NAY36:NAZ36"/>
    <mergeCell ref="NAC36:NAD36"/>
    <mergeCell ref="NAE36:NAF36"/>
    <mergeCell ref="NAG36:NAH36"/>
    <mergeCell ref="NAI36:NAJ36"/>
    <mergeCell ref="NAK36:NAL36"/>
    <mergeCell ref="NAM36:NAN36"/>
    <mergeCell ref="MZQ36:MZR36"/>
    <mergeCell ref="MZS36:MZT36"/>
    <mergeCell ref="MZU36:MZV36"/>
    <mergeCell ref="MZW36:MZX36"/>
    <mergeCell ref="MZY36:MZZ36"/>
    <mergeCell ref="NAA36:NAB36"/>
    <mergeCell ref="NES36:NET36"/>
    <mergeCell ref="NEU36:NEV36"/>
    <mergeCell ref="NEW36:NEX36"/>
    <mergeCell ref="NEY36:NEZ36"/>
    <mergeCell ref="NFA36:NFB36"/>
    <mergeCell ref="NFC36:NFD36"/>
    <mergeCell ref="NEG36:NEH36"/>
    <mergeCell ref="NEI36:NEJ36"/>
    <mergeCell ref="NEK36:NEL36"/>
    <mergeCell ref="NEM36:NEN36"/>
    <mergeCell ref="NEO36:NEP36"/>
    <mergeCell ref="NEQ36:NER36"/>
    <mergeCell ref="NDU36:NDV36"/>
    <mergeCell ref="NDW36:NDX36"/>
    <mergeCell ref="NDY36:NDZ36"/>
    <mergeCell ref="NEA36:NEB36"/>
    <mergeCell ref="NEC36:NED36"/>
    <mergeCell ref="NEE36:NEF36"/>
    <mergeCell ref="NDI36:NDJ36"/>
    <mergeCell ref="NDK36:NDL36"/>
    <mergeCell ref="NDM36:NDN36"/>
    <mergeCell ref="NDO36:NDP36"/>
    <mergeCell ref="NDQ36:NDR36"/>
    <mergeCell ref="NDS36:NDT36"/>
    <mergeCell ref="NCW36:NCX36"/>
    <mergeCell ref="NCY36:NCZ36"/>
    <mergeCell ref="NDA36:NDB36"/>
    <mergeCell ref="NDC36:NDD36"/>
    <mergeCell ref="NDE36:NDF36"/>
    <mergeCell ref="NDG36:NDH36"/>
    <mergeCell ref="NCK36:NCL36"/>
    <mergeCell ref="NCM36:NCN36"/>
    <mergeCell ref="NCO36:NCP36"/>
    <mergeCell ref="NCQ36:NCR36"/>
    <mergeCell ref="NCS36:NCT36"/>
    <mergeCell ref="NCU36:NCV36"/>
    <mergeCell ref="NHM36:NHN36"/>
    <mergeCell ref="NHO36:NHP36"/>
    <mergeCell ref="NHQ36:NHR36"/>
    <mergeCell ref="NHS36:NHT36"/>
    <mergeCell ref="NHU36:NHV36"/>
    <mergeCell ref="NHW36:NHX36"/>
    <mergeCell ref="NHA36:NHB36"/>
    <mergeCell ref="NHC36:NHD36"/>
    <mergeCell ref="NHE36:NHF36"/>
    <mergeCell ref="NHG36:NHH36"/>
    <mergeCell ref="NHI36:NHJ36"/>
    <mergeCell ref="NHK36:NHL36"/>
    <mergeCell ref="NGO36:NGP36"/>
    <mergeCell ref="NGQ36:NGR36"/>
    <mergeCell ref="NGS36:NGT36"/>
    <mergeCell ref="NGU36:NGV36"/>
    <mergeCell ref="NGW36:NGX36"/>
    <mergeCell ref="NGY36:NGZ36"/>
    <mergeCell ref="NGC36:NGD36"/>
    <mergeCell ref="NGE36:NGF36"/>
    <mergeCell ref="NGG36:NGH36"/>
    <mergeCell ref="NGI36:NGJ36"/>
    <mergeCell ref="NGK36:NGL36"/>
    <mergeCell ref="NGM36:NGN36"/>
    <mergeCell ref="NFQ36:NFR36"/>
    <mergeCell ref="NFS36:NFT36"/>
    <mergeCell ref="NFU36:NFV36"/>
    <mergeCell ref="NFW36:NFX36"/>
    <mergeCell ref="NFY36:NFZ36"/>
    <mergeCell ref="NGA36:NGB36"/>
    <mergeCell ref="NFE36:NFF36"/>
    <mergeCell ref="NFG36:NFH36"/>
    <mergeCell ref="NFI36:NFJ36"/>
    <mergeCell ref="NFK36:NFL36"/>
    <mergeCell ref="NFM36:NFN36"/>
    <mergeCell ref="NFO36:NFP36"/>
    <mergeCell ref="NKG36:NKH36"/>
    <mergeCell ref="NKI36:NKJ36"/>
    <mergeCell ref="NKK36:NKL36"/>
    <mergeCell ref="NKM36:NKN36"/>
    <mergeCell ref="NKO36:NKP36"/>
    <mergeCell ref="NKQ36:NKR36"/>
    <mergeCell ref="NJU36:NJV36"/>
    <mergeCell ref="NJW36:NJX36"/>
    <mergeCell ref="NJY36:NJZ36"/>
    <mergeCell ref="NKA36:NKB36"/>
    <mergeCell ref="NKC36:NKD36"/>
    <mergeCell ref="NKE36:NKF36"/>
    <mergeCell ref="NJI36:NJJ36"/>
    <mergeCell ref="NJK36:NJL36"/>
    <mergeCell ref="NJM36:NJN36"/>
    <mergeCell ref="NJO36:NJP36"/>
    <mergeCell ref="NJQ36:NJR36"/>
    <mergeCell ref="NJS36:NJT36"/>
    <mergeCell ref="NIW36:NIX36"/>
    <mergeCell ref="NIY36:NIZ36"/>
    <mergeCell ref="NJA36:NJB36"/>
    <mergeCell ref="NJC36:NJD36"/>
    <mergeCell ref="NJE36:NJF36"/>
    <mergeCell ref="NJG36:NJH36"/>
    <mergeCell ref="NIK36:NIL36"/>
    <mergeCell ref="NIM36:NIN36"/>
    <mergeCell ref="NIO36:NIP36"/>
    <mergeCell ref="NIQ36:NIR36"/>
    <mergeCell ref="NIS36:NIT36"/>
    <mergeCell ref="NIU36:NIV36"/>
    <mergeCell ref="NHY36:NHZ36"/>
    <mergeCell ref="NIA36:NIB36"/>
    <mergeCell ref="NIC36:NID36"/>
    <mergeCell ref="NIE36:NIF36"/>
    <mergeCell ref="NIG36:NIH36"/>
    <mergeCell ref="NII36:NIJ36"/>
    <mergeCell ref="NNA36:NNB36"/>
    <mergeCell ref="NNC36:NND36"/>
    <mergeCell ref="NNE36:NNF36"/>
    <mergeCell ref="NNG36:NNH36"/>
    <mergeCell ref="NNI36:NNJ36"/>
    <mergeCell ref="NNK36:NNL36"/>
    <mergeCell ref="NMO36:NMP36"/>
    <mergeCell ref="NMQ36:NMR36"/>
    <mergeCell ref="NMS36:NMT36"/>
    <mergeCell ref="NMU36:NMV36"/>
    <mergeCell ref="NMW36:NMX36"/>
    <mergeCell ref="NMY36:NMZ36"/>
    <mergeCell ref="NMC36:NMD36"/>
    <mergeCell ref="NME36:NMF36"/>
    <mergeCell ref="NMG36:NMH36"/>
    <mergeCell ref="NMI36:NMJ36"/>
    <mergeCell ref="NMK36:NML36"/>
    <mergeCell ref="NMM36:NMN36"/>
    <mergeCell ref="NLQ36:NLR36"/>
    <mergeCell ref="NLS36:NLT36"/>
    <mergeCell ref="NLU36:NLV36"/>
    <mergeCell ref="NLW36:NLX36"/>
    <mergeCell ref="NLY36:NLZ36"/>
    <mergeCell ref="NMA36:NMB36"/>
    <mergeCell ref="NLE36:NLF36"/>
    <mergeCell ref="NLG36:NLH36"/>
    <mergeCell ref="NLI36:NLJ36"/>
    <mergeCell ref="NLK36:NLL36"/>
    <mergeCell ref="NLM36:NLN36"/>
    <mergeCell ref="NLO36:NLP36"/>
    <mergeCell ref="NKS36:NKT36"/>
    <mergeCell ref="NKU36:NKV36"/>
    <mergeCell ref="NKW36:NKX36"/>
    <mergeCell ref="NKY36:NKZ36"/>
    <mergeCell ref="NLA36:NLB36"/>
    <mergeCell ref="NLC36:NLD36"/>
    <mergeCell ref="NPU36:NPV36"/>
    <mergeCell ref="NPW36:NPX36"/>
    <mergeCell ref="NPY36:NPZ36"/>
    <mergeCell ref="NQA36:NQB36"/>
    <mergeCell ref="NQC36:NQD36"/>
    <mergeCell ref="NQE36:NQF36"/>
    <mergeCell ref="NPI36:NPJ36"/>
    <mergeCell ref="NPK36:NPL36"/>
    <mergeCell ref="NPM36:NPN36"/>
    <mergeCell ref="NPO36:NPP36"/>
    <mergeCell ref="NPQ36:NPR36"/>
    <mergeCell ref="NPS36:NPT36"/>
    <mergeCell ref="NOW36:NOX36"/>
    <mergeCell ref="NOY36:NOZ36"/>
    <mergeCell ref="NPA36:NPB36"/>
    <mergeCell ref="NPC36:NPD36"/>
    <mergeCell ref="NPE36:NPF36"/>
    <mergeCell ref="NPG36:NPH36"/>
    <mergeCell ref="NOK36:NOL36"/>
    <mergeCell ref="NOM36:NON36"/>
    <mergeCell ref="NOO36:NOP36"/>
    <mergeCell ref="NOQ36:NOR36"/>
    <mergeCell ref="NOS36:NOT36"/>
    <mergeCell ref="NOU36:NOV36"/>
    <mergeCell ref="NNY36:NNZ36"/>
    <mergeCell ref="NOA36:NOB36"/>
    <mergeCell ref="NOC36:NOD36"/>
    <mergeCell ref="NOE36:NOF36"/>
    <mergeCell ref="NOG36:NOH36"/>
    <mergeCell ref="NOI36:NOJ36"/>
    <mergeCell ref="NNM36:NNN36"/>
    <mergeCell ref="NNO36:NNP36"/>
    <mergeCell ref="NNQ36:NNR36"/>
    <mergeCell ref="NNS36:NNT36"/>
    <mergeCell ref="NNU36:NNV36"/>
    <mergeCell ref="NNW36:NNX36"/>
    <mergeCell ref="NSO36:NSP36"/>
    <mergeCell ref="NSQ36:NSR36"/>
    <mergeCell ref="NSS36:NST36"/>
    <mergeCell ref="NSU36:NSV36"/>
    <mergeCell ref="NSW36:NSX36"/>
    <mergeCell ref="NSY36:NSZ36"/>
    <mergeCell ref="NSC36:NSD36"/>
    <mergeCell ref="NSE36:NSF36"/>
    <mergeCell ref="NSG36:NSH36"/>
    <mergeCell ref="NSI36:NSJ36"/>
    <mergeCell ref="NSK36:NSL36"/>
    <mergeCell ref="NSM36:NSN36"/>
    <mergeCell ref="NRQ36:NRR36"/>
    <mergeCell ref="NRS36:NRT36"/>
    <mergeCell ref="NRU36:NRV36"/>
    <mergeCell ref="NRW36:NRX36"/>
    <mergeCell ref="NRY36:NRZ36"/>
    <mergeCell ref="NSA36:NSB36"/>
    <mergeCell ref="NRE36:NRF36"/>
    <mergeCell ref="NRG36:NRH36"/>
    <mergeCell ref="NRI36:NRJ36"/>
    <mergeCell ref="NRK36:NRL36"/>
    <mergeCell ref="NRM36:NRN36"/>
    <mergeCell ref="NRO36:NRP36"/>
    <mergeCell ref="NQS36:NQT36"/>
    <mergeCell ref="NQU36:NQV36"/>
    <mergeCell ref="NQW36:NQX36"/>
    <mergeCell ref="NQY36:NQZ36"/>
    <mergeCell ref="NRA36:NRB36"/>
    <mergeCell ref="NRC36:NRD36"/>
    <mergeCell ref="NQG36:NQH36"/>
    <mergeCell ref="NQI36:NQJ36"/>
    <mergeCell ref="NQK36:NQL36"/>
    <mergeCell ref="NQM36:NQN36"/>
    <mergeCell ref="NQO36:NQP36"/>
    <mergeCell ref="NQQ36:NQR36"/>
    <mergeCell ref="NVI36:NVJ36"/>
    <mergeCell ref="NVK36:NVL36"/>
    <mergeCell ref="NVM36:NVN36"/>
    <mergeCell ref="NVO36:NVP36"/>
    <mergeCell ref="NVQ36:NVR36"/>
    <mergeCell ref="NVS36:NVT36"/>
    <mergeCell ref="NUW36:NUX36"/>
    <mergeCell ref="NUY36:NUZ36"/>
    <mergeCell ref="NVA36:NVB36"/>
    <mergeCell ref="NVC36:NVD36"/>
    <mergeCell ref="NVE36:NVF36"/>
    <mergeCell ref="NVG36:NVH36"/>
    <mergeCell ref="NUK36:NUL36"/>
    <mergeCell ref="NUM36:NUN36"/>
    <mergeCell ref="NUO36:NUP36"/>
    <mergeCell ref="NUQ36:NUR36"/>
    <mergeCell ref="NUS36:NUT36"/>
    <mergeCell ref="NUU36:NUV36"/>
    <mergeCell ref="NTY36:NTZ36"/>
    <mergeCell ref="NUA36:NUB36"/>
    <mergeCell ref="NUC36:NUD36"/>
    <mergeCell ref="NUE36:NUF36"/>
    <mergeCell ref="NUG36:NUH36"/>
    <mergeCell ref="NUI36:NUJ36"/>
    <mergeCell ref="NTM36:NTN36"/>
    <mergeCell ref="NTO36:NTP36"/>
    <mergeCell ref="NTQ36:NTR36"/>
    <mergeCell ref="NTS36:NTT36"/>
    <mergeCell ref="NTU36:NTV36"/>
    <mergeCell ref="NTW36:NTX36"/>
    <mergeCell ref="NTA36:NTB36"/>
    <mergeCell ref="NTC36:NTD36"/>
    <mergeCell ref="NTE36:NTF36"/>
    <mergeCell ref="NTG36:NTH36"/>
    <mergeCell ref="NTI36:NTJ36"/>
    <mergeCell ref="NTK36:NTL36"/>
    <mergeCell ref="NYC36:NYD36"/>
    <mergeCell ref="NYE36:NYF36"/>
    <mergeCell ref="NYG36:NYH36"/>
    <mergeCell ref="NYI36:NYJ36"/>
    <mergeCell ref="NYK36:NYL36"/>
    <mergeCell ref="NYM36:NYN36"/>
    <mergeCell ref="NXQ36:NXR36"/>
    <mergeCell ref="NXS36:NXT36"/>
    <mergeCell ref="NXU36:NXV36"/>
    <mergeCell ref="NXW36:NXX36"/>
    <mergeCell ref="NXY36:NXZ36"/>
    <mergeCell ref="NYA36:NYB36"/>
    <mergeCell ref="NXE36:NXF36"/>
    <mergeCell ref="NXG36:NXH36"/>
    <mergeCell ref="NXI36:NXJ36"/>
    <mergeCell ref="NXK36:NXL36"/>
    <mergeCell ref="NXM36:NXN36"/>
    <mergeCell ref="NXO36:NXP36"/>
    <mergeCell ref="NWS36:NWT36"/>
    <mergeCell ref="NWU36:NWV36"/>
    <mergeCell ref="NWW36:NWX36"/>
    <mergeCell ref="NWY36:NWZ36"/>
    <mergeCell ref="NXA36:NXB36"/>
    <mergeCell ref="NXC36:NXD36"/>
    <mergeCell ref="NWG36:NWH36"/>
    <mergeCell ref="NWI36:NWJ36"/>
    <mergeCell ref="NWK36:NWL36"/>
    <mergeCell ref="NWM36:NWN36"/>
    <mergeCell ref="NWO36:NWP36"/>
    <mergeCell ref="NWQ36:NWR36"/>
    <mergeCell ref="NVU36:NVV36"/>
    <mergeCell ref="NVW36:NVX36"/>
    <mergeCell ref="NVY36:NVZ36"/>
    <mergeCell ref="NWA36:NWB36"/>
    <mergeCell ref="NWC36:NWD36"/>
    <mergeCell ref="NWE36:NWF36"/>
    <mergeCell ref="OAW36:OAX36"/>
    <mergeCell ref="OAY36:OAZ36"/>
    <mergeCell ref="OBA36:OBB36"/>
    <mergeCell ref="OBC36:OBD36"/>
    <mergeCell ref="OBE36:OBF36"/>
    <mergeCell ref="OBG36:OBH36"/>
    <mergeCell ref="OAK36:OAL36"/>
    <mergeCell ref="OAM36:OAN36"/>
    <mergeCell ref="OAO36:OAP36"/>
    <mergeCell ref="OAQ36:OAR36"/>
    <mergeCell ref="OAS36:OAT36"/>
    <mergeCell ref="OAU36:OAV36"/>
    <mergeCell ref="NZY36:NZZ36"/>
    <mergeCell ref="OAA36:OAB36"/>
    <mergeCell ref="OAC36:OAD36"/>
    <mergeCell ref="OAE36:OAF36"/>
    <mergeCell ref="OAG36:OAH36"/>
    <mergeCell ref="OAI36:OAJ36"/>
    <mergeCell ref="NZM36:NZN36"/>
    <mergeCell ref="NZO36:NZP36"/>
    <mergeCell ref="NZQ36:NZR36"/>
    <mergeCell ref="NZS36:NZT36"/>
    <mergeCell ref="NZU36:NZV36"/>
    <mergeCell ref="NZW36:NZX36"/>
    <mergeCell ref="NZA36:NZB36"/>
    <mergeCell ref="NZC36:NZD36"/>
    <mergeCell ref="NZE36:NZF36"/>
    <mergeCell ref="NZG36:NZH36"/>
    <mergeCell ref="NZI36:NZJ36"/>
    <mergeCell ref="NZK36:NZL36"/>
    <mergeCell ref="NYO36:NYP36"/>
    <mergeCell ref="NYQ36:NYR36"/>
    <mergeCell ref="NYS36:NYT36"/>
    <mergeCell ref="NYU36:NYV36"/>
    <mergeCell ref="NYW36:NYX36"/>
    <mergeCell ref="NYY36:NYZ36"/>
    <mergeCell ref="ODQ36:ODR36"/>
    <mergeCell ref="ODS36:ODT36"/>
    <mergeCell ref="ODU36:ODV36"/>
    <mergeCell ref="ODW36:ODX36"/>
    <mergeCell ref="ODY36:ODZ36"/>
    <mergeCell ref="OEA36:OEB36"/>
    <mergeCell ref="ODE36:ODF36"/>
    <mergeCell ref="ODG36:ODH36"/>
    <mergeCell ref="ODI36:ODJ36"/>
    <mergeCell ref="ODK36:ODL36"/>
    <mergeCell ref="ODM36:ODN36"/>
    <mergeCell ref="ODO36:ODP36"/>
    <mergeCell ref="OCS36:OCT36"/>
    <mergeCell ref="OCU36:OCV36"/>
    <mergeCell ref="OCW36:OCX36"/>
    <mergeCell ref="OCY36:OCZ36"/>
    <mergeCell ref="ODA36:ODB36"/>
    <mergeCell ref="ODC36:ODD36"/>
    <mergeCell ref="OCG36:OCH36"/>
    <mergeCell ref="OCI36:OCJ36"/>
    <mergeCell ref="OCK36:OCL36"/>
    <mergeCell ref="OCM36:OCN36"/>
    <mergeCell ref="OCO36:OCP36"/>
    <mergeCell ref="OCQ36:OCR36"/>
    <mergeCell ref="OBU36:OBV36"/>
    <mergeCell ref="OBW36:OBX36"/>
    <mergeCell ref="OBY36:OBZ36"/>
    <mergeCell ref="OCA36:OCB36"/>
    <mergeCell ref="OCC36:OCD36"/>
    <mergeCell ref="OCE36:OCF36"/>
    <mergeCell ref="OBI36:OBJ36"/>
    <mergeCell ref="OBK36:OBL36"/>
    <mergeCell ref="OBM36:OBN36"/>
    <mergeCell ref="OBO36:OBP36"/>
    <mergeCell ref="OBQ36:OBR36"/>
    <mergeCell ref="OBS36:OBT36"/>
    <mergeCell ref="OGK36:OGL36"/>
    <mergeCell ref="OGM36:OGN36"/>
    <mergeCell ref="OGO36:OGP36"/>
    <mergeCell ref="OGQ36:OGR36"/>
    <mergeCell ref="OGS36:OGT36"/>
    <mergeCell ref="OGU36:OGV36"/>
    <mergeCell ref="OFY36:OFZ36"/>
    <mergeCell ref="OGA36:OGB36"/>
    <mergeCell ref="OGC36:OGD36"/>
    <mergeCell ref="OGE36:OGF36"/>
    <mergeCell ref="OGG36:OGH36"/>
    <mergeCell ref="OGI36:OGJ36"/>
    <mergeCell ref="OFM36:OFN36"/>
    <mergeCell ref="OFO36:OFP36"/>
    <mergeCell ref="OFQ36:OFR36"/>
    <mergeCell ref="OFS36:OFT36"/>
    <mergeCell ref="OFU36:OFV36"/>
    <mergeCell ref="OFW36:OFX36"/>
    <mergeCell ref="OFA36:OFB36"/>
    <mergeCell ref="OFC36:OFD36"/>
    <mergeCell ref="OFE36:OFF36"/>
    <mergeCell ref="OFG36:OFH36"/>
    <mergeCell ref="OFI36:OFJ36"/>
    <mergeCell ref="OFK36:OFL36"/>
    <mergeCell ref="OEO36:OEP36"/>
    <mergeCell ref="OEQ36:OER36"/>
    <mergeCell ref="OES36:OET36"/>
    <mergeCell ref="OEU36:OEV36"/>
    <mergeCell ref="OEW36:OEX36"/>
    <mergeCell ref="OEY36:OEZ36"/>
    <mergeCell ref="OEC36:OED36"/>
    <mergeCell ref="OEE36:OEF36"/>
    <mergeCell ref="OEG36:OEH36"/>
    <mergeCell ref="OEI36:OEJ36"/>
    <mergeCell ref="OEK36:OEL36"/>
    <mergeCell ref="OEM36:OEN36"/>
    <mergeCell ref="OJE36:OJF36"/>
    <mergeCell ref="OJG36:OJH36"/>
    <mergeCell ref="OJI36:OJJ36"/>
    <mergeCell ref="OJK36:OJL36"/>
    <mergeCell ref="OJM36:OJN36"/>
    <mergeCell ref="OJO36:OJP36"/>
    <mergeCell ref="OIS36:OIT36"/>
    <mergeCell ref="OIU36:OIV36"/>
    <mergeCell ref="OIW36:OIX36"/>
    <mergeCell ref="OIY36:OIZ36"/>
    <mergeCell ref="OJA36:OJB36"/>
    <mergeCell ref="OJC36:OJD36"/>
    <mergeCell ref="OIG36:OIH36"/>
    <mergeCell ref="OII36:OIJ36"/>
    <mergeCell ref="OIK36:OIL36"/>
    <mergeCell ref="OIM36:OIN36"/>
    <mergeCell ref="OIO36:OIP36"/>
    <mergeCell ref="OIQ36:OIR36"/>
    <mergeCell ref="OHU36:OHV36"/>
    <mergeCell ref="OHW36:OHX36"/>
    <mergeCell ref="OHY36:OHZ36"/>
    <mergeCell ref="OIA36:OIB36"/>
    <mergeCell ref="OIC36:OID36"/>
    <mergeCell ref="OIE36:OIF36"/>
    <mergeCell ref="OHI36:OHJ36"/>
    <mergeCell ref="OHK36:OHL36"/>
    <mergeCell ref="OHM36:OHN36"/>
    <mergeCell ref="OHO36:OHP36"/>
    <mergeCell ref="OHQ36:OHR36"/>
    <mergeCell ref="OHS36:OHT36"/>
    <mergeCell ref="OGW36:OGX36"/>
    <mergeCell ref="OGY36:OGZ36"/>
    <mergeCell ref="OHA36:OHB36"/>
    <mergeCell ref="OHC36:OHD36"/>
    <mergeCell ref="OHE36:OHF36"/>
    <mergeCell ref="OHG36:OHH36"/>
    <mergeCell ref="OLY36:OLZ36"/>
    <mergeCell ref="OMA36:OMB36"/>
    <mergeCell ref="OMC36:OMD36"/>
    <mergeCell ref="OME36:OMF36"/>
    <mergeCell ref="OMG36:OMH36"/>
    <mergeCell ref="OMI36:OMJ36"/>
    <mergeCell ref="OLM36:OLN36"/>
    <mergeCell ref="OLO36:OLP36"/>
    <mergeCell ref="OLQ36:OLR36"/>
    <mergeCell ref="OLS36:OLT36"/>
    <mergeCell ref="OLU36:OLV36"/>
    <mergeCell ref="OLW36:OLX36"/>
    <mergeCell ref="OLA36:OLB36"/>
    <mergeCell ref="OLC36:OLD36"/>
    <mergeCell ref="OLE36:OLF36"/>
    <mergeCell ref="OLG36:OLH36"/>
    <mergeCell ref="OLI36:OLJ36"/>
    <mergeCell ref="OLK36:OLL36"/>
    <mergeCell ref="OKO36:OKP36"/>
    <mergeCell ref="OKQ36:OKR36"/>
    <mergeCell ref="OKS36:OKT36"/>
    <mergeCell ref="OKU36:OKV36"/>
    <mergeCell ref="OKW36:OKX36"/>
    <mergeCell ref="OKY36:OKZ36"/>
    <mergeCell ref="OKC36:OKD36"/>
    <mergeCell ref="OKE36:OKF36"/>
    <mergeCell ref="OKG36:OKH36"/>
    <mergeCell ref="OKI36:OKJ36"/>
    <mergeCell ref="OKK36:OKL36"/>
    <mergeCell ref="OKM36:OKN36"/>
    <mergeCell ref="OJQ36:OJR36"/>
    <mergeCell ref="OJS36:OJT36"/>
    <mergeCell ref="OJU36:OJV36"/>
    <mergeCell ref="OJW36:OJX36"/>
    <mergeCell ref="OJY36:OJZ36"/>
    <mergeCell ref="OKA36:OKB36"/>
    <mergeCell ref="OOS36:OOT36"/>
    <mergeCell ref="OOU36:OOV36"/>
    <mergeCell ref="OOW36:OOX36"/>
    <mergeCell ref="OOY36:OOZ36"/>
    <mergeCell ref="OPA36:OPB36"/>
    <mergeCell ref="OPC36:OPD36"/>
    <mergeCell ref="OOG36:OOH36"/>
    <mergeCell ref="OOI36:OOJ36"/>
    <mergeCell ref="OOK36:OOL36"/>
    <mergeCell ref="OOM36:OON36"/>
    <mergeCell ref="OOO36:OOP36"/>
    <mergeCell ref="OOQ36:OOR36"/>
    <mergeCell ref="ONU36:ONV36"/>
    <mergeCell ref="ONW36:ONX36"/>
    <mergeCell ref="ONY36:ONZ36"/>
    <mergeCell ref="OOA36:OOB36"/>
    <mergeCell ref="OOC36:OOD36"/>
    <mergeCell ref="OOE36:OOF36"/>
    <mergeCell ref="ONI36:ONJ36"/>
    <mergeCell ref="ONK36:ONL36"/>
    <mergeCell ref="ONM36:ONN36"/>
    <mergeCell ref="ONO36:ONP36"/>
    <mergeCell ref="ONQ36:ONR36"/>
    <mergeCell ref="ONS36:ONT36"/>
    <mergeCell ref="OMW36:OMX36"/>
    <mergeCell ref="OMY36:OMZ36"/>
    <mergeCell ref="ONA36:ONB36"/>
    <mergeCell ref="ONC36:OND36"/>
    <mergeCell ref="ONE36:ONF36"/>
    <mergeCell ref="ONG36:ONH36"/>
    <mergeCell ref="OMK36:OML36"/>
    <mergeCell ref="OMM36:OMN36"/>
    <mergeCell ref="OMO36:OMP36"/>
    <mergeCell ref="OMQ36:OMR36"/>
    <mergeCell ref="OMS36:OMT36"/>
    <mergeCell ref="OMU36:OMV36"/>
    <mergeCell ref="ORM36:ORN36"/>
    <mergeCell ref="ORO36:ORP36"/>
    <mergeCell ref="ORQ36:ORR36"/>
    <mergeCell ref="ORS36:ORT36"/>
    <mergeCell ref="ORU36:ORV36"/>
    <mergeCell ref="ORW36:ORX36"/>
    <mergeCell ref="ORA36:ORB36"/>
    <mergeCell ref="ORC36:ORD36"/>
    <mergeCell ref="ORE36:ORF36"/>
    <mergeCell ref="ORG36:ORH36"/>
    <mergeCell ref="ORI36:ORJ36"/>
    <mergeCell ref="ORK36:ORL36"/>
    <mergeCell ref="OQO36:OQP36"/>
    <mergeCell ref="OQQ36:OQR36"/>
    <mergeCell ref="OQS36:OQT36"/>
    <mergeCell ref="OQU36:OQV36"/>
    <mergeCell ref="OQW36:OQX36"/>
    <mergeCell ref="OQY36:OQZ36"/>
    <mergeCell ref="OQC36:OQD36"/>
    <mergeCell ref="OQE36:OQF36"/>
    <mergeCell ref="OQG36:OQH36"/>
    <mergeCell ref="OQI36:OQJ36"/>
    <mergeCell ref="OQK36:OQL36"/>
    <mergeCell ref="OQM36:OQN36"/>
    <mergeCell ref="OPQ36:OPR36"/>
    <mergeCell ref="OPS36:OPT36"/>
    <mergeCell ref="OPU36:OPV36"/>
    <mergeCell ref="OPW36:OPX36"/>
    <mergeCell ref="OPY36:OPZ36"/>
    <mergeCell ref="OQA36:OQB36"/>
    <mergeCell ref="OPE36:OPF36"/>
    <mergeCell ref="OPG36:OPH36"/>
    <mergeCell ref="OPI36:OPJ36"/>
    <mergeCell ref="OPK36:OPL36"/>
    <mergeCell ref="OPM36:OPN36"/>
    <mergeCell ref="OPO36:OPP36"/>
    <mergeCell ref="OUG36:OUH36"/>
    <mergeCell ref="OUI36:OUJ36"/>
    <mergeCell ref="OUK36:OUL36"/>
    <mergeCell ref="OUM36:OUN36"/>
    <mergeCell ref="OUO36:OUP36"/>
    <mergeCell ref="OUQ36:OUR36"/>
    <mergeCell ref="OTU36:OTV36"/>
    <mergeCell ref="OTW36:OTX36"/>
    <mergeCell ref="OTY36:OTZ36"/>
    <mergeCell ref="OUA36:OUB36"/>
    <mergeCell ref="OUC36:OUD36"/>
    <mergeCell ref="OUE36:OUF36"/>
    <mergeCell ref="OTI36:OTJ36"/>
    <mergeCell ref="OTK36:OTL36"/>
    <mergeCell ref="OTM36:OTN36"/>
    <mergeCell ref="OTO36:OTP36"/>
    <mergeCell ref="OTQ36:OTR36"/>
    <mergeCell ref="OTS36:OTT36"/>
    <mergeCell ref="OSW36:OSX36"/>
    <mergeCell ref="OSY36:OSZ36"/>
    <mergeCell ref="OTA36:OTB36"/>
    <mergeCell ref="OTC36:OTD36"/>
    <mergeCell ref="OTE36:OTF36"/>
    <mergeCell ref="OTG36:OTH36"/>
    <mergeCell ref="OSK36:OSL36"/>
    <mergeCell ref="OSM36:OSN36"/>
    <mergeCell ref="OSO36:OSP36"/>
    <mergeCell ref="OSQ36:OSR36"/>
    <mergeCell ref="OSS36:OST36"/>
    <mergeCell ref="OSU36:OSV36"/>
    <mergeCell ref="ORY36:ORZ36"/>
    <mergeCell ref="OSA36:OSB36"/>
    <mergeCell ref="OSC36:OSD36"/>
    <mergeCell ref="OSE36:OSF36"/>
    <mergeCell ref="OSG36:OSH36"/>
    <mergeCell ref="OSI36:OSJ36"/>
    <mergeCell ref="OXA36:OXB36"/>
    <mergeCell ref="OXC36:OXD36"/>
    <mergeCell ref="OXE36:OXF36"/>
    <mergeCell ref="OXG36:OXH36"/>
    <mergeCell ref="OXI36:OXJ36"/>
    <mergeCell ref="OXK36:OXL36"/>
    <mergeCell ref="OWO36:OWP36"/>
    <mergeCell ref="OWQ36:OWR36"/>
    <mergeCell ref="OWS36:OWT36"/>
    <mergeCell ref="OWU36:OWV36"/>
    <mergeCell ref="OWW36:OWX36"/>
    <mergeCell ref="OWY36:OWZ36"/>
    <mergeCell ref="OWC36:OWD36"/>
    <mergeCell ref="OWE36:OWF36"/>
    <mergeCell ref="OWG36:OWH36"/>
    <mergeCell ref="OWI36:OWJ36"/>
    <mergeCell ref="OWK36:OWL36"/>
    <mergeCell ref="OWM36:OWN36"/>
    <mergeCell ref="OVQ36:OVR36"/>
    <mergeCell ref="OVS36:OVT36"/>
    <mergeCell ref="OVU36:OVV36"/>
    <mergeCell ref="OVW36:OVX36"/>
    <mergeCell ref="OVY36:OVZ36"/>
    <mergeCell ref="OWA36:OWB36"/>
    <mergeCell ref="OVE36:OVF36"/>
    <mergeCell ref="OVG36:OVH36"/>
    <mergeCell ref="OVI36:OVJ36"/>
    <mergeCell ref="OVK36:OVL36"/>
    <mergeCell ref="OVM36:OVN36"/>
    <mergeCell ref="OVO36:OVP36"/>
    <mergeCell ref="OUS36:OUT36"/>
    <mergeCell ref="OUU36:OUV36"/>
    <mergeCell ref="OUW36:OUX36"/>
    <mergeCell ref="OUY36:OUZ36"/>
    <mergeCell ref="OVA36:OVB36"/>
    <mergeCell ref="OVC36:OVD36"/>
    <mergeCell ref="OZU36:OZV36"/>
    <mergeCell ref="OZW36:OZX36"/>
    <mergeCell ref="OZY36:OZZ36"/>
    <mergeCell ref="PAA36:PAB36"/>
    <mergeCell ref="PAC36:PAD36"/>
    <mergeCell ref="PAE36:PAF36"/>
    <mergeCell ref="OZI36:OZJ36"/>
    <mergeCell ref="OZK36:OZL36"/>
    <mergeCell ref="OZM36:OZN36"/>
    <mergeCell ref="OZO36:OZP36"/>
    <mergeCell ref="OZQ36:OZR36"/>
    <mergeCell ref="OZS36:OZT36"/>
    <mergeCell ref="OYW36:OYX36"/>
    <mergeCell ref="OYY36:OYZ36"/>
    <mergeCell ref="OZA36:OZB36"/>
    <mergeCell ref="OZC36:OZD36"/>
    <mergeCell ref="OZE36:OZF36"/>
    <mergeCell ref="OZG36:OZH36"/>
    <mergeCell ref="OYK36:OYL36"/>
    <mergeCell ref="OYM36:OYN36"/>
    <mergeCell ref="OYO36:OYP36"/>
    <mergeCell ref="OYQ36:OYR36"/>
    <mergeCell ref="OYS36:OYT36"/>
    <mergeCell ref="OYU36:OYV36"/>
    <mergeCell ref="OXY36:OXZ36"/>
    <mergeCell ref="OYA36:OYB36"/>
    <mergeCell ref="OYC36:OYD36"/>
    <mergeCell ref="OYE36:OYF36"/>
    <mergeCell ref="OYG36:OYH36"/>
    <mergeCell ref="OYI36:OYJ36"/>
    <mergeCell ref="OXM36:OXN36"/>
    <mergeCell ref="OXO36:OXP36"/>
    <mergeCell ref="OXQ36:OXR36"/>
    <mergeCell ref="OXS36:OXT36"/>
    <mergeCell ref="OXU36:OXV36"/>
    <mergeCell ref="OXW36:OXX36"/>
    <mergeCell ref="PCO36:PCP36"/>
    <mergeCell ref="PCQ36:PCR36"/>
    <mergeCell ref="PCS36:PCT36"/>
    <mergeCell ref="PCU36:PCV36"/>
    <mergeCell ref="PCW36:PCX36"/>
    <mergeCell ref="PCY36:PCZ36"/>
    <mergeCell ref="PCC36:PCD36"/>
    <mergeCell ref="PCE36:PCF36"/>
    <mergeCell ref="PCG36:PCH36"/>
    <mergeCell ref="PCI36:PCJ36"/>
    <mergeCell ref="PCK36:PCL36"/>
    <mergeCell ref="PCM36:PCN36"/>
    <mergeCell ref="PBQ36:PBR36"/>
    <mergeCell ref="PBS36:PBT36"/>
    <mergeCell ref="PBU36:PBV36"/>
    <mergeCell ref="PBW36:PBX36"/>
    <mergeCell ref="PBY36:PBZ36"/>
    <mergeCell ref="PCA36:PCB36"/>
    <mergeCell ref="PBE36:PBF36"/>
    <mergeCell ref="PBG36:PBH36"/>
    <mergeCell ref="PBI36:PBJ36"/>
    <mergeCell ref="PBK36:PBL36"/>
    <mergeCell ref="PBM36:PBN36"/>
    <mergeCell ref="PBO36:PBP36"/>
    <mergeCell ref="PAS36:PAT36"/>
    <mergeCell ref="PAU36:PAV36"/>
    <mergeCell ref="PAW36:PAX36"/>
    <mergeCell ref="PAY36:PAZ36"/>
    <mergeCell ref="PBA36:PBB36"/>
    <mergeCell ref="PBC36:PBD36"/>
    <mergeCell ref="PAG36:PAH36"/>
    <mergeCell ref="PAI36:PAJ36"/>
    <mergeCell ref="PAK36:PAL36"/>
    <mergeCell ref="PAM36:PAN36"/>
    <mergeCell ref="PAO36:PAP36"/>
    <mergeCell ref="PAQ36:PAR36"/>
    <mergeCell ref="PFI36:PFJ36"/>
    <mergeCell ref="PFK36:PFL36"/>
    <mergeCell ref="PFM36:PFN36"/>
    <mergeCell ref="PFO36:PFP36"/>
    <mergeCell ref="PFQ36:PFR36"/>
    <mergeCell ref="PFS36:PFT36"/>
    <mergeCell ref="PEW36:PEX36"/>
    <mergeCell ref="PEY36:PEZ36"/>
    <mergeCell ref="PFA36:PFB36"/>
    <mergeCell ref="PFC36:PFD36"/>
    <mergeCell ref="PFE36:PFF36"/>
    <mergeCell ref="PFG36:PFH36"/>
    <mergeCell ref="PEK36:PEL36"/>
    <mergeCell ref="PEM36:PEN36"/>
    <mergeCell ref="PEO36:PEP36"/>
    <mergeCell ref="PEQ36:PER36"/>
    <mergeCell ref="PES36:PET36"/>
    <mergeCell ref="PEU36:PEV36"/>
    <mergeCell ref="PDY36:PDZ36"/>
    <mergeCell ref="PEA36:PEB36"/>
    <mergeCell ref="PEC36:PED36"/>
    <mergeCell ref="PEE36:PEF36"/>
    <mergeCell ref="PEG36:PEH36"/>
    <mergeCell ref="PEI36:PEJ36"/>
    <mergeCell ref="PDM36:PDN36"/>
    <mergeCell ref="PDO36:PDP36"/>
    <mergeCell ref="PDQ36:PDR36"/>
    <mergeCell ref="PDS36:PDT36"/>
    <mergeCell ref="PDU36:PDV36"/>
    <mergeCell ref="PDW36:PDX36"/>
    <mergeCell ref="PDA36:PDB36"/>
    <mergeCell ref="PDC36:PDD36"/>
    <mergeCell ref="PDE36:PDF36"/>
    <mergeCell ref="PDG36:PDH36"/>
    <mergeCell ref="PDI36:PDJ36"/>
    <mergeCell ref="PDK36:PDL36"/>
    <mergeCell ref="PIC36:PID36"/>
    <mergeCell ref="PIE36:PIF36"/>
    <mergeCell ref="PIG36:PIH36"/>
    <mergeCell ref="PII36:PIJ36"/>
    <mergeCell ref="PIK36:PIL36"/>
    <mergeCell ref="PIM36:PIN36"/>
    <mergeCell ref="PHQ36:PHR36"/>
    <mergeCell ref="PHS36:PHT36"/>
    <mergeCell ref="PHU36:PHV36"/>
    <mergeCell ref="PHW36:PHX36"/>
    <mergeCell ref="PHY36:PHZ36"/>
    <mergeCell ref="PIA36:PIB36"/>
    <mergeCell ref="PHE36:PHF36"/>
    <mergeCell ref="PHG36:PHH36"/>
    <mergeCell ref="PHI36:PHJ36"/>
    <mergeCell ref="PHK36:PHL36"/>
    <mergeCell ref="PHM36:PHN36"/>
    <mergeCell ref="PHO36:PHP36"/>
    <mergeCell ref="PGS36:PGT36"/>
    <mergeCell ref="PGU36:PGV36"/>
    <mergeCell ref="PGW36:PGX36"/>
    <mergeCell ref="PGY36:PGZ36"/>
    <mergeCell ref="PHA36:PHB36"/>
    <mergeCell ref="PHC36:PHD36"/>
    <mergeCell ref="PGG36:PGH36"/>
    <mergeCell ref="PGI36:PGJ36"/>
    <mergeCell ref="PGK36:PGL36"/>
    <mergeCell ref="PGM36:PGN36"/>
    <mergeCell ref="PGO36:PGP36"/>
    <mergeCell ref="PGQ36:PGR36"/>
    <mergeCell ref="PFU36:PFV36"/>
    <mergeCell ref="PFW36:PFX36"/>
    <mergeCell ref="PFY36:PFZ36"/>
    <mergeCell ref="PGA36:PGB36"/>
    <mergeCell ref="PGC36:PGD36"/>
    <mergeCell ref="PGE36:PGF36"/>
    <mergeCell ref="PKW36:PKX36"/>
    <mergeCell ref="PKY36:PKZ36"/>
    <mergeCell ref="PLA36:PLB36"/>
    <mergeCell ref="PLC36:PLD36"/>
    <mergeCell ref="PLE36:PLF36"/>
    <mergeCell ref="PLG36:PLH36"/>
    <mergeCell ref="PKK36:PKL36"/>
    <mergeCell ref="PKM36:PKN36"/>
    <mergeCell ref="PKO36:PKP36"/>
    <mergeCell ref="PKQ36:PKR36"/>
    <mergeCell ref="PKS36:PKT36"/>
    <mergeCell ref="PKU36:PKV36"/>
    <mergeCell ref="PJY36:PJZ36"/>
    <mergeCell ref="PKA36:PKB36"/>
    <mergeCell ref="PKC36:PKD36"/>
    <mergeCell ref="PKE36:PKF36"/>
    <mergeCell ref="PKG36:PKH36"/>
    <mergeCell ref="PKI36:PKJ36"/>
    <mergeCell ref="PJM36:PJN36"/>
    <mergeCell ref="PJO36:PJP36"/>
    <mergeCell ref="PJQ36:PJR36"/>
    <mergeCell ref="PJS36:PJT36"/>
    <mergeCell ref="PJU36:PJV36"/>
    <mergeCell ref="PJW36:PJX36"/>
    <mergeCell ref="PJA36:PJB36"/>
    <mergeCell ref="PJC36:PJD36"/>
    <mergeCell ref="PJE36:PJF36"/>
    <mergeCell ref="PJG36:PJH36"/>
    <mergeCell ref="PJI36:PJJ36"/>
    <mergeCell ref="PJK36:PJL36"/>
    <mergeCell ref="PIO36:PIP36"/>
    <mergeCell ref="PIQ36:PIR36"/>
    <mergeCell ref="PIS36:PIT36"/>
    <mergeCell ref="PIU36:PIV36"/>
    <mergeCell ref="PIW36:PIX36"/>
    <mergeCell ref="PIY36:PIZ36"/>
    <mergeCell ref="PNQ36:PNR36"/>
    <mergeCell ref="PNS36:PNT36"/>
    <mergeCell ref="PNU36:PNV36"/>
    <mergeCell ref="PNW36:PNX36"/>
    <mergeCell ref="PNY36:PNZ36"/>
    <mergeCell ref="POA36:POB36"/>
    <mergeCell ref="PNE36:PNF36"/>
    <mergeCell ref="PNG36:PNH36"/>
    <mergeCell ref="PNI36:PNJ36"/>
    <mergeCell ref="PNK36:PNL36"/>
    <mergeCell ref="PNM36:PNN36"/>
    <mergeCell ref="PNO36:PNP36"/>
    <mergeCell ref="PMS36:PMT36"/>
    <mergeCell ref="PMU36:PMV36"/>
    <mergeCell ref="PMW36:PMX36"/>
    <mergeCell ref="PMY36:PMZ36"/>
    <mergeCell ref="PNA36:PNB36"/>
    <mergeCell ref="PNC36:PND36"/>
    <mergeCell ref="PMG36:PMH36"/>
    <mergeCell ref="PMI36:PMJ36"/>
    <mergeCell ref="PMK36:PML36"/>
    <mergeCell ref="PMM36:PMN36"/>
    <mergeCell ref="PMO36:PMP36"/>
    <mergeCell ref="PMQ36:PMR36"/>
    <mergeCell ref="PLU36:PLV36"/>
    <mergeCell ref="PLW36:PLX36"/>
    <mergeCell ref="PLY36:PLZ36"/>
    <mergeCell ref="PMA36:PMB36"/>
    <mergeCell ref="PMC36:PMD36"/>
    <mergeCell ref="PME36:PMF36"/>
    <mergeCell ref="PLI36:PLJ36"/>
    <mergeCell ref="PLK36:PLL36"/>
    <mergeCell ref="PLM36:PLN36"/>
    <mergeCell ref="PLO36:PLP36"/>
    <mergeCell ref="PLQ36:PLR36"/>
    <mergeCell ref="PLS36:PLT36"/>
    <mergeCell ref="PQK36:PQL36"/>
    <mergeCell ref="PQM36:PQN36"/>
    <mergeCell ref="PQO36:PQP36"/>
    <mergeCell ref="PQQ36:PQR36"/>
    <mergeCell ref="PQS36:PQT36"/>
    <mergeCell ref="PQU36:PQV36"/>
    <mergeCell ref="PPY36:PPZ36"/>
    <mergeCell ref="PQA36:PQB36"/>
    <mergeCell ref="PQC36:PQD36"/>
    <mergeCell ref="PQE36:PQF36"/>
    <mergeCell ref="PQG36:PQH36"/>
    <mergeCell ref="PQI36:PQJ36"/>
    <mergeCell ref="PPM36:PPN36"/>
    <mergeCell ref="PPO36:PPP36"/>
    <mergeCell ref="PPQ36:PPR36"/>
    <mergeCell ref="PPS36:PPT36"/>
    <mergeCell ref="PPU36:PPV36"/>
    <mergeCell ref="PPW36:PPX36"/>
    <mergeCell ref="PPA36:PPB36"/>
    <mergeCell ref="PPC36:PPD36"/>
    <mergeCell ref="PPE36:PPF36"/>
    <mergeCell ref="PPG36:PPH36"/>
    <mergeCell ref="PPI36:PPJ36"/>
    <mergeCell ref="PPK36:PPL36"/>
    <mergeCell ref="POO36:POP36"/>
    <mergeCell ref="POQ36:POR36"/>
    <mergeCell ref="POS36:POT36"/>
    <mergeCell ref="POU36:POV36"/>
    <mergeCell ref="POW36:POX36"/>
    <mergeCell ref="POY36:POZ36"/>
    <mergeCell ref="POC36:POD36"/>
    <mergeCell ref="POE36:POF36"/>
    <mergeCell ref="POG36:POH36"/>
    <mergeCell ref="POI36:POJ36"/>
    <mergeCell ref="POK36:POL36"/>
    <mergeCell ref="POM36:PON36"/>
    <mergeCell ref="PTE36:PTF36"/>
    <mergeCell ref="PTG36:PTH36"/>
    <mergeCell ref="PTI36:PTJ36"/>
    <mergeCell ref="PTK36:PTL36"/>
    <mergeCell ref="PTM36:PTN36"/>
    <mergeCell ref="PTO36:PTP36"/>
    <mergeCell ref="PSS36:PST36"/>
    <mergeCell ref="PSU36:PSV36"/>
    <mergeCell ref="PSW36:PSX36"/>
    <mergeCell ref="PSY36:PSZ36"/>
    <mergeCell ref="PTA36:PTB36"/>
    <mergeCell ref="PTC36:PTD36"/>
    <mergeCell ref="PSG36:PSH36"/>
    <mergeCell ref="PSI36:PSJ36"/>
    <mergeCell ref="PSK36:PSL36"/>
    <mergeCell ref="PSM36:PSN36"/>
    <mergeCell ref="PSO36:PSP36"/>
    <mergeCell ref="PSQ36:PSR36"/>
    <mergeCell ref="PRU36:PRV36"/>
    <mergeCell ref="PRW36:PRX36"/>
    <mergeCell ref="PRY36:PRZ36"/>
    <mergeCell ref="PSA36:PSB36"/>
    <mergeCell ref="PSC36:PSD36"/>
    <mergeCell ref="PSE36:PSF36"/>
    <mergeCell ref="PRI36:PRJ36"/>
    <mergeCell ref="PRK36:PRL36"/>
    <mergeCell ref="PRM36:PRN36"/>
    <mergeCell ref="PRO36:PRP36"/>
    <mergeCell ref="PRQ36:PRR36"/>
    <mergeCell ref="PRS36:PRT36"/>
    <mergeCell ref="PQW36:PQX36"/>
    <mergeCell ref="PQY36:PQZ36"/>
    <mergeCell ref="PRA36:PRB36"/>
    <mergeCell ref="PRC36:PRD36"/>
    <mergeCell ref="PRE36:PRF36"/>
    <mergeCell ref="PRG36:PRH36"/>
    <mergeCell ref="PVY36:PVZ36"/>
    <mergeCell ref="PWA36:PWB36"/>
    <mergeCell ref="PWC36:PWD36"/>
    <mergeCell ref="PWE36:PWF36"/>
    <mergeCell ref="PWG36:PWH36"/>
    <mergeCell ref="PWI36:PWJ36"/>
    <mergeCell ref="PVM36:PVN36"/>
    <mergeCell ref="PVO36:PVP36"/>
    <mergeCell ref="PVQ36:PVR36"/>
    <mergeCell ref="PVS36:PVT36"/>
    <mergeCell ref="PVU36:PVV36"/>
    <mergeCell ref="PVW36:PVX36"/>
    <mergeCell ref="PVA36:PVB36"/>
    <mergeCell ref="PVC36:PVD36"/>
    <mergeCell ref="PVE36:PVF36"/>
    <mergeCell ref="PVG36:PVH36"/>
    <mergeCell ref="PVI36:PVJ36"/>
    <mergeCell ref="PVK36:PVL36"/>
    <mergeCell ref="PUO36:PUP36"/>
    <mergeCell ref="PUQ36:PUR36"/>
    <mergeCell ref="PUS36:PUT36"/>
    <mergeCell ref="PUU36:PUV36"/>
    <mergeCell ref="PUW36:PUX36"/>
    <mergeCell ref="PUY36:PUZ36"/>
    <mergeCell ref="PUC36:PUD36"/>
    <mergeCell ref="PUE36:PUF36"/>
    <mergeCell ref="PUG36:PUH36"/>
    <mergeCell ref="PUI36:PUJ36"/>
    <mergeCell ref="PUK36:PUL36"/>
    <mergeCell ref="PUM36:PUN36"/>
    <mergeCell ref="PTQ36:PTR36"/>
    <mergeCell ref="PTS36:PTT36"/>
    <mergeCell ref="PTU36:PTV36"/>
    <mergeCell ref="PTW36:PTX36"/>
    <mergeCell ref="PTY36:PTZ36"/>
    <mergeCell ref="PUA36:PUB36"/>
    <mergeCell ref="PYS36:PYT36"/>
    <mergeCell ref="PYU36:PYV36"/>
    <mergeCell ref="PYW36:PYX36"/>
    <mergeCell ref="PYY36:PYZ36"/>
    <mergeCell ref="PZA36:PZB36"/>
    <mergeCell ref="PZC36:PZD36"/>
    <mergeCell ref="PYG36:PYH36"/>
    <mergeCell ref="PYI36:PYJ36"/>
    <mergeCell ref="PYK36:PYL36"/>
    <mergeCell ref="PYM36:PYN36"/>
    <mergeCell ref="PYO36:PYP36"/>
    <mergeCell ref="PYQ36:PYR36"/>
    <mergeCell ref="PXU36:PXV36"/>
    <mergeCell ref="PXW36:PXX36"/>
    <mergeCell ref="PXY36:PXZ36"/>
    <mergeCell ref="PYA36:PYB36"/>
    <mergeCell ref="PYC36:PYD36"/>
    <mergeCell ref="PYE36:PYF36"/>
    <mergeCell ref="PXI36:PXJ36"/>
    <mergeCell ref="PXK36:PXL36"/>
    <mergeCell ref="PXM36:PXN36"/>
    <mergeCell ref="PXO36:PXP36"/>
    <mergeCell ref="PXQ36:PXR36"/>
    <mergeCell ref="PXS36:PXT36"/>
    <mergeCell ref="PWW36:PWX36"/>
    <mergeCell ref="PWY36:PWZ36"/>
    <mergeCell ref="PXA36:PXB36"/>
    <mergeCell ref="PXC36:PXD36"/>
    <mergeCell ref="PXE36:PXF36"/>
    <mergeCell ref="PXG36:PXH36"/>
    <mergeCell ref="PWK36:PWL36"/>
    <mergeCell ref="PWM36:PWN36"/>
    <mergeCell ref="PWO36:PWP36"/>
    <mergeCell ref="PWQ36:PWR36"/>
    <mergeCell ref="PWS36:PWT36"/>
    <mergeCell ref="PWU36:PWV36"/>
    <mergeCell ref="QBM36:QBN36"/>
    <mergeCell ref="QBO36:QBP36"/>
    <mergeCell ref="QBQ36:QBR36"/>
    <mergeCell ref="QBS36:QBT36"/>
    <mergeCell ref="QBU36:QBV36"/>
    <mergeCell ref="QBW36:QBX36"/>
    <mergeCell ref="QBA36:QBB36"/>
    <mergeCell ref="QBC36:QBD36"/>
    <mergeCell ref="QBE36:QBF36"/>
    <mergeCell ref="QBG36:QBH36"/>
    <mergeCell ref="QBI36:QBJ36"/>
    <mergeCell ref="QBK36:QBL36"/>
    <mergeCell ref="QAO36:QAP36"/>
    <mergeCell ref="QAQ36:QAR36"/>
    <mergeCell ref="QAS36:QAT36"/>
    <mergeCell ref="QAU36:QAV36"/>
    <mergeCell ref="QAW36:QAX36"/>
    <mergeCell ref="QAY36:QAZ36"/>
    <mergeCell ref="QAC36:QAD36"/>
    <mergeCell ref="QAE36:QAF36"/>
    <mergeCell ref="QAG36:QAH36"/>
    <mergeCell ref="QAI36:QAJ36"/>
    <mergeCell ref="QAK36:QAL36"/>
    <mergeCell ref="QAM36:QAN36"/>
    <mergeCell ref="PZQ36:PZR36"/>
    <mergeCell ref="PZS36:PZT36"/>
    <mergeCell ref="PZU36:PZV36"/>
    <mergeCell ref="PZW36:PZX36"/>
    <mergeCell ref="PZY36:PZZ36"/>
    <mergeCell ref="QAA36:QAB36"/>
    <mergeCell ref="PZE36:PZF36"/>
    <mergeCell ref="PZG36:PZH36"/>
    <mergeCell ref="PZI36:PZJ36"/>
    <mergeCell ref="PZK36:PZL36"/>
    <mergeCell ref="PZM36:PZN36"/>
    <mergeCell ref="PZO36:PZP36"/>
    <mergeCell ref="QEG36:QEH36"/>
    <mergeCell ref="QEI36:QEJ36"/>
    <mergeCell ref="QEK36:QEL36"/>
    <mergeCell ref="QEM36:QEN36"/>
    <mergeCell ref="QEO36:QEP36"/>
    <mergeCell ref="QEQ36:QER36"/>
    <mergeCell ref="QDU36:QDV36"/>
    <mergeCell ref="QDW36:QDX36"/>
    <mergeCell ref="QDY36:QDZ36"/>
    <mergeCell ref="QEA36:QEB36"/>
    <mergeCell ref="QEC36:QED36"/>
    <mergeCell ref="QEE36:QEF36"/>
    <mergeCell ref="QDI36:QDJ36"/>
    <mergeCell ref="QDK36:QDL36"/>
    <mergeCell ref="QDM36:QDN36"/>
    <mergeCell ref="QDO36:QDP36"/>
    <mergeCell ref="QDQ36:QDR36"/>
    <mergeCell ref="QDS36:QDT36"/>
    <mergeCell ref="QCW36:QCX36"/>
    <mergeCell ref="QCY36:QCZ36"/>
    <mergeCell ref="QDA36:QDB36"/>
    <mergeCell ref="QDC36:QDD36"/>
    <mergeCell ref="QDE36:QDF36"/>
    <mergeCell ref="QDG36:QDH36"/>
    <mergeCell ref="QCK36:QCL36"/>
    <mergeCell ref="QCM36:QCN36"/>
    <mergeCell ref="QCO36:QCP36"/>
    <mergeCell ref="QCQ36:QCR36"/>
    <mergeCell ref="QCS36:QCT36"/>
    <mergeCell ref="QCU36:QCV36"/>
    <mergeCell ref="QBY36:QBZ36"/>
    <mergeCell ref="QCA36:QCB36"/>
    <mergeCell ref="QCC36:QCD36"/>
    <mergeCell ref="QCE36:QCF36"/>
    <mergeCell ref="QCG36:QCH36"/>
    <mergeCell ref="QCI36:QCJ36"/>
    <mergeCell ref="QHA36:QHB36"/>
    <mergeCell ref="QHC36:QHD36"/>
    <mergeCell ref="QHE36:QHF36"/>
    <mergeCell ref="QHG36:QHH36"/>
    <mergeCell ref="QHI36:QHJ36"/>
    <mergeCell ref="QHK36:QHL36"/>
    <mergeCell ref="QGO36:QGP36"/>
    <mergeCell ref="QGQ36:QGR36"/>
    <mergeCell ref="QGS36:QGT36"/>
    <mergeCell ref="QGU36:QGV36"/>
    <mergeCell ref="QGW36:QGX36"/>
    <mergeCell ref="QGY36:QGZ36"/>
    <mergeCell ref="QGC36:QGD36"/>
    <mergeCell ref="QGE36:QGF36"/>
    <mergeCell ref="QGG36:QGH36"/>
    <mergeCell ref="QGI36:QGJ36"/>
    <mergeCell ref="QGK36:QGL36"/>
    <mergeCell ref="QGM36:QGN36"/>
    <mergeCell ref="QFQ36:QFR36"/>
    <mergeCell ref="QFS36:QFT36"/>
    <mergeCell ref="QFU36:QFV36"/>
    <mergeCell ref="QFW36:QFX36"/>
    <mergeCell ref="QFY36:QFZ36"/>
    <mergeCell ref="QGA36:QGB36"/>
    <mergeCell ref="QFE36:QFF36"/>
    <mergeCell ref="QFG36:QFH36"/>
    <mergeCell ref="QFI36:QFJ36"/>
    <mergeCell ref="QFK36:QFL36"/>
    <mergeCell ref="QFM36:QFN36"/>
    <mergeCell ref="QFO36:QFP36"/>
    <mergeCell ref="QES36:QET36"/>
    <mergeCell ref="QEU36:QEV36"/>
    <mergeCell ref="QEW36:QEX36"/>
    <mergeCell ref="QEY36:QEZ36"/>
    <mergeCell ref="QFA36:QFB36"/>
    <mergeCell ref="QFC36:QFD36"/>
    <mergeCell ref="QJU36:QJV36"/>
    <mergeCell ref="QJW36:QJX36"/>
    <mergeCell ref="QJY36:QJZ36"/>
    <mergeCell ref="QKA36:QKB36"/>
    <mergeCell ref="QKC36:QKD36"/>
    <mergeCell ref="QKE36:QKF36"/>
    <mergeCell ref="QJI36:QJJ36"/>
    <mergeCell ref="QJK36:QJL36"/>
    <mergeCell ref="QJM36:QJN36"/>
    <mergeCell ref="QJO36:QJP36"/>
    <mergeCell ref="QJQ36:QJR36"/>
    <mergeCell ref="QJS36:QJT36"/>
    <mergeCell ref="QIW36:QIX36"/>
    <mergeCell ref="QIY36:QIZ36"/>
    <mergeCell ref="QJA36:QJB36"/>
    <mergeCell ref="QJC36:QJD36"/>
    <mergeCell ref="QJE36:QJF36"/>
    <mergeCell ref="QJG36:QJH36"/>
    <mergeCell ref="QIK36:QIL36"/>
    <mergeCell ref="QIM36:QIN36"/>
    <mergeCell ref="QIO36:QIP36"/>
    <mergeCell ref="QIQ36:QIR36"/>
    <mergeCell ref="QIS36:QIT36"/>
    <mergeCell ref="QIU36:QIV36"/>
    <mergeCell ref="QHY36:QHZ36"/>
    <mergeCell ref="QIA36:QIB36"/>
    <mergeCell ref="QIC36:QID36"/>
    <mergeCell ref="QIE36:QIF36"/>
    <mergeCell ref="QIG36:QIH36"/>
    <mergeCell ref="QII36:QIJ36"/>
    <mergeCell ref="QHM36:QHN36"/>
    <mergeCell ref="QHO36:QHP36"/>
    <mergeCell ref="QHQ36:QHR36"/>
    <mergeCell ref="QHS36:QHT36"/>
    <mergeCell ref="QHU36:QHV36"/>
    <mergeCell ref="QHW36:QHX36"/>
    <mergeCell ref="QMO36:QMP36"/>
    <mergeCell ref="QMQ36:QMR36"/>
    <mergeCell ref="QMS36:QMT36"/>
    <mergeCell ref="QMU36:QMV36"/>
    <mergeCell ref="QMW36:QMX36"/>
    <mergeCell ref="QMY36:QMZ36"/>
    <mergeCell ref="QMC36:QMD36"/>
    <mergeCell ref="QME36:QMF36"/>
    <mergeCell ref="QMG36:QMH36"/>
    <mergeCell ref="QMI36:QMJ36"/>
    <mergeCell ref="QMK36:QML36"/>
    <mergeCell ref="QMM36:QMN36"/>
    <mergeCell ref="QLQ36:QLR36"/>
    <mergeCell ref="QLS36:QLT36"/>
    <mergeCell ref="QLU36:QLV36"/>
    <mergeCell ref="QLW36:QLX36"/>
    <mergeCell ref="QLY36:QLZ36"/>
    <mergeCell ref="QMA36:QMB36"/>
    <mergeCell ref="QLE36:QLF36"/>
    <mergeCell ref="QLG36:QLH36"/>
    <mergeCell ref="QLI36:QLJ36"/>
    <mergeCell ref="QLK36:QLL36"/>
    <mergeCell ref="QLM36:QLN36"/>
    <mergeCell ref="QLO36:QLP36"/>
    <mergeCell ref="QKS36:QKT36"/>
    <mergeCell ref="QKU36:QKV36"/>
    <mergeCell ref="QKW36:QKX36"/>
    <mergeCell ref="QKY36:QKZ36"/>
    <mergeCell ref="QLA36:QLB36"/>
    <mergeCell ref="QLC36:QLD36"/>
    <mergeCell ref="QKG36:QKH36"/>
    <mergeCell ref="QKI36:QKJ36"/>
    <mergeCell ref="QKK36:QKL36"/>
    <mergeCell ref="QKM36:QKN36"/>
    <mergeCell ref="QKO36:QKP36"/>
    <mergeCell ref="QKQ36:QKR36"/>
    <mergeCell ref="QPI36:QPJ36"/>
    <mergeCell ref="QPK36:QPL36"/>
    <mergeCell ref="QPM36:QPN36"/>
    <mergeCell ref="QPO36:QPP36"/>
    <mergeCell ref="QPQ36:QPR36"/>
    <mergeCell ref="QPS36:QPT36"/>
    <mergeCell ref="QOW36:QOX36"/>
    <mergeCell ref="QOY36:QOZ36"/>
    <mergeCell ref="QPA36:QPB36"/>
    <mergeCell ref="QPC36:QPD36"/>
    <mergeCell ref="QPE36:QPF36"/>
    <mergeCell ref="QPG36:QPH36"/>
    <mergeCell ref="QOK36:QOL36"/>
    <mergeCell ref="QOM36:QON36"/>
    <mergeCell ref="QOO36:QOP36"/>
    <mergeCell ref="QOQ36:QOR36"/>
    <mergeCell ref="QOS36:QOT36"/>
    <mergeCell ref="QOU36:QOV36"/>
    <mergeCell ref="QNY36:QNZ36"/>
    <mergeCell ref="QOA36:QOB36"/>
    <mergeCell ref="QOC36:QOD36"/>
    <mergeCell ref="QOE36:QOF36"/>
    <mergeCell ref="QOG36:QOH36"/>
    <mergeCell ref="QOI36:QOJ36"/>
    <mergeCell ref="QNM36:QNN36"/>
    <mergeCell ref="QNO36:QNP36"/>
    <mergeCell ref="QNQ36:QNR36"/>
    <mergeCell ref="QNS36:QNT36"/>
    <mergeCell ref="QNU36:QNV36"/>
    <mergeCell ref="QNW36:QNX36"/>
    <mergeCell ref="QNA36:QNB36"/>
    <mergeCell ref="QNC36:QND36"/>
    <mergeCell ref="QNE36:QNF36"/>
    <mergeCell ref="QNG36:QNH36"/>
    <mergeCell ref="QNI36:QNJ36"/>
    <mergeCell ref="QNK36:QNL36"/>
    <mergeCell ref="QSC36:QSD36"/>
    <mergeCell ref="QSE36:QSF36"/>
    <mergeCell ref="QSG36:QSH36"/>
    <mergeCell ref="QSI36:QSJ36"/>
    <mergeCell ref="QSK36:QSL36"/>
    <mergeCell ref="QSM36:QSN36"/>
    <mergeCell ref="QRQ36:QRR36"/>
    <mergeCell ref="QRS36:QRT36"/>
    <mergeCell ref="QRU36:QRV36"/>
    <mergeCell ref="QRW36:QRX36"/>
    <mergeCell ref="QRY36:QRZ36"/>
    <mergeCell ref="QSA36:QSB36"/>
    <mergeCell ref="QRE36:QRF36"/>
    <mergeCell ref="QRG36:QRH36"/>
    <mergeCell ref="QRI36:QRJ36"/>
    <mergeCell ref="QRK36:QRL36"/>
    <mergeCell ref="QRM36:QRN36"/>
    <mergeCell ref="QRO36:QRP36"/>
    <mergeCell ref="QQS36:QQT36"/>
    <mergeCell ref="QQU36:QQV36"/>
    <mergeCell ref="QQW36:QQX36"/>
    <mergeCell ref="QQY36:QQZ36"/>
    <mergeCell ref="QRA36:QRB36"/>
    <mergeCell ref="QRC36:QRD36"/>
    <mergeCell ref="QQG36:QQH36"/>
    <mergeCell ref="QQI36:QQJ36"/>
    <mergeCell ref="QQK36:QQL36"/>
    <mergeCell ref="QQM36:QQN36"/>
    <mergeCell ref="QQO36:QQP36"/>
    <mergeCell ref="QQQ36:QQR36"/>
    <mergeCell ref="QPU36:QPV36"/>
    <mergeCell ref="QPW36:QPX36"/>
    <mergeCell ref="QPY36:QPZ36"/>
    <mergeCell ref="QQA36:QQB36"/>
    <mergeCell ref="QQC36:QQD36"/>
    <mergeCell ref="QQE36:QQF36"/>
    <mergeCell ref="QUW36:QUX36"/>
    <mergeCell ref="QUY36:QUZ36"/>
    <mergeCell ref="QVA36:QVB36"/>
    <mergeCell ref="QVC36:QVD36"/>
    <mergeCell ref="QVE36:QVF36"/>
    <mergeCell ref="QVG36:QVH36"/>
    <mergeCell ref="QUK36:QUL36"/>
    <mergeCell ref="QUM36:QUN36"/>
    <mergeCell ref="QUO36:QUP36"/>
    <mergeCell ref="QUQ36:QUR36"/>
    <mergeCell ref="QUS36:QUT36"/>
    <mergeCell ref="QUU36:QUV36"/>
    <mergeCell ref="QTY36:QTZ36"/>
    <mergeCell ref="QUA36:QUB36"/>
    <mergeCell ref="QUC36:QUD36"/>
    <mergeCell ref="QUE36:QUF36"/>
    <mergeCell ref="QUG36:QUH36"/>
    <mergeCell ref="QUI36:QUJ36"/>
    <mergeCell ref="QTM36:QTN36"/>
    <mergeCell ref="QTO36:QTP36"/>
    <mergeCell ref="QTQ36:QTR36"/>
    <mergeCell ref="QTS36:QTT36"/>
    <mergeCell ref="QTU36:QTV36"/>
    <mergeCell ref="QTW36:QTX36"/>
    <mergeCell ref="QTA36:QTB36"/>
    <mergeCell ref="QTC36:QTD36"/>
    <mergeCell ref="QTE36:QTF36"/>
    <mergeCell ref="QTG36:QTH36"/>
    <mergeCell ref="QTI36:QTJ36"/>
    <mergeCell ref="QTK36:QTL36"/>
    <mergeCell ref="QSO36:QSP36"/>
    <mergeCell ref="QSQ36:QSR36"/>
    <mergeCell ref="QSS36:QST36"/>
    <mergeCell ref="QSU36:QSV36"/>
    <mergeCell ref="QSW36:QSX36"/>
    <mergeCell ref="QSY36:QSZ36"/>
    <mergeCell ref="QXQ36:QXR36"/>
    <mergeCell ref="QXS36:QXT36"/>
    <mergeCell ref="QXU36:QXV36"/>
    <mergeCell ref="QXW36:QXX36"/>
    <mergeCell ref="QXY36:QXZ36"/>
    <mergeCell ref="QYA36:QYB36"/>
    <mergeCell ref="QXE36:QXF36"/>
    <mergeCell ref="QXG36:QXH36"/>
    <mergeCell ref="QXI36:QXJ36"/>
    <mergeCell ref="QXK36:QXL36"/>
    <mergeCell ref="QXM36:QXN36"/>
    <mergeCell ref="QXO36:QXP36"/>
    <mergeCell ref="QWS36:QWT36"/>
    <mergeCell ref="QWU36:QWV36"/>
    <mergeCell ref="QWW36:QWX36"/>
    <mergeCell ref="QWY36:QWZ36"/>
    <mergeCell ref="QXA36:QXB36"/>
    <mergeCell ref="QXC36:QXD36"/>
    <mergeCell ref="QWG36:QWH36"/>
    <mergeCell ref="QWI36:QWJ36"/>
    <mergeCell ref="QWK36:QWL36"/>
    <mergeCell ref="QWM36:QWN36"/>
    <mergeCell ref="QWO36:QWP36"/>
    <mergeCell ref="QWQ36:QWR36"/>
    <mergeCell ref="QVU36:QVV36"/>
    <mergeCell ref="QVW36:QVX36"/>
    <mergeCell ref="QVY36:QVZ36"/>
    <mergeCell ref="QWA36:QWB36"/>
    <mergeCell ref="QWC36:QWD36"/>
    <mergeCell ref="QWE36:QWF36"/>
    <mergeCell ref="QVI36:QVJ36"/>
    <mergeCell ref="QVK36:QVL36"/>
    <mergeCell ref="QVM36:QVN36"/>
    <mergeCell ref="QVO36:QVP36"/>
    <mergeCell ref="QVQ36:QVR36"/>
    <mergeCell ref="QVS36:QVT36"/>
    <mergeCell ref="RAK36:RAL36"/>
    <mergeCell ref="RAM36:RAN36"/>
    <mergeCell ref="RAO36:RAP36"/>
    <mergeCell ref="RAQ36:RAR36"/>
    <mergeCell ref="RAS36:RAT36"/>
    <mergeCell ref="RAU36:RAV36"/>
    <mergeCell ref="QZY36:QZZ36"/>
    <mergeCell ref="RAA36:RAB36"/>
    <mergeCell ref="RAC36:RAD36"/>
    <mergeCell ref="RAE36:RAF36"/>
    <mergeCell ref="RAG36:RAH36"/>
    <mergeCell ref="RAI36:RAJ36"/>
    <mergeCell ref="QZM36:QZN36"/>
    <mergeCell ref="QZO36:QZP36"/>
    <mergeCell ref="QZQ36:QZR36"/>
    <mergeCell ref="QZS36:QZT36"/>
    <mergeCell ref="QZU36:QZV36"/>
    <mergeCell ref="QZW36:QZX36"/>
    <mergeCell ref="QZA36:QZB36"/>
    <mergeCell ref="QZC36:QZD36"/>
    <mergeCell ref="QZE36:QZF36"/>
    <mergeCell ref="QZG36:QZH36"/>
    <mergeCell ref="QZI36:QZJ36"/>
    <mergeCell ref="QZK36:QZL36"/>
    <mergeCell ref="QYO36:QYP36"/>
    <mergeCell ref="QYQ36:QYR36"/>
    <mergeCell ref="QYS36:QYT36"/>
    <mergeCell ref="QYU36:QYV36"/>
    <mergeCell ref="QYW36:QYX36"/>
    <mergeCell ref="QYY36:QYZ36"/>
    <mergeCell ref="QYC36:QYD36"/>
    <mergeCell ref="QYE36:QYF36"/>
    <mergeCell ref="QYG36:QYH36"/>
    <mergeCell ref="QYI36:QYJ36"/>
    <mergeCell ref="QYK36:QYL36"/>
    <mergeCell ref="QYM36:QYN36"/>
    <mergeCell ref="RDE36:RDF36"/>
    <mergeCell ref="RDG36:RDH36"/>
    <mergeCell ref="RDI36:RDJ36"/>
    <mergeCell ref="RDK36:RDL36"/>
    <mergeCell ref="RDM36:RDN36"/>
    <mergeCell ref="RDO36:RDP36"/>
    <mergeCell ref="RCS36:RCT36"/>
    <mergeCell ref="RCU36:RCV36"/>
    <mergeCell ref="RCW36:RCX36"/>
    <mergeCell ref="RCY36:RCZ36"/>
    <mergeCell ref="RDA36:RDB36"/>
    <mergeCell ref="RDC36:RDD36"/>
    <mergeCell ref="RCG36:RCH36"/>
    <mergeCell ref="RCI36:RCJ36"/>
    <mergeCell ref="RCK36:RCL36"/>
    <mergeCell ref="RCM36:RCN36"/>
    <mergeCell ref="RCO36:RCP36"/>
    <mergeCell ref="RCQ36:RCR36"/>
    <mergeCell ref="RBU36:RBV36"/>
    <mergeCell ref="RBW36:RBX36"/>
    <mergeCell ref="RBY36:RBZ36"/>
    <mergeCell ref="RCA36:RCB36"/>
    <mergeCell ref="RCC36:RCD36"/>
    <mergeCell ref="RCE36:RCF36"/>
    <mergeCell ref="RBI36:RBJ36"/>
    <mergeCell ref="RBK36:RBL36"/>
    <mergeCell ref="RBM36:RBN36"/>
    <mergeCell ref="RBO36:RBP36"/>
    <mergeCell ref="RBQ36:RBR36"/>
    <mergeCell ref="RBS36:RBT36"/>
    <mergeCell ref="RAW36:RAX36"/>
    <mergeCell ref="RAY36:RAZ36"/>
    <mergeCell ref="RBA36:RBB36"/>
    <mergeCell ref="RBC36:RBD36"/>
    <mergeCell ref="RBE36:RBF36"/>
    <mergeCell ref="RBG36:RBH36"/>
    <mergeCell ref="RFY36:RFZ36"/>
    <mergeCell ref="RGA36:RGB36"/>
    <mergeCell ref="RGC36:RGD36"/>
    <mergeCell ref="RGE36:RGF36"/>
    <mergeCell ref="RGG36:RGH36"/>
    <mergeCell ref="RGI36:RGJ36"/>
    <mergeCell ref="RFM36:RFN36"/>
    <mergeCell ref="RFO36:RFP36"/>
    <mergeCell ref="RFQ36:RFR36"/>
    <mergeCell ref="RFS36:RFT36"/>
    <mergeCell ref="RFU36:RFV36"/>
    <mergeCell ref="RFW36:RFX36"/>
    <mergeCell ref="RFA36:RFB36"/>
    <mergeCell ref="RFC36:RFD36"/>
    <mergeCell ref="RFE36:RFF36"/>
    <mergeCell ref="RFG36:RFH36"/>
    <mergeCell ref="RFI36:RFJ36"/>
    <mergeCell ref="RFK36:RFL36"/>
    <mergeCell ref="REO36:REP36"/>
    <mergeCell ref="REQ36:RER36"/>
    <mergeCell ref="RES36:RET36"/>
    <mergeCell ref="REU36:REV36"/>
    <mergeCell ref="REW36:REX36"/>
    <mergeCell ref="REY36:REZ36"/>
    <mergeCell ref="REC36:RED36"/>
    <mergeCell ref="REE36:REF36"/>
    <mergeCell ref="REG36:REH36"/>
    <mergeCell ref="REI36:REJ36"/>
    <mergeCell ref="REK36:REL36"/>
    <mergeCell ref="REM36:REN36"/>
    <mergeCell ref="RDQ36:RDR36"/>
    <mergeCell ref="RDS36:RDT36"/>
    <mergeCell ref="RDU36:RDV36"/>
    <mergeCell ref="RDW36:RDX36"/>
    <mergeCell ref="RDY36:RDZ36"/>
    <mergeCell ref="REA36:REB36"/>
    <mergeCell ref="RIS36:RIT36"/>
    <mergeCell ref="RIU36:RIV36"/>
    <mergeCell ref="RIW36:RIX36"/>
    <mergeCell ref="RIY36:RIZ36"/>
    <mergeCell ref="RJA36:RJB36"/>
    <mergeCell ref="RJC36:RJD36"/>
    <mergeCell ref="RIG36:RIH36"/>
    <mergeCell ref="RII36:RIJ36"/>
    <mergeCell ref="RIK36:RIL36"/>
    <mergeCell ref="RIM36:RIN36"/>
    <mergeCell ref="RIO36:RIP36"/>
    <mergeCell ref="RIQ36:RIR36"/>
    <mergeCell ref="RHU36:RHV36"/>
    <mergeCell ref="RHW36:RHX36"/>
    <mergeCell ref="RHY36:RHZ36"/>
    <mergeCell ref="RIA36:RIB36"/>
    <mergeCell ref="RIC36:RID36"/>
    <mergeCell ref="RIE36:RIF36"/>
    <mergeCell ref="RHI36:RHJ36"/>
    <mergeCell ref="RHK36:RHL36"/>
    <mergeCell ref="RHM36:RHN36"/>
    <mergeCell ref="RHO36:RHP36"/>
    <mergeCell ref="RHQ36:RHR36"/>
    <mergeCell ref="RHS36:RHT36"/>
    <mergeCell ref="RGW36:RGX36"/>
    <mergeCell ref="RGY36:RGZ36"/>
    <mergeCell ref="RHA36:RHB36"/>
    <mergeCell ref="RHC36:RHD36"/>
    <mergeCell ref="RHE36:RHF36"/>
    <mergeCell ref="RHG36:RHH36"/>
    <mergeCell ref="RGK36:RGL36"/>
    <mergeCell ref="RGM36:RGN36"/>
    <mergeCell ref="RGO36:RGP36"/>
    <mergeCell ref="RGQ36:RGR36"/>
    <mergeCell ref="RGS36:RGT36"/>
    <mergeCell ref="RGU36:RGV36"/>
    <mergeCell ref="RLM36:RLN36"/>
    <mergeCell ref="RLO36:RLP36"/>
    <mergeCell ref="RLQ36:RLR36"/>
    <mergeCell ref="RLS36:RLT36"/>
    <mergeCell ref="RLU36:RLV36"/>
    <mergeCell ref="RLW36:RLX36"/>
    <mergeCell ref="RLA36:RLB36"/>
    <mergeCell ref="RLC36:RLD36"/>
    <mergeCell ref="RLE36:RLF36"/>
    <mergeCell ref="RLG36:RLH36"/>
    <mergeCell ref="RLI36:RLJ36"/>
    <mergeCell ref="RLK36:RLL36"/>
    <mergeCell ref="RKO36:RKP36"/>
    <mergeCell ref="RKQ36:RKR36"/>
    <mergeCell ref="RKS36:RKT36"/>
    <mergeCell ref="RKU36:RKV36"/>
    <mergeCell ref="RKW36:RKX36"/>
    <mergeCell ref="RKY36:RKZ36"/>
    <mergeCell ref="RKC36:RKD36"/>
    <mergeCell ref="RKE36:RKF36"/>
    <mergeCell ref="RKG36:RKH36"/>
    <mergeCell ref="RKI36:RKJ36"/>
    <mergeCell ref="RKK36:RKL36"/>
    <mergeCell ref="RKM36:RKN36"/>
    <mergeCell ref="RJQ36:RJR36"/>
    <mergeCell ref="RJS36:RJT36"/>
    <mergeCell ref="RJU36:RJV36"/>
    <mergeCell ref="RJW36:RJX36"/>
    <mergeCell ref="RJY36:RJZ36"/>
    <mergeCell ref="RKA36:RKB36"/>
    <mergeCell ref="RJE36:RJF36"/>
    <mergeCell ref="RJG36:RJH36"/>
    <mergeCell ref="RJI36:RJJ36"/>
    <mergeCell ref="RJK36:RJL36"/>
    <mergeCell ref="RJM36:RJN36"/>
    <mergeCell ref="RJO36:RJP36"/>
    <mergeCell ref="ROG36:ROH36"/>
    <mergeCell ref="ROI36:ROJ36"/>
    <mergeCell ref="ROK36:ROL36"/>
    <mergeCell ref="ROM36:RON36"/>
    <mergeCell ref="ROO36:ROP36"/>
    <mergeCell ref="ROQ36:ROR36"/>
    <mergeCell ref="RNU36:RNV36"/>
    <mergeCell ref="RNW36:RNX36"/>
    <mergeCell ref="RNY36:RNZ36"/>
    <mergeCell ref="ROA36:ROB36"/>
    <mergeCell ref="ROC36:ROD36"/>
    <mergeCell ref="ROE36:ROF36"/>
    <mergeCell ref="RNI36:RNJ36"/>
    <mergeCell ref="RNK36:RNL36"/>
    <mergeCell ref="RNM36:RNN36"/>
    <mergeCell ref="RNO36:RNP36"/>
    <mergeCell ref="RNQ36:RNR36"/>
    <mergeCell ref="RNS36:RNT36"/>
    <mergeCell ref="RMW36:RMX36"/>
    <mergeCell ref="RMY36:RMZ36"/>
    <mergeCell ref="RNA36:RNB36"/>
    <mergeCell ref="RNC36:RND36"/>
    <mergeCell ref="RNE36:RNF36"/>
    <mergeCell ref="RNG36:RNH36"/>
    <mergeCell ref="RMK36:RML36"/>
    <mergeCell ref="RMM36:RMN36"/>
    <mergeCell ref="RMO36:RMP36"/>
    <mergeCell ref="RMQ36:RMR36"/>
    <mergeCell ref="RMS36:RMT36"/>
    <mergeCell ref="RMU36:RMV36"/>
    <mergeCell ref="RLY36:RLZ36"/>
    <mergeCell ref="RMA36:RMB36"/>
    <mergeCell ref="RMC36:RMD36"/>
    <mergeCell ref="RME36:RMF36"/>
    <mergeCell ref="RMG36:RMH36"/>
    <mergeCell ref="RMI36:RMJ36"/>
    <mergeCell ref="RRA36:RRB36"/>
    <mergeCell ref="RRC36:RRD36"/>
    <mergeCell ref="RRE36:RRF36"/>
    <mergeCell ref="RRG36:RRH36"/>
    <mergeCell ref="RRI36:RRJ36"/>
    <mergeCell ref="RRK36:RRL36"/>
    <mergeCell ref="RQO36:RQP36"/>
    <mergeCell ref="RQQ36:RQR36"/>
    <mergeCell ref="RQS36:RQT36"/>
    <mergeCell ref="RQU36:RQV36"/>
    <mergeCell ref="RQW36:RQX36"/>
    <mergeCell ref="RQY36:RQZ36"/>
    <mergeCell ref="RQC36:RQD36"/>
    <mergeCell ref="RQE36:RQF36"/>
    <mergeCell ref="RQG36:RQH36"/>
    <mergeCell ref="RQI36:RQJ36"/>
    <mergeCell ref="RQK36:RQL36"/>
    <mergeCell ref="RQM36:RQN36"/>
    <mergeCell ref="RPQ36:RPR36"/>
    <mergeCell ref="RPS36:RPT36"/>
    <mergeCell ref="RPU36:RPV36"/>
    <mergeCell ref="RPW36:RPX36"/>
    <mergeCell ref="RPY36:RPZ36"/>
    <mergeCell ref="RQA36:RQB36"/>
    <mergeCell ref="RPE36:RPF36"/>
    <mergeCell ref="RPG36:RPH36"/>
    <mergeCell ref="RPI36:RPJ36"/>
    <mergeCell ref="RPK36:RPL36"/>
    <mergeCell ref="RPM36:RPN36"/>
    <mergeCell ref="RPO36:RPP36"/>
    <mergeCell ref="ROS36:ROT36"/>
    <mergeCell ref="ROU36:ROV36"/>
    <mergeCell ref="ROW36:ROX36"/>
    <mergeCell ref="ROY36:ROZ36"/>
    <mergeCell ref="RPA36:RPB36"/>
    <mergeCell ref="RPC36:RPD36"/>
    <mergeCell ref="RTU36:RTV36"/>
    <mergeCell ref="RTW36:RTX36"/>
    <mergeCell ref="RTY36:RTZ36"/>
    <mergeCell ref="RUA36:RUB36"/>
    <mergeCell ref="RUC36:RUD36"/>
    <mergeCell ref="RUE36:RUF36"/>
    <mergeCell ref="RTI36:RTJ36"/>
    <mergeCell ref="RTK36:RTL36"/>
    <mergeCell ref="RTM36:RTN36"/>
    <mergeCell ref="RTO36:RTP36"/>
    <mergeCell ref="RTQ36:RTR36"/>
    <mergeCell ref="RTS36:RTT36"/>
    <mergeCell ref="RSW36:RSX36"/>
    <mergeCell ref="RSY36:RSZ36"/>
    <mergeCell ref="RTA36:RTB36"/>
    <mergeCell ref="RTC36:RTD36"/>
    <mergeCell ref="RTE36:RTF36"/>
    <mergeCell ref="RTG36:RTH36"/>
    <mergeCell ref="RSK36:RSL36"/>
    <mergeCell ref="RSM36:RSN36"/>
    <mergeCell ref="RSO36:RSP36"/>
    <mergeCell ref="RSQ36:RSR36"/>
    <mergeCell ref="RSS36:RST36"/>
    <mergeCell ref="RSU36:RSV36"/>
    <mergeCell ref="RRY36:RRZ36"/>
    <mergeCell ref="RSA36:RSB36"/>
    <mergeCell ref="RSC36:RSD36"/>
    <mergeCell ref="RSE36:RSF36"/>
    <mergeCell ref="RSG36:RSH36"/>
    <mergeCell ref="RSI36:RSJ36"/>
    <mergeCell ref="RRM36:RRN36"/>
    <mergeCell ref="RRO36:RRP36"/>
    <mergeCell ref="RRQ36:RRR36"/>
    <mergeCell ref="RRS36:RRT36"/>
    <mergeCell ref="RRU36:RRV36"/>
    <mergeCell ref="RRW36:RRX36"/>
    <mergeCell ref="RWO36:RWP36"/>
    <mergeCell ref="RWQ36:RWR36"/>
    <mergeCell ref="RWS36:RWT36"/>
    <mergeCell ref="RWU36:RWV36"/>
    <mergeCell ref="RWW36:RWX36"/>
    <mergeCell ref="RWY36:RWZ36"/>
    <mergeCell ref="RWC36:RWD36"/>
    <mergeCell ref="RWE36:RWF36"/>
    <mergeCell ref="RWG36:RWH36"/>
    <mergeCell ref="RWI36:RWJ36"/>
    <mergeCell ref="RWK36:RWL36"/>
    <mergeCell ref="RWM36:RWN36"/>
    <mergeCell ref="RVQ36:RVR36"/>
    <mergeCell ref="RVS36:RVT36"/>
    <mergeCell ref="RVU36:RVV36"/>
    <mergeCell ref="RVW36:RVX36"/>
    <mergeCell ref="RVY36:RVZ36"/>
    <mergeCell ref="RWA36:RWB36"/>
    <mergeCell ref="RVE36:RVF36"/>
    <mergeCell ref="RVG36:RVH36"/>
    <mergeCell ref="RVI36:RVJ36"/>
    <mergeCell ref="RVK36:RVL36"/>
    <mergeCell ref="RVM36:RVN36"/>
    <mergeCell ref="RVO36:RVP36"/>
    <mergeCell ref="RUS36:RUT36"/>
    <mergeCell ref="RUU36:RUV36"/>
    <mergeCell ref="RUW36:RUX36"/>
    <mergeCell ref="RUY36:RUZ36"/>
    <mergeCell ref="RVA36:RVB36"/>
    <mergeCell ref="RVC36:RVD36"/>
    <mergeCell ref="RUG36:RUH36"/>
    <mergeCell ref="RUI36:RUJ36"/>
    <mergeCell ref="RUK36:RUL36"/>
    <mergeCell ref="RUM36:RUN36"/>
    <mergeCell ref="RUO36:RUP36"/>
    <mergeCell ref="RUQ36:RUR36"/>
    <mergeCell ref="RZI36:RZJ36"/>
    <mergeCell ref="RZK36:RZL36"/>
    <mergeCell ref="RZM36:RZN36"/>
    <mergeCell ref="RZO36:RZP36"/>
    <mergeCell ref="RZQ36:RZR36"/>
    <mergeCell ref="RZS36:RZT36"/>
    <mergeCell ref="RYW36:RYX36"/>
    <mergeCell ref="RYY36:RYZ36"/>
    <mergeCell ref="RZA36:RZB36"/>
    <mergeCell ref="RZC36:RZD36"/>
    <mergeCell ref="RZE36:RZF36"/>
    <mergeCell ref="RZG36:RZH36"/>
    <mergeCell ref="RYK36:RYL36"/>
    <mergeCell ref="RYM36:RYN36"/>
    <mergeCell ref="RYO36:RYP36"/>
    <mergeCell ref="RYQ36:RYR36"/>
    <mergeCell ref="RYS36:RYT36"/>
    <mergeCell ref="RYU36:RYV36"/>
    <mergeCell ref="RXY36:RXZ36"/>
    <mergeCell ref="RYA36:RYB36"/>
    <mergeCell ref="RYC36:RYD36"/>
    <mergeCell ref="RYE36:RYF36"/>
    <mergeCell ref="RYG36:RYH36"/>
    <mergeCell ref="RYI36:RYJ36"/>
    <mergeCell ref="RXM36:RXN36"/>
    <mergeCell ref="RXO36:RXP36"/>
    <mergeCell ref="RXQ36:RXR36"/>
    <mergeCell ref="RXS36:RXT36"/>
    <mergeCell ref="RXU36:RXV36"/>
    <mergeCell ref="RXW36:RXX36"/>
    <mergeCell ref="RXA36:RXB36"/>
    <mergeCell ref="RXC36:RXD36"/>
    <mergeCell ref="RXE36:RXF36"/>
    <mergeCell ref="RXG36:RXH36"/>
    <mergeCell ref="RXI36:RXJ36"/>
    <mergeCell ref="RXK36:RXL36"/>
    <mergeCell ref="SCC36:SCD36"/>
    <mergeCell ref="SCE36:SCF36"/>
    <mergeCell ref="SCG36:SCH36"/>
    <mergeCell ref="SCI36:SCJ36"/>
    <mergeCell ref="SCK36:SCL36"/>
    <mergeCell ref="SCM36:SCN36"/>
    <mergeCell ref="SBQ36:SBR36"/>
    <mergeCell ref="SBS36:SBT36"/>
    <mergeCell ref="SBU36:SBV36"/>
    <mergeCell ref="SBW36:SBX36"/>
    <mergeCell ref="SBY36:SBZ36"/>
    <mergeCell ref="SCA36:SCB36"/>
    <mergeCell ref="SBE36:SBF36"/>
    <mergeCell ref="SBG36:SBH36"/>
    <mergeCell ref="SBI36:SBJ36"/>
    <mergeCell ref="SBK36:SBL36"/>
    <mergeCell ref="SBM36:SBN36"/>
    <mergeCell ref="SBO36:SBP36"/>
    <mergeCell ref="SAS36:SAT36"/>
    <mergeCell ref="SAU36:SAV36"/>
    <mergeCell ref="SAW36:SAX36"/>
    <mergeCell ref="SAY36:SAZ36"/>
    <mergeCell ref="SBA36:SBB36"/>
    <mergeCell ref="SBC36:SBD36"/>
    <mergeCell ref="SAG36:SAH36"/>
    <mergeCell ref="SAI36:SAJ36"/>
    <mergeCell ref="SAK36:SAL36"/>
    <mergeCell ref="SAM36:SAN36"/>
    <mergeCell ref="SAO36:SAP36"/>
    <mergeCell ref="SAQ36:SAR36"/>
    <mergeCell ref="RZU36:RZV36"/>
    <mergeCell ref="RZW36:RZX36"/>
    <mergeCell ref="RZY36:RZZ36"/>
    <mergeCell ref="SAA36:SAB36"/>
    <mergeCell ref="SAC36:SAD36"/>
    <mergeCell ref="SAE36:SAF36"/>
    <mergeCell ref="SEW36:SEX36"/>
    <mergeCell ref="SEY36:SEZ36"/>
    <mergeCell ref="SFA36:SFB36"/>
    <mergeCell ref="SFC36:SFD36"/>
    <mergeCell ref="SFE36:SFF36"/>
    <mergeCell ref="SFG36:SFH36"/>
    <mergeCell ref="SEK36:SEL36"/>
    <mergeCell ref="SEM36:SEN36"/>
    <mergeCell ref="SEO36:SEP36"/>
    <mergeCell ref="SEQ36:SER36"/>
    <mergeCell ref="SES36:SET36"/>
    <mergeCell ref="SEU36:SEV36"/>
    <mergeCell ref="SDY36:SDZ36"/>
    <mergeCell ref="SEA36:SEB36"/>
    <mergeCell ref="SEC36:SED36"/>
    <mergeCell ref="SEE36:SEF36"/>
    <mergeCell ref="SEG36:SEH36"/>
    <mergeCell ref="SEI36:SEJ36"/>
    <mergeCell ref="SDM36:SDN36"/>
    <mergeCell ref="SDO36:SDP36"/>
    <mergeCell ref="SDQ36:SDR36"/>
    <mergeCell ref="SDS36:SDT36"/>
    <mergeCell ref="SDU36:SDV36"/>
    <mergeCell ref="SDW36:SDX36"/>
    <mergeCell ref="SDA36:SDB36"/>
    <mergeCell ref="SDC36:SDD36"/>
    <mergeCell ref="SDE36:SDF36"/>
    <mergeCell ref="SDG36:SDH36"/>
    <mergeCell ref="SDI36:SDJ36"/>
    <mergeCell ref="SDK36:SDL36"/>
    <mergeCell ref="SCO36:SCP36"/>
    <mergeCell ref="SCQ36:SCR36"/>
    <mergeCell ref="SCS36:SCT36"/>
    <mergeCell ref="SCU36:SCV36"/>
    <mergeCell ref="SCW36:SCX36"/>
    <mergeCell ref="SCY36:SCZ36"/>
    <mergeCell ref="SHQ36:SHR36"/>
    <mergeCell ref="SHS36:SHT36"/>
    <mergeCell ref="SHU36:SHV36"/>
    <mergeCell ref="SHW36:SHX36"/>
    <mergeCell ref="SHY36:SHZ36"/>
    <mergeCell ref="SIA36:SIB36"/>
    <mergeCell ref="SHE36:SHF36"/>
    <mergeCell ref="SHG36:SHH36"/>
    <mergeCell ref="SHI36:SHJ36"/>
    <mergeCell ref="SHK36:SHL36"/>
    <mergeCell ref="SHM36:SHN36"/>
    <mergeCell ref="SHO36:SHP36"/>
    <mergeCell ref="SGS36:SGT36"/>
    <mergeCell ref="SGU36:SGV36"/>
    <mergeCell ref="SGW36:SGX36"/>
    <mergeCell ref="SGY36:SGZ36"/>
    <mergeCell ref="SHA36:SHB36"/>
    <mergeCell ref="SHC36:SHD36"/>
    <mergeCell ref="SGG36:SGH36"/>
    <mergeCell ref="SGI36:SGJ36"/>
    <mergeCell ref="SGK36:SGL36"/>
    <mergeCell ref="SGM36:SGN36"/>
    <mergeCell ref="SGO36:SGP36"/>
    <mergeCell ref="SGQ36:SGR36"/>
    <mergeCell ref="SFU36:SFV36"/>
    <mergeCell ref="SFW36:SFX36"/>
    <mergeCell ref="SFY36:SFZ36"/>
    <mergeCell ref="SGA36:SGB36"/>
    <mergeCell ref="SGC36:SGD36"/>
    <mergeCell ref="SGE36:SGF36"/>
    <mergeCell ref="SFI36:SFJ36"/>
    <mergeCell ref="SFK36:SFL36"/>
    <mergeCell ref="SFM36:SFN36"/>
    <mergeCell ref="SFO36:SFP36"/>
    <mergeCell ref="SFQ36:SFR36"/>
    <mergeCell ref="SFS36:SFT36"/>
    <mergeCell ref="SKK36:SKL36"/>
    <mergeCell ref="SKM36:SKN36"/>
    <mergeCell ref="SKO36:SKP36"/>
    <mergeCell ref="SKQ36:SKR36"/>
    <mergeCell ref="SKS36:SKT36"/>
    <mergeCell ref="SKU36:SKV36"/>
    <mergeCell ref="SJY36:SJZ36"/>
    <mergeCell ref="SKA36:SKB36"/>
    <mergeCell ref="SKC36:SKD36"/>
    <mergeCell ref="SKE36:SKF36"/>
    <mergeCell ref="SKG36:SKH36"/>
    <mergeCell ref="SKI36:SKJ36"/>
    <mergeCell ref="SJM36:SJN36"/>
    <mergeCell ref="SJO36:SJP36"/>
    <mergeCell ref="SJQ36:SJR36"/>
    <mergeCell ref="SJS36:SJT36"/>
    <mergeCell ref="SJU36:SJV36"/>
    <mergeCell ref="SJW36:SJX36"/>
    <mergeCell ref="SJA36:SJB36"/>
    <mergeCell ref="SJC36:SJD36"/>
    <mergeCell ref="SJE36:SJF36"/>
    <mergeCell ref="SJG36:SJH36"/>
    <mergeCell ref="SJI36:SJJ36"/>
    <mergeCell ref="SJK36:SJL36"/>
    <mergeCell ref="SIO36:SIP36"/>
    <mergeCell ref="SIQ36:SIR36"/>
    <mergeCell ref="SIS36:SIT36"/>
    <mergeCell ref="SIU36:SIV36"/>
    <mergeCell ref="SIW36:SIX36"/>
    <mergeCell ref="SIY36:SIZ36"/>
    <mergeCell ref="SIC36:SID36"/>
    <mergeCell ref="SIE36:SIF36"/>
    <mergeCell ref="SIG36:SIH36"/>
    <mergeCell ref="SII36:SIJ36"/>
    <mergeCell ref="SIK36:SIL36"/>
    <mergeCell ref="SIM36:SIN36"/>
    <mergeCell ref="SNE36:SNF36"/>
    <mergeCell ref="SNG36:SNH36"/>
    <mergeCell ref="SNI36:SNJ36"/>
    <mergeCell ref="SNK36:SNL36"/>
    <mergeCell ref="SNM36:SNN36"/>
    <mergeCell ref="SNO36:SNP36"/>
    <mergeCell ref="SMS36:SMT36"/>
    <mergeCell ref="SMU36:SMV36"/>
    <mergeCell ref="SMW36:SMX36"/>
    <mergeCell ref="SMY36:SMZ36"/>
    <mergeCell ref="SNA36:SNB36"/>
    <mergeCell ref="SNC36:SND36"/>
    <mergeCell ref="SMG36:SMH36"/>
    <mergeCell ref="SMI36:SMJ36"/>
    <mergeCell ref="SMK36:SML36"/>
    <mergeCell ref="SMM36:SMN36"/>
    <mergeCell ref="SMO36:SMP36"/>
    <mergeCell ref="SMQ36:SMR36"/>
    <mergeCell ref="SLU36:SLV36"/>
    <mergeCell ref="SLW36:SLX36"/>
    <mergeCell ref="SLY36:SLZ36"/>
    <mergeCell ref="SMA36:SMB36"/>
    <mergeCell ref="SMC36:SMD36"/>
    <mergeCell ref="SME36:SMF36"/>
    <mergeCell ref="SLI36:SLJ36"/>
    <mergeCell ref="SLK36:SLL36"/>
    <mergeCell ref="SLM36:SLN36"/>
    <mergeCell ref="SLO36:SLP36"/>
    <mergeCell ref="SLQ36:SLR36"/>
    <mergeCell ref="SLS36:SLT36"/>
    <mergeCell ref="SKW36:SKX36"/>
    <mergeCell ref="SKY36:SKZ36"/>
    <mergeCell ref="SLA36:SLB36"/>
    <mergeCell ref="SLC36:SLD36"/>
    <mergeCell ref="SLE36:SLF36"/>
    <mergeCell ref="SLG36:SLH36"/>
    <mergeCell ref="SPY36:SPZ36"/>
    <mergeCell ref="SQA36:SQB36"/>
    <mergeCell ref="SQC36:SQD36"/>
    <mergeCell ref="SQE36:SQF36"/>
    <mergeCell ref="SQG36:SQH36"/>
    <mergeCell ref="SQI36:SQJ36"/>
    <mergeCell ref="SPM36:SPN36"/>
    <mergeCell ref="SPO36:SPP36"/>
    <mergeCell ref="SPQ36:SPR36"/>
    <mergeCell ref="SPS36:SPT36"/>
    <mergeCell ref="SPU36:SPV36"/>
    <mergeCell ref="SPW36:SPX36"/>
    <mergeCell ref="SPA36:SPB36"/>
    <mergeCell ref="SPC36:SPD36"/>
    <mergeCell ref="SPE36:SPF36"/>
    <mergeCell ref="SPG36:SPH36"/>
    <mergeCell ref="SPI36:SPJ36"/>
    <mergeCell ref="SPK36:SPL36"/>
    <mergeCell ref="SOO36:SOP36"/>
    <mergeCell ref="SOQ36:SOR36"/>
    <mergeCell ref="SOS36:SOT36"/>
    <mergeCell ref="SOU36:SOV36"/>
    <mergeCell ref="SOW36:SOX36"/>
    <mergeCell ref="SOY36:SOZ36"/>
    <mergeCell ref="SOC36:SOD36"/>
    <mergeCell ref="SOE36:SOF36"/>
    <mergeCell ref="SOG36:SOH36"/>
    <mergeCell ref="SOI36:SOJ36"/>
    <mergeCell ref="SOK36:SOL36"/>
    <mergeCell ref="SOM36:SON36"/>
    <mergeCell ref="SNQ36:SNR36"/>
    <mergeCell ref="SNS36:SNT36"/>
    <mergeCell ref="SNU36:SNV36"/>
    <mergeCell ref="SNW36:SNX36"/>
    <mergeCell ref="SNY36:SNZ36"/>
    <mergeCell ref="SOA36:SOB36"/>
    <mergeCell ref="SSS36:SST36"/>
    <mergeCell ref="SSU36:SSV36"/>
    <mergeCell ref="SSW36:SSX36"/>
    <mergeCell ref="SSY36:SSZ36"/>
    <mergeCell ref="STA36:STB36"/>
    <mergeCell ref="STC36:STD36"/>
    <mergeCell ref="SSG36:SSH36"/>
    <mergeCell ref="SSI36:SSJ36"/>
    <mergeCell ref="SSK36:SSL36"/>
    <mergeCell ref="SSM36:SSN36"/>
    <mergeCell ref="SSO36:SSP36"/>
    <mergeCell ref="SSQ36:SSR36"/>
    <mergeCell ref="SRU36:SRV36"/>
    <mergeCell ref="SRW36:SRX36"/>
    <mergeCell ref="SRY36:SRZ36"/>
    <mergeCell ref="SSA36:SSB36"/>
    <mergeCell ref="SSC36:SSD36"/>
    <mergeCell ref="SSE36:SSF36"/>
    <mergeCell ref="SRI36:SRJ36"/>
    <mergeCell ref="SRK36:SRL36"/>
    <mergeCell ref="SRM36:SRN36"/>
    <mergeCell ref="SRO36:SRP36"/>
    <mergeCell ref="SRQ36:SRR36"/>
    <mergeCell ref="SRS36:SRT36"/>
    <mergeCell ref="SQW36:SQX36"/>
    <mergeCell ref="SQY36:SQZ36"/>
    <mergeCell ref="SRA36:SRB36"/>
    <mergeCell ref="SRC36:SRD36"/>
    <mergeCell ref="SRE36:SRF36"/>
    <mergeCell ref="SRG36:SRH36"/>
    <mergeCell ref="SQK36:SQL36"/>
    <mergeCell ref="SQM36:SQN36"/>
    <mergeCell ref="SQO36:SQP36"/>
    <mergeCell ref="SQQ36:SQR36"/>
    <mergeCell ref="SQS36:SQT36"/>
    <mergeCell ref="SQU36:SQV36"/>
    <mergeCell ref="SVM36:SVN36"/>
    <mergeCell ref="SVO36:SVP36"/>
    <mergeCell ref="SVQ36:SVR36"/>
    <mergeCell ref="SVS36:SVT36"/>
    <mergeCell ref="SVU36:SVV36"/>
    <mergeCell ref="SVW36:SVX36"/>
    <mergeCell ref="SVA36:SVB36"/>
    <mergeCell ref="SVC36:SVD36"/>
    <mergeCell ref="SVE36:SVF36"/>
    <mergeCell ref="SVG36:SVH36"/>
    <mergeCell ref="SVI36:SVJ36"/>
    <mergeCell ref="SVK36:SVL36"/>
    <mergeCell ref="SUO36:SUP36"/>
    <mergeCell ref="SUQ36:SUR36"/>
    <mergeCell ref="SUS36:SUT36"/>
    <mergeCell ref="SUU36:SUV36"/>
    <mergeCell ref="SUW36:SUX36"/>
    <mergeCell ref="SUY36:SUZ36"/>
    <mergeCell ref="SUC36:SUD36"/>
    <mergeCell ref="SUE36:SUF36"/>
    <mergeCell ref="SUG36:SUH36"/>
    <mergeCell ref="SUI36:SUJ36"/>
    <mergeCell ref="SUK36:SUL36"/>
    <mergeCell ref="SUM36:SUN36"/>
    <mergeCell ref="STQ36:STR36"/>
    <mergeCell ref="STS36:STT36"/>
    <mergeCell ref="STU36:STV36"/>
    <mergeCell ref="STW36:STX36"/>
    <mergeCell ref="STY36:STZ36"/>
    <mergeCell ref="SUA36:SUB36"/>
    <mergeCell ref="STE36:STF36"/>
    <mergeCell ref="STG36:STH36"/>
    <mergeCell ref="STI36:STJ36"/>
    <mergeCell ref="STK36:STL36"/>
    <mergeCell ref="STM36:STN36"/>
    <mergeCell ref="STO36:STP36"/>
    <mergeCell ref="SYG36:SYH36"/>
    <mergeCell ref="SYI36:SYJ36"/>
    <mergeCell ref="SYK36:SYL36"/>
    <mergeCell ref="SYM36:SYN36"/>
    <mergeCell ref="SYO36:SYP36"/>
    <mergeCell ref="SYQ36:SYR36"/>
    <mergeCell ref="SXU36:SXV36"/>
    <mergeCell ref="SXW36:SXX36"/>
    <mergeCell ref="SXY36:SXZ36"/>
    <mergeCell ref="SYA36:SYB36"/>
    <mergeCell ref="SYC36:SYD36"/>
    <mergeCell ref="SYE36:SYF36"/>
    <mergeCell ref="SXI36:SXJ36"/>
    <mergeCell ref="SXK36:SXL36"/>
    <mergeCell ref="SXM36:SXN36"/>
    <mergeCell ref="SXO36:SXP36"/>
    <mergeCell ref="SXQ36:SXR36"/>
    <mergeCell ref="SXS36:SXT36"/>
    <mergeCell ref="SWW36:SWX36"/>
    <mergeCell ref="SWY36:SWZ36"/>
    <mergeCell ref="SXA36:SXB36"/>
    <mergeCell ref="SXC36:SXD36"/>
    <mergeCell ref="SXE36:SXF36"/>
    <mergeCell ref="SXG36:SXH36"/>
    <mergeCell ref="SWK36:SWL36"/>
    <mergeCell ref="SWM36:SWN36"/>
    <mergeCell ref="SWO36:SWP36"/>
    <mergeCell ref="SWQ36:SWR36"/>
    <mergeCell ref="SWS36:SWT36"/>
    <mergeCell ref="SWU36:SWV36"/>
    <mergeCell ref="SVY36:SVZ36"/>
    <mergeCell ref="SWA36:SWB36"/>
    <mergeCell ref="SWC36:SWD36"/>
    <mergeCell ref="SWE36:SWF36"/>
    <mergeCell ref="SWG36:SWH36"/>
    <mergeCell ref="SWI36:SWJ36"/>
    <mergeCell ref="TBA36:TBB36"/>
    <mergeCell ref="TBC36:TBD36"/>
    <mergeCell ref="TBE36:TBF36"/>
    <mergeCell ref="TBG36:TBH36"/>
    <mergeCell ref="TBI36:TBJ36"/>
    <mergeCell ref="TBK36:TBL36"/>
    <mergeCell ref="TAO36:TAP36"/>
    <mergeCell ref="TAQ36:TAR36"/>
    <mergeCell ref="TAS36:TAT36"/>
    <mergeCell ref="TAU36:TAV36"/>
    <mergeCell ref="TAW36:TAX36"/>
    <mergeCell ref="TAY36:TAZ36"/>
    <mergeCell ref="TAC36:TAD36"/>
    <mergeCell ref="TAE36:TAF36"/>
    <mergeCell ref="TAG36:TAH36"/>
    <mergeCell ref="TAI36:TAJ36"/>
    <mergeCell ref="TAK36:TAL36"/>
    <mergeCell ref="TAM36:TAN36"/>
    <mergeCell ref="SZQ36:SZR36"/>
    <mergeCell ref="SZS36:SZT36"/>
    <mergeCell ref="SZU36:SZV36"/>
    <mergeCell ref="SZW36:SZX36"/>
    <mergeCell ref="SZY36:SZZ36"/>
    <mergeCell ref="TAA36:TAB36"/>
    <mergeCell ref="SZE36:SZF36"/>
    <mergeCell ref="SZG36:SZH36"/>
    <mergeCell ref="SZI36:SZJ36"/>
    <mergeCell ref="SZK36:SZL36"/>
    <mergeCell ref="SZM36:SZN36"/>
    <mergeCell ref="SZO36:SZP36"/>
    <mergeCell ref="SYS36:SYT36"/>
    <mergeCell ref="SYU36:SYV36"/>
    <mergeCell ref="SYW36:SYX36"/>
    <mergeCell ref="SYY36:SYZ36"/>
    <mergeCell ref="SZA36:SZB36"/>
    <mergeCell ref="SZC36:SZD36"/>
    <mergeCell ref="TDU36:TDV36"/>
    <mergeCell ref="TDW36:TDX36"/>
    <mergeCell ref="TDY36:TDZ36"/>
    <mergeCell ref="TEA36:TEB36"/>
    <mergeCell ref="TEC36:TED36"/>
    <mergeCell ref="TEE36:TEF36"/>
    <mergeCell ref="TDI36:TDJ36"/>
    <mergeCell ref="TDK36:TDL36"/>
    <mergeCell ref="TDM36:TDN36"/>
    <mergeCell ref="TDO36:TDP36"/>
    <mergeCell ref="TDQ36:TDR36"/>
    <mergeCell ref="TDS36:TDT36"/>
    <mergeCell ref="TCW36:TCX36"/>
    <mergeCell ref="TCY36:TCZ36"/>
    <mergeCell ref="TDA36:TDB36"/>
    <mergeCell ref="TDC36:TDD36"/>
    <mergeCell ref="TDE36:TDF36"/>
    <mergeCell ref="TDG36:TDH36"/>
    <mergeCell ref="TCK36:TCL36"/>
    <mergeCell ref="TCM36:TCN36"/>
    <mergeCell ref="TCO36:TCP36"/>
    <mergeCell ref="TCQ36:TCR36"/>
    <mergeCell ref="TCS36:TCT36"/>
    <mergeCell ref="TCU36:TCV36"/>
    <mergeCell ref="TBY36:TBZ36"/>
    <mergeCell ref="TCA36:TCB36"/>
    <mergeCell ref="TCC36:TCD36"/>
    <mergeCell ref="TCE36:TCF36"/>
    <mergeCell ref="TCG36:TCH36"/>
    <mergeCell ref="TCI36:TCJ36"/>
    <mergeCell ref="TBM36:TBN36"/>
    <mergeCell ref="TBO36:TBP36"/>
    <mergeCell ref="TBQ36:TBR36"/>
    <mergeCell ref="TBS36:TBT36"/>
    <mergeCell ref="TBU36:TBV36"/>
    <mergeCell ref="TBW36:TBX36"/>
    <mergeCell ref="TGO36:TGP36"/>
    <mergeCell ref="TGQ36:TGR36"/>
    <mergeCell ref="TGS36:TGT36"/>
    <mergeCell ref="TGU36:TGV36"/>
    <mergeCell ref="TGW36:TGX36"/>
    <mergeCell ref="TGY36:TGZ36"/>
    <mergeCell ref="TGC36:TGD36"/>
    <mergeCell ref="TGE36:TGF36"/>
    <mergeCell ref="TGG36:TGH36"/>
    <mergeCell ref="TGI36:TGJ36"/>
    <mergeCell ref="TGK36:TGL36"/>
    <mergeCell ref="TGM36:TGN36"/>
    <mergeCell ref="TFQ36:TFR36"/>
    <mergeCell ref="TFS36:TFT36"/>
    <mergeCell ref="TFU36:TFV36"/>
    <mergeCell ref="TFW36:TFX36"/>
    <mergeCell ref="TFY36:TFZ36"/>
    <mergeCell ref="TGA36:TGB36"/>
    <mergeCell ref="TFE36:TFF36"/>
    <mergeCell ref="TFG36:TFH36"/>
    <mergeCell ref="TFI36:TFJ36"/>
    <mergeCell ref="TFK36:TFL36"/>
    <mergeCell ref="TFM36:TFN36"/>
    <mergeCell ref="TFO36:TFP36"/>
    <mergeCell ref="TES36:TET36"/>
    <mergeCell ref="TEU36:TEV36"/>
    <mergeCell ref="TEW36:TEX36"/>
    <mergeCell ref="TEY36:TEZ36"/>
    <mergeCell ref="TFA36:TFB36"/>
    <mergeCell ref="TFC36:TFD36"/>
    <mergeCell ref="TEG36:TEH36"/>
    <mergeCell ref="TEI36:TEJ36"/>
    <mergeCell ref="TEK36:TEL36"/>
    <mergeCell ref="TEM36:TEN36"/>
    <mergeCell ref="TEO36:TEP36"/>
    <mergeCell ref="TEQ36:TER36"/>
    <mergeCell ref="TJI36:TJJ36"/>
    <mergeCell ref="TJK36:TJL36"/>
    <mergeCell ref="TJM36:TJN36"/>
    <mergeCell ref="TJO36:TJP36"/>
    <mergeCell ref="TJQ36:TJR36"/>
    <mergeCell ref="TJS36:TJT36"/>
    <mergeCell ref="TIW36:TIX36"/>
    <mergeCell ref="TIY36:TIZ36"/>
    <mergeCell ref="TJA36:TJB36"/>
    <mergeCell ref="TJC36:TJD36"/>
    <mergeCell ref="TJE36:TJF36"/>
    <mergeCell ref="TJG36:TJH36"/>
    <mergeCell ref="TIK36:TIL36"/>
    <mergeCell ref="TIM36:TIN36"/>
    <mergeCell ref="TIO36:TIP36"/>
    <mergeCell ref="TIQ36:TIR36"/>
    <mergeCell ref="TIS36:TIT36"/>
    <mergeCell ref="TIU36:TIV36"/>
    <mergeCell ref="THY36:THZ36"/>
    <mergeCell ref="TIA36:TIB36"/>
    <mergeCell ref="TIC36:TID36"/>
    <mergeCell ref="TIE36:TIF36"/>
    <mergeCell ref="TIG36:TIH36"/>
    <mergeCell ref="TII36:TIJ36"/>
    <mergeCell ref="THM36:THN36"/>
    <mergeCell ref="THO36:THP36"/>
    <mergeCell ref="THQ36:THR36"/>
    <mergeCell ref="THS36:THT36"/>
    <mergeCell ref="THU36:THV36"/>
    <mergeCell ref="THW36:THX36"/>
    <mergeCell ref="THA36:THB36"/>
    <mergeCell ref="THC36:THD36"/>
    <mergeCell ref="THE36:THF36"/>
    <mergeCell ref="THG36:THH36"/>
    <mergeCell ref="THI36:THJ36"/>
    <mergeCell ref="THK36:THL36"/>
    <mergeCell ref="TMC36:TMD36"/>
    <mergeCell ref="TME36:TMF36"/>
    <mergeCell ref="TMG36:TMH36"/>
    <mergeCell ref="TMI36:TMJ36"/>
    <mergeCell ref="TMK36:TML36"/>
    <mergeCell ref="TMM36:TMN36"/>
    <mergeCell ref="TLQ36:TLR36"/>
    <mergeCell ref="TLS36:TLT36"/>
    <mergeCell ref="TLU36:TLV36"/>
    <mergeCell ref="TLW36:TLX36"/>
    <mergeCell ref="TLY36:TLZ36"/>
    <mergeCell ref="TMA36:TMB36"/>
    <mergeCell ref="TLE36:TLF36"/>
    <mergeCell ref="TLG36:TLH36"/>
    <mergeCell ref="TLI36:TLJ36"/>
    <mergeCell ref="TLK36:TLL36"/>
    <mergeCell ref="TLM36:TLN36"/>
    <mergeCell ref="TLO36:TLP36"/>
    <mergeCell ref="TKS36:TKT36"/>
    <mergeCell ref="TKU36:TKV36"/>
    <mergeCell ref="TKW36:TKX36"/>
    <mergeCell ref="TKY36:TKZ36"/>
    <mergeCell ref="TLA36:TLB36"/>
    <mergeCell ref="TLC36:TLD36"/>
    <mergeCell ref="TKG36:TKH36"/>
    <mergeCell ref="TKI36:TKJ36"/>
    <mergeCell ref="TKK36:TKL36"/>
    <mergeCell ref="TKM36:TKN36"/>
    <mergeCell ref="TKO36:TKP36"/>
    <mergeCell ref="TKQ36:TKR36"/>
    <mergeCell ref="TJU36:TJV36"/>
    <mergeCell ref="TJW36:TJX36"/>
    <mergeCell ref="TJY36:TJZ36"/>
    <mergeCell ref="TKA36:TKB36"/>
    <mergeCell ref="TKC36:TKD36"/>
    <mergeCell ref="TKE36:TKF36"/>
    <mergeCell ref="TOW36:TOX36"/>
    <mergeCell ref="TOY36:TOZ36"/>
    <mergeCell ref="TPA36:TPB36"/>
    <mergeCell ref="TPC36:TPD36"/>
    <mergeCell ref="TPE36:TPF36"/>
    <mergeCell ref="TPG36:TPH36"/>
    <mergeCell ref="TOK36:TOL36"/>
    <mergeCell ref="TOM36:TON36"/>
    <mergeCell ref="TOO36:TOP36"/>
    <mergeCell ref="TOQ36:TOR36"/>
    <mergeCell ref="TOS36:TOT36"/>
    <mergeCell ref="TOU36:TOV36"/>
    <mergeCell ref="TNY36:TNZ36"/>
    <mergeCell ref="TOA36:TOB36"/>
    <mergeCell ref="TOC36:TOD36"/>
    <mergeCell ref="TOE36:TOF36"/>
    <mergeCell ref="TOG36:TOH36"/>
    <mergeCell ref="TOI36:TOJ36"/>
    <mergeCell ref="TNM36:TNN36"/>
    <mergeCell ref="TNO36:TNP36"/>
    <mergeCell ref="TNQ36:TNR36"/>
    <mergeCell ref="TNS36:TNT36"/>
    <mergeCell ref="TNU36:TNV36"/>
    <mergeCell ref="TNW36:TNX36"/>
    <mergeCell ref="TNA36:TNB36"/>
    <mergeCell ref="TNC36:TND36"/>
    <mergeCell ref="TNE36:TNF36"/>
    <mergeCell ref="TNG36:TNH36"/>
    <mergeCell ref="TNI36:TNJ36"/>
    <mergeCell ref="TNK36:TNL36"/>
    <mergeCell ref="TMO36:TMP36"/>
    <mergeCell ref="TMQ36:TMR36"/>
    <mergeCell ref="TMS36:TMT36"/>
    <mergeCell ref="TMU36:TMV36"/>
    <mergeCell ref="TMW36:TMX36"/>
    <mergeCell ref="TMY36:TMZ36"/>
    <mergeCell ref="TRQ36:TRR36"/>
    <mergeCell ref="TRS36:TRT36"/>
    <mergeCell ref="TRU36:TRV36"/>
    <mergeCell ref="TRW36:TRX36"/>
    <mergeCell ref="TRY36:TRZ36"/>
    <mergeCell ref="TSA36:TSB36"/>
    <mergeCell ref="TRE36:TRF36"/>
    <mergeCell ref="TRG36:TRH36"/>
    <mergeCell ref="TRI36:TRJ36"/>
    <mergeCell ref="TRK36:TRL36"/>
    <mergeCell ref="TRM36:TRN36"/>
    <mergeCell ref="TRO36:TRP36"/>
    <mergeCell ref="TQS36:TQT36"/>
    <mergeCell ref="TQU36:TQV36"/>
    <mergeCell ref="TQW36:TQX36"/>
    <mergeCell ref="TQY36:TQZ36"/>
    <mergeCell ref="TRA36:TRB36"/>
    <mergeCell ref="TRC36:TRD36"/>
    <mergeCell ref="TQG36:TQH36"/>
    <mergeCell ref="TQI36:TQJ36"/>
    <mergeCell ref="TQK36:TQL36"/>
    <mergeCell ref="TQM36:TQN36"/>
    <mergeCell ref="TQO36:TQP36"/>
    <mergeCell ref="TQQ36:TQR36"/>
    <mergeCell ref="TPU36:TPV36"/>
    <mergeCell ref="TPW36:TPX36"/>
    <mergeCell ref="TPY36:TPZ36"/>
    <mergeCell ref="TQA36:TQB36"/>
    <mergeCell ref="TQC36:TQD36"/>
    <mergeCell ref="TQE36:TQF36"/>
    <mergeCell ref="TPI36:TPJ36"/>
    <mergeCell ref="TPK36:TPL36"/>
    <mergeCell ref="TPM36:TPN36"/>
    <mergeCell ref="TPO36:TPP36"/>
    <mergeCell ref="TPQ36:TPR36"/>
    <mergeCell ref="TPS36:TPT36"/>
    <mergeCell ref="TUK36:TUL36"/>
    <mergeCell ref="TUM36:TUN36"/>
    <mergeCell ref="TUO36:TUP36"/>
    <mergeCell ref="TUQ36:TUR36"/>
    <mergeCell ref="TUS36:TUT36"/>
    <mergeCell ref="TUU36:TUV36"/>
    <mergeCell ref="TTY36:TTZ36"/>
    <mergeCell ref="TUA36:TUB36"/>
    <mergeCell ref="TUC36:TUD36"/>
    <mergeCell ref="TUE36:TUF36"/>
    <mergeCell ref="TUG36:TUH36"/>
    <mergeCell ref="TUI36:TUJ36"/>
    <mergeCell ref="TTM36:TTN36"/>
    <mergeCell ref="TTO36:TTP36"/>
    <mergeCell ref="TTQ36:TTR36"/>
    <mergeCell ref="TTS36:TTT36"/>
    <mergeCell ref="TTU36:TTV36"/>
    <mergeCell ref="TTW36:TTX36"/>
    <mergeCell ref="TTA36:TTB36"/>
    <mergeCell ref="TTC36:TTD36"/>
    <mergeCell ref="TTE36:TTF36"/>
    <mergeCell ref="TTG36:TTH36"/>
    <mergeCell ref="TTI36:TTJ36"/>
    <mergeCell ref="TTK36:TTL36"/>
    <mergeCell ref="TSO36:TSP36"/>
    <mergeCell ref="TSQ36:TSR36"/>
    <mergeCell ref="TSS36:TST36"/>
    <mergeCell ref="TSU36:TSV36"/>
    <mergeCell ref="TSW36:TSX36"/>
    <mergeCell ref="TSY36:TSZ36"/>
    <mergeCell ref="TSC36:TSD36"/>
    <mergeCell ref="TSE36:TSF36"/>
    <mergeCell ref="TSG36:TSH36"/>
    <mergeCell ref="TSI36:TSJ36"/>
    <mergeCell ref="TSK36:TSL36"/>
    <mergeCell ref="TSM36:TSN36"/>
    <mergeCell ref="TXE36:TXF36"/>
    <mergeCell ref="TXG36:TXH36"/>
    <mergeCell ref="TXI36:TXJ36"/>
    <mergeCell ref="TXK36:TXL36"/>
    <mergeCell ref="TXM36:TXN36"/>
    <mergeCell ref="TXO36:TXP36"/>
    <mergeCell ref="TWS36:TWT36"/>
    <mergeCell ref="TWU36:TWV36"/>
    <mergeCell ref="TWW36:TWX36"/>
    <mergeCell ref="TWY36:TWZ36"/>
    <mergeCell ref="TXA36:TXB36"/>
    <mergeCell ref="TXC36:TXD36"/>
    <mergeCell ref="TWG36:TWH36"/>
    <mergeCell ref="TWI36:TWJ36"/>
    <mergeCell ref="TWK36:TWL36"/>
    <mergeCell ref="TWM36:TWN36"/>
    <mergeCell ref="TWO36:TWP36"/>
    <mergeCell ref="TWQ36:TWR36"/>
    <mergeCell ref="TVU36:TVV36"/>
    <mergeCell ref="TVW36:TVX36"/>
    <mergeCell ref="TVY36:TVZ36"/>
    <mergeCell ref="TWA36:TWB36"/>
    <mergeCell ref="TWC36:TWD36"/>
    <mergeCell ref="TWE36:TWF36"/>
    <mergeCell ref="TVI36:TVJ36"/>
    <mergeCell ref="TVK36:TVL36"/>
    <mergeCell ref="TVM36:TVN36"/>
    <mergeCell ref="TVO36:TVP36"/>
    <mergeCell ref="TVQ36:TVR36"/>
    <mergeCell ref="TVS36:TVT36"/>
    <mergeCell ref="TUW36:TUX36"/>
    <mergeCell ref="TUY36:TUZ36"/>
    <mergeCell ref="TVA36:TVB36"/>
    <mergeCell ref="TVC36:TVD36"/>
    <mergeCell ref="TVE36:TVF36"/>
    <mergeCell ref="TVG36:TVH36"/>
    <mergeCell ref="TZY36:TZZ36"/>
    <mergeCell ref="UAA36:UAB36"/>
    <mergeCell ref="UAC36:UAD36"/>
    <mergeCell ref="UAE36:UAF36"/>
    <mergeCell ref="UAG36:UAH36"/>
    <mergeCell ref="UAI36:UAJ36"/>
    <mergeCell ref="TZM36:TZN36"/>
    <mergeCell ref="TZO36:TZP36"/>
    <mergeCell ref="TZQ36:TZR36"/>
    <mergeCell ref="TZS36:TZT36"/>
    <mergeCell ref="TZU36:TZV36"/>
    <mergeCell ref="TZW36:TZX36"/>
    <mergeCell ref="TZA36:TZB36"/>
    <mergeCell ref="TZC36:TZD36"/>
    <mergeCell ref="TZE36:TZF36"/>
    <mergeCell ref="TZG36:TZH36"/>
    <mergeCell ref="TZI36:TZJ36"/>
    <mergeCell ref="TZK36:TZL36"/>
    <mergeCell ref="TYO36:TYP36"/>
    <mergeCell ref="TYQ36:TYR36"/>
    <mergeCell ref="TYS36:TYT36"/>
    <mergeCell ref="TYU36:TYV36"/>
    <mergeCell ref="TYW36:TYX36"/>
    <mergeCell ref="TYY36:TYZ36"/>
    <mergeCell ref="TYC36:TYD36"/>
    <mergeCell ref="TYE36:TYF36"/>
    <mergeCell ref="TYG36:TYH36"/>
    <mergeCell ref="TYI36:TYJ36"/>
    <mergeCell ref="TYK36:TYL36"/>
    <mergeCell ref="TYM36:TYN36"/>
    <mergeCell ref="TXQ36:TXR36"/>
    <mergeCell ref="TXS36:TXT36"/>
    <mergeCell ref="TXU36:TXV36"/>
    <mergeCell ref="TXW36:TXX36"/>
    <mergeCell ref="TXY36:TXZ36"/>
    <mergeCell ref="TYA36:TYB36"/>
    <mergeCell ref="UCS36:UCT36"/>
    <mergeCell ref="UCU36:UCV36"/>
    <mergeCell ref="UCW36:UCX36"/>
    <mergeCell ref="UCY36:UCZ36"/>
    <mergeCell ref="UDA36:UDB36"/>
    <mergeCell ref="UDC36:UDD36"/>
    <mergeCell ref="UCG36:UCH36"/>
    <mergeCell ref="UCI36:UCJ36"/>
    <mergeCell ref="UCK36:UCL36"/>
    <mergeCell ref="UCM36:UCN36"/>
    <mergeCell ref="UCO36:UCP36"/>
    <mergeCell ref="UCQ36:UCR36"/>
    <mergeCell ref="UBU36:UBV36"/>
    <mergeCell ref="UBW36:UBX36"/>
    <mergeCell ref="UBY36:UBZ36"/>
    <mergeCell ref="UCA36:UCB36"/>
    <mergeCell ref="UCC36:UCD36"/>
    <mergeCell ref="UCE36:UCF36"/>
    <mergeCell ref="UBI36:UBJ36"/>
    <mergeCell ref="UBK36:UBL36"/>
    <mergeCell ref="UBM36:UBN36"/>
    <mergeCell ref="UBO36:UBP36"/>
    <mergeCell ref="UBQ36:UBR36"/>
    <mergeCell ref="UBS36:UBT36"/>
    <mergeCell ref="UAW36:UAX36"/>
    <mergeCell ref="UAY36:UAZ36"/>
    <mergeCell ref="UBA36:UBB36"/>
    <mergeCell ref="UBC36:UBD36"/>
    <mergeCell ref="UBE36:UBF36"/>
    <mergeCell ref="UBG36:UBH36"/>
    <mergeCell ref="UAK36:UAL36"/>
    <mergeCell ref="UAM36:UAN36"/>
    <mergeCell ref="UAO36:UAP36"/>
    <mergeCell ref="UAQ36:UAR36"/>
    <mergeCell ref="UAS36:UAT36"/>
    <mergeCell ref="UAU36:UAV36"/>
    <mergeCell ref="UFM36:UFN36"/>
    <mergeCell ref="UFO36:UFP36"/>
    <mergeCell ref="UFQ36:UFR36"/>
    <mergeCell ref="UFS36:UFT36"/>
    <mergeCell ref="UFU36:UFV36"/>
    <mergeCell ref="UFW36:UFX36"/>
    <mergeCell ref="UFA36:UFB36"/>
    <mergeCell ref="UFC36:UFD36"/>
    <mergeCell ref="UFE36:UFF36"/>
    <mergeCell ref="UFG36:UFH36"/>
    <mergeCell ref="UFI36:UFJ36"/>
    <mergeCell ref="UFK36:UFL36"/>
    <mergeCell ref="UEO36:UEP36"/>
    <mergeCell ref="UEQ36:UER36"/>
    <mergeCell ref="UES36:UET36"/>
    <mergeCell ref="UEU36:UEV36"/>
    <mergeCell ref="UEW36:UEX36"/>
    <mergeCell ref="UEY36:UEZ36"/>
    <mergeCell ref="UEC36:UED36"/>
    <mergeCell ref="UEE36:UEF36"/>
    <mergeCell ref="UEG36:UEH36"/>
    <mergeCell ref="UEI36:UEJ36"/>
    <mergeCell ref="UEK36:UEL36"/>
    <mergeCell ref="UEM36:UEN36"/>
    <mergeCell ref="UDQ36:UDR36"/>
    <mergeCell ref="UDS36:UDT36"/>
    <mergeCell ref="UDU36:UDV36"/>
    <mergeCell ref="UDW36:UDX36"/>
    <mergeCell ref="UDY36:UDZ36"/>
    <mergeCell ref="UEA36:UEB36"/>
    <mergeCell ref="UDE36:UDF36"/>
    <mergeCell ref="UDG36:UDH36"/>
    <mergeCell ref="UDI36:UDJ36"/>
    <mergeCell ref="UDK36:UDL36"/>
    <mergeCell ref="UDM36:UDN36"/>
    <mergeCell ref="UDO36:UDP36"/>
    <mergeCell ref="UIG36:UIH36"/>
    <mergeCell ref="UII36:UIJ36"/>
    <mergeCell ref="UIK36:UIL36"/>
    <mergeCell ref="UIM36:UIN36"/>
    <mergeCell ref="UIO36:UIP36"/>
    <mergeCell ref="UIQ36:UIR36"/>
    <mergeCell ref="UHU36:UHV36"/>
    <mergeCell ref="UHW36:UHX36"/>
    <mergeCell ref="UHY36:UHZ36"/>
    <mergeCell ref="UIA36:UIB36"/>
    <mergeCell ref="UIC36:UID36"/>
    <mergeCell ref="UIE36:UIF36"/>
    <mergeCell ref="UHI36:UHJ36"/>
    <mergeCell ref="UHK36:UHL36"/>
    <mergeCell ref="UHM36:UHN36"/>
    <mergeCell ref="UHO36:UHP36"/>
    <mergeCell ref="UHQ36:UHR36"/>
    <mergeCell ref="UHS36:UHT36"/>
    <mergeCell ref="UGW36:UGX36"/>
    <mergeCell ref="UGY36:UGZ36"/>
    <mergeCell ref="UHA36:UHB36"/>
    <mergeCell ref="UHC36:UHD36"/>
    <mergeCell ref="UHE36:UHF36"/>
    <mergeCell ref="UHG36:UHH36"/>
    <mergeCell ref="UGK36:UGL36"/>
    <mergeCell ref="UGM36:UGN36"/>
    <mergeCell ref="UGO36:UGP36"/>
    <mergeCell ref="UGQ36:UGR36"/>
    <mergeCell ref="UGS36:UGT36"/>
    <mergeCell ref="UGU36:UGV36"/>
    <mergeCell ref="UFY36:UFZ36"/>
    <mergeCell ref="UGA36:UGB36"/>
    <mergeCell ref="UGC36:UGD36"/>
    <mergeCell ref="UGE36:UGF36"/>
    <mergeCell ref="UGG36:UGH36"/>
    <mergeCell ref="UGI36:UGJ36"/>
    <mergeCell ref="ULA36:ULB36"/>
    <mergeCell ref="ULC36:ULD36"/>
    <mergeCell ref="ULE36:ULF36"/>
    <mergeCell ref="ULG36:ULH36"/>
    <mergeCell ref="ULI36:ULJ36"/>
    <mergeCell ref="ULK36:ULL36"/>
    <mergeCell ref="UKO36:UKP36"/>
    <mergeCell ref="UKQ36:UKR36"/>
    <mergeCell ref="UKS36:UKT36"/>
    <mergeCell ref="UKU36:UKV36"/>
    <mergeCell ref="UKW36:UKX36"/>
    <mergeCell ref="UKY36:UKZ36"/>
    <mergeCell ref="UKC36:UKD36"/>
    <mergeCell ref="UKE36:UKF36"/>
    <mergeCell ref="UKG36:UKH36"/>
    <mergeCell ref="UKI36:UKJ36"/>
    <mergeCell ref="UKK36:UKL36"/>
    <mergeCell ref="UKM36:UKN36"/>
    <mergeCell ref="UJQ36:UJR36"/>
    <mergeCell ref="UJS36:UJT36"/>
    <mergeCell ref="UJU36:UJV36"/>
    <mergeCell ref="UJW36:UJX36"/>
    <mergeCell ref="UJY36:UJZ36"/>
    <mergeCell ref="UKA36:UKB36"/>
    <mergeCell ref="UJE36:UJF36"/>
    <mergeCell ref="UJG36:UJH36"/>
    <mergeCell ref="UJI36:UJJ36"/>
    <mergeCell ref="UJK36:UJL36"/>
    <mergeCell ref="UJM36:UJN36"/>
    <mergeCell ref="UJO36:UJP36"/>
    <mergeCell ref="UIS36:UIT36"/>
    <mergeCell ref="UIU36:UIV36"/>
    <mergeCell ref="UIW36:UIX36"/>
    <mergeCell ref="UIY36:UIZ36"/>
    <mergeCell ref="UJA36:UJB36"/>
    <mergeCell ref="UJC36:UJD36"/>
    <mergeCell ref="UNU36:UNV36"/>
    <mergeCell ref="UNW36:UNX36"/>
    <mergeCell ref="UNY36:UNZ36"/>
    <mergeCell ref="UOA36:UOB36"/>
    <mergeCell ref="UOC36:UOD36"/>
    <mergeCell ref="UOE36:UOF36"/>
    <mergeCell ref="UNI36:UNJ36"/>
    <mergeCell ref="UNK36:UNL36"/>
    <mergeCell ref="UNM36:UNN36"/>
    <mergeCell ref="UNO36:UNP36"/>
    <mergeCell ref="UNQ36:UNR36"/>
    <mergeCell ref="UNS36:UNT36"/>
    <mergeCell ref="UMW36:UMX36"/>
    <mergeCell ref="UMY36:UMZ36"/>
    <mergeCell ref="UNA36:UNB36"/>
    <mergeCell ref="UNC36:UND36"/>
    <mergeCell ref="UNE36:UNF36"/>
    <mergeCell ref="UNG36:UNH36"/>
    <mergeCell ref="UMK36:UML36"/>
    <mergeCell ref="UMM36:UMN36"/>
    <mergeCell ref="UMO36:UMP36"/>
    <mergeCell ref="UMQ36:UMR36"/>
    <mergeCell ref="UMS36:UMT36"/>
    <mergeCell ref="UMU36:UMV36"/>
    <mergeCell ref="ULY36:ULZ36"/>
    <mergeCell ref="UMA36:UMB36"/>
    <mergeCell ref="UMC36:UMD36"/>
    <mergeCell ref="UME36:UMF36"/>
    <mergeCell ref="UMG36:UMH36"/>
    <mergeCell ref="UMI36:UMJ36"/>
    <mergeCell ref="ULM36:ULN36"/>
    <mergeCell ref="ULO36:ULP36"/>
    <mergeCell ref="ULQ36:ULR36"/>
    <mergeCell ref="ULS36:ULT36"/>
    <mergeCell ref="ULU36:ULV36"/>
    <mergeCell ref="ULW36:ULX36"/>
    <mergeCell ref="UQO36:UQP36"/>
    <mergeCell ref="UQQ36:UQR36"/>
    <mergeCell ref="UQS36:UQT36"/>
    <mergeCell ref="UQU36:UQV36"/>
    <mergeCell ref="UQW36:UQX36"/>
    <mergeCell ref="UQY36:UQZ36"/>
    <mergeCell ref="UQC36:UQD36"/>
    <mergeCell ref="UQE36:UQF36"/>
    <mergeCell ref="UQG36:UQH36"/>
    <mergeCell ref="UQI36:UQJ36"/>
    <mergeCell ref="UQK36:UQL36"/>
    <mergeCell ref="UQM36:UQN36"/>
    <mergeCell ref="UPQ36:UPR36"/>
    <mergeCell ref="UPS36:UPT36"/>
    <mergeCell ref="UPU36:UPV36"/>
    <mergeCell ref="UPW36:UPX36"/>
    <mergeCell ref="UPY36:UPZ36"/>
    <mergeCell ref="UQA36:UQB36"/>
    <mergeCell ref="UPE36:UPF36"/>
    <mergeCell ref="UPG36:UPH36"/>
    <mergeCell ref="UPI36:UPJ36"/>
    <mergeCell ref="UPK36:UPL36"/>
    <mergeCell ref="UPM36:UPN36"/>
    <mergeCell ref="UPO36:UPP36"/>
    <mergeCell ref="UOS36:UOT36"/>
    <mergeCell ref="UOU36:UOV36"/>
    <mergeCell ref="UOW36:UOX36"/>
    <mergeCell ref="UOY36:UOZ36"/>
    <mergeCell ref="UPA36:UPB36"/>
    <mergeCell ref="UPC36:UPD36"/>
    <mergeCell ref="UOG36:UOH36"/>
    <mergeCell ref="UOI36:UOJ36"/>
    <mergeCell ref="UOK36:UOL36"/>
    <mergeCell ref="UOM36:UON36"/>
    <mergeCell ref="UOO36:UOP36"/>
    <mergeCell ref="UOQ36:UOR36"/>
    <mergeCell ref="UTI36:UTJ36"/>
    <mergeCell ref="UTK36:UTL36"/>
    <mergeCell ref="UTM36:UTN36"/>
    <mergeCell ref="UTO36:UTP36"/>
    <mergeCell ref="UTQ36:UTR36"/>
    <mergeCell ref="UTS36:UTT36"/>
    <mergeCell ref="USW36:USX36"/>
    <mergeCell ref="USY36:USZ36"/>
    <mergeCell ref="UTA36:UTB36"/>
    <mergeCell ref="UTC36:UTD36"/>
    <mergeCell ref="UTE36:UTF36"/>
    <mergeCell ref="UTG36:UTH36"/>
    <mergeCell ref="USK36:USL36"/>
    <mergeCell ref="USM36:USN36"/>
    <mergeCell ref="USO36:USP36"/>
    <mergeCell ref="USQ36:USR36"/>
    <mergeCell ref="USS36:UST36"/>
    <mergeCell ref="USU36:USV36"/>
    <mergeCell ref="URY36:URZ36"/>
    <mergeCell ref="USA36:USB36"/>
    <mergeCell ref="USC36:USD36"/>
    <mergeCell ref="USE36:USF36"/>
    <mergeCell ref="USG36:USH36"/>
    <mergeCell ref="USI36:USJ36"/>
    <mergeCell ref="URM36:URN36"/>
    <mergeCell ref="URO36:URP36"/>
    <mergeCell ref="URQ36:URR36"/>
    <mergeCell ref="URS36:URT36"/>
    <mergeCell ref="URU36:URV36"/>
    <mergeCell ref="URW36:URX36"/>
    <mergeCell ref="URA36:URB36"/>
    <mergeCell ref="URC36:URD36"/>
    <mergeCell ref="URE36:URF36"/>
    <mergeCell ref="URG36:URH36"/>
    <mergeCell ref="URI36:URJ36"/>
    <mergeCell ref="URK36:URL36"/>
    <mergeCell ref="UWC36:UWD36"/>
    <mergeCell ref="UWE36:UWF36"/>
    <mergeCell ref="UWG36:UWH36"/>
    <mergeCell ref="UWI36:UWJ36"/>
    <mergeCell ref="UWK36:UWL36"/>
    <mergeCell ref="UWM36:UWN36"/>
    <mergeCell ref="UVQ36:UVR36"/>
    <mergeCell ref="UVS36:UVT36"/>
    <mergeCell ref="UVU36:UVV36"/>
    <mergeCell ref="UVW36:UVX36"/>
    <mergeCell ref="UVY36:UVZ36"/>
    <mergeCell ref="UWA36:UWB36"/>
    <mergeCell ref="UVE36:UVF36"/>
    <mergeCell ref="UVG36:UVH36"/>
    <mergeCell ref="UVI36:UVJ36"/>
    <mergeCell ref="UVK36:UVL36"/>
    <mergeCell ref="UVM36:UVN36"/>
    <mergeCell ref="UVO36:UVP36"/>
    <mergeCell ref="UUS36:UUT36"/>
    <mergeCell ref="UUU36:UUV36"/>
    <mergeCell ref="UUW36:UUX36"/>
    <mergeCell ref="UUY36:UUZ36"/>
    <mergeCell ref="UVA36:UVB36"/>
    <mergeCell ref="UVC36:UVD36"/>
    <mergeCell ref="UUG36:UUH36"/>
    <mergeCell ref="UUI36:UUJ36"/>
    <mergeCell ref="UUK36:UUL36"/>
    <mergeCell ref="UUM36:UUN36"/>
    <mergeCell ref="UUO36:UUP36"/>
    <mergeCell ref="UUQ36:UUR36"/>
    <mergeCell ref="UTU36:UTV36"/>
    <mergeCell ref="UTW36:UTX36"/>
    <mergeCell ref="UTY36:UTZ36"/>
    <mergeCell ref="UUA36:UUB36"/>
    <mergeCell ref="UUC36:UUD36"/>
    <mergeCell ref="UUE36:UUF36"/>
    <mergeCell ref="UYW36:UYX36"/>
    <mergeCell ref="UYY36:UYZ36"/>
    <mergeCell ref="UZA36:UZB36"/>
    <mergeCell ref="UZC36:UZD36"/>
    <mergeCell ref="UZE36:UZF36"/>
    <mergeCell ref="UZG36:UZH36"/>
    <mergeCell ref="UYK36:UYL36"/>
    <mergeCell ref="UYM36:UYN36"/>
    <mergeCell ref="UYO36:UYP36"/>
    <mergeCell ref="UYQ36:UYR36"/>
    <mergeCell ref="UYS36:UYT36"/>
    <mergeCell ref="UYU36:UYV36"/>
    <mergeCell ref="UXY36:UXZ36"/>
    <mergeCell ref="UYA36:UYB36"/>
    <mergeCell ref="UYC36:UYD36"/>
    <mergeCell ref="UYE36:UYF36"/>
    <mergeCell ref="UYG36:UYH36"/>
    <mergeCell ref="UYI36:UYJ36"/>
    <mergeCell ref="UXM36:UXN36"/>
    <mergeCell ref="UXO36:UXP36"/>
    <mergeCell ref="UXQ36:UXR36"/>
    <mergeCell ref="UXS36:UXT36"/>
    <mergeCell ref="UXU36:UXV36"/>
    <mergeCell ref="UXW36:UXX36"/>
    <mergeCell ref="UXA36:UXB36"/>
    <mergeCell ref="UXC36:UXD36"/>
    <mergeCell ref="UXE36:UXF36"/>
    <mergeCell ref="UXG36:UXH36"/>
    <mergeCell ref="UXI36:UXJ36"/>
    <mergeCell ref="UXK36:UXL36"/>
    <mergeCell ref="UWO36:UWP36"/>
    <mergeCell ref="UWQ36:UWR36"/>
    <mergeCell ref="UWS36:UWT36"/>
    <mergeCell ref="UWU36:UWV36"/>
    <mergeCell ref="UWW36:UWX36"/>
    <mergeCell ref="UWY36:UWZ36"/>
    <mergeCell ref="VBQ36:VBR36"/>
    <mergeCell ref="VBS36:VBT36"/>
    <mergeCell ref="VBU36:VBV36"/>
    <mergeCell ref="VBW36:VBX36"/>
    <mergeCell ref="VBY36:VBZ36"/>
    <mergeCell ref="VCA36:VCB36"/>
    <mergeCell ref="VBE36:VBF36"/>
    <mergeCell ref="VBG36:VBH36"/>
    <mergeCell ref="VBI36:VBJ36"/>
    <mergeCell ref="VBK36:VBL36"/>
    <mergeCell ref="VBM36:VBN36"/>
    <mergeCell ref="VBO36:VBP36"/>
    <mergeCell ref="VAS36:VAT36"/>
    <mergeCell ref="VAU36:VAV36"/>
    <mergeCell ref="VAW36:VAX36"/>
    <mergeCell ref="VAY36:VAZ36"/>
    <mergeCell ref="VBA36:VBB36"/>
    <mergeCell ref="VBC36:VBD36"/>
    <mergeCell ref="VAG36:VAH36"/>
    <mergeCell ref="VAI36:VAJ36"/>
    <mergeCell ref="VAK36:VAL36"/>
    <mergeCell ref="VAM36:VAN36"/>
    <mergeCell ref="VAO36:VAP36"/>
    <mergeCell ref="VAQ36:VAR36"/>
    <mergeCell ref="UZU36:UZV36"/>
    <mergeCell ref="UZW36:UZX36"/>
    <mergeCell ref="UZY36:UZZ36"/>
    <mergeCell ref="VAA36:VAB36"/>
    <mergeCell ref="VAC36:VAD36"/>
    <mergeCell ref="VAE36:VAF36"/>
    <mergeCell ref="UZI36:UZJ36"/>
    <mergeCell ref="UZK36:UZL36"/>
    <mergeCell ref="UZM36:UZN36"/>
    <mergeCell ref="UZO36:UZP36"/>
    <mergeCell ref="UZQ36:UZR36"/>
    <mergeCell ref="UZS36:UZT36"/>
    <mergeCell ref="VEK36:VEL36"/>
    <mergeCell ref="VEM36:VEN36"/>
    <mergeCell ref="VEO36:VEP36"/>
    <mergeCell ref="VEQ36:VER36"/>
    <mergeCell ref="VES36:VET36"/>
    <mergeCell ref="VEU36:VEV36"/>
    <mergeCell ref="VDY36:VDZ36"/>
    <mergeCell ref="VEA36:VEB36"/>
    <mergeCell ref="VEC36:VED36"/>
    <mergeCell ref="VEE36:VEF36"/>
    <mergeCell ref="VEG36:VEH36"/>
    <mergeCell ref="VEI36:VEJ36"/>
    <mergeCell ref="VDM36:VDN36"/>
    <mergeCell ref="VDO36:VDP36"/>
    <mergeCell ref="VDQ36:VDR36"/>
    <mergeCell ref="VDS36:VDT36"/>
    <mergeCell ref="VDU36:VDV36"/>
    <mergeCell ref="VDW36:VDX36"/>
    <mergeCell ref="VDA36:VDB36"/>
    <mergeCell ref="VDC36:VDD36"/>
    <mergeCell ref="VDE36:VDF36"/>
    <mergeCell ref="VDG36:VDH36"/>
    <mergeCell ref="VDI36:VDJ36"/>
    <mergeCell ref="VDK36:VDL36"/>
    <mergeCell ref="VCO36:VCP36"/>
    <mergeCell ref="VCQ36:VCR36"/>
    <mergeCell ref="VCS36:VCT36"/>
    <mergeCell ref="VCU36:VCV36"/>
    <mergeCell ref="VCW36:VCX36"/>
    <mergeCell ref="VCY36:VCZ36"/>
    <mergeCell ref="VCC36:VCD36"/>
    <mergeCell ref="VCE36:VCF36"/>
    <mergeCell ref="VCG36:VCH36"/>
    <mergeCell ref="VCI36:VCJ36"/>
    <mergeCell ref="VCK36:VCL36"/>
    <mergeCell ref="VCM36:VCN36"/>
    <mergeCell ref="VHE36:VHF36"/>
    <mergeCell ref="VHG36:VHH36"/>
    <mergeCell ref="VHI36:VHJ36"/>
    <mergeCell ref="VHK36:VHL36"/>
    <mergeCell ref="VHM36:VHN36"/>
    <mergeCell ref="VHO36:VHP36"/>
    <mergeCell ref="VGS36:VGT36"/>
    <mergeCell ref="VGU36:VGV36"/>
    <mergeCell ref="VGW36:VGX36"/>
    <mergeCell ref="VGY36:VGZ36"/>
    <mergeCell ref="VHA36:VHB36"/>
    <mergeCell ref="VHC36:VHD36"/>
    <mergeCell ref="VGG36:VGH36"/>
    <mergeCell ref="VGI36:VGJ36"/>
    <mergeCell ref="VGK36:VGL36"/>
    <mergeCell ref="VGM36:VGN36"/>
    <mergeCell ref="VGO36:VGP36"/>
    <mergeCell ref="VGQ36:VGR36"/>
    <mergeCell ref="VFU36:VFV36"/>
    <mergeCell ref="VFW36:VFX36"/>
    <mergeCell ref="VFY36:VFZ36"/>
    <mergeCell ref="VGA36:VGB36"/>
    <mergeCell ref="VGC36:VGD36"/>
    <mergeCell ref="VGE36:VGF36"/>
    <mergeCell ref="VFI36:VFJ36"/>
    <mergeCell ref="VFK36:VFL36"/>
    <mergeCell ref="VFM36:VFN36"/>
    <mergeCell ref="VFO36:VFP36"/>
    <mergeCell ref="VFQ36:VFR36"/>
    <mergeCell ref="VFS36:VFT36"/>
    <mergeCell ref="VEW36:VEX36"/>
    <mergeCell ref="VEY36:VEZ36"/>
    <mergeCell ref="VFA36:VFB36"/>
    <mergeCell ref="VFC36:VFD36"/>
    <mergeCell ref="VFE36:VFF36"/>
    <mergeCell ref="VFG36:VFH36"/>
    <mergeCell ref="VJY36:VJZ36"/>
    <mergeCell ref="VKA36:VKB36"/>
    <mergeCell ref="VKC36:VKD36"/>
    <mergeCell ref="VKE36:VKF36"/>
    <mergeCell ref="VKG36:VKH36"/>
    <mergeCell ref="VKI36:VKJ36"/>
    <mergeCell ref="VJM36:VJN36"/>
    <mergeCell ref="VJO36:VJP36"/>
    <mergeCell ref="VJQ36:VJR36"/>
    <mergeCell ref="VJS36:VJT36"/>
    <mergeCell ref="VJU36:VJV36"/>
    <mergeCell ref="VJW36:VJX36"/>
    <mergeCell ref="VJA36:VJB36"/>
    <mergeCell ref="VJC36:VJD36"/>
    <mergeCell ref="VJE36:VJF36"/>
    <mergeCell ref="VJG36:VJH36"/>
    <mergeCell ref="VJI36:VJJ36"/>
    <mergeCell ref="VJK36:VJL36"/>
    <mergeCell ref="VIO36:VIP36"/>
    <mergeCell ref="VIQ36:VIR36"/>
    <mergeCell ref="VIS36:VIT36"/>
    <mergeCell ref="VIU36:VIV36"/>
    <mergeCell ref="VIW36:VIX36"/>
    <mergeCell ref="VIY36:VIZ36"/>
    <mergeCell ref="VIC36:VID36"/>
    <mergeCell ref="VIE36:VIF36"/>
    <mergeCell ref="VIG36:VIH36"/>
    <mergeCell ref="VII36:VIJ36"/>
    <mergeCell ref="VIK36:VIL36"/>
    <mergeCell ref="VIM36:VIN36"/>
    <mergeCell ref="VHQ36:VHR36"/>
    <mergeCell ref="VHS36:VHT36"/>
    <mergeCell ref="VHU36:VHV36"/>
    <mergeCell ref="VHW36:VHX36"/>
    <mergeCell ref="VHY36:VHZ36"/>
    <mergeCell ref="VIA36:VIB36"/>
    <mergeCell ref="VMS36:VMT36"/>
    <mergeCell ref="VMU36:VMV36"/>
    <mergeCell ref="VMW36:VMX36"/>
    <mergeCell ref="VMY36:VMZ36"/>
    <mergeCell ref="VNA36:VNB36"/>
    <mergeCell ref="VNC36:VND36"/>
    <mergeCell ref="VMG36:VMH36"/>
    <mergeCell ref="VMI36:VMJ36"/>
    <mergeCell ref="VMK36:VML36"/>
    <mergeCell ref="VMM36:VMN36"/>
    <mergeCell ref="VMO36:VMP36"/>
    <mergeCell ref="VMQ36:VMR36"/>
    <mergeCell ref="VLU36:VLV36"/>
    <mergeCell ref="VLW36:VLX36"/>
    <mergeCell ref="VLY36:VLZ36"/>
    <mergeCell ref="VMA36:VMB36"/>
    <mergeCell ref="VMC36:VMD36"/>
    <mergeCell ref="VME36:VMF36"/>
    <mergeCell ref="VLI36:VLJ36"/>
    <mergeCell ref="VLK36:VLL36"/>
    <mergeCell ref="VLM36:VLN36"/>
    <mergeCell ref="VLO36:VLP36"/>
    <mergeCell ref="VLQ36:VLR36"/>
    <mergeCell ref="VLS36:VLT36"/>
    <mergeCell ref="VKW36:VKX36"/>
    <mergeCell ref="VKY36:VKZ36"/>
    <mergeCell ref="VLA36:VLB36"/>
    <mergeCell ref="VLC36:VLD36"/>
    <mergeCell ref="VLE36:VLF36"/>
    <mergeCell ref="VLG36:VLH36"/>
    <mergeCell ref="VKK36:VKL36"/>
    <mergeCell ref="VKM36:VKN36"/>
    <mergeCell ref="VKO36:VKP36"/>
    <mergeCell ref="VKQ36:VKR36"/>
    <mergeCell ref="VKS36:VKT36"/>
    <mergeCell ref="VKU36:VKV36"/>
    <mergeCell ref="VPM36:VPN36"/>
    <mergeCell ref="VPO36:VPP36"/>
    <mergeCell ref="VPQ36:VPR36"/>
    <mergeCell ref="VPS36:VPT36"/>
    <mergeCell ref="VPU36:VPV36"/>
    <mergeCell ref="VPW36:VPX36"/>
    <mergeCell ref="VPA36:VPB36"/>
    <mergeCell ref="VPC36:VPD36"/>
    <mergeCell ref="VPE36:VPF36"/>
    <mergeCell ref="VPG36:VPH36"/>
    <mergeCell ref="VPI36:VPJ36"/>
    <mergeCell ref="VPK36:VPL36"/>
    <mergeCell ref="VOO36:VOP36"/>
    <mergeCell ref="VOQ36:VOR36"/>
    <mergeCell ref="VOS36:VOT36"/>
    <mergeCell ref="VOU36:VOV36"/>
    <mergeCell ref="VOW36:VOX36"/>
    <mergeCell ref="VOY36:VOZ36"/>
    <mergeCell ref="VOC36:VOD36"/>
    <mergeCell ref="VOE36:VOF36"/>
    <mergeCell ref="VOG36:VOH36"/>
    <mergeCell ref="VOI36:VOJ36"/>
    <mergeCell ref="VOK36:VOL36"/>
    <mergeCell ref="VOM36:VON36"/>
    <mergeCell ref="VNQ36:VNR36"/>
    <mergeCell ref="VNS36:VNT36"/>
    <mergeCell ref="VNU36:VNV36"/>
    <mergeCell ref="VNW36:VNX36"/>
    <mergeCell ref="VNY36:VNZ36"/>
    <mergeCell ref="VOA36:VOB36"/>
    <mergeCell ref="VNE36:VNF36"/>
    <mergeCell ref="VNG36:VNH36"/>
    <mergeCell ref="VNI36:VNJ36"/>
    <mergeCell ref="VNK36:VNL36"/>
    <mergeCell ref="VNM36:VNN36"/>
    <mergeCell ref="VNO36:VNP36"/>
    <mergeCell ref="VSG36:VSH36"/>
    <mergeCell ref="VSI36:VSJ36"/>
    <mergeCell ref="VSK36:VSL36"/>
    <mergeCell ref="VSM36:VSN36"/>
    <mergeCell ref="VSO36:VSP36"/>
    <mergeCell ref="VSQ36:VSR36"/>
    <mergeCell ref="VRU36:VRV36"/>
    <mergeCell ref="VRW36:VRX36"/>
    <mergeCell ref="VRY36:VRZ36"/>
    <mergeCell ref="VSA36:VSB36"/>
    <mergeCell ref="VSC36:VSD36"/>
    <mergeCell ref="VSE36:VSF36"/>
    <mergeCell ref="VRI36:VRJ36"/>
    <mergeCell ref="VRK36:VRL36"/>
    <mergeCell ref="VRM36:VRN36"/>
    <mergeCell ref="VRO36:VRP36"/>
    <mergeCell ref="VRQ36:VRR36"/>
    <mergeCell ref="VRS36:VRT36"/>
    <mergeCell ref="VQW36:VQX36"/>
    <mergeCell ref="VQY36:VQZ36"/>
    <mergeCell ref="VRA36:VRB36"/>
    <mergeCell ref="VRC36:VRD36"/>
    <mergeCell ref="VRE36:VRF36"/>
    <mergeCell ref="VRG36:VRH36"/>
    <mergeCell ref="VQK36:VQL36"/>
    <mergeCell ref="VQM36:VQN36"/>
    <mergeCell ref="VQO36:VQP36"/>
    <mergeCell ref="VQQ36:VQR36"/>
    <mergeCell ref="VQS36:VQT36"/>
    <mergeCell ref="VQU36:VQV36"/>
    <mergeCell ref="VPY36:VPZ36"/>
    <mergeCell ref="VQA36:VQB36"/>
    <mergeCell ref="VQC36:VQD36"/>
    <mergeCell ref="VQE36:VQF36"/>
    <mergeCell ref="VQG36:VQH36"/>
    <mergeCell ref="VQI36:VQJ36"/>
    <mergeCell ref="VVA36:VVB36"/>
    <mergeCell ref="VVC36:VVD36"/>
    <mergeCell ref="VVE36:VVF36"/>
    <mergeCell ref="VVG36:VVH36"/>
    <mergeCell ref="VVI36:VVJ36"/>
    <mergeCell ref="VVK36:VVL36"/>
    <mergeCell ref="VUO36:VUP36"/>
    <mergeCell ref="VUQ36:VUR36"/>
    <mergeCell ref="VUS36:VUT36"/>
    <mergeCell ref="VUU36:VUV36"/>
    <mergeCell ref="VUW36:VUX36"/>
    <mergeCell ref="VUY36:VUZ36"/>
    <mergeCell ref="VUC36:VUD36"/>
    <mergeCell ref="VUE36:VUF36"/>
    <mergeCell ref="VUG36:VUH36"/>
    <mergeCell ref="VUI36:VUJ36"/>
    <mergeCell ref="VUK36:VUL36"/>
    <mergeCell ref="VUM36:VUN36"/>
    <mergeCell ref="VTQ36:VTR36"/>
    <mergeCell ref="VTS36:VTT36"/>
    <mergeCell ref="VTU36:VTV36"/>
    <mergeCell ref="VTW36:VTX36"/>
    <mergeCell ref="VTY36:VTZ36"/>
    <mergeCell ref="VUA36:VUB36"/>
    <mergeCell ref="VTE36:VTF36"/>
    <mergeCell ref="VTG36:VTH36"/>
    <mergeCell ref="VTI36:VTJ36"/>
    <mergeCell ref="VTK36:VTL36"/>
    <mergeCell ref="VTM36:VTN36"/>
    <mergeCell ref="VTO36:VTP36"/>
    <mergeCell ref="VSS36:VST36"/>
    <mergeCell ref="VSU36:VSV36"/>
    <mergeCell ref="VSW36:VSX36"/>
    <mergeCell ref="VSY36:VSZ36"/>
    <mergeCell ref="VTA36:VTB36"/>
    <mergeCell ref="VTC36:VTD36"/>
    <mergeCell ref="VXU36:VXV36"/>
    <mergeCell ref="VXW36:VXX36"/>
    <mergeCell ref="VXY36:VXZ36"/>
    <mergeCell ref="VYA36:VYB36"/>
    <mergeCell ref="VYC36:VYD36"/>
    <mergeCell ref="VYE36:VYF36"/>
    <mergeCell ref="VXI36:VXJ36"/>
    <mergeCell ref="VXK36:VXL36"/>
    <mergeCell ref="VXM36:VXN36"/>
    <mergeCell ref="VXO36:VXP36"/>
    <mergeCell ref="VXQ36:VXR36"/>
    <mergeCell ref="VXS36:VXT36"/>
    <mergeCell ref="VWW36:VWX36"/>
    <mergeCell ref="VWY36:VWZ36"/>
    <mergeCell ref="VXA36:VXB36"/>
    <mergeCell ref="VXC36:VXD36"/>
    <mergeCell ref="VXE36:VXF36"/>
    <mergeCell ref="VXG36:VXH36"/>
    <mergeCell ref="VWK36:VWL36"/>
    <mergeCell ref="VWM36:VWN36"/>
    <mergeCell ref="VWO36:VWP36"/>
    <mergeCell ref="VWQ36:VWR36"/>
    <mergeCell ref="VWS36:VWT36"/>
    <mergeCell ref="VWU36:VWV36"/>
    <mergeCell ref="VVY36:VVZ36"/>
    <mergeCell ref="VWA36:VWB36"/>
    <mergeCell ref="VWC36:VWD36"/>
    <mergeCell ref="VWE36:VWF36"/>
    <mergeCell ref="VWG36:VWH36"/>
    <mergeCell ref="VWI36:VWJ36"/>
    <mergeCell ref="VVM36:VVN36"/>
    <mergeCell ref="VVO36:VVP36"/>
    <mergeCell ref="VVQ36:VVR36"/>
    <mergeCell ref="VVS36:VVT36"/>
    <mergeCell ref="VVU36:VVV36"/>
    <mergeCell ref="VVW36:VVX36"/>
    <mergeCell ref="WAO36:WAP36"/>
    <mergeCell ref="WAQ36:WAR36"/>
    <mergeCell ref="WAS36:WAT36"/>
    <mergeCell ref="WAU36:WAV36"/>
    <mergeCell ref="WAW36:WAX36"/>
    <mergeCell ref="WAY36:WAZ36"/>
    <mergeCell ref="WAC36:WAD36"/>
    <mergeCell ref="WAE36:WAF36"/>
    <mergeCell ref="WAG36:WAH36"/>
    <mergeCell ref="WAI36:WAJ36"/>
    <mergeCell ref="WAK36:WAL36"/>
    <mergeCell ref="WAM36:WAN36"/>
    <mergeCell ref="VZQ36:VZR36"/>
    <mergeCell ref="VZS36:VZT36"/>
    <mergeCell ref="VZU36:VZV36"/>
    <mergeCell ref="VZW36:VZX36"/>
    <mergeCell ref="VZY36:VZZ36"/>
    <mergeCell ref="WAA36:WAB36"/>
    <mergeCell ref="VZE36:VZF36"/>
    <mergeCell ref="VZG36:VZH36"/>
    <mergeCell ref="VZI36:VZJ36"/>
    <mergeCell ref="VZK36:VZL36"/>
    <mergeCell ref="VZM36:VZN36"/>
    <mergeCell ref="VZO36:VZP36"/>
    <mergeCell ref="VYS36:VYT36"/>
    <mergeCell ref="VYU36:VYV36"/>
    <mergeCell ref="VYW36:VYX36"/>
    <mergeCell ref="VYY36:VYZ36"/>
    <mergeCell ref="VZA36:VZB36"/>
    <mergeCell ref="VZC36:VZD36"/>
    <mergeCell ref="VYG36:VYH36"/>
    <mergeCell ref="VYI36:VYJ36"/>
    <mergeCell ref="VYK36:VYL36"/>
    <mergeCell ref="VYM36:VYN36"/>
    <mergeCell ref="VYO36:VYP36"/>
    <mergeCell ref="VYQ36:VYR36"/>
    <mergeCell ref="WDI36:WDJ36"/>
    <mergeCell ref="WDK36:WDL36"/>
    <mergeCell ref="WDM36:WDN36"/>
    <mergeCell ref="WDO36:WDP36"/>
    <mergeCell ref="WDQ36:WDR36"/>
    <mergeCell ref="WDS36:WDT36"/>
    <mergeCell ref="WCW36:WCX36"/>
    <mergeCell ref="WCY36:WCZ36"/>
    <mergeCell ref="WDA36:WDB36"/>
    <mergeCell ref="WDC36:WDD36"/>
    <mergeCell ref="WDE36:WDF36"/>
    <mergeCell ref="WDG36:WDH36"/>
    <mergeCell ref="WCK36:WCL36"/>
    <mergeCell ref="WCM36:WCN36"/>
    <mergeCell ref="WCO36:WCP36"/>
    <mergeCell ref="WCQ36:WCR36"/>
    <mergeCell ref="WCS36:WCT36"/>
    <mergeCell ref="WCU36:WCV36"/>
    <mergeCell ref="WBY36:WBZ36"/>
    <mergeCell ref="WCA36:WCB36"/>
    <mergeCell ref="WCC36:WCD36"/>
    <mergeCell ref="WCE36:WCF36"/>
    <mergeCell ref="WCG36:WCH36"/>
    <mergeCell ref="WCI36:WCJ36"/>
    <mergeCell ref="WBM36:WBN36"/>
    <mergeCell ref="WBO36:WBP36"/>
    <mergeCell ref="WBQ36:WBR36"/>
    <mergeCell ref="WBS36:WBT36"/>
    <mergeCell ref="WBU36:WBV36"/>
    <mergeCell ref="WBW36:WBX36"/>
    <mergeCell ref="WBA36:WBB36"/>
    <mergeCell ref="WBC36:WBD36"/>
    <mergeCell ref="WBE36:WBF36"/>
    <mergeCell ref="WBG36:WBH36"/>
    <mergeCell ref="WBI36:WBJ36"/>
    <mergeCell ref="WBK36:WBL36"/>
    <mergeCell ref="WGC36:WGD36"/>
    <mergeCell ref="WGE36:WGF36"/>
    <mergeCell ref="WGG36:WGH36"/>
    <mergeCell ref="WGI36:WGJ36"/>
    <mergeCell ref="WGK36:WGL36"/>
    <mergeCell ref="WGM36:WGN36"/>
    <mergeCell ref="WFQ36:WFR36"/>
    <mergeCell ref="WFS36:WFT36"/>
    <mergeCell ref="WFU36:WFV36"/>
    <mergeCell ref="WFW36:WFX36"/>
    <mergeCell ref="WFY36:WFZ36"/>
    <mergeCell ref="WGA36:WGB36"/>
    <mergeCell ref="WFE36:WFF36"/>
    <mergeCell ref="WFG36:WFH36"/>
    <mergeCell ref="WFI36:WFJ36"/>
    <mergeCell ref="WFK36:WFL36"/>
    <mergeCell ref="WFM36:WFN36"/>
    <mergeCell ref="WFO36:WFP36"/>
    <mergeCell ref="WES36:WET36"/>
    <mergeCell ref="WEU36:WEV36"/>
    <mergeCell ref="WEW36:WEX36"/>
    <mergeCell ref="WEY36:WEZ36"/>
    <mergeCell ref="WFA36:WFB36"/>
    <mergeCell ref="WFC36:WFD36"/>
    <mergeCell ref="WEG36:WEH36"/>
    <mergeCell ref="WEI36:WEJ36"/>
    <mergeCell ref="WEK36:WEL36"/>
    <mergeCell ref="WEM36:WEN36"/>
    <mergeCell ref="WEO36:WEP36"/>
    <mergeCell ref="WEQ36:WER36"/>
    <mergeCell ref="WDU36:WDV36"/>
    <mergeCell ref="WDW36:WDX36"/>
    <mergeCell ref="WDY36:WDZ36"/>
    <mergeCell ref="WEA36:WEB36"/>
    <mergeCell ref="WEC36:WED36"/>
    <mergeCell ref="WEE36:WEF36"/>
    <mergeCell ref="WIW36:WIX36"/>
    <mergeCell ref="WIY36:WIZ36"/>
    <mergeCell ref="WJA36:WJB36"/>
    <mergeCell ref="WJC36:WJD36"/>
    <mergeCell ref="WJE36:WJF36"/>
    <mergeCell ref="WJG36:WJH36"/>
    <mergeCell ref="WIK36:WIL36"/>
    <mergeCell ref="WIM36:WIN36"/>
    <mergeCell ref="WIO36:WIP36"/>
    <mergeCell ref="WIQ36:WIR36"/>
    <mergeCell ref="WIS36:WIT36"/>
    <mergeCell ref="WIU36:WIV36"/>
    <mergeCell ref="WHY36:WHZ36"/>
    <mergeCell ref="WIA36:WIB36"/>
    <mergeCell ref="WIC36:WID36"/>
    <mergeCell ref="WIE36:WIF36"/>
    <mergeCell ref="WIG36:WIH36"/>
    <mergeCell ref="WII36:WIJ36"/>
    <mergeCell ref="WHM36:WHN36"/>
    <mergeCell ref="WHO36:WHP36"/>
    <mergeCell ref="WHQ36:WHR36"/>
    <mergeCell ref="WHS36:WHT36"/>
    <mergeCell ref="WHU36:WHV36"/>
    <mergeCell ref="WHW36:WHX36"/>
    <mergeCell ref="WHA36:WHB36"/>
    <mergeCell ref="WHC36:WHD36"/>
    <mergeCell ref="WHE36:WHF36"/>
    <mergeCell ref="WHG36:WHH36"/>
    <mergeCell ref="WHI36:WHJ36"/>
    <mergeCell ref="WHK36:WHL36"/>
    <mergeCell ref="WGO36:WGP36"/>
    <mergeCell ref="WGQ36:WGR36"/>
    <mergeCell ref="WGS36:WGT36"/>
    <mergeCell ref="WGU36:WGV36"/>
    <mergeCell ref="WGW36:WGX36"/>
    <mergeCell ref="WGY36:WGZ36"/>
    <mergeCell ref="WLQ36:WLR36"/>
    <mergeCell ref="WLS36:WLT36"/>
    <mergeCell ref="WLU36:WLV36"/>
    <mergeCell ref="WLW36:WLX36"/>
    <mergeCell ref="WLY36:WLZ36"/>
    <mergeCell ref="WMA36:WMB36"/>
    <mergeCell ref="WLE36:WLF36"/>
    <mergeCell ref="WLG36:WLH36"/>
    <mergeCell ref="WLI36:WLJ36"/>
    <mergeCell ref="WLK36:WLL36"/>
    <mergeCell ref="WLM36:WLN36"/>
    <mergeCell ref="WLO36:WLP36"/>
    <mergeCell ref="WKS36:WKT36"/>
    <mergeCell ref="WKU36:WKV36"/>
    <mergeCell ref="WKW36:WKX36"/>
    <mergeCell ref="WKY36:WKZ36"/>
    <mergeCell ref="WLA36:WLB36"/>
    <mergeCell ref="WLC36:WLD36"/>
    <mergeCell ref="WKG36:WKH36"/>
    <mergeCell ref="WKI36:WKJ36"/>
    <mergeCell ref="WKK36:WKL36"/>
    <mergeCell ref="WKM36:WKN36"/>
    <mergeCell ref="WKO36:WKP36"/>
    <mergeCell ref="WKQ36:WKR36"/>
    <mergeCell ref="WJU36:WJV36"/>
    <mergeCell ref="WJW36:WJX36"/>
    <mergeCell ref="WJY36:WJZ36"/>
    <mergeCell ref="WKA36:WKB36"/>
    <mergeCell ref="WKC36:WKD36"/>
    <mergeCell ref="WKE36:WKF36"/>
    <mergeCell ref="WJI36:WJJ36"/>
    <mergeCell ref="WJK36:WJL36"/>
    <mergeCell ref="WJM36:WJN36"/>
    <mergeCell ref="WJO36:WJP36"/>
    <mergeCell ref="WJQ36:WJR36"/>
    <mergeCell ref="WJS36:WJT36"/>
    <mergeCell ref="WOK36:WOL36"/>
    <mergeCell ref="WOM36:WON36"/>
    <mergeCell ref="WOO36:WOP36"/>
    <mergeCell ref="WOQ36:WOR36"/>
    <mergeCell ref="WOS36:WOT36"/>
    <mergeCell ref="WOU36:WOV36"/>
    <mergeCell ref="WNY36:WNZ36"/>
    <mergeCell ref="WOA36:WOB36"/>
    <mergeCell ref="WOC36:WOD36"/>
    <mergeCell ref="WOE36:WOF36"/>
    <mergeCell ref="WOG36:WOH36"/>
    <mergeCell ref="WOI36:WOJ36"/>
    <mergeCell ref="WNM36:WNN36"/>
    <mergeCell ref="WNO36:WNP36"/>
    <mergeCell ref="WNQ36:WNR36"/>
    <mergeCell ref="WNS36:WNT36"/>
    <mergeCell ref="WNU36:WNV36"/>
    <mergeCell ref="WNW36:WNX36"/>
    <mergeCell ref="WNA36:WNB36"/>
    <mergeCell ref="WNC36:WND36"/>
    <mergeCell ref="WNE36:WNF36"/>
    <mergeCell ref="WNG36:WNH36"/>
    <mergeCell ref="WNI36:WNJ36"/>
    <mergeCell ref="WNK36:WNL36"/>
    <mergeCell ref="WMO36:WMP36"/>
    <mergeCell ref="WMQ36:WMR36"/>
    <mergeCell ref="WMS36:WMT36"/>
    <mergeCell ref="WMU36:WMV36"/>
    <mergeCell ref="WMW36:WMX36"/>
    <mergeCell ref="WMY36:WMZ36"/>
    <mergeCell ref="WMC36:WMD36"/>
    <mergeCell ref="WME36:WMF36"/>
    <mergeCell ref="WMG36:WMH36"/>
    <mergeCell ref="WMI36:WMJ36"/>
    <mergeCell ref="WMK36:WML36"/>
    <mergeCell ref="WMM36:WMN36"/>
    <mergeCell ref="WRE36:WRF36"/>
    <mergeCell ref="WRG36:WRH36"/>
    <mergeCell ref="WRI36:WRJ36"/>
    <mergeCell ref="WRK36:WRL36"/>
    <mergeCell ref="WRM36:WRN36"/>
    <mergeCell ref="WRO36:WRP36"/>
    <mergeCell ref="WQS36:WQT36"/>
    <mergeCell ref="WQU36:WQV36"/>
    <mergeCell ref="WQW36:WQX36"/>
    <mergeCell ref="WQY36:WQZ36"/>
    <mergeCell ref="WRA36:WRB36"/>
    <mergeCell ref="WRC36:WRD36"/>
    <mergeCell ref="WQG36:WQH36"/>
    <mergeCell ref="WQI36:WQJ36"/>
    <mergeCell ref="WQK36:WQL36"/>
    <mergeCell ref="WQM36:WQN36"/>
    <mergeCell ref="WQO36:WQP36"/>
    <mergeCell ref="WQQ36:WQR36"/>
    <mergeCell ref="WPU36:WPV36"/>
    <mergeCell ref="WPW36:WPX36"/>
    <mergeCell ref="WPY36:WPZ36"/>
    <mergeCell ref="WQA36:WQB36"/>
    <mergeCell ref="WQC36:WQD36"/>
    <mergeCell ref="WQE36:WQF36"/>
    <mergeCell ref="WPI36:WPJ36"/>
    <mergeCell ref="WPK36:WPL36"/>
    <mergeCell ref="WPM36:WPN36"/>
    <mergeCell ref="WPO36:WPP36"/>
    <mergeCell ref="WPQ36:WPR36"/>
    <mergeCell ref="WPS36:WPT36"/>
    <mergeCell ref="WOW36:WOX36"/>
    <mergeCell ref="WOY36:WOZ36"/>
    <mergeCell ref="WPA36:WPB36"/>
    <mergeCell ref="WPC36:WPD36"/>
    <mergeCell ref="WPE36:WPF36"/>
    <mergeCell ref="WPG36:WPH36"/>
    <mergeCell ref="WTY36:WTZ36"/>
    <mergeCell ref="WUA36:WUB36"/>
    <mergeCell ref="WUC36:WUD36"/>
    <mergeCell ref="WUE36:WUF36"/>
    <mergeCell ref="WUG36:WUH36"/>
    <mergeCell ref="WUI36:WUJ36"/>
    <mergeCell ref="WTM36:WTN36"/>
    <mergeCell ref="WTO36:WTP36"/>
    <mergeCell ref="WTQ36:WTR36"/>
    <mergeCell ref="WTS36:WTT36"/>
    <mergeCell ref="WTU36:WTV36"/>
    <mergeCell ref="WTW36:WTX36"/>
    <mergeCell ref="WTA36:WTB36"/>
    <mergeCell ref="WTC36:WTD36"/>
    <mergeCell ref="WTE36:WTF36"/>
    <mergeCell ref="WTG36:WTH36"/>
    <mergeCell ref="WTI36:WTJ36"/>
    <mergeCell ref="WTK36:WTL36"/>
    <mergeCell ref="WSO36:WSP36"/>
    <mergeCell ref="WSQ36:WSR36"/>
    <mergeCell ref="WSS36:WST36"/>
    <mergeCell ref="WSU36:WSV36"/>
    <mergeCell ref="WSW36:WSX36"/>
    <mergeCell ref="WSY36:WSZ36"/>
    <mergeCell ref="WSC36:WSD36"/>
    <mergeCell ref="WSE36:WSF36"/>
    <mergeCell ref="WSG36:WSH36"/>
    <mergeCell ref="WSI36:WSJ36"/>
    <mergeCell ref="WSK36:WSL36"/>
    <mergeCell ref="WSM36:WSN36"/>
    <mergeCell ref="WRQ36:WRR36"/>
    <mergeCell ref="WRS36:WRT36"/>
    <mergeCell ref="WRU36:WRV36"/>
    <mergeCell ref="WRW36:WRX36"/>
    <mergeCell ref="WRY36:WRZ36"/>
    <mergeCell ref="WSA36:WSB36"/>
    <mergeCell ref="WWS36:WWT36"/>
    <mergeCell ref="WWU36:WWV36"/>
    <mergeCell ref="WWW36:WWX36"/>
    <mergeCell ref="WWY36:WWZ36"/>
    <mergeCell ref="WXA36:WXB36"/>
    <mergeCell ref="WXC36:WXD36"/>
    <mergeCell ref="WWG36:WWH36"/>
    <mergeCell ref="WWI36:WWJ36"/>
    <mergeCell ref="WWK36:WWL36"/>
    <mergeCell ref="WWM36:WWN36"/>
    <mergeCell ref="WWO36:WWP36"/>
    <mergeCell ref="WWQ36:WWR36"/>
    <mergeCell ref="WVU36:WVV36"/>
    <mergeCell ref="WVW36:WVX36"/>
    <mergeCell ref="WVY36:WVZ36"/>
    <mergeCell ref="WWA36:WWB36"/>
    <mergeCell ref="WWC36:WWD36"/>
    <mergeCell ref="WWE36:WWF36"/>
    <mergeCell ref="WVI36:WVJ36"/>
    <mergeCell ref="WVK36:WVL36"/>
    <mergeCell ref="WVM36:WVN36"/>
    <mergeCell ref="WVO36:WVP36"/>
    <mergeCell ref="WVQ36:WVR36"/>
    <mergeCell ref="WVS36:WVT36"/>
    <mergeCell ref="WUW36:WUX36"/>
    <mergeCell ref="WUY36:WUZ36"/>
    <mergeCell ref="WVA36:WVB36"/>
    <mergeCell ref="WVC36:WVD36"/>
    <mergeCell ref="WVE36:WVF36"/>
    <mergeCell ref="WVG36:WVH36"/>
    <mergeCell ref="WUK36:WUL36"/>
    <mergeCell ref="WUM36:WUN36"/>
    <mergeCell ref="WUO36:WUP36"/>
    <mergeCell ref="WUQ36:WUR36"/>
    <mergeCell ref="WUS36:WUT36"/>
    <mergeCell ref="WUU36:WUV36"/>
    <mergeCell ref="WZO36:WZP36"/>
    <mergeCell ref="WZQ36:WZR36"/>
    <mergeCell ref="WZS36:WZT36"/>
    <mergeCell ref="WZU36:WZV36"/>
    <mergeCell ref="WZW36:WZX36"/>
    <mergeCell ref="WZA36:WZB36"/>
    <mergeCell ref="WZC36:WZD36"/>
    <mergeCell ref="WZE36:WZF36"/>
    <mergeCell ref="WZG36:WZH36"/>
    <mergeCell ref="WZI36:WZJ36"/>
    <mergeCell ref="WZK36:WZL36"/>
    <mergeCell ref="WYO36:WYP36"/>
    <mergeCell ref="WYQ36:WYR36"/>
    <mergeCell ref="WYS36:WYT36"/>
    <mergeCell ref="WYU36:WYV36"/>
    <mergeCell ref="WYW36:WYX36"/>
    <mergeCell ref="WYY36:WYZ36"/>
    <mergeCell ref="WYC36:WYD36"/>
    <mergeCell ref="WYE36:WYF36"/>
    <mergeCell ref="WYG36:WYH36"/>
    <mergeCell ref="WYI36:WYJ36"/>
    <mergeCell ref="WYK36:WYL36"/>
    <mergeCell ref="WYM36:WYN36"/>
    <mergeCell ref="WXQ36:WXR36"/>
    <mergeCell ref="WXS36:WXT36"/>
    <mergeCell ref="WXU36:WXV36"/>
    <mergeCell ref="WXW36:WXX36"/>
    <mergeCell ref="WXY36:WXZ36"/>
    <mergeCell ref="WYA36:WYB36"/>
    <mergeCell ref="WXE36:WXF36"/>
    <mergeCell ref="WXG36:WXH36"/>
    <mergeCell ref="WXI36:WXJ36"/>
    <mergeCell ref="WXK36:WXL36"/>
    <mergeCell ref="WXM36:WXN36"/>
    <mergeCell ref="WXO36:WXP36"/>
    <mergeCell ref="XFC36:XFD36"/>
    <mergeCell ref="XEO36:XEP36"/>
    <mergeCell ref="XEQ36:XER36"/>
    <mergeCell ref="XES36:XET36"/>
    <mergeCell ref="XEU36:XEV36"/>
    <mergeCell ref="XEW36:XEX36"/>
    <mergeCell ref="XEY36:XEZ36"/>
    <mergeCell ref="XEC36:XED36"/>
    <mergeCell ref="XEE36:XEF36"/>
    <mergeCell ref="XEG36:XEH36"/>
    <mergeCell ref="XEI36:XEJ36"/>
    <mergeCell ref="XEK36:XEL36"/>
    <mergeCell ref="XEM36:XEN36"/>
    <mergeCell ref="XDQ36:XDR36"/>
    <mergeCell ref="XDS36:XDT36"/>
    <mergeCell ref="XDU36:XDV36"/>
    <mergeCell ref="XDW36:XDX36"/>
    <mergeCell ref="XDY36:XDZ36"/>
    <mergeCell ref="XEA36:XEB36"/>
    <mergeCell ref="XDE36:XDF36"/>
    <mergeCell ref="XDG36:XDH36"/>
    <mergeCell ref="XDI36:XDJ36"/>
    <mergeCell ref="XDK36:XDL36"/>
    <mergeCell ref="XDM36:XDN36"/>
    <mergeCell ref="XDO36:XDP36"/>
    <mergeCell ref="XCS36:XCT36"/>
    <mergeCell ref="XCU36:XCV36"/>
    <mergeCell ref="XCW36:XCX36"/>
    <mergeCell ref="XCY36:XCZ36"/>
    <mergeCell ref="XDA36:XDB36"/>
    <mergeCell ref="XDC36:XDD36"/>
    <mergeCell ref="XCG36:XCH36"/>
    <mergeCell ref="XCI36:XCJ36"/>
    <mergeCell ref="XCK36:XCL36"/>
    <mergeCell ref="XCM36:XCN36"/>
    <mergeCell ref="XCO36:XCP36"/>
    <mergeCell ref="XCQ36:XCR36"/>
    <mergeCell ref="DW37:DX37"/>
    <mergeCell ref="DY37:DZ37"/>
    <mergeCell ref="EA37:EB37"/>
    <mergeCell ref="EC37:ED37"/>
    <mergeCell ref="EE37:EF37"/>
    <mergeCell ref="EG37:EH37"/>
    <mergeCell ref="DK37:DL37"/>
    <mergeCell ref="DM37:DN37"/>
    <mergeCell ref="DO37:DP37"/>
    <mergeCell ref="DQ37:DR37"/>
    <mergeCell ref="DS37:DT37"/>
    <mergeCell ref="DU37:DV37"/>
    <mergeCell ref="CY37:CZ37"/>
    <mergeCell ref="DA37:DB37"/>
    <mergeCell ref="DC37:DD37"/>
    <mergeCell ref="DE37:DF37"/>
    <mergeCell ref="DG37:DH37"/>
    <mergeCell ref="DI37:DJ37"/>
    <mergeCell ref="CM37:CN37"/>
    <mergeCell ref="CO37:CP37"/>
    <mergeCell ref="CQ37:CR37"/>
    <mergeCell ref="CS37:CT37"/>
    <mergeCell ref="CU37:CV37"/>
    <mergeCell ref="CW37:CX37"/>
    <mergeCell ref="CA37:CB37"/>
    <mergeCell ref="CC37:CD37"/>
    <mergeCell ref="CE37:CF37"/>
    <mergeCell ref="CG37:CH37"/>
    <mergeCell ref="CI37:CJ37"/>
    <mergeCell ref="CK37:CL37"/>
    <mergeCell ref="BW37:BX37"/>
    <mergeCell ref="BY37:BZ37"/>
    <mergeCell ref="XFA36:XFB36"/>
    <mergeCell ref="XBU36:XBV36"/>
    <mergeCell ref="XBW36:XBX36"/>
    <mergeCell ref="XBY36:XBZ36"/>
    <mergeCell ref="XCA36:XCB36"/>
    <mergeCell ref="XCC36:XCD36"/>
    <mergeCell ref="XCE36:XCF36"/>
    <mergeCell ref="XBI36:XBJ36"/>
    <mergeCell ref="XBK36:XBL36"/>
    <mergeCell ref="XBM36:XBN36"/>
    <mergeCell ref="XBO36:XBP36"/>
    <mergeCell ref="XBQ36:XBR36"/>
    <mergeCell ref="XBS36:XBT36"/>
    <mergeCell ref="XAW36:XAX36"/>
    <mergeCell ref="XAY36:XAZ36"/>
    <mergeCell ref="XBA36:XBB36"/>
    <mergeCell ref="XBC36:XBD36"/>
    <mergeCell ref="XBE36:XBF36"/>
    <mergeCell ref="XBG36:XBH36"/>
    <mergeCell ref="XAK36:XAL36"/>
    <mergeCell ref="XAM36:XAN36"/>
    <mergeCell ref="XAO36:XAP36"/>
    <mergeCell ref="XAQ36:XAR36"/>
    <mergeCell ref="XAS36:XAT36"/>
    <mergeCell ref="XAU36:XAV36"/>
    <mergeCell ref="WZY36:WZZ36"/>
    <mergeCell ref="XAA36:XAB36"/>
    <mergeCell ref="XAC36:XAD36"/>
    <mergeCell ref="XAE36:XAF36"/>
    <mergeCell ref="XAG36:XAH36"/>
    <mergeCell ref="XAI36:XAJ36"/>
    <mergeCell ref="WZM36:WZN36"/>
    <mergeCell ref="GQ37:GR37"/>
    <mergeCell ref="GS37:GT37"/>
    <mergeCell ref="GU37:GV37"/>
    <mergeCell ref="GW37:GX37"/>
    <mergeCell ref="GY37:GZ37"/>
    <mergeCell ref="HA37:HB37"/>
    <mergeCell ref="GE37:GF37"/>
    <mergeCell ref="GG37:GH37"/>
    <mergeCell ref="GI37:GJ37"/>
    <mergeCell ref="GK37:GL37"/>
    <mergeCell ref="GM37:GN37"/>
    <mergeCell ref="GO37:GP37"/>
    <mergeCell ref="FS37:FT37"/>
    <mergeCell ref="FU37:FV37"/>
    <mergeCell ref="FW37:FX37"/>
    <mergeCell ref="FY37:FZ37"/>
    <mergeCell ref="GA37:GB37"/>
    <mergeCell ref="GC37:GD37"/>
    <mergeCell ref="FG37:FH37"/>
    <mergeCell ref="FI37:FJ37"/>
    <mergeCell ref="FK37:FL37"/>
    <mergeCell ref="FM37:FN37"/>
    <mergeCell ref="FO37:FP37"/>
    <mergeCell ref="FQ37:FR37"/>
    <mergeCell ref="EU37:EV37"/>
    <mergeCell ref="EW37:EX37"/>
    <mergeCell ref="EY37:EZ37"/>
    <mergeCell ref="FA37:FB37"/>
    <mergeCell ref="FC37:FD37"/>
    <mergeCell ref="FE37:FF37"/>
    <mergeCell ref="EI37:EJ37"/>
    <mergeCell ref="EK37:EL37"/>
    <mergeCell ref="EM37:EN37"/>
    <mergeCell ref="EO37:EP37"/>
    <mergeCell ref="EQ37:ER37"/>
    <mergeCell ref="ES37:ET37"/>
    <mergeCell ref="JK37:JL37"/>
    <mergeCell ref="JM37:JN37"/>
    <mergeCell ref="JO37:JP37"/>
    <mergeCell ref="JQ37:JR37"/>
    <mergeCell ref="JS37:JT37"/>
    <mergeCell ref="JU37:JV37"/>
    <mergeCell ref="IY37:IZ37"/>
    <mergeCell ref="JA37:JB37"/>
    <mergeCell ref="JC37:JD37"/>
    <mergeCell ref="JE37:JF37"/>
    <mergeCell ref="JG37:JH37"/>
    <mergeCell ref="JI37:JJ37"/>
    <mergeCell ref="IM37:IN37"/>
    <mergeCell ref="IO37:IP37"/>
    <mergeCell ref="IQ37:IR37"/>
    <mergeCell ref="IS37:IT37"/>
    <mergeCell ref="IU37:IV37"/>
    <mergeCell ref="IW37:IX37"/>
    <mergeCell ref="IA37:IB37"/>
    <mergeCell ref="IC37:ID37"/>
    <mergeCell ref="IE37:IF37"/>
    <mergeCell ref="IG37:IH37"/>
    <mergeCell ref="II37:IJ37"/>
    <mergeCell ref="IK37:IL37"/>
    <mergeCell ref="HO37:HP37"/>
    <mergeCell ref="HQ37:HR37"/>
    <mergeCell ref="HS37:HT37"/>
    <mergeCell ref="HU37:HV37"/>
    <mergeCell ref="HW37:HX37"/>
    <mergeCell ref="HY37:HZ37"/>
    <mergeCell ref="HC37:HD37"/>
    <mergeCell ref="HE37:HF37"/>
    <mergeCell ref="HG37:HH37"/>
    <mergeCell ref="HI37:HJ37"/>
    <mergeCell ref="HK37:HL37"/>
    <mergeCell ref="HM37:HN37"/>
    <mergeCell ref="ME37:MF37"/>
    <mergeCell ref="MG37:MH37"/>
    <mergeCell ref="MI37:MJ37"/>
    <mergeCell ref="MK37:ML37"/>
    <mergeCell ref="MM37:MN37"/>
    <mergeCell ref="MO37:MP37"/>
    <mergeCell ref="LS37:LT37"/>
    <mergeCell ref="LU37:LV37"/>
    <mergeCell ref="LW37:LX37"/>
    <mergeCell ref="LY37:LZ37"/>
    <mergeCell ref="MA37:MB37"/>
    <mergeCell ref="MC37:MD37"/>
    <mergeCell ref="LG37:LH37"/>
    <mergeCell ref="LI37:LJ37"/>
    <mergeCell ref="LK37:LL37"/>
    <mergeCell ref="LM37:LN37"/>
    <mergeCell ref="LO37:LP37"/>
    <mergeCell ref="LQ37:LR37"/>
    <mergeCell ref="KU37:KV37"/>
    <mergeCell ref="KW37:KX37"/>
    <mergeCell ref="KY37:KZ37"/>
    <mergeCell ref="LA37:LB37"/>
    <mergeCell ref="LC37:LD37"/>
    <mergeCell ref="LE37:LF37"/>
    <mergeCell ref="KI37:KJ37"/>
    <mergeCell ref="KK37:KL37"/>
    <mergeCell ref="KM37:KN37"/>
    <mergeCell ref="KO37:KP37"/>
    <mergeCell ref="KQ37:KR37"/>
    <mergeCell ref="KS37:KT37"/>
    <mergeCell ref="JW37:JX37"/>
    <mergeCell ref="JY37:JZ37"/>
    <mergeCell ref="KA37:KB37"/>
    <mergeCell ref="KC37:KD37"/>
    <mergeCell ref="KE37:KF37"/>
    <mergeCell ref="KG37:KH37"/>
    <mergeCell ref="OY37:OZ37"/>
    <mergeCell ref="PA37:PB37"/>
    <mergeCell ref="PC37:PD37"/>
    <mergeCell ref="PE37:PF37"/>
    <mergeCell ref="PG37:PH37"/>
    <mergeCell ref="PI37:PJ37"/>
    <mergeCell ref="OM37:ON37"/>
    <mergeCell ref="OO37:OP37"/>
    <mergeCell ref="OQ37:OR37"/>
    <mergeCell ref="OS37:OT37"/>
    <mergeCell ref="OU37:OV37"/>
    <mergeCell ref="OW37:OX37"/>
    <mergeCell ref="OA37:OB37"/>
    <mergeCell ref="OC37:OD37"/>
    <mergeCell ref="OE37:OF37"/>
    <mergeCell ref="OG37:OH37"/>
    <mergeCell ref="OI37:OJ37"/>
    <mergeCell ref="OK37:OL37"/>
    <mergeCell ref="NO37:NP37"/>
    <mergeCell ref="NQ37:NR37"/>
    <mergeCell ref="NS37:NT37"/>
    <mergeCell ref="NU37:NV37"/>
    <mergeCell ref="NW37:NX37"/>
    <mergeCell ref="NY37:NZ37"/>
    <mergeCell ref="NC37:ND37"/>
    <mergeCell ref="NE37:NF37"/>
    <mergeCell ref="NG37:NH37"/>
    <mergeCell ref="NI37:NJ37"/>
    <mergeCell ref="NK37:NL37"/>
    <mergeCell ref="NM37:NN37"/>
    <mergeCell ref="MQ37:MR37"/>
    <mergeCell ref="MS37:MT37"/>
    <mergeCell ref="MU37:MV37"/>
    <mergeCell ref="MW37:MX37"/>
    <mergeCell ref="MY37:MZ37"/>
    <mergeCell ref="NA37:NB37"/>
    <mergeCell ref="RS37:RT37"/>
    <mergeCell ref="RU37:RV37"/>
    <mergeCell ref="RW37:RX37"/>
    <mergeCell ref="RY37:RZ37"/>
    <mergeCell ref="SA37:SB37"/>
    <mergeCell ref="SC37:SD37"/>
    <mergeCell ref="RG37:RH37"/>
    <mergeCell ref="RI37:RJ37"/>
    <mergeCell ref="RK37:RL37"/>
    <mergeCell ref="RM37:RN37"/>
    <mergeCell ref="RO37:RP37"/>
    <mergeCell ref="RQ37:RR37"/>
    <mergeCell ref="QU37:QV37"/>
    <mergeCell ref="QW37:QX37"/>
    <mergeCell ref="QY37:QZ37"/>
    <mergeCell ref="RA37:RB37"/>
    <mergeCell ref="RC37:RD37"/>
    <mergeCell ref="RE37:RF37"/>
    <mergeCell ref="QI37:QJ37"/>
    <mergeCell ref="QK37:QL37"/>
    <mergeCell ref="QM37:QN37"/>
    <mergeCell ref="QO37:QP37"/>
    <mergeCell ref="QQ37:QR37"/>
    <mergeCell ref="QS37:QT37"/>
    <mergeCell ref="PW37:PX37"/>
    <mergeCell ref="PY37:PZ37"/>
    <mergeCell ref="QA37:QB37"/>
    <mergeCell ref="QC37:QD37"/>
    <mergeCell ref="QE37:QF37"/>
    <mergeCell ref="QG37:QH37"/>
    <mergeCell ref="PK37:PL37"/>
    <mergeCell ref="PM37:PN37"/>
    <mergeCell ref="PO37:PP37"/>
    <mergeCell ref="PQ37:PR37"/>
    <mergeCell ref="PS37:PT37"/>
    <mergeCell ref="PU37:PV37"/>
    <mergeCell ref="UM37:UN37"/>
    <mergeCell ref="UO37:UP37"/>
    <mergeCell ref="UQ37:UR37"/>
    <mergeCell ref="US37:UT37"/>
    <mergeCell ref="UU37:UV37"/>
    <mergeCell ref="UW37:UX37"/>
    <mergeCell ref="UA37:UB37"/>
    <mergeCell ref="UC37:UD37"/>
    <mergeCell ref="UE37:UF37"/>
    <mergeCell ref="UG37:UH37"/>
    <mergeCell ref="UI37:UJ37"/>
    <mergeCell ref="UK37:UL37"/>
    <mergeCell ref="TO37:TP37"/>
    <mergeCell ref="TQ37:TR37"/>
    <mergeCell ref="TS37:TT37"/>
    <mergeCell ref="TU37:TV37"/>
    <mergeCell ref="TW37:TX37"/>
    <mergeCell ref="TY37:TZ37"/>
    <mergeCell ref="TC37:TD37"/>
    <mergeCell ref="TE37:TF37"/>
    <mergeCell ref="TG37:TH37"/>
    <mergeCell ref="TI37:TJ37"/>
    <mergeCell ref="TK37:TL37"/>
    <mergeCell ref="TM37:TN37"/>
    <mergeCell ref="SQ37:SR37"/>
    <mergeCell ref="SS37:ST37"/>
    <mergeCell ref="SU37:SV37"/>
    <mergeCell ref="SW37:SX37"/>
    <mergeCell ref="SY37:SZ37"/>
    <mergeCell ref="TA37:TB37"/>
    <mergeCell ref="SE37:SF37"/>
    <mergeCell ref="SG37:SH37"/>
    <mergeCell ref="SI37:SJ37"/>
    <mergeCell ref="SK37:SL37"/>
    <mergeCell ref="SM37:SN37"/>
    <mergeCell ref="SO37:SP37"/>
    <mergeCell ref="XG37:XH37"/>
    <mergeCell ref="XI37:XJ37"/>
    <mergeCell ref="XK37:XL37"/>
    <mergeCell ref="XM37:XN37"/>
    <mergeCell ref="XO37:XP37"/>
    <mergeCell ref="XQ37:XR37"/>
    <mergeCell ref="WU37:WV37"/>
    <mergeCell ref="WW37:WX37"/>
    <mergeCell ref="WY37:WZ37"/>
    <mergeCell ref="XA37:XB37"/>
    <mergeCell ref="XC37:XD37"/>
    <mergeCell ref="XE37:XF37"/>
    <mergeCell ref="WI37:WJ37"/>
    <mergeCell ref="WK37:WL37"/>
    <mergeCell ref="WM37:WN37"/>
    <mergeCell ref="WO37:WP37"/>
    <mergeCell ref="WQ37:WR37"/>
    <mergeCell ref="WS37:WT37"/>
    <mergeCell ref="VW37:VX37"/>
    <mergeCell ref="VY37:VZ37"/>
    <mergeCell ref="WA37:WB37"/>
    <mergeCell ref="WC37:WD37"/>
    <mergeCell ref="WE37:WF37"/>
    <mergeCell ref="WG37:WH37"/>
    <mergeCell ref="VK37:VL37"/>
    <mergeCell ref="VM37:VN37"/>
    <mergeCell ref="VO37:VP37"/>
    <mergeCell ref="VQ37:VR37"/>
    <mergeCell ref="VS37:VT37"/>
    <mergeCell ref="VU37:VV37"/>
    <mergeCell ref="UY37:UZ37"/>
    <mergeCell ref="VA37:VB37"/>
    <mergeCell ref="VC37:VD37"/>
    <mergeCell ref="VE37:VF37"/>
    <mergeCell ref="VG37:VH37"/>
    <mergeCell ref="VI37:VJ37"/>
    <mergeCell ref="AAA37:AAB37"/>
    <mergeCell ref="AAC37:AAD37"/>
    <mergeCell ref="AAE37:AAF37"/>
    <mergeCell ref="AAG37:AAH37"/>
    <mergeCell ref="AAI37:AAJ37"/>
    <mergeCell ref="AAK37:AAL37"/>
    <mergeCell ref="ZO37:ZP37"/>
    <mergeCell ref="ZQ37:ZR37"/>
    <mergeCell ref="ZS37:ZT37"/>
    <mergeCell ref="ZU37:ZV37"/>
    <mergeCell ref="ZW37:ZX37"/>
    <mergeCell ref="ZY37:ZZ37"/>
    <mergeCell ref="ZC37:ZD37"/>
    <mergeCell ref="ZE37:ZF37"/>
    <mergeCell ref="ZG37:ZH37"/>
    <mergeCell ref="ZI37:ZJ37"/>
    <mergeCell ref="ZK37:ZL37"/>
    <mergeCell ref="ZM37:ZN37"/>
    <mergeCell ref="YQ37:YR37"/>
    <mergeCell ref="YS37:YT37"/>
    <mergeCell ref="YU37:YV37"/>
    <mergeCell ref="YW37:YX37"/>
    <mergeCell ref="YY37:YZ37"/>
    <mergeCell ref="ZA37:ZB37"/>
    <mergeCell ref="YE37:YF37"/>
    <mergeCell ref="YG37:YH37"/>
    <mergeCell ref="YI37:YJ37"/>
    <mergeCell ref="YK37:YL37"/>
    <mergeCell ref="YM37:YN37"/>
    <mergeCell ref="YO37:YP37"/>
    <mergeCell ref="XS37:XT37"/>
    <mergeCell ref="XU37:XV37"/>
    <mergeCell ref="XW37:XX37"/>
    <mergeCell ref="XY37:XZ37"/>
    <mergeCell ref="YA37:YB37"/>
    <mergeCell ref="YC37:YD37"/>
    <mergeCell ref="ACU37:ACV37"/>
    <mergeCell ref="ACW37:ACX37"/>
    <mergeCell ref="ACY37:ACZ37"/>
    <mergeCell ref="ADA37:ADB37"/>
    <mergeCell ref="ADC37:ADD37"/>
    <mergeCell ref="ADE37:ADF37"/>
    <mergeCell ref="ACI37:ACJ37"/>
    <mergeCell ref="ACK37:ACL37"/>
    <mergeCell ref="ACM37:ACN37"/>
    <mergeCell ref="ACO37:ACP37"/>
    <mergeCell ref="ACQ37:ACR37"/>
    <mergeCell ref="ACS37:ACT37"/>
    <mergeCell ref="ABW37:ABX37"/>
    <mergeCell ref="ABY37:ABZ37"/>
    <mergeCell ref="ACA37:ACB37"/>
    <mergeCell ref="ACC37:ACD37"/>
    <mergeCell ref="ACE37:ACF37"/>
    <mergeCell ref="ACG37:ACH37"/>
    <mergeCell ref="ABK37:ABL37"/>
    <mergeCell ref="ABM37:ABN37"/>
    <mergeCell ref="ABO37:ABP37"/>
    <mergeCell ref="ABQ37:ABR37"/>
    <mergeCell ref="ABS37:ABT37"/>
    <mergeCell ref="ABU37:ABV37"/>
    <mergeCell ref="AAY37:AAZ37"/>
    <mergeCell ref="ABA37:ABB37"/>
    <mergeCell ref="ABC37:ABD37"/>
    <mergeCell ref="ABE37:ABF37"/>
    <mergeCell ref="ABG37:ABH37"/>
    <mergeCell ref="ABI37:ABJ37"/>
    <mergeCell ref="AAM37:AAN37"/>
    <mergeCell ref="AAO37:AAP37"/>
    <mergeCell ref="AAQ37:AAR37"/>
    <mergeCell ref="AAS37:AAT37"/>
    <mergeCell ref="AAU37:AAV37"/>
    <mergeCell ref="AAW37:AAX37"/>
    <mergeCell ref="AFO37:AFP37"/>
    <mergeCell ref="AFQ37:AFR37"/>
    <mergeCell ref="AFS37:AFT37"/>
    <mergeCell ref="AFU37:AFV37"/>
    <mergeCell ref="AFW37:AFX37"/>
    <mergeCell ref="AFY37:AFZ37"/>
    <mergeCell ref="AFC37:AFD37"/>
    <mergeCell ref="AFE37:AFF37"/>
    <mergeCell ref="AFG37:AFH37"/>
    <mergeCell ref="AFI37:AFJ37"/>
    <mergeCell ref="AFK37:AFL37"/>
    <mergeCell ref="AFM37:AFN37"/>
    <mergeCell ref="AEQ37:AER37"/>
    <mergeCell ref="AES37:AET37"/>
    <mergeCell ref="AEU37:AEV37"/>
    <mergeCell ref="AEW37:AEX37"/>
    <mergeCell ref="AEY37:AEZ37"/>
    <mergeCell ref="AFA37:AFB37"/>
    <mergeCell ref="AEE37:AEF37"/>
    <mergeCell ref="AEG37:AEH37"/>
    <mergeCell ref="AEI37:AEJ37"/>
    <mergeCell ref="AEK37:AEL37"/>
    <mergeCell ref="AEM37:AEN37"/>
    <mergeCell ref="AEO37:AEP37"/>
    <mergeCell ref="ADS37:ADT37"/>
    <mergeCell ref="ADU37:ADV37"/>
    <mergeCell ref="ADW37:ADX37"/>
    <mergeCell ref="ADY37:ADZ37"/>
    <mergeCell ref="AEA37:AEB37"/>
    <mergeCell ref="AEC37:AED37"/>
    <mergeCell ref="ADG37:ADH37"/>
    <mergeCell ref="ADI37:ADJ37"/>
    <mergeCell ref="ADK37:ADL37"/>
    <mergeCell ref="ADM37:ADN37"/>
    <mergeCell ref="ADO37:ADP37"/>
    <mergeCell ref="ADQ37:ADR37"/>
    <mergeCell ref="AII37:AIJ37"/>
    <mergeCell ref="AIK37:AIL37"/>
    <mergeCell ref="AIM37:AIN37"/>
    <mergeCell ref="AIO37:AIP37"/>
    <mergeCell ref="AIQ37:AIR37"/>
    <mergeCell ref="AIS37:AIT37"/>
    <mergeCell ref="AHW37:AHX37"/>
    <mergeCell ref="AHY37:AHZ37"/>
    <mergeCell ref="AIA37:AIB37"/>
    <mergeCell ref="AIC37:AID37"/>
    <mergeCell ref="AIE37:AIF37"/>
    <mergeCell ref="AIG37:AIH37"/>
    <mergeCell ref="AHK37:AHL37"/>
    <mergeCell ref="AHM37:AHN37"/>
    <mergeCell ref="AHO37:AHP37"/>
    <mergeCell ref="AHQ37:AHR37"/>
    <mergeCell ref="AHS37:AHT37"/>
    <mergeCell ref="AHU37:AHV37"/>
    <mergeCell ref="AGY37:AGZ37"/>
    <mergeCell ref="AHA37:AHB37"/>
    <mergeCell ref="AHC37:AHD37"/>
    <mergeCell ref="AHE37:AHF37"/>
    <mergeCell ref="AHG37:AHH37"/>
    <mergeCell ref="AHI37:AHJ37"/>
    <mergeCell ref="AGM37:AGN37"/>
    <mergeCell ref="AGO37:AGP37"/>
    <mergeCell ref="AGQ37:AGR37"/>
    <mergeCell ref="AGS37:AGT37"/>
    <mergeCell ref="AGU37:AGV37"/>
    <mergeCell ref="AGW37:AGX37"/>
    <mergeCell ref="AGA37:AGB37"/>
    <mergeCell ref="AGC37:AGD37"/>
    <mergeCell ref="AGE37:AGF37"/>
    <mergeCell ref="AGG37:AGH37"/>
    <mergeCell ref="AGI37:AGJ37"/>
    <mergeCell ref="AGK37:AGL37"/>
    <mergeCell ref="ALC37:ALD37"/>
    <mergeCell ref="ALE37:ALF37"/>
    <mergeCell ref="ALG37:ALH37"/>
    <mergeCell ref="ALI37:ALJ37"/>
    <mergeCell ref="ALK37:ALL37"/>
    <mergeCell ref="ALM37:ALN37"/>
    <mergeCell ref="AKQ37:AKR37"/>
    <mergeCell ref="AKS37:AKT37"/>
    <mergeCell ref="AKU37:AKV37"/>
    <mergeCell ref="AKW37:AKX37"/>
    <mergeCell ref="AKY37:AKZ37"/>
    <mergeCell ref="ALA37:ALB37"/>
    <mergeCell ref="AKE37:AKF37"/>
    <mergeCell ref="AKG37:AKH37"/>
    <mergeCell ref="AKI37:AKJ37"/>
    <mergeCell ref="AKK37:AKL37"/>
    <mergeCell ref="AKM37:AKN37"/>
    <mergeCell ref="AKO37:AKP37"/>
    <mergeCell ref="AJS37:AJT37"/>
    <mergeCell ref="AJU37:AJV37"/>
    <mergeCell ref="AJW37:AJX37"/>
    <mergeCell ref="AJY37:AJZ37"/>
    <mergeCell ref="AKA37:AKB37"/>
    <mergeCell ref="AKC37:AKD37"/>
    <mergeCell ref="AJG37:AJH37"/>
    <mergeCell ref="AJI37:AJJ37"/>
    <mergeCell ref="AJK37:AJL37"/>
    <mergeCell ref="AJM37:AJN37"/>
    <mergeCell ref="AJO37:AJP37"/>
    <mergeCell ref="AJQ37:AJR37"/>
    <mergeCell ref="AIU37:AIV37"/>
    <mergeCell ref="AIW37:AIX37"/>
    <mergeCell ref="AIY37:AIZ37"/>
    <mergeCell ref="AJA37:AJB37"/>
    <mergeCell ref="AJC37:AJD37"/>
    <mergeCell ref="AJE37:AJF37"/>
    <mergeCell ref="ANW37:ANX37"/>
    <mergeCell ref="ANY37:ANZ37"/>
    <mergeCell ref="AOA37:AOB37"/>
    <mergeCell ref="AOC37:AOD37"/>
    <mergeCell ref="AOE37:AOF37"/>
    <mergeCell ref="AOG37:AOH37"/>
    <mergeCell ref="ANK37:ANL37"/>
    <mergeCell ref="ANM37:ANN37"/>
    <mergeCell ref="ANO37:ANP37"/>
    <mergeCell ref="ANQ37:ANR37"/>
    <mergeCell ref="ANS37:ANT37"/>
    <mergeCell ref="ANU37:ANV37"/>
    <mergeCell ref="AMY37:AMZ37"/>
    <mergeCell ref="ANA37:ANB37"/>
    <mergeCell ref="ANC37:AND37"/>
    <mergeCell ref="ANE37:ANF37"/>
    <mergeCell ref="ANG37:ANH37"/>
    <mergeCell ref="ANI37:ANJ37"/>
    <mergeCell ref="AMM37:AMN37"/>
    <mergeCell ref="AMO37:AMP37"/>
    <mergeCell ref="AMQ37:AMR37"/>
    <mergeCell ref="AMS37:AMT37"/>
    <mergeCell ref="AMU37:AMV37"/>
    <mergeCell ref="AMW37:AMX37"/>
    <mergeCell ref="AMA37:AMB37"/>
    <mergeCell ref="AMC37:AMD37"/>
    <mergeCell ref="AME37:AMF37"/>
    <mergeCell ref="AMG37:AMH37"/>
    <mergeCell ref="AMI37:AMJ37"/>
    <mergeCell ref="AMK37:AML37"/>
    <mergeCell ref="ALO37:ALP37"/>
    <mergeCell ref="ALQ37:ALR37"/>
    <mergeCell ref="ALS37:ALT37"/>
    <mergeCell ref="ALU37:ALV37"/>
    <mergeCell ref="ALW37:ALX37"/>
    <mergeCell ref="ALY37:ALZ37"/>
    <mergeCell ref="AQQ37:AQR37"/>
    <mergeCell ref="AQS37:AQT37"/>
    <mergeCell ref="AQU37:AQV37"/>
    <mergeCell ref="AQW37:AQX37"/>
    <mergeCell ref="AQY37:AQZ37"/>
    <mergeCell ref="ARA37:ARB37"/>
    <mergeCell ref="AQE37:AQF37"/>
    <mergeCell ref="AQG37:AQH37"/>
    <mergeCell ref="AQI37:AQJ37"/>
    <mergeCell ref="AQK37:AQL37"/>
    <mergeCell ref="AQM37:AQN37"/>
    <mergeCell ref="AQO37:AQP37"/>
    <mergeCell ref="APS37:APT37"/>
    <mergeCell ref="APU37:APV37"/>
    <mergeCell ref="APW37:APX37"/>
    <mergeCell ref="APY37:APZ37"/>
    <mergeCell ref="AQA37:AQB37"/>
    <mergeCell ref="AQC37:AQD37"/>
    <mergeCell ref="APG37:APH37"/>
    <mergeCell ref="API37:APJ37"/>
    <mergeCell ref="APK37:APL37"/>
    <mergeCell ref="APM37:APN37"/>
    <mergeCell ref="APO37:APP37"/>
    <mergeCell ref="APQ37:APR37"/>
    <mergeCell ref="AOU37:AOV37"/>
    <mergeCell ref="AOW37:AOX37"/>
    <mergeCell ref="AOY37:AOZ37"/>
    <mergeCell ref="APA37:APB37"/>
    <mergeCell ref="APC37:APD37"/>
    <mergeCell ref="APE37:APF37"/>
    <mergeCell ref="AOI37:AOJ37"/>
    <mergeCell ref="AOK37:AOL37"/>
    <mergeCell ref="AOM37:AON37"/>
    <mergeCell ref="AOO37:AOP37"/>
    <mergeCell ref="AOQ37:AOR37"/>
    <mergeCell ref="AOS37:AOT37"/>
    <mergeCell ref="ATK37:ATL37"/>
    <mergeCell ref="ATM37:ATN37"/>
    <mergeCell ref="ATO37:ATP37"/>
    <mergeCell ref="ATQ37:ATR37"/>
    <mergeCell ref="ATS37:ATT37"/>
    <mergeCell ref="ATU37:ATV37"/>
    <mergeCell ref="ASY37:ASZ37"/>
    <mergeCell ref="ATA37:ATB37"/>
    <mergeCell ref="ATC37:ATD37"/>
    <mergeCell ref="ATE37:ATF37"/>
    <mergeCell ref="ATG37:ATH37"/>
    <mergeCell ref="ATI37:ATJ37"/>
    <mergeCell ref="ASM37:ASN37"/>
    <mergeCell ref="ASO37:ASP37"/>
    <mergeCell ref="ASQ37:ASR37"/>
    <mergeCell ref="ASS37:AST37"/>
    <mergeCell ref="ASU37:ASV37"/>
    <mergeCell ref="ASW37:ASX37"/>
    <mergeCell ref="ASA37:ASB37"/>
    <mergeCell ref="ASC37:ASD37"/>
    <mergeCell ref="ASE37:ASF37"/>
    <mergeCell ref="ASG37:ASH37"/>
    <mergeCell ref="ASI37:ASJ37"/>
    <mergeCell ref="ASK37:ASL37"/>
    <mergeCell ref="ARO37:ARP37"/>
    <mergeCell ref="ARQ37:ARR37"/>
    <mergeCell ref="ARS37:ART37"/>
    <mergeCell ref="ARU37:ARV37"/>
    <mergeCell ref="ARW37:ARX37"/>
    <mergeCell ref="ARY37:ARZ37"/>
    <mergeCell ref="ARC37:ARD37"/>
    <mergeCell ref="ARE37:ARF37"/>
    <mergeCell ref="ARG37:ARH37"/>
    <mergeCell ref="ARI37:ARJ37"/>
    <mergeCell ref="ARK37:ARL37"/>
    <mergeCell ref="ARM37:ARN37"/>
    <mergeCell ref="AWE37:AWF37"/>
    <mergeCell ref="AWG37:AWH37"/>
    <mergeCell ref="AWI37:AWJ37"/>
    <mergeCell ref="AWK37:AWL37"/>
    <mergeCell ref="AWM37:AWN37"/>
    <mergeCell ref="AWO37:AWP37"/>
    <mergeCell ref="AVS37:AVT37"/>
    <mergeCell ref="AVU37:AVV37"/>
    <mergeCell ref="AVW37:AVX37"/>
    <mergeCell ref="AVY37:AVZ37"/>
    <mergeCell ref="AWA37:AWB37"/>
    <mergeCell ref="AWC37:AWD37"/>
    <mergeCell ref="AVG37:AVH37"/>
    <mergeCell ref="AVI37:AVJ37"/>
    <mergeCell ref="AVK37:AVL37"/>
    <mergeCell ref="AVM37:AVN37"/>
    <mergeCell ref="AVO37:AVP37"/>
    <mergeCell ref="AVQ37:AVR37"/>
    <mergeCell ref="AUU37:AUV37"/>
    <mergeCell ref="AUW37:AUX37"/>
    <mergeCell ref="AUY37:AUZ37"/>
    <mergeCell ref="AVA37:AVB37"/>
    <mergeCell ref="AVC37:AVD37"/>
    <mergeCell ref="AVE37:AVF37"/>
    <mergeCell ref="AUI37:AUJ37"/>
    <mergeCell ref="AUK37:AUL37"/>
    <mergeCell ref="AUM37:AUN37"/>
    <mergeCell ref="AUO37:AUP37"/>
    <mergeCell ref="AUQ37:AUR37"/>
    <mergeCell ref="AUS37:AUT37"/>
    <mergeCell ref="ATW37:ATX37"/>
    <mergeCell ref="ATY37:ATZ37"/>
    <mergeCell ref="AUA37:AUB37"/>
    <mergeCell ref="AUC37:AUD37"/>
    <mergeCell ref="AUE37:AUF37"/>
    <mergeCell ref="AUG37:AUH37"/>
    <mergeCell ref="AYY37:AYZ37"/>
    <mergeCell ref="AZA37:AZB37"/>
    <mergeCell ref="AZC37:AZD37"/>
    <mergeCell ref="AZE37:AZF37"/>
    <mergeCell ref="AZG37:AZH37"/>
    <mergeCell ref="AZI37:AZJ37"/>
    <mergeCell ref="AYM37:AYN37"/>
    <mergeCell ref="AYO37:AYP37"/>
    <mergeCell ref="AYQ37:AYR37"/>
    <mergeCell ref="AYS37:AYT37"/>
    <mergeCell ref="AYU37:AYV37"/>
    <mergeCell ref="AYW37:AYX37"/>
    <mergeCell ref="AYA37:AYB37"/>
    <mergeCell ref="AYC37:AYD37"/>
    <mergeCell ref="AYE37:AYF37"/>
    <mergeCell ref="AYG37:AYH37"/>
    <mergeCell ref="AYI37:AYJ37"/>
    <mergeCell ref="AYK37:AYL37"/>
    <mergeCell ref="AXO37:AXP37"/>
    <mergeCell ref="AXQ37:AXR37"/>
    <mergeCell ref="AXS37:AXT37"/>
    <mergeCell ref="AXU37:AXV37"/>
    <mergeCell ref="AXW37:AXX37"/>
    <mergeCell ref="AXY37:AXZ37"/>
    <mergeCell ref="AXC37:AXD37"/>
    <mergeCell ref="AXE37:AXF37"/>
    <mergeCell ref="AXG37:AXH37"/>
    <mergeCell ref="AXI37:AXJ37"/>
    <mergeCell ref="AXK37:AXL37"/>
    <mergeCell ref="AXM37:AXN37"/>
    <mergeCell ref="AWQ37:AWR37"/>
    <mergeCell ref="AWS37:AWT37"/>
    <mergeCell ref="AWU37:AWV37"/>
    <mergeCell ref="AWW37:AWX37"/>
    <mergeCell ref="AWY37:AWZ37"/>
    <mergeCell ref="AXA37:AXB37"/>
    <mergeCell ref="BBS37:BBT37"/>
    <mergeCell ref="BBU37:BBV37"/>
    <mergeCell ref="BBW37:BBX37"/>
    <mergeCell ref="BBY37:BBZ37"/>
    <mergeCell ref="BCA37:BCB37"/>
    <mergeCell ref="BCC37:BCD37"/>
    <mergeCell ref="BBG37:BBH37"/>
    <mergeCell ref="BBI37:BBJ37"/>
    <mergeCell ref="BBK37:BBL37"/>
    <mergeCell ref="BBM37:BBN37"/>
    <mergeCell ref="BBO37:BBP37"/>
    <mergeCell ref="BBQ37:BBR37"/>
    <mergeCell ref="BAU37:BAV37"/>
    <mergeCell ref="BAW37:BAX37"/>
    <mergeCell ref="BAY37:BAZ37"/>
    <mergeCell ref="BBA37:BBB37"/>
    <mergeCell ref="BBC37:BBD37"/>
    <mergeCell ref="BBE37:BBF37"/>
    <mergeCell ref="BAI37:BAJ37"/>
    <mergeCell ref="BAK37:BAL37"/>
    <mergeCell ref="BAM37:BAN37"/>
    <mergeCell ref="BAO37:BAP37"/>
    <mergeCell ref="BAQ37:BAR37"/>
    <mergeCell ref="BAS37:BAT37"/>
    <mergeCell ref="AZW37:AZX37"/>
    <mergeCell ref="AZY37:AZZ37"/>
    <mergeCell ref="BAA37:BAB37"/>
    <mergeCell ref="BAC37:BAD37"/>
    <mergeCell ref="BAE37:BAF37"/>
    <mergeCell ref="BAG37:BAH37"/>
    <mergeCell ref="AZK37:AZL37"/>
    <mergeCell ref="AZM37:AZN37"/>
    <mergeCell ref="AZO37:AZP37"/>
    <mergeCell ref="AZQ37:AZR37"/>
    <mergeCell ref="AZS37:AZT37"/>
    <mergeCell ref="AZU37:AZV37"/>
    <mergeCell ref="BEM37:BEN37"/>
    <mergeCell ref="BEO37:BEP37"/>
    <mergeCell ref="BEQ37:BER37"/>
    <mergeCell ref="BES37:BET37"/>
    <mergeCell ref="BEU37:BEV37"/>
    <mergeCell ref="BEW37:BEX37"/>
    <mergeCell ref="BEA37:BEB37"/>
    <mergeCell ref="BEC37:BED37"/>
    <mergeCell ref="BEE37:BEF37"/>
    <mergeCell ref="BEG37:BEH37"/>
    <mergeCell ref="BEI37:BEJ37"/>
    <mergeCell ref="BEK37:BEL37"/>
    <mergeCell ref="BDO37:BDP37"/>
    <mergeCell ref="BDQ37:BDR37"/>
    <mergeCell ref="BDS37:BDT37"/>
    <mergeCell ref="BDU37:BDV37"/>
    <mergeCell ref="BDW37:BDX37"/>
    <mergeCell ref="BDY37:BDZ37"/>
    <mergeCell ref="BDC37:BDD37"/>
    <mergeCell ref="BDE37:BDF37"/>
    <mergeCell ref="BDG37:BDH37"/>
    <mergeCell ref="BDI37:BDJ37"/>
    <mergeCell ref="BDK37:BDL37"/>
    <mergeCell ref="BDM37:BDN37"/>
    <mergeCell ref="BCQ37:BCR37"/>
    <mergeCell ref="BCS37:BCT37"/>
    <mergeCell ref="BCU37:BCV37"/>
    <mergeCell ref="BCW37:BCX37"/>
    <mergeCell ref="BCY37:BCZ37"/>
    <mergeCell ref="BDA37:BDB37"/>
    <mergeCell ref="BCE37:BCF37"/>
    <mergeCell ref="BCG37:BCH37"/>
    <mergeCell ref="BCI37:BCJ37"/>
    <mergeCell ref="BCK37:BCL37"/>
    <mergeCell ref="BCM37:BCN37"/>
    <mergeCell ref="BCO37:BCP37"/>
    <mergeCell ref="BHG37:BHH37"/>
    <mergeCell ref="BHI37:BHJ37"/>
    <mergeCell ref="BHK37:BHL37"/>
    <mergeCell ref="BHM37:BHN37"/>
    <mergeCell ref="BHO37:BHP37"/>
    <mergeCell ref="BHQ37:BHR37"/>
    <mergeCell ref="BGU37:BGV37"/>
    <mergeCell ref="BGW37:BGX37"/>
    <mergeCell ref="BGY37:BGZ37"/>
    <mergeCell ref="BHA37:BHB37"/>
    <mergeCell ref="BHC37:BHD37"/>
    <mergeCell ref="BHE37:BHF37"/>
    <mergeCell ref="BGI37:BGJ37"/>
    <mergeCell ref="BGK37:BGL37"/>
    <mergeCell ref="BGM37:BGN37"/>
    <mergeCell ref="BGO37:BGP37"/>
    <mergeCell ref="BGQ37:BGR37"/>
    <mergeCell ref="BGS37:BGT37"/>
    <mergeCell ref="BFW37:BFX37"/>
    <mergeCell ref="BFY37:BFZ37"/>
    <mergeCell ref="BGA37:BGB37"/>
    <mergeCell ref="BGC37:BGD37"/>
    <mergeCell ref="BGE37:BGF37"/>
    <mergeCell ref="BGG37:BGH37"/>
    <mergeCell ref="BFK37:BFL37"/>
    <mergeCell ref="BFM37:BFN37"/>
    <mergeCell ref="BFO37:BFP37"/>
    <mergeCell ref="BFQ37:BFR37"/>
    <mergeCell ref="BFS37:BFT37"/>
    <mergeCell ref="BFU37:BFV37"/>
    <mergeCell ref="BEY37:BEZ37"/>
    <mergeCell ref="BFA37:BFB37"/>
    <mergeCell ref="BFC37:BFD37"/>
    <mergeCell ref="BFE37:BFF37"/>
    <mergeCell ref="BFG37:BFH37"/>
    <mergeCell ref="BFI37:BFJ37"/>
    <mergeCell ref="BKA37:BKB37"/>
    <mergeCell ref="BKC37:BKD37"/>
    <mergeCell ref="BKE37:BKF37"/>
    <mergeCell ref="BKG37:BKH37"/>
    <mergeCell ref="BKI37:BKJ37"/>
    <mergeCell ref="BKK37:BKL37"/>
    <mergeCell ref="BJO37:BJP37"/>
    <mergeCell ref="BJQ37:BJR37"/>
    <mergeCell ref="BJS37:BJT37"/>
    <mergeCell ref="BJU37:BJV37"/>
    <mergeCell ref="BJW37:BJX37"/>
    <mergeCell ref="BJY37:BJZ37"/>
    <mergeCell ref="BJC37:BJD37"/>
    <mergeCell ref="BJE37:BJF37"/>
    <mergeCell ref="BJG37:BJH37"/>
    <mergeCell ref="BJI37:BJJ37"/>
    <mergeCell ref="BJK37:BJL37"/>
    <mergeCell ref="BJM37:BJN37"/>
    <mergeCell ref="BIQ37:BIR37"/>
    <mergeCell ref="BIS37:BIT37"/>
    <mergeCell ref="BIU37:BIV37"/>
    <mergeCell ref="BIW37:BIX37"/>
    <mergeCell ref="BIY37:BIZ37"/>
    <mergeCell ref="BJA37:BJB37"/>
    <mergeCell ref="BIE37:BIF37"/>
    <mergeCell ref="BIG37:BIH37"/>
    <mergeCell ref="BII37:BIJ37"/>
    <mergeCell ref="BIK37:BIL37"/>
    <mergeCell ref="BIM37:BIN37"/>
    <mergeCell ref="BIO37:BIP37"/>
    <mergeCell ref="BHS37:BHT37"/>
    <mergeCell ref="BHU37:BHV37"/>
    <mergeCell ref="BHW37:BHX37"/>
    <mergeCell ref="BHY37:BHZ37"/>
    <mergeCell ref="BIA37:BIB37"/>
    <mergeCell ref="BIC37:BID37"/>
    <mergeCell ref="BMU37:BMV37"/>
    <mergeCell ref="BMW37:BMX37"/>
    <mergeCell ref="BMY37:BMZ37"/>
    <mergeCell ref="BNA37:BNB37"/>
    <mergeCell ref="BNC37:BND37"/>
    <mergeCell ref="BNE37:BNF37"/>
    <mergeCell ref="BMI37:BMJ37"/>
    <mergeCell ref="BMK37:BML37"/>
    <mergeCell ref="BMM37:BMN37"/>
    <mergeCell ref="BMO37:BMP37"/>
    <mergeCell ref="BMQ37:BMR37"/>
    <mergeCell ref="BMS37:BMT37"/>
    <mergeCell ref="BLW37:BLX37"/>
    <mergeCell ref="BLY37:BLZ37"/>
    <mergeCell ref="BMA37:BMB37"/>
    <mergeCell ref="BMC37:BMD37"/>
    <mergeCell ref="BME37:BMF37"/>
    <mergeCell ref="BMG37:BMH37"/>
    <mergeCell ref="BLK37:BLL37"/>
    <mergeCell ref="BLM37:BLN37"/>
    <mergeCell ref="BLO37:BLP37"/>
    <mergeCell ref="BLQ37:BLR37"/>
    <mergeCell ref="BLS37:BLT37"/>
    <mergeCell ref="BLU37:BLV37"/>
    <mergeCell ref="BKY37:BKZ37"/>
    <mergeCell ref="BLA37:BLB37"/>
    <mergeCell ref="BLC37:BLD37"/>
    <mergeCell ref="BLE37:BLF37"/>
    <mergeCell ref="BLG37:BLH37"/>
    <mergeCell ref="BLI37:BLJ37"/>
    <mergeCell ref="BKM37:BKN37"/>
    <mergeCell ref="BKO37:BKP37"/>
    <mergeCell ref="BKQ37:BKR37"/>
    <mergeCell ref="BKS37:BKT37"/>
    <mergeCell ref="BKU37:BKV37"/>
    <mergeCell ref="BKW37:BKX37"/>
    <mergeCell ref="BPO37:BPP37"/>
    <mergeCell ref="BPQ37:BPR37"/>
    <mergeCell ref="BPS37:BPT37"/>
    <mergeCell ref="BPU37:BPV37"/>
    <mergeCell ref="BPW37:BPX37"/>
    <mergeCell ref="BPY37:BPZ37"/>
    <mergeCell ref="BPC37:BPD37"/>
    <mergeCell ref="BPE37:BPF37"/>
    <mergeCell ref="BPG37:BPH37"/>
    <mergeCell ref="BPI37:BPJ37"/>
    <mergeCell ref="BPK37:BPL37"/>
    <mergeCell ref="BPM37:BPN37"/>
    <mergeCell ref="BOQ37:BOR37"/>
    <mergeCell ref="BOS37:BOT37"/>
    <mergeCell ref="BOU37:BOV37"/>
    <mergeCell ref="BOW37:BOX37"/>
    <mergeCell ref="BOY37:BOZ37"/>
    <mergeCell ref="BPA37:BPB37"/>
    <mergeCell ref="BOE37:BOF37"/>
    <mergeCell ref="BOG37:BOH37"/>
    <mergeCell ref="BOI37:BOJ37"/>
    <mergeCell ref="BOK37:BOL37"/>
    <mergeCell ref="BOM37:BON37"/>
    <mergeCell ref="BOO37:BOP37"/>
    <mergeCell ref="BNS37:BNT37"/>
    <mergeCell ref="BNU37:BNV37"/>
    <mergeCell ref="BNW37:BNX37"/>
    <mergeCell ref="BNY37:BNZ37"/>
    <mergeCell ref="BOA37:BOB37"/>
    <mergeCell ref="BOC37:BOD37"/>
    <mergeCell ref="BNG37:BNH37"/>
    <mergeCell ref="BNI37:BNJ37"/>
    <mergeCell ref="BNK37:BNL37"/>
    <mergeCell ref="BNM37:BNN37"/>
    <mergeCell ref="BNO37:BNP37"/>
    <mergeCell ref="BNQ37:BNR37"/>
    <mergeCell ref="BSI37:BSJ37"/>
    <mergeCell ref="BSK37:BSL37"/>
    <mergeCell ref="BSM37:BSN37"/>
    <mergeCell ref="BSO37:BSP37"/>
    <mergeCell ref="BSQ37:BSR37"/>
    <mergeCell ref="BSS37:BST37"/>
    <mergeCell ref="BRW37:BRX37"/>
    <mergeCell ref="BRY37:BRZ37"/>
    <mergeCell ref="BSA37:BSB37"/>
    <mergeCell ref="BSC37:BSD37"/>
    <mergeCell ref="BSE37:BSF37"/>
    <mergeCell ref="BSG37:BSH37"/>
    <mergeCell ref="BRK37:BRL37"/>
    <mergeCell ref="BRM37:BRN37"/>
    <mergeCell ref="BRO37:BRP37"/>
    <mergeCell ref="BRQ37:BRR37"/>
    <mergeCell ref="BRS37:BRT37"/>
    <mergeCell ref="BRU37:BRV37"/>
    <mergeCell ref="BQY37:BQZ37"/>
    <mergeCell ref="BRA37:BRB37"/>
    <mergeCell ref="BRC37:BRD37"/>
    <mergeCell ref="BRE37:BRF37"/>
    <mergeCell ref="BRG37:BRH37"/>
    <mergeCell ref="BRI37:BRJ37"/>
    <mergeCell ref="BQM37:BQN37"/>
    <mergeCell ref="BQO37:BQP37"/>
    <mergeCell ref="BQQ37:BQR37"/>
    <mergeCell ref="BQS37:BQT37"/>
    <mergeCell ref="BQU37:BQV37"/>
    <mergeCell ref="BQW37:BQX37"/>
    <mergeCell ref="BQA37:BQB37"/>
    <mergeCell ref="BQC37:BQD37"/>
    <mergeCell ref="BQE37:BQF37"/>
    <mergeCell ref="BQG37:BQH37"/>
    <mergeCell ref="BQI37:BQJ37"/>
    <mergeCell ref="BQK37:BQL37"/>
    <mergeCell ref="BVC37:BVD37"/>
    <mergeCell ref="BVE37:BVF37"/>
    <mergeCell ref="BVG37:BVH37"/>
    <mergeCell ref="BVI37:BVJ37"/>
    <mergeCell ref="BVK37:BVL37"/>
    <mergeCell ref="BVM37:BVN37"/>
    <mergeCell ref="BUQ37:BUR37"/>
    <mergeCell ref="BUS37:BUT37"/>
    <mergeCell ref="BUU37:BUV37"/>
    <mergeCell ref="BUW37:BUX37"/>
    <mergeCell ref="BUY37:BUZ37"/>
    <mergeCell ref="BVA37:BVB37"/>
    <mergeCell ref="BUE37:BUF37"/>
    <mergeCell ref="BUG37:BUH37"/>
    <mergeCell ref="BUI37:BUJ37"/>
    <mergeCell ref="BUK37:BUL37"/>
    <mergeCell ref="BUM37:BUN37"/>
    <mergeCell ref="BUO37:BUP37"/>
    <mergeCell ref="BTS37:BTT37"/>
    <mergeCell ref="BTU37:BTV37"/>
    <mergeCell ref="BTW37:BTX37"/>
    <mergeCell ref="BTY37:BTZ37"/>
    <mergeCell ref="BUA37:BUB37"/>
    <mergeCell ref="BUC37:BUD37"/>
    <mergeCell ref="BTG37:BTH37"/>
    <mergeCell ref="BTI37:BTJ37"/>
    <mergeCell ref="BTK37:BTL37"/>
    <mergeCell ref="BTM37:BTN37"/>
    <mergeCell ref="BTO37:BTP37"/>
    <mergeCell ref="BTQ37:BTR37"/>
    <mergeCell ref="BSU37:BSV37"/>
    <mergeCell ref="BSW37:BSX37"/>
    <mergeCell ref="BSY37:BSZ37"/>
    <mergeCell ref="BTA37:BTB37"/>
    <mergeCell ref="BTC37:BTD37"/>
    <mergeCell ref="BTE37:BTF37"/>
    <mergeCell ref="BXW37:BXX37"/>
    <mergeCell ref="BXY37:BXZ37"/>
    <mergeCell ref="BYA37:BYB37"/>
    <mergeCell ref="BYC37:BYD37"/>
    <mergeCell ref="BYE37:BYF37"/>
    <mergeCell ref="BYG37:BYH37"/>
    <mergeCell ref="BXK37:BXL37"/>
    <mergeCell ref="BXM37:BXN37"/>
    <mergeCell ref="BXO37:BXP37"/>
    <mergeCell ref="BXQ37:BXR37"/>
    <mergeCell ref="BXS37:BXT37"/>
    <mergeCell ref="BXU37:BXV37"/>
    <mergeCell ref="BWY37:BWZ37"/>
    <mergeCell ref="BXA37:BXB37"/>
    <mergeCell ref="BXC37:BXD37"/>
    <mergeCell ref="BXE37:BXF37"/>
    <mergeCell ref="BXG37:BXH37"/>
    <mergeCell ref="BXI37:BXJ37"/>
    <mergeCell ref="BWM37:BWN37"/>
    <mergeCell ref="BWO37:BWP37"/>
    <mergeCell ref="BWQ37:BWR37"/>
    <mergeCell ref="BWS37:BWT37"/>
    <mergeCell ref="BWU37:BWV37"/>
    <mergeCell ref="BWW37:BWX37"/>
    <mergeCell ref="BWA37:BWB37"/>
    <mergeCell ref="BWC37:BWD37"/>
    <mergeCell ref="BWE37:BWF37"/>
    <mergeCell ref="BWG37:BWH37"/>
    <mergeCell ref="BWI37:BWJ37"/>
    <mergeCell ref="BWK37:BWL37"/>
    <mergeCell ref="BVO37:BVP37"/>
    <mergeCell ref="BVQ37:BVR37"/>
    <mergeCell ref="BVS37:BVT37"/>
    <mergeCell ref="BVU37:BVV37"/>
    <mergeCell ref="BVW37:BVX37"/>
    <mergeCell ref="BVY37:BVZ37"/>
    <mergeCell ref="CAQ37:CAR37"/>
    <mergeCell ref="CAS37:CAT37"/>
    <mergeCell ref="CAU37:CAV37"/>
    <mergeCell ref="CAW37:CAX37"/>
    <mergeCell ref="CAY37:CAZ37"/>
    <mergeCell ref="CBA37:CBB37"/>
    <mergeCell ref="CAE37:CAF37"/>
    <mergeCell ref="CAG37:CAH37"/>
    <mergeCell ref="CAI37:CAJ37"/>
    <mergeCell ref="CAK37:CAL37"/>
    <mergeCell ref="CAM37:CAN37"/>
    <mergeCell ref="CAO37:CAP37"/>
    <mergeCell ref="BZS37:BZT37"/>
    <mergeCell ref="BZU37:BZV37"/>
    <mergeCell ref="BZW37:BZX37"/>
    <mergeCell ref="BZY37:BZZ37"/>
    <mergeCell ref="CAA37:CAB37"/>
    <mergeCell ref="CAC37:CAD37"/>
    <mergeCell ref="BZG37:BZH37"/>
    <mergeCell ref="BZI37:BZJ37"/>
    <mergeCell ref="BZK37:BZL37"/>
    <mergeCell ref="BZM37:BZN37"/>
    <mergeCell ref="BZO37:BZP37"/>
    <mergeCell ref="BZQ37:BZR37"/>
    <mergeCell ref="BYU37:BYV37"/>
    <mergeCell ref="BYW37:BYX37"/>
    <mergeCell ref="BYY37:BYZ37"/>
    <mergeCell ref="BZA37:BZB37"/>
    <mergeCell ref="BZC37:BZD37"/>
    <mergeCell ref="BZE37:BZF37"/>
    <mergeCell ref="BYI37:BYJ37"/>
    <mergeCell ref="BYK37:BYL37"/>
    <mergeCell ref="BYM37:BYN37"/>
    <mergeCell ref="BYO37:BYP37"/>
    <mergeCell ref="BYQ37:BYR37"/>
    <mergeCell ref="BYS37:BYT37"/>
    <mergeCell ref="CDK37:CDL37"/>
    <mergeCell ref="CDM37:CDN37"/>
    <mergeCell ref="CDO37:CDP37"/>
    <mergeCell ref="CDQ37:CDR37"/>
    <mergeCell ref="CDS37:CDT37"/>
    <mergeCell ref="CDU37:CDV37"/>
    <mergeCell ref="CCY37:CCZ37"/>
    <mergeCell ref="CDA37:CDB37"/>
    <mergeCell ref="CDC37:CDD37"/>
    <mergeCell ref="CDE37:CDF37"/>
    <mergeCell ref="CDG37:CDH37"/>
    <mergeCell ref="CDI37:CDJ37"/>
    <mergeCell ref="CCM37:CCN37"/>
    <mergeCell ref="CCO37:CCP37"/>
    <mergeCell ref="CCQ37:CCR37"/>
    <mergeCell ref="CCS37:CCT37"/>
    <mergeCell ref="CCU37:CCV37"/>
    <mergeCell ref="CCW37:CCX37"/>
    <mergeCell ref="CCA37:CCB37"/>
    <mergeCell ref="CCC37:CCD37"/>
    <mergeCell ref="CCE37:CCF37"/>
    <mergeCell ref="CCG37:CCH37"/>
    <mergeCell ref="CCI37:CCJ37"/>
    <mergeCell ref="CCK37:CCL37"/>
    <mergeCell ref="CBO37:CBP37"/>
    <mergeCell ref="CBQ37:CBR37"/>
    <mergeCell ref="CBS37:CBT37"/>
    <mergeCell ref="CBU37:CBV37"/>
    <mergeCell ref="CBW37:CBX37"/>
    <mergeCell ref="CBY37:CBZ37"/>
    <mergeCell ref="CBC37:CBD37"/>
    <mergeCell ref="CBE37:CBF37"/>
    <mergeCell ref="CBG37:CBH37"/>
    <mergeCell ref="CBI37:CBJ37"/>
    <mergeCell ref="CBK37:CBL37"/>
    <mergeCell ref="CBM37:CBN37"/>
    <mergeCell ref="CGE37:CGF37"/>
    <mergeCell ref="CGG37:CGH37"/>
    <mergeCell ref="CGI37:CGJ37"/>
    <mergeCell ref="CGK37:CGL37"/>
    <mergeCell ref="CGM37:CGN37"/>
    <mergeCell ref="CGO37:CGP37"/>
    <mergeCell ref="CFS37:CFT37"/>
    <mergeCell ref="CFU37:CFV37"/>
    <mergeCell ref="CFW37:CFX37"/>
    <mergeCell ref="CFY37:CFZ37"/>
    <mergeCell ref="CGA37:CGB37"/>
    <mergeCell ref="CGC37:CGD37"/>
    <mergeCell ref="CFG37:CFH37"/>
    <mergeCell ref="CFI37:CFJ37"/>
    <mergeCell ref="CFK37:CFL37"/>
    <mergeCell ref="CFM37:CFN37"/>
    <mergeCell ref="CFO37:CFP37"/>
    <mergeCell ref="CFQ37:CFR37"/>
    <mergeCell ref="CEU37:CEV37"/>
    <mergeCell ref="CEW37:CEX37"/>
    <mergeCell ref="CEY37:CEZ37"/>
    <mergeCell ref="CFA37:CFB37"/>
    <mergeCell ref="CFC37:CFD37"/>
    <mergeCell ref="CFE37:CFF37"/>
    <mergeCell ref="CEI37:CEJ37"/>
    <mergeCell ref="CEK37:CEL37"/>
    <mergeCell ref="CEM37:CEN37"/>
    <mergeCell ref="CEO37:CEP37"/>
    <mergeCell ref="CEQ37:CER37"/>
    <mergeCell ref="CES37:CET37"/>
    <mergeCell ref="CDW37:CDX37"/>
    <mergeCell ref="CDY37:CDZ37"/>
    <mergeCell ref="CEA37:CEB37"/>
    <mergeCell ref="CEC37:CED37"/>
    <mergeCell ref="CEE37:CEF37"/>
    <mergeCell ref="CEG37:CEH37"/>
    <mergeCell ref="CIY37:CIZ37"/>
    <mergeCell ref="CJA37:CJB37"/>
    <mergeCell ref="CJC37:CJD37"/>
    <mergeCell ref="CJE37:CJF37"/>
    <mergeCell ref="CJG37:CJH37"/>
    <mergeCell ref="CJI37:CJJ37"/>
    <mergeCell ref="CIM37:CIN37"/>
    <mergeCell ref="CIO37:CIP37"/>
    <mergeCell ref="CIQ37:CIR37"/>
    <mergeCell ref="CIS37:CIT37"/>
    <mergeCell ref="CIU37:CIV37"/>
    <mergeCell ref="CIW37:CIX37"/>
    <mergeCell ref="CIA37:CIB37"/>
    <mergeCell ref="CIC37:CID37"/>
    <mergeCell ref="CIE37:CIF37"/>
    <mergeCell ref="CIG37:CIH37"/>
    <mergeCell ref="CII37:CIJ37"/>
    <mergeCell ref="CIK37:CIL37"/>
    <mergeCell ref="CHO37:CHP37"/>
    <mergeCell ref="CHQ37:CHR37"/>
    <mergeCell ref="CHS37:CHT37"/>
    <mergeCell ref="CHU37:CHV37"/>
    <mergeCell ref="CHW37:CHX37"/>
    <mergeCell ref="CHY37:CHZ37"/>
    <mergeCell ref="CHC37:CHD37"/>
    <mergeCell ref="CHE37:CHF37"/>
    <mergeCell ref="CHG37:CHH37"/>
    <mergeCell ref="CHI37:CHJ37"/>
    <mergeCell ref="CHK37:CHL37"/>
    <mergeCell ref="CHM37:CHN37"/>
    <mergeCell ref="CGQ37:CGR37"/>
    <mergeCell ref="CGS37:CGT37"/>
    <mergeCell ref="CGU37:CGV37"/>
    <mergeCell ref="CGW37:CGX37"/>
    <mergeCell ref="CGY37:CGZ37"/>
    <mergeCell ref="CHA37:CHB37"/>
    <mergeCell ref="CLS37:CLT37"/>
    <mergeCell ref="CLU37:CLV37"/>
    <mergeCell ref="CLW37:CLX37"/>
    <mergeCell ref="CLY37:CLZ37"/>
    <mergeCell ref="CMA37:CMB37"/>
    <mergeCell ref="CMC37:CMD37"/>
    <mergeCell ref="CLG37:CLH37"/>
    <mergeCell ref="CLI37:CLJ37"/>
    <mergeCell ref="CLK37:CLL37"/>
    <mergeCell ref="CLM37:CLN37"/>
    <mergeCell ref="CLO37:CLP37"/>
    <mergeCell ref="CLQ37:CLR37"/>
    <mergeCell ref="CKU37:CKV37"/>
    <mergeCell ref="CKW37:CKX37"/>
    <mergeCell ref="CKY37:CKZ37"/>
    <mergeCell ref="CLA37:CLB37"/>
    <mergeCell ref="CLC37:CLD37"/>
    <mergeCell ref="CLE37:CLF37"/>
    <mergeCell ref="CKI37:CKJ37"/>
    <mergeCell ref="CKK37:CKL37"/>
    <mergeCell ref="CKM37:CKN37"/>
    <mergeCell ref="CKO37:CKP37"/>
    <mergeCell ref="CKQ37:CKR37"/>
    <mergeCell ref="CKS37:CKT37"/>
    <mergeCell ref="CJW37:CJX37"/>
    <mergeCell ref="CJY37:CJZ37"/>
    <mergeCell ref="CKA37:CKB37"/>
    <mergeCell ref="CKC37:CKD37"/>
    <mergeCell ref="CKE37:CKF37"/>
    <mergeCell ref="CKG37:CKH37"/>
    <mergeCell ref="CJK37:CJL37"/>
    <mergeCell ref="CJM37:CJN37"/>
    <mergeCell ref="CJO37:CJP37"/>
    <mergeCell ref="CJQ37:CJR37"/>
    <mergeCell ref="CJS37:CJT37"/>
    <mergeCell ref="CJU37:CJV37"/>
    <mergeCell ref="COM37:CON37"/>
    <mergeCell ref="COO37:COP37"/>
    <mergeCell ref="COQ37:COR37"/>
    <mergeCell ref="COS37:COT37"/>
    <mergeCell ref="COU37:COV37"/>
    <mergeCell ref="COW37:COX37"/>
    <mergeCell ref="COA37:COB37"/>
    <mergeCell ref="COC37:COD37"/>
    <mergeCell ref="COE37:COF37"/>
    <mergeCell ref="COG37:COH37"/>
    <mergeCell ref="COI37:COJ37"/>
    <mergeCell ref="COK37:COL37"/>
    <mergeCell ref="CNO37:CNP37"/>
    <mergeCell ref="CNQ37:CNR37"/>
    <mergeCell ref="CNS37:CNT37"/>
    <mergeCell ref="CNU37:CNV37"/>
    <mergeCell ref="CNW37:CNX37"/>
    <mergeCell ref="CNY37:CNZ37"/>
    <mergeCell ref="CNC37:CND37"/>
    <mergeCell ref="CNE37:CNF37"/>
    <mergeCell ref="CNG37:CNH37"/>
    <mergeCell ref="CNI37:CNJ37"/>
    <mergeCell ref="CNK37:CNL37"/>
    <mergeCell ref="CNM37:CNN37"/>
    <mergeCell ref="CMQ37:CMR37"/>
    <mergeCell ref="CMS37:CMT37"/>
    <mergeCell ref="CMU37:CMV37"/>
    <mergeCell ref="CMW37:CMX37"/>
    <mergeCell ref="CMY37:CMZ37"/>
    <mergeCell ref="CNA37:CNB37"/>
    <mergeCell ref="CME37:CMF37"/>
    <mergeCell ref="CMG37:CMH37"/>
    <mergeCell ref="CMI37:CMJ37"/>
    <mergeCell ref="CMK37:CML37"/>
    <mergeCell ref="CMM37:CMN37"/>
    <mergeCell ref="CMO37:CMP37"/>
    <mergeCell ref="CRG37:CRH37"/>
    <mergeCell ref="CRI37:CRJ37"/>
    <mergeCell ref="CRK37:CRL37"/>
    <mergeCell ref="CRM37:CRN37"/>
    <mergeCell ref="CRO37:CRP37"/>
    <mergeCell ref="CRQ37:CRR37"/>
    <mergeCell ref="CQU37:CQV37"/>
    <mergeCell ref="CQW37:CQX37"/>
    <mergeCell ref="CQY37:CQZ37"/>
    <mergeCell ref="CRA37:CRB37"/>
    <mergeCell ref="CRC37:CRD37"/>
    <mergeCell ref="CRE37:CRF37"/>
    <mergeCell ref="CQI37:CQJ37"/>
    <mergeCell ref="CQK37:CQL37"/>
    <mergeCell ref="CQM37:CQN37"/>
    <mergeCell ref="CQO37:CQP37"/>
    <mergeCell ref="CQQ37:CQR37"/>
    <mergeCell ref="CQS37:CQT37"/>
    <mergeCell ref="CPW37:CPX37"/>
    <mergeCell ref="CPY37:CPZ37"/>
    <mergeCell ref="CQA37:CQB37"/>
    <mergeCell ref="CQC37:CQD37"/>
    <mergeCell ref="CQE37:CQF37"/>
    <mergeCell ref="CQG37:CQH37"/>
    <mergeCell ref="CPK37:CPL37"/>
    <mergeCell ref="CPM37:CPN37"/>
    <mergeCell ref="CPO37:CPP37"/>
    <mergeCell ref="CPQ37:CPR37"/>
    <mergeCell ref="CPS37:CPT37"/>
    <mergeCell ref="CPU37:CPV37"/>
    <mergeCell ref="COY37:COZ37"/>
    <mergeCell ref="CPA37:CPB37"/>
    <mergeCell ref="CPC37:CPD37"/>
    <mergeCell ref="CPE37:CPF37"/>
    <mergeCell ref="CPG37:CPH37"/>
    <mergeCell ref="CPI37:CPJ37"/>
    <mergeCell ref="CUA37:CUB37"/>
    <mergeCell ref="CUC37:CUD37"/>
    <mergeCell ref="CUE37:CUF37"/>
    <mergeCell ref="CUG37:CUH37"/>
    <mergeCell ref="CUI37:CUJ37"/>
    <mergeCell ref="CUK37:CUL37"/>
    <mergeCell ref="CTO37:CTP37"/>
    <mergeCell ref="CTQ37:CTR37"/>
    <mergeCell ref="CTS37:CTT37"/>
    <mergeCell ref="CTU37:CTV37"/>
    <mergeCell ref="CTW37:CTX37"/>
    <mergeCell ref="CTY37:CTZ37"/>
    <mergeCell ref="CTC37:CTD37"/>
    <mergeCell ref="CTE37:CTF37"/>
    <mergeCell ref="CTG37:CTH37"/>
    <mergeCell ref="CTI37:CTJ37"/>
    <mergeCell ref="CTK37:CTL37"/>
    <mergeCell ref="CTM37:CTN37"/>
    <mergeCell ref="CSQ37:CSR37"/>
    <mergeCell ref="CSS37:CST37"/>
    <mergeCell ref="CSU37:CSV37"/>
    <mergeCell ref="CSW37:CSX37"/>
    <mergeCell ref="CSY37:CSZ37"/>
    <mergeCell ref="CTA37:CTB37"/>
    <mergeCell ref="CSE37:CSF37"/>
    <mergeCell ref="CSG37:CSH37"/>
    <mergeCell ref="CSI37:CSJ37"/>
    <mergeCell ref="CSK37:CSL37"/>
    <mergeCell ref="CSM37:CSN37"/>
    <mergeCell ref="CSO37:CSP37"/>
    <mergeCell ref="CRS37:CRT37"/>
    <mergeCell ref="CRU37:CRV37"/>
    <mergeCell ref="CRW37:CRX37"/>
    <mergeCell ref="CRY37:CRZ37"/>
    <mergeCell ref="CSA37:CSB37"/>
    <mergeCell ref="CSC37:CSD37"/>
    <mergeCell ref="CWU37:CWV37"/>
    <mergeCell ref="CWW37:CWX37"/>
    <mergeCell ref="CWY37:CWZ37"/>
    <mergeCell ref="CXA37:CXB37"/>
    <mergeCell ref="CXC37:CXD37"/>
    <mergeCell ref="CXE37:CXF37"/>
    <mergeCell ref="CWI37:CWJ37"/>
    <mergeCell ref="CWK37:CWL37"/>
    <mergeCell ref="CWM37:CWN37"/>
    <mergeCell ref="CWO37:CWP37"/>
    <mergeCell ref="CWQ37:CWR37"/>
    <mergeCell ref="CWS37:CWT37"/>
    <mergeCell ref="CVW37:CVX37"/>
    <mergeCell ref="CVY37:CVZ37"/>
    <mergeCell ref="CWA37:CWB37"/>
    <mergeCell ref="CWC37:CWD37"/>
    <mergeCell ref="CWE37:CWF37"/>
    <mergeCell ref="CWG37:CWH37"/>
    <mergeCell ref="CVK37:CVL37"/>
    <mergeCell ref="CVM37:CVN37"/>
    <mergeCell ref="CVO37:CVP37"/>
    <mergeCell ref="CVQ37:CVR37"/>
    <mergeCell ref="CVS37:CVT37"/>
    <mergeCell ref="CVU37:CVV37"/>
    <mergeCell ref="CUY37:CUZ37"/>
    <mergeCell ref="CVA37:CVB37"/>
    <mergeCell ref="CVC37:CVD37"/>
    <mergeCell ref="CVE37:CVF37"/>
    <mergeCell ref="CVG37:CVH37"/>
    <mergeCell ref="CVI37:CVJ37"/>
    <mergeCell ref="CUM37:CUN37"/>
    <mergeCell ref="CUO37:CUP37"/>
    <mergeCell ref="CUQ37:CUR37"/>
    <mergeCell ref="CUS37:CUT37"/>
    <mergeCell ref="CUU37:CUV37"/>
    <mergeCell ref="CUW37:CUX37"/>
    <mergeCell ref="CZO37:CZP37"/>
    <mergeCell ref="CZQ37:CZR37"/>
    <mergeCell ref="CZS37:CZT37"/>
    <mergeCell ref="CZU37:CZV37"/>
    <mergeCell ref="CZW37:CZX37"/>
    <mergeCell ref="CZY37:CZZ37"/>
    <mergeCell ref="CZC37:CZD37"/>
    <mergeCell ref="CZE37:CZF37"/>
    <mergeCell ref="CZG37:CZH37"/>
    <mergeCell ref="CZI37:CZJ37"/>
    <mergeCell ref="CZK37:CZL37"/>
    <mergeCell ref="CZM37:CZN37"/>
    <mergeCell ref="CYQ37:CYR37"/>
    <mergeCell ref="CYS37:CYT37"/>
    <mergeCell ref="CYU37:CYV37"/>
    <mergeCell ref="CYW37:CYX37"/>
    <mergeCell ref="CYY37:CYZ37"/>
    <mergeCell ref="CZA37:CZB37"/>
    <mergeCell ref="CYE37:CYF37"/>
    <mergeCell ref="CYG37:CYH37"/>
    <mergeCell ref="CYI37:CYJ37"/>
    <mergeCell ref="CYK37:CYL37"/>
    <mergeCell ref="CYM37:CYN37"/>
    <mergeCell ref="CYO37:CYP37"/>
    <mergeCell ref="CXS37:CXT37"/>
    <mergeCell ref="CXU37:CXV37"/>
    <mergeCell ref="CXW37:CXX37"/>
    <mergeCell ref="CXY37:CXZ37"/>
    <mergeCell ref="CYA37:CYB37"/>
    <mergeCell ref="CYC37:CYD37"/>
    <mergeCell ref="CXG37:CXH37"/>
    <mergeCell ref="CXI37:CXJ37"/>
    <mergeCell ref="CXK37:CXL37"/>
    <mergeCell ref="CXM37:CXN37"/>
    <mergeCell ref="CXO37:CXP37"/>
    <mergeCell ref="CXQ37:CXR37"/>
    <mergeCell ref="DCI37:DCJ37"/>
    <mergeCell ref="DCK37:DCL37"/>
    <mergeCell ref="DCM37:DCN37"/>
    <mergeCell ref="DCO37:DCP37"/>
    <mergeCell ref="DCQ37:DCR37"/>
    <mergeCell ref="DCS37:DCT37"/>
    <mergeCell ref="DBW37:DBX37"/>
    <mergeCell ref="DBY37:DBZ37"/>
    <mergeCell ref="DCA37:DCB37"/>
    <mergeCell ref="DCC37:DCD37"/>
    <mergeCell ref="DCE37:DCF37"/>
    <mergeCell ref="DCG37:DCH37"/>
    <mergeCell ref="DBK37:DBL37"/>
    <mergeCell ref="DBM37:DBN37"/>
    <mergeCell ref="DBO37:DBP37"/>
    <mergeCell ref="DBQ37:DBR37"/>
    <mergeCell ref="DBS37:DBT37"/>
    <mergeCell ref="DBU37:DBV37"/>
    <mergeCell ref="DAY37:DAZ37"/>
    <mergeCell ref="DBA37:DBB37"/>
    <mergeCell ref="DBC37:DBD37"/>
    <mergeCell ref="DBE37:DBF37"/>
    <mergeCell ref="DBG37:DBH37"/>
    <mergeCell ref="DBI37:DBJ37"/>
    <mergeCell ref="DAM37:DAN37"/>
    <mergeCell ref="DAO37:DAP37"/>
    <mergeCell ref="DAQ37:DAR37"/>
    <mergeCell ref="DAS37:DAT37"/>
    <mergeCell ref="DAU37:DAV37"/>
    <mergeCell ref="DAW37:DAX37"/>
    <mergeCell ref="DAA37:DAB37"/>
    <mergeCell ref="DAC37:DAD37"/>
    <mergeCell ref="DAE37:DAF37"/>
    <mergeCell ref="DAG37:DAH37"/>
    <mergeCell ref="DAI37:DAJ37"/>
    <mergeCell ref="DAK37:DAL37"/>
    <mergeCell ref="DFC37:DFD37"/>
    <mergeCell ref="DFE37:DFF37"/>
    <mergeCell ref="DFG37:DFH37"/>
    <mergeCell ref="DFI37:DFJ37"/>
    <mergeCell ref="DFK37:DFL37"/>
    <mergeCell ref="DFM37:DFN37"/>
    <mergeCell ref="DEQ37:DER37"/>
    <mergeCell ref="DES37:DET37"/>
    <mergeCell ref="DEU37:DEV37"/>
    <mergeCell ref="DEW37:DEX37"/>
    <mergeCell ref="DEY37:DEZ37"/>
    <mergeCell ref="DFA37:DFB37"/>
    <mergeCell ref="DEE37:DEF37"/>
    <mergeCell ref="DEG37:DEH37"/>
    <mergeCell ref="DEI37:DEJ37"/>
    <mergeCell ref="DEK37:DEL37"/>
    <mergeCell ref="DEM37:DEN37"/>
    <mergeCell ref="DEO37:DEP37"/>
    <mergeCell ref="DDS37:DDT37"/>
    <mergeCell ref="DDU37:DDV37"/>
    <mergeCell ref="DDW37:DDX37"/>
    <mergeCell ref="DDY37:DDZ37"/>
    <mergeCell ref="DEA37:DEB37"/>
    <mergeCell ref="DEC37:DED37"/>
    <mergeCell ref="DDG37:DDH37"/>
    <mergeCell ref="DDI37:DDJ37"/>
    <mergeCell ref="DDK37:DDL37"/>
    <mergeCell ref="DDM37:DDN37"/>
    <mergeCell ref="DDO37:DDP37"/>
    <mergeCell ref="DDQ37:DDR37"/>
    <mergeCell ref="DCU37:DCV37"/>
    <mergeCell ref="DCW37:DCX37"/>
    <mergeCell ref="DCY37:DCZ37"/>
    <mergeCell ref="DDA37:DDB37"/>
    <mergeCell ref="DDC37:DDD37"/>
    <mergeCell ref="DDE37:DDF37"/>
    <mergeCell ref="DHW37:DHX37"/>
    <mergeCell ref="DHY37:DHZ37"/>
    <mergeCell ref="DIA37:DIB37"/>
    <mergeCell ref="DIC37:DID37"/>
    <mergeCell ref="DIE37:DIF37"/>
    <mergeCell ref="DIG37:DIH37"/>
    <mergeCell ref="DHK37:DHL37"/>
    <mergeCell ref="DHM37:DHN37"/>
    <mergeCell ref="DHO37:DHP37"/>
    <mergeCell ref="DHQ37:DHR37"/>
    <mergeCell ref="DHS37:DHT37"/>
    <mergeCell ref="DHU37:DHV37"/>
    <mergeCell ref="DGY37:DGZ37"/>
    <mergeCell ref="DHA37:DHB37"/>
    <mergeCell ref="DHC37:DHD37"/>
    <mergeCell ref="DHE37:DHF37"/>
    <mergeCell ref="DHG37:DHH37"/>
    <mergeCell ref="DHI37:DHJ37"/>
    <mergeCell ref="DGM37:DGN37"/>
    <mergeCell ref="DGO37:DGP37"/>
    <mergeCell ref="DGQ37:DGR37"/>
    <mergeCell ref="DGS37:DGT37"/>
    <mergeCell ref="DGU37:DGV37"/>
    <mergeCell ref="DGW37:DGX37"/>
    <mergeCell ref="DGA37:DGB37"/>
    <mergeCell ref="DGC37:DGD37"/>
    <mergeCell ref="DGE37:DGF37"/>
    <mergeCell ref="DGG37:DGH37"/>
    <mergeCell ref="DGI37:DGJ37"/>
    <mergeCell ref="DGK37:DGL37"/>
    <mergeCell ref="DFO37:DFP37"/>
    <mergeCell ref="DFQ37:DFR37"/>
    <mergeCell ref="DFS37:DFT37"/>
    <mergeCell ref="DFU37:DFV37"/>
    <mergeCell ref="DFW37:DFX37"/>
    <mergeCell ref="DFY37:DFZ37"/>
    <mergeCell ref="DKQ37:DKR37"/>
    <mergeCell ref="DKS37:DKT37"/>
    <mergeCell ref="DKU37:DKV37"/>
    <mergeCell ref="DKW37:DKX37"/>
    <mergeCell ref="DKY37:DKZ37"/>
    <mergeCell ref="DLA37:DLB37"/>
    <mergeCell ref="DKE37:DKF37"/>
    <mergeCell ref="DKG37:DKH37"/>
    <mergeCell ref="DKI37:DKJ37"/>
    <mergeCell ref="DKK37:DKL37"/>
    <mergeCell ref="DKM37:DKN37"/>
    <mergeCell ref="DKO37:DKP37"/>
    <mergeCell ref="DJS37:DJT37"/>
    <mergeCell ref="DJU37:DJV37"/>
    <mergeCell ref="DJW37:DJX37"/>
    <mergeCell ref="DJY37:DJZ37"/>
    <mergeCell ref="DKA37:DKB37"/>
    <mergeCell ref="DKC37:DKD37"/>
    <mergeCell ref="DJG37:DJH37"/>
    <mergeCell ref="DJI37:DJJ37"/>
    <mergeCell ref="DJK37:DJL37"/>
    <mergeCell ref="DJM37:DJN37"/>
    <mergeCell ref="DJO37:DJP37"/>
    <mergeCell ref="DJQ37:DJR37"/>
    <mergeCell ref="DIU37:DIV37"/>
    <mergeCell ref="DIW37:DIX37"/>
    <mergeCell ref="DIY37:DIZ37"/>
    <mergeCell ref="DJA37:DJB37"/>
    <mergeCell ref="DJC37:DJD37"/>
    <mergeCell ref="DJE37:DJF37"/>
    <mergeCell ref="DII37:DIJ37"/>
    <mergeCell ref="DIK37:DIL37"/>
    <mergeCell ref="DIM37:DIN37"/>
    <mergeCell ref="DIO37:DIP37"/>
    <mergeCell ref="DIQ37:DIR37"/>
    <mergeCell ref="DIS37:DIT37"/>
    <mergeCell ref="DNK37:DNL37"/>
    <mergeCell ref="DNM37:DNN37"/>
    <mergeCell ref="DNO37:DNP37"/>
    <mergeCell ref="DNQ37:DNR37"/>
    <mergeCell ref="DNS37:DNT37"/>
    <mergeCell ref="DNU37:DNV37"/>
    <mergeCell ref="DMY37:DMZ37"/>
    <mergeCell ref="DNA37:DNB37"/>
    <mergeCell ref="DNC37:DND37"/>
    <mergeCell ref="DNE37:DNF37"/>
    <mergeCell ref="DNG37:DNH37"/>
    <mergeCell ref="DNI37:DNJ37"/>
    <mergeCell ref="DMM37:DMN37"/>
    <mergeCell ref="DMO37:DMP37"/>
    <mergeCell ref="DMQ37:DMR37"/>
    <mergeCell ref="DMS37:DMT37"/>
    <mergeCell ref="DMU37:DMV37"/>
    <mergeCell ref="DMW37:DMX37"/>
    <mergeCell ref="DMA37:DMB37"/>
    <mergeCell ref="DMC37:DMD37"/>
    <mergeCell ref="DME37:DMF37"/>
    <mergeCell ref="DMG37:DMH37"/>
    <mergeCell ref="DMI37:DMJ37"/>
    <mergeCell ref="DMK37:DML37"/>
    <mergeCell ref="DLO37:DLP37"/>
    <mergeCell ref="DLQ37:DLR37"/>
    <mergeCell ref="DLS37:DLT37"/>
    <mergeCell ref="DLU37:DLV37"/>
    <mergeCell ref="DLW37:DLX37"/>
    <mergeCell ref="DLY37:DLZ37"/>
    <mergeCell ref="DLC37:DLD37"/>
    <mergeCell ref="DLE37:DLF37"/>
    <mergeCell ref="DLG37:DLH37"/>
    <mergeCell ref="DLI37:DLJ37"/>
    <mergeCell ref="DLK37:DLL37"/>
    <mergeCell ref="DLM37:DLN37"/>
    <mergeCell ref="DQE37:DQF37"/>
    <mergeCell ref="DQG37:DQH37"/>
    <mergeCell ref="DQI37:DQJ37"/>
    <mergeCell ref="DQK37:DQL37"/>
    <mergeCell ref="DQM37:DQN37"/>
    <mergeCell ref="DQO37:DQP37"/>
    <mergeCell ref="DPS37:DPT37"/>
    <mergeCell ref="DPU37:DPV37"/>
    <mergeCell ref="DPW37:DPX37"/>
    <mergeCell ref="DPY37:DPZ37"/>
    <mergeCell ref="DQA37:DQB37"/>
    <mergeCell ref="DQC37:DQD37"/>
    <mergeCell ref="DPG37:DPH37"/>
    <mergeCell ref="DPI37:DPJ37"/>
    <mergeCell ref="DPK37:DPL37"/>
    <mergeCell ref="DPM37:DPN37"/>
    <mergeCell ref="DPO37:DPP37"/>
    <mergeCell ref="DPQ37:DPR37"/>
    <mergeCell ref="DOU37:DOV37"/>
    <mergeCell ref="DOW37:DOX37"/>
    <mergeCell ref="DOY37:DOZ37"/>
    <mergeCell ref="DPA37:DPB37"/>
    <mergeCell ref="DPC37:DPD37"/>
    <mergeCell ref="DPE37:DPF37"/>
    <mergeCell ref="DOI37:DOJ37"/>
    <mergeCell ref="DOK37:DOL37"/>
    <mergeCell ref="DOM37:DON37"/>
    <mergeCell ref="DOO37:DOP37"/>
    <mergeCell ref="DOQ37:DOR37"/>
    <mergeCell ref="DOS37:DOT37"/>
    <mergeCell ref="DNW37:DNX37"/>
    <mergeCell ref="DNY37:DNZ37"/>
    <mergeCell ref="DOA37:DOB37"/>
    <mergeCell ref="DOC37:DOD37"/>
    <mergeCell ref="DOE37:DOF37"/>
    <mergeCell ref="DOG37:DOH37"/>
    <mergeCell ref="DSY37:DSZ37"/>
    <mergeCell ref="DTA37:DTB37"/>
    <mergeCell ref="DTC37:DTD37"/>
    <mergeCell ref="DTE37:DTF37"/>
    <mergeCell ref="DTG37:DTH37"/>
    <mergeCell ref="DTI37:DTJ37"/>
    <mergeCell ref="DSM37:DSN37"/>
    <mergeCell ref="DSO37:DSP37"/>
    <mergeCell ref="DSQ37:DSR37"/>
    <mergeCell ref="DSS37:DST37"/>
    <mergeCell ref="DSU37:DSV37"/>
    <mergeCell ref="DSW37:DSX37"/>
    <mergeCell ref="DSA37:DSB37"/>
    <mergeCell ref="DSC37:DSD37"/>
    <mergeCell ref="DSE37:DSF37"/>
    <mergeCell ref="DSG37:DSH37"/>
    <mergeCell ref="DSI37:DSJ37"/>
    <mergeCell ref="DSK37:DSL37"/>
    <mergeCell ref="DRO37:DRP37"/>
    <mergeCell ref="DRQ37:DRR37"/>
    <mergeCell ref="DRS37:DRT37"/>
    <mergeCell ref="DRU37:DRV37"/>
    <mergeCell ref="DRW37:DRX37"/>
    <mergeCell ref="DRY37:DRZ37"/>
    <mergeCell ref="DRC37:DRD37"/>
    <mergeCell ref="DRE37:DRF37"/>
    <mergeCell ref="DRG37:DRH37"/>
    <mergeCell ref="DRI37:DRJ37"/>
    <mergeCell ref="DRK37:DRL37"/>
    <mergeCell ref="DRM37:DRN37"/>
    <mergeCell ref="DQQ37:DQR37"/>
    <mergeCell ref="DQS37:DQT37"/>
    <mergeCell ref="DQU37:DQV37"/>
    <mergeCell ref="DQW37:DQX37"/>
    <mergeCell ref="DQY37:DQZ37"/>
    <mergeCell ref="DRA37:DRB37"/>
    <mergeCell ref="DVS37:DVT37"/>
    <mergeCell ref="DVU37:DVV37"/>
    <mergeCell ref="DVW37:DVX37"/>
    <mergeCell ref="DVY37:DVZ37"/>
    <mergeCell ref="DWA37:DWB37"/>
    <mergeCell ref="DWC37:DWD37"/>
    <mergeCell ref="DVG37:DVH37"/>
    <mergeCell ref="DVI37:DVJ37"/>
    <mergeCell ref="DVK37:DVL37"/>
    <mergeCell ref="DVM37:DVN37"/>
    <mergeCell ref="DVO37:DVP37"/>
    <mergeCell ref="DVQ37:DVR37"/>
    <mergeCell ref="DUU37:DUV37"/>
    <mergeCell ref="DUW37:DUX37"/>
    <mergeCell ref="DUY37:DUZ37"/>
    <mergeCell ref="DVA37:DVB37"/>
    <mergeCell ref="DVC37:DVD37"/>
    <mergeCell ref="DVE37:DVF37"/>
    <mergeCell ref="DUI37:DUJ37"/>
    <mergeCell ref="DUK37:DUL37"/>
    <mergeCell ref="DUM37:DUN37"/>
    <mergeCell ref="DUO37:DUP37"/>
    <mergeCell ref="DUQ37:DUR37"/>
    <mergeCell ref="DUS37:DUT37"/>
    <mergeCell ref="DTW37:DTX37"/>
    <mergeCell ref="DTY37:DTZ37"/>
    <mergeCell ref="DUA37:DUB37"/>
    <mergeCell ref="DUC37:DUD37"/>
    <mergeCell ref="DUE37:DUF37"/>
    <mergeCell ref="DUG37:DUH37"/>
    <mergeCell ref="DTK37:DTL37"/>
    <mergeCell ref="DTM37:DTN37"/>
    <mergeCell ref="DTO37:DTP37"/>
    <mergeCell ref="DTQ37:DTR37"/>
    <mergeCell ref="DTS37:DTT37"/>
    <mergeCell ref="DTU37:DTV37"/>
    <mergeCell ref="DYM37:DYN37"/>
    <mergeCell ref="DYO37:DYP37"/>
    <mergeCell ref="DYQ37:DYR37"/>
    <mergeCell ref="DYS37:DYT37"/>
    <mergeCell ref="DYU37:DYV37"/>
    <mergeCell ref="DYW37:DYX37"/>
    <mergeCell ref="DYA37:DYB37"/>
    <mergeCell ref="DYC37:DYD37"/>
    <mergeCell ref="DYE37:DYF37"/>
    <mergeCell ref="DYG37:DYH37"/>
    <mergeCell ref="DYI37:DYJ37"/>
    <mergeCell ref="DYK37:DYL37"/>
    <mergeCell ref="DXO37:DXP37"/>
    <mergeCell ref="DXQ37:DXR37"/>
    <mergeCell ref="DXS37:DXT37"/>
    <mergeCell ref="DXU37:DXV37"/>
    <mergeCell ref="DXW37:DXX37"/>
    <mergeCell ref="DXY37:DXZ37"/>
    <mergeCell ref="DXC37:DXD37"/>
    <mergeCell ref="DXE37:DXF37"/>
    <mergeCell ref="DXG37:DXH37"/>
    <mergeCell ref="DXI37:DXJ37"/>
    <mergeCell ref="DXK37:DXL37"/>
    <mergeCell ref="DXM37:DXN37"/>
    <mergeCell ref="DWQ37:DWR37"/>
    <mergeCell ref="DWS37:DWT37"/>
    <mergeCell ref="DWU37:DWV37"/>
    <mergeCell ref="DWW37:DWX37"/>
    <mergeCell ref="DWY37:DWZ37"/>
    <mergeCell ref="DXA37:DXB37"/>
    <mergeCell ref="DWE37:DWF37"/>
    <mergeCell ref="DWG37:DWH37"/>
    <mergeCell ref="DWI37:DWJ37"/>
    <mergeCell ref="DWK37:DWL37"/>
    <mergeCell ref="DWM37:DWN37"/>
    <mergeCell ref="DWO37:DWP37"/>
    <mergeCell ref="EBG37:EBH37"/>
    <mergeCell ref="EBI37:EBJ37"/>
    <mergeCell ref="EBK37:EBL37"/>
    <mergeCell ref="EBM37:EBN37"/>
    <mergeCell ref="EBO37:EBP37"/>
    <mergeCell ref="EBQ37:EBR37"/>
    <mergeCell ref="EAU37:EAV37"/>
    <mergeCell ref="EAW37:EAX37"/>
    <mergeCell ref="EAY37:EAZ37"/>
    <mergeCell ref="EBA37:EBB37"/>
    <mergeCell ref="EBC37:EBD37"/>
    <mergeCell ref="EBE37:EBF37"/>
    <mergeCell ref="EAI37:EAJ37"/>
    <mergeCell ref="EAK37:EAL37"/>
    <mergeCell ref="EAM37:EAN37"/>
    <mergeCell ref="EAO37:EAP37"/>
    <mergeCell ref="EAQ37:EAR37"/>
    <mergeCell ref="EAS37:EAT37"/>
    <mergeCell ref="DZW37:DZX37"/>
    <mergeCell ref="DZY37:DZZ37"/>
    <mergeCell ref="EAA37:EAB37"/>
    <mergeCell ref="EAC37:EAD37"/>
    <mergeCell ref="EAE37:EAF37"/>
    <mergeCell ref="EAG37:EAH37"/>
    <mergeCell ref="DZK37:DZL37"/>
    <mergeCell ref="DZM37:DZN37"/>
    <mergeCell ref="DZO37:DZP37"/>
    <mergeCell ref="DZQ37:DZR37"/>
    <mergeCell ref="DZS37:DZT37"/>
    <mergeCell ref="DZU37:DZV37"/>
    <mergeCell ref="DYY37:DYZ37"/>
    <mergeCell ref="DZA37:DZB37"/>
    <mergeCell ref="DZC37:DZD37"/>
    <mergeCell ref="DZE37:DZF37"/>
    <mergeCell ref="DZG37:DZH37"/>
    <mergeCell ref="DZI37:DZJ37"/>
    <mergeCell ref="EEA37:EEB37"/>
    <mergeCell ref="EEC37:EED37"/>
    <mergeCell ref="EEE37:EEF37"/>
    <mergeCell ref="EEG37:EEH37"/>
    <mergeCell ref="EEI37:EEJ37"/>
    <mergeCell ref="EEK37:EEL37"/>
    <mergeCell ref="EDO37:EDP37"/>
    <mergeCell ref="EDQ37:EDR37"/>
    <mergeCell ref="EDS37:EDT37"/>
    <mergeCell ref="EDU37:EDV37"/>
    <mergeCell ref="EDW37:EDX37"/>
    <mergeCell ref="EDY37:EDZ37"/>
    <mergeCell ref="EDC37:EDD37"/>
    <mergeCell ref="EDE37:EDF37"/>
    <mergeCell ref="EDG37:EDH37"/>
    <mergeCell ref="EDI37:EDJ37"/>
    <mergeCell ref="EDK37:EDL37"/>
    <mergeCell ref="EDM37:EDN37"/>
    <mergeCell ref="ECQ37:ECR37"/>
    <mergeCell ref="ECS37:ECT37"/>
    <mergeCell ref="ECU37:ECV37"/>
    <mergeCell ref="ECW37:ECX37"/>
    <mergeCell ref="ECY37:ECZ37"/>
    <mergeCell ref="EDA37:EDB37"/>
    <mergeCell ref="ECE37:ECF37"/>
    <mergeCell ref="ECG37:ECH37"/>
    <mergeCell ref="ECI37:ECJ37"/>
    <mergeCell ref="ECK37:ECL37"/>
    <mergeCell ref="ECM37:ECN37"/>
    <mergeCell ref="ECO37:ECP37"/>
    <mergeCell ref="EBS37:EBT37"/>
    <mergeCell ref="EBU37:EBV37"/>
    <mergeCell ref="EBW37:EBX37"/>
    <mergeCell ref="EBY37:EBZ37"/>
    <mergeCell ref="ECA37:ECB37"/>
    <mergeCell ref="ECC37:ECD37"/>
    <mergeCell ref="EGU37:EGV37"/>
    <mergeCell ref="EGW37:EGX37"/>
    <mergeCell ref="EGY37:EGZ37"/>
    <mergeCell ref="EHA37:EHB37"/>
    <mergeCell ref="EHC37:EHD37"/>
    <mergeCell ref="EHE37:EHF37"/>
    <mergeCell ref="EGI37:EGJ37"/>
    <mergeCell ref="EGK37:EGL37"/>
    <mergeCell ref="EGM37:EGN37"/>
    <mergeCell ref="EGO37:EGP37"/>
    <mergeCell ref="EGQ37:EGR37"/>
    <mergeCell ref="EGS37:EGT37"/>
    <mergeCell ref="EFW37:EFX37"/>
    <mergeCell ref="EFY37:EFZ37"/>
    <mergeCell ref="EGA37:EGB37"/>
    <mergeCell ref="EGC37:EGD37"/>
    <mergeCell ref="EGE37:EGF37"/>
    <mergeCell ref="EGG37:EGH37"/>
    <mergeCell ref="EFK37:EFL37"/>
    <mergeCell ref="EFM37:EFN37"/>
    <mergeCell ref="EFO37:EFP37"/>
    <mergeCell ref="EFQ37:EFR37"/>
    <mergeCell ref="EFS37:EFT37"/>
    <mergeCell ref="EFU37:EFV37"/>
    <mergeCell ref="EEY37:EEZ37"/>
    <mergeCell ref="EFA37:EFB37"/>
    <mergeCell ref="EFC37:EFD37"/>
    <mergeCell ref="EFE37:EFF37"/>
    <mergeCell ref="EFG37:EFH37"/>
    <mergeCell ref="EFI37:EFJ37"/>
    <mergeCell ref="EEM37:EEN37"/>
    <mergeCell ref="EEO37:EEP37"/>
    <mergeCell ref="EEQ37:EER37"/>
    <mergeCell ref="EES37:EET37"/>
    <mergeCell ref="EEU37:EEV37"/>
    <mergeCell ref="EEW37:EEX37"/>
    <mergeCell ref="EJO37:EJP37"/>
    <mergeCell ref="EJQ37:EJR37"/>
    <mergeCell ref="EJS37:EJT37"/>
    <mergeCell ref="EJU37:EJV37"/>
    <mergeCell ref="EJW37:EJX37"/>
    <mergeCell ref="EJY37:EJZ37"/>
    <mergeCell ref="EJC37:EJD37"/>
    <mergeCell ref="EJE37:EJF37"/>
    <mergeCell ref="EJG37:EJH37"/>
    <mergeCell ref="EJI37:EJJ37"/>
    <mergeCell ref="EJK37:EJL37"/>
    <mergeCell ref="EJM37:EJN37"/>
    <mergeCell ref="EIQ37:EIR37"/>
    <mergeCell ref="EIS37:EIT37"/>
    <mergeCell ref="EIU37:EIV37"/>
    <mergeCell ref="EIW37:EIX37"/>
    <mergeCell ref="EIY37:EIZ37"/>
    <mergeCell ref="EJA37:EJB37"/>
    <mergeCell ref="EIE37:EIF37"/>
    <mergeCell ref="EIG37:EIH37"/>
    <mergeCell ref="EII37:EIJ37"/>
    <mergeCell ref="EIK37:EIL37"/>
    <mergeCell ref="EIM37:EIN37"/>
    <mergeCell ref="EIO37:EIP37"/>
    <mergeCell ref="EHS37:EHT37"/>
    <mergeCell ref="EHU37:EHV37"/>
    <mergeCell ref="EHW37:EHX37"/>
    <mergeCell ref="EHY37:EHZ37"/>
    <mergeCell ref="EIA37:EIB37"/>
    <mergeCell ref="EIC37:EID37"/>
    <mergeCell ref="EHG37:EHH37"/>
    <mergeCell ref="EHI37:EHJ37"/>
    <mergeCell ref="EHK37:EHL37"/>
    <mergeCell ref="EHM37:EHN37"/>
    <mergeCell ref="EHO37:EHP37"/>
    <mergeCell ref="EHQ37:EHR37"/>
    <mergeCell ref="EMI37:EMJ37"/>
    <mergeCell ref="EMK37:EML37"/>
    <mergeCell ref="EMM37:EMN37"/>
    <mergeCell ref="EMO37:EMP37"/>
    <mergeCell ref="EMQ37:EMR37"/>
    <mergeCell ref="EMS37:EMT37"/>
    <mergeCell ref="ELW37:ELX37"/>
    <mergeCell ref="ELY37:ELZ37"/>
    <mergeCell ref="EMA37:EMB37"/>
    <mergeCell ref="EMC37:EMD37"/>
    <mergeCell ref="EME37:EMF37"/>
    <mergeCell ref="EMG37:EMH37"/>
    <mergeCell ref="ELK37:ELL37"/>
    <mergeCell ref="ELM37:ELN37"/>
    <mergeCell ref="ELO37:ELP37"/>
    <mergeCell ref="ELQ37:ELR37"/>
    <mergeCell ref="ELS37:ELT37"/>
    <mergeCell ref="ELU37:ELV37"/>
    <mergeCell ref="EKY37:EKZ37"/>
    <mergeCell ref="ELA37:ELB37"/>
    <mergeCell ref="ELC37:ELD37"/>
    <mergeCell ref="ELE37:ELF37"/>
    <mergeCell ref="ELG37:ELH37"/>
    <mergeCell ref="ELI37:ELJ37"/>
    <mergeCell ref="EKM37:EKN37"/>
    <mergeCell ref="EKO37:EKP37"/>
    <mergeCell ref="EKQ37:EKR37"/>
    <mergeCell ref="EKS37:EKT37"/>
    <mergeCell ref="EKU37:EKV37"/>
    <mergeCell ref="EKW37:EKX37"/>
    <mergeCell ref="EKA37:EKB37"/>
    <mergeCell ref="EKC37:EKD37"/>
    <mergeCell ref="EKE37:EKF37"/>
    <mergeCell ref="EKG37:EKH37"/>
    <mergeCell ref="EKI37:EKJ37"/>
    <mergeCell ref="EKK37:EKL37"/>
    <mergeCell ref="EPC37:EPD37"/>
    <mergeCell ref="EPE37:EPF37"/>
    <mergeCell ref="EPG37:EPH37"/>
    <mergeCell ref="EPI37:EPJ37"/>
    <mergeCell ref="EPK37:EPL37"/>
    <mergeCell ref="EPM37:EPN37"/>
    <mergeCell ref="EOQ37:EOR37"/>
    <mergeCell ref="EOS37:EOT37"/>
    <mergeCell ref="EOU37:EOV37"/>
    <mergeCell ref="EOW37:EOX37"/>
    <mergeCell ref="EOY37:EOZ37"/>
    <mergeCell ref="EPA37:EPB37"/>
    <mergeCell ref="EOE37:EOF37"/>
    <mergeCell ref="EOG37:EOH37"/>
    <mergeCell ref="EOI37:EOJ37"/>
    <mergeCell ref="EOK37:EOL37"/>
    <mergeCell ref="EOM37:EON37"/>
    <mergeCell ref="EOO37:EOP37"/>
    <mergeCell ref="ENS37:ENT37"/>
    <mergeCell ref="ENU37:ENV37"/>
    <mergeCell ref="ENW37:ENX37"/>
    <mergeCell ref="ENY37:ENZ37"/>
    <mergeCell ref="EOA37:EOB37"/>
    <mergeCell ref="EOC37:EOD37"/>
    <mergeCell ref="ENG37:ENH37"/>
    <mergeCell ref="ENI37:ENJ37"/>
    <mergeCell ref="ENK37:ENL37"/>
    <mergeCell ref="ENM37:ENN37"/>
    <mergeCell ref="ENO37:ENP37"/>
    <mergeCell ref="ENQ37:ENR37"/>
    <mergeCell ref="EMU37:EMV37"/>
    <mergeCell ref="EMW37:EMX37"/>
    <mergeCell ref="EMY37:EMZ37"/>
    <mergeCell ref="ENA37:ENB37"/>
    <mergeCell ref="ENC37:END37"/>
    <mergeCell ref="ENE37:ENF37"/>
    <mergeCell ref="ERW37:ERX37"/>
    <mergeCell ref="ERY37:ERZ37"/>
    <mergeCell ref="ESA37:ESB37"/>
    <mergeCell ref="ESC37:ESD37"/>
    <mergeCell ref="ESE37:ESF37"/>
    <mergeCell ref="ESG37:ESH37"/>
    <mergeCell ref="ERK37:ERL37"/>
    <mergeCell ref="ERM37:ERN37"/>
    <mergeCell ref="ERO37:ERP37"/>
    <mergeCell ref="ERQ37:ERR37"/>
    <mergeCell ref="ERS37:ERT37"/>
    <mergeCell ref="ERU37:ERV37"/>
    <mergeCell ref="EQY37:EQZ37"/>
    <mergeCell ref="ERA37:ERB37"/>
    <mergeCell ref="ERC37:ERD37"/>
    <mergeCell ref="ERE37:ERF37"/>
    <mergeCell ref="ERG37:ERH37"/>
    <mergeCell ref="ERI37:ERJ37"/>
    <mergeCell ref="EQM37:EQN37"/>
    <mergeCell ref="EQO37:EQP37"/>
    <mergeCell ref="EQQ37:EQR37"/>
    <mergeCell ref="EQS37:EQT37"/>
    <mergeCell ref="EQU37:EQV37"/>
    <mergeCell ref="EQW37:EQX37"/>
    <mergeCell ref="EQA37:EQB37"/>
    <mergeCell ref="EQC37:EQD37"/>
    <mergeCell ref="EQE37:EQF37"/>
    <mergeCell ref="EQG37:EQH37"/>
    <mergeCell ref="EQI37:EQJ37"/>
    <mergeCell ref="EQK37:EQL37"/>
    <mergeCell ref="EPO37:EPP37"/>
    <mergeCell ref="EPQ37:EPR37"/>
    <mergeCell ref="EPS37:EPT37"/>
    <mergeCell ref="EPU37:EPV37"/>
    <mergeCell ref="EPW37:EPX37"/>
    <mergeCell ref="EPY37:EPZ37"/>
    <mergeCell ref="EUQ37:EUR37"/>
    <mergeCell ref="EUS37:EUT37"/>
    <mergeCell ref="EUU37:EUV37"/>
    <mergeCell ref="EUW37:EUX37"/>
    <mergeCell ref="EUY37:EUZ37"/>
    <mergeCell ref="EVA37:EVB37"/>
    <mergeCell ref="EUE37:EUF37"/>
    <mergeCell ref="EUG37:EUH37"/>
    <mergeCell ref="EUI37:EUJ37"/>
    <mergeCell ref="EUK37:EUL37"/>
    <mergeCell ref="EUM37:EUN37"/>
    <mergeCell ref="EUO37:EUP37"/>
    <mergeCell ref="ETS37:ETT37"/>
    <mergeCell ref="ETU37:ETV37"/>
    <mergeCell ref="ETW37:ETX37"/>
    <mergeCell ref="ETY37:ETZ37"/>
    <mergeCell ref="EUA37:EUB37"/>
    <mergeCell ref="EUC37:EUD37"/>
    <mergeCell ref="ETG37:ETH37"/>
    <mergeCell ref="ETI37:ETJ37"/>
    <mergeCell ref="ETK37:ETL37"/>
    <mergeCell ref="ETM37:ETN37"/>
    <mergeCell ref="ETO37:ETP37"/>
    <mergeCell ref="ETQ37:ETR37"/>
    <mergeCell ref="ESU37:ESV37"/>
    <mergeCell ref="ESW37:ESX37"/>
    <mergeCell ref="ESY37:ESZ37"/>
    <mergeCell ref="ETA37:ETB37"/>
    <mergeCell ref="ETC37:ETD37"/>
    <mergeCell ref="ETE37:ETF37"/>
    <mergeCell ref="ESI37:ESJ37"/>
    <mergeCell ref="ESK37:ESL37"/>
    <mergeCell ref="ESM37:ESN37"/>
    <mergeCell ref="ESO37:ESP37"/>
    <mergeCell ref="ESQ37:ESR37"/>
    <mergeCell ref="ESS37:EST37"/>
    <mergeCell ref="EXK37:EXL37"/>
    <mergeCell ref="EXM37:EXN37"/>
    <mergeCell ref="EXO37:EXP37"/>
    <mergeCell ref="EXQ37:EXR37"/>
    <mergeCell ref="EXS37:EXT37"/>
    <mergeCell ref="EXU37:EXV37"/>
    <mergeCell ref="EWY37:EWZ37"/>
    <mergeCell ref="EXA37:EXB37"/>
    <mergeCell ref="EXC37:EXD37"/>
    <mergeCell ref="EXE37:EXF37"/>
    <mergeCell ref="EXG37:EXH37"/>
    <mergeCell ref="EXI37:EXJ37"/>
    <mergeCell ref="EWM37:EWN37"/>
    <mergeCell ref="EWO37:EWP37"/>
    <mergeCell ref="EWQ37:EWR37"/>
    <mergeCell ref="EWS37:EWT37"/>
    <mergeCell ref="EWU37:EWV37"/>
    <mergeCell ref="EWW37:EWX37"/>
    <mergeCell ref="EWA37:EWB37"/>
    <mergeCell ref="EWC37:EWD37"/>
    <mergeCell ref="EWE37:EWF37"/>
    <mergeCell ref="EWG37:EWH37"/>
    <mergeCell ref="EWI37:EWJ37"/>
    <mergeCell ref="EWK37:EWL37"/>
    <mergeCell ref="EVO37:EVP37"/>
    <mergeCell ref="EVQ37:EVR37"/>
    <mergeCell ref="EVS37:EVT37"/>
    <mergeCell ref="EVU37:EVV37"/>
    <mergeCell ref="EVW37:EVX37"/>
    <mergeCell ref="EVY37:EVZ37"/>
    <mergeCell ref="EVC37:EVD37"/>
    <mergeCell ref="EVE37:EVF37"/>
    <mergeCell ref="EVG37:EVH37"/>
    <mergeCell ref="EVI37:EVJ37"/>
    <mergeCell ref="EVK37:EVL37"/>
    <mergeCell ref="EVM37:EVN37"/>
    <mergeCell ref="FAE37:FAF37"/>
    <mergeCell ref="FAG37:FAH37"/>
    <mergeCell ref="FAI37:FAJ37"/>
    <mergeCell ref="FAK37:FAL37"/>
    <mergeCell ref="FAM37:FAN37"/>
    <mergeCell ref="FAO37:FAP37"/>
    <mergeCell ref="EZS37:EZT37"/>
    <mergeCell ref="EZU37:EZV37"/>
    <mergeCell ref="EZW37:EZX37"/>
    <mergeCell ref="EZY37:EZZ37"/>
    <mergeCell ref="FAA37:FAB37"/>
    <mergeCell ref="FAC37:FAD37"/>
    <mergeCell ref="EZG37:EZH37"/>
    <mergeCell ref="EZI37:EZJ37"/>
    <mergeCell ref="EZK37:EZL37"/>
    <mergeCell ref="EZM37:EZN37"/>
    <mergeCell ref="EZO37:EZP37"/>
    <mergeCell ref="EZQ37:EZR37"/>
    <mergeCell ref="EYU37:EYV37"/>
    <mergeCell ref="EYW37:EYX37"/>
    <mergeCell ref="EYY37:EYZ37"/>
    <mergeCell ref="EZA37:EZB37"/>
    <mergeCell ref="EZC37:EZD37"/>
    <mergeCell ref="EZE37:EZF37"/>
    <mergeCell ref="EYI37:EYJ37"/>
    <mergeCell ref="EYK37:EYL37"/>
    <mergeCell ref="EYM37:EYN37"/>
    <mergeCell ref="EYO37:EYP37"/>
    <mergeCell ref="EYQ37:EYR37"/>
    <mergeCell ref="EYS37:EYT37"/>
    <mergeCell ref="EXW37:EXX37"/>
    <mergeCell ref="EXY37:EXZ37"/>
    <mergeCell ref="EYA37:EYB37"/>
    <mergeCell ref="EYC37:EYD37"/>
    <mergeCell ref="EYE37:EYF37"/>
    <mergeCell ref="EYG37:EYH37"/>
    <mergeCell ref="FCY37:FCZ37"/>
    <mergeCell ref="FDA37:FDB37"/>
    <mergeCell ref="FDC37:FDD37"/>
    <mergeCell ref="FDE37:FDF37"/>
    <mergeCell ref="FDG37:FDH37"/>
    <mergeCell ref="FDI37:FDJ37"/>
    <mergeCell ref="FCM37:FCN37"/>
    <mergeCell ref="FCO37:FCP37"/>
    <mergeCell ref="FCQ37:FCR37"/>
    <mergeCell ref="FCS37:FCT37"/>
    <mergeCell ref="FCU37:FCV37"/>
    <mergeCell ref="FCW37:FCX37"/>
    <mergeCell ref="FCA37:FCB37"/>
    <mergeCell ref="FCC37:FCD37"/>
    <mergeCell ref="FCE37:FCF37"/>
    <mergeCell ref="FCG37:FCH37"/>
    <mergeCell ref="FCI37:FCJ37"/>
    <mergeCell ref="FCK37:FCL37"/>
    <mergeCell ref="FBO37:FBP37"/>
    <mergeCell ref="FBQ37:FBR37"/>
    <mergeCell ref="FBS37:FBT37"/>
    <mergeCell ref="FBU37:FBV37"/>
    <mergeCell ref="FBW37:FBX37"/>
    <mergeCell ref="FBY37:FBZ37"/>
    <mergeCell ref="FBC37:FBD37"/>
    <mergeCell ref="FBE37:FBF37"/>
    <mergeCell ref="FBG37:FBH37"/>
    <mergeCell ref="FBI37:FBJ37"/>
    <mergeCell ref="FBK37:FBL37"/>
    <mergeCell ref="FBM37:FBN37"/>
    <mergeCell ref="FAQ37:FAR37"/>
    <mergeCell ref="FAS37:FAT37"/>
    <mergeCell ref="FAU37:FAV37"/>
    <mergeCell ref="FAW37:FAX37"/>
    <mergeCell ref="FAY37:FAZ37"/>
    <mergeCell ref="FBA37:FBB37"/>
    <mergeCell ref="FFS37:FFT37"/>
    <mergeCell ref="FFU37:FFV37"/>
    <mergeCell ref="FFW37:FFX37"/>
    <mergeCell ref="FFY37:FFZ37"/>
    <mergeCell ref="FGA37:FGB37"/>
    <mergeCell ref="FGC37:FGD37"/>
    <mergeCell ref="FFG37:FFH37"/>
    <mergeCell ref="FFI37:FFJ37"/>
    <mergeCell ref="FFK37:FFL37"/>
    <mergeCell ref="FFM37:FFN37"/>
    <mergeCell ref="FFO37:FFP37"/>
    <mergeCell ref="FFQ37:FFR37"/>
    <mergeCell ref="FEU37:FEV37"/>
    <mergeCell ref="FEW37:FEX37"/>
    <mergeCell ref="FEY37:FEZ37"/>
    <mergeCell ref="FFA37:FFB37"/>
    <mergeCell ref="FFC37:FFD37"/>
    <mergeCell ref="FFE37:FFF37"/>
    <mergeCell ref="FEI37:FEJ37"/>
    <mergeCell ref="FEK37:FEL37"/>
    <mergeCell ref="FEM37:FEN37"/>
    <mergeCell ref="FEO37:FEP37"/>
    <mergeCell ref="FEQ37:FER37"/>
    <mergeCell ref="FES37:FET37"/>
    <mergeCell ref="FDW37:FDX37"/>
    <mergeCell ref="FDY37:FDZ37"/>
    <mergeCell ref="FEA37:FEB37"/>
    <mergeCell ref="FEC37:FED37"/>
    <mergeCell ref="FEE37:FEF37"/>
    <mergeCell ref="FEG37:FEH37"/>
    <mergeCell ref="FDK37:FDL37"/>
    <mergeCell ref="FDM37:FDN37"/>
    <mergeCell ref="FDO37:FDP37"/>
    <mergeCell ref="FDQ37:FDR37"/>
    <mergeCell ref="FDS37:FDT37"/>
    <mergeCell ref="FDU37:FDV37"/>
    <mergeCell ref="FIM37:FIN37"/>
    <mergeCell ref="FIO37:FIP37"/>
    <mergeCell ref="FIQ37:FIR37"/>
    <mergeCell ref="FIS37:FIT37"/>
    <mergeCell ref="FIU37:FIV37"/>
    <mergeCell ref="FIW37:FIX37"/>
    <mergeCell ref="FIA37:FIB37"/>
    <mergeCell ref="FIC37:FID37"/>
    <mergeCell ref="FIE37:FIF37"/>
    <mergeCell ref="FIG37:FIH37"/>
    <mergeCell ref="FII37:FIJ37"/>
    <mergeCell ref="FIK37:FIL37"/>
    <mergeCell ref="FHO37:FHP37"/>
    <mergeCell ref="FHQ37:FHR37"/>
    <mergeCell ref="FHS37:FHT37"/>
    <mergeCell ref="FHU37:FHV37"/>
    <mergeCell ref="FHW37:FHX37"/>
    <mergeCell ref="FHY37:FHZ37"/>
    <mergeCell ref="FHC37:FHD37"/>
    <mergeCell ref="FHE37:FHF37"/>
    <mergeCell ref="FHG37:FHH37"/>
    <mergeCell ref="FHI37:FHJ37"/>
    <mergeCell ref="FHK37:FHL37"/>
    <mergeCell ref="FHM37:FHN37"/>
    <mergeCell ref="FGQ37:FGR37"/>
    <mergeCell ref="FGS37:FGT37"/>
    <mergeCell ref="FGU37:FGV37"/>
    <mergeCell ref="FGW37:FGX37"/>
    <mergeCell ref="FGY37:FGZ37"/>
    <mergeCell ref="FHA37:FHB37"/>
    <mergeCell ref="FGE37:FGF37"/>
    <mergeCell ref="FGG37:FGH37"/>
    <mergeCell ref="FGI37:FGJ37"/>
    <mergeCell ref="FGK37:FGL37"/>
    <mergeCell ref="FGM37:FGN37"/>
    <mergeCell ref="FGO37:FGP37"/>
    <mergeCell ref="FLG37:FLH37"/>
    <mergeCell ref="FLI37:FLJ37"/>
    <mergeCell ref="FLK37:FLL37"/>
    <mergeCell ref="FLM37:FLN37"/>
    <mergeCell ref="FLO37:FLP37"/>
    <mergeCell ref="FLQ37:FLR37"/>
    <mergeCell ref="FKU37:FKV37"/>
    <mergeCell ref="FKW37:FKX37"/>
    <mergeCell ref="FKY37:FKZ37"/>
    <mergeCell ref="FLA37:FLB37"/>
    <mergeCell ref="FLC37:FLD37"/>
    <mergeCell ref="FLE37:FLF37"/>
    <mergeCell ref="FKI37:FKJ37"/>
    <mergeCell ref="FKK37:FKL37"/>
    <mergeCell ref="FKM37:FKN37"/>
    <mergeCell ref="FKO37:FKP37"/>
    <mergeCell ref="FKQ37:FKR37"/>
    <mergeCell ref="FKS37:FKT37"/>
    <mergeCell ref="FJW37:FJX37"/>
    <mergeCell ref="FJY37:FJZ37"/>
    <mergeCell ref="FKA37:FKB37"/>
    <mergeCell ref="FKC37:FKD37"/>
    <mergeCell ref="FKE37:FKF37"/>
    <mergeCell ref="FKG37:FKH37"/>
    <mergeCell ref="FJK37:FJL37"/>
    <mergeCell ref="FJM37:FJN37"/>
    <mergeCell ref="FJO37:FJP37"/>
    <mergeCell ref="FJQ37:FJR37"/>
    <mergeCell ref="FJS37:FJT37"/>
    <mergeCell ref="FJU37:FJV37"/>
    <mergeCell ref="FIY37:FIZ37"/>
    <mergeCell ref="FJA37:FJB37"/>
    <mergeCell ref="FJC37:FJD37"/>
    <mergeCell ref="FJE37:FJF37"/>
    <mergeCell ref="FJG37:FJH37"/>
    <mergeCell ref="FJI37:FJJ37"/>
    <mergeCell ref="FOA37:FOB37"/>
    <mergeCell ref="FOC37:FOD37"/>
    <mergeCell ref="FOE37:FOF37"/>
    <mergeCell ref="FOG37:FOH37"/>
    <mergeCell ref="FOI37:FOJ37"/>
    <mergeCell ref="FOK37:FOL37"/>
    <mergeCell ref="FNO37:FNP37"/>
    <mergeCell ref="FNQ37:FNR37"/>
    <mergeCell ref="FNS37:FNT37"/>
    <mergeCell ref="FNU37:FNV37"/>
    <mergeCell ref="FNW37:FNX37"/>
    <mergeCell ref="FNY37:FNZ37"/>
    <mergeCell ref="FNC37:FND37"/>
    <mergeCell ref="FNE37:FNF37"/>
    <mergeCell ref="FNG37:FNH37"/>
    <mergeCell ref="FNI37:FNJ37"/>
    <mergeCell ref="FNK37:FNL37"/>
    <mergeCell ref="FNM37:FNN37"/>
    <mergeCell ref="FMQ37:FMR37"/>
    <mergeCell ref="FMS37:FMT37"/>
    <mergeCell ref="FMU37:FMV37"/>
    <mergeCell ref="FMW37:FMX37"/>
    <mergeCell ref="FMY37:FMZ37"/>
    <mergeCell ref="FNA37:FNB37"/>
    <mergeCell ref="FME37:FMF37"/>
    <mergeCell ref="FMG37:FMH37"/>
    <mergeCell ref="FMI37:FMJ37"/>
    <mergeCell ref="FMK37:FML37"/>
    <mergeCell ref="FMM37:FMN37"/>
    <mergeCell ref="FMO37:FMP37"/>
    <mergeCell ref="FLS37:FLT37"/>
    <mergeCell ref="FLU37:FLV37"/>
    <mergeCell ref="FLW37:FLX37"/>
    <mergeCell ref="FLY37:FLZ37"/>
    <mergeCell ref="FMA37:FMB37"/>
    <mergeCell ref="FMC37:FMD37"/>
    <mergeCell ref="FQU37:FQV37"/>
    <mergeCell ref="FQW37:FQX37"/>
    <mergeCell ref="FQY37:FQZ37"/>
    <mergeCell ref="FRA37:FRB37"/>
    <mergeCell ref="FRC37:FRD37"/>
    <mergeCell ref="FRE37:FRF37"/>
    <mergeCell ref="FQI37:FQJ37"/>
    <mergeCell ref="FQK37:FQL37"/>
    <mergeCell ref="FQM37:FQN37"/>
    <mergeCell ref="FQO37:FQP37"/>
    <mergeCell ref="FQQ37:FQR37"/>
    <mergeCell ref="FQS37:FQT37"/>
    <mergeCell ref="FPW37:FPX37"/>
    <mergeCell ref="FPY37:FPZ37"/>
    <mergeCell ref="FQA37:FQB37"/>
    <mergeCell ref="FQC37:FQD37"/>
    <mergeCell ref="FQE37:FQF37"/>
    <mergeCell ref="FQG37:FQH37"/>
    <mergeCell ref="FPK37:FPL37"/>
    <mergeCell ref="FPM37:FPN37"/>
    <mergeCell ref="FPO37:FPP37"/>
    <mergeCell ref="FPQ37:FPR37"/>
    <mergeCell ref="FPS37:FPT37"/>
    <mergeCell ref="FPU37:FPV37"/>
    <mergeCell ref="FOY37:FOZ37"/>
    <mergeCell ref="FPA37:FPB37"/>
    <mergeCell ref="FPC37:FPD37"/>
    <mergeCell ref="FPE37:FPF37"/>
    <mergeCell ref="FPG37:FPH37"/>
    <mergeCell ref="FPI37:FPJ37"/>
    <mergeCell ref="FOM37:FON37"/>
    <mergeCell ref="FOO37:FOP37"/>
    <mergeCell ref="FOQ37:FOR37"/>
    <mergeCell ref="FOS37:FOT37"/>
    <mergeCell ref="FOU37:FOV37"/>
    <mergeCell ref="FOW37:FOX37"/>
    <mergeCell ref="FTO37:FTP37"/>
    <mergeCell ref="FTQ37:FTR37"/>
    <mergeCell ref="FTS37:FTT37"/>
    <mergeCell ref="FTU37:FTV37"/>
    <mergeCell ref="FTW37:FTX37"/>
    <mergeCell ref="FTY37:FTZ37"/>
    <mergeCell ref="FTC37:FTD37"/>
    <mergeCell ref="FTE37:FTF37"/>
    <mergeCell ref="FTG37:FTH37"/>
    <mergeCell ref="FTI37:FTJ37"/>
    <mergeCell ref="FTK37:FTL37"/>
    <mergeCell ref="FTM37:FTN37"/>
    <mergeCell ref="FSQ37:FSR37"/>
    <mergeCell ref="FSS37:FST37"/>
    <mergeCell ref="FSU37:FSV37"/>
    <mergeCell ref="FSW37:FSX37"/>
    <mergeCell ref="FSY37:FSZ37"/>
    <mergeCell ref="FTA37:FTB37"/>
    <mergeCell ref="FSE37:FSF37"/>
    <mergeCell ref="FSG37:FSH37"/>
    <mergeCell ref="FSI37:FSJ37"/>
    <mergeCell ref="FSK37:FSL37"/>
    <mergeCell ref="FSM37:FSN37"/>
    <mergeCell ref="FSO37:FSP37"/>
    <mergeCell ref="FRS37:FRT37"/>
    <mergeCell ref="FRU37:FRV37"/>
    <mergeCell ref="FRW37:FRX37"/>
    <mergeCell ref="FRY37:FRZ37"/>
    <mergeCell ref="FSA37:FSB37"/>
    <mergeCell ref="FSC37:FSD37"/>
    <mergeCell ref="FRG37:FRH37"/>
    <mergeCell ref="FRI37:FRJ37"/>
    <mergeCell ref="FRK37:FRL37"/>
    <mergeCell ref="FRM37:FRN37"/>
    <mergeCell ref="FRO37:FRP37"/>
    <mergeCell ref="FRQ37:FRR37"/>
    <mergeCell ref="FWI37:FWJ37"/>
    <mergeCell ref="FWK37:FWL37"/>
    <mergeCell ref="FWM37:FWN37"/>
    <mergeCell ref="FWO37:FWP37"/>
    <mergeCell ref="FWQ37:FWR37"/>
    <mergeCell ref="FWS37:FWT37"/>
    <mergeCell ref="FVW37:FVX37"/>
    <mergeCell ref="FVY37:FVZ37"/>
    <mergeCell ref="FWA37:FWB37"/>
    <mergeCell ref="FWC37:FWD37"/>
    <mergeCell ref="FWE37:FWF37"/>
    <mergeCell ref="FWG37:FWH37"/>
    <mergeCell ref="FVK37:FVL37"/>
    <mergeCell ref="FVM37:FVN37"/>
    <mergeCell ref="FVO37:FVP37"/>
    <mergeCell ref="FVQ37:FVR37"/>
    <mergeCell ref="FVS37:FVT37"/>
    <mergeCell ref="FVU37:FVV37"/>
    <mergeCell ref="FUY37:FUZ37"/>
    <mergeCell ref="FVA37:FVB37"/>
    <mergeCell ref="FVC37:FVD37"/>
    <mergeCell ref="FVE37:FVF37"/>
    <mergeCell ref="FVG37:FVH37"/>
    <mergeCell ref="FVI37:FVJ37"/>
    <mergeCell ref="FUM37:FUN37"/>
    <mergeCell ref="FUO37:FUP37"/>
    <mergeCell ref="FUQ37:FUR37"/>
    <mergeCell ref="FUS37:FUT37"/>
    <mergeCell ref="FUU37:FUV37"/>
    <mergeCell ref="FUW37:FUX37"/>
    <mergeCell ref="FUA37:FUB37"/>
    <mergeCell ref="FUC37:FUD37"/>
    <mergeCell ref="FUE37:FUF37"/>
    <mergeCell ref="FUG37:FUH37"/>
    <mergeCell ref="FUI37:FUJ37"/>
    <mergeCell ref="FUK37:FUL37"/>
    <mergeCell ref="FZC37:FZD37"/>
    <mergeCell ref="FZE37:FZF37"/>
    <mergeCell ref="FZG37:FZH37"/>
    <mergeCell ref="FZI37:FZJ37"/>
    <mergeCell ref="FZK37:FZL37"/>
    <mergeCell ref="FZM37:FZN37"/>
    <mergeCell ref="FYQ37:FYR37"/>
    <mergeCell ref="FYS37:FYT37"/>
    <mergeCell ref="FYU37:FYV37"/>
    <mergeCell ref="FYW37:FYX37"/>
    <mergeCell ref="FYY37:FYZ37"/>
    <mergeCell ref="FZA37:FZB37"/>
    <mergeCell ref="FYE37:FYF37"/>
    <mergeCell ref="FYG37:FYH37"/>
    <mergeCell ref="FYI37:FYJ37"/>
    <mergeCell ref="FYK37:FYL37"/>
    <mergeCell ref="FYM37:FYN37"/>
    <mergeCell ref="FYO37:FYP37"/>
    <mergeCell ref="FXS37:FXT37"/>
    <mergeCell ref="FXU37:FXV37"/>
    <mergeCell ref="FXW37:FXX37"/>
    <mergeCell ref="FXY37:FXZ37"/>
    <mergeCell ref="FYA37:FYB37"/>
    <mergeCell ref="FYC37:FYD37"/>
    <mergeCell ref="FXG37:FXH37"/>
    <mergeCell ref="FXI37:FXJ37"/>
    <mergeCell ref="FXK37:FXL37"/>
    <mergeCell ref="FXM37:FXN37"/>
    <mergeCell ref="FXO37:FXP37"/>
    <mergeCell ref="FXQ37:FXR37"/>
    <mergeCell ref="FWU37:FWV37"/>
    <mergeCell ref="FWW37:FWX37"/>
    <mergeCell ref="FWY37:FWZ37"/>
    <mergeCell ref="FXA37:FXB37"/>
    <mergeCell ref="FXC37:FXD37"/>
    <mergeCell ref="FXE37:FXF37"/>
    <mergeCell ref="GBW37:GBX37"/>
    <mergeCell ref="GBY37:GBZ37"/>
    <mergeCell ref="GCA37:GCB37"/>
    <mergeCell ref="GCC37:GCD37"/>
    <mergeCell ref="GCE37:GCF37"/>
    <mergeCell ref="GCG37:GCH37"/>
    <mergeCell ref="GBK37:GBL37"/>
    <mergeCell ref="GBM37:GBN37"/>
    <mergeCell ref="GBO37:GBP37"/>
    <mergeCell ref="GBQ37:GBR37"/>
    <mergeCell ref="GBS37:GBT37"/>
    <mergeCell ref="GBU37:GBV37"/>
    <mergeCell ref="GAY37:GAZ37"/>
    <mergeCell ref="GBA37:GBB37"/>
    <mergeCell ref="GBC37:GBD37"/>
    <mergeCell ref="GBE37:GBF37"/>
    <mergeCell ref="GBG37:GBH37"/>
    <mergeCell ref="GBI37:GBJ37"/>
    <mergeCell ref="GAM37:GAN37"/>
    <mergeCell ref="GAO37:GAP37"/>
    <mergeCell ref="GAQ37:GAR37"/>
    <mergeCell ref="GAS37:GAT37"/>
    <mergeCell ref="GAU37:GAV37"/>
    <mergeCell ref="GAW37:GAX37"/>
    <mergeCell ref="GAA37:GAB37"/>
    <mergeCell ref="GAC37:GAD37"/>
    <mergeCell ref="GAE37:GAF37"/>
    <mergeCell ref="GAG37:GAH37"/>
    <mergeCell ref="GAI37:GAJ37"/>
    <mergeCell ref="GAK37:GAL37"/>
    <mergeCell ref="FZO37:FZP37"/>
    <mergeCell ref="FZQ37:FZR37"/>
    <mergeCell ref="FZS37:FZT37"/>
    <mergeCell ref="FZU37:FZV37"/>
    <mergeCell ref="FZW37:FZX37"/>
    <mergeCell ref="FZY37:FZZ37"/>
    <mergeCell ref="GEQ37:GER37"/>
    <mergeCell ref="GES37:GET37"/>
    <mergeCell ref="GEU37:GEV37"/>
    <mergeCell ref="GEW37:GEX37"/>
    <mergeCell ref="GEY37:GEZ37"/>
    <mergeCell ref="GFA37:GFB37"/>
    <mergeCell ref="GEE37:GEF37"/>
    <mergeCell ref="GEG37:GEH37"/>
    <mergeCell ref="GEI37:GEJ37"/>
    <mergeCell ref="GEK37:GEL37"/>
    <mergeCell ref="GEM37:GEN37"/>
    <mergeCell ref="GEO37:GEP37"/>
    <mergeCell ref="GDS37:GDT37"/>
    <mergeCell ref="GDU37:GDV37"/>
    <mergeCell ref="GDW37:GDX37"/>
    <mergeCell ref="GDY37:GDZ37"/>
    <mergeCell ref="GEA37:GEB37"/>
    <mergeCell ref="GEC37:GED37"/>
    <mergeCell ref="GDG37:GDH37"/>
    <mergeCell ref="GDI37:GDJ37"/>
    <mergeCell ref="GDK37:GDL37"/>
    <mergeCell ref="GDM37:GDN37"/>
    <mergeCell ref="GDO37:GDP37"/>
    <mergeCell ref="GDQ37:GDR37"/>
    <mergeCell ref="GCU37:GCV37"/>
    <mergeCell ref="GCW37:GCX37"/>
    <mergeCell ref="GCY37:GCZ37"/>
    <mergeCell ref="GDA37:GDB37"/>
    <mergeCell ref="GDC37:GDD37"/>
    <mergeCell ref="GDE37:GDF37"/>
    <mergeCell ref="GCI37:GCJ37"/>
    <mergeCell ref="GCK37:GCL37"/>
    <mergeCell ref="GCM37:GCN37"/>
    <mergeCell ref="GCO37:GCP37"/>
    <mergeCell ref="GCQ37:GCR37"/>
    <mergeCell ref="GCS37:GCT37"/>
    <mergeCell ref="GHK37:GHL37"/>
    <mergeCell ref="GHM37:GHN37"/>
    <mergeCell ref="GHO37:GHP37"/>
    <mergeCell ref="GHQ37:GHR37"/>
    <mergeCell ref="GHS37:GHT37"/>
    <mergeCell ref="GHU37:GHV37"/>
    <mergeCell ref="GGY37:GGZ37"/>
    <mergeCell ref="GHA37:GHB37"/>
    <mergeCell ref="GHC37:GHD37"/>
    <mergeCell ref="GHE37:GHF37"/>
    <mergeCell ref="GHG37:GHH37"/>
    <mergeCell ref="GHI37:GHJ37"/>
    <mergeCell ref="GGM37:GGN37"/>
    <mergeCell ref="GGO37:GGP37"/>
    <mergeCell ref="GGQ37:GGR37"/>
    <mergeCell ref="GGS37:GGT37"/>
    <mergeCell ref="GGU37:GGV37"/>
    <mergeCell ref="GGW37:GGX37"/>
    <mergeCell ref="GGA37:GGB37"/>
    <mergeCell ref="GGC37:GGD37"/>
    <mergeCell ref="GGE37:GGF37"/>
    <mergeCell ref="GGG37:GGH37"/>
    <mergeCell ref="GGI37:GGJ37"/>
    <mergeCell ref="GGK37:GGL37"/>
    <mergeCell ref="GFO37:GFP37"/>
    <mergeCell ref="GFQ37:GFR37"/>
    <mergeCell ref="GFS37:GFT37"/>
    <mergeCell ref="GFU37:GFV37"/>
    <mergeCell ref="GFW37:GFX37"/>
    <mergeCell ref="GFY37:GFZ37"/>
    <mergeCell ref="GFC37:GFD37"/>
    <mergeCell ref="GFE37:GFF37"/>
    <mergeCell ref="GFG37:GFH37"/>
    <mergeCell ref="GFI37:GFJ37"/>
    <mergeCell ref="GFK37:GFL37"/>
    <mergeCell ref="GFM37:GFN37"/>
    <mergeCell ref="GKE37:GKF37"/>
    <mergeCell ref="GKG37:GKH37"/>
    <mergeCell ref="GKI37:GKJ37"/>
    <mergeCell ref="GKK37:GKL37"/>
    <mergeCell ref="GKM37:GKN37"/>
    <mergeCell ref="GKO37:GKP37"/>
    <mergeCell ref="GJS37:GJT37"/>
    <mergeCell ref="GJU37:GJV37"/>
    <mergeCell ref="GJW37:GJX37"/>
    <mergeCell ref="GJY37:GJZ37"/>
    <mergeCell ref="GKA37:GKB37"/>
    <mergeCell ref="GKC37:GKD37"/>
    <mergeCell ref="GJG37:GJH37"/>
    <mergeCell ref="GJI37:GJJ37"/>
    <mergeCell ref="GJK37:GJL37"/>
    <mergeCell ref="GJM37:GJN37"/>
    <mergeCell ref="GJO37:GJP37"/>
    <mergeCell ref="GJQ37:GJR37"/>
    <mergeCell ref="GIU37:GIV37"/>
    <mergeCell ref="GIW37:GIX37"/>
    <mergeCell ref="GIY37:GIZ37"/>
    <mergeCell ref="GJA37:GJB37"/>
    <mergeCell ref="GJC37:GJD37"/>
    <mergeCell ref="GJE37:GJF37"/>
    <mergeCell ref="GII37:GIJ37"/>
    <mergeCell ref="GIK37:GIL37"/>
    <mergeCell ref="GIM37:GIN37"/>
    <mergeCell ref="GIO37:GIP37"/>
    <mergeCell ref="GIQ37:GIR37"/>
    <mergeCell ref="GIS37:GIT37"/>
    <mergeCell ref="GHW37:GHX37"/>
    <mergeCell ref="GHY37:GHZ37"/>
    <mergeCell ref="GIA37:GIB37"/>
    <mergeCell ref="GIC37:GID37"/>
    <mergeCell ref="GIE37:GIF37"/>
    <mergeCell ref="GIG37:GIH37"/>
    <mergeCell ref="GMY37:GMZ37"/>
    <mergeCell ref="GNA37:GNB37"/>
    <mergeCell ref="GNC37:GND37"/>
    <mergeCell ref="GNE37:GNF37"/>
    <mergeCell ref="GNG37:GNH37"/>
    <mergeCell ref="GNI37:GNJ37"/>
    <mergeCell ref="GMM37:GMN37"/>
    <mergeCell ref="GMO37:GMP37"/>
    <mergeCell ref="GMQ37:GMR37"/>
    <mergeCell ref="GMS37:GMT37"/>
    <mergeCell ref="GMU37:GMV37"/>
    <mergeCell ref="GMW37:GMX37"/>
    <mergeCell ref="GMA37:GMB37"/>
    <mergeCell ref="GMC37:GMD37"/>
    <mergeCell ref="GME37:GMF37"/>
    <mergeCell ref="GMG37:GMH37"/>
    <mergeCell ref="GMI37:GMJ37"/>
    <mergeCell ref="GMK37:GML37"/>
    <mergeCell ref="GLO37:GLP37"/>
    <mergeCell ref="GLQ37:GLR37"/>
    <mergeCell ref="GLS37:GLT37"/>
    <mergeCell ref="GLU37:GLV37"/>
    <mergeCell ref="GLW37:GLX37"/>
    <mergeCell ref="GLY37:GLZ37"/>
    <mergeCell ref="GLC37:GLD37"/>
    <mergeCell ref="GLE37:GLF37"/>
    <mergeCell ref="GLG37:GLH37"/>
    <mergeCell ref="GLI37:GLJ37"/>
    <mergeCell ref="GLK37:GLL37"/>
    <mergeCell ref="GLM37:GLN37"/>
    <mergeCell ref="GKQ37:GKR37"/>
    <mergeCell ref="GKS37:GKT37"/>
    <mergeCell ref="GKU37:GKV37"/>
    <mergeCell ref="GKW37:GKX37"/>
    <mergeCell ref="GKY37:GKZ37"/>
    <mergeCell ref="GLA37:GLB37"/>
    <mergeCell ref="GPS37:GPT37"/>
    <mergeCell ref="GPU37:GPV37"/>
    <mergeCell ref="GPW37:GPX37"/>
    <mergeCell ref="GPY37:GPZ37"/>
    <mergeCell ref="GQA37:GQB37"/>
    <mergeCell ref="GQC37:GQD37"/>
    <mergeCell ref="GPG37:GPH37"/>
    <mergeCell ref="GPI37:GPJ37"/>
    <mergeCell ref="GPK37:GPL37"/>
    <mergeCell ref="GPM37:GPN37"/>
    <mergeCell ref="GPO37:GPP37"/>
    <mergeCell ref="GPQ37:GPR37"/>
    <mergeCell ref="GOU37:GOV37"/>
    <mergeCell ref="GOW37:GOX37"/>
    <mergeCell ref="GOY37:GOZ37"/>
    <mergeCell ref="GPA37:GPB37"/>
    <mergeCell ref="GPC37:GPD37"/>
    <mergeCell ref="GPE37:GPF37"/>
    <mergeCell ref="GOI37:GOJ37"/>
    <mergeCell ref="GOK37:GOL37"/>
    <mergeCell ref="GOM37:GON37"/>
    <mergeCell ref="GOO37:GOP37"/>
    <mergeCell ref="GOQ37:GOR37"/>
    <mergeCell ref="GOS37:GOT37"/>
    <mergeCell ref="GNW37:GNX37"/>
    <mergeCell ref="GNY37:GNZ37"/>
    <mergeCell ref="GOA37:GOB37"/>
    <mergeCell ref="GOC37:GOD37"/>
    <mergeCell ref="GOE37:GOF37"/>
    <mergeCell ref="GOG37:GOH37"/>
    <mergeCell ref="GNK37:GNL37"/>
    <mergeCell ref="GNM37:GNN37"/>
    <mergeCell ref="GNO37:GNP37"/>
    <mergeCell ref="GNQ37:GNR37"/>
    <mergeCell ref="GNS37:GNT37"/>
    <mergeCell ref="GNU37:GNV37"/>
    <mergeCell ref="GSM37:GSN37"/>
    <mergeCell ref="GSO37:GSP37"/>
    <mergeCell ref="GSQ37:GSR37"/>
    <mergeCell ref="GSS37:GST37"/>
    <mergeCell ref="GSU37:GSV37"/>
    <mergeCell ref="GSW37:GSX37"/>
    <mergeCell ref="GSA37:GSB37"/>
    <mergeCell ref="GSC37:GSD37"/>
    <mergeCell ref="GSE37:GSF37"/>
    <mergeCell ref="GSG37:GSH37"/>
    <mergeCell ref="GSI37:GSJ37"/>
    <mergeCell ref="GSK37:GSL37"/>
    <mergeCell ref="GRO37:GRP37"/>
    <mergeCell ref="GRQ37:GRR37"/>
    <mergeCell ref="GRS37:GRT37"/>
    <mergeCell ref="GRU37:GRV37"/>
    <mergeCell ref="GRW37:GRX37"/>
    <mergeCell ref="GRY37:GRZ37"/>
    <mergeCell ref="GRC37:GRD37"/>
    <mergeCell ref="GRE37:GRF37"/>
    <mergeCell ref="GRG37:GRH37"/>
    <mergeCell ref="GRI37:GRJ37"/>
    <mergeCell ref="GRK37:GRL37"/>
    <mergeCell ref="GRM37:GRN37"/>
    <mergeCell ref="GQQ37:GQR37"/>
    <mergeCell ref="GQS37:GQT37"/>
    <mergeCell ref="GQU37:GQV37"/>
    <mergeCell ref="GQW37:GQX37"/>
    <mergeCell ref="GQY37:GQZ37"/>
    <mergeCell ref="GRA37:GRB37"/>
    <mergeCell ref="GQE37:GQF37"/>
    <mergeCell ref="GQG37:GQH37"/>
    <mergeCell ref="GQI37:GQJ37"/>
    <mergeCell ref="GQK37:GQL37"/>
    <mergeCell ref="GQM37:GQN37"/>
    <mergeCell ref="GQO37:GQP37"/>
    <mergeCell ref="GVG37:GVH37"/>
    <mergeCell ref="GVI37:GVJ37"/>
    <mergeCell ref="GVK37:GVL37"/>
    <mergeCell ref="GVM37:GVN37"/>
    <mergeCell ref="GVO37:GVP37"/>
    <mergeCell ref="GVQ37:GVR37"/>
    <mergeCell ref="GUU37:GUV37"/>
    <mergeCell ref="GUW37:GUX37"/>
    <mergeCell ref="GUY37:GUZ37"/>
    <mergeCell ref="GVA37:GVB37"/>
    <mergeCell ref="GVC37:GVD37"/>
    <mergeCell ref="GVE37:GVF37"/>
    <mergeCell ref="GUI37:GUJ37"/>
    <mergeCell ref="GUK37:GUL37"/>
    <mergeCell ref="GUM37:GUN37"/>
    <mergeCell ref="GUO37:GUP37"/>
    <mergeCell ref="GUQ37:GUR37"/>
    <mergeCell ref="GUS37:GUT37"/>
    <mergeCell ref="GTW37:GTX37"/>
    <mergeCell ref="GTY37:GTZ37"/>
    <mergeCell ref="GUA37:GUB37"/>
    <mergeCell ref="GUC37:GUD37"/>
    <mergeCell ref="GUE37:GUF37"/>
    <mergeCell ref="GUG37:GUH37"/>
    <mergeCell ref="GTK37:GTL37"/>
    <mergeCell ref="GTM37:GTN37"/>
    <mergeCell ref="GTO37:GTP37"/>
    <mergeCell ref="GTQ37:GTR37"/>
    <mergeCell ref="GTS37:GTT37"/>
    <mergeCell ref="GTU37:GTV37"/>
    <mergeCell ref="GSY37:GSZ37"/>
    <mergeCell ref="GTA37:GTB37"/>
    <mergeCell ref="GTC37:GTD37"/>
    <mergeCell ref="GTE37:GTF37"/>
    <mergeCell ref="GTG37:GTH37"/>
    <mergeCell ref="GTI37:GTJ37"/>
    <mergeCell ref="GYA37:GYB37"/>
    <mergeCell ref="GYC37:GYD37"/>
    <mergeCell ref="GYE37:GYF37"/>
    <mergeCell ref="GYG37:GYH37"/>
    <mergeCell ref="GYI37:GYJ37"/>
    <mergeCell ref="GYK37:GYL37"/>
    <mergeCell ref="GXO37:GXP37"/>
    <mergeCell ref="GXQ37:GXR37"/>
    <mergeCell ref="GXS37:GXT37"/>
    <mergeCell ref="GXU37:GXV37"/>
    <mergeCell ref="GXW37:GXX37"/>
    <mergeCell ref="GXY37:GXZ37"/>
    <mergeCell ref="GXC37:GXD37"/>
    <mergeCell ref="GXE37:GXF37"/>
    <mergeCell ref="GXG37:GXH37"/>
    <mergeCell ref="GXI37:GXJ37"/>
    <mergeCell ref="GXK37:GXL37"/>
    <mergeCell ref="GXM37:GXN37"/>
    <mergeCell ref="GWQ37:GWR37"/>
    <mergeCell ref="GWS37:GWT37"/>
    <mergeCell ref="GWU37:GWV37"/>
    <mergeCell ref="GWW37:GWX37"/>
    <mergeCell ref="GWY37:GWZ37"/>
    <mergeCell ref="GXA37:GXB37"/>
    <mergeCell ref="GWE37:GWF37"/>
    <mergeCell ref="GWG37:GWH37"/>
    <mergeCell ref="GWI37:GWJ37"/>
    <mergeCell ref="GWK37:GWL37"/>
    <mergeCell ref="GWM37:GWN37"/>
    <mergeCell ref="GWO37:GWP37"/>
    <mergeCell ref="GVS37:GVT37"/>
    <mergeCell ref="GVU37:GVV37"/>
    <mergeCell ref="GVW37:GVX37"/>
    <mergeCell ref="GVY37:GVZ37"/>
    <mergeCell ref="GWA37:GWB37"/>
    <mergeCell ref="GWC37:GWD37"/>
    <mergeCell ref="HAU37:HAV37"/>
    <mergeCell ref="HAW37:HAX37"/>
    <mergeCell ref="HAY37:HAZ37"/>
    <mergeCell ref="HBA37:HBB37"/>
    <mergeCell ref="HBC37:HBD37"/>
    <mergeCell ref="HBE37:HBF37"/>
    <mergeCell ref="HAI37:HAJ37"/>
    <mergeCell ref="HAK37:HAL37"/>
    <mergeCell ref="HAM37:HAN37"/>
    <mergeCell ref="HAO37:HAP37"/>
    <mergeCell ref="HAQ37:HAR37"/>
    <mergeCell ref="HAS37:HAT37"/>
    <mergeCell ref="GZW37:GZX37"/>
    <mergeCell ref="GZY37:GZZ37"/>
    <mergeCell ref="HAA37:HAB37"/>
    <mergeCell ref="HAC37:HAD37"/>
    <mergeCell ref="HAE37:HAF37"/>
    <mergeCell ref="HAG37:HAH37"/>
    <mergeCell ref="GZK37:GZL37"/>
    <mergeCell ref="GZM37:GZN37"/>
    <mergeCell ref="GZO37:GZP37"/>
    <mergeCell ref="GZQ37:GZR37"/>
    <mergeCell ref="GZS37:GZT37"/>
    <mergeCell ref="GZU37:GZV37"/>
    <mergeCell ref="GYY37:GYZ37"/>
    <mergeCell ref="GZA37:GZB37"/>
    <mergeCell ref="GZC37:GZD37"/>
    <mergeCell ref="GZE37:GZF37"/>
    <mergeCell ref="GZG37:GZH37"/>
    <mergeCell ref="GZI37:GZJ37"/>
    <mergeCell ref="GYM37:GYN37"/>
    <mergeCell ref="GYO37:GYP37"/>
    <mergeCell ref="GYQ37:GYR37"/>
    <mergeCell ref="GYS37:GYT37"/>
    <mergeCell ref="GYU37:GYV37"/>
    <mergeCell ref="GYW37:GYX37"/>
    <mergeCell ref="HDO37:HDP37"/>
    <mergeCell ref="HDQ37:HDR37"/>
    <mergeCell ref="HDS37:HDT37"/>
    <mergeCell ref="HDU37:HDV37"/>
    <mergeCell ref="HDW37:HDX37"/>
    <mergeCell ref="HDY37:HDZ37"/>
    <mergeCell ref="HDC37:HDD37"/>
    <mergeCell ref="HDE37:HDF37"/>
    <mergeCell ref="HDG37:HDH37"/>
    <mergeCell ref="HDI37:HDJ37"/>
    <mergeCell ref="HDK37:HDL37"/>
    <mergeCell ref="HDM37:HDN37"/>
    <mergeCell ref="HCQ37:HCR37"/>
    <mergeCell ref="HCS37:HCT37"/>
    <mergeCell ref="HCU37:HCV37"/>
    <mergeCell ref="HCW37:HCX37"/>
    <mergeCell ref="HCY37:HCZ37"/>
    <mergeCell ref="HDA37:HDB37"/>
    <mergeCell ref="HCE37:HCF37"/>
    <mergeCell ref="HCG37:HCH37"/>
    <mergeCell ref="HCI37:HCJ37"/>
    <mergeCell ref="HCK37:HCL37"/>
    <mergeCell ref="HCM37:HCN37"/>
    <mergeCell ref="HCO37:HCP37"/>
    <mergeCell ref="HBS37:HBT37"/>
    <mergeCell ref="HBU37:HBV37"/>
    <mergeCell ref="HBW37:HBX37"/>
    <mergeCell ref="HBY37:HBZ37"/>
    <mergeCell ref="HCA37:HCB37"/>
    <mergeCell ref="HCC37:HCD37"/>
    <mergeCell ref="HBG37:HBH37"/>
    <mergeCell ref="HBI37:HBJ37"/>
    <mergeCell ref="HBK37:HBL37"/>
    <mergeCell ref="HBM37:HBN37"/>
    <mergeCell ref="HBO37:HBP37"/>
    <mergeCell ref="HBQ37:HBR37"/>
    <mergeCell ref="HGI37:HGJ37"/>
    <mergeCell ref="HGK37:HGL37"/>
    <mergeCell ref="HGM37:HGN37"/>
    <mergeCell ref="HGO37:HGP37"/>
    <mergeCell ref="HGQ37:HGR37"/>
    <mergeCell ref="HGS37:HGT37"/>
    <mergeCell ref="HFW37:HFX37"/>
    <mergeCell ref="HFY37:HFZ37"/>
    <mergeCell ref="HGA37:HGB37"/>
    <mergeCell ref="HGC37:HGD37"/>
    <mergeCell ref="HGE37:HGF37"/>
    <mergeCell ref="HGG37:HGH37"/>
    <mergeCell ref="HFK37:HFL37"/>
    <mergeCell ref="HFM37:HFN37"/>
    <mergeCell ref="HFO37:HFP37"/>
    <mergeCell ref="HFQ37:HFR37"/>
    <mergeCell ref="HFS37:HFT37"/>
    <mergeCell ref="HFU37:HFV37"/>
    <mergeCell ref="HEY37:HEZ37"/>
    <mergeCell ref="HFA37:HFB37"/>
    <mergeCell ref="HFC37:HFD37"/>
    <mergeCell ref="HFE37:HFF37"/>
    <mergeCell ref="HFG37:HFH37"/>
    <mergeCell ref="HFI37:HFJ37"/>
    <mergeCell ref="HEM37:HEN37"/>
    <mergeCell ref="HEO37:HEP37"/>
    <mergeCell ref="HEQ37:HER37"/>
    <mergeCell ref="HES37:HET37"/>
    <mergeCell ref="HEU37:HEV37"/>
    <mergeCell ref="HEW37:HEX37"/>
    <mergeCell ref="HEA37:HEB37"/>
    <mergeCell ref="HEC37:HED37"/>
    <mergeCell ref="HEE37:HEF37"/>
    <mergeCell ref="HEG37:HEH37"/>
    <mergeCell ref="HEI37:HEJ37"/>
    <mergeCell ref="HEK37:HEL37"/>
    <mergeCell ref="HJC37:HJD37"/>
    <mergeCell ref="HJE37:HJF37"/>
    <mergeCell ref="HJG37:HJH37"/>
    <mergeCell ref="HJI37:HJJ37"/>
    <mergeCell ref="HJK37:HJL37"/>
    <mergeCell ref="HJM37:HJN37"/>
    <mergeCell ref="HIQ37:HIR37"/>
    <mergeCell ref="HIS37:HIT37"/>
    <mergeCell ref="HIU37:HIV37"/>
    <mergeCell ref="HIW37:HIX37"/>
    <mergeCell ref="HIY37:HIZ37"/>
    <mergeCell ref="HJA37:HJB37"/>
    <mergeCell ref="HIE37:HIF37"/>
    <mergeCell ref="HIG37:HIH37"/>
    <mergeCell ref="HII37:HIJ37"/>
    <mergeCell ref="HIK37:HIL37"/>
    <mergeCell ref="HIM37:HIN37"/>
    <mergeCell ref="HIO37:HIP37"/>
    <mergeCell ref="HHS37:HHT37"/>
    <mergeCell ref="HHU37:HHV37"/>
    <mergeCell ref="HHW37:HHX37"/>
    <mergeCell ref="HHY37:HHZ37"/>
    <mergeCell ref="HIA37:HIB37"/>
    <mergeCell ref="HIC37:HID37"/>
    <mergeCell ref="HHG37:HHH37"/>
    <mergeCell ref="HHI37:HHJ37"/>
    <mergeCell ref="HHK37:HHL37"/>
    <mergeCell ref="HHM37:HHN37"/>
    <mergeCell ref="HHO37:HHP37"/>
    <mergeCell ref="HHQ37:HHR37"/>
    <mergeCell ref="HGU37:HGV37"/>
    <mergeCell ref="HGW37:HGX37"/>
    <mergeCell ref="HGY37:HGZ37"/>
    <mergeCell ref="HHA37:HHB37"/>
    <mergeCell ref="HHC37:HHD37"/>
    <mergeCell ref="HHE37:HHF37"/>
    <mergeCell ref="HLW37:HLX37"/>
    <mergeCell ref="HLY37:HLZ37"/>
    <mergeCell ref="HMA37:HMB37"/>
    <mergeCell ref="HMC37:HMD37"/>
    <mergeCell ref="HME37:HMF37"/>
    <mergeCell ref="HMG37:HMH37"/>
    <mergeCell ref="HLK37:HLL37"/>
    <mergeCell ref="HLM37:HLN37"/>
    <mergeCell ref="HLO37:HLP37"/>
    <mergeCell ref="HLQ37:HLR37"/>
    <mergeCell ref="HLS37:HLT37"/>
    <mergeCell ref="HLU37:HLV37"/>
    <mergeCell ref="HKY37:HKZ37"/>
    <mergeCell ref="HLA37:HLB37"/>
    <mergeCell ref="HLC37:HLD37"/>
    <mergeCell ref="HLE37:HLF37"/>
    <mergeCell ref="HLG37:HLH37"/>
    <mergeCell ref="HLI37:HLJ37"/>
    <mergeCell ref="HKM37:HKN37"/>
    <mergeCell ref="HKO37:HKP37"/>
    <mergeCell ref="HKQ37:HKR37"/>
    <mergeCell ref="HKS37:HKT37"/>
    <mergeCell ref="HKU37:HKV37"/>
    <mergeCell ref="HKW37:HKX37"/>
    <mergeCell ref="HKA37:HKB37"/>
    <mergeCell ref="HKC37:HKD37"/>
    <mergeCell ref="HKE37:HKF37"/>
    <mergeCell ref="HKG37:HKH37"/>
    <mergeCell ref="HKI37:HKJ37"/>
    <mergeCell ref="HKK37:HKL37"/>
    <mergeCell ref="HJO37:HJP37"/>
    <mergeCell ref="HJQ37:HJR37"/>
    <mergeCell ref="HJS37:HJT37"/>
    <mergeCell ref="HJU37:HJV37"/>
    <mergeCell ref="HJW37:HJX37"/>
    <mergeCell ref="HJY37:HJZ37"/>
    <mergeCell ref="HOQ37:HOR37"/>
    <mergeCell ref="HOS37:HOT37"/>
    <mergeCell ref="HOU37:HOV37"/>
    <mergeCell ref="HOW37:HOX37"/>
    <mergeCell ref="HOY37:HOZ37"/>
    <mergeCell ref="HPA37:HPB37"/>
    <mergeCell ref="HOE37:HOF37"/>
    <mergeCell ref="HOG37:HOH37"/>
    <mergeCell ref="HOI37:HOJ37"/>
    <mergeCell ref="HOK37:HOL37"/>
    <mergeCell ref="HOM37:HON37"/>
    <mergeCell ref="HOO37:HOP37"/>
    <mergeCell ref="HNS37:HNT37"/>
    <mergeCell ref="HNU37:HNV37"/>
    <mergeCell ref="HNW37:HNX37"/>
    <mergeCell ref="HNY37:HNZ37"/>
    <mergeCell ref="HOA37:HOB37"/>
    <mergeCell ref="HOC37:HOD37"/>
    <mergeCell ref="HNG37:HNH37"/>
    <mergeCell ref="HNI37:HNJ37"/>
    <mergeCell ref="HNK37:HNL37"/>
    <mergeCell ref="HNM37:HNN37"/>
    <mergeCell ref="HNO37:HNP37"/>
    <mergeCell ref="HNQ37:HNR37"/>
    <mergeCell ref="HMU37:HMV37"/>
    <mergeCell ref="HMW37:HMX37"/>
    <mergeCell ref="HMY37:HMZ37"/>
    <mergeCell ref="HNA37:HNB37"/>
    <mergeCell ref="HNC37:HND37"/>
    <mergeCell ref="HNE37:HNF37"/>
    <mergeCell ref="HMI37:HMJ37"/>
    <mergeCell ref="HMK37:HML37"/>
    <mergeCell ref="HMM37:HMN37"/>
    <mergeCell ref="HMO37:HMP37"/>
    <mergeCell ref="HMQ37:HMR37"/>
    <mergeCell ref="HMS37:HMT37"/>
    <mergeCell ref="HRK37:HRL37"/>
    <mergeCell ref="HRM37:HRN37"/>
    <mergeCell ref="HRO37:HRP37"/>
    <mergeCell ref="HRQ37:HRR37"/>
    <mergeCell ref="HRS37:HRT37"/>
    <mergeCell ref="HRU37:HRV37"/>
    <mergeCell ref="HQY37:HQZ37"/>
    <mergeCell ref="HRA37:HRB37"/>
    <mergeCell ref="HRC37:HRD37"/>
    <mergeCell ref="HRE37:HRF37"/>
    <mergeCell ref="HRG37:HRH37"/>
    <mergeCell ref="HRI37:HRJ37"/>
    <mergeCell ref="HQM37:HQN37"/>
    <mergeCell ref="HQO37:HQP37"/>
    <mergeCell ref="HQQ37:HQR37"/>
    <mergeCell ref="HQS37:HQT37"/>
    <mergeCell ref="HQU37:HQV37"/>
    <mergeCell ref="HQW37:HQX37"/>
    <mergeCell ref="HQA37:HQB37"/>
    <mergeCell ref="HQC37:HQD37"/>
    <mergeCell ref="HQE37:HQF37"/>
    <mergeCell ref="HQG37:HQH37"/>
    <mergeCell ref="HQI37:HQJ37"/>
    <mergeCell ref="HQK37:HQL37"/>
    <mergeCell ref="HPO37:HPP37"/>
    <mergeCell ref="HPQ37:HPR37"/>
    <mergeCell ref="HPS37:HPT37"/>
    <mergeCell ref="HPU37:HPV37"/>
    <mergeCell ref="HPW37:HPX37"/>
    <mergeCell ref="HPY37:HPZ37"/>
    <mergeCell ref="HPC37:HPD37"/>
    <mergeCell ref="HPE37:HPF37"/>
    <mergeCell ref="HPG37:HPH37"/>
    <mergeCell ref="HPI37:HPJ37"/>
    <mergeCell ref="HPK37:HPL37"/>
    <mergeCell ref="HPM37:HPN37"/>
    <mergeCell ref="HUE37:HUF37"/>
    <mergeCell ref="HUG37:HUH37"/>
    <mergeCell ref="HUI37:HUJ37"/>
    <mergeCell ref="HUK37:HUL37"/>
    <mergeCell ref="HUM37:HUN37"/>
    <mergeCell ref="HUO37:HUP37"/>
    <mergeCell ref="HTS37:HTT37"/>
    <mergeCell ref="HTU37:HTV37"/>
    <mergeCell ref="HTW37:HTX37"/>
    <mergeCell ref="HTY37:HTZ37"/>
    <mergeCell ref="HUA37:HUB37"/>
    <mergeCell ref="HUC37:HUD37"/>
    <mergeCell ref="HTG37:HTH37"/>
    <mergeCell ref="HTI37:HTJ37"/>
    <mergeCell ref="HTK37:HTL37"/>
    <mergeCell ref="HTM37:HTN37"/>
    <mergeCell ref="HTO37:HTP37"/>
    <mergeCell ref="HTQ37:HTR37"/>
    <mergeCell ref="HSU37:HSV37"/>
    <mergeCell ref="HSW37:HSX37"/>
    <mergeCell ref="HSY37:HSZ37"/>
    <mergeCell ref="HTA37:HTB37"/>
    <mergeCell ref="HTC37:HTD37"/>
    <mergeCell ref="HTE37:HTF37"/>
    <mergeCell ref="HSI37:HSJ37"/>
    <mergeCell ref="HSK37:HSL37"/>
    <mergeCell ref="HSM37:HSN37"/>
    <mergeCell ref="HSO37:HSP37"/>
    <mergeCell ref="HSQ37:HSR37"/>
    <mergeCell ref="HSS37:HST37"/>
    <mergeCell ref="HRW37:HRX37"/>
    <mergeCell ref="HRY37:HRZ37"/>
    <mergeCell ref="HSA37:HSB37"/>
    <mergeCell ref="HSC37:HSD37"/>
    <mergeCell ref="HSE37:HSF37"/>
    <mergeCell ref="HSG37:HSH37"/>
    <mergeCell ref="HWY37:HWZ37"/>
    <mergeCell ref="HXA37:HXB37"/>
    <mergeCell ref="HXC37:HXD37"/>
    <mergeCell ref="HXE37:HXF37"/>
    <mergeCell ref="HXG37:HXH37"/>
    <mergeCell ref="HXI37:HXJ37"/>
    <mergeCell ref="HWM37:HWN37"/>
    <mergeCell ref="HWO37:HWP37"/>
    <mergeCell ref="HWQ37:HWR37"/>
    <mergeCell ref="HWS37:HWT37"/>
    <mergeCell ref="HWU37:HWV37"/>
    <mergeCell ref="HWW37:HWX37"/>
    <mergeCell ref="HWA37:HWB37"/>
    <mergeCell ref="HWC37:HWD37"/>
    <mergeCell ref="HWE37:HWF37"/>
    <mergeCell ref="HWG37:HWH37"/>
    <mergeCell ref="HWI37:HWJ37"/>
    <mergeCell ref="HWK37:HWL37"/>
    <mergeCell ref="HVO37:HVP37"/>
    <mergeCell ref="HVQ37:HVR37"/>
    <mergeCell ref="HVS37:HVT37"/>
    <mergeCell ref="HVU37:HVV37"/>
    <mergeCell ref="HVW37:HVX37"/>
    <mergeCell ref="HVY37:HVZ37"/>
    <mergeCell ref="HVC37:HVD37"/>
    <mergeCell ref="HVE37:HVF37"/>
    <mergeCell ref="HVG37:HVH37"/>
    <mergeCell ref="HVI37:HVJ37"/>
    <mergeCell ref="HVK37:HVL37"/>
    <mergeCell ref="HVM37:HVN37"/>
    <mergeCell ref="HUQ37:HUR37"/>
    <mergeCell ref="HUS37:HUT37"/>
    <mergeCell ref="HUU37:HUV37"/>
    <mergeCell ref="HUW37:HUX37"/>
    <mergeCell ref="HUY37:HUZ37"/>
    <mergeCell ref="HVA37:HVB37"/>
    <mergeCell ref="HZS37:HZT37"/>
    <mergeCell ref="HZU37:HZV37"/>
    <mergeCell ref="HZW37:HZX37"/>
    <mergeCell ref="HZY37:HZZ37"/>
    <mergeCell ref="IAA37:IAB37"/>
    <mergeCell ref="IAC37:IAD37"/>
    <mergeCell ref="HZG37:HZH37"/>
    <mergeCell ref="HZI37:HZJ37"/>
    <mergeCell ref="HZK37:HZL37"/>
    <mergeCell ref="HZM37:HZN37"/>
    <mergeCell ref="HZO37:HZP37"/>
    <mergeCell ref="HZQ37:HZR37"/>
    <mergeCell ref="HYU37:HYV37"/>
    <mergeCell ref="HYW37:HYX37"/>
    <mergeCell ref="HYY37:HYZ37"/>
    <mergeCell ref="HZA37:HZB37"/>
    <mergeCell ref="HZC37:HZD37"/>
    <mergeCell ref="HZE37:HZF37"/>
    <mergeCell ref="HYI37:HYJ37"/>
    <mergeCell ref="HYK37:HYL37"/>
    <mergeCell ref="HYM37:HYN37"/>
    <mergeCell ref="HYO37:HYP37"/>
    <mergeCell ref="HYQ37:HYR37"/>
    <mergeCell ref="HYS37:HYT37"/>
    <mergeCell ref="HXW37:HXX37"/>
    <mergeCell ref="HXY37:HXZ37"/>
    <mergeCell ref="HYA37:HYB37"/>
    <mergeCell ref="HYC37:HYD37"/>
    <mergeCell ref="HYE37:HYF37"/>
    <mergeCell ref="HYG37:HYH37"/>
    <mergeCell ref="HXK37:HXL37"/>
    <mergeCell ref="HXM37:HXN37"/>
    <mergeCell ref="HXO37:HXP37"/>
    <mergeCell ref="HXQ37:HXR37"/>
    <mergeCell ref="HXS37:HXT37"/>
    <mergeCell ref="HXU37:HXV37"/>
    <mergeCell ref="ICM37:ICN37"/>
    <mergeCell ref="ICO37:ICP37"/>
    <mergeCell ref="ICQ37:ICR37"/>
    <mergeCell ref="ICS37:ICT37"/>
    <mergeCell ref="ICU37:ICV37"/>
    <mergeCell ref="ICW37:ICX37"/>
    <mergeCell ref="ICA37:ICB37"/>
    <mergeCell ref="ICC37:ICD37"/>
    <mergeCell ref="ICE37:ICF37"/>
    <mergeCell ref="ICG37:ICH37"/>
    <mergeCell ref="ICI37:ICJ37"/>
    <mergeCell ref="ICK37:ICL37"/>
    <mergeCell ref="IBO37:IBP37"/>
    <mergeCell ref="IBQ37:IBR37"/>
    <mergeCell ref="IBS37:IBT37"/>
    <mergeCell ref="IBU37:IBV37"/>
    <mergeCell ref="IBW37:IBX37"/>
    <mergeCell ref="IBY37:IBZ37"/>
    <mergeCell ref="IBC37:IBD37"/>
    <mergeCell ref="IBE37:IBF37"/>
    <mergeCell ref="IBG37:IBH37"/>
    <mergeCell ref="IBI37:IBJ37"/>
    <mergeCell ref="IBK37:IBL37"/>
    <mergeCell ref="IBM37:IBN37"/>
    <mergeCell ref="IAQ37:IAR37"/>
    <mergeCell ref="IAS37:IAT37"/>
    <mergeCell ref="IAU37:IAV37"/>
    <mergeCell ref="IAW37:IAX37"/>
    <mergeCell ref="IAY37:IAZ37"/>
    <mergeCell ref="IBA37:IBB37"/>
    <mergeCell ref="IAE37:IAF37"/>
    <mergeCell ref="IAG37:IAH37"/>
    <mergeCell ref="IAI37:IAJ37"/>
    <mergeCell ref="IAK37:IAL37"/>
    <mergeCell ref="IAM37:IAN37"/>
    <mergeCell ref="IAO37:IAP37"/>
    <mergeCell ref="IFG37:IFH37"/>
    <mergeCell ref="IFI37:IFJ37"/>
    <mergeCell ref="IFK37:IFL37"/>
    <mergeCell ref="IFM37:IFN37"/>
    <mergeCell ref="IFO37:IFP37"/>
    <mergeCell ref="IFQ37:IFR37"/>
    <mergeCell ref="IEU37:IEV37"/>
    <mergeCell ref="IEW37:IEX37"/>
    <mergeCell ref="IEY37:IEZ37"/>
    <mergeCell ref="IFA37:IFB37"/>
    <mergeCell ref="IFC37:IFD37"/>
    <mergeCell ref="IFE37:IFF37"/>
    <mergeCell ref="IEI37:IEJ37"/>
    <mergeCell ref="IEK37:IEL37"/>
    <mergeCell ref="IEM37:IEN37"/>
    <mergeCell ref="IEO37:IEP37"/>
    <mergeCell ref="IEQ37:IER37"/>
    <mergeCell ref="IES37:IET37"/>
    <mergeCell ref="IDW37:IDX37"/>
    <mergeCell ref="IDY37:IDZ37"/>
    <mergeCell ref="IEA37:IEB37"/>
    <mergeCell ref="IEC37:IED37"/>
    <mergeCell ref="IEE37:IEF37"/>
    <mergeCell ref="IEG37:IEH37"/>
    <mergeCell ref="IDK37:IDL37"/>
    <mergeCell ref="IDM37:IDN37"/>
    <mergeCell ref="IDO37:IDP37"/>
    <mergeCell ref="IDQ37:IDR37"/>
    <mergeCell ref="IDS37:IDT37"/>
    <mergeCell ref="IDU37:IDV37"/>
    <mergeCell ref="ICY37:ICZ37"/>
    <mergeCell ref="IDA37:IDB37"/>
    <mergeCell ref="IDC37:IDD37"/>
    <mergeCell ref="IDE37:IDF37"/>
    <mergeCell ref="IDG37:IDH37"/>
    <mergeCell ref="IDI37:IDJ37"/>
    <mergeCell ref="IIA37:IIB37"/>
    <mergeCell ref="IIC37:IID37"/>
    <mergeCell ref="IIE37:IIF37"/>
    <mergeCell ref="IIG37:IIH37"/>
    <mergeCell ref="III37:IIJ37"/>
    <mergeCell ref="IIK37:IIL37"/>
    <mergeCell ref="IHO37:IHP37"/>
    <mergeCell ref="IHQ37:IHR37"/>
    <mergeCell ref="IHS37:IHT37"/>
    <mergeCell ref="IHU37:IHV37"/>
    <mergeCell ref="IHW37:IHX37"/>
    <mergeCell ref="IHY37:IHZ37"/>
    <mergeCell ref="IHC37:IHD37"/>
    <mergeCell ref="IHE37:IHF37"/>
    <mergeCell ref="IHG37:IHH37"/>
    <mergeCell ref="IHI37:IHJ37"/>
    <mergeCell ref="IHK37:IHL37"/>
    <mergeCell ref="IHM37:IHN37"/>
    <mergeCell ref="IGQ37:IGR37"/>
    <mergeCell ref="IGS37:IGT37"/>
    <mergeCell ref="IGU37:IGV37"/>
    <mergeCell ref="IGW37:IGX37"/>
    <mergeCell ref="IGY37:IGZ37"/>
    <mergeCell ref="IHA37:IHB37"/>
    <mergeCell ref="IGE37:IGF37"/>
    <mergeCell ref="IGG37:IGH37"/>
    <mergeCell ref="IGI37:IGJ37"/>
    <mergeCell ref="IGK37:IGL37"/>
    <mergeCell ref="IGM37:IGN37"/>
    <mergeCell ref="IGO37:IGP37"/>
    <mergeCell ref="IFS37:IFT37"/>
    <mergeCell ref="IFU37:IFV37"/>
    <mergeCell ref="IFW37:IFX37"/>
    <mergeCell ref="IFY37:IFZ37"/>
    <mergeCell ref="IGA37:IGB37"/>
    <mergeCell ref="IGC37:IGD37"/>
    <mergeCell ref="IKU37:IKV37"/>
    <mergeCell ref="IKW37:IKX37"/>
    <mergeCell ref="IKY37:IKZ37"/>
    <mergeCell ref="ILA37:ILB37"/>
    <mergeCell ref="ILC37:ILD37"/>
    <mergeCell ref="ILE37:ILF37"/>
    <mergeCell ref="IKI37:IKJ37"/>
    <mergeCell ref="IKK37:IKL37"/>
    <mergeCell ref="IKM37:IKN37"/>
    <mergeCell ref="IKO37:IKP37"/>
    <mergeCell ref="IKQ37:IKR37"/>
    <mergeCell ref="IKS37:IKT37"/>
    <mergeCell ref="IJW37:IJX37"/>
    <mergeCell ref="IJY37:IJZ37"/>
    <mergeCell ref="IKA37:IKB37"/>
    <mergeCell ref="IKC37:IKD37"/>
    <mergeCell ref="IKE37:IKF37"/>
    <mergeCell ref="IKG37:IKH37"/>
    <mergeCell ref="IJK37:IJL37"/>
    <mergeCell ref="IJM37:IJN37"/>
    <mergeCell ref="IJO37:IJP37"/>
    <mergeCell ref="IJQ37:IJR37"/>
    <mergeCell ref="IJS37:IJT37"/>
    <mergeCell ref="IJU37:IJV37"/>
    <mergeCell ref="IIY37:IIZ37"/>
    <mergeCell ref="IJA37:IJB37"/>
    <mergeCell ref="IJC37:IJD37"/>
    <mergeCell ref="IJE37:IJF37"/>
    <mergeCell ref="IJG37:IJH37"/>
    <mergeCell ref="IJI37:IJJ37"/>
    <mergeCell ref="IIM37:IIN37"/>
    <mergeCell ref="IIO37:IIP37"/>
    <mergeCell ref="IIQ37:IIR37"/>
    <mergeCell ref="IIS37:IIT37"/>
    <mergeCell ref="IIU37:IIV37"/>
    <mergeCell ref="IIW37:IIX37"/>
    <mergeCell ref="INO37:INP37"/>
    <mergeCell ref="INQ37:INR37"/>
    <mergeCell ref="INS37:INT37"/>
    <mergeCell ref="INU37:INV37"/>
    <mergeCell ref="INW37:INX37"/>
    <mergeCell ref="INY37:INZ37"/>
    <mergeCell ref="INC37:IND37"/>
    <mergeCell ref="INE37:INF37"/>
    <mergeCell ref="ING37:INH37"/>
    <mergeCell ref="INI37:INJ37"/>
    <mergeCell ref="INK37:INL37"/>
    <mergeCell ref="INM37:INN37"/>
    <mergeCell ref="IMQ37:IMR37"/>
    <mergeCell ref="IMS37:IMT37"/>
    <mergeCell ref="IMU37:IMV37"/>
    <mergeCell ref="IMW37:IMX37"/>
    <mergeCell ref="IMY37:IMZ37"/>
    <mergeCell ref="INA37:INB37"/>
    <mergeCell ref="IME37:IMF37"/>
    <mergeCell ref="IMG37:IMH37"/>
    <mergeCell ref="IMI37:IMJ37"/>
    <mergeCell ref="IMK37:IML37"/>
    <mergeCell ref="IMM37:IMN37"/>
    <mergeCell ref="IMO37:IMP37"/>
    <mergeCell ref="ILS37:ILT37"/>
    <mergeCell ref="ILU37:ILV37"/>
    <mergeCell ref="ILW37:ILX37"/>
    <mergeCell ref="ILY37:ILZ37"/>
    <mergeCell ref="IMA37:IMB37"/>
    <mergeCell ref="IMC37:IMD37"/>
    <mergeCell ref="ILG37:ILH37"/>
    <mergeCell ref="ILI37:ILJ37"/>
    <mergeCell ref="ILK37:ILL37"/>
    <mergeCell ref="ILM37:ILN37"/>
    <mergeCell ref="ILO37:ILP37"/>
    <mergeCell ref="ILQ37:ILR37"/>
    <mergeCell ref="IQI37:IQJ37"/>
    <mergeCell ref="IQK37:IQL37"/>
    <mergeCell ref="IQM37:IQN37"/>
    <mergeCell ref="IQO37:IQP37"/>
    <mergeCell ref="IQQ37:IQR37"/>
    <mergeCell ref="IQS37:IQT37"/>
    <mergeCell ref="IPW37:IPX37"/>
    <mergeCell ref="IPY37:IPZ37"/>
    <mergeCell ref="IQA37:IQB37"/>
    <mergeCell ref="IQC37:IQD37"/>
    <mergeCell ref="IQE37:IQF37"/>
    <mergeCell ref="IQG37:IQH37"/>
    <mergeCell ref="IPK37:IPL37"/>
    <mergeCell ref="IPM37:IPN37"/>
    <mergeCell ref="IPO37:IPP37"/>
    <mergeCell ref="IPQ37:IPR37"/>
    <mergeCell ref="IPS37:IPT37"/>
    <mergeCell ref="IPU37:IPV37"/>
    <mergeCell ref="IOY37:IOZ37"/>
    <mergeCell ref="IPA37:IPB37"/>
    <mergeCell ref="IPC37:IPD37"/>
    <mergeCell ref="IPE37:IPF37"/>
    <mergeCell ref="IPG37:IPH37"/>
    <mergeCell ref="IPI37:IPJ37"/>
    <mergeCell ref="IOM37:ION37"/>
    <mergeCell ref="IOO37:IOP37"/>
    <mergeCell ref="IOQ37:IOR37"/>
    <mergeCell ref="IOS37:IOT37"/>
    <mergeCell ref="IOU37:IOV37"/>
    <mergeCell ref="IOW37:IOX37"/>
    <mergeCell ref="IOA37:IOB37"/>
    <mergeCell ref="IOC37:IOD37"/>
    <mergeCell ref="IOE37:IOF37"/>
    <mergeCell ref="IOG37:IOH37"/>
    <mergeCell ref="IOI37:IOJ37"/>
    <mergeCell ref="IOK37:IOL37"/>
    <mergeCell ref="ITC37:ITD37"/>
    <mergeCell ref="ITE37:ITF37"/>
    <mergeCell ref="ITG37:ITH37"/>
    <mergeCell ref="ITI37:ITJ37"/>
    <mergeCell ref="ITK37:ITL37"/>
    <mergeCell ref="ITM37:ITN37"/>
    <mergeCell ref="ISQ37:ISR37"/>
    <mergeCell ref="ISS37:IST37"/>
    <mergeCell ref="ISU37:ISV37"/>
    <mergeCell ref="ISW37:ISX37"/>
    <mergeCell ref="ISY37:ISZ37"/>
    <mergeCell ref="ITA37:ITB37"/>
    <mergeCell ref="ISE37:ISF37"/>
    <mergeCell ref="ISG37:ISH37"/>
    <mergeCell ref="ISI37:ISJ37"/>
    <mergeCell ref="ISK37:ISL37"/>
    <mergeCell ref="ISM37:ISN37"/>
    <mergeCell ref="ISO37:ISP37"/>
    <mergeCell ref="IRS37:IRT37"/>
    <mergeCell ref="IRU37:IRV37"/>
    <mergeCell ref="IRW37:IRX37"/>
    <mergeCell ref="IRY37:IRZ37"/>
    <mergeCell ref="ISA37:ISB37"/>
    <mergeCell ref="ISC37:ISD37"/>
    <mergeCell ref="IRG37:IRH37"/>
    <mergeCell ref="IRI37:IRJ37"/>
    <mergeCell ref="IRK37:IRL37"/>
    <mergeCell ref="IRM37:IRN37"/>
    <mergeCell ref="IRO37:IRP37"/>
    <mergeCell ref="IRQ37:IRR37"/>
    <mergeCell ref="IQU37:IQV37"/>
    <mergeCell ref="IQW37:IQX37"/>
    <mergeCell ref="IQY37:IQZ37"/>
    <mergeCell ref="IRA37:IRB37"/>
    <mergeCell ref="IRC37:IRD37"/>
    <mergeCell ref="IRE37:IRF37"/>
    <mergeCell ref="IVW37:IVX37"/>
    <mergeCell ref="IVY37:IVZ37"/>
    <mergeCell ref="IWA37:IWB37"/>
    <mergeCell ref="IWC37:IWD37"/>
    <mergeCell ref="IWE37:IWF37"/>
    <mergeCell ref="IWG37:IWH37"/>
    <mergeCell ref="IVK37:IVL37"/>
    <mergeCell ref="IVM37:IVN37"/>
    <mergeCell ref="IVO37:IVP37"/>
    <mergeCell ref="IVQ37:IVR37"/>
    <mergeCell ref="IVS37:IVT37"/>
    <mergeCell ref="IVU37:IVV37"/>
    <mergeCell ref="IUY37:IUZ37"/>
    <mergeCell ref="IVA37:IVB37"/>
    <mergeCell ref="IVC37:IVD37"/>
    <mergeCell ref="IVE37:IVF37"/>
    <mergeCell ref="IVG37:IVH37"/>
    <mergeCell ref="IVI37:IVJ37"/>
    <mergeCell ref="IUM37:IUN37"/>
    <mergeCell ref="IUO37:IUP37"/>
    <mergeCell ref="IUQ37:IUR37"/>
    <mergeCell ref="IUS37:IUT37"/>
    <mergeCell ref="IUU37:IUV37"/>
    <mergeCell ref="IUW37:IUX37"/>
    <mergeCell ref="IUA37:IUB37"/>
    <mergeCell ref="IUC37:IUD37"/>
    <mergeCell ref="IUE37:IUF37"/>
    <mergeCell ref="IUG37:IUH37"/>
    <mergeCell ref="IUI37:IUJ37"/>
    <mergeCell ref="IUK37:IUL37"/>
    <mergeCell ref="ITO37:ITP37"/>
    <mergeCell ref="ITQ37:ITR37"/>
    <mergeCell ref="ITS37:ITT37"/>
    <mergeCell ref="ITU37:ITV37"/>
    <mergeCell ref="ITW37:ITX37"/>
    <mergeCell ref="ITY37:ITZ37"/>
    <mergeCell ref="IYQ37:IYR37"/>
    <mergeCell ref="IYS37:IYT37"/>
    <mergeCell ref="IYU37:IYV37"/>
    <mergeCell ref="IYW37:IYX37"/>
    <mergeCell ref="IYY37:IYZ37"/>
    <mergeCell ref="IZA37:IZB37"/>
    <mergeCell ref="IYE37:IYF37"/>
    <mergeCell ref="IYG37:IYH37"/>
    <mergeCell ref="IYI37:IYJ37"/>
    <mergeCell ref="IYK37:IYL37"/>
    <mergeCell ref="IYM37:IYN37"/>
    <mergeCell ref="IYO37:IYP37"/>
    <mergeCell ref="IXS37:IXT37"/>
    <mergeCell ref="IXU37:IXV37"/>
    <mergeCell ref="IXW37:IXX37"/>
    <mergeCell ref="IXY37:IXZ37"/>
    <mergeCell ref="IYA37:IYB37"/>
    <mergeCell ref="IYC37:IYD37"/>
    <mergeCell ref="IXG37:IXH37"/>
    <mergeCell ref="IXI37:IXJ37"/>
    <mergeCell ref="IXK37:IXL37"/>
    <mergeCell ref="IXM37:IXN37"/>
    <mergeCell ref="IXO37:IXP37"/>
    <mergeCell ref="IXQ37:IXR37"/>
    <mergeCell ref="IWU37:IWV37"/>
    <mergeCell ref="IWW37:IWX37"/>
    <mergeCell ref="IWY37:IWZ37"/>
    <mergeCell ref="IXA37:IXB37"/>
    <mergeCell ref="IXC37:IXD37"/>
    <mergeCell ref="IXE37:IXF37"/>
    <mergeCell ref="IWI37:IWJ37"/>
    <mergeCell ref="IWK37:IWL37"/>
    <mergeCell ref="IWM37:IWN37"/>
    <mergeCell ref="IWO37:IWP37"/>
    <mergeCell ref="IWQ37:IWR37"/>
    <mergeCell ref="IWS37:IWT37"/>
    <mergeCell ref="JBK37:JBL37"/>
    <mergeCell ref="JBM37:JBN37"/>
    <mergeCell ref="JBO37:JBP37"/>
    <mergeCell ref="JBQ37:JBR37"/>
    <mergeCell ref="JBS37:JBT37"/>
    <mergeCell ref="JBU37:JBV37"/>
    <mergeCell ref="JAY37:JAZ37"/>
    <mergeCell ref="JBA37:JBB37"/>
    <mergeCell ref="JBC37:JBD37"/>
    <mergeCell ref="JBE37:JBF37"/>
    <mergeCell ref="JBG37:JBH37"/>
    <mergeCell ref="JBI37:JBJ37"/>
    <mergeCell ref="JAM37:JAN37"/>
    <mergeCell ref="JAO37:JAP37"/>
    <mergeCell ref="JAQ37:JAR37"/>
    <mergeCell ref="JAS37:JAT37"/>
    <mergeCell ref="JAU37:JAV37"/>
    <mergeCell ref="JAW37:JAX37"/>
    <mergeCell ref="JAA37:JAB37"/>
    <mergeCell ref="JAC37:JAD37"/>
    <mergeCell ref="JAE37:JAF37"/>
    <mergeCell ref="JAG37:JAH37"/>
    <mergeCell ref="JAI37:JAJ37"/>
    <mergeCell ref="JAK37:JAL37"/>
    <mergeCell ref="IZO37:IZP37"/>
    <mergeCell ref="IZQ37:IZR37"/>
    <mergeCell ref="IZS37:IZT37"/>
    <mergeCell ref="IZU37:IZV37"/>
    <mergeCell ref="IZW37:IZX37"/>
    <mergeCell ref="IZY37:IZZ37"/>
    <mergeCell ref="IZC37:IZD37"/>
    <mergeCell ref="IZE37:IZF37"/>
    <mergeCell ref="IZG37:IZH37"/>
    <mergeCell ref="IZI37:IZJ37"/>
    <mergeCell ref="IZK37:IZL37"/>
    <mergeCell ref="IZM37:IZN37"/>
    <mergeCell ref="JEE37:JEF37"/>
    <mergeCell ref="JEG37:JEH37"/>
    <mergeCell ref="JEI37:JEJ37"/>
    <mergeCell ref="JEK37:JEL37"/>
    <mergeCell ref="JEM37:JEN37"/>
    <mergeCell ref="JEO37:JEP37"/>
    <mergeCell ref="JDS37:JDT37"/>
    <mergeCell ref="JDU37:JDV37"/>
    <mergeCell ref="JDW37:JDX37"/>
    <mergeCell ref="JDY37:JDZ37"/>
    <mergeCell ref="JEA37:JEB37"/>
    <mergeCell ref="JEC37:JED37"/>
    <mergeCell ref="JDG37:JDH37"/>
    <mergeCell ref="JDI37:JDJ37"/>
    <mergeCell ref="JDK37:JDL37"/>
    <mergeCell ref="JDM37:JDN37"/>
    <mergeCell ref="JDO37:JDP37"/>
    <mergeCell ref="JDQ37:JDR37"/>
    <mergeCell ref="JCU37:JCV37"/>
    <mergeCell ref="JCW37:JCX37"/>
    <mergeCell ref="JCY37:JCZ37"/>
    <mergeCell ref="JDA37:JDB37"/>
    <mergeCell ref="JDC37:JDD37"/>
    <mergeCell ref="JDE37:JDF37"/>
    <mergeCell ref="JCI37:JCJ37"/>
    <mergeCell ref="JCK37:JCL37"/>
    <mergeCell ref="JCM37:JCN37"/>
    <mergeCell ref="JCO37:JCP37"/>
    <mergeCell ref="JCQ37:JCR37"/>
    <mergeCell ref="JCS37:JCT37"/>
    <mergeCell ref="JBW37:JBX37"/>
    <mergeCell ref="JBY37:JBZ37"/>
    <mergeCell ref="JCA37:JCB37"/>
    <mergeCell ref="JCC37:JCD37"/>
    <mergeCell ref="JCE37:JCF37"/>
    <mergeCell ref="JCG37:JCH37"/>
    <mergeCell ref="JGY37:JGZ37"/>
    <mergeCell ref="JHA37:JHB37"/>
    <mergeCell ref="JHC37:JHD37"/>
    <mergeCell ref="JHE37:JHF37"/>
    <mergeCell ref="JHG37:JHH37"/>
    <mergeCell ref="JHI37:JHJ37"/>
    <mergeCell ref="JGM37:JGN37"/>
    <mergeCell ref="JGO37:JGP37"/>
    <mergeCell ref="JGQ37:JGR37"/>
    <mergeCell ref="JGS37:JGT37"/>
    <mergeCell ref="JGU37:JGV37"/>
    <mergeCell ref="JGW37:JGX37"/>
    <mergeCell ref="JGA37:JGB37"/>
    <mergeCell ref="JGC37:JGD37"/>
    <mergeCell ref="JGE37:JGF37"/>
    <mergeCell ref="JGG37:JGH37"/>
    <mergeCell ref="JGI37:JGJ37"/>
    <mergeCell ref="JGK37:JGL37"/>
    <mergeCell ref="JFO37:JFP37"/>
    <mergeCell ref="JFQ37:JFR37"/>
    <mergeCell ref="JFS37:JFT37"/>
    <mergeCell ref="JFU37:JFV37"/>
    <mergeCell ref="JFW37:JFX37"/>
    <mergeCell ref="JFY37:JFZ37"/>
    <mergeCell ref="JFC37:JFD37"/>
    <mergeCell ref="JFE37:JFF37"/>
    <mergeCell ref="JFG37:JFH37"/>
    <mergeCell ref="JFI37:JFJ37"/>
    <mergeCell ref="JFK37:JFL37"/>
    <mergeCell ref="JFM37:JFN37"/>
    <mergeCell ref="JEQ37:JER37"/>
    <mergeCell ref="JES37:JET37"/>
    <mergeCell ref="JEU37:JEV37"/>
    <mergeCell ref="JEW37:JEX37"/>
    <mergeCell ref="JEY37:JEZ37"/>
    <mergeCell ref="JFA37:JFB37"/>
    <mergeCell ref="JJS37:JJT37"/>
    <mergeCell ref="JJU37:JJV37"/>
    <mergeCell ref="JJW37:JJX37"/>
    <mergeCell ref="JJY37:JJZ37"/>
    <mergeCell ref="JKA37:JKB37"/>
    <mergeCell ref="JKC37:JKD37"/>
    <mergeCell ref="JJG37:JJH37"/>
    <mergeCell ref="JJI37:JJJ37"/>
    <mergeCell ref="JJK37:JJL37"/>
    <mergeCell ref="JJM37:JJN37"/>
    <mergeCell ref="JJO37:JJP37"/>
    <mergeCell ref="JJQ37:JJR37"/>
    <mergeCell ref="JIU37:JIV37"/>
    <mergeCell ref="JIW37:JIX37"/>
    <mergeCell ref="JIY37:JIZ37"/>
    <mergeCell ref="JJA37:JJB37"/>
    <mergeCell ref="JJC37:JJD37"/>
    <mergeCell ref="JJE37:JJF37"/>
    <mergeCell ref="JII37:JIJ37"/>
    <mergeCell ref="JIK37:JIL37"/>
    <mergeCell ref="JIM37:JIN37"/>
    <mergeCell ref="JIO37:JIP37"/>
    <mergeCell ref="JIQ37:JIR37"/>
    <mergeCell ref="JIS37:JIT37"/>
    <mergeCell ref="JHW37:JHX37"/>
    <mergeCell ref="JHY37:JHZ37"/>
    <mergeCell ref="JIA37:JIB37"/>
    <mergeCell ref="JIC37:JID37"/>
    <mergeCell ref="JIE37:JIF37"/>
    <mergeCell ref="JIG37:JIH37"/>
    <mergeCell ref="JHK37:JHL37"/>
    <mergeCell ref="JHM37:JHN37"/>
    <mergeCell ref="JHO37:JHP37"/>
    <mergeCell ref="JHQ37:JHR37"/>
    <mergeCell ref="JHS37:JHT37"/>
    <mergeCell ref="JHU37:JHV37"/>
    <mergeCell ref="JMM37:JMN37"/>
    <mergeCell ref="JMO37:JMP37"/>
    <mergeCell ref="JMQ37:JMR37"/>
    <mergeCell ref="JMS37:JMT37"/>
    <mergeCell ref="JMU37:JMV37"/>
    <mergeCell ref="JMW37:JMX37"/>
    <mergeCell ref="JMA37:JMB37"/>
    <mergeCell ref="JMC37:JMD37"/>
    <mergeCell ref="JME37:JMF37"/>
    <mergeCell ref="JMG37:JMH37"/>
    <mergeCell ref="JMI37:JMJ37"/>
    <mergeCell ref="JMK37:JML37"/>
    <mergeCell ref="JLO37:JLP37"/>
    <mergeCell ref="JLQ37:JLR37"/>
    <mergeCell ref="JLS37:JLT37"/>
    <mergeCell ref="JLU37:JLV37"/>
    <mergeCell ref="JLW37:JLX37"/>
    <mergeCell ref="JLY37:JLZ37"/>
    <mergeCell ref="JLC37:JLD37"/>
    <mergeCell ref="JLE37:JLF37"/>
    <mergeCell ref="JLG37:JLH37"/>
    <mergeCell ref="JLI37:JLJ37"/>
    <mergeCell ref="JLK37:JLL37"/>
    <mergeCell ref="JLM37:JLN37"/>
    <mergeCell ref="JKQ37:JKR37"/>
    <mergeCell ref="JKS37:JKT37"/>
    <mergeCell ref="JKU37:JKV37"/>
    <mergeCell ref="JKW37:JKX37"/>
    <mergeCell ref="JKY37:JKZ37"/>
    <mergeCell ref="JLA37:JLB37"/>
    <mergeCell ref="JKE37:JKF37"/>
    <mergeCell ref="JKG37:JKH37"/>
    <mergeCell ref="JKI37:JKJ37"/>
    <mergeCell ref="JKK37:JKL37"/>
    <mergeCell ref="JKM37:JKN37"/>
    <mergeCell ref="JKO37:JKP37"/>
    <mergeCell ref="JPG37:JPH37"/>
    <mergeCell ref="JPI37:JPJ37"/>
    <mergeCell ref="JPK37:JPL37"/>
    <mergeCell ref="JPM37:JPN37"/>
    <mergeCell ref="JPO37:JPP37"/>
    <mergeCell ref="JPQ37:JPR37"/>
    <mergeCell ref="JOU37:JOV37"/>
    <mergeCell ref="JOW37:JOX37"/>
    <mergeCell ref="JOY37:JOZ37"/>
    <mergeCell ref="JPA37:JPB37"/>
    <mergeCell ref="JPC37:JPD37"/>
    <mergeCell ref="JPE37:JPF37"/>
    <mergeCell ref="JOI37:JOJ37"/>
    <mergeCell ref="JOK37:JOL37"/>
    <mergeCell ref="JOM37:JON37"/>
    <mergeCell ref="JOO37:JOP37"/>
    <mergeCell ref="JOQ37:JOR37"/>
    <mergeCell ref="JOS37:JOT37"/>
    <mergeCell ref="JNW37:JNX37"/>
    <mergeCell ref="JNY37:JNZ37"/>
    <mergeCell ref="JOA37:JOB37"/>
    <mergeCell ref="JOC37:JOD37"/>
    <mergeCell ref="JOE37:JOF37"/>
    <mergeCell ref="JOG37:JOH37"/>
    <mergeCell ref="JNK37:JNL37"/>
    <mergeCell ref="JNM37:JNN37"/>
    <mergeCell ref="JNO37:JNP37"/>
    <mergeCell ref="JNQ37:JNR37"/>
    <mergeCell ref="JNS37:JNT37"/>
    <mergeCell ref="JNU37:JNV37"/>
    <mergeCell ref="JMY37:JMZ37"/>
    <mergeCell ref="JNA37:JNB37"/>
    <mergeCell ref="JNC37:JND37"/>
    <mergeCell ref="JNE37:JNF37"/>
    <mergeCell ref="JNG37:JNH37"/>
    <mergeCell ref="JNI37:JNJ37"/>
    <mergeCell ref="JSA37:JSB37"/>
    <mergeCell ref="JSC37:JSD37"/>
    <mergeCell ref="JSE37:JSF37"/>
    <mergeCell ref="JSG37:JSH37"/>
    <mergeCell ref="JSI37:JSJ37"/>
    <mergeCell ref="JSK37:JSL37"/>
    <mergeCell ref="JRO37:JRP37"/>
    <mergeCell ref="JRQ37:JRR37"/>
    <mergeCell ref="JRS37:JRT37"/>
    <mergeCell ref="JRU37:JRV37"/>
    <mergeCell ref="JRW37:JRX37"/>
    <mergeCell ref="JRY37:JRZ37"/>
    <mergeCell ref="JRC37:JRD37"/>
    <mergeCell ref="JRE37:JRF37"/>
    <mergeCell ref="JRG37:JRH37"/>
    <mergeCell ref="JRI37:JRJ37"/>
    <mergeCell ref="JRK37:JRL37"/>
    <mergeCell ref="JRM37:JRN37"/>
    <mergeCell ref="JQQ37:JQR37"/>
    <mergeCell ref="JQS37:JQT37"/>
    <mergeCell ref="JQU37:JQV37"/>
    <mergeCell ref="JQW37:JQX37"/>
    <mergeCell ref="JQY37:JQZ37"/>
    <mergeCell ref="JRA37:JRB37"/>
    <mergeCell ref="JQE37:JQF37"/>
    <mergeCell ref="JQG37:JQH37"/>
    <mergeCell ref="JQI37:JQJ37"/>
    <mergeCell ref="JQK37:JQL37"/>
    <mergeCell ref="JQM37:JQN37"/>
    <mergeCell ref="JQO37:JQP37"/>
    <mergeCell ref="JPS37:JPT37"/>
    <mergeCell ref="JPU37:JPV37"/>
    <mergeCell ref="JPW37:JPX37"/>
    <mergeCell ref="JPY37:JPZ37"/>
    <mergeCell ref="JQA37:JQB37"/>
    <mergeCell ref="JQC37:JQD37"/>
    <mergeCell ref="JUU37:JUV37"/>
    <mergeCell ref="JUW37:JUX37"/>
    <mergeCell ref="JUY37:JUZ37"/>
    <mergeCell ref="JVA37:JVB37"/>
    <mergeCell ref="JVC37:JVD37"/>
    <mergeCell ref="JVE37:JVF37"/>
    <mergeCell ref="JUI37:JUJ37"/>
    <mergeCell ref="JUK37:JUL37"/>
    <mergeCell ref="JUM37:JUN37"/>
    <mergeCell ref="JUO37:JUP37"/>
    <mergeCell ref="JUQ37:JUR37"/>
    <mergeCell ref="JUS37:JUT37"/>
    <mergeCell ref="JTW37:JTX37"/>
    <mergeCell ref="JTY37:JTZ37"/>
    <mergeCell ref="JUA37:JUB37"/>
    <mergeCell ref="JUC37:JUD37"/>
    <mergeCell ref="JUE37:JUF37"/>
    <mergeCell ref="JUG37:JUH37"/>
    <mergeCell ref="JTK37:JTL37"/>
    <mergeCell ref="JTM37:JTN37"/>
    <mergeCell ref="JTO37:JTP37"/>
    <mergeCell ref="JTQ37:JTR37"/>
    <mergeCell ref="JTS37:JTT37"/>
    <mergeCell ref="JTU37:JTV37"/>
    <mergeCell ref="JSY37:JSZ37"/>
    <mergeCell ref="JTA37:JTB37"/>
    <mergeCell ref="JTC37:JTD37"/>
    <mergeCell ref="JTE37:JTF37"/>
    <mergeCell ref="JTG37:JTH37"/>
    <mergeCell ref="JTI37:JTJ37"/>
    <mergeCell ref="JSM37:JSN37"/>
    <mergeCell ref="JSO37:JSP37"/>
    <mergeCell ref="JSQ37:JSR37"/>
    <mergeCell ref="JSS37:JST37"/>
    <mergeCell ref="JSU37:JSV37"/>
    <mergeCell ref="JSW37:JSX37"/>
    <mergeCell ref="JXO37:JXP37"/>
    <mergeCell ref="JXQ37:JXR37"/>
    <mergeCell ref="JXS37:JXT37"/>
    <mergeCell ref="JXU37:JXV37"/>
    <mergeCell ref="JXW37:JXX37"/>
    <mergeCell ref="JXY37:JXZ37"/>
    <mergeCell ref="JXC37:JXD37"/>
    <mergeCell ref="JXE37:JXF37"/>
    <mergeCell ref="JXG37:JXH37"/>
    <mergeCell ref="JXI37:JXJ37"/>
    <mergeCell ref="JXK37:JXL37"/>
    <mergeCell ref="JXM37:JXN37"/>
    <mergeCell ref="JWQ37:JWR37"/>
    <mergeCell ref="JWS37:JWT37"/>
    <mergeCell ref="JWU37:JWV37"/>
    <mergeCell ref="JWW37:JWX37"/>
    <mergeCell ref="JWY37:JWZ37"/>
    <mergeCell ref="JXA37:JXB37"/>
    <mergeCell ref="JWE37:JWF37"/>
    <mergeCell ref="JWG37:JWH37"/>
    <mergeCell ref="JWI37:JWJ37"/>
    <mergeCell ref="JWK37:JWL37"/>
    <mergeCell ref="JWM37:JWN37"/>
    <mergeCell ref="JWO37:JWP37"/>
    <mergeCell ref="JVS37:JVT37"/>
    <mergeCell ref="JVU37:JVV37"/>
    <mergeCell ref="JVW37:JVX37"/>
    <mergeCell ref="JVY37:JVZ37"/>
    <mergeCell ref="JWA37:JWB37"/>
    <mergeCell ref="JWC37:JWD37"/>
    <mergeCell ref="JVG37:JVH37"/>
    <mergeCell ref="JVI37:JVJ37"/>
    <mergeCell ref="JVK37:JVL37"/>
    <mergeCell ref="JVM37:JVN37"/>
    <mergeCell ref="JVO37:JVP37"/>
    <mergeCell ref="JVQ37:JVR37"/>
    <mergeCell ref="KAI37:KAJ37"/>
    <mergeCell ref="KAK37:KAL37"/>
    <mergeCell ref="KAM37:KAN37"/>
    <mergeCell ref="KAO37:KAP37"/>
    <mergeCell ref="KAQ37:KAR37"/>
    <mergeCell ref="KAS37:KAT37"/>
    <mergeCell ref="JZW37:JZX37"/>
    <mergeCell ref="JZY37:JZZ37"/>
    <mergeCell ref="KAA37:KAB37"/>
    <mergeCell ref="KAC37:KAD37"/>
    <mergeCell ref="KAE37:KAF37"/>
    <mergeCell ref="KAG37:KAH37"/>
    <mergeCell ref="JZK37:JZL37"/>
    <mergeCell ref="JZM37:JZN37"/>
    <mergeCell ref="JZO37:JZP37"/>
    <mergeCell ref="JZQ37:JZR37"/>
    <mergeCell ref="JZS37:JZT37"/>
    <mergeCell ref="JZU37:JZV37"/>
    <mergeCell ref="JYY37:JYZ37"/>
    <mergeCell ref="JZA37:JZB37"/>
    <mergeCell ref="JZC37:JZD37"/>
    <mergeCell ref="JZE37:JZF37"/>
    <mergeCell ref="JZG37:JZH37"/>
    <mergeCell ref="JZI37:JZJ37"/>
    <mergeCell ref="JYM37:JYN37"/>
    <mergeCell ref="JYO37:JYP37"/>
    <mergeCell ref="JYQ37:JYR37"/>
    <mergeCell ref="JYS37:JYT37"/>
    <mergeCell ref="JYU37:JYV37"/>
    <mergeCell ref="JYW37:JYX37"/>
    <mergeCell ref="JYA37:JYB37"/>
    <mergeCell ref="JYC37:JYD37"/>
    <mergeCell ref="JYE37:JYF37"/>
    <mergeCell ref="JYG37:JYH37"/>
    <mergeCell ref="JYI37:JYJ37"/>
    <mergeCell ref="JYK37:JYL37"/>
    <mergeCell ref="KDC37:KDD37"/>
    <mergeCell ref="KDE37:KDF37"/>
    <mergeCell ref="KDG37:KDH37"/>
    <mergeCell ref="KDI37:KDJ37"/>
    <mergeCell ref="KDK37:KDL37"/>
    <mergeCell ref="KDM37:KDN37"/>
    <mergeCell ref="KCQ37:KCR37"/>
    <mergeCell ref="KCS37:KCT37"/>
    <mergeCell ref="KCU37:KCV37"/>
    <mergeCell ref="KCW37:KCX37"/>
    <mergeCell ref="KCY37:KCZ37"/>
    <mergeCell ref="KDA37:KDB37"/>
    <mergeCell ref="KCE37:KCF37"/>
    <mergeCell ref="KCG37:KCH37"/>
    <mergeCell ref="KCI37:KCJ37"/>
    <mergeCell ref="KCK37:KCL37"/>
    <mergeCell ref="KCM37:KCN37"/>
    <mergeCell ref="KCO37:KCP37"/>
    <mergeCell ref="KBS37:KBT37"/>
    <mergeCell ref="KBU37:KBV37"/>
    <mergeCell ref="KBW37:KBX37"/>
    <mergeCell ref="KBY37:KBZ37"/>
    <mergeCell ref="KCA37:KCB37"/>
    <mergeCell ref="KCC37:KCD37"/>
    <mergeCell ref="KBG37:KBH37"/>
    <mergeCell ref="KBI37:KBJ37"/>
    <mergeCell ref="KBK37:KBL37"/>
    <mergeCell ref="KBM37:KBN37"/>
    <mergeCell ref="KBO37:KBP37"/>
    <mergeCell ref="KBQ37:KBR37"/>
    <mergeCell ref="KAU37:KAV37"/>
    <mergeCell ref="KAW37:KAX37"/>
    <mergeCell ref="KAY37:KAZ37"/>
    <mergeCell ref="KBA37:KBB37"/>
    <mergeCell ref="KBC37:KBD37"/>
    <mergeCell ref="KBE37:KBF37"/>
    <mergeCell ref="KFW37:KFX37"/>
    <mergeCell ref="KFY37:KFZ37"/>
    <mergeCell ref="KGA37:KGB37"/>
    <mergeCell ref="KGC37:KGD37"/>
    <mergeCell ref="KGE37:KGF37"/>
    <mergeCell ref="KGG37:KGH37"/>
    <mergeCell ref="KFK37:KFL37"/>
    <mergeCell ref="KFM37:KFN37"/>
    <mergeCell ref="KFO37:KFP37"/>
    <mergeCell ref="KFQ37:KFR37"/>
    <mergeCell ref="KFS37:KFT37"/>
    <mergeCell ref="KFU37:KFV37"/>
    <mergeCell ref="KEY37:KEZ37"/>
    <mergeCell ref="KFA37:KFB37"/>
    <mergeCell ref="KFC37:KFD37"/>
    <mergeCell ref="KFE37:KFF37"/>
    <mergeCell ref="KFG37:KFH37"/>
    <mergeCell ref="KFI37:KFJ37"/>
    <mergeCell ref="KEM37:KEN37"/>
    <mergeCell ref="KEO37:KEP37"/>
    <mergeCell ref="KEQ37:KER37"/>
    <mergeCell ref="KES37:KET37"/>
    <mergeCell ref="KEU37:KEV37"/>
    <mergeCell ref="KEW37:KEX37"/>
    <mergeCell ref="KEA37:KEB37"/>
    <mergeCell ref="KEC37:KED37"/>
    <mergeCell ref="KEE37:KEF37"/>
    <mergeCell ref="KEG37:KEH37"/>
    <mergeCell ref="KEI37:KEJ37"/>
    <mergeCell ref="KEK37:KEL37"/>
    <mergeCell ref="KDO37:KDP37"/>
    <mergeCell ref="KDQ37:KDR37"/>
    <mergeCell ref="KDS37:KDT37"/>
    <mergeCell ref="KDU37:KDV37"/>
    <mergeCell ref="KDW37:KDX37"/>
    <mergeCell ref="KDY37:KDZ37"/>
    <mergeCell ref="KIQ37:KIR37"/>
    <mergeCell ref="KIS37:KIT37"/>
    <mergeCell ref="KIU37:KIV37"/>
    <mergeCell ref="KIW37:KIX37"/>
    <mergeCell ref="KIY37:KIZ37"/>
    <mergeCell ref="KJA37:KJB37"/>
    <mergeCell ref="KIE37:KIF37"/>
    <mergeCell ref="KIG37:KIH37"/>
    <mergeCell ref="KII37:KIJ37"/>
    <mergeCell ref="KIK37:KIL37"/>
    <mergeCell ref="KIM37:KIN37"/>
    <mergeCell ref="KIO37:KIP37"/>
    <mergeCell ref="KHS37:KHT37"/>
    <mergeCell ref="KHU37:KHV37"/>
    <mergeCell ref="KHW37:KHX37"/>
    <mergeCell ref="KHY37:KHZ37"/>
    <mergeCell ref="KIA37:KIB37"/>
    <mergeCell ref="KIC37:KID37"/>
    <mergeCell ref="KHG37:KHH37"/>
    <mergeCell ref="KHI37:KHJ37"/>
    <mergeCell ref="KHK37:KHL37"/>
    <mergeCell ref="KHM37:KHN37"/>
    <mergeCell ref="KHO37:KHP37"/>
    <mergeCell ref="KHQ37:KHR37"/>
    <mergeCell ref="KGU37:KGV37"/>
    <mergeCell ref="KGW37:KGX37"/>
    <mergeCell ref="KGY37:KGZ37"/>
    <mergeCell ref="KHA37:KHB37"/>
    <mergeCell ref="KHC37:KHD37"/>
    <mergeCell ref="KHE37:KHF37"/>
    <mergeCell ref="KGI37:KGJ37"/>
    <mergeCell ref="KGK37:KGL37"/>
    <mergeCell ref="KGM37:KGN37"/>
    <mergeCell ref="KGO37:KGP37"/>
    <mergeCell ref="KGQ37:KGR37"/>
    <mergeCell ref="KGS37:KGT37"/>
    <mergeCell ref="KLK37:KLL37"/>
    <mergeCell ref="KLM37:KLN37"/>
    <mergeCell ref="KLO37:KLP37"/>
    <mergeCell ref="KLQ37:KLR37"/>
    <mergeCell ref="KLS37:KLT37"/>
    <mergeCell ref="KLU37:KLV37"/>
    <mergeCell ref="KKY37:KKZ37"/>
    <mergeCell ref="KLA37:KLB37"/>
    <mergeCell ref="KLC37:KLD37"/>
    <mergeCell ref="KLE37:KLF37"/>
    <mergeCell ref="KLG37:KLH37"/>
    <mergeCell ref="KLI37:KLJ37"/>
    <mergeCell ref="KKM37:KKN37"/>
    <mergeCell ref="KKO37:KKP37"/>
    <mergeCell ref="KKQ37:KKR37"/>
    <mergeCell ref="KKS37:KKT37"/>
    <mergeCell ref="KKU37:KKV37"/>
    <mergeCell ref="KKW37:KKX37"/>
    <mergeCell ref="KKA37:KKB37"/>
    <mergeCell ref="KKC37:KKD37"/>
    <mergeCell ref="KKE37:KKF37"/>
    <mergeCell ref="KKG37:KKH37"/>
    <mergeCell ref="KKI37:KKJ37"/>
    <mergeCell ref="KKK37:KKL37"/>
    <mergeCell ref="KJO37:KJP37"/>
    <mergeCell ref="KJQ37:KJR37"/>
    <mergeCell ref="KJS37:KJT37"/>
    <mergeCell ref="KJU37:KJV37"/>
    <mergeCell ref="KJW37:KJX37"/>
    <mergeCell ref="KJY37:KJZ37"/>
    <mergeCell ref="KJC37:KJD37"/>
    <mergeCell ref="KJE37:KJF37"/>
    <mergeCell ref="KJG37:KJH37"/>
    <mergeCell ref="KJI37:KJJ37"/>
    <mergeCell ref="KJK37:KJL37"/>
    <mergeCell ref="KJM37:KJN37"/>
    <mergeCell ref="KOE37:KOF37"/>
    <mergeCell ref="KOG37:KOH37"/>
    <mergeCell ref="KOI37:KOJ37"/>
    <mergeCell ref="KOK37:KOL37"/>
    <mergeCell ref="KOM37:KON37"/>
    <mergeCell ref="KOO37:KOP37"/>
    <mergeCell ref="KNS37:KNT37"/>
    <mergeCell ref="KNU37:KNV37"/>
    <mergeCell ref="KNW37:KNX37"/>
    <mergeCell ref="KNY37:KNZ37"/>
    <mergeCell ref="KOA37:KOB37"/>
    <mergeCell ref="KOC37:KOD37"/>
    <mergeCell ref="KNG37:KNH37"/>
    <mergeCell ref="KNI37:KNJ37"/>
    <mergeCell ref="KNK37:KNL37"/>
    <mergeCell ref="KNM37:KNN37"/>
    <mergeCell ref="KNO37:KNP37"/>
    <mergeCell ref="KNQ37:KNR37"/>
    <mergeCell ref="KMU37:KMV37"/>
    <mergeCell ref="KMW37:KMX37"/>
    <mergeCell ref="KMY37:KMZ37"/>
    <mergeCell ref="KNA37:KNB37"/>
    <mergeCell ref="KNC37:KND37"/>
    <mergeCell ref="KNE37:KNF37"/>
    <mergeCell ref="KMI37:KMJ37"/>
    <mergeCell ref="KMK37:KML37"/>
    <mergeCell ref="KMM37:KMN37"/>
    <mergeCell ref="KMO37:KMP37"/>
    <mergeCell ref="KMQ37:KMR37"/>
    <mergeCell ref="KMS37:KMT37"/>
    <mergeCell ref="KLW37:KLX37"/>
    <mergeCell ref="KLY37:KLZ37"/>
    <mergeCell ref="KMA37:KMB37"/>
    <mergeCell ref="KMC37:KMD37"/>
    <mergeCell ref="KME37:KMF37"/>
    <mergeCell ref="KMG37:KMH37"/>
    <mergeCell ref="KQY37:KQZ37"/>
    <mergeCell ref="KRA37:KRB37"/>
    <mergeCell ref="KRC37:KRD37"/>
    <mergeCell ref="KRE37:KRF37"/>
    <mergeCell ref="KRG37:KRH37"/>
    <mergeCell ref="KRI37:KRJ37"/>
    <mergeCell ref="KQM37:KQN37"/>
    <mergeCell ref="KQO37:KQP37"/>
    <mergeCell ref="KQQ37:KQR37"/>
    <mergeCell ref="KQS37:KQT37"/>
    <mergeCell ref="KQU37:KQV37"/>
    <mergeCell ref="KQW37:KQX37"/>
    <mergeCell ref="KQA37:KQB37"/>
    <mergeCell ref="KQC37:KQD37"/>
    <mergeCell ref="KQE37:KQF37"/>
    <mergeCell ref="KQG37:KQH37"/>
    <mergeCell ref="KQI37:KQJ37"/>
    <mergeCell ref="KQK37:KQL37"/>
    <mergeCell ref="KPO37:KPP37"/>
    <mergeCell ref="KPQ37:KPR37"/>
    <mergeCell ref="KPS37:KPT37"/>
    <mergeCell ref="KPU37:KPV37"/>
    <mergeCell ref="KPW37:KPX37"/>
    <mergeCell ref="KPY37:KPZ37"/>
    <mergeCell ref="KPC37:KPD37"/>
    <mergeCell ref="KPE37:KPF37"/>
    <mergeCell ref="KPG37:KPH37"/>
    <mergeCell ref="KPI37:KPJ37"/>
    <mergeCell ref="KPK37:KPL37"/>
    <mergeCell ref="KPM37:KPN37"/>
    <mergeCell ref="KOQ37:KOR37"/>
    <mergeCell ref="KOS37:KOT37"/>
    <mergeCell ref="KOU37:KOV37"/>
    <mergeCell ref="KOW37:KOX37"/>
    <mergeCell ref="KOY37:KOZ37"/>
    <mergeCell ref="KPA37:KPB37"/>
    <mergeCell ref="KTS37:KTT37"/>
    <mergeCell ref="KTU37:KTV37"/>
    <mergeCell ref="KTW37:KTX37"/>
    <mergeCell ref="KTY37:KTZ37"/>
    <mergeCell ref="KUA37:KUB37"/>
    <mergeCell ref="KUC37:KUD37"/>
    <mergeCell ref="KTG37:KTH37"/>
    <mergeCell ref="KTI37:KTJ37"/>
    <mergeCell ref="KTK37:KTL37"/>
    <mergeCell ref="KTM37:KTN37"/>
    <mergeCell ref="KTO37:KTP37"/>
    <mergeCell ref="KTQ37:KTR37"/>
    <mergeCell ref="KSU37:KSV37"/>
    <mergeCell ref="KSW37:KSX37"/>
    <mergeCell ref="KSY37:KSZ37"/>
    <mergeCell ref="KTA37:KTB37"/>
    <mergeCell ref="KTC37:KTD37"/>
    <mergeCell ref="KTE37:KTF37"/>
    <mergeCell ref="KSI37:KSJ37"/>
    <mergeCell ref="KSK37:KSL37"/>
    <mergeCell ref="KSM37:KSN37"/>
    <mergeCell ref="KSO37:KSP37"/>
    <mergeCell ref="KSQ37:KSR37"/>
    <mergeCell ref="KSS37:KST37"/>
    <mergeCell ref="KRW37:KRX37"/>
    <mergeCell ref="KRY37:KRZ37"/>
    <mergeCell ref="KSA37:KSB37"/>
    <mergeCell ref="KSC37:KSD37"/>
    <mergeCell ref="KSE37:KSF37"/>
    <mergeCell ref="KSG37:KSH37"/>
    <mergeCell ref="KRK37:KRL37"/>
    <mergeCell ref="KRM37:KRN37"/>
    <mergeCell ref="KRO37:KRP37"/>
    <mergeCell ref="KRQ37:KRR37"/>
    <mergeCell ref="KRS37:KRT37"/>
    <mergeCell ref="KRU37:KRV37"/>
    <mergeCell ref="KWM37:KWN37"/>
    <mergeCell ref="KWO37:KWP37"/>
    <mergeCell ref="KWQ37:KWR37"/>
    <mergeCell ref="KWS37:KWT37"/>
    <mergeCell ref="KWU37:KWV37"/>
    <mergeCell ref="KWW37:KWX37"/>
    <mergeCell ref="KWA37:KWB37"/>
    <mergeCell ref="KWC37:KWD37"/>
    <mergeCell ref="KWE37:KWF37"/>
    <mergeCell ref="KWG37:KWH37"/>
    <mergeCell ref="KWI37:KWJ37"/>
    <mergeCell ref="KWK37:KWL37"/>
    <mergeCell ref="KVO37:KVP37"/>
    <mergeCell ref="KVQ37:KVR37"/>
    <mergeCell ref="KVS37:KVT37"/>
    <mergeCell ref="KVU37:KVV37"/>
    <mergeCell ref="KVW37:KVX37"/>
    <mergeCell ref="KVY37:KVZ37"/>
    <mergeCell ref="KVC37:KVD37"/>
    <mergeCell ref="KVE37:KVF37"/>
    <mergeCell ref="KVG37:KVH37"/>
    <mergeCell ref="KVI37:KVJ37"/>
    <mergeCell ref="KVK37:KVL37"/>
    <mergeCell ref="KVM37:KVN37"/>
    <mergeCell ref="KUQ37:KUR37"/>
    <mergeCell ref="KUS37:KUT37"/>
    <mergeCell ref="KUU37:KUV37"/>
    <mergeCell ref="KUW37:KUX37"/>
    <mergeCell ref="KUY37:KUZ37"/>
    <mergeCell ref="KVA37:KVB37"/>
    <mergeCell ref="KUE37:KUF37"/>
    <mergeCell ref="KUG37:KUH37"/>
    <mergeCell ref="KUI37:KUJ37"/>
    <mergeCell ref="KUK37:KUL37"/>
    <mergeCell ref="KUM37:KUN37"/>
    <mergeCell ref="KUO37:KUP37"/>
    <mergeCell ref="KZG37:KZH37"/>
    <mergeCell ref="KZI37:KZJ37"/>
    <mergeCell ref="KZK37:KZL37"/>
    <mergeCell ref="KZM37:KZN37"/>
    <mergeCell ref="KZO37:KZP37"/>
    <mergeCell ref="KZQ37:KZR37"/>
    <mergeCell ref="KYU37:KYV37"/>
    <mergeCell ref="KYW37:KYX37"/>
    <mergeCell ref="KYY37:KYZ37"/>
    <mergeCell ref="KZA37:KZB37"/>
    <mergeCell ref="KZC37:KZD37"/>
    <mergeCell ref="KZE37:KZF37"/>
    <mergeCell ref="KYI37:KYJ37"/>
    <mergeCell ref="KYK37:KYL37"/>
    <mergeCell ref="KYM37:KYN37"/>
    <mergeCell ref="KYO37:KYP37"/>
    <mergeCell ref="KYQ37:KYR37"/>
    <mergeCell ref="KYS37:KYT37"/>
    <mergeCell ref="KXW37:KXX37"/>
    <mergeCell ref="KXY37:KXZ37"/>
    <mergeCell ref="KYA37:KYB37"/>
    <mergeCell ref="KYC37:KYD37"/>
    <mergeCell ref="KYE37:KYF37"/>
    <mergeCell ref="KYG37:KYH37"/>
    <mergeCell ref="KXK37:KXL37"/>
    <mergeCell ref="KXM37:KXN37"/>
    <mergeCell ref="KXO37:KXP37"/>
    <mergeCell ref="KXQ37:KXR37"/>
    <mergeCell ref="KXS37:KXT37"/>
    <mergeCell ref="KXU37:KXV37"/>
    <mergeCell ref="KWY37:KWZ37"/>
    <mergeCell ref="KXA37:KXB37"/>
    <mergeCell ref="KXC37:KXD37"/>
    <mergeCell ref="KXE37:KXF37"/>
    <mergeCell ref="KXG37:KXH37"/>
    <mergeCell ref="KXI37:KXJ37"/>
    <mergeCell ref="LCA37:LCB37"/>
    <mergeCell ref="LCC37:LCD37"/>
    <mergeCell ref="LCE37:LCF37"/>
    <mergeCell ref="LCG37:LCH37"/>
    <mergeCell ref="LCI37:LCJ37"/>
    <mergeCell ref="LCK37:LCL37"/>
    <mergeCell ref="LBO37:LBP37"/>
    <mergeCell ref="LBQ37:LBR37"/>
    <mergeCell ref="LBS37:LBT37"/>
    <mergeCell ref="LBU37:LBV37"/>
    <mergeCell ref="LBW37:LBX37"/>
    <mergeCell ref="LBY37:LBZ37"/>
    <mergeCell ref="LBC37:LBD37"/>
    <mergeCell ref="LBE37:LBF37"/>
    <mergeCell ref="LBG37:LBH37"/>
    <mergeCell ref="LBI37:LBJ37"/>
    <mergeCell ref="LBK37:LBL37"/>
    <mergeCell ref="LBM37:LBN37"/>
    <mergeCell ref="LAQ37:LAR37"/>
    <mergeCell ref="LAS37:LAT37"/>
    <mergeCell ref="LAU37:LAV37"/>
    <mergeCell ref="LAW37:LAX37"/>
    <mergeCell ref="LAY37:LAZ37"/>
    <mergeCell ref="LBA37:LBB37"/>
    <mergeCell ref="LAE37:LAF37"/>
    <mergeCell ref="LAG37:LAH37"/>
    <mergeCell ref="LAI37:LAJ37"/>
    <mergeCell ref="LAK37:LAL37"/>
    <mergeCell ref="LAM37:LAN37"/>
    <mergeCell ref="LAO37:LAP37"/>
    <mergeCell ref="KZS37:KZT37"/>
    <mergeCell ref="KZU37:KZV37"/>
    <mergeCell ref="KZW37:KZX37"/>
    <mergeCell ref="KZY37:KZZ37"/>
    <mergeCell ref="LAA37:LAB37"/>
    <mergeCell ref="LAC37:LAD37"/>
    <mergeCell ref="LEU37:LEV37"/>
    <mergeCell ref="LEW37:LEX37"/>
    <mergeCell ref="LEY37:LEZ37"/>
    <mergeCell ref="LFA37:LFB37"/>
    <mergeCell ref="LFC37:LFD37"/>
    <mergeCell ref="LFE37:LFF37"/>
    <mergeCell ref="LEI37:LEJ37"/>
    <mergeCell ref="LEK37:LEL37"/>
    <mergeCell ref="LEM37:LEN37"/>
    <mergeCell ref="LEO37:LEP37"/>
    <mergeCell ref="LEQ37:LER37"/>
    <mergeCell ref="LES37:LET37"/>
    <mergeCell ref="LDW37:LDX37"/>
    <mergeCell ref="LDY37:LDZ37"/>
    <mergeCell ref="LEA37:LEB37"/>
    <mergeCell ref="LEC37:LED37"/>
    <mergeCell ref="LEE37:LEF37"/>
    <mergeCell ref="LEG37:LEH37"/>
    <mergeCell ref="LDK37:LDL37"/>
    <mergeCell ref="LDM37:LDN37"/>
    <mergeCell ref="LDO37:LDP37"/>
    <mergeCell ref="LDQ37:LDR37"/>
    <mergeCell ref="LDS37:LDT37"/>
    <mergeCell ref="LDU37:LDV37"/>
    <mergeCell ref="LCY37:LCZ37"/>
    <mergeCell ref="LDA37:LDB37"/>
    <mergeCell ref="LDC37:LDD37"/>
    <mergeCell ref="LDE37:LDF37"/>
    <mergeCell ref="LDG37:LDH37"/>
    <mergeCell ref="LDI37:LDJ37"/>
    <mergeCell ref="LCM37:LCN37"/>
    <mergeCell ref="LCO37:LCP37"/>
    <mergeCell ref="LCQ37:LCR37"/>
    <mergeCell ref="LCS37:LCT37"/>
    <mergeCell ref="LCU37:LCV37"/>
    <mergeCell ref="LCW37:LCX37"/>
    <mergeCell ref="LHO37:LHP37"/>
    <mergeCell ref="LHQ37:LHR37"/>
    <mergeCell ref="LHS37:LHT37"/>
    <mergeCell ref="LHU37:LHV37"/>
    <mergeCell ref="LHW37:LHX37"/>
    <mergeCell ref="LHY37:LHZ37"/>
    <mergeCell ref="LHC37:LHD37"/>
    <mergeCell ref="LHE37:LHF37"/>
    <mergeCell ref="LHG37:LHH37"/>
    <mergeCell ref="LHI37:LHJ37"/>
    <mergeCell ref="LHK37:LHL37"/>
    <mergeCell ref="LHM37:LHN37"/>
    <mergeCell ref="LGQ37:LGR37"/>
    <mergeCell ref="LGS37:LGT37"/>
    <mergeCell ref="LGU37:LGV37"/>
    <mergeCell ref="LGW37:LGX37"/>
    <mergeCell ref="LGY37:LGZ37"/>
    <mergeCell ref="LHA37:LHB37"/>
    <mergeCell ref="LGE37:LGF37"/>
    <mergeCell ref="LGG37:LGH37"/>
    <mergeCell ref="LGI37:LGJ37"/>
    <mergeCell ref="LGK37:LGL37"/>
    <mergeCell ref="LGM37:LGN37"/>
    <mergeCell ref="LGO37:LGP37"/>
    <mergeCell ref="LFS37:LFT37"/>
    <mergeCell ref="LFU37:LFV37"/>
    <mergeCell ref="LFW37:LFX37"/>
    <mergeCell ref="LFY37:LFZ37"/>
    <mergeCell ref="LGA37:LGB37"/>
    <mergeCell ref="LGC37:LGD37"/>
    <mergeCell ref="LFG37:LFH37"/>
    <mergeCell ref="LFI37:LFJ37"/>
    <mergeCell ref="LFK37:LFL37"/>
    <mergeCell ref="LFM37:LFN37"/>
    <mergeCell ref="LFO37:LFP37"/>
    <mergeCell ref="LFQ37:LFR37"/>
    <mergeCell ref="LKI37:LKJ37"/>
    <mergeCell ref="LKK37:LKL37"/>
    <mergeCell ref="LKM37:LKN37"/>
    <mergeCell ref="LKO37:LKP37"/>
    <mergeCell ref="LKQ37:LKR37"/>
    <mergeCell ref="LKS37:LKT37"/>
    <mergeCell ref="LJW37:LJX37"/>
    <mergeCell ref="LJY37:LJZ37"/>
    <mergeCell ref="LKA37:LKB37"/>
    <mergeCell ref="LKC37:LKD37"/>
    <mergeCell ref="LKE37:LKF37"/>
    <mergeCell ref="LKG37:LKH37"/>
    <mergeCell ref="LJK37:LJL37"/>
    <mergeCell ref="LJM37:LJN37"/>
    <mergeCell ref="LJO37:LJP37"/>
    <mergeCell ref="LJQ37:LJR37"/>
    <mergeCell ref="LJS37:LJT37"/>
    <mergeCell ref="LJU37:LJV37"/>
    <mergeCell ref="LIY37:LIZ37"/>
    <mergeCell ref="LJA37:LJB37"/>
    <mergeCell ref="LJC37:LJD37"/>
    <mergeCell ref="LJE37:LJF37"/>
    <mergeCell ref="LJG37:LJH37"/>
    <mergeCell ref="LJI37:LJJ37"/>
    <mergeCell ref="LIM37:LIN37"/>
    <mergeCell ref="LIO37:LIP37"/>
    <mergeCell ref="LIQ37:LIR37"/>
    <mergeCell ref="LIS37:LIT37"/>
    <mergeCell ref="LIU37:LIV37"/>
    <mergeCell ref="LIW37:LIX37"/>
    <mergeCell ref="LIA37:LIB37"/>
    <mergeCell ref="LIC37:LID37"/>
    <mergeCell ref="LIE37:LIF37"/>
    <mergeCell ref="LIG37:LIH37"/>
    <mergeCell ref="LII37:LIJ37"/>
    <mergeCell ref="LIK37:LIL37"/>
    <mergeCell ref="LNC37:LND37"/>
    <mergeCell ref="LNE37:LNF37"/>
    <mergeCell ref="LNG37:LNH37"/>
    <mergeCell ref="LNI37:LNJ37"/>
    <mergeCell ref="LNK37:LNL37"/>
    <mergeCell ref="LNM37:LNN37"/>
    <mergeCell ref="LMQ37:LMR37"/>
    <mergeCell ref="LMS37:LMT37"/>
    <mergeCell ref="LMU37:LMV37"/>
    <mergeCell ref="LMW37:LMX37"/>
    <mergeCell ref="LMY37:LMZ37"/>
    <mergeCell ref="LNA37:LNB37"/>
    <mergeCell ref="LME37:LMF37"/>
    <mergeCell ref="LMG37:LMH37"/>
    <mergeCell ref="LMI37:LMJ37"/>
    <mergeCell ref="LMK37:LML37"/>
    <mergeCell ref="LMM37:LMN37"/>
    <mergeCell ref="LMO37:LMP37"/>
    <mergeCell ref="LLS37:LLT37"/>
    <mergeCell ref="LLU37:LLV37"/>
    <mergeCell ref="LLW37:LLX37"/>
    <mergeCell ref="LLY37:LLZ37"/>
    <mergeCell ref="LMA37:LMB37"/>
    <mergeCell ref="LMC37:LMD37"/>
    <mergeCell ref="LLG37:LLH37"/>
    <mergeCell ref="LLI37:LLJ37"/>
    <mergeCell ref="LLK37:LLL37"/>
    <mergeCell ref="LLM37:LLN37"/>
    <mergeCell ref="LLO37:LLP37"/>
    <mergeCell ref="LLQ37:LLR37"/>
    <mergeCell ref="LKU37:LKV37"/>
    <mergeCell ref="LKW37:LKX37"/>
    <mergeCell ref="LKY37:LKZ37"/>
    <mergeCell ref="LLA37:LLB37"/>
    <mergeCell ref="LLC37:LLD37"/>
    <mergeCell ref="LLE37:LLF37"/>
    <mergeCell ref="LPW37:LPX37"/>
    <mergeCell ref="LPY37:LPZ37"/>
    <mergeCell ref="LQA37:LQB37"/>
    <mergeCell ref="LQC37:LQD37"/>
    <mergeCell ref="LQE37:LQF37"/>
    <mergeCell ref="LQG37:LQH37"/>
    <mergeCell ref="LPK37:LPL37"/>
    <mergeCell ref="LPM37:LPN37"/>
    <mergeCell ref="LPO37:LPP37"/>
    <mergeCell ref="LPQ37:LPR37"/>
    <mergeCell ref="LPS37:LPT37"/>
    <mergeCell ref="LPU37:LPV37"/>
    <mergeCell ref="LOY37:LOZ37"/>
    <mergeCell ref="LPA37:LPB37"/>
    <mergeCell ref="LPC37:LPD37"/>
    <mergeCell ref="LPE37:LPF37"/>
    <mergeCell ref="LPG37:LPH37"/>
    <mergeCell ref="LPI37:LPJ37"/>
    <mergeCell ref="LOM37:LON37"/>
    <mergeCell ref="LOO37:LOP37"/>
    <mergeCell ref="LOQ37:LOR37"/>
    <mergeCell ref="LOS37:LOT37"/>
    <mergeCell ref="LOU37:LOV37"/>
    <mergeCell ref="LOW37:LOX37"/>
    <mergeCell ref="LOA37:LOB37"/>
    <mergeCell ref="LOC37:LOD37"/>
    <mergeCell ref="LOE37:LOF37"/>
    <mergeCell ref="LOG37:LOH37"/>
    <mergeCell ref="LOI37:LOJ37"/>
    <mergeCell ref="LOK37:LOL37"/>
    <mergeCell ref="LNO37:LNP37"/>
    <mergeCell ref="LNQ37:LNR37"/>
    <mergeCell ref="LNS37:LNT37"/>
    <mergeCell ref="LNU37:LNV37"/>
    <mergeCell ref="LNW37:LNX37"/>
    <mergeCell ref="LNY37:LNZ37"/>
    <mergeCell ref="LSQ37:LSR37"/>
    <mergeCell ref="LSS37:LST37"/>
    <mergeCell ref="LSU37:LSV37"/>
    <mergeCell ref="LSW37:LSX37"/>
    <mergeCell ref="LSY37:LSZ37"/>
    <mergeCell ref="LTA37:LTB37"/>
    <mergeCell ref="LSE37:LSF37"/>
    <mergeCell ref="LSG37:LSH37"/>
    <mergeCell ref="LSI37:LSJ37"/>
    <mergeCell ref="LSK37:LSL37"/>
    <mergeCell ref="LSM37:LSN37"/>
    <mergeCell ref="LSO37:LSP37"/>
    <mergeCell ref="LRS37:LRT37"/>
    <mergeCell ref="LRU37:LRV37"/>
    <mergeCell ref="LRW37:LRX37"/>
    <mergeCell ref="LRY37:LRZ37"/>
    <mergeCell ref="LSA37:LSB37"/>
    <mergeCell ref="LSC37:LSD37"/>
    <mergeCell ref="LRG37:LRH37"/>
    <mergeCell ref="LRI37:LRJ37"/>
    <mergeCell ref="LRK37:LRL37"/>
    <mergeCell ref="LRM37:LRN37"/>
    <mergeCell ref="LRO37:LRP37"/>
    <mergeCell ref="LRQ37:LRR37"/>
    <mergeCell ref="LQU37:LQV37"/>
    <mergeCell ref="LQW37:LQX37"/>
    <mergeCell ref="LQY37:LQZ37"/>
    <mergeCell ref="LRA37:LRB37"/>
    <mergeCell ref="LRC37:LRD37"/>
    <mergeCell ref="LRE37:LRF37"/>
    <mergeCell ref="LQI37:LQJ37"/>
    <mergeCell ref="LQK37:LQL37"/>
    <mergeCell ref="LQM37:LQN37"/>
    <mergeCell ref="LQO37:LQP37"/>
    <mergeCell ref="LQQ37:LQR37"/>
    <mergeCell ref="LQS37:LQT37"/>
    <mergeCell ref="LVK37:LVL37"/>
    <mergeCell ref="LVM37:LVN37"/>
    <mergeCell ref="LVO37:LVP37"/>
    <mergeCell ref="LVQ37:LVR37"/>
    <mergeCell ref="LVS37:LVT37"/>
    <mergeCell ref="LVU37:LVV37"/>
    <mergeCell ref="LUY37:LUZ37"/>
    <mergeCell ref="LVA37:LVB37"/>
    <mergeCell ref="LVC37:LVD37"/>
    <mergeCell ref="LVE37:LVF37"/>
    <mergeCell ref="LVG37:LVH37"/>
    <mergeCell ref="LVI37:LVJ37"/>
    <mergeCell ref="LUM37:LUN37"/>
    <mergeCell ref="LUO37:LUP37"/>
    <mergeCell ref="LUQ37:LUR37"/>
    <mergeCell ref="LUS37:LUT37"/>
    <mergeCell ref="LUU37:LUV37"/>
    <mergeCell ref="LUW37:LUX37"/>
    <mergeCell ref="LUA37:LUB37"/>
    <mergeCell ref="LUC37:LUD37"/>
    <mergeCell ref="LUE37:LUF37"/>
    <mergeCell ref="LUG37:LUH37"/>
    <mergeCell ref="LUI37:LUJ37"/>
    <mergeCell ref="LUK37:LUL37"/>
    <mergeCell ref="LTO37:LTP37"/>
    <mergeCell ref="LTQ37:LTR37"/>
    <mergeCell ref="LTS37:LTT37"/>
    <mergeCell ref="LTU37:LTV37"/>
    <mergeCell ref="LTW37:LTX37"/>
    <mergeCell ref="LTY37:LTZ37"/>
    <mergeCell ref="LTC37:LTD37"/>
    <mergeCell ref="LTE37:LTF37"/>
    <mergeCell ref="LTG37:LTH37"/>
    <mergeCell ref="LTI37:LTJ37"/>
    <mergeCell ref="LTK37:LTL37"/>
    <mergeCell ref="LTM37:LTN37"/>
    <mergeCell ref="LYE37:LYF37"/>
    <mergeCell ref="LYG37:LYH37"/>
    <mergeCell ref="LYI37:LYJ37"/>
    <mergeCell ref="LYK37:LYL37"/>
    <mergeCell ref="LYM37:LYN37"/>
    <mergeCell ref="LYO37:LYP37"/>
    <mergeCell ref="LXS37:LXT37"/>
    <mergeCell ref="LXU37:LXV37"/>
    <mergeCell ref="LXW37:LXX37"/>
    <mergeCell ref="LXY37:LXZ37"/>
    <mergeCell ref="LYA37:LYB37"/>
    <mergeCell ref="LYC37:LYD37"/>
    <mergeCell ref="LXG37:LXH37"/>
    <mergeCell ref="LXI37:LXJ37"/>
    <mergeCell ref="LXK37:LXL37"/>
    <mergeCell ref="LXM37:LXN37"/>
    <mergeCell ref="LXO37:LXP37"/>
    <mergeCell ref="LXQ37:LXR37"/>
    <mergeCell ref="LWU37:LWV37"/>
    <mergeCell ref="LWW37:LWX37"/>
    <mergeCell ref="LWY37:LWZ37"/>
    <mergeCell ref="LXA37:LXB37"/>
    <mergeCell ref="LXC37:LXD37"/>
    <mergeCell ref="LXE37:LXF37"/>
    <mergeCell ref="LWI37:LWJ37"/>
    <mergeCell ref="LWK37:LWL37"/>
    <mergeCell ref="LWM37:LWN37"/>
    <mergeCell ref="LWO37:LWP37"/>
    <mergeCell ref="LWQ37:LWR37"/>
    <mergeCell ref="LWS37:LWT37"/>
    <mergeCell ref="LVW37:LVX37"/>
    <mergeCell ref="LVY37:LVZ37"/>
    <mergeCell ref="LWA37:LWB37"/>
    <mergeCell ref="LWC37:LWD37"/>
    <mergeCell ref="LWE37:LWF37"/>
    <mergeCell ref="LWG37:LWH37"/>
    <mergeCell ref="MAY37:MAZ37"/>
    <mergeCell ref="MBA37:MBB37"/>
    <mergeCell ref="MBC37:MBD37"/>
    <mergeCell ref="MBE37:MBF37"/>
    <mergeCell ref="MBG37:MBH37"/>
    <mergeCell ref="MBI37:MBJ37"/>
    <mergeCell ref="MAM37:MAN37"/>
    <mergeCell ref="MAO37:MAP37"/>
    <mergeCell ref="MAQ37:MAR37"/>
    <mergeCell ref="MAS37:MAT37"/>
    <mergeCell ref="MAU37:MAV37"/>
    <mergeCell ref="MAW37:MAX37"/>
    <mergeCell ref="MAA37:MAB37"/>
    <mergeCell ref="MAC37:MAD37"/>
    <mergeCell ref="MAE37:MAF37"/>
    <mergeCell ref="MAG37:MAH37"/>
    <mergeCell ref="MAI37:MAJ37"/>
    <mergeCell ref="MAK37:MAL37"/>
    <mergeCell ref="LZO37:LZP37"/>
    <mergeCell ref="LZQ37:LZR37"/>
    <mergeCell ref="LZS37:LZT37"/>
    <mergeCell ref="LZU37:LZV37"/>
    <mergeCell ref="LZW37:LZX37"/>
    <mergeCell ref="LZY37:LZZ37"/>
    <mergeCell ref="LZC37:LZD37"/>
    <mergeCell ref="LZE37:LZF37"/>
    <mergeCell ref="LZG37:LZH37"/>
    <mergeCell ref="LZI37:LZJ37"/>
    <mergeCell ref="LZK37:LZL37"/>
    <mergeCell ref="LZM37:LZN37"/>
    <mergeCell ref="LYQ37:LYR37"/>
    <mergeCell ref="LYS37:LYT37"/>
    <mergeCell ref="LYU37:LYV37"/>
    <mergeCell ref="LYW37:LYX37"/>
    <mergeCell ref="LYY37:LYZ37"/>
    <mergeCell ref="LZA37:LZB37"/>
    <mergeCell ref="MDS37:MDT37"/>
    <mergeCell ref="MDU37:MDV37"/>
    <mergeCell ref="MDW37:MDX37"/>
    <mergeCell ref="MDY37:MDZ37"/>
    <mergeCell ref="MEA37:MEB37"/>
    <mergeCell ref="MEC37:MED37"/>
    <mergeCell ref="MDG37:MDH37"/>
    <mergeCell ref="MDI37:MDJ37"/>
    <mergeCell ref="MDK37:MDL37"/>
    <mergeCell ref="MDM37:MDN37"/>
    <mergeCell ref="MDO37:MDP37"/>
    <mergeCell ref="MDQ37:MDR37"/>
    <mergeCell ref="MCU37:MCV37"/>
    <mergeCell ref="MCW37:MCX37"/>
    <mergeCell ref="MCY37:MCZ37"/>
    <mergeCell ref="MDA37:MDB37"/>
    <mergeCell ref="MDC37:MDD37"/>
    <mergeCell ref="MDE37:MDF37"/>
    <mergeCell ref="MCI37:MCJ37"/>
    <mergeCell ref="MCK37:MCL37"/>
    <mergeCell ref="MCM37:MCN37"/>
    <mergeCell ref="MCO37:MCP37"/>
    <mergeCell ref="MCQ37:MCR37"/>
    <mergeCell ref="MCS37:MCT37"/>
    <mergeCell ref="MBW37:MBX37"/>
    <mergeCell ref="MBY37:MBZ37"/>
    <mergeCell ref="MCA37:MCB37"/>
    <mergeCell ref="MCC37:MCD37"/>
    <mergeCell ref="MCE37:MCF37"/>
    <mergeCell ref="MCG37:MCH37"/>
    <mergeCell ref="MBK37:MBL37"/>
    <mergeCell ref="MBM37:MBN37"/>
    <mergeCell ref="MBO37:MBP37"/>
    <mergeCell ref="MBQ37:MBR37"/>
    <mergeCell ref="MBS37:MBT37"/>
    <mergeCell ref="MBU37:MBV37"/>
    <mergeCell ref="MGM37:MGN37"/>
    <mergeCell ref="MGO37:MGP37"/>
    <mergeCell ref="MGQ37:MGR37"/>
    <mergeCell ref="MGS37:MGT37"/>
    <mergeCell ref="MGU37:MGV37"/>
    <mergeCell ref="MGW37:MGX37"/>
    <mergeCell ref="MGA37:MGB37"/>
    <mergeCell ref="MGC37:MGD37"/>
    <mergeCell ref="MGE37:MGF37"/>
    <mergeCell ref="MGG37:MGH37"/>
    <mergeCell ref="MGI37:MGJ37"/>
    <mergeCell ref="MGK37:MGL37"/>
    <mergeCell ref="MFO37:MFP37"/>
    <mergeCell ref="MFQ37:MFR37"/>
    <mergeCell ref="MFS37:MFT37"/>
    <mergeCell ref="MFU37:MFV37"/>
    <mergeCell ref="MFW37:MFX37"/>
    <mergeCell ref="MFY37:MFZ37"/>
    <mergeCell ref="MFC37:MFD37"/>
    <mergeCell ref="MFE37:MFF37"/>
    <mergeCell ref="MFG37:MFH37"/>
    <mergeCell ref="MFI37:MFJ37"/>
    <mergeCell ref="MFK37:MFL37"/>
    <mergeCell ref="MFM37:MFN37"/>
    <mergeCell ref="MEQ37:MER37"/>
    <mergeCell ref="MES37:MET37"/>
    <mergeCell ref="MEU37:MEV37"/>
    <mergeCell ref="MEW37:MEX37"/>
    <mergeCell ref="MEY37:MEZ37"/>
    <mergeCell ref="MFA37:MFB37"/>
    <mergeCell ref="MEE37:MEF37"/>
    <mergeCell ref="MEG37:MEH37"/>
    <mergeCell ref="MEI37:MEJ37"/>
    <mergeCell ref="MEK37:MEL37"/>
    <mergeCell ref="MEM37:MEN37"/>
    <mergeCell ref="MEO37:MEP37"/>
    <mergeCell ref="MJG37:MJH37"/>
    <mergeCell ref="MJI37:MJJ37"/>
    <mergeCell ref="MJK37:MJL37"/>
    <mergeCell ref="MJM37:MJN37"/>
    <mergeCell ref="MJO37:MJP37"/>
    <mergeCell ref="MJQ37:MJR37"/>
    <mergeCell ref="MIU37:MIV37"/>
    <mergeCell ref="MIW37:MIX37"/>
    <mergeCell ref="MIY37:MIZ37"/>
    <mergeCell ref="MJA37:MJB37"/>
    <mergeCell ref="MJC37:MJD37"/>
    <mergeCell ref="MJE37:MJF37"/>
    <mergeCell ref="MII37:MIJ37"/>
    <mergeCell ref="MIK37:MIL37"/>
    <mergeCell ref="MIM37:MIN37"/>
    <mergeCell ref="MIO37:MIP37"/>
    <mergeCell ref="MIQ37:MIR37"/>
    <mergeCell ref="MIS37:MIT37"/>
    <mergeCell ref="MHW37:MHX37"/>
    <mergeCell ref="MHY37:MHZ37"/>
    <mergeCell ref="MIA37:MIB37"/>
    <mergeCell ref="MIC37:MID37"/>
    <mergeCell ref="MIE37:MIF37"/>
    <mergeCell ref="MIG37:MIH37"/>
    <mergeCell ref="MHK37:MHL37"/>
    <mergeCell ref="MHM37:MHN37"/>
    <mergeCell ref="MHO37:MHP37"/>
    <mergeCell ref="MHQ37:MHR37"/>
    <mergeCell ref="MHS37:MHT37"/>
    <mergeCell ref="MHU37:MHV37"/>
    <mergeCell ref="MGY37:MGZ37"/>
    <mergeCell ref="MHA37:MHB37"/>
    <mergeCell ref="MHC37:MHD37"/>
    <mergeCell ref="MHE37:MHF37"/>
    <mergeCell ref="MHG37:MHH37"/>
    <mergeCell ref="MHI37:MHJ37"/>
    <mergeCell ref="MMA37:MMB37"/>
    <mergeCell ref="MMC37:MMD37"/>
    <mergeCell ref="MME37:MMF37"/>
    <mergeCell ref="MMG37:MMH37"/>
    <mergeCell ref="MMI37:MMJ37"/>
    <mergeCell ref="MMK37:MML37"/>
    <mergeCell ref="MLO37:MLP37"/>
    <mergeCell ref="MLQ37:MLR37"/>
    <mergeCell ref="MLS37:MLT37"/>
    <mergeCell ref="MLU37:MLV37"/>
    <mergeCell ref="MLW37:MLX37"/>
    <mergeCell ref="MLY37:MLZ37"/>
    <mergeCell ref="MLC37:MLD37"/>
    <mergeCell ref="MLE37:MLF37"/>
    <mergeCell ref="MLG37:MLH37"/>
    <mergeCell ref="MLI37:MLJ37"/>
    <mergeCell ref="MLK37:MLL37"/>
    <mergeCell ref="MLM37:MLN37"/>
    <mergeCell ref="MKQ37:MKR37"/>
    <mergeCell ref="MKS37:MKT37"/>
    <mergeCell ref="MKU37:MKV37"/>
    <mergeCell ref="MKW37:MKX37"/>
    <mergeCell ref="MKY37:MKZ37"/>
    <mergeCell ref="MLA37:MLB37"/>
    <mergeCell ref="MKE37:MKF37"/>
    <mergeCell ref="MKG37:MKH37"/>
    <mergeCell ref="MKI37:MKJ37"/>
    <mergeCell ref="MKK37:MKL37"/>
    <mergeCell ref="MKM37:MKN37"/>
    <mergeCell ref="MKO37:MKP37"/>
    <mergeCell ref="MJS37:MJT37"/>
    <mergeCell ref="MJU37:MJV37"/>
    <mergeCell ref="MJW37:MJX37"/>
    <mergeCell ref="MJY37:MJZ37"/>
    <mergeCell ref="MKA37:MKB37"/>
    <mergeCell ref="MKC37:MKD37"/>
    <mergeCell ref="MOU37:MOV37"/>
    <mergeCell ref="MOW37:MOX37"/>
    <mergeCell ref="MOY37:MOZ37"/>
    <mergeCell ref="MPA37:MPB37"/>
    <mergeCell ref="MPC37:MPD37"/>
    <mergeCell ref="MPE37:MPF37"/>
    <mergeCell ref="MOI37:MOJ37"/>
    <mergeCell ref="MOK37:MOL37"/>
    <mergeCell ref="MOM37:MON37"/>
    <mergeCell ref="MOO37:MOP37"/>
    <mergeCell ref="MOQ37:MOR37"/>
    <mergeCell ref="MOS37:MOT37"/>
    <mergeCell ref="MNW37:MNX37"/>
    <mergeCell ref="MNY37:MNZ37"/>
    <mergeCell ref="MOA37:MOB37"/>
    <mergeCell ref="MOC37:MOD37"/>
    <mergeCell ref="MOE37:MOF37"/>
    <mergeCell ref="MOG37:MOH37"/>
    <mergeCell ref="MNK37:MNL37"/>
    <mergeCell ref="MNM37:MNN37"/>
    <mergeCell ref="MNO37:MNP37"/>
    <mergeCell ref="MNQ37:MNR37"/>
    <mergeCell ref="MNS37:MNT37"/>
    <mergeCell ref="MNU37:MNV37"/>
    <mergeCell ref="MMY37:MMZ37"/>
    <mergeCell ref="MNA37:MNB37"/>
    <mergeCell ref="MNC37:MND37"/>
    <mergeCell ref="MNE37:MNF37"/>
    <mergeCell ref="MNG37:MNH37"/>
    <mergeCell ref="MNI37:MNJ37"/>
    <mergeCell ref="MMM37:MMN37"/>
    <mergeCell ref="MMO37:MMP37"/>
    <mergeCell ref="MMQ37:MMR37"/>
    <mergeCell ref="MMS37:MMT37"/>
    <mergeCell ref="MMU37:MMV37"/>
    <mergeCell ref="MMW37:MMX37"/>
    <mergeCell ref="MRO37:MRP37"/>
    <mergeCell ref="MRQ37:MRR37"/>
    <mergeCell ref="MRS37:MRT37"/>
    <mergeCell ref="MRU37:MRV37"/>
    <mergeCell ref="MRW37:MRX37"/>
    <mergeCell ref="MRY37:MRZ37"/>
    <mergeCell ref="MRC37:MRD37"/>
    <mergeCell ref="MRE37:MRF37"/>
    <mergeCell ref="MRG37:MRH37"/>
    <mergeCell ref="MRI37:MRJ37"/>
    <mergeCell ref="MRK37:MRL37"/>
    <mergeCell ref="MRM37:MRN37"/>
    <mergeCell ref="MQQ37:MQR37"/>
    <mergeCell ref="MQS37:MQT37"/>
    <mergeCell ref="MQU37:MQV37"/>
    <mergeCell ref="MQW37:MQX37"/>
    <mergeCell ref="MQY37:MQZ37"/>
    <mergeCell ref="MRA37:MRB37"/>
    <mergeCell ref="MQE37:MQF37"/>
    <mergeCell ref="MQG37:MQH37"/>
    <mergeCell ref="MQI37:MQJ37"/>
    <mergeCell ref="MQK37:MQL37"/>
    <mergeCell ref="MQM37:MQN37"/>
    <mergeCell ref="MQO37:MQP37"/>
    <mergeCell ref="MPS37:MPT37"/>
    <mergeCell ref="MPU37:MPV37"/>
    <mergeCell ref="MPW37:MPX37"/>
    <mergeCell ref="MPY37:MPZ37"/>
    <mergeCell ref="MQA37:MQB37"/>
    <mergeCell ref="MQC37:MQD37"/>
    <mergeCell ref="MPG37:MPH37"/>
    <mergeCell ref="MPI37:MPJ37"/>
    <mergeCell ref="MPK37:MPL37"/>
    <mergeCell ref="MPM37:MPN37"/>
    <mergeCell ref="MPO37:MPP37"/>
    <mergeCell ref="MPQ37:MPR37"/>
    <mergeCell ref="MUI37:MUJ37"/>
    <mergeCell ref="MUK37:MUL37"/>
    <mergeCell ref="MUM37:MUN37"/>
    <mergeCell ref="MUO37:MUP37"/>
    <mergeCell ref="MUQ37:MUR37"/>
    <mergeCell ref="MUS37:MUT37"/>
    <mergeCell ref="MTW37:MTX37"/>
    <mergeCell ref="MTY37:MTZ37"/>
    <mergeCell ref="MUA37:MUB37"/>
    <mergeCell ref="MUC37:MUD37"/>
    <mergeCell ref="MUE37:MUF37"/>
    <mergeCell ref="MUG37:MUH37"/>
    <mergeCell ref="MTK37:MTL37"/>
    <mergeCell ref="MTM37:MTN37"/>
    <mergeCell ref="MTO37:MTP37"/>
    <mergeCell ref="MTQ37:MTR37"/>
    <mergeCell ref="MTS37:MTT37"/>
    <mergeCell ref="MTU37:MTV37"/>
    <mergeCell ref="MSY37:MSZ37"/>
    <mergeCell ref="MTA37:MTB37"/>
    <mergeCell ref="MTC37:MTD37"/>
    <mergeCell ref="MTE37:MTF37"/>
    <mergeCell ref="MTG37:MTH37"/>
    <mergeCell ref="MTI37:MTJ37"/>
    <mergeCell ref="MSM37:MSN37"/>
    <mergeCell ref="MSO37:MSP37"/>
    <mergeCell ref="MSQ37:MSR37"/>
    <mergeCell ref="MSS37:MST37"/>
    <mergeCell ref="MSU37:MSV37"/>
    <mergeCell ref="MSW37:MSX37"/>
    <mergeCell ref="MSA37:MSB37"/>
    <mergeCell ref="MSC37:MSD37"/>
    <mergeCell ref="MSE37:MSF37"/>
    <mergeCell ref="MSG37:MSH37"/>
    <mergeCell ref="MSI37:MSJ37"/>
    <mergeCell ref="MSK37:MSL37"/>
    <mergeCell ref="MXC37:MXD37"/>
    <mergeCell ref="MXE37:MXF37"/>
    <mergeCell ref="MXG37:MXH37"/>
    <mergeCell ref="MXI37:MXJ37"/>
    <mergeCell ref="MXK37:MXL37"/>
    <mergeCell ref="MXM37:MXN37"/>
    <mergeCell ref="MWQ37:MWR37"/>
    <mergeCell ref="MWS37:MWT37"/>
    <mergeCell ref="MWU37:MWV37"/>
    <mergeCell ref="MWW37:MWX37"/>
    <mergeCell ref="MWY37:MWZ37"/>
    <mergeCell ref="MXA37:MXB37"/>
    <mergeCell ref="MWE37:MWF37"/>
    <mergeCell ref="MWG37:MWH37"/>
    <mergeCell ref="MWI37:MWJ37"/>
    <mergeCell ref="MWK37:MWL37"/>
    <mergeCell ref="MWM37:MWN37"/>
    <mergeCell ref="MWO37:MWP37"/>
    <mergeCell ref="MVS37:MVT37"/>
    <mergeCell ref="MVU37:MVV37"/>
    <mergeCell ref="MVW37:MVX37"/>
    <mergeCell ref="MVY37:MVZ37"/>
    <mergeCell ref="MWA37:MWB37"/>
    <mergeCell ref="MWC37:MWD37"/>
    <mergeCell ref="MVG37:MVH37"/>
    <mergeCell ref="MVI37:MVJ37"/>
    <mergeCell ref="MVK37:MVL37"/>
    <mergeCell ref="MVM37:MVN37"/>
    <mergeCell ref="MVO37:MVP37"/>
    <mergeCell ref="MVQ37:MVR37"/>
    <mergeCell ref="MUU37:MUV37"/>
    <mergeCell ref="MUW37:MUX37"/>
    <mergeCell ref="MUY37:MUZ37"/>
    <mergeCell ref="MVA37:MVB37"/>
    <mergeCell ref="MVC37:MVD37"/>
    <mergeCell ref="MVE37:MVF37"/>
    <mergeCell ref="MZW37:MZX37"/>
    <mergeCell ref="MZY37:MZZ37"/>
    <mergeCell ref="NAA37:NAB37"/>
    <mergeCell ref="NAC37:NAD37"/>
    <mergeCell ref="NAE37:NAF37"/>
    <mergeCell ref="NAG37:NAH37"/>
    <mergeCell ref="MZK37:MZL37"/>
    <mergeCell ref="MZM37:MZN37"/>
    <mergeCell ref="MZO37:MZP37"/>
    <mergeCell ref="MZQ37:MZR37"/>
    <mergeCell ref="MZS37:MZT37"/>
    <mergeCell ref="MZU37:MZV37"/>
    <mergeCell ref="MYY37:MYZ37"/>
    <mergeCell ref="MZA37:MZB37"/>
    <mergeCell ref="MZC37:MZD37"/>
    <mergeCell ref="MZE37:MZF37"/>
    <mergeCell ref="MZG37:MZH37"/>
    <mergeCell ref="MZI37:MZJ37"/>
    <mergeCell ref="MYM37:MYN37"/>
    <mergeCell ref="MYO37:MYP37"/>
    <mergeCell ref="MYQ37:MYR37"/>
    <mergeCell ref="MYS37:MYT37"/>
    <mergeCell ref="MYU37:MYV37"/>
    <mergeCell ref="MYW37:MYX37"/>
    <mergeCell ref="MYA37:MYB37"/>
    <mergeCell ref="MYC37:MYD37"/>
    <mergeCell ref="MYE37:MYF37"/>
    <mergeCell ref="MYG37:MYH37"/>
    <mergeCell ref="MYI37:MYJ37"/>
    <mergeCell ref="MYK37:MYL37"/>
    <mergeCell ref="MXO37:MXP37"/>
    <mergeCell ref="MXQ37:MXR37"/>
    <mergeCell ref="MXS37:MXT37"/>
    <mergeCell ref="MXU37:MXV37"/>
    <mergeCell ref="MXW37:MXX37"/>
    <mergeCell ref="MXY37:MXZ37"/>
    <mergeCell ref="NCQ37:NCR37"/>
    <mergeCell ref="NCS37:NCT37"/>
    <mergeCell ref="NCU37:NCV37"/>
    <mergeCell ref="NCW37:NCX37"/>
    <mergeCell ref="NCY37:NCZ37"/>
    <mergeCell ref="NDA37:NDB37"/>
    <mergeCell ref="NCE37:NCF37"/>
    <mergeCell ref="NCG37:NCH37"/>
    <mergeCell ref="NCI37:NCJ37"/>
    <mergeCell ref="NCK37:NCL37"/>
    <mergeCell ref="NCM37:NCN37"/>
    <mergeCell ref="NCO37:NCP37"/>
    <mergeCell ref="NBS37:NBT37"/>
    <mergeCell ref="NBU37:NBV37"/>
    <mergeCell ref="NBW37:NBX37"/>
    <mergeCell ref="NBY37:NBZ37"/>
    <mergeCell ref="NCA37:NCB37"/>
    <mergeCell ref="NCC37:NCD37"/>
    <mergeCell ref="NBG37:NBH37"/>
    <mergeCell ref="NBI37:NBJ37"/>
    <mergeCell ref="NBK37:NBL37"/>
    <mergeCell ref="NBM37:NBN37"/>
    <mergeCell ref="NBO37:NBP37"/>
    <mergeCell ref="NBQ37:NBR37"/>
    <mergeCell ref="NAU37:NAV37"/>
    <mergeCell ref="NAW37:NAX37"/>
    <mergeCell ref="NAY37:NAZ37"/>
    <mergeCell ref="NBA37:NBB37"/>
    <mergeCell ref="NBC37:NBD37"/>
    <mergeCell ref="NBE37:NBF37"/>
    <mergeCell ref="NAI37:NAJ37"/>
    <mergeCell ref="NAK37:NAL37"/>
    <mergeCell ref="NAM37:NAN37"/>
    <mergeCell ref="NAO37:NAP37"/>
    <mergeCell ref="NAQ37:NAR37"/>
    <mergeCell ref="NAS37:NAT37"/>
    <mergeCell ref="NFK37:NFL37"/>
    <mergeCell ref="NFM37:NFN37"/>
    <mergeCell ref="NFO37:NFP37"/>
    <mergeCell ref="NFQ37:NFR37"/>
    <mergeCell ref="NFS37:NFT37"/>
    <mergeCell ref="NFU37:NFV37"/>
    <mergeCell ref="NEY37:NEZ37"/>
    <mergeCell ref="NFA37:NFB37"/>
    <mergeCell ref="NFC37:NFD37"/>
    <mergeCell ref="NFE37:NFF37"/>
    <mergeCell ref="NFG37:NFH37"/>
    <mergeCell ref="NFI37:NFJ37"/>
    <mergeCell ref="NEM37:NEN37"/>
    <mergeCell ref="NEO37:NEP37"/>
    <mergeCell ref="NEQ37:NER37"/>
    <mergeCell ref="NES37:NET37"/>
    <mergeCell ref="NEU37:NEV37"/>
    <mergeCell ref="NEW37:NEX37"/>
    <mergeCell ref="NEA37:NEB37"/>
    <mergeCell ref="NEC37:NED37"/>
    <mergeCell ref="NEE37:NEF37"/>
    <mergeCell ref="NEG37:NEH37"/>
    <mergeCell ref="NEI37:NEJ37"/>
    <mergeCell ref="NEK37:NEL37"/>
    <mergeCell ref="NDO37:NDP37"/>
    <mergeCell ref="NDQ37:NDR37"/>
    <mergeCell ref="NDS37:NDT37"/>
    <mergeCell ref="NDU37:NDV37"/>
    <mergeCell ref="NDW37:NDX37"/>
    <mergeCell ref="NDY37:NDZ37"/>
    <mergeCell ref="NDC37:NDD37"/>
    <mergeCell ref="NDE37:NDF37"/>
    <mergeCell ref="NDG37:NDH37"/>
    <mergeCell ref="NDI37:NDJ37"/>
    <mergeCell ref="NDK37:NDL37"/>
    <mergeCell ref="NDM37:NDN37"/>
    <mergeCell ref="NIE37:NIF37"/>
    <mergeCell ref="NIG37:NIH37"/>
    <mergeCell ref="NII37:NIJ37"/>
    <mergeCell ref="NIK37:NIL37"/>
    <mergeCell ref="NIM37:NIN37"/>
    <mergeCell ref="NIO37:NIP37"/>
    <mergeCell ref="NHS37:NHT37"/>
    <mergeCell ref="NHU37:NHV37"/>
    <mergeCell ref="NHW37:NHX37"/>
    <mergeCell ref="NHY37:NHZ37"/>
    <mergeCell ref="NIA37:NIB37"/>
    <mergeCell ref="NIC37:NID37"/>
    <mergeCell ref="NHG37:NHH37"/>
    <mergeCell ref="NHI37:NHJ37"/>
    <mergeCell ref="NHK37:NHL37"/>
    <mergeCell ref="NHM37:NHN37"/>
    <mergeCell ref="NHO37:NHP37"/>
    <mergeCell ref="NHQ37:NHR37"/>
    <mergeCell ref="NGU37:NGV37"/>
    <mergeCell ref="NGW37:NGX37"/>
    <mergeCell ref="NGY37:NGZ37"/>
    <mergeCell ref="NHA37:NHB37"/>
    <mergeCell ref="NHC37:NHD37"/>
    <mergeCell ref="NHE37:NHF37"/>
    <mergeCell ref="NGI37:NGJ37"/>
    <mergeCell ref="NGK37:NGL37"/>
    <mergeCell ref="NGM37:NGN37"/>
    <mergeCell ref="NGO37:NGP37"/>
    <mergeCell ref="NGQ37:NGR37"/>
    <mergeCell ref="NGS37:NGT37"/>
    <mergeCell ref="NFW37:NFX37"/>
    <mergeCell ref="NFY37:NFZ37"/>
    <mergeCell ref="NGA37:NGB37"/>
    <mergeCell ref="NGC37:NGD37"/>
    <mergeCell ref="NGE37:NGF37"/>
    <mergeCell ref="NGG37:NGH37"/>
    <mergeCell ref="NKY37:NKZ37"/>
    <mergeCell ref="NLA37:NLB37"/>
    <mergeCell ref="NLC37:NLD37"/>
    <mergeCell ref="NLE37:NLF37"/>
    <mergeCell ref="NLG37:NLH37"/>
    <mergeCell ref="NLI37:NLJ37"/>
    <mergeCell ref="NKM37:NKN37"/>
    <mergeCell ref="NKO37:NKP37"/>
    <mergeCell ref="NKQ37:NKR37"/>
    <mergeCell ref="NKS37:NKT37"/>
    <mergeCell ref="NKU37:NKV37"/>
    <mergeCell ref="NKW37:NKX37"/>
    <mergeCell ref="NKA37:NKB37"/>
    <mergeCell ref="NKC37:NKD37"/>
    <mergeCell ref="NKE37:NKF37"/>
    <mergeCell ref="NKG37:NKH37"/>
    <mergeCell ref="NKI37:NKJ37"/>
    <mergeCell ref="NKK37:NKL37"/>
    <mergeCell ref="NJO37:NJP37"/>
    <mergeCell ref="NJQ37:NJR37"/>
    <mergeCell ref="NJS37:NJT37"/>
    <mergeCell ref="NJU37:NJV37"/>
    <mergeCell ref="NJW37:NJX37"/>
    <mergeCell ref="NJY37:NJZ37"/>
    <mergeCell ref="NJC37:NJD37"/>
    <mergeCell ref="NJE37:NJF37"/>
    <mergeCell ref="NJG37:NJH37"/>
    <mergeCell ref="NJI37:NJJ37"/>
    <mergeCell ref="NJK37:NJL37"/>
    <mergeCell ref="NJM37:NJN37"/>
    <mergeCell ref="NIQ37:NIR37"/>
    <mergeCell ref="NIS37:NIT37"/>
    <mergeCell ref="NIU37:NIV37"/>
    <mergeCell ref="NIW37:NIX37"/>
    <mergeCell ref="NIY37:NIZ37"/>
    <mergeCell ref="NJA37:NJB37"/>
    <mergeCell ref="NNS37:NNT37"/>
    <mergeCell ref="NNU37:NNV37"/>
    <mergeCell ref="NNW37:NNX37"/>
    <mergeCell ref="NNY37:NNZ37"/>
    <mergeCell ref="NOA37:NOB37"/>
    <mergeCell ref="NOC37:NOD37"/>
    <mergeCell ref="NNG37:NNH37"/>
    <mergeCell ref="NNI37:NNJ37"/>
    <mergeCell ref="NNK37:NNL37"/>
    <mergeCell ref="NNM37:NNN37"/>
    <mergeCell ref="NNO37:NNP37"/>
    <mergeCell ref="NNQ37:NNR37"/>
    <mergeCell ref="NMU37:NMV37"/>
    <mergeCell ref="NMW37:NMX37"/>
    <mergeCell ref="NMY37:NMZ37"/>
    <mergeCell ref="NNA37:NNB37"/>
    <mergeCell ref="NNC37:NND37"/>
    <mergeCell ref="NNE37:NNF37"/>
    <mergeCell ref="NMI37:NMJ37"/>
    <mergeCell ref="NMK37:NML37"/>
    <mergeCell ref="NMM37:NMN37"/>
    <mergeCell ref="NMO37:NMP37"/>
    <mergeCell ref="NMQ37:NMR37"/>
    <mergeCell ref="NMS37:NMT37"/>
    <mergeCell ref="NLW37:NLX37"/>
    <mergeCell ref="NLY37:NLZ37"/>
    <mergeCell ref="NMA37:NMB37"/>
    <mergeCell ref="NMC37:NMD37"/>
    <mergeCell ref="NME37:NMF37"/>
    <mergeCell ref="NMG37:NMH37"/>
    <mergeCell ref="NLK37:NLL37"/>
    <mergeCell ref="NLM37:NLN37"/>
    <mergeCell ref="NLO37:NLP37"/>
    <mergeCell ref="NLQ37:NLR37"/>
    <mergeCell ref="NLS37:NLT37"/>
    <mergeCell ref="NLU37:NLV37"/>
    <mergeCell ref="NQM37:NQN37"/>
    <mergeCell ref="NQO37:NQP37"/>
    <mergeCell ref="NQQ37:NQR37"/>
    <mergeCell ref="NQS37:NQT37"/>
    <mergeCell ref="NQU37:NQV37"/>
    <mergeCell ref="NQW37:NQX37"/>
    <mergeCell ref="NQA37:NQB37"/>
    <mergeCell ref="NQC37:NQD37"/>
    <mergeCell ref="NQE37:NQF37"/>
    <mergeCell ref="NQG37:NQH37"/>
    <mergeCell ref="NQI37:NQJ37"/>
    <mergeCell ref="NQK37:NQL37"/>
    <mergeCell ref="NPO37:NPP37"/>
    <mergeCell ref="NPQ37:NPR37"/>
    <mergeCell ref="NPS37:NPT37"/>
    <mergeCell ref="NPU37:NPV37"/>
    <mergeCell ref="NPW37:NPX37"/>
    <mergeCell ref="NPY37:NPZ37"/>
    <mergeCell ref="NPC37:NPD37"/>
    <mergeCell ref="NPE37:NPF37"/>
    <mergeCell ref="NPG37:NPH37"/>
    <mergeCell ref="NPI37:NPJ37"/>
    <mergeCell ref="NPK37:NPL37"/>
    <mergeCell ref="NPM37:NPN37"/>
    <mergeCell ref="NOQ37:NOR37"/>
    <mergeCell ref="NOS37:NOT37"/>
    <mergeCell ref="NOU37:NOV37"/>
    <mergeCell ref="NOW37:NOX37"/>
    <mergeCell ref="NOY37:NOZ37"/>
    <mergeCell ref="NPA37:NPB37"/>
    <mergeCell ref="NOE37:NOF37"/>
    <mergeCell ref="NOG37:NOH37"/>
    <mergeCell ref="NOI37:NOJ37"/>
    <mergeCell ref="NOK37:NOL37"/>
    <mergeCell ref="NOM37:NON37"/>
    <mergeCell ref="NOO37:NOP37"/>
    <mergeCell ref="NTG37:NTH37"/>
    <mergeCell ref="NTI37:NTJ37"/>
    <mergeCell ref="NTK37:NTL37"/>
    <mergeCell ref="NTM37:NTN37"/>
    <mergeCell ref="NTO37:NTP37"/>
    <mergeCell ref="NTQ37:NTR37"/>
    <mergeCell ref="NSU37:NSV37"/>
    <mergeCell ref="NSW37:NSX37"/>
    <mergeCell ref="NSY37:NSZ37"/>
    <mergeCell ref="NTA37:NTB37"/>
    <mergeCell ref="NTC37:NTD37"/>
    <mergeCell ref="NTE37:NTF37"/>
    <mergeCell ref="NSI37:NSJ37"/>
    <mergeCell ref="NSK37:NSL37"/>
    <mergeCell ref="NSM37:NSN37"/>
    <mergeCell ref="NSO37:NSP37"/>
    <mergeCell ref="NSQ37:NSR37"/>
    <mergeCell ref="NSS37:NST37"/>
    <mergeCell ref="NRW37:NRX37"/>
    <mergeCell ref="NRY37:NRZ37"/>
    <mergeCell ref="NSA37:NSB37"/>
    <mergeCell ref="NSC37:NSD37"/>
    <mergeCell ref="NSE37:NSF37"/>
    <mergeCell ref="NSG37:NSH37"/>
    <mergeCell ref="NRK37:NRL37"/>
    <mergeCell ref="NRM37:NRN37"/>
    <mergeCell ref="NRO37:NRP37"/>
    <mergeCell ref="NRQ37:NRR37"/>
    <mergeCell ref="NRS37:NRT37"/>
    <mergeCell ref="NRU37:NRV37"/>
    <mergeCell ref="NQY37:NQZ37"/>
    <mergeCell ref="NRA37:NRB37"/>
    <mergeCell ref="NRC37:NRD37"/>
    <mergeCell ref="NRE37:NRF37"/>
    <mergeCell ref="NRG37:NRH37"/>
    <mergeCell ref="NRI37:NRJ37"/>
    <mergeCell ref="NWA37:NWB37"/>
    <mergeCell ref="NWC37:NWD37"/>
    <mergeCell ref="NWE37:NWF37"/>
    <mergeCell ref="NWG37:NWH37"/>
    <mergeCell ref="NWI37:NWJ37"/>
    <mergeCell ref="NWK37:NWL37"/>
    <mergeCell ref="NVO37:NVP37"/>
    <mergeCell ref="NVQ37:NVR37"/>
    <mergeCell ref="NVS37:NVT37"/>
    <mergeCell ref="NVU37:NVV37"/>
    <mergeCell ref="NVW37:NVX37"/>
    <mergeCell ref="NVY37:NVZ37"/>
    <mergeCell ref="NVC37:NVD37"/>
    <mergeCell ref="NVE37:NVF37"/>
    <mergeCell ref="NVG37:NVH37"/>
    <mergeCell ref="NVI37:NVJ37"/>
    <mergeCell ref="NVK37:NVL37"/>
    <mergeCell ref="NVM37:NVN37"/>
    <mergeCell ref="NUQ37:NUR37"/>
    <mergeCell ref="NUS37:NUT37"/>
    <mergeCell ref="NUU37:NUV37"/>
    <mergeCell ref="NUW37:NUX37"/>
    <mergeCell ref="NUY37:NUZ37"/>
    <mergeCell ref="NVA37:NVB37"/>
    <mergeCell ref="NUE37:NUF37"/>
    <mergeCell ref="NUG37:NUH37"/>
    <mergeCell ref="NUI37:NUJ37"/>
    <mergeCell ref="NUK37:NUL37"/>
    <mergeCell ref="NUM37:NUN37"/>
    <mergeCell ref="NUO37:NUP37"/>
    <mergeCell ref="NTS37:NTT37"/>
    <mergeCell ref="NTU37:NTV37"/>
    <mergeCell ref="NTW37:NTX37"/>
    <mergeCell ref="NTY37:NTZ37"/>
    <mergeCell ref="NUA37:NUB37"/>
    <mergeCell ref="NUC37:NUD37"/>
    <mergeCell ref="NYU37:NYV37"/>
    <mergeCell ref="NYW37:NYX37"/>
    <mergeCell ref="NYY37:NYZ37"/>
    <mergeCell ref="NZA37:NZB37"/>
    <mergeCell ref="NZC37:NZD37"/>
    <mergeCell ref="NZE37:NZF37"/>
    <mergeCell ref="NYI37:NYJ37"/>
    <mergeCell ref="NYK37:NYL37"/>
    <mergeCell ref="NYM37:NYN37"/>
    <mergeCell ref="NYO37:NYP37"/>
    <mergeCell ref="NYQ37:NYR37"/>
    <mergeCell ref="NYS37:NYT37"/>
    <mergeCell ref="NXW37:NXX37"/>
    <mergeCell ref="NXY37:NXZ37"/>
    <mergeCell ref="NYA37:NYB37"/>
    <mergeCell ref="NYC37:NYD37"/>
    <mergeCell ref="NYE37:NYF37"/>
    <mergeCell ref="NYG37:NYH37"/>
    <mergeCell ref="NXK37:NXL37"/>
    <mergeCell ref="NXM37:NXN37"/>
    <mergeCell ref="NXO37:NXP37"/>
    <mergeCell ref="NXQ37:NXR37"/>
    <mergeCell ref="NXS37:NXT37"/>
    <mergeCell ref="NXU37:NXV37"/>
    <mergeCell ref="NWY37:NWZ37"/>
    <mergeCell ref="NXA37:NXB37"/>
    <mergeCell ref="NXC37:NXD37"/>
    <mergeCell ref="NXE37:NXF37"/>
    <mergeCell ref="NXG37:NXH37"/>
    <mergeCell ref="NXI37:NXJ37"/>
    <mergeCell ref="NWM37:NWN37"/>
    <mergeCell ref="NWO37:NWP37"/>
    <mergeCell ref="NWQ37:NWR37"/>
    <mergeCell ref="NWS37:NWT37"/>
    <mergeCell ref="NWU37:NWV37"/>
    <mergeCell ref="NWW37:NWX37"/>
    <mergeCell ref="OBO37:OBP37"/>
    <mergeCell ref="OBQ37:OBR37"/>
    <mergeCell ref="OBS37:OBT37"/>
    <mergeCell ref="OBU37:OBV37"/>
    <mergeCell ref="OBW37:OBX37"/>
    <mergeCell ref="OBY37:OBZ37"/>
    <mergeCell ref="OBC37:OBD37"/>
    <mergeCell ref="OBE37:OBF37"/>
    <mergeCell ref="OBG37:OBH37"/>
    <mergeCell ref="OBI37:OBJ37"/>
    <mergeCell ref="OBK37:OBL37"/>
    <mergeCell ref="OBM37:OBN37"/>
    <mergeCell ref="OAQ37:OAR37"/>
    <mergeCell ref="OAS37:OAT37"/>
    <mergeCell ref="OAU37:OAV37"/>
    <mergeCell ref="OAW37:OAX37"/>
    <mergeCell ref="OAY37:OAZ37"/>
    <mergeCell ref="OBA37:OBB37"/>
    <mergeCell ref="OAE37:OAF37"/>
    <mergeCell ref="OAG37:OAH37"/>
    <mergeCell ref="OAI37:OAJ37"/>
    <mergeCell ref="OAK37:OAL37"/>
    <mergeCell ref="OAM37:OAN37"/>
    <mergeCell ref="OAO37:OAP37"/>
    <mergeCell ref="NZS37:NZT37"/>
    <mergeCell ref="NZU37:NZV37"/>
    <mergeCell ref="NZW37:NZX37"/>
    <mergeCell ref="NZY37:NZZ37"/>
    <mergeCell ref="OAA37:OAB37"/>
    <mergeCell ref="OAC37:OAD37"/>
    <mergeCell ref="NZG37:NZH37"/>
    <mergeCell ref="NZI37:NZJ37"/>
    <mergeCell ref="NZK37:NZL37"/>
    <mergeCell ref="NZM37:NZN37"/>
    <mergeCell ref="NZO37:NZP37"/>
    <mergeCell ref="NZQ37:NZR37"/>
    <mergeCell ref="OEI37:OEJ37"/>
    <mergeCell ref="OEK37:OEL37"/>
    <mergeCell ref="OEM37:OEN37"/>
    <mergeCell ref="OEO37:OEP37"/>
    <mergeCell ref="OEQ37:OER37"/>
    <mergeCell ref="OES37:OET37"/>
    <mergeCell ref="ODW37:ODX37"/>
    <mergeCell ref="ODY37:ODZ37"/>
    <mergeCell ref="OEA37:OEB37"/>
    <mergeCell ref="OEC37:OED37"/>
    <mergeCell ref="OEE37:OEF37"/>
    <mergeCell ref="OEG37:OEH37"/>
    <mergeCell ref="ODK37:ODL37"/>
    <mergeCell ref="ODM37:ODN37"/>
    <mergeCell ref="ODO37:ODP37"/>
    <mergeCell ref="ODQ37:ODR37"/>
    <mergeCell ref="ODS37:ODT37"/>
    <mergeCell ref="ODU37:ODV37"/>
    <mergeCell ref="OCY37:OCZ37"/>
    <mergeCell ref="ODA37:ODB37"/>
    <mergeCell ref="ODC37:ODD37"/>
    <mergeCell ref="ODE37:ODF37"/>
    <mergeCell ref="ODG37:ODH37"/>
    <mergeCell ref="ODI37:ODJ37"/>
    <mergeCell ref="OCM37:OCN37"/>
    <mergeCell ref="OCO37:OCP37"/>
    <mergeCell ref="OCQ37:OCR37"/>
    <mergeCell ref="OCS37:OCT37"/>
    <mergeCell ref="OCU37:OCV37"/>
    <mergeCell ref="OCW37:OCX37"/>
    <mergeCell ref="OCA37:OCB37"/>
    <mergeCell ref="OCC37:OCD37"/>
    <mergeCell ref="OCE37:OCF37"/>
    <mergeCell ref="OCG37:OCH37"/>
    <mergeCell ref="OCI37:OCJ37"/>
    <mergeCell ref="OCK37:OCL37"/>
    <mergeCell ref="OHC37:OHD37"/>
    <mergeCell ref="OHE37:OHF37"/>
    <mergeCell ref="OHG37:OHH37"/>
    <mergeCell ref="OHI37:OHJ37"/>
    <mergeCell ref="OHK37:OHL37"/>
    <mergeCell ref="OHM37:OHN37"/>
    <mergeCell ref="OGQ37:OGR37"/>
    <mergeCell ref="OGS37:OGT37"/>
    <mergeCell ref="OGU37:OGV37"/>
    <mergeCell ref="OGW37:OGX37"/>
    <mergeCell ref="OGY37:OGZ37"/>
    <mergeCell ref="OHA37:OHB37"/>
    <mergeCell ref="OGE37:OGF37"/>
    <mergeCell ref="OGG37:OGH37"/>
    <mergeCell ref="OGI37:OGJ37"/>
    <mergeCell ref="OGK37:OGL37"/>
    <mergeCell ref="OGM37:OGN37"/>
    <mergeCell ref="OGO37:OGP37"/>
    <mergeCell ref="OFS37:OFT37"/>
    <mergeCell ref="OFU37:OFV37"/>
    <mergeCell ref="OFW37:OFX37"/>
    <mergeCell ref="OFY37:OFZ37"/>
    <mergeCell ref="OGA37:OGB37"/>
    <mergeCell ref="OGC37:OGD37"/>
    <mergeCell ref="OFG37:OFH37"/>
    <mergeCell ref="OFI37:OFJ37"/>
    <mergeCell ref="OFK37:OFL37"/>
    <mergeCell ref="OFM37:OFN37"/>
    <mergeCell ref="OFO37:OFP37"/>
    <mergeCell ref="OFQ37:OFR37"/>
    <mergeCell ref="OEU37:OEV37"/>
    <mergeCell ref="OEW37:OEX37"/>
    <mergeCell ref="OEY37:OEZ37"/>
    <mergeCell ref="OFA37:OFB37"/>
    <mergeCell ref="OFC37:OFD37"/>
    <mergeCell ref="OFE37:OFF37"/>
    <mergeCell ref="OJW37:OJX37"/>
    <mergeCell ref="OJY37:OJZ37"/>
    <mergeCell ref="OKA37:OKB37"/>
    <mergeCell ref="OKC37:OKD37"/>
    <mergeCell ref="OKE37:OKF37"/>
    <mergeCell ref="OKG37:OKH37"/>
    <mergeCell ref="OJK37:OJL37"/>
    <mergeCell ref="OJM37:OJN37"/>
    <mergeCell ref="OJO37:OJP37"/>
    <mergeCell ref="OJQ37:OJR37"/>
    <mergeCell ref="OJS37:OJT37"/>
    <mergeCell ref="OJU37:OJV37"/>
    <mergeCell ref="OIY37:OIZ37"/>
    <mergeCell ref="OJA37:OJB37"/>
    <mergeCell ref="OJC37:OJD37"/>
    <mergeCell ref="OJE37:OJF37"/>
    <mergeCell ref="OJG37:OJH37"/>
    <mergeCell ref="OJI37:OJJ37"/>
    <mergeCell ref="OIM37:OIN37"/>
    <mergeCell ref="OIO37:OIP37"/>
    <mergeCell ref="OIQ37:OIR37"/>
    <mergeCell ref="OIS37:OIT37"/>
    <mergeCell ref="OIU37:OIV37"/>
    <mergeCell ref="OIW37:OIX37"/>
    <mergeCell ref="OIA37:OIB37"/>
    <mergeCell ref="OIC37:OID37"/>
    <mergeCell ref="OIE37:OIF37"/>
    <mergeCell ref="OIG37:OIH37"/>
    <mergeCell ref="OII37:OIJ37"/>
    <mergeCell ref="OIK37:OIL37"/>
    <mergeCell ref="OHO37:OHP37"/>
    <mergeCell ref="OHQ37:OHR37"/>
    <mergeCell ref="OHS37:OHT37"/>
    <mergeCell ref="OHU37:OHV37"/>
    <mergeCell ref="OHW37:OHX37"/>
    <mergeCell ref="OHY37:OHZ37"/>
    <mergeCell ref="OMQ37:OMR37"/>
    <mergeCell ref="OMS37:OMT37"/>
    <mergeCell ref="OMU37:OMV37"/>
    <mergeCell ref="OMW37:OMX37"/>
    <mergeCell ref="OMY37:OMZ37"/>
    <mergeCell ref="ONA37:ONB37"/>
    <mergeCell ref="OME37:OMF37"/>
    <mergeCell ref="OMG37:OMH37"/>
    <mergeCell ref="OMI37:OMJ37"/>
    <mergeCell ref="OMK37:OML37"/>
    <mergeCell ref="OMM37:OMN37"/>
    <mergeCell ref="OMO37:OMP37"/>
    <mergeCell ref="OLS37:OLT37"/>
    <mergeCell ref="OLU37:OLV37"/>
    <mergeCell ref="OLW37:OLX37"/>
    <mergeCell ref="OLY37:OLZ37"/>
    <mergeCell ref="OMA37:OMB37"/>
    <mergeCell ref="OMC37:OMD37"/>
    <mergeCell ref="OLG37:OLH37"/>
    <mergeCell ref="OLI37:OLJ37"/>
    <mergeCell ref="OLK37:OLL37"/>
    <mergeCell ref="OLM37:OLN37"/>
    <mergeCell ref="OLO37:OLP37"/>
    <mergeCell ref="OLQ37:OLR37"/>
    <mergeCell ref="OKU37:OKV37"/>
    <mergeCell ref="OKW37:OKX37"/>
    <mergeCell ref="OKY37:OKZ37"/>
    <mergeCell ref="OLA37:OLB37"/>
    <mergeCell ref="OLC37:OLD37"/>
    <mergeCell ref="OLE37:OLF37"/>
    <mergeCell ref="OKI37:OKJ37"/>
    <mergeCell ref="OKK37:OKL37"/>
    <mergeCell ref="OKM37:OKN37"/>
    <mergeCell ref="OKO37:OKP37"/>
    <mergeCell ref="OKQ37:OKR37"/>
    <mergeCell ref="OKS37:OKT37"/>
    <mergeCell ref="OPK37:OPL37"/>
    <mergeCell ref="OPM37:OPN37"/>
    <mergeCell ref="OPO37:OPP37"/>
    <mergeCell ref="OPQ37:OPR37"/>
    <mergeCell ref="OPS37:OPT37"/>
    <mergeCell ref="OPU37:OPV37"/>
    <mergeCell ref="OOY37:OOZ37"/>
    <mergeCell ref="OPA37:OPB37"/>
    <mergeCell ref="OPC37:OPD37"/>
    <mergeCell ref="OPE37:OPF37"/>
    <mergeCell ref="OPG37:OPH37"/>
    <mergeCell ref="OPI37:OPJ37"/>
    <mergeCell ref="OOM37:OON37"/>
    <mergeCell ref="OOO37:OOP37"/>
    <mergeCell ref="OOQ37:OOR37"/>
    <mergeCell ref="OOS37:OOT37"/>
    <mergeCell ref="OOU37:OOV37"/>
    <mergeCell ref="OOW37:OOX37"/>
    <mergeCell ref="OOA37:OOB37"/>
    <mergeCell ref="OOC37:OOD37"/>
    <mergeCell ref="OOE37:OOF37"/>
    <mergeCell ref="OOG37:OOH37"/>
    <mergeCell ref="OOI37:OOJ37"/>
    <mergeCell ref="OOK37:OOL37"/>
    <mergeCell ref="ONO37:ONP37"/>
    <mergeCell ref="ONQ37:ONR37"/>
    <mergeCell ref="ONS37:ONT37"/>
    <mergeCell ref="ONU37:ONV37"/>
    <mergeCell ref="ONW37:ONX37"/>
    <mergeCell ref="ONY37:ONZ37"/>
    <mergeCell ref="ONC37:OND37"/>
    <mergeCell ref="ONE37:ONF37"/>
    <mergeCell ref="ONG37:ONH37"/>
    <mergeCell ref="ONI37:ONJ37"/>
    <mergeCell ref="ONK37:ONL37"/>
    <mergeCell ref="ONM37:ONN37"/>
    <mergeCell ref="OSE37:OSF37"/>
    <mergeCell ref="OSG37:OSH37"/>
    <mergeCell ref="OSI37:OSJ37"/>
    <mergeCell ref="OSK37:OSL37"/>
    <mergeCell ref="OSM37:OSN37"/>
    <mergeCell ref="OSO37:OSP37"/>
    <mergeCell ref="ORS37:ORT37"/>
    <mergeCell ref="ORU37:ORV37"/>
    <mergeCell ref="ORW37:ORX37"/>
    <mergeCell ref="ORY37:ORZ37"/>
    <mergeCell ref="OSA37:OSB37"/>
    <mergeCell ref="OSC37:OSD37"/>
    <mergeCell ref="ORG37:ORH37"/>
    <mergeCell ref="ORI37:ORJ37"/>
    <mergeCell ref="ORK37:ORL37"/>
    <mergeCell ref="ORM37:ORN37"/>
    <mergeCell ref="ORO37:ORP37"/>
    <mergeCell ref="ORQ37:ORR37"/>
    <mergeCell ref="OQU37:OQV37"/>
    <mergeCell ref="OQW37:OQX37"/>
    <mergeCell ref="OQY37:OQZ37"/>
    <mergeCell ref="ORA37:ORB37"/>
    <mergeCell ref="ORC37:ORD37"/>
    <mergeCell ref="ORE37:ORF37"/>
    <mergeCell ref="OQI37:OQJ37"/>
    <mergeCell ref="OQK37:OQL37"/>
    <mergeCell ref="OQM37:OQN37"/>
    <mergeCell ref="OQO37:OQP37"/>
    <mergeCell ref="OQQ37:OQR37"/>
    <mergeCell ref="OQS37:OQT37"/>
    <mergeCell ref="OPW37:OPX37"/>
    <mergeCell ref="OPY37:OPZ37"/>
    <mergeCell ref="OQA37:OQB37"/>
    <mergeCell ref="OQC37:OQD37"/>
    <mergeCell ref="OQE37:OQF37"/>
    <mergeCell ref="OQG37:OQH37"/>
    <mergeCell ref="OUY37:OUZ37"/>
    <mergeCell ref="OVA37:OVB37"/>
    <mergeCell ref="OVC37:OVD37"/>
    <mergeCell ref="OVE37:OVF37"/>
    <mergeCell ref="OVG37:OVH37"/>
    <mergeCell ref="OVI37:OVJ37"/>
    <mergeCell ref="OUM37:OUN37"/>
    <mergeCell ref="OUO37:OUP37"/>
    <mergeCell ref="OUQ37:OUR37"/>
    <mergeCell ref="OUS37:OUT37"/>
    <mergeCell ref="OUU37:OUV37"/>
    <mergeCell ref="OUW37:OUX37"/>
    <mergeCell ref="OUA37:OUB37"/>
    <mergeCell ref="OUC37:OUD37"/>
    <mergeCell ref="OUE37:OUF37"/>
    <mergeCell ref="OUG37:OUH37"/>
    <mergeCell ref="OUI37:OUJ37"/>
    <mergeCell ref="OUK37:OUL37"/>
    <mergeCell ref="OTO37:OTP37"/>
    <mergeCell ref="OTQ37:OTR37"/>
    <mergeCell ref="OTS37:OTT37"/>
    <mergeCell ref="OTU37:OTV37"/>
    <mergeCell ref="OTW37:OTX37"/>
    <mergeCell ref="OTY37:OTZ37"/>
    <mergeCell ref="OTC37:OTD37"/>
    <mergeCell ref="OTE37:OTF37"/>
    <mergeCell ref="OTG37:OTH37"/>
    <mergeCell ref="OTI37:OTJ37"/>
    <mergeCell ref="OTK37:OTL37"/>
    <mergeCell ref="OTM37:OTN37"/>
    <mergeCell ref="OSQ37:OSR37"/>
    <mergeCell ref="OSS37:OST37"/>
    <mergeCell ref="OSU37:OSV37"/>
    <mergeCell ref="OSW37:OSX37"/>
    <mergeCell ref="OSY37:OSZ37"/>
    <mergeCell ref="OTA37:OTB37"/>
    <mergeCell ref="OXS37:OXT37"/>
    <mergeCell ref="OXU37:OXV37"/>
    <mergeCell ref="OXW37:OXX37"/>
    <mergeCell ref="OXY37:OXZ37"/>
    <mergeCell ref="OYA37:OYB37"/>
    <mergeCell ref="OYC37:OYD37"/>
    <mergeCell ref="OXG37:OXH37"/>
    <mergeCell ref="OXI37:OXJ37"/>
    <mergeCell ref="OXK37:OXL37"/>
    <mergeCell ref="OXM37:OXN37"/>
    <mergeCell ref="OXO37:OXP37"/>
    <mergeCell ref="OXQ37:OXR37"/>
    <mergeCell ref="OWU37:OWV37"/>
    <mergeCell ref="OWW37:OWX37"/>
    <mergeCell ref="OWY37:OWZ37"/>
    <mergeCell ref="OXA37:OXB37"/>
    <mergeCell ref="OXC37:OXD37"/>
    <mergeCell ref="OXE37:OXF37"/>
    <mergeCell ref="OWI37:OWJ37"/>
    <mergeCell ref="OWK37:OWL37"/>
    <mergeCell ref="OWM37:OWN37"/>
    <mergeCell ref="OWO37:OWP37"/>
    <mergeCell ref="OWQ37:OWR37"/>
    <mergeCell ref="OWS37:OWT37"/>
    <mergeCell ref="OVW37:OVX37"/>
    <mergeCell ref="OVY37:OVZ37"/>
    <mergeCell ref="OWA37:OWB37"/>
    <mergeCell ref="OWC37:OWD37"/>
    <mergeCell ref="OWE37:OWF37"/>
    <mergeCell ref="OWG37:OWH37"/>
    <mergeCell ref="OVK37:OVL37"/>
    <mergeCell ref="OVM37:OVN37"/>
    <mergeCell ref="OVO37:OVP37"/>
    <mergeCell ref="OVQ37:OVR37"/>
    <mergeCell ref="OVS37:OVT37"/>
    <mergeCell ref="OVU37:OVV37"/>
    <mergeCell ref="PAM37:PAN37"/>
    <mergeCell ref="PAO37:PAP37"/>
    <mergeCell ref="PAQ37:PAR37"/>
    <mergeCell ref="PAS37:PAT37"/>
    <mergeCell ref="PAU37:PAV37"/>
    <mergeCell ref="PAW37:PAX37"/>
    <mergeCell ref="PAA37:PAB37"/>
    <mergeCell ref="PAC37:PAD37"/>
    <mergeCell ref="PAE37:PAF37"/>
    <mergeCell ref="PAG37:PAH37"/>
    <mergeCell ref="PAI37:PAJ37"/>
    <mergeCell ref="PAK37:PAL37"/>
    <mergeCell ref="OZO37:OZP37"/>
    <mergeCell ref="OZQ37:OZR37"/>
    <mergeCell ref="OZS37:OZT37"/>
    <mergeCell ref="OZU37:OZV37"/>
    <mergeCell ref="OZW37:OZX37"/>
    <mergeCell ref="OZY37:OZZ37"/>
    <mergeCell ref="OZC37:OZD37"/>
    <mergeCell ref="OZE37:OZF37"/>
    <mergeCell ref="OZG37:OZH37"/>
    <mergeCell ref="OZI37:OZJ37"/>
    <mergeCell ref="OZK37:OZL37"/>
    <mergeCell ref="OZM37:OZN37"/>
    <mergeCell ref="OYQ37:OYR37"/>
    <mergeCell ref="OYS37:OYT37"/>
    <mergeCell ref="OYU37:OYV37"/>
    <mergeCell ref="OYW37:OYX37"/>
    <mergeCell ref="OYY37:OYZ37"/>
    <mergeCell ref="OZA37:OZB37"/>
    <mergeCell ref="OYE37:OYF37"/>
    <mergeCell ref="OYG37:OYH37"/>
    <mergeCell ref="OYI37:OYJ37"/>
    <mergeCell ref="OYK37:OYL37"/>
    <mergeCell ref="OYM37:OYN37"/>
    <mergeCell ref="OYO37:OYP37"/>
    <mergeCell ref="PDG37:PDH37"/>
    <mergeCell ref="PDI37:PDJ37"/>
    <mergeCell ref="PDK37:PDL37"/>
    <mergeCell ref="PDM37:PDN37"/>
    <mergeCell ref="PDO37:PDP37"/>
    <mergeCell ref="PDQ37:PDR37"/>
    <mergeCell ref="PCU37:PCV37"/>
    <mergeCell ref="PCW37:PCX37"/>
    <mergeCell ref="PCY37:PCZ37"/>
    <mergeCell ref="PDA37:PDB37"/>
    <mergeCell ref="PDC37:PDD37"/>
    <mergeCell ref="PDE37:PDF37"/>
    <mergeCell ref="PCI37:PCJ37"/>
    <mergeCell ref="PCK37:PCL37"/>
    <mergeCell ref="PCM37:PCN37"/>
    <mergeCell ref="PCO37:PCP37"/>
    <mergeCell ref="PCQ37:PCR37"/>
    <mergeCell ref="PCS37:PCT37"/>
    <mergeCell ref="PBW37:PBX37"/>
    <mergeCell ref="PBY37:PBZ37"/>
    <mergeCell ref="PCA37:PCB37"/>
    <mergeCell ref="PCC37:PCD37"/>
    <mergeCell ref="PCE37:PCF37"/>
    <mergeCell ref="PCG37:PCH37"/>
    <mergeCell ref="PBK37:PBL37"/>
    <mergeCell ref="PBM37:PBN37"/>
    <mergeCell ref="PBO37:PBP37"/>
    <mergeCell ref="PBQ37:PBR37"/>
    <mergeCell ref="PBS37:PBT37"/>
    <mergeCell ref="PBU37:PBV37"/>
    <mergeCell ref="PAY37:PAZ37"/>
    <mergeCell ref="PBA37:PBB37"/>
    <mergeCell ref="PBC37:PBD37"/>
    <mergeCell ref="PBE37:PBF37"/>
    <mergeCell ref="PBG37:PBH37"/>
    <mergeCell ref="PBI37:PBJ37"/>
    <mergeCell ref="PGA37:PGB37"/>
    <mergeCell ref="PGC37:PGD37"/>
    <mergeCell ref="PGE37:PGF37"/>
    <mergeCell ref="PGG37:PGH37"/>
    <mergeCell ref="PGI37:PGJ37"/>
    <mergeCell ref="PGK37:PGL37"/>
    <mergeCell ref="PFO37:PFP37"/>
    <mergeCell ref="PFQ37:PFR37"/>
    <mergeCell ref="PFS37:PFT37"/>
    <mergeCell ref="PFU37:PFV37"/>
    <mergeCell ref="PFW37:PFX37"/>
    <mergeCell ref="PFY37:PFZ37"/>
    <mergeCell ref="PFC37:PFD37"/>
    <mergeCell ref="PFE37:PFF37"/>
    <mergeCell ref="PFG37:PFH37"/>
    <mergeCell ref="PFI37:PFJ37"/>
    <mergeCell ref="PFK37:PFL37"/>
    <mergeCell ref="PFM37:PFN37"/>
    <mergeCell ref="PEQ37:PER37"/>
    <mergeCell ref="PES37:PET37"/>
    <mergeCell ref="PEU37:PEV37"/>
    <mergeCell ref="PEW37:PEX37"/>
    <mergeCell ref="PEY37:PEZ37"/>
    <mergeCell ref="PFA37:PFB37"/>
    <mergeCell ref="PEE37:PEF37"/>
    <mergeCell ref="PEG37:PEH37"/>
    <mergeCell ref="PEI37:PEJ37"/>
    <mergeCell ref="PEK37:PEL37"/>
    <mergeCell ref="PEM37:PEN37"/>
    <mergeCell ref="PEO37:PEP37"/>
    <mergeCell ref="PDS37:PDT37"/>
    <mergeCell ref="PDU37:PDV37"/>
    <mergeCell ref="PDW37:PDX37"/>
    <mergeCell ref="PDY37:PDZ37"/>
    <mergeCell ref="PEA37:PEB37"/>
    <mergeCell ref="PEC37:PED37"/>
    <mergeCell ref="PIU37:PIV37"/>
    <mergeCell ref="PIW37:PIX37"/>
    <mergeCell ref="PIY37:PIZ37"/>
    <mergeCell ref="PJA37:PJB37"/>
    <mergeCell ref="PJC37:PJD37"/>
    <mergeCell ref="PJE37:PJF37"/>
    <mergeCell ref="PII37:PIJ37"/>
    <mergeCell ref="PIK37:PIL37"/>
    <mergeCell ref="PIM37:PIN37"/>
    <mergeCell ref="PIO37:PIP37"/>
    <mergeCell ref="PIQ37:PIR37"/>
    <mergeCell ref="PIS37:PIT37"/>
    <mergeCell ref="PHW37:PHX37"/>
    <mergeCell ref="PHY37:PHZ37"/>
    <mergeCell ref="PIA37:PIB37"/>
    <mergeCell ref="PIC37:PID37"/>
    <mergeCell ref="PIE37:PIF37"/>
    <mergeCell ref="PIG37:PIH37"/>
    <mergeCell ref="PHK37:PHL37"/>
    <mergeCell ref="PHM37:PHN37"/>
    <mergeCell ref="PHO37:PHP37"/>
    <mergeCell ref="PHQ37:PHR37"/>
    <mergeCell ref="PHS37:PHT37"/>
    <mergeCell ref="PHU37:PHV37"/>
    <mergeCell ref="PGY37:PGZ37"/>
    <mergeCell ref="PHA37:PHB37"/>
    <mergeCell ref="PHC37:PHD37"/>
    <mergeCell ref="PHE37:PHF37"/>
    <mergeCell ref="PHG37:PHH37"/>
    <mergeCell ref="PHI37:PHJ37"/>
    <mergeCell ref="PGM37:PGN37"/>
    <mergeCell ref="PGO37:PGP37"/>
    <mergeCell ref="PGQ37:PGR37"/>
    <mergeCell ref="PGS37:PGT37"/>
    <mergeCell ref="PGU37:PGV37"/>
    <mergeCell ref="PGW37:PGX37"/>
    <mergeCell ref="PLO37:PLP37"/>
    <mergeCell ref="PLQ37:PLR37"/>
    <mergeCell ref="PLS37:PLT37"/>
    <mergeCell ref="PLU37:PLV37"/>
    <mergeCell ref="PLW37:PLX37"/>
    <mergeCell ref="PLY37:PLZ37"/>
    <mergeCell ref="PLC37:PLD37"/>
    <mergeCell ref="PLE37:PLF37"/>
    <mergeCell ref="PLG37:PLH37"/>
    <mergeCell ref="PLI37:PLJ37"/>
    <mergeCell ref="PLK37:PLL37"/>
    <mergeCell ref="PLM37:PLN37"/>
    <mergeCell ref="PKQ37:PKR37"/>
    <mergeCell ref="PKS37:PKT37"/>
    <mergeCell ref="PKU37:PKV37"/>
    <mergeCell ref="PKW37:PKX37"/>
    <mergeCell ref="PKY37:PKZ37"/>
    <mergeCell ref="PLA37:PLB37"/>
    <mergeCell ref="PKE37:PKF37"/>
    <mergeCell ref="PKG37:PKH37"/>
    <mergeCell ref="PKI37:PKJ37"/>
    <mergeCell ref="PKK37:PKL37"/>
    <mergeCell ref="PKM37:PKN37"/>
    <mergeCell ref="PKO37:PKP37"/>
    <mergeCell ref="PJS37:PJT37"/>
    <mergeCell ref="PJU37:PJV37"/>
    <mergeCell ref="PJW37:PJX37"/>
    <mergeCell ref="PJY37:PJZ37"/>
    <mergeCell ref="PKA37:PKB37"/>
    <mergeCell ref="PKC37:PKD37"/>
    <mergeCell ref="PJG37:PJH37"/>
    <mergeCell ref="PJI37:PJJ37"/>
    <mergeCell ref="PJK37:PJL37"/>
    <mergeCell ref="PJM37:PJN37"/>
    <mergeCell ref="PJO37:PJP37"/>
    <mergeCell ref="PJQ37:PJR37"/>
    <mergeCell ref="POI37:POJ37"/>
    <mergeCell ref="POK37:POL37"/>
    <mergeCell ref="POM37:PON37"/>
    <mergeCell ref="POO37:POP37"/>
    <mergeCell ref="POQ37:POR37"/>
    <mergeCell ref="POS37:POT37"/>
    <mergeCell ref="PNW37:PNX37"/>
    <mergeCell ref="PNY37:PNZ37"/>
    <mergeCell ref="POA37:POB37"/>
    <mergeCell ref="POC37:POD37"/>
    <mergeCell ref="POE37:POF37"/>
    <mergeCell ref="POG37:POH37"/>
    <mergeCell ref="PNK37:PNL37"/>
    <mergeCell ref="PNM37:PNN37"/>
    <mergeCell ref="PNO37:PNP37"/>
    <mergeCell ref="PNQ37:PNR37"/>
    <mergeCell ref="PNS37:PNT37"/>
    <mergeCell ref="PNU37:PNV37"/>
    <mergeCell ref="PMY37:PMZ37"/>
    <mergeCell ref="PNA37:PNB37"/>
    <mergeCell ref="PNC37:PND37"/>
    <mergeCell ref="PNE37:PNF37"/>
    <mergeCell ref="PNG37:PNH37"/>
    <mergeCell ref="PNI37:PNJ37"/>
    <mergeCell ref="PMM37:PMN37"/>
    <mergeCell ref="PMO37:PMP37"/>
    <mergeCell ref="PMQ37:PMR37"/>
    <mergeCell ref="PMS37:PMT37"/>
    <mergeCell ref="PMU37:PMV37"/>
    <mergeCell ref="PMW37:PMX37"/>
    <mergeCell ref="PMA37:PMB37"/>
    <mergeCell ref="PMC37:PMD37"/>
    <mergeCell ref="PME37:PMF37"/>
    <mergeCell ref="PMG37:PMH37"/>
    <mergeCell ref="PMI37:PMJ37"/>
    <mergeCell ref="PMK37:PML37"/>
    <mergeCell ref="PRC37:PRD37"/>
    <mergeCell ref="PRE37:PRF37"/>
    <mergeCell ref="PRG37:PRH37"/>
    <mergeCell ref="PRI37:PRJ37"/>
    <mergeCell ref="PRK37:PRL37"/>
    <mergeCell ref="PRM37:PRN37"/>
    <mergeCell ref="PQQ37:PQR37"/>
    <mergeCell ref="PQS37:PQT37"/>
    <mergeCell ref="PQU37:PQV37"/>
    <mergeCell ref="PQW37:PQX37"/>
    <mergeCell ref="PQY37:PQZ37"/>
    <mergeCell ref="PRA37:PRB37"/>
    <mergeCell ref="PQE37:PQF37"/>
    <mergeCell ref="PQG37:PQH37"/>
    <mergeCell ref="PQI37:PQJ37"/>
    <mergeCell ref="PQK37:PQL37"/>
    <mergeCell ref="PQM37:PQN37"/>
    <mergeCell ref="PQO37:PQP37"/>
    <mergeCell ref="PPS37:PPT37"/>
    <mergeCell ref="PPU37:PPV37"/>
    <mergeCell ref="PPW37:PPX37"/>
    <mergeCell ref="PPY37:PPZ37"/>
    <mergeCell ref="PQA37:PQB37"/>
    <mergeCell ref="PQC37:PQD37"/>
    <mergeCell ref="PPG37:PPH37"/>
    <mergeCell ref="PPI37:PPJ37"/>
    <mergeCell ref="PPK37:PPL37"/>
    <mergeCell ref="PPM37:PPN37"/>
    <mergeCell ref="PPO37:PPP37"/>
    <mergeCell ref="PPQ37:PPR37"/>
    <mergeCell ref="POU37:POV37"/>
    <mergeCell ref="POW37:POX37"/>
    <mergeCell ref="POY37:POZ37"/>
    <mergeCell ref="PPA37:PPB37"/>
    <mergeCell ref="PPC37:PPD37"/>
    <mergeCell ref="PPE37:PPF37"/>
    <mergeCell ref="PTW37:PTX37"/>
    <mergeCell ref="PTY37:PTZ37"/>
    <mergeCell ref="PUA37:PUB37"/>
    <mergeCell ref="PUC37:PUD37"/>
    <mergeCell ref="PUE37:PUF37"/>
    <mergeCell ref="PUG37:PUH37"/>
    <mergeCell ref="PTK37:PTL37"/>
    <mergeCell ref="PTM37:PTN37"/>
    <mergeCell ref="PTO37:PTP37"/>
    <mergeCell ref="PTQ37:PTR37"/>
    <mergeCell ref="PTS37:PTT37"/>
    <mergeCell ref="PTU37:PTV37"/>
    <mergeCell ref="PSY37:PSZ37"/>
    <mergeCell ref="PTA37:PTB37"/>
    <mergeCell ref="PTC37:PTD37"/>
    <mergeCell ref="PTE37:PTF37"/>
    <mergeCell ref="PTG37:PTH37"/>
    <mergeCell ref="PTI37:PTJ37"/>
    <mergeCell ref="PSM37:PSN37"/>
    <mergeCell ref="PSO37:PSP37"/>
    <mergeCell ref="PSQ37:PSR37"/>
    <mergeCell ref="PSS37:PST37"/>
    <mergeCell ref="PSU37:PSV37"/>
    <mergeCell ref="PSW37:PSX37"/>
    <mergeCell ref="PSA37:PSB37"/>
    <mergeCell ref="PSC37:PSD37"/>
    <mergeCell ref="PSE37:PSF37"/>
    <mergeCell ref="PSG37:PSH37"/>
    <mergeCell ref="PSI37:PSJ37"/>
    <mergeCell ref="PSK37:PSL37"/>
    <mergeCell ref="PRO37:PRP37"/>
    <mergeCell ref="PRQ37:PRR37"/>
    <mergeCell ref="PRS37:PRT37"/>
    <mergeCell ref="PRU37:PRV37"/>
    <mergeCell ref="PRW37:PRX37"/>
    <mergeCell ref="PRY37:PRZ37"/>
    <mergeCell ref="PWQ37:PWR37"/>
    <mergeCell ref="PWS37:PWT37"/>
    <mergeCell ref="PWU37:PWV37"/>
    <mergeCell ref="PWW37:PWX37"/>
    <mergeCell ref="PWY37:PWZ37"/>
    <mergeCell ref="PXA37:PXB37"/>
    <mergeCell ref="PWE37:PWF37"/>
    <mergeCell ref="PWG37:PWH37"/>
    <mergeCell ref="PWI37:PWJ37"/>
    <mergeCell ref="PWK37:PWL37"/>
    <mergeCell ref="PWM37:PWN37"/>
    <mergeCell ref="PWO37:PWP37"/>
    <mergeCell ref="PVS37:PVT37"/>
    <mergeCell ref="PVU37:PVV37"/>
    <mergeCell ref="PVW37:PVX37"/>
    <mergeCell ref="PVY37:PVZ37"/>
    <mergeCell ref="PWA37:PWB37"/>
    <mergeCell ref="PWC37:PWD37"/>
    <mergeCell ref="PVG37:PVH37"/>
    <mergeCell ref="PVI37:PVJ37"/>
    <mergeCell ref="PVK37:PVL37"/>
    <mergeCell ref="PVM37:PVN37"/>
    <mergeCell ref="PVO37:PVP37"/>
    <mergeCell ref="PVQ37:PVR37"/>
    <mergeCell ref="PUU37:PUV37"/>
    <mergeCell ref="PUW37:PUX37"/>
    <mergeCell ref="PUY37:PUZ37"/>
    <mergeCell ref="PVA37:PVB37"/>
    <mergeCell ref="PVC37:PVD37"/>
    <mergeCell ref="PVE37:PVF37"/>
    <mergeCell ref="PUI37:PUJ37"/>
    <mergeCell ref="PUK37:PUL37"/>
    <mergeCell ref="PUM37:PUN37"/>
    <mergeCell ref="PUO37:PUP37"/>
    <mergeCell ref="PUQ37:PUR37"/>
    <mergeCell ref="PUS37:PUT37"/>
    <mergeCell ref="PZK37:PZL37"/>
    <mergeCell ref="PZM37:PZN37"/>
    <mergeCell ref="PZO37:PZP37"/>
    <mergeCell ref="PZQ37:PZR37"/>
    <mergeCell ref="PZS37:PZT37"/>
    <mergeCell ref="PZU37:PZV37"/>
    <mergeCell ref="PYY37:PYZ37"/>
    <mergeCell ref="PZA37:PZB37"/>
    <mergeCell ref="PZC37:PZD37"/>
    <mergeCell ref="PZE37:PZF37"/>
    <mergeCell ref="PZG37:PZH37"/>
    <mergeCell ref="PZI37:PZJ37"/>
    <mergeCell ref="PYM37:PYN37"/>
    <mergeCell ref="PYO37:PYP37"/>
    <mergeCell ref="PYQ37:PYR37"/>
    <mergeCell ref="PYS37:PYT37"/>
    <mergeCell ref="PYU37:PYV37"/>
    <mergeCell ref="PYW37:PYX37"/>
    <mergeCell ref="PYA37:PYB37"/>
    <mergeCell ref="PYC37:PYD37"/>
    <mergeCell ref="PYE37:PYF37"/>
    <mergeCell ref="PYG37:PYH37"/>
    <mergeCell ref="PYI37:PYJ37"/>
    <mergeCell ref="PYK37:PYL37"/>
    <mergeCell ref="PXO37:PXP37"/>
    <mergeCell ref="PXQ37:PXR37"/>
    <mergeCell ref="PXS37:PXT37"/>
    <mergeCell ref="PXU37:PXV37"/>
    <mergeCell ref="PXW37:PXX37"/>
    <mergeCell ref="PXY37:PXZ37"/>
    <mergeCell ref="PXC37:PXD37"/>
    <mergeCell ref="PXE37:PXF37"/>
    <mergeCell ref="PXG37:PXH37"/>
    <mergeCell ref="PXI37:PXJ37"/>
    <mergeCell ref="PXK37:PXL37"/>
    <mergeCell ref="PXM37:PXN37"/>
    <mergeCell ref="QCE37:QCF37"/>
    <mergeCell ref="QCG37:QCH37"/>
    <mergeCell ref="QCI37:QCJ37"/>
    <mergeCell ref="QCK37:QCL37"/>
    <mergeCell ref="QCM37:QCN37"/>
    <mergeCell ref="QCO37:QCP37"/>
    <mergeCell ref="QBS37:QBT37"/>
    <mergeCell ref="QBU37:QBV37"/>
    <mergeCell ref="QBW37:QBX37"/>
    <mergeCell ref="QBY37:QBZ37"/>
    <mergeCell ref="QCA37:QCB37"/>
    <mergeCell ref="QCC37:QCD37"/>
    <mergeCell ref="QBG37:QBH37"/>
    <mergeCell ref="QBI37:QBJ37"/>
    <mergeCell ref="QBK37:QBL37"/>
    <mergeCell ref="QBM37:QBN37"/>
    <mergeCell ref="QBO37:QBP37"/>
    <mergeCell ref="QBQ37:QBR37"/>
    <mergeCell ref="QAU37:QAV37"/>
    <mergeCell ref="QAW37:QAX37"/>
    <mergeCell ref="QAY37:QAZ37"/>
    <mergeCell ref="QBA37:QBB37"/>
    <mergeCell ref="QBC37:QBD37"/>
    <mergeCell ref="QBE37:QBF37"/>
    <mergeCell ref="QAI37:QAJ37"/>
    <mergeCell ref="QAK37:QAL37"/>
    <mergeCell ref="QAM37:QAN37"/>
    <mergeCell ref="QAO37:QAP37"/>
    <mergeCell ref="QAQ37:QAR37"/>
    <mergeCell ref="QAS37:QAT37"/>
    <mergeCell ref="PZW37:PZX37"/>
    <mergeCell ref="PZY37:PZZ37"/>
    <mergeCell ref="QAA37:QAB37"/>
    <mergeCell ref="QAC37:QAD37"/>
    <mergeCell ref="QAE37:QAF37"/>
    <mergeCell ref="QAG37:QAH37"/>
    <mergeCell ref="QEY37:QEZ37"/>
    <mergeCell ref="QFA37:QFB37"/>
    <mergeCell ref="QFC37:QFD37"/>
    <mergeCell ref="QFE37:QFF37"/>
    <mergeCell ref="QFG37:QFH37"/>
    <mergeCell ref="QFI37:QFJ37"/>
    <mergeCell ref="QEM37:QEN37"/>
    <mergeCell ref="QEO37:QEP37"/>
    <mergeCell ref="QEQ37:QER37"/>
    <mergeCell ref="QES37:QET37"/>
    <mergeCell ref="QEU37:QEV37"/>
    <mergeCell ref="QEW37:QEX37"/>
    <mergeCell ref="QEA37:QEB37"/>
    <mergeCell ref="QEC37:QED37"/>
    <mergeCell ref="QEE37:QEF37"/>
    <mergeCell ref="QEG37:QEH37"/>
    <mergeCell ref="QEI37:QEJ37"/>
    <mergeCell ref="QEK37:QEL37"/>
    <mergeCell ref="QDO37:QDP37"/>
    <mergeCell ref="QDQ37:QDR37"/>
    <mergeCell ref="QDS37:QDT37"/>
    <mergeCell ref="QDU37:QDV37"/>
    <mergeCell ref="QDW37:QDX37"/>
    <mergeCell ref="QDY37:QDZ37"/>
    <mergeCell ref="QDC37:QDD37"/>
    <mergeCell ref="QDE37:QDF37"/>
    <mergeCell ref="QDG37:QDH37"/>
    <mergeCell ref="QDI37:QDJ37"/>
    <mergeCell ref="QDK37:QDL37"/>
    <mergeCell ref="QDM37:QDN37"/>
    <mergeCell ref="QCQ37:QCR37"/>
    <mergeCell ref="QCS37:QCT37"/>
    <mergeCell ref="QCU37:QCV37"/>
    <mergeCell ref="QCW37:QCX37"/>
    <mergeCell ref="QCY37:QCZ37"/>
    <mergeCell ref="QDA37:QDB37"/>
    <mergeCell ref="QHS37:QHT37"/>
    <mergeCell ref="QHU37:QHV37"/>
    <mergeCell ref="QHW37:QHX37"/>
    <mergeCell ref="QHY37:QHZ37"/>
    <mergeCell ref="QIA37:QIB37"/>
    <mergeCell ref="QIC37:QID37"/>
    <mergeCell ref="QHG37:QHH37"/>
    <mergeCell ref="QHI37:QHJ37"/>
    <mergeCell ref="QHK37:QHL37"/>
    <mergeCell ref="QHM37:QHN37"/>
    <mergeCell ref="QHO37:QHP37"/>
    <mergeCell ref="QHQ37:QHR37"/>
    <mergeCell ref="QGU37:QGV37"/>
    <mergeCell ref="QGW37:QGX37"/>
    <mergeCell ref="QGY37:QGZ37"/>
    <mergeCell ref="QHA37:QHB37"/>
    <mergeCell ref="QHC37:QHD37"/>
    <mergeCell ref="QHE37:QHF37"/>
    <mergeCell ref="QGI37:QGJ37"/>
    <mergeCell ref="QGK37:QGL37"/>
    <mergeCell ref="QGM37:QGN37"/>
    <mergeCell ref="QGO37:QGP37"/>
    <mergeCell ref="QGQ37:QGR37"/>
    <mergeCell ref="QGS37:QGT37"/>
    <mergeCell ref="QFW37:QFX37"/>
    <mergeCell ref="QFY37:QFZ37"/>
    <mergeCell ref="QGA37:QGB37"/>
    <mergeCell ref="QGC37:QGD37"/>
    <mergeCell ref="QGE37:QGF37"/>
    <mergeCell ref="QGG37:QGH37"/>
    <mergeCell ref="QFK37:QFL37"/>
    <mergeCell ref="QFM37:QFN37"/>
    <mergeCell ref="QFO37:QFP37"/>
    <mergeCell ref="QFQ37:QFR37"/>
    <mergeCell ref="QFS37:QFT37"/>
    <mergeCell ref="QFU37:QFV37"/>
    <mergeCell ref="QKM37:QKN37"/>
    <mergeCell ref="QKO37:QKP37"/>
    <mergeCell ref="QKQ37:QKR37"/>
    <mergeCell ref="QKS37:QKT37"/>
    <mergeCell ref="QKU37:QKV37"/>
    <mergeCell ref="QKW37:QKX37"/>
    <mergeCell ref="QKA37:QKB37"/>
    <mergeCell ref="QKC37:QKD37"/>
    <mergeCell ref="QKE37:QKF37"/>
    <mergeCell ref="QKG37:QKH37"/>
    <mergeCell ref="QKI37:QKJ37"/>
    <mergeCell ref="QKK37:QKL37"/>
    <mergeCell ref="QJO37:QJP37"/>
    <mergeCell ref="QJQ37:QJR37"/>
    <mergeCell ref="QJS37:QJT37"/>
    <mergeCell ref="QJU37:QJV37"/>
    <mergeCell ref="QJW37:QJX37"/>
    <mergeCell ref="QJY37:QJZ37"/>
    <mergeCell ref="QJC37:QJD37"/>
    <mergeCell ref="QJE37:QJF37"/>
    <mergeCell ref="QJG37:QJH37"/>
    <mergeCell ref="QJI37:QJJ37"/>
    <mergeCell ref="QJK37:QJL37"/>
    <mergeCell ref="QJM37:QJN37"/>
    <mergeCell ref="QIQ37:QIR37"/>
    <mergeCell ref="QIS37:QIT37"/>
    <mergeCell ref="QIU37:QIV37"/>
    <mergeCell ref="QIW37:QIX37"/>
    <mergeCell ref="QIY37:QIZ37"/>
    <mergeCell ref="QJA37:QJB37"/>
    <mergeCell ref="QIE37:QIF37"/>
    <mergeCell ref="QIG37:QIH37"/>
    <mergeCell ref="QII37:QIJ37"/>
    <mergeCell ref="QIK37:QIL37"/>
    <mergeCell ref="QIM37:QIN37"/>
    <mergeCell ref="QIO37:QIP37"/>
    <mergeCell ref="QNG37:QNH37"/>
    <mergeCell ref="QNI37:QNJ37"/>
    <mergeCell ref="QNK37:QNL37"/>
    <mergeCell ref="QNM37:QNN37"/>
    <mergeCell ref="QNO37:QNP37"/>
    <mergeCell ref="QNQ37:QNR37"/>
    <mergeCell ref="QMU37:QMV37"/>
    <mergeCell ref="QMW37:QMX37"/>
    <mergeCell ref="QMY37:QMZ37"/>
    <mergeCell ref="QNA37:QNB37"/>
    <mergeCell ref="QNC37:QND37"/>
    <mergeCell ref="QNE37:QNF37"/>
    <mergeCell ref="QMI37:QMJ37"/>
    <mergeCell ref="QMK37:QML37"/>
    <mergeCell ref="QMM37:QMN37"/>
    <mergeCell ref="QMO37:QMP37"/>
    <mergeCell ref="QMQ37:QMR37"/>
    <mergeCell ref="QMS37:QMT37"/>
    <mergeCell ref="QLW37:QLX37"/>
    <mergeCell ref="QLY37:QLZ37"/>
    <mergeCell ref="QMA37:QMB37"/>
    <mergeCell ref="QMC37:QMD37"/>
    <mergeCell ref="QME37:QMF37"/>
    <mergeCell ref="QMG37:QMH37"/>
    <mergeCell ref="QLK37:QLL37"/>
    <mergeCell ref="QLM37:QLN37"/>
    <mergeCell ref="QLO37:QLP37"/>
    <mergeCell ref="QLQ37:QLR37"/>
    <mergeCell ref="QLS37:QLT37"/>
    <mergeCell ref="QLU37:QLV37"/>
    <mergeCell ref="QKY37:QKZ37"/>
    <mergeCell ref="QLA37:QLB37"/>
    <mergeCell ref="QLC37:QLD37"/>
    <mergeCell ref="QLE37:QLF37"/>
    <mergeCell ref="QLG37:QLH37"/>
    <mergeCell ref="QLI37:QLJ37"/>
    <mergeCell ref="QQA37:QQB37"/>
    <mergeCell ref="QQC37:QQD37"/>
    <mergeCell ref="QQE37:QQF37"/>
    <mergeCell ref="QQG37:QQH37"/>
    <mergeCell ref="QQI37:QQJ37"/>
    <mergeCell ref="QQK37:QQL37"/>
    <mergeCell ref="QPO37:QPP37"/>
    <mergeCell ref="QPQ37:QPR37"/>
    <mergeCell ref="QPS37:QPT37"/>
    <mergeCell ref="QPU37:QPV37"/>
    <mergeCell ref="QPW37:QPX37"/>
    <mergeCell ref="QPY37:QPZ37"/>
    <mergeCell ref="QPC37:QPD37"/>
    <mergeCell ref="QPE37:QPF37"/>
    <mergeCell ref="QPG37:QPH37"/>
    <mergeCell ref="QPI37:QPJ37"/>
    <mergeCell ref="QPK37:QPL37"/>
    <mergeCell ref="QPM37:QPN37"/>
    <mergeCell ref="QOQ37:QOR37"/>
    <mergeCell ref="QOS37:QOT37"/>
    <mergeCell ref="QOU37:QOV37"/>
    <mergeCell ref="QOW37:QOX37"/>
    <mergeCell ref="QOY37:QOZ37"/>
    <mergeCell ref="QPA37:QPB37"/>
    <mergeCell ref="QOE37:QOF37"/>
    <mergeCell ref="QOG37:QOH37"/>
    <mergeCell ref="QOI37:QOJ37"/>
    <mergeCell ref="QOK37:QOL37"/>
    <mergeCell ref="QOM37:QON37"/>
    <mergeCell ref="QOO37:QOP37"/>
    <mergeCell ref="QNS37:QNT37"/>
    <mergeCell ref="QNU37:QNV37"/>
    <mergeCell ref="QNW37:QNX37"/>
    <mergeCell ref="QNY37:QNZ37"/>
    <mergeCell ref="QOA37:QOB37"/>
    <mergeCell ref="QOC37:QOD37"/>
    <mergeCell ref="QSU37:QSV37"/>
    <mergeCell ref="QSW37:QSX37"/>
    <mergeCell ref="QSY37:QSZ37"/>
    <mergeCell ref="QTA37:QTB37"/>
    <mergeCell ref="QTC37:QTD37"/>
    <mergeCell ref="QTE37:QTF37"/>
    <mergeCell ref="QSI37:QSJ37"/>
    <mergeCell ref="QSK37:QSL37"/>
    <mergeCell ref="QSM37:QSN37"/>
    <mergeCell ref="QSO37:QSP37"/>
    <mergeCell ref="QSQ37:QSR37"/>
    <mergeCell ref="QSS37:QST37"/>
    <mergeCell ref="QRW37:QRX37"/>
    <mergeCell ref="QRY37:QRZ37"/>
    <mergeCell ref="QSA37:QSB37"/>
    <mergeCell ref="QSC37:QSD37"/>
    <mergeCell ref="QSE37:QSF37"/>
    <mergeCell ref="QSG37:QSH37"/>
    <mergeCell ref="QRK37:QRL37"/>
    <mergeCell ref="QRM37:QRN37"/>
    <mergeCell ref="QRO37:QRP37"/>
    <mergeCell ref="QRQ37:QRR37"/>
    <mergeCell ref="QRS37:QRT37"/>
    <mergeCell ref="QRU37:QRV37"/>
    <mergeCell ref="QQY37:QQZ37"/>
    <mergeCell ref="QRA37:QRB37"/>
    <mergeCell ref="QRC37:QRD37"/>
    <mergeCell ref="QRE37:QRF37"/>
    <mergeCell ref="QRG37:QRH37"/>
    <mergeCell ref="QRI37:QRJ37"/>
    <mergeCell ref="QQM37:QQN37"/>
    <mergeCell ref="QQO37:QQP37"/>
    <mergeCell ref="QQQ37:QQR37"/>
    <mergeCell ref="QQS37:QQT37"/>
    <mergeCell ref="QQU37:QQV37"/>
    <mergeCell ref="QQW37:QQX37"/>
    <mergeCell ref="QVO37:QVP37"/>
    <mergeCell ref="QVQ37:QVR37"/>
    <mergeCell ref="QVS37:QVT37"/>
    <mergeCell ref="QVU37:QVV37"/>
    <mergeCell ref="QVW37:QVX37"/>
    <mergeCell ref="QVY37:QVZ37"/>
    <mergeCell ref="QVC37:QVD37"/>
    <mergeCell ref="QVE37:QVF37"/>
    <mergeCell ref="QVG37:QVH37"/>
    <mergeCell ref="QVI37:QVJ37"/>
    <mergeCell ref="QVK37:QVL37"/>
    <mergeCell ref="QVM37:QVN37"/>
    <mergeCell ref="QUQ37:QUR37"/>
    <mergeCell ref="QUS37:QUT37"/>
    <mergeCell ref="QUU37:QUV37"/>
    <mergeCell ref="QUW37:QUX37"/>
    <mergeCell ref="QUY37:QUZ37"/>
    <mergeCell ref="QVA37:QVB37"/>
    <mergeCell ref="QUE37:QUF37"/>
    <mergeCell ref="QUG37:QUH37"/>
    <mergeCell ref="QUI37:QUJ37"/>
    <mergeCell ref="QUK37:QUL37"/>
    <mergeCell ref="QUM37:QUN37"/>
    <mergeCell ref="QUO37:QUP37"/>
    <mergeCell ref="QTS37:QTT37"/>
    <mergeCell ref="QTU37:QTV37"/>
    <mergeCell ref="QTW37:QTX37"/>
    <mergeCell ref="QTY37:QTZ37"/>
    <mergeCell ref="QUA37:QUB37"/>
    <mergeCell ref="QUC37:QUD37"/>
    <mergeCell ref="QTG37:QTH37"/>
    <mergeCell ref="QTI37:QTJ37"/>
    <mergeCell ref="QTK37:QTL37"/>
    <mergeCell ref="QTM37:QTN37"/>
    <mergeCell ref="QTO37:QTP37"/>
    <mergeCell ref="QTQ37:QTR37"/>
    <mergeCell ref="QYI37:QYJ37"/>
    <mergeCell ref="QYK37:QYL37"/>
    <mergeCell ref="QYM37:QYN37"/>
    <mergeCell ref="QYO37:QYP37"/>
    <mergeCell ref="QYQ37:QYR37"/>
    <mergeCell ref="QYS37:QYT37"/>
    <mergeCell ref="QXW37:QXX37"/>
    <mergeCell ref="QXY37:QXZ37"/>
    <mergeCell ref="QYA37:QYB37"/>
    <mergeCell ref="QYC37:QYD37"/>
    <mergeCell ref="QYE37:QYF37"/>
    <mergeCell ref="QYG37:QYH37"/>
    <mergeCell ref="QXK37:QXL37"/>
    <mergeCell ref="QXM37:QXN37"/>
    <mergeCell ref="QXO37:QXP37"/>
    <mergeCell ref="QXQ37:QXR37"/>
    <mergeCell ref="QXS37:QXT37"/>
    <mergeCell ref="QXU37:QXV37"/>
    <mergeCell ref="QWY37:QWZ37"/>
    <mergeCell ref="QXA37:QXB37"/>
    <mergeCell ref="QXC37:QXD37"/>
    <mergeCell ref="QXE37:QXF37"/>
    <mergeCell ref="QXG37:QXH37"/>
    <mergeCell ref="QXI37:QXJ37"/>
    <mergeCell ref="QWM37:QWN37"/>
    <mergeCell ref="QWO37:QWP37"/>
    <mergeCell ref="QWQ37:QWR37"/>
    <mergeCell ref="QWS37:QWT37"/>
    <mergeCell ref="QWU37:QWV37"/>
    <mergeCell ref="QWW37:QWX37"/>
    <mergeCell ref="QWA37:QWB37"/>
    <mergeCell ref="QWC37:QWD37"/>
    <mergeCell ref="QWE37:QWF37"/>
    <mergeCell ref="QWG37:QWH37"/>
    <mergeCell ref="QWI37:QWJ37"/>
    <mergeCell ref="QWK37:QWL37"/>
    <mergeCell ref="RBC37:RBD37"/>
    <mergeCell ref="RBE37:RBF37"/>
    <mergeCell ref="RBG37:RBH37"/>
    <mergeCell ref="RBI37:RBJ37"/>
    <mergeCell ref="RBK37:RBL37"/>
    <mergeCell ref="RBM37:RBN37"/>
    <mergeCell ref="RAQ37:RAR37"/>
    <mergeCell ref="RAS37:RAT37"/>
    <mergeCell ref="RAU37:RAV37"/>
    <mergeCell ref="RAW37:RAX37"/>
    <mergeCell ref="RAY37:RAZ37"/>
    <mergeCell ref="RBA37:RBB37"/>
    <mergeCell ref="RAE37:RAF37"/>
    <mergeCell ref="RAG37:RAH37"/>
    <mergeCell ref="RAI37:RAJ37"/>
    <mergeCell ref="RAK37:RAL37"/>
    <mergeCell ref="RAM37:RAN37"/>
    <mergeCell ref="RAO37:RAP37"/>
    <mergeCell ref="QZS37:QZT37"/>
    <mergeCell ref="QZU37:QZV37"/>
    <mergeCell ref="QZW37:QZX37"/>
    <mergeCell ref="QZY37:QZZ37"/>
    <mergeCell ref="RAA37:RAB37"/>
    <mergeCell ref="RAC37:RAD37"/>
    <mergeCell ref="QZG37:QZH37"/>
    <mergeCell ref="QZI37:QZJ37"/>
    <mergeCell ref="QZK37:QZL37"/>
    <mergeCell ref="QZM37:QZN37"/>
    <mergeCell ref="QZO37:QZP37"/>
    <mergeCell ref="QZQ37:QZR37"/>
    <mergeCell ref="QYU37:QYV37"/>
    <mergeCell ref="QYW37:QYX37"/>
    <mergeCell ref="QYY37:QYZ37"/>
    <mergeCell ref="QZA37:QZB37"/>
    <mergeCell ref="QZC37:QZD37"/>
    <mergeCell ref="QZE37:QZF37"/>
    <mergeCell ref="RDW37:RDX37"/>
    <mergeCell ref="RDY37:RDZ37"/>
    <mergeCell ref="REA37:REB37"/>
    <mergeCell ref="REC37:RED37"/>
    <mergeCell ref="REE37:REF37"/>
    <mergeCell ref="REG37:REH37"/>
    <mergeCell ref="RDK37:RDL37"/>
    <mergeCell ref="RDM37:RDN37"/>
    <mergeCell ref="RDO37:RDP37"/>
    <mergeCell ref="RDQ37:RDR37"/>
    <mergeCell ref="RDS37:RDT37"/>
    <mergeCell ref="RDU37:RDV37"/>
    <mergeCell ref="RCY37:RCZ37"/>
    <mergeCell ref="RDA37:RDB37"/>
    <mergeCell ref="RDC37:RDD37"/>
    <mergeCell ref="RDE37:RDF37"/>
    <mergeCell ref="RDG37:RDH37"/>
    <mergeCell ref="RDI37:RDJ37"/>
    <mergeCell ref="RCM37:RCN37"/>
    <mergeCell ref="RCO37:RCP37"/>
    <mergeCell ref="RCQ37:RCR37"/>
    <mergeCell ref="RCS37:RCT37"/>
    <mergeCell ref="RCU37:RCV37"/>
    <mergeCell ref="RCW37:RCX37"/>
    <mergeCell ref="RCA37:RCB37"/>
    <mergeCell ref="RCC37:RCD37"/>
    <mergeCell ref="RCE37:RCF37"/>
    <mergeCell ref="RCG37:RCH37"/>
    <mergeCell ref="RCI37:RCJ37"/>
    <mergeCell ref="RCK37:RCL37"/>
    <mergeCell ref="RBO37:RBP37"/>
    <mergeCell ref="RBQ37:RBR37"/>
    <mergeCell ref="RBS37:RBT37"/>
    <mergeCell ref="RBU37:RBV37"/>
    <mergeCell ref="RBW37:RBX37"/>
    <mergeCell ref="RBY37:RBZ37"/>
    <mergeCell ref="RGQ37:RGR37"/>
    <mergeCell ref="RGS37:RGT37"/>
    <mergeCell ref="RGU37:RGV37"/>
    <mergeCell ref="RGW37:RGX37"/>
    <mergeCell ref="RGY37:RGZ37"/>
    <mergeCell ref="RHA37:RHB37"/>
    <mergeCell ref="RGE37:RGF37"/>
    <mergeCell ref="RGG37:RGH37"/>
    <mergeCell ref="RGI37:RGJ37"/>
    <mergeCell ref="RGK37:RGL37"/>
    <mergeCell ref="RGM37:RGN37"/>
    <mergeCell ref="RGO37:RGP37"/>
    <mergeCell ref="RFS37:RFT37"/>
    <mergeCell ref="RFU37:RFV37"/>
    <mergeCell ref="RFW37:RFX37"/>
    <mergeCell ref="RFY37:RFZ37"/>
    <mergeCell ref="RGA37:RGB37"/>
    <mergeCell ref="RGC37:RGD37"/>
    <mergeCell ref="RFG37:RFH37"/>
    <mergeCell ref="RFI37:RFJ37"/>
    <mergeCell ref="RFK37:RFL37"/>
    <mergeCell ref="RFM37:RFN37"/>
    <mergeCell ref="RFO37:RFP37"/>
    <mergeCell ref="RFQ37:RFR37"/>
    <mergeCell ref="REU37:REV37"/>
    <mergeCell ref="REW37:REX37"/>
    <mergeCell ref="REY37:REZ37"/>
    <mergeCell ref="RFA37:RFB37"/>
    <mergeCell ref="RFC37:RFD37"/>
    <mergeCell ref="RFE37:RFF37"/>
    <mergeCell ref="REI37:REJ37"/>
    <mergeCell ref="REK37:REL37"/>
    <mergeCell ref="REM37:REN37"/>
    <mergeCell ref="REO37:REP37"/>
    <mergeCell ref="REQ37:RER37"/>
    <mergeCell ref="RES37:RET37"/>
    <mergeCell ref="RJK37:RJL37"/>
    <mergeCell ref="RJM37:RJN37"/>
    <mergeCell ref="RJO37:RJP37"/>
    <mergeCell ref="RJQ37:RJR37"/>
    <mergeCell ref="RJS37:RJT37"/>
    <mergeCell ref="RJU37:RJV37"/>
    <mergeCell ref="RIY37:RIZ37"/>
    <mergeCell ref="RJA37:RJB37"/>
    <mergeCell ref="RJC37:RJD37"/>
    <mergeCell ref="RJE37:RJF37"/>
    <mergeCell ref="RJG37:RJH37"/>
    <mergeCell ref="RJI37:RJJ37"/>
    <mergeCell ref="RIM37:RIN37"/>
    <mergeCell ref="RIO37:RIP37"/>
    <mergeCell ref="RIQ37:RIR37"/>
    <mergeCell ref="RIS37:RIT37"/>
    <mergeCell ref="RIU37:RIV37"/>
    <mergeCell ref="RIW37:RIX37"/>
    <mergeCell ref="RIA37:RIB37"/>
    <mergeCell ref="RIC37:RID37"/>
    <mergeCell ref="RIE37:RIF37"/>
    <mergeCell ref="RIG37:RIH37"/>
    <mergeCell ref="RII37:RIJ37"/>
    <mergeCell ref="RIK37:RIL37"/>
    <mergeCell ref="RHO37:RHP37"/>
    <mergeCell ref="RHQ37:RHR37"/>
    <mergeCell ref="RHS37:RHT37"/>
    <mergeCell ref="RHU37:RHV37"/>
    <mergeCell ref="RHW37:RHX37"/>
    <mergeCell ref="RHY37:RHZ37"/>
    <mergeCell ref="RHC37:RHD37"/>
    <mergeCell ref="RHE37:RHF37"/>
    <mergeCell ref="RHG37:RHH37"/>
    <mergeCell ref="RHI37:RHJ37"/>
    <mergeCell ref="RHK37:RHL37"/>
    <mergeCell ref="RHM37:RHN37"/>
    <mergeCell ref="RME37:RMF37"/>
    <mergeCell ref="RMG37:RMH37"/>
    <mergeCell ref="RMI37:RMJ37"/>
    <mergeCell ref="RMK37:RML37"/>
    <mergeCell ref="RMM37:RMN37"/>
    <mergeCell ref="RMO37:RMP37"/>
    <mergeCell ref="RLS37:RLT37"/>
    <mergeCell ref="RLU37:RLV37"/>
    <mergeCell ref="RLW37:RLX37"/>
    <mergeCell ref="RLY37:RLZ37"/>
    <mergeCell ref="RMA37:RMB37"/>
    <mergeCell ref="RMC37:RMD37"/>
    <mergeCell ref="RLG37:RLH37"/>
    <mergeCell ref="RLI37:RLJ37"/>
    <mergeCell ref="RLK37:RLL37"/>
    <mergeCell ref="RLM37:RLN37"/>
    <mergeCell ref="RLO37:RLP37"/>
    <mergeCell ref="RLQ37:RLR37"/>
    <mergeCell ref="RKU37:RKV37"/>
    <mergeCell ref="RKW37:RKX37"/>
    <mergeCell ref="RKY37:RKZ37"/>
    <mergeCell ref="RLA37:RLB37"/>
    <mergeCell ref="RLC37:RLD37"/>
    <mergeCell ref="RLE37:RLF37"/>
    <mergeCell ref="RKI37:RKJ37"/>
    <mergeCell ref="RKK37:RKL37"/>
    <mergeCell ref="RKM37:RKN37"/>
    <mergeCell ref="RKO37:RKP37"/>
    <mergeCell ref="RKQ37:RKR37"/>
    <mergeCell ref="RKS37:RKT37"/>
    <mergeCell ref="RJW37:RJX37"/>
    <mergeCell ref="RJY37:RJZ37"/>
    <mergeCell ref="RKA37:RKB37"/>
    <mergeCell ref="RKC37:RKD37"/>
    <mergeCell ref="RKE37:RKF37"/>
    <mergeCell ref="RKG37:RKH37"/>
    <mergeCell ref="ROY37:ROZ37"/>
    <mergeCell ref="RPA37:RPB37"/>
    <mergeCell ref="RPC37:RPD37"/>
    <mergeCell ref="RPE37:RPF37"/>
    <mergeCell ref="RPG37:RPH37"/>
    <mergeCell ref="RPI37:RPJ37"/>
    <mergeCell ref="ROM37:RON37"/>
    <mergeCell ref="ROO37:ROP37"/>
    <mergeCell ref="ROQ37:ROR37"/>
    <mergeCell ref="ROS37:ROT37"/>
    <mergeCell ref="ROU37:ROV37"/>
    <mergeCell ref="ROW37:ROX37"/>
    <mergeCell ref="ROA37:ROB37"/>
    <mergeCell ref="ROC37:ROD37"/>
    <mergeCell ref="ROE37:ROF37"/>
    <mergeCell ref="ROG37:ROH37"/>
    <mergeCell ref="ROI37:ROJ37"/>
    <mergeCell ref="ROK37:ROL37"/>
    <mergeCell ref="RNO37:RNP37"/>
    <mergeCell ref="RNQ37:RNR37"/>
    <mergeCell ref="RNS37:RNT37"/>
    <mergeCell ref="RNU37:RNV37"/>
    <mergeCell ref="RNW37:RNX37"/>
    <mergeCell ref="RNY37:RNZ37"/>
    <mergeCell ref="RNC37:RND37"/>
    <mergeCell ref="RNE37:RNF37"/>
    <mergeCell ref="RNG37:RNH37"/>
    <mergeCell ref="RNI37:RNJ37"/>
    <mergeCell ref="RNK37:RNL37"/>
    <mergeCell ref="RNM37:RNN37"/>
    <mergeCell ref="RMQ37:RMR37"/>
    <mergeCell ref="RMS37:RMT37"/>
    <mergeCell ref="RMU37:RMV37"/>
    <mergeCell ref="RMW37:RMX37"/>
    <mergeCell ref="RMY37:RMZ37"/>
    <mergeCell ref="RNA37:RNB37"/>
    <mergeCell ref="RRS37:RRT37"/>
    <mergeCell ref="RRU37:RRV37"/>
    <mergeCell ref="RRW37:RRX37"/>
    <mergeCell ref="RRY37:RRZ37"/>
    <mergeCell ref="RSA37:RSB37"/>
    <mergeCell ref="RSC37:RSD37"/>
    <mergeCell ref="RRG37:RRH37"/>
    <mergeCell ref="RRI37:RRJ37"/>
    <mergeCell ref="RRK37:RRL37"/>
    <mergeCell ref="RRM37:RRN37"/>
    <mergeCell ref="RRO37:RRP37"/>
    <mergeCell ref="RRQ37:RRR37"/>
    <mergeCell ref="RQU37:RQV37"/>
    <mergeCell ref="RQW37:RQX37"/>
    <mergeCell ref="RQY37:RQZ37"/>
    <mergeCell ref="RRA37:RRB37"/>
    <mergeCell ref="RRC37:RRD37"/>
    <mergeCell ref="RRE37:RRF37"/>
    <mergeCell ref="RQI37:RQJ37"/>
    <mergeCell ref="RQK37:RQL37"/>
    <mergeCell ref="RQM37:RQN37"/>
    <mergeCell ref="RQO37:RQP37"/>
    <mergeCell ref="RQQ37:RQR37"/>
    <mergeCell ref="RQS37:RQT37"/>
    <mergeCell ref="RPW37:RPX37"/>
    <mergeCell ref="RPY37:RPZ37"/>
    <mergeCell ref="RQA37:RQB37"/>
    <mergeCell ref="RQC37:RQD37"/>
    <mergeCell ref="RQE37:RQF37"/>
    <mergeCell ref="RQG37:RQH37"/>
    <mergeCell ref="RPK37:RPL37"/>
    <mergeCell ref="RPM37:RPN37"/>
    <mergeCell ref="RPO37:RPP37"/>
    <mergeCell ref="RPQ37:RPR37"/>
    <mergeCell ref="RPS37:RPT37"/>
    <mergeCell ref="RPU37:RPV37"/>
    <mergeCell ref="RUM37:RUN37"/>
    <mergeCell ref="RUO37:RUP37"/>
    <mergeCell ref="RUQ37:RUR37"/>
    <mergeCell ref="RUS37:RUT37"/>
    <mergeCell ref="RUU37:RUV37"/>
    <mergeCell ref="RUW37:RUX37"/>
    <mergeCell ref="RUA37:RUB37"/>
    <mergeCell ref="RUC37:RUD37"/>
    <mergeCell ref="RUE37:RUF37"/>
    <mergeCell ref="RUG37:RUH37"/>
    <mergeCell ref="RUI37:RUJ37"/>
    <mergeCell ref="RUK37:RUL37"/>
    <mergeCell ref="RTO37:RTP37"/>
    <mergeCell ref="RTQ37:RTR37"/>
    <mergeCell ref="RTS37:RTT37"/>
    <mergeCell ref="RTU37:RTV37"/>
    <mergeCell ref="RTW37:RTX37"/>
    <mergeCell ref="RTY37:RTZ37"/>
    <mergeCell ref="RTC37:RTD37"/>
    <mergeCell ref="RTE37:RTF37"/>
    <mergeCell ref="RTG37:RTH37"/>
    <mergeCell ref="RTI37:RTJ37"/>
    <mergeCell ref="RTK37:RTL37"/>
    <mergeCell ref="RTM37:RTN37"/>
    <mergeCell ref="RSQ37:RSR37"/>
    <mergeCell ref="RSS37:RST37"/>
    <mergeCell ref="RSU37:RSV37"/>
    <mergeCell ref="RSW37:RSX37"/>
    <mergeCell ref="RSY37:RSZ37"/>
    <mergeCell ref="RTA37:RTB37"/>
    <mergeCell ref="RSE37:RSF37"/>
    <mergeCell ref="RSG37:RSH37"/>
    <mergeCell ref="RSI37:RSJ37"/>
    <mergeCell ref="RSK37:RSL37"/>
    <mergeCell ref="RSM37:RSN37"/>
    <mergeCell ref="RSO37:RSP37"/>
    <mergeCell ref="RXG37:RXH37"/>
    <mergeCell ref="RXI37:RXJ37"/>
    <mergeCell ref="RXK37:RXL37"/>
    <mergeCell ref="RXM37:RXN37"/>
    <mergeCell ref="RXO37:RXP37"/>
    <mergeCell ref="RXQ37:RXR37"/>
    <mergeCell ref="RWU37:RWV37"/>
    <mergeCell ref="RWW37:RWX37"/>
    <mergeCell ref="RWY37:RWZ37"/>
    <mergeCell ref="RXA37:RXB37"/>
    <mergeCell ref="RXC37:RXD37"/>
    <mergeCell ref="RXE37:RXF37"/>
    <mergeCell ref="RWI37:RWJ37"/>
    <mergeCell ref="RWK37:RWL37"/>
    <mergeCell ref="RWM37:RWN37"/>
    <mergeCell ref="RWO37:RWP37"/>
    <mergeCell ref="RWQ37:RWR37"/>
    <mergeCell ref="RWS37:RWT37"/>
    <mergeCell ref="RVW37:RVX37"/>
    <mergeCell ref="RVY37:RVZ37"/>
    <mergeCell ref="RWA37:RWB37"/>
    <mergeCell ref="RWC37:RWD37"/>
    <mergeCell ref="RWE37:RWF37"/>
    <mergeCell ref="RWG37:RWH37"/>
    <mergeCell ref="RVK37:RVL37"/>
    <mergeCell ref="RVM37:RVN37"/>
    <mergeCell ref="RVO37:RVP37"/>
    <mergeCell ref="RVQ37:RVR37"/>
    <mergeCell ref="RVS37:RVT37"/>
    <mergeCell ref="RVU37:RVV37"/>
    <mergeCell ref="RUY37:RUZ37"/>
    <mergeCell ref="RVA37:RVB37"/>
    <mergeCell ref="RVC37:RVD37"/>
    <mergeCell ref="RVE37:RVF37"/>
    <mergeCell ref="RVG37:RVH37"/>
    <mergeCell ref="RVI37:RVJ37"/>
    <mergeCell ref="SAA37:SAB37"/>
    <mergeCell ref="SAC37:SAD37"/>
    <mergeCell ref="SAE37:SAF37"/>
    <mergeCell ref="SAG37:SAH37"/>
    <mergeCell ref="SAI37:SAJ37"/>
    <mergeCell ref="SAK37:SAL37"/>
    <mergeCell ref="RZO37:RZP37"/>
    <mergeCell ref="RZQ37:RZR37"/>
    <mergeCell ref="RZS37:RZT37"/>
    <mergeCell ref="RZU37:RZV37"/>
    <mergeCell ref="RZW37:RZX37"/>
    <mergeCell ref="RZY37:RZZ37"/>
    <mergeCell ref="RZC37:RZD37"/>
    <mergeCell ref="RZE37:RZF37"/>
    <mergeCell ref="RZG37:RZH37"/>
    <mergeCell ref="RZI37:RZJ37"/>
    <mergeCell ref="RZK37:RZL37"/>
    <mergeCell ref="RZM37:RZN37"/>
    <mergeCell ref="RYQ37:RYR37"/>
    <mergeCell ref="RYS37:RYT37"/>
    <mergeCell ref="RYU37:RYV37"/>
    <mergeCell ref="RYW37:RYX37"/>
    <mergeCell ref="RYY37:RYZ37"/>
    <mergeCell ref="RZA37:RZB37"/>
    <mergeCell ref="RYE37:RYF37"/>
    <mergeCell ref="RYG37:RYH37"/>
    <mergeCell ref="RYI37:RYJ37"/>
    <mergeCell ref="RYK37:RYL37"/>
    <mergeCell ref="RYM37:RYN37"/>
    <mergeCell ref="RYO37:RYP37"/>
    <mergeCell ref="RXS37:RXT37"/>
    <mergeCell ref="RXU37:RXV37"/>
    <mergeCell ref="RXW37:RXX37"/>
    <mergeCell ref="RXY37:RXZ37"/>
    <mergeCell ref="RYA37:RYB37"/>
    <mergeCell ref="RYC37:RYD37"/>
    <mergeCell ref="SCU37:SCV37"/>
    <mergeCell ref="SCW37:SCX37"/>
    <mergeCell ref="SCY37:SCZ37"/>
    <mergeCell ref="SDA37:SDB37"/>
    <mergeCell ref="SDC37:SDD37"/>
    <mergeCell ref="SDE37:SDF37"/>
    <mergeCell ref="SCI37:SCJ37"/>
    <mergeCell ref="SCK37:SCL37"/>
    <mergeCell ref="SCM37:SCN37"/>
    <mergeCell ref="SCO37:SCP37"/>
    <mergeCell ref="SCQ37:SCR37"/>
    <mergeCell ref="SCS37:SCT37"/>
    <mergeCell ref="SBW37:SBX37"/>
    <mergeCell ref="SBY37:SBZ37"/>
    <mergeCell ref="SCA37:SCB37"/>
    <mergeCell ref="SCC37:SCD37"/>
    <mergeCell ref="SCE37:SCF37"/>
    <mergeCell ref="SCG37:SCH37"/>
    <mergeCell ref="SBK37:SBL37"/>
    <mergeCell ref="SBM37:SBN37"/>
    <mergeCell ref="SBO37:SBP37"/>
    <mergeCell ref="SBQ37:SBR37"/>
    <mergeCell ref="SBS37:SBT37"/>
    <mergeCell ref="SBU37:SBV37"/>
    <mergeCell ref="SAY37:SAZ37"/>
    <mergeCell ref="SBA37:SBB37"/>
    <mergeCell ref="SBC37:SBD37"/>
    <mergeCell ref="SBE37:SBF37"/>
    <mergeCell ref="SBG37:SBH37"/>
    <mergeCell ref="SBI37:SBJ37"/>
    <mergeCell ref="SAM37:SAN37"/>
    <mergeCell ref="SAO37:SAP37"/>
    <mergeCell ref="SAQ37:SAR37"/>
    <mergeCell ref="SAS37:SAT37"/>
    <mergeCell ref="SAU37:SAV37"/>
    <mergeCell ref="SAW37:SAX37"/>
    <mergeCell ref="SFO37:SFP37"/>
    <mergeCell ref="SFQ37:SFR37"/>
    <mergeCell ref="SFS37:SFT37"/>
    <mergeCell ref="SFU37:SFV37"/>
    <mergeCell ref="SFW37:SFX37"/>
    <mergeCell ref="SFY37:SFZ37"/>
    <mergeCell ref="SFC37:SFD37"/>
    <mergeCell ref="SFE37:SFF37"/>
    <mergeCell ref="SFG37:SFH37"/>
    <mergeCell ref="SFI37:SFJ37"/>
    <mergeCell ref="SFK37:SFL37"/>
    <mergeCell ref="SFM37:SFN37"/>
    <mergeCell ref="SEQ37:SER37"/>
    <mergeCell ref="SES37:SET37"/>
    <mergeCell ref="SEU37:SEV37"/>
    <mergeCell ref="SEW37:SEX37"/>
    <mergeCell ref="SEY37:SEZ37"/>
    <mergeCell ref="SFA37:SFB37"/>
    <mergeCell ref="SEE37:SEF37"/>
    <mergeCell ref="SEG37:SEH37"/>
    <mergeCell ref="SEI37:SEJ37"/>
    <mergeCell ref="SEK37:SEL37"/>
    <mergeCell ref="SEM37:SEN37"/>
    <mergeCell ref="SEO37:SEP37"/>
    <mergeCell ref="SDS37:SDT37"/>
    <mergeCell ref="SDU37:SDV37"/>
    <mergeCell ref="SDW37:SDX37"/>
    <mergeCell ref="SDY37:SDZ37"/>
    <mergeCell ref="SEA37:SEB37"/>
    <mergeCell ref="SEC37:SED37"/>
    <mergeCell ref="SDG37:SDH37"/>
    <mergeCell ref="SDI37:SDJ37"/>
    <mergeCell ref="SDK37:SDL37"/>
    <mergeCell ref="SDM37:SDN37"/>
    <mergeCell ref="SDO37:SDP37"/>
    <mergeCell ref="SDQ37:SDR37"/>
    <mergeCell ref="SII37:SIJ37"/>
    <mergeCell ref="SIK37:SIL37"/>
    <mergeCell ref="SIM37:SIN37"/>
    <mergeCell ref="SIO37:SIP37"/>
    <mergeCell ref="SIQ37:SIR37"/>
    <mergeCell ref="SIS37:SIT37"/>
    <mergeCell ref="SHW37:SHX37"/>
    <mergeCell ref="SHY37:SHZ37"/>
    <mergeCell ref="SIA37:SIB37"/>
    <mergeCell ref="SIC37:SID37"/>
    <mergeCell ref="SIE37:SIF37"/>
    <mergeCell ref="SIG37:SIH37"/>
    <mergeCell ref="SHK37:SHL37"/>
    <mergeCell ref="SHM37:SHN37"/>
    <mergeCell ref="SHO37:SHP37"/>
    <mergeCell ref="SHQ37:SHR37"/>
    <mergeCell ref="SHS37:SHT37"/>
    <mergeCell ref="SHU37:SHV37"/>
    <mergeCell ref="SGY37:SGZ37"/>
    <mergeCell ref="SHA37:SHB37"/>
    <mergeCell ref="SHC37:SHD37"/>
    <mergeCell ref="SHE37:SHF37"/>
    <mergeCell ref="SHG37:SHH37"/>
    <mergeCell ref="SHI37:SHJ37"/>
    <mergeCell ref="SGM37:SGN37"/>
    <mergeCell ref="SGO37:SGP37"/>
    <mergeCell ref="SGQ37:SGR37"/>
    <mergeCell ref="SGS37:SGT37"/>
    <mergeCell ref="SGU37:SGV37"/>
    <mergeCell ref="SGW37:SGX37"/>
    <mergeCell ref="SGA37:SGB37"/>
    <mergeCell ref="SGC37:SGD37"/>
    <mergeCell ref="SGE37:SGF37"/>
    <mergeCell ref="SGG37:SGH37"/>
    <mergeCell ref="SGI37:SGJ37"/>
    <mergeCell ref="SGK37:SGL37"/>
    <mergeCell ref="SLC37:SLD37"/>
    <mergeCell ref="SLE37:SLF37"/>
    <mergeCell ref="SLG37:SLH37"/>
    <mergeCell ref="SLI37:SLJ37"/>
    <mergeCell ref="SLK37:SLL37"/>
    <mergeCell ref="SLM37:SLN37"/>
    <mergeCell ref="SKQ37:SKR37"/>
    <mergeCell ref="SKS37:SKT37"/>
    <mergeCell ref="SKU37:SKV37"/>
    <mergeCell ref="SKW37:SKX37"/>
    <mergeCell ref="SKY37:SKZ37"/>
    <mergeCell ref="SLA37:SLB37"/>
    <mergeCell ref="SKE37:SKF37"/>
    <mergeCell ref="SKG37:SKH37"/>
    <mergeCell ref="SKI37:SKJ37"/>
    <mergeCell ref="SKK37:SKL37"/>
    <mergeCell ref="SKM37:SKN37"/>
    <mergeCell ref="SKO37:SKP37"/>
    <mergeCell ref="SJS37:SJT37"/>
    <mergeCell ref="SJU37:SJV37"/>
    <mergeCell ref="SJW37:SJX37"/>
    <mergeCell ref="SJY37:SJZ37"/>
    <mergeCell ref="SKA37:SKB37"/>
    <mergeCell ref="SKC37:SKD37"/>
    <mergeCell ref="SJG37:SJH37"/>
    <mergeCell ref="SJI37:SJJ37"/>
    <mergeCell ref="SJK37:SJL37"/>
    <mergeCell ref="SJM37:SJN37"/>
    <mergeCell ref="SJO37:SJP37"/>
    <mergeCell ref="SJQ37:SJR37"/>
    <mergeCell ref="SIU37:SIV37"/>
    <mergeCell ref="SIW37:SIX37"/>
    <mergeCell ref="SIY37:SIZ37"/>
    <mergeCell ref="SJA37:SJB37"/>
    <mergeCell ref="SJC37:SJD37"/>
    <mergeCell ref="SJE37:SJF37"/>
    <mergeCell ref="SNW37:SNX37"/>
    <mergeCell ref="SNY37:SNZ37"/>
    <mergeCell ref="SOA37:SOB37"/>
    <mergeCell ref="SOC37:SOD37"/>
    <mergeCell ref="SOE37:SOF37"/>
    <mergeCell ref="SOG37:SOH37"/>
    <mergeCell ref="SNK37:SNL37"/>
    <mergeCell ref="SNM37:SNN37"/>
    <mergeCell ref="SNO37:SNP37"/>
    <mergeCell ref="SNQ37:SNR37"/>
    <mergeCell ref="SNS37:SNT37"/>
    <mergeCell ref="SNU37:SNV37"/>
    <mergeCell ref="SMY37:SMZ37"/>
    <mergeCell ref="SNA37:SNB37"/>
    <mergeCell ref="SNC37:SND37"/>
    <mergeCell ref="SNE37:SNF37"/>
    <mergeCell ref="SNG37:SNH37"/>
    <mergeCell ref="SNI37:SNJ37"/>
    <mergeCell ref="SMM37:SMN37"/>
    <mergeCell ref="SMO37:SMP37"/>
    <mergeCell ref="SMQ37:SMR37"/>
    <mergeCell ref="SMS37:SMT37"/>
    <mergeCell ref="SMU37:SMV37"/>
    <mergeCell ref="SMW37:SMX37"/>
    <mergeCell ref="SMA37:SMB37"/>
    <mergeCell ref="SMC37:SMD37"/>
    <mergeCell ref="SME37:SMF37"/>
    <mergeCell ref="SMG37:SMH37"/>
    <mergeCell ref="SMI37:SMJ37"/>
    <mergeCell ref="SMK37:SML37"/>
    <mergeCell ref="SLO37:SLP37"/>
    <mergeCell ref="SLQ37:SLR37"/>
    <mergeCell ref="SLS37:SLT37"/>
    <mergeCell ref="SLU37:SLV37"/>
    <mergeCell ref="SLW37:SLX37"/>
    <mergeCell ref="SLY37:SLZ37"/>
    <mergeCell ref="SQQ37:SQR37"/>
    <mergeCell ref="SQS37:SQT37"/>
    <mergeCell ref="SQU37:SQV37"/>
    <mergeCell ref="SQW37:SQX37"/>
    <mergeCell ref="SQY37:SQZ37"/>
    <mergeCell ref="SRA37:SRB37"/>
    <mergeCell ref="SQE37:SQF37"/>
    <mergeCell ref="SQG37:SQH37"/>
    <mergeCell ref="SQI37:SQJ37"/>
    <mergeCell ref="SQK37:SQL37"/>
    <mergeCell ref="SQM37:SQN37"/>
    <mergeCell ref="SQO37:SQP37"/>
    <mergeCell ref="SPS37:SPT37"/>
    <mergeCell ref="SPU37:SPV37"/>
    <mergeCell ref="SPW37:SPX37"/>
    <mergeCell ref="SPY37:SPZ37"/>
    <mergeCell ref="SQA37:SQB37"/>
    <mergeCell ref="SQC37:SQD37"/>
    <mergeCell ref="SPG37:SPH37"/>
    <mergeCell ref="SPI37:SPJ37"/>
    <mergeCell ref="SPK37:SPL37"/>
    <mergeCell ref="SPM37:SPN37"/>
    <mergeCell ref="SPO37:SPP37"/>
    <mergeCell ref="SPQ37:SPR37"/>
    <mergeCell ref="SOU37:SOV37"/>
    <mergeCell ref="SOW37:SOX37"/>
    <mergeCell ref="SOY37:SOZ37"/>
    <mergeCell ref="SPA37:SPB37"/>
    <mergeCell ref="SPC37:SPD37"/>
    <mergeCell ref="SPE37:SPF37"/>
    <mergeCell ref="SOI37:SOJ37"/>
    <mergeCell ref="SOK37:SOL37"/>
    <mergeCell ref="SOM37:SON37"/>
    <mergeCell ref="SOO37:SOP37"/>
    <mergeCell ref="SOQ37:SOR37"/>
    <mergeCell ref="SOS37:SOT37"/>
    <mergeCell ref="STK37:STL37"/>
    <mergeCell ref="STM37:STN37"/>
    <mergeCell ref="STO37:STP37"/>
    <mergeCell ref="STQ37:STR37"/>
    <mergeCell ref="STS37:STT37"/>
    <mergeCell ref="STU37:STV37"/>
    <mergeCell ref="SSY37:SSZ37"/>
    <mergeCell ref="STA37:STB37"/>
    <mergeCell ref="STC37:STD37"/>
    <mergeCell ref="STE37:STF37"/>
    <mergeCell ref="STG37:STH37"/>
    <mergeCell ref="STI37:STJ37"/>
    <mergeCell ref="SSM37:SSN37"/>
    <mergeCell ref="SSO37:SSP37"/>
    <mergeCell ref="SSQ37:SSR37"/>
    <mergeCell ref="SSS37:SST37"/>
    <mergeCell ref="SSU37:SSV37"/>
    <mergeCell ref="SSW37:SSX37"/>
    <mergeCell ref="SSA37:SSB37"/>
    <mergeCell ref="SSC37:SSD37"/>
    <mergeCell ref="SSE37:SSF37"/>
    <mergeCell ref="SSG37:SSH37"/>
    <mergeCell ref="SSI37:SSJ37"/>
    <mergeCell ref="SSK37:SSL37"/>
    <mergeCell ref="SRO37:SRP37"/>
    <mergeCell ref="SRQ37:SRR37"/>
    <mergeCell ref="SRS37:SRT37"/>
    <mergeCell ref="SRU37:SRV37"/>
    <mergeCell ref="SRW37:SRX37"/>
    <mergeCell ref="SRY37:SRZ37"/>
    <mergeCell ref="SRC37:SRD37"/>
    <mergeCell ref="SRE37:SRF37"/>
    <mergeCell ref="SRG37:SRH37"/>
    <mergeCell ref="SRI37:SRJ37"/>
    <mergeCell ref="SRK37:SRL37"/>
    <mergeCell ref="SRM37:SRN37"/>
    <mergeCell ref="SWE37:SWF37"/>
    <mergeCell ref="SWG37:SWH37"/>
    <mergeCell ref="SWI37:SWJ37"/>
    <mergeCell ref="SWK37:SWL37"/>
    <mergeCell ref="SWM37:SWN37"/>
    <mergeCell ref="SWO37:SWP37"/>
    <mergeCell ref="SVS37:SVT37"/>
    <mergeCell ref="SVU37:SVV37"/>
    <mergeCell ref="SVW37:SVX37"/>
    <mergeCell ref="SVY37:SVZ37"/>
    <mergeCell ref="SWA37:SWB37"/>
    <mergeCell ref="SWC37:SWD37"/>
    <mergeCell ref="SVG37:SVH37"/>
    <mergeCell ref="SVI37:SVJ37"/>
    <mergeCell ref="SVK37:SVL37"/>
    <mergeCell ref="SVM37:SVN37"/>
    <mergeCell ref="SVO37:SVP37"/>
    <mergeCell ref="SVQ37:SVR37"/>
    <mergeCell ref="SUU37:SUV37"/>
    <mergeCell ref="SUW37:SUX37"/>
    <mergeCell ref="SUY37:SUZ37"/>
    <mergeCell ref="SVA37:SVB37"/>
    <mergeCell ref="SVC37:SVD37"/>
    <mergeCell ref="SVE37:SVF37"/>
    <mergeCell ref="SUI37:SUJ37"/>
    <mergeCell ref="SUK37:SUL37"/>
    <mergeCell ref="SUM37:SUN37"/>
    <mergeCell ref="SUO37:SUP37"/>
    <mergeCell ref="SUQ37:SUR37"/>
    <mergeCell ref="SUS37:SUT37"/>
    <mergeCell ref="STW37:STX37"/>
    <mergeCell ref="STY37:STZ37"/>
    <mergeCell ref="SUA37:SUB37"/>
    <mergeCell ref="SUC37:SUD37"/>
    <mergeCell ref="SUE37:SUF37"/>
    <mergeCell ref="SUG37:SUH37"/>
    <mergeCell ref="SYY37:SYZ37"/>
    <mergeCell ref="SZA37:SZB37"/>
    <mergeCell ref="SZC37:SZD37"/>
    <mergeCell ref="SZE37:SZF37"/>
    <mergeCell ref="SZG37:SZH37"/>
    <mergeCell ref="SZI37:SZJ37"/>
    <mergeCell ref="SYM37:SYN37"/>
    <mergeCell ref="SYO37:SYP37"/>
    <mergeCell ref="SYQ37:SYR37"/>
    <mergeCell ref="SYS37:SYT37"/>
    <mergeCell ref="SYU37:SYV37"/>
    <mergeCell ref="SYW37:SYX37"/>
    <mergeCell ref="SYA37:SYB37"/>
    <mergeCell ref="SYC37:SYD37"/>
    <mergeCell ref="SYE37:SYF37"/>
    <mergeCell ref="SYG37:SYH37"/>
    <mergeCell ref="SYI37:SYJ37"/>
    <mergeCell ref="SYK37:SYL37"/>
    <mergeCell ref="SXO37:SXP37"/>
    <mergeCell ref="SXQ37:SXR37"/>
    <mergeCell ref="SXS37:SXT37"/>
    <mergeCell ref="SXU37:SXV37"/>
    <mergeCell ref="SXW37:SXX37"/>
    <mergeCell ref="SXY37:SXZ37"/>
    <mergeCell ref="SXC37:SXD37"/>
    <mergeCell ref="SXE37:SXF37"/>
    <mergeCell ref="SXG37:SXH37"/>
    <mergeCell ref="SXI37:SXJ37"/>
    <mergeCell ref="SXK37:SXL37"/>
    <mergeCell ref="SXM37:SXN37"/>
    <mergeCell ref="SWQ37:SWR37"/>
    <mergeCell ref="SWS37:SWT37"/>
    <mergeCell ref="SWU37:SWV37"/>
    <mergeCell ref="SWW37:SWX37"/>
    <mergeCell ref="SWY37:SWZ37"/>
    <mergeCell ref="SXA37:SXB37"/>
    <mergeCell ref="TBS37:TBT37"/>
    <mergeCell ref="TBU37:TBV37"/>
    <mergeCell ref="TBW37:TBX37"/>
    <mergeCell ref="TBY37:TBZ37"/>
    <mergeCell ref="TCA37:TCB37"/>
    <mergeCell ref="TCC37:TCD37"/>
    <mergeCell ref="TBG37:TBH37"/>
    <mergeCell ref="TBI37:TBJ37"/>
    <mergeCell ref="TBK37:TBL37"/>
    <mergeCell ref="TBM37:TBN37"/>
    <mergeCell ref="TBO37:TBP37"/>
    <mergeCell ref="TBQ37:TBR37"/>
    <mergeCell ref="TAU37:TAV37"/>
    <mergeCell ref="TAW37:TAX37"/>
    <mergeCell ref="TAY37:TAZ37"/>
    <mergeCell ref="TBA37:TBB37"/>
    <mergeCell ref="TBC37:TBD37"/>
    <mergeCell ref="TBE37:TBF37"/>
    <mergeCell ref="TAI37:TAJ37"/>
    <mergeCell ref="TAK37:TAL37"/>
    <mergeCell ref="TAM37:TAN37"/>
    <mergeCell ref="TAO37:TAP37"/>
    <mergeCell ref="TAQ37:TAR37"/>
    <mergeCell ref="TAS37:TAT37"/>
    <mergeCell ref="SZW37:SZX37"/>
    <mergeCell ref="SZY37:SZZ37"/>
    <mergeCell ref="TAA37:TAB37"/>
    <mergeCell ref="TAC37:TAD37"/>
    <mergeCell ref="TAE37:TAF37"/>
    <mergeCell ref="TAG37:TAH37"/>
    <mergeCell ref="SZK37:SZL37"/>
    <mergeCell ref="SZM37:SZN37"/>
    <mergeCell ref="SZO37:SZP37"/>
    <mergeCell ref="SZQ37:SZR37"/>
    <mergeCell ref="SZS37:SZT37"/>
    <mergeCell ref="SZU37:SZV37"/>
    <mergeCell ref="TEM37:TEN37"/>
    <mergeCell ref="TEO37:TEP37"/>
    <mergeCell ref="TEQ37:TER37"/>
    <mergeCell ref="TES37:TET37"/>
    <mergeCell ref="TEU37:TEV37"/>
    <mergeCell ref="TEW37:TEX37"/>
    <mergeCell ref="TEA37:TEB37"/>
    <mergeCell ref="TEC37:TED37"/>
    <mergeCell ref="TEE37:TEF37"/>
    <mergeCell ref="TEG37:TEH37"/>
    <mergeCell ref="TEI37:TEJ37"/>
    <mergeCell ref="TEK37:TEL37"/>
    <mergeCell ref="TDO37:TDP37"/>
    <mergeCell ref="TDQ37:TDR37"/>
    <mergeCell ref="TDS37:TDT37"/>
    <mergeCell ref="TDU37:TDV37"/>
    <mergeCell ref="TDW37:TDX37"/>
    <mergeCell ref="TDY37:TDZ37"/>
    <mergeCell ref="TDC37:TDD37"/>
    <mergeCell ref="TDE37:TDF37"/>
    <mergeCell ref="TDG37:TDH37"/>
    <mergeCell ref="TDI37:TDJ37"/>
    <mergeCell ref="TDK37:TDL37"/>
    <mergeCell ref="TDM37:TDN37"/>
    <mergeCell ref="TCQ37:TCR37"/>
    <mergeCell ref="TCS37:TCT37"/>
    <mergeCell ref="TCU37:TCV37"/>
    <mergeCell ref="TCW37:TCX37"/>
    <mergeCell ref="TCY37:TCZ37"/>
    <mergeCell ref="TDA37:TDB37"/>
    <mergeCell ref="TCE37:TCF37"/>
    <mergeCell ref="TCG37:TCH37"/>
    <mergeCell ref="TCI37:TCJ37"/>
    <mergeCell ref="TCK37:TCL37"/>
    <mergeCell ref="TCM37:TCN37"/>
    <mergeCell ref="TCO37:TCP37"/>
    <mergeCell ref="THG37:THH37"/>
    <mergeCell ref="THI37:THJ37"/>
    <mergeCell ref="THK37:THL37"/>
    <mergeCell ref="THM37:THN37"/>
    <mergeCell ref="THO37:THP37"/>
    <mergeCell ref="THQ37:THR37"/>
    <mergeCell ref="TGU37:TGV37"/>
    <mergeCell ref="TGW37:TGX37"/>
    <mergeCell ref="TGY37:TGZ37"/>
    <mergeCell ref="THA37:THB37"/>
    <mergeCell ref="THC37:THD37"/>
    <mergeCell ref="THE37:THF37"/>
    <mergeCell ref="TGI37:TGJ37"/>
    <mergeCell ref="TGK37:TGL37"/>
    <mergeCell ref="TGM37:TGN37"/>
    <mergeCell ref="TGO37:TGP37"/>
    <mergeCell ref="TGQ37:TGR37"/>
    <mergeCell ref="TGS37:TGT37"/>
    <mergeCell ref="TFW37:TFX37"/>
    <mergeCell ref="TFY37:TFZ37"/>
    <mergeCell ref="TGA37:TGB37"/>
    <mergeCell ref="TGC37:TGD37"/>
    <mergeCell ref="TGE37:TGF37"/>
    <mergeCell ref="TGG37:TGH37"/>
    <mergeCell ref="TFK37:TFL37"/>
    <mergeCell ref="TFM37:TFN37"/>
    <mergeCell ref="TFO37:TFP37"/>
    <mergeCell ref="TFQ37:TFR37"/>
    <mergeCell ref="TFS37:TFT37"/>
    <mergeCell ref="TFU37:TFV37"/>
    <mergeCell ref="TEY37:TEZ37"/>
    <mergeCell ref="TFA37:TFB37"/>
    <mergeCell ref="TFC37:TFD37"/>
    <mergeCell ref="TFE37:TFF37"/>
    <mergeCell ref="TFG37:TFH37"/>
    <mergeCell ref="TFI37:TFJ37"/>
    <mergeCell ref="TKA37:TKB37"/>
    <mergeCell ref="TKC37:TKD37"/>
    <mergeCell ref="TKE37:TKF37"/>
    <mergeCell ref="TKG37:TKH37"/>
    <mergeCell ref="TKI37:TKJ37"/>
    <mergeCell ref="TKK37:TKL37"/>
    <mergeCell ref="TJO37:TJP37"/>
    <mergeCell ref="TJQ37:TJR37"/>
    <mergeCell ref="TJS37:TJT37"/>
    <mergeCell ref="TJU37:TJV37"/>
    <mergeCell ref="TJW37:TJX37"/>
    <mergeCell ref="TJY37:TJZ37"/>
    <mergeCell ref="TJC37:TJD37"/>
    <mergeCell ref="TJE37:TJF37"/>
    <mergeCell ref="TJG37:TJH37"/>
    <mergeCell ref="TJI37:TJJ37"/>
    <mergeCell ref="TJK37:TJL37"/>
    <mergeCell ref="TJM37:TJN37"/>
    <mergeCell ref="TIQ37:TIR37"/>
    <mergeCell ref="TIS37:TIT37"/>
    <mergeCell ref="TIU37:TIV37"/>
    <mergeCell ref="TIW37:TIX37"/>
    <mergeCell ref="TIY37:TIZ37"/>
    <mergeCell ref="TJA37:TJB37"/>
    <mergeCell ref="TIE37:TIF37"/>
    <mergeCell ref="TIG37:TIH37"/>
    <mergeCell ref="TII37:TIJ37"/>
    <mergeCell ref="TIK37:TIL37"/>
    <mergeCell ref="TIM37:TIN37"/>
    <mergeCell ref="TIO37:TIP37"/>
    <mergeCell ref="THS37:THT37"/>
    <mergeCell ref="THU37:THV37"/>
    <mergeCell ref="THW37:THX37"/>
    <mergeCell ref="THY37:THZ37"/>
    <mergeCell ref="TIA37:TIB37"/>
    <mergeCell ref="TIC37:TID37"/>
    <mergeCell ref="TMU37:TMV37"/>
    <mergeCell ref="TMW37:TMX37"/>
    <mergeCell ref="TMY37:TMZ37"/>
    <mergeCell ref="TNA37:TNB37"/>
    <mergeCell ref="TNC37:TND37"/>
    <mergeCell ref="TNE37:TNF37"/>
    <mergeCell ref="TMI37:TMJ37"/>
    <mergeCell ref="TMK37:TML37"/>
    <mergeCell ref="TMM37:TMN37"/>
    <mergeCell ref="TMO37:TMP37"/>
    <mergeCell ref="TMQ37:TMR37"/>
    <mergeCell ref="TMS37:TMT37"/>
    <mergeCell ref="TLW37:TLX37"/>
    <mergeCell ref="TLY37:TLZ37"/>
    <mergeCell ref="TMA37:TMB37"/>
    <mergeCell ref="TMC37:TMD37"/>
    <mergeCell ref="TME37:TMF37"/>
    <mergeCell ref="TMG37:TMH37"/>
    <mergeCell ref="TLK37:TLL37"/>
    <mergeCell ref="TLM37:TLN37"/>
    <mergeCell ref="TLO37:TLP37"/>
    <mergeCell ref="TLQ37:TLR37"/>
    <mergeCell ref="TLS37:TLT37"/>
    <mergeCell ref="TLU37:TLV37"/>
    <mergeCell ref="TKY37:TKZ37"/>
    <mergeCell ref="TLA37:TLB37"/>
    <mergeCell ref="TLC37:TLD37"/>
    <mergeCell ref="TLE37:TLF37"/>
    <mergeCell ref="TLG37:TLH37"/>
    <mergeCell ref="TLI37:TLJ37"/>
    <mergeCell ref="TKM37:TKN37"/>
    <mergeCell ref="TKO37:TKP37"/>
    <mergeCell ref="TKQ37:TKR37"/>
    <mergeCell ref="TKS37:TKT37"/>
    <mergeCell ref="TKU37:TKV37"/>
    <mergeCell ref="TKW37:TKX37"/>
    <mergeCell ref="TPO37:TPP37"/>
    <mergeCell ref="TPQ37:TPR37"/>
    <mergeCell ref="TPS37:TPT37"/>
    <mergeCell ref="TPU37:TPV37"/>
    <mergeCell ref="TPW37:TPX37"/>
    <mergeCell ref="TPY37:TPZ37"/>
    <mergeCell ref="TPC37:TPD37"/>
    <mergeCell ref="TPE37:TPF37"/>
    <mergeCell ref="TPG37:TPH37"/>
    <mergeCell ref="TPI37:TPJ37"/>
    <mergeCell ref="TPK37:TPL37"/>
    <mergeCell ref="TPM37:TPN37"/>
    <mergeCell ref="TOQ37:TOR37"/>
    <mergeCell ref="TOS37:TOT37"/>
    <mergeCell ref="TOU37:TOV37"/>
    <mergeCell ref="TOW37:TOX37"/>
    <mergeCell ref="TOY37:TOZ37"/>
    <mergeCell ref="TPA37:TPB37"/>
    <mergeCell ref="TOE37:TOF37"/>
    <mergeCell ref="TOG37:TOH37"/>
    <mergeCell ref="TOI37:TOJ37"/>
    <mergeCell ref="TOK37:TOL37"/>
    <mergeCell ref="TOM37:TON37"/>
    <mergeCell ref="TOO37:TOP37"/>
    <mergeCell ref="TNS37:TNT37"/>
    <mergeCell ref="TNU37:TNV37"/>
    <mergeCell ref="TNW37:TNX37"/>
    <mergeCell ref="TNY37:TNZ37"/>
    <mergeCell ref="TOA37:TOB37"/>
    <mergeCell ref="TOC37:TOD37"/>
    <mergeCell ref="TNG37:TNH37"/>
    <mergeCell ref="TNI37:TNJ37"/>
    <mergeCell ref="TNK37:TNL37"/>
    <mergeCell ref="TNM37:TNN37"/>
    <mergeCell ref="TNO37:TNP37"/>
    <mergeCell ref="TNQ37:TNR37"/>
    <mergeCell ref="TSI37:TSJ37"/>
    <mergeCell ref="TSK37:TSL37"/>
    <mergeCell ref="TSM37:TSN37"/>
    <mergeCell ref="TSO37:TSP37"/>
    <mergeCell ref="TSQ37:TSR37"/>
    <mergeCell ref="TSS37:TST37"/>
    <mergeCell ref="TRW37:TRX37"/>
    <mergeCell ref="TRY37:TRZ37"/>
    <mergeCell ref="TSA37:TSB37"/>
    <mergeCell ref="TSC37:TSD37"/>
    <mergeCell ref="TSE37:TSF37"/>
    <mergeCell ref="TSG37:TSH37"/>
    <mergeCell ref="TRK37:TRL37"/>
    <mergeCell ref="TRM37:TRN37"/>
    <mergeCell ref="TRO37:TRP37"/>
    <mergeCell ref="TRQ37:TRR37"/>
    <mergeCell ref="TRS37:TRT37"/>
    <mergeCell ref="TRU37:TRV37"/>
    <mergeCell ref="TQY37:TQZ37"/>
    <mergeCell ref="TRA37:TRB37"/>
    <mergeCell ref="TRC37:TRD37"/>
    <mergeCell ref="TRE37:TRF37"/>
    <mergeCell ref="TRG37:TRH37"/>
    <mergeCell ref="TRI37:TRJ37"/>
    <mergeCell ref="TQM37:TQN37"/>
    <mergeCell ref="TQO37:TQP37"/>
    <mergeCell ref="TQQ37:TQR37"/>
    <mergeCell ref="TQS37:TQT37"/>
    <mergeCell ref="TQU37:TQV37"/>
    <mergeCell ref="TQW37:TQX37"/>
    <mergeCell ref="TQA37:TQB37"/>
    <mergeCell ref="TQC37:TQD37"/>
    <mergeCell ref="TQE37:TQF37"/>
    <mergeCell ref="TQG37:TQH37"/>
    <mergeCell ref="TQI37:TQJ37"/>
    <mergeCell ref="TQK37:TQL37"/>
    <mergeCell ref="TVC37:TVD37"/>
    <mergeCell ref="TVE37:TVF37"/>
    <mergeCell ref="TVG37:TVH37"/>
    <mergeCell ref="TVI37:TVJ37"/>
    <mergeCell ref="TVK37:TVL37"/>
    <mergeCell ref="TVM37:TVN37"/>
    <mergeCell ref="TUQ37:TUR37"/>
    <mergeCell ref="TUS37:TUT37"/>
    <mergeCell ref="TUU37:TUV37"/>
    <mergeCell ref="TUW37:TUX37"/>
    <mergeCell ref="TUY37:TUZ37"/>
    <mergeCell ref="TVA37:TVB37"/>
    <mergeCell ref="TUE37:TUF37"/>
    <mergeCell ref="TUG37:TUH37"/>
    <mergeCell ref="TUI37:TUJ37"/>
    <mergeCell ref="TUK37:TUL37"/>
    <mergeCell ref="TUM37:TUN37"/>
    <mergeCell ref="TUO37:TUP37"/>
    <mergeCell ref="TTS37:TTT37"/>
    <mergeCell ref="TTU37:TTV37"/>
    <mergeCell ref="TTW37:TTX37"/>
    <mergeCell ref="TTY37:TTZ37"/>
    <mergeCell ref="TUA37:TUB37"/>
    <mergeCell ref="TUC37:TUD37"/>
    <mergeCell ref="TTG37:TTH37"/>
    <mergeCell ref="TTI37:TTJ37"/>
    <mergeCell ref="TTK37:TTL37"/>
    <mergeCell ref="TTM37:TTN37"/>
    <mergeCell ref="TTO37:TTP37"/>
    <mergeCell ref="TTQ37:TTR37"/>
    <mergeCell ref="TSU37:TSV37"/>
    <mergeCell ref="TSW37:TSX37"/>
    <mergeCell ref="TSY37:TSZ37"/>
    <mergeCell ref="TTA37:TTB37"/>
    <mergeCell ref="TTC37:TTD37"/>
    <mergeCell ref="TTE37:TTF37"/>
    <mergeCell ref="TXW37:TXX37"/>
    <mergeCell ref="TXY37:TXZ37"/>
    <mergeCell ref="TYA37:TYB37"/>
    <mergeCell ref="TYC37:TYD37"/>
    <mergeCell ref="TYE37:TYF37"/>
    <mergeCell ref="TYG37:TYH37"/>
    <mergeCell ref="TXK37:TXL37"/>
    <mergeCell ref="TXM37:TXN37"/>
    <mergeCell ref="TXO37:TXP37"/>
    <mergeCell ref="TXQ37:TXR37"/>
    <mergeCell ref="TXS37:TXT37"/>
    <mergeCell ref="TXU37:TXV37"/>
    <mergeCell ref="TWY37:TWZ37"/>
    <mergeCell ref="TXA37:TXB37"/>
    <mergeCell ref="TXC37:TXD37"/>
    <mergeCell ref="TXE37:TXF37"/>
    <mergeCell ref="TXG37:TXH37"/>
    <mergeCell ref="TXI37:TXJ37"/>
    <mergeCell ref="TWM37:TWN37"/>
    <mergeCell ref="TWO37:TWP37"/>
    <mergeCell ref="TWQ37:TWR37"/>
    <mergeCell ref="TWS37:TWT37"/>
    <mergeCell ref="TWU37:TWV37"/>
    <mergeCell ref="TWW37:TWX37"/>
    <mergeCell ref="TWA37:TWB37"/>
    <mergeCell ref="TWC37:TWD37"/>
    <mergeCell ref="TWE37:TWF37"/>
    <mergeCell ref="TWG37:TWH37"/>
    <mergeCell ref="TWI37:TWJ37"/>
    <mergeCell ref="TWK37:TWL37"/>
    <mergeCell ref="TVO37:TVP37"/>
    <mergeCell ref="TVQ37:TVR37"/>
    <mergeCell ref="TVS37:TVT37"/>
    <mergeCell ref="TVU37:TVV37"/>
    <mergeCell ref="TVW37:TVX37"/>
    <mergeCell ref="TVY37:TVZ37"/>
    <mergeCell ref="UAQ37:UAR37"/>
    <mergeCell ref="UAS37:UAT37"/>
    <mergeCell ref="UAU37:UAV37"/>
    <mergeCell ref="UAW37:UAX37"/>
    <mergeCell ref="UAY37:UAZ37"/>
    <mergeCell ref="UBA37:UBB37"/>
    <mergeCell ref="UAE37:UAF37"/>
    <mergeCell ref="UAG37:UAH37"/>
    <mergeCell ref="UAI37:UAJ37"/>
    <mergeCell ref="UAK37:UAL37"/>
    <mergeCell ref="UAM37:UAN37"/>
    <mergeCell ref="UAO37:UAP37"/>
    <mergeCell ref="TZS37:TZT37"/>
    <mergeCell ref="TZU37:TZV37"/>
    <mergeCell ref="TZW37:TZX37"/>
    <mergeCell ref="TZY37:TZZ37"/>
    <mergeCell ref="UAA37:UAB37"/>
    <mergeCell ref="UAC37:UAD37"/>
    <mergeCell ref="TZG37:TZH37"/>
    <mergeCell ref="TZI37:TZJ37"/>
    <mergeCell ref="TZK37:TZL37"/>
    <mergeCell ref="TZM37:TZN37"/>
    <mergeCell ref="TZO37:TZP37"/>
    <mergeCell ref="TZQ37:TZR37"/>
    <mergeCell ref="TYU37:TYV37"/>
    <mergeCell ref="TYW37:TYX37"/>
    <mergeCell ref="TYY37:TYZ37"/>
    <mergeCell ref="TZA37:TZB37"/>
    <mergeCell ref="TZC37:TZD37"/>
    <mergeCell ref="TZE37:TZF37"/>
    <mergeCell ref="TYI37:TYJ37"/>
    <mergeCell ref="TYK37:TYL37"/>
    <mergeCell ref="TYM37:TYN37"/>
    <mergeCell ref="TYO37:TYP37"/>
    <mergeCell ref="TYQ37:TYR37"/>
    <mergeCell ref="TYS37:TYT37"/>
    <mergeCell ref="UDK37:UDL37"/>
    <mergeCell ref="UDM37:UDN37"/>
    <mergeCell ref="UDO37:UDP37"/>
    <mergeCell ref="UDQ37:UDR37"/>
    <mergeCell ref="UDS37:UDT37"/>
    <mergeCell ref="UDU37:UDV37"/>
    <mergeCell ref="UCY37:UCZ37"/>
    <mergeCell ref="UDA37:UDB37"/>
    <mergeCell ref="UDC37:UDD37"/>
    <mergeCell ref="UDE37:UDF37"/>
    <mergeCell ref="UDG37:UDH37"/>
    <mergeCell ref="UDI37:UDJ37"/>
    <mergeCell ref="UCM37:UCN37"/>
    <mergeCell ref="UCO37:UCP37"/>
    <mergeCell ref="UCQ37:UCR37"/>
    <mergeCell ref="UCS37:UCT37"/>
    <mergeCell ref="UCU37:UCV37"/>
    <mergeCell ref="UCW37:UCX37"/>
    <mergeCell ref="UCA37:UCB37"/>
    <mergeCell ref="UCC37:UCD37"/>
    <mergeCell ref="UCE37:UCF37"/>
    <mergeCell ref="UCG37:UCH37"/>
    <mergeCell ref="UCI37:UCJ37"/>
    <mergeCell ref="UCK37:UCL37"/>
    <mergeCell ref="UBO37:UBP37"/>
    <mergeCell ref="UBQ37:UBR37"/>
    <mergeCell ref="UBS37:UBT37"/>
    <mergeCell ref="UBU37:UBV37"/>
    <mergeCell ref="UBW37:UBX37"/>
    <mergeCell ref="UBY37:UBZ37"/>
    <mergeCell ref="UBC37:UBD37"/>
    <mergeCell ref="UBE37:UBF37"/>
    <mergeCell ref="UBG37:UBH37"/>
    <mergeCell ref="UBI37:UBJ37"/>
    <mergeCell ref="UBK37:UBL37"/>
    <mergeCell ref="UBM37:UBN37"/>
    <mergeCell ref="UGE37:UGF37"/>
    <mergeCell ref="UGG37:UGH37"/>
    <mergeCell ref="UGI37:UGJ37"/>
    <mergeCell ref="UGK37:UGL37"/>
    <mergeCell ref="UGM37:UGN37"/>
    <mergeCell ref="UGO37:UGP37"/>
    <mergeCell ref="UFS37:UFT37"/>
    <mergeCell ref="UFU37:UFV37"/>
    <mergeCell ref="UFW37:UFX37"/>
    <mergeCell ref="UFY37:UFZ37"/>
    <mergeCell ref="UGA37:UGB37"/>
    <mergeCell ref="UGC37:UGD37"/>
    <mergeCell ref="UFG37:UFH37"/>
    <mergeCell ref="UFI37:UFJ37"/>
    <mergeCell ref="UFK37:UFL37"/>
    <mergeCell ref="UFM37:UFN37"/>
    <mergeCell ref="UFO37:UFP37"/>
    <mergeCell ref="UFQ37:UFR37"/>
    <mergeCell ref="UEU37:UEV37"/>
    <mergeCell ref="UEW37:UEX37"/>
    <mergeCell ref="UEY37:UEZ37"/>
    <mergeCell ref="UFA37:UFB37"/>
    <mergeCell ref="UFC37:UFD37"/>
    <mergeCell ref="UFE37:UFF37"/>
    <mergeCell ref="UEI37:UEJ37"/>
    <mergeCell ref="UEK37:UEL37"/>
    <mergeCell ref="UEM37:UEN37"/>
    <mergeCell ref="UEO37:UEP37"/>
    <mergeCell ref="UEQ37:UER37"/>
    <mergeCell ref="UES37:UET37"/>
    <mergeCell ref="UDW37:UDX37"/>
    <mergeCell ref="UDY37:UDZ37"/>
    <mergeCell ref="UEA37:UEB37"/>
    <mergeCell ref="UEC37:UED37"/>
    <mergeCell ref="UEE37:UEF37"/>
    <mergeCell ref="UEG37:UEH37"/>
    <mergeCell ref="UIY37:UIZ37"/>
    <mergeCell ref="UJA37:UJB37"/>
    <mergeCell ref="UJC37:UJD37"/>
    <mergeCell ref="UJE37:UJF37"/>
    <mergeCell ref="UJG37:UJH37"/>
    <mergeCell ref="UJI37:UJJ37"/>
    <mergeCell ref="UIM37:UIN37"/>
    <mergeCell ref="UIO37:UIP37"/>
    <mergeCell ref="UIQ37:UIR37"/>
    <mergeCell ref="UIS37:UIT37"/>
    <mergeCell ref="UIU37:UIV37"/>
    <mergeCell ref="UIW37:UIX37"/>
    <mergeCell ref="UIA37:UIB37"/>
    <mergeCell ref="UIC37:UID37"/>
    <mergeCell ref="UIE37:UIF37"/>
    <mergeCell ref="UIG37:UIH37"/>
    <mergeCell ref="UII37:UIJ37"/>
    <mergeCell ref="UIK37:UIL37"/>
    <mergeCell ref="UHO37:UHP37"/>
    <mergeCell ref="UHQ37:UHR37"/>
    <mergeCell ref="UHS37:UHT37"/>
    <mergeCell ref="UHU37:UHV37"/>
    <mergeCell ref="UHW37:UHX37"/>
    <mergeCell ref="UHY37:UHZ37"/>
    <mergeCell ref="UHC37:UHD37"/>
    <mergeCell ref="UHE37:UHF37"/>
    <mergeCell ref="UHG37:UHH37"/>
    <mergeCell ref="UHI37:UHJ37"/>
    <mergeCell ref="UHK37:UHL37"/>
    <mergeCell ref="UHM37:UHN37"/>
    <mergeCell ref="UGQ37:UGR37"/>
    <mergeCell ref="UGS37:UGT37"/>
    <mergeCell ref="UGU37:UGV37"/>
    <mergeCell ref="UGW37:UGX37"/>
    <mergeCell ref="UGY37:UGZ37"/>
    <mergeCell ref="UHA37:UHB37"/>
    <mergeCell ref="ULS37:ULT37"/>
    <mergeCell ref="ULU37:ULV37"/>
    <mergeCell ref="ULW37:ULX37"/>
    <mergeCell ref="ULY37:ULZ37"/>
    <mergeCell ref="UMA37:UMB37"/>
    <mergeCell ref="UMC37:UMD37"/>
    <mergeCell ref="ULG37:ULH37"/>
    <mergeCell ref="ULI37:ULJ37"/>
    <mergeCell ref="ULK37:ULL37"/>
    <mergeCell ref="ULM37:ULN37"/>
    <mergeCell ref="ULO37:ULP37"/>
    <mergeCell ref="ULQ37:ULR37"/>
    <mergeCell ref="UKU37:UKV37"/>
    <mergeCell ref="UKW37:UKX37"/>
    <mergeCell ref="UKY37:UKZ37"/>
    <mergeCell ref="ULA37:ULB37"/>
    <mergeCell ref="ULC37:ULD37"/>
    <mergeCell ref="ULE37:ULF37"/>
    <mergeCell ref="UKI37:UKJ37"/>
    <mergeCell ref="UKK37:UKL37"/>
    <mergeCell ref="UKM37:UKN37"/>
    <mergeCell ref="UKO37:UKP37"/>
    <mergeCell ref="UKQ37:UKR37"/>
    <mergeCell ref="UKS37:UKT37"/>
    <mergeCell ref="UJW37:UJX37"/>
    <mergeCell ref="UJY37:UJZ37"/>
    <mergeCell ref="UKA37:UKB37"/>
    <mergeCell ref="UKC37:UKD37"/>
    <mergeCell ref="UKE37:UKF37"/>
    <mergeCell ref="UKG37:UKH37"/>
    <mergeCell ref="UJK37:UJL37"/>
    <mergeCell ref="UJM37:UJN37"/>
    <mergeCell ref="UJO37:UJP37"/>
    <mergeCell ref="UJQ37:UJR37"/>
    <mergeCell ref="UJS37:UJT37"/>
    <mergeCell ref="UJU37:UJV37"/>
    <mergeCell ref="UOM37:UON37"/>
    <mergeCell ref="UOO37:UOP37"/>
    <mergeCell ref="UOQ37:UOR37"/>
    <mergeCell ref="UOS37:UOT37"/>
    <mergeCell ref="UOU37:UOV37"/>
    <mergeCell ref="UOW37:UOX37"/>
    <mergeCell ref="UOA37:UOB37"/>
    <mergeCell ref="UOC37:UOD37"/>
    <mergeCell ref="UOE37:UOF37"/>
    <mergeCell ref="UOG37:UOH37"/>
    <mergeCell ref="UOI37:UOJ37"/>
    <mergeCell ref="UOK37:UOL37"/>
    <mergeCell ref="UNO37:UNP37"/>
    <mergeCell ref="UNQ37:UNR37"/>
    <mergeCell ref="UNS37:UNT37"/>
    <mergeCell ref="UNU37:UNV37"/>
    <mergeCell ref="UNW37:UNX37"/>
    <mergeCell ref="UNY37:UNZ37"/>
    <mergeCell ref="UNC37:UND37"/>
    <mergeCell ref="UNE37:UNF37"/>
    <mergeCell ref="UNG37:UNH37"/>
    <mergeCell ref="UNI37:UNJ37"/>
    <mergeCell ref="UNK37:UNL37"/>
    <mergeCell ref="UNM37:UNN37"/>
    <mergeCell ref="UMQ37:UMR37"/>
    <mergeCell ref="UMS37:UMT37"/>
    <mergeCell ref="UMU37:UMV37"/>
    <mergeCell ref="UMW37:UMX37"/>
    <mergeCell ref="UMY37:UMZ37"/>
    <mergeCell ref="UNA37:UNB37"/>
    <mergeCell ref="UME37:UMF37"/>
    <mergeCell ref="UMG37:UMH37"/>
    <mergeCell ref="UMI37:UMJ37"/>
    <mergeCell ref="UMK37:UML37"/>
    <mergeCell ref="UMM37:UMN37"/>
    <mergeCell ref="UMO37:UMP37"/>
    <mergeCell ref="URG37:URH37"/>
    <mergeCell ref="URI37:URJ37"/>
    <mergeCell ref="URK37:URL37"/>
    <mergeCell ref="URM37:URN37"/>
    <mergeCell ref="URO37:URP37"/>
    <mergeCell ref="URQ37:URR37"/>
    <mergeCell ref="UQU37:UQV37"/>
    <mergeCell ref="UQW37:UQX37"/>
    <mergeCell ref="UQY37:UQZ37"/>
    <mergeCell ref="URA37:URB37"/>
    <mergeCell ref="URC37:URD37"/>
    <mergeCell ref="URE37:URF37"/>
    <mergeCell ref="UQI37:UQJ37"/>
    <mergeCell ref="UQK37:UQL37"/>
    <mergeCell ref="UQM37:UQN37"/>
    <mergeCell ref="UQO37:UQP37"/>
    <mergeCell ref="UQQ37:UQR37"/>
    <mergeCell ref="UQS37:UQT37"/>
    <mergeCell ref="UPW37:UPX37"/>
    <mergeCell ref="UPY37:UPZ37"/>
    <mergeCell ref="UQA37:UQB37"/>
    <mergeCell ref="UQC37:UQD37"/>
    <mergeCell ref="UQE37:UQF37"/>
    <mergeCell ref="UQG37:UQH37"/>
    <mergeCell ref="UPK37:UPL37"/>
    <mergeCell ref="UPM37:UPN37"/>
    <mergeCell ref="UPO37:UPP37"/>
    <mergeCell ref="UPQ37:UPR37"/>
    <mergeCell ref="UPS37:UPT37"/>
    <mergeCell ref="UPU37:UPV37"/>
    <mergeCell ref="UOY37:UOZ37"/>
    <mergeCell ref="UPA37:UPB37"/>
    <mergeCell ref="UPC37:UPD37"/>
    <mergeCell ref="UPE37:UPF37"/>
    <mergeCell ref="UPG37:UPH37"/>
    <mergeCell ref="UPI37:UPJ37"/>
    <mergeCell ref="UUA37:UUB37"/>
    <mergeCell ref="UUC37:UUD37"/>
    <mergeCell ref="UUE37:UUF37"/>
    <mergeCell ref="UUG37:UUH37"/>
    <mergeCell ref="UUI37:UUJ37"/>
    <mergeCell ref="UUK37:UUL37"/>
    <mergeCell ref="UTO37:UTP37"/>
    <mergeCell ref="UTQ37:UTR37"/>
    <mergeCell ref="UTS37:UTT37"/>
    <mergeCell ref="UTU37:UTV37"/>
    <mergeCell ref="UTW37:UTX37"/>
    <mergeCell ref="UTY37:UTZ37"/>
    <mergeCell ref="UTC37:UTD37"/>
    <mergeCell ref="UTE37:UTF37"/>
    <mergeCell ref="UTG37:UTH37"/>
    <mergeCell ref="UTI37:UTJ37"/>
    <mergeCell ref="UTK37:UTL37"/>
    <mergeCell ref="UTM37:UTN37"/>
    <mergeCell ref="USQ37:USR37"/>
    <mergeCell ref="USS37:UST37"/>
    <mergeCell ref="USU37:USV37"/>
    <mergeCell ref="USW37:USX37"/>
    <mergeCell ref="USY37:USZ37"/>
    <mergeCell ref="UTA37:UTB37"/>
    <mergeCell ref="USE37:USF37"/>
    <mergeCell ref="USG37:USH37"/>
    <mergeCell ref="USI37:USJ37"/>
    <mergeCell ref="USK37:USL37"/>
    <mergeCell ref="USM37:USN37"/>
    <mergeCell ref="USO37:USP37"/>
    <mergeCell ref="URS37:URT37"/>
    <mergeCell ref="URU37:URV37"/>
    <mergeCell ref="URW37:URX37"/>
    <mergeCell ref="URY37:URZ37"/>
    <mergeCell ref="USA37:USB37"/>
    <mergeCell ref="USC37:USD37"/>
    <mergeCell ref="UWU37:UWV37"/>
    <mergeCell ref="UWW37:UWX37"/>
    <mergeCell ref="UWY37:UWZ37"/>
    <mergeCell ref="UXA37:UXB37"/>
    <mergeCell ref="UXC37:UXD37"/>
    <mergeCell ref="UXE37:UXF37"/>
    <mergeCell ref="UWI37:UWJ37"/>
    <mergeCell ref="UWK37:UWL37"/>
    <mergeCell ref="UWM37:UWN37"/>
    <mergeCell ref="UWO37:UWP37"/>
    <mergeCell ref="UWQ37:UWR37"/>
    <mergeCell ref="UWS37:UWT37"/>
    <mergeCell ref="UVW37:UVX37"/>
    <mergeCell ref="UVY37:UVZ37"/>
    <mergeCell ref="UWA37:UWB37"/>
    <mergeCell ref="UWC37:UWD37"/>
    <mergeCell ref="UWE37:UWF37"/>
    <mergeCell ref="UWG37:UWH37"/>
    <mergeCell ref="UVK37:UVL37"/>
    <mergeCell ref="UVM37:UVN37"/>
    <mergeCell ref="UVO37:UVP37"/>
    <mergeCell ref="UVQ37:UVR37"/>
    <mergeCell ref="UVS37:UVT37"/>
    <mergeCell ref="UVU37:UVV37"/>
    <mergeCell ref="UUY37:UUZ37"/>
    <mergeCell ref="UVA37:UVB37"/>
    <mergeCell ref="UVC37:UVD37"/>
    <mergeCell ref="UVE37:UVF37"/>
    <mergeCell ref="UVG37:UVH37"/>
    <mergeCell ref="UVI37:UVJ37"/>
    <mergeCell ref="UUM37:UUN37"/>
    <mergeCell ref="UUO37:UUP37"/>
    <mergeCell ref="UUQ37:UUR37"/>
    <mergeCell ref="UUS37:UUT37"/>
    <mergeCell ref="UUU37:UUV37"/>
    <mergeCell ref="UUW37:UUX37"/>
    <mergeCell ref="UZO37:UZP37"/>
    <mergeCell ref="UZQ37:UZR37"/>
    <mergeCell ref="UZS37:UZT37"/>
    <mergeCell ref="UZU37:UZV37"/>
    <mergeCell ref="UZW37:UZX37"/>
    <mergeCell ref="UZY37:UZZ37"/>
    <mergeCell ref="UZC37:UZD37"/>
    <mergeCell ref="UZE37:UZF37"/>
    <mergeCell ref="UZG37:UZH37"/>
    <mergeCell ref="UZI37:UZJ37"/>
    <mergeCell ref="UZK37:UZL37"/>
    <mergeCell ref="UZM37:UZN37"/>
    <mergeCell ref="UYQ37:UYR37"/>
    <mergeCell ref="UYS37:UYT37"/>
    <mergeCell ref="UYU37:UYV37"/>
    <mergeCell ref="UYW37:UYX37"/>
    <mergeCell ref="UYY37:UYZ37"/>
    <mergeCell ref="UZA37:UZB37"/>
    <mergeCell ref="UYE37:UYF37"/>
    <mergeCell ref="UYG37:UYH37"/>
    <mergeCell ref="UYI37:UYJ37"/>
    <mergeCell ref="UYK37:UYL37"/>
    <mergeCell ref="UYM37:UYN37"/>
    <mergeCell ref="UYO37:UYP37"/>
    <mergeCell ref="UXS37:UXT37"/>
    <mergeCell ref="UXU37:UXV37"/>
    <mergeCell ref="UXW37:UXX37"/>
    <mergeCell ref="UXY37:UXZ37"/>
    <mergeCell ref="UYA37:UYB37"/>
    <mergeCell ref="UYC37:UYD37"/>
    <mergeCell ref="UXG37:UXH37"/>
    <mergeCell ref="UXI37:UXJ37"/>
    <mergeCell ref="UXK37:UXL37"/>
    <mergeCell ref="UXM37:UXN37"/>
    <mergeCell ref="UXO37:UXP37"/>
    <mergeCell ref="UXQ37:UXR37"/>
    <mergeCell ref="VCI37:VCJ37"/>
    <mergeCell ref="VCK37:VCL37"/>
    <mergeCell ref="VCM37:VCN37"/>
    <mergeCell ref="VCO37:VCP37"/>
    <mergeCell ref="VCQ37:VCR37"/>
    <mergeCell ref="VCS37:VCT37"/>
    <mergeCell ref="VBW37:VBX37"/>
    <mergeCell ref="VBY37:VBZ37"/>
    <mergeCell ref="VCA37:VCB37"/>
    <mergeCell ref="VCC37:VCD37"/>
    <mergeCell ref="VCE37:VCF37"/>
    <mergeCell ref="VCG37:VCH37"/>
    <mergeCell ref="VBK37:VBL37"/>
    <mergeCell ref="VBM37:VBN37"/>
    <mergeCell ref="VBO37:VBP37"/>
    <mergeCell ref="VBQ37:VBR37"/>
    <mergeCell ref="VBS37:VBT37"/>
    <mergeCell ref="VBU37:VBV37"/>
    <mergeCell ref="VAY37:VAZ37"/>
    <mergeCell ref="VBA37:VBB37"/>
    <mergeCell ref="VBC37:VBD37"/>
    <mergeCell ref="VBE37:VBF37"/>
    <mergeCell ref="VBG37:VBH37"/>
    <mergeCell ref="VBI37:VBJ37"/>
    <mergeCell ref="VAM37:VAN37"/>
    <mergeCell ref="VAO37:VAP37"/>
    <mergeCell ref="VAQ37:VAR37"/>
    <mergeCell ref="VAS37:VAT37"/>
    <mergeCell ref="VAU37:VAV37"/>
    <mergeCell ref="VAW37:VAX37"/>
    <mergeCell ref="VAA37:VAB37"/>
    <mergeCell ref="VAC37:VAD37"/>
    <mergeCell ref="VAE37:VAF37"/>
    <mergeCell ref="VAG37:VAH37"/>
    <mergeCell ref="VAI37:VAJ37"/>
    <mergeCell ref="VAK37:VAL37"/>
    <mergeCell ref="VFC37:VFD37"/>
    <mergeCell ref="VFE37:VFF37"/>
    <mergeCell ref="VFG37:VFH37"/>
    <mergeCell ref="VFI37:VFJ37"/>
    <mergeCell ref="VFK37:VFL37"/>
    <mergeCell ref="VFM37:VFN37"/>
    <mergeCell ref="VEQ37:VER37"/>
    <mergeCell ref="VES37:VET37"/>
    <mergeCell ref="VEU37:VEV37"/>
    <mergeCell ref="VEW37:VEX37"/>
    <mergeCell ref="VEY37:VEZ37"/>
    <mergeCell ref="VFA37:VFB37"/>
    <mergeCell ref="VEE37:VEF37"/>
    <mergeCell ref="VEG37:VEH37"/>
    <mergeCell ref="VEI37:VEJ37"/>
    <mergeCell ref="VEK37:VEL37"/>
    <mergeCell ref="VEM37:VEN37"/>
    <mergeCell ref="VEO37:VEP37"/>
    <mergeCell ref="VDS37:VDT37"/>
    <mergeCell ref="VDU37:VDV37"/>
    <mergeCell ref="VDW37:VDX37"/>
    <mergeCell ref="VDY37:VDZ37"/>
    <mergeCell ref="VEA37:VEB37"/>
    <mergeCell ref="VEC37:VED37"/>
    <mergeCell ref="VDG37:VDH37"/>
    <mergeCell ref="VDI37:VDJ37"/>
    <mergeCell ref="VDK37:VDL37"/>
    <mergeCell ref="VDM37:VDN37"/>
    <mergeCell ref="VDO37:VDP37"/>
    <mergeCell ref="VDQ37:VDR37"/>
    <mergeCell ref="VCU37:VCV37"/>
    <mergeCell ref="VCW37:VCX37"/>
    <mergeCell ref="VCY37:VCZ37"/>
    <mergeCell ref="VDA37:VDB37"/>
    <mergeCell ref="VDC37:VDD37"/>
    <mergeCell ref="VDE37:VDF37"/>
    <mergeCell ref="VHW37:VHX37"/>
    <mergeCell ref="VHY37:VHZ37"/>
    <mergeCell ref="VIA37:VIB37"/>
    <mergeCell ref="VIC37:VID37"/>
    <mergeCell ref="VIE37:VIF37"/>
    <mergeCell ref="VIG37:VIH37"/>
    <mergeCell ref="VHK37:VHL37"/>
    <mergeCell ref="VHM37:VHN37"/>
    <mergeCell ref="VHO37:VHP37"/>
    <mergeCell ref="VHQ37:VHR37"/>
    <mergeCell ref="VHS37:VHT37"/>
    <mergeCell ref="VHU37:VHV37"/>
    <mergeCell ref="VGY37:VGZ37"/>
    <mergeCell ref="VHA37:VHB37"/>
    <mergeCell ref="VHC37:VHD37"/>
    <mergeCell ref="VHE37:VHF37"/>
    <mergeCell ref="VHG37:VHH37"/>
    <mergeCell ref="VHI37:VHJ37"/>
    <mergeCell ref="VGM37:VGN37"/>
    <mergeCell ref="VGO37:VGP37"/>
    <mergeCell ref="VGQ37:VGR37"/>
    <mergeCell ref="VGS37:VGT37"/>
    <mergeCell ref="VGU37:VGV37"/>
    <mergeCell ref="VGW37:VGX37"/>
    <mergeCell ref="VGA37:VGB37"/>
    <mergeCell ref="VGC37:VGD37"/>
    <mergeCell ref="VGE37:VGF37"/>
    <mergeCell ref="VGG37:VGH37"/>
    <mergeCell ref="VGI37:VGJ37"/>
    <mergeCell ref="VGK37:VGL37"/>
    <mergeCell ref="VFO37:VFP37"/>
    <mergeCell ref="VFQ37:VFR37"/>
    <mergeCell ref="VFS37:VFT37"/>
    <mergeCell ref="VFU37:VFV37"/>
    <mergeCell ref="VFW37:VFX37"/>
    <mergeCell ref="VFY37:VFZ37"/>
    <mergeCell ref="VKQ37:VKR37"/>
    <mergeCell ref="VKS37:VKT37"/>
    <mergeCell ref="VKU37:VKV37"/>
    <mergeCell ref="VKW37:VKX37"/>
    <mergeCell ref="VKY37:VKZ37"/>
    <mergeCell ref="VLA37:VLB37"/>
    <mergeCell ref="VKE37:VKF37"/>
    <mergeCell ref="VKG37:VKH37"/>
    <mergeCell ref="VKI37:VKJ37"/>
    <mergeCell ref="VKK37:VKL37"/>
    <mergeCell ref="VKM37:VKN37"/>
    <mergeCell ref="VKO37:VKP37"/>
    <mergeCell ref="VJS37:VJT37"/>
    <mergeCell ref="VJU37:VJV37"/>
    <mergeCell ref="VJW37:VJX37"/>
    <mergeCell ref="VJY37:VJZ37"/>
    <mergeCell ref="VKA37:VKB37"/>
    <mergeCell ref="VKC37:VKD37"/>
    <mergeCell ref="VJG37:VJH37"/>
    <mergeCell ref="VJI37:VJJ37"/>
    <mergeCell ref="VJK37:VJL37"/>
    <mergeCell ref="VJM37:VJN37"/>
    <mergeCell ref="VJO37:VJP37"/>
    <mergeCell ref="VJQ37:VJR37"/>
    <mergeCell ref="VIU37:VIV37"/>
    <mergeCell ref="VIW37:VIX37"/>
    <mergeCell ref="VIY37:VIZ37"/>
    <mergeCell ref="VJA37:VJB37"/>
    <mergeCell ref="VJC37:VJD37"/>
    <mergeCell ref="VJE37:VJF37"/>
    <mergeCell ref="VII37:VIJ37"/>
    <mergeCell ref="VIK37:VIL37"/>
    <mergeCell ref="VIM37:VIN37"/>
    <mergeCell ref="VIO37:VIP37"/>
    <mergeCell ref="VIQ37:VIR37"/>
    <mergeCell ref="VIS37:VIT37"/>
    <mergeCell ref="VNK37:VNL37"/>
    <mergeCell ref="VNM37:VNN37"/>
    <mergeCell ref="VNO37:VNP37"/>
    <mergeCell ref="VNQ37:VNR37"/>
    <mergeCell ref="VNS37:VNT37"/>
    <mergeCell ref="VNU37:VNV37"/>
    <mergeCell ref="VMY37:VMZ37"/>
    <mergeCell ref="VNA37:VNB37"/>
    <mergeCell ref="VNC37:VND37"/>
    <mergeCell ref="VNE37:VNF37"/>
    <mergeCell ref="VNG37:VNH37"/>
    <mergeCell ref="VNI37:VNJ37"/>
    <mergeCell ref="VMM37:VMN37"/>
    <mergeCell ref="VMO37:VMP37"/>
    <mergeCell ref="VMQ37:VMR37"/>
    <mergeCell ref="VMS37:VMT37"/>
    <mergeCell ref="VMU37:VMV37"/>
    <mergeCell ref="VMW37:VMX37"/>
    <mergeCell ref="VMA37:VMB37"/>
    <mergeCell ref="VMC37:VMD37"/>
    <mergeCell ref="VME37:VMF37"/>
    <mergeCell ref="VMG37:VMH37"/>
    <mergeCell ref="VMI37:VMJ37"/>
    <mergeCell ref="VMK37:VML37"/>
    <mergeCell ref="VLO37:VLP37"/>
    <mergeCell ref="VLQ37:VLR37"/>
    <mergeCell ref="VLS37:VLT37"/>
    <mergeCell ref="VLU37:VLV37"/>
    <mergeCell ref="VLW37:VLX37"/>
    <mergeCell ref="VLY37:VLZ37"/>
    <mergeCell ref="VLC37:VLD37"/>
    <mergeCell ref="VLE37:VLF37"/>
    <mergeCell ref="VLG37:VLH37"/>
    <mergeCell ref="VLI37:VLJ37"/>
    <mergeCell ref="VLK37:VLL37"/>
    <mergeCell ref="VLM37:VLN37"/>
    <mergeCell ref="VQE37:VQF37"/>
    <mergeCell ref="VQG37:VQH37"/>
    <mergeCell ref="VQI37:VQJ37"/>
    <mergeCell ref="VQK37:VQL37"/>
    <mergeCell ref="VQM37:VQN37"/>
    <mergeCell ref="VQO37:VQP37"/>
    <mergeCell ref="VPS37:VPT37"/>
    <mergeCell ref="VPU37:VPV37"/>
    <mergeCell ref="VPW37:VPX37"/>
    <mergeCell ref="VPY37:VPZ37"/>
    <mergeCell ref="VQA37:VQB37"/>
    <mergeCell ref="VQC37:VQD37"/>
    <mergeCell ref="VPG37:VPH37"/>
    <mergeCell ref="VPI37:VPJ37"/>
    <mergeCell ref="VPK37:VPL37"/>
    <mergeCell ref="VPM37:VPN37"/>
    <mergeCell ref="VPO37:VPP37"/>
    <mergeCell ref="VPQ37:VPR37"/>
    <mergeCell ref="VOU37:VOV37"/>
    <mergeCell ref="VOW37:VOX37"/>
    <mergeCell ref="VOY37:VOZ37"/>
    <mergeCell ref="VPA37:VPB37"/>
    <mergeCell ref="VPC37:VPD37"/>
    <mergeCell ref="VPE37:VPF37"/>
    <mergeCell ref="VOI37:VOJ37"/>
    <mergeCell ref="VOK37:VOL37"/>
    <mergeCell ref="VOM37:VON37"/>
    <mergeCell ref="VOO37:VOP37"/>
    <mergeCell ref="VOQ37:VOR37"/>
    <mergeCell ref="VOS37:VOT37"/>
    <mergeCell ref="VNW37:VNX37"/>
    <mergeCell ref="VNY37:VNZ37"/>
    <mergeCell ref="VOA37:VOB37"/>
    <mergeCell ref="VOC37:VOD37"/>
    <mergeCell ref="VOE37:VOF37"/>
    <mergeCell ref="VOG37:VOH37"/>
    <mergeCell ref="VSY37:VSZ37"/>
    <mergeCell ref="VTA37:VTB37"/>
    <mergeCell ref="VTC37:VTD37"/>
    <mergeCell ref="VTE37:VTF37"/>
    <mergeCell ref="VTG37:VTH37"/>
    <mergeCell ref="VTI37:VTJ37"/>
    <mergeCell ref="VSM37:VSN37"/>
    <mergeCell ref="VSO37:VSP37"/>
    <mergeCell ref="VSQ37:VSR37"/>
    <mergeCell ref="VSS37:VST37"/>
    <mergeCell ref="VSU37:VSV37"/>
    <mergeCell ref="VSW37:VSX37"/>
    <mergeCell ref="VSA37:VSB37"/>
    <mergeCell ref="VSC37:VSD37"/>
    <mergeCell ref="VSE37:VSF37"/>
    <mergeCell ref="VSG37:VSH37"/>
    <mergeCell ref="VSI37:VSJ37"/>
    <mergeCell ref="VSK37:VSL37"/>
    <mergeCell ref="VRO37:VRP37"/>
    <mergeCell ref="VRQ37:VRR37"/>
    <mergeCell ref="VRS37:VRT37"/>
    <mergeCell ref="VRU37:VRV37"/>
    <mergeCell ref="VRW37:VRX37"/>
    <mergeCell ref="VRY37:VRZ37"/>
    <mergeCell ref="VRC37:VRD37"/>
    <mergeCell ref="VRE37:VRF37"/>
    <mergeCell ref="VRG37:VRH37"/>
    <mergeCell ref="VRI37:VRJ37"/>
    <mergeCell ref="VRK37:VRL37"/>
    <mergeCell ref="VRM37:VRN37"/>
    <mergeCell ref="VQQ37:VQR37"/>
    <mergeCell ref="VQS37:VQT37"/>
    <mergeCell ref="VQU37:VQV37"/>
    <mergeCell ref="VQW37:VQX37"/>
    <mergeCell ref="VQY37:VQZ37"/>
    <mergeCell ref="VRA37:VRB37"/>
    <mergeCell ref="VVS37:VVT37"/>
    <mergeCell ref="VVU37:VVV37"/>
    <mergeCell ref="VVW37:VVX37"/>
    <mergeCell ref="VVY37:VVZ37"/>
    <mergeCell ref="VWA37:VWB37"/>
    <mergeCell ref="VWC37:VWD37"/>
    <mergeCell ref="VVG37:VVH37"/>
    <mergeCell ref="VVI37:VVJ37"/>
    <mergeCell ref="VVK37:VVL37"/>
    <mergeCell ref="VVM37:VVN37"/>
    <mergeCell ref="VVO37:VVP37"/>
    <mergeCell ref="VVQ37:VVR37"/>
    <mergeCell ref="VUU37:VUV37"/>
    <mergeCell ref="VUW37:VUX37"/>
    <mergeCell ref="VUY37:VUZ37"/>
    <mergeCell ref="VVA37:VVB37"/>
    <mergeCell ref="VVC37:VVD37"/>
    <mergeCell ref="VVE37:VVF37"/>
    <mergeCell ref="VUI37:VUJ37"/>
    <mergeCell ref="VUK37:VUL37"/>
    <mergeCell ref="VUM37:VUN37"/>
    <mergeCell ref="VUO37:VUP37"/>
    <mergeCell ref="VUQ37:VUR37"/>
    <mergeCell ref="VUS37:VUT37"/>
    <mergeCell ref="VTW37:VTX37"/>
    <mergeCell ref="VTY37:VTZ37"/>
    <mergeCell ref="VUA37:VUB37"/>
    <mergeCell ref="VUC37:VUD37"/>
    <mergeCell ref="VUE37:VUF37"/>
    <mergeCell ref="VUG37:VUH37"/>
    <mergeCell ref="VTK37:VTL37"/>
    <mergeCell ref="VTM37:VTN37"/>
    <mergeCell ref="VTO37:VTP37"/>
    <mergeCell ref="VTQ37:VTR37"/>
    <mergeCell ref="VTS37:VTT37"/>
    <mergeCell ref="VTU37:VTV37"/>
    <mergeCell ref="VYM37:VYN37"/>
    <mergeCell ref="VYO37:VYP37"/>
    <mergeCell ref="VYQ37:VYR37"/>
    <mergeCell ref="VYS37:VYT37"/>
    <mergeCell ref="VYU37:VYV37"/>
    <mergeCell ref="VYW37:VYX37"/>
    <mergeCell ref="VYA37:VYB37"/>
    <mergeCell ref="VYC37:VYD37"/>
    <mergeCell ref="VYE37:VYF37"/>
    <mergeCell ref="VYG37:VYH37"/>
    <mergeCell ref="VYI37:VYJ37"/>
    <mergeCell ref="VYK37:VYL37"/>
    <mergeCell ref="VXO37:VXP37"/>
    <mergeCell ref="VXQ37:VXR37"/>
    <mergeCell ref="VXS37:VXT37"/>
    <mergeCell ref="VXU37:VXV37"/>
    <mergeCell ref="VXW37:VXX37"/>
    <mergeCell ref="VXY37:VXZ37"/>
    <mergeCell ref="VXC37:VXD37"/>
    <mergeCell ref="VXE37:VXF37"/>
    <mergeCell ref="VXG37:VXH37"/>
    <mergeCell ref="VXI37:VXJ37"/>
    <mergeCell ref="VXK37:VXL37"/>
    <mergeCell ref="VXM37:VXN37"/>
    <mergeCell ref="VWQ37:VWR37"/>
    <mergeCell ref="VWS37:VWT37"/>
    <mergeCell ref="VWU37:VWV37"/>
    <mergeCell ref="VWW37:VWX37"/>
    <mergeCell ref="VWY37:VWZ37"/>
    <mergeCell ref="VXA37:VXB37"/>
    <mergeCell ref="VWE37:VWF37"/>
    <mergeCell ref="VWG37:VWH37"/>
    <mergeCell ref="VWI37:VWJ37"/>
    <mergeCell ref="VWK37:VWL37"/>
    <mergeCell ref="VWM37:VWN37"/>
    <mergeCell ref="VWO37:VWP37"/>
    <mergeCell ref="WBG37:WBH37"/>
    <mergeCell ref="WBI37:WBJ37"/>
    <mergeCell ref="WBK37:WBL37"/>
    <mergeCell ref="WBM37:WBN37"/>
    <mergeCell ref="WBO37:WBP37"/>
    <mergeCell ref="WBQ37:WBR37"/>
    <mergeCell ref="WAU37:WAV37"/>
    <mergeCell ref="WAW37:WAX37"/>
    <mergeCell ref="WAY37:WAZ37"/>
    <mergeCell ref="WBA37:WBB37"/>
    <mergeCell ref="WBC37:WBD37"/>
    <mergeCell ref="WBE37:WBF37"/>
    <mergeCell ref="WAI37:WAJ37"/>
    <mergeCell ref="WAK37:WAL37"/>
    <mergeCell ref="WAM37:WAN37"/>
    <mergeCell ref="WAO37:WAP37"/>
    <mergeCell ref="WAQ37:WAR37"/>
    <mergeCell ref="WAS37:WAT37"/>
    <mergeCell ref="VZW37:VZX37"/>
    <mergeCell ref="VZY37:VZZ37"/>
    <mergeCell ref="WAA37:WAB37"/>
    <mergeCell ref="WAC37:WAD37"/>
    <mergeCell ref="WAE37:WAF37"/>
    <mergeCell ref="WAG37:WAH37"/>
    <mergeCell ref="VZK37:VZL37"/>
    <mergeCell ref="VZM37:VZN37"/>
    <mergeCell ref="VZO37:VZP37"/>
    <mergeCell ref="VZQ37:VZR37"/>
    <mergeCell ref="VZS37:VZT37"/>
    <mergeCell ref="VZU37:VZV37"/>
    <mergeCell ref="VYY37:VYZ37"/>
    <mergeCell ref="VZA37:VZB37"/>
    <mergeCell ref="VZC37:VZD37"/>
    <mergeCell ref="VZE37:VZF37"/>
    <mergeCell ref="VZG37:VZH37"/>
    <mergeCell ref="VZI37:VZJ37"/>
    <mergeCell ref="WEA37:WEB37"/>
    <mergeCell ref="WEC37:WED37"/>
    <mergeCell ref="WEE37:WEF37"/>
    <mergeCell ref="WEG37:WEH37"/>
    <mergeCell ref="WEI37:WEJ37"/>
    <mergeCell ref="WEK37:WEL37"/>
    <mergeCell ref="WDO37:WDP37"/>
    <mergeCell ref="WDQ37:WDR37"/>
    <mergeCell ref="WDS37:WDT37"/>
    <mergeCell ref="WDU37:WDV37"/>
    <mergeCell ref="WDW37:WDX37"/>
    <mergeCell ref="WDY37:WDZ37"/>
    <mergeCell ref="WDC37:WDD37"/>
    <mergeCell ref="WDE37:WDF37"/>
    <mergeCell ref="WDG37:WDH37"/>
    <mergeCell ref="WDI37:WDJ37"/>
    <mergeCell ref="WDK37:WDL37"/>
    <mergeCell ref="WDM37:WDN37"/>
    <mergeCell ref="WCQ37:WCR37"/>
    <mergeCell ref="WCS37:WCT37"/>
    <mergeCell ref="WCU37:WCV37"/>
    <mergeCell ref="WCW37:WCX37"/>
    <mergeCell ref="WCY37:WCZ37"/>
    <mergeCell ref="WDA37:WDB37"/>
    <mergeCell ref="WCE37:WCF37"/>
    <mergeCell ref="WCG37:WCH37"/>
    <mergeCell ref="WCI37:WCJ37"/>
    <mergeCell ref="WCK37:WCL37"/>
    <mergeCell ref="WCM37:WCN37"/>
    <mergeCell ref="WCO37:WCP37"/>
    <mergeCell ref="WBS37:WBT37"/>
    <mergeCell ref="WBU37:WBV37"/>
    <mergeCell ref="WBW37:WBX37"/>
    <mergeCell ref="WBY37:WBZ37"/>
    <mergeCell ref="WCA37:WCB37"/>
    <mergeCell ref="WCC37:WCD37"/>
    <mergeCell ref="WGU37:WGV37"/>
    <mergeCell ref="WGW37:WGX37"/>
    <mergeCell ref="WGY37:WGZ37"/>
    <mergeCell ref="WHA37:WHB37"/>
    <mergeCell ref="WHC37:WHD37"/>
    <mergeCell ref="WHE37:WHF37"/>
    <mergeCell ref="WGI37:WGJ37"/>
    <mergeCell ref="WGK37:WGL37"/>
    <mergeCell ref="WGM37:WGN37"/>
    <mergeCell ref="WGO37:WGP37"/>
    <mergeCell ref="WGQ37:WGR37"/>
    <mergeCell ref="WGS37:WGT37"/>
    <mergeCell ref="WFW37:WFX37"/>
    <mergeCell ref="WFY37:WFZ37"/>
    <mergeCell ref="WGA37:WGB37"/>
    <mergeCell ref="WGC37:WGD37"/>
    <mergeCell ref="WGE37:WGF37"/>
    <mergeCell ref="WGG37:WGH37"/>
    <mergeCell ref="WFK37:WFL37"/>
    <mergeCell ref="WFM37:WFN37"/>
    <mergeCell ref="WFO37:WFP37"/>
    <mergeCell ref="WFQ37:WFR37"/>
    <mergeCell ref="WFS37:WFT37"/>
    <mergeCell ref="WFU37:WFV37"/>
    <mergeCell ref="WEY37:WEZ37"/>
    <mergeCell ref="WFA37:WFB37"/>
    <mergeCell ref="WFC37:WFD37"/>
    <mergeCell ref="WFE37:WFF37"/>
    <mergeCell ref="WFG37:WFH37"/>
    <mergeCell ref="WFI37:WFJ37"/>
    <mergeCell ref="WEM37:WEN37"/>
    <mergeCell ref="WEO37:WEP37"/>
    <mergeCell ref="WEQ37:WER37"/>
    <mergeCell ref="WES37:WET37"/>
    <mergeCell ref="WEU37:WEV37"/>
    <mergeCell ref="WEW37:WEX37"/>
    <mergeCell ref="WJO37:WJP37"/>
    <mergeCell ref="WJQ37:WJR37"/>
    <mergeCell ref="WJS37:WJT37"/>
    <mergeCell ref="WJU37:WJV37"/>
    <mergeCell ref="WJW37:WJX37"/>
    <mergeCell ref="WJY37:WJZ37"/>
    <mergeCell ref="WJC37:WJD37"/>
    <mergeCell ref="WJE37:WJF37"/>
    <mergeCell ref="WJG37:WJH37"/>
    <mergeCell ref="WJI37:WJJ37"/>
    <mergeCell ref="WJK37:WJL37"/>
    <mergeCell ref="WJM37:WJN37"/>
    <mergeCell ref="WIQ37:WIR37"/>
    <mergeCell ref="WIS37:WIT37"/>
    <mergeCell ref="WIU37:WIV37"/>
    <mergeCell ref="WIW37:WIX37"/>
    <mergeCell ref="WIY37:WIZ37"/>
    <mergeCell ref="WJA37:WJB37"/>
    <mergeCell ref="WIE37:WIF37"/>
    <mergeCell ref="WIG37:WIH37"/>
    <mergeCell ref="WII37:WIJ37"/>
    <mergeCell ref="WIK37:WIL37"/>
    <mergeCell ref="WIM37:WIN37"/>
    <mergeCell ref="WIO37:WIP37"/>
    <mergeCell ref="WHS37:WHT37"/>
    <mergeCell ref="WHU37:WHV37"/>
    <mergeCell ref="WHW37:WHX37"/>
    <mergeCell ref="WHY37:WHZ37"/>
    <mergeCell ref="WIA37:WIB37"/>
    <mergeCell ref="WIC37:WID37"/>
    <mergeCell ref="WHG37:WHH37"/>
    <mergeCell ref="WHI37:WHJ37"/>
    <mergeCell ref="WHK37:WHL37"/>
    <mergeCell ref="WHM37:WHN37"/>
    <mergeCell ref="WHO37:WHP37"/>
    <mergeCell ref="WHQ37:WHR37"/>
    <mergeCell ref="WMI37:WMJ37"/>
    <mergeCell ref="WMK37:WML37"/>
    <mergeCell ref="WMM37:WMN37"/>
    <mergeCell ref="WMO37:WMP37"/>
    <mergeCell ref="WMQ37:WMR37"/>
    <mergeCell ref="WMS37:WMT37"/>
    <mergeCell ref="WLW37:WLX37"/>
    <mergeCell ref="WLY37:WLZ37"/>
    <mergeCell ref="WMA37:WMB37"/>
    <mergeCell ref="WMC37:WMD37"/>
    <mergeCell ref="WME37:WMF37"/>
    <mergeCell ref="WMG37:WMH37"/>
    <mergeCell ref="WLK37:WLL37"/>
    <mergeCell ref="WLM37:WLN37"/>
    <mergeCell ref="WLO37:WLP37"/>
    <mergeCell ref="WLQ37:WLR37"/>
    <mergeCell ref="WLS37:WLT37"/>
    <mergeCell ref="WLU37:WLV37"/>
    <mergeCell ref="WKY37:WKZ37"/>
    <mergeCell ref="WLA37:WLB37"/>
    <mergeCell ref="WLC37:WLD37"/>
    <mergeCell ref="WLE37:WLF37"/>
    <mergeCell ref="WLG37:WLH37"/>
    <mergeCell ref="WLI37:WLJ37"/>
    <mergeCell ref="WKM37:WKN37"/>
    <mergeCell ref="WKO37:WKP37"/>
    <mergeCell ref="WKQ37:WKR37"/>
    <mergeCell ref="WKS37:WKT37"/>
    <mergeCell ref="WKU37:WKV37"/>
    <mergeCell ref="WKW37:WKX37"/>
    <mergeCell ref="WKA37:WKB37"/>
    <mergeCell ref="WKC37:WKD37"/>
    <mergeCell ref="WKE37:WKF37"/>
    <mergeCell ref="WKG37:WKH37"/>
    <mergeCell ref="WKI37:WKJ37"/>
    <mergeCell ref="WKK37:WKL37"/>
    <mergeCell ref="WPC37:WPD37"/>
    <mergeCell ref="WPE37:WPF37"/>
    <mergeCell ref="WPG37:WPH37"/>
    <mergeCell ref="WPI37:WPJ37"/>
    <mergeCell ref="WPK37:WPL37"/>
    <mergeCell ref="WPM37:WPN37"/>
    <mergeCell ref="WOQ37:WOR37"/>
    <mergeCell ref="WOS37:WOT37"/>
    <mergeCell ref="WOU37:WOV37"/>
    <mergeCell ref="WOW37:WOX37"/>
    <mergeCell ref="WOY37:WOZ37"/>
    <mergeCell ref="WPA37:WPB37"/>
    <mergeCell ref="WOE37:WOF37"/>
    <mergeCell ref="WOG37:WOH37"/>
    <mergeCell ref="WOI37:WOJ37"/>
    <mergeCell ref="WOK37:WOL37"/>
    <mergeCell ref="WOM37:WON37"/>
    <mergeCell ref="WOO37:WOP37"/>
    <mergeCell ref="WNS37:WNT37"/>
    <mergeCell ref="WNU37:WNV37"/>
    <mergeCell ref="WNW37:WNX37"/>
    <mergeCell ref="WNY37:WNZ37"/>
    <mergeCell ref="WOA37:WOB37"/>
    <mergeCell ref="WOC37:WOD37"/>
    <mergeCell ref="WNG37:WNH37"/>
    <mergeCell ref="WNI37:WNJ37"/>
    <mergeCell ref="WNK37:WNL37"/>
    <mergeCell ref="WNM37:WNN37"/>
    <mergeCell ref="WNO37:WNP37"/>
    <mergeCell ref="WNQ37:WNR37"/>
    <mergeCell ref="WMU37:WMV37"/>
    <mergeCell ref="WMW37:WMX37"/>
    <mergeCell ref="WMY37:WMZ37"/>
    <mergeCell ref="WNA37:WNB37"/>
    <mergeCell ref="WNC37:WND37"/>
    <mergeCell ref="WNE37:WNF37"/>
    <mergeCell ref="WRW37:WRX37"/>
    <mergeCell ref="WRY37:WRZ37"/>
    <mergeCell ref="WSA37:WSB37"/>
    <mergeCell ref="WSC37:WSD37"/>
    <mergeCell ref="WSE37:WSF37"/>
    <mergeCell ref="WSG37:WSH37"/>
    <mergeCell ref="WRK37:WRL37"/>
    <mergeCell ref="WRM37:WRN37"/>
    <mergeCell ref="WRO37:WRP37"/>
    <mergeCell ref="WRQ37:WRR37"/>
    <mergeCell ref="WRS37:WRT37"/>
    <mergeCell ref="WRU37:WRV37"/>
    <mergeCell ref="WQY37:WQZ37"/>
    <mergeCell ref="WRA37:WRB37"/>
    <mergeCell ref="WRC37:WRD37"/>
    <mergeCell ref="WRE37:WRF37"/>
    <mergeCell ref="WRG37:WRH37"/>
    <mergeCell ref="WRI37:WRJ37"/>
    <mergeCell ref="WQM37:WQN37"/>
    <mergeCell ref="WQO37:WQP37"/>
    <mergeCell ref="WQQ37:WQR37"/>
    <mergeCell ref="WQS37:WQT37"/>
    <mergeCell ref="WQU37:WQV37"/>
    <mergeCell ref="WQW37:WQX37"/>
    <mergeCell ref="WQA37:WQB37"/>
    <mergeCell ref="WQC37:WQD37"/>
    <mergeCell ref="WQE37:WQF37"/>
    <mergeCell ref="WQG37:WQH37"/>
    <mergeCell ref="WQI37:WQJ37"/>
    <mergeCell ref="WQK37:WQL37"/>
    <mergeCell ref="WPO37:WPP37"/>
    <mergeCell ref="WPQ37:WPR37"/>
    <mergeCell ref="WPS37:WPT37"/>
    <mergeCell ref="WPU37:WPV37"/>
    <mergeCell ref="WPW37:WPX37"/>
    <mergeCell ref="WPY37:WPZ37"/>
    <mergeCell ref="WUQ37:WUR37"/>
    <mergeCell ref="WUS37:WUT37"/>
    <mergeCell ref="WUU37:WUV37"/>
    <mergeCell ref="WUW37:WUX37"/>
    <mergeCell ref="WUY37:WUZ37"/>
    <mergeCell ref="WVA37:WVB37"/>
    <mergeCell ref="WUE37:WUF37"/>
    <mergeCell ref="WUG37:WUH37"/>
    <mergeCell ref="WUI37:WUJ37"/>
    <mergeCell ref="WUK37:WUL37"/>
    <mergeCell ref="WUM37:WUN37"/>
    <mergeCell ref="WUO37:WUP37"/>
    <mergeCell ref="WTS37:WTT37"/>
    <mergeCell ref="WTU37:WTV37"/>
    <mergeCell ref="WTW37:WTX37"/>
    <mergeCell ref="WTY37:WTZ37"/>
    <mergeCell ref="WUA37:WUB37"/>
    <mergeCell ref="WUC37:WUD37"/>
    <mergeCell ref="WTG37:WTH37"/>
    <mergeCell ref="WTI37:WTJ37"/>
    <mergeCell ref="WTK37:WTL37"/>
    <mergeCell ref="WTM37:WTN37"/>
    <mergeCell ref="WTO37:WTP37"/>
    <mergeCell ref="WTQ37:WTR37"/>
    <mergeCell ref="WSU37:WSV37"/>
    <mergeCell ref="WSW37:WSX37"/>
    <mergeCell ref="WSY37:WSZ37"/>
    <mergeCell ref="WTA37:WTB37"/>
    <mergeCell ref="WTC37:WTD37"/>
    <mergeCell ref="WTE37:WTF37"/>
    <mergeCell ref="WSI37:WSJ37"/>
    <mergeCell ref="WSK37:WSL37"/>
    <mergeCell ref="WSM37:WSN37"/>
    <mergeCell ref="WSO37:WSP37"/>
    <mergeCell ref="WSQ37:WSR37"/>
    <mergeCell ref="WSS37:WST37"/>
    <mergeCell ref="WXK37:WXL37"/>
    <mergeCell ref="WXM37:WXN37"/>
    <mergeCell ref="WXO37:WXP37"/>
    <mergeCell ref="WXQ37:WXR37"/>
    <mergeCell ref="WXS37:WXT37"/>
    <mergeCell ref="WXU37:WXV37"/>
    <mergeCell ref="WWY37:WWZ37"/>
    <mergeCell ref="WXA37:WXB37"/>
    <mergeCell ref="WXC37:WXD37"/>
    <mergeCell ref="WXE37:WXF37"/>
    <mergeCell ref="WXG37:WXH37"/>
    <mergeCell ref="WXI37:WXJ37"/>
    <mergeCell ref="WWM37:WWN37"/>
    <mergeCell ref="WWO37:WWP37"/>
    <mergeCell ref="WWQ37:WWR37"/>
    <mergeCell ref="WWS37:WWT37"/>
    <mergeCell ref="WWU37:WWV37"/>
    <mergeCell ref="WWW37:WWX37"/>
    <mergeCell ref="WWA37:WWB37"/>
    <mergeCell ref="WWC37:WWD37"/>
    <mergeCell ref="WWE37:WWF37"/>
    <mergeCell ref="WWG37:WWH37"/>
    <mergeCell ref="WWI37:WWJ37"/>
    <mergeCell ref="WWK37:WWL37"/>
    <mergeCell ref="WVO37:WVP37"/>
    <mergeCell ref="WVQ37:WVR37"/>
    <mergeCell ref="WVS37:WVT37"/>
    <mergeCell ref="WVU37:WVV37"/>
    <mergeCell ref="WVW37:WVX37"/>
    <mergeCell ref="WVY37:WVZ37"/>
    <mergeCell ref="WVC37:WVD37"/>
    <mergeCell ref="WVE37:WVF37"/>
    <mergeCell ref="WVG37:WVH37"/>
    <mergeCell ref="WVI37:WVJ37"/>
    <mergeCell ref="WVK37:WVL37"/>
    <mergeCell ref="WVM37:WVN37"/>
    <mergeCell ref="XAG37:XAH37"/>
    <mergeCell ref="XAI37:XAJ37"/>
    <mergeCell ref="XAK37:XAL37"/>
    <mergeCell ref="XAM37:XAN37"/>
    <mergeCell ref="XAO37:XAP37"/>
    <mergeCell ref="WZS37:WZT37"/>
    <mergeCell ref="WZU37:WZV37"/>
    <mergeCell ref="WZW37:WZX37"/>
    <mergeCell ref="WZY37:WZZ37"/>
    <mergeCell ref="XAA37:XAB37"/>
    <mergeCell ref="XAC37:XAD37"/>
    <mergeCell ref="WZG37:WZH37"/>
    <mergeCell ref="WZI37:WZJ37"/>
    <mergeCell ref="WZK37:WZL37"/>
    <mergeCell ref="WZM37:WZN37"/>
    <mergeCell ref="WZO37:WZP37"/>
    <mergeCell ref="WZQ37:WZR37"/>
    <mergeCell ref="WYU37:WYV37"/>
    <mergeCell ref="WYW37:WYX37"/>
    <mergeCell ref="WYY37:WYZ37"/>
    <mergeCell ref="WZA37:WZB37"/>
    <mergeCell ref="WZC37:WZD37"/>
    <mergeCell ref="WZE37:WZF37"/>
    <mergeCell ref="WYI37:WYJ37"/>
    <mergeCell ref="WYK37:WYL37"/>
    <mergeCell ref="WYM37:WYN37"/>
    <mergeCell ref="WYO37:WYP37"/>
    <mergeCell ref="WYQ37:WYR37"/>
    <mergeCell ref="WYS37:WYT37"/>
    <mergeCell ref="WXW37:WXX37"/>
    <mergeCell ref="WXY37:WXZ37"/>
    <mergeCell ref="WYA37:WYB37"/>
    <mergeCell ref="WYC37:WYD37"/>
    <mergeCell ref="WYE37:WYF37"/>
    <mergeCell ref="WYG37:WYH37"/>
    <mergeCell ref="XEU37:XEV37"/>
    <mergeCell ref="XEW37:XEX37"/>
    <mergeCell ref="XEY37:XEZ37"/>
    <mergeCell ref="XFA37:XFB37"/>
    <mergeCell ref="XFC37:XFD37"/>
    <mergeCell ref="XEI37:XEJ37"/>
    <mergeCell ref="XEK37:XEL37"/>
    <mergeCell ref="XEM37:XEN37"/>
    <mergeCell ref="XEO37:XEP37"/>
    <mergeCell ref="XEQ37:XER37"/>
    <mergeCell ref="XES37:XET37"/>
    <mergeCell ref="XDW37:XDX37"/>
    <mergeCell ref="XDY37:XDZ37"/>
    <mergeCell ref="XEA37:XEB37"/>
    <mergeCell ref="XEC37:XED37"/>
    <mergeCell ref="XEE37:XEF37"/>
    <mergeCell ref="XEG37:XEH37"/>
    <mergeCell ref="XDK37:XDL37"/>
    <mergeCell ref="XDM37:XDN37"/>
    <mergeCell ref="XDO37:XDP37"/>
    <mergeCell ref="XDQ37:XDR37"/>
    <mergeCell ref="XDS37:XDT37"/>
    <mergeCell ref="XDU37:XDV37"/>
    <mergeCell ref="XCY37:XCZ37"/>
    <mergeCell ref="XDA37:XDB37"/>
    <mergeCell ref="XDC37:XDD37"/>
    <mergeCell ref="XDE37:XDF37"/>
    <mergeCell ref="XDG37:XDH37"/>
    <mergeCell ref="XDI37:XDJ37"/>
    <mergeCell ref="XCM37:XCN37"/>
    <mergeCell ref="XCO37:XCP37"/>
    <mergeCell ref="XCQ37:XCR37"/>
    <mergeCell ref="XCS37:XCT37"/>
    <mergeCell ref="XCU37:XCV37"/>
    <mergeCell ref="XCW37:XCX37"/>
    <mergeCell ref="XCA37:XCB37"/>
    <mergeCell ref="XCC37:XCD37"/>
    <mergeCell ref="XCE37:XCF37"/>
    <mergeCell ref="XCG37:XCH37"/>
    <mergeCell ref="XCI37:XCJ37"/>
    <mergeCell ref="XCK37:XCL37"/>
    <mergeCell ref="XBO37:XBP37"/>
    <mergeCell ref="XBQ37:XBR37"/>
    <mergeCell ref="XBS37:XBT37"/>
    <mergeCell ref="XBU37:XBV37"/>
    <mergeCell ref="XBW37:XBX37"/>
    <mergeCell ref="XBY37:XBZ37"/>
    <mergeCell ref="XBC37:XBD37"/>
    <mergeCell ref="XBE37:XBF37"/>
    <mergeCell ref="XBG37:XBH37"/>
    <mergeCell ref="XBI37:XBJ37"/>
    <mergeCell ref="XBK37:XBL37"/>
    <mergeCell ref="XBM37:XBN37"/>
    <mergeCell ref="XAQ37:XAR37"/>
    <mergeCell ref="XAS37:XAT37"/>
    <mergeCell ref="XAU37:XAV37"/>
    <mergeCell ref="XAW37:XAX37"/>
    <mergeCell ref="XAY37:XAZ37"/>
    <mergeCell ref="XBA37:XBB37"/>
    <mergeCell ref="XAE37:XAF37"/>
    <mergeCell ref="EC39:ED39"/>
    <mergeCell ref="EE39:EF39"/>
    <mergeCell ref="EG39:EH39"/>
    <mergeCell ref="EI39:EJ39"/>
    <mergeCell ref="EK39:EL39"/>
    <mergeCell ref="EM39:EN39"/>
    <mergeCell ref="DQ39:DR39"/>
    <mergeCell ref="DS39:DT39"/>
    <mergeCell ref="DU39:DV39"/>
    <mergeCell ref="DW39:DX39"/>
    <mergeCell ref="DY39:DZ39"/>
    <mergeCell ref="EA39:EB39"/>
    <mergeCell ref="JQ39:JR39"/>
    <mergeCell ref="JS39:JT39"/>
    <mergeCell ref="JU39:JV39"/>
    <mergeCell ref="JW39:JX39"/>
    <mergeCell ref="JY39:JZ39"/>
    <mergeCell ref="KA39:KB39"/>
    <mergeCell ref="JE39:JF39"/>
    <mergeCell ref="JG39:JH39"/>
    <mergeCell ref="JI39:JJ39"/>
    <mergeCell ref="JK39:JL39"/>
    <mergeCell ref="JM39:JN39"/>
    <mergeCell ref="JO39:JP39"/>
    <mergeCell ref="IS39:IT39"/>
    <mergeCell ref="IU39:IV39"/>
    <mergeCell ref="IW39:IX39"/>
    <mergeCell ref="IY39:IZ39"/>
    <mergeCell ref="JA39:JB39"/>
    <mergeCell ref="JC39:JD39"/>
    <mergeCell ref="IG39:IH39"/>
    <mergeCell ref="II39:IJ39"/>
    <mergeCell ref="IK39:IL39"/>
    <mergeCell ref="IM39:IN39"/>
    <mergeCell ref="IO39:IP39"/>
    <mergeCell ref="IQ39:IR39"/>
    <mergeCell ref="HU39:HV39"/>
    <mergeCell ref="HW39:HX39"/>
    <mergeCell ref="HY39:HZ39"/>
    <mergeCell ref="CA39:CB39"/>
    <mergeCell ref="CC39:CD39"/>
    <mergeCell ref="CE39:CF39"/>
    <mergeCell ref="GW39:GX39"/>
    <mergeCell ref="GY39:GZ39"/>
    <mergeCell ref="HA39:HB39"/>
    <mergeCell ref="HC39:HD39"/>
    <mergeCell ref="HE39:HF39"/>
    <mergeCell ref="HG39:HH39"/>
    <mergeCell ref="GK39:GL39"/>
    <mergeCell ref="GM39:GN39"/>
    <mergeCell ref="GO39:GP39"/>
    <mergeCell ref="GQ39:GR39"/>
    <mergeCell ref="GS39:GT39"/>
    <mergeCell ref="GU39:GV39"/>
    <mergeCell ref="FY39:FZ39"/>
    <mergeCell ref="GA39:GB39"/>
    <mergeCell ref="GC39:GD39"/>
    <mergeCell ref="GE39:GF39"/>
    <mergeCell ref="GG39:GH39"/>
    <mergeCell ref="GI39:GJ39"/>
    <mergeCell ref="FM39:FN39"/>
    <mergeCell ref="FO39:FP39"/>
    <mergeCell ref="FQ39:FR39"/>
    <mergeCell ref="FS39:FT39"/>
    <mergeCell ref="FU39:FV39"/>
    <mergeCell ref="FW39:FX39"/>
    <mergeCell ref="FA39:FB39"/>
    <mergeCell ref="FC39:FD39"/>
    <mergeCell ref="FE39:FF39"/>
    <mergeCell ref="FG39:FH39"/>
    <mergeCell ref="FI39:FJ39"/>
    <mergeCell ref="FK39:FL39"/>
    <mergeCell ref="EO39:EP39"/>
    <mergeCell ref="EQ39:ER39"/>
    <mergeCell ref="ES39:ET39"/>
    <mergeCell ref="EU39:EV39"/>
    <mergeCell ref="EW39:EX39"/>
    <mergeCell ref="EY39:EZ39"/>
    <mergeCell ref="NU39:NV39"/>
    <mergeCell ref="NW39:NX39"/>
    <mergeCell ref="NY39:NZ39"/>
    <mergeCell ref="OA39:OB39"/>
    <mergeCell ref="OC39:OD39"/>
    <mergeCell ref="OE39:OF39"/>
    <mergeCell ref="NI39:NJ39"/>
    <mergeCell ref="NK39:NL39"/>
    <mergeCell ref="NM39:NN39"/>
    <mergeCell ref="NO39:NP39"/>
    <mergeCell ref="NQ39:NR39"/>
    <mergeCell ref="NS39:NT39"/>
    <mergeCell ref="MW39:MX39"/>
    <mergeCell ref="MY39:MZ39"/>
    <mergeCell ref="NA39:NB39"/>
    <mergeCell ref="NC39:ND39"/>
    <mergeCell ref="NE39:NF39"/>
    <mergeCell ref="NG39:NH39"/>
    <mergeCell ref="IA39:IB39"/>
    <mergeCell ref="IC39:ID39"/>
    <mergeCell ref="IE39:IF39"/>
    <mergeCell ref="HI39:HJ39"/>
    <mergeCell ref="HK39:HL39"/>
    <mergeCell ref="HM39:HN39"/>
    <mergeCell ref="HO39:HP39"/>
    <mergeCell ref="HQ39:HR39"/>
    <mergeCell ref="HS39:HT39"/>
    <mergeCell ref="MK39:ML39"/>
    <mergeCell ref="MM39:MN39"/>
    <mergeCell ref="MO39:MP39"/>
    <mergeCell ref="MQ39:MR39"/>
    <mergeCell ref="MS39:MT39"/>
    <mergeCell ref="MU39:MV39"/>
    <mergeCell ref="LY39:LZ39"/>
    <mergeCell ref="MA39:MB39"/>
    <mergeCell ref="MC39:MD39"/>
    <mergeCell ref="ME39:MF39"/>
    <mergeCell ref="MG39:MH39"/>
    <mergeCell ref="MI39:MJ39"/>
    <mergeCell ref="LM39:LN39"/>
    <mergeCell ref="LO39:LP39"/>
    <mergeCell ref="LQ39:LR39"/>
    <mergeCell ref="LS39:LT39"/>
    <mergeCell ref="LU39:LV39"/>
    <mergeCell ref="LW39:LX39"/>
    <mergeCell ref="LA39:LB39"/>
    <mergeCell ref="LC39:LD39"/>
    <mergeCell ref="LE39:LF39"/>
    <mergeCell ref="LG39:LH39"/>
    <mergeCell ref="LI39:LJ39"/>
    <mergeCell ref="LK39:LL39"/>
    <mergeCell ref="KO39:KP39"/>
    <mergeCell ref="KQ39:KR39"/>
    <mergeCell ref="KS39:KT39"/>
    <mergeCell ref="KU39:KV39"/>
    <mergeCell ref="KW39:KX39"/>
    <mergeCell ref="KY39:KZ39"/>
    <mergeCell ref="KC39:KD39"/>
    <mergeCell ref="KE39:KF39"/>
    <mergeCell ref="KG39:KH39"/>
    <mergeCell ref="KI39:KJ39"/>
    <mergeCell ref="KK39:KL39"/>
    <mergeCell ref="KM39:KN39"/>
    <mergeCell ref="QO39:QP39"/>
    <mergeCell ref="QQ39:QR39"/>
    <mergeCell ref="QS39:QT39"/>
    <mergeCell ref="QU39:QV39"/>
    <mergeCell ref="QW39:QX39"/>
    <mergeCell ref="QY39:QZ39"/>
    <mergeCell ref="QC39:QD39"/>
    <mergeCell ref="QE39:QF39"/>
    <mergeCell ref="QG39:QH39"/>
    <mergeCell ref="QI39:QJ39"/>
    <mergeCell ref="QK39:QL39"/>
    <mergeCell ref="QM39:QN39"/>
    <mergeCell ref="PQ39:PR39"/>
    <mergeCell ref="PS39:PT39"/>
    <mergeCell ref="PU39:PV39"/>
    <mergeCell ref="PW39:PX39"/>
    <mergeCell ref="PY39:PZ39"/>
    <mergeCell ref="QA39:QB39"/>
    <mergeCell ref="PE39:PF39"/>
    <mergeCell ref="PG39:PH39"/>
    <mergeCell ref="PI39:PJ39"/>
    <mergeCell ref="PK39:PL39"/>
    <mergeCell ref="PM39:PN39"/>
    <mergeCell ref="PO39:PP39"/>
    <mergeCell ref="OS39:OT39"/>
    <mergeCell ref="OU39:OV39"/>
    <mergeCell ref="OW39:OX39"/>
    <mergeCell ref="OY39:OZ39"/>
    <mergeCell ref="PA39:PB39"/>
    <mergeCell ref="PC39:PD39"/>
    <mergeCell ref="OG39:OH39"/>
    <mergeCell ref="OI39:OJ39"/>
    <mergeCell ref="OK39:OL39"/>
    <mergeCell ref="OM39:ON39"/>
    <mergeCell ref="OO39:OP39"/>
    <mergeCell ref="OQ39:OR39"/>
    <mergeCell ref="TI39:TJ39"/>
    <mergeCell ref="TK39:TL39"/>
    <mergeCell ref="TM39:TN39"/>
    <mergeCell ref="TO39:TP39"/>
    <mergeCell ref="TQ39:TR39"/>
    <mergeCell ref="TS39:TT39"/>
    <mergeCell ref="SW39:SX39"/>
    <mergeCell ref="SY39:SZ39"/>
    <mergeCell ref="TA39:TB39"/>
    <mergeCell ref="TC39:TD39"/>
    <mergeCell ref="TE39:TF39"/>
    <mergeCell ref="TG39:TH39"/>
    <mergeCell ref="SK39:SL39"/>
    <mergeCell ref="SM39:SN39"/>
    <mergeCell ref="SO39:SP39"/>
    <mergeCell ref="SQ39:SR39"/>
    <mergeCell ref="SS39:ST39"/>
    <mergeCell ref="SU39:SV39"/>
    <mergeCell ref="RY39:RZ39"/>
    <mergeCell ref="SA39:SB39"/>
    <mergeCell ref="SC39:SD39"/>
    <mergeCell ref="SE39:SF39"/>
    <mergeCell ref="SG39:SH39"/>
    <mergeCell ref="SI39:SJ39"/>
    <mergeCell ref="RM39:RN39"/>
    <mergeCell ref="RO39:RP39"/>
    <mergeCell ref="RQ39:RR39"/>
    <mergeCell ref="RS39:RT39"/>
    <mergeCell ref="RU39:RV39"/>
    <mergeCell ref="RW39:RX39"/>
    <mergeCell ref="RA39:RB39"/>
    <mergeCell ref="RC39:RD39"/>
    <mergeCell ref="RE39:RF39"/>
    <mergeCell ref="RG39:RH39"/>
    <mergeCell ref="RI39:RJ39"/>
    <mergeCell ref="RK39:RL39"/>
    <mergeCell ref="WC39:WD39"/>
    <mergeCell ref="WE39:WF39"/>
    <mergeCell ref="WG39:WH39"/>
    <mergeCell ref="WI39:WJ39"/>
    <mergeCell ref="WK39:WL39"/>
    <mergeCell ref="WM39:WN39"/>
    <mergeCell ref="VQ39:VR39"/>
    <mergeCell ref="VS39:VT39"/>
    <mergeCell ref="VU39:VV39"/>
    <mergeCell ref="VW39:VX39"/>
    <mergeCell ref="VY39:VZ39"/>
    <mergeCell ref="WA39:WB39"/>
    <mergeCell ref="VE39:VF39"/>
    <mergeCell ref="VG39:VH39"/>
    <mergeCell ref="VI39:VJ39"/>
    <mergeCell ref="VK39:VL39"/>
    <mergeCell ref="VM39:VN39"/>
    <mergeCell ref="VO39:VP39"/>
    <mergeCell ref="US39:UT39"/>
    <mergeCell ref="UU39:UV39"/>
    <mergeCell ref="UW39:UX39"/>
    <mergeCell ref="UY39:UZ39"/>
    <mergeCell ref="VA39:VB39"/>
    <mergeCell ref="VC39:VD39"/>
    <mergeCell ref="UG39:UH39"/>
    <mergeCell ref="UI39:UJ39"/>
    <mergeCell ref="UK39:UL39"/>
    <mergeCell ref="UM39:UN39"/>
    <mergeCell ref="UO39:UP39"/>
    <mergeCell ref="UQ39:UR39"/>
    <mergeCell ref="TU39:TV39"/>
    <mergeCell ref="TW39:TX39"/>
    <mergeCell ref="TY39:TZ39"/>
    <mergeCell ref="UA39:UB39"/>
    <mergeCell ref="UC39:UD39"/>
    <mergeCell ref="UE39:UF39"/>
    <mergeCell ref="YW39:YX39"/>
    <mergeCell ref="YY39:YZ39"/>
    <mergeCell ref="ZA39:ZB39"/>
    <mergeCell ref="ZC39:ZD39"/>
    <mergeCell ref="ZE39:ZF39"/>
    <mergeCell ref="ZG39:ZH39"/>
    <mergeCell ref="YK39:YL39"/>
    <mergeCell ref="YM39:YN39"/>
    <mergeCell ref="YO39:YP39"/>
    <mergeCell ref="YQ39:YR39"/>
    <mergeCell ref="YS39:YT39"/>
    <mergeCell ref="YU39:YV39"/>
    <mergeCell ref="XY39:XZ39"/>
    <mergeCell ref="YA39:YB39"/>
    <mergeCell ref="YC39:YD39"/>
    <mergeCell ref="YE39:YF39"/>
    <mergeCell ref="YG39:YH39"/>
    <mergeCell ref="YI39:YJ39"/>
    <mergeCell ref="XM39:XN39"/>
    <mergeCell ref="XO39:XP39"/>
    <mergeCell ref="XQ39:XR39"/>
    <mergeCell ref="XS39:XT39"/>
    <mergeCell ref="XU39:XV39"/>
    <mergeCell ref="XW39:XX39"/>
    <mergeCell ref="XA39:XB39"/>
    <mergeCell ref="XC39:XD39"/>
    <mergeCell ref="XE39:XF39"/>
    <mergeCell ref="XG39:XH39"/>
    <mergeCell ref="XI39:XJ39"/>
    <mergeCell ref="XK39:XL39"/>
    <mergeCell ref="WO39:WP39"/>
    <mergeCell ref="WQ39:WR39"/>
    <mergeCell ref="WS39:WT39"/>
    <mergeCell ref="WU39:WV39"/>
    <mergeCell ref="WW39:WX39"/>
    <mergeCell ref="WY39:WZ39"/>
    <mergeCell ref="ABQ39:ABR39"/>
    <mergeCell ref="ABS39:ABT39"/>
    <mergeCell ref="ABU39:ABV39"/>
    <mergeCell ref="ABW39:ABX39"/>
    <mergeCell ref="ABY39:ABZ39"/>
    <mergeCell ref="ACA39:ACB39"/>
    <mergeCell ref="ABE39:ABF39"/>
    <mergeCell ref="ABG39:ABH39"/>
    <mergeCell ref="ABI39:ABJ39"/>
    <mergeCell ref="ABK39:ABL39"/>
    <mergeCell ref="ABM39:ABN39"/>
    <mergeCell ref="ABO39:ABP39"/>
    <mergeCell ref="AAS39:AAT39"/>
    <mergeCell ref="AAU39:AAV39"/>
    <mergeCell ref="AAW39:AAX39"/>
    <mergeCell ref="AAY39:AAZ39"/>
    <mergeCell ref="ABA39:ABB39"/>
    <mergeCell ref="ABC39:ABD39"/>
    <mergeCell ref="AAG39:AAH39"/>
    <mergeCell ref="AAI39:AAJ39"/>
    <mergeCell ref="AAK39:AAL39"/>
    <mergeCell ref="AAM39:AAN39"/>
    <mergeCell ref="AAO39:AAP39"/>
    <mergeCell ref="AAQ39:AAR39"/>
    <mergeCell ref="ZU39:ZV39"/>
    <mergeCell ref="ZW39:ZX39"/>
    <mergeCell ref="ZY39:ZZ39"/>
    <mergeCell ref="AAA39:AAB39"/>
    <mergeCell ref="AAC39:AAD39"/>
    <mergeCell ref="AAE39:AAF39"/>
    <mergeCell ref="ZI39:ZJ39"/>
    <mergeCell ref="ZK39:ZL39"/>
    <mergeCell ref="ZM39:ZN39"/>
    <mergeCell ref="ZO39:ZP39"/>
    <mergeCell ref="ZQ39:ZR39"/>
    <mergeCell ref="ZS39:ZT39"/>
    <mergeCell ref="AEK39:AEL39"/>
    <mergeCell ref="AEM39:AEN39"/>
    <mergeCell ref="AEO39:AEP39"/>
    <mergeCell ref="AEQ39:AER39"/>
    <mergeCell ref="AES39:AET39"/>
    <mergeCell ref="AEU39:AEV39"/>
    <mergeCell ref="ADY39:ADZ39"/>
    <mergeCell ref="AEA39:AEB39"/>
    <mergeCell ref="AEC39:AED39"/>
    <mergeCell ref="AEE39:AEF39"/>
    <mergeCell ref="AEG39:AEH39"/>
    <mergeCell ref="AEI39:AEJ39"/>
    <mergeCell ref="ADM39:ADN39"/>
    <mergeCell ref="ADO39:ADP39"/>
    <mergeCell ref="ADQ39:ADR39"/>
    <mergeCell ref="ADS39:ADT39"/>
    <mergeCell ref="ADU39:ADV39"/>
    <mergeCell ref="ADW39:ADX39"/>
    <mergeCell ref="ADA39:ADB39"/>
    <mergeCell ref="ADC39:ADD39"/>
    <mergeCell ref="ADE39:ADF39"/>
    <mergeCell ref="ADG39:ADH39"/>
    <mergeCell ref="ADI39:ADJ39"/>
    <mergeCell ref="ADK39:ADL39"/>
    <mergeCell ref="ACO39:ACP39"/>
    <mergeCell ref="ACQ39:ACR39"/>
    <mergeCell ref="ACS39:ACT39"/>
    <mergeCell ref="ACU39:ACV39"/>
    <mergeCell ref="ACW39:ACX39"/>
    <mergeCell ref="ACY39:ACZ39"/>
    <mergeCell ref="ACC39:ACD39"/>
    <mergeCell ref="ACE39:ACF39"/>
    <mergeCell ref="ACG39:ACH39"/>
    <mergeCell ref="ACI39:ACJ39"/>
    <mergeCell ref="ACK39:ACL39"/>
    <mergeCell ref="ACM39:ACN39"/>
    <mergeCell ref="AHE39:AHF39"/>
    <mergeCell ref="AHG39:AHH39"/>
    <mergeCell ref="AHI39:AHJ39"/>
    <mergeCell ref="AHK39:AHL39"/>
    <mergeCell ref="AHM39:AHN39"/>
    <mergeCell ref="AHO39:AHP39"/>
    <mergeCell ref="AGS39:AGT39"/>
    <mergeCell ref="AGU39:AGV39"/>
    <mergeCell ref="AGW39:AGX39"/>
    <mergeCell ref="AGY39:AGZ39"/>
    <mergeCell ref="AHA39:AHB39"/>
    <mergeCell ref="AHC39:AHD39"/>
    <mergeCell ref="AGG39:AGH39"/>
    <mergeCell ref="AGI39:AGJ39"/>
    <mergeCell ref="AGK39:AGL39"/>
    <mergeCell ref="AGM39:AGN39"/>
    <mergeCell ref="AGO39:AGP39"/>
    <mergeCell ref="AGQ39:AGR39"/>
    <mergeCell ref="AFU39:AFV39"/>
    <mergeCell ref="AFW39:AFX39"/>
    <mergeCell ref="AFY39:AFZ39"/>
    <mergeCell ref="AGA39:AGB39"/>
    <mergeCell ref="AGC39:AGD39"/>
    <mergeCell ref="AGE39:AGF39"/>
    <mergeCell ref="AFI39:AFJ39"/>
    <mergeCell ref="AFK39:AFL39"/>
    <mergeCell ref="AFM39:AFN39"/>
    <mergeCell ref="AFO39:AFP39"/>
    <mergeCell ref="AFQ39:AFR39"/>
    <mergeCell ref="AFS39:AFT39"/>
    <mergeCell ref="AEW39:AEX39"/>
    <mergeCell ref="AEY39:AEZ39"/>
    <mergeCell ref="AFA39:AFB39"/>
    <mergeCell ref="AFC39:AFD39"/>
    <mergeCell ref="AFE39:AFF39"/>
    <mergeCell ref="AFG39:AFH39"/>
    <mergeCell ref="AJY39:AJZ39"/>
    <mergeCell ref="AKA39:AKB39"/>
    <mergeCell ref="AKC39:AKD39"/>
    <mergeCell ref="AKE39:AKF39"/>
    <mergeCell ref="AKG39:AKH39"/>
    <mergeCell ref="AKI39:AKJ39"/>
    <mergeCell ref="AJM39:AJN39"/>
    <mergeCell ref="AJO39:AJP39"/>
    <mergeCell ref="AJQ39:AJR39"/>
    <mergeCell ref="AJS39:AJT39"/>
    <mergeCell ref="AJU39:AJV39"/>
    <mergeCell ref="AJW39:AJX39"/>
    <mergeCell ref="AJA39:AJB39"/>
    <mergeCell ref="AJC39:AJD39"/>
    <mergeCell ref="AJE39:AJF39"/>
    <mergeCell ref="AJG39:AJH39"/>
    <mergeCell ref="AJI39:AJJ39"/>
    <mergeCell ref="AJK39:AJL39"/>
    <mergeCell ref="AIO39:AIP39"/>
    <mergeCell ref="AIQ39:AIR39"/>
    <mergeCell ref="AIS39:AIT39"/>
    <mergeCell ref="AIU39:AIV39"/>
    <mergeCell ref="AIW39:AIX39"/>
    <mergeCell ref="AIY39:AIZ39"/>
    <mergeCell ref="AIC39:AID39"/>
    <mergeCell ref="AIE39:AIF39"/>
    <mergeCell ref="AIG39:AIH39"/>
    <mergeCell ref="AII39:AIJ39"/>
    <mergeCell ref="AIK39:AIL39"/>
    <mergeCell ref="AIM39:AIN39"/>
    <mergeCell ref="AHQ39:AHR39"/>
    <mergeCell ref="AHS39:AHT39"/>
    <mergeCell ref="AHU39:AHV39"/>
    <mergeCell ref="AHW39:AHX39"/>
    <mergeCell ref="AHY39:AHZ39"/>
    <mergeCell ref="AIA39:AIB39"/>
    <mergeCell ref="AMS39:AMT39"/>
    <mergeCell ref="AMU39:AMV39"/>
    <mergeCell ref="AMW39:AMX39"/>
    <mergeCell ref="AMY39:AMZ39"/>
    <mergeCell ref="ANA39:ANB39"/>
    <mergeCell ref="ANC39:AND39"/>
    <mergeCell ref="AMG39:AMH39"/>
    <mergeCell ref="AMI39:AMJ39"/>
    <mergeCell ref="AMK39:AML39"/>
    <mergeCell ref="AMM39:AMN39"/>
    <mergeCell ref="AMO39:AMP39"/>
    <mergeCell ref="AMQ39:AMR39"/>
    <mergeCell ref="ALU39:ALV39"/>
    <mergeCell ref="ALW39:ALX39"/>
    <mergeCell ref="ALY39:ALZ39"/>
    <mergeCell ref="AMA39:AMB39"/>
    <mergeCell ref="AMC39:AMD39"/>
    <mergeCell ref="AME39:AMF39"/>
    <mergeCell ref="ALI39:ALJ39"/>
    <mergeCell ref="ALK39:ALL39"/>
    <mergeCell ref="ALM39:ALN39"/>
    <mergeCell ref="ALO39:ALP39"/>
    <mergeCell ref="ALQ39:ALR39"/>
    <mergeCell ref="ALS39:ALT39"/>
    <mergeCell ref="AKW39:AKX39"/>
    <mergeCell ref="AKY39:AKZ39"/>
    <mergeCell ref="ALA39:ALB39"/>
    <mergeCell ref="ALC39:ALD39"/>
    <mergeCell ref="ALE39:ALF39"/>
    <mergeCell ref="ALG39:ALH39"/>
    <mergeCell ref="AKK39:AKL39"/>
    <mergeCell ref="AKM39:AKN39"/>
    <mergeCell ref="AKO39:AKP39"/>
    <mergeCell ref="AKQ39:AKR39"/>
    <mergeCell ref="AKS39:AKT39"/>
    <mergeCell ref="AKU39:AKV39"/>
    <mergeCell ref="APM39:APN39"/>
    <mergeCell ref="APO39:APP39"/>
    <mergeCell ref="APQ39:APR39"/>
    <mergeCell ref="APS39:APT39"/>
    <mergeCell ref="APU39:APV39"/>
    <mergeCell ref="APW39:APX39"/>
    <mergeCell ref="APA39:APB39"/>
    <mergeCell ref="APC39:APD39"/>
    <mergeCell ref="APE39:APF39"/>
    <mergeCell ref="APG39:APH39"/>
    <mergeCell ref="API39:APJ39"/>
    <mergeCell ref="APK39:APL39"/>
    <mergeCell ref="AOO39:AOP39"/>
    <mergeCell ref="AOQ39:AOR39"/>
    <mergeCell ref="AOS39:AOT39"/>
    <mergeCell ref="AOU39:AOV39"/>
    <mergeCell ref="AOW39:AOX39"/>
    <mergeCell ref="AOY39:AOZ39"/>
    <mergeCell ref="AOC39:AOD39"/>
    <mergeCell ref="AOE39:AOF39"/>
    <mergeCell ref="AOG39:AOH39"/>
    <mergeCell ref="AOI39:AOJ39"/>
    <mergeCell ref="AOK39:AOL39"/>
    <mergeCell ref="AOM39:AON39"/>
    <mergeCell ref="ANQ39:ANR39"/>
    <mergeCell ref="ANS39:ANT39"/>
    <mergeCell ref="ANU39:ANV39"/>
    <mergeCell ref="ANW39:ANX39"/>
    <mergeCell ref="ANY39:ANZ39"/>
    <mergeCell ref="AOA39:AOB39"/>
    <mergeCell ref="ANE39:ANF39"/>
    <mergeCell ref="ANG39:ANH39"/>
    <mergeCell ref="ANI39:ANJ39"/>
    <mergeCell ref="ANK39:ANL39"/>
    <mergeCell ref="ANM39:ANN39"/>
    <mergeCell ref="ANO39:ANP39"/>
    <mergeCell ref="ASG39:ASH39"/>
    <mergeCell ref="ASI39:ASJ39"/>
    <mergeCell ref="ASK39:ASL39"/>
    <mergeCell ref="ASM39:ASN39"/>
    <mergeCell ref="ASO39:ASP39"/>
    <mergeCell ref="ASQ39:ASR39"/>
    <mergeCell ref="ARU39:ARV39"/>
    <mergeCell ref="ARW39:ARX39"/>
    <mergeCell ref="ARY39:ARZ39"/>
    <mergeCell ref="ASA39:ASB39"/>
    <mergeCell ref="ASC39:ASD39"/>
    <mergeCell ref="ASE39:ASF39"/>
    <mergeCell ref="ARI39:ARJ39"/>
    <mergeCell ref="ARK39:ARL39"/>
    <mergeCell ref="ARM39:ARN39"/>
    <mergeCell ref="ARO39:ARP39"/>
    <mergeCell ref="ARQ39:ARR39"/>
    <mergeCell ref="ARS39:ART39"/>
    <mergeCell ref="AQW39:AQX39"/>
    <mergeCell ref="AQY39:AQZ39"/>
    <mergeCell ref="ARA39:ARB39"/>
    <mergeCell ref="ARC39:ARD39"/>
    <mergeCell ref="ARE39:ARF39"/>
    <mergeCell ref="ARG39:ARH39"/>
    <mergeCell ref="AQK39:AQL39"/>
    <mergeCell ref="AQM39:AQN39"/>
    <mergeCell ref="AQO39:AQP39"/>
    <mergeCell ref="AQQ39:AQR39"/>
    <mergeCell ref="AQS39:AQT39"/>
    <mergeCell ref="AQU39:AQV39"/>
    <mergeCell ref="APY39:APZ39"/>
    <mergeCell ref="AQA39:AQB39"/>
    <mergeCell ref="AQC39:AQD39"/>
    <mergeCell ref="AQE39:AQF39"/>
    <mergeCell ref="AQG39:AQH39"/>
    <mergeCell ref="AQI39:AQJ39"/>
    <mergeCell ref="AVA39:AVB39"/>
    <mergeCell ref="AVC39:AVD39"/>
    <mergeCell ref="AVE39:AVF39"/>
    <mergeCell ref="AVG39:AVH39"/>
    <mergeCell ref="AVI39:AVJ39"/>
    <mergeCell ref="AVK39:AVL39"/>
    <mergeCell ref="AUO39:AUP39"/>
    <mergeCell ref="AUQ39:AUR39"/>
    <mergeCell ref="AUS39:AUT39"/>
    <mergeCell ref="AUU39:AUV39"/>
    <mergeCell ref="AUW39:AUX39"/>
    <mergeCell ref="AUY39:AUZ39"/>
    <mergeCell ref="AUC39:AUD39"/>
    <mergeCell ref="AUE39:AUF39"/>
    <mergeCell ref="AUG39:AUH39"/>
    <mergeCell ref="AUI39:AUJ39"/>
    <mergeCell ref="AUK39:AUL39"/>
    <mergeCell ref="AUM39:AUN39"/>
    <mergeCell ref="ATQ39:ATR39"/>
    <mergeCell ref="ATS39:ATT39"/>
    <mergeCell ref="ATU39:ATV39"/>
    <mergeCell ref="ATW39:ATX39"/>
    <mergeCell ref="ATY39:ATZ39"/>
    <mergeCell ref="AUA39:AUB39"/>
    <mergeCell ref="ATE39:ATF39"/>
    <mergeCell ref="ATG39:ATH39"/>
    <mergeCell ref="ATI39:ATJ39"/>
    <mergeCell ref="ATK39:ATL39"/>
    <mergeCell ref="ATM39:ATN39"/>
    <mergeCell ref="ATO39:ATP39"/>
    <mergeCell ref="ASS39:AST39"/>
    <mergeCell ref="ASU39:ASV39"/>
    <mergeCell ref="ASW39:ASX39"/>
    <mergeCell ref="ASY39:ASZ39"/>
    <mergeCell ref="ATA39:ATB39"/>
    <mergeCell ref="ATC39:ATD39"/>
    <mergeCell ref="AXU39:AXV39"/>
    <mergeCell ref="AXW39:AXX39"/>
    <mergeCell ref="AXY39:AXZ39"/>
    <mergeCell ref="AYA39:AYB39"/>
    <mergeCell ref="AYC39:AYD39"/>
    <mergeCell ref="AYE39:AYF39"/>
    <mergeCell ref="AXI39:AXJ39"/>
    <mergeCell ref="AXK39:AXL39"/>
    <mergeCell ref="AXM39:AXN39"/>
    <mergeCell ref="AXO39:AXP39"/>
    <mergeCell ref="AXQ39:AXR39"/>
    <mergeCell ref="AXS39:AXT39"/>
    <mergeCell ref="AWW39:AWX39"/>
    <mergeCell ref="AWY39:AWZ39"/>
    <mergeCell ref="AXA39:AXB39"/>
    <mergeCell ref="AXC39:AXD39"/>
    <mergeCell ref="AXE39:AXF39"/>
    <mergeCell ref="AXG39:AXH39"/>
    <mergeCell ref="AWK39:AWL39"/>
    <mergeCell ref="AWM39:AWN39"/>
    <mergeCell ref="AWO39:AWP39"/>
    <mergeCell ref="AWQ39:AWR39"/>
    <mergeCell ref="AWS39:AWT39"/>
    <mergeCell ref="AWU39:AWV39"/>
    <mergeCell ref="AVY39:AVZ39"/>
    <mergeCell ref="AWA39:AWB39"/>
    <mergeCell ref="AWC39:AWD39"/>
    <mergeCell ref="AWE39:AWF39"/>
    <mergeCell ref="AWG39:AWH39"/>
    <mergeCell ref="AWI39:AWJ39"/>
    <mergeCell ref="AVM39:AVN39"/>
    <mergeCell ref="AVO39:AVP39"/>
    <mergeCell ref="AVQ39:AVR39"/>
    <mergeCell ref="AVS39:AVT39"/>
    <mergeCell ref="AVU39:AVV39"/>
    <mergeCell ref="AVW39:AVX39"/>
    <mergeCell ref="BAO39:BAP39"/>
    <mergeCell ref="BAQ39:BAR39"/>
    <mergeCell ref="BAS39:BAT39"/>
    <mergeCell ref="BAU39:BAV39"/>
    <mergeCell ref="BAW39:BAX39"/>
    <mergeCell ref="BAY39:BAZ39"/>
    <mergeCell ref="BAC39:BAD39"/>
    <mergeCell ref="BAE39:BAF39"/>
    <mergeCell ref="BAG39:BAH39"/>
    <mergeCell ref="BAI39:BAJ39"/>
    <mergeCell ref="BAK39:BAL39"/>
    <mergeCell ref="BAM39:BAN39"/>
    <mergeCell ref="AZQ39:AZR39"/>
    <mergeCell ref="AZS39:AZT39"/>
    <mergeCell ref="AZU39:AZV39"/>
    <mergeCell ref="AZW39:AZX39"/>
    <mergeCell ref="AZY39:AZZ39"/>
    <mergeCell ref="BAA39:BAB39"/>
    <mergeCell ref="AZE39:AZF39"/>
    <mergeCell ref="AZG39:AZH39"/>
    <mergeCell ref="AZI39:AZJ39"/>
    <mergeCell ref="AZK39:AZL39"/>
    <mergeCell ref="AZM39:AZN39"/>
    <mergeCell ref="AZO39:AZP39"/>
    <mergeCell ref="AYS39:AYT39"/>
    <mergeCell ref="AYU39:AYV39"/>
    <mergeCell ref="AYW39:AYX39"/>
    <mergeCell ref="AYY39:AYZ39"/>
    <mergeCell ref="AZA39:AZB39"/>
    <mergeCell ref="AZC39:AZD39"/>
    <mergeCell ref="AYG39:AYH39"/>
    <mergeCell ref="AYI39:AYJ39"/>
    <mergeCell ref="AYK39:AYL39"/>
    <mergeCell ref="AYM39:AYN39"/>
    <mergeCell ref="AYO39:AYP39"/>
    <mergeCell ref="AYQ39:AYR39"/>
    <mergeCell ref="BDI39:BDJ39"/>
    <mergeCell ref="BDK39:BDL39"/>
    <mergeCell ref="BDM39:BDN39"/>
    <mergeCell ref="BDO39:BDP39"/>
    <mergeCell ref="BDQ39:BDR39"/>
    <mergeCell ref="BDS39:BDT39"/>
    <mergeCell ref="BCW39:BCX39"/>
    <mergeCell ref="BCY39:BCZ39"/>
    <mergeCell ref="BDA39:BDB39"/>
    <mergeCell ref="BDC39:BDD39"/>
    <mergeCell ref="BDE39:BDF39"/>
    <mergeCell ref="BDG39:BDH39"/>
    <mergeCell ref="BCK39:BCL39"/>
    <mergeCell ref="BCM39:BCN39"/>
    <mergeCell ref="BCO39:BCP39"/>
    <mergeCell ref="BCQ39:BCR39"/>
    <mergeCell ref="BCS39:BCT39"/>
    <mergeCell ref="BCU39:BCV39"/>
    <mergeCell ref="BBY39:BBZ39"/>
    <mergeCell ref="BCA39:BCB39"/>
    <mergeCell ref="BCC39:BCD39"/>
    <mergeCell ref="BCE39:BCF39"/>
    <mergeCell ref="BCG39:BCH39"/>
    <mergeCell ref="BCI39:BCJ39"/>
    <mergeCell ref="BBM39:BBN39"/>
    <mergeCell ref="BBO39:BBP39"/>
    <mergeCell ref="BBQ39:BBR39"/>
    <mergeCell ref="BBS39:BBT39"/>
    <mergeCell ref="BBU39:BBV39"/>
    <mergeCell ref="BBW39:BBX39"/>
    <mergeCell ref="BBA39:BBB39"/>
    <mergeCell ref="BBC39:BBD39"/>
    <mergeCell ref="BBE39:BBF39"/>
    <mergeCell ref="BBG39:BBH39"/>
    <mergeCell ref="BBI39:BBJ39"/>
    <mergeCell ref="BBK39:BBL39"/>
    <mergeCell ref="BGC39:BGD39"/>
    <mergeCell ref="BGE39:BGF39"/>
    <mergeCell ref="BGG39:BGH39"/>
    <mergeCell ref="BGI39:BGJ39"/>
    <mergeCell ref="BGK39:BGL39"/>
    <mergeCell ref="BGM39:BGN39"/>
    <mergeCell ref="BFQ39:BFR39"/>
    <mergeCell ref="BFS39:BFT39"/>
    <mergeCell ref="BFU39:BFV39"/>
    <mergeCell ref="BFW39:BFX39"/>
    <mergeCell ref="BFY39:BFZ39"/>
    <mergeCell ref="BGA39:BGB39"/>
    <mergeCell ref="BFE39:BFF39"/>
    <mergeCell ref="BFG39:BFH39"/>
    <mergeCell ref="BFI39:BFJ39"/>
    <mergeCell ref="BFK39:BFL39"/>
    <mergeCell ref="BFM39:BFN39"/>
    <mergeCell ref="BFO39:BFP39"/>
    <mergeCell ref="BES39:BET39"/>
    <mergeCell ref="BEU39:BEV39"/>
    <mergeCell ref="BEW39:BEX39"/>
    <mergeCell ref="BEY39:BEZ39"/>
    <mergeCell ref="BFA39:BFB39"/>
    <mergeCell ref="BFC39:BFD39"/>
    <mergeCell ref="BEG39:BEH39"/>
    <mergeCell ref="BEI39:BEJ39"/>
    <mergeCell ref="BEK39:BEL39"/>
    <mergeCell ref="BEM39:BEN39"/>
    <mergeCell ref="BEO39:BEP39"/>
    <mergeCell ref="BEQ39:BER39"/>
    <mergeCell ref="BDU39:BDV39"/>
    <mergeCell ref="BDW39:BDX39"/>
    <mergeCell ref="BDY39:BDZ39"/>
    <mergeCell ref="BEA39:BEB39"/>
    <mergeCell ref="BEC39:BED39"/>
    <mergeCell ref="BEE39:BEF39"/>
    <mergeCell ref="BIW39:BIX39"/>
    <mergeCell ref="BIY39:BIZ39"/>
    <mergeCell ref="BJA39:BJB39"/>
    <mergeCell ref="BJC39:BJD39"/>
    <mergeCell ref="BJE39:BJF39"/>
    <mergeCell ref="BJG39:BJH39"/>
    <mergeCell ref="BIK39:BIL39"/>
    <mergeCell ref="BIM39:BIN39"/>
    <mergeCell ref="BIO39:BIP39"/>
    <mergeCell ref="BIQ39:BIR39"/>
    <mergeCell ref="BIS39:BIT39"/>
    <mergeCell ref="BIU39:BIV39"/>
    <mergeCell ref="BHY39:BHZ39"/>
    <mergeCell ref="BIA39:BIB39"/>
    <mergeCell ref="BIC39:BID39"/>
    <mergeCell ref="BIE39:BIF39"/>
    <mergeCell ref="BIG39:BIH39"/>
    <mergeCell ref="BII39:BIJ39"/>
    <mergeCell ref="BHM39:BHN39"/>
    <mergeCell ref="BHO39:BHP39"/>
    <mergeCell ref="BHQ39:BHR39"/>
    <mergeCell ref="BHS39:BHT39"/>
    <mergeCell ref="BHU39:BHV39"/>
    <mergeCell ref="BHW39:BHX39"/>
    <mergeCell ref="BHA39:BHB39"/>
    <mergeCell ref="BHC39:BHD39"/>
    <mergeCell ref="BHE39:BHF39"/>
    <mergeCell ref="BHG39:BHH39"/>
    <mergeCell ref="BHI39:BHJ39"/>
    <mergeCell ref="BHK39:BHL39"/>
    <mergeCell ref="BGO39:BGP39"/>
    <mergeCell ref="BGQ39:BGR39"/>
    <mergeCell ref="BGS39:BGT39"/>
    <mergeCell ref="BGU39:BGV39"/>
    <mergeCell ref="BGW39:BGX39"/>
    <mergeCell ref="BGY39:BGZ39"/>
    <mergeCell ref="BLQ39:BLR39"/>
    <mergeCell ref="BLS39:BLT39"/>
    <mergeCell ref="BLU39:BLV39"/>
    <mergeCell ref="BLW39:BLX39"/>
    <mergeCell ref="BLY39:BLZ39"/>
    <mergeCell ref="BMA39:BMB39"/>
    <mergeCell ref="BLE39:BLF39"/>
    <mergeCell ref="BLG39:BLH39"/>
    <mergeCell ref="BLI39:BLJ39"/>
    <mergeCell ref="BLK39:BLL39"/>
    <mergeCell ref="BLM39:BLN39"/>
    <mergeCell ref="BLO39:BLP39"/>
    <mergeCell ref="BKS39:BKT39"/>
    <mergeCell ref="BKU39:BKV39"/>
    <mergeCell ref="BKW39:BKX39"/>
    <mergeCell ref="BKY39:BKZ39"/>
    <mergeCell ref="BLA39:BLB39"/>
    <mergeCell ref="BLC39:BLD39"/>
    <mergeCell ref="BKG39:BKH39"/>
    <mergeCell ref="BKI39:BKJ39"/>
    <mergeCell ref="BKK39:BKL39"/>
    <mergeCell ref="BKM39:BKN39"/>
    <mergeCell ref="BKO39:BKP39"/>
    <mergeCell ref="BKQ39:BKR39"/>
    <mergeCell ref="BJU39:BJV39"/>
    <mergeCell ref="BJW39:BJX39"/>
    <mergeCell ref="BJY39:BJZ39"/>
    <mergeCell ref="BKA39:BKB39"/>
    <mergeCell ref="BKC39:BKD39"/>
    <mergeCell ref="BKE39:BKF39"/>
    <mergeCell ref="BJI39:BJJ39"/>
    <mergeCell ref="BJK39:BJL39"/>
    <mergeCell ref="BJM39:BJN39"/>
    <mergeCell ref="BJO39:BJP39"/>
    <mergeCell ref="BJQ39:BJR39"/>
    <mergeCell ref="BJS39:BJT39"/>
    <mergeCell ref="BOK39:BOL39"/>
    <mergeCell ref="BOM39:BON39"/>
    <mergeCell ref="BOO39:BOP39"/>
    <mergeCell ref="BOQ39:BOR39"/>
    <mergeCell ref="BOS39:BOT39"/>
    <mergeCell ref="BOU39:BOV39"/>
    <mergeCell ref="BNY39:BNZ39"/>
    <mergeCell ref="BOA39:BOB39"/>
    <mergeCell ref="BOC39:BOD39"/>
    <mergeCell ref="BOE39:BOF39"/>
    <mergeCell ref="BOG39:BOH39"/>
    <mergeCell ref="BOI39:BOJ39"/>
    <mergeCell ref="BNM39:BNN39"/>
    <mergeCell ref="BNO39:BNP39"/>
    <mergeCell ref="BNQ39:BNR39"/>
    <mergeCell ref="BNS39:BNT39"/>
    <mergeCell ref="BNU39:BNV39"/>
    <mergeCell ref="BNW39:BNX39"/>
    <mergeCell ref="BNA39:BNB39"/>
    <mergeCell ref="BNC39:BND39"/>
    <mergeCell ref="BNE39:BNF39"/>
    <mergeCell ref="BNG39:BNH39"/>
    <mergeCell ref="BNI39:BNJ39"/>
    <mergeCell ref="BNK39:BNL39"/>
    <mergeCell ref="BMO39:BMP39"/>
    <mergeCell ref="BMQ39:BMR39"/>
    <mergeCell ref="BMS39:BMT39"/>
    <mergeCell ref="BMU39:BMV39"/>
    <mergeCell ref="BMW39:BMX39"/>
    <mergeCell ref="BMY39:BMZ39"/>
    <mergeCell ref="BMC39:BMD39"/>
    <mergeCell ref="BME39:BMF39"/>
    <mergeCell ref="BMG39:BMH39"/>
    <mergeCell ref="BMI39:BMJ39"/>
    <mergeCell ref="BMK39:BML39"/>
    <mergeCell ref="BMM39:BMN39"/>
    <mergeCell ref="BRE39:BRF39"/>
    <mergeCell ref="BRG39:BRH39"/>
    <mergeCell ref="BRI39:BRJ39"/>
    <mergeCell ref="BRK39:BRL39"/>
    <mergeCell ref="BRM39:BRN39"/>
    <mergeCell ref="BRO39:BRP39"/>
    <mergeCell ref="BQS39:BQT39"/>
    <mergeCell ref="BQU39:BQV39"/>
    <mergeCell ref="BQW39:BQX39"/>
    <mergeCell ref="BQY39:BQZ39"/>
    <mergeCell ref="BRA39:BRB39"/>
    <mergeCell ref="BRC39:BRD39"/>
    <mergeCell ref="BQG39:BQH39"/>
    <mergeCell ref="BQI39:BQJ39"/>
    <mergeCell ref="BQK39:BQL39"/>
    <mergeCell ref="BQM39:BQN39"/>
    <mergeCell ref="BQO39:BQP39"/>
    <mergeCell ref="BQQ39:BQR39"/>
    <mergeCell ref="BPU39:BPV39"/>
    <mergeCell ref="BPW39:BPX39"/>
    <mergeCell ref="BPY39:BPZ39"/>
    <mergeCell ref="BQA39:BQB39"/>
    <mergeCell ref="BQC39:BQD39"/>
    <mergeCell ref="BQE39:BQF39"/>
    <mergeCell ref="BPI39:BPJ39"/>
    <mergeCell ref="BPK39:BPL39"/>
    <mergeCell ref="BPM39:BPN39"/>
    <mergeCell ref="BPO39:BPP39"/>
    <mergeCell ref="BPQ39:BPR39"/>
    <mergeCell ref="BPS39:BPT39"/>
    <mergeCell ref="BOW39:BOX39"/>
    <mergeCell ref="BOY39:BOZ39"/>
    <mergeCell ref="BPA39:BPB39"/>
    <mergeCell ref="BPC39:BPD39"/>
    <mergeCell ref="BPE39:BPF39"/>
    <mergeCell ref="BPG39:BPH39"/>
    <mergeCell ref="BTY39:BTZ39"/>
    <mergeCell ref="BUA39:BUB39"/>
    <mergeCell ref="BUC39:BUD39"/>
    <mergeCell ref="BUE39:BUF39"/>
    <mergeCell ref="BUG39:BUH39"/>
    <mergeCell ref="BUI39:BUJ39"/>
    <mergeCell ref="BTM39:BTN39"/>
    <mergeCell ref="BTO39:BTP39"/>
    <mergeCell ref="BTQ39:BTR39"/>
    <mergeCell ref="BTS39:BTT39"/>
    <mergeCell ref="BTU39:BTV39"/>
    <mergeCell ref="BTW39:BTX39"/>
    <mergeCell ref="BTA39:BTB39"/>
    <mergeCell ref="BTC39:BTD39"/>
    <mergeCell ref="BTE39:BTF39"/>
    <mergeCell ref="BTG39:BTH39"/>
    <mergeCell ref="BTI39:BTJ39"/>
    <mergeCell ref="BTK39:BTL39"/>
    <mergeCell ref="BSO39:BSP39"/>
    <mergeCell ref="BSQ39:BSR39"/>
    <mergeCell ref="BSS39:BST39"/>
    <mergeCell ref="BSU39:BSV39"/>
    <mergeCell ref="BSW39:BSX39"/>
    <mergeCell ref="BSY39:BSZ39"/>
    <mergeCell ref="BSC39:BSD39"/>
    <mergeCell ref="BSE39:BSF39"/>
    <mergeCell ref="BSG39:BSH39"/>
    <mergeCell ref="BSI39:BSJ39"/>
    <mergeCell ref="BSK39:BSL39"/>
    <mergeCell ref="BSM39:BSN39"/>
    <mergeCell ref="BRQ39:BRR39"/>
    <mergeCell ref="BRS39:BRT39"/>
    <mergeCell ref="BRU39:BRV39"/>
    <mergeCell ref="BRW39:BRX39"/>
    <mergeCell ref="BRY39:BRZ39"/>
    <mergeCell ref="BSA39:BSB39"/>
    <mergeCell ref="BWS39:BWT39"/>
    <mergeCell ref="BWU39:BWV39"/>
    <mergeCell ref="BWW39:BWX39"/>
    <mergeCell ref="BWY39:BWZ39"/>
    <mergeCell ref="BXA39:BXB39"/>
    <mergeCell ref="BXC39:BXD39"/>
    <mergeCell ref="BWG39:BWH39"/>
    <mergeCell ref="BWI39:BWJ39"/>
    <mergeCell ref="BWK39:BWL39"/>
    <mergeCell ref="BWM39:BWN39"/>
    <mergeCell ref="BWO39:BWP39"/>
    <mergeCell ref="BWQ39:BWR39"/>
    <mergeCell ref="BVU39:BVV39"/>
    <mergeCell ref="BVW39:BVX39"/>
    <mergeCell ref="BVY39:BVZ39"/>
    <mergeCell ref="BWA39:BWB39"/>
    <mergeCell ref="BWC39:BWD39"/>
    <mergeCell ref="BWE39:BWF39"/>
    <mergeCell ref="BVI39:BVJ39"/>
    <mergeCell ref="BVK39:BVL39"/>
    <mergeCell ref="BVM39:BVN39"/>
    <mergeCell ref="BVO39:BVP39"/>
    <mergeCell ref="BVQ39:BVR39"/>
    <mergeCell ref="BVS39:BVT39"/>
    <mergeCell ref="BUW39:BUX39"/>
    <mergeCell ref="BUY39:BUZ39"/>
    <mergeCell ref="BVA39:BVB39"/>
    <mergeCell ref="BVC39:BVD39"/>
    <mergeCell ref="BVE39:BVF39"/>
    <mergeCell ref="BVG39:BVH39"/>
    <mergeCell ref="BUK39:BUL39"/>
    <mergeCell ref="BUM39:BUN39"/>
    <mergeCell ref="BUO39:BUP39"/>
    <mergeCell ref="BUQ39:BUR39"/>
    <mergeCell ref="BUS39:BUT39"/>
    <mergeCell ref="BUU39:BUV39"/>
    <mergeCell ref="BZM39:BZN39"/>
    <mergeCell ref="BZO39:BZP39"/>
    <mergeCell ref="BZQ39:BZR39"/>
    <mergeCell ref="BZS39:BZT39"/>
    <mergeCell ref="BZU39:BZV39"/>
    <mergeCell ref="BZW39:BZX39"/>
    <mergeCell ref="BZA39:BZB39"/>
    <mergeCell ref="BZC39:BZD39"/>
    <mergeCell ref="BZE39:BZF39"/>
    <mergeCell ref="BZG39:BZH39"/>
    <mergeCell ref="BZI39:BZJ39"/>
    <mergeCell ref="BZK39:BZL39"/>
    <mergeCell ref="BYO39:BYP39"/>
    <mergeCell ref="BYQ39:BYR39"/>
    <mergeCell ref="BYS39:BYT39"/>
    <mergeCell ref="BYU39:BYV39"/>
    <mergeCell ref="BYW39:BYX39"/>
    <mergeCell ref="BYY39:BYZ39"/>
    <mergeCell ref="BYC39:BYD39"/>
    <mergeCell ref="BYE39:BYF39"/>
    <mergeCell ref="BYG39:BYH39"/>
    <mergeCell ref="BYI39:BYJ39"/>
    <mergeCell ref="BYK39:BYL39"/>
    <mergeCell ref="BYM39:BYN39"/>
    <mergeCell ref="BXQ39:BXR39"/>
    <mergeCell ref="BXS39:BXT39"/>
    <mergeCell ref="BXU39:BXV39"/>
    <mergeCell ref="BXW39:BXX39"/>
    <mergeCell ref="BXY39:BXZ39"/>
    <mergeCell ref="BYA39:BYB39"/>
    <mergeCell ref="BXE39:BXF39"/>
    <mergeCell ref="BXG39:BXH39"/>
    <mergeCell ref="BXI39:BXJ39"/>
    <mergeCell ref="BXK39:BXL39"/>
    <mergeCell ref="BXM39:BXN39"/>
    <mergeCell ref="BXO39:BXP39"/>
    <mergeCell ref="CCG39:CCH39"/>
    <mergeCell ref="CCI39:CCJ39"/>
    <mergeCell ref="CCK39:CCL39"/>
    <mergeCell ref="CCM39:CCN39"/>
    <mergeCell ref="CCO39:CCP39"/>
    <mergeCell ref="CCQ39:CCR39"/>
    <mergeCell ref="CBU39:CBV39"/>
    <mergeCell ref="CBW39:CBX39"/>
    <mergeCell ref="CBY39:CBZ39"/>
    <mergeCell ref="CCA39:CCB39"/>
    <mergeCell ref="CCC39:CCD39"/>
    <mergeCell ref="CCE39:CCF39"/>
    <mergeCell ref="CBI39:CBJ39"/>
    <mergeCell ref="CBK39:CBL39"/>
    <mergeCell ref="CBM39:CBN39"/>
    <mergeCell ref="CBO39:CBP39"/>
    <mergeCell ref="CBQ39:CBR39"/>
    <mergeCell ref="CBS39:CBT39"/>
    <mergeCell ref="CAW39:CAX39"/>
    <mergeCell ref="CAY39:CAZ39"/>
    <mergeCell ref="CBA39:CBB39"/>
    <mergeCell ref="CBC39:CBD39"/>
    <mergeCell ref="CBE39:CBF39"/>
    <mergeCell ref="CBG39:CBH39"/>
    <mergeCell ref="CAK39:CAL39"/>
    <mergeCell ref="CAM39:CAN39"/>
    <mergeCell ref="CAO39:CAP39"/>
    <mergeCell ref="CAQ39:CAR39"/>
    <mergeCell ref="CAS39:CAT39"/>
    <mergeCell ref="CAU39:CAV39"/>
    <mergeCell ref="BZY39:BZZ39"/>
    <mergeCell ref="CAA39:CAB39"/>
    <mergeCell ref="CAC39:CAD39"/>
    <mergeCell ref="CAE39:CAF39"/>
    <mergeCell ref="CAG39:CAH39"/>
    <mergeCell ref="CAI39:CAJ39"/>
    <mergeCell ref="CFA39:CFB39"/>
    <mergeCell ref="CFC39:CFD39"/>
    <mergeCell ref="CFE39:CFF39"/>
    <mergeCell ref="CFG39:CFH39"/>
    <mergeCell ref="CFI39:CFJ39"/>
    <mergeCell ref="CFK39:CFL39"/>
    <mergeCell ref="CEO39:CEP39"/>
    <mergeCell ref="CEQ39:CER39"/>
    <mergeCell ref="CES39:CET39"/>
    <mergeCell ref="CEU39:CEV39"/>
    <mergeCell ref="CEW39:CEX39"/>
    <mergeCell ref="CEY39:CEZ39"/>
    <mergeCell ref="CEC39:CED39"/>
    <mergeCell ref="CEE39:CEF39"/>
    <mergeCell ref="CEG39:CEH39"/>
    <mergeCell ref="CEI39:CEJ39"/>
    <mergeCell ref="CEK39:CEL39"/>
    <mergeCell ref="CEM39:CEN39"/>
    <mergeCell ref="CDQ39:CDR39"/>
    <mergeCell ref="CDS39:CDT39"/>
    <mergeCell ref="CDU39:CDV39"/>
    <mergeCell ref="CDW39:CDX39"/>
    <mergeCell ref="CDY39:CDZ39"/>
    <mergeCell ref="CEA39:CEB39"/>
    <mergeCell ref="CDE39:CDF39"/>
    <mergeCell ref="CDG39:CDH39"/>
    <mergeCell ref="CDI39:CDJ39"/>
    <mergeCell ref="CDK39:CDL39"/>
    <mergeCell ref="CDM39:CDN39"/>
    <mergeCell ref="CDO39:CDP39"/>
    <mergeCell ref="CCS39:CCT39"/>
    <mergeCell ref="CCU39:CCV39"/>
    <mergeCell ref="CCW39:CCX39"/>
    <mergeCell ref="CCY39:CCZ39"/>
    <mergeCell ref="CDA39:CDB39"/>
    <mergeCell ref="CDC39:CDD39"/>
    <mergeCell ref="CHU39:CHV39"/>
    <mergeCell ref="CHW39:CHX39"/>
    <mergeCell ref="CHY39:CHZ39"/>
    <mergeCell ref="CIA39:CIB39"/>
    <mergeCell ref="CIC39:CID39"/>
    <mergeCell ref="CIE39:CIF39"/>
    <mergeCell ref="CHI39:CHJ39"/>
    <mergeCell ref="CHK39:CHL39"/>
    <mergeCell ref="CHM39:CHN39"/>
    <mergeCell ref="CHO39:CHP39"/>
    <mergeCell ref="CHQ39:CHR39"/>
    <mergeCell ref="CHS39:CHT39"/>
    <mergeCell ref="CGW39:CGX39"/>
    <mergeCell ref="CGY39:CGZ39"/>
    <mergeCell ref="CHA39:CHB39"/>
    <mergeCell ref="CHC39:CHD39"/>
    <mergeCell ref="CHE39:CHF39"/>
    <mergeCell ref="CHG39:CHH39"/>
    <mergeCell ref="CGK39:CGL39"/>
    <mergeCell ref="CGM39:CGN39"/>
    <mergeCell ref="CGO39:CGP39"/>
    <mergeCell ref="CGQ39:CGR39"/>
    <mergeCell ref="CGS39:CGT39"/>
    <mergeCell ref="CGU39:CGV39"/>
    <mergeCell ref="CFY39:CFZ39"/>
    <mergeCell ref="CGA39:CGB39"/>
    <mergeCell ref="CGC39:CGD39"/>
    <mergeCell ref="CGE39:CGF39"/>
    <mergeCell ref="CGG39:CGH39"/>
    <mergeCell ref="CGI39:CGJ39"/>
    <mergeCell ref="CFM39:CFN39"/>
    <mergeCell ref="CFO39:CFP39"/>
    <mergeCell ref="CFQ39:CFR39"/>
    <mergeCell ref="CFS39:CFT39"/>
    <mergeCell ref="CFU39:CFV39"/>
    <mergeCell ref="CFW39:CFX39"/>
    <mergeCell ref="CKO39:CKP39"/>
    <mergeCell ref="CKQ39:CKR39"/>
    <mergeCell ref="CKS39:CKT39"/>
    <mergeCell ref="CKU39:CKV39"/>
    <mergeCell ref="CKW39:CKX39"/>
    <mergeCell ref="CKY39:CKZ39"/>
    <mergeCell ref="CKC39:CKD39"/>
    <mergeCell ref="CKE39:CKF39"/>
    <mergeCell ref="CKG39:CKH39"/>
    <mergeCell ref="CKI39:CKJ39"/>
    <mergeCell ref="CKK39:CKL39"/>
    <mergeCell ref="CKM39:CKN39"/>
    <mergeCell ref="CJQ39:CJR39"/>
    <mergeCell ref="CJS39:CJT39"/>
    <mergeCell ref="CJU39:CJV39"/>
    <mergeCell ref="CJW39:CJX39"/>
    <mergeCell ref="CJY39:CJZ39"/>
    <mergeCell ref="CKA39:CKB39"/>
    <mergeCell ref="CJE39:CJF39"/>
    <mergeCell ref="CJG39:CJH39"/>
    <mergeCell ref="CJI39:CJJ39"/>
    <mergeCell ref="CJK39:CJL39"/>
    <mergeCell ref="CJM39:CJN39"/>
    <mergeCell ref="CJO39:CJP39"/>
    <mergeCell ref="CIS39:CIT39"/>
    <mergeCell ref="CIU39:CIV39"/>
    <mergeCell ref="CIW39:CIX39"/>
    <mergeCell ref="CIY39:CIZ39"/>
    <mergeCell ref="CJA39:CJB39"/>
    <mergeCell ref="CJC39:CJD39"/>
    <mergeCell ref="CIG39:CIH39"/>
    <mergeCell ref="CII39:CIJ39"/>
    <mergeCell ref="CIK39:CIL39"/>
    <mergeCell ref="CIM39:CIN39"/>
    <mergeCell ref="CIO39:CIP39"/>
    <mergeCell ref="CIQ39:CIR39"/>
    <mergeCell ref="CNI39:CNJ39"/>
    <mergeCell ref="CNK39:CNL39"/>
    <mergeCell ref="CNM39:CNN39"/>
    <mergeCell ref="CNO39:CNP39"/>
    <mergeCell ref="CNQ39:CNR39"/>
    <mergeCell ref="CNS39:CNT39"/>
    <mergeCell ref="CMW39:CMX39"/>
    <mergeCell ref="CMY39:CMZ39"/>
    <mergeCell ref="CNA39:CNB39"/>
    <mergeCell ref="CNC39:CND39"/>
    <mergeCell ref="CNE39:CNF39"/>
    <mergeCell ref="CNG39:CNH39"/>
    <mergeCell ref="CMK39:CML39"/>
    <mergeCell ref="CMM39:CMN39"/>
    <mergeCell ref="CMO39:CMP39"/>
    <mergeCell ref="CMQ39:CMR39"/>
    <mergeCell ref="CMS39:CMT39"/>
    <mergeCell ref="CMU39:CMV39"/>
    <mergeCell ref="CLY39:CLZ39"/>
    <mergeCell ref="CMA39:CMB39"/>
    <mergeCell ref="CMC39:CMD39"/>
    <mergeCell ref="CME39:CMF39"/>
    <mergeCell ref="CMG39:CMH39"/>
    <mergeCell ref="CMI39:CMJ39"/>
    <mergeCell ref="CLM39:CLN39"/>
    <mergeCell ref="CLO39:CLP39"/>
    <mergeCell ref="CLQ39:CLR39"/>
    <mergeCell ref="CLS39:CLT39"/>
    <mergeCell ref="CLU39:CLV39"/>
    <mergeCell ref="CLW39:CLX39"/>
    <mergeCell ref="CLA39:CLB39"/>
    <mergeCell ref="CLC39:CLD39"/>
    <mergeCell ref="CLE39:CLF39"/>
    <mergeCell ref="CLG39:CLH39"/>
    <mergeCell ref="CLI39:CLJ39"/>
    <mergeCell ref="CLK39:CLL39"/>
    <mergeCell ref="CQC39:CQD39"/>
    <mergeCell ref="CQE39:CQF39"/>
    <mergeCell ref="CQG39:CQH39"/>
    <mergeCell ref="CQI39:CQJ39"/>
    <mergeCell ref="CQK39:CQL39"/>
    <mergeCell ref="CQM39:CQN39"/>
    <mergeCell ref="CPQ39:CPR39"/>
    <mergeCell ref="CPS39:CPT39"/>
    <mergeCell ref="CPU39:CPV39"/>
    <mergeCell ref="CPW39:CPX39"/>
    <mergeCell ref="CPY39:CPZ39"/>
    <mergeCell ref="CQA39:CQB39"/>
    <mergeCell ref="CPE39:CPF39"/>
    <mergeCell ref="CPG39:CPH39"/>
    <mergeCell ref="CPI39:CPJ39"/>
    <mergeCell ref="CPK39:CPL39"/>
    <mergeCell ref="CPM39:CPN39"/>
    <mergeCell ref="CPO39:CPP39"/>
    <mergeCell ref="COS39:COT39"/>
    <mergeCell ref="COU39:COV39"/>
    <mergeCell ref="COW39:COX39"/>
    <mergeCell ref="COY39:COZ39"/>
    <mergeCell ref="CPA39:CPB39"/>
    <mergeCell ref="CPC39:CPD39"/>
    <mergeCell ref="COG39:COH39"/>
    <mergeCell ref="COI39:COJ39"/>
    <mergeCell ref="COK39:COL39"/>
    <mergeCell ref="COM39:CON39"/>
    <mergeCell ref="COO39:COP39"/>
    <mergeCell ref="COQ39:COR39"/>
    <mergeCell ref="CNU39:CNV39"/>
    <mergeCell ref="CNW39:CNX39"/>
    <mergeCell ref="CNY39:CNZ39"/>
    <mergeCell ref="COA39:COB39"/>
    <mergeCell ref="COC39:COD39"/>
    <mergeCell ref="COE39:COF39"/>
    <mergeCell ref="CSW39:CSX39"/>
    <mergeCell ref="CSY39:CSZ39"/>
    <mergeCell ref="CTA39:CTB39"/>
    <mergeCell ref="CTC39:CTD39"/>
    <mergeCell ref="CTE39:CTF39"/>
    <mergeCell ref="CTG39:CTH39"/>
    <mergeCell ref="CSK39:CSL39"/>
    <mergeCell ref="CSM39:CSN39"/>
    <mergeCell ref="CSO39:CSP39"/>
    <mergeCell ref="CSQ39:CSR39"/>
    <mergeCell ref="CSS39:CST39"/>
    <mergeCell ref="CSU39:CSV39"/>
    <mergeCell ref="CRY39:CRZ39"/>
    <mergeCell ref="CSA39:CSB39"/>
    <mergeCell ref="CSC39:CSD39"/>
    <mergeCell ref="CSE39:CSF39"/>
    <mergeCell ref="CSG39:CSH39"/>
    <mergeCell ref="CSI39:CSJ39"/>
    <mergeCell ref="CRM39:CRN39"/>
    <mergeCell ref="CRO39:CRP39"/>
    <mergeCell ref="CRQ39:CRR39"/>
    <mergeCell ref="CRS39:CRT39"/>
    <mergeCell ref="CRU39:CRV39"/>
    <mergeCell ref="CRW39:CRX39"/>
    <mergeCell ref="CRA39:CRB39"/>
    <mergeCell ref="CRC39:CRD39"/>
    <mergeCell ref="CRE39:CRF39"/>
    <mergeCell ref="CRG39:CRH39"/>
    <mergeCell ref="CRI39:CRJ39"/>
    <mergeCell ref="CRK39:CRL39"/>
    <mergeCell ref="CQO39:CQP39"/>
    <mergeCell ref="CQQ39:CQR39"/>
    <mergeCell ref="CQS39:CQT39"/>
    <mergeCell ref="CQU39:CQV39"/>
    <mergeCell ref="CQW39:CQX39"/>
    <mergeCell ref="CQY39:CQZ39"/>
    <mergeCell ref="CVQ39:CVR39"/>
    <mergeCell ref="CVS39:CVT39"/>
    <mergeCell ref="CVU39:CVV39"/>
    <mergeCell ref="CVW39:CVX39"/>
    <mergeCell ref="CVY39:CVZ39"/>
    <mergeCell ref="CWA39:CWB39"/>
    <mergeCell ref="CVE39:CVF39"/>
    <mergeCell ref="CVG39:CVH39"/>
    <mergeCell ref="CVI39:CVJ39"/>
    <mergeCell ref="CVK39:CVL39"/>
    <mergeCell ref="CVM39:CVN39"/>
    <mergeCell ref="CVO39:CVP39"/>
    <mergeCell ref="CUS39:CUT39"/>
    <mergeCell ref="CUU39:CUV39"/>
    <mergeCell ref="CUW39:CUX39"/>
    <mergeCell ref="CUY39:CUZ39"/>
    <mergeCell ref="CVA39:CVB39"/>
    <mergeCell ref="CVC39:CVD39"/>
    <mergeCell ref="CUG39:CUH39"/>
    <mergeCell ref="CUI39:CUJ39"/>
    <mergeCell ref="CUK39:CUL39"/>
    <mergeCell ref="CUM39:CUN39"/>
    <mergeCell ref="CUO39:CUP39"/>
    <mergeCell ref="CUQ39:CUR39"/>
    <mergeCell ref="CTU39:CTV39"/>
    <mergeCell ref="CTW39:CTX39"/>
    <mergeCell ref="CTY39:CTZ39"/>
    <mergeCell ref="CUA39:CUB39"/>
    <mergeCell ref="CUC39:CUD39"/>
    <mergeCell ref="CUE39:CUF39"/>
    <mergeCell ref="CTI39:CTJ39"/>
    <mergeCell ref="CTK39:CTL39"/>
    <mergeCell ref="CTM39:CTN39"/>
    <mergeCell ref="CTO39:CTP39"/>
    <mergeCell ref="CTQ39:CTR39"/>
    <mergeCell ref="CTS39:CTT39"/>
    <mergeCell ref="CYK39:CYL39"/>
    <mergeCell ref="CYM39:CYN39"/>
    <mergeCell ref="CYO39:CYP39"/>
    <mergeCell ref="CYQ39:CYR39"/>
    <mergeCell ref="CYS39:CYT39"/>
    <mergeCell ref="CYU39:CYV39"/>
    <mergeCell ref="CXY39:CXZ39"/>
    <mergeCell ref="CYA39:CYB39"/>
    <mergeCell ref="CYC39:CYD39"/>
    <mergeCell ref="CYE39:CYF39"/>
    <mergeCell ref="CYG39:CYH39"/>
    <mergeCell ref="CYI39:CYJ39"/>
    <mergeCell ref="CXM39:CXN39"/>
    <mergeCell ref="CXO39:CXP39"/>
    <mergeCell ref="CXQ39:CXR39"/>
    <mergeCell ref="CXS39:CXT39"/>
    <mergeCell ref="CXU39:CXV39"/>
    <mergeCell ref="CXW39:CXX39"/>
    <mergeCell ref="CXA39:CXB39"/>
    <mergeCell ref="CXC39:CXD39"/>
    <mergeCell ref="CXE39:CXF39"/>
    <mergeCell ref="CXG39:CXH39"/>
    <mergeCell ref="CXI39:CXJ39"/>
    <mergeCell ref="CXK39:CXL39"/>
    <mergeCell ref="CWO39:CWP39"/>
    <mergeCell ref="CWQ39:CWR39"/>
    <mergeCell ref="CWS39:CWT39"/>
    <mergeCell ref="CWU39:CWV39"/>
    <mergeCell ref="CWW39:CWX39"/>
    <mergeCell ref="CWY39:CWZ39"/>
    <mergeCell ref="CWC39:CWD39"/>
    <mergeCell ref="CWE39:CWF39"/>
    <mergeCell ref="CWG39:CWH39"/>
    <mergeCell ref="CWI39:CWJ39"/>
    <mergeCell ref="CWK39:CWL39"/>
    <mergeCell ref="CWM39:CWN39"/>
    <mergeCell ref="DBE39:DBF39"/>
    <mergeCell ref="DBG39:DBH39"/>
    <mergeCell ref="DBI39:DBJ39"/>
    <mergeCell ref="DBK39:DBL39"/>
    <mergeCell ref="DBM39:DBN39"/>
    <mergeCell ref="DBO39:DBP39"/>
    <mergeCell ref="DAS39:DAT39"/>
    <mergeCell ref="DAU39:DAV39"/>
    <mergeCell ref="DAW39:DAX39"/>
    <mergeCell ref="DAY39:DAZ39"/>
    <mergeCell ref="DBA39:DBB39"/>
    <mergeCell ref="DBC39:DBD39"/>
    <mergeCell ref="DAG39:DAH39"/>
    <mergeCell ref="DAI39:DAJ39"/>
    <mergeCell ref="DAK39:DAL39"/>
    <mergeCell ref="DAM39:DAN39"/>
    <mergeCell ref="DAO39:DAP39"/>
    <mergeCell ref="DAQ39:DAR39"/>
    <mergeCell ref="CZU39:CZV39"/>
    <mergeCell ref="CZW39:CZX39"/>
    <mergeCell ref="CZY39:CZZ39"/>
    <mergeCell ref="DAA39:DAB39"/>
    <mergeCell ref="DAC39:DAD39"/>
    <mergeCell ref="DAE39:DAF39"/>
    <mergeCell ref="CZI39:CZJ39"/>
    <mergeCell ref="CZK39:CZL39"/>
    <mergeCell ref="CZM39:CZN39"/>
    <mergeCell ref="CZO39:CZP39"/>
    <mergeCell ref="CZQ39:CZR39"/>
    <mergeCell ref="CZS39:CZT39"/>
    <mergeCell ref="CYW39:CYX39"/>
    <mergeCell ref="CYY39:CYZ39"/>
    <mergeCell ref="CZA39:CZB39"/>
    <mergeCell ref="CZC39:CZD39"/>
    <mergeCell ref="CZE39:CZF39"/>
    <mergeCell ref="CZG39:CZH39"/>
    <mergeCell ref="DDY39:DDZ39"/>
    <mergeCell ref="DEA39:DEB39"/>
    <mergeCell ref="DEC39:DED39"/>
    <mergeCell ref="DEE39:DEF39"/>
    <mergeCell ref="DEG39:DEH39"/>
    <mergeCell ref="DEI39:DEJ39"/>
    <mergeCell ref="DDM39:DDN39"/>
    <mergeCell ref="DDO39:DDP39"/>
    <mergeCell ref="DDQ39:DDR39"/>
    <mergeCell ref="DDS39:DDT39"/>
    <mergeCell ref="DDU39:DDV39"/>
    <mergeCell ref="DDW39:DDX39"/>
    <mergeCell ref="DDA39:DDB39"/>
    <mergeCell ref="DDC39:DDD39"/>
    <mergeCell ref="DDE39:DDF39"/>
    <mergeCell ref="DDG39:DDH39"/>
    <mergeCell ref="DDI39:DDJ39"/>
    <mergeCell ref="DDK39:DDL39"/>
    <mergeCell ref="DCO39:DCP39"/>
    <mergeCell ref="DCQ39:DCR39"/>
    <mergeCell ref="DCS39:DCT39"/>
    <mergeCell ref="DCU39:DCV39"/>
    <mergeCell ref="DCW39:DCX39"/>
    <mergeCell ref="DCY39:DCZ39"/>
    <mergeCell ref="DCC39:DCD39"/>
    <mergeCell ref="DCE39:DCF39"/>
    <mergeCell ref="DCG39:DCH39"/>
    <mergeCell ref="DCI39:DCJ39"/>
    <mergeCell ref="DCK39:DCL39"/>
    <mergeCell ref="DCM39:DCN39"/>
    <mergeCell ref="DBQ39:DBR39"/>
    <mergeCell ref="DBS39:DBT39"/>
    <mergeCell ref="DBU39:DBV39"/>
    <mergeCell ref="DBW39:DBX39"/>
    <mergeCell ref="DBY39:DBZ39"/>
    <mergeCell ref="DCA39:DCB39"/>
    <mergeCell ref="DGS39:DGT39"/>
    <mergeCell ref="DGU39:DGV39"/>
    <mergeCell ref="DGW39:DGX39"/>
    <mergeCell ref="DGY39:DGZ39"/>
    <mergeCell ref="DHA39:DHB39"/>
    <mergeCell ref="DHC39:DHD39"/>
    <mergeCell ref="DGG39:DGH39"/>
    <mergeCell ref="DGI39:DGJ39"/>
    <mergeCell ref="DGK39:DGL39"/>
    <mergeCell ref="DGM39:DGN39"/>
    <mergeCell ref="DGO39:DGP39"/>
    <mergeCell ref="DGQ39:DGR39"/>
    <mergeCell ref="DFU39:DFV39"/>
    <mergeCell ref="DFW39:DFX39"/>
    <mergeCell ref="DFY39:DFZ39"/>
    <mergeCell ref="DGA39:DGB39"/>
    <mergeCell ref="DGC39:DGD39"/>
    <mergeCell ref="DGE39:DGF39"/>
    <mergeCell ref="DFI39:DFJ39"/>
    <mergeCell ref="DFK39:DFL39"/>
    <mergeCell ref="DFM39:DFN39"/>
    <mergeCell ref="DFO39:DFP39"/>
    <mergeCell ref="DFQ39:DFR39"/>
    <mergeCell ref="DFS39:DFT39"/>
    <mergeCell ref="DEW39:DEX39"/>
    <mergeCell ref="DEY39:DEZ39"/>
    <mergeCell ref="DFA39:DFB39"/>
    <mergeCell ref="DFC39:DFD39"/>
    <mergeCell ref="DFE39:DFF39"/>
    <mergeCell ref="DFG39:DFH39"/>
    <mergeCell ref="DEK39:DEL39"/>
    <mergeCell ref="DEM39:DEN39"/>
    <mergeCell ref="DEO39:DEP39"/>
    <mergeCell ref="DEQ39:DER39"/>
    <mergeCell ref="DES39:DET39"/>
    <mergeCell ref="DEU39:DEV39"/>
    <mergeCell ref="DJM39:DJN39"/>
    <mergeCell ref="DJO39:DJP39"/>
    <mergeCell ref="DJQ39:DJR39"/>
    <mergeCell ref="DJS39:DJT39"/>
    <mergeCell ref="DJU39:DJV39"/>
    <mergeCell ref="DJW39:DJX39"/>
    <mergeCell ref="DJA39:DJB39"/>
    <mergeCell ref="DJC39:DJD39"/>
    <mergeCell ref="DJE39:DJF39"/>
    <mergeCell ref="DJG39:DJH39"/>
    <mergeCell ref="DJI39:DJJ39"/>
    <mergeCell ref="DJK39:DJL39"/>
    <mergeCell ref="DIO39:DIP39"/>
    <mergeCell ref="DIQ39:DIR39"/>
    <mergeCell ref="DIS39:DIT39"/>
    <mergeCell ref="DIU39:DIV39"/>
    <mergeCell ref="DIW39:DIX39"/>
    <mergeCell ref="DIY39:DIZ39"/>
    <mergeCell ref="DIC39:DID39"/>
    <mergeCell ref="DIE39:DIF39"/>
    <mergeCell ref="DIG39:DIH39"/>
    <mergeCell ref="DII39:DIJ39"/>
    <mergeCell ref="DIK39:DIL39"/>
    <mergeCell ref="DIM39:DIN39"/>
    <mergeCell ref="DHQ39:DHR39"/>
    <mergeCell ref="DHS39:DHT39"/>
    <mergeCell ref="DHU39:DHV39"/>
    <mergeCell ref="DHW39:DHX39"/>
    <mergeCell ref="DHY39:DHZ39"/>
    <mergeCell ref="DIA39:DIB39"/>
    <mergeCell ref="DHE39:DHF39"/>
    <mergeCell ref="DHG39:DHH39"/>
    <mergeCell ref="DHI39:DHJ39"/>
    <mergeCell ref="DHK39:DHL39"/>
    <mergeCell ref="DHM39:DHN39"/>
    <mergeCell ref="DHO39:DHP39"/>
    <mergeCell ref="DMG39:DMH39"/>
    <mergeCell ref="DMI39:DMJ39"/>
    <mergeCell ref="DMK39:DML39"/>
    <mergeCell ref="DMM39:DMN39"/>
    <mergeCell ref="DMO39:DMP39"/>
    <mergeCell ref="DMQ39:DMR39"/>
    <mergeCell ref="DLU39:DLV39"/>
    <mergeCell ref="DLW39:DLX39"/>
    <mergeCell ref="DLY39:DLZ39"/>
    <mergeCell ref="DMA39:DMB39"/>
    <mergeCell ref="DMC39:DMD39"/>
    <mergeCell ref="DME39:DMF39"/>
    <mergeCell ref="DLI39:DLJ39"/>
    <mergeCell ref="DLK39:DLL39"/>
    <mergeCell ref="DLM39:DLN39"/>
    <mergeCell ref="DLO39:DLP39"/>
    <mergeCell ref="DLQ39:DLR39"/>
    <mergeCell ref="DLS39:DLT39"/>
    <mergeCell ref="DKW39:DKX39"/>
    <mergeCell ref="DKY39:DKZ39"/>
    <mergeCell ref="DLA39:DLB39"/>
    <mergeCell ref="DLC39:DLD39"/>
    <mergeCell ref="DLE39:DLF39"/>
    <mergeCell ref="DLG39:DLH39"/>
    <mergeCell ref="DKK39:DKL39"/>
    <mergeCell ref="DKM39:DKN39"/>
    <mergeCell ref="DKO39:DKP39"/>
    <mergeCell ref="DKQ39:DKR39"/>
    <mergeCell ref="DKS39:DKT39"/>
    <mergeCell ref="DKU39:DKV39"/>
    <mergeCell ref="DJY39:DJZ39"/>
    <mergeCell ref="DKA39:DKB39"/>
    <mergeCell ref="DKC39:DKD39"/>
    <mergeCell ref="DKE39:DKF39"/>
    <mergeCell ref="DKG39:DKH39"/>
    <mergeCell ref="DKI39:DKJ39"/>
    <mergeCell ref="DPA39:DPB39"/>
    <mergeCell ref="DPC39:DPD39"/>
    <mergeCell ref="DPE39:DPF39"/>
    <mergeCell ref="DPG39:DPH39"/>
    <mergeCell ref="DPI39:DPJ39"/>
    <mergeCell ref="DPK39:DPL39"/>
    <mergeCell ref="DOO39:DOP39"/>
    <mergeCell ref="DOQ39:DOR39"/>
    <mergeCell ref="DOS39:DOT39"/>
    <mergeCell ref="DOU39:DOV39"/>
    <mergeCell ref="DOW39:DOX39"/>
    <mergeCell ref="DOY39:DOZ39"/>
    <mergeCell ref="DOC39:DOD39"/>
    <mergeCell ref="DOE39:DOF39"/>
    <mergeCell ref="DOG39:DOH39"/>
    <mergeCell ref="DOI39:DOJ39"/>
    <mergeCell ref="DOK39:DOL39"/>
    <mergeCell ref="DOM39:DON39"/>
    <mergeCell ref="DNQ39:DNR39"/>
    <mergeCell ref="DNS39:DNT39"/>
    <mergeCell ref="DNU39:DNV39"/>
    <mergeCell ref="DNW39:DNX39"/>
    <mergeCell ref="DNY39:DNZ39"/>
    <mergeCell ref="DOA39:DOB39"/>
    <mergeCell ref="DNE39:DNF39"/>
    <mergeCell ref="DNG39:DNH39"/>
    <mergeCell ref="DNI39:DNJ39"/>
    <mergeCell ref="DNK39:DNL39"/>
    <mergeCell ref="DNM39:DNN39"/>
    <mergeCell ref="DNO39:DNP39"/>
    <mergeCell ref="DMS39:DMT39"/>
    <mergeCell ref="DMU39:DMV39"/>
    <mergeCell ref="DMW39:DMX39"/>
    <mergeCell ref="DMY39:DMZ39"/>
    <mergeCell ref="DNA39:DNB39"/>
    <mergeCell ref="DNC39:DND39"/>
    <mergeCell ref="DRU39:DRV39"/>
    <mergeCell ref="DRW39:DRX39"/>
    <mergeCell ref="DRY39:DRZ39"/>
    <mergeCell ref="DSA39:DSB39"/>
    <mergeCell ref="DSC39:DSD39"/>
    <mergeCell ref="DSE39:DSF39"/>
    <mergeCell ref="DRI39:DRJ39"/>
    <mergeCell ref="DRK39:DRL39"/>
    <mergeCell ref="DRM39:DRN39"/>
    <mergeCell ref="DRO39:DRP39"/>
    <mergeCell ref="DRQ39:DRR39"/>
    <mergeCell ref="DRS39:DRT39"/>
    <mergeCell ref="DQW39:DQX39"/>
    <mergeCell ref="DQY39:DQZ39"/>
    <mergeCell ref="DRA39:DRB39"/>
    <mergeCell ref="DRC39:DRD39"/>
    <mergeCell ref="DRE39:DRF39"/>
    <mergeCell ref="DRG39:DRH39"/>
    <mergeCell ref="DQK39:DQL39"/>
    <mergeCell ref="DQM39:DQN39"/>
    <mergeCell ref="DQO39:DQP39"/>
    <mergeCell ref="DQQ39:DQR39"/>
    <mergeCell ref="DQS39:DQT39"/>
    <mergeCell ref="DQU39:DQV39"/>
    <mergeCell ref="DPY39:DPZ39"/>
    <mergeCell ref="DQA39:DQB39"/>
    <mergeCell ref="DQC39:DQD39"/>
    <mergeCell ref="DQE39:DQF39"/>
    <mergeCell ref="DQG39:DQH39"/>
    <mergeCell ref="DQI39:DQJ39"/>
    <mergeCell ref="DPM39:DPN39"/>
    <mergeCell ref="DPO39:DPP39"/>
    <mergeCell ref="DPQ39:DPR39"/>
    <mergeCell ref="DPS39:DPT39"/>
    <mergeCell ref="DPU39:DPV39"/>
    <mergeCell ref="DPW39:DPX39"/>
    <mergeCell ref="DUO39:DUP39"/>
    <mergeCell ref="DUQ39:DUR39"/>
    <mergeCell ref="DUS39:DUT39"/>
    <mergeCell ref="DUU39:DUV39"/>
    <mergeCell ref="DUW39:DUX39"/>
    <mergeCell ref="DUY39:DUZ39"/>
    <mergeCell ref="DUC39:DUD39"/>
    <mergeCell ref="DUE39:DUF39"/>
    <mergeCell ref="DUG39:DUH39"/>
    <mergeCell ref="DUI39:DUJ39"/>
    <mergeCell ref="DUK39:DUL39"/>
    <mergeCell ref="DUM39:DUN39"/>
    <mergeCell ref="DTQ39:DTR39"/>
    <mergeCell ref="DTS39:DTT39"/>
    <mergeCell ref="DTU39:DTV39"/>
    <mergeCell ref="DTW39:DTX39"/>
    <mergeCell ref="DTY39:DTZ39"/>
    <mergeCell ref="DUA39:DUB39"/>
    <mergeCell ref="DTE39:DTF39"/>
    <mergeCell ref="DTG39:DTH39"/>
    <mergeCell ref="DTI39:DTJ39"/>
    <mergeCell ref="DTK39:DTL39"/>
    <mergeCell ref="DTM39:DTN39"/>
    <mergeCell ref="DTO39:DTP39"/>
    <mergeCell ref="DSS39:DST39"/>
    <mergeCell ref="DSU39:DSV39"/>
    <mergeCell ref="DSW39:DSX39"/>
    <mergeCell ref="DSY39:DSZ39"/>
    <mergeCell ref="DTA39:DTB39"/>
    <mergeCell ref="DTC39:DTD39"/>
    <mergeCell ref="DSG39:DSH39"/>
    <mergeCell ref="DSI39:DSJ39"/>
    <mergeCell ref="DSK39:DSL39"/>
    <mergeCell ref="DSM39:DSN39"/>
    <mergeCell ref="DSO39:DSP39"/>
    <mergeCell ref="DSQ39:DSR39"/>
    <mergeCell ref="DXI39:DXJ39"/>
    <mergeCell ref="DXK39:DXL39"/>
    <mergeCell ref="DXM39:DXN39"/>
    <mergeCell ref="DXO39:DXP39"/>
    <mergeCell ref="DXQ39:DXR39"/>
    <mergeCell ref="DXS39:DXT39"/>
    <mergeCell ref="DWW39:DWX39"/>
    <mergeCell ref="DWY39:DWZ39"/>
    <mergeCell ref="DXA39:DXB39"/>
    <mergeCell ref="DXC39:DXD39"/>
    <mergeCell ref="DXE39:DXF39"/>
    <mergeCell ref="DXG39:DXH39"/>
    <mergeCell ref="DWK39:DWL39"/>
    <mergeCell ref="DWM39:DWN39"/>
    <mergeCell ref="DWO39:DWP39"/>
    <mergeCell ref="DWQ39:DWR39"/>
    <mergeCell ref="DWS39:DWT39"/>
    <mergeCell ref="DWU39:DWV39"/>
    <mergeCell ref="DVY39:DVZ39"/>
    <mergeCell ref="DWA39:DWB39"/>
    <mergeCell ref="DWC39:DWD39"/>
    <mergeCell ref="DWE39:DWF39"/>
    <mergeCell ref="DWG39:DWH39"/>
    <mergeCell ref="DWI39:DWJ39"/>
    <mergeCell ref="DVM39:DVN39"/>
    <mergeCell ref="DVO39:DVP39"/>
    <mergeCell ref="DVQ39:DVR39"/>
    <mergeCell ref="DVS39:DVT39"/>
    <mergeCell ref="DVU39:DVV39"/>
    <mergeCell ref="DVW39:DVX39"/>
    <mergeCell ref="DVA39:DVB39"/>
    <mergeCell ref="DVC39:DVD39"/>
    <mergeCell ref="DVE39:DVF39"/>
    <mergeCell ref="DVG39:DVH39"/>
    <mergeCell ref="DVI39:DVJ39"/>
    <mergeCell ref="DVK39:DVL39"/>
    <mergeCell ref="EAC39:EAD39"/>
    <mergeCell ref="EAE39:EAF39"/>
    <mergeCell ref="EAG39:EAH39"/>
    <mergeCell ref="EAI39:EAJ39"/>
    <mergeCell ref="EAK39:EAL39"/>
    <mergeCell ref="EAM39:EAN39"/>
    <mergeCell ref="DZQ39:DZR39"/>
    <mergeCell ref="DZS39:DZT39"/>
    <mergeCell ref="DZU39:DZV39"/>
    <mergeCell ref="DZW39:DZX39"/>
    <mergeCell ref="DZY39:DZZ39"/>
    <mergeCell ref="EAA39:EAB39"/>
    <mergeCell ref="DZE39:DZF39"/>
    <mergeCell ref="DZG39:DZH39"/>
    <mergeCell ref="DZI39:DZJ39"/>
    <mergeCell ref="DZK39:DZL39"/>
    <mergeCell ref="DZM39:DZN39"/>
    <mergeCell ref="DZO39:DZP39"/>
    <mergeCell ref="DYS39:DYT39"/>
    <mergeCell ref="DYU39:DYV39"/>
    <mergeCell ref="DYW39:DYX39"/>
    <mergeCell ref="DYY39:DYZ39"/>
    <mergeCell ref="DZA39:DZB39"/>
    <mergeCell ref="DZC39:DZD39"/>
    <mergeCell ref="DYG39:DYH39"/>
    <mergeCell ref="DYI39:DYJ39"/>
    <mergeCell ref="DYK39:DYL39"/>
    <mergeCell ref="DYM39:DYN39"/>
    <mergeCell ref="DYO39:DYP39"/>
    <mergeCell ref="DYQ39:DYR39"/>
    <mergeCell ref="DXU39:DXV39"/>
    <mergeCell ref="DXW39:DXX39"/>
    <mergeCell ref="DXY39:DXZ39"/>
    <mergeCell ref="DYA39:DYB39"/>
    <mergeCell ref="DYC39:DYD39"/>
    <mergeCell ref="DYE39:DYF39"/>
    <mergeCell ref="ECW39:ECX39"/>
    <mergeCell ref="ECY39:ECZ39"/>
    <mergeCell ref="EDA39:EDB39"/>
    <mergeCell ref="EDC39:EDD39"/>
    <mergeCell ref="EDE39:EDF39"/>
    <mergeCell ref="EDG39:EDH39"/>
    <mergeCell ref="ECK39:ECL39"/>
    <mergeCell ref="ECM39:ECN39"/>
    <mergeCell ref="ECO39:ECP39"/>
    <mergeCell ref="ECQ39:ECR39"/>
    <mergeCell ref="ECS39:ECT39"/>
    <mergeCell ref="ECU39:ECV39"/>
    <mergeCell ref="EBY39:EBZ39"/>
    <mergeCell ref="ECA39:ECB39"/>
    <mergeCell ref="ECC39:ECD39"/>
    <mergeCell ref="ECE39:ECF39"/>
    <mergeCell ref="ECG39:ECH39"/>
    <mergeCell ref="ECI39:ECJ39"/>
    <mergeCell ref="EBM39:EBN39"/>
    <mergeCell ref="EBO39:EBP39"/>
    <mergeCell ref="EBQ39:EBR39"/>
    <mergeCell ref="EBS39:EBT39"/>
    <mergeCell ref="EBU39:EBV39"/>
    <mergeCell ref="EBW39:EBX39"/>
    <mergeCell ref="EBA39:EBB39"/>
    <mergeCell ref="EBC39:EBD39"/>
    <mergeCell ref="EBE39:EBF39"/>
    <mergeCell ref="EBG39:EBH39"/>
    <mergeCell ref="EBI39:EBJ39"/>
    <mergeCell ref="EBK39:EBL39"/>
    <mergeCell ref="EAO39:EAP39"/>
    <mergeCell ref="EAQ39:EAR39"/>
    <mergeCell ref="EAS39:EAT39"/>
    <mergeCell ref="EAU39:EAV39"/>
    <mergeCell ref="EAW39:EAX39"/>
    <mergeCell ref="EAY39:EAZ39"/>
    <mergeCell ref="EFQ39:EFR39"/>
    <mergeCell ref="EFS39:EFT39"/>
    <mergeCell ref="EFU39:EFV39"/>
    <mergeCell ref="EFW39:EFX39"/>
    <mergeCell ref="EFY39:EFZ39"/>
    <mergeCell ref="EGA39:EGB39"/>
    <mergeCell ref="EFE39:EFF39"/>
    <mergeCell ref="EFG39:EFH39"/>
    <mergeCell ref="EFI39:EFJ39"/>
    <mergeCell ref="EFK39:EFL39"/>
    <mergeCell ref="EFM39:EFN39"/>
    <mergeCell ref="EFO39:EFP39"/>
    <mergeCell ref="EES39:EET39"/>
    <mergeCell ref="EEU39:EEV39"/>
    <mergeCell ref="EEW39:EEX39"/>
    <mergeCell ref="EEY39:EEZ39"/>
    <mergeCell ref="EFA39:EFB39"/>
    <mergeCell ref="EFC39:EFD39"/>
    <mergeCell ref="EEG39:EEH39"/>
    <mergeCell ref="EEI39:EEJ39"/>
    <mergeCell ref="EEK39:EEL39"/>
    <mergeCell ref="EEM39:EEN39"/>
    <mergeCell ref="EEO39:EEP39"/>
    <mergeCell ref="EEQ39:EER39"/>
    <mergeCell ref="EDU39:EDV39"/>
    <mergeCell ref="EDW39:EDX39"/>
    <mergeCell ref="EDY39:EDZ39"/>
    <mergeCell ref="EEA39:EEB39"/>
    <mergeCell ref="EEC39:EED39"/>
    <mergeCell ref="EEE39:EEF39"/>
    <mergeCell ref="EDI39:EDJ39"/>
    <mergeCell ref="EDK39:EDL39"/>
    <mergeCell ref="EDM39:EDN39"/>
    <mergeCell ref="EDO39:EDP39"/>
    <mergeCell ref="EDQ39:EDR39"/>
    <mergeCell ref="EDS39:EDT39"/>
    <mergeCell ref="EIK39:EIL39"/>
    <mergeCell ref="EIM39:EIN39"/>
    <mergeCell ref="EIO39:EIP39"/>
    <mergeCell ref="EIQ39:EIR39"/>
    <mergeCell ref="EIS39:EIT39"/>
    <mergeCell ref="EIU39:EIV39"/>
    <mergeCell ref="EHY39:EHZ39"/>
    <mergeCell ref="EIA39:EIB39"/>
    <mergeCell ref="EIC39:EID39"/>
    <mergeCell ref="EIE39:EIF39"/>
    <mergeCell ref="EIG39:EIH39"/>
    <mergeCell ref="EII39:EIJ39"/>
    <mergeCell ref="EHM39:EHN39"/>
    <mergeCell ref="EHO39:EHP39"/>
    <mergeCell ref="EHQ39:EHR39"/>
    <mergeCell ref="EHS39:EHT39"/>
    <mergeCell ref="EHU39:EHV39"/>
    <mergeCell ref="EHW39:EHX39"/>
    <mergeCell ref="EHA39:EHB39"/>
    <mergeCell ref="EHC39:EHD39"/>
    <mergeCell ref="EHE39:EHF39"/>
    <mergeCell ref="EHG39:EHH39"/>
    <mergeCell ref="EHI39:EHJ39"/>
    <mergeCell ref="EHK39:EHL39"/>
    <mergeCell ref="EGO39:EGP39"/>
    <mergeCell ref="EGQ39:EGR39"/>
    <mergeCell ref="EGS39:EGT39"/>
    <mergeCell ref="EGU39:EGV39"/>
    <mergeCell ref="EGW39:EGX39"/>
    <mergeCell ref="EGY39:EGZ39"/>
    <mergeCell ref="EGC39:EGD39"/>
    <mergeCell ref="EGE39:EGF39"/>
    <mergeCell ref="EGG39:EGH39"/>
    <mergeCell ref="EGI39:EGJ39"/>
    <mergeCell ref="EGK39:EGL39"/>
    <mergeCell ref="EGM39:EGN39"/>
    <mergeCell ref="ELE39:ELF39"/>
    <mergeCell ref="ELG39:ELH39"/>
    <mergeCell ref="ELI39:ELJ39"/>
    <mergeCell ref="ELK39:ELL39"/>
    <mergeCell ref="ELM39:ELN39"/>
    <mergeCell ref="ELO39:ELP39"/>
    <mergeCell ref="EKS39:EKT39"/>
    <mergeCell ref="EKU39:EKV39"/>
    <mergeCell ref="EKW39:EKX39"/>
    <mergeCell ref="EKY39:EKZ39"/>
    <mergeCell ref="ELA39:ELB39"/>
    <mergeCell ref="ELC39:ELD39"/>
    <mergeCell ref="EKG39:EKH39"/>
    <mergeCell ref="EKI39:EKJ39"/>
    <mergeCell ref="EKK39:EKL39"/>
    <mergeCell ref="EKM39:EKN39"/>
    <mergeCell ref="EKO39:EKP39"/>
    <mergeCell ref="EKQ39:EKR39"/>
    <mergeCell ref="EJU39:EJV39"/>
    <mergeCell ref="EJW39:EJX39"/>
    <mergeCell ref="EJY39:EJZ39"/>
    <mergeCell ref="EKA39:EKB39"/>
    <mergeCell ref="EKC39:EKD39"/>
    <mergeCell ref="EKE39:EKF39"/>
    <mergeCell ref="EJI39:EJJ39"/>
    <mergeCell ref="EJK39:EJL39"/>
    <mergeCell ref="EJM39:EJN39"/>
    <mergeCell ref="EJO39:EJP39"/>
    <mergeCell ref="EJQ39:EJR39"/>
    <mergeCell ref="EJS39:EJT39"/>
    <mergeCell ref="EIW39:EIX39"/>
    <mergeCell ref="EIY39:EIZ39"/>
    <mergeCell ref="EJA39:EJB39"/>
    <mergeCell ref="EJC39:EJD39"/>
    <mergeCell ref="EJE39:EJF39"/>
    <mergeCell ref="EJG39:EJH39"/>
    <mergeCell ref="ENY39:ENZ39"/>
    <mergeCell ref="EOA39:EOB39"/>
    <mergeCell ref="EOC39:EOD39"/>
    <mergeCell ref="EOE39:EOF39"/>
    <mergeCell ref="EOG39:EOH39"/>
    <mergeCell ref="EOI39:EOJ39"/>
    <mergeCell ref="ENM39:ENN39"/>
    <mergeCell ref="ENO39:ENP39"/>
    <mergeCell ref="ENQ39:ENR39"/>
    <mergeCell ref="ENS39:ENT39"/>
    <mergeCell ref="ENU39:ENV39"/>
    <mergeCell ref="ENW39:ENX39"/>
    <mergeCell ref="ENA39:ENB39"/>
    <mergeCell ref="ENC39:END39"/>
    <mergeCell ref="ENE39:ENF39"/>
    <mergeCell ref="ENG39:ENH39"/>
    <mergeCell ref="ENI39:ENJ39"/>
    <mergeCell ref="ENK39:ENL39"/>
    <mergeCell ref="EMO39:EMP39"/>
    <mergeCell ref="EMQ39:EMR39"/>
    <mergeCell ref="EMS39:EMT39"/>
    <mergeCell ref="EMU39:EMV39"/>
    <mergeCell ref="EMW39:EMX39"/>
    <mergeCell ref="EMY39:EMZ39"/>
    <mergeCell ref="EMC39:EMD39"/>
    <mergeCell ref="EME39:EMF39"/>
    <mergeCell ref="EMG39:EMH39"/>
    <mergeCell ref="EMI39:EMJ39"/>
    <mergeCell ref="EMK39:EML39"/>
    <mergeCell ref="EMM39:EMN39"/>
    <mergeCell ref="ELQ39:ELR39"/>
    <mergeCell ref="ELS39:ELT39"/>
    <mergeCell ref="ELU39:ELV39"/>
    <mergeCell ref="ELW39:ELX39"/>
    <mergeCell ref="ELY39:ELZ39"/>
    <mergeCell ref="EMA39:EMB39"/>
    <mergeCell ref="EQS39:EQT39"/>
    <mergeCell ref="EQU39:EQV39"/>
    <mergeCell ref="EQW39:EQX39"/>
    <mergeCell ref="EQY39:EQZ39"/>
    <mergeCell ref="ERA39:ERB39"/>
    <mergeCell ref="ERC39:ERD39"/>
    <mergeCell ref="EQG39:EQH39"/>
    <mergeCell ref="EQI39:EQJ39"/>
    <mergeCell ref="EQK39:EQL39"/>
    <mergeCell ref="EQM39:EQN39"/>
    <mergeCell ref="EQO39:EQP39"/>
    <mergeCell ref="EQQ39:EQR39"/>
    <mergeCell ref="EPU39:EPV39"/>
    <mergeCell ref="EPW39:EPX39"/>
    <mergeCell ref="EPY39:EPZ39"/>
    <mergeCell ref="EQA39:EQB39"/>
    <mergeCell ref="EQC39:EQD39"/>
    <mergeCell ref="EQE39:EQF39"/>
    <mergeCell ref="EPI39:EPJ39"/>
    <mergeCell ref="EPK39:EPL39"/>
    <mergeCell ref="EPM39:EPN39"/>
    <mergeCell ref="EPO39:EPP39"/>
    <mergeCell ref="EPQ39:EPR39"/>
    <mergeCell ref="EPS39:EPT39"/>
    <mergeCell ref="EOW39:EOX39"/>
    <mergeCell ref="EOY39:EOZ39"/>
    <mergeCell ref="EPA39:EPB39"/>
    <mergeCell ref="EPC39:EPD39"/>
    <mergeCell ref="EPE39:EPF39"/>
    <mergeCell ref="EPG39:EPH39"/>
    <mergeCell ref="EOK39:EOL39"/>
    <mergeCell ref="EOM39:EON39"/>
    <mergeCell ref="EOO39:EOP39"/>
    <mergeCell ref="EOQ39:EOR39"/>
    <mergeCell ref="EOS39:EOT39"/>
    <mergeCell ref="EOU39:EOV39"/>
    <mergeCell ref="ETM39:ETN39"/>
    <mergeCell ref="ETO39:ETP39"/>
    <mergeCell ref="ETQ39:ETR39"/>
    <mergeCell ref="ETS39:ETT39"/>
    <mergeCell ref="ETU39:ETV39"/>
    <mergeCell ref="ETW39:ETX39"/>
    <mergeCell ref="ETA39:ETB39"/>
    <mergeCell ref="ETC39:ETD39"/>
    <mergeCell ref="ETE39:ETF39"/>
    <mergeCell ref="ETG39:ETH39"/>
    <mergeCell ref="ETI39:ETJ39"/>
    <mergeCell ref="ETK39:ETL39"/>
    <mergeCell ref="ESO39:ESP39"/>
    <mergeCell ref="ESQ39:ESR39"/>
    <mergeCell ref="ESS39:EST39"/>
    <mergeCell ref="ESU39:ESV39"/>
    <mergeCell ref="ESW39:ESX39"/>
    <mergeCell ref="ESY39:ESZ39"/>
    <mergeCell ref="ESC39:ESD39"/>
    <mergeCell ref="ESE39:ESF39"/>
    <mergeCell ref="ESG39:ESH39"/>
    <mergeCell ref="ESI39:ESJ39"/>
    <mergeCell ref="ESK39:ESL39"/>
    <mergeCell ref="ESM39:ESN39"/>
    <mergeCell ref="ERQ39:ERR39"/>
    <mergeCell ref="ERS39:ERT39"/>
    <mergeCell ref="ERU39:ERV39"/>
    <mergeCell ref="ERW39:ERX39"/>
    <mergeCell ref="ERY39:ERZ39"/>
    <mergeCell ref="ESA39:ESB39"/>
    <mergeCell ref="ERE39:ERF39"/>
    <mergeCell ref="ERG39:ERH39"/>
    <mergeCell ref="ERI39:ERJ39"/>
    <mergeCell ref="ERK39:ERL39"/>
    <mergeCell ref="ERM39:ERN39"/>
    <mergeCell ref="ERO39:ERP39"/>
    <mergeCell ref="EWG39:EWH39"/>
    <mergeCell ref="EWI39:EWJ39"/>
    <mergeCell ref="EWK39:EWL39"/>
    <mergeCell ref="EWM39:EWN39"/>
    <mergeCell ref="EWO39:EWP39"/>
    <mergeCell ref="EWQ39:EWR39"/>
    <mergeCell ref="EVU39:EVV39"/>
    <mergeCell ref="EVW39:EVX39"/>
    <mergeCell ref="EVY39:EVZ39"/>
    <mergeCell ref="EWA39:EWB39"/>
    <mergeCell ref="EWC39:EWD39"/>
    <mergeCell ref="EWE39:EWF39"/>
    <mergeCell ref="EVI39:EVJ39"/>
    <mergeCell ref="EVK39:EVL39"/>
    <mergeCell ref="EVM39:EVN39"/>
    <mergeCell ref="EVO39:EVP39"/>
    <mergeCell ref="EVQ39:EVR39"/>
    <mergeCell ref="EVS39:EVT39"/>
    <mergeCell ref="EUW39:EUX39"/>
    <mergeCell ref="EUY39:EUZ39"/>
    <mergeCell ref="EVA39:EVB39"/>
    <mergeCell ref="EVC39:EVD39"/>
    <mergeCell ref="EVE39:EVF39"/>
    <mergeCell ref="EVG39:EVH39"/>
    <mergeCell ref="EUK39:EUL39"/>
    <mergeCell ref="EUM39:EUN39"/>
    <mergeCell ref="EUO39:EUP39"/>
    <mergeCell ref="EUQ39:EUR39"/>
    <mergeCell ref="EUS39:EUT39"/>
    <mergeCell ref="EUU39:EUV39"/>
    <mergeCell ref="ETY39:ETZ39"/>
    <mergeCell ref="EUA39:EUB39"/>
    <mergeCell ref="EUC39:EUD39"/>
    <mergeCell ref="EUE39:EUF39"/>
    <mergeCell ref="EUG39:EUH39"/>
    <mergeCell ref="EUI39:EUJ39"/>
    <mergeCell ref="EZA39:EZB39"/>
    <mergeCell ref="EZC39:EZD39"/>
    <mergeCell ref="EZE39:EZF39"/>
    <mergeCell ref="EZG39:EZH39"/>
    <mergeCell ref="EZI39:EZJ39"/>
    <mergeCell ref="EZK39:EZL39"/>
    <mergeCell ref="EYO39:EYP39"/>
    <mergeCell ref="EYQ39:EYR39"/>
    <mergeCell ref="EYS39:EYT39"/>
    <mergeCell ref="EYU39:EYV39"/>
    <mergeCell ref="EYW39:EYX39"/>
    <mergeCell ref="EYY39:EYZ39"/>
    <mergeCell ref="EYC39:EYD39"/>
    <mergeCell ref="EYE39:EYF39"/>
    <mergeCell ref="EYG39:EYH39"/>
    <mergeCell ref="EYI39:EYJ39"/>
    <mergeCell ref="EYK39:EYL39"/>
    <mergeCell ref="EYM39:EYN39"/>
    <mergeCell ref="EXQ39:EXR39"/>
    <mergeCell ref="EXS39:EXT39"/>
    <mergeCell ref="EXU39:EXV39"/>
    <mergeCell ref="EXW39:EXX39"/>
    <mergeCell ref="EXY39:EXZ39"/>
    <mergeCell ref="EYA39:EYB39"/>
    <mergeCell ref="EXE39:EXF39"/>
    <mergeCell ref="EXG39:EXH39"/>
    <mergeCell ref="EXI39:EXJ39"/>
    <mergeCell ref="EXK39:EXL39"/>
    <mergeCell ref="EXM39:EXN39"/>
    <mergeCell ref="EXO39:EXP39"/>
    <mergeCell ref="EWS39:EWT39"/>
    <mergeCell ref="EWU39:EWV39"/>
    <mergeCell ref="EWW39:EWX39"/>
    <mergeCell ref="EWY39:EWZ39"/>
    <mergeCell ref="EXA39:EXB39"/>
    <mergeCell ref="EXC39:EXD39"/>
    <mergeCell ref="FBU39:FBV39"/>
    <mergeCell ref="FBW39:FBX39"/>
    <mergeCell ref="FBY39:FBZ39"/>
    <mergeCell ref="FCA39:FCB39"/>
    <mergeCell ref="FCC39:FCD39"/>
    <mergeCell ref="FCE39:FCF39"/>
    <mergeCell ref="FBI39:FBJ39"/>
    <mergeCell ref="FBK39:FBL39"/>
    <mergeCell ref="FBM39:FBN39"/>
    <mergeCell ref="FBO39:FBP39"/>
    <mergeCell ref="FBQ39:FBR39"/>
    <mergeCell ref="FBS39:FBT39"/>
    <mergeCell ref="FAW39:FAX39"/>
    <mergeCell ref="FAY39:FAZ39"/>
    <mergeCell ref="FBA39:FBB39"/>
    <mergeCell ref="FBC39:FBD39"/>
    <mergeCell ref="FBE39:FBF39"/>
    <mergeCell ref="FBG39:FBH39"/>
    <mergeCell ref="FAK39:FAL39"/>
    <mergeCell ref="FAM39:FAN39"/>
    <mergeCell ref="FAO39:FAP39"/>
    <mergeCell ref="FAQ39:FAR39"/>
    <mergeCell ref="FAS39:FAT39"/>
    <mergeCell ref="FAU39:FAV39"/>
    <mergeCell ref="EZY39:EZZ39"/>
    <mergeCell ref="FAA39:FAB39"/>
    <mergeCell ref="FAC39:FAD39"/>
    <mergeCell ref="FAE39:FAF39"/>
    <mergeCell ref="FAG39:FAH39"/>
    <mergeCell ref="FAI39:FAJ39"/>
    <mergeCell ref="EZM39:EZN39"/>
    <mergeCell ref="EZO39:EZP39"/>
    <mergeCell ref="EZQ39:EZR39"/>
    <mergeCell ref="EZS39:EZT39"/>
    <mergeCell ref="EZU39:EZV39"/>
    <mergeCell ref="EZW39:EZX39"/>
    <mergeCell ref="FEO39:FEP39"/>
    <mergeCell ref="FEQ39:FER39"/>
    <mergeCell ref="FES39:FET39"/>
    <mergeCell ref="FEU39:FEV39"/>
    <mergeCell ref="FEW39:FEX39"/>
    <mergeCell ref="FEY39:FEZ39"/>
    <mergeCell ref="FEC39:FED39"/>
    <mergeCell ref="FEE39:FEF39"/>
    <mergeCell ref="FEG39:FEH39"/>
    <mergeCell ref="FEI39:FEJ39"/>
    <mergeCell ref="FEK39:FEL39"/>
    <mergeCell ref="FEM39:FEN39"/>
    <mergeCell ref="FDQ39:FDR39"/>
    <mergeCell ref="FDS39:FDT39"/>
    <mergeCell ref="FDU39:FDV39"/>
    <mergeCell ref="FDW39:FDX39"/>
    <mergeCell ref="FDY39:FDZ39"/>
    <mergeCell ref="FEA39:FEB39"/>
    <mergeCell ref="FDE39:FDF39"/>
    <mergeCell ref="FDG39:FDH39"/>
    <mergeCell ref="FDI39:FDJ39"/>
    <mergeCell ref="FDK39:FDL39"/>
    <mergeCell ref="FDM39:FDN39"/>
    <mergeCell ref="FDO39:FDP39"/>
    <mergeCell ref="FCS39:FCT39"/>
    <mergeCell ref="FCU39:FCV39"/>
    <mergeCell ref="FCW39:FCX39"/>
    <mergeCell ref="FCY39:FCZ39"/>
    <mergeCell ref="FDA39:FDB39"/>
    <mergeCell ref="FDC39:FDD39"/>
    <mergeCell ref="FCG39:FCH39"/>
    <mergeCell ref="FCI39:FCJ39"/>
    <mergeCell ref="FCK39:FCL39"/>
    <mergeCell ref="FCM39:FCN39"/>
    <mergeCell ref="FCO39:FCP39"/>
    <mergeCell ref="FCQ39:FCR39"/>
    <mergeCell ref="FHI39:FHJ39"/>
    <mergeCell ref="FHK39:FHL39"/>
    <mergeCell ref="FHM39:FHN39"/>
    <mergeCell ref="FHO39:FHP39"/>
    <mergeCell ref="FHQ39:FHR39"/>
    <mergeCell ref="FHS39:FHT39"/>
    <mergeCell ref="FGW39:FGX39"/>
    <mergeCell ref="FGY39:FGZ39"/>
    <mergeCell ref="FHA39:FHB39"/>
    <mergeCell ref="FHC39:FHD39"/>
    <mergeCell ref="FHE39:FHF39"/>
    <mergeCell ref="FHG39:FHH39"/>
    <mergeCell ref="FGK39:FGL39"/>
    <mergeCell ref="FGM39:FGN39"/>
    <mergeCell ref="FGO39:FGP39"/>
    <mergeCell ref="FGQ39:FGR39"/>
    <mergeCell ref="FGS39:FGT39"/>
    <mergeCell ref="FGU39:FGV39"/>
    <mergeCell ref="FFY39:FFZ39"/>
    <mergeCell ref="FGA39:FGB39"/>
    <mergeCell ref="FGC39:FGD39"/>
    <mergeCell ref="FGE39:FGF39"/>
    <mergeCell ref="FGG39:FGH39"/>
    <mergeCell ref="FGI39:FGJ39"/>
    <mergeCell ref="FFM39:FFN39"/>
    <mergeCell ref="FFO39:FFP39"/>
    <mergeCell ref="FFQ39:FFR39"/>
    <mergeCell ref="FFS39:FFT39"/>
    <mergeCell ref="FFU39:FFV39"/>
    <mergeCell ref="FFW39:FFX39"/>
    <mergeCell ref="FFA39:FFB39"/>
    <mergeCell ref="FFC39:FFD39"/>
    <mergeCell ref="FFE39:FFF39"/>
    <mergeCell ref="FFG39:FFH39"/>
    <mergeCell ref="FFI39:FFJ39"/>
    <mergeCell ref="FFK39:FFL39"/>
    <mergeCell ref="FKC39:FKD39"/>
    <mergeCell ref="FKE39:FKF39"/>
    <mergeCell ref="FKG39:FKH39"/>
    <mergeCell ref="FKI39:FKJ39"/>
    <mergeCell ref="FKK39:FKL39"/>
    <mergeCell ref="FKM39:FKN39"/>
    <mergeCell ref="FJQ39:FJR39"/>
    <mergeCell ref="FJS39:FJT39"/>
    <mergeCell ref="FJU39:FJV39"/>
    <mergeCell ref="FJW39:FJX39"/>
    <mergeCell ref="FJY39:FJZ39"/>
    <mergeCell ref="FKA39:FKB39"/>
    <mergeCell ref="FJE39:FJF39"/>
    <mergeCell ref="FJG39:FJH39"/>
    <mergeCell ref="FJI39:FJJ39"/>
    <mergeCell ref="FJK39:FJL39"/>
    <mergeCell ref="FJM39:FJN39"/>
    <mergeCell ref="FJO39:FJP39"/>
    <mergeCell ref="FIS39:FIT39"/>
    <mergeCell ref="FIU39:FIV39"/>
    <mergeCell ref="FIW39:FIX39"/>
    <mergeCell ref="FIY39:FIZ39"/>
    <mergeCell ref="FJA39:FJB39"/>
    <mergeCell ref="FJC39:FJD39"/>
    <mergeCell ref="FIG39:FIH39"/>
    <mergeCell ref="FII39:FIJ39"/>
    <mergeCell ref="FIK39:FIL39"/>
    <mergeCell ref="FIM39:FIN39"/>
    <mergeCell ref="FIO39:FIP39"/>
    <mergeCell ref="FIQ39:FIR39"/>
    <mergeCell ref="FHU39:FHV39"/>
    <mergeCell ref="FHW39:FHX39"/>
    <mergeCell ref="FHY39:FHZ39"/>
    <mergeCell ref="FIA39:FIB39"/>
    <mergeCell ref="FIC39:FID39"/>
    <mergeCell ref="FIE39:FIF39"/>
    <mergeCell ref="FMW39:FMX39"/>
    <mergeCell ref="FMY39:FMZ39"/>
    <mergeCell ref="FNA39:FNB39"/>
    <mergeCell ref="FNC39:FND39"/>
    <mergeCell ref="FNE39:FNF39"/>
    <mergeCell ref="FNG39:FNH39"/>
    <mergeCell ref="FMK39:FML39"/>
    <mergeCell ref="FMM39:FMN39"/>
    <mergeCell ref="FMO39:FMP39"/>
    <mergeCell ref="FMQ39:FMR39"/>
    <mergeCell ref="FMS39:FMT39"/>
    <mergeCell ref="FMU39:FMV39"/>
    <mergeCell ref="FLY39:FLZ39"/>
    <mergeCell ref="FMA39:FMB39"/>
    <mergeCell ref="FMC39:FMD39"/>
    <mergeCell ref="FME39:FMF39"/>
    <mergeCell ref="FMG39:FMH39"/>
    <mergeCell ref="FMI39:FMJ39"/>
    <mergeCell ref="FLM39:FLN39"/>
    <mergeCell ref="FLO39:FLP39"/>
    <mergeCell ref="FLQ39:FLR39"/>
    <mergeCell ref="FLS39:FLT39"/>
    <mergeCell ref="FLU39:FLV39"/>
    <mergeCell ref="FLW39:FLX39"/>
    <mergeCell ref="FLA39:FLB39"/>
    <mergeCell ref="FLC39:FLD39"/>
    <mergeCell ref="FLE39:FLF39"/>
    <mergeCell ref="FLG39:FLH39"/>
    <mergeCell ref="FLI39:FLJ39"/>
    <mergeCell ref="FLK39:FLL39"/>
    <mergeCell ref="FKO39:FKP39"/>
    <mergeCell ref="FKQ39:FKR39"/>
    <mergeCell ref="FKS39:FKT39"/>
    <mergeCell ref="FKU39:FKV39"/>
    <mergeCell ref="FKW39:FKX39"/>
    <mergeCell ref="FKY39:FKZ39"/>
    <mergeCell ref="FPQ39:FPR39"/>
    <mergeCell ref="FPS39:FPT39"/>
    <mergeCell ref="FPU39:FPV39"/>
    <mergeCell ref="FPW39:FPX39"/>
    <mergeCell ref="FPY39:FPZ39"/>
    <mergeCell ref="FQA39:FQB39"/>
    <mergeCell ref="FPE39:FPF39"/>
    <mergeCell ref="FPG39:FPH39"/>
    <mergeCell ref="FPI39:FPJ39"/>
    <mergeCell ref="FPK39:FPL39"/>
    <mergeCell ref="FPM39:FPN39"/>
    <mergeCell ref="FPO39:FPP39"/>
    <mergeCell ref="FOS39:FOT39"/>
    <mergeCell ref="FOU39:FOV39"/>
    <mergeCell ref="FOW39:FOX39"/>
    <mergeCell ref="FOY39:FOZ39"/>
    <mergeCell ref="FPA39:FPB39"/>
    <mergeCell ref="FPC39:FPD39"/>
    <mergeCell ref="FOG39:FOH39"/>
    <mergeCell ref="FOI39:FOJ39"/>
    <mergeCell ref="FOK39:FOL39"/>
    <mergeCell ref="FOM39:FON39"/>
    <mergeCell ref="FOO39:FOP39"/>
    <mergeCell ref="FOQ39:FOR39"/>
    <mergeCell ref="FNU39:FNV39"/>
    <mergeCell ref="FNW39:FNX39"/>
    <mergeCell ref="FNY39:FNZ39"/>
    <mergeCell ref="FOA39:FOB39"/>
    <mergeCell ref="FOC39:FOD39"/>
    <mergeCell ref="FOE39:FOF39"/>
    <mergeCell ref="FNI39:FNJ39"/>
    <mergeCell ref="FNK39:FNL39"/>
    <mergeCell ref="FNM39:FNN39"/>
    <mergeCell ref="FNO39:FNP39"/>
    <mergeCell ref="FNQ39:FNR39"/>
    <mergeCell ref="FNS39:FNT39"/>
    <mergeCell ref="FSK39:FSL39"/>
    <mergeCell ref="FSM39:FSN39"/>
    <mergeCell ref="FSO39:FSP39"/>
    <mergeCell ref="FSQ39:FSR39"/>
    <mergeCell ref="FSS39:FST39"/>
    <mergeCell ref="FSU39:FSV39"/>
    <mergeCell ref="FRY39:FRZ39"/>
    <mergeCell ref="FSA39:FSB39"/>
    <mergeCell ref="FSC39:FSD39"/>
    <mergeCell ref="FSE39:FSF39"/>
    <mergeCell ref="FSG39:FSH39"/>
    <mergeCell ref="FSI39:FSJ39"/>
    <mergeCell ref="FRM39:FRN39"/>
    <mergeCell ref="FRO39:FRP39"/>
    <mergeCell ref="FRQ39:FRR39"/>
    <mergeCell ref="FRS39:FRT39"/>
    <mergeCell ref="FRU39:FRV39"/>
    <mergeCell ref="FRW39:FRX39"/>
    <mergeCell ref="FRA39:FRB39"/>
    <mergeCell ref="FRC39:FRD39"/>
    <mergeCell ref="FRE39:FRF39"/>
    <mergeCell ref="FRG39:FRH39"/>
    <mergeCell ref="FRI39:FRJ39"/>
    <mergeCell ref="FRK39:FRL39"/>
    <mergeCell ref="FQO39:FQP39"/>
    <mergeCell ref="FQQ39:FQR39"/>
    <mergeCell ref="FQS39:FQT39"/>
    <mergeCell ref="FQU39:FQV39"/>
    <mergeCell ref="FQW39:FQX39"/>
    <mergeCell ref="FQY39:FQZ39"/>
    <mergeCell ref="FQC39:FQD39"/>
    <mergeCell ref="FQE39:FQF39"/>
    <mergeCell ref="FQG39:FQH39"/>
    <mergeCell ref="FQI39:FQJ39"/>
    <mergeCell ref="FQK39:FQL39"/>
    <mergeCell ref="FQM39:FQN39"/>
    <mergeCell ref="FVE39:FVF39"/>
    <mergeCell ref="FVG39:FVH39"/>
    <mergeCell ref="FVI39:FVJ39"/>
    <mergeCell ref="FVK39:FVL39"/>
    <mergeCell ref="FVM39:FVN39"/>
    <mergeCell ref="FVO39:FVP39"/>
    <mergeCell ref="FUS39:FUT39"/>
    <mergeCell ref="FUU39:FUV39"/>
    <mergeCell ref="FUW39:FUX39"/>
    <mergeCell ref="FUY39:FUZ39"/>
    <mergeCell ref="FVA39:FVB39"/>
    <mergeCell ref="FVC39:FVD39"/>
    <mergeCell ref="FUG39:FUH39"/>
    <mergeCell ref="FUI39:FUJ39"/>
    <mergeCell ref="FUK39:FUL39"/>
    <mergeCell ref="FUM39:FUN39"/>
    <mergeCell ref="FUO39:FUP39"/>
    <mergeCell ref="FUQ39:FUR39"/>
    <mergeCell ref="FTU39:FTV39"/>
    <mergeCell ref="FTW39:FTX39"/>
    <mergeCell ref="FTY39:FTZ39"/>
    <mergeCell ref="FUA39:FUB39"/>
    <mergeCell ref="FUC39:FUD39"/>
    <mergeCell ref="FUE39:FUF39"/>
    <mergeCell ref="FTI39:FTJ39"/>
    <mergeCell ref="FTK39:FTL39"/>
    <mergeCell ref="FTM39:FTN39"/>
    <mergeCell ref="FTO39:FTP39"/>
    <mergeCell ref="FTQ39:FTR39"/>
    <mergeCell ref="FTS39:FTT39"/>
    <mergeCell ref="FSW39:FSX39"/>
    <mergeCell ref="FSY39:FSZ39"/>
    <mergeCell ref="FTA39:FTB39"/>
    <mergeCell ref="FTC39:FTD39"/>
    <mergeCell ref="FTE39:FTF39"/>
    <mergeCell ref="FTG39:FTH39"/>
    <mergeCell ref="FXY39:FXZ39"/>
    <mergeCell ref="FYA39:FYB39"/>
    <mergeCell ref="FYC39:FYD39"/>
    <mergeCell ref="FYE39:FYF39"/>
    <mergeCell ref="FYG39:FYH39"/>
    <mergeCell ref="FYI39:FYJ39"/>
    <mergeCell ref="FXM39:FXN39"/>
    <mergeCell ref="FXO39:FXP39"/>
    <mergeCell ref="FXQ39:FXR39"/>
    <mergeCell ref="FXS39:FXT39"/>
    <mergeCell ref="FXU39:FXV39"/>
    <mergeCell ref="FXW39:FXX39"/>
    <mergeCell ref="FXA39:FXB39"/>
    <mergeCell ref="FXC39:FXD39"/>
    <mergeCell ref="FXE39:FXF39"/>
    <mergeCell ref="FXG39:FXH39"/>
    <mergeCell ref="FXI39:FXJ39"/>
    <mergeCell ref="FXK39:FXL39"/>
    <mergeCell ref="FWO39:FWP39"/>
    <mergeCell ref="FWQ39:FWR39"/>
    <mergeCell ref="FWS39:FWT39"/>
    <mergeCell ref="FWU39:FWV39"/>
    <mergeCell ref="FWW39:FWX39"/>
    <mergeCell ref="FWY39:FWZ39"/>
    <mergeCell ref="FWC39:FWD39"/>
    <mergeCell ref="FWE39:FWF39"/>
    <mergeCell ref="FWG39:FWH39"/>
    <mergeCell ref="FWI39:FWJ39"/>
    <mergeCell ref="FWK39:FWL39"/>
    <mergeCell ref="FWM39:FWN39"/>
    <mergeCell ref="FVQ39:FVR39"/>
    <mergeCell ref="FVS39:FVT39"/>
    <mergeCell ref="FVU39:FVV39"/>
    <mergeCell ref="FVW39:FVX39"/>
    <mergeCell ref="FVY39:FVZ39"/>
    <mergeCell ref="FWA39:FWB39"/>
    <mergeCell ref="GAS39:GAT39"/>
    <mergeCell ref="GAU39:GAV39"/>
    <mergeCell ref="GAW39:GAX39"/>
    <mergeCell ref="GAY39:GAZ39"/>
    <mergeCell ref="GBA39:GBB39"/>
    <mergeCell ref="GBC39:GBD39"/>
    <mergeCell ref="GAG39:GAH39"/>
    <mergeCell ref="GAI39:GAJ39"/>
    <mergeCell ref="GAK39:GAL39"/>
    <mergeCell ref="GAM39:GAN39"/>
    <mergeCell ref="GAO39:GAP39"/>
    <mergeCell ref="GAQ39:GAR39"/>
    <mergeCell ref="FZU39:FZV39"/>
    <mergeCell ref="FZW39:FZX39"/>
    <mergeCell ref="FZY39:FZZ39"/>
    <mergeCell ref="GAA39:GAB39"/>
    <mergeCell ref="GAC39:GAD39"/>
    <mergeCell ref="GAE39:GAF39"/>
    <mergeCell ref="FZI39:FZJ39"/>
    <mergeCell ref="FZK39:FZL39"/>
    <mergeCell ref="FZM39:FZN39"/>
    <mergeCell ref="FZO39:FZP39"/>
    <mergeCell ref="FZQ39:FZR39"/>
    <mergeCell ref="FZS39:FZT39"/>
    <mergeCell ref="FYW39:FYX39"/>
    <mergeCell ref="FYY39:FYZ39"/>
    <mergeCell ref="FZA39:FZB39"/>
    <mergeCell ref="FZC39:FZD39"/>
    <mergeCell ref="FZE39:FZF39"/>
    <mergeCell ref="FZG39:FZH39"/>
    <mergeCell ref="FYK39:FYL39"/>
    <mergeCell ref="FYM39:FYN39"/>
    <mergeCell ref="FYO39:FYP39"/>
    <mergeCell ref="FYQ39:FYR39"/>
    <mergeCell ref="FYS39:FYT39"/>
    <mergeCell ref="FYU39:FYV39"/>
    <mergeCell ref="GDM39:GDN39"/>
    <mergeCell ref="GDO39:GDP39"/>
    <mergeCell ref="GDQ39:GDR39"/>
    <mergeCell ref="GDS39:GDT39"/>
    <mergeCell ref="GDU39:GDV39"/>
    <mergeCell ref="GDW39:GDX39"/>
    <mergeCell ref="GDA39:GDB39"/>
    <mergeCell ref="GDC39:GDD39"/>
    <mergeCell ref="GDE39:GDF39"/>
    <mergeCell ref="GDG39:GDH39"/>
    <mergeCell ref="GDI39:GDJ39"/>
    <mergeCell ref="GDK39:GDL39"/>
    <mergeCell ref="GCO39:GCP39"/>
    <mergeCell ref="GCQ39:GCR39"/>
    <mergeCell ref="GCS39:GCT39"/>
    <mergeCell ref="GCU39:GCV39"/>
    <mergeCell ref="GCW39:GCX39"/>
    <mergeCell ref="GCY39:GCZ39"/>
    <mergeCell ref="GCC39:GCD39"/>
    <mergeCell ref="GCE39:GCF39"/>
    <mergeCell ref="GCG39:GCH39"/>
    <mergeCell ref="GCI39:GCJ39"/>
    <mergeCell ref="GCK39:GCL39"/>
    <mergeCell ref="GCM39:GCN39"/>
    <mergeCell ref="GBQ39:GBR39"/>
    <mergeCell ref="GBS39:GBT39"/>
    <mergeCell ref="GBU39:GBV39"/>
    <mergeCell ref="GBW39:GBX39"/>
    <mergeCell ref="GBY39:GBZ39"/>
    <mergeCell ref="GCA39:GCB39"/>
    <mergeCell ref="GBE39:GBF39"/>
    <mergeCell ref="GBG39:GBH39"/>
    <mergeCell ref="GBI39:GBJ39"/>
    <mergeCell ref="GBK39:GBL39"/>
    <mergeCell ref="GBM39:GBN39"/>
    <mergeCell ref="GBO39:GBP39"/>
    <mergeCell ref="GGG39:GGH39"/>
    <mergeCell ref="GGI39:GGJ39"/>
    <mergeCell ref="GGK39:GGL39"/>
    <mergeCell ref="GGM39:GGN39"/>
    <mergeCell ref="GGO39:GGP39"/>
    <mergeCell ref="GGQ39:GGR39"/>
    <mergeCell ref="GFU39:GFV39"/>
    <mergeCell ref="GFW39:GFX39"/>
    <mergeCell ref="GFY39:GFZ39"/>
    <mergeCell ref="GGA39:GGB39"/>
    <mergeCell ref="GGC39:GGD39"/>
    <mergeCell ref="GGE39:GGF39"/>
    <mergeCell ref="GFI39:GFJ39"/>
    <mergeCell ref="GFK39:GFL39"/>
    <mergeCell ref="GFM39:GFN39"/>
    <mergeCell ref="GFO39:GFP39"/>
    <mergeCell ref="GFQ39:GFR39"/>
    <mergeCell ref="GFS39:GFT39"/>
    <mergeCell ref="GEW39:GEX39"/>
    <mergeCell ref="GEY39:GEZ39"/>
    <mergeCell ref="GFA39:GFB39"/>
    <mergeCell ref="GFC39:GFD39"/>
    <mergeCell ref="GFE39:GFF39"/>
    <mergeCell ref="GFG39:GFH39"/>
    <mergeCell ref="GEK39:GEL39"/>
    <mergeCell ref="GEM39:GEN39"/>
    <mergeCell ref="GEO39:GEP39"/>
    <mergeCell ref="GEQ39:GER39"/>
    <mergeCell ref="GES39:GET39"/>
    <mergeCell ref="GEU39:GEV39"/>
    <mergeCell ref="GDY39:GDZ39"/>
    <mergeCell ref="GEA39:GEB39"/>
    <mergeCell ref="GEC39:GED39"/>
    <mergeCell ref="GEE39:GEF39"/>
    <mergeCell ref="GEG39:GEH39"/>
    <mergeCell ref="GEI39:GEJ39"/>
    <mergeCell ref="GJA39:GJB39"/>
    <mergeCell ref="GJC39:GJD39"/>
    <mergeCell ref="GJE39:GJF39"/>
    <mergeCell ref="GJG39:GJH39"/>
    <mergeCell ref="GJI39:GJJ39"/>
    <mergeCell ref="GJK39:GJL39"/>
    <mergeCell ref="GIO39:GIP39"/>
    <mergeCell ref="GIQ39:GIR39"/>
    <mergeCell ref="GIS39:GIT39"/>
    <mergeCell ref="GIU39:GIV39"/>
    <mergeCell ref="GIW39:GIX39"/>
    <mergeCell ref="GIY39:GIZ39"/>
    <mergeCell ref="GIC39:GID39"/>
    <mergeCell ref="GIE39:GIF39"/>
    <mergeCell ref="GIG39:GIH39"/>
    <mergeCell ref="GII39:GIJ39"/>
    <mergeCell ref="GIK39:GIL39"/>
    <mergeCell ref="GIM39:GIN39"/>
    <mergeCell ref="GHQ39:GHR39"/>
    <mergeCell ref="GHS39:GHT39"/>
    <mergeCell ref="GHU39:GHV39"/>
    <mergeCell ref="GHW39:GHX39"/>
    <mergeCell ref="GHY39:GHZ39"/>
    <mergeCell ref="GIA39:GIB39"/>
    <mergeCell ref="GHE39:GHF39"/>
    <mergeCell ref="GHG39:GHH39"/>
    <mergeCell ref="GHI39:GHJ39"/>
    <mergeCell ref="GHK39:GHL39"/>
    <mergeCell ref="GHM39:GHN39"/>
    <mergeCell ref="GHO39:GHP39"/>
    <mergeCell ref="GGS39:GGT39"/>
    <mergeCell ref="GGU39:GGV39"/>
    <mergeCell ref="GGW39:GGX39"/>
    <mergeCell ref="GGY39:GGZ39"/>
    <mergeCell ref="GHA39:GHB39"/>
    <mergeCell ref="GHC39:GHD39"/>
    <mergeCell ref="GLU39:GLV39"/>
    <mergeCell ref="GLW39:GLX39"/>
    <mergeCell ref="GLY39:GLZ39"/>
    <mergeCell ref="GMA39:GMB39"/>
    <mergeCell ref="GMC39:GMD39"/>
    <mergeCell ref="GME39:GMF39"/>
    <mergeCell ref="GLI39:GLJ39"/>
    <mergeCell ref="GLK39:GLL39"/>
    <mergeCell ref="GLM39:GLN39"/>
    <mergeCell ref="GLO39:GLP39"/>
    <mergeCell ref="GLQ39:GLR39"/>
    <mergeCell ref="GLS39:GLT39"/>
    <mergeCell ref="GKW39:GKX39"/>
    <mergeCell ref="GKY39:GKZ39"/>
    <mergeCell ref="GLA39:GLB39"/>
    <mergeCell ref="GLC39:GLD39"/>
    <mergeCell ref="GLE39:GLF39"/>
    <mergeCell ref="GLG39:GLH39"/>
    <mergeCell ref="GKK39:GKL39"/>
    <mergeCell ref="GKM39:GKN39"/>
    <mergeCell ref="GKO39:GKP39"/>
    <mergeCell ref="GKQ39:GKR39"/>
    <mergeCell ref="GKS39:GKT39"/>
    <mergeCell ref="GKU39:GKV39"/>
    <mergeCell ref="GJY39:GJZ39"/>
    <mergeCell ref="GKA39:GKB39"/>
    <mergeCell ref="GKC39:GKD39"/>
    <mergeCell ref="GKE39:GKF39"/>
    <mergeCell ref="GKG39:GKH39"/>
    <mergeCell ref="GKI39:GKJ39"/>
    <mergeCell ref="GJM39:GJN39"/>
    <mergeCell ref="GJO39:GJP39"/>
    <mergeCell ref="GJQ39:GJR39"/>
    <mergeCell ref="GJS39:GJT39"/>
    <mergeCell ref="GJU39:GJV39"/>
    <mergeCell ref="GJW39:GJX39"/>
    <mergeCell ref="GOO39:GOP39"/>
    <mergeCell ref="GOQ39:GOR39"/>
    <mergeCell ref="GOS39:GOT39"/>
    <mergeCell ref="GOU39:GOV39"/>
    <mergeCell ref="GOW39:GOX39"/>
    <mergeCell ref="GOY39:GOZ39"/>
    <mergeCell ref="GOC39:GOD39"/>
    <mergeCell ref="GOE39:GOF39"/>
    <mergeCell ref="GOG39:GOH39"/>
    <mergeCell ref="GOI39:GOJ39"/>
    <mergeCell ref="GOK39:GOL39"/>
    <mergeCell ref="GOM39:GON39"/>
    <mergeCell ref="GNQ39:GNR39"/>
    <mergeCell ref="GNS39:GNT39"/>
    <mergeCell ref="GNU39:GNV39"/>
    <mergeCell ref="GNW39:GNX39"/>
    <mergeCell ref="GNY39:GNZ39"/>
    <mergeCell ref="GOA39:GOB39"/>
    <mergeCell ref="GNE39:GNF39"/>
    <mergeCell ref="GNG39:GNH39"/>
    <mergeCell ref="GNI39:GNJ39"/>
    <mergeCell ref="GNK39:GNL39"/>
    <mergeCell ref="GNM39:GNN39"/>
    <mergeCell ref="GNO39:GNP39"/>
    <mergeCell ref="GMS39:GMT39"/>
    <mergeCell ref="GMU39:GMV39"/>
    <mergeCell ref="GMW39:GMX39"/>
    <mergeCell ref="GMY39:GMZ39"/>
    <mergeCell ref="GNA39:GNB39"/>
    <mergeCell ref="GNC39:GND39"/>
    <mergeCell ref="GMG39:GMH39"/>
    <mergeCell ref="GMI39:GMJ39"/>
    <mergeCell ref="GMK39:GML39"/>
    <mergeCell ref="GMM39:GMN39"/>
    <mergeCell ref="GMO39:GMP39"/>
    <mergeCell ref="GMQ39:GMR39"/>
    <mergeCell ref="GRI39:GRJ39"/>
    <mergeCell ref="GRK39:GRL39"/>
    <mergeCell ref="GRM39:GRN39"/>
    <mergeCell ref="GRO39:GRP39"/>
    <mergeCell ref="GRQ39:GRR39"/>
    <mergeCell ref="GRS39:GRT39"/>
    <mergeCell ref="GQW39:GQX39"/>
    <mergeCell ref="GQY39:GQZ39"/>
    <mergeCell ref="GRA39:GRB39"/>
    <mergeCell ref="GRC39:GRD39"/>
    <mergeCell ref="GRE39:GRF39"/>
    <mergeCell ref="GRG39:GRH39"/>
    <mergeCell ref="GQK39:GQL39"/>
    <mergeCell ref="GQM39:GQN39"/>
    <mergeCell ref="GQO39:GQP39"/>
    <mergeCell ref="GQQ39:GQR39"/>
    <mergeCell ref="GQS39:GQT39"/>
    <mergeCell ref="GQU39:GQV39"/>
    <mergeCell ref="GPY39:GPZ39"/>
    <mergeCell ref="GQA39:GQB39"/>
    <mergeCell ref="GQC39:GQD39"/>
    <mergeCell ref="GQE39:GQF39"/>
    <mergeCell ref="GQG39:GQH39"/>
    <mergeCell ref="GQI39:GQJ39"/>
    <mergeCell ref="GPM39:GPN39"/>
    <mergeCell ref="GPO39:GPP39"/>
    <mergeCell ref="GPQ39:GPR39"/>
    <mergeCell ref="GPS39:GPT39"/>
    <mergeCell ref="GPU39:GPV39"/>
    <mergeCell ref="GPW39:GPX39"/>
    <mergeCell ref="GPA39:GPB39"/>
    <mergeCell ref="GPC39:GPD39"/>
    <mergeCell ref="GPE39:GPF39"/>
    <mergeCell ref="GPG39:GPH39"/>
    <mergeCell ref="GPI39:GPJ39"/>
    <mergeCell ref="GPK39:GPL39"/>
    <mergeCell ref="GUC39:GUD39"/>
    <mergeCell ref="GUE39:GUF39"/>
    <mergeCell ref="GUG39:GUH39"/>
    <mergeCell ref="GUI39:GUJ39"/>
    <mergeCell ref="GUK39:GUL39"/>
    <mergeCell ref="GUM39:GUN39"/>
    <mergeCell ref="GTQ39:GTR39"/>
    <mergeCell ref="GTS39:GTT39"/>
    <mergeCell ref="GTU39:GTV39"/>
    <mergeCell ref="GTW39:GTX39"/>
    <mergeCell ref="GTY39:GTZ39"/>
    <mergeCell ref="GUA39:GUB39"/>
    <mergeCell ref="GTE39:GTF39"/>
    <mergeCell ref="GTG39:GTH39"/>
    <mergeCell ref="GTI39:GTJ39"/>
    <mergeCell ref="GTK39:GTL39"/>
    <mergeCell ref="GTM39:GTN39"/>
    <mergeCell ref="GTO39:GTP39"/>
    <mergeCell ref="GSS39:GST39"/>
    <mergeCell ref="GSU39:GSV39"/>
    <mergeCell ref="GSW39:GSX39"/>
    <mergeCell ref="GSY39:GSZ39"/>
    <mergeCell ref="GTA39:GTB39"/>
    <mergeCell ref="GTC39:GTD39"/>
    <mergeCell ref="GSG39:GSH39"/>
    <mergeCell ref="GSI39:GSJ39"/>
    <mergeCell ref="GSK39:GSL39"/>
    <mergeCell ref="GSM39:GSN39"/>
    <mergeCell ref="GSO39:GSP39"/>
    <mergeCell ref="GSQ39:GSR39"/>
    <mergeCell ref="GRU39:GRV39"/>
    <mergeCell ref="GRW39:GRX39"/>
    <mergeCell ref="GRY39:GRZ39"/>
    <mergeCell ref="GSA39:GSB39"/>
    <mergeCell ref="GSC39:GSD39"/>
    <mergeCell ref="GSE39:GSF39"/>
    <mergeCell ref="GWW39:GWX39"/>
    <mergeCell ref="GWY39:GWZ39"/>
    <mergeCell ref="GXA39:GXB39"/>
    <mergeCell ref="GXC39:GXD39"/>
    <mergeCell ref="GXE39:GXF39"/>
    <mergeCell ref="GXG39:GXH39"/>
    <mergeCell ref="GWK39:GWL39"/>
    <mergeCell ref="GWM39:GWN39"/>
    <mergeCell ref="GWO39:GWP39"/>
    <mergeCell ref="GWQ39:GWR39"/>
    <mergeCell ref="GWS39:GWT39"/>
    <mergeCell ref="GWU39:GWV39"/>
    <mergeCell ref="GVY39:GVZ39"/>
    <mergeCell ref="GWA39:GWB39"/>
    <mergeCell ref="GWC39:GWD39"/>
    <mergeCell ref="GWE39:GWF39"/>
    <mergeCell ref="GWG39:GWH39"/>
    <mergeCell ref="GWI39:GWJ39"/>
    <mergeCell ref="GVM39:GVN39"/>
    <mergeCell ref="GVO39:GVP39"/>
    <mergeCell ref="GVQ39:GVR39"/>
    <mergeCell ref="GVS39:GVT39"/>
    <mergeCell ref="GVU39:GVV39"/>
    <mergeCell ref="GVW39:GVX39"/>
    <mergeCell ref="GVA39:GVB39"/>
    <mergeCell ref="GVC39:GVD39"/>
    <mergeCell ref="GVE39:GVF39"/>
    <mergeCell ref="GVG39:GVH39"/>
    <mergeCell ref="GVI39:GVJ39"/>
    <mergeCell ref="GVK39:GVL39"/>
    <mergeCell ref="GUO39:GUP39"/>
    <mergeCell ref="GUQ39:GUR39"/>
    <mergeCell ref="GUS39:GUT39"/>
    <mergeCell ref="GUU39:GUV39"/>
    <mergeCell ref="GUW39:GUX39"/>
    <mergeCell ref="GUY39:GUZ39"/>
    <mergeCell ref="GZQ39:GZR39"/>
    <mergeCell ref="GZS39:GZT39"/>
    <mergeCell ref="GZU39:GZV39"/>
    <mergeCell ref="GZW39:GZX39"/>
    <mergeCell ref="GZY39:GZZ39"/>
    <mergeCell ref="HAA39:HAB39"/>
    <mergeCell ref="GZE39:GZF39"/>
    <mergeCell ref="GZG39:GZH39"/>
    <mergeCell ref="GZI39:GZJ39"/>
    <mergeCell ref="GZK39:GZL39"/>
    <mergeCell ref="GZM39:GZN39"/>
    <mergeCell ref="GZO39:GZP39"/>
    <mergeCell ref="GYS39:GYT39"/>
    <mergeCell ref="GYU39:GYV39"/>
    <mergeCell ref="GYW39:GYX39"/>
    <mergeCell ref="GYY39:GYZ39"/>
    <mergeCell ref="GZA39:GZB39"/>
    <mergeCell ref="GZC39:GZD39"/>
    <mergeCell ref="GYG39:GYH39"/>
    <mergeCell ref="GYI39:GYJ39"/>
    <mergeCell ref="GYK39:GYL39"/>
    <mergeCell ref="GYM39:GYN39"/>
    <mergeCell ref="GYO39:GYP39"/>
    <mergeCell ref="GYQ39:GYR39"/>
    <mergeCell ref="GXU39:GXV39"/>
    <mergeCell ref="GXW39:GXX39"/>
    <mergeCell ref="GXY39:GXZ39"/>
    <mergeCell ref="GYA39:GYB39"/>
    <mergeCell ref="GYC39:GYD39"/>
    <mergeCell ref="GYE39:GYF39"/>
    <mergeCell ref="GXI39:GXJ39"/>
    <mergeCell ref="GXK39:GXL39"/>
    <mergeCell ref="GXM39:GXN39"/>
    <mergeCell ref="GXO39:GXP39"/>
    <mergeCell ref="GXQ39:GXR39"/>
    <mergeCell ref="GXS39:GXT39"/>
    <mergeCell ref="HCK39:HCL39"/>
    <mergeCell ref="HCM39:HCN39"/>
    <mergeCell ref="HCO39:HCP39"/>
    <mergeCell ref="HCQ39:HCR39"/>
    <mergeCell ref="HCS39:HCT39"/>
    <mergeCell ref="HCU39:HCV39"/>
    <mergeCell ref="HBY39:HBZ39"/>
    <mergeCell ref="HCA39:HCB39"/>
    <mergeCell ref="HCC39:HCD39"/>
    <mergeCell ref="HCE39:HCF39"/>
    <mergeCell ref="HCG39:HCH39"/>
    <mergeCell ref="HCI39:HCJ39"/>
    <mergeCell ref="HBM39:HBN39"/>
    <mergeCell ref="HBO39:HBP39"/>
    <mergeCell ref="HBQ39:HBR39"/>
    <mergeCell ref="HBS39:HBT39"/>
    <mergeCell ref="HBU39:HBV39"/>
    <mergeCell ref="HBW39:HBX39"/>
    <mergeCell ref="HBA39:HBB39"/>
    <mergeCell ref="HBC39:HBD39"/>
    <mergeCell ref="HBE39:HBF39"/>
    <mergeCell ref="HBG39:HBH39"/>
    <mergeCell ref="HBI39:HBJ39"/>
    <mergeCell ref="HBK39:HBL39"/>
    <mergeCell ref="HAO39:HAP39"/>
    <mergeCell ref="HAQ39:HAR39"/>
    <mergeCell ref="HAS39:HAT39"/>
    <mergeCell ref="HAU39:HAV39"/>
    <mergeCell ref="HAW39:HAX39"/>
    <mergeCell ref="HAY39:HAZ39"/>
    <mergeCell ref="HAC39:HAD39"/>
    <mergeCell ref="HAE39:HAF39"/>
    <mergeCell ref="HAG39:HAH39"/>
    <mergeCell ref="HAI39:HAJ39"/>
    <mergeCell ref="HAK39:HAL39"/>
    <mergeCell ref="HAM39:HAN39"/>
    <mergeCell ref="HFE39:HFF39"/>
    <mergeCell ref="HFG39:HFH39"/>
    <mergeCell ref="HFI39:HFJ39"/>
    <mergeCell ref="HFK39:HFL39"/>
    <mergeCell ref="HFM39:HFN39"/>
    <mergeCell ref="HFO39:HFP39"/>
    <mergeCell ref="HES39:HET39"/>
    <mergeCell ref="HEU39:HEV39"/>
    <mergeCell ref="HEW39:HEX39"/>
    <mergeCell ref="HEY39:HEZ39"/>
    <mergeCell ref="HFA39:HFB39"/>
    <mergeCell ref="HFC39:HFD39"/>
    <mergeCell ref="HEG39:HEH39"/>
    <mergeCell ref="HEI39:HEJ39"/>
    <mergeCell ref="HEK39:HEL39"/>
    <mergeCell ref="HEM39:HEN39"/>
    <mergeCell ref="HEO39:HEP39"/>
    <mergeCell ref="HEQ39:HER39"/>
    <mergeCell ref="HDU39:HDV39"/>
    <mergeCell ref="HDW39:HDX39"/>
    <mergeCell ref="HDY39:HDZ39"/>
    <mergeCell ref="HEA39:HEB39"/>
    <mergeCell ref="HEC39:HED39"/>
    <mergeCell ref="HEE39:HEF39"/>
    <mergeCell ref="HDI39:HDJ39"/>
    <mergeCell ref="HDK39:HDL39"/>
    <mergeCell ref="HDM39:HDN39"/>
    <mergeCell ref="HDO39:HDP39"/>
    <mergeCell ref="HDQ39:HDR39"/>
    <mergeCell ref="HDS39:HDT39"/>
    <mergeCell ref="HCW39:HCX39"/>
    <mergeCell ref="HCY39:HCZ39"/>
    <mergeCell ref="HDA39:HDB39"/>
    <mergeCell ref="HDC39:HDD39"/>
    <mergeCell ref="HDE39:HDF39"/>
    <mergeCell ref="HDG39:HDH39"/>
    <mergeCell ref="HHY39:HHZ39"/>
    <mergeCell ref="HIA39:HIB39"/>
    <mergeCell ref="HIC39:HID39"/>
    <mergeCell ref="HIE39:HIF39"/>
    <mergeCell ref="HIG39:HIH39"/>
    <mergeCell ref="HII39:HIJ39"/>
    <mergeCell ref="HHM39:HHN39"/>
    <mergeCell ref="HHO39:HHP39"/>
    <mergeCell ref="HHQ39:HHR39"/>
    <mergeCell ref="HHS39:HHT39"/>
    <mergeCell ref="HHU39:HHV39"/>
    <mergeCell ref="HHW39:HHX39"/>
    <mergeCell ref="HHA39:HHB39"/>
    <mergeCell ref="HHC39:HHD39"/>
    <mergeCell ref="HHE39:HHF39"/>
    <mergeCell ref="HHG39:HHH39"/>
    <mergeCell ref="HHI39:HHJ39"/>
    <mergeCell ref="HHK39:HHL39"/>
    <mergeCell ref="HGO39:HGP39"/>
    <mergeCell ref="HGQ39:HGR39"/>
    <mergeCell ref="HGS39:HGT39"/>
    <mergeCell ref="HGU39:HGV39"/>
    <mergeCell ref="HGW39:HGX39"/>
    <mergeCell ref="HGY39:HGZ39"/>
    <mergeCell ref="HGC39:HGD39"/>
    <mergeCell ref="HGE39:HGF39"/>
    <mergeCell ref="HGG39:HGH39"/>
    <mergeCell ref="HGI39:HGJ39"/>
    <mergeCell ref="HGK39:HGL39"/>
    <mergeCell ref="HGM39:HGN39"/>
    <mergeCell ref="HFQ39:HFR39"/>
    <mergeCell ref="HFS39:HFT39"/>
    <mergeCell ref="HFU39:HFV39"/>
    <mergeCell ref="HFW39:HFX39"/>
    <mergeCell ref="HFY39:HFZ39"/>
    <mergeCell ref="HGA39:HGB39"/>
    <mergeCell ref="HKS39:HKT39"/>
    <mergeCell ref="HKU39:HKV39"/>
    <mergeCell ref="HKW39:HKX39"/>
    <mergeCell ref="HKY39:HKZ39"/>
    <mergeCell ref="HLA39:HLB39"/>
    <mergeCell ref="HLC39:HLD39"/>
    <mergeCell ref="HKG39:HKH39"/>
    <mergeCell ref="HKI39:HKJ39"/>
    <mergeCell ref="HKK39:HKL39"/>
    <mergeCell ref="HKM39:HKN39"/>
    <mergeCell ref="HKO39:HKP39"/>
    <mergeCell ref="HKQ39:HKR39"/>
    <mergeCell ref="HJU39:HJV39"/>
    <mergeCell ref="HJW39:HJX39"/>
    <mergeCell ref="HJY39:HJZ39"/>
    <mergeCell ref="HKA39:HKB39"/>
    <mergeCell ref="HKC39:HKD39"/>
    <mergeCell ref="HKE39:HKF39"/>
    <mergeCell ref="HJI39:HJJ39"/>
    <mergeCell ref="HJK39:HJL39"/>
    <mergeCell ref="HJM39:HJN39"/>
    <mergeCell ref="HJO39:HJP39"/>
    <mergeCell ref="HJQ39:HJR39"/>
    <mergeCell ref="HJS39:HJT39"/>
    <mergeCell ref="HIW39:HIX39"/>
    <mergeCell ref="HIY39:HIZ39"/>
    <mergeCell ref="HJA39:HJB39"/>
    <mergeCell ref="HJC39:HJD39"/>
    <mergeCell ref="HJE39:HJF39"/>
    <mergeCell ref="HJG39:HJH39"/>
    <mergeCell ref="HIK39:HIL39"/>
    <mergeCell ref="HIM39:HIN39"/>
    <mergeCell ref="HIO39:HIP39"/>
    <mergeCell ref="HIQ39:HIR39"/>
    <mergeCell ref="HIS39:HIT39"/>
    <mergeCell ref="HIU39:HIV39"/>
    <mergeCell ref="HNM39:HNN39"/>
    <mergeCell ref="HNO39:HNP39"/>
    <mergeCell ref="HNQ39:HNR39"/>
    <mergeCell ref="HNS39:HNT39"/>
    <mergeCell ref="HNU39:HNV39"/>
    <mergeCell ref="HNW39:HNX39"/>
    <mergeCell ref="HNA39:HNB39"/>
    <mergeCell ref="HNC39:HND39"/>
    <mergeCell ref="HNE39:HNF39"/>
    <mergeCell ref="HNG39:HNH39"/>
    <mergeCell ref="HNI39:HNJ39"/>
    <mergeCell ref="HNK39:HNL39"/>
    <mergeCell ref="HMO39:HMP39"/>
    <mergeCell ref="HMQ39:HMR39"/>
    <mergeCell ref="HMS39:HMT39"/>
    <mergeCell ref="HMU39:HMV39"/>
    <mergeCell ref="HMW39:HMX39"/>
    <mergeCell ref="HMY39:HMZ39"/>
    <mergeCell ref="HMC39:HMD39"/>
    <mergeCell ref="HME39:HMF39"/>
    <mergeCell ref="HMG39:HMH39"/>
    <mergeCell ref="HMI39:HMJ39"/>
    <mergeCell ref="HMK39:HML39"/>
    <mergeCell ref="HMM39:HMN39"/>
    <mergeCell ref="HLQ39:HLR39"/>
    <mergeCell ref="HLS39:HLT39"/>
    <mergeCell ref="HLU39:HLV39"/>
    <mergeCell ref="HLW39:HLX39"/>
    <mergeCell ref="HLY39:HLZ39"/>
    <mergeCell ref="HMA39:HMB39"/>
    <mergeCell ref="HLE39:HLF39"/>
    <mergeCell ref="HLG39:HLH39"/>
    <mergeCell ref="HLI39:HLJ39"/>
    <mergeCell ref="HLK39:HLL39"/>
    <mergeCell ref="HLM39:HLN39"/>
    <mergeCell ref="HLO39:HLP39"/>
    <mergeCell ref="HQG39:HQH39"/>
    <mergeCell ref="HQI39:HQJ39"/>
    <mergeCell ref="HQK39:HQL39"/>
    <mergeCell ref="HQM39:HQN39"/>
    <mergeCell ref="HQO39:HQP39"/>
    <mergeCell ref="HQQ39:HQR39"/>
    <mergeCell ref="HPU39:HPV39"/>
    <mergeCell ref="HPW39:HPX39"/>
    <mergeCell ref="HPY39:HPZ39"/>
    <mergeCell ref="HQA39:HQB39"/>
    <mergeCell ref="HQC39:HQD39"/>
    <mergeCell ref="HQE39:HQF39"/>
    <mergeCell ref="HPI39:HPJ39"/>
    <mergeCell ref="HPK39:HPL39"/>
    <mergeCell ref="HPM39:HPN39"/>
    <mergeCell ref="HPO39:HPP39"/>
    <mergeCell ref="HPQ39:HPR39"/>
    <mergeCell ref="HPS39:HPT39"/>
    <mergeCell ref="HOW39:HOX39"/>
    <mergeCell ref="HOY39:HOZ39"/>
    <mergeCell ref="HPA39:HPB39"/>
    <mergeCell ref="HPC39:HPD39"/>
    <mergeCell ref="HPE39:HPF39"/>
    <mergeCell ref="HPG39:HPH39"/>
    <mergeCell ref="HOK39:HOL39"/>
    <mergeCell ref="HOM39:HON39"/>
    <mergeCell ref="HOO39:HOP39"/>
    <mergeCell ref="HOQ39:HOR39"/>
    <mergeCell ref="HOS39:HOT39"/>
    <mergeCell ref="HOU39:HOV39"/>
    <mergeCell ref="HNY39:HNZ39"/>
    <mergeCell ref="HOA39:HOB39"/>
    <mergeCell ref="HOC39:HOD39"/>
    <mergeCell ref="HOE39:HOF39"/>
    <mergeCell ref="HOG39:HOH39"/>
    <mergeCell ref="HOI39:HOJ39"/>
    <mergeCell ref="HTA39:HTB39"/>
    <mergeCell ref="HTC39:HTD39"/>
    <mergeCell ref="HTE39:HTF39"/>
    <mergeCell ref="HTG39:HTH39"/>
    <mergeCell ref="HTI39:HTJ39"/>
    <mergeCell ref="HTK39:HTL39"/>
    <mergeCell ref="HSO39:HSP39"/>
    <mergeCell ref="HSQ39:HSR39"/>
    <mergeCell ref="HSS39:HST39"/>
    <mergeCell ref="HSU39:HSV39"/>
    <mergeCell ref="HSW39:HSX39"/>
    <mergeCell ref="HSY39:HSZ39"/>
    <mergeCell ref="HSC39:HSD39"/>
    <mergeCell ref="HSE39:HSF39"/>
    <mergeCell ref="HSG39:HSH39"/>
    <mergeCell ref="HSI39:HSJ39"/>
    <mergeCell ref="HSK39:HSL39"/>
    <mergeCell ref="HSM39:HSN39"/>
    <mergeCell ref="HRQ39:HRR39"/>
    <mergeCell ref="HRS39:HRT39"/>
    <mergeCell ref="HRU39:HRV39"/>
    <mergeCell ref="HRW39:HRX39"/>
    <mergeCell ref="HRY39:HRZ39"/>
    <mergeCell ref="HSA39:HSB39"/>
    <mergeCell ref="HRE39:HRF39"/>
    <mergeCell ref="HRG39:HRH39"/>
    <mergeCell ref="HRI39:HRJ39"/>
    <mergeCell ref="HRK39:HRL39"/>
    <mergeCell ref="HRM39:HRN39"/>
    <mergeCell ref="HRO39:HRP39"/>
    <mergeCell ref="HQS39:HQT39"/>
    <mergeCell ref="HQU39:HQV39"/>
    <mergeCell ref="HQW39:HQX39"/>
    <mergeCell ref="HQY39:HQZ39"/>
    <mergeCell ref="HRA39:HRB39"/>
    <mergeCell ref="HRC39:HRD39"/>
    <mergeCell ref="HVU39:HVV39"/>
    <mergeCell ref="HVW39:HVX39"/>
    <mergeCell ref="HVY39:HVZ39"/>
    <mergeCell ref="HWA39:HWB39"/>
    <mergeCell ref="HWC39:HWD39"/>
    <mergeCell ref="HWE39:HWF39"/>
    <mergeCell ref="HVI39:HVJ39"/>
    <mergeCell ref="HVK39:HVL39"/>
    <mergeCell ref="HVM39:HVN39"/>
    <mergeCell ref="HVO39:HVP39"/>
    <mergeCell ref="HVQ39:HVR39"/>
    <mergeCell ref="HVS39:HVT39"/>
    <mergeCell ref="HUW39:HUX39"/>
    <mergeCell ref="HUY39:HUZ39"/>
    <mergeCell ref="HVA39:HVB39"/>
    <mergeCell ref="HVC39:HVD39"/>
    <mergeCell ref="HVE39:HVF39"/>
    <mergeCell ref="HVG39:HVH39"/>
    <mergeCell ref="HUK39:HUL39"/>
    <mergeCell ref="HUM39:HUN39"/>
    <mergeCell ref="HUO39:HUP39"/>
    <mergeCell ref="HUQ39:HUR39"/>
    <mergeCell ref="HUS39:HUT39"/>
    <mergeCell ref="HUU39:HUV39"/>
    <mergeCell ref="HTY39:HTZ39"/>
    <mergeCell ref="HUA39:HUB39"/>
    <mergeCell ref="HUC39:HUD39"/>
    <mergeCell ref="HUE39:HUF39"/>
    <mergeCell ref="HUG39:HUH39"/>
    <mergeCell ref="HUI39:HUJ39"/>
    <mergeCell ref="HTM39:HTN39"/>
    <mergeCell ref="HTO39:HTP39"/>
    <mergeCell ref="HTQ39:HTR39"/>
    <mergeCell ref="HTS39:HTT39"/>
    <mergeCell ref="HTU39:HTV39"/>
    <mergeCell ref="HTW39:HTX39"/>
    <mergeCell ref="HYO39:HYP39"/>
    <mergeCell ref="HYQ39:HYR39"/>
    <mergeCell ref="HYS39:HYT39"/>
    <mergeCell ref="HYU39:HYV39"/>
    <mergeCell ref="HYW39:HYX39"/>
    <mergeCell ref="HYY39:HYZ39"/>
    <mergeCell ref="HYC39:HYD39"/>
    <mergeCell ref="HYE39:HYF39"/>
    <mergeCell ref="HYG39:HYH39"/>
    <mergeCell ref="HYI39:HYJ39"/>
    <mergeCell ref="HYK39:HYL39"/>
    <mergeCell ref="HYM39:HYN39"/>
    <mergeCell ref="HXQ39:HXR39"/>
    <mergeCell ref="HXS39:HXT39"/>
    <mergeCell ref="HXU39:HXV39"/>
    <mergeCell ref="HXW39:HXX39"/>
    <mergeCell ref="HXY39:HXZ39"/>
    <mergeCell ref="HYA39:HYB39"/>
    <mergeCell ref="HXE39:HXF39"/>
    <mergeCell ref="HXG39:HXH39"/>
    <mergeCell ref="HXI39:HXJ39"/>
    <mergeCell ref="HXK39:HXL39"/>
    <mergeCell ref="HXM39:HXN39"/>
    <mergeCell ref="HXO39:HXP39"/>
    <mergeCell ref="HWS39:HWT39"/>
    <mergeCell ref="HWU39:HWV39"/>
    <mergeCell ref="HWW39:HWX39"/>
    <mergeCell ref="HWY39:HWZ39"/>
    <mergeCell ref="HXA39:HXB39"/>
    <mergeCell ref="HXC39:HXD39"/>
    <mergeCell ref="HWG39:HWH39"/>
    <mergeCell ref="HWI39:HWJ39"/>
    <mergeCell ref="HWK39:HWL39"/>
    <mergeCell ref="HWM39:HWN39"/>
    <mergeCell ref="HWO39:HWP39"/>
    <mergeCell ref="HWQ39:HWR39"/>
    <mergeCell ref="IBI39:IBJ39"/>
    <mergeCell ref="IBK39:IBL39"/>
    <mergeCell ref="IBM39:IBN39"/>
    <mergeCell ref="IBO39:IBP39"/>
    <mergeCell ref="IBQ39:IBR39"/>
    <mergeCell ref="IBS39:IBT39"/>
    <mergeCell ref="IAW39:IAX39"/>
    <mergeCell ref="IAY39:IAZ39"/>
    <mergeCell ref="IBA39:IBB39"/>
    <mergeCell ref="IBC39:IBD39"/>
    <mergeCell ref="IBE39:IBF39"/>
    <mergeCell ref="IBG39:IBH39"/>
    <mergeCell ref="IAK39:IAL39"/>
    <mergeCell ref="IAM39:IAN39"/>
    <mergeCell ref="IAO39:IAP39"/>
    <mergeCell ref="IAQ39:IAR39"/>
    <mergeCell ref="IAS39:IAT39"/>
    <mergeCell ref="IAU39:IAV39"/>
    <mergeCell ref="HZY39:HZZ39"/>
    <mergeCell ref="IAA39:IAB39"/>
    <mergeCell ref="IAC39:IAD39"/>
    <mergeCell ref="IAE39:IAF39"/>
    <mergeCell ref="IAG39:IAH39"/>
    <mergeCell ref="IAI39:IAJ39"/>
    <mergeCell ref="HZM39:HZN39"/>
    <mergeCell ref="HZO39:HZP39"/>
    <mergeCell ref="HZQ39:HZR39"/>
    <mergeCell ref="HZS39:HZT39"/>
    <mergeCell ref="HZU39:HZV39"/>
    <mergeCell ref="HZW39:HZX39"/>
    <mergeCell ref="HZA39:HZB39"/>
    <mergeCell ref="HZC39:HZD39"/>
    <mergeCell ref="HZE39:HZF39"/>
    <mergeCell ref="HZG39:HZH39"/>
    <mergeCell ref="HZI39:HZJ39"/>
    <mergeCell ref="HZK39:HZL39"/>
    <mergeCell ref="IEC39:IED39"/>
    <mergeCell ref="IEE39:IEF39"/>
    <mergeCell ref="IEG39:IEH39"/>
    <mergeCell ref="IEI39:IEJ39"/>
    <mergeCell ref="IEK39:IEL39"/>
    <mergeCell ref="IEM39:IEN39"/>
    <mergeCell ref="IDQ39:IDR39"/>
    <mergeCell ref="IDS39:IDT39"/>
    <mergeCell ref="IDU39:IDV39"/>
    <mergeCell ref="IDW39:IDX39"/>
    <mergeCell ref="IDY39:IDZ39"/>
    <mergeCell ref="IEA39:IEB39"/>
    <mergeCell ref="IDE39:IDF39"/>
    <mergeCell ref="IDG39:IDH39"/>
    <mergeCell ref="IDI39:IDJ39"/>
    <mergeCell ref="IDK39:IDL39"/>
    <mergeCell ref="IDM39:IDN39"/>
    <mergeCell ref="IDO39:IDP39"/>
    <mergeCell ref="ICS39:ICT39"/>
    <mergeCell ref="ICU39:ICV39"/>
    <mergeCell ref="ICW39:ICX39"/>
    <mergeCell ref="ICY39:ICZ39"/>
    <mergeCell ref="IDA39:IDB39"/>
    <mergeCell ref="IDC39:IDD39"/>
    <mergeCell ref="ICG39:ICH39"/>
    <mergeCell ref="ICI39:ICJ39"/>
    <mergeCell ref="ICK39:ICL39"/>
    <mergeCell ref="ICM39:ICN39"/>
    <mergeCell ref="ICO39:ICP39"/>
    <mergeCell ref="ICQ39:ICR39"/>
    <mergeCell ref="IBU39:IBV39"/>
    <mergeCell ref="IBW39:IBX39"/>
    <mergeCell ref="IBY39:IBZ39"/>
    <mergeCell ref="ICA39:ICB39"/>
    <mergeCell ref="ICC39:ICD39"/>
    <mergeCell ref="ICE39:ICF39"/>
    <mergeCell ref="IGW39:IGX39"/>
    <mergeCell ref="IGY39:IGZ39"/>
    <mergeCell ref="IHA39:IHB39"/>
    <mergeCell ref="IHC39:IHD39"/>
    <mergeCell ref="IHE39:IHF39"/>
    <mergeCell ref="IHG39:IHH39"/>
    <mergeCell ref="IGK39:IGL39"/>
    <mergeCell ref="IGM39:IGN39"/>
    <mergeCell ref="IGO39:IGP39"/>
    <mergeCell ref="IGQ39:IGR39"/>
    <mergeCell ref="IGS39:IGT39"/>
    <mergeCell ref="IGU39:IGV39"/>
    <mergeCell ref="IFY39:IFZ39"/>
    <mergeCell ref="IGA39:IGB39"/>
    <mergeCell ref="IGC39:IGD39"/>
    <mergeCell ref="IGE39:IGF39"/>
    <mergeCell ref="IGG39:IGH39"/>
    <mergeCell ref="IGI39:IGJ39"/>
    <mergeCell ref="IFM39:IFN39"/>
    <mergeCell ref="IFO39:IFP39"/>
    <mergeCell ref="IFQ39:IFR39"/>
    <mergeCell ref="IFS39:IFT39"/>
    <mergeCell ref="IFU39:IFV39"/>
    <mergeCell ref="IFW39:IFX39"/>
    <mergeCell ref="IFA39:IFB39"/>
    <mergeCell ref="IFC39:IFD39"/>
    <mergeCell ref="IFE39:IFF39"/>
    <mergeCell ref="IFG39:IFH39"/>
    <mergeCell ref="IFI39:IFJ39"/>
    <mergeCell ref="IFK39:IFL39"/>
    <mergeCell ref="IEO39:IEP39"/>
    <mergeCell ref="IEQ39:IER39"/>
    <mergeCell ref="IES39:IET39"/>
    <mergeCell ref="IEU39:IEV39"/>
    <mergeCell ref="IEW39:IEX39"/>
    <mergeCell ref="IEY39:IEZ39"/>
    <mergeCell ref="IJQ39:IJR39"/>
    <mergeCell ref="IJS39:IJT39"/>
    <mergeCell ref="IJU39:IJV39"/>
    <mergeCell ref="IJW39:IJX39"/>
    <mergeCell ref="IJY39:IJZ39"/>
    <mergeCell ref="IKA39:IKB39"/>
    <mergeCell ref="IJE39:IJF39"/>
    <mergeCell ref="IJG39:IJH39"/>
    <mergeCell ref="IJI39:IJJ39"/>
    <mergeCell ref="IJK39:IJL39"/>
    <mergeCell ref="IJM39:IJN39"/>
    <mergeCell ref="IJO39:IJP39"/>
    <mergeCell ref="IIS39:IIT39"/>
    <mergeCell ref="IIU39:IIV39"/>
    <mergeCell ref="IIW39:IIX39"/>
    <mergeCell ref="IIY39:IIZ39"/>
    <mergeCell ref="IJA39:IJB39"/>
    <mergeCell ref="IJC39:IJD39"/>
    <mergeCell ref="IIG39:IIH39"/>
    <mergeCell ref="III39:IIJ39"/>
    <mergeCell ref="IIK39:IIL39"/>
    <mergeCell ref="IIM39:IIN39"/>
    <mergeCell ref="IIO39:IIP39"/>
    <mergeCell ref="IIQ39:IIR39"/>
    <mergeCell ref="IHU39:IHV39"/>
    <mergeCell ref="IHW39:IHX39"/>
    <mergeCell ref="IHY39:IHZ39"/>
    <mergeCell ref="IIA39:IIB39"/>
    <mergeCell ref="IIC39:IID39"/>
    <mergeCell ref="IIE39:IIF39"/>
    <mergeCell ref="IHI39:IHJ39"/>
    <mergeCell ref="IHK39:IHL39"/>
    <mergeCell ref="IHM39:IHN39"/>
    <mergeCell ref="IHO39:IHP39"/>
    <mergeCell ref="IHQ39:IHR39"/>
    <mergeCell ref="IHS39:IHT39"/>
    <mergeCell ref="IMK39:IML39"/>
    <mergeCell ref="IMM39:IMN39"/>
    <mergeCell ref="IMO39:IMP39"/>
    <mergeCell ref="IMQ39:IMR39"/>
    <mergeCell ref="IMS39:IMT39"/>
    <mergeCell ref="IMU39:IMV39"/>
    <mergeCell ref="ILY39:ILZ39"/>
    <mergeCell ref="IMA39:IMB39"/>
    <mergeCell ref="IMC39:IMD39"/>
    <mergeCell ref="IME39:IMF39"/>
    <mergeCell ref="IMG39:IMH39"/>
    <mergeCell ref="IMI39:IMJ39"/>
    <mergeCell ref="ILM39:ILN39"/>
    <mergeCell ref="ILO39:ILP39"/>
    <mergeCell ref="ILQ39:ILR39"/>
    <mergeCell ref="ILS39:ILT39"/>
    <mergeCell ref="ILU39:ILV39"/>
    <mergeCell ref="ILW39:ILX39"/>
    <mergeCell ref="ILA39:ILB39"/>
    <mergeCell ref="ILC39:ILD39"/>
    <mergeCell ref="ILE39:ILF39"/>
    <mergeCell ref="ILG39:ILH39"/>
    <mergeCell ref="ILI39:ILJ39"/>
    <mergeCell ref="ILK39:ILL39"/>
    <mergeCell ref="IKO39:IKP39"/>
    <mergeCell ref="IKQ39:IKR39"/>
    <mergeCell ref="IKS39:IKT39"/>
    <mergeCell ref="IKU39:IKV39"/>
    <mergeCell ref="IKW39:IKX39"/>
    <mergeCell ref="IKY39:IKZ39"/>
    <mergeCell ref="IKC39:IKD39"/>
    <mergeCell ref="IKE39:IKF39"/>
    <mergeCell ref="IKG39:IKH39"/>
    <mergeCell ref="IKI39:IKJ39"/>
    <mergeCell ref="IKK39:IKL39"/>
    <mergeCell ref="IKM39:IKN39"/>
    <mergeCell ref="IPE39:IPF39"/>
    <mergeCell ref="IPG39:IPH39"/>
    <mergeCell ref="IPI39:IPJ39"/>
    <mergeCell ref="IPK39:IPL39"/>
    <mergeCell ref="IPM39:IPN39"/>
    <mergeCell ref="IPO39:IPP39"/>
    <mergeCell ref="IOS39:IOT39"/>
    <mergeCell ref="IOU39:IOV39"/>
    <mergeCell ref="IOW39:IOX39"/>
    <mergeCell ref="IOY39:IOZ39"/>
    <mergeCell ref="IPA39:IPB39"/>
    <mergeCell ref="IPC39:IPD39"/>
    <mergeCell ref="IOG39:IOH39"/>
    <mergeCell ref="IOI39:IOJ39"/>
    <mergeCell ref="IOK39:IOL39"/>
    <mergeCell ref="IOM39:ION39"/>
    <mergeCell ref="IOO39:IOP39"/>
    <mergeCell ref="IOQ39:IOR39"/>
    <mergeCell ref="INU39:INV39"/>
    <mergeCell ref="INW39:INX39"/>
    <mergeCell ref="INY39:INZ39"/>
    <mergeCell ref="IOA39:IOB39"/>
    <mergeCell ref="IOC39:IOD39"/>
    <mergeCell ref="IOE39:IOF39"/>
    <mergeCell ref="INI39:INJ39"/>
    <mergeCell ref="INK39:INL39"/>
    <mergeCell ref="INM39:INN39"/>
    <mergeCell ref="INO39:INP39"/>
    <mergeCell ref="INQ39:INR39"/>
    <mergeCell ref="INS39:INT39"/>
    <mergeCell ref="IMW39:IMX39"/>
    <mergeCell ref="IMY39:IMZ39"/>
    <mergeCell ref="INA39:INB39"/>
    <mergeCell ref="INC39:IND39"/>
    <mergeCell ref="INE39:INF39"/>
    <mergeCell ref="ING39:INH39"/>
    <mergeCell ref="IRY39:IRZ39"/>
    <mergeCell ref="ISA39:ISB39"/>
    <mergeCell ref="ISC39:ISD39"/>
    <mergeCell ref="ISE39:ISF39"/>
    <mergeCell ref="ISG39:ISH39"/>
    <mergeCell ref="ISI39:ISJ39"/>
    <mergeCell ref="IRM39:IRN39"/>
    <mergeCell ref="IRO39:IRP39"/>
    <mergeCell ref="IRQ39:IRR39"/>
    <mergeCell ref="IRS39:IRT39"/>
    <mergeCell ref="IRU39:IRV39"/>
    <mergeCell ref="IRW39:IRX39"/>
    <mergeCell ref="IRA39:IRB39"/>
    <mergeCell ref="IRC39:IRD39"/>
    <mergeCell ref="IRE39:IRF39"/>
    <mergeCell ref="IRG39:IRH39"/>
    <mergeCell ref="IRI39:IRJ39"/>
    <mergeCell ref="IRK39:IRL39"/>
    <mergeCell ref="IQO39:IQP39"/>
    <mergeCell ref="IQQ39:IQR39"/>
    <mergeCell ref="IQS39:IQT39"/>
    <mergeCell ref="IQU39:IQV39"/>
    <mergeCell ref="IQW39:IQX39"/>
    <mergeCell ref="IQY39:IQZ39"/>
    <mergeCell ref="IQC39:IQD39"/>
    <mergeCell ref="IQE39:IQF39"/>
    <mergeCell ref="IQG39:IQH39"/>
    <mergeCell ref="IQI39:IQJ39"/>
    <mergeCell ref="IQK39:IQL39"/>
    <mergeCell ref="IQM39:IQN39"/>
    <mergeCell ref="IPQ39:IPR39"/>
    <mergeCell ref="IPS39:IPT39"/>
    <mergeCell ref="IPU39:IPV39"/>
    <mergeCell ref="IPW39:IPX39"/>
    <mergeCell ref="IPY39:IPZ39"/>
    <mergeCell ref="IQA39:IQB39"/>
    <mergeCell ref="IUS39:IUT39"/>
    <mergeCell ref="IUU39:IUV39"/>
    <mergeCell ref="IUW39:IUX39"/>
    <mergeCell ref="IUY39:IUZ39"/>
    <mergeCell ref="IVA39:IVB39"/>
    <mergeCell ref="IVC39:IVD39"/>
    <mergeCell ref="IUG39:IUH39"/>
    <mergeCell ref="IUI39:IUJ39"/>
    <mergeCell ref="IUK39:IUL39"/>
    <mergeCell ref="IUM39:IUN39"/>
    <mergeCell ref="IUO39:IUP39"/>
    <mergeCell ref="IUQ39:IUR39"/>
    <mergeCell ref="ITU39:ITV39"/>
    <mergeCell ref="ITW39:ITX39"/>
    <mergeCell ref="ITY39:ITZ39"/>
    <mergeCell ref="IUA39:IUB39"/>
    <mergeCell ref="IUC39:IUD39"/>
    <mergeCell ref="IUE39:IUF39"/>
    <mergeCell ref="ITI39:ITJ39"/>
    <mergeCell ref="ITK39:ITL39"/>
    <mergeCell ref="ITM39:ITN39"/>
    <mergeCell ref="ITO39:ITP39"/>
    <mergeCell ref="ITQ39:ITR39"/>
    <mergeCell ref="ITS39:ITT39"/>
    <mergeCell ref="ISW39:ISX39"/>
    <mergeCell ref="ISY39:ISZ39"/>
    <mergeCell ref="ITA39:ITB39"/>
    <mergeCell ref="ITC39:ITD39"/>
    <mergeCell ref="ITE39:ITF39"/>
    <mergeCell ref="ITG39:ITH39"/>
    <mergeCell ref="ISK39:ISL39"/>
    <mergeCell ref="ISM39:ISN39"/>
    <mergeCell ref="ISO39:ISP39"/>
    <mergeCell ref="ISQ39:ISR39"/>
    <mergeCell ref="ISS39:IST39"/>
    <mergeCell ref="ISU39:ISV39"/>
    <mergeCell ref="IXM39:IXN39"/>
    <mergeCell ref="IXO39:IXP39"/>
    <mergeCell ref="IXQ39:IXR39"/>
    <mergeCell ref="IXS39:IXT39"/>
    <mergeCell ref="IXU39:IXV39"/>
    <mergeCell ref="IXW39:IXX39"/>
    <mergeCell ref="IXA39:IXB39"/>
    <mergeCell ref="IXC39:IXD39"/>
    <mergeCell ref="IXE39:IXF39"/>
    <mergeCell ref="IXG39:IXH39"/>
    <mergeCell ref="IXI39:IXJ39"/>
    <mergeCell ref="IXK39:IXL39"/>
    <mergeCell ref="IWO39:IWP39"/>
    <mergeCell ref="IWQ39:IWR39"/>
    <mergeCell ref="IWS39:IWT39"/>
    <mergeCell ref="IWU39:IWV39"/>
    <mergeCell ref="IWW39:IWX39"/>
    <mergeCell ref="IWY39:IWZ39"/>
    <mergeCell ref="IWC39:IWD39"/>
    <mergeCell ref="IWE39:IWF39"/>
    <mergeCell ref="IWG39:IWH39"/>
    <mergeCell ref="IWI39:IWJ39"/>
    <mergeCell ref="IWK39:IWL39"/>
    <mergeCell ref="IWM39:IWN39"/>
    <mergeCell ref="IVQ39:IVR39"/>
    <mergeCell ref="IVS39:IVT39"/>
    <mergeCell ref="IVU39:IVV39"/>
    <mergeCell ref="IVW39:IVX39"/>
    <mergeCell ref="IVY39:IVZ39"/>
    <mergeCell ref="IWA39:IWB39"/>
    <mergeCell ref="IVE39:IVF39"/>
    <mergeCell ref="IVG39:IVH39"/>
    <mergeCell ref="IVI39:IVJ39"/>
    <mergeCell ref="IVK39:IVL39"/>
    <mergeCell ref="IVM39:IVN39"/>
    <mergeCell ref="IVO39:IVP39"/>
    <mergeCell ref="JAG39:JAH39"/>
    <mergeCell ref="JAI39:JAJ39"/>
    <mergeCell ref="JAK39:JAL39"/>
    <mergeCell ref="JAM39:JAN39"/>
    <mergeCell ref="JAO39:JAP39"/>
    <mergeCell ref="JAQ39:JAR39"/>
    <mergeCell ref="IZU39:IZV39"/>
    <mergeCell ref="IZW39:IZX39"/>
    <mergeCell ref="IZY39:IZZ39"/>
    <mergeCell ref="JAA39:JAB39"/>
    <mergeCell ref="JAC39:JAD39"/>
    <mergeCell ref="JAE39:JAF39"/>
    <mergeCell ref="IZI39:IZJ39"/>
    <mergeCell ref="IZK39:IZL39"/>
    <mergeCell ref="IZM39:IZN39"/>
    <mergeCell ref="IZO39:IZP39"/>
    <mergeCell ref="IZQ39:IZR39"/>
    <mergeCell ref="IZS39:IZT39"/>
    <mergeCell ref="IYW39:IYX39"/>
    <mergeCell ref="IYY39:IYZ39"/>
    <mergeCell ref="IZA39:IZB39"/>
    <mergeCell ref="IZC39:IZD39"/>
    <mergeCell ref="IZE39:IZF39"/>
    <mergeCell ref="IZG39:IZH39"/>
    <mergeCell ref="IYK39:IYL39"/>
    <mergeCell ref="IYM39:IYN39"/>
    <mergeCell ref="IYO39:IYP39"/>
    <mergeCell ref="IYQ39:IYR39"/>
    <mergeCell ref="IYS39:IYT39"/>
    <mergeCell ref="IYU39:IYV39"/>
    <mergeCell ref="IXY39:IXZ39"/>
    <mergeCell ref="IYA39:IYB39"/>
    <mergeCell ref="IYC39:IYD39"/>
    <mergeCell ref="IYE39:IYF39"/>
    <mergeCell ref="IYG39:IYH39"/>
    <mergeCell ref="IYI39:IYJ39"/>
    <mergeCell ref="JDA39:JDB39"/>
    <mergeCell ref="JDC39:JDD39"/>
    <mergeCell ref="JDE39:JDF39"/>
    <mergeCell ref="JDG39:JDH39"/>
    <mergeCell ref="JDI39:JDJ39"/>
    <mergeCell ref="JDK39:JDL39"/>
    <mergeCell ref="JCO39:JCP39"/>
    <mergeCell ref="JCQ39:JCR39"/>
    <mergeCell ref="JCS39:JCT39"/>
    <mergeCell ref="JCU39:JCV39"/>
    <mergeCell ref="JCW39:JCX39"/>
    <mergeCell ref="JCY39:JCZ39"/>
    <mergeCell ref="JCC39:JCD39"/>
    <mergeCell ref="JCE39:JCF39"/>
    <mergeCell ref="JCG39:JCH39"/>
    <mergeCell ref="JCI39:JCJ39"/>
    <mergeCell ref="JCK39:JCL39"/>
    <mergeCell ref="JCM39:JCN39"/>
    <mergeCell ref="JBQ39:JBR39"/>
    <mergeCell ref="JBS39:JBT39"/>
    <mergeCell ref="JBU39:JBV39"/>
    <mergeCell ref="JBW39:JBX39"/>
    <mergeCell ref="JBY39:JBZ39"/>
    <mergeCell ref="JCA39:JCB39"/>
    <mergeCell ref="JBE39:JBF39"/>
    <mergeCell ref="JBG39:JBH39"/>
    <mergeCell ref="JBI39:JBJ39"/>
    <mergeCell ref="JBK39:JBL39"/>
    <mergeCell ref="JBM39:JBN39"/>
    <mergeCell ref="JBO39:JBP39"/>
    <mergeCell ref="JAS39:JAT39"/>
    <mergeCell ref="JAU39:JAV39"/>
    <mergeCell ref="JAW39:JAX39"/>
    <mergeCell ref="JAY39:JAZ39"/>
    <mergeCell ref="JBA39:JBB39"/>
    <mergeCell ref="JBC39:JBD39"/>
    <mergeCell ref="JFU39:JFV39"/>
    <mergeCell ref="JFW39:JFX39"/>
    <mergeCell ref="JFY39:JFZ39"/>
    <mergeCell ref="JGA39:JGB39"/>
    <mergeCell ref="JGC39:JGD39"/>
    <mergeCell ref="JGE39:JGF39"/>
    <mergeCell ref="JFI39:JFJ39"/>
    <mergeCell ref="JFK39:JFL39"/>
    <mergeCell ref="JFM39:JFN39"/>
    <mergeCell ref="JFO39:JFP39"/>
    <mergeCell ref="JFQ39:JFR39"/>
    <mergeCell ref="JFS39:JFT39"/>
    <mergeCell ref="JEW39:JEX39"/>
    <mergeCell ref="JEY39:JEZ39"/>
    <mergeCell ref="JFA39:JFB39"/>
    <mergeCell ref="JFC39:JFD39"/>
    <mergeCell ref="JFE39:JFF39"/>
    <mergeCell ref="JFG39:JFH39"/>
    <mergeCell ref="JEK39:JEL39"/>
    <mergeCell ref="JEM39:JEN39"/>
    <mergeCell ref="JEO39:JEP39"/>
    <mergeCell ref="JEQ39:JER39"/>
    <mergeCell ref="JES39:JET39"/>
    <mergeCell ref="JEU39:JEV39"/>
    <mergeCell ref="JDY39:JDZ39"/>
    <mergeCell ref="JEA39:JEB39"/>
    <mergeCell ref="JEC39:JED39"/>
    <mergeCell ref="JEE39:JEF39"/>
    <mergeCell ref="JEG39:JEH39"/>
    <mergeCell ref="JEI39:JEJ39"/>
    <mergeCell ref="JDM39:JDN39"/>
    <mergeCell ref="JDO39:JDP39"/>
    <mergeCell ref="JDQ39:JDR39"/>
    <mergeCell ref="JDS39:JDT39"/>
    <mergeCell ref="JDU39:JDV39"/>
    <mergeCell ref="JDW39:JDX39"/>
    <mergeCell ref="JIO39:JIP39"/>
    <mergeCell ref="JIQ39:JIR39"/>
    <mergeCell ref="JIS39:JIT39"/>
    <mergeCell ref="JIU39:JIV39"/>
    <mergeCell ref="JIW39:JIX39"/>
    <mergeCell ref="JIY39:JIZ39"/>
    <mergeCell ref="JIC39:JID39"/>
    <mergeCell ref="JIE39:JIF39"/>
    <mergeCell ref="JIG39:JIH39"/>
    <mergeCell ref="JII39:JIJ39"/>
    <mergeCell ref="JIK39:JIL39"/>
    <mergeCell ref="JIM39:JIN39"/>
    <mergeCell ref="JHQ39:JHR39"/>
    <mergeCell ref="JHS39:JHT39"/>
    <mergeCell ref="JHU39:JHV39"/>
    <mergeCell ref="JHW39:JHX39"/>
    <mergeCell ref="JHY39:JHZ39"/>
    <mergeCell ref="JIA39:JIB39"/>
    <mergeCell ref="JHE39:JHF39"/>
    <mergeCell ref="JHG39:JHH39"/>
    <mergeCell ref="JHI39:JHJ39"/>
    <mergeCell ref="JHK39:JHL39"/>
    <mergeCell ref="JHM39:JHN39"/>
    <mergeCell ref="JHO39:JHP39"/>
    <mergeCell ref="JGS39:JGT39"/>
    <mergeCell ref="JGU39:JGV39"/>
    <mergeCell ref="JGW39:JGX39"/>
    <mergeCell ref="JGY39:JGZ39"/>
    <mergeCell ref="JHA39:JHB39"/>
    <mergeCell ref="JHC39:JHD39"/>
    <mergeCell ref="JGG39:JGH39"/>
    <mergeCell ref="JGI39:JGJ39"/>
    <mergeCell ref="JGK39:JGL39"/>
    <mergeCell ref="JGM39:JGN39"/>
    <mergeCell ref="JGO39:JGP39"/>
    <mergeCell ref="JGQ39:JGR39"/>
    <mergeCell ref="JLI39:JLJ39"/>
    <mergeCell ref="JLK39:JLL39"/>
    <mergeCell ref="JLM39:JLN39"/>
    <mergeCell ref="JLO39:JLP39"/>
    <mergeCell ref="JLQ39:JLR39"/>
    <mergeCell ref="JLS39:JLT39"/>
    <mergeCell ref="JKW39:JKX39"/>
    <mergeCell ref="JKY39:JKZ39"/>
    <mergeCell ref="JLA39:JLB39"/>
    <mergeCell ref="JLC39:JLD39"/>
    <mergeCell ref="JLE39:JLF39"/>
    <mergeCell ref="JLG39:JLH39"/>
    <mergeCell ref="JKK39:JKL39"/>
    <mergeCell ref="JKM39:JKN39"/>
    <mergeCell ref="JKO39:JKP39"/>
    <mergeCell ref="JKQ39:JKR39"/>
    <mergeCell ref="JKS39:JKT39"/>
    <mergeCell ref="JKU39:JKV39"/>
    <mergeCell ref="JJY39:JJZ39"/>
    <mergeCell ref="JKA39:JKB39"/>
    <mergeCell ref="JKC39:JKD39"/>
    <mergeCell ref="JKE39:JKF39"/>
    <mergeCell ref="JKG39:JKH39"/>
    <mergeCell ref="JKI39:JKJ39"/>
    <mergeCell ref="JJM39:JJN39"/>
    <mergeCell ref="JJO39:JJP39"/>
    <mergeCell ref="JJQ39:JJR39"/>
    <mergeCell ref="JJS39:JJT39"/>
    <mergeCell ref="JJU39:JJV39"/>
    <mergeCell ref="JJW39:JJX39"/>
    <mergeCell ref="JJA39:JJB39"/>
    <mergeCell ref="JJC39:JJD39"/>
    <mergeCell ref="JJE39:JJF39"/>
    <mergeCell ref="JJG39:JJH39"/>
    <mergeCell ref="JJI39:JJJ39"/>
    <mergeCell ref="JJK39:JJL39"/>
    <mergeCell ref="JOC39:JOD39"/>
    <mergeCell ref="JOE39:JOF39"/>
    <mergeCell ref="JOG39:JOH39"/>
    <mergeCell ref="JOI39:JOJ39"/>
    <mergeCell ref="JOK39:JOL39"/>
    <mergeCell ref="JOM39:JON39"/>
    <mergeCell ref="JNQ39:JNR39"/>
    <mergeCell ref="JNS39:JNT39"/>
    <mergeCell ref="JNU39:JNV39"/>
    <mergeCell ref="JNW39:JNX39"/>
    <mergeCell ref="JNY39:JNZ39"/>
    <mergeCell ref="JOA39:JOB39"/>
    <mergeCell ref="JNE39:JNF39"/>
    <mergeCell ref="JNG39:JNH39"/>
    <mergeCell ref="JNI39:JNJ39"/>
    <mergeCell ref="JNK39:JNL39"/>
    <mergeCell ref="JNM39:JNN39"/>
    <mergeCell ref="JNO39:JNP39"/>
    <mergeCell ref="JMS39:JMT39"/>
    <mergeCell ref="JMU39:JMV39"/>
    <mergeCell ref="JMW39:JMX39"/>
    <mergeCell ref="JMY39:JMZ39"/>
    <mergeCell ref="JNA39:JNB39"/>
    <mergeCell ref="JNC39:JND39"/>
    <mergeCell ref="JMG39:JMH39"/>
    <mergeCell ref="JMI39:JMJ39"/>
    <mergeCell ref="JMK39:JML39"/>
    <mergeCell ref="JMM39:JMN39"/>
    <mergeCell ref="JMO39:JMP39"/>
    <mergeCell ref="JMQ39:JMR39"/>
    <mergeCell ref="JLU39:JLV39"/>
    <mergeCell ref="JLW39:JLX39"/>
    <mergeCell ref="JLY39:JLZ39"/>
    <mergeCell ref="JMA39:JMB39"/>
    <mergeCell ref="JMC39:JMD39"/>
    <mergeCell ref="JME39:JMF39"/>
    <mergeCell ref="JQW39:JQX39"/>
    <mergeCell ref="JQY39:JQZ39"/>
    <mergeCell ref="JRA39:JRB39"/>
    <mergeCell ref="JRC39:JRD39"/>
    <mergeCell ref="JRE39:JRF39"/>
    <mergeCell ref="JRG39:JRH39"/>
    <mergeCell ref="JQK39:JQL39"/>
    <mergeCell ref="JQM39:JQN39"/>
    <mergeCell ref="JQO39:JQP39"/>
    <mergeCell ref="JQQ39:JQR39"/>
    <mergeCell ref="JQS39:JQT39"/>
    <mergeCell ref="JQU39:JQV39"/>
    <mergeCell ref="JPY39:JPZ39"/>
    <mergeCell ref="JQA39:JQB39"/>
    <mergeCell ref="JQC39:JQD39"/>
    <mergeCell ref="JQE39:JQF39"/>
    <mergeCell ref="JQG39:JQH39"/>
    <mergeCell ref="JQI39:JQJ39"/>
    <mergeCell ref="JPM39:JPN39"/>
    <mergeCell ref="JPO39:JPP39"/>
    <mergeCell ref="JPQ39:JPR39"/>
    <mergeCell ref="JPS39:JPT39"/>
    <mergeCell ref="JPU39:JPV39"/>
    <mergeCell ref="JPW39:JPX39"/>
    <mergeCell ref="JPA39:JPB39"/>
    <mergeCell ref="JPC39:JPD39"/>
    <mergeCell ref="JPE39:JPF39"/>
    <mergeCell ref="JPG39:JPH39"/>
    <mergeCell ref="JPI39:JPJ39"/>
    <mergeCell ref="JPK39:JPL39"/>
    <mergeCell ref="JOO39:JOP39"/>
    <mergeCell ref="JOQ39:JOR39"/>
    <mergeCell ref="JOS39:JOT39"/>
    <mergeCell ref="JOU39:JOV39"/>
    <mergeCell ref="JOW39:JOX39"/>
    <mergeCell ref="JOY39:JOZ39"/>
    <mergeCell ref="JTQ39:JTR39"/>
    <mergeCell ref="JTS39:JTT39"/>
    <mergeCell ref="JTU39:JTV39"/>
    <mergeCell ref="JTW39:JTX39"/>
    <mergeCell ref="JTY39:JTZ39"/>
    <mergeCell ref="JUA39:JUB39"/>
    <mergeCell ref="JTE39:JTF39"/>
    <mergeCell ref="JTG39:JTH39"/>
    <mergeCell ref="JTI39:JTJ39"/>
    <mergeCell ref="JTK39:JTL39"/>
    <mergeCell ref="JTM39:JTN39"/>
    <mergeCell ref="JTO39:JTP39"/>
    <mergeCell ref="JSS39:JST39"/>
    <mergeCell ref="JSU39:JSV39"/>
    <mergeCell ref="JSW39:JSX39"/>
    <mergeCell ref="JSY39:JSZ39"/>
    <mergeCell ref="JTA39:JTB39"/>
    <mergeCell ref="JTC39:JTD39"/>
    <mergeCell ref="JSG39:JSH39"/>
    <mergeCell ref="JSI39:JSJ39"/>
    <mergeCell ref="JSK39:JSL39"/>
    <mergeCell ref="JSM39:JSN39"/>
    <mergeCell ref="JSO39:JSP39"/>
    <mergeCell ref="JSQ39:JSR39"/>
    <mergeCell ref="JRU39:JRV39"/>
    <mergeCell ref="JRW39:JRX39"/>
    <mergeCell ref="JRY39:JRZ39"/>
    <mergeCell ref="JSA39:JSB39"/>
    <mergeCell ref="JSC39:JSD39"/>
    <mergeCell ref="JSE39:JSF39"/>
    <mergeCell ref="JRI39:JRJ39"/>
    <mergeCell ref="JRK39:JRL39"/>
    <mergeCell ref="JRM39:JRN39"/>
    <mergeCell ref="JRO39:JRP39"/>
    <mergeCell ref="JRQ39:JRR39"/>
    <mergeCell ref="JRS39:JRT39"/>
    <mergeCell ref="JWK39:JWL39"/>
    <mergeCell ref="JWM39:JWN39"/>
    <mergeCell ref="JWO39:JWP39"/>
    <mergeCell ref="JWQ39:JWR39"/>
    <mergeCell ref="JWS39:JWT39"/>
    <mergeCell ref="JWU39:JWV39"/>
    <mergeCell ref="JVY39:JVZ39"/>
    <mergeCell ref="JWA39:JWB39"/>
    <mergeCell ref="JWC39:JWD39"/>
    <mergeCell ref="JWE39:JWF39"/>
    <mergeCell ref="JWG39:JWH39"/>
    <mergeCell ref="JWI39:JWJ39"/>
    <mergeCell ref="JVM39:JVN39"/>
    <mergeCell ref="JVO39:JVP39"/>
    <mergeCell ref="JVQ39:JVR39"/>
    <mergeCell ref="JVS39:JVT39"/>
    <mergeCell ref="JVU39:JVV39"/>
    <mergeCell ref="JVW39:JVX39"/>
    <mergeCell ref="JVA39:JVB39"/>
    <mergeCell ref="JVC39:JVD39"/>
    <mergeCell ref="JVE39:JVF39"/>
    <mergeCell ref="JVG39:JVH39"/>
    <mergeCell ref="JVI39:JVJ39"/>
    <mergeCell ref="JVK39:JVL39"/>
    <mergeCell ref="JUO39:JUP39"/>
    <mergeCell ref="JUQ39:JUR39"/>
    <mergeCell ref="JUS39:JUT39"/>
    <mergeCell ref="JUU39:JUV39"/>
    <mergeCell ref="JUW39:JUX39"/>
    <mergeCell ref="JUY39:JUZ39"/>
    <mergeCell ref="JUC39:JUD39"/>
    <mergeCell ref="JUE39:JUF39"/>
    <mergeCell ref="JUG39:JUH39"/>
    <mergeCell ref="JUI39:JUJ39"/>
    <mergeCell ref="JUK39:JUL39"/>
    <mergeCell ref="JUM39:JUN39"/>
    <mergeCell ref="JZE39:JZF39"/>
    <mergeCell ref="JZG39:JZH39"/>
    <mergeCell ref="JZI39:JZJ39"/>
    <mergeCell ref="JZK39:JZL39"/>
    <mergeCell ref="JZM39:JZN39"/>
    <mergeCell ref="JZO39:JZP39"/>
    <mergeCell ref="JYS39:JYT39"/>
    <mergeCell ref="JYU39:JYV39"/>
    <mergeCell ref="JYW39:JYX39"/>
    <mergeCell ref="JYY39:JYZ39"/>
    <mergeCell ref="JZA39:JZB39"/>
    <mergeCell ref="JZC39:JZD39"/>
    <mergeCell ref="JYG39:JYH39"/>
    <mergeCell ref="JYI39:JYJ39"/>
    <mergeCell ref="JYK39:JYL39"/>
    <mergeCell ref="JYM39:JYN39"/>
    <mergeCell ref="JYO39:JYP39"/>
    <mergeCell ref="JYQ39:JYR39"/>
    <mergeCell ref="JXU39:JXV39"/>
    <mergeCell ref="JXW39:JXX39"/>
    <mergeCell ref="JXY39:JXZ39"/>
    <mergeCell ref="JYA39:JYB39"/>
    <mergeCell ref="JYC39:JYD39"/>
    <mergeCell ref="JYE39:JYF39"/>
    <mergeCell ref="JXI39:JXJ39"/>
    <mergeCell ref="JXK39:JXL39"/>
    <mergeCell ref="JXM39:JXN39"/>
    <mergeCell ref="JXO39:JXP39"/>
    <mergeCell ref="JXQ39:JXR39"/>
    <mergeCell ref="JXS39:JXT39"/>
    <mergeCell ref="JWW39:JWX39"/>
    <mergeCell ref="JWY39:JWZ39"/>
    <mergeCell ref="JXA39:JXB39"/>
    <mergeCell ref="JXC39:JXD39"/>
    <mergeCell ref="JXE39:JXF39"/>
    <mergeCell ref="JXG39:JXH39"/>
    <mergeCell ref="KBY39:KBZ39"/>
    <mergeCell ref="KCA39:KCB39"/>
    <mergeCell ref="KCC39:KCD39"/>
    <mergeCell ref="KCE39:KCF39"/>
    <mergeCell ref="KCG39:KCH39"/>
    <mergeCell ref="KCI39:KCJ39"/>
    <mergeCell ref="KBM39:KBN39"/>
    <mergeCell ref="KBO39:KBP39"/>
    <mergeCell ref="KBQ39:KBR39"/>
    <mergeCell ref="KBS39:KBT39"/>
    <mergeCell ref="KBU39:KBV39"/>
    <mergeCell ref="KBW39:KBX39"/>
    <mergeCell ref="KBA39:KBB39"/>
    <mergeCell ref="KBC39:KBD39"/>
    <mergeCell ref="KBE39:KBF39"/>
    <mergeCell ref="KBG39:KBH39"/>
    <mergeCell ref="KBI39:KBJ39"/>
    <mergeCell ref="KBK39:KBL39"/>
    <mergeCell ref="KAO39:KAP39"/>
    <mergeCell ref="KAQ39:KAR39"/>
    <mergeCell ref="KAS39:KAT39"/>
    <mergeCell ref="KAU39:KAV39"/>
    <mergeCell ref="KAW39:KAX39"/>
    <mergeCell ref="KAY39:KAZ39"/>
    <mergeCell ref="KAC39:KAD39"/>
    <mergeCell ref="KAE39:KAF39"/>
    <mergeCell ref="KAG39:KAH39"/>
    <mergeCell ref="KAI39:KAJ39"/>
    <mergeCell ref="KAK39:KAL39"/>
    <mergeCell ref="KAM39:KAN39"/>
    <mergeCell ref="JZQ39:JZR39"/>
    <mergeCell ref="JZS39:JZT39"/>
    <mergeCell ref="JZU39:JZV39"/>
    <mergeCell ref="JZW39:JZX39"/>
    <mergeCell ref="JZY39:JZZ39"/>
    <mergeCell ref="KAA39:KAB39"/>
    <mergeCell ref="KES39:KET39"/>
    <mergeCell ref="KEU39:KEV39"/>
    <mergeCell ref="KEW39:KEX39"/>
    <mergeCell ref="KEY39:KEZ39"/>
    <mergeCell ref="KFA39:KFB39"/>
    <mergeCell ref="KFC39:KFD39"/>
    <mergeCell ref="KEG39:KEH39"/>
    <mergeCell ref="KEI39:KEJ39"/>
    <mergeCell ref="KEK39:KEL39"/>
    <mergeCell ref="KEM39:KEN39"/>
    <mergeCell ref="KEO39:KEP39"/>
    <mergeCell ref="KEQ39:KER39"/>
    <mergeCell ref="KDU39:KDV39"/>
    <mergeCell ref="KDW39:KDX39"/>
    <mergeCell ref="KDY39:KDZ39"/>
    <mergeCell ref="KEA39:KEB39"/>
    <mergeCell ref="KEC39:KED39"/>
    <mergeCell ref="KEE39:KEF39"/>
    <mergeCell ref="KDI39:KDJ39"/>
    <mergeCell ref="KDK39:KDL39"/>
    <mergeCell ref="KDM39:KDN39"/>
    <mergeCell ref="KDO39:KDP39"/>
    <mergeCell ref="KDQ39:KDR39"/>
    <mergeCell ref="KDS39:KDT39"/>
    <mergeCell ref="KCW39:KCX39"/>
    <mergeCell ref="KCY39:KCZ39"/>
    <mergeCell ref="KDA39:KDB39"/>
    <mergeCell ref="KDC39:KDD39"/>
    <mergeCell ref="KDE39:KDF39"/>
    <mergeCell ref="KDG39:KDH39"/>
    <mergeCell ref="KCK39:KCL39"/>
    <mergeCell ref="KCM39:KCN39"/>
    <mergeCell ref="KCO39:KCP39"/>
    <mergeCell ref="KCQ39:KCR39"/>
    <mergeCell ref="KCS39:KCT39"/>
    <mergeCell ref="KCU39:KCV39"/>
    <mergeCell ref="KHM39:KHN39"/>
    <mergeCell ref="KHO39:KHP39"/>
    <mergeCell ref="KHQ39:KHR39"/>
    <mergeCell ref="KHS39:KHT39"/>
    <mergeCell ref="KHU39:KHV39"/>
    <mergeCell ref="KHW39:KHX39"/>
    <mergeCell ref="KHA39:KHB39"/>
    <mergeCell ref="KHC39:KHD39"/>
    <mergeCell ref="KHE39:KHF39"/>
    <mergeCell ref="KHG39:KHH39"/>
    <mergeCell ref="KHI39:KHJ39"/>
    <mergeCell ref="KHK39:KHL39"/>
    <mergeCell ref="KGO39:KGP39"/>
    <mergeCell ref="KGQ39:KGR39"/>
    <mergeCell ref="KGS39:KGT39"/>
    <mergeCell ref="KGU39:KGV39"/>
    <mergeCell ref="KGW39:KGX39"/>
    <mergeCell ref="KGY39:KGZ39"/>
    <mergeCell ref="KGC39:KGD39"/>
    <mergeCell ref="KGE39:KGF39"/>
    <mergeCell ref="KGG39:KGH39"/>
    <mergeCell ref="KGI39:KGJ39"/>
    <mergeCell ref="KGK39:KGL39"/>
    <mergeCell ref="KGM39:KGN39"/>
    <mergeCell ref="KFQ39:KFR39"/>
    <mergeCell ref="KFS39:KFT39"/>
    <mergeCell ref="KFU39:KFV39"/>
    <mergeCell ref="KFW39:KFX39"/>
    <mergeCell ref="KFY39:KFZ39"/>
    <mergeCell ref="KGA39:KGB39"/>
    <mergeCell ref="KFE39:KFF39"/>
    <mergeCell ref="KFG39:KFH39"/>
    <mergeCell ref="KFI39:KFJ39"/>
    <mergeCell ref="KFK39:KFL39"/>
    <mergeCell ref="KFM39:KFN39"/>
    <mergeCell ref="KFO39:KFP39"/>
    <mergeCell ref="KKG39:KKH39"/>
    <mergeCell ref="KKI39:KKJ39"/>
    <mergeCell ref="KKK39:KKL39"/>
    <mergeCell ref="KKM39:KKN39"/>
    <mergeCell ref="KKO39:KKP39"/>
    <mergeCell ref="KKQ39:KKR39"/>
    <mergeCell ref="KJU39:KJV39"/>
    <mergeCell ref="KJW39:KJX39"/>
    <mergeCell ref="KJY39:KJZ39"/>
    <mergeCell ref="KKA39:KKB39"/>
    <mergeCell ref="KKC39:KKD39"/>
    <mergeCell ref="KKE39:KKF39"/>
    <mergeCell ref="KJI39:KJJ39"/>
    <mergeCell ref="KJK39:KJL39"/>
    <mergeCell ref="KJM39:KJN39"/>
    <mergeCell ref="KJO39:KJP39"/>
    <mergeCell ref="KJQ39:KJR39"/>
    <mergeCell ref="KJS39:KJT39"/>
    <mergeCell ref="KIW39:KIX39"/>
    <mergeCell ref="KIY39:KIZ39"/>
    <mergeCell ref="KJA39:KJB39"/>
    <mergeCell ref="KJC39:KJD39"/>
    <mergeCell ref="KJE39:KJF39"/>
    <mergeCell ref="KJG39:KJH39"/>
    <mergeCell ref="KIK39:KIL39"/>
    <mergeCell ref="KIM39:KIN39"/>
    <mergeCell ref="KIO39:KIP39"/>
    <mergeCell ref="KIQ39:KIR39"/>
    <mergeCell ref="KIS39:KIT39"/>
    <mergeCell ref="KIU39:KIV39"/>
    <mergeCell ref="KHY39:KHZ39"/>
    <mergeCell ref="KIA39:KIB39"/>
    <mergeCell ref="KIC39:KID39"/>
    <mergeCell ref="KIE39:KIF39"/>
    <mergeCell ref="KIG39:KIH39"/>
    <mergeCell ref="KII39:KIJ39"/>
    <mergeCell ref="KNA39:KNB39"/>
    <mergeCell ref="KNC39:KND39"/>
    <mergeCell ref="KNE39:KNF39"/>
    <mergeCell ref="KNG39:KNH39"/>
    <mergeCell ref="KNI39:KNJ39"/>
    <mergeCell ref="KNK39:KNL39"/>
    <mergeCell ref="KMO39:KMP39"/>
    <mergeCell ref="KMQ39:KMR39"/>
    <mergeCell ref="KMS39:KMT39"/>
    <mergeCell ref="KMU39:KMV39"/>
    <mergeCell ref="KMW39:KMX39"/>
    <mergeCell ref="KMY39:KMZ39"/>
    <mergeCell ref="KMC39:KMD39"/>
    <mergeCell ref="KME39:KMF39"/>
    <mergeCell ref="KMG39:KMH39"/>
    <mergeCell ref="KMI39:KMJ39"/>
    <mergeCell ref="KMK39:KML39"/>
    <mergeCell ref="KMM39:KMN39"/>
    <mergeCell ref="KLQ39:KLR39"/>
    <mergeCell ref="KLS39:KLT39"/>
    <mergeCell ref="KLU39:KLV39"/>
    <mergeCell ref="KLW39:KLX39"/>
    <mergeCell ref="KLY39:KLZ39"/>
    <mergeCell ref="KMA39:KMB39"/>
    <mergeCell ref="KLE39:KLF39"/>
    <mergeCell ref="KLG39:KLH39"/>
    <mergeCell ref="KLI39:KLJ39"/>
    <mergeCell ref="KLK39:KLL39"/>
    <mergeCell ref="KLM39:KLN39"/>
    <mergeCell ref="KLO39:KLP39"/>
    <mergeCell ref="KKS39:KKT39"/>
    <mergeCell ref="KKU39:KKV39"/>
    <mergeCell ref="KKW39:KKX39"/>
    <mergeCell ref="KKY39:KKZ39"/>
    <mergeCell ref="KLA39:KLB39"/>
    <mergeCell ref="KLC39:KLD39"/>
    <mergeCell ref="KPU39:KPV39"/>
    <mergeCell ref="KPW39:KPX39"/>
    <mergeCell ref="KPY39:KPZ39"/>
    <mergeCell ref="KQA39:KQB39"/>
    <mergeCell ref="KQC39:KQD39"/>
    <mergeCell ref="KQE39:KQF39"/>
    <mergeCell ref="KPI39:KPJ39"/>
    <mergeCell ref="KPK39:KPL39"/>
    <mergeCell ref="KPM39:KPN39"/>
    <mergeCell ref="KPO39:KPP39"/>
    <mergeCell ref="KPQ39:KPR39"/>
    <mergeCell ref="KPS39:KPT39"/>
    <mergeCell ref="KOW39:KOX39"/>
    <mergeCell ref="KOY39:KOZ39"/>
    <mergeCell ref="KPA39:KPB39"/>
    <mergeCell ref="KPC39:KPD39"/>
    <mergeCell ref="KPE39:KPF39"/>
    <mergeCell ref="KPG39:KPH39"/>
    <mergeCell ref="KOK39:KOL39"/>
    <mergeCell ref="KOM39:KON39"/>
    <mergeCell ref="KOO39:KOP39"/>
    <mergeCell ref="KOQ39:KOR39"/>
    <mergeCell ref="KOS39:KOT39"/>
    <mergeCell ref="KOU39:KOV39"/>
    <mergeCell ref="KNY39:KNZ39"/>
    <mergeCell ref="KOA39:KOB39"/>
    <mergeCell ref="KOC39:KOD39"/>
    <mergeCell ref="KOE39:KOF39"/>
    <mergeCell ref="KOG39:KOH39"/>
    <mergeCell ref="KOI39:KOJ39"/>
    <mergeCell ref="KNM39:KNN39"/>
    <mergeCell ref="KNO39:KNP39"/>
    <mergeCell ref="KNQ39:KNR39"/>
    <mergeCell ref="KNS39:KNT39"/>
    <mergeCell ref="KNU39:KNV39"/>
    <mergeCell ref="KNW39:KNX39"/>
    <mergeCell ref="KSO39:KSP39"/>
    <mergeCell ref="KSQ39:KSR39"/>
    <mergeCell ref="KSS39:KST39"/>
    <mergeCell ref="KSU39:KSV39"/>
    <mergeCell ref="KSW39:KSX39"/>
    <mergeCell ref="KSY39:KSZ39"/>
    <mergeCell ref="KSC39:KSD39"/>
    <mergeCell ref="KSE39:KSF39"/>
    <mergeCell ref="KSG39:KSH39"/>
    <mergeCell ref="KSI39:KSJ39"/>
    <mergeCell ref="KSK39:KSL39"/>
    <mergeCell ref="KSM39:KSN39"/>
    <mergeCell ref="KRQ39:KRR39"/>
    <mergeCell ref="KRS39:KRT39"/>
    <mergeCell ref="KRU39:KRV39"/>
    <mergeCell ref="KRW39:KRX39"/>
    <mergeCell ref="KRY39:KRZ39"/>
    <mergeCell ref="KSA39:KSB39"/>
    <mergeCell ref="KRE39:KRF39"/>
    <mergeCell ref="KRG39:KRH39"/>
    <mergeCell ref="KRI39:KRJ39"/>
    <mergeCell ref="KRK39:KRL39"/>
    <mergeCell ref="KRM39:KRN39"/>
    <mergeCell ref="KRO39:KRP39"/>
    <mergeCell ref="KQS39:KQT39"/>
    <mergeCell ref="KQU39:KQV39"/>
    <mergeCell ref="KQW39:KQX39"/>
    <mergeCell ref="KQY39:KQZ39"/>
    <mergeCell ref="KRA39:KRB39"/>
    <mergeCell ref="KRC39:KRD39"/>
    <mergeCell ref="KQG39:KQH39"/>
    <mergeCell ref="KQI39:KQJ39"/>
    <mergeCell ref="KQK39:KQL39"/>
    <mergeCell ref="KQM39:KQN39"/>
    <mergeCell ref="KQO39:KQP39"/>
    <mergeCell ref="KQQ39:KQR39"/>
    <mergeCell ref="KVI39:KVJ39"/>
    <mergeCell ref="KVK39:KVL39"/>
    <mergeCell ref="KVM39:KVN39"/>
    <mergeCell ref="KVO39:KVP39"/>
    <mergeCell ref="KVQ39:KVR39"/>
    <mergeCell ref="KVS39:KVT39"/>
    <mergeCell ref="KUW39:KUX39"/>
    <mergeCell ref="KUY39:KUZ39"/>
    <mergeCell ref="KVA39:KVB39"/>
    <mergeCell ref="KVC39:KVD39"/>
    <mergeCell ref="KVE39:KVF39"/>
    <mergeCell ref="KVG39:KVH39"/>
    <mergeCell ref="KUK39:KUL39"/>
    <mergeCell ref="KUM39:KUN39"/>
    <mergeCell ref="KUO39:KUP39"/>
    <mergeCell ref="KUQ39:KUR39"/>
    <mergeCell ref="KUS39:KUT39"/>
    <mergeCell ref="KUU39:KUV39"/>
    <mergeCell ref="KTY39:KTZ39"/>
    <mergeCell ref="KUA39:KUB39"/>
    <mergeCell ref="KUC39:KUD39"/>
    <mergeCell ref="KUE39:KUF39"/>
    <mergeCell ref="KUG39:KUH39"/>
    <mergeCell ref="KUI39:KUJ39"/>
    <mergeCell ref="KTM39:KTN39"/>
    <mergeCell ref="KTO39:KTP39"/>
    <mergeCell ref="KTQ39:KTR39"/>
    <mergeCell ref="KTS39:KTT39"/>
    <mergeCell ref="KTU39:KTV39"/>
    <mergeCell ref="KTW39:KTX39"/>
    <mergeCell ref="KTA39:KTB39"/>
    <mergeCell ref="KTC39:KTD39"/>
    <mergeCell ref="KTE39:KTF39"/>
    <mergeCell ref="KTG39:KTH39"/>
    <mergeCell ref="KTI39:KTJ39"/>
    <mergeCell ref="KTK39:KTL39"/>
    <mergeCell ref="KYC39:KYD39"/>
    <mergeCell ref="KYE39:KYF39"/>
    <mergeCell ref="KYG39:KYH39"/>
    <mergeCell ref="KYI39:KYJ39"/>
    <mergeCell ref="KYK39:KYL39"/>
    <mergeCell ref="KYM39:KYN39"/>
    <mergeCell ref="KXQ39:KXR39"/>
    <mergeCell ref="KXS39:KXT39"/>
    <mergeCell ref="KXU39:KXV39"/>
    <mergeCell ref="KXW39:KXX39"/>
    <mergeCell ref="KXY39:KXZ39"/>
    <mergeCell ref="KYA39:KYB39"/>
    <mergeCell ref="KXE39:KXF39"/>
    <mergeCell ref="KXG39:KXH39"/>
    <mergeCell ref="KXI39:KXJ39"/>
    <mergeCell ref="KXK39:KXL39"/>
    <mergeCell ref="KXM39:KXN39"/>
    <mergeCell ref="KXO39:KXP39"/>
    <mergeCell ref="KWS39:KWT39"/>
    <mergeCell ref="KWU39:KWV39"/>
    <mergeCell ref="KWW39:KWX39"/>
    <mergeCell ref="KWY39:KWZ39"/>
    <mergeCell ref="KXA39:KXB39"/>
    <mergeCell ref="KXC39:KXD39"/>
    <mergeCell ref="KWG39:KWH39"/>
    <mergeCell ref="KWI39:KWJ39"/>
    <mergeCell ref="KWK39:KWL39"/>
    <mergeCell ref="KWM39:KWN39"/>
    <mergeCell ref="KWO39:KWP39"/>
    <mergeCell ref="KWQ39:KWR39"/>
    <mergeCell ref="KVU39:KVV39"/>
    <mergeCell ref="KVW39:KVX39"/>
    <mergeCell ref="KVY39:KVZ39"/>
    <mergeCell ref="KWA39:KWB39"/>
    <mergeCell ref="KWC39:KWD39"/>
    <mergeCell ref="KWE39:KWF39"/>
    <mergeCell ref="LAW39:LAX39"/>
    <mergeCell ref="LAY39:LAZ39"/>
    <mergeCell ref="LBA39:LBB39"/>
    <mergeCell ref="LBC39:LBD39"/>
    <mergeCell ref="LBE39:LBF39"/>
    <mergeCell ref="LBG39:LBH39"/>
    <mergeCell ref="LAK39:LAL39"/>
    <mergeCell ref="LAM39:LAN39"/>
    <mergeCell ref="LAO39:LAP39"/>
    <mergeCell ref="LAQ39:LAR39"/>
    <mergeCell ref="LAS39:LAT39"/>
    <mergeCell ref="LAU39:LAV39"/>
    <mergeCell ref="KZY39:KZZ39"/>
    <mergeCell ref="LAA39:LAB39"/>
    <mergeCell ref="LAC39:LAD39"/>
    <mergeCell ref="LAE39:LAF39"/>
    <mergeCell ref="LAG39:LAH39"/>
    <mergeCell ref="LAI39:LAJ39"/>
    <mergeCell ref="KZM39:KZN39"/>
    <mergeCell ref="KZO39:KZP39"/>
    <mergeCell ref="KZQ39:KZR39"/>
    <mergeCell ref="KZS39:KZT39"/>
    <mergeCell ref="KZU39:KZV39"/>
    <mergeCell ref="KZW39:KZX39"/>
    <mergeCell ref="KZA39:KZB39"/>
    <mergeCell ref="KZC39:KZD39"/>
    <mergeCell ref="KZE39:KZF39"/>
    <mergeCell ref="KZG39:KZH39"/>
    <mergeCell ref="KZI39:KZJ39"/>
    <mergeCell ref="KZK39:KZL39"/>
    <mergeCell ref="KYO39:KYP39"/>
    <mergeCell ref="KYQ39:KYR39"/>
    <mergeCell ref="KYS39:KYT39"/>
    <mergeCell ref="KYU39:KYV39"/>
    <mergeCell ref="KYW39:KYX39"/>
    <mergeCell ref="KYY39:KYZ39"/>
    <mergeCell ref="LDQ39:LDR39"/>
    <mergeCell ref="LDS39:LDT39"/>
    <mergeCell ref="LDU39:LDV39"/>
    <mergeCell ref="LDW39:LDX39"/>
    <mergeCell ref="LDY39:LDZ39"/>
    <mergeCell ref="LEA39:LEB39"/>
    <mergeCell ref="LDE39:LDF39"/>
    <mergeCell ref="LDG39:LDH39"/>
    <mergeCell ref="LDI39:LDJ39"/>
    <mergeCell ref="LDK39:LDL39"/>
    <mergeCell ref="LDM39:LDN39"/>
    <mergeCell ref="LDO39:LDP39"/>
    <mergeCell ref="LCS39:LCT39"/>
    <mergeCell ref="LCU39:LCV39"/>
    <mergeCell ref="LCW39:LCX39"/>
    <mergeCell ref="LCY39:LCZ39"/>
    <mergeCell ref="LDA39:LDB39"/>
    <mergeCell ref="LDC39:LDD39"/>
    <mergeCell ref="LCG39:LCH39"/>
    <mergeCell ref="LCI39:LCJ39"/>
    <mergeCell ref="LCK39:LCL39"/>
    <mergeCell ref="LCM39:LCN39"/>
    <mergeCell ref="LCO39:LCP39"/>
    <mergeCell ref="LCQ39:LCR39"/>
    <mergeCell ref="LBU39:LBV39"/>
    <mergeCell ref="LBW39:LBX39"/>
    <mergeCell ref="LBY39:LBZ39"/>
    <mergeCell ref="LCA39:LCB39"/>
    <mergeCell ref="LCC39:LCD39"/>
    <mergeCell ref="LCE39:LCF39"/>
    <mergeCell ref="LBI39:LBJ39"/>
    <mergeCell ref="LBK39:LBL39"/>
    <mergeCell ref="LBM39:LBN39"/>
    <mergeCell ref="LBO39:LBP39"/>
    <mergeCell ref="LBQ39:LBR39"/>
    <mergeCell ref="LBS39:LBT39"/>
    <mergeCell ref="LGK39:LGL39"/>
    <mergeCell ref="LGM39:LGN39"/>
    <mergeCell ref="LGO39:LGP39"/>
    <mergeCell ref="LGQ39:LGR39"/>
    <mergeCell ref="LGS39:LGT39"/>
    <mergeCell ref="LGU39:LGV39"/>
    <mergeCell ref="LFY39:LFZ39"/>
    <mergeCell ref="LGA39:LGB39"/>
    <mergeCell ref="LGC39:LGD39"/>
    <mergeCell ref="LGE39:LGF39"/>
    <mergeCell ref="LGG39:LGH39"/>
    <mergeCell ref="LGI39:LGJ39"/>
    <mergeCell ref="LFM39:LFN39"/>
    <mergeCell ref="LFO39:LFP39"/>
    <mergeCell ref="LFQ39:LFR39"/>
    <mergeCell ref="LFS39:LFT39"/>
    <mergeCell ref="LFU39:LFV39"/>
    <mergeCell ref="LFW39:LFX39"/>
    <mergeCell ref="LFA39:LFB39"/>
    <mergeCell ref="LFC39:LFD39"/>
    <mergeCell ref="LFE39:LFF39"/>
    <mergeCell ref="LFG39:LFH39"/>
    <mergeCell ref="LFI39:LFJ39"/>
    <mergeCell ref="LFK39:LFL39"/>
    <mergeCell ref="LEO39:LEP39"/>
    <mergeCell ref="LEQ39:LER39"/>
    <mergeCell ref="LES39:LET39"/>
    <mergeCell ref="LEU39:LEV39"/>
    <mergeCell ref="LEW39:LEX39"/>
    <mergeCell ref="LEY39:LEZ39"/>
    <mergeCell ref="LEC39:LED39"/>
    <mergeCell ref="LEE39:LEF39"/>
    <mergeCell ref="LEG39:LEH39"/>
    <mergeCell ref="LEI39:LEJ39"/>
    <mergeCell ref="LEK39:LEL39"/>
    <mergeCell ref="LEM39:LEN39"/>
    <mergeCell ref="LJE39:LJF39"/>
    <mergeCell ref="LJG39:LJH39"/>
    <mergeCell ref="LJI39:LJJ39"/>
    <mergeCell ref="LJK39:LJL39"/>
    <mergeCell ref="LJM39:LJN39"/>
    <mergeCell ref="LJO39:LJP39"/>
    <mergeCell ref="LIS39:LIT39"/>
    <mergeCell ref="LIU39:LIV39"/>
    <mergeCell ref="LIW39:LIX39"/>
    <mergeCell ref="LIY39:LIZ39"/>
    <mergeCell ref="LJA39:LJB39"/>
    <mergeCell ref="LJC39:LJD39"/>
    <mergeCell ref="LIG39:LIH39"/>
    <mergeCell ref="LII39:LIJ39"/>
    <mergeCell ref="LIK39:LIL39"/>
    <mergeCell ref="LIM39:LIN39"/>
    <mergeCell ref="LIO39:LIP39"/>
    <mergeCell ref="LIQ39:LIR39"/>
    <mergeCell ref="LHU39:LHV39"/>
    <mergeCell ref="LHW39:LHX39"/>
    <mergeCell ref="LHY39:LHZ39"/>
    <mergeCell ref="LIA39:LIB39"/>
    <mergeCell ref="LIC39:LID39"/>
    <mergeCell ref="LIE39:LIF39"/>
    <mergeCell ref="LHI39:LHJ39"/>
    <mergeCell ref="LHK39:LHL39"/>
    <mergeCell ref="LHM39:LHN39"/>
    <mergeCell ref="LHO39:LHP39"/>
    <mergeCell ref="LHQ39:LHR39"/>
    <mergeCell ref="LHS39:LHT39"/>
    <mergeCell ref="LGW39:LGX39"/>
    <mergeCell ref="LGY39:LGZ39"/>
    <mergeCell ref="LHA39:LHB39"/>
    <mergeCell ref="LHC39:LHD39"/>
    <mergeCell ref="LHE39:LHF39"/>
    <mergeCell ref="LHG39:LHH39"/>
    <mergeCell ref="LLY39:LLZ39"/>
    <mergeCell ref="LMA39:LMB39"/>
    <mergeCell ref="LMC39:LMD39"/>
    <mergeCell ref="LME39:LMF39"/>
    <mergeCell ref="LMG39:LMH39"/>
    <mergeCell ref="LMI39:LMJ39"/>
    <mergeCell ref="LLM39:LLN39"/>
    <mergeCell ref="LLO39:LLP39"/>
    <mergeCell ref="LLQ39:LLR39"/>
    <mergeCell ref="LLS39:LLT39"/>
    <mergeCell ref="LLU39:LLV39"/>
    <mergeCell ref="LLW39:LLX39"/>
    <mergeCell ref="LLA39:LLB39"/>
    <mergeCell ref="LLC39:LLD39"/>
    <mergeCell ref="LLE39:LLF39"/>
    <mergeCell ref="LLG39:LLH39"/>
    <mergeCell ref="LLI39:LLJ39"/>
    <mergeCell ref="LLK39:LLL39"/>
    <mergeCell ref="LKO39:LKP39"/>
    <mergeCell ref="LKQ39:LKR39"/>
    <mergeCell ref="LKS39:LKT39"/>
    <mergeCell ref="LKU39:LKV39"/>
    <mergeCell ref="LKW39:LKX39"/>
    <mergeCell ref="LKY39:LKZ39"/>
    <mergeCell ref="LKC39:LKD39"/>
    <mergeCell ref="LKE39:LKF39"/>
    <mergeCell ref="LKG39:LKH39"/>
    <mergeCell ref="LKI39:LKJ39"/>
    <mergeCell ref="LKK39:LKL39"/>
    <mergeCell ref="LKM39:LKN39"/>
    <mergeCell ref="LJQ39:LJR39"/>
    <mergeCell ref="LJS39:LJT39"/>
    <mergeCell ref="LJU39:LJV39"/>
    <mergeCell ref="LJW39:LJX39"/>
    <mergeCell ref="LJY39:LJZ39"/>
    <mergeCell ref="LKA39:LKB39"/>
    <mergeCell ref="LOS39:LOT39"/>
    <mergeCell ref="LOU39:LOV39"/>
    <mergeCell ref="LOW39:LOX39"/>
    <mergeCell ref="LOY39:LOZ39"/>
    <mergeCell ref="LPA39:LPB39"/>
    <mergeCell ref="LPC39:LPD39"/>
    <mergeCell ref="LOG39:LOH39"/>
    <mergeCell ref="LOI39:LOJ39"/>
    <mergeCell ref="LOK39:LOL39"/>
    <mergeCell ref="LOM39:LON39"/>
    <mergeCell ref="LOO39:LOP39"/>
    <mergeCell ref="LOQ39:LOR39"/>
    <mergeCell ref="LNU39:LNV39"/>
    <mergeCell ref="LNW39:LNX39"/>
    <mergeCell ref="LNY39:LNZ39"/>
    <mergeCell ref="LOA39:LOB39"/>
    <mergeCell ref="LOC39:LOD39"/>
    <mergeCell ref="LOE39:LOF39"/>
    <mergeCell ref="LNI39:LNJ39"/>
    <mergeCell ref="LNK39:LNL39"/>
    <mergeCell ref="LNM39:LNN39"/>
    <mergeCell ref="LNO39:LNP39"/>
    <mergeCell ref="LNQ39:LNR39"/>
    <mergeCell ref="LNS39:LNT39"/>
    <mergeCell ref="LMW39:LMX39"/>
    <mergeCell ref="LMY39:LMZ39"/>
    <mergeCell ref="LNA39:LNB39"/>
    <mergeCell ref="LNC39:LND39"/>
    <mergeCell ref="LNE39:LNF39"/>
    <mergeCell ref="LNG39:LNH39"/>
    <mergeCell ref="LMK39:LML39"/>
    <mergeCell ref="LMM39:LMN39"/>
    <mergeCell ref="LMO39:LMP39"/>
    <mergeCell ref="LMQ39:LMR39"/>
    <mergeCell ref="LMS39:LMT39"/>
    <mergeCell ref="LMU39:LMV39"/>
    <mergeCell ref="LRM39:LRN39"/>
    <mergeCell ref="LRO39:LRP39"/>
    <mergeCell ref="LRQ39:LRR39"/>
    <mergeCell ref="LRS39:LRT39"/>
    <mergeCell ref="LRU39:LRV39"/>
    <mergeCell ref="LRW39:LRX39"/>
    <mergeCell ref="LRA39:LRB39"/>
    <mergeCell ref="LRC39:LRD39"/>
    <mergeCell ref="LRE39:LRF39"/>
    <mergeCell ref="LRG39:LRH39"/>
    <mergeCell ref="LRI39:LRJ39"/>
    <mergeCell ref="LRK39:LRL39"/>
    <mergeCell ref="LQO39:LQP39"/>
    <mergeCell ref="LQQ39:LQR39"/>
    <mergeCell ref="LQS39:LQT39"/>
    <mergeCell ref="LQU39:LQV39"/>
    <mergeCell ref="LQW39:LQX39"/>
    <mergeCell ref="LQY39:LQZ39"/>
    <mergeCell ref="LQC39:LQD39"/>
    <mergeCell ref="LQE39:LQF39"/>
    <mergeCell ref="LQG39:LQH39"/>
    <mergeCell ref="LQI39:LQJ39"/>
    <mergeCell ref="LQK39:LQL39"/>
    <mergeCell ref="LQM39:LQN39"/>
    <mergeCell ref="LPQ39:LPR39"/>
    <mergeCell ref="LPS39:LPT39"/>
    <mergeCell ref="LPU39:LPV39"/>
    <mergeCell ref="LPW39:LPX39"/>
    <mergeCell ref="LPY39:LPZ39"/>
    <mergeCell ref="LQA39:LQB39"/>
    <mergeCell ref="LPE39:LPF39"/>
    <mergeCell ref="LPG39:LPH39"/>
    <mergeCell ref="LPI39:LPJ39"/>
    <mergeCell ref="LPK39:LPL39"/>
    <mergeCell ref="LPM39:LPN39"/>
    <mergeCell ref="LPO39:LPP39"/>
    <mergeCell ref="LUG39:LUH39"/>
    <mergeCell ref="LUI39:LUJ39"/>
    <mergeCell ref="LUK39:LUL39"/>
    <mergeCell ref="LUM39:LUN39"/>
    <mergeCell ref="LUO39:LUP39"/>
    <mergeCell ref="LUQ39:LUR39"/>
    <mergeCell ref="LTU39:LTV39"/>
    <mergeCell ref="LTW39:LTX39"/>
    <mergeCell ref="LTY39:LTZ39"/>
    <mergeCell ref="LUA39:LUB39"/>
    <mergeCell ref="LUC39:LUD39"/>
    <mergeCell ref="LUE39:LUF39"/>
    <mergeCell ref="LTI39:LTJ39"/>
    <mergeCell ref="LTK39:LTL39"/>
    <mergeCell ref="LTM39:LTN39"/>
    <mergeCell ref="LTO39:LTP39"/>
    <mergeCell ref="LTQ39:LTR39"/>
    <mergeCell ref="LTS39:LTT39"/>
    <mergeCell ref="LSW39:LSX39"/>
    <mergeCell ref="LSY39:LSZ39"/>
    <mergeCell ref="LTA39:LTB39"/>
    <mergeCell ref="LTC39:LTD39"/>
    <mergeCell ref="LTE39:LTF39"/>
    <mergeCell ref="LTG39:LTH39"/>
    <mergeCell ref="LSK39:LSL39"/>
    <mergeCell ref="LSM39:LSN39"/>
    <mergeCell ref="LSO39:LSP39"/>
    <mergeCell ref="LSQ39:LSR39"/>
    <mergeCell ref="LSS39:LST39"/>
    <mergeCell ref="LSU39:LSV39"/>
    <mergeCell ref="LRY39:LRZ39"/>
    <mergeCell ref="LSA39:LSB39"/>
    <mergeCell ref="LSC39:LSD39"/>
    <mergeCell ref="LSE39:LSF39"/>
    <mergeCell ref="LSG39:LSH39"/>
    <mergeCell ref="LSI39:LSJ39"/>
    <mergeCell ref="LXA39:LXB39"/>
    <mergeCell ref="LXC39:LXD39"/>
    <mergeCell ref="LXE39:LXF39"/>
    <mergeCell ref="LXG39:LXH39"/>
    <mergeCell ref="LXI39:LXJ39"/>
    <mergeCell ref="LXK39:LXL39"/>
    <mergeCell ref="LWO39:LWP39"/>
    <mergeCell ref="LWQ39:LWR39"/>
    <mergeCell ref="LWS39:LWT39"/>
    <mergeCell ref="LWU39:LWV39"/>
    <mergeCell ref="LWW39:LWX39"/>
    <mergeCell ref="LWY39:LWZ39"/>
    <mergeCell ref="LWC39:LWD39"/>
    <mergeCell ref="LWE39:LWF39"/>
    <mergeCell ref="LWG39:LWH39"/>
    <mergeCell ref="LWI39:LWJ39"/>
    <mergeCell ref="LWK39:LWL39"/>
    <mergeCell ref="LWM39:LWN39"/>
    <mergeCell ref="LVQ39:LVR39"/>
    <mergeCell ref="LVS39:LVT39"/>
    <mergeCell ref="LVU39:LVV39"/>
    <mergeCell ref="LVW39:LVX39"/>
    <mergeCell ref="LVY39:LVZ39"/>
    <mergeCell ref="LWA39:LWB39"/>
    <mergeCell ref="LVE39:LVF39"/>
    <mergeCell ref="LVG39:LVH39"/>
    <mergeCell ref="LVI39:LVJ39"/>
    <mergeCell ref="LVK39:LVL39"/>
    <mergeCell ref="LVM39:LVN39"/>
    <mergeCell ref="LVO39:LVP39"/>
    <mergeCell ref="LUS39:LUT39"/>
    <mergeCell ref="LUU39:LUV39"/>
    <mergeCell ref="LUW39:LUX39"/>
    <mergeCell ref="LUY39:LUZ39"/>
    <mergeCell ref="LVA39:LVB39"/>
    <mergeCell ref="LVC39:LVD39"/>
    <mergeCell ref="LZU39:LZV39"/>
    <mergeCell ref="LZW39:LZX39"/>
    <mergeCell ref="LZY39:LZZ39"/>
    <mergeCell ref="MAA39:MAB39"/>
    <mergeCell ref="MAC39:MAD39"/>
    <mergeCell ref="MAE39:MAF39"/>
    <mergeCell ref="LZI39:LZJ39"/>
    <mergeCell ref="LZK39:LZL39"/>
    <mergeCell ref="LZM39:LZN39"/>
    <mergeCell ref="LZO39:LZP39"/>
    <mergeCell ref="LZQ39:LZR39"/>
    <mergeCell ref="LZS39:LZT39"/>
    <mergeCell ref="LYW39:LYX39"/>
    <mergeCell ref="LYY39:LYZ39"/>
    <mergeCell ref="LZA39:LZB39"/>
    <mergeCell ref="LZC39:LZD39"/>
    <mergeCell ref="LZE39:LZF39"/>
    <mergeCell ref="LZG39:LZH39"/>
    <mergeCell ref="LYK39:LYL39"/>
    <mergeCell ref="LYM39:LYN39"/>
    <mergeCell ref="LYO39:LYP39"/>
    <mergeCell ref="LYQ39:LYR39"/>
    <mergeCell ref="LYS39:LYT39"/>
    <mergeCell ref="LYU39:LYV39"/>
    <mergeCell ref="LXY39:LXZ39"/>
    <mergeCell ref="LYA39:LYB39"/>
    <mergeCell ref="LYC39:LYD39"/>
    <mergeCell ref="LYE39:LYF39"/>
    <mergeCell ref="LYG39:LYH39"/>
    <mergeCell ref="LYI39:LYJ39"/>
    <mergeCell ref="LXM39:LXN39"/>
    <mergeCell ref="LXO39:LXP39"/>
    <mergeCell ref="LXQ39:LXR39"/>
    <mergeCell ref="LXS39:LXT39"/>
    <mergeCell ref="LXU39:LXV39"/>
    <mergeCell ref="LXW39:LXX39"/>
    <mergeCell ref="MCO39:MCP39"/>
    <mergeCell ref="MCQ39:MCR39"/>
    <mergeCell ref="MCS39:MCT39"/>
    <mergeCell ref="MCU39:MCV39"/>
    <mergeCell ref="MCW39:MCX39"/>
    <mergeCell ref="MCY39:MCZ39"/>
    <mergeCell ref="MCC39:MCD39"/>
    <mergeCell ref="MCE39:MCF39"/>
    <mergeCell ref="MCG39:MCH39"/>
    <mergeCell ref="MCI39:MCJ39"/>
    <mergeCell ref="MCK39:MCL39"/>
    <mergeCell ref="MCM39:MCN39"/>
    <mergeCell ref="MBQ39:MBR39"/>
    <mergeCell ref="MBS39:MBT39"/>
    <mergeCell ref="MBU39:MBV39"/>
    <mergeCell ref="MBW39:MBX39"/>
    <mergeCell ref="MBY39:MBZ39"/>
    <mergeCell ref="MCA39:MCB39"/>
    <mergeCell ref="MBE39:MBF39"/>
    <mergeCell ref="MBG39:MBH39"/>
    <mergeCell ref="MBI39:MBJ39"/>
    <mergeCell ref="MBK39:MBL39"/>
    <mergeCell ref="MBM39:MBN39"/>
    <mergeCell ref="MBO39:MBP39"/>
    <mergeCell ref="MAS39:MAT39"/>
    <mergeCell ref="MAU39:MAV39"/>
    <mergeCell ref="MAW39:MAX39"/>
    <mergeCell ref="MAY39:MAZ39"/>
    <mergeCell ref="MBA39:MBB39"/>
    <mergeCell ref="MBC39:MBD39"/>
    <mergeCell ref="MAG39:MAH39"/>
    <mergeCell ref="MAI39:MAJ39"/>
    <mergeCell ref="MAK39:MAL39"/>
    <mergeCell ref="MAM39:MAN39"/>
    <mergeCell ref="MAO39:MAP39"/>
    <mergeCell ref="MAQ39:MAR39"/>
    <mergeCell ref="MFI39:MFJ39"/>
    <mergeCell ref="MFK39:MFL39"/>
    <mergeCell ref="MFM39:MFN39"/>
    <mergeCell ref="MFO39:MFP39"/>
    <mergeCell ref="MFQ39:MFR39"/>
    <mergeCell ref="MFS39:MFT39"/>
    <mergeCell ref="MEW39:MEX39"/>
    <mergeCell ref="MEY39:MEZ39"/>
    <mergeCell ref="MFA39:MFB39"/>
    <mergeCell ref="MFC39:MFD39"/>
    <mergeCell ref="MFE39:MFF39"/>
    <mergeCell ref="MFG39:MFH39"/>
    <mergeCell ref="MEK39:MEL39"/>
    <mergeCell ref="MEM39:MEN39"/>
    <mergeCell ref="MEO39:MEP39"/>
    <mergeCell ref="MEQ39:MER39"/>
    <mergeCell ref="MES39:MET39"/>
    <mergeCell ref="MEU39:MEV39"/>
    <mergeCell ref="MDY39:MDZ39"/>
    <mergeCell ref="MEA39:MEB39"/>
    <mergeCell ref="MEC39:MED39"/>
    <mergeCell ref="MEE39:MEF39"/>
    <mergeCell ref="MEG39:MEH39"/>
    <mergeCell ref="MEI39:MEJ39"/>
    <mergeCell ref="MDM39:MDN39"/>
    <mergeCell ref="MDO39:MDP39"/>
    <mergeCell ref="MDQ39:MDR39"/>
    <mergeCell ref="MDS39:MDT39"/>
    <mergeCell ref="MDU39:MDV39"/>
    <mergeCell ref="MDW39:MDX39"/>
    <mergeCell ref="MDA39:MDB39"/>
    <mergeCell ref="MDC39:MDD39"/>
    <mergeCell ref="MDE39:MDF39"/>
    <mergeCell ref="MDG39:MDH39"/>
    <mergeCell ref="MDI39:MDJ39"/>
    <mergeCell ref="MDK39:MDL39"/>
    <mergeCell ref="MIC39:MID39"/>
    <mergeCell ref="MIE39:MIF39"/>
    <mergeCell ref="MIG39:MIH39"/>
    <mergeCell ref="MII39:MIJ39"/>
    <mergeCell ref="MIK39:MIL39"/>
    <mergeCell ref="MIM39:MIN39"/>
    <mergeCell ref="MHQ39:MHR39"/>
    <mergeCell ref="MHS39:MHT39"/>
    <mergeCell ref="MHU39:MHV39"/>
    <mergeCell ref="MHW39:MHX39"/>
    <mergeCell ref="MHY39:MHZ39"/>
    <mergeCell ref="MIA39:MIB39"/>
    <mergeCell ref="MHE39:MHF39"/>
    <mergeCell ref="MHG39:MHH39"/>
    <mergeCell ref="MHI39:MHJ39"/>
    <mergeCell ref="MHK39:MHL39"/>
    <mergeCell ref="MHM39:MHN39"/>
    <mergeCell ref="MHO39:MHP39"/>
    <mergeCell ref="MGS39:MGT39"/>
    <mergeCell ref="MGU39:MGV39"/>
    <mergeCell ref="MGW39:MGX39"/>
    <mergeCell ref="MGY39:MGZ39"/>
    <mergeCell ref="MHA39:MHB39"/>
    <mergeCell ref="MHC39:MHD39"/>
    <mergeCell ref="MGG39:MGH39"/>
    <mergeCell ref="MGI39:MGJ39"/>
    <mergeCell ref="MGK39:MGL39"/>
    <mergeCell ref="MGM39:MGN39"/>
    <mergeCell ref="MGO39:MGP39"/>
    <mergeCell ref="MGQ39:MGR39"/>
    <mergeCell ref="MFU39:MFV39"/>
    <mergeCell ref="MFW39:MFX39"/>
    <mergeCell ref="MFY39:MFZ39"/>
    <mergeCell ref="MGA39:MGB39"/>
    <mergeCell ref="MGC39:MGD39"/>
    <mergeCell ref="MGE39:MGF39"/>
    <mergeCell ref="MKW39:MKX39"/>
    <mergeCell ref="MKY39:MKZ39"/>
    <mergeCell ref="MLA39:MLB39"/>
    <mergeCell ref="MLC39:MLD39"/>
    <mergeCell ref="MLE39:MLF39"/>
    <mergeCell ref="MLG39:MLH39"/>
    <mergeCell ref="MKK39:MKL39"/>
    <mergeCell ref="MKM39:MKN39"/>
    <mergeCell ref="MKO39:MKP39"/>
    <mergeCell ref="MKQ39:MKR39"/>
    <mergeCell ref="MKS39:MKT39"/>
    <mergeCell ref="MKU39:MKV39"/>
    <mergeCell ref="MJY39:MJZ39"/>
    <mergeCell ref="MKA39:MKB39"/>
    <mergeCell ref="MKC39:MKD39"/>
    <mergeCell ref="MKE39:MKF39"/>
    <mergeCell ref="MKG39:MKH39"/>
    <mergeCell ref="MKI39:MKJ39"/>
    <mergeCell ref="MJM39:MJN39"/>
    <mergeCell ref="MJO39:MJP39"/>
    <mergeCell ref="MJQ39:MJR39"/>
    <mergeCell ref="MJS39:MJT39"/>
    <mergeCell ref="MJU39:MJV39"/>
    <mergeCell ref="MJW39:MJX39"/>
    <mergeCell ref="MJA39:MJB39"/>
    <mergeCell ref="MJC39:MJD39"/>
    <mergeCell ref="MJE39:MJF39"/>
    <mergeCell ref="MJG39:MJH39"/>
    <mergeCell ref="MJI39:MJJ39"/>
    <mergeCell ref="MJK39:MJL39"/>
    <mergeCell ref="MIO39:MIP39"/>
    <mergeCell ref="MIQ39:MIR39"/>
    <mergeCell ref="MIS39:MIT39"/>
    <mergeCell ref="MIU39:MIV39"/>
    <mergeCell ref="MIW39:MIX39"/>
    <mergeCell ref="MIY39:MIZ39"/>
    <mergeCell ref="MNQ39:MNR39"/>
    <mergeCell ref="MNS39:MNT39"/>
    <mergeCell ref="MNU39:MNV39"/>
    <mergeCell ref="MNW39:MNX39"/>
    <mergeCell ref="MNY39:MNZ39"/>
    <mergeCell ref="MOA39:MOB39"/>
    <mergeCell ref="MNE39:MNF39"/>
    <mergeCell ref="MNG39:MNH39"/>
    <mergeCell ref="MNI39:MNJ39"/>
    <mergeCell ref="MNK39:MNL39"/>
    <mergeCell ref="MNM39:MNN39"/>
    <mergeCell ref="MNO39:MNP39"/>
    <mergeCell ref="MMS39:MMT39"/>
    <mergeCell ref="MMU39:MMV39"/>
    <mergeCell ref="MMW39:MMX39"/>
    <mergeCell ref="MMY39:MMZ39"/>
    <mergeCell ref="MNA39:MNB39"/>
    <mergeCell ref="MNC39:MND39"/>
    <mergeCell ref="MMG39:MMH39"/>
    <mergeCell ref="MMI39:MMJ39"/>
    <mergeCell ref="MMK39:MML39"/>
    <mergeCell ref="MMM39:MMN39"/>
    <mergeCell ref="MMO39:MMP39"/>
    <mergeCell ref="MMQ39:MMR39"/>
    <mergeCell ref="MLU39:MLV39"/>
    <mergeCell ref="MLW39:MLX39"/>
    <mergeCell ref="MLY39:MLZ39"/>
    <mergeCell ref="MMA39:MMB39"/>
    <mergeCell ref="MMC39:MMD39"/>
    <mergeCell ref="MME39:MMF39"/>
    <mergeCell ref="MLI39:MLJ39"/>
    <mergeCell ref="MLK39:MLL39"/>
    <mergeCell ref="MLM39:MLN39"/>
    <mergeCell ref="MLO39:MLP39"/>
    <mergeCell ref="MLQ39:MLR39"/>
    <mergeCell ref="MLS39:MLT39"/>
    <mergeCell ref="MQK39:MQL39"/>
    <mergeCell ref="MQM39:MQN39"/>
    <mergeCell ref="MQO39:MQP39"/>
    <mergeCell ref="MQQ39:MQR39"/>
    <mergeCell ref="MQS39:MQT39"/>
    <mergeCell ref="MQU39:MQV39"/>
    <mergeCell ref="MPY39:MPZ39"/>
    <mergeCell ref="MQA39:MQB39"/>
    <mergeCell ref="MQC39:MQD39"/>
    <mergeCell ref="MQE39:MQF39"/>
    <mergeCell ref="MQG39:MQH39"/>
    <mergeCell ref="MQI39:MQJ39"/>
    <mergeCell ref="MPM39:MPN39"/>
    <mergeCell ref="MPO39:MPP39"/>
    <mergeCell ref="MPQ39:MPR39"/>
    <mergeCell ref="MPS39:MPT39"/>
    <mergeCell ref="MPU39:MPV39"/>
    <mergeCell ref="MPW39:MPX39"/>
    <mergeCell ref="MPA39:MPB39"/>
    <mergeCell ref="MPC39:MPD39"/>
    <mergeCell ref="MPE39:MPF39"/>
    <mergeCell ref="MPG39:MPH39"/>
    <mergeCell ref="MPI39:MPJ39"/>
    <mergeCell ref="MPK39:MPL39"/>
    <mergeCell ref="MOO39:MOP39"/>
    <mergeCell ref="MOQ39:MOR39"/>
    <mergeCell ref="MOS39:MOT39"/>
    <mergeCell ref="MOU39:MOV39"/>
    <mergeCell ref="MOW39:MOX39"/>
    <mergeCell ref="MOY39:MOZ39"/>
    <mergeCell ref="MOC39:MOD39"/>
    <mergeCell ref="MOE39:MOF39"/>
    <mergeCell ref="MOG39:MOH39"/>
    <mergeCell ref="MOI39:MOJ39"/>
    <mergeCell ref="MOK39:MOL39"/>
    <mergeCell ref="MOM39:MON39"/>
    <mergeCell ref="MTE39:MTF39"/>
    <mergeCell ref="MTG39:MTH39"/>
    <mergeCell ref="MTI39:MTJ39"/>
    <mergeCell ref="MTK39:MTL39"/>
    <mergeCell ref="MTM39:MTN39"/>
    <mergeCell ref="MTO39:MTP39"/>
    <mergeCell ref="MSS39:MST39"/>
    <mergeCell ref="MSU39:MSV39"/>
    <mergeCell ref="MSW39:MSX39"/>
    <mergeCell ref="MSY39:MSZ39"/>
    <mergeCell ref="MTA39:MTB39"/>
    <mergeCell ref="MTC39:MTD39"/>
    <mergeCell ref="MSG39:MSH39"/>
    <mergeCell ref="MSI39:MSJ39"/>
    <mergeCell ref="MSK39:MSL39"/>
    <mergeCell ref="MSM39:MSN39"/>
    <mergeCell ref="MSO39:MSP39"/>
    <mergeCell ref="MSQ39:MSR39"/>
    <mergeCell ref="MRU39:MRV39"/>
    <mergeCell ref="MRW39:MRX39"/>
    <mergeCell ref="MRY39:MRZ39"/>
    <mergeCell ref="MSA39:MSB39"/>
    <mergeCell ref="MSC39:MSD39"/>
    <mergeCell ref="MSE39:MSF39"/>
    <mergeCell ref="MRI39:MRJ39"/>
    <mergeCell ref="MRK39:MRL39"/>
    <mergeCell ref="MRM39:MRN39"/>
    <mergeCell ref="MRO39:MRP39"/>
    <mergeCell ref="MRQ39:MRR39"/>
    <mergeCell ref="MRS39:MRT39"/>
    <mergeCell ref="MQW39:MQX39"/>
    <mergeCell ref="MQY39:MQZ39"/>
    <mergeCell ref="MRA39:MRB39"/>
    <mergeCell ref="MRC39:MRD39"/>
    <mergeCell ref="MRE39:MRF39"/>
    <mergeCell ref="MRG39:MRH39"/>
    <mergeCell ref="MVY39:MVZ39"/>
    <mergeCell ref="MWA39:MWB39"/>
    <mergeCell ref="MWC39:MWD39"/>
    <mergeCell ref="MWE39:MWF39"/>
    <mergeCell ref="MWG39:MWH39"/>
    <mergeCell ref="MWI39:MWJ39"/>
    <mergeCell ref="MVM39:MVN39"/>
    <mergeCell ref="MVO39:MVP39"/>
    <mergeCell ref="MVQ39:MVR39"/>
    <mergeCell ref="MVS39:MVT39"/>
    <mergeCell ref="MVU39:MVV39"/>
    <mergeCell ref="MVW39:MVX39"/>
    <mergeCell ref="MVA39:MVB39"/>
    <mergeCell ref="MVC39:MVD39"/>
    <mergeCell ref="MVE39:MVF39"/>
    <mergeCell ref="MVG39:MVH39"/>
    <mergeCell ref="MVI39:MVJ39"/>
    <mergeCell ref="MVK39:MVL39"/>
    <mergeCell ref="MUO39:MUP39"/>
    <mergeCell ref="MUQ39:MUR39"/>
    <mergeCell ref="MUS39:MUT39"/>
    <mergeCell ref="MUU39:MUV39"/>
    <mergeCell ref="MUW39:MUX39"/>
    <mergeCell ref="MUY39:MUZ39"/>
    <mergeCell ref="MUC39:MUD39"/>
    <mergeCell ref="MUE39:MUF39"/>
    <mergeCell ref="MUG39:MUH39"/>
    <mergeCell ref="MUI39:MUJ39"/>
    <mergeCell ref="MUK39:MUL39"/>
    <mergeCell ref="MUM39:MUN39"/>
    <mergeCell ref="MTQ39:MTR39"/>
    <mergeCell ref="MTS39:MTT39"/>
    <mergeCell ref="MTU39:MTV39"/>
    <mergeCell ref="MTW39:MTX39"/>
    <mergeCell ref="MTY39:MTZ39"/>
    <mergeCell ref="MUA39:MUB39"/>
    <mergeCell ref="MYS39:MYT39"/>
    <mergeCell ref="MYU39:MYV39"/>
    <mergeCell ref="MYW39:MYX39"/>
    <mergeCell ref="MYY39:MYZ39"/>
    <mergeCell ref="MZA39:MZB39"/>
    <mergeCell ref="MZC39:MZD39"/>
    <mergeCell ref="MYG39:MYH39"/>
    <mergeCell ref="MYI39:MYJ39"/>
    <mergeCell ref="MYK39:MYL39"/>
    <mergeCell ref="MYM39:MYN39"/>
    <mergeCell ref="MYO39:MYP39"/>
    <mergeCell ref="MYQ39:MYR39"/>
    <mergeCell ref="MXU39:MXV39"/>
    <mergeCell ref="MXW39:MXX39"/>
    <mergeCell ref="MXY39:MXZ39"/>
    <mergeCell ref="MYA39:MYB39"/>
    <mergeCell ref="MYC39:MYD39"/>
    <mergeCell ref="MYE39:MYF39"/>
    <mergeCell ref="MXI39:MXJ39"/>
    <mergeCell ref="MXK39:MXL39"/>
    <mergeCell ref="MXM39:MXN39"/>
    <mergeCell ref="MXO39:MXP39"/>
    <mergeCell ref="MXQ39:MXR39"/>
    <mergeCell ref="MXS39:MXT39"/>
    <mergeCell ref="MWW39:MWX39"/>
    <mergeCell ref="MWY39:MWZ39"/>
    <mergeCell ref="MXA39:MXB39"/>
    <mergeCell ref="MXC39:MXD39"/>
    <mergeCell ref="MXE39:MXF39"/>
    <mergeCell ref="MXG39:MXH39"/>
    <mergeCell ref="MWK39:MWL39"/>
    <mergeCell ref="MWM39:MWN39"/>
    <mergeCell ref="MWO39:MWP39"/>
    <mergeCell ref="MWQ39:MWR39"/>
    <mergeCell ref="MWS39:MWT39"/>
    <mergeCell ref="MWU39:MWV39"/>
    <mergeCell ref="NBM39:NBN39"/>
    <mergeCell ref="NBO39:NBP39"/>
    <mergeCell ref="NBQ39:NBR39"/>
    <mergeCell ref="NBS39:NBT39"/>
    <mergeCell ref="NBU39:NBV39"/>
    <mergeCell ref="NBW39:NBX39"/>
    <mergeCell ref="NBA39:NBB39"/>
    <mergeCell ref="NBC39:NBD39"/>
    <mergeCell ref="NBE39:NBF39"/>
    <mergeCell ref="NBG39:NBH39"/>
    <mergeCell ref="NBI39:NBJ39"/>
    <mergeCell ref="NBK39:NBL39"/>
    <mergeCell ref="NAO39:NAP39"/>
    <mergeCell ref="NAQ39:NAR39"/>
    <mergeCell ref="NAS39:NAT39"/>
    <mergeCell ref="NAU39:NAV39"/>
    <mergeCell ref="NAW39:NAX39"/>
    <mergeCell ref="NAY39:NAZ39"/>
    <mergeCell ref="NAC39:NAD39"/>
    <mergeCell ref="NAE39:NAF39"/>
    <mergeCell ref="NAG39:NAH39"/>
    <mergeCell ref="NAI39:NAJ39"/>
    <mergeCell ref="NAK39:NAL39"/>
    <mergeCell ref="NAM39:NAN39"/>
    <mergeCell ref="MZQ39:MZR39"/>
    <mergeCell ref="MZS39:MZT39"/>
    <mergeCell ref="MZU39:MZV39"/>
    <mergeCell ref="MZW39:MZX39"/>
    <mergeCell ref="MZY39:MZZ39"/>
    <mergeCell ref="NAA39:NAB39"/>
    <mergeCell ref="MZE39:MZF39"/>
    <mergeCell ref="MZG39:MZH39"/>
    <mergeCell ref="MZI39:MZJ39"/>
    <mergeCell ref="MZK39:MZL39"/>
    <mergeCell ref="MZM39:MZN39"/>
    <mergeCell ref="MZO39:MZP39"/>
    <mergeCell ref="NEG39:NEH39"/>
    <mergeCell ref="NEI39:NEJ39"/>
    <mergeCell ref="NEK39:NEL39"/>
    <mergeCell ref="NEM39:NEN39"/>
    <mergeCell ref="NEO39:NEP39"/>
    <mergeCell ref="NEQ39:NER39"/>
    <mergeCell ref="NDU39:NDV39"/>
    <mergeCell ref="NDW39:NDX39"/>
    <mergeCell ref="NDY39:NDZ39"/>
    <mergeCell ref="NEA39:NEB39"/>
    <mergeCell ref="NEC39:NED39"/>
    <mergeCell ref="NEE39:NEF39"/>
    <mergeCell ref="NDI39:NDJ39"/>
    <mergeCell ref="NDK39:NDL39"/>
    <mergeCell ref="NDM39:NDN39"/>
    <mergeCell ref="NDO39:NDP39"/>
    <mergeCell ref="NDQ39:NDR39"/>
    <mergeCell ref="NDS39:NDT39"/>
    <mergeCell ref="NCW39:NCX39"/>
    <mergeCell ref="NCY39:NCZ39"/>
    <mergeCell ref="NDA39:NDB39"/>
    <mergeCell ref="NDC39:NDD39"/>
    <mergeCell ref="NDE39:NDF39"/>
    <mergeCell ref="NDG39:NDH39"/>
    <mergeCell ref="NCK39:NCL39"/>
    <mergeCell ref="NCM39:NCN39"/>
    <mergeCell ref="NCO39:NCP39"/>
    <mergeCell ref="NCQ39:NCR39"/>
    <mergeCell ref="NCS39:NCT39"/>
    <mergeCell ref="NCU39:NCV39"/>
    <mergeCell ref="NBY39:NBZ39"/>
    <mergeCell ref="NCA39:NCB39"/>
    <mergeCell ref="NCC39:NCD39"/>
    <mergeCell ref="NCE39:NCF39"/>
    <mergeCell ref="NCG39:NCH39"/>
    <mergeCell ref="NCI39:NCJ39"/>
    <mergeCell ref="NHA39:NHB39"/>
    <mergeCell ref="NHC39:NHD39"/>
    <mergeCell ref="NHE39:NHF39"/>
    <mergeCell ref="NHG39:NHH39"/>
    <mergeCell ref="NHI39:NHJ39"/>
    <mergeCell ref="NHK39:NHL39"/>
    <mergeCell ref="NGO39:NGP39"/>
    <mergeCell ref="NGQ39:NGR39"/>
    <mergeCell ref="NGS39:NGT39"/>
    <mergeCell ref="NGU39:NGV39"/>
    <mergeCell ref="NGW39:NGX39"/>
    <mergeCell ref="NGY39:NGZ39"/>
    <mergeCell ref="NGC39:NGD39"/>
    <mergeCell ref="NGE39:NGF39"/>
    <mergeCell ref="NGG39:NGH39"/>
    <mergeCell ref="NGI39:NGJ39"/>
    <mergeCell ref="NGK39:NGL39"/>
    <mergeCell ref="NGM39:NGN39"/>
    <mergeCell ref="NFQ39:NFR39"/>
    <mergeCell ref="NFS39:NFT39"/>
    <mergeCell ref="NFU39:NFV39"/>
    <mergeCell ref="NFW39:NFX39"/>
    <mergeCell ref="NFY39:NFZ39"/>
    <mergeCell ref="NGA39:NGB39"/>
    <mergeCell ref="NFE39:NFF39"/>
    <mergeCell ref="NFG39:NFH39"/>
    <mergeCell ref="NFI39:NFJ39"/>
    <mergeCell ref="NFK39:NFL39"/>
    <mergeCell ref="NFM39:NFN39"/>
    <mergeCell ref="NFO39:NFP39"/>
    <mergeCell ref="NES39:NET39"/>
    <mergeCell ref="NEU39:NEV39"/>
    <mergeCell ref="NEW39:NEX39"/>
    <mergeCell ref="NEY39:NEZ39"/>
    <mergeCell ref="NFA39:NFB39"/>
    <mergeCell ref="NFC39:NFD39"/>
    <mergeCell ref="NJU39:NJV39"/>
    <mergeCell ref="NJW39:NJX39"/>
    <mergeCell ref="NJY39:NJZ39"/>
    <mergeCell ref="NKA39:NKB39"/>
    <mergeCell ref="NKC39:NKD39"/>
    <mergeCell ref="NKE39:NKF39"/>
    <mergeCell ref="NJI39:NJJ39"/>
    <mergeCell ref="NJK39:NJL39"/>
    <mergeCell ref="NJM39:NJN39"/>
    <mergeCell ref="NJO39:NJP39"/>
    <mergeCell ref="NJQ39:NJR39"/>
    <mergeCell ref="NJS39:NJT39"/>
    <mergeCell ref="NIW39:NIX39"/>
    <mergeCell ref="NIY39:NIZ39"/>
    <mergeCell ref="NJA39:NJB39"/>
    <mergeCell ref="NJC39:NJD39"/>
    <mergeCell ref="NJE39:NJF39"/>
    <mergeCell ref="NJG39:NJH39"/>
    <mergeCell ref="NIK39:NIL39"/>
    <mergeCell ref="NIM39:NIN39"/>
    <mergeCell ref="NIO39:NIP39"/>
    <mergeCell ref="NIQ39:NIR39"/>
    <mergeCell ref="NIS39:NIT39"/>
    <mergeCell ref="NIU39:NIV39"/>
    <mergeCell ref="NHY39:NHZ39"/>
    <mergeCell ref="NIA39:NIB39"/>
    <mergeCell ref="NIC39:NID39"/>
    <mergeCell ref="NIE39:NIF39"/>
    <mergeCell ref="NIG39:NIH39"/>
    <mergeCell ref="NII39:NIJ39"/>
    <mergeCell ref="NHM39:NHN39"/>
    <mergeCell ref="NHO39:NHP39"/>
    <mergeCell ref="NHQ39:NHR39"/>
    <mergeCell ref="NHS39:NHT39"/>
    <mergeCell ref="NHU39:NHV39"/>
    <mergeCell ref="NHW39:NHX39"/>
    <mergeCell ref="NMO39:NMP39"/>
    <mergeCell ref="NMQ39:NMR39"/>
    <mergeCell ref="NMS39:NMT39"/>
    <mergeCell ref="NMU39:NMV39"/>
    <mergeCell ref="NMW39:NMX39"/>
    <mergeCell ref="NMY39:NMZ39"/>
    <mergeCell ref="NMC39:NMD39"/>
    <mergeCell ref="NME39:NMF39"/>
    <mergeCell ref="NMG39:NMH39"/>
    <mergeCell ref="NMI39:NMJ39"/>
    <mergeCell ref="NMK39:NML39"/>
    <mergeCell ref="NMM39:NMN39"/>
    <mergeCell ref="NLQ39:NLR39"/>
    <mergeCell ref="NLS39:NLT39"/>
    <mergeCell ref="NLU39:NLV39"/>
    <mergeCell ref="NLW39:NLX39"/>
    <mergeCell ref="NLY39:NLZ39"/>
    <mergeCell ref="NMA39:NMB39"/>
    <mergeCell ref="NLE39:NLF39"/>
    <mergeCell ref="NLG39:NLH39"/>
    <mergeCell ref="NLI39:NLJ39"/>
    <mergeCell ref="NLK39:NLL39"/>
    <mergeCell ref="NLM39:NLN39"/>
    <mergeCell ref="NLO39:NLP39"/>
    <mergeCell ref="NKS39:NKT39"/>
    <mergeCell ref="NKU39:NKV39"/>
    <mergeCell ref="NKW39:NKX39"/>
    <mergeCell ref="NKY39:NKZ39"/>
    <mergeCell ref="NLA39:NLB39"/>
    <mergeCell ref="NLC39:NLD39"/>
    <mergeCell ref="NKG39:NKH39"/>
    <mergeCell ref="NKI39:NKJ39"/>
    <mergeCell ref="NKK39:NKL39"/>
    <mergeCell ref="NKM39:NKN39"/>
    <mergeCell ref="NKO39:NKP39"/>
    <mergeCell ref="NKQ39:NKR39"/>
    <mergeCell ref="NPI39:NPJ39"/>
    <mergeCell ref="NPK39:NPL39"/>
    <mergeCell ref="NPM39:NPN39"/>
    <mergeCell ref="NPO39:NPP39"/>
    <mergeCell ref="NPQ39:NPR39"/>
    <mergeCell ref="NPS39:NPT39"/>
    <mergeCell ref="NOW39:NOX39"/>
    <mergeCell ref="NOY39:NOZ39"/>
    <mergeCell ref="NPA39:NPB39"/>
    <mergeCell ref="NPC39:NPD39"/>
    <mergeCell ref="NPE39:NPF39"/>
    <mergeCell ref="NPG39:NPH39"/>
    <mergeCell ref="NOK39:NOL39"/>
    <mergeCell ref="NOM39:NON39"/>
    <mergeCell ref="NOO39:NOP39"/>
    <mergeCell ref="NOQ39:NOR39"/>
    <mergeCell ref="NOS39:NOT39"/>
    <mergeCell ref="NOU39:NOV39"/>
    <mergeCell ref="NNY39:NNZ39"/>
    <mergeCell ref="NOA39:NOB39"/>
    <mergeCell ref="NOC39:NOD39"/>
    <mergeCell ref="NOE39:NOF39"/>
    <mergeCell ref="NOG39:NOH39"/>
    <mergeCell ref="NOI39:NOJ39"/>
    <mergeCell ref="NNM39:NNN39"/>
    <mergeCell ref="NNO39:NNP39"/>
    <mergeCell ref="NNQ39:NNR39"/>
    <mergeCell ref="NNS39:NNT39"/>
    <mergeCell ref="NNU39:NNV39"/>
    <mergeCell ref="NNW39:NNX39"/>
    <mergeCell ref="NNA39:NNB39"/>
    <mergeCell ref="NNC39:NND39"/>
    <mergeCell ref="NNE39:NNF39"/>
    <mergeCell ref="NNG39:NNH39"/>
    <mergeCell ref="NNI39:NNJ39"/>
    <mergeCell ref="NNK39:NNL39"/>
    <mergeCell ref="NSC39:NSD39"/>
    <mergeCell ref="NSE39:NSF39"/>
    <mergeCell ref="NSG39:NSH39"/>
    <mergeCell ref="NSI39:NSJ39"/>
    <mergeCell ref="NSK39:NSL39"/>
    <mergeCell ref="NSM39:NSN39"/>
    <mergeCell ref="NRQ39:NRR39"/>
    <mergeCell ref="NRS39:NRT39"/>
    <mergeCell ref="NRU39:NRV39"/>
    <mergeCell ref="NRW39:NRX39"/>
    <mergeCell ref="NRY39:NRZ39"/>
    <mergeCell ref="NSA39:NSB39"/>
    <mergeCell ref="NRE39:NRF39"/>
    <mergeCell ref="NRG39:NRH39"/>
    <mergeCell ref="NRI39:NRJ39"/>
    <mergeCell ref="NRK39:NRL39"/>
    <mergeCell ref="NRM39:NRN39"/>
    <mergeCell ref="NRO39:NRP39"/>
    <mergeCell ref="NQS39:NQT39"/>
    <mergeCell ref="NQU39:NQV39"/>
    <mergeCell ref="NQW39:NQX39"/>
    <mergeCell ref="NQY39:NQZ39"/>
    <mergeCell ref="NRA39:NRB39"/>
    <mergeCell ref="NRC39:NRD39"/>
    <mergeCell ref="NQG39:NQH39"/>
    <mergeCell ref="NQI39:NQJ39"/>
    <mergeCell ref="NQK39:NQL39"/>
    <mergeCell ref="NQM39:NQN39"/>
    <mergeCell ref="NQO39:NQP39"/>
    <mergeCell ref="NQQ39:NQR39"/>
    <mergeCell ref="NPU39:NPV39"/>
    <mergeCell ref="NPW39:NPX39"/>
    <mergeCell ref="NPY39:NPZ39"/>
    <mergeCell ref="NQA39:NQB39"/>
    <mergeCell ref="NQC39:NQD39"/>
    <mergeCell ref="NQE39:NQF39"/>
    <mergeCell ref="NUW39:NUX39"/>
    <mergeCell ref="NUY39:NUZ39"/>
    <mergeCell ref="NVA39:NVB39"/>
    <mergeCell ref="NVC39:NVD39"/>
    <mergeCell ref="NVE39:NVF39"/>
    <mergeCell ref="NVG39:NVH39"/>
    <mergeCell ref="NUK39:NUL39"/>
    <mergeCell ref="NUM39:NUN39"/>
    <mergeCell ref="NUO39:NUP39"/>
    <mergeCell ref="NUQ39:NUR39"/>
    <mergeCell ref="NUS39:NUT39"/>
    <mergeCell ref="NUU39:NUV39"/>
    <mergeCell ref="NTY39:NTZ39"/>
    <mergeCell ref="NUA39:NUB39"/>
    <mergeCell ref="NUC39:NUD39"/>
    <mergeCell ref="NUE39:NUF39"/>
    <mergeCell ref="NUG39:NUH39"/>
    <mergeCell ref="NUI39:NUJ39"/>
    <mergeCell ref="NTM39:NTN39"/>
    <mergeCell ref="NTO39:NTP39"/>
    <mergeCell ref="NTQ39:NTR39"/>
    <mergeCell ref="NTS39:NTT39"/>
    <mergeCell ref="NTU39:NTV39"/>
    <mergeCell ref="NTW39:NTX39"/>
    <mergeCell ref="NTA39:NTB39"/>
    <mergeCell ref="NTC39:NTD39"/>
    <mergeCell ref="NTE39:NTF39"/>
    <mergeCell ref="NTG39:NTH39"/>
    <mergeCell ref="NTI39:NTJ39"/>
    <mergeCell ref="NTK39:NTL39"/>
    <mergeCell ref="NSO39:NSP39"/>
    <mergeCell ref="NSQ39:NSR39"/>
    <mergeCell ref="NSS39:NST39"/>
    <mergeCell ref="NSU39:NSV39"/>
    <mergeCell ref="NSW39:NSX39"/>
    <mergeCell ref="NSY39:NSZ39"/>
    <mergeCell ref="NXQ39:NXR39"/>
    <mergeCell ref="NXS39:NXT39"/>
    <mergeCell ref="NXU39:NXV39"/>
    <mergeCell ref="NXW39:NXX39"/>
    <mergeCell ref="NXY39:NXZ39"/>
    <mergeCell ref="NYA39:NYB39"/>
    <mergeCell ref="NXE39:NXF39"/>
    <mergeCell ref="NXG39:NXH39"/>
    <mergeCell ref="NXI39:NXJ39"/>
    <mergeCell ref="NXK39:NXL39"/>
    <mergeCell ref="NXM39:NXN39"/>
    <mergeCell ref="NXO39:NXP39"/>
    <mergeCell ref="NWS39:NWT39"/>
    <mergeCell ref="NWU39:NWV39"/>
    <mergeCell ref="NWW39:NWX39"/>
    <mergeCell ref="NWY39:NWZ39"/>
    <mergeCell ref="NXA39:NXB39"/>
    <mergeCell ref="NXC39:NXD39"/>
    <mergeCell ref="NWG39:NWH39"/>
    <mergeCell ref="NWI39:NWJ39"/>
    <mergeCell ref="NWK39:NWL39"/>
    <mergeCell ref="NWM39:NWN39"/>
    <mergeCell ref="NWO39:NWP39"/>
    <mergeCell ref="NWQ39:NWR39"/>
    <mergeCell ref="NVU39:NVV39"/>
    <mergeCell ref="NVW39:NVX39"/>
    <mergeCell ref="NVY39:NVZ39"/>
    <mergeCell ref="NWA39:NWB39"/>
    <mergeCell ref="NWC39:NWD39"/>
    <mergeCell ref="NWE39:NWF39"/>
    <mergeCell ref="NVI39:NVJ39"/>
    <mergeCell ref="NVK39:NVL39"/>
    <mergeCell ref="NVM39:NVN39"/>
    <mergeCell ref="NVO39:NVP39"/>
    <mergeCell ref="NVQ39:NVR39"/>
    <mergeCell ref="NVS39:NVT39"/>
    <mergeCell ref="OAK39:OAL39"/>
    <mergeCell ref="OAM39:OAN39"/>
    <mergeCell ref="OAO39:OAP39"/>
    <mergeCell ref="OAQ39:OAR39"/>
    <mergeCell ref="OAS39:OAT39"/>
    <mergeCell ref="OAU39:OAV39"/>
    <mergeCell ref="NZY39:NZZ39"/>
    <mergeCell ref="OAA39:OAB39"/>
    <mergeCell ref="OAC39:OAD39"/>
    <mergeCell ref="OAE39:OAF39"/>
    <mergeCell ref="OAG39:OAH39"/>
    <mergeCell ref="OAI39:OAJ39"/>
    <mergeCell ref="NZM39:NZN39"/>
    <mergeCell ref="NZO39:NZP39"/>
    <mergeCell ref="NZQ39:NZR39"/>
    <mergeCell ref="NZS39:NZT39"/>
    <mergeCell ref="NZU39:NZV39"/>
    <mergeCell ref="NZW39:NZX39"/>
    <mergeCell ref="NZA39:NZB39"/>
    <mergeCell ref="NZC39:NZD39"/>
    <mergeCell ref="NZE39:NZF39"/>
    <mergeCell ref="NZG39:NZH39"/>
    <mergeCell ref="NZI39:NZJ39"/>
    <mergeCell ref="NZK39:NZL39"/>
    <mergeCell ref="NYO39:NYP39"/>
    <mergeCell ref="NYQ39:NYR39"/>
    <mergeCell ref="NYS39:NYT39"/>
    <mergeCell ref="NYU39:NYV39"/>
    <mergeCell ref="NYW39:NYX39"/>
    <mergeCell ref="NYY39:NYZ39"/>
    <mergeCell ref="NYC39:NYD39"/>
    <mergeCell ref="NYE39:NYF39"/>
    <mergeCell ref="NYG39:NYH39"/>
    <mergeCell ref="NYI39:NYJ39"/>
    <mergeCell ref="NYK39:NYL39"/>
    <mergeCell ref="NYM39:NYN39"/>
    <mergeCell ref="ODE39:ODF39"/>
    <mergeCell ref="ODG39:ODH39"/>
    <mergeCell ref="ODI39:ODJ39"/>
    <mergeCell ref="ODK39:ODL39"/>
    <mergeCell ref="ODM39:ODN39"/>
    <mergeCell ref="ODO39:ODP39"/>
    <mergeCell ref="OCS39:OCT39"/>
    <mergeCell ref="OCU39:OCV39"/>
    <mergeCell ref="OCW39:OCX39"/>
    <mergeCell ref="OCY39:OCZ39"/>
    <mergeCell ref="ODA39:ODB39"/>
    <mergeCell ref="ODC39:ODD39"/>
    <mergeCell ref="OCG39:OCH39"/>
    <mergeCell ref="OCI39:OCJ39"/>
    <mergeCell ref="OCK39:OCL39"/>
    <mergeCell ref="OCM39:OCN39"/>
    <mergeCell ref="OCO39:OCP39"/>
    <mergeCell ref="OCQ39:OCR39"/>
    <mergeCell ref="OBU39:OBV39"/>
    <mergeCell ref="OBW39:OBX39"/>
    <mergeCell ref="OBY39:OBZ39"/>
    <mergeCell ref="OCA39:OCB39"/>
    <mergeCell ref="OCC39:OCD39"/>
    <mergeCell ref="OCE39:OCF39"/>
    <mergeCell ref="OBI39:OBJ39"/>
    <mergeCell ref="OBK39:OBL39"/>
    <mergeCell ref="OBM39:OBN39"/>
    <mergeCell ref="OBO39:OBP39"/>
    <mergeCell ref="OBQ39:OBR39"/>
    <mergeCell ref="OBS39:OBT39"/>
    <mergeCell ref="OAW39:OAX39"/>
    <mergeCell ref="OAY39:OAZ39"/>
    <mergeCell ref="OBA39:OBB39"/>
    <mergeCell ref="OBC39:OBD39"/>
    <mergeCell ref="OBE39:OBF39"/>
    <mergeCell ref="OBG39:OBH39"/>
    <mergeCell ref="OFY39:OFZ39"/>
    <mergeCell ref="OGA39:OGB39"/>
    <mergeCell ref="OGC39:OGD39"/>
    <mergeCell ref="OGE39:OGF39"/>
    <mergeCell ref="OGG39:OGH39"/>
    <mergeCell ref="OGI39:OGJ39"/>
    <mergeCell ref="OFM39:OFN39"/>
    <mergeCell ref="OFO39:OFP39"/>
    <mergeCell ref="OFQ39:OFR39"/>
    <mergeCell ref="OFS39:OFT39"/>
    <mergeCell ref="OFU39:OFV39"/>
    <mergeCell ref="OFW39:OFX39"/>
    <mergeCell ref="OFA39:OFB39"/>
    <mergeCell ref="OFC39:OFD39"/>
    <mergeCell ref="OFE39:OFF39"/>
    <mergeCell ref="OFG39:OFH39"/>
    <mergeCell ref="OFI39:OFJ39"/>
    <mergeCell ref="OFK39:OFL39"/>
    <mergeCell ref="OEO39:OEP39"/>
    <mergeCell ref="OEQ39:OER39"/>
    <mergeCell ref="OES39:OET39"/>
    <mergeCell ref="OEU39:OEV39"/>
    <mergeCell ref="OEW39:OEX39"/>
    <mergeCell ref="OEY39:OEZ39"/>
    <mergeCell ref="OEC39:OED39"/>
    <mergeCell ref="OEE39:OEF39"/>
    <mergeCell ref="OEG39:OEH39"/>
    <mergeCell ref="OEI39:OEJ39"/>
    <mergeCell ref="OEK39:OEL39"/>
    <mergeCell ref="OEM39:OEN39"/>
    <mergeCell ref="ODQ39:ODR39"/>
    <mergeCell ref="ODS39:ODT39"/>
    <mergeCell ref="ODU39:ODV39"/>
    <mergeCell ref="ODW39:ODX39"/>
    <mergeCell ref="ODY39:ODZ39"/>
    <mergeCell ref="OEA39:OEB39"/>
    <mergeCell ref="OIS39:OIT39"/>
    <mergeCell ref="OIU39:OIV39"/>
    <mergeCell ref="OIW39:OIX39"/>
    <mergeCell ref="OIY39:OIZ39"/>
    <mergeCell ref="OJA39:OJB39"/>
    <mergeCell ref="OJC39:OJD39"/>
    <mergeCell ref="OIG39:OIH39"/>
    <mergeCell ref="OII39:OIJ39"/>
    <mergeCell ref="OIK39:OIL39"/>
    <mergeCell ref="OIM39:OIN39"/>
    <mergeCell ref="OIO39:OIP39"/>
    <mergeCell ref="OIQ39:OIR39"/>
    <mergeCell ref="OHU39:OHV39"/>
    <mergeCell ref="OHW39:OHX39"/>
    <mergeCell ref="OHY39:OHZ39"/>
    <mergeCell ref="OIA39:OIB39"/>
    <mergeCell ref="OIC39:OID39"/>
    <mergeCell ref="OIE39:OIF39"/>
    <mergeCell ref="OHI39:OHJ39"/>
    <mergeCell ref="OHK39:OHL39"/>
    <mergeCell ref="OHM39:OHN39"/>
    <mergeCell ref="OHO39:OHP39"/>
    <mergeCell ref="OHQ39:OHR39"/>
    <mergeCell ref="OHS39:OHT39"/>
    <mergeCell ref="OGW39:OGX39"/>
    <mergeCell ref="OGY39:OGZ39"/>
    <mergeCell ref="OHA39:OHB39"/>
    <mergeCell ref="OHC39:OHD39"/>
    <mergeCell ref="OHE39:OHF39"/>
    <mergeCell ref="OHG39:OHH39"/>
    <mergeCell ref="OGK39:OGL39"/>
    <mergeCell ref="OGM39:OGN39"/>
    <mergeCell ref="OGO39:OGP39"/>
    <mergeCell ref="OGQ39:OGR39"/>
    <mergeCell ref="OGS39:OGT39"/>
    <mergeCell ref="OGU39:OGV39"/>
    <mergeCell ref="OLM39:OLN39"/>
    <mergeCell ref="OLO39:OLP39"/>
    <mergeCell ref="OLQ39:OLR39"/>
    <mergeCell ref="OLS39:OLT39"/>
    <mergeCell ref="OLU39:OLV39"/>
    <mergeCell ref="OLW39:OLX39"/>
    <mergeCell ref="OLA39:OLB39"/>
    <mergeCell ref="OLC39:OLD39"/>
    <mergeCell ref="OLE39:OLF39"/>
    <mergeCell ref="OLG39:OLH39"/>
    <mergeCell ref="OLI39:OLJ39"/>
    <mergeCell ref="OLK39:OLL39"/>
    <mergeCell ref="OKO39:OKP39"/>
    <mergeCell ref="OKQ39:OKR39"/>
    <mergeCell ref="OKS39:OKT39"/>
    <mergeCell ref="OKU39:OKV39"/>
    <mergeCell ref="OKW39:OKX39"/>
    <mergeCell ref="OKY39:OKZ39"/>
    <mergeCell ref="OKC39:OKD39"/>
    <mergeCell ref="OKE39:OKF39"/>
    <mergeCell ref="OKG39:OKH39"/>
    <mergeCell ref="OKI39:OKJ39"/>
    <mergeCell ref="OKK39:OKL39"/>
    <mergeCell ref="OKM39:OKN39"/>
    <mergeCell ref="OJQ39:OJR39"/>
    <mergeCell ref="OJS39:OJT39"/>
    <mergeCell ref="OJU39:OJV39"/>
    <mergeCell ref="OJW39:OJX39"/>
    <mergeCell ref="OJY39:OJZ39"/>
    <mergeCell ref="OKA39:OKB39"/>
    <mergeCell ref="OJE39:OJF39"/>
    <mergeCell ref="OJG39:OJH39"/>
    <mergeCell ref="OJI39:OJJ39"/>
    <mergeCell ref="OJK39:OJL39"/>
    <mergeCell ref="OJM39:OJN39"/>
    <mergeCell ref="OJO39:OJP39"/>
    <mergeCell ref="OOG39:OOH39"/>
    <mergeCell ref="OOI39:OOJ39"/>
    <mergeCell ref="OOK39:OOL39"/>
    <mergeCell ref="OOM39:OON39"/>
    <mergeCell ref="OOO39:OOP39"/>
    <mergeCell ref="OOQ39:OOR39"/>
    <mergeCell ref="ONU39:ONV39"/>
    <mergeCell ref="ONW39:ONX39"/>
    <mergeCell ref="ONY39:ONZ39"/>
    <mergeCell ref="OOA39:OOB39"/>
    <mergeCell ref="OOC39:OOD39"/>
    <mergeCell ref="OOE39:OOF39"/>
    <mergeCell ref="ONI39:ONJ39"/>
    <mergeCell ref="ONK39:ONL39"/>
    <mergeCell ref="ONM39:ONN39"/>
    <mergeCell ref="ONO39:ONP39"/>
    <mergeCell ref="ONQ39:ONR39"/>
    <mergeCell ref="ONS39:ONT39"/>
    <mergeCell ref="OMW39:OMX39"/>
    <mergeCell ref="OMY39:OMZ39"/>
    <mergeCell ref="ONA39:ONB39"/>
    <mergeCell ref="ONC39:OND39"/>
    <mergeCell ref="ONE39:ONF39"/>
    <mergeCell ref="ONG39:ONH39"/>
    <mergeCell ref="OMK39:OML39"/>
    <mergeCell ref="OMM39:OMN39"/>
    <mergeCell ref="OMO39:OMP39"/>
    <mergeCell ref="OMQ39:OMR39"/>
    <mergeCell ref="OMS39:OMT39"/>
    <mergeCell ref="OMU39:OMV39"/>
    <mergeCell ref="OLY39:OLZ39"/>
    <mergeCell ref="OMA39:OMB39"/>
    <mergeCell ref="OMC39:OMD39"/>
    <mergeCell ref="OME39:OMF39"/>
    <mergeCell ref="OMG39:OMH39"/>
    <mergeCell ref="OMI39:OMJ39"/>
    <mergeCell ref="ORA39:ORB39"/>
    <mergeCell ref="ORC39:ORD39"/>
    <mergeCell ref="ORE39:ORF39"/>
    <mergeCell ref="ORG39:ORH39"/>
    <mergeCell ref="ORI39:ORJ39"/>
    <mergeCell ref="ORK39:ORL39"/>
    <mergeCell ref="OQO39:OQP39"/>
    <mergeCell ref="OQQ39:OQR39"/>
    <mergeCell ref="OQS39:OQT39"/>
    <mergeCell ref="OQU39:OQV39"/>
    <mergeCell ref="OQW39:OQX39"/>
    <mergeCell ref="OQY39:OQZ39"/>
    <mergeCell ref="OQC39:OQD39"/>
    <mergeCell ref="OQE39:OQF39"/>
    <mergeCell ref="OQG39:OQH39"/>
    <mergeCell ref="OQI39:OQJ39"/>
    <mergeCell ref="OQK39:OQL39"/>
    <mergeCell ref="OQM39:OQN39"/>
    <mergeCell ref="OPQ39:OPR39"/>
    <mergeCell ref="OPS39:OPT39"/>
    <mergeCell ref="OPU39:OPV39"/>
    <mergeCell ref="OPW39:OPX39"/>
    <mergeCell ref="OPY39:OPZ39"/>
    <mergeCell ref="OQA39:OQB39"/>
    <mergeCell ref="OPE39:OPF39"/>
    <mergeCell ref="OPG39:OPH39"/>
    <mergeCell ref="OPI39:OPJ39"/>
    <mergeCell ref="OPK39:OPL39"/>
    <mergeCell ref="OPM39:OPN39"/>
    <mergeCell ref="OPO39:OPP39"/>
    <mergeCell ref="OOS39:OOT39"/>
    <mergeCell ref="OOU39:OOV39"/>
    <mergeCell ref="OOW39:OOX39"/>
    <mergeCell ref="OOY39:OOZ39"/>
    <mergeCell ref="OPA39:OPB39"/>
    <mergeCell ref="OPC39:OPD39"/>
    <mergeCell ref="OTU39:OTV39"/>
    <mergeCell ref="OTW39:OTX39"/>
    <mergeCell ref="OTY39:OTZ39"/>
    <mergeCell ref="OUA39:OUB39"/>
    <mergeCell ref="OUC39:OUD39"/>
    <mergeCell ref="OUE39:OUF39"/>
    <mergeCell ref="OTI39:OTJ39"/>
    <mergeCell ref="OTK39:OTL39"/>
    <mergeCell ref="OTM39:OTN39"/>
    <mergeCell ref="OTO39:OTP39"/>
    <mergeCell ref="OTQ39:OTR39"/>
    <mergeCell ref="OTS39:OTT39"/>
    <mergeCell ref="OSW39:OSX39"/>
    <mergeCell ref="OSY39:OSZ39"/>
    <mergeCell ref="OTA39:OTB39"/>
    <mergeCell ref="OTC39:OTD39"/>
    <mergeCell ref="OTE39:OTF39"/>
    <mergeCell ref="OTG39:OTH39"/>
    <mergeCell ref="OSK39:OSL39"/>
    <mergeCell ref="OSM39:OSN39"/>
    <mergeCell ref="OSO39:OSP39"/>
    <mergeCell ref="OSQ39:OSR39"/>
    <mergeCell ref="OSS39:OST39"/>
    <mergeCell ref="OSU39:OSV39"/>
    <mergeCell ref="ORY39:ORZ39"/>
    <mergeCell ref="OSA39:OSB39"/>
    <mergeCell ref="OSC39:OSD39"/>
    <mergeCell ref="OSE39:OSF39"/>
    <mergeCell ref="OSG39:OSH39"/>
    <mergeCell ref="OSI39:OSJ39"/>
    <mergeCell ref="ORM39:ORN39"/>
    <mergeCell ref="ORO39:ORP39"/>
    <mergeCell ref="ORQ39:ORR39"/>
    <mergeCell ref="ORS39:ORT39"/>
    <mergeCell ref="ORU39:ORV39"/>
    <mergeCell ref="ORW39:ORX39"/>
    <mergeCell ref="OWO39:OWP39"/>
    <mergeCell ref="OWQ39:OWR39"/>
    <mergeCell ref="OWS39:OWT39"/>
    <mergeCell ref="OWU39:OWV39"/>
    <mergeCell ref="OWW39:OWX39"/>
    <mergeCell ref="OWY39:OWZ39"/>
    <mergeCell ref="OWC39:OWD39"/>
    <mergeCell ref="OWE39:OWF39"/>
    <mergeCell ref="OWG39:OWH39"/>
    <mergeCell ref="OWI39:OWJ39"/>
    <mergeCell ref="OWK39:OWL39"/>
    <mergeCell ref="OWM39:OWN39"/>
    <mergeCell ref="OVQ39:OVR39"/>
    <mergeCell ref="OVS39:OVT39"/>
    <mergeCell ref="OVU39:OVV39"/>
    <mergeCell ref="OVW39:OVX39"/>
    <mergeCell ref="OVY39:OVZ39"/>
    <mergeCell ref="OWA39:OWB39"/>
    <mergeCell ref="OVE39:OVF39"/>
    <mergeCell ref="OVG39:OVH39"/>
    <mergeCell ref="OVI39:OVJ39"/>
    <mergeCell ref="OVK39:OVL39"/>
    <mergeCell ref="OVM39:OVN39"/>
    <mergeCell ref="OVO39:OVP39"/>
    <mergeCell ref="OUS39:OUT39"/>
    <mergeCell ref="OUU39:OUV39"/>
    <mergeCell ref="OUW39:OUX39"/>
    <mergeCell ref="OUY39:OUZ39"/>
    <mergeCell ref="OVA39:OVB39"/>
    <mergeCell ref="OVC39:OVD39"/>
    <mergeCell ref="OUG39:OUH39"/>
    <mergeCell ref="OUI39:OUJ39"/>
    <mergeCell ref="OUK39:OUL39"/>
    <mergeCell ref="OUM39:OUN39"/>
    <mergeCell ref="OUO39:OUP39"/>
    <mergeCell ref="OUQ39:OUR39"/>
    <mergeCell ref="OZI39:OZJ39"/>
    <mergeCell ref="OZK39:OZL39"/>
    <mergeCell ref="OZM39:OZN39"/>
    <mergeCell ref="OZO39:OZP39"/>
    <mergeCell ref="OZQ39:OZR39"/>
    <mergeCell ref="OZS39:OZT39"/>
    <mergeCell ref="OYW39:OYX39"/>
    <mergeCell ref="OYY39:OYZ39"/>
    <mergeCell ref="OZA39:OZB39"/>
    <mergeCell ref="OZC39:OZD39"/>
    <mergeCell ref="OZE39:OZF39"/>
    <mergeCell ref="OZG39:OZH39"/>
    <mergeCell ref="OYK39:OYL39"/>
    <mergeCell ref="OYM39:OYN39"/>
    <mergeCell ref="OYO39:OYP39"/>
    <mergeCell ref="OYQ39:OYR39"/>
    <mergeCell ref="OYS39:OYT39"/>
    <mergeCell ref="OYU39:OYV39"/>
    <mergeCell ref="OXY39:OXZ39"/>
    <mergeCell ref="OYA39:OYB39"/>
    <mergeCell ref="OYC39:OYD39"/>
    <mergeCell ref="OYE39:OYF39"/>
    <mergeCell ref="OYG39:OYH39"/>
    <mergeCell ref="OYI39:OYJ39"/>
    <mergeCell ref="OXM39:OXN39"/>
    <mergeCell ref="OXO39:OXP39"/>
    <mergeCell ref="OXQ39:OXR39"/>
    <mergeCell ref="OXS39:OXT39"/>
    <mergeCell ref="OXU39:OXV39"/>
    <mergeCell ref="OXW39:OXX39"/>
    <mergeCell ref="OXA39:OXB39"/>
    <mergeCell ref="OXC39:OXD39"/>
    <mergeCell ref="OXE39:OXF39"/>
    <mergeCell ref="OXG39:OXH39"/>
    <mergeCell ref="OXI39:OXJ39"/>
    <mergeCell ref="OXK39:OXL39"/>
    <mergeCell ref="PCC39:PCD39"/>
    <mergeCell ref="PCE39:PCF39"/>
    <mergeCell ref="PCG39:PCH39"/>
    <mergeCell ref="PCI39:PCJ39"/>
    <mergeCell ref="PCK39:PCL39"/>
    <mergeCell ref="PCM39:PCN39"/>
    <mergeCell ref="PBQ39:PBR39"/>
    <mergeCell ref="PBS39:PBT39"/>
    <mergeCell ref="PBU39:PBV39"/>
    <mergeCell ref="PBW39:PBX39"/>
    <mergeCell ref="PBY39:PBZ39"/>
    <mergeCell ref="PCA39:PCB39"/>
    <mergeCell ref="PBE39:PBF39"/>
    <mergeCell ref="PBG39:PBH39"/>
    <mergeCell ref="PBI39:PBJ39"/>
    <mergeCell ref="PBK39:PBL39"/>
    <mergeCell ref="PBM39:PBN39"/>
    <mergeCell ref="PBO39:PBP39"/>
    <mergeCell ref="PAS39:PAT39"/>
    <mergeCell ref="PAU39:PAV39"/>
    <mergeCell ref="PAW39:PAX39"/>
    <mergeCell ref="PAY39:PAZ39"/>
    <mergeCell ref="PBA39:PBB39"/>
    <mergeCell ref="PBC39:PBD39"/>
    <mergeCell ref="PAG39:PAH39"/>
    <mergeCell ref="PAI39:PAJ39"/>
    <mergeCell ref="PAK39:PAL39"/>
    <mergeCell ref="PAM39:PAN39"/>
    <mergeCell ref="PAO39:PAP39"/>
    <mergeCell ref="PAQ39:PAR39"/>
    <mergeCell ref="OZU39:OZV39"/>
    <mergeCell ref="OZW39:OZX39"/>
    <mergeCell ref="OZY39:OZZ39"/>
    <mergeCell ref="PAA39:PAB39"/>
    <mergeCell ref="PAC39:PAD39"/>
    <mergeCell ref="PAE39:PAF39"/>
    <mergeCell ref="PEW39:PEX39"/>
    <mergeCell ref="PEY39:PEZ39"/>
    <mergeCell ref="PFA39:PFB39"/>
    <mergeCell ref="PFC39:PFD39"/>
    <mergeCell ref="PFE39:PFF39"/>
    <mergeCell ref="PFG39:PFH39"/>
    <mergeCell ref="PEK39:PEL39"/>
    <mergeCell ref="PEM39:PEN39"/>
    <mergeCell ref="PEO39:PEP39"/>
    <mergeCell ref="PEQ39:PER39"/>
    <mergeCell ref="PES39:PET39"/>
    <mergeCell ref="PEU39:PEV39"/>
    <mergeCell ref="PDY39:PDZ39"/>
    <mergeCell ref="PEA39:PEB39"/>
    <mergeCell ref="PEC39:PED39"/>
    <mergeCell ref="PEE39:PEF39"/>
    <mergeCell ref="PEG39:PEH39"/>
    <mergeCell ref="PEI39:PEJ39"/>
    <mergeCell ref="PDM39:PDN39"/>
    <mergeCell ref="PDO39:PDP39"/>
    <mergeCell ref="PDQ39:PDR39"/>
    <mergeCell ref="PDS39:PDT39"/>
    <mergeCell ref="PDU39:PDV39"/>
    <mergeCell ref="PDW39:PDX39"/>
    <mergeCell ref="PDA39:PDB39"/>
    <mergeCell ref="PDC39:PDD39"/>
    <mergeCell ref="PDE39:PDF39"/>
    <mergeCell ref="PDG39:PDH39"/>
    <mergeCell ref="PDI39:PDJ39"/>
    <mergeCell ref="PDK39:PDL39"/>
    <mergeCell ref="PCO39:PCP39"/>
    <mergeCell ref="PCQ39:PCR39"/>
    <mergeCell ref="PCS39:PCT39"/>
    <mergeCell ref="PCU39:PCV39"/>
    <mergeCell ref="PCW39:PCX39"/>
    <mergeCell ref="PCY39:PCZ39"/>
    <mergeCell ref="PHQ39:PHR39"/>
    <mergeCell ref="PHS39:PHT39"/>
    <mergeCell ref="PHU39:PHV39"/>
    <mergeCell ref="PHW39:PHX39"/>
    <mergeCell ref="PHY39:PHZ39"/>
    <mergeCell ref="PIA39:PIB39"/>
    <mergeCell ref="PHE39:PHF39"/>
    <mergeCell ref="PHG39:PHH39"/>
    <mergeCell ref="PHI39:PHJ39"/>
    <mergeCell ref="PHK39:PHL39"/>
    <mergeCell ref="PHM39:PHN39"/>
    <mergeCell ref="PHO39:PHP39"/>
    <mergeCell ref="PGS39:PGT39"/>
    <mergeCell ref="PGU39:PGV39"/>
    <mergeCell ref="PGW39:PGX39"/>
    <mergeCell ref="PGY39:PGZ39"/>
    <mergeCell ref="PHA39:PHB39"/>
    <mergeCell ref="PHC39:PHD39"/>
    <mergeCell ref="PGG39:PGH39"/>
    <mergeCell ref="PGI39:PGJ39"/>
    <mergeCell ref="PGK39:PGL39"/>
    <mergeCell ref="PGM39:PGN39"/>
    <mergeCell ref="PGO39:PGP39"/>
    <mergeCell ref="PGQ39:PGR39"/>
    <mergeCell ref="PFU39:PFV39"/>
    <mergeCell ref="PFW39:PFX39"/>
    <mergeCell ref="PFY39:PFZ39"/>
    <mergeCell ref="PGA39:PGB39"/>
    <mergeCell ref="PGC39:PGD39"/>
    <mergeCell ref="PGE39:PGF39"/>
    <mergeCell ref="PFI39:PFJ39"/>
    <mergeCell ref="PFK39:PFL39"/>
    <mergeCell ref="PFM39:PFN39"/>
    <mergeCell ref="PFO39:PFP39"/>
    <mergeCell ref="PFQ39:PFR39"/>
    <mergeCell ref="PFS39:PFT39"/>
    <mergeCell ref="PKK39:PKL39"/>
    <mergeCell ref="PKM39:PKN39"/>
    <mergeCell ref="PKO39:PKP39"/>
    <mergeCell ref="PKQ39:PKR39"/>
    <mergeCell ref="PKS39:PKT39"/>
    <mergeCell ref="PKU39:PKV39"/>
    <mergeCell ref="PJY39:PJZ39"/>
    <mergeCell ref="PKA39:PKB39"/>
    <mergeCell ref="PKC39:PKD39"/>
    <mergeCell ref="PKE39:PKF39"/>
    <mergeCell ref="PKG39:PKH39"/>
    <mergeCell ref="PKI39:PKJ39"/>
    <mergeCell ref="PJM39:PJN39"/>
    <mergeCell ref="PJO39:PJP39"/>
    <mergeCell ref="PJQ39:PJR39"/>
    <mergeCell ref="PJS39:PJT39"/>
    <mergeCell ref="PJU39:PJV39"/>
    <mergeCell ref="PJW39:PJX39"/>
    <mergeCell ref="PJA39:PJB39"/>
    <mergeCell ref="PJC39:PJD39"/>
    <mergeCell ref="PJE39:PJF39"/>
    <mergeCell ref="PJG39:PJH39"/>
    <mergeCell ref="PJI39:PJJ39"/>
    <mergeCell ref="PJK39:PJL39"/>
    <mergeCell ref="PIO39:PIP39"/>
    <mergeCell ref="PIQ39:PIR39"/>
    <mergeCell ref="PIS39:PIT39"/>
    <mergeCell ref="PIU39:PIV39"/>
    <mergeCell ref="PIW39:PIX39"/>
    <mergeCell ref="PIY39:PIZ39"/>
    <mergeCell ref="PIC39:PID39"/>
    <mergeCell ref="PIE39:PIF39"/>
    <mergeCell ref="PIG39:PIH39"/>
    <mergeCell ref="PII39:PIJ39"/>
    <mergeCell ref="PIK39:PIL39"/>
    <mergeCell ref="PIM39:PIN39"/>
    <mergeCell ref="PNE39:PNF39"/>
    <mergeCell ref="PNG39:PNH39"/>
    <mergeCell ref="PNI39:PNJ39"/>
    <mergeCell ref="PNK39:PNL39"/>
    <mergeCell ref="PNM39:PNN39"/>
    <mergeCell ref="PNO39:PNP39"/>
    <mergeCell ref="PMS39:PMT39"/>
    <mergeCell ref="PMU39:PMV39"/>
    <mergeCell ref="PMW39:PMX39"/>
    <mergeCell ref="PMY39:PMZ39"/>
    <mergeCell ref="PNA39:PNB39"/>
    <mergeCell ref="PNC39:PND39"/>
    <mergeCell ref="PMG39:PMH39"/>
    <mergeCell ref="PMI39:PMJ39"/>
    <mergeCell ref="PMK39:PML39"/>
    <mergeCell ref="PMM39:PMN39"/>
    <mergeCell ref="PMO39:PMP39"/>
    <mergeCell ref="PMQ39:PMR39"/>
    <mergeCell ref="PLU39:PLV39"/>
    <mergeCell ref="PLW39:PLX39"/>
    <mergeCell ref="PLY39:PLZ39"/>
    <mergeCell ref="PMA39:PMB39"/>
    <mergeCell ref="PMC39:PMD39"/>
    <mergeCell ref="PME39:PMF39"/>
    <mergeCell ref="PLI39:PLJ39"/>
    <mergeCell ref="PLK39:PLL39"/>
    <mergeCell ref="PLM39:PLN39"/>
    <mergeCell ref="PLO39:PLP39"/>
    <mergeCell ref="PLQ39:PLR39"/>
    <mergeCell ref="PLS39:PLT39"/>
    <mergeCell ref="PKW39:PKX39"/>
    <mergeCell ref="PKY39:PKZ39"/>
    <mergeCell ref="PLA39:PLB39"/>
    <mergeCell ref="PLC39:PLD39"/>
    <mergeCell ref="PLE39:PLF39"/>
    <mergeCell ref="PLG39:PLH39"/>
    <mergeCell ref="PPY39:PPZ39"/>
    <mergeCell ref="PQA39:PQB39"/>
    <mergeCell ref="PQC39:PQD39"/>
    <mergeCell ref="PQE39:PQF39"/>
    <mergeCell ref="PQG39:PQH39"/>
    <mergeCell ref="PQI39:PQJ39"/>
    <mergeCell ref="PPM39:PPN39"/>
    <mergeCell ref="PPO39:PPP39"/>
    <mergeCell ref="PPQ39:PPR39"/>
    <mergeCell ref="PPS39:PPT39"/>
    <mergeCell ref="PPU39:PPV39"/>
    <mergeCell ref="PPW39:PPX39"/>
    <mergeCell ref="PPA39:PPB39"/>
    <mergeCell ref="PPC39:PPD39"/>
    <mergeCell ref="PPE39:PPF39"/>
    <mergeCell ref="PPG39:PPH39"/>
    <mergeCell ref="PPI39:PPJ39"/>
    <mergeCell ref="PPK39:PPL39"/>
    <mergeCell ref="POO39:POP39"/>
    <mergeCell ref="POQ39:POR39"/>
    <mergeCell ref="POS39:POT39"/>
    <mergeCell ref="POU39:POV39"/>
    <mergeCell ref="POW39:POX39"/>
    <mergeCell ref="POY39:POZ39"/>
    <mergeCell ref="POC39:POD39"/>
    <mergeCell ref="POE39:POF39"/>
    <mergeCell ref="POG39:POH39"/>
    <mergeCell ref="POI39:POJ39"/>
    <mergeCell ref="POK39:POL39"/>
    <mergeCell ref="POM39:PON39"/>
    <mergeCell ref="PNQ39:PNR39"/>
    <mergeCell ref="PNS39:PNT39"/>
    <mergeCell ref="PNU39:PNV39"/>
    <mergeCell ref="PNW39:PNX39"/>
    <mergeCell ref="PNY39:PNZ39"/>
    <mergeCell ref="POA39:POB39"/>
    <mergeCell ref="PSS39:PST39"/>
    <mergeCell ref="PSU39:PSV39"/>
    <mergeCell ref="PSW39:PSX39"/>
    <mergeCell ref="PSY39:PSZ39"/>
    <mergeCell ref="PTA39:PTB39"/>
    <mergeCell ref="PTC39:PTD39"/>
    <mergeCell ref="PSG39:PSH39"/>
    <mergeCell ref="PSI39:PSJ39"/>
    <mergeCell ref="PSK39:PSL39"/>
    <mergeCell ref="PSM39:PSN39"/>
    <mergeCell ref="PSO39:PSP39"/>
    <mergeCell ref="PSQ39:PSR39"/>
    <mergeCell ref="PRU39:PRV39"/>
    <mergeCell ref="PRW39:PRX39"/>
    <mergeCell ref="PRY39:PRZ39"/>
    <mergeCell ref="PSA39:PSB39"/>
    <mergeCell ref="PSC39:PSD39"/>
    <mergeCell ref="PSE39:PSF39"/>
    <mergeCell ref="PRI39:PRJ39"/>
    <mergeCell ref="PRK39:PRL39"/>
    <mergeCell ref="PRM39:PRN39"/>
    <mergeCell ref="PRO39:PRP39"/>
    <mergeCell ref="PRQ39:PRR39"/>
    <mergeCell ref="PRS39:PRT39"/>
    <mergeCell ref="PQW39:PQX39"/>
    <mergeCell ref="PQY39:PQZ39"/>
    <mergeCell ref="PRA39:PRB39"/>
    <mergeCell ref="PRC39:PRD39"/>
    <mergeCell ref="PRE39:PRF39"/>
    <mergeCell ref="PRG39:PRH39"/>
    <mergeCell ref="PQK39:PQL39"/>
    <mergeCell ref="PQM39:PQN39"/>
    <mergeCell ref="PQO39:PQP39"/>
    <mergeCell ref="PQQ39:PQR39"/>
    <mergeCell ref="PQS39:PQT39"/>
    <mergeCell ref="PQU39:PQV39"/>
    <mergeCell ref="PVM39:PVN39"/>
    <mergeCell ref="PVO39:PVP39"/>
    <mergeCell ref="PVQ39:PVR39"/>
    <mergeCell ref="PVS39:PVT39"/>
    <mergeCell ref="PVU39:PVV39"/>
    <mergeCell ref="PVW39:PVX39"/>
    <mergeCell ref="PVA39:PVB39"/>
    <mergeCell ref="PVC39:PVD39"/>
    <mergeCell ref="PVE39:PVF39"/>
    <mergeCell ref="PVG39:PVH39"/>
    <mergeCell ref="PVI39:PVJ39"/>
    <mergeCell ref="PVK39:PVL39"/>
    <mergeCell ref="PUO39:PUP39"/>
    <mergeCell ref="PUQ39:PUR39"/>
    <mergeCell ref="PUS39:PUT39"/>
    <mergeCell ref="PUU39:PUV39"/>
    <mergeCell ref="PUW39:PUX39"/>
    <mergeCell ref="PUY39:PUZ39"/>
    <mergeCell ref="PUC39:PUD39"/>
    <mergeCell ref="PUE39:PUF39"/>
    <mergeCell ref="PUG39:PUH39"/>
    <mergeCell ref="PUI39:PUJ39"/>
    <mergeCell ref="PUK39:PUL39"/>
    <mergeCell ref="PUM39:PUN39"/>
    <mergeCell ref="PTQ39:PTR39"/>
    <mergeCell ref="PTS39:PTT39"/>
    <mergeCell ref="PTU39:PTV39"/>
    <mergeCell ref="PTW39:PTX39"/>
    <mergeCell ref="PTY39:PTZ39"/>
    <mergeCell ref="PUA39:PUB39"/>
    <mergeCell ref="PTE39:PTF39"/>
    <mergeCell ref="PTG39:PTH39"/>
    <mergeCell ref="PTI39:PTJ39"/>
    <mergeCell ref="PTK39:PTL39"/>
    <mergeCell ref="PTM39:PTN39"/>
    <mergeCell ref="PTO39:PTP39"/>
    <mergeCell ref="PYG39:PYH39"/>
    <mergeCell ref="PYI39:PYJ39"/>
    <mergeCell ref="PYK39:PYL39"/>
    <mergeCell ref="PYM39:PYN39"/>
    <mergeCell ref="PYO39:PYP39"/>
    <mergeCell ref="PYQ39:PYR39"/>
    <mergeCell ref="PXU39:PXV39"/>
    <mergeCell ref="PXW39:PXX39"/>
    <mergeCell ref="PXY39:PXZ39"/>
    <mergeCell ref="PYA39:PYB39"/>
    <mergeCell ref="PYC39:PYD39"/>
    <mergeCell ref="PYE39:PYF39"/>
    <mergeCell ref="PXI39:PXJ39"/>
    <mergeCell ref="PXK39:PXL39"/>
    <mergeCell ref="PXM39:PXN39"/>
    <mergeCell ref="PXO39:PXP39"/>
    <mergeCell ref="PXQ39:PXR39"/>
    <mergeCell ref="PXS39:PXT39"/>
    <mergeCell ref="PWW39:PWX39"/>
    <mergeCell ref="PWY39:PWZ39"/>
    <mergeCell ref="PXA39:PXB39"/>
    <mergeCell ref="PXC39:PXD39"/>
    <mergeCell ref="PXE39:PXF39"/>
    <mergeCell ref="PXG39:PXH39"/>
    <mergeCell ref="PWK39:PWL39"/>
    <mergeCell ref="PWM39:PWN39"/>
    <mergeCell ref="PWO39:PWP39"/>
    <mergeCell ref="PWQ39:PWR39"/>
    <mergeCell ref="PWS39:PWT39"/>
    <mergeCell ref="PWU39:PWV39"/>
    <mergeCell ref="PVY39:PVZ39"/>
    <mergeCell ref="PWA39:PWB39"/>
    <mergeCell ref="PWC39:PWD39"/>
    <mergeCell ref="PWE39:PWF39"/>
    <mergeCell ref="PWG39:PWH39"/>
    <mergeCell ref="PWI39:PWJ39"/>
    <mergeCell ref="QBA39:QBB39"/>
    <mergeCell ref="QBC39:QBD39"/>
    <mergeCell ref="QBE39:QBF39"/>
    <mergeCell ref="QBG39:QBH39"/>
    <mergeCell ref="QBI39:QBJ39"/>
    <mergeCell ref="QBK39:QBL39"/>
    <mergeCell ref="QAO39:QAP39"/>
    <mergeCell ref="QAQ39:QAR39"/>
    <mergeCell ref="QAS39:QAT39"/>
    <mergeCell ref="QAU39:QAV39"/>
    <mergeCell ref="QAW39:QAX39"/>
    <mergeCell ref="QAY39:QAZ39"/>
    <mergeCell ref="QAC39:QAD39"/>
    <mergeCell ref="QAE39:QAF39"/>
    <mergeCell ref="QAG39:QAH39"/>
    <mergeCell ref="QAI39:QAJ39"/>
    <mergeCell ref="QAK39:QAL39"/>
    <mergeCell ref="QAM39:QAN39"/>
    <mergeCell ref="PZQ39:PZR39"/>
    <mergeCell ref="PZS39:PZT39"/>
    <mergeCell ref="PZU39:PZV39"/>
    <mergeCell ref="PZW39:PZX39"/>
    <mergeCell ref="PZY39:PZZ39"/>
    <mergeCell ref="QAA39:QAB39"/>
    <mergeCell ref="PZE39:PZF39"/>
    <mergeCell ref="PZG39:PZH39"/>
    <mergeCell ref="PZI39:PZJ39"/>
    <mergeCell ref="PZK39:PZL39"/>
    <mergeCell ref="PZM39:PZN39"/>
    <mergeCell ref="PZO39:PZP39"/>
    <mergeCell ref="PYS39:PYT39"/>
    <mergeCell ref="PYU39:PYV39"/>
    <mergeCell ref="PYW39:PYX39"/>
    <mergeCell ref="PYY39:PYZ39"/>
    <mergeCell ref="PZA39:PZB39"/>
    <mergeCell ref="PZC39:PZD39"/>
    <mergeCell ref="QDU39:QDV39"/>
    <mergeCell ref="QDW39:QDX39"/>
    <mergeCell ref="QDY39:QDZ39"/>
    <mergeCell ref="QEA39:QEB39"/>
    <mergeCell ref="QEC39:QED39"/>
    <mergeCell ref="QEE39:QEF39"/>
    <mergeCell ref="QDI39:QDJ39"/>
    <mergeCell ref="QDK39:QDL39"/>
    <mergeCell ref="QDM39:QDN39"/>
    <mergeCell ref="QDO39:QDP39"/>
    <mergeCell ref="QDQ39:QDR39"/>
    <mergeCell ref="QDS39:QDT39"/>
    <mergeCell ref="QCW39:QCX39"/>
    <mergeCell ref="QCY39:QCZ39"/>
    <mergeCell ref="QDA39:QDB39"/>
    <mergeCell ref="QDC39:QDD39"/>
    <mergeCell ref="QDE39:QDF39"/>
    <mergeCell ref="QDG39:QDH39"/>
    <mergeCell ref="QCK39:QCL39"/>
    <mergeCell ref="QCM39:QCN39"/>
    <mergeCell ref="QCO39:QCP39"/>
    <mergeCell ref="QCQ39:QCR39"/>
    <mergeCell ref="QCS39:QCT39"/>
    <mergeCell ref="QCU39:QCV39"/>
    <mergeCell ref="QBY39:QBZ39"/>
    <mergeCell ref="QCA39:QCB39"/>
    <mergeCell ref="QCC39:QCD39"/>
    <mergeCell ref="QCE39:QCF39"/>
    <mergeCell ref="QCG39:QCH39"/>
    <mergeCell ref="QCI39:QCJ39"/>
    <mergeCell ref="QBM39:QBN39"/>
    <mergeCell ref="QBO39:QBP39"/>
    <mergeCell ref="QBQ39:QBR39"/>
    <mergeCell ref="QBS39:QBT39"/>
    <mergeCell ref="QBU39:QBV39"/>
    <mergeCell ref="QBW39:QBX39"/>
    <mergeCell ref="QGO39:QGP39"/>
    <mergeCell ref="QGQ39:QGR39"/>
    <mergeCell ref="QGS39:QGT39"/>
    <mergeCell ref="QGU39:QGV39"/>
    <mergeCell ref="QGW39:QGX39"/>
    <mergeCell ref="QGY39:QGZ39"/>
    <mergeCell ref="QGC39:QGD39"/>
    <mergeCell ref="QGE39:QGF39"/>
    <mergeCell ref="QGG39:QGH39"/>
    <mergeCell ref="QGI39:QGJ39"/>
    <mergeCell ref="QGK39:QGL39"/>
    <mergeCell ref="QGM39:QGN39"/>
    <mergeCell ref="QFQ39:QFR39"/>
    <mergeCell ref="QFS39:QFT39"/>
    <mergeCell ref="QFU39:QFV39"/>
    <mergeCell ref="QFW39:QFX39"/>
    <mergeCell ref="QFY39:QFZ39"/>
    <mergeCell ref="QGA39:QGB39"/>
    <mergeCell ref="QFE39:QFF39"/>
    <mergeCell ref="QFG39:QFH39"/>
    <mergeCell ref="QFI39:QFJ39"/>
    <mergeCell ref="QFK39:QFL39"/>
    <mergeCell ref="QFM39:QFN39"/>
    <mergeCell ref="QFO39:QFP39"/>
    <mergeCell ref="QES39:QET39"/>
    <mergeCell ref="QEU39:QEV39"/>
    <mergeCell ref="QEW39:QEX39"/>
    <mergeCell ref="QEY39:QEZ39"/>
    <mergeCell ref="QFA39:QFB39"/>
    <mergeCell ref="QFC39:QFD39"/>
    <mergeCell ref="QEG39:QEH39"/>
    <mergeCell ref="QEI39:QEJ39"/>
    <mergeCell ref="QEK39:QEL39"/>
    <mergeCell ref="QEM39:QEN39"/>
    <mergeCell ref="QEO39:QEP39"/>
    <mergeCell ref="QEQ39:QER39"/>
    <mergeCell ref="QJI39:QJJ39"/>
    <mergeCell ref="QJK39:QJL39"/>
    <mergeCell ref="QJM39:QJN39"/>
    <mergeCell ref="QJO39:QJP39"/>
    <mergeCell ref="QJQ39:QJR39"/>
    <mergeCell ref="QJS39:QJT39"/>
    <mergeCell ref="QIW39:QIX39"/>
    <mergeCell ref="QIY39:QIZ39"/>
    <mergeCell ref="QJA39:QJB39"/>
    <mergeCell ref="QJC39:QJD39"/>
    <mergeCell ref="QJE39:QJF39"/>
    <mergeCell ref="QJG39:QJH39"/>
    <mergeCell ref="QIK39:QIL39"/>
    <mergeCell ref="QIM39:QIN39"/>
    <mergeCell ref="QIO39:QIP39"/>
    <mergeCell ref="QIQ39:QIR39"/>
    <mergeCell ref="QIS39:QIT39"/>
    <mergeCell ref="QIU39:QIV39"/>
    <mergeCell ref="QHY39:QHZ39"/>
    <mergeCell ref="QIA39:QIB39"/>
    <mergeCell ref="QIC39:QID39"/>
    <mergeCell ref="QIE39:QIF39"/>
    <mergeCell ref="QIG39:QIH39"/>
    <mergeCell ref="QII39:QIJ39"/>
    <mergeCell ref="QHM39:QHN39"/>
    <mergeCell ref="QHO39:QHP39"/>
    <mergeCell ref="QHQ39:QHR39"/>
    <mergeCell ref="QHS39:QHT39"/>
    <mergeCell ref="QHU39:QHV39"/>
    <mergeCell ref="QHW39:QHX39"/>
    <mergeCell ref="QHA39:QHB39"/>
    <mergeCell ref="QHC39:QHD39"/>
    <mergeCell ref="QHE39:QHF39"/>
    <mergeCell ref="QHG39:QHH39"/>
    <mergeCell ref="QHI39:QHJ39"/>
    <mergeCell ref="QHK39:QHL39"/>
    <mergeCell ref="QMC39:QMD39"/>
    <mergeCell ref="QME39:QMF39"/>
    <mergeCell ref="QMG39:QMH39"/>
    <mergeCell ref="QMI39:QMJ39"/>
    <mergeCell ref="QMK39:QML39"/>
    <mergeCell ref="QMM39:QMN39"/>
    <mergeCell ref="QLQ39:QLR39"/>
    <mergeCell ref="QLS39:QLT39"/>
    <mergeCell ref="QLU39:QLV39"/>
    <mergeCell ref="QLW39:QLX39"/>
    <mergeCell ref="QLY39:QLZ39"/>
    <mergeCell ref="QMA39:QMB39"/>
    <mergeCell ref="QLE39:QLF39"/>
    <mergeCell ref="QLG39:QLH39"/>
    <mergeCell ref="QLI39:QLJ39"/>
    <mergeCell ref="QLK39:QLL39"/>
    <mergeCell ref="QLM39:QLN39"/>
    <mergeCell ref="QLO39:QLP39"/>
    <mergeCell ref="QKS39:QKT39"/>
    <mergeCell ref="QKU39:QKV39"/>
    <mergeCell ref="QKW39:QKX39"/>
    <mergeCell ref="QKY39:QKZ39"/>
    <mergeCell ref="QLA39:QLB39"/>
    <mergeCell ref="QLC39:QLD39"/>
    <mergeCell ref="QKG39:QKH39"/>
    <mergeCell ref="QKI39:QKJ39"/>
    <mergeCell ref="QKK39:QKL39"/>
    <mergeCell ref="QKM39:QKN39"/>
    <mergeCell ref="QKO39:QKP39"/>
    <mergeCell ref="QKQ39:QKR39"/>
    <mergeCell ref="QJU39:QJV39"/>
    <mergeCell ref="QJW39:QJX39"/>
    <mergeCell ref="QJY39:QJZ39"/>
    <mergeCell ref="QKA39:QKB39"/>
    <mergeCell ref="QKC39:QKD39"/>
    <mergeCell ref="QKE39:QKF39"/>
    <mergeCell ref="QOW39:QOX39"/>
    <mergeCell ref="QOY39:QOZ39"/>
    <mergeCell ref="QPA39:QPB39"/>
    <mergeCell ref="QPC39:QPD39"/>
    <mergeCell ref="QPE39:QPF39"/>
    <mergeCell ref="QPG39:QPH39"/>
    <mergeCell ref="QOK39:QOL39"/>
    <mergeCell ref="QOM39:QON39"/>
    <mergeCell ref="QOO39:QOP39"/>
    <mergeCell ref="QOQ39:QOR39"/>
    <mergeCell ref="QOS39:QOT39"/>
    <mergeCell ref="QOU39:QOV39"/>
    <mergeCell ref="QNY39:QNZ39"/>
    <mergeCell ref="QOA39:QOB39"/>
    <mergeCell ref="QOC39:QOD39"/>
    <mergeCell ref="QOE39:QOF39"/>
    <mergeCell ref="QOG39:QOH39"/>
    <mergeCell ref="QOI39:QOJ39"/>
    <mergeCell ref="QNM39:QNN39"/>
    <mergeCell ref="QNO39:QNP39"/>
    <mergeCell ref="QNQ39:QNR39"/>
    <mergeCell ref="QNS39:QNT39"/>
    <mergeCell ref="QNU39:QNV39"/>
    <mergeCell ref="QNW39:QNX39"/>
    <mergeCell ref="QNA39:QNB39"/>
    <mergeCell ref="QNC39:QND39"/>
    <mergeCell ref="QNE39:QNF39"/>
    <mergeCell ref="QNG39:QNH39"/>
    <mergeCell ref="QNI39:QNJ39"/>
    <mergeCell ref="QNK39:QNL39"/>
    <mergeCell ref="QMO39:QMP39"/>
    <mergeCell ref="QMQ39:QMR39"/>
    <mergeCell ref="QMS39:QMT39"/>
    <mergeCell ref="QMU39:QMV39"/>
    <mergeCell ref="QMW39:QMX39"/>
    <mergeCell ref="QMY39:QMZ39"/>
    <mergeCell ref="QRQ39:QRR39"/>
    <mergeCell ref="QRS39:QRT39"/>
    <mergeCell ref="QRU39:QRV39"/>
    <mergeCell ref="QRW39:QRX39"/>
    <mergeCell ref="QRY39:QRZ39"/>
    <mergeCell ref="QSA39:QSB39"/>
    <mergeCell ref="QRE39:QRF39"/>
    <mergeCell ref="QRG39:QRH39"/>
    <mergeCell ref="QRI39:QRJ39"/>
    <mergeCell ref="QRK39:QRL39"/>
    <mergeCell ref="QRM39:QRN39"/>
    <mergeCell ref="QRO39:QRP39"/>
    <mergeCell ref="QQS39:QQT39"/>
    <mergeCell ref="QQU39:QQV39"/>
    <mergeCell ref="QQW39:QQX39"/>
    <mergeCell ref="QQY39:QQZ39"/>
    <mergeCell ref="QRA39:QRB39"/>
    <mergeCell ref="QRC39:QRD39"/>
    <mergeCell ref="QQG39:QQH39"/>
    <mergeCell ref="QQI39:QQJ39"/>
    <mergeCell ref="QQK39:QQL39"/>
    <mergeCell ref="QQM39:QQN39"/>
    <mergeCell ref="QQO39:QQP39"/>
    <mergeCell ref="QQQ39:QQR39"/>
    <mergeCell ref="QPU39:QPV39"/>
    <mergeCell ref="QPW39:QPX39"/>
    <mergeCell ref="QPY39:QPZ39"/>
    <mergeCell ref="QQA39:QQB39"/>
    <mergeCell ref="QQC39:QQD39"/>
    <mergeCell ref="QQE39:QQF39"/>
    <mergeCell ref="QPI39:QPJ39"/>
    <mergeCell ref="QPK39:QPL39"/>
    <mergeCell ref="QPM39:QPN39"/>
    <mergeCell ref="QPO39:QPP39"/>
    <mergeCell ref="QPQ39:QPR39"/>
    <mergeCell ref="QPS39:QPT39"/>
    <mergeCell ref="QUK39:QUL39"/>
    <mergeCell ref="QUM39:QUN39"/>
    <mergeCell ref="QUO39:QUP39"/>
    <mergeCell ref="QUQ39:QUR39"/>
    <mergeCell ref="QUS39:QUT39"/>
    <mergeCell ref="QUU39:QUV39"/>
    <mergeCell ref="QTY39:QTZ39"/>
    <mergeCell ref="QUA39:QUB39"/>
    <mergeCell ref="QUC39:QUD39"/>
    <mergeCell ref="QUE39:QUF39"/>
    <mergeCell ref="QUG39:QUH39"/>
    <mergeCell ref="QUI39:QUJ39"/>
    <mergeCell ref="QTM39:QTN39"/>
    <mergeCell ref="QTO39:QTP39"/>
    <mergeCell ref="QTQ39:QTR39"/>
    <mergeCell ref="QTS39:QTT39"/>
    <mergeCell ref="QTU39:QTV39"/>
    <mergeCell ref="QTW39:QTX39"/>
    <mergeCell ref="QTA39:QTB39"/>
    <mergeCell ref="QTC39:QTD39"/>
    <mergeCell ref="QTE39:QTF39"/>
    <mergeCell ref="QTG39:QTH39"/>
    <mergeCell ref="QTI39:QTJ39"/>
    <mergeCell ref="QTK39:QTL39"/>
    <mergeCell ref="QSO39:QSP39"/>
    <mergeCell ref="QSQ39:QSR39"/>
    <mergeCell ref="QSS39:QST39"/>
    <mergeCell ref="QSU39:QSV39"/>
    <mergeCell ref="QSW39:QSX39"/>
    <mergeCell ref="QSY39:QSZ39"/>
    <mergeCell ref="QSC39:QSD39"/>
    <mergeCell ref="QSE39:QSF39"/>
    <mergeCell ref="QSG39:QSH39"/>
    <mergeCell ref="QSI39:QSJ39"/>
    <mergeCell ref="QSK39:QSL39"/>
    <mergeCell ref="QSM39:QSN39"/>
    <mergeCell ref="QXE39:QXF39"/>
    <mergeCell ref="QXG39:QXH39"/>
    <mergeCell ref="QXI39:QXJ39"/>
    <mergeCell ref="QXK39:QXL39"/>
    <mergeCell ref="QXM39:QXN39"/>
    <mergeCell ref="QXO39:QXP39"/>
    <mergeCell ref="QWS39:QWT39"/>
    <mergeCell ref="QWU39:QWV39"/>
    <mergeCell ref="QWW39:QWX39"/>
    <mergeCell ref="QWY39:QWZ39"/>
    <mergeCell ref="QXA39:QXB39"/>
    <mergeCell ref="QXC39:QXD39"/>
    <mergeCell ref="QWG39:QWH39"/>
    <mergeCell ref="QWI39:QWJ39"/>
    <mergeCell ref="QWK39:QWL39"/>
    <mergeCell ref="QWM39:QWN39"/>
    <mergeCell ref="QWO39:QWP39"/>
    <mergeCell ref="QWQ39:QWR39"/>
    <mergeCell ref="QVU39:QVV39"/>
    <mergeCell ref="QVW39:QVX39"/>
    <mergeCell ref="QVY39:QVZ39"/>
    <mergeCell ref="QWA39:QWB39"/>
    <mergeCell ref="QWC39:QWD39"/>
    <mergeCell ref="QWE39:QWF39"/>
    <mergeCell ref="QVI39:QVJ39"/>
    <mergeCell ref="QVK39:QVL39"/>
    <mergeCell ref="QVM39:QVN39"/>
    <mergeCell ref="QVO39:QVP39"/>
    <mergeCell ref="QVQ39:QVR39"/>
    <mergeCell ref="QVS39:QVT39"/>
    <mergeCell ref="QUW39:QUX39"/>
    <mergeCell ref="QUY39:QUZ39"/>
    <mergeCell ref="QVA39:QVB39"/>
    <mergeCell ref="QVC39:QVD39"/>
    <mergeCell ref="QVE39:QVF39"/>
    <mergeCell ref="QVG39:QVH39"/>
    <mergeCell ref="QZY39:QZZ39"/>
    <mergeCell ref="RAA39:RAB39"/>
    <mergeCell ref="RAC39:RAD39"/>
    <mergeCell ref="RAE39:RAF39"/>
    <mergeCell ref="RAG39:RAH39"/>
    <mergeCell ref="RAI39:RAJ39"/>
    <mergeCell ref="QZM39:QZN39"/>
    <mergeCell ref="QZO39:QZP39"/>
    <mergeCell ref="QZQ39:QZR39"/>
    <mergeCell ref="QZS39:QZT39"/>
    <mergeCell ref="QZU39:QZV39"/>
    <mergeCell ref="QZW39:QZX39"/>
    <mergeCell ref="QZA39:QZB39"/>
    <mergeCell ref="QZC39:QZD39"/>
    <mergeCell ref="QZE39:QZF39"/>
    <mergeCell ref="QZG39:QZH39"/>
    <mergeCell ref="QZI39:QZJ39"/>
    <mergeCell ref="QZK39:QZL39"/>
    <mergeCell ref="QYO39:QYP39"/>
    <mergeCell ref="QYQ39:QYR39"/>
    <mergeCell ref="QYS39:QYT39"/>
    <mergeCell ref="QYU39:QYV39"/>
    <mergeCell ref="QYW39:QYX39"/>
    <mergeCell ref="QYY39:QYZ39"/>
    <mergeCell ref="QYC39:QYD39"/>
    <mergeCell ref="QYE39:QYF39"/>
    <mergeCell ref="QYG39:QYH39"/>
    <mergeCell ref="QYI39:QYJ39"/>
    <mergeCell ref="QYK39:QYL39"/>
    <mergeCell ref="QYM39:QYN39"/>
    <mergeCell ref="QXQ39:QXR39"/>
    <mergeCell ref="QXS39:QXT39"/>
    <mergeCell ref="QXU39:QXV39"/>
    <mergeCell ref="QXW39:QXX39"/>
    <mergeCell ref="QXY39:QXZ39"/>
    <mergeCell ref="QYA39:QYB39"/>
    <mergeCell ref="RCS39:RCT39"/>
    <mergeCell ref="RCU39:RCV39"/>
    <mergeCell ref="RCW39:RCX39"/>
    <mergeCell ref="RCY39:RCZ39"/>
    <mergeCell ref="RDA39:RDB39"/>
    <mergeCell ref="RDC39:RDD39"/>
    <mergeCell ref="RCG39:RCH39"/>
    <mergeCell ref="RCI39:RCJ39"/>
    <mergeCell ref="RCK39:RCL39"/>
    <mergeCell ref="RCM39:RCN39"/>
    <mergeCell ref="RCO39:RCP39"/>
    <mergeCell ref="RCQ39:RCR39"/>
    <mergeCell ref="RBU39:RBV39"/>
    <mergeCell ref="RBW39:RBX39"/>
    <mergeCell ref="RBY39:RBZ39"/>
    <mergeCell ref="RCA39:RCB39"/>
    <mergeCell ref="RCC39:RCD39"/>
    <mergeCell ref="RCE39:RCF39"/>
    <mergeCell ref="RBI39:RBJ39"/>
    <mergeCell ref="RBK39:RBL39"/>
    <mergeCell ref="RBM39:RBN39"/>
    <mergeCell ref="RBO39:RBP39"/>
    <mergeCell ref="RBQ39:RBR39"/>
    <mergeCell ref="RBS39:RBT39"/>
    <mergeCell ref="RAW39:RAX39"/>
    <mergeCell ref="RAY39:RAZ39"/>
    <mergeCell ref="RBA39:RBB39"/>
    <mergeCell ref="RBC39:RBD39"/>
    <mergeCell ref="RBE39:RBF39"/>
    <mergeCell ref="RBG39:RBH39"/>
    <mergeCell ref="RAK39:RAL39"/>
    <mergeCell ref="RAM39:RAN39"/>
    <mergeCell ref="RAO39:RAP39"/>
    <mergeCell ref="RAQ39:RAR39"/>
    <mergeCell ref="RAS39:RAT39"/>
    <mergeCell ref="RAU39:RAV39"/>
    <mergeCell ref="RFM39:RFN39"/>
    <mergeCell ref="RFO39:RFP39"/>
    <mergeCell ref="RFQ39:RFR39"/>
    <mergeCell ref="RFS39:RFT39"/>
    <mergeCell ref="RFU39:RFV39"/>
    <mergeCell ref="RFW39:RFX39"/>
    <mergeCell ref="RFA39:RFB39"/>
    <mergeCell ref="RFC39:RFD39"/>
    <mergeCell ref="RFE39:RFF39"/>
    <mergeCell ref="RFG39:RFH39"/>
    <mergeCell ref="RFI39:RFJ39"/>
    <mergeCell ref="RFK39:RFL39"/>
    <mergeCell ref="REO39:REP39"/>
    <mergeCell ref="REQ39:RER39"/>
    <mergeCell ref="RES39:RET39"/>
    <mergeCell ref="REU39:REV39"/>
    <mergeCell ref="REW39:REX39"/>
    <mergeCell ref="REY39:REZ39"/>
    <mergeCell ref="REC39:RED39"/>
    <mergeCell ref="REE39:REF39"/>
    <mergeCell ref="REG39:REH39"/>
    <mergeCell ref="REI39:REJ39"/>
    <mergeCell ref="REK39:REL39"/>
    <mergeCell ref="REM39:REN39"/>
    <mergeCell ref="RDQ39:RDR39"/>
    <mergeCell ref="RDS39:RDT39"/>
    <mergeCell ref="RDU39:RDV39"/>
    <mergeCell ref="RDW39:RDX39"/>
    <mergeCell ref="RDY39:RDZ39"/>
    <mergeCell ref="REA39:REB39"/>
    <mergeCell ref="RDE39:RDF39"/>
    <mergeCell ref="RDG39:RDH39"/>
    <mergeCell ref="RDI39:RDJ39"/>
    <mergeCell ref="RDK39:RDL39"/>
    <mergeCell ref="RDM39:RDN39"/>
    <mergeCell ref="RDO39:RDP39"/>
    <mergeCell ref="RIG39:RIH39"/>
    <mergeCell ref="RII39:RIJ39"/>
    <mergeCell ref="RIK39:RIL39"/>
    <mergeCell ref="RIM39:RIN39"/>
    <mergeCell ref="RIO39:RIP39"/>
    <mergeCell ref="RIQ39:RIR39"/>
    <mergeCell ref="RHU39:RHV39"/>
    <mergeCell ref="RHW39:RHX39"/>
    <mergeCell ref="RHY39:RHZ39"/>
    <mergeCell ref="RIA39:RIB39"/>
    <mergeCell ref="RIC39:RID39"/>
    <mergeCell ref="RIE39:RIF39"/>
    <mergeCell ref="RHI39:RHJ39"/>
    <mergeCell ref="RHK39:RHL39"/>
    <mergeCell ref="RHM39:RHN39"/>
    <mergeCell ref="RHO39:RHP39"/>
    <mergeCell ref="RHQ39:RHR39"/>
    <mergeCell ref="RHS39:RHT39"/>
    <mergeCell ref="RGW39:RGX39"/>
    <mergeCell ref="RGY39:RGZ39"/>
    <mergeCell ref="RHA39:RHB39"/>
    <mergeCell ref="RHC39:RHD39"/>
    <mergeCell ref="RHE39:RHF39"/>
    <mergeCell ref="RHG39:RHH39"/>
    <mergeCell ref="RGK39:RGL39"/>
    <mergeCell ref="RGM39:RGN39"/>
    <mergeCell ref="RGO39:RGP39"/>
    <mergeCell ref="RGQ39:RGR39"/>
    <mergeCell ref="RGS39:RGT39"/>
    <mergeCell ref="RGU39:RGV39"/>
    <mergeCell ref="RFY39:RFZ39"/>
    <mergeCell ref="RGA39:RGB39"/>
    <mergeCell ref="RGC39:RGD39"/>
    <mergeCell ref="RGE39:RGF39"/>
    <mergeCell ref="RGG39:RGH39"/>
    <mergeCell ref="RGI39:RGJ39"/>
    <mergeCell ref="RLA39:RLB39"/>
    <mergeCell ref="RLC39:RLD39"/>
    <mergeCell ref="RLE39:RLF39"/>
    <mergeCell ref="RLG39:RLH39"/>
    <mergeCell ref="RLI39:RLJ39"/>
    <mergeCell ref="RLK39:RLL39"/>
    <mergeCell ref="RKO39:RKP39"/>
    <mergeCell ref="RKQ39:RKR39"/>
    <mergeCell ref="RKS39:RKT39"/>
    <mergeCell ref="RKU39:RKV39"/>
    <mergeCell ref="RKW39:RKX39"/>
    <mergeCell ref="RKY39:RKZ39"/>
    <mergeCell ref="RKC39:RKD39"/>
    <mergeCell ref="RKE39:RKF39"/>
    <mergeCell ref="RKG39:RKH39"/>
    <mergeCell ref="RKI39:RKJ39"/>
    <mergeCell ref="RKK39:RKL39"/>
    <mergeCell ref="RKM39:RKN39"/>
    <mergeCell ref="RJQ39:RJR39"/>
    <mergeCell ref="RJS39:RJT39"/>
    <mergeCell ref="RJU39:RJV39"/>
    <mergeCell ref="RJW39:RJX39"/>
    <mergeCell ref="RJY39:RJZ39"/>
    <mergeCell ref="RKA39:RKB39"/>
    <mergeCell ref="RJE39:RJF39"/>
    <mergeCell ref="RJG39:RJH39"/>
    <mergeCell ref="RJI39:RJJ39"/>
    <mergeCell ref="RJK39:RJL39"/>
    <mergeCell ref="RJM39:RJN39"/>
    <mergeCell ref="RJO39:RJP39"/>
    <mergeCell ref="RIS39:RIT39"/>
    <mergeCell ref="RIU39:RIV39"/>
    <mergeCell ref="RIW39:RIX39"/>
    <mergeCell ref="RIY39:RIZ39"/>
    <mergeCell ref="RJA39:RJB39"/>
    <mergeCell ref="RJC39:RJD39"/>
    <mergeCell ref="RNU39:RNV39"/>
    <mergeCell ref="RNW39:RNX39"/>
    <mergeCell ref="RNY39:RNZ39"/>
    <mergeCell ref="ROA39:ROB39"/>
    <mergeCell ref="ROC39:ROD39"/>
    <mergeCell ref="ROE39:ROF39"/>
    <mergeCell ref="RNI39:RNJ39"/>
    <mergeCell ref="RNK39:RNL39"/>
    <mergeCell ref="RNM39:RNN39"/>
    <mergeCell ref="RNO39:RNP39"/>
    <mergeCell ref="RNQ39:RNR39"/>
    <mergeCell ref="RNS39:RNT39"/>
    <mergeCell ref="RMW39:RMX39"/>
    <mergeCell ref="RMY39:RMZ39"/>
    <mergeCell ref="RNA39:RNB39"/>
    <mergeCell ref="RNC39:RND39"/>
    <mergeCell ref="RNE39:RNF39"/>
    <mergeCell ref="RNG39:RNH39"/>
    <mergeCell ref="RMK39:RML39"/>
    <mergeCell ref="RMM39:RMN39"/>
    <mergeCell ref="RMO39:RMP39"/>
    <mergeCell ref="RMQ39:RMR39"/>
    <mergeCell ref="RMS39:RMT39"/>
    <mergeCell ref="RMU39:RMV39"/>
    <mergeCell ref="RLY39:RLZ39"/>
    <mergeCell ref="RMA39:RMB39"/>
    <mergeCell ref="RMC39:RMD39"/>
    <mergeCell ref="RME39:RMF39"/>
    <mergeCell ref="RMG39:RMH39"/>
    <mergeCell ref="RMI39:RMJ39"/>
    <mergeCell ref="RLM39:RLN39"/>
    <mergeCell ref="RLO39:RLP39"/>
    <mergeCell ref="RLQ39:RLR39"/>
    <mergeCell ref="RLS39:RLT39"/>
    <mergeCell ref="RLU39:RLV39"/>
    <mergeCell ref="RLW39:RLX39"/>
    <mergeCell ref="RQO39:RQP39"/>
    <mergeCell ref="RQQ39:RQR39"/>
    <mergeCell ref="RQS39:RQT39"/>
    <mergeCell ref="RQU39:RQV39"/>
    <mergeCell ref="RQW39:RQX39"/>
    <mergeCell ref="RQY39:RQZ39"/>
    <mergeCell ref="RQC39:RQD39"/>
    <mergeCell ref="RQE39:RQF39"/>
    <mergeCell ref="RQG39:RQH39"/>
    <mergeCell ref="RQI39:RQJ39"/>
    <mergeCell ref="RQK39:RQL39"/>
    <mergeCell ref="RQM39:RQN39"/>
    <mergeCell ref="RPQ39:RPR39"/>
    <mergeCell ref="RPS39:RPT39"/>
    <mergeCell ref="RPU39:RPV39"/>
    <mergeCell ref="RPW39:RPX39"/>
    <mergeCell ref="RPY39:RPZ39"/>
    <mergeCell ref="RQA39:RQB39"/>
    <mergeCell ref="RPE39:RPF39"/>
    <mergeCell ref="RPG39:RPH39"/>
    <mergeCell ref="RPI39:RPJ39"/>
    <mergeCell ref="RPK39:RPL39"/>
    <mergeCell ref="RPM39:RPN39"/>
    <mergeCell ref="RPO39:RPP39"/>
    <mergeCell ref="ROS39:ROT39"/>
    <mergeCell ref="ROU39:ROV39"/>
    <mergeCell ref="ROW39:ROX39"/>
    <mergeCell ref="ROY39:ROZ39"/>
    <mergeCell ref="RPA39:RPB39"/>
    <mergeCell ref="RPC39:RPD39"/>
    <mergeCell ref="ROG39:ROH39"/>
    <mergeCell ref="ROI39:ROJ39"/>
    <mergeCell ref="ROK39:ROL39"/>
    <mergeCell ref="ROM39:RON39"/>
    <mergeCell ref="ROO39:ROP39"/>
    <mergeCell ref="ROQ39:ROR39"/>
    <mergeCell ref="RTI39:RTJ39"/>
    <mergeCell ref="RTK39:RTL39"/>
    <mergeCell ref="RTM39:RTN39"/>
    <mergeCell ref="RTO39:RTP39"/>
    <mergeCell ref="RTQ39:RTR39"/>
    <mergeCell ref="RTS39:RTT39"/>
    <mergeCell ref="RSW39:RSX39"/>
    <mergeCell ref="RSY39:RSZ39"/>
    <mergeCell ref="RTA39:RTB39"/>
    <mergeCell ref="RTC39:RTD39"/>
    <mergeCell ref="RTE39:RTF39"/>
    <mergeCell ref="RTG39:RTH39"/>
    <mergeCell ref="RSK39:RSL39"/>
    <mergeCell ref="RSM39:RSN39"/>
    <mergeCell ref="RSO39:RSP39"/>
    <mergeCell ref="RSQ39:RSR39"/>
    <mergeCell ref="RSS39:RST39"/>
    <mergeCell ref="RSU39:RSV39"/>
    <mergeCell ref="RRY39:RRZ39"/>
    <mergeCell ref="RSA39:RSB39"/>
    <mergeCell ref="RSC39:RSD39"/>
    <mergeCell ref="RSE39:RSF39"/>
    <mergeCell ref="RSG39:RSH39"/>
    <mergeCell ref="RSI39:RSJ39"/>
    <mergeCell ref="RRM39:RRN39"/>
    <mergeCell ref="RRO39:RRP39"/>
    <mergeCell ref="RRQ39:RRR39"/>
    <mergeCell ref="RRS39:RRT39"/>
    <mergeCell ref="RRU39:RRV39"/>
    <mergeCell ref="RRW39:RRX39"/>
    <mergeCell ref="RRA39:RRB39"/>
    <mergeCell ref="RRC39:RRD39"/>
    <mergeCell ref="RRE39:RRF39"/>
    <mergeCell ref="RRG39:RRH39"/>
    <mergeCell ref="RRI39:RRJ39"/>
    <mergeCell ref="RRK39:RRL39"/>
    <mergeCell ref="RWC39:RWD39"/>
    <mergeCell ref="RWE39:RWF39"/>
    <mergeCell ref="RWG39:RWH39"/>
    <mergeCell ref="RWI39:RWJ39"/>
    <mergeCell ref="RWK39:RWL39"/>
    <mergeCell ref="RWM39:RWN39"/>
    <mergeCell ref="RVQ39:RVR39"/>
    <mergeCell ref="RVS39:RVT39"/>
    <mergeCell ref="RVU39:RVV39"/>
    <mergeCell ref="RVW39:RVX39"/>
    <mergeCell ref="RVY39:RVZ39"/>
    <mergeCell ref="RWA39:RWB39"/>
    <mergeCell ref="RVE39:RVF39"/>
    <mergeCell ref="RVG39:RVH39"/>
    <mergeCell ref="RVI39:RVJ39"/>
    <mergeCell ref="RVK39:RVL39"/>
    <mergeCell ref="RVM39:RVN39"/>
    <mergeCell ref="RVO39:RVP39"/>
    <mergeCell ref="RUS39:RUT39"/>
    <mergeCell ref="RUU39:RUV39"/>
    <mergeCell ref="RUW39:RUX39"/>
    <mergeCell ref="RUY39:RUZ39"/>
    <mergeCell ref="RVA39:RVB39"/>
    <mergeCell ref="RVC39:RVD39"/>
    <mergeCell ref="RUG39:RUH39"/>
    <mergeCell ref="RUI39:RUJ39"/>
    <mergeCell ref="RUK39:RUL39"/>
    <mergeCell ref="RUM39:RUN39"/>
    <mergeCell ref="RUO39:RUP39"/>
    <mergeCell ref="RUQ39:RUR39"/>
    <mergeCell ref="RTU39:RTV39"/>
    <mergeCell ref="RTW39:RTX39"/>
    <mergeCell ref="RTY39:RTZ39"/>
    <mergeCell ref="RUA39:RUB39"/>
    <mergeCell ref="RUC39:RUD39"/>
    <mergeCell ref="RUE39:RUF39"/>
    <mergeCell ref="RYW39:RYX39"/>
    <mergeCell ref="RYY39:RYZ39"/>
    <mergeCell ref="RZA39:RZB39"/>
    <mergeCell ref="RZC39:RZD39"/>
    <mergeCell ref="RZE39:RZF39"/>
    <mergeCell ref="RZG39:RZH39"/>
    <mergeCell ref="RYK39:RYL39"/>
    <mergeCell ref="RYM39:RYN39"/>
    <mergeCell ref="RYO39:RYP39"/>
    <mergeCell ref="RYQ39:RYR39"/>
    <mergeCell ref="RYS39:RYT39"/>
    <mergeCell ref="RYU39:RYV39"/>
    <mergeCell ref="RXY39:RXZ39"/>
    <mergeCell ref="RYA39:RYB39"/>
    <mergeCell ref="RYC39:RYD39"/>
    <mergeCell ref="RYE39:RYF39"/>
    <mergeCell ref="RYG39:RYH39"/>
    <mergeCell ref="RYI39:RYJ39"/>
    <mergeCell ref="RXM39:RXN39"/>
    <mergeCell ref="RXO39:RXP39"/>
    <mergeCell ref="RXQ39:RXR39"/>
    <mergeCell ref="RXS39:RXT39"/>
    <mergeCell ref="RXU39:RXV39"/>
    <mergeCell ref="RXW39:RXX39"/>
    <mergeCell ref="RXA39:RXB39"/>
    <mergeCell ref="RXC39:RXD39"/>
    <mergeCell ref="RXE39:RXF39"/>
    <mergeCell ref="RXG39:RXH39"/>
    <mergeCell ref="RXI39:RXJ39"/>
    <mergeCell ref="RXK39:RXL39"/>
    <mergeCell ref="RWO39:RWP39"/>
    <mergeCell ref="RWQ39:RWR39"/>
    <mergeCell ref="RWS39:RWT39"/>
    <mergeCell ref="RWU39:RWV39"/>
    <mergeCell ref="RWW39:RWX39"/>
    <mergeCell ref="RWY39:RWZ39"/>
    <mergeCell ref="SBQ39:SBR39"/>
    <mergeCell ref="SBS39:SBT39"/>
    <mergeCell ref="SBU39:SBV39"/>
    <mergeCell ref="SBW39:SBX39"/>
    <mergeCell ref="SBY39:SBZ39"/>
    <mergeCell ref="SCA39:SCB39"/>
    <mergeCell ref="SBE39:SBF39"/>
    <mergeCell ref="SBG39:SBH39"/>
    <mergeCell ref="SBI39:SBJ39"/>
    <mergeCell ref="SBK39:SBL39"/>
    <mergeCell ref="SBM39:SBN39"/>
    <mergeCell ref="SBO39:SBP39"/>
    <mergeCell ref="SAS39:SAT39"/>
    <mergeCell ref="SAU39:SAV39"/>
    <mergeCell ref="SAW39:SAX39"/>
    <mergeCell ref="SAY39:SAZ39"/>
    <mergeCell ref="SBA39:SBB39"/>
    <mergeCell ref="SBC39:SBD39"/>
    <mergeCell ref="SAG39:SAH39"/>
    <mergeCell ref="SAI39:SAJ39"/>
    <mergeCell ref="SAK39:SAL39"/>
    <mergeCell ref="SAM39:SAN39"/>
    <mergeCell ref="SAO39:SAP39"/>
    <mergeCell ref="SAQ39:SAR39"/>
    <mergeCell ref="RZU39:RZV39"/>
    <mergeCell ref="RZW39:RZX39"/>
    <mergeCell ref="RZY39:RZZ39"/>
    <mergeCell ref="SAA39:SAB39"/>
    <mergeCell ref="SAC39:SAD39"/>
    <mergeCell ref="SAE39:SAF39"/>
    <mergeCell ref="RZI39:RZJ39"/>
    <mergeCell ref="RZK39:RZL39"/>
    <mergeCell ref="RZM39:RZN39"/>
    <mergeCell ref="RZO39:RZP39"/>
    <mergeCell ref="RZQ39:RZR39"/>
    <mergeCell ref="RZS39:RZT39"/>
    <mergeCell ref="SEK39:SEL39"/>
    <mergeCell ref="SEM39:SEN39"/>
    <mergeCell ref="SEO39:SEP39"/>
    <mergeCell ref="SEQ39:SER39"/>
    <mergeCell ref="SES39:SET39"/>
    <mergeCell ref="SEU39:SEV39"/>
    <mergeCell ref="SDY39:SDZ39"/>
    <mergeCell ref="SEA39:SEB39"/>
    <mergeCell ref="SEC39:SED39"/>
    <mergeCell ref="SEE39:SEF39"/>
    <mergeCell ref="SEG39:SEH39"/>
    <mergeCell ref="SEI39:SEJ39"/>
    <mergeCell ref="SDM39:SDN39"/>
    <mergeCell ref="SDO39:SDP39"/>
    <mergeCell ref="SDQ39:SDR39"/>
    <mergeCell ref="SDS39:SDT39"/>
    <mergeCell ref="SDU39:SDV39"/>
    <mergeCell ref="SDW39:SDX39"/>
    <mergeCell ref="SDA39:SDB39"/>
    <mergeCell ref="SDC39:SDD39"/>
    <mergeCell ref="SDE39:SDF39"/>
    <mergeCell ref="SDG39:SDH39"/>
    <mergeCell ref="SDI39:SDJ39"/>
    <mergeCell ref="SDK39:SDL39"/>
    <mergeCell ref="SCO39:SCP39"/>
    <mergeCell ref="SCQ39:SCR39"/>
    <mergeCell ref="SCS39:SCT39"/>
    <mergeCell ref="SCU39:SCV39"/>
    <mergeCell ref="SCW39:SCX39"/>
    <mergeCell ref="SCY39:SCZ39"/>
    <mergeCell ref="SCC39:SCD39"/>
    <mergeCell ref="SCE39:SCF39"/>
    <mergeCell ref="SCG39:SCH39"/>
    <mergeCell ref="SCI39:SCJ39"/>
    <mergeCell ref="SCK39:SCL39"/>
    <mergeCell ref="SCM39:SCN39"/>
    <mergeCell ref="SHE39:SHF39"/>
    <mergeCell ref="SHG39:SHH39"/>
    <mergeCell ref="SHI39:SHJ39"/>
    <mergeCell ref="SHK39:SHL39"/>
    <mergeCell ref="SHM39:SHN39"/>
    <mergeCell ref="SHO39:SHP39"/>
    <mergeCell ref="SGS39:SGT39"/>
    <mergeCell ref="SGU39:SGV39"/>
    <mergeCell ref="SGW39:SGX39"/>
    <mergeCell ref="SGY39:SGZ39"/>
    <mergeCell ref="SHA39:SHB39"/>
    <mergeCell ref="SHC39:SHD39"/>
    <mergeCell ref="SGG39:SGH39"/>
    <mergeCell ref="SGI39:SGJ39"/>
    <mergeCell ref="SGK39:SGL39"/>
    <mergeCell ref="SGM39:SGN39"/>
    <mergeCell ref="SGO39:SGP39"/>
    <mergeCell ref="SGQ39:SGR39"/>
    <mergeCell ref="SFU39:SFV39"/>
    <mergeCell ref="SFW39:SFX39"/>
    <mergeCell ref="SFY39:SFZ39"/>
    <mergeCell ref="SGA39:SGB39"/>
    <mergeCell ref="SGC39:SGD39"/>
    <mergeCell ref="SGE39:SGF39"/>
    <mergeCell ref="SFI39:SFJ39"/>
    <mergeCell ref="SFK39:SFL39"/>
    <mergeCell ref="SFM39:SFN39"/>
    <mergeCell ref="SFO39:SFP39"/>
    <mergeCell ref="SFQ39:SFR39"/>
    <mergeCell ref="SFS39:SFT39"/>
    <mergeCell ref="SEW39:SEX39"/>
    <mergeCell ref="SEY39:SEZ39"/>
    <mergeCell ref="SFA39:SFB39"/>
    <mergeCell ref="SFC39:SFD39"/>
    <mergeCell ref="SFE39:SFF39"/>
    <mergeCell ref="SFG39:SFH39"/>
    <mergeCell ref="SJY39:SJZ39"/>
    <mergeCell ref="SKA39:SKB39"/>
    <mergeCell ref="SKC39:SKD39"/>
    <mergeCell ref="SKE39:SKF39"/>
    <mergeCell ref="SKG39:SKH39"/>
    <mergeCell ref="SKI39:SKJ39"/>
    <mergeCell ref="SJM39:SJN39"/>
    <mergeCell ref="SJO39:SJP39"/>
    <mergeCell ref="SJQ39:SJR39"/>
    <mergeCell ref="SJS39:SJT39"/>
    <mergeCell ref="SJU39:SJV39"/>
    <mergeCell ref="SJW39:SJX39"/>
    <mergeCell ref="SJA39:SJB39"/>
    <mergeCell ref="SJC39:SJD39"/>
    <mergeCell ref="SJE39:SJF39"/>
    <mergeCell ref="SJG39:SJH39"/>
    <mergeCell ref="SJI39:SJJ39"/>
    <mergeCell ref="SJK39:SJL39"/>
    <mergeCell ref="SIO39:SIP39"/>
    <mergeCell ref="SIQ39:SIR39"/>
    <mergeCell ref="SIS39:SIT39"/>
    <mergeCell ref="SIU39:SIV39"/>
    <mergeCell ref="SIW39:SIX39"/>
    <mergeCell ref="SIY39:SIZ39"/>
    <mergeCell ref="SIC39:SID39"/>
    <mergeCell ref="SIE39:SIF39"/>
    <mergeCell ref="SIG39:SIH39"/>
    <mergeCell ref="SII39:SIJ39"/>
    <mergeCell ref="SIK39:SIL39"/>
    <mergeCell ref="SIM39:SIN39"/>
    <mergeCell ref="SHQ39:SHR39"/>
    <mergeCell ref="SHS39:SHT39"/>
    <mergeCell ref="SHU39:SHV39"/>
    <mergeCell ref="SHW39:SHX39"/>
    <mergeCell ref="SHY39:SHZ39"/>
    <mergeCell ref="SIA39:SIB39"/>
    <mergeCell ref="SMS39:SMT39"/>
    <mergeCell ref="SMU39:SMV39"/>
    <mergeCell ref="SMW39:SMX39"/>
    <mergeCell ref="SMY39:SMZ39"/>
    <mergeCell ref="SNA39:SNB39"/>
    <mergeCell ref="SNC39:SND39"/>
    <mergeCell ref="SMG39:SMH39"/>
    <mergeCell ref="SMI39:SMJ39"/>
    <mergeCell ref="SMK39:SML39"/>
    <mergeCell ref="SMM39:SMN39"/>
    <mergeCell ref="SMO39:SMP39"/>
    <mergeCell ref="SMQ39:SMR39"/>
    <mergeCell ref="SLU39:SLV39"/>
    <mergeCell ref="SLW39:SLX39"/>
    <mergeCell ref="SLY39:SLZ39"/>
    <mergeCell ref="SMA39:SMB39"/>
    <mergeCell ref="SMC39:SMD39"/>
    <mergeCell ref="SME39:SMF39"/>
    <mergeCell ref="SLI39:SLJ39"/>
    <mergeCell ref="SLK39:SLL39"/>
    <mergeCell ref="SLM39:SLN39"/>
    <mergeCell ref="SLO39:SLP39"/>
    <mergeCell ref="SLQ39:SLR39"/>
    <mergeCell ref="SLS39:SLT39"/>
    <mergeCell ref="SKW39:SKX39"/>
    <mergeCell ref="SKY39:SKZ39"/>
    <mergeCell ref="SLA39:SLB39"/>
    <mergeCell ref="SLC39:SLD39"/>
    <mergeCell ref="SLE39:SLF39"/>
    <mergeCell ref="SLG39:SLH39"/>
    <mergeCell ref="SKK39:SKL39"/>
    <mergeCell ref="SKM39:SKN39"/>
    <mergeCell ref="SKO39:SKP39"/>
    <mergeCell ref="SKQ39:SKR39"/>
    <mergeCell ref="SKS39:SKT39"/>
    <mergeCell ref="SKU39:SKV39"/>
    <mergeCell ref="SPM39:SPN39"/>
    <mergeCell ref="SPO39:SPP39"/>
    <mergeCell ref="SPQ39:SPR39"/>
    <mergeCell ref="SPS39:SPT39"/>
    <mergeCell ref="SPU39:SPV39"/>
    <mergeCell ref="SPW39:SPX39"/>
    <mergeCell ref="SPA39:SPB39"/>
    <mergeCell ref="SPC39:SPD39"/>
    <mergeCell ref="SPE39:SPF39"/>
    <mergeCell ref="SPG39:SPH39"/>
    <mergeCell ref="SPI39:SPJ39"/>
    <mergeCell ref="SPK39:SPL39"/>
    <mergeCell ref="SOO39:SOP39"/>
    <mergeCell ref="SOQ39:SOR39"/>
    <mergeCell ref="SOS39:SOT39"/>
    <mergeCell ref="SOU39:SOV39"/>
    <mergeCell ref="SOW39:SOX39"/>
    <mergeCell ref="SOY39:SOZ39"/>
    <mergeCell ref="SOC39:SOD39"/>
    <mergeCell ref="SOE39:SOF39"/>
    <mergeCell ref="SOG39:SOH39"/>
    <mergeCell ref="SOI39:SOJ39"/>
    <mergeCell ref="SOK39:SOL39"/>
    <mergeCell ref="SOM39:SON39"/>
    <mergeCell ref="SNQ39:SNR39"/>
    <mergeCell ref="SNS39:SNT39"/>
    <mergeCell ref="SNU39:SNV39"/>
    <mergeCell ref="SNW39:SNX39"/>
    <mergeCell ref="SNY39:SNZ39"/>
    <mergeCell ref="SOA39:SOB39"/>
    <mergeCell ref="SNE39:SNF39"/>
    <mergeCell ref="SNG39:SNH39"/>
    <mergeCell ref="SNI39:SNJ39"/>
    <mergeCell ref="SNK39:SNL39"/>
    <mergeCell ref="SNM39:SNN39"/>
    <mergeCell ref="SNO39:SNP39"/>
    <mergeCell ref="SSG39:SSH39"/>
    <mergeCell ref="SSI39:SSJ39"/>
    <mergeCell ref="SSK39:SSL39"/>
    <mergeCell ref="SSM39:SSN39"/>
    <mergeCell ref="SSO39:SSP39"/>
    <mergeCell ref="SSQ39:SSR39"/>
    <mergeCell ref="SRU39:SRV39"/>
    <mergeCell ref="SRW39:SRX39"/>
    <mergeCell ref="SRY39:SRZ39"/>
    <mergeCell ref="SSA39:SSB39"/>
    <mergeCell ref="SSC39:SSD39"/>
    <mergeCell ref="SSE39:SSF39"/>
    <mergeCell ref="SRI39:SRJ39"/>
    <mergeCell ref="SRK39:SRL39"/>
    <mergeCell ref="SRM39:SRN39"/>
    <mergeCell ref="SRO39:SRP39"/>
    <mergeCell ref="SRQ39:SRR39"/>
    <mergeCell ref="SRS39:SRT39"/>
    <mergeCell ref="SQW39:SQX39"/>
    <mergeCell ref="SQY39:SQZ39"/>
    <mergeCell ref="SRA39:SRB39"/>
    <mergeCell ref="SRC39:SRD39"/>
    <mergeCell ref="SRE39:SRF39"/>
    <mergeCell ref="SRG39:SRH39"/>
    <mergeCell ref="SQK39:SQL39"/>
    <mergeCell ref="SQM39:SQN39"/>
    <mergeCell ref="SQO39:SQP39"/>
    <mergeCell ref="SQQ39:SQR39"/>
    <mergeCell ref="SQS39:SQT39"/>
    <mergeCell ref="SQU39:SQV39"/>
    <mergeCell ref="SPY39:SPZ39"/>
    <mergeCell ref="SQA39:SQB39"/>
    <mergeCell ref="SQC39:SQD39"/>
    <mergeCell ref="SQE39:SQF39"/>
    <mergeCell ref="SQG39:SQH39"/>
    <mergeCell ref="SQI39:SQJ39"/>
    <mergeCell ref="SVA39:SVB39"/>
    <mergeCell ref="SVC39:SVD39"/>
    <mergeCell ref="SVE39:SVF39"/>
    <mergeCell ref="SVG39:SVH39"/>
    <mergeCell ref="SVI39:SVJ39"/>
    <mergeCell ref="SVK39:SVL39"/>
    <mergeCell ref="SUO39:SUP39"/>
    <mergeCell ref="SUQ39:SUR39"/>
    <mergeCell ref="SUS39:SUT39"/>
    <mergeCell ref="SUU39:SUV39"/>
    <mergeCell ref="SUW39:SUX39"/>
    <mergeCell ref="SUY39:SUZ39"/>
    <mergeCell ref="SUC39:SUD39"/>
    <mergeCell ref="SUE39:SUF39"/>
    <mergeCell ref="SUG39:SUH39"/>
    <mergeCell ref="SUI39:SUJ39"/>
    <mergeCell ref="SUK39:SUL39"/>
    <mergeCell ref="SUM39:SUN39"/>
    <mergeCell ref="STQ39:STR39"/>
    <mergeCell ref="STS39:STT39"/>
    <mergeCell ref="STU39:STV39"/>
    <mergeCell ref="STW39:STX39"/>
    <mergeCell ref="STY39:STZ39"/>
    <mergeCell ref="SUA39:SUB39"/>
    <mergeCell ref="STE39:STF39"/>
    <mergeCell ref="STG39:STH39"/>
    <mergeCell ref="STI39:STJ39"/>
    <mergeCell ref="STK39:STL39"/>
    <mergeCell ref="STM39:STN39"/>
    <mergeCell ref="STO39:STP39"/>
    <mergeCell ref="SSS39:SST39"/>
    <mergeCell ref="SSU39:SSV39"/>
    <mergeCell ref="SSW39:SSX39"/>
    <mergeCell ref="SSY39:SSZ39"/>
    <mergeCell ref="STA39:STB39"/>
    <mergeCell ref="STC39:STD39"/>
    <mergeCell ref="SXU39:SXV39"/>
    <mergeCell ref="SXW39:SXX39"/>
    <mergeCell ref="SXY39:SXZ39"/>
    <mergeCell ref="SYA39:SYB39"/>
    <mergeCell ref="SYC39:SYD39"/>
    <mergeCell ref="SYE39:SYF39"/>
    <mergeCell ref="SXI39:SXJ39"/>
    <mergeCell ref="SXK39:SXL39"/>
    <mergeCell ref="SXM39:SXN39"/>
    <mergeCell ref="SXO39:SXP39"/>
    <mergeCell ref="SXQ39:SXR39"/>
    <mergeCell ref="SXS39:SXT39"/>
    <mergeCell ref="SWW39:SWX39"/>
    <mergeCell ref="SWY39:SWZ39"/>
    <mergeCell ref="SXA39:SXB39"/>
    <mergeCell ref="SXC39:SXD39"/>
    <mergeCell ref="SXE39:SXF39"/>
    <mergeCell ref="SXG39:SXH39"/>
    <mergeCell ref="SWK39:SWL39"/>
    <mergeCell ref="SWM39:SWN39"/>
    <mergeCell ref="SWO39:SWP39"/>
    <mergeCell ref="SWQ39:SWR39"/>
    <mergeCell ref="SWS39:SWT39"/>
    <mergeCell ref="SWU39:SWV39"/>
    <mergeCell ref="SVY39:SVZ39"/>
    <mergeCell ref="SWA39:SWB39"/>
    <mergeCell ref="SWC39:SWD39"/>
    <mergeCell ref="SWE39:SWF39"/>
    <mergeCell ref="SWG39:SWH39"/>
    <mergeCell ref="SWI39:SWJ39"/>
    <mergeCell ref="SVM39:SVN39"/>
    <mergeCell ref="SVO39:SVP39"/>
    <mergeCell ref="SVQ39:SVR39"/>
    <mergeCell ref="SVS39:SVT39"/>
    <mergeCell ref="SVU39:SVV39"/>
    <mergeCell ref="SVW39:SVX39"/>
    <mergeCell ref="TAO39:TAP39"/>
    <mergeCell ref="TAQ39:TAR39"/>
    <mergeCell ref="TAS39:TAT39"/>
    <mergeCell ref="TAU39:TAV39"/>
    <mergeCell ref="TAW39:TAX39"/>
    <mergeCell ref="TAY39:TAZ39"/>
    <mergeCell ref="TAC39:TAD39"/>
    <mergeCell ref="TAE39:TAF39"/>
    <mergeCell ref="TAG39:TAH39"/>
    <mergeCell ref="TAI39:TAJ39"/>
    <mergeCell ref="TAK39:TAL39"/>
    <mergeCell ref="TAM39:TAN39"/>
    <mergeCell ref="SZQ39:SZR39"/>
    <mergeCell ref="SZS39:SZT39"/>
    <mergeCell ref="SZU39:SZV39"/>
    <mergeCell ref="SZW39:SZX39"/>
    <mergeCell ref="SZY39:SZZ39"/>
    <mergeCell ref="TAA39:TAB39"/>
    <mergeCell ref="SZE39:SZF39"/>
    <mergeCell ref="SZG39:SZH39"/>
    <mergeCell ref="SZI39:SZJ39"/>
    <mergeCell ref="SZK39:SZL39"/>
    <mergeCell ref="SZM39:SZN39"/>
    <mergeCell ref="SZO39:SZP39"/>
    <mergeCell ref="SYS39:SYT39"/>
    <mergeCell ref="SYU39:SYV39"/>
    <mergeCell ref="SYW39:SYX39"/>
    <mergeCell ref="SYY39:SYZ39"/>
    <mergeCell ref="SZA39:SZB39"/>
    <mergeCell ref="SZC39:SZD39"/>
    <mergeCell ref="SYG39:SYH39"/>
    <mergeCell ref="SYI39:SYJ39"/>
    <mergeCell ref="SYK39:SYL39"/>
    <mergeCell ref="SYM39:SYN39"/>
    <mergeCell ref="SYO39:SYP39"/>
    <mergeCell ref="SYQ39:SYR39"/>
    <mergeCell ref="TDI39:TDJ39"/>
    <mergeCell ref="TDK39:TDL39"/>
    <mergeCell ref="TDM39:TDN39"/>
    <mergeCell ref="TDO39:TDP39"/>
    <mergeCell ref="TDQ39:TDR39"/>
    <mergeCell ref="TDS39:TDT39"/>
    <mergeCell ref="TCW39:TCX39"/>
    <mergeCell ref="TCY39:TCZ39"/>
    <mergeCell ref="TDA39:TDB39"/>
    <mergeCell ref="TDC39:TDD39"/>
    <mergeCell ref="TDE39:TDF39"/>
    <mergeCell ref="TDG39:TDH39"/>
    <mergeCell ref="TCK39:TCL39"/>
    <mergeCell ref="TCM39:TCN39"/>
    <mergeCell ref="TCO39:TCP39"/>
    <mergeCell ref="TCQ39:TCR39"/>
    <mergeCell ref="TCS39:TCT39"/>
    <mergeCell ref="TCU39:TCV39"/>
    <mergeCell ref="TBY39:TBZ39"/>
    <mergeCell ref="TCA39:TCB39"/>
    <mergeCell ref="TCC39:TCD39"/>
    <mergeCell ref="TCE39:TCF39"/>
    <mergeCell ref="TCG39:TCH39"/>
    <mergeCell ref="TCI39:TCJ39"/>
    <mergeCell ref="TBM39:TBN39"/>
    <mergeCell ref="TBO39:TBP39"/>
    <mergeCell ref="TBQ39:TBR39"/>
    <mergeCell ref="TBS39:TBT39"/>
    <mergeCell ref="TBU39:TBV39"/>
    <mergeCell ref="TBW39:TBX39"/>
    <mergeCell ref="TBA39:TBB39"/>
    <mergeCell ref="TBC39:TBD39"/>
    <mergeCell ref="TBE39:TBF39"/>
    <mergeCell ref="TBG39:TBH39"/>
    <mergeCell ref="TBI39:TBJ39"/>
    <mergeCell ref="TBK39:TBL39"/>
    <mergeCell ref="TGC39:TGD39"/>
    <mergeCell ref="TGE39:TGF39"/>
    <mergeCell ref="TGG39:TGH39"/>
    <mergeCell ref="TGI39:TGJ39"/>
    <mergeCell ref="TGK39:TGL39"/>
    <mergeCell ref="TGM39:TGN39"/>
    <mergeCell ref="TFQ39:TFR39"/>
    <mergeCell ref="TFS39:TFT39"/>
    <mergeCell ref="TFU39:TFV39"/>
    <mergeCell ref="TFW39:TFX39"/>
    <mergeCell ref="TFY39:TFZ39"/>
    <mergeCell ref="TGA39:TGB39"/>
    <mergeCell ref="TFE39:TFF39"/>
    <mergeCell ref="TFG39:TFH39"/>
    <mergeCell ref="TFI39:TFJ39"/>
    <mergeCell ref="TFK39:TFL39"/>
    <mergeCell ref="TFM39:TFN39"/>
    <mergeCell ref="TFO39:TFP39"/>
    <mergeCell ref="TES39:TET39"/>
    <mergeCell ref="TEU39:TEV39"/>
    <mergeCell ref="TEW39:TEX39"/>
    <mergeCell ref="TEY39:TEZ39"/>
    <mergeCell ref="TFA39:TFB39"/>
    <mergeCell ref="TFC39:TFD39"/>
    <mergeCell ref="TEG39:TEH39"/>
    <mergeCell ref="TEI39:TEJ39"/>
    <mergeCell ref="TEK39:TEL39"/>
    <mergeCell ref="TEM39:TEN39"/>
    <mergeCell ref="TEO39:TEP39"/>
    <mergeCell ref="TEQ39:TER39"/>
    <mergeCell ref="TDU39:TDV39"/>
    <mergeCell ref="TDW39:TDX39"/>
    <mergeCell ref="TDY39:TDZ39"/>
    <mergeCell ref="TEA39:TEB39"/>
    <mergeCell ref="TEC39:TED39"/>
    <mergeCell ref="TEE39:TEF39"/>
    <mergeCell ref="TIW39:TIX39"/>
    <mergeCell ref="TIY39:TIZ39"/>
    <mergeCell ref="TJA39:TJB39"/>
    <mergeCell ref="TJC39:TJD39"/>
    <mergeCell ref="TJE39:TJF39"/>
    <mergeCell ref="TJG39:TJH39"/>
    <mergeCell ref="TIK39:TIL39"/>
    <mergeCell ref="TIM39:TIN39"/>
    <mergeCell ref="TIO39:TIP39"/>
    <mergeCell ref="TIQ39:TIR39"/>
    <mergeCell ref="TIS39:TIT39"/>
    <mergeCell ref="TIU39:TIV39"/>
    <mergeCell ref="THY39:THZ39"/>
    <mergeCell ref="TIA39:TIB39"/>
    <mergeCell ref="TIC39:TID39"/>
    <mergeCell ref="TIE39:TIF39"/>
    <mergeCell ref="TIG39:TIH39"/>
    <mergeCell ref="TII39:TIJ39"/>
    <mergeCell ref="THM39:THN39"/>
    <mergeCell ref="THO39:THP39"/>
    <mergeCell ref="THQ39:THR39"/>
    <mergeCell ref="THS39:THT39"/>
    <mergeCell ref="THU39:THV39"/>
    <mergeCell ref="THW39:THX39"/>
    <mergeCell ref="THA39:THB39"/>
    <mergeCell ref="THC39:THD39"/>
    <mergeCell ref="THE39:THF39"/>
    <mergeCell ref="THG39:THH39"/>
    <mergeCell ref="THI39:THJ39"/>
    <mergeCell ref="THK39:THL39"/>
    <mergeCell ref="TGO39:TGP39"/>
    <mergeCell ref="TGQ39:TGR39"/>
    <mergeCell ref="TGS39:TGT39"/>
    <mergeCell ref="TGU39:TGV39"/>
    <mergeCell ref="TGW39:TGX39"/>
    <mergeCell ref="TGY39:TGZ39"/>
    <mergeCell ref="TLQ39:TLR39"/>
    <mergeCell ref="TLS39:TLT39"/>
    <mergeCell ref="TLU39:TLV39"/>
    <mergeCell ref="TLW39:TLX39"/>
    <mergeCell ref="TLY39:TLZ39"/>
    <mergeCell ref="TMA39:TMB39"/>
    <mergeCell ref="TLE39:TLF39"/>
    <mergeCell ref="TLG39:TLH39"/>
    <mergeCell ref="TLI39:TLJ39"/>
    <mergeCell ref="TLK39:TLL39"/>
    <mergeCell ref="TLM39:TLN39"/>
    <mergeCell ref="TLO39:TLP39"/>
    <mergeCell ref="TKS39:TKT39"/>
    <mergeCell ref="TKU39:TKV39"/>
    <mergeCell ref="TKW39:TKX39"/>
    <mergeCell ref="TKY39:TKZ39"/>
    <mergeCell ref="TLA39:TLB39"/>
    <mergeCell ref="TLC39:TLD39"/>
    <mergeCell ref="TKG39:TKH39"/>
    <mergeCell ref="TKI39:TKJ39"/>
    <mergeCell ref="TKK39:TKL39"/>
    <mergeCell ref="TKM39:TKN39"/>
    <mergeCell ref="TKO39:TKP39"/>
    <mergeCell ref="TKQ39:TKR39"/>
    <mergeCell ref="TJU39:TJV39"/>
    <mergeCell ref="TJW39:TJX39"/>
    <mergeCell ref="TJY39:TJZ39"/>
    <mergeCell ref="TKA39:TKB39"/>
    <mergeCell ref="TKC39:TKD39"/>
    <mergeCell ref="TKE39:TKF39"/>
    <mergeCell ref="TJI39:TJJ39"/>
    <mergeCell ref="TJK39:TJL39"/>
    <mergeCell ref="TJM39:TJN39"/>
    <mergeCell ref="TJO39:TJP39"/>
    <mergeCell ref="TJQ39:TJR39"/>
    <mergeCell ref="TJS39:TJT39"/>
    <mergeCell ref="TOK39:TOL39"/>
    <mergeCell ref="TOM39:TON39"/>
    <mergeCell ref="TOO39:TOP39"/>
    <mergeCell ref="TOQ39:TOR39"/>
    <mergeCell ref="TOS39:TOT39"/>
    <mergeCell ref="TOU39:TOV39"/>
    <mergeCell ref="TNY39:TNZ39"/>
    <mergeCell ref="TOA39:TOB39"/>
    <mergeCell ref="TOC39:TOD39"/>
    <mergeCell ref="TOE39:TOF39"/>
    <mergeCell ref="TOG39:TOH39"/>
    <mergeCell ref="TOI39:TOJ39"/>
    <mergeCell ref="TNM39:TNN39"/>
    <mergeCell ref="TNO39:TNP39"/>
    <mergeCell ref="TNQ39:TNR39"/>
    <mergeCell ref="TNS39:TNT39"/>
    <mergeCell ref="TNU39:TNV39"/>
    <mergeCell ref="TNW39:TNX39"/>
    <mergeCell ref="TNA39:TNB39"/>
    <mergeCell ref="TNC39:TND39"/>
    <mergeCell ref="TNE39:TNF39"/>
    <mergeCell ref="TNG39:TNH39"/>
    <mergeCell ref="TNI39:TNJ39"/>
    <mergeCell ref="TNK39:TNL39"/>
    <mergeCell ref="TMO39:TMP39"/>
    <mergeCell ref="TMQ39:TMR39"/>
    <mergeCell ref="TMS39:TMT39"/>
    <mergeCell ref="TMU39:TMV39"/>
    <mergeCell ref="TMW39:TMX39"/>
    <mergeCell ref="TMY39:TMZ39"/>
    <mergeCell ref="TMC39:TMD39"/>
    <mergeCell ref="TME39:TMF39"/>
    <mergeCell ref="TMG39:TMH39"/>
    <mergeCell ref="TMI39:TMJ39"/>
    <mergeCell ref="TMK39:TML39"/>
    <mergeCell ref="TMM39:TMN39"/>
    <mergeCell ref="TRE39:TRF39"/>
    <mergeCell ref="TRG39:TRH39"/>
    <mergeCell ref="TRI39:TRJ39"/>
    <mergeCell ref="TRK39:TRL39"/>
    <mergeCell ref="TRM39:TRN39"/>
    <mergeCell ref="TRO39:TRP39"/>
    <mergeCell ref="TQS39:TQT39"/>
    <mergeCell ref="TQU39:TQV39"/>
    <mergeCell ref="TQW39:TQX39"/>
    <mergeCell ref="TQY39:TQZ39"/>
    <mergeCell ref="TRA39:TRB39"/>
    <mergeCell ref="TRC39:TRD39"/>
    <mergeCell ref="TQG39:TQH39"/>
    <mergeCell ref="TQI39:TQJ39"/>
    <mergeCell ref="TQK39:TQL39"/>
    <mergeCell ref="TQM39:TQN39"/>
    <mergeCell ref="TQO39:TQP39"/>
    <mergeCell ref="TQQ39:TQR39"/>
    <mergeCell ref="TPU39:TPV39"/>
    <mergeCell ref="TPW39:TPX39"/>
    <mergeCell ref="TPY39:TPZ39"/>
    <mergeCell ref="TQA39:TQB39"/>
    <mergeCell ref="TQC39:TQD39"/>
    <mergeCell ref="TQE39:TQF39"/>
    <mergeCell ref="TPI39:TPJ39"/>
    <mergeCell ref="TPK39:TPL39"/>
    <mergeCell ref="TPM39:TPN39"/>
    <mergeCell ref="TPO39:TPP39"/>
    <mergeCell ref="TPQ39:TPR39"/>
    <mergeCell ref="TPS39:TPT39"/>
    <mergeCell ref="TOW39:TOX39"/>
    <mergeCell ref="TOY39:TOZ39"/>
    <mergeCell ref="TPA39:TPB39"/>
    <mergeCell ref="TPC39:TPD39"/>
    <mergeCell ref="TPE39:TPF39"/>
    <mergeCell ref="TPG39:TPH39"/>
    <mergeCell ref="TTY39:TTZ39"/>
    <mergeCell ref="TUA39:TUB39"/>
    <mergeCell ref="TUC39:TUD39"/>
    <mergeCell ref="TUE39:TUF39"/>
    <mergeCell ref="TUG39:TUH39"/>
    <mergeCell ref="TUI39:TUJ39"/>
    <mergeCell ref="TTM39:TTN39"/>
    <mergeCell ref="TTO39:TTP39"/>
    <mergeCell ref="TTQ39:TTR39"/>
    <mergeCell ref="TTS39:TTT39"/>
    <mergeCell ref="TTU39:TTV39"/>
    <mergeCell ref="TTW39:TTX39"/>
    <mergeCell ref="TTA39:TTB39"/>
    <mergeCell ref="TTC39:TTD39"/>
    <mergeCell ref="TTE39:TTF39"/>
    <mergeCell ref="TTG39:TTH39"/>
    <mergeCell ref="TTI39:TTJ39"/>
    <mergeCell ref="TTK39:TTL39"/>
    <mergeCell ref="TSO39:TSP39"/>
    <mergeCell ref="TSQ39:TSR39"/>
    <mergeCell ref="TSS39:TST39"/>
    <mergeCell ref="TSU39:TSV39"/>
    <mergeCell ref="TSW39:TSX39"/>
    <mergeCell ref="TSY39:TSZ39"/>
    <mergeCell ref="TSC39:TSD39"/>
    <mergeCell ref="TSE39:TSF39"/>
    <mergeCell ref="TSG39:TSH39"/>
    <mergeCell ref="TSI39:TSJ39"/>
    <mergeCell ref="TSK39:TSL39"/>
    <mergeCell ref="TSM39:TSN39"/>
    <mergeCell ref="TRQ39:TRR39"/>
    <mergeCell ref="TRS39:TRT39"/>
    <mergeCell ref="TRU39:TRV39"/>
    <mergeCell ref="TRW39:TRX39"/>
    <mergeCell ref="TRY39:TRZ39"/>
    <mergeCell ref="TSA39:TSB39"/>
    <mergeCell ref="TWS39:TWT39"/>
    <mergeCell ref="TWU39:TWV39"/>
    <mergeCell ref="TWW39:TWX39"/>
    <mergeCell ref="TWY39:TWZ39"/>
    <mergeCell ref="TXA39:TXB39"/>
    <mergeCell ref="TXC39:TXD39"/>
    <mergeCell ref="TWG39:TWH39"/>
    <mergeCell ref="TWI39:TWJ39"/>
    <mergeCell ref="TWK39:TWL39"/>
    <mergeCell ref="TWM39:TWN39"/>
    <mergeCell ref="TWO39:TWP39"/>
    <mergeCell ref="TWQ39:TWR39"/>
    <mergeCell ref="TVU39:TVV39"/>
    <mergeCell ref="TVW39:TVX39"/>
    <mergeCell ref="TVY39:TVZ39"/>
    <mergeCell ref="TWA39:TWB39"/>
    <mergeCell ref="TWC39:TWD39"/>
    <mergeCell ref="TWE39:TWF39"/>
    <mergeCell ref="TVI39:TVJ39"/>
    <mergeCell ref="TVK39:TVL39"/>
    <mergeCell ref="TVM39:TVN39"/>
    <mergeCell ref="TVO39:TVP39"/>
    <mergeCell ref="TVQ39:TVR39"/>
    <mergeCell ref="TVS39:TVT39"/>
    <mergeCell ref="TUW39:TUX39"/>
    <mergeCell ref="TUY39:TUZ39"/>
    <mergeCell ref="TVA39:TVB39"/>
    <mergeCell ref="TVC39:TVD39"/>
    <mergeCell ref="TVE39:TVF39"/>
    <mergeCell ref="TVG39:TVH39"/>
    <mergeCell ref="TUK39:TUL39"/>
    <mergeCell ref="TUM39:TUN39"/>
    <mergeCell ref="TUO39:TUP39"/>
    <mergeCell ref="TUQ39:TUR39"/>
    <mergeCell ref="TUS39:TUT39"/>
    <mergeCell ref="TUU39:TUV39"/>
    <mergeCell ref="TZM39:TZN39"/>
    <mergeCell ref="TZO39:TZP39"/>
    <mergeCell ref="TZQ39:TZR39"/>
    <mergeCell ref="TZS39:TZT39"/>
    <mergeCell ref="TZU39:TZV39"/>
    <mergeCell ref="TZW39:TZX39"/>
    <mergeCell ref="TZA39:TZB39"/>
    <mergeCell ref="TZC39:TZD39"/>
    <mergeCell ref="TZE39:TZF39"/>
    <mergeCell ref="TZG39:TZH39"/>
    <mergeCell ref="TZI39:TZJ39"/>
    <mergeCell ref="TZK39:TZL39"/>
    <mergeCell ref="TYO39:TYP39"/>
    <mergeCell ref="TYQ39:TYR39"/>
    <mergeCell ref="TYS39:TYT39"/>
    <mergeCell ref="TYU39:TYV39"/>
    <mergeCell ref="TYW39:TYX39"/>
    <mergeCell ref="TYY39:TYZ39"/>
    <mergeCell ref="TYC39:TYD39"/>
    <mergeCell ref="TYE39:TYF39"/>
    <mergeCell ref="TYG39:TYH39"/>
    <mergeCell ref="TYI39:TYJ39"/>
    <mergeCell ref="TYK39:TYL39"/>
    <mergeCell ref="TYM39:TYN39"/>
    <mergeCell ref="TXQ39:TXR39"/>
    <mergeCell ref="TXS39:TXT39"/>
    <mergeCell ref="TXU39:TXV39"/>
    <mergeCell ref="TXW39:TXX39"/>
    <mergeCell ref="TXY39:TXZ39"/>
    <mergeCell ref="TYA39:TYB39"/>
    <mergeCell ref="TXE39:TXF39"/>
    <mergeCell ref="TXG39:TXH39"/>
    <mergeCell ref="TXI39:TXJ39"/>
    <mergeCell ref="TXK39:TXL39"/>
    <mergeCell ref="TXM39:TXN39"/>
    <mergeCell ref="TXO39:TXP39"/>
    <mergeCell ref="UCG39:UCH39"/>
    <mergeCell ref="UCI39:UCJ39"/>
    <mergeCell ref="UCK39:UCL39"/>
    <mergeCell ref="UCM39:UCN39"/>
    <mergeCell ref="UCO39:UCP39"/>
    <mergeCell ref="UCQ39:UCR39"/>
    <mergeCell ref="UBU39:UBV39"/>
    <mergeCell ref="UBW39:UBX39"/>
    <mergeCell ref="UBY39:UBZ39"/>
    <mergeCell ref="UCA39:UCB39"/>
    <mergeCell ref="UCC39:UCD39"/>
    <mergeCell ref="UCE39:UCF39"/>
    <mergeCell ref="UBI39:UBJ39"/>
    <mergeCell ref="UBK39:UBL39"/>
    <mergeCell ref="UBM39:UBN39"/>
    <mergeCell ref="UBO39:UBP39"/>
    <mergeCell ref="UBQ39:UBR39"/>
    <mergeCell ref="UBS39:UBT39"/>
    <mergeCell ref="UAW39:UAX39"/>
    <mergeCell ref="UAY39:UAZ39"/>
    <mergeCell ref="UBA39:UBB39"/>
    <mergeCell ref="UBC39:UBD39"/>
    <mergeCell ref="UBE39:UBF39"/>
    <mergeCell ref="UBG39:UBH39"/>
    <mergeCell ref="UAK39:UAL39"/>
    <mergeCell ref="UAM39:UAN39"/>
    <mergeCell ref="UAO39:UAP39"/>
    <mergeCell ref="UAQ39:UAR39"/>
    <mergeCell ref="UAS39:UAT39"/>
    <mergeCell ref="UAU39:UAV39"/>
    <mergeCell ref="TZY39:TZZ39"/>
    <mergeCell ref="UAA39:UAB39"/>
    <mergeCell ref="UAC39:UAD39"/>
    <mergeCell ref="UAE39:UAF39"/>
    <mergeCell ref="UAG39:UAH39"/>
    <mergeCell ref="UAI39:UAJ39"/>
    <mergeCell ref="UFA39:UFB39"/>
    <mergeCell ref="UFC39:UFD39"/>
    <mergeCell ref="UFE39:UFF39"/>
    <mergeCell ref="UFG39:UFH39"/>
    <mergeCell ref="UFI39:UFJ39"/>
    <mergeCell ref="UFK39:UFL39"/>
    <mergeCell ref="UEO39:UEP39"/>
    <mergeCell ref="UEQ39:UER39"/>
    <mergeCell ref="UES39:UET39"/>
    <mergeCell ref="UEU39:UEV39"/>
    <mergeCell ref="UEW39:UEX39"/>
    <mergeCell ref="UEY39:UEZ39"/>
    <mergeCell ref="UEC39:UED39"/>
    <mergeCell ref="UEE39:UEF39"/>
    <mergeCell ref="UEG39:UEH39"/>
    <mergeCell ref="UEI39:UEJ39"/>
    <mergeCell ref="UEK39:UEL39"/>
    <mergeCell ref="UEM39:UEN39"/>
    <mergeCell ref="UDQ39:UDR39"/>
    <mergeCell ref="UDS39:UDT39"/>
    <mergeCell ref="UDU39:UDV39"/>
    <mergeCell ref="UDW39:UDX39"/>
    <mergeCell ref="UDY39:UDZ39"/>
    <mergeCell ref="UEA39:UEB39"/>
    <mergeCell ref="UDE39:UDF39"/>
    <mergeCell ref="UDG39:UDH39"/>
    <mergeCell ref="UDI39:UDJ39"/>
    <mergeCell ref="UDK39:UDL39"/>
    <mergeCell ref="UDM39:UDN39"/>
    <mergeCell ref="UDO39:UDP39"/>
    <mergeCell ref="UCS39:UCT39"/>
    <mergeCell ref="UCU39:UCV39"/>
    <mergeCell ref="UCW39:UCX39"/>
    <mergeCell ref="UCY39:UCZ39"/>
    <mergeCell ref="UDA39:UDB39"/>
    <mergeCell ref="UDC39:UDD39"/>
    <mergeCell ref="UHU39:UHV39"/>
    <mergeCell ref="UHW39:UHX39"/>
    <mergeCell ref="UHY39:UHZ39"/>
    <mergeCell ref="UIA39:UIB39"/>
    <mergeCell ref="UIC39:UID39"/>
    <mergeCell ref="UIE39:UIF39"/>
    <mergeCell ref="UHI39:UHJ39"/>
    <mergeCell ref="UHK39:UHL39"/>
    <mergeCell ref="UHM39:UHN39"/>
    <mergeCell ref="UHO39:UHP39"/>
    <mergeCell ref="UHQ39:UHR39"/>
    <mergeCell ref="UHS39:UHT39"/>
    <mergeCell ref="UGW39:UGX39"/>
    <mergeCell ref="UGY39:UGZ39"/>
    <mergeCell ref="UHA39:UHB39"/>
    <mergeCell ref="UHC39:UHD39"/>
    <mergeCell ref="UHE39:UHF39"/>
    <mergeCell ref="UHG39:UHH39"/>
    <mergeCell ref="UGK39:UGL39"/>
    <mergeCell ref="UGM39:UGN39"/>
    <mergeCell ref="UGO39:UGP39"/>
    <mergeCell ref="UGQ39:UGR39"/>
    <mergeCell ref="UGS39:UGT39"/>
    <mergeCell ref="UGU39:UGV39"/>
    <mergeCell ref="UFY39:UFZ39"/>
    <mergeCell ref="UGA39:UGB39"/>
    <mergeCell ref="UGC39:UGD39"/>
    <mergeCell ref="UGE39:UGF39"/>
    <mergeCell ref="UGG39:UGH39"/>
    <mergeCell ref="UGI39:UGJ39"/>
    <mergeCell ref="UFM39:UFN39"/>
    <mergeCell ref="UFO39:UFP39"/>
    <mergeCell ref="UFQ39:UFR39"/>
    <mergeCell ref="UFS39:UFT39"/>
    <mergeCell ref="UFU39:UFV39"/>
    <mergeCell ref="UFW39:UFX39"/>
    <mergeCell ref="UKO39:UKP39"/>
    <mergeCell ref="UKQ39:UKR39"/>
    <mergeCell ref="UKS39:UKT39"/>
    <mergeCell ref="UKU39:UKV39"/>
    <mergeCell ref="UKW39:UKX39"/>
    <mergeCell ref="UKY39:UKZ39"/>
    <mergeCell ref="UKC39:UKD39"/>
    <mergeCell ref="UKE39:UKF39"/>
    <mergeCell ref="UKG39:UKH39"/>
    <mergeCell ref="UKI39:UKJ39"/>
    <mergeCell ref="UKK39:UKL39"/>
    <mergeCell ref="UKM39:UKN39"/>
    <mergeCell ref="UJQ39:UJR39"/>
    <mergeCell ref="UJS39:UJT39"/>
    <mergeCell ref="UJU39:UJV39"/>
    <mergeCell ref="UJW39:UJX39"/>
    <mergeCell ref="UJY39:UJZ39"/>
    <mergeCell ref="UKA39:UKB39"/>
    <mergeCell ref="UJE39:UJF39"/>
    <mergeCell ref="UJG39:UJH39"/>
    <mergeCell ref="UJI39:UJJ39"/>
    <mergeCell ref="UJK39:UJL39"/>
    <mergeCell ref="UJM39:UJN39"/>
    <mergeCell ref="UJO39:UJP39"/>
    <mergeCell ref="UIS39:UIT39"/>
    <mergeCell ref="UIU39:UIV39"/>
    <mergeCell ref="UIW39:UIX39"/>
    <mergeCell ref="UIY39:UIZ39"/>
    <mergeCell ref="UJA39:UJB39"/>
    <mergeCell ref="UJC39:UJD39"/>
    <mergeCell ref="UIG39:UIH39"/>
    <mergeCell ref="UII39:UIJ39"/>
    <mergeCell ref="UIK39:UIL39"/>
    <mergeCell ref="UIM39:UIN39"/>
    <mergeCell ref="UIO39:UIP39"/>
    <mergeCell ref="UIQ39:UIR39"/>
    <mergeCell ref="UNI39:UNJ39"/>
    <mergeCell ref="UNK39:UNL39"/>
    <mergeCell ref="UNM39:UNN39"/>
    <mergeCell ref="UNO39:UNP39"/>
    <mergeCell ref="UNQ39:UNR39"/>
    <mergeCell ref="UNS39:UNT39"/>
    <mergeCell ref="UMW39:UMX39"/>
    <mergeCell ref="UMY39:UMZ39"/>
    <mergeCell ref="UNA39:UNB39"/>
    <mergeCell ref="UNC39:UND39"/>
    <mergeCell ref="UNE39:UNF39"/>
    <mergeCell ref="UNG39:UNH39"/>
    <mergeCell ref="UMK39:UML39"/>
    <mergeCell ref="UMM39:UMN39"/>
    <mergeCell ref="UMO39:UMP39"/>
    <mergeCell ref="UMQ39:UMR39"/>
    <mergeCell ref="UMS39:UMT39"/>
    <mergeCell ref="UMU39:UMV39"/>
    <mergeCell ref="ULY39:ULZ39"/>
    <mergeCell ref="UMA39:UMB39"/>
    <mergeCell ref="UMC39:UMD39"/>
    <mergeCell ref="UME39:UMF39"/>
    <mergeCell ref="UMG39:UMH39"/>
    <mergeCell ref="UMI39:UMJ39"/>
    <mergeCell ref="ULM39:ULN39"/>
    <mergeCell ref="ULO39:ULP39"/>
    <mergeCell ref="ULQ39:ULR39"/>
    <mergeCell ref="ULS39:ULT39"/>
    <mergeCell ref="ULU39:ULV39"/>
    <mergeCell ref="ULW39:ULX39"/>
    <mergeCell ref="ULA39:ULB39"/>
    <mergeCell ref="ULC39:ULD39"/>
    <mergeCell ref="ULE39:ULF39"/>
    <mergeCell ref="ULG39:ULH39"/>
    <mergeCell ref="ULI39:ULJ39"/>
    <mergeCell ref="ULK39:ULL39"/>
    <mergeCell ref="UQC39:UQD39"/>
    <mergeCell ref="UQE39:UQF39"/>
    <mergeCell ref="UQG39:UQH39"/>
    <mergeCell ref="UQI39:UQJ39"/>
    <mergeCell ref="UQK39:UQL39"/>
    <mergeCell ref="UQM39:UQN39"/>
    <mergeCell ref="UPQ39:UPR39"/>
    <mergeCell ref="UPS39:UPT39"/>
    <mergeCell ref="UPU39:UPV39"/>
    <mergeCell ref="UPW39:UPX39"/>
    <mergeCell ref="UPY39:UPZ39"/>
    <mergeCell ref="UQA39:UQB39"/>
    <mergeCell ref="UPE39:UPF39"/>
    <mergeCell ref="UPG39:UPH39"/>
    <mergeCell ref="UPI39:UPJ39"/>
    <mergeCell ref="UPK39:UPL39"/>
    <mergeCell ref="UPM39:UPN39"/>
    <mergeCell ref="UPO39:UPP39"/>
    <mergeCell ref="UOS39:UOT39"/>
    <mergeCell ref="UOU39:UOV39"/>
    <mergeCell ref="UOW39:UOX39"/>
    <mergeCell ref="UOY39:UOZ39"/>
    <mergeCell ref="UPA39:UPB39"/>
    <mergeCell ref="UPC39:UPD39"/>
    <mergeCell ref="UOG39:UOH39"/>
    <mergeCell ref="UOI39:UOJ39"/>
    <mergeCell ref="UOK39:UOL39"/>
    <mergeCell ref="UOM39:UON39"/>
    <mergeCell ref="UOO39:UOP39"/>
    <mergeCell ref="UOQ39:UOR39"/>
    <mergeCell ref="UNU39:UNV39"/>
    <mergeCell ref="UNW39:UNX39"/>
    <mergeCell ref="UNY39:UNZ39"/>
    <mergeCell ref="UOA39:UOB39"/>
    <mergeCell ref="UOC39:UOD39"/>
    <mergeCell ref="UOE39:UOF39"/>
    <mergeCell ref="USW39:USX39"/>
    <mergeCell ref="USY39:USZ39"/>
    <mergeCell ref="UTA39:UTB39"/>
    <mergeCell ref="UTC39:UTD39"/>
    <mergeCell ref="UTE39:UTF39"/>
    <mergeCell ref="UTG39:UTH39"/>
    <mergeCell ref="USK39:USL39"/>
    <mergeCell ref="USM39:USN39"/>
    <mergeCell ref="USO39:USP39"/>
    <mergeCell ref="USQ39:USR39"/>
    <mergeCell ref="USS39:UST39"/>
    <mergeCell ref="USU39:USV39"/>
    <mergeCell ref="URY39:URZ39"/>
    <mergeCell ref="USA39:USB39"/>
    <mergeCell ref="USC39:USD39"/>
    <mergeCell ref="USE39:USF39"/>
    <mergeCell ref="USG39:USH39"/>
    <mergeCell ref="USI39:USJ39"/>
    <mergeCell ref="URM39:URN39"/>
    <mergeCell ref="URO39:URP39"/>
    <mergeCell ref="URQ39:URR39"/>
    <mergeCell ref="URS39:URT39"/>
    <mergeCell ref="URU39:URV39"/>
    <mergeCell ref="URW39:URX39"/>
    <mergeCell ref="URA39:URB39"/>
    <mergeCell ref="URC39:URD39"/>
    <mergeCell ref="URE39:URF39"/>
    <mergeCell ref="URG39:URH39"/>
    <mergeCell ref="URI39:URJ39"/>
    <mergeCell ref="URK39:URL39"/>
    <mergeCell ref="UQO39:UQP39"/>
    <mergeCell ref="UQQ39:UQR39"/>
    <mergeCell ref="UQS39:UQT39"/>
    <mergeCell ref="UQU39:UQV39"/>
    <mergeCell ref="UQW39:UQX39"/>
    <mergeCell ref="UQY39:UQZ39"/>
    <mergeCell ref="UVQ39:UVR39"/>
    <mergeCell ref="UVS39:UVT39"/>
    <mergeCell ref="UVU39:UVV39"/>
    <mergeCell ref="UVW39:UVX39"/>
    <mergeCell ref="UVY39:UVZ39"/>
    <mergeCell ref="UWA39:UWB39"/>
    <mergeCell ref="UVE39:UVF39"/>
    <mergeCell ref="UVG39:UVH39"/>
    <mergeCell ref="UVI39:UVJ39"/>
    <mergeCell ref="UVK39:UVL39"/>
    <mergeCell ref="UVM39:UVN39"/>
    <mergeCell ref="UVO39:UVP39"/>
    <mergeCell ref="UUS39:UUT39"/>
    <mergeCell ref="UUU39:UUV39"/>
    <mergeCell ref="UUW39:UUX39"/>
    <mergeCell ref="UUY39:UUZ39"/>
    <mergeCell ref="UVA39:UVB39"/>
    <mergeCell ref="UVC39:UVD39"/>
    <mergeCell ref="UUG39:UUH39"/>
    <mergeCell ref="UUI39:UUJ39"/>
    <mergeCell ref="UUK39:UUL39"/>
    <mergeCell ref="UUM39:UUN39"/>
    <mergeCell ref="UUO39:UUP39"/>
    <mergeCell ref="UUQ39:UUR39"/>
    <mergeCell ref="UTU39:UTV39"/>
    <mergeCell ref="UTW39:UTX39"/>
    <mergeCell ref="UTY39:UTZ39"/>
    <mergeCell ref="UUA39:UUB39"/>
    <mergeCell ref="UUC39:UUD39"/>
    <mergeCell ref="UUE39:UUF39"/>
    <mergeCell ref="UTI39:UTJ39"/>
    <mergeCell ref="UTK39:UTL39"/>
    <mergeCell ref="UTM39:UTN39"/>
    <mergeCell ref="UTO39:UTP39"/>
    <mergeCell ref="UTQ39:UTR39"/>
    <mergeCell ref="UTS39:UTT39"/>
    <mergeCell ref="UYK39:UYL39"/>
    <mergeCell ref="UYM39:UYN39"/>
    <mergeCell ref="UYO39:UYP39"/>
    <mergeCell ref="UYQ39:UYR39"/>
    <mergeCell ref="UYS39:UYT39"/>
    <mergeCell ref="UYU39:UYV39"/>
    <mergeCell ref="UXY39:UXZ39"/>
    <mergeCell ref="UYA39:UYB39"/>
    <mergeCell ref="UYC39:UYD39"/>
    <mergeCell ref="UYE39:UYF39"/>
    <mergeCell ref="UYG39:UYH39"/>
    <mergeCell ref="UYI39:UYJ39"/>
    <mergeCell ref="UXM39:UXN39"/>
    <mergeCell ref="UXO39:UXP39"/>
    <mergeCell ref="UXQ39:UXR39"/>
    <mergeCell ref="UXS39:UXT39"/>
    <mergeCell ref="UXU39:UXV39"/>
    <mergeCell ref="UXW39:UXX39"/>
    <mergeCell ref="UXA39:UXB39"/>
    <mergeCell ref="UXC39:UXD39"/>
    <mergeCell ref="UXE39:UXF39"/>
    <mergeCell ref="UXG39:UXH39"/>
    <mergeCell ref="UXI39:UXJ39"/>
    <mergeCell ref="UXK39:UXL39"/>
    <mergeCell ref="UWO39:UWP39"/>
    <mergeCell ref="UWQ39:UWR39"/>
    <mergeCell ref="UWS39:UWT39"/>
    <mergeCell ref="UWU39:UWV39"/>
    <mergeCell ref="UWW39:UWX39"/>
    <mergeCell ref="UWY39:UWZ39"/>
    <mergeCell ref="UWC39:UWD39"/>
    <mergeCell ref="UWE39:UWF39"/>
    <mergeCell ref="UWG39:UWH39"/>
    <mergeCell ref="UWI39:UWJ39"/>
    <mergeCell ref="UWK39:UWL39"/>
    <mergeCell ref="UWM39:UWN39"/>
    <mergeCell ref="VBE39:VBF39"/>
    <mergeCell ref="VBG39:VBH39"/>
    <mergeCell ref="VBI39:VBJ39"/>
    <mergeCell ref="VBK39:VBL39"/>
    <mergeCell ref="VBM39:VBN39"/>
    <mergeCell ref="VBO39:VBP39"/>
    <mergeCell ref="VAS39:VAT39"/>
    <mergeCell ref="VAU39:VAV39"/>
    <mergeCell ref="VAW39:VAX39"/>
    <mergeCell ref="VAY39:VAZ39"/>
    <mergeCell ref="VBA39:VBB39"/>
    <mergeCell ref="VBC39:VBD39"/>
    <mergeCell ref="VAG39:VAH39"/>
    <mergeCell ref="VAI39:VAJ39"/>
    <mergeCell ref="VAK39:VAL39"/>
    <mergeCell ref="VAM39:VAN39"/>
    <mergeCell ref="VAO39:VAP39"/>
    <mergeCell ref="VAQ39:VAR39"/>
    <mergeCell ref="UZU39:UZV39"/>
    <mergeCell ref="UZW39:UZX39"/>
    <mergeCell ref="UZY39:UZZ39"/>
    <mergeCell ref="VAA39:VAB39"/>
    <mergeCell ref="VAC39:VAD39"/>
    <mergeCell ref="VAE39:VAF39"/>
    <mergeCell ref="UZI39:UZJ39"/>
    <mergeCell ref="UZK39:UZL39"/>
    <mergeCell ref="UZM39:UZN39"/>
    <mergeCell ref="UZO39:UZP39"/>
    <mergeCell ref="UZQ39:UZR39"/>
    <mergeCell ref="UZS39:UZT39"/>
    <mergeCell ref="UYW39:UYX39"/>
    <mergeCell ref="UYY39:UYZ39"/>
    <mergeCell ref="UZA39:UZB39"/>
    <mergeCell ref="UZC39:UZD39"/>
    <mergeCell ref="UZE39:UZF39"/>
    <mergeCell ref="UZG39:UZH39"/>
    <mergeCell ref="VDY39:VDZ39"/>
    <mergeCell ref="VEA39:VEB39"/>
    <mergeCell ref="VEC39:VED39"/>
    <mergeCell ref="VEE39:VEF39"/>
    <mergeCell ref="VEG39:VEH39"/>
    <mergeCell ref="VEI39:VEJ39"/>
    <mergeCell ref="VDM39:VDN39"/>
    <mergeCell ref="VDO39:VDP39"/>
    <mergeCell ref="VDQ39:VDR39"/>
    <mergeCell ref="VDS39:VDT39"/>
    <mergeCell ref="VDU39:VDV39"/>
    <mergeCell ref="VDW39:VDX39"/>
    <mergeCell ref="VDA39:VDB39"/>
    <mergeCell ref="VDC39:VDD39"/>
    <mergeCell ref="VDE39:VDF39"/>
    <mergeCell ref="VDG39:VDH39"/>
    <mergeCell ref="VDI39:VDJ39"/>
    <mergeCell ref="VDK39:VDL39"/>
    <mergeCell ref="VCO39:VCP39"/>
    <mergeCell ref="VCQ39:VCR39"/>
    <mergeCell ref="VCS39:VCT39"/>
    <mergeCell ref="VCU39:VCV39"/>
    <mergeCell ref="VCW39:VCX39"/>
    <mergeCell ref="VCY39:VCZ39"/>
    <mergeCell ref="VCC39:VCD39"/>
    <mergeCell ref="VCE39:VCF39"/>
    <mergeCell ref="VCG39:VCH39"/>
    <mergeCell ref="VCI39:VCJ39"/>
    <mergeCell ref="VCK39:VCL39"/>
    <mergeCell ref="VCM39:VCN39"/>
    <mergeCell ref="VBQ39:VBR39"/>
    <mergeCell ref="VBS39:VBT39"/>
    <mergeCell ref="VBU39:VBV39"/>
    <mergeCell ref="VBW39:VBX39"/>
    <mergeCell ref="VBY39:VBZ39"/>
    <mergeCell ref="VCA39:VCB39"/>
    <mergeCell ref="VGS39:VGT39"/>
    <mergeCell ref="VGU39:VGV39"/>
    <mergeCell ref="VGW39:VGX39"/>
    <mergeCell ref="VGY39:VGZ39"/>
    <mergeCell ref="VHA39:VHB39"/>
    <mergeCell ref="VHC39:VHD39"/>
    <mergeCell ref="VGG39:VGH39"/>
    <mergeCell ref="VGI39:VGJ39"/>
    <mergeCell ref="VGK39:VGL39"/>
    <mergeCell ref="VGM39:VGN39"/>
    <mergeCell ref="VGO39:VGP39"/>
    <mergeCell ref="VGQ39:VGR39"/>
    <mergeCell ref="VFU39:VFV39"/>
    <mergeCell ref="VFW39:VFX39"/>
    <mergeCell ref="VFY39:VFZ39"/>
    <mergeCell ref="VGA39:VGB39"/>
    <mergeCell ref="VGC39:VGD39"/>
    <mergeCell ref="VGE39:VGF39"/>
    <mergeCell ref="VFI39:VFJ39"/>
    <mergeCell ref="VFK39:VFL39"/>
    <mergeCell ref="VFM39:VFN39"/>
    <mergeCell ref="VFO39:VFP39"/>
    <mergeCell ref="VFQ39:VFR39"/>
    <mergeCell ref="VFS39:VFT39"/>
    <mergeCell ref="VEW39:VEX39"/>
    <mergeCell ref="VEY39:VEZ39"/>
    <mergeCell ref="VFA39:VFB39"/>
    <mergeCell ref="VFC39:VFD39"/>
    <mergeCell ref="VFE39:VFF39"/>
    <mergeCell ref="VFG39:VFH39"/>
    <mergeCell ref="VEK39:VEL39"/>
    <mergeCell ref="VEM39:VEN39"/>
    <mergeCell ref="VEO39:VEP39"/>
    <mergeCell ref="VEQ39:VER39"/>
    <mergeCell ref="VES39:VET39"/>
    <mergeCell ref="VEU39:VEV39"/>
    <mergeCell ref="VJM39:VJN39"/>
    <mergeCell ref="VJO39:VJP39"/>
    <mergeCell ref="VJQ39:VJR39"/>
    <mergeCell ref="VJS39:VJT39"/>
    <mergeCell ref="VJU39:VJV39"/>
    <mergeCell ref="VJW39:VJX39"/>
    <mergeCell ref="VJA39:VJB39"/>
    <mergeCell ref="VJC39:VJD39"/>
    <mergeCell ref="VJE39:VJF39"/>
    <mergeCell ref="VJG39:VJH39"/>
    <mergeCell ref="VJI39:VJJ39"/>
    <mergeCell ref="VJK39:VJL39"/>
    <mergeCell ref="VIO39:VIP39"/>
    <mergeCell ref="VIQ39:VIR39"/>
    <mergeCell ref="VIS39:VIT39"/>
    <mergeCell ref="VIU39:VIV39"/>
    <mergeCell ref="VIW39:VIX39"/>
    <mergeCell ref="VIY39:VIZ39"/>
    <mergeCell ref="VIC39:VID39"/>
    <mergeCell ref="VIE39:VIF39"/>
    <mergeCell ref="VIG39:VIH39"/>
    <mergeCell ref="VII39:VIJ39"/>
    <mergeCell ref="VIK39:VIL39"/>
    <mergeCell ref="VIM39:VIN39"/>
    <mergeCell ref="VHQ39:VHR39"/>
    <mergeCell ref="VHS39:VHT39"/>
    <mergeCell ref="VHU39:VHV39"/>
    <mergeCell ref="VHW39:VHX39"/>
    <mergeCell ref="VHY39:VHZ39"/>
    <mergeCell ref="VIA39:VIB39"/>
    <mergeCell ref="VHE39:VHF39"/>
    <mergeCell ref="VHG39:VHH39"/>
    <mergeCell ref="VHI39:VHJ39"/>
    <mergeCell ref="VHK39:VHL39"/>
    <mergeCell ref="VHM39:VHN39"/>
    <mergeCell ref="VHO39:VHP39"/>
    <mergeCell ref="VMG39:VMH39"/>
    <mergeCell ref="VMI39:VMJ39"/>
    <mergeCell ref="VMK39:VML39"/>
    <mergeCell ref="VMM39:VMN39"/>
    <mergeCell ref="VMO39:VMP39"/>
    <mergeCell ref="VMQ39:VMR39"/>
    <mergeCell ref="VLU39:VLV39"/>
    <mergeCell ref="VLW39:VLX39"/>
    <mergeCell ref="VLY39:VLZ39"/>
    <mergeCell ref="VMA39:VMB39"/>
    <mergeCell ref="VMC39:VMD39"/>
    <mergeCell ref="VME39:VMF39"/>
    <mergeCell ref="VLI39:VLJ39"/>
    <mergeCell ref="VLK39:VLL39"/>
    <mergeCell ref="VLM39:VLN39"/>
    <mergeCell ref="VLO39:VLP39"/>
    <mergeCell ref="VLQ39:VLR39"/>
    <mergeCell ref="VLS39:VLT39"/>
    <mergeCell ref="VKW39:VKX39"/>
    <mergeCell ref="VKY39:VKZ39"/>
    <mergeCell ref="VLA39:VLB39"/>
    <mergeCell ref="VLC39:VLD39"/>
    <mergeCell ref="VLE39:VLF39"/>
    <mergeCell ref="VLG39:VLH39"/>
    <mergeCell ref="VKK39:VKL39"/>
    <mergeCell ref="VKM39:VKN39"/>
    <mergeCell ref="VKO39:VKP39"/>
    <mergeCell ref="VKQ39:VKR39"/>
    <mergeCell ref="VKS39:VKT39"/>
    <mergeCell ref="VKU39:VKV39"/>
    <mergeCell ref="VJY39:VJZ39"/>
    <mergeCell ref="VKA39:VKB39"/>
    <mergeCell ref="VKC39:VKD39"/>
    <mergeCell ref="VKE39:VKF39"/>
    <mergeCell ref="VKG39:VKH39"/>
    <mergeCell ref="VKI39:VKJ39"/>
    <mergeCell ref="VPA39:VPB39"/>
    <mergeCell ref="VPC39:VPD39"/>
    <mergeCell ref="VPE39:VPF39"/>
    <mergeCell ref="VPG39:VPH39"/>
    <mergeCell ref="VPI39:VPJ39"/>
    <mergeCell ref="VPK39:VPL39"/>
    <mergeCell ref="VOO39:VOP39"/>
    <mergeCell ref="VOQ39:VOR39"/>
    <mergeCell ref="VOS39:VOT39"/>
    <mergeCell ref="VOU39:VOV39"/>
    <mergeCell ref="VOW39:VOX39"/>
    <mergeCell ref="VOY39:VOZ39"/>
    <mergeCell ref="VOC39:VOD39"/>
    <mergeCell ref="VOE39:VOF39"/>
    <mergeCell ref="VOG39:VOH39"/>
    <mergeCell ref="VOI39:VOJ39"/>
    <mergeCell ref="VOK39:VOL39"/>
    <mergeCell ref="VOM39:VON39"/>
    <mergeCell ref="VNQ39:VNR39"/>
    <mergeCell ref="VNS39:VNT39"/>
    <mergeCell ref="VNU39:VNV39"/>
    <mergeCell ref="VNW39:VNX39"/>
    <mergeCell ref="VNY39:VNZ39"/>
    <mergeCell ref="VOA39:VOB39"/>
    <mergeCell ref="VNE39:VNF39"/>
    <mergeCell ref="VNG39:VNH39"/>
    <mergeCell ref="VNI39:VNJ39"/>
    <mergeCell ref="VNK39:VNL39"/>
    <mergeCell ref="VNM39:VNN39"/>
    <mergeCell ref="VNO39:VNP39"/>
    <mergeCell ref="VMS39:VMT39"/>
    <mergeCell ref="VMU39:VMV39"/>
    <mergeCell ref="VMW39:VMX39"/>
    <mergeCell ref="VMY39:VMZ39"/>
    <mergeCell ref="VNA39:VNB39"/>
    <mergeCell ref="VNC39:VND39"/>
    <mergeCell ref="VRU39:VRV39"/>
    <mergeCell ref="VRW39:VRX39"/>
    <mergeCell ref="VRY39:VRZ39"/>
    <mergeCell ref="VSA39:VSB39"/>
    <mergeCell ref="VSC39:VSD39"/>
    <mergeCell ref="VSE39:VSF39"/>
    <mergeCell ref="VRI39:VRJ39"/>
    <mergeCell ref="VRK39:VRL39"/>
    <mergeCell ref="VRM39:VRN39"/>
    <mergeCell ref="VRO39:VRP39"/>
    <mergeCell ref="VRQ39:VRR39"/>
    <mergeCell ref="VRS39:VRT39"/>
    <mergeCell ref="VQW39:VQX39"/>
    <mergeCell ref="VQY39:VQZ39"/>
    <mergeCell ref="VRA39:VRB39"/>
    <mergeCell ref="VRC39:VRD39"/>
    <mergeCell ref="VRE39:VRF39"/>
    <mergeCell ref="VRG39:VRH39"/>
    <mergeCell ref="VQK39:VQL39"/>
    <mergeCell ref="VQM39:VQN39"/>
    <mergeCell ref="VQO39:VQP39"/>
    <mergeCell ref="VQQ39:VQR39"/>
    <mergeCell ref="VQS39:VQT39"/>
    <mergeCell ref="VQU39:VQV39"/>
    <mergeCell ref="VPY39:VPZ39"/>
    <mergeCell ref="VQA39:VQB39"/>
    <mergeCell ref="VQC39:VQD39"/>
    <mergeCell ref="VQE39:VQF39"/>
    <mergeCell ref="VQG39:VQH39"/>
    <mergeCell ref="VQI39:VQJ39"/>
    <mergeCell ref="VPM39:VPN39"/>
    <mergeCell ref="VPO39:VPP39"/>
    <mergeCell ref="VPQ39:VPR39"/>
    <mergeCell ref="VPS39:VPT39"/>
    <mergeCell ref="VPU39:VPV39"/>
    <mergeCell ref="VPW39:VPX39"/>
    <mergeCell ref="VUO39:VUP39"/>
    <mergeCell ref="VUQ39:VUR39"/>
    <mergeCell ref="VUS39:VUT39"/>
    <mergeCell ref="VUU39:VUV39"/>
    <mergeCell ref="VUW39:VUX39"/>
    <mergeCell ref="VUY39:VUZ39"/>
    <mergeCell ref="VUC39:VUD39"/>
    <mergeCell ref="VUE39:VUF39"/>
    <mergeCell ref="VUG39:VUH39"/>
    <mergeCell ref="VUI39:VUJ39"/>
    <mergeCell ref="VUK39:VUL39"/>
    <mergeCell ref="VUM39:VUN39"/>
    <mergeCell ref="VTQ39:VTR39"/>
    <mergeCell ref="VTS39:VTT39"/>
    <mergeCell ref="VTU39:VTV39"/>
    <mergeCell ref="VTW39:VTX39"/>
    <mergeCell ref="VTY39:VTZ39"/>
    <mergeCell ref="VUA39:VUB39"/>
    <mergeCell ref="VTE39:VTF39"/>
    <mergeCell ref="VTG39:VTH39"/>
    <mergeCell ref="VTI39:VTJ39"/>
    <mergeCell ref="VTK39:VTL39"/>
    <mergeCell ref="VTM39:VTN39"/>
    <mergeCell ref="VTO39:VTP39"/>
    <mergeCell ref="VSS39:VST39"/>
    <mergeCell ref="VSU39:VSV39"/>
    <mergeCell ref="VSW39:VSX39"/>
    <mergeCell ref="VSY39:VSZ39"/>
    <mergeCell ref="VTA39:VTB39"/>
    <mergeCell ref="VTC39:VTD39"/>
    <mergeCell ref="VSG39:VSH39"/>
    <mergeCell ref="VSI39:VSJ39"/>
    <mergeCell ref="VSK39:VSL39"/>
    <mergeCell ref="VSM39:VSN39"/>
    <mergeCell ref="VSO39:VSP39"/>
    <mergeCell ref="VSQ39:VSR39"/>
    <mergeCell ref="VXI39:VXJ39"/>
    <mergeCell ref="VXK39:VXL39"/>
    <mergeCell ref="VXM39:VXN39"/>
    <mergeCell ref="VXO39:VXP39"/>
    <mergeCell ref="VXQ39:VXR39"/>
    <mergeCell ref="VXS39:VXT39"/>
    <mergeCell ref="VWW39:VWX39"/>
    <mergeCell ref="VWY39:VWZ39"/>
    <mergeCell ref="VXA39:VXB39"/>
    <mergeCell ref="VXC39:VXD39"/>
    <mergeCell ref="VXE39:VXF39"/>
    <mergeCell ref="VXG39:VXH39"/>
    <mergeCell ref="VWK39:VWL39"/>
    <mergeCell ref="VWM39:VWN39"/>
    <mergeCell ref="VWO39:VWP39"/>
    <mergeCell ref="VWQ39:VWR39"/>
    <mergeCell ref="VWS39:VWT39"/>
    <mergeCell ref="VWU39:VWV39"/>
    <mergeCell ref="VVY39:VVZ39"/>
    <mergeCell ref="VWA39:VWB39"/>
    <mergeCell ref="VWC39:VWD39"/>
    <mergeCell ref="VWE39:VWF39"/>
    <mergeCell ref="VWG39:VWH39"/>
    <mergeCell ref="VWI39:VWJ39"/>
    <mergeCell ref="VVM39:VVN39"/>
    <mergeCell ref="VVO39:VVP39"/>
    <mergeCell ref="VVQ39:VVR39"/>
    <mergeCell ref="VVS39:VVT39"/>
    <mergeCell ref="VVU39:VVV39"/>
    <mergeCell ref="VVW39:VVX39"/>
    <mergeCell ref="VVA39:VVB39"/>
    <mergeCell ref="VVC39:VVD39"/>
    <mergeCell ref="VVE39:VVF39"/>
    <mergeCell ref="VVG39:VVH39"/>
    <mergeCell ref="VVI39:VVJ39"/>
    <mergeCell ref="VVK39:VVL39"/>
    <mergeCell ref="WAC39:WAD39"/>
    <mergeCell ref="WAE39:WAF39"/>
    <mergeCell ref="WAG39:WAH39"/>
    <mergeCell ref="WAI39:WAJ39"/>
    <mergeCell ref="WAK39:WAL39"/>
    <mergeCell ref="WAM39:WAN39"/>
    <mergeCell ref="VZQ39:VZR39"/>
    <mergeCell ref="VZS39:VZT39"/>
    <mergeCell ref="VZU39:VZV39"/>
    <mergeCell ref="VZW39:VZX39"/>
    <mergeCell ref="VZY39:VZZ39"/>
    <mergeCell ref="WAA39:WAB39"/>
    <mergeCell ref="VZE39:VZF39"/>
    <mergeCell ref="VZG39:VZH39"/>
    <mergeCell ref="VZI39:VZJ39"/>
    <mergeCell ref="VZK39:VZL39"/>
    <mergeCell ref="VZM39:VZN39"/>
    <mergeCell ref="VZO39:VZP39"/>
    <mergeCell ref="VYS39:VYT39"/>
    <mergeCell ref="VYU39:VYV39"/>
    <mergeCell ref="VYW39:VYX39"/>
    <mergeCell ref="VYY39:VYZ39"/>
    <mergeCell ref="VZA39:VZB39"/>
    <mergeCell ref="VZC39:VZD39"/>
    <mergeCell ref="VYG39:VYH39"/>
    <mergeCell ref="VYI39:VYJ39"/>
    <mergeCell ref="VYK39:VYL39"/>
    <mergeCell ref="VYM39:VYN39"/>
    <mergeCell ref="VYO39:VYP39"/>
    <mergeCell ref="VYQ39:VYR39"/>
    <mergeCell ref="VXU39:VXV39"/>
    <mergeCell ref="VXW39:VXX39"/>
    <mergeCell ref="VXY39:VXZ39"/>
    <mergeCell ref="VYA39:VYB39"/>
    <mergeCell ref="VYC39:VYD39"/>
    <mergeCell ref="VYE39:VYF39"/>
    <mergeCell ref="WCW39:WCX39"/>
    <mergeCell ref="WCY39:WCZ39"/>
    <mergeCell ref="WDA39:WDB39"/>
    <mergeCell ref="WDC39:WDD39"/>
    <mergeCell ref="WDE39:WDF39"/>
    <mergeCell ref="WDG39:WDH39"/>
    <mergeCell ref="WCK39:WCL39"/>
    <mergeCell ref="WCM39:WCN39"/>
    <mergeCell ref="WCO39:WCP39"/>
    <mergeCell ref="WCQ39:WCR39"/>
    <mergeCell ref="WCS39:WCT39"/>
    <mergeCell ref="WCU39:WCV39"/>
    <mergeCell ref="WBY39:WBZ39"/>
    <mergeCell ref="WCA39:WCB39"/>
    <mergeCell ref="WCC39:WCD39"/>
    <mergeCell ref="WCE39:WCF39"/>
    <mergeCell ref="WCG39:WCH39"/>
    <mergeCell ref="WCI39:WCJ39"/>
    <mergeCell ref="WBM39:WBN39"/>
    <mergeCell ref="WBO39:WBP39"/>
    <mergeCell ref="WBQ39:WBR39"/>
    <mergeCell ref="WBS39:WBT39"/>
    <mergeCell ref="WBU39:WBV39"/>
    <mergeCell ref="WBW39:WBX39"/>
    <mergeCell ref="WBA39:WBB39"/>
    <mergeCell ref="WBC39:WBD39"/>
    <mergeCell ref="WBE39:WBF39"/>
    <mergeCell ref="WBG39:WBH39"/>
    <mergeCell ref="WBI39:WBJ39"/>
    <mergeCell ref="WBK39:WBL39"/>
    <mergeCell ref="WAO39:WAP39"/>
    <mergeCell ref="WAQ39:WAR39"/>
    <mergeCell ref="WAS39:WAT39"/>
    <mergeCell ref="WAU39:WAV39"/>
    <mergeCell ref="WAW39:WAX39"/>
    <mergeCell ref="WAY39:WAZ39"/>
    <mergeCell ref="WFQ39:WFR39"/>
    <mergeCell ref="WFS39:WFT39"/>
    <mergeCell ref="WFU39:WFV39"/>
    <mergeCell ref="WFW39:WFX39"/>
    <mergeCell ref="WFY39:WFZ39"/>
    <mergeCell ref="WGA39:WGB39"/>
    <mergeCell ref="WFE39:WFF39"/>
    <mergeCell ref="WFG39:WFH39"/>
    <mergeCell ref="WFI39:WFJ39"/>
    <mergeCell ref="WFK39:WFL39"/>
    <mergeCell ref="WFM39:WFN39"/>
    <mergeCell ref="WFO39:WFP39"/>
    <mergeCell ref="WES39:WET39"/>
    <mergeCell ref="WEU39:WEV39"/>
    <mergeCell ref="WEW39:WEX39"/>
    <mergeCell ref="WEY39:WEZ39"/>
    <mergeCell ref="WFA39:WFB39"/>
    <mergeCell ref="WFC39:WFD39"/>
    <mergeCell ref="WEG39:WEH39"/>
    <mergeCell ref="WEI39:WEJ39"/>
    <mergeCell ref="WEK39:WEL39"/>
    <mergeCell ref="WEM39:WEN39"/>
    <mergeCell ref="WEO39:WEP39"/>
    <mergeCell ref="WEQ39:WER39"/>
    <mergeCell ref="WDU39:WDV39"/>
    <mergeCell ref="WDW39:WDX39"/>
    <mergeCell ref="WDY39:WDZ39"/>
    <mergeCell ref="WEA39:WEB39"/>
    <mergeCell ref="WEC39:WED39"/>
    <mergeCell ref="WEE39:WEF39"/>
    <mergeCell ref="WDI39:WDJ39"/>
    <mergeCell ref="WDK39:WDL39"/>
    <mergeCell ref="WDM39:WDN39"/>
    <mergeCell ref="WDO39:WDP39"/>
    <mergeCell ref="WDQ39:WDR39"/>
    <mergeCell ref="WDS39:WDT39"/>
    <mergeCell ref="WIK39:WIL39"/>
    <mergeCell ref="WIM39:WIN39"/>
    <mergeCell ref="WIO39:WIP39"/>
    <mergeCell ref="WIQ39:WIR39"/>
    <mergeCell ref="WIS39:WIT39"/>
    <mergeCell ref="WIU39:WIV39"/>
    <mergeCell ref="WHY39:WHZ39"/>
    <mergeCell ref="WIA39:WIB39"/>
    <mergeCell ref="WIC39:WID39"/>
    <mergeCell ref="WIE39:WIF39"/>
    <mergeCell ref="WIG39:WIH39"/>
    <mergeCell ref="WII39:WIJ39"/>
    <mergeCell ref="WHM39:WHN39"/>
    <mergeCell ref="WHO39:WHP39"/>
    <mergeCell ref="WHQ39:WHR39"/>
    <mergeCell ref="WHS39:WHT39"/>
    <mergeCell ref="WHU39:WHV39"/>
    <mergeCell ref="WHW39:WHX39"/>
    <mergeCell ref="WHA39:WHB39"/>
    <mergeCell ref="WHC39:WHD39"/>
    <mergeCell ref="WHE39:WHF39"/>
    <mergeCell ref="WHG39:WHH39"/>
    <mergeCell ref="WHI39:WHJ39"/>
    <mergeCell ref="WHK39:WHL39"/>
    <mergeCell ref="WGO39:WGP39"/>
    <mergeCell ref="WGQ39:WGR39"/>
    <mergeCell ref="WGS39:WGT39"/>
    <mergeCell ref="WGU39:WGV39"/>
    <mergeCell ref="WGW39:WGX39"/>
    <mergeCell ref="WGY39:WGZ39"/>
    <mergeCell ref="WGC39:WGD39"/>
    <mergeCell ref="WGE39:WGF39"/>
    <mergeCell ref="WGG39:WGH39"/>
    <mergeCell ref="WGI39:WGJ39"/>
    <mergeCell ref="WGK39:WGL39"/>
    <mergeCell ref="WGM39:WGN39"/>
    <mergeCell ref="WLE39:WLF39"/>
    <mergeCell ref="WLG39:WLH39"/>
    <mergeCell ref="WLI39:WLJ39"/>
    <mergeCell ref="WLK39:WLL39"/>
    <mergeCell ref="WLM39:WLN39"/>
    <mergeCell ref="WLO39:WLP39"/>
    <mergeCell ref="WKS39:WKT39"/>
    <mergeCell ref="WKU39:WKV39"/>
    <mergeCell ref="WKW39:WKX39"/>
    <mergeCell ref="WKY39:WKZ39"/>
    <mergeCell ref="WLA39:WLB39"/>
    <mergeCell ref="WLC39:WLD39"/>
    <mergeCell ref="WKG39:WKH39"/>
    <mergeCell ref="WKI39:WKJ39"/>
    <mergeCell ref="WKK39:WKL39"/>
    <mergeCell ref="WKM39:WKN39"/>
    <mergeCell ref="WKO39:WKP39"/>
    <mergeCell ref="WKQ39:WKR39"/>
    <mergeCell ref="WJU39:WJV39"/>
    <mergeCell ref="WJW39:WJX39"/>
    <mergeCell ref="WJY39:WJZ39"/>
    <mergeCell ref="WKA39:WKB39"/>
    <mergeCell ref="WKC39:WKD39"/>
    <mergeCell ref="WKE39:WKF39"/>
    <mergeCell ref="WJI39:WJJ39"/>
    <mergeCell ref="WJK39:WJL39"/>
    <mergeCell ref="WJM39:WJN39"/>
    <mergeCell ref="WJO39:WJP39"/>
    <mergeCell ref="WJQ39:WJR39"/>
    <mergeCell ref="WJS39:WJT39"/>
    <mergeCell ref="WIW39:WIX39"/>
    <mergeCell ref="WIY39:WIZ39"/>
    <mergeCell ref="WJA39:WJB39"/>
    <mergeCell ref="WJC39:WJD39"/>
    <mergeCell ref="WJE39:WJF39"/>
    <mergeCell ref="WJG39:WJH39"/>
    <mergeCell ref="WNY39:WNZ39"/>
    <mergeCell ref="WOA39:WOB39"/>
    <mergeCell ref="WOC39:WOD39"/>
    <mergeCell ref="WOE39:WOF39"/>
    <mergeCell ref="WOG39:WOH39"/>
    <mergeCell ref="WOI39:WOJ39"/>
    <mergeCell ref="WNM39:WNN39"/>
    <mergeCell ref="WNO39:WNP39"/>
    <mergeCell ref="WNQ39:WNR39"/>
    <mergeCell ref="WNS39:WNT39"/>
    <mergeCell ref="WNU39:WNV39"/>
    <mergeCell ref="WNW39:WNX39"/>
    <mergeCell ref="WNA39:WNB39"/>
    <mergeCell ref="WNC39:WND39"/>
    <mergeCell ref="WNE39:WNF39"/>
    <mergeCell ref="WNG39:WNH39"/>
    <mergeCell ref="WNI39:WNJ39"/>
    <mergeCell ref="WNK39:WNL39"/>
    <mergeCell ref="WMO39:WMP39"/>
    <mergeCell ref="WMQ39:WMR39"/>
    <mergeCell ref="WMS39:WMT39"/>
    <mergeCell ref="WMU39:WMV39"/>
    <mergeCell ref="WMW39:WMX39"/>
    <mergeCell ref="WMY39:WMZ39"/>
    <mergeCell ref="WMC39:WMD39"/>
    <mergeCell ref="WME39:WMF39"/>
    <mergeCell ref="WMG39:WMH39"/>
    <mergeCell ref="WMI39:WMJ39"/>
    <mergeCell ref="WMK39:WML39"/>
    <mergeCell ref="WMM39:WMN39"/>
    <mergeCell ref="WLQ39:WLR39"/>
    <mergeCell ref="WLS39:WLT39"/>
    <mergeCell ref="WLU39:WLV39"/>
    <mergeCell ref="WLW39:WLX39"/>
    <mergeCell ref="WLY39:WLZ39"/>
    <mergeCell ref="WMA39:WMB39"/>
    <mergeCell ref="WQS39:WQT39"/>
    <mergeCell ref="WQU39:WQV39"/>
    <mergeCell ref="WQW39:WQX39"/>
    <mergeCell ref="WQY39:WQZ39"/>
    <mergeCell ref="WRA39:WRB39"/>
    <mergeCell ref="WRC39:WRD39"/>
    <mergeCell ref="WQG39:WQH39"/>
    <mergeCell ref="WQI39:WQJ39"/>
    <mergeCell ref="WQK39:WQL39"/>
    <mergeCell ref="WQM39:WQN39"/>
    <mergeCell ref="WQO39:WQP39"/>
    <mergeCell ref="WQQ39:WQR39"/>
    <mergeCell ref="WPU39:WPV39"/>
    <mergeCell ref="WPW39:WPX39"/>
    <mergeCell ref="WPY39:WPZ39"/>
    <mergeCell ref="WQA39:WQB39"/>
    <mergeCell ref="WQC39:WQD39"/>
    <mergeCell ref="WQE39:WQF39"/>
    <mergeCell ref="WPI39:WPJ39"/>
    <mergeCell ref="WPK39:WPL39"/>
    <mergeCell ref="WPM39:WPN39"/>
    <mergeCell ref="WPO39:WPP39"/>
    <mergeCell ref="WPQ39:WPR39"/>
    <mergeCell ref="WPS39:WPT39"/>
    <mergeCell ref="WOW39:WOX39"/>
    <mergeCell ref="WOY39:WOZ39"/>
    <mergeCell ref="WPA39:WPB39"/>
    <mergeCell ref="WPC39:WPD39"/>
    <mergeCell ref="WPE39:WPF39"/>
    <mergeCell ref="WPG39:WPH39"/>
    <mergeCell ref="WOK39:WOL39"/>
    <mergeCell ref="WOM39:WON39"/>
    <mergeCell ref="WOO39:WOP39"/>
    <mergeCell ref="WOQ39:WOR39"/>
    <mergeCell ref="WOS39:WOT39"/>
    <mergeCell ref="WOU39:WOV39"/>
    <mergeCell ref="WTM39:WTN39"/>
    <mergeCell ref="WTO39:WTP39"/>
    <mergeCell ref="WTQ39:WTR39"/>
    <mergeCell ref="WTS39:WTT39"/>
    <mergeCell ref="WTU39:WTV39"/>
    <mergeCell ref="WTW39:WTX39"/>
    <mergeCell ref="WTA39:WTB39"/>
    <mergeCell ref="WTC39:WTD39"/>
    <mergeCell ref="WTE39:WTF39"/>
    <mergeCell ref="WTG39:WTH39"/>
    <mergeCell ref="WTI39:WTJ39"/>
    <mergeCell ref="WTK39:WTL39"/>
    <mergeCell ref="WSO39:WSP39"/>
    <mergeCell ref="WSQ39:WSR39"/>
    <mergeCell ref="WSS39:WST39"/>
    <mergeCell ref="WSU39:WSV39"/>
    <mergeCell ref="WSW39:WSX39"/>
    <mergeCell ref="WSY39:WSZ39"/>
    <mergeCell ref="WSC39:WSD39"/>
    <mergeCell ref="WSE39:WSF39"/>
    <mergeCell ref="WSG39:WSH39"/>
    <mergeCell ref="WSI39:WSJ39"/>
    <mergeCell ref="WSK39:WSL39"/>
    <mergeCell ref="WSM39:WSN39"/>
    <mergeCell ref="WRQ39:WRR39"/>
    <mergeCell ref="WRS39:WRT39"/>
    <mergeCell ref="WRU39:WRV39"/>
    <mergeCell ref="WRW39:WRX39"/>
    <mergeCell ref="WRY39:WRZ39"/>
    <mergeCell ref="WSA39:WSB39"/>
    <mergeCell ref="WRE39:WRF39"/>
    <mergeCell ref="WRG39:WRH39"/>
    <mergeCell ref="WRI39:WRJ39"/>
    <mergeCell ref="WRK39:WRL39"/>
    <mergeCell ref="WRM39:WRN39"/>
    <mergeCell ref="WRO39:WRP39"/>
    <mergeCell ref="WWG39:WWH39"/>
    <mergeCell ref="WWI39:WWJ39"/>
    <mergeCell ref="WWK39:WWL39"/>
    <mergeCell ref="WWM39:WWN39"/>
    <mergeCell ref="WWO39:WWP39"/>
    <mergeCell ref="WWQ39:WWR39"/>
    <mergeCell ref="WVU39:WVV39"/>
    <mergeCell ref="WVW39:WVX39"/>
    <mergeCell ref="WVY39:WVZ39"/>
    <mergeCell ref="WWA39:WWB39"/>
    <mergeCell ref="WWC39:WWD39"/>
    <mergeCell ref="WWE39:WWF39"/>
    <mergeCell ref="WVI39:WVJ39"/>
    <mergeCell ref="WVK39:WVL39"/>
    <mergeCell ref="WVM39:WVN39"/>
    <mergeCell ref="WVO39:WVP39"/>
    <mergeCell ref="WVQ39:WVR39"/>
    <mergeCell ref="WVS39:WVT39"/>
    <mergeCell ref="WUW39:WUX39"/>
    <mergeCell ref="WUY39:WUZ39"/>
    <mergeCell ref="WVA39:WVB39"/>
    <mergeCell ref="WVC39:WVD39"/>
    <mergeCell ref="WVE39:WVF39"/>
    <mergeCell ref="WVG39:WVH39"/>
    <mergeCell ref="WUK39:WUL39"/>
    <mergeCell ref="WUM39:WUN39"/>
    <mergeCell ref="WUO39:WUP39"/>
    <mergeCell ref="WUQ39:WUR39"/>
    <mergeCell ref="WUS39:WUT39"/>
    <mergeCell ref="WUU39:WUV39"/>
    <mergeCell ref="WTY39:WTZ39"/>
    <mergeCell ref="WUA39:WUB39"/>
    <mergeCell ref="WUC39:WUD39"/>
    <mergeCell ref="WUE39:WUF39"/>
    <mergeCell ref="WUG39:WUH39"/>
    <mergeCell ref="WUI39:WUJ39"/>
    <mergeCell ref="WZA39:WZB39"/>
    <mergeCell ref="WZC39:WZD39"/>
    <mergeCell ref="WZE39:WZF39"/>
    <mergeCell ref="WZG39:WZH39"/>
    <mergeCell ref="WZI39:WZJ39"/>
    <mergeCell ref="WZK39:WZL39"/>
    <mergeCell ref="WYO39:WYP39"/>
    <mergeCell ref="WYQ39:WYR39"/>
    <mergeCell ref="WYS39:WYT39"/>
    <mergeCell ref="WYU39:WYV39"/>
    <mergeCell ref="WYW39:WYX39"/>
    <mergeCell ref="WYY39:WYZ39"/>
    <mergeCell ref="WYC39:WYD39"/>
    <mergeCell ref="WYE39:WYF39"/>
    <mergeCell ref="WYG39:WYH39"/>
    <mergeCell ref="WYI39:WYJ39"/>
    <mergeCell ref="WYK39:WYL39"/>
    <mergeCell ref="WYM39:WYN39"/>
    <mergeCell ref="WXQ39:WXR39"/>
    <mergeCell ref="WXS39:WXT39"/>
    <mergeCell ref="WXU39:WXV39"/>
    <mergeCell ref="WXW39:WXX39"/>
    <mergeCell ref="WXY39:WXZ39"/>
    <mergeCell ref="WYA39:WYB39"/>
    <mergeCell ref="WXE39:WXF39"/>
    <mergeCell ref="WXG39:WXH39"/>
    <mergeCell ref="WXI39:WXJ39"/>
    <mergeCell ref="WXK39:WXL39"/>
    <mergeCell ref="WXM39:WXN39"/>
    <mergeCell ref="WXO39:WXP39"/>
    <mergeCell ref="WWS39:WWT39"/>
    <mergeCell ref="WWU39:WWV39"/>
    <mergeCell ref="WWW39:WWX39"/>
    <mergeCell ref="WWY39:WWZ39"/>
    <mergeCell ref="WXA39:WXB39"/>
    <mergeCell ref="WXC39:WXD39"/>
    <mergeCell ref="XBY39:XBZ39"/>
    <mergeCell ref="XCA39:XCB39"/>
    <mergeCell ref="XCC39:XCD39"/>
    <mergeCell ref="XCE39:XCF39"/>
    <mergeCell ref="XBI39:XBJ39"/>
    <mergeCell ref="XBK39:XBL39"/>
    <mergeCell ref="XBM39:XBN39"/>
    <mergeCell ref="XBO39:XBP39"/>
    <mergeCell ref="XBQ39:XBR39"/>
    <mergeCell ref="XBS39:XBT39"/>
    <mergeCell ref="XAW39:XAX39"/>
    <mergeCell ref="XAY39:XAZ39"/>
    <mergeCell ref="XBA39:XBB39"/>
    <mergeCell ref="XBC39:XBD39"/>
    <mergeCell ref="XBE39:XBF39"/>
    <mergeCell ref="XBG39:XBH39"/>
    <mergeCell ref="XAK39:XAL39"/>
    <mergeCell ref="XAM39:XAN39"/>
    <mergeCell ref="XAO39:XAP39"/>
    <mergeCell ref="XAQ39:XAR39"/>
    <mergeCell ref="XAS39:XAT39"/>
    <mergeCell ref="XAU39:XAV39"/>
    <mergeCell ref="WZY39:WZZ39"/>
    <mergeCell ref="XAA39:XAB39"/>
    <mergeCell ref="XAC39:XAD39"/>
    <mergeCell ref="XAE39:XAF39"/>
    <mergeCell ref="XAG39:XAH39"/>
    <mergeCell ref="XAI39:XAJ39"/>
    <mergeCell ref="WZM39:WZN39"/>
    <mergeCell ref="WZO39:WZP39"/>
    <mergeCell ref="WZQ39:WZR39"/>
    <mergeCell ref="WZS39:WZT39"/>
    <mergeCell ref="WZU39:WZV39"/>
    <mergeCell ref="WZW39:WZX39"/>
    <mergeCell ref="CY40:CZ40"/>
    <mergeCell ref="DA40:DB40"/>
    <mergeCell ref="DC40:DD40"/>
    <mergeCell ref="DE40:DF40"/>
    <mergeCell ref="DG40:DH40"/>
    <mergeCell ref="DI40:DJ40"/>
    <mergeCell ref="CM40:CN40"/>
    <mergeCell ref="CO40:CP40"/>
    <mergeCell ref="CQ40:CR40"/>
    <mergeCell ref="CS40:CT40"/>
    <mergeCell ref="CU40:CV40"/>
    <mergeCell ref="CW40:CX40"/>
    <mergeCell ref="CA40:CB40"/>
    <mergeCell ref="CC40:CD40"/>
    <mergeCell ref="CE40:CF40"/>
    <mergeCell ref="CG40:CH40"/>
    <mergeCell ref="CI40:CJ40"/>
    <mergeCell ref="CK40:CL40"/>
    <mergeCell ref="BW40:BX40"/>
    <mergeCell ref="BY40:BZ40"/>
    <mergeCell ref="BQ41:BR41"/>
    <mergeCell ref="BS41:BT41"/>
    <mergeCell ref="BU41:BV41"/>
    <mergeCell ref="BW41:BX41"/>
    <mergeCell ref="XFA39:XFB39"/>
    <mergeCell ref="XFC39:XFD39"/>
    <mergeCell ref="XEO39:XEP39"/>
    <mergeCell ref="XEQ39:XER39"/>
    <mergeCell ref="XES39:XET39"/>
    <mergeCell ref="XEU39:XEV39"/>
    <mergeCell ref="XEW39:XEX39"/>
    <mergeCell ref="XEY39:XEZ39"/>
    <mergeCell ref="XEC39:XED39"/>
    <mergeCell ref="XEE39:XEF39"/>
    <mergeCell ref="XEG39:XEH39"/>
    <mergeCell ref="XEI39:XEJ39"/>
    <mergeCell ref="XEK39:XEL39"/>
    <mergeCell ref="XEM39:XEN39"/>
    <mergeCell ref="XDQ39:XDR39"/>
    <mergeCell ref="XDS39:XDT39"/>
    <mergeCell ref="XDU39:XDV39"/>
    <mergeCell ref="XDW39:XDX39"/>
    <mergeCell ref="XDY39:XDZ39"/>
    <mergeCell ref="XEA39:XEB39"/>
    <mergeCell ref="XDE39:XDF39"/>
    <mergeCell ref="XDG39:XDH39"/>
    <mergeCell ref="XDI39:XDJ39"/>
    <mergeCell ref="XDK39:XDL39"/>
    <mergeCell ref="XDM39:XDN39"/>
    <mergeCell ref="XDO39:XDP39"/>
    <mergeCell ref="XCS39:XCT39"/>
    <mergeCell ref="XCU39:XCV39"/>
    <mergeCell ref="XCW39:XCX39"/>
    <mergeCell ref="XCY39:XCZ39"/>
    <mergeCell ref="XDA39:XDB39"/>
    <mergeCell ref="XDC39:XDD39"/>
    <mergeCell ref="XCG39:XCH39"/>
    <mergeCell ref="XCI39:XCJ39"/>
    <mergeCell ref="XCK39:XCL39"/>
    <mergeCell ref="XCM39:XCN39"/>
    <mergeCell ref="XCO39:XCP39"/>
    <mergeCell ref="XCQ39:XCR39"/>
    <mergeCell ref="XBU39:XBV39"/>
    <mergeCell ref="XBW39:XBX39"/>
    <mergeCell ref="FS40:FT40"/>
    <mergeCell ref="FU40:FV40"/>
    <mergeCell ref="FW40:FX40"/>
    <mergeCell ref="FY40:FZ40"/>
    <mergeCell ref="GA40:GB40"/>
    <mergeCell ref="GC40:GD40"/>
    <mergeCell ref="FG40:FH40"/>
    <mergeCell ref="FI40:FJ40"/>
    <mergeCell ref="FK40:FL40"/>
    <mergeCell ref="FM40:FN40"/>
    <mergeCell ref="FO40:FP40"/>
    <mergeCell ref="FQ40:FR40"/>
    <mergeCell ref="EU40:EV40"/>
    <mergeCell ref="EW40:EX40"/>
    <mergeCell ref="EY40:EZ40"/>
    <mergeCell ref="FA40:FB40"/>
    <mergeCell ref="FC40:FD40"/>
    <mergeCell ref="FE40:FF40"/>
    <mergeCell ref="EI40:EJ40"/>
    <mergeCell ref="EK40:EL40"/>
    <mergeCell ref="EM40:EN40"/>
    <mergeCell ref="EO40:EP40"/>
    <mergeCell ref="EQ40:ER40"/>
    <mergeCell ref="ES40:ET40"/>
    <mergeCell ref="DW40:DX40"/>
    <mergeCell ref="DY40:DZ40"/>
    <mergeCell ref="EA40:EB40"/>
    <mergeCell ref="EC40:ED40"/>
    <mergeCell ref="EE40:EF40"/>
    <mergeCell ref="EG40:EH40"/>
    <mergeCell ref="DK40:DL40"/>
    <mergeCell ref="DM40:DN40"/>
    <mergeCell ref="DO40:DP40"/>
    <mergeCell ref="DQ40:DR40"/>
    <mergeCell ref="DS40:DT40"/>
    <mergeCell ref="DU40:DV40"/>
    <mergeCell ref="IM40:IN40"/>
    <mergeCell ref="IO40:IP40"/>
    <mergeCell ref="IQ40:IR40"/>
    <mergeCell ref="IS40:IT40"/>
    <mergeCell ref="IU40:IV40"/>
    <mergeCell ref="IW40:IX40"/>
    <mergeCell ref="IA40:IB40"/>
    <mergeCell ref="IC40:ID40"/>
    <mergeCell ref="IE40:IF40"/>
    <mergeCell ref="IG40:IH40"/>
    <mergeCell ref="II40:IJ40"/>
    <mergeCell ref="IK40:IL40"/>
    <mergeCell ref="HO40:HP40"/>
    <mergeCell ref="HQ40:HR40"/>
    <mergeCell ref="HS40:HT40"/>
    <mergeCell ref="HU40:HV40"/>
    <mergeCell ref="HW40:HX40"/>
    <mergeCell ref="HY40:HZ40"/>
    <mergeCell ref="HC40:HD40"/>
    <mergeCell ref="HE40:HF40"/>
    <mergeCell ref="HG40:HH40"/>
    <mergeCell ref="HI40:HJ40"/>
    <mergeCell ref="HK40:HL40"/>
    <mergeCell ref="HM40:HN40"/>
    <mergeCell ref="GQ40:GR40"/>
    <mergeCell ref="GS40:GT40"/>
    <mergeCell ref="GU40:GV40"/>
    <mergeCell ref="GW40:GX40"/>
    <mergeCell ref="GY40:GZ40"/>
    <mergeCell ref="HA40:HB40"/>
    <mergeCell ref="GE40:GF40"/>
    <mergeCell ref="GG40:GH40"/>
    <mergeCell ref="GI40:GJ40"/>
    <mergeCell ref="GK40:GL40"/>
    <mergeCell ref="GM40:GN40"/>
    <mergeCell ref="GO40:GP40"/>
    <mergeCell ref="LG40:LH40"/>
    <mergeCell ref="LI40:LJ40"/>
    <mergeCell ref="LK40:LL40"/>
    <mergeCell ref="LM40:LN40"/>
    <mergeCell ref="LO40:LP40"/>
    <mergeCell ref="LQ40:LR40"/>
    <mergeCell ref="KU40:KV40"/>
    <mergeCell ref="KW40:KX40"/>
    <mergeCell ref="KY40:KZ40"/>
    <mergeCell ref="LA40:LB40"/>
    <mergeCell ref="LC40:LD40"/>
    <mergeCell ref="LE40:LF40"/>
    <mergeCell ref="KI40:KJ40"/>
    <mergeCell ref="KK40:KL40"/>
    <mergeCell ref="KM40:KN40"/>
    <mergeCell ref="KO40:KP40"/>
    <mergeCell ref="KQ40:KR40"/>
    <mergeCell ref="KS40:KT40"/>
    <mergeCell ref="JW40:JX40"/>
    <mergeCell ref="JY40:JZ40"/>
    <mergeCell ref="KA40:KB40"/>
    <mergeCell ref="KC40:KD40"/>
    <mergeCell ref="KE40:KF40"/>
    <mergeCell ref="KG40:KH40"/>
    <mergeCell ref="JK40:JL40"/>
    <mergeCell ref="JM40:JN40"/>
    <mergeCell ref="JO40:JP40"/>
    <mergeCell ref="JQ40:JR40"/>
    <mergeCell ref="JS40:JT40"/>
    <mergeCell ref="JU40:JV40"/>
    <mergeCell ref="IY40:IZ40"/>
    <mergeCell ref="JA40:JB40"/>
    <mergeCell ref="JC40:JD40"/>
    <mergeCell ref="JE40:JF40"/>
    <mergeCell ref="JG40:JH40"/>
    <mergeCell ref="JI40:JJ40"/>
    <mergeCell ref="OA40:OB40"/>
    <mergeCell ref="OC40:OD40"/>
    <mergeCell ref="OE40:OF40"/>
    <mergeCell ref="OG40:OH40"/>
    <mergeCell ref="OI40:OJ40"/>
    <mergeCell ref="OK40:OL40"/>
    <mergeCell ref="NO40:NP40"/>
    <mergeCell ref="NQ40:NR40"/>
    <mergeCell ref="NS40:NT40"/>
    <mergeCell ref="NU40:NV40"/>
    <mergeCell ref="NW40:NX40"/>
    <mergeCell ref="NY40:NZ40"/>
    <mergeCell ref="NC40:ND40"/>
    <mergeCell ref="NE40:NF40"/>
    <mergeCell ref="NG40:NH40"/>
    <mergeCell ref="NI40:NJ40"/>
    <mergeCell ref="NK40:NL40"/>
    <mergeCell ref="NM40:NN40"/>
    <mergeCell ref="MQ40:MR40"/>
    <mergeCell ref="MS40:MT40"/>
    <mergeCell ref="MU40:MV40"/>
    <mergeCell ref="MW40:MX40"/>
    <mergeCell ref="MY40:MZ40"/>
    <mergeCell ref="NA40:NB40"/>
    <mergeCell ref="ME40:MF40"/>
    <mergeCell ref="MG40:MH40"/>
    <mergeCell ref="MI40:MJ40"/>
    <mergeCell ref="MK40:ML40"/>
    <mergeCell ref="MM40:MN40"/>
    <mergeCell ref="MO40:MP40"/>
    <mergeCell ref="LS40:LT40"/>
    <mergeCell ref="LU40:LV40"/>
    <mergeCell ref="LW40:LX40"/>
    <mergeCell ref="LY40:LZ40"/>
    <mergeCell ref="MA40:MB40"/>
    <mergeCell ref="MC40:MD40"/>
    <mergeCell ref="QU40:QV40"/>
    <mergeCell ref="QW40:QX40"/>
    <mergeCell ref="QY40:QZ40"/>
    <mergeCell ref="RA40:RB40"/>
    <mergeCell ref="RC40:RD40"/>
    <mergeCell ref="RE40:RF40"/>
    <mergeCell ref="QI40:QJ40"/>
    <mergeCell ref="QK40:QL40"/>
    <mergeCell ref="QM40:QN40"/>
    <mergeCell ref="QO40:QP40"/>
    <mergeCell ref="QQ40:QR40"/>
    <mergeCell ref="QS40:QT40"/>
    <mergeCell ref="PW40:PX40"/>
    <mergeCell ref="PY40:PZ40"/>
    <mergeCell ref="QA40:QB40"/>
    <mergeCell ref="QC40:QD40"/>
    <mergeCell ref="QE40:QF40"/>
    <mergeCell ref="QG40:QH40"/>
    <mergeCell ref="PK40:PL40"/>
    <mergeCell ref="PM40:PN40"/>
    <mergeCell ref="PO40:PP40"/>
    <mergeCell ref="PQ40:PR40"/>
    <mergeCell ref="PS40:PT40"/>
    <mergeCell ref="PU40:PV40"/>
    <mergeCell ref="OY40:OZ40"/>
    <mergeCell ref="PA40:PB40"/>
    <mergeCell ref="PC40:PD40"/>
    <mergeCell ref="PE40:PF40"/>
    <mergeCell ref="PG40:PH40"/>
    <mergeCell ref="PI40:PJ40"/>
    <mergeCell ref="OM40:ON40"/>
    <mergeCell ref="OO40:OP40"/>
    <mergeCell ref="OQ40:OR40"/>
    <mergeCell ref="OS40:OT40"/>
    <mergeCell ref="OU40:OV40"/>
    <mergeCell ref="OW40:OX40"/>
    <mergeCell ref="TO40:TP40"/>
    <mergeCell ref="TQ40:TR40"/>
    <mergeCell ref="TS40:TT40"/>
    <mergeCell ref="TU40:TV40"/>
    <mergeCell ref="TW40:TX40"/>
    <mergeCell ref="TY40:TZ40"/>
    <mergeCell ref="TC40:TD40"/>
    <mergeCell ref="TE40:TF40"/>
    <mergeCell ref="TG40:TH40"/>
    <mergeCell ref="TI40:TJ40"/>
    <mergeCell ref="TK40:TL40"/>
    <mergeCell ref="TM40:TN40"/>
    <mergeCell ref="SQ40:SR40"/>
    <mergeCell ref="SS40:ST40"/>
    <mergeCell ref="SU40:SV40"/>
    <mergeCell ref="SW40:SX40"/>
    <mergeCell ref="SY40:SZ40"/>
    <mergeCell ref="TA40:TB40"/>
    <mergeCell ref="SE40:SF40"/>
    <mergeCell ref="SG40:SH40"/>
    <mergeCell ref="SI40:SJ40"/>
    <mergeCell ref="SK40:SL40"/>
    <mergeCell ref="SM40:SN40"/>
    <mergeCell ref="SO40:SP40"/>
    <mergeCell ref="RS40:RT40"/>
    <mergeCell ref="RU40:RV40"/>
    <mergeCell ref="RW40:RX40"/>
    <mergeCell ref="RY40:RZ40"/>
    <mergeCell ref="SA40:SB40"/>
    <mergeCell ref="SC40:SD40"/>
    <mergeCell ref="RG40:RH40"/>
    <mergeCell ref="RI40:RJ40"/>
    <mergeCell ref="RK40:RL40"/>
    <mergeCell ref="RM40:RN40"/>
    <mergeCell ref="RO40:RP40"/>
    <mergeCell ref="RQ40:RR40"/>
    <mergeCell ref="WI40:WJ40"/>
    <mergeCell ref="WK40:WL40"/>
    <mergeCell ref="WM40:WN40"/>
    <mergeCell ref="WO40:WP40"/>
    <mergeCell ref="WQ40:WR40"/>
    <mergeCell ref="WS40:WT40"/>
    <mergeCell ref="VW40:VX40"/>
    <mergeCell ref="VY40:VZ40"/>
    <mergeCell ref="WA40:WB40"/>
    <mergeCell ref="WC40:WD40"/>
    <mergeCell ref="WE40:WF40"/>
    <mergeCell ref="WG40:WH40"/>
    <mergeCell ref="VK40:VL40"/>
    <mergeCell ref="VM40:VN40"/>
    <mergeCell ref="VO40:VP40"/>
    <mergeCell ref="VQ40:VR40"/>
    <mergeCell ref="VS40:VT40"/>
    <mergeCell ref="VU40:VV40"/>
    <mergeCell ref="UY40:UZ40"/>
    <mergeCell ref="VA40:VB40"/>
    <mergeCell ref="VC40:VD40"/>
    <mergeCell ref="VE40:VF40"/>
    <mergeCell ref="VG40:VH40"/>
    <mergeCell ref="VI40:VJ40"/>
    <mergeCell ref="UM40:UN40"/>
    <mergeCell ref="UO40:UP40"/>
    <mergeCell ref="UQ40:UR40"/>
    <mergeCell ref="US40:UT40"/>
    <mergeCell ref="UU40:UV40"/>
    <mergeCell ref="UW40:UX40"/>
    <mergeCell ref="UA40:UB40"/>
    <mergeCell ref="UC40:UD40"/>
    <mergeCell ref="UE40:UF40"/>
    <mergeCell ref="UG40:UH40"/>
    <mergeCell ref="UI40:UJ40"/>
    <mergeCell ref="UK40:UL40"/>
    <mergeCell ref="ZC40:ZD40"/>
    <mergeCell ref="ZE40:ZF40"/>
    <mergeCell ref="ZG40:ZH40"/>
    <mergeCell ref="ZI40:ZJ40"/>
    <mergeCell ref="ZK40:ZL40"/>
    <mergeCell ref="ZM40:ZN40"/>
    <mergeCell ref="YQ40:YR40"/>
    <mergeCell ref="YS40:YT40"/>
    <mergeCell ref="YU40:YV40"/>
    <mergeCell ref="YW40:YX40"/>
    <mergeCell ref="YY40:YZ40"/>
    <mergeCell ref="ZA40:ZB40"/>
    <mergeCell ref="YE40:YF40"/>
    <mergeCell ref="YG40:YH40"/>
    <mergeCell ref="YI40:YJ40"/>
    <mergeCell ref="YK40:YL40"/>
    <mergeCell ref="YM40:YN40"/>
    <mergeCell ref="YO40:YP40"/>
    <mergeCell ref="XS40:XT40"/>
    <mergeCell ref="XU40:XV40"/>
    <mergeCell ref="XW40:XX40"/>
    <mergeCell ref="XY40:XZ40"/>
    <mergeCell ref="YA40:YB40"/>
    <mergeCell ref="YC40:YD40"/>
    <mergeCell ref="XG40:XH40"/>
    <mergeCell ref="XI40:XJ40"/>
    <mergeCell ref="XK40:XL40"/>
    <mergeCell ref="XM40:XN40"/>
    <mergeCell ref="XO40:XP40"/>
    <mergeCell ref="XQ40:XR40"/>
    <mergeCell ref="WU40:WV40"/>
    <mergeCell ref="WW40:WX40"/>
    <mergeCell ref="WY40:WZ40"/>
    <mergeCell ref="XA40:XB40"/>
    <mergeCell ref="XC40:XD40"/>
    <mergeCell ref="XE40:XF40"/>
    <mergeCell ref="ABW40:ABX40"/>
    <mergeCell ref="ABY40:ABZ40"/>
    <mergeCell ref="ACA40:ACB40"/>
    <mergeCell ref="ACC40:ACD40"/>
    <mergeCell ref="ACE40:ACF40"/>
    <mergeCell ref="ACG40:ACH40"/>
    <mergeCell ref="ABK40:ABL40"/>
    <mergeCell ref="ABM40:ABN40"/>
    <mergeCell ref="ABO40:ABP40"/>
    <mergeCell ref="ABQ40:ABR40"/>
    <mergeCell ref="ABS40:ABT40"/>
    <mergeCell ref="ABU40:ABV40"/>
    <mergeCell ref="AAY40:AAZ40"/>
    <mergeCell ref="ABA40:ABB40"/>
    <mergeCell ref="ABC40:ABD40"/>
    <mergeCell ref="ABE40:ABF40"/>
    <mergeCell ref="ABG40:ABH40"/>
    <mergeCell ref="ABI40:ABJ40"/>
    <mergeCell ref="AAM40:AAN40"/>
    <mergeCell ref="AAO40:AAP40"/>
    <mergeCell ref="AAQ40:AAR40"/>
    <mergeCell ref="AAS40:AAT40"/>
    <mergeCell ref="AAU40:AAV40"/>
    <mergeCell ref="AAW40:AAX40"/>
    <mergeCell ref="AAA40:AAB40"/>
    <mergeCell ref="AAC40:AAD40"/>
    <mergeCell ref="AAE40:AAF40"/>
    <mergeCell ref="AAG40:AAH40"/>
    <mergeCell ref="AAI40:AAJ40"/>
    <mergeCell ref="AAK40:AAL40"/>
    <mergeCell ref="ZO40:ZP40"/>
    <mergeCell ref="ZQ40:ZR40"/>
    <mergeCell ref="ZS40:ZT40"/>
    <mergeCell ref="ZU40:ZV40"/>
    <mergeCell ref="ZW40:ZX40"/>
    <mergeCell ref="ZY40:ZZ40"/>
    <mergeCell ref="AEQ40:AER40"/>
    <mergeCell ref="AES40:AET40"/>
    <mergeCell ref="AEU40:AEV40"/>
    <mergeCell ref="AEW40:AEX40"/>
    <mergeCell ref="AEY40:AEZ40"/>
    <mergeCell ref="AFA40:AFB40"/>
    <mergeCell ref="AEE40:AEF40"/>
    <mergeCell ref="AEG40:AEH40"/>
    <mergeCell ref="AEI40:AEJ40"/>
    <mergeCell ref="AEK40:AEL40"/>
    <mergeCell ref="AEM40:AEN40"/>
    <mergeCell ref="AEO40:AEP40"/>
    <mergeCell ref="ADS40:ADT40"/>
    <mergeCell ref="ADU40:ADV40"/>
    <mergeCell ref="ADW40:ADX40"/>
    <mergeCell ref="ADY40:ADZ40"/>
    <mergeCell ref="AEA40:AEB40"/>
    <mergeCell ref="AEC40:AED40"/>
    <mergeCell ref="ADG40:ADH40"/>
    <mergeCell ref="ADI40:ADJ40"/>
    <mergeCell ref="ADK40:ADL40"/>
    <mergeCell ref="ADM40:ADN40"/>
    <mergeCell ref="ADO40:ADP40"/>
    <mergeCell ref="ADQ40:ADR40"/>
    <mergeCell ref="ACU40:ACV40"/>
    <mergeCell ref="ACW40:ACX40"/>
    <mergeCell ref="ACY40:ACZ40"/>
    <mergeCell ref="ADA40:ADB40"/>
    <mergeCell ref="ADC40:ADD40"/>
    <mergeCell ref="ADE40:ADF40"/>
    <mergeCell ref="ACI40:ACJ40"/>
    <mergeCell ref="ACK40:ACL40"/>
    <mergeCell ref="ACM40:ACN40"/>
    <mergeCell ref="ACO40:ACP40"/>
    <mergeCell ref="ACQ40:ACR40"/>
    <mergeCell ref="ACS40:ACT40"/>
    <mergeCell ref="AHK40:AHL40"/>
    <mergeCell ref="AHM40:AHN40"/>
    <mergeCell ref="AHO40:AHP40"/>
    <mergeCell ref="AHQ40:AHR40"/>
    <mergeCell ref="AHS40:AHT40"/>
    <mergeCell ref="AHU40:AHV40"/>
    <mergeCell ref="AGY40:AGZ40"/>
    <mergeCell ref="AHA40:AHB40"/>
    <mergeCell ref="AHC40:AHD40"/>
    <mergeCell ref="AHE40:AHF40"/>
    <mergeCell ref="AHG40:AHH40"/>
    <mergeCell ref="AHI40:AHJ40"/>
    <mergeCell ref="AGM40:AGN40"/>
    <mergeCell ref="AGO40:AGP40"/>
    <mergeCell ref="AGQ40:AGR40"/>
    <mergeCell ref="AGS40:AGT40"/>
    <mergeCell ref="AGU40:AGV40"/>
    <mergeCell ref="AGW40:AGX40"/>
    <mergeCell ref="AGA40:AGB40"/>
    <mergeCell ref="AGC40:AGD40"/>
    <mergeCell ref="AGE40:AGF40"/>
    <mergeCell ref="AGG40:AGH40"/>
    <mergeCell ref="AGI40:AGJ40"/>
    <mergeCell ref="AGK40:AGL40"/>
    <mergeCell ref="AFO40:AFP40"/>
    <mergeCell ref="AFQ40:AFR40"/>
    <mergeCell ref="AFS40:AFT40"/>
    <mergeCell ref="AFU40:AFV40"/>
    <mergeCell ref="AFW40:AFX40"/>
    <mergeCell ref="AFY40:AFZ40"/>
    <mergeCell ref="AFC40:AFD40"/>
    <mergeCell ref="AFE40:AFF40"/>
    <mergeCell ref="AFG40:AFH40"/>
    <mergeCell ref="AFI40:AFJ40"/>
    <mergeCell ref="AFK40:AFL40"/>
    <mergeCell ref="AFM40:AFN40"/>
    <mergeCell ref="AKE40:AKF40"/>
    <mergeCell ref="AKG40:AKH40"/>
    <mergeCell ref="AKI40:AKJ40"/>
    <mergeCell ref="AKK40:AKL40"/>
    <mergeCell ref="AKM40:AKN40"/>
    <mergeCell ref="AKO40:AKP40"/>
    <mergeCell ref="AJS40:AJT40"/>
    <mergeCell ref="AJU40:AJV40"/>
    <mergeCell ref="AJW40:AJX40"/>
    <mergeCell ref="AJY40:AJZ40"/>
    <mergeCell ref="AKA40:AKB40"/>
    <mergeCell ref="AKC40:AKD40"/>
    <mergeCell ref="AJG40:AJH40"/>
    <mergeCell ref="AJI40:AJJ40"/>
    <mergeCell ref="AJK40:AJL40"/>
    <mergeCell ref="AJM40:AJN40"/>
    <mergeCell ref="AJO40:AJP40"/>
    <mergeCell ref="AJQ40:AJR40"/>
    <mergeCell ref="AIU40:AIV40"/>
    <mergeCell ref="AIW40:AIX40"/>
    <mergeCell ref="AIY40:AIZ40"/>
    <mergeCell ref="AJA40:AJB40"/>
    <mergeCell ref="AJC40:AJD40"/>
    <mergeCell ref="AJE40:AJF40"/>
    <mergeCell ref="AII40:AIJ40"/>
    <mergeCell ref="AIK40:AIL40"/>
    <mergeCell ref="AIM40:AIN40"/>
    <mergeCell ref="AIO40:AIP40"/>
    <mergeCell ref="AIQ40:AIR40"/>
    <mergeCell ref="AIS40:AIT40"/>
    <mergeCell ref="AHW40:AHX40"/>
    <mergeCell ref="AHY40:AHZ40"/>
    <mergeCell ref="AIA40:AIB40"/>
    <mergeCell ref="AIC40:AID40"/>
    <mergeCell ref="AIE40:AIF40"/>
    <mergeCell ref="AIG40:AIH40"/>
    <mergeCell ref="AMY40:AMZ40"/>
    <mergeCell ref="ANA40:ANB40"/>
    <mergeCell ref="ANC40:AND40"/>
    <mergeCell ref="ANE40:ANF40"/>
    <mergeCell ref="ANG40:ANH40"/>
    <mergeCell ref="ANI40:ANJ40"/>
    <mergeCell ref="AMM40:AMN40"/>
    <mergeCell ref="AMO40:AMP40"/>
    <mergeCell ref="AMQ40:AMR40"/>
    <mergeCell ref="AMS40:AMT40"/>
    <mergeCell ref="AMU40:AMV40"/>
    <mergeCell ref="AMW40:AMX40"/>
    <mergeCell ref="AMA40:AMB40"/>
    <mergeCell ref="AMC40:AMD40"/>
    <mergeCell ref="AME40:AMF40"/>
    <mergeCell ref="AMG40:AMH40"/>
    <mergeCell ref="AMI40:AMJ40"/>
    <mergeCell ref="AMK40:AML40"/>
    <mergeCell ref="ALO40:ALP40"/>
    <mergeCell ref="ALQ40:ALR40"/>
    <mergeCell ref="ALS40:ALT40"/>
    <mergeCell ref="ALU40:ALV40"/>
    <mergeCell ref="ALW40:ALX40"/>
    <mergeCell ref="ALY40:ALZ40"/>
    <mergeCell ref="ALC40:ALD40"/>
    <mergeCell ref="ALE40:ALF40"/>
    <mergeCell ref="ALG40:ALH40"/>
    <mergeCell ref="ALI40:ALJ40"/>
    <mergeCell ref="ALK40:ALL40"/>
    <mergeCell ref="ALM40:ALN40"/>
    <mergeCell ref="AKQ40:AKR40"/>
    <mergeCell ref="AKS40:AKT40"/>
    <mergeCell ref="AKU40:AKV40"/>
    <mergeCell ref="AKW40:AKX40"/>
    <mergeCell ref="AKY40:AKZ40"/>
    <mergeCell ref="ALA40:ALB40"/>
    <mergeCell ref="APS40:APT40"/>
    <mergeCell ref="APU40:APV40"/>
    <mergeCell ref="APW40:APX40"/>
    <mergeCell ref="APY40:APZ40"/>
    <mergeCell ref="AQA40:AQB40"/>
    <mergeCell ref="AQC40:AQD40"/>
    <mergeCell ref="APG40:APH40"/>
    <mergeCell ref="API40:APJ40"/>
    <mergeCell ref="APK40:APL40"/>
    <mergeCell ref="APM40:APN40"/>
    <mergeCell ref="APO40:APP40"/>
    <mergeCell ref="APQ40:APR40"/>
    <mergeCell ref="AOU40:AOV40"/>
    <mergeCell ref="AOW40:AOX40"/>
    <mergeCell ref="AOY40:AOZ40"/>
    <mergeCell ref="APA40:APB40"/>
    <mergeCell ref="APC40:APD40"/>
    <mergeCell ref="APE40:APF40"/>
    <mergeCell ref="AOI40:AOJ40"/>
    <mergeCell ref="AOK40:AOL40"/>
    <mergeCell ref="AOM40:AON40"/>
    <mergeCell ref="AOO40:AOP40"/>
    <mergeCell ref="AOQ40:AOR40"/>
    <mergeCell ref="AOS40:AOT40"/>
    <mergeCell ref="ANW40:ANX40"/>
    <mergeCell ref="ANY40:ANZ40"/>
    <mergeCell ref="AOA40:AOB40"/>
    <mergeCell ref="AOC40:AOD40"/>
    <mergeCell ref="AOE40:AOF40"/>
    <mergeCell ref="AOG40:AOH40"/>
    <mergeCell ref="ANK40:ANL40"/>
    <mergeCell ref="ANM40:ANN40"/>
    <mergeCell ref="ANO40:ANP40"/>
    <mergeCell ref="ANQ40:ANR40"/>
    <mergeCell ref="ANS40:ANT40"/>
    <mergeCell ref="ANU40:ANV40"/>
    <mergeCell ref="ASM40:ASN40"/>
    <mergeCell ref="ASO40:ASP40"/>
    <mergeCell ref="ASQ40:ASR40"/>
    <mergeCell ref="ASS40:AST40"/>
    <mergeCell ref="ASU40:ASV40"/>
    <mergeCell ref="ASW40:ASX40"/>
    <mergeCell ref="ASA40:ASB40"/>
    <mergeCell ref="ASC40:ASD40"/>
    <mergeCell ref="ASE40:ASF40"/>
    <mergeCell ref="ASG40:ASH40"/>
    <mergeCell ref="ASI40:ASJ40"/>
    <mergeCell ref="ASK40:ASL40"/>
    <mergeCell ref="ARO40:ARP40"/>
    <mergeCell ref="ARQ40:ARR40"/>
    <mergeCell ref="ARS40:ART40"/>
    <mergeCell ref="ARU40:ARV40"/>
    <mergeCell ref="ARW40:ARX40"/>
    <mergeCell ref="ARY40:ARZ40"/>
    <mergeCell ref="ARC40:ARD40"/>
    <mergeCell ref="ARE40:ARF40"/>
    <mergeCell ref="ARG40:ARH40"/>
    <mergeCell ref="ARI40:ARJ40"/>
    <mergeCell ref="ARK40:ARL40"/>
    <mergeCell ref="ARM40:ARN40"/>
    <mergeCell ref="AQQ40:AQR40"/>
    <mergeCell ref="AQS40:AQT40"/>
    <mergeCell ref="AQU40:AQV40"/>
    <mergeCell ref="AQW40:AQX40"/>
    <mergeCell ref="AQY40:AQZ40"/>
    <mergeCell ref="ARA40:ARB40"/>
    <mergeCell ref="AQE40:AQF40"/>
    <mergeCell ref="AQG40:AQH40"/>
    <mergeCell ref="AQI40:AQJ40"/>
    <mergeCell ref="AQK40:AQL40"/>
    <mergeCell ref="AQM40:AQN40"/>
    <mergeCell ref="AQO40:AQP40"/>
    <mergeCell ref="AVG40:AVH40"/>
    <mergeCell ref="AVI40:AVJ40"/>
    <mergeCell ref="AVK40:AVL40"/>
    <mergeCell ref="AVM40:AVN40"/>
    <mergeCell ref="AVO40:AVP40"/>
    <mergeCell ref="AVQ40:AVR40"/>
    <mergeCell ref="AUU40:AUV40"/>
    <mergeCell ref="AUW40:AUX40"/>
    <mergeCell ref="AUY40:AUZ40"/>
    <mergeCell ref="AVA40:AVB40"/>
    <mergeCell ref="AVC40:AVD40"/>
    <mergeCell ref="AVE40:AVF40"/>
    <mergeCell ref="AUI40:AUJ40"/>
    <mergeCell ref="AUK40:AUL40"/>
    <mergeCell ref="AUM40:AUN40"/>
    <mergeCell ref="AUO40:AUP40"/>
    <mergeCell ref="AUQ40:AUR40"/>
    <mergeCell ref="AUS40:AUT40"/>
    <mergeCell ref="ATW40:ATX40"/>
    <mergeCell ref="ATY40:ATZ40"/>
    <mergeCell ref="AUA40:AUB40"/>
    <mergeCell ref="AUC40:AUD40"/>
    <mergeCell ref="AUE40:AUF40"/>
    <mergeCell ref="AUG40:AUH40"/>
    <mergeCell ref="ATK40:ATL40"/>
    <mergeCell ref="ATM40:ATN40"/>
    <mergeCell ref="ATO40:ATP40"/>
    <mergeCell ref="ATQ40:ATR40"/>
    <mergeCell ref="ATS40:ATT40"/>
    <mergeCell ref="ATU40:ATV40"/>
    <mergeCell ref="ASY40:ASZ40"/>
    <mergeCell ref="ATA40:ATB40"/>
    <mergeCell ref="ATC40:ATD40"/>
    <mergeCell ref="ATE40:ATF40"/>
    <mergeCell ref="ATG40:ATH40"/>
    <mergeCell ref="ATI40:ATJ40"/>
    <mergeCell ref="AYA40:AYB40"/>
    <mergeCell ref="AYC40:AYD40"/>
    <mergeCell ref="AYE40:AYF40"/>
    <mergeCell ref="AYG40:AYH40"/>
    <mergeCell ref="AYI40:AYJ40"/>
    <mergeCell ref="AYK40:AYL40"/>
    <mergeCell ref="AXO40:AXP40"/>
    <mergeCell ref="AXQ40:AXR40"/>
    <mergeCell ref="AXS40:AXT40"/>
    <mergeCell ref="AXU40:AXV40"/>
    <mergeCell ref="AXW40:AXX40"/>
    <mergeCell ref="AXY40:AXZ40"/>
    <mergeCell ref="AXC40:AXD40"/>
    <mergeCell ref="AXE40:AXF40"/>
    <mergeCell ref="AXG40:AXH40"/>
    <mergeCell ref="AXI40:AXJ40"/>
    <mergeCell ref="AXK40:AXL40"/>
    <mergeCell ref="AXM40:AXN40"/>
    <mergeCell ref="AWQ40:AWR40"/>
    <mergeCell ref="AWS40:AWT40"/>
    <mergeCell ref="AWU40:AWV40"/>
    <mergeCell ref="AWW40:AWX40"/>
    <mergeCell ref="AWY40:AWZ40"/>
    <mergeCell ref="AXA40:AXB40"/>
    <mergeCell ref="AWE40:AWF40"/>
    <mergeCell ref="AWG40:AWH40"/>
    <mergeCell ref="AWI40:AWJ40"/>
    <mergeCell ref="AWK40:AWL40"/>
    <mergeCell ref="AWM40:AWN40"/>
    <mergeCell ref="AWO40:AWP40"/>
    <mergeCell ref="AVS40:AVT40"/>
    <mergeCell ref="AVU40:AVV40"/>
    <mergeCell ref="AVW40:AVX40"/>
    <mergeCell ref="AVY40:AVZ40"/>
    <mergeCell ref="AWA40:AWB40"/>
    <mergeCell ref="AWC40:AWD40"/>
    <mergeCell ref="BAU40:BAV40"/>
    <mergeCell ref="BAW40:BAX40"/>
    <mergeCell ref="BAY40:BAZ40"/>
    <mergeCell ref="BBA40:BBB40"/>
    <mergeCell ref="BBC40:BBD40"/>
    <mergeCell ref="BBE40:BBF40"/>
    <mergeCell ref="BAI40:BAJ40"/>
    <mergeCell ref="BAK40:BAL40"/>
    <mergeCell ref="BAM40:BAN40"/>
    <mergeCell ref="BAO40:BAP40"/>
    <mergeCell ref="BAQ40:BAR40"/>
    <mergeCell ref="BAS40:BAT40"/>
    <mergeCell ref="AZW40:AZX40"/>
    <mergeCell ref="AZY40:AZZ40"/>
    <mergeCell ref="BAA40:BAB40"/>
    <mergeCell ref="BAC40:BAD40"/>
    <mergeCell ref="BAE40:BAF40"/>
    <mergeCell ref="BAG40:BAH40"/>
    <mergeCell ref="AZK40:AZL40"/>
    <mergeCell ref="AZM40:AZN40"/>
    <mergeCell ref="AZO40:AZP40"/>
    <mergeCell ref="AZQ40:AZR40"/>
    <mergeCell ref="AZS40:AZT40"/>
    <mergeCell ref="AZU40:AZV40"/>
    <mergeCell ref="AYY40:AYZ40"/>
    <mergeCell ref="AZA40:AZB40"/>
    <mergeCell ref="AZC40:AZD40"/>
    <mergeCell ref="AZE40:AZF40"/>
    <mergeCell ref="AZG40:AZH40"/>
    <mergeCell ref="AZI40:AZJ40"/>
    <mergeCell ref="AYM40:AYN40"/>
    <mergeCell ref="AYO40:AYP40"/>
    <mergeCell ref="AYQ40:AYR40"/>
    <mergeCell ref="AYS40:AYT40"/>
    <mergeCell ref="AYU40:AYV40"/>
    <mergeCell ref="AYW40:AYX40"/>
    <mergeCell ref="BDO40:BDP40"/>
    <mergeCell ref="BDQ40:BDR40"/>
    <mergeCell ref="BDS40:BDT40"/>
    <mergeCell ref="BDU40:BDV40"/>
    <mergeCell ref="BDW40:BDX40"/>
    <mergeCell ref="BDY40:BDZ40"/>
    <mergeCell ref="BDC40:BDD40"/>
    <mergeCell ref="BDE40:BDF40"/>
    <mergeCell ref="BDG40:BDH40"/>
    <mergeCell ref="BDI40:BDJ40"/>
    <mergeCell ref="BDK40:BDL40"/>
    <mergeCell ref="BDM40:BDN40"/>
    <mergeCell ref="BCQ40:BCR40"/>
    <mergeCell ref="BCS40:BCT40"/>
    <mergeCell ref="BCU40:BCV40"/>
    <mergeCell ref="BCW40:BCX40"/>
    <mergeCell ref="BCY40:BCZ40"/>
    <mergeCell ref="BDA40:BDB40"/>
    <mergeCell ref="BCE40:BCF40"/>
    <mergeCell ref="BCG40:BCH40"/>
    <mergeCell ref="BCI40:BCJ40"/>
    <mergeCell ref="BCK40:BCL40"/>
    <mergeCell ref="BCM40:BCN40"/>
    <mergeCell ref="BCO40:BCP40"/>
    <mergeCell ref="BBS40:BBT40"/>
    <mergeCell ref="BBU40:BBV40"/>
    <mergeCell ref="BBW40:BBX40"/>
    <mergeCell ref="BBY40:BBZ40"/>
    <mergeCell ref="BCA40:BCB40"/>
    <mergeCell ref="BCC40:BCD40"/>
    <mergeCell ref="BBG40:BBH40"/>
    <mergeCell ref="BBI40:BBJ40"/>
    <mergeCell ref="BBK40:BBL40"/>
    <mergeCell ref="BBM40:BBN40"/>
    <mergeCell ref="BBO40:BBP40"/>
    <mergeCell ref="BBQ40:BBR40"/>
    <mergeCell ref="BGI40:BGJ40"/>
    <mergeCell ref="BGK40:BGL40"/>
    <mergeCell ref="BGM40:BGN40"/>
    <mergeCell ref="BGO40:BGP40"/>
    <mergeCell ref="BGQ40:BGR40"/>
    <mergeCell ref="BGS40:BGT40"/>
    <mergeCell ref="BFW40:BFX40"/>
    <mergeCell ref="BFY40:BFZ40"/>
    <mergeCell ref="BGA40:BGB40"/>
    <mergeCell ref="BGC40:BGD40"/>
    <mergeCell ref="BGE40:BGF40"/>
    <mergeCell ref="BGG40:BGH40"/>
    <mergeCell ref="BFK40:BFL40"/>
    <mergeCell ref="BFM40:BFN40"/>
    <mergeCell ref="BFO40:BFP40"/>
    <mergeCell ref="BFQ40:BFR40"/>
    <mergeCell ref="BFS40:BFT40"/>
    <mergeCell ref="BFU40:BFV40"/>
    <mergeCell ref="BEY40:BEZ40"/>
    <mergeCell ref="BFA40:BFB40"/>
    <mergeCell ref="BFC40:BFD40"/>
    <mergeCell ref="BFE40:BFF40"/>
    <mergeCell ref="BFG40:BFH40"/>
    <mergeCell ref="BFI40:BFJ40"/>
    <mergeCell ref="BEM40:BEN40"/>
    <mergeCell ref="BEO40:BEP40"/>
    <mergeCell ref="BEQ40:BER40"/>
    <mergeCell ref="BES40:BET40"/>
    <mergeCell ref="BEU40:BEV40"/>
    <mergeCell ref="BEW40:BEX40"/>
    <mergeCell ref="BEA40:BEB40"/>
    <mergeCell ref="BEC40:BED40"/>
    <mergeCell ref="BEE40:BEF40"/>
    <mergeCell ref="BEG40:BEH40"/>
    <mergeCell ref="BEI40:BEJ40"/>
    <mergeCell ref="BEK40:BEL40"/>
    <mergeCell ref="BJC40:BJD40"/>
    <mergeCell ref="BJE40:BJF40"/>
    <mergeCell ref="BJG40:BJH40"/>
    <mergeCell ref="BJI40:BJJ40"/>
    <mergeCell ref="BJK40:BJL40"/>
    <mergeCell ref="BJM40:BJN40"/>
    <mergeCell ref="BIQ40:BIR40"/>
    <mergeCell ref="BIS40:BIT40"/>
    <mergeCell ref="BIU40:BIV40"/>
    <mergeCell ref="BIW40:BIX40"/>
    <mergeCell ref="BIY40:BIZ40"/>
    <mergeCell ref="BJA40:BJB40"/>
    <mergeCell ref="BIE40:BIF40"/>
    <mergeCell ref="BIG40:BIH40"/>
    <mergeCell ref="BII40:BIJ40"/>
    <mergeCell ref="BIK40:BIL40"/>
    <mergeCell ref="BIM40:BIN40"/>
    <mergeCell ref="BIO40:BIP40"/>
    <mergeCell ref="BHS40:BHT40"/>
    <mergeCell ref="BHU40:BHV40"/>
    <mergeCell ref="BHW40:BHX40"/>
    <mergeCell ref="BHY40:BHZ40"/>
    <mergeCell ref="BIA40:BIB40"/>
    <mergeCell ref="BIC40:BID40"/>
    <mergeCell ref="BHG40:BHH40"/>
    <mergeCell ref="BHI40:BHJ40"/>
    <mergeCell ref="BHK40:BHL40"/>
    <mergeCell ref="BHM40:BHN40"/>
    <mergeCell ref="BHO40:BHP40"/>
    <mergeCell ref="BHQ40:BHR40"/>
    <mergeCell ref="BGU40:BGV40"/>
    <mergeCell ref="BGW40:BGX40"/>
    <mergeCell ref="BGY40:BGZ40"/>
    <mergeCell ref="BHA40:BHB40"/>
    <mergeCell ref="BHC40:BHD40"/>
    <mergeCell ref="BHE40:BHF40"/>
    <mergeCell ref="BLW40:BLX40"/>
    <mergeCell ref="BLY40:BLZ40"/>
    <mergeCell ref="BMA40:BMB40"/>
    <mergeCell ref="BMC40:BMD40"/>
    <mergeCell ref="BME40:BMF40"/>
    <mergeCell ref="BMG40:BMH40"/>
    <mergeCell ref="BLK40:BLL40"/>
    <mergeCell ref="BLM40:BLN40"/>
    <mergeCell ref="BLO40:BLP40"/>
    <mergeCell ref="BLQ40:BLR40"/>
    <mergeCell ref="BLS40:BLT40"/>
    <mergeCell ref="BLU40:BLV40"/>
    <mergeCell ref="BKY40:BKZ40"/>
    <mergeCell ref="BLA40:BLB40"/>
    <mergeCell ref="BLC40:BLD40"/>
    <mergeCell ref="BLE40:BLF40"/>
    <mergeCell ref="BLG40:BLH40"/>
    <mergeCell ref="BLI40:BLJ40"/>
    <mergeCell ref="BKM40:BKN40"/>
    <mergeCell ref="BKO40:BKP40"/>
    <mergeCell ref="BKQ40:BKR40"/>
    <mergeCell ref="BKS40:BKT40"/>
    <mergeCell ref="BKU40:BKV40"/>
    <mergeCell ref="BKW40:BKX40"/>
    <mergeCell ref="BKA40:BKB40"/>
    <mergeCell ref="BKC40:BKD40"/>
    <mergeCell ref="BKE40:BKF40"/>
    <mergeCell ref="BKG40:BKH40"/>
    <mergeCell ref="BKI40:BKJ40"/>
    <mergeCell ref="BKK40:BKL40"/>
    <mergeCell ref="BJO40:BJP40"/>
    <mergeCell ref="BJQ40:BJR40"/>
    <mergeCell ref="BJS40:BJT40"/>
    <mergeCell ref="BJU40:BJV40"/>
    <mergeCell ref="BJW40:BJX40"/>
    <mergeCell ref="BJY40:BJZ40"/>
    <mergeCell ref="BOQ40:BOR40"/>
    <mergeCell ref="BOS40:BOT40"/>
    <mergeCell ref="BOU40:BOV40"/>
    <mergeCell ref="BOW40:BOX40"/>
    <mergeCell ref="BOY40:BOZ40"/>
    <mergeCell ref="BPA40:BPB40"/>
    <mergeCell ref="BOE40:BOF40"/>
    <mergeCell ref="BOG40:BOH40"/>
    <mergeCell ref="BOI40:BOJ40"/>
    <mergeCell ref="BOK40:BOL40"/>
    <mergeCell ref="BOM40:BON40"/>
    <mergeCell ref="BOO40:BOP40"/>
    <mergeCell ref="BNS40:BNT40"/>
    <mergeCell ref="BNU40:BNV40"/>
    <mergeCell ref="BNW40:BNX40"/>
    <mergeCell ref="BNY40:BNZ40"/>
    <mergeCell ref="BOA40:BOB40"/>
    <mergeCell ref="BOC40:BOD40"/>
    <mergeCell ref="BNG40:BNH40"/>
    <mergeCell ref="BNI40:BNJ40"/>
    <mergeCell ref="BNK40:BNL40"/>
    <mergeCell ref="BNM40:BNN40"/>
    <mergeCell ref="BNO40:BNP40"/>
    <mergeCell ref="BNQ40:BNR40"/>
    <mergeCell ref="BMU40:BMV40"/>
    <mergeCell ref="BMW40:BMX40"/>
    <mergeCell ref="BMY40:BMZ40"/>
    <mergeCell ref="BNA40:BNB40"/>
    <mergeCell ref="BNC40:BND40"/>
    <mergeCell ref="BNE40:BNF40"/>
    <mergeCell ref="BMI40:BMJ40"/>
    <mergeCell ref="BMK40:BML40"/>
    <mergeCell ref="BMM40:BMN40"/>
    <mergeCell ref="BMO40:BMP40"/>
    <mergeCell ref="BMQ40:BMR40"/>
    <mergeCell ref="BMS40:BMT40"/>
    <mergeCell ref="BRK40:BRL40"/>
    <mergeCell ref="BRM40:BRN40"/>
    <mergeCell ref="BRO40:BRP40"/>
    <mergeCell ref="BRQ40:BRR40"/>
    <mergeCell ref="BRS40:BRT40"/>
    <mergeCell ref="BRU40:BRV40"/>
    <mergeCell ref="BQY40:BQZ40"/>
    <mergeCell ref="BRA40:BRB40"/>
    <mergeCell ref="BRC40:BRD40"/>
    <mergeCell ref="BRE40:BRF40"/>
    <mergeCell ref="BRG40:BRH40"/>
    <mergeCell ref="BRI40:BRJ40"/>
    <mergeCell ref="BQM40:BQN40"/>
    <mergeCell ref="BQO40:BQP40"/>
    <mergeCell ref="BQQ40:BQR40"/>
    <mergeCell ref="BQS40:BQT40"/>
    <mergeCell ref="BQU40:BQV40"/>
    <mergeCell ref="BQW40:BQX40"/>
    <mergeCell ref="BQA40:BQB40"/>
    <mergeCell ref="BQC40:BQD40"/>
    <mergeCell ref="BQE40:BQF40"/>
    <mergeCell ref="BQG40:BQH40"/>
    <mergeCell ref="BQI40:BQJ40"/>
    <mergeCell ref="BQK40:BQL40"/>
    <mergeCell ref="BPO40:BPP40"/>
    <mergeCell ref="BPQ40:BPR40"/>
    <mergeCell ref="BPS40:BPT40"/>
    <mergeCell ref="BPU40:BPV40"/>
    <mergeCell ref="BPW40:BPX40"/>
    <mergeCell ref="BPY40:BPZ40"/>
    <mergeCell ref="BPC40:BPD40"/>
    <mergeCell ref="BPE40:BPF40"/>
    <mergeCell ref="BPG40:BPH40"/>
    <mergeCell ref="BPI40:BPJ40"/>
    <mergeCell ref="BPK40:BPL40"/>
    <mergeCell ref="BPM40:BPN40"/>
    <mergeCell ref="BUE40:BUF40"/>
    <mergeCell ref="BUG40:BUH40"/>
    <mergeCell ref="BUI40:BUJ40"/>
    <mergeCell ref="BUK40:BUL40"/>
    <mergeCell ref="BUM40:BUN40"/>
    <mergeCell ref="BUO40:BUP40"/>
    <mergeCell ref="BTS40:BTT40"/>
    <mergeCell ref="BTU40:BTV40"/>
    <mergeCell ref="BTW40:BTX40"/>
    <mergeCell ref="BTY40:BTZ40"/>
    <mergeCell ref="BUA40:BUB40"/>
    <mergeCell ref="BUC40:BUD40"/>
    <mergeCell ref="BTG40:BTH40"/>
    <mergeCell ref="BTI40:BTJ40"/>
    <mergeCell ref="BTK40:BTL40"/>
    <mergeCell ref="BTM40:BTN40"/>
    <mergeCell ref="BTO40:BTP40"/>
    <mergeCell ref="BTQ40:BTR40"/>
    <mergeCell ref="BSU40:BSV40"/>
    <mergeCell ref="BSW40:BSX40"/>
    <mergeCell ref="BSY40:BSZ40"/>
    <mergeCell ref="BTA40:BTB40"/>
    <mergeCell ref="BTC40:BTD40"/>
    <mergeCell ref="BTE40:BTF40"/>
    <mergeCell ref="BSI40:BSJ40"/>
    <mergeCell ref="BSK40:BSL40"/>
    <mergeCell ref="BSM40:BSN40"/>
    <mergeCell ref="BSO40:BSP40"/>
    <mergeCell ref="BSQ40:BSR40"/>
    <mergeCell ref="BSS40:BST40"/>
    <mergeCell ref="BRW40:BRX40"/>
    <mergeCell ref="BRY40:BRZ40"/>
    <mergeCell ref="BSA40:BSB40"/>
    <mergeCell ref="BSC40:BSD40"/>
    <mergeCell ref="BSE40:BSF40"/>
    <mergeCell ref="BSG40:BSH40"/>
    <mergeCell ref="BWY40:BWZ40"/>
    <mergeCell ref="BXA40:BXB40"/>
    <mergeCell ref="BXC40:BXD40"/>
    <mergeCell ref="BXE40:BXF40"/>
    <mergeCell ref="BXG40:BXH40"/>
    <mergeCell ref="BXI40:BXJ40"/>
    <mergeCell ref="BWM40:BWN40"/>
    <mergeCell ref="BWO40:BWP40"/>
    <mergeCell ref="BWQ40:BWR40"/>
    <mergeCell ref="BWS40:BWT40"/>
    <mergeCell ref="BWU40:BWV40"/>
    <mergeCell ref="BWW40:BWX40"/>
    <mergeCell ref="BWA40:BWB40"/>
    <mergeCell ref="BWC40:BWD40"/>
    <mergeCell ref="BWE40:BWF40"/>
    <mergeCell ref="BWG40:BWH40"/>
    <mergeCell ref="BWI40:BWJ40"/>
    <mergeCell ref="BWK40:BWL40"/>
    <mergeCell ref="BVO40:BVP40"/>
    <mergeCell ref="BVQ40:BVR40"/>
    <mergeCell ref="BVS40:BVT40"/>
    <mergeCell ref="BVU40:BVV40"/>
    <mergeCell ref="BVW40:BVX40"/>
    <mergeCell ref="BVY40:BVZ40"/>
    <mergeCell ref="BVC40:BVD40"/>
    <mergeCell ref="BVE40:BVF40"/>
    <mergeCell ref="BVG40:BVH40"/>
    <mergeCell ref="BVI40:BVJ40"/>
    <mergeCell ref="BVK40:BVL40"/>
    <mergeCell ref="BVM40:BVN40"/>
    <mergeCell ref="BUQ40:BUR40"/>
    <mergeCell ref="BUS40:BUT40"/>
    <mergeCell ref="BUU40:BUV40"/>
    <mergeCell ref="BUW40:BUX40"/>
    <mergeCell ref="BUY40:BUZ40"/>
    <mergeCell ref="BVA40:BVB40"/>
    <mergeCell ref="BZS40:BZT40"/>
    <mergeCell ref="BZU40:BZV40"/>
    <mergeCell ref="BZW40:BZX40"/>
    <mergeCell ref="BZY40:BZZ40"/>
    <mergeCell ref="CAA40:CAB40"/>
    <mergeCell ref="CAC40:CAD40"/>
    <mergeCell ref="BZG40:BZH40"/>
    <mergeCell ref="BZI40:BZJ40"/>
    <mergeCell ref="BZK40:BZL40"/>
    <mergeCell ref="BZM40:BZN40"/>
    <mergeCell ref="BZO40:BZP40"/>
    <mergeCell ref="BZQ40:BZR40"/>
    <mergeCell ref="BYU40:BYV40"/>
    <mergeCell ref="BYW40:BYX40"/>
    <mergeCell ref="BYY40:BYZ40"/>
    <mergeCell ref="BZA40:BZB40"/>
    <mergeCell ref="BZC40:BZD40"/>
    <mergeCell ref="BZE40:BZF40"/>
    <mergeCell ref="BYI40:BYJ40"/>
    <mergeCell ref="BYK40:BYL40"/>
    <mergeCell ref="BYM40:BYN40"/>
    <mergeCell ref="BYO40:BYP40"/>
    <mergeCell ref="BYQ40:BYR40"/>
    <mergeCell ref="BYS40:BYT40"/>
    <mergeCell ref="BXW40:BXX40"/>
    <mergeCell ref="BXY40:BXZ40"/>
    <mergeCell ref="BYA40:BYB40"/>
    <mergeCell ref="BYC40:BYD40"/>
    <mergeCell ref="BYE40:BYF40"/>
    <mergeCell ref="BYG40:BYH40"/>
    <mergeCell ref="BXK40:BXL40"/>
    <mergeCell ref="BXM40:BXN40"/>
    <mergeCell ref="BXO40:BXP40"/>
    <mergeCell ref="BXQ40:BXR40"/>
    <mergeCell ref="BXS40:BXT40"/>
    <mergeCell ref="BXU40:BXV40"/>
    <mergeCell ref="CCM40:CCN40"/>
    <mergeCell ref="CCO40:CCP40"/>
    <mergeCell ref="CCQ40:CCR40"/>
    <mergeCell ref="CCS40:CCT40"/>
    <mergeCell ref="CCU40:CCV40"/>
    <mergeCell ref="CCW40:CCX40"/>
    <mergeCell ref="CCA40:CCB40"/>
    <mergeCell ref="CCC40:CCD40"/>
    <mergeCell ref="CCE40:CCF40"/>
    <mergeCell ref="CCG40:CCH40"/>
    <mergeCell ref="CCI40:CCJ40"/>
    <mergeCell ref="CCK40:CCL40"/>
    <mergeCell ref="CBO40:CBP40"/>
    <mergeCell ref="CBQ40:CBR40"/>
    <mergeCell ref="CBS40:CBT40"/>
    <mergeCell ref="CBU40:CBV40"/>
    <mergeCell ref="CBW40:CBX40"/>
    <mergeCell ref="CBY40:CBZ40"/>
    <mergeCell ref="CBC40:CBD40"/>
    <mergeCell ref="CBE40:CBF40"/>
    <mergeCell ref="CBG40:CBH40"/>
    <mergeCell ref="CBI40:CBJ40"/>
    <mergeCell ref="CBK40:CBL40"/>
    <mergeCell ref="CBM40:CBN40"/>
    <mergeCell ref="CAQ40:CAR40"/>
    <mergeCell ref="CAS40:CAT40"/>
    <mergeCell ref="CAU40:CAV40"/>
    <mergeCell ref="CAW40:CAX40"/>
    <mergeCell ref="CAY40:CAZ40"/>
    <mergeCell ref="CBA40:CBB40"/>
    <mergeCell ref="CAE40:CAF40"/>
    <mergeCell ref="CAG40:CAH40"/>
    <mergeCell ref="CAI40:CAJ40"/>
    <mergeCell ref="CAK40:CAL40"/>
    <mergeCell ref="CAM40:CAN40"/>
    <mergeCell ref="CAO40:CAP40"/>
    <mergeCell ref="CFG40:CFH40"/>
    <mergeCell ref="CFI40:CFJ40"/>
    <mergeCell ref="CFK40:CFL40"/>
    <mergeCell ref="CFM40:CFN40"/>
    <mergeCell ref="CFO40:CFP40"/>
    <mergeCell ref="CFQ40:CFR40"/>
    <mergeCell ref="CEU40:CEV40"/>
    <mergeCell ref="CEW40:CEX40"/>
    <mergeCell ref="CEY40:CEZ40"/>
    <mergeCell ref="CFA40:CFB40"/>
    <mergeCell ref="CFC40:CFD40"/>
    <mergeCell ref="CFE40:CFF40"/>
    <mergeCell ref="CEI40:CEJ40"/>
    <mergeCell ref="CEK40:CEL40"/>
    <mergeCell ref="CEM40:CEN40"/>
    <mergeCell ref="CEO40:CEP40"/>
    <mergeCell ref="CEQ40:CER40"/>
    <mergeCell ref="CES40:CET40"/>
    <mergeCell ref="CDW40:CDX40"/>
    <mergeCell ref="CDY40:CDZ40"/>
    <mergeCell ref="CEA40:CEB40"/>
    <mergeCell ref="CEC40:CED40"/>
    <mergeCell ref="CEE40:CEF40"/>
    <mergeCell ref="CEG40:CEH40"/>
    <mergeCell ref="CDK40:CDL40"/>
    <mergeCell ref="CDM40:CDN40"/>
    <mergeCell ref="CDO40:CDP40"/>
    <mergeCell ref="CDQ40:CDR40"/>
    <mergeCell ref="CDS40:CDT40"/>
    <mergeCell ref="CDU40:CDV40"/>
    <mergeCell ref="CCY40:CCZ40"/>
    <mergeCell ref="CDA40:CDB40"/>
    <mergeCell ref="CDC40:CDD40"/>
    <mergeCell ref="CDE40:CDF40"/>
    <mergeCell ref="CDG40:CDH40"/>
    <mergeCell ref="CDI40:CDJ40"/>
    <mergeCell ref="CIA40:CIB40"/>
    <mergeCell ref="CIC40:CID40"/>
    <mergeCell ref="CIE40:CIF40"/>
    <mergeCell ref="CIG40:CIH40"/>
    <mergeCell ref="CII40:CIJ40"/>
    <mergeCell ref="CIK40:CIL40"/>
    <mergeCell ref="CHO40:CHP40"/>
    <mergeCell ref="CHQ40:CHR40"/>
    <mergeCell ref="CHS40:CHT40"/>
    <mergeCell ref="CHU40:CHV40"/>
    <mergeCell ref="CHW40:CHX40"/>
    <mergeCell ref="CHY40:CHZ40"/>
    <mergeCell ref="CHC40:CHD40"/>
    <mergeCell ref="CHE40:CHF40"/>
    <mergeCell ref="CHG40:CHH40"/>
    <mergeCell ref="CHI40:CHJ40"/>
    <mergeCell ref="CHK40:CHL40"/>
    <mergeCell ref="CHM40:CHN40"/>
    <mergeCell ref="CGQ40:CGR40"/>
    <mergeCell ref="CGS40:CGT40"/>
    <mergeCell ref="CGU40:CGV40"/>
    <mergeCell ref="CGW40:CGX40"/>
    <mergeCell ref="CGY40:CGZ40"/>
    <mergeCell ref="CHA40:CHB40"/>
    <mergeCell ref="CGE40:CGF40"/>
    <mergeCell ref="CGG40:CGH40"/>
    <mergeCell ref="CGI40:CGJ40"/>
    <mergeCell ref="CGK40:CGL40"/>
    <mergeCell ref="CGM40:CGN40"/>
    <mergeCell ref="CGO40:CGP40"/>
    <mergeCell ref="CFS40:CFT40"/>
    <mergeCell ref="CFU40:CFV40"/>
    <mergeCell ref="CFW40:CFX40"/>
    <mergeCell ref="CFY40:CFZ40"/>
    <mergeCell ref="CGA40:CGB40"/>
    <mergeCell ref="CGC40:CGD40"/>
    <mergeCell ref="CKU40:CKV40"/>
    <mergeCell ref="CKW40:CKX40"/>
    <mergeCell ref="CKY40:CKZ40"/>
    <mergeCell ref="CLA40:CLB40"/>
    <mergeCell ref="CLC40:CLD40"/>
    <mergeCell ref="CLE40:CLF40"/>
    <mergeCell ref="CKI40:CKJ40"/>
    <mergeCell ref="CKK40:CKL40"/>
    <mergeCell ref="CKM40:CKN40"/>
    <mergeCell ref="CKO40:CKP40"/>
    <mergeCell ref="CKQ40:CKR40"/>
    <mergeCell ref="CKS40:CKT40"/>
    <mergeCell ref="CJW40:CJX40"/>
    <mergeCell ref="CJY40:CJZ40"/>
    <mergeCell ref="CKA40:CKB40"/>
    <mergeCell ref="CKC40:CKD40"/>
    <mergeCell ref="CKE40:CKF40"/>
    <mergeCell ref="CKG40:CKH40"/>
    <mergeCell ref="CJK40:CJL40"/>
    <mergeCell ref="CJM40:CJN40"/>
    <mergeCell ref="CJO40:CJP40"/>
    <mergeCell ref="CJQ40:CJR40"/>
    <mergeCell ref="CJS40:CJT40"/>
    <mergeCell ref="CJU40:CJV40"/>
    <mergeCell ref="CIY40:CIZ40"/>
    <mergeCell ref="CJA40:CJB40"/>
    <mergeCell ref="CJC40:CJD40"/>
    <mergeCell ref="CJE40:CJF40"/>
    <mergeCell ref="CJG40:CJH40"/>
    <mergeCell ref="CJI40:CJJ40"/>
    <mergeCell ref="CIM40:CIN40"/>
    <mergeCell ref="CIO40:CIP40"/>
    <mergeCell ref="CIQ40:CIR40"/>
    <mergeCell ref="CIS40:CIT40"/>
    <mergeCell ref="CIU40:CIV40"/>
    <mergeCell ref="CIW40:CIX40"/>
    <mergeCell ref="CNO40:CNP40"/>
    <mergeCell ref="CNQ40:CNR40"/>
    <mergeCell ref="CNS40:CNT40"/>
    <mergeCell ref="CNU40:CNV40"/>
    <mergeCell ref="CNW40:CNX40"/>
    <mergeCell ref="CNY40:CNZ40"/>
    <mergeCell ref="CNC40:CND40"/>
    <mergeCell ref="CNE40:CNF40"/>
    <mergeCell ref="CNG40:CNH40"/>
    <mergeCell ref="CNI40:CNJ40"/>
    <mergeCell ref="CNK40:CNL40"/>
    <mergeCell ref="CNM40:CNN40"/>
    <mergeCell ref="CMQ40:CMR40"/>
    <mergeCell ref="CMS40:CMT40"/>
    <mergeCell ref="CMU40:CMV40"/>
    <mergeCell ref="CMW40:CMX40"/>
    <mergeCell ref="CMY40:CMZ40"/>
    <mergeCell ref="CNA40:CNB40"/>
    <mergeCell ref="CME40:CMF40"/>
    <mergeCell ref="CMG40:CMH40"/>
    <mergeCell ref="CMI40:CMJ40"/>
    <mergeCell ref="CMK40:CML40"/>
    <mergeCell ref="CMM40:CMN40"/>
    <mergeCell ref="CMO40:CMP40"/>
    <mergeCell ref="CLS40:CLT40"/>
    <mergeCell ref="CLU40:CLV40"/>
    <mergeCell ref="CLW40:CLX40"/>
    <mergeCell ref="CLY40:CLZ40"/>
    <mergeCell ref="CMA40:CMB40"/>
    <mergeCell ref="CMC40:CMD40"/>
    <mergeCell ref="CLG40:CLH40"/>
    <mergeCell ref="CLI40:CLJ40"/>
    <mergeCell ref="CLK40:CLL40"/>
    <mergeCell ref="CLM40:CLN40"/>
    <mergeCell ref="CLO40:CLP40"/>
    <mergeCell ref="CLQ40:CLR40"/>
    <mergeCell ref="CQI40:CQJ40"/>
    <mergeCell ref="CQK40:CQL40"/>
    <mergeCell ref="CQM40:CQN40"/>
    <mergeCell ref="CQO40:CQP40"/>
    <mergeCell ref="CQQ40:CQR40"/>
    <mergeCell ref="CQS40:CQT40"/>
    <mergeCell ref="CPW40:CPX40"/>
    <mergeCell ref="CPY40:CPZ40"/>
    <mergeCell ref="CQA40:CQB40"/>
    <mergeCell ref="CQC40:CQD40"/>
    <mergeCell ref="CQE40:CQF40"/>
    <mergeCell ref="CQG40:CQH40"/>
    <mergeCell ref="CPK40:CPL40"/>
    <mergeCell ref="CPM40:CPN40"/>
    <mergeCell ref="CPO40:CPP40"/>
    <mergeCell ref="CPQ40:CPR40"/>
    <mergeCell ref="CPS40:CPT40"/>
    <mergeCell ref="CPU40:CPV40"/>
    <mergeCell ref="COY40:COZ40"/>
    <mergeCell ref="CPA40:CPB40"/>
    <mergeCell ref="CPC40:CPD40"/>
    <mergeCell ref="CPE40:CPF40"/>
    <mergeCell ref="CPG40:CPH40"/>
    <mergeCell ref="CPI40:CPJ40"/>
    <mergeCell ref="COM40:CON40"/>
    <mergeCell ref="COO40:COP40"/>
    <mergeCell ref="COQ40:COR40"/>
    <mergeCell ref="COS40:COT40"/>
    <mergeCell ref="COU40:COV40"/>
    <mergeCell ref="COW40:COX40"/>
    <mergeCell ref="COA40:COB40"/>
    <mergeCell ref="COC40:COD40"/>
    <mergeCell ref="COE40:COF40"/>
    <mergeCell ref="COG40:COH40"/>
    <mergeCell ref="COI40:COJ40"/>
    <mergeCell ref="COK40:COL40"/>
    <mergeCell ref="CTC40:CTD40"/>
    <mergeCell ref="CTE40:CTF40"/>
    <mergeCell ref="CTG40:CTH40"/>
    <mergeCell ref="CTI40:CTJ40"/>
    <mergeCell ref="CTK40:CTL40"/>
    <mergeCell ref="CTM40:CTN40"/>
    <mergeCell ref="CSQ40:CSR40"/>
    <mergeCell ref="CSS40:CST40"/>
    <mergeCell ref="CSU40:CSV40"/>
    <mergeCell ref="CSW40:CSX40"/>
    <mergeCell ref="CSY40:CSZ40"/>
    <mergeCell ref="CTA40:CTB40"/>
    <mergeCell ref="CSE40:CSF40"/>
    <mergeCell ref="CSG40:CSH40"/>
    <mergeCell ref="CSI40:CSJ40"/>
    <mergeCell ref="CSK40:CSL40"/>
    <mergeCell ref="CSM40:CSN40"/>
    <mergeCell ref="CSO40:CSP40"/>
    <mergeCell ref="CRS40:CRT40"/>
    <mergeCell ref="CRU40:CRV40"/>
    <mergeCell ref="CRW40:CRX40"/>
    <mergeCell ref="CRY40:CRZ40"/>
    <mergeCell ref="CSA40:CSB40"/>
    <mergeCell ref="CSC40:CSD40"/>
    <mergeCell ref="CRG40:CRH40"/>
    <mergeCell ref="CRI40:CRJ40"/>
    <mergeCell ref="CRK40:CRL40"/>
    <mergeCell ref="CRM40:CRN40"/>
    <mergeCell ref="CRO40:CRP40"/>
    <mergeCell ref="CRQ40:CRR40"/>
    <mergeCell ref="CQU40:CQV40"/>
    <mergeCell ref="CQW40:CQX40"/>
    <mergeCell ref="CQY40:CQZ40"/>
    <mergeCell ref="CRA40:CRB40"/>
    <mergeCell ref="CRC40:CRD40"/>
    <mergeCell ref="CRE40:CRF40"/>
    <mergeCell ref="CVW40:CVX40"/>
    <mergeCell ref="CVY40:CVZ40"/>
    <mergeCell ref="CWA40:CWB40"/>
    <mergeCell ref="CWC40:CWD40"/>
    <mergeCell ref="CWE40:CWF40"/>
    <mergeCell ref="CWG40:CWH40"/>
    <mergeCell ref="CVK40:CVL40"/>
    <mergeCell ref="CVM40:CVN40"/>
    <mergeCell ref="CVO40:CVP40"/>
    <mergeCell ref="CVQ40:CVR40"/>
    <mergeCell ref="CVS40:CVT40"/>
    <mergeCell ref="CVU40:CVV40"/>
    <mergeCell ref="CUY40:CUZ40"/>
    <mergeCell ref="CVA40:CVB40"/>
    <mergeCell ref="CVC40:CVD40"/>
    <mergeCell ref="CVE40:CVF40"/>
    <mergeCell ref="CVG40:CVH40"/>
    <mergeCell ref="CVI40:CVJ40"/>
    <mergeCell ref="CUM40:CUN40"/>
    <mergeCell ref="CUO40:CUP40"/>
    <mergeCell ref="CUQ40:CUR40"/>
    <mergeCell ref="CUS40:CUT40"/>
    <mergeCell ref="CUU40:CUV40"/>
    <mergeCell ref="CUW40:CUX40"/>
    <mergeCell ref="CUA40:CUB40"/>
    <mergeCell ref="CUC40:CUD40"/>
    <mergeCell ref="CUE40:CUF40"/>
    <mergeCell ref="CUG40:CUH40"/>
    <mergeCell ref="CUI40:CUJ40"/>
    <mergeCell ref="CUK40:CUL40"/>
    <mergeCell ref="CTO40:CTP40"/>
    <mergeCell ref="CTQ40:CTR40"/>
    <mergeCell ref="CTS40:CTT40"/>
    <mergeCell ref="CTU40:CTV40"/>
    <mergeCell ref="CTW40:CTX40"/>
    <mergeCell ref="CTY40:CTZ40"/>
    <mergeCell ref="CYQ40:CYR40"/>
    <mergeCell ref="CYS40:CYT40"/>
    <mergeCell ref="CYU40:CYV40"/>
    <mergeCell ref="CYW40:CYX40"/>
    <mergeCell ref="CYY40:CYZ40"/>
    <mergeCell ref="CZA40:CZB40"/>
    <mergeCell ref="CYE40:CYF40"/>
    <mergeCell ref="CYG40:CYH40"/>
    <mergeCell ref="CYI40:CYJ40"/>
    <mergeCell ref="CYK40:CYL40"/>
    <mergeCell ref="CYM40:CYN40"/>
    <mergeCell ref="CYO40:CYP40"/>
    <mergeCell ref="CXS40:CXT40"/>
    <mergeCell ref="CXU40:CXV40"/>
    <mergeCell ref="CXW40:CXX40"/>
    <mergeCell ref="CXY40:CXZ40"/>
    <mergeCell ref="CYA40:CYB40"/>
    <mergeCell ref="CYC40:CYD40"/>
    <mergeCell ref="CXG40:CXH40"/>
    <mergeCell ref="CXI40:CXJ40"/>
    <mergeCell ref="CXK40:CXL40"/>
    <mergeCell ref="CXM40:CXN40"/>
    <mergeCell ref="CXO40:CXP40"/>
    <mergeCell ref="CXQ40:CXR40"/>
    <mergeCell ref="CWU40:CWV40"/>
    <mergeCell ref="CWW40:CWX40"/>
    <mergeCell ref="CWY40:CWZ40"/>
    <mergeCell ref="CXA40:CXB40"/>
    <mergeCell ref="CXC40:CXD40"/>
    <mergeCell ref="CXE40:CXF40"/>
    <mergeCell ref="CWI40:CWJ40"/>
    <mergeCell ref="CWK40:CWL40"/>
    <mergeCell ref="CWM40:CWN40"/>
    <mergeCell ref="CWO40:CWP40"/>
    <mergeCell ref="CWQ40:CWR40"/>
    <mergeCell ref="CWS40:CWT40"/>
    <mergeCell ref="DBK40:DBL40"/>
    <mergeCell ref="DBM40:DBN40"/>
    <mergeCell ref="DBO40:DBP40"/>
    <mergeCell ref="DBQ40:DBR40"/>
    <mergeCell ref="DBS40:DBT40"/>
    <mergeCell ref="DBU40:DBV40"/>
    <mergeCell ref="DAY40:DAZ40"/>
    <mergeCell ref="DBA40:DBB40"/>
    <mergeCell ref="DBC40:DBD40"/>
    <mergeCell ref="DBE40:DBF40"/>
    <mergeCell ref="DBG40:DBH40"/>
    <mergeCell ref="DBI40:DBJ40"/>
    <mergeCell ref="DAM40:DAN40"/>
    <mergeCell ref="DAO40:DAP40"/>
    <mergeCell ref="DAQ40:DAR40"/>
    <mergeCell ref="DAS40:DAT40"/>
    <mergeCell ref="DAU40:DAV40"/>
    <mergeCell ref="DAW40:DAX40"/>
    <mergeCell ref="DAA40:DAB40"/>
    <mergeCell ref="DAC40:DAD40"/>
    <mergeCell ref="DAE40:DAF40"/>
    <mergeCell ref="DAG40:DAH40"/>
    <mergeCell ref="DAI40:DAJ40"/>
    <mergeCell ref="DAK40:DAL40"/>
    <mergeCell ref="CZO40:CZP40"/>
    <mergeCell ref="CZQ40:CZR40"/>
    <mergeCell ref="CZS40:CZT40"/>
    <mergeCell ref="CZU40:CZV40"/>
    <mergeCell ref="CZW40:CZX40"/>
    <mergeCell ref="CZY40:CZZ40"/>
    <mergeCell ref="CZC40:CZD40"/>
    <mergeCell ref="CZE40:CZF40"/>
    <mergeCell ref="CZG40:CZH40"/>
    <mergeCell ref="CZI40:CZJ40"/>
    <mergeCell ref="CZK40:CZL40"/>
    <mergeCell ref="CZM40:CZN40"/>
    <mergeCell ref="DEE40:DEF40"/>
    <mergeCell ref="DEG40:DEH40"/>
    <mergeCell ref="DEI40:DEJ40"/>
    <mergeCell ref="DEK40:DEL40"/>
    <mergeCell ref="DEM40:DEN40"/>
    <mergeCell ref="DEO40:DEP40"/>
    <mergeCell ref="DDS40:DDT40"/>
    <mergeCell ref="DDU40:DDV40"/>
    <mergeCell ref="DDW40:DDX40"/>
    <mergeCell ref="DDY40:DDZ40"/>
    <mergeCell ref="DEA40:DEB40"/>
    <mergeCell ref="DEC40:DED40"/>
    <mergeCell ref="DDG40:DDH40"/>
    <mergeCell ref="DDI40:DDJ40"/>
    <mergeCell ref="DDK40:DDL40"/>
    <mergeCell ref="DDM40:DDN40"/>
    <mergeCell ref="DDO40:DDP40"/>
    <mergeCell ref="DDQ40:DDR40"/>
    <mergeCell ref="DCU40:DCV40"/>
    <mergeCell ref="DCW40:DCX40"/>
    <mergeCell ref="DCY40:DCZ40"/>
    <mergeCell ref="DDA40:DDB40"/>
    <mergeCell ref="DDC40:DDD40"/>
    <mergeCell ref="DDE40:DDF40"/>
    <mergeCell ref="DCI40:DCJ40"/>
    <mergeCell ref="DCK40:DCL40"/>
    <mergeCell ref="DCM40:DCN40"/>
    <mergeCell ref="DCO40:DCP40"/>
    <mergeCell ref="DCQ40:DCR40"/>
    <mergeCell ref="DCS40:DCT40"/>
    <mergeCell ref="DBW40:DBX40"/>
    <mergeCell ref="DBY40:DBZ40"/>
    <mergeCell ref="DCA40:DCB40"/>
    <mergeCell ref="DCC40:DCD40"/>
    <mergeCell ref="DCE40:DCF40"/>
    <mergeCell ref="DCG40:DCH40"/>
    <mergeCell ref="DGY40:DGZ40"/>
    <mergeCell ref="DHA40:DHB40"/>
    <mergeCell ref="DHC40:DHD40"/>
    <mergeCell ref="DHE40:DHF40"/>
    <mergeCell ref="DHG40:DHH40"/>
    <mergeCell ref="DHI40:DHJ40"/>
    <mergeCell ref="DGM40:DGN40"/>
    <mergeCell ref="DGO40:DGP40"/>
    <mergeCell ref="DGQ40:DGR40"/>
    <mergeCell ref="DGS40:DGT40"/>
    <mergeCell ref="DGU40:DGV40"/>
    <mergeCell ref="DGW40:DGX40"/>
    <mergeCell ref="DGA40:DGB40"/>
    <mergeCell ref="DGC40:DGD40"/>
    <mergeCell ref="DGE40:DGF40"/>
    <mergeCell ref="DGG40:DGH40"/>
    <mergeCell ref="DGI40:DGJ40"/>
    <mergeCell ref="DGK40:DGL40"/>
    <mergeCell ref="DFO40:DFP40"/>
    <mergeCell ref="DFQ40:DFR40"/>
    <mergeCell ref="DFS40:DFT40"/>
    <mergeCell ref="DFU40:DFV40"/>
    <mergeCell ref="DFW40:DFX40"/>
    <mergeCell ref="DFY40:DFZ40"/>
    <mergeCell ref="DFC40:DFD40"/>
    <mergeCell ref="DFE40:DFF40"/>
    <mergeCell ref="DFG40:DFH40"/>
    <mergeCell ref="DFI40:DFJ40"/>
    <mergeCell ref="DFK40:DFL40"/>
    <mergeCell ref="DFM40:DFN40"/>
    <mergeCell ref="DEQ40:DER40"/>
    <mergeCell ref="DES40:DET40"/>
    <mergeCell ref="DEU40:DEV40"/>
    <mergeCell ref="DEW40:DEX40"/>
    <mergeCell ref="DEY40:DEZ40"/>
    <mergeCell ref="DFA40:DFB40"/>
    <mergeCell ref="DJS40:DJT40"/>
    <mergeCell ref="DJU40:DJV40"/>
    <mergeCell ref="DJW40:DJX40"/>
    <mergeCell ref="DJY40:DJZ40"/>
    <mergeCell ref="DKA40:DKB40"/>
    <mergeCell ref="DKC40:DKD40"/>
    <mergeCell ref="DJG40:DJH40"/>
    <mergeCell ref="DJI40:DJJ40"/>
    <mergeCell ref="DJK40:DJL40"/>
    <mergeCell ref="DJM40:DJN40"/>
    <mergeCell ref="DJO40:DJP40"/>
    <mergeCell ref="DJQ40:DJR40"/>
    <mergeCell ref="DIU40:DIV40"/>
    <mergeCell ref="DIW40:DIX40"/>
    <mergeCell ref="DIY40:DIZ40"/>
    <mergeCell ref="DJA40:DJB40"/>
    <mergeCell ref="DJC40:DJD40"/>
    <mergeCell ref="DJE40:DJF40"/>
    <mergeCell ref="DII40:DIJ40"/>
    <mergeCell ref="DIK40:DIL40"/>
    <mergeCell ref="DIM40:DIN40"/>
    <mergeCell ref="DIO40:DIP40"/>
    <mergeCell ref="DIQ40:DIR40"/>
    <mergeCell ref="DIS40:DIT40"/>
    <mergeCell ref="DHW40:DHX40"/>
    <mergeCell ref="DHY40:DHZ40"/>
    <mergeCell ref="DIA40:DIB40"/>
    <mergeCell ref="DIC40:DID40"/>
    <mergeCell ref="DIE40:DIF40"/>
    <mergeCell ref="DIG40:DIH40"/>
    <mergeCell ref="DHK40:DHL40"/>
    <mergeCell ref="DHM40:DHN40"/>
    <mergeCell ref="DHO40:DHP40"/>
    <mergeCell ref="DHQ40:DHR40"/>
    <mergeCell ref="DHS40:DHT40"/>
    <mergeCell ref="DHU40:DHV40"/>
    <mergeCell ref="DMM40:DMN40"/>
    <mergeCell ref="DMO40:DMP40"/>
    <mergeCell ref="DMQ40:DMR40"/>
    <mergeCell ref="DMS40:DMT40"/>
    <mergeCell ref="DMU40:DMV40"/>
    <mergeCell ref="DMW40:DMX40"/>
    <mergeCell ref="DMA40:DMB40"/>
    <mergeCell ref="DMC40:DMD40"/>
    <mergeCell ref="DME40:DMF40"/>
    <mergeCell ref="DMG40:DMH40"/>
    <mergeCell ref="DMI40:DMJ40"/>
    <mergeCell ref="DMK40:DML40"/>
    <mergeCell ref="DLO40:DLP40"/>
    <mergeCell ref="DLQ40:DLR40"/>
    <mergeCell ref="DLS40:DLT40"/>
    <mergeCell ref="DLU40:DLV40"/>
    <mergeCell ref="DLW40:DLX40"/>
    <mergeCell ref="DLY40:DLZ40"/>
    <mergeCell ref="DLC40:DLD40"/>
    <mergeCell ref="DLE40:DLF40"/>
    <mergeCell ref="DLG40:DLH40"/>
    <mergeCell ref="DLI40:DLJ40"/>
    <mergeCell ref="DLK40:DLL40"/>
    <mergeCell ref="DLM40:DLN40"/>
    <mergeCell ref="DKQ40:DKR40"/>
    <mergeCell ref="DKS40:DKT40"/>
    <mergeCell ref="DKU40:DKV40"/>
    <mergeCell ref="DKW40:DKX40"/>
    <mergeCell ref="DKY40:DKZ40"/>
    <mergeCell ref="DLA40:DLB40"/>
    <mergeCell ref="DKE40:DKF40"/>
    <mergeCell ref="DKG40:DKH40"/>
    <mergeCell ref="DKI40:DKJ40"/>
    <mergeCell ref="DKK40:DKL40"/>
    <mergeCell ref="DKM40:DKN40"/>
    <mergeCell ref="DKO40:DKP40"/>
    <mergeCell ref="DPG40:DPH40"/>
    <mergeCell ref="DPI40:DPJ40"/>
    <mergeCell ref="DPK40:DPL40"/>
    <mergeCell ref="DPM40:DPN40"/>
    <mergeCell ref="DPO40:DPP40"/>
    <mergeCell ref="DPQ40:DPR40"/>
    <mergeCell ref="DOU40:DOV40"/>
    <mergeCell ref="DOW40:DOX40"/>
    <mergeCell ref="DOY40:DOZ40"/>
    <mergeCell ref="DPA40:DPB40"/>
    <mergeCell ref="DPC40:DPD40"/>
    <mergeCell ref="DPE40:DPF40"/>
    <mergeCell ref="DOI40:DOJ40"/>
    <mergeCell ref="DOK40:DOL40"/>
    <mergeCell ref="DOM40:DON40"/>
    <mergeCell ref="DOO40:DOP40"/>
    <mergeCell ref="DOQ40:DOR40"/>
    <mergeCell ref="DOS40:DOT40"/>
    <mergeCell ref="DNW40:DNX40"/>
    <mergeCell ref="DNY40:DNZ40"/>
    <mergeCell ref="DOA40:DOB40"/>
    <mergeCell ref="DOC40:DOD40"/>
    <mergeCell ref="DOE40:DOF40"/>
    <mergeCell ref="DOG40:DOH40"/>
    <mergeCell ref="DNK40:DNL40"/>
    <mergeCell ref="DNM40:DNN40"/>
    <mergeCell ref="DNO40:DNP40"/>
    <mergeCell ref="DNQ40:DNR40"/>
    <mergeCell ref="DNS40:DNT40"/>
    <mergeCell ref="DNU40:DNV40"/>
    <mergeCell ref="DMY40:DMZ40"/>
    <mergeCell ref="DNA40:DNB40"/>
    <mergeCell ref="DNC40:DND40"/>
    <mergeCell ref="DNE40:DNF40"/>
    <mergeCell ref="DNG40:DNH40"/>
    <mergeCell ref="DNI40:DNJ40"/>
    <mergeCell ref="DSA40:DSB40"/>
    <mergeCell ref="DSC40:DSD40"/>
    <mergeCell ref="DSE40:DSF40"/>
    <mergeCell ref="DSG40:DSH40"/>
    <mergeCell ref="DSI40:DSJ40"/>
    <mergeCell ref="DSK40:DSL40"/>
    <mergeCell ref="DRO40:DRP40"/>
    <mergeCell ref="DRQ40:DRR40"/>
    <mergeCell ref="DRS40:DRT40"/>
    <mergeCell ref="DRU40:DRV40"/>
    <mergeCell ref="DRW40:DRX40"/>
    <mergeCell ref="DRY40:DRZ40"/>
    <mergeCell ref="DRC40:DRD40"/>
    <mergeCell ref="DRE40:DRF40"/>
    <mergeCell ref="DRG40:DRH40"/>
    <mergeCell ref="DRI40:DRJ40"/>
    <mergeCell ref="DRK40:DRL40"/>
    <mergeCell ref="DRM40:DRN40"/>
    <mergeCell ref="DQQ40:DQR40"/>
    <mergeCell ref="DQS40:DQT40"/>
    <mergeCell ref="DQU40:DQV40"/>
    <mergeCell ref="DQW40:DQX40"/>
    <mergeCell ref="DQY40:DQZ40"/>
    <mergeCell ref="DRA40:DRB40"/>
    <mergeCell ref="DQE40:DQF40"/>
    <mergeCell ref="DQG40:DQH40"/>
    <mergeCell ref="DQI40:DQJ40"/>
    <mergeCell ref="DQK40:DQL40"/>
    <mergeCell ref="DQM40:DQN40"/>
    <mergeCell ref="DQO40:DQP40"/>
    <mergeCell ref="DPS40:DPT40"/>
    <mergeCell ref="DPU40:DPV40"/>
    <mergeCell ref="DPW40:DPX40"/>
    <mergeCell ref="DPY40:DPZ40"/>
    <mergeCell ref="DQA40:DQB40"/>
    <mergeCell ref="DQC40:DQD40"/>
    <mergeCell ref="DUU40:DUV40"/>
    <mergeCell ref="DUW40:DUX40"/>
    <mergeCell ref="DUY40:DUZ40"/>
    <mergeCell ref="DVA40:DVB40"/>
    <mergeCell ref="DVC40:DVD40"/>
    <mergeCell ref="DVE40:DVF40"/>
    <mergeCell ref="DUI40:DUJ40"/>
    <mergeCell ref="DUK40:DUL40"/>
    <mergeCell ref="DUM40:DUN40"/>
    <mergeCell ref="DUO40:DUP40"/>
    <mergeCell ref="DUQ40:DUR40"/>
    <mergeCell ref="DUS40:DUT40"/>
    <mergeCell ref="DTW40:DTX40"/>
    <mergeCell ref="DTY40:DTZ40"/>
    <mergeCell ref="DUA40:DUB40"/>
    <mergeCell ref="DUC40:DUD40"/>
    <mergeCell ref="DUE40:DUF40"/>
    <mergeCell ref="DUG40:DUH40"/>
    <mergeCell ref="DTK40:DTL40"/>
    <mergeCell ref="DTM40:DTN40"/>
    <mergeCell ref="DTO40:DTP40"/>
    <mergeCell ref="DTQ40:DTR40"/>
    <mergeCell ref="DTS40:DTT40"/>
    <mergeCell ref="DTU40:DTV40"/>
    <mergeCell ref="DSY40:DSZ40"/>
    <mergeCell ref="DTA40:DTB40"/>
    <mergeCell ref="DTC40:DTD40"/>
    <mergeCell ref="DTE40:DTF40"/>
    <mergeCell ref="DTG40:DTH40"/>
    <mergeCell ref="DTI40:DTJ40"/>
    <mergeCell ref="DSM40:DSN40"/>
    <mergeCell ref="DSO40:DSP40"/>
    <mergeCell ref="DSQ40:DSR40"/>
    <mergeCell ref="DSS40:DST40"/>
    <mergeCell ref="DSU40:DSV40"/>
    <mergeCell ref="DSW40:DSX40"/>
    <mergeCell ref="DXO40:DXP40"/>
    <mergeCell ref="DXQ40:DXR40"/>
    <mergeCell ref="DXS40:DXT40"/>
    <mergeCell ref="DXU40:DXV40"/>
    <mergeCell ref="DXW40:DXX40"/>
    <mergeCell ref="DXY40:DXZ40"/>
    <mergeCell ref="DXC40:DXD40"/>
    <mergeCell ref="DXE40:DXF40"/>
    <mergeCell ref="DXG40:DXH40"/>
    <mergeCell ref="DXI40:DXJ40"/>
    <mergeCell ref="DXK40:DXL40"/>
    <mergeCell ref="DXM40:DXN40"/>
    <mergeCell ref="DWQ40:DWR40"/>
    <mergeCell ref="DWS40:DWT40"/>
    <mergeCell ref="DWU40:DWV40"/>
    <mergeCell ref="DWW40:DWX40"/>
    <mergeCell ref="DWY40:DWZ40"/>
    <mergeCell ref="DXA40:DXB40"/>
    <mergeCell ref="DWE40:DWF40"/>
    <mergeCell ref="DWG40:DWH40"/>
    <mergeCell ref="DWI40:DWJ40"/>
    <mergeCell ref="DWK40:DWL40"/>
    <mergeCell ref="DWM40:DWN40"/>
    <mergeCell ref="DWO40:DWP40"/>
    <mergeCell ref="DVS40:DVT40"/>
    <mergeCell ref="DVU40:DVV40"/>
    <mergeCell ref="DVW40:DVX40"/>
    <mergeCell ref="DVY40:DVZ40"/>
    <mergeCell ref="DWA40:DWB40"/>
    <mergeCell ref="DWC40:DWD40"/>
    <mergeCell ref="DVG40:DVH40"/>
    <mergeCell ref="DVI40:DVJ40"/>
    <mergeCell ref="DVK40:DVL40"/>
    <mergeCell ref="DVM40:DVN40"/>
    <mergeCell ref="DVO40:DVP40"/>
    <mergeCell ref="DVQ40:DVR40"/>
    <mergeCell ref="EAI40:EAJ40"/>
    <mergeCell ref="EAK40:EAL40"/>
    <mergeCell ref="EAM40:EAN40"/>
    <mergeCell ref="EAO40:EAP40"/>
    <mergeCell ref="EAQ40:EAR40"/>
    <mergeCell ref="EAS40:EAT40"/>
    <mergeCell ref="DZW40:DZX40"/>
    <mergeCell ref="DZY40:DZZ40"/>
    <mergeCell ref="EAA40:EAB40"/>
    <mergeCell ref="EAC40:EAD40"/>
    <mergeCell ref="EAE40:EAF40"/>
    <mergeCell ref="EAG40:EAH40"/>
    <mergeCell ref="DZK40:DZL40"/>
    <mergeCell ref="DZM40:DZN40"/>
    <mergeCell ref="DZO40:DZP40"/>
    <mergeCell ref="DZQ40:DZR40"/>
    <mergeCell ref="DZS40:DZT40"/>
    <mergeCell ref="DZU40:DZV40"/>
    <mergeCell ref="DYY40:DYZ40"/>
    <mergeCell ref="DZA40:DZB40"/>
    <mergeCell ref="DZC40:DZD40"/>
    <mergeCell ref="DZE40:DZF40"/>
    <mergeCell ref="DZG40:DZH40"/>
    <mergeCell ref="DZI40:DZJ40"/>
    <mergeCell ref="DYM40:DYN40"/>
    <mergeCell ref="DYO40:DYP40"/>
    <mergeCell ref="DYQ40:DYR40"/>
    <mergeCell ref="DYS40:DYT40"/>
    <mergeCell ref="DYU40:DYV40"/>
    <mergeCell ref="DYW40:DYX40"/>
    <mergeCell ref="DYA40:DYB40"/>
    <mergeCell ref="DYC40:DYD40"/>
    <mergeCell ref="DYE40:DYF40"/>
    <mergeCell ref="DYG40:DYH40"/>
    <mergeCell ref="DYI40:DYJ40"/>
    <mergeCell ref="DYK40:DYL40"/>
    <mergeCell ref="EDC40:EDD40"/>
    <mergeCell ref="EDE40:EDF40"/>
    <mergeCell ref="EDG40:EDH40"/>
    <mergeCell ref="EDI40:EDJ40"/>
    <mergeCell ref="EDK40:EDL40"/>
    <mergeCell ref="EDM40:EDN40"/>
    <mergeCell ref="ECQ40:ECR40"/>
    <mergeCell ref="ECS40:ECT40"/>
    <mergeCell ref="ECU40:ECV40"/>
    <mergeCell ref="ECW40:ECX40"/>
    <mergeCell ref="ECY40:ECZ40"/>
    <mergeCell ref="EDA40:EDB40"/>
    <mergeCell ref="ECE40:ECF40"/>
    <mergeCell ref="ECG40:ECH40"/>
    <mergeCell ref="ECI40:ECJ40"/>
    <mergeCell ref="ECK40:ECL40"/>
    <mergeCell ref="ECM40:ECN40"/>
    <mergeCell ref="ECO40:ECP40"/>
    <mergeCell ref="EBS40:EBT40"/>
    <mergeCell ref="EBU40:EBV40"/>
    <mergeCell ref="EBW40:EBX40"/>
    <mergeCell ref="EBY40:EBZ40"/>
    <mergeCell ref="ECA40:ECB40"/>
    <mergeCell ref="ECC40:ECD40"/>
    <mergeCell ref="EBG40:EBH40"/>
    <mergeCell ref="EBI40:EBJ40"/>
    <mergeCell ref="EBK40:EBL40"/>
    <mergeCell ref="EBM40:EBN40"/>
    <mergeCell ref="EBO40:EBP40"/>
    <mergeCell ref="EBQ40:EBR40"/>
    <mergeCell ref="EAU40:EAV40"/>
    <mergeCell ref="EAW40:EAX40"/>
    <mergeCell ref="EAY40:EAZ40"/>
    <mergeCell ref="EBA40:EBB40"/>
    <mergeCell ref="EBC40:EBD40"/>
    <mergeCell ref="EBE40:EBF40"/>
    <mergeCell ref="EFW40:EFX40"/>
    <mergeCell ref="EFY40:EFZ40"/>
    <mergeCell ref="EGA40:EGB40"/>
    <mergeCell ref="EGC40:EGD40"/>
    <mergeCell ref="EGE40:EGF40"/>
    <mergeCell ref="EGG40:EGH40"/>
    <mergeCell ref="EFK40:EFL40"/>
    <mergeCell ref="EFM40:EFN40"/>
    <mergeCell ref="EFO40:EFP40"/>
    <mergeCell ref="EFQ40:EFR40"/>
    <mergeCell ref="EFS40:EFT40"/>
    <mergeCell ref="EFU40:EFV40"/>
    <mergeCell ref="EEY40:EEZ40"/>
    <mergeCell ref="EFA40:EFB40"/>
    <mergeCell ref="EFC40:EFD40"/>
    <mergeCell ref="EFE40:EFF40"/>
    <mergeCell ref="EFG40:EFH40"/>
    <mergeCell ref="EFI40:EFJ40"/>
    <mergeCell ref="EEM40:EEN40"/>
    <mergeCell ref="EEO40:EEP40"/>
    <mergeCell ref="EEQ40:EER40"/>
    <mergeCell ref="EES40:EET40"/>
    <mergeCell ref="EEU40:EEV40"/>
    <mergeCell ref="EEW40:EEX40"/>
    <mergeCell ref="EEA40:EEB40"/>
    <mergeCell ref="EEC40:EED40"/>
    <mergeCell ref="EEE40:EEF40"/>
    <mergeCell ref="EEG40:EEH40"/>
    <mergeCell ref="EEI40:EEJ40"/>
    <mergeCell ref="EEK40:EEL40"/>
    <mergeCell ref="EDO40:EDP40"/>
    <mergeCell ref="EDQ40:EDR40"/>
    <mergeCell ref="EDS40:EDT40"/>
    <mergeCell ref="EDU40:EDV40"/>
    <mergeCell ref="EDW40:EDX40"/>
    <mergeCell ref="EDY40:EDZ40"/>
    <mergeCell ref="EIQ40:EIR40"/>
    <mergeCell ref="EIS40:EIT40"/>
    <mergeCell ref="EIU40:EIV40"/>
    <mergeCell ref="EIW40:EIX40"/>
    <mergeCell ref="EIY40:EIZ40"/>
    <mergeCell ref="EJA40:EJB40"/>
    <mergeCell ref="EIE40:EIF40"/>
    <mergeCell ref="EIG40:EIH40"/>
    <mergeCell ref="EII40:EIJ40"/>
    <mergeCell ref="EIK40:EIL40"/>
    <mergeCell ref="EIM40:EIN40"/>
    <mergeCell ref="EIO40:EIP40"/>
    <mergeCell ref="EHS40:EHT40"/>
    <mergeCell ref="EHU40:EHV40"/>
    <mergeCell ref="EHW40:EHX40"/>
    <mergeCell ref="EHY40:EHZ40"/>
    <mergeCell ref="EIA40:EIB40"/>
    <mergeCell ref="EIC40:EID40"/>
    <mergeCell ref="EHG40:EHH40"/>
    <mergeCell ref="EHI40:EHJ40"/>
    <mergeCell ref="EHK40:EHL40"/>
    <mergeCell ref="EHM40:EHN40"/>
    <mergeCell ref="EHO40:EHP40"/>
    <mergeCell ref="EHQ40:EHR40"/>
    <mergeCell ref="EGU40:EGV40"/>
    <mergeCell ref="EGW40:EGX40"/>
    <mergeCell ref="EGY40:EGZ40"/>
    <mergeCell ref="EHA40:EHB40"/>
    <mergeCell ref="EHC40:EHD40"/>
    <mergeCell ref="EHE40:EHF40"/>
    <mergeCell ref="EGI40:EGJ40"/>
    <mergeCell ref="EGK40:EGL40"/>
    <mergeCell ref="EGM40:EGN40"/>
    <mergeCell ref="EGO40:EGP40"/>
    <mergeCell ref="EGQ40:EGR40"/>
    <mergeCell ref="EGS40:EGT40"/>
    <mergeCell ref="ELK40:ELL40"/>
    <mergeCell ref="ELM40:ELN40"/>
    <mergeCell ref="ELO40:ELP40"/>
    <mergeCell ref="ELQ40:ELR40"/>
    <mergeCell ref="ELS40:ELT40"/>
    <mergeCell ref="ELU40:ELV40"/>
    <mergeCell ref="EKY40:EKZ40"/>
    <mergeCell ref="ELA40:ELB40"/>
    <mergeCell ref="ELC40:ELD40"/>
    <mergeCell ref="ELE40:ELF40"/>
    <mergeCell ref="ELG40:ELH40"/>
    <mergeCell ref="ELI40:ELJ40"/>
    <mergeCell ref="EKM40:EKN40"/>
    <mergeCell ref="EKO40:EKP40"/>
    <mergeCell ref="EKQ40:EKR40"/>
    <mergeCell ref="EKS40:EKT40"/>
    <mergeCell ref="EKU40:EKV40"/>
    <mergeCell ref="EKW40:EKX40"/>
    <mergeCell ref="EKA40:EKB40"/>
    <mergeCell ref="EKC40:EKD40"/>
    <mergeCell ref="EKE40:EKF40"/>
    <mergeCell ref="EKG40:EKH40"/>
    <mergeCell ref="EKI40:EKJ40"/>
    <mergeCell ref="EKK40:EKL40"/>
    <mergeCell ref="EJO40:EJP40"/>
    <mergeCell ref="EJQ40:EJR40"/>
    <mergeCell ref="EJS40:EJT40"/>
    <mergeCell ref="EJU40:EJV40"/>
    <mergeCell ref="EJW40:EJX40"/>
    <mergeCell ref="EJY40:EJZ40"/>
    <mergeCell ref="EJC40:EJD40"/>
    <mergeCell ref="EJE40:EJF40"/>
    <mergeCell ref="EJG40:EJH40"/>
    <mergeCell ref="EJI40:EJJ40"/>
    <mergeCell ref="EJK40:EJL40"/>
    <mergeCell ref="EJM40:EJN40"/>
    <mergeCell ref="EOE40:EOF40"/>
    <mergeCell ref="EOG40:EOH40"/>
    <mergeCell ref="EOI40:EOJ40"/>
    <mergeCell ref="EOK40:EOL40"/>
    <mergeCell ref="EOM40:EON40"/>
    <mergeCell ref="EOO40:EOP40"/>
    <mergeCell ref="ENS40:ENT40"/>
    <mergeCell ref="ENU40:ENV40"/>
    <mergeCell ref="ENW40:ENX40"/>
    <mergeCell ref="ENY40:ENZ40"/>
    <mergeCell ref="EOA40:EOB40"/>
    <mergeCell ref="EOC40:EOD40"/>
    <mergeCell ref="ENG40:ENH40"/>
    <mergeCell ref="ENI40:ENJ40"/>
    <mergeCell ref="ENK40:ENL40"/>
    <mergeCell ref="ENM40:ENN40"/>
    <mergeCell ref="ENO40:ENP40"/>
    <mergeCell ref="ENQ40:ENR40"/>
    <mergeCell ref="EMU40:EMV40"/>
    <mergeCell ref="EMW40:EMX40"/>
    <mergeCell ref="EMY40:EMZ40"/>
    <mergeCell ref="ENA40:ENB40"/>
    <mergeCell ref="ENC40:END40"/>
    <mergeCell ref="ENE40:ENF40"/>
    <mergeCell ref="EMI40:EMJ40"/>
    <mergeCell ref="EMK40:EML40"/>
    <mergeCell ref="EMM40:EMN40"/>
    <mergeCell ref="EMO40:EMP40"/>
    <mergeCell ref="EMQ40:EMR40"/>
    <mergeCell ref="EMS40:EMT40"/>
    <mergeCell ref="ELW40:ELX40"/>
    <mergeCell ref="ELY40:ELZ40"/>
    <mergeCell ref="EMA40:EMB40"/>
    <mergeCell ref="EMC40:EMD40"/>
    <mergeCell ref="EME40:EMF40"/>
    <mergeCell ref="EMG40:EMH40"/>
    <mergeCell ref="EQY40:EQZ40"/>
    <mergeCell ref="ERA40:ERB40"/>
    <mergeCell ref="ERC40:ERD40"/>
    <mergeCell ref="ERE40:ERF40"/>
    <mergeCell ref="ERG40:ERH40"/>
    <mergeCell ref="ERI40:ERJ40"/>
    <mergeCell ref="EQM40:EQN40"/>
    <mergeCell ref="EQO40:EQP40"/>
    <mergeCell ref="EQQ40:EQR40"/>
    <mergeCell ref="EQS40:EQT40"/>
    <mergeCell ref="EQU40:EQV40"/>
    <mergeCell ref="EQW40:EQX40"/>
    <mergeCell ref="EQA40:EQB40"/>
    <mergeCell ref="EQC40:EQD40"/>
    <mergeCell ref="EQE40:EQF40"/>
    <mergeCell ref="EQG40:EQH40"/>
    <mergeCell ref="EQI40:EQJ40"/>
    <mergeCell ref="EQK40:EQL40"/>
    <mergeCell ref="EPO40:EPP40"/>
    <mergeCell ref="EPQ40:EPR40"/>
    <mergeCell ref="EPS40:EPT40"/>
    <mergeCell ref="EPU40:EPV40"/>
    <mergeCell ref="EPW40:EPX40"/>
    <mergeCell ref="EPY40:EPZ40"/>
    <mergeCell ref="EPC40:EPD40"/>
    <mergeCell ref="EPE40:EPF40"/>
    <mergeCell ref="EPG40:EPH40"/>
    <mergeCell ref="EPI40:EPJ40"/>
    <mergeCell ref="EPK40:EPL40"/>
    <mergeCell ref="EPM40:EPN40"/>
    <mergeCell ref="EOQ40:EOR40"/>
    <mergeCell ref="EOS40:EOT40"/>
    <mergeCell ref="EOU40:EOV40"/>
    <mergeCell ref="EOW40:EOX40"/>
    <mergeCell ref="EOY40:EOZ40"/>
    <mergeCell ref="EPA40:EPB40"/>
    <mergeCell ref="ETS40:ETT40"/>
    <mergeCell ref="ETU40:ETV40"/>
    <mergeCell ref="ETW40:ETX40"/>
    <mergeCell ref="ETY40:ETZ40"/>
    <mergeCell ref="EUA40:EUB40"/>
    <mergeCell ref="EUC40:EUD40"/>
    <mergeCell ref="ETG40:ETH40"/>
    <mergeCell ref="ETI40:ETJ40"/>
    <mergeCell ref="ETK40:ETL40"/>
    <mergeCell ref="ETM40:ETN40"/>
    <mergeCell ref="ETO40:ETP40"/>
    <mergeCell ref="ETQ40:ETR40"/>
    <mergeCell ref="ESU40:ESV40"/>
    <mergeCell ref="ESW40:ESX40"/>
    <mergeCell ref="ESY40:ESZ40"/>
    <mergeCell ref="ETA40:ETB40"/>
    <mergeCell ref="ETC40:ETD40"/>
    <mergeCell ref="ETE40:ETF40"/>
    <mergeCell ref="ESI40:ESJ40"/>
    <mergeCell ref="ESK40:ESL40"/>
    <mergeCell ref="ESM40:ESN40"/>
    <mergeCell ref="ESO40:ESP40"/>
    <mergeCell ref="ESQ40:ESR40"/>
    <mergeCell ref="ESS40:EST40"/>
    <mergeCell ref="ERW40:ERX40"/>
    <mergeCell ref="ERY40:ERZ40"/>
    <mergeCell ref="ESA40:ESB40"/>
    <mergeCell ref="ESC40:ESD40"/>
    <mergeCell ref="ESE40:ESF40"/>
    <mergeCell ref="ESG40:ESH40"/>
    <mergeCell ref="ERK40:ERL40"/>
    <mergeCell ref="ERM40:ERN40"/>
    <mergeCell ref="ERO40:ERP40"/>
    <mergeCell ref="ERQ40:ERR40"/>
    <mergeCell ref="ERS40:ERT40"/>
    <mergeCell ref="ERU40:ERV40"/>
    <mergeCell ref="EWM40:EWN40"/>
    <mergeCell ref="EWO40:EWP40"/>
    <mergeCell ref="EWQ40:EWR40"/>
    <mergeCell ref="EWS40:EWT40"/>
    <mergeCell ref="EWU40:EWV40"/>
    <mergeCell ref="EWW40:EWX40"/>
    <mergeCell ref="EWA40:EWB40"/>
    <mergeCell ref="EWC40:EWD40"/>
    <mergeCell ref="EWE40:EWF40"/>
    <mergeCell ref="EWG40:EWH40"/>
    <mergeCell ref="EWI40:EWJ40"/>
    <mergeCell ref="EWK40:EWL40"/>
    <mergeCell ref="EVO40:EVP40"/>
    <mergeCell ref="EVQ40:EVR40"/>
    <mergeCell ref="EVS40:EVT40"/>
    <mergeCell ref="EVU40:EVV40"/>
    <mergeCell ref="EVW40:EVX40"/>
    <mergeCell ref="EVY40:EVZ40"/>
    <mergeCell ref="EVC40:EVD40"/>
    <mergeCell ref="EVE40:EVF40"/>
    <mergeCell ref="EVG40:EVH40"/>
    <mergeCell ref="EVI40:EVJ40"/>
    <mergeCell ref="EVK40:EVL40"/>
    <mergeCell ref="EVM40:EVN40"/>
    <mergeCell ref="EUQ40:EUR40"/>
    <mergeCell ref="EUS40:EUT40"/>
    <mergeCell ref="EUU40:EUV40"/>
    <mergeCell ref="EUW40:EUX40"/>
    <mergeCell ref="EUY40:EUZ40"/>
    <mergeCell ref="EVA40:EVB40"/>
    <mergeCell ref="EUE40:EUF40"/>
    <mergeCell ref="EUG40:EUH40"/>
    <mergeCell ref="EUI40:EUJ40"/>
    <mergeCell ref="EUK40:EUL40"/>
    <mergeCell ref="EUM40:EUN40"/>
    <mergeCell ref="EUO40:EUP40"/>
    <mergeCell ref="EZG40:EZH40"/>
    <mergeCell ref="EZI40:EZJ40"/>
    <mergeCell ref="EZK40:EZL40"/>
    <mergeCell ref="EZM40:EZN40"/>
    <mergeCell ref="EZO40:EZP40"/>
    <mergeCell ref="EZQ40:EZR40"/>
    <mergeCell ref="EYU40:EYV40"/>
    <mergeCell ref="EYW40:EYX40"/>
    <mergeCell ref="EYY40:EYZ40"/>
    <mergeCell ref="EZA40:EZB40"/>
    <mergeCell ref="EZC40:EZD40"/>
    <mergeCell ref="EZE40:EZF40"/>
    <mergeCell ref="EYI40:EYJ40"/>
    <mergeCell ref="EYK40:EYL40"/>
    <mergeCell ref="EYM40:EYN40"/>
    <mergeCell ref="EYO40:EYP40"/>
    <mergeCell ref="EYQ40:EYR40"/>
    <mergeCell ref="EYS40:EYT40"/>
    <mergeCell ref="EXW40:EXX40"/>
    <mergeCell ref="EXY40:EXZ40"/>
    <mergeCell ref="EYA40:EYB40"/>
    <mergeCell ref="EYC40:EYD40"/>
    <mergeCell ref="EYE40:EYF40"/>
    <mergeCell ref="EYG40:EYH40"/>
    <mergeCell ref="EXK40:EXL40"/>
    <mergeCell ref="EXM40:EXN40"/>
    <mergeCell ref="EXO40:EXP40"/>
    <mergeCell ref="EXQ40:EXR40"/>
    <mergeCell ref="EXS40:EXT40"/>
    <mergeCell ref="EXU40:EXV40"/>
    <mergeCell ref="EWY40:EWZ40"/>
    <mergeCell ref="EXA40:EXB40"/>
    <mergeCell ref="EXC40:EXD40"/>
    <mergeCell ref="EXE40:EXF40"/>
    <mergeCell ref="EXG40:EXH40"/>
    <mergeCell ref="EXI40:EXJ40"/>
    <mergeCell ref="FCA40:FCB40"/>
    <mergeCell ref="FCC40:FCD40"/>
    <mergeCell ref="FCE40:FCF40"/>
    <mergeCell ref="FCG40:FCH40"/>
    <mergeCell ref="FCI40:FCJ40"/>
    <mergeCell ref="FCK40:FCL40"/>
    <mergeCell ref="FBO40:FBP40"/>
    <mergeCell ref="FBQ40:FBR40"/>
    <mergeCell ref="FBS40:FBT40"/>
    <mergeCell ref="FBU40:FBV40"/>
    <mergeCell ref="FBW40:FBX40"/>
    <mergeCell ref="FBY40:FBZ40"/>
    <mergeCell ref="FBC40:FBD40"/>
    <mergeCell ref="FBE40:FBF40"/>
    <mergeCell ref="FBG40:FBH40"/>
    <mergeCell ref="FBI40:FBJ40"/>
    <mergeCell ref="FBK40:FBL40"/>
    <mergeCell ref="FBM40:FBN40"/>
    <mergeCell ref="FAQ40:FAR40"/>
    <mergeCell ref="FAS40:FAT40"/>
    <mergeCell ref="FAU40:FAV40"/>
    <mergeCell ref="FAW40:FAX40"/>
    <mergeCell ref="FAY40:FAZ40"/>
    <mergeCell ref="FBA40:FBB40"/>
    <mergeCell ref="FAE40:FAF40"/>
    <mergeCell ref="FAG40:FAH40"/>
    <mergeCell ref="FAI40:FAJ40"/>
    <mergeCell ref="FAK40:FAL40"/>
    <mergeCell ref="FAM40:FAN40"/>
    <mergeCell ref="FAO40:FAP40"/>
    <mergeCell ref="EZS40:EZT40"/>
    <mergeCell ref="EZU40:EZV40"/>
    <mergeCell ref="EZW40:EZX40"/>
    <mergeCell ref="EZY40:EZZ40"/>
    <mergeCell ref="FAA40:FAB40"/>
    <mergeCell ref="FAC40:FAD40"/>
    <mergeCell ref="FEU40:FEV40"/>
    <mergeCell ref="FEW40:FEX40"/>
    <mergeCell ref="FEY40:FEZ40"/>
    <mergeCell ref="FFA40:FFB40"/>
    <mergeCell ref="FFC40:FFD40"/>
    <mergeCell ref="FFE40:FFF40"/>
    <mergeCell ref="FEI40:FEJ40"/>
    <mergeCell ref="FEK40:FEL40"/>
    <mergeCell ref="FEM40:FEN40"/>
    <mergeCell ref="FEO40:FEP40"/>
    <mergeCell ref="FEQ40:FER40"/>
    <mergeCell ref="FES40:FET40"/>
    <mergeCell ref="FDW40:FDX40"/>
    <mergeCell ref="FDY40:FDZ40"/>
    <mergeCell ref="FEA40:FEB40"/>
    <mergeCell ref="FEC40:FED40"/>
    <mergeCell ref="FEE40:FEF40"/>
    <mergeCell ref="FEG40:FEH40"/>
    <mergeCell ref="FDK40:FDL40"/>
    <mergeCell ref="FDM40:FDN40"/>
    <mergeCell ref="FDO40:FDP40"/>
    <mergeCell ref="FDQ40:FDR40"/>
    <mergeCell ref="FDS40:FDT40"/>
    <mergeCell ref="FDU40:FDV40"/>
    <mergeCell ref="FCY40:FCZ40"/>
    <mergeCell ref="FDA40:FDB40"/>
    <mergeCell ref="FDC40:FDD40"/>
    <mergeCell ref="FDE40:FDF40"/>
    <mergeCell ref="FDG40:FDH40"/>
    <mergeCell ref="FDI40:FDJ40"/>
    <mergeCell ref="FCM40:FCN40"/>
    <mergeCell ref="FCO40:FCP40"/>
    <mergeCell ref="FCQ40:FCR40"/>
    <mergeCell ref="FCS40:FCT40"/>
    <mergeCell ref="FCU40:FCV40"/>
    <mergeCell ref="FCW40:FCX40"/>
    <mergeCell ref="FHO40:FHP40"/>
    <mergeCell ref="FHQ40:FHR40"/>
    <mergeCell ref="FHS40:FHT40"/>
    <mergeCell ref="FHU40:FHV40"/>
    <mergeCell ref="FHW40:FHX40"/>
    <mergeCell ref="FHY40:FHZ40"/>
    <mergeCell ref="FHC40:FHD40"/>
    <mergeCell ref="FHE40:FHF40"/>
    <mergeCell ref="FHG40:FHH40"/>
    <mergeCell ref="FHI40:FHJ40"/>
    <mergeCell ref="FHK40:FHL40"/>
    <mergeCell ref="FHM40:FHN40"/>
    <mergeCell ref="FGQ40:FGR40"/>
    <mergeCell ref="FGS40:FGT40"/>
    <mergeCell ref="FGU40:FGV40"/>
    <mergeCell ref="FGW40:FGX40"/>
    <mergeCell ref="FGY40:FGZ40"/>
    <mergeCell ref="FHA40:FHB40"/>
    <mergeCell ref="FGE40:FGF40"/>
    <mergeCell ref="FGG40:FGH40"/>
    <mergeCell ref="FGI40:FGJ40"/>
    <mergeCell ref="FGK40:FGL40"/>
    <mergeCell ref="FGM40:FGN40"/>
    <mergeCell ref="FGO40:FGP40"/>
    <mergeCell ref="FFS40:FFT40"/>
    <mergeCell ref="FFU40:FFV40"/>
    <mergeCell ref="FFW40:FFX40"/>
    <mergeCell ref="FFY40:FFZ40"/>
    <mergeCell ref="FGA40:FGB40"/>
    <mergeCell ref="FGC40:FGD40"/>
    <mergeCell ref="FFG40:FFH40"/>
    <mergeCell ref="FFI40:FFJ40"/>
    <mergeCell ref="FFK40:FFL40"/>
    <mergeCell ref="FFM40:FFN40"/>
    <mergeCell ref="FFO40:FFP40"/>
    <mergeCell ref="FFQ40:FFR40"/>
    <mergeCell ref="FKI40:FKJ40"/>
    <mergeCell ref="FKK40:FKL40"/>
    <mergeCell ref="FKM40:FKN40"/>
    <mergeCell ref="FKO40:FKP40"/>
    <mergeCell ref="FKQ40:FKR40"/>
    <mergeCell ref="FKS40:FKT40"/>
    <mergeCell ref="FJW40:FJX40"/>
    <mergeCell ref="FJY40:FJZ40"/>
    <mergeCell ref="FKA40:FKB40"/>
    <mergeCell ref="FKC40:FKD40"/>
    <mergeCell ref="FKE40:FKF40"/>
    <mergeCell ref="FKG40:FKH40"/>
    <mergeCell ref="FJK40:FJL40"/>
    <mergeCell ref="FJM40:FJN40"/>
    <mergeCell ref="FJO40:FJP40"/>
    <mergeCell ref="FJQ40:FJR40"/>
    <mergeCell ref="FJS40:FJT40"/>
    <mergeCell ref="FJU40:FJV40"/>
    <mergeCell ref="FIY40:FIZ40"/>
    <mergeCell ref="FJA40:FJB40"/>
    <mergeCell ref="FJC40:FJD40"/>
    <mergeCell ref="FJE40:FJF40"/>
    <mergeCell ref="FJG40:FJH40"/>
    <mergeCell ref="FJI40:FJJ40"/>
    <mergeCell ref="FIM40:FIN40"/>
    <mergeCell ref="FIO40:FIP40"/>
    <mergeCell ref="FIQ40:FIR40"/>
    <mergeCell ref="FIS40:FIT40"/>
    <mergeCell ref="FIU40:FIV40"/>
    <mergeCell ref="FIW40:FIX40"/>
    <mergeCell ref="FIA40:FIB40"/>
    <mergeCell ref="FIC40:FID40"/>
    <mergeCell ref="FIE40:FIF40"/>
    <mergeCell ref="FIG40:FIH40"/>
    <mergeCell ref="FII40:FIJ40"/>
    <mergeCell ref="FIK40:FIL40"/>
    <mergeCell ref="FNC40:FND40"/>
    <mergeCell ref="FNE40:FNF40"/>
    <mergeCell ref="FNG40:FNH40"/>
    <mergeCell ref="FNI40:FNJ40"/>
    <mergeCell ref="FNK40:FNL40"/>
    <mergeCell ref="FNM40:FNN40"/>
    <mergeCell ref="FMQ40:FMR40"/>
    <mergeCell ref="FMS40:FMT40"/>
    <mergeCell ref="FMU40:FMV40"/>
    <mergeCell ref="FMW40:FMX40"/>
    <mergeCell ref="FMY40:FMZ40"/>
    <mergeCell ref="FNA40:FNB40"/>
    <mergeCell ref="FME40:FMF40"/>
    <mergeCell ref="FMG40:FMH40"/>
    <mergeCell ref="FMI40:FMJ40"/>
    <mergeCell ref="FMK40:FML40"/>
    <mergeCell ref="FMM40:FMN40"/>
    <mergeCell ref="FMO40:FMP40"/>
    <mergeCell ref="FLS40:FLT40"/>
    <mergeCell ref="FLU40:FLV40"/>
    <mergeCell ref="FLW40:FLX40"/>
    <mergeCell ref="FLY40:FLZ40"/>
    <mergeCell ref="FMA40:FMB40"/>
    <mergeCell ref="FMC40:FMD40"/>
    <mergeCell ref="FLG40:FLH40"/>
    <mergeCell ref="FLI40:FLJ40"/>
    <mergeCell ref="FLK40:FLL40"/>
    <mergeCell ref="FLM40:FLN40"/>
    <mergeCell ref="FLO40:FLP40"/>
    <mergeCell ref="FLQ40:FLR40"/>
    <mergeCell ref="FKU40:FKV40"/>
    <mergeCell ref="FKW40:FKX40"/>
    <mergeCell ref="FKY40:FKZ40"/>
    <mergeCell ref="FLA40:FLB40"/>
    <mergeCell ref="FLC40:FLD40"/>
    <mergeCell ref="FLE40:FLF40"/>
    <mergeCell ref="FPW40:FPX40"/>
    <mergeCell ref="FPY40:FPZ40"/>
    <mergeCell ref="FQA40:FQB40"/>
    <mergeCell ref="FQC40:FQD40"/>
    <mergeCell ref="FQE40:FQF40"/>
    <mergeCell ref="FQG40:FQH40"/>
    <mergeCell ref="FPK40:FPL40"/>
    <mergeCell ref="FPM40:FPN40"/>
    <mergeCell ref="FPO40:FPP40"/>
    <mergeCell ref="FPQ40:FPR40"/>
    <mergeCell ref="FPS40:FPT40"/>
    <mergeCell ref="FPU40:FPV40"/>
    <mergeCell ref="FOY40:FOZ40"/>
    <mergeCell ref="FPA40:FPB40"/>
    <mergeCell ref="FPC40:FPD40"/>
    <mergeCell ref="FPE40:FPF40"/>
    <mergeCell ref="FPG40:FPH40"/>
    <mergeCell ref="FPI40:FPJ40"/>
    <mergeCell ref="FOM40:FON40"/>
    <mergeCell ref="FOO40:FOP40"/>
    <mergeCell ref="FOQ40:FOR40"/>
    <mergeCell ref="FOS40:FOT40"/>
    <mergeCell ref="FOU40:FOV40"/>
    <mergeCell ref="FOW40:FOX40"/>
    <mergeCell ref="FOA40:FOB40"/>
    <mergeCell ref="FOC40:FOD40"/>
    <mergeCell ref="FOE40:FOF40"/>
    <mergeCell ref="FOG40:FOH40"/>
    <mergeCell ref="FOI40:FOJ40"/>
    <mergeCell ref="FOK40:FOL40"/>
    <mergeCell ref="FNO40:FNP40"/>
    <mergeCell ref="FNQ40:FNR40"/>
    <mergeCell ref="FNS40:FNT40"/>
    <mergeCell ref="FNU40:FNV40"/>
    <mergeCell ref="FNW40:FNX40"/>
    <mergeCell ref="FNY40:FNZ40"/>
    <mergeCell ref="FSQ40:FSR40"/>
    <mergeCell ref="FSS40:FST40"/>
    <mergeCell ref="FSU40:FSV40"/>
    <mergeCell ref="FSW40:FSX40"/>
    <mergeCell ref="FSY40:FSZ40"/>
    <mergeCell ref="FTA40:FTB40"/>
    <mergeCell ref="FSE40:FSF40"/>
    <mergeCell ref="FSG40:FSH40"/>
    <mergeCell ref="FSI40:FSJ40"/>
    <mergeCell ref="FSK40:FSL40"/>
    <mergeCell ref="FSM40:FSN40"/>
    <mergeCell ref="FSO40:FSP40"/>
    <mergeCell ref="FRS40:FRT40"/>
    <mergeCell ref="FRU40:FRV40"/>
    <mergeCell ref="FRW40:FRX40"/>
    <mergeCell ref="FRY40:FRZ40"/>
    <mergeCell ref="FSA40:FSB40"/>
    <mergeCell ref="FSC40:FSD40"/>
    <mergeCell ref="FRG40:FRH40"/>
    <mergeCell ref="FRI40:FRJ40"/>
    <mergeCell ref="FRK40:FRL40"/>
    <mergeCell ref="FRM40:FRN40"/>
    <mergeCell ref="FRO40:FRP40"/>
    <mergeCell ref="FRQ40:FRR40"/>
    <mergeCell ref="FQU40:FQV40"/>
    <mergeCell ref="FQW40:FQX40"/>
    <mergeCell ref="FQY40:FQZ40"/>
    <mergeCell ref="FRA40:FRB40"/>
    <mergeCell ref="FRC40:FRD40"/>
    <mergeCell ref="FRE40:FRF40"/>
    <mergeCell ref="FQI40:FQJ40"/>
    <mergeCell ref="FQK40:FQL40"/>
    <mergeCell ref="FQM40:FQN40"/>
    <mergeCell ref="FQO40:FQP40"/>
    <mergeCell ref="FQQ40:FQR40"/>
    <mergeCell ref="FQS40:FQT40"/>
    <mergeCell ref="FVK40:FVL40"/>
    <mergeCell ref="FVM40:FVN40"/>
    <mergeCell ref="FVO40:FVP40"/>
    <mergeCell ref="FVQ40:FVR40"/>
    <mergeCell ref="FVS40:FVT40"/>
    <mergeCell ref="FVU40:FVV40"/>
    <mergeCell ref="FUY40:FUZ40"/>
    <mergeCell ref="FVA40:FVB40"/>
    <mergeCell ref="FVC40:FVD40"/>
    <mergeCell ref="FVE40:FVF40"/>
    <mergeCell ref="FVG40:FVH40"/>
    <mergeCell ref="FVI40:FVJ40"/>
    <mergeCell ref="FUM40:FUN40"/>
    <mergeCell ref="FUO40:FUP40"/>
    <mergeCell ref="FUQ40:FUR40"/>
    <mergeCell ref="FUS40:FUT40"/>
    <mergeCell ref="FUU40:FUV40"/>
    <mergeCell ref="FUW40:FUX40"/>
    <mergeCell ref="FUA40:FUB40"/>
    <mergeCell ref="FUC40:FUD40"/>
    <mergeCell ref="FUE40:FUF40"/>
    <mergeCell ref="FUG40:FUH40"/>
    <mergeCell ref="FUI40:FUJ40"/>
    <mergeCell ref="FUK40:FUL40"/>
    <mergeCell ref="FTO40:FTP40"/>
    <mergeCell ref="FTQ40:FTR40"/>
    <mergeCell ref="FTS40:FTT40"/>
    <mergeCell ref="FTU40:FTV40"/>
    <mergeCell ref="FTW40:FTX40"/>
    <mergeCell ref="FTY40:FTZ40"/>
    <mergeCell ref="FTC40:FTD40"/>
    <mergeCell ref="FTE40:FTF40"/>
    <mergeCell ref="FTG40:FTH40"/>
    <mergeCell ref="FTI40:FTJ40"/>
    <mergeCell ref="FTK40:FTL40"/>
    <mergeCell ref="FTM40:FTN40"/>
    <mergeCell ref="FYE40:FYF40"/>
    <mergeCell ref="FYG40:FYH40"/>
    <mergeCell ref="FYI40:FYJ40"/>
    <mergeCell ref="FYK40:FYL40"/>
    <mergeCell ref="FYM40:FYN40"/>
    <mergeCell ref="FYO40:FYP40"/>
    <mergeCell ref="FXS40:FXT40"/>
    <mergeCell ref="FXU40:FXV40"/>
    <mergeCell ref="FXW40:FXX40"/>
    <mergeCell ref="FXY40:FXZ40"/>
    <mergeCell ref="FYA40:FYB40"/>
    <mergeCell ref="FYC40:FYD40"/>
    <mergeCell ref="FXG40:FXH40"/>
    <mergeCell ref="FXI40:FXJ40"/>
    <mergeCell ref="FXK40:FXL40"/>
    <mergeCell ref="FXM40:FXN40"/>
    <mergeCell ref="FXO40:FXP40"/>
    <mergeCell ref="FXQ40:FXR40"/>
    <mergeCell ref="FWU40:FWV40"/>
    <mergeCell ref="FWW40:FWX40"/>
    <mergeCell ref="FWY40:FWZ40"/>
    <mergeCell ref="FXA40:FXB40"/>
    <mergeCell ref="FXC40:FXD40"/>
    <mergeCell ref="FXE40:FXF40"/>
    <mergeCell ref="FWI40:FWJ40"/>
    <mergeCell ref="FWK40:FWL40"/>
    <mergeCell ref="FWM40:FWN40"/>
    <mergeCell ref="FWO40:FWP40"/>
    <mergeCell ref="FWQ40:FWR40"/>
    <mergeCell ref="FWS40:FWT40"/>
    <mergeCell ref="FVW40:FVX40"/>
    <mergeCell ref="FVY40:FVZ40"/>
    <mergeCell ref="FWA40:FWB40"/>
    <mergeCell ref="FWC40:FWD40"/>
    <mergeCell ref="FWE40:FWF40"/>
    <mergeCell ref="FWG40:FWH40"/>
    <mergeCell ref="GAY40:GAZ40"/>
    <mergeCell ref="GBA40:GBB40"/>
    <mergeCell ref="GBC40:GBD40"/>
    <mergeCell ref="GBE40:GBF40"/>
    <mergeCell ref="GBG40:GBH40"/>
    <mergeCell ref="GBI40:GBJ40"/>
    <mergeCell ref="GAM40:GAN40"/>
    <mergeCell ref="GAO40:GAP40"/>
    <mergeCell ref="GAQ40:GAR40"/>
    <mergeCell ref="GAS40:GAT40"/>
    <mergeCell ref="GAU40:GAV40"/>
    <mergeCell ref="GAW40:GAX40"/>
    <mergeCell ref="GAA40:GAB40"/>
    <mergeCell ref="GAC40:GAD40"/>
    <mergeCell ref="GAE40:GAF40"/>
    <mergeCell ref="GAG40:GAH40"/>
    <mergeCell ref="GAI40:GAJ40"/>
    <mergeCell ref="GAK40:GAL40"/>
    <mergeCell ref="FZO40:FZP40"/>
    <mergeCell ref="FZQ40:FZR40"/>
    <mergeCell ref="FZS40:FZT40"/>
    <mergeCell ref="FZU40:FZV40"/>
    <mergeCell ref="FZW40:FZX40"/>
    <mergeCell ref="FZY40:FZZ40"/>
    <mergeCell ref="FZC40:FZD40"/>
    <mergeCell ref="FZE40:FZF40"/>
    <mergeCell ref="FZG40:FZH40"/>
    <mergeCell ref="FZI40:FZJ40"/>
    <mergeCell ref="FZK40:FZL40"/>
    <mergeCell ref="FZM40:FZN40"/>
    <mergeCell ref="FYQ40:FYR40"/>
    <mergeCell ref="FYS40:FYT40"/>
    <mergeCell ref="FYU40:FYV40"/>
    <mergeCell ref="FYW40:FYX40"/>
    <mergeCell ref="FYY40:FYZ40"/>
    <mergeCell ref="FZA40:FZB40"/>
    <mergeCell ref="GDS40:GDT40"/>
    <mergeCell ref="GDU40:GDV40"/>
    <mergeCell ref="GDW40:GDX40"/>
    <mergeCell ref="GDY40:GDZ40"/>
    <mergeCell ref="GEA40:GEB40"/>
    <mergeCell ref="GEC40:GED40"/>
    <mergeCell ref="GDG40:GDH40"/>
    <mergeCell ref="GDI40:GDJ40"/>
    <mergeCell ref="GDK40:GDL40"/>
    <mergeCell ref="GDM40:GDN40"/>
    <mergeCell ref="GDO40:GDP40"/>
    <mergeCell ref="GDQ40:GDR40"/>
    <mergeCell ref="GCU40:GCV40"/>
    <mergeCell ref="GCW40:GCX40"/>
    <mergeCell ref="GCY40:GCZ40"/>
    <mergeCell ref="GDA40:GDB40"/>
    <mergeCell ref="GDC40:GDD40"/>
    <mergeCell ref="GDE40:GDF40"/>
    <mergeCell ref="GCI40:GCJ40"/>
    <mergeCell ref="GCK40:GCL40"/>
    <mergeCell ref="GCM40:GCN40"/>
    <mergeCell ref="GCO40:GCP40"/>
    <mergeCell ref="GCQ40:GCR40"/>
    <mergeCell ref="GCS40:GCT40"/>
    <mergeCell ref="GBW40:GBX40"/>
    <mergeCell ref="GBY40:GBZ40"/>
    <mergeCell ref="GCA40:GCB40"/>
    <mergeCell ref="GCC40:GCD40"/>
    <mergeCell ref="GCE40:GCF40"/>
    <mergeCell ref="GCG40:GCH40"/>
    <mergeCell ref="GBK40:GBL40"/>
    <mergeCell ref="GBM40:GBN40"/>
    <mergeCell ref="GBO40:GBP40"/>
    <mergeCell ref="GBQ40:GBR40"/>
    <mergeCell ref="GBS40:GBT40"/>
    <mergeCell ref="GBU40:GBV40"/>
    <mergeCell ref="GGM40:GGN40"/>
    <mergeCell ref="GGO40:GGP40"/>
    <mergeCell ref="GGQ40:GGR40"/>
    <mergeCell ref="GGS40:GGT40"/>
    <mergeCell ref="GGU40:GGV40"/>
    <mergeCell ref="GGW40:GGX40"/>
    <mergeCell ref="GGA40:GGB40"/>
    <mergeCell ref="GGC40:GGD40"/>
    <mergeCell ref="GGE40:GGF40"/>
    <mergeCell ref="GGG40:GGH40"/>
    <mergeCell ref="GGI40:GGJ40"/>
    <mergeCell ref="GGK40:GGL40"/>
    <mergeCell ref="GFO40:GFP40"/>
    <mergeCell ref="GFQ40:GFR40"/>
    <mergeCell ref="GFS40:GFT40"/>
    <mergeCell ref="GFU40:GFV40"/>
    <mergeCell ref="GFW40:GFX40"/>
    <mergeCell ref="GFY40:GFZ40"/>
    <mergeCell ref="GFC40:GFD40"/>
    <mergeCell ref="GFE40:GFF40"/>
    <mergeCell ref="GFG40:GFH40"/>
    <mergeCell ref="GFI40:GFJ40"/>
    <mergeCell ref="GFK40:GFL40"/>
    <mergeCell ref="GFM40:GFN40"/>
    <mergeCell ref="GEQ40:GER40"/>
    <mergeCell ref="GES40:GET40"/>
    <mergeCell ref="GEU40:GEV40"/>
    <mergeCell ref="GEW40:GEX40"/>
    <mergeCell ref="GEY40:GEZ40"/>
    <mergeCell ref="GFA40:GFB40"/>
    <mergeCell ref="GEE40:GEF40"/>
    <mergeCell ref="GEG40:GEH40"/>
    <mergeCell ref="GEI40:GEJ40"/>
    <mergeCell ref="GEK40:GEL40"/>
    <mergeCell ref="GEM40:GEN40"/>
    <mergeCell ref="GEO40:GEP40"/>
    <mergeCell ref="GJG40:GJH40"/>
    <mergeCell ref="GJI40:GJJ40"/>
    <mergeCell ref="GJK40:GJL40"/>
    <mergeCell ref="GJM40:GJN40"/>
    <mergeCell ref="GJO40:GJP40"/>
    <mergeCell ref="GJQ40:GJR40"/>
    <mergeCell ref="GIU40:GIV40"/>
    <mergeCell ref="GIW40:GIX40"/>
    <mergeCell ref="GIY40:GIZ40"/>
    <mergeCell ref="GJA40:GJB40"/>
    <mergeCell ref="GJC40:GJD40"/>
    <mergeCell ref="GJE40:GJF40"/>
    <mergeCell ref="GII40:GIJ40"/>
    <mergeCell ref="GIK40:GIL40"/>
    <mergeCell ref="GIM40:GIN40"/>
    <mergeCell ref="GIO40:GIP40"/>
    <mergeCell ref="GIQ40:GIR40"/>
    <mergeCell ref="GIS40:GIT40"/>
    <mergeCell ref="GHW40:GHX40"/>
    <mergeCell ref="GHY40:GHZ40"/>
    <mergeCell ref="GIA40:GIB40"/>
    <mergeCell ref="GIC40:GID40"/>
    <mergeCell ref="GIE40:GIF40"/>
    <mergeCell ref="GIG40:GIH40"/>
    <mergeCell ref="GHK40:GHL40"/>
    <mergeCell ref="GHM40:GHN40"/>
    <mergeCell ref="GHO40:GHP40"/>
    <mergeCell ref="GHQ40:GHR40"/>
    <mergeCell ref="GHS40:GHT40"/>
    <mergeCell ref="GHU40:GHV40"/>
    <mergeCell ref="GGY40:GGZ40"/>
    <mergeCell ref="GHA40:GHB40"/>
    <mergeCell ref="GHC40:GHD40"/>
    <mergeCell ref="GHE40:GHF40"/>
    <mergeCell ref="GHG40:GHH40"/>
    <mergeCell ref="GHI40:GHJ40"/>
    <mergeCell ref="GMA40:GMB40"/>
    <mergeCell ref="GMC40:GMD40"/>
    <mergeCell ref="GME40:GMF40"/>
    <mergeCell ref="GMG40:GMH40"/>
    <mergeCell ref="GMI40:GMJ40"/>
    <mergeCell ref="GMK40:GML40"/>
    <mergeCell ref="GLO40:GLP40"/>
    <mergeCell ref="GLQ40:GLR40"/>
    <mergeCell ref="GLS40:GLT40"/>
    <mergeCell ref="GLU40:GLV40"/>
    <mergeCell ref="GLW40:GLX40"/>
    <mergeCell ref="GLY40:GLZ40"/>
    <mergeCell ref="GLC40:GLD40"/>
    <mergeCell ref="GLE40:GLF40"/>
    <mergeCell ref="GLG40:GLH40"/>
    <mergeCell ref="GLI40:GLJ40"/>
    <mergeCell ref="GLK40:GLL40"/>
    <mergeCell ref="GLM40:GLN40"/>
    <mergeCell ref="GKQ40:GKR40"/>
    <mergeCell ref="GKS40:GKT40"/>
    <mergeCell ref="GKU40:GKV40"/>
    <mergeCell ref="GKW40:GKX40"/>
    <mergeCell ref="GKY40:GKZ40"/>
    <mergeCell ref="GLA40:GLB40"/>
    <mergeCell ref="GKE40:GKF40"/>
    <mergeCell ref="GKG40:GKH40"/>
    <mergeCell ref="GKI40:GKJ40"/>
    <mergeCell ref="GKK40:GKL40"/>
    <mergeCell ref="GKM40:GKN40"/>
    <mergeCell ref="GKO40:GKP40"/>
    <mergeCell ref="GJS40:GJT40"/>
    <mergeCell ref="GJU40:GJV40"/>
    <mergeCell ref="GJW40:GJX40"/>
    <mergeCell ref="GJY40:GJZ40"/>
    <mergeCell ref="GKA40:GKB40"/>
    <mergeCell ref="GKC40:GKD40"/>
    <mergeCell ref="GOU40:GOV40"/>
    <mergeCell ref="GOW40:GOX40"/>
    <mergeCell ref="GOY40:GOZ40"/>
    <mergeCell ref="GPA40:GPB40"/>
    <mergeCell ref="GPC40:GPD40"/>
    <mergeCell ref="GPE40:GPF40"/>
    <mergeCell ref="GOI40:GOJ40"/>
    <mergeCell ref="GOK40:GOL40"/>
    <mergeCell ref="GOM40:GON40"/>
    <mergeCell ref="GOO40:GOP40"/>
    <mergeCell ref="GOQ40:GOR40"/>
    <mergeCell ref="GOS40:GOT40"/>
    <mergeCell ref="GNW40:GNX40"/>
    <mergeCell ref="GNY40:GNZ40"/>
    <mergeCell ref="GOA40:GOB40"/>
    <mergeCell ref="GOC40:GOD40"/>
    <mergeCell ref="GOE40:GOF40"/>
    <mergeCell ref="GOG40:GOH40"/>
    <mergeCell ref="GNK40:GNL40"/>
    <mergeCell ref="GNM40:GNN40"/>
    <mergeCell ref="GNO40:GNP40"/>
    <mergeCell ref="GNQ40:GNR40"/>
    <mergeCell ref="GNS40:GNT40"/>
    <mergeCell ref="GNU40:GNV40"/>
    <mergeCell ref="GMY40:GMZ40"/>
    <mergeCell ref="GNA40:GNB40"/>
    <mergeCell ref="GNC40:GND40"/>
    <mergeCell ref="GNE40:GNF40"/>
    <mergeCell ref="GNG40:GNH40"/>
    <mergeCell ref="GNI40:GNJ40"/>
    <mergeCell ref="GMM40:GMN40"/>
    <mergeCell ref="GMO40:GMP40"/>
    <mergeCell ref="GMQ40:GMR40"/>
    <mergeCell ref="GMS40:GMT40"/>
    <mergeCell ref="GMU40:GMV40"/>
    <mergeCell ref="GMW40:GMX40"/>
    <mergeCell ref="GRO40:GRP40"/>
    <mergeCell ref="GRQ40:GRR40"/>
    <mergeCell ref="GRS40:GRT40"/>
    <mergeCell ref="GRU40:GRV40"/>
    <mergeCell ref="GRW40:GRX40"/>
    <mergeCell ref="GRY40:GRZ40"/>
    <mergeCell ref="GRC40:GRD40"/>
    <mergeCell ref="GRE40:GRF40"/>
    <mergeCell ref="GRG40:GRH40"/>
    <mergeCell ref="GRI40:GRJ40"/>
    <mergeCell ref="GRK40:GRL40"/>
    <mergeCell ref="GRM40:GRN40"/>
    <mergeCell ref="GQQ40:GQR40"/>
    <mergeCell ref="GQS40:GQT40"/>
    <mergeCell ref="GQU40:GQV40"/>
    <mergeCell ref="GQW40:GQX40"/>
    <mergeCell ref="GQY40:GQZ40"/>
    <mergeCell ref="GRA40:GRB40"/>
    <mergeCell ref="GQE40:GQF40"/>
    <mergeCell ref="GQG40:GQH40"/>
    <mergeCell ref="GQI40:GQJ40"/>
    <mergeCell ref="GQK40:GQL40"/>
    <mergeCell ref="GQM40:GQN40"/>
    <mergeCell ref="GQO40:GQP40"/>
    <mergeCell ref="GPS40:GPT40"/>
    <mergeCell ref="GPU40:GPV40"/>
    <mergeCell ref="GPW40:GPX40"/>
    <mergeCell ref="GPY40:GPZ40"/>
    <mergeCell ref="GQA40:GQB40"/>
    <mergeCell ref="GQC40:GQD40"/>
    <mergeCell ref="GPG40:GPH40"/>
    <mergeCell ref="GPI40:GPJ40"/>
    <mergeCell ref="GPK40:GPL40"/>
    <mergeCell ref="GPM40:GPN40"/>
    <mergeCell ref="GPO40:GPP40"/>
    <mergeCell ref="GPQ40:GPR40"/>
    <mergeCell ref="GUI40:GUJ40"/>
    <mergeCell ref="GUK40:GUL40"/>
    <mergeCell ref="GUM40:GUN40"/>
    <mergeCell ref="GUO40:GUP40"/>
    <mergeCell ref="GUQ40:GUR40"/>
    <mergeCell ref="GUS40:GUT40"/>
    <mergeCell ref="GTW40:GTX40"/>
    <mergeCell ref="GTY40:GTZ40"/>
    <mergeCell ref="GUA40:GUB40"/>
    <mergeCell ref="GUC40:GUD40"/>
    <mergeCell ref="GUE40:GUF40"/>
    <mergeCell ref="GUG40:GUH40"/>
    <mergeCell ref="GTK40:GTL40"/>
    <mergeCell ref="GTM40:GTN40"/>
    <mergeCell ref="GTO40:GTP40"/>
    <mergeCell ref="GTQ40:GTR40"/>
    <mergeCell ref="GTS40:GTT40"/>
    <mergeCell ref="GTU40:GTV40"/>
    <mergeCell ref="GSY40:GSZ40"/>
    <mergeCell ref="GTA40:GTB40"/>
    <mergeCell ref="GTC40:GTD40"/>
    <mergeCell ref="GTE40:GTF40"/>
    <mergeCell ref="GTG40:GTH40"/>
    <mergeCell ref="GTI40:GTJ40"/>
    <mergeCell ref="GSM40:GSN40"/>
    <mergeCell ref="GSO40:GSP40"/>
    <mergeCell ref="GSQ40:GSR40"/>
    <mergeCell ref="GSS40:GST40"/>
    <mergeCell ref="GSU40:GSV40"/>
    <mergeCell ref="GSW40:GSX40"/>
    <mergeCell ref="GSA40:GSB40"/>
    <mergeCell ref="GSC40:GSD40"/>
    <mergeCell ref="GSE40:GSF40"/>
    <mergeCell ref="GSG40:GSH40"/>
    <mergeCell ref="GSI40:GSJ40"/>
    <mergeCell ref="GSK40:GSL40"/>
    <mergeCell ref="GXC40:GXD40"/>
    <mergeCell ref="GXE40:GXF40"/>
    <mergeCell ref="GXG40:GXH40"/>
    <mergeCell ref="GXI40:GXJ40"/>
    <mergeCell ref="GXK40:GXL40"/>
    <mergeCell ref="GXM40:GXN40"/>
    <mergeCell ref="GWQ40:GWR40"/>
    <mergeCell ref="GWS40:GWT40"/>
    <mergeCell ref="GWU40:GWV40"/>
    <mergeCell ref="GWW40:GWX40"/>
    <mergeCell ref="GWY40:GWZ40"/>
    <mergeCell ref="GXA40:GXB40"/>
    <mergeCell ref="GWE40:GWF40"/>
    <mergeCell ref="GWG40:GWH40"/>
    <mergeCell ref="GWI40:GWJ40"/>
    <mergeCell ref="GWK40:GWL40"/>
    <mergeCell ref="GWM40:GWN40"/>
    <mergeCell ref="GWO40:GWP40"/>
    <mergeCell ref="GVS40:GVT40"/>
    <mergeCell ref="GVU40:GVV40"/>
    <mergeCell ref="GVW40:GVX40"/>
    <mergeCell ref="GVY40:GVZ40"/>
    <mergeCell ref="GWA40:GWB40"/>
    <mergeCell ref="GWC40:GWD40"/>
    <mergeCell ref="GVG40:GVH40"/>
    <mergeCell ref="GVI40:GVJ40"/>
    <mergeCell ref="GVK40:GVL40"/>
    <mergeCell ref="GVM40:GVN40"/>
    <mergeCell ref="GVO40:GVP40"/>
    <mergeCell ref="GVQ40:GVR40"/>
    <mergeCell ref="GUU40:GUV40"/>
    <mergeCell ref="GUW40:GUX40"/>
    <mergeCell ref="GUY40:GUZ40"/>
    <mergeCell ref="GVA40:GVB40"/>
    <mergeCell ref="GVC40:GVD40"/>
    <mergeCell ref="GVE40:GVF40"/>
    <mergeCell ref="GZW40:GZX40"/>
    <mergeCell ref="GZY40:GZZ40"/>
    <mergeCell ref="HAA40:HAB40"/>
    <mergeCell ref="HAC40:HAD40"/>
    <mergeCell ref="HAE40:HAF40"/>
    <mergeCell ref="HAG40:HAH40"/>
    <mergeCell ref="GZK40:GZL40"/>
    <mergeCell ref="GZM40:GZN40"/>
    <mergeCell ref="GZO40:GZP40"/>
    <mergeCell ref="GZQ40:GZR40"/>
    <mergeCell ref="GZS40:GZT40"/>
    <mergeCell ref="GZU40:GZV40"/>
    <mergeCell ref="GYY40:GYZ40"/>
    <mergeCell ref="GZA40:GZB40"/>
    <mergeCell ref="GZC40:GZD40"/>
    <mergeCell ref="GZE40:GZF40"/>
    <mergeCell ref="GZG40:GZH40"/>
    <mergeCell ref="GZI40:GZJ40"/>
    <mergeCell ref="GYM40:GYN40"/>
    <mergeCell ref="GYO40:GYP40"/>
    <mergeCell ref="GYQ40:GYR40"/>
    <mergeCell ref="GYS40:GYT40"/>
    <mergeCell ref="GYU40:GYV40"/>
    <mergeCell ref="GYW40:GYX40"/>
    <mergeCell ref="GYA40:GYB40"/>
    <mergeCell ref="GYC40:GYD40"/>
    <mergeCell ref="GYE40:GYF40"/>
    <mergeCell ref="GYG40:GYH40"/>
    <mergeCell ref="GYI40:GYJ40"/>
    <mergeCell ref="GYK40:GYL40"/>
    <mergeCell ref="GXO40:GXP40"/>
    <mergeCell ref="GXQ40:GXR40"/>
    <mergeCell ref="GXS40:GXT40"/>
    <mergeCell ref="GXU40:GXV40"/>
    <mergeCell ref="GXW40:GXX40"/>
    <mergeCell ref="GXY40:GXZ40"/>
    <mergeCell ref="HCQ40:HCR40"/>
    <mergeCell ref="HCS40:HCT40"/>
    <mergeCell ref="HCU40:HCV40"/>
    <mergeCell ref="HCW40:HCX40"/>
    <mergeCell ref="HCY40:HCZ40"/>
    <mergeCell ref="HDA40:HDB40"/>
    <mergeCell ref="HCE40:HCF40"/>
    <mergeCell ref="HCG40:HCH40"/>
    <mergeCell ref="HCI40:HCJ40"/>
    <mergeCell ref="HCK40:HCL40"/>
    <mergeCell ref="HCM40:HCN40"/>
    <mergeCell ref="HCO40:HCP40"/>
    <mergeCell ref="HBS40:HBT40"/>
    <mergeCell ref="HBU40:HBV40"/>
    <mergeCell ref="HBW40:HBX40"/>
    <mergeCell ref="HBY40:HBZ40"/>
    <mergeCell ref="HCA40:HCB40"/>
    <mergeCell ref="HCC40:HCD40"/>
    <mergeCell ref="HBG40:HBH40"/>
    <mergeCell ref="HBI40:HBJ40"/>
    <mergeCell ref="HBK40:HBL40"/>
    <mergeCell ref="HBM40:HBN40"/>
    <mergeCell ref="HBO40:HBP40"/>
    <mergeCell ref="HBQ40:HBR40"/>
    <mergeCell ref="HAU40:HAV40"/>
    <mergeCell ref="HAW40:HAX40"/>
    <mergeCell ref="HAY40:HAZ40"/>
    <mergeCell ref="HBA40:HBB40"/>
    <mergeCell ref="HBC40:HBD40"/>
    <mergeCell ref="HBE40:HBF40"/>
    <mergeCell ref="HAI40:HAJ40"/>
    <mergeCell ref="HAK40:HAL40"/>
    <mergeCell ref="HAM40:HAN40"/>
    <mergeCell ref="HAO40:HAP40"/>
    <mergeCell ref="HAQ40:HAR40"/>
    <mergeCell ref="HAS40:HAT40"/>
    <mergeCell ref="HFK40:HFL40"/>
    <mergeCell ref="HFM40:HFN40"/>
    <mergeCell ref="HFO40:HFP40"/>
    <mergeCell ref="HFQ40:HFR40"/>
    <mergeCell ref="HFS40:HFT40"/>
    <mergeCell ref="HFU40:HFV40"/>
    <mergeCell ref="HEY40:HEZ40"/>
    <mergeCell ref="HFA40:HFB40"/>
    <mergeCell ref="HFC40:HFD40"/>
    <mergeCell ref="HFE40:HFF40"/>
    <mergeCell ref="HFG40:HFH40"/>
    <mergeCell ref="HFI40:HFJ40"/>
    <mergeCell ref="HEM40:HEN40"/>
    <mergeCell ref="HEO40:HEP40"/>
    <mergeCell ref="HEQ40:HER40"/>
    <mergeCell ref="HES40:HET40"/>
    <mergeCell ref="HEU40:HEV40"/>
    <mergeCell ref="HEW40:HEX40"/>
    <mergeCell ref="HEA40:HEB40"/>
    <mergeCell ref="HEC40:HED40"/>
    <mergeCell ref="HEE40:HEF40"/>
    <mergeCell ref="HEG40:HEH40"/>
    <mergeCell ref="HEI40:HEJ40"/>
    <mergeCell ref="HEK40:HEL40"/>
    <mergeCell ref="HDO40:HDP40"/>
    <mergeCell ref="HDQ40:HDR40"/>
    <mergeCell ref="HDS40:HDT40"/>
    <mergeCell ref="HDU40:HDV40"/>
    <mergeCell ref="HDW40:HDX40"/>
    <mergeCell ref="HDY40:HDZ40"/>
    <mergeCell ref="HDC40:HDD40"/>
    <mergeCell ref="HDE40:HDF40"/>
    <mergeCell ref="HDG40:HDH40"/>
    <mergeCell ref="HDI40:HDJ40"/>
    <mergeCell ref="HDK40:HDL40"/>
    <mergeCell ref="HDM40:HDN40"/>
    <mergeCell ref="HIE40:HIF40"/>
    <mergeCell ref="HIG40:HIH40"/>
    <mergeCell ref="HII40:HIJ40"/>
    <mergeCell ref="HIK40:HIL40"/>
    <mergeCell ref="HIM40:HIN40"/>
    <mergeCell ref="HIO40:HIP40"/>
    <mergeCell ref="HHS40:HHT40"/>
    <mergeCell ref="HHU40:HHV40"/>
    <mergeCell ref="HHW40:HHX40"/>
    <mergeCell ref="HHY40:HHZ40"/>
    <mergeCell ref="HIA40:HIB40"/>
    <mergeCell ref="HIC40:HID40"/>
    <mergeCell ref="HHG40:HHH40"/>
    <mergeCell ref="HHI40:HHJ40"/>
    <mergeCell ref="HHK40:HHL40"/>
    <mergeCell ref="HHM40:HHN40"/>
    <mergeCell ref="HHO40:HHP40"/>
    <mergeCell ref="HHQ40:HHR40"/>
    <mergeCell ref="HGU40:HGV40"/>
    <mergeCell ref="HGW40:HGX40"/>
    <mergeCell ref="HGY40:HGZ40"/>
    <mergeCell ref="HHA40:HHB40"/>
    <mergeCell ref="HHC40:HHD40"/>
    <mergeCell ref="HHE40:HHF40"/>
    <mergeCell ref="HGI40:HGJ40"/>
    <mergeCell ref="HGK40:HGL40"/>
    <mergeCell ref="HGM40:HGN40"/>
    <mergeCell ref="HGO40:HGP40"/>
    <mergeCell ref="HGQ40:HGR40"/>
    <mergeCell ref="HGS40:HGT40"/>
    <mergeCell ref="HFW40:HFX40"/>
    <mergeCell ref="HFY40:HFZ40"/>
    <mergeCell ref="HGA40:HGB40"/>
    <mergeCell ref="HGC40:HGD40"/>
    <mergeCell ref="HGE40:HGF40"/>
    <mergeCell ref="HGG40:HGH40"/>
    <mergeCell ref="HKY40:HKZ40"/>
    <mergeCell ref="HLA40:HLB40"/>
    <mergeCell ref="HLC40:HLD40"/>
    <mergeCell ref="HLE40:HLF40"/>
    <mergeCell ref="HLG40:HLH40"/>
    <mergeCell ref="HLI40:HLJ40"/>
    <mergeCell ref="HKM40:HKN40"/>
    <mergeCell ref="HKO40:HKP40"/>
    <mergeCell ref="HKQ40:HKR40"/>
    <mergeCell ref="HKS40:HKT40"/>
    <mergeCell ref="HKU40:HKV40"/>
    <mergeCell ref="HKW40:HKX40"/>
    <mergeCell ref="HKA40:HKB40"/>
    <mergeCell ref="HKC40:HKD40"/>
    <mergeCell ref="HKE40:HKF40"/>
    <mergeCell ref="HKG40:HKH40"/>
    <mergeCell ref="HKI40:HKJ40"/>
    <mergeCell ref="HKK40:HKL40"/>
    <mergeCell ref="HJO40:HJP40"/>
    <mergeCell ref="HJQ40:HJR40"/>
    <mergeCell ref="HJS40:HJT40"/>
    <mergeCell ref="HJU40:HJV40"/>
    <mergeCell ref="HJW40:HJX40"/>
    <mergeCell ref="HJY40:HJZ40"/>
    <mergeCell ref="HJC40:HJD40"/>
    <mergeCell ref="HJE40:HJF40"/>
    <mergeCell ref="HJG40:HJH40"/>
    <mergeCell ref="HJI40:HJJ40"/>
    <mergeCell ref="HJK40:HJL40"/>
    <mergeCell ref="HJM40:HJN40"/>
    <mergeCell ref="HIQ40:HIR40"/>
    <mergeCell ref="HIS40:HIT40"/>
    <mergeCell ref="HIU40:HIV40"/>
    <mergeCell ref="HIW40:HIX40"/>
    <mergeCell ref="HIY40:HIZ40"/>
    <mergeCell ref="HJA40:HJB40"/>
    <mergeCell ref="HNS40:HNT40"/>
    <mergeCell ref="HNU40:HNV40"/>
    <mergeCell ref="HNW40:HNX40"/>
    <mergeCell ref="HNY40:HNZ40"/>
    <mergeCell ref="HOA40:HOB40"/>
    <mergeCell ref="HOC40:HOD40"/>
    <mergeCell ref="HNG40:HNH40"/>
    <mergeCell ref="HNI40:HNJ40"/>
    <mergeCell ref="HNK40:HNL40"/>
    <mergeCell ref="HNM40:HNN40"/>
    <mergeCell ref="HNO40:HNP40"/>
    <mergeCell ref="HNQ40:HNR40"/>
    <mergeCell ref="HMU40:HMV40"/>
    <mergeCell ref="HMW40:HMX40"/>
    <mergeCell ref="HMY40:HMZ40"/>
    <mergeCell ref="HNA40:HNB40"/>
    <mergeCell ref="HNC40:HND40"/>
    <mergeCell ref="HNE40:HNF40"/>
    <mergeCell ref="HMI40:HMJ40"/>
    <mergeCell ref="HMK40:HML40"/>
    <mergeCell ref="HMM40:HMN40"/>
    <mergeCell ref="HMO40:HMP40"/>
    <mergeCell ref="HMQ40:HMR40"/>
    <mergeCell ref="HMS40:HMT40"/>
    <mergeCell ref="HLW40:HLX40"/>
    <mergeCell ref="HLY40:HLZ40"/>
    <mergeCell ref="HMA40:HMB40"/>
    <mergeCell ref="HMC40:HMD40"/>
    <mergeCell ref="HME40:HMF40"/>
    <mergeCell ref="HMG40:HMH40"/>
    <mergeCell ref="HLK40:HLL40"/>
    <mergeCell ref="HLM40:HLN40"/>
    <mergeCell ref="HLO40:HLP40"/>
    <mergeCell ref="HLQ40:HLR40"/>
    <mergeCell ref="HLS40:HLT40"/>
    <mergeCell ref="HLU40:HLV40"/>
    <mergeCell ref="HQM40:HQN40"/>
    <mergeCell ref="HQO40:HQP40"/>
    <mergeCell ref="HQQ40:HQR40"/>
    <mergeCell ref="HQS40:HQT40"/>
    <mergeCell ref="HQU40:HQV40"/>
    <mergeCell ref="HQW40:HQX40"/>
    <mergeCell ref="HQA40:HQB40"/>
    <mergeCell ref="HQC40:HQD40"/>
    <mergeCell ref="HQE40:HQF40"/>
    <mergeCell ref="HQG40:HQH40"/>
    <mergeCell ref="HQI40:HQJ40"/>
    <mergeCell ref="HQK40:HQL40"/>
    <mergeCell ref="HPO40:HPP40"/>
    <mergeCell ref="HPQ40:HPR40"/>
    <mergeCell ref="HPS40:HPT40"/>
    <mergeCell ref="HPU40:HPV40"/>
    <mergeCell ref="HPW40:HPX40"/>
    <mergeCell ref="HPY40:HPZ40"/>
    <mergeCell ref="HPC40:HPD40"/>
    <mergeCell ref="HPE40:HPF40"/>
    <mergeCell ref="HPG40:HPH40"/>
    <mergeCell ref="HPI40:HPJ40"/>
    <mergeCell ref="HPK40:HPL40"/>
    <mergeCell ref="HPM40:HPN40"/>
    <mergeCell ref="HOQ40:HOR40"/>
    <mergeCell ref="HOS40:HOT40"/>
    <mergeCell ref="HOU40:HOV40"/>
    <mergeCell ref="HOW40:HOX40"/>
    <mergeCell ref="HOY40:HOZ40"/>
    <mergeCell ref="HPA40:HPB40"/>
    <mergeCell ref="HOE40:HOF40"/>
    <mergeCell ref="HOG40:HOH40"/>
    <mergeCell ref="HOI40:HOJ40"/>
    <mergeCell ref="HOK40:HOL40"/>
    <mergeCell ref="HOM40:HON40"/>
    <mergeCell ref="HOO40:HOP40"/>
    <mergeCell ref="HTG40:HTH40"/>
    <mergeCell ref="HTI40:HTJ40"/>
    <mergeCell ref="HTK40:HTL40"/>
    <mergeCell ref="HTM40:HTN40"/>
    <mergeCell ref="HTO40:HTP40"/>
    <mergeCell ref="HTQ40:HTR40"/>
    <mergeCell ref="HSU40:HSV40"/>
    <mergeCell ref="HSW40:HSX40"/>
    <mergeCell ref="HSY40:HSZ40"/>
    <mergeCell ref="HTA40:HTB40"/>
    <mergeCell ref="HTC40:HTD40"/>
    <mergeCell ref="HTE40:HTF40"/>
    <mergeCell ref="HSI40:HSJ40"/>
    <mergeCell ref="HSK40:HSL40"/>
    <mergeCell ref="HSM40:HSN40"/>
    <mergeCell ref="HSO40:HSP40"/>
    <mergeCell ref="HSQ40:HSR40"/>
    <mergeCell ref="HSS40:HST40"/>
    <mergeCell ref="HRW40:HRX40"/>
    <mergeCell ref="HRY40:HRZ40"/>
    <mergeCell ref="HSA40:HSB40"/>
    <mergeCell ref="HSC40:HSD40"/>
    <mergeCell ref="HSE40:HSF40"/>
    <mergeCell ref="HSG40:HSH40"/>
    <mergeCell ref="HRK40:HRL40"/>
    <mergeCell ref="HRM40:HRN40"/>
    <mergeCell ref="HRO40:HRP40"/>
    <mergeCell ref="HRQ40:HRR40"/>
    <mergeCell ref="HRS40:HRT40"/>
    <mergeCell ref="HRU40:HRV40"/>
    <mergeCell ref="HQY40:HQZ40"/>
    <mergeCell ref="HRA40:HRB40"/>
    <mergeCell ref="HRC40:HRD40"/>
    <mergeCell ref="HRE40:HRF40"/>
    <mergeCell ref="HRG40:HRH40"/>
    <mergeCell ref="HRI40:HRJ40"/>
    <mergeCell ref="HWA40:HWB40"/>
    <mergeCell ref="HWC40:HWD40"/>
    <mergeCell ref="HWE40:HWF40"/>
    <mergeCell ref="HWG40:HWH40"/>
    <mergeCell ref="HWI40:HWJ40"/>
    <mergeCell ref="HWK40:HWL40"/>
    <mergeCell ref="HVO40:HVP40"/>
    <mergeCell ref="HVQ40:HVR40"/>
    <mergeCell ref="HVS40:HVT40"/>
    <mergeCell ref="HVU40:HVV40"/>
    <mergeCell ref="HVW40:HVX40"/>
    <mergeCell ref="HVY40:HVZ40"/>
    <mergeCell ref="HVC40:HVD40"/>
    <mergeCell ref="HVE40:HVF40"/>
    <mergeCell ref="HVG40:HVH40"/>
    <mergeCell ref="HVI40:HVJ40"/>
    <mergeCell ref="HVK40:HVL40"/>
    <mergeCell ref="HVM40:HVN40"/>
    <mergeCell ref="HUQ40:HUR40"/>
    <mergeCell ref="HUS40:HUT40"/>
    <mergeCell ref="HUU40:HUV40"/>
    <mergeCell ref="HUW40:HUX40"/>
    <mergeCell ref="HUY40:HUZ40"/>
    <mergeCell ref="HVA40:HVB40"/>
    <mergeCell ref="HUE40:HUF40"/>
    <mergeCell ref="HUG40:HUH40"/>
    <mergeCell ref="HUI40:HUJ40"/>
    <mergeCell ref="HUK40:HUL40"/>
    <mergeCell ref="HUM40:HUN40"/>
    <mergeCell ref="HUO40:HUP40"/>
    <mergeCell ref="HTS40:HTT40"/>
    <mergeCell ref="HTU40:HTV40"/>
    <mergeCell ref="HTW40:HTX40"/>
    <mergeCell ref="HTY40:HTZ40"/>
    <mergeCell ref="HUA40:HUB40"/>
    <mergeCell ref="HUC40:HUD40"/>
    <mergeCell ref="HYU40:HYV40"/>
    <mergeCell ref="HYW40:HYX40"/>
    <mergeCell ref="HYY40:HYZ40"/>
    <mergeCell ref="HZA40:HZB40"/>
    <mergeCell ref="HZC40:HZD40"/>
    <mergeCell ref="HZE40:HZF40"/>
    <mergeCell ref="HYI40:HYJ40"/>
    <mergeCell ref="HYK40:HYL40"/>
    <mergeCell ref="HYM40:HYN40"/>
    <mergeCell ref="HYO40:HYP40"/>
    <mergeCell ref="HYQ40:HYR40"/>
    <mergeCell ref="HYS40:HYT40"/>
    <mergeCell ref="HXW40:HXX40"/>
    <mergeCell ref="HXY40:HXZ40"/>
    <mergeCell ref="HYA40:HYB40"/>
    <mergeCell ref="HYC40:HYD40"/>
    <mergeCell ref="HYE40:HYF40"/>
    <mergeCell ref="HYG40:HYH40"/>
    <mergeCell ref="HXK40:HXL40"/>
    <mergeCell ref="HXM40:HXN40"/>
    <mergeCell ref="HXO40:HXP40"/>
    <mergeCell ref="HXQ40:HXR40"/>
    <mergeCell ref="HXS40:HXT40"/>
    <mergeCell ref="HXU40:HXV40"/>
    <mergeCell ref="HWY40:HWZ40"/>
    <mergeCell ref="HXA40:HXB40"/>
    <mergeCell ref="HXC40:HXD40"/>
    <mergeCell ref="HXE40:HXF40"/>
    <mergeCell ref="HXG40:HXH40"/>
    <mergeCell ref="HXI40:HXJ40"/>
    <mergeCell ref="HWM40:HWN40"/>
    <mergeCell ref="HWO40:HWP40"/>
    <mergeCell ref="HWQ40:HWR40"/>
    <mergeCell ref="HWS40:HWT40"/>
    <mergeCell ref="HWU40:HWV40"/>
    <mergeCell ref="HWW40:HWX40"/>
    <mergeCell ref="IBO40:IBP40"/>
    <mergeCell ref="IBQ40:IBR40"/>
    <mergeCell ref="IBS40:IBT40"/>
    <mergeCell ref="IBU40:IBV40"/>
    <mergeCell ref="IBW40:IBX40"/>
    <mergeCell ref="IBY40:IBZ40"/>
    <mergeCell ref="IBC40:IBD40"/>
    <mergeCell ref="IBE40:IBF40"/>
    <mergeCell ref="IBG40:IBH40"/>
    <mergeCell ref="IBI40:IBJ40"/>
    <mergeCell ref="IBK40:IBL40"/>
    <mergeCell ref="IBM40:IBN40"/>
    <mergeCell ref="IAQ40:IAR40"/>
    <mergeCell ref="IAS40:IAT40"/>
    <mergeCell ref="IAU40:IAV40"/>
    <mergeCell ref="IAW40:IAX40"/>
    <mergeCell ref="IAY40:IAZ40"/>
    <mergeCell ref="IBA40:IBB40"/>
    <mergeCell ref="IAE40:IAF40"/>
    <mergeCell ref="IAG40:IAH40"/>
    <mergeCell ref="IAI40:IAJ40"/>
    <mergeCell ref="IAK40:IAL40"/>
    <mergeCell ref="IAM40:IAN40"/>
    <mergeCell ref="IAO40:IAP40"/>
    <mergeCell ref="HZS40:HZT40"/>
    <mergeCell ref="HZU40:HZV40"/>
    <mergeCell ref="HZW40:HZX40"/>
    <mergeCell ref="HZY40:HZZ40"/>
    <mergeCell ref="IAA40:IAB40"/>
    <mergeCell ref="IAC40:IAD40"/>
    <mergeCell ref="HZG40:HZH40"/>
    <mergeCell ref="HZI40:HZJ40"/>
    <mergeCell ref="HZK40:HZL40"/>
    <mergeCell ref="HZM40:HZN40"/>
    <mergeCell ref="HZO40:HZP40"/>
    <mergeCell ref="HZQ40:HZR40"/>
    <mergeCell ref="IEI40:IEJ40"/>
    <mergeCell ref="IEK40:IEL40"/>
    <mergeCell ref="IEM40:IEN40"/>
    <mergeCell ref="IEO40:IEP40"/>
    <mergeCell ref="IEQ40:IER40"/>
    <mergeCell ref="IES40:IET40"/>
    <mergeCell ref="IDW40:IDX40"/>
    <mergeCell ref="IDY40:IDZ40"/>
    <mergeCell ref="IEA40:IEB40"/>
    <mergeCell ref="IEC40:IED40"/>
    <mergeCell ref="IEE40:IEF40"/>
    <mergeCell ref="IEG40:IEH40"/>
    <mergeCell ref="IDK40:IDL40"/>
    <mergeCell ref="IDM40:IDN40"/>
    <mergeCell ref="IDO40:IDP40"/>
    <mergeCell ref="IDQ40:IDR40"/>
    <mergeCell ref="IDS40:IDT40"/>
    <mergeCell ref="IDU40:IDV40"/>
    <mergeCell ref="ICY40:ICZ40"/>
    <mergeCell ref="IDA40:IDB40"/>
    <mergeCell ref="IDC40:IDD40"/>
    <mergeCell ref="IDE40:IDF40"/>
    <mergeCell ref="IDG40:IDH40"/>
    <mergeCell ref="IDI40:IDJ40"/>
    <mergeCell ref="ICM40:ICN40"/>
    <mergeCell ref="ICO40:ICP40"/>
    <mergeCell ref="ICQ40:ICR40"/>
    <mergeCell ref="ICS40:ICT40"/>
    <mergeCell ref="ICU40:ICV40"/>
    <mergeCell ref="ICW40:ICX40"/>
    <mergeCell ref="ICA40:ICB40"/>
    <mergeCell ref="ICC40:ICD40"/>
    <mergeCell ref="ICE40:ICF40"/>
    <mergeCell ref="ICG40:ICH40"/>
    <mergeCell ref="ICI40:ICJ40"/>
    <mergeCell ref="ICK40:ICL40"/>
    <mergeCell ref="IHC40:IHD40"/>
    <mergeCell ref="IHE40:IHF40"/>
    <mergeCell ref="IHG40:IHH40"/>
    <mergeCell ref="IHI40:IHJ40"/>
    <mergeCell ref="IHK40:IHL40"/>
    <mergeCell ref="IHM40:IHN40"/>
    <mergeCell ref="IGQ40:IGR40"/>
    <mergeCell ref="IGS40:IGT40"/>
    <mergeCell ref="IGU40:IGV40"/>
    <mergeCell ref="IGW40:IGX40"/>
    <mergeCell ref="IGY40:IGZ40"/>
    <mergeCell ref="IHA40:IHB40"/>
    <mergeCell ref="IGE40:IGF40"/>
    <mergeCell ref="IGG40:IGH40"/>
    <mergeCell ref="IGI40:IGJ40"/>
    <mergeCell ref="IGK40:IGL40"/>
    <mergeCell ref="IGM40:IGN40"/>
    <mergeCell ref="IGO40:IGP40"/>
    <mergeCell ref="IFS40:IFT40"/>
    <mergeCell ref="IFU40:IFV40"/>
    <mergeCell ref="IFW40:IFX40"/>
    <mergeCell ref="IFY40:IFZ40"/>
    <mergeCell ref="IGA40:IGB40"/>
    <mergeCell ref="IGC40:IGD40"/>
    <mergeCell ref="IFG40:IFH40"/>
    <mergeCell ref="IFI40:IFJ40"/>
    <mergeCell ref="IFK40:IFL40"/>
    <mergeCell ref="IFM40:IFN40"/>
    <mergeCell ref="IFO40:IFP40"/>
    <mergeCell ref="IFQ40:IFR40"/>
    <mergeCell ref="IEU40:IEV40"/>
    <mergeCell ref="IEW40:IEX40"/>
    <mergeCell ref="IEY40:IEZ40"/>
    <mergeCell ref="IFA40:IFB40"/>
    <mergeCell ref="IFC40:IFD40"/>
    <mergeCell ref="IFE40:IFF40"/>
    <mergeCell ref="IJW40:IJX40"/>
    <mergeCell ref="IJY40:IJZ40"/>
    <mergeCell ref="IKA40:IKB40"/>
    <mergeCell ref="IKC40:IKD40"/>
    <mergeCell ref="IKE40:IKF40"/>
    <mergeCell ref="IKG40:IKH40"/>
    <mergeCell ref="IJK40:IJL40"/>
    <mergeCell ref="IJM40:IJN40"/>
    <mergeCell ref="IJO40:IJP40"/>
    <mergeCell ref="IJQ40:IJR40"/>
    <mergeCell ref="IJS40:IJT40"/>
    <mergeCell ref="IJU40:IJV40"/>
    <mergeCell ref="IIY40:IIZ40"/>
    <mergeCell ref="IJA40:IJB40"/>
    <mergeCell ref="IJC40:IJD40"/>
    <mergeCell ref="IJE40:IJF40"/>
    <mergeCell ref="IJG40:IJH40"/>
    <mergeCell ref="IJI40:IJJ40"/>
    <mergeCell ref="IIM40:IIN40"/>
    <mergeCell ref="IIO40:IIP40"/>
    <mergeCell ref="IIQ40:IIR40"/>
    <mergeCell ref="IIS40:IIT40"/>
    <mergeCell ref="IIU40:IIV40"/>
    <mergeCell ref="IIW40:IIX40"/>
    <mergeCell ref="IIA40:IIB40"/>
    <mergeCell ref="IIC40:IID40"/>
    <mergeCell ref="IIE40:IIF40"/>
    <mergeCell ref="IIG40:IIH40"/>
    <mergeCell ref="III40:IIJ40"/>
    <mergeCell ref="IIK40:IIL40"/>
    <mergeCell ref="IHO40:IHP40"/>
    <mergeCell ref="IHQ40:IHR40"/>
    <mergeCell ref="IHS40:IHT40"/>
    <mergeCell ref="IHU40:IHV40"/>
    <mergeCell ref="IHW40:IHX40"/>
    <mergeCell ref="IHY40:IHZ40"/>
    <mergeCell ref="IMQ40:IMR40"/>
    <mergeCell ref="IMS40:IMT40"/>
    <mergeCell ref="IMU40:IMV40"/>
    <mergeCell ref="IMW40:IMX40"/>
    <mergeCell ref="IMY40:IMZ40"/>
    <mergeCell ref="INA40:INB40"/>
    <mergeCell ref="IME40:IMF40"/>
    <mergeCell ref="IMG40:IMH40"/>
    <mergeCell ref="IMI40:IMJ40"/>
    <mergeCell ref="IMK40:IML40"/>
    <mergeCell ref="IMM40:IMN40"/>
    <mergeCell ref="IMO40:IMP40"/>
    <mergeCell ref="ILS40:ILT40"/>
    <mergeCell ref="ILU40:ILV40"/>
    <mergeCell ref="ILW40:ILX40"/>
    <mergeCell ref="ILY40:ILZ40"/>
    <mergeCell ref="IMA40:IMB40"/>
    <mergeCell ref="IMC40:IMD40"/>
    <mergeCell ref="ILG40:ILH40"/>
    <mergeCell ref="ILI40:ILJ40"/>
    <mergeCell ref="ILK40:ILL40"/>
    <mergeCell ref="ILM40:ILN40"/>
    <mergeCell ref="ILO40:ILP40"/>
    <mergeCell ref="ILQ40:ILR40"/>
    <mergeCell ref="IKU40:IKV40"/>
    <mergeCell ref="IKW40:IKX40"/>
    <mergeCell ref="IKY40:IKZ40"/>
    <mergeCell ref="ILA40:ILB40"/>
    <mergeCell ref="ILC40:ILD40"/>
    <mergeCell ref="ILE40:ILF40"/>
    <mergeCell ref="IKI40:IKJ40"/>
    <mergeCell ref="IKK40:IKL40"/>
    <mergeCell ref="IKM40:IKN40"/>
    <mergeCell ref="IKO40:IKP40"/>
    <mergeCell ref="IKQ40:IKR40"/>
    <mergeCell ref="IKS40:IKT40"/>
    <mergeCell ref="IPK40:IPL40"/>
    <mergeCell ref="IPM40:IPN40"/>
    <mergeCell ref="IPO40:IPP40"/>
    <mergeCell ref="IPQ40:IPR40"/>
    <mergeCell ref="IPS40:IPT40"/>
    <mergeCell ref="IPU40:IPV40"/>
    <mergeCell ref="IOY40:IOZ40"/>
    <mergeCell ref="IPA40:IPB40"/>
    <mergeCell ref="IPC40:IPD40"/>
    <mergeCell ref="IPE40:IPF40"/>
    <mergeCell ref="IPG40:IPH40"/>
    <mergeCell ref="IPI40:IPJ40"/>
    <mergeCell ref="IOM40:ION40"/>
    <mergeCell ref="IOO40:IOP40"/>
    <mergeCell ref="IOQ40:IOR40"/>
    <mergeCell ref="IOS40:IOT40"/>
    <mergeCell ref="IOU40:IOV40"/>
    <mergeCell ref="IOW40:IOX40"/>
    <mergeCell ref="IOA40:IOB40"/>
    <mergeCell ref="IOC40:IOD40"/>
    <mergeCell ref="IOE40:IOF40"/>
    <mergeCell ref="IOG40:IOH40"/>
    <mergeCell ref="IOI40:IOJ40"/>
    <mergeCell ref="IOK40:IOL40"/>
    <mergeCell ref="INO40:INP40"/>
    <mergeCell ref="INQ40:INR40"/>
    <mergeCell ref="INS40:INT40"/>
    <mergeCell ref="INU40:INV40"/>
    <mergeCell ref="INW40:INX40"/>
    <mergeCell ref="INY40:INZ40"/>
    <mergeCell ref="INC40:IND40"/>
    <mergeCell ref="INE40:INF40"/>
    <mergeCell ref="ING40:INH40"/>
    <mergeCell ref="INI40:INJ40"/>
    <mergeCell ref="INK40:INL40"/>
    <mergeCell ref="INM40:INN40"/>
    <mergeCell ref="ISE40:ISF40"/>
    <mergeCell ref="ISG40:ISH40"/>
    <mergeCell ref="ISI40:ISJ40"/>
    <mergeCell ref="ISK40:ISL40"/>
    <mergeCell ref="ISM40:ISN40"/>
    <mergeCell ref="ISO40:ISP40"/>
    <mergeCell ref="IRS40:IRT40"/>
    <mergeCell ref="IRU40:IRV40"/>
    <mergeCell ref="IRW40:IRX40"/>
    <mergeCell ref="IRY40:IRZ40"/>
    <mergeCell ref="ISA40:ISB40"/>
    <mergeCell ref="ISC40:ISD40"/>
    <mergeCell ref="IRG40:IRH40"/>
    <mergeCell ref="IRI40:IRJ40"/>
    <mergeCell ref="IRK40:IRL40"/>
    <mergeCell ref="IRM40:IRN40"/>
    <mergeCell ref="IRO40:IRP40"/>
    <mergeCell ref="IRQ40:IRR40"/>
    <mergeCell ref="IQU40:IQV40"/>
    <mergeCell ref="IQW40:IQX40"/>
    <mergeCell ref="IQY40:IQZ40"/>
    <mergeCell ref="IRA40:IRB40"/>
    <mergeCell ref="IRC40:IRD40"/>
    <mergeCell ref="IRE40:IRF40"/>
    <mergeCell ref="IQI40:IQJ40"/>
    <mergeCell ref="IQK40:IQL40"/>
    <mergeCell ref="IQM40:IQN40"/>
    <mergeCell ref="IQO40:IQP40"/>
    <mergeCell ref="IQQ40:IQR40"/>
    <mergeCell ref="IQS40:IQT40"/>
    <mergeCell ref="IPW40:IPX40"/>
    <mergeCell ref="IPY40:IPZ40"/>
    <mergeCell ref="IQA40:IQB40"/>
    <mergeCell ref="IQC40:IQD40"/>
    <mergeCell ref="IQE40:IQF40"/>
    <mergeCell ref="IQG40:IQH40"/>
    <mergeCell ref="IUY40:IUZ40"/>
    <mergeCell ref="IVA40:IVB40"/>
    <mergeCell ref="IVC40:IVD40"/>
    <mergeCell ref="IVE40:IVF40"/>
    <mergeCell ref="IVG40:IVH40"/>
    <mergeCell ref="IVI40:IVJ40"/>
    <mergeCell ref="IUM40:IUN40"/>
    <mergeCell ref="IUO40:IUP40"/>
    <mergeCell ref="IUQ40:IUR40"/>
    <mergeCell ref="IUS40:IUT40"/>
    <mergeCell ref="IUU40:IUV40"/>
    <mergeCell ref="IUW40:IUX40"/>
    <mergeCell ref="IUA40:IUB40"/>
    <mergeCell ref="IUC40:IUD40"/>
    <mergeCell ref="IUE40:IUF40"/>
    <mergeCell ref="IUG40:IUH40"/>
    <mergeCell ref="IUI40:IUJ40"/>
    <mergeCell ref="IUK40:IUL40"/>
    <mergeCell ref="ITO40:ITP40"/>
    <mergeCell ref="ITQ40:ITR40"/>
    <mergeCell ref="ITS40:ITT40"/>
    <mergeCell ref="ITU40:ITV40"/>
    <mergeCell ref="ITW40:ITX40"/>
    <mergeCell ref="ITY40:ITZ40"/>
    <mergeCell ref="ITC40:ITD40"/>
    <mergeCell ref="ITE40:ITF40"/>
    <mergeCell ref="ITG40:ITH40"/>
    <mergeCell ref="ITI40:ITJ40"/>
    <mergeCell ref="ITK40:ITL40"/>
    <mergeCell ref="ITM40:ITN40"/>
    <mergeCell ref="ISQ40:ISR40"/>
    <mergeCell ref="ISS40:IST40"/>
    <mergeCell ref="ISU40:ISV40"/>
    <mergeCell ref="ISW40:ISX40"/>
    <mergeCell ref="ISY40:ISZ40"/>
    <mergeCell ref="ITA40:ITB40"/>
    <mergeCell ref="IXS40:IXT40"/>
    <mergeCell ref="IXU40:IXV40"/>
    <mergeCell ref="IXW40:IXX40"/>
    <mergeCell ref="IXY40:IXZ40"/>
    <mergeCell ref="IYA40:IYB40"/>
    <mergeCell ref="IYC40:IYD40"/>
    <mergeCell ref="IXG40:IXH40"/>
    <mergeCell ref="IXI40:IXJ40"/>
    <mergeCell ref="IXK40:IXL40"/>
    <mergeCell ref="IXM40:IXN40"/>
    <mergeCell ref="IXO40:IXP40"/>
    <mergeCell ref="IXQ40:IXR40"/>
    <mergeCell ref="IWU40:IWV40"/>
    <mergeCell ref="IWW40:IWX40"/>
    <mergeCell ref="IWY40:IWZ40"/>
    <mergeCell ref="IXA40:IXB40"/>
    <mergeCell ref="IXC40:IXD40"/>
    <mergeCell ref="IXE40:IXF40"/>
    <mergeCell ref="IWI40:IWJ40"/>
    <mergeCell ref="IWK40:IWL40"/>
    <mergeCell ref="IWM40:IWN40"/>
    <mergeCell ref="IWO40:IWP40"/>
    <mergeCell ref="IWQ40:IWR40"/>
    <mergeCell ref="IWS40:IWT40"/>
    <mergeCell ref="IVW40:IVX40"/>
    <mergeCell ref="IVY40:IVZ40"/>
    <mergeCell ref="IWA40:IWB40"/>
    <mergeCell ref="IWC40:IWD40"/>
    <mergeCell ref="IWE40:IWF40"/>
    <mergeCell ref="IWG40:IWH40"/>
    <mergeCell ref="IVK40:IVL40"/>
    <mergeCell ref="IVM40:IVN40"/>
    <mergeCell ref="IVO40:IVP40"/>
    <mergeCell ref="IVQ40:IVR40"/>
    <mergeCell ref="IVS40:IVT40"/>
    <mergeCell ref="IVU40:IVV40"/>
    <mergeCell ref="JAM40:JAN40"/>
    <mergeCell ref="JAO40:JAP40"/>
    <mergeCell ref="JAQ40:JAR40"/>
    <mergeCell ref="JAS40:JAT40"/>
    <mergeCell ref="JAU40:JAV40"/>
    <mergeCell ref="JAW40:JAX40"/>
    <mergeCell ref="JAA40:JAB40"/>
    <mergeCell ref="JAC40:JAD40"/>
    <mergeCell ref="JAE40:JAF40"/>
    <mergeCell ref="JAG40:JAH40"/>
    <mergeCell ref="JAI40:JAJ40"/>
    <mergeCell ref="JAK40:JAL40"/>
    <mergeCell ref="IZO40:IZP40"/>
    <mergeCell ref="IZQ40:IZR40"/>
    <mergeCell ref="IZS40:IZT40"/>
    <mergeCell ref="IZU40:IZV40"/>
    <mergeCell ref="IZW40:IZX40"/>
    <mergeCell ref="IZY40:IZZ40"/>
    <mergeCell ref="IZC40:IZD40"/>
    <mergeCell ref="IZE40:IZF40"/>
    <mergeCell ref="IZG40:IZH40"/>
    <mergeCell ref="IZI40:IZJ40"/>
    <mergeCell ref="IZK40:IZL40"/>
    <mergeCell ref="IZM40:IZN40"/>
    <mergeCell ref="IYQ40:IYR40"/>
    <mergeCell ref="IYS40:IYT40"/>
    <mergeCell ref="IYU40:IYV40"/>
    <mergeCell ref="IYW40:IYX40"/>
    <mergeCell ref="IYY40:IYZ40"/>
    <mergeCell ref="IZA40:IZB40"/>
    <mergeCell ref="IYE40:IYF40"/>
    <mergeCell ref="IYG40:IYH40"/>
    <mergeCell ref="IYI40:IYJ40"/>
    <mergeCell ref="IYK40:IYL40"/>
    <mergeCell ref="IYM40:IYN40"/>
    <mergeCell ref="IYO40:IYP40"/>
    <mergeCell ref="JDG40:JDH40"/>
    <mergeCell ref="JDI40:JDJ40"/>
    <mergeCell ref="JDK40:JDL40"/>
    <mergeCell ref="JDM40:JDN40"/>
    <mergeCell ref="JDO40:JDP40"/>
    <mergeCell ref="JDQ40:JDR40"/>
    <mergeCell ref="JCU40:JCV40"/>
    <mergeCell ref="JCW40:JCX40"/>
    <mergeCell ref="JCY40:JCZ40"/>
    <mergeCell ref="JDA40:JDB40"/>
    <mergeCell ref="JDC40:JDD40"/>
    <mergeCell ref="JDE40:JDF40"/>
    <mergeCell ref="JCI40:JCJ40"/>
    <mergeCell ref="JCK40:JCL40"/>
    <mergeCell ref="JCM40:JCN40"/>
    <mergeCell ref="JCO40:JCP40"/>
    <mergeCell ref="JCQ40:JCR40"/>
    <mergeCell ref="JCS40:JCT40"/>
    <mergeCell ref="JBW40:JBX40"/>
    <mergeCell ref="JBY40:JBZ40"/>
    <mergeCell ref="JCA40:JCB40"/>
    <mergeCell ref="JCC40:JCD40"/>
    <mergeCell ref="JCE40:JCF40"/>
    <mergeCell ref="JCG40:JCH40"/>
    <mergeCell ref="JBK40:JBL40"/>
    <mergeCell ref="JBM40:JBN40"/>
    <mergeCell ref="JBO40:JBP40"/>
    <mergeCell ref="JBQ40:JBR40"/>
    <mergeCell ref="JBS40:JBT40"/>
    <mergeCell ref="JBU40:JBV40"/>
    <mergeCell ref="JAY40:JAZ40"/>
    <mergeCell ref="JBA40:JBB40"/>
    <mergeCell ref="JBC40:JBD40"/>
    <mergeCell ref="JBE40:JBF40"/>
    <mergeCell ref="JBG40:JBH40"/>
    <mergeCell ref="JBI40:JBJ40"/>
    <mergeCell ref="JGA40:JGB40"/>
    <mergeCell ref="JGC40:JGD40"/>
    <mergeCell ref="JGE40:JGF40"/>
    <mergeCell ref="JGG40:JGH40"/>
    <mergeCell ref="JGI40:JGJ40"/>
    <mergeCell ref="JGK40:JGL40"/>
    <mergeCell ref="JFO40:JFP40"/>
    <mergeCell ref="JFQ40:JFR40"/>
    <mergeCell ref="JFS40:JFT40"/>
    <mergeCell ref="JFU40:JFV40"/>
    <mergeCell ref="JFW40:JFX40"/>
    <mergeCell ref="JFY40:JFZ40"/>
    <mergeCell ref="JFC40:JFD40"/>
    <mergeCell ref="JFE40:JFF40"/>
    <mergeCell ref="JFG40:JFH40"/>
    <mergeCell ref="JFI40:JFJ40"/>
    <mergeCell ref="JFK40:JFL40"/>
    <mergeCell ref="JFM40:JFN40"/>
    <mergeCell ref="JEQ40:JER40"/>
    <mergeCell ref="JES40:JET40"/>
    <mergeCell ref="JEU40:JEV40"/>
    <mergeCell ref="JEW40:JEX40"/>
    <mergeCell ref="JEY40:JEZ40"/>
    <mergeCell ref="JFA40:JFB40"/>
    <mergeCell ref="JEE40:JEF40"/>
    <mergeCell ref="JEG40:JEH40"/>
    <mergeCell ref="JEI40:JEJ40"/>
    <mergeCell ref="JEK40:JEL40"/>
    <mergeCell ref="JEM40:JEN40"/>
    <mergeCell ref="JEO40:JEP40"/>
    <mergeCell ref="JDS40:JDT40"/>
    <mergeCell ref="JDU40:JDV40"/>
    <mergeCell ref="JDW40:JDX40"/>
    <mergeCell ref="JDY40:JDZ40"/>
    <mergeCell ref="JEA40:JEB40"/>
    <mergeCell ref="JEC40:JED40"/>
    <mergeCell ref="JIU40:JIV40"/>
    <mergeCell ref="JIW40:JIX40"/>
    <mergeCell ref="JIY40:JIZ40"/>
    <mergeCell ref="JJA40:JJB40"/>
    <mergeCell ref="JJC40:JJD40"/>
    <mergeCell ref="JJE40:JJF40"/>
    <mergeCell ref="JII40:JIJ40"/>
    <mergeCell ref="JIK40:JIL40"/>
    <mergeCell ref="JIM40:JIN40"/>
    <mergeCell ref="JIO40:JIP40"/>
    <mergeCell ref="JIQ40:JIR40"/>
    <mergeCell ref="JIS40:JIT40"/>
    <mergeCell ref="JHW40:JHX40"/>
    <mergeCell ref="JHY40:JHZ40"/>
    <mergeCell ref="JIA40:JIB40"/>
    <mergeCell ref="JIC40:JID40"/>
    <mergeCell ref="JIE40:JIF40"/>
    <mergeCell ref="JIG40:JIH40"/>
    <mergeCell ref="JHK40:JHL40"/>
    <mergeCell ref="JHM40:JHN40"/>
    <mergeCell ref="JHO40:JHP40"/>
    <mergeCell ref="JHQ40:JHR40"/>
    <mergeCell ref="JHS40:JHT40"/>
    <mergeCell ref="JHU40:JHV40"/>
    <mergeCell ref="JGY40:JGZ40"/>
    <mergeCell ref="JHA40:JHB40"/>
    <mergeCell ref="JHC40:JHD40"/>
    <mergeCell ref="JHE40:JHF40"/>
    <mergeCell ref="JHG40:JHH40"/>
    <mergeCell ref="JHI40:JHJ40"/>
    <mergeCell ref="JGM40:JGN40"/>
    <mergeCell ref="JGO40:JGP40"/>
    <mergeCell ref="JGQ40:JGR40"/>
    <mergeCell ref="JGS40:JGT40"/>
    <mergeCell ref="JGU40:JGV40"/>
    <mergeCell ref="JGW40:JGX40"/>
    <mergeCell ref="JLO40:JLP40"/>
    <mergeCell ref="JLQ40:JLR40"/>
    <mergeCell ref="JLS40:JLT40"/>
    <mergeCell ref="JLU40:JLV40"/>
    <mergeCell ref="JLW40:JLX40"/>
    <mergeCell ref="JLY40:JLZ40"/>
    <mergeCell ref="JLC40:JLD40"/>
    <mergeCell ref="JLE40:JLF40"/>
    <mergeCell ref="JLG40:JLH40"/>
    <mergeCell ref="JLI40:JLJ40"/>
    <mergeCell ref="JLK40:JLL40"/>
    <mergeCell ref="JLM40:JLN40"/>
    <mergeCell ref="JKQ40:JKR40"/>
    <mergeCell ref="JKS40:JKT40"/>
    <mergeCell ref="JKU40:JKV40"/>
    <mergeCell ref="JKW40:JKX40"/>
    <mergeCell ref="JKY40:JKZ40"/>
    <mergeCell ref="JLA40:JLB40"/>
    <mergeCell ref="JKE40:JKF40"/>
    <mergeCell ref="JKG40:JKH40"/>
    <mergeCell ref="JKI40:JKJ40"/>
    <mergeCell ref="JKK40:JKL40"/>
    <mergeCell ref="JKM40:JKN40"/>
    <mergeCell ref="JKO40:JKP40"/>
    <mergeCell ref="JJS40:JJT40"/>
    <mergeCell ref="JJU40:JJV40"/>
    <mergeCell ref="JJW40:JJX40"/>
    <mergeCell ref="JJY40:JJZ40"/>
    <mergeCell ref="JKA40:JKB40"/>
    <mergeCell ref="JKC40:JKD40"/>
    <mergeCell ref="JJG40:JJH40"/>
    <mergeCell ref="JJI40:JJJ40"/>
    <mergeCell ref="JJK40:JJL40"/>
    <mergeCell ref="JJM40:JJN40"/>
    <mergeCell ref="JJO40:JJP40"/>
    <mergeCell ref="JJQ40:JJR40"/>
    <mergeCell ref="JOI40:JOJ40"/>
    <mergeCell ref="JOK40:JOL40"/>
    <mergeCell ref="JOM40:JON40"/>
    <mergeCell ref="JOO40:JOP40"/>
    <mergeCell ref="JOQ40:JOR40"/>
    <mergeCell ref="JOS40:JOT40"/>
    <mergeCell ref="JNW40:JNX40"/>
    <mergeCell ref="JNY40:JNZ40"/>
    <mergeCell ref="JOA40:JOB40"/>
    <mergeCell ref="JOC40:JOD40"/>
    <mergeCell ref="JOE40:JOF40"/>
    <mergeCell ref="JOG40:JOH40"/>
    <mergeCell ref="JNK40:JNL40"/>
    <mergeCell ref="JNM40:JNN40"/>
    <mergeCell ref="JNO40:JNP40"/>
    <mergeCell ref="JNQ40:JNR40"/>
    <mergeCell ref="JNS40:JNT40"/>
    <mergeCell ref="JNU40:JNV40"/>
    <mergeCell ref="JMY40:JMZ40"/>
    <mergeCell ref="JNA40:JNB40"/>
    <mergeCell ref="JNC40:JND40"/>
    <mergeCell ref="JNE40:JNF40"/>
    <mergeCell ref="JNG40:JNH40"/>
    <mergeCell ref="JNI40:JNJ40"/>
    <mergeCell ref="JMM40:JMN40"/>
    <mergeCell ref="JMO40:JMP40"/>
    <mergeCell ref="JMQ40:JMR40"/>
    <mergeCell ref="JMS40:JMT40"/>
    <mergeCell ref="JMU40:JMV40"/>
    <mergeCell ref="JMW40:JMX40"/>
    <mergeCell ref="JMA40:JMB40"/>
    <mergeCell ref="JMC40:JMD40"/>
    <mergeCell ref="JME40:JMF40"/>
    <mergeCell ref="JMG40:JMH40"/>
    <mergeCell ref="JMI40:JMJ40"/>
    <mergeCell ref="JMK40:JML40"/>
    <mergeCell ref="JRC40:JRD40"/>
    <mergeCell ref="JRE40:JRF40"/>
    <mergeCell ref="JRG40:JRH40"/>
    <mergeCell ref="JRI40:JRJ40"/>
    <mergeCell ref="JRK40:JRL40"/>
    <mergeCell ref="JRM40:JRN40"/>
    <mergeCell ref="JQQ40:JQR40"/>
    <mergeCell ref="JQS40:JQT40"/>
    <mergeCell ref="JQU40:JQV40"/>
    <mergeCell ref="JQW40:JQX40"/>
    <mergeCell ref="JQY40:JQZ40"/>
    <mergeCell ref="JRA40:JRB40"/>
    <mergeCell ref="JQE40:JQF40"/>
    <mergeCell ref="JQG40:JQH40"/>
    <mergeCell ref="JQI40:JQJ40"/>
    <mergeCell ref="JQK40:JQL40"/>
    <mergeCell ref="JQM40:JQN40"/>
    <mergeCell ref="JQO40:JQP40"/>
    <mergeCell ref="JPS40:JPT40"/>
    <mergeCell ref="JPU40:JPV40"/>
    <mergeCell ref="JPW40:JPX40"/>
    <mergeCell ref="JPY40:JPZ40"/>
    <mergeCell ref="JQA40:JQB40"/>
    <mergeCell ref="JQC40:JQD40"/>
    <mergeCell ref="JPG40:JPH40"/>
    <mergeCell ref="JPI40:JPJ40"/>
    <mergeCell ref="JPK40:JPL40"/>
    <mergeCell ref="JPM40:JPN40"/>
    <mergeCell ref="JPO40:JPP40"/>
    <mergeCell ref="JPQ40:JPR40"/>
    <mergeCell ref="JOU40:JOV40"/>
    <mergeCell ref="JOW40:JOX40"/>
    <mergeCell ref="JOY40:JOZ40"/>
    <mergeCell ref="JPA40:JPB40"/>
    <mergeCell ref="JPC40:JPD40"/>
    <mergeCell ref="JPE40:JPF40"/>
    <mergeCell ref="JTW40:JTX40"/>
    <mergeCell ref="JTY40:JTZ40"/>
    <mergeCell ref="JUA40:JUB40"/>
    <mergeCell ref="JUC40:JUD40"/>
    <mergeCell ref="JUE40:JUF40"/>
    <mergeCell ref="JUG40:JUH40"/>
    <mergeCell ref="JTK40:JTL40"/>
    <mergeCell ref="JTM40:JTN40"/>
    <mergeCell ref="JTO40:JTP40"/>
    <mergeCell ref="JTQ40:JTR40"/>
    <mergeCell ref="JTS40:JTT40"/>
    <mergeCell ref="JTU40:JTV40"/>
    <mergeCell ref="JSY40:JSZ40"/>
    <mergeCell ref="JTA40:JTB40"/>
    <mergeCell ref="JTC40:JTD40"/>
    <mergeCell ref="JTE40:JTF40"/>
    <mergeCell ref="JTG40:JTH40"/>
    <mergeCell ref="JTI40:JTJ40"/>
    <mergeCell ref="JSM40:JSN40"/>
    <mergeCell ref="JSO40:JSP40"/>
    <mergeCell ref="JSQ40:JSR40"/>
    <mergeCell ref="JSS40:JST40"/>
    <mergeCell ref="JSU40:JSV40"/>
    <mergeCell ref="JSW40:JSX40"/>
    <mergeCell ref="JSA40:JSB40"/>
    <mergeCell ref="JSC40:JSD40"/>
    <mergeCell ref="JSE40:JSF40"/>
    <mergeCell ref="JSG40:JSH40"/>
    <mergeCell ref="JSI40:JSJ40"/>
    <mergeCell ref="JSK40:JSL40"/>
    <mergeCell ref="JRO40:JRP40"/>
    <mergeCell ref="JRQ40:JRR40"/>
    <mergeCell ref="JRS40:JRT40"/>
    <mergeCell ref="JRU40:JRV40"/>
    <mergeCell ref="JRW40:JRX40"/>
    <mergeCell ref="JRY40:JRZ40"/>
    <mergeCell ref="JWQ40:JWR40"/>
    <mergeCell ref="JWS40:JWT40"/>
    <mergeCell ref="JWU40:JWV40"/>
    <mergeCell ref="JWW40:JWX40"/>
    <mergeCell ref="JWY40:JWZ40"/>
    <mergeCell ref="JXA40:JXB40"/>
    <mergeCell ref="JWE40:JWF40"/>
    <mergeCell ref="JWG40:JWH40"/>
    <mergeCell ref="JWI40:JWJ40"/>
    <mergeCell ref="JWK40:JWL40"/>
    <mergeCell ref="JWM40:JWN40"/>
    <mergeCell ref="JWO40:JWP40"/>
    <mergeCell ref="JVS40:JVT40"/>
    <mergeCell ref="JVU40:JVV40"/>
    <mergeCell ref="JVW40:JVX40"/>
    <mergeCell ref="JVY40:JVZ40"/>
    <mergeCell ref="JWA40:JWB40"/>
    <mergeCell ref="JWC40:JWD40"/>
    <mergeCell ref="JVG40:JVH40"/>
    <mergeCell ref="JVI40:JVJ40"/>
    <mergeCell ref="JVK40:JVL40"/>
    <mergeCell ref="JVM40:JVN40"/>
    <mergeCell ref="JVO40:JVP40"/>
    <mergeCell ref="JVQ40:JVR40"/>
    <mergeCell ref="JUU40:JUV40"/>
    <mergeCell ref="JUW40:JUX40"/>
    <mergeCell ref="JUY40:JUZ40"/>
    <mergeCell ref="JVA40:JVB40"/>
    <mergeCell ref="JVC40:JVD40"/>
    <mergeCell ref="JVE40:JVF40"/>
    <mergeCell ref="JUI40:JUJ40"/>
    <mergeCell ref="JUK40:JUL40"/>
    <mergeCell ref="JUM40:JUN40"/>
    <mergeCell ref="JUO40:JUP40"/>
    <mergeCell ref="JUQ40:JUR40"/>
    <mergeCell ref="JUS40:JUT40"/>
    <mergeCell ref="JZK40:JZL40"/>
    <mergeCell ref="JZM40:JZN40"/>
    <mergeCell ref="JZO40:JZP40"/>
    <mergeCell ref="JZQ40:JZR40"/>
    <mergeCell ref="JZS40:JZT40"/>
    <mergeCell ref="JZU40:JZV40"/>
    <mergeCell ref="JYY40:JYZ40"/>
    <mergeCell ref="JZA40:JZB40"/>
    <mergeCell ref="JZC40:JZD40"/>
    <mergeCell ref="JZE40:JZF40"/>
    <mergeCell ref="JZG40:JZH40"/>
    <mergeCell ref="JZI40:JZJ40"/>
    <mergeCell ref="JYM40:JYN40"/>
    <mergeCell ref="JYO40:JYP40"/>
    <mergeCell ref="JYQ40:JYR40"/>
    <mergeCell ref="JYS40:JYT40"/>
    <mergeCell ref="JYU40:JYV40"/>
    <mergeCell ref="JYW40:JYX40"/>
    <mergeCell ref="JYA40:JYB40"/>
    <mergeCell ref="JYC40:JYD40"/>
    <mergeCell ref="JYE40:JYF40"/>
    <mergeCell ref="JYG40:JYH40"/>
    <mergeCell ref="JYI40:JYJ40"/>
    <mergeCell ref="JYK40:JYL40"/>
    <mergeCell ref="JXO40:JXP40"/>
    <mergeCell ref="JXQ40:JXR40"/>
    <mergeCell ref="JXS40:JXT40"/>
    <mergeCell ref="JXU40:JXV40"/>
    <mergeCell ref="JXW40:JXX40"/>
    <mergeCell ref="JXY40:JXZ40"/>
    <mergeCell ref="JXC40:JXD40"/>
    <mergeCell ref="JXE40:JXF40"/>
    <mergeCell ref="JXG40:JXH40"/>
    <mergeCell ref="JXI40:JXJ40"/>
    <mergeCell ref="JXK40:JXL40"/>
    <mergeCell ref="JXM40:JXN40"/>
    <mergeCell ref="KCE40:KCF40"/>
    <mergeCell ref="KCG40:KCH40"/>
    <mergeCell ref="KCI40:KCJ40"/>
    <mergeCell ref="KCK40:KCL40"/>
    <mergeCell ref="KCM40:KCN40"/>
    <mergeCell ref="KCO40:KCP40"/>
    <mergeCell ref="KBS40:KBT40"/>
    <mergeCell ref="KBU40:KBV40"/>
    <mergeCell ref="KBW40:KBX40"/>
    <mergeCell ref="KBY40:KBZ40"/>
    <mergeCell ref="KCA40:KCB40"/>
    <mergeCell ref="KCC40:KCD40"/>
    <mergeCell ref="KBG40:KBH40"/>
    <mergeCell ref="KBI40:KBJ40"/>
    <mergeCell ref="KBK40:KBL40"/>
    <mergeCell ref="KBM40:KBN40"/>
    <mergeCell ref="KBO40:KBP40"/>
    <mergeCell ref="KBQ40:KBR40"/>
    <mergeCell ref="KAU40:KAV40"/>
    <mergeCell ref="KAW40:KAX40"/>
    <mergeCell ref="KAY40:KAZ40"/>
    <mergeCell ref="KBA40:KBB40"/>
    <mergeCell ref="KBC40:KBD40"/>
    <mergeCell ref="KBE40:KBF40"/>
    <mergeCell ref="KAI40:KAJ40"/>
    <mergeCell ref="KAK40:KAL40"/>
    <mergeCell ref="KAM40:KAN40"/>
    <mergeCell ref="KAO40:KAP40"/>
    <mergeCell ref="KAQ40:KAR40"/>
    <mergeCell ref="KAS40:KAT40"/>
    <mergeCell ref="JZW40:JZX40"/>
    <mergeCell ref="JZY40:JZZ40"/>
    <mergeCell ref="KAA40:KAB40"/>
    <mergeCell ref="KAC40:KAD40"/>
    <mergeCell ref="KAE40:KAF40"/>
    <mergeCell ref="KAG40:KAH40"/>
    <mergeCell ref="KEY40:KEZ40"/>
    <mergeCell ref="KFA40:KFB40"/>
    <mergeCell ref="KFC40:KFD40"/>
    <mergeCell ref="KFE40:KFF40"/>
    <mergeCell ref="KFG40:KFH40"/>
    <mergeCell ref="KFI40:KFJ40"/>
    <mergeCell ref="KEM40:KEN40"/>
    <mergeCell ref="KEO40:KEP40"/>
    <mergeCell ref="KEQ40:KER40"/>
    <mergeCell ref="KES40:KET40"/>
    <mergeCell ref="KEU40:KEV40"/>
    <mergeCell ref="KEW40:KEX40"/>
    <mergeCell ref="KEA40:KEB40"/>
    <mergeCell ref="KEC40:KED40"/>
    <mergeCell ref="KEE40:KEF40"/>
    <mergeCell ref="KEG40:KEH40"/>
    <mergeCell ref="KEI40:KEJ40"/>
    <mergeCell ref="KEK40:KEL40"/>
    <mergeCell ref="KDO40:KDP40"/>
    <mergeCell ref="KDQ40:KDR40"/>
    <mergeCell ref="KDS40:KDT40"/>
    <mergeCell ref="KDU40:KDV40"/>
    <mergeCell ref="KDW40:KDX40"/>
    <mergeCell ref="KDY40:KDZ40"/>
    <mergeCell ref="KDC40:KDD40"/>
    <mergeCell ref="KDE40:KDF40"/>
    <mergeCell ref="KDG40:KDH40"/>
    <mergeCell ref="KDI40:KDJ40"/>
    <mergeCell ref="KDK40:KDL40"/>
    <mergeCell ref="KDM40:KDN40"/>
    <mergeCell ref="KCQ40:KCR40"/>
    <mergeCell ref="KCS40:KCT40"/>
    <mergeCell ref="KCU40:KCV40"/>
    <mergeCell ref="KCW40:KCX40"/>
    <mergeCell ref="KCY40:KCZ40"/>
    <mergeCell ref="KDA40:KDB40"/>
    <mergeCell ref="KHS40:KHT40"/>
    <mergeCell ref="KHU40:KHV40"/>
    <mergeCell ref="KHW40:KHX40"/>
    <mergeCell ref="KHY40:KHZ40"/>
    <mergeCell ref="KIA40:KIB40"/>
    <mergeCell ref="KIC40:KID40"/>
    <mergeCell ref="KHG40:KHH40"/>
    <mergeCell ref="KHI40:KHJ40"/>
    <mergeCell ref="KHK40:KHL40"/>
    <mergeCell ref="KHM40:KHN40"/>
    <mergeCell ref="KHO40:KHP40"/>
    <mergeCell ref="KHQ40:KHR40"/>
    <mergeCell ref="KGU40:KGV40"/>
    <mergeCell ref="KGW40:KGX40"/>
    <mergeCell ref="KGY40:KGZ40"/>
    <mergeCell ref="KHA40:KHB40"/>
    <mergeCell ref="KHC40:KHD40"/>
    <mergeCell ref="KHE40:KHF40"/>
    <mergeCell ref="KGI40:KGJ40"/>
    <mergeCell ref="KGK40:KGL40"/>
    <mergeCell ref="KGM40:KGN40"/>
    <mergeCell ref="KGO40:KGP40"/>
    <mergeCell ref="KGQ40:KGR40"/>
    <mergeCell ref="KGS40:KGT40"/>
    <mergeCell ref="KFW40:KFX40"/>
    <mergeCell ref="KFY40:KFZ40"/>
    <mergeCell ref="KGA40:KGB40"/>
    <mergeCell ref="KGC40:KGD40"/>
    <mergeCell ref="KGE40:KGF40"/>
    <mergeCell ref="KGG40:KGH40"/>
    <mergeCell ref="KFK40:KFL40"/>
    <mergeCell ref="KFM40:KFN40"/>
    <mergeCell ref="KFO40:KFP40"/>
    <mergeCell ref="KFQ40:KFR40"/>
    <mergeCell ref="KFS40:KFT40"/>
    <mergeCell ref="KFU40:KFV40"/>
    <mergeCell ref="KKM40:KKN40"/>
    <mergeCell ref="KKO40:KKP40"/>
    <mergeCell ref="KKQ40:KKR40"/>
    <mergeCell ref="KKS40:KKT40"/>
    <mergeCell ref="KKU40:KKV40"/>
    <mergeCell ref="KKW40:KKX40"/>
    <mergeCell ref="KKA40:KKB40"/>
    <mergeCell ref="KKC40:KKD40"/>
    <mergeCell ref="KKE40:KKF40"/>
    <mergeCell ref="KKG40:KKH40"/>
    <mergeCell ref="KKI40:KKJ40"/>
    <mergeCell ref="KKK40:KKL40"/>
    <mergeCell ref="KJO40:KJP40"/>
    <mergeCell ref="KJQ40:KJR40"/>
    <mergeCell ref="KJS40:KJT40"/>
    <mergeCell ref="KJU40:KJV40"/>
    <mergeCell ref="KJW40:KJX40"/>
    <mergeCell ref="KJY40:KJZ40"/>
    <mergeCell ref="KJC40:KJD40"/>
    <mergeCell ref="KJE40:KJF40"/>
    <mergeCell ref="KJG40:KJH40"/>
    <mergeCell ref="KJI40:KJJ40"/>
    <mergeCell ref="KJK40:KJL40"/>
    <mergeCell ref="KJM40:KJN40"/>
    <mergeCell ref="KIQ40:KIR40"/>
    <mergeCell ref="KIS40:KIT40"/>
    <mergeCell ref="KIU40:KIV40"/>
    <mergeCell ref="KIW40:KIX40"/>
    <mergeCell ref="KIY40:KIZ40"/>
    <mergeCell ref="KJA40:KJB40"/>
    <mergeCell ref="KIE40:KIF40"/>
    <mergeCell ref="KIG40:KIH40"/>
    <mergeCell ref="KII40:KIJ40"/>
    <mergeCell ref="KIK40:KIL40"/>
    <mergeCell ref="KIM40:KIN40"/>
    <mergeCell ref="KIO40:KIP40"/>
    <mergeCell ref="KNG40:KNH40"/>
    <mergeCell ref="KNI40:KNJ40"/>
    <mergeCell ref="KNK40:KNL40"/>
    <mergeCell ref="KNM40:KNN40"/>
    <mergeCell ref="KNO40:KNP40"/>
    <mergeCell ref="KNQ40:KNR40"/>
    <mergeCell ref="KMU40:KMV40"/>
    <mergeCell ref="KMW40:KMX40"/>
    <mergeCell ref="KMY40:KMZ40"/>
    <mergeCell ref="KNA40:KNB40"/>
    <mergeCell ref="KNC40:KND40"/>
    <mergeCell ref="KNE40:KNF40"/>
    <mergeCell ref="KMI40:KMJ40"/>
    <mergeCell ref="KMK40:KML40"/>
    <mergeCell ref="KMM40:KMN40"/>
    <mergeCell ref="KMO40:KMP40"/>
    <mergeCell ref="KMQ40:KMR40"/>
    <mergeCell ref="KMS40:KMT40"/>
    <mergeCell ref="KLW40:KLX40"/>
    <mergeCell ref="KLY40:KLZ40"/>
    <mergeCell ref="KMA40:KMB40"/>
    <mergeCell ref="KMC40:KMD40"/>
    <mergeCell ref="KME40:KMF40"/>
    <mergeCell ref="KMG40:KMH40"/>
    <mergeCell ref="KLK40:KLL40"/>
    <mergeCell ref="KLM40:KLN40"/>
    <mergeCell ref="KLO40:KLP40"/>
    <mergeCell ref="KLQ40:KLR40"/>
    <mergeCell ref="KLS40:KLT40"/>
    <mergeCell ref="KLU40:KLV40"/>
    <mergeCell ref="KKY40:KKZ40"/>
    <mergeCell ref="KLA40:KLB40"/>
    <mergeCell ref="KLC40:KLD40"/>
    <mergeCell ref="KLE40:KLF40"/>
    <mergeCell ref="KLG40:KLH40"/>
    <mergeCell ref="KLI40:KLJ40"/>
    <mergeCell ref="KQA40:KQB40"/>
    <mergeCell ref="KQC40:KQD40"/>
    <mergeCell ref="KQE40:KQF40"/>
    <mergeCell ref="KQG40:KQH40"/>
    <mergeCell ref="KQI40:KQJ40"/>
    <mergeCell ref="KQK40:KQL40"/>
    <mergeCell ref="KPO40:KPP40"/>
    <mergeCell ref="KPQ40:KPR40"/>
    <mergeCell ref="KPS40:KPT40"/>
    <mergeCell ref="KPU40:KPV40"/>
    <mergeCell ref="KPW40:KPX40"/>
    <mergeCell ref="KPY40:KPZ40"/>
    <mergeCell ref="KPC40:KPD40"/>
    <mergeCell ref="KPE40:KPF40"/>
    <mergeCell ref="KPG40:KPH40"/>
    <mergeCell ref="KPI40:KPJ40"/>
    <mergeCell ref="KPK40:KPL40"/>
    <mergeCell ref="KPM40:KPN40"/>
    <mergeCell ref="KOQ40:KOR40"/>
    <mergeCell ref="KOS40:KOT40"/>
    <mergeCell ref="KOU40:KOV40"/>
    <mergeCell ref="KOW40:KOX40"/>
    <mergeCell ref="KOY40:KOZ40"/>
    <mergeCell ref="KPA40:KPB40"/>
    <mergeCell ref="KOE40:KOF40"/>
    <mergeCell ref="KOG40:KOH40"/>
    <mergeCell ref="KOI40:KOJ40"/>
    <mergeCell ref="KOK40:KOL40"/>
    <mergeCell ref="KOM40:KON40"/>
    <mergeCell ref="KOO40:KOP40"/>
    <mergeCell ref="KNS40:KNT40"/>
    <mergeCell ref="KNU40:KNV40"/>
    <mergeCell ref="KNW40:KNX40"/>
    <mergeCell ref="KNY40:KNZ40"/>
    <mergeCell ref="KOA40:KOB40"/>
    <mergeCell ref="KOC40:KOD40"/>
    <mergeCell ref="KSU40:KSV40"/>
    <mergeCell ref="KSW40:KSX40"/>
    <mergeCell ref="KSY40:KSZ40"/>
    <mergeCell ref="KTA40:KTB40"/>
    <mergeCell ref="KTC40:KTD40"/>
    <mergeCell ref="KTE40:KTF40"/>
    <mergeCell ref="KSI40:KSJ40"/>
    <mergeCell ref="KSK40:KSL40"/>
    <mergeCell ref="KSM40:KSN40"/>
    <mergeCell ref="KSO40:KSP40"/>
    <mergeCell ref="KSQ40:KSR40"/>
    <mergeCell ref="KSS40:KST40"/>
    <mergeCell ref="KRW40:KRX40"/>
    <mergeCell ref="KRY40:KRZ40"/>
    <mergeCell ref="KSA40:KSB40"/>
    <mergeCell ref="KSC40:KSD40"/>
    <mergeCell ref="KSE40:KSF40"/>
    <mergeCell ref="KSG40:KSH40"/>
    <mergeCell ref="KRK40:KRL40"/>
    <mergeCell ref="KRM40:KRN40"/>
    <mergeCell ref="KRO40:KRP40"/>
    <mergeCell ref="KRQ40:KRR40"/>
    <mergeCell ref="KRS40:KRT40"/>
    <mergeCell ref="KRU40:KRV40"/>
    <mergeCell ref="KQY40:KQZ40"/>
    <mergeCell ref="KRA40:KRB40"/>
    <mergeCell ref="KRC40:KRD40"/>
    <mergeCell ref="KRE40:KRF40"/>
    <mergeCell ref="KRG40:KRH40"/>
    <mergeCell ref="KRI40:KRJ40"/>
    <mergeCell ref="KQM40:KQN40"/>
    <mergeCell ref="KQO40:KQP40"/>
    <mergeCell ref="KQQ40:KQR40"/>
    <mergeCell ref="KQS40:KQT40"/>
    <mergeCell ref="KQU40:KQV40"/>
    <mergeCell ref="KQW40:KQX40"/>
    <mergeCell ref="KVO40:KVP40"/>
    <mergeCell ref="KVQ40:KVR40"/>
    <mergeCell ref="KVS40:KVT40"/>
    <mergeCell ref="KVU40:KVV40"/>
    <mergeCell ref="KVW40:KVX40"/>
    <mergeCell ref="KVY40:KVZ40"/>
    <mergeCell ref="KVC40:KVD40"/>
    <mergeCell ref="KVE40:KVF40"/>
    <mergeCell ref="KVG40:KVH40"/>
    <mergeCell ref="KVI40:KVJ40"/>
    <mergeCell ref="KVK40:KVL40"/>
    <mergeCell ref="KVM40:KVN40"/>
    <mergeCell ref="KUQ40:KUR40"/>
    <mergeCell ref="KUS40:KUT40"/>
    <mergeCell ref="KUU40:KUV40"/>
    <mergeCell ref="KUW40:KUX40"/>
    <mergeCell ref="KUY40:KUZ40"/>
    <mergeCell ref="KVA40:KVB40"/>
    <mergeCell ref="KUE40:KUF40"/>
    <mergeCell ref="KUG40:KUH40"/>
    <mergeCell ref="KUI40:KUJ40"/>
    <mergeCell ref="KUK40:KUL40"/>
    <mergeCell ref="KUM40:KUN40"/>
    <mergeCell ref="KUO40:KUP40"/>
    <mergeCell ref="KTS40:KTT40"/>
    <mergeCell ref="KTU40:KTV40"/>
    <mergeCell ref="KTW40:KTX40"/>
    <mergeCell ref="KTY40:KTZ40"/>
    <mergeCell ref="KUA40:KUB40"/>
    <mergeCell ref="KUC40:KUD40"/>
    <mergeCell ref="KTG40:KTH40"/>
    <mergeCell ref="KTI40:KTJ40"/>
    <mergeCell ref="KTK40:KTL40"/>
    <mergeCell ref="KTM40:KTN40"/>
    <mergeCell ref="KTO40:KTP40"/>
    <mergeCell ref="KTQ40:KTR40"/>
    <mergeCell ref="KYI40:KYJ40"/>
    <mergeCell ref="KYK40:KYL40"/>
    <mergeCell ref="KYM40:KYN40"/>
    <mergeCell ref="KYO40:KYP40"/>
    <mergeCell ref="KYQ40:KYR40"/>
    <mergeCell ref="KYS40:KYT40"/>
    <mergeCell ref="KXW40:KXX40"/>
    <mergeCell ref="KXY40:KXZ40"/>
    <mergeCell ref="KYA40:KYB40"/>
    <mergeCell ref="KYC40:KYD40"/>
    <mergeCell ref="KYE40:KYF40"/>
    <mergeCell ref="KYG40:KYH40"/>
    <mergeCell ref="KXK40:KXL40"/>
    <mergeCell ref="KXM40:KXN40"/>
    <mergeCell ref="KXO40:KXP40"/>
    <mergeCell ref="KXQ40:KXR40"/>
    <mergeCell ref="KXS40:KXT40"/>
    <mergeCell ref="KXU40:KXV40"/>
    <mergeCell ref="KWY40:KWZ40"/>
    <mergeCell ref="KXA40:KXB40"/>
    <mergeCell ref="KXC40:KXD40"/>
    <mergeCell ref="KXE40:KXF40"/>
    <mergeCell ref="KXG40:KXH40"/>
    <mergeCell ref="KXI40:KXJ40"/>
    <mergeCell ref="KWM40:KWN40"/>
    <mergeCell ref="KWO40:KWP40"/>
    <mergeCell ref="KWQ40:KWR40"/>
    <mergeCell ref="KWS40:KWT40"/>
    <mergeCell ref="KWU40:KWV40"/>
    <mergeCell ref="KWW40:KWX40"/>
    <mergeCell ref="KWA40:KWB40"/>
    <mergeCell ref="KWC40:KWD40"/>
    <mergeCell ref="KWE40:KWF40"/>
    <mergeCell ref="KWG40:KWH40"/>
    <mergeCell ref="KWI40:KWJ40"/>
    <mergeCell ref="KWK40:KWL40"/>
    <mergeCell ref="LBC40:LBD40"/>
    <mergeCell ref="LBE40:LBF40"/>
    <mergeCell ref="LBG40:LBH40"/>
    <mergeCell ref="LBI40:LBJ40"/>
    <mergeCell ref="LBK40:LBL40"/>
    <mergeCell ref="LBM40:LBN40"/>
    <mergeCell ref="LAQ40:LAR40"/>
    <mergeCell ref="LAS40:LAT40"/>
    <mergeCell ref="LAU40:LAV40"/>
    <mergeCell ref="LAW40:LAX40"/>
    <mergeCell ref="LAY40:LAZ40"/>
    <mergeCell ref="LBA40:LBB40"/>
    <mergeCell ref="LAE40:LAF40"/>
    <mergeCell ref="LAG40:LAH40"/>
    <mergeCell ref="LAI40:LAJ40"/>
    <mergeCell ref="LAK40:LAL40"/>
    <mergeCell ref="LAM40:LAN40"/>
    <mergeCell ref="LAO40:LAP40"/>
    <mergeCell ref="KZS40:KZT40"/>
    <mergeCell ref="KZU40:KZV40"/>
    <mergeCell ref="KZW40:KZX40"/>
    <mergeCell ref="KZY40:KZZ40"/>
    <mergeCell ref="LAA40:LAB40"/>
    <mergeCell ref="LAC40:LAD40"/>
    <mergeCell ref="KZG40:KZH40"/>
    <mergeCell ref="KZI40:KZJ40"/>
    <mergeCell ref="KZK40:KZL40"/>
    <mergeCell ref="KZM40:KZN40"/>
    <mergeCell ref="KZO40:KZP40"/>
    <mergeCell ref="KZQ40:KZR40"/>
    <mergeCell ref="KYU40:KYV40"/>
    <mergeCell ref="KYW40:KYX40"/>
    <mergeCell ref="KYY40:KYZ40"/>
    <mergeCell ref="KZA40:KZB40"/>
    <mergeCell ref="KZC40:KZD40"/>
    <mergeCell ref="KZE40:KZF40"/>
    <mergeCell ref="LDW40:LDX40"/>
    <mergeCell ref="LDY40:LDZ40"/>
    <mergeCell ref="LEA40:LEB40"/>
    <mergeCell ref="LEC40:LED40"/>
    <mergeCell ref="LEE40:LEF40"/>
    <mergeCell ref="LEG40:LEH40"/>
    <mergeCell ref="LDK40:LDL40"/>
    <mergeCell ref="LDM40:LDN40"/>
    <mergeCell ref="LDO40:LDP40"/>
    <mergeCell ref="LDQ40:LDR40"/>
    <mergeCell ref="LDS40:LDT40"/>
    <mergeCell ref="LDU40:LDV40"/>
    <mergeCell ref="LCY40:LCZ40"/>
    <mergeCell ref="LDA40:LDB40"/>
    <mergeCell ref="LDC40:LDD40"/>
    <mergeCell ref="LDE40:LDF40"/>
    <mergeCell ref="LDG40:LDH40"/>
    <mergeCell ref="LDI40:LDJ40"/>
    <mergeCell ref="LCM40:LCN40"/>
    <mergeCell ref="LCO40:LCP40"/>
    <mergeCell ref="LCQ40:LCR40"/>
    <mergeCell ref="LCS40:LCT40"/>
    <mergeCell ref="LCU40:LCV40"/>
    <mergeCell ref="LCW40:LCX40"/>
    <mergeCell ref="LCA40:LCB40"/>
    <mergeCell ref="LCC40:LCD40"/>
    <mergeCell ref="LCE40:LCF40"/>
    <mergeCell ref="LCG40:LCH40"/>
    <mergeCell ref="LCI40:LCJ40"/>
    <mergeCell ref="LCK40:LCL40"/>
    <mergeCell ref="LBO40:LBP40"/>
    <mergeCell ref="LBQ40:LBR40"/>
    <mergeCell ref="LBS40:LBT40"/>
    <mergeCell ref="LBU40:LBV40"/>
    <mergeCell ref="LBW40:LBX40"/>
    <mergeCell ref="LBY40:LBZ40"/>
    <mergeCell ref="LGQ40:LGR40"/>
    <mergeCell ref="LGS40:LGT40"/>
    <mergeCell ref="LGU40:LGV40"/>
    <mergeCell ref="LGW40:LGX40"/>
    <mergeCell ref="LGY40:LGZ40"/>
    <mergeCell ref="LHA40:LHB40"/>
    <mergeCell ref="LGE40:LGF40"/>
    <mergeCell ref="LGG40:LGH40"/>
    <mergeCell ref="LGI40:LGJ40"/>
    <mergeCell ref="LGK40:LGL40"/>
    <mergeCell ref="LGM40:LGN40"/>
    <mergeCell ref="LGO40:LGP40"/>
    <mergeCell ref="LFS40:LFT40"/>
    <mergeCell ref="LFU40:LFV40"/>
    <mergeCell ref="LFW40:LFX40"/>
    <mergeCell ref="LFY40:LFZ40"/>
    <mergeCell ref="LGA40:LGB40"/>
    <mergeCell ref="LGC40:LGD40"/>
    <mergeCell ref="LFG40:LFH40"/>
    <mergeCell ref="LFI40:LFJ40"/>
    <mergeCell ref="LFK40:LFL40"/>
    <mergeCell ref="LFM40:LFN40"/>
    <mergeCell ref="LFO40:LFP40"/>
    <mergeCell ref="LFQ40:LFR40"/>
    <mergeCell ref="LEU40:LEV40"/>
    <mergeCell ref="LEW40:LEX40"/>
    <mergeCell ref="LEY40:LEZ40"/>
    <mergeCell ref="LFA40:LFB40"/>
    <mergeCell ref="LFC40:LFD40"/>
    <mergeCell ref="LFE40:LFF40"/>
    <mergeCell ref="LEI40:LEJ40"/>
    <mergeCell ref="LEK40:LEL40"/>
    <mergeCell ref="LEM40:LEN40"/>
    <mergeCell ref="LEO40:LEP40"/>
    <mergeCell ref="LEQ40:LER40"/>
    <mergeCell ref="LES40:LET40"/>
    <mergeCell ref="LJK40:LJL40"/>
    <mergeCell ref="LJM40:LJN40"/>
    <mergeCell ref="LJO40:LJP40"/>
    <mergeCell ref="LJQ40:LJR40"/>
    <mergeCell ref="LJS40:LJT40"/>
    <mergeCell ref="LJU40:LJV40"/>
    <mergeCell ref="LIY40:LIZ40"/>
    <mergeCell ref="LJA40:LJB40"/>
    <mergeCell ref="LJC40:LJD40"/>
    <mergeCell ref="LJE40:LJF40"/>
    <mergeCell ref="LJG40:LJH40"/>
    <mergeCell ref="LJI40:LJJ40"/>
    <mergeCell ref="LIM40:LIN40"/>
    <mergeCell ref="LIO40:LIP40"/>
    <mergeCell ref="LIQ40:LIR40"/>
    <mergeCell ref="LIS40:LIT40"/>
    <mergeCell ref="LIU40:LIV40"/>
    <mergeCell ref="LIW40:LIX40"/>
    <mergeCell ref="LIA40:LIB40"/>
    <mergeCell ref="LIC40:LID40"/>
    <mergeCell ref="LIE40:LIF40"/>
    <mergeCell ref="LIG40:LIH40"/>
    <mergeCell ref="LII40:LIJ40"/>
    <mergeCell ref="LIK40:LIL40"/>
    <mergeCell ref="LHO40:LHP40"/>
    <mergeCell ref="LHQ40:LHR40"/>
    <mergeCell ref="LHS40:LHT40"/>
    <mergeCell ref="LHU40:LHV40"/>
    <mergeCell ref="LHW40:LHX40"/>
    <mergeCell ref="LHY40:LHZ40"/>
    <mergeCell ref="LHC40:LHD40"/>
    <mergeCell ref="LHE40:LHF40"/>
    <mergeCell ref="LHG40:LHH40"/>
    <mergeCell ref="LHI40:LHJ40"/>
    <mergeCell ref="LHK40:LHL40"/>
    <mergeCell ref="LHM40:LHN40"/>
    <mergeCell ref="LME40:LMF40"/>
    <mergeCell ref="LMG40:LMH40"/>
    <mergeCell ref="LMI40:LMJ40"/>
    <mergeCell ref="LMK40:LML40"/>
    <mergeCell ref="LMM40:LMN40"/>
    <mergeCell ref="LMO40:LMP40"/>
    <mergeCell ref="LLS40:LLT40"/>
    <mergeCell ref="LLU40:LLV40"/>
    <mergeCell ref="LLW40:LLX40"/>
    <mergeCell ref="LLY40:LLZ40"/>
    <mergeCell ref="LMA40:LMB40"/>
    <mergeCell ref="LMC40:LMD40"/>
    <mergeCell ref="LLG40:LLH40"/>
    <mergeCell ref="LLI40:LLJ40"/>
    <mergeCell ref="LLK40:LLL40"/>
    <mergeCell ref="LLM40:LLN40"/>
    <mergeCell ref="LLO40:LLP40"/>
    <mergeCell ref="LLQ40:LLR40"/>
    <mergeCell ref="LKU40:LKV40"/>
    <mergeCell ref="LKW40:LKX40"/>
    <mergeCell ref="LKY40:LKZ40"/>
    <mergeCell ref="LLA40:LLB40"/>
    <mergeCell ref="LLC40:LLD40"/>
    <mergeCell ref="LLE40:LLF40"/>
    <mergeCell ref="LKI40:LKJ40"/>
    <mergeCell ref="LKK40:LKL40"/>
    <mergeCell ref="LKM40:LKN40"/>
    <mergeCell ref="LKO40:LKP40"/>
    <mergeCell ref="LKQ40:LKR40"/>
    <mergeCell ref="LKS40:LKT40"/>
    <mergeCell ref="LJW40:LJX40"/>
    <mergeCell ref="LJY40:LJZ40"/>
    <mergeCell ref="LKA40:LKB40"/>
    <mergeCell ref="LKC40:LKD40"/>
    <mergeCell ref="LKE40:LKF40"/>
    <mergeCell ref="LKG40:LKH40"/>
    <mergeCell ref="LOY40:LOZ40"/>
    <mergeCell ref="LPA40:LPB40"/>
    <mergeCell ref="LPC40:LPD40"/>
    <mergeCell ref="LPE40:LPF40"/>
    <mergeCell ref="LPG40:LPH40"/>
    <mergeCell ref="LPI40:LPJ40"/>
    <mergeCell ref="LOM40:LON40"/>
    <mergeCell ref="LOO40:LOP40"/>
    <mergeCell ref="LOQ40:LOR40"/>
    <mergeCell ref="LOS40:LOT40"/>
    <mergeCell ref="LOU40:LOV40"/>
    <mergeCell ref="LOW40:LOX40"/>
    <mergeCell ref="LOA40:LOB40"/>
    <mergeCell ref="LOC40:LOD40"/>
    <mergeCell ref="LOE40:LOF40"/>
    <mergeCell ref="LOG40:LOH40"/>
    <mergeCell ref="LOI40:LOJ40"/>
    <mergeCell ref="LOK40:LOL40"/>
    <mergeCell ref="LNO40:LNP40"/>
    <mergeCell ref="LNQ40:LNR40"/>
    <mergeCell ref="LNS40:LNT40"/>
    <mergeCell ref="LNU40:LNV40"/>
    <mergeCell ref="LNW40:LNX40"/>
    <mergeCell ref="LNY40:LNZ40"/>
    <mergeCell ref="LNC40:LND40"/>
    <mergeCell ref="LNE40:LNF40"/>
    <mergeCell ref="LNG40:LNH40"/>
    <mergeCell ref="LNI40:LNJ40"/>
    <mergeCell ref="LNK40:LNL40"/>
    <mergeCell ref="LNM40:LNN40"/>
    <mergeCell ref="LMQ40:LMR40"/>
    <mergeCell ref="LMS40:LMT40"/>
    <mergeCell ref="LMU40:LMV40"/>
    <mergeCell ref="LMW40:LMX40"/>
    <mergeCell ref="LMY40:LMZ40"/>
    <mergeCell ref="LNA40:LNB40"/>
    <mergeCell ref="LRS40:LRT40"/>
    <mergeCell ref="LRU40:LRV40"/>
    <mergeCell ref="LRW40:LRX40"/>
    <mergeCell ref="LRY40:LRZ40"/>
    <mergeCell ref="LSA40:LSB40"/>
    <mergeCell ref="LSC40:LSD40"/>
    <mergeCell ref="LRG40:LRH40"/>
    <mergeCell ref="LRI40:LRJ40"/>
    <mergeCell ref="LRK40:LRL40"/>
    <mergeCell ref="LRM40:LRN40"/>
    <mergeCell ref="LRO40:LRP40"/>
    <mergeCell ref="LRQ40:LRR40"/>
    <mergeCell ref="LQU40:LQV40"/>
    <mergeCell ref="LQW40:LQX40"/>
    <mergeCell ref="LQY40:LQZ40"/>
    <mergeCell ref="LRA40:LRB40"/>
    <mergeCell ref="LRC40:LRD40"/>
    <mergeCell ref="LRE40:LRF40"/>
    <mergeCell ref="LQI40:LQJ40"/>
    <mergeCell ref="LQK40:LQL40"/>
    <mergeCell ref="LQM40:LQN40"/>
    <mergeCell ref="LQO40:LQP40"/>
    <mergeCell ref="LQQ40:LQR40"/>
    <mergeCell ref="LQS40:LQT40"/>
    <mergeCell ref="LPW40:LPX40"/>
    <mergeCell ref="LPY40:LPZ40"/>
    <mergeCell ref="LQA40:LQB40"/>
    <mergeCell ref="LQC40:LQD40"/>
    <mergeCell ref="LQE40:LQF40"/>
    <mergeCell ref="LQG40:LQH40"/>
    <mergeCell ref="LPK40:LPL40"/>
    <mergeCell ref="LPM40:LPN40"/>
    <mergeCell ref="LPO40:LPP40"/>
    <mergeCell ref="LPQ40:LPR40"/>
    <mergeCell ref="LPS40:LPT40"/>
    <mergeCell ref="LPU40:LPV40"/>
    <mergeCell ref="LUM40:LUN40"/>
    <mergeCell ref="LUO40:LUP40"/>
    <mergeCell ref="LUQ40:LUR40"/>
    <mergeCell ref="LUS40:LUT40"/>
    <mergeCell ref="LUU40:LUV40"/>
    <mergeCell ref="LUW40:LUX40"/>
    <mergeCell ref="LUA40:LUB40"/>
    <mergeCell ref="LUC40:LUD40"/>
    <mergeCell ref="LUE40:LUF40"/>
    <mergeCell ref="LUG40:LUH40"/>
    <mergeCell ref="LUI40:LUJ40"/>
    <mergeCell ref="LUK40:LUL40"/>
    <mergeCell ref="LTO40:LTP40"/>
    <mergeCell ref="LTQ40:LTR40"/>
    <mergeCell ref="LTS40:LTT40"/>
    <mergeCell ref="LTU40:LTV40"/>
    <mergeCell ref="LTW40:LTX40"/>
    <mergeCell ref="LTY40:LTZ40"/>
    <mergeCell ref="LTC40:LTD40"/>
    <mergeCell ref="LTE40:LTF40"/>
    <mergeCell ref="LTG40:LTH40"/>
    <mergeCell ref="LTI40:LTJ40"/>
    <mergeCell ref="LTK40:LTL40"/>
    <mergeCell ref="LTM40:LTN40"/>
    <mergeCell ref="LSQ40:LSR40"/>
    <mergeCell ref="LSS40:LST40"/>
    <mergeCell ref="LSU40:LSV40"/>
    <mergeCell ref="LSW40:LSX40"/>
    <mergeCell ref="LSY40:LSZ40"/>
    <mergeCell ref="LTA40:LTB40"/>
    <mergeCell ref="LSE40:LSF40"/>
    <mergeCell ref="LSG40:LSH40"/>
    <mergeCell ref="LSI40:LSJ40"/>
    <mergeCell ref="LSK40:LSL40"/>
    <mergeCell ref="LSM40:LSN40"/>
    <mergeCell ref="LSO40:LSP40"/>
    <mergeCell ref="LXG40:LXH40"/>
    <mergeCell ref="LXI40:LXJ40"/>
    <mergeCell ref="LXK40:LXL40"/>
    <mergeCell ref="LXM40:LXN40"/>
    <mergeCell ref="LXO40:LXP40"/>
    <mergeCell ref="LXQ40:LXR40"/>
    <mergeCell ref="LWU40:LWV40"/>
    <mergeCell ref="LWW40:LWX40"/>
    <mergeCell ref="LWY40:LWZ40"/>
    <mergeCell ref="LXA40:LXB40"/>
    <mergeCell ref="LXC40:LXD40"/>
    <mergeCell ref="LXE40:LXF40"/>
    <mergeCell ref="LWI40:LWJ40"/>
    <mergeCell ref="LWK40:LWL40"/>
    <mergeCell ref="LWM40:LWN40"/>
    <mergeCell ref="LWO40:LWP40"/>
    <mergeCell ref="LWQ40:LWR40"/>
    <mergeCell ref="LWS40:LWT40"/>
    <mergeCell ref="LVW40:LVX40"/>
    <mergeCell ref="LVY40:LVZ40"/>
    <mergeCell ref="LWA40:LWB40"/>
    <mergeCell ref="LWC40:LWD40"/>
    <mergeCell ref="LWE40:LWF40"/>
    <mergeCell ref="LWG40:LWH40"/>
    <mergeCell ref="LVK40:LVL40"/>
    <mergeCell ref="LVM40:LVN40"/>
    <mergeCell ref="LVO40:LVP40"/>
    <mergeCell ref="LVQ40:LVR40"/>
    <mergeCell ref="LVS40:LVT40"/>
    <mergeCell ref="LVU40:LVV40"/>
    <mergeCell ref="LUY40:LUZ40"/>
    <mergeCell ref="LVA40:LVB40"/>
    <mergeCell ref="LVC40:LVD40"/>
    <mergeCell ref="LVE40:LVF40"/>
    <mergeCell ref="LVG40:LVH40"/>
    <mergeCell ref="LVI40:LVJ40"/>
    <mergeCell ref="MAA40:MAB40"/>
    <mergeCell ref="MAC40:MAD40"/>
    <mergeCell ref="MAE40:MAF40"/>
    <mergeCell ref="MAG40:MAH40"/>
    <mergeCell ref="MAI40:MAJ40"/>
    <mergeCell ref="MAK40:MAL40"/>
    <mergeCell ref="LZO40:LZP40"/>
    <mergeCell ref="LZQ40:LZR40"/>
    <mergeCell ref="LZS40:LZT40"/>
    <mergeCell ref="LZU40:LZV40"/>
    <mergeCell ref="LZW40:LZX40"/>
    <mergeCell ref="LZY40:LZZ40"/>
    <mergeCell ref="LZC40:LZD40"/>
    <mergeCell ref="LZE40:LZF40"/>
    <mergeCell ref="LZG40:LZH40"/>
    <mergeCell ref="LZI40:LZJ40"/>
    <mergeCell ref="LZK40:LZL40"/>
    <mergeCell ref="LZM40:LZN40"/>
    <mergeCell ref="LYQ40:LYR40"/>
    <mergeCell ref="LYS40:LYT40"/>
    <mergeCell ref="LYU40:LYV40"/>
    <mergeCell ref="LYW40:LYX40"/>
    <mergeCell ref="LYY40:LYZ40"/>
    <mergeCell ref="LZA40:LZB40"/>
    <mergeCell ref="LYE40:LYF40"/>
    <mergeCell ref="LYG40:LYH40"/>
    <mergeCell ref="LYI40:LYJ40"/>
    <mergeCell ref="LYK40:LYL40"/>
    <mergeCell ref="LYM40:LYN40"/>
    <mergeCell ref="LYO40:LYP40"/>
    <mergeCell ref="LXS40:LXT40"/>
    <mergeCell ref="LXU40:LXV40"/>
    <mergeCell ref="LXW40:LXX40"/>
    <mergeCell ref="LXY40:LXZ40"/>
    <mergeCell ref="LYA40:LYB40"/>
    <mergeCell ref="LYC40:LYD40"/>
    <mergeCell ref="MCU40:MCV40"/>
    <mergeCell ref="MCW40:MCX40"/>
    <mergeCell ref="MCY40:MCZ40"/>
    <mergeCell ref="MDA40:MDB40"/>
    <mergeCell ref="MDC40:MDD40"/>
    <mergeCell ref="MDE40:MDF40"/>
    <mergeCell ref="MCI40:MCJ40"/>
    <mergeCell ref="MCK40:MCL40"/>
    <mergeCell ref="MCM40:MCN40"/>
    <mergeCell ref="MCO40:MCP40"/>
    <mergeCell ref="MCQ40:MCR40"/>
    <mergeCell ref="MCS40:MCT40"/>
    <mergeCell ref="MBW40:MBX40"/>
    <mergeCell ref="MBY40:MBZ40"/>
    <mergeCell ref="MCA40:MCB40"/>
    <mergeCell ref="MCC40:MCD40"/>
    <mergeCell ref="MCE40:MCF40"/>
    <mergeCell ref="MCG40:MCH40"/>
    <mergeCell ref="MBK40:MBL40"/>
    <mergeCell ref="MBM40:MBN40"/>
    <mergeCell ref="MBO40:MBP40"/>
    <mergeCell ref="MBQ40:MBR40"/>
    <mergeCell ref="MBS40:MBT40"/>
    <mergeCell ref="MBU40:MBV40"/>
    <mergeCell ref="MAY40:MAZ40"/>
    <mergeCell ref="MBA40:MBB40"/>
    <mergeCell ref="MBC40:MBD40"/>
    <mergeCell ref="MBE40:MBF40"/>
    <mergeCell ref="MBG40:MBH40"/>
    <mergeCell ref="MBI40:MBJ40"/>
    <mergeCell ref="MAM40:MAN40"/>
    <mergeCell ref="MAO40:MAP40"/>
    <mergeCell ref="MAQ40:MAR40"/>
    <mergeCell ref="MAS40:MAT40"/>
    <mergeCell ref="MAU40:MAV40"/>
    <mergeCell ref="MAW40:MAX40"/>
    <mergeCell ref="MFO40:MFP40"/>
    <mergeCell ref="MFQ40:MFR40"/>
    <mergeCell ref="MFS40:MFT40"/>
    <mergeCell ref="MFU40:MFV40"/>
    <mergeCell ref="MFW40:MFX40"/>
    <mergeCell ref="MFY40:MFZ40"/>
    <mergeCell ref="MFC40:MFD40"/>
    <mergeCell ref="MFE40:MFF40"/>
    <mergeCell ref="MFG40:MFH40"/>
    <mergeCell ref="MFI40:MFJ40"/>
    <mergeCell ref="MFK40:MFL40"/>
    <mergeCell ref="MFM40:MFN40"/>
    <mergeCell ref="MEQ40:MER40"/>
    <mergeCell ref="MES40:MET40"/>
    <mergeCell ref="MEU40:MEV40"/>
    <mergeCell ref="MEW40:MEX40"/>
    <mergeCell ref="MEY40:MEZ40"/>
    <mergeCell ref="MFA40:MFB40"/>
    <mergeCell ref="MEE40:MEF40"/>
    <mergeCell ref="MEG40:MEH40"/>
    <mergeCell ref="MEI40:MEJ40"/>
    <mergeCell ref="MEK40:MEL40"/>
    <mergeCell ref="MEM40:MEN40"/>
    <mergeCell ref="MEO40:MEP40"/>
    <mergeCell ref="MDS40:MDT40"/>
    <mergeCell ref="MDU40:MDV40"/>
    <mergeCell ref="MDW40:MDX40"/>
    <mergeCell ref="MDY40:MDZ40"/>
    <mergeCell ref="MEA40:MEB40"/>
    <mergeCell ref="MEC40:MED40"/>
    <mergeCell ref="MDG40:MDH40"/>
    <mergeCell ref="MDI40:MDJ40"/>
    <mergeCell ref="MDK40:MDL40"/>
    <mergeCell ref="MDM40:MDN40"/>
    <mergeCell ref="MDO40:MDP40"/>
    <mergeCell ref="MDQ40:MDR40"/>
    <mergeCell ref="MII40:MIJ40"/>
    <mergeCell ref="MIK40:MIL40"/>
    <mergeCell ref="MIM40:MIN40"/>
    <mergeCell ref="MIO40:MIP40"/>
    <mergeCell ref="MIQ40:MIR40"/>
    <mergeCell ref="MIS40:MIT40"/>
    <mergeCell ref="MHW40:MHX40"/>
    <mergeCell ref="MHY40:MHZ40"/>
    <mergeCell ref="MIA40:MIB40"/>
    <mergeCell ref="MIC40:MID40"/>
    <mergeCell ref="MIE40:MIF40"/>
    <mergeCell ref="MIG40:MIH40"/>
    <mergeCell ref="MHK40:MHL40"/>
    <mergeCell ref="MHM40:MHN40"/>
    <mergeCell ref="MHO40:MHP40"/>
    <mergeCell ref="MHQ40:MHR40"/>
    <mergeCell ref="MHS40:MHT40"/>
    <mergeCell ref="MHU40:MHV40"/>
    <mergeCell ref="MGY40:MGZ40"/>
    <mergeCell ref="MHA40:MHB40"/>
    <mergeCell ref="MHC40:MHD40"/>
    <mergeCell ref="MHE40:MHF40"/>
    <mergeCell ref="MHG40:MHH40"/>
    <mergeCell ref="MHI40:MHJ40"/>
    <mergeCell ref="MGM40:MGN40"/>
    <mergeCell ref="MGO40:MGP40"/>
    <mergeCell ref="MGQ40:MGR40"/>
    <mergeCell ref="MGS40:MGT40"/>
    <mergeCell ref="MGU40:MGV40"/>
    <mergeCell ref="MGW40:MGX40"/>
    <mergeCell ref="MGA40:MGB40"/>
    <mergeCell ref="MGC40:MGD40"/>
    <mergeCell ref="MGE40:MGF40"/>
    <mergeCell ref="MGG40:MGH40"/>
    <mergeCell ref="MGI40:MGJ40"/>
    <mergeCell ref="MGK40:MGL40"/>
    <mergeCell ref="MLC40:MLD40"/>
    <mergeCell ref="MLE40:MLF40"/>
    <mergeCell ref="MLG40:MLH40"/>
    <mergeCell ref="MLI40:MLJ40"/>
    <mergeCell ref="MLK40:MLL40"/>
    <mergeCell ref="MLM40:MLN40"/>
    <mergeCell ref="MKQ40:MKR40"/>
    <mergeCell ref="MKS40:MKT40"/>
    <mergeCell ref="MKU40:MKV40"/>
    <mergeCell ref="MKW40:MKX40"/>
    <mergeCell ref="MKY40:MKZ40"/>
    <mergeCell ref="MLA40:MLB40"/>
    <mergeCell ref="MKE40:MKF40"/>
    <mergeCell ref="MKG40:MKH40"/>
    <mergeCell ref="MKI40:MKJ40"/>
    <mergeCell ref="MKK40:MKL40"/>
    <mergeCell ref="MKM40:MKN40"/>
    <mergeCell ref="MKO40:MKP40"/>
    <mergeCell ref="MJS40:MJT40"/>
    <mergeCell ref="MJU40:MJV40"/>
    <mergeCell ref="MJW40:MJX40"/>
    <mergeCell ref="MJY40:MJZ40"/>
    <mergeCell ref="MKA40:MKB40"/>
    <mergeCell ref="MKC40:MKD40"/>
    <mergeCell ref="MJG40:MJH40"/>
    <mergeCell ref="MJI40:MJJ40"/>
    <mergeCell ref="MJK40:MJL40"/>
    <mergeCell ref="MJM40:MJN40"/>
    <mergeCell ref="MJO40:MJP40"/>
    <mergeCell ref="MJQ40:MJR40"/>
    <mergeCell ref="MIU40:MIV40"/>
    <mergeCell ref="MIW40:MIX40"/>
    <mergeCell ref="MIY40:MIZ40"/>
    <mergeCell ref="MJA40:MJB40"/>
    <mergeCell ref="MJC40:MJD40"/>
    <mergeCell ref="MJE40:MJF40"/>
    <mergeCell ref="MNW40:MNX40"/>
    <mergeCell ref="MNY40:MNZ40"/>
    <mergeCell ref="MOA40:MOB40"/>
    <mergeCell ref="MOC40:MOD40"/>
    <mergeCell ref="MOE40:MOF40"/>
    <mergeCell ref="MOG40:MOH40"/>
    <mergeCell ref="MNK40:MNL40"/>
    <mergeCell ref="MNM40:MNN40"/>
    <mergeCell ref="MNO40:MNP40"/>
    <mergeCell ref="MNQ40:MNR40"/>
    <mergeCell ref="MNS40:MNT40"/>
    <mergeCell ref="MNU40:MNV40"/>
    <mergeCell ref="MMY40:MMZ40"/>
    <mergeCell ref="MNA40:MNB40"/>
    <mergeCell ref="MNC40:MND40"/>
    <mergeCell ref="MNE40:MNF40"/>
    <mergeCell ref="MNG40:MNH40"/>
    <mergeCell ref="MNI40:MNJ40"/>
    <mergeCell ref="MMM40:MMN40"/>
    <mergeCell ref="MMO40:MMP40"/>
    <mergeCell ref="MMQ40:MMR40"/>
    <mergeCell ref="MMS40:MMT40"/>
    <mergeCell ref="MMU40:MMV40"/>
    <mergeCell ref="MMW40:MMX40"/>
    <mergeCell ref="MMA40:MMB40"/>
    <mergeCell ref="MMC40:MMD40"/>
    <mergeCell ref="MME40:MMF40"/>
    <mergeCell ref="MMG40:MMH40"/>
    <mergeCell ref="MMI40:MMJ40"/>
    <mergeCell ref="MMK40:MML40"/>
    <mergeCell ref="MLO40:MLP40"/>
    <mergeCell ref="MLQ40:MLR40"/>
    <mergeCell ref="MLS40:MLT40"/>
    <mergeCell ref="MLU40:MLV40"/>
    <mergeCell ref="MLW40:MLX40"/>
    <mergeCell ref="MLY40:MLZ40"/>
    <mergeCell ref="MQQ40:MQR40"/>
    <mergeCell ref="MQS40:MQT40"/>
    <mergeCell ref="MQU40:MQV40"/>
    <mergeCell ref="MQW40:MQX40"/>
    <mergeCell ref="MQY40:MQZ40"/>
    <mergeCell ref="MRA40:MRB40"/>
    <mergeCell ref="MQE40:MQF40"/>
    <mergeCell ref="MQG40:MQH40"/>
    <mergeCell ref="MQI40:MQJ40"/>
    <mergeCell ref="MQK40:MQL40"/>
    <mergeCell ref="MQM40:MQN40"/>
    <mergeCell ref="MQO40:MQP40"/>
    <mergeCell ref="MPS40:MPT40"/>
    <mergeCell ref="MPU40:MPV40"/>
    <mergeCell ref="MPW40:MPX40"/>
    <mergeCell ref="MPY40:MPZ40"/>
    <mergeCell ref="MQA40:MQB40"/>
    <mergeCell ref="MQC40:MQD40"/>
    <mergeCell ref="MPG40:MPH40"/>
    <mergeCell ref="MPI40:MPJ40"/>
    <mergeCell ref="MPK40:MPL40"/>
    <mergeCell ref="MPM40:MPN40"/>
    <mergeCell ref="MPO40:MPP40"/>
    <mergeCell ref="MPQ40:MPR40"/>
    <mergeCell ref="MOU40:MOV40"/>
    <mergeCell ref="MOW40:MOX40"/>
    <mergeCell ref="MOY40:MOZ40"/>
    <mergeCell ref="MPA40:MPB40"/>
    <mergeCell ref="MPC40:MPD40"/>
    <mergeCell ref="MPE40:MPF40"/>
    <mergeCell ref="MOI40:MOJ40"/>
    <mergeCell ref="MOK40:MOL40"/>
    <mergeCell ref="MOM40:MON40"/>
    <mergeCell ref="MOO40:MOP40"/>
    <mergeCell ref="MOQ40:MOR40"/>
    <mergeCell ref="MOS40:MOT40"/>
    <mergeCell ref="MTK40:MTL40"/>
    <mergeCell ref="MTM40:MTN40"/>
    <mergeCell ref="MTO40:MTP40"/>
    <mergeCell ref="MTQ40:MTR40"/>
    <mergeCell ref="MTS40:MTT40"/>
    <mergeCell ref="MTU40:MTV40"/>
    <mergeCell ref="MSY40:MSZ40"/>
    <mergeCell ref="MTA40:MTB40"/>
    <mergeCell ref="MTC40:MTD40"/>
    <mergeCell ref="MTE40:MTF40"/>
    <mergeCell ref="MTG40:MTH40"/>
    <mergeCell ref="MTI40:MTJ40"/>
    <mergeCell ref="MSM40:MSN40"/>
    <mergeCell ref="MSO40:MSP40"/>
    <mergeCell ref="MSQ40:MSR40"/>
    <mergeCell ref="MSS40:MST40"/>
    <mergeCell ref="MSU40:MSV40"/>
    <mergeCell ref="MSW40:MSX40"/>
    <mergeCell ref="MSA40:MSB40"/>
    <mergeCell ref="MSC40:MSD40"/>
    <mergeCell ref="MSE40:MSF40"/>
    <mergeCell ref="MSG40:MSH40"/>
    <mergeCell ref="MSI40:MSJ40"/>
    <mergeCell ref="MSK40:MSL40"/>
    <mergeCell ref="MRO40:MRP40"/>
    <mergeCell ref="MRQ40:MRR40"/>
    <mergeCell ref="MRS40:MRT40"/>
    <mergeCell ref="MRU40:MRV40"/>
    <mergeCell ref="MRW40:MRX40"/>
    <mergeCell ref="MRY40:MRZ40"/>
    <mergeCell ref="MRC40:MRD40"/>
    <mergeCell ref="MRE40:MRF40"/>
    <mergeCell ref="MRG40:MRH40"/>
    <mergeCell ref="MRI40:MRJ40"/>
    <mergeCell ref="MRK40:MRL40"/>
    <mergeCell ref="MRM40:MRN40"/>
    <mergeCell ref="MWE40:MWF40"/>
    <mergeCell ref="MWG40:MWH40"/>
    <mergeCell ref="MWI40:MWJ40"/>
    <mergeCell ref="MWK40:MWL40"/>
    <mergeCell ref="MWM40:MWN40"/>
    <mergeCell ref="MWO40:MWP40"/>
    <mergeCell ref="MVS40:MVT40"/>
    <mergeCell ref="MVU40:MVV40"/>
    <mergeCell ref="MVW40:MVX40"/>
    <mergeCell ref="MVY40:MVZ40"/>
    <mergeCell ref="MWA40:MWB40"/>
    <mergeCell ref="MWC40:MWD40"/>
    <mergeCell ref="MVG40:MVH40"/>
    <mergeCell ref="MVI40:MVJ40"/>
    <mergeCell ref="MVK40:MVL40"/>
    <mergeCell ref="MVM40:MVN40"/>
    <mergeCell ref="MVO40:MVP40"/>
    <mergeCell ref="MVQ40:MVR40"/>
    <mergeCell ref="MUU40:MUV40"/>
    <mergeCell ref="MUW40:MUX40"/>
    <mergeCell ref="MUY40:MUZ40"/>
    <mergeCell ref="MVA40:MVB40"/>
    <mergeCell ref="MVC40:MVD40"/>
    <mergeCell ref="MVE40:MVF40"/>
    <mergeCell ref="MUI40:MUJ40"/>
    <mergeCell ref="MUK40:MUL40"/>
    <mergeCell ref="MUM40:MUN40"/>
    <mergeCell ref="MUO40:MUP40"/>
    <mergeCell ref="MUQ40:MUR40"/>
    <mergeCell ref="MUS40:MUT40"/>
    <mergeCell ref="MTW40:MTX40"/>
    <mergeCell ref="MTY40:MTZ40"/>
    <mergeCell ref="MUA40:MUB40"/>
    <mergeCell ref="MUC40:MUD40"/>
    <mergeCell ref="MUE40:MUF40"/>
    <mergeCell ref="MUG40:MUH40"/>
    <mergeCell ref="MYY40:MYZ40"/>
    <mergeCell ref="MZA40:MZB40"/>
    <mergeCell ref="MZC40:MZD40"/>
    <mergeCell ref="MZE40:MZF40"/>
    <mergeCell ref="MZG40:MZH40"/>
    <mergeCell ref="MZI40:MZJ40"/>
    <mergeCell ref="MYM40:MYN40"/>
    <mergeCell ref="MYO40:MYP40"/>
    <mergeCell ref="MYQ40:MYR40"/>
    <mergeCell ref="MYS40:MYT40"/>
    <mergeCell ref="MYU40:MYV40"/>
    <mergeCell ref="MYW40:MYX40"/>
    <mergeCell ref="MYA40:MYB40"/>
    <mergeCell ref="MYC40:MYD40"/>
    <mergeCell ref="MYE40:MYF40"/>
    <mergeCell ref="MYG40:MYH40"/>
    <mergeCell ref="MYI40:MYJ40"/>
    <mergeCell ref="MYK40:MYL40"/>
    <mergeCell ref="MXO40:MXP40"/>
    <mergeCell ref="MXQ40:MXR40"/>
    <mergeCell ref="MXS40:MXT40"/>
    <mergeCell ref="MXU40:MXV40"/>
    <mergeCell ref="MXW40:MXX40"/>
    <mergeCell ref="MXY40:MXZ40"/>
    <mergeCell ref="MXC40:MXD40"/>
    <mergeCell ref="MXE40:MXF40"/>
    <mergeCell ref="MXG40:MXH40"/>
    <mergeCell ref="MXI40:MXJ40"/>
    <mergeCell ref="MXK40:MXL40"/>
    <mergeCell ref="MXM40:MXN40"/>
    <mergeCell ref="MWQ40:MWR40"/>
    <mergeCell ref="MWS40:MWT40"/>
    <mergeCell ref="MWU40:MWV40"/>
    <mergeCell ref="MWW40:MWX40"/>
    <mergeCell ref="MWY40:MWZ40"/>
    <mergeCell ref="MXA40:MXB40"/>
    <mergeCell ref="NBS40:NBT40"/>
    <mergeCell ref="NBU40:NBV40"/>
    <mergeCell ref="NBW40:NBX40"/>
    <mergeCell ref="NBY40:NBZ40"/>
    <mergeCell ref="NCA40:NCB40"/>
    <mergeCell ref="NCC40:NCD40"/>
    <mergeCell ref="NBG40:NBH40"/>
    <mergeCell ref="NBI40:NBJ40"/>
    <mergeCell ref="NBK40:NBL40"/>
    <mergeCell ref="NBM40:NBN40"/>
    <mergeCell ref="NBO40:NBP40"/>
    <mergeCell ref="NBQ40:NBR40"/>
    <mergeCell ref="NAU40:NAV40"/>
    <mergeCell ref="NAW40:NAX40"/>
    <mergeCell ref="NAY40:NAZ40"/>
    <mergeCell ref="NBA40:NBB40"/>
    <mergeCell ref="NBC40:NBD40"/>
    <mergeCell ref="NBE40:NBF40"/>
    <mergeCell ref="NAI40:NAJ40"/>
    <mergeCell ref="NAK40:NAL40"/>
    <mergeCell ref="NAM40:NAN40"/>
    <mergeCell ref="NAO40:NAP40"/>
    <mergeCell ref="NAQ40:NAR40"/>
    <mergeCell ref="NAS40:NAT40"/>
    <mergeCell ref="MZW40:MZX40"/>
    <mergeCell ref="MZY40:MZZ40"/>
    <mergeCell ref="NAA40:NAB40"/>
    <mergeCell ref="NAC40:NAD40"/>
    <mergeCell ref="NAE40:NAF40"/>
    <mergeCell ref="NAG40:NAH40"/>
    <mergeCell ref="MZK40:MZL40"/>
    <mergeCell ref="MZM40:MZN40"/>
    <mergeCell ref="MZO40:MZP40"/>
    <mergeCell ref="MZQ40:MZR40"/>
    <mergeCell ref="MZS40:MZT40"/>
    <mergeCell ref="MZU40:MZV40"/>
    <mergeCell ref="NEM40:NEN40"/>
    <mergeCell ref="NEO40:NEP40"/>
    <mergeCell ref="NEQ40:NER40"/>
    <mergeCell ref="NES40:NET40"/>
    <mergeCell ref="NEU40:NEV40"/>
    <mergeCell ref="NEW40:NEX40"/>
    <mergeCell ref="NEA40:NEB40"/>
    <mergeCell ref="NEC40:NED40"/>
    <mergeCell ref="NEE40:NEF40"/>
    <mergeCell ref="NEG40:NEH40"/>
    <mergeCell ref="NEI40:NEJ40"/>
    <mergeCell ref="NEK40:NEL40"/>
    <mergeCell ref="NDO40:NDP40"/>
    <mergeCell ref="NDQ40:NDR40"/>
    <mergeCell ref="NDS40:NDT40"/>
    <mergeCell ref="NDU40:NDV40"/>
    <mergeCell ref="NDW40:NDX40"/>
    <mergeCell ref="NDY40:NDZ40"/>
    <mergeCell ref="NDC40:NDD40"/>
    <mergeCell ref="NDE40:NDF40"/>
    <mergeCell ref="NDG40:NDH40"/>
    <mergeCell ref="NDI40:NDJ40"/>
    <mergeCell ref="NDK40:NDL40"/>
    <mergeCell ref="NDM40:NDN40"/>
    <mergeCell ref="NCQ40:NCR40"/>
    <mergeCell ref="NCS40:NCT40"/>
    <mergeCell ref="NCU40:NCV40"/>
    <mergeCell ref="NCW40:NCX40"/>
    <mergeCell ref="NCY40:NCZ40"/>
    <mergeCell ref="NDA40:NDB40"/>
    <mergeCell ref="NCE40:NCF40"/>
    <mergeCell ref="NCG40:NCH40"/>
    <mergeCell ref="NCI40:NCJ40"/>
    <mergeCell ref="NCK40:NCL40"/>
    <mergeCell ref="NCM40:NCN40"/>
    <mergeCell ref="NCO40:NCP40"/>
    <mergeCell ref="NHG40:NHH40"/>
    <mergeCell ref="NHI40:NHJ40"/>
    <mergeCell ref="NHK40:NHL40"/>
    <mergeCell ref="NHM40:NHN40"/>
    <mergeCell ref="NHO40:NHP40"/>
    <mergeCell ref="NHQ40:NHR40"/>
    <mergeCell ref="NGU40:NGV40"/>
    <mergeCell ref="NGW40:NGX40"/>
    <mergeCell ref="NGY40:NGZ40"/>
    <mergeCell ref="NHA40:NHB40"/>
    <mergeCell ref="NHC40:NHD40"/>
    <mergeCell ref="NHE40:NHF40"/>
    <mergeCell ref="NGI40:NGJ40"/>
    <mergeCell ref="NGK40:NGL40"/>
    <mergeCell ref="NGM40:NGN40"/>
    <mergeCell ref="NGO40:NGP40"/>
    <mergeCell ref="NGQ40:NGR40"/>
    <mergeCell ref="NGS40:NGT40"/>
    <mergeCell ref="NFW40:NFX40"/>
    <mergeCell ref="NFY40:NFZ40"/>
    <mergeCell ref="NGA40:NGB40"/>
    <mergeCell ref="NGC40:NGD40"/>
    <mergeCell ref="NGE40:NGF40"/>
    <mergeCell ref="NGG40:NGH40"/>
    <mergeCell ref="NFK40:NFL40"/>
    <mergeCell ref="NFM40:NFN40"/>
    <mergeCell ref="NFO40:NFP40"/>
    <mergeCell ref="NFQ40:NFR40"/>
    <mergeCell ref="NFS40:NFT40"/>
    <mergeCell ref="NFU40:NFV40"/>
    <mergeCell ref="NEY40:NEZ40"/>
    <mergeCell ref="NFA40:NFB40"/>
    <mergeCell ref="NFC40:NFD40"/>
    <mergeCell ref="NFE40:NFF40"/>
    <mergeCell ref="NFG40:NFH40"/>
    <mergeCell ref="NFI40:NFJ40"/>
    <mergeCell ref="NKA40:NKB40"/>
    <mergeCell ref="NKC40:NKD40"/>
    <mergeCell ref="NKE40:NKF40"/>
    <mergeCell ref="NKG40:NKH40"/>
    <mergeCell ref="NKI40:NKJ40"/>
    <mergeCell ref="NKK40:NKL40"/>
    <mergeCell ref="NJO40:NJP40"/>
    <mergeCell ref="NJQ40:NJR40"/>
    <mergeCell ref="NJS40:NJT40"/>
    <mergeCell ref="NJU40:NJV40"/>
    <mergeCell ref="NJW40:NJX40"/>
    <mergeCell ref="NJY40:NJZ40"/>
    <mergeCell ref="NJC40:NJD40"/>
    <mergeCell ref="NJE40:NJF40"/>
    <mergeCell ref="NJG40:NJH40"/>
    <mergeCell ref="NJI40:NJJ40"/>
    <mergeCell ref="NJK40:NJL40"/>
    <mergeCell ref="NJM40:NJN40"/>
    <mergeCell ref="NIQ40:NIR40"/>
    <mergeCell ref="NIS40:NIT40"/>
    <mergeCell ref="NIU40:NIV40"/>
    <mergeCell ref="NIW40:NIX40"/>
    <mergeCell ref="NIY40:NIZ40"/>
    <mergeCell ref="NJA40:NJB40"/>
    <mergeCell ref="NIE40:NIF40"/>
    <mergeCell ref="NIG40:NIH40"/>
    <mergeCell ref="NII40:NIJ40"/>
    <mergeCell ref="NIK40:NIL40"/>
    <mergeCell ref="NIM40:NIN40"/>
    <mergeCell ref="NIO40:NIP40"/>
    <mergeCell ref="NHS40:NHT40"/>
    <mergeCell ref="NHU40:NHV40"/>
    <mergeCell ref="NHW40:NHX40"/>
    <mergeCell ref="NHY40:NHZ40"/>
    <mergeCell ref="NIA40:NIB40"/>
    <mergeCell ref="NIC40:NID40"/>
    <mergeCell ref="NMU40:NMV40"/>
    <mergeCell ref="NMW40:NMX40"/>
    <mergeCell ref="NMY40:NMZ40"/>
    <mergeCell ref="NNA40:NNB40"/>
    <mergeCell ref="NNC40:NND40"/>
    <mergeCell ref="NNE40:NNF40"/>
    <mergeCell ref="NMI40:NMJ40"/>
    <mergeCell ref="NMK40:NML40"/>
    <mergeCell ref="NMM40:NMN40"/>
    <mergeCell ref="NMO40:NMP40"/>
    <mergeCell ref="NMQ40:NMR40"/>
    <mergeCell ref="NMS40:NMT40"/>
    <mergeCell ref="NLW40:NLX40"/>
    <mergeCell ref="NLY40:NLZ40"/>
    <mergeCell ref="NMA40:NMB40"/>
    <mergeCell ref="NMC40:NMD40"/>
    <mergeCell ref="NME40:NMF40"/>
    <mergeCell ref="NMG40:NMH40"/>
    <mergeCell ref="NLK40:NLL40"/>
    <mergeCell ref="NLM40:NLN40"/>
    <mergeCell ref="NLO40:NLP40"/>
    <mergeCell ref="NLQ40:NLR40"/>
    <mergeCell ref="NLS40:NLT40"/>
    <mergeCell ref="NLU40:NLV40"/>
    <mergeCell ref="NKY40:NKZ40"/>
    <mergeCell ref="NLA40:NLB40"/>
    <mergeCell ref="NLC40:NLD40"/>
    <mergeCell ref="NLE40:NLF40"/>
    <mergeCell ref="NLG40:NLH40"/>
    <mergeCell ref="NLI40:NLJ40"/>
    <mergeCell ref="NKM40:NKN40"/>
    <mergeCell ref="NKO40:NKP40"/>
    <mergeCell ref="NKQ40:NKR40"/>
    <mergeCell ref="NKS40:NKT40"/>
    <mergeCell ref="NKU40:NKV40"/>
    <mergeCell ref="NKW40:NKX40"/>
    <mergeCell ref="NPO40:NPP40"/>
    <mergeCell ref="NPQ40:NPR40"/>
    <mergeCell ref="NPS40:NPT40"/>
    <mergeCell ref="NPU40:NPV40"/>
    <mergeCell ref="NPW40:NPX40"/>
    <mergeCell ref="NPY40:NPZ40"/>
    <mergeCell ref="NPC40:NPD40"/>
    <mergeCell ref="NPE40:NPF40"/>
    <mergeCell ref="NPG40:NPH40"/>
    <mergeCell ref="NPI40:NPJ40"/>
    <mergeCell ref="NPK40:NPL40"/>
    <mergeCell ref="NPM40:NPN40"/>
    <mergeCell ref="NOQ40:NOR40"/>
    <mergeCell ref="NOS40:NOT40"/>
    <mergeCell ref="NOU40:NOV40"/>
    <mergeCell ref="NOW40:NOX40"/>
    <mergeCell ref="NOY40:NOZ40"/>
    <mergeCell ref="NPA40:NPB40"/>
    <mergeCell ref="NOE40:NOF40"/>
    <mergeCell ref="NOG40:NOH40"/>
    <mergeCell ref="NOI40:NOJ40"/>
    <mergeCell ref="NOK40:NOL40"/>
    <mergeCell ref="NOM40:NON40"/>
    <mergeCell ref="NOO40:NOP40"/>
    <mergeCell ref="NNS40:NNT40"/>
    <mergeCell ref="NNU40:NNV40"/>
    <mergeCell ref="NNW40:NNX40"/>
    <mergeCell ref="NNY40:NNZ40"/>
    <mergeCell ref="NOA40:NOB40"/>
    <mergeCell ref="NOC40:NOD40"/>
    <mergeCell ref="NNG40:NNH40"/>
    <mergeCell ref="NNI40:NNJ40"/>
    <mergeCell ref="NNK40:NNL40"/>
    <mergeCell ref="NNM40:NNN40"/>
    <mergeCell ref="NNO40:NNP40"/>
    <mergeCell ref="NNQ40:NNR40"/>
    <mergeCell ref="NSI40:NSJ40"/>
    <mergeCell ref="NSK40:NSL40"/>
    <mergeCell ref="NSM40:NSN40"/>
    <mergeCell ref="NSO40:NSP40"/>
    <mergeCell ref="NSQ40:NSR40"/>
    <mergeCell ref="NSS40:NST40"/>
    <mergeCell ref="NRW40:NRX40"/>
    <mergeCell ref="NRY40:NRZ40"/>
    <mergeCell ref="NSA40:NSB40"/>
    <mergeCell ref="NSC40:NSD40"/>
    <mergeCell ref="NSE40:NSF40"/>
    <mergeCell ref="NSG40:NSH40"/>
    <mergeCell ref="NRK40:NRL40"/>
    <mergeCell ref="NRM40:NRN40"/>
    <mergeCell ref="NRO40:NRP40"/>
    <mergeCell ref="NRQ40:NRR40"/>
    <mergeCell ref="NRS40:NRT40"/>
    <mergeCell ref="NRU40:NRV40"/>
    <mergeCell ref="NQY40:NQZ40"/>
    <mergeCell ref="NRA40:NRB40"/>
    <mergeCell ref="NRC40:NRD40"/>
    <mergeCell ref="NRE40:NRF40"/>
    <mergeCell ref="NRG40:NRH40"/>
    <mergeCell ref="NRI40:NRJ40"/>
    <mergeCell ref="NQM40:NQN40"/>
    <mergeCell ref="NQO40:NQP40"/>
    <mergeCell ref="NQQ40:NQR40"/>
    <mergeCell ref="NQS40:NQT40"/>
    <mergeCell ref="NQU40:NQV40"/>
    <mergeCell ref="NQW40:NQX40"/>
    <mergeCell ref="NQA40:NQB40"/>
    <mergeCell ref="NQC40:NQD40"/>
    <mergeCell ref="NQE40:NQF40"/>
    <mergeCell ref="NQG40:NQH40"/>
    <mergeCell ref="NQI40:NQJ40"/>
    <mergeCell ref="NQK40:NQL40"/>
    <mergeCell ref="NVC40:NVD40"/>
    <mergeCell ref="NVE40:NVF40"/>
    <mergeCell ref="NVG40:NVH40"/>
    <mergeCell ref="NVI40:NVJ40"/>
    <mergeCell ref="NVK40:NVL40"/>
    <mergeCell ref="NVM40:NVN40"/>
    <mergeCell ref="NUQ40:NUR40"/>
    <mergeCell ref="NUS40:NUT40"/>
    <mergeCell ref="NUU40:NUV40"/>
    <mergeCell ref="NUW40:NUX40"/>
    <mergeCell ref="NUY40:NUZ40"/>
    <mergeCell ref="NVA40:NVB40"/>
    <mergeCell ref="NUE40:NUF40"/>
    <mergeCell ref="NUG40:NUH40"/>
    <mergeCell ref="NUI40:NUJ40"/>
    <mergeCell ref="NUK40:NUL40"/>
    <mergeCell ref="NUM40:NUN40"/>
    <mergeCell ref="NUO40:NUP40"/>
    <mergeCell ref="NTS40:NTT40"/>
    <mergeCell ref="NTU40:NTV40"/>
    <mergeCell ref="NTW40:NTX40"/>
    <mergeCell ref="NTY40:NTZ40"/>
    <mergeCell ref="NUA40:NUB40"/>
    <mergeCell ref="NUC40:NUD40"/>
    <mergeCell ref="NTG40:NTH40"/>
    <mergeCell ref="NTI40:NTJ40"/>
    <mergeCell ref="NTK40:NTL40"/>
    <mergeCell ref="NTM40:NTN40"/>
    <mergeCell ref="NTO40:NTP40"/>
    <mergeCell ref="NTQ40:NTR40"/>
    <mergeCell ref="NSU40:NSV40"/>
    <mergeCell ref="NSW40:NSX40"/>
    <mergeCell ref="NSY40:NSZ40"/>
    <mergeCell ref="NTA40:NTB40"/>
    <mergeCell ref="NTC40:NTD40"/>
    <mergeCell ref="NTE40:NTF40"/>
    <mergeCell ref="NXW40:NXX40"/>
    <mergeCell ref="NXY40:NXZ40"/>
    <mergeCell ref="NYA40:NYB40"/>
    <mergeCell ref="NYC40:NYD40"/>
    <mergeCell ref="NYE40:NYF40"/>
    <mergeCell ref="NYG40:NYH40"/>
    <mergeCell ref="NXK40:NXL40"/>
    <mergeCell ref="NXM40:NXN40"/>
    <mergeCell ref="NXO40:NXP40"/>
    <mergeCell ref="NXQ40:NXR40"/>
    <mergeCell ref="NXS40:NXT40"/>
    <mergeCell ref="NXU40:NXV40"/>
    <mergeCell ref="NWY40:NWZ40"/>
    <mergeCell ref="NXA40:NXB40"/>
    <mergeCell ref="NXC40:NXD40"/>
    <mergeCell ref="NXE40:NXF40"/>
    <mergeCell ref="NXG40:NXH40"/>
    <mergeCell ref="NXI40:NXJ40"/>
    <mergeCell ref="NWM40:NWN40"/>
    <mergeCell ref="NWO40:NWP40"/>
    <mergeCell ref="NWQ40:NWR40"/>
    <mergeCell ref="NWS40:NWT40"/>
    <mergeCell ref="NWU40:NWV40"/>
    <mergeCell ref="NWW40:NWX40"/>
    <mergeCell ref="NWA40:NWB40"/>
    <mergeCell ref="NWC40:NWD40"/>
    <mergeCell ref="NWE40:NWF40"/>
    <mergeCell ref="NWG40:NWH40"/>
    <mergeCell ref="NWI40:NWJ40"/>
    <mergeCell ref="NWK40:NWL40"/>
    <mergeCell ref="NVO40:NVP40"/>
    <mergeCell ref="NVQ40:NVR40"/>
    <mergeCell ref="NVS40:NVT40"/>
    <mergeCell ref="NVU40:NVV40"/>
    <mergeCell ref="NVW40:NVX40"/>
    <mergeCell ref="NVY40:NVZ40"/>
    <mergeCell ref="OAQ40:OAR40"/>
    <mergeCell ref="OAS40:OAT40"/>
    <mergeCell ref="OAU40:OAV40"/>
    <mergeCell ref="OAW40:OAX40"/>
    <mergeCell ref="OAY40:OAZ40"/>
    <mergeCell ref="OBA40:OBB40"/>
    <mergeCell ref="OAE40:OAF40"/>
    <mergeCell ref="OAG40:OAH40"/>
    <mergeCell ref="OAI40:OAJ40"/>
    <mergeCell ref="OAK40:OAL40"/>
    <mergeCell ref="OAM40:OAN40"/>
    <mergeCell ref="OAO40:OAP40"/>
    <mergeCell ref="NZS40:NZT40"/>
    <mergeCell ref="NZU40:NZV40"/>
    <mergeCell ref="NZW40:NZX40"/>
    <mergeCell ref="NZY40:NZZ40"/>
    <mergeCell ref="OAA40:OAB40"/>
    <mergeCell ref="OAC40:OAD40"/>
    <mergeCell ref="NZG40:NZH40"/>
    <mergeCell ref="NZI40:NZJ40"/>
    <mergeCell ref="NZK40:NZL40"/>
    <mergeCell ref="NZM40:NZN40"/>
    <mergeCell ref="NZO40:NZP40"/>
    <mergeCell ref="NZQ40:NZR40"/>
    <mergeCell ref="NYU40:NYV40"/>
    <mergeCell ref="NYW40:NYX40"/>
    <mergeCell ref="NYY40:NYZ40"/>
    <mergeCell ref="NZA40:NZB40"/>
    <mergeCell ref="NZC40:NZD40"/>
    <mergeCell ref="NZE40:NZF40"/>
    <mergeCell ref="NYI40:NYJ40"/>
    <mergeCell ref="NYK40:NYL40"/>
    <mergeCell ref="NYM40:NYN40"/>
    <mergeCell ref="NYO40:NYP40"/>
    <mergeCell ref="NYQ40:NYR40"/>
    <mergeCell ref="NYS40:NYT40"/>
    <mergeCell ref="ODK40:ODL40"/>
    <mergeCell ref="ODM40:ODN40"/>
    <mergeCell ref="ODO40:ODP40"/>
    <mergeCell ref="ODQ40:ODR40"/>
    <mergeCell ref="ODS40:ODT40"/>
    <mergeCell ref="ODU40:ODV40"/>
    <mergeCell ref="OCY40:OCZ40"/>
    <mergeCell ref="ODA40:ODB40"/>
    <mergeCell ref="ODC40:ODD40"/>
    <mergeCell ref="ODE40:ODF40"/>
    <mergeCell ref="ODG40:ODH40"/>
    <mergeCell ref="ODI40:ODJ40"/>
    <mergeCell ref="OCM40:OCN40"/>
    <mergeCell ref="OCO40:OCP40"/>
    <mergeCell ref="OCQ40:OCR40"/>
    <mergeCell ref="OCS40:OCT40"/>
    <mergeCell ref="OCU40:OCV40"/>
    <mergeCell ref="OCW40:OCX40"/>
    <mergeCell ref="OCA40:OCB40"/>
    <mergeCell ref="OCC40:OCD40"/>
    <mergeCell ref="OCE40:OCF40"/>
    <mergeCell ref="OCG40:OCH40"/>
    <mergeCell ref="OCI40:OCJ40"/>
    <mergeCell ref="OCK40:OCL40"/>
    <mergeCell ref="OBO40:OBP40"/>
    <mergeCell ref="OBQ40:OBR40"/>
    <mergeCell ref="OBS40:OBT40"/>
    <mergeCell ref="OBU40:OBV40"/>
    <mergeCell ref="OBW40:OBX40"/>
    <mergeCell ref="OBY40:OBZ40"/>
    <mergeCell ref="OBC40:OBD40"/>
    <mergeCell ref="OBE40:OBF40"/>
    <mergeCell ref="OBG40:OBH40"/>
    <mergeCell ref="OBI40:OBJ40"/>
    <mergeCell ref="OBK40:OBL40"/>
    <mergeCell ref="OBM40:OBN40"/>
    <mergeCell ref="OGE40:OGF40"/>
    <mergeCell ref="OGG40:OGH40"/>
    <mergeCell ref="OGI40:OGJ40"/>
    <mergeCell ref="OGK40:OGL40"/>
    <mergeCell ref="OGM40:OGN40"/>
    <mergeCell ref="OGO40:OGP40"/>
    <mergeCell ref="OFS40:OFT40"/>
    <mergeCell ref="OFU40:OFV40"/>
    <mergeCell ref="OFW40:OFX40"/>
    <mergeCell ref="OFY40:OFZ40"/>
    <mergeCell ref="OGA40:OGB40"/>
    <mergeCell ref="OGC40:OGD40"/>
    <mergeCell ref="OFG40:OFH40"/>
    <mergeCell ref="OFI40:OFJ40"/>
    <mergeCell ref="OFK40:OFL40"/>
    <mergeCell ref="OFM40:OFN40"/>
    <mergeCell ref="OFO40:OFP40"/>
    <mergeCell ref="OFQ40:OFR40"/>
    <mergeCell ref="OEU40:OEV40"/>
    <mergeCell ref="OEW40:OEX40"/>
    <mergeCell ref="OEY40:OEZ40"/>
    <mergeCell ref="OFA40:OFB40"/>
    <mergeCell ref="OFC40:OFD40"/>
    <mergeCell ref="OFE40:OFF40"/>
    <mergeCell ref="OEI40:OEJ40"/>
    <mergeCell ref="OEK40:OEL40"/>
    <mergeCell ref="OEM40:OEN40"/>
    <mergeCell ref="OEO40:OEP40"/>
    <mergeCell ref="OEQ40:OER40"/>
    <mergeCell ref="OES40:OET40"/>
    <mergeCell ref="ODW40:ODX40"/>
    <mergeCell ref="ODY40:ODZ40"/>
    <mergeCell ref="OEA40:OEB40"/>
    <mergeCell ref="OEC40:OED40"/>
    <mergeCell ref="OEE40:OEF40"/>
    <mergeCell ref="OEG40:OEH40"/>
    <mergeCell ref="OIY40:OIZ40"/>
    <mergeCell ref="OJA40:OJB40"/>
    <mergeCell ref="OJC40:OJD40"/>
    <mergeCell ref="OJE40:OJF40"/>
    <mergeCell ref="OJG40:OJH40"/>
    <mergeCell ref="OJI40:OJJ40"/>
    <mergeCell ref="OIM40:OIN40"/>
    <mergeCell ref="OIO40:OIP40"/>
    <mergeCell ref="OIQ40:OIR40"/>
    <mergeCell ref="OIS40:OIT40"/>
    <mergeCell ref="OIU40:OIV40"/>
    <mergeCell ref="OIW40:OIX40"/>
    <mergeCell ref="OIA40:OIB40"/>
    <mergeCell ref="OIC40:OID40"/>
    <mergeCell ref="OIE40:OIF40"/>
    <mergeCell ref="OIG40:OIH40"/>
    <mergeCell ref="OII40:OIJ40"/>
    <mergeCell ref="OIK40:OIL40"/>
    <mergeCell ref="OHO40:OHP40"/>
    <mergeCell ref="OHQ40:OHR40"/>
    <mergeCell ref="OHS40:OHT40"/>
    <mergeCell ref="OHU40:OHV40"/>
    <mergeCell ref="OHW40:OHX40"/>
    <mergeCell ref="OHY40:OHZ40"/>
    <mergeCell ref="OHC40:OHD40"/>
    <mergeCell ref="OHE40:OHF40"/>
    <mergeCell ref="OHG40:OHH40"/>
    <mergeCell ref="OHI40:OHJ40"/>
    <mergeCell ref="OHK40:OHL40"/>
    <mergeCell ref="OHM40:OHN40"/>
    <mergeCell ref="OGQ40:OGR40"/>
    <mergeCell ref="OGS40:OGT40"/>
    <mergeCell ref="OGU40:OGV40"/>
    <mergeCell ref="OGW40:OGX40"/>
    <mergeCell ref="OGY40:OGZ40"/>
    <mergeCell ref="OHA40:OHB40"/>
    <mergeCell ref="OLS40:OLT40"/>
    <mergeCell ref="OLU40:OLV40"/>
    <mergeCell ref="OLW40:OLX40"/>
    <mergeCell ref="OLY40:OLZ40"/>
    <mergeCell ref="OMA40:OMB40"/>
    <mergeCell ref="OMC40:OMD40"/>
    <mergeCell ref="OLG40:OLH40"/>
    <mergeCell ref="OLI40:OLJ40"/>
    <mergeCell ref="OLK40:OLL40"/>
    <mergeCell ref="OLM40:OLN40"/>
    <mergeCell ref="OLO40:OLP40"/>
    <mergeCell ref="OLQ40:OLR40"/>
    <mergeCell ref="OKU40:OKV40"/>
    <mergeCell ref="OKW40:OKX40"/>
    <mergeCell ref="OKY40:OKZ40"/>
    <mergeCell ref="OLA40:OLB40"/>
    <mergeCell ref="OLC40:OLD40"/>
    <mergeCell ref="OLE40:OLF40"/>
    <mergeCell ref="OKI40:OKJ40"/>
    <mergeCell ref="OKK40:OKL40"/>
    <mergeCell ref="OKM40:OKN40"/>
    <mergeCell ref="OKO40:OKP40"/>
    <mergeCell ref="OKQ40:OKR40"/>
    <mergeCell ref="OKS40:OKT40"/>
    <mergeCell ref="OJW40:OJX40"/>
    <mergeCell ref="OJY40:OJZ40"/>
    <mergeCell ref="OKA40:OKB40"/>
    <mergeCell ref="OKC40:OKD40"/>
    <mergeCell ref="OKE40:OKF40"/>
    <mergeCell ref="OKG40:OKH40"/>
    <mergeCell ref="OJK40:OJL40"/>
    <mergeCell ref="OJM40:OJN40"/>
    <mergeCell ref="OJO40:OJP40"/>
    <mergeCell ref="OJQ40:OJR40"/>
    <mergeCell ref="OJS40:OJT40"/>
    <mergeCell ref="OJU40:OJV40"/>
    <mergeCell ref="OOM40:OON40"/>
    <mergeCell ref="OOO40:OOP40"/>
    <mergeCell ref="OOQ40:OOR40"/>
    <mergeCell ref="OOS40:OOT40"/>
    <mergeCell ref="OOU40:OOV40"/>
    <mergeCell ref="OOW40:OOX40"/>
    <mergeCell ref="OOA40:OOB40"/>
    <mergeCell ref="OOC40:OOD40"/>
    <mergeCell ref="OOE40:OOF40"/>
    <mergeCell ref="OOG40:OOH40"/>
    <mergeCell ref="OOI40:OOJ40"/>
    <mergeCell ref="OOK40:OOL40"/>
    <mergeCell ref="ONO40:ONP40"/>
    <mergeCell ref="ONQ40:ONR40"/>
    <mergeCell ref="ONS40:ONT40"/>
    <mergeCell ref="ONU40:ONV40"/>
    <mergeCell ref="ONW40:ONX40"/>
    <mergeCell ref="ONY40:ONZ40"/>
    <mergeCell ref="ONC40:OND40"/>
    <mergeCell ref="ONE40:ONF40"/>
    <mergeCell ref="ONG40:ONH40"/>
    <mergeCell ref="ONI40:ONJ40"/>
    <mergeCell ref="ONK40:ONL40"/>
    <mergeCell ref="ONM40:ONN40"/>
    <mergeCell ref="OMQ40:OMR40"/>
    <mergeCell ref="OMS40:OMT40"/>
    <mergeCell ref="OMU40:OMV40"/>
    <mergeCell ref="OMW40:OMX40"/>
    <mergeCell ref="OMY40:OMZ40"/>
    <mergeCell ref="ONA40:ONB40"/>
    <mergeCell ref="OME40:OMF40"/>
    <mergeCell ref="OMG40:OMH40"/>
    <mergeCell ref="OMI40:OMJ40"/>
    <mergeCell ref="OMK40:OML40"/>
    <mergeCell ref="OMM40:OMN40"/>
    <mergeCell ref="OMO40:OMP40"/>
    <mergeCell ref="ORG40:ORH40"/>
    <mergeCell ref="ORI40:ORJ40"/>
    <mergeCell ref="ORK40:ORL40"/>
    <mergeCell ref="ORM40:ORN40"/>
    <mergeCell ref="ORO40:ORP40"/>
    <mergeCell ref="ORQ40:ORR40"/>
    <mergeCell ref="OQU40:OQV40"/>
    <mergeCell ref="OQW40:OQX40"/>
    <mergeCell ref="OQY40:OQZ40"/>
    <mergeCell ref="ORA40:ORB40"/>
    <mergeCell ref="ORC40:ORD40"/>
    <mergeCell ref="ORE40:ORF40"/>
    <mergeCell ref="OQI40:OQJ40"/>
    <mergeCell ref="OQK40:OQL40"/>
    <mergeCell ref="OQM40:OQN40"/>
    <mergeCell ref="OQO40:OQP40"/>
    <mergeCell ref="OQQ40:OQR40"/>
    <mergeCell ref="OQS40:OQT40"/>
    <mergeCell ref="OPW40:OPX40"/>
    <mergeCell ref="OPY40:OPZ40"/>
    <mergeCell ref="OQA40:OQB40"/>
    <mergeCell ref="OQC40:OQD40"/>
    <mergeCell ref="OQE40:OQF40"/>
    <mergeCell ref="OQG40:OQH40"/>
    <mergeCell ref="OPK40:OPL40"/>
    <mergeCell ref="OPM40:OPN40"/>
    <mergeCell ref="OPO40:OPP40"/>
    <mergeCell ref="OPQ40:OPR40"/>
    <mergeCell ref="OPS40:OPT40"/>
    <mergeCell ref="OPU40:OPV40"/>
    <mergeCell ref="OOY40:OOZ40"/>
    <mergeCell ref="OPA40:OPB40"/>
    <mergeCell ref="OPC40:OPD40"/>
    <mergeCell ref="OPE40:OPF40"/>
    <mergeCell ref="OPG40:OPH40"/>
    <mergeCell ref="OPI40:OPJ40"/>
    <mergeCell ref="OUA40:OUB40"/>
    <mergeCell ref="OUC40:OUD40"/>
    <mergeCell ref="OUE40:OUF40"/>
    <mergeCell ref="OUG40:OUH40"/>
    <mergeCell ref="OUI40:OUJ40"/>
    <mergeCell ref="OUK40:OUL40"/>
    <mergeCell ref="OTO40:OTP40"/>
    <mergeCell ref="OTQ40:OTR40"/>
    <mergeCell ref="OTS40:OTT40"/>
    <mergeCell ref="OTU40:OTV40"/>
    <mergeCell ref="OTW40:OTX40"/>
    <mergeCell ref="OTY40:OTZ40"/>
    <mergeCell ref="OTC40:OTD40"/>
    <mergeCell ref="OTE40:OTF40"/>
    <mergeCell ref="OTG40:OTH40"/>
    <mergeCell ref="OTI40:OTJ40"/>
    <mergeCell ref="OTK40:OTL40"/>
    <mergeCell ref="OTM40:OTN40"/>
    <mergeCell ref="OSQ40:OSR40"/>
    <mergeCell ref="OSS40:OST40"/>
    <mergeCell ref="OSU40:OSV40"/>
    <mergeCell ref="OSW40:OSX40"/>
    <mergeCell ref="OSY40:OSZ40"/>
    <mergeCell ref="OTA40:OTB40"/>
    <mergeCell ref="OSE40:OSF40"/>
    <mergeCell ref="OSG40:OSH40"/>
    <mergeCell ref="OSI40:OSJ40"/>
    <mergeCell ref="OSK40:OSL40"/>
    <mergeCell ref="OSM40:OSN40"/>
    <mergeCell ref="OSO40:OSP40"/>
    <mergeCell ref="ORS40:ORT40"/>
    <mergeCell ref="ORU40:ORV40"/>
    <mergeCell ref="ORW40:ORX40"/>
    <mergeCell ref="ORY40:ORZ40"/>
    <mergeCell ref="OSA40:OSB40"/>
    <mergeCell ref="OSC40:OSD40"/>
    <mergeCell ref="OWU40:OWV40"/>
    <mergeCell ref="OWW40:OWX40"/>
    <mergeCell ref="OWY40:OWZ40"/>
    <mergeCell ref="OXA40:OXB40"/>
    <mergeCell ref="OXC40:OXD40"/>
    <mergeCell ref="OXE40:OXF40"/>
    <mergeCell ref="OWI40:OWJ40"/>
    <mergeCell ref="OWK40:OWL40"/>
    <mergeCell ref="OWM40:OWN40"/>
    <mergeCell ref="OWO40:OWP40"/>
    <mergeCell ref="OWQ40:OWR40"/>
    <mergeCell ref="OWS40:OWT40"/>
    <mergeCell ref="OVW40:OVX40"/>
    <mergeCell ref="OVY40:OVZ40"/>
    <mergeCell ref="OWA40:OWB40"/>
    <mergeCell ref="OWC40:OWD40"/>
    <mergeCell ref="OWE40:OWF40"/>
    <mergeCell ref="OWG40:OWH40"/>
    <mergeCell ref="OVK40:OVL40"/>
    <mergeCell ref="OVM40:OVN40"/>
    <mergeCell ref="OVO40:OVP40"/>
    <mergeCell ref="OVQ40:OVR40"/>
    <mergeCell ref="OVS40:OVT40"/>
    <mergeCell ref="OVU40:OVV40"/>
    <mergeCell ref="OUY40:OUZ40"/>
    <mergeCell ref="OVA40:OVB40"/>
    <mergeCell ref="OVC40:OVD40"/>
    <mergeCell ref="OVE40:OVF40"/>
    <mergeCell ref="OVG40:OVH40"/>
    <mergeCell ref="OVI40:OVJ40"/>
    <mergeCell ref="OUM40:OUN40"/>
    <mergeCell ref="OUO40:OUP40"/>
    <mergeCell ref="OUQ40:OUR40"/>
    <mergeCell ref="OUS40:OUT40"/>
    <mergeCell ref="OUU40:OUV40"/>
    <mergeCell ref="OUW40:OUX40"/>
    <mergeCell ref="OZO40:OZP40"/>
    <mergeCell ref="OZQ40:OZR40"/>
    <mergeCell ref="OZS40:OZT40"/>
    <mergeCell ref="OZU40:OZV40"/>
    <mergeCell ref="OZW40:OZX40"/>
    <mergeCell ref="OZY40:OZZ40"/>
    <mergeCell ref="OZC40:OZD40"/>
    <mergeCell ref="OZE40:OZF40"/>
    <mergeCell ref="OZG40:OZH40"/>
    <mergeCell ref="OZI40:OZJ40"/>
    <mergeCell ref="OZK40:OZL40"/>
    <mergeCell ref="OZM40:OZN40"/>
    <mergeCell ref="OYQ40:OYR40"/>
    <mergeCell ref="OYS40:OYT40"/>
    <mergeCell ref="OYU40:OYV40"/>
    <mergeCell ref="OYW40:OYX40"/>
    <mergeCell ref="OYY40:OYZ40"/>
    <mergeCell ref="OZA40:OZB40"/>
    <mergeCell ref="OYE40:OYF40"/>
    <mergeCell ref="OYG40:OYH40"/>
    <mergeCell ref="OYI40:OYJ40"/>
    <mergeCell ref="OYK40:OYL40"/>
    <mergeCell ref="OYM40:OYN40"/>
    <mergeCell ref="OYO40:OYP40"/>
    <mergeCell ref="OXS40:OXT40"/>
    <mergeCell ref="OXU40:OXV40"/>
    <mergeCell ref="OXW40:OXX40"/>
    <mergeCell ref="OXY40:OXZ40"/>
    <mergeCell ref="OYA40:OYB40"/>
    <mergeCell ref="OYC40:OYD40"/>
    <mergeCell ref="OXG40:OXH40"/>
    <mergeCell ref="OXI40:OXJ40"/>
    <mergeCell ref="OXK40:OXL40"/>
    <mergeCell ref="OXM40:OXN40"/>
    <mergeCell ref="OXO40:OXP40"/>
    <mergeCell ref="OXQ40:OXR40"/>
    <mergeCell ref="PCI40:PCJ40"/>
    <mergeCell ref="PCK40:PCL40"/>
    <mergeCell ref="PCM40:PCN40"/>
    <mergeCell ref="PCO40:PCP40"/>
    <mergeCell ref="PCQ40:PCR40"/>
    <mergeCell ref="PCS40:PCT40"/>
    <mergeCell ref="PBW40:PBX40"/>
    <mergeCell ref="PBY40:PBZ40"/>
    <mergeCell ref="PCA40:PCB40"/>
    <mergeCell ref="PCC40:PCD40"/>
    <mergeCell ref="PCE40:PCF40"/>
    <mergeCell ref="PCG40:PCH40"/>
    <mergeCell ref="PBK40:PBL40"/>
    <mergeCell ref="PBM40:PBN40"/>
    <mergeCell ref="PBO40:PBP40"/>
    <mergeCell ref="PBQ40:PBR40"/>
    <mergeCell ref="PBS40:PBT40"/>
    <mergeCell ref="PBU40:PBV40"/>
    <mergeCell ref="PAY40:PAZ40"/>
    <mergeCell ref="PBA40:PBB40"/>
    <mergeCell ref="PBC40:PBD40"/>
    <mergeCell ref="PBE40:PBF40"/>
    <mergeCell ref="PBG40:PBH40"/>
    <mergeCell ref="PBI40:PBJ40"/>
    <mergeCell ref="PAM40:PAN40"/>
    <mergeCell ref="PAO40:PAP40"/>
    <mergeCell ref="PAQ40:PAR40"/>
    <mergeCell ref="PAS40:PAT40"/>
    <mergeCell ref="PAU40:PAV40"/>
    <mergeCell ref="PAW40:PAX40"/>
    <mergeCell ref="PAA40:PAB40"/>
    <mergeCell ref="PAC40:PAD40"/>
    <mergeCell ref="PAE40:PAF40"/>
    <mergeCell ref="PAG40:PAH40"/>
    <mergeCell ref="PAI40:PAJ40"/>
    <mergeCell ref="PAK40:PAL40"/>
    <mergeCell ref="PFC40:PFD40"/>
    <mergeCell ref="PFE40:PFF40"/>
    <mergeCell ref="PFG40:PFH40"/>
    <mergeCell ref="PFI40:PFJ40"/>
    <mergeCell ref="PFK40:PFL40"/>
    <mergeCell ref="PFM40:PFN40"/>
    <mergeCell ref="PEQ40:PER40"/>
    <mergeCell ref="PES40:PET40"/>
    <mergeCell ref="PEU40:PEV40"/>
    <mergeCell ref="PEW40:PEX40"/>
    <mergeCell ref="PEY40:PEZ40"/>
    <mergeCell ref="PFA40:PFB40"/>
    <mergeCell ref="PEE40:PEF40"/>
    <mergeCell ref="PEG40:PEH40"/>
    <mergeCell ref="PEI40:PEJ40"/>
    <mergeCell ref="PEK40:PEL40"/>
    <mergeCell ref="PEM40:PEN40"/>
    <mergeCell ref="PEO40:PEP40"/>
    <mergeCell ref="PDS40:PDT40"/>
    <mergeCell ref="PDU40:PDV40"/>
    <mergeCell ref="PDW40:PDX40"/>
    <mergeCell ref="PDY40:PDZ40"/>
    <mergeCell ref="PEA40:PEB40"/>
    <mergeCell ref="PEC40:PED40"/>
    <mergeCell ref="PDG40:PDH40"/>
    <mergeCell ref="PDI40:PDJ40"/>
    <mergeCell ref="PDK40:PDL40"/>
    <mergeCell ref="PDM40:PDN40"/>
    <mergeCell ref="PDO40:PDP40"/>
    <mergeCell ref="PDQ40:PDR40"/>
    <mergeCell ref="PCU40:PCV40"/>
    <mergeCell ref="PCW40:PCX40"/>
    <mergeCell ref="PCY40:PCZ40"/>
    <mergeCell ref="PDA40:PDB40"/>
    <mergeCell ref="PDC40:PDD40"/>
    <mergeCell ref="PDE40:PDF40"/>
    <mergeCell ref="PHW40:PHX40"/>
    <mergeCell ref="PHY40:PHZ40"/>
    <mergeCell ref="PIA40:PIB40"/>
    <mergeCell ref="PIC40:PID40"/>
    <mergeCell ref="PIE40:PIF40"/>
    <mergeCell ref="PIG40:PIH40"/>
    <mergeCell ref="PHK40:PHL40"/>
    <mergeCell ref="PHM40:PHN40"/>
    <mergeCell ref="PHO40:PHP40"/>
    <mergeCell ref="PHQ40:PHR40"/>
    <mergeCell ref="PHS40:PHT40"/>
    <mergeCell ref="PHU40:PHV40"/>
    <mergeCell ref="PGY40:PGZ40"/>
    <mergeCell ref="PHA40:PHB40"/>
    <mergeCell ref="PHC40:PHD40"/>
    <mergeCell ref="PHE40:PHF40"/>
    <mergeCell ref="PHG40:PHH40"/>
    <mergeCell ref="PHI40:PHJ40"/>
    <mergeCell ref="PGM40:PGN40"/>
    <mergeCell ref="PGO40:PGP40"/>
    <mergeCell ref="PGQ40:PGR40"/>
    <mergeCell ref="PGS40:PGT40"/>
    <mergeCell ref="PGU40:PGV40"/>
    <mergeCell ref="PGW40:PGX40"/>
    <mergeCell ref="PGA40:PGB40"/>
    <mergeCell ref="PGC40:PGD40"/>
    <mergeCell ref="PGE40:PGF40"/>
    <mergeCell ref="PGG40:PGH40"/>
    <mergeCell ref="PGI40:PGJ40"/>
    <mergeCell ref="PGK40:PGL40"/>
    <mergeCell ref="PFO40:PFP40"/>
    <mergeCell ref="PFQ40:PFR40"/>
    <mergeCell ref="PFS40:PFT40"/>
    <mergeCell ref="PFU40:PFV40"/>
    <mergeCell ref="PFW40:PFX40"/>
    <mergeCell ref="PFY40:PFZ40"/>
    <mergeCell ref="PKQ40:PKR40"/>
    <mergeCell ref="PKS40:PKT40"/>
    <mergeCell ref="PKU40:PKV40"/>
    <mergeCell ref="PKW40:PKX40"/>
    <mergeCell ref="PKY40:PKZ40"/>
    <mergeCell ref="PLA40:PLB40"/>
    <mergeCell ref="PKE40:PKF40"/>
    <mergeCell ref="PKG40:PKH40"/>
    <mergeCell ref="PKI40:PKJ40"/>
    <mergeCell ref="PKK40:PKL40"/>
    <mergeCell ref="PKM40:PKN40"/>
    <mergeCell ref="PKO40:PKP40"/>
    <mergeCell ref="PJS40:PJT40"/>
    <mergeCell ref="PJU40:PJV40"/>
    <mergeCell ref="PJW40:PJX40"/>
    <mergeCell ref="PJY40:PJZ40"/>
    <mergeCell ref="PKA40:PKB40"/>
    <mergeCell ref="PKC40:PKD40"/>
    <mergeCell ref="PJG40:PJH40"/>
    <mergeCell ref="PJI40:PJJ40"/>
    <mergeCell ref="PJK40:PJL40"/>
    <mergeCell ref="PJM40:PJN40"/>
    <mergeCell ref="PJO40:PJP40"/>
    <mergeCell ref="PJQ40:PJR40"/>
    <mergeCell ref="PIU40:PIV40"/>
    <mergeCell ref="PIW40:PIX40"/>
    <mergeCell ref="PIY40:PIZ40"/>
    <mergeCell ref="PJA40:PJB40"/>
    <mergeCell ref="PJC40:PJD40"/>
    <mergeCell ref="PJE40:PJF40"/>
    <mergeCell ref="PII40:PIJ40"/>
    <mergeCell ref="PIK40:PIL40"/>
    <mergeCell ref="PIM40:PIN40"/>
    <mergeCell ref="PIO40:PIP40"/>
    <mergeCell ref="PIQ40:PIR40"/>
    <mergeCell ref="PIS40:PIT40"/>
    <mergeCell ref="PNK40:PNL40"/>
    <mergeCell ref="PNM40:PNN40"/>
    <mergeCell ref="PNO40:PNP40"/>
    <mergeCell ref="PNQ40:PNR40"/>
    <mergeCell ref="PNS40:PNT40"/>
    <mergeCell ref="PNU40:PNV40"/>
    <mergeCell ref="PMY40:PMZ40"/>
    <mergeCell ref="PNA40:PNB40"/>
    <mergeCell ref="PNC40:PND40"/>
    <mergeCell ref="PNE40:PNF40"/>
    <mergeCell ref="PNG40:PNH40"/>
    <mergeCell ref="PNI40:PNJ40"/>
    <mergeCell ref="PMM40:PMN40"/>
    <mergeCell ref="PMO40:PMP40"/>
    <mergeCell ref="PMQ40:PMR40"/>
    <mergeCell ref="PMS40:PMT40"/>
    <mergeCell ref="PMU40:PMV40"/>
    <mergeCell ref="PMW40:PMX40"/>
    <mergeCell ref="PMA40:PMB40"/>
    <mergeCell ref="PMC40:PMD40"/>
    <mergeCell ref="PME40:PMF40"/>
    <mergeCell ref="PMG40:PMH40"/>
    <mergeCell ref="PMI40:PMJ40"/>
    <mergeCell ref="PMK40:PML40"/>
    <mergeCell ref="PLO40:PLP40"/>
    <mergeCell ref="PLQ40:PLR40"/>
    <mergeCell ref="PLS40:PLT40"/>
    <mergeCell ref="PLU40:PLV40"/>
    <mergeCell ref="PLW40:PLX40"/>
    <mergeCell ref="PLY40:PLZ40"/>
    <mergeCell ref="PLC40:PLD40"/>
    <mergeCell ref="PLE40:PLF40"/>
    <mergeCell ref="PLG40:PLH40"/>
    <mergeCell ref="PLI40:PLJ40"/>
    <mergeCell ref="PLK40:PLL40"/>
    <mergeCell ref="PLM40:PLN40"/>
    <mergeCell ref="PQE40:PQF40"/>
    <mergeCell ref="PQG40:PQH40"/>
    <mergeCell ref="PQI40:PQJ40"/>
    <mergeCell ref="PQK40:PQL40"/>
    <mergeCell ref="PQM40:PQN40"/>
    <mergeCell ref="PQO40:PQP40"/>
    <mergeCell ref="PPS40:PPT40"/>
    <mergeCell ref="PPU40:PPV40"/>
    <mergeCell ref="PPW40:PPX40"/>
    <mergeCell ref="PPY40:PPZ40"/>
    <mergeCell ref="PQA40:PQB40"/>
    <mergeCell ref="PQC40:PQD40"/>
    <mergeCell ref="PPG40:PPH40"/>
    <mergeCell ref="PPI40:PPJ40"/>
    <mergeCell ref="PPK40:PPL40"/>
    <mergeCell ref="PPM40:PPN40"/>
    <mergeCell ref="PPO40:PPP40"/>
    <mergeCell ref="PPQ40:PPR40"/>
    <mergeCell ref="POU40:POV40"/>
    <mergeCell ref="POW40:POX40"/>
    <mergeCell ref="POY40:POZ40"/>
    <mergeCell ref="PPA40:PPB40"/>
    <mergeCell ref="PPC40:PPD40"/>
    <mergeCell ref="PPE40:PPF40"/>
    <mergeCell ref="POI40:POJ40"/>
    <mergeCell ref="POK40:POL40"/>
    <mergeCell ref="POM40:PON40"/>
    <mergeCell ref="POO40:POP40"/>
    <mergeCell ref="POQ40:POR40"/>
    <mergeCell ref="POS40:POT40"/>
    <mergeCell ref="PNW40:PNX40"/>
    <mergeCell ref="PNY40:PNZ40"/>
    <mergeCell ref="POA40:POB40"/>
    <mergeCell ref="POC40:POD40"/>
    <mergeCell ref="POE40:POF40"/>
    <mergeCell ref="POG40:POH40"/>
    <mergeCell ref="PSY40:PSZ40"/>
    <mergeCell ref="PTA40:PTB40"/>
    <mergeCell ref="PTC40:PTD40"/>
    <mergeCell ref="PTE40:PTF40"/>
    <mergeCell ref="PTG40:PTH40"/>
    <mergeCell ref="PTI40:PTJ40"/>
    <mergeCell ref="PSM40:PSN40"/>
    <mergeCell ref="PSO40:PSP40"/>
    <mergeCell ref="PSQ40:PSR40"/>
    <mergeCell ref="PSS40:PST40"/>
    <mergeCell ref="PSU40:PSV40"/>
    <mergeCell ref="PSW40:PSX40"/>
    <mergeCell ref="PSA40:PSB40"/>
    <mergeCell ref="PSC40:PSD40"/>
    <mergeCell ref="PSE40:PSF40"/>
    <mergeCell ref="PSG40:PSH40"/>
    <mergeCell ref="PSI40:PSJ40"/>
    <mergeCell ref="PSK40:PSL40"/>
    <mergeCell ref="PRO40:PRP40"/>
    <mergeCell ref="PRQ40:PRR40"/>
    <mergeCell ref="PRS40:PRT40"/>
    <mergeCell ref="PRU40:PRV40"/>
    <mergeCell ref="PRW40:PRX40"/>
    <mergeCell ref="PRY40:PRZ40"/>
    <mergeCell ref="PRC40:PRD40"/>
    <mergeCell ref="PRE40:PRF40"/>
    <mergeCell ref="PRG40:PRH40"/>
    <mergeCell ref="PRI40:PRJ40"/>
    <mergeCell ref="PRK40:PRL40"/>
    <mergeCell ref="PRM40:PRN40"/>
    <mergeCell ref="PQQ40:PQR40"/>
    <mergeCell ref="PQS40:PQT40"/>
    <mergeCell ref="PQU40:PQV40"/>
    <mergeCell ref="PQW40:PQX40"/>
    <mergeCell ref="PQY40:PQZ40"/>
    <mergeCell ref="PRA40:PRB40"/>
    <mergeCell ref="PVS40:PVT40"/>
    <mergeCell ref="PVU40:PVV40"/>
    <mergeCell ref="PVW40:PVX40"/>
    <mergeCell ref="PVY40:PVZ40"/>
    <mergeCell ref="PWA40:PWB40"/>
    <mergeCell ref="PWC40:PWD40"/>
    <mergeCell ref="PVG40:PVH40"/>
    <mergeCell ref="PVI40:PVJ40"/>
    <mergeCell ref="PVK40:PVL40"/>
    <mergeCell ref="PVM40:PVN40"/>
    <mergeCell ref="PVO40:PVP40"/>
    <mergeCell ref="PVQ40:PVR40"/>
    <mergeCell ref="PUU40:PUV40"/>
    <mergeCell ref="PUW40:PUX40"/>
    <mergeCell ref="PUY40:PUZ40"/>
    <mergeCell ref="PVA40:PVB40"/>
    <mergeCell ref="PVC40:PVD40"/>
    <mergeCell ref="PVE40:PVF40"/>
    <mergeCell ref="PUI40:PUJ40"/>
    <mergeCell ref="PUK40:PUL40"/>
    <mergeCell ref="PUM40:PUN40"/>
    <mergeCell ref="PUO40:PUP40"/>
    <mergeCell ref="PUQ40:PUR40"/>
    <mergeCell ref="PUS40:PUT40"/>
    <mergeCell ref="PTW40:PTX40"/>
    <mergeCell ref="PTY40:PTZ40"/>
    <mergeCell ref="PUA40:PUB40"/>
    <mergeCell ref="PUC40:PUD40"/>
    <mergeCell ref="PUE40:PUF40"/>
    <mergeCell ref="PUG40:PUH40"/>
    <mergeCell ref="PTK40:PTL40"/>
    <mergeCell ref="PTM40:PTN40"/>
    <mergeCell ref="PTO40:PTP40"/>
    <mergeCell ref="PTQ40:PTR40"/>
    <mergeCell ref="PTS40:PTT40"/>
    <mergeCell ref="PTU40:PTV40"/>
    <mergeCell ref="PYM40:PYN40"/>
    <mergeCell ref="PYO40:PYP40"/>
    <mergeCell ref="PYQ40:PYR40"/>
    <mergeCell ref="PYS40:PYT40"/>
    <mergeCell ref="PYU40:PYV40"/>
    <mergeCell ref="PYW40:PYX40"/>
    <mergeCell ref="PYA40:PYB40"/>
    <mergeCell ref="PYC40:PYD40"/>
    <mergeCell ref="PYE40:PYF40"/>
    <mergeCell ref="PYG40:PYH40"/>
    <mergeCell ref="PYI40:PYJ40"/>
    <mergeCell ref="PYK40:PYL40"/>
    <mergeCell ref="PXO40:PXP40"/>
    <mergeCell ref="PXQ40:PXR40"/>
    <mergeCell ref="PXS40:PXT40"/>
    <mergeCell ref="PXU40:PXV40"/>
    <mergeCell ref="PXW40:PXX40"/>
    <mergeCell ref="PXY40:PXZ40"/>
    <mergeCell ref="PXC40:PXD40"/>
    <mergeCell ref="PXE40:PXF40"/>
    <mergeCell ref="PXG40:PXH40"/>
    <mergeCell ref="PXI40:PXJ40"/>
    <mergeCell ref="PXK40:PXL40"/>
    <mergeCell ref="PXM40:PXN40"/>
    <mergeCell ref="PWQ40:PWR40"/>
    <mergeCell ref="PWS40:PWT40"/>
    <mergeCell ref="PWU40:PWV40"/>
    <mergeCell ref="PWW40:PWX40"/>
    <mergeCell ref="PWY40:PWZ40"/>
    <mergeCell ref="PXA40:PXB40"/>
    <mergeCell ref="PWE40:PWF40"/>
    <mergeCell ref="PWG40:PWH40"/>
    <mergeCell ref="PWI40:PWJ40"/>
    <mergeCell ref="PWK40:PWL40"/>
    <mergeCell ref="PWM40:PWN40"/>
    <mergeCell ref="PWO40:PWP40"/>
    <mergeCell ref="QBG40:QBH40"/>
    <mergeCell ref="QBI40:QBJ40"/>
    <mergeCell ref="QBK40:QBL40"/>
    <mergeCell ref="QBM40:QBN40"/>
    <mergeCell ref="QBO40:QBP40"/>
    <mergeCell ref="QBQ40:QBR40"/>
    <mergeCell ref="QAU40:QAV40"/>
    <mergeCell ref="QAW40:QAX40"/>
    <mergeCell ref="QAY40:QAZ40"/>
    <mergeCell ref="QBA40:QBB40"/>
    <mergeCell ref="QBC40:QBD40"/>
    <mergeCell ref="QBE40:QBF40"/>
    <mergeCell ref="QAI40:QAJ40"/>
    <mergeCell ref="QAK40:QAL40"/>
    <mergeCell ref="QAM40:QAN40"/>
    <mergeCell ref="QAO40:QAP40"/>
    <mergeCell ref="QAQ40:QAR40"/>
    <mergeCell ref="QAS40:QAT40"/>
    <mergeCell ref="PZW40:PZX40"/>
    <mergeCell ref="PZY40:PZZ40"/>
    <mergeCell ref="QAA40:QAB40"/>
    <mergeCell ref="QAC40:QAD40"/>
    <mergeCell ref="QAE40:QAF40"/>
    <mergeCell ref="QAG40:QAH40"/>
    <mergeCell ref="PZK40:PZL40"/>
    <mergeCell ref="PZM40:PZN40"/>
    <mergeCell ref="PZO40:PZP40"/>
    <mergeCell ref="PZQ40:PZR40"/>
    <mergeCell ref="PZS40:PZT40"/>
    <mergeCell ref="PZU40:PZV40"/>
    <mergeCell ref="PYY40:PYZ40"/>
    <mergeCell ref="PZA40:PZB40"/>
    <mergeCell ref="PZC40:PZD40"/>
    <mergeCell ref="PZE40:PZF40"/>
    <mergeCell ref="PZG40:PZH40"/>
    <mergeCell ref="PZI40:PZJ40"/>
    <mergeCell ref="QEA40:QEB40"/>
    <mergeCell ref="QEC40:QED40"/>
    <mergeCell ref="QEE40:QEF40"/>
    <mergeCell ref="QEG40:QEH40"/>
    <mergeCell ref="QEI40:QEJ40"/>
    <mergeCell ref="QEK40:QEL40"/>
    <mergeCell ref="QDO40:QDP40"/>
    <mergeCell ref="QDQ40:QDR40"/>
    <mergeCell ref="QDS40:QDT40"/>
    <mergeCell ref="QDU40:QDV40"/>
    <mergeCell ref="QDW40:QDX40"/>
    <mergeCell ref="QDY40:QDZ40"/>
    <mergeCell ref="QDC40:QDD40"/>
    <mergeCell ref="QDE40:QDF40"/>
    <mergeCell ref="QDG40:QDH40"/>
    <mergeCell ref="QDI40:QDJ40"/>
    <mergeCell ref="QDK40:QDL40"/>
    <mergeCell ref="QDM40:QDN40"/>
    <mergeCell ref="QCQ40:QCR40"/>
    <mergeCell ref="QCS40:QCT40"/>
    <mergeCell ref="QCU40:QCV40"/>
    <mergeCell ref="QCW40:QCX40"/>
    <mergeCell ref="QCY40:QCZ40"/>
    <mergeCell ref="QDA40:QDB40"/>
    <mergeCell ref="QCE40:QCF40"/>
    <mergeCell ref="QCG40:QCH40"/>
    <mergeCell ref="QCI40:QCJ40"/>
    <mergeCell ref="QCK40:QCL40"/>
    <mergeCell ref="QCM40:QCN40"/>
    <mergeCell ref="QCO40:QCP40"/>
    <mergeCell ref="QBS40:QBT40"/>
    <mergeCell ref="QBU40:QBV40"/>
    <mergeCell ref="QBW40:QBX40"/>
    <mergeCell ref="QBY40:QBZ40"/>
    <mergeCell ref="QCA40:QCB40"/>
    <mergeCell ref="QCC40:QCD40"/>
    <mergeCell ref="QGU40:QGV40"/>
    <mergeCell ref="QGW40:QGX40"/>
    <mergeCell ref="QGY40:QGZ40"/>
    <mergeCell ref="QHA40:QHB40"/>
    <mergeCell ref="QHC40:QHD40"/>
    <mergeCell ref="QHE40:QHF40"/>
    <mergeCell ref="QGI40:QGJ40"/>
    <mergeCell ref="QGK40:QGL40"/>
    <mergeCell ref="QGM40:QGN40"/>
    <mergeCell ref="QGO40:QGP40"/>
    <mergeCell ref="QGQ40:QGR40"/>
    <mergeCell ref="QGS40:QGT40"/>
    <mergeCell ref="QFW40:QFX40"/>
    <mergeCell ref="QFY40:QFZ40"/>
    <mergeCell ref="QGA40:QGB40"/>
    <mergeCell ref="QGC40:QGD40"/>
    <mergeCell ref="QGE40:QGF40"/>
    <mergeCell ref="QGG40:QGH40"/>
    <mergeCell ref="QFK40:QFL40"/>
    <mergeCell ref="QFM40:QFN40"/>
    <mergeCell ref="QFO40:QFP40"/>
    <mergeCell ref="QFQ40:QFR40"/>
    <mergeCell ref="QFS40:QFT40"/>
    <mergeCell ref="QFU40:QFV40"/>
    <mergeCell ref="QEY40:QEZ40"/>
    <mergeCell ref="QFA40:QFB40"/>
    <mergeCell ref="QFC40:QFD40"/>
    <mergeCell ref="QFE40:QFF40"/>
    <mergeCell ref="QFG40:QFH40"/>
    <mergeCell ref="QFI40:QFJ40"/>
    <mergeCell ref="QEM40:QEN40"/>
    <mergeCell ref="QEO40:QEP40"/>
    <mergeCell ref="QEQ40:QER40"/>
    <mergeCell ref="QES40:QET40"/>
    <mergeCell ref="QEU40:QEV40"/>
    <mergeCell ref="QEW40:QEX40"/>
    <mergeCell ref="QJO40:QJP40"/>
    <mergeCell ref="QJQ40:QJR40"/>
    <mergeCell ref="QJS40:QJT40"/>
    <mergeCell ref="QJU40:QJV40"/>
    <mergeCell ref="QJW40:QJX40"/>
    <mergeCell ref="QJY40:QJZ40"/>
    <mergeCell ref="QJC40:QJD40"/>
    <mergeCell ref="QJE40:QJF40"/>
    <mergeCell ref="QJG40:QJH40"/>
    <mergeCell ref="QJI40:QJJ40"/>
    <mergeCell ref="QJK40:QJL40"/>
    <mergeCell ref="QJM40:QJN40"/>
    <mergeCell ref="QIQ40:QIR40"/>
    <mergeCell ref="QIS40:QIT40"/>
    <mergeCell ref="QIU40:QIV40"/>
    <mergeCell ref="QIW40:QIX40"/>
    <mergeCell ref="QIY40:QIZ40"/>
    <mergeCell ref="QJA40:QJB40"/>
    <mergeCell ref="QIE40:QIF40"/>
    <mergeCell ref="QIG40:QIH40"/>
    <mergeCell ref="QII40:QIJ40"/>
    <mergeCell ref="QIK40:QIL40"/>
    <mergeCell ref="QIM40:QIN40"/>
    <mergeCell ref="QIO40:QIP40"/>
    <mergeCell ref="QHS40:QHT40"/>
    <mergeCell ref="QHU40:QHV40"/>
    <mergeCell ref="QHW40:QHX40"/>
    <mergeCell ref="QHY40:QHZ40"/>
    <mergeCell ref="QIA40:QIB40"/>
    <mergeCell ref="QIC40:QID40"/>
    <mergeCell ref="QHG40:QHH40"/>
    <mergeCell ref="QHI40:QHJ40"/>
    <mergeCell ref="QHK40:QHL40"/>
    <mergeCell ref="QHM40:QHN40"/>
    <mergeCell ref="QHO40:QHP40"/>
    <mergeCell ref="QHQ40:QHR40"/>
    <mergeCell ref="QMI40:QMJ40"/>
    <mergeCell ref="QMK40:QML40"/>
    <mergeCell ref="QMM40:QMN40"/>
    <mergeCell ref="QMO40:QMP40"/>
    <mergeCell ref="QMQ40:QMR40"/>
    <mergeCell ref="QMS40:QMT40"/>
    <mergeCell ref="QLW40:QLX40"/>
    <mergeCell ref="QLY40:QLZ40"/>
    <mergeCell ref="QMA40:QMB40"/>
    <mergeCell ref="QMC40:QMD40"/>
    <mergeCell ref="QME40:QMF40"/>
    <mergeCell ref="QMG40:QMH40"/>
    <mergeCell ref="QLK40:QLL40"/>
    <mergeCell ref="QLM40:QLN40"/>
    <mergeCell ref="QLO40:QLP40"/>
    <mergeCell ref="QLQ40:QLR40"/>
    <mergeCell ref="QLS40:QLT40"/>
    <mergeCell ref="QLU40:QLV40"/>
    <mergeCell ref="QKY40:QKZ40"/>
    <mergeCell ref="QLA40:QLB40"/>
    <mergeCell ref="QLC40:QLD40"/>
    <mergeCell ref="QLE40:QLF40"/>
    <mergeCell ref="QLG40:QLH40"/>
    <mergeCell ref="QLI40:QLJ40"/>
    <mergeCell ref="QKM40:QKN40"/>
    <mergeCell ref="QKO40:QKP40"/>
    <mergeCell ref="QKQ40:QKR40"/>
    <mergeCell ref="QKS40:QKT40"/>
    <mergeCell ref="QKU40:QKV40"/>
    <mergeCell ref="QKW40:QKX40"/>
    <mergeCell ref="QKA40:QKB40"/>
    <mergeCell ref="QKC40:QKD40"/>
    <mergeCell ref="QKE40:QKF40"/>
    <mergeCell ref="QKG40:QKH40"/>
    <mergeCell ref="QKI40:QKJ40"/>
    <mergeCell ref="QKK40:QKL40"/>
    <mergeCell ref="QPC40:QPD40"/>
    <mergeCell ref="QPE40:QPF40"/>
    <mergeCell ref="QPG40:QPH40"/>
    <mergeCell ref="QPI40:QPJ40"/>
    <mergeCell ref="QPK40:QPL40"/>
    <mergeCell ref="QPM40:QPN40"/>
    <mergeCell ref="QOQ40:QOR40"/>
    <mergeCell ref="QOS40:QOT40"/>
    <mergeCell ref="QOU40:QOV40"/>
    <mergeCell ref="QOW40:QOX40"/>
    <mergeCell ref="QOY40:QOZ40"/>
    <mergeCell ref="QPA40:QPB40"/>
    <mergeCell ref="QOE40:QOF40"/>
    <mergeCell ref="QOG40:QOH40"/>
    <mergeCell ref="QOI40:QOJ40"/>
    <mergeCell ref="QOK40:QOL40"/>
    <mergeCell ref="QOM40:QON40"/>
    <mergeCell ref="QOO40:QOP40"/>
    <mergeCell ref="QNS40:QNT40"/>
    <mergeCell ref="QNU40:QNV40"/>
    <mergeCell ref="QNW40:QNX40"/>
    <mergeCell ref="QNY40:QNZ40"/>
    <mergeCell ref="QOA40:QOB40"/>
    <mergeCell ref="QOC40:QOD40"/>
    <mergeCell ref="QNG40:QNH40"/>
    <mergeCell ref="QNI40:QNJ40"/>
    <mergeCell ref="QNK40:QNL40"/>
    <mergeCell ref="QNM40:QNN40"/>
    <mergeCell ref="QNO40:QNP40"/>
    <mergeCell ref="QNQ40:QNR40"/>
    <mergeCell ref="QMU40:QMV40"/>
    <mergeCell ref="QMW40:QMX40"/>
    <mergeCell ref="QMY40:QMZ40"/>
    <mergeCell ref="QNA40:QNB40"/>
    <mergeCell ref="QNC40:QND40"/>
    <mergeCell ref="QNE40:QNF40"/>
    <mergeCell ref="QRW40:QRX40"/>
    <mergeCell ref="QRY40:QRZ40"/>
    <mergeCell ref="QSA40:QSB40"/>
    <mergeCell ref="QSC40:QSD40"/>
    <mergeCell ref="QSE40:QSF40"/>
    <mergeCell ref="QSG40:QSH40"/>
    <mergeCell ref="QRK40:QRL40"/>
    <mergeCell ref="QRM40:QRN40"/>
    <mergeCell ref="QRO40:QRP40"/>
    <mergeCell ref="QRQ40:QRR40"/>
    <mergeCell ref="QRS40:QRT40"/>
    <mergeCell ref="QRU40:QRV40"/>
    <mergeCell ref="QQY40:QQZ40"/>
    <mergeCell ref="QRA40:QRB40"/>
    <mergeCell ref="QRC40:QRD40"/>
    <mergeCell ref="QRE40:QRF40"/>
    <mergeCell ref="QRG40:QRH40"/>
    <mergeCell ref="QRI40:QRJ40"/>
    <mergeCell ref="QQM40:QQN40"/>
    <mergeCell ref="QQO40:QQP40"/>
    <mergeCell ref="QQQ40:QQR40"/>
    <mergeCell ref="QQS40:QQT40"/>
    <mergeCell ref="QQU40:QQV40"/>
    <mergeCell ref="QQW40:QQX40"/>
    <mergeCell ref="QQA40:QQB40"/>
    <mergeCell ref="QQC40:QQD40"/>
    <mergeCell ref="QQE40:QQF40"/>
    <mergeCell ref="QQG40:QQH40"/>
    <mergeCell ref="QQI40:QQJ40"/>
    <mergeCell ref="QQK40:QQL40"/>
    <mergeCell ref="QPO40:QPP40"/>
    <mergeCell ref="QPQ40:QPR40"/>
    <mergeCell ref="QPS40:QPT40"/>
    <mergeCell ref="QPU40:QPV40"/>
    <mergeCell ref="QPW40:QPX40"/>
    <mergeCell ref="QPY40:QPZ40"/>
    <mergeCell ref="QUQ40:QUR40"/>
    <mergeCell ref="QUS40:QUT40"/>
    <mergeCell ref="QUU40:QUV40"/>
    <mergeCell ref="QUW40:QUX40"/>
    <mergeCell ref="QUY40:QUZ40"/>
    <mergeCell ref="QVA40:QVB40"/>
    <mergeCell ref="QUE40:QUF40"/>
    <mergeCell ref="QUG40:QUH40"/>
    <mergeCell ref="QUI40:QUJ40"/>
    <mergeCell ref="QUK40:QUL40"/>
    <mergeCell ref="QUM40:QUN40"/>
    <mergeCell ref="QUO40:QUP40"/>
    <mergeCell ref="QTS40:QTT40"/>
    <mergeCell ref="QTU40:QTV40"/>
    <mergeCell ref="QTW40:QTX40"/>
    <mergeCell ref="QTY40:QTZ40"/>
    <mergeCell ref="QUA40:QUB40"/>
    <mergeCell ref="QUC40:QUD40"/>
    <mergeCell ref="QTG40:QTH40"/>
    <mergeCell ref="QTI40:QTJ40"/>
    <mergeCell ref="QTK40:QTL40"/>
    <mergeCell ref="QTM40:QTN40"/>
    <mergeCell ref="QTO40:QTP40"/>
    <mergeCell ref="QTQ40:QTR40"/>
    <mergeCell ref="QSU40:QSV40"/>
    <mergeCell ref="QSW40:QSX40"/>
    <mergeCell ref="QSY40:QSZ40"/>
    <mergeCell ref="QTA40:QTB40"/>
    <mergeCell ref="QTC40:QTD40"/>
    <mergeCell ref="QTE40:QTF40"/>
    <mergeCell ref="QSI40:QSJ40"/>
    <mergeCell ref="QSK40:QSL40"/>
    <mergeCell ref="QSM40:QSN40"/>
    <mergeCell ref="QSO40:QSP40"/>
    <mergeCell ref="QSQ40:QSR40"/>
    <mergeCell ref="QSS40:QST40"/>
    <mergeCell ref="QXK40:QXL40"/>
    <mergeCell ref="QXM40:QXN40"/>
    <mergeCell ref="QXO40:QXP40"/>
    <mergeCell ref="QXQ40:QXR40"/>
    <mergeCell ref="QXS40:QXT40"/>
    <mergeCell ref="QXU40:QXV40"/>
    <mergeCell ref="QWY40:QWZ40"/>
    <mergeCell ref="QXA40:QXB40"/>
    <mergeCell ref="QXC40:QXD40"/>
    <mergeCell ref="QXE40:QXF40"/>
    <mergeCell ref="QXG40:QXH40"/>
    <mergeCell ref="QXI40:QXJ40"/>
    <mergeCell ref="QWM40:QWN40"/>
    <mergeCell ref="QWO40:QWP40"/>
    <mergeCell ref="QWQ40:QWR40"/>
    <mergeCell ref="QWS40:QWT40"/>
    <mergeCell ref="QWU40:QWV40"/>
    <mergeCell ref="QWW40:QWX40"/>
    <mergeCell ref="QWA40:QWB40"/>
    <mergeCell ref="QWC40:QWD40"/>
    <mergeCell ref="QWE40:QWF40"/>
    <mergeCell ref="QWG40:QWH40"/>
    <mergeCell ref="QWI40:QWJ40"/>
    <mergeCell ref="QWK40:QWL40"/>
    <mergeCell ref="QVO40:QVP40"/>
    <mergeCell ref="QVQ40:QVR40"/>
    <mergeCell ref="QVS40:QVT40"/>
    <mergeCell ref="QVU40:QVV40"/>
    <mergeCell ref="QVW40:QVX40"/>
    <mergeCell ref="QVY40:QVZ40"/>
    <mergeCell ref="QVC40:QVD40"/>
    <mergeCell ref="QVE40:QVF40"/>
    <mergeCell ref="QVG40:QVH40"/>
    <mergeCell ref="QVI40:QVJ40"/>
    <mergeCell ref="QVK40:QVL40"/>
    <mergeCell ref="QVM40:QVN40"/>
    <mergeCell ref="RAE40:RAF40"/>
    <mergeCell ref="RAG40:RAH40"/>
    <mergeCell ref="RAI40:RAJ40"/>
    <mergeCell ref="RAK40:RAL40"/>
    <mergeCell ref="RAM40:RAN40"/>
    <mergeCell ref="RAO40:RAP40"/>
    <mergeCell ref="QZS40:QZT40"/>
    <mergeCell ref="QZU40:QZV40"/>
    <mergeCell ref="QZW40:QZX40"/>
    <mergeCell ref="QZY40:QZZ40"/>
    <mergeCell ref="RAA40:RAB40"/>
    <mergeCell ref="RAC40:RAD40"/>
    <mergeCell ref="QZG40:QZH40"/>
    <mergeCell ref="QZI40:QZJ40"/>
    <mergeCell ref="QZK40:QZL40"/>
    <mergeCell ref="QZM40:QZN40"/>
    <mergeCell ref="QZO40:QZP40"/>
    <mergeCell ref="QZQ40:QZR40"/>
    <mergeCell ref="QYU40:QYV40"/>
    <mergeCell ref="QYW40:QYX40"/>
    <mergeCell ref="QYY40:QYZ40"/>
    <mergeCell ref="QZA40:QZB40"/>
    <mergeCell ref="QZC40:QZD40"/>
    <mergeCell ref="QZE40:QZF40"/>
    <mergeCell ref="QYI40:QYJ40"/>
    <mergeCell ref="QYK40:QYL40"/>
    <mergeCell ref="QYM40:QYN40"/>
    <mergeCell ref="QYO40:QYP40"/>
    <mergeCell ref="QYQ40:QYR40"/>
    <mergeCell ref="QYS40:QYT40"/>
    <mergeCell ref="QXW40:QXX40"/>
    <mergeCell ref="QXY40:QXZ40"/>
    <mergeCell ref="QYA40:QYB40"/>
    <mergeCell ref="QYC40:QYD40"/>
    <mergeCell ref="QYE40:QYF40"/>
    <mergeCell ref="QYG40:QYH40"/>
    <mergeCell ref="RCY40:RCZ40"/>
    <mergeCell ref="RDA40:RDB40"/>
    <mergeCell ref="RDC40:RDD40"/>
    <mergeCell ref="RDE40:RDF40"/>
    <mergeCell ref="RDG40:RDH40"/>
    <mergeCell ref="RDI40:RDJ40"/>
    <mergeCell ref="RCM40:RCN40"/>
    <mergeCell ref="RCO40:RCP40"/>
    <mergeCell ref="RCQ40:RCR40"/>
    <mergeCell ref="RCS40:RCT40"/>
    <mergeCell ref="RCU40:RCV40"/>
    <mergeCell ref="RCW40:RCX40"/>
    <mergeCell ref="RCA40:RCB40"/>
    <mergeCell ref="RCC40:RCD40"/>
    <mergeCell ref="RCE40:RCF40"/>
    <mergeCell ref="RCG40:RCH40"/>
    <mergeCell ref="RCI40:RCJ40"/>
    <mergeCell ref="RCK40:RCL40"/>
    <mergeCell ref="RBO40:RBP40"/>
    <mergeCell ref="RBQ40:RBR40"/>
    <mergeCell ref="RBS40:RBT40"/>
    <mergeCell ref="RBU40:RBV40"/>
    <mergeCell ref="RBW40:RBX40"/>
    <mergeCell ref="RBY40:RBZ40"/>
    <mergeCell ref="RBC40:RBD40"/>
    <mergeCell ref="RBE40:RBF40"/>
    <mergeCell ref="RBG40:RBH40"/>
    <mergeCell ref="RBI40:RBJ40"/>
    <mergeCell ref="RBK40:RBL40"/>
    <mergeCell ref="RBM40:RBN40"/>
    <mergeCell ref="RAQ40:RAR40"/>
    <mergeCell ref="RAS40:RAT40"/>
    <mergeCell ref="RAU40:RAV40"/>
    <mergeCell ref="RAW40:RAX40"/>
    <mergeCell ref="RAY40:RAZ40"/>
    <mergeCell ref="RBA40:RBB40"/>
    <mergeCell ref="RFS40:RFT40"/>
    <mergeCell ref="RFU40:RFV40"/>
    <mergeCell ref="RFW40:RFX40"/>
    <mergeCell ref="RFY40:RFZ40"/>
    <mergeCell ref="RGA40:RGB40"/>
    <mergeCell ref="RGC40:RGD40"/>
    <mergeCell ref="RFG40:RFH40"/>
    <mergeCell ref="RFI40:RFJ40"/>
    <mergeCell ref="RFK40:RFL40"/>
    <mergeCell ref="RFM40:RFN40"/>
    <mergeCell ref="RFO40:RFP40"/>
    <mergeCell ref="RFQ40:RFR40"/>
    <mergeCell ref="REU40:REV40"/>
    <mergeCell ref="REW40:REX40"/>
    <mergeCell ref="REY40:REZ40"/>
    <mergeCell ref="RFA40:RFB40"/>
    <mergeCell ref="RFC40:RFD40"/>
    <mergeCell ref="RFE40:RFF40"/>
    <mergeCell ref="REI40:REJ40"/>
    <mergeCell ref="REK40:REL40"/>
    <mergeCell ref="REM40:REN40"/>
    <mergeCell ref="REO40:REP40"/>
    <mergeCell ref="REQ40:RER40"/>
    <mergeCell ref="RES40:RET40"/>
    <mergeCell ref="RDW40:RDX40"/>
    <mergeCell ref="RDY40:RDZ40"/>
    <mergeCell ref="REA40:REB40"/>
    <mergeCell ref="REC40:RED40"/>
    <mergeCell ref="REE40:REF40"/>
    <mergeCell ref="REG40:REH40"/>
    <mergeCell ref="RDK40:RDL40"/>
    <mergeCell ref="RDM40:RDN40"/>
    <mergeCell ref="RDO40:RDP40"/>
    <mergeCell ref="RDQ40:RDR40"/>
    <mergeCell ref="RDS40:RDT40"/>
    <mergeCell ref="RDU40:RDV40"/>
    <mergeCell ref="RIM40:RIN40"/>
    <mergeCell ref="RIO40:RIP40"/>
    <mergeCell ref="RIQ40:RIR40"/>
    <mergeCell ref="RIS40:RIT40"/>
    <mergeCell ref="RIU40:RIV40"/>
    <mergeCell ref="RIW40:RIX40"/>
    <mergeCell ref="RIA40:RIB40"/>
    <mergeCell ref="RIC40:RID40"/>
    <mergeCell ref="RIE40:RIF40"/>
    <mergeCell ref="RIG40:RIH40"/>
    <mergeCell ref="RII40:RIJ40"/>
    <mergeCell ref="RIK40:RIL40"/>
    <mergeCell ref="RHO40:RHP40"/>
    <mergeCell ref="RHQ40:RHR40"/>
    <mergeCell ref="RHS40:RHT40"/>
    <mergeCell ref="RHU40:RHV40"/>
    <mergeCell ref="RHW40:RHX40"/>
    <mergeCell ref="RHY40:RHZ40"/>
    <mergeCell ref="RHC40:RHD40"/>
    <mergeCell ref="RHE40:RHF40"/>
    <mergeCell ref="RHG40:RHH40"/>
    <mergeCell ref="RHI40:RHJ40"/>
    <mergeCell ref="RHK40:RHL40"/>
    <mergeCell ref="RHM40:RHN40"/>
    <mergeCell ref="RGQ40:RGR40"/>
    <mergeCell ref="RGS40:RGT40"/>
    <mergeCell ref="RGU40:RGV40"/>
    <mergeCell ref="RGW40:RGX40"/>
    <mergeCell ref="RGY40:RGZ40"/>
    <mergeCell ref="RHA40:RHB40"/>
    <mergeCell ref="RGE40:RGF40"/>
    <mergeCell ref="RGG40:RGH40"/>
    <mergeCell ref="RGI40:RGJ40"/>
    <mergeCell ref="RGK40:RGL40"/>
    <mergeCell ref="RGM40:RGN40"/>
    <mergeCell ref="RGO40:RGP40"/>
    <mergeCell ref="RLG40:RLH40"/>
    <mergeCell ref="RLI40:RLJ40"/>
    <mergeCell ref="RLK40:RLL40"/>
    <mergeCell ref="RLM40:RLN40"/>
    <mergeCell ref="RLO40:RLP40"/>
    <mergeCell ref="RLQ40:RLR40"/>
    <mergeCell ref="RKU40:RKV40"/>
    <mergeCell ref="RKW40:RKX40"/>
    <mergeCell ref="RKY40:RKZ40"/>
    <mergeCell ref="RLA40:RLB40"/>
    <mergeCell ref="RLC40:RLD40"/>
    <mergeCell ref="RLE40:RLF40"/>
    <mergeCell ref="RKI40:RKJ40"/>
    <mergeCell ref="RKK40:RKL40"/>
    <mergeCell ref="RKM40:RKN40"/>
    <mergeCell ref="RKO40:RKP40"/>
    <mergeCell ref="RKQ40:RKR40"/>
    <mergeCell ref="RKS40:RKT40"/>
    <mergeCell ref="RJW40:RJX40"/>
    <mergeCell ref="RJY40:RJZ40"/>
    <mergeCell ref="RKA40:RKB40"/>
    <mergeCell ref="RKC40:RKD40"/>
    <mergeCell ref="RKE40:RKF40"/>
    <mergeCell ref="RKG40:RKH40"/>
    <mergeCell ref="RJK40:RJL40"/>
    <mergeCell ref="RJM40:RJN40"/>
    <mergeCell ref="RJO40:RJP40"/>
    <mergeCell ref="RJQ40:RJR40"/>
    <mergeCell ref="RJS40:RJT40"/>
    <mergeCell ref="RJU40:RJV40"/>
    <mergeCell ref="RIY40:RIZ40"/>
    <mergeCell ref="RJA40:RJB40"/>
    <mergeCell ref="RJC40:RJD40"/>
    <mergeCell ref="RJE40:RJF40"/>
    <mergeCell ref="RJG40:RJH40"/>
    <mergeCell ref="RJI40:RJJ40"/>
    <mergeCell ref="ROA40:ROB40"/>
    <mergeCell ref="ROC40:ROD40"/>
    <mergeCell ref="ROE40:ROF40"/>
    <mergeCell ref="ROG40:ROH40"/>
    <mergeCell ref="ROI40:ROJ40"/>
    <mergeCell ref="ROK40:ROL40"/>
    <mergeCell ref="RNO40:RNP40"/>
    <mergeCell ref="RNQ40:RNR40"/>
    <mergeCell ref="RNS40:RNT40"/>
    <mergeCell ref="RNU40:RNV40"/>
    <mergeCell ref="RNW40:RNX40"/>
    <mergeCell ref="RNY40:RNZ40"/>
    <mergeCell ref="RNC40:RND40"/>
    <mergeCell ref="RNE40:RNF40"/>
    <mergeCell ref="RNG40:RNH40"/>
    <mergeCell ref="RNI40:RNJ40"/>
    <mergeCell ref="RNK40:RNL40"/>
    <mergeCell ref="RNM40:RNN40"/>
    <mergeCell ref="RMQ40:RMR40"/>
    <mergeCell ref="RMS40:RMT40"/>
    <mergeCell ref="RMU40:RMV40"/>
    <mergeCell ref="RMW40:RMX40"/>
    <mergeCell ref="RMY40:RMZ40"/>
    <mergeCell ref="RNA40:RNB40"/>
    <mergeCell ref="RME40:RMF40"/>
    <mergeCell ref="RMG40:RMH40"/>
    <mergeCell ref="RMI40:RMJ40"/>
    <mergeCell ref="RMK40:RML40"/>
    <mergeCell ref="RMM40:RMN40"/>
    <mergeCell ref="RMO40:RMP40"/>
    <mergeCell ref="RLS40:RLT40"/>
    <mergeCell ref="RLU40:RLV40"/>
    <mergeCell ref="RLW40:RLX40"/>
    <mergeCell ref="RLY40:RLZ40"/>
    <mergeCell ref="RMA40:RMB40"/>
    <mergeCell ref="RMC40:RMD40"/>
    <mergeCell ref="RQU40:RQV40"/>
    <mergeCell ref="RQW40:RQX40"/>
    <mergeCell ref="RQY40:RQZ40"/>
    <mergeCell ref="RRA40:RRB40"/>
    <mergeCell ref="RRC40:RRD40"/>
    <mergeCell ref="RRE40:RRF40"/>
    <mergeCell ref="RQI40:RQJ40"/>
    <mergeCell ref="RQK40:RQL40"/>
    <mergeCell ref="RQM40:RQN40"/>
    <mergeCell ref="RQO40:RQP40"/>
    <mergeCell ref="RQQ40:RQR40"/>
    <mergeCell ref="RQS40:RQT40"/>
    <mergeCell ref="RPW40:RPX40"/>
    <mergeCell ref="RPY40:RPZ40"/>
    <mergeCell ref="RQA40:RQB40"/>
    <mergeCell ref="RQC40:RQD40"/>
    <mergeCell ref="RQE40:RQF40"/>
    <mergeCell ref="RQG40:RQH40"/>
    <mergeCell ref="RPK40:RPL40"/>
    <mergeCell ref="RPM40:RPN40"/>
    <mergeCell ref="RPO40:RPP40"/>
    <mergeCell ref="RPQ40:RPR40"/>
    <mergeCell ref="RPS40:RPT40"/>
    <mergeCell ref="RPU40:RPV40"/>
    <mergeCell ref="ROY40:ROZ40"/>
    <mergeCell ref="RPA40:RPB40"/>
    <mergeCell ref="RPC40:RPD40"/>
    <mergeCell ref="RPE40:RPF40"/>
    <mergeCell ref="RPG40:RPH40"/>
    <mergeCell ref="RPI40:RPJ40"/>
    <mergeCell ref="ROM40:RON40"/>
    <mergeCell ref="ROO40:ROP40"/>
    <mergeCell ref="ROQ40:ROR40"/>
    <mergeCell ref="ROS40:ROT40"/>
    <mergeCell ref="ROU40:ROV40"/>
    <mergeCell ref="ROW40:ROX40"/>
    <mergeCell ref="RTO40:RTP40"/>
    <mergeCell ref="RTQ40:RTR40"/>
    <mergeCell ref="RTS40:RTT40"/>
    <mergeCell ref="RTU40:RTV40"/>
    <mergeCell ref="RTW40:RTX40"/>
    <mergeCell ref="RTY40:RTZ40"/>
    <mergeCell ref="RTC40:RTD40"/>
    <mergeCell ref="RTE40:RTF40"/>
    <mergeCell ref="RTG40:RTH40"/>
    <mergeCell ref="RTI40:RTJ40"/>
    <mergeCell ref="RTK40:RTL40"/>
    <mergeCell ref="RTM40:RTN40"/>
    <mergeCell ref="RSQ40:RSR40"/>
    <mergeCell ref="RSS40:RST40"/>
    <mergeCell ref="RSU40:RSV40"/>
    <mergeCell ref="RSW40:RSX40"/>
    <mergeCell ref="RSY40:RSZ40"/>
    <mergeCell ref="RTA40:RTB40"/>
    <mergeCell ref="RSE40:RSF40"/>
    <mergeCell ref="RSG40:RSH40"/>
    <mergeCell ref="RSI40:RSJ40"/>
    <mergeCell ref="RSK40:RSL40"/>
    <mergeCell ref="RSM40:RSN40"/>
    <mergeCell ref="RSO40:RSP40"/>
    <mergeCell ref="RRS40:RRT40"/>
    <mergeCell ref="RRU40:RRV40"/>
    <mergeCell ref="RRW40:RRX40"/>
    <mergeCell ref="RRY40:RRZ40"/>
    <mergeCell ref="RSA40:RSB40"/>
    <mergeCell ref="RSC40:RSD40"/>
    <mergeCell ref="RRG40:RRH40"/>
    <mergeCell ref="RRI40:RRJ40"/>
    <mergeCell ref="RRK40:RRL40"/>
    <mergeCell ref="RRM40:RRN40"/>
    <mergeCell ref="RRO40:RRP40"/>
    <mergeCell ref="RRQ40:RRR40"/>
    <mergeCell ref="RWI40:RWJ40"/>
    <mergeCell ref="RWK40:RWL40"/>
    <mergeCell ref="RWM40:RWN40"/>
    <mergeCell ref="RWO40:RWP40"/>
    <mergeCell ref="RWQ40:RWR40"/>
    <mergeCell ref="RWS40:RWT40"/>
    <mergeCell ref="RVW40:RVX40"/>
    <mergeCell ref="RVY40:RVZ40"/>
    <mergeCell ref="RWA40:RWB40"/>
    <mergeCell ref="RWC40:RWD40"/>
    <mergeCell ref="RWE40:RWF40"/>
    <mergeCell ref="RWG40:RWH40"/>
    <mergeCell ref="RVK40:RVL40"/>
    <mergeCell ref="RVM40:RVN40"/>
    <mergeCell ref="RVO40:RVP40"/>
    <mergeCell ref="RVQ40:RVR40"/>
    <mergeCell ref="RVS40:RVT40"/>
    <mergeCell ref="RVU40:RVV40"/>
    <mergeCell ref="RUY40:RUZ40"/>
    <mergeCell ref="RVA40:RVB40"/>
    <mergeCell ref="RVC40:RVD40"/>
    <mergeCell ref="RVE40:RVF40"/>
    <mergeCell ref="RVG40:RVH40"/>
    <mergeCell ref="RVI40:RVJ40"/>
    <mergeCell ref="RUM40:RUN40"/>
    <mergeCell ref="RUO40:RUP40"/>
    <mergeCell ref="RUQ40:RUR40"/>
    <mergeCell ref="RUS40:RUT40"/>
    <mergeCell ref="RUU40:RUV40"/>
    <mergeCell ref="RUW40:RUX40"/>
    <mergeCell ref="RUA40:RUB40"/>
    <mergeCell ref="RUC40:RUD40"/>
    <mergeCell ref="RUE40:RUF40"/>
    <mergeCell ref="RUG40:RUH40"/>
    <mergeCell ref="RUI40:RUJ40"/>
    <mergeCell ref="RUK40:RUL40"/>
    <mergeCell ref="RZC40:RZD40"/>
    <mergeCell ref="RZE40:RZF40"/>
    <mergeCell ref="RZG40:RZH40"/>
    <mergeCell ref="RZI40:RZJ40"/>
    <mergeCell ref="RZK40:RZL40"/>
    <mergeCell ref="RZM40:RZN40"/>
    <mergeCell ref="RYQ40:RYR40"/>
    <mergeCell ref="RYS40:RYT40"/>
    <mergeCell ref="RYU40:RYV40"/>
    <mergeCell ref="RYW40:RYX40"/>
    <mergeCell ref="RYY40:RYZ40"/>
    <mergeCell ref="RZA40:RZB40"/>
    <mergeCell ref="RYE40:RYF40"/>
    <mergeCell ref="RYG40:RYH40"/>
    <mergeCell ref="RYI40:RYJ40"/>
    <mergeCell ref="RYK40:RYL40"/>
    <mergeCell ref="RYM40:RYN40"/>
    <mergeCell ref="RYO40:RYP40"/>
    <mergeCell ref="RXS40:RXT40"/>
    <mergeCell ref="RXU40:RXV40"/>
    <mergeCell ref="RXW40:RXX40"/>
    <mergeCell ref="RXY40:RXZ40"/>
    <mergeCell ref="RYA40:RYB40"/>
    <mergeCell ref="RYC40:RYD40"/>
    <mergeCell ref="RXG40:RXH40"/>
    <mergeCell ref="RXI40:RXJ40"/>
    <mergeCell ref="RXK40:RXL40"/>
    <mergeCell ref="RXM40:RXN40"/>
    <mergeCell ref="RXO40:RXP40"/>
    <mergeCell ref="RXQ40:RXR40"/>
    <mergeCell ref="RWU40:RWV40"/>
    <mergeCell ref="RWW40:RWX40"/>
    <mergeCell ref="RWY40:RWZ40"/>
    <mergeCell ref="RXA40:RXB40"/>
    <mergeCell ref="RXC40:RXD40"/>
    <mergeCell ref="RXE40:RXF40"/>
    <mergeCell ref="SBW40:SBX40"/>
    <mergeCell ref="SBY40:SBZ40"/>
    <mergeCell ref="SCA40:SCB40"/>
    <mergeCell ref="SCC40:SCD40"/>
    <mergeCell ref="SCE40:SCF40"/>
    <mergeCell ref="SCG40:SCH40"/>
    <mergeCell ref="SBK40:SBL40"/>
    <mergeCell ref="SBM40:SBN40"/>
    <mergeCell ref="SBO40:SBP40"/>
    <mergeCell ref="SBQ40:SBR40"/>
    <mergeCell ref="SBS40:SBT40"/>
    <mergeCell ref="SBU40:SBV40"/>
    <mergeCell ref="SAY40:SAZ40"/>
    <mergeCell ref="SBA40:SBB40"/>
    <mergeCell ref="SBC40:SBD40"/>
    <mergeCell ref="SBE40:SBF40"/>
    <mergeCell ref="SBG40:SBH40"/>
    <mergeCell ref="SBI40:SBJ40"/>
    <mergeCell ref="SAM40:SAN40"/>
    <mergeCell ref="SAO40:SAP40"/>
    <mergeCell ref="SAQ40:SAR40"/>
    <mergeCell ref="SAS40:SAT40"/>
    <mergeCell ref="SAU40:SAV40"/>
    <mergeCell ref="SAW40:SAX40"/>
    <mergeCell ref="SAA40:SAB40"/>
    <mergeCell ref="SAC40:SAD40"/>
    <mergeCell ref="SAE40:SAF40"/>
    <mergeCell ref="SAG40:SAH40"/>
    <mergeCell ref="SAI40:SAJ40"/>
    <mergeCell ref="SAK40:SAL40"/>
    <mergeCell ref="RZO40:RZP40"/>
    <mergeCell ref="RZQ40:RZR40"/>
    <mergeCell ref="RZS40:RZT40"/>
    <mergeCell ref="RZU40:RZV40"/>
    <mergeCell ref="RZW40:RZX40"/>
    <mergeCell ref="RZY40:RZZ40"/>
    <mergeCell ref="SEQ40:SER40"/>
    <mergeCell ref="SES40:SET40"/>
    <mergeCell ref="SEU40:SEV40"/>
    <mergeCell ref="SEW40:SEX40"/>
    <mergeCell ref="SEY40:SEZ40"/>
    <mergeCell ref="SFA40:SFB40"/>
    <mergeCell ref="SEE40:SEF40"/>
    <mergeCell ref="SEG40:SEH40"/>
    <mergeCell ref="SEI40:SEJ40"/>
    <mergeCell ref="SEK40:SEL40"/>
    <mergeCell ref="SEM40:SEN40"/>
    <mergeCell ref="SEO40:SEP40"/>
    <mergeCell ref="SDS40:SDT40"/>
    <mergeCell ref="SDU40:SDV40"/>
    <mergeCell ref="SDW40:SDX40"/>
    <mergeCell ref="SDY40:SDZ40"/>
    <mergeCell ref="SEA40:SEB40"/>
    <mergeCell ref="SEC40:SED40"/>
    <mergeCell ref="SDG40:SDH40"/>
    <mergeCell ref="SDI40:SDJ40"/>
    <mergeCell ref="SDK40:SDL40"/>
    <mergeCell ref="SDM40:SDN40"/>
    <mergeCell ref="SDO40:SDP40"/>
    <mergeCell ref="SDQ40:SDR40"/>
    <mergeCell ref="SCU40:SCV40"/>
    <mergeCell ref="SCW40:SCX40"/>
    <mergeCell ref="SCY40:SCZ40"/>
    <mergeCell ref="SDA40:SDB40"/>
    <mergeCell ref="SDC40:SDD40"/>
    <mergeCell ref="SDE40:SDF40"/>
    <mergeCell ref="SCI40:SCJ40"/>
    <mergeCell ref="SCK40:SCL40"/>
    <mergeCell ref="SCM40:SCN40"/>
    <mergeCell ref="SCO40:SCP40"/>
    <mergeCell ref="SCQ40:SCR40"/>
    <mergeCell ref="SCS40:SCT40"/>
    <mergeCell ref="SHK40:SHL40"/>
    <mergeCell ref="SHM40:SHN40"/>
    <mergeCell ref="SHO40:SHP40"/>
    <mergeCell ref="SHQ40:SHR40"/>
    <mergeCell ref="SHS40:SHT40"/>
    <mergeCell ref="SHU40:SHV40"/>
    <mergeCell ref="SGY40:SGZ40"/>
    <mergeCell ref="SHA40:SHB40"/>
    <mergeCell ref="SHC40:SHD40"/>
    <mergeCell ref="SHE40:SHF40"/>
    <mergeCell ref="SHG40:SHH40"/>
    <mergeCell ref="SHI40:SHJ40"/>
    <mergeCell ref="SGM40:SGN40"/>
    <mergeCell ref="SGO40:SGP40"/>
    <mergeCell ref="SGQ40:SGR40"/>
    <mergeCell ref="SGS40:SGT40"/>
    <mergeCell ref="SGU40:SGV40"/>
    <mergeCell ref="SGW40:SGX40"/>
    <mergeCell ref="SGA40:SGB40"/>
    <mergeCell ref="SGC40:SGD40"/>
    <mergeCell ref="SGE40:SGF40"/>
    <mergeCell ref="SGG40:SGH40"/>
    <mergeCell ref="SGI40:SGJ40"/>
    <mergeCell ref="SGK40:SGL40"/>
    <mergeCell ref="SFO40:SFP40"/>
    <mergeCell ref="SFQ40:SFR40"/>
    <mergeCell ref="SFS40:SFT40"/>
    <mergeCell ref="SFU40:SFV40"/>
    <mergeCell ref="SFW40:SFX40"/>
    <mergeCell ref="SFY40:SFZ40"/>
    <mergeCell ref="SFC40:SFD40"/>
    <mergeCell ref="SFE40:SFF40"/>
    <mergeCell ref="SFG40:SFH40"/>
    <mergeCell ref="SFI40:SFJ40"/>
    <mergeCell ref="SFK40:SFL40"/>
    <mergeCell ref="SFM40:SFN40"/>
    <mergeCell ref="SKE40:SKF40"/>
    <mergeCell ref="SKG40:SKH40"/>
    <mergeCell ref="SKI40:SKJ40"/>
    <mergeCell ref="SKK40:SKL40"/>
    <mergeCell ref="SKM40:SKN40"/>
    <mergeCell ref="SKO40:SKP40"/>
    <mergeCell ref="SJS40:SJT40"/>
    <mergeCell ref="SJU40:SJV40"/>
    <mergeCell ref="SJW40:SJX40"/>
    <mergeCell ref="SJY40:SJZ40"/>
    <mergeCell ref="SKA40:SKB40"/>
    <mergeCell ref="SKC40:SKD40"/>
    <mergeCell ref="SJG40:SJH40"/>
    <mergeCell ref="SJI40:SJJ40"/>
    <mergeCell ref="SJK40:SJL40"/>
    <mergeCell ref="SJM40:SJN40"/>
    <mergeCell ref="SJO40:SJP40"/>
    <mergeCell ref="SJQ40:SJR40"/>
    <mergeCell ref="SIU40:SIV40"/>
    <mergeCell ref="SIW40:SIX40"/>
    <mergeCell ref="SIY40:SIZ40"/>
    <mergeCell ref="SJA40:SJB40"/>
    <mergeCell ref="SJC40:SJD40"/>
    <mergeCell ref="SJE40:SJF40"/>
    <mergeCell ref="SII40:SIJ40"/>
    <mergeCell ref="SIK40:SIL40"/>
    <mergeCell ref="SIM40:SIN40"/>
    <mergeCell ref="SIO40:SIP40"/>
    <mergeCell ref="SIQ40:SIR40"/>
    <mergeCell ref="SIS40:SIT40"/>
    <mergeCell ref="SHW40:SHX40"/>
    <mergeCell ref="SHY40:SHZ40"/>
    <mergeCell ref="SIA40:SIB40"/>
    <mergeCell ref="SIC40:SID40"/>
    <mergeCell ref="SIE40:SIF40"/>
    <mergeCell ref="SIG40:SIH40"/>
    <mergeCell ref="SMY40:SMZ40"/>
    <mergeCell ref="SNA40:SNB40"/>
    <mergeCell ref="SNC40:SND40"/>
    <mergeCell ref="SNE40:SNF40"/>
    <mergeCell ref="SNG40:SNH40"/>
    <mergeCell ref="SNI40:SNJ40"/>
    <mergeCell ref="SMM40:SMN40"/>
    <mergeCell ref="SMO40:SMP40"/>
    <mergeCell ref="SMQ40:SMR40"/>
    <mergeCell ref="SMS40:SMT40"/>
    <mergeCell ref="SMU40:SMV40"/>
    <mergeCell ref="SMW40:SMX40"/>
    <mergeCell ref="SMA40:SMB40"/>
    <mergeCell ref="SMC40:SMD40"/>
    <mergeCell ref="SME40:SMF40"/>
    <mergeCell ref="SMG40:SMH40"/>
    <mergeCell ref="SMI40:SMJ40"/>
    <mergeCell ref="SMK40:SML40"/>
    <mergeCell ref="SLO40:SLP40"/>
    <mergeCell ref="SLQ40:SLR40"/>
    <mergeCell ref="SLS40:SLT40"/>
    <mergeCell ref="SLU40:SLV40"/>
    <mergeCell ref="SLW40:SLX40"/>
    <mergeCell ref="SLY40:SLZ40"/>
    <mergeCell ref="SLC40:SLD40"/>
    <mergeCell ref="SLE40:SLF40"/>
    <mergeCell ref="SLG40:SLH40"/>
    <mergeCell ref="SLI40:SLJ40"/>
    <mergeCell ref="SLK40:SLL40"/>
    <mergeCell ref="SLM40:SLN40"/>
    <mergeCell ref="SKQ40:SKR40"/>
    <mergeCell ref="SKS40:SKT40"/>
    <mergeCell ref="SKU40:SKV40"/>
    <mergeCell ref="SKW40:SKX40"/>
    <mergeCell ref="SKY40:SKZ40"/>
    <mergeCell ref="SLA40:SLB40"/>
    <mergeCell ref="SPS40:SPT40"/>
    <mergeCell ref="SPU40:SPV40"/>
    <mergeCell ref="SPW40:SPX40"/>
    <mergeCell ref="SPY40:SPZ40"/>
    <mergeCell ref="SQA40:SQB40"/>
    <mergeCell ref="SQC40:SQD40"/>
    <mergeCell ref="SPG40:SPH40"/>
    <mergeCell ref="SPI40:SPJ40"/>
    <mergeCell ref="SPK40:SPL40"/>
    <mergeCell ref="SPM40:SPN40"/>
    <mergeCell ref="SPO40:SPP40"/>
    <mergeCell ref="SPQ40:SPR40"/>
    <mergeCell ref="SOU40:SOV40"/>
    <mergeCell ref="SOW40:SOX40"/>
    <mergeCell ref="SOY40:SOZ40"/>
    <mergeCell ref="SPA40:SPB40"/>
    <mergeCell ref="SPC40:SPD40"/>
    <mergeCell ref="SPE40:SPF40"/>
    <mergeCell ref="SOI40:SOJ40"/>
    <mergeCell ref="SOK40:SOL40"/>
    <mergeCell ref="SOM40:SON40"/>
    <mergeCell ref="SOO40:SOP40"/>
    <mergeCell ref="SOQ40:SOR40"/>
    <mergeCell ref="SOS40:SOT40"/>
    <mergeCell ref="SNW40:SNX40"/>
    <mergeCell ref="SNY40:SNZ40"/>
    <mergeCell ref="SOA40:SOB40"/>
    <mergeCell ref="SOC40:SOD40"/>
    <mergeCell ref="SOE40:SOF40"/>
    <mergeCell ref="SOG40:SOH40"/>
    <mergeCell ref="SNK40:SNL40"/>
    <mergeCell ref="SNM40:SNN40"/>
    <mergeCell ref="SNO40:SNP40"/>
    <mergeCell ref="SNQ40:SNR40"/>
    <mergeCell ref="SNS40:SNT40"/>
    <mergeCell ref="SNU40:SNV40"/>
    <mergeCell ref="SSM40:SSN40"/>
    <mergeCell ref="SSO40:SSP40"/>
    <mergeCell ref="SSQ40:SSR40"/>
    <mergeCell ref="SSS40:SST40"/>
    <mergeCell ref="SSU40:SSV40"/>
    <mergeCell ref="SSW40:SSX40"/>
    <mergeCell ref="SSA40:SSB40"/>
    <mergeCell ref="SSC40:SSD40"/>
    <mergeCell ref="SSE40:SSF40"/>
    <mergeCell ref="SSG40:SSH40"/>
    <mergeCell ref="SSI40:SSJ40"/>
    <mergeCell ref="SSK40:SSL40"/>
    <mergeCell ref="SRO40:SRP40"/>
    <mergeCell ref="SRQ40:SRR40"/>
    <mergeCell ref="SRS40:SRT40"/>
    <mergeCell ref="SRU40:SRV40"/>
    <mergeCell ref="SRW40:SRX40"/>
    <mergeCell ref="SRY40:SRZ40"/>
    <mergeCell ref="SRC40:SRD40"/>
    <mergeCell ref="SRE40:SRF40"/>
    <mergeCell ref="SRG40:SRH40"/>
    <mergeCell ref="SRI40:SRJ40"/>
    <mergeCell ref="SRK40:SRL40"/>
    <mergeCell ref="SRM40:SRN40"/>
    <mergeCell ref="SQQ40:SQR40"/>
    <mergeCell ref="SQS40:SQT40"/>
    <mergeCell ref="SQU40:SQV40"/>
    <mergeCell ref="SQW40:SQX40"/>
    <mergeCell ref="SQY40:SQZ40"/>
    <mergeCell ref="SRA40:SRB40"/>
    <mergeCell ref="SQE40:SQF40"/>
    <mergeCell ref="SQG40:SQH40"/>
    <mergeCell ref="SQI40:SQJ40"/>
    <mergeCell ref="SQK40:SQL40"/>
    <mergeCell ref="SQM40:SQN40"/>
    <mergeCell ref="SQO40:SQP40"/>
    <mergeCell ref="SVG40:SVH40"/>
    <mergeCell ref="SVI40:SVJ40"/>
    <mergeCell ref="SVK40:SVL40"/>
    <mergeCell ref="SVM40:SVN40"/>
    <mergeCell ref="SVO40:SVP40"/>
    <mergeCell ref="SVQ40:SVR40"/>
    <mergeCell ref="SUU40:SUV40"/>
    <mergeCell ref="SUW40:SUX40"/>
    <mergeCell ref="SUY40:SUZ40"/>
    <mergeCell ref="SVA40:SVB40"/>
    <mergeCell ref="SVC40:SVD40"/>
    <mergeCell ref="SVE40:SVF40"/>
    <mergeCell ref="SUI40:SUJ40"/>
    <mergeCell ref="SUK40:SUL40"/>
    <mergeCell ref="SUM40:SUN40"/>
    <mergeCell ref="SUO40:SUP40"/>
    <mergeCell ref="SUQ40:SUR40"/>
    <mergeCell ref="SUS40:SUT40"/>
    <mergeCell ref="STW40:STX40"/>
    <mergeCell ref="STY40:STZ40"/>
    <mergeCell ref="SUA40:SUB40"/>
    <mergeCell ref="SUC40:SUD40"/>
    <mergeCell ref="SUE40:SUF40"/>
    <mergeCell ref="SUG40:SUH40"/>
    <mergeCell ref="STK40:STL40"/>
    <mergeCell ref="STM40:STN40"/>
    <mergeCell ref="STO40:STP40"/>
    <mergeCell ref="STQ40:STR40"/>
    <mergeCell ref="STS40:STT40"/>
    <mergeCell ref="STU40:STV40"/>
    <mergeCell ref="SSY40:SSZ40"/>
    <mergeCell ref="STA40:STB40"/>
    <mergeCell ref="STC40:STD40"/>
    <mergeCell ref="STE40:STF40"/>
    <mergeCell ref="STG40:STH40"/>
    <mergeCell ref="STI40:STJ40"/>
    <mergeCell ref="SYA40:SYB40"/>
    <mergeCell ref="SYC40:SYD40"/>
    <mergeCell ref="SYE40:SYF40"/>
    <mergeCell ref="SYG40:SYH40"/>
    <mergeCell ref="SYI40:SYJ40"/>
    <mergeCell ref="SYK40:SYL40"/>
    <mergeCell ref="SXO40:SXP40"/>
    <mergeCell ref="SXQ40:SXR40"/>
    <mergeCell ref="SXS40:SXT40"/>
    <mergeCell ref="SXU40:SXV40"/>
    <mergeCell ref="SXW40:SXX40"/>
    <mergeCell ref="SXY40:SXZ40"/>
    <mergeCell ref="SXC40:SXD40"/>
    <mergeCell ref="SXE40:SXF40"/>
    <mergeCell ref="SXG40:SXH40"/>
    <mergeCell ref="SXI40:SXJ40"/>
    <mergeCell ref="SXK40:SXL40"/>
    <mergeCell ref="SXM40:SXN40"/>
    <mergeCell ref="SWQ40:SWR40"/>
    <mergeCell ref="SWS40:SWT40"/>
    <mergeCell ref="SWU40:SWV40"/>
    <mergeCell ref="SWW40:SWX40"/>
    <mergeCell ref="SWY40:SWZ40"/>
    <mergeCell ref="SXA40:SXB40"/>
    <mergeCell ref="SWE40:SWF40"/>
    <mergeCell ref="SWG40:SWH40"/>
    <mergeCell ref="SWI40:SWJ40"/>
    <mergeCell ref="SWK40:SWL40"/>
    <mergeCell ref="SWM40:SWN40"/>
    <mergeCell ref="SWO40:SWP40"/>
    <mergeCell ref="SVS40:SVT40"/>
    <mergeCell ref="SVU40:SVV40"/>
    <mergeCell ref="SVW40:SVX40"/>
    <mergeCell ref="SVY40:SVZ40"/>
    <mergeCell ref="SWA40:SWB40"/>
    <mergeCell ref="SWC40:SWD40"/>
    <mergeCell ref="TAU40:TAV40"/>
    <mergeCell ref="TAW40:TAX40"/>
    <mergeCell ref="TAY40:TAZ40"/>
    <mergeCell ref="TBA40:TBB40"/>
    <mergeCell ref="TBC40:TBD40"/>
    <mergeCell ref="TBE40:TBF40"/>
    <mergeCell ref="TAI40:TAJ40"/>
    <mergeCell ref="TAK40:TAL40"/>
    <mergeCell ref="TAM40:TAN40"/>
    <mergeCell ref="TAO40:TAP40"/>
    <mergeCell ref="TAQ40:TAR40"/>
    <mergeCell ref="TAS40:TAT40"/>
    <mergeCell ref="SZW40:SZX40"/>
    <mergeCell ref="SZY40:SZZ40"/>
    <mergeCell ref="TAA40:TAB40"/>
    <mergeCell ref="TAC40:TAD40"/>
    <mergeCell ref="TAE40:TAF40"/>
    <mergeCell ref="TAG40:TAH40"/>
    <mergeCell ref="SZK40:SZL40"/>
    <mergeCell ref="SZM40:SZN40"/>
    <mergeCell ref="SZO40:SZP40"/>
    <mergeCell ref="SZQ40:SZR40"/>
    <mergeCell ref="SZS40:SZT40"/>
    <mergeCell ref="SZU40:SZV40"/>
    <mergeCell ref="SYY40:SYZ40"/>
    <mergeCell ref="SZA40:SZB40"/>
    <mergeCell ref="SZC40:SZD40"/>
    <mergeCell ref="SZE40:SZF40"/>
    <mergeCell ref="SZG40:SZH40"/>
    <mergeCell ref="SZI40:SZJ40"/>
    <mergeCell ref="SYM40:SYN40"/>
    <mergeCell ref="SYO40:SYP40"/>
    <mergeCell ref="SYQ40:SYR40"/>
    <mergeCell ref="SYS40:SYT40"/>
    <mergeCell ref="SYU40:SYV40"/>
    <mergeCell ref="SYW40:SYX40"/>
    <mergeCell ref="TDO40:TDP40"/>
    <mergeCell ref="TDQ40:TDR40"/>
    <mergeCell ref="TDS40:TDT40"/>
    <mergeCell ref="TDU40:TDV40"/>
    <mergeCell ref="TDW40:TDX40"/>
    <mergeCell ref="TDY40:TDZ40"/>
    <mergeCell ref="TDC40:TDD40"/>
    <mergeCell ref="TDE40:TDF40"/>
    <mergeCell ref="TDG40:TDH40"/>
    <mergeCell ref="TDI40:TDJ40"/>
    <mergeCell ref="TDK40:TDL40"/>
    <mergeCell ref="TDM40:TDN40"/>
    <mergeCell ref="TCQ40:TCR40"/>
    <mergeCell ref="TCS40:TCT40"/>
    <mergeCell ref="TCU40:TCV40"/>
    <mergeCell ref="TCW40:TCX40"/>
    <mergeCell ref="TCY40:TCZ40"/>
    <mergeCell ref="TDA40:TDB40"/>
    <mergeCell ref="TCE40:TCF40"/>
    <mergeCell ref="TCG40:TCH40"/>
    <mergeCell ref="TCI40:TCJ40"/>
    <mergeCell ref="TCK40:TCL40"/>
    <mergeCell ref="TCM40:TCN40"/>
    <mergeCell ref="TCO40:TCP40"/>
    <mergeCell ref="TBS40:TBT40"/>
    <mergeCell ref="TBU40:TBV40"/>
    <mergeCell ref="TBW40:TBX40"/>
    <mergeCell ref="TBY40:TBZ40"/>
    <mergeCell ref="TCA40:TCB40"/>
    <mergeCell ref="TCC40:TCD40"/>
    <mergeCell ref="TBG40:TBH40"/>
    <mergeCell ref="TBI40:TBJ40"/>
    <mergeCell ref="TBK40:TBL40"/>
    <mergeCell ref="TBM40:TBN40"/>
    <mergeCell ref="TBO40:TBP40"/>
    <mergeCell ref="TBQ40:TBR40"/>
    <mergeCell ref="TGI40:TGJ40"/>
    <mergeCell ref="TGK40:TGL40"/>
    <mergeCell ref="TGM40:TGN40"/>
    <mergeCell ref="TGO40:TGP40"/>
    <mergeCell ref="TGQ40:TGR40"/>
    <mergeCell ref="TGS40:TGT40"/>
    <mergeCell ref="TFW40:TFX40"/>
    <mergeCell ref="TFY40:TFZ40"/>
    <mergeCell ref="TGA40:TGB40"/>
    <mergeCell ref="TGC40:TGD40"/>
    <mergeCell ref="TGE40:TGF40"/>
    <mergeCell ref="TGG40:TGH40"/>
    <mergeCell ref="TFK40:TFL40"/>
    <mergeCell ref="TFM40:TFN40"/>
    <mergeCell ref="TFO40:TFP40"/>
    <mergeCell ref="TFQ40:TFR40"/>
    <mergeCell ref="TFS40:TFT40"/>
    <mergeCell ref="TFU40:TFV40"/>
    <mergeCell ref="TEY40:TEZ40"/>
    <mergeCell ref="TFA40:TFB40"/>
    <mergeCell ref="TFC40:TFD40"/>
    <mergeCell ref="TFE40:TFF40"/>
    <mergeCell ref="TFG40:TFH40"/>
    <mergeCell ref="TFI40:TFJ40"/>
    <mergeCell ref="TEM40:TEN40"/>
    <mergeCell ref="TEO40:TEP40"/>
    <mergeCell ref="TEQ40:TER40"/>
    <mergeCell ref="TES40:TET40"/>
    <mergeCell ref="TEU40:TEV40"/>
    <mergeCell ref="TEW40:TEX40"/>
    <mergeCell ref="TEA40:TEB40"/>
    <mergeCell ref="TEC40:TED40"/>
    <mergeCell ref="TEE40:TEF40"/>
    <mergeCell ref="TEG40:TEH40"/>
    <mergeCell ref="TEI40:TEJ40"/>
    <mergeCell ref="TEK40:TEL40"/>
    <mergeCell ref="TJC40:TJD40"/>
    <mergeCell ref="TJE40:TJF40"/>
    <mergeCell ref="TJG40:TJH40"/>
    <mergeCell ref="TJI40:TJJ40"/>
    <mergeCell ref="TJK40:TJL40"/>
    <mergeCell ref="TJM40:TJN40"/>
    <mergeCell ref="TIQ40:TIR40"/>
    <mergeCell ref="TIS40:TIT40"/>
    <mergeCell ref="TIU40:TIV40"/>
    <mergeCell ref="TIW40:TIX40"/>
    <mergeCell ref="TIY40:TIZ40"/>
    <mergeCell ref="TJA40:TJB40"/>
    <mergeCell ref="TIE40:TIF40"/>
    <mergeCell ref="TIG40:TIH40"/>
    <mergeCell ref="TII40:TIJ40"/>
    <mergeCell ref="TIK40:TIL40"/>
    <mergeCell ref="TIM40:TIN40"/>
    <mergeCell ref="TIO40:TIP40"/>
    <mergeCell ref="THS40:THT40"/>
    <mergeCell ref="THU40:THV40"/>
    <mergeCell ref="THW40:THX40"/>
    <mergeCell ref="THY40:THZ40"/>
    <mergeCell ref="TIA40:TIB40"/>
    <mergeCell ref="TIC40:TID40"/>
    <mergeCell ref="THG40:THH40"/>
    <mergeCell ref="THI40:THJ40"/>
    <mergeCell ref="THK40:THL40"/>
    <mergeCell ref="THM40:THN40"/>
    <mergeCell ref="THO40:THP40"/>
    <mergeCell ref="THQ40:THR40"/>
    <mergeCell ref="TGU40:TGV40"/>
    <mergeCell ref="TGW40:TGX40"/>
    <mergeCell ref="TGY40:TGZ40"/>
    <mergeCell ref="THA40:THB40"/>
    <mergeCell ref="THC40:THD40"/>
    <mergeCell ref="THE40:THF40"/>
    <mergeCell ref="TLW40:TLX40"/>
    <mergeCell ref="TLY40:TLZ40"/>
    <mergeCell ref="TMA40:TMB40"/>
    <mergeCell ref="TMC40:TMD40"/>
    <mergeCell ref="TME40:TMF40"/>
    <mergeCell ref="TMG40:TMH40"/>
    <mergeCell ref="TLK40:TLL40"/>
    <mergeCell ref="TLM40:TLN40"/>
    <mergeCell ref="TLO40:TLP40"/>
    <mergeCell ref="TLQ40:TLR40"/>
    <mergeCell ref="TLS40:TLT40"/>
    <mergeCell ref="TLU40:TLV40"/>
    <mergeCell ref="TKY40:TKZ40"/>
    <mergeCell ref="TLA40:TLB40"/>
    <mergeCell ref="TLC40:TLD40"/>
    <mergeCell ref="TLE40:TLF40"/>
    <mergeCell ref="TLG40:TLH40"/>
    <mergeCell ref="TLI40:TLJ40"/>
    <mergeCell ref="TKM40:TKN40"/>
    <mergeCell ref="TKO40:TKP40"/>
    <mergeCell ref="TKQ40:TKR40"/>
    <mergeCell ref="TKS40:TKT40"/>
    <mergeCell ref="TKU40:TKV40"/>
    <mergeCell ref="TKW40:TKX40"/>
    <mergeCell ref="TKA40:TKB40"/>
    <mergeCell ref="TKC40:TKD40"/>
    <mergeCell ref="TKE40:TKF40"/>
    <mergeCell ref="TKG40:TKH40"/>
    <mergeCell ref="TKI40:TKJ40"/>
    <mergeCell ref="TKK40:TKL40"/>
    <mergeCell ref="TJO40:TJP40"/>
    <mergeCell ref="TJQ40:TJR40"/>
    <mergeCell ref="TJS40:TJT40"/>
    <mergeCell ref="TJU40:TJV40"/>
    <mergeCell ref="TJW40:TJX40"/>
    <mergeCell ref="TJY40:TJZ40"/>
    <mergeCell ref="TOQ40:TOR40"/>
    <mergeCell ref="TOS40:TOT40"/>
    <mergeCell ref="TOU40:TOV40"/>
    <mergeCell ref="TOW40:TOX40"/>
    <mergeCell ref="TOY40:TOZ40"/>
    <mergeCell ref="TPA40:TPB40"/>
    <mergeCell ref="TOE40:TOF40"/>
    <mergeCell ref="TOG40:TOH40"/>
    <mergeCell ref="TOI40:TOJ40"/>
    <mergeCell ref="TOK40:TOL40"/>
    <mergeCell ref="TOM40:TON40"/>
    <mergeCell ref="TOO40:TOP40"/>
    <mergeCell ref="TNS40:TNT40"/>
    <mergeCell ref="TNU40:TNV40"/>
    <mergeCell ref="TNW40:TNX40"/>
    <mergeCell ref="TNY40:TNZ40"/>
    <mergeCell ref="TOA40:TOB40"/>
    <mergeCell ref="TOC40:TOD40"/>
    <mergeCell ref="TNG40:TNH40"/>
    <mergeCell ref="TNI40:TNJ40"/>
    <mergeCell ref="TNK40:TNL40"/>
    <mergeCell ref="TNM40:TNN40"/>
    <mergeCell ref="TNO40:TNP40"/>
    <mergeCell ref="TNQ40:TNR40"/>
    <mergeCell ref="TMU40:TMV40"/>
    <mergeCell ref="TMW40:TMX40"/>
    <mergeCell ref="TMY40:TMZ40"/>
    <mergeCell ref="TNA40:TNB40"/>
    <mergeCell ref="TNC40:TND40"/>
    <mergeCell ref="TNE40:TNF40"/>
    <mergeCell ref="TMI40:TMJ40"/>
    <mergeCell ref="TMK40:TML40"/>
    <mergeCell ref="TMM40:TMN40"/>
    <mergeCell ref="TMO40:TMP40"/>
    <mergeCell ref="TMQ40:TMR40"/>
    <mergeCell ref="TMS40:TMT40"/>
    <mergeCell ref="TRK40:TRL40"/>
    <mergeCell ref="TRM40:TRN40"/>
    <mergeCell ref="TRO40:TRP40"/>
    <mergeCell ref="TRQ40:TRR40"/>
    <mergeCell ref="TRS40:TRT40"/>
    <mergeCell ref="TRU40:TRV40"/>
    <mergeCell ref="TQY40:TQZ40"/>
    <mergeCell ref="TRA40:TRB40"/>
    <mergeCell ref="TRC40:TRD40"/>
    <mergeCell ref="TRE40:TRF40"/>
    <mergeCell ref="TRG40:TRH40"/>
    <mergeCell ref="TRI40:TRJ40"/>
    <mergeCell ref="TQM40:TQN40"/>
    <mergeCell ref="TQO40:TQP40"/>
    <mergeCell ref="TQQ40:TQR40"/>
    <mergeCell ref="TQS40:TQT40"/>
    <mergeCell ref="TQU40:TQV40"/>
    <mergeCell ref="TQW40:TQX40"/>
    <mergeCell ref="TQA40:TQB40"/>
    <mergeCell ref="TQC40:TQD40"/>
    <mergeCell ref="TQE40:TQF40"/>
    <mergeCell ref="TQG40:TQH40"/>
    <mergeCell ref="TQI40:TQJ40"/>
    <mergeCell ref="TQK40:TQL40"/>
    <mergeCell ref="TPO40:TPP40"/>
    <mergeCell ref="TPQ40:TPR40"/>
    <mergeCell ref="TPS40:TPT40"/>
    <mergeCell ref="TPU40:TPV40"/>
    <mergeCell ref="TPW40:TPX40"/>
    <mergeCell ref="TPY40:TPZ40"/>
    <mergeCell ref="TPC40:TPD40"/>
    <mergeCell ref="TPE40:TPF40"/>
    <mergeCell ref="TPG40:TPH40"/>
    <mergeCell ref="TPI40:TPJ40"/>
    <mergeCell ref="TPK40:TPL40"/>
    <mergeCell ref="TPM40:TPN40"/>
    <mergeCell ref="TUE40:TUF40"/>
    <mergeCell ref="TUG40:TUH40"/>
    <mergeCell ref="TUI40:TUJ40"/>
    <mergeCell ref="TUK40:TUL40"/>
    <mergeCell ref="TUM40:TUN40"/>
    <mergeCell ref="TUO40:TUP40"/>
    <mergeCell ref="TTS40:TTT40"/>
    <mergeCell ref="TTU40:TTV40"/>
    <mergeCell ref="TTW40:TTX40"/>
    <mergeCell ref="TTY40:TTZ40"/>
    <mergeCell ref="TUA40:TUB40"/>
    <mergeCell ref="TUC40:TUD40"/>
    <mergeCell ref="TTG40:TTH40"/>
    <mergeCell ref="TTI40:TTJ40"/>
    <mergeCell ref="TTK40:TTL40"/>
    <mergeCell ref="TTM40:TTN40"/>
    <mergeCell ref="TTO40:TTP40"/>
    <mergeCell ref="TTQ40:TTR40"/>
    <mergeCell ref="TSU40:TSV40"/>
    <mergeCell ref="TSW40:TSX40"/>
    <mergeCell ref="TSY40:TSZ40"/>
    <mergeCell ref="TTA40:TTB40"/>
    <mergeCell ref="TTC40:TTD40"/>
    <mergeCell ref="TTE40:TTF40"/>
    <mergeCell ref="TSI40:TSJ40"/>
    <mergeCell ref="TSK40:TSL40"/>
    <mergeCell ref="TSM40:TSN40"/>
    <mergeCell ref="TSO40:TSP40"/>
    <mergeCell ref="TSQ40:TSR40"/>
    <mergeCell ref="TSS40:TST40"/>
    <mergeCell ref="TRW40:TRX40"/>
    <mergeCell ref="TRY40:TRZ40"/>
    <mergeCell ref="TSA40:TSB40"/>
    <mergeCell ref="TSC40:TSD40"/>
    <mergeCell ref="TSE40:TSF40"/>
    <mergeCell ref="TSG40:TSH40"/>
    <mergeCell ref="TWY40:TWZ40"/>
    <mergeCell ref="TXA40:TXB40"/>
    <mergeCell ref="TXC40:TXD40"/>
    <mergeCell ref="TXE40:TXF40"/>
    <mergeCell ref="TXG40:TXH40"/>
    <mergeCell ref="TXI40:TXJ40"/>
    <mergeCell ref="TWM40:TWN40"/>
    <mergeCell ref="TWO40:TWP40"/>
    <mergeCell ref="TWQ40:TWR40"/>
    <mergeCell ref="TWS40:TWT40"/>
    <mergeCell ref="TWU40:TWV40"/>
    <mergeCell ref="TWW40:TWX40"/>
    <mergeCell ref="TWA40:TWB40"/>
    <mergeCell ref="TWC40:TWD40"/>
    <mergeCell ref="TWE40:TWF40"/>
    <mergeCell ref="TWG40:TWH40"/>
    <mergeCell ref="TWI40:TWJ40"/>
    <mergeCell ref="TWK40:TWL40"/>
    <mergeCell ref="TVO40:TVP40"/>
    <mergeCell ref="TVQ40:TVR40"/>
    <mergeCell ref="TVS40:TVT40"/>
    <mergeCell ref="TVU40:TVV40"/>
    <mergeCell ref="TVW40:TVX40"/>
    <mergeCell ref="TVY40:TVZ40"/>
    <mergeCell ref="TVC40:TVD40"/>
    <mergeCell ref="TVE40:TVF40"/>
    <mergeCell ref="TVG40:TVH40"/>
    <mergeCell ref="TVI40:TVJ40"/>
    <mergeCell ref="TVK40:TVL40"/>
    <mergeCell ref="TVM40:TVN40"/>
    <mergeCell ref="TUQ40:TUR40"/>
    <mergeCell ref="TUS40:TUT40"/>
    <mergeCell ref="TUU40:TUV40"/>
    <mergeCell ref="TUW40:TUX40"/>
    <mergeCell ref="TUY40:TUZ40"/>
    <mergeCell ref="TVA40:TVB40"/>
    <mergeCell ref="TZS40:TZT40"/>
    <mergeCell ref="TZU40:TZV40"/>
    <mergeCell ref="TZW40:TZX40"/>
    <mergeCell ref="TZY40:TZZ40"/>
    <mergeCell ref="UAA40:UAB40"/>
    <mergeCell ref="UAC40:UAD40"/>
    <mergeCell ref="TZG40:TZH40"/>
    <mergeCell ref="TZI40:TZJ40"/>
    <mergeCell ref="TZK40:TZL40"/>
    <mergeCell ref="TZM40:TZN40"/>
    <mergeCell ref="TZO40:TZP40"/>
    <mergeCell ref="TZQ40:TZR40"/>
    <mergeCell ref="TYU40:TYV40"/>
    <mergeCell ref="TYW40:TYX40"/>
    <mergeCell ref="TYY40:TYZ40"/>
    <mergeCell ref="TZA40:TZB40"/>
    <mergeCell ref="TZC40:TZD40"/>
    <mergeCell ref="TZE40:TZF40"/>
    <mergeCell ref="TYI40:TYJ40"/>
    <mergeCell ref="TYK40:TYL40"/>
    <mergeCell ref="TYM40:TYN40"/>
    <mergeCell ref="TYO40:TYP40"/>
    <mergeCell ref="TYQ40:TYR40"/>
    <mergeCell ref="TYS40:TYT40"/>
    <mergeCell ref="TXW40:TXX40"/>
    <mergeCell ref="TXY40:TXZ40"/>
    <mergeCell ref="TYA40:TYB40"/>
    <mergeCell ref="TYC40:TYD40"/>
    <mergeCell ref="TYE40:TYF40"/>
    <mergeCell ref="TYG40:TYH40"/>
    <mergeCell ref="TXK40:TXL40"/>
    <mergeCell ref="TXM40:TXN40"/>
    <mergeCell ref="TXO40:TXP40"/>
    <mergeCell ref="TXQ40:TXR40"/>
    <mergeCell ref="TXS40:TXT40"/>
    <mergeCell ref="TXU40:TXV40"/>
    <mergeCell ref="UCM40:UCN40"/>
    <mergeCell ref="UCO40:UCP40"/>
    <mergeCell ref="UCQ40:UCR40"/>
    <mergeCell ref="UCS40:UCT40"/>
    <mergeCell ref="UCU40:UCV40"/>
    <mergeCell ref="UCW40:UCX40"/>
    <mergeCell ref="UCA40:UCB40"/>
    <mergeCell ref="UCC40:UCD40"/>
    <mergeCell ref="UCE40:UCF40"/>
    <mergeCell ref="UCG40:UCH40"/>
    <mergeCell ref="UCI40:UCJ40"/>
    <mergeCell ref="UCK40:UCL40"/>
    <mergeCell ref="UBO40:UBP40"/>
    <mergeCell ref="UBQ40:UBR40"/>
    <mergeCell ref="UBS40:UBT40"/>
    <mergeCell ref="UBU40:UBV40"/>
    <mergeCell ref="UBW40:UBX40"/>
    <mergeCell ref="UBY40:UBZ40"/>
    <mergeCell ref="UBC40:UBD40"/>
    <mergeCell ref="UBE40:UBF40"/>
    <mergeCell ref="UBG40:UBH40"/>
    <mergeCell ref="UBI40:UBJ40"/>
    <mergeCell ref="UBK40:UBL40"/>
    <mergeCell ref="UBM40:UBN40"/>
    <mergeCell ref="UAQ40:UAR40"/>
    <mergeCell ref="UAS40:UAT40"/>
    <mergeCell ref="UAU40:UAV40"/>
    <mergeCell ref="UAW40:UAX40"/>
    <mergeCell ref="UAY40:UAZ40"/>
    <mergeCell ref="UBA40:UBB40"/>
    <mergeCell ref="UAE40:UAF40"/>
    <mergeCell ref="UAG40:UAH40"/>
    <mergeCell ref="UAI40:UAJ40"/>
    <mergeCell ref="UAK40:UAL40"/>
    <mergeCell ref="UAM40:UAN40"/>
    <mergeCell ref="UAO40:UAP40"/>
    <mergeCell ref="UFG40:UFH40"/>
    <mergeCell ref="UFI40:UFJ40"/>
    <mergeCell ref="UFK40:UFL40"/>
    <mergeCell ref="UFM40:UFN40"/>
    <mergeCell ref="UFO40:UFP40"/>
    <mergeCell ref="UFQ40:UFR40"/>
    <mergeCell ref="UEU40:UEV40"/>
    <mergeCell ref="UEW40:UEX40"/>
    <mergeCell ref="UEY40:UEZ40"/>
    <mergeCell ref="UFA40:UFB40"/>
    <mergeCell ref="UFC40:UFD40"/>
    <mergeCell ref="UFE40:UFF40"/>
    <mergeCell ref="UEI40:UEJ40"/>
    <mergeCell ref="UEK40:UEL40"/>
    <mergeCell ref="UEM40:UEN40"/>
    <mergeCell ref="UEO40:UEP40"/>
    <mergeCell ref="UEQ40:UER40"/>
    <mergeCell ref="UES40:UET40"/>
    <mergeCell ref="UDW40:UDX40"/>
    <mergeCell ref="UDY40:UDZ40"/>
    <mergeCell ref="UEA40:UEB40"/>
    <mergeCell ref="UEC40:UED40"/>
    <mergeCell ref="UEE40:UEF40"/>
    <mergeCell ref="UEG40:UEH40"/>
    <mergeCell ref="UDK40:UDL40"/>
    <mergeCell ref="UDM40:UDN40"/>
    <mergeCell ref="UDO40:UDP40"/>
    <mergeCell ref="UDQ40:UDR40"/>
    <mergeCell ref="UDS40:UDT40"/>
    <mergeCell ref="UDU40:UDV40"/>
    <mergeCell ref="UCY40:UCZ40"/>
    <mergeCell ref="UDA40:UDB40"/>
    <mergeCell ref="UDC40:UDD40"/>
    <mergeCell ref="UDE40:UDF40"/>
    <mergeCell ref="UDG40:UDH40"/>
    <mergeCell ref="UDI40:UDJ40"/>
    <mergeCell ref="UIA40:UIB40"/>
    <mergeCell ref="UIC40:UID40"/>
    <mergeCell ref="UIE40:UIF40"/>
    <mergeCell ref="UIG40:UIH40"/>
    <mergeCell ref="UII40:UIJ40"/>
    <mergeCell ref="UIK40:UIL40"/>
    <mergeCell ref="UHO40:UHP40"/>
    <mergeCell ref="UHQ40:UHR40"/>
    <mergeCell ref="UHS40:UHT40"/>
    <mergeCell ref="UHU40:UHV40"/>
    <mergeCell ref="UHW40:UHX40"/>
    <mergeCell ref="UHY40:UHZ40"/>
    <mergeCell ref="UHC40:UHD40"/>
    <mergeCell ref="UHE40:UHF40"/>
    <mergeCell ref="UHG40:UHH40"/>
    <mergeCell ref="UHI40:UHJ40"/>
    <mergeCell ref="UHK40:UHL40"/>
    <mergeCell ref="UHM40:UHN40"/>
    <mergeCell ref="UGQ40:UGR40"/>
    <mergeCell ref="UGS40:UGT40"/>
    <mergeCell ref="UGU40:UGV40"/>
    <mergeCell ref="UGW40:UGX40"/>
    <mergeCell ref="UGY40:UGZ40"/>
    <mergeCell ref="UHA40:UHB40"/>
    <mergeCell ref="UGE40:UGF40"/>
    <mergeCell ref="UGG40:UGH40"/>
    <mergeCell ref="UGI40:UGJ40"/>
    <mergeCell ref="UGK40:UGL40"/>
    <mergeCell ref="UGM40:UGN40"/>
    <mergeCell ref="UGO40:UGP40"/>
    <mergeCell ref="UFS40:UFT40"/>
    <mergeCell ref="UFU40:UFV40"/>
    <mergeCell ref="UFW40:UFX40"/>
    <mergeCell ref="UFY40:UFZ40"/>
    <mergeCell ref="UGA40:UGB40"/>
    <mergeCell ref="UGC40:UGD40"/>
    <mergeCell ref="UKU40:UKV40"/>
    <mergeCell ref="UKW40:UKX40"/>
    <mergeCell ref="UKY40:UKZ40"/>
    <mergeCell ref="ULA40:ULB40"/>
    <mergeCell ref="ULC40:ULD40"/>
    <mergeCell ref="ULE40:ULF40"/>
    <mergeCell ref="UKI40:UKJ40"/>
    <mergeCell ref="UKK40:UKL40"/>
    <mergeCell ref="UKM40:UKN40"/>
    <mergeCell ref="UKO40:UKP40"/>
    <mergeCell ref="UKQ40:UKR40"/>
    <mergeCell ref="UKS40:UKT40"/>
    <mergeCell ref="UJW40:UJX40"/>
    <mergeCell ref="UJY40:UJZ40"/>
    <mergeCell ref="UKA40:UKB40"/>
    <mergeCell ref="UKC40:UKD40"/>
    <mergeCell ref="UKE40:UKF40"/>
    <mergeCell ref="UKG40:UKH40"/>
    <mergeCell ref="UJK40:UJL40"/>
    <mergeCell ref="UJM40:UJN40"/>
    <mergeCell ref="UJO40:UJP40"/>
    <mergeCell ref="UJQ40:UJR40"/>
    <mergeCell ref="UJS40:UJT40"/>
    <mergeCell ref="UJU40:UJV40"/>
    <mergeCell ref="UIY40:UIZ40"/>
    <mergeCell ref="UJA40:UJB40"/>
    <mergeCell ref="UJC40:UJD40"/>
    <mergeCell ref="UJE40:UJF40"/>
    <mergeCell ref="UJG40:UJH40"/>
    <mergeCell ref="UJI40:UJJ40"/>
    <mergeCell ref="UIM40:UIN40"/>
    <mergeCell ref="UIO40:UIP40"/>
    <mergeCell ref="UIQ40:UIR40"/>
    <mergeCell ref="UIS40:UIT40"/>
    <mergeCell ref="UIU40:UIV40"/>
    <mergeCell ref="UIW40:UIX40"/>
    <mergeCell ref="UNO40:UNP40"/>
    <mergeCell ref="UNQ40:UNR40"/>
    <mergeCell ref="UNS40:UNT40"/>
    <mergeCell ref="UNU40:UNV40"/>
    <mergeCell ref="UNW40:UNX40"/>
    <mergeCell ref="UNY40:UNZ40"/>
    <mergeCell ref="UNC40:UND40"/>
    <mergeCell ref="UNE40:UNF40"/>
    <mergeCell ref="UNG40:UNH40"/>
    <mergeCell ref="UNI40:UNJ40"/>
    <mergeCell ref="UNK40:UNL40"/>
    <mergeCell ref="UNM40:UNN40"/>
    <mergeCell ref="UMQ40:UMR40"/>
    <mergeCell ref="UMS40:UMT40"/>
    <mergeCell ref="UMU40:UMV40"/>
    <mergeCell ref="UMW40:UMX40"/>
    <mergeCell ref="UMY40:UMZ40"/>
    <mergeCell ref="UNA40:UNB40"/>
    <mergeCell ref="UME40:UMF40"/>
    <mergeCell ref="UMG40:UMH40"/>
    <mergeCell ref="UMI40:UMJ40"/>
    <mergeCell ref="UMK40:UML40"/>
    <mergeCell ref="UMM40:UMN40"/>
    <mergeCell ref="UMO40:UMP40"/>
    <mergeCell ref="ULS40:ULT40"/>
    <mergeCell ref="ULU40:ULV40"/>
    <mergeCell ref="ULW40:ULX40"/>
    <mergeCell ref="ULY40:ULZ40"/>
    <mergeCell ref="UMA40:UMB40"/>
    <mergeCell ref="UMC40:UMD40"/>
    <mergeCell ref="ULG40:ULH40"/>
    <mergeCell ref="ULI40:ULJ40"/>
    <mergeCell ref="ULK40:ULL40"/>
    <mergeCell ref="ULM40:ULN40"/>
    <mergeCell ref="ULO40:ULP40"/>
    <mergeCell ref="ULQ40:ULR40"/>
    <mergeCell ref="UQI40:UQJ40"/>
    <mergeCell ref="UQK40:UQL40"/>
    <mergeCell ref="UQM40:UQN40"/>
    <mergeCell ref="UQO40:UQP40"/>
    <mergeCell ref="UQQ40:UQR40"/>
    <mergeCell ref="UQS40:UQT40"/>
    <mergeCell ref="UPW40:UPX40"/>
    <mergeCell ref="UPY40:UPZ40"/>
    <mergeCell ref="UQA40:UQB40"/>
    <mergeCell ref="UQC40:UQD40"/>
    <mergeCell ref="UQE40:UQF40"/>
    <mergeCell ref="UQG40:UQH40"/>
    <mergeCell ref="UPK40:UPL40"/>
    <mergeCell ref="UPM40:UPN40"/>
    <mergeCell ref="UPO40:UPP40"/>
    <mergeCell ref="UPQ40:UPR40"/>
    <mergeCell ref="UPS40:UPT40"/>
    <mergeCell ref="UPU40:UPV40"/>
    <mergeCell ref="UOY40:UOZ40"/>
    <mergeCell ref="UPA40:UPB40"/>
    <mergeCell ref="UPC40:UPD40"/>
    <mergeCell ref="UPE40:UPF40"/>
    <mergeCell ref="UPG40:UPH40"/>
    <mergeCell ref="UPI40:UPJ40"/>
    <mergeCell ref="UOM40:UON40"/>
    <mergeCell ref="UOO40:UOP40"/>
    <mergeCell ref="UOQ40:UOR40"/>
    <mergeCell ref="UOS40:UOT40"/>
    <mergeCell ref="UOU40:UOV40"/>
    <mergeCell ref="UOW40:UOX40"/>
    <mergeCell ref="UOA40:UOB40"/>
    <mergeCell ref="UOC40:UOD40"/>
    <mergeCell ref="UOE40:UOF40"/>
    <mergeCell ref="UOG40:UOH40"/>
    <mergeCell ref="UOI40:UOJ40"/>
    <mergeCell ref="UOK40:UOL40"/>
    <mergeCell ref="UTC40:UTD40"/>
    <mergeCell ref="UTE40:UTF40"/>
    <mergeCell ref="UTG40:UTH40"/>
    <mergeCell ref="UTI40:UTJ40"/>
    <mergeCell ref="UTK40:UTL40"/>
    <mergeCell ref="UTM40:UTN40"/>
    <mergeCell ref="USQ40:USR40"/>
    <mergeCell ref="USS40:UST40"/>
    <mergeCell ref="USU40:USV40"/>
    <mergeCell ref="USW40:USX40"/>
    <mergeCell ref="USY40:USZ40"/>
    <mergeCell ref="UTA40:UTB40"/>
    <mergeCell ref="USE40:USF40"/>
    <mergeCell ref="USG40:USH40"/>
    <mergeCell ref="USI40:USJ40"/>
    <mergeCell ref="USK40:USL40"/>
    <mergeCell ref="USM40:USN40"/>
    <mergeCell ref="USO40:USP40"/>
    <mergeCell ref="URS40:URT40"/>
    <mergeCell ref="URU40:URV40"/>
    <mergeCell ref="URW40:URX40"/>
    <mergeCell ref="URY40:URZ40"/>
    <mergeCell ref="USA40:USB40"/>
    <mergeCell ref="USC40:USD40"/>
    <mergeCell ref="URG40:URH40"/>
    <mergeCell ref="URI40:URJ40"/>
    <mergeCell ref="URK40:URL40"/>
    <mergeCell ref="URM40:URN40"/>
    <mergeCell ref="URO40:URP40"/>
    <mergeCell ref="URQ40:URR40"/>
    <mergeCell ref="UQU40:UQV40"/>
    <mergeCell ref="UQW40:UQX40"/>
    <mergeCell ref="UQY40:UQZ40"/>
    <mergeCell ref="URA40:URB40"/>
    <mergeCell ref="URC40:URD40"/>
    <mergeCell ref="URE40:URF40"/>
    <mergeCell ref="UVW40:UVX40"/>
    <mergeCell ref="UVY40:UVZ40"/>
    <mergeCell ref="UWA40:UWB40"/>
    <mergeCell ref="UWC40:UWD40"/>
    <mergeCell ref="UWE40:UWF40"/>
    <mergeCell ref="UWG40:UWH40"/>
    <mergeCell ref="UVK40:UVL40"/>
    <mergeCell ref="UVM40:UVN40"/>
    <mergeCell ref="UVO40:UVP40"/>
    <mergeCell ref="UVQ40:UVR40"/>
    <mergeCell ref="UVS40:UVT40"/>
    <mergeCell ref="UVU40:UVV40"/>
    <mergeCell ref="UUY40:UUZ40"/>
    <mergeCell ref="UVA40:UVB40"/>
    <mergeCell ref="UVC40:UVD40"/>
    <mergeCell ref="UVE40:UVF40"/>
    <mergeCell ref="UVG40:UVH40"/>
    <mergeCell ref="UVI40:UVJ40"/>
    <mergeCell ref="UUM40:UUN40"/>
    <mergeCell ref="UUO40:UUP40"/>
    <mergeCell ref="UUQ40:UUR40"/>
    <mergeCell ref="UUS40:UUT40"/>
    <mergeCell ref="UUU40:UUV40"/>
    <mergeCell ref="UUW40:UUX40"/>
    <mergeCell ref="UUA40:UUB40"/>
    <mergeCell ref="UUC40:UUD40"/>
    <mergeCell ref="UUE40:UUF40"/>
    <mergeCell ref="UUG40:UUH40"/>
    <mergeCell ref="UUI40:UUJ40"/>
    <mergeCell ref="UUK40:UUL40"/>
    <mergeCell ref="UTO40:UTP40"/>
    <mergeCell ref="UTQ40:UTR40"/>
    <mergeCell ref="UTS40:UTT40"/>
    <mergeCell ref="UTU40:UTV40"/>
    <mergeCell ref="UTW40:UTX40"/>
    <mergeCell ref="UTY40:UTZ40"/>
    <mergeCell ref="UYQ40:UYR40"/>
    <mergeCell ref="UYS40:UYT40"/>
    <mergeCell ref="UYU40:UYV40"/>
    <mergeCell ref="UYW40:UYX40"/>
    <mergeCell ref="UYY40:UYZ40"/>
    <mergeCell ref="UZA40:UZB40"/>
    <mergeCell ref="UYE40:UYF40"/>
    <mergeCell ref="UYG40:UYH40"/>
    <mergeCell ref="UYI40:UYJ40"/>
    <mergeCell ref="UYK40:UYL40"/>
    <mergeCell ref="UYM40:UYN40"/>
    <mergeCell ref="UYO40:UYP40"/>
    <mergeCell ref="UXS40:UXT40"/>
    <mergeCell ref="UXU40:UXV40"/>
    <mergeCell ref="UXW40:UXX40"/>
    <mergeCell ref="UXY40:UXZ40"/>
    <mergeCell ref="UYA40:UYB40"/>
    <mergeCell ref="UYC40:UYD40"/>
    <mergeCell ref="UXG40:UXH40"/>
    <mergeCell ref="UXI40:UXJ40"/>
    <mergeCell ref="UXK40:UXL40"/>
    <mergeCell ref="UXM40:UXN40"/>
    <mergeCell ref="UXO40:UXP40"/>
    <mergeCell ref="UXQ40:UXR40"/>
    <mergeCell ref="UWU40:UWV40"/>
    <mergeCell ref="UWW40:UWX40"/>
    <mergeCell ref="UWY40:UWZ40"/>
    <mergeCell ref="UXA40:UXB40"/>
    <mergeCell ref="UXC40:UXD40"/>
    <mergeCell ref="UXE40:UXF40"/>
    <mergeCell ref="UWI40:UWJ40"/>
    <mergeCell ref="UWK40:UWL40"/>
    <mergeCell ref="UWM40:UWN40"/>
    <mergeCell ref="UWO40:UWP40"/>
    <mergeCell ref="UWQ40:UWR40"/>
    <mergeCell ref="UWS40:UWT40"/>
    <mergeCell ref="VBK40:VBL40"/>
    <mergeCell ref="VBM40:VBN40"/>
    <mergeCell ref="VBO40:VBP40"/>
    <mergeCell ref="VBQ40:VBR40"/>
    <mergeCell ref="VBS40:VBT40"/>
    <mergeCell ref="VBU40:VBV40"/>
    <mergeCell ref="VAY40:VAZ40"/>
    <mergeCell ref="VBA40:VBB40"/>
    <mergeCell ref="VBC40:VBD40"/>
    <mergeCell ref="VBE40:VBF40"/>
    <mergeCell ref="VBG40:VBH40"/>
    <mergeCell ref="VBI40:VBJ40"/>
    <mergeCell ref="VAM40:VAN40"/>
    <mergeCell ref="VAO40:VAP40"/>
    <mergeCell ref="VAQ40:VAR40"/>
    <mergeCell ref="VAS40:VAT40"/>
    <mergeCell ref="VAU40:VAV40"/>
    <mergeCell ref="VAW40:VAX40"/>
    <mergeCell ref="VAA40:VAB40"/>
    <mergeCell ref="VAC40:VAD40"/>
    <mergeCell ref="VAE40:VAF40"/>
    <mergeCell ref="VAG40:VAH40"/>
    <mergeCell ref="VAI40:VAJ40"/>
    <mergeCell ref="VAK40:VAL40"/>
    <mergeCell ref="UZO40:UZP40"/>
    <mergeCell ref="UZQ40:UZR40"/>
    <mergeCell ref="UZS40:UZT40"/>
    <mergeCell ref="UZU40:UZV40"/>
    <mergeCell ref="UZW40:UZX40"/>
    <mergeCell ref="UZY40:UZZ40"/>
    <mergeCell ref="UZC40:UZD40"/>
    <mergeCell ref="UZE40:UZF40"/>
    <mergeCell ref="UZG40:UZH40"/>
    <mergeCell ref="UZI40:UZJ40"/>
    <mergeCell ref="UZK40:UZL40"/>
    <mergeCell ref="UZM40:UZN40"/>
    <mergeCell ref="VEE40:VEF40"/>
    <mergeCell ref="VEG40:VEH40"/>
    <mergeCell ref="VEI40:VEJ40"/>
    <mergeCell ref="VEK40:VEL40"/>
    <mergeCell ref="VEM40:VEN40"/>
    <mergeCell ref="VEO40:VEP40"/>
    <mergeCell ref="VDS40:VDT40"/>
    <mergeCell ref="VDU40:VDV40"/>
    <mergeCell ref="VDW40:VDX40"/>
    <mergeCell ref="VDY40:VDZ40"/>
    <mergeCell ref="VEA40:VEB40"/>
    <mergeCell ref="VEC40:VED40"/>
    <mergeCell ref="VDG40:VDH40"/>
    <mergeCell ref="VDI40:VDJ40"/>
    <mergeCell ref="VDK40:VDL40"/>
    <mergeCell ref="VDM40:VDN40"/>
    <mergeCell ref="VDO40:VDP40"/>
    <mergeCell ref="VDQ40:VDR40"/>
    <mergeCell ref="VCU40:VCV40"/>
    <mergeCell ref="VCW40:VCX40"/>
    <mergeCell ref="VCY40:VCZ40"/>
    <mergeCell ref="VDA40:VDB40"/>
    <mergeCell ref="VDC40:VDD40"/>
    <mergeCell ref="VDE40:VDF40"/>
    <mergeCell ref="VCI40:VCJ40"/>
    <mergeCell ref="VCK40:VCL40"/>
    <mergeCell ref="VCM40:VCN40"/>
    <mergeCell ref="VCO40:VCP40"/>
    <mergeCell ref="VCQ40:VCR40"/>
    <mergeCell ref="VCS40:VCT40"/>
    <mergeCell ref="VBW40:VBX40"/>
    <mergeCell ref="VBY40:VBZ40"/>
    <mergeCell ref="VCA40:VCB40"/>
    <mergeCell ref="VCC40:VCD40"/>
    <mergeCell ref="VCE40:VCF40"/>
    <mergeCell ref="VCG40:VCH40"/>
    <mergeCell ref="VGY40:VGZ40"/>
    <mergeCell ref="VHA40:VHB40"/>
    <mergeCell ref="VHC40:VHD40"/>
    <mergeCell ref="VHE40:VHF40"/>
    <mergeCell ref="VHG40:VHH40"/>
    <mergeCell ref="VHI40:VHJ40"/>
    <mergeCell ref="VGM40:VGN40"/>
    <mergeCell ref="VGO40:VGP40"/>
    <mergeCell ref="VGQ40:VGR40"/>
    <mergeCell ref="VGS40:VGT40"/>
    <mergeCell ref="VGU40:VGV40"/>
    <mergeCell ref="VGW40:VGX40"/>
    <mergeCell ref="VGA40:VGB40"/>
    <mergeCell ref="VGC40:VGD40"/>
    <mergeCell ref="VGE40:VGF40"/>
    <mergeCell ref="VGG40:VGH40"/>
    <mergeCell ref="VGI40:VGJ40"/>
    <mergeCell ref="VGK40:VGL40"/>
    <mergeCell ref="VFO40:VFP40"/>
    <mergeCell ref="VFQ40:VFR40"/>
    <mergeCell ref="VFS40:VFT40"/>
    <mergeCell ref="VFU40:VFV40"/>
    <mergeCell ref="VFW40:VFX40"/>
    <mergeCell ref="VFY40:VFZ40"/>
    <mergeCell ref="VFC40:VFD40"/>
    <mergeCell ref="VFE40:VFF40"/>
    <mergeCell ref="VFG40:VFH40"/>
    <mergeCell ref="VFI40:VFJ40"/>
    <mergeCell ref="VFK40:VFL40"/>
    <mergeCell ref="VFM40:VFN40"/>
    <mergeCell ref="VEQ40:VER40"/>
    <mergeCell ref="VES40:VET40"/>
    <mergeCell ref="VEU40:VEV40"/>
    <mergeCell ref="VEW40:VEX40"/>
    <mergeCell ref="VEY40:VEZ40"/>
    <mergeCell ref="VFA40:VFB40"/>
    <mergeCell ref="VJS40:VJT40"/>
    <mergeCell ref="VJU40:VJV40"/>
    <mergeCell ref="VJW40:VJX40"/>
    <mergeCell ref="VJY40:VJZ40"/>
    <mergeCell ref="VKA40:VKB40"/>
    <mergeCell ref="VKC40:VKD40"/>
    <mergeCell ref="VJG40:VJH40"/>
    <mergeCell ref="VJI40:VJJ40"/>
    <mergeCell ref="VJK40:VJL40"/>
    <mergeCell ref="VJM40:VJN40"/>
    <mergeCell ref="VJO40:VJP40"/>
    <mergeCell ref="VJQ40:VJR40"/>
    <mergeCell ref="VIU40:VIV40"/>
    <mergeCell ref="VIW40:VIX40"/>
    <mergeCell ref="VIY40:VIZ40"/>
    <mergeCell ref="VJA40:VJB40"/>
    <mergeCell ref="VJC40:VJD40"/>
    <mergeCell ref="VJE40:VJF40"/>
    <mergeCell ref="VII40:VIJ40"/>
    <mergeCell ref="VIK40:VIL40"/>
    <mergeCell ref="VIM40:VIN40"/>
    <mergeCell ref="VIO40:VIP40"/>
    <mergeCell ref="VIQ40:VIR40"/>
    <mergeCell ref="VIS40:VIT40"/>
    <mergeCell ref="VHW40:VHX40"/>
    <mergeCell ref="VHY40:VHZ40"/>
    <mergeCell ref="VIA40:VIB40"/>
    <mergeCell ref="VIC40:VID40"/>
    <mergeCell ref="VIE40:VIF40"/>
    <mergeCell ref="VIG40:VIH40"/>
    <mergeCell ref="VHK40:VHL40"/>
    <mergeCell ref="VHM40:VHN40"/>
    <mergeCell ref="VHO40:VHP40"/>
    <mergeCell ref="VHQ40:VHR40"/>
    <mergeCell ref="VHS40:VHT40"/>
    <mergeCell ref="VHU40:VHV40"/>
    <mergeCell ref="VMM40:VMN40"/>
    <mergeCell ref="VMO40:VMP40"/>
    <mergeCell ref="VMQ40:VMR40"/>
    <mergeCell ref="VMS40:VMT40"/>
    <mergeCell ref="VMU40:VMV40"/>
    <mergeCell ref="VMW40:VMX40"/>
    <mergeCell ref="VMA40:VMB40"/>
    <mergeCell ref="VMC40:VMD40"/>
    <mergeCell ref="VME40:VMF40"/>
    <mergeCell ref="VMG40:VMH40"/>
    <mergeCell ref="VMI40:VMJ40"/>
    <mergeCell ref="VMK40:VML40"/>
    <mergeCell ref="VLO40:VLP40"/>
    <mergeCell ref="VLQ40:VLR40"/>
    <mergeCell ref="VLS40:VLT40"/>
    <mergeCell ref="VLU40:VLV40"/>
    <mergeCell ref="VLW40:VLX40"/>
    <mergeCell ref="VLY40:VLZ40"/>
    <mergeCell ref="VLC40:VLD40"/>
    <mergeCell ref="VLE40:VLF40"/>
    <mergeCell ref="VLG40:VLH40"/>
    <mergeCell ref="VLI40:VLJ40"/>
    <mergeCell ref="VLK40:VLL40"/>
    <mergeCell ref="VLM40:VLN40"/>
    <mergeCell ref="VKQ40:VKR40"/>
    <mergeCell ref="VKS40:VKT40"/>
    <mergeCell ref="VKU40:VKV40"/>
    <mergeCell ref="VKW40:VKX40"/>
    <mergeCell ref="VKY40:VKZ40"/>
    <mergeCell ref="VLA40:VLB40"/>
    <mergeCell ref="VKE40:VKF40"/>
    <mergeCell ref="VKG40:VKH40"/>
    <mergeCell ref="VKI40:VKJ40"/>
    <mergeCell ref="VKK40:VKL40"/>
    <mergeCell ref="VKM40:VKN40"/>
    <mergeCell ref="VKO40:VKP40"/>
    <mergeCell ref="VPG40:VPH40"/>
    <mergeCell ref="VPI40:VPJ40"/>
    <mergeCell ref="VPK40:VPL40"/>
    <mergeCell ref="VPM40:VPN40"/>
    <mergeCell ref="VPO40:VPP40"/>
    <mergeCell ref="VPQ40:VPR40"/>
    <mergeCell ref="VOU40:VOV40"/>
    <mergeCell ref="VOW40:VOX40"/>
    <mergeCell ref="VOY40:VOZ40"/>
    <mergeCell ref="VPA40:VPB40"/>
    <mergeCell ref="VPC40:VPD40"/>
    <mergeCell ref="VPE40:VPF40"/>
    <mergeCell ref="VOI40:VOJ40"/>
    <mergeCell ref="VOK40:VOL40"/>
    <mergeCell ref="VOM40:VON40"/>
    <mergeCell ref="VOO40:VOP40"/>
    <mergeCell ref="VOQ40:VOR40"/>
    <mergeCell ref="VOS40:VOT40"/>
    <mergeCell ref="VNW40:VNX40"/>
    <mergeCell ref="VNY40:VNZ40"/>
    <mergeCell ref="VOA40:VOB40"/>
    <mergeCell ref="VOC40:VOD40"/>
    <mergeCell ref="VOE40:VOF40"/>
    <mergeCell ref="VOG40:VOH40"/>
    <mergeCell ref="VNK40:VNL40"/>
    <mergeCell ref="VNM40:VNN40"/>
    <mergeCell ref="VNO40:VNP40"/>
    <mergeCell ref="VNQ40:VNR40"/>
    <mergeCell ref="VNS40:VNT40"/>
    <mergeCell ref="VNU40:VNV40"/>
    <mergeCell ref="VMY40:VMZ40"/>
    <mergeCell ref="VNA40:VNB40"/>
    <mergeCell ref="VNC40:VND40"/>
    <mergeCell ref="VNE40:VNF40"/>
    <mergeCell ref="VNG40:VNH40"/>
    <mergeCell ref="VNI40:VNJ40"/>
    <mergeCell ref="VSA40:VSB40"/>
    <mergeCell ref="VSC40:VSD40"/>
    <mergeCell ref="VSE40:VSF40"/>
    <mergeCell ref="VSG40:VSH40"/>
    <mergeCell ref="VSI40:VSJ40"/>
    <mergeCell ref="VSK40:VSL40"/>
    <mergeCell ref="VRO40:VRP40"/>
    <mergeCell ref="VRQ40:VRR40"/>
    <mergeCell ref="VRS40:VRT40"/>
    <mergeCell ref="VRU40:VRV40"/>
    <mergeCell ref="VRW40:VRX40"/>
    <mergeCell ref="VRY40:VRZ40"/>
    <mergeCell ref="VRC40:VRD40"/>
    <mergeCell ref="VRE40:VRF40"/>
    <mergeCell ref="VRG40:VRH40"/>
    <mergeCell ref="VRI40:VRJ40"/>
    <mergeCell ref="VRK40:VRL40"/>
    <mergeCell ref="VRM40:VRN40"/>
    <mergeCell ref="VQQ40:VQR40"/>
    <mergeCell ref="VQS40:VQT40"/>
    <mergeCell ref="VQU40:VQV40"/>
    <mergeCell ref="VQW40:VQX40"/>
    <mergeCell ref="VQY40:VQZ40"/>
    <mergeCell ref="VRA40:VRB40"/>
    <mergeCell ref="VQE40:VQF40"/>
    <mergeCell ref="VQG40:VQH40"/>
    <mergeCell ref="VQI40:VQJ40"/>
    <mergeCell ref="VQK40:VQL40"/>
    <mergeCell ref="VQM40:VQN40"/>
    <mergeCell ref="VQO40:VQP40"/>
    <mergeCell ref="VPS40:VPT40"/>
    <mergeCell ref="VPU40:VPV40"/>
    <mergeCell ref="VPW40:VPX40"/>
    <mergeCell ref="VPY40:VPZ40"/>
    <mergeCell ref="VQA40:VQB40"/>
    <mergeCell ref="VQC40:VQD40"/>
    <mergeCell ref="VUU40:VUV40"/>
    <mergeCell ref="VUW40:VUX40"/>
    <mergeCell ref="VUY40:VUZ40"/>
    <mergeCell ref="VVA40:VVB40"/>
    <mergeCell ref="VVC40:VVD40"/>
    <mergeCell ref="VVE40:VVF40"/>
    <mergeCell ref="VUI40:VUJ40"/>
    <mergeCell ref="VUK40:VUL40"/>
    <mergeCell ref="VUM40:VUN40"/>
    <mergeCell ref="VUO40:VUP40"/>
    <mergeCell ref="VUQ40:VUR40"/>
    <mergeCell ref="VUS40:VUT40"/>
    <mergeCell ref="VTW40:VTX40"/>
    <mergeCell ref="VTY40:VTZ40"/>
    <mergeCell ref="VUA40:VUB40"/>
    <mergeCell ref="VUC40:VUD40"/>
    <mergeCell ref="VUE40:VUF40"/>
    <mergeCell ref="VUG40:VUH40"/>
    <mergeCell ref="VTK40:VTL40"/>
    <mergeCell ref="VTM40:VTN40"/>
    <mergeCell ref="VTO40:VTP40"/>
    <mergeCell ref="VTQ40:VTR40"/>
    <mergeCell ref="VTS40:VTT40"/>
    <mergeCell ref="VTU40:VTV40"/>
    <mergeCell ref="VSY40:VSZ40"/>
    <mergeCell ref="VTA40:VTB40"/>
    <mergeCell ref="VTC40:VTD40"/>
    <mergeCell ref="VTE40:VTF40"/>
    <mergeCell ref="VTG40:VTH40"/>
    <mergeCell ref="VTI40:VTJ40"/>
    <mergeCell ref="VSM40:VSN40"/>
    <mergeCell ref="VSO40:VSP40"/>
    <mergeCell ref="VSQ40:VSR40"/>
    <mergeCell ref="VSS40:VST40"/>
    <mergeCell ref="VSU40:VSV40"/>
    <mergeCell ref="VSW40:VSX40"/>
    <mergeCell ref="VXO40:VXP40"/>
    <mergeCell ref="VXQ40:VXR40"/>
    <mergeCell ref="VXS40:VXT40"/>
    <mergeCell ref="VXU40:VXV40"/>
    <mergeCell ref="VXW40:VXX40"/>
    <mergeCell ref="VXY40:VXZ40"/>
    <mergeCell ref="VXC40:VXD40"/>
    <mergeCell ref="VXE40:VXF40"/>
    <mergeCell ref="VXG40:VXH40"/>
    <mergeCell ref="VXI40:VXJ40"/>
    <mergeCell ref="VXK40:VXL40"/>
    <mergeCell ref="VXM40:VXN40"/>
    <mergeCell ref="VWQ40:VWR40"/>
    <mergeCell ref="VWS40:VWT40"/>
    <mergeCell ref="VWU40:VWV40"/>
    <mergeCell ref="VWW40:VWX40"/>
    <mergeCell ref="VWY40:VWZ40"/>
    <mergeCell ref="VXA40:VXB40"/>
    <mergeCell ref="VWE40:VWF40"/>
    <mergeCell ref="VWG40:VWH40"/>
    <mergeCell ref="VWI40:VWJ40"/>
    <mergeCell ref="VWK40:VWL40"/>
    <mergeCell ref="VWM40:VWN40"/>
    <mergeCell ref="VWO40:VWP40"/>
    <mergeCell ref="VVS40:VVT40"/>
    <mergeCell ref="VVU40:VVV40"/>
    <mergeCell ref="VVW40:VVX40"/>
    <mergeCell ref="VVY40:VVZ40"/>
    <mergeCell ref="VWA40:VWB40"/>
    <mergeCell ref="VWC40:VWD40"/>
    <mergeCell ref="VVG40:VVH40"/>
    <mergeCell ref="VVI40:VVJ40"/>
    <mergeCell ref="VVK40:VVL40"/>
    <mergeCell ref="VVM40:VVN40"/>
    <mergeCell ref="VVO40:VVP40"/>
    <mergeCell ref="VVQ40:VVR40"/>
    <mergeCell ref="WAI40:WAJ40"/>
    <mergeCell ref="WAK40:WAL40"/>
    <mergeCell ref="WAM40:WAN40"/>
    <mergeCell ref="WAO40:WAP40"/>
    <mergeCell ref="WAQ40:WAR40"/>
    <mergeCell ref="WAS40:WAT40"/>
    <mergeCell ref="VZW40:VZX40"/>
    <mergeCell ref="VZY40:VZZ40"/>
    <mergeCell ref="WAA40:WAB40"/>
    <mergeCell ref="WAC40:WAD40"/>
    <mergeCell ref="WAE40:WAF40"/>
    <mergeCell ref="WAG40:WAH40"/>
    <mergeCell ref="VZK40:VZL40"/>
    <mergeCell ref="VZM40:VZN40"/>
    <mergeCell ref="VZO40:VZP40"/>
    <mergeCell ref="VZQ40:VZR40"/>
    <mergeCell ref="VZS40:VZT40"/>
    <mergeCell ref="VZU40:VZV40"/>
    <mergeCell ref="VYY40:VYZ40"/>
    <mergeCell ref="VZA40:VZB40"/>
    <mergeCell ref="VZC40:VZD40"/>
    <mergeCell ref="VZE40:VZF40"/>
    <mergeCell ref="VZG40:VZH40"/>
    <mergeCell ref="VZI40:VZJ40"/>
    <mergeCell ref="VYM40:VYN40"/>
    <mergeCell ref="VYO40:VYP40"/>
    <mergeCell ref="VYQ40:VYR40"/>
    <mergeCell ref="VYS40:VYT40"/>
    <mergeCell ref="VYU40:VYV40"/>
    <mergeCell ref="VYW40:VYX40"/>
    <mergeCell ref="VYA40:VYB40"/>
    <mergeCell ref="VYC40:VYD40"/>
    <mergeCell ref="VYE40:VYF40"/>
    <mergeCell ref="VYG40:VYH40"/>
    <mergeCell ref="VYI40:VYJ40"/>
    <mergeCell ref="VYK40:VYL40"/>
    <mergeCell ref="WDC40:WDD40"/>
    <mergeCell ref="WDE40:WDF40"/>
    <mergeCell ref="WDG40:WDH40"/>
    <mergeCell ref="WDI40:WDJ40"/>
    <mergeCell ref="WDK40:WDL40"/>
    <mergeCell ref="WDM40:WDN40"/>
    <mergeCell ref="WCQ40:WCR40"/>
    <mergeCell ref="WCS40:WCT40"/>
    <mergeCell ref="WCU40:WCV40"/>
    <mergeCell ref="WCW40:WCX40"/>
    <mergeCell ref="WCY40:WCZ40"/>
    <mergeCell ref="WDA40:WDB40"/>
    <mergeCell ref="WCE40:WCF40"/>
    <mergeCell ref="WCG40:WCH40"/>
    <mergeCell ref="WCI40:WCJ40"/>
    <mergeCell ref="WCK40:WCL40"/>
    <mergeCell ref="WCM40:WCN40"/>
    <mergeCell ref="WCO40:WCP40"/>
    <mergeCell ref="WBS40:WBT40"/>
    <mergeCell ref="WBU40:WBV40"/>
    <mergeCell ref="WBW40:WBX40"/>
    <mergeCell ref="WBY40:WBZ40"/>
    <mergeCell ref="WCA40:WCB40"/>
    <mergeCell ref="WCC40:WCD40"/>
    <mergeCell ref="WBG40:WBH40"/>
    <mergeCell ref="WBI40:WBJ40"/>
    <mergeCell ref="WBK40:WBL40"/>
    <mergeCell ref="WBM40:WBN40"/>
    <mergeCell ref="WBO40:WBP40"/>
    <mergeCell ref="WBQ40:WBR40"/>
    <mergeCell ref="WAU40:WAV40"/>
    <mergeCell ref="WAW40:WAX40"/>
    <mergeCell ref="WAY40:WAZ40"/>
    <mergeCell ref="WBA40:WBB40"/>
    <mergeCell ref="WBC40:WBD40"/>
    <mergeCell ref="WBE40:WBF40"/>
    <mergeCell ref="WFW40:WFX40"/>
    <mergeCell ref="WFY40:WFZ40"/>
    <mergeCell ref="WGA40:WGB40"/>
    <mergeCell ref="WGC40:WGD40"/>
    <mergeCell ref="WGE40:WGF40"/>
    <mergeCell ref="WGG40:WGH40"/>
    <mergeCell ref="WFK40:WFL40"/>
    <mergeCell ref="WFM40:WFN40"/>
    <mergeCell ref="WFO40:WFP40"/>
    <mergeCell ref="WFQ40:WFR40"/>
    <mergeCell ref="WFS40:WFT40"/>
    <mergeCell ref="WFU40:WFV40"/>
    <mergeCell ref="WEY40:WEZ40"/>
    <mergeCell ref="WFA40:WFB40"/>
    <mergeCell ref="WFC40:WFD40"/>
    <mergeCell ref="WFE40:WFF40"/>
    <mergeCell ref="WFG40:WFH40"/>
    <mergeCell ref="WFI40:WFJ40"/>
    <mergeCell ref="WEM40:WEN40"/>
    <mergeCell ref="WEO40:WEP40"/>
    <mergeCell ref="WEQ40:WER40"/>
    <mergeCell ref="WES40:WET40"/>
    <mergeCell ref="WEU40:WEV40"/>
    <mergeCell ref="WEW40:WEX40"/>
    <mergeCell ref="WEA40:WEB40"/>
    <mergeCell ref="WEC40:WED40"/>
    <mergeCell ref="WEE40:WEF40"/>
    <mergeCell ref="WEG40:WEH40"/>
    <mergeCell ref="WEI40:WEJ40"/>
    <mergeCell ref="WEK40:WEL40"/>
    <mergeCell ref="WDO40:WDP40"/>
    <mergeCell ref="WDQ40:WDR40"/>
    <mergeCell ref="WDS40:WDT40"/>
    <mergeCell ref="WDU40:WDV40"/>
    <mergeCell ref="WDW40:WDX40"/>
    <mergeCell ref="WDY40:WDZ40"/>
    <mergeCell ref="WIQ40:WIR40"/>
    <mergeCell ref="WIS40:WIT40"/>
    <mergeCell ref="WIU40:WIV40"/>
    <mergeCell ref="WIW40:WIX40"/>
    <mergeCell ref="WIY40:WIZ40"/>
    <mergeCell ref="WJA40:WJB40"/>
    <mergeCell ref="WIE40:WIF40"/>
    <mergeCell ref="WIG40:WIH40"/>
    <mergeCell ref="WII40:WIJ40"/>
    <mergeCell ref="WIK40:WIL40"/>
    <mergeCell ref="WIM40:WIN40"/>
    <mergeCell ref="WIO40:WIP40"/>
    <mergeCell ref="WHS40:WHT40"/>
    <mergeCell ref="WHU40:WHV40"/>
    <mergeCell ref="WHW40:WHX40"/>
    <mergeCell ref="WHY40:WHZ40"/>
    <mergeCell ref="WIA40:WIB40"/>
    <mergeCell ref="WIC40:WID40"/>
    <mergeCell ref="WHG40:WHH40"/>
    <mergeCell ref="WHI40:WHJ40"/>
    <mergeCell ref="WHK40:WHL40"/>
    <mergeCell ref="WHM40:WHN40"/>
    <mergeCell ref="WHO40:WHP40"/>
    <mergeCell ref="WHQ40:WHR40"/>
    <mergeCell ref="WGU40:WGV40"/>
    <mergeCell ref="WGW40:WGX40"/>
    <mergeCell ref="WGY40:WGZ40"/>
    <mergeCell ref="WHA40:WHB40"/>
    <mergeCell ref="WHC40:WHD40"/>
    <mergeCell ref="WHE40:WHF40"/>
    <mergeCell ref="WGI40:WGJ40"/>
    <mergeCell ref="WGK40:WGL40"/>
    <mergeCell ref="WGM40:WGN40"/>
    <mergeCell ref="WGO40:WGP40"/>
    <mergeCell ref="WGQ40:WGR40"/>
    <mergeCell ref="WGS40:WGT40"/>
    <mergeCell ref="WLK40:WLL40"/>
    <mergeCell ref="WLM40:WLN40"/>
    <mergeCell ref="WLO40:WLP40"/>
    <mergeCell ref="WLQ40:WLR40"/>
    <mergeCell ref="WLS40:WLT40"/>
    <mergeCell ref="WLU40:WLV40"/>
    <mergeCell ref="WKY40:WKZ40"/>
    <mergeCell ref="WLA40:WLB40"/>
    <mergeCell ref="WLC40:WLD40"/>
    <mergeCell ref="WLE40:WLF40"/>
    <mergeCell ref="WLG40:WLH40"/>
    <mergeCell ref="WLI40:WLJ40"/>
    <mergeCell ref="WKM40:WKN40"/>
    <mergeCell ref="WKO40:WKP40"/>
    <mergeCell ref="WKQ40:WKR40"/>
    <mergeCell ref="WKS40:WKT40"/>
    <mergeCell ref="WKU40:WKV40"/>
    <mergeCell ref="WKW40:WKX40"/>
    <mergeCell ref="WKA40:WKB40"/>
    <mergeCell ref="WKC40:WKD40"/>
    <mergeCell ref="WKE40:WKF40"/>
    <mergeCell ref="WKG40:WKH40"/>
    <mergeCell ref="WKI40:WKJ40"/>
    <mergeCell ref="WKK40:WKL40"/>
    <mergeCell ref="WJO40:WJP40"/>
    <mergeCell ref="WJQ40:WJR40"/>
    <mergeCell ref="WJS40:WJT40"/>
    <mergeCell ref="WJU40:WJV40"/>
    <mergeCell ref="WJW40:WJX40"/>
    <mergeCell ref="WJY40:WJZ40"/>
    <mergeCell ref="WJC40:WJD40"/>
    <mergeCell ref="WJE40:WJF40"/>
    <mergeCell ref="WJG40:WJH40"/>
    <mergeCell ref="WJI40:WJJ40"/>
    <mergeCell ref="WJK40:WJL40"/>
    <mergeCell ref="WJM40:WJN40"/>
    <mergeCell ref="WOE40:WOF40"/>
    <mergeCell ref="WOG40:WOH40"/>
    <mergeCell ref="WOI40:WOJ40"/>
    <mergeCell ref="WOK40:WOL40"/>
    <mergeCell ref="WOM40:WON40"/>
    <mergeCell ref="WOO40:WOP40"/>
    <mergeCell ref="WNS40:WNT40"/>
    <mergeCell ref="WNU40:WNV40"/>
    <mergeCell ref="WNW40:WNX40"/>
    <mergeCell ref="WNY40:WNZ40"/>
    <mergeCell ref="WOA40:WOB40"/>
    <mergeCell ref="WOC40:WOD40"/>
    <mergeCell ref="WNG40:WNH40"/>
    <mergeCell ref="WNI40:WNJ40"/>
    <mergeCell ref="WNK40:WNL40"/>
    <mergeCell ref="WNM40:WNN40"/>
    <mergeCell ref="WNO40:WNP40"/>
    <mergeCell ref="WNQ40:WNR40"/>
    <mergeCell ref="WMU40:WMV40"/>
    <mergeCell ref="WMW40:WMX40"/>
    <mergeCell ref="WMY40:WMZ40"/>
    <mergeCell ref="WNA40:WNB40"/>
    <mergeCell ref="WNC40:WND40"/>
    <mergeCell ref="WNE40:WNF40"/>
    <mergeCell ref="WMI40:WMJ40"/>
    <mergeCell ref="WMK40:WML40"/>
    <mergeCell ref="WMM40:WMN40"/>
    <mergeCell ref="WMO40:WMP40"/>
    <mergeCell ref="WMQ40:WMR40"/>
    <mergeCell ref="WMS40:WMT40"/>
    <mergeCell ref="WLW40:WLX40"/>
    <mergeCell ref="WLY40:WLZ40"/>
    <mergeCell ref="WMA40:WMB40"/>
    <mergeCell ref="WMC40:WMD40"/>
    <mergeCell ref="WME40:WMF40"/>
    <mergeCell ref="WMG40:WMH40"/>
    <mergeCell ref="WQY40:WQZ40"/>
    <mergeCell ref="WRA40:WRB40"/>
    <mergeCell ref="WRC40:WRD40"/>
    <mergeCell ref="WRE40:WRF40"/>
    <mergeCell ref="WRG40:WRH40"/>
    <mergeCell ref="WRI40:WRJ40"/>
    <mergeCell ref="WQM40:WQN40"/>
    <mergeCell ref="WQO40:WQP40"/>
    <mergeCell ref="WQQ40:WQR40"/>
    <mergeCell ref="WQS40:WQT40"/>
    <mergeCell ref="WQU40:WQV40"/>
    <mergeCell ref="WQW40:WQX40"/>
    <mergeCell ref="WQA40:WQB40"/>
    <mergeCell ref="WQC40:WQD40"/>
    <mergeCell ref="WQE40:WQF40"/>
    <mergeCell ref="WQG40:WQH40"/>
    <mergeCell ref="WQI40:WQJ40"/>
    <mergeCell ref="WQK40:WQL40"/>
    <mergeCell ref="WPO40:WPP40"/>
    <mergeCell ref="WPQ40:WPR40"/>
    <mergeCell ref="WPS40:WPT40"/>
    <mergeCell ref="WPU40:WPV40"/>
    <mergeCell ref="WPW40:WPX40"/>
    <mergeCell ref="WPY40:WPZ40"/>
    <mergeCell ref="WPC40:WPD40"/>
    <mergeCell ref="WPE40:WPF40"/>
    <mergeCell ref="WPG40:WPH40"/>
    <mergeCell ref="WPI40:WPJ40"/>
    <mergeCell ref="WPK40:WPL40"/>
    <mergeCell ref="WPM40:WPN40"/>
    <mergeCell ref="WOQ40:WOR40"/>
    <mergeCell ref="WOS40:WOT40"/>
    <mergeCell ref="WOU40:WOV40"/>
    <mergeCell ref="WOW40:WOX40"/>
    <mergeCell ref="WOY40:WOZ40"/>
    <mergeCell ref="WPA40:WPB40"/>
    <mergeCell ref="WTS40:WTT40"/>
    <mergeCell ref="WTU40:WTV40"/>
    <mergeCell ref="WTW40:WTX40"/>
    <mergeCell ref="WTY40:WTZ40"/>
    <mergeCell ref="WUA40:WUB40"/>
    <mergeCell ref="WUC40:WUD40"/>
    <mergeCell ref="WTG40:WTH40"/>
    <mergeCell ref="WTI40:WTJ40"/>
    <mergeCell ref="WTK40:WTL40"/>
    <mergeCell ref="WTM40:WTN40"/>
    <mergeCell ref="WTO40:WTP40"/>
    <mergeCell ref="WTQ40:WTR40"/>
    <mergeCell ref="WSU40:WSV40"/>
    <mergeCell ref="WSW40:WSX40"/>
    <mergeCell ref="WSY40:WSZ40"/>
    <mergeCell ref="WTA40:WTB40"/>
    <mergeCell ref="WTC40:WTD40"/>
    <mergeCell ref="WTE40:WTF40"/>
    <mergeCell ref="WSI40:WSJ40"/>
    <mergeCell ref="WSK40:WSL40"/>
    <mergeCell ref="WSM40:WSN40"/>
    <mergeCell ref="WSO40:WSP40"/>
    <mergeCell ref="WSQ40:WSR40"/>
    <mergeCell ref="WSS40:WST40"/>
    <mergeCell ref="WRW40:WRX40"/>
    <mergeCell ref="WRY40:WRZ40"/>
    <mergeCell ref="WSA40:WSB40"/>
    <mergeCell ref="WSC40:WSD40"/>
    <mergeCell ref="WSE40:WSF40"/>
    <mergeCell ref="WSG40:WSH40"/>
    <mergeCell ref="WRK40:WRL40"/>
    <mergeCell ref="WRM40:WRN40"/>
    <mergeCell ref="WRO40:WRP40"/>
    <mergeCell ref="WRQ40:WRR40"/>
    <mergeCell ref="WRS40:WRT40"/>
    <mergeCell ref="WRU40:WRV40"/>
    <mergeCell ref="WWM40:WWN40"/>
    <mergeCell ref="WWO40:WWP40"/>
    <mergeCell ref="WWQ40:WWR40"/>
    <mergeCell ref="WWS40:WWT40"/>
    <mergeCell ref="WWU40:WWV40"/>
    <mergeCell ref="WWW40:WWX40"/>
    <mergeCell ref="WWA40:WWB40"/>
    <mergeCell ref="WWC40:WWD40"/>
    <mergeCell ref="WWE40:WWF40"/>
    <mergeCell ref="WWG40:WWH40"/>
    <mergeCell ref="WWI40:WWJ40"/>
    <mergeCell ref="WWK40:WWL40"/>
    <mergeCell ref="WVO40:WVP40"/>
    <mergeCell ref="WVQ40:WVR40"/>
    <mergeCell ref="WVS40:WVT40"/>
    <mergeCell ref="WVU40:WVV40"/>
    <mergeCell ref="WVW40:WVX40"/>
    <mergeCell ref="WVY40:WVZ40"/>
    <mergeCell ref="WVC40:WVD40"/>
    <mergeCell ref="WVE40:WVF40"/>
    <mergeCell ref="WVG40:WVH40"/>
    <mergeCell ref="WVI40:WVJ40"/>
    <mergeCell ref="WVK40:WVL40"/>
    <mergeCell ref="WVM40:WVN40"/>
    <mergeCell ref="WUQ40:WUR40"/>
    <mergeCell ref="WUS40:WUT40"/>
    <mergeCell ref="WUU40:WUV40"/>
    <mergeCell ref="WUW40:WUX40"/>
    <mergeCell ref="WUY40:WUZ40"/>
    <mergeCell ref="WVA40:WVB40"/>
    <mergeCell ref="WUE40:WUF40"/>
    <mergeCell ref="WUG40:WUH40"/>
    <mergeCell ref="WUI40:WUJ40"/>
    <mergeCell ref="WUK40:WUL40"/>
    <mergeCell ref="WUM40:WUN40"/>
    <mergeCell ref="WUO40:WUP40"/>
    <mergeCell ref="WZG40:WZH40"/>
    <mergeCell ref="WZI40:WZJ40"/>
    <mergeCell ref="WZK40:WZL40"/>
    <mergeCell ref="WZM40:WZN40"/>
    <mergeCell ref="WZO40:WZP40"/>
    <mergeCell ref="WZQ40:WZR40"/>
    <mergeCell ref="WYU40:WYV40"/>
    <mergeCell ref="WYW40:WYX40"/>
    <mergeCell ref="WYY40:WYZ40"/>
    <mergeCell ref="WZA40:WZB40"/>
    <mergeCell ref="WZC40:WZD40"/>
    <mergeCell ref="WZE40:WZF40"/>
    <mergeCell ref="WYI40:WYJ40"/>
    <mergeCell ref="WYK40:WYL40"/>
    <mergeCell ref="WYM40:WYN40"/>
    <mergeCell ref="WYO40:WYP40"/>
    <mergeCell ref="WYQ40:WYR40"/>
    <mergeCell ref="WYS40:WYT40"/>
    <mergeCell ref="WXW40:WXX40"/>
    <mergeCell ref="WXY40:WXZ40"/>
    <mergeCell ref="WYA40:WYB40"/>
    <mergeCell ref="WYC40:WYD40"/>
    <mergeCell ref="WYE40:WYF40"/>
    <mergeCell ref="WYG40:WYH40"/>
    <mergeCell ref="WXK40:WXL40"/>
    <mergeCell ref="WXM40:WXN40"/>
    <mergeCell ref="WXO40:WXP40"/>
    <mergeCell ref="WXQ40:WXR40"/>
    <mergeCell ref="WXS40:WXT40"/>
    <mergeCell ref="WXU40:WXV40"/>
    <mergeCell ref="WWY40:WWZ40"/>
    <mergeCell ref="WXA40:WXB40"/>
    <mergeCell ref="WXC40:WXD40"/>
    <mergeCell ref="WXE40:WXF40"/>
    <mergeCell ref="WXG40:WXH40"/>
    <mergeCell ref="WXI40:WXJ40"/>
    <mergeCell ref="XCE40:XCF40"/>
    <mergeCell ref="XCG40:XCH40"/>
    <mergeCell ref="XCI40:XCJ40"/>
    <mergeCell ref="XCK40:XCL40"/>
    <mergeCell ref="XBO40:XBP40"/>
    <mergeCell ref="XBQ40:XBR40"/>
    <mergeCell ref="XBS40:XBT40"/>
    <mergeCell ref="XBU40:XBV40"/>
    <mergeCell ref="XBW40:XBX40"/>
    <mergeCell ref="XBY40:XBZ40"/>
    <mergeCell ref="XBC40:XBD40"/>
    <mergeCell ref="XBE40:XBF40"/>
    <mergeCell ref="XBG40:XBH40"/>
    <mergeCell ref="XBI40:XBJ40"/>
    <mergeCell ref="XBK40:XBL40"/>
    <mergeCell ref="XBM40:XBN40"/>
    <mergeCell ref="XAQ40:XAR40"/>
    <mergeCell ref="XAS40:XAT40"/>
    <mergeCell ref="XAU40:XAV40"/>
    <mergeCell ref="XAW40:XAX40"/>
    <mergeCell ref="XAY40:XAZ40"/>
    <mergeCell ref="XBA40:XBB40"/>
    <mergeCell ref="XAE40:XAF40"/>
    <mergeCell ref="XAG40:XAH40"/>
    <mergeCell ref="XAI40:XAJ40"/>
    <mergeCell ref="XAK40:XAL40"/>
    <mergeCell ref="XAM40:XAN40"/>
    <mergeCell ref="XAO40:XAP40"/>
    <mergeCell ref="WZS40:WZT40"/>
    <mergeCell ref="WZU40:WZV40"/>
    <mergeCell ref="WZW40:WZX40"/>
    <mergeCell ref="WZY40:WZZ40"/>
    <mergeCell ref="XAA40:XAB40"/>
    <mergeCell ref="XAC40:XAD40"/>
    <mergeCell ref="XEU40:XEV40"/>
    <mergeCell ref="XEW40:XEX40"/>
    <mergeCell ref="XEY40:XEZ40"/>
    <mergeCell ref="XFA40:XFB40"/>
    <mergeCell ref="XFC40:XFD40"/>
    <mergeCell ref="M41:N41"/>
    <mergeCell ref="O41:P41"/>
    <mergeCell ref="Q41:R41"/>
    <mergeCell ref="S41:T41"/>
    <mergeCell ref="XEI40:XEJ40"/>
    <mergeCell ref="XEK40:XEL40"/>
    <mergeCell ref="XEM40:XEN40"/>
    <mergeCell ref="XEO40:XEP40"/>
    <mergeCell ref="XEQ40:XER40"/>
    <mergeCell ref="XES40:XET40"/>
    <mergeCell ref="XDW40:XDX40"/>
    <mergeCell ref="XDY40:XDZ40"/>
    <mergeCell ref="XEA40:XEB40"/>
    <mergeCell ref="XEC40:XED40"/>
    <mergeCell ref="XEE40:XEF40"/>
    <mergeCell ref="XEG40:XEH40"/>
    <mergeCell ref="XDK40:XDL40"/>
    <mergeCell ref="XDM40:XDN40"/>
    <mergeCell ref="XDO40:XDP40"/>
    <mergeCell ref="XDQ40:XDR40"/>
    <mergeCell ref="XDS40:XDT40"/>
    <mergeCell ref="XDU40:XDV40"/>
    <mergeCell ref="XCY40:XCZ40"/>
    <mergeCell ref="XDA40:XDB40"/>
    <mergeCell ref="XDC40:XDD40"/>
    <mergeCell ref="XDE40:XDF40"/>
    <mergeCell ref="XDG40:XDH40"/>
    <mergeCell ref="XDI40:XDJ40"/>
    <mergeCell ref="XCM40:XCN40"/>
    <mergeCell ref="XCO40:XCP40"/>
    <mergeCell ref="XCQ40:XCR40"/>
    <mergeCell ref="XCS40:XCT40"/>
    <mergeCell ref="XCU40:XCV40"/>
    <mergeCell ref="XCW40:XCX40"/>
    <mergeCell ref="DQ41:DR41"/>
    <mergeCell ref="DS41:DT41"/>
    <mergeCell ref="DU41:DV41"/>
    <mergeCell ref="DW41:DX41"/>
    <mergeCell ref="DY41:DZ41"/>
    <mergeCell ref="EA41:EB41"/>
    <mergeCell ref="DE41:DF41"/>
    <mergeCell ref="DG41:DH41"/>
    <mergeCell ref="DI41:DJ41"/>
    <mergeCell ref="DK41:DL41"/>
    <mergeCell ref="DM41:DN41"/>
    <mergeCell ref="DO41:DP41"/>
    <mergeCell ref="CS41:CT41"/>
    <mergeCell ref="CU41:CV41"/>
    <mergeCell ref="CW41:CX41"/>
    <mergeCell ref="CY41:CZ41"/>
    <mergeCell ref="DA41:DB41"/>
    <mergeCell ref="DC41:DD41"/>
    <mergeCell ref="CG41:CH41"/>
    <mergeCell ref="CI41:CJ41"/>
    <mergeCell ref="CK41:CL41"/>
    <mergeCell ref="CM41:CN41"/>
    <mergeCell ref="CO41:CP41"/>
    <mergeCell ref="XCA40:XCB40"/>
    <mergeCell ref="XCC40:XCD40"/>
    <mergeCell ref="GW41:GX41"/>
    <mergeCell ref="GY41:GZ41"/>
    <mergeCell ref="HA41:HB41"/>
    <mergeCell ref="HC41:HD41"/>
    <mergeCell ref="HE41:HF41"/>
    <mergeCell ref="HG41:HH41"/>
    <mergeCell ref="CQ41:CR41"/>
    <mergeCell ref="BE41:BF41"/>
    <mergeCell ref="BG41:BH41"/>
    <mergeCell ref="BI41:BJ41"/>
    <mergeCell ref="BK41:BL41"/>
    <mergeCell ref="BM41:BN41"/>
    <mergeCell ref="BO41:BP41"/>
    <mergeCell ref="AS41:AT41"/>
    <mergeCell ref="AU41:AV41"/>
    <mergeCell ref="AW41:AX41"/>
    <mergeCell ref="AY41:AZ41"/>
    <mergeCell ref="BA41:BB41"/>
    <mergeCell ref="BC41:BD41"/>
    <mergeCell ref="GK41:GL41"/>
    <mergeCell ref="GM41:GN41"/>
    <mergeCell ref="GO41:GP41"/>
    <mergeCell ref="GQ41:GR41"/>
    <mergeCell ref="GS41:GT41"/>
    <mergeCell ref="GU41:GV41"/>
    <mergeCell ref="FY41:FZ41"/>
    <mergeCell ref="GA41:GB41"/>
    <mergeCell ref="GC41:GD41"/>
    <mergeCell ref="GE41:GF41"/>
    <mergeCell ref="GG41:GH41"/>
    <mergeCell ref="GI41:GJ41"/>
    <mergeCell ref="FM41:FN41"/>
    <mergeCell ref="FO41:FP41"/>
    <mergeCell ref="FQ41:FR41"/>
    <mergeCell ref="FS41:FT41"/>
    <mergeCell ref="FU41:FV41"/>
    <mergeCell ref="FW41:FX41"/>
    <mergeCell ref="FA41:FB41"/>
    <mergeCell ref="FC41:FD41"/>
    <mergeCell ref="FE41:FF41"/>
    <mergeCell ref="FG41:FH41"/>
    <mergeCell ref="FI41:FJ41"/>
    <mergeCell ref="FK41:FL41"/>
    <mergeCell ref="EO41:EP41"/>
    <mergeCell ref="EQ41:ER41"/>
    <mergeCell ref="ES41:ET41"/>
    <mergeCell ref="EU41:EV41"/>
    <mergeCell ref="EW41:EX41"/>
    <mergeCell ref="EY41:EZ41"/>
    <mergeCell ref="EC41:ED41"/>
    <mergeCell ref="EE41:EF41"/>
    <mergeCell ref="EG41:EH41"/>
    <mergeCell ref="EI41:EJ41"/>
    <mergeCell ref="EK41:EL41"/>
    <mergeCell ref="EM41:EN41"/>
    <mergeCell ref="JQ41:JR41"/>
    <mergeCell ref="JS41:JT41"/>
    <mergeCell ref="JU41:JV41"/>
    <mergeCell ref="JW41:JX41"/>
    <mergeCell ref="JY41:JZ41"/>
    <mergeCell ref="KA41:KB41"/>
    <mergeCell ref="JE41:JF41"/>
    <mergeCell ref="JG41:JH41"/>
    <mergeCell ref="JI41:JJ41"/>
    <mergeCell ref="JK41:JL41"/>
    <mergeCell ref="JM41:JN41"/>
    <mergeCell ref="JO41:JP41"/>
    <mergeCell ref="IS41:IT41"/>
    <mergeCell ref="IU41:IV41"/>
    <mergeCell ref="IW41:IX41"/>
    <mergeCell ref="IY41:IZ41"/>
    <mergeCell ref="JA41:JB41"/>
    <mergeCell ref="JC41:JD41"/>
    <mergeCell ref="IG41:IH41"/>
    <mergeCell ref="II41:IJ41"/>
    <mergeCell ref="IK41:IL41"/>
    <mergeCell ref="IM41:IN41"/>
    <mergeCell ref="IO41:IP41"/>
    <mergeCell ref="IQ41:IR41"/>
    <mergeCell ref="HU41:HV41"/>
    <mergeCell ref="HW41:HX41"/>
    <mergeCell ref="HY41:HZ41"/>
    <mergeCell ref="IA41:IB41"/>
    <mergeCell ref="IC41:ID41"/>
    <mergeCell ref="IE41:IF41"/>
    <mergeCell ref="HI41:HJ41"/>
    <mergeCell ref="HK41:HL41"/>
    <mergeCell ref="HM41:HN41"/>
    <mergeCell ref="HO41:HP41"/>
    <mergeCell ref="HQ41:HR41"/>
    <mergeCell ref="HS41:HT41"/>
    <mergeCell ref="MK41:ML41"/>
    <mergeCell ref="MM41:MN41"/>
    <mergeCell ref="MO41:MP41"/>
    <mergeCell ref="MQ41:MR41"/>
    <mergeCell ref="MS41:MT41"/>
    <mergeCell ref="MU41:MV41"/>
    <mergeCell ref="LY41:LZ41"/>
    <mergeCell ref="MA41:MB41"/>
    <mergeCell ref="MC41:MD41"/>
    <mergeCell ref="ME41:MF41"/>
    <mergeCell ref="MG41:MH41"/>
    <mergeCell ref="MI41:MJ41"/>
    <mergeCell ref="LM41:LN41"/>
    <mergeCell ref="LO41:LP41"/>
    <mergeCell ref="LQ41:LR41"/>
    <mergeCell ref="LS41:LT41"/>
    <mergeCell ref="LU41:LV41"/>
    <mergeCell ref="LW41:LX41"/>
    <mergeCell ref="LA41:LB41"/>
    <mergeCell ref="LC41:LD41"/>
    <mergeCell ref="LE41:LF41"/>
    <mergeCell ref="LG41:LH41"/>
    <mergeCell ref="LI41:LJ41"/>
    <mergeCell ref="LK41:LL41"/>
    <mergeCell ref="KO41:KP41"/>
    <mergeCell ref="KQ41:KR41"/>
    <mergeCell ref="KS41:KT41"/>
    <mergeCell ref="KU41:KV41"/>
    <mergeCell ref="KW41:KX41"/>
    <mergeCell ref="KY41:KZ41"/>
    <mergeCell ref="KC41:KD41"/>
    <mergeCell ref="KE41:KF41"/>
    <mergeCell ref="KG41:KH41"/>
    <mergeCell ref="KI41:KJ41"/>
    <mergeCell ref="KK41:KL41"/>
    <mergeCell ref="KM41:KN41"/>
    <mergeCell ref="PE41:PF41"/>
    <mergeCell ref="PG41:PH41"/>
    <mergeCell ref="PI41:PJ41"/>
    <mergeCell ref="PK41:PL41"/>
    <mergeCell ref="PM41:PN41"/>
    <mergeCell ref="PO41:PP41"/>
    <mergeCell ref="OS41:OT41"/>
    <mergeCell ref="OU41:OV41"/>
    <mergeCell ref="OW41:OX41"/>
    <mergeCell ref="OY41:OZ41"/>
    <mergeCell ref="PA41:PB41"/>
    <mergeCell ref="PC41:PD41"/>
    <mergeCell ref="OG41:OH41"/>
    <mergeCell ref="OI41:OJ41"/>
    <mergeCell ref="OK41:OL41"/>
    <mergeCell ref="OM41:ON41"/>
    <mergeCell ref="OO41:OP41"/>
    <mergeCell ref="OQ41:OR41"/>
    <mergeCell ref="NU41:NV41"/>
    <mergeCell ref="NW41:NX41"/>
    <mergeCell ref="NY41:NZ41"/>
    <mergeCell ref="OA41:OB41"/>
    <mergeCell ref="OC41:OD41"/>
    <mergeCell ref="OE41:OF41"/>
    <mergeCell ref="NI41:NJ41"/>
    <mergeCell ref="NK41:NL41"/>
    <mergeCell ref="NM41:NN41"/>
    <mergeCell ref="NO41:NP41"/>
    <mergeCell ref="NQ41:NR41"/>
    <mergeCell ref="NS41:NT41"/>
    <mergeCell ref="MW41:MX41"/>
    <mergeCell ref="MY41:MZ41"/>
    <mergeCell ref="NA41:NB41"/>
    <mergeCell ref="NC41:ND41"/>
    <mergeCell ref="NE41:NF41"/>
    <mergeCell ref="NG41:NH41"/>
    <mergeCell ref="RY41:RZ41"/>
    <mergeCell ref="SA41:SB41"/>
    <mergeCell ref="SC41:SD41"/>
    <mergeCell ref="SE41:SF41"/>
    <mergeCell ref="SG41:SH41"/>
    <mergeCell ref="SI41:SJ41"/>
    <mergeCell ref="RM41:RN41"/>
    <mergeCell ref="RO41:RP41"/>
    <mergeCell ref="RQ41:RR41"/>
    <mergeCell ref="RS41:RT41"/>
    <mergeCell ref="RU41:RV41"/>
    <mergeCell ref="RW41:RX41"/>
    <mergeCell ref="RA41:RB41"/>
    <mergeCell ref="RC41:RD41"/>
    <mergeCell ref="RE41:RF41"/>
    <mergeCell ref="RG41:RH41"/>
    <mergeCell ref="RI41:RJ41"/>
    <mergeCell ref="RK41:RL41"/>
    <mergeCell ref="QO41:QP41"/>
    <mergeCell ref="QQ41:QR41"/>
    <mergeCell ref="QS41:QT41"/>
    <mergeCell ref="QU41:QV41"/>
    <mergeCell ref="QW41:QX41"/>
    <mergeCell ref="QY41:QZ41"/>
    <mergeCell ref="QC41:QD41"/>
    <mergeCell ref="QE41:QF41"/>
    <mergeCell ref="QG41:QH41"/>
    <mergeCell ref="QI41:QJ41"/>
    <mergeCell ref="QK41:QL41"/>
    <mergeCell ref="QM41:QN41"/>
    <mergeCell ref="PQ41:PR41"/>
    <mergeCell ref="PS41:PT41"/>
    <mergeCell ref="PU41:PV41"/>
    <mergeCell ref="PW41:PX41"/>
    <mergeCell ref="PY41:PZ41"/>
    <mergeCell ref="QA41:QB41"/>
    <mergeCell ref="US41:UT41"/>
    <mergeCell ref="UU41:UV41"/>
    <mergeCell ref="UW41:UX41"/>
    <mergeCell ref="UY41:UZ41"/>
    <mergeCell ref="VA41:VB41"/>
    <mergeCell ref="VC41:VD41"/>
    <mergeCell ref="UG41:UH41"/>
    <mergeCell ref="UI41:UJ41"/>
    <mergeCell ref="UK41:UL41"/>
    <mergeCell ref="UM41:UN41"/>
    <mergeCell ref="UO41:UP41"/>
    <mergeCell ref="UQ41:UR41"/>
    <mergeCell ref="TU41:TV41"/>
    <mergeCell ref="TW41:TX41"/>
    <mergeCell ref="TY41:TZ41"/>
    <mergeCell ref="UA41:UB41"/>
    <mergeCell ref="UC41:UD41"/>
    <mergeCell ref="UE41:UF41"/>
    <mergeCell ref="TI41:TJ41"/>
    <mergeCell ref="TK41:TL41"/>
    <mergeCell ref="TM41:TN41"/>
    <mergeCell ref="TO41:TP41"/>
    <mergeCell ref="TQ41:TR41"/>
    <mergeCell ref="TS41:TT41"/>
    <mergeCell ref="SW41:SX41"/>
    <mergeCell ref="SY41:SZ41"/>
    <mergeCell ref="TA41:TB41"/>
    <mergeCell ref="TC41:TD41"/>
    <mergeCell ref="TE41:TF41"/>
    <mergeCell ref="TG41:TH41"/>
    <mergeCell ref="SK41:SL41"/>
    <mergeCell ref="SM41:SN41"/>
    <mergeCell ref="SO41:SP41"/>
    <mergeCell ref="SQ41:SR41"/>
    <mergeCell ref="SS41:ST41"/>
    <mergeCell ref="SU41:SV41"/>
    <mergeCell ref="XM41:XN41"/>
    <mergeCell ref="XO41:XP41"/>
    <mergeCell ref="XQ41:XR41"/>
    <mergeCell ref="XS41:XT41"/>
    <mergeCell ref="XU41:XV41"/>
    <mergeCell ref="XW41:XX41"/>
    <mergeCell ref="XA41:XB41"/>
    <mergeCell ref="XC41:XD41"/>
    <mergeCell ref="XE41:XF41"/>
    <mergeCell ref="XG41:XH41"/>
    <mergeCell ref="XI41:XJ41"/>
    <mergeCell ref="XK41:XL41"/>
    <mergeCell ref="WO41:WP41"/>
    <mergeCell ref="WQ41:WR41"/>
    <mergeCell ref="WS41:WT41"/>
    <mergeCell ref="WU41:WV41"/>
    <mergeCell ref="WW41:WX41"/>
    <mergeCell ref="WY41:WZ41"/>
    <mergeCell ref="WC41:WD41"/>
    <mergeCell ref="WE41:WF41"/>
    <mergeCell ref="WG41:WH41"/>
    <mergeCell ref="WI41:WJ41"/>
    <mergeCell ref="WK41:WL41"/>
    <mergeCell ref="WM41:WN41"/>
    <mergeCell ref="VQ41:VR41"/>
    <mergeCell ref="VS41:VT41"/>
    <mergeCell ref="VU41:VV41"/>
    <mergeCell ref="VW41:VX41"/>
    <mergeCell ref="VY41:VZ41"/>
    <mergeCell ref="WA41:WB41"/>
    <mergeCell ref="VE41:VF41"/>
    <mergeCell ref="VG41:VH41"/>
    <mergeCell ref="VI41:VJ41"/>
    <mergeCell ref="VK41:VL41"/>
    <mergeCell ref="VM41:VN41"/>
    <mergeCell ref="VO41:VP41"/>
    <mergeCell ref="AAG41:AAH41"/>
    <mergeCell ref="AAI41:AAJ41"/>
    <mergeCell ref="AAK41:AAL41"/>
    <mergeCell ref="AAM41:AAN41"/>
    <mergeCell ref="AAO41:AAP41"/>
    <mergeCell ref="AAQ41:AAR41"/>
    <mergeCell ref="ZU41:ZV41"/>
    <mergeCell ref="ZW41:ZX41"/>
    <mergeCell ref="ZY41:ZZ41"/>
    <mergeCell ref="AAA41:AAB41"/>
    <mergeCell ref="AAC41:AAD41"/>
    <mergeCell ref="AAE41:AAF41"/>
    <mergeCell ref="ZI41:ZJ41"/>
    <mergeCell ref="ZK41:ZL41"/>
    <mergeCell ref="ZM41:ZN41"/>
    <mergeCell ref="ZO41:ZP41"/>
    <mergeCell ref="ZQ41:ZR41"/>
    <mergeCell ref="ZS41:ZT41"/>
    <mergeCell ref="YW41:YX41"/>
    <mergeCell ref="YY41:YZ41"/>
    <mergeCell ref="ZA41:ZB41"/>
    <mergeCell ref="ZC41:ZD41"/>
    <mergeCell ref="ZE41:ZF41"/>
    <mergeCell ref="ZG41:ZH41"/>
    <mergeCell ref="YK41:YL41"/>
    <mergeCell ref="YM41:YN41"/>
    <mergeCell ref="YO41:YP41"/>
    <mergeCell ref="YQ41:YR41"/>
    <mergeCell ref="YS41:YT41"/>
    <mergeCell ref="YU41:YV41"/>
    <mergeCell ref="XY41:XZ41"/>
    <mergeCell ref="YA41:YB41"/>
    <mergeCell ref="YC41:YD41"/>
    <mergeCell ref="YE41:YF41"/>
    <mergeCell ref="YG41:YH41"/>
    <mergeCell ref="YI41:YJ41"/>
    <mergeCell ref="ADA41:ADB41"/>
    <mergeCell ref="ADC41:ADD41"/>
    <mergeCell ref="ADE41:ADF41"/>
    <mergeCell ref="ADG41:ADH41"/>
    <mergeCell ref="ADI41:ADJ41"/>
    <mergeCell ref="ADK41:ADL41"/>
    <mergeCell ref="ACO41:ACP41"/>
    <mergeCell ref="ACQ41:ACR41"/>
    <mergeCell ref="ACS41:ACT41"/>
    <mergeCell ref="ACU41:ACV41"/>
    <mergeCell ref="ACW41:ACX41"/>
    <mergeCell ref="ACY41:ACZ41"/>
    <mergeCell ref="ACC41:ACD41"/>
    <mergeCell ref="ACE41:ACF41"/>
    <mergeCell ref="ACG41:ACH41"/>
    <mergeCell ref="ACI41:ACJ41"/>
    <mergeCell ref="ACK41:ACL41"/>
    <mergeCell ref="ACM41:ACN41"/>
    <mergeCell ref="ABQ41:ABR41"/>
    <mergeCell ref="ABS41:ABT41"/>
    <mergeCell ref="ABU41:ABV41"/>
    <mergeCell ref="ABW41:ABX41"/>
    <mergeCell ref="ABY41:ABZ41"/>
    <mergeCell ref="ACA41:ACB41"/>
    <mergeCell ref="ABE41:ABF41"/>
    <mergeCell ref="ABG41:ABH41"/>
    <mergeCell ref="ABI41:ABJ41"/>
    <mergeCell ref="ABK41:ABL41"/>
    <mergeCell ref="ABM41:ABN41"/>
    <mergeCell ref="ABO41:ABP41"/>
    <mergeCell ref="AAS41:AAT41"/>
    <mergeCell ref="AAU41:AAV41"/>
    <mergeCell ref="AAW41:AAX41"/>
    <mergeCell ref="AAY41:AAZ41"/>
    <mergeCell ref="ABA41:ABB41"/>
    <mergeCell ref="ABC41:ABD41"/>
    <mergeCell ref="AFU41:AFV41"/>
    <mergeCell ref="AFW41:AFX41"/>
    <mergeCell ref="AFY41:AFZ41"/>
    <mergeCell ref="AGA41:AGB41"/>
    <mergeCell ref="AGC41:AGD41"/>
    <mergeCell ref="AGE41:AGF41"/>
    <mergeCell ref="AFI41:AFJ41"/>
    <mergeCell ref="AFK41:AFL41"/>
    <mergeCell ref="AFM41:AFN41"/>
    <mergeCell ref="AFO41:AFP41"/>
    <mergeCell ref="AFQ41:AFR41"/>
    <mergeCell ref="AFS41:AFT41"/>
    <mergeCell ref="AEW41:AEX41"/>
    <mergeCell ref="AEY41:AEZ41"/>
    <mergeCell ref="AFA41:AFB41"/>
    <mergeCell ref="AFC41:AFD41"/>
    <mergeCell ref="AFE41:AFF41"/>
    <mergeCell ref="AFG41:AFH41"/>
    <mergeCell ref="AEK41:AEL41"/>
    <mergeCell ref="AEM41:AEN41"/>
    <mergeCell ref="AEO41:AEP41"/>
    <mergeCell ref="AEQ41:AER41"/>
    <mergeCell ref="AES41:AET41"/>
    <mergeCell ref="AEU41:AEV41"/>
    <mergeCell ref="ADY41:ADZ41"/>
    <mergeCell ref="AEA41:AEB41"/>
    <mergeCell ref="AEC41:AED41"/>
    <mergeCell ref="AEE41:AEF41"/>
    <mergeCell ref="AEG41:AEH41"/>
    <mergeCell ref="AEI41:AEJ41"/>
    <mergeCell ref="ADM41:ADN41"/>
    <mergeCell ref="ADO41:ADP41"/>
    <mergeCell ref="ADQ41:ADR41"/>
    <mergeCell ref="ADS41:ADT41"/>
    <mergeCell ref="ADU41:ADV41"/>
    <mergeCell ref="ADW41:ADX41"/>
    <mergeCell ref="AIO41:AIP41"/>
    <mergeCell ref="AIQ41:AIR41"/>
    <mergeCell ref="AIS41:AIT41"/>
    <mergeCell ref="AIU41:AIV41"/>
    <mergeCell ref="AIW41:AIX41"/>
    <mergeCell ref="AIY41:AIZ41"/>
    <mergeCell ref="AIC41:AID41"/>
    <mergeCell ref="AIE41:AIF41"/>
    <mergeCell ref="AIG41:AIH41"/>
    <mergeCell ref="AII41:AIJ41"/>
    <mergeCell ref="AIK41:AIL41"/>
    <mergeCell ref="AIM41:AIN41"/>
    <mergeCell ref="AHQ41:AHR41"/>
    <mergeCell ref="AHS41:AHT41"/>
    <mergeCell ref="AHU41:AHV41"/>
    <mergeCell ref="AHW41:AHX41"/>
    <mergeCell ref="AHY41:AHZ41"/>
    <mergeCell ref="AIA41:AIB41"/>
    <mergeCell ref="AHE41:AHF41"/>
    <mergeCell ref="AHG41:AHH41"/>
    <mergeCell ref="AHI41:AHJ41"/>
    <mergeCell ref="AHK41:AHL41"/>
    <mergeCell ref="AHM41:AHN41"/>
    <mergeCell ref="AHO41:AHP41"/>
    <mergeCell ref="AGS41:AGT41"/>
    <mergeCell ref="AGU41:AGV41"/>
    <mergeCell ref="AGW41:AGX41"/>
    <mergeCell ref="AGY41:AGZ41"/>
    <mergeCell ref="AHA41:AHB41"/>
    <mergeCell ref="AHC41:AHD41"/>
    <mergeCell ref="AGG41:AGH41"/>
    <mergeCell ref="AGI41:AGJ41"/>
    <mergeCell ref="AGK41:AGL41"/>
    <mergeCell ref="AGM41:AGN41"/>
    <mergeCell ref="AGO41:AGP41"/>
    <mergeCell ref="AGQ41:AGR41"/>
    <mergeCell ref="ALI41:ALJ41"/>
    <mergeCell ref="ALK41:ALL41"/>
    <mergeCell ref="ALM41:ALN41"/>
    <mergeCell ref="ALO41:ALP41"/>
    <mergeCell ref="ALQ41:ALR41"/>
    <mergeCell ref="ALS41:ALT41"/>
    <mergeCell ref="AKW41:AKX41"/>
    <mergeCell ref="AKY41:AKZ41"/>
    <mergeCell ref="ALA41:ALB41"/>
    <mergeCell ref="ALC41:ALD41"/>
    <mergeCell ref="ALE41:ALF41"/>
    <mergeCell ref="ALG41:ALH41"/>
    <mergeCell ref="AKK41:AKL41"/>
    <mergeCell ref="AKM41:AKN41"/>
    <mergeCell ref="AKO41:AKP41"/>
    <mergeCell ref="AKQ41:AKR41"/>
    <mergeCell ref="AKS41:AKT41"/>
    <mergeCell ref="AKU41:AKV41"/>
    <mergeCell ref="AJY41:AJZ41"/>
    <mergeCell ref="AKA41:AKB41"/>
    <mergeCell ref="AKC41:AKD41"/>
    <mergeCell ref="AKE41:AKF41"/>
    <mergeCell ref="AKG41:AKH41"/>
    <mergeCell ref="AKI41:AKJ41"/>
    <mergeCell ref="AJM41:AJN41"/>
    <mergeCell ref="AJO41:AJP41"/>
    <mergeCell ref="AJQ41:AJR41"/>
    <mergeCell ref="AJS41:AJT41"/>
    <mergeCell ref="AJU41:AJV41"/>
    <mergeCell ref="AJW41:AJX41"/>
    <mergeCell ref="AJA41:AJB41"/>
    <mergeCell ref="AJC41:AJD41"/>
    <mergeCell ref="AJE41:AJF41"/>
    <mergeCell ref="AJG41:AJH41"/>
    <mergeCell ref="AJI41:AJJ41"/>
    <mergeCell ref="AJK41:AJL41"/>
    <mergeCell ref="AOC41:AOD41"/>
    <mergeCell ref="AOE41:AOF41"/>
    <mergeCell ref="AOG41:AOH41"/>
    <mergeCell ref="AOI41:AOJ41"/>
    <mergeCell ref="AOK41:AOL41"/>
    <mergeCell ref="AOM41:AON41"/>
    <mergeCell ref="ANQ41:ANR41"/>
    <mergeCell ref="ANS41:ANT41"/>
    <mergeCell ref="ANU41:ANV41"/>
    <mergeCell ref="ANW41:ANX41"/>
    <mergeCell ref="ANY41:ANZ41"/>
    <mergeCell ref="AOA41:AOB41"/>
    <mergeCell ref="ANE41:ANF41"/>
    <mergeCell ref="ANG41:ANH41"/>
    <mergeCell ref="ANI41:ANJ41"/>
    <mergeCell ref="ANK41:ANL41"/>
    <mergeCell ref="ANM41:ANN41"/>
    <mergeCell ref="ANO41:ANP41"/>
    <mergeCell ref="AMS41:AMT41"/>
    <mergeCell ref="AMU41:AMV41"/>
    <mergeCell ref="AMW41:AMX41"/>
    <mergeCell ref="AMY41:AMZ41"/>
    <mergeCell ref="ANA41:ANB41"/>
    <mergeCell ref="ANC41:AND41"/>
    <mergeCell ref="AMG41:AMH41"/>
    <mergeCell ref="AMI41:AMJ41"/>
    <mergeCell ref="AMK41:AML41"/>
    <mergeCell ref="AMM41:AMN41"/>
    <mergeCell ref="AMO41:AMP41"/>
    <mergeCell ref="AMQ41:AMR41"/>
    <mergeCell ref="ALU41:ALV41"/>
    <mergeCell ref="ALW41:ALX41"/>
    <mergeCell ref="ALY41:ALZ41"/>
    <mergeCell ref="AMA41:AMB41"/>
    <mergeCell ref="AMC41:AMD41"/>
    <mergeCell ref="AME41:AMF41"/>
    <mergeCell ref="AQW41:AQX41"/>
    <mergeCell ref="AQY41:AQZ41"/>
    <mergeCell ref="ARA41:ARB41"/>
    <mergeCell ref="ARC41:ARD41"/>
    <mergeCell ref="ARE41:ARF41"/>
    <mergeCell ref="ARG41:ARH41"/>
    <mergeCell ref="AQK41:AQL41"/>
    <mergeCell ref="AQM41:AQN41"/>
    <mergeCell ref="AQO41:AQP41"/>
    <mergeCell ref="AQQ41:AQR41"/>
    <mergeCell ref="AQS41:AQT41"/>
    <mergeCell ref="AQU41:AQV41"/>
    <mergeCell ref="APY41:APZ41"/>
    <mergeCell ref="AQA41:AQB41"/>
    <mergeCell ref="AQC41:AQD41"/>
    <mergeCell ref="AQE41:AQF41"/>
    <mergeCell ref="AQG41:AQH41"/>
    <mergeCell ref="AQI41:AQJ41"/>
    <mergeCell ref="APM41:APN41"/>
    <mergeCell ref="APO41:APP41"/>
    <mergeCell ref="APQ41:APR41"/>
    <mergeCell ref="APS41:APT41"/>
    <mergeCell ref="APU41:APV41"/>
    <mergeCell ref="APW41:APX41"/>
    <mergeCell ref="APA41:APB41"/>
    <mergeCell ref="APC41:APD41"/>
    <mergeCell ref="APE41:APF41"/>
    <mergeCell ref="APG41:APH41"/>
    <mergeCell ref="API41:APJ41"/>
    <mergeCell ref="APK41:APL41"/>
    <mergeCell ref="AOO41:AOP41"/>
    <mergeCell ref="AOQ41:AOR41"/>
    <mergeCell ref="AOS41:AOT41"/>
    <mergeCell ref="AOU41:AOV41"/>
    <mergeCell ref="AOW41:AOX41"/>
    <mergeCell ref="AOY41:AOZ41"/>
    <mergeCell ref="ATQ41:ATR41"/>
    <mergeCell ref="ATS41:ATT41"/>
    <mergeCell ref="ATU41:ATV41"/>
    <mergeCell ref="ATW41:ATX41"/>
    <mergeCell ref="ATY41:ATZ41"/>
    <mergeCell ref="AUA41:AUB41"/>
    <mergeCell ref="ATE41:ATF41"/>
    <mergeCell ref="ATG41:ATH41"/>
    <mergeCell ref="ATI41:ATJ41"/>
    <mergeCell ref="ATK41:ATL41"/>
    <mergeCell ref="ATM41:ATN41"/>
    <mergeCell ref="ATO41:ATP41"/>
    <mergeCell ref="ASS41:AST41"/>
    <mergeCell ref="ASU41:ASV41"/>
    <mergeCell ref="ASW41:ASX41"/>
    <mergeCell ref="ASY41:ASZ41"/>
    <mergeCell ref="ATA41:ATB41"/>
    <mergeCell ref="ATC41:ATD41"/>
    <mergeCell ref="ASG41:ASH41"/>
    <mergeCell ref="ASI41:ASJ41"/>
    <mergeCell ref="ASK41:ASL41"/>
    <mergeCell ref="ASM41:ASN41"/>
    <mergeCell ref="ASO41:ASP41"/>
    <mergeCell ref="ASQ41:ASR41"/>
    <mergeCell ref="ARU41:ARV41"/>
    <mergeCell ref="ARW41:ARX41"/>
    <mergeCell ref="ARY41:ARZ41"/>
    <mergeCell ref="ASA41:ASB41"/>
    <mergeCell ref="ASC41:ASD41"/>
    <mergeCell ref="ASE41:ASF41"/>
    <mergeCell ref="ARI41:ARJ41"/>
    <mergeCell ref="ARK41:ARL41"/>
    <mergeCell ref="ARM41:ARN41"/>
    <mergeCell ref="ARO41:ARP41"/>
    <mergeCell ref="ARQ41:ARR41"/>
    <mergeCell ref="ARS41:ART41"/>
    <mergeCell ref="AWK41:AWL41"/>
    <mergeCell ref="AWM41:AWN41"/>
    <mergeCell ref="AWO41:AWP41"/>
    <mergeCell ref="AWQ41:AWR41"/>
    <mergeCell ref="AWS41:AWT41"/>
    <mergeCell ref="AWU41:AWV41"/>
    <mergeCell ref="AVY41:AVZ41"/>
    <mergeCell ref="AWA41:AWB41"/>
    <mergeCell ref="AWC41:AWD41"/>
    <mergeCell ref="AWE41:AWF41"/>
    <mergeCell ref="AWG41:AWH41"/>
    <mergeCell ref="AWI41:AWJ41"/>
    <mergeCell ref="AVM41:AVN41"/>
    <mergeCell ref="AVO41:AVP41"/>
    <mergeCell ref="AVQ41:AVR41"/>
    <mergeCell ref="AVS41:AVT41"/>
    <mergeCell ref="AVU41:AVV41"/>
    <mergeCell ref="AVW41:AVX41"/>
    <mergeCell ref="AVA41:AVB41"/>
    <mergeCell ref="AVC41:AVD41"/>
    <mergeCell ref="AVE41:AVF41"/>
    <mergeCell ref="AVG41:AVH41"/>
    <mergeCell ref="AVI41:AVJ41"/>
    <mergeCell ref="AVK41:AVL41"/>
    <mergeCell ref="AUO41:AUP41"/>
    <mergeCell ref="AUQ41:AUR41"/>
    <mergeCell ref="AUS41:AUT41"/>
    <mergeCell ref="AUU41:AUV41"/>
    <mergeCell ref="AUW41:AUX41"/>
    <mergeCell ref="AUY41:AUZ41"/>
    <mergeCell ref="AUC41:AUD41"/>
    <mergeCell ref="AUE41:AUF41"/>
    <mergeCell ref="AUG41:AUH41"/>
    <mergeCell ref="AUI41:AUJ41"/>
    <mergeCell ref="AUK41:AUL41"/>
    <mergeCell ref="AUM41:AUN41"/>
    <mergeCell ref="AZE41:AZF41"/>
    <mergeCell ref="AZG41:AZH41"/>
    <mergeCell ref="AZI41:AZJ41"/>
    <mergeCell ref="AZK41:AZL41"/>
    <mergeCell ref="AZM41:AZN41"/>
    <mergeCell ref="AZO41:AZP41"/>
    <mergeCell ref="AYS41:AYT41"/>
    <mergeCell ref="AYU41:AYV41"/>
    <mergeCell ref="AYW41:AYX41"/>
    <mergeCell ref="AYY41:AYZ41"/>
    <mergeCell ref="AZA41:AZB41"/>
    <mergeCell ref="AZC41:AZD41"/>
    <mergeCell ref="AYG41:AYH41"/>
    <mergeCell ref="AYI41:AYJ41"/>
    <mergeCell ref="AYK41:AYL41"/>
    <mergeCell ref="AYM41:AYN41"/>
    <mergeCell ref="AYO41:AYP41"/>
    <mergeCell ref="AYQ41:AYR41"/>
    <mergeCell ref="AXU41:AXV41"/>
    <mergeCell ref="AXW41:AXX41"/>
    <mergeCell ref="AXY41:AXZ41"/>
    <mergeCell ref="AYA41:AYB41"/>
    <mergeCell ref="AYC41:AYD41"/>
    <mergeCell ref="AYE41:AYF41"/>
    <mergeCell ref="AXI41:AXJ41"/>
    <mergeCell ref="AXK41:AXL41"/>
    <mergeCell ref="AXM41:AXN41"/>
    <mergeCell ref="AXO41:AXP41"/>
    <mergeCell ref="AXQ41:AXR41"/>
    <mergeCell ref="AXS41:AXT41"/>
    <mergeCell ref="AWW41:AWX41"/>
    <mergeCell ref="AWY41:AWZ41"/>
    <mergeCell ref="AXA41:AXB41"/>
    <mergeCell ref="AXC41:AXD41"/>
    <mergeCell ref="AXE41:AXF41"/>
    <mergeCell ref="AXG41:AXH41"/>
    <mergeCell ref="BBY41:BBZ41"/>
    <mergeCell ref="BCA41:BCB41"/>
    <mergeCell ref="BCC41:BCD41"/>
    <mergeCell ref="BCE41:BCF41"/>
    <mergeCell ref="BCG41:BCH41"/>
    <mergeCell ref="BCI41:BCJ41"/>
    <mergeCell ref="BBM41:BBN41"/>
    <mergeCell ref="BBO41:BBP41"/>
    <mergeCell ref="BBQ41:BBR41"/>
    <mergeCell ref="BBS41:BBT41"/>
    <mergeCell ref="BBU41:BBV41"/>
    <mergeCell ref="BBW41:BBX41"/>
    <mergeCell ref="BBA41:BBB41"/>
    <mergeCell ref="BBC41:BBD41"/>
    <mergeCell ref="BBE41:BBF41"/>
    <mergeCell ref="BBG41:BBH41"/>
    <mergeCell ref="BBI41:BBJ41"/>
    <mergeCell ref="BBK41:BBL41"/>
    <mergeCell ref="BAO41:BAP41"/>
    <mergeCell ref="BAQ41:BAR41"/>
    <mergeCell ref="BAS41:BAT41"/>
    <mergeCell ref="BAU41:BAV41"/>
    <mergeCell ref="BAW41:BAX41"/>
    <mergeCell ref="BAY41:BAZ41"/>
    <mergeCell ref="BAC41:BAD41"/>
    <mergeCell ref="BAE41:BAF41"/>
    <mergeCell ref="BAG41:BAH41"/>
    <mergeCell ref="BAI41:BAJ41"/>
    <mergeCell ref="BAK41:BAL41"/>
    <mergeCell ref="BAM41:BAN41"/>
    <mergeCell ref="AZQ41:AZR41"/>
    <mergeCell ref="AZS41:AZT41"/>
    <mergeCell ref="AZU41:AZV41"/>
    <mergeCell ref="AZW41:AZX41"/>
    <mergeCell ref="AZY41:AZZ41"/>
    <mergeCell ref="BAA41:BAB41"/>
    <mergeCell ref="BES41:BET41"/>
    <mergeCell ref="BEU41:BEV41"/>
    <mergeCell ref="BEW41:BEX41"/>
    <mergeCell ref="BEY41:BEZ41"/>
    <mergeCell ref="BFA41:BFB41"/>
    <mergeCell ref="BFC41:BFD41"/>
    <mergeCell ref="BEG41:BEH41"/>
    <mergeCell ref="BEI41:BEJ41"/>
    <mergeCell ref="BEK41:BEL41"/>
    <mergeCell ref="BEM41:BEN41"/>
    <mergeCell ref="BEO41:BEP41"/>
    <mergeCell ref="BEQ41:BER41"/>
    <mergeCell ref="BDU41:BDV41"/>
    <mergeCell ref="BDW41:BDX41"/>
    <mergeCell ref="BDY41:BDZ41"/>
    <mergeCell ref="BEA41:BEB41"/>
    <mergeCell ref="BEC41:BED41"/>
    <mergeCell ref="BEE41:BEF41"/>
    <mergeCell ref="BDI41:BDJ41"/>
    <mergeCell ref="BDK41:BDL41"/>
    <mergeCell ref="BDM41:BDN41"/>
    <mergeCell ref="BDO41:BDP41"/>
    <mergeCell ref="BDQ41:BDR41"/>
    <mergeCell ref="BDS41:BDT41"/>
    <mergeCell ref="BCW41:BCX41"/>
    <mergeCell ref="BCY41:BCZ41"/>
    <mergeCell ref="BDA41:BDB41"/>
    <mergeCell ref="BDC41:BDD41"/>
    <mergeCell ref="BDE41:BDF41"/>
    <mergeCell ref="BDG41:BDH41"/>
    <mergeCell ref="BCK41:BCL41"/>
    <mergeCell ref="BCM41:BCN41"/>
    <mergeCell ref="BCO41:BCP41"/>
    <mergeCell ref="BCQ41:BCR41"/>
    <mergeCell ref="BCS41:BCT41"/>
    <mergeCell ref="BCU41:BCV41"/>
    <mergeCell ref="BHM41:BHN41"/>
    <mergeCell ref="BHO41:BHP41"/>
    <mergeCell ref="BHQ41:BHR41"/>
    <mergeCell ref="BHS41:BHT41"/>
    <mergeCell ref="BHU41:BHV41"/>
    <mergeCell ref="BHW41:BHX41"/>
    <mergeCell ref="BHA41:BHB41"/>
    <mergeCell ref="BHC41:BHD41"/>
    <mergeCell ref="BHE41:BHF41"/>
    <mergeCell ref="BHG41:BHH41"/>
    <mergeCell ref="BHI41:BHJ41"/>
    <mergeCell ref="BHK41:BHL41"/>
    <mergeCell ref="BGO41:BGP41"/>
    <mergeCell ref="BGQ41:BGR41"/>
    <mergeCell ref="BGS41:BGT41"/>
    <mergeCell ref="BGU41:BGV41"/>
    <mergeCell ref="BGW41:BGX41"/>
    <mergeCell ref="BGY41:BGZ41"/>
    <mergeCell ref="BGC41:BGD41"/>
    <mergeCell ref="BGE41:BGF41"/>
    <mergeCell ref="BGG41:BGH41"/>
    <mergeCell ref="BGI41:BGJ41"/>
    <mergeCell ref="BGK41:BGL41"/>
    <mergeCell ref="BGM41:BGN41"/>
    <mergeCell ref="BFQ41:BFR41"/>
    <mergeCell ref="BFS41:BFT41"/>
    <mergeCell ref="BFU41:BFV41"/>
    <mergeCell ref="BFW41:BFX41"/>
    <mergeCell ref="BFY41:BFZ41"/>
    <mergeCell ref="BGA41:BGB41"/>
    <mergeCell ref="BFE41:BFF41"/>
    <mergeCell ref="BFG41:BFH41"/>
    <mergeCell ref="BFI41:BFJ41"/>
    <mergeCell ref="BFK41:BFL41"/>
    <mergeCell ref="BFM41:BFN41"/>
    <mergeCell ref="BFO41:BFP41"/>
    <mergeCell ref="BKG41:BKH41"/>
    <mergeCell ref="BKI41:BKJ41"/>
    <mergeCell ref="BKK41:BKL41"/>
    <mergeCell ref="BKM41:BKN41"/>
    <mergeCell ref="BKO41:BKP41"/>
    <mergeCell ref="BKQ41:BKR41"/>
    <mergeCell ref="BJU41:BJV41"/>
    <mergeCell ref="BJW41:BJX41"/>
    <mergeCell ref="BJY41:BJZ41"/>
    <mergeCell ref="BKA41:BKB41"/>
    <mergeCell ref="BKC41:BKD41"/>
    <mergeCell ref="BKE41:BKF41"/>
    <mergeCell ref="BJI41:BJJ41"/>
    <mergeCell ref="BJK41:BJL41"/>
    <mergeCell ref="BJM41:BJN41"/>
    <mergeCell ref="BJO41:BJP41"/>
    <mergeCell ref="BJQ41:BJR41"/>
    <mergeCell ref="BJS41:BJT41"/>
    <mergeCell ref="BIW41:BIX41"/>
    <mergeCell ref="BIY41:BIZ41"/>
    <mergeCell ref="BJA41:BJB41"/>
    <mergeCell ref="BJC41:BJD41"/>
    <mergeCell ref="BJE41:BJF41"/>
    <mergeCell ref="BJG41:BJH41"/>
    <mergeCell ref="BIK41:BIL41"/>
    <mergeCell ref="BIM41:BIN41"/>
    <mergeCell ref="BIO41:BIP41"/>
    <mergeCell ref="BIQ41:BIR41"/>
    <mergeCell ref="BIS41:BIT41"/>
    <mergeCell ref="BIU41:BIV41"/>
    <mergeCell ref="BHY41:BHZ41"/>
    <mergeCell ref="BIA41:BIB41"/>
    <mergeCell ref="BIC41:BID41"/>
    <mergeCell ref="BIE41:BIF41"/>
    <mergeCell ref="BIG41:BIH41"/>
    <mergeCell ref="BII41:BIJ41"/>
    <mergeCell ref="BNA41:BNB41"/>
    <mergeCell ref="BNC41:BND41"/>
    <mergeCell ref="BNE41:BNF41"/>
    <mergeCell ref="BNG41:BNH41"/>
    <mergeCell ref="BNI41:BNJ41"/>
    <mergeCell ref="BNK41:BNL41"/>
    <mergeCell ref="BMO41:BMP41"/>
    <mergeCell ref="BMQ41:BMR41"/>
    <mergeCell ref="BMS41:BMT41"/>
    <mergeCell ref="BMU41:BMV41"/>
    <mergeCell ref="BMW41:BMX41"/>
    <mergeCell ref="BMY41:BMZ41"/>
    <mergeCell ref="BMC41:BMD41"/>
    <mergeCell ref="BME41:BMF41"/>
    <mergeCell ref="BMG41:BMH41"/>
    <mergeCell ref="BMI41:BMJ41"/>
    <mergeCell ref="BMK41:BML41"/>
    <mergeCell ref="BMM41:BMN41"/>
    <mergeCell ref="BLQ41:BLR41"/>
    <mergeCell ref="BLS41:BLT41"/>
    <mergeCell ref="BLU41:BLV41"/>
    <mergeCell ref="BLW41:BLX41"/>
    <mergeCell ref="BLY41:BLZ41"/>
    <mergeCell ref="BMA41:BMB41"/>
    <mergeCell ref="BLE41:BLF41"/>
    <mergeCell ref="BLG41:BLH41"/>
    <mergeCell ref="BLI41:BLJ41"/>
    <mergeCell ref="BLK41:BLL41"/>
    <mergeCell ref="BLM41:BLN41"/>
    <mergeCell ref="BLO41:BLP41"/>
    <mergeCell ref="BKS41:BKT41"/>
    <mergeCell ref="BKU41:BKV41"/>
    <mergeCell ref="BKW41:BKX41"/>
    <mergeCell ref="BKY41:BKZ41"/>
    <mergeCell ref="BLA41:BLB41"/>
    <mergeCell ref="BLC41:BLD41"/>
    <mergeCell ref="BPU41:BPV41"/>
    <mergeCell ref="BPW41:BPX41"/>
    <mergeCell ref="BPY41:BPZ41"/>
    <mergeCell ref="BQA41:BQB41"/>
    <mergeCell ref="BQC41:BQD41"/>
    <mergeCell ref="BQE41:BQF41"/>
    <mergeCell ref="BPI41:BPJ41"/>
    <mergeCell ref="BPK41:BPL41"/>
    <mergeCell ref="BPM41:BPN41"/>
    <mergeCell ref="BPO41:BPP41"/>
    <mergeCell ref="BPQ41:BPR41"/>
    <mergeCell ref="BPS41:BPT41"/>
    <mergeCell ref="BOW41:BOX41"/>
    <mergeCell ref="BOY41:BOZ41"/>
    <mergeCell ref="BPA41:BPB41"/>
    <mergeCell ref="BPC41:BPD41"/>
    <mergeCell ref="BPE41:BPF41"/>
    <mergeCell ref="BPG41:BPH41"/>
    <mergeCell ref="BOK41:BOL41"/>
    <mergeCell ref="BOM41:BON41"/>
    <mergeCell ref="BOO41:BOP41"/>
    <mergeCell ref="BOQ41:BOR41"/>
    <mergeCell ref="BOS41:BOT41"/>
    <mergeCell ref="BOU41:BOV41"/>
    <mergeCell ref="BNY41:BNZ41"/>
    <mergeCell ref="BOA41:BOB41"/>
    <mergeCell ref="BOC41:BOD41"/>
    <mergeCell ref="BOE41:BOF41"/>
    <mergeCell ref="BOG41:BOH41"/>
    <mergeCell ref="BOI41:BOJ41"/>
    <mergeCell ref="BNM41:BNN41"/>
    <mergeCell ref="BNO41:BNP41"/>
    <mergeCell ref="BNQ41:BNR41"/>
    <mergeCell ref="BNS41:BNT41"/>
    <mergeCell ref="BNU41:BNV41"/>
    <mergeCell ref="BNW41:BNX41"/>
    <mergeCell ref="BSO41:BSP41"/>
    <mergeCell ref="BSQ41:BSR41"/>
    <mergeCell ref="BSS41:BST41"/>
    <mergeCell ref="BSU41:BSV41"/>
    <mergeCell ref="BSW41:BSX41"/>
    <mergeCell ref="BSY41:BSZ41"/>
    <mergeCell ref="BSC41:BSD41"/>
    <mergeCell ref="BSE41:BSF41"/>
    <mergeCell ref="BSG41:BSH41"/>
    <mergeCell ref="BSI41:BSJ41"/>
    <mergeCell ref="BSK41:BSL41"/>
    <mergeCell ref="BSM41:BSN41"/>
    <mergeCell ref="BRQ41:BRR41"/>
    <mergeCell ref="BRS41:BRT41"/>
    <mergeCell ref="BRU41:BRV41"/>
    <mergeCell ref="BRW41:BRX41"/>
    <mergeCell ref="BRY41:BRZ41"/>
    <mergeCell ref="BSA41:BSB41"/>
    <mergeCell ref="BRE41:BRF41"/>
    <mergeCell ref="BRG41:BRH41"/>
    <mergeCell ref="BRI41:BRJ41"/>
    <mergeCell ref="BRK41:BRL41"/>
    <mergeCell ref="BRM41:BRN41"/>
    <mergeCell ref="BRO41:BRP41"/>
    <mergeCell ref="BQS41:BQT41"/>
    <mergeCell ref="BQU41:BQV41"/>
    <mergeCell ref="BQW41:BQX41"/>
    <mergeCell ref="BQY41:BQZ41"/>
    <mergeCell ref="BRA41:BRB41"/>
    <mergeCell ref="BRC41:BRD41"/>
    <mergeCell ref="BQG41:BQH41"/>
    <mergeCell ref="BQI41:BQJ41"/>
    <mergeCell ref="BQK41:BQL41"/>
    <mergeCell ref="BQM41:BQN41"/>
    <mergeCell ref="BQO41:BQP41"/>
    <mergeCell ref="BQQ41:BQR41"/>
    <mergeCell ref="BVI41:BVJ41"/>
    <mergeCell ref="BVK41:BVL41"/>
    <mergeCell ref="BVM41:BVN41"/>
    <mergeCell ref="BVO41:BVP41"/>
    <mergeCell ref="BVQ41:BVR41"/>
    <mergeCell ref="BVS41:BVT41"/>
    <mergeCell ref="BUW41:BUX41"/>
    <mergeCell ref="BUY41:BUZ41"/>
    <mergeCell ref="BVA41:BVB41"/>
    <mergeCell ref="BVC41:BVD41"/>
    <mergeCell ref="BVE41:BVF41"/>
    <mergeCell ref="BVG41:BVH41"/>
    <mergeCell ref="BUK41:BUL41"/>
    <mergeCell ref="BUM41:BUN41"/>
    <mergeCell ref="BUO41:BUP41"/>
    <mergeCell ref="BUQ41:BUR41"/>
    <mergeCell ref="BUS41:BUT41"/>
    <mergeCell ref="BUU41:BUV41"/>
    <mergeCell ref="BTY41:BTZ41"/>
    <mergeCell ref="BUA41:BUB41"/>
    <mergeCell ref="BUC41:BUD41"/>
    <mergeCell ref="BUE41:BUF41"/>
    <mergeCell ref="BUG41:BUH41"/>
    <mergeCell ref="BUI41:BUJ41"/>
    <mergeCell ref="BTM41:BTN41"/>
    <mergeCell ref="BTO41:BTP41"/>
    <mergeCell ref="BTQ41:BTR41"/>
    <mergeCell ref="BTS41:BTT41"/>
    <mergeCell ref="BTU41:BTV41"/>
    <mergeCell ref="BTW41:BTX41"/>
    <mergeCell ref="BTA41:BTB41"/>
    <mergeCell ref="BTC41:BTD41"/>
    <mergeCell ref="BTE41:BTF41"/>
    <mergeCell ref="BTG41:BTH41"/>
    <mergeCell ref="BTI41:BTJ41"/>
    <mergeCell ref="BTK41:BTL41"/>
    <mergeCell ref="BYC41:BYD41"/>
    <mergeCell ref="BYE41:BYF41"/>
    <mergeCell ref="BYG41:BYH41"/>
    <mergeCell ref="BYI41:BYJ41"/>
    <mergeCell ref="BYK41:BYL41"/>
    <mergeCell ref="BYM41:BYN41"/>
    <mergeCell ref="BXQ41:BXR41"/>
    <mergeCell ref="BXS41:BXT41"/>
    <mergeCell ref="BXU41:BXV41"/>
    <mergeCell ref="BXW41:BXX41"/>
    <mergeCell ref="BXY41:BXZ41"/>
    <mergeCell ref="BYA41:BYB41"/>
    <mergeCell ref="BXE41:BXF41"/>
    <mergeCell ref="BXG41:BXH41"/>
    <mergeCell ref="BXI41:BXJ41"/>
    <mergeCell ref="BXK41:BXL41"/>
    <mergeCell ref="BXM41:BXN41"/>
    <mergeCell ref="BXO41:BXP41"/>
    <mergeCell ref="BWS41:BWT41"/>
    <mergeCell ref="BWU41:BWV41"/>
    <mergeCell ref="BWW41:BWX41"/>
    <mergeCell ref="BWY41:BWZ41"/>
    <mergeCell ref="BXA41:BXB41"/>
    <mergeCell ref="BXC41:BXD41"/>
    <mergeCell ref="BWG41:BWH41"/>
    <mergeCell ref="BWI41:BWJ41"/>
    <mergeCell ref="BWK41:BWL41"/>
    <mergeCell ref="BWM41:BWN41"/>
    <mergeCell ref="BWO41:BWP41"/>
    <mergeCell ref="BWQ41:BWR41"/>
    <mergeCell ref="BVU41:BVV41"/>
    <mergeCell ref="BVW41:BVX41"/>
    <mergeCell ref="BVY41:BVZ41"/>
    <mergeCell ref="BWA41:BWB41"/>
    <mergeCell ref="BWC41:BWD41"/>
    <mergeCell ref="BWE41:BWF41"/>
    <mergeCell ref="CAW41:CAX41"/>
    <mergeCell ref="CAY41:CAZ41"/>
    <mergeCell ref="CBA41:CBB41"/>
    <mergeCell ref="CBC41:CBD41"/>
    <mergeCell ref="CBE41:CBF41"/>
    <mergeCell ref="CBG41:CBH41"/>
    <mergeCell ref="CAK41:CAL41"/>
    <mergeCell ref="CAM41:CAN41"/>
    <mergeCell ref="CAO41:CAP41"/>
    <mergeCell ref="CAQ41:CAR41"/>
    <mergeCell ref="CAS41:CAT41"/>
    <mergeCell ref="CAU41:CAV41"/>
    <mergeCell ref="BZY41:BZZ41"/>
    <mergeCell ref="CAA41:CAB41"/>
    <mergeCell ref="CAC41:CAD41"/>
    <mergeCell ref="CAE41:CAF41"/>
    <mergeCell ref="CAG41:CAH41"/>
    <mergeCell ref="CAI41:CAJ41"/>
    <mergeCell ref="BZM41:BZN41"/>
    <mergeCell ref="BZO41:BZP41"/>
    <mergeCell ref="BZQ41:BZR41"/>
    <mergeCell ref="BZS41:BZT41"/>
    <mergeCell ref="BZU41:BZV41"/>
    <mergeCell ref="BZW41:BZX41"/>
    <mergeCell ref="BZA41:BZB41"/>
    <mergeCell ref="BZC41:BZD41"/>
    <mergeCell ref="BZE41:BZF41"/>
    <mergeCell ref="BZG41:BZH41"/>
    <mergeCell ref="BZI41:BZJ41"/>
    <mergeCell ref="BZK41:BZL41"/>
    <mergeCell ref="BYO41:BYP41"/>
    <mergeCell ref="BYQ41:BYR41"/>
    <mergeCell ref="BYS41:BYT41"/>
    <mergeCell ref="BYU41:BYV41"/>
    <mergeCell ref="BYW41:BYX41"/>
    <mergeCell ref="BYY41:BYZ41"/>
    <mergeCell ref="CDQ41:CDR41"/>
    <mergeCell ref="CDS41:CDT41"/>
    <mergeCell ref="CDU41:CDV41"/>
    <mergeCell ref="CDW41:CDX41"/>
    <mergeCell ref="CDY41:CDZ41"/>
    <mergeCell ref="CEA41:CEB41"/>
    <mergeCell ref="CDE41:CDF41"/>
    <mergeCell ref="CDG41:CDH41"/>
    <mergeCell ref="CDI41:CDJ41"/>
    <mergeCell ref="CDK41:CDL41"/>
    <mergeCell ref="CDM41:CDN41"/>
    <mergeCell ref="CDO41:CDP41"/>
    <mergeCell ref="CCS41:CCT41"/>
    <mergeCell ref="CCU41:CCV41"/>
    <mergeCell ref="CCW41:CCX41"/>
    <mergeCell ref="CCY41:CCZ41"/>
    <mergeCell ref="CDA41:CDB41"/>
    <mergeCell ref="CDC41:CDD41"/>
    <mergeCell ref="CCG41:CCH41"/>
    <mergeCell ref="CCI41:CCJ41"/>
    <mergeCell ref="CCK41:CCL41"/>
    <mergeCell ref="CCM41:CCN41"/>
    <mergeCell ref="CCO41:CCP41"/>
    <mergeCell ref="CCQ41:CCR41"/>
    <mergeCell ref="CBU41:CBV41"/>
    <mergeCell ref="CBW41:CBX41"/>
    <mergeCell ref="CBY41:CBZ41"/>
    <mergeCell ref="CCA41:CCB41"/>
    <mergeCell ref="CCC41:CCD41"/>
    <mergeCell ref="CCE41:CCF41"/>
    <mergeCell ref="CBI41:CBJ41"/>
    <mergeCell ref="CBK41:CBL41"/>
    <mergeCell ref="CBM41:CBN41"/>
    <mergeCell ref="CBO41:CBP41"/>
    <mergeCell ref="CBQ41:CBR41"/>
    <mergeCell ref="CBS41:CBT41"/>
    <mergeCell ref="CGK41:CGL41"/>
    <mergeCell ref="CGM41:CGN41"/>
    <mergeCell ref="CGO41:CGP41"/>
    <mergeCell ref="CGQ41:CGR41"/>
    <mergeCell ref="CGS41:CGT41"/>
    <mergeCell ref="CGU41:CGV41"/>
    <mergeCell ref="CFY41:CFZ41"/>
    <mergeCell ref="CGA41:CGB41"/>
    <mergeCell ref="CGC41:CGD41"/>
    <mergeCell ref="CGE41:CGF41"/>
    <mergeCell ref="CGG41:CGH41"/>
    <mergeCell ref="CGI41:CGJ41"/>
    <mergeCell ref="CFM41:CFN41"/>
    <mergeCell ref="CFO41:CFP41"/>
    <mergeCell ref="CFQ41:CFR41"/>
    <mergeCell ref="CFS41:CFT41"/>
    <mergeCell ref="CFU41:CFV41"/>
    <mergeCell ref="CFW41:CFX41"/>
    <mergeCell ref="CFA41:CFB41"/>
    <mergeCell ref="CFC41:CFD41"/>
    <mergeCell ref="CFE41:CFF41"/>
    <mergeCell ref="CFG41:CFH41"/>
    <mergeCell ref="CFI41:CFJ41"/>
    <mergeCell ref="CFK41:CFL41"/>
    <mergeCell ref="CEO41:CEP41"/>
    <mergeCell ref="CEQ41:CER41"/>
    <mergeCell ref="CES41:CET41"/>
    <mergeCell ref="CEU41:CEV41"/>
    <mergeCell ref="CEW41:CEX41"/>
    <mergeCell ref="CEY41:CEZ41"/>
    <mergeCell ref="CEC41:CED41"/>
    <mergeCell ref="CEE41:CEF41"/>
    <mergeCell ref="CEG41:CEH41"/>
    <mergeCell ref="CEI41:CEJ41"/>
    <mergeCell ref="CEK41:CEL41"/>
    <mergeCell ref="CEM41:CEN41"/>
    <mergeCell ref="CJE41:CJF41"/>
    <mergeCell ref="CJG41:CJH41"/>
    <mergeCell ref="CJI41:CJJ41"/>
    <mergeCell ref="CJK41:CJL41"/>
    <mergeCell ref="CJM41:CJN41"/>
    <mergeCell ref="CJO41:CJP41"/>
    <mergeCell ref="CIS41:CIT41"/>
    <mergeCell ref="CIU41:CIV41"/>
    <mergeCell ref="CIW41:CIX41"/>
    <mergeCell ref="CIY41:CIZ41"/>
    <mergeCell ref="CJA41:CJB41"/>
    <mergeCell ref="CJC41:CJD41"/>
    <mergeCell ref="CIG41:CIH41"/>
    <mergeCell ref="CII41:CIJ41"/>
    <mergeCell ref="CIK41:CIL41"/>
    <mergeCell ref="CIM41:CIN41"/>
    <mergeCell ref="CIO41:CIP41"/>
    <mergeCell ref="CIQ41:CIR41"/>
    <mergeCell ref="CHU41:CHV41"/>
    <mergeCell ref="CHW41:CHX41"/>
    <mergeCell ref="CHY41:CHZ41"/>
    <mergeCell ref="CIA41:CIB41"/>
    <mergeCell ref="CIC41:CID41"/>
    <mergeCell ref="CIE41:CIF41"/>
    <mergeCell ref="CHI41:CHJ41"/>
    <mergeCell ref="CHK41:CHL41"/>
    <mergeCell ref="CHM41:CHN41"/>
    <mergeCell ref="CHO41:CHP41"/>
    <mergeCell ref="CHQ41:CHR41"/>
    <mergeCell ref="CHS41:CHT41"/>
    <mergeCell ref="CGW41:CGX41"/>
    <mergeCell ref="CGY41:CGZ41"/>
    <mergeCell ref="CHA41:CHB41"/>
    <mergeCell ref="CHC41:CHD41"/>
    <mergeCell ref="CHE41:CHF41"/>
    <mergeCell ref="CHG41:CHH41"/>
    <mergeCell ref="CLY41:CLZ41"/>
    <mergeCell ref="CMA41:CMB41"/>
    <mergeCell ref="CMC41:CMD41"/>
    <mergeCell ref="CME41:CMF41"/>
    <mergeCell ref="CMG41:CMH41"/>
    <mergeCell ref="CMI41:CMJ41"/>
    <mergeCell ref="CLM41:CLN41"/>
    <mergeCell ref="CLO41:CLP41"/>
    <mergeCell ref="CLQ41:CLR41"/>
    <mergeCell ref="CLS41:CLT41"/>
    <mergeCell ref="CLU41:CLV41"/>
    <mergeCell ref="CLW41:CLX41"/>
    <mergeCell ref="CLA41:CLB41"/>
    <mergeCell ref="CLC41:CLD41"/>
    <mergeCell ref="CLE41:CLF41"/>
    <mergeCell ref="CLG41:CLH41"/>
    <mergeCell ref="CLI41:CLJ41"/>
    <mergeCell ref="CLK41:CLL41"/>
    <mergeCell ref="CKO41:CKP41"/>
    <mergeCell ref="CKQ41:CKR41"/>
    <mergeCell ref="CKS41:CKT41"/>
    <mergeCell ref="CKU41:CKV41"/>
    <mergeCell ref="CKW41:CKX41"/>
    <mergeCell ref="CKY41:CKZ41"/>
    <mergeCell ref="CKC41:CKD41"/>
    <mergeCell ref="CKE41:CKF41"/>
    <mergeCell ref="CKG41:CKH41"/>
    <mergeCell ref="CKI41:CKJ41"/>
    <mergeCell ref="CKK41:CKL41"/>
    <mergeCell ref="CKM41:CKN41"/>
    <mergeCell ref="CJQ41:CJR41"/>
    <mergeCell ref="CJS41:CJT41"/>
    <mergeCell ref="CJU41:CJV41"/>
    <mergeCell ref="CJW41:CJX41"/>
    <mergeCell ref="CJY41:CJZ41"/>
    <mergeCell ref="CKA41:CKB41"/>
    <mergeCell ref="COS41:COT41"/>
    <mergeCell ref="COU41:COV41"/>
    <mergeCell ref="COW41:COX41"/>
    <mergeCell ref="COY41:COZ41"/>
    <mergeCell ref="CPA41:CPB41"/>
    <mergeCell ref="CPC41:CPD41"/>
    <mergeCell ref="COG41:COH41"/>
    <mergeCell ref="COI41:COJ41"/>
    <mergeCell ref="COK41:COL41"/>
    <mergeCell ref="COM41:CON41"/>
    <mergeCell ref="COO41:COP41"/>
    <mergeCell ref="COQ41:COR41"/>
    <mergeCell ref="CNU41:CNV41"/>
    <mergeCell ref="CNW41:CNX41"/>
    <mergeCell ref="CNY41:CNZ41"/>
    <mergeCell ref="COA41:COB41"/>
    <mergeCell ref="COC41:COD41"/>
    <mergeCell ref="COE41:COF41"/>
    <mergeCell ref="CNI41:CNJ41"/>
    <mergeCell ref="CNK41:CNL41"/>
    <mergeCell ref="CNM41:CNN41"/>
    <mergeCell ref="CNO41:CNP41"/>
    <mergeCell ref="CNQ41:CNR41"/>
    <mergeCell ref="CNS41:CNT41"/>
    <mergeCell ref="CMW41:CMX41"/>
    <mergeCell ref="CMY41:CMZ41"/>
    <mergeCell ref="CNA41:CNB41"/>
    <mergeCell ref="CNC41:CND41"/>
    <mergeCell ref="CNE41:CNF41"/>
    <mergeCell ref="CNG41:CNH41"/>
    <mergeCell ref="CMK41:CML41"/>
    <mergeCell ref="CMM41:CMN41"/>
    <mergeCell ref="CMO41:CMP41"/>
    <mergeCell ref="CMQ41:CMR41"/>
    <mergeCell ref="CMS41:CMT41"/>
    <mergeCell ref="CMU41:CMV41"/>
    <mergeCell ref="CRM41:CRN41"/>
    <mergeCell ref="CRO41:CRP41"/>
    <mergeCell ref="CRQ41:CRR41"/>
    <mergeCell ref="CRS41:CRT41"/>
    <mergeCell ref="CRU41:CRV41"/>
    <mergeCell ref="CRW41:CRX41"/>
    <mergeCell ref="CRA41:CRB41"/>
    <mergeCell ref="CRC41:CRD41"/>
    <mergeCell ref="CRE41:CRF41"/>
    <mergeCell ref="CRG41:CRH41"/>
    <mergeCell ref="CRI41:CRJ41"/>
    <mergeCell ref="CRK41:CRL41"/>
    <mergeCell ref="CQO41:CQP41"/>
    <mergeCell ref="CQQ41:CQR41"/>
    <mergeCell ref="CQS41:CQT41"/>
    <mergeCell ref="CQU41:CQV41"/>
    <mergeCell ref="CQW41:CQX41"/>
    <mergeCell ref="CQY41:CQZ41"/>
    <mergeCell ref="CQC41:CQD41"/>
    <mergeCell ref="CQE41:CQF41"/>
    <mergeCell ref="CQG41:CQH41"/>
    <mergeCell ref="CQI41:CQJ41"/>
    <mergeCell ref="CQK41:CQL41"/>
    <mergeCell ref="CQM41:CQN41"/>
    <mergeCell ref="CPQ41:CPR41"/>
    <mergeCell ref="CPS41:CPT41"/>
    <mergeCell ref="CPU41:CPV41"/>
    <mergeCell ref="CPW41:CPX41"/>
    <mergeCell ref="CPY41:CPZ41"/>
    <mergeCell ref="CQA41:CQB41"/>
    <mergeCell ref="CPE41:CPF41"/>
    <mergeCell ref="CPG41:CPH41"/>
    <mergeCell ref="CPI41:CPJ41"/>
    <mergeCell ref="CPK41:CPL41"/>
    <mergeCell ref="CPM41:CPN41"/>
    <mergeCell ref="CPO41:CPP41"/>
    <mergeCell ref="CUG41:CUH41"/>
    <mergeCell ref="CUI41:CUJ41"/>
    <mergeCell ref="CUK41:CUL41"/>
    <mergeCell ref="CUM41:CUN41"/>
    <mergeCell ref="CUO41:CUP41"/>
    <mergeCell ref="CUQ41:CUR41"/>
    <mergeCell ref="CTU41:CTV41"/>
    <mergeCell ref="CTW41:CTX41"/>
    <mergeCell ref="CTY41:CTZ41"/>
    <mergeCell ref="CUA41:CUB41"/>
    <mergeCell ref="CUC41:CUD41"/>
    <mergeCell ref="CUE41:CUF41"/>
    <mergeCell ref="CTI41:CTJ41"/>
    <mergeCell ref="CTK41:CTL41"/>
    <mergeCell ref="CTM41:CTN41"/>
    <mergeCell ref="CTO41:CTP41"/>
    <mergeCell ref="CTQ41:CTR41"/>
    <mergeCell ref="CTS41:CTT41"/>
    <mergeCell ref="CSW41:CSX41"/>
    <mergeCell ref="CSY41:CSZ41"/>
    <mergeCell ref="CTA41:CTB41"/>
    <mergeCell ref="CTC41:CTD41"/>
    <mergeCell ref="CTE41:CTF41"/>
    <mergeCell ref="CTG41:CTH41"/>
    <mergeCell ref="CSK41:CSL41"/>
    <mergeCell ref="CSM41:CSN41"/>
    <mergeCell ref="CSO41:CSP41"/>
    <mergeCell ref="CSQ41:CSR41"/>
    <mergeCell ref="CSS41:CST41"/>
    <mergeCell ref="CSU41:CSV41"/>
    <mergeCell ref="CRY41:CRZ41"/>
    <mergeCell ref="CSA41:CSB41"/>
    <mergeCell ref="CSC41:CSD41"/>
    <mergeCell ref="CSE41:CSF41"/>
    <mergeCell ref="CSG41:CSH41"/>
    <mergeCell ref="CSI41:CSJ41"/>
    <mergeCell ref="CXA41:CXB41"/>
    <mergeCell ref="CXC41:CXD41"/>
    <mergeCell ref="CXE41:CXF41"/>
    <mergeCell ref="CXG41:CXH41"/>
    <mergeCell ref="CXI41:CXJ41"/>
    <mergeCell ref="CXK41:CXL41"/>
    <mergeCell ref="CWO41:CWP41"/>
    <mergeCell ref="CWQ41:CWR41"/>
    <mergeCell ref="CWS41:CWT41"/>
    <mergeCell ref="CWU41:CWV41"/>
    <mergeCell ref="CWW41:CWX41"/>
    <mergeCell ref="CWY41:CWZ41"/>
    <mergeCell ref="CWC41:CWD41"/>
    <mergeCell ref="CWE41:CWF41"/>
    <mergeCell ref="CWG41:CWH41"/>
    <mergeCell ref="CWI41:CWJ41"/>
    <mergeCell ref="CWK41:CWL41"/>
    <mergeCell ref="CWM41:CWN41"/>
    <mergeCell ref="CVQ41:CVR41"/>
    <mergeCell ref="CVS41:CVT41"/>
    <mergeCell ref="CVU41:CVV41"/>
    <mergeCell ref="CVW41:CVX41"/>
    <mergeCell ref="CVY41:CVZ41"/>
    <mergeCell ref="CWA41:CWB41"/>
    <mergeCell ref="CVE41:CVF41"/>
    <mergeCell ref="CVG41:CVH41"/>
    <mergeCell ref="CVI41:CVJ41"/>
    <mergeCell ref="CVK41:CVL41"/>
    <mergeCell ref="CVM41:CVN41"/>
    <mergeCell ref="CVO41:CVP41"/>
    <mergeCell ref="CUS41:CUT41"/>
    <mergeCell ref="CUU41:CUV41"/>
    <mergeCell ref="CUW41:CUX41"/>
    <mergeCell ref="CUY41:CUZ41"/>
    <mergeCell ref="CVA41:CVB41"/>
    <mergeCell ref="CVC41:CVD41"/>
    <mergeCell ref="CZU41:CZV41"/>
    <mergeCell ref="CZW41:CZX41"/>
    <mergeCell ref="CZY41:CZZ41"/>
    <mergeCell ref="DAA41:DAB41"/>
    <mergeCell ref="DAC41:DAD41"/>
    <mergeCell ref="DAE41:DAF41"/>
    <mergeCell ref="CZI41:CZJ41"/>
    <mergeCell ref="CZK41:CZL41"/>
    <mergeCell ref="CZM41:CZN41"/>
    <mergeCell ref="CZO41:CZP41"/>
    <mergeCell ref="CZQ41:CZR41"/>
    <mergeCell ref="CZS41:CZT41"/>
    <mergeCell ref="CYW41:CYX41"/>
    <mergeCell ref="CYY41:CYZ41"/>
    <mergeCell ref="CZA41:CZB41"/>
    <mergeCell ref="CZC41:CZD41"/>
    <mergeCell ref="CZE41:CZF41"/>
    <mergeCell ref="CZG41:CZH41"/>
    <mergeCell ref="CYK41:CYL41"/>
    <mergeCell ref="CYM41:CYN41"/>
    <mergeCell ref="CYO41:CYP41"/>
    <mergeCell ref="CYQ41:CYR41"/>
    <mergeCell ref="CYS41:CYT41"/>
    <mergeCell ref="CYU41:CYV41"/>
    <mergeCell ref="CXY41:CXZ41"/>
    <mergeCell ref="CYA41:CYB41"/>
    <mergeCell ref="CYC41:CYD41"/>
    <mergeCell ref="CYE41:CYF41"/>
    <mergeCell ref="CYG41:CYH41"/>
    <mergeCell ref="CYI41:CYJ41"/>
    <mergeCell ref="CXM41:CXN41"/>
    <mergeCell ref="CXO41:CXP41"/>
    <mergeCell ref="CXQ41:CXR41"/>
    <mergeCell ref="CXS41:CXT41"/>
    <mergeCell ref="CXU41:CXV41"/>
    <mergeCell ref="CXW41:CXX41"/>
    <mergeCell ref="DCO41:DCP41"/>
    <mergeCell ref="DCQ41:DCR41"/>
    <mergeCell ref="DCS41:DCT41"/>
    <mergeCell ref="DCU41:DCV41"/>
    <mergeCell ref="DCW41:DCX41"/>
    <mergeCell ref="DCY41:DCZ41"/>
    <mergeCell ref="DCC41:DCD41"/>
    <mergeCell ref="DCE41:DCF41"/>
    <mergeCell ref="DCG41:DCH41"/>
    <mergeCell ref="DCI41:DCJ41"/>
    <mergeCell ref="DCK41:DCL41"/>
    <mergeCell ref="DCM41:DCN41"/>
    <mergeCell ref="DBQ41:DBR41"/>
    <mergeCell ref="DBS41:DBT41"/>
    <mergeCell ref="DBU41:DBV41"/>
    <mergeCell ref="DBW41:DBX41"/>
    <mergeCell ref="DBY41:DBZ41"/>
    <mergeCell ref="DCA41:DCB41"/>
    <mergeCell ref="DBE41:DBF41"/>
    <mergeCell ref="DBG41:DBH41"/>
    <mergeCell ref="DBI41:DBJ41"/>
    <mergeCell ref="DBK41:DBL41"/>
    <mergeCell ref="DBM41:DBN41"/>
    <mergeCell ref="DBO41:DBP41"/>
    <mergeCell ref="DAS41:DAT41"/>
    <mergeCell ref="DAU41:DAV41"/>
    <mergeCell ref="DAW41:DAX41"/>
    <mergeCell ref="DAY41:DAZ41"/>
    <mergeCell ref="DBA41:DBB41"/>
    <mergeCell ref="DBC41:DBD41"/>
    <mergeCell ref="DAG41:DAH41"/>
    <mergeCell ref="DAI41:DAJ41"/>
    <mergeCell ref="DAK41:DAL41"/>
    <mergeCell ref="DAM41:DAN41"/>
    <mergeCell ref="DAO41:DAP41"/>
    <mergeCell ref="DAQ41:DAR41"/>
    <mergeCell ref="DFI41:DFJ41"/>
    <mergeCell ref="DFK41:DFL41"/>
    <mergeCell ref="DFM41:DFN41"/>
    <mergeCell ref="DFO41:DFP41"/>
    <mergeCell ref="DFQ41:DFR41"/>
    <mergeCell ref="DFS41:DFT41"/>
    <mergeCell ref="DEW41:DEX41"/>
    <mergeCell ref="DEY41:DEZ41"/>
    <mergeCell ref="DFA41:DFB41"/>
    <mergeCell ref="DFC41:DFD41"/>
    <mergeCell ref="DFE41:DFF41"/>
    <mergeCell ref="DFG41:DFH41"/>
    <mergeCell ref="DEK41:DEL41"/>
    <mergeCell ref="DEM41:DEN41"/>
    <mergeCell ref="DEO41:DEP41"/>
    <mergeCell ref="DEQ41:DER41"/>
    <mergeCell ref="DES41:DET41"/>
    <mergeCell ref="DEU41:DEV41"/>
    <mergeCell ref="DDY41:DDZ41"/>
    <mergeCell ref="DEA41:DEB41"/>
    <mergeCell ref="DEC41:DED41"/>
    <mergeCell ref="DEE41:DEF41"/>
    <mergeCell ref="DEG41:DEH41"/>
    <mergeCell ref="DEI41:DEJ41"/>
    <mergeCell ref="DDM41:DDN41"/>
    <mergeCell ref="DDO41:DDP41"/>
    <mergeCell ref="DDQ41:DDR41"/>
    <mergeCell ref="DDS41:DDT41"/>
    <mergeCell ref="DDU41:DDV41"/>
    <mergeCell ref="DDW41:DDX41"/>
    <mergeCell ref="DDA41:DDB41"/>
    <mergeCell ref="DDC41:DDD41"/>
    <mergeCell ref="DDE41:DDF41"/>
    <mergeCell ref="DDG41:DDH41"/>
    <mergeCell ref="DDI41:DDJ41"/>
    <mergeCell ref="DDK41:DDL41"/>
    <mergeCell ref="DIC41:DID41"/>
    <mergeCell ref="DIE41:DIF41"/>
    <mergeCell ref="DIG41:DIH41"/>
    <mergeCell ref="DII41:DIJ41"/>
    <mergeCell ref="DIK41:DIL41"/>
    <mergeCell ref="DIM41:DIN41"/>
    <mergeCell ref="DHQ41:DHR41"/>
    <mergeCell ref="DHS41:DHT41"/>
    <mergeCell ref="DHU41:DHV41"/>
    <mergeCell ref="DHW41:DHX41"/>
    <mergeCell ref="DHY41:DHZ41"/>
    <mergeCell ref="DIA41:DIB41"/>
    <mergeCell ref="DHE41:DHF41"/>
    <mergeCell ref="DHG41:DHH41"/>
    <mergeCell ref="DHI41:DHJ41"/>
    <mergeCell ref="DHK41:DHL41"/>
    <mergeCell ref="DHM41:DHN41"/>
    <mergeCell ref="DHO41:DHP41"/>
    <mergeCell ref="DGS41:DGT41"/>
    <mergeCell ref="DGU41:DGV41"/>
    <mergeCell ref="DGW41:DGX41"/>
    <mergeCell ref="DGY41:DGZ41"/>
    <mergeCell ref="DHA41:DHB41"/>
    <mergeCell ref="DHC41:DHD41"/>
    <mergeCell ref="DGG41:DGH41"/>
    <mergeCell ref="DGI41:DGJ41"/>
    <mergeCell ref="DGK41:DGL41"/>
    <mergeCell ref="DGM41:DGN41"/>
    <mergeCell ref="DGO41:DGP41"/>
    <mergeCell ref="DGQ41:DGR41"/>
    <mergeCell ref="DFU41:DFV41"/>
    <mergeCell ref="DFW41:DFX41"/>
    <mergeCell ref="DFY41:DFZ41"/>
    <mergeCell ref="DGA41:DGB41"/>
    <mergeCell ref="DGC41:DGD41"/>
    <mergeCell ref="DGE41:DGF41"/>
    <mergeCell ref="DKW41:DKX41"/>
    <mergeCell ref="DKY41:DKZ41"/>
    <mergeCell ref="DLA41:DLB41"/>
    <mergeCell ref="DLC41:DLD41"/>
    <mergeCell ref="DLE41:DLF41"/>
    <mergeCell ref="DLG41:DLH41"/>
    <mergeCell ref="DKK41:DKL41"/>
    <mergeCell ref="DKM41:DKN41"/>
    <mergeCell ref="DKO41:DKP41"/>
    <mergeCell ref="DKQ41:DKR41"/>
    <mergeCell ref="DKS41:DKT41"/>
    <mergeCell ref="DKU41:DKV41"/>
    <mergeCell ref="DJY41:DJZ41"/>
    <mergeCell ref="DKA41:DKB41"/>
    <mergeCell ref="DKC41:DKD41"/>
    <mergeCell ref="DKE41:DKF41"/>
    <mergeCell ref="DKG41:DKH41"/>
    <mergeCell ref="DKI41:DKJ41"/>
    <mergeCell ref="DJM41:DJN41"/>
    <mergeCell ref="DJO41:DJP41"/>
    <mergeCell ref="DJQ41:DJR41"/>
    <mergeCell ref="DJS41:DJT41"/>
    <mergeCell ref="DJU41:DJV41"/>
    <mergeCell ref="DJW41:DJX41"/>
    <mergeCell ref="DJA41:DJB41"/>
    <mergeCell ref="DJC41:DJD41"/>
    <mergeCell ref="DJE41:DJF41"/>
    <mergeCell ref="DJG41:DJH41"/>
    <mergeCell ref="DJI41:DJJ41"/>
    <mergeCell ref="DJK41:DJL41"/>
    <mergeCell ref="DIO41:DIP41"/>
    <mergeCell ref="DIQ41:DIR41"/>
    <mergeCell ref="DIS41:DIT41"/>
    <mergeCell ref="DIU41:DIV41"/>
    <mergeCell ref="DIW41:DIX41"/>
    <mergeCell ref="DIY41:DIZ41"/>
    <mergeCell ref="DNQ41:DNR41"/>
    <mergeCell ref="DNS41:DNT41"/>
    <mergeCell ref="DNU41:DNV41"/>
    <mergeCell ref="DNW41:DNX41"/>
    <mergeCell ref="DNY41:DNZ41"/>
    <mergeCell ref="DOA41:DOB41"/>
    <mergeCell ref="DNE41:DNF41"/>
    <mergeCell ref="DNG41:DNH41"/>
    <mergeCell ref="DNI41:DNJ41"/>
    <mergeCell ref="DNK41:DNL41"/>
    <mergeCell ref="DNM41:DNN41"/>
    <mergeCell ref="DNO41:DNP41"/>
    <mergeCell ref="DMS41:DMT41"/>
    <mergeCell ref="DMU41:DMV41"/>
    <mergeCell ref="DMW41:DMX41"/>
    <mergeCell ref="DMY41:DMZ41"/>
    <mergeCell ref="DNA41:DNB41"/>
    <mergeCell ref="DNC41:DND41"/>
    <mergeCell ref="DMG41:DMH41"/>
    <mergeCell ref="DMI41:DMJ41"/>
    <mergeCell ref="DMK41:DML41"/>
    <mergeCell ref="DMM41:DMN41"/>
    <mergeCell ref="DMO41:DMP41"/>
    <mergeCell ref="DMQ41:DMR41"/>
    <mergeCell ref="DLU41:DLV41"/>
    <mergeCell ref="DLW41:DLX41"/>
    <mergeCell ref="DLY41:DLZ41"/>
    <mergeCell ref="DMA41:DMB41"/>
    <mergeCell ref="DMC41:DMD41"/>
    <mergeCell ref="DME41:DMF41"/>
    <mergeCell ref="DLI41:DLJ41"/>
    <mergeCell ref="DLK41:DLL41"/>
    <mergeCell ref="DLM41:DLN41"/>
    <mergeCell ref="DLO41:DLP41"/>
    <mergeCell ref="DLQ41:DLR41"/>
    <mergeCell ref="DLS41:DLT41"/>
    <mergeCell ref="DQK41:DQL41"/>
    <mergeCell ref="DQM41:DQN41"/>
    <mergeCell ref="DQO41:DQP41"/>
    <mergeCell ref="DQQ41:DQR41"/>
    <mergeCell ref="DQS41:DQT41"/>
    <mergeCell ref="DQU41:DQV41"/>
    <mergeCell ref="DPY41:DPZ41"/>
    <mergeCell ref="DQA41:DQB41"/>
    <mergeCell ref="DQC41:DQD41"/>
    <mergeCell ref="DQE41:DQF41"/>
    <mergeCell ref="DQG41:DQH41"/>
    <mergeCell ref="DQI41:DQJ41"/>
    <mergeCell ref="DPM41:DPN41"/>
    <mergeCell ref="DPO41:DPP41"/>
    <mergeCell ref="DPQ41:DPR41"/>
    <mergeCell ref="DPS41:DPT41"/>
    <mergeCell ref="DPU41:DPV41"/>
    <mergeCell ref="DPW41:DPX41"/>
    <mergeCell ref="DPA41:DPB41"/>
    <mergeCell ref="DPC41:DPD41"/>
    <mergeCell ref="DPE41:DPF41"/>
    <mergeCell ref="DPG41:DPH41"/>
    <mergeCell ref="DPI41:DPJ41"/>
    <mergeCell ref="DPK41:DPL41"/>
    <mergeCell ref="DOO41:DOP41"/>
    <mergeCell ref="DOQ41:DOR41"/>
    <mergeCell ref="DOS41:DOT41"/>
    <mergeCell ref="DOU41:DOV41"/>
    <mergeCell ref="DOW41:DOX41"/>
    <mergeCell ref="DOY41:DOZ41"/>
    <mergeCell ref="DOC41:DOD41"/>
    <mergeCell ref="DOE41:DOF41"/>
    <mergeCell ref="DOG41:DOH41"/>
    <mergeCell ref="DOI41:DOJ41"/>
    <mergeCell ref="DOK41:DOL41"/>
    <mergeCell ref="DOM41:DON41"/>
    <mergeCell ref="DTE41:DTF41"/>
    <mergeCell ref="DTG41:DTH41"/>
    <mergeCell ref="DTI41:DTJ41"/>
    <mergeCell ref="DTK41:DTL41"/>
    <mergeCell ref="DTM41:DTN41"/>
    <mergeCell ref="DTO41:DTP41"/>
    <mergeCell ref="DSS41:DST41"/>
    <mergeCell ref="DSU41:DSV41"/>
    <mergeCell ref="DSW41:DSX41"/>
    <mergeCell ref="DSY41:DSZ41"/>
    <mergeCell ref="DTA41:DTB41"/>
    <mergeCell ref="DTC41:DTD41"/>
    <mergeCell ref="DSG41:DSH41"/>
    <mergeCell ref="DSI41:DSJ41"/>
    <mergeCell ref="DSK41:DSL41"/>
    <mergeCell ref="DSM41:DSN41"/>
    <mergeCell ref="DSO41:DSP41"/>
    <mergeCell ref="DSQ41:DSR41"/>
    <mergeCell ref="DRU41:DRV41"/>
    <mergeCell ref="DRW41:DRX41"/>
    <mergeCell ref="DRY41:DRZ41"/>
    <mergeCell ref="DSA41:DSB41"/>
    <mergeCell ref="DSC41:DSD41"/>
    <mergeCell ref="DSE41:DSF41"/>
    <mergeCell ref="DRI41:DRJ41"/>
    <mergeCell ref="DRK41:DRL41"/>
    <mergeCell ref="DRM41:DRN41"/>
    <mergeCell ref="DRO41:DRP41"/>
    <mergeCell ref="DRQ41:DRR41"/>
    <mergeCell ref="DRS41:DRT41"/>
    <mergeCell ref="DQW41:DQX41"/>
    <mergeCell ref="DQY41:DQZ41"/>
    <mergeCell ref="DRA41:DRB41"/>
    <mergeCell ref="DRC41:DRD41"/>
    <mergeCell ref="DRE41:DRF41"/>
    <mergeCell ref="DRG41:DRH41"/>
    <mergeCell ref="DVY41:DVZ41"/>
    <mergeCell ref="DWA41:DWB41"/>
    <mergeCell ref="DWC41:DWD41"/>
    <mergeCell ref="DWE41:DWF41"/>
    <mergeCell ref="DWG41:DWH41"/>
    <mergeCell ref="DWI41:DWJ41"/>
    <mergeCell ref="DVM41:DVN41"/>
    <mergeCell ref="DVO41:DVP41"/>
    <mergeCell ref="DVQ41:DVR41"/>
    <mergeCell ref="DVS41:DVT41"/>
    <mergeCell ref="DVU41:DVV41"/>
    <mergeCell ref="DVW41:DVX41"/>
    <mergeCell ref="DVA41:DVB41"/>
    <mergeCell ref="DVC41:DVD41"/>
    <mergeCell ref="DVE41:DVF41"/>
    <mergeCell ref="DVG41:DVH41"/>
    <mergeCell ref="DVI41:DVJ41"/>
    <mergeCell ref="DVK41:DVL41"/>
    <mergeCell ref="DUO41:DUP41"/>
    <mergeCell ref="DUQ41:DUR41"/>
    <mergeCell ref="DUS41:DUT41"/>
    <mergeCell ref="DUU41:DUV41"/>
    <mergeCell ref="DUW41:DUX41"/>
    <mergeCell ref="DUY41:DUZ41"/>
    <mergeCell ref="DUC41:DUD41"/>
    <mergeCell ref="DUE41:DUF41"/>
    <mergeCell ref="DUG41:DUH41"/>
    <mergeCell ref="DUI41:DUJ41"/>
    <mergeCell ref="DUK41:DUL41"/>
    <mergeCell ref="DUM41:DUN41"/>
    <mergeCell ref="DTQ41:DTR41"/>
    <mergeCell ref="DTS41:DTT41"/>
    <mergeCell ref="DTU41:DTV41"/>
    <mergeCell ref="DTW41:DTX41"/>
    <mergeCell ref="DTY41:DTZ41"/>
    <mergeCell ref="DUA41:DUB41"/>
    <mergeCell ref="DYS41:DYT41"/>
    <mergeCell ref="DYU41:DYV41"/>
    <mergeCell ref="DYW41:DYX41"/>
    <mergeCell ref="DYY41:DYZ41"/>
    <mergeCell ref="DZA41:DZB41"/>
    <mergeCell ref="DZC41:DZD41"/>
    <mergeCell ref="DYG41:DYH41"/>
    <mergeCell ref="DYI41:DYJ41"/>
    <mergeCell ref="DYK41:DYL41"/>
    <mergeCell ref="DYM41:DYN41"/>
    <mergeCell ref="DYO41:DYP41"/>
    <mergeCell ref="DYQ41:DYR41"/>
    <mergeCell ref="DXU41:DXV41"/>
    <mergeCell ref="DXW41:DXX41"/>
    <mergeCell ref="DXY41:DXZ41"/>
    <mergeCell ref="DYA41:DYB41"/>
    <mergeCell ref="DYC41:DYD41"/>
    <mergeCell ref="DYE41:DYF41"/>
    <mergeCell ref="DXI41:DXJ41"/>
    <mergeCell ref="DXK41:DXL41"/>
    <mergeCell ref="DXM41:DXN41"/>
    <mergeCell ref="DXO41:DXP41"/>
    <mergeCell ref="DXQ41:DXR41"/>
    <mergeCell ref="DXS41:DXT41"/>
    <mergeCell ref="DWW41:DWX41"/>
    <mergeCell ref="DWY41:DWZ41"/>
    <mergeCell ref="DXA41:DXB41"/>
    <mergeCell ref="DXC41:DXD41"/>
    <mergeCell ref="DXE41:DXF41"/>
    <mergeCell ref="DXG41:DXH41"/>
    <mergeCell ref="DWK41:DWL41"/>
    <mergeCell ref="DWM41:DWN41"/>
    <mergeCell ref="DWO41:DWP41"/>
    <mergeCell ref="DWQ41:DWR41"/>
    <mergeCell ref="DWS41:DWT41"/>
    <mergeCell ref="DWU41:DWV41"/>
    <mergeCell ref="EBM41:EBN41"/>
    <mergeCell ref="EBO41:EBP41"/>
    <mergeCell ref="EBQ41:EBR41"/>
    <mergeCell ref="EBS41:EBT41"/>
    <mergeCell ref="EBU41:EBV41"/>
    <mergeCell ref="EBW41:EBX41"/>
    <mergeCell ref="EBA41:EBB41"/>
    <mergeCell ref="EBC41:EBD41"/>
    <mergeCell ref="EBE41:EBF41"/>
    <mergeCell ref="EBG41:EBH41"/>
    <mergeCell ref="EBI41:EBJ41"/>
    <mergeCell ref="EBK41:EBL41"/>
    <mergeCell ref="EAO41:EAP41"/>
    <mergeCell ref="EAQ41:EAR41"/>
    <mergeCell ref="EAS41:EAT41"/>
    <mergeCell ref="EAU41:EAV41"/>
    <mergeCell ref="EAW41:EAX41"/>
    <mergeCell ref="EAY41:EAZ41"/>
    <mergeCell ref="EAC41:EAD41"/>
    <mergeCell ref="EAE41:EAF41"/>
    <mergeCell ref="EAG41:EAH41"/>
    <mergeCell ref="EAI41:EAJ41"/>
    <mergeCell ref="EAK41:EAL41"/>
    <mergeCell ref="EAM41:EAN41"/>
    <mergeCell ref="DZQ41:DZR41"/>
    <mergeCell ref="DZS41:DZT41"/>
    <mergeCell ref="DZU41:DZV41"/>
    <mergeCell ref="DZW41:DZX41"/>
    <mergeCell ref="DZY41:DZZ41"/>
    <mergeCell ref="EAA41:EAB41"/>
    <mergeCell ref="DZE41:DZF41"/>
    <mergeCell ref="DZG41:DZH41"/>
    <mergeCell ref="DZI41:DZJ41"/>
    <mergeCell ref="DZK41:DZL41"/>
    <mergeCell ref="DZM41:DZN41"/>
    <mergeCell ref="DZO41:DZP41"/>
    <mergeCell ref="EEG41:EEH41"/>
    <mergeCell ref="EEI41:EEJ41"/>
    <mergeCell ref="EEK41:EEL41"/>
    <mergeCell ref="EEM41:EEN41"/>
    <mergeCell ref="EEO41:EEP41"/>
    <mergeCell ref="EEQ41:EER41"/>
    <mergeCell ref="EDU41:EDV41"/>
    <mergeCell ref="EDW41:EDX41"/>
    <mergeCell ref="EDY41:EDZ41"/>
    <mergeCell ref="EEA41:EEB41"/>
    <mergeCell ref="EEC41:EED41"/>
    <mergeCell ref="EEE41:EEF41"/>
    <mergeCell ref="EDI41:EDJ41"/>
    <mergeCell ref="EDK41:EDL41"/>
    <mergeCell ref="EDM41:EDN41"/>
    <mergeCell ref="EDO41:EDP41"/>
    <mergeCell ref="EDQ41:EDR41"/>
    <mergeCell ref="EDS41:EDT41"/>
    <mergeCell ref="ECW41:ECX41"/>
    <mergeCell ref="ECY41:ECZ41"/>
    <mergeCell ref="EDA41:EDB41"/>
    <mergeCell ref="EDC41:EDD41"/>
    <mergeCell ref="EDE41:EDF41"/>
    <mergeCell ref="EDG41:EDH41"/>
    <mergeCell ref="ECK41:ECL41"/>
    <mergeCell ref="ECM41:ECN41"/>
    <mergeCell ref="ECO41:ECP41"/>
    <mergeCell ref="ECQ41:ECR41"/>
    <mergeCell ref="ECS41:ECT41"/>
    <mergeCell ref="ECU41:ECV41"/>
    <mergeCell ref="EBY41:EBZ41"/>
    <mergeCell ref="ECA41:ECB41"/>
    <mergeCell ref="ECC41:ECD41"/>
    <mergeCell ref="ECE41:ECF41"/>
    <mergeCell ref="ECG41:ECH41"/>
    <mergeCell ref="ECI41:ECJ41"/>
    <mergeCell ref="EHA41:EHB41"/>
    <mergeCell ref="EHC41:EHD41"/>
    <mergeCell ref="EHE41:EHF41"/>
    <mergeCell ref="EHG41:EHH41"/>
    <mergeCell ref="EHI41:EHJ41"/>
    <mergeCell ref="EHK41:EHL41"/>
    <mergeCell ref="EGO41:EGP41"/>
    <mergeCell ref="EGQ41:EGR41"/>
    <mergeCell ref="EGS41:EGT41"/>
    <mergeCell ref="EGU41:EGV41"/>
    <mergeCell ref="EGW41:EGX41"/>
    <mergeCell ref="EGY41:EGZ41"/>
    <mergeCell ref="EGC41:EGD41"/>
    <mergeCell ref="EGE41:EGF41"/>
    <mergeCell ref="EGG41:EGH41"/>
    <mergeCell ref="EGI41:EGJ41"/>
    <mergeCell ref="EGK41:EGL41"/>
    <mergeCell ref="EGM41:EGN41"/>
    <mergeCell ref="EFQ41:EFR41"/>
    <mergeCell ref="EFS41:EFT41"/>
    <mergeCell ref="EFU41:EFV41"/>
    <mergeCell ref="EFW41:EFX41"/>
    <mergeCell ref="EFY41:EFZ41"/>
    <mergeCell ref="EGA41:EGB41"/>
    <mergeCell ref="EFE41:EFF41"/>
    <mergeCell ref="EFG41:EFH41"/>
    <mergeCell ref="EFI41:EFJ41"/>
    <mergeCell ref="EFK41:EFL41"/>
    <mergeCell ref="EFM41:EFN41"/>
    <mergeCell ref="EFO41:EFP41"/>
    <mergeCell ref="EES41:EET41"/>
    <mergeCell ref="EEU41:EEV41"/>
    <mergeCell ref="EEW41:EEX41"/>
    <mergeCell ref="EEY41:EEZ41"/>
    <mergeCell ref="EFA41:EFB41"/>
    <mergeCell ref="EFC41:EFD41"/>
    <mergeCell ref="EJU41:EJV41"/>
    <mergeCell ref="EJW41:EJX41"/>
    <mergeCell ref="EJY41:EJZ41"/>
    <mergeCell ref="EKA41:EKB41"/>
    <mergeCell ref="EKC41:EKD41"/>
    <mergeCell ref="EKE41:EKF41"/>
    <mergeCell ref="EJI41:EJJ41"/>
    <mergeCell ref="EJK41:EJL41"/>
    <mergeCell ref="EJM41:EJN41"/>
    <mergeCell ref="EJO41:EJP41"/>
    <mergeCell ref="EJQ41:EJR41"/>
    <mergeCell ref="EJS41:EJT41"/>
    <mergeCell ref="EIW41:EIX41"/>
    <mergeCell ref="EIY41:EIZ41"/>
    <mergeCell ref="EJA41:EJB41"/>
    <mergeCell ref="EJC41:EJD41"/>
    <mergeCell ref="EJE41:EJF41"/>
    <mergeCell ref="EJG41:EJH41"/>
    <mergeCell ref="EIK41:EIL41"/>
    <mergeCell ref="EIM41:EIN41"/>
    <mergeCell ref="EIO41:EIP41"/>
    <mergeCell ref="EIQ41:EIR41"/>
    <mergeCell ref="EIS41:EIT41"/>
    <mergeCell ref="EIU41:EIV41"/>
    <mergeCell ref="EHY41:EHZ41"/>
    <mergeCell ref="EIA41:EIB41"/>
    <mergeCell ref="EIC41:EID41"/>
    <mergeCell ref="EIE41:EIF41"/>
    <mergeCell ref="EIG41:EIH41"/>
    <mergeCell ref="EII41:EIJ41"/>
    <mergeCell ref="EHM41:EHN41"/>
    <mergeCell ref="EHO41:EHP41"/>
    <mergeCell ref="EHQ41:EHR41"/>
    <mergeCell ref="EHS41:EHT41"/>
    <mergeCell ref="EHU41:EHV41"/>
    <mergeCell ref="EHW41:EHX41"/>
    <mergeCell ref="EMO41:EMP41"/>
    <mergeCell ref="EMQ41:EMR41"/>
    <mergeCell ref="EMS41:EMT41"/>
    <mergeCell ref="EMU41:EMV41"/>
    <mergeCell ref="EMW41:EMX41"/>
    <mergeCell ref="EMY41:EMZ41"/>
    <mergeCell ref="EMC41:EMD41"/>
    <mergeCell ref="EME41:EMF41"/>
    <mergeCell ref="EMG41:EMH41"/>
    <mergeCell ref="EMI41:EMJ41"/>
    <mergeCell ref="EMK41:EML41"/>
    <mergeCell ref="EMM41:EMN41"/>
    <mergeCell ref="ELQ41:ELR41"/>
    <mergeCell ref="ELS41:ELT41"/>
    <mergeCell ref="ELU41:ELV41"/>
    <mergeCell ref="ELW41:ELX41"/>
    <mergeCell ref="ELY41:ELZ41"/>
    <mergeCell ref="EMA41:EMB41"/>
    <mergeCell ref="ELE41:ELF41"/>
    <mergeCell ref="ELG41:ELH41"/>
    <mergeCell ref="ELI41:ELJ41"/>
    <mergeCell ref="ELK41:ELL41"/>
    <mergeCell ref="ELM41:ELN41"/>
    <mergeCell ref="ELO41:ELP41"/>
    <mergeCell ref="EKS41:EKT41"/>
    <mergeCell ref="EKU41:EKV41"/>
    <mergeCell ref="EKW41:EKX41"/>
    <mergeCell ref="EKY41:EKZ41"/>
    <mergeCell ref="ELA41:ELB41"/>
    <mergeCell ref="ELC41:ELD41"/>
    <mergeCell ref="EKG41:EKH41"/>
    <mergeCell ref="EKI41:EKJ41"/>
    <mergeCell ref="EKK41:EKL41"/>
    <mergeCell ref="EKM41:EKN41"/>
    <mergeCell ref="EKO41:EKP41"/>
    <mergeCell ref="EKQ41:EKR41"/>
    <mergeCell ref="EPI41:EPJ41"/>
    <mergeCell ref="EPK41:EPL41"/>
    <mergeCell ref="EPM41:EPN41"/>
    <mergeCell ref="EPO41:EPP41"/>
    <mergeCell ref="EPQ41:EPR41"/>
    <mergeCell ref="EPS41:EPT41"/>
    <mergeCell ref="EOW41:EOX41"/>
    <mergeCell ref="EOY41:EOZ41"/>
    <mergeCell ref="EPA41:EPB41"/>
    <mergeCell ref="EPC41:EPD41"/>
    <mergeCell ref="EPE41:EPF41"/>
    <mergeCell ref="EPG41:EPH41"/>
    <mergeCell ref="EOK41:EOL41"/>
    <mergeCell ref="EOM41:EON41"/>
    <mergeCell ref="EOO41:EOP41"/>
    <mergeCell ref="EOQ41:EOR41"/>
    <mergeCell ref="EOS41:EOT41"/>
    <mergeCell ref="EOU41:EOV41"/>
    <mergeCell ref="ENY41:ENZ41"/>
    <mergeCell ref="EOA41:EOB41"/>
    <mergeCell ref="EOC41:EOD41"/>
    <mergeCell ref="EOE41:EOF41"/>
    <mergeCell ref="EOG41:EOH41"/>
    <mergeCell ref="EOI41:EOJ41"/>
    <mergeCell ref="ENM41:ENN41"/>
    <mergeCell ref="ENO41:ENP41"/>
    <mergeCell ref="ENQ41:ENR41"/>
    <mergeCell ref="ENS41:ENT41"/>
    <mergeCell ref="ENU41:ENV41"/>
    <mergeCell ref="ENW41:ENX41"/>
    <mergeCell ref="ENA41:ENB41"/>
    <mergeCell ref="ENC41:END41"/>
    <mergeCell ref="ENE41:ENF41"/>
    <mergeCell ref="ENG41:ENH41"/>
    <mergeCell ref="ENI41:ENJ41"/>
    <mergeCell ref="ENK41:ENL41"/>
    <mergeCell ref="ESC41:ESD41"/>
    <mergeCell ref="ESE41:ESF41"/>
    <mergeCell ref="ESG41:ESH41"/>
    <mergeCell ref="ESI41:ESJ41"/>
    <mergeCell ref="ESK41:ESL41"/>
    <mergeCell ref="ESM41:ESN41"/>
    <mergeCell ref="ERQ41:ERR41"/>
    <mergeCell ref="ERS41:ERT41"/>
    <mergeCell ref="ERU41:ERV41"/>
    <mergeCell ref="ERW41:ERX41"/>
    <mergeCell ref="ERY41:ERZ41"/>
    <mergeCell ref="ESA41:ESB41"/>
    <mergeCell ref="ERE41:ERF41"/>
    <mergeCell ref="ERG41:ERH41"/>
    <mergeCell ref="ERI41:ERJ41"/>
    <mergeCell ref="ERK41:ERL41"/>
    <mergeCell ref="ERM41:ERN41"/>
    <mergeCell ref="ERO41:ERP41"/>
    <mergeCell ref="EQS41:EQT41"/>
    <mergeCell ref="EQU41:EQV41"/>
    <mergeCell ref="EQW41:EQX41"/>
    <mergeCell ref="EQY41:EQZ41"/>
    <mergeCell ref="ERA41:ERB41"/>
    <mergeCell ref="ERC41:ERD41"/>
    <mergeCell ref="EQG41:EQH41"/>
    <mergeCell ref="EQI41:EQJ41"/>
    <mergeCell ref="EQK41:EQL41"/>
    <mergeCell ref="EQM41:EQN41"/>
    <mergeCell ref="EQO41:EQP41"/>
    <mergeCell ref="EQQ41:EQR41"/>
    <mergeCell ref="EPU41:EPV41"/>
    <mergeCell ref="EPW41:EPX41"/>
    <mergeCell ref="EPY41:EPZ41"/>
    <mergeCell ref="EQA41:EQB41"/>
    <mergeCell ref="EQC41:EQD41"/>
    <mergeCell ref="EQE41:EQF41"/>
    <mergeCell ref="EUW41:EUX41"/>
    <mergeCell ref="EUY41:EUZ41"/>
    <mergeCell ref="EVA41:EVB41"/>
    <mergeCell ref="EVC41:EVD41"/>
    <mergeCell ref="EVE41:EVF41"/>
    <mergeCell ref="EVG41:EVH41"/>
    <mergeCell ref="EUK41:EUL41"/>
    <mergeCell ref="EUM41:EUN41"/>
    <mergeCell ref="EUO41:EUP41"/>
    <mergeCell ref="EUQ41:EUR41"/>
    <mergeCell ref="EUS41:EUT41"/>
    <mergeCell ref="EUU41:EUV41"/>
    <mergeCell ref="ETY41:ETZ41"/>
    <mergeCell ref="EUA41:EUB41"/>
    <mergeCell ref="EUC41:EUD41"/>
    <mergeCell ref="EUE41:EUF41"/>
    <mergeCell ref="EUG41:EUH41"/>
    <mergeCell ref="EUI41:EUJ41"/>
    <mergeCell ref="ETM41:ETN41"/>
    <mergeCell ref="ETO41:ETP41"/>
    <mergeCell ref="ETQ41:ETR41"/>
    <mergeCell ref="ETS41:ETT41"/>
    <mergeCell ref="ETU41:ETV41"/>
    <mergeCell ref="ETW41:ETX41"/>
    <mergeCell ref="ETA41:ETB41"/>
    <mergeCell ref="ETC41:ETD41"/>
    <mergeCell ref="ETE41:ETF41"/>
    <mergeCell ref="ETG41:ETH41"/>
    <mergeCell ref="ETI41:ETJ41"/>
    <mergeCell ref="ETK41:ETL41"/>
    <mergeCell ref="ESO41:ESP41"/>
    <mergeCell ref="ESQ41:ESR41"/>
    <mergeCell ref="ESS41:EST41"/>
    <mergeCell ref="ESU41:ESV41"/>
    <mergeCell ref="ESW41:ESX41"/>
    <mergeCell ref="ESY41:ESZ41"/>
    <mergeCell ref="EXQ41:EXR41"/>
    <mergeCell ref="EXS41:EXT41"/>
    <mergeCell ref="EXU41:EXV41"/>
    <mergeCell ref="EXW41:EXX41"/>
    <mergeCell ref="EXY41:EXZ41"/>
    <mergeCell ref="EYA41:EYB41"/>
    <mergeCell ref="EXE41:EXF41"/>
    <mergeCell ref="EXG41:EXH41"/>
    <mergeCell ref="EXI41:EXJ41"/>
    <mergeCell ref="EXK41:EXL41"/>
    <mergeCell ref="EXM41:EXN41"/>
    <mergeCell ref="EXO41:EXP41"/>
    <mergeCell ref="EWS41:EWT41"/>
    <mergeCell ref="EWU41:EWV41"/>
    <mergeCell ref="EWW41:EWX41"/>
    <mergeCell ref="EWY41:EWZ41"/>
    <mergeCell ref="EXA41:EXB41"/>
    <mergeCell ref="EXC41:EXD41"/>
    <mergeCell ref="EWG41:EWH41"/>
    <mergeCell ref="EWI41:EWJ41"/>
    <mergeCell ref="EWK41:EWL41"/>
    <mergeCell ref="EWM41:EWN41"/>
    <mergeCell ref="EWO41:EWP41"/>
    <mergeCell ref="EWQ41:EWR41"/>
    <mergeCell ref="EVU41:EVV41"/>
    <mergeCell ref="EVW41:EVX41"/>
    <mergeCell ref="EVY41:EVZ41"/>
    <mergeCell ref="EWA41:EWB41"/>
    <mergeCell ref="EWC41:EWD41"/>
    <mergeCell ref="EWE41:EWF41"/>
    <mergeCell ref="EVI41:EVJ41"/>
    <mergeCell ref="EVK41:EVL41"/>
    <mergeCell ref="EVM41:EVN41"/>
    <mergeCell ref="EVO41:EVP41"/>
    <mergeCell ref="EVQ41:EVR41"/>
    <mergeCell ref="EVS41:EVT41"/>
    <mergeCell ref="FAK41:FAL41"/>
    <mergeCell ref="FAM41:FAN41"/>
    <mergeCell ref="FAO41:FAP41"/>
    <mergeCell ref="FAQ41:FAR41"/>
    <mergeCell ref="FAS41:FAT41"/>
    <mergeCell ref="FAU41:FAV41"/>
    <mergeCell ref="EZY41:EZZ41"/>
    <mergeCell ref="FAA41:FAB41"/>
    <mergeCell ref="FAC41:FAD41"/>
    <mergeCell ref="FAE41:FAF41"/>
    <mergeCell ref="FAG41:FAH41"/>
    <mergeCell ref="FAI41:FAJ41"/>
    <mergeCell ref="EZM41:EZN41"/>
    <mergeCell ref="EZO41:EZP41"/>
    <mergeCell ref="EZQ41:EZR41"/>
    <mergeCell ref="EZS41:EZT41"/>
    <mergeCell ref="EZU41:EZV41"/>
    <mergeCell ref="EZW41:EZX41"/>
    <mergeCell ref="EZA41:EZB41"/>
    <mergeCell ref="EZC41:EZD41"/>
    <mergeCell ref="EZE41:EZF41"/>
    <mergeCell ref="EZG41:EZH41"/>
    <mergeCell ref="EZI41:EZJ41"/>
    <mergeCell ref="EZK41:EZL41"/>
    <mergeCell ref="EYO41:EYP41"/>
    <mergeCell ref="EYQ41:EYR41"/>
    <mergeCell ref="EYS41:EYT41"/>
    <mergeCell ref="EYU41:EYV41"/>
    <mergeCell ref="EYW41:EYX41"/>
    <mergeCell ref="EYY41:EYZ41"/>
    <mergeCell ref="EYC41:EYD41"/>
    <mergeCell ref="EYE41:EYF41"/>
    <mergeCell ref="EYG41:EYH41"/>
    <mergeCell ref="EYI41:EYJ41"/>
    <mergeCell ref="EYK41:EYL41"/>
    <mergeCell ref="EYM41:EYN41"/>
    <mergeCell ref="FDE41:FDF41"/>
    <mergeCell ref="FDG41:FDH41"/>
    <mergeCell ref="FDI41:FDJ41"/>
    <mergeCell ref="FDK41:FDL41"/>
    <mergeCell ref="FDM41:FDN41"/>
    <mergeCell ref="FDO41:FDP41"/>
    <mergeCell ref="FCS41:FCT41"/>
    <mergeCell ref="FCU41:FCV41"/>
    <mergeCell ref="FCW41:FCX41"/>
    <mergeCell ref="FCY41:FCZ41"/>
    <mergeCell ref="FDA41:FDB41"/>
    <mergeCell ref="FDC41:FDD41"/>
    <mergeCell ref="FCG41:FCH41"/>
    <mergeCell ref="FCI41:FCJ41"/>
    <mergeCell ref="FCK41:FCL41"/>
    <mergeCell ref="FCM41:FCN41"/>
    <mergeCell ref="FCO41:FCP41"/>
    <mergeCell ref="FCQ41:FCR41"/>
    <mergeCell ref="FBU41:FBV41"/>
    <mergeCell ref="FBW41:FBX41"/>
    <mergeCell ref="FBY41:FBZ41"/>
    <mergeCell ref="FCA41:FCB41"/>
    <mergeCell ref="FCC41:FCD41"/>
    <mergeCell ref="FCE41:FCF41"/>
    <mergeCell ref="FBI41:FBJ41"/>
    <mergeCell ref="FBK41:FBL41"/>
    <mergeCell ref="FBM41:FBN41"/>
    <mergeCell ref="FBO41:FBP41"/>
    <mergeCell ref="FBQ41:FBR41"/>
    <mergeCell ref="FBS41:FBT41"/>
    <mergeCell ref="FAW41:FAX41"/>
    <mergeCell ref="FAY41:FAZ41"/>
    <mergeCell ref="FBA41:FBB41"/>
    <mergeCell ref="FBC41:FBD41"/>
    <mergeCell ref="FBE41:FBF41"/>
    <mergeCell ref="FBG41:FBH41"/>
    <mergeCell ref="FFY41:FFZ41"/>
    <mergeCell ref="FGA41:FGB41"/>
    <mergeCell ref="FGC41:FGD41"/>
    <mergeCell ref="FGE41:FGF41"/>
    <mergeCell ref="FGG41:FGH41"/>
    <mergeCell ref="FGI41:FGJ41"/>
    <mergeCell ref="FFM41:FFN41"/>
    <mergeCell ref="FFO41:FFP41"/>
    <mergeCell ref="FFQ41:FFR41"/>
    <mergeCell ref="FFS41:FFT41"/>
    <mergeCell ref="FFU41:FFV41"/>
    <mergeCell ref="FFW41:FFX41"/>
    <mergeCell ref="FFA41:FFB41"/>
    <mergeCell ref="FFC41:FFD41"/>
    <mergeCell ref="FFE41:FFF41"/>
    <mergeCell ref="FFG41:FFH41"/>
    <mergeCell ref="FFI41:FFJ41"/>
    <mergeCell ref="FFK41:FFL41"/>
    <mergeCell ref="FEO41:FEP41"/>
    <mergeCell ref="FEQ41:FER41"/>
    <mergeCell ref="FES41:FET41"/>
    <mergeCell ref="FEU41:FEV41"/>
    <mergeCell ref="FEW41:FEX41"/>
    <mergeCell ref="FEY41:FEZ41"/>
    <mergeCell ref="FEC41:FED41"/>
    <mergeCell ref="FEE41:FEF41"/>
    <mergeCell ref="FEG41:FEH41"/>
    <mergeCell ref="FEI41:FEJ41"/>
    <mergeCell ref="FEK41:FEL41"/>
    <mergeCell ref="FEM41:FEN41"/>
    <mergeCell ref="FDQ41:FDR41"/>
    <mergeCell ref="FDS41:FDT41"/>
    <mergeCell ref="FDU41:FDV41"/>
    <mergeCell ref="FDW41:FDX41"/>
    <mergeCell ref="FDY41:FDZ41"/>
    <mergeCell ref="FEA41:FEB41"/>
    <mergeCell ref="FIS41:FIT41"/>
    <mergeCell ref="FIU41:FIV41"/>
    <mergeCell ref="FIW41:FIX41"/>
    <mergeCell ref="FIY41:FIZ41"/>
    <mergeCell ref="FJA41:FJB41"/>
    <mergeCell ref="FJC41:FJD41"/>
    <mergeCell ref="FIG41:FIH41"/>
    <mergeCell ref="FII41:FIJ41"/>
    <mergeCell ref="FIK41:FIL41"/>
    <mergeCell ref="FIM41:FIN41"/>
    <mergeCell ref="FIO41:FIP41"/>
    <mergeCell ref="FIQ41:FIR41"/>
    <mergeCell ref="FHU41:FHV41"/>
    <mergeCell ref="FHW41:FHX41"/>
    <mergeCell ref="FHY41:FHZ41"/>
    <mergeCell ref="FIA41:FIB41"/>
    <mergeCell ref="FIC41:FID41"/>
    <mergeCell ref="FIE41:FIF41"/>
    <mergeCell ref="FHI41:FHJ41"/>
    <mergeCell ref="FHK41:FHL41"/>
    <mergeCell ref="FHM41:FHN41"/>
    <mergeCell ref="FHO41:FHP41"/>
    <mergeCell ref="FHQ41:FHR41"/>
    <mergeCell ref="FHS41:FHT41"/>
    <mergeCell ref="FGW41:FGX41"/>
    <mergeCell ref="FGY41:FGZ41"/>
    <mergeCell ref="FHA41:FHB41"/>
    <mergeCell ref="FHC41:FHD41"/>
    <mergeCell ref="FHE41:FHF41"/>
    <mergeCell ref="FHG41:FHH41"/>
    <mergeCell ref="FGK41:FGL41"/>
    <mergeCell ref="FGM41:FGN41"/>
    <mergeCell ref="FGO41:FGP41"/>
    <mergeCell ref="FGQ41:FGR41"/>
    <mergeCell ref="FGS41:FGT41"/>
    <mergeCell ref="FGU41:FGV41"/>
    <mergeCell ref="FLM41:FLN41"/>
    <mergeCell ref="FLO41:FLP41"/>
    <mergeCell ref="FLQ41:FLR41"/>
    <mergeCell ref="FLS41:FLT41"/>
    <mergeCell ref="FLU41:FLV41"/>
    <mergeCell ref="FLW41:FLX41"/>
    <mergeCell ref="FLA41:FLB41"/>
    <mergeCell ref="FLC41:FLD41"/>
    <mergeCell ref="FLE41:FLF41"/>
    <mergeCell ref="FLG41:FLH41"/>
    <mergeCell ref="FLI41:FLJ41"/>
    <mergeCell ref="FLK41:FLL41"/>
    <mergeCell ref="FKO41:FKP41"/>
    <mergeCell ref="FKQ41:FKR41"/>
    <mergeCell ref="FKS41:FKT41"/>
    <mergeCell ref="FKU41:FKV41"/>
    <mergeCell ref="FKW41:FKX41"/>
    <mergeCell ref="FKY41:FKZ41"/>
    <mergeCell ref="FKC41:FKD41"/>
    <mergeCell ref="FKE41:FKF41"/>
    <mergeCell ref="FKG41:FKH41"/>
    <mergeCell ref="FKI41:FKJ41"/>
    <mergeCell ref="FKK41:FKL41"/>
    <mergeCell ref="FKM41:FKN41"/>
    <mergeCell ref="FJQ41:FJR41"/>
    <mergeCell ref="FJS41:FJT41"/>
    <mergeCell ref="FJU41:FJV41"/>
    <mergeCell ref="FJW41:FJX41"/>
    <mergeCell ref="FJY41:FJZ41"/>
    <mergeCell ref="FKA41:FKB41"/>
    <mergeCell ref="FJE41:FJF41"/>
    <mergeCell ref="FJG41:FJH41"/>
    <mergeCell ref="FJI41:FJJ41"/>
    <mergeCell ref="FJK41:FJL41"/>
    <mergeCell ref="FJM41:FJN41"/>
    <mergeCell ref="FJO41:FJP41"/>
    <mergeCell ref="FOG41:FOH41"/>
    <mergeCell ref="FOI41:FOJ41"/>
    <mergeCell ref="FOK41:FOL41"/>
    <mergeCell ref="FOM41:FON41"/>
    <mergeCell ref="FOO41:FOP41"/>
    <mergeCell ref="FOQ41:FOR41"/>
    <mergeCell ref="FNU41:FNV41"/>
    <mergeCell ref="FNW41:FNX41"/>
    <mergeCell ref="FNY41:FNZ41"/>
    <mergeCell ref="FOA41:FOB41"/>
    <mergeCell ref="FOC41:FOD41"/>
    <mergeCell ref="FOE41:FOF41"/>
    <mergeCell ref="FNI41:FNJ41"/>
    <mergeCell ref="FNK41:FNL41"/>
    <mergeCell ref="FNM41:FNN41"/>
    <mergeCell ref="FNO41:FNP41"/>
    <mergeCell ref="FNQ41:FNR41"/>
    <mergeCell ref="FNS41:FNT41"/>
    <mergeCell ref="FMW41:FMX41"/>
    <mergeCell ref="FMY41:FMZ41"/>
    <mergeCell ref="FNA41:FNB41"/>
    <mergeCell ref="FNC41:FND41"/>
    <mergeCell ref="FNE41:FNF41"/>
    <mergeCell ref="FNG41:FNH41"/>
    <mergeCell ref="FMK41:FML41"/>
    <mergeCell ref="FMM41:FMN41"/>
    <mergeCell ref="FMO41:FMP41"/>
    <mergeCell ref="FMQ41:FMR41"/>
    <mergeCell ref="FMS41:FMT41"/>
    <mergeCell ref="FMU41:FMV41"/>
    <mergeCell ref="FLY41:FLZ41"/>
    <mergeCell ref="FMA41:FMB41"/>
    <mergeCell ref="FMC41:FMD41"/>
    <mergeCell ref="FME41:FMF41"/>
    <mergeCell ref="FMG41:FMH41"/>
    <mergeCell ref="FMI41:FMJ41"/>
    <mergeCell ref="FRA41:FRB41"/>
    <mergeCell ref="FRC41:FRD41"/>
    <mergeCell ref="FRE41:FRF41"/>
    <mergeCell ref="FRG41:FRH41"/>
    <mergeCell ref="FRI41:FRJ41"/>
    <mergeCell ref="FRK41:FRL41"/>
    <mergeCell ref="FQO41:FQP41"/>
    <mergeCell ref="FQQ41:FQR41"/>
    <mergeCell ref="FQS41:FQT41"/>
    <mergeCell ref="FQU41:FQV41"/>
    <mergeCell ref="FQW41:FQX41"/>
    <mergeCell ref="FQY41:FQZ41"/>
    <mergeCell ref="FQC41:FQD41"/>
    <mergeCell ref="FQE41:FQF41"/>
    <mergeCell ref="FQG41:FQH41"/>
    <mergeCell ref="FQI41:FQJ41"/>
    <mergeCell ref="FQK41:FQL41"/>
    <mergeCell ref="FQM41:FQN41"/>
    <mergeCell ref="FPQ41:FPR41"/>
    <mergeCell ref="FPS41:FPT41"/>
    <mergeCell ref="FPU41:FPV41"/>
    <mergeCell ref="FPW41:FPX41"/>
    <mergeCell ref="FPY41:FPZ41"/>
    <mergeCell ref="FQA41:FQB41"/>
    <mergeCell ref="FPE41:FPF41"/>
    <mergeCell ref="FPG41:FPH41"/>
    <mergeCell ref="FPI41:FPJ41"/>
    <mergeCell ref="FPK41:FPL41"/>
    <mergeCell ref="FPM41:FPN41"/>
    <mergeCell ref="FPO41:FPP41"/>
    <mergeCell ref="FOS41:FOT41"/>
    <mergeCell ref="FOU41:FOV41"/>
    <mergeCell ref="FOW41:FOX41"/>
    <mergeCell ref="FOY41:FOZ41"/>
    <mergeCell ref="FPA41:FPB41"/>
    <mergeCell ref="FPC41:FPD41"/>
    <mergeCell ref="FTU41:FTV41"/>
    <mergeCell ref="FTW41:FTX41"/>
    <mergeCell ref="FTY41:FTZ41"/>
    <mergeCell ref="FUA41:FUB41"/>
    <mergeCell ref="FUC41:FUD41"/>
    <mergeCell ref="FUE41:FUF41"/>
    <mergeCell ref="FTI41:FTJ41"/>
    <mergeCell ref="FTK41:FTL41"/>
    <mergeCell ref="FTM41:FTN41"/>
    <mergeCell ref="FTO41:FTP41"/>
    <mergeCell ref="FTQ41:FTR41"/>
    <mergeCell ref="FTS41:FTT41"/>
    <mergeCell ref="FSW41:FSX41"/>
    <mergeCell ref="FSY41:FSZ41"/>
    <mergeCell ref="FTA41:FTB41"/>
    <mergeCell ref="FTC41:FTD41"/>
    <mergeCell ref="FTE41:FTF41"/>
    <mergeCell ref="FTG41:FTH41"/>
    <mergeCell ref="FSK41:FSL41"/>
    <mergeCell ref="FSM41:FSN41"/>
    <mergeCell ref="FSO41:FSP41"/>
    <mergeCell ref="FSQ41:FSR41"/>
    <mergeCell ref="FSS41:FST41"/>
    <mergeCell ref="FSU41:FSV41"/>
    <mergeCell ref="FRY41:FRZ41"/>
    <mergeCell ref="FSA41:FSB41"/>
    <mergeCell ref="FSC41:FSD41"/>
    <mergeCell ref="FSE41:FSF41"/>
    <mergeCell ref="FSG41:FSH41"/>
    <mergeCell ref="FSI41:FSJ41"/>
    <mergeCell ref="FRM41:FRN41"/>
    <mergeCell ref="FRO41:FRP41"/>
    <mergeCell ref="FRQ41:FRR41"/>
    <mergeCell ref="FRS41:FRT41"/>
    <mergeCell ref="FRU41:FRV41"/>
    <mergeCell ref="FRW41:FRX41"/>
    <mergeCell ref="FWO41:FWP41"/>
    <mergeCell ref="FWQ41:FWR41"/>
    <mergeCell ref="FWS41:FWT41"/>
    <mergeCell ref="FWU41:FWV41"/>
    <mergeCell ref="FWW41:FWX41"/>
    <mergeCell ref="FWY41:FWZ41"/>
    <mergeCell ref="FWC41:FWD41"/>
    <mergeCell ref="FWE41:FWF41"/>
    <mergeCell ref="FWG41:FWH41"/>
    <mergeCell ref="FWI41:FWJ41"/>
    <mergeCell ref="FWK41:FWL41"/>
    <mergeCell ref="FWM41:FWN41"/>
    <mergeCell ref="FVQ41:FVR41"/>
    <mergeCell ref="FVS41:FVT41"/>
    <mergeCell ref="FVU41:FVV41"/>
    <mergeCell ref="FVW41:FVX41"/>
    <mergeCell ref="FVY41:FVZ41"/>
    <mergeCell ref="FWA41:FWB41"/>
    <mergeCell ref="FVE41:FVF41"/>
    <mergeCell ref="FVG41:FVH41"/>
    <mergeCell ref="FVI41:FVJ41"/>
    <mergeCell ref="FVK41:FVL41"/>
    <mergeCell ref="FVM41:FVN41"/>
    <mergeCell ref="FVO41:FVP41"/>
    <mergeCell ref="FUS41:FUT41"/>
    <mergeCell ref="FUU41:FUV41"/>
    <mergeCell ref="FUW41:FUX41"/>
    <mergeCell ref="FUY41:FUZ41"/>
    <mergeCell ref="FVA41:FVB41"/>
    <mergeCell ref="FVC41:FVD41"/>
    <mergeCell ref="FUG41:FUH41"/>
    <mergeCell ref="FUI41:FUJ41"/>
    <mergeCell ref="FUK41:FUL41"/>
    <mergeCell ref="FUM41:FUN41"/>
    <mergeCell ref="FUO41:FUP41"/>
    <mergeCell ref="FUQ41:FUR41"/>
    <mergeCell ref="FZI41:FZJ41"/>
    <mergeCell ref="FZK41:FZL41"/>
    <mergeCell ref="FZM41:FZN41"/>
    <mergeCell ref="FZO41:FZP41"/>
    <mergeCell ref="FZQ41:FZR41"/>
    <mergeCell ref="FZS41:FZT41"/>
    <mergeCell ref="FYW41:FYX41"/>
    <mergeCell ref="FYY41:FYZ41"/>
    <mergeCell ref="FZA41:FZB41"/>
    <mergeCell ref="FZC41:FZD41"/>
    <mergeCell ref="FZE41:FZF41"/>
    <mergeCell ref="FZG41:FZH41"/>
    <mergeCell ref="FYK41:FYL41"/>
    <mergeCell ref="FYM41:FYN41"/>
    <mergeCell ref="FYO41:FYP41"/>
    <mergeCell ref="FYQ41:FYR41"/>
    <mergeCell ref="FYS41:FYT41"/>
    <mergeCell ref="FYU41:FYV41"/>
    <mergeCell ref="FXY41:FXZ41"/>
    <mergeCell ref="FYA41:FYB41"/>
    <mergeCell ref="FYC41:FYD41"/>
    <mergeCell ref="FYE41:FYF41"/>
    <mergeCell ref="FYG41:FYH41"/>
    <mergeCell ref="FYI41:FYJ41"/>
    <mergeCell ref="FXM41:FXN41"/>
    <mergeCell ref="FXO41:FXP41"/>
    <mergeCell ref="FXQ41:FXR41"/>
    <mergeCell ref="FXS41:FXT41"/>
    <mergeCell ref="FXU41:FXV41"/>
    <mergeCell ref="FXW41:FXX41"/>
    <mergeCell ref="FXA41:FXB41"/>
    <mergeCell ref="FXC41:FXD41"/>
    <mergeCell ref="FXE41:FXF41"/>
    <mergeCell ref="FXG41:FXH41"/>
    <mergeCell ref="FXI41:FXJ41"/>
    <mergeCell ref="FXK41:FXL41"/>
    <mergeCell ref="GCC41:GCD41"/>
    <mergeCell ref="GCE41:GCF41"/>
    <mergeCell ref="GCG41:GCH41"/>
    <mergeCell ref="GCI41:GCJ41"/>
    <mergeCell ref="GCK41:GCL41"/>
    <mergeCell ref="GCM41:GCN41"/>
    <mergeCell ref="GBQ41:GBR41"/>
    <mergeCell ref="GBS41:GBT41"/>
    <mergeCell ref="GBU41:GBV41"/>
    <mergeCell ref="GBW41:GBX41"/>
    <mergeCell ref="GBY41:GBZ41"/>
    <mergeCell ref="GCA41:GCB41"/>
    <mergeCell ref="GBE41:GBF41"/>
    <mergeCell ref="GBG41:GBH41"/>
    <mergeCell ref="GBI41:GBJ41"/>
    <mergeCell ref="GBK41:GBL41"/>
    <mergeCell ref="GBM41:GBN41"/>
    <mergeCell ref="GBO41:GBP41"/>
    <mergeCell ref="GAS41:GAT41"/>
    <mergeCell ref="GAU41:GAV41"/>
    <mergeCell ref="GAW41:GAX41"/>
    <mergeCell ref="GAY41:GAZ41"/>
    <mergeCell ref="GBA41:GBB41"/>
    <mergeCell ref="GBC41:GBD41"/>
    <mergeCell ref="GAG41:GAH41"/>
    <mergeCell ref="GAI41:GAJ41"/>
    <mergeCell ref="GAK41:GAL41"/>
    <mergeCell ref="GAM41:GAN41"/>
    <mergeCell ref="GAO41:GAP41"/>
    <mergeCell ref="GAQ41:GAR41"/>
    <mergeCell ref="FZU41:FZV41"/>
    <mergeCell ref="FZW41:FZX41"/>
    <mergeCell ref="FZY41:FZZ41"/>
    <mergeCell ref="GAA41:GAB41"/>
    <mergeCell ref="GAC41:GAD41"/>
    <mergeCell ref="GAE41:GAF41"/>
    <mergeCell ref="GEW41:GEX41"/>
    <mergeCell ref="GEY41:GEZ41"/>
    <mergeCell ref="GFA41:GFB41"/>
    <mergeCell ref="GFC41:GFD41"/>
    <mergeCell ref="GFE41:GFF41"/>
    <mergeCell ref="GFG41:GFH41"/>
    <mergeCell ref="GEK41:GEL41"/>
    <mergeCell ref="GEM41:GEN41"/>
    <mergeCell ref="GEO41:GEP41"/>
    <mergeCell ref="GEQ41:GER41"/>
    <mergeCell ref="GES41:GET41"/>
    <mergeCell ref="GEU41:GEV41"/>
    <mergeCell ref="GDY41:GDZ41"/>
    <mergeCell ref="GEA41:GEB41"/>
    <mergeCell ref="GEC41:GED41"/>
    <mergeCell ref="GEE41:GEF41"/>
    <mergeCell ref="GEG41:GEH41"/>
    <mergeCell ref="GEI41:GEJ41"/>
    <mergeCell ref="GDM41:GDN41"/>
    <mergeCell ref="GDO41:GDP41"/>
    <mergeCell ref="GDQ41:GDR41"/>
    <mergeCell ref="GDS41:GDT41"/>
    <mergeCell ref="GDU41:GDV41"/>
    <mergeCell ref="GDW41:GDX41"/>
    <mergeCell ref="GDA41:GDB41"/>
    <mergeCell ref="GDC41:GDD41"/>
    <mergeCell ref="GDE41:GDF41"/>
    <mergeCell ref="GDG41:GDH41"/>
    <mergeCell ref="GDI41:GDJ41"/>
    <mergeCell ref="GDK41:GDL41"/>
    <mergeCell ref="GCO41:GCP41"/>
    <mergeCell ref="GCQ41:GCR41"/>
    <mergeCell ref="GCS41:GCT41"/>
    <mergeCell ref="GCU41:GCV41"/>
    <mergeCell ref="GCW41:GCX41"/>
    <mergeCell ref="GCY41:GCZ41"/>
    <mergeCell ref="GHQ41:GHR41"/>
    <mergeCell ref="GHS41:GHT41"/>
    <mergeCell ref="GHU41:GHV41"/>
    <mergeCell ref="GHW41:GHX41"/>
    <mergeCell ref="GHY41:GHZ41"/>
    <mergeCell ref="GIA41:GIB41"/>
    <mergeCell ref="GHE41:GHF41"/>
    <mergeCell ref="GHG41:GHH41"/>
    <mergeCell ref="GHI41:GHJ41"/>
    <mergeCell ref="GHK41:GHL41"/>
    <mergeCell ref="GHM41:GHN41"/>
    <mergeCell ref="GHO41:GHP41"/>
    <mergeCell ref="GGS41:GGT41"/>
    <mergeCell ref="GGU41:GGV41"/>
    <mergeCell ref="GGW41:GGX41"/>
    <mergeCell ref="GGY41:GGZ41"/>
    <mergeCell ref="GHA41:GHB41"/>
    <mergeCell ref="GHC41:GHD41"/>
    <mergeCell ref="GGG41:GGH41"/>
    <mergeCell ref="GGI41:GGJ41"/>
    <mergeCell ref="GGK41:GGL41"/>
    <mergeCell ref="GGM41:GGN41"/>
    <mergeCell ref="GGO41:GGP41"/>
    <mergeCell ref="GGQ41:GGR41"/>
    <mergeCell ref="GFU41:GFV41"/>
    <mergeCell ref="GFW41:GFX41"/>
    <mergeCell ref="GFY41:GFZ41"/>
    <mergeCell ref="GGA41:GGB41"/>
    <mergeCell ref="GGC41:GGD41"/>
    <mergeCell ref="GGE41:GGF41"/>
    <mergeCell ref="GFI41:GFJ41"/>
    <mergeCell ref="GFK41:GFL41"/>
    <mergeCell ref="GFM41:GFN41"/>
    <mergeCell ref="GFO41:GFP41"/>
    <mergeCell ref="GFQ41:GFR41"/>
    <mergeCell ref="GFS41:GFT41"/>
    <mergeCell ref="GKK41:GKL41"/>
    <mergeCell ref="GKM41:GKN41"/>
    <mergeCell ref="GKO41:GKP41"/>
    <mergeCell ref="GKQ41:GKR41"/>
    <mergeCell ref="GKS41:GKT41"/>
    <mergeCell ref="GKU41:GKV41"/>
    <mergeCell ref="GJY41:GJZ41"/>
    <mergeCell ref="GKA41:GKB41"/>
    <mergeCell ref="GKC41:GKD41"/>
    <mergeCell ref="GKE41:GKF41"/>
    <mergeCell ref="GKG41:GKH41"/>
    <mergeCell ref="GKI41:GKJ41"/>
    <mergeCell ref="GJM41:GJN41"/>
    <mergeCell ref="GJO41:GJP41"/>
    <mergeCell ref="GJQ41:GJR41"/>
    <mergeCell ref="GJS41:GJT41"/>
    <mergeCell ref="GJU41:GJV41"/>
    <mergeCell ref="GJW41:GJX41"/>
    <mergeCell ref="GJA41:GJB41"/>
    <mergeCell ref="GJC41:GJD41"/>
    <mergeCell ref="GJE41:GJF41"/>
    <mergeCell ref="GJG41:GJH41"/>
    <mergeCell ref="GJI41:GJJ41"/>
    <mergeCell ref="GJK41:GJL41"/>
    <mergeCell ref="GIO41:GIP41"/>
    <mergeCell ref="GIQ41:GIR41"/>
    <mergeCell ref="GIS41:GIT41"/>
    <mergeCell ref="GIU41:GIV41"/>
    <mergeCell ref="GIW41:GIX41"/>
    <mergeCell ref="GIY41:GIZ41"/>
    <mergeCell ref="GIC41:GID41"/>
    <mergeCell ref="GIE41:GIF41"/>
    <mergeCell ref="GIG41:GIH41"/>
    <mergeCell ref="GII41:GIJ41"/>
    <mergeCell ref="GIK41:GIL41"/>
    <mergeCell ref="GIM41:GIN41"/>
    <mergeCell ref="GNE41:GNF41"/>
    <mergeCell ref="GNG41:GNH41"/>
    <mergeCell ref="GNI41:GNJ41"/>
    <mergeCell ref="GNK41:GNL41"/>
    <mergeCell ref="GNM41:GNN41"/>
    <mergeCell ref="GNO41:GNP41"/>
    <mergeCell ref="GMS41:GMT41"/>
    <mergeCell ref="GMU41:GMV41"/>
    <mergeCell ref="GMW41:GMX41"/>
    <mergeCell ref="GMY41:GMZ41"/>
    <mergeCell ref="GNA41:GNB41"/>
    <mergeCell ref="GNC41:GND41"/>
    <mergeCell ref="GMG41:GMH41"/>
    <mergeCell ref="GMI41:GMJ41"/>
    <mergeCell ref="GMK41:GML41"/>
    <mergeCell ref="GMM41:GMN41"/>
    <mergeCell ref="GMO41:GMP41"/>
    <mergeCell ref="GMQ41:GMR41"/>
    <mergeCell ref="GLU41:GLV41"/>
    <mergeCell ref="GLW41:GLX41"/>
    <mergeCell ref="GLY41:GLZ41"/>
    <mergeCell ref="GMA41:GMB41"/>
    <mergeCell ref="GMC41:GMD41"/>
    <mergeCell ref="GME41:GMF41"/>
    <mergeCell ref="GLI41:GLJ41"/>
    <mergeCell ref="GLK41:GLL41"/>
    <mergeCell ref="GLM41:GLN41"/>
    <mergeCell ref="GLO41:GLP41"/>
    <mergeCell ref="GLQ41:GLR41"/>
    <mergeCell ref="GLS41:GLT41"/>
    <mergeCell ref="GKW41:GKX41"/>
    <mergeCell ref="GKY41:GKZ41"/>
    <mergeCell ref="GLA41:GLB41"/>
    <mergeCell ref="GLC41:GLD41"/>
    <mergeCell ref="GLE41:GLF41"/>
    <mergeCell ref="GLG41:GLH41"/>
    <mergeCell ref="GPY41:GPZ41"/>
    <mergeCell ref="GQA41:GQB41"/>
    <mergeCell ref="GQC41:GQD41"/>
    <mergeCell ref="GQE41:GQF41"/>
    <mergeCell ref="GQG41:GQH41"/>
    <mergeCell ref="GQI41:GQJ41"/>
    <mergeCell ref="GPM41:GPN41"/>
    <mergeCell ref="GPO41:GPP41"/>
    <mergeCell ref="GPQ41:GPR41"/>
    <mergeCell ref="GPS41:GPT41"/>
    <mergeCell ref="GPU41:GPV41"/>
    <mergeCell ref="GPW41:GPX41"/>
    <mergeCell ref="GPA41:GPB41"/>
    <mergeCell ref="GPC41:GPD41"/>
    <mergeCell ref="GPE41:GPF41"/>
    <mergeCell ref="GPG41:GPH41"/>
    <mergeCell ref="GPI41:GPJ41"/>
    <mergeCell ref="GPK41:GPL41"/>
    <mergeCell ref="GOO41:GOP41"/>
    <mergeCell ref="GOQ41:GOR41"/>
    <mergeCell ref="GOS41:GOT41"/>
    <mergeCell ref="GOU41:GOV41"/>
    <mergeCell ref="GOW41:GOX41"/>
    <mergeCell ref="GOY41:GOZ41"/>
    <mergeCell ref="GOC41:GOD41"/>
    <mergeCell ref="GOE41:GOF41"/>
    <mergeCell ref="GOG41:GOH41"/>
    <mergeCell ref="GOI41:GOJ41"/>
    <mergeCell ref="GOK41:GOL41"/>
    <mergeCell ref="GOM41:GON41"/>
    <mergeCell ref="GNQ41:GNR41"/>
    <mergeCell ref="GNS41:GNT41"/>
    <mergeCell ref="GNU41:GNV41"/>
    <mergeCell ref="GNW41:GNX41"/>
    <mergeCell ref="GNY41:GNZ41"/>
    <mergeCell ref="GOA41:GOB41"/>
    <mergeCell ref="GSS41:GST41"/>
    <mergeCell ref="GSU41:GSV41"/>
    <mergeCell ref="GSW41:GSX41"/>
    <mergeCell ref="GSY41:GSZ41"/>
    <mergeCell ref="GTA41:GTB41"/>
    <mergeCell ref="GTC41:GTD41"/>
    <mergeCell ref="GSG41:GSH41"/>
    <mergeCell ref="GSI41:GSJ41"/>
    <mergeCell ref="GSK41:GSL41"/>
    <mergeCell ref="GSM41:GSN41"/>
    <mergeCell ref="GSO41:GSP41"/>
    <mergeCell ref="GSQ41:GSR41"/>
    <mergeCell ref="GRU41:GRV41"/>
    <mergeCell ref="GRW41:GRX41"/>
    <mergeCell ref="GRY41:GRZ41"/>
    <mergeCell ref="GSA41:GSB41"/>
    <mergeCell ref="GSC41:GSD41"/>
    <mergeCell ref="GSE41:GSF41"/>
    <mergeCell ref="GRI41:GRJ41"/>
    <mergeCell ref="GRK41:GRL41"/>
    <mergeCell ref="GRM41:GRN41"/>
    <mergeCell ref="GRO41:GRP41"/>
    <mergeCell ref="GRQ41:GRR41"/>
    <mergeCell ref="GRS41:GRT41"/>
    <mergeCell ref="GQW41:GQX41"/>
    <mergeCell ref="GQY41:GQZ41"/>
    <mergeCell ref="GRA41:GRB41"/>
    <mergeCell ref="GRC41:GRD41"/>
    <mergeCell ref="GRE41:GRF41"/>
    <mergeCell ref="GRG41:GRH41"/>
    <mergeCell ref="GQK41:GQL41"/>
    <mergeCell ref="GQM41:GQN41"/>
    <mergeCell ref="GQO41:GQP41"/>
    <mergeCell ref="GQQ41:GQR41"/>
    <mergeCell ref="GQS41:GQT41"/>
    <mergeCell ref="GQU41:GQV41"/>
    <mergeCell ref="GVM41:GVN41"/>
    <mergeCell ref="GVO41:GVP41"/>
    <mergeCell ref="GVQ41:GVR41"/>
    <mergeCell ref="GVS41:GVT41"/>
    <mergeCell ref="GVU41:GVV41"/>
    <mergeCell ref="GVW41:GVX41"/>
    <mergeCell ref="GVA41:GVB41"/>
    <mergeCell ref="GVC41:GVD41"/>
    <mergeCell ref="GVE41:GVF41"/>
    <mergeCell ref="GVG41:GVH41"/>
    <mergeCell ref="GVI41:GVJ41"/>
    <mergeCell ref="GVK41:GVL41"/>
    <mergeCell ref="GUO41:GUP41"/>
    <mergeCell ref="GUQ41:GUR41"/>
    <mergeCell ref="GUS41:GUT41"/>
    <mergeCell ref="GUU41:GUV41"/>
    <mergeCell ref="GUW41:GUX41"/>
    <mergeCell ref="GUY41:GUZ41"/>
    <mergeCell ref="GUC41:GUD41"/>
    <mergeCell ref="GUE41:GUF41"/>
    <mergeCell ref="GUG41:GUH41"/>
    <mergeCell ref="GUI41:GUJ41"/>
    <mergeCell ref="GUK41:GUL41"/>
    <mergeCell ref="GUM41:GUN41"/>
    <mergeCell ref="GTQ41:GTR41"/>
    <mergeCell ref="GTS41:GTT41"/>
    <mergeCell ref="GTU41:GTV41"/>
    <mergeCell ref="GTW41:GTX41"/>
    <mergeCell ref="GTY41:GTZ41"/>
    <mergeCell ref="GUA41:GUB41"/>
    <mergeCell ref="GTE41:GTF41"/>
    <mergeCell ref="GTG41:GTH41"/>
    <mergeCell ref="GTI41:GTJ41"/>
    <mergeCell ref="GTK41:GTL41"/>
    <mergeCell ref="GTM41:GTN41"/>
    <mergeCell ref="GTO41:GTP41"/>
    <mergeCell ref="GYG41:GYH41"/>
    <mergeCell ref="GYI41:GYJ41"/>
    <mergeCell ref="GYK41:GYL41"/>
    <mergeCell ref="GYM41:GYN41"/>
    <mergeCell ref="GYO41:GYP41"/>
    <mergeCell ref="GYQ41:GYR41"/>
    <mergeCell ref="GXU41:GXV41"/>
    <mergeCell ref="GXW41:GXX41"/>
    <mergeCell ref="GXY41:GXZ41"/>
    <mergeCell ref="GYA41:GYB41"/>
    <mergeCell ref="GYC41:GYD41"/>
    <mergeCell ref="GYE41:GYF41"/>
    <mergeCell ref="GXI41:GXJ41"/>
    <mergeCell ref="GXK41:GXL41"/>
    <mergeCell ref="GXM41:GXN41"/>
    <mergeCell ref="GXO41:GXP41"/>
    <mergeCell ref="GXQ41:GXR41"/>
    <mergeCell ref="GXS41:GXT41"/>
    <mergeCell ref="GWW41:GWX41"/>
    <mergeCell ref="GWY41:GWZ41"/>
    <mergeCell ref="GXA41:GXB41"/>
    <mergeCell ref="GXC41:GXD41"/>
    <mergeCell ref="GXE41:GXF41"/>
    <mergeCell ref="GXG41:GXH41"/>
    <mergeCell ref="GWK41:GWL41"/>
    <mergeCell ref="GWM41:GWN41"/>
    <mergeCell ref="GWO41:GWP41"/>
    <mergeCell ref="GWQ41:GWR41"/>
    <mergeCell ref="GWS41:GWT41"/>
    <mergeCell ref="GWU41:GWV41"/>
    <mergeCell ref="GVY41:GVZ41"/>
    <mergeCell ref="GWA41:GWB41"/>
    <mergeCell ref="GWC41:GWD41"/>
    <mergeCell ref="GWE41:GWF41"/>
    <mergeCell ref="GWG41:GWH41"/>
    <mergeCell ref="GWI41:GWJ41"/>
    <mergeCell ref="HBA41:HBB41"/>
    <mergeCell ref="HBC41:HBD41"/>
    <mergeCell ref="HBE41:HBF41"/>
    <mergeCell ref="HBG41:HBH41"/>
    <mergeCell ref="HBI41:HBJ41"/>
    <mergeCell ref="HBK41:HBL41"/>
    <mergeCell ref="HAO41:HAP41"/>
    <mergeCell ref="HAQ41:HAR41"/>
    <mergeCell ref="HAS41:HAT41"/>
    <mergeCell ref="HAU41:HAV41"/>
    <mergeCell ref="HAW41:HAX41"/>
    <mergeCell ref="HAY41:HAZ41"/>
    <mergeCell ref="HAC41:HAD41"/>
    <mergeCell ref="HAE41:HAF41"/>
    <mergeCell ref="HAG41:HAH41"/>
    <mergeCell ref="HAI41:HAJ41"/>
    <mergeCell ref="HAK41:HAL41"/>
    <mergeCell ref="HAM41:HAN41"/>
    <mergeCell ref="GZQ41:GZR41"/>
    <mergeCell ref="GZS41:GZT41"/>
    <mergeCell ref="GZU41:GZV41"/>
    <mergeCell ref="GZW41:GZX41"/>
    <mergeCell ref="GZY41:GZZ41"/>
    <mergeCell ref="HAA41:HAB41"/>
    <mergeCell ref="GZE41:GZF41"/>
    <mergeCell ref="GZG41:GZH41"/>
    <mergeCell ref="GZI41:GZJ41"/>
    <mergeCell ref="GZK41:GZL41"/>
    <mergeCell ref="GZM41:GZN41"/>
    <mergeCell ref="GZO41:GZP41"/>
    <mergeCell ref="GYS41:GYT41"/>
    <mergeCell ref="GYU41:GYV41"/>
    <mergeCell ref="GYW41:GYX41"/>
    <mergeCell ref="GYY41:GYZ41"/>
    <mergeCell ref="GZA41:GZB41"/>
    <mergeCell ref="GZC41:GZD41"/>
    <mergeCell ref="HDU41:HDV41"/>
    <mergeCell ref="HDW41:HDX41"/>
    <mergeCell ref="HDY41:HDZ41"/>
    <mergeCell ref="HEA41:HEB41"/>
    <mergeCell ref="HEC41:HED41"/>
    <mergeCell ref="HEE41:HEF41"/>
    <mergeCell ref="HDI41:HDJ41"/>
    <mergeCell ref="HDK41:HDL41"/>
    <mergeCell ref="HDM41:HDN41"/>
    <mergeCell ref="HDO41:HDP41"/>
    <mergeCell ref="HDQ41:HDR41"/>
    <mergeCell ref="HDS41:HDT41"/>
    <mergeCell ref="HCW41:HCX41"/>
    <mergeCell ref="HCY41:HCZ41"/>
    <mergeCell ref="HDA41:HDB41"/>
    <mergeCell ref="HDC41:HDD41"/>
    <mergeCell ref="HDE41:HDF41"/>
    <mergeCell ref="HDG41:HDH41"/>
    <mergeCell ref="HCK41:HCL41"/>
    <mergeCell ref="HCM41:HCN41"/>
    <mergeCell ref="HCO41:HCP41"/>
    <mergeCell ref="HCQ41:HCR41"/>
    <mergeCell ref="HCS41:HCT41"/>
    <mergeCell ref="HCU41:HCV41"/>
    <mergeCell ref="HBY41:HBZ41"/>
    <mergeCell ref="HCA41:HCB41"/>
    <mergeCell ref="HCC41:HCD41"/>
    <mergeCell ref="HCE41:HCF41"/>
    <mergeCell ref="HCG41:HCH41"/>
    <mergeCell ref="HCI41:HCJ41"/>
    <mergeCell ref="HBM41:HBN41"/>
    <mergeCell ref="HBO41:HBP41"/>
    <mergeCell ref="HBQ41:HBR41"/>
    <mergeCell ref="HBS41:HBT41"/>
    <mergeCell ref="HBU41:HBV41"/>
    <mergeCell ref="HBW41:HBX41"/>
    <mergeCell ref="HGO41:HGP41"/>
    <mergeCell ref="HGQ41:HGR41"/>
    <mergeCell ref="HGS41:HGT41"/>
    <mergeCell ref="HGU41:HGV41"/>
    <mergeCell ref="HGW41:HGX41"/>
    <mergeCell ref="HGY41:HGZ41"/>
    <mergeCell ref="HGC41:HGD41"/>
    <mergeCell ref="HGE41:HGF41"/>
    <mergeCell ref="HGG41:HGH41"/>
    <mergeCell ref="HGI41:HGJ41"/>
    <mergeCell ref="HGK41:HGL41"/>
    <mergeCell ref="HGM41:HGN41"/>
    <mergeCell ref="HFQ41:HFR41"/>
    <mergeCell ref="HFS41:HFT41"/>
    <mergeCell ref="HFU41:HFV41"/>
    <mergeCell ref="HFW41:HFX41"/>
    <mergeCell ref="HFY41:HFZ41"/>
    <mergeCell ref="HGA41:HGB41"/>
    <mergeCell ref="HFE41:HFF41"/>
    <mergeCell ref="HFG41:HFH41"/>
    <mergeCell ref="HFI41:HFJ41"/>
    <mergeCell ref="HFK41:HFL41"/>
    <mergeCell ref="HFM41:HFN41"/>
    <mergeCell ref="HFO41:HFP41"/>
    <mergeCell ref="HES41:HET41"/>
    <mergeCell ref="HEU41:HEV41"/>
    <mergeCell ref="HEW41:HEX41"/>
    <mergeCell ref="HEY41:HEZ41"/>
    <mergeCell ref="HFA41:HFB41"/>
    <mergeCell ref="HFC41:HFD41"/>
    <mergeCell ref="HEG41:HEH41"/>
    <mergeCell ref="HEI41:HEJ41"/>
    <mergeCell ref="HEK41:HEL41"/>
    <mergeCell ref="HEM41:HEN41"/>
    <mergeCell ref="HEO41:HEP41"/>
    <mergeCell ref="HEQ41:HER41"/>
    <mergeCell ref="HJI41:HJJ41"/>
    <mergeCell ref="HJK41:HJL41"/>
    <mergeCell ref="HJM41:HJN41"/>
    <mergeCell ref="HJO41:HJP41"/>
    <mergeCell ref="HJQ41:HJR41"/>
    <mergeCell ref="HJS41:HJT41"/>
    <mergeCell ref="HIW41:HIX41"/>
    <mergeCell ref="HIY41:HIZ41"/>
    <mergeCell ref="HJA41:HJB41"/>
    <mergeCell ref="HJC41:HJD41"/>
    <mergeCell ref="HJE41:HJF41"/>
    <mergeCell ref="HJG41:HJH41"/>
    <mergeCell ref="HIK41:HIL41"/>
    <mergeCell ref="HIM41:HIN41"/>
    <mergeCell ref="HIO41:HIP41"/>
    <mergeCell ref="HIQ41:HIR41"/>
    <mergeCell ref="HIS41:HIT41"/>
    <mergeCell ref="HIU41:HIV41"/>
    <mergeCell ref="HHY41:HHZ41"/>
    <mergeCell ref="HIA41:HIB41"/>
    <mergeCell ref="HIC41:HID41"/>
    <mergeCell ref="HIE41:HIF41"/>
    <mergeCell ref="HIG41:HIH41"/>
    <mergeCell ref="HII41:HIJ41"/>
    <mergeCell ref="HHM41:HHN41"/>
    <mergeCell ref="HHO41:HHP41"/>
    <mergeCell ref="HHQ41:HHR41"/>
    <mergeCell ref="HHS41:HHT41"/>
    <mergeCell ref="HHU41:HHV41"/>
    <mergeCell ref="HHW41:HHX41"/>
    <mergeCell ref="HHA41:HHB41"/>
    <mergeCell ref="HHC41:HHD41"/>
    <mergeCell ref="HHE41:HHF41"/>
    <mergeCell ref="HHG41:HHH41"/>
    <mergeCell ref="HHI41:HHJ41"/>
    <mergeCell ref="HHK41:HHL41"/>
    <mergeCell ref="HMC41:HMD41"/>
    <mergeCell ref="HME41:HMF41"/>
    <mergeCell ref="HMG41:HMH41"/>
    <mergeCell ref="HMI41:HMJ41"/>
    <mergeCell ref="HMK41:HML41"/>
    <mergeCell ref="HMM41:HMN41"/>
    <mergeCell ref="HLQ41:HLR41"/>
    <mergeCell ref="HLS41:HLT41"/>
    <mergeCell ref="HLU41:HLV41"/>
    <mergeCell ref="HLW41:HLX41"/>
    <mergeCell ref="HLY41:HLZ41"/>
    <mergeCell ref="HMA41:HMB41"/>
    <mergeCell ref="HLE41:HLF41"/>
    <mergeCell ref="HLG41:HLH41"/>
    <mergeCell ref="HLI41:HLJ41"/>
    <mergeCell ref="HLK41:HLL41"/>
    <mergeCell ref="HLM41:HLN41"/>
    <mergeCell ref="HLO41:HLP41"/>
    <mergeCell ref="HKS41:HKT41"/>
    <mergeCell ref="HKU41:HKV41"/>
    <mergeCell ref="HKW41:HKX41"/>
    <mergeCell ref="HKY41:HKZ41"/>
    <mergeCell ref="HLA41:HLB41"/>
    <mergeCell ref="HLC41:HLD41"/>
    <mergeCell ref="HKG41:HKH41"/>
    <mergeCell ref="HKI41:HKJ41"/>
    <mergeCell ref="HKK41:HKL41"/>
    <mergeCell ref="HKM41:HKN41"/>
    <mergeCell ref="HKO41:HKP41"/>
    <mergeCell ref="HKQ41:HKR41"/>
    <mergeCell ref="HJU41:HJV41"/>
    <mergeCell ref="HJW41:HJX41"/>
    <mergeCell ref="HJY41:HJZ41"/>
    <mergeCell ref="HKA41:HKB41"/>
    <mergeCell ref="HKC41:HKD41"/>
    <mergeCell ref="HKE41:HKF41"/>
    <mergeCell ref="HOW41:HOX41"/>
    <mergeCell ref="HOY41:HOZ41"/>
    <mergeCell ref="HPA41:HPB41"/>
    <mergeCell ref="HPC41:HPD41"/>
    <mergeCell ref="HPE41:HPF41"/>
    <mergeCell ref="HPG41:HPH41"/>
    <mergeCell ref="HOK41:HOL41"/>
    <mergeCell ref="HOM41:HON41"/>
    <mergeCell ref="HOO41:HOP41"/>
    <mergeCell ref="HOQ41:HOR41"/>
    <mergeCell ref="HOS41:HOT41"/>
    <mergeCell ref="HOU41:HOV41"/>
    <mergeCell ref="HNY41:HNZ41"/>
    <mergeCell ref="HOA41:HOB41"/>
    <mergeCell ref="HOC41:HOD41"/>
    <mergeCell ref="HOE41:HOF41"/>
    <mergeCell ref="HOG41:HOH41"/>
    <mergeCell ref="HOI41:HOJ41"/>
    <mergeCell ref="HNM41:HNN41"/>
    <mergeCell ref="HNO41:HNP41"/>
    <mergeCell ref="HNQ41:HNR41"/>
    <mergeCell ref="HNS41:HNT41"/>
    <mergeCell ref="HNU41:HNV41"/>
    <mergeCell ref="HNW41:HNX41"/>
    <mergeCell ref="HNA41:HNB41"/>
    <mergeCell ref="HNC41:HND41"/>
    <mergeCell ref="HNE41:HNF41"/>
    <mergeCell ref="HNG41:HNH41"/>
    <mergeCell ref="HNI41:HNJ41"/>
    <mergeCell ref="HNK41:HNL41"/>
    <mergeCell ref="HMO41:HMP41"/>
    <mergeCell ref="HMQ41:HMR41"/>
    <mergeCell ref="HMS41:HMT41"/>
    <mergeCell ref="HMU41:HMV41"/>
    <mergeCell ref="HMW41:HMX41"/>
    <mergeCell ref="HMY41:HMZ41"/>
    <mergeCell ref="HRQ41:HRR41"/>
    <mergeCell ref="HRS41:HRT41"/>
    <mergeCell ref="HRU41:HRV41"/>
    <mergeCell ref="HRW41:HRX41"/>
    <mergeCell ref="HRY41:HRZ41"/>
    <mergeCell ref="HSA41:HSB41"/>
    <mergeCell ref="HRE41:HRF41"/>
    <mergeCell ref="HRG41:HRH41"/>
    <mergeCell ref="HRI41:HRJ41"/>
    <mergeCell ref="HRK41:HRL41"/>
    <mergeCell ref="HRM41:HRN41"/>
    <mergeCell ref="HRO41:HRP41"/>
    <mergeCell ref="HQS41:HQT41"/>
    <mergeCell ref="HQU41:HQV41"/>
    <mergeCell ref="HQW41:HQX41"/>
    <mergeCell ref="HQY41:HQZ41"/>
    <mergeCell ref="HRA41:HRB41"/>
    <mergeCell ref="HRC41:HRD41"/>
    <mergeCell ref="HQG41:HQH41"/>
    <mergeCell ref="HQI41:HQJ41"/>
    <mergeCell ref="HQK41:HQL41"/>
    <mergeCell ref="HQM41:HQN41"/>
    <mergeCell ref="HQO41:HQP41"/>
    <mergeCell ref="HQQ41:HQR41"/>
    <mergeCell ref="HPU41:HPV41"/>
    <mergeCell ref="HPW41:HPX41"/>
    <mergeCell ref="HPY41:HPZ41"/>
    <mergeCell ref="HQA41:HQB41"/>
    <mergeCell ref="HQC41:HQD41"/>
    <mergeCell ref="HQE41:HQF41"/>
    <mergeCell ref="HPI41:HPJ41"/>
    <mergeCell ref="HPK41:HPL41"/>
    <mergeCell ref="HPM41:HPN41"/>
    <mergeCell ref="HPO41:HPP41"/>
    <mergeCell ref="HPQ41:HPR41"/>
    <mergeCell ref="HPS41:HPT41"/>
    <mergeCell ref="HUK41:HUL41"/>
    <mergeCell ref="HUM41:HUN41"/>
    <mergeCell ref="HUO41:HUP41"/>
    <mergeCell ref="HUQ41:HUR41"/>
    <mergeCell ref="HUS41:HUT41"/>
    <mergeCell ref="HUU41:HUV41"/>
    <mergeCell ref="HTY41:HTZ41"/>
    <mergeCell ref="HUA41:HUB41"/>
    <mergeCell ref="HUC41:HUD41"/>
    <mergeCell ref="HUE41:HUF41"/>
    <mergeCell ref="HUG41:HUH41"/>
    <mergeCell ref="HUI41:HUJ41"/>
    <mergeCell ref="HTM41:HTN41"/>
    <mergeCell ref="HTO41:HTP41"/>
    <mergeCell ref="HTQ41:HTR41"/>
    <mergeCell ref="HTS41:HTT41"/>
    <mergeCell ref="HTU41:HTV41"/>
    <mergeCell ref="HTW41:HTX41"/>
    <mergeCell ref="HTA41:HTB41"/>
    <mergeCell ref="HTC41:HTD41"/>
    <mergeCell ref="HTE41:HTF41"/>
    <mergeCell ref="HTG41:HTH41"/>
    <mergeCell ref="HTI41:HTJ41"/>
    <mergeCell ref="HTK41:HTL41"/>
    <mergeCell ref="HSO41:HSP41"/>
    <mergeCell ref="HSQ41:HSR41"/>
    <mergeCell ref="HSS41:HST41"/>
    <mergeCell ref="HSU41:HSV41"/>
    <mergeCell ref="HSW41:HSX41"/>
    <mergeCell ref="HSY41:HSZ41"/>
    <mergeCell ref="HSC41:HSD41"/>
    <mergeCell ref="HSE41:HSF41"/>
    <mergeCell ref="HSG41:HSH41"/>
    <mergeCell ref="HSI41:HSJ41"/>
    <mergeCell ref="HSK41:HSL41"/>
    <mergeCell ref="HSM41:HSN41"/>
    <mergeCell ref="HXE41:HXF41"/>
    <mergeCell ref="HXG41:HXH41"/>
    <mergeCell ref="HXI41:HXJ41"/>
    <mergeCell ref="HXK41:HXL41"/>
    <mergeCell ref="HXM41:HXN41"/>
    <mergeCell ref="HXO41:HXP41"/>
    <mergeCell ref="HWS41:HWT41"/>
    <mergeCell ref="HWU41:HWV41"/>
    <mergeCell ref="HWW41:HWX41"/>
    <mergeCell ref="HWY41:HWZ41"/>
    <mergeCell ref="HXA41:HXB41"/>
    <mergeCell ref="HXC41:HXD41"/>
    <mergeCell ref="HWG41:HWH41"/>
    <mergeCell ref="HWI41:HWJ41"/>
    <mergeCell ref="HWK41:HWL41"/>
    <mergeCell ref="HWM41:HWN41"/>
    <mergeCell ref="HWO41:HWP41"/>
    <mergeCell ref="HWQ41:HWR41"/>
    <mergeCell ref="HVU41:HVV41"/>
    <mergeCell ref="HVW41:HVX41"/>
    <mergeCell ref="HVY41:HVZ41"/>
    <mergeCell ref="HWA41:HWB41"/>
    <mergeCell ref="HWC41:HWD41"/>
    <mergeCell ref="HWE41:HWF41"/>
    <mergeCell ref="HVI41:HVJ41"/>
    <mergeCell ref="HVK41:HVL41"/>
    <mergeCell ref="HVM41:HVN41"/>
    <mergeCell ref="HVO41:HVP41"/>
    <mergeCell ref="HVQ41:HVR41"/>
    <mergeCell ref="HVS41:HVT41"/>
    <mergeCell ref="HUW41:HUX41"/>
    <mergeCell ref="HUY41:HUZ41"/>
    <mergeCell ref="HVA41:HVB41"/>
    <mergeCell ref="HVC41:HVD41"/>
    <mergeCell ref="HVE41:HVF41"/>
    <mergeCell ref="HVG41:HVH41"/>
    <mergeCell ref="HZY41:HZZ41"/>
    <mergeCell ref="IAA41:IAB41"/>
    <mergeCell ref="IAC41:IAD41"/>
    <mergeCell ref="IAE41:IAF41"/>
    <mergeCell ref="IAG41:IAH41"/>
    <mergeCell ref="IAI41:IAJ41"/>
    <mergeCell ref="HZM41:HZN41"/>
    <mergeCell ref="HZO41:HZP41"/>
    <mergeCell ref="HZQ41:HZR41"/>
    <mergeCell ref="HZS41:HZT41"/>
    <mergeCell ref="HZU41:HZV41"/>
    <mergeCell ref="HZW41:HZX41"/>
    <mergeCell ref="HZA41:HZB41"/>
    <mergeCell ref="HZC41:HZD41"/>
    <mergeCell ref="HZE41:HZF41"/>
    <mergeCell ref="HZG41:HZH41"/>
    <mergeCell ref="HZI41:HZJ41"/>
    <mergeCell ref="HZK41:HZL41"/>
    <mergeCell ref="HYO41:HYP41"/>
    <mergeCell ref="HYQ41:HYR41"/>
    <mergeCell ref="HYS41:HYT41"/>
    <mergeCell ref="HYU41:HYV41"/>
    <mergeCell ref="HYW41:HYX41"/>
    <mergeCell ref="HYY41:HYZ41"/>
    <mergeCell ref="HYC41:HYD41"/>
    <mergeCell ref="HYE41:HYF41"/>
    <mergeCell ref="HYG41:HYH41"/>
    <mergeCell ref="HYI41:HYJ41"/>
    <mergeCell ref="HYK41:HYL41"/>
    <mergeCell ref="HYM41:HYN41"/>
    <mergeCell ref="HXQ41:HXR41"/>
    <mergeCell ref="HXS41:HXT41"/>
    <mergeCell ref="HXU41:HXV41"/>
    <mergeCell ref="HXW41:HXX41"/>
    <mergeCell ref="HXY41:HXZ41"/>
    <mergeCell ref="HYA41:HYB41"/>
    <mergeCell ref="ICS41:ICT41"/>
    <mergeCell ref="ICU41:ICV41"/>
    <mergeCell ref="ICW41:ICX41"/>
    <mergeCell ref="ICY41:ICZ41"/>
    <mergeCell ref="IDA41:IDB41"/>
    <mergeCell ref="IDC41:IDD41"/>
    <mergeCell ref="ICG41:ICH41"/>
    <mergeCell ref="ICI41:ICJ41"/>
    <mergeCell ref="ICK41:ICL41"/>
    <mergeCell ref="ICM41:ICN41"/>
    <mergeCell ref="ICO41:ICP41"/>
    <mergeCell ref="ICQ41:ICR41"/>
    <mergeCell ref="IBU41:IBV41"/>
    <mergeCell ref="IBW41:IBX41"/>
    <mergeCell ref="IBY41:IBZ41"/>
    <mergeCell ref="ICA41:ICB41"/>
    <mergeCell ref="ICC41:ICD41"/>
    <mergeCell ref="ICE41:ICF41"/>
    <mergeCell ref="IBI41:IBJ41"/>
    <mergeCell ref="IBK41:IBL41"/>
    <mergeCell ref="IBM41:IBN41"/>
    <mergeCell ref="IBO41:IBP41"/>
    <mergeCell ref="IBQ41:IBR41"/>
    <mergeCell ref="IBS41:IBT41"/>
    <mergeCell ref="IAW41:IAX41"/>
    <mergeCell ref="IAY41:IAZ41"/>
    <mergeCell ref="IBA41:IBB41"/>
    <mergeCell ref="IBC41:IBD41"/>
    <mergeCell ref="IBE41:IBF41"/>
    <mergeCell ref="IBG41:IBH41"/>
    <mergeCell ref="IAK41:IAL41"/>
    <mergeCell ref="IAM41:IAN41"/>
    <mergeCell ref="IAO41:IAP41"/>
    <mergeCell ref="IAQ41:IAR41"/>
    <mergeCell ref="IAS41:IAT41"/>
    <mergeCell ref="IAU41:IAV41"/>
    <mergeCell ref="IFM41:IFN41"/>
    <mergeCell ref="IFO41:IFP41"/>
    <mergeCell ref="IFQ41:IFR41"/>
    <mergeCell ref="IFS41:IFT41"/>
    <mergeCell ref="IFU41:IFV41"/>
    <mergeCell ref="IFW41:IFX41"/>
    <mergeCell ref="IFA41:IFB41"/>
    <mergeCell ref="IFC41:IFD41"/>
    <mergeCell ref="IFE41:IFF41"/>
    <mergeCell ref="IFG41:IFH41"/>
    <mergeCell ref="IFI41:IFJ41"/>
    <mergeCell ref="IFK41:IFL41"/>
    <mergeCell ref="IEO41:IEP41"/>
    <mergeCell ref="IEQ41:IER41"/>
    <mergeCell ref="IES41:IET41"/>
    <mergeCell ref="IEU41:IEV41"/>
    <mergeCell ref="IEW41:IEX41"/>
    <mergeCell ref="IEY41:IEZ41"/>
    <mergeCell ref="IEC41:IED41"/>
    <mergeCell ref="IEE41:IEF41"/>
    <mergeCell ref="IEG41:IEH41"/>
    <mergeCell ref="IEI41:IEJ41"/>
    <mergeCell ref="IEK41:IEL41"/>
    <mergeCell ref="IEM41:IEN41"/>
    <mergeCell ref="IDQ41:IDR41"/>
    <mergeCell ref="IDS41:IDT41"/>
    <mergeCell ref="IDU41:IDV41"/>
    <mergeCell ref="IDW41:IDX41"/>
    <mergeCell ref="IDY41:IDZ41"/>
    <mergeCell ref="IEA41:IEB41"/>
    <mergeCell ref="IDE41:IDF41"/>
    <mergeCell ref="IDG41:IDH41"/>
    <mergeCell ref="IDI41:IDJ41"/>
    <mergeCell ref="IDK41:IDL41"/>
    <mergeCell ref="IDM41:IDN41"/>
    <mergeCell ref="IDO41:IDP41"/>
    <mergeCell ref="IIG41:IIH41"/>
    <mergeCell ref="III41:IIJ41"/>
    <mergeCell ref="IIK41:IIL41"/>
    <mergeCell ref="IIM41:IIN41"/>
    <mergeCell ref="IIO41:IIP41"/>
    <mergeCell ref="IIQ41:IIR41"/>
    <mergeCell ref="IHU41:IHV41"/>
    <mergeCell ref="IHW41:IHX41"/>
    <mergeCell ref="IHY41:IHZ41"/>
    <mergeCell ref="IIA41:IIB41"/>
    <mergeCell ref="IIC41:IID41"/>
    <mergeCell ref="IIE41:IIF41"/>
    <mergeCell ref="IHI41:IHJ41"/>
    <mergeCell ref="IHK41:IHL41"/>
    <mergeCell ref="IHM41:IHN41"/>
    <mergeCell ref="IHO41:IHP41"/>
    <mergeCell ref="IHQ41:IHR41"/>
    <mergeCell ref="IHS41:IHT41"/>
    <mergeCell ref="IGW41:IGX41"/>
    <mergeCell ref="IGY41:IGZ41"/>
    <mergeCell ref="IHA41:IHB41"/>
    <mergeCell ref="IHC41:IHD41"/>
    <mergeCell ref="IHE41:IHF41"/>
    <mergeCell ref="IHG41:IHH41"/>
    <mergeCell ref="IGK41:IGL41"/>
    <mergeCell ref="IGM41:IGN41"/>
    <mergeCell ref="IGO41:IGP41"/>
    <mergeCell ref="IGQ41:IGR41"/>
    <mergeCell ref="IGS41:IGT41"/>
    <mergeCell ref="IGU41:IGV41"/>
    <mergeCell ref="IFY41:IFZ41"/>
    <mergeCell ref="IGA41:IGB41"/>
    <mergeCell ref="IGC41:IGD41"/>
    <mergeCell ref="IGE41:IGF41"/>
    <mergeCell ref="IGG41:IGH41"/>
    <mergeCell ref="IGI41:IGJ41"/>
    <mergeCell ref="ILA41:ILB41"/>
    <mergeCell ref="ILC41:ILD41"/>
    <mergeCell ref="ILE41:ILF41"/>
    <mergeCell ref="ILG41:ILH41"/>
    <mergeCell ref="ILI41:ILJ41"/>
    <mergeCell ref="ILK41:ILL41"/>
    <mergeCell ref="IKO41:IKP41"/>
    <mergeCell ref="IKQ41:IKR41"/>
    <mergeCell ref="IKS41:IKT41"/>
    <mergeCell ref="IKU41:IKV41"/>
    <mergeCell ref="IKW41:IKX41"/>
    <mergeCell ref="IKY41:IKZ41"/>
    <mergeCell ref="IKC41:IKD41"/>
    <mergeCell ref="IKE41:IKF41"/>
    <mergeCell ref="IKG41:IKH41"/>
    <mergeCell ref="IKI41:IKJ41"/>
    <mergeCell ref="IKK41:IKL41"/>
    <mergeCell ref="IKM41:IKN41"/>
    <mergeCell ref="IJQ41:IJR41"/>
    <mergeCell ref="IJS41:IJT41"/>
    <mergeCell ref="IJU41:IJV41"/>
    <mergeCell ref="IJW41:IJX41"/>
    <mergeCell ref="IJY41:IJZ41"/>
    <mergeCell ref="IKA41:IKB41"/>
    <mergeCell ref="IJE41:IJF41"/>
    <mergeCell ref="IJG41:IJH41"/>
    <mergeCell ref="IJI41:IJJ41"/>
    <mergeCell ref="IJK41:IJL41"/>
    <mergeCell ref="IJM41:IJN41"/>
    <mergeCell ref="IJO41:IJP41"/>
    <mergeCell ref="IIS41:IIT41"/>
    <mergeCell ref="IIU41:IIV41"/>
    <mergeCell ref="IIW41:IIX41"/>
    <mergeCell ref="IIY41:IIZ41"/>
    <mergeCell ref="IJA41:IJB41"/>
    <mergeCell ref="IJC41:IJD41"/>
    <mergeCell ref="INU41:INV41"/>
    <mergeCell ref="INW41:INX41"/>
    <mergeCell ref="INY41:INZ41"/>
    <mergeCell ref="IOA41:IOB41"/>
    <mergeCell ref="IOC41:IOD41"/>
    <mergeCell ref="IOE41:IOF41"/>
    <mergeCell ref="INI41:INJ41"/>
    <mergeCell ref="INK41:INL41"/>
    <mergeCell ref="INM41:INN41"/>
    <mergeCell ref="INO41:INP41"/>
    <mergeCell ref="INQ41:INR41"/>
    <mergeCell ref="INS41:INT41"/>
    <mergeCell ref="IMW41:IMX41"/>
    <mergeCell ref="IMY41:IMZ41"/>
    <mergeCell ref="INA41:INB41"/>
    <mergeCell ref="INC41:IND41"/>
    <mergeCell ref="INE41:INF41"/>
    <mergeCell ref="ING41:INH41"/>
    <mergeCell ref="IMK41:IML41"/>
    <mergeCell ref="IMM41:IMN41"/>
    <mergeCell ref="IMO41:IMP41"/>
    <mergeCell ref="IMQ41:IMR41"/>
    <mergeCell ref="IMS41:IMT41"/>
    <mergeCell ref="IMU41:IMV41"/>
    <mergeCell ref="ILY41:ILZ41"/>
    <mergeCell ref="IMA41:IMB41"/>
    <mergeCell ref="IMC41:IMD41"/>
    <mergeCell ref="IME41:IMF41"/>
    <mergeCell ref="IMG41:IMH41"/>
    <mergeCell ref="IMI41:IMJ41"/>
    <mergeCell ref="ILM41:ILN41"/>
    <mergeCell ref="ILO41:ILP41"/>
    <mergeCell ref="ILQ41:ILR41"/>
    <mergeCell ref="ILS41:ILT41"/>
    <mergeCell ref="ILU41:ILV41"/>
    <mergeCell ref="ILW41:ILX41"/>
    <mergeCell ref="IQO41:IQP41"/>
    <mergeCell ref="IQQ41:IQR41"/>
    <mergeCell ref="IQS41:IQT41"/>
    <mergeCell ref="IQU41:IQV41"/>
    <mergeCell ref="IQW41:IQX41"/>
    <mergeCell ref="IQY41:IQZ41"/>
    <mergeCell ref="IQC41:IQD41"/>
    <mergeCell ref="IQE41:IQF41"/>
    <mergeCell ref="IQG41:IQH41"/>
    <mergeCell ref="IQI41:IQJ41"/>
    <mergeCell ref="IQK41:IQL41"/>
    <mergeCell ref="IQM41:IQN41"/>
    <mergeCell ref="IPQ41:IPR41"/>
    <mergeCell ref="IPS41:IPT41"/>
    <mergeCell ref="IPU41:IPV41"/>
    <mergeCell ref="IPW41:IPX41"/>
    <mergeCell ref="IPY41:IPZ41"/>
    <mergeCell ref="IQA41:IQB41"/>
    <mergeCell ref="IPE41:IPF41"/>
    <mergeCell ref="IPG41:IPH41"/>
    <mergeCell ref="IPI41:IPJ41"/>
    <mergeCell ref="IPK41:IPL41"/>
    <mergeCell ref="IPM41:IPN41"/>
    <mergeCell ref="IPO41:IPP41"/>
    <mergeCell ref="IOS41:IOT41"/>
    <mergeCell ref="IOU41:IOV41"/>
    <mergeCell ref="IOW41:IOX41"/>
    <mergeCell ref="IOY41:IOZ41"/>
    <mergeCell ref="IPA41:IPB41"/>
    <mergeCell ref="IPC41:IPD41"/>
    <mergeCell ref="IOG41:IOH41"/>
    <mergeCell ref="IOI41:IOJ41"/>
    <mergeCell ref="IOK41:IOL41"/>
    <mergeCell ref="IOM41:ION41"/>
    <mergeCell ref="IOO41:IOP41"/>
    <mergeCell ref="IOQ41:IOR41"/>
    <mergeCell ref="ITI41:ITJ41"/>
    <mergeCell ref="ITK41:ITL41"/>
    <mergeCell ref="ITM41:ITN41"/>
    <mergeCell ref="ITO41:ITP41"/>
    <mergeCell ref="ITQ41:ITR41"/>
    <mergeCell ref="ITS41:ITT41"/>
    <mergeCell ref="ISW41:ISX41"/>
    <mergeCell ref="ISY41:ISZ41"/>
    <mergeCell ref="ITA41:ITB41"/>
    <mergeCell ref="ITC41:ITD41"/>
    <mergeCell ref="ITE41:ITF41"/>
    <mergeCell ref="ITG41:ITH41"/>
    <mergeCell ref="ISK41:ISL41"/>
    <mergeCell ref="ISM41:ISN41"/>
    <mergeCell ref="ISO41:ISP41"/>
    <mergeCell ref="ISQ41:ISR41"/>
    <mergeCell ref="ISS41:IST41"/>
    <mergeCell ref="ISU41:ISV41"/>
    <mergeCell ref="IRY41:IRZ41"/>
    <mergeCell ref="ISA41:ISB41"/>
    <mergeCell ref="ISC41:ISD41"/>
    <mergeCell ref="ISE41:ISF41"/>
    <mergeCell ref="ISG41:ISH41"/>
    <mergeCell ref="ISI41:ISJ41"/>
    <mergeCell ref="IRM41:IRN41"/>
    <mergeCell ref="IRO41:IRP41"/>
    <mergeCell ref="IRQ41:IRR41"/>
    <mergeCell ref="IRS41:IRT41"/>
    <mergeCell ref="IRU41:IRV41"/>
    <mergeCell ref="IRW41:IRX41"/>
    <mergeCell ref="IRA41:IRB41"/>
    <mergeCell ref="IRC41:IRD41"/>
    <mergeCell ref="IRE41:IRF41"/>
    <mergeCell ref="IRG41:IRH41"/>
    <mergeCell ref="IRI41:IRJ41"/>
    <mergeCell ref="IRK41:IRL41"/>
    <mergeCell ref="IWC41:IWD41"/>
    <mergeCell ref="IWE41:IWF41"/>
    <mergeCell ref="IWG41:IWH41"/>
    <mergeCell ref="IWI41:IWJ41"/>
    <mergeCell ref="IWK41:IWL41"/>
    <mergeCell ref="IWM41:IWN41"/>
    <mergeCell ref="IVQ41:IVR41"/>
    <mergeCell ref="IVS41:IVT41"/>
    <mergeCell ref="IVU41:IVV41"/>
    <mergeCell ref="IVW41:IVX41"/>
    <mergeCell ref="IVY41:IVZ41"/>
    <mergeCell ref="IWA41:IWB41"/>
    <mergeCell ref="IVE41:IVF41"/>
    <mergeCell ref="IVG41:IVH41"/>
    <mergeCell ref="IVI41:IVJ41"/>
    <mergeCell ref="IVK41:IVL41"/>
    <mergeCell ref="IVM41:IVN41"/>
    <mergeCell ref="IVO41:IVP41"/>
    <mergeCell ref="IUS41:IUT41"/>
    <mergeCell ref="IUU41:IUV41"/>
    <mergeCell ref="IUW41:IUX41"/>
    <mergeCell ref="IUY41:IUZ41"/>
    <mergeCell ref="IVA41:IVB41"/>
    <mergeCell ref="IVC41:IVD41"/>
    <mergeCell ref="IUG41:IUH41"/>
    <mergeCell ref="IUI41:IUJ41"/>
    <mergeCell ref="IUK41:IUL41"/>
    <mergeCell ref="IUM41:IUN41"/>
    <mergeCell ref="IUO41:IUP41"/>
    <mergeCell ref="IUQ41:IUR41"/>
    <mergeCell ref="ITU41:ITV41"/>
    <mergeCell ref="ITW41:ITX41"/>
    <mergeCell ref="ITY41:ITZ41"/>
    <mergeCell ref="IUA41:IUB41"/>
    <mergeCell ref="IUC41:IUD41"/>
    <mergeCell ref="IUE41:IUF41"/>
    <mergeCell ref="IYW41:IYX41"/>
    <mergeCell ref="IYY41:IYZ41"/>
    <mergeCell ref="IZA41:IZB41"/>
    <mergeCell ref="IZC41:IZD41"/>
    <mergeCell ref="IZE41:IZF41"/>
    <mergeCell ref="IZG41:IZH41"/>
    <mergeCell ref="IYK41:IYL41"/>
    <mergeCell ref="IYM41:IYN41"/>
    <mergeCell ref="IYO41:IYP41"/>
    <mergeCell ref="IYQ41:IYR41"/>
    <mergeCell ref="IYS41:IYT41"/>
    <mergeCell ref="IYU41:IYV41"/>
    <mergeCell ref="IXY41:IXZ41"/>
    <mergeCell ref="IYA41:IYB41"/>
    <mergeCell ref="IYC41:IYD41"/>
    <mergeCell ref="IYE41:IYF41"/>
    <mergeCell ref="IYG41:IYH41"/>
    <mergeCell ref="IYI41:IYJ41"/>
    <mergeCell ref="IXM41:IXN41"/>
    <mergeCell ref="IXO41:IXP41"/>
    <mergeCell ref="IXQ41:IXR41"/>
    <mergeCell ref="IXS41:IXT41"/>
    <mergeCell ref="IXU41:IXV41"/>
    <mergeCell ref="IXW41:IXX41"/>
    <mergeCell ref="IXA41:IXB41"/>
    <mergeCell ref="IXC41:IXD41"/>
    <mergeCell ref="IXE41:IXF41"/>
    <mergeCell ref="IXG41:IXH41"/>
    <mergeCell ref="IXI41:IXJ41"/>
    <mergeCell ref="IXK41:IXL41"/>
    <mergeCell ref="IWO41:IWP41"/>
    <mergeCell ref="IWQ41:IWR41"/>
    <mergeCell ref="IWS41:IWT41"/>
    <mergeCell ref="IWU41:IWV41"/>
    <mergeCell ref="IWW41:IWX41"/>
    <mergeCell ref="IWY41:IWZ41"/>
    <mergeCell ref="JBQ41:JBR41"/>
    <mergeCell ref="JBS41:JBT41"/>
    <mergeCell ref="JBU41:JBV41"/>
    <mergeCell ref="JBW41:JBX41"/>
    <mergeCell ref="JBY41:JBZ41"/>
    <mergeCell ref="JCA41:JCB41"/>
    <mergeCell ref="JBE41:JBF41"/>
    <mergeCell ref="JBG41:JBH41"/>
    <mergeCell ref="JBI41:JBJ41"/>
    <mergeCell ref="JBK41:JBL41"/>
    <mergeCell ref="JBM41:JBN41"/>
    <mergeCell ref="JBO41:JBP41"/>
    <mergeCell ref="JAS41:JAT41"/>
    <mergeCell ref="JAU41:JAV41"/>
    <mergeCell ref="JAW41:JAX41"/>
    <mergeCell ref="JAY41:JAZ41"/>
    <mergeCell ref="JBA41:JBB41"/>
    <mergeCell ref="JBC41:JBD41"/>
    <mergeCell ref="JAG41:JAH41"/>
    <mergeCell ref="JAI41:JAJ41"/>
    <mergeCell ref="JAK41:JAL41"/>
    <mergeCell ref="JAM41:JAN41"/>
    <mergeCell ref="JAO41:JAP41"/>
    <mergeCell ref="JAQ41:JAR41"/>
    <mergeCell ref="IZU41:IZV41"/>
    <mergeCell ref="IZW41:IZX41"/>
    <mergeCell ref="IZY41:IZZ41"/>
    <mergeCell ref="JAA41:JAB41"/>
    <mergeCell ref="JAC41:JAD41"/>
    <mergeCell ref="JAE41:JAF41"/>
    <mergeCell ref="IZI41:IZJ41"/>
    <mergeCell ref="IZK41:IZL41"/>
    <mergeCell ref="IZM41:IZN41"/>
    <mergeCell ref="IZO41:IZP41"/>
    <mergeCell ref="IZQ41:IZR41"/>
    <mergeCell ref="IZS41:IZT41"/>
    <mergeCell ref="JEK41:JEL41"/>
    <mergeCell ref="JEM41:JEN41"/>
    <mergeCell ref="JEO41:JEP41"/>
    <mergeCell ref="JEQ41:JER41"/>
    <mergeCell ref="JES41:JET41"/>
    <mergeCell ref="JEU41:JEV41"/>
    <mergeCell ref="JDY41:JDZ41"/>
    <mergeCell ref="JEA41:JEB41"/>
    <mergeCell ref="JEC41:JED41"/>
    <mergeCell ref="JEE41:JEF41"/>
    <mergeCell ref="JEG41:JEH41"/>
    <mergeCell ref="JEI41:JEJ41"/>
    <mergeCell ref="JDM41:JDN41"/>
    <mergeCell ref="JDO41:JDP41"/>
    <mergeCell ref="JDQ41:JDR41"/>
    <mergeCell ref="JDS41:JDT41"/>
    <mergeCell ref="JDU41:JDV41"/>
    <mergeCell ref="JDW41:JDX41"/>
    <mergeCell ref="JDA41:JDB41"/>
    <mergeCell ref="JDC41:JDD41"/>
    <mergeCell ref="JDE41:JDF41"/>
    <mergeCell ref="JDG41:JDH41"/>
    <mergeCell ref="JDI41:JDJ41"/>
    <mergeCell ref="JDK41:JDL41"/>
    <mergeCell ref="JCO41:JCP41"/>
    <mergeCell ref="JCQ41:JCR41"/>
    <mergeCell ref="JCS41:JCT41"/>
    <mergeCell ref="JCU41:JCV41"/>
    <mergeCell ref="JCW41:JCX41"/>
    <mergeCell ref="JCY41:JCZ41"/>
    <mergeCell ref="JCC41:JCD41"/>
    <mergeCell ref="JCE41:JCF41"/>
    <mergeCell ref="JCG41:JCH41"/>
    <mergeCell ref="JCI41:JCJ41"/>
    <mergeCell ref="JCK41:JCL41"/>
    <mergeCell ref="JCM41:JCN41"/>
    <mergeCell ref="JHE41:JHF41"/>
    <mergeCell ref="JHG41:JHH41"/>
    <mergeCell ref="JHI41:JHJ41"/>
    <mergeCell ref="JHK41:JHL41"/>
    <mergeCell ref="JHM41:JHN41"/>
    <mergeCell ref="JHO41:JHP41"/>
    <mergeCell ref="JGS41:JGT41"/>
    <mergeCell ref="JGU41:JGV41"/>
    <mergeCell ref="JGW41:JGX41"/>
    <mergeCell ref="JGY41:JGZ41"/>
    <mergeCell ref="JHA41:JHB41"/>
    <mergeCell ref="JHC41:JHD41"/>
    <mergeCell ref="JGG41:JGH41"/>
    <mergeCell ref="JGI41:JGJ41"/>
    <mergeCell ref="JGK41:JGL41"/>
    <mergeCell ref="JGM41:JGN41"/>
    <mergeCell ref="JGO41:JGP41"/>
    <mergeCell ref="JGQ41:JGR41"/>
    <mergeCell ref="JFU41:JFV41"/>
    <mergeCell ref="JFW41:JFX41"/>
    <mergeCell ref="JFY41:JFZ41"/>
    <mergeCell ref="JGA41:JGB41"/>
    <mergeCell ref="JGC41:JGD41"/>
    <mergeCell ref="JGE41:JGF41"/>
    <mergeCell ref="JFI41:JFJ41"/>
    <mergeCell ref="JFK41:JFL41"/>
    <mergeCell ref="JFM41:JFN41"/>
    <mergeCell ref="JFO41:JFP41"/>
    <mergeCell ref="JFQ41:JFR41"/>
    <mergeCell ref="JFS41:JFT41"/>
    <mergeCell ref="JEW41:JEX41"/>
    <mergeCell ref="JEY41:JEZ41"/>
    <mergeCell ref="JFA41:JFB41"/>
    <mergeCell ref="JFC41:JFD41"/>
    <mergeCell ref="JFE41:JFF41"/>
    <mergeCell ref="JFG41:JFH41"/>
    <mergeCell ref="JJY41:JJZ41"/>
    <mergeCell ref="JKA41:JKB41"/>
    <mergeCell ref="JKC41:JKD41"/>
    <mergeCell ref="JKE41:JKF41"/>
    <mergeCell ref="JKG41:JKH41"/>
    <mergeCell ref="JKI41:JKJ41"/>
    <mergeCell ref="JJM41:JJN41"/>
    <mergeCell ref="JJO41:JJP41"/>
    <mergeCell ref="JJQ41:JJR41"/>
    <mergeCell ref="JJS41:JJT41"/>
    <mergeCell ref="JJU41:JJV41"/>
    <mergeCell ref="JJW41:JJX41"/>
    <mergeCell ref="JJA41:JJB41"/>
    <mergeCell ref="JJC41:JJD41"/>
    <mergeCell ref="JJE41:JJF41"/>
    <mergeCell ref="JJG41:JJH41"/>
    <mergeCell ref="JJI41:JJJ41"/>
    <mergeCell ref="JJK41:JJL41"/>
    <mergeCell ref="JIO41:JIP41"/>
    <mergeCell ref="JIQ41:JIR41"/>
    <mergeCell ref="JIS41:JIT41"/>
    <mergeCell ref="JIU41:JIV41"/>
    <mergeCell ref="JIW41:JIX41"/>
    <mergeCell ref="JIY41:JIZ41"/>
    <mergeCell ref="JIC41:JID41"/>
    <mergeCell ref="JIE41:JIF41"/>
    <mergeCell ref="JIG41:JIH41"/>
    <mergeCell ref="JII41:JIJ41"/>
    <mergeCell ref="JIK41:JIL41"/>
    <mergeCell ref="JIM41:JIN41"/>
    <mergeCell ref="JHQ41:JHR41"/>
    <mergeCell ref="JHS41:JHT41"/>
    <mergeCell ref="JHU41:JHV41"/>
    <mergeCell ref="JHW41:JHX41"/>
    <mergeCell ref="JHY41:JHZ41"/>
    <mergeCell ref="JIA41:JIB41"/>
    <mergeCell ref="JMS41:JMT41"/>
    <mergeCell ref="JMU41:JMV41"/>
    <mergeCell ref="JMW41:JMX41"/>
    <mergeCell ref="JMY41:JMZ41"/>
    <mergeCell ref="JNA41:JNB41"/>
    <mergeCell ref="JNC41:JND41"/>
    <mergeCell ref="JMG41:JMH41"/>
    <mergeCell ref="JMI41:JMJ41"/>
    <mergeCell ref="JMK41:JML41"/>
    <mergeCell ref="JMM41:JMN41"/>
    <mergeCell ref="JMO41:JMP41"/>
    <mergeCell ref="JMQ41:JMR41"/>
    <mergeCell ref="JLU41:JLV41"/>
    <mergeCell ref="JLW41:JLX41"/>
    <mergeCell ref="JLY41:JLZ41"/>
    <mergeCell ref="JMA41:JMB41"/>
    <mergeCell ref="JMC41:JMD41"/>
    <mergeCell ref="JME41:JMF41"/>
    <mergeCell ref="JLI41:JLJ41"/>
    <mergeCell ref="JLK41:JLL41"/>
    <mergeCell ref="JLM41:JLN41"/>
    <mergeCell ref="JLO41:JLP41"/>
    <mergeCell ref="JLQ41:JLR41"/>
    <mergeCell ref="JLS41:JLT41"/>
    <mergeCell ref="JKW41:JKX41"/>
    <mergeCell ref="JKY41:JKZ41"/>
    <mergeCell ref="JLA41:JLB41"/>
    <mergeCell ref="JLC41:JLD41"/>
    <mergeCell ref="JLE41:JLF41"/>
    <mergeCell ref="JLG41:JLH41"/>
    <mergeCell ref="JKK41:JKL41"/>
    <mergeCell ref="JKM41:JKN41"/>
    <mergeCell ref="JKO41:JKP41"/>
    <mergeCell ref="JKQ41:JKR41"/>
    <mergeCell ref="JKS41:JKT41"/>
    <mergeCell ref="JKU41:JKV41"/>
    <mergeCell ref="JPM41:JPN41"/>
    <mergeCell ref="JPO41:JPP41"/>
    <mergeCell ref="JPQ41:JPR41"/>
    <mergeCell ref="JPS41:JPT41"/>
    <mergeCell ref="JPU41:JPV41"/>
    <mergeCell ref="JPW41:JPX41"/>
    <mergeCell ref="JPA41:JPB41"/>
    <mergeCell ref="JPC41:JPD41"/>
    <mergeCell ref="JPE41:JPF41"/>
    <mergeCell ref="JPG41:JPH41"/>
    <mergeCell ref="JPI41:JPJ41"/>
    <mergeCell ref="JPK41:JPL41"/>
    <mergeCell ref="JOO41:JOP41"/>
    <mergeCell ref="JOQ41:JOR41"/>
    <mergeCell ref="JOS41:JOT41"/>
    <mergeCell ref="JOU41:JOV41"/>
    <mergeCell ref="JOW41:JOX41"/>
    <mergeCell ref="JOY41:JOZ41"/>
    <mergeCell ref="JOC41:JOD41"/>
    <mergeCell ref="JOE41:JOF41"/>
    <mergeCell ref="JOG41:JOH41"/>
    <mergeCell ref="JOI41:JOJ41"/>
    <mergeCell ref="JOK41:JOL41"/>
    <mergeCell ref="JOM41:JON41"/>
    <mergeCell ref="JNQ41:JNR41"/>
    <mergeCell ref="JNS41:JNT41"/>
    <mergeCell ref="JNU41:JNV41"/>
    <mergeCell ref="JNW41:JNX41"/>
    <mergeCell ref="JNY41:JNZ41"/>
    <mergeCell ref="JOA41:JOB41"/>
    <mergeCell ref="JNE41:JNF41"/>
    <mergeCell ref="JNG41:JNH41"/>
    <mergeCell ref="JNI41:JNJ41"/>
    <mergeCell ref="JNK41:JNL41"/>
    <mergeCell ref="JNM41:JNN41"/>
    <mergeCell ref="JNO41:JNP41"/>
    <mergeCell ref="JSG41:JSH41"/>
    <mergeCell ref="JSI41:JSJ41"/>
    <mergeCell ref="JSK41:JSL41"/>
    <mergeCell ref="JSM41:JSN41"/>
    <mergeCell ref="JSO41:JSP41"/>
    <mergeCell ref="JSQ41:JSR41"/>
    <mergeCell ref="JRU41:JRV41"/>
    <mergeCell ref="JRW41:JRX41"/>
    <mergeCell ref="JRY41:JRZ41"/>
    <mergeCell ref="JSA41:JSB41"/>
    <mergeCell ref="JSC41:JSD41"/>
    <mergeCell ref="JSE41:JSF41"/>
    <mergeCell ref="JRI41:JRJ41"/>
    <mergeCell ref="JRK41:JRL41"/>
    <mergeCell ref="JRM41:JRN41"/>
    <mergeCell ref="JRO41:JRP41"/>
    <mergeCell ref="JRQ41:JRR41"/>
    <mergeCell ref="JRS41:JRT41"/>
    <mergeCell ref="JQW41:JQX41"/>
    <mergeCell ref="JQY41:JQZ41"/>
    <mergeCell ref="JRA41:JRB41"/>
    <mergeCell ref="JRC41:JRD41"/>
    <mergeCell ref="JRE41:JRF41"/>
    <mergeCell ref="JRG41:JRH41"/>
    <mergeCell ref="JQK41:JQL41"/>
    <mergeCell ref="JQM41:JQN41"/>
    <mergeCell ref="JQO41:JQP41"/>
    <mergeCell ref="JQQ41:JQR41"/>
    <mergeCell ref="JQS41:JQT41"/>
    <mergeCell ref="JQU41:JQV41"/>
    <mergeCell ref="JPY41:JPZ41"/>
    <mergeCell ref="JQA41:JQB41"/>
    <mergeCell ref="JQC41:JQD41"/>
    <mergeCell ref="JQE41:JQF41"/>
    <mergeCell ref="JQG41:JQH41"/>
    <mergeCell ref="JQI41:JQJ41"/>
    <mergeCell ref="JVA41:JVB41"/>
    <mergeCell ref="JVC41:JVD41"/>
    <mergeCell ref="JVE41:JVF41"/>
    <mergeCell ref="JVG41:JVH41"/>
    <mergeCell ref="JVI41:JVJ41"/>
    <mergeCell ref="JVK41:JVL41"/>
    <mergeCell ref="JUO41:JUP41"/>
    <mergeCell ref="JUQ41:JUR41"/>
    <mergeCell ref="JUS41:JUT41"/>
    <mergeCell ref="JUU41:JUV41"/>
    <mergeCell ref="JUW41:JUX41"/>
    <mergeCell ref="JUY41:JUZ41"/>
    <mergeCell ref="JUC41:JUD41"/>
    <mergeCell ref="JUE41:JUF41"/>
    <mergeCell ref="JUG41:JUH41"/>
    <mergeCell ref="JUI41:JUJ41"/>
    <mergeCell ref="JUK41:JUL41"/>
    <mergeCell ref="JUM41:JUN41"/>
    <mergeCell ref="JTQ41:JTR41"/>
    <mergeCell ref="JTS41:JTT41"/>
    <mergeCell ref="JTU41:JTV41"/>
    <mergeCell ref="JTW41:JTX41"/>
    <mergeCell ref="JTY41:JTZ41"/>
    <mergeCell ref="JUA41:JUB41"/>
    <mergeCell ref="JTE41:JTF41"/>
    <mergeCell ref="JTG41:JTH41"/>
    <mergeCell ref="JTI41:JTJ41"/>
    <mergeCell ref="JTK41:JTL41"/>
    <mergeCell ref="JTM41:JTN41"/>
    <mergeCell ref="JTO41:JTP41"/>
    <mergeCell ref="JSS41:JST41"/>
    <mergeCell ref="JSU41:JSV41"/>
    <mergeCell ref="JSW41:JSX41"/>
    <mergeCell ref="JSY41:JSZ41"/>
    <mergeCell ref="JTA41:JTB41"/>
    <mergeCell ref="JTC41:JTD41"/>
    <mergeCell ref="JXU41:JXV41"/>
    <mergeCell ref="JXW41:JXX41"/>
    <mergeCell ref="JXY41:JXZ41"/>
    <mergeCell ref="JYA41:JYB41"/>
    <mergeCell ref="JYC41:JYD41"/>
    <mergeCell ref="JYE41:JYF41"/>
    <mergeCell ref="JXI41:JXJ41"/>
    <mergeCell ref="JXK41:JXL41"/>
    <mergeCell ref="JXM41:JXN41"/>
    <mergeCell ref="JXO41:JXP41"/>
    <mergeCell ref="JXQ41:JXR41"/>
    <mergeCell ref="JXS41:JXT41"/>
    <mergeCell ref="JWW41:JWX41"/>
    <mergeCell ref="JWY41:JWZ41"/>
    <mergeCell ref="JXA41:JXB41"/>
    <mergeCell ref="JXC41:JXD41"/>
    <mergeCell ref="JXE41:JXF41"/>
    <mergeCell ref="JXG41:JXH41"/>
    <mergeCell ref="JWK41:JWL41"/>
    <mergeCell ref="JWM41:JWN41"/>
    <mergeCell ref="JWO41:JWP41"/>
    <mergeCell ref="JWQ41:JWR41"/>
    <mergeCell ref="JWS41:JWT41"/>
    <mergeCell ref="JWU41:JWV41"/>
    <mergeCell ref="JVY41:JVZ41"/>
    <mergeCell ref="JWA41:JWB41"/>
    <mergeCell ref="JWC41:JWD41"/>
    <mergeCell ref="JWE41:JWF41"/>
    <mergeCell ref="JWG41:JWH41"/>
    <mergeCell ref="JWI41:JWJ41"/>
    <mergeCell ref="JVM41:JVN41"/>
    <mergeCell ref="JVO41:JVP41"/>
    <mergeCell ref="JVQ41:JVR41"/>
    <mergeCell ref="JVS41:JVT41"/>
    <mergeCell ref="JVU41:JVV41"/>
    <mergeCell ref="JVW41:JVX41"/>
    <mergeCell ref="KAO41:KAP41"/>
    <mergeCell ref="KAQ41:KAR41"/>
    <mergeCell ref="KAS41:KAT41"/>
    <mergeCell ref="KAU41:KAV41"/>
    <mergeCell ref="KAW41:KAX41"/>
    <mergeCell ref="KAY41:KAZ41"/>
    <mergeCell ref="KAC41:KAD41"/>
    <mergeCell ref="KAE41:KAF41"/>
    <mergeCell ref="KAG41:KAH41"/>
    <mergeCell ref="KAI41:KAJ41"/>
    <mergeCell ref="KAK41:KAL41"/>
    <mergeCell ref="KAM41:KAN41"/>
    <mergeCell ref="JZQ41:JZR41"/>
    <mergeCell ref="JZS41:JZT41"/>
    <mergeCell ref="JZU41:JZV41"/>
    <mergeCell ref="JZW41:JZX41"/>
    <mergeCell ref="JZY41:JZZ41"/>
    <mergeCell ref="KAA41:KAB41"/>
    <mergeCell ref="JZE41:JZF41"/>
    <mergeCell ref="JZG41:JZH41"/>
    <mergeCell ref="JZI41:JZJ41"/>
    <mergeCell ref="JZK41:JZL41"/>
    <mergeCell ref="JZM41:JZN41"/>
    <mergeCell ref="JZO41:JZP41"/>
    <mergeCell ref="JYS41:JYT41"/>
    <mergeCell ref="JYU41:JYV41"/>
    <mergeCell ref="JYW41:JYX41"/>
    <mergeCell ref="JYY41:JYZ41"/>
    <mergeCell ref="JZA41:JZB41"/>
    <mergeCell ref="JZC41:JZD41"/>
    <mergeCell ref="JYG41:JYH41"/>
    <mergeCell ref="JYI41:JYJ41"/>
    <mergeCell ref="JYK41:JYL41"/>
    <mergeCell ref="JYM41:JYN41"/>
    <mergeCell ref="JYO41:JYP41"/>
    <mergeCell ref="JYQ41:JYR41"/>
    <mergeCell ref="KDI41:KDJ41"/>
    <mergeCell ref="KDK41:KDL41"/>
    <mergeCell ref="KDM41:KDN41"/>
    <mergeCell ref="KDO41:KDP41"/>
    <mergeCell ref="KDQ41:KDR41"/>
    <mergeCell ref="KDS41:KDT41"/>
    <mergeCell ref="KCW41:KCX41"/>
    <mergeCell ref="KCY41:KCZ41"/>
    <mergeCell ref="KDA41:KDB41"/>
    <mergeCell ref="KDC41:KDD41"/>
    <mergeCell ref="KDE41:KDF41"/>
    <mergeCell ref="KDG41:KDH41"/>
    <mergeCell ref="KCK41:KCL41"/>
    <mergeCell ref="KCM41:KCN41"/>
    <mergeCell ref="KCO41:KCP41"/>
    <mergeCell ref="KCQ41:KCR41"/>
    <mergeCell ref="KCS41:KCT41"/>
    <mergeCell ref="KCU41:KCV41"/>
    <mergeCell ref="KBY41:KBZ41"/>
    <mergeCell ref="KCA41:KCB41"/>
    <mergeCell ref="KCC41:KCD41"/>
    <mergeCell ref="KCE41:KCF41"/>
    <mergeCell ref="KCG41:KCH41"/>
    <mergeCell ref="KCI41:KCJ41"/>
    <mergeCell ref="KBM41:KBN41"/>
    <mergeCell ref="KBO41:KBP41"/>
    <mergeCell ref="KBQ41:KBR41"/>
    <mergeCell ref="KBS41:KBT41"/>
    <mergeCell ref="KBU41:KBV41"/>
    <mergeCell ref="KBW41:KBX41"/>
    <mergeCell ref="KBA41:KBB41"/>
    <mergeCell ref="KBC41:KBD41"/>
    <mergeCell ref="KBE41:KBF41"/>
    <mergeCell ref="KBG41:KBH41"/>
    <mergeCell ref="KBI41:KBJ41"/>
    <mergeCell ref="KBK41:KBL41"/>
    <mergeCell ref="KGC41:KGD41"/>
    <mergeCell ref="KGE41:KGF41"/>
    <mergeCell ref="KGG41:KGH41"/>
    <mergeCell ref="KGI41:KGJ41"/>
    <mergeCell ref="KGK41:KGL41"/>
    <mergeCell ref="KGM41:KGN41"/>
    <mergeCell ref="KFQ41:KFR41"/>
    <mergeCell ref="KFS41:KFT41"/>
    <mergeCell ref="KFU41:KFV41"/>
    <mergeCell ref="KFW41:KFX41"/>
    <mergeCell ref="KFY41:KFZ41"/>
    <mergeCell ref="KGA41:KGB41"/>
    <mergeCell ref="KFE41:KFF41"/>
    <mergeCell ref="KFG41:KFH41"/>
    <mergeCell ref="KFI41:KFJ41"/>
    <mergeCell ref="KFK41:KFL41"/>
    <mergeCell ref="KFM41:KFN41"/>
    <mergeCell ref="KFO41:KFP41"/>
    <mergeCell ref="KES41:KET41"/>
    <mergeCell ref="KEU41:KEV41"/>
    <mergeCell ref="KEW41:KEX41"/>
    <mergeCell ref="KEY41:KEZ41"/>
    <mergeCell ref="KFA41:KFB41"/>
    <mergeCell ref="KFC41:KFD41"/>
    <mergeCell ref="KEG41:KEH41"/>
    <mergeCell ref="KEI41:KEJ41"/>
    <mergeCell ref="KEK41:KEL41"/>
    <mergeCell ref="KEM41:KEN41"/>
    <mergeCell ref="KEO41:KEP41"/>
    <mergeCell ref="KEQ41:KER41"/>
    <mergeCell ref="KDU41:KDV41"/>
    <mergeCell ref="KDW41:KDX41"/>
    <mergeCell ref="KDY41:KDZ41"/>
    <mergeCell ref="KEA41:KEB41"/>
    <mergeCell ref="KEC41:KED41"/>
    <mergeCell ref="KEE41:KEF41"/>
    <mergeCell ref="KIW41:KIX41"/>
    <mergeCell ref="KIY41:KIZ41"/>
    <mergeCell ref="KJA41:KJB41"/>
    <mergeCell ref="KJC41:KJD41"/>
    <mergeCell ref="KJE41:KJF41"/>
    <mergeCell ref="KJG41:KJH41"/>
    <mergeCell ref="KIK41:KIL41"/>
    <mergeCell ref="KIM41:KIN41"/>
    <mergeCell ref="KIO41:KIP41"/>
    <mergeCell ref="KIQ41:KIR41"/>
    <mergeCell ref="KIS41:KIT41"/>
    <mergeCell ref="KIU41:KIV41"/>
    <mergeCell ref="KHY41:KHZ41"/>
    <mergeCell ref="KIA41:KIB41"/>
    <mergeCell ref="KIC41:KID41"/>
    <mergeCell ref="KIE41:KIF41"/>
    <mergeCell ref="KIG41:KIH41"/>
    <mergeCell ref="KII41:KIJ41"/>
    <mergeCell ref="KHM41:KHN41"/>
    <mergeCell ref="KHO41:KHP41"/>
    <mergeCell ref="KHQ41:KHR41"/>
    <mergeCell ref="KHS41:KHT41"/>
    <mergeCell ref="KHU41:KHV41"/>
    <mergeCell ref="KHW41:KHX41"/>
    <mergeCell ref="KHA41:KHB41"/>
    <mergeCell ref="KHC41:KHD41"/>
    <mergeCell ref="KHE41:KHF41"/>
    <mergeCell ref="KHG41:KHH41"/>
    <mergeCell ref="KHI41:KHJ41"/>
    <mergeCell ref="KHK41:KHL41"/>
    <mergeCell ref="KGO41:KGP41"/>
    <mergeCell ref="KGQ41:KGR41"/>
    <mergeCell ref="KGS41:KGT41"/>
    <mergeCell ref="KGU41:KGV41"/>
    <mergeCell ref="KGW41:KGX41"/>
    <mergeCell ref="KGY41:KGZ41"/>
    <mergeCell ref="KLQ41:KLR41"/>
    <mergeCell ref="KLS41:KLT41"/>
    <mergeCell ref="KLU41:KLV41"/>
    <mergeCell ref="KLW41:KLX41"/>
    <mergeCell ref="KLY41:KLZ41"/>
    <mergeCell ref="KMA41:KMB41"/>
    <mergeCell ref="KLE41:KLF41"/>
    <mergeCell ref="KLG41:KLH41"/>
    <mergeCell ref="KLI41:KLJ41"/>
    <mergeCell ref="KLK41:KLL41"/>
    <mergeCell ref="KLM41:KLN41"/>
    <mergeCell ref="KLO41:KLP41"/>
    <mergeCell ref="KKS41:KKT41"/>
    <mergeCell ref="KKU41:KKV41"/>
    <mergeCell ref="KKW41:KKX41"/>
    <mergeCell ref="KKY41:KKZ41"/>
    <mergeCell ref="KLA41:KLB41"/>
    <mergeCell ref="KLC41:KLD41"/>
    <mergeCell ref="KKG41:KKH41"/>
    <mergeCell ref="KKI41:KKJ41"/>
    <mergeCell ref="KKK41:KKL41"/>
    <mergeCell ref="KKM41:KKN41"/>
    <mergeCell ref="KKO41:KKP41"/>
    <mergeCell ref="KKQ41:KKR41"/>
    <mergeCell ref="KJU41:KJV41"/>
    <mergeCell ref="KJW41:KJX41"/>
    <mergeCell ref="KJY41:KJZ41"/>
    <mergeCell ref="KKA41:KKB41"/>
    <mergeCell ref="KKC41:KKD41"/>
    <mergeCell ref="KKE41:KKF41"/>
    <mergeCell ref="KJI41:KJJ41"/>
    <mergeCell ref="KJK41:KJL41"/>
    <mergeCell ref="KJM41:KJN41"/>
    <mergeCell ref="KJO41:KJP41"/>
    <mergeCell ref="KJQ41:KJR41"/>
    <mergeCell ref="KJS41:KJT41"/>
    <mergeCell ref="KOK41:KOL41"/>
    <mergeCell ref="KOM41:KON41"/>
    <mergeCell ref="KOO41:KOP41"/>
    <mergeCell ref="KOQ41:KOR41"/>
    <mergeCell ref="KOS41:KOT41"/>
    <mergeCell ref="KOU41:KOV41"/>
    <mergeCell ref="KNY41:KNZ41"/>
    <mergeCell ref="KOA41:KOB41"/>
    <mergeCell ref="KOC41:KOD41"/>
    <mergeCell ref="KOE41:KOF41"/>
    <mergeCell ref="KOG41:KOH41"/>
    <mergeCell ref="KOI41:KOJ41"/>
    <mergeCell ref="KNM41:KNN41"/>
    <mergeCell ref="KNO41:KNP41"/>
    <mergeCell ref="KNQ41:KNR41"/>
    <mergeCell ref="KNS41:KNT41"/>
    <mergeCell ref="KNU41:KNV41"/>
    <mergeCell ref="KNW41:KNX41"/>
    <mergeCell ref="KNA41:KNB41"/>
    <mergeCell ref="KNC41:KND41"/>
    <mergeCell ref="KNE41:KNF41"/>
    <mergeCell ref="KNG41:KNH41"/>
    <mergeCell ref="KNI41:KNJ41"/>
    <mergeCell ref="KNK41:KNL41"/>
    <mergeCell ref="KMO41:KMP41"/>
    <mergeCell ref="KMQ41:KMR41"/>
    <mergeCell ref="KMS41:KMT41"/>
    <mergeCell ref="KMU41:KMV41"/>
    <mergeCell ref="KMW41:KMX41"/>
    <mergeCell ref="KMY41:KMZ41"/>
    <mergeCell ref="KMC41:KMD41"/>
    <mergeCell ref="KME41:KMF41"/>
    <mergeCell ref="KMG41:KMH41"/>
    <mergeCell ref="KMI41:KMJ41"/>
    <mergeCell ref="KMK41:KML41"/>
    <mergeCell ref="KMM41:KMN41"/>
    <mergeCell ref="KRE41:KRF41"/>
    <mergeCell ref="KRG41:KRH41"/>
    <mergeCell ref="KRI41:KRJ41"/>
    <mergeCell ref="KRK41:KRL41"/>
    <mergeCell ref="KRM41:KRN41"/>
    <mergeCell ref="KRO41:KRP41"/>
    <mergeCell ref="KQS41:KQT41"/>
    <mergeCell ref="KQU41:KQV41"/>
    <mergeCell ref="KQW41:KQX41"/>
    <mergeCell ref="KQY41:KQZ41"/>
    <mergeCell ref="KRA41:KRB41"/>
    <mergeCell ref="KRC41:KRD41"/>
    <mergeCell ref="KQG41:KQH41"/>
    <mergeCell ref="KQI41:KQJ41"/>
    <mergeCell ref="KQK41:KQL41"/>
    <mergeCell ref="KQM41:KQN41"/>
    <mergeCell ref="KQO41:KQP41"/>
    <mergeCell ref="KQQ41:KQR41"/>
    <mergeCell ref="KPU41:KPV41"/>
    <mergeCell ref="KPW41:KPX41"/>
    <mergeCell ref="KPY41:KPZ41"/>
    <mergeCell ref="KQA41:KQB41"/>
    <mergeCell ref="KQC41:KQD41"/>
    <mergeCell ref="KQE41:KQF41"/>
    <mergeCell ref="KPI41:KPJ41"/>
    <mergeCell ref="KPK41:KPL41"/>
    <mergeCell ref="KPM41:KPN41"/>
    <mergeCell ref="KPO41:KPP41"/>
    <mergeCell ref="KPQ41:KPR41"/>
    <mergeCell ref="KPS41:KPT41"/>
    <mergeCell ref="KOW41:KOX41"/>
    <mergeCell ref="KOY41:KOZ41"/>
    <mergeCell ref="KPA41:KPB41"/>
    <mergeCell ref="KPC41:KPD41"/>
    <mergeCell ref="KPE41:KPF41"/>
    <mergeCell ref="KPG41:KPH41"/>
    <mergeCell ref="KTY41:KTZ41"/>
    <mergeCell ref="KUA41:KUB41"/>
    <mergeCell ref="KUC41:KUD41"/>
    <mergeCell ref="KUE41:KUF41"/>
    <mergeCell ref="KUG41:KUH41"/>
    <mergeCell ref="KUI41:KUJ41"/>
    <mergeCell ref="KTM41:KTN41"/>
    <mergeCell ref="KTO41:KTP41"/>
    <mergeCell ref="KTQ41:KTR41"/>
    <mergeCell ref="KTS41:KTT41"/>
    <mergeCell ref="KTU41:KTV41"/>
    <mergeCell ref="KTW41:KTX41"/>
    <mergeCell ref="KTA41:KTB41"/>
    <mergeCell ref="KTC41:KTD41"/>
    <mergeCell ref="KTE41:KTF41"/>
    <mergeCell ref="KTG41:KTH41"/>
    <mergeCell ref="KTI41:KTJ41"/>
    <mergeCell ref="KTK41:KTL41"/>
    <mergeCell ref="KSO41:KSP41"/>
    <mergeCell ref="KSQ41:KSR41"/>
    <mergeCell ref="KSS41:KST41"/>
    <mergeCell ref="KSU41:KSV41"/>
    <mergeCell ref="KSW41:KSX41"/>
    <mergeCell ref="KSY41:KSZ41"/>
    <mergeCell ref="KSC41:KSD41"/>
    <mergeCell ref="KSE41:KSF41"/>
    <mergeCell ref="KSG41:KSH41"/>
    <mergeCell ref="KSI41:KSJ41"/>
    <mergeCell ref="KSK41:KSL41"/>
    <mergeCell ref="KSM41:KSN41"/>
    <mergeCell ref="KRQ41:KRR41"/>
    <mergeCell ref="KRS41:KRT41"/>
    <mergeCell ref="KRU41:KRV41"/>
    <mergeCell ref="KRW41:KRX41"/>
    <mergeCell ref="KRY41:KRZ41"/>
    <mergeCell ref="KSA41:KSB41"/>
    <mergeCell ref="KWS41:KWT41"/>
    <mergeCell ref="KWU41:KWV41"/>
    <mergeCell ref="KWW41:KWX41"/>
    <mergeCell ref="KWY41:KWZ41"/>
    <mergeCell ref="KXA41:KXB41"/>
    <mergeCell ref="KXC41:KXD41"/>
    <mergeCell ref="KWG41:KWH41"/>
    <mergeCell ref="KWI41:KWJ41"/>
    <mergeCell ref="KWK41:KWL41"/>
    <mergeCell ref="KWM41:KWN41"/>
    <mergeCell ref="KWO41:KWP41"/>
    <mergeCell ref="KWQ41:KWR41"/>
    <mergeCell ref="KVU41:KVV41"/>
    <mergeCell ref="KVW41:KVX41"/>
    <mergeCell ref="KVY41:KVZ41"/>
    <mergeCell ref="KWA41:KWB41"/>
    <mergeCell ref="KWC41:KWD41"/>
    <mergeCell ref="KWE41:KWF41"/>
    <mergeCell ref="KVI41:KVJ41"/>
    <mergeCell ref="KVK41:KVL41"/>
    <mergeCell ref="KVM41:KVN41"/>
    <mergeCell ref="KVO41:KVP41"/>
    <mergeCell ref="KVQ41:KVR41"/>
    <mergeCell ref="KVS41:KVT41"/>
    <mergeCell ref="KUW41:KUX41"/>
    <mergeCell ref="KUY41:KUZ41"/>
    <mergeCell ref="KVA41:KVB41"/>
    <mergeCell ref="KVC41:KVD41"/>
    <mergeCell ref="KVE41:KVF41"/>
    <mergeCell ref="KVG41:KVH41"/>
    <mergeCell ref="KUK41:KUL41"/>
    <mergeCell ref="KUM41:KUN41"/>
    <mergeCell ref="KUO41:KUP41"/>
    <mergeCell ref="KUQ41:KUR41"/>
    <mergeCell ref="KUS41:KUT41"/>
    <mergeCell ref="KUU41:KUV41"/>
    <mergeCell ref="KZM41:KZN41"/>
    <mergeCell ref="KZO41:KZP41"/>
    <mergeCell ref="KZQ41:KZR41"/>
    <mergeCell ref="KZS41:KZT41"/>
    <mergeCell ref="KZU41:KZV41"/>
    <mergeCell ref="KZW41:KZX41"/>
    <mergeCell ref="KZA41:KZB41"/>
    <mergeCell ref="KZC41:KZD41"/>
    <mergeCell ref="KZE41:KZF41"/>
    <mergeCell ref="KZG41:KZH41"/>
    <mergeCell ref="KZI41:KZJ41"/>
    <mergeCell ref="KZK41:KZL41"/>
    <mergeCell ref="KYO41:KYP41"/>
    <mergeCell ref="KYQ41:KYR41"/>
    <mergeCell ref="KYS41:KYT41"/>
    <mergeCell ref="KYU41:KYV41"/>
    <mergeCell ref="KYW41:KYX41"/>
    <mergeCell ref="KYY41:KYZ41"/>
    <mergeCell ref="KYC41:KYD41"/>
    <mergeCell ref="KYE41:KYF41"/>
    <mergeCell ref="KYG41:KYH41"/>
    <mergeCell ref="KYI41:KYJ41"/>
    <mergeCell ref="KYK41:KYL41"/>
    <mergeCell ref="KYM41:KYN41"/>
    <mergeCell ref="KXQ41:KXR41"/>
    <mergeCell ref="KXS41:KXT41"/>
    <mergeCell ref="KXU41:KXV41"/>
    <mergeCell ref="KXW41:KXX41"/>
    <mergeCell ref="KXY41:KXZ41"/>
    <mergeCell ref="KYA41:KYB41"/>
    <mergeCell ref="KXE41:KXF41"/>
    <mergeCell ref="KXG41:KXH41"/>
    <mergeCell ref="KXI41:KXJ41"/>
    <mergeCell ref="KXK41:KXL41"/>
    <mergeCell ref="KXM41:KXN41"/>
    <mergeCell ref="KXO41:KXP41"/>
    <mergeCell ref="LCG41:LCH41"/>
    <mergeCell ref="LCI41:LCJ41"/>
    <mergeCell ref="LCK41:LCL41"/>
    <mergeCell ref="LCM41:LCN41"/>
    <mergeCell ref="LCO41:LCP41"/>
    <mergeCell ref="LCQ41:LCR41"/>
    <mergeCell ref="LBU41:LBV41"/>
    <mergeCell ref="LBW41:LBX41"/>
    <mergeCell ref="LBY41:LBZ41"/>
    <mergeCell ref="LCA41:LCB41"/>
    <mergeCell ref="LCC41:LCD41"/>
    <mergeCell ref="LCE41:LCF41"/>
    <mergeCell ref="LBI41:LBJ41"/>
    <mergeCell ref="LBK41:LBL41"/>
    <mergeCell ref="LBM41:LBN41"/>
    <mergeCell ref="LBO41:LBP41"/>
    <mergeCell ref="LBQ41:LBR41"/>
    <mergeCell ref="LBS41:LBT41"/>
    <mergeCell ref="LAW41:LAX41"/>
    <mergeCell ref="LAY41:LAZ41"/>
    <mergeCell ref="LBA41:LBB41"/>
    <mergeCell ref="LBC41:LBD41"/>
    <mergeCell ref="LBE41:LBF41"/>
    <mergeCell ref="LBG41:LBH41"/>
    <mergeCell ref="LAK41:LAL41"/>
    <mergeCell ref="LAM41:LAN41"/>
    <mergeCell ref="LAO41:LAP41"/>
    <mergeCell ref="LAQ41:LAR41"/>
    <mergeCell ref="LAS41:LAT41"/>
    <mergeCell ref="LAU41:LAV41"/>
    <mergeCell ref="KZY41:KZZ41"/>
    <mergeCell ref="LAA41:LAB41"/>
    <mergeCell ref="LAC41:LAD41"/>
    <mergeCell ref="LAE41:LAF41"/>
    <mergeCell ref="LAG41:LAH41"/>
    <mergeCell ref="LAI41:LAJ41"/>
    <mergeCell ref="LFA41:LFB41"/>
    <mergeCell ref="LFC41:LFD41"/>
    <mergeCell ref="LFE41:LFF41"/>
    <mergeCell ref="LFG41:LFH41"/>
    <mergeCell ref="LFI41:LFJ41"/>
    <mergeCell ref="LFK41:LFL41"/>
    <mergeCell ref="LEO41:LEP41"/>
    <mergeCell ref="LEQ41:LER41"/>
    <mergeCell ref="LES41:LET41"/>
    <mergeCell ref="LEU41:LEV41"/>
    <mergeCell ref="LEW41:LEX41"/>
    <mergeCell ref="LEY41:LEZ41"/>
    <mergeCell ref="LEC41:LED41"/>
    <mergeCell ref="LEE41:LEF41"/>
    <mergeCell ref="LEG41:LEH41"/>
    <mergeCell ref="LEI41:LEJ41"/>
    <mergeCell ref="LEK41:LEL41"/>
    <mergeCell ref="LEM41:LEN41"/>
    <mergeCell ref="LDQ41:LDR41"/>
    <mergeCell ref="LDS41:LDT41"/>
    <mergeCell ref="LDU41:LDV41"/>
    <mergeCell ref="LDW41:LDX41"/>
    <mergeCell ref="LDY41:LDZ41"/>
    <mergeCell ref="LEA41:LEB41"/>
    <mergeCell ref="LDE41:LDF41"/>
    <mergeCell ref="LDG41:LDH41"/>
    <mergeCell ref="LDI41:LDJ41"/>
    <mergeCell ref="LDK41:LDL41"/>
    <mergeCell ref="LDM41:LDN41"/>
    <mergeCell ref="LDO41:LDP41"/>
    <mergeCell ref="LCS41:LCT41"/>
    <mergeCell ref="LCU41:LCV41"/>
    <mergeCell ref="LCW41:LCX41"/>
    <mergeCell ref="LCY41:LCZ41"/>
    <mergeCell ref="LDA41:LDB41"/>
    <mergeCell ref="LDC41:LDD41"/>
    <mergeCell ref="LHU41:LHV41"/>
    <mergeCell ref="LHW41:LHX41"/>
    <mergeCell ref="LHY41:LHZ41"/>
    <mergeCell ref="LIA41:LIB41"/>
    <mergeCell ref="LIC41:LID41"/>
    <mergeCell ref="LIE41:LIF41"/>
    <mergeCell ref="LHI41:LHJ41"/>
    <mergeCell ref="LHK41:LHL41"/>
    <mergeCell ref="LHM41:LHN41"/>
    <mergeCell ref="LHO41:LHP41"/>
    <mergeCell ref="LHQ41:LHR41"/>
    <mergeCell ref="LHS41:LHT41"/>
    <mergeCell ref="LGW41:LGX41"/>
    <mergeCell ref="LGY41:LGZ41"/>
    <mergeCell ref="LHA41:LHB41"/>
    <mergeCell ref="LHC41:LHD41"/>
    <mergeCell ref="LHE41:LHF41"/>
    <mergeCell ref="LHG41:LHH41"/>
    <mergeCell ref="LGK41:LGL41"/>
    <mergeCell ref="LGM41:LGN41"/>
    <mergeCell ref="LGO41:LGP41"/>
    <mergeCell ref="LGQ41:LGR41"/>
    <mergeCell ref="LGS41:LGT41"/>
    <mergeCell ref="LGU41:LGV41"/>
    <mergeCell ref="LFY41:LFZ41"/>
    <mergeCell ref="LGA41:LGB41"/>
    <mergeCell ref="LGC41:LGD41"/>
    <mergeCell ref="LGE41:LGF41"/>
    <mergeCell ref="LGG41:LGH41"/>
    <mergeCell ref="LGI41:LGJ41"/>
    <mergeCell ref="LFM41:LFN41"/>
    <mergeCell ref="LFO41:LFP41"/>
    <mergeCell ref="LFQ41:LFR41"/>
    <mergeCell ref="LFS41:LFT41"/>
    <mergeCell ref="LFU41:LFV41"/>
    <mergeCell ref="LFW41:LFX41"/>
    <mergeCell ref="LKO41:LKP41"/>
    <mergeCell ref="LKQ41:LKR41"/>
    <mergeCell ref="LKS41:LKT41"/>
    <mergeCell ref="LKU41:LKV41"/>
    <mergeCell ref="LKW41:LKX41"/>
    <mergeCell ref="LKY41:LKZ41"/>
    <mergeCell ref="LKC41:LKD41"/>
    <mergeCell ref="LKE41:LKF41"/>
    <mergeCell ref="LKG41:LKH41"/>
    <mergeCell ref="LKI41:LKJ41"/>
    <mergeCell ref="LKK41:LKL41"/>
    <mergeCell ref="LKM41:LKN41"/>
    <mergeCell ref="LJQ41:LJR41"/>
    <mergeCell ref="LJS41:LJT41"/>
    <mergeCell ref="LJU41:LJV41"/>
    <mergeCell ref="LJW41:LJX41"/>
    <mergeCell ref="LJY41:LJZ41"/>
    <mergeCell ref="LKA41:LKB41"/>
    <mergeCell ref="LJE41:LJF41"/>
    <mergeCell ref="LJG41:LJH41"/>
    <mergeCell ref="LJI41:LJJ41"/>
    <mergeCell ref="LJK41:LJL41"/>
    <mergeCell ref="LJM41:LJN41"/>
    <mergeCell ref="LJO41:LJP41"/>
    <mergeCell ref="LIS41:LIT41"/>
    <mergeCell ref="LIU41:LIV41"/>
    <mergeCell ref="LIW41:LIX41"/>
    <mergeCell ref="LIY41:LIZ41"/>
    <mergeCell ref="LJA41:LJB41"/>
    <mergeCell ref="LJC41:LJD41"/>
    <mergeCell ref="LIG41:LIH41"/>
    <mergeCell ref="LII41:LIJ41"/>
    <mergeCell ref="LIK41:LIL41"/>
    <mergeCell ref="LIM41:LIN41"/>
    <mergeCell ref="LIO41:LIP41"/>
    <mergeCell ref="LIQ41:LIR41"/>
    <mergeCell ref="LNI41:LNJ41"/>
    <mergeCell ref="LNK41:LNL41"/>
    <mergeCell ref="LNM41:LNN41"/>
    <mergeCell ref="LNO41:LNP41"/>
    <mergeCell ref="LNQ41:LNR41"/>
    <mergeCell ref="LNS41:LNT41"/>
    <mergeCell ref="LMW41:LMX41"/>
    <mergeCell ref="LMY41:LMZ41"/>
    <mergeCell ref="LNA41:LNB41"/>
    <mergeCell ref="LNC41:LND41"/>
    <mergeCell ref="LNE41:LNF41"/>
    <mergeCell ref="LNG41:LNH41"/>
    <mergeCell ref="LMK41:LML41"/>
    <mergeCell ref="LMM41:LMN41"/>
    <mergeCell ref="LMO41:LMP41"/>
    <mergeCell ref="LMQ41:LMR41"/>
    <mergeCell ref="LMS41:LMT41"/>
    <mergeCell ref="LMU41:LMV41"/>
    <mergeCell ref="LLY41:LLZ41"/>
    <mergeCell ref="LMA41:LMB41"/>
    <mergeCell ref="LMC41:LMD41"/>
    <mergeCell ref="LME41:LMF41"/>
    <mergeCell ref="LMG41:LMH41"/>
    <mergeCell ref="LMI41:LMJ41"/>
    <mergeCell ref="LLM41:LLN41"/>
    <mergeCell ref="LLO41:LLP41"/>
    <mergeCell ref="LLQ41:LLR41"/>
    <mergeCell ref="LLS41:LLT41"/>
    <mergeCell ref="LLU41:LLV41"/>
    <mergeCell ref="LLW41:LLX41"/>
    <mergeCell ref="LLA41:LLB41"/>
    <mergeCell ref="LLC41:LLD41"/>
    <mergeCell ref="LLE41:LLF41"/>
    <mergeCell ref="LLG41:LLH41"/>
    <mergeCell ref="LLI41:LLJ41"/>
    <mergeCell ref="LLK41:LLL41"/>
    <mergeCell ref="LQC41:LQD41"/>
    <mergeCell ref="LQE41:LQF41"/>
    <mergeCell ref="LQG41:LQH41"/>
    <mergeCell ref="LQI41:LQJ41"/>
    <mergeCell ref="LQK41:LQL41"/>
    <mergeCell ref="LQM41:LQN41"/>
    <mergeCell ref="LPQ41:LPR41"/>
    <mergeCell ref="LPS41:LPT41"/>
    <mergeCell ref="LPU41:LPV41"/>
    <mergeCell ref="LPW41:LPX41"/>
    <mergeCell ref="LPY41:LPZ41"/>
    <mergeCell ref="LQA41:LQB41"/>
    <mergeCell ref="LPE41:LPF41"/>
    <mergeCell ref="LPG41:LPH41"/>
    <mergeCell ref="LPI41:LPJ41"/>
    <mergeCell ref="LPK41:LPL41"/>
    <mergeCell ref="LPM41:LPN41"/>
    <mergeCell ref="LPO41:LPP41"/>
    <mergeCell ref="LOS41:LOT41"/>
    <mergeCell ref="LOU41:LOV41"/>
    <mergeCell ref="LOW41:LOX41"/>
    <mergeCell ref="LOY41:LOZ41"/>
    <mergeCell ref="LPA41:LPB41"/>
    <mergeCell ref="LPC41:LPD41"/>
    <mergeCell ref="LOG41:LOH41"/>
    <mergeCell ref="LOI41:LOJ41"/>
    <mergeCell ref="LOK41:LOL41"/>
    <mergeCell ref="LOM41:LON41"/>
    <mergeCell ref="LOO41:LOP41"/>
    <mergeCell ref="LOQ41:LOR41"/>
    <mergeCell ref="LNU41:LNV41"/>
    <mergeCell ref="LNW41:LNX41"/>
    <mergeCell ref="LNY41:LNZ41"/>
    <mergeCell ref="LOA41:LOB41"/>
    <mergeCell ref="LOC41:LOD41"/>
    <mergeCell ref="LOE41:LOF41"/>
    <mergeCell ref="LSW41:LSX41"/>
    <mergeCell ref="LSY41:LSZ41"/>
    <mergeCell ref="LTA41:LTB41"/>
    <mergeCell ref="LTC41:LTD41"/>
    <mergeCell ref="LTE41:LTF41"/>
    <mergeCell ref="LTG41:LTH41"/>
    <mergeCell ref="LSK41:LSL41"/>
    <mergeCell ref="LSM41:LSN41"/>
    <mergeCell ref="LSO41:LSP41"/>
    <mergeCell ref="LSQ41:LSR41"/>
    <mergeCell ref="LSS41:LST41"/>
    <mergeCell ref="LSU41:LSV41"/>
    <mergeCell ref="LRY41:LRZ41"/>
    <mergeCell ref="LSA41:LSB41"/>
    <mergeCell ref="LSC41:LSD41"/>
    <mergeCell ref="LSE41:LSF41"/>
    <mergeCell ref="LSG41:LSH41"/>
    <mergeCell ref="LSI41:LSJ41"/>
    <mergeCell ref="LRM41:LRN41"/>
    <mergeCell ref="LRO41:LRP41"/>
    <mergeCell ref="LRQ41:LRR41"/>
    <mergeCell ref="LRS41:LRT41"/>
    <mergeCell ref="LRU41:LRV41"/>
    <mergeCell ref="LRW41:LRX41"/>
    <mergeCell ref="LRA41:LRB41"/>
    <mergeCell ref="LRC41:LRD41"/>
    <mergeCell ref="LRE41:LRF41"/>
    <mergeCell ref="LRG41:LRH41"/>
    <mergeCell ref="LRI41:LRJ41"/>
    <mergeCell ref="LRK41:LRL41"/>
    <mergeCell ref="LQO41:LQP41"/>
    <mergeCell ref="LQQ41:LQR41"/>
    <mergeCell ref="LQS41:LQT41"/>
    <mergeCell ref="LQU41:LQV41"/>
    <mergeCell ref="LQW41:LQX41"/>
    <mergeCell ref="LQY41:LQZ41"/>
    <mergeCell ref="LVQ41:LVR41"/>
    <mergeCell ref="LVS41:LVT41"/>
    <mergeCell ref="LVU41:LVV41"/>
    <mergeCell ref="LVW41:LVX41"/>
    <mergeCell ref="LVY41:LVZ41"/>
    <mergeCell ref="LWA41:LWB41"/>
    <mergeCell ref="LVE41:LVF41"/>
    <mergeCell ref="LVG41:LVH41"/>
    <mergeCell ref="LVI41:LVJ41"/>
    <mergeCell ref="LVK41:LVL41"/>
    <mergeCell ref="LVM41:LVN41"/>
    <mergeCell ref="LVO41:LVP41"/>
    <mergeCell ref="LUS41:LUT41"/>
    <mergeCell ref="LUU41:LUV41"/>
    <mergeCell ref="LUW41:LUX41"/>
    <mergeCell ref="LUY41:LUZ41"/>
    <mergeCell ref="LVA41:LVB41"/>
    <mergeCell ref="LVC41:LVD41"/>
    <mergeCell ref="LUG41:LUH41"/>
    <mergeCell ref="LUI41:LUJ41"/>
    <mergeCell ref="LUK41:LUL41"/>
    <mergeCell ref="LUM41:LUN41"/>
    <mergeCell ref="LUO41:LUP41"/>
    <mergeCell ref="LUQ41:LUR41"/>
    <mergeCell ref="LTU41:LTV41"/>
    <mergeCell ref="LTW41:LTX41"/>
    <mergeCell ref="LTY41:LTZ41"/>
    <mergeCell ref="LUA41:LUB41"/>
    <mergeCell ref="LUC41:LUD41"/>
    <mergeCell ref="LUE41:LUF41"/>
    <mergeCell ref="LTI41:LTJ41"/>
    <mergeCell ref="LTK41:LTL41"/>
    <mergeCell ref="LTM41:LTN41"/>
    <mergeCell ref="LTO41:LTP41"/>
    <mergeCell ref="LTQ41:LTR41"/>
    <mergeCell ref="LTS41:LTT41"/>
    <mergeCell ref="LYK41:LYL41"/>
    <mergeCell ref="LYM41:LYN41"/>
    <mergeCell ref="LYO41:LYP41"/>
    <mergeCell ref="LYQ41:LYR41"/>
    <mergeCell ref="LYS41:LYT41"/>
    <mergeCell ref="LYU41:LYV41"/>
    <mergeCell ref="LXY41:LXZ41"/>
    <mergeCell ref="LYA41:LYB41"/>
    <mergeCell ref="LYC41:LYD41"/>
    <mergeCell ref="LYE41:LYF41"/>
    <mergeCell ref="LYG41:LYH41"/>
    <mergeCell ref="LYI41:LYJ41"/>
    <mergeCell ref="LXM41:LXN41"/>
    <mergeCell ref="LXO41:LXP41"/>
    <mergeCell ref="LXQ41:LXR41"/>
    <mergeCell ref="LXS41:LXT41"/>
    <mergeCell ref="LXU41:LXV41"/>
    <mergeCell ref="LXW41:LXX41"/>
    <mergeCell ref="LXA41:LXB41"/>
    <mergeCell ref="LXC41:LXD41"/>
    <mergeCell ref="LXE41:LXF41"/>
    <mergeCell ref="LXG41:LXH41"/>
    <mergeCell ref="LXI41:LXJ41"/>
    <mergeCell ref="LXK41:LXL41"/>
    <mergeCell ref="LWO41:LWP41"/>
    <mergeCell ref="LWQ41:LWR41"/>
    <mergeCell ref="LWS41:LWT41"/>
    <mergeCell ref="LWU41:LWV41"/>
    <mergeCell ref="LWW41:LWX41"/>
    <mergeCell ref="LWY41:LWZ41"/>
    <mergeCell ref="LWC41:LWD41"/>
    <mergeCell ref="LWE41:LWF41"/>
    <mergeCell ref="LWG41:LWH41"/>
    <mergeCell ref="LWI41:LWJ41"/>
    <mergeCell ref="LWK41:LWL41"/>
    <mergeCell ref="LWM41:LWN41"/>
    <mergeCell ref="MBE41:MBF41"/>
    <mergeCell ref="MBG41:MBH41"/>
    <mergeCell ref="MBI41:MBJ41"/>
    <mergeCell ref="MBK41:MBL41"/>
    <mergeCell ref="MBM41:MBN41"/>
    <mergeCell ref="MBO41:MBP41"/>
    <mergeCell ref="MAS41:MAT41"/>
    <mergeCell ref="MAU41:MAV41"/>
    <mergeCell ref="MAW41:MAX41"/>
    <mergeCell ref="MAY41:MAZ41"/>
    <mergeCell ref="MBA41:MBB41"/>
    <mergeCell ref="MBC41:MBD41"/>
    <mergeCell ref="MAG41:MAH41"/>
    <mergeCell ref="MAI41:MAJ41"/>
    <mergeCell ref="MAK41:MAL41"/>
    <mergeCell ref="MAM41:MAN41"/>
    <mergeCell ref="MAO41:MAP41"/>
    <mergeCell ref="MAQ41:MAR41"/>
    <mergeCell ref="LZU41:LZV41"/>
    <mergeCell ref="LZW41:LZX41"/>
    <mergeCell ref="LZY41:LZZ41"/>
    <mergeCell ref="MAA41:MAB41"/>
    <mergeCell ref="MAC41:MAD41"/>
    <mergeCell ref="MAE41:MAF41"/>
    <mergeCell ref="LZI41:LZJ41"/>
    <mergeCell ref="LZK41:LZL41"/>
    <mergeCell ref="LZM41:LZN41"/>
    <mergeCell ref="LZO41:LZP41"/>
    <mergeCell ref="LZQ41:LZR41"/>
    <mergeCell ref="LZS41:LZT41"/>
    <mergeCell ref="LYW41:LYX41"/>
    <mergeCell ref="LYY41:LYZ41"/>
    <mergeCell ref="LZA41:LZB41"/>
    <mergeCell ref="LZC41:LZD41"/>
    <mergeCell ref="LZE41:LZF41"/>
    <mergeCell ref="LZG41:LZH41"/>
    <mergeCell ref="MDY41:MDZ41"/>
    <mergeCell ref="MEA41:MEB41"/>
    <mergeCell ref="MEC41:MED41"/>
    <mergeCell ref="MEE41:MEF41"/>
    <mergeCell ref="MEG41:MEH41"/>
    <mergeCell ref="MEI41:MEJ41"/>
    <mergeCell ref="MDM41:MDN41"/>
    <mergeCell ref="MDO41:MDP41"/>
    <mergeCell ref="MDQ41:MDR41"/>
    <mergeCell ref="MDS41:MDT41"/>
    <mergeCell ref="MDU41:MDV41"/>
    <mergeCell ref="MDW41:MDX41"/>
    <mergeCell ref="MDA41:MDB41"/>
    <mergeCell ref="MDC41:MDD41"/>
    <mergeCell ref="MDE41:MDF41"/>
    <mergeCell ref="MDG41:MDH41"/>
    <mergeCell ref="MDI41:MDJ41"/>
    <mergeCell ref="MDK41:MDL41"/>
    <mergeCell ref="MCO41:MCP41"/>
    <mergeCell ref="MCQ41:MCR41"/>
    <mergeCell ref="MCS41:MCT41"/>
    <mergeCell ref="MCU41:MCV41"/>
    <mergeCell ref="MCW41:MCX41"/>
    <mergeCell ref="MCY41:MCZ41"/>
    <mergeCell ref="MCC41:MCD41"/>
    <mergeCell ref="MCE41:MCF41"/>
    <mergeCell ref="MCG41:MCH41"/>
    <mergeCell ref="MCI41:MCJ41"/>
    <mergeCell ref="MCK41:MCL41"/>
    <mergeCell ref="MCM41:MCN41"/>
    <mergeCell ref="MBQ41:MBR41"/>
    <mergeCell ref="MBS41:MBT41"/>
    <mergeCell ref="MBU41:MBV41"/>
    <mergeCell ref="MBW41:MBX41"/>
    <mergeCell ref="MBY41:MBZ41"/>
    <mergeCell ref="MCA41:MCB41"/>
    <mergeCell ref="MGS41:MGT41"/>
    <mergeCell ref="MGU41:MGV41"/>
    <mergeCell ref="MGW41:MGX41"/>
    <mergeCell ref="MGY41:MGZ41"/>
    <mergeCell ref="MHA41:MHB41"/>
    <mergeCell ref="MHC41:MHD41"/>
    <mergeCell ref="MGG41:MGH41"/>
    <mergeCell ref="MGI41:MGJ41"/>
    <mergeCell ref="MGK41:MGL41"/>
    <mergeCell ref="MGM41:MGN41"/>
    <mergeCell ref="MGO41:MGP41"/>
    <mergeCell ref="MGQ41:MGR41"/>
    <mergeCell ref="MFU41:MFV41"/>
    <mergeCell ref="MFW41:MFX41"/>
    <mergeCell ref="MFY41:MFZ41"/>
    <mergeCell ref="MGA41:MGB41"/>
    <mergeCell ref="MGC41:MGD41"/>
    <mergeCell ref="MGE41:MGF41"/>
    <mergeCell ref="MFI41:MFJ41"/>
    <mergeCell ref="MFK41:MFL41"/>
    <mergeCell ref="MFM41:MFN41"/>
    <mergeCell ref="MFO41:MFP41"/>
    <mergeCell ref="MFQ41:MFR41"/>
    <mergeCell ref="MFS41:MFT41"/>
    <mergeCell ref="MEW41:MEX41"/>
    <mergeCell ref="MEY41:MEZ41"/>
    <mergeCell ref="MFA41:MFB41"/>
    <mergeCell ref="MFC41:MFD41"/>
    <mergeCell ref="MFE41:MFF41"/>
    <mergeCell ref="MFG41:MFH41"/>
    <mergeCell ref="MEK41:MEL41"/>
    <mergeCell ref="MEM41:MEN41"/>
    <mergeCell ref="MEO41:MEP41"/>
    <mergeCell ref="MEQ41:MER41"/>
    <mergeCell ref="MES41:MET41"/>
    <mergeCell ref="MEU41:MEV41"/>
    <mergeCell ref="MJM41:MJN41"/>
    <mergeCell ref="MJO41:MJP41"/>
    <mergeCell ref="MJQ41:MJR41"/>
    <mergeCell ref="MJS41:MJT41"/>
    <mergeCell ref="MJU41:MJV41"/>
    <mergeCell ref="MJW41:MJX41"/>
    <mergeCell ref="MJA41:MJB41"/>
    <mergeCell ref="MJC41:MJD41"/>
    <mergeCell ref="MJE41:MJF41"/>
    <mergeCell ref="MJG41:MJH41"/>
    <mergeCell ref="MJI41:MJJ41"/>
    <mergeCell ref="MJK41:MJL41"/>
    <mergeCell ref="MIO41:MIP41"/>
    <mergeCell ref="MIQ41:MIR41"/>
    <mergeCell ref="MIS41:MIT41"/>
    <mergeCell ref="MIU41:MIV41"/>
    <mergeCell ref="MIW41:MIX41"/>
    <mergeCell ref="MIY41:MIZ41"/>
    <mergeCell ref="MIC41:MID41"/>
    <mergeCell ref="MIE41:MIF41"/>
    <mergeCell ref="MIG41:MIH41"/>
    <mergeCell ref="MII41:MIJ41"/>
    <mergeCell ref="MIK41:MIL41"/>
    <mergeCell ref="MIM41:MIN41"/>
    <mergeCell ref="MHQ41:MHR41"/>
    <mergeCell ref="MHS41:MHT41"/>
    <mergeCell ref="MHU41:MHV41"/>
    <mergeCell ref="MHW41:MHX41"/>
    <mergeCell ref="MHY41:MHZ41"/>
    <mergeCell ref="MIA41:MIB41"/>
    <mergeCell ref="MHE41:MHF41"/>
    <mergeCell ref="MHG41:MHH41"/>
    <mergeCell ref="MHI41:MHJ41"/>
    <mergeCell ref="MHK41:MHL41"/>
    <mergeCell ref="MHM41:MHN41"/>
    <mergeCell ref="MHO41:MHP41"/>
    <mergeCell ref="MMG41:MMH41"/>
    <mergeCell ref="MMI41:MMJ41"/>
    <mergeCell ref="MMK41:MML41"/>
    <mergeCell ref="MMM41:MMN41"/>
    <mergeCell ref="MMO41:MMP41"/>
    <mergeCell ref="MMQ41:MMR41"/>
    <mergeCell ref="MLU41:MLV41"/>
    <mergeCell ref="MLW41:MLX41"/>
    <mergeCell ref="MLY41:MLZ41"/>
    <mergeCell ref="MMA41:MMB41"/>
    <mergeCell ref="MMC41:MMD41"/>
    <mergeCell ref="MME41:MMF41"/>
    <mergeCell ref="MLI41:MLJ41"/>
    <mergeCell ref="MLK41:MLL41"/>
    <mergeCell ref="MLM41:MLN41"/>
    <mergeCell ref="MLO41:MLP41"/>
    <mergeCell ref="MLQ41:MLR41"/>
    <mergeCell ref="MLS41:MLT41"/>
    <mergeCell ref="MKW41:MKX41"/>
    <mergeCell ref="MKY41:MKZ41"/>
    <mergeCell ref="MLA41:MLB41"/>
    <mergeCell ref="MLC41:MLD41"/>
    <mergeCell ref="MLE41:MLF41"/>
    <mergeCell ref="MLG41:MLH41"/>
    <mergeCell ref="MKK41:MKL41"/>
    <mergeCell ref="MKM41:MKN41"/>
    <mergeCell ref="MKO41:MKP41"/>
    <mergeCell ref="MKQ41:MKR41"/>
    <mergeCell ref="MKS41:MKT41"/>
    <mergeCell ref="MKU41:MKV41"/>
    <mergeCell ref="MJY41:MJZ41"/>
    <mergeCell ref="MKA41:MKB41"/>
    <mergeCell ref="MKC41:MKD41"/>
    <mergeCell ref="MKE41:MKF41"/>
    <mergeCell ref="MKG41:MKH41"/>
    <mergeCell ref="MKI41:MKJ41"/>
    <mergeCell ref="MPA41:MPB41"/>
    <mergeCell ref="MPC41:MPD41"/>
    <mergeCell ref="MPE41:MPF41"/>
    <mergeCell ref="MPG41:MPH41"/>
    <mergeCell ref="MPI41:MPJ41"/>
    <mergeCell ref="MPK41:MPL41"/>
    <mergeCell ref="MOO41:MOP41"/>
    <mergeCell ref="MOQ41:MOR41"/>
    <mergeCell ref="MOS41:MOT41"/>
    <mergeCell ref="MOU41:MOV41"/>
    <mergeCell ref="MOW41:MOX41"/>
    <mergeCell ref="MOY41:MOZ41"/>
    <mergeCell ref="MOC41:MOD41"/>
    <mergeCell ref="MOE41:MOF41"/>
    <mergeCell ref="MOG41:MOH41"/>
    <mergeCell ref="MOI41:MOJ41"/>
    <mergeCell ref="MOK41:MOL41"/>
    <mergeCell ref="MOM41:MON41"/>
    <mergeCell ref="MNQ41:MNR41"/>
    <mergeCell ref="MNS41:MNT41"/>
    <mergeCell ref="MNU41:MNV41"/>
    <mergeCell ref="MNW41:MNX41"/>
    <mergeCell ref="MNY41:MNZ41"/>
    <mergeCell ref="MOA41:MOB41"/>
    <mergeCell ref="MNE41:MNF41"/>
    <mergeCell ref="MNG41:MNH41"/>
    <mergeCell ref="MNI41:MNJ41"/>
    <mergeCell ref="MNK41:MNL41"/>
    <mergeCell ref="MNM41:MNN41"/>
    <mergeCell ref="MNO41:MNP41"/>
    <mergeCell ref="MMS41:MMT41"/>
    <mergeCell ref="MMU41:MMV41"/>
    <mergeCell ref="MMW41:MMX41"/>
    <mergeCell ref="MMY41:MMZ41"/>
    <mergeCell ref="MNA41:MNB41"/>
    <mergeCell ref="MNC41:MND41"/>
    <mergeCell ref="MRU41:MRV41"/>
    <mergeCell ref="MRW41:MRX41"/>
    <mergeCell ref="MRY41:MRZ41"/>
    <mergeCell ref="MSA41:MSB41"/>
    <mergeCell ref="MSC41:MSD41"/>
    <mergeCell ref="MSE41:MSF41"/>
    <mergeCell ref="MRI41:MRJ41"/>
    <mergeCell ref="MRK41:MRL41"/>
    <mergeCell ref="MRM41:MRN41"/>
    <mergeCell ref="MRO41:MRP41"/>
    <mergeCell ref="MRQ41:MRR41"/>
    <mergeCell ref="MRS41:MRT41"/>
    <mergeCell ref="MQW41:MQX41"/>
    <mergeCell ref="MQY41:MQZ41"/>
    <mergeCell ref="MRA41:MRB41"/>
    <mergeCell ref="MRC41:MRD41"/>
    <mergeCell ref="MRE41:MRF41"/>
    <mergeCell ref="MRG41:MRH41"/>
    <mergeCell ref="MQK41:MQL41"/>
    <mergeCell ref="MQM41:MQN41"/>
    <mergeCell ref="MQO41:MQP41"/>
    <mergeCell ref="MQQ41:MQR41"/>
    <mergeCell ref="MQS41:MQT41"/>
    <mergeCell ref="MQU41:MQV41"/>
    <mergeCell ref="MPY41:MPZ41"/>
    <mergeCell ref="MQA41:MQB41"/>
    <mergeCell ref="MQC41:MQD41"/>
    <mergeCell ref="MQE41:MQF41"/>
    <mergeCell ref="MQG41:MQH41"/>
    <mergeCell ref="MQI41:MQJ41"/>
    <mergeCell ref="MPM41:MPN41"/>
    <mergeCell ref="MPO41:MPP41"/>
    <mergeCell ref="MPQ41:MPR41"/>
    <mergeCell ref="MPS41:MPT41"/>
    <mergeCell ref="MPU41:MPV41"/>
    <mergeCell ref="MPW41:MPX41"/>
    <mergeCell ref="MUO41:MUP41"/>
    <mergeCell ref="MUQ41:MUR41"/>
    <mergeCell ref="MUS41:MUT41"/>
    <mergeCell ref="MUU41:MUV41"/>
    <mergeCell ref="MUW41:MUX41"/>
    <mergeCell ref="MUY41:MUZ41"/>
    <mergeCell ref="MUC41:MUD41"/>
    <mergeCell ref="MUE41:MUF41"/>
    <mergeCell ref="MUG41:MUH41"/>
    <mergeCell ref="MUI41:MUJ41"/>
    <mergeCell ref="MUK41:MUL41"/>
    <mergeCell ref="MUM41:MUN41"/>
    <mergeCell ref="MTQ41:MTR41"/>
    <mergeCell ref="MTS41:MTT41"/>
    <mergeCell ref="MTU41:MTV41"/>
    <mergeCell ref="MTW41:MTX41"/>
    <mergeCell ref="MTY41:MTZ41"/>
    <mergeCell ref="MUA41:MUB41"/>
    <mergeCell ref="MTE41:MTF41"/>
    <mergeCell ref="MTG41:MTH41"/>
    <mergeCell ref="MTI41:MTJ41"/>
    <mergeCell ref="MTK41:MTL41"/>
    <mergeCell ref="MTM41:MTN41"/>
    <mergeCell ref="MTO41:MTP41"/>
    <mergeCell ref="MSS41:MST41"/>
    <mergeCell ref="MSU41:MSV41"/>
    <mergeCell ref="MSW41:MSX41"/>
    <mergeCell ref="MSY41:MSZ41"/>
    <mergeCell ref="MTA41:MTB41"/>
    <mergeCell ref="MTC41:MTD41"/>
    <mergeCell ref="MSG41:MSH41"/>
    <mergeCell ref="MSI41:MSJ41"/>
    <mergeCell ref="MSK41:MSL41"/>
    <mergeCell ref="MSM41:MSN41"/>
    <mergeCell ref="MSO41:MSP41"/>
    <mergeCell ref="MSQ41:MSR41"/>
    <mergeCell ref="MXI41:MXJ41"/>
    <mergeCell ref="MXK41:MXL41"/>
    <mergeCell ref="MXM41:MXN41"/>
    <mergeCell ref="MXO41:MXP41"/>
    <mergeCell ref="MXQ41:MXR41"/>
    <mergeCell ref="MXS41:MXT41"/>
    <mergeCell ref="MWW41:MWX41"/>
    <mergeCell ref="MWY41:MWZ41"/>
    <mergeCell ref="MXA41:MXB41"/>
    <mergeCell ref="MXC41:MXD41"/>
    <mergeCell ref="MXE41:MXF41"/>
    <mergeCell ref="MXG41:MXH41"/>
    <mergeCell ref="MWK41:MWL41"/>
    <mergeCell ref="MWM41:MWN41"/>
    <mergeCell ref="MWO41:MWP41"/>
    <mergeCell ref="MWQ41:MWR41"/>
    <mergeCell ref="MWS41:MWT41"/>
    <mergeCell ref="MWU41:MWV41"/>
    <mergeCell ref="MVY41:MVZ41"/>
    <mergeCell ref="MWA41:MWB41"/>
    <mergeCell ref="MWC41:MWD41"/>
    <mergeCell ref="MWE41:MWF41"/>
    <mergeCell ref="MWG41:MWH41"/>
    <mergeCell ref="MWI41:MWJ41"/>
    <mergeCell ref="MVM41:MVN41"/>
    <mergeCell ref="MVO41:MVP41"/>
    <mergeCell ref="MVQ41:MVR41"/>
    <mergeCell ref="MVS41:MVT41"/>
    <mergeCell ref="MVU41:MVV41"/>
    <mergeCell ref="MVW41:MVX41"/>
    <mergeCell ref="MVA41:MVB41"/>
    <mergeCell ref="MVC41:MVD41"/>
    <mergeCell ref="MVE41:MVF41"/>
    <mergeCell ref="MVG41:MVH41"/>
    <mergeCell ref="MVI41:MVJ41"/>
    <mergeCell ref="MVK41:MVL41"/>
    <mergeCell ref="NAC41:NAD41"/>
    <mergeCell ref="NAE41:NAF41"/>
    <mergeCell ref="NAG41:NAH41"/>
    <mergeCell ref="NAI41:NAJ41"/>
    <mergeCell ref="NAK41:NAL41"/>
    <mergeCell ref="NAM41:NAN41"/>
    <mergeCell ref="MZQ41:MZR41"/>
    <mergeCell ref="MZS41:MZT41"/>
    <mergeCell ref="MZU41:MZV41"/>
    <mergeCell ref="MZW41:MZX41"/>
    <mergeCell ref="MZY41:MZZ41"/>
    <mergeCell ref="NAA41:NAB41"/>
    <mergeCell ref="MZE41:MZF41"/>
    <mergeCell ref="MZG41:MZH41"/>
    <mergeCell ref="MZI41:MZJ41"/>
    <mergeCell ref="MZK41:MZL41"/>
    <mergeCell ref="MZM41:MZN41"/>
    <mergeCell ref="MZO41:MZP41"/>
    <mergeCell ref="MYS41:MYT41"/>
    <mergeCell ref="MYU41:MYV41"/>
    <mergeCell ref="MYW41:MYX41"/>
    <mergeCell ref="MYY41:MYZ41"/>
    <mergeCell ref="MZA41:MZB41"/>
    <mergeCell ref="MZC41:MZD41"/>
    <mergeCell ref="MYG41:MYH41"/>
    <mergeCell ref="MYI41:MYJ41"/>
    <mergeCell ref="MYK41:MYL41"/>
    <mergeCell ref="MYM41:MYN41"/>
    <mergeCell ref="MYO41:MYP41"/>
    <mergeCell ref="MYQ41:MYR41"/>
    <mergeCell ref="MXU41:MXV41"/>
    <mergeCell ref="MXW41:MXX41"/>
    <mergeCell ref="MXY41:MXZ41"/>
    <mergeCell ref="MYA41:MYB41"/>
    <mergeCell ref="MYC41:MYD41"/>
    <mergeCell ref="MYE41:MYF41"/>
    <mergeCell ref="NCW41:NCX41"/>
    <mergeCell ref="NCY41:NCZ41"/>
    <mergeCell ref="NDA41:NDB41"/>
    <mergeCell ref="NDC41:NDD41"/>
    <mergeCell ref="NDE41:NDF41"/>
    <mergeCell ref="NDG41:NDH41"/>
    <mergeCell ref="NCK41:NCL41"/>
    <mergeCell ref="NCM41:NCN41"/>
    <mergeCell ref="NCO41:NCP41"/>
    <mergeCell ref="NCQ41:NCR41"/>
    <mergeCell ref="NCS41:NCT41"/>
    <mergeCell ref="NCU41:NCV41"/>
    <mergeCell ref="NBY41:NBZ41"/>
    <mergeCell ref="NCA41:NCB41"/>
    <mergeCell ref="NCC41:NCD41"/>
    <mergeCell ref="NCE41:NCF41"/>
    <mergeCell ref="NCG41:NCH41"/>
    <mergeCell ref="NCI41:NCJ41"/>
    <mergeCell ref="NBM41:NBN41"/>
    <mergeCell ref="NBO41:NBP41"/>
    <mergeCell ref="NBQ41:NBR41"/>
    <mergeCell ref="NBS41:NBT41"/>
    <mergeCell ref="NBU41:NBV41"/>
    <mergeCell ref="NBW41:NBX41"/>
    <mergeCell ref="NBA41:NBB41"/>
    <mergeCell ref="NBC41:NBD41"/>
    <mergeCell ref="NBE41:NBF41"/>
    <mergeCell ref="NBG41:NBH41"/>
    <mergeCell ref="NBI41:NBJ41"/>
    <mergeCell ref="NBK41:NBL41"/>
    <mergeCell ref="NAO41:NAP41"/>
    <mergeCell ref="NAQ41:NAR41"/>
    <mergeCell ref="NAS41:NAT41"/>
    <mergeCell ref="NAU41:NAV41"/>
    <mergeCell ref="NAW41:NAX41"/>
    <mergeCell ref="NAY41:NAZ41"/>
    <mergeCell ref="NFQ41:NFR41"/>
    <mergeCell ref="NFS41:NFT41"/>
    <mergeCell ref="NFU41:NFV41"/>
    <mergeCell ref="NFW41:NFX41"/>
    <mergeCell ref="NFY41:NFZ41"/>
    <mergeCell ref="NGA41:NGB41"/>
    <mergeCell ref="NFE41:NFF41"/>
    <mergeCell ref="NFG41:NFH41"/>
    <mergeCell ref="NFI41:NFJ41"/>
    <mergeCell ref="NFK41:NFL41"/>
    <mergeCell ref="NFM41:NFN41"/>
    <mergeCell ref="NFO41:NFP41"/>
    <mergeCell ref="NES41:NET41"/>
    <mergeCell ref="NEU41:NEV41"/>
    <mergeCell ref="NEW41:NEX41"/>
    <mergeCell ref="NEY41:NEZ41"/>
    <mergeCell ref="NFA41:NFB41"/>
    <mergeCell ref="NFC41:NFD41"/>
    <mergeCell ref="NEG41:NEH41"/>
    <mergeCell ref="NEI41:NEJ41"/>
    <mergeCell ref="NEK41:NEL41"/>
    <mergeCell ref="NEM41:NEN41"/>
    <mergeCell ref="NEO41:NEP41"/>
    <mergeCell ref="NEQ41:NER41"/>
    <mergeCell ref="NDU41:NDV41"/>
    <mergeCell ref="NDW41:NDX41"/>
    <mergeCell ref="NDY41:NDZ41"/>
    <mergeCell ref="NEA41:NEB41"/>
    <mergeCell ref="NEC41:NED41"/>
    <mergeCell ref="NEE41:NEF41"/>
    <mergeCell ref="NDI41:NDJ41"/>
    <mergeCell ref="NDK41:NDL41"/>
    <mergeCell ref="NDM41:NDN41"/>
    <mergeCell ref="NDO41:NDP41"/>
    <mergeCell ref="NDQ41:NDR41"/>
    <mergeCell ref="NDS41:NDT41"/>
    <mergeCell ref="NIK41:NIL41"/>
    <mergeCell ref="NIM41:NIN41"/>
    <mergeCell ref="NIO41:NIP41"/>
    <mergeCell ref="NIQ41:NIR41"/>
    <mergeCell ref="NIS41:NIT41"/>
    <mergeCell ref="NIU41:NIV41"/>
    <mergeCell ref="NHY41:NHZ41"/>
    <mergeCell ref="NIA41:NIB41"/>
    <mergeCell ref="NIC41:NID41"/>
    <mergeCell ref="NIE41:NIF41"/>
    <mergeCell ref="NIG41:NIH41"/>
    <mergeCell ref="NII41:NIJ41"/>
    <mergeCell ref="NHM41:NHN41"/>
    <mergeCell ref="NHO41:NHP41"/>
    <mergeCell ref="NHQ41:NHR41"/>
    <mergeCell ref="NHS41:NHT41"/>
    <mergeCell ref="NHU41:NHV41"/>
    <mergeCell ref="NHW41:NHX41"/>
    <mergeCell ref="NHA41:NHB41"/>
    <mergeCell ref="NHC41:NHD41"/>
    <mergeCell ref="NHE41:NHF41"/>
    <mergeCell ref="NHG41:NHH41"/>
    <mergeCell ref="NHI41:NHJ41"/>
    <mergeCell ref="NHK41:NHL41"/>
    <mergeCell ref="NGO41:NGP41"/>
    <mergeCell ref="NGQ41:NGR41"/>
    <mergeCell ref="NGS41:NGT41"/>
    <mergeCell ref="NGU41:NGV41"/>
    <mergeCell ref="NGW41:NGX41"/>
    <mergeCell ref="NGY41:NGZ41"/>
    <mergeCell ref="NGC41:NGD41"/>
    <mergeCell ref="NGE41:NGF41"/>
    <mergeCell ref="NGG41:NGH41"/>
    <mergeCell ref="NGI41:NGJ41"/>
    <mergeCell ref="NGK41:NGL41"/>
    <mergeCell ref="NGM41:NGN41"/>
    <mergeCell ref="NLE41:NLF41"/>
    <mergeCell ref="NLG41:NLH41"/>
    <mergeCell ref="NLI41:NLJ41"/>
    <mergeCell ref="NLK41:NLL41"/>
    <mergeCell ref="NLM41:NLN41"/>
    <mergeCell ref="NLO41:NLP41"/>
    <mergeCell ref="NKS41:NKT41"/>
    <mergeCell ref="NKU41:NKV41"/>
    <mergeCell ref="NKW41:NKX41"/>
    <mergeCell ref="NKY41:NKZ41"/>
    <mergeCell ref="NLA41:NLB41"/>
    <mergeCell ref="NLC41:NLD41"/>
    <mergeCell ref="NKG41:NKH41"/>
    <mergeCell ref="NKI41:NKJ41"/>
    <mergeCell ref="NKK41:NKL41"/>
    <mergeCell ref="NKM41:NKN41"/>
    <mergeCell ref="NKO41:NKP41"/>
    <mergeCell ref="NKQ41:NKR41"/>
    <mergeCell ref="NJU41:NJV41"/>
    <mergeCell ref="NJW41:NJX41"/>
    <mergeCell ref="NJY41:NJZ41"/>
    <mergeCell ref="NKA41:NKB41"/>
    <mergeCell ref="NKC41:NKD41"/>
    <mergeCell ref="NKE41:NKF41"/>
    <mergeCell ref="NJI41:NJJ41"/>
    <mergeCell ref="NJK41:NJL41"/>
    <mergeCell ref="NJM41:NJN41"/>
    <mergeCell ref="NJO41:NJP41"/>
    <mergeCell ref="NJQ41:NJR41"/>
    <mergeCell ref="NJS41:NJT41"/>
    <mergeCell ref="NIW41:NIX41"/>
    <mergeCell ref="NIY41:NIZ41"/>
    <mergeCell ref="NJA41:NJB41"/>
    <mergeCell ref="NJC41:NJD41"/>
    <mergeCell ref="NJE41:NJF41"/>
    <mergeCell ref="NJG41:NJH41"/>
    <mergeCell ref="NNY41:NNZ41"/>
    <mergeCell ref="NOA41:NOB41"/>
    <mergeCell ref="NOC41:NOD41"/>
    <mergeCell ref="NOE41:NOF41"/>
    <mergeCell ref="NOG41:NOH41"/>
    <mergeCell ref="NOI41:NOJ41"/>
    <mergeCell ref="NNM41:NNN41"/>
    <mergeCell ref="NNO41:NNP41"/>
    <mergeCell ref="NNQ41:NNR41"/>
    <mergeCell ref="NNS41:NNT41"/>
    <mergeCell ref="NNU41:NNV41"/>
    <mergeCell ref="NNW41:NNX41"/>
    <mergeCell ref="NNA41:NNB41"/>
    <mergeCell ref="NNC41:NND41"/>
    <mergeCell ref="NNE41:NNF41"/>
    <mergeCell ref="NNG41:NNH41"/>
    <mergeCell ref="NNI41:NNJ41"/>
    <mergeCell ref="NNK41:NNL41"/>
    <mergeCell ref="NMO41:NMP41"/>
    <mergeCell ref="NMQ41:NMR41"/>
    <mergeCell ref="NMS41:NMT41"/>
    <mergeCell ref="NMU41:NMV41"/>
    <mergeCell ref="NMW41:NMX41"/>
    <mergeCell ref="NMY41:NMZ41"/>
    <mergeCell ref="NMC41:NMD41"/>
    <mergeCell ref="NME41:NMF41"/>
    <mergeCell ref="NMG41:NMH41"/>
    <mergeCell ref="NMI41:NMJ41"/>
    <mergeCell ref="NMK41:NML41"/>
    <mergeCell ref="NMM41:NMN41"/>
    <mergeCell ref="NLQ41:NLR41"/>
    <mergeCell ref="NLS41:NLT41"/>
    <mergeCell ref="NLU41:NLV41"/>
    <mergeCell ref="NLW41:NLX41"/>
    <mergeCell ref="NLY41:NLZ41"/>
    <mergeCell ref="NMA41:NMB41"/>
    <mergeCell ref="NQS41:NQT41"/>
    <mergeCell ref="NQU41:NQV41"/>
    <mergeCell ref="NQW41:NQX41"/>
    <mergeCell ref="NQY41:NQZ41"/>
    <mergeCell ref="NRA41:NRB41"/>
    <mergeCell ref="NRC41:NRD41"/>
    <mergeCell ref="NQG41:NQH41"/>
    <mergeCell ref="NQI41:NQJ41"/>
    <mergeCell ref="NQK41:NQL41"/>
    <mergeCell ref="NQM41:NQN41"/>
    <mergeCell ref="NQO41:NQP41"/>
    <mergeCell ref="NQQ41:NQR41"/>
    <mergeCell ref="NPU41:NPV41"/>
    <mergeCell ref="NPW41:NPX41"/>
    <mergeCell ref="NPY41:NPZ41"/>
    <mergeCell ref="NQA41:NQB41"/>
    <mergeCell ref="NQC41:NQD41"/>
    <mergeCell ref="NQE41:NQF41"/>
    <mergeCell ref="NPI41:NPJ41"/>
    <mergeCell ref="NPK41:NPL41"/>
    <mergeCell ref="NPM41:NPN41"/>
    <mergeCell ref="NPO41:NPP41"/>
    <mergeCell ref="NPQ41:NPR41"/>
    <mergeCell ref="NPS41:NPT41"/>
    <mergeCell ref="NOW41:NOX41"/>
    <mergeCell ref="NOY41:NOZ41"/>
    <mergeCell ref="NPA41:NPB41"/>
    <mergeCell ref="NPC41:NPD41"/>
    <mergeCell ref="NPE41:NPF41"/>
    <mergeCell ref="NPG41:NPH41"/>
    <mergeCell ref="NOK41:NOL41"/>
    <mergeCell ref="NOM41:NON41"/>
    <mergeCell ref="NOO41:NOP41"/>
    <mergeCell ref="NOQ41:NOR41"/>
    <mergeCell ref="NOS41:NOT41"/>
    <mergeCell ref="NOU41:NOV41"/>
    <mergeCell ref="NTM41:NTN41"/>
    <mergeCell ref="NTO41:NTP41"/>
    <mergeCell ref="NTQ41:NTR41"/>
    <mergeCell ref="NTS41:NTT41"/>
    <mergeCell ref="NTU41:NTV41"/>
    <mergeCell ref="NTW41:NTX41"/>
    <mergeCell ref="NTA41:NTB41"/>
    <mergeCell ref="NTC41:NTD41"/>
    <mergeCell ref="NTE41:NTF41"/>
    <mergeCell ref="NTG41:NTH41"/>
    <mergeCell ref="NTI41:NTJ41"/>
    <mergeCell ref="NTK41:NTL41"/>
    <mergeCell ref="NSO41:NSP41"/>
    <mergeCell ref="NSQ41:NSR41"/>
    <mergeCell ref="NSS41:NST41"/>
    <mergeCell ref="NSU41:NSV41"/>
    <mergeCell ref="NSW41:NSX41"/>
    <mergeCell ref="NSY41:NSZ41"/>
    <mergeCell ref="NSC41:NSD41"/>
    <mergeCell ref="NSE41:NSF41"/>
    <mergeCell ref="NSG41:NSH41"/>
    <mergeCell ref="NSI41:NSJ41"/>
    <mergeCell ref="NSK41:NSL41"/>
    <mergeCell ref="NSM41:NSN41"/>
    <mergeCell ref="NRQ41:NRR41"/>
    <mergeCell ref="NRS41:NRT41"/>
    <mergeCell ref="NRU41:NRV41"/>
    <mergeCell ref="NRW41:NRX41"/>
    <mergeCell ref="NRY41:NRZ41"/>
    <mergeCell ref="NSA41:NSB41"/>
    <mergeCell ref="NRE41:NRF41"/>
    <mergeCell ref="NRG41:NRH41"/>
    <mergeCell ref="NRI41:NRJ41"/>
    <mergeCell ref="NRK41:NRL41"/>
    <mergeCell ref="NRM41:NRN41"/>
    <mergeCell ref="NRO41:NRP41"/>
    <mergeCell ref="NWG41:NWH41"/>
    <mergeCell ref="NWI41:NWJ41"/>
    <mergeCell ref="NWK41:NWL41"/>
    <mergeCell ref="NWM41:NWN41"/>
    <mergeCell ref="NWO41:NWP41"/>
    <mergeCell ref="NWQ41:NWR41"/>
    <mergeCell ref="NVU41:NVV41"/>
    <mergeCell ref="NVW41:NVX41"/>
    <mergeCell ref="NVY41:NVZ41"/>
    <mergeCell ref="NWA41:NWB41"/>
    <mergeCell ref="NWC41:NWD41"/>
    <mergeCell ref="NWE41:NWF41"/>
    <mergeCell ref="NVI41:NVJ41"/>
    <mergeCell ref="NVK41:NVL41"/>
    <mergeCell ref="NVM41:NVN41"/>
    <mergeCell ref="NVO41:NVP41"/>
    <mergeCell ref="NVQ41:NVR41"/>
    <mergeCell ref="NVS41:NVT41"/>
    <mergeCell ref="NUW41:NUX41"/>
    <mergeCell ref="NUY41:NUZ41"/>
    <mergeCell ref="NVA41:NVB41"/>
    <mergeCell ref="NVC41:NVD41"/>
    <mergeCell ref="NVE41:NVF41"/>
    <mergeCell ref="NVG41:NVH41"/>
    <mergeCell ref="NUK41:NUL41"/>
    <mergeCell ref="NUM41:NUN41"/>
    <mergeCell ref="NUO41:NUP41"/>
    <mergeCell ref="NUQ41:NUR41"/>
    <mergeCell ref="NUS41:NUT41"/>
    <mergeCell ref="NUU41:NUV41"/>
    <mergeCell ref="NTY41:NTZ41"/>
    <mergeCell ref="NUA41:NUB41"/>
    <mergeCell ref="NUC41:NUD41"/>
    <mergeCell ref="NUE41:NUF41"/>
    <mergeCell ref="NUG41:NUH41"/>
    <mergeCell ref="NUI41:NUJ41"/>
    <mergeCell ref="NZA41:NZB41"/>
    <mergeCell ref="NZC41:NZD41"/>
    <mergeCell ref="NZE41:NZF41"/>
    <mergeCell ref="NZG41:NZH41"/>
    <mergeCell ref="NZI41:NZJ41"/>
    <mergeCell ref="NZK41:NZL41"/>
    <mergeCell ref="NYO41:NYP41"/>
    <mergeCell ref="NYQ41:NYR41"/>
    <mergeCell ref="NYS41:NYT41"/>
    <mergeCell ref="NYU41:NYV41"/>
    <mergeCell ref="NYW41:NYX41"/>
    <mergeCell ref="NYY41:NYZ41"/>
    <mergeCell ref="NYC41:NYD41"/>
    <mergeCell ref="NYE41:NYF41"/>
    <mergeCell ref="NYG41:NYH41"/>
    <mergeCell ref="NYI41:NYJ41"/>
    <mergeCell ref="NYK41:NYL41"/>
    <mergeCell ref="NYM41:NYN41"/>
    <mergeCell ref="NXQ41:NXR41"/>
    <mergeCell ref="NXS41:NXT41"/>
    <mergeCell ref="NXU41:NXV41"/>
    <mergeCell ref="NXW41:NXX41"/>
    <mergeCell ref="NXY41:NXZ41"/>
    <mergeCell ref="NYA41:NYB41"/>
    <mergeCell ref="NXE41:NXF41"/>
    <mergeCell ref="NXG41:NXH41"/>
    <mergeCell ref="NXI41:NXJ41"/>
    <mergeCell ref="NXK41:NXL41"/>
    <mergeCell ref="NXM41:NXN41"/>
    <mergeCell ref="NXO41:NXP41"/>
    <mergeCell ref="NWS41:NWT41"/>
    <mergeCell ref="NWU41:NWV41"/>
    <mergeCell ref="NWW41:NWX41"/>
    <mergeCell ref="NWY41:NWZ41"/>
    <mergeCell ref="NXA41:NXB41"/>
    <mergeCell ref="NXC41:NXD41"/>
    <mergeCell ref="OBU41:OBV41"/>
    <mergeCell ref="OBW41:OBX41"/>
    <mergeCell ref="OBY41:OBZ41"/>
    <mergeCell ref="OCA41:OCB41"/>
    <mergeCell ref="OCC41:OCD41"/>
    <mergeCell ref="OCE41:OCF41"/>
    <mergeCell ref="OBI41:OBJ41"/>
    <mergeCell ref="OBK41:OBL41"/>
    <mergeCell ref="OBM41:OBN41"/>
    <mergeCell ref="OBO41:OBP41"/>
    <mergeCell ref="OBQ41:OBR41"/>
    <mergeCell ref="OBS41:OBT41"/>
    <mergeCell ref="OAW41:OAX41"/>
    <mergeCell ref="OAY41:OAZ41"/>
    <mergeCell ref="OBA41:OBB41"/>
    <mergeCell ref="OBC41:OBD41"/>
    <mergeCell ref="OBE41:OBF41"/>
    <mergeCell ref="OBG41:OBH41"/>
    <mergeCell ref="OAK41:OAL41"/>
    <mergeCell ref="OAM41:OAN41"/>
    <mergeCell ref="OAO41:OAP41"/>
    <mergeCell ref="OAQ41:OAR41"/>
    <mergeCell ref="OAS41:OAT41"/>
    <mergeCell ref="OAU41:OAV41"/>
    <mergeCell ref="NZY41:NZZ41"/>
    <mergeCell ref="OAA41:OAB41"/>
    <mergeCell ref="OAC41:OAD41"/>
    <mergeCell ref="OAE41:OAF41"/>
    <mergeCell ref="OAG41:OAH41"/>
    <mergeCell ref="OAI41:OAJ41"/>
    <mergeCell ref="NZM41:NZN41"/>
    <mergeCell ref="NZO41:NZP41"/>
    <mergeCell ref="NZQ41:NZR41"/>
    <mergeCell ref="NZS41:NZT41"/>
    <mergeCell ref="NZU41:NZV41"/>
    <mergeCell ref="NZW41:NZX41"/>
    <mergeCell ref="OEO41:OEP41"/>
    <mergeCell ref="OEQ41:OER41"/>
    <mergeCell ref="OES41:OET41"/>
    <mergeCell ref="OEU41:OEV41"/>
    <mergeCell ref="OEW41:OEX41"/>
    <mergeCell ref="OEY41:OEZ41"/>
    <mergeCell ref="OEC41:OED41"/>
    <mergeCell ref="OEE41:OEF41"/>
    <mergeCell ref="OEG41:OEH41"/>
    <mergeCell ref="OEI41:OEJ41"/>
    <mergeCell ref="OEK41:OEL41"/>
    <mergeCell ref="OEM41:OEN41"/>
    <mergeCell ref="ODQ41:ODR41"/>
    <mergeCell ref="ODS41:ODT41"/>
    <mergeCell ref="ODU41:ODV41"/>
    <mergeCell ref="ODW41:ODX41"/>
    <mergeCell ref="ODY41:ODZ41"/>
    <mergeCell ref="OEA41:OEB41"/>
    <mergeCell ref="ODE41:ODF41"/>
    <mergeCell ref="ODG41:ODH41"/>
    <mergeCell ref="ODI41:ODJ41"/>
    <mergeCell ref="ODK41:ODL41"/>
    <mergeCell ref="ODM41:ODN41"/>
    <mergeCell ref="ODO41:ODP41"/>
    <mergeCell ref="OCS41:OCT41"/>
    <mergeCell ref="OCU41:OCV41"/>
    <mergeCell ref="OCW41:OCX41"/>
    <mergeCell ref="OCY41:OCZ41"/>
    <mergeCell ref="ODA41:ODB41"/>
    <mergeCell ref="ODC41:ODD41"/>
    <mergeCell ref="OCG41:OCH41"/>
    <mergeCell ref="OCI41:OCJ41"/>
    <mergeCell ref="OCK41:OCL41"/>
    <mergeCell ref="OCM41:OCN41"/>
    <mergeCell ref="OCO41:OCP41"/>
    <mergeCell ref="OCQ41:OCR41"/>
    <mergeCell ref="OHI41:OHJ41"/>
    <mergeCell ref="OHK41:OHL41"/>
    <mergeCell ref="OHM41:OHN41"/>
    <mergeCell ref="OHO41:OHP41"/>
    <mergeCell ref="OHQ41:OHR41"/>
    <mergeCell ref="OHS41:OHT41"/>
    <mergeCell ref="OGW41:OGX41"/>
    <mergeCell ref="OGY41:OGZ41"/>
    <mergeCell ref="OHA41:OHB41"/>
    <mergeCell ref="OHC41:OHD41"/>
    <mergeCell ref="OHE41:OHF41"/>
    <mergeCell ref="OHG41:OHH41"/>
    <mergeCell ref="OGK41:OGL41"/>
    <mergeCell ref="OGM41:OGN41"/>
    <mergeCell ref="OGO41:OGP41"/>
    <mergeCell ref="OGQ41:OGR41"/>
    <mergeCell ref="OGS41:OGT41"/>
    <mergeCell ref="OGU41:OGV41"/>
    <mergeCell ref="OFY41:OFZ41"/>
    <mergeCell ref="OGA41:OGB41"/>
    <mergeCell ref="OGC41:OGD41"/>
    <mergeCell ref="OGE41:OGF41"/>
    <mergeCell ref="OGG41:OGH41"/>
    <mergeCell ref="OGI41:OGJ41"/>
    <mergeCell ref="OFM41:OFN41"/>
    <mergeCell ref="OFO41:OFP41"/>
    <mergeCell ref="OFQ41:OFR41"/>
    <mergeCell ref="OFS41:OFT41"/>
    <mergeCell ref="OFU41:OFV41"/>
    <mergeCell ref="OFW41:OFX41"/>
    <mergeCell ref="OFA41:OFB41"/>
    <mergeCell ref="OFC41:OFD41"/>
    <mergeCell ref="OFE41:OFF41"/>
    <mergeCell ref="OFG41:OFH41"/>
    <mergeCell ref="OFI41:OFJ41"/>
    <mergeCell ref="OFK41:OFL41"/>
    <mergeCell ref="OKC41:OKD41"/>
    <mergeCell ref="OKE41:OKF41"/>
    <mergeCell ref="OKG41:OKH41"/>
    <mergeCell ref="OKI41:OKJ41"/>
    <mergeCell ref="OKK41:OKL41"/>
    <mergeCell ref="OKM41:OKN41"/>
    <mergeCell ref="OJQ41:OJR41"/>
    <mergeCell ref="OJS41:OJT41"/>
    <mergeCell ref="OJU41:OJV41"/>
    <mergeCell ref="OJW41:OJX41"/>
    <mergeCell ref="OJY41:OJZ41"/>
    <mergeCell ref="OKA41:OKB41"/>
    <mergeCell ref="OJE41:OJF41"/>
    <mergeCell ref="OJG41:OJH41"/>
    <mergeCell ref="OJI41:OJJ41"/>
    <mergeCell ref="OJK41:OJL41"/>
    <mergeCell ref="OJM41:OJN41"/>
    <mergeCell ref="OJO41:OJP41"/>
    <mergeCell ref="OIS41:OIT41"/>
    <mergeCell ref="OIU41:OIV41"/>
    <mergeCell ref="OIW41:OIX41"/>
    <mergeCell ref="OIY41:OIZ41"/>
    <mergeCell ref="OJA41:OJB41"/>
    <mergeCell ref="OJC41:OJD41"/>
    <mergeCell ref="OIG41:OIH41"/>
    <mergeCell ref="OII41:OIJ41"/>
    <mergeCell ref="OIK41:OIL41"/>
    <mergeCell ref="OIM41:OIN41"/>
    <mergeCell ref="OIO41:OIP41"/>
    <mergeCell ref="OIQ41:OIR41"/>
    <mergeCell ref="OHU41:OHV41"/>
    <mergeCell ref="OHW41:OHX41"/>
    <mergeCell ref="OHY41:OHZ41"/>
    <mergeCell ref="OIA41:OIB41"/>
    <mergeCell ref="OIC41:OID41"/>
    <mergeCell ref="OIE41:OIF41"/>
    <mergeCell ref="OMW41:OMX41"/>
    <mergeCell ref="OMY41:OMZ41"/>
    <mergeCell ref="ONA41:ONB41"/>
    <mergeCell ref="ONC41:OND41"/>
    <mergeCell ref="ONE41:ONF41"/>
    <mergeCell ref="ONG41:ONH41"/>
    <mergeCell ref="OMK41:OML41"/>
    <mergeCell ref="OMM41:OMN41"/>
    <mergeCell ref="OMO41:OMP41"/>
    <mergeCell ref="OMQ41:OMR41"/>
    <mergeCell ref="OMS41:OMT41"/>
    <mergeCell ref="OMU41:OMV41"/>
    <mergeCell ref="OLY41:OLZ41"/>
    <mergeCell ref="OMA41:OMB41"/>
    <mergeCell ref="OMC41:OMD41"/>
    <mergeCell ref="OME41:OMF41"/>
    <mergeCell ref="OMG41:OMH41"/>
    <mergeCell ref="OMI41:OMJ41"/>
    <mergeCell ref="OLM41:OLN41"/>
    <mergeCell ref="OLO41:OLP41"/>
    <mergeCell ref="OLQ41:OLR41"/>
    <mergeCell ref="OLS41:OLT41"/>
    <mergeCell ref="OLU41:OLV41"/>
    <mergeCell ref="OLW41:OLX41"/>
    <mergeCell ref="OLA41:OLB41"/>
    <mergeCell ref="OLC41:OLD41"/>
    <mergeCell ref="OLE41:OLF41"/>
    <mergeCell ref="OLG41:OLH41"/>
    <mergeCell ref="OLI41:OLJ41"/>
    <mergeCell ref="OLK41:OLL41"/>
    <mergeCell ref="OKO41:OKP41"/>
    <mergeCell ref="OKQ41:OKR41"/>
    <mergeCell ref="OKS41:OKT41"/>
    <mergeCell ref="OKU41:OKV41"/>
    <mergeCell ref="OKW41:OKX41"/>
    <mergeCell ref="OKY41:OKZ41"/>
    <mergeCell ref="OPQ41:OPR41"/>
    <mergeCell ref="OPS41:OPT41"/>
    <mergeCell ref="OPU41:OPV41"/>
    <mergeCell ref="OPW41:OPX41"/>
    <mergeCell ref="OPY41:OPZ41"/>
    <mergeCell ref="OQA41:OQB41"/>
    <mergeCell ref="OPE41:OPF41"/>
    <mergeCell ref="OPG41:OPH41"/>
    <mergeCell ref="OPI41:OPJ41"/>
    <mergeCell ref="OPK41:OPL41"/>
    <mergeCell ref="OPM41:OPN41"/>
    <mergeCell ref="OPO41:OPP41"/>
    <mergeCell ref="OOS41:OOT41"/>
    <mergeCell ref="OOU41:OOV41"/>
    <mergeCell ref="OOW41:OOX41"/>
    <mergeCell ref="OOY41:OOZ41"/>
    <mergeCell ref="OPA41:OPB41"/>
    <mergeCell ref="OPC41:OPD41"/>
    <mergeCell ref="OOG41:OOH41"/>
    <mergeCell ref="OOI41:OOJ41"/>
    <mergeCell ref="OOK41:OOL41"/>
    <mergeCell ref="OOM41:OON41"/>
    <mergeCell ref="OOO41:OOP41"/>
    <mergeCell ref="OOQ41:OOR41"/>
    <mergeCell ref="ONU41:ONV41"/>
    <mergeCell ref="ONW41:ONX41"/>
    <mergeCell ref="ONY41:ONZ41"/>
    <mergeCell ref="OOA41:OOB41"/>
    <mergeCell ref="OOC41:OOD41"/>
    <mergeCell ref="OOE41:OOF41"/>
    <mergeCell ref="ONI41:ONJ41"/>
    <mergeCell ref="ONK41:ONL41"/>
    <mergeCell ref="ONM41:ONN41"/>
    <mergeCell ref="ONO41:ONP41"/>
    <mergeCell ref="ONQ41:ONR41"/>
    <mergeCell ref="ONS41:ONT41"/>
    <mergeCell ref="OSK41:OSL41"/>
    <mergeCell ref="OSM41:OSN41"/>
    <mergeCell ref="OSO41:OSP41"/>
    <mergeCell ref="OSQ41:OSR41"/>
    <mergeCell ref="OSS41:OST41"/>
    <mergeCell ref="OSU41:OSV41"/>
    <mergeCell ref="ORY41:ORZ41"/>
    <mergeCell ref="OSA41:OSB41"/>
    <mergeCell ref="OSC41:OSD41"/>
    <mergeCell ref="OSE41:OSF41"/>
    <mergeCell ref="OSG41:OSH41"/>
    <mergeCell ref="OSI41:OSJ41"/>
    <mergeCell ref="ORM41:ORN41"/>
    <mergeCell ref="ORO41:ORP41"/>
    <mergeCell ref="ORQ41:ORR41"/>
    <mergeCell ref="ORS41:ORT41"/>
    <mergeCell ref="ORU41:ORV41"/>
    <mergeCell ref="ORW41:ORX41"/>
    <mergeCell ref="ORA41:ORB41"/>
    <mergeCell ref="ORC41:ORD41"/>
    <mergeCell ref="ORE41:ORF41"/>
    <mergeCell ref="ORG41:ORH41"/>
    <mergeCell ref="ORI41:ORJ41"/>
    <mergeCell ref="ORK41:ORL41"/>
    <mergeCell ref="OQO41:OQP41"/>
    <mergeCell ref="OQQ41:OQR41"/>
    <mergeCell ref="OQS41:OQT41"/>
    <mergeCell ref="OQU41:OQV41"/>
    <mergeCell ref="OQW41:OQX41"/>
    <mergeCell ref="OQY41:OQZ41"/>
    <mergeCell ref="OQC41:OQD41"/>
    <mergeCell ref="OQE41:OQF41"/>
    <mergeCell ref="OQG41:OQH41"/>
    <mergeCell ref="OQI41:OQJ41"/>
    <mergeCell ref="OQK41:OQL41"/>
    <mergeCell ref="OQM41:OQN41"/>
    <mergeCell ref="OVE41:OVF41"/>
    <mergeCell ref="OVG41:OVH41"/>
    <mergeCell ref="OVI41:OVJ41"/>
    <mergeCell ref="OVK41:OVL41"/>
    <mergeCell ref="OVM41:OVN41"/>
    <mergeCell ref="OVO41:OVP41"/>
    <mergeCell ref="OUS41:OUT41"/>
    <mergeCell ref="OUU41:OUV41"/>
    <mergeCell ref="OUW41:OUX41"/>
    <mergeCell ref="OUY41:OUZ41"/>
    <mergeCell ref="OVA41:OVB41"/>
    <mergeCell ref="OVC41:OVD41"/>
    <mergeCell ref="OUG41:OUH41"/>
    <mergeCell ref="OUI41:OUJ41"/>
    <mergeCell ref="OUK41:OUL41"/>
    <mergeCell ref="OUM41:OUN41"/>
    <mergeCell ref="OUO41:OUP41"/>
    <mergeCell ref="OUQ41:OUR41"/>
    <mergeCell ref="OTU41:OTV41"/>
    <mergeCell ref="OTW41:OTX41"/>
    <mergeCell ref="OTY41:OTZ41"/>
    <mergeCell ref="OUA41:OUB41"/>
    <mergeCell ref="OUC41:OUD41"/>
    <mergeCell ref="OUE41:OUF41"/>
    <mergeCell ref="OTI41:OTJ41"/>
    <mergeCell ref="OTK41:OTL41"/>
    <mergeCell ref="OTM41:OTN41"/>
    <mergeCell ref="OTO41:OTP41"/>
    <mergeCell ref="OTQ41:OTR41"/>
    <mergeCell ref="OTS41:OTT41"/>
    <mergeCell ref="OSW41:OSX41"/>
    <mergeCell ref="OSY41:OSZ41"/>
    <mergeCell ref="OTA41:OTB41"/>
    <mergeCell ref="OTC41:OTD41"/>
    <mergeCell ref="OTE41:OTF41"/>
    <mergeCell ref="OTG41:OTH41"/>
    <mergeCell ref="OXY41:OXZ41"/>
    <mergeCell ref="OYA41:OYB41"/>
    <mergeCell ref="OYC41:OYD41"/>
    <mergeCell ref="OYE41:OYF41"/>
    <mergeCell ref="OYG41:OYH41"/>
    <mergeCell ref="OYI41:OYJ41"/>
    <mergeCell ref="OXM41:OXN41"/>
    <mergeCell ref="OXO41:OXP41"/>
    <mergeCell ref="OXQ41:OXR41"/>
    <mergeCell ref="OXS41:OXT41"/>
    <mergeCell ref="OXU41:OXV41"/>
    <mergeCell ref="OXW41:OXX41"/>
    <mergeCell ref="OXA41:OXB41"/>
    <mergeCell ref="OXC41:OXD41"/>
    <mergeCell ref="OXE41:OXF41"/>
    <mergeCell ref="OXG41:OXH41"/>
    <mergeCell ref="OXI41:OXJ41"/>
    <mergeCell ref="OXK41:OXL41"/>
    <mergeCell ref="OWO41:OWP41"/>
    <mergeCell ref="OWQ41:OWR41"/>
    <mergeCell ref="OWS41:OWT41"/>
    <mergeCell ref="OWU41:OWV41"/>
    <mergeCell ref="OWW41:OWX41"/>
    <mergeCell ref="OWY41:OWZ41"/>
    <mergeCell ref="OWC41:OWD41"/>
    <mergeCell ref="OWE41:OWF41"/>
    <mergeCell ref="OWG41:OWH41"/>
    <mergeCell ref="OWI41:OWJ41"/>
    <mergeCell ref="OWK41:OWL41"/>
    <mergeCell ref="OWM41:OWN41"/>
    <mergeCell ref="OVQ41:OVR41"/>
    <mergeCell ref="OVS41:OVT41"/>
    <mergeCell ref="OVU41:OVV41"/>
    <mergeCell ref="OVW41:OVX41"/>
    <mergeCell ref="OVY41:OVZ41"/>
    <mergeCell ref="OWA41:OWB41"/>
    <mergeCell ref="PAS41:PAT41"/>
    <mergeCell ref="PAU41:PAV41"/>
    <mergeCell ref="PAW41:PAX41"/>
    <mergeCell ref="PAY41:PAZ41"/>
    <mergeCell ref="PBA41:PBB41"/>
    <mergeCell ref="PBC41:PBD41"/>
    <mergeCell ref="PAG41:PAH41"/>
    <mergeCell ref="PAI41:PAJ41"/>
    <mergeCell ref="PAK41:PAL41"/>
    <mergeCell ref="PAM41:PAN41"/>
    <mergeCell ref="PAO41:PAP41"/>
    <mergeCell ref="PAQ41:PAR41"/>
    <mergeCell ref="OZU41:OZV41"/>
    <mergeCell ref="OZW41:OZX41"/>
    <mergeCell ref="OZY41:OZZ41"/>
    <mergeCell ref="PAA41:PAB41"/>
    <mergeCell ref="PAC41:PAD41"/>
    <mergeCell ref="PAE41:PAF41"/>
    <mergeCell ref="OZI41:OZJ41"/>
    <mergeCell ref="OZK41:OZL41"/>
    <mergeCell ref="OZM41:OZN41"/>
    <mergeCell ref="OZO41:OZP41"/>
    <mergeCell ref="OZQ41:OZR41"/>
    <mergeCell ref="OZS41:OZT41"/>
    <mergeCell ref="OYW41:OYX41"/>
    <mergeCell ref="OYY41:OYZ41"/>
    <mergeCell ref="OZA41:OZB41"/>
    <mergeCell ref="OZC41:OZD41"/>
    <mergeCell ref="OZE41:OZF41"/>
    <mergeCell ref="OZG41:OZH41"/>
    <mergeCell ref="OYK41:OYL41"/>
    <mergeCell ref="OYM41:OYN41"/>
    <mergeCell ref="OYO41:OYP41"/>
    <mergeCell ref="OYQ41:OYR41"/>
    <mergeCell ref="OYS41:OYT41"/>
    <mergeCell ref="OYU41:OYV41"/>
    <mergeCell ref="PDM41:PDN41"/>
    <mergeCell ref="PDO41:PDP41"/>
    <mergeCell ref="PDQ41:PDR41"/>
    <mergeCell ref="PDS41:PDT41"/>
    <mergeCell ref="PDU41:PDV41"/>
    <mergeCell ref="PDW41:PDX41"/>
    <mergeCell ref="PDA41:PDB41"/>
    <mergeCell ref="PDC41:PDD41"/>
    <mergeCell ref="PDE41:PDF41"/>
    <mergeCell ref="PDG41:PDH41"/>
    <mergeCell ref="PDI41:PDJ41"/>
    <mergeCell ref="PDK41:PDL41"/>
    <mergeCell ref="PCO41:PCP41"/>
    <mergeCell ref="PCQ41:PCR41"/>
    <mergeCell ref="PCS41:PCT41"/>
    <mergeCell ref="PCU41:PCV41"/>
    <mergeCell ref="PCW41:PCX41"/>
    <mergeCell ref="PCY41:PCZ41"/>
    <mergeCell ref="PCC41:PCD41"/>
    <mergeCell ref="PCE41:PCF41"/>
    <mergeCell ref="PCG41:PCH41"/>
    <mergeCell ref="PCI41:PCJ41"/>
    <mergeCell ref="PCK41:PCL41"/>
    <mergeCell ref="PCM41:PCN41"/>
    <mergeCell ref="PBQ41:PBR41"/>
    <mergeCell ref="PBS41:PBT41"/>
    <mergeCell ref="PBU41:PBV41"/>
    <mergeCell ref="PBW41:PBX41"/>
    <mergeCell ref="PBY41:PBZ41"/>
    <mergeCell ref="PCA41:PCB41"/>
    <mergeCell ref="PBE41:PBF41"/>
    <mergeCell ref="PBG41:PBH41"/>
    <mergeCell ref="PBI41:PBJ41"/>
    <mergeCell ref="PBK41:PBL41"/>
    <mergeCell ref="PBM41:PBN41"/>
    <mergeCell ref="PBO41:PBP41"/>
    <mergeCell ref="PGG41:PGH41"/>
    <mergeCell ref="PGI41:PGJ41"/>
    <mergeCell ref="PGK41:PGL41"/>
    <mergeCell ref="PGM41:PGN41"/>
    <mergeCell ref="PGO41:PGP41"/>
    <mergeCell ref="PGQ41:PGR41"/>
    <mergeCell ref="PFU41:PFV41"/>
    <mergeCell ref="PFW41:PFX41"/>
    <mergeCell ref="PFY41:PFZ41"/>
    <mergeCell ref="PGA41:PGB41"/>
    <mergeCell ref="PGC41:PGD41"/>
    <mergeCell ref="PGE41:PGF41"/>
    <mergeCell ref="PFI41:PFJ41"/>
    <mergeCell ref="PFK41:PFL41"/>
    <mergeCell ref="PFM41:PFN41"/>
    <mergeCell ref="PFO41:PFP41"/>
    <mergeCell ref="PFQ41:PFR41"/>
    <mergeCell ref="PFS41:PFT41"/>
    <mergeCell ref="PEW41:PEX41"/>
    <mergeCell ref="PEY41:PEZ41"/>
    <mergeCell ref="PFA41:PFB41"/>
    <mergeCell ref="PFC41:PFD41"/>
    <mergeCell ref="PFE41:PFF41"/>
    <mergeCell ref="PFG41:PFH41"/>
    <mergeCell ref="PEK41:PEL41"/>
    <mergeCell ref="PEM41:PEN41"/>
    <mergeCell ref="PEO41:PEP41"/>
    <mergeCell ref="PEQ41:PER41"/>
    <mergeCell ref="PES41:PET41"/>
    <mergeCell ref="PEU41:PEV41"/>
    <mergeCell ref="PDY41:PDZ41"/>
    <mergeCell ref="PEA41:PEB41"/>
    <mergeCell ref="PEC41:PED41"/>
    <mergeCell ref="PEE41:PEF41"/>
    <mergeCell ref="PEG41:PEH41"/>
    <mergeCell ref="PEI41:PEJ41"/>
    <mergeCell ref="PJA41:PJB41"/>
    <mergeCell ref="PJC41:PJD41"/>
    <mergeCell ref="PJE41:PJF41"/>
    <mergeCell ref="PJG41:PJH41"/>
    <mergeCell ref="PJI41:PJJ41"/>
    <mergeCell ref="PJK41:PJL41"/>
    <mergeCell ref="PIO41:PIP41"/>
    <mergeCell ref="PIQ41:PIR41"/>
    <mergeCell ref="PIS41:PIT41"/>
    <mergeCell ref="PIU41:PIV41"/>
    <mergeCell ref="PIW41:PIX41"/>
    <mergeCell ref="PIY41:PIZ41"/>
    <mergeCell ref="PIC41:PID41"/>
    <mergeCell ref="PIE41:PIF41"/>
    <mergeCell ref="PIG41:PIH41"/>
    <mergeCell ref="PII41:PIJ41"/>
    <mergeCell ref="PIK41:PIL41"/>
    <mergeCell ref="PIM41:PIN41"/>
    <mergeCell ref="PHQ41:PHR41"/>
    <mergeCell ref="PHS41:PHT41"/>
    <mergeCell ref="PHU41:PHV41"/>
    <mergeCell ref="PHW41:PHX41"/>
    <mergeCell ref="PHY41:PHZ41"/>
    <mergeCell ref="PIA41:PIB41"/>
    <mergeCell ref="PHE41:PHF41"/>
    <mergeCell ref="PHG41:PHH41"/>
    <mergeCell ref="PHI41:PHJ41"/>
    <mergeCell ref="PHK41:PHL41"/>
    <mergeCell ref="PHM41:PHN41"/>
    <mergeCell ref="PHO41:PHP41"/>
    <mergeCell ref="PGS41:PGT41"/>
    <mergeCell ref="PGU41:PGV41"/>
    <mergeCell ref="PGW41:PGX41"/>
    <mergeCell ref="PGY41:PGZ41"/>
    <mergeCell ref="PHA41:PHB41"/>
    <mergeCell ref="PHC41:PHD41"/>
    <mergeCell ref="PLU41:PLV41"/>
    <mergeCell ref="PLW41:PLX41"/>
    <mergeCell ref="PLY41:PLZ41"/>
    <mergeCell ref="PMA41:PMB41"/>
    <mergeCell ref="PMC41:PMD41"/>
    <mergeCell ref="PME41:PMF41"/>
    <mergeCell ref="PLI41:PLJ41"/>
    <mergeCell ref="PLK41:PLL41"/>
    <mergeCell ref="PLM41:PLN41"/>
    <mergeCell ref="PLO41:PLP41"/>
    <mergeCell ref="PLQ41:PLR41"/>
    <mergeCell ref="PLS41:PLT41"/>
    <mergeCell ref="PKW41:PKX41"/>
    <mergeCell ref="PKY41:PKZ41"/>
    <mergeCell ref="PLA41:PLB41"/>
    <mergeCell ref="PLC41:PLD41"/>
    <mergeCell ref="PLE41:PLF41"/>
    <mergeCell ref="PLG41:PLH41"/>
    <mergeCell ref="PKK41:PKL41"/>
    <mergeCell ref="PKM41:PKN41"/>
    <mergeCell ref="PKO41:PKP41"/>
    <mergeCell ref="PKQ41:PKR41"/>
    <mergeCell ref="PKS41:PKT41"/>
    <mergeCell ref="PKU41:PKV41"/>
    <mergeCell ref="PJY41:PJZ41"/>
    <mergeCell ref="PKA41:PKB41"/>
    <mergeCell ref="PKC41:PKD41"/>
    <mergeCell ref="PKE41:PKF41"/>
    <mergeCell ref="PKG41:PKH41"/>
    <mergeCell ref="PKI41:PKJ41"/>
    <mergeCell ref="PJM41:PJN41"/>
    <mergeCell ref="PJO41:PJP41"/>
    <mergeCell ref="PJQ41:PJR41"/>
    <mergeCell ref="PJS41:PJT41"/>
    <mergeCell ref="PJU41:PJV41"/>
    <mergeCell ref="PJW41:PJX41"/>
    <mergeCell ref="POO41:POP41"/>
    <mergeCell ref="POQ41:POR41"/>
    <mergeCell ref="POS41:POT41"/>
    <mergeCell ref="POU41:POV41"/>
    <mergeCell ref="POW41:POX41"/>
    <mergeCell ref="POY41:POZ41"/>
    <mergeCell ref="POC41:POD41"/>
    <mergeCell ref="POE41:POF41"/>
    <mergeCell ref="POG41:POH41"/>
    <mergeCell ref="POI41:POJ41"/>
    <mergeCell ref="POK41:POL41"/>
    <mergeCell ref="POM41:PON41"/>
    <mergeCell ref="PNQ41:PNR41"/>
    <mergeCell ref="PNS41:PNT41"/>
    <mergeCell ref="PNU41:PNV41"/>
    <mergeCell ref="PNW41:PNX41"/>
    <mergeCell ref="PNY41:PNZ41"/>
    <mergeCell ref="POA41:POB41"/>
    <mergeCell ref="PNE41:PNF41"/>
    <mergeCell ref="PNG41:PNH41"/>
    <mergeCell ref="PNI41:PNJ41"/>
    <mergeCell ref="PNK41:PNL41"/>
    <mergeCell ref="PNM41:PNN41"/>
    <mergeCell ref="PNO41:PNP41"/>
    <mergeCell ref="PMS41:PMT41"/>
    <mergeCell ref="PMU41:PMV41"/>
    <mergeCell ref="PMW41:PMX41"/>
    <mergeCell ref="PMY41:PMZ41"/>
    <mergeCell ref="PNA41:PNB41"/>
    <mergeCell ref="PNC41:PND41"/>
    <mergeCell ref="PMG41:PMH41"/>
    <mergeCell ref="PMI41:PMJ41"/>
    <mergeCell ref="PMK41:PML41"/>
    <mergeCell ref="PMM41:PMN41"/>
    <mergeCell ref="PMO41:PMP41"/>
    <mergeCell ref="PMQ41:PMR41"/>
    <mergeCell ref="PRI41:PRJ41"/>
    <mergeCell ref="PRK41:PRL41"/>
    <mergeCell ref="PRM41:PRN41"/>
    <mergeCell ref="PRO41:PRP41"/>
    <mergeCell ref="PRQ41:PRR41"/>
    <mergeCell ref="PRS41:PRT41"/>
    <mergeCell ref="PQW41:PQX41"/>
    <mergeCell ref="PQY41:PQZ41"/>
    <mergeCell ref="PRA41:PRB41"/>
    <mergeCell ref="PRC41:PRD41"/>
    <mergeCell ref="PRE41:PRF41"/>
    <mergeCell ref="PRG41:PRH41"/>
    <mergeCell ref="PQK41:PQL41"/>
    <mergeCell ref="PQM41:PQN41"/>
    <mergeCell ref="PQO41:PQP41"/>
    <mergeCell ref="PQQ41:PQR41"/>
    <mergeCell ref="PQS41:PQT41"/>
    <mergeCell ref="PQU41:PQV41"/>
    <mergeCell ref="PPY41:PPZ41"/>
    <mergeCell ref="PQA41:PQB41"/>
    <mergeCell ref="PQC41:PQD41"/>
    <mergeCell ref="PQE41:PQF41"/>
    <mergeCell ref="PQG41:PQH41"/>
    <mergeCell ref="PQI41:PQJ41"/>
    <mergeCell ref="PPM41:PPN41"/>
    <mergeCell ref="PPO41:PPP41"/>
    <mergeCell ref="PPQ41:PPR41"/>
    <mergeCell ref="PPS41:PPT41"/>
    <mergeCell ref="PPU41:PPV41"/>
    <mergeCell ref="PPW41:PPX41"/>
    <mergeCell ref="PPA41:PPB41"/>
    <mergeCell ref="PPC41:PPD41"/>
    <mergeCell ref="PPE41:PPF41"/>
    <mergeCell ref="PPG41:PPH41"/>
    <mergeCell ref="PPI41:PPJ41"/>
    <mergeCell ref="PPK41:PPL41"/>
    <mergeCell ref="PUC41:PUD41"/>
    <mergeCell ref="PUE41:PUF41"/>
    <mergeCell ref="PUG41:PUH41"/>
    <mergeCell ref="PUI41:PUJ41"/>
    <mergeCell ref="PUK41:PUL41"/>
    <mergeCell ref="PUM41:PUN41"/>
    <mergeCell ref="PTQ41:PTR41"/>
    <mergeCell ref="PTS41:PTT41"/>
    <mergeCell ref="PTU41:PTV41"/>
    <mergeCell ref="PTW41:PTX41"/>
    <mergeCell ref="PTY41:PTZ41"/>
    <mergeCell ref="PUA41:PUB41"/>
    <mergeCell ref="PTE41:PTF41"/>
    <mergeCell ref="PTG41:PTH41"/>
    <mergeCell ref="PTI41:PTJ41"/>
    <mergeCell ref="PTK41:PTL41"/>
    <mergeCell ref="PTM41:PTN41"/>
    <mergeCell ref="PTO41:PTP41"/>
    <mergeCell ref="PSS41:PST41"/>
    <mergeCell ref="PSU41:PSV41"/>
    <mergeCell ref="PSW41:PSX41"/>
    <mergeCell ref="PSY41:PSZ41"/>
    <mergeCell ref="PTA41:PTB41"/>
    <mergeCell ref="PTC41:PTD41"/>
    <mergeCell ref="PSG41:PSH41"/>
    <mergeCell ref="PSI41:PSJ41"/>
    <mergeCell ref="PSK41:PSL41"/>
    <mergeCell ref="PSM41:PSN41"/>
    <mergeCell ref="PSO41:PSP41"/>
    <mergeCell ref="PSQ41:PSR41"/>
    <mergeCell ref="PRU41:PRV41"/>
    <mergeCell ref="PRW41:PRX41"/>
    <mergeCell ref="PRY41:PRZ41"/>
    <mergeCell ref="PSA41:PSB41"/>
    <mergeCell ref="PSC41:PSD41"/>
    <mergeCell ref="PSE41:PSF41"/>
    <mergeCell ref="PWW41:PWX41"/>
    <mergeCell ref="PWY41:PWZ41"/>
    <mergeCell ref="PXA41:PXB41"/>
    <mergeCell ref="PXC41:PXD41"/>
    <mergeCell ref="PXE41:PXF41"/>
    <mergeCell ref="PXG41:PXH41"/>
    <mergeCell ref="PWK41:PWL41"/>
    <mergeCell ref="PWM41:PWN41"/>
    <mergeCell ref="PWO41:PWP41"/>
    <mergeCell ref="PWQ41:PWR41"/>
    <mergeCell ref="PWS41:PWT41"/>
    <mergeCell ref="PWU41:PWV41"/>
    <mergeCell ref="PVY41:PVZ41"/>
    <mergeCell ref="PWA41:PWB41"/>
    <mergeCell ref="PWC41:PWD41"/>
    <mergeCell ref="PWE41:PWF41"/>
    <mergeCell ref="PWG41:PWH41"/>
    <mergeCell ref="PWI41:PWJ41"/>
    <mergeCell ref="PVM41:PVN41"/>
    <mergeCell ref="PVO41:PVP41"/>
    <mergeCell ref="PVQ41:PVR41"/>
    <mergeCell ref="PVS41:PVT41"/>
    <mergeCell ref="PVU41:PVV41"/>
    <mergeCell ref="PVW41:PVX41"/>
    <mergeCell ref="PVA41:PVB41"/>
    <mergeCell ref="PVC41:PVD41"/>
    <mergeCell ref="PVE41:PVF41"/>
    <mergeCell ref="PVG41:PVH41"/>
    <mergeCell ref="PVI41:PVJ41"/>
    <mergeCell ref="PVK41:PVL41"/>
    <mergeCell ref="PUO41:PUP41"/>
    <mergeCell ref="PUQ41:PUR41"/>
    <mergeCell ref="PUS41:PUT41"/>
    <mergeCell ref="PUU41:PUV41"/>
    <mergeCell ref="PUW41:PUX41"/>
    <mergeCell ref="PUY41:PUZ41"/>
    <mergeCell ref="PZQ41:PZR41"/>
    <mergeCell ref="PZS41:PZT41"/>
    <mergeCell ref="PZU41:PZV41"/>
    <mergeCell ref="PZW41:PZX41"/>
    <mergeCell ref="PZY41:PZZ41"/>
    <mergeCell ref="QAA41:QAB41"/>
    <mergeCell ref="PZE41:PZF41"/>
    <mergeCell ref="PZG41:PZH41"/>
    <mergeCell ref="PZI41:PZJ41"/>
    <mergeCell ref="PZK41:PZL41"/>
    <mergeCell ref="PZM41:PZN41"/>
    <mergeCell ref="PZO41:PZP41"/>
    <mergeCell ref="PYS41:PYT41"/>
    <mergeCell ref="PYU41:PYV41"/>
    <mergeCell ref="PYW41:PYX41"/>
    <mergeCell ref="PYY41:PYZ41"/>
    <mergeCell ref="PZA41:PZB41"/>
    <mergeCell ref="PZC41:PZD41"/>
    <mergeCell ref="PYG41:PYH41"/>
    <mergeCell ref="PYI41:PYJ41"/>
    <mergeCell ref="PYK41:PYL41"/>
    <mergeCell ref="PYM41:PYN41"/>
    <mergeCell ref="PYO41:PYP41"/>
    <mergeCell ref="PYQ41:PYR41"/>
    <mergeCell ref="PXU41:PXV41"/>
    <mergeCell ref="PXW41:PXX41"/>
    <mergeCell ref="PXY41:PXZ41"/>
    <mergeCell ref="PYA41:PYB41"/>
    <mergeCell ref="PYC41:PYD41"/>
    <mergeCell ref="PYE41:PYF41"/>
    <mergeCell ref="PXI41:PXJ41"/>
    <mergeCell ref="PXK41:PXL41"/>
    <mergeCell ref="PXM41:PXN41"/>
    <mergeCell ref="PXO41:PXP41"/>
    <mergeCell ref="PXQ41:PXR41"/>
    <mergeCell ref="PXS41:PXT41"/>
    <mergeCell ref="QCK41:QCL41"/>
    <mergeCell ref="QCM41:QCN41"/>
    <mergeCell ref="QCO41:QCP41"/>
    <mergeCell ref="QCQ41:QCR41"/>
    <mergeCell ref="QCS41:QCT41"/>
    <mergeCell ref="QCU41:QCV41"/>
    <mergeCell ref="QBY41:QBZ41"/>
    <mergeCell ref="QCA41:QCB41"/>
    <mergeCell ref="QCC41:QCD41"/>
    <mergeCell ref="QCE41:QCF41"/>
    <mergeCell ref="QCG41:QCH41"/>
    <mergeCell ref="QCI41:QCJ41"/>
    <mergeCell ref="QBM41:QBN41"/>
    <mergeCell ref="QBO41:QBP41"/>
    <mergeCell ref="QBQ41:QBR41"/>
    <mergeCell ref="QBS41:QBT41"/>
    <mergeCell ref="QBU41:QBV41"/>
    <mergeCell ref="QBW41:QBX41"/>
    <mergeCell ref="QBA41:QBB41"/>
    <mergeCell ref="QBC41:QBD41"/>
    <mergeCell ref="QBE41:QBF41"/>
    <mergeCell ref="QBG41:QBH41"/>
    <mergeCell ref="QBI41:QBJ41"/>
    <mergeCell ref="QBK41:QBL41"/>
    <mergeCell ref="QAO41:QAP41"/>
    <mergeCell ref="QAQ41:QAR41"/>
    <mergeCell ref="QAS41:QAT41"/>
    <mergeCell ref="QAU41:QAV41"/>
    <mergeCell ref="QAW41:QAX41"/>
    <mergeCell ref="QAY41:QAZ41"/>
    <mergeCell ref="QAC41:QAD41"/>
    <mergeCell ref="QAE41:QAF41"/>
    <mergeCell ref="QAG41:QAH41"/>
    <mergeCell ref="QAI41:QAJ41"/>
    <mergeCell ref="QAK41:QAL41"/>
    <mergeCell ref="QAM41:QAN41"/>
    <mergeCell ref="QFE41:QFF41"/>
    <mergeCell ref="QFG41:QFH41"/>
    <mergeCell ref="QFI41:QFJ41"/>
    <mergeCell ref="QFK41:QFL41"/>
    <mergeCell ref="QFM41:QFN41"/>
    <mergeCell ref="QFO41:QFP41"/>
    <mergeCell ref="QES41:QET41"/>
    <mergeCell ref="QEU41:QEV41"/>
    <mergeCell ref="QEW41:QEX41"/>
    <mergeCell ref="QEY41:QEZ41"/>
    <mergeCell ref="QFA41:QFB41"/>
    <mergeCell ref="QFC41:QFD41"/>
    <mergeCell ref="QEG41:QEH41"/>
    <mergeCell ref="QEI41:QEJ41"/>
    <mergeCell ref="QEK41:QEL41"/>
    <mergeCell ref="QEM41:QEN41"/>
    <mergeCell ref="QEO41:QEP41"/>
    <mergeCell ref="QEQ41:QER41"/>
    <mergeCell ref="QDU41:QDV41"/>
    <mergeCell ref="QDW41:QDX41"/>
    <mergeCell ref="QDY41:QDZ41"/>
    <mergeCell ref="QEA41:QEB41"/>
    <mergeCell ref="QEC41:QED41"/>
    <mergeCell ref="QEE41:QEF41"/>
    <mergeCell ref="QDI41:QDJ41"/>
    <mergeCell ref="QDK41:QDL41"/>
    <mergeCell ref="QDM41:QDN41"/>
    <mergeCell ref="QDO41:QDP41"/>
    <mergeCell ref="QDQ41:QDR41"/>
    <mergeCell ref="QDS41:QDT41"/>
    <mergeCell ref="QCW41:QCX41"/>
    <mergeCell ref="QCY41:QCZ41"/>
    <mergeCell ref="QDA41:QDB41"/>
    <mergeCell ref="QDC41:QDD41"/>
    <mergeCell ref="QDE41:QDF41"/>
    <mergeCell ref="QDG41:QDH41"/>
    <mergeCell ref="QHY41:QHZ41"/>
    <mergeCell ref="QIA41:QIB41"/>
    <mergeCell ref="QIC41:QID41"/>
    <mergeCell ref="QIE41:QIF41"/>
    <mergeCell ref="QIG41:QIH41"/>
    <mergeCell ref="QII41:QIJ41"/>
    <mergeCell ref="QHM41:QHN41"/>
    <mergeCell ref="QHO41:QHP41"/>
    <mergeCell ref="QHQ41:QHR41"/>
    <mergeCell ref="QHS41:QHT41"/>
    <mergeCell ref="QHU41:QHV41"/>
    <mergeCell ref="QHW41:QHX41"/>
    <mergeCell ref="QHA41:QHB41"/>
    <mergeCell ref="QHC41:QHD41"/>
    <mergeCell ref="QHE41:QHF41"/>
    <mergeCell ref="QHG41:QHH41"/>
    <mergeCell ref="QHI41:QHJ41"/>
    <mergeCell ref="QHK41:QHL41"/>
    <mergeCell ref="QGO41:QGP41"/>
    <mergeCell ref="QGQ41:QGR41"/>
    <mergeCell ref="QGS41:QGT41"/>
    <mergeCell ref="QGU41:QGV41"/>
    <mergeCell ref="QGW41:QGX41"/>
    <mergeCell ref="QGY41:QGZ41"/>
    <mergeCell ref="QGC41:QGD41"/>
    <mergeCell ref="QGE41:QGF41"/>
    <mergeCell ref="QGG41:QGH41"/>
    <mergeCell ref="QGI41:QGJ41"/>
    <mergeCell ref="QGK41:QGL41"/>
    <mergeCell ref="QGM41:QGN41"/>
    <mergeCell ref="QFQ41:QFR41"/>
    <mergeCell ref="QFS41:QFT41"/>
    <mergeCell ref="QFU41:QFV41"/>
    <mergeCell ref="QFW41:QFX41"/>
    <mergeCell ref="QFY41:QFZ41"/>
    <mergeCell ref="QGA41:QGB41"/>
    <mergeCell ref="QKS41:QKT41"/>
    <mergeCell ref="QKU41:QKV41"/>
    <mergeCell ref="QKW41:QKX41"/>
    <mergeCell ref="QKY41:QKZ41"/>
    <mergeCell ref="QLA41:QLB41"/>
    <mergeCell ref="QLC41:QLD41"/>
    <mergeCell ref="QKG41:QKH41"/>
    <mergeCell ref="QKI41:QKJ41"/>
    <mergeCell ref="QKK41:QKL41"/>
    <mergeCell ref="QKM41:QKN41"/>
    <mergeCell ref="QKO41:QKP41"/>
    <mergeCell ref="QKQ41:QKR41"/>
    <mergeCell ref="QJU41:QJV41"/>
    <mergeCell ref="QJW41:QJX41"/>
    <mergeCell ref="QJY41:QJZ41"/>
    <mergeCell ref="QKA41:QKB41"/>
    <mergeCell ref="QKC41:QKD41"/>
    <mergeCell ref="QKE41:QKF41"/>
    <mergeCell ref="QJI41:QJJ41"/>
    <mergeCell ref="QJK41:QJL41"/>
    <mergeCell ref="QJM41:QJN41"/>
    <mergeCell ref="QJO41:QJP41"/>
    <mergeCell ref="QJQ41:QJR41"/>
    <mergeCell ref="QJS41:QJT41"/>
    <mergeCell ref="QIW41:QIX41"/>
    <mergeCell ref="QIY41:QIZ41"/>
    <mergeCell ref="QJA41:QJB41"/>
    <mergeCell ref="QJC41:QJD41"/>
    <mergeCell ref="QJE41:QJF41"/>
    <mergeCell ref="QJG41:QJH41"/>
    <mergeCell ref="QIK41:QIL41"/>
    <mergeCell ref="QIM41:QIN41"/>
    <mergeCell ref="QIO41:QIP41"/>
    <mergeCell ref="QIQ41:QIR41"/>
    <mergeCell ref="QIS41:QIT41"/>
    <mergeCell ref="QIU41:QIV41"/>
    <mergeCell ref="QNM41:QNN41"/>
    <mergeCell ref="QNO41:QNP41"/>
    <mergeCell ref="QNQ41:QNR41"/>
    <mergeCell ref="QNS41:QNT41"/>
    <mergeCell ref="QNU41:QNV41"/>
    <mergeCell ref="QNW41:QNX41"/>
    <mergeCell ref="QNA41:QNB41"/>
    <mergeCell ref="QNC41:QND41"/>
    <mergeCell ref="QNE41:QNF41"/>
    <mergeCell ref="QNG41:QNH41"/>
    <mergeCell ref="QNI41:QNJ41"/>
    <mergeCell ref="QNK41:QNL41"/>
    <mergeCell ref="QMO41:QMP41"/>
    <mergeCell ref="QMQ41:QMR41"/>
    <mergeCell ref="QMS41:QMT41"/>
    <mergeCell ref="QMU41:QMV41"/>
    <mergeCell ref="QMW41:QMX41"/>
    <mergeCell ref="QMY41:QMZ41"/>
    <mergeCell ref="QMC41:QMD41"/>
    <mergeCell ref="QME41:QMF41"/>
    <mergeCell ref="QMG41:QMH41"/>
    <mergeCell ref="QMI41:QMJ41"/>
    <mergeCell ref="QMK41:QML41"/>
    <mergeCell ref="QMM41:QMN41"/>
    <mergeCell ref="QLQ41:QLR41"/>
    <mergeCell ref="QLS41:QLT41"/>
    <mergeCell ref="QLU41:QLV41"/>
    <mergeCell ref="QLW41:QLX41"/>
    <mergeCell ref="QLY41:QLZ41"/>
    <mergeCell ref="QMA41:QMB41"/>
    <mergeCell ref="QLE41:QLF41"/>
    <mergeCell ref="QLG41:QLH41"/>
    <mergeCell ref="QLI41:QLJ41"/>
    <mergeCell ref="QLK41:QLL41"/>
    <mergeCell ref="QLM41:QLN41"/>
    <mergeCell ref="QLO41:QLP41"/>
    <mergeCell ref="QQG41:QQH41"/>
    <mergeCell ref="QQI41:QQJ41"/>
    <mergeCell ref="QQK41:QQL41"/>
    <mergeCell ref="QQM41:QQN41"/>
    <mergeCell ref="QQO41:QQP41"/>
    <mergeCell ref="QQQ41:QQR41"/>
    <mergeCell ref="QPU41:QPV41"/>
    <mergeCell ref="QPW41:QPX41"/>
    <mergeCell ref="QPY41:QPZ41"/>
    <mergeCell ref="QQA41:QQB41"/>
    <mergeCell ref="QQC41:QQD41"/>
    <mergeCell ref="QQE41:QQF41"/>
    <mergeCell ref="QPI41:QPJ41"/>
    <mergeCell ref="QPK41:QPL41"/>
    <mergeCell ref="QPM41:QPN41"/>
    <mergeCell ref="QPO41:QPP41"/>
    <mergeCell ref="QPQ41:QPR41"/>
    <mergeCell ref="QPS41:QPT41"/>
    <mergeCell ref="QOW41:QOX41"/>
    <mergeCell ref="QOY41:QOZ41"/>
    <mergeCell ref="QPA41:QPB41"/>
    <mergeCell ref="QPC41:QPD41"/>
    <mergeCell ref="QPE41:QPF41"/>
    <mergeCell ref="QPG41:QPH41"/>
    <mergeCell ref="QOK41:QOL41"/>
    <mergeCell ref="QOM41:QON41"/>
    <mergeCell ref="QOO41:QOP41"/>
    <mergeCell ref="QOQ41:QOR41"/>
    <mergeCell ref="QOS41:QOT41"/>
    <mergeCell ref="QOU41:QOV41"/>
    <mergeCell ref="QNY41:QNZ41"/>
    <mergeCell ref="QOA41:QOB41"/>
    <mergeCell ref="QOC41:QOD41"/>
    <mergeCell ref="QOE41:QOF41"/>
    <mergeCell ref="QOG41:QOH41"/>
    <mergeCell ref="QOI41:QOJ41"/>
    <mergeCell ref="QTA41:QTB41"/>
    <mergeCell ref="QTC41:QTD41"/>
    <mergeCell ref="QTE41:QTF41"/>
    <mergeCell ref="QTG41:QTH41"/>
    <mergeCell ref="QTI41:QTJ41"/>
    <mergeCell ref="QTK41:QTL41"/>
    <mergeCell ref="QSO41:QSP41"/>
    <mergeCell ref="QSQ41:QSR41"/>
    <mergeCell ref="QSS41:QST41"/>
    <mergeCell ref="QSU41:QSV41"/>
    <mergeCell ref="QSW41:QSX41"/>
    <mergeCell ref="QSY41:QSZ41"/>
    <mergeCell ref="QSC41:QSD41"/>
    <mergeCell ref="QSE41:QSF41"/>
    <mergeCell ref="QSG41:QSH41"/>
    <mergeCell ref="QSI41:QSJ41"/>
    <mergeCell ref="QSK41:QSL41"/>
    <mergeCell ref="QSM41:QSN41"/>
    <mergeCell ref="QRQ41:QRR41"/>
    <mergeCell ref="QRS41:QRT41"/>
    <mergeCell ref="QRU41:QRV41"/>
    <mergeCell ref="QRW41:QRX41"/>
    <mergeCell ref="QRY41:QRZ41"/>
    <mergeCell ref="QSA41:QSB41"/>
    <mergeCell ref="QRE41:QRF41"/>
    <mergeCell ref="QRG41:QRH41"/>
    <mergeCell ref="QRI41:QRJ41"/>
    <mergeCell ref="QRK41:QRL41"/>
    <mergeCell ref="QRM41:QRN41"/>
    <mergeCell ref="QRO41:QRP41"/>
    <mergeCell ref="QQS41:QQT41"/>
    <mergeCell ref="QQU41:QQV41"/>
    <mergeCell ref="QQW41:QQX41"/>
    <mergeCell ref="QQY41:QQZ41"/>
    <mergeCell ref="QRA41:QRB41"/>
    <mergeCell ref="QRC41:QRD41"/>
    <mergeCell ref="QVU41:QVV41"/>
    <mergeCell ref="QVW41:QVX41"/>
    <mergeCell ref="QVY41:QVZ41"/>
    <mergeCell ref="QWA41:QWB41"/>
    <mergeCell ref="QWC41:QWD41"/>
    <mergeCell ref="QWE41:QWF41"/>
    <mergeCell ref="QVI41:QVJ41"/>
    <mergeCell ref="QVK41:QVL41"/>
    <mergeCell ref="QVM41:QVN41"/>
    <mergeCell ref="QVO41:QVP41"/>
    <mergeCell ref="QVQ41:QVR41"/>
    <mergeCell ref="QVS41:QVT41"/>
    <mergeCell ref="QUW41:QUX41"/>
    <mergeCell ref="QUY41:QUZ41"/>
    <mergeCell ref="QVA41:QVB41"/>
    <mergeCell ref="QVC41:QVD41"/>
    <mergeCell ref="QVE41:QVF41"/>
    <mergeCell ref="QVG41:QVH41"/>
    <mergeCell ref="QUK41:QUL41"/>
    <mergeCell ref="QUM41:QUN41"/>
    <mergeCell ref="QUO41:QUP41"/>
    <mergeCell ref="QUQ41:QUR41"/>
    <mergeCell ref="QUS41:QUT41"/>
    <mergeCell ref="QUU41:QUV41"/>
    <mergeCell ref="QTY41:QTZ41"/>
    <mergeCell ref="QUA41:QUB41"/>
    <mergeCell ref="QUC41:QUD41"/>
    <mergeCell ref="QUE41:QUF41"/>
    <mergeCell ref="QUG41:QUH41"/>
    <mergeCell ref="QUI41:QUJ41"/>
    <mergeCell ref="QTM41:QTN41"/>
    <mergeCell ref="QTO41:QTP41"/>
    <mergeCell ref="QTQ41:QTR41"/>
    <mergeCell ref="QTS41:QTT41"/>
    <mergeCell ref="QTU41:QTV41"/>
    <mergeCell ref="QTW41:QTX41"/>
    <mergeCell ref="QYO41:QYP41"/>
    <mergeCell ref="QYQ41:QYR41"/>
    <mergeCell ref="QYS41:QYT41"/>
    <mergeCell ref="QYU41:QYV41"/>
    <mergeCell ref="QYW41:QYX41"/>
    <mergeCell ref="QYY41:QYZ41"/>
    <mergeCell ref="QYC41:QYD41"/>
    <mergeCell ref="QYE41:QYF41"/>
    <mergeCell ref="QYG41:QYH41"/>
    <mergeCell ref="QYI41:QYJ41"/>
    <mergeCell ref="QYK41:QYL41"/>
    <mergeCell ref="QYM41:QYN41"/>
    <mergeCell ref="QXQ41:QXR41"/>
    <mergeCell ref="QXS41:QXT41"/>
    <mergeCell ref="QXU41:QXV41"/>
    <mergeCell ref="QXW41:QXX41"/>
    <mergeCell ref="QXY41:QXZ41"/>
    <mergeCell ref="QYA41:QYB41"/>
    <mergeCell ref="QXE41:QXF41"/>
    <mergeCell ref="QXG41:QXH41"/>
    <mergeCell ref="QXI41:QXJ41"/>
    <mergeCell ref="QXK41:QXL41"/>
    <mergeCell ref="QXM41:QXN41"/>
    <mergeCell ref="QXO41:QXP41"/>
    <mergeCell ref="QWS41:QWT41"/>
    <mergeCell ref="QWU41:QWV41"/>
    <mergeCell ref="QWW41:QWX41"/>
    <mergeCell ref="QWY41:QWZ41"/>
    <mergeCell ref="QXA41:QXB41"/>
    <mergeCell ref="QXC41:QXD41"/>
    <mergeCell ref="QWG41:QWH41"/>
    <mergeCell ref="QWI41:QWJ41"/>
    <mergeCell ref="QWK41:QWL41"/>
    <mergeCell ref="QWM41:QWN41"/>
    <mergeCell ref="QWO41:QWP41"/>
    <mergeCell ref="QWQ41:QWR41"/>
    <mergeCell ref="RBI41:RBJ41"/>
    <mergeCell ref="RBK41:RBL41"/>
    <mergeCell ref="RBM41:RBN41"/>
    <mergeCell ref="RBO41:RBP41"/>
    <mergeCell ref="RBQ41:RBR41"/>
    <mergeCell ref="RBS41:RBT41"/>
    <mergeCell ref="RAW41:RAX41"/>
    <mergeCell ref="RAY41:RAZ41"/>
    <mergeCell ref="RBA41:RBB41"/>
    <mergeCell ref="RBC41:RBD41"/>
    <mergeCell ref="RBE41:RBF41"/>
    <mergeCell ref="RBG41:RBH41"/>
    <mergeCell ref="RAK41:RAL41"/>
    <mergeCell ref="RAM41:RAN41"/>
    <mergeCell ref="RAO41:RAP41"/>
    <mergeCell ref="RAQ41:RAR41"/>
    <mergeCell ref="RAS41:RAT41"/>
    <mergeCell ref="RAU41:RAV41"/>
    <mergeCell ref="QZY41:QZZ41"/>
    <mergeCell ref="RAA41:RAB41"/>
    <mergeCell ref="RAC41:RAD41"/>
    <mergeCell ref="RAE41:RAF41"/>
    <mergeCell ref="RAG41:RAH41"/>
    <mergeCell ref="RAI41:RAJ41"/>
    <mergeCell ref="QZM41:QZN41"/>
    <mergeCell ref="QZO41:QZP41"/>
    <mergeCell ref="QZQ41:QZR41"/>
    <mergeCell ref="QZS41:QZT41"/>
    <mergeCell ref="QZU41:QZV41"/>
    <mergeCell ref="QZW41:QZX41"/>
    <mergeCell ref="QZA41:QZB41"/>
    <mergeCell ref="QZC41:QZD41"/>
    <mergeCell ref="QZE41:QZF41"/>
    <mergeCell ref="QZG41:QZH41"/>
    <mergeCell ref="QZI41:QZJ41"/>
    <mergeCell ref="QZK41:QZL41"/>
    <mergeCell ref="REC41:RED41"/>
    <mergeCell ref="REE41:REF41"/>
    <mergeCell ref="REG41:REH41"/>
    <mergeCell ref="REI41:REJ41"/>
    <mergeCell ref="REK41:REL41"/>
    <mergeCell ref="REM41:REN41"/>
    <mergeCell ref="RDQ41:RDR41"/>
    <mergeCell ref="RDS41:RDT41"/>
    <mergeCell ref="RDU41:RDV41"/>
    <mergeCell ref="RDW41:RDX41"/>
    <mergeCell ref="RDY41:RDZ41"/>
    <mergeCell ref="REA41:REB41"/>
    <mergeCell ref="RDE41:RDF41"/>
    <mergeCell ref="RDG41:RDH41"/>
    <mergeCell ref="RDI41:RDJ41"/>
    <mergeCell ref="RDK41:RDL41"/>
    <mergeCell ref="RDM41:RDN41"/>
    <mergeCell ref="RDO41:RDP41"/>
    <mergeCell ref="RCS41:RCT41"/>
    <mergeCell ref="RCU41:RCV41"/>
    <mergeCell ref="RCW41:RCX41"/>
    <mergeCell ref="RCY41:RCZ41"/>
    <mergeCell ref="RDA41:RDB41"/>
    <mergeCell ref="RDC41:RDD41"/>
    <mergeCell ref="RCG41:RCH41"/>
    <mergeCell ref="RCI41:RCJ41"/>
    <mergeCell ref="RCK41:RCL41"/>
    <mergeCell ref="RCM41:RCN41"/>
    <mergeCell ref="RCO41:RCP41"/>
    <mergeCell ref="RCQ41:RCR41"/>
    <mergeCell ref="RBU41:RBV41"/>
    <mergeCell ref="RBW41:RBX41"/>
    <mergeCell ref="RBY41:RBZ41"/>
    <mergeCell ref="RCA41:RCB41"/>
    <mergeCell ref="RCC41:RCD41"/>
    <mergeCell ref="RCE41:RCF41"/>
    <mergeCell ref="RGW41:RGX41"/>
    <mergeCell ref="RGY41:RGZ41"/>
    <mergeCell ref="RHA41:RHB41"/>
    <mergeCell ref="RHC41:RHD41"/>
    <mergeCell ref="RHE41:RHF41"/>
    <mergeCell ref="RHG41:RHH41"/>
    <mergeCell ref="RGK41:RGL41"/>
    <mergeCell ref="RGM41:RGN41"/>
    <mergeCell ref="RGO41:RGP41"/>
    <mergeCell ref="RGQ41:RGR41"/>
    <mergeCell ref="RGS41:RGT41"/>
    <mergeCell ref="RGU41:RGV41"/>
    <mergeCell ref="RFY41:RFZ41"/>
    <mergeCell ref="RGA41:RGB41"/>
    <mergeCell ref="RGC41:RGD41"/>
    <mergeCell ref="RGE41:RGF41"/>
    <mergeCell ref="RGG41:RGH41"/>
    <mergeCell ref="RGI41:RGJ41"/>
    <mergeCell ref="RFM41:RFN41"/>
    <mergeCell ref="RFO41:RFP41"/>
    <mergeCell ref="RFQ41:RFR41"/>
    <mergeCell ref="RFS41:RFT41"/>
    <mergeCell ref="RFU41:RFV41"/>
    <mergeCell ref="RFW41:RFX41"/>
    <mergeCell ref="RFA41:RFB41"/>
    <mergeCell ref="RFC41:RFD41"/>
    <mergeCell ref="RFE41:RFF41"/>
    <mergeCell ref="RFG41:RFH41"/>
    <mergeCell ref="RFI41:RFJ41"/>
    <mergeCell ref="RFK41:RFL41"/>
    <mergeCell ref="REO41:REP41"/>
    <mergeCell ref="REQ41:RER41"/>
    <mergeCell ref="RES41:RET41"/>
    <mergeCell ref="REU41:REV41"/>
    <mergeCell ref="REW41:REX41"/>
    <mergeCell ref="REY41:REZ41"/>
    <mergeCell ref="RJQ41:RJR41"/>
    <mergeCell ref="RJS41:RJT41"/>
    <mergeCell ref="RJU41:RJV41"/>
    <mergeCell ref="RJW41:RJX41"/>
    <mergeCell ref="RJY41:RJZ41"/>
    <mergeCell ref="RKA41:RKB41"/>
    <mergeCell ref="RJE41:RJF41"/>
    <mergeCell ref="RJG41:RJH41"/>
    <mergeCell ref="RJI41:RJJ41"/>
    <mergeCell ref="RJK41:RJL41"/>
    <mergeCell ref="RJM41:RJN41"/>
    <mergeCell ref="RJO41:RJP41"/>
    <mergeCell ref="RIS41:RIT41"/>
    <mergeCell ref="RIU41:RIV41"/>
    <mergeCell ref="RIW41:RIX41"/>
    <mergeCell ref="RIY41:RIZ41"/>
    <mergeCell ref="RJA41:RJB41"/>
    <mergeCell ref="RJC41:RJD41"/>
    <mergeCell ref="RIG41:RIH41"/>
    <mergeCell ref="RII41:RIJ41"/>
    <mergeCell ref="RIK41:RIL41"/>
    <mergeCell ref="RIM41:RIN41"/>
    <mergeCell ref="RIO41:RIP41"/>
    <mergeCell ref="RIQ41:RIR41"/>
    <mergeCell ref="RHU41:RHV41"/>
    <mergeCell ref="RHW41:RHX41"/>
    <mergeCell ref="RHY41:RHZ41"/>
    <mergeCell ref="RIA41:RIB41"/>
    <mergeCell ref="RIC41:RID41"/>
    <mergeCell ref="RIE41:RIF41"/>
    <mergeCell ref="RHI41:RHJ41"/>
    <mergeCell ref="RHK41:RHL41"/>
    <mergeCell ref="RHM41:RHN41"/>
    <mergeCell ref="RHO41:RHP41"/>
    <mergeCell ref="RHQ41:RHR41"/>
    <mergeCell ref="RHS41:RHT41"/>
    <mergeCell ref="RMK41:RML41"/>
    <mergeCell ref="RMM41:RMN41"/>
    <mergeCell ref="RMO41:RMP41"/>
    <mergeCell ref="RMQ41:RMR41"/>
    <mergeCell ref="RMS41:RMT41"/>
    <mergeCell ref="RMU41:RMV41"/>
    <mergeCell ref="RLY41:RLZ41"/>
    <mergeCell ref="RMA41:RMB41"/>
    <mergeCell ref="RMC41:RMD41"/>
    <mergeCell ref="RME41:RMF41"/>
    <mergeCell ref="RMG41:RMH41"/>
    <mergeCell ref="RMI41:RMJ41"/>
    <mergeCell ref="RLM41:RLN41"/>
    <mergeCell ref="RLO41:RLP41"/>
    <mergeCell ref="RLQ41:RLR41"/>
    <mergeCell ref="RLS41:RLT41"/>
    <mergeCell ref="RLU41:RLV41"/>
    <mergeCell ref="RLW41:RLX41"/>
    <mergeCell ref="RLA41:RLB41"/>
    <mergeCell ref="RLC41:RLD41"/>
    <mergeCell ref="RLE41:RLF41"/>
    <mergeCell ref="RLG41:RLH41"/>
    <mergeCell ref="RLI41:RLJ41"/>
    <mergeCell ref="RLK41:RLL41"/>
    <mergeCell ref="RKO41:RKP41"/>
    <mergeCell ref="RKQ41:RKR41"/>
    <mergeCell ref="RKS41:RKT41"/>
    <mergeCell ref="RKU41:RKV41"/>
    <mergeCell ref="RKW41:RKX41"/>
    <mergeCell ref="RKY41:RKZ41"/>
    <mergeCell ref="RKC41:RKD41"/>
    <mergeCell ref="RKE41:RKF41"/>
    <mergeCell ref="RKG41:RKH41"/>
    <mergeCell ref="RKI41:RKJ41"/>
    <mergeCell ref="RKK41:RKL41"/>
    <mergeCell ref="RKM41:RKN41"/>
    <mergeCell ref="RPE41:RPF41"/>
    <mergeCell ref="RPG41:RPH41"/>
    <mergeCell ref="RPI41:RPJ41"/>
    <mergeCell ref="RPK41:RPL41"/>
    <mergeCell ref="RPM41:RPN41"/>
    <mergeCell ref="RPO41:RPP41"/>
    <mergeCell ref="ROS41:ROT41"/>
    <mergeCell ref="ROU41:ROV41"/>
    <mergeCell ref="ROW41:ROX41"/>
    <mergeCell ref="ROY41:ROZ41"/>
    <mergeCell ref="RPA41:RPB41"/>
    <mergeCell ref="RPC41:RPD41"/>
    <mergeCell ref="ROG41:ROH41"/>
    <mergeCell ref="ROI41:ROJ41"/>
    <mergeCell ref="ROK41:ROL41"/>
    <mergeCell ref="ROM41:RON41"/>
    <mergeCell ref="ROO41:ROP41"/>
    <mergeCell ref="ROQ41:ROR41"/>
    <mergeCell ref="RNU41:RNV41"/>
    <mergeCell ref="RNW41:RNX41"/>
    <mergeCell ref="RNY41:RNZ41"/>
    <mergeCell ref="ROA41:ROB41"/>
    <mergeCell ref="ROC41:ROD41"/>
    <mergeCell ref="ROE41:ROF41"/>
    <mergeCell ref="RNI41:RNJ41"/>
    <mergeCell ref="RNK41:RNL41"/>
    <mergeCell ref="RNM41:RNN41"/>
    <mergeCell ref="RNO41:RNP41"/>
    <mergeCell ref="RNQ41:RNR41"/>
    <mergeCell ref="RNS41:RNT41"/>
    <mergeCell ref="RMW41:RMX41"/>
    <mergeCell ref="RMY41:RMZ41"/>
    <mergeCell ref="RNA41:RNB41"/>
    <mergeCell ref="RNC41:RND41"/>
    <mergeCell ref="RNE41:RNF41"/>
    <mergeCell ref="RNG41:RNH41"/>
    <mergeCell ref="RRY41:RRZ41"/>
    <mergeCell ref="RSA41:RSB41"/>
    <mergeCell ref="RSC41:RSD41"/>
    <mergeCell ref="RSE41:RSF41"/>
    <mergeCell ref="RSG41:RSH41"/>
    <mergeCell ref="RSI41:RSJ41"/>
    <mergeCell ref="RRM41:RRN41"/>
    <mergeCell ref="RRO41:RRP41"/>
    <mergeCell ref="RRQ41:RRR41"/>
    <mergeCell ref="RRS41:RRT41"/>
    <mergeCell ref="RRU41:RRV41"/>
    <mergeCell ref="RRW41:RRX41"/>
    <mergeCell ref="RRA41:RRB41"/>
    <mergeCell ref="RRC41:RRD41"/>
    <mergeCell ref="RRE41:RRF41"/>
    <mergeCell ref="RRG41:RRH41"/>
    <mergeCell ref="RRI41:RRJ41"/>
    <mergeCell ref="RRK41:RRL41"/>
    <mergeCell ref="RQO41:RQP41"/>
    <mergeCell ref="RQQ41:RQR41"/>
    <mergeCell ref="RQS41:RQT41"/>
    <mergeCell ref="RQU41:RQV41"/>
    <mergeCell ref="RQW41:RQX41"/>
    <mergeCell ref="RQY41:RQZ41"/>
    <mergeCell ref="RQC41:RQD41"/>
    <mergeCell ref="RQE41:RQF41"/>
    <mergeCell ref="RQG41:RQH41"/>
    <mergeCell ref="RQI41:RQJ41"/>
    <mergeCell ref="RQK41:RQL41"/>
    <mergeCell ref="RQM41:RQN41"/>
    <mergeCell ref="RPQ41:RPR41"/>
    <mergeCell ref="RPS41:RPT41"/>
    <mergeCell ref="RPU41:RPV41"/>
    <mergeCell ref="RPW41:RPX41"/>
    <mergeCell ref="RPY41:RPZ41"/>
    <mergeCell ref="RQA41:RQB41"/>
    <mergeCell ref="RUS41:RUT41"/>
    <mergeCell ref="RUU41:RUV41"/>
    <mergeCell ref="RUW41:RUX41"/>
    <mergeCell ref="RUY41:RUZ41"/>
    <mergeCell ref="RVA41:RVB41"/>
    <mergeCell ref="RVC41:RVD41"/>
    <mergeCell ref="RUG41:RUH41"/>
    <mergeCell ref="RUI41:RUJ41"/>
    <mergeCell ref="RUK41:RUL41"/>
    <mergeCell ref="RUM41:RUN41"/>
    <mergeCell ref="RUO41:RUP41"/>
    <mergeCell ref="RUQ41:RUR41"/>
    <mergeCell ref="RTU41:RTV41"/>
    <mergeCell ref="RTW41:RTX41"/>
    <mergeCell ref="RTY41:RTZ41"/>
    <mergeCell ref="RUA41:RUB41"/>
    <mergeCell ref="RUC41:RUD41"/>
    <mergeCell ref="RUE41:RUF41"/>
    <mergeCell ref="RTI41:RTJ41"/>
    <mergeCell ref="RTK41:RTL41"/>
    <mergeCell ref="RTM41:RTN41"/>
    <mergeCell ref="RTO41:RTP41"/>
    <mergeCell ref="RTQ41:RTR41"/>
    <mergeCell ref="RTS41:RTT41"/>
    <mergeCell ref="RSW41:RSX41"/>
    <mergeCell ref="RSY41:RSZ41"/>
    <mergeCell ref="RTA41:RTB41"/>
    <mergeCell ref="RTC41:RTD41"/>
    <mergeCell ref="RTE41:RTF41"/>
    <mergeCell ref="RTG41:RTH41"/>
    <mergeCell ref="RSK41:RSL41"/>
    <mergeCell ref="RSM41:RSN41"/>
    <mergeCell ref="RSO41:RSP41"/>
    <mergeCell ref="RSQ41:RSR41"/>
    <mergeCell ref="RSS41:RST41"/>
    <mergeCell ref="RSU41:RSV41"/>
    <mergeCell ref="RXM41:RXN41"/>
    <mergeCell ref="RXO41:RXP41"/>
    <mergeCell ref="RXQ41:RXR41"/>
    <mergeCell ref="RXS41:RXT41"/>
    <mergeCell ref="RXU41:RXV41"/>
    <mergeCell ref="RXW41:RXX41"/>
    <mergeCell ref="RXA41:RXB41"/>
    <mergeCell ref="RXC41:RXD41"/>
    <mergeCell ref="RXE41:RXF41"/>
    <mergeCell ref="RXG41:RXH41"/>
    <mergeCell ref="RXI41:RXJ41"/>
    <mergeCell ref="RXK41:RXL41"/>
    <mergeCell ref="RWO41:RWP41"/>
    <mergeCell ref="RWQ41:RWR41"/>
    <mergeCell ref="RWS41:RWT41"/>
    <mergeCell ref="RWU41:RWV41"/>
    <mergeCell ref="RWW41:RWX41"/>
    <mergeCell ref="RWY41:RWZ41"/>
    <mergeCell ref="RWC41:RWD41"/>
    <mergeCell ref="RWE41:RWF41"/>
    <mergeCell ref="RWG41:RWH41"/>
    <mergeCell ref="RWI41:RWJ41"/>
    <mergeCell ref="RWK41:RWL41"/>
    <mergeCell ref="RWM41:RWN41"/>
    <mergeCell ref="RVQ41:RVR41"/>
    <mergeCell ref="RVS41:RVT41"/>
    <mergeCell ref="RVU41:RVV41"/>
    <mergeCell ref="RVW41:RVX41"/>
    <mergeCell ref="RVY41:RVZ41"/>
    <mergeCell ref="RWA41:RWB41"/>
    <mergeCell ref="RVE41:RVF41"/>
    <mergeCell ref="RVG41:RVH41"/>
    <mergeCell ref="RVI41:RVJ41"/>
    <mergeCell ref="RVK41:RVL41"/>
    <mergeCell ref="RVM41:RVN41"/>
    <mergeCell ref="RVO41:RVP41"/>
    <mergeCell ref="SAG41:SAH41"/>
    <mergeCell ref="SAI41:SAJ41"/>
    <mergeCell ref="SAK41:SAL41"/>
    <mergeCell ref="SAM41:SAN41"/>
    <mergeCell ref="SAO41:SAP41"/>
    <mergeCell ref="SAQ41:SAR41"/>
    <mergeCell ref="RZU41:RZV41"/>
    <mergeCell ref="RZW41:RZX41"/>
    <mergeCell ref="RZY41:RZZ41"/>
    <mergeCell ref="SAA41:SAB41"/>
    <mergeCell ref="SAC41:SAD41"/>
    <mergeCell ref="SAE41:SAF41"/>
    <mergeCell ref="RZI41:RZJ41"/>
    <mergeCell ref="RZK41:RZL41"/>
    <mergeCell ref="RZM41:RZN41"/>
    <mergeCell ref="RZO41:RZP41"/>
    <mergeCell ref="RZQ41:RZR41"/>
    <mergeCell ref="RZS41:RZT41"/>
    <mergeCell ref="RYW41:RYX41"/>
    <mergeCell ref="RYY41:RYZ41"/>
    <mergeCell ref="RZA41:RZB41"/>
    <mergeCell ref="RZC41:RZD41"/>
    <mergeCell ref="RZE41:RZF41"/>
    <mergeCell ref="RZG41:RZH41"/>
    <mergeCell ref="RYK41:RYL41"/>
    <mergeCell ref="RYM41:RYN41"/>
    <mergeCell ref="RYO41:RYP41"/>
    <mergeCell ref="RYQ41:RYR41"/>
    <mergeCell ref="RYS41:RYT41"/>
    <mergeCell ref="RYU41:RYV41"/>
    <mergeCell ref="RXY41:RXZ41"/>
    <mergeCell ref="RYA41:RYB41"/>
    <mergeCell ref="RYC41:RYD41"/>
    <mergeCell ref="RYE41:RYF41"/>
    <mergeCell ref="RYG41:RYH41"/>
    <mergeCell ref="RYI41:RYJ41"/>
    <mergeCell ref="SDA41:SDB41"/>
    <mergeCell ref="SDC41:SDD41"/>
    <mergeCell ref="SDE41:SDF41"/>
    <mergeCell ref="SDG41:SDH41"/>
    <mergeCell ref="SDI41:SDJ41"/>
    <mergeCell ref="SDK41:SDL41"/>
    <mergeCell ref="SCO41:SCP41"/>
    <mergeCell ref="SCQ41:SCR41"/>
    <mergeCell ref="SCS41:SCT41"/>
    <mergeCell ref="SCU41:SCV41"/>
    <mergeCell ref="SCW41:SCX41"/>
    <mergeCell ref="SCY41:SCZ41"/>
    <mergeCell ref="SCC41:SCD41"/>
    <mergeCell ref="SCE41:SCF41"/>
    <mergeCell ref="SCG41:SCH41"/>
    <mergeCell ref="SCI41:SCJ41"/>
    <mergeCell ref="SCK41:SCL41"/>
    <mergeCell ref="SCM41:SCN41"/>
    <mergeCell ref="SBQ41:SBR41"/>
    <mergeCell ref="SBS41:SBT41"/>
    <mergeCell ref="SBU41:SBV41"/>
    <mergeCell ref="SBW41:SBX41"/>
    <mergeCell ref="SBY41:SBZ41"/>
    <mergeCell ref="SCA41:SCB41"/>
    <mergeCell ref="SBE41:SBF41"/>
    <mergeCell ref="SBG41:SBH41"/>
    <mergeCell ref="SBI41:SBJ41"/>
    <mergeCell ref="SBK41:SBL41"/>
    <mergeCell ref="SBM41:SBN41"/>
    <mergeCell ref="SBO41:SBP41"/>
    <mergeCell ref="SAS41:SAT41"/>
    <mergeCell ref="SAU41:SAV41"/>
    <mergeCell ref="SAW41:SAX41"/>
    <mergeCell ref="SAY41:SAZ41"/>
    <mergeCell ref="SBA41:SBB41"/>
    <mergeCell ref="SBC41:SBD41"/>
    <mergeCell ref="SFU41:SFV41"/>
    <mergeCell ref="SFW41:SFX41"/>
    <mergeCell ref="SFY41:SFZ41"/>
    <mergeCell ref="SGA41:SGB41"/>
    <mergeCell ref="SGC41:SGD41"/>
    <mergeCell ref="SGE41:SGF41"/>
    <mergeCell ref="SFI41:SFJ41"/>
    <mergeCell ref="SFK41:SFL41"/>
    <mergeCell ref="SFM41:SFN41"/>
    <mergeCell ref="SFO41:SFP41"/>
    <mergeCell ref="SFQ41:SFR41"/>
    <mergeCell ref="SFS41:SFT41"/>
    <mergeCell ref="SEW41:SEX41"/>
    <mergeCell ref="SEY41:SEZ41"/>
    <mergeCell ref="SFA41:SFB41"/>
    <mergeCell ref="SFC41:SFD41"/>
    <mergeCell ref="SFE41:SFF41"/>
    <mergeCell ref="SFG41:SFH41"/>
    <mergeCell ref="SEK41:SEL41"/>
    <mergeCell ref="SEM41:SEN41"/>
    <mergeCell ref="SEO41:SEP41"/>
    <mergeCell ref="SEQ41:SER41"/>
    <mergeCell ref="SES41:SET41"/>
    <mergeCell ref="SEU41:SEV41"/>
    <mergeCell ref="SDY41:SDZ41"/>
    <mergeCell ref="SEA41:SEB41"/>
    <mergeCell ref="SEC41:SED41"/>
    <mergeCell ref="SEE41:SEF41"/>
    <mergeCell ref="SEG41:SEH41"/>
    <mergeCell ref="SEI41:SEJ41"/>
    <mergeCell ref="SDM41:SDN41"/>
    <mergeCell ref="SDO41:SDP41"/>
    <mergeCell ref="SDQ41:SDR41"/>
    <mergeCell ref="SDS41:SDT41"/>
    <mergeCell ref="SDU41:SDV41"/>
    <mergeCell ref="SDW41:SDX41"/>
    <mergeCell ref="SIO41:SIP41"/>
    <mergeCell ref="SIQ41:SIR41"/>
    <mergeCell ref="SIS41:SIT41"/>
    <mergeCell ref="SIU41:SIV41"/>
    <mergeCell ref="SIW41:SIX41"/>
    <mergeCell ref="SIY41:SIZ41"/>
    <mergeCell ref="SIC41:SID41"/>
    <mergeCell ref="SIE41:SIF41"/>
    <mergeCell ref="SIG41:SIH41"/>
    <mergeCell ref="SII41:SIJ41"/>
    <mergeCell ref="SIK41:SIL41"/>
    <mergeCell ref="SIM41:SIN41"/>
    <mergeCell ref="SHQ41:SHR41"/>
    <mergeCell ref="SHS41:SHT41"/>
    <mergeCell ref="SHU41:SHV41"/>
    <mergeCell ref="SHW41:SHX41"/>
    <mergeCell ref="SHY41:SHZ41"/>
    <mergeCell ref="SIA41:SIB41"/>
    <mergeCell ref="SHE41:SHF41"/>
    <mergeCell ref="SHG41:SHH41"/>
    <mergeCell ref="SHI41:SHJ41"/>
    <mergeCell ref="SHK41:SHL41"/>
    <mergeCell ref="SHM41:SHN41"/>
    <mergeCell ref="SHO41:SHP41"/>
    <mergeCell ref="SGS41:SGT41"/>
    <mergeCell ref="SGU41:SGV41"/>
    <mergeCell ref="SGW41:SGX41"/>
    <mergeCell ref="SGY41:SGZ41"/>
    <mergeCell ref="SHA41:SHB41"/>
    <mergeCell ref="SHC41:SHD41"/>
    <mergeCell ref="SGG41:SGH41"/>
    <mergeCell ref="SGI41:SGJ41"/>
    <mergeCell ref="SGK41:SGL41"/>
    <mergeCell ref="SGM41:SGN41"/>
    <mergeCell ref="SGO41:SGP41"/>
    <mergeCell ref="SGQ41:SGR41"/>
    <mergeCell ref="SLI41:SLJ41"/>
    <mergeCell ref="SLK41:SLL41"/>
    <mergeCell ref="SLM41:SLN41"/>
    <mergeCell ref="SLO41:SLP41"/>
    <mergeCell ref="SLQ41:SLR41"/>
    <mergeCell ref="SLS41:SLT41"/>
    <mergeCell ref="SKW41:SKX41"/>
    <mergeCell ref="SKY41:SKZ41"/>
    <mergeCell ref="SLA41:SLB41"/>
    <mergeCell ref="SLC41:SLD41"/>
    <mergeCell ref="SLE41:SLF41"/>
    <mergeCell ref="SLG41:SLH41"/>
    <mergeCell ref="SKK41:SKL41"/>
    <mergeCell ref="SKM41:SKN41"/>
    <mergeCell ref="SKO41:SKP41"/>
    <mergeCell ref="SKQ41:SKR41"/>
    <mergeCell ref="SKS41:SKT41"/>
    <mergeCell ref="SKU41:SKV41"/>
    <mergeCell ref="SJY41:SJZ41"/>
    <mergeCell ref="SKA41:SKB41"/>
    <mergeCell ref="SKC41:SKD41"/>
    <mergeCell ref="SKE41:SKF41"/>
    <mergeCell ref="SKG41:SKH41"/>
    <mergeCell ref="SKI41:SKJ41"/>
    <mergeCell ref="SJM41:SJN41"/>
    <mergeCell ref="SJO41:SJP41"/>
    <mergeCell ref="SJQ41:SJR41"/>
    <mergeCell ref="SJS41:SJT41"/>
    <mergeCell ref="SJU41:SJV41"/>
    <mergeCell ref="SJW41:SJX41"/>
    <mergeCell ref="SJA41:SJB41"/>
    <mergeCell ref="SJC41:SJD41"/>
    <mergeCell ref="SJE41:SJF41"/>
    <mergeCell ref="SJG41:SJH41"/>
    <mergeCell ref="SJI41:SJJ41"/>
    <mergeCell ref="SJK41:SJL41"/>
    <mergeCell ref="SOC41:SOD41"/>
    <mergeCell ref="SOE41:SOF41"/>
    <mergeCell ref="SOG41:SOH41"/>
    <mergeCell ref="SOI41:SOJ41"/>
    <mergeCell ref="SOK41:SOL41"/>
    <mergeCell ref="SOM41:SON41"/>
    <mergeCell ref="SNQ41:SNR41"/>
    <mergeCell ref="SNS41:SNT41"/>
    <mergeCell ref="SNU41:SNV41"/>
    <mergeCell ref="SNW41:SNX41"/>
    <mergeCell ref="SNY41:SNZ41"/>
    <mergeCell ref="SOA41:SOB41"/>
    <mergeCell ref="SNE41:SNF41"/>
    <mergeCell ref="SNG41:SNH41"/>
    <mergeCell ref="SNI41:SNJ41"/>
    <mergeCell ref="SNK41:SNL41"/>
    <mergeCell ref="SNM41:SNN41"/>
    <mergeCell ref="SNO41:SNP41"/>
    <mergeCell ref="SMS41:SMT41"/>
    <mergeCell ref="SMU41:SMV41"/>
    <mergeCell ref="SMW41:SMX41"/>
    <mergeCell ref="SMY41:SMZ41"/>
    <mergeCell ref="SNA41:SNB41"/>
    <mergeCell ref="SNC41:SND41"/>
    <mergeCell ref="SMG41:SMH41"/>
    <mergeCell ref="SMI41:SMJ41"/>
    <mergeCell ref="SMK41:SML41"/>
    <mergeCell ref="SMM41:SMN41"/>
    <mergeCell ref="SMO41:SMP41"/>
    <mergeCell ref="SMQ41:SMR41"/>
    <mergeCell ref="SLU41:SLV41"/>
    <mergeCell ref="SLW41:SLX41"/>
    <mergeCell ref="SLY41:SLZ41"/>
    <mergeCell ref="SMA41:SMB41"/>
    <mergeCell ref="SMC41:SMD41"/>
    <mergeCell ref="SME41:SMF41"/>
    <mergeCell ref="SQW41:SQX41"/>
    <mergeCell ref="SQY41:SQZ41"/>
    <mergeCell ref="SRA41:SRB41"/>
    <mergeCell ref="SRC41:SRD41"/>
    <mergeCell ref="SRE41:SRF41"/>
    <mergeCell ref="SRG41:SRH41"/>
    <mergeCell ref="SQK41:SQL41"/>
    <mergeCell ref="SQM41:SQN41"/>
    <mergeCell ref="SQO41:SQP41"/>
    <mergeCell ref="SQQ41:SQR41"/>
    <mergeCell ref="SQS41:SQT41"/>
    <mergeCell ref="SQU41:SQV41"/>
    <mergeCell ref="SPY41:SPZ41"/>
    <mergeCell ref="SQA41:SQB41"/>
    <mergeCell ref="SQC41:SQD41"/>
    <mergeCell ref="SQE41:SQF41"/>
    <mergeCell ref="SQG41:SQH41"/>
    <mergeCell ref="SQI41:SQJ41"/>
    <mergeCell ref="SPM41:SPN41"/>
    <mergeCell ref="SPO41:SPP41"/>
    <mergeCell ref="SPQ41:SPR41"/>
    <mergeCell ref="SPS41:SPT41"/>
    <mergeCell ref="SPU41:SPV41"/>
    <mergeCell ref="SPW41:SPX41"/>
    <mergeCell ref="SPA41:SPB41"/>
    <mergeCell ref="SPC41:SPD41"/>
    <mergeCell ref="SPE41:SPF41"/>
    <mergeCell ref="SPG41:SPH41"/>
    <mergeCell ref="SPI41:SPJ41"/>
    <mergeCell ref="SPK41:SPL41"/>
    <mergeCell ref="SOO41:SOP41"/>
    <mergeCell ref="SOQ41:SOR41"/>
    <mergeCell ref="SOS41:SOT41"/>
    <mergeCell ref="SOU41:SOV41"/>
    <mergeCell ref="SOW41:SOX41"/>
    <mergeCell ref="SOY41:SOZ41"/>
    <mergeCell ref="STQ41:STR41"/>
    <mergeCell ref="STS41:STT41"/>
    <mergeCell ref="STU41:STV41"/>
    <mergeCell ref="STW41:STX41"/>
    <mergeCell ref="STY41:STZ41"/>
    <mergeCell ref="SUA41:SUB41"/>
    <mergeCell ref="STE41:STF41"/>
    <mergeCell ref="STG41:STH41"/>
    <mergeCell ref="STI41:STJ41"/>
    <mergeCell ref="STK41:STL41"/>
    <mergeCell ref="STM41:STN41"/>
    <mergeCell ref="STO41:STP41"/>
    <mergeCell ref="SSS41:SST41"/>
    <mergeCell ref="SSU41:SSV41"/>
    <mergeCell ref="SSW41:SSX41"/>
    <mergeCell ref="SSY41:SSZ41"/>
    <mergeCell ref="STA41:STB41"/>
    <mergeCell ref="STC41:STD41"/>
    <mergeCell ref="SSG41:SSH41"/>
    <mergeCell ref="SSI41:SSJ41"/>
    <mergeCell ref="SSK41:SSL41"/>
    <mergeCell ref="SSM41:SSN41"/>
    <mergeCell ref="SSO41:SSP41"/>
    <mergeCell ref="SSQ41:SSR41"/>
    <mergeCell ref="SRU41:SRV41"/>
    <mergeCell ref="SRW41:SRX41"/>
    <mergeCell ref="SRY41:SRZ41"/>
    <mergeCell ref="SSA41:SSB41"/>
    <mergeCell ref="SSC41:SSD41"/>
    <mergeCell ref="SSE41:SSF41"/>
    <mergeCell ref="SRI41:SRJ41"/>
    <mergeCell ref="SRK41:SRL41"/>
    <mergeCell ref="SRM41:SRN41"/>
    <mergeCell ref="SRO41:SRP41"/>
    <mergeCell ref="SRQ41:SRR41"/>
    <mergeCell ref="SRS41:SRT41"/>
    <mergeCell ref="SWK41:SWL41"/>
    <mergeCell ref="SWM41:SWN41"/>
    <mergeCell ref="SWO41:SWP41"/>
    <mergeCell ref="SWQ41:SWR41"/>
    <mergeCell ref="SWS41:SWT41"/>
    <mergeCell ref="SWU41:SWV41"/>
    <mergeCell ref="SVY41:SVZ41"/>
    <mergeCell ref="SWA41:SWB41"/>
    <mergeCell ref="SWC41:SWD41"/>
    <mergeCell ref="SWE41:SWF41"/>
    <mergeCell ref="SWG41:SWH41"/>
    <mergeCell ref="SWI41:SWJ41"/>
    <mergeCell ref="SVM41:SVN41"/>
    <mergeCell ref="SVO41:SVP41"/>
    <mergeCell ref="SVQ41:SVR41"/>
    <mergeCell ref="SVS41:SVT41"/>
    <mergeCell ref="SVU41:SVV41"/>
    <mergeCell ref="SVW41:SVX41"/>
    <mergeCell ref="SVA41:SVB41"/>
    <mergeCell ref="SVC41:SVD41"/>
    <mergeCell ref="SVE41:SVF41"/>
    <mergeCell ref="SVG41:SVH41"/>
    <mergeCell ref="SVI41:SVJ41"/>
    <mergeCell ref="SVK41:SVL41"/>
    <mergeCell ref="SUO41:SUP41"/>
    <mergeCell ref="SUQ41:SUR41"/>
    <mergeCell ref="SUS41:SUT41"/>
    <mergeCell ref="SUU41:SUV41"/>
    <mergeCell ref="SUW41:SUX41"/>
    <mergeCell ref="SUY41:SUZ41"/>
    <mergeCell ref="SUC41:SUD41"/>
    <mergeCell ref="SUE41:SUF41"/>
    <mergeCell ref="SUG41:SUH41"/>
    <mergeCell ref="SUI41:SUJ41"/>
    <mergeCell ref="SUK41:SUL41"/>
    <mergeCell ref="SUM41:SUN41"/>
    <mergeCell ref="SZE41:SZF41"/>
    <mergeCell ref="SZG41:SZH41"/>
    <mergeCell ref="SZI41:SZJ41"/>
    <mergeCell ref="SZK41:SZL41"/>
    <mergeCell ref="SZM41:SZN41"/>
    <mergeCell ref="SZO41:SZP41"/>
    <mergeCell ref="SYS41:SYT41"/>
    <mergeCell ref="SYU41:SYV41"/>
    <mergeCell ref="SYW41:SYX41"/>
    <mergeCell ref="SYY41:SYZ41"/>
    <mergeCell ref="SZA41:SZB41"/>
    <mergeCell ref="SZC41:SZD41"/>
    <mergeCell ref="SYG41:SYH41"/>
    <mergeCell ref="SYI41:SYJ41"/>
    <mergeCell ref="SYK41:SYL41"/>
    <mergeCell ref="SYM41:SYN41"/>
    <mergeCell ref="SYO41:SYP41"/>
    <mergeCell ref="SYQ41:SYR41"/>
    <mergeCell ref="SXU41:SXV41"/>
    <mergeCell ref="SXW41:SXX41"/>
    <mergeCell ref="SXY41:SXZ41"/>
    <mergeCell ref="SYA41:SYB41"/>
    <mergeCell ref="SYC41:SYD41"/>
    <mergeCell ref="SYE41:SYF41"/>
    <mergeCell ref="SXI41:SXJ41"/>
    <mergeCell ref="SXK41:SXL41"/>
    <mergeCell ref="SXM41:SXN41"/>
    <mergeCell ref="SXO41:SXP41"/>
    <mergeCell ref="SXQ41:SXR41"/>
    <mergeCell ref="SXS41:SXT41"/>
    <mergeCell ref="SWW41:SWX41"/>
    <mergeCell ref="SWY41:SWZ41"/>
    <mergeCell ref="SXA41:SXB41"/>
    <mergeCell ref="SXC41:SXD41"/>
    <mergeCell ref="SXE41:SXF41"/>
    <mergeCell ref="SXG41:SXH41"/>
    <mergeCell ref="TBY41:TBZ41"/>
    <mergeCell ref="TCA41:TCB41"/>
    <mergeCell ref="TCC41:TCD41"/>
    <mergeCell ref="TCE41:TCF41"/>
    <mergeCell ref="TCG41:TCH41"/>
    <mergeCell ref="TCI41:TCJ41"/>
    <mergeCell ref="TBM41:TBN41"/>
    <mergeCell ref="TBO41:TBP41"/>
    <mergeCell ref="TBQ41:TBR41"/>
    <mergeCell ref="TBS41:TBT41"/>
    <mergeCell ref="TBU41:TBV41"/>
    <mergeCell ref="TBW41:TBX41"/>
    <mergeCell ref="TBA41:TBB41"/>
    <mergeCell ref="TBC41:TBD41"/>
    <mergeCell ref="TBE41:TBF41"/>
    <mergeCell ref="TBG41:TBH41"/>
    <mergeCell ref="TBI41:TBJ41"/>
    <mergeCell ref="TBK41:TBL41"/>
    <mergeCell ref="TAO41:TAP41"/>
    <mergeCell ref="TAQ41:TAR41"/>
    <mergeCell ref="TAS41:TAT41"/>
    <mergeCell ref="TAU41:TAV41"/>
    <mergeCell ref="TAW41:TAX41"/>
    <mergeCell ref="TAY41:TAZ41"/>
    <mergeCell ref="TAC41:TAD41"/>
    <mergeCell ref="TAE41:TAF41"/>
    <mergeCell ref="TAG41:TAH41"/>
    <mergeCell ref="TAI41:TAJ41"/>
    <mergeCell ref="TAK41:TAL41"/>
    <mergeCell ref="TAM41:TAN41"/>
    <mergeCell ref="SZQ41:SZR41"/>
    <mergeCell ref="SZS41:SZT41"/>
    <mergeCell ref="SZU41:SZV41"/>
    <mergeCell ref="SZW41:SZX41"/>
    <mergeCell ref="SZY41:SZZ41"/>
    <mergeCell ref="TAA41:TAB41"/>
    <mergeCell ref="TES41:TET41"/>
    <mergeCell ref="TEU41:TEV41"/>
    <mergeCell ref="TEW41:TEX41"/>
    <mergeCell ref="TEY41:TEZ41"/>
    <mergeCell ref="TFA41:TFB41"/>
    <mergeCell ref="TFC41:TFD41"/>
    <mergeCell ref="TEG41:TEH41"/>
    <mergeCell ref="TEI41:TEJ41"/>
    <mergeCell ref="TEK41:TEL41"/>
    <mergeCell ref="TEM41:TEN41"/>
    <mergeCell ref="TEO41:TEP41"/>
    <mergeCell ref="TEQ41:TER41"/>
    <mergeCell ref="TDU41:TDV41"/>
    <mergeCell ref="TDW41:TDX41"/>
    <mergeCell ref="TDY41:TDZ41"/>
    <mergeCell ref="TEA41:TEB41"/>
    <mergeCell ref="TEC41:TED41"/>
    <mergeCell ref="TEE41:TEF41"/>
    <mergeCell ref="TDI41:TDJ41"/>
    <mergeCell ref="TDK41:TDL41"/>
    <mergeCell ref="TDM41:TDN41"/>
    <mergeCell ref="TDO41:TDP41"/>
    <mergeCell ref="TDQ41:TDR41"/>
    <mergeCell ref="TDS41:TDT41"/>
    <mergeCell ref="TCW41:TCX41"/>
    <mergeCell ref="TCY41:TCZ41"/>
    <mergeCell ref="TDA41:TDB41"/>
    <mergeCell ref="TDC41:TDD41"/>
    <mergeCell ref="TDE41:TDF41"/>
    <mergeCell ref="TDG41:TDH41"/>
    <mergeCell ref="TCK41:TCL41"/>
    <mergeCell ref="TCM41:TCN41"/>
    <mergeCell ref="TCO41:TCP41"/>
    <mergeCell ref="TCQ41:TCR41"/>
    <mergeCell ref="TCS41:TCT41"/>
    <mergeCell ref="TCU41:TCV41"/>
    <mergeCell ref="THM41:THN41"/>
    <mergeCell ref="THO41:THP41"/>
    <mergeCell ref="THQ41:THR41"/>
    <mergeCell ref="THS41:THT41"/>
    <mergeCell ref="THU41:THV41"/>
    <mergeCell ref="THW41:THX41"/>
    <mergeCell ref="THA41:THB41"/>
    <mergeCell ref="THC41:THD41"/>
    <mergeCell ref="THE41:THF41"/>
    <mergeCell ref="THG41:THH41"/>
    <mergeCell ref="THI41:THJ41"/>
    <mergeCell ref="THK41:THL41"/>
    <mergeCell ref="TGO41:TGP41"/>
    <mergeCell ref="TGQ41:TGR41"/>
    <mergeCell ref="TGS41:TGT41"/>
    <mergeCell ref="TGU41:TGV41"/>
    <mergeCell ref="TGW41:TGX41"/>
    <mergeCell ref="TGY41:TGZ41"/>
    <mergeCell ref="TGC41:TGD41"/>
    <mergeCell ref="TGE41:TGF41"/>
    <mergeCell ref="TGG41:TGH41"/>
    <mergeCell ref="TGI41:TGJ41"/>
    <mergeCell ref="TGK41:TGL41"/>
    <mergeCell ref="TGM41:TGN41"/>
    <mergeCell ref="TFQ41:TFR41"/>
    <mergeCell ref="TFS41:TFT41"/>
    <mergeCell ref="TFU41:TFV41"/>
    <mergeCell ref="TFW41:TFX41"/>
    <mergeCell ref="TFY41:TFZ41"/>
    <mergeCell ref="TGA41:TGB41"/>
    <mergeCell ref="TFE41:TFF41"/>
    <mergeCell ref="TFG41:TFH41"/>
    <mergeCell ref="TFI41:TFJ41"/>
    <mergeCell ref="TFK41:TFL41"/>
    <mergeCell ref="TFM41:TFN41"/>
    <mergeCell ref="TFO41:TFP41"/>
    <mergeCell ref="TKG41:TKH41"/>
    <mergeCell ref="TKI41:TKJ41"/>
    <mergeCell ref="TKK41:TKL41"/>
    <mergeCell ref="TKM41:TKN41"/>
    <mergeCell ref="TKO41:TKP41"/>
    <mergeCell ref="TKQ41:TKR41"/>
    <mergeCell ref="TJU41:TJV41"/>
    <mergeCell ref="TJW41:TJX41"/>
    <mergeCell ref="TJY41:TJZ41"/>
    <mergeCell ref="TKA41:TKB41"/>
    <mergeCell ref="TKC41:TKD41"/>
    <mergeCell ref="TKE41:TKF41"/>
    <mergeCell ref="TJI41:TJJ41"/>
    <mergeCell ref="TJK41:TJL41"/>
    <mergeCell ref="TJM41:TJN41"/>
    <mergeCell ref="TJO41:TJP41"/>
    <mergeCell ref="TJQ41:TJR41"/>
    <mergeCell ref="TJS41:TJT41"/>
    <mergeCell ref="TIW41:TIX41"/>
    <mergeCell ref="TIY41:TIZ41"/>
    <mergeCell ref="TJA41:TJB41"/>
    <mergeCell ref="TJC41:TJD41"/>
    <mergeCell ref="TJE41:TJF41"/>
    <mergeCell ref="TJG41:TJH41"/>
    <mergeCell ref="TIK41:TIL41"/>
    <mergeCell ref="TIM41:TIN41"/>
    <mergeCell ref="TIO41:TIP41"/>
    <mergeCell ref="TIQ41:TIR41"/>
    <mergeCell ref="TIS41:TIT41"/>
    <mergeCell ref="TIU41:TIV41"/>
    <mergeCell ref="THY41:THZ41"/>
    <mergeCell ref="TIA41:TIB41"/>
    <mergeCell ref="TIC41:TID41"/>
    <mergeCell ref="TIE41:TIF41"/>
    <mergeCell ref="TIG41:TIH41"/>
    <mergeCell ref="TII41:TIJ41"/>
    <mergeCell ref="TNA41:TNB41"/>
    <mergeCell ref="TNC41:TND41"/>
    <mergeCell ref="TNE41:TNF41"/>
    <mergeCell ref="TNG41:TNH41"/>
    <mergeCell ref="TNI41:TNJ41"/>
    <mergeCell ref="TNK41:TNL41"/>
    <mergeCell ref="TMO41:TMP41"/>
    <mergeCell ref="TMQ41:TMR41"/>
    <mergeCell ref="TMS41:TMT41"/>
    <mergeCell ref="TMU41:TMV41"/>
    <mergeCell ref="TMW41:TMX41"/>
    <mergeCell ref="TMY41:TMZ41"/>
    <mergeCell ref="TMC41:TMD41"/>
    <mergeCell ref="TME41:TMF41"/>
    <mergeCell ref="TMG41:TMH41"/>
    <mergeCell ref="TMI41:TMJ41"/>
    <mergeCell ref="TMK41:TML41"/>
    <mergeCell ref="TMM41:TMN41"/>
    <mergeCell ref="TLQ41:TLR41"/>
    <mergeCell ref="TLS41:TLT41"/>
    <mergeCell ref="TLU41:TLV41"/>
    <mergeCell ref="TLW41:TLX41"/>
    <mergeCell ref="TLY41:TLZ41"/>
    <mergeCell ref="TMA41:TMB41"/>
    <mergeCell ref="TLE41:TLF41"/>
    <mergeCell ref="TLG41:TLH41"/>
    <mergeCell ref="TLI41:TLJ41"/>
    <mergeCell ref="TLK41:TLL41"/>
    <mergeCell ref="TLM41:TLN41"/>
    <mergeCell ref="TLO41:TLP41"/>
    <mergeCell ref="TKS41:TKT41"/>
    <mergeCell ref="TKU41:TKV41"/>
    <mergeCell ref="TKW41:TKX41"/>
    <mergeCell ref="TKY41:TKZ41"/>
    <mergeCell ref="TLA41:TLB41"/>
    <mergeCell ref="TLC41:TLD41"/>
    <mergeCell ref="TPU41:TPV41"/>
    <mergeCell ref="TPW41:TPX41"/>
    <mergeCell ref="TPY41:TPZ41"/>
    <mergeCell ref="TQA41:TQB41"/>
    <mergeCell ref="TQC41:TQD41"/>
    <mergeCell ref="TQE41:TQF41"/>
    <mergeCell ref="TPI41:TPJ41"/>
    <mergeCell ref="TPK41:TPL41"/>
    <mergeCell ref="TPM41:TPN41"/>
    <mergeCell ref="TPO41:TPP41"/>
    <mergeCell ref="TPQ41:TPR41"/>
    <mergeCell ref="TPS41:TPT41"/>
    <mergeCell ref="TOW41:TOX41"/>
    <mergeCell ref="TOY41:TOZ41"/>
    <mergeCell ref="TPA41:TPB41"/>
    <mergeCell ref="TPC41:TPD41"/>
    <mergeCell ref="TPE41:TPF41"/>
    <mergeCell ref="TPG41:TPH41"/>
    <mergeCell ref="TOK41:TOL41"/>
    <mergeCell ref="TOM41:TON41"/>
    <mergeCell ref="TOO41:TOP41"/>
    <mergeCell ref="TOQ41:TOR41"/>
    <mergeCell ref="TOS41:TOT41"/>
    <mergeCell ref="TOU41:TOV41"/>
    <mergeCell ref="TNY41:TNZ41"/>
    <mergeCell ref="TOA41:TOB41"/>
    <mergeCell ref="TOC41:TOD41"/>
    <mergeCell ref="TOE41:TOF41"/>
    <mergeCell ref="TOG41:TOH41"/>
    <mergeCell ref="TOI41:TOJ41"/>
    <mergeCell ref="TNM41:TNN41"/>
    <mergeCell ref="TNO41:TNP41"/>
    <mergeCell ref="TNQ41:TNR41"/>
    <mergeCell ref="TNS41:TNT41"/>
    <mergeCell ref="TNU41:TNV41"/>
    <mergeCell ref="TNW41:TNX41"/>
    <mergeCell ref="TSO41:TSP41"/>
    <mergeCell ref="TSQ41:TSR41"/>
    <mergeCell ref="TSS41:TST41"/>
    <mergeCell ref="TSU41:TSV41"/>
    <mergeCell ref="TSW41:TSX41"/>
    <mergeCell ref="TSY41:TSZ41"/>
    <mergeCell ref="TSC41:TSD41"/>
    <mergeCell ref="TSE41:TSF41"/>
    <mergeCell ref="TSG41:TSH41"/>
    <mergeCell ref="TSI41:TSJ41"/>
    <mergeCell ref="TSK41:TSL41"/>
    <mergeCell ref="TSM41:TSN41"/>
    <mergeCell ref="TRQ41:TRR41"/>
    <mergeCell ref="TRS41:TRT41"/>
    <mergeCell ref="TRU41:TRV41"/>
    <mergeCell ref="TRW41:TRX41"/>
    <mergeCell ref="TRY41:TRZ41"/>
    <mergeCell ref="TSA41:TSB41"/>
    <mergeCell ref="TRE41:TRF41"/>
    <mergeCell ref="TRG41:TRH41"/>
    <mergeCell ref="TRI41:TRJ41"/>
    <mergeCell ref="TRK41:TRL41"/>
    <mergeCell ref="TRM41:TRN41"/>
    <mergeCell ref="TRO41:TRP41"/>
    <mergeCell ref="TQS41:TQT41"/>
    <mergeCell ref="TQU41:TQV41"/>
    <mergeCell ref="TQW41:TQX41"/>
    <mergeCell ref="TQY41:TQZ41"/>
    <mergeCell ref="TRA41:TRB41"/>
    <mergeCell ref="TRC41:TRD41"/>
    <mergeCell ref="TQG41:TQH41"/>
    <mergeCell ref="TQI41:TQJ41"/>
    <mergeCell ref="TQK41:TQL41"/>
    <mergeCell ref="TQM41:TQN41"/>
    <mergeCell ref="TQO41:TQP41"/>
    <mergeCell ref="TQQ41:TQR41"/>
    <mergeCell ref="TVI41:TVJ41"/>
    <mergeCell ref="TVK41:TVL41"/>
    <mergeCell ref="TVM41:TVN41"/>
    <mergeCell ref="TVO41:TVP41"/>
    <mergeCell ref="TVQ41:TVR41"/>
    <mergeCell ref="TVS41:TVT41"/>
    <mergeCell ref="TUW41:TUX41"/>
    <mergeCell ref="TUY41:TUZ41"/>
    <mergeCell ref="TVA41:TVB41"/>
    <mergeCell ref="TVC41:TVD41"/>
    <mergeCell ref="TVE41:TVF41"/>
    <mergeCell ref="TVG41:TVH41"/>
    <mergeCell ref="TUK41:TUL41"/>
    <mergeCell ref="TUM41:TUN41"/>
    <mergeCell ref="TUO41:TUP41"/>
    <mergeCell ref="TUQ41:TUR41"/>
    <mergeCell ref="TUS41:TUT41"/>
    <mergeCell ref="TUU41:TUV41"/>
    <mergeCell ref="TTY41:TTZ41"/>
    <mergeCell ref="TUA41:TUB41"/>
    <mergeCell ref="TUC41:TUD41"/>
    <mergeCell ref="TUE41:TUF41"/>
    <mergeCell ref="TUG41:TUH41"/>
    <mergeCell ref="TUI41:TUJ41"/>
    <mergeCell ref="TTM41:TTN41"/>
    <mergeCell ref="TTO41:TTP41"/>
    <mergeCell ref="TTQ41:TTR41"/>
    <mergeCell ref="TTS41:TTT41"/>
    <mergeCell ref="TTU41:TTV41"/>
    <mergeCell ref="TTW41:TTX41"/>
    <mergeCell ref="TTA41:TTB41"/>
    <mergeCell ref="TTC41:TTD41"/>
    <mergeCell ref="TTE41:TTF41"/>
    <mergeCell ref="TTG41:TTH41"/>
    <mergeCell ref="TTI41:TTJ41"/>
    <mergeCell ref="TTK41:TTL41"/>
    <mergeCell ref="TYC41:TYD41"/>
    <mergeCell ref="TYE41:TYF41"/>
    <mergeCell ref="TYG41:TYH41"/>
    <mergeCell ref="TYI41:TYJ41"/>
    <mergeCell ref="TYK41:TYL41"/>
    <mergeCell ref="TYM41:TYN41"/>
    <mergeCell ref="TXQ41:TXR41"/>
    <mergeCell ref="TXS41:TXT41"/>
    <mergeCell ref="TXU41:TXV41"/>
    <mergeCell ref="TXW41:TXX41"/>
    <mergeCell ref="TXY41:TXZ41"/>
    <mergeCell ref="TYA41:TYB41"/>
    <mergeCell ref="TXE41:TXF41"/>
    <mergeCell ref="TXG41:TXH41"/>
    <mergeCell ref="TXI41:TXJ41"/>
    <mergeCell ref="TXK41:TXL41"/>
    <mergeCell ref="TXM41:TXN41"/>
    <mergeCell ref="TXO41:TXP41"/>
    <mergeCell ref="TWS41:TWT41"/>
    <mergeCell ref="TWU41:TWV41"/>
    <mergeCell ref="TWW41:TWX41"/>
    <mergeCell ref="TWY41:TWZ41"/>
    <mergeCell ref="TXA41:TXB41"/>
    <mergeCell ref="TXC41:TXD41"/>
    <mergeCell ref="TWG41:TWH41"/>
    <mergeCell ref="TWI41:TWJ41"/>
    <mergeCell ref="TWK41:TWL41"/>
    <mergeCell ref="TWM41:TWN41"/>
    <mergeCell ref="TWO41:TWP41"/>
    <mergeCell ref="TWQ41:TWR41"/>
    <mergeCell ref="TVU41:TVV41"/>
    <mergeCell ref="TVW41:TVX41"/>
    <mergeCell ref="TVY41:TVZ41"/>
    <mergeCell ref="TWA41:TWB41"/>
    <mergeCell ref="TWC41:TWD41"/>
    <mergeCell ref="TWE41:TWF41"/>
    <mergeCell ref="UAW41:UAX41"/>
    <mergeCell ref="UAY41:UAZ41"/>
    <mergeCell ref="UBA41:UBB41"/>
    <mergeCell ref="UBC41:UBD41"/>
    <mergeCell ref="UBE41:UBF41"/>
    <mergeCell ref="UBG41:UBH41"/>
    <mergeCell ref="UAK41:UAL41"/>
    <mergeCell ref="UAM41:UAN41"/>
    <mergeCell ref="UAO41:UAP41"/>
    <mergeCell ref="UAQ41:UAR41"/>
    <mergeCell ref="UAS41:UAT41"/>
    <mergeCell ref="UAU41:UAV41"/>
    <mergeCell ref="TZY41:TZZ41"/>
    <mergeCell ref="UAA41:UAB41"/>
    <mergeCell ref="UAC41:UAD41"/>
    <mergeCell ref="UAE41:UAF41"/>
    <mergeCell ref="UAG41:UAH41"/>
    <mergeCell ref="UAI41:UAJ41"/>
    <mergeCell ref="TZM41:TZN41"/>
    <mergeCell ref="TZO41:TZP41"/>
    <mergeCell ref="TZQ41:TZR41"/>
    <mergeCell ref="TZS41:TZT41"/>
    <mergeCell ref="TZU41:TZV41"/>
    <mergeCell ref="TZW41:TZX41"/>
    <mergeCell ref="TZA41:TZB41"/>
    <mergeCell ref="TZC41:TZD41"/>
    <mergeCell ref="TZE41:TZF41"/>
    <mergeCell ref="TZG41:TZH41"/>
    <mergeCell ref="TZI41:TZJ41"/>
    <mergeCell ref="TZK41:TZL41"/>
    <mergeCell ref="TYO41:TYP41"/>
    <mergeCell ref="TYQ41:TYR41"/>
    <mergeCell ref="TYS41:TYT41"/>
    <mergeCell ref="TYU41:TYV41"/>
    <mergeCell ref="TYW41:TYX41"/>
    <mergeCell ref="TYY41:TYZ41"/>
    <mergeCell ref="UDQ41:UDR41"/>
    <mergeCell ref="UDS41:UDT41"/>
    <mergeCell ref="UDU41:UDV41"/>
    <mergeCell ref="UDW41:UDX41"/>
    <mergeCell ref="UDY41:UDZ41"/>
    <mergeCell ref="UEA41:UEB41"/>
    <mergeCell ref="UDE41:UDF41"/>
    <mergeCell ref="UDG41:UDH41"/>
    <mergeCell ref="UDI41:UDJ41"/>
    <mergeCell ref="UDK41:UDL41"/>
    <mergeCell ref="UDM41:UDN41"/>
    <mergeCell ref="UDO41:UDP41"/>
    <mergeCell ref="UCS41:UCT41"/>
    <mergeCell ref="UCU41:UCV41"/>
    <mergeCell ref="UCW41:UCX41"/>
    <mergeCell ref="UCY41:UCZ41"/>
    <mergeCell ref="UDA41:UDB41"/>
    <mergeCell ref="UDC41:UDD41"/>
    <mergeCell ref="UCG41:UCH41"/>
    <mergeCell ref="UCI41:UCJ41"/>
    <mergeCell ref="UCK41:UCL41"/>
    <mergeCell ref="UCM41:UCN41"/>
    <mergeCell ref="UCO41:UCP41"/>
    <mergeCell ref="UCQ41:UCR41"/>
    <mergeCell ref="UBU41:UBV41"/>
    <mergeCell ref="UBW41:UBX41"/>
    <mergeCell ref="UBY41:UBZ41"/>
    <mergeCell ref="UCA41:UCB41"/>
    <mergeCell ref="UCC41:UCD41"/>
    <mergeCell ref="UCE41:UCF41"/>
    <mergeCell ref="UBI41:UBJ41"/>
    <mergeCell ref="UBK41:UBL41"/>
    <mergeCell ref="UBM41:UBN41"/>
    <mergeCell ref="UBO41:UBP41"/>
    <mergeCell ref="UBQ41:UBR41"/>
    <mergeCell ref="UBS41:UBT41"/>
    <mergeCell ref="UGK41:UGL41"/>
    <mergeCell ref="UGM41:UGN41"/>
    <mergeCell ref="UGO41:UGP41"/>
    <mergeCell ref="UGQ41:UGR41"/>
    <mergeCell ref="UGS41:UGT41"/>
    <mergeCell ref="UGU41:UGV41"/>
    <mergeCell ref="UFY41:UFZ41"/>
    <mergeCell ref="UGA41:UGB41"/>
    <mergeCell ref="UGC41:UGD41"/>
    <mergeCell ref="UGE41:UGF41"/>
    <mergeCell ref="UGG41:UGH41"/>
    <mergeCell ref="UGI41:UGJ41"/>
    <mergeCell ref="UFM41:UFN41"/>
    <mergeCell ref="UFO41:UFP41"/>
    <mergeCell ref="UFQ41:UFR41"/>
    <mergeCell ref="UFS41:UFT41"/>
    <mergeCell ref="UFU41:UFV41"/>
    <mergeCell ref="UFW41:UFX41"/>
    <mergeCell ref="UFA41:UFB41"/>
    <mergeCell ref="UFC41:UFD41"/>
    <mergeCell ref="UFE41:UFF41"/>
    <mergeCell ref="UFG41:UFH41"/>
    <mergeCell ref="UFI41:UFJ41"/>
    <mergeCell ref="UFK41:UFL41"/>
    <mergeCell ref="UEO41:UEP41"/>
    <mergeCell ref="UEQ41:UER41"/>
    <mergeCell ref="UES41:UET41"/>
    <mergeCell ref="UEU41:UEV41"/>
    <mergeCell ref="UEW41:UEX41"/>
    <mergeCell ref="UEY41:UEZ41"/>
    <mergeCell ref="UEC41:UED41"/>
    <mergeCell ref="UEE41:UEF41"/>
    <mergeCell ref="UEG41:UEH41"/>
    <mergeCell ref="UEI41:UEJ41"/>
    <mergeCell ref="UEK41:UEL41"/>
    <mergeCell ref="UEM41:UEN41"/>
    <mergeCell ref="UJE41:UJF41"/>
    <mergeCell ref="UJG41:UJH41"/>
    <mergeCell ref="UJI41:UJJ41"/>
    <mergeCell ref="UJK41:UJL41"/>
    <mergeCell ref="UJM41:UJN41"/>
    <mergeCell ref="UJO41:UJP41"/>
    <mergeCell ref="UIS41:UIT41"/>
    <mergeCell ref="UIU41:UIV41"/>
    <mergeCell ref="UIW41:UIX41"/>
    <mergeCell ref="UIY41:UIZ41"/>
    <mergeCell ref="UJA41:UJB41"/>
    <mergeCell ref="UJC41:UJD41"/>
    <mergeCell ref="UIG41:UIH41"/>
    <mergeCell ref="UII41:UIJ41"/>
    <mergeCell ref="UIK41:UIL41"/>
    <mergeCell ref="UIM41:UIN41"/>
    <mergeCell ref="UIO41:UIP41"/>
    <mergeCell ref="UIQ41:UIR41"/>
    <mergeCell ref="UHU41:UHV41"/>
    <mergeCell ref="UHW41:UHX41"/>
    <mergeCell ref="UHY41:UHZ41"/>
    <mergeCell ref="UIA41:UIB41"/>
    <mergeCell ref="UIC41:UID41"/>
    <mergeCell ref="UIE41:UIF41"/>
    <mergeCell ref="UHI41:UHJ41"/>
    <mergeCell ref="UHK41:UHL41"/>
    <mergeCell ref="UHM41:UHN41"/>
    <mergeCell ref="UHO41:UHP41"/>
    <mergeCell ref="UHQ41:UHR41"/>
    <mergeCell ref="UHS41:UHT41"/>
    <mergeCell ref="UGW41:UGX41"/>
    <mergeCell ref="UGY41:UGZ41"/>
    <mergeCell ref="UHA41:UHB41"/>
    <mergeCell ref="UHC41:UHD41"/>
    <mergeCell ref="UHE41:UHF41"/>
    <mergeCell ref="UHG41:UHH41"/>
    <mergeCell ref="ULY41:ULZ41"/>
    <mergeCell ref="UMA41:UMB41"/>
    <mergeCell ref="UMC41:UMD41"/>
    <mergeCell ref="UME41:UMF41"/>
    <mergeCell ref="UMG41:UMH41"/>
    <mergeCell ref="UMI41:UMJ41"/>
    <mergeCell ref="ULM41:ULN41"/>
    <mergeCell ref="ULO41:ULP41"/>
    <mergeCell ref="ULQ41:ULR41"/>
    <mergeCell ref="ULS41:ULT41"/>
    <mergeCell ref="ULU41:ULV41"/>
    <mergeCell ref="ULW41:ULX41"/>
    <mergeCell ref="ULA41:ULB41"/>
    <mergeCell ref="ULC41:ULD41"/>
    <mergeCell ref="ULE41:ULF41"/>
    <mergeCell ref="ULG41:ULH41"/>
    <mergeCell ref="ULI41:ULJ41"/>
    <mergeCell ref="ULK41:ULL41"/>
    <mergeCell ref="UKO41:UKP41"/>
    <mergeCell ref="UKQ41:UKR41"/>
    <mergeCell ref="UKS41:UKT41"/>
    <mergeCell ref="UKU41:UKV41"/>
    <mergeCell ref="UKW41:UKX41"/>
    <mergeCell ref="UKY41:UKZ41"/>
    <mergeCell ref="UKC41:UKD41"/>
    <mergeCell ref="UKE41:UKF41"/>
    <mergeCell ref="UKG41:UKH41"/>
    <mergeCell ref="UKI41:UKJ41"/>
    <mergeCell ref="UKK41:UKL41"/>
    <mergeCell ref="UKM41:UKN41"/>
    <mergeCell ref="UJQ41:UJR41"/>
    <mergeCell ref="UJS41:UJT41"/>
    <mergeCell ref="UJU41:UJV41"/>
    <mergeCell ref="UJW41:UJX41"/>
    <mergeCell ref="UJY41:UJZ41"/>
    <mergeCell ref="UKA41:UKB41"/>
    <mergeCell ref="UOS41:UOT41"/>
    <mergeCell ref="UOU41:UOV41"/>
    <mergeCell ref="UOW41:UOX41"/>
    <mergeCell ref="UOY41:UOZ41"/>
    <mergeCell ref="UPA41:UPB41"/>
    <mergeCell ref="UPC41:UPD41"/>
    <mergeCell ref="UOG41:UOH41"/>
    <mergeCell ref="UOI41:UOJ41"/>
    <mergeCell ref="UOK41:UOL41"/>
    <mergeCell ref="UOM41:UON41"/>
    <mergeCell ref="UOO41:UOP41"/>
    <mergeCell ref="UOQ41:UOR41"/>
    <mergeCell ref="UNU41:UNV41"/>
    <mergeCell ref="UNW41:UNX41"/>
    <mergeCell ref="UNY41:UNZ41"/>
    <mergeCell ref="UOA41:UOB41"/>
    <mergeCell ref="UOC41:UOD41"/>
    <mergeCell ref="UOE41:UOF41"/>
    <mergeCell ref="UNI41:UNJ41"/>
    <mergeCell ref="UNK41:UNL41"/>
    <mergeCell ref="UNM41:UNN41"/>
    <mergeCell ref="UNO41:UNP41"/>
    <mergeCell ref="UNQ41:UNR41"/>
    <mergeCell ref="UNS41:UNT41"/>
    <mergeCell ref="UMW41:UMX41"/>
    <mergeCell ref="UMY41:UMZ41"/>
    <mergeCell ref="UNA41:UNB41"/>
    <mergeCell ref="UNC41:UND41"/>
    <mergeCell ref="UNE41:UNF41"/>
    <mergeCell ref="UNG41:UNH41"/>
    <mergeCell ref="UMK41:UML41"/>
    <mergeCell ref="UMM41:UMN41"/>
    <mergeCell ref="UMO41:UMP41"/>
    <mergeCell ref="UMQ41:UMR41"/>
    <mergeCell ref="UMS41:UMT41"/>
    <mergeCell ref="UMU41:UMV41"/>
    <mergeCell ref="URM41:URN41"/>
    <mergeCell ref="URO41:URP41"/>
    <mergeCell ref="URQ41:URR41"/>
    <mergeCell ref="URS41:URT41"/>
    <mergeCell ref="URU41:URV41"/>
    <mergeCell ref="URW41:URX41"/>
    <mergeCell ref="URA41:URB41"/>
    <mergeCell ref="URC41:URD41"/>
    <mergeCell ref="URE41:URF41"/>
    <mergeCell ref="URG41:URH41"/>
    <mergeCell ref="URI41:URJ41"/>
    <mergeCell ref="URK41:URL41"/>
    <mergeCell ref="UQO41:UQP41"/>
    <mergeCell ref="UQQ41:UQR41"/>
    <mergeCell ref="UQS41:UQT41"/>
    <mergeCell ref="UQU41:UQV41"/>
    <mergeCell ref="UQW41:UQX41"/>
    <mergeCell ref="UQY41:UQZ41"/>
    <mergeCell ref="UQC41:UQD41"/>
    <mergeCell ref="UQE41:UQF41"/>
    <mergeCell ref="UQG41:UQH41"/>
    <mergeCell ref="UQI41:UQJ41"/>
    <mergeCell ref="UQK41:UQL41"/>
    <mergeCell ref="UQM41:UQN41"/>
    <mergeCell ref="UPQ41:UPR41"/>
    <mergeCell ref="UPS41:UPT41"/>
    <mergeCell ref="UPU41:UPV41"/>
    <mergeCell ref="UPW41:UPX41"/>
    <mergeCell ref="UPY41:UPZ41"/>
    <mergeCell ref="UQA41:UQB41"/>
    <mergeCell ref="UPE41:UPF41"/>
    <mergeCell ref="UPG41:UPH41"/>
    <mergeCell ref="UPI41:UPJ41"/>
    <mergeCell ref="UPK41:UPL41"/>
    <mergeCell ref="UPM41:UPN41"/>
    <mergeCell ref="UPO41:UPP41"/>
    <mergeCell ref="UUG41:UUH41"/>
    <mergeCell ref="UUI41:UUJ41"/>
    <mergeCell ref="UUK41:UUL41"/>
    <mergeCell ref="UUM41:UUN41"/>
    <mergeCell ref="UUO41:UUP41"/>
    <mergeCell ref="UUQ41:UUR41"/>
    <mergeCell ref="UTU41:UTV41"/>
    <mergeCell ref="UTW41:UTX41"/>
    <mergeCell ref="UTY41:UTZ41"/>
    <mergeCell ref="UUA41:UUB41"/>
    <mergeCell ref="UUC41:UUD41"/>
    <mergeCell ref="UUE41:UUF41"/>
    <mergeCell ref="UTI41:UTJ41"/>
    <mergeCell ref="UTK41:UTL41"/>
    <mergeCell ref="UTM41:UTN41"/>
    <mergeCell ref="UTO41:UTP41"/>
    <mergeCell ref="UTQ41:UTR41"/>
    <mergeCell ref="UTS41:UTT41"/>
    <mergeCell ref="USW41:USX41"/>
    <mergeCell ref="USY41:USZ41"/>
    <mergeCell ref="UTA41:UTB41"/>
    <mergeCell ref="UTC41:UTD41"/>
    <mergeCell ref="UTE41:UTF41"/>
    <mergeCell ref="UTG41:UTH41"/>
    <mergeCell ref="USK41:USL41"/>
    <mergeCell ref="USM41:USN41"/>
    <mergeCell ref="USO41:USP41"/>
    <mergeCell ref="USQ41:USR41"/>
    <mergeCell ref="USS41:UST41"/>
    <mergeCell ref="USU41:USV41"/>
    <mergeCell ref="URY41:URZ41"/>
    <mergeCell ref="USA41:USB41"/>
    <mergeCell ref="USC41:USD41"/>
    <mergeCell ref="USE41:USF41"/>
    <mergeCell ref="USG41:USH41"/>
    <mergeCell ref="USI41:USJ41"/>
    <mergeCell ref="UXA41:UXB41"/>
    <mergeCell ref="UXC41:UXD41"/>
    <mergeCell ref="UXE41:UXF41"/>
    <mergeCell ref="UXG41:UXH41"/>
    <mergeCell ref="UXI41:UXJ41"/>
    <mergeCell ref="UXK41:UXL41"/>
    <mergeCell ref="UWO41:UWP41"/>
    <mergeCell ref="UWQ41:UWR41"/>
    <mergeCell ref="UWS41:UWT41"/>
    <mergeCell ref="UWU41:UWV41"/>
    <mergeCell ref="UWW41:UWX41"/>
    <mergeCell ref="UWY41:UWZ41"/>
    <mergeCell ref="UWC41:UWD41"/>
    <mergeCell ref="UWE41:UWF41"/>
    <mergeCell ref="UWG41:UWH41"/>
    <mergeCell ref="UWI41:UWJ41"/>
    <mergeCell ref="UWK41:UWL41"/>
    <mergeCell ref="UWM41:UWN41"/>
    <mergeCell ref="UVQ41:UVR41"/>
    <mergeCell ref="UVS41:UVT41"/>
    <mergeCell ref="UVU41:UVV41"/>
    <mergeCell ref="UVW41:UVX41"/>
    <mergeCell ref="UVY41:UVZ41"/>
    <mergeCell ref="UWA41:UWB41"/>
    <mergeCell ref="UVE41:UVF41"/>
    <mergeCell ref="UVG41:UVH41"/>
    <mergeCell ref="UVI41:UVJ41"/>
    <mergeCell ref="UVK41:UVL41"/>
    <mergeCell ref="UVM41:UVN41"/>
    <mergeCell ref="UVO41:UVP41"/>
    <mergeCell ref="UUS41:UUT41"/>
    <mergeCell ref="UUU41:UUV41"/>
    <mergeCell ref="UUW41:UUX41"/>
    <mergeCell ref="UUY41:UUZ41"/>
    <mergeCell ref="UVA41:UVB41"/>
    <mergeCell ref="UVC41:UVD41"/>
    <mergeCell ref="UZU41:UZV41"/>
    <mergeCell ref="UZW41:UZX41"/>
    <mergeCell ref="UZY41:UZZ41"/>
    <mergeCell ref="VAA41:VAB41"/>
    <mergeCell ref="VAC41:VAD41"/>
    <mergeCell ref="VAE41:VAF41"/>
    <mergeCell ref="UZI41:UZJ41"/>
    <mergeCell ref="UZK41:UZL41"/>
    <mergeCell ref="UZM41:UZN41"/>
    <mergeCell ref="UZO41:UZP41"/>
    <mergeCell ref="UZQ41:UZR41"/>
    <mergeCell ref="UZS41:UZT41"/>
    <mergeCell ref="UYW41:UYX41"/>
    <mergeCell ref="UYY41:UYZ41"/>
    <mergeCell ref="UZA41:UZB41"/>
    <mergeCell ref="UZC41:UZD41"/>
    <mergeCell ref="UZE41:UZF41"/>
    <mergeCell ref="UZG41:UZH41"/>
    <mergeCell ref="UYK41:UYL41"/>
    <mergeCell ref="UYM41:UYN41"/>
    <mergeCell ref="UYO41:UYP41"/>
    <mergeCell ref="UYQ41:UYR41"/>
    <mergeCell ref="UYS41:UYT41"/>
    <mergeCell ref="UYU41:UYV41"/>
    <mergeCell ref="UXY41:UXZ41"/>
    <mergeCell ref="UYA41:UYB41"/>
    <mergeCell ref="UYC41:UYD41"/>
    <mergeCell ref="UYE41:UYF41"/>
    <mergeCell ref="UYG41:UYH41"/>
    <mergeCell ref="UYI41:UYJ41"/>
    <mergeCell ref="UXM41:UXN41"/>
    <mergeCell ref="UXO41:UXP41"/>
    <mergeCell ref="UXQ41:UXR41"/>
    <mergeCell ref="UXS41:UXT41"/>
    <mergeCell ref="UXU41:UXV41"/>
    <mergeCell ref="UXW41:UXX41"/>
    <mergeCell ref="VCO41:VCP41"/>
    <mergeCell ref="VCQ41:VCR41"/>
    <mergeCell ref="VCS41:VCT41"/>
    <mergeCell ref="VCU41:VCV41"/>
    <mergeCell ref="VCW41:VCX41"/>
    <mergeCell ref="VCY41:VCZ41"/>
    <mergeCell ref="VCC41:VCD41"/>
    <mergeCell ref="VCE41:VCF41"/>
    <mergeCell ref="VCG41:VCH41"/>
    <mergeCell ref="VCI41:VCJ41"/>
    <mergeCell ref="VCK41:VCL41"/>
    <mergeCell ref="VCM41:VCN41"/>
    <mergeCell ref="VBQ41:VBR41"/>
    <mergeCell ref="VBS41:VBT41"/>
    <mergeCell ref="VBU41:VBV41"/>
    <mergeCell ref="VBW41:VBX41"/>
    <mergeCell ref="VBY41:VBZ41"/>
    <mergeCell ref="VCA41:VCB41"/>
    <mergeCell ref="VBE41:VBF41"/>
    <mergeCell ref="VBG41:VBH41"/>
    <mergeCell ref="VBI41:VBJ41"/>
    <mergeCell ref="VBK41:VBL41"/>
    <mergeCell ref="VBM41:VBN41"/>
    <mergeCell ref="VBO41:VBP41"/>
    <mergeCell ref="VAS41:VAT41"/>
    <mergeCell ref="VAU41:VAV41"/>
    <mergeCell ref="VAW41:VAX41"/>
    <mergeCell ref="VAY41:VAZ41"/>
    <mergeCell ref="VBA41:VBB41"/>
    <mergeCell ref="VBC41:VBD41"/>
    <mergeCell ref="VAG41:VAH41"/>
    <mergeCell ref="VAI41:VAJ41"/>
    <mergeCell ref="VAK41:VAL41"/>
    <mergeCell ref="VAM41:VAN41"/>
    <mergeCell ref="VAO41:VAP41"/>
    <mergeCell ref="VAQ41:VAR41"/>
    <mergeCell ref="VFI41:VFJ41"/>
    <mergeCell ref="VFK41:VFL41"/>
    <mergeCell ref="VFM41:VFN41"/>
    <mergeCell ref="VFO41:VFP41"/>
    <mergeCell ref="VFQ41:VFR41"/>
    <mergeCell ref="VFS41:VFT41"/>
    <mergeCell ref="VEW41:VEX41"/>
    <mergeCell ref="VEY41:VEZ41"/>
    <mergeCell ref="VFA41:VFB41"/>
    <mergeCell ref="VFC41:VFD41"/>
    <mergeCell ref="VFE41:VFF41"/>
    <mergeCell ref="VFG41:VFH41"/>
    <mergeCell ref="VEK41:VEL41"/>
    <mergeCell ref="VEM41:VEN41"/>
    <mergeCell ref="VEO41:VEP41"/>
    <mergeCell ref="VEQ41:VER41"/>
    <mergeCell ref="VES41:VET41"/>
    <mergeCell ref="VEU41:VEV41"/>
    <mergeCell ref="VDY41:VDZ41"/>
    <mergeCell ref="VEA41:VEB41"/>
    <mergeCell ref="VEC41:VED41"/>
    <mergeCell ref="VEE41:VEF41"/>
    <mergeCell ref="VEG41:VEH41"/>
    <mergeCell ref="VEI41:VEJ41"/>
    <mergeCell ref="VDM41:VDN41"/>
    <mergeCell ref="VDO41:VDP41"/>
    <mergeCell ref="VDQ41:VDR41"/>
    <mergeCell ref="VDS41:VDT41"/>
    <mergeCell ref="VDU41:VDV41"/>
    <mergeCell ref="VDW41:VDX41"/>
    <mergeCell ref="VDA41:VDB41"/>
    <mergeCell ref="VDC41:VDD41"/>
    <mergeCell ref="VDE41:VDF41"/>
    <mergeCell ref="VDG41:VDH41"/>
    <mergeCell ref="VDI41:VDJ41"/>
    <mergeCell ref="VDK41:VDL41"/>
    <mergeCell ref="VIC41:VID41"/>
    <mergeCell ref="VIE41:VIF41"/>
    <mergeCell ref="VIG41:VIH41"/>
    <mergeCell ref="VII41:VIJ41"/>
    <mergeCell ref="VIK41:VIL41"/>
    <mergeCell ref="VIM41:VIN41"/>
    <mergeCell ref="VHQ41:VHR41"/>
    <mergeCell ref="VHS41:VHT41"/>
    <mergeCell ref="VHU41:VHV41"/>
    <mergeCell ref="VHW41:VHX41"/>
    <mergeCell ref="VHY41:VHZ41"/>
    <mergeCell ref="VIA41:VIB41"/>
    <mergeCell ref="VHE41:VHF41"/>
    <mergeCell ref="VHG41:VHH41"/>
    <mergeCell ref="VHI41:VHJ41"/>
    <mergeCell ref="VHK41:VHL41"/>
    <mergeCell ref="VHM41:VHN41"/>
    <mergeCell ref="VHO41:VHP41"/>
    <mergeCell ref="VGS41:VGT41"/>
    <mergeCell ref="VGU41:VGV41"/>
    <mergeCell ref="VGW41:VGX41"/>
    <mergeCell ref="VGY41:VGZ41"/>
    <mergeCell ref="VHA41:VHB41"/>
    <mergeCell ref="VHC41:VHD41"/>
    <mergeCell ref="VGG41:VGH41"/>
    <mergeCell ref="VGI41:VGJ41"/>
    <mergeCell ref="VGK41:VGL41"/>
    <mergeCell ref="VGM41:VGN41"/>
    <mergeCell ref="VGO41:VGP41"/>
    <mergeCell ref="VGQ41:VGR41"/>
    <mergeCell ref="VFU41:VFV41"/>
    <mergeCell ref="VFW41:VFX41"/>
    <mergeCell ref="VFY41:VFZ41"/>
    <mergeCell ref="VGA41:VGB41"/>
    <mergeCell ref="VGC41:VGD41"/>
    <mergeCell ref="VGE41:VGF41"/>
    <mergeCell ref="VKW41:VKX41"/>
    <mergeCell ref="VKY41:VKZ41"/>
    <mergeCell ref="VLA41:VLB41"/>
    <mergeCell ref="VLC41:VLD41"/>
    <mergeCell ref="VLE41:VLF41"/>
    <mergeCell ref="VLG41:VLH41"/>
    <mergeCell ref="VKK41:VKL41"/>
    <mergeCell ref="VKM41:VKN41"/>
    <mergeCell ref="VKO41:VKP41"/>
    <mergeCell ref="VKQ41:VKR41"/>
    <mergeCell ref="VKS41:VKT41"/>
    <mergeCell ref="VKU41:VKV41"/>
    <mergeCell ref="VJY41:VJZ41"/>
    <mergeCell ref="VKA41:VKB41"/>
    <mergeCell ref="VKC41:VKD41"/>
    <mergeCell ref="VKE41:VKF41"/>
    <mergeCell ref="VKG41:VKH41"/>
    <mergeCell ref="VKI41:VKJ41"/>
    <mergeCell ref="VJM41:VJN41"/>
    <mergeCell ref="VJO41:VJP41"/>
    <mergeCell ref="VJQ41:VJR41"/>
    <mergeCell ref="VJS41:VJT41"/>
    <mergeCell ref="VJU41:VJV41"/>
    <mergeCell ref="VJW41:VJX41"/>
    <mergeCell ref="VJA41:VJB41"/>
    <mergeCell ref="VJC41:VJD41"/>
    <mergeCell ref="VJE41:VJF41"/>
    <mergeCell ref="VJG41:VJH41"/>
    <mergeCell ref="VJI41:VJJ41"/>
    <mergeCell ref="VJK41:VJL41"/>
    <mergeCell ref="VIO41:VIP41"/>
    <mergeCell ref="VIQ41:VIR41"/>
    <mergeCell ref="VIS41:VIT41"/>
    <mergeCell ref="VIU41:VIV41"/>
    <mergeCell ref="VIW41:VIX41"/>
    <mergeCell ref="VIY41:VIZ41"/>
    <mergeCell ref="VNQ41:VNR41"/>
    <mergeCell ref="VNS41:VNT41"/>
    <mergeCell ref="VNU41:VNV41"/>
    <mergeCell ref="VNW41:VNX41"/>
    <mergeCell ref="VNY41:VNZ41"/>
    <mergeCell ref="VOA41:VOB41"/>
    <mergeCell ref="VNE41:VNF41"/>
    <mergeCell ref="VNG41:VNH41"/>
    <mergeCell ref="VNI41:VNJ41"/>
    <mergeCell ref="VNK41:VNL41"/>
    <mergeCell ref="VNM41:VNN41"/>
    <mergeCell ref="VNO41:VNP41"/>
    <mergeCell ref="VMS41:VMT41"/>
    <mergeCell ref="VMU41:VMV41"/>
    <mergeCell ref="VMW41:VMX41"/>
    <mergeCell ref="VMY41:VMZ41"/>
    <mergeCell ref="VNA41:VNB41"/>
    <mergeCell ref="VNC41:VND41"/>
    <mergeCell ref="VMG41:VMH41"/>
    <mergeCell ref="VMI41:VMJ41"/>
    <mergeCell ref="VMK41:VML41"/>
    <mergeCell ref="VMM41:VMN41"/>
    <mergeCell ref="VMO41:VMP41"/>
    <mergeCell ref="VMQ41:VMR41"/>
    <mergeCell ref="VLU41:VLV41"/>
    <mergeCell ref="VLW41:VLX41"/>
    <mergeCell ref="VLY41:VLZ41"/>
    <mergeCell ref="VMA41:VMB41"/>
    <mergeCell ref="VMC41:VMD41"/>
    <mergeCell ref="VME41:VMF41"/>
    <mergeCell ref="VLI41:VLJ41"/>
    <mergeCell ref="VLK41:VLL41"/>
    <mergeCell ref="VLM41:VLN41"/>
    <mergeCell ref="VLO41:VLP41"/>
    <mergeCell ref="VLQ41:VLR41"/>
    <mergeCell ref="VLS41:VLT41"/>
    <mergeCell ref="VQK41:VQL41"/>
    <mergeCell ref="VQM41:VQN41"/>
    <mergeCell ref="VQO41:VQP41"/>
    <mergeCell ref="VQQ41:VQR41"/>
    <mergeCell ref="VQS41:VQT41"/>
    <mergeCell ref="VQU41:VQV41"/>
    <mergeCell ref="VPY41:VPZ41"/>
    <mergeCell ref="VQA41:VQB41"/>
    <mergeCell ref="VQC41:VQD41"/>
    <mergeCell ref="VQE41:VQF41"/>
    <mergeCell ref="VQG41:VQH41"/>
    <mergeCell ref="VQI41:VQJ41"/>
    <mergeCell ref="VPM41:VPN41"/>
    <mergeCell ref="VPO41:VPP41"/>
    <mergeCell ref="VPQ41:VPR41"/>
    <mergeCell ref="VPS41:VPT41"/>
    <mergeCell ref="VPU41:VPV41"/>
    <mergeCell ref="VPW41:VPX41"/>
    <mergeCell ref="VPA41:VPB41"/>
    <mergeCell ref="VPC41:VPD41"/>
    <mergeCell ref="VPE41:VPF41"/>
    <mergeCell ref="VPG41:VPH41"/>
    <mergeCell ref="VPI41:VPJ41"/>
    <mergeCell ref="VPK41:VPL41"/>
    <mergeCell ref="VOO41:VOP41"/>
    <mergeCell ref="VOQ41:VOR41"/>
    <mergeCell ref="VOS41:VOT41"/>
    <mergeCell ref="VOU41:VOV41"/>
    <mergeCell ref="VOW41:VOX41"/>
    <mergeCell ref="VOY41:VOZ41"/>
    <mergeCell ref="VOC41:VOD41"/>
    <mergeCell ref="VOE41:VOF41"/>
    <mergeCell ref="VOG41:VOH41"/>
    <mergeCell ref="VOI41:VOJ41"/>
    <mergeCell ref="VOK41:VOL41"/>
    <mergeCell ref="VOM41:VON41"/>
    <mergeCell ref="VTE41:VTF41"/>
    <mergeCell ref="VTG41:VTH41"/>
    <mergeCell ref="VTI41:VTJ41"/>
    <mergeCell ref="VTK41:VTL41"/>
    <mergeCell ref="VTM41:VTN41"/>
    <mergeCell ref="VTO41:VTP41"/>
    <mergeCell ref="VSS41:VST41"/>
    <mergeCell ref="VSU41:VSV41"/>
    <mergeCell ref="VSW41:VSX41"/>
    <mergeCell ref="VSY41:VSZ41"/>
    <mergeCell ref="VTA41:VTB41"/>
    <mergeCell ref="VTC41:VTD41"/>
    <mergeCell ref="VSG41:VSH41"/>
    <mergeCell ref="VSI41:VSJ41"/>
    <mergeCell ref="VSK41:VSL41"/>
    <mergeCell ref="VSM41:VSN41"/>
    <mergeCell ref="VSO41:VSP41"/>
    <mergeCell ref="VSQ41:VSR41"/>
    <mergeCell ref="VRU41:VRV41"/>
    <mergeCell ref="VRW41:VRX41"/>
    <mergeCell ref="VRY41:VRZ41"/>
    <mergeCell ref="VSA41:VSB41"/>
    <mergeCell ref="VSC41:VSD41"/>
    <mergeCell ref="VSE41:VSF41"/>
    <mergeCell ref="VRI41:VRJ41"/>
    <mergeCell ref="VRK41:VRL41"/>
    <mergeCell ref="VRM41:VRN41"/>
    <mergeCell ref="VRO41:VRP41"/>
    <mergeCell ref="VRQ41:VRR41"/>
    <mergeCell ref="VRS41:VRT41"/>
    <mergeCell ref="VQW41:VQX41"/>
    <mergeCell ref="VQY41:VQZ41"/>
    <mergeCell ref="VRA41:VRB41"/>
    <mergeCell ref="VRC41:VRD41"/>
    <mergeCell ref="VRE41:VRF41"/>
    <mergeCell ref="VRG41:VRH41"/>
    <mergeCell ref="VVY41:VVZ41"/>
    <mergeCell ref="VWA41:VWB41"/>
    <mergeCell ref="VWC41:VWD41"/>
    <mergeCell ref="VWE41:VWF41"/>
    <mergeCell ref="VWG41:VWH41"/>
    <mergeCell ref="VWI41:VWJ41"/>
    <mergeCell ref="VVM41:VVN41"/>
    <mergeCell ref="VVO41:VVP41"/>
    <mergeCell ref="VVQ41:VVR41"/>
    <mergeCell ref="VVS41:VVT41"/>
    <mergeCell ref="VVU41:VVV41"/>
    <mergeCell ref="VVW41:VVX41"/>
    <mergeCell ref="VVA41:VVB41"/>
    <mergeCell ref="VVC41:VVD41"/>
    <mergeCell ref="VVE41:VVF41"/>
    <mergeCell ref="VVG41:VVH41"/>
    <mergeCell ref="VVI41:VVJ41"/>
    <mergeCell ref="VVK41:VVL41"/>
    <mergeCell ref="VUO41:VUP41"/>
    <mergeCell ref="VUQ41:VUR41"/>
    <mergeCell ref="VUS41:VUT41"/>
    <mergeCell ref="VUU41:VUV41"/>
    <mergeCell ref="VUW41:VUX41"/>
    <mergeCell ref="VUY41:VUZ41"/>
    <mergeCell ref="VUC41:VUD41"/>
    <mergeCell ref="VUE41:VUF41"/>
    <mergeCell ref="VUG41:VUH41"/>
    <mergeCell ref="VUI41:VUJ41"/>
    <mergeCell ref="VUK41:VUL41"/>
    <mergeCell ref="VUM41:VUN41"/>
    <mergeCell ref="VTQ41:VTR41"/>
    <mergeCell ref="VTS41:VTT41"/>
    <mergeCell ref="VTU41:VTV41"/>
    <mergeCell ref="VTW41:VTX41"/>
    <mergeCell ref="VTY41:VTZ41"/>
    <mergeCell ref="VUA41:VUB41"/>
    <mergeCell ref="VYS41:VYT41"/>
    <mergeCell ref="VYU41:VYV41"/>
    <mergeCell ref="VYW41:VYX41"/>
    <mergeCell ref="VYY41:VYZ41"/>
    <mergeCell ref="VZA41:VZB41"/>
    <mergeCell ref="VZC41:VZD41"/>
    <mergeCell ref="VYG41:VYH41"/>
    <mergeCell ref="VYI41:VYJ41"/>
    <mergeCell ref="VYK41:VYL41"/>
    <mergeCell ref="VYM41:VYN41"/>
    <mergeCell ref="VYO41:VYP41"/>
    <mergeCell ref="VYQ41:VYR41"/>
    <mergeCell ref="VXU41:VXV41"/>
    <mergeCell ref="VXW41:VXX41"/>
    <mergeCell ref="VXY41:VXZ41"/>
    <mergeCell ref="VYA41:VYB41"/>
    <mergeCell ref="VYC41:VYD41"/>
    <mergeCell ref="VYE41:VYF41"/>
    <mergeCell ref="VXI41:VXJ41"/>
    <mergeCell ref="VXK41:VXL41"/>
    <mergeCell ref="VXM41:VXN41"/>
    <mergeCell ref="VXO41:VXP41"/>
    <mergeCell ref="VXQ41:VXR41"/>
    <mergeCell ref="VXS41:VXT41"/>
    <mergeCell ref="VWW41:VWX41"/>
    <mergeCell ref="VWY41:VWZ41"/>
    <mergeCell ref="VXA41:VXB41"/>
    <mergeCell ref="VXC41:VXD41"/>
    <mergeCell ref="VXE41:VXF41"/>
    <mergeCell ref="VXG41:VXH41"/>
    <mergeCell ref="VWK41:VWL41"/>
    <mergeCell ref="VWM41:VWN41"/>
    <mergeCell ref="VWO41:VWP41"/>
    <mergeCell ref="VWQ41:VWR41"/>
    <mergeCell ref="VWS41:VWT41"/>
    <mergeCell ref="VWU41:VWV41"/>
    <mergeCell ref="WBM41:WBN41"/>
    <mergeCell ref="WBO41:WBP41"/>
    <mergeCell ref="WBQ41:WBR41"/>
    <mergeCell ref="WBS41:WBT41"/>
    <mergeCell ref="WBU41:WBV41"/>
    <mergeCell ref="WBW41:WBX41"/>
    <mergeCell ref="WBA41:WBB41"/>
    <mergeCell ref="WBC41:WBD41"/>
    <mergeCell ref="WBE41:WBF41"/>
    <mergeCell ref="WBG41:WBH41"/>
    <mergeCell ref="WBI41:WBJ41"/>
    <mergeCell ref="WBK41:WBL41"/>
    <mergeCell ref="WAO41:WAP41"/>
    <mergeCell ref="WAQ41:WAR41"/>
    <mergeCell ref="WAS41:WAT41"/>
    <mergeCell ref="WAU41:WAV41"/>
    <mergeCell ref="WAW41:WAX41"/>
    <mergeCell ref="WAY41:WAZ41"/>
    <mergeCell ref="WAC41:WAD41"/>
    <mergeCell ref="WAE41:WAF41"/>
    <mergeCell ref="WAG41:WAH41"/>
    <mergeCell ref="WAI41:WAJ41"/>
    <mergeCell ref="WAK41:WAL41"/>
    <mergeCell ref="WAM41:WAN41"/>
    <mergeCell ref="VZQ41:VZR41"/>
    <mergeCell ref="VZS41:VZT41"/>
    <mergeCell ref="VZU41:VZV41"/>
    <mergeCell ref="VZW41:VZX41"/>
    <mergeCell ref="VZY41:VZZ41"/>
    <mergeCell ref="WAA41:WAB41"/>
    <mergeCell ref="VZE41:VZF41"/>
    <mergeCell ref="VZG41:VZH41"/>
    <mergeCell ref="VZI41:VZJ41"/>
    <mergeCell ref="VZK41:VZL41"/>
    <mergeCell ref="VZM41:VZN41"/>
    <mergeCell ref="VZO41:VZP41"/>
    <mergeCell ref="WEG41:WEH41"/>
    <mergeCell ref="WEI41:WEJ41"/>
    <mergeCell ref="WEK41:WEL41"/>
    <mergeCell ref="WEM41:WEN41"/>
    <mergeCell ref="WEO41:WEP41"/>
    <mergeCell ref="WEQ41:WER41"/>
    <mergeCell ref="WDU41:WDV41"/>
    <mergeCell ref="WDW41:WDX41"/>
    <mergeCell ref="WDY41:WDZ41"/>
    <mergeCell ref="WEA41:WEB41"/>
    <mergeCell ref="WEC41:WED41"/>
    <mergeCell ref="WEE41:WEF41"/>
    <mergeCell ref="WDI41:WDJ41"/>
    <mergeCell ref="WDK41:WDL41"/>
    <mergeCell ref="WDM41:WDN41"/>
    <mergeCell ref="WDO41:WDP41"/>
    <mergeCell ref="WDQ41:WDR41"/>
    <mergeCell ref="WDS41:WDT41"/>
    <mergeCell ref="WCW41:WCX41"/>
    <mergeCell ref="WCY41:WCZ41"/>
    <mergeCell ref="WDA41:WDB41"/>
    <mergeCell ref="WDC41:WDD41"/>
    <mergeCell ref="WDE41:WDF41"/>
    <mergeCell ref="WDG41:WDH41"/>
    <mergeCell ref="WCK41:WCL41"/>
    <mergeCell ref="WCM41:WCN41"/>
    <mergeCell ref="WCO41:WCP41"/>
    <mergeCell ref="WCQ41:WCR41"/>
    <mergeCell ref="WCS41:WCT41"/>
    <mergeCell ref="WCU41:WCV41"/>
    <mergeCell ref="WBY41:WBZ41"/>
    <mergeCell ref="WCA41:WCB41"/>
    <mergeCell ref="WCC41:WCD41"/>
    <mergeCell ref="WCE41:WCF41"/>
    <mergeCell ref="WCG41:WCH41"/>
    <mergeCell ref="WCI41:WCJ41"/>
    <mergeCell ref="WHA41:WHB41"/>
    <mergeCell ref="WHC41:WHD41"/>
    <mergeCell ref="WHE41:WHF41"/>
    <mergeCell ref="WHG41:WHH41"/>
    <mergeCell ref="WHI41:WHJ41"/>
    <mergeCell ref="WHK41:WHL41"/>
    <mergeCell ref="WGO41:WGP41"/>
    <mergeCell ref="WGQ41:WGR41"/>
    <mergeCell ref="WGS41:WGT41"/>
    <mergeCell ref="WGU41:WGV41"/>
    <mergeCell ref="WGW41:WGX41"/>
    <mergeCell ref="WGY41:WGZ41"/>
    <mergeCell ref="WGC41:WGD41"/>
    <mergeCell ref="WGE41:WGF41"/>
    <mergeCell ref="WGG41:WGH41"/>
    <mergeCell ref="WGI41:WGJ41"/>
    <mergeCell ref="WGK41:WGL41"/>
    <mergeCell ref="WGM41:WGN41"/>
    <mergeCell ref="WFQ41:WFR41"/>
    <mergeCell ref="WFS41:WFT41"/>
    <mergeCell ref="WFU41:WFV41"/>
    <mergeCell ref="WFW41:WFX41"/>
    <mergeCell ref="WFY41:WFZ41"/>
    <mergeCell ref="WGA41:WGB41"/>
    <mergeCell ref="WFE41:WFF41"/>
    <mergeCell ref="WFG41:WFH41"/>
    <mergeCell ref="WFI41:WFJ41"/>
    <mergeCell ref="WFK41:WFL41"/>
    <mergeCell ref="WFM41:WFN41"/>
    <mergeCell ref="WFO41:WFP41"/>
    <mergeCell ref="WES41:WET41"/>
    <mergeCell ref="WEU41:WEV41"/>
    <mergeCell ref="WEW41:WEX41"/>
    <mergeCell ref="WEY41:WEZ41"/>
    <mergeCell ref="WFA41:WFB41"/>
    <mergeCell ref="WFC41:WFD41"/>
    <mergeCell ref="WJU41:WJV41"/>
    <mergeCell ref="WJW41:WJX41"/>
    <mergeCell ref="WJY41:WJZ41"/>
    <mergeCell ref="WKA41:WKB41"/>
    <mergeCell ref="WKC41:WKD41"/>
    <mergeCell ref="WKE41:WKF41"/>
    <mergeCell ref="WJI41:WJJ41"/>
    <mergeCell ref="WJK41:WJL41"/>
    <mergeCell ref="WJM41:WJN41"/>
    <mergeCell ref="WJO41:WJP41"/>
    <mergeCell ref="WJQ41:WJR41"/>
    <mergeCell ref="WJS41:WJT41"/>
    <mergeCell ref="WIW41:WIX41"/>
    <mergeCell ref="WIY41:WIZ41"/>
    <mergeCell ref="WJA41:WJB41"/>
    <mergeCell ref="WJC41:WJD41"/>
    <mergeCell ref="WJE41:WJF41"/>
    <mergeCell ref="WJG41:WJH41"/>
    <mergeCell ref="WIK41:WIL41"/>
    <mergeCell ref="WIM41:WIN41"/>
    <mergeCell ref="WIO41:WIP41"/>
    <mergeCell ref="WIQ41:WIR41"/>
    <mergeCell ref="WIS41:WIT41"/>
    <mergeCell ref="WIU41:WIV41"/>
    <mergeCell ref="WHY41:WHZ41"/>
    <mergeCell ref="WIA41:WIB41"/>
    <mergeCell ref="WIC41:WID41"/>
    <mergeCell ref="WIE41:WIF41"/>
    <mergeCell ref="WIG41:WIH41"/>
    <mergeCell ref="WII41:WIJ41"/>
    <mergeCell ref="WHM41:WHN41"/>
    <mergeCell ref="WHO41:WHP41"/>
    <mergeCell ref="WHQ41:WHR41"/>
    <mergeCell ref="WHS41:WHT41"/>
    <mergeCell ref="WHU41:WHV41"/>
    <mergeCell ref="WHW41:WHX41"/>
    <mergeCell ref="WMO41:WMP41"/>
    <mergeCell ref="WMQ41:WMR41"/>
    <mergeCell ref="WMS41:WMT41"/>
    <mergeCell ref="WMU41:WMV41"/>
    <mergeCell ref="WMW41:WMX41"/>
    <mergeCell ref="WMY41:WMZ41"/>
    <mergeCell ref="WMC41:WMD41"/>
    <mergeCell ref="WME41:WMF41"/>
    <mergeCell ref="WMG41:WMH41"/>
    <mergeCell ref="WMI41:WMJ41"/>
    <mergeCell ref="WMK41:WML41"/>
    <mergeCell ref="WMM41:WMN41"/>
    <mergeCell ref="WLQ41:WLR41"/>
    <mergeCell ref="WLS41:WLT41"/>
    <mergeCell ref="WLU41:WLV41"/>
    <mergeCell ref="WLW41:WLX41"/>
    <mergeCell ref="WLY41:WLZ41"/>
    <mergeCell ref="WMA41:WMB41"/>
    <mergeCell ref="WLE41:WLF41"/>
    <mergeCell ref="WLG41:WLH41"/>
    <mergeCell ref="WLI41:WLJ41"/>
    <mergeCell ref="WLK41:WLL41"/>
    <mergeCell ref="WLM41:WLN41"/>
    <mergeCell ref="WLO41:WLP41"/>
    <mergeCell ref="WKS41:WKT41"/>
    <mergeCell ref="WKU41:WKV41"/>
    <mergeCell ref="WKW41:WKX41"/>
    <mergeCell ref="WKY41:WKZ41"/>
    <mergeCell ref="WLA41:WLB41"/>
    <mergeCell ref="WLC41:WLD41"/>
    <mergeCell ref="WKG41:WKH41"/>
    <mergeCell ref="WKI41:WKJ41"/>
    <mergeCell ref="WKK41:WKL41"/>
    <mergeCell ref="WKM41:WKN41"/>
    <mergeCell ref="WKO41:WKP41"/>
    <mergeCell ref="WKQ41:WKR41"/>
    <mergeCell ref="WPI41:WPJ41"/>
    <mergeCell ref="WPK41:WPL41"/>
    <mergeCell ref="WPM41:WPN41"/>
    <mergeCell ref="WPO41:WPP41"/>
    <mergeCell ref="WPQ41:WPR41"/>
    <mergeCell ref="WPS41:WPT41"/>
    <mergeCell ref="WOW41:WOX41"/>
    <mergeCell ref="WOY41:WOZ41"/>
    <mergeCell ref="WPA41:WPB41"/>
    <mergeCell ref="WPC41:WPD41"/>
    <mergeCell ref="WPE41:WPF41"/>
    <mergeCell ref="WPG41:WPH41"/>
    <mergeCell ref="WOK41:WOL41"/>
    <mergeCell ref="WOM41:WON41"/>
    <mergeCell ref="WOO41:WOP41"/>
    <mergeCell ref="WOQ41:WOR41"/>
    <mergeCell ref="WOS41:WOT41"/>
    <mergeCell ref="WOU41:WOV41"/>
    <mergeCell ref="WNY41:WNZ41"/>
    <mergeCell ref="WOA41:WOB41"/>
    <mergeCell ref="WOC41:WOD41"/>
    <mergeCell ref="WOE41:WOF41"/>
    <mergeCell ref="WOG41:WOH41"/>
    <mergeCell ref="WOI41:WOJ41"/>
    <mergeCell ref="WNM41:WNN41"/>
    <mergeCell ref="WNO41:WNP41"/>
    <mergeCell ref="WNQ41:WNR41"/>
    <mergeCell ref="WNS41:WNT41"/>
    <mergeCell ref="WNU41:WNV41"/>
    <mergeCell ref="WNW41:WNX41"/>
    <mergeCell ref="WNA41:WNB41"/>
    <mergeCell ref="WNC41:WND41"/>
    <mergeCell ref="WNE41:WNF41"/>
    <mergeCell ref="WNG41:WNH41"/>
    <mergeCell ref="WNI41:WNJ41"/>
    <mergeCell ref="WNK41:WNL41"/>
    <mergeCell ref="WSC41:WSD41"/>
    <mergeCell ref="WSE41:WSF41"/>
    <mergeCell ref="WSG41:WSH41"/>
    <mergeCell ref="WSI41:WSJ41"/>
    <mergeCell ref="WSK41:WSL41"/>
    <mergeCell ref="WSM41:WSN41"/>
    <mergeCell ref="WRQ41:WRR41"/>
    <mergeCell ref="WRS41:WRT41"/>
    <mergeCell ref="WRU41:WRV41"/>
    <mergeCell ref="WRW41:WRX41"/>
    <mergeCell ref="WRY41:WRZ41"/>
    <mergeCell ref="WSA41:WSB41"/>
    <mergeCell ref="WRE41:WRF41"/>
    <mergeCell ref="WRG41:WRH41"/>
    <mergeCell ref="WRI41:WRJ41"/>
    <mergeCell ref="WRK41:WRL41"/>
    <mergeCell ref="WRM41:WRN41"/>
    <mergeCell ref="WRO41:WRP41"/>
    <mergeCell ref="WQS41:WQT41"/>
    <mergeCell ref="WQU41:WQV41"/>
    <mergeCell ref="WQW41:WQX41"/>
    <mergeCell ref="WQY41:WQZ41"/>
    <mergeCell ref="WRA41:WRB41"/>
    <mergeCell ref="WRC41:WRD41"/>
    <mergeCell ref="WQG41:WQH41"/>
    <mergeCell ref="WQI41:WQJ41"/>
    <mergeCell ref="WQK41:WQL41"/>
    <mergeCell ref="WQM41:WQN41"/>
    <mergeCell ref="WQO41:WQP41"/>
    <mergeCell ref="WQQ41:WQR41"/>
    <mergeCell ref="WPU41:WPV41"/>
    <mergeCell ref="WPW41:WPX41"/>
    <mergeCell ref="WPY41:WPZ41"/>
    <mergeCell ref="WQA41:WQB41"/>
    <mergeCell ref="WQC41:WQD41"/>
    <mergeCell ref="WQE41:WQF41"/>
    <mergeCell ref="WUW41:WUX41"/>
    <mergeCell ref="WUY41:WUZ41"/>
    <mergeCell ref="WVA41:WVB41"/>
    <mergeCell ref="WVC41:WVD41"/>
    <mergeCell ref="WVE41:WVF41"/>
    <mergeCell ref="WVG41:WVH41"/>
    <mergeCell ref="WUK41:WUL41"/>
    <mergeCell ref="WUM41:WUN41"/>
    <mergeCell ref="WUO41:WUP41"/>
    <mergeCell ref="WUQ41:WUR41"/>
    <mergeCell ref="WUS41:WUT41"/>
    <mergeCell ref="WUU41:WUV41"/>
    <mergeCell ref="WTY41:WTZ41"/>
    <mergeCell ref="WUA41:WUB41"/>
    <mergeCell ref="WUC41:WUD41"/>
    <mergeCell ref="WUE41:WUF41"/>
    <mergeCell ref="WUG41:WUH41"/>
    <mergeCell ref="WUI41:WUJ41"/>
    <mergeCell ref="WTM41:WTN41"/>
    <mergeCell ref="WTO41:WTP41"/>
    <mergeCell ref="WTQ41:WTR41"/>
    <mergeCell ref="WTS41:WTT41"/>
    <mergeCell ref="WTU41:WTV41"/>
    <mergeCell ref="WTW41:WTX41"/>
    <mergeCell ref="WTA41:WTB41"/>
    <mergeCell ref="WTC41:WTD41"/>
    <mergeCell ref="WTE41:WTF41"/>
    <mergeCell ref="WTG41:WTH41"/>
    <mergeCell ref="WTI41:WTJ41"/>
    <mergeCell ref="WTK41:WTL41"/>
    <mergeCell ref="WSO41:WSP41"/>
    <mergeCell ref="WSQ41:WSR41"/>
    <mergeCell ref="WSS41:WST41"/>
    <mergeCell ref="WSU41:WSV41"/>
    <mergeCell ref="WSW41:WSX41"/>
    <mergeCell ref="WSY41:WSZ41"/>
    <mergeCell ref="WXQ41:WXR41"/>
    <mergeCell ref="WXS41:WXT41"/>
    <mergeCell ref="WXU41:WXV41"/>
    <mergeCell ref="WXW41:WXX41"/>
    <mergeCell ref="WXY41:WXZ41"/>
    <mergeCell ref="WYA41:WYB41"/>
    <mergeCell ref="WXE41:WXF41"/>
    <mergeCell ref="WXG41:WXH41"/>
    <mergeCell ref="WXI41:WXJ41"/>
    <mergeCell ref="WXK41:WXL41"/>
    <mergeCell ref="WXM41:WXN41"/>
    <mergeCell ref="WXO41:WXP41"/>
    <mergeCell ref="WWS41:WWT41"/>
    <mergeCell ref="WWU41:WWV41"/>
    <mergeCell ref="WWW41:WWX41"/>
    <mergeCell ref="WWY41:WWZ41"/>
    <mergeCell ref="WXA41:WXB41"/>
    <mergeCell ref="WXC41:WXD41"/>
    <mergeCell ref="WWG41:WWH41"/>
    <mergeCell ref="WWI41:WWJ41"/>
    <mergeCell ref="WWK41:WWL41"/>
    <mergeCell ref="WWM41:WWN41"/>
    <mergeCell ref="WWO41:WWP41"/>
    <mergeCell ref="WWQ41:WWR41"/>
    <mergeCell ref="WVU41:WVV41"/>
    <mergeCell ref="WVW41:WVX41"/>
    <mergeCell ref="WVY41:WVZ41"/>
    <mergeCell ref="WWA41:WWB41"/>
    <mergeCell ref="WWC41:WWD41"/>
    <mergeCell ref="WWE41:WWF41"/>
    <mergeCell ref="WVI41:WVJ41"/>
    <mergeCell ref="WVK41:WVL41"/>
    <mergeCell ref="WVM41:WVN41"/>
    <mergeCell ref="WVO41:WVP41"/>
    <mergeCell ref="WVQ41:WVR41"/>
    <mergeCell ref="WVS41:WVT41"/>
    <mergeCell ref="XBG41:XBH41"/>
    <mergeCell ref="XAK41:XAL41"/>
    <mergeCell ref="XAM41:XAN41"/>
    <mergeCell ref="XAO41:XAP41"/>
    <mergeCell ref="XAQ41:XAR41"/>
    <mergeCell ref="XAS41:XAT41"/>
    <mergeCell ref="XAU41:XAV41"/>
    <mergeCell ref="WZY41:WZZ41"/>
    <mergeCell ref="XAA41:XAB41"/>
    <mergeCell ref="XAC41:XAD41"/>
    <mergeCell ref="XAE41:XAF41"/>
    <mergeCell ref="XAG41:XAH41"/>
    <mergeCell ref="XAI41:XAJ41"/>
    <mergeCell ref="WZM41:WZN41"/>
    <mergeCell ref="WZO41:WZP41"/>
    <mergeCell ref="WZQ41:WZR41"/>
    <mergeCell ref="WZS41:WZT41"/>
    <mergeCell ref="WZU41:WZV41"/>
    <mergeCell ref="WZW41:WZX41"/>
    <mergeCell ref="WZA41:WZB41"/>
    <mergeCell ref="WZC41:WZD41"/>
    <mergeCell ref="WZE41:WZF41"/>
    <mergeCell ref="WZG41:WZH41"/>
    <mergeCell ref="WZI41:WZJ41"/>
    <mergeCell ref="WZK41:WZL41"/>
    <mergeCell ref="WYO41:WYP41"/>
    <mergeCell ref="WYQ41:WYR41"/>
    <mergeCell ref="WYS41:WYT41"/>
    <mergeCell ref="WYU41:WYV41"/>
    <mergeCell ref="WYW41:WYX41"/>
    <mergeCell ref="WYY41:WYZ41"/>
    <mergeCell ref="WYC41:WYD41"/>
    <mergeCell ref="WYE41:WYF41"/>
    <mergeCell ref="WYG41:WYH41"/>
    <mergeCell ref="WYI41:WYJ41"/>
    <mergeCell ref="WYK41:WYL41"/>
    <mergeCell ref="WYM41:WYN41"/>
    <mergeCell ref="B52:C52"/>
    <mergeCell ref="B53:C53"/>
    <mergeCell ref="B54:C54"/>
    <mergeCell ref="B56:C56"/>
    <mergeCell ref="B57:C57"/>
    <mergeCell ref="B58:C58"/>
    <mergeCell ref="B59:C59"/>
    <mergeCell ref="B60:C60"/>
    <mergeCell ref="B61:C61"/>
    <mergeCell ref="XFA41:XFB41"/>
    <mergeCell ref="XFC41:XFD41"/>
    <mergeCell ref="XEO41:XEP41"/>
    <mergeCell ref="XEQ41:XER41"/>
    <mergeCell ref="XES41:XET41"/>
    <mergeCell ref="XEU41:XEV41"/>
    <mergeCell ref="XEW41:XEX41"/>
    <mergeCell ref="XEY41:XEZ41"/>
    <mergeCell ref="XEC41:XED41"/>
    <mergeCell ref="XEE41:XEF41"/>
    <mergeCell ref="XEG41:XEH41"/>
    <mergeCell ref="XEI41:XEJ41"/>
    <mergeCell ref="XEK41:XEL41"/>
    <mergeCell ref="XEM41:XEN41"/>
    <mergeCell ref="XDQ41:XDR41"/>
    <mergeCell ref="XDS41:XDT41"/>
    <mergeCell ref="XDU41:XDV41"/>
    <mergeCell ref="XDW41:XDX41"/>
    <mergeCell ref="XDY41:XDZ41"/>
    <mergeCell ref="XEA41:XEB41"/>
    <mergeCell ref="XDE41:XDF41"/>
    <mergeCell ref="XDG41:XDH41"/>
    <mergeCell ref="XDI41:XDJ41"/>
    <mergeCell ref="XDK41:XDL41"/>
    <mergeCell ref="XDM41:XDN41"/>
    <mergeCell ref="XDO41:XDP41"/>
    <mergeCell ref="XCS41:XCT41"/>
    <mergeCell ref="XCU41:XCV41"/>
    <mergeCell ref="XCW41:XCX41"/>
    <mergeCell ref="XCY41:XCZ41"/>
    <mergeCell ref="XDA41:XDB41"/>
    <mergeCell ref="XDC41:XDD41"/>
    <mergeCell ref="XCG41:XCH41"/>
    <mergeCell ref="XCI41:XCJ41"/>
    <mergeCell ref="XCK41:XCL41"/>
    <mergeCell ref="XCM41:XCN41"/>
    <mergeCell ref="XCO41:XCP41"/>
    <mergeCell ref="XCQ41:XCR41"/>
    <mergeCell ref="XBU41:XBV41"/>
    <mergeCell ref="XBW41:XBX41"/>
    <mergeCell ref="XBY41:XBZ41"/>
    <mergeCell ref="XCA41:XCB41"/>
    <mergeCell ref="XCC41:XCD41"/>
    <mergeCell ref="XCE41:XCF41"/>
    <mergeCell ref="XBI41:XBJ41"/>
    <mergeCell ref="XBK41:XBL41"/>
    <mergeCell ref="XBM41:XBN41"/>
    <mergeCell ref="XBO41:XBP41"/>
    <mergeCell ref="XBQ41:XBR41"/>
    <mergeCell ref="XBS41:XBT41"/>
    <mergeCell ref="XAW41:XAX41"/>
    <mergeCell ref="XAY41:XAZ41"/>
    <mergeCell ref="XBA41:XBB41"/>
    <mergeCell ref="XBC41:XBD41"/>
    <mergeCell ref="XBE41:XBF41"/>
  </mergeCells>
  <hyperlinks>
    <hyperlink ref="B19" location="'Guide - Key Facts'!A1" display="Guide - Key Facts: A guide to using the Adjusted Health Gain Chart and Key Facts worksheets" xr:uid="{00000000-0004-0000-0B00-000000000000}"/>
    <hyperlink ref="B20" location="'Adjusted Health Gain Chart'!A1" display="Adjusted Health Gain Chart: Figures showing the adjusted health gain by procedure and measure for England, provider level or CCG" xr:uid="{00000000-0004-0000-0B00-000001000000}"/>
    <hyperlink ref="B21" location="'Key Facts'!A1" display="Key Facts: Participation and linkage scores for organisation selected on Adjusted Health Gain worksheet, excluding CCG level data" xr:uid="{00000000-0004-0000-0B00-000002000000}"/>
    <hyperlink ref="B23" location="'Guide -  Select 10 Table'!A1" display="Guide - Select 10 Table: A guide to using the Select 10 Table" xr:uid="{00000000-0004-0000-0B00-000003000000}"/>
    <hyperlink ref="B24" location="'Select 10 table'!A1" display="Select 10 Table: Select up to 10 organisations to see how they compare against each other" xr:uid="{00000000-0004-0000-0B00-000004000000}"/>
    <hyperlink ref="B26" location="'Guide - Funnel Plot'!A1" display="Guide - Funnel Plot: A Guide to using the Funnel Plot and Funnel Data worksheets" xr:uid="{00000000-0004-0000-0B00-000005000000}"/>
    <hyperlink ref="B27" location="'Funnel Plot'!A1" display="Funnel Plot" xr:uid="{00000000-0004-0000-0B00-000006000000}"/>
    <hyperlink ref="B28" location="'Funnel Data'!A1" display="Funnel Data" xr:uid="{00000000-0004-0000-0B00-000007000000}"/>
    <hyperlink ref="B62" r:id="rId1" xr:uid="{00000000-0004-0000-0B00-000008000000}"/>
    <hyperlink ref="B65" r:id="rId2" display="mailto:psi@nationalarchives.gsi.gov.uk" xr:uid="{00000000-0004-0000-0B00-000009000000}"/>
  </hyperlinks>
  <pageMargins left="0.35433070866141742" right="0.35433070866141742" top="0.39370078740157483" bottom="0.39370078740157483" header="0.11811023622047249" footer="0.11811023622047249"/>
  <pageSetup paperSize="9" scale="56" orientation="portrait"/>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theme="3"/>
    <pageSetUpPr fitToPage="1"/>
  </sheetPr>
  <dimension ref="A1:BV383"/>
  <sheetViews>
    <sheetView showGridLines="0" zoomScale="80" zoomScaleNormal="80" workbookViewId="0">
      <pane ySplit="7" topLeftCell="A10" activePane="bottomLeft" state="frozen"/>
      <selection activeCell="C13" sqref="C13"/>
      <selection pane="bottomLeft" activeCell="Q26" sqref="Q26"/>
    </sheetView>
  </sheetViews>
  <sheetFormatPr defaultColWidth="9.1796875" defaultRowHeight="12.5" x14ac:dyDescent="0.25"/>
  <cols>
    <col min="1" max="1" width="3.81640625" style="7" customWidth="1"/>
    <col min="2" max="2" width="4.81640625" style="7" customWidth="1"/>
    <col min="3" max="3" width="22.1796875" style="7" bestFit="1" customWidth="1"/>
    <col min="4" max="5" width="21.81640625" style="7" customWidth="1"/>
    <col min="6" max="6" width="21.81640625" style="7" bestFit="1" customWidth="1"/>
    <col min="7" max="8" width="17.81640625" style="7" customWidth="1"/>
    <col min="9" max="9" width="2.54296875" style="7" customWidth="1"/>
    <col min="10" max="10" width="21.1796875" style="7" customWidth="1"/>
    <col min="11" max="12" width="12.81640625" style="7" customWidth="1"/>
    <col min="13" max="14" width="9.1796875" style="7" customWidth="1"/>
    <col min="15" max="15" width="11.54296875" style="7" customWidth="1"/>
    <col min="16" max="21" width="9.1796875" style="7" customWidth="1"/>
    <col min="22" max="16384" width="9.1796875" style="7"/>
  </cols>
  <sheetData>
    <row r="1" spans="1:74" s="280" customFormat="1" x14ac:dyDescent="0.25">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row>
    <row r="2" spans="1:74" s="280" customFormat="1" x14ac:dyDescent="0.25">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row>
    <row r="3" spans="1:74" s="280" customFormat="1" x14ac:dyDescent="0.25">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row>
    <row r="4" spans="1:74" s="280" customFormat="1" x14ac:dyDescent="0.25">
      <c r="C4" s="283"/>
      <c r="D4" s="283"/>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row>
    <row r="5" spans="1:74" s="280" customFormat="1" x14ac:dyDescent="0.25">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row>
    <row r="6" spans="1:74" s="280" customFormat="1" x14ac:dyDescent="0.25">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row>
    <row r="7" spans="1:74" s="280" customFormat="1" ht="17" customHeight="1" x14ac:dyDescent="0.25">
      <c r="C7" s="283"/>
      <c r="D7" s="283"/>
      <c r="E7" s="283"/>
      <c r="F7" s="283"/>
      <c r="G7" s="283"/>
      <c r="H7" s="283"/>
      <c r="I7" s="283"/>
      <c r="J7" s="283"/>
      <c r="K7" s="283"/>
      <c r="L7" s="356" t="s">
        <v>1244</v>
      </c>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row>
    <row r="8" spans="1:74" s="14" customFormat="1" ht="12" customHeight="1" x14ac:dyDescent="0.25">
      <c r="A8" s="36"/>
    </row>
    <row r="9" spans="1:74" s="14" customFormat="1" ht="26.25" customHeight="1" x14ac:dyDescent="0.5">
      <c r="B9" s="46" t="s">
        <v>1245</v>
      </c>
    </row>
    <row r="10" spans="1:74" s="14" customFormat="1" ht="15" customHeight="1" x14ac:dyDescent="0.35">
      <c r="B10" s="48"/>
    </row>
    <row r="11" spans="1:74" s="49" customFormat="1" ht="31.5" customHeight="1" x14ac:dyDescent="0.35">
      <c r="B11" s="428" t="s">
        <v>1246</v>
      </c>
      <c r="C11" s="434"/>
      <c r="D11" s="434"/>
      <c r="E11" s="434"/>
      <c r="F11" s="434"/>
      <c r="G11" s="434"/>
      <c r="H11" s="434"/>
      <c r="I11" s="434"/>
      <c r="J11" s="434"/>
      <c r="K11" s="434"/>
      <c r="L11" s="434"/>
    </row>
    <row r="12" spans="1:74" s="50" customFormat="1" ht="15" customHeight="1" x14ac:dyDescent="0.3">
      <c r="B12" s="156"/>
      <c r="C12" s="284"/>
      <c r="D12" s="284"/>
      <c r="E12" s="284"/>
      <c r="F12" s="284"/>
      <c r="G12" s="284"/>
      <c r="H12" s="284"/>
      <c r="I12" s="284"/>
      <c r="J12" s="284"/>
      <c r="K12" s="284"/>
      <c r="L12" s="284"/>
    </row>
    <row r="13" spans="1:74" s="49" customFormat="1" ht="29.25" customHeight="1" x14ac:dyDescent="0.35">
      <c r="B13" s="439" t="s">
        <v>1247</v>
      </c>
      <c r="C13" s="434"/>
      <c r="D13" s="434"/>
      <c r="E13" s="434"/>
      <c r="F13" s="434"/>
      <c r="G13" s="434"/>
      <c r="H13" s="434"/>
      <c r="I13" s="434"/>
      <c r="J13" s="434"/>
      <c r="K13" s="434"/>
      <c r="L13" s="434"/>
    </row>
    <row r="14" spans="1:74" s="17" customFormat="1" ht="15" customHeight="1" x14ac:dyDescent="0.3">
      <c r="B14" s="285"/>
      <c r="C14" s="285"/>
      <c r="D14" s="285"/>
      <c r="E14" s="285"/>
      <c r="F14" s="285"/>
      <c r="G14" s="285"/>
      <c r="H14" s="285"/>
      <c r="I14" s="285"/>
      <c r="J14" s="285"/>
      <c r="K14" s="285"/>
      <c r="L14" s="285"/>
      <c r="M14" s="14"/>
      <c r="N14" s="14"/>
      <c r="O14" s="14"/>
    </row>
    <row r="15" spans="1:74" ht="15.75" customHeight="1" x14ac:dyDescent="0.3">
      <c r="A15" s="17"/>
      <c r="B15" s="447" t="s">
        <v>44</v>
      </c>
      <c r="C15" s="448"/>
      <c r="D15" s="448"/>
      <c r="E15" s="448"/>
      <c r="F15" s="448"/>
      <c r="G15" s="448"/>
      <c r="H15" s="448"/>
      <c r="I15" s="448"/>
      <c r="J15" s="448"/>
      <c r="K15" s="448"/>
      <c r="L15" s="448"/>
      <c r="M15" s="14"/>
      <c r="N15" s="14"/>
      <c r="O15" s="17"/>
      <c r="P15" s="17"/>
      <c r="Q15" s="17"/>
    </row>
    <row r="16" spans="1:74" ht="43.5" customHeight="1" x14ac:dyDescent="0.25">
      <c r="A16" s="17"/>
      <c r="B16" s="428" t="s">
        <v>1248</v>
      </c>
      <c r="C16" s="448"/>
      <c r="D16" s="448"/>
      <c r="E16" s="448"/>
      <c r="F16" s="448"/>
      <c r="G16" s="448"/>
      <c r="H16" s="448"/>
      <c r="I16" s="448"/>
      <c r="J16" s="448"/>
      <c r="K16" s="448"/>
      <c r="L16" s="448"/>
      <c r="M16" s="14"/>
      <c r="N16" s="14"/>
      <c r="O16" s="17"/>
      <c r="P16" s="17"/>
      <c r="Q16" s="17"/>
    </row>
    <row r="17" spans="1:21" s="17" customFormat="1" ht="6" customHeight="1" thickBot="1" x14ac:dyDescent="0.35">
      <c r="B17" s="402"/>
      <c r="C17" s="440"/>
      <c r="D17" s="440"/>
      <c r="E17" s="440"/>
      <c r="F17" s="440"/>
      <c r="G17" s="440"/>
      <c r="H17" s="440"/>
      <c r="I17" s="440"/>
      <c r="J17" s="440"/>
      <c r="K17" s="440"/>
      <c r="L17" s="440"/>
      <c r="M17" s="14"/>
      <c r="N17" s="14"/>
      <c r="O17" s="14"/>
    </row>
    <row r="18" spans="1:21" s="49" customFormat="1" ht="22.5" customHeight="1" thickBot="1" x14ac:dyDescent="0.4">
      <c r="B18" s="444" t="s">
        <v>1249</v>
      </c>
      <c r="C18" s="445"/>
      <c r="D18" s="445"/>
      <c r="E18" s="445"/>
      <c r="F18" s="445"/>
      <c r="G18" s="445"/>
      <c r="H18" s="445"/>
      <c r="I18" s="445"/>
      <c r="J18" s="445"/>
      <c r="K18" s="446"/>
      <c r="L18" s="286"/>
      <c r="M18" s="51"/>
      <c r="N18" s="51"/>
      <c r="O18" s="51"/>
    </row>
    <row r="19" spans="1:21" s="17" customFormat="1" ht="6.75" customHeight="1" x14ac:dyDescent="0.3">
      <c r="B19" s="285"/>
      <c r="C19" s="287"/>
      <c r="D19" s="287"/>
      <c r="E19" s="287"/>
      <c r="F19" s="285"/>
      <c r="G19" s="288"/>
      <c r="H19" s="438"/>
      <c r="I19" s="424"/>
      <c r="J19" s="424"/>
      <c r="K19" s="288"/>
      <c r="L19" s="288"/>
      <c r="O19" s="14"/>
    </row>
    <row r="20" spans="1:21" s="17" customFormat="1" ht="30.75" customHeight="1" x14ac:dyDescent="0.25">
      <c r="B20" s="439" t="s">
        <v>1250</v>
      </c>
      <c r="C20" s="440"/>
      <c r="D20" s="440"/>
      <c r="E20" s="440"/>
      <c r="F20" s="440"/>
      <c r="G20" s="440"/>
      <c r="H20" s="440"/>
      <c r="I20" s="440"/>
      <c r="J20" s="440"/>
      <c r="K20" s="440"/>
      <c r="L20" s="440"/>
      <c r="M20" s="34"/>
      <c r="N20" s="34"/>
    </row>
    <row r="21" spans="1:21" s="17" customFormat="1" ht="5.25" customHeight="1" x14ac:dyDescent="0.25">
      <c r="B21" s="14"/>
      <c r="C21" s="27"/>
      <c r="D21" s="27"/>
      <c r="E21" s="27"/>
      <c r="F21" s="14"/>
      <c r="H21" s="438"/>
      <c r="I21" s="424"/>
      <c r="J21" s="424"/>
    </row>
    <row r="22" spans="1:21" ht="25.5" customHeight="1" x14ac:dyDescent="0.25">
      <c r="A22" s="17"/>
      <c r="B22" s="441"/>
      <c r="C22" s="424"/>
      <c r="D22" s="424"/>
      <c r="E22" s="442"/>
      <c r="F22" s="424"/>
      <c r="G22" s="424"/>
      <c r="H22" s="52"/>
      <c r="J22" s="14"/>
      <c r="K22" s="14"/>
      <c r="L22" s="14"/>
      <c r="M22" s="14"/>
      <c r="N22" s="14"/>
      <c r="O22" s="17"/>
      <c r="P22" s="17"/>
      <c r="Q22" s="17"/>
    </row>
    <row r="23" spans="1:21" ht="25.5" customHeight="1" x14ac:dyDescent="0.25">
      <c r="A23" s="17"/>
      <c r="B23" s="443"/>
      <c r="C23" s="424"/>
      <c r="D23" s="424"/>
      <c r="E23" s="442"/>
      <c r="F23" s="424"/>
      <c r="G23" s="424"/>
      <c r="H23" s="53"/>
      <c r="J23" s="14"/>
      <c r="K23" s="14"/>
      <c r="L23" s="14"/>
      <c r="M23" s="14"/>
      <c r="N23" s="14"/>
      <c r="O23" s="17"/>
      <c r="P23" s="17"/>
      <c r="Q23" s="17"/>
    </row>
    <row r="24" spans="1:21" s="17" customFormat="1" ht="15.75" customHeight="1" x14ac:dyDescent="0.25">
      <c r="B24" s="24"/>
      <c r="C24" s="25"/>
      <c r="D24" s="25"/>
      <c r="E24" s="26"/>
      <c r="F24" s="14"/>
      <c r="H24" s="14"/>
      <c r="I24" s="14"/>
      <c r="J24" s="14"/>
      <c r="K24" s="14"/>
      <c r="L24" s="14"/>
      <c r="M24" s="14"/>
      <c r="N24" s="14"/>
      <c r="O24" s="14"/>
    </row>
    <row r="25" spans="1:21" s="49" customFormat="1" ht="21.75" customHeight="1" x14ac:dyDescent="0.35">
      <c r="B25" s="54"/>
      <c r="C25" s="55"/>
      <c r="D25" s="55"/>
      <c r="E25" s="55"/>
      <c r="F25" s="51"/>
      <c r="H25" s="51"/>
      <c r="I25" s="51"/>
      <c r="K25" s="51"/>
      <c r="L25" s="51"/>
      <c r="M25" s="51"/>
      <c r="N25" s="51"/>
      <c r="O25" s="51"/>
    </row>
    <row r="26" spans="1:21" s="17" customFormat="1" ht="47.25" customHeight="1" x14ac:dyDescent="0.25">
      <c r="B26" s="14"/>
      <c r="C26" s="27"/>
      <c r="D26" s="27"/>
      <c r="E26" s="27"/>
      <c r="F26" s="14"/>
      <c r="H26" s="437"/>
      <c r="I26" s="424"/>
      <c r="J26" s="424"/>
      <c r="O26" s="14"/>
    </row>
    <row r="27" spans="1:21" s="17" customFormat="1" ht="21" customHeight="1" x14ac:dyDescent="0.25">
      <c r="B27" s="14"/>
      <c r="C27" s="27"/>
      <c r="D27" s="27"/>
      <c r="E27" s="27"/>
      <c r="F27" s="14"/>
      <c r="H27" s="14"/>
      <c r="J27" s="35"/>
      <c r="K27" s="34"/>
      <c r="L27" s="34"/>
      <c r="M27" s="34"/>
      <c r="N27" s="34"/>
    </row>
    <row r="28" spans="1:21" s="17" customFormat="1" ht="15" customHeight="1" x14ac:dyDescent="0.25">
      <c r="B28" s="14"/>
      <c r="C28" s="27"/>
      <c r="D28" s="27"/>
      <c r="E28" s="27"/>
      <c r="F28" s="14"/>
    </row>
    <row r="29" spans="1:21" s="17" customFormat="1" ht="33.75" customHeight="1" x14ac:dyDescent="0.25">
      <c r="B29" s="14"/>
      <c r="C29" s="27"/>
      <c r="D29" s="27"/>
      <c r="E29" s="27"/>
      <c r="F29" s="14"/>
    </row>
    <row r="30" spans="1:21" s="17" customFormat="1" ht="43.5" customHeight="1" x14ac:dyDescent="0.25">
      <c r="B30" s="14"/>
      <c r="C30" s="28"/>
      <c r="D30" s="29"/>
      <c r="E30" s="29"/>
      <c r="F30" s="14"/>
      <c r="H30" s="437"/>
      <c r="I30" s="424"/>
      <c r="J30" s="424"/>
    </row>
    <row r="31" spans="1:21" s="17" customFormat="1" ht="12" customHeight="1" x14ac:dyDescent="0.25">
      <c r="B31" s="14"/>
      <c r="C31" s="29"/>
      <c r="D31" s="29"/>
      <c r="E31" s="29"/>
      <c r="F31" s="14"/>
      <c r="M31" s="56"/>
      <c r="N31" s="56"/>
    </row>
    <row r="32" spans="1:21" s="17" customFormat="1" ht="18.75" customHeight="1" x14ac:dyDescent="0.25">
      <c r="B32" s="14"/>
      <c r="C32" s="28"/>
      <c r="D32" s="29"/>
      <c r="E32" s="29"/>
      <c r="F32" s="14"/>
      <c r="J32" s="56"/>
      <c r="K32" s="56"/>
      <c r="L32" s="56"/>
      <c r="M32" s="56"/>
      <c r="N32" s="56"/>
      <c r="P32" s="30"/>
      <c r="Q32" s="30"/>
      <c r="R32" s="30"/>
      <c r="S32" s="30"/>
      <c r="T32" s="30"/>
      <c r="U32" s="30"/>
    </row>
    <row r="33" spans="2:21" s="17" customFormat="1" ht="37.5" customHeight="1" x14ac:dyDescent="0.25">
      <c r="B33" s="14"/>
      <c r="C33" s="27"/>
      <c r="D33" s="27"/>
      <c r="E33" s="27"/>
      <c r="F33" s="14"/>
      <c r="P33" s="30"/>
      <c r="Q33" s="23"/>
      <c r="R33" s="23"/>
      <c r="S33" s="31"/>
      <c r="T33" s="31"/>
      <c r="U33" s="31"/>
    </row>
    <row r="34" spans="2:21" s="17" customFormat="1" ht="14.25" customHeight="1" x14ac:dyDescent="0.25">
      <c r="B34" s="14"/>
      <c r="C34" s="27"/>
      <c r="D34" s="27"/>
      <c r="E34" s="27"/>
      <c r="F34" s="14"/>
      <c r="P34" s="30"/>
      <c r="Q34" s="23"/>
      <c r="R34" s="23"/>
      <c r="S34" s="31"/>
      <c r="T34" s="31"/>
      <c r="U34" s="31"/>
    </row>
    <row r="35" spans="2:21" s="17" customFormat="1" ht="45" customHeight="1" x14ac:dyDescent="0.25">
      <c r="B35" s="14"/>
      <c r="C35" s="27"/>
      <c r="D35" s="27"/>
      <c r="E35" s="27"/>
      <c r="F35" s="14"/>
      <c r="P35" s="30"/>
      <c r="Q35" s="23"/>
      <c r="R35" s="23" t="s">
        <v>963</v>
      </c>
      <c r="S35" s="31">
        <v>0.77500000000000002</v>
      </c>
      <c r="T35" s="31">
        <v>0.11</v>
      </c>
      <c r="U35" s="31">
        <f>T35-T35-T35</f>
        <v>-0.11</v>
      </c>
    </row>
    <row r="36" spans="2:21" s="17" customFormat="1" ht="15.75" customHeight="1" x14ac:dyDescent="0.25">
      <c r="B36" s="14"/>
      <c r="C36" s="27"/>
      <c r="D36" s="27"/>
      <c r="E36" s="27"/>
      <c r="F36" s="14"/>
      <c r="P36" s="30"/>
      <c r="Q36" s="23"/>
      <c r="R36" s="23"/>
      <c r="S36" s="31"/>
      <c r="T36" s="31"/>
      <c r="U36" s="31"/>
    </row>
    <row r="37" spans="2:21" s="102" customFormat="1" ht="6.75" customHeight="1" x14ac:dyDescent="0.35">
      <c r="B37" s="436"/>
      <c r="C37" s="429"/>
      <c r="D37" s="429"/>
      <c r="E37" s="429"/>
      <c r="F37" s="429"/>
      <c r="G37" s="429"/>
      <c r="H37" s="429"/>
      <c r="I37" s="429"/>
      <c r="J37" s="429"/>
      <c r="K37" s="429"/>
      <c r="L37" s="429"/>
    </row>
    <row r="38" spans="2:21" s="102" customFormat="1" ht="15" customHeight="1" x14ac:dyDescent="0.35">
      <c r="B38" s="433" t="s">
        <v>1251</v>
      </c>
      <c r="C38" s="429"/>
      <c r="D38" s="429"/>
      <c r="E38" s="429"/>
      <c r="F38" s="429"/>
      <c r="G38" s="429"/>
      <c r="H38" s="429"/>
      <c r="I38" s="429"/>
      <c r="J38" s="429"/>
      <c r="K38" s="429"/>
      <c r="L38" s="429"/>
    </row>
    <row r="39" spans="2:21" s="49" customFormat="1" ht="33" customHeight="1" x14ac:dyDescent="0.35">
      <c r="B39" s="428" t="s">
        <v>1252</v>
      </c>
      <c r="C39" s="434"/>
      <c r="D39" s="434"/>
      <c r="E39" s="434"/>
      <c r="F39" s="434"/>
      <c r="G39" s="434"/>
      <c r="H39" s="434"/>
      <c r="I39" s="434"/>
      <c r="J39" s="434"/>
      <c r="K39" s="434"/>
      <c r="L39" s="434"/>
      <c r="M39" s="51"/>
      <c r="N39" s="51"/>
      <c r="O39" s="51"/>
    </row>
    <row r="40" spans="2:21" s="49" customFormat="1" ht="5.25" customHeight="1" x14ac:dyDescent="0.35">
      <c r="B40" s="435"/>
      <c r="C40" s="424"/>
      <c r="D40" s="424"/>
      <c r="E40" s="424"/>
      <c r="F40" s="424"/>
      <c r="G40" s="424"/>
      <c r="H40" s="424"/>
      <c r="I40" s="424"/>
      <c r="J40" s="424"/>
      <c r="K40" s="424"/>
      <c r="L40" s="424"/>
      <c r="M40" s="50"/>
      <c r="N40" s="51"/>
      <c r="O40" s="51"/>
    </row>
    <row r="41" spans="2:21" s="102" customFormat="1" ht="33" customHeight="1" x14ac:dyDescent="0.35">
      <c r="B41" s="156"/>
      <c r="C41" s="428" t="s">
        <v>1253</v>
      </c>
      <c r="D41" s="429"/>
      <c r="E41" s="429"/>
      <c r="F41" s="429"/>
      <c r="G41" s="429"/>
      <c r="H41" s="429"/>
      <c r="I41" s="429"/>
      <c r="J41" s="429"/>
      <c r="K41" s="429"/>
      <c r="L41" s="429"/>
    </row>
    <row r="42" spans="2:21" s="102" customFormat="1" ht="16.5" customHeight="1" x14ac:dyDescent="0.35">
      <c r="B42" s="156"/>
      <c r="C42" s="428" t="s">
        <v>1254</v>
      </c>
      <c r="D42" s="429"/>
      <c r="E42" s="429"/>
      <c r="F42" s="429"/>
      <c r="G42" s="429"/>
      <c r="H42" s="429"/>
      <c r="I42" s="429"/>
      <c r="J42" s="429"/>
      <c r="K42" s="429"/>
      <c r="L42" s="429"/>
    </row>
    <row r="43" spans="2:21" s="102" customFormat="1" ht="17.25" customHeight="1" x14ac:dyDescent="0.35">
      <c r="B43" s="156"/>
      <c r="C43" s="428" t="s">
        <v>1255</v>
      </c>
      <c r="D43" s="429"/>
      <c r="E43" s="429"/>
      <c r="F43" s="429"/>
      <c r="G43" s="429"/>
      <c r="H43" s="429"/>
      <c r="I43" s="429"/>
      <c r="J43" s="429"/>
      <c r="K43" s="429"/>
      <c r="L43" s="429"/>
    </row>
    <row r="44" spans="2:21" s="102" customFormat="1" ht="16.5" customHeight="1" x14ac:dyDescent="0.35">
      <c r="B44" s="279"/>
      <c r="C44" s="428" t="s">
        <v>1256</v>
      </c>
      <c r="D44" s="429"/>
      <c r="E44" s="429"/>
      <c r="F44" s="429"/>
      <c r="G44" s="429"/>
      <c r="H44" s="429"/>
      <c r="I44" s="429"/>
      <c r="J44" s="429"/>
      <c r="K44" s="429"/>
      <c r="L44" s="429"/>
    </row>
    <row r="45" spans="2:21" s="102" customFormat="1" ht="15" customHeight="1" x14ac:dyDescent="0.35">
      <c r="B45" s="279"/>
      <c r="C45" s="279"/>
      <c r="D45" s="279"/>
      <c r="E45" s="279"/>
      <c r="F45" s="279"/>
      <c r="G45" s="279"/>
      <c r="H45" s="279"/>
      <c r="I45" s="279"/>
      <c r="J45" s="279"/>
      <c r="K45" s="279"/>
      <c r="L45" s="279"/>
    </row>
    <row r="46" spans="2:21" s="17" customFormat="1" ht="14.25" customHeight="1" x14ac:dyDescent="0.3">
      <c r="B46" s="288"/>
      <c r="C46" s="288"/>
      <c r="D46" s="288"/>
      <c r="E46" s="288"/>
      <c r="F46" s="288"/>
      <c r="G46" s="288"/>
      <c r="H46" s="288"/>
      <c r="I46" s="288"/>
      <c r="J46" s="288"/>
      <c r="K46" s="288"/>
      <c r="L46" s="288"/>
    </row>
    <row r="47" spans="2:21" s="49" customFormat="1" ht="32.25" customHeight="1" thickBot="1" x14ac:dyDescent="0.4">
      <c r="B47" s="430" t="s">
        <v>1257</v>
      </c>
      <c r="C47" s="431"/>
      <c r="D47" s="431"/>
      <c r="E47" s="431"/>
      <c r="F47" s="431"/>
      <c r="G47" s="431"/>
      <c r="H47" s="431"/>
      <c r="I47" s="431"/>
      <c r="J47" s="431"/>
      <c r="K47" s="431"/>
      <c r="L47" s="288"/>
    </row>
    <row r="48" spans="2:21" s="17" customFormat="1" x14ac:dyDescent="0.25"/>
    <row r="49" spans="4:4" s="17" customFormat="1" x14ac:dyDescent="0.25"/>
    <row r="50" spans="4:4" s="17" customFormat="1" x14ac:dyDescent="0.25"/>
    <row r="51" spans="4:4" s="17" customFormat="1" x14ac:dyDescent="0.25"/>
    <row r="52" spans="4:4" s="17" customFormat="1" x14ac:dyDescent="0.25">
      <c r="D52" s="195"/>
    </row>
    <row r="53" spans="4:4" s="17" customFormat="1" x14ac:dyDescent="0.25"/>
    <row r="54" spans="4:4" s="17" customFormat="1" x14ac:dyDescent="0.25"/>
    <row r="55" spans="4:4" s="17" customFormat="1" x14ac:dyDescent="0.25"/>
    <row r="56" spans="4:4" s="17" customFormat="1" x14ac:dyDescent="0.25"/>
    <row r="57" spans="4:4" s="17" customFormat="1" x14ac:dyDescent="0.25"/>
    <row r="58" spans="4:4" s="17" customFormat="1" x14ac:dyDescent="0.25"/>
    <row r="59" spans="4:4" s="17" customFormat="1" x14ac:dyDescent="0.25"/>
    <row r="60" spans="4:4" s="17" customFormat="1" x14ac:dyDescent="0.25"/>
    <row r="61" spans="4:4" s="17" customFormat="1" x14ac:dyDescent="0.25"/>
    <row r="62" spans="4:4" s="17" customFormat="1" x14ac:dyDescent="0.25"/>
    <row r="63" spans="4:4" s="17" customFormat="1" x14ac:dyDescent="0.25"/>
    <row r="64" spans="4:4" s="17" customFormat="1" x14ac:dyDescent="0.25"/>
    <row r="65" s="17" customFormat="1" x14ac:dyDescent="0.25"/>
    <row r="66" s="17" customFormat="1" x14ac:dyDescent="0.25"/>
    <row r="67" s="17" customFormat="1" x14ac:dyDescent="0.25"/>
    <row r="68" s="17" customFormat="1" x14ac:dyDescent="0.25"/>
    <row r="69" s="17" customFormat="1" x14ac:dyDescent="0.25"/>
    <row r="70" s="17" customFormat="1" x14ac:dyDescent="0.25"/>
    <row r="71" s="17" customFormat="1" x14ac:dyDescent="0.25"/>
    <row r="72" s="17" customFormat="1" x14ac:dyDescent="0.25"/>
    <row r="73" s="17" customFormat="1" x14ac:dyDescent="0.25"/>
    <row r="74" s="17" customFormat="1" x14ac:dyDescent="0.25"/>
    <row r="75" s="17" customFormat="1" x14ac:dyDescent="0.25"/>
    <row r="76" s="17" customFormat="1" x14ac:dyDescent="0.25"/>
    <row r="77" s="17" customFormat="1" x14ac:dyDescent="0.25"/>
    <row r="78" s="17" customFormat="1" x14ac:dyDescent="0.25"/>
    <row r="79" s="17" customFormat="1" x14ac:dyDescent="0.25"/>
    <row r="80" s="17" customFormat="1" x14ac:dyDescent="0.25"/>
    <row r="81" s="17" customFormat="1" x14ac:dyDescent="0.25"/>
    <row r="82" s="17" customFormat="1" x14ac:dyDescent="0.25"/>
    <row r="83" s="17" customFormat="1" x14ac:dyDescent="0.25"/>
    <row r="84" s="17" customFormat="1" x14ac:dyDescent="0.25"/>
    <row r="85" s="17" customFormat="1" x14ac:dyDescent="0.25"/>
    <row r="86" s="17" customFormat="1" x14ac:dyDescent="0.25"/>
    <row r="87" s="17" customFormat="1" x14ac:dyDescent="0.25"/>
    <row r="88" s="17" customFormat="1" x14ac:dyDescent="0.25"/>
    <row r="89" s="17" customFormat="1" x14ac:dyDescent="0.25"/>
    <row r="90" s="17" customFormat="1" x14ac:dyDescent="0.25"/>
    <row r="91" s="17" customFormat="1" x14ac:dyDescent="0.25"/>
    <row r="92" s="17" customFormat="1" x14ac:dyDescent="0.25"/>
    <row r="93" s="17" customFormat="1" x14ac:dyDescent="0.25"/>
    <row r="94" s="17" customFormat="1" x14ac:dyDescent="0.25"/>
    <row r="95" s="17" customFormat="1" x14ac:dyDescent="0.25"/>
    <row r="96" s="17" customFormat="1" x14ac:dyDescent="0.25"/>
    <row r="97" s="17" customFormat="1" x14ac:dyDescent="0.25"/>
    <row r="98" s="17" customFormat="1" x14ac:dyDescent="0.25"/>
    <row r="99" s="17" customFormat="1" x14ac:dyDescent="0.25"/>
    <row r="100" s="17" customFormat="1" x14ac:dyDescent="0.25"/>
    <row r="101" s="17" customFormat="1" x14ac:dyDescent="0.25"/>
    <row r="102" s="17" customFormat="1" x14ac:dyDescent="0.25"/>
    <row r="103" s="17" customFormat="1" x14ac:dyDescent="0.25"/>
    <row r="104" s="17" customFormat="1" x14ac:dyDescent="0.25"/>
    <row r="105" s="17" customFormat="1" x14ac:dyDescent="0.25"/>
    <row r="106" s="17" customFormat="1" x14ac:dyDescent="0.25"/>
    <row r="107" s="17" customFormat="1" x14ac:dyDescent="0.25"/>
    <row r="108" s="17" customFormat="1" x14ac:dyDescent="0.25"/>
    <row r="109" s="17" customFormat="1" x14ac:dyDescent="0.25"/>
    <row r="110" s="17" customFormat="1" x14ac:dyDescent="0.25"/>
    <row r="111" s="17" customFormat="1" x14ac:dyDescent="0.25"/>
    <row r="112" s="17" customFormat="1" x14ac:dyDescent="0.25"/>
    <row r="113" s="17" customFormat="1" x14ac:dyDescent="0.25"/>
    <row r="114" s="17" customFormat="1" x14ac:dyDescent="0.25"/>
    <row r="115" s="17" customFormat="1" x14ac:dyDescent="0.25"/>
    <row r="116" s="17" customFormat="1" x14ac:dyDescent="0.25"/>
    <row r="117" s="17" customFormat="1" x14ac:dyDescent="0.25"/>
    <row r="118" s="17" customFormat="1" x14ac:dyDescent="0.25"/>
    <row r="119" s="17" customFormat="1" x14ac:dyDescent="0.25"/>
    <row r="120" s="17" customFormat="1" x14ac:dyDescent="0.25"/>
    <row r="121" s="17" customFormat="1" x14ac:dyDescent="0.25"/>
    <row r="122" s="17" customFormat="1" x14ac:dyDescent="0.25"/>
    <row r="123" s="17" customFormat="1" x14ac:dyDescent="0.25"/>
    <row r="124" s="17" customFormat="1" x14ac:dyDescent="0.25"/>
    <row r="125" s="17" customFormat="1" x14ac:dyDescent="0.25"/>
    <row r="126" s="17" customFormat="1" x14ac:dyDescent="0.25"/>
    <row r="127" s="17" customFormat="1" x14ac:dyDescent="0.25"/>
    <row r="128" s="17" customFormat="1" x14ac:dyDescent="0.25"/>
    <row r="129" s="17" customFormat="1" x14ac:dyDescent="0.25"/>
    <row r="130" s="17" customFormat="1" x14ac:dyDescent="0.25"/>
    <row r="131" s="17" customFormat="1" x14ac:dyDescent="0.25"/>
    <row r="132" s="17" customFormat="1" x14ac:dyDescent="0.25"/>
    <row r="133" s="17" customFormat="1" x14ac:dyDescent="0.25"/>
    <row r="134" s="17" customFormat="1" x14ac:dyDescent="0.25"/>
    <row r="135" s="17" customFormat="1" x14ac:dyDescent="0.25"/>
    <row r="136" s="17" customFormat="1" x14ac:dyDescent="0.25"/>
    <row r="137" s="17" customFormat="1" x14ac:dyDescent="0.25"/>
    <row r="138" s="17" customFormat="1" x14ac:dyDescent="0.25"/>
    <row r="139" s="17" customFormat="1" x14ac:dyDescent="0.25"/>
    <row r="140" s="17" customFormat="1" x14ac:dyDescent="0.25"/>
    <row r="141" s="17" customFormat="1" x14ac:dyDescent="0.25"/>
    <row r="142" s="17" customFormat="1" x14ac:dyDescent="0.25"/>
    <row r="143" s="17" customFormat="1" x14ac:dyDescent="0.25"/>
    <row r="144" s="17" customFormat="1" x14ac:dyDescent="0.25"/>
    <row r="145" s="17" customFormat="1" x14ac:dyDescent="0.25"/>
    <row r="146" s="17" customFormat="1" x14ac:dyDescent="0.25"/>
    <row r="147" s="17" customFormat="1" x14ac:dyDescent="0.25"/>
    <row r="148" s="17" customFormat="1" x14ac:dyDescent="0.25"/>
    <row r="149" s="17" customFormat="1" x14ac:dyDescent="0.25"/>
    <row r="150" s="17" customFormat="1" x14ac:dyDescent="0.25"/>
    <row r="151" s="17" customFormat="1" x14ac:dyDescent="0.25"/>
    <row r="152" s="17" customFormat="1" x14ac:dyDescent="0.25"/>
    <row r="153" s="17" customFormat="1" x14ac:dyDescent="0.25"/>
    <row r="154" s="17" customFormat="1" x14ac:dyDescent="0.25"/>
    <row r="155" s="17" customFormat="1" x14ac:dyDescent="0.25"/>
    <row r="156" s="17" customFormat="1" x14ac:dyDescent="0.25"/>
    <row r="157" s="17" customFormat="1" x14ac:dyDescent="0.25"/>
    <row r="158" s="17" customFormat="1" x14ac:dyDescent="0.25"/>
    <row r="159" s="17" customFormat="1" x14ac:dyDescent="0.25"/>
    <row r="160" s="17" customFormat="1" x14ac:dyDescent="0.25"/>
    <row r="161" s="17" customFormat="1" x14ac:dyDescent="0.25"/>
    <row r="162" s="17" customFormat="1" x14ac:dyDescent="0.25"/>
    <row r="163" s="17" customFormat="1" x14ac:dyDescent="0.25"/>
    <row r="164" s="17" customFormat="1" x14ac:dyDescent="0.25"/>
    <row r="165" s="17" customFormat="1" x14ac:dyDescent="0.25"/>
    <row r="166" s="17" customFormat="1" x14ac:dyDescent="0.25"/>
    <row r="167" s="17" customFormat="1" x14ac:dyDescent="0.25"/>
    <row r="168" s="17" customFormat="1" x14ac:dyDescent="0.25"/>
    <row r="169" s="17" customFormat="1" x14ac:dyDescent="0.25"/>
    <row r="170" s="17" customFormat="1" x14ac:dyDescent="0.25"/>
    <row r="171" s="17" customFormat="1" x14ac:dyDescent="0.25"/>
    <row r="172" s="17" customFormat="1" x14ac:dyDescent="0.25"/>
    <row r="173" s="17" customFormat="1" x14ac:dyDescent="0.25"/>
    <row r="174" s="17" customFormat="1" x14ac:dyDescent="0.25"/>
    <row r="175" s="17" customFormat="1" x14ac:dyDescent="0.25"/>
    <row r="176" s="17" customFormat="1" x14ac:dyDescent="0.25"/>
    <row r="177" s="17" customFormat="1" x14ac:dyDescent="0.25"/>
    <row r="178" s="17" customFormat="1" x14ac:dyDescent="0.25"/>
    <row r="179" s="17" customFormat="1" x14ac:dyDescent="0.25"/>
    <row r="180" s="17" customFormat="1" x14ac:dyDescent="0.25"/>
    <row r="181" s="17" customFormat="1" x14ac:dyDescent="0.25"/>
    <row r="182" s="17" customFormat="1" x14ac:dyDescent="0.25"/>
    <row r="183" s="17" customFormat="1" x14ac:dyDescent="0.25"/>
    <row r="184" s="17" customFormat="1" x14ac:dyDescent="0.25"/>
    <row r="185" s="17" customFormat="1" x14ac:dyDescent="0.25"/>
    <row r="186" s="17" customFormat="1" x14ac:dyDescent="0.25"/>
    <row r="187" s="17" customFormat="1" x14ac:dyDescent="0.25"/>
    <row r="188" s="17" customFormat="1" x14ac:dyDescent="0.25"/>
    <row r="189" s="17" customFormat="1" x14ac:dyDescent="0.25"/>
    <row r="190" s="17" customFormat="1" x14ac:dyDescent="0.25"/>
    <row r="191" s="17" customFormat="1" x14ac:dyDescent="0.25"/>
    <row r="192" s="17" customFormat="1" x14ac:dyDescent="0.25"/>
    <row r="193" s="17" customFormat="1" x14ac:dyDescent="0.25"/>
    <row r="194" s="17" customFormat="1" x14ac:dyDescent="0.25"/>
    <row r="195" s="17" customFormat="1" x14ac:dyDescent="0.25"/>
    <row r="196" s="17" customFormat="1" x14ac:dyDescent="0.25"/>
    <row r="197" s="17" customFormat="1" x14ac:dyDescent="0.25"/>
    <row r="198" s="17" customFormat="1" x14ac:dyDescent="0.25"/>
    <row r="199" s="17" customFormat="1" x14ac:dyDescent="0.25"/>
    <row r="200" s="17" customFormat="1" x14ac:dyDescent="0.25"/>
    <row r="201" s="17" customFormat="1" x14ac:dyDescent="0.25"/>
    <row r="202" s="17" customFormat="1" x14ac:dyDescent="0.25"/>
    <row r="203" s="17" customFormat="1" x14ac:dyDescent="0.25"/>
    <row r="204" s="17" customFormat="1" x14ac:dyDescent="0.25"/>
    <row r="205" s="17" customFormat="1" x14ac:dyDescent="0.25"/>
    <row r="206" s="17" customFormat="1" x14ac:dyDescent="0.25"/>
    <row r="207" s="17" customFormat="1" x14ac:dyDescent="0.25"/>
    <row r="208" s="17" customFormat="1" x14ac:dyDescent="0.25"/>
    <row r="209" s="17" customFormat="1" x14ac:dyDescent="0.25"/>
    <row r="210" s="17" customFormat="1" x14ac:dyDescent="0.25"/>
    <row r="211" s="17" customFormat="1" x14ac:dyDescent="0.25"/>
    <row r="212" s="17" customFormat="1" x14ac:dyDescent="0.25"/>
    <row r="213" s="17" customFormat="1" x14ac:dyDescent="0.25"/>
    <row r="214" s="17" customFormat="1" x14ac:dyDescent="0.25"/>
    <row r="215" s="17" customFormat="1" x14ac:dyDescent="0.25"/>
    <row r="216" s="17" customFormat="1" x14ac:dyDescent="0.25"/>
    <row r="217" s="17" customFormat="1" x14ac:dyDescent="0.25"/>
    <row r="218" s="17" customFormat="1" x14ac:dyDescent="0.25"/>
    <row r="219" s="17" customFormat="1" x14ac:dyDescent="0.25"/>
    <row r="383" spans="2:5" ht="38.25" customHeight="1" x14ac:dyDescent="0.25">
      <c r="B383" s="432"/>
      <c r="C383" s="424"/>
      <c r="D383" s="424"/>
      <c r="E383" s="424"/>
    </row>
  </sheetData>
  <mergeCells count="25">
    <mergeCell ref="B18:K18"/>
    <mergeCell ref="B11:L11"/>
    <mergeCell ref="B13:L13"/>
    <mergeCell ref="B15:L15"/>
    <mergeCell ref="B16:L16"/>
    <mergeCell ref="B17:L17"/>
    <mergeCell ref="B37:L37"/>
    <mergeCell ref="H26:J26"/>
    <mergeCell ref="H30:J30"/>
    <mergeCell ref="H19:J19"/>
    <mergeCell ref="B20:L20"/>
    <mergeCell ref="H21:J21"/>
    <mergeCell ref="B22:D22"/>
    <mergeCell ref="E22:G22"/>
    <mergeCell ref="B23:D23"/>
    <mergeCell ref="E23:G23"/>
    <mergeCell ref="C44:L44"/>
    <mergeCell ref="B47:K47"/>
    <mergeCell ref="B383:E383"/>
    <mergeCell ref="B38:L38"/>
    <mergeCell ref="B39:L39"/>
    <mergeCell ref="B40:L40"/>
    <mergeCell ref="C41:L41"/>
    <mergeCell ref="C42:L42"/>
    <mergeCell ref="C43:L43"/>
  </mergeCells>
  <hyperlinks>
    <hyperlink ref="L7" location="'Title Sheet'!A16" display="Return to contents" xr:uid="{00000000-0004-0000-0C00-000000000000}"/>
  </hyperlinks>
  <pageMargins left="0.35433070866141742" right="0.35433070866141742" top="0.39370078740157483" bottom="0.39370078740157483" header="0.11811023622047249" footer="0.11811023622047249"/>
  <pageSetup paperSize="9" scale="54" orientation="portrait"/>
  <rowBreaks count="2" manualBreakCount="2">
    <brk id="49" max="13" man="1"/>
    <brk id="162" max="13"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AD85"/>
  <sheetViews>
    <sheetView showGridLines="0" zoomScale="80" zoomScaleNormal="80" workbookViewId="0">
      <pane ySplit="5" topLeftCell="A6" activePane="bottomLeft" state="frozen"/>
      <selection activeCell="C13" sqref="C13"/>
      <selection pane="bottomLeft" activeCell="D11" sqref="D11:E11"/>
    </sheetView>
  </sheetViews>
  <sheetFormatPr defaultColWidth="9.1796875" defaultRowHeight="12.5" x14ac:dyDescent="0.25"/>
  <cols>
    <col min="1" max="1" width="3.81640625" style="14" customWidth="1"/>
    <col min="2" max="2" width="27.1796875" style="14" customWidth="1"/>
    <col min="3" max="3" width="3.81640625" style="14" customWidth="1"/>
    <col min="4" max="4" width="78" style="14" customWidth="1"/>
    <col min="5" max="5" width="15.54296875" style="14" customWidth="1"/>
    <col min="6" max="6" width="3.81640625" style="14" customWidth="1"/>
    <col min="7" max="7" width="5.81640625" style="14" customWidth="1"/>
    <col min="8" max="8" width="31.1796875" style="14" bestFit="1" customWidth="1"/>
    <col min="9" max="11" width="17.81640625" style="14" customWidth="1"/>
    <col min="12" max="29" width="9.1796875" style="67" customWidth="1"/>
    <col min="30" max="35" width="9.1796875" style="14" customWidth="1"/>
    <col min="36" max="16384" width="9.1796875" style="14"/>
  </cols>
  <sheetData>
    <row r="1" spans="1:29" ht="27" customHeight="1" x14ac:dyDescent="0.25">
      <c r="G1" s="67"/>
      <c r="H1" s="283"/>
      <c r="I1" s="283"/>
      <c r="J1" s="67"/>
      <c r="K1" s="67"/>
    </row>
    <row r="2" spans="1:29" ht="14.9" customHeight="1" x14ac:dyDescent="0.25">
      <c r="G2" s="67"/>
      <c r="H2" s="283"/>
      <c r="I2" s="283"/>
      <c r="J2" s="67"/>
      <c r="K2" s="67"/>
    </row>
    <row r="3" spans="1:29" ht="14.9" customHeight="1" x14ac:dyDescent="0.25">
      <c r="G3" s="67"/>
      <c r="H3" s="283"/>
      <c r="I3" s="283"/>
      <c r="J3" s="67"/>
      <c r="K3" s="67"/>
    </row>
    <row r="4" spans="1:29" ht="14.9" customHeight="1" x14ac:dyDescent="0.25">
      <c r="G4" s="67"/>
      <c r="H4" s="283"/>
      <c r="I4" s="283"/>
      <c r="J4" s="67"/>
      <c r="K4" s="67"/>
    </row>
    <row r="5" spans="1:29" ht="13.5" customHeight="1" x14ac:dyDescent="0.25">
      <c r="G5" s="67"/>
      <c r="H5" s="356" t="s">
        <v>1244</v>
      </c>
      <c r="I5" s="283"/>
      <c r="J5" s="67"/>
      <c r="K5" s="67"/>
    </row>
    <row r="6" spans="1:29" ht="5.25" customHeight="1" x14ac:dyDescent="0.25">
      <c r="G6" s="67"/>
      <c r="H6" s="283"/>
      <c r="I6" s="283"/>
      <c r="J6" s="67"/>
      <c r="K6" s="67"/>
    </row>
    <row r="7" spans="1:29" ht="26.25" customHeight="1" x14ac:dyDescent="0.5">
      <c r="B7" s="46" t="s">
        <v>1121</v>
      </c>
      <c r="G7" s="67"/>
      <c r="H7" s="283"/>
      <c r="J7" s="67"/>
      <c r="K7" s="67"/>
    </row>
    <row r="8" spans="1:29" s="47" customFormat="1" ht="18" customHeight="1" x14ac:dyDescent="0.35">
      <c r="B8" s="44" t="str">
        <f>'Title Sheet'!B9</f>
        <v>April 2021 to March 2022, finalised data</v>
      </c>
      <c r="G8" s="68"/>
      <c r="H8" s="68"/>
      <c r="I8" s="449"/>
      <c r="J8" s="424"/>
      <c r="K8" s="424"/>
      <c r="L8" s="424"/>
      <c r="M8" s="68"/>
      <c r="N8" s="68"/>
      <c r="O8" s="68"/>
      <c r="P8" s="68"/>
      <c r="Q8" s="68"/>
      <c r="R8" s="68"/>
      <c r="S8" s="68"/>
      <c r="T8" s="68"/>
      <c r="U8" s="68"/>
      <c r="V8" s="68"/>
      <c r="W8" s="68"/>
      <c r="X8" s="68"/>
      <c r="Y8" s="68"/>
      <c r="Z8" s="68"/>
      <c r="AA8" s="68"/>
      <c r="AB8" s="68"/>
      <c r="AC8" s="68"/>
    </row>
    <row r="9" spans="1:29" ht="15.75" customHeight="1" x14ac:dyDescent="0.35">
      <c r="A9" s="51"/>
      <c r="F9" s="48"/>
      <c r="G9" s="67"/>
      <c r="H9" s="67"/>
      <c r="I9" s="67"/>
      <c r="J9" s="67"/>
      <c r="K9" s="67"/>
    </row>
    <row r="10" spans="1:29" ht="25.5" customHeight="1" thickBot="1" x14ac:dyDescent="0.3">
      <c r="B10" s="290" t="s">
        <v>1125</v>
      </c>
      <c r="C10" s="147"/>
      <c r="D10" s="450" t="s">
        <v>1126</v>
      </c>
      <c r="E10" s="451"/>
      <c r="F10" s="19"/>
      <c r="G10" s="18"/>
      <c r="H10" s="67"/>
      <c r="I10" s="452"/>
      <c r="J10" s="424"/>
      <c r="K10" s="424"/>
      <c r="L10" s="424"/>
    </row>
    <row r="11" spans="1:29" ht="33" customHeight="1" thickBot="1" x14ac:dyDescent="0.4">
      <c r="A11" s="53"/>
      <c r="B11" s="184" t="s">
        <v>965</v>
      </c>
      <c r="C11" s="146"/>
      <c r="D11" s="453" t="s">
        <v>171</v>
      </c>
      <c r="E11" s="454"/>
      <c r="F11" s="53"/>
      <c r="H11" s="148"/>
      <c r="I11" s="452"/>
      <c r="J11" s="424"/>
      <c r="K11" s="424"/>
      <c r="L11" s="424"/>
    </row>
    <row r="12" spans="1:29" ht="18" customHeight="1" x14ac:dyDescent="0.25">
      <c r="B12" s="19"/>
      <c r="C12" s="19"/>
      <c r="D12" s="19"/>
      <c r="E12" s="19"/>
      <c r="G12" s="19"/>
      <c r="H12" s="20"/>
    </row>
    <row r="13" spans="1:29" ht="26.75" customHeight="1" x14ac:dyDescent="0.25">
      <c r="B13" s="273" t="s">
        <v>1258</v>
      </c>
      <c r="C13" s="274"/>
      <c r="D13" s="274"/>
      <c r="E13" s="274"/>
      <c r="G13" s="19"/>
      <c r="H13" s="20"/>
    </row>
    <row r="14" spans="1:29" ht="35.25" customHeight="1" x14ac:dyDescent="0.25">
      <c r="B14" s="456" t="str">
        <f ca="1">IF(OR(IFERROR(ProvCommData!$B$3,1)=1, ProvCommData!$B$6="CCG of GP Practice",
(AND(B11="England",D11&lt;"England")),
(AND(ISNA(ProvCommData!$B$3),LEFT(ProvCommData!B8,7)&lt;&gt;RIGHT(ProvCommData!B8,7)))),"Participation and coverage data is not available for this organisation level and organisation.",
IF(AND('Key Facts'!$C$16="*",'Key Facts'!$D$16="*"),"The number of eligible hospital episodes, pre-operative questionnaires and the participation rate have been suppressed due to small numbers. The England-level participation rate is "&amp;ProvCommData!$E$40&amp;".",
IF(AND('Key Facts'!$C$16="*",'Key Facts'!$D$16&lt;&gt;"*"),"There were "&amp;TEXT('Key Facts'!$D$16,"#,0")&amp;" pre-operative questionnaires returned. The number of eligible hospital episodes and participation rate are suppressed due to small numbers. The England-level participation rate is "&amp;ProvCommData!$E$40&amp;".",IF('Key Facts'!$C$16=0,"There were no eligible hospital episodes and "&amp;TEXT('Key Facts'!$D$16,"0,0")&amp;" pre-operative questionnaires were returned - a headline participation rate of "&amp;TEXT('Key Facts'!$E$15,"0.0%")&amp;".",IF(AND('Key Facts'!$C$16&lt;&gt;"*",'Key Facts'!$D$16="*"),"There were "&amp;TEXT('Key Facts'!$C$16,"#,0")&amp;" eligible hospital episodes. The number of pre-operative questionnaires returned and participation rate are suppressed due to small numbers.","There were "&amp;IF('Key Facts'!$C$16="No Data","no data for ",TEXT('Key Facts'!$C$16,"#,0"))&amp;" eligible hospital episodes and "&amp;IF('Key Facts'!$D$16="No Data","no data for",TEXT('Key Facts'!$D$16,"#,0"))&amp;" pre-operative questionnaires returned"&amp;IF('Key Facts'!$E$16="No data"," - (a headline participation rate of "&amp;TEXT(ProvCommData!$E$40,"0.0%")&amp;" in England)."," - a headline participation rate of "&amp;TEXT('Key Facts'!$E$16,"0.0%")&amp;IF(ProvCommData!$B$7="England",""," ("&amp;TEXT(ProvCommData!$E$40,"0.0%")&amp;" in England).")))))))</f>
        <v>There were 522 eligible hospital episodes and 258 pre-operative questionnaires returned - a headline participation rate of 49.4% (69.2% in England).</v>
      </c>
      <c r="C14" s="424"/>
      <c r="D14" s="424"/>
      <c r="E14" s="424"/>
      <c r="G14" s="19"/>
      <c r="H14" s="20"/>
    </row>
    <row r="15" spans="1:29" ht="32.25" customHeight="1" x14ac:dyDescent="0.25">
      <c r="B15" s="457" t="str">
        <f ca="1">IF(OR(ISERROR(ProvCommData!$B$3)=TRUE,ProvCommData!$B$6="CCG of GP Practice",
(AND(B11="England",D11&lt;"England")),
(AND(ISNA(ProvCommData!$B$3),LEFT(ProvCommData!B8,7)&lt;&gt;RIGHT(ProvCommData!B8,7)))),"Participation and coverage data is not available for this organisation level and organisation.",
IF(AND('Key Facts'!$K$16="*",'Key Facts'!$M$16="*"),"The number of post-operative questionnaires sent out and returned, and the response rate have been suppressed due to small numbers.",IF(AND('Key Facts'!$K$16="*",'Key Facts'!$M$16&lt;&gt;"*"),"There were "&amp;TEXT('Key Facts'!$M$16,"#,0")&amp;" post-operative questionnaires returned. The number of post-operative questionnaires sent out and the response rate are suppressed due to small numbers.",IF(AND('Key Facts'!$K$16&lt;&gt;"*",'Key Facts'!$M$16="*"),"There were "&amp;TEXT('Key Facts'!$K$16,"#,0")&amp;" post-operative questionnaires sent out. The number of post-operative questionnaires returned and the response rate are suppressed due to small numbers.",IF('Key Facts'!$C$16="No Data","There were no data for","Of the "&amp;TEXT('Key Facts'!$K$16,"#,0"))&amp;" post-operative questionnaires sent out, "&amp;IF('Key Facts'!$M$16="No data","there is no data for number of returned questionnaires - a response rate of "  &amp;TEXT(ProvCommData!$G$47,"0.0%")&amp;" in England).",TEXT('Key Facts'!$M$16,"#,0")&amp;" have been returned - a response rate of "&amp;TEXT('Key Facts'!$N$16,"0.0%")&amp;IF(ProvCommData!B7="England",""," ("&amp;TEXT(ProvCommData!$G$47,"0.0%")&amp;" in England)."))))))</f>
        <v>Of the 255 post-operative questionnaires sent out, 164 have been returned - a response rate of 64.3% (61.2% in England).</v>
      </c>
      <c r="C15" s="458"/>
      <c r="D15" s="458"/>
      <c r="E15" s="458"/>
      <c r="G15" s="19"/>
      <c r="H15" s="20"/>
    </row>
    <row r="16" spans="1:29" ht="18" customHeight="1" x14ac:dyDescent="0.25">
      <c r="B16" s="274"/>
      <c r="C16" s="274"/>
      <c r="D16" s="274"/>
      <c r="E16" s="274"/>
      <c r="G16" s="19"/>
      <c r="H16" s="20"/>
    </row>
    <row r="17" spans="1:29" ht="18" customHeight="1" x14ac:dyDescent="0.25">
      <c r="B17" s="273" t="s">
        <v>1128</v>
      </c>
      <c r="C17" s="274"/>
      <c r="D17" s="274"/>
      <c r="E17" s="274"/>
      <c r="G17" s="19"/>
      <c r="H17" s="20"/>
    </row>
    <row r="18" spans="1:29" s="53" customFormat="1" ht="17.25" customHeight="1" x14ac:dyDescent="0.25">
      <c r="A18" s="14"/>
      <c r="F18" s="14"/>
      <c r="H18" s="96"/>
      <c r="L18" s="75"/>
      <c r="M18" s="75"/>
      <c r="N18" s="75"/>
      <c r="O18" s="75"/>
      <c r="P18" s="75"/>
      <c r="Q18" s="75"/>
      <c r="R18" s="75"/>
      <c r="S18" s="75"/>
      <c r="T18" s="75"/>
      <c r="U18" s="75"/>
      <c r="V18" s="75"/>
      <c r="W18" s="75"/>
      <c r="X18" s="75"/>
      <c r="Y18" s="75"/>
      <c r="Z18" s="75"/>
      <c r="AA18" s="75"/>
      <c r="AB18" s="75"/>
      <c r="AC18" s="75"/>
    </row>
    <row r="19" spans="1:29" ht="30" customHeight="1" x14ac:dyDescent="0.25">
      <c r="G19" s="455"/>
      <c r="H19" s="424"/>
      <c r="I19" s="254"/>
      <c r="J19" s="254"/>
      <c r="K19" s="384"/>
      <c r="M19" s="463"/>
      <c r="N19" s="424"/>
      <c r="O19" s="263"/>
      <c r="P19" s="263"/>
      <c r="Q19" s="263"/>
      <c r="R19" s="263"/>
      <c r="U19" s="70"/>
      <c r="V19" s="70"/>
      <c r="W19" s="70"/>
      <c r="X19" s="70"/>
      <c r="Y19" s="70"/>
    </row>
    <row r="20" spans="1:29" ht="16.5" customHeight="1" x14ac:dyDescent="0.25">
      <c r="G20" s="460"/>
      <c r="H20" s="254"/>
      <c r="I20" s="255"/>
      <c r="J20" s="255"/>
      <c r="K20" s="255"/>
      <c r="M20" s="462"/>
      <c r="N20" s="263"/>
      <c r="O20" s="71"/>
      <c r="P20" s="71"/>
      <c r="Q20" s="71"/>
      <c r="R20" s="71"/>
      <c r="U20" s="70"/>
      <c r="V20" s="70"/>
      <c r="W20" s="70"/>
      <c r="X20" s="70"/>
      <c r="Y20" s="70"/>
    </row>
    <row r="21" spans="1:29" ht="16.5" customHeight="1" x14ac:dyDescent="0.25">
      <c r="G21" s="424"/>
      <c r="H21" s="254"/>
      <c r="I21" s="255"/>
      <c r="J21" s="255"/>
      <c r="K21" s="255"/>
      <c r="M21" s="424"/>
      <c r="N21" s="263"/>
      <c r="O21" s="71"/>
      <c r="P21" s="71"/>
      <c r="Q21" s="71"/>
      <c r="R21" s="71"/>
      <c r="U21" s="70"/>
      <c r="V21" s="70"/>
      <c r="W21" s="70"/>
      <c r="X21" s="70"/>
      <c r="Y21" s="70"/>
    </row>
    <row r="22" spans="1:29" ht="16.5" customHeight="1" x14ac:dyDescent="0.25">
      <c r="G22" s="424"/>
      <c r="H22" s="254"/>
      <c r="I22" s="255"/>
      <c r="J22" s="255"/>
      <c r="K22" s="255"/>
      <c r="M22" s="424"/>
      <c r="N22" s="263"/>
      <c r="O22" s="71"/>
      <c r="P22" s="71"/>
      <c r="Q22" s="71"/>
      <c r="R22" s="71"/>
      <c r="U22" s="70"/>
      <c r="V22" s="70"/>
      <c r="W22" s="70"/>
      <c r="X22" s="70"/>
      <c r="Y22" s="70"/>
    </row>
    <row r="23" spans="1:29" ht="16.5" customHeight="1" x14ac:dyDescent="0.25">
      <c r="G23" s="424"/>
      <c r="H23" s="254"/>
      <c r="I23" s="255"/>
      <c r="J23" s="255"/>
      <c r="K23" s="255"/>
      <c r="M23" s="424"/>
      <c r="N23" s="263"/>
      <c r="O23" s="71"/>
      <c r="P23" s="71"/>
      <c r="Q23" s="71"/>
      <c r="R23" s="71"/>
      <c r="U23" s="70"/>
      <c r="V23" s="70"/>
      <c r="W23" s="70"/>
      <c r="X23" s="70"/>
      <c r="Y23" s="70"/>
    </row>
    <row r="24" spans="1:29" ht="16" customHeight="1" x14ac:dyDescent="0.35">
      <c r="G24" s="51"/>
      <c r="H24" s="51"/>
      <c r="I24" s="51"/>
      <c r="J24" s="51"/>
      <c r="K24" s="51"/>
      <c r="U24" s="70"/>
      <c r="V24" s="70"/>
      <c r="W24" s="70"/>
      <c r="X24" s="70"/>
      <c r="Y24" s="70"/>
    </row>
    <row r="25" spans="1:29" ht="30" customHeight="1" x14ac:dyDescent="0.25">
      <c r="G25" s="455"/>
      <c r="H25" s="424"/>
      <c r="I25" s="254"/>
      <c r="J25" s="254"/>
      <c r="K25" s="384"/>
      <c r="M25" s="463"/>
      <c r="N25" s="424"/>
      <c r="O25" s="263"/>
      <c r="P25" s="263"/>
      <c r="Q25" s="263"/>
      <c r="R25" s="263"/>
      <c r="U25" s="70"/>
      <c r="V25" s="70"/>
      <c r="W25" s="70"/>
      <c r="X25" s="70"/>
      <c r="Y25" s="70"/>
    </row>
    <row r="26" spans="1:29" ht="16.5" customHeight="1" x14ac:dyDescent="0.25">
      <c r="G26" s="460"/>
      <c r="H26" s="254"/>
      <c r="I26" s="198"/>
      <c r="J26" s="198"/>
      <c r="K26" s="61"/>
      <c r="M26" s="462"/>
      <c r="N26" s="263"/>
      <c r="O26" s="72"/>
      <c r="P26" s="72"/>
      <c r="Q26" s="72"/>
      <c r="R26" s="72"/>
      <c r="U26" s="70"/>
      <c r="V26" s="70"/>
      <c r="W26" s="70"/>
      <c r="X26" s="70"/>
      <c r="Y26" s="70"/>
    </row>
    <row r="27" spans="1:29" ht="16.5" customHeight="1" x14ac:dyDescent="0.25">
      <c r="G27" s="424"/>
      <c r="H27" s="254"/>
      <c r="I27" s="198"/>
      <c r="J27" s="198"/>
      <c r="K27" s="198"/>
      <c r="M27" s="424"/>
      <c r="N27" s="263"/>
      <c r="O27" s="72"/>
      <c r="P27" s="72"/>
      <c r="Q27" s="72"/>
      <c r="R27" s="72"/>
      <c r="U27" s="70"/>
      <c r="V27" s="70"/>
      <c r="W27" s="70"/>
      <c r="X27" s="70"/>
      <c r="Y27" s="70"/>
    </row>
    <row r="28" spans="1:29" ht="16.5" customHeight="1" x14ac:dyDescent="0.25">
      <c r="G28" s="424"/>
      <c r="H28" s="254"/>
      <c r="I28" s="198"/>
      <c r="J28" s="198"/>
      <c r="K28" s="198"/>
      <c r="M28" s="424"/>
      <c r="N28" s="263"/>
      <c r="O28" s="72"/>
      <c r="P28" s="72"/>
      <c r="Q28" s="72"/>
      <c r="R28" s="72"/>
      <c r="U28" s="70"/>
      <c r="V28" s="70"/>
      <c r="W28" s="70"/>
      <c r="X28" s="70"/>
      <c r="Y28" s="70"/>
    </row>
    <row r="29" spans="1:29" ht="16.5" customHeight="1" x14ac:dyDescent="0.25">
      <c r="G29" s="424"/>
      <c r="H29" s="254"/>
      <c r="I29" s="198"/>
      <c r="J29" s="198"/>
      <c r="K29" s="198"/>
      <c r="M29" s="424"/>
      <c r="N29" s="263"/>
      <c r="O29" s="72"/>
      <c r="P29" s="72"/>
      <c r="Q29" s="72"/>
      <c r="R29" s="72"/>
    </row>
    <row r="30" spans="1:29" ht="16" customHeight="1" x14ac:dyDescent="0.35">
      <c r="G30" s="51"/>
      <c r="H30" s="51"/>
      <c r="I30" s="256"/>
      <c r="J30" s="256"/>
      <c r="K30" s="256"/>
      <c r="O30" s="73"/>
      <c r="P30" s="73"/>
      <c r="Q30" s="73"/>
      <c r="R30" s="73"/>
    </row>
    <row r="31" spans="1:29" ht="30" customHeight="1" x14ac:dyDescent="0.25">
      <c r="G31" s="455"/>
      <c r="H31" s="424"/>
      <c r="I31" s="254"/>
      <c r="J31" s="254"/>
      <c r="K31" s="384"/>
      <c r="M31" s="463"/>
      <c r="N31" s="424"/>
      <c r="O31" s="263"/>
      <c r="P31" s="263"/>
      <c r="Q31" s="263"/>
      <c r="R31" s="263"/>
    </row>
    <row r="32" spans="1:29" ht="16.5" customHeight="1" x14ac:dyDescent="0.25">
      <c r="G32" s="460"/>
      <c r="H32" s="254"/>
      <c r="I32" s="255"/>
      <c r="J32" s="255"/>
      <c r="K32" s="257"/>
      <c r="M32" s="462"/>
      <c r="N32" s="263"/>
      <c r="O32" s="71"/>
      <c r="P32" s="71"/>
      <c r="Q32" s="74"/>
      <c r="R32" s="74"/>
    </row>
    <row r="33" spans="2:18" ht="16.5" customHeight="1" x14ac:dyDescent="0.25">
      <c r="G33" s="424"/>
      <c r="H33" s="254"/>
      <c r="I33" s="255"/>
      <c r="J33" s="255"/>
      <c r="K33" s="255"/>
      <c r="M33" s="424"/>
      <c r="N33" s="263"/>
      <c r="O33" s="71"/>
      <c r="P33" s="71"/>
      <c r="Q33" s="71"/>
      <c r="R33" s="71"/>
    </row>
    <row r="34" spans="2:18" ht="16.5" customHeight="1" x14ac:dyDescent="0.25">
      <c r="G34" s="424"/>
      <c r="H34" s="254"/>
      <c r="I34" s="255"/>
      <c r="J34" s="255"/>
      <c r="K34" s="255"/>
      <c r="M34" s="424"/>
      <c r="N34" s="263"/>
      <c r="O34" s="71"/>
      <c r="P34" s="71"/>
      <c r="Q34" s="71"/>
      <c r="R34" s="71"/>
    </row>
    <row r="35" spans="2:18" ht="16.5" customHeight="1" x14ac:dyDescent="0.25">
      <c r="G35" s="424"/>
      <c r="H35" s="254"/>
      <c r="I35" s="255"/>
      <c r="J35" s="255"/>
      <c r="K35" s="255"/>
      <c r="M35" s="424"/>
      <c r="N35" s="263"/>
      <c r="O35" s="71"/>
      <c r="P35" s="71"/>
      <c r="Q35" s="71"/>
      <c r="R35" s="71"/>
    </row>
    <row r="36" spans="2:18" ht="16" customHeight="1" x14ac:dyDescent="0.35">
      <c r="G36" s="51"/>
      <c r="H36" s="51"/>
      <c r="I36" s="256"/>
      <c r="J36" s="256"/>
      <c r="K36" s="256"/>
      <c r="O36" s="73"/>
      <c r="P36" s="73"/>
      <c r="Q36" s="73"/>
      <c r="R36" s="73"/>
    </row>
    <row r="37" spans="2:18" ht="30" customHeight="1" x14ac:dyDescent="0.25">
      <c r="G37" s="455"/>
      <c r="H37" s="424"/>
      <c r="I37" s="254"/>
      <c r="J37" s="254"/>
      <c r="K37" s="384"/>
      <c r="M37" s="463"/>
      <c r="N37" s="424"/>
      <c r="O37" s="263"/>
      <c r="P37" s="263"/>
      <c r="Q37" s="263"/>
      <c r="R37" s="263"/>
    </row>
    <row r="38" spans="2:18" ht="16.5" customHeight="1" x14ac:dyDescent="0.25">
      <c r="G38" s="460"/>
      <c r="H38" s="254"/>
      <c r="I38" s="198"/>
      <c r="J38" s="198"/>
      <c r="K38" s="61"/>
      <c r="M38" s="462"/>
      <c r="N38" s="263"/>
      <c r="O38" s="72"/>
      <c r="P38" s="72"/>
      <c r="Q38" s="72"/>
      <c r="R38" s="72"/>
    </row>
    <row r="39" spans="2:18" ht="16.5" customHeight="1" x14ac:dyDescent="0.25">
      <c r="G39" s="424"/>
      <c r="H39" s="254"/>
      <c r="I39" s="198"/>
      <c r="J39" s="198"/>
      <c r="K39" s="198"/>
      <c r="M39" s="424"/>
      <c r="N39" s="263"/>
      <c r="O39" s="72"/>
      <c r="P39" s="72"/>
      <c r="Q39" s="72"/>
      <c r="R39" s="72"/>
    </row>
    <row r="40" spans="2:18" ht="16.5" customHeight="1" x14ac:dyDescent="0.25">
      <c r="G40" s="424"/>
      <c r="H40" s="254"/>
      <c r="I40" s="198"/>
      <c r="J40" s="198"/>
      <c r="K40" s="198"/>
      <c r="M40" s="424"/>
      <c r="N40" s="263"/>
      <c r="O40" s="72"/>
      <c r="P40" s="72"/>
      <c r="Q40" s="72"/>
      <c r="R40" s="72"/>
    </row>
    <row r="41" spans="2:18" ht="16.5" customHeight="1" x14ac:dyDescent="0.35">
      <c r="B41" s="148"/>
      <c r="G41" s="424"/>
      <c r="H41" s="254"/>
      <c r="I41" s="198"/>
      <c r="J41" s="198"/>
      <c r="K41" s="198"/>
      <c r="M41" s="424"/>
      <c r="N41" s="263"/>
      <c r="O41" s="72"/>
      <c r="P41" s="72"/>
      <c r="Q41" s="72"/>
      <c r="R41" s="72"/>
    </row>
    <row r="42" spans="2:18" x14ac:dyDescent="0.25">
      <c r="I42" s="21"/>
      <c r="J42" s="21"/>
    </row>
    <row r="43" spans="2:18" ht="11.25" customHeight="1" x14ac:dyDescent="0.25">
      <c r="G43" s="67"/>
      <c r="H43" s="67"/>
      <c r="I43" s="67"/>
      <c r="J43" s="67"/>
      <c r="K43" s="67"/>
    </row>
    <row r="44" spans="2:18" ht="11.25" customHeight="1" x14ac:dyDescent="0.25">
      <c r="G44" s="67"/>
      <c r="H44" s="67"/>
      <c r="I44" s="67"/>
      <c r="J44" s="67"/>
      <c r="K44" s="67"/>
    </row>
    <row r="45" spans="2:18" ht="11.25" customHeight="1" x14ac:dyDescent="0.25">
      <c r="G45" s="67"/>
      <c r="H45" s="67"/>
      <c r="I45" s="67"/>
      <c r="J45" s="67"/>
      <c r="K45" s="67"/>
    </row>
    <row r="46" spans="2:18" ht="11.25" customHeight="1" x14ac:dyDescent="0.25">
      <c r="G46" s="67"/>
      <c r="H46" s="67"/>
      <c r="I46" s="67"/>
      <c r="J46" s="67"/>
      <c r="K46" s="67"/>
    </row>
    <row r="47" spans="2:18" ht="11.25" customHeight="1" x14ac:dyDescent="0.25">
      <c r="G47" s="67"/>
      <c r="H47" s="67"/>
      <c r="I47" s="67"/>
      <c r="J47" s="67"/>
      <c r="K47" s="67"/>
    </row>
    <row r="48" spans="2:18" ht="11.25" customHeight="1" x14ac:dyDescent="0.25">
      <c r="G48" s="67"/>
      <c r="H48" s="67"/>
      <c r="I48" s="67"/>
      <c r="J48" s="67"/>
      <c r="K48" s="67"/>
    </row>
    <row r="49" spans="3:30" x14ac:dyDescent="0.25">
      <c r="L49" s="14"/>
      <c r="AD49" s="67"/>
    </row>
    <row r="51" spans="3:30" x14ac:dyDescent="0.25">
      <c r="C51" s="42"/>
    </row>
    <row r="61" spans="3:30" ht="12.75" customHeight="1" x14ac:dyDescent="0.25"/>
    <row r="82" spans="2:14" ht="225" customHeight="1" x14ac:dyDescent="0.25">
      <c r="B82" s="459" t="s">
        <v>1259</v>
      </c>
      <c r="C82" s="424"/>
      <c r="D82" s="424"/>
      <c r="E82" s="424"/>
      <c r="F82" s="271"/>
      <c r="G82" s="271"/>
      <c r="H82" s="271"/>
      <c r="I82" s="271"/>
      <c r="J82" s="271"/>
      <c r="K82" s="271"/>
      <c r="L82" s="271"/>
      <c r="M82" s="271"/>
      <c r="N82" s="271"/>
    </row>
    <row r="83" spans="2:14" ht="80" customHeight="1" x14ac:dyDescent="0.25">
      <c r="B83" s="461" t="s">
        <v>1260</v>
      </c>
      <c r="C83" s="424"/>
      <c r="D83" s="424"/>
      <c r="E83" s="424"/>
      <c r="F83" s="424"/>
      <c r="G83" s="424"/>
      <c r="H83" s="424"/>
      <c r="I83" s="424"/>
      <c r="J83" s="271"/>
      <c r="K83" s="271"/>
      <c r="L83" s="271"/>
      <c r="M83" s="271"/>
      <c r="N83" s="271"/>
    </row>
    <row r="84" spans="2:14" x14ac:dyDescent="0.25">
      <c r="B84" s="271"/>
      <c r="C84" s="271"/>
      <c r="D84" s="271"/>
      <c r="E84" s="271"/>
      <c r="F84" s="271"/>
      <c r="G84" s="271"/>
      <c r="H84" s="271"/>
      <c r="I84" s="271"/>
      <c r="J84" s="271"/>
      <c r="K84" s="271"/>
      <c r="L84" s="271"/>
      <c r="M84" s="271"/>
      <c r="N84" s="271"/>
    </row>
    <row r="85" spans="2:14" s="49" customFormat="1" ht="15.65" customHeight="1" thickBot="1" x14ac:dyDescent="0.4">
      <c r="B85" s="430" t="s">
        <v>1257</v>
      </c>
      <c r="C85" s="431"/>
      <c r="D85" s="431"/>
      <c r="E85" s="431"/>
      <c r="F85" s="431"/>
      <c r="G85" s="431"/>
      <c r="H85" s="431"/>
      <c r="I85" s="431"/>
      <c r="J85" s="431"/>
      <c r="K85" s="431"/>
      <c r="L85" s="288"/>
    </row>
  </sheetData>
  <mergeCells count="26">
    <mergeCell ref="M38:M41"/>
    <mergeCell ref="G31:H31"/>
    <mergeCell ref="G26:G29"/>
    <mergeCell ref="M26:M29"/>
    <mergeCell ref="M19:N19"/>
    <mergeCell ref="M31:N31"/>
    <mergeCell ref="G32:G35"/>
    <mergeCell ref="M32:M35"/>
    <mergeCell ref="G37:H37"/>
    <mergeCell ref="M37:N37"/>
    <mergeCell ref="M20:M23"/>
    <mergeCell ref="G25:H25"/>
    <mergeCell ref="M25:N25"/>
    <mergeCell ref="G20:G23"/>
    <mergeCell ref="B85:K85"/>
    <mergeCell ref="I8:L8"/>
    <mergeCell ref="D10:E10"/>
    <mergeCell ref="I10:L10"/>
    <mergeCell ref="D11:E11"/>
    <mergeCell ref="I11:L11"/>
    <mergeCell ref="G19:H19"/>
    <mergeCell ref="B14:E14"/>
    <mergeCell ref="B15:E15"/>
    <mergeCell ref="B82:E82"/>
    <mergeCell ref="G38:G41"/>
    <mergeCell ref="B83:I83"/>
  </mergeCells>
  <conditionalFormatting sqref="D11:E11">
    <cfRule type="cellIs" dxfId="8" priority="1" operator="equal">
      <formula>"q"</formula>
    </cfRule>
  </conditionalFormatting>
  <dataValidations count="3">
    <dataValidation type="list" allowBlank="1" showInputMessage="1" showErrorMessage="1" sqref="D11:E11" xr:uid="{00000000-0002-0000-0D00-000000000000}">
      <formula1>KeyFacts_Validation</formula1>
    </dataValidation>
    <dataValidation type="list" allowBlank="1" showInputMessage="1" showErrorMessage="1" sqref="B11" xr:uid="{00000000-0002-0000-0D00-000001000000}">
      <formula1>KeyFacts_Organisation_Level</formula1>
    </dataValidation>
    <dataValidation type="custom" allowBlank="1" showInputMessage="1" showErrorMessage="1" sqref="B12" xr:uid="{00000000-0002-0000-0D00-000002000000}">
      <formula1>#REF!</formula1>
    </dataValidation>
  </dataValidations>
  <hyperlinks>
    <hyperlink ref="H5" location="'Title Sheet'!A16" display="Return to contents" xr:uid="{00000000-0004-0000-0D00-000000000000}"/>
  </hyperlinks>
  <pageMargins left="0.35433070866141742" right="0.35433070866141742" top="0.39370078740157483" bottom="0.39370078740157483" header="0.11811023622047249" footer="0.11811023622047249"/>
  <pageSetup paperSize="9" scale="40" fitToHeight="5"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theme="3"/>
    <pageSetUpPr autoPageBreaks="0" fitToPage="1"/>
  </sheetPr>
  <dimension ref="A1:AG59"/>
  <sheetViews>
    <sheetView showGridLines="0" zoomScale="80" zoomScaleNormal="80" workbookViewId="0">
      <pane ySplit="5" topLeftCell="A6" activePane="bottomLeft" state="frozen"/>
      <selection activeCell="C13" sqref="C13"/>
      <selection pane="bottomLeft" activeCell="D15" sqref="D15"/>
    </sheetView>
  </sheetViews>
  <sheetFormatPr defaultColWidth="9.1796875" defaultRowHeight="12.5" x14ac:dyDescent="0.25"/>
  <cols>
    <col min="1" max="1" width="3.81640625" style="14" customWidth="1"/>
    <col min="2" max="2" width="22.54296875" style="14" customWidth="1"/>
    <col min="3" max="3" width="16.81640625" style="14" customWidth="1"/>
    <col min="4" max="4" width="18.81640625" style="14" customWidth="1"/>
    <col min="5" max="5" width="16.81640625" style="14" customWidth="1"/>
    <col min="6" max="6" width="18.81640625" style="14" customWidth="1"/>
    <col min="7" max="7" width="16.453125" style="14" customWidth="1"/>
    <col min="8" max="8" width="2.81640625" style="14" customWidth="1"/>
    <col min="9" max="9" width="22.54296875" style="14" customWidth="1"/>
    <col min="10" max="11" width="18.81640625" style="14" customWidth="1"/>
    <col min="12" max="12" width="16.453125" style="14" customWidth="1"/>
    <col min="13" max="13" width="18.81640625" style="14" customWidth="1"/>
    <col min="14" max="14" width="16.81640625" style="14" customWidth="1"/>
    <col min="15" max="15" width="17.81640625" style="14" customWidth="1"/>
    <col min="16" max="33" width="9.1796875" style="67" customWidth="1"/>
    <col min="34" max="39" width="9.1796875" style="14" customWidth="1"/>
    <col min="40" max="16384" width="9.1796875" style="14"/>
  </cols>
  <sheetData>
    <row r="1" spans="1:33" ht="33" customHeight="1" x14ac:dyDescent="0.25">
      <c r="K1" s="15"/>
      <c r="L1" s="15"/>
      <c r="M1" s="15"/>
      <c r="N1" s="16"/>
      <c r="O1" s="16"/>
    </row>
    <row r="2" spans="1:33" ht="14.9" customHeight="1" x14ac:dyDescent="0.25">
      <c r="K2" s="15"/>
      <c r="L2" s="15"/>
      <c r="M2" s="15"/>
      <c r="N2" s="16"/>
      <c r="O2" s="16"/>
    </row>
    <row r="3" spans="1:33" ht="14.9" customHeight="1" x14ac:dyDescent="0.25">
      <c r="K3" s="15"/>
      <c r="L3" s="15"/>
      <c r="M3" s="15"/>
      <c r="N3" s="16"/>
      <c r="O3" s="16"/>
    </row>
    <row r="4" spans="1:33" ht="14.9" customHeight="1" x14ac:dyDescent="0.25">
      <c r="K4" s="15"/>
      <c r="L4" s="15"/>
      <c r="M4" s="15"/>
      <c r="N4" s="16"/>
      <c r="O4" s="16"/>
    </row>
    <row r="5" spans="1:33" ht="13.5" customHeight="1" x14ac:dyDescent="0.3">
      <c r="K5" s="15"/>
      <c r="L5" s="15"/>
      <c r="M5" s="15"/>
      <c r="N5" s="355" t="s">
        <v>1244</v>
      </c>
      <c r="O5" s="16"/>
    </row>
    <row r="6" spans="1:33" ht="26.25" customHeight="1" x14ac:dyDescent="0.5">
      <c r="B6" s="46" t="s">
        <v>1121</v>
      </c>
      <c r="K6" s="15"/>
      <c r="L6" s="15"/>
      <c r="M6" s="15"/>
      <c r="N6" s="16"/>
      <c r="O6" s="16"/>
    </row>
    <row r="7" spans="1:33" s="47" customFormat="1" ht="18" customHeight="1" x14ac:dyDescent="0.35">
      <c r="B7" s="44" t="str">
        <f>'Title Sheet'!B9</f>
        <v>April 2021 to March 2022, finalised data</v>
      </c>
      <c r="L7" s="59"/>
      <c r="M7" s="464"/>
      <c r="N7" s="424"/>
      <c r="O7" s="424"/>
      <c r="P7" s="424"/>
      <c r="Q7" s="68"/>
      <c r="R7" s="68"/>
      <c r="S7" s="68"/>
      <c r="T7" s="68"/>
      <c r="U7" s="68"/>
      <c r="V7" s="68"/>
      <c r="W7" s="68"/>
      <c r="X7" s="68"/>
      <c r="Y7" s="68"/>
      <c r="Z7" s="68"/>
      <c r="AA7" s="68"/>
      <c r="AB7" s="68"/>
      <c r="AC7" s="68"/>
      <c r="AD7" s="68"/>
      <c r="AE7" s="68"/>
      <c r="AF7" s="68"/>
      <c r="AG7" s="68"/>
    </row>
    <row r="8" spans="1:33" x14ac:dyDescent="0.25">
      <c r="L8" s="16"/>
      <c r="M8" s="16"/>
      <c r="N8" s="16"/>
      <c r="O8" s="16"/>
    </row>
    <row r="9" spans="1:33" s="51" customFormat="1" ht="15.75" customHeight="1" x14ac:dyDescent="0.35">
      <c r="B9" s="58" t="str">
        <f>"Adjusted average health gain for "&amp;IF('Adjusted Health Gain Chart'!B11="England",'Adjusted Health Gain Chart'!B11,'Adjusted Health Gain Chart'!B11&amp;" - "&amp;'Adjusted Health Gain Chart'!D11)</f>
        <v>Adjusted average health gain for Provider - BLACKPOOL TEACHING HOSPITALS NHS FOUNDATION TRUST (RXL)</v>
      </c>
      <c r="C9" s="58"/>
      <c r="D9" s="58"/>
      <c r="E9" s="58"/>
      <c r="F9" s="58"/>
      <c r="G9" s="58"/>
      <c r="H9" s="58"/>
      <c r="I9" s="58"/>
      <c r="J9" s="58"/>
      <c r="K9" s="58"/>
      <c r="M9" s="61"/>
      <c r="N9" s="61"/>
      <c r="P9" s="69"/>
      <c r="Q9" s="69"/>
      <c r="R9" s="69"/>
      <c r="S9" s="69"/>
      <c r="T9" s="69"/>
      <c r="U9" s="69"/>
      <c r="V9" s="69"/>
      <c r="W9" s="69"/>
      <c r="X9" s="69"/>
      <c r="Y9" s="69"/>
      <c r="Z9" s="69"/>
      <c r="AA9" s="69"/>
      <c r="AB9" s="69"/>
      <c r="AC9" s="69"/>
      <c r="AD9" s="69"/>
      <c r="AE9" s="69"/>
      <c r="AF9" s="69"/>
      <c r="AG9" s="69"/>
    </row>
    <row r="10" spans="1:33" s="51" customFormat="1" ht="7" customHeight="1" x14ac:dyDescent="0.35">
      <c r="B10" s="58"/>
      <c r="C10" s="58"/>
      <c r="D10" s="58"/>
      <c r="E10" s="58"/>
      <c r="F10" s="58"/>
      <c r="G10" s="58"/>
      <c r="H10" s="58"/>
      <c r="I10" s="58"/>
      <c r="J10" s="58"/>
      <c r="K10" s="58"/>
      <c r="M10" s="61"/>
      <c r="N10" s="61"/>
      <c r="P10" s="69"/>
      <c r="Q10" s="69"/>
      <c r="R10" s="69"/>
      <c r="S10" s="69"/>
      <c r="T10" s="69"/>
      <c r="U10" s="69"/>
      <c r="V10" s="69"/>
      <c r="W10" s="69"/>
      <c r="X10" s="69"/>
      <c r="Y10" s="69"/>
      <c r="Z10" s="69"/>
      <c r="AA10" s="69"/>
      <c r="AB10" s="69"/>
      <c r="AC10" s="69"/>
      <c r="AD10" s="69"/>
      <c r="AE10" s="69"/>
      <c r="AF10" s="69"/>
      <c r="AG10" s="69"/>
    </row>
    <row r="11" spans="1:33" s="51" customFormat="1" ht="15.75" customHeight="1" x14ac:dyDescent="0.35">
      <c r="C11" s="58"/>
      <c r="D11" s="58"/>
      <c r="E11" s="58"/>
      <c r="F11" s="58"/>
      <c r="G11" s="58"/>
      <c r="H11" s="58"/>
      <c r="I11" s="58"/>
      <c r="J11" s="58"/>
      <c r="K11" s="58"/>
      <c r="M11" s="61"/>
      <c r="N11" s="61"/>
      <c r="P11" s="69"/>
      <c r="Q11" s="69"/>
      <c r="R11" s="69"/>
      <c r="S11" s="69"/>
      <c r="T11" s="69"/>
      <c r="U11" s="69"/>
      <c r="V11" s="69"/>
      <c r="W11" s="69"/>
      <c r="X11" s="69"/>
      <c r="Y11" s="69"/>
      <c r="Z11" s="69"/>
      <c r="AA11" s="69"/>
      <c r="AB11" s="69"/>
      <c r="AC11" s="69"/>
      <c r="AD11" s="69"/>
      <c r="AE11" s="69"/>
      <c r="AF11" s="69"/>
      <c r="AG11" s="69"/>
    </row>
    <row r="12" spans="1:33" s="185" customFormat="1" ht="18" customHeight="1" x14ac:dyDescent="0.35">
      <c r="A12" s="60"/>
      <c r="B12" s="186" t="s">
        <v>1261</v>
      </c>
      <c r="C12" s="186"/>
      <c r="D12" s="186"/>
      <c r="E12" s="186"/>
      <c r="F12" s="186"/>
      <c r="G12" s="186"/>
      <c r="H12" s="186"/>
      <c r="I12" s="186"/>
      <c r="J12" s="186"/>
      <c r="K12" s="186"/>
      <c r="L12" s="186"/>
      <c r="M12" s="186"/>
      <c r="P12" s="187"/>
      <c r="Q12" s="187"/>
      <c r="R12" s="187"/>
      <c r="S12" s="187"/>
      <c r="T12" s="187"/>
      <c r="U12" s="187"/>
      <c r="V12" s="187"/>
      <c r="W12" s="187"/>
      <c r="X12" s="187"/>
      <c r="Y12" s="187"/>
      <c r="Z12" s="187"/>
      <c r="AA12" s="187"/>
      <c r="AB12" s="187"/>
      <c r="AC12" s="187"/>
      <c r="AD12" s="187"/>
      <c r="AE12" s="187"/>
      <c r="AF12" s="187"/>
      <c r="AG12" s="187"/>
    </row>
    <row r="13" spans="1:33" ht="7" customHeight="1" x14ac:dyDescent="0.35">
      <c r="A13" s="185"/>
      <c r="B13" s="23"/>
    </row>
    <row r="14" spans="1:33" ht="21" customHeight="1" x14ac:dyDescent="0.25">
      <c r="B14" s="272" t="s">
        <v>1262</v>
      </c>
      <c r="I14" s="272" t="s">
        <v>1263</v>
      </c>
      <c r="N14" s="67"/>
      <c r="O14" s="15"/>
      <c r="T14" s="465"/>
      <c r="U14" s="424"/>
      <c r="V14" s="76"/>
      <c r="W14" s="76"/>
      <c r="X14" s="264"/>
      <c r="Y14" s="76"/>
      <c r="Z14" s="264"/>
    </row>
    <row r="15" spans="1:33" ht="51.75" customHeight="1" x14ac:dyDescent="0.25">
      <c r="B15" s="354"/>
      <c r="C15" s="354" t="s">
        <v>1264</v>
      </c>
      <c r="D15" s="354" t="s">
        <v>1265</v>
      </c>
      <c r="E15" s="354" t="s">
        <v>1150</v>
      </c>
      <c r="F15" s="354" t="s">
        <v>1151</v>
      </c>
      <c r="G15" s="354" t="s">
        <v>1152</v>
      </c>
      <c r="I15" s="354"/>
      <c r="J15" s="354" t="s">
        <v>1149</v>
      </c>
      <c r="K15" s="354" t="s">
        <v>1159</v>
      </c>
      <c r="L15" s="354" t="s">
        <v>1160</v>
      </c>
      <c r="M15" s="354" t="s">
        <v>1161</v>
      </c>
      <c r="N15" s="354" t="s">
        <v>1162</v>
      </c>
      <c r="O15" s="15"/>
      <c r="T15" s="462"/>
      <c r="U15" s="263"/>
      <c r="V15" s="77"/>
      <c r="W15" s="77"/>
      <c r="X15" s="78"/>
      <c r="Y15" s="77"/>
      <c r="Z15" s="78"/>
    </row>
    <row r="16" spans="1:33" ht="19.5" customHeight="1" x14ac:dyDescent="0.25">
      <c r="B16" s="100" t="s">
        <v>1153</v>
      </c>
      <c r="C16" s="57">
        <f ca="1">IF(OR(ISERROR(ProvCommData!B3),AND('Adjusted Health Gain Chart'!B11="England",'Adjusted Health Gain Chart'!D11&lt;&gt;"England")),"No data",IF(OR(ProvCommData!B6=Reference!AA3,ProvCommData!B6=Reference!AA4,ProvCommData!B6=Reference!AA5),"No data",IF(ProvCommData!B6=Reference!AA2,VLOOKUP("England",Participation_Data,2,FALSE),IF(ISERROR(VLOOKUP(ProvCommData!B7,Participation_Data,2,FALSE)),"No data",VLOOKUP(ProvCommData!B7,Participation_Data,2,FALSE)))))</f>
        <v>522</v>
      </c>
      <c r="D16" s="57">
        <f ca="1">IF(OR(ISERROR(ProvCommData!B3),AND('Adjusted Health Gain Chart'!B11="England",'Adjusted Health Gain Chart'!D11&lt;&gt;"England")),"No data",IF(OR(ProvCommData!B6=Reference!AA3,ProvCommData!B6=Reference!AA4,ProvCommData!B6=Reference!AA5),"No data",IF(ProvCommData!B6=Reference!AA2,VLOOKUP("England",Participation_Data,3,FALSE),IF(ISERROR(VLOOKUP(ProvCommData!B7,Participation_Data,3,FALSE)),"No data",VLOOKUP(ProvCommData!B7,Participation_Data,3,FALSE)))))</f>
        <v>258</v>
      </c>
      <c r="E16" s="101">
        <f ca="1">IF(OR(ISERROR(ProvCommData!B3),AND('Adjusted Health Gain Chart'!B11="England",'Adjusted Health Gain Chart'!D11&lt;&gt;"England")),"No data",IF(OR(ProvCommData!B6=Reference!AA3,ProvCommData!B6=Reference!AA4,ProvCommData!B6=Reference!AA5),"No data",IF(ProvCommData!B6=Reference!AA2,VLOOKUP("England",Participation_Data,4,FALSE),IF(ISERROR(VLOOKUP(ProvCommData!B7,Participation_Data,4,FALSE)),"No data",VLOOKUP(ProvCommData!B7,Participation_Data,4,FALSE)))))</f>
        <v>0.4942529</v>
      </c>
      <c r="F16" s="57">
        <f ca="1">IF(OR(ISERROR(ProvCommData!B3),AND('Adjusted Health Gain Chart'!B11="England",'Adjusted Health Gain Chart'!D11&lt;&gt;"England")),"No data",IF(OR(ProvCommData!B6=Reference!AA3,ProvCommData!B6=Reference!AA4,ProvCommData!B6=Reference!AA5),"No data",IF(ProvCommData!B6=Reference!AA2,VLOOKUP("England",Participation_Data,5,FALSE),IF(ISERROR(VLOOKUP(ProvCommData!B7,Participation_Data,5,FALSE)),"No data",VLOOKUP(ProvCommData!B7,Participation_Data,5,FALSE)))))</f>
        <v>188</v>
      </c>
      <c r="G16" s="101">
        <f ca="1">IF(OR(ISERROR(ProvCommData!B3),AND('Adjusted Health Gain Chart'!B11="England",'Adjusted Health Gain Chart'!D11&lt;&gt;"England")),"No data",IF(OR(ProvCommData!B6=Reference!AA3,ProvCommData!B6=Reference!AA4,ProvCommData!B6=Reference!AA5),"No data",IF(ProvCommData!B6=Reference!AA2,VLOOKUP("England",Participation_Data,6,FALSE),IF(ISERROR(VLOOKUP(ProvCommData!B7,Participation_Data,6,FALSE)),"No data",VLOOKUP(ProvCommData!B7,Participation_Data,6,FALSE)))))</f>
        <v>0.72868219999999995</v>
      </c>
      <c r="I16" s="100" t="s">
        <v>1153</v>
      </c>
      <c r="J16" s="57">
        <f ca="1">IF(OR(ISERROR(ProvCommData!B3),AND('Adjusted Health Gain Chart'!B11="England",'Adjusted Health Gain Chart'!D11&lt;&gt;"England")),"No data",IF(OR(ProvCommData!B6=Reference!AA3,ProvCommData!B6=Reference!AA4,ProvCommData!B6=Reference!AA5),"No data",IF(ProvCommData!B6=Reference!AA2,VLOOKUP("England",Participation_Data,3,FALSE),IF(ISERROR(VLOOKUP(ProvCommData!B7,Participation_Data,3,FALSE)),"No data",VLOOKUP(ProvCommData!B7,Participation_Data,3,FALSE)))))</f>
        <v>258</v>
      </c>
      <c r="K16" s="57">
        <f ca="1">IF(OR(ISERROR(ProvCommData!B3),AND('Adjusted Health Gain Chart'!B11="England",'Adjusted Health Gain Chart'!D11&lt;&gt;"England")),"No data",IF(OR(ProvCommData!B6=Reference!AA3,ProvCommData!B6=Reference!AA4,ProvCommData!B6=Reference!AA5),"No data",IF(ProvCommData!B6=Reference!AA2,VLOOKUP("England",Participation_Data,7,FALSE),IF(ISERROR(VLOOKUP(ProvCommData!B7,Participation_Data,7,FALSE)),"No data",VLOOKUP(ProvCommData!B7,Participation_Data,7,FALSE)))))</f>
        <v>255</v>
      </c>
      <c r="L16" s="101">
        <f ca="1">IF(OR(ISERROR(ProvCommData!B3),AND('Adjusted Health Gain Chart'!B11="England",'Adjusted Health Gain Chart'!D11&lt;&gt;"England")),"No data",IF(OR(ProvCommData!B6=Reference!AA3,ProvCommData!B6=Reference!AA4,ProvCommData!B6=Reference!AA5),"No data",IF(ProvCommData!B6=Reference!AA2,VLOOKUP("England",Participation_Data,8,FALSE),IF(ISERROR(VLOOKUP(ProvCommData!B7,Participation_Data,8,FALSE)),"No data",VLOOKUP(ProvCommData!B7,Participation_Data,8,FALSE)))))</f>
        <v>0.98837209999999998</v>
      </c>
      <c r="M16" s="57">
        <f ca="1">IF(OR(ISERROR(ProvCommData!B3),AND('Adjusted Health Gain Chart'!B11="England",'Adjusted Health Gain Chart'!D11&lt;&gt;"England")),"No data",IF(OR(ProvCommData!B6=Reference!AA3,ProvCommData!B6=Reference!AA4,ProvCommData!B6=Reference!AA5),"No data",IF(ProvCommData!B6=Reference!AA2,VLOOKUP("England",Participation_Data,9,FALSE),IF(ISERROR(VLOOKUP(ProvCommData!B7,Participation_Data,9,FALSE)),"No data",VLOOKUP(ProvCommData!B7,Participation_Data,9,FALSE)))))</f>
        <v>164</v>
      </c>
      <c r="N16" s="101">
        <f ca="1">IF(OR(ISERROR(ProvCommData!B3),AND('Adjusted Health Gain Chart'!B11="England",'Adjusted Health Gain Chart'!D11&lt;&gt;"England")),"No data",IF(OR(ProvCommData!B6=Reference!AA3,ProvCommData!B6=Reference!AA4,ProvCommData!B6=Reference!AA5),"No data",IF(ProvCommData!B6=Reference!AA2,VLOOKUP("England",Participation_Data,10,FALSE),IF(ISERROR(VLOOKUP(ProvCommData!B7,Participation_Data,10,FALSE)),"No data",VLOOKUP(ProvCommData!B7,Participation_Data,10,FALSE)))))</f>
        <v>0.64313730000000002</v>
      </c>
      <c r="O16" s="15"/>
      <c r="T16" s="424"/>
      <c r="U16" s="263"/>
      <c r="V16" s="77"/>
      <c r="W16" s="77"/>
      <c r="X16" s="78"/>
      <c r="Y16" s="77"/>
      <c r="Z16" s="78"/>
    </row>
    <row r="17" spans="1:33" ht="19.5" customHeight="1" x14ac:dyDescent="0.25">
      <c r="B17" s="100"/>
      <c r="C17" s="57"/>
      <c r="D17" s="57"/>
      <c r="E17" s="101"/>
      <c r="F17" s="57"/>
      <c r="G17" s="101"/>
      <c r="I17" s="100"/>
      <c r="J17" s="57"/>
      <c r="K17" s="57"/>
      <c r="L17" s="101"/>
      <c r="M17" s="57"/>
      <c r="N17" s="101"/>
      <c r="O17" s="15"/>
      <c r="T17" s="424"/>
      <c r="U17" s="263"/>
      <c r="V17" s="77"/>
      <c r="W17" s="77"/>
      <c r="X17" s="78"/>
      <c r="Y17" s="77"/>
      <c r="Z17" s="78"/>
    </row>
    <row r="18" spans="1:33" s="387" customFormat="1" ht="19.5" customHeight="1" x14ac:dyDescent="0.25">
      <c r="B18" s="100" t="s">
        <v>1155</v>
      </c>
      <c r="C18" s="57">
        <f ca="1">IF(OR(ISERROR(ProvCommData!B3),AND('Adjusted Health Gain Chart'!B11="England",'Adjusted Health Gain Chart'!D11&lt;&gt;"England")),"No data",IF(OR(ProvCommData!B6=Reference!AA3,ProvCommData!B6=Reference!AA4,ProvCommData!B6=Reference!AA5),"No data",IF(ProvCommData!B6=Reference!AA2,VLOOKUP("England",Participation_Data,11,FALSE),IF(ISERROR(VLOOKUP(ProvCommData!B7,Participation_Data,11,FALSE)),"No data",VLOOKUP(ProvCommData!B7,Participation_Data,11,FALSE)))))</f>
        <v>238</v>
      </c>
      <c r="D18" s="57">
        <f ca="1">IF(OR(ISERROR(ProvCommData!B3),AND('Adjusted Health Gain Chart'!B11="England",'Adjusted Health Gain Chart'!D11&lt;&gt;"England")),"No data",IF(OR(ProvCommData!B6=Reference!AA3,ProvCommData!B6=Reference!AA4,ProvCommData!B6=Reference!AA5),"No data",IF(ProvCommData!B6=Reference!AA2,VLOOKUP("England",Participation_Data,12,FALSE),IF(ISERROR(VLOOKUP(ProvCommData!B7,Participation_Data,12,FALSE)),"No data",VLOOKUP(ProvCommData!B7,Participation_Data,12,FALSE)))))</f>
        <v>117</v>
      </c>
      <c r="E18" s="101">
        <f ca="1">IF(OR(ISERROR(ProvCommData!B3),AND('Adjusted Health Gain Chart'!B11="England",'Adjusted Health Gain Chart'!D11&lt;&gt;"England")),"No data",IF(OR(ProvCommData!B6=Reference!AA3,ProvCommData!B6=Reference!AA4,ProvCommData!B6=Reference!AA5),"No data",IF(ProvCommData!B6=Reference!AA2,VLOOKUP("England",Participation_Data,13,FALSE),IF(ISERROR(VLOOKUP(ProvCommData!B7,Participation_Data,13,FALSE)),"No data",VLOOKUP(ProvCommData!B7,Participation_Data,13,FALSE)))))</f>
        <v>0.49159659999999999</v>
      </c>
      <c r="F18" s="57">
        <f ca="1">IF(OR(ISERROR(ProvCommData!B3),AND('Adjusted Health Gain Chart'!B11="England",'Adjusted Health Gain Chart'!D11&lt;&gt;"England")),"No data",IF(OR(ProvCommData!B6=Reference!AA3,ProvCommData!B6=Reference!AA4,ProvCommData!B6=Reference!AA5),"No data",IF(ProvCommData!B6=Reference!AA2,VLOOKUP("England",Participation_Data,14,FALSE),IF(ISERROR(VLOOKUP(ProvCommData!B7,Participation_Data,14,FALSE)),"No data",VLOOKUP(ProvCommData!B7,Participation_Data,14,FALSE)))))</f>
        <v>86</v>
      </c>
      <c r="G18" s="101">
        <f ca="1">IF(OR(ISERROR(ProvCommData!B3),AND('Adjusted Health Gain Chart'!B11="England",'Adjusted Health Gain Chart'!D11&lt;&gt;"England")),"No data",IF(OR(ProvCommData!B6=Reference!AA3,ProvCommData!B6=Reference!AA4,ProvCommData!B6=Reference!AA5),"No data",IF(ProvCommData!B6=Reference!AA2,VLOOKUP("England",Participation_Data,15,FALSE),IF(ISERROR(VLOOKUP(ProvCommData!B7,Participation_Data,15,FALSE)),"No data",VLOOKUP(ProvCommData!B7,Participation_Data,15,FALSE)))))</f>
        <v>0.73504270000000005</v>
      </c>
      <c r="I18" s="100" t="s">
        <v>1155</v>
      </c>
      <c r="J18" s="57">
        <f ca="1">IF(OR(ISERROR(ProvCommData!B3),AND('Adjusted Health Gain Chart'!B11="England",'Adjusted Health Gain Chart'!D11&lt;&gt;"England")),"No data",IF(OR(ProvCommData!B6=Reference!AA3,ProvCommData!B6=Reference!AA4,ProvCommData!B6=Reference!AA5),"No data",IF(ProvCommData!B6=Reference!AA2,VLOOKUP("England",Participation_Data,12,FALSE),IF(ISERROR(VLOOKUP(ProvCommData!B7,Participation_Data,12,FALSE)),"No data",VLOOKUP(ProvCommData!B7,Participation_Data,12,FALSE)))))</f>
        <v>117</v>
      </c>
      <c r="K18" s="57">
        <f ca="1">IF(OR(ISERROR(ProvCommData!B3),AND('Adjusted Health Gain Chart'!B11="England",'Adjusted Health Gain Chart'!D11&lt;&gt;"England")),"No data",IF(OR(ProvCommData!B6=Reference!AA3,ProvCommData!B6=Reference!AA4,ProvCommData!B6=Reference!AA5),"No data",IF(ProvCommData!B6=Reference!AA2,VLOOKUP("England",Participation_Data,16,FALSE),IF(ISERROR(VLOOKUP(ProvCommData!B7,Participation_Data,16,FALSE)),"No data",VLOOKUP(ProvCommData!B7,Participation_Data,16,FALSE)))))</f>
        <v>117</v>
      </c>
      <c r="L18" s="101">
        <f ca="1">IF(OR(ISERROR(ProvCommData!B3),AND('Adjusted Health Gain Chart'!B11="England",'Adjusted Health Gain Chart'!D11&lt;&gt;"England")),"No data",IF(OR(ProvCommData!B6=Reference!AA3,ProvCommData!B6=Reference!AA4,ProvCommData!B6=Reference!AA5),"No data",IF(ProvCommData!B6=Reference!AA2,VLOOKUP("England",Participation_Data,17,FALSE),IF(ISERROR(VLOOKUP(ProvCommData!B7,Participation_Data,17,FALSE)),"No data",VLOOKUP(ProvCommData!B7,Participation_Data,17,FALSE)))))</f>
        <v>1</v>
      </c>
      <c r="M18" s="57">
        <f ca="1">IF(OR(ISERROR(ProvCommData!B3),AND('Adjusted Health Gain Chart'!B11="England",'Adjusted Health Gain Chart'!D11&lt;&gt;"England")),"No data",IF(OR(ProvCommData!B6=Reference!AA3,ProvCommData!B6=Reference!AA4,ProvCommData!B6=Reference!AA5),"No data",IF(ProvCommData!B6=Reference!AA2,VLOOKUP("England",Participation_Data,18,FALSE),IF(ISERROR(VLOOKUP(ProvCommData!B7,Participation_Data,18,FALSE)),"No data",VLOOKUP(ProvCommData!B7,Participation_Data,18,FALSE)))))</f>
        <v>80</v>
      </c>
      <c r="N18" s="101">
        <f ca="1">IF(OR(ISERROR(ProvCommData!B3),AND('Adjusted Health Gain Chart'!B11="England",'Adjusted Health Gain Chart'!D11&lt;&gt;"England")),"No data",IF(OR(ProvCommData!B6=Reference!AA3,ProvCommData!B6=Reference!AA4,ProvCommData!B6=Reference!AA5),"No data",IF(ProvCommData!B6=Reference!AA2,VLOOKUP("England",Participation_Data,19,FALSE),IF(ISERROR(VLOOKUP(ProvCommData!B7,Participation_Data,19,FALSE)),"No data",VLOOKUP(ProvCommData!B7,Participation_Data,19,FALSE)))))</f>
        <v>0.6837607</v>
      </c>
      <c r="O18" s="388"/>
      <c r="P18" s="389"/>
      <c r="Q18" s="389"/>
      <c r="R18" s="389"/>
      <c r="S18" s="389"/>
      <c r="T18" s="424"/>
      <c r="U18" s="263"/>
      <c r="V18" s="77"/>
      <c r="W18" s="77"/>
      <c r="X18" s="78"/>
      <c r="Y18" s="77"/>
      <c r="Z18" s="78"/>
      <c r="AA18" s="389"/>
      <c r="AB18" s="389"/>
      <c r="AC18" s="389"/>
      <c r="AD18" s="389"/>
      <c r="AE18" s="389"/>
      <c r="AF18" s="389"/>
      <c r="AG18" s="389"/>
    </row>
    <row r="19" spans="1:33" s="387" customFormat="1" ht="19.5" customHeight="1" x14ac:dyDescent="0.25">
      <c r="B19" s="386" t="s">
        <v>1266</v>
      </c>
      <c r="C19" s="57"/>
      <c r="D19" s="57"/>
      <c r="E19" s="101"/>
      <c r="F19" s="57"/>
      <c r="G19" s="101"/>
      <c r="I19" s="386" t="s">
        <v>1267</v>
      </c>
      <c r="J19" s="57"/>
      <c r="K19" s="57"/>
      <c r="L19" s="101"/>
      <c r="M19" s="57"/>
      <c r="N19" s="101"/>
      <c r="O19" s="388"/>
      <c r="P19" s="389"/>
      <c r="Q19" s="389"/>
      <c r="R19" s="389"/>
      <c r="S19" s="389"/>
      <c r="T19" s="424"/>
      <c r="U19" s="263"/>
      <c r="V19" s="77"/>
      <c r="W19" s="77"/>
      <c r="X19" s="78"/>
      <c r="Y19" s="77"/>
      <c r="Z19" s="78"/>
      <c r="AA19" s="389"/>
      <c r="AB19" s="389"/>
      <c r="AC19" s="389"/>
      <c r="AD19" s="389"/>
      <c r="AE19" s="389"/>
      <c r="AF19" s="389"/>
      <c r="AG19" s="389"/>
    </row>
    <row r="20" spans="1:33" s="387" customFormat="1" ht="19.5" customHeight="1" x14ac:dyDescent="0.25">
      <c r="B20" s="100" t="s">
        <v>1268</v>
      </c>
      <c r="C20" s="57">
        <f ca="1">IF(OR(ISERROR(ProvCommData!B3),AND('Adjusted Health Gain Chart'!B11="England",'Adjusted Health Gain Chart'!D11&lt;&gt;"England")),"No data",IF(OR(ProvCommData!B6=Reference!AA5,ProvCommData!B6=Reference!AA3,ProvCommData!B6=Reference!AA4),"No data",IF(ProvCommData!B6=Reference!AA2,VLOOKUP("England",Participation_Data,20,FALSE),IF(ISERROR(VLOOKUP(ProvCommData!B7,Participation_Data,20,FALSE)),"No data",VLOOKUP(ProvCommData!B7,Participation_Data,20,FALSE)))))</f>
        <v>229</v>
      </c>
      <c r="D20" s="57" t="str">
        <f ca="1">IF(OR(ISERROR(ProvCommData!B3),AND('Adjusted Health Gain Chart'!B11="England",'Adjusted Health Gain Chart'!D11&lt;&gt;"England")),"No data",IF(OR(ProvCommData!B6=Reference!AA5,ProvCommData!B6=Reference!AA3,ProvCommData!B6=Reference!AA4),"No data",IF(ProvCommData!B6=Reference!AA2,VLOOKUP("England",Participation_Data,21,FALSE),IF(ISERROR(VLOOKUP(ProvCommData!B7,Participation_Data,21,FALSE)),"No data",VLOOKUP(ProvCommData!B7,Participation_Data,21,FALSE)))))</f>
        <v>*</v>
      </c>
      <c r="E20" s="101" t="str">
        <f ca="1">IF(OR(ISERROR(ProvCommData!B3),AND('Adjusted Health Gain Chart'!B11="England",'Adjusted Health Gain Chart'!D11&lt;&gt;"England")),"No data",IF(OR(ProvCommData!B6=Reference!AA5,ProvCommData!B6=Reference!AA3,ProvCommData!B6=Reference!AA4),"No data",IF(ProvCommData!B6=Reference!AA2,VLOOKUP("England",Participation_Data,22,FALSE),IF(ISERROR(VLOOKUP(ProvCommData!B7,Participation_Data,22,FALSE)),"No data",VLOOKUP(ProvCommData!B7,Participation_Data,22,FALSE)))))</f>
        <v>*</v>
      </c>
      <c r="F20" s="57" t="str">
        <f ca="1">IF(OR(ISERROR(ProvCommData!B3),AND('Adjusted Health Gain Chart'!B11="England",'Adjusted Health Gain Chart'!D11&lt;&gt;"England")),"No data",IF(OR(ProvCommData!B6=Reference!AA5,ProvCommData!B6=Reference!AA3,ProvCommData!B6=Reference!AA4),"No data",IF(ProvCommData!B6=Reference!AA2,VLOOKUP("England",Participation_Data,23,FALSE),IF(ISERROR(VLOOKUP(ProvCommData!B7,Participation_Data,23,FALSE)),"No data",VLOOKUP(ProvCommData!B7,Participation_Data,23,FALSE)))))</f>
        <v>*</v>
      </c>
      <c r="G20" s="101" t="str">
        <f ca="1">IF(OR(ISERROR(ProvCommData!B3),AND('Adjusted Health Gain Chart'!B11="England",'Adjusted Health Gain Chart'!D11&lt;&gt;"England")),"No data",IF(OR(ProvCommData!B6=Reference!AA5,ProvCommData!B6=Reference!AA3,ProvCommData!B6=Reference!AA4),"No data",IF(ProvCommData!B6=Reference!AA2,VLOOKUP("England",Participation_Data,24,FALSE),IF(ISERROR(VLOOKUP(ProvCommData!B7,Participation_Data,24,FALSE)),"No data",VLOOKUP(ProvCommData!B7,Participation_Data,24,FALSE)))))</f>
        <v>*</v>
      </c>
      <c r="I20" s="100" t="s">
        <v>1268</v>
      </c>
      <c r="J20" s="57" t="str">
        <f ca="1">IF(OR(ISERROR(ProvCommData!B3),AND('Adjusted Health Gain Chart'!B11="England",'Adjusted Health Gain Chart'!D11&lt;&gt;"England")),"No data",IF(OR(ProvCommData!B6=Reference!AA5,ProvCommData!B6=Reference!AA3,ProvCommData!B6=Reference!AA4),"No data",IF(ProvCommData!B6=Reference!AA2,VLOOKUP("England",Participation_Data,21,FALSE),IF(ISERROR(VLOOKUP(ProvCommData!B7,Participation_Data,21,FALSE)),"No data",VLOOKUP(ProvCommData!B7,Participation_Data,21,FALSE)))))</f>
        <v>*</v>
      </c>
      <c r="K20" s="57" t="str">
        <f ca="1">IF(OR(ISERROR(ProvCommData!B3),AND('Adjusted Health Gain Chart'!B11="England",'Adjusted Health Gain Chart'!D11&lt;&gt;"England")),"No data",IF(OR(ProvCommData!B6=Reference!AA5,ProvCommData!B6=Reference!AA3,ProvCommData!B6=Reference!AA4),"No data",IF(ProvCommData!B6=Reference!AA2,VLOOKUP("England",Participation_Data,25,FALSE),IF(ISERROR(VLOOKUP(ProvCommData!B7,Participation_Data,25,FALSE)),"No data",VLOOKUP(ProvCommData!B7,Participation_Data,25,FALSE)))))</f>
        <v>*</v>
      </c>
      <c r="L20" s="101" t="str">
        <f ca="1">IF(OR(ISERROR(ProvCommData!B3),AND('Adjusted Health Gain Chart'!B11="England",'Adjusted Health Gain Chart'!D11&lt;&gt;"England")),"No data",IF(OR(ProvCommData!B6=Reference!AA5,ProvCommData!B6=Reference!AA3,ProvCommData!B6=Reference!AA4),"No data",IF(ProvCommData!B6=Reference!AA2,VLOOKUP("England",Participation_Data,26,FALSE),IF(ISERROR(VLOOKUP(ProvCommData!B7,Participation_Data,26,FALSE)),"No data",VLOOKUP(ProvCommData!B7,Participation_Data,26,FALSE)))))</f>
        <v>*</v>
      </c>
      <c r="M20" s="57" t="str">
        <f ca="1">IF(OR(ISERROR(ProvCommData!B3),AND('Adjusted Health Gain Chart'!B11="England",'Adjusted Health Gain Chart'!D11&lt;&gt;"England")),"No data",IF(OR(ProvCommData!B6=Reference!AA5,ProvCommData!B6=Reference!AA3,ProvCommData!B6=Reference!AA4),"No data",IF(ProvCommData!B6=Reference!AA2,VLOOKUP("England",Participation_Data,27,FALSE),IF(ISERROR(VLOOKUP(ProvCommData!B7,Participation_Data,27,FALSE)),"No data",VLOOKUP(ProvCommData!B7,Participation_Data,27,FALSE)))))</f>
        <v>*</v>
      </c>
      <c r="N20" s="101" t="str">
        <f ca="1">IF(OR(ISERROR(ProvCommData!B3),AND('Adjusted Health Gain Chart'!B11="England",'Adjusted Health Gain Chart'!D11&lt;&gt;"England")),"No data",IF(OR(ProvCommData!B6=Reference!AA5,ProvCommData!B6=Reference!AA3,ProvCommData!B6=Reference!AA4),"No data",IF(ProvCommData!B6=Reference!AA2,VLOOKUP("England",Participation_Data,28,FALSE),IF(ISERROR(VLOOKUP(ProvCommData!B7,Participation_Data,28,FALSE)),"No data",VLOOKUP(ProvCommData!B7,Participation_Data,28,FALSE)))))</f>
        <v>*</v>
      </c>
      <c r="O20" s="388"/>
      <c r="P20" s="389"/>
      <c r="Q20" s="389"/>
      <c r="R20" s="389"/>
      <c r="S20" s="389"/>
      <c r="T20" s="424"/>
      <c r="U20" s="263"/>
      <c r="V20" s="77"/>
      <c r="W20" s="77"/>
      <c r="X20" s="78"/>
      <c r="Y20" s="77"/>
      <c r="Z20" s="78"/>
      <c r="AA20" s="389"/>
      <c r="AB20" s="389"/>
      <c r="AC20" s="389"/>
      <c r="AD20" s="389"/>
      <c r="AE20" s="389"/>
      <c r="AF20" s="389"/>
      <c r="AG20" s="389"/>
    </row>
    <row r="21" spans="1:33" s="387" customFormat="1" ht="19.5" customHeight="1" x14ac:dyDescent="0.25">
      <c r="B21" s="100" t="s">
        <v>1269</v>
      </c>
      <c r="C21" s="57">
        <f ca="1">IF(OR(ISERROR(ProvCommData!B3),AND('Adjusted Health Gain Chart'!B11="England",'Adjusted Health Gain Chart'!D11&lt;&gt;"England")),"No data",IF(OR(ProvCommData!B6=Reference!AA3,ProvCommData!B6=Reference!AA4,ProvCommData!B6=Reference!AA5),"No data",IF(ProvCommData!B6=Reference!AA2,VLOOKUP("England",Participation_Data,29,FALSE),IF(ISERROR(VLOOKUP(ProvCommData!B7,Participation_Data,29,FALSE)),"No data",VLOOKUP(ProvCommData!B7,Participation_Data,29,FALSE)))))</f>
        <v>9</v>
      </c>
      <c r="D21" s="57" t="str">
        <f ca="1">IF(OR(ISERROR(ProvCommData!B3),AND('Adjusted Health Gain Chart'!B11="England",'Adjusted Health Gain Chart'!D11&lt;&gt;"England")),"No data",IF(OR(ProvCommData!B6=Reference!AA3,ProvCommData!B6=Reference!AA4,ProvCommData!B6=Reference!AA5),"No data",IF(ProvCommData!B6=Reference!AA2,VLOOKUP("England",Participation_Data,30,FALSE),IF(ISERROR(VLOOKUP(ProvCommData!B7,Participation_Data,30,FALSE)),"No data",VLOOKUP(ProvCommData!B7,Participation_Data,30,FALSE)))))</f>
        <v>*</v>
      </c>
      <c r="E21" s="101" t="str">
        <f ca="1">IF(OR(ISERROR(ProvCommData!B3),AND('Adjusted Health Gain Chart'!B11="England",'Adjusted Health Gain Chart'!D11&lt;&gt;"England")),"No data",IF(OR(ProvCommData!B6=Reference!AA3,ProvCommData!B6=Reference!AA4,ProvCommData!B6=Reference!AA5),"No data",IF(ProvCommData!B6=Reference!AA2,VLOOKUP("England",Participation_Data,31,FALSE),IF(ISERROR(VLOOKUP(ProvCommData!B7,Participation_Data,31,FALSE)),"No data",VLOOKUP(ProvCommData!B7,Participation_Data,31,FALSE)))))</f>
        <v>*</v>
      </c>
      <c r="F21" s="57" t="str">
        <f ca="1">IF(OR(ISERROR(ProvCommData!B3),AND('Adjusted Health Gain Chart'!B11="England",'Adjusted Health Gain Chart'!D11&lt;&gt;"England")),"No data",IF(OR(ProvCommData!B6=Reference!AA3,ProvCommData!B6=Reference!AA4,ProvCommData!B6=Reference!AA5),"No data",IF(ProvCommData!B6=Reference!AA2,VLOOKUP("England",Participation_Data,32,FALSE),IF(ISERROR(VLOOKUP(ProvCommData!B7,Participation_Data,32,FALSE)),"No data",VLOOKUP(ProvCommData!B7,Participation_Data,32,FALSE)))))</f>
        <v>*</v>
      </c>
      <c r="G21" s="101" t="str">
        <f ca="1">IF(OR(ISERROR(ProvCommData!B3),AND('Adjusted Health Gain Chart'!B11="England",'Adjusted Health Gain Chart'!D11&lt;&gt;"England")),"No data",IF(OR(ProvCommData!B6=Reference!AA3,ProvCommData!B6=Reference!AA4,ProvCommData!B6=Reference!AA5),"No data",IF(ProvCommData!B6=Reference!AA2,VLOOKUP("England",Participation_Data,33,FALSE),IF(ISERROR(VLOOKUP(ProvCommData!B7,Participation_Data,33,FALSE)),"No data",VLOOKUP(ProvCommData!B7,Participation_Data,33,FALSE)))))</f>
        <v>*</v>
      </c>
      <c r="I21" s="100" t="s">
        <v>1269</v>
      </c>
      <c r="J21" s="57" t="str">
        <f ca="1">IF(OR(ISERROR(ProvCommData!B3),AND('Adjusted Health Gain Chart'!B11="England",'Adjusted Health Gain Chart'!D11&lt;&gt;"England")),"No data",IF(OR(ProvCommData!B6=Reference!AA3,ProvCommData!B6=Reference!AA4,ProvCommData!B6=Reference!AA5),"No data",IF(ProvCommData!B6=Reference!AA2,VLOOKUP("England",Participation_Data,30,FALSE),IF(ISERROR(VLOOKUP(ProvCommData!B7,Participation_Data,30,FALSE)),"No data",VLOOKUP(ProvCommData!B7,Participation_Data,30,FALSE)))))</f>
        <v>*</v>
      </c>
      <c r="K21" s="57" t="str">
        <f ca="1">IF(OR(ISERROR(ProvCommData!B3),AND('Adjusted Health Gain Chart'!B11="England",'Adjusted Health Gain Chart'!D11&lt;&gt;"England")),"No data",IF(OR(ProvCommData!B6=Reference!AA3,ProvCommData!B6=Reference!AA4,ProvCommData!B6=Reference!AA5),"No data",IF(ProvCommData!B6=Reference!AA2,VLOOKUP("England",Participation_Data,34,FALSE),IF(ISERROR(VLOOKUP(ProvCommData!B7,Participation_Data,34,FALSE)),"No data",VLOOKUP(ProvCommData!B7,Participation_Data,34,FALSE)))))</f>
        <v>*</v>
      </c>
      <c r="L21" s="101" t="str">
        <f ca="1">IF(OR(ISERROR(ProvCommData!B3),AND('Adjusted Health Gain Chart'!B11="England",'Adjusted Health Gain Chart'!D11&lt;&gt;"England")),"No data",IF(OR(ProvCommData!B6=Reference!AA3,ProvCommData!B6=Reference!AA4,ProvCommData!B6=Reference!AA5),"No data",IF(ProvCommData!B6=Reference!AA2,VLOOKUP("England",Participation_Data,35,FALSE),IF(ISERROR(VLOOKUP(ProvCommData!B7,Participation_Data,35,FALSE)),"No data",VLOOKUP(ProvCommData!B7,Participation_Data,35,FALSE)))))</f>
        <v>*</v>
      </c>
      <c r="M21" s="57" t="str">
        <f ca="1">IF(OR(ISERROR(ProvCommData!B3),AND('Adjusted Health Gain Chart'!B11="England",'Adjusted Health Gain Chart'!D11&lt;&gt;"England")),"No data",IF(OR(ProvCommData!B6=Reference!AA3,ProvCommData!B6=Reference!AA4,ProvCommData!B6=Reference!AA5),"No data",IF(ProvCommData!B6=Reference!AA2,VLOOKUP("England",Participation_Data,36,FALSE),IF(ISERROR(VLOOKUP(ProvCommData!B7,Participation_Data,36,FALSE)),"No data",VLOOKUP(ProvCommData!B7,Participation_Data,36,FALSE)))))</f>
        <v>*</v>
      </c>
      <c r="N21" s="101" t="str">
        <f ca="1">IF(OR(ISERROR(ProvCommData!B3),AND('Adjusted Health Gain Chart'!B11="England",'Adjusted Health Gain Chart'!D11&lt;&gt;"England")),"No data",IF(OR(ProvCommData!B6=Reference!AA3,ProvCommData!B6=Reference!AA4,ProvCommData!B6=Reference!AA5),"No data",IF(ProvCommData!B6=Reference!AA2,VLOOKUP("England",Participation_Data,37,FALSE),IF(ISERROR(VLOOKUP(ProvCommData!B7,Participation_Data,37,FALSE)),"No data",VLOOKUP(ProvCommData!B7,Participation_Data,37,FALSE)))))</f>
        <v>*</v>
      </c>
      <c r="O21" s="388"/>
      <c r="P21" s="389"/>
      <c r="Q21" s="389"/>
      <c r="R21" s="389"/>
      <c r="S21" s="389"/>
      <c r="T21" s="424"/>
      <c r="U21" s="263"/>
      <c r="V21" s="77"/>
      <c r="W21" s="77"/>
      <c r="X21" s="78"/>
      <c r="Y21" s="77"/>
      <c r="Z21" s="78"/>
      <c r="AA21" s="389"/>
      <c r="AB21" s="389"/>
      <c r="AC21" s="389"/>
      <c r="AD21" s="389"/>
      <c r="AE21" s="389"/>
      <c r="AF21" s="389"/>
      <c r="AG21" s="389"/>
    </row>
    <row r="22" spans="1:33" s="387" customFormat="1" ht="19.5" customHeight="1" x14ac:dyDescent="0.25">
      <c r="B22" s="100"/>
      <c r="C22" s="57"/>
      <c r="D22" s="57"/>
      <c r="E22" s="101"/>
      <c r="F22" s="57"/>
      <c r="G22" s="101"/>
      <c r="I22" s="100"/>
      <c r="J22" s="57"/>
      <c r="K22" s="57"/>
      <c r="L22" s="101"/>
      <c r="M22" s="57"/>
      <c r="N22" s="101"/>
      <c r="O22" s="388"/>
      <c r="P22" s="389"/>
      <c r="Q22" s="389"/>
      <c r="R22" s="389"/>
      <c r="S22" s="389"/>
      <c r="T22" s="424"/>
      <c r="U22" s="263"/>
      <c r="V22" s="77"/>
      <c r="W22" s="77"/>
      <c r="X22" s="78"/>
      <c r="Y22" s="77"/>
      <c r="Z22" s="78"/>
      <c r="AA22" s="389"/>
      <c r="AB22" s="389"/>
      <c r="AC22" s="389"/>
      <c r="AD22" s="389"/>
      <c r="AE22" s="389"/>
      <c r="AF22" s="389"/>
      <c r="AG22" s="389"/>
    </row>
    <row r="23" spans="1:33" s="387" customFormat="1" ht="19.5" customHeight="1" x14ac:dyDescent="0.25">
      <c r="B23" s="100" t="s">
        <v>1156</v>
      </c>
      <c r="C23" s="57">
        <f ca="1">IF(OR(ISERROR(ProvCommData!B3),AND('Adjusted Health Gain Chart'!B11="England",'Adjusted Health Gain Chart'!D11&lt;&gt;"England")),"No data",IF(OR(ProvCommData!B6=Reference!AA3,ProvCommData!B6=Reference!AA4,ProvCommData!B6=Reference!AA3),"No data",IF(ProvCommData!B6=Reference!AA2,VLOOKUP("England",Participation_Data,38,FALSE),IF(ISERROR(VLOOKUP(ProvCommData!B7,Participation_Data,38,FALSE)),"No data",VLOOKUP(ProvCommData!B7,Participation_Data,38,FALSE)))))</f>
        <v>284</v>
      </c>
      <c r="D23" s="57">
        <f ca="1">IF(OR(ISERROR(ProvCommData!B3),AND('Adjusted Health Gain Chart'!B11="England",'Adjusted Health Gain Chart'!D11&lt;&gt;"England")),"No data",IF(OR(ProvCommData!B6=Reference!AA3,ProvCommData!B6=Reference!AA4,ProvCommData!B6=Reference!AA3),"No data",IF(ProvCommData!B6=Reference!AA2,VLOOKUP("England",Participation_Data,39,FALSE),IF(ISERROR(VLOOKUP(ProvCommData!B7,Participation_Data,39,FALSE)),"No data",VLOOKUP(ProvCommData!B7,Participation_Data,39,FALSE)))))</f>
        <v>141</v>
      </c>
      <c r="E23" s="101">
        <f ca="1">IF(OR(ISERROR(ProvCommData!B3),AND('Adjusted Health Gain Chart'!B11="England",'Adjusted Health Gain Chart'!D11&lt;&gt;"England")),"No data",IF(OR(ProvCommData!B6=Reference!AA3,ProvCommData!B6=Reference!AA4,ProvCommData!B6=Reference!AA3),"No data",IF(ProvCommData!B6=Reference!AA2,VLOOKUP("England",Participation_Data,40,FALSE),IF(ISERROR(VLOOKUP(ProvCommData!B7,Participation_Data,40,FALSE)),"No data",VLOOKUP(ProvCommData!B7,Participation_Data,40,FALSE)))))</f>
        <v>0.4964789</v>
      </c>
      <c r="F23" s="57">
        <f ca="1">IF(OR(ISERROR(ProvCommData!B3),AND('Adjusted Health Gain Chart'!B11="England",'Adjusted Health Gain Chart'!D11&lt;&gt;"England")),"No data",IF(OR(ProvCommData!B6=Reference!AA3,ProvCommData!B6=Reference!AA4,ProvCommData!B6=Reference!AA3),"No data",IF(ProvCommData!B6=Reference!AA2,VLOOKUP("England",Participation_Data,41,FALSE),IF(ISERROR(VLOOKUP(ProvCommData!B7,Participation_Data,41,FALSE)),"No data",VLOOKUP(ProvCommData!B7,Participation_Data,41,FALSE)))))</f>
        <v>102</v>
      </c>
      <c r="G23" s="101">
        <f ca="1">IF(OR(ISERROR(ProvCommData!B3),AND('Adjusted Health Gain Chart'!B11="England",'Adjusted Health Gain Chart'!D11&lt;&gt;"England")),"No data",IF(OR(ProvCommData!B6=Reference!AA3,ProvCommData!B6=Reference!AA4,ProvCommData!B6=Reference!AA3),"No data",IF(ProvCommData!B6=Reference!AA2,VLOOKUP("England",Participation_Data,42,FALSE),IF(ISERROR(VLOOKUP(ProvCommData!B7,Participation_Data,42,FALSE)),"No data",VLOOKUP(ProvCommData!B7,Participation_Data,42,FALSE)))))</f>
        <v>0.7234043</v>
      </c>
      <c r="I23" s="100" t="s">
        <v>1156</v>
      </c>
      <c r="J23" s="57">
        <f ca="1">IF(OR(ISERROR(ProvCommData!B3),AND('Adjusted Health Gain Chart'!B11="England",'Adjusted Health Gain Chart'!D11&lt;&gt;"England")),"No data",IF(OR(ProvCommData!B6=Reference!AA3,ProvCommData!B6=Reference!AA4,ProvCommData!B6=Reference!AA3),"No data",IF(ProvCommData!B6=Reference!AA2,VLOOKUP("England",Participation_Data,39,FALSE),IF(ISERROR(VLOOKUP(ProvCommData!B7,Participation_Data,39,FALSE)),"No data",VLOOKUP(ProvCommData!B7,Participation_Data,39,FALSE)))))</f>
        <v>141</v>
      </c>
      <c r="K23" s="57">
        <f ca="1">IF(OR(ISERROR(ProvCommData!B3),AND('Adjusted Health Gain Chart'!B11="England",'Adjusted Health Gain Chart'!D11&lt;&gt;"England")),"No data",IF(OR(ProvCommData!B6=Reference!AA3,ProvCommData!B6=Reference!AA4,ProvCommData!B6=Reference!AA3),"No data",IF(ProvCommData!B6=Reference!AA2,VLOOKUP("England",Participation_Data,43,FALSE),IF(ISERROR(VLOOKUP(ProvCommData!B7,Participation_Data,43,FALSE)),"No data",VLOOKUP(ProvCommData!B7,Participation_Data,43,FALSE)))))</f>
        <v>138</v>
      </c>
      <c r="L23" s="101">
        <f ca="1">IF(OR(ISERROR(ProvCommData!B3),AND('Adjusted Health Gain Chart'!B11="England",'Adjusted Health Gain Chart'!D11&lt;&gt;"England")),"No data",IF(OR(ProvCommData!B6=Reference!AA3,ProvCommData!B6=Reference!AA4,ProvCommData!B6=Reference!AA3),"No data",IF(ProvCommData!B6=Reference!AA2,VLOOKUP("England",Participation_Data,44,FALSE),IF(ISERROR(VLOOKUP(ProvCommData!B7,Participation_Data,44,FALSE)),"No data",VLOOKUP(ProvCommData!B7,Participation_Data,44,FALSE)))))</f>
        <v>0.97872340000000002</v>
      </c>
      <c r="M23" s="57">
        <f ca="1">IF(OR(ISERROR(ProvCommData!B3),AND('Adjusted Health Gain Chart'!B11="England",'Adjusted Health Gain Chart'!D11&lt;&gt;"England")),"No data",IF(OR(ProvCommData!B6=Reference!AA3,ProvCommData!B6=Reference!AA4,ProvCommData!B6=Reference!AA3),"No data",IF(ProvCommData!B6=Reference!AA2,VLOOKUP("England",Participation_Data,45,FALSE),IF(ISERROR(VLOOKUP(ProvCommData!B7,Participation_Data,45,FALSE)),"No data",VLOOKUP(ProvCommData!B7,Participation_Data,45,FALSE)))))</f>
        <v>84</v>
      </c>
      <c r="N23" s="101">
        <f ca="1">IF(OR(ISERROR(ProvCommData!B3),AND('Adjusted Health Gain Chart'!B11="England",'Adjusted Health Gain Chart'!D11&lt;&gt;"England")),"No data",IF(OR(ProvCommData!B6=Reference!AA3,ProvCommData!B6=Reference!AA4,ProvCommData!B6=Reference!AA3),"No data",IF(ProvCommData!B6=Reference!AA2,VLOOKUP("England",Participation_Data,46,FALSE),IF(ISERROR(VLOOKUP(ProvCommData!B7,Participation_Data,46,FALSE)),"No data",VLOOKUP(ProvCommData!B7,Participation_Data,46,FALSE)))))</f>
        <v>0.60869569999999995</v>
      </c>
      <c r="O23" s="388"/>
      <c r="P23" s="389"/>
      <c r="Q23" s="389"/>
      <c r="R23" s="389"/>
      <c r="S23" s="389"/>
      <c r="T23" s="424"/>
      <c r="U23" s="263"/>
      <c r="V23" s="77"/>
      <c r="W23" s="77"/>
      <c r="X23" s="78"/>
      <c r="Y23" s="77"/>
      <c r="Z23" s="78"/>
      <c r="AA23" s="389"/>
      <c r="AB23" s="389"/>
      <c r="AC23" s="389"/>
      <c r="AD23" s="389"/>
      <c r="AE23" s="389"/>
      <c r="AF23" s="389"/>
      <c r="AG23" s="389"/>
    </row>
    <row r="24" spans="1:33" s="387" customFormat="1" ht="19.5" customHeight="1" x14ac:dyDescent="0.25">
      <c r="B24" s="386" t="s">
        <v>1266</v>
      </c>
      <c r="C24" s="57"/>
      <c r="D24" s="57"/>
      <c r="E24" s="101"/>
      <c r="F24" s="57"/>
      <c r="G24" s="101"/>
      <c r="I24" s="386" t="s">
        <v>1267</v>
      </c>
      <c r="J24" s="57"/>
      <c r="K24" s="57"/>
      <c r="L24" s="101"/>
      <c r="M24" s="57"/>
      <c r="N24" s="101"/>
      <c r="O24" s="388"/>
      <c r="P24" s="389"/>
      <c r="Q24" s="389"/>
      <c r="R24" s="389"/>
      <c r="S24" s="389"/>
      <c r="T24" s="383"/>
      <c r="U24" s="263"/>
      <c r="V24" s="77"/>
      <c r="W24" s="77"/>
      <c r="X24" s="78"/>
      <c r="Y24" s="77"/>
      <c r="Z24" s="78"/>
      <c r="AA24" s="389"/>
      <c r="AB24" s="389"/>
      <c r="AC24" s="389"/>
      <c r="AD24" s="389"/>
      <c r="AE24" s="389"/>
      <c r="AF24" s="389"/>
      <c r="AG24" s="389"/>
    </row>
    <row r="25" spans="1:33" s="387" customFormat="1" ht="19.5" customHeight="1" x14ac:dyDescent="0.25">
      <c r="B25" s="100" t="s">
        <v>1268</v>
      </c>
      <c r="C25" s="57">
        <f ca="1">IF(OR(ISERROR(ProvCommData!B3),AND('Adjusted Health Gain Chart'!B11="England",'Adjusted Health Gain Chart'!D11&lt;&gt;"England")),"No data",IF(OR(ProvCommData!B6=Reference!AA3,ProvCommData!B6=Reference!AA5,ProvCommData!B6=Reference!AA4),"No data",IF(ProvCommData!B6=Reference!AA2,VLOOKUP("England",Participation_Data,47,FALSE),IF(ISERROR(VLOOKUP(ProvCommData!B7,Participation_Data,47,FALSE)),"No data",VLOOKUP(ProvCommData!B7,Participation_Data,47,FALSE)))))</f>
        <v>276</v>
      </c>
      <c r="D25" s="57" t="str">
        <f ca="1">IF(OR(ISERROR(ProvCommData!B3),AND('Adjusted Health Gain Chart'!B11="England",'Adjusted Health Gain Chart'!D11&lt;&gt;"England")),"No data",IF(OR(ProvCommData!B6=Reference!AA3,ProvCommData!B6=Reference!AA5,ProvCommData!B6=Reference!AA4),"No data",IF(ProvCommData!B6=Reference!AA2,VLOOKUP("England",Participation_Data,48,FALSE),IF(ISERROR(VLOOKUP(ProvCommData!B7,Participation_Data,48,FALSE)),"No data",VLOOKUP(ProvCommData!B7,Participation_Data,48,FALSE)))))</f>
        <v>*</v>
      </c>
      <c r="E25" s="101" t="str">
        <f ca="1">IF(OR(ISERROR(ProvCommData!B3),AND('Adjusted Health Gain Chart'!B11="England",'Adjusted Health Gain Chart'!D11&lt;&gt;"England")),"No data",IF(OR(ProvCommData!B6=Reference!AA3,ProvCommData!B6=Reference!AA5,ProvCommData!B6=Reference!AA4),"No data",IF(ProvCommData!B6=Reference!AA2,VLOOKUP("England",Participation_Data,49,FALSE),IF(ISERROR(VLOOKUP(ProvCommData!B7,Participation_Data,49,FALSE)),"No data",VLOOKUP(ProvCommData!B7,Participation_Data,49,FALSE)))))</f>
        <v>*</v>
      </c>
      <c r="F25" s="57" t="str">
        <f ca="1">IF(OR(ISERROR(ProvCommData!B3),AND('Adjusted Health Gain Chart'!B11="England",'Adjusted Health Gain Chart'!D11&lt;&gt;"England")),"No data",IF(OR(ProvCommData!B6=Reference!AA3,ProvCommData!B6=Reference!AA5,ProvCommData!B6=Reference!AA4),"No data",IF(ProvCommData!B6=Reference!AA2,VLOOKUP("England",Participation_Data,50,FALSE),IF(ISERROR(VLOOKUP(ProvCommData!B7,Participation_Data,50,FALSE)),"No data",VLOOKUP(ProvCommData!B7,Participation_Data,50,FALSE)))))</f>
        <v>*</v>
      </c>
      <c r="G25" s="101" t="str">
        <f ca="1">IF(OR(ISERROR(ProvCommData!B3),AND('Adjusted Health Gain Chart'!B11="England",'Adjusted Health Gain Chart'!D11&lt;&gt;"England")),"No data",IF(OR(ProvCommData!B6=Reference!AA3,ProvCommData!B6=Reference!AA5,ProvCommData!B6=Reference!AA4),"No data",IF(ProvCommData!B6=Reference!AA2,VLOOKUP("England",Participation_Data,51,FALSE),IF(ISERROR(VLOOKUP(ProvCommData!B7,Participation_Data,51,FALSE)),"No data",VLOOKUP(ProvCommData!B7,Participation_Data,51,FALSE)))))</f>
        <v>*</v>
      </c>
      <c r="I25" s="100" t="s">
        <v>1268</v>
      </c>
      <c r="J25" s="57" t="str">
        <f ca="1">IF(OR(ISERROR(ProvCommData!B3),AND('Adjusted Health Gain Chart'!B11="England",'Adjusted Health Gain Chart'!D11&lt;&gt;"England")),"No data",IF(OR(ProvCommData!B6=Reference!AA3,ProvCommData!B6=Reference!AA5,ProvCommData!B6=Reference!AA4),"No data",IF(ProvCommData!B6=Reference!AA2,VLOOKUP("England",Participation_Data,48,FALSE),IF(ISERROR(VLOOKUP(ProvCommData!B7,Participation_Data,48,FALSE)),"No data",VLOOKUP(ProvCommData!B7,Participation_Data,48,FALSE)))))</f>
        <v>*</v>
      </c>
      <c r="K25" s="57" t="str">
        <f ca="1">IF(OR(ISERROR(ProvCommData!B3),AND('Adjusted Health Gain Chart'!B11="England",'Adjusted Health Gain Chart'!D11&lt;&gt;"England")),"No data",IF(OR(ProvCommData!B6=Reference!AA3,ProvCommData!B6=Reference!AA5,ProvCommData!B6=Reference!AA4),"No data",IF(ProvCommData!B6=Reference!AA2,VLOOKUP("England",Participation_Data,52,FALSE),IF(ISERROR(VLOOKUP(ProvCommData!B7,Participation_Data,52,FALSE)),"No data",VLOOKUP(ProvCommData!B7,Participation_Data,52,FALSE)))))</f>
        <v>*</v>
      </c>
      <c r="L25" s="101" t="str">
        <f ca="1">IF(OR(ISERROR(ProvCommData!B3),AND('Adjusted Health Gain Chart'!B11="England",'Adjusted Health Gain Chart'!D11&lt;&gt;"England")),"No data",IF(OR(ProvCommData!B6=Reference!AA3,ProvCommData!B6=Reference!AA5,ProvCommData!B6=Reference!AA4),"No data",IF(ProvCommData!B6=Reference!AA2,VLOOKUP("England",Participation_Data,53,FALSE),IF(ISERROR(VLOOKUP(ProvCommData!B7,Participation_Data,53,FALSE)),"No data",VLOOKUP(ProvCommData!B7,Participation_Data,53,FALSE)))))</f>
        <v>*</v>
      </c>
      <c r="M25" s="57" t="str">
        <f ca="1">IF(OR(ISERROR(ProvCommData!B3),AND('Adjusted Health Gain Chart'!B11="England",'Adjusted Health Gain Chart'!D11&lt;&gt;"England")),"No data",IF(OR(ProvCommData!B6=Reference!AA3,ProvCommData!B6=Reference!AA5,ProvCommData!B6=Reference!AA4),"No data",IF(ProvCommData!B6=Reference!AA2,VLOOKUP("England",Participation_Data,54,FALSE),IF(ISERROR(VLOOKUP(ProvCommData!B7,Participation_Data,54,FALSE)),"No data",VLOOKUP(ProvCommData!B7,Participation_Data,54,FALSE)))))</f>
        <v>*</v>
      </c>
      <c r="N25" s="101" t="str">
        <f ca="1">IF(OR(ISERROR(ProvCommData!B3),AND('Adjusted Health Gain Chart'!B11="England",'Adjusted Health Gain Chart'!D11&lt;&gt;"England")),"No data",IF(OR(ProvCommData!B6=Reference!AA3,ProvCommData!B6=Reference!AA5,ProvCommData!B6=Reference!AA4),"No data",IF(ProvCommData!B6=Reference!AA2,VLOOKUP("England",Participation_Data,55,FALSE),IF(ISERROR(VLOOKUP(ProvCommData!B7,Participation_Data,55,FALSE)),"No data",VLOOKUP(ProvCommData!B7,Participation_Data,55,FALSE)))))</f>
        <v>*</v>
      </c>
      <c r="O25" s="388"/>
      <c r="P25" s="389"/>
      <c r="Q25" s="389"/>
      <c r="R25" s="389"/>
      <c r="S25" s="389"/>
      <c r="T25" s="383"/>
      <c r="U25" s="263"/>
      <c r="V25" s="77"/>
      <c r="W25" s="77"/>
      <c r="X25" s="78"/>
      <c r="Y25" s="77"/>
      <c r="Z25" s="78"/>
      <c r="AA25" s="389"/>
      <c r="AB25" s="389"/>
      <c r="AC25" s="389"/>
      <c r="AD25" s="389"/>
      <c r="AE25" s="389"/>
      <c r="AF25" s="389"/>
      <c r="AG25" s="389"/>
    </row>
    <row r="26" spans="1:33" s="387" customFormat="1" ht="19.5" customHeight="1" x14ac:dyDescent="0.25">
      <c r="B26" s="100" t="s">
        <v>1269</v>
      </c>
      <c r="C26" s="57">
        <f ca="1">IF(OR(ISERROR(ProvCommData!B3),AND('Adjusted Health Gain Chart'!B11="England",'Adjusted Health Gain Chart'!D11&lt;&gt;"England")),"No data",IF(OR(ProvCommData!B6=Reference!AA5,ProvCommData!B6=Reference!AA4,ProvCommData!B6=Reference!AA3),"No data",IF(ProvCommData!B6=Reference!AA2,VLOOKUP("England",Participation_Data,56,FALSE),IF(ISERROR(VLOOKUP(ProvCommData!B7,Participation_Data,56,FALSE)),"No data",VLOOKUP(ProvCommData!B7,Participation_Data,56,FALSE)))))</f>
        <v>8</v>
      </c>
      <c r="D26" s="57" t="str">
        <f ca="1">IF(OR(ISERROR(ProvCommData!B3),AND('Adjusted Health Gain Chart'!B11="England",'Adjusted Health Gain Chart'!D11&lt;&gt;"England")),"No data",IF(OR(ProvCommData!B6=Reference!AA5,ProvCommData!B6=Reference!AA4,ProvCommData!B6=Reference!AA3),"No data",IF(ProvCommData!B6=Reference!AA2,VLOOKUP("England",Participation_Data,57,FALSE),IF(ISERROR(VLOOKUP(ProvCommData!B7,Participation_Data,57,FALSE)),"No data",VLOOKUP(ProvCommData!B7,Participation_Data,57,FALSE)))))</f>
        <v>*</v>
      </c>
      <c r="E26" s="101" t="str">
        <f ca="1">IF(OR(ISERROR(ProvCommData!B3),AND('Adjusted Health Gain Chart'!B11="England",'Adjusted Health Gain Chart'!D11&lt;&gt;"England")),"No data",IF(OR(ProvCommData!B6=Reference!AA5,ProvCommData!B6=Reference!AA4,ProvCommData!B6=Reference!AA3),"No data",IF(ProvCommData!B6=Reference!AA2,VLOOKUP("England",Participation_Data,58,FALSE),IF(ISERROR(VLOOKUP(ProvCommData!B7,Participation_Data,58,FALSE)),"No data",VLOOKUP(ProvCommData!B7,Participation_Data,58,FALSE)))))</f>
        <v>*</v>
      </c>
      <c r="F26" s="57" t="str">
        <f ca="1">IF(OR(ISERROR(ProvCommData!B3),AND('Adjusted Health Gain Chart'!B11="England",'Adjusted Health Gain Chart'!D11&lt;&gt;"England")),"No data",IF(OR(ProvCommData!B6=Reference!AA5,ProvCommData!B6=Reference!AA4,ProvCommData!B6=Reference!AA3),"No data",IF(ProvCommData!B6=Reference!AA2,VLOOKUP("England",Participation_Data,59,FALSE),IF(ISERROR(VLOOKUP(ProvCommData!B7,Participation_Data,59,FALSE)),"No data",VLOOKUP(ProvCommData!B7,Participation_Data,59,FALSE)))))</f>
        <v>*</v>
      </c>
      <c r="G26" s="101" t="str">
        <f ca="1">IF(OR(ISERROR(ProvCommData!B3),AND('Adjusted Health Gain Chart'!B11="England",'Adjusted Health Gain Chart'!D11&lt;&gt;"England")),"No data",IF(OR(ProvCommData!B6=Reference!AA5,ProvCommData!B6=Reference!AA4,ProvCommData!B6=Reference!AA3),"No data",IF(ProvCommData!B6=Reference!AA2,VLOOKUP("England",Participation_Data,60,FALSE),IF(ISERROR(VLOOKUP(ProvCommData!B7,Participation_Data,60,FALSE)),"No data",VLOOKUP(ProvCommData!B7,Participation_Data,60,FALSE)))))</f>
        <v>*</v>
      </c>
      <c r="I26" s="100" t="s">
        <v>1269</v>
      </c>
      <c r="J26" s="57" t="str">
        <f ca="1">IF(OR(ISERROR(ProvCommData!B3),AND('Adjusted Health Gain Chart'!B11="England",'Adjusted Health Gain Chart'!D11&lt;&gt;"England")),"No data",IF(OR(ProvCommData!B6=Reference!AA5,ProvCommData!B6=Reference!AA4,ProvCommData!B6=Reference!AA3),"No data",IF(ProvCommData!B6=Reference!AA2,VLOOKUP("England",Participation_Data,57,FALSE),IF(ISERROR(VLOOKUP(ProvCommData!B7,Participation_Data,57,FALSE)),"No data",VLOOKUP(ProvCommData!B7,Participation_Data,57,FALSE)))))</f>
        <v>*</v>
      </c>
      <c r="K26" s="57" t="str">
        <f ca="1">IF(OR(ISERROR(ProvCommData!B3),AND('Adjusted Health Gain Chart'!B11="England",'Adjusted Health Gain Chart'!D11&lt;&gt;"England")),"No data",IF(OR(ProvCommData!B6=Reference!AA5,ProvCommData!B6=Reference!AA4,ProvCommData!B6=Reference!AA3),"No data",IF(ProvCommData!B6=Reference!AA2,VLOOKUP("England",Participation_Data,61,FALSE),IF(ISERROR(VLOOKUP(ProvCommData!B7,Participation_Data,61,FALSE)),"No data",VLOOKUP(ProvCommData!B7,Participation_Data,61,FALSE)))))</f>
        <v>*</v>
      </c>
      <c r="L26" s="101" t="str">
        <f ca="1">IF(OR(ISERROR(ProvCommData!B3),AND('Adjusted Health Gain Chart'!B11="England",'Adjusted Health Gain Chart'!D11&lt;&gt;"England")),"No data",IF(OR(ProvCommData!B6=Reference!AA5,ProvCommData!B6=Reference!AA4,ProvCommData!B6=Reference!AA3),"No data",IF(ProvCommData!B6=Reference!AA2,VLOOKUP("England",Participation_Data,62,FALSE),IF(ISERROR(VLOOKUP(ProvCommData!B7,Participation_Data,62,FALSE)),"No data",VLOOKUP(ProvCommData!B7,Participation_Data,62,FALSE)))))</f>
        <v>*</v>
      </c>
      <c r="M26" s="57" t="str">
        <f ca="1">IF(OR(ISERROR(ProvCommData!B3),AND('Adjusted Health Gain Chart'!B11="England",'Adjusted Health Gain Chart'!D11&lt;&gt;"England")),"No data",IF(OR(ProvCommData!B6=Reference!AA5,ProvCommData!B6=Reference!AA4,ProvCommData!B6=Reference!AA3),"No data",IF(ProvCommData!B6=Reference!AA2,VLOOKUP("England",Participation_Data,63,FALSE),IF(ISERROR(VLOOKUP(ProvCommData!B7,Participation_Data,63,FALSE)),"No data",VLOOKUP(ProvCommData!B7,Participation_Data,63,FALSE)))))</f>
        <v>*</v>
      </c>
      <c r="N26" s="101" t="str">
        <f ca="1">IF(OR(ISERROR(ProvCommData!B3),AND('Adjusted Health Gain Chart'!B11="England",'Adjusted Health Gain Chart'!D11&lt;&gt;"England")),"No data",IF(OR(ProvCommData!B6=Reference!AA5,ProvCommData!B6=Reference!AA4,ProvCommData!B6=Reference!AA3),"No data",IF(ProvCommData!B6=Reference!AA2,VLOOKUP("England",Participation_Data,64,FALSE),IF(ISERROR(VLOOKUP(ProvCommData!B7,Participation_Data,64,FALSE)),"No data",VLOOKUP(ProvCommData!B7,Participation_Data,64,FALSE)))))</f>
        <v>*</v>
      </c>
      <c r="O26" s="388"/>
      <c r="P26" s="389"/>
      <c r="Q26" s="389"/>
      <c r="R26" s="389"/>
      <c r="S26" s="389"/>
      <c r="T26" s="383"/>
      <c r="U26" s="263"/>
      <c r="V26" s="77"/>
      <c r="W26" s="77"/>
      <c r="X26" s="78"/>
      <c r="Y26" s="77"/>
      <c r="Z26" s="78"/>
      <c r="AA26" s="389"/>
      <c r="AB26" s="389"/>
      <c r="AC26" s="389"/>
      <c r="AD26" s="389"/>
      <c r="AE26" s="389"/>
      <c r="AF26" s="389"/>
      <c r="AG26" s="389"/>
    </row>
    <row r="27" spans="1:33" ht="15.75" customHeight="1" x14ac:dyDescent="0.25">
      <c r="B27" s="99"/>
      <c r="C27" s="99"/>
      <c r="D27" s="97"/>
      <c r="E27" s="97"/>
      <c r="F27" s="98"/>
      <c r="G27" s="97"/>
      <c r="H27" s="98"/>
      <c r="I27" s="25"/>
      <c r="K27" s="15"/>
      <c r="L27" s="15"/>
      <c r="M27" s="15"/>
      <c r="N27" s="15"/>
      <c r="O27" s="15"/>
      <c r="T27" s="465"/>
      <c r="U27" s="424"/>
      <c r="V27" s="76"/>
      <c r="W27" s="76"/>
      <c r="X27" s="264"/>
      <c r="Y27" s="76"/>
      <c r="Z27" s="264"/>
    </row>
    <row r="28" spans="1:33" ht="22.5" customHeight="1" x14ac:dyDescent="0.25">
      <c r="B28" s="390" t="s">
        <v>1270</v>
      </c>
      <c r="C28" s="99"/>
      <c r="D28" s="97"/>
      <c r="E28" s="97"/>
      <c r="F28" s="98"/>
      <c r="G28" s="97"/>
      <c r="H28" s="98"/>
      <c r="I28" s="25"/>
      <c r="K28" s="15"/>
      <c r="L28" s="15"/>
      <c r="M28" s="15"/>
      <c r="N28" s="15"/>
      <c r="O28" s="15"/>
      <c r="T28" s="264"/>
      <c r="U28" s="264"/>
      <c r="V28" s="76"/>
      <c r="W28" s="76"/>
      <c r="X28" s="264"/>
      <c r="Y28" s="76"/>
      <c r="Z28" s="264"/>
    </row>
    <row r="29" spans="1:33" ht="94.5" customHeight="1" x14ac:dyDescent="0.25">
      <c r="B29" s="461" t="s">
        <v>1271</v>
      </c>
      <c r="C29" s="424"/>
      <c r="D29" s="424"/>
      <c r="E29" s="424"/>
      <c r="F29" s="424"/>
      <c r="G29" s="424"/>
      <c r="H29" s="424"/>
      <c r="I29" s="424"/>
      <c r="K29" s="15"/>
      <c r="L29" s="15"/>
      <c r="M29" s="15"/>
      <c r="N29" s="15"/>
      <c r="O29" s="15"/>
      <c r="T29" s="264"/>
      <c r="U29" s="264"/>
      <c r="V29" s="76"/>
      <c r="W29" s="76"/>
      <c r="X29" s="264"/>
      <c r="Y29" s="76"/>
      <c r="Z29" s="264"/>
    </row>
    <row r="30" spans="1:33" s="67" customFormat="1" x14ac:dyDescent="0.25">
      <c r="A30" s="14"/>
      <c r="B30" s="14"/>
      <c r="C30" s="14"/>
      <c r="D30" s="14"/>
      <c r="E30" s="14"/>
      <c r="F30" s="14"/>
      <c r="G30" s="14"/>
      <c r="H30" s="14"/>
      <c r="I30" s="14"/>
      <c r="J30" s="14"/>
    </row>
    <row r="31" spans="1:33" s="67" customFormat="1" ht="18.75" customHeight="1" x14ac:dyDescent="0.25">
      <c r="B31" s="58" t="s">
        <v>1272</v>
      </c>
      <c r="L31" s="14"/>
      <c r="M31" s="14"/>
      <c r="N31" s="14"/>
      <c r="O31" s="14"/>
    </row>
    <row r="32" spans="1:33" ht="15" customHeight="1" x14ac:dyDescent="0.35">
      <c r="A32" s="67"/>
      <c r="B32" s="51" t="str">
        <f ca="1">IF(OR(ISERROR(ProvCommData!$B$3),(AND('Adjusted Health Gain Chart'!B11="England",'Adjusted Health Gain Chart'!D11&lt;&gt;"England"))),
"The organisation level and organisation selected are not available - please re-select.",IF(ProvCommData!$C$35="*","The adjusted average health gain for total hip replacement respondents could not be calculated as there were fewer than 30 modelled records. The average adjusted health gain for total hip replacement respondents in England was "&amp; ROUND(ProvCommData!$D$35,3)&amp;".",IF(ProvCommData!$B$6=Reference!$AA$2, "The adjusted average health gain on the EQ-5D Index for total hip replacement respondents following their operation was " &amp; ROUND(ProvCommData!$C$35,3) &amp;" ("&amp; ROUND(ProvCommData!$D$35,3) &amp;" in England)",IF(ProvCommData!$C$35="No data","No modelled records for total hip replacement exist for this measure. The average adjusted health gain for total hip replacement respondents in England was "&amp; ROUND(ProvCommData!$D$35,3)&amp;".","The adjusted average health gain on the EQ-5D Index for total hip replacement respondents following their operation was " &amp; ROUND(ProvCommData!$C$35,3) &amp;" ("&amp; ROUND(ProvCommData!$D$35,3) &amp;" in England)."))))</f>
        <v>The adjusted average health gain on the EQ-5D Index for total hip replacement respondents following their operation was 0.421 (0.456 in England).</v>
      </c>
    </row>
    <row r="33" spans="1:15" s="67" customFormat="1" ht="15" customHeight="1" x14ac:dyDescent="0.35">
      <c r="A33" s="14"/>
      <c r="B33" s="51" t="str">
        <f ca="1">IF(OR(ISERROR(ProvCommData!$B$3),(AND('Adjusted Health Gain Chart'!B11="England",'Adjusted Health Gain Chart'!D11&lt;&gt;"England"))),
"The organisation level and organisation selected are not available - please re-select.",
IF(ProvCommData!$C$34="*","The adjusted average health gain for hip replacement (primary) respondents could not be calculated as there were fewer than 30 modelled records. The average adjusted health gain for hip replacement (primary) respondents in England was "&amp; ROUND(ProvCommData!$D$34,3)&amp;".",IF(ProvCommData!$B$6=Reference!$AA$2, "The adjusted average health gain on the EQ-5D Index for hip replacement (primary) respondents following their operation was " &amp; ROUND(ProvCommData!$C$34,3) &amp;" ("&amp; ROUND(ProvCommData!$D$34,3) &amp;" in England)",IF(ProvCommData!$C$34="No data","No modelled records for hip replacement (primary) exist for this measure. The average adjusted health gain for hip replacement (primary) respondents in England was "&amp; ROUND(ProvCommData!$D$34,3)&amp;".","The adjusted average health gain on the EQ-5D Index for hip replacement (primary) respondents following their operation was " &amp; ROUND(ProvCommData!$C$34,3) &amp;" ("&amp; ROUND(ProvCommData!$D$34,3) &amp;" in England)."))))</f>
        <v>The adjusted average health gain on the EQ-5D Index for hip replacement (primary) respondents following their operation was 0.416 (0.462 in England).</v>
      </c>
      <c r="C33" s="22"/>
      <c r="D33" s="14"/>
      <c r="E33" s="14"/>
      <c r="F33" s="14"/>
      <c r="G33" s="14"/>
      <c r="H33" s="14"/>
      <c r="I33" s="14"/>
      <c r="J33" s="14"/>
      <c r="K33" s="14"/>
      <c r="L33" s="14"/>
      <c r="M33" s="14"/>
      <c r="N33" s="14"/>
      <c r="O33" s="14"/>
    </row>
    <row r="34" spans="1:15" ht="15" customHeight="1" x14ac:dyDescent="0.35">
      <c r="A34" s="67"/>
      <c r="B34" s="51" t="str">
        <f ca="1">IF(OR(ISERROR(ProvCommData!$B$3),(AND('Adjusted Health Gain Chart'!B11="England",'Adjusted Health Gain Chart'!D11&lt;&gt;"England"))),
"The organisation level and organisation selected are not available - please re-select.",
IF(ProvCommData!$C$33="*","The adjusted average health gain for hip replacement (revision) respondents could not be calculated as there were fewer than 30 modelled records. The average adjusted health gain for hip replacement (revision) respondents in England was "&amp; ROUND(ProvCommData!$D$33,3)&amp;".",IF(ProvCommData!$B$6=Reference!$AA$2, "The adjusted average health gain on the EQ-5D Index for hip replacement (revision) respondents following their operation was " &amp; ROUND(ProvCommData!$C$33,3) &amp;" ("&amp; ROUND(ProvCommData!$D$33,3) &amp;" in England)",IF(ProvCommData!$C$33="No data","No modelled records for hip replacement (revision) exist for this measure. The average adjusted health gain for hip replacement (revision) respondents in England was "&amp; ROUND(ProvCommData!$D$33,3)&amp;".","The adjusted average health gain on the EQ-5D Index for hip replacement (revision) respondents following their operation was " &amp; ROUND(ProvCommData!$C$33,3) &amp;" ("&amp; ROUND(ProvCommData!$D$33,3) &amp;" in England)."))))</f>
        <v>The adjusted average health gain for hip replacement (revision) respondents could not be calculated as there were fewer than 30 modelled records. The average adjusted health gain for hip replacement (revision) respondents in England was 0.317.</v>
      </c>
    </row>
    <row r="35" spans="1:15" ht="15" customHeight="1" x14ac:dyDescent="0.35">
      <c r="A35" s="67"/>
      <c r="B35" s="51"/>
    </row>
    <row r="36" spans="1:15" ht="15.75" customHeight="1" x14ac:dyDescent="0.35">
      <c r="B36" s="51" t="str">
        <f ca="1">IF(OR(ISERROR(ProvCommData!$B$3),(AND('Adjusted Health Gain Chart'!B11="England",'Adjusted Health Gain Chart'!D11&lt;&gt;"England"))),"The organisation level and organisation selected are not available - please re-select.",IF(ProvCommData!$C$32="*","The adjusted average health gain for total knee replacement respondents could not be calculated as there were fewer than 30 modelled records. The average adjusted health gain for total knee replacement respondents in England was "&amp; ROUND(ProvCommData!$D$32,3)&amp;".",IF(ProvCommData!$B$6=Reference!$AA$2, "The adjusted average health gain on the EQ-5D Index for total knee replacement respondents following their operation was " &amp; ROUND(ProvCommData!$C$32,3) &amp;" ("&amp; ROUND(ProvCommData!$D$32,3) &amp;" in England)",IF(ProvCommData!$C$32="No data","No modelled records for total knee replacement exist for this measure. The average adjusted health gain for total knee replacement respondents in England was "&amp; ROUND(ProvCommData!$D$32,3)&amp;".","The adjusted average health gain on the EQ-5D Index for total knee replacement respondents following their operation was " &amp; ROUND(ProvCommData!$C$32,3) &amp;" ("&amp; ROUND(ProvCommData!$D$32,3) &amp;" in England)."))))</f>
        <v>The adjusted average health gain on the EQ-5D Index for total knee replacement respondents following their operation was 0.345 (0.324 in England).</v>
      </c>
      <c r="C36" s="198"/>
      <c r="D36" s="198"/>
      <c r="E36" s="197"/>
      <c r="F36" s="198"/>
      <c r="G36" s="197"/>
      <c r="I36" s="58"/>
      <c r="J36" s="198"/>
      <c r="K36" s="198"/>
      <c r="L36" s="197"/>
      <c r="M36" s="198"/>
      <c r="N36" s="197"/>
    </row>
    <row r="37" spans="1:15" ht="15.75" customHeight="1" x14ac:dyDescent="0.35">
      <c r="B37" s="51" t="str">
        <f ca="1">IF(OR(ISERROR(ProvCommData!$B$3),(AND('Adjusted Health Gain Chart'!B11="England",'Adjusted Health Gain Chart'!D11&lt;&gt;"England"))),"The organisation level and organisation selected are not available - please re-select.",IF(ProvCommData!$C$31="*","The adjusted average health gain for knee replacement (primary) respondents could not be calculated as there were fewer than 30 modelled records. The average adjusted health gain for knee replacement (primary) respondents in England was "&amp; ROUND(ProvCommData!$D$31,3)&amp;".",IF(ProvCommData!$B$6=Reference!$AA$2, "The adjusted average health gain on the EQ-5D Index for knee replacement (primary) respondents following their operation was " &amp; ROUND(ProvCommData!$C$31,3) &amp;" ("&amp; ROUND(ProvCommData!$D$31,3) &amp;" in England)",IF(ProvCommData!$C$31="No data","No modelled records for knee replacement (primary) exist for this measure. The average adjusted health gain for knee replacement (primary) respondents in England was "&amp; ROUND(ProvCommData!$D$31,3)&amp;".","The adjusted average health gain on the EQ-5D Index for knee replacement (primary) respondents following their operation was " &amp; ROUND(ProvCommData!$C$31,3) &amp;" ("&amp; ROUND(ProvCommData!$D$31,3) &amp;" in England)."))))</f>
        <v>The adjusted average health gain on the EQ-5D Index for knee replacement (primary) respondents following their operation was 0.337 (0.324 in England).</v>
      </c>
      <c r="C37" s="97"/>
      <c r="D37" s="97"/>
      <c r="E37" s="98"/>
      <c r="F37" s="97"/>
      <c r="G37" s="98"/>
      <c r="I37" s="99"/>
      <c r="J37" s="97"/>
      <c r="K37" s="97"/>
      <c r="L37" s="98"/>
      <c r="M37" s="97"/>
      <c r="N37" s="98"/>
    </row>
    <row r="38" spans="1:15" ht="15.75" customHeight="1" x14ac:dyDescent="0.35">
      <c r="B38" s="51" t="str">
        <f ca="1">IF(OR(ISERROR(ProvCommData!$B$3),(AND('Adjusted Health Gain Chart'!B11="England",'Adjusted Health Gain Chart'!D11&lt;&gt;"England"))),"The organisation level and organisation selected are not available - please re-select.",IF(ProvCommData!$G$30&lt;200,"The England-level adjusted average health gain on the EQ-5D Index for knee replacement (revision) is not calculated as there are fewer than 200 modelled records.",IF(ProvCommData!$C$30="*","The adjusted average health gain for knee replacement (revision) respondents could not be calculated as there were fewer than 30 modelled records. The average adjusted health gain for knee replacement (revision) respondents in England was "&amp; ROUND(ProvCommData!$D$30,3)&amp;".",IF(ProvCommData!$B$6=Reference!$AA$2, "The adjusted average health gain on the EQ-5D Index for knee replacement (revision) respondents following their operation was " &amp; ROUND(ProvCommData!$C$30,3) &amp;" ("&amp; ROUND(ProvCommData!$D$30,3) &amp;" in England)",IF(ProvCommData!$C$30="No data","No modelled records for knee replacement (revision) exist for this measure. The average adjusted health gain for knee replacement (revision) respondents in England was "&amp; ROUND(ProvCommData!$D$30,3)&amp;".","The adjusted average health gain on the EQ-5D Index for knee replacement (revision) respondents following their operation was " &amp; ROUND(ProvCommData!$C$30,3) &amp;" ("&amp; ROUND(ProvCommData!$D$30,3) &amp;" in England).")))))</f>
        <v>The adjusted average health gain for knee replacement (revision) respondents could not be calculated as there were fewer than 30 modelled records. The average adjusted health gain for knee replacement (revision) respondents in England was 0.308.</v>
      </c>
      <c r="C38" s="198"/>
      <c r="D38" s="198"/>
      <c r="E38" s="197"/>
      <c r="F38" s="198"/>
      <c r="G38" s="197"/>
      <c r="I38" s="58"/>
      <c r="J38" s="198"/>
      <c r="K38" s="198"/>
      <c r="L38" s="197"/>
      <c r="M38" s="198"/>
      <c r="N38" s="197"/>
    </row>
    <row r="39" spans="1:15" ht="15.75" customHeight="1" x14ac:dyDescent="0.25">
      <c r="B39" s="43"/>
      <c r="C39" s="198"/>
      <c r="D39" s="198"/>
      <c r="E39" s="197"/>
      <c r="F39" s="198"/>
      <c r="G39" s="197"/>
      <c r="I39" s="58"/>
      <c r="J39" s="198"/>
      <c r="K39" s="198"/>
      <c r="L39" s="197"/>
      <c r="M39" s="198"/>
      <c r="N39" s="197"/>
    </row>
    <row r="40" spans="1:15" ht="15.75" customHeight="1" x14ac:dyDescent="0.25">
      <c r="B40" s="267" t="s">
        <v>1273</v>
      </c>
      <c r="C40" s="198"/>
      <c r="D40" s="198"/>
      <c r="E40" s="197"/>
      <c r="F40" s="198"/>
      <c r="G40" s="197"/>
      <c r="I40" s="58"/>
      <c r="J40" s="198"/>
      <c r="K40" s="198"/>
      <c r="L40" s="197"/>
      <c r="M40" s="198"/>
      <c r="N40" s="197"/>
    </row>
    <row r="41" spans="1:15" ht="15.75" customHeight="1" x14ac:dyDescent="0.35">
      <c r="B41" s="51" t="str">
        <f ca="1">IF(OR(ISERROR(ProvCommData!$B$3),(AND('Adjusted Health Gain Chart'!B11="England",'Adjusted Health Gain Chart'!D11&lt;&gt;"England"))),"The organisation level and organisation selected are not available - please re-select.",IF(ProvCommData!$C$27="*","The adjusted average health gain for total hip replacement respondents could not be calculated as there were fewer than 30 modelled records. The average adjusted health gain for total hip replacement respondents in England was "&amp; ROUND(ProvCommData!$D$27,1)&amp;".",IF(ProvCommData!$B$6=Reference!$AA$2, "The adjusted average health gain on the EQ-VAS for total hip replacement respondents following their operation was " &amp; ROUND(ProvCommData!$C$27,1) &amp;" ("&amp; ROUND(ProvCommData!$D$27,1) &amp;" in England)",IF(ProvCommData!$C$27="No data","No modelled records for total hip replacement exist for this measure. The average adjusted health gain for total hip replacement respondents in England was "&amp; ROUND(ProvCommData!$D$27,1)&amp;".","The adjusted average health gain on the EQ-VAS for total hip replacement respondents following their operation was " &amp; ROUND(ProvCommData!$C$27,3) &amp;" ("&amp; ROUND(ProvCommData!$D$27,1) &amp;" in England)."))))</f>
        <v>The adjusted average health gain on the EQ-VAS for total hip replacement respondents following their operation was 13.894 (14.7 in England).</v>
      </c>
      <c r="C41" s="198"/>
      <c r="D41" s="198"/>
      <c r="E41" s="197"/>
      <c r="F41" s="198"/>
      <c r="G41" s="197"/>
      <c r="I41" s="58"/>
      <c r="J41" s="198"/>
      <c r="K41" s="198"/>
      <c r="L41" s="197"/>
      <c r="M41" s="198"/>
      <c r="N41" s="197"/>
    </row>
    <row r="42" spans="1:15" ht="15" customHeight="1" x14ac:dyDescent="0.35">
      <c r="B42" s="51" t="str">
        <f ca="1">IF(OR(ISERROR(ProvCommData!$B$3),(AND('Adjusted Health Gain Chart'!B11="England",'Adjusted Health Gain Chart'!D11&lt;&gt;"England"))),"The organisation level and organisation selected are not available - please re-select.",IF(ProvCommData!$C$26="*","The adjusted average health gain for hip replacement (primary) respondents could not be calculated as there were fewer than 30 modelled records. The average adjusted health gain for hip replacement (primary) respondents in England was "&amp; ROUND(ProvCommData!$D$26,1)&amp;".",IF(ProvCommData!$B$6=Reference!$AA$2, "The adjusted average health gain on the EQ-VAS for hip replacement (primary) respondents following their operation was " &amp; ROUND(ProvCommData!$C$26,1) &amp;" ("&amp; ROUND(ProvCommData!$D$26,1) &amp;" in England)",IF(ProvCommData!$C$26="No data","No modelled records for hip replacement (primary) exist for this measure. The average adjusted health gain for hip replacement (primary) respondents in England was "&amp; ROUND(ProvCommData!$D$26,1)&amp;".","The adjusted average health gain on the EQ-VAS for hip replacement (primary) respondents following their operation was " &amp; ROUND(ProvCommData!$C$26,1) &amp;" ("&amp; ROUND(ProvCommData!$D$26,1) &amp;" in England)."))))</f>
        <v>The adjusted average health gain on the EQ-VAS for hip replacement (primary) respondents following their operation was 13.1 (15 in England).</v>
      </c>
    </row>
    <row r="43" spans="1:15" ht="15" customHeight="1" x14ac:dyDescent="0.35">
      <c r="B43" s="51" t="str">
        <f ca="1">IF(OR(ISERROR(ProvCommData!$B$3),(AND('Adjusted Health Gain Chart'!B11="England",'Adjusted Health Gain Chart'!D11&lt;&gt;"England"))),"The organisation level and organisation selected are not available - please re-select.",IF(ProvCommData!$C$25="*","The adjusted average health gain for hip replacement (revision) respondents could not be calculated as there were fewer than 30 modelled records. The average adjusted health gain for hip replacement (revision) respondents in England was "&amp; ROUND(ProvCommData!$D$25,1)&amp;".",IF(ProvCommData!$B$6=Reference!$AA$2, "The adjusted average health gain on the EQ-VAS for hip replacement (revision) respondents following their operation was " &amp; ROUND(ProvCommData!$C$25,1) &amp;" ("&amp; ROUND(ProvCommData!$D$25,1) &amp;" in England)",IF(ProvCommData!$C$25="No data","No modelled records for hip replacement (revision) exist for this measure. The average adjusted health gain for hip replacement (revision) respondents in England was "&amp; ROUND(ProvCommData!$D$25,1)&amp;".","The adjusted average health gain on the EQ-VAS for hip replacement (revision) respondents following their operation was " &amp; ROUND(ProvCommData!$C$25,1) &amp;" ("&amp; ROUND(ProvCommData!$D$25,1) &amp;" in England)."))))</f>
        <v>The adjusted average health gain for hip replacement (revision) respondents could not be calculated as there were fewer than 30 modelled records. The average adjusted health gain for hip replacement (revision) respondents in England was 8.4.</v>
      </c>
    </row>
    <row r="44" spans="1:15" ht="15" customHeight="1" x14ac:dyDescent="0.35">
      <c r="B44" s="51"/>
    </row>
    <row r="45" spans="1:15" ht="15" customHeight="1" x14ac:dyDescent="0.35">
      <c r="B45" s="51" t="str">
        <f ca="1">IF(OR(ISERROR(ProvCommData!$B$3),(AND('Adjusted Health Gain Chart'!B11="England",'Adjusted Health Gain Chart'!D11&lt;&gt;"England"))),"The organisation level and organisation selected are not available - please re-select.",IF(ProvCommData!$C$24="*","The adjusted average health gain for total knee replacement respondents could not be calculated as there were fewer than 30 modelled records. The average adjusted health gain for total knee replacement respondents in England was "&amp; ROUND(ProvCommData!$D$24,1)&amp;".",IF(ProvCommData!$B$6=Reference!$AA$2, "The adjusted average health gain on the EQ-VAS for total knee replacement respondents following their operation was " &amp; ROUND(ProvCommData!$C$24,1) &amp;" ("&amp; ROUND(ProvCommData!$D$24,1) &amp;" in England)",IF(ProvCommData!$C$24="No data","No modelled records for total knee replacement exist for this measure. The average adjusted health gain for total knee replacement respondents in England was "&amp; ROUND(ProvCommData!$D$24,1)&amp;".","The adjusted average health gain on the EQ-VAS for total knee replacement respondents following their operation was " &amp; ROUND(ProvCommData!$C$24,1) &amp;" ("&amp; ROUND(ProvCommData!$D$24,1) &amp;" in England)."))))</f>
        <v>The adjusted average health gain on the EQ-VAS for total knee replacement respondents following their operation was 7.4 (8.4 in England).</v>
      </c>
    </row>
    <row r="46" spans="1:15" ht="15" customHeight="1" x14ac:dyDescent="0.35">
      <c r="B46" s="51" t="str">
        <f ca="1">IF(OR(ISERROR(ProvCommData!$B$3),(AND('Adjusted Health Gain Chart'!B11="England",'Adjusted Health Gain Chart'!D11&lt;&gt;"England"))),"The organisation level and organisation selected are not available - please re-select.",IF(ProvCommData!$C$23="*","The adjusted average health gain for knee replacement (primary) respondents could not be calculated as there were fewer than 30 modelled records. The average adjusted health gain for knee replacement (primary)respondents in England was "&amp; ROUND(ProvCommData!$D$23,1)&amp;".",IF(ProvCommData!$B$6=Reference!$AA$2, "The adjusted average health gain on the EQ-VAS for knee replacement (primary) respondents following their operation was " &amp; ROUND(ProvCommData!$C$23,1) &amp;" ("&amp; ROUND(ProvCommData!$D$23,1) &amp;" in England)",IF(ProvCommData!$C$23="No data","No modelled records for knee replacement (primary) exist for this measure. The average adjusted health gain for knee replacement (primary)respondents in England was "&amp; ROUND(ProvCommData!$D$23,1)&amp;".","The adjusted average health gain on the EQ-VAS for knee replacement (primary) respondents following their operation was " &amp; ROUND(ProvCommData!$C$23,1) &amp;" ("&amp; ROUND(ProvCommData!$D$23,1) &amp;" in England)."))))</f>
        <v>The adjusted average health gain on the EQ-VAS for knee replacement (primary) respondents following their operation was 7 (8.4 in England).</v>
      </c>
    </row>
    <row r="47" spans="1:15" ht="15" customHeight="1" x14ac:dyDescent="0.35">
      <c r="B47" s="51" t="str">
        <f ca="1">IF(OR(ISERROR(ProvCommData!$B$3),(AND('Adjusted Health Gain Chart'!B11="England",'Adjusted Health Gain Chart'!D11&lt;&gt;"England"))),"The organisation level and organisation selected are not available - please re-select.",IF(ProvCommData!$G$22&lt;200,"The England-level adjusted average health gain on the EQ VAS for knee replacement (revision) is not calculated as there are fewer than 200 modelled records.",IF(ProvCommData!$C$22="*","The adjusted average health gain for knee replacement (revision) respondents could not be calculated as there were fewer than 30 modelled records. The average adjusted health gain for knee replacement (revision) respondents in England was "&amp; ROUND(ProvCommData!$D$22,1)&amp;".",IF(ProvCommData!$B$6=Reference!$AA$2, "The adjusted average health gain on the EQ-VAS for knee replacement (revision) respondents following their operation was " &amp; ROUND(ProvCommData!$C$22,1) &amp;" ("&amp; ROUND(ProvCommData!$D$22,1) &amp;" in England)",IF(ProvCommData!$C$22="No data","No modelled records for knee replacement (revision) exist for this measure. The average adjusted health gain for knee replacement (revision) respondents in England was "&amp; ROUND(ProvCommData!$D$22,1)&amp;".","The adjusted average health gain on the EQ-VAS for knee replacement (revision) respondents following their operation was " &amp; ROUND(ProvCommData!$C$22,1) &amp;" ("&amp; ROUND(ProvCommData!$D$22,1) &amp;" in England).")))))</f>
        <v>The adjusted average health gain for knee replacement (revision) respondents could not be calculated as there were fewer than 30 modelled records. The average adjusted health gain for knee replacement (revision) respondents in England was 7.2.</v>
      </c>
    </row>
    <row r="48" spans="1:15" ht="15" customHeight="1" x14ac:dyDescent="0.35">
      <c r="B48" s="45"/>
    </row>
    <row r="49" spans="2:12" ht="15.75" customHeight="1" x14ac:dyDescent="0.35">
      <c r="B49" s="54" t="s">
        <v>1274</v>
      </c>
    </row>
    <row r="50" spans="2:12" ht="15" customHeight="1" x14ac:dyDescent="0.35">
      <c r="B50" s="51" t="str">
        <f ca="1">IF(OR(ISERROR(ProvCommData!$B$3),(AND('Adjusted Health Gain Chart'!B11="England",'Adjusted Health Gain Chart'!D11&lt;&gt;"England"))),"The organisation level and organisation selected are not available - please re-select.",IF(ProvCommData!$C$19="*","The adjusted average health gain for total hip replacement respondents could not be calculated as there were fewer than 30 modelled records. The average adjusted health gain for total hip replacement respondents in England was "&amp; ROUND(ProvCommData!$D$19,1)&amp;".",IF(ProvCommData!$B$6=Reference!$AA$2, "The adjusted average health gain on the Oxford Hip Score for total hip replacement respondents following their operation was " &amp; ROUND(ProvCommData!$C$19,1) &amp;" ("&amp; ROUND(ProvCommData!$D$19,1) &amp;" in England)",IF(ProvCommData!$C$19="No data","No modelled records for total hip replacements exist for this measure. The average adjusted health gain for total hip replacement respondents in England was "&amp; ROUND(ProvCommData!$D$19,1)&amp;".","The adjusted average health gain on the Oxford Hip Score for  total hip replacement respondents following their operation was " &amp; ROUND(ProvCommData!$C$19,1) &amp;" ("&amp; ROUND(ProvCommData!$D$19,1) &amp;" in England)."))))</f>
        <v>The adjusted average health gain on the Oxford Hip Score for  total hip replacement respondents following their operation was 20 (22.5 in England).</v>
      </c>
    </row>
    <row r="51" spans="2:12" ht="15" customHeight="1" x14ac:dyDescent="0.35">
      <c r="B51" s="51" t="str">
        <f ca="1">IF(OR(ISERROR(ProvCommData!$B$3),(AND('Adjusted Health Gain Chart'!B11="England",'Adjusted Health Gain Chart'!D11&lt;&gt;"England"))),"The organisation level and organisation selected are not available - please re-select.",IF(ProvCommData!$C$18="*","The adjusted average health gain for hip replacement (primary) respondents could not be calculated as there were fewer than 30 modelled records. The average adjusted health gain for hip replacement (primary) respondents in England was "&amp; ROUND(ProvCommData!$D$18,1)&amp;".",IF(ProvCommData!$B$6=Reference!$AA$2, "The adjusted average health gain on the Oxford Hip Score for hip replacement (primary) respondents following their operation was " &amp; ROUND(ProvCommData!$C$18,1) &amp;" ("&amp; ROUND(ProvCommData!$D$18,1) &amp;" in England)",IF(ProvCommData!$C$18="No data","No modelled records for hip replacement (primary) exist for this measure. The average adjusted health gain for hip replacement (primary) respondents in England was "&amp; ROUND(ProvCommData!$D$18,1)&amp;".","The adjusted average health gain on the Oxford Hip Score for  hip replacement (primary) respondents following their operation was " &amp; ROUND(ProvCommData!$C$18,1) &amp;" ("&amp; ROUND(ProvCommData!$D$18,1) &amp;" in England)."))))</f>
        <v>The adjusted average health gain on the Oxford Hip Score for  hip replacement (primary) respondents following their operation was 19.9 (22.8 in England).</v>
      </c>
    </row>
    <row r="52" spans="2:12" ht="15" customHeight="1" x14ac:dyDescent="0.35">
      <c r="B52" s="51" t="str">
        <f ca="1">IF(OR(ISERROR(ProvCommData!$B$3),(AND('Adjusted Health Gain Chart'!B11="England",'Adjusted Health Gain Chart'!D11&lt;&gt;"England"))),"The organisation level and organisation selected are not available - please re-select.",IF(ProvCommData!$C$17="*","The adjusted average health gain for hip replacement (revision) respondents could not be calculated as there were fewer than 30 modelled records. The average adjusted health gain for hip replacement (revision) respondents in England was "&amp; ROUND(ProvCommData!$D$17,1)&amp;".",IF(ProvCommData!$B$6=Reference!$AA$2, "The adjusted average health gain on the Oxford Hip Score for hip replacement (revision) respondents following their operation was " &amp; ROUND(ProvCommData!$C$17,1) &amp;" ("&amp; ROUND(ProvCommData!$D$17,1) &amp;" in England)",IF(ProvCommData!$C$17="No data","No modelled records for hip replacement (revision) exist for this measure. The average adjusted health gain for hip replacement (revision) respondents in England was "&amp; ROUND(ProvCommData!$D$17,1)&amp;".","The adjusted average health gain on the Oxford Hip Score for  hip replacement (revision) respondents following their operation was " &amp; ROUND(ProvCommData!$C$17,1) &amp;" ("&amp; ROUND(ProvCommData!$D$17,1) &amp;" in England)."))))</f>
        <v>The adjusted average health gain for hip replacement (revision) respondents could not be calculated as there were fewer than 30 modelled records. The average adjusted health gain for hip replacement (revision) respondents in England was 14.6.</v>
      </c>
    </row>
    <row r="54" spans="2:12" ht="15" customHeight="1" x14ac:dyDescent="0.35">
      <c r="B54" s="51" t="str">
        <f ca="1">IF(OR(ISERROR(ProvCommData!$B$3),(AND('Adjusted Health Gain Chart'!B11="England",'Adjusted Health Gain Chart'!D11&lt;&gt;"England"))),"The organisation level and organisation selected are not available - please re-select.",IF(ProvCommData!$C$13="*","The adjusted average health gain for total knee replacement respondents could not be calculated as there were fewer than 30 modelled records. The average adjusted health gain for total knee replacement respondents in England was "&amp; ROUND(ProvCommData!$D$13,1)&amp;".",IF(ProvCommData!$B$6=Reference!$AA$2, "The adjusted average health gain on the Oxford Knee Score for total knee replacement respondents following their operation was " &amp; ROUND(ProvCommData!$C$13,1) &amp;" ("&amp; ROUND(ProvCommData!$D$13,1) &amp;" in England)",IF(ProvCommData!$C$13="No data","No modelled records for total knee replacements exist for this measure. The average adjusted health gain for total knee replacement respondents in England was "&amp; ROUND(ProvCommData!$D$13,1)&amp;".","The adjusted average health gain on the Oxford Knee Score for total knee replacement respondents following their operation was " &amp; ROUND(ProvCommData!$C$13,1) &amp;" ("&amp; ROUND(ProvCommData!$D$13,1) &amp;" in England)."))))</f>
        <v>The adjusted average health gain on the Oxford Knee Score for total knee replacement respondents following their operation was 16.8 (17.6 in England).</v>
      </c>
    </row>
    <row r="55" spans="2:12" ht="15" customHeight="1" x14ac:dyDescent="0.35">
      <c r="B55" s="51" t="str">
        <f ca="1">IF(OR(ISERROR(ProvCommData!$B$3),(AND('Adjusted Health Gain Chart'!B11="England",'Adjusted Health Gain Chart'!D11&lt;&gt;"England"))),"The organisation level and organisation selected are not available - please re-select.",IF(ProvCommData!$C$13="*","The adjusted average health gain for knee replacement (primary) respondents could not be calculated as there were fewer than 30 modelled records. The average adjusted health gain for knee replacement (primary) respondents in England was "&amp; ROUND(ProvCommData!$D$13,1)&amp;".",IF(ProvCommData!$B$6=Reference!$AA$2, "The adjusted average health gain on the Oxford Knee Score for knee replacement (primary) respondents following their operation was " &amp; ROUND(ProvCommData!$C$13,1) &amp;" ("&amp; ROUND(ProvCommData!$D$13,1) &amp;" in England)",IF(ProvCommData!$C$13="No data","No modelled records for knee replacement (primary) exist for this measure. The average adjusted health gain for knee replacement (primary) respondents in England was "&amp; ROUND(ProvCommData!$D$13,1)&amp;".","The adjusted average health gain on the Oxford Knee Score for knee replacement (primary) respondents following their operation was " &amp; ROUND(ProvCommData!$C$13,1) &amp;" ("&amp; ROUND(ProvCommData!$D$13,1) &amp;" in England)."))))</f>
        <v>The adjusted average health gain on the Oxford Knee Score for knee replacement (primary) respondents following their operation was 16.8 (17.6 in England).</v>
      </c>
    </row>
    <row r="56" spans="2:12" s="49" customFormat="1" ht="14.25" customHeight="1" x14ac:dyDescent="0.35">
      <c r="B56" s="51" t="str">
        <f ca="1">IF(OR(ISERROR(ProvCommData!$B$3),(AND('Adjusted Health Gain Chart'!B11="England",'Adjusted Health Gain Chart'!D11&lt;&gt;"England"))),"The organisation level and organisation selected are not available - please re-select.", IF(ProvCommData!$G$12&lt;200,"The England-level adjusted average health gain on the Oxford Knee Score for knee replacement (revision) is not calculated as there are fewer than 200 modelled records.",IF(ProvCommData!$C$12="*","The adjusted average health gain for knee replacement (revision) respondents could not be calculated as there were fewer than 30 modelled records. The average adjusted health gain for knee replacement (revision) respondents in England was "&amp; ROUND(ProvCommData!$D$12,1)&amp;".",IF(ProvCommData!$B$6=Reference!$AA$2, "The adjusted average health gain on the Oxford Knee Score for knee replacement (revision) respondents following their operation was " &amp; ROUND(ProvCommData!$C$12,1) &amp;" ("&amp; ROUND(ProvCommData!$D$12,1) &amp;" in England)",IF(ProvCommData!$C$12="No data","No modelled records for knee replacement (revision) exist for this measure. The average adjusted health gain for knee replacement (revision) respondents in England was "&amp; ROUND(ProvCommData!$D$12,1)&amp;".","The adjusted average health gain on the Oxford Knee Score for knee replacement (revision) respondents following their operation was " &amp; ROUND(ProvCommData!$C$12,1) &amp;" ("&amp; ROUND(ProvCommData!$D$12,1) &amp;" in England).")))))</f>
        <v>The adjusted average health gain for knee replacement (revision) respondents could not be calculated as there were fewer than 30 modelled records. The average adjusted health gain for knee replacement (revision) respondents in England was 14.</v>
      </c>
      <c r="C56" s="14"/>
      <c r="D56" s="14"/>
      <c r="E56" s="14"/>
      <c r="F56" s="14"/>
      <c r="G56" s="14"/>
      <c r="H56" s="14"/>
      <c r="I56" s="14"/>
      <c r="J56" s="14"/>
      <c r="K56" s="14"/>
      <c r="L56" s="288"/>
    </row>
    <row r="59" spans="2:12" s="49" customFormat="1" ht="32.25" customHeight="1" thickBot="1" x14ac:dyDescent="0.4">
      <c r="B59" s="430" t="s">
        <v>1257</v>
      </c>
      <c r="C59" s="431"/>
      <c r="D59" s="431"/>
      <c r="E59" s="431"/>
      <c r="F59" s="431"/>
      <c r="G59" s="431"/>
      <c r="H59" s="431"/>
      <c r="I59" s="431"/>
      <c r="J59" s="431"/>
      <c r="K59" s="431"/>
      <c r="L59" s="288"/>
    </row>
  </sheetData>
  <mergeCells count="6">
    <mergeCell ref="B59:K59"/>
    <mergeCell ref="M7:P7"/>
    <mergeCell ref="T14:U14"/>
    <mergeCell ref="T15:T23"/>
    <mergeCell ref="T27:U27"/>
    <mergeCell ref="B29:I29"/>
  </mergeCells>
  <hyperlinks>
    <hyperlink ref="N5" location="'Title Sheet'!A16" display="Return to contents" xr:uid="{00000000-0004-0000-0E00-000000000000}"/>
  </hyperlinks>
  <pageMargins left="0.35433070866141742" right="0.35433070866141742" top="0.39370078740157483" bottom="0.39370078740157483" header="0.11811023622047249" footer="0.11811023622047249"/>
  <pageSetup paperSize="9"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theme="4"/>
  </sheetPr>
  <dimension ref="A1:P408"/>
  <sheetViews>
    <sheetView showGridLines="0" zoomScale="80" zoomScaleNormal="80" zoomScaleSheetLayoutView="70" workbookViewId="0">
      <pane ySplit="5" topLeftCell="A12" activePane="bottomLeft" state="frozen"/>
      <selection activeCell="C13" sqref="C13"/>
      <selection pane="bottomLeft" activeCell="E20" sqref="E20:G20"/>
    </sheetView>
  </sheetViews>
  <sheetFormatPr defaultColWidth="9.1796875" defaultRowHeight="12.5" x14ac:dyDescent="0.25"/>
  <cols>
    <col min="1" max="1" width="3.81640625" style="311" customWidth="1"/>
    <col min="2" max="2" width="18.54296875" style="311" customWidth="1"/>
    <col min="3" max="3" width="27.453125" style="311" customWidth="1"/>
    <col min="4" max="4" width="3.81640625" style="311" customWidth="1"/>
    <col min="5" max="7" width="15.453125" style="311" customWidth="1"/>
    <col min="8" max="9" width="17" style="311" customWidth="1"/>
    <col min="10" max="10" width="16.453125" style="311" customWidth="1"/>
    <col min="11" max="14" width="15.453125" style="311" customWidth="1"/>
    <col min="15" max="15" width="19.1796875" style="311" customWidth="1"/>
    <col min="16" max="16" width="1.1796875" style="311" customWidth="1"/>
    <col min="17" max="22" width="9.1796875" style="311" customWidth="1"/>
    <col min="23" max="16384" width="9.1796875" style="311"/>
  </cols>
  <sheetData>
    <row r="1" spans="2:15" s="295" customFormat="1" ht="33" customHeight="1" x14ac:dyDescent="0.25"/>
    <row r="2" spans="2:15" s="295" customFormat="1" ht="14.9" customHeight="1" x14ac:dyDescent="0.25"/>
    <row r="3" spans="2:15" s="295" customFormat="1" ht="14.9" customHeight="1" x14ac:dyDescent="0.25"/>
    <row r="4" spans="2:15" s="295" customFormat="1" ht="14.9" customHeight="1" x14ac:dyDescent="0.25"/>
    <row r="5" spans="2:15" s="295" customFormat="1" ht="13.5" customHeight="1" x14ac:dyDescent="0.3">
      <c r="N5" s="355" t="s">
        <v>1244</v>
      </c>
    </row>
    <row r="6" spans="2:15" s="295" customFormat="1" ht="7.5" customHeight="1" x14ac:dyDescent="0.25"/>
    <row r="7" spans="2:15" s="297" customFormat="1" ht="21" customHeight="1" x14ac:dyDescent="0.5">
      <c r="B7" s="296" t="s">
        <v>1275</v>
      </c>
    </row>
    <row r="8" spans="2:15" s="298" customFormat="1" ht="11.25" customHeight="1" x14ac:dyDescent="0.35"/>
    <row r="9" spans="2:15" s="299" customFormat="1" ht="15" customHeight="1" x14ac:dyDescent="0.25">
      <c r="B9" s="467" t="s">
        <v>1276</v>
      </c>
      <c r="C9" s="468"/>
      <c r="D9" s="468"/>
      <c r="E9" s="468"/>
      <c r="F9" s="468"/>
      <c r="G9" s="468"/>
      <c r="H9" s="468"/>
      <c r="I9" s="468"/>
      <c r="J9" s="468"/>
      <c r="K9" s="468"/>
      <c r="L9" s="468"/>
    </row>
    <row r="10" spans="2:15" s="298" customFormat="1" ht="10.5" customHeight="1" x14ac:dyDescent="0.35">
      <c r="B10" s="469"/>
      <c r="C10" s="424"/>
      <c r="D10" s="424"/>
      <c r="E10" s="424"/>
      <c r="F10" s="424"/>
      <c r="G10" s="424"/>
      <c r="H10" s="424"/>
      <c r="I10" s="424"/>
      <c r="J10" s="424"/>
      <c r="K10" s="424"/>
      <c r="L10" s="424"/>
      <c r="M10" s="424"/>
      <c r="N10" s="424"/>
      <c r="O10" s="424"/>
    </row>
    <row r="11" spans="2:15" s="299" customFormat="1" ht="19.5" customHeight="1" x14ac:dyDescent="0.25">
      <c r="B11" s="300" t="s">
        <v>44</v>
      </c>
    </row>
    <row r="12" spans="2:15" s="298" customFormat="1" ht="35.25" customHeight="1" x14ac:dyDescent="0.35">
      <c r="B12" s="470" t="s">
        <v>1277</v>
      </c>
      <c r="C12" s="424"/>
      <c r="D12" s="424"/>
      <c r="E12" s="424"/>
      <c r="F12" s="424"/>
      <c r="G12" s="424"/>
      <c r="H12" s="424"/>
      <c r="I12" s="424"/>
      <c r="J12" s="424"/>
      <c r="K12" s="424"/>
      <c r="L12" s="424"/>
      <c r="M12" s="424"/>
      <c r="N12" s="299"/>
    </row>
    <row r="13" spans="2:15" s="298" customFormat="1" ht="15" customHeight="1" thickBot="1" x14ac:dyDescent="0.4">
      <c r="B13" s="301"/>
    </row>
    <row r="14" spans="2:15" s="301" customFormat="1" ht="23.25" customHeight="1" thickBot="1" x14ac:dyDescent="0.4">
      <c r="B14" s="471" t="s">
        <v>1278</v>
      </c>
      <c r="C14" s="445"/>
      <c r="D14" s="445"/>
      <c r="E14" s="445"/>
      <c r="F14" s="445"/>
      <c r="G14" s="445"/>
      <c r="H14" s="445"/>
      <c r="I14" s="445"/>
      <c r="J14" s="445"/>
      <c r="K14" s="446"/>
    </row>
    <row r="15" spans="2:15" s="301" customFormat="1" ht="15" customHeight="1" x14ac:dyDescent="0.35"/>
    <row r="16" spans="2:15" s="301" customFormat="1" ht="15.75" customHeight="1" x14ac:dyDescent="0.35">
      <c r="B16" s="302" t="s">
        <v>1279</v>
      </c>
    </row>
    <row r="17" spans="1:16" s="301" customFormat="1" ht="51.75" customHeight="1" x14ac:dyDescent="0.35">
      <c r="B17" s="472" t="s">
        <v>1280</v>
      </c>
      <c r="C17" s="473"/>
      <c r="D17" s="473"/>
      <c r="E17" s="473"/>
      <c r="F17" s="473"/>
      <c r="G17" s="473"/>
      <c r="H17" s="473"/>
      <c r="I17" s="473"/>
      <c r="J17" s="473"/>
      <c r="K17" s="473"/>
      <c r="L17" s="473"/>
      <c r="M17" s="473"/>
    </row>
    <row r="18" spans="1:16" s="303" customFormat="1" ht="13.5" customHeight="1" thickBot="1" x14ac:dyDescent="0.3">
      <c r="B18" s="304"/>
      <c r="C18" s="305"/>
      <c r="D18" s="305"/>
      <c r="E18" s="305"/>
      <c r="F18" s="305"/>
      <c r="I18" s="306"/>
      <c r="J18" s="295"/>
      <c r="L18" s="295"/>
      <c r="M18" s="295"/>
      <c r="N18" s="295"/>
      <c r="O18" s="295"/>
      <c r="P18" s="295"/>
    </row>
    <row r="19" spans="1:16" ht="25.5" customHeight="1" thickBot="1" x14ac:dyDescent="0.3">
      <c r="A19" s="303"/>
      <c r="B19" s="474" t="s">
        <v>735</v>
      </c>
      <c r="C19" s="475"/>
      <c r="D19" s="307"/>
      <c r="E19" s="476" t="s">
        <v>738</v>
      </c>
      <c r="F19" s="477"/>
      <c r="G19" s="478"/>
      <c r="H19" s="308"/>
      <c r="I19" s="309"/>
      <c r="J19" s="309"/>
      <c r="K19" s="308"/>
      <c r="L19" s="308"/>
      <c r="M19" s="310"/>
      <c r="N19" s="310"/>
      <c r="O19" s="310"/>
      <c r="P19" s="310"/>
    </row>
    <row r="20" spans="1:16" ht="25.5" customHeight="1" thickBot="1" x14ac:dyDescent="0.3">
      <c r="A20" s="303"/>
      <c r="B20" s="479" t="s">
        <v>974</v>
      </c>
      <c r="C20" s="454"/>
      <c r="D20" s="312"/>
      <c r="E20" s="480" t="s">
        <v>964</v>
      </c>
      <c r="F20" s="481"/>
      <c r="G20" s="454"/>
      <c r="H20" s="308"/>
      <c r="I20" s="309"/>
      <c r="J20" s="309"/>
      <c r="K20" s="308"/>
      <c r="L20" s="308"/>
      <c r="M20" s="310"/>
      <c r="N20" s="310"/>
      <c r="O20" s="310"/>
      <c r="P20" s="310"/>
    </row>
    <row r="21" spans="1:16" s="303" customFormat="1" x14ac:dyDescent="0.25">
      <c r="B21" s="295"/>
      <c r="C21" s="313">
        <v>3</v>
      </c>
      <c r="D21" s="313"/>
      <c r="E21" s="295"/>
      <c r="F21" s="295"/>
      <c r="G21" s="295"/>
      <c r="H21" s="295"/>
      <c r="I21" s="295"/>
      <c r="J21" s="295"/>
      <c r="K21" s="295"/>
      <c r="L21" s="295"/>
      <c r="M21" s="295"/>
      <c r="N21" s="295"/>
      <c r="O21" s="295"/>
      <c r="P21" s="295"/>
    </row>
    <row r="22" spans="1:16" s="303" customFormat="1" ht="67.5" customHeight="1" x14ac:dyDescent="0.25">
      <c r="B22" s="314" t="s">
        <v>1281</v>
      </c>
      <c r="C22" s="482" t="s">
        <v>1282</v>
      </c>
      <c r="D22" s="483"/>
      <c r="E22" s="315" t="s">
        <v>1131</v>
      </c>
      <c r="F22" s="315" t="s">
        <v>740</v>
      </c>
      <c r="G22" s="315" t="s">
        <v>741</v>
      </c>
      <c r="H22" s="315" t="s">
        <v>742</v>
      </c>
      <c r="I22" s="315" t="s">
        <v>743</v>
      </c>
      <c r="J22" s="315" t="s">
        <v>1186</v>
      </c>
      <c r="K22" s="315" t="s">
        <v>1187</v>
      </c>
      <c r="L22" s="315" t="s">
        <v>1188</v>
      </c>
      <c r="M22" s="316" t="s">
        <v>1189</v>
      </c>
      <c r="N22" s="317" t="s">
        <v>1283</v>
      </c>
      <c r="O22" s="295"/>
    </row>
    <row r="23" spans="1:16" s="303" customFormat="1" ht="33.75" customHeight="1" x14ac:dyDescent="0.25">
      <c r="B23" s="318" t="s">
        <v>122</v>
      </c>
      <c r="C23" s="466" t="s">
        <v>122</v>
      </c>
      <c r="D23" s="418"/>
      <c r="E23" s="319">
        <v>23375</v>
      </c>
      <c r="F23" s="320">
        <v>0.8</v>
      </c>
      <c r="G23" s="320">
        <v>0.875</v>
      </c>
      <c r="H23" s="320">
        <v>7.4999999999999997E-2</v>
      </c>
      <c r="I23" s="319">
        <v>11750</v>
      </c>
      <c r="J23" s="319">
        <v>7500</v>
      </c>
      <c r="K23" s="319">
        <v>4125</v>
      </c>
      <c r="L23" s="320">
        <v>0.875</v>
      </c>
      <c r="M23" s="320">
        <v>7.4999999999999997E-2</v>
      </c>
      <c r="N23" s="320">
        <v>0.24739295876085229</v>
      </c>
      <c r="O23" s="295"/>
    </row>
    <row r="24" spans="1:16" s="303" customFormat="1" ht="33.75" customHeight="1" x14ac:dyDescent="0.25">
      <c r="B24" s="318" t="s">
        <v>1021</v>
      </c>
      <c r="C24" s="466" t="s">
        <v>1284</v>
      </c>
      <c r="D24" s="418"/>
      <c r="E24" s="319" t="s">
        <v>127</v>
      </c>
      <c r="F24" s="320" t="s">
        <v>127</v>
      </c>
      <c r="G24" s="320" t="s">
        <v>127</v>
      </c>
      <c r="H24" s="320" t="s">
        <v>127</v>
      </c>
      <c r="I24" s="320" t="s">
        <v>127</v>
      </c>
      <c r="J24" s="320" t="s">
        <v>127</v>
      </c>
      <c r="K24" s="320" t="s">
        <v>127</v>
      </c>
      <c r="L24" s="320" t="s">
        <v>127</v>
      </c>
      <c r="M24" s="320" t="s">
        <v>127</v>
      </c>
      <c r="N24" s="320" t="s">
        <v>127</v>
      </c>
      <c r="O24" s="295"/>
    </row>
    <row r="25" spans="1:16" s="303" customFormat="1" ht="33.75" customHeight="1" x14ac:dyDescent="0.25">
      <c r="B25" s="318" t="s">
        <v>965</v>
      </c>
      <c r="C25" s="466" t="s">
        <v>1285</v>
      </c>
      <c r="D25" s="418"/>
      <c r="E25" s="319" t="s">
        <v>968</v>
      </c>
      <c r="F25" s="320" t="s">
        <v>968</v>
      </c>
      <c r="G25" s="320" t="s">
        <v>968</v>
      </c>
      <c r="H25" s="320" t="s">
        <v>968</v>
      </c>
      <c r="I25" s="319" t="s">
        <v>1286</v>
      </c>
      <c r="J25" s="319" t="s">
        <v>1286</v>
      </c>
      <c r="K25" s="319" t="s">
        <v>1286</v>
      </c>
      <c r="L25" s="320" t="s">
        <v>968</v>
      </c>
      <c r="M25" s="320" t="s">
        <v>968</v>
      </c>
      <c r="N25" s="320" t="s">
        <v>968</v>
      </c>
      <c r="O25" s="295"/>
    </row>
    <row r="26" spans="1:16" s="303" customFormat="1" ht="33.75" customHeight="1" x14ac:dyDescent="0.25">
      <c r="B26" s="318" t="s">
        <v>965</v>
      </c>
      <c r="C26" s="466" t="s">
        <v>1287</v>
      </c>
      <c r="D26" s="418"/>
      <c r="E26" s="319">
        <v>25</v>
      </c>
      <c r="F26" s="320">
        <v>0.77500000000000002</v>
      </c>
      <c r="G26" s="320">
        <v>0.89</v>
      </c>
      <c r="H26" s="320">
        <v>0.115</v>
      </c>
      <c r="I26" s="319">
        <v>15</v>
      </c>
      <c r="J26" s="319">
        <v>10</v>
      </c>
      <c r="K26" s="319">
        <v>5</v>
      </c>
      <c r="L26" s="320" t="s">
        <v>127</v>
      </c>
      <c r="M26" s="320" t="s">
        <v>127</v>
      </c>
      <c r="N26" s="320" t="s">
        <v>127</v>
      </c>
      <c r="O26" s="295"/>
    </row>
    <row r="27" spans="1:16" s="303" customFormat="1" ht="10.5" customHeight="1" x14ac:dyDescent="0.25">
      <c r="B27" s="321"/>
      <c r="C27" s="321"/>
      <c r="D27" s="321"/>
      <c r="E27" s="321"/>
      <c r="F27" s="322"/>
      <c r="G27" s="322"/>
      <c r="H27" s="322"/>
      <c r="I27" s="321"/>
      <c r="J27" s="321"/>
      <c r="K27" s="321"/>
      <c r="L27" s="322"/>
      <c r="M27" s="322"/>
      <c r="N27" s="322"/>
      <c r="O27" s="322"/>
      <c r="P27" s="295"/>
    </row>
    <row r="28" spans="1:16" s="303" customFormat="1" ht="15.75" customHeight="1" x14ac:dyDescent="0.25">
      <c r="B28" s="321"/>
      <c r="C28" s="321"/>
      <c r="D28" s="321"/>
      <c r="E28" s="321"/>
      <c r="F28" s="322"/>
      <c r="G28" s="322"/>
      <c r="H28" s="322"/>
      <c r="I28" s="321"/>
      <c r="J28" s="321"/>
      <c r="K28" s="321"/>
      <c r="L28" s="322"/>
      <c r="M28" s="322"/>
      <c r="N28" s="322"/>
      <c r="O28" s="322"/>
      <c r="P28" s="295"/>
    </row>
    <row r="29" spans="1:16" s="303" customFormat="1" ht="15" customHeight="1" x14ac:dyDescent="0.25">
      <c r="B29" s="484"/>
      <c r="C29" s="424"/>
      <c r="D29" s="323"/>
      <c r="E29" s="485"/>
      <c r="F29" s="424"/>
      <c r="G29" s="424"/>
      <c r="H29" s="424"/>
      <c r="I29" s="424"/>
      <c r="J29" s="424"/>
      <c r="K29" s="424"/>
      <c r="L29" s="424"/>
      <c r="M29" s="424"/>
      <c r="N29" s="424"/>
      <c r="O29" s="324"/>
      <c r="P29" s="295"/>
    </row>
    <row r="30" spans="1:16" s="301" customFormat="1" ht="15" customHeight="1" x14ac:dyDescent="0.35">
      <c r="B30" s="486"/>
      <c r="C30" s="473"/>
      <c r="D30" s="473"/>
      <c r="E30" s="473"/>
      <c r="F30" s="473"/>
      <c r="G30" s="473"/>
      <c r="H30" s="473"/>
      <c r="I30" s="473"/>
      <c r="J30" s="473"/>
      <c r="K30" s="473"/>
      <c r="L30" s="473"/>
    </row>
    <row r="31" spans="1:16" s="301" customFormat="1" ht="15" customHeight="1" x14ac:dyDescent="0.35">
      <c r="B31" s="325"/>
      <c r="C31" s="325"/>
      <c r="D31" s="325"/>
      <c r="E31" s="325"/>
      <c r="F31" s="325"/>
      <c r="G31" s="325"/>
      <c r="H31" s="325"/>
      <c r="I31" s="325"/>
      <c r="J31" s="325"/>
      <c r="K31" s="325"/>
      <c r="L31" s="325"/>
    </row>
    <row r="32" spans="1:16" s="303" customFormat="1" ht="15.75" customHeight="1" x14ac:dyDescent="0.35">
      <c r="B32" s="301" t="s">
        <v>1288</v>
      </c>
      <c r="C32" s="326"/>
      <c r="D32" s="326"/>
      <c r="E32" s="326"/>
      <c r="F32" s="326"/>
      <c r="G32" s="326"/>
      <c r="H32" s="327"/>
      <c r="I32" s="327"/>
      <c r="J32" s="327"/>
      <c r="K32" s="327"/>
      <c r="L32" s="327"/>
      <c r="M32" s="327"/>
      <c r="N32" s="327"/>
      <c r="O32" s="327"/>
      <c r="P32" s="295"/>
    </row>
    <row r="33" spans="2:16" s="303" customFormat="1" ht="15.75" customHeight="1" x14ac:dyDescent="0.35">
      <c r="B33" s="301" t="s">
        <v>1289</v>
      </c>
      <c r="C33" s="326"/>
      <c r="D33" s="326"/>
      <c r="E33" s="326"/>
      <c r="F33" s="326"/>
      <c r="G33" s="326"/>
      <c r="H33" s="327"/>
      <c r="I33" s="327"/>
      <c r="J33" s="327"/>
      <c r="K33" s="327"/>
      <c r="L33" s="327"/>
      <c r="M33" s="327"/>
      <c r="N33" s="327"/>
      <c r="O33" s="327"/>
      <c r="P33" s="295"/>
    </row>
    <row r="34" spans="2:16" s="303" customFormat="1" ht="15.75" customHeight="1" x14ac:dyDescent="0.35">
      <c r="B34" s="301" t="s">
        <v>1290</v>
      </c>
      <c r="C34" s="326"/>
      <c r="D34" s="326"/>
      <c r="E34" s="326"/>
      <c r="F34" s="326"/>
      <c r="G34" s="326"/>
      <c r="H34" s="327"/>
      <c r="I34" s="327"/>
      <c r="J34" s="327"/>
      <c r="K34" s="327"/>
      <c r="L34" s="327"/>
      <c r="M34" s="327"/>
      <c r="N34" s="327"/>
      <c r="O34" s="327"/>
      <c r="P34" s="295"/>
    </row>
    <row r="35" spans="2:16" s="303" customFormat="1" ht="15.75" customHeight="1" x14ac:dyDescent="0.35">
      <c r="B35" s="301" t="s">
        <v>1291</v>
      </c>
      <c r="C35" s="326"/>
      <c r="D35" s="326"/>
      <c r="E35" s="326"/>
      <c r="F35" s="326"/>
      <c r="G35" s="326"/>
      <c r="H35" s="327"/>
      <c r="I35" s="327"/>
      <c r="J35" s="327"/>
      <c r="K35" s="327"/>
      <c r="L35" s="327"/>
      <c r="M35" s="327"/>
      <c r="N35" s="327"/>
      <c r="O35" s="327"/>
      <c r="P35" s="295"/>
    </row>
    <row r="36" spans="2:16" s="303" customFormat="1" ht="15.75" customHeight="1" x14ac:dyDescent="0.35">
      <c r="B36" s="301" t="s">
        <v>1292</v>
      </c>
      <c r="C36" s="326"/>
      <c r="D36" s="326"/>
      <c r="E36" s="326"/>
      <c r="F36" s="326"/>
      <c r="G36" s="326"/>
      <c r="H36" s="327"/>
      <c r="I36" s="327"/>
      <c r="J36" s="327"/>
      <c r="K36" s="327"/>
      <c r="L36" s="327"/>
      <c r="M36" s="327"/>
      <c r="N36" s="327"/>
      <c r="O36" s="327"/>
      <c r="P36" s="295"/>
    </row>
    <row r="37" spans="2:16" s="303" customFormat="1" ht="15.75" customHeight="1" x14ac:dyDescent="0.35">
      <c r="B37" s="301" t="s">
        <v>1293</v>
      </c>
      <c r="C37" s="326"/>
      <c r="D37" s="326"/>
      <c r="E37" s="326"/>
      <c r="F37" s="326"/>
      <c r="G37" s="326"/>
      <c r="H37" s="327"/>
      <c r="I37" s="327"/>
      <c r="J37" s="327"/>
      <c r="K37" s="327"/>
      <c r="L37" s="327"/>
      <c r="M37" s="327"/>
      <c r="N37" s="327"/>
      <c r="O37" s="327"/>
      <c r="P37" s="295"/>
    </row>
    <row r="38" spans="2:16" s="303" customFormat="1" ht="15.75" customHeight="1" x14ac:dyDescent="0.35">
      <c r="B38" s="301" t="s">
        <v>1294</v>
      </c>
      <c r="C38" s="326"/>
      <c r="D38" s="326"/>
      <c r="E38" s="326"/>
      <c r="F38" s="326"/>
      <c r="G38" s="326"/>
      <c r="H38" s="327"/>
      <c r="I38" s="327"/>
      <c r="J38" s="327"/>
      <c r="K38" s="327"/>
      <c r="L38" s="327"/>
      <c r="M38" s="327"/>
      <c r="N38" s="327"/>
      <c r="O38" s="327"/>
      <c r="P38" s="295"/>
    </row>
    <row r="39" spans="2:16" s="303" customFormat="1" ht="15.75" customHeight="1" x14ac:dyDescent="0.35">
      <c r="B39" s="301" t="s">
        <v>1295</v>
      </c>
      <c r="C39" s="326"/>
      <c r="D39" s="326"/>
      <c r="E39" s="326"/>
      <c r="F39" s="326"/>
      <c r="G39" s="326"/>
      <c r="H39" s="327"/>
      <c r="I39" s="327"/>
      <c r="J39" s="327"/>
      <c r="K39" s="327"/>
      <c r="L39" s="327"/>
      <c r="M39" s="327"/>
      <c r="N39" s="327"/>
      <c r="O39" s="327"/>
      <c r="P39" s="295"/>
    </row>
    <row r="40" spans="2:16" s="303" customFormat="1" ht="15.75" customHeight="1" x14ac:dyDescent="0.35">
      <c r="B40" s="301" t="s">
        <v>1296</v>
      </c>
      <c r="C40" s="326"/>
      <c r="D40" s="326"/>
      <c r="E40" s="326"/>
      <c r="F40" s="326"/>
      <c r="G40" s="326"/>
      <c r="H40" s="327"/>
      <c r="I40" s="327"/>
      <c r="J40" s="327"/>
      <c r="K40" s="327"/>
      <c r="L40" s="327"/>
      <c r="M40" s="327"/>
      <c r="N40" s="327"/>
      <c r="O40" s="327"/>
      <c r="P40" s="295"/>
    </row>
    <row r="41" spans="2:16" s="303" customFormat="1" ht="15.75" customHeight="1" x14ac:dyDescent="0.35">
      <c r="B41" s="301" t="s">
        <v>1297</v>
      </c>
      <c r="C41" s="326"/>
      <c r="D41" s="326"/>
      <c r="E41" s="326"/>
      <c r="F41" s="326"/>
      <c r="G41" s="326"/>
      <c r="H41" s="327"/>
      <c r="I41" s="327"/>
      <c r="J41" s="327"/>
      <c r="K41" s="327"/>
      <c r="L41" s="327"/>
      <c r="M41" s="327"/>
      <c r="N41" s="327"/>
      <c r="O41" s="327"/>
      <c r="P41" s="295"/>
    </row>
    <row r="42" spans="2:16" s="303" customFormat="1" ht="15" customHeight="1" x14ac:dyDescent="0.35">
      <c r="B42" s="301"/>
      <c r="C42" s="326"/>
      <c r="D42" s="326"/>
      <c r="E42" s="326"/>
      <c r="F42" s="326"/>
      <c r="G42" s="326"/>
      <c r="H42" s="327"/>
      <c r="I42" s="327"/>
      <c r="J42" s="327"/>
      <c r="K42" s="327"/>
      <c r="L42" s="327"/>
      <c r="M42" s="327"/>
      <c r="N42" s="327"/>
      <c r="O42" s="327"/>
      <c r="P42" s="295"/>
    </row>
    <row r="43" spans="2:16" s="303" customFormat="1" ht="15.75" customHeight="1" x14ac:dyDescent="0.35">
      <c r="B43" s="325" t="s">
        <v>1298</v>
      </c>
      <c r="C43" s="326"/>
      <c r="D43" s="326"/>
      <c r="E43" s="326"/>
      <c r="F43" s="326"/>
      <c r="G43" s="326"/>
      <c r="H43" s="327"/>
      <c r="I43" s="327"/>
      <c r="J43" s="327"/>
      <c r="K43" s="327"/>
      <c r="L43" s="327"/>
      <c r="M43" s="327"/>
      <c r="N43" s="327"/>
      <c r="O43" s="327"/>
      <c r="P43" s="295"/>
    </row>
    <row r="44" spans="2:16" s="303" customFormat="1" ht="15" customHeight="1" x14ac:dyDescent="0.35">
      <c r="B44" s="325" t="s">
        <v>1299</v>
      </c>
      <c r="C44" s="326"/>
      <c r="D44" s="326"/>
      <c r="E44" s="326"/>
      <c r="F44" s="326"/>
      <c r="G44" s="326"/>
      <c r="H44" s="327"/>
      <c r="I44" s="327"/>
      <c r="J44" s="327"/>
      <c r="K44" s="327"/>
      <c r="L44" s="327"/>
      <c r="M44" s="327"/>
      <c r="N44" s="327"/>
      <c r="O44" s="327"/>
      <c r="P44" s="295"/>
    </row>
    <row r="45" spans="2:16" s="303" customFormat="1" ht="15" customHeight="1" x14ac:dyDescent="0.35">
      <c r="B45" s="325" t="s">
        <v>1300</v>
      </c>
      <c r="C45" s="326"/>
      <c r="D45" s="326"/>
      <c r="E45" s="326"/>
      <c r="F45" s="326"/>
      <c r="G45" s="326"/>
      <c r="H45" s="327"/>
      <c r="I45" s="327"/>
      <c r="J45" s="327"/>
      <c r="K45" s="327"/>
      <c r="L45" s="327"/>
      <c r="M45" s="327"/>
      <c r="N45" s="327"/>
      <c r="O45" s="327"/>
      <c r="P45" s="295"/>
    </row>
    <row r="46" spans="2:16" s="303" customFormat="1" ht="15" customHeight="1" x14ac:dyDescent="0.35">
      <c r="B46" s="325"/>
      <c r="C46" s="326"/>
      <c r="D46" s="326"/>
      <c r="E46" s="326"/>
      <c r="F46" s="326"/>
      <c r="G46" s="326"/>
      <c r="H46" s="327"/>
      <c r="I46" s="327"/>
      <c r="J46" s="327"/>
      <c r="K46" s="327"/>
      <c r="L46" s="327"/>
      <c r="M46" s="327"/>
      <c r="N46" s="327"/>
      <c r="O46" s="327"/>
      <c r="P46" s="295"/>
    </row>
    <row r="47" spans="2:16" s="303" customFormat="1" ht="15.75" customHeight="1" x14ac:dyDescent="0.35">
      <c r="B47" s="325" t="s">
        <v>1301</v>
      </c>
      <c r="C47" s="326"/>
      <c r="D47" s="326"/>
      <c r="E47" s="326"/>
      <c r="F47" s="326"/>
      <c r="G47" s="326"/>
      <c r="H47" s="327"/>
      <c r="I47" s="327"/>
      <c r="J47" s="327"/>
      <c r="K47" s="327"/>
      <c r="L47" s="327"/>
      <c r="M47" s="327"/>
      <c r="N47" s="327"/>
      <c r="O47" s="327"/>
      <c r="P47" s="295"/>
    </row>
    <row r="48" spans="2:16" s="303" customFormat="1" ht="15" customHeight="1" x14ac:dyDescent="0.35">
      <c r="B48" s="325" t="s">
        <v>1302</v>
      </c>
      <c r="C48" s="326"/>
      <c r="D48" s="326"/>
      <c r="E48" s="326"/>
      <c r="F48" s="326"/>
      <c r="G48" s="326"/>
      <c r="H48" s="327"/>
      <c r="I48" s="327"/>
      <c r="J48" s="327"/>
      <c r="K48" s="327"/>
      <c r="L48" s="327"/>
      <c r="M48" s="327"/>
      <c r="N48" s="327"/>
      <c r="O48" s="327"/>
      <c r="P48" s="295"/>
    </row>
    <row r="49" spans="2:16" s="303" customFormat="1" ht="15" customHeight="1" x14ac:dyDescent="0.35">
      <c r="B49" s="325"/>
      <c r="C49" s="326"/>
      <c r="D49" s="326"/>
      <c r="E49" s="326"/>
      <c r="F49" s="326"/>
      <c r="G49" s="326"/>
      <c r="H49" s="327"/>
      <c r="I49" s="327"/>
      <c r="J49" s="327"/>
      <c r="K49" s="327"/>
      <c r="L49" s="327"/>
      <c r="M49" s="327"/>
      <c r="N49" s="327"/>
      <c r="O49" s="327"/>
      <c r="P49" s="295"/>
    </row>
    <row r="50" spans="2:16" s="303" customFormat="1" ht="15" customHeight="1" x14ac:dyDescent="0.35">
      <c r="B50" s="325"/>
      <c r="C50" s="326"/>
      <c r="D50" s="326"/>
      <c r="E50" s="326"/>
      <c r="F50" s="326"/>
      <c r="G50" s="326"/>
      <c r="H50" s="327"/>
      <c r="I50" s="327"/>
      <c r="J50" s="327"/>
      <c r="K50" s="327"/>
      <c r="L50" s="327"/>
      <c r="M50" s="327"/>
      <c r="N50" s="327"/>
      <c r="O50" s="327"/>
      <c r="P50" s="295"/>
    </row>
    <row r="51" spans="2:16" s="49" customFormat="1" ht="32.25" customHeight="1" thickBot="1" x14ac:dyDescent="0.4">
      <c r="B51" s="430" t="s">
        <v>1257</v>
      </c>
      <c r="C51" s="431"/>
      <c r="D51" s="431"/>
      <c r="E51" s="431"/>
      <c r="F51" s="431"/>
      <c r="G51" s="431"/>
      <c r="H51" s="431"/>
      <c r="I51" s="431"/>
      <c r="J51" s="431"/>
      <c r="K51" s="431"/>
      <c r="L51" s="288"/>
    </row>
    <row r="52" spans="2:16" s="303" customFormat="1" ht="12.75" customHeight="1" x14ac:dyDescent="0.35">
      <c r="B52" s="326"/>
      <c r="C52" s="326"/>
      <c r="D52" s="326"/>
      <c r="E52" s="326"/>
      <c r="F52" s="326"/>
      <c r="G52" s="326"/>
      <c r="H52" s="327"/>
      <c r="I52" s="327"/>
      <c r="J52" s="327"/>
      <c r="K52" s="327"/>
      <c r="L52" s="327"/>
      <c r="M52" s="327"/>
      <c r="N52" s="327"/>
      <c r="O52" s="327"/>
      <c r="P52" s="295"/>
    </row>
    <row r="53" spans="2:16" s="303" customFormat="1" ht="15" customHeight="1" x14ac:dyDescent="0.35">
      <c r="B53" s="328"/>
      <c r="C53" s="328"/>
      <c r="D53" s="328"/>
      <c r="E53" s="329"/>
      <c r="F53" s="329"/>
      <c r="G53" s="329"/>
      <c r="H53" s="327"/>
      <c r="I53" s="327"/>
      <c r="J53" s="327"/>
      <c r="K53" s="327"/>
      <c r="L53" s="327"/>
      <c r="M53" s="327"/>
      <c r="N53" s="327"/>
      <c r="O53" s="327"/>
      <c r="P53" s="295"/>
    </row>
    <row r="54" spans="2:16" s="303" customFormat="1" ht="15" customHeight="1" x14ac:dyDescent="0.35">
      <c r="B54" s="330"/>
      <c r="C54" s="328"/>
      <c r="D54" s="328"/>
      <c r="E54" s="329"/>
      <c r="F54" s="329"/>
      <c r="G54" s="329"/>
      <c r="H54" s="327"/>
      <c r="I54" s="327"/>
      <c r="J54" s="327"/>
      <c r="K54" s="327"/>
      <c r="L54" s="327"/>
      <c r="M54" s="327"/>
      <c r="N54" s="327"/>
      <c r="O54" s="327"/>
      <c r="P54" s="295"/>
    </row>
    <row r="55" spans="2:16" s="303" customFormat="1" ht="15" customHeight="1" x14ac:dyDescent="0.35">
      <c r="B55" s="330"/>
      <c r="C55" s="328"/>
      <c r="D55" s="328"/>
      <c r="E55" s="329"/>
      <c r="F55" s="329"/>
      <c r="G55" s="329"/>
      <c r="H55" s="327"/>
      <c r="I55" s="327"/>
      <c r="J55" s="327"/>
      <c r="K55" s="327"/>
      <c r="L55" s="327"/>
      <c r="M55" s="327"/>
      <c r="N55" s="327"/>
      <c r="O55" s="327"/>
      <c r="P55" s="295"/>
    </row>
    <row r="56" spans="2:16" s="303" customFormat="1" x14ac:dyDescent="0.25">
      <c r="B56" s="331"/>
      <c r="C56" s="332"/>
      <c r="D56" s="332"/>
      <c r="E56" s="333"/>
      <c r="F56" s="333"/>
      <c r="G56" s="333"/>
      <c r="H56" s="295"/>
      <c r="I56" s="295"/>
      <c r="J56" s="295"/>
      <c r="K56" s="295"/>
      <c r="L56" s="295"/>
      <c r="M56" s="295"/>
      <c r="N56" s="295"/>
      <c r="O56" s="295"/>
      <c r="P56" s="295"/>
    </row>
    <row r="57" spans="2:16" s="303" customFormat="1" x14ac:dyDescent="0.25">
      <c r="B57" s="333"/>
      <c r="C57" s="332"/>
      <c r="D57" s="332"/>
      <c r="E57" s="333"/>
      <c r="F57" s="333"/>
      <c r="G57" s="332"/>
    </row>
    <row r="58" spans="2:16" s="303" customFormat="1" x14ac:dyDescent="0.25">
      <c r="B58" s="332"/>
      <c r="C58" s="332"/>
      <c r="D58" s="332"/>
      <c r="E58" s="333"/>
      <c r="F58" s="333"/>
      <c r="G58" s="332"/>
    </row>
    <row r="59" spans="2:16" s="303" customFormat="1" x14ac:dyDescent="0.25">
      <c r="B59" s="33"/>
      <c r="C59" s="332"/>
      <c r="D59" s="332"/>
      <c r="E59" s="333"/>
      <c r="F59" s="333"/>
      <c r="G59" s="332"/>
    </row>
    <row r="60" spans="2:16" s="303" customFormat="1" x14ac:dyDescent="0.25">
      <c r="B60" s="332"/>
      <c r="C60" s="332"/>
      <c r="D60" s="332"/>
      <c r="E60" s="333"/>
      <c r="F60" s="333"/>
      <c r="G60" s="332"/>
    </row>
    <row r="61" spans="2:16" s="303" customFormat="1" x14ac:dyDescent="0.25">
      <c r="B61" s="332"/>
      <c r="C61" s="332"/>
      <c r="D61" s="332"/>
      <c r="E61" s="332"/>
      <c r="F61" s="332"/>
      <c r="G61" s="332"/>
    </row>
    <row r="62" spans="2:16" s="303" customFormat="1" x14ac:dyDescent="0.25">
      <c r="B62" s="332"/>
      <c r="C62" s="332"/>
      <c r="D62" s="332"/>
      <c r="E62" s="332"/>
      <c r="F62" s="332"/>
      <c r="G62" s="332"/>
    </row>
    <row r="63" spans="2:16" s="303" customFormat="1" x14ac:dyDescent="0.25">
      <c r="B63" s="332"/>
      <c r="C63" s="332"/>
      <c r="D63" s="332"/>
      <c r="E63" s="332"/>
      <c r="F63" s="332"/>
      <c r="G63" s="332"/>
    </row>
    <row r="64" spans="2:16" s="303" customFormat="1" x14ac:dyDescent="0.25">
      <c r="C64" s="332"/>
      <c r="D64" s="332"/>
      <c r="E64" s="332"/>
      <c r="F64" s="332"/>
      <c r="G64" s="332"/>
    </row>
    <row r="65" spans="3:4" s="303" customFormat="1" x14ac:dyDescent="0.25"/>
    <row r="66" spans="3:4" s="303" customFormat="1" x14ac:dyDescent="0.25"/>
    <row r="67" spans="3:4" s="303" customFormat="1" x14ac:dyDescent="0.25"/>
    <row r="68" spans="3:4" s="303" customFormat="1" x14ac:dyDescent="0.25">
      <c r="C68" s="295"/>
      <c r="D68" s="295"/>
    </row>
    <row r="69" spans="3:4" s="303" customFormat="1" x14ac:dyDescent="0.25"/>
    <row r="70" spans="3:4" s="303" customFormat="1" x14ac:dyDescent="0.25">
      <c r="C70" s="295"/>
      <c r="D70" s="295"/>
    </row>
    <row r="71" spans="3:4" s="303" customFormat="1" x14ac:dyDescent="0.25">
      <c r="C71" s="295"/>
      <c r="D71" s="295"/>
    </row>
    <row r="72" spans="3:4" s="303" customFormat="1" x14ac:dyDescent="0.25">
      <c r="C72" s="295"/>
      <c r="D72" s="295"/>
    </row>
    <row r="73" spans="3:4" s="303" customFormat="1" x14ac:dyDescent="0.25">
      <c r="C73" s="295"/>
      <c r="D73" s="295"/>
    </row>
    <row r="74" spans="3:4" s="303" customFormat="1" x14ac:dyDescent="0.25">
      <c r="C74" s="295"/>
      <c r="D74" s="295"/>
    </row>
    <row r="75" spans="3:4" s="303" customFormat="1" x14ac:dyDescent="0.25"/>
    <row r="76" spans="3:4" s="303" customFormat="1" x14ac:dyDescent="0.25"/>
    <row r="77" spans="3:4" s="303" customFormat="1" x14ac:dyDescent="0.25"/>
    <row r="78" spans="3:4" s="303" customFormat="1" x14ac:dyDescent="0.25"/>
    <row r="79" spans="3:4" s="303" customFormat="1" x14ac:dyDescent="0.25"/>
    <row r="80" spans="3:4" s="303" customFormat="1" x14ac:dyDescent="0.25"/>
    <row r="81" s="303" customFormat="1" x14ac:dyDescent="0.25"/>
    <row r="82" s="303" customFormat="1" x14ac:dyDescent="0.25"/>
    <row r="83" s="303" customFormat="1" x14ac:dyDescent="0.25"/>
    <row r="84" s="303" customFormat="1" x14ac:dyDescent="0.25"/>
    <row r="85" s="303" customFormat="1" x14ac:dyDescent="0.25"/>
    <row r="86" s="303" customFormat="1" x14ac:dyDescent="0.25"/>
    <row r="87" s="303" customFormat="1" x14ac:dyDescent="0.25"/>
    <row r="88" s="303" customFormat="1" x14ac:dyDescent="0.25"/>
    <row r="89" s="303" customFormat="1" x14ac:dyDescent="0.25"/>
    <row r="90" s="303" customFormat="1" x14ac:dyDescent="0.25"/>
    <row r="91" s="303" customFormat="1" x14ac:dyDescent="0.25"/>
    <row r="92" s="303" customFormat="1" x14ac:dyDescent="0.25"/>
    <row r="93" s="303" customFormat="1" x14ac:dyDescent="0.25"/>
    <row r="94" s="303" customFormat="1" x14ac:dyDescent="0.25"/>
    <row r="95" s="303" customFormat="1" x14ac:dyDescent="0.25"/>
    <row r="96" s="303" customFormat="1" x14ac:dyDescent="0.25"/>
    <row r="97" s="303" customFormat="1" x14ac:dyDescent="0.25"/>
    <row r="98" s="303" customFormat="1" x14ac:dyDescent="0.25"/>
    <row r="99" s="303" customFormat="1" x14ac:dyDescent="0.25"/>
    <row r="408" ht="38.25" customHeight="1" x14ac:dyDescent="0.25"/>
  </sheetData>
  <mergeCells count="18">
    <mergeCell ref="C26:D26"/>
    <mergeCell ref="B29:C29"/>
    <mergeCell ref="E29:N29"/>
    <mergeCell ref="B30:L30"/>
    <mergeCell ref="B51:K51"/>
    <mergeCell ref="C25:D25"/>
    <mergeCell ref="B9:L9"/>
    <mergeCell ref="B10:O10"/>
    <mergeCell ref="B12:M12"/>
    <mergeCell ref="B14:K14"/>
    <mergeCell ref="B17:M17"/>
    <mergeCell ref="B19:C19"/>
    <mergeCell ref="E19:G19"/>
    <mergeCell ref="B20:C20"/>
    <mergeCell ref="E20:G20"/>
    <mergeCell ref="C22:D22"/>
    <mergeCell ref="C23:D23"/>
    <mergeCell ref="C24:D24"/>
  </mergeCells>
  <conditionalFormatting sqref="B23:C23">
    <cfRule type="expression" dxfId="7" priority="2" stopIfTrue="1">
      <formula>IF($E23&lt;30,TRUE)</formula>
    </cfRule>
  </conditionalFormatting>
  <conditionalFormatting sqref="E23:N26">
    <cfRule type="expression" dxfId="6" priority="1" stopIfTrue="1">
      <formula>IF($E23&lt;30,TRUE)</formula>
    </cfRule>
  </conditionalFormatting>
  <dataValidations count="2">
    <dataValidation type="list" allowBlank="1" showInputMessage="1" showErrorMessage="1" sqref="B20:C20" xr:uid="{00000000-0002-0000-0F00-000000000000}">
      <formula1>Procedure_List</formula1>
    </dataValidation>
    <dataValidation type="list" allowBlank="1" showInputMessage="1" showErrorMessage="1" sqref="E20:G20" xr:uid="{00000000-0002-0000-0F00-000001000000}">
      <formula1>Select10_Score</formula1>
    </dataValidation>
  </dataValidations>
  <hyperlinks>
    <hyperlink ref="N5" location="'Title Sheet'!A16" display="Return to contents" xr:uid="{00000000-0004-0000-0F00-000000000000}"/>
  </hyperlinks>
  <pageMargins left="0.35433070866141742" right="0.35433070866141742" top="0.39370078740157483" bottom="0.39370078740157483" header="0.11811023622047249" footer="0.11811023622047249"/>
  <pageSetup paperSize="9" scale="41" fitToHeight="2"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theme="4"/>
    <pageSetUpPr fitToPage="1"/>
  </sheetPr>
  <dimension ref="A1:Z48"/>
  <sheetViews>
    <sheetView showGridLines="0" tabSelected="1" zoomScale="80" zoomScaleNormal="80" workbookViewId="0">
      <pane ySplit="5" topLeftCell="A6" activePane="bottomLeft" state="frozen"/>
      <selection activeCell="C13" sqref="C13"/>
      <selection pane="bottomLeft" activeCell="F19" sqref="F19"/>
    </sheetView>
  </sheetViews>
  <sheetFormatPr defaultColWidth="9.1796875" defaultRowHeight="12.5" x14ac:dyDescent="0.25"/>
  <cols>
    <col min="1" max="1" width="3.81640625" style="150" customWidth="1"/>
    <col min="2" max="2" width="18.1796875" style="4" customWidth="1"/>
    <col min="3" max="3" width="31" style="4" customWidth="1"/>
    <col min="4" max="4" width="3.81640625" style="4" customWidth="1"/>
    <col min="5" max="14" width="15.54296875" style="4" customWidth="1"/>
    <col min="15" max="15" width="21" style="150" customWidth="1"/>
    <col min="16" max="16" width="1.453125" style="150" customWidth="1"/>
    <col min="17" max="18" width="16.54296875" style="150" customWidth="1"/>
    <col min="19" max="26" width="9.1796875" style="150" customWidth="1"/>
    <col min="27" max="32" width="9.1796875" style="4" customWidth="1"/>
    <col min="33" max="16384" width="9.1796875" style="4"/>
  </cols>
  <sheetData>
    <row r="1" spans="1:26" s="14" customFormat="1" ht="33" customHeight="1" x14ac:dyDescent="0.25">
      <c r="A1" s="67"/>
      <c r="O1" s="67"/>
      <c r="P1" s="67"/>
      <c r="Q1" s="67"/>
      <c r="R1" s="67"/>
      <c r="S1" s="67"/>
      <c r="T1" s="67"/>
      <c r="U1" s="67"/>
      <c r="V1" s="67"/>
      <c r="W1" s="67"/>
      <c r="X1" s="67"/>
      <c r="Y1" s="67"/>
      <c r="Z1" s="67"/>
    </row>
    <row r="2" spans="1:26" s="14" customFormat="1" ht="14.9" customHeight="1" x14ac:dyDescent="0.25">
      <c r="A2" s="67"/>
      <c r="O2" s="67"/>
      <c r="P2" s="67"/>
      <c r="Q2" s="67"/>
      <c r="R2" s="67"/>
      <c r="S2" s="67"/>
      <c r="T2" s="67"/>
      <c r="U2" s="67"/>
      <c r="V2" s="67"/>
      <c r="W2" s="67"/>
      <c r="X2" s="67"/>
      <c r="Y2" s="67"/>
      <c r="Z2" s="67"/>
    </row>
    <row r="3" spans="1:26" s="14" customFormat="1" ht="14.9" customHeight="1" x14ac:dyDescent="0.25">
      <c r="A3" s="67"/>
      <c r="O3" s="67"/>
      <c r="P3" s="67"/>
      <c r="Q3" s="67"/>
      <c r="R3" s="67"/>
      <c r="S3" s="67"/>
      <c r="T3" s="67"/>
      <c r="U3" s="67"/>
      <c r="V3" s="67"/>
      <c r="W3" s="67"/>
      <c r="X3" s="67"/>
      <c r="Y3" s="67"/>
      <c r="Z3" s="67"/>
    </row>
    <row r="4" spans="1:26" s="14" customFormat="1" ht="14.9" customHeight="1" x14ac:dyDescent="0.25">
      <c r="A4" s="67"/>
      <c r="O4" s="67"/>
      <c r="P4" s="67"/>
      <c r="Q4" s="67"/>
      <c r="R4" s="67"/>
      <c r="S4" s="67"/>
      <c r="T4" s="67"/>
      <c r="U4" s="67"/>
      <c r="V4" s="67"/>
      <c r="W4" s="67"/>
      <c r="X4" s="67"/>
      <c r="Y4" s="67"/>
      <c r="Z4" s="67"/>
    </row>
    <row r="5" spans="1:26" s="14" customFormat="1" ht="13.5" customHeight="1" x14ac:dyDescent="0.3">
      <c r="A5" s="67"/>
      <c r="N5" s="355" t="s">
        <v>1244</v>
      </c>
      <c r="O5" s="67"/>
      <c r="P5" s="67"/>
      <c r="Q5" s="67"/>
      <c r="R5" s="67"/>
      <c r="S5" s="67"/>
      <c r="T5" s="67"/>
      <c r="U5" s="67"/>
      <c r="V5" s="67"/>
      <c r="W5" s="67"/>
      <c r="X5" s="67"/>
      <c r="Y5" s="67"/>
      <c r="Z5" s="67"/>
    </row>
    <row r="6" spans="1:26" s="14" customFormat="1" ht="5.25" customHeight="1" x14ac:dyDescent="0.25">
      <c r="A6" s="67"/>
      <c r="O6" s="67"/>
      <c r="P6" s="67"/>
      <c r="Q6" s="67"/>
      <c r="R6" s="67"/>
      <c r="S6" s="67"/>
      <c r="T6" s="67"/>
      <c r="U6" s="67"/>
      <c r="V6" s="67"/>
      <c r="W6" s="67"/>
      <c r="X6" s="67"/>
      <c r="Y6" s="67"/>
      <c r="Z6" s="67"/>
    </row>
    <row r="7" spans="1:26" s="14" customFormat="1" ht="24" customHeight="1" x14ac:dyDescent="0.5">
      <c r="A7" s="67"/>
      <c r="B7" s="193" t="s">
        <v>1303</v>
      </c>
      <c r="O7" s="67"/>
      <c r="P7" s="67"/>
      <c r="Q7" s="67"/>
      <c r="R7" s="67"/>
      <c r="S7" s="67"/>
      <c r="T7" s="67"/>
      <c r="U7" s="67"/>
      <c r="V7" s="67"/>
      <c r="W7" s="67"/>
      <c r="X7" s="67"/>
      <c r="Y7" s="67"/>
      <c r="Z7" s="67"/>
    </row>
    <row r="8" spans="1:26" s="14" customFormat="1" ht="18" customHeight="1" x14ac:dyDescent="0.25">
      <c r="A8" s="67"/>
      <c r="B8" s="44" t="str">
        <f>'Title Sheet'!B9</f>
        <v>April 2021 to March 2022, finalised data</v>
      </c>
      <c r="O8" s="67"/>
      <c r="P8" s="67"/>
      <c r="Q8" s="67"/>
      <c r="R8" s="67"/>
      <c r="S8" s="67"/>
      <c r="T8" s="67"/>
      <c r="U8" s="67"/>
      <c r="V8" s="67"/>
      <c r="W8" s="67"/>
      <c r="X8" s="67"/>
      <c r="Y8" s="67"/>
      <c r="Z8" s="67"/>
    </row>
    <row r="9" spans="1:26" s="102" customFormat="1" ht="15" customHeight="1" x14ac:dyDescent="0.35">
      <c r="B9" s="436"/>
      <c r="C9" s="429"/>
      <c r="D9" s="429"/>
      <c r="E9" s="429"/>
      <c r="F9" s="429"/>
      <c r="G9" s="429"/>
      <c r="H9" s="429"/>
      <c r="I9" s="429"/>
      <c r="J9" s="429"/>
      <c r="K9" s="429"/>
      <c r="L9" s="429"/>
    </row>
    <row r="10" spans="1:26" s="102" customFormat="1" ht="48.75" customHeight="1" x14ac:dyDescent="0.35">
      <c r="B10" s="489" t="s">
        <v>1304</v>
      </c>
      <c r="C10" s="429"/>
      <c r="D10" s="429"/>
      <c r="E10" s="429"/>
      <c r="F10" s="429"/>
      <c r="G10" s="429"/>
      <c r="H10" s="429"/>
      <c r="I10" s="429"/>
      <c r="J10" s="429"/>
      <c r="K10" s="429"/>
      <c r="L10" s="429"/>
    </row>
    <row r="11" spans="1:26" s="102" customFormat="1" ht="15.75" customHeight="1" thickBot="1" x14ac:dyDescent="0.4">
      <c r="B11" s="436"/>
      <c r="C11" s="429"/>
      <c r="D11" s="429"/>
      <c r="E11" s="429"/>
      <c r="F11" s="429"/>
      <c r="G11" s="429"/>
      <c r="H11" s="429"/>
      <c r="I11" s="429"/>
      <c r="J11" s="429"/>
      <c r="K11" s="429"/>
      <c r="L11" s="429"/>
    </row>
    <row r="12" spans="1:26" ht="25.5" customHeight="1" thickBot="1" x14ac:dyDescent="0.3">
      <c r="A12" s="67"/>
      <c r="B12" s="492" t="s">
        <v>735</v>
      </c>
      <c r="C12" s="475"/>
      <c r="D12" s="151"/>
      <c r="E12" s="494" t="s">
        <v>738</v>
      </c>
      <c r="F12" s="477"/>
      <c r="G12" s="478"/>
      <c r="H12" s="153"/>
      <c r="I12" s="67"/>
      <c r="J12" s="67"/>
      <c r="K12" s="67"/>
      <c r="L12" s="150"/>
      <c r="M12" s="150"/>
      <c r="N12" s="150"/>
    </row>
    <row r="13" spans="1:26" ht="25.5" customHeight="1" thickBot="1" x14ac:dyDescent="0.3">
      <c r="A13" s="67"/>
      <c r="B13" s="493" t="s">
        <v>749</v>
      </c>
      <c r="C13" s="454"/>
      <c r="D13" s="152"/>
      <c r="E13" s="495" t="s">
        <v>964</v>
      </c>
      <c r="F13" s="481"/>
      <c r="G13" s="454"/>
      <c r="H13" s="153"/>
      <c r="I13" s="67"/>
      <c r="J13" s="67"/>
      <c r="K13" s="67"/>
      <c r="L13" s="150"/>
      <c r="M13" s="150"/>
      <c r="N13" s="150"/>
    </row>
    <row r="14" spans="1:26" s="14" customFormat="1" ht="15.75" customHeight="1" x14ac:dyDescent="0.25">
      <c r="A14" s="67"/>
      <c r="B14" s="38"/>
      <c r="C14" s="38"/>
      <c r="D14" s="38"/>
      <c r="I14" s="67"/>
      <c r="J14" s="67"/>
      <c r="K14" s="67"/>
      <c r="L14" s="67"/>
      <c r="M14" s="67"/>
      <c r="N14" s="67"/>
      <c r="O14" s="67"/>
      <c r="P14" s="67"/>
      <c r="Q14" s="67"/>
      <c r="R14" s="67"/>
      <c r="S14" s="67"/>
      <c r="T14" s="67"/>
      <c r="U14" s="67"/>
      <c r="V14" s="67"/>
      <c r="W14" s="67"/>
      <c r="X14" s="67"/>
      <c r="Y14" s="67"/>
      <c r="Z14" s="67"/>
    </row>
    <row r="15" spans="1:26" s="39" customFormat="1" ht="75" customHeight="1" x14ac:dyDescent="0.25">
      <c r="A15" s="149"/>
      <c r="B15" s="291" t="s">
        <v>1281</v>
      </c>
      <c r="C15" s="490" t="s">
        <v>1282</v>
      </c>
      <c r="D15" s="483"/>
      <c r="E15" s="292" t="s">
        <v>1131</v>
      </c>
      <c r="F15" s="292" t="s">
        <v>740</v>
      </c>
      <c r="G15" s="292" t="s">
        <v>741</v>
      </c>
      <c r="H15" s="292" t="s">
        <v>742</v>
      </c>
      <c r="I15" s="292" t="s">
        <v>743</v>
      </c>
      <c r="J15" s="292" t="s">
        <v>1186</v>
      </c>
      <c r="K15" s="292" t="s">
        <v>1187</v>
      </c>
      <c r="L15" s="292" t="s">
        <v>1188</v>
      </c>
      <c r="M15" s="293" t="s">
        <v>1189</v>
      </c>
      <c r="N15" s="294" t="s">
        <v>1283</v>
      </c>
      <c r="O15" s="149"/>
      <c r="P15" s="149"/>
      <c r="Q15" s="149"/>
      <c r="R15" s="149"/>
      <c r="S15" s="149"/>
      <c r="T15" s="149"/>
      <c r="U15" s="149"/>
      <c r="V15" s="149"/>
      <c r="W15" s="149"/>
      <c r="X15" s="149"/>
      <c r="Y15" s="149"/>
      <c r="Z15" s="149"/>
    </row>
    <row r="16" spans="1:26" s="14" customFormat="1" ht="41.25" customHeight="1" x14ac:dyDescent="0.25">
      <c r="A16" s="67"/>
      <c r="B16" s="62" t="s">
        <v>122</v>
      </c>
      <c r="C16" s="491" t="s">
        <v>123</v>
      </c>
      <c r="D16" s="418"/>
      <c r="E16" s="63">
        <f ca="1">'Provider Commission - Lookup'!D8</f>
        <v>14995</v>
      </c>
      <c r="F16" s="64">
        <f ca="1">'Provider Commission - Lookup'!E8</f>
        <v>17.084299999999999</v>
      </c>
      <c r="G16" s="64">
        <f ca="1">'Provider Commission - Lookup'!F8</f>
        <v>39.931699999999999</v>
      </c>
      <c r="H16" s="64">
        <f ca="1">'Provider Commission - Lookup'!G8</f>
        <v>22.8474</v>
      </c>
      <c r="I16" s="63" t="str">
        <f ca="1">'Provider Commission - Lookup'!H8</f>
        <v>14,589
 (97.3%)</v>
      </c>
      <c r="J16" s="63" t="str">
        <f ca="1">'Provider Commission - Lookup'!I8</f>
        <v>65
 (0.4%)</v>
      </c>
      <c r="K16" s="63" t="str">
        <f ca="1">'Provider Commission - Lookup'!J8</f>
        <v>341
 (2.3%)</v>
      </c>
      <c r="L16" s="64">
        <f ca="1">'Provider Commission - Lookup'!K8</f>
        <v>39.931699999999999</v>
      </c>
      <c r="M16" s="64">
        <f ca="1">'Provider Commission - Lookup'!L8</f>
        <v>22.8474</v>
      </c>
      <c r="N16" s="64">
        <f ca="1">'Provider Commission - Lookup'!M8</f>
        <v>8.15029</v>
      </c>
      <c r="O16" s="67"/>
      <c r="P16" s="67"/>
      <c r="Q16" s="67"/>
      <c r="R16" s="67"/>
      <c r="S16" s="67"/>
      <c r="T16" s="67"/>
      <c r="U16" s="67"/>
      <c r="V16" s="67"/>
      <c r="W16" s="67"/>
      <c r="X16" s="67"/>
      <c r="Y16" s="67"/>
      <c r="Z16" s="67"/>
    </row>
    <row r="17" spans="1:26" s="14" customFormat="1" ht="45" customHeight="1" x14ac:dyDescent="0.25">
      <c r="A17" s="67"/>
      <c r="B17" s="194" t="s">
        <v>965</v>
      </c>
      <c r="C17" s="487" t="s">
        <v>475</v>
      </c>
      <c r="D17" s="488"/>
      <c r="E17" s="63">
        <f ca="1">'Provider Commission - Lookup'!D9</f>
        <v>58</v>
      </c>
      <c r="F17" s="64">
        <f ca="1">'Provider Commission - Lookup'!E9</f>
        <v>18.741399999999999</v>
      </c>
      <c r="G17" s="64">
        <f ca="1">'Provider Commission - Lookup'!F9</f>
        <v>42.051699999999997</v>
      </c>
      <c r="H17" s="64">
        <f ca="1">'Provider Commission - Lookup'!G9</f>
        <v>23.310300000000002</v>
      </c>
      <c r="I17" s="63" t="str">
        <f ca="1">'Provider Commission - Lookup'!H9</f>
        <v>57
 (98.3%)</v>
      </c>
      <c r="J17" s="63" t="str">
        <f ca="1">'Provider Commission - Lookup'!I9</f>
        <v>0
(0.0%)</v>
      </c>
      <c r="K17" s="63" t="str">
        <f ca="1">'Provider Commission - Lookup'!J9</f>
        <v xml:space="preserve"> 1
 (1.7%)</v>
      </c>
      <c r="L17" s="64">
        <f ca="1">'Provider Commission - Lookup'!K9</f>
        <v>40.565899999999999</v>
      </c>
      <c r="M17" s="64">
        <f ca="1">'Provider Commission - Lookup'!L9</f>
        <v>23.4816</v>
      </c>
      <c r="N17" s="64">
        <f ca="1">'Provider Commission - Lookup'!M9</f>
        <v>7.32498</v>
      </c>
      <c r="O17" s="67"/>
      <c r="P17" s="67"/>
      <c r="Q17" s="67"/>
      <c r="R17" s="67"/>
      <c r="S17" s="67"/>
      <c r="T17" s="67"/>
      <c r="U17" s="67"/>
      <c r="V17" s="67"/>
      <c r="W17" s="67"/>
      <c r="X17" s="67"/>
      <c r="Y17" s="67"/>
      <c r="Z17" s="67"/>
    </row>
    <row r="18" spans="1:26" s="14" customFormat="1" ht="45" customHeight="1" x14ac:dyDescent="0.25">
      <c r="A18" s="67"/>
      <c r="B18" s="194" t="s">
        <v>1021</v>
      </c>
      <c r="C18" s="487" t="s">
        <v>756</v>
      </c>
      <c r="D18" s="488"/>
      <c r="E18" s="63">
        <f ca="1">'Provider Commission - Lookup'!D10</f>
        <v>369</v>
      </c>
      <c r="F18" s="64">
        <f ca="1">'Provider Commission - Lookup'!E10</f>
        <v>17.216799999999999</v>
      </c>
      <c r="G18" s="64">
        <f ca="1">'Provider Commission - Lookup'!F10</f>
        <v>40.374000000000002</v>
      </c>
      <c r="H18" s="64">
        <f ca="1">'Provider Commission - Lookup'!G10</f>
        <v>23.1572</v>
      </c>
      <c r="I18" s="63" t="str">
        <f ca="1">'Provider Commission - Lookup'!H10</f>
        <v>365
 (98.9%)</v>
      </c>
      <c r="J18" s="63" t="str">
        <f ca="1">'Provider Commission - Lookup'!I10</f>
        <v xml:space="preserve"> 1
 (0.3%)</v>
      </c>
      <c r="K18" s="63" t="str">
        <f ca="1">'Provider Commission - Lookup'!J10</f>
        <v xml:space="preserve"> 3
 (0.8%)</v>
      </c>
      <c r="L18" s="64">
        <f ca="1">'Provider Commission - Lookup'!K10</f>
        <v>40.384799999999998</v>
      </c>
      <c r="M18" s="64">
        <f ca="1">'Provider Commission - Lookup'!L10</f>
        <v>23.3005</v>
      </c>
      <c r="N18" s="64">
        <f ca="1">'Provider Commission - Lookup'!M10</f>
        <v>7.5527300000000004</v>
      </c>
      <c r="O18" s="67"/>
      <c r="P18" s="67"/>
      <c r="Q18" s="67"/>
      <c r="R18" s="67"/>
      <c r="S18" s="67"/>
      <c r="T18" s="67"/>
      <c r="U18" s="67"/>
      <c r="V18" s="67"/>
      <c r="W18" s="67"/>
      <c r="X18" s="67"/>
      <c r="Y18" s="67"/>
      <c r="Z18" s="67"/>
    </row>
    <row r="19" spans="1:26" s="14" customFormat="1" ht="45" customHeight="1" x14ac:dyDescent="0.25">
      <c r="A19" s="67"/>
      <c r="B19" s="194" t="s">
        <v>965</v>
      </c>
      <c r="C19" s="487" t="s">
        <v>641</v>
      </c>
      <c r="D19" s="488"/>
      <c r="E19" s="63">
        <f ca="1">'Provider Commission - Lookup'!D11</f>
        <v>26</v>
      </c>
      <c r="F19" s="64">
        <f ca="1">'Provider Commission - Lookup'!E11</f>
        <v>11.538500000000001</v>
      </c>
      <c r="G19" s="64">
        <f ca="1">'Provider Commission - Lookup'!F11</f>
        <v>35.384599999999999</v>
      </c>
      <c r="H19" s="64">
        <f ca="1">'Provider Commission - Lookup'!G11</f>
        <v>23.8462</v>
      </c>
      <c r="I19" s="63" t="str">
        <f ca="1">'Provider Commission - Lookup'!H11</f>
        <v>26
 (100.0%)</v>
      </c>
      <c r="J19" s="63" t="str">
        <f ca="1">'Provider Commission - Lookup'!I11</f>
        <v>0
(0.0%)</v>
      </c>
      <c r="K19" s="63" t="str">
        <f ca="1">'Provider Commission - Lookup'!J11</f>
        <v>0
(0.0%)</v>
      </c>
      <c r="L19" s="64" t="str">
        <f ca="1">'Provider Commission - Lookup'!K11</f>
        <v>*</v>
      </c>
      <c r="M19" s="64" t="str">
        <f ca="1">'Provider Commission - Lookup'!L11</f>
        <v>*</v>
      </c>
      <c r="N19" s="64" t="str">
        <f ca="1">'Provider Commission - Lookup'!M11</f>
        <v>*</v>
      </c>
      <c r="O19" s="67"/>
      <c r="P19" s="67"/>
      <c r="Q19" s="67"/>
      <c r="R19" s="67"/>
      <c r="S19" s="67"/>
      <c r="T19" s="67"/>
      <c r="U19" s="67"/>
      <c r="V19" s="67"/>
      <c r="W19" s="67"/>
      <c r="X19" s="67"/>
      <c r="Y19" s="67"/>
      <c r="Z19" s="67"/>
    </row>
    <row r="20" spans="1:26" s="14" customFormat="1" ht="45" customHeight="1" x14ac:dyDescent="0.25">
      <c r="A20" s="67"/>
      <c r="B20" s="194" t="s">
        <v>1021</v>
      </c>
      <c r="C20" s="487" t="s">
        <v>768</v>
      </c>
      <c r="D20" s="488"/>
      <c r="E20" s="63">
        <f ca="1">'Provider Commission - Lookup'!D12</f>
        <v>229</v>
      </c>
      <c r="F20" s="64">
        <f ca="1">'Provider Commission - Lookup'!E12</f>
        <v>14.69</v>
      </c>
      <c r="G20" s="64">
        <f ca="1">'Provider Commission - Lookup'!F12</f>
        <v>38.869</v>
      </c>
      <c r="H20" s="64">
        <f ca="1">'Provider Commission - Lookup'!G12</f>
        <v>24.178999999999998</v>
      </c>
      <c r="I20" s="63" t="str">
        <f ca="1">'Provider Commission - Lookup'!H12</f>
        <v>224
 (97.8%)</v>
      </c>
      <c r="J20" s="63" t="str">
        <f ca="1">'Provider Commission - Lookup'!I12</f>
        <v xml:space="preserve"> 2
 (0.9%)</v>
      </c>
      <c r="K20" s="63" t="str">
        <f ca="1">'Provider Commission - Lookup'!J12</f>
        <v xml:space="preserve"> 3
 (1.3%)</v>
      </c>
      <c r="L20" s="64">
        <f ca="1">'Provider Commission - Lookup'!K12</f>
        <v>39.953600000000002</v>
      </c>
      <c r="M20" s="64">
        <f ca="1">'Provider Commission - Lookup'!L12</f>
        <v>22.869299999999999</v>
      </c>
      <c r="N20" s="64">
        <f ca="1">'Provider Commission - Lookup'!M12</f>
        <v>8.3904899999999998</v>
      </c>
      <c r="O20" s="67"/>
      <c r="P20" s="67"/>
      <c r="Q20" s="67"/>
      <c r="R20" s="67"/>
      <c r="S20" s="67"/>
      <c r="T20" s="67"/>
      <c r="U20" s="67"/>
      <c r="V20" s="67"/>
      <c r="W20" s="67"/>
      <c r="X20" s="67"/>
      <c r="Y20" s="67"/>
      <c r="Z20" s="67"/>
    </row>
    <row r="21" spans="1:26" s="14" customFormat="1" ht="45" customHeight="1" x14ac:dyDescent="0.25">
      <c r="A21" s="67"/>
      <c r="B21" s="194" t="s">
        <v>965</v>
      </c>
      <c r="C21" s="487" t="s">
        <v>275</v>
      </c>
      <c r="D21" s="488"/>
      <c r="E21" s="63">
        <f ca="1">'Provider Commission - Lookup'!D13</f>
        <v>5</v>
      </c>
      <c r="F21" s="64">
        <f ca="1">'Provider Commission - Lookup'!E13</f>
        <v>15.2</v>
      </c>
      <c r="G21" s="64">
        <f ca="1">'Provider Commission - Lookup'!F13</f>
        <v>34.4</v>
      </c>
      <c r="H21" s="64">
        <f ca="1">'Provider Commission - Lookup'!G13</f>
        <v>19.2</v>
      </c>
      <c r="I21" s="63" t="str">
        <f ca="1">'Provider Commission - Lookup'!H13</f>
        <v xml:space="preserve"> 5
 (100.0%)</v>
      </c>
      <c r="J21" s="63" t="str">
        <f ca="1">'Provider Commission - Lookup'!I13</f>
        <v>0
(0.0%)</v>
      </c>
      <c r="K21" s="63" t="str">
        <f ca="1">'Provider Commission - Lookup'!J13</f>
        <v>0
(0.0%)</v>
      </c>
      <c r="L21" s="64" t="str">
        <f ca="1">'Provider Commission - Lookup'!K13</f>
        <v>*</v>
      </c>
      <c r="M21" s="64" t="str">
        <f ca="1">'Provider Commission - Lookup'!L13</f>
        <v>*</v>
      </c>
      <c r="N21" s="64" t="str">
        <f ca="1">'Provider Commission - Lookup'!M13</f>
        <v>*</v>
      </c>
      <c r="O21" s="67"/>
      <c r="P21" s="67"/>
      <c r="Q21" s="67"/>
      <c r="R21" s="67"/>
      <c r="S21" s="67"/>
      <c r="T21" s="67"/>
      <c r="U21" s="67"/>
      <c r="V21" s="67"/>
      <c r="W21" s="67"/>
      <c r="X21" s="67"/>
      <c r="Y21" s="67"/>
      <c r="Z21" s="67"/>
    </row>
    <row r="22" spans="1:26" s="14" customFormat="1" ht="45" customHeight="1" x14ac:dyDescent="0.25">
      <c r="A22" s="67"/>
      <c r="B22" s="194" t="s">
        <v>1021</v>
      </c>
      <c r="C22" s="487" t="s">
        <v>860</v>
      </c>
      <c r="D22" s="488"/>
      <c r="E22" s="63">
        <f ca="1">'Provider Commission - Lookup'!D14</f>
        <v>33</v>
      </c>
      <c r="F22" s="64">
        <f ca="1">'Provider Commission - Lookup'!E14</f>
        <v>16.090900000000001</v>
      </c>
      <c r="G22" s="64">
        <f ca="1">'Provider Commission - Lookup'!F14</f>
        <v>41.393900000000002</v>
      </c>
      <c r="H22" s="64">
        <f ca="1">'Provider Commission - Lookup'!G14</f>
        <v>25.303000000000001</v>
      </c>
      <c r="I22" s="63" t="str">
        <f ca="1">'Provider Commission - Lookup'!H14</f>
        <v>33
 (100.0%)</v>
      </c>
      <c r="J22" s="63" t="str">
        <f ca="1">'Provider Commission - Lookup'!I14</f>
        <v>0
(0.0%)</v>
      </c>
      <c r="K22" s="63" t="str">
        <f ca="1">'Provider Commission - Lookup'!J14</f>
        <v>0
(0.0%)</v>
      </c>
      <c r="L22" s="64">
        <f ca="1">'Provider Commission - Lookup'!K14</f>
        <v>40.733400000000003</v>
      </c>
      <c r="M22" s="64">
        <f ca="1">'Provider Commission - Lookup'!L14</f>
        <v>23.649100000000001</v>
      </c>
      <c r="N22" s="64">
        <f ca="1">'Provider Commission - Lookup'!M14</f>
        <v>7.6908799999999999</v>
      </c>
      <c r="O22" s="67"/>
      <c r="P22" s="67"/>
      <c r="Q22" s="67"/>
      <c r="R22" s="67"/>
      <c r="S22" s="67"/>
      <c r="T22" s="67"/>
      <c r="U22" s="67"/>
      <c r="V22" s="67"/>
      <c r="W22" s="67"/>
      <c r="X22" s="67"/>
      <c r="Y22" s="67"/>
      <c r="Z22" s="67"/>
    </row>
    <row r="23" spans="1:26" s="14" customFormat="1" ht="45" customHeight="1" x14ac:dyDescent="0.25">
      <c r="A23" s="67"/>
      <c r="B23" s="194" t="s">
        <v>965</v>
      </c>
      <c r="C23" s="487" t="s">
        <v>303</v>
      </c>
      <c r="D23" s="488"/>
      <c r="E23" s="63">
        <f ca="1">'Provider Commission - Lookup'!D15</f>
        <v>2</v>
      </c>
      <c r="F23" s="64">
        <f ca="1">'Provider Commission - Lookup'!E15</f>
        <v>23.5</v>
      </c>
      <c r="G23" s="64">
        <f ca="1">'Provider Commission - Lookup'!F15</f>
        <v>46.5</v>
      </c>
      <c r="H23" s="64">
        <f ca="1">'Provider Commission - Lookup'!G15</f>
        <v>23</v>
      </c>
      <c r="I23" s="63" t="str">
        <f ca="1">'Provider Commission - Lookup'!H15</f>
        <v xml:space="preserve"> 2
 (100.0%)</v>
      </c>
      <c r="J23" s="63" t="str">
        <f ca="1">'Provider Commission - Lookup'!I15</f>
        <v>0
(0.0%)</v>
      </c>
      <c r="K23" s="63" t="str">
        <f ca="1">'Provider Commission - Lookup'!J15</f>
        <v>0
(0.0%)</v>
      </c>
      <c r="L23" s="64" t="str">
        <f ca="1">'Provider Commission - Lookup'!K15</f>
        <v>*</v>
      </c>
      <c r="M23" s="64" t="str">
        <f ca="1">'Provider Commission - Lookup'!L15</f>
        <v>*</v>
      </c>
      <c r="N23" s="64" t="str">
        <f ca="1">'Provider Commission - Lookup'!M15</f>
        <v>*</v>
      </c>
      <c r="O23" s="67"/>
      <c r="P23" s="67"/>
      <c r="Q23" s="67"/>
      <c r="R23" s="67"/>
      <c r="S23" s="67"/>
      <c r="T23" s="67"/>
      <c r="U23" s="67"/>
      <c r="V23" s="67"/>
      <c r="W23" s="67"/>
      <c r="X23" s="67"/>
      <c r="Y23" s="67"/>
      <c r="Z23" s="67"/>
    </row>
    <row r="24" spans="1:26" s="14" customFormat="1" ht="45" customHeight="1" x14ac:dyDescent="0.25">
      <c r="A24" s="67"/>
      <c r="B24" s="194" t="s">
        <v>1021</v>
      </c>
      <c r="C24" s="487" t="s">
        <v>846</v>
      </c>
      <c r="D24" s="488"/>
      <c r="E24" s="63">
        <f ca="1">'Provider Commission - Lookup'!D16</f>
        <v>506</v>
      </c>
      <c r="F24" s="64">
        <f ca="1">'Provider Commission - Lookup'!E16</f>
        <v>17.715399999999999</v>
      </c>
      <c r="G24" s="64">
        <f ca="1">'Provider Commission - Lookup'!F16</f>
        <v>40.7806</v>
      </c>
      <c r="H24" s="64">
        <f ca="1">'Provider Commission - Lookup'!G16</f>
        <v>23.065200000000001</v>
      </c>
      <c r="I24" s="63" t="str">
        <f ca="1">'Provider Commission - Lookup'!H16</f>
        <v>498
 (98.4%)</v>
      </c>
      <c r="J24" s="63" t="str">
        <f ca="1">'Provider Commission - Lookup'!I16</f>
        <v xml:space="preserve"> 3
 (0.6%)</v>
      </c>
      <c r="K24" s="63" t="str">
        <f ca="1">'Provider Commission - Lookup'!J16</f>
        <v xml:space="preserve"> 5
 (1.0%)</v>
      </c>
      <c r="L24" s="64">
        <f ca="1">'Provider Commission - Lookup'!K16</f>
        <v>40.443300000000001</v>
      </c>
      <c r="M24" s="64">
        <f ca="1">'Provider Commission - Lookup'!L16</f>
        <v>23.359000000000002</v>
      </c>
      <c r="N24" s="64">
        <f ca="1">'Provider Commission - Lookup'!M16</f>
        <v>7.34701</v>
      </c>
      <c r="O24" s="67"/>
      <c r="P24" s="67"/>
      <c r="Q24" s="67"/>
      <c r="R24" s="67"/>
      <c r="S24" s="67"/>
      <c r="T24" s="67"/>
      <c r="U24" s="67"/>
      <c r="V24" s="67"/>
      <c r="W24" s="67"/>
      <c r="X24" s="67"/>
      <c r="Y24" s="67"/>
      <c r="Z24" s="67"/>
    </row>
    <row r="25" spans="1:26" s="14" customFormat="1" ht="45" customHeight="1" x14ac:dyDescent="0.25">
      <c r="A25" s="67"/>
      <c r="B25" s="194" t="s">
        <v>965</v>
      </c>
      <c r="C25" s="487" t="s">
        <v>385</v>
      </c>
      <c r="D25" s="488"/>
      <c r="E25" s="63">
        <f ca="1">'Provider Commission - Lookup'!D17</f>
        <v>3</v>
      </c>
      <c r="F25" s="64">
        <f ca="1">'Provider Commission - Lookup'!E17</f>
        <v>15</v>
      </c>
      <c r="G25" s="64">
        <f ca="1">'Provider Commission - Lookup'!F17</f>
        <v>47</v>
      </c>
      <c r="H25" s="64">
        <f ca="1">'Provider Commission - Lookup'!G17</f>
        <v>32</v>
      </c>
      <c r="I25" s="63" t="str">
        <f ca="1">'Provider Commission - Lookup'!H17</f>
        <v xml:space="preserve"> 3
 (100.0%)</v>
      </c>
      <c r="J25" s="63" t="str">
        <f ca="1">'Provider Commission - Lookup'!I17</f>
        <v>0
(0.0%)</v>
      </c>
      <c r="K25" s="63" t="str">
        <f ca="1">'Provider Commission - Lookup'!J17</f>
        <v>0
(0.0%)</v>
      </c>
      <c r="L25" s="64" t="str">
        <f ca="1">'Provider Commission - Lookup'!K17</f>
        <v>*</v>
      </c>
      <c r="M25" s="64" t="str">
        <f ca="1">'Provider Commission - Lookup'!L17</f>
        <v>*</v>
      </c>
      <c r="N25" s="64" t="str">
        <f ca="1">'Provider Commission - Lookup'!M17</f>
        <v>*</v>
      </c>
      <c r="O25" s="67"/>
      <c r="P25" s="67"/>
      <c r="Q25" s="67"/>
      <c r="R25" s="67"/>
      <c r="S25" s="67"/>
      <c r="T25" s="67"/>
      <c r="U25" s="67"/>
      <c r="V25" s="67"/>
      <c r="W25" s="67"/>
      <c r="X25" s="67"/>
      <c r="Y25" s="67"/>
      <c r="Z25" s="67"/>
    </row>
    <row r="26" spans="1:26" s="14" customFormat="1" ht="45" customHeight="1" x14ac:dyDescent="0.25">
      <c r="A26" s="67"/>
      <c r="B26" s="194" t="s">
        <v>1021</v>
      </c>
      <c r="C26" s="487" t="s">
        <v>892</v>
      </c>
      <c r="D26" s="488"/>
      <c r="E26" s="63">
        <f ca="1">'Provider Commission - Lookup'!D18</f>
        <v>175</v>
      </c>
      <c r="F26" s="64">
        <f ca="1">'Provider Commission - Lookup'!E18</f>
        <v>14.948600000000001</v>
      </c>
      <c r="G26" s="64">
        <f ca="1">'Provider Commission - Lookup'!F18</f>
        <v>40.102899999999998</v>
      </c>
      <c r="H26" s="64">
        <f ca="1">'Provider Commission - Lookup'!G18</f>
        <v>25.154299999999999</v>
      </c>
      <c r="I26" s="63" t="str">
        <f ca="1">'Provider Commission - Lookup'!H18</f>
        <v>174
 (99.4%)</v>
      </c>
      <c r="J26" s="63" t="str">
        <f ca="1">'Provider Commission - Lookup'!I18</f>
        <v>0
(0.0%)</v>
      </c>
      <c r="K26" s="63" t="str">
        <f ca="1">'Provider Commission - Lookup'!J18</f>
        <v xml:space="preserve"> 1
 (0.6%)</v>
      </c>
      <c r="L26" s="64">
        <f ca="1">'Provider Commission - Lookup'!K18</f>
        <v>40.924199999999999</v>
      </c>
      <c r="M26" s="64">
        <f ca="1">'Provider Commission - Lookup'!L18</f>
        <v>23.8399</v>
      </c>
      <c r="N26" s="64">
        <f ca="1">'Provider Commission - Lookup'!M18</f>
        <v>8.0659899999999993</v>
      </c>
      <c r="O26" s="67"/>
      <c r="P26" s="67"/>
      <c r="Q26" s="67"/>
      <c r="R26" s="67"/>
      <c r="S26" s="67"/>
      <c r="T26" s="67"/>
      <c r="U26" s="67"/>
      <c r="V26" s="67"/>
      <c r="W26" s="67"/>
      <c r="X26" s="67"/>
      <c r="Y26" s="67"/>
      <c r="Z26" s="67"/>
    </row>
    <row r="27" spans="1:26" s="14" customFormat="1" ht="15.75" customHeight="1" x14ac:dyDescent="0.25">
      <c r="A27" s="67"/>
      <c r="O27" s="67"/>
      <c r="P27" s="67"/>
      <c r="Q27" s="67"/>
      <c r="R27" s="67"/>
      <c r="S27" s="67"/>
      <c r="T27" s="67"/>
      <c r="U27" s="67"/>
      <c r="V27" s="67"/>
      <c r="W27" s="67"/>
      <c r="X27" s="67"/>
      <c r="Y27" s="67"/>
      <c r="Z27" s="67"/>
    </row>
    <row r="28" spans="1:26" s="14" customFormat="1" x14ac:dyDescent="0.25">
      <c r="A28" s="67"/>
      <c r="B28" s="42"/>
      <c r="O28" s="67"/>
      <c r="P28" s="67"/>
      <c r="Q28" s="67"/>
      <c r="R28" s="67"/>
      <c r="S28" s="67"/>
      <c r="T28" s="67"/>
      <c r="U28" s="67"/>
      <c r="V28" s="67"/>
      <c r="W28" s="67"/>
      <c r="X28" s="67"/>
      <c r="Y28" s="67"/>
      <c r="Z28" s="67"/>
    </row>
    <row r="29" spans="1:26" s="14" customFormat="1" ht="15" customHeight="1" thickBot="1" x14ac:dyDescent="0.3">
      <c r="A29" s="67"/>
      <c r="B29" s="430" t="s">
        <v>1257</v>
      </c>
      <c r="C29" s="431"/>
      <c r="D29" s="431"/>
      <c r="E29" s="431"/>
      <c r="F29" s="431"/>
      <c r="G29" s="431"/>
      <c r="H29" s="431"/>
      <c r="I29" s="431"/>
      <c r="J29" s="431"/>
      <c r="K29" s="431"/>
      <c r="O29" s="67"/>
      <c r="P29" s="67"/>
      <c r="Q29" s="67"/>
      <c r="R29" s="67"/>
      <c r="S29" s="67"/>
      <c r="T29" s="67"/>
      <c r="U29" s="67"/>
      <c r="V29" s="67"/>
      <c r="W29" s="67"/>
      <c r="X29" s="67"/>
      <c r="Y29" s="67"/>
      <c r="Z29" s="67"/>
    </row>
    <row r="30" spans="1:26" s="14" customFormat="1" x14ac:dyDescent="0.25">
      <c r="A30" s="67"/>
      <c r="O30" s="67"/>
      <c r="P30" s="67"/>
      <c r="Q30" s="67"/>
      <c r="R30" s="67"/>
      <c r="S30" s="67"/>
      <c r="T30" s="67"/>
      <c r="U30" s="67"/>
      <c r="V30" s="67"/>
      <c r="W30" s="67"/>
      <c r="X30" s="67"/>
      <c r="Y30" s="67"/>
      <c r="Z30" s="67"/>
    </row>
    <row r="31" spans="1:26" s="14" customFormat="1" x14ac:dyDescent="0.25">
      <c r="A31" s="67"/>
      <c r="O31" s="67"/>
      <c r="P31" s="67"/>
      <c r="Q31" s="67"/>
      <c r="R31" s="67"/>
      <c r="S31" s="67"/>
      <c r="T31" s="67"/>
      <c r="U31" s="67"/>
      <c r="V31" s="67"/>
      <c r="W31" s="67"/>
      <c r="X31" s="67"/>
      <c r="Y31" s="67"/>
      <c r="Z31" s="67"/>
    </row>
    <row r="32" spans="1:26" s="14" customFormat="1" x14ac:dyDescent="0.25">
      <c r="A32" s="67"/>
      <c r="O32" s="67"/>
      <c r="P32" s="67"/>
      <c r="Q32" s="67"/>
      <c r="R32" s="67"/>
      <c r="S32" s="67"/>
      <c r="T32" s="67"/>
      <c r="U32" s="67"/>
      <c r="V32" s="67"/>
      <c r="W32" s="67"/>
      <c r="X32" s="67"/>
      <c r="Y32" s="67"/>
      <c r="Z32" s="67"/>
    </row>
    <row r="33" spans="1:26" s="14" customFormat="1" x14ac:dyDescent="0.25">
      <c r="A33" s="67"/>
      <c r="O33" s="67"/>
      <c r="P33" s="67"/>
      <c r="Q33" s="67"/>
      <c r="R33" s="67"/>
      <c r="S33" s="67"/>
      <c r="T33" s="67"/>
      <c r="U33" s="67"/>
      <c r="V33" s="67"/>
      <c r="W33" s="67"/>
      <c r="X33" s="67"/>
      <c r="Y33" s="67"/>
      <c r="Z33" s="67"/>
    </row>
    <row r="34" spans="1:26" s="14" customFormat="1" x14ac:dyDescent="0.25">
      <c r="A34" s="67"/>
      <c r="O34" s="67"/>
      <c r="P34" s="67"/>
      <c r="Q34" s="67"/>
      <c r="R34" s="67"/>
      <c r="S34" s="67"/>
      <c r="T34" s="67"/>
      <c r="U34" s="67"/>
      <c r="V34" s="67"/>
      <c r="W34" s="67"/>
      <c r="X34" s="67"/>
      <c r="Y34" s="67"/>
      <c r="Z34" s="67"/>
    </row>
    <row r="35" spans="1:26" s="14" customFormat="1" x14ac:dyDescent="0.25">
      <c r="A35" s="67"/>
      <c r="O35" s="67"/>
      <c r="P35" s="67"/>
      <c r="Q35" s="67"/>
      <c r="R35" s="67"/>
      <c r="S35" s="67"/>
      <c r="T35" s="67"/>
      <c r="U35" s="67"/>
      <c r="V35" s="67"/>
      <c r="W35" s="67"/>
      <c r="X35" s="67"/>
      <c r="Y35" s="67"/>
      <c r="Z35" s="67"/>
    </row>
    <row r="36" spans="1:26" s="14" customFormat="1" x14ac:dyDescent="0.25">
      <c r="A36" s="67"/>
      <c r="O36" s="67"/>
      <c r="P36" s="67"/>
      <c r="Q36" s="67"/>
      <c r="R36" s="67"/>
      <c r="S36" s="67"/>
      <c r="T36" s="67"/>
      <c r="U36" s="67"/>
      <c r="V36" s="67"/>
      <c r="W36" s="67"/>
      <c r="X36" s="67"/>
      <c r="Y36" s="67"/>
      <c r="Z36" s="67"/>
    </row>
    <row r="37" spans="1:26" s="14" customFormat="1" x14ac:dyDescent="0.25">
      <c r="A37" s="67"/>
      <c r="O37" s="67"/>
      <c r="P37" s="67"/>
      <c r="Q37" s="67"/>
      <c r="R37" s="67"/>
      <c r="S37" s="67"/>
      <c r="T37" s="67"/>
      <c r="U37" s="67"/>
      <c r="V37" s="67"/>
      <c r="W37" s="67"/>
      <c r="X37" s="67"/>
      <c r="Y37" s="67"/>
      <c r="Z37" s="67"/>
    </row>
    <row r="38" spans="1:26" s="14" customFormat="1" x14ac:dyDescent="0.25">
      <c r="A38" s="67"/>
      <c r="O38" s="67"/>
      <c r="P38" s="67"/>
      <c r="Q38" s="67"/>
      <c r="R38" s="67"/>
      <c r="S38" s="67"/>
      <c r="T38" s="67"/>
      <c r="U38" s="67"/>
      <c r="V38" s="67"/>
      <c r="W38" s="67"/>
      <c r="X38" s="67"/>
      <c r="Y38" s="67"/>
      <c r="Z38" s="67"/>
    </row>
    <row r="39" spans="1:26" s="14" customFormat="1" x14ac:dyDescent="0.25">
      <c r="A39" s="67"/>
      <c r="O39" s="67"/>
      <c r="P39" s="67"/>
      <c r="Q39" s="67"/>
      <c r="R39" s="67"/>
      <c r="S39" s="67"/>
      <c r="T39" s="67"/>
      <c r="U39" s="67"/>
      <c r="V39" s="67"/>
      <c r="W39" s="67"/>
      <c r="X39" s="67"/>
      <c r="Y39" s="67"/>
      <c r="Z39" s="67"/>
    </row>
    <row r="40" spans="1:26" s="14" customFormat="1" x14ac:dyDescent="0.25">
      <c r="A40" s="67"/>
      <c r="O40" s="67"/>
      <c r="P40" s="67"/>
      <c r="Q40" s="67"/>
      <c r="R40" s="67"/>
      <c r="S40" s="67"/>
      <c r="T40" s="67"/>
      <c r="U40" s="67"/>
      <c r="V40" s="67"/>
      <c r="W40" s="67"/>
      <c r="X40" s="67"/>
      <c r="Y40" s="67"/>
      <c r="Z40" s="67"/>
    </row>
    <row r="41" spans="1:26" s="14" customFormat="1" x14ac:dyDescent="0.25">
      <c r="A41" s="67"/>
      <c r="O41" s="67"/>
      <c r="P41" s="67"/>
      <c r="Q41" s="67"/>
      <c r="R41" s="67"/>
      <c r="S41" s="67"/>
      <c r="T41" s="67"/>
      <c r="U41" s="67"/>
      <c r="V41" s="67"/>
      <c r="W41" s="67"/>
      <c r="X41" s="67"/>
      <c r="Y41" s="67"/>
      <c r="Z41" s="67"/>
    </row>
    <row r="42" spans="1:26" s="14" customFormat="1" x14ac:dyDescent="0.25">
      <c r="A42" s="67"/>
      <c r="O42" s="67"/>
      <c r="P42" s="67"/>
      <c r="Q42" s="67"/>
      <c r="R42" s="67"/>
      <c r="S42" s="67"/>
      <c r="T42" s="67"/>
      <c r="U42" s="67"/>
      <c r="V42" s="67"/>
      <c r="W42" s="67"/>
      <c r="X42" s="67"/>
      <c r="Y42" s="67"/>
      <c r="Z42" s="67"/>
    </row>
    <row r="43" spans="1:26" s="14" customFormat="1" x14ac:dyDescent="0.25">
      <c r="A43" s="67"/>
      <c r="O43" s="67"/>
      <c r="P43" s="67"/>
      <c r="Q43" s="67"/>
      <c r="R43" s="67"/>
      <c r="S43" s="67"/>
      <c r="T43" s="67"/>
      <c r="U43" s="67"/>
      <c r="V43" s="67"/>
      <c r="W43" s="67"/>
      <c r="X43" s="67"/>
      <c r="Y43" s="67"/>
      <c r="Z43" s="67"/>
    </row>
    <row r="44" spans="1:26" s="14" customFormat="1" x14ac:dyDescent="0.25">
      <c r="A44" s="67"/>
      <c r="O44" s="67"/>
      <c r="P44" s="67"/>
      <c r="Q44" s="67"/>
      <c r="R44" s="67"/>
      <c r="S44" s="67"/>
      <c r="T44" s="67"/>
      <c r="U44" s="67"/>
      <c r="V44" s="67"/>
      <c r="W44" s="67"/>
      <c r="X44" s="67"/>
      <c r="Y44" s="67"/>
      <c r="Z44" s="67"/>
    </row>
    <row r="45" spans="1:26" s="14" customFormat="1" x14ac:dyDescent="0.25">
      <c r="A45" s="67"/>
      <c r="O45" s="67"/>
      <c r="P45" s="67"/>
      <c r="Q45" s="67"/>
      <c r="R45" s="67"/>
      <c r="S45" s="67"/>
      <c r="T45" s="67"/>
      <c r="U45" s="67"/>
      <c r="V45" s="67"/>
      <c r="W45" s="67"/>
      <c r="X45" s="67"/>
      <c r="Y45" s="67"/>
      <c r="Z45" s="67"/>
    </row>
    <row r="46" spans="1:26" s="14" customFormat="1" x14ac:dyDescent="0.25">
      <c r="A46" s="67"/>
      <c r="O46" s="67"/>
      <c r="P46" s="67"/>
      <c r="Q46" s="67"/>
      <c r="R46" s="67"/>
      <c r="S46" s="67"/>
      <c r="T46" s="67"/>
      <c r="U46" s="67"/>
      <c r="V46" s="67"/>
      <c r="W46" s="67"/>
      <c r="X46" s="67"/>
      <c r="Y46" s="67"/>
      <c r="Z46" s="67"/>
    </row>
    <row r="47" spans="1:26" s="14" customFormat="1" x14ac:dyDescent="0.25">
      <c r="A47" s="67"/>
      <c r="O47" s="67"/>
      <c r="P47" s="67"/>
      <c r="Q47" s="67"/>
      <c r="R47" s="67"/>
      <c r="S47" s="67"/>
      <c r="T47" s="67"/>
      <c r="U47" s="67"/>
      <c r="V47" s="67"/>
      <c r="W47" s="67"/>
      <c r="X47" s="67"/>
      <c r="Y47" s="67"/>
      <c r="Z47" s="67"/>
    </row>
    <row r="48" spans="1:26" s="14" customFormat="1" x14ac:dyDescent="0.25">
      <c r="A48" s="67"/>
      <c r="O48" s="67"/>
      <c r="P48" s="67"/>
      <c r="Q48" s="67"/>
      <c r="R48" s="67"/>
      <c r="S48" s="67"/>
      <c r="T48" s="67"/>
      <c r="U48" s="67"/>
      <c r="V48" s="67"/>
      <c r="W48" s="67"/>
      <c r="X48" s="67"/>
      <c r="Y48" s="67"/>
      <c r="Z48" s="67"/>
    </row>
  </sheetData>
  <mergeCells count="20">
    <mergeCell ref="C17:D17"/>
    <mergeCell ref="C18:D18"/>
    <mergeCell ref="C19:D19"/>
    <mergeCell ref="C20:D20"/>
    <mergeCell ref="B9:L9"/>
    <mergeCell ref="B10:L10"/>
    <mergeCell ref="B11:L11"/>
    <mergeCell ref="C15:D15"/>
    <mergeCell ref="C16:D16"/>
    <mergeCell ref="B12:C12"/>
    <mergeCell ref="B13:C13"/>
    <mergeCell ref="E12:G12"/>
    <mergeCell ref="E13:G13"/>
    <mergeCell ref="C24:D24"/>
    <mergeCell ref="C21:D21"/>
    <mergeCell ref="C22:D22"/>
    <mergeCell ref="C23:D23"/>
    <mergeCell ref="B29:K29"/>
    <mergeCell ref="C25:D25"/>
    <mergeCell ref="C26:D26"/>
  </mergeCells>
  <conditionalFormatting sqref="B16:C26">
    <cfRule type="expression" dxfId="5" priority="1" stopIfTrue="1">
      <formula>IF($E16&lt;30,TRUE)</formula>
    </cfRule>
  </conditionalFormatting>
  <conditionalFormatting sqref="E16:N26">
    <cfRule type="expression" dxfId="4" priority="2" stopIfTrue="1">
      <formula>IF($E16&lt;30,TRUE)</formula>
    </cfRule>
  </conditionalFormatting>
  <dataValidations count="13">
    <dataValidation type="list" allowBlank="1" showInputMessage="1" showErrorMessage="1" sqref="B17:B26" xr:uid="{00000000-0002-0000-1000-000000000000}">
      <formula1>Funnel_Organisation_Level</formula1>
    </dataValidation>
    <dataValidation type="list" allowBlank="1" showInputMessage="1" showErrorMessage="1" sqref="C17" xr:uid="{00000000-0002-0000-1000-000001000000}">
      <formula1>Select10_OrgName01</formula1>
    </dataValidation>
    <dataValidation type="list" allowBlank="1" showInputMessage="1" showErrorMessage="1" sqref="C18:D18" xr:uid="{00000000-0002-0000-1000-000002000000}">
      <formula1>Select10_OrgName02</formula1>
    </dataValidation>
    <dataValidation type="list" allowBlank="1" showInputMessage="1" showErrorMessage="1" sqref="C19" xr:uid="{00000000-0002-0000-1000-000003000000}">
      <formula1>Select10_OrgName03</formula1>
    </dataValidation>
    <dataValidation type="list" allowBlank="1" showInputMessage="1" showErrorMessage="1" sqref="C20" xr:uid="{00000000-0002-0000-1000-000004000000}">
      <formula1>Select10_OrgName04</formula1>
    </dataValidation>
    <dataValidation type="list" allowBlank="1" showInputMessage="1" showErrorMessage="1" sqref="C21" xr:uid="{00000000-0002-0000-1000-000005000000}">
      <formula1>Select10_OrgName05</formula1>
    </dataValidation>
    <dataValidation type="list" allowBlank="1" showInputMessage="1" showErrorMessage="1" sqref="C22" xr:uid="{00000000-0002-0000-1000-000006000000}">
      <formula1>Select10_OrgName06</formula1>
    </dataValidation>
    <dataValidation type="list" allowBlank="1" showInputMessage="1" showErrorMessage="1" sqref="C23" xr:uid="{00000000-0002-0000-1000-000007000000}">
      <formula1>Select10_OrgName07</formula1>
    </dataValidation>
    <dataValidation type="list" allowBlank="1" showInputMessage="1" showErrorMessage="1" sqref="C24" xr:uid="{00000000-0002-0000-1000-000008000000}">
      <formula1>Select10_OrgName08</formula1>
    </dataValidation>
    <dataValidation type="list" allowBlank="1" showInputMessage="1" showErrorMessage="1" sqref="C25" xr:uid="{00000000-0002-0000-1000-000009000000}">
      <formula1>Select10_OrgName09</formula1>
    </dataValidation>
    <dataValidation type="list" allowBlank="1" showInputMessage="1" showErrorMessage="1" sqref="C26" xr:uid="{00000000-0002-0000-1000-00000A000000}">
      <formula1>Select10_OrgName10</formula1>
    </dataValidation>
    <dataValidation type="list" allowBlank="1" showInputMessage="1" showErrorMessage="1" sqref="B13:C13" xr:uid="{00000000-0002-0000-1000-00000B000000}">
      <formula1>Procedure_List</formula1>
    </dataValidation>
    <dataValidation type="list" allowBlank="1" showInputMessage="1" showErrorMessage="1" sqref="E13:G13" xr:uid="{00000000-0002-0000-1000-00000C000000}">
      <formula1>Select10_Score</formula1>
    </dataValidation>
  </dataValidations>
  <hyperlinks>
    <hyperlink ref="N5" location="'Title Sheet'!A16" display="Return to contents" xr:uid="{00000000-0004-0000-1000-000000000000}"/>
  </hyperlinks>
  <pageMargins left="0.35433070866141742" right="0.35433070866141742" top="0.39370078740157483" bottom="0.39370078740157483" header="0.11811023622047249" footer="0.11811023622047249"/>
  <pageSetup paperSize="9" scale="59" orientation="landscape"/>
  <rowBreaks count="1" manualBreakCount="1">
    <brk id="28" max="16383" man="1"/>
  </row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theme="7"/>
  </sheetPr>
  <dimension ref="A1:P415"/>
  <sheetViews>
    <sheetView showGridLines="0" zoomScale="85" zoomScaleNormal="85" zoomScaleSheetLayoutView="70" workbookViewId="0">
      <pane ySplit="5" topLeftCell="A6" activePane="bottomLeft" state="frozen"/>
      <selection activeCell="C13" sqref="C13"/>
      <selection pane="bottomLeft"/>
    </sheetView>
  </sheetViews>
  <sheetFormatPr defaultColWidth="9.1796875" defaultRowHeight="12.5" x14ac:dyDescent="0.25"/>
  <cols>
    <col min="1" max="1" width="3.81640625" style="303" customWidth="1"/>
    <col min="2" max="2" width="27.1796875" style="311" customWidth="1"/>
    <col min="3" max="3" width="2.81640625" style="311" customWidth="1"/>
    <col min="4" max="4" width="46.1796875" style="311" customWidth="1"/>
    <col min="5" max="5" width="2.81640625" style="311" customWidth="1"/>
    <col min="6" max="6" width="42.81640625" style="311" customWidth="1"/>
    <col min="7" max="7" width="2.81640625" style="311" customWidth="1"/>
    <col min="8" max="8" width="48.1796875" style="311" customWidth="1"/>
    <col min="9" max="12" width="16.453125" style="311" customWidth="1"/>
    <col min="13" max="14" width="19.1796875" style="311" customWidth="1"/>
    <col min="15" max="15" width="1.1796875" style="311" customWidth="1"/>
    <col min="16" max="21" width="9.1796875" style="311" customWidth="1"/>
    <col min="22" max="16384" width="9.1796875" style="311"/>
  </cols>
  <sheetData>
    <row r="1" spans="1:11" s="295" customFormat="1" ht="33" customHeight="1" x14ac:dyDescent="0.25">
      <c r="A1" s="306"/>
    </row>
    <row r="2" spans="1:11" s="295" customFormat="1" ht="14.25" customHeight="1" x14ac:dyDescent="0.25"/>
    <row r="3" spans="1:11" s="295" customFormat="1" ht="14.25" customHeight="1" x14ac:dyDescent="0.25"/>
    <row r="4" spans="1:11" s="295" customFormat="1" ht="14.25" customHeight="1" x14ac:dyDescent="0.25"/>
    <row r="5" spans="1:11" s="295" customFormat="1" ht="13.5" customHeight="1" x14ac:dyDescent="0.3">
      <c r="J5" s="355" t="s">
        <v>1244</v>
      </c>
    </row>
    <row r="6" spans="1:11" s="295" customFormat="1" ht="5.25" customHeight="1" x14ac:dyDescent="0.25">
      <c r="B6" s="303"/>
    </row>
    <row r="7" spans="1:11" s="297" customFormat="1" ht="24.75" customHeight="1" x14ac:dyDescent="0.5">
      <c r="B7" s="296" t="s">
        <v>1305</v>
      </c>
    </row>
    <row r="8" spans="1:11" s="301" customFormat="1" ht="9.75" customHeight="1" x14ac:dyDescent="0.35">
      <c r="B8" s="473"/>
      <c r="C8" s="473"/>
      <c r="D8" s="473"/>
      <c r="E8" s="473"/>
      <c r="F8" s="473"/>
      <c r="G8" s="473"/>
      <c r="H8" s="473"/>
      <c r="I8" s="473"/>
      <c r="J8" s="473"/>
    </row>
    <row r="9" spans="1:11" s="334" customFormat="1" ht="15" customHeight="1" x14ac:dyDescent="0.25">
      <c r="B9" s="467" t="s">
        <v>1306</v>
      </c>
      <c r="C9" s="496"/>
      <c r="D9" s="496"/>
      <c r="E9" s="496"/>
      <c r="F9" s="496"/>
      <c r="G9" s="496"/>
      <c r="H9" s="496"/>
      <c r="I9" s="496"/>
    </row>
    <row r="10" spans="1:11" s="301" customFormat="1" ht="9.75" customHeight="1" x14ac:dyDescent="0.35">
      <c r="B10" s="473"/>
      <c r="C10" s="473"/>
      <c r="D10" s="473"/>
      <c r="E10" s="473"/>
      <c r="F10" s="473"/>
      <c r="G10" s="473"/>
      <c r="H10" s="473"/>
      <c r="I10" s="473"/>
      <c r="J10" s="473"/>
    </row>
    <row r="11" spans="1:11" s="301" customFormat="1" ht="15.75" customHeight="1" x14ac:dyDescent="0.35">
      <c r="B11" s="497" t="s">
        <v>44</v>
      </c>
      <c r="C11" s="473"/>
      <c r="D11" s="473"/>
      <c r="E11" s="473"/>
      <c r="F11" s="473"/>
      <c r="G11" s="473"/>
      <c r="H11" s="473"/>
      <c r="I11" s="473"/>
      <c r="J11" s="302"/>
    </row>
    <row r="12" spans="1:11" s="301" customFormat="1" ht="33.75" customHeight="1" x14ac:dyDescent="0.35">
      <c r="B12" s="472" t="s">
        <v>1307</v>
      </c>
      <c r="C12" s="473"/>
      <c r="D12" s="473"/>
      <c r="E12" s="473"/>
      <c r="F12" s="473"/>
      <c r="G12" s="473"/>
      <c r="H12" s="473"/>
      <c r="I12" s="473"/>
    </row>
    <row r="13" spans="1:11" s="301" customFormat="1" ht="10.5" customHeight="1" thickBot="1" x14ac:dyDescent="0.4">
      <c r="B13" s="473"/>
      <c r="C13" s="473"/>
      <c r="D13" s="473"/>
      <c r="E13" s="473"/>
      <c r="F13" s="473"/>
      <c r="G13" s="473"/>
      <c r="H13" s="473"/>
      <c r="I13" s="473"/>
      <c r="J13" s="473"/>
    </row>
    <row r="14" spans="1:11" s="334" customFormat="1" ht="22.5" customHeight="1" thickBot="1" x14ac:dyDescent="0.3">
      <c r="B14" s="498" t="s">
        <v>1278</v>
      </c>
      <c r="C14" s="445"/>
      <c r="D14" s="445"/>
      <c r="E14" s="445"/>
      <c r="F14" s="445"/>
      <c r="G14" s="445"/>
      <c r="H14" s="446"/>
      <c r="I14" s="335"/>
      <c r="J14" s="335"/>
      <c r="K14" s="335"/>
    </row>
    <row r="15" spans="1:11" s="301" customFormat="1" ht="10.5" customHeight="1" x14ac:dyDescent="0.35"/>
    <row r="16" spans="1:11" s="334" customFormat="1" ht="15" customHeight="1" x14ac:dyDescent="0.25">
      <c r="B16" s="334" t="s">
        <v>1308</v>
      </c>
    </row>
    <row r="17" spans="2:15" s="301" customFormat="1" ht="11.25" customHeight="1" x14ac:dyDescent="0.35">
      <c r="B17" s="473"/>
      <c r="C17" s="473"/>
      <c r="D17" s="473"/>
      <c r="E17" s="473"/>
      <c r="F17" s="473"/>
      <c r="G17" s="473"/>
      <c r="H17" s="473"/>
      <c r="I17" s="473"/>
      <c r="J17" s="473"/>
    </row>
    <row r="18" spans="2:15" s="334" customFormat="1" ht="15.75" customHeight="1" x14ac:dyDescent="0.25">
      <c r="B18" s="499" t="s">
        <v>1309</v>
      </c>
      <c r="C18" s="496"/>
      <c r="D18" s="496"/>
      <c r="E18" s="496"/>
      <c r="F18" s="496"/>
      <c r="G18" s="496"/>
      <c r="H18" s="496"/>
      <c r="I18" s="496"/>
      <c r="J18" s="496"/>
    </row>
    <row r="19" spans="2:15" s="301" customFormat="1" ht="47.25" customHeight="1" x14ac:dyDescent="0.35">
      <c r="B19" s="472" t="s">
        <v>1310</v>
      </c>
      <c r="C19" s="473"/>
      <c r="D19" s="473"/>
      <c r="E19" s="473"/>
      <c r="F19" s="473"/>
      <c r="G19" s="473"/>
      <c r="H19" s="473"/>
      <c r="I19" s="473"/>
    </row>
    <row r="20" spans="2:15" s="301" customFormat="1" ht="10.5" customHeight="1" x14ac:dyDescent="0.35">
      <c r="B20" s="473"/>
      <c r="C20" s="473"/>
      <c r="D20" s="473"/>
      <c r="E20" s="473"/>
      <c r="F20" s="473"/>
      <c r="G20" s="473"/>
      <c r="H20" s="473"/>
      <c r="I20" s="473"/>
      <c r="J20" s="473"/>
    </row>
    <row r="21" spans="2:15" s="301" customFormat="1" ht="62.25" customHeight="1" x14ac:dyDescent="0.35">
      <c r="B21" s="472" t="s">
        <v>1311</v>
      </c>
      <c r="C21" s="473"/>
      <c r="D21" s="473"/>
      <c r="E21" s="473"/>
      <c r="F21" s="473"/>
      <c r="G21" s="473"/>
      <c r="H21" s="473"/>
      <c r="I21" s="473"/>
    </row>
    <row r="22" spans="2:15" s="301" customFormat="1" ht="11.25" customHeight="1" x14ac:dyDescent="0.35">
      <c r="B22" s="473"/>
      <c r="C22" s="473"/>
      <c r="D22" s="473"/>
      <c r="E22" s="473"/>
      <c r="F22" s="473"/>
      <c r="G22" s="473"/>
      <c r="H22" s="473"/>
      <c r="I22" s="473"/>
      <c r="J22" s="473"/>
    </row>
    <row r="23" spans="2:15" s="301" customFormat="1" ht="33" customHeight="1" x14ac:dyDescent="0.35">
      <c r="B23" s="472" t="s">
        <v>1312</v>
      </c>
      <c r="C23" s="473"/>
      <c r="D23" s="473"/>
      <c r="E23" s="473"/>
      <c r="F23" s="473"/>
      <c r="G23" s="473"/>
      <c r="H23" s="473"/>
      <c r="I23" s="473"/>
    </row>
    <row r="24" spans="2:15" s="301" customFormat="1" ht="15.75" customHeight="1" thickBot="1" x14ac:dyDescent="0.4">
      <c r="B24" s="325"/>
    </row>
    <row r="25" spans="2:15" s="295" customFormat="1" ht="24.65" customHeight="1" thickBot="1" x14ac:dyDescent="0.3">
      <c r="B25" s="336" t="s">
        <v>735</v>
      </c>
      <c r="C25" s="337"/>
      <c r="D25" s="336" t="s">
        <v>738</v>
      </c>
      <c r="E25" s="332"/>
      <c r="F25" s="336" t="s">
        <v>1125</v>
      </c>
      <c r="G25" s="332"/>
      <c r="H25" s="336" t="s">
        <v>1126</v>
      </c>
      <c r="I25" s="332"/>
      <c r="J25" s="332"/>
      <c r="K25" s="332"/>
    </row>
    <row r="26" spans="2:15" s="295" customFormat="1" ht="37.5" customHeight="1" x14ac:dyDescent="0.25">
      <c r="B26" s="338" t="s">
        <v>749</v>
      </c>
      <c r="C26" s="332"/>
      <c r="D26" s="339" t="s">
        <v>964</v>
      </c>
      <c r="E26" s="332"/>
      <c r="F26" s="338" t="s">
        <v>965</v>
      </c>
      <c r="G26" s="332"/>
      <c r="H26" s="338" t="s">
        <v>1313</v>
      </c>
      <c r="I26" s="332"/>
      <c r="J26" s="332"/>
      <c r="K26" s="332"/>
    </row>
    <row r="27" spans="2:15" s="303" customFormat="1" ht="15.75" customHeight="1" x14ac:dyDescent="0.25">
      <c r="B27" s="500"/>
      <c r="C27" s="424"/>
      <c r="D27" s="424"/>
      <c r="E27" s="424"/>
      <c r="F27" s="424"/>
      <c r="G27" s="424"/>
      <c r="H27" s="424"/>
      <c r="I27" s="424"/>
      <c r="J27" s="424"/>
      <c r="K27" s="424"/>
      <c r="L27" s="424"/>
      <c r="M27" s="424"/>
      <c r="N27" s="424"/>
    </row>
    <row r="28" spans="2:15" ht="13" x14ac:dyDescent="0.25">
      <c r="B28" s="304"/>
      <c r="C28" s="305"/>
      <c r="D28" s="305"/>
      <c r="E28" s="305"/>
      <c r="F28" s="303"/>
      <c r="G28" s="303"/>
      <c r="H28" s="306"/>
      <c r="I28" s="295"/>
      <c r="J28" s="303"/>
      <c r="K28" s="295"/>
      <c r="L28" s="295"/>
      <c r="M28" s="295"/>
      <c r="N28" s="295"/>
      <c r="O28" s="310"/>
    </row>
    <row r="29" spans="2:15" ht="33.75" customHeight="1" x14ac:dyDescent="0.25">
      <c r="B29" s="295"/>
      <c r="C29" s="313">
        <v>3</v>
      </c>
      <c r="D29" s="295"/>
      <c r="E29" s="295"/>
      <c r="F29" s="295"/>
      <c r="G29" s="295"/>
      <c r="H29" s="308"/>
      <c r="I29" s="308"/>
      <c r="J29" s="308"/>
      <c r="K29" s="308"/>
      <c r="L29" s="295"/>
      <c r="M29" s="295"/>
      <c r="N29" s="295"/>
      <c r="O29" s="310"/>
    </row>
    <row r="30" spans="2:15" s="303" customFormat="1" ht="33.75" customHeight="1" x14ac:dyDescent="0.25">
      <c r="B30" s="295"/>
      <c r="C30" s="295"/>
      <c r="D30" s="295"/>
      <c r="E30" s="295"/>
      <c r="F30" s="295"/>
      <c r="G30" s="295"/>
      <c r="H30" s="308"/>
      <c r="I30" s="308"/>
      <c r="J30" s="308"/>
      <c r="K30" s="308"/>
      <c r="L30" s="295"/>
      <c r="M30" s="295"/>
      <c r="N30" s="295"/>
      <c r="O30" s="295"/>
    </row>
    <row r="31" spans="2:15" s="303" customFormat="1" x14ac:dyDescent="0.25">
      <c r="B31" s="295"/>
      <c r="C31" s="340"/>
      <c r="D31" s="340"/>
      <c r="E31" s="340"/>
      <c r="F31" s="295"/>
      <c r="G31" s="295"/>
      <c r="H31" s="295"/>
      <c r="I31" s="295"/>
      <c r="J31" s="295"/>
      <c r="K31" s="295"/>
      <c r="L31" s="295"/>
      <c r="M31" s="295"/>
      <c r="N31" s="295"/>
      <c r="O31" s="295"/>
    </row>
    <row r="32" spans="2:15" s="303" customFormat="1" ht="12.75" customHeight="1" x14ac:dyDescent="0.25">
      <c r="B32" s="295"/>
      <c r="C32" s="341"/>
      <c r="D32" s="341"/>
      <c r="E32" s="341"/>
      <c r="F32" s="295"/>
      <c r="G32" s="295"/>
      <c r="H32" s="295"/>
      <c r="I32" s="295"/>
      <c r="J32" s="295"/>
      <c r="K32" s="295"/>
      <c r="L32" s="295"/>
      <c r="M32" s="295"/>
      <c r="N32" s="295"/>
      <c r="O32" s="295"/>
    </row>
    <row r="33" spans="1:16" s="303" customFormat="1" ht="93.75" customHeight="1" x14ac:dyDescent="0.25">
      <c r="C33" s="32"/>
      <c r="E33" s="295"/>
      <c r="F33" s="295"/>
      <c r="H33" s="295"/>
      <c r="I33" s="295"/>
      <c r="J33" s="295"/>
      <c r="K33" s="295"/>
      <c r="L33" s="295"/>
      <c r="M33" s="295"/>
      <c r="N33" s="295"/>
      <c r="O33" s="295"/>
    </row>
    <row r="34" spans="1:16" s="303" customFormat="1" ht="38.25" customHeight="1" x14ac:dyDescent="0.25">
      <c r="B34" s="295"/>
      <c r="C34" s="341"/>
      <c r="D34" s="341"/>
      <c r="E34" s="341"/>
      <c r="F34" s="295"/>
      <c r="H34" s="295"/>
      <c r="I34" s="295"/>
      <c r="J34" s="295"/>
      <c r="K34" s="295"/>
      <c r="L34" s="295"/>
      <c r="M34" s="295"/>
      <c r="N34" s="295"/>
      <c r="O34" s="295"/>
    </row>
    <row r="35" spans="1:16" s="303" customFormat="1" ht="38.25" customHeight="1" x14ac:dyDescent="0.25">
      <c r="B35" s="295"/>
      <c r="C35" s="32"/>
      <c r="D35" s="32"/>
      <c r="E35" s="32"/>
      <c r="F35" s="295"/>
      <c r="H35" s="308"/>
      <c r="I35" s="308"/>
      <c r="J35" s="308"/>
      <c r="K35" s="308"/>
      <c r="L35" s="308"/>
      <c r="M35" s="308"/>
      <c r="O35" s="295"/>
    </row>
    <row r="36" spans="1:16" s="303" customFormat="1" ht="38.25" customHeight="1" x14ac:dyDescent="0.25">
      <c r="B36" s="295"/>
      <c r="C36" s="341"/>
      <c r="D36" s="341"/>
      <c r="E36" s="341"/>
      <c r="F36" s="295"/>
      <c r="H36" s="308"/>
      <c r="I36" s="308"/>
      <c r="J36" s="308"/>
      <c r="K36" s="308"/>
      <c r="L36" s="308"/>
      <c r="M36" s="308"/>
    </row>
    <row r="37" spans="1:16" s="303" customFormat="1" ht="38.25" customHeight="1" x14ac:dyDescent="0.25">
      <c r="B37" s="295"/>
      <c r="C37" s="32"/>
      <c r="D37" s="32"/>
      <c r="E37" s="32"/>
      <c r="F37" s="295"/>
      <c r="H37" s="308"/>
      <c r="I37" s="308"/>
      <c r="J37" s="308"/>
      <c r="O37" s="295"/>
    </row>
    <row r="38" spans="1:16" s="303" customFormat="1" ht="38.25" customHeight="1" x14ac:dyDescent="0.25">
      <c r="B38" s="295"/>
      <c r="C38" s="295"/>
      <c r="D38" s="295"/>
      <c r="E38" s="295"/>
      <c r="F38" s="295"/>
      <c r="G38" s="295"/>
      <c r="H38" s="295"/>
      <c r="I38" s="295"/>
      <c r="J38" s="295"/>
      <c r="K38" s="295"/>
      <c r="L38" s="295"/>
      <c r="M38" s="295"/>
      <c r="N38" s="295"/>
      <c r="O38" s="295"/>
    </row>
    <row r="39" spans="1:16" s="303" customFormat="1" ht="36.75" customHeight="1" x14ac:dyDescent="0.25">
      <c r="B39" s="295"/>
      <c r="C39" s="295"/>
      <c r="D39" s="295"/>
      <c r="E39" s="295"/>
      <c r="F39" s="295"/>
      <c r="G39" s="295"/>
      <c r="H39" s="295"/>
      <c r="I39" s="295"/>
      <c r="J39" s="295"/>
      <c r="K39" s="295"/>
      <c r="L39" s="295"/>
      <c r="M39" s="295"/>
      <c r="N39" s="295"/>
      <c r="O39" s="295"/>
    </row>
    <row r="40" spans="1:16" ht="13" x14ac:dyDescent="0.3">
      <c r="B40" s="342"/>
      <c r="C40" s="342"/>
      <c r="D40" s="343"/>
      <c r="E40" s="343"/>
      <c r="F40" s="343"/>
      <c r="G40" s="310"/>
      <c r="H40" s="310"/>
      <c r="I40" s="310"/>
      <c r="J40" s="310"/>
      <c r="K40" s="310"/>
      <c r="L40" s="310"/>
      <c r="M40" s="310"/>
      <c r="N40" s="310"/>
      <c r="O40" s="310"/>
    </row>
    <row r="41" spans="1:16" ht="13" x14ac:dyDescent="0.3">
      <c r="B41" s="342"/>
      <c r="C41" s="342"/>
      <c r="D41" s="343"/>
      <c r="E41" s="343"/>
      <c r="F41" s="343"/>
      <c r="G41" s="310"/>
      <c r="H41" s="310"/>
      <c r="I41" s="310"/>
      <c r="J41" s="310"/>
      <c r="K41" s="310"/>
      <c r="L41" s="310"/>
      <c r="M41" s="310"/>
      <c r="N41" s="310"/>
      <c r="O41" s="310"/>
    </row>
    <row r="42" spans="1:16" s="49" customFormat="1" ht="32.25" customHeight="1" thickBot="1" x14ac:dyDescent="0.4">
      <c r="B42" s="430" t="s">
        <v>1257</v>
      </c>
      <c r="C42" s="431"/>
      <c r="D42" s="431"/>
      <c r="E42" s="431"/>
      <c r="F42" s="431"/>
      <c r="G42" s="431"/>
      <c r="H42" s="431"/>
      <c r="I42" s="431"/>
      <c r="J42" s="431"/>
      <c r="K42" s="431"/>
      <c r="L42" s="288"/>
    </row>
    <row r="43" spans="1:16" s="345" customFormat="1" ht="15" customHeight="1" x14ac:dyDescent="0.35">
      <c r="A43" s="298"/>
      <c r="B43" s="501"/>
      <c r="C43" s="502"/>
      <c r="D43" s="502"/>
      <c r="E43" s="502"/>
      <c r="F43" s="502"/>
      <c r="G43" s="502"/>
      <c r="H43" s="502"/>
      <c r="I43" s="502"/>
      <c r="J43" s="344"/>
      <c r="K43" s="344"/>
      <c r="L43" s="344"/>
      <c r="M43" s="344"/>
      <c r="N43" s="344"/>
      <c r="O43" s="344"/>
    </row>
    <row r="44" spans="1:16" s="346" customFormat="1" ht="12.75" customHeight="1" x14ac:dyDescent="0.25">
      <c r="A44" s="332"/>
      <c r="O44" s="310"/>
      <c r="P44" s="311"/>
    </row>
    <row r="45" spans="1:16" ht="12.75" customHeight="1" x14ac:dyDescent="0.25">
      <c r="B45" s="347"/>
      <c r="C45" s="346"/>
      <c r="D45" s="343"/>
      <c r="E45" s="343"/>
      <c r="F45" s="348"/>
      <c r="G45" s="310"/>
      <c r="H45" s="310"/>
      <c r="I45" s="310"/>
      <c r="J45" s="310"/>
      <c r="K45" s="310"/>
      <c r="L45" s="310"/>
      <c r="M45" s="310"/>
      <c r="N45" s="310"/>
      <c r="O45" s="310"/>
    </row>
    <row r="46" spans="1:16" x14ac:dyDescent="0.25">
      <c r="B46" s="347"/>
      <c r="C46" s="346"/>
      <c r="D46" s="343"/>
      <c r="E46" s="343"/>
      <c r="F46" s="343"/>
      <c r="G46" s="310"/>
      <c r="H46" s="310"/>
      <c r="I46" s="310"/>
      <c r="J46" s="310"/>
      <c r="K46" s="310"/>
      <c r="L46" s="310"/>
      <c r="M46" s="310"/>
      <c r="N46" s="310"/>
      <c r="O46" s="310"/>
    </row>
    <row r="47" spans="1:16" x14ac:dyDescent="0.25">
      <c r="B47" s="347"/>
      <c r="C47" s="346"/>
      <c r="D47" s="343"/>
      <c r="E47" s="343"/>
      <c r="F47" s="343"/>
      <c r="G47" s="310"/>
      <c r="H47" s="310"/>
      <c r="I47" s="310"/>
      <c r="J47" s="310"/>
      <c r="K47" s="310"/>
      <c r="L47" s="310"/>
      <c r="M47" s="310"/>
      <c r="N47" s="310"/>
      <c r="O47" s="310"/>
    </row>
    <row r="48" spans="1:16" ht="38.25" customHeight="1" x14ac:dyDescent="0.25">
      <c r="B48" s="343"/>
      <c r="C48" s="346"/>
      <c r="D48" s="343"/>
      <c r="E48" s="343"/>
      <c r="F48" s="343"/>
      <c r="G48" s="310"/>
      <c r="H48" s="310"/>
      <c r="I48" s="310"/>
      <c r="J48" s="310"/>
      <c r="K48" s="310"/>
      <c r="L48" s="310"/>
      <c r="M48" s="310"/>
      <c r="N48" s="310"/>
      <c r="O48" s="310"/>
    </row>
    <row r="49" spans="2:15" x14ac:dyDescent="0.25">
      <c r="B49" s="346"/>
      <c r="C49" s="346"/>
      <c r="D49" s="343"/>
      <c r="E49" s="343"/>
      <c r="F49" s="343"/>
      <c r="G49" s="310"/>
      <c r="H49" s="310"/>
      <c r="I49" s="310"/>
      <c r="J49" s="310"/>
      <c r="K49" s="310"/>
      <c r="L49" s="310"/>
      <c r="M49" s="310"/>
      <c r="N49" s="310"/>
      <c r="O49" s="310"/>
    </row>
    <row r="50" spans="2:15" ht="25.5" customHeight="1" x14ac:dyDescent="0.25">
      <c r="B50" s="8"/>
      <c r="C50" s="346"/>
      <c r="D50" s="343"/>
      <c r="E50" s="343"/>
      <c r="F50" s="346"/>
      <c r="O50" s="310"/>
    </row>
    <row r="51" spans="2:15" x14ac:dyDescent="0.25">
      <c r="B51" s="346"/>
      <c r="C51" s="346"/>
      <c r="D51" s="343"/>
      <c r="E51" s="343"/>
      <c r="F51" s="346"/>
      <c r="O51" s="310"/>
    </row>
    <row r="52" spans="2:15" ht="25.5" customHeight="1" x14ac:dyDescent="0.25">
      <c r="B52" s="346"/>
      <c r="C52" s="346"/>
      <c r="D52" s="346"/>
      <c r="E52" s="346"/>
      <c r="F52" s="346"/>
      <c r="O52" s="310"/>
    </row>
    <row r="53" spans="2:15" x14ac:dyDescent="0.25">
      <c r="B53" s="346"/>
      <c r="C53" s="346"/>
      <c r="D53" s="346"/>
      <c r="E53" s="346"/>
      <c r="F53" s="346"/>
      <c r="O53" s="310"/>
    </row>
    <row r="54" spans="2:15" ht="26.25" customHeight="1" x14ac:dyDescent="0.25">
      <c r="B54" s="346"/>
      <c r="C54" s="346"/>
      <c r="D54" s="346"/>
      <c r="E54" s="346"/>
      <c r="F54" s="346"/>
      <c r="O54" s="310"/>
    </row>
    <row r="55" spans="2:15" x14ac:dyDescent="0.25">
      <c r="C55" s="346"/>
      <c r="D55" s="346"/>
      <c r="E55" s="346"/>
      <c r="F55" s="346"/>
      <c r="O55" s="310"/>
    </row>
    <row r="56" spans="2:15" x14ac:dyDescent="0.25">
      <c r="F56" s="346"/>
    </row>
    <row r="57" spans="2:15" x14ac:dyDescent="0.25">
      <c r="F57" s="346"/>
    </row>
    <row r="59" spans="2:15" ht="12.75" customHeight="1" x14ac:dyDescent="0.25">
      <c r="C59" s="310"/>
    </row>
    <row r="61" spans="2:15" x14ac:dyDescent="0.25">
      <c r="C61" s="310"/>
    </row>
    <row r="62" spans="2:15" x14ac:dyDescent="0.25">
      <c r="C62" s="310"/>
    </row>
    <row r="63" spans="2:15" x14ac:dyDescent="0.25">
      <c r="C63" s="310"/>
    </row>
    <row r="64" spans="2:15" x14ac:dyDescent="0.25">
      <c r="C64" s="310"/>
    </row>
    <row r="65" spans="3:3" x14ac:dyDescent="0.25">
      <c r="C65" s="310"/>
    </row>
    <row r="415" ht="38.25" customHeight="1" x14ac:dyDescent="0.25"/>
  </sheetData>
  <mergeCells count="17">
    <mergeCell ref="B22:J22"/>
    <mergeCell ref="B23:I23"/>
    <mergeCell ref="B27:N27"/>
    <mergeCell ref="B42:K42"/>
    <mergeCell ref="B43:I43"/>
    <mergeCell ref="B21:I21"/>
    <mergeCell ref="B8:J8"/>
    <mergeCell ref="B9:I9"/>
    <mergeCell ref="B10:J10"/>
    <mergeCell ref="B11:I11"/>
    <mergeCell ref="B12:I12"/>
    <mergeCell ref="B13:J13"/>
    <mergeCell ref="B14:H14"/>
    <mergeCell ref="B17:J17"/>
    <mergeCell ref="B18:J18"/>
    <mergeCell ref="B19:I19"/>
    <mergeCell ref="B20:J20"/>
  </mergeCells>
  <conditionalFormatting sqref="H26">
    <cfRule type="cellIs" dxfId="3" priority="1" operator="equal">
      <formula>"q"</formula>
    </cfRule>
  </conditionalFormatting>
  <dataValidations count="4">
    <dataValidation type="list" allowBlank="1" showInputMessage="1" showErrorMessage="1" sqref="F26" xr:uid="{00000000-0002-0000-1100-000000000000}">
      <formula1>Funnel_Organisation_Level</formula1>
    </dataValidation>
    <dataValidation type="list" allowBlank="1" showInputMessage="1" showErrorMessage="1" sqref="B26" xr:uid="{00000000-0002-0000-1100-000001000000}">
      <formula1>Procedure_List</formula1>
    </dataValidation>
    <dataValidation type="list" allowBlank="1" showInputMessage="1" showErrorMessage="1" sqref="H26" xr:uid="{00000000-0002-0000-1100-000002000000}">
      <formula1>Funnel_Plot_Org</formula1>
    </dataValidation>
    <dataValidation type="list" allowBlank="1" showInputMessage="1" showErrorMessage="1" sqref="D26" xr:uid="{00000000-0002-0000-1100-000003000000}">
      <formula1>Funnel_Plot_score</formula1>
    </dataValidation>
  </dataValidations>
  <hyperlinks>
    <hyperlink ref="J5" location="'Title Sheet'!A16" display="Return to contents" xr:uid="{00000000-0004-0000-1100-000000000000}"/>
  </hyperlinks>
  <pageMargins left="0.35433070866141742" right="0.35433070866141742" top="0.39370078740157483" bottom="0.39370078740157483" header="0.11811023622047249" footer="0.11811023622047249"/>
  <pageSetup paperSize="9" scale="46" fitToHeight="2" orientation="landscape"/>
  <rowBreaks count="1" manualBreakCount="1">
    <brk id="44" max="14" man="1"/>
  </rowBreak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theme="7"/>
    <pageSetUpPr fitToPage="1"/>
  </sheetPr>
  <dimension ref="A1:K27"/>
  <sheetViews>
    <sheetView showGridLines="0" topLeftCell="B1" zoomScale="80" zoomScaleNormal="80" workbookViewId="0">
      <selection activeCell="B1" sqref="B1"/>
    </sheetView>
  </sheetViews>
  <sheetFormatPr defaultColWidth="9.1796875" defaultRowHeight="12.5" x14ac:dyDescent="0.25"/>
  <cols>
    <col min="1" max="1" width="3.81640625" style="14" customWidth="1"/>
    <col min="2" max="2" width="27.1796875" style="14" customWidth="1"/>
    <col min="3" max="3" width="3.81640625" style="14" customWidth="1"/>
    <col min="4" max="4" width="46.1796875" style="14" customWidth="1"/>
    <col min="5" max="5" width="3.81640625" style="14" customWidth="1"/>
    <col min="6" max="6" width="46.1796875" style="14" customWidth="1"/>
    <col min="7" max="7" width="3.81640625" style="14" customWidth="1"/>
    <col min="8" max="8" width="78" style="14" customWidth="1"/>
    <col min="9" max="11" width="16.453125" style="14" customWidth="1"/>
    <col min="12" max="17" width="9.1796875" style="14" customWidth="1"/>
    <col min="18" max="16384" width="9.1796875" style="14"/>
  </cols>
  <sheetData>
    <row r="1" spans="2:11" ht="33" customHeight="1" x14ac:dyDescent="0.25"/>
    <row r="2" spans="2:11" ht="14.9" customHeight="1" x14ac:dyDescent="0.25"/>
    <row r="3" spans="2:11" ht="14.9" customHeight="1" x14ac:dyDescent="0.25"/>
    <row r="4" spans="2:11" ht="14.9" customHeight="1" x14ac:dyDescent="0.25"/>
    <row r="5" spans="2:11" ht="13.5" customHeight="1" x14ac:dyDescent="0.3">
      <c r="H5" s="355" t="s">
        <v>1244</v>
      </c>
    </row>
    <row r="6" spans="2:11" ht="12" customHeight="1" x14ac:dyDescent="0.25"/>
    <row r="7" spans="2:11" ht="26.25" customHeight="1" x14ac:dyDescent="0.5">
      <c r="B7" s="46" t="s">
        <v>1314</v>
      </c>
    </row>
    <row r="8" spans="2:11" ht="18" customHeight="1" x14ac:dyDescent="0.25">
      <c r="B8" s="44" t="str">
        <f>'Title Sheet'!B9</f>
        <v>April 2021 to March 2022, finalised data</v>
      </c>
    </row>
    <row r="9" spans="2:11" ht="15.75" customHeight="1" thickBot="1" x14ac:dyDescent="0.3">
      <c r="B9" s="37"/>
      <c r="C9" s="37"/>
      <c r="D9" s="37"/>
      <c r="E9" s="37"/>
      <c r="F9" s="37"/>
      <c r="G9" s="37"/>
      <c r="H9" s="37"/>
      <c r="I9" s="37"/>
      <c r="J9" s="37"/>
      <c r="K9" s="37"/>
    </row>
    <row r="10" spans="2:11" ht="25.5" customHeight="1" thickBot="1" x14ac:dyDescent="0.3">
      <c r="B10" s="289" t="s">
        <v>735</v>
      </c>
      <c r="C10" s="138"/>
      <c r="D10" s="289" t="s">
        <v>738</v>
      </c>
      <c r="E10" s="37"/>
      <c r="F10" s="289" t="s">
        <v>1125</v>
      </c>
      <c r="G10" s="37"/>
      <c r="H10" s="289" t="s">
        <v>1126</v>
      </c>
      <c r="I10" s="37"/>
      <c r="J10" s="37"/>
      <c r="K10" s="37"/>
    </row>
    <row r="11" spans="2:11" ht="35.25" customHeight="1" x14ac:dyDescent="0.25">
      <c r="B11" s="188" t="s">
        <v>974</v>
      </c>
      <c r="C11" s="37"/>
      <c r="D11" s="189" t="s">
        <v>964</v>
      </c>
      <c r="E11" s="37"/>
      <c r="F11" s="188" t="s">
        <v>965</v>
      </c>
      <c r="G11" s="37"/>
      <c r="H11" s="188" t="s">
        <v>171</v>
      </c>
      <c r="I11" s="37"/>
      <c r="J11" s="37"/>
      <c r="K11" s="37"/>
    </row>
    <row r="12" spans="2:11" ht="15.75" customHeight="1" x14ac:dyDescent="0.25">
      <c r="C12" s="38"/>
    </row>
    <row r="15" spans="2:11" s="39" customFormat="1" ht="87.75" customHeight="1" x14ac:dyDescent="0.25">
      <c r="B15" s="14"/>
      <c r="C15" s="14"/>
      <c r="D15" s="14"/>
      <c r="E15" s="14"/>
      <c r="F15" s="14"/>
      <c r="G15" s="14"/>
      <c r="H15" s="14"/>
      <c r="I15" s="14"/>
      <c r="J15" s="14"/>
      <c r="K15" s="14"/>
    </row>
    <row r="16" spans="2:11" ht="40.5" customHeight="1" x14ac:dyDescent="0.25"/>
    <row r="17" spans="1:11" ht="38.25" customHeight="1" x14ac:dyDescent="0.25">
      <c r="A17" s="23"/>
    </row>
    <row r="18" spans="1:11" ht="38.25" customHeight="1" x14ac:dyDescent="0.25">
      <c r="A18" s="23"/>
    </row>
    <row r="19" spans="1:11" ht="38.25" customHeight="1" x14ac:dyDescent="0.25">
      <c r="A19" s="23"/>
    </row>
    <row r="20" spans="1:11" ht="38.25" customHeight="1" x14ac:dyDescent="0.25">
      <c r="A20" s="23"/>
    </row>
    <row r="21" spans="1:11" ht="38.25" customHeight="1" x14ac:dyDescent="0.25">
      <c r="A21" s="23"/>
    </row>
    <row r="22" spans="1:11" ht="38.25" customHeight="1" x14ac:dyDescent="0.25">
      <c r="A22" s="23"/>
    </row>
    <row r="23" spans="1:11" ht="38.25" customHeight="1" x14ac:dyDescent="0.25">
      <c r="A23" s="23"/>
    </row>
    <row r="24" spans="1:11" x14ac:dyDescent="0.25">
      <c r="A24" s="23"/>
    </row>
    <row r="25" spans="1:11" x14ac:dyDescent="0.25">
      <c r="B25" s="42"/>
    </row>
    <row r="26" spans="1:11" ht="15" customHeight="1" thickBot="1" x14ac:dyDescent="0.3">
      <c r="B26" s="430" t="s">
        <v>1257</v>
      </c>
      <c r="C26" s="431"/>
      <c r="D26" s="431"/>
      <c r="E26" s="431"/>
      <c r="F26" s="431"/>
      <c r="G26" s="431"/>
      <c r="H26" s="431"/>
      <c r="I26" s="431"/>
      <c r="J26" s="431"/>
      <c r="K26" s="431"/>
    </row>
    <row r="27" spans="1:11" x14ac:dyDescent="0.25">
      <c r="B27" s="22"/>
    </row>
  </sheetData>
  <mergeCells count="1">
    <mergeCell ref="B26:K26"/>
  </mergeCells>
  <conditionalFormatting sqref="H11">
    <cfRule type="cellIs" dxfId="2" priority="1" operator="equal">
      <formula>"q"</formula>
    </cfRule>
  </conditionalFormatting>
  <dataValidations count="4">
    <dataValidation type="list" allowBlank="1" showInputMessage="1" showErrorMessage="1" sqref="F11" xr:uid="{00000000-0002-0000-1200-000000000000}">
      <formula1>Funnel_Organisation_Level</formula1>
    </dataValidation>
    <dataValidation type="list" allowBlank="1" showInputMessage="1" showErrorMessage="1" sqref="B11" xr:uid="{00000000-0002-0000-1200-000001000000}">
      <formula1>Procedure_List</formula1>
    </dataValidation>
    <dataValidation type="list" allowBlank="1" showInputMessage="1" showErrorMessage="1" sqref="H11" xr:uid="{00000000-0002-0000-1200-000002000000}">
      <formula1>Funnel_Plot_Org</formula1>
    </dataValidation>
    <dataValidation type="list" allowBlank="1" showInputMessage="1" showErrorMessage="1" sqref="D11" xr:uid="{00000000-0002-0000-1200-000003000000}">
      <formula1>Funnel_Plot_score</formula1>
    </dataValidation>
  </dataValidations>
  <hyperlinks>
    <hyperlink ref="H5" location="'Title Sheet'!A16" display="Return to contents" xr:uid="{00000000-0004-0000-1200-000000000000}"/>
  </hyperlinks>
  <pageMargins left="0.35433070866141742" right="0.35433070866141742" top="0.39370078740157483" bottom="0.39370078740157483" header="0.11811023622047249" footer="0.11811023622047249"/>
  <pageSetup paperSize="9" scale="67"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indexed="34"/>
  </sheetPr>
  <dimension ref="A1:BM3692"/>
  <sheetViews>
    <sheetView workbookViewId="0">
      <pane ySplit="1" topLeftCell="A2" activePane="bottomLeft" state="frozen"/>
      <selection activeCell="F8" sqref="F8"/>
      <selection pane="bottomLeft" activeCell="B307" sqref="B307"/>
    </sheetView>
  </sheetViews>
  <sheetFormatPr defaultRowHeight="12.5" x14ac:dyDescent="0.25"/>
  <cols>
    <col min="1" max="1" width="13.1796875" customWidth="1"/>
    <col min="2" max="2" width="85.81640625" bestFit="1" customWidth="1"/>
    <col min="3" max="45" width="13.54296875" customWidth="1"/>
    <col min="46" max="46" width="15.81640625" customWidth="1"/>
    <col min="47" max="47" width="13.54296875" customWidth="1"/>
  </cols>
  <sheetData>
    <row r="1" spans="1:65" s="66" customFormat="1" ht="50.25" customHeight="1" x14ac:dyDescent="0.3">
      <c r="A1" s="201" t="s">
        <v>57</v>
      </c>
      <c r="B1" s="201" t="s">
        <v>58</v>
      </c>
      <c r="C1" s="201" t="s">
        <v>59</v>
      </c>
      <c r="D1" s="201" t="s">
        <v>60</v>
      </c>
      <c r="E1" s="201" t="s">
        <v>61</v>
      </c>
      <c r="F1" s="201" t="s">
        <v>62</v>
      </c>
      <c r="G1" s="201" t="s">
        <v>63</v>
      </c>
      <c r="H1" s="201" t="s">
        <v>64</v>
      </c>
      <c r="I1" s="201" t="s">
        <v>65</v>
      </c>
      <c r="J1" s="201" t="s">
        <v>66</v>
      </c>
      <c r="K1" s="201" t="s">
        <v>67</v>
      </c>
      <c r="L1" s="201" t="s">
        <v>68</v>
      </c>
      <c r="M1" s="201" t="s">
        <v>69</v>
      </c>
      <c r="N1" s="201" t="s">
        <v>70</v>
      </c>
      <c r="O1" s="201" t="s">
        <v>71</v>
      </c>
      <c r="P1" s="201" t="s">
        <v>72</v>
      </c>
      <c r="Q1" s="201" t="s">
        <v>73</v>
      </c>
      <c r="R1" s="201" t="s">
        <v>74</v>
      </c>
      <c r="S1" s="201" t="s">
        <v>75</v>
      </c>
      <c r="T1" s="201" t="s">
        <v>76</v>
      </c>
      <c r="U1" s="201" t="s">
        <v>77</v>
      </c>
      <c r="V1" s="201" t="s">
        <v>78</v>
      </c>
      <c r="W1" s="201" t="s">
        <v>79</v>
      </c>
      <c r="X1" s="201" t="s">
        <v>80</v>
      </c>
      <c r="Y1" s="201" t="s">
        <v>81</v>
      </c>
      <c r="Z1" s="201" t="s">
        <v>82</v>
      </c>
      <c r="AA1" s="201" t="s">
        <v>83</v>
      </c>
      <c r="AB1" s="201" t="s">
        <v>84</v>
      </c>
      <c r="AC1" s="201" t="s">
        <v>85</v>
      </c>
      <c r="AD1" s="201" t="s">
        <v>86</v>
      </c>
      <c r="AE1" s="201" t="s">
        <v>87</v>
      </c>
      <c r="AF1" s="201" t="s">
        <v>88</v>
      </c>
      <c r="AG1" s="201" t="s">
        <v>89</v>
      </c>
      <c r="AH1" s="201" t="s">
        <v>90</v>
      </c>
      <c r="AI1" s="201" t="s">
        <v>91</v>
      </c>
      <c r="AJ1" s="201" t="s">
        <v>92</v>
      </c>
      <c r="AK1" s="201" t="s">
        <v>93</v>
      </c>
      <c r="AL1" s="201" t="s">
        <v>94</v>
      </c>
      <c r="AM1" s="201" t="s">
        <v>95</v>
      </c>
      <c r="AN1" s="201" t="s">
        <v>96</v>
      </c>
      <c r="AO1" s="201" t="s">
        <v>97</v>
      </c>
      <c r="AP1" s="201" t="s">
        <v>98</v>
      </c>
      <c r="AQ1" s="201" t="s">
        <v>99</v>
      </c>
      <c r="AR1" s="201" t="s">
        <v>100</v>
      </c>
      <c r="AS1" s="201" t="s">
        <v>101</v>
      </c>
      <c r="AT1" s="201" t="s">
        <v>102</v>
      </c>
      <c r="AU1" s="201" t="s">
        <v>103</v>
      </c>
      <c r="AV1" s="66" t="s">
        <v>104</v>
      </c>
      <c r="AW1" s="66" t="s">
        <v>105</v>
      </c>
      <c r="AX1" s="66" t="s">
        <v>106</v>
      </c>
      <c r="AY1" s="66" t="s">
        <v>107</v>
      </c>
      <c r="AZ1" s="66" t="s">
        <v>108</v>
      </c>
      <c r="BA1" s="66" t="s">
        <v>109</v>
      </c>
      <c r="BB1" s="66" t="s">
        <v>110</v>
      </c>
      <c r="BC1" s="66" t="s">
        <v>111</v>
      </c>
      <c r="BD1" s="66" t="s">
        <v>112</v>
      </c>
      <c r="BE1" s="66" t="s">
        <v>113</v>
      </c>
      <c r="BF1" s="66" t="s">
        <v>114</v>
      </c>
      <c r="BG1" s="66" t="s">
        <v>115</v>
      </c>
      <c r="BH1" s="66" t="s">
        <v>116</v>
      </c>
      <c r="BI1" s="66" t="s">
        <v>117</v>
      </c>
      <c r="BJ1" s="66" t="s">
        <v>118</v>
      </c>
      <c r="BK1" s="66" t="s">
        <v>119</v>
      </c>
      <c r="BL1" s="66" t="s">
        <v>120</v>
      </c>
      <c r="BM1" s="66" t="s">
        <v>121</v>
      </c>
    </row>
    <row r="2" spans="1:65" x14ac:dyDescent="0.25">
      <c r="A2" t="s">
        <v>122</v>
      </c>
      <c r="B2" t="s">
        <v>123</v>
      </c>
      <c r="C2">
        <v>142417</v>
      </c>
      <c r="D2">
        <v>98488</v>
      </c>
      <c r="E2">
        <v>0.69154669999999996</v>
      </c>
      <c r="F2">
        <v>57833</v>
      </c>
      <c r="G2">
        <v>0.58720859999999997</v>
      </c>
      <c r="H2">
        <v>88968</v>
      </c>
      <c r="I2">
        <v>0.90333850000000004</v>
      </c>
      <c r="J2">
        <v>54476</v>
      </c>
      <c r="K2">
        <v>0.61231000000000002</v>
      </c>
      <c r="L2">
        <v>68335</v>
      </c>
      <c r="M2">
        <v>47872</v>
      </c>
      <c r="N2">
        <v>0.70054879999999997</v>
      </c>
      <c r="O2">
        <v>27753</v>
      </c>
      <c r="P2">
        <v>0.57973350000000001</v>
      </c>
      <c r="Q2">
        <v>43791</v>
      </c>
      <c r="R2">
        <v>0.9147518</v>
      </c>
      <c r="S2">
        <v>27638</v>
      </c>
      <c r="T2">
        <v>0.63113430000000004</v>
      </c>
      <c r="U2">
        <v>64656</v>
      </c>
      <c r="V2">
        <v>26445</v>
      </c>
      <c r="W2">
        <v>0.40901080000000001</v>
      </c>
      <c r="X2">
        <v>26445</v>
      </c>
      <c r="Y2">
        <v>1</v>
      </c>
      <c r="Z2">
        <v>24544</v>
      </c>
      <c r="AA2">
        <v>0.92811500000000002</v>
      </c>
      <c r="AB2">
        <v>16284</v>
      </c>
      <c r="AC2">
        <v>0.66346150000000004</v>
      </c>
      <c r="AD2">
        <v>3679</v>
      </c>
      <c r="AE2">
        <v>1308</v>
      </c>
      <c r="AF2">
        <v>0.3555314</v>
      </c>
      <c r="AG2">
        <v>1308</v>
      </c>
      <c r="AH2">
        <v>1</v>
      </c>
      <c r="AI2">
        <v>1190</v>
      </c>
      <c r="AJ2">
        <v>0.90978590000000004</v>
      </c>
      <c r="AK2">
        <v>696</v>
      </c>
      <c r="AL2">
        <v>0.58487389999999995</v>
      </c>
      <c r="AM2">
        <v>74082</v>
      </c>
      <c r="AN2">
        <v>50616</v>
      </c>
      <c r="AO2">
        <v>0.68324289999999999</v>
      </c>
      <c r="AP2">
        <v>30080</v>
      </c>
      <c r="AQ2">
        <v>0.59427850000000004</v>
      </c>
      <c r="AR2">
        <v>45177</v>
      </c>
      <c r="AS2">
        <v>0.89254389999999995</v>
      </c>
      <c r="AT2">
        <v>26838</v>
      </c>
      <c r="AU2">
        <v>0.59406340000000002</v>
      </c>
      <c r="AV2">
        <v>70214</v>
      </c>
      <c r="AW2">
        <v>28782</v>
      </c>
      <c r="AX2">
        <v>0.40991820000000001</v>
      </c>
      <c r="AY2">
        <v>28782</v>
      </c>
      <c r="AZ2">
        <v>1</v>
      </c>
      <c r="BA2">
        <v>26147</v>
      </c>
      <c r="BB2">
        <v>0.90844970000000003</v>
      </c>
      <c r="BC2">
        <v>16378</v>
      </c>
      <c r="BD2">
        <v>0.62638159999999998</v>
      </c>
      <c r="BE2">
        <v>3868</v>
      </c>
      <c r="BF2">
        <v>1298</v>
      </c>
      <c r="BG2">
        <v>0.33557389999999998</v>
      </c>
      <c r="BH2">
        <v>1298</v>
      </c>
      <c r="BI2">
        <v>1</v>
      </c>
      <c r="BJ2">
        <v>1143</v>
      </c>
      <c r="BK2">
        <v>0.88058550000000002</v>
      </c>
      <c r="BL2">
        <v>671</v>
      </c>
      <c r="BM2">
        <v>0.58705160000000001</v>
      </c>
    </row>
    <row r="3" spans="1:65" x14ac:dyDescent="0.25">
      <c r="A3" t="s">
        <v>124</v>
      </c>
      <c r="B3" t="s">
        <v>1324</v>
      </c>
      <c r="C3">
        <v>0</v>
      </c>
      <c r="D3">
        <v>300</v>
      </c>
      <c r="E3">
        <v>0</v>
      </c>
      <c r="F3">
        <v>135</v>
      </c>
      <c r="G3">
        <v>0.45</v>
      </c>
      <c r="H3">
        <v>291</v>
      </c>
      <c r="I3">
        <v>0.97</v>
      </c>
      <c r="J3">
        <v>155</v>
      </c>
      <c r="K3">
        <v>0.53264599999999995</v>
      </c>
      <c r="L3">
        <v>0</v>
      </c>
      <c r="M3">
        <v>155</v>
      </c>
      <c r="N3">
        <v>0</v>
      </c>
      <c r="O3">
        <v>66</v>
      </c>
      <c r="P3">
        <v>0.42580649999999998</v>
      </c>
      <c r="Q3">
        <v>154</v>
      </c>
      <c r="R3">
        <v>0.9935484</v>
      </c>
      <c r="S3">
        <v>84</v>
      </c>
      <c r="T3">
        <v>0.54545449999999995</v>
      </c>
      <c r="U3">
        <v>0</v>
      </c>
      <c r="V3">
        <v>66</v>
      </c>
      <c r="W3">
        <v>0</v>
      </c>
      <c r="X3">
        <v>66</v>
      </c>
      <c r="Y3">
        <v>1</v>
      </c>
      <c r="Z3">
        <v>66</v>
      </c>
      <c r="AA3">
        <v>1</v>
      </c>
      <c r="AB3">
        <v>38</v>
      </c>
      <c r="AC3">
        <v>0.57575759999999998</v>
      </c>
      <c r="AD3">
        <v>0</v>
      </c>
      <c r="AE3">
        <v>0</v>
      </c>
      <c r="AF3">
        <v>0</v>
      </c>
      <c r="AG3">
        <v>0</v>
      </c>
      <c r="AH3">
        <v>0</v>
      </c>
      <c r="AI3">
        <v>0</v>
      </c>
      <c r="AJ3">
        <v>0</v>
      </c>
      <c r="AK3">
        <v>0</v>
      </c>
      <c r="AL3">
        <v>0</v>
      </c>
      <c r="AM3">
        <v>0</v>
      </c>
      <c r="AN3">
        <v>145</v>
      </c>
      <c r="AO3">
        <v>0</v>
      </c>
      <c r="AP3">
        <v>69</v>
      </c>
      <c r="AQ3">
        <v>0.47586210000000001</v>
      </c>
      <c r="AR3">
        <v>137</v>
      </c>
      <c r="AS3">
        <v>0.94482759999999999</v>
      </c>
      <c r="AT3">
        <v>71</v>
      </c>
      <c r="AU3">
        <v>0.51824820000000005</v>
      </c>
      <c r="AV3">
        <v>0</v>
      </c>
      <c r="AW3">
        <v>69</v>
      </c>
      <c r="AX3">
        <v>0</v>
      </c>
      <c r="AY3">
        <v>69</v>
      </c>
      <c r="AZ3">
        <v>1</v>
      </c>
      <c r="BA3">
        <v>65</v>
      </c>
      <c r="BB3">
        <v>0.94202900000000001</v>
      </c>
      <c r="BC3">
        <v>41</v>
      </c>
      <c r="BD3">
        <v>0.63076920000000003</v>
      </c>
      <c r="BE3">
        <v>0</v>
      </c>
      <c r="BF3">
        <v>0</v>
      </c>
      <c r="BG3">
        <v>0</v>
      </c>
      <c r="BH3">
        <v>0</v>
      </c>
      <c r="BI3">
        <v>0</v>
      </c>
      <c r="BJ3">
        <v>0</v>
      </c>
      <c r="BK3">
        <v>0</v>
      </c>
      <c r="BL3">
        <v>0</v>
      </c>
      <c r="BM3">
        <v>0</v>
      </c>
    </row>
    <row r="4" spans="1:65" x14ac:dyDescent="0.25">
      <c r="A4" t="s">
        <v>125</v>
      </c>
      <c r="B4" t="s">
        <v>126</v>
      </c>
      <c r="C4">
        <v>259</v>
      </c>
      <c r="D4">
        <v>171</v>
      </c>
      <c r="E4">
        <v>0.66023169999999998</v>
      </c>
      <c r="F4">
        <v>127</v>
      </c>
      <c r="G4">
        <v>0.74269010000000002</v>
      </c>
      <c r="H4">
        <v>158</v>
      </c>
      <c r="I4">
        <v>0.92397660000000004</v>
      </c>
      <c r="J4">
        <v>109</v>
      </c>
      <c r="K4">
        <v>0.68987339999999997</v>
      </c>
      <c r="L4">
        <v>138</v>
      </c>
      <c r="M4">
        <v>93</v>
      </c>
      <c r="N4">
        <v>0.67391299999999998</v>
      </c>
      <c r="O4">
        <v>72</v>
      </c>
      <c r="P4">
        <v>0.77419349999999998</v>
      </c>
      <c r="Q4">
        <v>82</v>
      </c>
      <c r="R4">
        <v>0.88172039999999996</v>
      </c>
      <c r="S4">
        <v>57</v>
      </c>
      <c r="T4">
        <v>0.69512200000000002</v>
      </c>
      <c r="U4">
        <v>123</v>
      </c>
      <c r="V4" t="s">
        <v>127</v>
      </c>
      <c r="W4" t="s">
        <v>127</v>
      </c>
      <c r="X4" t="s">
        <v>127</v>
      </c>
      <c r="Y4" t="s">
        <v>127</v>
      </c>
      <c r="Z4" t="s">
        <v>127</v>
      </c>
      <c r="AA4" t="s">
        <v>127</v>
      </c>
      <c r="AB4">
        <v>45</v>
      </c>
      <c r="AC4" t="s">
        <v>127</v>
      </c>
      <c r="AD4">
        <v>15</v>
      </c>
      <c r="AE4" t="s">
        <v>127</v>
      </c>
      <c r="AF4" t="s">
        <v>127</v>
      </c>
      <c r="AG4" t="s">
        <v>127</v>
      </c>
      <c r="AH4" t="s">
        <v>127</v>
      </c>
      <c r="AI4" t="s">
        <v>127</v>
      </c>
      <c r="AJ4" t="s">
        <v>127</v>
      </c>
      <c r="AK4">
        <v>0</v>
      </c>
      <c r="AL4" t="s">
        <v>127</v>
      </c>
      <c r="AM4">
        <v>121</v>
      </c>
      <c r="AN4">
        <v>78</v>
      </c>
      <c r="AO4">
        <v>0.64462810000000004</v>
      </c>
      <c r="AP4">
        <v>55</v>
      </c>
      <c r="AQ4">
        <v>0.70512819999999998</v>
      </c>
      <c r="AR4">
        <v>76</v>
      </c>
      <c r="AS4">
        <v>0.97435899999999998</v>
      </c>
      <c r="AT4">
        <v>52</v>
      </c>
      <c r="AU4">
        <v>0.68421050000000005</v>
      </c>
      <c r="AV4">
        <v>115</v>
      </c>
      <c r="AW4">
        <v>55</v>
      </c>
      <c r="AX4">
        <v>0.47826089999999999</v>
      </c>
      <c r="AY4">
        <v>55</v>
      </c>
      <c r="AZ4">
        <v>1</v>
      </c>
      <c r="BA4">
        <v>54</v>
      </c>
      <c r="BB4">
        <v>0.98181819999999997</v>
      </c>
      <c r="BC4">
        <v>38</v>
      </c>
      <c r="BD4">
        <v>0.70370370000000004</v>
      </c>
      <c r="BE4">
        <v>6</v>
      </c>
      <c r="BF4">
        <v>0</v>
      </c>
      <c r="BG4">
        <v>0</v>
      </c>
      <c r="BH4">
        <v>0</v>
      </c>
      <c r="BI4">
        <v>0</v>
      </c>
      <c r="BJ4">
        <v>0</v>
      </c>
      <c r="BK4">
        <v>0</v>
      </c>
      <c r="BL4">
        <v>0</v>
      </c>
      <c r="BM4">
        <v>0</v>
      </c>
    </row>
    <row r="5" spans="1:65" x14ac:dyDescent="0.25">
      <c r="A5" t="s">
        <v>128</v>
      </c>
      <c r="B5" t="s">
        <v>129</v>
      </c>
      <c r="C5">
        <v>0</v>
      </c>
      <c r="D5">
        <v>0</v>
      </c>
      <c r="E5">
        <v>0</v>
      </c>
      <c r="F5">
        <v>0</v>
      </c>
      <c r="G5">
        <v>0</v>
      </c>
      <c r="H5">
        <v>0</v>
      </c>
      <c r="I5">
        <v>0</v>
      </c>
      <c r="J5">
        <v>0</v>
      </c>
      <c r="K5">
        <v>0</v>
      </c>
      <c r="L5" t="s">
        <v>127</v>
      </c>
      <c r="M5">
        <v>0</v>
      </c>
      <c r="N5" t="s">
        <v>127</v>
      </c>
      <c r="O5">
        <v>0</v>
      </c>
      <c r="P5">
        <v>0</v>
      </c>
      <c r="Q5">
        <v>0</v>
      </c>
      <c r="R5">
        <v>0</v>
      </c>
      <c r="S5">
        <v>0</v>
      </c>
      <c r="T5">
        <v>0</v>
      </c>
      <c r="U5" t="s">
        <v>127</v>
      </c>
      <c r="V5">
        <v>0</v>
      </c>
      <c r="W5" t="s">
        <v>127</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row>
    <row r="6" spans="1:65" x14ac:dyDescent="0.25">
      <c r="A6" t="s">
        <v>130</v>
      </c>
      <c r="B6" t="s">
        <v>131</v>
      </c>
      <c r="C6">
        <v>654</v>
      </c>
      <c r="D6">
        <v>169</v>
      </c>
      <c r="E6">
        <v>0.25840980000000002</v>
      </c>
      <c r="F6">
        <v>129</v>
      </c>
      <c r="G6">
        <v>0.76331360000000004</v>
      </c>
      <c r="H6">
        <v>162</v>
      </c>
      <c r="I6">
        <v>0.95857990000000004</v>
      </c>
      <c r="J6">
        <v>108</v>
      </c>
      <c r="K6">
        <v>0.66666669999999995</v>
      </c>
      <c r="L6">
        <v>310</v>
      </c>
      <c r="M6">
        <v>82</v>
      </c>
      <c r="N6">
        <v>0.26451609999999998</v>
      </c>
      <c r="O6">
        <v>59</v>
      </c>
      <c r="P6">
        <v>0.71951220000000005</v>
      </c>
      <c r="Q6">
        <v>82</v>
      </c>
      <c r="R6">
        <v>1</v>
      </c>
      <c r="S6">
        <v>49</v>
      </c>
      <c r="T6">
        <v>0.59756100000000001</v>
      </c>
      <c r="U6" t="s">
        <v>127</v>
      </c>
      <c r="V6">
        <v>59</v>
      </c>
      <c r="W6" t="s">
        <v>127</v>
      </c>
      <c r="X6">
        <v>59</v>
      </c>
      <c r="Y6">
        <v>1</v>
      </c>
      <c r="Z6">
        <v>59</v>
      </c>
      <c r="AA6">
        <v>1</v>
      </c>
      <c r="AB6">
        <v>34</v>
      </c>
      <c r="AC6">
        <v>0.57627119999999998</v>
      </c>
      <c r="AD6" t="s">
        <v>127</v>
      </c>
      <c r="AE6">
        <v>0</v>
      </c>
      <c r="AF6" t="s">
        <v>127</v>
      </c>
      <c r="AG6">
        <v>0</v>
      </c>
      <c r="AH6">
        <v>0</v>
      </c>
      <c r="AI6">
        <v>0</v>
      </c>
      <c r="AJ6">
        <v>0</v>
      </c>
      <c r="AK6">
        <v>0</v>
      </c>
      <c r="AL6">
        <v>0</v>
      </c>
      <c r="AM6">
        <v>344</v>
      </c>
      <c r="AN6">
        <v>87</v>
      </c>
      <c r="AO6">
        <v>0.25290699999999999</v>
      </c>
      <c r="AP6">
        <v>70</v>
      </c>
      <c r="AQ6">
        <v>0.80459769999999997</v>
      </c>
      <c r="AR6">
        <v>80</v>
      </c>
      <c r="AS6">
        <v>0.91954020000000003</v>
      </c>
      <c r="AT6">
        <v>59</v>
      </c>
      <c r="AU6">
        <v>0.73750000000000004</v>
      </c>
      <c r="AV6">
        <v>338</v>
      </c>
      <c r="AW6">
        <v>70</v>
      </c>
      <c r="AX6">
        <v>0.2071006</v>
      </c>
      <c r="AY6">
        <v>70</v>
      </c>
      <c r="AZ6">
        <v>1</v>
      </c>
      <c r="BA6">
        <v>66</v>
      </c>
      <c r="BB6">
        <v>0.9428571</v>
      </c>
      <c r="BC6">
        <v>50</v>
      </c>
      <c r="BD6">
        <v>0.75757580000000002</v>
      </c>
      <c r="BE6">
        <v>6</v>
      </c>
      <c r="BF6">
        <v>0</v>
      </c>
      <c r="BG6">
        <v>0</v>
      </c>
      <c r="BH6">
        <v>0</v>
      </c>
      <c r="BI6">
        <v>0</v>
      </c>
      <c r="BJ6">
        <v>0</v>
      </c>
      <c r="BK6">
        <v>0</v>
      </c>
      <c r="BL6">
        <v>0</v>
      </c>
      <c r="BM6">
        <v>0</v>
      </c>
    </row>
    <row r="7" spans="1:65" x14ac:dyDescent="0.25">
      <c r="A7" t="s">
        <v>132</v>
      </c>
      <c r="B7" t="s">
        <v>133</v>
      </c>
      <c r="C7">
        <v>857</v>
      </c>
      <c r="D7">
        <v>1218</v>
      </c>
      <c r="E7">
        <v>1.4212369</v>
      </c>
      <c r="F7">
        <v>367</v>
      </c>
      <c r="G7">
        <v>0.30131360000000001</v>
      </c>
      <c r="H7">
        <v>1105</v>
      </c>
      <c r="I7">
        <v>0.90722499999999995</v>
      </c>
      <c r="J7">
        <v>476</v>
      </c>
      <c r="K7">
        <v>0.43076920000000002</v>
      </c>
      <c r="L7">
        <v>426</v>
      </c>
      <c r="M7">
        <v>615</v>
      </c>
      <c r="N7">
        <v>1.443662</v>
      </c>
      <c r="O7">
        <v>171</v>
      </c>
      <c r="P7">
        <v>0.27804879999999998</v>
      </c>
      <c r="Q7">
        <v>552</v>
      </c>
      <c r="R7">
        <v>0.89756100000000005</v>
      </c>
      <c r="S7">
        <v>287</v>
      </c>
      <c r="T7">
        <v>0.51992749999999999</v>
      </c>
      <c r="U7">
        <v>410</v>
      </c>
      <c r="V7" t="s">
        <v>127</v>
      </c>
      <c r="W7" t="s">
        <v>127</v>
      </c>
      <c r="X7" t="s">
        <v>127</v>
      </c>
      <c r="Y7" t="s">
        <v>127</v>
      </c>
      <c r="Z7" t="s">
        <v>127</v>
      </c>
      <c r="AA7" t="s">
        <v>127</v>
      </c>
      <c r="AB7" t="s">
        <v>127</v>
      </c>
      <c r="AC7" t="s">
        <v>127</v>
      </c>
      <c r="AD7">
        <v>16</v>
      </c>
      <c r="AE7" t="s">
        <v>127</v>
      </c>
      <c r="AF7" t="s">
        <v>127</v>
      </c>
      <c r="AG7" t="s">
        <v>127</v>
      </c>
      <c r="AH7" t="s">
        <v>127</v>
      </c>
      <c r="AI7" t="s">
        <v>127</v>
      </c>
      <c r="AJ7" t="s">
        <v>127</v>
      </c>
      <c r="AK7" t="s">
        <v>127</v>
      </c>
      <c r="AL7" t="s">
        <v>127</v>
      </c>
      <c r="AM7">
        <v>431</v>
      </c>
      <c r="AN7">
        <v>603</v>
      </c>
      <c r="AO7">
        <v>1.3990719</v>
      </c>
      <c r="AP7">
        <v>196</v>
      </c>
      <c r="AQ7">
        <v>0.32504149999999998</v>
      </c>
      <c r="AR7">
        <v>553</v>
      </c>
      <c r="AS7">
        <v>0.91708129999999999</v>
      </c>
      <c r="AT7">
        <v>189</v>
      </c>
      <c r="AU7">
        <v>0.34177220000000003</v>
      </c>
      <c r="AV7">
        <v>414</v>
      </c>
      <c r="AW7">
        <v>190</v>
      </c>
      <c r="AX7">
        <v>0.45893719999999999</v>
      </c>
      <c r="AY7">
        <v>190</v>
      </c>
      <c r="AZ7">
        <v>1</v>
      </c>
      <c r="BA7">
        <v>155</v>
      </c>
      <c r="BB7">
        <v>0.81578949999999995</v>
      </c>
      <c r="BC7">
        <v>24</v>
      </c>
      <c r="BD7">
        <v>0.1548387</v>
      </c>
      <c r="BE7">
        <v>17</v>
      </c>
      <c r="BF7">
        <v>6</v>
      </c>
      <c r="BG7">
        <v>0.35294120000000001</v>
      </c>
      <c r="BH7">
        <v>6</v>
      </c>
      <c r="BI7">
        <v>1</v>
      </c>
      <c r="BJ7">
        <v>6</v>
      </c>
      <c r="BK7">
        <v>1</v>
      </c>
      <c r="BL7">
        <v>1</v>
      </c>
      <c r="BM7">
        <v>0.1666667</v>
      </c>
    </row>
    <row r="8" spans="1:65" x14ac:dyDescent="0.25">
      <c r="A8" t="s">
        <v>134</v>
      </c>
      <c r="B8" t="s">
        <v>135</v>
      </c>
      <c r="C8">
        <v>55</v>
      </c>
      <c r="D8">
        <v>34</v>
      </c>
      <c r="E8">
        <v>0.6181818</v>
      </c>
      <c r="F8">
        <v>23</v>
      </c>
      <c r="G8">
        <v>0.67647060000000003</v>
      </c>
      <c r="H8">
        <v>34</v>
      </c>
      <c r="I8">
        <v>1</v>
      </c>
      <c r="J8">
        <v>26</v>
      </c>
      <c r="K8">
        <v>0.76470590000000005</v>
      </c>
      <c r="L8">
        <v>33</v>
      </c>
      <c r="M8">
        <v>22</v>
      </c>
      <c r="N8">
        <v>0.66666669999999995</v>
      </c>
      <c r="O8">
        <v>14</v>
      </c>
      <c r="P8">
        <v>0.63636360000000003</v>
      </c>
      <c r="Q8">
        <v>22</v>
      </c>
      <c r="R8">
        <v>1</v>
      </c>
      <c r="S8">
        <v>19</v>
      </c>
      <c r="T8">
        <v>0.86363639999999997</v>
      </c>
      <c r="U8" t="s">
        <v>127</v>
      </c>
      <c r="V8">
        <v>14</v>
      </c>
      <c r="W8" t="s">
        <v>127</v>
      </c>
      <c r="X8">
        <v>14</v>
      </c>
      <c r="Y8">
        <v>1</v>
      </c>
      <c r="Z8">
        <v>14</v>
      </c>
      <c r="AA8">
        <v>1</v>
      </c>
      <c r="AB8">
        <v>12</v>
      </c>
      <c r="AC8">
        <v>0.85714290000000004</v>
      </c>
      <c r="AD8" t="s">
        <v>127</v>
      </c>
      <c r="AE8">
        <v>0</v>
      </c>
      <c r="AF8" t="s">
        <v>127</v>
      </c>
      <c r="AG8">
        <v>0</v>
      </c>
      <c r="AH8">
        <v>0</v>
      </c>
      <c r="AI8">
        <v>0</v>
      </c>
      <c r="AJ8">
        <v>0</v>
      </c>
      <c r="AK8">
        <v>0</v>
      </c>
      <c r="AL8">
        <v>0</v>
      </c>
      <c r="AM8">
        <v>22</v>
      </c>
      <c r="AN8">
        <v>12</v>
      </c>
      <c r="AO8">
        <v>0.54545449999999995</v>
      </c>
      <c r="AP8">
        <v>9</v>
      </c>
      <c r="AQ8">
        <v>0.75</v>
      </c>
      <c r="AR8">
        <v>12</v>
      </c>
      <c r="AS8">
        <v>1</v>
      </c>
      <c r="AT8">
        <v>7</v>
      </c>
      <c r="AU8">
        <v>0.58333330000000005</v>
      </c>
      <c r="AV8" t="s">
        <v>127</v>
      </c>
      <c r="AW8">
        <v>9</v>
      </c>
      <c r="AX8">
        <v>0.42857139999999999</v>
      </c>
      <c r="AY8" t="s">
        <v>127</v>
      </c>
      <c r="AZ8">
        <v>1</v>
      </c>
      <c r="BA8">
        <v>9</v>
      </c>
      <c r="BB8">
        <v>1</v>
      </c>
      <c r="BC8">
        <v>5</v>
      </c>
      <c r="BD8">
        <v>0.55555560000000004</v>
      </c>
      <c r="BE8" t="s">
        <v>127</v>
      </c>
      <c r="BF8">
        <v>0</v>
      </c>
      <c r="BG8" t="s">
        <v>127</v>
      </c>
      <c r="BH8">
        <v>0</v>
      </c>
      <c r="BI8">
        <v>0</v>
      </c>
      <c r="BJ8">
        <v>0</v>
      </c>
      <c r="BK8">
        <v>0</v>
      </c>
      <c r="BL8">
        <v>0</v>
      </c>
      <c r="BM8">
        <v>0</v>
      </c>
    </row>
    <row r="9" spans="1:65" x14ac:dyDescent="0.25">
      <c r="A9" t="s">
        <v>136</v>
      </c>
      <c r="B9" t="s">
        <v>137</v>
      </c>
      <c r="C9">
        <v>157</v>
      </c>
      <c r="D9">
        <v>0</v>
      </c>
      <c r="E9">
        <v>0</v>
      </c>
      <c r="F9">
        <v>0</v>
      </c>
      <c r="G9">
        <v>0</v>
      </c>
      <c r="H9">
        <v>0</v>
      </c>
      <c r="I9">
        <v>0</v>
      </c>
      <c r="J9">
        <v>0</v>
      </c>
      <c r="K9">
        <v>0</v>
      </c>
      <c r="L9">
        <v>81</v>
      </c>
      <c r="M9">
        <v>0</v>
      </c>
      <c r="N9">
        <v>0</v>
      </c>
      <c r="O9">
        <v>0</v>
      </c>
      <c r="P9">
        <v>0</v>
      </c>
      <c r="Q9">
        <v>0</v>
      </c>
      <c r="R9">
        <v>0</v>
      </c>
      <c r="S9">
        <v>0</v>
      </c>
      <c r="T9">
        <v>0</v>
      </c>
      <c r="U9">
        <v>81</v>
      </c>
      <c r="V9">
        <v>0</v>
      </c>
      <c r="W9">
        <v>0</v>
      </c>
      <c r="X9">
        <v>0</v>
      </c>
      <c r="Y9">
        <v>0</v>
      </c>
      <c r="Z9">
        <v>0</v>
      </c>
      <c r="AA9">
        <v>0</v>
      </c>
      <c r="AB9">
        <v>0</v>
      </c>
      <c r="AC9">
        <v>0</v>
      </c>
      <c r="AD9">
        <v>0</v>
      </c>
      <c r="AE9">
        <v>0</v>
      </c>
      <c r="AF9">
        <v>0</v>
      </c>
      <c r="AG9">
        <v>0</v>
      </c>
      <c r="AH9">
        <v>0</v>
      </c>
      <c r="AI9">
        <v>0</v>
      </c>
      <c r="AJ9">
        <v>0</v>
      </c>
      <c r="AK9">
        <v>0</v>
      </c>
      <c r="AL9">
        <v>0</v>
      </c>
      <c r="AM9">
        <v>76</v>
      </c>
      <c r="AN9">
        <v>0</v>
      </c>
      <c r="AO9">
        <v>0</v>
      </c>
      <c r="AP9">
        <v>0</v>
      </c>
      <c r="AQ9">
        <v>0</v>
      </c>
      <c r="AR9">
        <v>0</v>
      </c>
      <c r="AS9">
        <v>0</v>
      </c>
      <c r="AT9">
        <v>0</v>
      </c>
      <c r="AU9">
        <v>0</v>
      </c>
      <c r="AV9" t="s">
        <v>127</v>
      </c>
      <c r="AW9">
        <v>0</v>
      </c>
      <c r="AX9">
        <v>0</v>
      </c>
      <c r="AY9" t="s">
        <v>127</v>
      </c>
      <c r="AZ9">
        <v>0</v>
      </c>
      <c r="BA9">
        <v>0</v>
      </c>
      <c r="BB9">
        <v>0</v>
      </c>
      <c r="BC9">
        <v>0</v>
      </c>
      <c r="BD9">
        <v>0</v>
      </c>
      <c r="BE9" t="s">
        <v>127</v>
      </c>
      <c r="BF9">
        <v>0</v>
      </c>
      <c r="BG9" t="s">
        <v>127</v>
      </c>
      <c r="BH9">
        <v>0</v>
      </c>
      <c r="BI9">
        <v>0</v>
      </c>
      <c r="BJ9">
        <v>0</v>
      </c>
      <c r="BK9">
        <v>0</v>
      </c>
      <c r="BL9">
        <v>0</v>
      </c>
      <c r="BM9">
        <v>0</v>
      </c>
    </row>
    <row r="10" spans="1:65" x14ac:dyDescent="0.25">
      <c r="A10" t="s">
        <v>138</v>
      </c>
      <c r="B10" t="s">
        <v>139</v>
      </c>
      <c r="C10">
        <v>40</v>
      </c>
      <c r="D10">
        <v>0</v>
      </c>
      <c r="E10">
        <v>0</v>
      </c>
      <c r="F10">
        <v>0</v>
      </c>
      <c r="G10">
        <v>0</v>
      </c>
      <c r="H10">
        <v>0</v>
      </c>
      <c r="I10">
        <v>0</v>
      </c>
      <c r="J10">
        <v>0</v>
      </c>
      <c r="K10">
        <v>0</v>
      </c>
      <c r="L10">
        <v>20</v>
      </c>
      <c r="M10">
        <v>0</v>
      </c>
      <c r="N10">
        <v>0</v>
      </c>
      <c r="O10">
        <v>0</v>
      </c>
      <c r="P10">
        <v>0</v>
      </c>
      <c r="Q10">
        <v>0</v>
      </c>
      <c r="R10">
        <v>0</v>
      </c>
      <c r="S10">
        <v>0</v>
      </c>
      <c r="T10">
        <v>0</v>
      </c>
      <c r="U10">
        <v>20</v>
      </c>
      <c r="V10">
        <v>0</v>
      </c>
      <c r="W10">
        <v>0</v>
      </c>
      <c r="X10">
        <v>0</v>
      </c>
      <c r="Y10">
        <v>0</v>
      </c>
      <c r="Z10">
        <v>0</v>
      </c>
      <c r="AA10">
        <v>0</v>
      </c>
      <c r="AB10">
        <v>0</v>
      </c>
      <c r="AC10">
        <v>0</v>
      </c>
      <c r="AD10">
        <v>0</v>
      </c>
      <c r="AE10">
        <v>0</v>
      </c>
      <c r="AF10">
        <v>0</v>
      </c>
      <c r="AG10">
        <v>0</v>
      </c>
      <c r="AH10">
        <v>0</v>
      </c>
      <c r="AI10">
        <v>0</v>
      </c>
      <c r="AJ10">
        <v>0</v>
      </c>
      <c r="AK10">
        <v>0</v>
      </c>
      <c r="AL10">
        <v>0</v>
      </c>
      <c r="AM10">
        <v>20</v>
      </c>
      <c r="AN10">
        <v>0</v>
      </c>
      <c r="AO10">
        <v>0</v>
      </c>
      <c r="AP10">
        <v>0</v>
      </c>
      <c r="AQ10">
        <v>0</v>
      </c>
      <c r="AR10">
        <v>0</v>
      </c>
      <c r="AS10">
        <v>0</v>
      </c>
      <c r="AT10">
        <v>0</v>
      </c>
      <c r="AU10">
        <v>0</v>
      </c>
      <c r="AV10" t="s">
        <v>127</v>
      </c>
      <c r="AW10">
        <v>0</v>
      </c>
      <c r="AX10">
        <v>0</v>
      </c>
      <c r="AY10" t="s">
        <v>127</v>
      </c>
      <c r="AZ10">
        <v>0</v>
      </c>
      <c r="BA10">
        <v>0</v>
      </c>
      <c r="BB10">
        <v>0</v>
      </c>
      <c r="BC10">
        <v>0</v>
      </c>
      <c r="BD10">
        <v>0</v>
      </c>
      <c r="BE10" t="s">
        <v>127</v>
      </c>
      <c r="BF10">
        <v>0</v>
      </c>
      <c r="BG10" t="s">
        <v>127</v>
      </c>
      <c r="BH10">
        <v>0</v>
      </c>
      <c r="BI10">
        <v>0</v>
      </c>
      <c r="BJ10">
        <v>0</v>
      </c>
      <c r="BK10">
        <v>0</v>
      </c>
      <c r="BL10">
        <v>0</v>
      </c>
      <c r="BM10">
        <v>0</v>
      </c>
    </row>
    <row r="11" spans="1:65" x14ac:dyDescent="0.25">
      <c r="A11" t="s">
        <v>140</v>
      </c>
      <c r="B11" t="s">
        <v>141</v>
      </c>
      <c r="C11">
        <v>25</v>
      </c>
      <c r="D11">
        <v>0</v>
      </c>
      <c r="E11">
        <v>0</v>
      </c>
      <c r="F11">
        <v>0</v>
      </c>
      <c r="G11">
        <v>0</v>
      </c>
      <c r="H11">
        <v>0</v>
      </c>
      <c r="I11">
        <v>0</v>
      </c>
      <c r="J11">
        <v>0</v>
      </c>
      <c r="K11">
        <v>0</v>
      </c>
      <c r="L11">
        <v>8</v>
      </c>
      <c r="M11">
        <v>0</v>
      </c>
      <c r="N11">
        <v>0</v>
      </c>
      <c r="O11">
        <v>0</v>
      </c>
      <c r="P11">
        <v>0</v>
      </c>
      <c r="Q11">
        <v>0</v>
      </c>
      <c r="R11">
        <v>0</v>
      </c>
      <c r="S11">
        <v>0</v>
      </c>
      <c r="T11">
        <v>0</v>
      </c>
      <c r="U11">
        <v>8</v>
      </c>
      <c r="V11">
        <v>0</v>
      </c>
      <c r="W11">
        <v>0</v>
      </c>
      <c r="X11">
        <v>0</v>
      </c>
      <c r="Y11">
        <v>0</v>
      </c>
      <c r="Z11">
        <v>0</v>
      </c>
      <c r="AA11">
        <v>0</v>
      </c>
      <c r="AB11">
        <v>0</v>
      </c>
      <c r="AC11">
        <v>0</v>
      </c>
      <c r="AD11">
        <v>0</v>
      </c>
      <c r="AE11">
        <v>0</v>
      </c>
      <c r="AF11">
        <v>0</v>
      </c>
      <c r="AG11">
        <v>0</v>
      </c>
      <c r="AH11">
        <v>0</v>
      </c>
      <c r="AI11">
        <v>0</v>
      </c>
      <c r="AJ11">
        <v>0</v>
      </c>
      <c r="AK11">
        <v>0</v>
      </c>
      <c r="AL11">
        <v>0</v>
      </c>
      <c r="AM11">
        <v>17</v>
      </c>
      <c r="AN11">
        <v>0</v>
      </c>
      <c r="AO11">
        <v>0</v>
      </c>
      <c r="AP11">
        <v>0</v>
      </c>
      <c r="AQ11">
        <v>0</v>
      </c>
      <c r="AR11">
        <v>0</v>
      </c>
      <c r="AS11">
        <v>0</v>
      </c>
      <c r="AT11">
        <v>0</v>
      </c>
      <c r="AU11">
        <v>0</v>
      </c>
      <c r="AV11">
        <v>17</v>
      </c>
      <c r="AW11">
        <v>0</v>
      </c>
      <c r="AX11">
        <v>0</v>
      </c>
      <c r="AY11">
        <v>0</v>
      </c>
      <c r="AZ11">
        <v>0</v>
      </c>
      <c r="BA11">
        <v>0</v>
      </c>
      <c r="BB11">
        <v>0</v>
      </c>
      <c r="BC11">
        <v>0</v>
      </c>
      <c r="BD11">
        <v>0</v>
      </c>
      <c r="BE11">
        <v>0</v>
      </c>
      <c r="BF11">
        <v>0</v>
      </c>
      <c r="BG11">
        <v>0</v>
      </c>
      <c r="BH11">
        <v>0</v>
      </c>
      <c r="BI11">
        <v>0</v>
      </c>
      <c r="BJ11">
        <v>0</v>
      </c>
      <c r="BK11">
        <v>0</v>
      </c>
      <c r="BL11">
        <v>0</v>
      </c>
      <c r="BM11">
        <v>0</v>
      </c>
    </row>
    <row r="12" spans="1:65" x14ac:dyDescent="0.25">
      <c r="A12" t="s">
        <v>142</v>
      </c>
      <c r="B12" t="s">
        <v>143</v>
      </c>
      <c r="C12">
        <v>172</v>
      </c>
      <c r="D12">
        <v>0</v>
      </c>
      <c r="E12">
        <v>0</v>
      </c>
      <c r="F12">
        <v>0</v>
      </c>
      <c r="G12">
        <v>0</v>
      </c>
      <c r="H12">
        <v>0</v>
      </c>
      <c r="I12">
        <v>0</v>
      </c>
      <c r="J12">
        <v>0</v>
      </c>
      <c r="K12">
        <v>0</v>
      </c>
      <c r="L12">
        <v>91</v>
      </c>
      <c r="M12">
        <v>0</v>
      </c>
      <c r="N12">
        <v>0</v>
      </c>
      <c r="O12">
        <v>0</v>
      </c>
      <c r="P12">
        <v>0</v>
      </c>
      <c r="Q12">
        <v>0</v>
      </c>
      <c r="R12">
        <v>0</v>
      </c>
      <c r="S12">
        <v>0</v>
      </c>
      <c r="T12">
        <v>0</v>
      </c>
      <c r="U12" t="s">
        <v>127</v>
      </c>
      <c r="V12">
        <v>0</v>
      </c>
      <c r="W12" t="s">
        <v>127</v>
      </c>
      <c r="X12">
        <v>0</v>
      </c>
      <c r="Y12">
        <v>0</v>
      </c>
      <c r="Z12">
        <v>0</v>
      </c>
      <c r="AA12">
        <v>0</v>
      </c>
      <c r="AB12">
        <v>0</v>
      </c>
      <c r="AC12">
        <v>0</v>
      </c>
      <c r="AD12" t="s">
        <v>127</v>
      </c>
      <c r="AE12">
        <v>0</v>
      </c>
      <c r="AF12" t="s">
        <v>127</v>
      </c>
      <c r="AG12">
        <v>0</v>
      </c>
      <c r="AH12">
        <v>0</v>
      </c>
      <c r="AI12">
        <v>0</v>
      </c>
      <c r="AJ12">
        <v>0</v>
      </c>
      <c r="AK12">
        <v>0</v>
      </c>
      <c r="AL12">
        <v>0</v>
      </c>
      <c r="AM12">
        <v>81</v>
      </c>
      <c r="AN12">
        <v>0</v>
      </c>
      <c r="AO12">
        <v>0</v>
      </c>
      <c r="AP12">
        <v>0</v>
      </c>
      <c r="AQ12">
        <v>0</v>
      </c>
      <c r="AR12">
        <v>0</v>
      </c>
      <c r="AS12">
        <v>0</v>
      </c>
      <c r="AT12">
        <v>0</v>
      </c>
      <c r="AU12">
        <v>0</v>
      </c>
      <c r="AV12">
        <v>81</v>
      </c>
      <c r="AW12">
        <v>0</v>
      </c>
      <c r="AX12">
        <v>0</v>
      </c>
      <c r="AY12">
        <v>0</v>
      </c>
      <c r="AZ12">
        <v>0</v>
      </c>
      <c r="BA12">
        <v>0</v>
      </c>
      <c r="BB12">
        <v>0</v>
      </c>
      <c r="BC12">
        <v>0</v>
      </c>
      <c r="BD12">
        <v>0</v>
      </c>
      <c r="BE12">
        <v>0</v>
      </c>
      <c r="BF12">
        <v>0</v>
      </c>
      <c r="BG12">
        <v>0</v>
      </c>
      <c r="BH12">
        <v>0</v>
      </c>
      <c r="BI12">
        <v>0</v>
      </c>
      <c r="BJ12">
        <v>0</v>
      </c>
      <c r="BK12">
        <v>0</v>
      </c>
      <c r="BL12">
        <v>0</v>
      </c>
      <c r="BM12">
        <v>0</v>
      </c>
    </row>
    <row r="13" spans="1:65" x14ac:dyDescent="0.25">
      <c r="A13" t="s">
        <v>144</v>
      </c>
      <c r="B13" t="s">
        <v>145</v>
      </c>
      <c r="C13">
        <v>517</v>
      </c>
      <c r="D13">
        <v>794</v>
      </c>
      <c r="E13">
        <v>1.5357833999999999</v>
      </c>
      <c r="F13">
        <v>322</v>
      </c>
      <c r="G13">
        <v>0.4055416</v>
      </c>
      <c r="H13">
        <v>699</v>
      </c>
      <c r="I13">
        <v>0.88035260000000004</v>
      </c>
      <c r="J13">
        <v>313</v>
      </c>
      <c r="K13">
        <v>0.44778250000000003</v>
      </c>
      <c r="L13">
        <v>223</v>
      </c>
      <c r="M13">
        <v>333</v>
      </c>
      <c r="N13">
        <v>1.4932734999999999</v>
      </c>
      <c r="O13">
        <v>142</v>
      </c>
      <c r="P13">
        <v>0.42642639999999998</v>
      </c>
      <c r="Q13">
        <v>300</v>
      </c>
      <c r="R13">
        <v>0.9009009</v>
      </c>
      <c r="S13">
        <v>124</v>
      </c>
      <c r="T13">
        <v>0.41333330000000001</v>
      </c>
      <c r="U13">
        <v>204</v>
      </c>
      <c r="V13">
        <v>133</v>
      </c>
      <c r="W13">
        <v>0.65196080000000001</v>
      </c>
      <c r="X13">
        <v>133</v>
      </c>
      <c r="Y13">
        <v>1</v>
      </c>
      <c r="Z13">
        <v>123</v>
      </c>
      <c r="AA13">
        <v>0.92481199999999997</v>
      </c>
      <c r="AB13">
        <v>61</v>
      </c>
      <c r="AC13">
        <v>0.49593500000000001</v>
      </c>
      <c r="AD13">
        <v>19</v>
      </c>
      <c r="AE13">
        <v>9</v>
      </c>
      <c r="AF13">
        <v>0.4736842</v>
      </c>
      <c r="AG13">
        <v>9</v>
      </c>
      <c r="AH13">
        <v>1</v>
      </c>
      <c r="AI13">
        <v>8</v>
      </c>
      <c r="AJ13">
        <v>0.88888889999999998</v>
      </c>
      <c r="AK13">
        <v>3</v>
      </c>
      <c r="AL13">
        <v>0.375</v>
      </c>
      <c r="AM13">
        <v>294</v>
      </c>
      <c r="AN13">
        <v>461</v>
      </c>
      <c r="AO13">
        <v>1.5680272</v>
      </c>
      <c r="AP13">
        <v>180</v>
      </c>
      <c r="AQ13">
        <v>0.39045550000000001</v>
      </c>
      <c r="AR13">
        <v>399</v>
      </c>
      <c r="AS13">
        <v>0.8655098</v>
      </c>
      <c r="AT13">
        <v>189</v>
      </c>
      <c r="AU13">
        <v>0.4736842</v>
      </c>
      <c r="AV13">
        <v>275</v>
      </c>
      <c r="AW13">
        <v>171</v>
      </c>
      <c r="AX13">
        <v>0.62181819999999999</v>
      </c>
      <c r="AY13">
        <v>171</v>
      </c>
      <c r="AZ13">
        <v>1</v>
      </c>
      <c r="BA13">
        <v>152</v>
      </c>
      <c r="BB13">
        <v>0.88888889999999998</v>
      </c>
      <c r="BC13">
        <v>86</v>
      </c>
      <c r="BD13">
        <v>0.56578949999999995</v>
      </c>
      <c r="BE13">
        <v>19</v>
      </c>
      <c r="BF13">
        <v>9</v>
      </c>
      <c r="BG13">
        <v>0.4736842</v>
      </c>
      <c r="BH13">
        <v>9</v>
      </c>
      <c r="BI13">
        <v>1</v>
      </c>
      <c r="BJ13">
        <v>9</v>
      </c>
      <c r="BK13">
        <v>1</v>
      </c>
      <c r="BL13">
        <v>3</v>
      </c>
      <c r="BM13">
        <v>0.3333333</v>
      </c>
    </row>
    <row r="14" spans="1:65" x14ac:dyDescent="0.25">
      <c r="A14" t="s">
        <v>146</v>
      </c>
      <c r="B14" t="s">
        <v>147</v>
      </c>
      <c r="C14">
        <v>504</v>
      </c>
      <c r="D14">
        <v>318</v>
      </c>
      <c r="E14">
        <v>0.63095239999999997</v>
      </c>
      <c r="F14">
        <v>165</v>
      </c>
      <c r="G14">
        <v>0.51886790000000005</v>
      </c>
      <c r="H14">
        <v>304</v>
      </c>
      <c r="I14">
        <v>0.95597480000000001</v>
      </c>
      <c r="J14">
        <v>190</v>
      </c>
      <c r="K14">
        <v>0.625</v>
      </c>
      <c r="L14">
        <v>213</v>
      </c>
      <c r="M14">
        <v>146</v>
      </c>
      <c r="N14">
        <v>0.685446</v>
      </c>
      <c r="O14">
        <v>79</v>
      </c>
      <c r="P14">
        <v>0.54109589999999996</v>
      </c>
      <c r="Q14">
        <v>143</v>
      </c>
      <c r="R14">
        <v>0.97945210000000005</v>
      </c>
      <c r="S14">
        <v>93</v>
      </c>
      <c r="T14">
        <v>0.65034970000000003</v>
      </c>
      <c r="U14">
        <v>202</v>
      </c>
      <c r="V14" t="s">
        <v>127</v>
      </c>
      <c r="W14" t="s">
        <v>127</v>
      </c>
      <c r="X14" t="s">
        <v>127</v>
      </c>
      <c r="Y14" t="s">
        <v>127</v>
      </c>
      <c r="Z14" t="s">
        <v>127</v>
      </c>
      <c r="AA14" t="s">
        <v>127</v>
      </c>
      <c r="AB14">
        <v>51</v>
      </c>
      <c r="AC14" t="s">
        <v>127</v>
      </c>
      <c r="AD14">
        <v>11</v>
      </c>
      <c r="AE14" t="s">
        <v>127</v>
      </c>
      <c r="AF14" t="s">
        <v>127</v>
      </c>
      <c r="AG14" t="s">
        <v>127</v>
      </c>
      <c r="AH14" t="s">
        <v>127</v>
      </c>
      <c r="AI14" t="s">
        <v>127</v>
      </c>
      <c r="AJ14" t="s">
        <v>127</v>
      </c>
      <c r="AK14">
        <v>0</v>
      </c>
      <c r="AL14" t="s">
        <v>127</v>
      </c>
      <c r="AM14">
        <v>291</v>
      </c>
      <c r="AN14">
        <v>172</v>
      </c>
      <c r="AO14">
        <v>0.59106530000000002</v>
      </c>
      <c r="AP14">
        <v>86</v>
      </c>
      <c r="AQ14">
        <v>0.5</v>
      </c>
      <c r="AR14">
        <v>161</v>
      </c>
      <c r="AS14">
        <v>0.9360465</v>
      </c>
      <c r="AT14">
        <v>97</v>
      </c>
      <c r="AU14">
        <v>0.60248449999999998</v>
      </c>
      <c r="AV14">
        <v>269</v>
      </c>
      <c r="AW14" t="s">
        <v>127</v>
      </c>
      <c r="AX14" t="s">
        <v>127</v>
      </c>
      <c r="AY14" t="s">
        <v>127</v>
      </c>
      <c r="AZ14" t="s">
        <v>127</v>
      </c>
      <c r="BA14" t="s">
        <v>127</v>
      </c>
      <c r="BB14" t="s">
        <v>127</v>
      </c>
      <c r="BC14" t="s">
        <v>127</v>
      </c>
      <c r="BD14" t="s">
        <v>127</v>
      </c>
      <c r="BE14">
        <v>22</v>
      </c>
      <c r="BF14" t="s">
        <v>127</v>
      </c>
      <c r="BG14" t="s">
        <v>127</v>
      </c>
      <c r="BH14" t="s">
        <v>127</v>
      </c>
      <c r="BI14" t="s">
        <v>127</v>
      </c>
      <c r="BJ14" t="s">
        <v>127</v>
      </c>
      <c r="BK14" t="s">
        <v>127</v>
      </c>
      <c r="BL14" t="s">
        <v>127</v>
      </c>
      <c r="BM14" t="s">
        <v>127</v>
      </c>
    </row>
    <row r="15" spans="1:65" x14ac:dyDescent="0.25">
      <c r="A15" t="s">
        <v>148</v>
      </c>
      <c r="B15" t="s">
        <v>149</v>
      </c>
      <c r="C15">
        <v>676</v>
      </c>
      <c r="D15">
        <v>290</v>
      </c>
      <c r="E15">
        <v>0.42899409999999999</v>
      </c>
      <c r="F15">
        <v>233</v>
      </c>
      <c r="G15">
        <v>0.8034483</v>
      </c>
      <c r="H15">
        <v>277</v>
      </c>
      <c r="I15">
        <v>0.95517240000000003</v>
      </c>
      <c r="J15">
        <v>132</v>
      </c>
      <c r="K15">
        <v>0.47653430000000002</v>
      </c>
      <c r="L15">
        <v>275</v>
      </c>
      <c r="M15">
        <v>116</v>
      </c>
      <c r="N15">
        <v>0.42181819999999998</v>
      </c>
      <c r="O15">
        <v>92</v>
      </c>
      <c r="P15">
        <v>0.79310340000000001</v>
      </c>
      <c r="Q15">
        <v>112</v>
      </c>
      <c r="R15">
        <v>0.96551719999999996</v>
      </c>
      <c r="S15">
        <v>48</v>
      </c>
      <c r="T15">
        <v>0.42857139999999999</v>
      </c>
      <c r="U15">
        <v>255</v>
      </c>
      <c r="V15" t="s">
        <v>127</v>
      </c>
      <c r="W15" t="s">
        <v>127</v>
      </c>
      <c r="X15" t="s">
        <v>127</v>
      </c>
      <c r="Y15" t="s">
        <v>127</v>
      </c>
      <c r="Z15" t="s">
        <v>127</v>
      </c>
      <c r="AA15" t="s">
        <v>127</v>
      </c>
      <c r="AB15" t="s">
        <v>127</v>
      </c>
      <c r="AC15" t="s">
        <v>127</v>
      </c>
      <c r="AD15">
        <v>20</v>
      </c>
      <c r="AE15" t="s">
        <v>127</v>
      </c>
      <c r="AF15" t="s">
        <v>127</v>
      </c>
      <c r="AG15" t="s">
        <v>127</v>
      </c>
      <c r="AH15" t="s">
        <v>127</v>
      </c>
      <c r="AI15" t="s">
        <v>127</v>
      </c>
      <c r="AJ15" t="s">
        <v>127</v>
      </c>
      <c r="AK15" t="s">
        <v>127</v>
      </c>
      <c r="AL15" t="s">
        <v>127</v>
      </c>
      <c r="AM15">
        <v>401</v>
      </c>
      <c r="AN15">
        <v>174</v>
      </c>
      <c r="AO15">
        <v>0.4339152</v>
      </c>
      <c r="AP15">
        <v>141</v>
      </c>
      <c r="AQ15">
        <v>0.81034479999999998</v>
      </c>
      <c r="AR15">
        <v>165</v>
      </c>
      <c r="AS15">
        <v>0.94827589999999995</v>
      </c>
      <c r="AT15">
        <v>84</v>
      </c>
      <c r="AU15">
        <v>0.50909090000000001</v>
      </c>
      <c r="AV15">
        <v>359</v>
      </c>
      <c r="AW15">
        <v>135</v>
      </c>
      <c r="AX15">
        <v>0.37604460000000001</v>
      </c>
      <c r="AY15">
        <v>135</v>
      </c>
      <c r="AZ15">
        <v>1</v>
      </c>
      <c r="BA15">
        <v>127</v>
      </c>
      <c r="BB15">
        <v>0.94074069999999999</v>
      </c>
      <c r="BC15">
        <v>68</v>
      </c>
      <c r="BD15">
        <v>0.5354331</v>
      </c>
      <c r="BE15">
        <v>42</v>
      </c>
      <c r="BF15">
        <v>6</v>
      </c>
      <c r="BG15">
        <v>0.14285709999999999</v>
      </c>
      <c r="BH15">
        <v>6</v>
      </c>
      <c r="BI15">
        <v>1</v>
      </c>
      <c r="BJ15">
        <v>6</v>
      </c>
      <c r="BK15">
        <v>1</v>
      </c>
      <c r="BL15">
        <v>5</v>
      </c>
      <c r="BM15">
        <v>0.83333330000000005</v>
      </c>
    </row>
    <row r="16" spans="1:65" x14ac:dyDescent="0.25">
      <c r="A16" t="s">
        <v>150</v>
      </c>
      <c r="B16" t="s">
        <v>151</v>
      </c>
      <c r="C16">
        <v>0</v>
      </c>
      <c r="D16">
        <v>0</v>
      </c>
      <c r="E16">
        <v>0</v>
      </c>
      <c r="F16">
        <v>0</v>
      </c>
      <c r="G16">
        <v>0</v>
      </c>
      <c r="H16">
        <v>0</v>
      </c>
      <c r="I16">
        <v>0</v>
      </c>
      <c r="J16">
        <v>0</v>
      </c>
      <c r="K16">
        <v>0</v>
      </c>
      <c r="L16">
        <v>0</v>
      </c>
      <c r="M16" t="s">
        <v>127</v>
      </c>
      <c r="N16" t="s">
        <v>127</v>
      </c>
      <c r="O16">
        <v>0</v>
      </c>
      <c r="P16" t="s">
        <v>127</v>
      </c>
      <c r="Q16" t="s">
        <v>127</v>
      </c>
      <c r="R16" t="s">
        <v>127</v>
      </c>
      <c r="S16">
        <v>0</v>
      </c>
      <c r="T16" t="s">
        <v>127</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row>
    <row r="17" spans="1:65" x14ac:dyDescent="0.25">
      <c r="A17" t="s">
        <v>152</v>
      </c>
      <c r="B17" t="s">
        <v>153</v>
      </c>
      <c r="C17">
        <v>424</v>
      </c>
      <c r="D17">
        <v>448</v>
      </c>
      <c r="E17">
        <v>1.0566038</v>
      </c>
      <c r="F17">
        <v>226</v>
      </c>
      <c r="G17">
        <v>0.50446429999999998</v>
      </c>
      <c r="H17">
        <v>423</v>
      </c>
      <c r="I17">
        <v>0.94419640000000005</v>
      </c>
      <c r="J17">
        <v>285</v>
      </c>
      <c r="K17">
        <v>0.67375890000000005</v>
      </c>
      <c r="L17">
        <v>239</v>
      </c>
      <c r="M17">
        <v>252</v>
      </c>
      <c r="N17">
        <v>1.0543933000000001</v>
      </c>
      <c r="O17">
        <v>120</v>
      </c>
      <c r="P17">
        <v>0.47619050000000002</v>
      </c>
      <c r="Q17">
        <v>248</v>
      </c>
      <c r="R17">
        <v>0.98412699999999997</v>
      </c>
      <c r="S17">
        <v>168</v>
      </c>
      <c r="T17">
        <v>0.6774194</v>
      </c>
      <c r="U17" t="s">
        <v>127</v>
      </c>
      <c r="V17">
        <v>120</v>
      </c>
      <c r="W17" t="s">
        <v>127</v>
      </c>
      <c r="X17">
        <v>120</v>
      </c>
      <c r="Y17">
        <v>1</v>
      </c>
      <c r="Z17">
        <v>118</v>
      </c>
      <c r="AA17">
        <v>0.98333329999999997</v>
      </c>
      <c r="AB17">
        <v>83</v>
      </c>
      <c r="AC17">
        <v>0.70338979999999995</v>
      </c>
      <c r="AD17" t="s">
        <v>127</v>
      </c>
      <c r="AE17">
        <v>0</v>
      </c>
      <c r="AF17" t="s">
        <v>127</v>
      </c>
      <c r="AG17">
        <v>0</v>
      </c>
      <c r="AH17">
        <v>0</v>
      </c>
      <c r="AI17">
        <v>0</v>
      </c>
      <c r="AJ17">
        <v>0</v>
      </c>
      <c r="AK17">
        <v>0</v>
      </c>
      <c r="AL17">
        <v>0</v>
      </c>
      <c r="AM17">
        <v>185</v>
      </c>
      <c r="AN17">
        <v>196</v>
      </c>
      <c r="AO17">
        <v>1.0594595</v>
      </c>
      <c r="AP17">
        <v>106</v>
      </c>
      <c r="AQ17">
        <v>0.54081630000000003</v>
      </c>
      <c r="AR17">
        <v>175</v>
      </c>
      <c r="AS17">
        <v>0.89285709999999996</v>
      </c>
      <c r="AT17">
        <v>117</v>
      </c>
      <c r="AU17">
        <v>0.66857140000000004</v>
      </c>
      <c r="AV17">
        <v>185</v>
      </c>
      <c r="AW17">
        <v>106</v>
      </c>
      <c r="AX17">
        <v>0.57297299999999995</v>
      </c>
      <c r="AY17">
        <v>106</v>
      </c>
      <c r="AZ17">
        <v>1</v>
      </c>
      <c r="BA17">
        <v>95</v>
      </c>
      <c r="BB17">
        <v>0.89622639999999998</v>
      </c>
      <c r="BC17">
        <v>66</v>
      </c>
      <c r="BD17">
        <v>0.69473680000000004</v>
      </c>
      <c r="BE17">
        <v>0</v>
      </c>
      <c r="BF17">
        <v>0</v>
      </c>
      <c r="BG17">
        <v>0</v>
      </c>
      <c r="BH17">
        <v>0</v>
      </c>
      <c r="BI17">
        <v>0</v>
      </c>
      <c r="BJ17">
        <v>0</v>
      </c>
      <c r="BK17">
        <v>0</v>
      </c>
      <c r="BL17">
        <v>0</v>
      </c>
      <c r="BM17">
        <v>0</v>
      </c>
    </row>
    <row r="18" spans="1:65" x14ac:dyDescent="0.25">
      <c r="A18" t="s">
        <v>154</v>
      </c>
      <c r="B18" t="s">
        <v>155</v>
      </c>
      <c r="C18">
        <v>325</v>
      </c>
      <c r="D18">
        <v>389</v>
      </c>
      <c r="E18">
        <v>1.1969231</v>
      </c>
      <c r="F18">
        <v>236</v>
      </c>
      <c r="G18">
        <v>0.6066838</v>
      </c>
      <c r="H18">
        <v>366</v>
      </c>
      <c r="I18">
        <v>0.94087399999999999</v>
      </c>
      <c r="J18">
        <v>262</v>
      </c>
      <c r="K18">
        <v>0.71584700000000001</v>
      </c>
      <c r="L18">
        <v>150</v>
      </c>
      <c r="M18">
        <v>168</v>
      </c>
      <c r="N18">
        <v>1.1200000000000001</v>
      </c>
      <c r="O18">
        <v>109</v>
      </c>
      <c r="P18">
        <v>0.64880950000000004</v>
      </c>
      <c r="Q18">
        <v>164</v>
      </c>
      <c r="R18">
        <v>0.97619049999999996</v>
      </c>
      <c r="S18">
        <v>127</v>
      </c>
      <c r="T18">
        <v>0.77439020000000003</v>
      </c>
      <c r="U18">
        <v>150</v>
      </c>
      <c r="V18">
        <v>109</v>
      </c>
      <c r="W18">
        <v>0.7266667</v>
      </c>
      <c r="X18">
        <v>109</v>
      </c>
      <c r="Y18">
        <v>1</v>
      </c>
      <c r="Z18">
        <v>106</v>
      </c>
      <c r="AA18">
        <v>0.97247709999999998</v>
      </c>
      <c r="AB18">
        <v>88</v>
      </c>
      <c r="AC18">
        <v>0.8301887</v>
      </c>
      <c r="AD18">
        <v>0</v>
      </c>
      <c r="AE18">
        <v>0</v>
      </c>
      <c r="AF18">
        <v>0</v>
      </c>
      <c r="AG18">
        <v>0</v>
      </c>
      <c r="AH18">
        <v>0</v>
      </c>
      <c r="AI18">
        <v>0</v>
      </c>
      <c r="AJ18">
        <v>0</v>
      </c>
      <c r="AK18">
        <v>0</v>
      </c>
      <c r="AL18">
        <v>0</v>
      </c>
      <c r="AM18">
        <v>175</v>
      </c>
      <c r="AN18">
        <v>221</v>
      </c>
      <c r="AO18">
        <v>1.2628571</v>
      </c>
      <c r="AP18">
        <v>127</v>
      </c>
      <c r="AQ18">
        <v>0.57466059999999997</v>
      </c>
      <c r="AR18">
        <v>202</v>
      </c>
      <c r="AS18">
        <v>0.91402709999999998</v>
      </c>
      <c r="AT18">
        <v>135</v>
      </c>
      <c r="AU18">
        <v>0.66831680000000004</v>
      </c>
      <c r="AV18" t="s">
        <v>127</v>
      </c>
      <c r="AW18" t="s">
        <v>127</v>
      </c>
      <c r="AX18" t="s">
        <v>127</v>
      </c>
      <c r="AY18" t="s">
        <v>127</v>
      </c>
      <c r="AZ18" t="s">
        <v>127</v>
      </c>
      <c r="BA18" t="s">
        <v>127</v>
      </c>
      <c r="BB18" t="s">
        <v>127</v>
      </c>
      <c r="BC18" t="s">
        <v>127</v>
      </c>
      <c r="BD18" t="s">
        <v>127</v>
      </c>
      <c r="BE18" t="s">
        <v>127</v>
      </c>
      <c r="BF18" t="s">
        <v>127</v>
      </c>
      <c r="BG18" t="s">
        <v>127</v>
      </c>
      <c r="BH18" t="s">
        <v>127</v>
      </c>
      <c r="BI18" t="s">
        <v>127</v>
      </c>
      <c r="BJ18" t="s">
        <v>127</v>
      </c>
      <c r="BK18" t="s">
        <v>127</v>
      </c>
      <c r="BL18" t="s">
        <v>127</v>
      </c>
      <c r="BM18" t="s">
        <v>127</v>
      </c>
    </row>
    <row r="19" spans="1:65" x14ac:dyDescent="0.25">
      <c r="A19" t="s">
        <v>156</v>
      </c>
      <c r="B19" t="s">
        <v>157</v>
      </c>
      <c r="C19">
        <v>168</v>
      </c>
      <c r="D19">
        <v>154</v>
      </c>
      <c r="E19">
        <v>0.91666669999999995</v>
      </c>
      <c r="F19">
        <v>110</v>
      </c>
      <c r="G19">
        <v>0.71428570000000002</v>
      </c>
      <c r="H19">
        <v>152</v>
      </c>
      <c r="I19">
        <v>0.98701300000000003</v>
      </c>
      <c r="J19">
        <v>97</v>
      </c>
      <c r="K19">
        <v>0.63815789999999994</v>
      </c>
      <c r="L19">
        <v>62</v>
      </c>
      <c r="M19">
        <v>57</v>
      </c>
      <c r="N19">
        <v>0.91935480000000003</v>
      </c>
      <c r="O19">
        <v>30</v>
      </c>
      <c r="P19">
        <v>0.5263158</v>
      </c>
      <c r="Q19">
        <v>57</v>
      </c>
      <c r="R19">
        <v>1</v>
      </c>
      <c r="S19">
        <v>33</v>
      </c>
      <c r="T19">
        <v>0.5789474</v>
      </c>
      <c r="U19">
        <v>62</v>
      </c>
      <c r="V19">
        <v>30</v>
      </c>
      <c r="W19">
        <v>0.483871</v>
      </c>
      <c r="X19">
        <v>30</v>
      </c>
      <c r="Y19">
        <v>1</v>
      </c>
      <c r="Z19">
        <v>30</v>
      </c>
      <c r="AA19">
        <v>1</v>
      </c>
      <c r="AB19">
        <v>16</v>
      </c>
      <c r="AC19">
        <v>0.53333330000000001</v>
      </c>
      <c r="AD19">
        <v>0</v>
      </c>
      <c r="AE19">
        <v>0</v>
      </c>
      <c r="AF19">
        <v>0</v>
      </c>
      <c r="AG19">
        <v>0</v>
      </c>
      <c r="AH19">
        <v>0</v>
      </c>
      <c r="AI19">
        <v>0</v>
      </c>
      <c r="AJ19">
        <v>0</v>
      </c>
      <c r="AK19">
        <v>0</v>
      </c>
      <c r="AL19">
        <v>0</v>
      </c>
      <c r="AM19">
        <v>106</v>
      </c>
      <c r="AN19">
        <v>97</v>
      </c>
      <c r="AO19">
        <v>0.91509430000000003</v>
      </c>
      <c r="AP19">
        <v>80</v>
      </c>
      <c r="AQ19">
        <v>0.82474230000000004</v>
      </c>
      <c r="AR19">
        <v>95</v>
      </c>
      <c r="AS19">
        <v>0.97938139999999996</v>
      </c>
      <c r="AT19">
        <v>64</v>
      </c>
      <c r="AU19">
        <v>0.67368419999999996</v>
      </c>
      <c r="AV19" t="s">
        <v>127</v>
      </c>
      <c r="AW19" t="s">
        <v>127</v>
      </c>
      <c r="AX19" t="s">
        <v>127</v>
      </c>
      <c r="AY19" t="s">
        <v>127</v>
      </c>
      <c r="AZ19" t="s">
        <v>127</v>
      </c>
      <c r="BA19" t="s">
        <v>127</v>
      </c>
      <c r="BB19" t="s">
        <v>127</v>
      </c>
      <c r="BC19" t="s">
        <v>127</v>
      </c>
      <c r="BD19" t="s">
        <v>127</v>
      </c>
      <c r="BE19" t="s">
        <v>127</v>
      </c>
      <c r="BF19" t="s">
        <v>127</v>
      </c>
      <c r="BG19" t="s">
        <v>127</v>
      </c>
      <c r="BH19" t="s">
        <v>127</v>
      </c>
      <c r="BI19" t="s">
        <v>127</v>
      </c>
      <c r="BJ19" t="s">
        <v>127</v>
      </c>
      <c r="BK19" t="s">
        <v>127</v>
      </c>
      <c r="BL19" t="s">
        <v>127</v>
      </c>
      <c r="BM19" t="s">
        <v>127</v>
      </c>
    </row>
    <row r="20" spans="1:65" x14ac:dyDescent="0.25">
      <c r="A20" t="s">
        <v>158</v>
      </c>
      <c r="B20" t="s">
        <v>159</v>
      </c>
      <c r="C20">
        <v>887</v>
      </c>
      <c r="D20">
        <v>913</v>
      </c>
      <c r="E20">
        <v>1.0293123</v>
      </c>
      <c r="F20">
        <v>556</v>
      </c>
      <c r="G20">
        <v>0.60898140000000001</v>
      </c>
      <c r="H20">
        <v>864</v>
      </c>
      <c r="I20">
        <v>0.94633080000000003</v>
      </c>
      <c r="J20">
        <v>484</v>
      </c>
      <c r="K20">
        <v>0.56018520000000005</v>
      </c>
      <c r="L20">
        <v>403</v>
      </c>
      <c r="M20">
        <v>415</v>
      </c>
      <c r="N20">
        <v>1.0297767</v>
      </c>
      <c r="O20">
        <v>254</v>
      </c>
      <c r="P20">
        <v>0.61204820000000004</v>
      </c>
      <c r="Q20">
        <v>392</v>
      </c>
      <c r="R20">
        <v>0.94457829999999998</v>
      </c>
      <c r="S20">
        <v>223</v>
      </c>
      <c r="T20">
        <v>0.56887759999999998</v>
      </c>
      <c r="U20">
        <v>378</v>
      </c>
      <c r="V20">
        <v>247</v>
      </c>
      <c r="W20">
        <v>0.6534392</v>
      </c>
      <c r="X20">
        <v>247</v>
      </c>
      <c r="Y20">
        <v>1</v>
      </c>
      <c r="Z20">
        <v>235</v>
      </c>
      <c r="AA20">
        <v>0.95141699999999996</v>
      </c>
      <c r="AB20">
        <v>145</v>
      </c>
      <c r="AC20">
        <v>0.61702129999999999</v>
      </c>
      <c r="AD20">
        <v>25</v>
      </c>
      <c r="AE20">
        <v>7</v>
      </c>
      <c r="AF20">
        <v>0.28000000000000003</v>
      </c>
      <c r="AG20">
        <v>7</v>
      </c>
      <c r="AH20">
        <v>1</v>
      </c>
      <c r="AI20">
        <v>6</v>
      </c>
      <c r="AJ20">
        <v>0.85714290000000004</v>
      </c>
      <c r="AK20">
        <v>3</v>
      </c>
      <c r="AL20">
        <v>0.5</v>
      </c>
      <c r="AM20">
        <v>484</v>
      </c>
      <c r="AN20">
        <v>498</v>
      </c>
      <c r="AO20">
        <v>1.0289256</v>
      </c>
      <c r="AP20">
        <v>302</v>
      </c>
      <c r="AQ20">
        <v>0.60642569999999996</v>
      </c>
      <c r="AR20">
        <v>472</v>
      </c>
      <c r="AS20">
        <v>0.94779119999999994</v>
      </c>
      <c r="AT20">
        <v>261</v>
      </c>
      <c r="AU20">
        <v>0.55296610000000002</v>
      </c>
      <c r="AV20">
        <v>463</v>
      </c>
      <c r="AW20">
        <v>291</v>
      </c>
      <c r="AX20">
        <v>0.62850969999999995</v>
      </c>
      <c r="AY20">
        <v>291</v>
      </c>
      <c r="AZ20">
        <v>1</v>
      </c>
      <c r="BA20">
        <v>277</v>
      </c>
      <c r="BB20">
        <v>0.95189000000000001</v>
      </c>
      <c r="BC20">
        <v>183</v>
      </c>
      <c r="BD20">
        <v>0.66064979999999995</v>
      </c>
      <c r="BE20">
        <v>21</v>
      </c>
      <c r="BF20">
        <v>11</v>
      </c>
      <c r="BG20">
        <v>0.52380950000000004</v>
      </c>
      <c r="BH20">
        <v>11</v>
      </c>
      <c r="BI20">
        <v>1</v>
      </c>
      <c r="BJ20">
        <v>11</v>
      </c>
      <c r="BK20">
        <v>1</v>
      </c>
      <c r="BL20">
        <v>4</v>
      </c>
      <c r="BM20">
        <v>0.36363640000000003</v>
      </c>
    </row>
    <row r="21" spans="1:65" x14ac:dyDescent="0.25">
      <c r="A21" t="s">
        <v>160</v>
      </c>
      <c r="B21" t="s">
        <v>161</v>
      </c>
      <c r="C21">
        <v>227</v>
      </c>
      <c r="D21">
        <v>213</v>
      </c>
      <c r="E21">
        <v>0.93832599999999999</v>
      </c>
      <c r="F21">
        <v>72</v>
      </c>
      <c r="G21">
        <v>0.3380282</v>
      </c>
      <c r="H21">
        <v>208</v>
      </c>
      <c r="I21">
        <v>0.9765258</v>
      </c>
      <c r="J21">
        <v>150</v>
      </c>
      <c r="K21">
        <v>0.72115379999999996</v>
      </c>
      <c r="L21">
        <v>95</v>
      </c>
      <c r="M21">
        <v>77</v>
      </c>
      <c r="N21">
        <v>0.81052630000000003</v>
      </c>
      <c r="O21">
        <v>29</v>
      </c>
      <c r="P21">
        <v>0.3766234</v>
      </c>
      <c r="Q21">
        <v>76</v>
      </c>
      <c r="R21">
        <v>0.98701300000000003</v>
      </c>
      <c r="S21">
        <v>55</v>
      </c>
      <c r="T21">
        <v>0.7236842</v>
      </c>
      <c r="U21">
        <v>95</v>
      </c>
      <c r="V21">
        <v>29</v>
      </c>
      <c r="W21">
        <v>0.30526320000000001</v>
      </c>
      <c r="X21">
        <v>29</v>
      </c>
      <c r="Y21">
        <v>1</v>
      </c>
      <c r="Z21">
        <v>29</v>
      </c>
      <c r="AA21">
        <v>1</v>
      </c>
      <c r="AB21">
        <v>21</v>
      </c>
      <c r="AC21">
        <v>0.7241379</v>
      </c>
      <c r="AD21">
        <v>0</v>
      </c>
      <c r="AE21">
        <v>0</v>
      </c>
      <c r="AF21">
        <v>0</v>
      </c>
      <c r="AG21">
        <v>0</v>
      </c>
      <c r="AH21">
        <v>0</v>
      </c>
      <c r="AI21">
        <v>0</v>
      </c>
      <c r="AJ21">
        <v>0</v>
      </c>
      <c r="AK21">
        <v>0</v>
      </c>
      <c r="AL21">
        <v>0</v>
      </c>
      <c r="AM21">
        <v>132</v>
      </c>
      <c r="AN21">
        <v>136</v>
      </c>
      <c r="AO21">
        <v>1.030303</v>
      </c>
      <c r="AP21">
        <v>43</v>
      </c>
      <c r="AQ21">
        <v>0.31617650000000003</v>
      </c>
      <c r="AR21">
        <v>132</v>
      </c>
      <c r="AS21">
        <v>0.97058820000000001</v>
      </c>
      <c r="AT21">
        <v>95</v>
      </c>
      <c r="AU21">
        <v>0.71969700000000003</v>
      </c>
      <c r="AV21" t="s">
        <v>127</v>
      </c>
      <c r="AW21">
        <v>43</v>
      </c>
      <c r="AX21">
        <v>0.33076919999999999</v>
      </c>
      <c r="AY21" t="s">
        <v>127</v>
      </c>
      <c r="AZ21">
        <v>1</v>
      </c>
      <c r="BA21">
        <v>43</v>
      </c>
      <c r="BB21">
        <v>1</v>
      </c>
      <c r="BC21">
        <v>33</v>
      </c>
      <c r="BD21">
        <v>0.76744190000000001</v>
      </c>
      <c r="BE21" t="s">
        <v>127</v>
      </c>
      <c r="BF21">
        <v>0</v>
      </c>
      <c r="BG21" t="s">
        <v>127</v>
      </c>
      <c r="BH21">
        <v>0</v>
      </c>
      <c r="BI21">
        <v>0</v>
      </c>
      <c r="BJ21">
        <v>0</v>
      </c>
      <c r="BK21">
        <v>0</v>
      </c>
      <c r="BL21">
        <v>0</v>
      </c>
      <c r="BM21">
        <v>0</v>
      </c>
    </row>
    <row r="22" spans="1:65" x14ac:dyDescent="0.25">
      <c r="A22" t="s">
        <v>162</v>
      </c>
      <c r="B22" t="s">
        <v>163</v>
      </c>
      <c r="C22">
        <v>264</v>
      </c>
      <c r="D22">
        <v>0</v>
      </c>
      <c r="E22">
        <v>0</v>
      </c>
      <c r="F22">
        <v>0</v>
      </c>
      <c r="G22">
        <v>0</v>
      </c>
      <c r="H22">
        <v>0</v>
      </c>
      <c r="I22">
        <v>0</v>
      </c>
      <c r="J22">
        <v>0</v>
      </c>
      <c r="K22">
        <v>0</v>
      </c>
      <c r="L22">
        <v>119</v>
      </c>
      <c r="M22">
        <v>0</v>
      </c>
      <c r="N22">
        <v>0</v>
      </c>
      <c r="O22">
        <v>0</v>
      </c>
      <c r="P22">
        <v>0</v>
      </c>
      <c r="Q22">
        <v>0</v>
      </c>
      <c r="R22">
        <v>0</v>
      </c>
      <c r="S22">
        <v>0</v>
      </c>
      <c r="T22">
        <v>0</v>
      </c>
      <c r="U22" t="s">
        <v>127</v>
      </c>
      <c r="V22">
        <v>0</v>
      </c>
      <c r="W22" t="s">
        <v>127</v>
      </c>
      <c r="X22">
        <v>0</v>
      </c>
      <c r="Y22">
        <v>0</v>
      </c>
      <c r="Z22">
        <v>0</v>
      </c>
      <c r="AA22">
        <v>0</v>
      </c>
      <c r="AB22">
        <v>0</v>
      </c>
      <c r="AC22">
        <v>0</v>
      </c>
      <c r="AD22" t="s">
        <v>127</v>
      </c>
      <c r="AE22">
        <v>0</v>
      </c>
      <c r="AF22" t="s">
        <v>127</v>
      </c>
      <c r="AG22">
        <v>0</v>
      </c>
      <c r="AH22">
        <v>0</v>
      </c>
      <c r="AI22">
        <v>0</v>
      </c>
      <c r="AJ22">
        <v>0</v>
      </c>
      <c r="AK22">
        <v>0</v>
      </c>
      <c r="AL22">
        <v>0</v>
      </c>
      <c r="AM22">
        <v>145</v>
      </c>
      <c r="AN22">
        <v>0</v>
      </c>
      <c r="AO22">
        <v>0</v>
      </c>
      <c r="AP22">
        <v>0</v>
      </c>
      <c r="AQ22">
        <v>0</v>
      </c>
      <c r="AR22">
        <v>0</v>
      </c>
      <c r="AS22">
        <v>0</v>
      </c>
      <c r="AT22">
        <v>0</v>
      </c>
      <c r="AU22">
        <v>0</v>
      </c>
      <c r="AV22" t="s">
        <v>127</v>
      </c>
      <c r="AW22">
        <v>0</v>
      </c>
      <c r="AX22">
        <v>0</v>
      </c>
      <c r="AY22" t="s">
        <v>127</v>
      </c>
      <c r="AZ22">
        <v>0</v>
      </c>
      <c r="BA22">
        <v>0</v>
      </c>
      <c r="BB22">
        <v>0</v>
      </c>
      <c r="BC22">
        <v>0</v>
      </c>
      <c r="BD22">
        <v>0</v>
      </c>
      <c r="BE22" t="s">
        <v>127</v>
      </c>
      <c r="BF22">
        <v>0</v>
      </c>
      <c r="BG22" t="s">
        <v>127</v>
      </c>
      <c r="BH22">
        <v>0</v>
      </c>
      <c r="BI22">
        <v>0</v>
      </c>
      <c r="BJ22">
        <v>0</v>
      </c>
      <c r="BK22">
        <v>0</v>
      </c>
      <c r="BL22">
        <v>0</v>
      </c>
      <c r="BM22">
        <v>0</v>
      </c>
    </row>
    <row r="23" spans="1:65" x14ac:dyDescent="0.25">
      <c r="A23" t="s">
        <v>164</v>
      </c>
      <c r="B23" t="s">
        <v>165</v>
      </c>
      <c r="C23">
        <v>0</v>
      </c>
      <c r="D23">
        <v>0</v>
      </c>
      <c r="E23">
        <v>0</v>
      </c>
      <c r="F23">
        <v>0</v>
      </c>
      <c r="G23">
        <v>0</v>
      </c>
      <c r="H23">
        <v>0</v>
      </c>
      <c r="I23">
        <v>0</v>
      </c>
      <c r="J23">
        <v>0</v>
      </c>
      <c r="K23">
        <v>0</v>
      </c>
      <c r="L23" t="s">
        <v>127</v>
      </c>
      <c r="M23">
        <v>0</v>
      </c>
      <c r="N23" t="s">
        <v>127</v>
      </c>
      <c r="O23">
        <v>0</v>
      </c>
      <c r="P23">
        <v>0</v>
      </c>
      <c r="Q23">
        <v>0</v>
      </c>
      <c r="R23">
        <v>0</v>
      </c>
      <c r="S23">
        <v>0</v>
      </c>
      <c r="T23">
        <v>0</v>
      </c>
      <c r="U23" t="s">
        <v>127</v>
      </c>
      <c r="V23">
        <v>0</v>
      </c>
      <c r="W23" t="s">
        <v>127</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row>
    <row r="24" spans="1:65" x14ac:dyDescent="0.25">
      <c r="A24" t="s">
        <v>166</v>
      </c>
      <c r="B24" t="s">
        <v>167</v>
      </c>
      <c r="C24">
        <v>47</v>
      </c>
      <c r="D24">
        <v>37</v>
      </c>
      <c r="E24">
        <v>0.78723399999999999</v>
      </c>
      <c r="F24">
        <v>9</v>
      </c>
      <c r="G24">
        <v>0.24324319999999999</v>
      </c>
      <c r="H24">
        <v>37</v>
      </c>
      <c r="I24">
        <v>1</v>
      </c>
      <c r="J24">
        <v>23</v>
      </c>
      <c r="K24">
        <v>0.6216216</v>
      </c>
      <c r="L24">
        <v>22</v>
      </c>
      <c r="M24">
        <v>22</v>
      </c>
      <c r="N24">
        <v>1</v>
      </c>
      <c r="O24">
        <v>5</v>
      </c>
      <c r="P24">
        <v>0.22727269999999999</v>
      </c>
      <c r="Q24">
        <v>22</v>
      </c>
      <c r="R24">
        <v>1</v>
      </c>
      <c r="S24">
        <v>17</v>
      </c>
      <c r="T24">
        <v>0.77272730000000001</v>
      </c>
      <c r="U24" t="s">
        <v>127</v>
      </c>
      <c r="V24" t="s">
        <v>127</v>
      </c>
      <c r="W24" t="s">
        <v>127</v>
      </c>
      <c r="X24" t="s">
        <v>127</v>
      </c>
      <c r="Y24" t="s">
        <v>127</v>
      </c>
      <c r="Z24" t="s">
        <v>127</v>
      </c>
      <c r="AA24" t="s">
        <v>127</v>
      </c>
      <c r="AB24" t="s">
        <v>127</v>
      </c>
      <c r="AC24" t="s">
        <v>127</v>
      </c>
      <c r="AD24" t="s">
        <v>127</v>
      </c>
      <c r="AE24">
        <v>0</v>
      </c>
      <c r="AF24" t="s">
        <v>127</v>
      </c>
      <c r="AG24">
        <v>0</v>
      </c>
      <c r="AH24">
        <v>0</v>
      </c>
      <c r="AI24">
        <v>0</v>
      </c>
      <c r="AJ24">
        <v>0</v>
      </c>
      <c r="AK24">
        <v>0</v>
      </c>
      <c r="AL24">
        <v>0</v>
      </c>
      <c r="AM24">
        <v>25</v>
      </c>
      <c r="AN24">
        <v>15</v>
      </c>
      <c r="AO24">
        <v>0.6</v>
      </c>
      <c r="AP24">
        <v>4</v>
      </c>
      <c r="AQ24">
        <v>0.26666669999999998</v>
      </c>
      <c r="AR24">
        <v>15</v>
      </c>
      <c r="AS24">
        <v>1</v>
      </c>
      <c r="AT24">
        <v>6</v>
      </c>
      <c r="AU24">
        <v>0.4</v>
      </c>
      <c r="AV24">
        <v>25</v>
      </c>
      <c r="AW24" t="s">
        <v>127</v>
      </c>
      <c r="AX24" t="s">
        <v>127</v>
      </c>
      <c r="AY24" t="s">
        <v>127</v>
      </c>
      <c r="AZ24" t="s">
        <v>127</v>
      </c>
      <c r="BA24" t="s">
        <v>127</v>
      </c>
      <c r="BB24" t="s">
        <v>127</v>
      </c>
      <c r="BC24" t="s">
        <v>127</v>
      </c>
      <c r="BD24" t="s">
        <v>127</v>
      </c>
      <c r="BE24">
        <v>0</v>
      </c>
      <c r="BF24">
        <v>0</v>
      </c>
      <c r="BG24">
        <v>0</v>
      </c>
      <c r="BH24">
        <v>0</v>
      </c>
      <c r="BI24">
        <v>0</v>
      </c>
      <c r="BJ24">
        <v>0</v>
      </c>
      <c r="BK24">
        <v>0</v>
      </c>
      <c r="BL24">
        <v>0</v>
      </c>
      <c r="BM24">
        <v>0</v>
      </c>
    </row>
    <row r="25" spans="1:65" x14ac:dyDescent="0.25">
      <c r="A25" t="s">
        <v>168</v>
      </c>
      <c r="B25" t="s">
        <v>169</v>
      </c>
      <c r="C25">
        <v>269</v>
      </c>
      <c r="D25">
        <v>110</v>
      </c>
      <c r="E25">
        <v>0.4089219</v>
      </c>
      <c r="F25">
        <v>79</v>
      </c>
      <c r="G25">
        <v>0.71818179999999998</v>
      </c>
      <c r="H25">
        <v>108</v>
      </c>
      <c r="I25">
        <v>0.98181819999999997</v>
      </c>
      <c r="J25">
        <v>52</v>
      </c>
      <c r="K25">
        <v>0.48148150000000001</v>
      </c>
      <c r="L25">
        <v>133</v>
      </c>
      <c r="M25">
        <v>50</v>
      </c>
      <c r="N25">
        <v>0.37593979999999999</v>
      </c>
      <c r="O25">
        <v>31</v>
      </c>
      <c r="P25">
        <v>0.62</v>
      </c>
      <c r="Q25">
        <v>50</v>
      </c>
      <c r="R25">
        <v>1</v>
      </c>
      <c r="S25">
        <v>24</v>
      </c>
      <c r="T25">
        <v>0.48</v>
      </c>
      <c r="U25" t="s">
        <v>127</v>
      </c>
      <c r="V25">
        <v>31</v>
      </c>
      <c r="W25" t="s">
        <v>127</v>
      </c>
      <c r="X25">
        <v>31</v>
      </c>
      <c r="Y25">
        <v>1</v>
      </c>
      <c r="Z25">
        <v>31</v>
      </c>
      <c r="AA25">
        <v>1</v>
      </c>
      <c r="AB25">
        <v>14</v>
      </c>
      <c r="AC25">
        <v>0.45161289999999998</v>
      </c>
      <c r="AD25" t="s">
        <v>127</v>
      </c>
      <c r="AE25">
        <v>0</v>
      </c>
      <c r="AF25" t="s">
        <v>127</v>
      </c>
      <c r="AG25">
        <v>0</v>
      </c>
      <c r="AH25">
        <v>0</v>
      </c>
      <c r="AI25">
        <v>0</v>
      </c>
      <c r="AJ25">
        <v>0</v>
      </c>
      <c r="AK25">
        <v>0</v>
      </c>
      <c r="AL25">
        <v>0</v>
      </c>
      <c r="AM25">
        <v>136</v>
      </c>
      <c r="AN25">
        <v>60</v>
      </c>
      <c r="AO25">
        <v>0.44117650000000003</v>
      </c>
      <c r="AP25">
        <v>48</v>
      </c>
      <c r="AQ25">
        <v>0.8</v>
      </c>
      <c r="AR25">
        <v>58</v>
      </c>
      <c r="AS25">
        <v>0.96666669999999999</v>
      </c>
      <c r="AT25">
        <v>28</v>
      </c>
      <c r="AU25">
        <v>0.48275859999999998</v>
      </c>
      <c r="AV25" t="s">
        <v>127</v>
      </c>
      <c r="AW25" t="s">
        <v>127</v>
      </c>
      <c r="AX25" t="s">
        <v>127</v>
      </c>
      <c r="AY25" t="s">
        <v>127</v>
      </c>
      <c r="AZ25" t="s">
        <v>127</v>
      </c>
      <c r="BA25" t="s">
        <v>127</v>
      </c>
      <c r="BB25" t="s">
        <v>127</v>
      </c>
      <c r="BC25" t="s">
        <v>127</v>
      </c>
      <c r="BD25">
        <v>0.46666669999999999</v>
      </c>
      <c r="BE25" t="s">
        <v>127</v>
      </c>
      <c r="BF25" t="s">
        <v>127</v>
      </c>
      <c r="BG25" t="s">
        <v>127</v>
      </c>
      <c r="BH25" t="s">
        <v>127</v>
      </c>
      <c r="BI25" t="s">
        <v>127</v>
      </c>
      <c r="BJ25" t="s">
        <v>127</v>
      </c>
      <c r="BK25" t="s">
        <v>127</v>
      </c>
      <c r="BL25">
        <v>0</v>
      </c>
      <c r="BM25" t="s">
        <v>127</v>
      </c>
    </row>
    <row r="26" spans="1:65" x14ac:dyDescent="0.25">
      <c r="A26" t="s">
        <v>170</v>
      </c>
      <c r="B26" t="s">
        <v>171</v>
      </c>
      <c r="C26">
        <v>522</v>
      </c>
      <c r="D26">
        <v>258</v>
      </c>
      <c r="E26">
        <v>0.4942529</v>
      </c>
      <c r="F26">
        <v>188</v>
      </c>
      <c r="G26">
        <v>0.72868219999999995</v>
      </c>
      <c r="H26">
        <v>255</v>
      </c>
      <c r="I26">
        <v>0.98837209999999998</v>
      </c>
      <c r="J26">
        <v>164</v>
      </c>
      <c r="K26">
        <v>0.64313730000000002</v>
      </c>
      <c r="L26">
        <v>238</v>
      </c>
      <c r="M26">
        <v>117</v>
      </c>
      <c r="N26">
        <v>0.49159659999999999</v>
      </c>
      <c r="O26">
        <v>86</v>
      </c>
      <c r="P26">
        <v>0.73504270000000005</v>
      </c>
      <c r="Q26">
        <v>117</v>
      </c>
      <c r="R26">
        <v>1</v>
      </c>
      <c r="S26">
        <v>80</v>
      </c>
      <c r="T26">
        <v>0.6837607</v>
      </c>
      <c r="U26">
        <v>229</v>
      </c>
      <c r="V26" t="s">
        <v>127</v>
      </c>
      <c r="W26" t="s">
        <v>127</v>
      </c>
      <c r="X26" t="s">
        <v>127</v>
      </c>
      <c r="Y26" t="s">
        <v>127</v>
      </c>
      <c r="Z26" t="s">
        <v>127</v>
      </c>
      <c r="AA26" t="s">
        <v>127</v>
      </c>
      <c r="AB26" t="s">
        <v>127</v>
      </c>
      <c r="AC26" t="s">
        <v>127</v>
      </c>
      <c r="AD26">
        <v>9</v>
      </c>
      <c r="AE26" t="s">
        <v>127</v>
      </c>
      <c r="AF26" t="s">
        <v>127</v>
      </c>
      <c r="AG26" t="s">
        <v>127</v>
      </c>
      <c r="AH26" t="s">
        <v>127</v>
      </c>
      <c r="AI26" t="s">
        <v>127</v>
      </c>
      <c r="AJ26" t="s">
        <v>127</v>
      </c>
      <c r="AK26" t="s">
        <v>127</v>
      </c>
      <c r="AL26" t="s">
        <v>127</v>
      </c>
      <c r="AM26">
        <v>284</v>
      </c>
      <c r="AN26">
        <v>141</v>
      </c>
      <c r="AO26">
        <v>0.4964789</v>
      </c>
      <c r="AP26">
        <v>102</v>
      </c>
      <c r="AQ26">
        <v>0.7234043</v>
      </c>
      <c r="AR26">
        <v>138</v>
      </c>
      <c r="AS26">
        <v>0.97872340000000002</v>
      </c>
      <c r="AT26">
        <v>84</v>
      </c>
      <c r="AU26">
        <v>0.60869569999999995</v>
      </c>
      <c r="AV26">
        <v>276</v>
      </c>
      <c r="AW26" t="s">
        <v>127</v>
      </c>
      <c r="AX26" t="s">
        <v>127</v>
      </c>
      <c r="AY26" t="s">
        <v>127</v>
      </c>
      <c r="AZ26" t="s">
        <v>127</v>
      </c>
      <c r="BA26" t="s">
        <v>127</v>
      </c>
      <c r="BB26" t="s">
        <v>127</v>
      </c>
      <c r="BC26" t="s">
        <v>127</v>
      </c>
      <c r="BD26" t="s">
        <v>127</v>
      </c>
      <c r="BE26">
        <v>8</v>
      </c>
      <c r="BF26" t="s">
        <v>127</v>
      </c>
      <c r="BG26" t="s">
        <v>127</v>
      </c>
      <c r="BH26" t="s">
        <v>127</v>
      </c>
      <c r="BI26" t="s">
        <v>127</v>
      </c>
      <c r="BJ26" t="s">
        <v>127</v>
      </c>
      <c r="BK26" t="s">
        <v>127</v>
      </c>
      <c r="BL26" t="s">
        <v>127</v>
      </c>
      <c r="BM26" t="s">
        <v>127</v>
      </c>
    </row>
    <row r="27" spans="1:65" x14ac:dyDescent="0.25">
      <c r="A27" t="s">
        <v>172</v>
      </c>
      <c r="B27" t="s">
        <v>173</v>
      </c>
      <c r="C27">
        <v>306</v>
      </c>
      <c r="D27">
        <v>299</v>
      </c>
      <c r="E27">
        <v>0.9771242</v>
      </c>
      <c r="F27">
        <v>203</v>
      </c>
      <c r="G27">
        <v>0.67892980000000003</v>
      </c>
      <c r="H27">
        <v>283</v>
      </c>
      <c r="I27">
        <v>0.94648829999999995</v>
      </c>
      <c r="J27">
        <v>147</v>
      </c>
      <c r="K27">
        <v>0.51943459999999997</v>
      </c>
      <c r="L27">
        <v>132</v>
      </c>
      <c r="M27">
        <v>135</v>
      </c>
      <c r="N27">
        <v>1.0227272999999999</v>
      </c>
      <c r="O27">
        <v>91</v>
      </c>
      <c r="P27">
        <v>0.67407410000000001</v>
      </c>
      <c r="Q27">
        <v>128</v>
      </c>
      <c r="R27">
        <v>0.94814810000000005</v>
      </c>
      <c r="S27">
        <v>69</v>
      </c>
      <c r="T27">
        <v>0.5390625</v>
      </c>
      <c r="U27" t="s">
        <v>127</v>
      </c>
      <c r="V27" t="s">
        <v>127</v>
      </c>
      <c r="W27" t="s">
        <v>127</v>
      </c>
      <c r="X27" t="s">
        <v>127</v>
      </c>
      <c r="Y27" t="s">
        <v>127</v>
      </c>
      <c r="Z27" t="s">
        <v>127</v>
      </c>
      <c r="AA27" t="s">
        <v>127</v>
      </c>
      <c r="AB27">
        <v>51</v>
      </c>
      <c r="AC27" t="s">
        <v>127</v>
      </c>
      <c r="AD27" t="s">
        <v>127</v>
      </c>
      <c r="AE27" t="s">
        <v>127</v>
      </c>
      <c r="AF27" t="s">
        <v>127</v>
      </c>
      <c r="AG27" t="s">
        <v>127</v>
      </c>
      <c r="AH27" t="s">
        <v>127</v>
      </c>
      <c r="AI27" t="s">
        <v>127</v>
      </c>
      <c r="AJ27" t="s">
        <v>127</v>
      </c>
      <c r="AK27">
        <v>0</v>
      </c>
      <c r="AL27" t="s">
        <v>127</v>
      </c>
      <c r="AM27">
        <v>174</v>
      </c>
      <c r="AN27">
        <v>164</v>
      </c>
      <c r="AO27">
        <v>0.9425287</v>
      </c>
      <c r="AP27">
        <v>112</v>
      </c>
      <c r="AQ27">
        <v>0.68292679999999995</v>
      </c>
      <c r="AR27">
        <v>155</v>
      </c>
      <c r="AS27">
        <v>0.94512200000000002</v>
      </c>
      <c r="AT27">
        <v>78</v>
      </c>
      <c r="AU27">
        <v>0.50322579999999995</v>
      </c>
      <c r="AV27">
        <v>165</v>
      </c>
      <c r="AW27">
        <v>104</v>
      </c>
      <c r="AX27">
        <v>0.63030299999999995</v>
      </c>
      <c r="AY27">
        <v>104</v>
      </c>
      <c r="AZ27">
        <v>1</v>
      </c>
      <c r="BA27">
        <v>99</v>
      </c>
      <c r="BB27">
        <v>0.95192310000000002</v>
      </c>
      <c r="BC27">
        <v>53</v>
      </c>
      <c r="BD27">
        <v>0.53535350000000004</v>
      </c>
      <c r="BE27">
        <v>9</v>
      </c>
      <c r="BF27">
        <v>8</v>
      </c>
      <c r="BG27">
        <v>0.88888889999999998</v>
      </c>
      <c r="BH27">
        <v>8</v>
      </c>
      <c r="BI27">
        <v>1</v>
      </c>
      <c r="BJ27">
        <v>7</v>
      </c>
      <c r="BK27">
        <v>0.875</v>
      </c>
      <c r="BL27">
        <v>4</v>
      </c>
      <c r="BM27">
        <v>0.57142859999999995</v>
      </c>
    </row>
    <row r="28" spans="1:65" x14ac:dyDescent="0.25">
      <c r="A28" t="s">
        <v>174</v>
      </c>
      <c r="B28" t="s">
        <v>175</v>
      </c>
      <c r="C28">
        <v>57</v>
      </c>
      <c r="D28">
        <v>50</v>
      </c>
      <c r="E28">
        <v>0.877193</v>
      </c>
      <c r="F28">
        <v>26</v>
      </c>
      <c r="G28">
        <v>0.52</v>
      </c>
      <c r="H28">
        <v>50</v>
      </c>
      <c r="I28">
        <v>1</v>
      </c>
      <c r="J28">
        <v>21</v>
      </c>
      <c r="K28">
        <v>0.42</v>
      </c>
      <c r="L28">
        <v>34</v>
      </c>
      <c r="M28">
        <v>22</v>
      </c>
      <c r="N28">
        <v>0.64705880000000005</v>
      </c>
      <c r="O28">
        <v>10</v>
      </c>
      <c r="P28">
        <v>0.45454549999999999</v>
      </c>
      <c r="Q28">
        <v>22</v>
      </c>
      <c r="R28">
        <v>1</v>
      </c>
      <c r="S28">
        <v>5</v>
      </c>
      <c r="T28">
        <v>0.22727269999999999</v>
      </c>
      <c r="U28">
        <v>25</v>
      </c>
      <c r="V28" t="s">
        <v>127</v>
      </c>
      <c r="W28" t="s">
        <v>127</v>
      </c>
      <c r="X28" t="s">
        <v>127</v>
      </c>
      <c r="Y28" t="s">
        <v>127</v>
      </c>
      <c r="Z28" t="s">
        <v>127</v>
      </c>
      <c r="AA28" t="s">
        <v>127</v>
      </c>
      <c r="AB28" t="s">
        <v>127</v>
      </c>
      <c r="AC28" t="s">
        <v>127</v>
      </c>
      <c r="AD28">
        <v>9</v>
      </c>
      <c r="AE28" t="s">
        <v>127</v>
      </c>
      <c r="AF28" t="s">
        <v>127</v>
      </c>
      <c r="AG28" t="s">
        <v>127</v>
      </c>
      <c r="AH28" t="s">
        <v>127</v>
      </c>
      <c r="AI28" t="s">
        <v>127</v>
      </c>
      <c r="AJ28" t="s">
        <v>127</v>
      </c>
      <c r="AK28" t="s">
        <v>127</v>
      </c>
      <c r="AL28" t="s">
        <v>127</v>
      </c>
      <c r="AM28">
        <v>23</v>
      </c>
      <c r="AN28">
        <v>28</v>
      </c>
      <c r="AO28">
        <v>1.2173913000000001</v>
      </c>
      <c r="AP28">
        <v>16</v>
      </c>
      <c r="AQ28">
        <v>0.57142859999999995</v>
      </c>
      <c r="AR28">
        <v>28</v>
      </c>
      <c r="AS28">
        <v>1</v>
      </c>
      <c r="AT28">
        <v>16</v>
      </c>
      <c r="AU28">
        <v>0.57142859999999995</v>
      </c>
      <c r="AV28">
        <v>15</v>
      </c>
      <c r="AW28" t="s">
        <v>127</v>
      </c>
      <c r="AX28" t="s">
        <v>127</v>
      </c>
      <c r="AY28" t="s">
        <v>127</v>
      </c>
      <c r="AZ28" t="s">
        <v>127</v>
      </c>
      <c r="BA28" t="s">
        <v>127</v>
      </c>
      <c r="BB28" t="s">
        <v>127</v>
      </c>
      <c r="BC28" t="s">
        <v>127</v>
      </c>
      <c r="BD28" t="s">
        <v>127</v>
      </c>
      <c r="BE28">
        <v>8</v>
      </c>
      <c r="BF28" t="s">
        <v>127</v>
      </c>
      <c r="BG28" t="s">
        <v>127</v>
      </c>
      <c r="BH28" t="s">
        <v>127</v>
      </c>
      <c r="BI28" t="s">
        <v>127</v>
      </c>
      <c r="BJ28" t="s">
        <v>127</v>
      </c>
      <c r="BK28" t="s">
        <v>127</v>
      </c>
      <c r="BL28" t="s">
        <v>127</v>
      </c>
      <c r="BM28" t="s">
        <v>127</v>
      </c>
    </row>
    <row r="29" spans="1:65" x14ac:dyDescent="0.25">
      <c r="A29" t="s">
        <v>176</v>
      </c>
      <c r="B29" t="s">
        <v>177</v>
      </c>
      <c r="C29">
        <v>0</v>
      </c>
      <c r="D29">
        <v>7</v>
      </c>
      <c r="E29">
        <v>0</v>
      </c>
      <c r="F29">
        <v>0</v>
      </c>
      <c r="G29">
        <v>0</v>
      </c>
      <c r="H29">
        <v>7</v>
      </c>
      <c r="I29">
        <v>1</v>
      </c>
      <c r="J29">
        <v>6</v>
      </c>
      <c r="K29">
        <v>0.85714290000000004</v>
      </c>
      <c r="L29">
        <v>0</v>
      </c>
      <c r="M29">
        <v>7</v>
      </c>
      <c r="N29">
        <v>0</v>
      </c>
      <c r="O29">
        <v>0</v>
      </c>
      <c r="P29">
        <v>0</v>
      </c>
      <c r="Q29">
        <v>7</v>
      </c>
      <c r="R29">
        <v>1</v>
      </c>
      <c r="S29">
        <v>6</v>
      </c>
      <c r="T29">
        <v>0.85714290000000004</v>
      </c>
      <c r="U29">
        <v>0</v>
      </c>
      <c r="V29">
        <v>0</v>
      </c>
      <c r="W29">
        <v>0</v>
      </c>
      <c r="X29">
        <v>0</v>
      </c>
      <c r="Y29">
        <v>0</v>
      </c>
      <c r="Z29">
        <v>0</v>
      </c>
      <c r="AA29">
        <v>0</v>
      </c>
      <c r="AB29">
        <v>0</v>
      </c>
      <c r="AC29">
        <v>0</v>
      </c>
      <c r="AD29">
        <v>0</v>
      </c>
      <c r="AE29">
        <v>0</v>
      </c>
      <c r="AF29">
        <v>0</v>
      </c>
      <c r="AG29">
        <v>0</v>
      </c>
      <c r="AH29">
        <v>0</v>
      </c>
      <c r="AI29">
        <v>0</v>
      </c>
      <c r="AJ29">
        <v>0</v>
      </c>
      <c r="AK29">
        <v>0</v>
      </c>
      <c r="AL29">
        <v>0</v>
      </c>
      <c r="AM29">
        <v>0</v>
      </c>
      <c r="AN29" t="s">
        <v>127</v>
      </c>
      <c r="AO29" t="s">
        <v>127</v>
      </c>
      <c r="AP29">
        <v>0</v>
      </c>
      <c r="AQ29" t="s">
        <v>127</v>
      </c>
      <c r="AR29" t="s">
        <v>127</v>
      </c>
      <c r="AS29" t="s">
        <v>127</v>
      </c>
      <c r="AT29" t="s">
        <v>127</v>
      </c>
      <c r="AU29" t="s">
        <v>127</v>
      </c>
      <c r="AV29">
        <v>0</v>
      </c>
      <c r="AW29">
        <v>0</v>
      </c>
      <c r="AX29">
        <v>0</v>
      </c>
      <c r="AY29">
        <v>0</v>
      </c>
      <c r="AZ29">
        <v>0</v>
      </c>
      <c r="BA29">
        <v>0</v>
      </c>
      <c r="BB29">
        <v>0</v>
      </c>
      <c r="BC29">
        <v>0</v>
      </c>
      <c r="BD29">
        <v>0</v>
      </c>
      <c r="BE29">
        <v>0</v>
      </c>
      <c r="BF29">
        <v>0</v>
      </c>
      <c r="BG29">
        <v>0</v>
      </c>
      <c r="BH29">
        <v>0</v>
      </c>
      <c r="BI29">
        <v>0</v>
      </c>
      <c r="BJ29">
        <v>0</v>
      </c>
      <c r="BK29">
        <v>0</v>
      </c>
      <c r="BL29">
        <v>0</v>
      </c>
      <c r="BM29">
        <v>0</v>
      </c>
    </row>
    <row r="30" spans="1:65" x14ac:dyDescent="0.25">
      <c r="A30" t="s">
        <v>178</v>
      </c>
      <c r="B30" t="s">
        <v>179</v>
      </c>
      <c r="C30">
        <v>777</v>
      </c>
      <c r="D30">
        <v>553</v>
      </c>
      <c r="E30">
        <v>0.71171169999999995</v>
      </c>
      <c r="F30">
        <v>298</v>
      </c>
      <c r="G30">
        <v>0.53887879999999999</v>
      </c>
      <c r="H30">
        <v>519</v>
      </c>
      <c r="I30">
        <v>0.93851720000000005</v>
      </c>
      <c r="J30">
        <v>297</v>
      </c>
      <c r="K30">
        <v>0.57225429999999999</v>
      </c>
      <c r="L30">
        <v>362</v>
      </c>
      <c r="M30">
        <v>266</v>
      </c>
      <c r="N30">
        <v>0.73480659999999998</v>
      </c>
      <c r="O30">
        <v>151</v>
      </c>
      <c r="P30">
        <v>0.56766919999999998</v>
      </c>
      <c r="Q30">
        <v>251</v>
      </c>
      <c r="R30">
        <v>0.94360900000000003</v>
      </c>
      <c r="S30">
        <v>152</v>
      </c>
      <c r="T30">
        <v>0.6055777</v>
      </c>
      <c r="U30">
        <v>335</v>
      </c>
      <c r="V30">
        <v>135</v>
      </c>
      <c r="W30">
        <v>0.40298509999999998</v>
      </c>
      <c r="X30">
        <v>135</v>
      </c>
      <c r="Y30">
        <v>1</v>
      </c>
      <c r="Z30">
        <v>131</v>
      </c>
      <c r="AA30">
        <v>0.97037039999999997</v>
      </c>
      <c r="AB30">
        <v>89</v>
      </c>
      <c r="AC30">
        <v>0.67938929999999997</v>
      </c>
      <c r="AD30">
        <v>27</v>
      </c>
      <c r="AE30">
        <v>16</v>
      </c>
      <c r="AF30">
        <v>0.59259260000000002</v>
      </c>
      <c r="AG30">
        <v>16</v>
      </c>
      <c r="AH30">
        <v>1</v>
      </c>
      <c r="AI30">
        <v>15</v>
      </c>
      <c r="AJ30">
        <v>0.9375</v>
      </c>
      <c r="AK30">
        <v>8</v>
      </c>
      <c r="AL30">
        <v>0.53333330000000001</v>
      </c>
      <c r="AM30">
        <v>415</v>
      </c>
      <c r="AN30">
        <v>287</v>
      </c>
      <c r="AO30">
        <v>0.69156629999999997</v>
      </c>
      <c r="AP30">
        <v>147</v>
      </c>
      <c r="AQ30">
        <v>0.51219510000000001</v>
      </c>
      <c r="AR30">
        <v>268</v>
      </c>
      <c r="AS30">
        <v>0.93379789999999996</v>
      </c>
      <c r="AT30">
        <v>145</v>
      </c>
      <c r="AU30">
        <v>0.54104479999999999</v>
      </c>
      <c r="AV30">
        <v>401</v>
      </c>
      <c r="AW30" t="s">
        <v>127</v>
      </c>
      <c r="AX30" t="s">
        <v>127</v>
      </c>
      <c r="AY30" t="s">
        <v>127</v>
      </c>
      <c r="AZ30" t="s">
        <v>127</v>
      </c>
      <c r="BA30" t="s">
        <v>127</v>
      </c>
      <c r="BB30" t="s">
        <v>127</v>
      </c>
      <c r="BC30" t="s">
        <v>127</v>
      </c>
      <c r="BD30" t="s">
        <v>127</v>
      </c>
      <c r="BE30">
        <v>14</v>
      </c>
      <c r="BF30" t="s">
        <v>127</v>
      </c>
      <c r="BG30" t="s">
        <v>127</v>
      </c>
      <c r="BH30" t="s">
        <v>127</v>
      </c>
      <c r="BI30" t="s">
        <v>127</v>
      </c>
      <c r="BJ30" t="s">
        <v>127</v>
      </c>
      <c r="BK30" t="s">
        <v>127</v>
      </c>
      <c r="BL30" t="s">
        <v>127</v>
      </c>
      <c r="BM30" t="s">
        <v>127</v>
      </c>
    </row>
    <row r="31" spans="1:65" x14ac:dyDescent="0.25">
      <c r="A31" t="s">
        <v>180</v>
      </c>
      <c r="B31" t="s">
        <v>181</v>
      </c>
      <c r="C31">
        <v>741</v>
      </c>
      <c r="D31">
        <v>426</v>
      </c>
      <c r="E31">
        <v>0.57489880000000004</v>
      </c>
      <c r="F31">
        <v>331</v>
      </c>
      <c r="G31">
        <v>0.77699530000000006</v>
      </c>
      <c r="H31">
        <v>417</v>
      </c>
      <c r="I31">
        <v>0.9788732</v>
      </c>
      <c r="J31">
        <v>244</v>
      </c>
      <c r="K31">
        <v>0.58513190000000004</v>
      </c>
      <c r="L31">
        <v>357</v>
      </c>
      <c r="M31">
        <v>226</v>
      </c>
      <c r="N31">
        <v>0.63305319999999998</v>
      </c>
      <c r="O31">
        <v>176</v>
      </c>
      <c r="P31">
        <v>0.77876109999999998</v>
      </c>
      <c r="Q31">
        <v>219</v>
      </c>
      <c r="R31">
        <v>0.96902650000000001</v>
      </c>
      <c r="S31">
        <v>139</v>
      </c>
      <c r="T31">
        <v>0.63470320000000002</v>
      </c>
      <c r="U31">
        <v>343</v>
      </c>
      <c r="V31">
        <v>168</v>
      </c>
      <c r="W31">
        <v>0.48979590000000001</v>
      </c>
      <c r="X31">
        <v>168</v>
      </c>
      <c r="Y31">
        <v>1</v>
      </c>
      <c r="Z31">
        <v>163</v>
      </c>
      <c r="AA31">
        <v>0.97023809999999999</v>
      </c>
      <c r="AB31">
        <v>102</v>
      </c>
      <c r="AC31">
        <v>0.62576690000000001</v>
      </c>
      <c r="AD31">
        <v>14</v>
      </c>
      <c r="AE31">
        <v>8</v>
      </c>
      <c r="AF31">
        <v>0.57142859999999995</v>
      </c>
      <c r="AG31">
        <v>8</v>
      </c>
      <c r="AH31">
        <v>1</v>
      </c>
      <c r="AI31">
        <v>7</v>
      </c>
      <c r="AJ31">
        <v>0.875</v>
      </c>
      <c r="AK31">
        <v>5</v>
      </c>
      <c r="AL31">
        <v>0.71428570000000002</v>
      </c>
      <c r="AM31">
        <v>384</v>
      </c>
      <c r="AN31">
        <v>200</v>
      </c>
      <c r="AO31">
        <v>0.52083330000000005</v>
      </c>
      <c r="AP31">
        <v>155</v>
      </c>
      <c r="AQ31">
        <v>0.77500000000000002</v>
      </c>
      <c r="AR31">
        <v>198</v>
      </c>
      <c r="AS31">
        <v>0.99</v>
      </c>
      <c r="AT31">
        <v>105</v>
      </c>
      <c r="AU31">
        <v>0.53030299999999997</v>
      </c>
      <c r="AV31">
        <v>347</v>
      </c>
      <c r="AW31">
        <v>143</v>
      </c>
      <c r="AX31">
        <v>0.41210370000000002</v>
      </c>
      <c r="AY31">
        <v>143</v>
      </c>
      <c r="AZ31">
        <v>1</v>
      </c>
      <c r="BA31">
        <v>141</v>
      </c>
      <c r="BB31">
        <v>0.98601399999999995</v>
      </c>
      <c r="BC31">
        <v>72</v>
      </c>
      <c r="BD31">
        <v>0.51063829999999999</v>
      </c>
      <c r="BE31">
        <v>37</v>
      </c>
      <c r="BF31">
        <v>12</v>
      </c>
      <c r="BG31">
        <v>0.32432430000000001</v>
      </c>
      <c r="BH31">
        <v>12</v>
      </c>
      <c r="BI31">
        <v>1</v>
      </c>
      <c r="BJ31">
        <v>12</v>
      </c>
      <c r="BK31">
        <v>1</v>
      </c>
      <c r="BL31">
        <v>5</v>
      </c>
      <c r="BM31">
        <v>0.4166667</v>
      </c>
    </row>
    <row r="32" spans="1:65" x14ac:dyDescent="0.25">
      <c r="A32" t="s">
        <v>182</v>
      </c>
      <c r="B32" t="s">
        <v>183</v>
      </c>
      <c r="C32">
        <v>412</v>
      </c>
      <c r="D32">
        <v>484</v>
      </c>
      <c r="E32">
        <v>1.1747573</v>
      </c>
      <c r="F32">
        <v>278</v>
      </c>
      <c r="G32">
        <v>0.57438020000000001</v>
      </c>
      <c r="H32">
        <v>461</v>
      </c>
      <c r="I32">
        <v>0.95247930000000003</v>
      </c>
      <c r="J32">
        <v>261</v>
      </c>
      <c r="K32">
        <v>0.56616049999999996</v>
      </c>
      <c r="L32">
        <v>223</v>
      </c>
      <c r="M32">
        <v>257</v>
      </c>
      <c r="N32">
        <v>1.1524664</v>
      </c>
      <c r="O32">
        <v>154</v>
      </c>
      <c r="P32">
        <v>0.59922180000000003</v>
      </c>
      <c r="Q32">
        <v>243</v>
      </c>
      <c r="R32">
        <v>0.94552530000000001</v>
      </c>
      <c r="S32">
        <v>150</v>
      </c>
      <c r="T32">
        <v>0.61728400000000005</v>
      </c>
      <c r="U32">
        <v>192</v>
      </c>
      <c r="V32">
        <v>136</v>
      </c>
      <c r="W32">
        <v>0.70833330000000005</v>
      </c>
      <c r="X32">
        <v>136</v>
      </c>
      <c r="Y32">
        <v>1</v>
      </c>
      <c r="Z32">
        <v>130</v>
      </c>
      <c r="AA32">
        <v>0.95588240000000002</v>
      </c>
      <c r="AB32">
        <v>86</v>
      </c>
      <c r="AC32">
        <v>0.66153850000000003</v>
      </c>
      <c r="AD32">
        <v>31</v>
      </c>
      <c r="AE32">
        <v>18</v>
      </c>
      <c r="AF32">
        <v>0.58064519999999997</v>
      </c>
      <c r="AG32">
        <v>18</v>
      </c>
      <c r="AH32">
        <v>1</v>
      </c>
      <c r="AI32">
        <v>18</v>
      </c>
      <c r="AJ32">
        <v>1</v>
      </c>
      <c r="AK32">
        <v>14</v>
      </c>
      <c r="AL32">
        <v>0.77777779999999996</v>
      </c>
      <c r="AM32">
        <v>189</v>
      </c>
      <c r="AN32">
        <v>227</v>
      </c>
      <c r="AO32">
        <v>1.2010582000000001</v>
      </c>
      <c r="AP32">
        <v>124</v>
      </c>
      <c r="AQ32">
        <v>0.5462555</v>
      </c>
      <c r="AR32">
        <v>218</v>
      </c>
      <c r="AS32">
        <v>0.96035239999999999</v>
      </c>
      <c r="AT32">
        <v>111</v>
      </c>
      <c r="AU32">
        <v>0.50917429999999997</v>
      </c>
      <c r="AV32">
        <v>165</v>
      </c>
      <c r="AW32">
        <v>114</v>
      </c>
      <c r="AX32">
        <v>0.69090910000000005</v>
      </c>
      <c r="AY32">
        <v>114</v>
      </c>
      <c r="AZ32">
        <v>1</v>
      </c>
      <c r="BA32">
        <v>110</v>
      </c>
      <c r="BB32">
        <v>0.96491229999999995</v>
      </c>
      <c r="BC32">
        <v>66</v>
      </c>
      <c r="BD32">
        <v>0.6</v>
      </c>
      <c r="BE32">
        <v>24</v>
      </c>
      <c r="BF32">
        <v>10</v>
      </c>
      <c r="BG32">
        <v>0.4166667</v>
      </c>
      <c r="BH32">
        <v>10</v>
      </c>
      <c r="BI32">
        <v>1</v>
      </c>
      <c r="BJ32">
        <v>10</v>
      </c>
      <c r="BK32">
        <v>1</v>
      </c>
      <c r="BL32">
        <v>5</v>
      </c>
      <c r="BM32">
        <v>0.5</v>
      </c>
    </row>
    <row r="33" spans="1:65" x14ac:dyDescent="0.25">
      <c r="A33" t="s">
        <v>184</v>
      </c>
      <c r="B33" t="s">
        <v>185</v>
      </c>
      <c r="C33">
        <v>209</v>
      </c>
      <c r="D33">
        <v>143</v>
      </c>
      <c r="E33">
        <v>0.68421050000000005</v>
      </c>
      <c r="F33">
        <v>99</v>
      </c>
      <c r="G33">
        <v>0.69230769999999997</v>
      </c>
      <c r="H33">
        <v>136</v>
      </c>
      <c r="I33">
        <v>0.95104900000000003</v>
      </c>
      <c r="J33">
        <v>82</v>
      </c>
      <c r="K33">
        <v>0.60294119999999995</v>
      </c>
      <c r="L33">
        <v>76</v>
      </c>
      <c r="M33">
        <v>54</v>
      </c>
      <c r="N33">
        <v>0.71052630000000006</v>
      </c>
      <c r="O33">
        <v>30</v>
      </c>
      <c r="P33">
        <v>0.55555560000000004</v>
      </c>
      <c r="Q33">
        <v>54</v>
      </c>
      <c r="R33">
        <v>1</v>
      </c>
      <c r="S33">
        <v>28</v>
      </c>
      <c r="T33">
        <v>0.51851849999999999</v>
      </c>
      <c r="U33" t="s">
        <v>127</v>
      </c>
      <c r="V33">
        <v>30</v>
      </c>
      <c r="W33" t="s">
        <v>127</v>
      </c>
      <c r="X33">
        <v>30</v>
      </c>
      <c r="Y33">
        <v>1</v>
      </c>
      <c r="Z33">
        <v>30</v>
      </c>
      <c r="AA33">
        <v>1</v>
      </c>
      <c r="AB33">
        <v>17</v>
      </c>
      <c r="AC33">
        <v>0.56666669999999997</v>
      </c>
      <c r="AD33" t="s">
        <v>127</v>
      </c>
      <c r="AE33">
        <v>0</v>
      </c>
      <c r="AF33" t="s">
        <v>127</v>
      </c>
      <c r="AG33">
        <v>0</v>
      </c>
      <c r="AH33">
        <v>0</v>
      </c>
      <c r="AI33">
        <v>0</v>
      </c>
      <c r="AJ33">
        <v>0</v>
      </c>
      <c r="AK33">
        <v>0</v>
      </c>
      <c r="AL33">
        <v>0</v>
      </c>
      <c r="AM33">
        <v>133</v>
      </c>
      <c r="AN33">
        <v>89</v>
      </c>
      <c r="AO33">
        <v>0.66917289999999996</v>
      </c>
      <c r="AP33">
        <v>69</v>
      </c>
      <c r="AQ33">
        <v>0.77528090000000005</v>
      </c>
      <c r="AR33">
        <v>82</v>
      </c>
      <c r="AS33">
        <v>0.92134830000000001</v>
      </c>
      <c r="AT33">
        <v>54</v>
      </c>
      <c r="AU33">
        <v>0.65853660000000003</v>
      </c>
      <c r="AV33" t="s">
        <v>127</v>
      </c>
      <c r="AW33" t="s">
        <v>127</v>
      </c>
      <c r="AX33" t="s">
        <v>127</v>
      </c>
      <c r="AY33" t="s">
        <v>127</v>
      </c>
      <c r="AZ33" t="s">
        <v>127</v>
      </c>
      <c r="BA33" t="s">
        <v>127</v>
      </c>
      <c r="BB33" t="s">
        <v>127</v>
      </c>
      <c r="BC33" t="s">
        <v>127</v>
      </c>
      <c r="BD33" t="s">
        <v>127</v>
      </c>
      <c r="BE33" t="s">
        <v>127</v>
      </c>
      <c r="BF33" t="s">
        <v>127</v>
      </c>
      <c r="BG33" t="s">
        <v>127</v>
      </c>
      <c r="BH33" t="s">
        <v>127</v>
      </c>
      <c r="BI33" t="s">
        <v>127</v>
      </c>
      <c r="BJ33" t="s">
        <v>127</v>
      </c>
      <c r="BK33" t="s">
        <v>127</v>
      </c>
      <c r="BL33" t="s">
        <v>127</v>
      </c>
      <c r="BM33" t="s">
        <v>127</v>
      </c>
    </row>
    <row r="34" spans="1:65" x14ac:dyDescent="0.25">
      <c r="A34" t="s">
        <v>186</v>
      </c>
      <c r="B34" t="s">
        <v>187</v>
      </c>
      <c r="C34">
        <v>276</v>
      </c>
      <c r="D34">
        <v>232</v>
      </c>
      <c r="E34">
        <v>0.84057970000000004</v>
      </c>
      <c r="F34">
        <v>129</v>
      </c>
      <c r="G34">
        <v>0.55603449999999999</v>
      </c>
      <c r="H34">
        <v>227</v>
      </c>
      <c r="I34">
        <v>0.97844830000000005</v>
      </c>
      <c r="J34">
        <v>142</v>
      </c>
      <c r="K34">
        <v>0.62555070000000002</v>
      </c>
      <c r="L34">
        <v>104</v>
      </c>
      <c r="M34">
        <v>102</v>
      </c>
      <c r="N34">
        <v>0.98076920000000001</v>
      </c>
      <c r="O34">
        <v>53</v>
      </c>
      <c r="P34">
        <v>0.51960779999999995</v>
      </c>
      <c r="Q34">
        <v>99</v>
      </c>
      <c r="R34">
        <v>0.97058820000000001</v>
      </c>
      <c r="S34">
        <v>61</v>
      </c>
      <c r="T34">
        <v>0.61616159999999998</v>
      </c>
      <c r="U34">
        <v>104</v>
      </c>
      <c r="V34">
        <v>53</v>
      </c>
      <c r="W34">
        <v>0.50961540000000005</v>
      </c>
      <c r="X34">
        <v>53</v>
      </c>
      <c r="Y34">
        <v>1</v>
      </c>
      <c r="Z34">
        <v>53</v>
      </c>
      <c r="AA34">
        <v>1</v>
      </c>
      <c r="AB34">
        <v>33</v>
      </c>
      <c r="AC34">
        <v>0.62264149999999996</v>
      </c>
      <c r="AD34">
        <v>0</v>
      </c>
      <c r="AE34">
        <v>0</v>
      </c>
      <c r="AF34">
        <v>0</v>
      </c>
      <c r="AG34">
        <v>0</v>
      </c>
      <c r="AH34">
        <v>0</v>
      </c>
      <c r="AI34">
        <v>0</v>
      </c>
      <c r="AJ34">
        <v>0</v>
      </c>
      <c r="AK34">
        <v>0</v>
      </c>
      <c r="AL34">
        <v>0</v>
      </c>
      <c r="AM34">
        <v>172</v>
      </c>
      <c r="AN34">
        <v>130</v>
      </c>
      <c r="AO34">
        <v>0.75581399999999999</v>
      </c>
      <c r="AP34">
        <v>76</v>
      </c>
      <c r="AQ34">
        <v>0.58461540000000001</v>
      </c>
      <c r="AR34">
        <v>128</v>
      </c>
      <c r="AS34">
        <v>0.98461540000000003</v>
      </c>
      <c r="AT34">
        <v>81</v>
      </c>
      <c r="AU34">
        <v>0.6328125</v>
      </c>
      <c r="AV34">
        <v>172</v>
      </c>
      <c r="AW34">
        <v>76</v>
      </c>
      <c r="AX34">
        <v>0.44186049999999999</v>
      </c>
      <c r="AY34">
        <v>76</v>
      </c>
      <c r="AZ34">
        <v>1</v>
      </c>
      <c r="BA34">
        <v>74</v>
      </c>
      <c r="BB34">
        <v>0.9736842</v>
      </c>
      <c r="BC34">
        <v>50</v>
      </c>
      <c r="BD34">
        <v>0.67567569999999999</v>
      </c>
      <c r="BE34">
        <v>0</v>
      </c>
      <c r="BF34">
        <v>0</v>
      </c>
      <c r="BG34">
        <v>0</v>
      </c>
      <c r="BH34">
        <v>0</v>
      </c>
      <c r="BI34">
        <v>0</v>
      </c>
      <c r="BJ34">
        <v>0</v>
      </c>
      <c r="BK34">
        <v>0</v>
      </c>
      <c r="BL34">
        <v>0</v>
      </c>
      <c r="BM34">
        <v>0</v>
      </c>
    </row>
    <row r="35" spans="1:65" x14ac:dyDescent="0.25">
      <c r="A35" t="s">
        <v>188</v>
      </c>
      <c r="B35" t="s">
        <v>189</v>
      </c>
      <c r="C35">
        <v>657</v>
      </c>
      <c r="D35">
        <v>179</v>
      </c>
      <c r="E35">
        <v>0.27245049999999998</v>
      </c>
      <c r="F35">
        <v>57</v>
      </c>
      <c r="G35">
        <v>0.31843579999999999</v>
      </c>
      <c r="H35">
        <v>177</v>
      </c>
      <c r="I35">
        <v>0.98882680000000001</v>
      </c>
      <c r="J35">
        <v>86</v>
      </c>
      <c r="K35">
        <v>0.48587570000000002</v>
      </c>
      <c r="L35">
        <v>296</v>
      </c>
      <c r="M35">
        <v>96</v>
      </c>
      <c r="N35">
        <v>0.32432430000000001</v>
      </c>
      <c r="O35">
        <v>39</v>
      </c>
      <c r="P35">
        <v>0.40625</v>
      </c>
      <c r="Q35">
        <v>95</v>
      </c>
      <c r="R35">
        <v>0.98958330000000005</v>
      </c>
      <c r="S35">
        <v>60</v>
      </c>
      <c r="T35">
        <v>0.63157890000000005</v>
      </c>
      <c r="U35">
        <v>288</v>
      </c>
      <c r="V35">
        <v>39</v>
      </c>
      <c r="W35">
        <v>0.1354167</v>
      </c>
      <c r="X35">
        <v>39</v>
      </c>
      <c r="Y35">
        <v>1</v>
      </c>
      <c r="Z35">
        <v>38</v>
      </c>
      <c r="AA35">
        <v>0.97435899999999998</v>
      </c>
      <c r="AB35">
        <v>27</v>
      </c>
      <c r="AC35">
        <v>0.71052630000000006</v>
      </c>
      <c r="AD35">
        <v>8</v>
      </c>
      <c r="AE35">
        <v>0</v>
      </c>
      <c r="AF35">
        <v>0</v>
      </c>
      <c r="AG35">
        <v>0</v>
      </c>
      <c r="AH35">
        <v>0</v>
      </c>
      <c r="AI35">
        <v>0</v>
      </c>
      <c r="AJ35">
        <v>0</v>
      </c>
      <c r="AK35">
        <v>0</v>
      </c>
      <c r="AL35">
        <v>0</v>
      </c>
      <c r="AM35">
        <v>361</v>
      </c>
      <c r="AN35">
        <v>83</v>
      </c>
      <c r="AO35">
        <v>0.22991690000000001</v>
      </c>
      <c r="AP35">
        <v>18</v>
      </c>
      <c r="AQ35">
        <v>0.21686749999999999</v>
      </c>
      <c r="AR35">
        <v>82</v>
      </c>
      <c r="AS35">
        <v>0.98795180000000005</v>
      </c>
      <c r="AT35">
        <v>26</v>
      </c>
      <c r="AU35">
        <v>0.3170732</v>
      </c>
      <c r="AV35">
        <v>345</v>
      </c>
      <c r="AW35" t="s">
        <v>127</v>
      </c>
      <c r="AX35" t="s">
        <v>127</v>
      </c>
      <c r="AY35" t="s">
        <v>127</v>
      </c>
      <c r="AZ35" t="s">
        <v>127</v>
      </c>
      <c r="BA35" t="s">
        <v>127</v>
      </c>
      <c r="BB35" t="s">
        <v>127</v>
      </c>
      <c r="BC35" t="s">
        <v>127</v>
      </c>
      <c r="BD35" t="s">
        <v>127</v>
      </c>
      <c r="BE35">
        <v>16</v>
      </c>
      <c r="BF35" t="s">
        <v>127</v>
      </c>
      <c r="BG35" t="s">
        <v>127</v>
      </c>
      <c r="BH35" t="s">
        <v>127</v>
      </c>
      <c r="BI35" t="s">
        <v>127</v>
      </c>
      <c r="BJ35" t="s">
        <v>127</v>
      </c>
      <c r="BK35" t="s">
        <v>127</v>
      </c>
      <c r="BL35" t="s">
        <v>127</v>
      </c>
      <c r="BM35" t="s">
        <v>127</v>
      </c>
    </row>
    <row r="36" spans="1:65" x14ac:dyDescent="0.25">
      <c r="A36" t="s">
        <v>190</v>
      </c>
      <c r="B36" t="s">
        <v>191</v>
      </c>
      <c r="C36">
        <v>214</v>
      </c>
      <c r="D36">
        <v>148</v>
      </c>
      <c r="E36">
        <v>0.6915888</v>
      </c>
      <c r="F36">
        <v>102</v>
      </c>
      <c r="G36">
        <v>0.68918919999999995</v>
      </c>
      <c r="H36">
        <v>143</v>
      </c>
      <c r="I36">
        <v>0.96621619999999997</v>
      </c>
      <c r="J36">
        <v>97</v>
      </c>
      <c r="K36">
        <v>0.67832170000000003</v>
      </c>
      <c r="L36">
        <v>115</v>
      </c>
      <c r="M36">
        <v>78</v>
      </c>
      <c r="N36">
        <v>0.67826090000000006</v>
      </c>
      <c r="O36">
        <v>52</v>
      </c>
      <c r="P36">
        <v>0.66666669999999995</v>
      </c>
      <c r="Q36">
        <v>77</v>
      </c>
      <c r="R36">
        <v>0.98717949999999999</v>
      </c>
      <c r="S36">
        <v>51</v>
      </c>
      <c r="T36">
        <v>0.66233770000000003</v>
      </c>
      <c r="U36" t="s">
        <v>127</v>
      </c>
      <c r="V36" t="s">
        <v>127</v>
      </c>
      <c r="W36" t="s">
        <v>127</v>
      </c>
      <c r="X36" t="s">
        <v>127</v>
      </c>
      <c r="Y36" t="s">
        <v>127</v>
      </c>
      <c r="Z36" t="s">
        <v>127</v>
      </c>
      <c r="AA36" t="s">
        <v>127</v>
      </c>
      <c r="AB36">
        <v>35</v>
      </c>
      <c r="AC36" t="s">
        <v>127</v>
      </c>
      <c r="AD36" t="s">
        <v>127</v>
      </c>
      <c r="AE36" t="s">
        <v>127</v>
      </c>
      <c r="AF36" t="s">
        <v>127</v>
      </c>
      <c r="AG36" t="s">
        <v>127</v>
      </c>
      <c r="AH36" t="s">
        <v>127</v>
      </c>
      <c r="AI36" t="s">
        <v>127</v>
      </c>
      <c r="AJ36" t="s">
        <v>127</v>
      </c>
      <c r="AK36">
        <v>0</v>
      </c>
      <c r="AL36" t="s">
        <v>127</v>
      </c>
      <c r="AM36">
        <v>99</v>
      </c>
      <c r="AN36">
        <v>70</v>
      </c>
      <c r="AO36">
        <v>0.70707070000000005</v>
      </c>
      <c r="AP36">
        <v>50</v>
      </c>
      <c r="AQ36">
        <v>0.71428570000000002</v>
      </c>
      <c r="AR36">
        <v>66</v>
      </c>
      <c r="AS36">
        <v>0.9428571</v>
      </c>
      <c r="AT36">
        <v>46</v>
      </c>
      <c r="AU36">
        <v>0.69696970000000003</v>
      </c>
      <c r="AV36">
        <v>99</v>
      </c>
      <c r="AW36">
        <v>50</v>
      </c>
      <c r="AX36">
        <v>0.50505049999999996</v>
      </c>
      <c r="AY36">
        <v>50</v>
      </c>
      <c r="AZ36">
        <v>1</v>
      </c>
      <c r="BA36">
        <v>48</v>
      </c>
      <c r="BB36">
        <v>0.96</v>
      </c>
      <c r="BC36">
        <v>34</v>
      </c>
      <c r="BD36">
        <v>0.70833330000000005</v>
      </c>
      <c r="BE36">
        <v>0</v>
      </c>
      <c r="BF36">
        <v>0</v>
      </c>
      <c r="BG36">
        <v>0</v>
      </c>
      <c r="BH36">
        <v>0</v>
      </c>
      <c r="BI36">
        <v>0</v>
      </c>
      <c r="BJ36">
        <v>0</v>
      </c>
      <c r="BK36">
        <v>0</v>
      </c>
      <c r="BL36">
        <v>0</v>
      </c>
      <c r="BM36">
        <v>0</v>
      </c>
    </row>
    <row r="37" spans="1:65" x14ac:dyDescent="0.25">
      <c r="A37" t="s">
        <v>192</v>
      </c>
      <c r="B37" t="s">
        <v>193</v>
      </c>
      <c r="C37">
        <v>446</v>
      </c>
      <c r="D37">
        <v>424</v>
      </c>
      <c r="E37">
        <v>0.95067259999999998</v>
      </c>
      <c r="F37">
        <v>212</v>
      </c>
      <c r="G37">
        <v>0.5</v>
      </c>
      <c r="H37">
        <v>398</v>
      </c>
      <c r="I37">
        <v>0.93867920000000005</v>
      </c>
      <c r="J37">
        <v>234</v>
      </c>
      <c r="K37">
        <v>0.58793969999999995</v>
      </c>
      <c r="L37">
        <v>229</v>
      </c>
      <c r="M37">
        <v>223</v>
      </c>
      <c r="N37">
        <v>0.97379910000000003</v>
      </c>
      <c r="O37">
        <v>108</v>
      </c>
      <c r="P37">
        <v>0.48430489999999998</v>
      </c>
      <c r="Q37">
        <v>207</v>
      </c>
      <c r="R37">
        <v>0.9282511</v>
      </c>
      <c r="S37">
        <v>123</v>
      </c>
      <c r="T37">
        <v>0.59420289999999998</v>
      </c>
      <c r="U37">
        <v>212</v>
      </c>
      <c r="V37">
        <v>101</v>
      </c>
      <c r="W37">
        <v>0.47641509999999998</v>
      </c>
      <c r="X37">
        <v>101</v>
      </c>
      <c r="Y37">
        <v>1</v>
      </c>
      <c r="Z37">
        <v>97</v>
      </c>
      <c r="AA37">
        <v>0.96039600000000003</v>
      </c>
      <c r="AB37">
        <v>71</v>
      </c>
      <c r="AC37">
        <v>0.73195880000000002</v>
      </c>
      <c r="AD37">
        <v>17</v>
      </c>
      <c r="AE37">
        <v>7</v>
      </c>
      <c r="AF37">
        <v>0.41176469999999998</v>
      </c>
      <c r="AG37">
        <v>7</v>
      </c>
      <c r="AH37">
        <v>1</v>
      </c>
      <c r="AI37">
        <v>7</v>
      </c>
      <c r="AJ37">
        <v>1</v>
      </c>
      <c r="AK37">
        <v>4</v>
      </c>
      <c r="AL37">
        <v>0.57142859999999995</v>
      </c>
      <c r="AM37">
        <v>217</v>
      </c>
      <c r="AN37">
        <v>201</v>
      </c>
      <c r="AO37">
        <v>0.92626730000000002</v>
      </c>
      <c r="AP37">
        <v>104</v>
      </c>
      <c r="AQ37">
        <v>0.51741289999999995</v>
      </c>
      <c r="AR37">
        <v>191</v>
      </c>
      <c r="AS37">
        <v>0.9502488</v>
      </c>
      <c r="AT37">
        <v>111</v>
      </c>
      <c r="AU37">
        <v>0.5811518</v>
      </c>
      <c r="AV37">
        <v>206</v>
      </c>
      <c r="AW37" t="s">
        <v>127</v>
      </c>
      <c r="AX37" t="s">
        <v>127</v>
      </c>
      <c r="AY37" t="s">
        <v>127</v>
      </c>
      <c r="AZ37" t="s">
        <v>127</v>
      </c>
      <c r="BA37" t="s">
        <v>127</v>
      </c>
      <c r="BB37" t="s">
        <v>127</v>
      </c>
      <c r="BC37" t="s">
        <v>127</v>
      </c>
      <c r="BD37" t="s">
        <v>127</v>
      </c>
      <c r="BE37">
        <v>11</v>
      </c>
      <c r="BF37" t="s">
        <v>127</v>
      </c>
      <c r="BG37" t="s">
        <v>127</v>
      </c>
      <c r="BH37" t="s">
        <v>127</v>
      </c>
      <c r="BI37" t="s">
        <v>127</v>
      </c>
      <c r="BJ37" t="s">
        <v>127</v>
      </c>
      <c r="BK37" t="s">
        <v>127</v>
      </c>
      <c r="BL37" t="s">
        <v>127</v>
      </c>
      <c r="BM37" t="s">
        <v>127</v>
      </c>
    </row>
    <row r="38" spans="1:65" x14ac:dyDescent="0.25">
      <c r="A38" t="s">
        <v>194</v>
      </c>
      <c r="B38" t="s">
        <v>195</v>
      </c>
      <c r="C38">
        <v>457</v>
      </c>
      <c r="D38">
        <v>383</v>
      </c>
      <c r="E38">
        <v>0.8380744</v>
      </c>
      <c r="F38">
        <v>249</v>
      </c>
      <c r="G38">
        <v>0.65013049999999994</v>
      </c>
      <c r="H38">
        <v>375</v>
      </c>
      <c r="I38">
        <v>0.97911230000000005</v>
      </c>
      <c r="J38">
        <v>248</v>
      </c>
      <c r="K38">
        <v>0.66133330000000001</v>
      </c>
      <c r="L38">
        <v>239</v>
      </c>
      <c r="M38">
        <v>185</v>
      </c>
      <c r="N38">
        <v>0.77405860000000004</v>
      </c>
      <c r="O38">
        <v>122</v>
      </c>
      <c r="P38">
        <v>0.65945949999999998</v>
      </c>
      <c r="Q38">
        <v>183</v>
      </c>
      <c r="R38">
        <v>0.98918919999999999</v>
      </c>
      <c r="S38">
        <v>121</v>
      </c>
      <c r="T38">
        <v>0.66120219999999996</v>
      </c>
      <c r="U38">
        <v>239</v>
      </c>
      <c r="V38">
        <v>122</v>
      </c>
      <c r="W38">
        <v>0.51046029999999998</v>
      </c>
      <c r="X38">
        <v>122</v>
      </c>
      <c r="Y38">
        <v>1</v>
      </c>
      <c r="Z38">
        <v>122</v>
      </c>
      <c r="AA38">
        <v>1</v>
      </c>
      <c r="AB38">
        <v>80</v>
      </c>
      <c r="AC38">
        <v>0.65573769999999998</v>
      </c>
      <c r="AD38">
        <v>0</v>
      </c>
      <c r="AE38">
        <v>0</v>
      </c>
      <c r="AF38">
        <v>0</v>
      </c>
      <c r="AG38">
        <v>0</v>
      </c>
      <c r="AH38">
        <v>0</v>
      </c>
      <c r="AI38">
        <v>0</v>
      </c>
      <c r="AJ38">
        <v>0</v>
      </c>
      <c r="AK38">
        <v>0</v>
      </c>
      <c r="AL38">
        <v>0</v>
      </c>
      <c r="AM38">
        <v>218</v>
      </c>
      <c r="AN38">
        <v>198</v>
      </c>
      <c r="AO38">
        <v>0.90825690000000003</v>
      </c>
      <c r="AP38">
        <v>127</v>
      </c>
      <c r="AQ38">
        <v>0.64141409999999999</v>
      </c>
      <c r="AR38">
        <v>192</v>
      </c>
      <c r="AS38">
        <v>0.96969700000000003</v>
      </c>
      <c r="AT38">
        <v>127</v>
      </c>
      <c r="AU38">
        <v>0.66145830000000005</v>
      </c>
      <c r="AV38" t="s">
        <v>127</v>
      </c>
      <c r="AW38" t="s">
        <v>127</v>
      </c>
      <c r="AX38" t="s">
        <v>127</v>
      </c>
      <c r="AY38" t="s">
        <v>127</v>
      </c>
      <c r="AZ38" t="s">
        <v>127</v>
      </c>
      <c r="BA38" t="s">
        <v>127</v>
      </c>
      <c r="BB38" t="s">
        <v>127</v>
      </c>
      <c r="BC38" t="s">
        <v>127</v>
      </c>
      <c r="BD38">
        <v>0.72950820000000005</v>
      </c>
      <c r="BE38" t="s">
        <v>127</v>
      </c>
      <c r="BF38" t="s">
        <v>127</v>
      </c>
      <c r="BG38" t="s">
        <v>127</v>
      </c>
      <c r="BH38" t="s">
        <v>127</v>
      </c>
      <c r="BI38" t="s">
        <v>127</v>
      </c>
      <c r="BJ38" t="s">
        <v>127</v>
      </c>
      <c r="BK38" t="s">
        <v>127</v>
      </c>
      <c r="BL38">
        <v>0</v>
      </c>
      <c r="BM38" t="s">
        <v>127</v>
      </c>
    </row>
    <row r="39" spans="1:65" x14ac:dyDescent="0.25">
      <c r="A39" t="s">
        <v>196</v>
      </c>
      <c r="B39" t="s">
        <v>197</v>
      </c>
      <c r="C39">
        <v>338</v>
      </c>
      <c r="D39">
        <v>135</v>
      </c>
      <c r="E39">
        <v>0.39940829999999999</v>
      </c>
      <c r="F39">
        <v>33</v>
      </c>
      <c r="G39">
        <v>0.24444440000000001</v>
      </c>
      <c r="H39">
        <v>134</v>
      </c>
      <c r="I39">
        <v>0.99259260000000005</v>
      </c>
      <c r="J39">
        <v>108</v>
      </c>
      <c r="K39">
        <v>0.80597010000000002</v>
      </c>
      <c r="L39">
        <v>180</v>
      </c>
      <c r="M39">
        <v>69</v>
      </c>
      <c r="N39">
        <v>0.38333329999999999</v>
      </c>
      <c r="O39">
        <v>16</v>
      </c>
      <c r="P39">
        <v>0.23188410000000001</v>
      </c>
      <c r="Q39">
        <v>69</v>
      </c>
      <c r="R39">
        <v>1</v>
      </c>
      <c r="S39">
        <v>56</v>
      </c>
      <c r="T39">
        <v>0.81159420000000004</v>
      </c>
      <c r="U39" t="s">
        <v>127</v>
      </c>
      <c r="V39">
        <v>16</v>
      </c>
      <c r="W39" t="s">
        <v>127</v>
      </c>
      <c r="X39">
        <v>16</v>
      </c>
      <c r="Y39">
        <v>1</v>
      </c>
      <c r="Z39">
        <v>16</v>
      </c>
      <c r="AA39">
        <v>1</v>
      </c>
      <c r="AB39">
        <v>12</v>
      </c>
      <c r="AC39">
        <v>0.75</v>
      </c>
      <c r="AD39" t="s">
        <v>127</v>
      </c>
      <c r="AE39">
        <v>0</v>
      </c>
      <c r="AF39" t="s">
        <v>127</v>
      </c>
      <c r="AG39">
        <v>0</v>
      </c>
      <c r="AH39">
        <v>0</v>
      </c>
      <c r="AI39">
        <v>0</v>
      </c>
      <c r="AJ39">
        <v>0</v>
      </c>
      <c r="AK39">
        <v>0</v>
      </c>
      <c r="AL39">
        <v>0</v>
      </c>
      <c r="AM39">
        <v>158</v>
      </c>
      <c r="AN39">
        <v>66</v>
      </c>
      <c r="AO39">
        <v>0.41772150000000002</v>
      </c>
      <c r="AP39">
        <v>17</v>
      </c>
      <c r="AQ39">
        <v>0.25757580000000002</v>
      </c>
      <c r="AR39">
        <v>65</v>
      </c>
      <c r="AS39">
        <v>0.98484850000000002</v>
      </c>
      <c r="AT39">
        <v>52</v>
      </c>
      <c r="AU39">
        <v>0.8</v>
      </c>
      <c r="AV39" t="s">
        <v>127</v>
      </c>
      <c r="AW39">
        <v>17</v>
      </c>
      <c r="AX39">
        <v>0.1089744</v>
      </c>
      <c r="AY39" t="s">
        <v>127</v>
      </c>
      <c r="AZ39">
        <v>1</v>
      </c>
      <c r="BA39">
        <v>16</v>
      </c>
      <c r="BB39">
        <v>0.94117649999999997</v>
      </c>
      <c r="BC39">
        <v>14</v>
      </c>
      <c r="BD39">
        <v>0.875</v>
      </c>
      <c r="BE39" t="s">
        <v>127</v>
      </c>
      <c r="BF39">
        <v>0</v>
      </c>
      <c r="BG39" t="s">
        <v>127</v>
      </c>
      <c r="BH39">
        <v>0</v>
      </c>
      <c r="BI39">
        <v>0</v>
      </c>
      <c r="BJ39">
        <v>0</v>
      </c>
      <c r="BK39">
        <v>0</v>
      </c>
      <c r="BL39">
        <v>0</v>
      </c>
      <c r="BM39">
        <v>0</v>
      </c>
    </row>
    <row r="40" spans="1:65" x14ac:dyDescent="0.25">
      <c r="A40" t="s">
        <v>198</v>
      </c>
      <c r="B40" t="s">
        <v>199</v>
      </c>
      <c r="C40">
        <v>471</v>
      </c>
      <c r="D40">
        <v>307</v>
      </c>
      <c r="E40">
        <v>0.65180470000000001</v>
      </c>
      <c r="F40">
        <v>208</v>
      </c>
      <c r="G40">
        <v>0.67752440000000003</v>
      </c>
      <c r="H40">
        <v>303</v>
      </c>
      <c r="I40">
        <v>0.98697069999999998</v>
      </c>
      <c r="J40">
        <v>217</v>
      </c>
      <c r="K40">
        <v>0.71617160000000002</v>
      </c>
      <c r="L40">
        <v>257</v>
      </c>
      <c r="M40">
        <v>174</v>
      </c>
      <c r="N40">
        <v>0.67704279999999994</v>
      </c>
      <c r="O40">
        <v>117</v>
      </c>
      <c r="P40">
        <v>0.67241379999999995</v>
      </c>
      <c r="Q40">
        <v>170</v>
      </c>
      <c r="R40">
        <v>0.97701150000000003</v>
      </c>
      <c r="S40">
        <v>119</v>
      </c>
      <c r="T40">
        <v>0.7</v>
      </c>
      <c r="U40" t="s">
        <v>127</v>
      </c>
      <c r="V40" t="s">
        <v>127</v>
      </c>
      <c r="W40" t="s">
        <v>127</v>
      </c>
      <c r="X40" t="s">
        <v>127</v>
      </c>
      <c r="Y40" t="s">
        <v>127</v>
      </c>
      <c r="Z40" t="s">
        <v>127</v>
      </c>
      <c r="AA40" t="s">
        <v>127</v>
      </c>
      <c r="AB40">
        <v>78</v>
      </c>
      <c r="AC40" t="s">
        <v>127</v>
      </c>
      <c r="AD40" t="s">
        <v>127</v>
      </c>
      <c r="AE40" t="s">
        <v>127</v>
      </c>
      <c r="AF40" t="s">
        <v>127</v>
      </c>
      <c r="AG40" t="s">
        <v>127</v>
      </c>
      <c r="AH40" t="s">
        <v>127</v>
      </c>
      <c r="AI40" t="s">
        <v>127</v>
      </c>
      <c r="AJ40" t="s">
        <v>127</v>
      </c>
      <c r="AK40">
        <v>0</v>
      </c>
      <c r="AL40" t="s">
        <v>127</v>
      </c>
      <c r="AM40">
        <v>214</v>
      </c>
      <c r="AN40">
        <v>133</v>
      </c>
      <c r="AO40">
        <v>0.62149529999999997</v>
      </c>
      <c r="AP40">
        <v>91</v>
      </c>
      <c r="AQ40">
        <v>0.68421050000000005</v>
      </c>
      <c r="AR40">
        <v>133</v>
      </c>
      <c r="AS40">
        <v>1</v>
      </c>
      <c r="AT40">
        <v>98</v>
      </c>
      <c r="AU40">
        <v>0.73684210000000006</v>
      </c>
      <c r="AV40" t="s">
        <v>127</v>
      </c>
      <c r="AW40">
        <v>91</v>
      </c>
      <c r="AX40">
        <v>0.43333329999999998</v>
      </c>
      <c r="AY40" t="s">
        <v>127</v>
      </c>
      <c r="AZ40">
        <v>1</v>
      </c>
      <c r="BA40">
        <v>91</v>
      </c>
      <c r="BB40">
        <v>1</v>
      </c>
      <c r="BC40">
        <v>68</v>
      </c>
      <c r="BD40">
        <v>0.74725269999999999</v>
      </c>
      <c r="BE40" t="s">
        <v>127</v>
      </c>
      <c r="BF40">
        <v>0</v>
      </c>
      <c r="BG40" t="s">
        <v>127</v>
      </c>
      <c r="BH40">
        <v>0</v>
      </c>
      <c r="BI40">
        <v>0</v>
      </c>
      <c r="BJ40">
        <v>0</v>
      </c>
      <c r="BK40">
        <v>0</v>
      </c>
      <c r="BL40">
        <v>0</v>
      </c>
      <c r="BM40">
        <v>0</v>
      </c>
    </row>
    <row r="41" spans="1:65" x14ac:dyDescent="0.25">
      <c r="A41" t="s">
        <v>200</v>
      </c>
      <c r="B41" t="s">
        <v>201</v>
      </c>
      <c r="C41">
        <v>258</v>
      </c>
      <c r="D41">
        <v>387</v>
      </c>
      <c r="E41">
        <v>1.5</v>
      </c>
      <c r="F41">
        <v>137</v>
      </c>
      <c r="G41">
        <v>0.35400520000000002</v>
      </c>
      <c r="H41">
        <v>366</v>
      </c>
      <c r="I41">
        <v>0.94573640000000003</v>
      </c>
      <c r="J41">
        <v>168</v>
      </c>
      <c r="K41">
        <v>0.45901639999999999</v>
      </c>
      <c r="L41">
        <v>70</v>
      </c>
      <c r="M41">
        <v>132</v>
      </c>
      <c r="N41">
        <v>1.8857143000000001</v>
      </c>
      <c r="O41">
        <v>45</v>
      </c>
      <c r="P41">
        <v>0.34090910000000002</v>
      </c>
      <c r="Q41">
        <v>131</v>
      </c>
      <c r="R41">
        <v>0.99242419999999998</v>
      </c>
      <c r="S41">
        <v>71</v>
      </c>
      <c r="T41">
        <v>0.54198469999999999</v>
      </c>
      <c r="U41">
        <v>70</v>
      </c>
      <c r="V41">
        <v>45</v>
      </c>
      <c r="W41">
        <v>0.64285709999999996</v>
      </c>
      <c r="X41">
        <v>45</v>
      </c>
      <c r="Y41">
        <v>1</v>
      </c>
      <c r="Z41">
        <v>45</v>
      </c>
      <c r="AA41">
        <v>1</v>
      </c>
      <c r="AB41">
        <v>26</v>
      </c>
      <c r="AC41">
        <v>0.57777780000000001</v>
      </c>
      <c r="AD41">
        <v>0</v>
      </c>
      <c r="AE41">
        <v>0</v>
      </c>
      <c r="AF41">
        <v>0</v>
      </c>
      <c r="AG41">
        <v>0</v>
      </c>
      <c r="AH41">
        <v>0</v>
      </c>
      <c r="AI41">
        <v>0</v>
      </c>
      <c r="AJ41">
        <v>0</v>
      </c>
      <c r="AK41">
        <v>0</v>
      </c>
      <c r="AL41">
        <v>0</v>
      </c>
      <c r="AM41">
        <v>188</v>
      </c>
      <c r="AN41">
        <v>255</v>
      </c>
      <c r="AO41">
        <v>1.3563829999999999</v>
      </c>
      <c r="AP41">
        <v>92</v>
      </c>
      <c r="AQ41">
        <v>0.3607843</v>
      </c>
      <c r="AR41">
        <v>235</v>
      </c>
      <c r="AS41">
        <v>0.92156859999999996</v>
      </c>
      <c r="AT41">
        <v>97</v>
      </c>
      <c r="AU41">
        <v>0.41276600000000002</v>
      </c>
      <c r="AV41" t="s">
        <v>127</v>
      </c>
      <c r="AW41" t="s">
        <v>127</v>
      </c>
      <c r="AX41" t="s">
        <v>127</v>
      </c>
      <c r="AY41" t="s">
        <v>127</v>
      </c>
      <c r="AZ41" t="s">
        <v>127</v>
      </c>
      <c r="BA41" t="s">
        <v>127</v>
      </c>
      <c r="BB41" t="s">
        <v>127</v>
      </c>
      <c r="BC41" t="s">
        <v>127</v>
      </c>
      <c r="BD41" t="s">
        <v>127</v>
      </c>
      <c r="BE41" t="s">
        <v>127</v>
      </c>
      <c r="BF41" t="s">
        <v>127</v>
      </c>
      <c r="BG41" t="s">
        <v>127</v>
      </c>
      <c r="BH41" t="s">
        <v>127</v>
      </c>
      <c r="BI41" t="s">
        <v>127</v>
      </c>
      <c r="BJ41" t="s">
        <v>127</v>
      </c>
      <c r="BK41" t="s">
        <v>127</v>
      </c>
      <c r="BL41" t="s">
        <v>127</v>
      </c>
      <c r="BM41" t="s">
        <v>127</v>
      </c>
    </row>
    <row r="42" spans="1:65" x14ac:dyDescent="0.25">
      <c r="A42" t="s">
        <v>202</v>
      </c>
      <c r="B42" t="s">
        <v>203</v>
      </c>
      <c r="C42">
        <v>708</v>
      </c>
      <c r="D42">
        <v>481</v>
      </c>
      <c r="E42">
        <v>0.6793785</v>
      </c>
      <c r="F42">
        <v>228</v>
      </c>
      <c r="G42">
        <v>0.4740125</v>
      </c>
      <c r="H42">
        <v>258</v>
      </c>
      <c r="I42">
        <v>0.53638249999999998</v>
      </c>
      <c r="J42">
        <v>237</v>
      </c>
      <c r="K42">
        <v>0.91860470000000005</v>
      </c>
      <c r="L42">
        <v>347</v>
      </c>
      <c r="M42">
        <v>243</v>
      </c>
      <c r="N42">
        <v>0.70028820000000003</v>
      </c>
      <c r="O42">
        <v>119</v>
      </c>
      <c r="P42">
        <v>0.48971189999999998</v>
      </c>
      <c r="Q42">
        <v>109</v>
      </c>
      <c r="R42">
        <v>0.44855970000000001</v>
      </c>
      <c r="S42">
        <v>100</v>
      </c>
      <c r="T42">
        <v>0.9174312</v>
      </c>
      <c r="U42">
        <v>327</v>
      </c>
      <c r="V42" t="s">
        <v>127</v>
      </c>
      <c r="W42" t="s">
        <v>127</v>
      </c>
      <c r="X42" t="s">
        <v>127</v>
      </c>
      <c r="Y42" t="s">
        <v>127</v>
      </c>
      <c r="Z42" t="s">
        <v>127</v>
      </c>
      <c r="AA42" t="s">
        <v>127</v>
      </c>
      <c r="AB42" t="s">
        <v>127</v>
      </c>
      <c r="AC42" t="s">
        <v>127</v>
      </c>
      <c r="AD42">
        <v>20</v>
      </c>
      <c r="AE42" t="s">
        <v>127</v>
      </c>
      <c r="AF42" t="s">
        <v>127</v>
      </c>
      <c r="AG42" t="s">
        <v>127</v>
      </c>
      <c r="AH42" t="s">
        <v>127</v>
      </c>
      <c r="AI42" t="s">
        <v>127</v>
      </c>
      <c r="AJ42" t="s">
        <v>127</v>
      </c>
      <c r="AK42" t="s">
        <v>127</v>
      </c>
      <c r="AL42" t="s">
        <v>127</v>
      </c>
      <c r="AM42">
        <v>361</v>
      </c>
      <c r="AN42">
        <v>238</v>
      </c>
      <c r="AO42">
        <v>0.65927979999999997</v>
      </c>
      <c r="AP42">
        <v>109</v>
      </c>
      <c r="AQ42">
        <v>0.45798319999999998</v>
      </c>
      <c r="AR42">
        <v>149</v>
      </c>
      <c r="AS42">
        <v>0.62605040000000001</v>
      </c>
      <c r="AT42">
        <v>137</v>
      </c>
      <c r="AU42">
        <v>0.91946309999999998</v>
      </c>
      <c r="AV42">
        <v>338</v>
      </c>
      <c r="AW42">
        <v>101</v>
      </c>
      <c r="AX42">
        <v>0.29881659999999999</v>
      </c>
      <c r="AY42">
        <v>101</v>
      </c>
      <c r="AZ42">
        <v>1</v>
      </c>
      <c r="BA42">
        <v>65</v>
      </c>
      <c r="BB42">
        <v>0.64356440000000004</v>
      </c>
      <c r="BC42">
        <v>59</v>
      </c>
      <c r="BD42">
        <v>0.90769230000000001</v>
      </c>
      <c r="BE42">
        <v>23</v>
      </c>
      <c r="BF42">
        <v>8</v>
      </c>
      <c r="BG42">
        <v>0.34782610000000003</v>
      </c>
      <c r="BH42">
        <v>8</v>
      </c>
      <c r="BI42">
        <v>1</v>
      </c>
      <c r="BJ42">
        <v>6</v>
      </c>
      <c r="BK42">
        <v>0.75</v>
      </c>
      <c r="BL42">
        <v>6</v>
      </c>
      <c r="BM42">
        <v>1</v>
      </c>
    </row>
    <row r="43" spans="1:65" x14ac:dyDescent="0.25">
      <c r="A43" t="s">
        <v>204</v>
      </c>
      <c r="B43" t="s">
        <v>205</v>
      </c>
      <c r="C43">
        <v>272</v>
      </c>
      <c r="D43">
        <v>201</v>
      </c>
      <c r="E43">
        <v>0.73897060000000003</v>
      </c>
      <c r="F43">
        <v>115</v>
      </c>
      <c r="G43">
        <v>0.57213930000000002</v>
      </c>
      <c r="H43">
        <v>198</v>
      </c>
      <c r="I43">
        <v>0.98507460000000002</v>
      </c>
      <c r="J43">
        <v>129</v>
      </c>
      <c r="K43">
        <v>0.65151519999999996</v>
      </c>
      <c r="L43">
        <v>130</v>
      </c>
      <c r="M43">
        <v>99</v>
      </c>
      <c r="N43">
        <v>0.76153850000000001</v>
      </c>
      <c r="O43">
        <v>57</v>
      </c>
      <c r="P43">
        <v>0.57575759999999998</v>
      </c>
      <c r="Q43">
        <v>98</v>
      </c>
      <c r="R43">
        <v>0.98989899999999997</v>
      </c>
      <c r="S43">
        <v>63</v>
      </c>
      <c r="T43">
        <v>0.64285709999999996</v>
      </c>
      <c r="U43">
        <v>130</v>
      </c>
      <c r="V43">
        <v>57</v>
      </c>
      <c r="W43">
        <v>0.4384615</v>
      </c>
      <c r="X43">
        <v>57</v>
      </c>
      <c r="Y43">
        <v>1</v>
      </c>
      <c r="Z43">
        <v>57</v>
      </c>
      <c r="AA43">
        <v>1</v>
      </c>
      <c r="AB43">
        <v>38</v>
      </c>
      <c r="AC43">
        <v>0.66666669999999995</v>
      </c>
      <c r="AD43">
        <v>0</v>
      </c>
      <c r="AE43">
        <v>0</v>
      </c>
      <c r="AF43">
        <v>0</v>
      </c>
      <c r="AG43">
        <v>0</v>
      </c>
      <c r="AH43">
        <v>0</v>
      </c>
      <c r="AI43">
        <v>0</v>
      </c>
      <c r="AJ43">
        <v>0</v>
      </c>
      <c r="AK43">
        <v>0</v>
      </c>
      <c r="AL43">
        <v>0</v>
      </c>
      <c r="AM43">
        <v>142</v>
      </c>
      <c r="AN43">
        <v>102</v>
      </c>
      <c r="AO43">
        <v>0.71830989999999995</v>
      </c>
      <c r="AP43">
        <v>58</v>
      </c>
      <c r="AQ43">
        <v>0.56862749999999995</v>
      </c>
      <c r="AR43">
        <v>100</v>
      </c>
      <c r="AS43">
        <v>0.98039220000000005</v>
      </c>
      <c r="AT43">
        <v>66</v>
      </c>
      <c r="AU43">
        <v>0.66</v>
      </c>
      <c r="AV43">
        <v>142</v>
      </c>
      <c r="AW43">
        <v>58</v>
      </c>
      <c r="AX43">
        <v>0.4084507</v>
      </c>
      <c r="AY43">
        <v>58</v>
      </c>
      <c r="AZ43">
        <v>1</v>
      </c>
      <c r="BA43">
        <v>57</v>
      </c>
      <c r="BB43">
        <v>0.98275860000000004</v>
      </c>
      <c r="BC43">
        <v>42</v>
      </c>
      <c r="BD43">
        <v>0.73684210000000006</v>
      </c>
      <c r="BE43">
        <v>0</v>
      </c>
      <c r="BF43">
        <v>0</v>
      </c>
      <c r="BG43">
        <v>0</v>
      </c>
      <c r="BH43">
        <v>0</v>
      </c>
      <c r="BI43">
        <v>0</v>
      </c>
      <c r="BJ43">
        <v>0</v>
      </c>
      <c r="BK43">
        <v>0</v>
      </c>
      <c r="BL43">
        <v>0</v>
      </c>
      <c r="BM43">
        <v>0</v>
      </c>
    </row>
    <row r="44" spans="1:65" x14ac:dyDescent="0.25">
      <c r="A44" t="s">
        <v>206</v>
      </c>
      <c r="B44" t="s">
        <v>207</v>
      </c>
      <c r="C44">
        <v>893</v>
      </c>
      <c r="D44">
        <v>586</v>
      </c>
      <c r="E44">
        <v>0.65621499999999999</v>
      </c>
      <c r="F44">
        <v>451</v>
      </c>
      <c r="G44">
        <v>0.76962459999999999</v>
      </c>
      <c r="H44">
        <v>563</v>
      </c>
      <c r="I44">
        <v>0.96075089999999996</v>
      </c>
      <c r="J44">
        <v>413</v>
      </c>
      <c r="K44">
        <v>0.73357019999999995</v>
      </c>
      <c r="L44">
        <v>445</v>
      </c>
      <c r="M44">
        <v>296</v>
      </c>
      <c r="N44">
        <v>0.66516850000000005</v>
      </c>
      <c r="O44">
        <v>234</v>
      </c>
      <c r="P44">
        <v>0.79054049999999998</v>
      </c>
      <c r="Q44">
        <v>292</v>
      </c>
      <c r="R44">
        <v>0.98648650000000004</v>
      </c>
      <c r="S44">
        <v>222</v>
      </c>
      <c r="T44">
        <v>0.76027400000000001</v>
      </c>
      <c r="U44">
        <v>429</v>
      </c>
      <c r="V44" t="s">
        <v>127</v>
      </c>
      <c r="W44" t="s">
        <v>127</v>
      </c>
      <c r="X44" t="s">
        <v>127</v>
      </c>
      <c r="Y44" t="s">
        <v>127</v>
      </c>
      <c r="Z44" t="s">
        <v>127</v>
      </c>
      <c r="AA44" t="s">
        <v>127</v>
      </c>
      <c r="AB44" t="s">
        <v>127</v>
      </c>
      <c r="AC44" t="s">
        <v>127</v>
      </c>
      <c r="AD44">
        <v>16</v>
      </c>
      <c r="AE44" t="s">
        <v>127</v>
      </c>
      <c r="AF44" t="s">
        <v>127</v>
      </c>
      <c r="AG44" t="s">
        <v>127</v>
      </c>
      <c r="AH44" t="s">
        <v>127</v>
      </c>
      <c r="AI44" t="s">
        <v>127</v>
      </c>
      <c r="AJ44" t="s">
        <v>127</v>
      </c>
      <c r="AK44" t="s">
        <v>127</v>
      </c>
      <c r="AL44" t="s">
        <v>127</v>
      </c>
      <c r="AM44">
        <v>448</v>
      </c>
      <c r="AN44">
        <v>290</v>
      </c>
      <c r="AO44">
        <v>0.64732140000000005</v>
      </c>
      <c r="AP44">
        <v>217</v>
      </c>
      <c r="AQ44">
        <v>0.74827589999999999</v>
      </c>
      <c r="AR44">
        <v>271</v>
      </c>
      <c r="AS44">
        <v>0.93448279999999995</v>
      </c>
      <c r="AT44">
        <v>191</v>
      </c>
      <c r="AU44">
        <v>0.70479700000000001</v>
      </c>
      <c r="AV44">
        <v>423</v>
      </c>
      <c r="AW44" t="s">
        <v>127</v>
      </c>
      <c r="AX44" t="s">
        <v>127</v>
      </c>
      <c r="AY44" t="s">
        <v>127</v>
      </c>
      <c r="AZ44" t="s">
        <v>127</v>
      </c>
      <c r="BA44" t="s">
        <v>127</v>
      </c>
      <c r="BB44" t="s">
        <v>127</v>
      </c>
      <c r="BC44" t="s">
        <v>127</v>
      </c>
      <c r="BD44" t="s">
        <v>127</v>
      </c>
      <c r="BE44">
        <v>25</v>
      </c>
      <c r="BF44" t="s">
        <v>127</v>
      </c>
      <c r="BG44" t="s">
        <v>127</v>
      </c>
      <c r="BH44" t="s">
        <v>127</v>
      </c>
      <c r="BI44" t="s">
        <v>127</v>
      </c>
      <c r="BJ44" t="s">
        <v>127</v>
      </c>
      <c r="BK44" t="s">
        <v>127</v>
      </c>
      <c r="BL44" t="s">
        <v>127</v>
      </c>
      <c r="BM44" t="s">
        <v>127</v>
      </c>
    </row>
    <row r="45" spans="1:65" x14ac:dyDescent="0.25">
      <c r="A45" t="s">
        <v>208</v>
      </c>
      <c r="B45" t="s">
        <v>209</v>
      </c>
      <c r="C45">
        <v>12</v>
      </c>
      <c r="D45">
        <v>0</v>
      </c>
      <c r="E45">
        <v>0</v>
      </c>
      <c r="F45">
        <v>0</v>
      </c>
      <c r="G45">
        <v>0</v>
      </c>
      <c r="H45">
        <v>0</v>
      </c>
      <c r="I45">
        <v>0</v>
      </c>
      <c r="J45">
        <v>0</v>
      </c>
      <c r="K45">
        <v>0</v>
      </c>
      <c r="L45">
        <v>12</v>
      </c>
      <c r="M45">
        <v>0</v>
      </c>
      <c r="N45">
        <v>0</v>
      </c>
      <c r="O45">
        <v>0</v>
      </c>
      <c r="P45">
        <v>0</v>
      </c>
      <c r="Q45">
        <v>0</v>
      </c>
      <c r="R45">
        <v>0</v>
      </c>
      <c r="S45">
        <v>0</v>
      </c>
      <c r="T45">
        <v>0</v>
      </c>
      <c r="U45" t="s">
        <v>127</v>
      </c>
      <c r="V45">
        <v>0</v>
      </c>
      <c r="W45" t="s">
        <v>127</v>
      </c>
      <c r="X45">
        <v>0</v>
      </c>
      <c r="Y45">
        <v>0</v>
      </c>
      <c r="Z45">
        <v>0</v>
      </c>
      <c r="AA45">
        <v>0</v>
      </c>
      <c r="AB45">
        <v>0</v>
      </c>
      <c r="AC45">
        <v>0</v>
      </c>
      <c r="AD45" t="s">
        <v>127</v>
      </c>
      <c r="AE45">
        <v>0</v>
      </c>
      <c r="AF45" t="s">
        <v>127</v>
      </c>
      <c r="AG45">
        <v>0</v>
      </c>
      <c r="AH45">
        <v>0</v>
      </c>
      <c r="AI45">
        <v>0</v>
      </c>
      <c r="AJ45">
        <v>0</v>
      </c>
      <c r="AK45">
        <v>0</v>
      </c>
      <c r="AL45">
        <v>0</v>
      </c>
      <c r="AM45" t="s">
        <v>127</v>
      </c>
      <c r="AN45">
        <v>0</v>
      </c>
      <c r="AO45" t="s">
        <v>127</v>
      </c>
      <c r="AP45">
        <v>0</v>
      </c>
      <c r="AQ45">
        <v>0</v>
      </c>
      <c r="AR45">
        <v>0</v>
      </c>
      <c r="AS45">
        <v>0</v>
      </c>
      <c r="AT45">
        <v>0</v>
      </c>
      <c r="AU45">
        <v>0</v>
      </c>
      <c r="AV45" t="s">
        <v>127</v>
      </c>
      <c r="AW45">
        <v>0</v>
      </c>
      <c r="AX45" t="s">
        <v>127</v>
      </c>
      <c r="AY45" t="s">
        <v>127</v>
      </c>
      <c r="AZ45">
        <v>0</v>
      </c>
      <c r="BA45">
        <v>0</v>
      </c>
      <c r="BB45">
        <v>0</v>
      </c>
      <c r="BC45">
        <v>0</v>
      </c>
      <c r="BD45">
        <v>0</v>
      </c>
      <c r="BE45" t="s">
        <v>127</v>
      </c>
      <c r="BF45">
        <v>0</v>
      </c>
      <c r="BG45" t="s">
        <v>127</v>
      </c>
      <c r="BH45">
        <v>0</v>
      </c>
      <c r="BI45">
        <v>0</v>
      </c>
      <c r="BJ45">
        <v>0</v>
      </c>
      <c r="BK45">
        <v>0</v>
      </c>
      <c r="BL45">
        <v>0</v>
      </c>
      <c r="BM45">
        <v>0</v>
      </c>
    </row>
    <row r="46" spans="1:65" x14ac:dyDescent="0.25">
      <c r="A46" t="s">
        <v>210</v>
      </c>
      <c r="B46" t="s">
        <v>211</v>
      </c>
      <c r="C46">
        <v>942</v>
      </c>
      <c r="D46">
        <v>0</v>
      </c>
      <c r="E46">
        <v>0</v>
      </c>
      <c r="F46">
        <v>0</v>
      </c>
      <c r="G46">
        <v>0</v>
      </c>
      <c r="H46">
        <v>0</v>
      </c>
      <c r="I46">
        <v>0</v>
      </c>
      <c r="J46">
        <v>0</v>
      </c>
      <c r="K46">
        <v>0</v>
      </c>
      <c r="L46">
        <v>401</v>
      </c>
      <c r="M46">
        <v>0</v>
      </c>
      <c r="N46">
        <v>0</v>
      </c>
      <c r="O46">
        <v>0</v>
      </c>
      <c r="P46">
        <v>0</v>
      </c>
      <c r="Q46">
        <v>0</v>
      </c>
      <c r="R46">
        <v>0</v>
      </c>
      <c r="S46">
        <v>0</v>
      </c>
      <c r="T46">
        <v>0</v>
      </c>
      <c r="U46">
        <v>392</v>
      </c>
      <c r="V46">
        <v>0</v>
      </c>
      <c r="W46">
        <v>0</v>
      </c>
      <c r="X46">
        <v>0</v>
      </c>
      <c r="Y46">
        <v>0</v>
      </c>
      <c r="Z46">
        <v>0</v>
      </c>
      <c r="AA46">
        <v>0</v>
      </c>
      <c r="AB46">
        <v>0</v>
      </c>
      <c r="AC46">
        <v>0</v>
      </c>
      <c r="AD46">
        <v>9</v>
      </c>
      <c r="AE46">
        <v>0</v>
      </c>
      <c r="AF46">
        <v>0</v>
      </c>
      <c r="AG46">
        <v>0</v>
      </c>
      <c r="AH46">
        <v>0</v>
      </c>
      <c r="AI46">
        <v>0</v>
      </c>
      <c r="AJ46">
        <v>0</v>
      </c>
      <c r="AK46">
        <v>0</v>
      </c>
      <c r="AL46">
        <v>0</v>
      </c>
      <c r="AM46">
        <v>541</v>
      </c>
      <c r="AN46">
        <v>0</v>
      </c>
      <c r="AO46">
        <v>0</v>
      </c>
      <c r="AP46">
        <v>0</v>
      </c>
      <c r="AQ46">
        <v>0</v>
      </c>
      <c r="AR46">
        <v>0</v>
      </c>
      <c r="AS46">
        <v>0</v>
      </c>
      <c r="AT46">
        <v>0</v>
      </c>
      <c r="AU46">
        <v>0</v>
      </c>
      <c r="AV46">
        <v>516</v>
      </c>
      <c r="AW46">
        <v>0</v>
      </c>
      <c r="AX46">
        <v>0</v>
      </c>
      <c r="AY46">
        <v>0</v>
      </c>
      <c r="AZ46">
        <v>0</v>
      </c>
      <c r="BA46">
        <v>0</v>
      </c>
      <c r="BB46">
        <v>0</v>
      </c>
      <c r="BC46">
        <v>0</v>
      </c>
      <c r="BD46">
        <v>0</v>
      </c>
      <c r="BE46">
        <v>25</v>
      </c>
      <c r="BF46">
        <v>0</v>
      </c>
      <c r="BG46">
        <v>0</v>
      </c>
      <c r="BH46">
        <v>0</v>
      </c>
      <c r="BI46">
        <v>0</v>
      </c>
      <c r="BJ46">
        <v>0</v>
      </c>
      <c r="BK46">
        <v>0</v>
      </c>
      <c r="BL46">
        <v>0</v>
      </c>
      <c r="BM46">
        <v>0</v>
      </c>
    </row>
    <row r="47" spans="1:65" x14ac:dyDescent="0.25">
      <c r="A47" t="s">
        <v>212</v>
      </c>
      <c r="B47" t="s">
        <v>213</v>
      </c>
      <c r="C47">
        <v>846</v>
      </c>
      <c r="D47">
        <v>406</v>
      </c>
      <c r="E47">
        <v>0.47990539999999998</v>
      </c>
      <c r="F47">
        <v>261</v>
      </c>
      <c r="G47">
        <v>0.64285709999999996</v>
      </c>
      <c r="H47">
        <v>379</v>
      </c>
      <c r="I47">
        <v>0.93349749999999998</v>
      </c>
      <c r="J47">
        <v>202</v>
      </c>
      <c r="K47">
        <v>0.5329815</v>
      </c>
      <c r="L47">
        <v>408</v>
      </c>
      <c r="M47">
        <v>199</v>
      </c>
      <c r="N47">
        <v>0.48774509999999999</v>
      </c>
      <c r="O47">
        <v>122</v>
      </c>
      <c r="P47">
        <v>0.61306530000000004</v>
      </c>
      <c r="Q47">
        <v>183</v>
      </c>
      <c r="R47">
        <v>0.91959800000000003</v>
      </c>
      <c r="S47">
        <v>89</v>
      </c>
      <c r="T47">
        <v>0.48633880000000002</v>
      </c>
      <c r="U47">
        <v>378</v>
      </c>
      <c r="V47">
        <v>116</v>
      </c>
      <c r="W47">
        <v>0.30687829999999999</v>
      </c>
      <c r="X47">
        <v>116</v>
      </c>
      <c r="Y47">
        <v>1</v>
      </c>
      <c r="Z47">
        <v>107</v>
      </c>
      <c r="AA47">
        <v>0.92241379999999995</v>
      </c>
      <c r="AB47">
        <v>53</v>
      </c>
      <c r="AC47">
        <v>0.49532710000000002</v>
      </c>
      <c r="AD47">
        <v>30</v>
      </c>
      <c r="AE47">
        <v>6</v>
      </c>
      <c r="AF47">
        <v>0.2</v>
      </c>
      <c r="AG47">
        <v>6</v>
      </c>
      <c r="AH47">
        <v>1</v>
      </c>
      <c r="AI47">
        <v>6</v>
      </c>
      <c r="AJ47">
        <v>1</v>
      </c>
      <c r="AK47">
        <v>3</v>
      </c>
      <c r="AL47">
        <v>0.5</v>
      </c>
      <c r="AM47">
        <v>438</v>
      </c>
      <c r="AN47">
        <v>207</v>
      </c>
      <c r="AO47">
        <v>0.47260269999999999</v>
      </c>
      <c r="AP47">
        <v>139</v>
      </c>
      <c r="AQ47">
        <v>0.67149760000000003</v>
      </c>
      <c r="AR47">
        <v>196</v>
      </c>
      <c r="AS47">
        <v>0.94685989999999998</v>
      </c>
      <c r="AT47">
        <v>113</v>
      </c>
      <c r="AU47">
        <v>0.5765306</v>
      </c>
      <c r="AV47">
        <v>422</v>
      </c>
      <c r="AW47" t="s">
        <v>127</v>
      </c>
      <c r="AX47" t="s">
        <v>127</v>
      </c>
      <c r="AY47" t="s">
        <v>127</v>
      </c>
      <c r="AZ47" t="s">
        <v>127</v>
      </c>
      <c r="BA47" t="s">
        <v>127</v>
      </c>
      <c r="BB47" t="s">
        <v>127</v>
      </c>
      <c r="BC47" t="s">
        <v>127</v>
      </c>
      <c r="BD47" t="s">
        <v>127</v>
      </c>
      <c r="BE47">
        <v>16</v>
      </c>
      <c r="BF47" t="s">
        <v>127</v>
      </c>
      <c r="BG47" t="s">
        <v>127</v>
      </c>
      <c r="BH47" t="s">
        <v>127</v>
      </c>
      <c r="BI47" t="s">
        <v>127</v>
      </c>
      <c r="BJ47" t="s">
        <v>127</v>
      </c>
      <c r="BK47" t="s">
        <v>127</v>
      </c>
      <c r="BL47" t="s">
        <v>127</v>
      </c>
      <c r="BM47" t="s">
        <v>127</v>
      </c>
    </row>
    <row r="48" spans="1:65" x14ac:dyDescent="0.25">
      <c r="A48" t="s">
        <v>214</v>
      </c>
      <c r="B48" t="s">
        <v>215</v>
      </c>
      <c r="C48">
        <v>355</v>
      </c>
      <c r="D48">
        <v>108</v>
      </c>
      <c r="E48">
        <v>0.30422539999999998</v>
      </c>
      <c r="F48">
        <v>63</v>
      </c>
      <c r="G48">
        <v>0.58333330000000005</v>
      </c>
      <c r="H48">
        <v>94</v>
      </c>
      <c r="I48">
        <v>0.87037039999999999</v>
      </c>
      <c r="J48">
        <v>57</v>
      </c>
      <c r="K48">
        <v>0.60638300000000001</v>
      </c>
      <c r="L48">
        <v>171</v>
      </c>
      <c r="M48">
        <v>60</v>
      </c>
      <c r="N48">
        <v>0.3508772</v>
      </c>
      <c r="O48">
        <v>35</v>
      </c>
      <c r="P48">
        <v>0.58333330000000005</v>
      </c>
      <c r="Q48">
        <v>53</v>
      </c>
      <c r="R48">
        <v>0.88333329999999999</v>
      </c>
      <c r="S48">
        <v>31</v>
      </c>
      <c r="T48">
        <v>0.58490569999999997</v>
      </c>
      <c r="U48">
        <v>152</v>
      </c>
      <c r="V48" t="s">
        <v>127</v>
      </c>
      <c r="W48" t="s">
        <v>127</v>
      </c>
      <c r="X48" t="s">
        <v>127</v>
      </c>
      <c r="Y48" t="s">
        <v>127</v>
      </c>
      <c r="Z48" t="s">
        <v>127</v>
      </c>
      <c r="AA48" t="s">
        <v>127</v>
      </c>
      <c r="AB48" t="s">
        <v>127</v>
      </c>
      <c r="AC48" t="s">
        <v>127</v>
      </c>
      <c r="AD48">
        <v>19</v>
      </c>
      <c r="AE48" t="s">
        <v>127</v>
      </c>
      <c r="AF48" t="s">
        <v>127</v>
      </c>
      <c r="AG48" t="s">
        <v>127</v>
      </c>
      <c r="AH48" t="s">
        <v>127</v>
      </c>
      <c r="AI48" t="s">
        <v>127</v>
      </c>
      <c r="AJ48" t="s">
        <v>127</v>
      </c>
      <c r="AK48" t="s">
        <v>127</v>
      </c>
      <c r="AL48" t="s">
        <v>127</v>
      </c>
      <c r="AM48">
        <v>184</v>
      </c>
      <c r="AN48">
        <v>48</v>
      </c>
      <c r="AO48">
        <v>0.26086959999999998</v>
      </c>
      <c r="AP48">
        <v>28</v>
      </c>
      <c r="AQ48">
        <v>0.58333330000000005</v>
      </c>
      <c r="AR48">
        <v>41</v>
      </c>
      <c r="AS48">
        <v>0.85416669999999995</v>
      </c>
      <c r="AT48">
        <v>26</v>
      </c>
      <c r="AU48">
        <v>0.63414630000000005</v>
      </c>
      <c r="AV48">
        <v>173</v>
      </c>
      <c r="AW48" t="s">
        <v>127</v>
      </c>
      <c r="AX48" t="s">
        <v>127</v>
      </c>
      <c r="AY48" t="s">
        <v>127</v>
      </c>
      <c r="AZ48" t="s">
        <v>127</v>
      </c>
      <c r="BA48" t="s">
        <v>127</v>
      </c>
      <c r="BB48" t="s">
        <v>127</v>
      </c>
      <c r="BC48" t="s">
        <v>127</v>
      </c>
      <c r="BD48" t="s">
        <v>127</v>
      </c>
      <c r="BE48">
        <v>11</v>
      </c>
      <c r="BF48" t="s">
        <v>127</v>
      </c>
      <c r="BG48" t="s">
        <v>127</v>
      </c>
      <c r="BH48" t="s">
        <v>127</v>
      </c>
      <c r="BI48" t="s">
        <v>127</v>
      </c>
      <c r="BJ48" t="s">
        <v>127</v>
      </c>
      <c r="BK48" t="s">
        <v>127</v>
      </c>
      <c r="BL48" t="s">
        <v>127</v>
      </c>
      <c r="BM48" t="s">
        <v>127</v>
      </c>
    </row>
    <row r="49" spans="1:65" x14ac:dyDescent="0.25">
      <c r="A49" t="s">
        <v>216</v>
      </c>
      <c r="B49" t="s">
        <v>217</v>
      </c>
      <c r="C49">
        <v>386</v>
      </c>
      <c r="D49">
        <v>183</v>
      </c>
      <c r="E49">
        <v>0.4740933</v>
      </c>
      <c r="F49">
        <v>93</v>
      </c>
      <c r="G49">
        <v>0.50819669999999995</v>
      </c>
      <c r="H49">
        <v>173</v>
      </c>
      <c r="I49">
        <v>0.94535519999999995</v>
      </c>
      <c r="J49">
        <v>115</v>
      </c>
      <c r="K49">
        <v>0.66473990000000005</v>
      </c>
      <c r="L49">
        <v>212</v>
      </c>
      <c r="M49">
        <v>100</v>
      </c>
      <c r="N49">
        <v>0.47169810000000001</v>
      </c>
      <c r="O49">
        <v>47</v>
      </c>
      <c r="P49">
        <v>0.47</v>
      </c>
      <c r="Q49">
        <v>98</v>
      </c>
      <c r="R49">
        <v>0.98</v>
      </c>
      <c r="S49">
        <v>60</v>
      </c>
      <c r="T49">
        <v>0.61224489999999998</v>
      </c>
      <c r="U49">
        <v>212</v>
      </c>
      <c r="V49">
        <v>47</v>
      </c>
      <c r="W49">
        <v>0.22169810000000001</v>
      </c>
      <c r="X49">
        <v>47</v>
      </c>
      <c r="Y49">
        <v>1</v>
      </c>
      <c r="Z49">
        <v>45</v>
      </c>
      <c r="AA49">
        <v>0.95744680000000004</v>
      </c>
      <c r="AB49">
        <v>29</v>
      </c>
      <c r="AC49">
        <v>0.64444440000000003</v>
      </c>
      <c r="AD49">
        <v>0</v>
      </c>
      <c r="AE49">
        <v>0</v>
      </c>
      <c r="AF49">
        <v>0</v>
      </c>
      <c r="AG49">
        <v>0</v>
      </c>
      <c r="AH49">
        <v>0</v>
      </c>
      <c r="AI49">
        <v>0</v>
      </c>
      <c r="AJ49">
        <v>0</v>
      </c>
      <c r="AK49">
        <v>0</v>
      </c>
      <c r="AL49">
        <v>0</v>
      </c>
      <c r="AM49">
        <v>174</v>
      </c>
      <c r="AN49">
        <v>83</v>
      </c>
      <c r="AO49">
        <v>0.47701149999999998</v>
      </c>
      <c r="AP49">
        <v>46</v>
      </c>
      <c r="AQ49">
        <v>0.55421690000000001</v>
      </c>
      <c r="AR49">
        <v>75</v>
      </c>
      <c r="AS49">
        <v>0.90361449999999999</v>
      </c>
      <c r="AT49">
        <v>55</v>
      </c>
      <c r="AU49">
        <v>0.73333329999999997</v>
      </c>
      <c r="AV49" t="s">
        <v>127</v>
      </c>
      <c r="AW49" t="s">
        <v>127</v>
      </c>
      <c r="AX49" t="s">
        <v>127</v>
      </c>
      <c r="AY49" t="s">
        <v>127</v>
      </c>
      <c r="AZ49" t="s">
        <v>127</v>
      </c>
      <c r="BA49" t="s">
        <v>127</v>
      </c>
      <c r="BB49" t="s">
        <v>127</v>
      </c>
      <c r="BC49" t="s">
        <v>127</v>
      </c>
      <c r="BD49" t="s">
        <v>127</v>
      </c>
      <c r="BE49" t="s">
        <v>127</v>
      </c>
      <c r="BF49" t="s">
        <v>127</v>
      </c>
      <c r="BG49" t="s">
        <v>127</v>
      </c>
      <c r="BH49" t="s">
        <v>127</v>
      </c>
      <c r="BI49" t="s">
        <v>127</v>
      </c>
      <c r="BJ49" t="s">
        <v>127</v>
      </c>
      <c r="BK49" t="s">
        <v>127</v>
      </c>
      <c r="BL49" t="s">
        <v>127</v>
      </c>
      <c r="BM49" t="s">
        <v>127</v>
      </c>
    </row>
    <row r="50" spans="1:65" x14ac:dyDescent="0.25">
      <c r="A50" t="s">
        <v>218</v>
      </c>
      <c r="B50" t="s">
        <v>219</v>
      </c>
      <c r="C50">
        <v>280</v>
      </c>
      <c r="D50">
        <v>141</v>
      </c>
      <c r="E50">
        <v>0.5035714</v>
      </c>
      <c r="F50">
        <v>103</v>
      </c>
      <c r="G50">
        <v>0.73049649999999999</v>
      </c>
      <c r="H50">
        <v>137</v>
      </c>
      <c r="I50">
        <v>0.97163120000000003</v>
      </c>
      <c r="J50">
        <v>101</v>
      </c>
      <c r="K50">
        <v>0.7372263</v>
      </c>
      <c r="L50">
        <v>121</v>
      </c>
      <c r="M50">
        <v>64</v>
      </c>
      <c r="N50">
        <v>0.5289256</v>
      </c>
      <c r="O50">
        <v>44</v>
      </c>
      <c r="P50">
        <v>0.6875</v>
      </c>
      <c r="Q50">
        <v>62</v>
      </c>
      <c r="R50">
        <v>0.96875</v>
      </c>
      <c r="S50">
        <v>49</v>
      </c>
      <c r="T50">
        <v>0.79032259999999999</v>
      </c>
      <c r="U50">
        <v>121</v>
      </c>
      <c r="V50">
        <v>44</v>
      </c>
      <c r="W50">
        <v>0.36363640000000003</v>
      </c>
      <c r="X50">
        <v>44</v>
      </c>
      <c r="Y50">
        <v>1</v>
      </c>
      <c r="Z50">
        <v>42</v>
      </c>
      <c r="AA50">
        <v>0.95454550000000005</v>
      </c>
      <c r="AB50">
        <v>32</v>
      </c>
      <c r="AC50">
        <v>0.76190480000000005</v>
      </c>
      <c r="AD50">
        <v>0</v>
      </c>
      <c r="AE50">
        <v>0</v>
      </c>
      <c r="AF50">
        <v>0</v>
      </c>
      <c r="AG50">
        <v>0</v>
      </c>
      <c r="AH50">
        <v>0</v>
      </c>
      <c r="AI50">
        <v>0</v>
      </c>
      <c r="AJ50">
        <v>0</v>
      </c>
      <c r="AK50">
        <v>0</v>
      </c>
      <c r="AL50">
        <v>0</v>
      </c>
      <c r="AM50">
        <v>159</v>
      </c>
      <c r="AN50">
        <v>77</v>
      </c>
      <c r="AO50">
        <v>0.4842767</v>
      </c>
      <c r="AP50">
        <v>59</v>
      </c>
      <c r="AQ50">
        <v>0.76623379999999996</v>
      </c>
      <c r="AR50">
        <v>75</v>
      </c>
      <c r="AS50">
        <v>0.97402599999999995</v>
      </c>
      <c r="AT50">
        <v>52</v>
      </c>
      <c r="AU50">
        <v>0.69333330000000004</v>
      </c>
      <c r="AV50">
        <v>159</v>
      </c>
      <c r="AW50">
        <v>59</v>
      </c>
      <c r="AX50">
        <v>0.37106919999999999</v>
      </c>
      <c r="AY50">
        <v>59</v>
      </c>
      <c r="AZ50">
        <v>1</v>
      </c>
      <c r="BA50">
        <v>58</v>
      </c>
      <c r="BB50">
        <v>0.9830508</v>
      </c>
      <c r="BC50">
        <v>43</v>
      </c>
      <c r="BD50">
        <v>0.74137929999999996</v>
      </c>
      <c r="BE50">
        <v>0</v>
      </c>
      <c r="BF50">
        <v>0</v>
      </c>
      <c r="BG50">
        <v>0</v>
      </c>
      <c r="BH50">
        <v>0</v>
      </c>
      <c r="BI50">
        <v>0</v>
      </c>
      <c r="BJ50">
        <v>0</v>
      </c>
      <c r="BK50">
        <v>0</v>
      </c>
      <c r="BL50">
        <v>0</v>
      </c>
      <c r="BM50">
        <v>0</v>
      </c>
    </row>
    <row r="51" spans="1:65" x14ac:dyDescent="0.25">
      <c r="A51" t="s">
        <v>220</v>
      </c>
      <c r="B51" t="s">
        <v>221</v>
      </c>
      <c r="C51">
        <v>504</v>
      </c>
      <c r="D51">
        <v>208</v>
      </c>
      <c r="E51">
        <v>0.41269840000000002</v>
      </c>
      <c r="F51">
        <v>119</v>
      </c>
      <c r="G51">
        <v>0.57211540000000005</v>
      </c>
      <c r="H51">
        <v>117</v>
      </c>
      <c r="I51">
        <v>0.5625</v>
      </c>
      <c r="J51">
        <v>117</v>
      </c>
      <c r="K51">
        <v>1</v>
      </c>
      <c r="L51">
        <v>208</v>
      </c>
      <c r="M51">
        <v>84</v>
      </c>
      <c r="N51">
        <v>0.40384619999999999</v>
      </c>
      <c r="O51">
        <v>57</v>
      </c>
      <c r="P51">
        <v>0.67857140000000005</v>
      </c>
      <c r="Q51">
        <v>45</v>
      </c>
      <c r="R51">
        <v>0.53571429999999998</v>
      </c>
      <c r="S51">
        <v>45</v>
      </c>
      <c r="T51">
        <v>1</v>
      </c>
      <c r="U51" t="s">
        <v>127</v>
      </c>
      <c r="V51">
        <v>57</v>
      </c>
      <c r="W51" t="s">
        <v>127</v>
      </c>
      <c r="X51">
        <v>57</v>
      </c>
      <c r="Y51">
        <v>1</v>
      </c>
      <c r="Z51">
        <v>25</v>
      </c>
      <c r="AA51">
        <v>0.4385965</v>
      </c>
      <c r="AB51">
        <v>25</v>
      </c>
      <c r="AC51">
        <v>1</v>
      </c>
      <c r="AD51" t="s">
        <v>127</v>
      </c>
      <c r="AE51">
        <v>0</v>
      </c>
      <c r="AF51" t="s">
        <v>127</v>
      </c>
      <c r="AG51">
        <v>0</v>
      </c>
      <c r="AH51">
        <v>0</v>
      </c>
      <c r="AI51">
        <v>0</v>
      </c>
      <c r="AJ51">
        <v>0</v>
      </c>
      <c r="AK51">
        <v>0</v>
      </c>
      <c r="AL51">
        <v>0</v>
      </c>
      <c r="AM51">
        <v>296</v>
      </c>
      <c r="AN51">
        <v>124</v>
      </c>
      <c r="AO51">
        <v>0.41891889999999998</v>
      </c>
      <c r="AP51">
        <v>62</v>
      </c>
      <c r="AQ51">
        <v>0.5</v>
      </c>
      <c r="AR51">
        <v>72</v>
      </c>
      <c r="AS51">
        <v>0.58064519999999997</v>
      </c>
      <c r="AT51">
        <v>72</v>
      </c>
      <c r="AU51">
        <v>1</v>
      </c>
      <c r="AV51">
        <v>279</v>
      </c>
      <c r="AW51">
        <v>55</v>
      </c>
      <c r="AX51">
        <v>0.19713259999999999</v>
      </c>
      <c r="AY51">
        <v>55</v>
      </c>
      <c r="AZ51">
        <v>1</v>
      </c>
      <c r="BA51">
        <v>27</v>
      </c>
      <c r="BB51">
        <v>0.49090909999999999</v>
      </c>
      <c r="BC51">
        <v>27</v>
      </c>
      <c r="BD51">
        <v>1</v>
      </c>
      <c r="BE51">
        <v>17</v>
      </c>
      <c r="BF51">
        <v>7</v>
      </c>
      <c r="BG51">
        <v>0.41176469999999998</v>
      </c>
      <c r="BH51">
        <v>7</v>
      </c>
      <c r="BI51">
        <v>1</v>
      </c>
      <c r="BJ51">
        <v>3</v>
      </c>
      <c r="BK51">
        <v>0.42857139999999999</v>
      </c>
      <c r="BL51">
        <v>3</v>
      </c>
      <c r="BM51">
        <v>1</v>
      </c>
    </row>
    <row r="52" spans="1:65" x14ac:dyDescent="0.25">
      <c r="A52" t="s">
        <v>222</v>
      </c>
      <c r="B52" t="s">
        <v>223</v>
      </c>
      <c r="C52">
        <v>0</v>
      </c>
      <c r="D52">
        <v>110</v>
      </c>
      <c r="E52">
        <v>0</v>
      </c>
      <c r="F52">
        <v>0</v>
      </c>
      <c r="G52">
        <v>0</v>
      </c>
      <c r="H52">
        <v>110</v>
      </c>
      <c r="I52">
        <v>1</v>
      </c>
      <c r="J52">
        <v>67</v>
      </c>
      <c r="K52">
        <v>0.60909089999999999</v>
      </c>
      <c r="L52">
        <v>0</v>
      </c>
      <c r="M52">
        <v>110</v>
      </c>
      <c r="N52">
        <v>0</v>
      </c>
      <c r="O52">
        <v>0</v>
      </c>
      <c r="P52">
        <v>0</v>
      </c>
      <c r="Q52">
        <v>110</v>
      </c>
      <c r="R52">
        <v>1</v>
      </c>
      <c r="S52">
        <v>67</v>
      </c>
      <c r="T52">
        <v>0.60909089999999999</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row>
    <row r="53" spans="1:65" x14ac:dyDescent="0.25">
      <c r="A53" t="s">
        <v>224</v>
      </c>
      <c r="B53" t="s">
        <v>225</v>
      </c>
      <c r="C53">
        <v>314</v>
      </c>
      <c r="D53">
        <v>285</v>
      </c>
      <c r="E53">
        <v>0.90764330000000004</v>
      </c>
      <c r="F53">
        <v>161</v>
      </c>
      <c r="G53">
        <v>0.56491230000000003</v>
      </c>
      <c r="H53">
        <v>259</v>
      </c>
      <c r="I53">
        <v>0.90877189999999997</v>
      </c>
      <c r="J53">
        <v>151</v>
      </c>
      <c r="K53">
        <v>0.58301159999999996</v>
      </c>
      <c r="L53">
        <v>177</v>
      </c>
      <c r="M53">
        <v>163</v>
      </c>
      <c r="N53">
        <v>0.92090399999999994</v>
      </c>
      <c r="O53">
        <v>88</v>
      </c>
      <c r="P53">
        <v>0.5398773</v>
      </c>
      <c r="Q53">
        <v>155</v>
      </c>
      <c r="R53">
        <v>0.95092019999999999</v>
      </c>
      <c r="S53">
        <v>92</v>
      </c>
      <c r="T53">
        <v>0.59354839999999998</v>
      </c>
      <c r="U53">
        <v>152</v>
      </c>
      <c r="V53">
        <v>72</v>
      </c>
      <c r="W53">
        <v>0.4736842</v>
      </c>
      <c r="X53">
        <v>72</v>
      </c>
      <c r="Y53">
        <v>1</v>
      </c>
      <c r="Z53">
        <v>67</v>
      </c>
      <c r="AA53">
        <v>0.93055560000000004</v>
      </c>
      <c r="AB53">
        <v>41</v>
      </c>
      <c r="AC53">
        <v>0.61194029999999999</v>
      </c>
      <c r="AD53">
        <v>25</v>
      </c>
      <c r="AE53">
        <v>16</v>
      </c>
      <c r="AF53">
        <v>0.64</v>
      </c>
      <c r="AG53">
        <v>16</v>
      </c>
      <c r="AH53">
        <v>1</v>
      </c>
      <c r="AI53">
        <v>15</v>
      </c>
      <c r="AJ53">
        <v>0.9375</v>
      </c>
      <c r="AK53">
        <v>11</v>
      </c>
      <c r="AL53">
        <v>0.73333329999999997</v>
      </c>
      <c r="AM53">
        <v>137</v>
      </c>
      <c r="AN53">
        <v>122</v>
      </c>
      <c r="AO53">
        <v>0.89051089999999999</v>
      </c>
      <c r="AP53">
        <v>73</v>
      </c>
      <c r="AQ53">
        <v>0.59836069999999997</v>
      </c>
      <c r="AR53">
        <v>104</v>
      </c>
      <c r="AS53">
        <v>0.85245899999999997</v>
      </c>
      <c r="AT53">
        <v>59</v>
      </c>
      <c r="AU53">
        <v>0.56730769999999997</v>
      </c>
      <c r="AV53">
        <v>120</v>
      </c>
      <c r="AW53" t="s">
        <v>127</v>
      </c>
      <c r="AX53" t="s">
        <v>127</v>
      </c>
      <c r="AY53" t="s">
        <v>127</v>
      </c>
      <c r="AZ53" t="s">
        <v>127</v>
      </c>
      <c r="BA53" t="s">
        <v>127</v>
      </c>
      <c r="BB53" t="s">
        <v>127</v>
      </c>
      <c r="BC53" t="s">
        <v>127</v>
      </c>
      <c r="BD53">
        <v>0.5438596</v>
      </c>
      <c r="BE53">
        <v>17</v>
      </c>
      <c r="BF53" t="s">
        <v>127</v>
      </c>
      <c r="BG53" t="s">
        <v>127</v>
      </c>
      <c r="BH53" t="s">
        <v>127</v>
      </c>
      <c r="BI53" t="s">
        <v>127</v>
      </c>
      <c r="BJ53" t="s">
        <v>127</v>
      </c>
      <c r="BK53" t="s">
        <v>127</v>
      </c>
      <c r="BL53">
        <v>0</v>
      </c>
      <c r="BM53" t="s">
        <v>127</v>
      </c>
    </row>
    <row r="54" spans="1:65" x14ac:dyDescent="0.25">
      <c r="A54" t="s">
        <v>226</v>
      </c>
      <c r="B54" t="s">
        <v>227</v>
      </c>
      <c r="C54">
        <v>149</v>
      </c>
      <c r="D54">
        <v>71</v>
      </c>
      <c r="E54">
        <v>0.47651009999999999</v>
      </c>
      <c r="F54">
        <v>15</v>
      </c>
      <c r="G54">
        <v>0.2112676</v>
      </c>
      <c r="H54">
        <v>71</v>
      </c>
      <c r="I54">
        <v>1</v>
      </c>
      <c r="J54">
        <v>49</v>
      </c>
      <c r="K54">
        <v>0.6901408</v>
      </c>
      <c r="L54">
        <v>60</v>
      </c>
      <c r="M54">
        <v>34</v>
      </c>
      <c r="N54">
        <v>0.56666669999999997</v>
      </c>
      <c r="O54">
        <v>5</v>
      </c>
      <c r="P54">
        <v>0.14705879999999999</v>
      </c>
      <c r="Q54">
        <v>34</v>
      </c>
      <c r="R54">
        <v>1</v>
      </c>
      <c r="S54">
        <v>22</v>
      </c>
      <c r="T54">
        <v>0.64705880000000005</v>
      </c>
      <c r="U54" t="s">
        <v>127</v>
      </c>
      <c r="V54" t="s">
        <v>127</v>
      </c>
      <c r="W54" t="s">
        <v>127</v>
      </c>
      <c r="X54" t="s">
        <v>127</v>
      </c>
      <c r="Y54" t="s">
        <v>127</v>
      </c>
      <c r="Z54" t="s">
        <v>127</v>
      </c>
      <c r="AA54" t="s">
        <v>127</v>
      </c>
      <c r="AB54" t="s">
        <v>127</v>
      </c>
      <c r="AC54" t="s">
        <v>127</v>
      </c>
      <c r="AD54" t="s">
        <v>127</v>
      </c>
      <c r="AE54">
        <v>0</v>
      </c>
      <c r="AF54" t="s">
        <v>127</v>
      </c>
      <c r="AG54">
        <v>0</v>
      </c>
      <c r="AH54">
        <v>0</v>
      </c>
      <c r="AI54">
        <v>0</v>
      </c>
      <c r="AJ54">
        <v>0</v>
      </c>
      <c r="AK54">
        <v>0</v>
      </c>
      <c r="AL54">
        <v>0</v>
      </c>
      <c r="AM54">
        <v>89</v>
      </c>
      <c r="AN54">
        <v>37</v>
      </c>
      <c r="AO54">
        <v>0.4157303</v>
      </c>
      <c r="AP54">
        <v>10</v>
      </c>
      <c r="AQ54">
        <v>0.27027030000000002</v>
      </c>
      <c r="AR54">
        <v>37</v>
      </c>
      <c r="AS54">
        <v>1</v>
      </c>
      <c r="AT54">
        <v>27</v>
      </c>
      <c r="AU54">
        <v>0.72972970000000004</v>
      </c>
      <c r="AV54">
        <v>89</v>
      </c>
      <c r="AW54">
        <v>10</v>
      </c>
      <c r="AX54">
        <v>0.1123596</v>
      </c>
      <c r="AY54">
        <v>10</v>
      </c>
      <c r="AZ54">
        <v>1</v>
      </c>
      <c r="BA54">
        <v>10</v>
      </c>
      <c r="BB54">
        <v>1</v>
      </c>
      <c r="BC54">
        <v>6</v>
      </c>
      <c r="BD54">
        <v>0.6</v>
      </c>
      <c r="BE54">
        <v>0</v>
      </c>
      <c r="BF54">
        <v>0</v>
      </c>
      <c r="BG54">
        <v>0</v>
      </c>
      <c r="BH54">
        <v>0</v>
      </c>
      <c r="BI54">
        <v>0</v>
      </c>
      <c r="BJ54">
        <v>0</v>
      </c>
      <c r="BK54">
        <v>0</v>
      </c>
      <c r="BL54">
        <v>0</v>
      </c>
      <c r="BM54">
        <v>0</v>
      </c>
    </row>
    <row r="55" spans="1:65" x14ac:dyDescent="0.25">
      <c r="A55" t="s">
        <v>228</v>
      </c>
      <c r="B55" t="s">
        <v>229</v>
      </c>
      <c r="C55">
        <v>962</v>
      </c>
      <c r="D55">
        <v>647</v>
      </c>
      <c r="E55">
        <v>0.67255719999999997</v>
      </c>
      <c r="F55">
        <v>393</v>
      </c>
      <c r="G55">
        <v>0.60741889999999998</v>
      </c>
      <c r="H55">
        <v>628</v>
      </c>
      <c r="I55">
        <v>0.97063370000000004</v>
      </c>
      <c r="J55">
        <v>323</v>
      </c>
      <c r="K55">
        <v>0.51433119999999999</v>
      </c>
      <c r="L55">
        <v>457</v>
      </c>
      <c r="M55">
        <v>302</v>
      </c>
      <c r="N55">
        <v>0.66083150000000002</v>
      </c>
      <c r="O55">
        <v>191</v>
      </c>
      <c r="P55">
        <v>0.63245030000000002</v>
      </c>
      <c r="Q55">
        <v>289</v>
      </c>
      <c r="R55">
        <v>0.95695359999999996</v>
      </c>
      <c r="S55">
        <v>166</v>
      </c>
      <c r="T55">
        <v>0.57439450000000003</v>
      </c>
      <c r="U55">
        <v>408</v>
      </c>
      <c r="V55">
        <v>174</v>
      </c>
      <c r="W55">
        <v>0.42647059999999998</v>
      </c>
      <c r="X55">
        <v>174</v>
      </c>
      <c r="Y55">
        <v>1</v>
      </c>
      <c r="Z55">
        <v>169</v>
      </c>
      <c r="AA55">
        <v>0.97126440000000003</v>
      </c>
      <c r="AB55">
        <v>107</v>
      </c>
      <c r="AC55">
        <v>0.63313609999999998</v>
      </c>
      <c r="AD55">
        <v>49</v>
      </c>
      <c r="AE55">
        <v>17</v>
      </c>
      <c r="AF55">
        <v>0.34693879999999999</v>
      </c>
      <c r="AG55">
        <v>17</v>
      </c>
      <c r="AH55">
        <v>1</v>
      </c>
      <c r="AI55">
        <v>16</v>
      </c>
      <c r="AJ55">
        <v>0.94117649999999997</v>
      </c>
      <c r="AK55">
        <v>9</v>
      </c>
      <c r="AL55">
        <v>0.5625</v>
      </c>
      <c r="AM55">
        <v>505</v>
      </c>
      <c r="AN55">
        <v>345</v>
      </c>
      <c r="AO55">
        <v>0.68316829999999995</v>
      </c>
      <c r="AP55">
        <v>202</v>
      </c>
      <c r="AQ55">
        <v>0.58550720000000001</v>
      </c>
      <c r="AR55">
        <v>339</v>
      </c>
      <c r="AS55">
        <v>0.9826087</v>
      </c>
      <c r="AT55">
        <v>157</v>
      </c>
      <c r="AU55">
        <v>0.46312680000000001</v>
      </c>
      <c r="AV55">
        <v>451</v>
      </c>
      <c r="AW55">
        <v>188</v>
      </c>
      <c r="AX55">
        <v>0.41685139999999998</v>
      </c>
      <c r="AY55">
        <v>188</v>
      </c>
      <c r="AZ55">
        <v>1</v>
      </c>
      <c r="BA55">
        <v>185</v>
      </c>
      <c r="BB55">
        <v>0.98404259999999999</v>
      </c>
      <c r="BC55">
        <v>99</v>
      </c>
      <c r="BD55">
        <v>0.53513509999999997</v>
      </c>
      <c r="BE55">
        <v>54</v>
      </c>
      <c r="BF55">
        <v>14</v>
      </c>
      <c r="BG55">
        <v>0.25925930000000003</v>
      </c>
      <c r="BH55">
        <v>14</v>
      </c>
      <c r="BI55">
        <v>1</v>
      </c>
      <c r="BJ55">
        <v>14</v>
      </c>
      <c r="BK55">
        <v>1</v>
      </c>
      <c r="BL55">
        <v>9</v>
      </c>
      <c r="BM55">
        <v>0.64285709999999996</v>
      </c>
    </row>
    <row r="56" spans="1:65" x14ac:dyDescent="0.25">
      <c r="A56" t="s">
        <v>230</v>
      </c>
      <c r="B56" t="s">
        <v>231</v>
      </c>
      <c r="C56">
        <v>847</v>
      </c>
      <c r="D56">
        <v>455</v>
      </c>
      <c r="E56">
        <v>0.5371901</v>
      </c>
      <c r="F56">
        <v>328</v>
      </c>
      <c r="G56">
        <v>0.72087909999999999</v>
      </c>
      <c r="H56">
        <v>438</v>
      </c>
      <c r="I56">
        <v>0.96263739999999998</v>
      </c>
      <c r="J56">
        <v>286</v>
      </c>
      <c r="K56">
        <v>0.65296799999999999</v>
      </c>
      <c r="L56">
        <v>369</v>
      </c>
      <c r="M56">
        <v>212</v>
      </c>
      <c r="N56">
        <v>0.57452570000000003</v>
      </c>
      <c r="O56">
        <v>152</v>
      </c>
      <c r="P56">
        <v>0.71698110000000004</v>
      </c>
      <c r="Q56">
        <v>201</v>
      </c>
      <c r="R56">
        <v>0.94811319999999999</v>
      </c>
      <c r="S56">
        <v>135</v>
      </c>
      <c r="T56">
        <v>0.67164179999999996</v>
      </c>
      <c r="U56" t="s">
        <v>127</v>
      </c>
      <c r="V56" t="s">
        <v>127</v>
      </c>
      <c r="W56" t="s">
        <v>127</v>
      </c>
      <c r="X56" t="s">
        <v>127</v>
      </c>
      <c r="Y56" t="s">
        <v>127</v>
      </c>
      <c r="Z56" t="s">
        <v>127</v>
      </c>
      <c r="AA56" t="s">
        <v>127</v>
      </c>
      <c r="AB56">
        <v>97</v>
      </c>
      <c r="AC56" t="s">
        <v>127</v>
      </c>
      <c r="AD56" t="s">
        <v>127</v>
      </c>
      <c r="AE56" t="s">
        <v>127</v>
      </c>
      <c r="AF56" t="s">
        <v>127</v>
      </c>
      <c r="AG56" t="s">
        <v>127</v>
      </c>
      <c r="AH56" t="s">
        <v>127</v>
      </c>
      <c r="AI56" t="s">
        <v>127</v>
      </c>
      <c r="AJ56" t="s">
        <v>127</v>
      </c>
      <c r="AK56">
        <v>0</v>
      </c>
      <c r="AL56" t="s">
        <v>127</v>
      </c>
      <c r="AM56">
        <v>478</v>
      </c>
      <c r="AN56">
        <v>243</v>
      </c>
      <c r="AO56">
        <v>0.50836820000000005</v>
      </c>
      <c r="AP56">
        <v>176</v>
      </c>
      <c r="AQ56">
        <v>0.72427980000000003</v>
      </c>
      <c r="AR56">
        <v>237</v>
      </c>
      <c r="AS56">
        <v>0.97530859999999997</v>
      </c>
      <c r="AT56">
        <v>151</v>
      </c>
      <c r="AU56">
        <v>0.6371308</v>
      </c>
      <c r="AV56">
        <v>468</v>
      </c>
      <c r="AW56">
        <v>170</v>
      </c>
      <c r="AX56">
        <v>0.36324790000000001</v>
      </c>
      <c r="AY56">
        <v>170</v>
      </c>
      <c r="AZ56">
        <v>1</v>
      </c>
      <c r="BA56">
        <v>165</v>
      </c>
      <c r="BB56">
        <v>0.97058820000000001</v>
      </c>
      <c r="BC56">
        <v>98</v>
      </c>
      <c r="BD56">
        <v>0.59393940000000001</v>
      </c>
      <c r="BE56">
        <v>10</v>
      </c>
      <c r="BF56">
        <v>6</v>
      </c>
      <c r="BG56">
        <v>0.6</v>
      </c>
      <c r="BH56">
        <v>6</v>
      </c>
      <c r="BI56">
        <v>1</v>
      </c>
      <c r="BJ56">
        <v>6</v>
      </c>
      <c r="BK56">
        <v>1</v>
      </c>
      <c r="BL56">
        <v>3</v>
      </c>
      <c r="BM56">
        <v>0.5</v>
      </c>
    </row>
    <row r="57" spans="1:65" x14ac:dyDescent="0.25">
      <c r="A57" t="s">
        <v>232</v>
      </c>
      <c r="B57" t="s">
        <v>233</v>
      </c>
      <c r="C57">
        <v>1729</v>
      </c>
      <c r="D57">
        <v>891</v>
      </c>
      <c r="E57">
        <v>0.51532679999999997</v>
      </c>
      <c r="F57">
        <v>499</v>
      </c>
      <c r="G57">
        <v>0.56004489999999996</v>
      </c>
      <c r="H57">
        <v>868</v>
      </c>
      <c r="I57">
        <v>0.97418629999999995</v>
      </c>
      <c r="J57">
        <v>564</v>
      </c>
      <c r="K57">
        <v>0.64976959999999995</v>
      </c>
      <c r="L57">
        <v>812</v>
      </c>
      <c r="M57">
        <v>431</v>
      </c>
      <c r="N57">
        <v>0.53078820000000004</v>
      </c>
      <c r="O57">
        <v>252</v>
      </c>
      <c r="P57">
        <v>0.58468679999999995</v>
      </c>
      <c r="Q57">
        <v>425</v>
      </c>
      <c r="R57">
        <v>0.98607889999999998</v>
      </c>
      <c r="S57">
        <v>276</v>
      </c>
      <c r="T57">
        <v>0.64941179999999998</v>
      </c>
      <c r="U57">
        <v>756</v>
      </c>
      <c r="V57">
        <v>237</v>
      </c>
      <c r="W57">
        <v>0.3134921</v>
      </c>
      <c r="X57">
        <v>237</v>
      </c>
      <c r="Y57">
        <v>1</v>
      </c>
      <c r="Z57">
        <v>232</v>
      </c>
      <c r="AA57">
        <v>0.97890299999999997</v>
      </c>
      <c r="AB57">
        <v>173</v>
      </c>
      <c r="AC57">
        <v>0.74568970000000001</v>
      </c>
      <c r="AD57">
        <v>56</v>
      </c>
      <c r="AE57">
        <v>15</v>
      </c>
      <c r="AF57">
        <v>0.26785710000000001</v>
      </c>
      <c r="AG57">
        <v>15</v>
      </c>
      <c r="AH57">
        <v>1</v>
      </c>
      <c r="AI57">
        <v>15</v>
      </c>
      <c r="AJ57">
        <v>1</v>
      </c>
      <c r="AK57">
        <v>8</v>
      </c>
      <c r="AL57">
        <v>0.53333330000000001</v>
      </c>
      <c r="AM57">
        <v>917</v>
      </c>
      <c r="AN57">
        <v>460</v>
      </c>
      <c r="AO57">
        <v>0.50163579999999997</v>
      </c>
      <c r="AP57">
        <v>247</v>
      </c>
      <c r="AQ57">
        <v>0.53695649999999995</v>
      </c>
      <c r="AR57">
        <v>443</v>
      </c>
      <c r="AS57">
        <v>0.96304350000000005</v>
      </c>
      <c r="AT57">
        <v>288</v>
      </c>
      <c r="AU57">
        <v>0.65011289999999999</v>
      </c>
      <c r="AV57">
        <v>872</v>
      </c>
      <c r="AW57">
        <v>240</v>
      </c>
      <c r="AX57">
        <v>0.27522940000000001</v>
      </c>
      <c r="AY57">
        <v>240</v>
      </c>
      <c r="AZ57">
        <v>1</v>
      </c>
      <c r="BA57">
        <v>232</v>
      </c>
      <c r="BB57">
        <v>0.96666669999999999</v>
      </c>
      <c r="BC57">
        <v>167</v>
      </c>
      <c r="BD57">
        <v>0.71982760000000001</v>
      </c>
      <c r="BE57">
        <v>45</v>
      </c>
      <c r="BF57">
        <v>7</v>
      </c>
      <c r="BG57">
        <v>0.15555559999999999</v>
      </c>
      <c r="BH57">
        <v>7</v>
      </c>
      <c r="BI57">
        <v>1</v>
      </c>
      <c r="BJ57">
        <v>7</v>
      </c>
      <c r="BK57">
        <v>1</v>
      </c>
      <c r="BL57">
        <v>3</v>
      </c>
      <c r="BM57">
        <v>0.42857139999999999</v>
      </c>
    </row>
    <row r="58" spans="1:65" x14ac:dyDescent="0.25">
      <c r="A58" t="s">
        <v>234</v>
      </c>
      <c r="B58" t="s">
        <v>235</v>
      </c>
      <c r="C58">
        <v>698</v>
      </c>
      <c r="D58">
        <v>389</v>
      </c>
      <c r="E58">
        <v>0.55730659999999999</v>
      </c>
      <c r="F58">
        <v>264</v>
      </c>
      <c r="G58">
        <v>0.67866320000000002</v>
      </c>
      <c r="H58">
        <v>377</v>
      </c>
      <c r="I58">
        <v>0.96915169999999995</v>
      </c>
      <c r="J58">
        <v>227</v>
      </c>
      <c r="K58">
        <v>0.60212200000000005</v>
      </c>
      <c r="L58">
        <v>357</v>
      </c>
      <c r="M58">
        <v>197</v>
      </c>
      <c r="N58">
        <v>0.55182070000000005</v>
      </c>
      <c r="O58">
        <v>134</v>
      </c>
      <c r="P58">
        <v>0.680203</v>
      </c>
      <c r="Q58">
        <v>190</v>
      </c>
      <c r="R58">
        <v>0.96446699999999996</v>
      </c>
      <c r="S58">
        <v>121</v>
      </c>
      <c r="T58">
        <v>0.63684209999999997</v>
      </c>
      <c r="U58">
        <v>334</v>
      </c>
      <c r="V58">
        <v>118</v>
      </c>
      <c r="W58">
        <v>0.35329339999999998</v>
      </c>
      <c r="X58">
        <v>118</v>
      </c>
      <c r="Y58">
        <v>1</v>
      </c>
      <c r="Z58">
        <v>113</v>
      </c>
      <c r="AA58">
        <v>0.95762709999999995</v>
      </c>
      <c r="AB58">
        <v>83</v>
      </c>
      <c r="AC58">
        <v>0.73451330000000004</v>
      </c>
      <c r="AD58">
        <v>23</v>
      </c>
      <c r="AE58">
        <v>16</v>
      </c>
      <c r="AF58">
        <v>0.69565220000000005</v>
      </c>
      <c r="AG58">
        <v>16</v>
      </c>
      <c r="AH58">
        <v>1</v>
      </c>
      <c r="AI58">
        <v>16</v>
      </c>
      <c r="AJ58">
        <v>1</v>
      </c>
      <c r="AK58">
        <v>9</v>
      </c>
      <c r="AL58">
        <v>0.5625</v>
      </c>
      <c r="AM58">
        <v>341</v>
      </c>
      <c r="AN58">
        <v>192</v>
      </c>
      <c r="AO58">
        <v>0.56304989999999999</v>
      </c>
      <c r="AP58">
        <v>130</v>
      </c>
      <c r="AQ58">
        <v>0.67708330000000005</v>
      </c>
      <c r="AR58">
        <v>187</v>
      </c>
      <c r="AS58">
        <v>0.97395830000000005</v>
      </c>
      <c r="AT58">
        <v>106</v>
      </c>
      <c r="AU58">
        <v>0.56684489999999998</v>
      </c>
      <c r="AV58">
        <v>309</v>
      </c>
      <c r="AW58">
        <v>123</v>
      </c>
      <c r="AX58">
        <v>0.39805829999999998</v>
      </c>
      <c r="AY58">
        <v>123</v>
      </c>
      <c r="AZ58">
        <v>1</v>
      </c>
      <c r="BA58">
        <v>122</v>
      </c>
      <c r="BB58">
        <v>0.99186989999999997</v>
      </c>
      <c r="BC58">
        <v>82</v>
      </c>
      <c r="BD58">
        <v>0.67213109999999998</v>
      </c>
      <c r="BE58">
        <v>32</v>
      </c>
      <c r="BF58">
        <v>7</v>
      </c>
      <c r="BG58">
        <v>0.21875</v>
      </c>
      <c r="BH58">
        <v>7</v>
      </c>
      <c r="BI58">
        <v>1</v>
      </c>
      <c r="BJ58">
        <v>7</v>
      </c>
      <c r="BK58">
        <v>1</v>
      </c>
      <c r="BL58">
        <v>5</v>
      </c>
      <c r="BM58">
        <v>0.71428570000000002</v>
      </c>
    </row>
    <row r="59" spans="1:65" x14ac:dyDescent="0.25">
      <c r="A59" t="s">
        <v>236</v>
      </c>
      <c r="B59" t="s">
        <v>237</v>
      </c>
      <c r="C59">
        <v>0</v>
      </c>
      <c r="D59">
        <v>0</v>
      </c>
      <c r="E59">
        <v>0</v>
      </c>
      <c r="F59">
        <v>0</v>
      </c>
      <c r="G59">
        <v>0</v>
      </c>
      <c r="H59">
        <v>0</v>
      </c>
      <c r="I59">
        <v>0</v>
      </c>
      <c r="J59">
        <v>0</v>
      </c>
      <c r="K59">
        <v>0</v>
      </c>
      <c r="L59" t="s">
        <v>127</v>
      </c>
      <c r="M59" t="s">
        <v>127</v>
      </c>
      <c r="N59" t="s">
        <v>127</v>
      </c>
      <c r="O59">
        <v>0</v>
      </c>
      <c r="P59" t="s">
        <v>127</v>
      </c>
      <c r="Q59" t="s">
        <v>127</v>
      </c>
      <c r="R59" t="s">
        <v>127</v>
      </c>
      <c r="S59">
        <v>0</v>
      </c>
      <c r="T59" t="s">
        <v>127</v>
      </c>
      <c r="U59" t="s">
        <v>127</v>
      </c>
      <c r="V59">
        <v>0</v>
      </c>
      <c r="W59" t="s">
        <v>127</v>
      </c>
      <c r="X59">
        <v>0</v>
      </c>
      <c r="Y59">
        <v>0</v>
      </c>
      <c r="Z59">
        <v>0</v>
      </c>
      <c r="AA59">
        <v>0</v>
      </c>
      <c r="AB59">
        <v>0</v>
      </c>
      <c r="AC59">
        <v>0</v>
      </c>
      <c r="AD59">
        <v>0</v>
      </c>
      <c r="AE59">
        <v>0</v>
      </c>
      <c r="AF59">
        <v>0</v>
      </c>
      <c r="AG59">
        <v>0</v>
      </c>
      <c r="AH59">
        <v>0</v>
      </c>
      <c r="AI59">
        <v>0</v>
      </c>
      <c r="AJ59">
        <v>0</v>
      </c>
      <c r="AK59">
        <v>0</v>
      </c>
      <c r="AL59">
        <v>0</v>
      </c>
      <c r="AM59">
        <v>0</v>
      </c>
      <c r="AN59" t="s">
        <v>127</v>
      </c>
      <c r="AO59" t="s">
        <v>127</v>
      </c>
      <c r="AP59">
        <v>0</v>
      </c>
      <c r="AQ59" t="s">
        <v>127</v>
      </c>
      <c r="AR59" t="s">
        <v>127</v>
      </c>
      <c r="AS59" t="s">
        <v>127</v>
      </c>
      <c r="AT59" t="s">
        <v>127</v>
      </c>
      <c r="AU59" t="s">
        <v>127</v>
      </c>
      <c r="AV59">
        <v>0</v>
      </c>
      <c r="AW59">
        <v>0</v>
      </c>
      <c r="AX59">
        <v>0</v>
      </c>
      <c r="AY59">
        <v>0</v>
      </c>
      <c r="AZ59">
        <v>0</v>
      </c>
      <c r="BA59">
        <v>0</v>
      </c>
      <c r="BB59">
        <v>0</v>
      </c>
      <c r="BC59">
        <v>0</v>
      </c>
      <c r="BD59">
        <v>0</v>
      </c>
      <c r="BE59">
        <v>0</v>
      </c>
      <c r="BF59">
        <v>0</v>
      </c>
      <c r="BG59">
        <v>0</v>
      </c>
      <c r="BH59">
        <v>0</v>
      </c>
      <c r="BI59">
        <v>0</v>
      </c>
      <c r="BJ59">
        <v>0</v>
      </c>
      <c r="BK59">
        <v>0</v>
      </c>
      <c r="BL59">
        <v>0</v>
      </c>
      <c r="BM59">
        <v>0</v>
      </c>
    </row>
    <row r="60" spans="1:65" x14ac:dyDescent="0.25">
      <c r="A60" t="s">
        <v>238</v>
      </c>
      <c r="B60" t="s">
        <v>239</v>
      </c>
      <c r="C60">
        <v>3156</v>
      </c>
      <c r="D60">
        <v>2947</v>
      </c>
      <c r="E60">
        <v>0.93377690000000002</v>
      </c>
      <c r="F60">
        <v>2056</v>
      </c>
      <c r="G60">
        <v>0.69765860000000002</v>
      </c>
      <c r="H60">
        <v>2830</v>
      </c>
      <c r="I60">
        <v>0.9602986</v>
      </c>
      <c r="J60">
        <v>1928</v>
      </c>
      <c r="K60">
        <v>0.68127210000000005</v>
      </c>
      <c r="L60">
        <v>1495</v>
      </c>
      <c r="M60">
        <v>1334</v>
      </c>
      <c r="N60">
        <v>0.89230770000000004</v>
      </c>
      <c r="O60">
        <v>880</v>
      </c>
      <c r="P60">
        <v>0.65967019999999998</v>
      </c>
      <c r="Q60">
        <v>1306</v>
      </c>
      <c r="R60">
        <v>0.97901050000000001</v>
      </c>
      <c r="S60">
        <v>916</v>
      </c>
      <c r="T60">
        <v>0.70137830000000001</v>
      </c>
      <c r="U60">
        <v>1417</v>
      </c>
      <c r="V60">
        <v>830</v>
      </c>
      <c r="W60">
        <v>0.5857445</v>
      </c>
      <c r="X60">
        <v>830</v>
      </c>
      <c r="Y60">
        <v>1</v>
      </c>
      <c r="Z60">
        <v>810</v>
      </c>
      <c r="AA60">
        <v>0.97590359999999998</v>
      </c>
      <c r="AB60">
        <v>557</v>
      </c>
      <c r="AC60">
        <v>0.68765430000000005</v>
      </c>
      <c r="AD60">
        <v>78</v>
      </c>
      <c r="AE60">
        <v>50</v>
      </c>
      <c r="AF60">
        <v>0.64102559999999997</v>
      </c>
      <c r="AG60">
        <v>50</v>
      </c>
      <c r="AH60">
        <v>1</v>
      </c>
      <c r="AI60">
        <v>46</v>
      </c>
      <c r="AJ60">
        <v>0.92</v>
      </c>
      <c r="AK60">
        <v>36</v>
      </c>
      <c r="AL60">
        <v>0.78260870000000005</v>
      </c>
      <c r="AM60">
        <v>1661</v>
      </c>
      <c r="AN60">
        <v>1613</v>
      </c>
      <c r="AO60">
        <v>0.97110169999999996</v>
      </c>
      <c r="AP60">
        <v>1176</v>
      </c>
      <c r="AQ60">
        <v>0.72907630000000001</v>
      </c>
      <c r="AR60">
        <v>1524</v>
      </c>
      <c r="AS60">
        <v>0.94482330000000003</v>
      </c>
      <c r="AT60">
        <v>1012</v>
      </c>
      <c r="AU60">
        <v>0.66404200000000002</v>
      </c>
      <c r="AV60">
        <v>1614</v>
      </c>
      <c r="AW60">
        <v>1143</v>
      </c>
      <c r="AX60">
        <v>0.70817839999999999</v>
      </c>
      <c r="AY60">
        <v>1143</v>
      </c>
      <c r="AZ60">
        <v>1</v>
      </c>
      <c r="BA60">
        <v>1076</v>
      </c>
      <c r="BB60">
        <v>0.94138230000000001</v>
      </c>
      <c r="BC60">
        <v>700</v>
      </c>
      <c r="BD60">
        <v>0.65055759999999996</v>
      </c>
      <c r="BE60">
        <v>47</v>
      </c>
      <c r="BF60">
        <v>33</v>
      </c>
      <c r="BG60">
        <v>0.70212770000000002</v>
      </c>
      <c r="BH60">
        <v>33</v>
      </c>
      <c r="BI60">
        <v>1</v>
      </c>
      <c r="BJ60">
        <v>31</v>
      </c>
      <c r="BK60">
        <v>0.9393939</v>
      </c>
      <c r="BL60">
        <v>15</v>
      </c>
      <c r="BM60">
        <v>0.483871</v>
      </c>
    </row>
    <row r="61" spans="1:65" x14ac:dyDescent="0.25">
      <c r="A61" t="s">
        <v>240</v>
      </c>
      <c r="B61" t="s">
        <v>241</v>
      </c>
      <c r="C61">
        <v>345</v>
      </c>
      <c r="D61">
        <v>250</v>
      </c>
      <c r="E61">
        <v>0.72463770000000005</v>
      </c>
      <c r="F61">
        <v>187</v>
      </c>
      <c r="G61">
        <v>0.748</v>
      </c>
      <c r="H61">
        <v>245</v>
      </c>
      <c r="I61">
        <v>0.98</v>
      </c>
      <c r="J61">
        <v>163</v>
      </c>
      <c r="K61">
        <v>0.66530610000000001</v>
      </c>
      <c r="L61">
        <v>152</v>
      </c>
      <c r="M61">
        <v>122</v>
      </c>
      <c r="N61">
        <v>0.8026316</v>
      </c>
      <c r="O61">
        <v>85</v>
      </c>
      <c r="P61">
        <v>0.69672129999999999</v>
      </c>
      <c r="Q61">
        <v>121</v>
      </c>
      <c r="R61">
        <v>0.99180330000000005</v>
      </c>
      <c r="S61">
        <v>87</v>
      </c>
      <c r="T61">
        <v>0.71900830000000004</v>
      </c>
      <c r="U61">
        <v>152</v>
      </c>
      <c r="V61">
        <v>85</v>
      </c>
      <c r="W61">
        <v>0.55921050000000005</v>
      </c>
      <c r="X61">
        <v>85</v>
      </c>
      <c r="Y61">
        <v>1</v>
      </c>
      <c r="Z61">
        <v>84</v>
      </c>
      <c r="AA61">
        <v>0.98823530000000004</v>
      </c>
      <c r="AB61">
        <v>59</v>
      </c>
      <c r="AC61">
        <v>0.70238100000000003</v>
      </c>
      <c r="AD61">
        <v>0</v>
      </c>
      <c r="AE61">
        <v>0</v>
      </c>
      <c r="AF61">
        <v>0</v>
      </c>
      <c r="AG61">
        <v>0</v>
      </c>
      <c r="AH61">
        <v>0</v>
      </c>
      <c r="AI61">
        <v>0</v>
      </c>
      <c r="AJ61">
        <v>0</v>
      </c>
      <c r="AK61">
        <v>0</v>
      </c>
      <c r="AL61">
        <v>0</v>
      </c>
      <c r="AM61">
        <v>193</v>
      </c>
      <c r="AN61">
        <v>128</v>
      </c>
      <c r="AO61">
        <v>0.66321240000000004</v>
      </c>
      <c r="AP61">
        <v>102</v>
      </c>
      <c r="AQ61">
        <v>0.796875</v>
      </c>
      <c r="AR61">
        <v>124</v>
      </c>
      <c r="AS61">
        <v>0.96875</v>
      </c>
      <c r="AT61">
        <v>76</v>
      </c>
      <c r="AU61">
        <v>0.61290319999999998</v>
      </c>
      <c r="AV61" t="s">
        <v>127</v>
      </c>
      <c r="AW61" t="s">
        <v>127</v>
      </c>
      <c r="AX61" t="s">
        <v>127</v>
      </c>
      <c r="AY61" t="s">
        <v>127</v>
      </c>
      <c r="AZ61" t="s">
        <v>127</v>
      </c>
      <c r="BA61" t="s">
        <v>127</v>
      </c>
      <c r="BB61" t="s">
        <v>127</v>
      </c>
      <c r="BC61" t="s">
        <v>127</v>
      </c>
      <c r="BD61" t="s">
        <v>127</v>
      </c>
      <c r="BE61" t="s">
        <v>127</v>
      </c>
      <c r="BF61" t="s">
        <v>127</v>
      </c>
      <c r="BG61" t="s">
        <v>127</v>
      </c>
      <c r="BH61" t="s">
        <v>127</v>
      </c>
      <c r="BI61" t="s">
        <v>127</v>
      </c>
      <c r="BJ61" t="s">
        <v>127</v>
      </c>
      <c r="BK61" t="s">
        <v>127</v>
      </c>
      <c r="BL61" t="s">
        <v>127</v>
      </c>
      <c r="BM61" t="s">
        <v>127</v>
      </c>
    </row>
    <row r="62" spans="1:65" x14ac:dyDescent="0.25">
      <c r="A62" t="s">
        <v>242</v>
      </c>
      <c r="B62" t="s">
        <v>243</v>
      </c>
      <c r="C62">
        <v>331</v>
      </c>
      <c r="D62">
        <v>228</v>
      </c>
      <c r="E62">
        <v>0.68882180000000004</v>
      </c>
      <c r="F62">
        <v>170</v>
      </c>
      <c r="G62">
        <v>0.745614</v>
      </c>
      <c r="H62">
        <v>217</v>
      </c>
      <c r="I62">
        <v>0.9517544</v>
      </c>
      <c r="J62">
        <v>128</v>
      </c>
      <c r="K62">
        <v>0.58986179999999999</v>
      </c>
      <c r="L62">
        <v>145</v>
      </c>
      <c r="M62">
        <v>104</v>
      </c>
      <c r="N62">
        <v>0.71724140000000003</v>
      </c>
      <c r="O62">
        <v>74</v>
      </c>
      <c r="P62">
        <v>0.71153849999999996</v>
      </c>
      <c r="Q62">
        <v>98</v>
      </c>
      <c r="R62">
        <v>0.94230769999999997</v>
      </c>
      <c r="S62">
        <v>64</v>
      </c>
      <c r="T62">
        <v>0.65306120000000001</v>
      </c>
      <c r="U62">
        <v>145</v>
      </c>
      <c r="V62">
        <v>74</v>
      </c>
      <c r="W62">
        <v>0.51034480000000004</v>
      </c>
      <c r="X62">
        <v>74</v>
      </c>
      <c r="Y62">
        <v>1</v>
      </c>
      <c r="Z62">
        <v>69</v>
      </c>
      <c r="AA62">
        <v>0.93243240000000005</v>
      </c>
      <c r="AB62">
        <v>44</v>
      </c>
      <c r="AC62">
        <v>0.63768119999999995</v>
      </c>
      <c r="AD62">
        <v>0</v>
      </c>
      <c r="AE62">
        <v>0</v>
      </c>
      <c r="AF62">
        <v>0</v>
      </c>
      <c r="AG62">
        <v>0</v>
      </c>
      <c r="AH62">
        <v>0</v>
      </c>
      <c r="AI62">
        <v>0</v>
      </c>
      <c r="AJ62">
        <v>0</v>
      </c>
      <c r="AK62">
        <v>0</v>
      </c>
      <c r="AL62">
        <v>0</v>
      </c>
      <c r="AM62">
        <v>186</v>
      </c>
      <c r="AN62">
        <v>124</v>
      </c>
      <c r="AO62">
        <v>0.66666669999999995</v>
      </c>
      <c r="AP62">
        <v>96</v>
      </c>
      <c r="AQ62">
        <v>0.77419349999999998</v>
      </c>
      <c r="AR62">
        <v>119</v>
      </c>
      <c r="AS62">
        <v>0.95967740000000001</v>
      </c>
      <c r="AT62">
        <v>64</v>
      </c>
      <c r="AU62">
        <v>0.53781509999999999</v>
      </c>
      <c r="AV62">
        <v>186</v>
      </c>
      <c r="AW62">
        <v>96</v>
      </c>
      <c r="AX62">
        <v>0.51612899999999995</v>
      </c>
      <c r="AY62">
        <v>96</v>
      </c>
      <c r="AZ62">
        <v>1</v>
      </c>
      <c r="BA62">
        <v>92</v>
      </c>
      <c r="BB62">
        <v>0.95833330000000005</v>
      </c>
      <c r="BC62">
        <v>48</v>
      </c>
      <c r="BD62">
        <v>0.52173910000000001</v>
      </c>
      <c r="BE62">
        <v>0</v>
      </c>
      <c r="BF62">
        <v>0</v>
      </c>
      <c r="BG62">
        <v>0</v>
      </c>
      <c r="BH62">
        <v>0</v>
      </c>
      <c r="BI62">
        <v>0</v>
      </c>
      <c r="BJ62">
        <v>0</v>
      </c>
      <c r="BK62">
        <v>0</v>
      </c>
      <c r="BL62">
        <v>0</v>
      </c>
      <c r="BM62">
        <v>0</v>
      </c>
    </row>
    <row r="63" spans="1:65" x14ac:dyDescent="0.25">
      <c r="A63" t="s">
        <v>244</v>
      </c>
      <c r="B63" t="s">
        <v>245</v>
      </c>
      <c r="C63">
        <v>583</v>
      </c>
      <c r="D63">
        <v>370</v>
      </c>
      <c r="E63">
        <v>0.6346484</v>
      </c>
      <c r="F63">
        <v>235</v>
      </c>
      <c r="G63">
        <v>0.63513509999999995</v>
      </c>
      <c r="H63">
        <v>363</v>
      </c>
      <c r="I63">
        <v>0.98108110000000004</v>
      </c>
      <c r="J63">
        <v>259</v>
      </c>
      <c r="K63">
        <v>0.71349859999999998</v>
      </c>
      <c r="L63">
        <v>268</v>
      </c>
      <c r="M63">
        <v>155</v>
      </c>
      <c r="N63">
        <v>0.57835820000000004</v>
      </c>
      <c r="O63">
        <v>92</v>
      </c>
      <c r="P63">
        <v>0.59354839999999998</v>
      </c>
      <c r="Q63">
        <v>154</v>
      </c>
      <c r="R63">
        <v>0.9935484</v>
      </c>
      <c r="S63">
        <v>117</v>
      </c>
      <c r="T63">
        <v>0.75974030000000004</v>
      </c>
      <c r="U63" t="s">
        <v>127</v>
      </c>
      <c r="V63" t="s">
        <v>127</v>
      </c>
      <c r="W63" t="s">
        <v>127</v>
      </c>
      <c r="X63" t="s">
        <v>127</v>
      </c>
      <c r="Y63" t="s">
        <v>127</v>
      </c>
      <c r="Z63" t="s">
        <v>127</v>
      </c>
      <c r="AA63" t="s">
        <v>127</v>
      </c>
      <c r="AB63" t="s">
        <v>127</v>
      </c>
      <c r="AC63" t="s">
        <v>127</v>
      </c>
      <c r="AD63" t="s">
        <v>127</v>
      </c>
      <c r="AE63" t="s">
        <v>127</v>
      </c>
      <c r="AF63" t="s">
        <v>127</v>
      </c>
      <c r="AG63" t="s">
        <v>127</v>
      </c>
      <c r="AH63" t="s">
        <v>127</v>
      </c>
      <c r="AI63" t="s">
        <v>127</v>
      </c>
      <c r="AJ63" t="s">
        <v>127</v>
      </c>
      <c r="AK63" t="s">
        <v>127</v>
      </c>
      <c r="AL63" t="s">
        <v>127</v>
      </c>
      <c r="AM63">
        <v>315</v>
      </c>
      <c r="AN63">
        <v>215</v>
      </c>
      <c r="AO63">
        <v>0.68253969999999997</v>
      </c>
      <c r="AP63">
        <v>143</v>
      </c>
      <c r="AQ63">
        <v>0.66511629999999999</v>
      </c>
      <c r="AR63">
        <v>209</v>
      </c>
      <c r="AS63">
        <v>0.97209299999999998</v>
      </c>
      <c r="AT63">
        <v>142</v>
      </c>
      <c r="AU63">
        <v>0.67942579999999997</v>
      </c>
      <c r="AV63" t="s">
        <v>127</v>
      </c>
      <c r="AW63" t="s">
        <v>127</v>
      </c>
      <c r="AX63" t="s">
        <v>127</v>
      </c>
      <c r="AY63" t="s">
        <v>127</v>
      </c>
      <c r="AZ63" t="s">
        <v>127</v>
      </c>
      <c r="BA63" t="s">
        <v>127</v>
      </c>
      <c r="BB63" t="s">
        <v>127</v>
      </c>
      <c r="BC63" t="s">
        <v>127</v>
      </c>
      <c r="BD63">
        <v>0.72262769999999998</v>
      </c>
      <c r="BE63" t="s">
        <v>127</v>
      </c>
      <c r="BF63" t="s">
        <v>127</v>
      </c>
      <c r="BG63" t="s">
        <v>127</v>
      </c>
      <c r="BH63" t="s">
        <v>127</v>
      </c>
      <c r="BI63" t="s">
        <v>127</v>
      </c>
      <c r="BJ63" t="s">
        <v>127</v>
      </c>
      <c r="BK63" t="s">
        <v>127</v>
      </c>
      <c r="BL63">
        <v>0</v>
      </c>
      <c r="BM63" t="s">
        <v>127</v>
      </c>
    </row>
    <row r="64" spans="1:65" x14ac:dyDescent="0.25">
      <c r="A64" t="s">
        <v>246</v>
      </c>
      <c r="B64" t="s">
        <v>247</v>
      </c>
      <c r="C64">
        <v>0</v>
      </c>
      <c r="D64">
        <v>24</v>
      </c>
      <c r="E64">
        <v>0</v>
      </c>
      <c r="F64">
        <v>0</v>
      </c>
      <c r="G64">
        <v>0</v>
      </c>
      <c r="H64">
        <v>20</v>
      </c>
      <c r="I64">
        <v>0.83333330000000005</v>
      </c>
      <c r="J64">
        <v>17</v>
      </c>
      <c r="K64">
        <v>0.85</v>
      </c>
      <c r="L64">
        <v>0</v>
      </c>
      <c r="M64">
        <v>11</v>
      </c>
      <c r="N64">
        <v>0</v>
      </c>
      <c r="O64">
        <v>0</v>
      </c>
      <c r="P64">
        <v>0</v>
      </c>
      <c r="Q64">
        <v>8</v>
      </c>
      <c r="R64">
        <v>0.72727269999999999</v>
      </c>
      <c r="S64">
        <v>6</v>
      </c>
      <c r="T64">
        <v>0.75</v>
      </c>
      <c r="U64">
        <v>0</v>
      </c>
      <c r="V64">
        <v>0</v>
      </c>
      <c r="W64">
        <v>0</v>
      </c>
      <c r="X64">
        <v>0</v>
      </c>
      <c r="Y64">
        <v>0</v>
      </c>
      <c r="Z64">
        <v>0</v>
      </c>
      <c r="AA64">
        <v>0</v>
      </c>
      <c r="AB64">
        <v>0</v>
      </c>
      <c r="AC64">
        <v>0</v>
      </c>
      <c r="AD64">
        <v>0</v>
      </c>
      <c r="AE64">
        <v>0</v>
      </c>
      <c r="AF64">
        <v>0</v>
      </c>
      <c r="AG64">
        <v>0</v>
      </c>
      <c r="AH64">
        <v>0</v>
      </c>
      <c r="AI64">
        <v>0</v>
      </c>
      <c r="AJ64">
        <v>0</v>
      </c>
      <c r="AK64">
        <v>0</v>
      </c>
      <c r="AL64">
        <v>0</v>
      </c>
      <c r="AM64">
        <v>0</v>
      </c>
      <c r="AN64">
        <v>13</v>
      </c>
      <c r="AO64">
        <v>0</v>
      </c>
      <c r="AP64">
        <v>0</v>
      </c>
      <c r="AQ64">
        <v>0</v>
      </c>
      <c r="AR64">
        <v>12</v>
      </c>
      <c r="AS64">
        <v>0.92307689999999998</v>
      </c>
      <c r="AT64">
        <v>11</v>
      </c>
      <c r="AU64">
        <v>0.91666669999999995</v>
      </c>
      <c r="AV64">
        <v>0</v>
      </c>
      <c r="AW64">
        <v>0</v>
      </c>
      <c r="AX64">
        <v>0</v>
      </c>
      <c r="AY64">
        <v>0</v>
      </c>
      <c r="AZ64">
        <v>0</v>
      </c>
      <c r="BA64">
        <v>0</v>
      </c>
      <c r="BB64">
        <v>0</v>
      </c>
      <c r="BC64">
        <v>0</v>
      </c>
      <c r="BD64">
        <v>0</v>
      </c>
      <c r="BE64">
        <v>0</v>
      </c>
      <c r="BF64">
        <v>0</v>
      </c>
      <c r="BG64">
        <v>0</v>
      </c>
      <c r="BH64">
        <v>0</v>
      </c>
      <c r="BI64">
        <v>0</v>
      </c>
      <c r="BJ64">
        <v>0</v>
      </c>
      <c r="BK64">
        <v>0</v>
      </c>
      <c r="BL64">
        <v>0</v>
      </c>
      <c r="BM64">
        <v>0</v>
      </c>
    </row>
    <row r="65" spans="1:65" x14ac:dyDescent="0.25">
      <c r="A65" t="s">
        <v>248</v>
      </c>
      <c r="B65" t="s">
        <v>249</v>
      </c>
      <c r="C65">
        <v>1430</v>
      </c>
      <c r="D65">
        <v>1052</v>
      </c>
      <c r="E65">
        <v>0.73566430000000005</v>
      </c>
      <c r="F65">
        <v>767</v>
      </c>
      <c r="G65">
        <v>0.7290875</v>
      </c>
      <c r="H65">
        <v>988</v>
      </c>
      <c r="I65">
        <v>0.93916350000000004</v>
      </c>
      <c r="J65">
        <v>572</v>
      </c>
      <c r="K65">
        <v>0.5789474</v>
      </c>
      <c r="L65">
        <v>671</v>
      </c>
      <c r="M65">
        <v>495</v>
      </c>
      <c r="N65">
        <v>0.7377049</v>
      </c>
      <c r="O65">
        <v>356</v>
      </c>
      <c r="P65">
        <v>0.7191919</v>
      </c>
      <c r="Q65">
        <v>468</v>
      </c>
      <c r="R65">
        <v>0.94545449999999998</v>
      </c>
      <c r="S65">
        <v>282</v>
      </c>
      <c r="T65">
        <v>0.60256410000000005</v>
      </c>
      <c r="U65">
        <v>622</v>
      </c>
      <c r="V65">
        <v>334</v>
      </c>
      <c r="W65">
        <v>0.5369775</v>
      </c>
      <c r="X65">
        <v>334</v>
      </c>
      <c r="Y65">
        <v>1</v>
      </c>
      <c r="Z65">
        <v>318</v>
      </c>
      <c r="AA65">
        <v>0.95209580000000005</v>
      </c>
      <c r="AB65">
        <v>182</v>
      </c>
      <c r="AC65">
        <v>0.57232700000000003</v>
      </c>
      <c r="AD65">
        <v>49</v>
      </c>
      <c r="AE65">
        <v>22</v>
      </c>
      <c r="AF65">
        <v>0.44897959999999998</v>
      </c>
      <c r="AG65">
        <v>22</v>
      </c>
      <c r="AH65">
        <v>1</v>
      </c>
      <c r="AI65">
        <v>21</v>
      </c>
      <c r="AJ65">
        <v>0.95454550000000005</v>
      </c>
      <c r="AK65">
        <v>15</v>
      </c>
      <c r="AL65">
        <v>0.71428570000000002</v>
      </c>
      <c r="AM65">
        <v>759</v>
      </c>
      <c r="AN65">
        <v>557</v>
      </c>
      <c r="AO65">
        <v>0.73386030000000002</v>
      </c>
      <c r="AP65">
        <v>411</v>
      </c>
      <c r="AQ65">
        <v>0.73788149999999997</v>
      </c>
      <c r="AR65">
        <v>520</v>
      </c>
      <c r="AS65">
        <v>0.93357270000000003</v>
      </c>
      <c r="AT65">
        <v>290</v>
      </c>
      <c r="AU65">
        <v>0.55769230000000003</v>
      </c>
      <c r="AV65">
        <v>718</v>
      </c>
      <c r="AW65">
        <v>397</v>
      </c>
      <c r="AX65">
        <v>0.55292479999999999</v>
      </c>
      <c r="AY65">
        <v>397</v>
      </c>
      <c r="AZ65">
        <v>1</v>
      </c>
      <c r="BA65">
        <v>370</v>
      </c>
      <c r="BB65">
        <v>0.93198990000000004</v>
      </c>
      <c r="BC65">
        <v>200</v>
      </c>
      <c r="BD65">
        <v>0.54054049999999998</v>
      </c>
      <c r="BE65">
        <v>41</v>
      </c>
      <c r="BF65">
        <v>14</v>
      </c>
      <c r="BG65">
        <v>0.34146339999999997</v>
      </c>
      <c r="BH65">
        <v>14</v>
      </c>
      <c r="BI65">
        <v>1</v>
      </c>
      <c r="BJ65">
        <v>10</v>
      </c>
      <c r="BK65">
        <v>0.71428570000000002</v>
      </c>
      <c r="BL65">
        <v>7</v>
      </c>
      <c r="BM65">
        <v>0.7</v>
      </c>
    </row>
    <row r="66" spans="1:65" x14ac:dyDescent="0.25">
      <c r="A66" t="s">
        <v>250</v>
      </c>
      <c r="B66" t="s">
        <v>251</v>
      </c>
      <c r="C66">
        <v>514</v>
      </c>
      <c r="D66">
        <v>451</v>
      </c>
      <c r="E66">
        <v>0.87743190000000004</v>
      </c>
      <c r="F66">
        <v>285</v>
      </c>
      <c r="G66">
        <v>0.63192899999999996</v>
      </c>
      <c r="H66">
        <v>446</v>
      </c>
      <c r="I66">
        <v>0.9889135</v>
      </c>
      <c r="J66">
        <v>275</v>
      </c>
      <c r="K66">
        <v>0.61659189999999997</v>
      </c>
      <c r="L66">
        <v>217</v>
      </c>
      <c r="M66">
        <v>193</v>
      </c>
      <c r="N66">
        <v>0.88940090000000005</v>
      </c>
      <c r="O66">
        <v>122</v>
      </c>
      <c r="P66">
        <v>0.63212440000000003</v>
      </c>
      <c r="Q66">
        <v>192</v>
      </c>
      <c r="R66">
        <v>0.99481869999999994</v>
      </c>
      <c r="S66">
        <v>134</v>
      </c>
      <c r="T66">
        <v>0.69791669999999995</v>
      </c>
      <c r="U66">
        <v>217</v>
      </c>
      <c r="V66">
        <v>122</v>
      </c>
      <c r="W66">
        <v>0.56221200000000005</v>
      </c>
      <c r="X66">
        <v>122</v>
      </c>
      <c r="Y66">
        <v>1</v>
      </c>
      <c r="Z66">
        <v>122</v>
      </c>
      <c r="AA66">
        <v>1</v>
      </c>
      <c r="AB66">
        <v>76</v>
      </c>
      <c r="AC66">
        <v>0.62295080000000003</v>
      </c>
      <c r="AD66">
        <v>0</v>
      </c>
      <c r="AE66">
        <v>0</v>
      </c>
      <c r="AF66">
        <v>0</v>
      </c>
      <c r="AG66">
        <v>0</v>
      </c>
      <c r="AH66">
        <v>0</v>
      </c>
      <c r="AI66">
        <v>0</v>
      </c>
      <c r="AJ66">
        <v>0</v>
      </c>
      <c r="AK66">
        <v>0</v>
      </c>
      <c r="AL66">
        <v>0</v>
      </c>
      <c r="AM66">
        <v>297</v>
      </c>
      <c r="AN66">
        <v>258</v>
      </c>
      <c r="AO66">
        <v>0.86868690000000004</v>
      </c>
      <c r="AP66">
        <v>163</v>
      </c>
      <c r="AQ66">
        <v>0.63178290000000004</v>
      </c>
      <c r="AR66">
        <v>254</v>
      </c>
      <c r="AS66">
        <v>0.98449609999999999</v>
      </c>
      <c r="AT66">
        <v>141</v>
      </c>
      <c r="AU66">
        <v>0.55511809999999995</v>
      </c>
      <c r="AV66" t="s">
        <v>127</v>
      </c>
      <c r="AW66">
        <v>163</v>
      </c>
      <c r="AX66">
        <v>0.55067569999999999</v>
      </c>
      <c r="AY66" t="s">
        <v>127</v>
      </c>
      <c r="AZ66">
        <v>1</v>
      </c>
      <c r="BA66">
        <v>159</v>
      </c>
      <c r="BB66">
        <v>0.97546010000000005</v>
      </c>
      <c r="BC66">
        <v>92</v>
      </c>
      <c r="BD66">
        <v>0.57861640000000003</v>
      </c>
      <c r="BE66" t="s">
        <v>127</v>
      </c>
      <c r="BF66">
        <v>0</v>
      </c>
      <c r="BG66" t="s">
        <v>127</v>
      </c>
      <c r="BH66">
        <v>0</v>
      </c>
      <c r="BI66">
        <v>0</v>
      </c>
      <c r="BJ66">
        <v>0</v>
      </c>
      <c r="BK66">
        <v>0</v>
      </c>
      <c r="BL66">
        <v>0</v>
      </c>
      <c r="BM66">
        <v>0</v>
      </c>
    </row>
    <row r="67" spans="1:65" x14ac:dyDescent="0.25">
      <c r="A67" t="s">
        <v>252</v>
      </c>
      <c r="B67" t="s">
        <v>253</v>
      </c>
      <c r="C67">
        <v>397</v>
      </c>
      <c r="D67">
        <v>369</v>
      </c>
      <c r="E67">
        <v>0.92947100000000005</v>
      </c>
      <c r="F67">
        <v>211</v>
      </c>
      <c r="G67">
        <v>0.57181570000000004</v>
      </c>
      <c r="H67">
        <v>338</v>
      </c>
      <c r="I67">
        <v>0.91598919999999995</v>
      </c>
      <c r="J67">
        <v>193</v>
      </c>
      <c r="K67">
        <v>0.57100589999999996</v>
      </c>
      <c r="L67">
        <v>194</v>
      </c>
      <c r="M67">
        <v>188</v>
      </c>
      <c r="N67">
        <v>0.96907220000000005</v>
      </c>
      <c r="O67">
        <v>111</v>
      </c>
      <c r="P67">
        <v>0.59042550000000005</v>
      </c>
      <c r="Q67">
        <v>181</v>
      </c>
      <c r="R67">
        <v>0.96276600000000001</v>
      </c>
      <c r="S67">
        <v>107</v>
      </c>
      <c r="T67">
        <v>0.59116020000000002</v>
      </c>
      <c r="U67">
        <v>180</v>
      </c>
      <c r="V67">
        <v>104</v>
      </c>
      <c r="W67">
        <v>0.57777780000000001</v>
      </c>
      <c r="X67">
        <v>104</v>
      </c>
      <c r="Y67">
        <v>1</v>
      </c>
      <c r="Z67">
        <v>98</v>
      </c>
      <c r="AA67">
        <v>0.94230769999999997</v>
      </c>
      <c r="AB67">
        <v>58</v>
      </c>
      <c r="AC67">
        <v>0.59183669999999999</v>
      </c>
      <c r="AD67">
        <v>14</v>
      </c>
      <c r="AE67">
        <v>7</v>
      </c>
      <c r="AF67">
        <v>0.5</v>
      </c>
      <c r="AG67">
        <v>7</v>
      </c>
      <c r="AH67">
        <v>1</v>
      </c>
      <c r="AI67">
        <v>6</v>
      </c>
      <c r="AJ67">
        <v>0.85714290000000004</v>
      </c>
      <c r="AK67">
        <v>3</v>
      </c>
      <c r="AL67">
        <v>0.5</v>
      </c>
      <c r="AM67">
        <v>203</v>
      </c>
      <c r="AN67">
        <v>181</v>
      </c>
      <c r="AO67">
        <v>0.89162560000000002</v>
      </c>
      <c r="AP67">
        <v>100</v>
      </c>
      <c r="AQ67">
        <v>0.55248620000000004</v>
      </c>
      <c r="AR67">
        <v>157</v>
      </c>
      <c r="AS67">
        <v>0.86740329999999999</v>
      </c>
      <c r="AT67">
        <v>86</v>
      </c>
      <c r="AU67">
        <v>0.54777070000000005</v>
      </c>
      <c r="AV67">
        <v>189</v>
      </c>
      <c r="AW67" t="s">
        <v>127</v>
      </c>
      <c r="AX67" t="s">
        <v>127</v>
      </c>
      <c r="AY67" t="s">
        <v>127</v>
      </c>
      <c r="AZ67" t="s">
        <v>127</v>
      </c>
      <c r="BA67" t="s">
        <v>127</v>
      </c>
      <c r="BB67" t="s">
        <v>127</v>
      </c>
      <c r="BC67" t="s">
        <v>127</v>
      </c>
      <c r="BD67" t="s">
        <v>127</v>
      </c>
      <c r="BE67">
        <v>14</v>
      </c>
      <c r="BF67" t="s">
        <v>127</v>
      </c>
      <c r="BG67" t="s">
        <v>127</v>
      </c>
      <c r="BH67" t="s">
        <v>127</v>
      </c>
      <c r="BI67" t="s">
        <v>127</v>
      </c>
      <c r="BJ67" t="s">
        <v>127</v>
      </c>
      <c r="BK67" t="s">
        <v>127</v>
      </c>
      <c r="BL67" t="s">
        <v>127</v>
      </c>
      <c r="BM67" t="s">
        <v>127</v>
      </c>
    </row>
    <row r="68" spans="1:65" x14ac:dyDescent="0.25">
      <c r="A68" t="s">
        <v>254</v>
      </c>
      <c r="B68" t="s">
        <v>255</v>
      </c>
      <c r="C68">
        <v>305</v>
      </c>
      <c r="D68">
        <v>332</v>
      </c>
      <c r="E68">
        <v>1.0885246</v>
      </c>
      <c r="F68">
        <v>110</v>
      </c>
      <c r="G68">
        <v>0.33132529999999999</v>
      </c>
      <c r="H68">
        <v>278</v>
      </c>
      <c r="I68">
        <v>0.83734940000000002</v>
      </c>
      <c r="J68">
        <v>0</v>
      </c>
      <c r="K68">
        <v>0</v>
      </c>
      <c r="L68">
        <v>110</v>
      </c>
      <c r="M68">
        <v>139</v>
      </c>
      <c r="N68">
        <v>1.2636364</v>
      </c>
      <c r="O68">
        <v>46</v>
      </c>
      <c r="P68">
        <v>0.33093529999999999</v>
      </c>
      <c r="Q68">
        <v>113</v>
      </c>
      <c r="R68">
        <v>0.81294960000000005</v>
      </c>
      <c r="S68">
        <v>0</v>
      </c>
      <c r="T68">
        <v>0</v>
      </c>
      <c r="U68" t="s">
        <v>127</v>
      </c>
      <c r="V68" t="s">
        <v>127</v>
      </c>
      <c r="W68" t="s">
        <v>127</v>
      </c>
      <c r="X68" t="s">
        <v>127</v>
      </c>
      <c r="Y68" t="s">
        <v>127</v>
      </c>
      <c r="Z68" t="s">
        <v>127</v>
      </c>
      <c r="AA68" t="s">
        <v>127</v>
      </c>
      <c r="AB68">
        <v>0</v>
      </c>
      <c r="AC68" t="s">
        <v>127</v>
      </c>
      <c r="AD68" t="s">
        <v>127</v>
      </c>
      <c r="AE68" t="s">
        <v>127</v>
      </c>
      <c r="AF68" t="s">
        <v>127</v>
      </c>
      <c r="AG68" t="s">
        <v>127</v>
      </c>
      <c r="AH68" t="s">
        <v>127</v>
      </c>
      <c r="AI68" t="s">
        <v>127</v>
      </c>
      <c r="AJ68" t="s">
        <v>127</v>
      </c>
      <c r="AK68">
        <v>0</v>
      </c>
      <c r="AL68" t="s">
        <v>127</v>
      </c>
      <c r="AM68">
        <v>195</v>
      </c>
      <c r="AN68">
        <v>193</v>
      </c>
      <c r="AO68">
        <v>0.98974359999999995</v>
      </c>
      <c r="AP68">
        <v>64</v>
      </c>
      <c r="AQ68">
        <v>0.33160620000000002</v>
      </c>
      <c r="AR68">
        <v>165</v>
      </c>
      <c r="AS68">
        <v>0.85492230000000002</v>
      </c>
      <c r="AT68">
        <v>0</v>
      </c>
      <c r="AU68">
        <v>0</v>
      </c>
      <c r="AV68">
        <v>185</v>
      </c>
      <c r="AW68" t="s">
        <v>127</v>
      </c>
      <c r="AX68" t="s">
        <v>127</v>
      </c>
      <c r="AY68" t="s">
        <v>127</v>
      </c>
      <c r="AZ68" t="s">
        <v>127</v>
      </c>
      <c r="BA68" t="s">
        <v>127</v>
      </c>
      <c r="BB68" t="s">
        <v>127</v>
      </c>
      <c r="BC68" t="s">
        <v>127</v>
      </c>
      <c r="BD68">
        <v>0</v>
      </c>
      <c r="BE68">
        <v>10</v>
      </c>
      <c r="BF68" t="s">
        <v>127</v>
      </c>
      <c r="BG68" t="s">
        <v>127</v>
      </c>
      <c r="BH68" t="s">
        <v>127</v>
      </c>
      <c r="BI68" t="s">
        <v>127</v>
      </c>
      <c r="BJ68" t="s">
        <v>127</v>
      </c>
      <c r="BK68" t="s">
        <v>127</v>
      </c>
      <c r="BL68">
        <v>0</v>
      </c>
      <c r="BM68" t="s">
        <v>127</v>
      </c>
    </row>
    <row r="69" spans="1:65" x14ac:dyDescent="0.25">
      <c r="A69" t="s">
        <v>256</v>
      </c>
      <c r="B69" t="s">
        <v>257</v>
      </c>
      <c r="C69">
        <v>1223</v>
      </c>
      <c r="D69">
        <v>555</v>
      </c>
      <c r="E69">
        <v>0.45380209999999999</v>
      </c>
      <c r="F69">
        <v>297</v>
      </c>
      <c r="G69">
        <v>0.53513509999999997</v>
      </c>
      <c r="H69">
        <v>520</v>
      </c>
      <c r="I69">
        <v>0.93693689999999996</v>
      </c>
      <c r="J69">
        <v>326</v>
      </c>
      <c r="K69">
        <v>0.62692309999999996</v>
      </c>
      <c r="L69">
        <v>611</v>
      </c>
      <c r="M69">
        <v>271</v>
      </c>
      <c r="N69">
        <v>0.44353520000000002</v>
      </c>
      <c r="O69">
        <v>161</v>
      </c>
      <c r="P69">
        <v>0.59409590000000001</v>
      </c>
      <c r="Q69">
        <v>256</v>
      </c>
      <c r="R69">
        <v>0.94464939999999997</v>
      </c>
      <c r="S69">
        <v>171</v>
      </c>
      <c r="T69">
        <v>0.66796880000000003</v>
      </c>
      <c r="U69">
        <v>569</v>
      </c>
      <c r="V69">
        <v>154</v>
      </c>
      <c r="W69">
        <v>0.27065030000000001</v>
      </c>
      <c r="X69">
        <v>154</v>
      </c>
      <c r="Y69">
        <v>1</v>
      </c>
      <c r="Z69">
        <v>144</v>
      </c>
      <c r="AA69">
        <v>0.93506489999999998</v>
      </c>
      <c r="AB69">
        <v>105</v>
      </c>
      <c r="AC69">
        <v>0.72916669999999995</v>
      </c>
      <c r="AD69">
        <v>42</v>
      </c>
      <c r="AE69">
        <v>7</v>
      </c>
      <c r="AF69">
        <v>0.1666667</v>
      </c>
      <c r="AG69">
        <v>7</v>
      </c>
      <c r="AH69">
        <v>1</v>
      </c>
      <c r="AI69">
        <v>7</v>
      </c>
      <c r="AJ69">
        <v>1</v>
      </c>
      <c r="AK69">
        <v>5</v>
      </c>
      <c r="AL69">
        <v>0.71428570000000002</v>
      </c>
      <c r="AM69">
        <v>612</v>
      </c>
      <c r="AN69">
        <v>284</v>
      </c>
      <c r="AO69">
        <v>0.46405229999999997</v>
      </c>
      <c r="AP69">
        <v>136</v>
      </c>
      <c r="AQ69">
        <v>0.4788732</v>
      </c>
      <c r="AR69">
        <v>264</v>
      </c>
      <c r="AS69">
        <v>0.92957749999999995</v>
      </c>
      <c r="AT69">
        <v>155</v>
      </c>
      <c r="AU69">
        <v>0.58712120000000001</v>
      </c>
      <c r="AV69">
        <v>574</v>
      </c>
      <c r="AW69" t="s">
        <v>127</v>
      </c>
      <c r="AX69" t="s">
        <v>127</v>
      </c>
      <c r="AY69" t="s">
        <v>127</v>
      </c>
      <c r="AZ69" t="s">
        <v>127</v>
      </c>
      <c r="BA69" t="s">
        <v>127</v>
      </c>
      <c r="BB69" t="s">
        <v>127</v>
      </c>
      <c r="BC69" t="s">
        <v>127</v>
      </c>
      <c r="BD69" t="s">
        <v>127</v>
      </c>
      <c r="BE69">
        <v>38</v>
      </c>
      <c r="BF69" t="s">
        <v>127</v>
      </c>
      <c r="BG69" t="s">
        <v>127</v>
      </c>
      <c r="BH69" t="s">
        <v>127</v>
      </c>
      <c r="BI69" t="s">
        <v>127</v>
      </c>
      <c r="BJ69" t="s">
        <v>127</v>
      </c>
      <c r="BK69" t="s">
        <v>127</v>
      </c>
      <c r="BL69" t="s">
        <v>127</v>
      </c>
      <c r="BM69" t="s">
        <v>127</v>
      </c>
    </row>
    <row r="70" spans="1:65" x14ac:dyDescent="0.25">
      <c r="A70" t="s">
        <v>258</v>
      </c>
      <c r="B70" t="s">
        <v>259</v>
      </c>
      <c r="C70">
        <v>234</v>
      </c>
      <c r="D70">
        <v>200</v>
      </c>
      <c r="E70">
        <v>0.85470089999999999</v>
      </c>
      <c r="F70">
        <v>126</v>
      </c>
      <c r="G70">
        <v>0.63</v>
      </c>
      <c r="H70">
        <v>193</v>
      </c>
      <c r="I70">
        <v>0.96499999999999997</v>
      </c>
      <c r="J70">
        <v>120</v>
      </c>
      <c r="K70">
        <v>0.62176169999999997</v>
      </c>
      <c r="L70">
        <v>102</v>
      </c>
      <c r="M70">
        <v>92</v>
      </c>
      <c r="N70">
        <v>0.90196080000000001</v>
      </c>
      <c r="O70">
        <v>58</v>
      </c>
      <c r="P70">
        <v>0.63043479999999996</v>
      </c>
      <c r="Q70">
        <v>91</v>
      </c>
      <c r="R70">
        <v>0.98913039999999997</v>
      </c>
      <c r="S70">
        <v>64</v>
      </c>
      <c r="T70">
        <v>0.7032967</v>
      </c>
      <c r="U70">
        <v>95</v>
      </c>
      <c r="V70" t="s">
        <v>127</v>
      </c>
      <c r="W70" t="s">
        <v>127</v>
      </c>
      <c r="X70" t="s">
        <v>127</v>
      </c>
      <c r="Y70" t="s">
        <v>127</v>
      </c>
      <c r="Z70" t="s">
        <v>127</v>
      </c>
      <c r="AA70" t="s">
        <v>127</v>
      </c>
      <c r="AB70" t="s">
        <v>127</v>
      </c>
      <c r="AC70" t="s">
        <v>127</v>
      </c>
      <c r="AD70">
        <v>7</v>
      </c>
      <c r="AE70" t="s">
        <v>127</v>
      </c>
      <c r="AF70" t="s">
        <v>127</v>
      </c>
      <c r="AG70" t="s">
        <v>127</v>
      </c>
      <c r="AH70" t="s">
        <v>127</v>
      </c>
      <c r="AI70" t="s">
        <v>127</v>
      </c>
      <c r="AJ70" t="s">
        <v>127</v>
      </c>
      <c r="AK70" t="s">
        <v>127</v>
      </c>
      <c r="AL70" t="s">
        <v>127</v>
      </c>
      <c r="AM70">
        <v>132</v>
      </c>
      <c r="AN70">
        <v>108</v>
      </c>
      <c r="AO70">
        <v>0.81818179999999996</v>
      </c>
      <c r="AP70">
        <v>68</v>
      </c>
      <c r="AQ70">
        <v>0.62962960000000001</v>
      </c>
      <c r="AR70">
        <v>102</v>
      </c>
      <c r="AS70">
        <v>0.94444439999999996</v>
      </c>
      <c r="AT70">
        <v>56</v>
      </c>
      <c r="AU70">
        <v>0.54901960000000005</v>
      </c>
      <c r="AV70">
        <v>117</v>
      </c>
      <c r="AW70" t="s">
        <v>127</v>
      </c>
      <c r="AX70" t="s">
        <v>127</v>
      </c>
      <c r="AY70" t="s">
        <v>127</v>
      </c>
      <c r="AZ70" t="s">
        <v>127</v>
      </c>
      <c r="BA70" t="s">
        <v>127</v>
      </c>
      <c r="BB70" t="s">
        <v>127</v>
      </c>
      <c r="BC70" t="s">
        <v>127</v>
      </c>
      <c r="BD70" t="s">
        <v>127</v>
      </c>
      <c r="BE70">
        <v>15</v>
      </c>
      <c r="BF70" t="s">
        <v>127</v>
      </c>
      <c r="BG70" t="s">
        <v>127</v>
      </c>
      <c r="BH70" t="s">
        <v>127</v>
      </c>
      <c r="BI70" t="s">
        <v>127</v>
      </c>
      <c r="BJ70" t="s">
        <v>127</v>
      </c>
      <c r="BK70" t="s">
        <v>127</v>
      </c>
      <c r="BL70" t="s">
        <v>127</v>
      </c>
      <c r="BM70" t="s">
        <v>127</v>
      </c>
    </row>
    <row r="71" spans="1:65" x14ac:dyDescent="0.25">
      <c r="A71" t="s">
        <v>260</v>
      </c>
      <c r="B71" t="s">
        <v>261</v>
      </c>
      <c r="C71">
        <v>733</v>
      </c>
      <c r="D71">
        <v>293</v>
      </c>
      <c r="E71">
        <v>0.3997271</v>
      </c>
      <c r="F71">
        <v>63</v>
      </c>
      <c r="G71">
        <v>0.21501709999999999</v>
      </c>
      <c r="H71">
        <v>1</v>
      </c>
      <c r="I71">
        <v>3.4129999999999998E-3</v>
      </c>
      <c r="J71">
        <v>0</v>
      </c>
      <c r="K71">
        <v>0</v>
      </c>
      <c r="L71">
        <v>340</v>
      </c>
      <c r="M71">
        <v>121</v>
      </c>
      <c r="N71">
        <v>0.35588239999999999</v>
      </c>
      <c r="O71">
        <v>23</v>
      </c>
      <c r="P71">
        <v>0.19008259999999999</v>
      </c>
      <c r="Q71">
        <v>0</v>
      </c>
      <c r="R71">
        <v>0</v>
      </c>
      <c r="S71">
        <v>0</v>
      </c>
      <c r="T71">
        <v>0</v>
      </c>
      <c r="U71">
        <v>308</v>
      </c>
      <c r="V71" t="s">
        <v>127</v>
      </c>
      <c r="W71" t="s">
        <v>127</v>
      </c>
      <c r="X71" t="s">
        <v>127</v>
      </c>
      <c r="Y71" t="s">
        <v>127</v>
      </c>
      <c r="Z71">
        <v>0</v>
      </c>
      <c r="AA71" t="s">
        <v>127</v>
      </c>
      <c r="AB71">
        <v>0</v>
      </c>
      <c r="AC71" t="s">
        <v>127</v>
      </c>
      <c r="AD71">
        <v>32</v>
      </c>
      <c r="AE71" t="s">
        <v>127</v>
      </c>
      <c r="AF71" t="s">
        <v>127</v>
      </c>
      <c r="AG71" t="s">
        <v>127</v>
      </c>
      <c r="AH71" t="s">
        <v>127</v>
      </c>
      <c r="AI71">
        <v>0</v>
      </c>
      <c r="AJ71" t="s">
        <v>127</v>
      </c>
      <c r="AK71">
        <v>0</v>
      </c>
      <c r="AL71" t="s">
        <v>127</v>
      </c>
      <c r="AM71">
        <v>393</v>
      </c>
      <c r="AN71">
        <v>172</v>
      </c>
      <c r="AO71">
        <v>0.43765900000000002</v>
      </c>
      <c r="AP71">
        <v>40</v>
      </c>
      <c r="AQ71">
        <v>0.23255809999999999</v>
      </c>
      <c r="AR71">
        <v>1</v>
      </c>
      <c r="AS71">
        <v>5.8139999999999997E-3</v>
      </c>
      <c r="AT71">
        <v>0</v>
      </c>
      <c r="AU71">
        <v>0</v>
      </c>
      <c r="AV71">
        <v>352</v>
      </c>
      <c r="AW71" t="s">
        <v>127</v>
      </c>
      <c r="AX71" t="s">
        <v>127</v>
      </c>
      <c r="AY71" t="s">
        <v>127</v>
      </c>
      <c r="AZ71" t="s">
        <v>127</v>
      </c>
      <c r="BA71" t="s">
        <v>127</v>
      </c>
      <c r="BB71">
        <v>0</v>
      </c>
      <c r="BC71" t="s">
        <v>127</v>
      </c>
      <c r="BD71">
        <v>0</v>
      </c>
      <c r="BE71">
        <v>41</v>
      </c>
      <c r="BF71" t="s">
        <v>127</v>
      </c>
      <c r="BG71" t="s">
        <v>127</v>
      </c>
      <c r="BH71" t="s">
        <v>127</v>
      </c>
      <c r="BI71" t="s">
        <v>127</v>
      </c>
      <c r="BJ71">
        <v>0</v>
      </c>
      <c r="BK71" t="s">
        <v>127</v>
      </c>
      <c r="BL71">
        <v>0</v>
      </c>
      <c r="BM71" t="s">
        <v>127</v>
      </c>
    </row>
    <row r="72" spans="1:65" x14ac:dyDescent="0.25">
      <c r="A72" t="s">
        <v>262</v>
      </c>
      <c r="B72" t="s">
        <v>263</v>
      </c>
      <c r="C72">
        <v>728</v>
      </c>
      <c r="D72">
        <v>601</v>
      </c>
      <c r="E72">
        <v>0.82554950000000005</v>
      </c>
      <c r="F72">
        <v>323</v>
      </c>
      <c r="G72">
        <v>0.53743759999999996</v>
      </c>
      <c r="H72">
        <v>356</v>
      </c>
      <c r="I72">
        <v>0.59234609999999999</v>
      </c>
      <c r="J72">
        <v>356</v>
      </c>
      <c r="K72">
        <v>1</v>
      </c>
      <c r="L72">
        <v>374</v>
      </c>
      <c r="M72">
        <v>332</v>
      </c>
      <c r="N72">
        <v>0.8877005</v>
      </c>
      <c r="O72">
        <v>170</v>
      </c>
      <c r="P72">
        <v>0.51204819999999995</v>
      </c>
      <c r="Q72">
        <v>214</v>
      </c>
      <c r="R72">
        <v>0.64457830000000005</v>
      </c>
      <c r="S72">
        <v>214</v>
      </c>
      <c r="T72">
        <v>1</v>
      </c>
      <c r="U72">
        <v>324</v>
      </c>
      <c r="V72">
        <v>147</v>
      </c>
      <c r="W72">
        <v>0.45370369999999999</v>
      </c>
      <c r="X72">
        <v>147</v>
      </c>
      <c r="Y72">
        <v>1</v>
      </c>
      <c r="Z72">
        <v>94</v>
      </c>
      <c r="AA72">
        <v>0.63945580000000002</v>
      </c>
      <c r="AB72">
        <v>94</v>
      </c>
      <c r="AC72">
        <v>1</v>
      </c>
      <c r="AD72">
        <v>50</v>
      </c>
      <c r="AE72">
        <v>23</v>
      </c>
      <c r="AF72">
        <v>0.46</v>
      </c>
      <c r="AG72">
        <v>23</v>
      </c>
      <c r="AH72">
        <v>1</v>
      </c>
      <c r="AI72">
        <v>14</v>
      </c>
      <c r="AJ72">
        <v>0.60869569999999995</v>
      </c>
      <c r="AK72">
        <v>14</v>
      </c>
      <c r="AL72">
        <v>1</v>
      </c>
      <c r="AM72">
        <v>354</v>
      </c>
      <c r="AN72">
        <v>269</v>
      </c>
      <c r="AO72">
        <v>0.75988699999999998</v>
      </c>
      <c r="AP72">
        <v>153</v>
      </c>
      <c r="AQ72">
        <v>0.56877319999999998</v>
      </c>
      <c r="AR72">
        <v>142</v>
      </c>
      <c r="AS72">
        <v>0.52788100000000004</v>
      </c>
      <c r="AT72">
        <v>142</v>
      </c>
      <c r="AU72">
        <v>1</v>
      </c>
      <c r="AV72">
        <v>272</v>
      </c>
      <c r="AW72">
        <v>119</v>
      </c>
      <c r="AX72">
        <v>0.4375</v>
      </c>
      <c r="AY72">
        <v>119</v>
      </c>
      <c r="AZ72">
        <v>1</v>
      </c>
      <c r="BA72">
        <v>71</v>
      </c>
      <c r="BB72">
        <v>0.59663869999999997</v>
      </c>
      <c r="BC72">
        <v>71</v>
      </c>
      <c r="BD72">
        <v>1</v>
      </c>
      <c r="BE72">
        <v>82</v>
      </c>
      <c r="BF72">
        <v>34</v>
      </c>
      <c r="BG72">
        <v>0.41463410000000001</v>
      </c>
      <c r="BH72">
        <v>34</v>
      </c>
      <c r="BI72">
        <v>1</v>
      </c>
      <c r="BJ72">
        <v>15</v>
      </c>
      <c r="BK72">
        <v>0.44117650000000003</v>
      </c>
      <c r="BL72">
        <v>15</v>
      </c>
      <c r="BM72">
        <v>1</v>
      </c>
    </row>
    <row r="73" spans="1:65" x14ac:dyDescent="0.25">
      <c r="A73" t="s">
        <v>264</v>
      </c>
      <c r="B73" t="s">
        <v>265</v>
      </c>
      <c r="C73">
        <v>122</v>
      </c>
      <c r="D73">
        <v>105</v>
      </c>
      <c r="E73">
        <v>0.86065570000000002</v>
      </c>
      <c r="F73">
        <v>77</v>
      </c>
      <c r="G73">
        <v>0.73333329999999997</v>
      </c>
      <c r="H73">
        <v>99</v>
      </c>
      <c r="I73">
        <v>0.9428571</v>
      </c>
      <c r="J73">
        <v>75</v>
      </c>
      <c r="K73">
        <v>0.75757580000000002</v>
      </c>
      <c r="L73">
        <v>68</v>
      </c>
      <c r="M73">
        <v>56</v>
      </c>
      <c r="N73">
        <v>0.82352939999999997</v>
      </c>
      <c r="O73">
        <v>42</v>
      </c>
      <c r="P73">
        <v>0.75</v>
      </c>
      <c r="Q73">
        <v>52</v>
      </c>
      <c r="R73">
        <v>0.92857140000000005</v>
      </c>
      <c r="S73">
        <v>40</v>
      </c>
      <c r="T73">
        <v>0.76923079999999999</v>
      </c>
      <c r="U73" t="s">
        <v>127</v>
      </c>
      <c r="V73">
        <v>42</v>
      </c>
      <c r="W73" t="s">
        <v>127</v>
      </c>
      <c r="X73">
        <v>42</v>
      </c>
      <c r="Y73">
        <v>1</v>
      </c>
      <c r="Z73">
        <v>38</v>
      </c>
      <c r="AA73">
        <v>0.90476190000000001</v>
      </c>
      <c r="AB73">
        <v>29</v>
      </c>
      <c r="AC73">
        <v>0.76315789999999994</v>
      </c>
      <c r="AD73" t="s">
        <v>127</v>
      </c>
      <c r="AE73">
        <v>0</v>
      </c>
      <c r="AF73" t="s">
        <v>127</v>
      </c>
      <c r="AG73">
        <v>0</v>
      </c>
      <c r="AH73">
        <v>0</v>
      </c>
      <c r="AI73">
        <v>0</v>
      </c>
      <c r="AJ73">
        <v>0</v>
      </c>
      <c r="AK73">
        <v>0</v>
      </c>
      <c r="AL73">
        <v>0</v>
      </c>
      <c r="AM73">
        <v>54</v>
      </c>
      <c r="AN73">
        <v>49</v>
      </c>
      <c r="AO73">
        <v>0.90740739999999998</v>
      </c>
      <c r="AP73">
        <v>35</v>
      </c>
      <c r="AQ73">
        <v>0.71428570000000002</v>
      </c>
      <c r="AR73">
        <v>47</v>
      </c>
      <c r="AS73">
        <v>0.95918369999999997</v>
      </c>
      <c r="AT73">
        <v>35</v>
      </c>
      <c r="AU73">
        <v>0.74468089999999998</v>
      </c>
      <c r="AV73" t="s">
        <v>127</v>
      </c>
      <c r="AW73" t="s">
        <v>127</v>
      </c>
      <c r="AX73" t="s">
        <v>127</v>
      </c>
      <c r="AY73" t="s">
        <v>127</v>
      </c>
      <c r="AZ73" t="s">
        <v>127</v>
      </c>
      <c r="BA73" t="s">
        <v>127</v>
      </c>
      <c r="BB73" t="s">
        <v>127</v>
      </c>
      <c r="BC73" t="s">
        <v>127</v>
      </c>
      <c r="BD73" t="s">
        <v>127</v>
      </c>
      <c r="BE73" t="s">
        <v>127</v>
      </c>
      <c r="BF73" t="s">
        <v>127</v>
      </c>
      <c r="BG73" t="s">
        <v>127</v>
      </c>
      <c r="BH73" t="s">
        <v>127</v>
      </c>
      <c r="BI73" t="s">
        <v>127</v>
      </c>
      <c r="BJ73" t="s">
        <v>127</v>
      </c>
      <c r="BK73" t="s">
        <v>127</v>
      </c>
      <c r="BL73" t="s">
        <v>127</v>
      </c>
      <c r="BM73" t="s">
        <v>127</v>
      </c>
    </row>
    <row r="74" spans="1:65" x14ac:dyDescent="0.25">
      <c r="A74" t="s">
        <v>266</v>
      </c>
      <c r="B74" t="s">
        <v>267</v>
      </c>
      <c r="C74">
        <v>954</v>
      </c>
      <c r="D74">
        <v>201</v>
      </c>
      <c r="E74">
        <v>0.21069180000000001</v>
      </c>
      <c r="F74">
        <v>114</v>
      </c>
      <c r="G74">
        <v>0.56716420000000001</v>
      </c>
      <c r="H74">
        <v>192</v>
      </c>
      <c r="I74">
        <v>0.95522390000000001</v>
      </c>
      <c r="J74">
        <v>120</v>
      </c>
      <c r="K74">
        <v>0.625</v>
      </c>
      <c r="L74">
        <v>421</v>
      </c>
      <c r="M74">
        <v>119</v>
      </c>
      <c r="N74">
        <v>0.28266029999999998</v>
      </c>
      <c r="O74">
        <v>67</v>
      </c>
      <c r="P74">
        <v>0.5630252</v>
      </c>
      <c r="Q74">
        <v>114</v>
      </c>
      <c r="R74">
        <v>0.95798320000000003</v>
      </c>
      <c r="S74">
        <v>71</v>
      </c>
      <c r="T74">
        <v>0.622807</v>
      </c>
      <c r="U74">
        <v>381</v>
      </c>
      <c r="V74" t="s">
        <v>127</v>
      </c>
      <c r="W74" t="s">
        <v>127</v>
      </c>
      <c r="X74" t="s">
        <v>127</v>
      </c>
      <c r="Y74" t="s">
        <v>127</v>
      </c>
      <c r="Z74" t="s">
        <v>127</v>
      </c>
      <c r="AA74" t="s">
        <v>127</v>
      </c>
      <c r="AB74" t="s">
        <v>127</v>
      </c>
      <c r="AC74" t="s">
        <v>127</v>
      </c>
      <c r="AD74">
        <v>40</v>
      </c>
      <c r="AE74" t="s">
        <v>127</v>
      </c>
      <c r="AF74" t="s">
        <v>127</v>
      </c>
      <c r="AG74" t="s">
        <v>127</v>
      </c>
      <c r="AH74" t="s">
        <v>127</v>
      </c>
      <c r="AI74" t="s">
        <v>127</v>
      </c>
      <c r="AJ74" t="s">
        <v>127</v>
      </c>
      <c r="AK74" t="s">
        <v>127</v>
      </c>
      <c r="AL74" t="s">
        <v>127</v>
      </c>
      <c r="AM74">
        <v>533</v>
      </c>
      <c r="AN74">
        <v>82</v>
      </c>
      <c r="AO74">
        <v>0.15384619999999999</v>
      </c>
      <c r="AP74">
        <v>47</v>
      </c>
      <c r="AQ74">
        <v>0.57317070000000003</v>
      </c>
      <c r="AR74">
        <v>78</v>
      </c>
      <c r="AS74">
        <v>0.9512195</v>
      </c>
      <c r="AT74">
        <v>49</v>
      </c>
      <c r="AU74">
        <v>0.62820509999999996</v>
      </c>
      <c r="AV74">
        <v>474</v>
      </c>
      <c r="AW74" t="s">
        <v>127</v>
      </c>
      <c r="AX74" t="s">
        <v>127</v>
      </c>
      <c r="AY74" t="s">
        <v>127</v>
      </c>
      <c r="AZ74" t="s">
        <v>127</v>
      </c>
      <c r="BA74" t="s">
        <v>127</v>
      </c>
      <c r="BB74" t="s">
        <v>127</v>
      </c>
      <c r="BC74" t="s">
        <v>127</v>
      </c>
      <c r="BD74" t="s">
        <v>127</v>
      </c>
      <c r="BE74">
        <v>59</v>
      </c>
      <c r="BF74" t="s">
        <v>127</v>
      </c>
      <c r="BG74" t="s">
        <v>127</v>
      </c>
      <c r="BH74" t="s">
        <v>127</v>
      </c>
      <c r="BI74" t="s">
        <v>127</v>
      </c>
      <c r="BJ74" t="s">
        <v>127</v>
      </c>
      <c r="BK74" t="s">
        <v>127</v>
      </c>
      <c r="BL74" t="s">
        <v>127</v>
      </c>
      <c r="BM74" t="s">
        <v>127</v>
      </c>
    </row>
    <row r="75" spans="1:65" x14ac:dyDescent="0.25">
      <c r="A75" t="s">
        <v>268</v>
      </c>
      <c r="B75" t="s">
        <v>269</v>
      </c>
      <c r="C75">
        <v>87</v>
      </c>
      <c r="D75">
        <v>28</v>
      </c>
      <c r="E75">
        <v>0.32183909999999999</v>
      </c>
      <c r="F75">
        <v>17</v>
      </c>
      <c r="G75">
        <v>0.60714290000000004</v>
      </c>
      <c r="H75">
        <v>26</v>
      </c>
      <c r="I75">
        <v>0.92857140000000005</v>
      </c>
      <c r="J75">
        <v>19</v>
      </c>
      <c r="K75">
        <v>0.73076920000000001</v>
      </c>
      <c r="L75">
        <v>64</v>
      </c>
      <c r="M75">
        <v>22</v>
      </c>
      <c r="N75">
        <v>0.34375</v>
      </c>
      <c r="O75">
        <v>14</v>
      </c>
      <c r="P75">
        <v>0.63636360000000003</v>
      </c>
      <c r="Q75">
        <v>22</v>
      </c>
      <c r="R75">
        <v>1</v>
      </c>
      <c r="S75">
        <v>17</v>
      </c>
      <c r="T75">
        <v>0.77272730000000001</v>
      </c>
      <c r="U75">
        <v>64</v>
      </c>
      <c r="V75">
        <v>14</v>
      </c>
      <c r="W75">
        <v>0.21875</v>
      </c>
      <c r="X75">
        <v>14</v>
      </c>
      <c r="Y75">
        <v>1</v>
      </c>
      <c r="Z75">
        <v>14</v>
      </c>
      <c r="AA75">
        <v>1</v>
      </c>
      <c r="AB75">
        <v>10</v>
      </c>
      <c r="AC75">
        <v>0.71428570000000002</v>
      </c>
      <c r="AD75">
        <v>0</v>
      </c>
      <c r="AE75">
        <v>0</v>
      </c>
      <c r="AF75">
        <v>0</v>
      </c>
      <c r="AG75">
        <v>0</v>
      </c>
      <c r="AH75">
        <v>0</v>
      </c>
      <c r="AI75">
        <v>0</v>
      </c>
      <c r="AJ75">
        <v>0</v>
      </c>
      <c r="AK75">
        <v>0</v>
      </c>
      <c r="AL75">
        <v>0</v>
      </c>
      <c r="AM75">
        <v>23</v>
      </c>
      <c r="AN75">
        <v>6</v>
      </c>
      <c r="AO75">
        <v>0.26086959999999998</v>
      </c>
      <c r="AP75">
        <v>3</v>
      </c>
      <c r="AQ75">
        <v>0.5</v>
      </c>
      <c r="AR75">
        <v>4</v>
      </c>
      <c r="AS75">
        <v>0.66666669999999995</v>
      </c>
      <c r="AT75">
        <v>2</v>
      </c>
      <c r="AU75">
        <v>0.5</v>
      </c>
      <c r="AV75">
        <v>23</v>
      </c>
      <c r="AW75" t="s">
        <v>127</v>
      </c>
      <c r="AX75" t="s">
        <v>127</v>
      </c>
      <c r="AY75" t="s">
        <v>127</v>
      </c>
      <c r="AZ75" t="s">
        <v>127</v>
      </c>
      <c r="BA75" t="s">
        <v>127</v>
      </c>
      <c r="BB75" t="s">
        <v>127</v>
      </c>
      <c r="BC75">
        <v>0</v>
      </c>
      <c r="BD75" t="s">
        <v>127</v>
      </c>
      <c r="BE75">
        <v>0</v>
      </c>
      <c r="BF75">
        <v>0</v>
      </c>
      <c r="BG75">
        <v>0</v>
      </c>
      <c r="BH75">
        <v>0</v>
      </c>
      <c r="BI75">
        <v>0</v>
      </c>
      <c r="BJ75">
        <v>0</v>
      </c>
      <c r="BK75">
        <v>0</v>
      </c>
      <c r="BL75">
        <v>0</v>
      </c>
      <c r="BM75">
        <v>0</v>
      </c>
    </row>
    <row r="76" spans="1:65" x14ac:dyDescent="0.25">
      <c r="A76" t="s">
        <v>270</v>
      </c>
      <c r="B76" t="s">
        <v>271</v>
      </c>
      <c r="C76">
        <v>495</v>
      </c>
      <c r="D76">
        <v>479</v>
      </c>
      <c r="E76">
        <v>0.9676768</v>
      </c>
      <c r="F76">
        <v>303</v>
      </c>
      <c r="G76">
        <v>0.63256780000000001</v>
      </c>
      <c r="H76">
        <v>461</v>
      </c>
      <c r="I76">
        <v>0.96242170000000005</v>
      </c>
      <c r="J76">
        <v>317</v>
      </c>
      <c r="K76">
        <v>0.68763560000000001</v>
      </c>
      <c r="L76">
        <v>252</v>
      </c>
      <c r="M76">
        <v>236</v>
      </c>
      <c r="N76">
        <v>0.93650789999999995</v>
      </c>
      <c r="O76">
        <v>145</v>
      </c>
      <c r="P76">
        <v>0.61440680000000003</v>
      </c>
      <c r="Q76">
        <v>228</v>
      </c>
      <c r="R76">
        <v>0.96610169999999995</v>
      </c>
      <c r="S76">
        <v>166</v>
      </c>
      <c r="T76">
        <v>0.7280702</v>
      </c>
      <c r="U76">
        <v>226</v>
      </c>
      <c r="V76">
        <v>132</v>
      </c>
      <c r="W76">
        <v>0.5840708</v>
      </c>
      <c r="X76">
        <v>132</v>
      </c>
      <c r="Y76">
        <v>1</v>
      </c>
      <c r="Z76">
        <v>126</v>
      </c>
      <c r="AA76">
        <v>0.95454550000000005</v>
      </c>
      <c r="AB76">
        <v>92</v>
      </c>
      <c r="AC76">
        <v>0.73015870000000005</v>
      </c>
      <c r="AD76">
        <v>26</v>
      </c>
      <c r="AE76">
        <v>13</v>
      </c>
      <c r="AF76">
        <v>0.5</v>
      </c>
      <c r="AG76">
        <v>13</v>
      </c>
      <c r="AH76">
        <v>1</v>
      </c>
      <c r="AI76">
        <v>11</v>
      </c>
      <c r="AJ76">
        <v>0.84615379999999996</v>
      </c>
      <c r="AK76">
        <v>8</v>
      </c>
      <c r="AL76">
        <v>0.72727269999999999</v>
      </c>
      <c r="AM76">
        <v>243</v>
      </c>
      <c r="AN76">
        <v>243</v>
      </c>
      <c r="AO76">
        <v>1</v>
      </c>
      <c r="AP76">
        <v>158</v>
      </c>
      <c r="AQ76">
        <v>0.65020579999999994</v>
      </c>
      <c r="AR76">
        <v>233</v>
      </c>
      <c r="AS76">
        <v>0.95884769999999997</v>
      </c>
      <c r="AT76">
        <v>151</v>
      </c>
      <c r="AU76">
        <v>0.64806870000000005</v>
      </c>
      <c r="AV76">
        <v>217</v>
      </c>
      <c r="AW76">
        <v>142</v>
      </c>
      <c r="AX76">
        <v>0.65437789999999996</v>
      </c>
      <c r="AY76">
        <v>142</v>
      </c>
      <c r="AZ76">
        <v>1</v>
      </c>
      <c r="BA76">
        <v>135</v>
      </c>
      <c r="BB76">
        <v>0.9507042</v>
      </c>
      <c r="BC76">
        <v>92</v>
      </c>
      <c r="BD76">
        <v>0.68148149999999996</v>
      </c>
      <c r="BE76">
        <v>26</v>
      </c>
      <c r="BF76">
        <v>16</v>
      </c>
      <c r="BG76">
        <v>0.61538459999999995</v>
      </c>
      <c r="BH76">
        <v>16</v>
      </c>
      <c r="BI76">
        <v>1</v>
      </c>
      <c r="BJ76">
        <v>16</v>
      </c>
      <c r="BK76">
        <v>1</v>
      </c>
      <c r="BL76">
        <v>10</v>
      </c>
      <c r="BM76">
        <v>0.625</v>
      </c>
    </row>
    <row r="77" spans="1:65" x14ac:dyDescent="0.25">
      <c r="A77" t="s">
        <v>272</v>
      </c>
      <c r="B77" t="s">
        <v>273</v>
      </c>
      <c r="C77">
        <v>730</v>
      </c>
      <c r="D77">
        <v>732</v>
      </c>
      <c r="E77">
        <v>1.0027397</v>
      </c>
      <c r="F77">
        <v>492</v>
      </c>
      <c r="G77">
        <v>0.67213109999999998</v>
      </c>
      <c r="H77">
        <v>707</v>
      </c>
      <c r="I77">
        <v>0.96584700000000001</v>
      </c>
      <c r="J77">
        <v>432</v>
      </c>
      <c r="K77">
        <v>0.61103249999999998</v>
      </c>
      <c r="L77">
        <v>346</v>
      </c>
      <c r="M77">
        <v>354</v>
      </c>
      <c r="N77">
        <v>1.0231214</v>
      </c>
      <c r="O77">
        <v>247</v>
      </c>
      <c r="P77">
        <v>0.69774009999999997</v>
      </c>
      <c r="Q77">
        <v>346</v>
      </c>
      <c r="R77">
        <v>0.97740110000000002</v>
      </c>
      <c r="S77">
        <v>220</v>
      </c>
      <c r="T77">
        <v>0.63583820000000002</v>
      </c>
      <c r="U77">
        <v>346</v>
      </c>
      <c r="V77">
        <v>247</v>
      </c>
      <c r="W77">
        <v>0.71387279999999997</v>
      </c>
      <c r="X77">
        <v>247</v>
      </c>
      <c r="Y77">
        <v>1</v>
      </c>
      <c r="Z77">
        <v>242</v>
      </c>
      <c r="AA77">
        <v>0.97975710000000005</v>
      </c>
      <c r="AB77">
        <v>159</v>
      </c>
      <c r="AC77">
        <v>0.65702479999999996</v>
      </c>
      <c r="AD77">
        <v>0</v>
      </c>
      <c r="AE77">
        <v>0</v>
      </c>
      <c r="AF77">
        <v>0</v>
      </c>
      <c r="AG77">
        <v>0</v>
      </c>
      <c r="AH77">
        <v>0</v>
      </c>
      <c r="AI77">
        <v>0</v>
      </c>
      <c r="AJ77">
        <v>0</v>
      </c>
      <c r="AK77">
        <v>0</v>
      </c>
      <c r="AL77">
        <v>0</v>
      </c>
      <c r="AM77">
        <v>384</v>
      </c>
      <c r="AN77">
        <v>378</v>
      </c>
      <c r="AO77">
        <v>0.984375</v>
      </c>
      <c r="AP77">
        <v>245</v>
      </c>
      <c r="AQ77">
        <v>0.6481481</v>
      </c>
      <c r="AR77">
        <v>361</v>
      </c>
      <c r="AS77">
        <v>0.9550265</v>
      </c>
      <c r="AT77">
        <v>212</v>
      </c>
      <c r="AU77">
        <v>0.58725760000000005</v>
      </c>
      <c r="AV77" t="s">
        <v>127</v>
      </c>
      <c r="AW77">
        <v>245</v>
      </c>
      <c r="AX77">
        <v>0.64136130000000002</v>
      </c>
      <c r="AY77" t="s">
        <v>127</v>
      </c>
      <c r="AZ77">
        <v>1</v>
      </c>
      <c r="BA77">
        <v>233</v>
      </c>
      <c r="BB77">
        <v>0.95102039999999999</v>
      </c>
      <c r="BC77">
        <v>147</v>
      </c>
      <c r="BD77">
        <v>0.6309013</v>
      </c>
      <c r="BE77" t="s">
        <v>127</v>
      </c>
      <c r="BF77">
        <v>0</v>
      </c>
      <c r="BG77" t="s">
        <v>127</v>
      </c>
      <c r="BH77">
        <v>0</v>
      </c>
      <c r="BI77">
        <v>0</v>
      </c>
      <c r="BJ77">
        <v>0</v>
      </c>
      <c r="BK77">
        <v>0</v>
      </c>
      <c r="BL77">
        <v>0</v>
      </c>
      <c r="BM77">
        <v>0</v>
      </c>
    </row>
    <row r="78" spans="1:65" x14ac:dyDescent="0.25">
      <c r="A78" t="s">
        <v>274</v>
      </c>
      <c r="B78" t="s">
        <v>275</v>
      </c>
      <c r="C78">
        <v>128</v>
      </c>
      <c r="D78">
        <v>78</v>
      </c>
      <c r="E78">
        <v>0.609375</v>
      </c>
      <c r="F78">
        <v>19</v>
      </c>
      <c r="G78">
        <v>0.24358969999999999</v>
      </c>
      <c r="H78">
        <v>78</v>
      </c>
      <c r="I78">
        <v>1</v>
      </c>
      <c r="J78">
        <v>32</v>
      </c>
      <c r="K78">
        <v>0.41025640000000002</v>
      </c>
      <c r="L78">
        <v>64</v>
      </c>
      <c r="M78">
        <v>47</v>
      </c>
      <c r="N78">
        <v>0.734375</v>
      </c>
      <c r="O78">
        <v>10</v>
      </c>
      <c r="P78">
        <v>0.21276600000000001</v>
      </c>
      <c r="Q78">
        <v>47</v>
      </c>
      <c r="R78">
        <v>1</v>
      </c>
      <c r="S78">
        <v>18</v>
      </c>
      <c r="T78">
        <v>0.38297870000000001</v>
      </c>
      <c r="U78" t="s">
        <v>127</v>
      </c>
      <c r="V78">
        <v>10</v>
      </c>
      <c r="W78" t="s">
        <v>127</v>
      </c>
      <c r="X78">
        <v>10</v>
      </c>
      <c r="Y78">
        <v>1</v>
      </c>
      <c r="Z78">
        <v>10</v>
      </c>
      <c r="AA78">
        <v>1</v>
      </c>
      <c r="AB78">
        <v>5</v>
      </c>
      <c r="AC78">
        <v>0.5</v>
      </c>
      <c r="AD78" t="s">
        <v>127</v>
      </c>
      <c r="AE78">
        <v>0</v>
      </c>
      <c r="AF78" t="s">
        <v>127</v>
      </c>
      <c r="AG78">
        <v>0</v>
      </c>
      <c r="AH78">
        <v>0</v>
      </c>
      <c r="AI78">
        <v>0</v>
      </c>
      <c r="AJ78">
        <v>0</v>
      </c>
      <c r="AK78">
        <v>0</v>
      </c>
      <c r="AL78">
        <v>0</v>
      </c>
      <c r="AM78">
        <v>64</v>
      </c>
      <c r="AN78">
        <v>31</v>
      </c>
      <c r="AO78">
        <v>0.484375</v>
      </c>
      <c r="AP78">
        <v>9</v>
      </c>
      <c r="AQ78">
        <v>0.29032259999999999</v>
      </c>
      <c r="AR78">
        <v>31</v>
      </c>
      <c r="AS78">
        <v>1</v>
      </c>
      <c r="AT78">
        <v>14</v>
      </c>
      <c r="AU78">
        <v>0.45161289999999998</v>
      </c>
      <c r="AV78">
        <v>64</v>
      </c>
      <c r="AW78" t="s">
        <v>127</v>
      </c>
      <c r="AX78" t="s">
        <v>127</v>
      </c>
      <c r="AY78" t="s">
        <v>127</v>
      </c>
      <c r="AZ78" t="s">
        <v>127</v>
      </c>
      <c r="BA78" t="s">
        <v>127</v>
      </c>
      <c r="BB78" t="s">
        <v>127</v>
      </c>
      <c r="BC78" t="s">
        <v>127</v>
      </c>
      <c r="BD78">
        <v>0.5</v>
      </c>
      <c r="BE78">
        <v>0</v>
      </c>
      <c r="BF78" t="s">
        <v>127</v>
      </c>
      <c r="BG78" t="s">
        <v>127</v>
      </c>
      <c r="BH78" t="s">
        <v>127</v>
      </c>
      <c r="BI78" t="s">
        <v>127</v>
      </c>
      <c r="BJ78" t="s">
        <v>127</v>
      </c>
      <c r="BK78" t="s">
        <v>127</v>
      </c>
      <c r="BL78">
        <v>0</v>
      </c>
      <c r="BM78" t="s">
        <v>127</v>
      </c>
    </row>
    <row r="79" spans="1:65" x14ac:dyDescent="0.25">
      <c r="A79" t="s">
        <v>276</v>
      </c>
      <c r="B79" t="s">
        <v>277</v>
      </c>
      <c r="C79">
        <v>315</v>
      </c>
      <c r="D79">
        <v>101</v>
      </c>
      <c r="E79">
        <v>0.3206349</v>
      </c>
      <c r="F79">
        <v>53</v>
      </c>
      <c r="G79">
        <v>0.52475249999999996</v>
      </c>
      <c r="H79">
        <v>99</v>
      </c>
      <c r="I79">
        <v>0.98019800000000001</v>
      </c>
      <c r="J79">
        <v>61</v>
      </c>
      <c r="K79">
        <v>0.61616159999999998</v>
      </c>
      <c r="L79">
        <v>95</v>
      </c>
      <c r="M79">
        <v>25</v>
      </c>
      <c r="N79">
        <v>0.2631579</v>
      </c>
      <c r="O79">
        <v>18</v>
      </c>
      <c r="P79">
        <v>0.72</v>
      </c>
      <c r="Q79">
        <v>25</v>
      </c>
      <c r="R79">
        <v>1</v>
      </c>
      <c r="S79">
        <v>22</v>
      </c>
      <c r="T79">
        <v>0.88</v>
      </c>
      <c r="U79">
        <v>95</v>
      </c>
      <c r="V79">
        <v>18</v>
      </c>
      <c r="W79">
        <v>0.18947369999999999</v>
      </c>
      <c r="X79">
        <v>18</v>
      </c>
      <c r="Y79">
        <v>1</v>
      </c>
      <c r="Z79">
        <v>18</v>
      </c>
      <c r="AA79">
        <v>1</v>
      </c>
      <c r="AB79">
        <v>15</v>
      </c>
      <c r="AC79">
        <v>0.83333330000000005</v>
      </c>
      <c r="AD79">
        <v>0</v>
      </c>
      <c r="AE79">
        <v>0</v>
      </c>
      <c r="AF79">
        <v>0</v>
      </c>
      <c r="AG79">
        <v>0</v>
      </c>
      <c r="AH79">
        <v>0</v>
      </c>
      <c r="AI79">
        <v>0</v>
      </c>
      <c r="AJ79">
        <v>0</v>
      </c>
      <c r="AK79">
        <v>0</v>
      </c>
      <c r="AL79">
        <v>0</v>
      </c>
      <c r="AM79">
        <v>220</v>
      </c>
      <c r="AN79">
        <v>76</v>
      </c>
      <c r="AO79">
        <v>0.3454545</v>
      </c>
      <c r="AP79">
        <v>35</v>
      </c>
      <c r="AQ79">
        <v>0.4605263</v>
      </c>
      <c r="AR79">
        <v>74</v>
      </c>
      <c r="AS79">
        <v>0.9736842</v>
      </c>
      <c r="AT79">
        <v>39</v>
      </c>
      <c r="AU79">
        <v>0.52702700000000002</v>
      </c>
      <c r="AV79">
        <v>214</v>
      </c>
      <c r="AW79">
        <v>35</v>
      </c>
      <c r="AX79">
        <v>0.16355140000000001</v>
      </c>
      <c r="AY79">
        <v>35</v>
      </c>
      <c r="AZ79">
        <v>1</v>
      </c>
      <c r="BA79">
        <v>35</v>
      </c>
      <c r="BB79">
        <v>1</v>
      </c>
      <c r="BC79">
        <v>18</v>
      </c>
      <c r="BD79">
        <v>0.51428569999999996</v>
      </c>
      <c r="BE79">
        <v>6</v>
      </c>
      <c r="BF79">
        <v>0</v>
      </c>
      <c r="BG79">
        <v>0</v>
      </c>
      <c r="BH79">
        <v>0</v>
      </c>
      <c r="BI79">
        <v>0</v>
      </c>
      <c r="BJ79">
        <v>0</v>
      </c>
      <c r="BK79">
        <v>0</v>
      </c>
      <c r="BL79">
        <v>0</v>
      </c>
      <c r="BM79">
        <v>0</v>
      </c>
    </row>
    <row r="80" spans="1:65" x14ac:dyDescent="0.25">
      <c r="A80" t="s">
        <v>278</v>
      </c>
      <c r="B80" t="s">
        <v>279</v>
      </c>
      <c r="C80">
        <v>301</v>
      </c>
      <c r="D80">
        <v>212</v>
      </c>
      <c r="E80">
        <v>0.70431889999999997</v>
      </c>
      <c r="F80">
        <v>125</v>
      </c>
      <c r="G80">
        <v>0.5896226</v>
      </c>
      <c r="H80">
        <v>197</v>
      </c>
      <c r="I80">
        <v>0.92924530000000005</v>
      </c>
      <c r="J80">
        <v>113</v>
      </c>
      <c r="K80">
        <v>0.57360409999999995</v>
      </c>
      <c r="L80">
        <v>157</v>
      </c>
      <c r="M80">
        <v>114</v>
      </c>
      <c r="N80">
        <v>0.72611460000000005</v>
      </c>
      <c r="O80">
        <v>69</v>
      </c>
      <c r="P80">
        <v>0.6052632</v>
      </c>
      <c r="Q80">
        <v>107</v>
      </c>
      <c r="R80">
        <v>0.93859649999999994</v>
      </c>
      <c r="S80">
        <v>62</v>
      </c>
      <c r="T80">
        <v>0.57943929999999999</v>
      </c>
      <c r="U80">
        <v>132</v>
      </c>
      <c r="V80">
        <v>61</v>
      </c>
      <c r="W80">
        <v>0.46212120000000001</v>
      </c>
      <c r="X80">
        <v>61</v>
      </c>
      <c r="Y80">
        <v>1</v>
      </c>
      <c r="Z80">
        <v>57</v>
      </c>
      <c r="AA80">
        <v>0.93442619999999998</v>
      </c>
      <c r="AB80">
        <v>38</v>
      </c>
      <c r="AC80">
        <v>0.66666669999999995</v>
      </c>
      <c r="AD80">
        <v>25</v>
      </c>
      <c r="AE80">
        <v>8</v>
      </c>
      <c r="AF80">
        <v>0.32</v>
      </c>
      <c r="AG80">
        <v>8</v>
      </c>
      <c r="AH80">
        <v>1</v>
      </c>
      <c r="AI80">
        <v>8</v>
      </c>
      <c r="AJ80">
        <v>1</v>
      </c>
      <c r="AK80">
        <v>5</v>
      </c>
      <c r="AL80">
        <v>0.625</v>
      </c>
      <c r="AM80">
        <v>144</v>
      </c>
      <c r="AN80">
        <v>98</v>
      </c>
      <c r="AO80">
        <v>0.68055560000000004</v>
      </c>
      <c r="AP80">
        <v>56</v>
      </c>
      <c r="AQ80">
        <v>0.57142859999999995</v>
      </c>
      <c r="AR80">
        <v>90</v>
      </c>
      <c r="AS80">
        <v>0.9183673</v>
      </c>
      <c r="AT80">
        <v>51</v>
      </c>
      <c r="AU80">
        <v>0.56666669999999997</v>
      </c>
      <c r="AV80">
        <v>111</v>
      </c>
      <c r="AW80">
        <v>48</v>
      </c>
      <c r="AX80">
        <v>0.43243239999999999</v>
      </c>
      <c r="AY80">
        <v>48</v>
      </c>
      <c r="AZ80">
        <v>1</v>
      </c>
      <c r="BA80">
        <v>43</v>
      </c>
      <c r="BB80">
        <v>0.89583330000000005</v>
      </c>
      <c r="BC80">
        <v>31</v>
      </c>
      <c r="BD80">
        <v>0.72093019999999997</v>
      </c>
      <c r="BE80">
        <v>33</v>
      </c>
      <c r="BF80">
        <v>8</v>
      </c>
      <c r="BG80">
        <v>0.24242420000000001</v>
      </c>
      <c r="BH80">
        <v>8</v>
      </c>
      <c r="BI80">
        <v>1</v>
      </c>
      <c r="BJ80">
        <v>7</v>
      </c>
      <c r="BK80">
        <v>0.875</v>
      </c>
      <c r="BL80">
        <v>4</v>
      </c>
      <c r="BM80">
        <v>0.57142859999999995</v>
      </c>
    </row>
    <row r="81" spans="1:65" x14ac:dyDescent="0.25">
      <c r="A81" t="s">
        <v>280</v>
      </c>
      <c r="B81" t="s">
        <v>281</v>
      </c>
      <c r="C81">
        <v>491</v>
      </c>
      <c r="D81">
        <v>303</v>
      </c>
      <c r="E81">
        <v>0.61710790000000004</v>
      </c>
      <c r="F81">
        <v>137</v>
      </c>
      <c r="G81">
        <v>0.45214520000000002</v>
      </c>
      <c r="H81">
        <v>159</v>
      </c>
      <c r="I81">
        <v>0.52475249999999996</v>
      </c>
      <c r="J81">
        <v>159</v>
      </c>
      <c r="K81">
        <v>1</v>
      </c>
      <c r="L81">
        <v>223</v>
      </c>
      <c r="M81">
        <v>152</v>
      </c>
      <c r="N81">
        <v>0.68161430000000001</v>
      </c>
      <c r="O81">
        <v>62</v>
      </c>
      <c r="P81">
        <v>0.4078947</v>
      </c>
      <c r="Q81">
        <v>87</v>
      </c>
      <c r="R81">
        <v>0.5723684</v>
      </c>
      <c r="S81">
        <v>87</v>
      </c>
      <c r="T81">
        <v>1</v>
      </c>
      <c r="U81">
        <v>208</v>
      </c>
      <c r="V81">
        <v>56</v>
      </c>
      <c r="W81">
        <v>0.26923079999999999</v>
      </c>
      <c r="X81">
        <v>56</v>
      </c>
      <c r="Y81">
        <v>1</v>
      </c>
      <c r="Z81">
        <v>25</v>
      </c>
      <c r="AA81">
        <v>0.44642860000000001</v>
      </c>
      <c r="AB81">
        <v>25</v>
      </c>
      <c r="AC81">
        <v>1</v>
      </c>
      <c r="AD81">
        <v>15</v>
      </c>
      <c r="AE81">
        <v>6</v>
      </c>
      <c r="AF81">
        <v>0.4</v>
      </c>
      <c r="AG81">
        <v>6</v>
      </c>
      <c r="AH81">
        <v>1</v>
      </c>
      <c r="AI81">
        <v>2</v>
      </c>
      <c r="AJ81">
        <v>0.3333333</v>
      </c>
      <c r="AK81">
        <v>2</v>
      </c>
      <c r="AL81">
        <v>1</v>
      </c>
      <c r="AM81">
        <v>268</v>
      </c>
      <c r="AN81">
        <v>151</v>
      </c>
      <c r="AO81">
        <v>0.56343279999999996</v>
      </c>
      <c r="AP81">
        <v>75</v>
      </c>
      <c r="AQ81">
        <v>0.49668869999999998</v>
      </c>
      <c r="AR81">
        <v>72</v>
      </c>
      <c r="AS81">
        <v>0.4768212</v>
      </c>
      <c r="AT81">
        <v>72</v>
      </c>
      <c r="AU81">
        <v>1</v>
      </c>
      <c r="AV81">
        <v>243</v>
      </c>
      <c r="AW81" t="s">
        <v>127</v>
      </c>
      <c r="AX81" t="s">
        <v>127</v>
      </c>
      <c r="AY81" t="s">
        <v>127</v>
      </c>
      <c r="AZ81" t="s">
        <v>127</v>
      </c>
      <c r="BA81" t="s">
        <v>127</v>
      </c>
      <c r="BB81">
        <v>0.34722219999999998</v>
      </c>
      <c r="BC81" t="s">
        <v>127</v>
      </c>
      <c r="BD81">
        <v>1</v>
      </c>
      <c r="BE81">
        <v>25</v>
      </c>
      <c r="BF81" t="s">
        <v>127</v>
      </c>
      <c r="BG81" t="s">
        <v>127</v>
      </c>
      <c r="BH81" t="s">
        <v>127</v>
      </c>
      <c r="BI81" t="s">
        <v>127</v>
      </c>
      <c r="BJ81">
        <v>0</v>
      </c>
      <c r="BK81" t="s">
        <v>127</v>
      </c>
      <c r="BL81">
        <v>0</v>
      </c>
      <c r="BM81" t="s">
        <v>127</v>
      </c>
    </row>
    <row r="82" spans="1:65" x14ac:dyDescent="0.25">
      <c r="A82" t="s">
        <v>282</v>
      </c>
      <c r="B82" t="s">
        <v>283</v>
      </c>
      <c r="C82">
        <v>459</v>
      </c>
      <c r="D82">
        <v>254</v>
      </c>
      <c r="E82">
        <v>0.55337689999999995</v>
      </c>
      <c r="F82">
        <v>115</v>
      </c>
      <c r="G82">
        <v>0.45275589999999999</v>
      </c>
      <c r="H82">
        <v>236</v>
      </c>
      <c r="I82">
        <v>0.92913389999999996</v>
      </c>
      <c r="J82">
        <v>8</v>
      </c>
      <c r="K82">
        <v>3.3898299999999999E-2</v>
      </c>
      <c r="L82">
        <v>210</v>
      </c>
      <c r="M82">
        <v>125</v>
      </c>
      <c r="N82">
        <v>0.59523809999999999</v>
      </c>
      <c r="O82">
        <v>58</v>
      </c>
      <c r="P82">
        <v>0.46400000000000002</v>
      </c>
      <c r="Q82">
        <v>117</v>
      </c>
      <c r="R82">
        <v>0.93600000000000005</v>
      </c>
      <c r="S82">
        <v>4</v>
      </c>
      <c r="T82">
        <v>3.4188000000000003E-2</v>
      </c>
      <c r="U82">
        <v>204</v>
      </c>
      <c r="V82" t="s">
        <v>127</v>
      </c>
      <c r="W82" t="s">
        <v>127</v>
      </c>
      <c r="X82" t="s">
        <v>127</v>
      </c>
      <c r="Y82" t="s">
        <v>127</v>
      </c>
      <c r="Z82" t="s">
        <v>127</v>
      </c>
      <c r="AA82" t="s">
        <v>127</v>
      </c>
      <c r="AB82">
        <v>2</v>
      </c>
      <c r="AC82" t="s">
        <v>127</v>
      </c>
      <c r="AD82">
        <v>6</v>
      </c>
      <c r="AE82" t="s">
        <v>127</v>
      </c>
      <c r="AF82" t="s">
        <v>127</v>
      </c>
      <c r="AG82" t="s">
        <v>127</v>
      </c>
      <c r="AH82" t="s">
        <v>127</v>
      </c>
      <c r="AI82" t="s">
        <v>127</v>
      </c>
      <c r="AJ82" t="s">
        <v>127</v>
      </c>
      <c r="AK82">
        <v>0</v>
      </c>
      <c r="AL82" t="s">
        <v>127</v>
      </c>
      <c r="AM82">
        <v>249</v>
      </c>
      <c r="AN82">
        <v>129</v>
      </c>
      <c r="AO82">
        <v>0.51807230000000004</v>
      </c>
      <c r="AP82">
        <v>57</v>
      </c>
      <c r="AQ82">
        <v>0.44186049999999999</v>
      </c>
      <c r="AR82">
        <v>119</v>
      </c>
      <c r="AS82">
        <v>0.92248059999999998</v>
      </c>
      <c r="AT82">
        <v>4</v>
      </c>
      <c r="AU82">
        <v>3.3613400000000002E-2</v>
      </c>
      <c r="AV82">
        <v>236</v>
      </c>
      <c r="AW82">
        <v>57</v>
      </c>
      <c r="AX82">
        <v>0.2415254</v>
      </c>
      <c r="AY82">
        <v>57</v>
      </c>
      <c r="AZ82">
        <v>1</v>
      </c>
      <c r="BA82">
        <v>53</v>
      </c>
      <c r="BB82">
        <v>0.9298246</v>
      </c>
      <c r="BC82">
        <v>3</v>
      </c>
      <c r="BD82">
        <v>5.6603800000000003E-2</v>
      </c>
      <c r="BE82">
        <v>13</v>
      </c>
      <c r="BF82">
        <v>0</v>
      </c>
      <c r="BG82">
        <v>0</v>
      </c>
      <c r="BH82">
        <v>0</v>
      </c>
      <c r="BI82">
        <v>0</v>
      </c>
      <c r="BJ82">
        <v>0</v>
      </c>
      <c r="BK82">
        <v>0</v>
      </c>
      <c r="BL82">
        <v>0</v>
      </c>
      <c r="BM82">
        <v>0</v>
      </c>
    </row>
    <row r="83" spans="1:65" x14ac:dyDescent="0.25">
      <c r="A83" t="s">
        <v>284</v>
      </c>
      <c r="B83" t="s">
        <v>285</v>
      </c>
      <c r="C83">
        <v>622</v>
      </c>
      <c r="D83">
        <v>434</v>
      </c>
      <c r="E83">
        <v>0.69774919999999996</v>
      </c>
      <c r="F83">
        <v>221</v>
      </c>
      <c r="G83">
        <v>0.50921660000000002</v>
      </c>
      <c r="H83">
        <v>412</v>
      </c>
      <c r="I83">
        <v>0.94930879999999995</v>
      </c>
      <c r="J83">
        <v>296</v>
      </c>
      <c r="K83">
        <v>0.71844660000000005</v>
      </c>
      <c r="L83">
        <v>324</v>
      </c>
      <c r="M83">
        <v>249</v>
      </c>
      <c r="N83">
        <v>0.76851849999999999</v>
      </c>
      <c r="O83">
        <v>116</v>
      </c>
      <c r="P83">
        <v>0.46586349999999999</v>
      </c>
      <c r="Q83">
        <v>239</v>
      </c>
      <c r="R83">
        <v>0.95983940000000001</v>
      </c>
      <c r="S83">
        <v>168</v>
      </c>
      <c r="T83">
        <v>0.70292889999999997</v>
      </c>
      <c r="U83">
        <v>304</v>
      </c>
      <c r="V83" t="s">
        <v>127</v>
      </c>
      <c r="W83" t="s">
        <v>127</v>
      </c>
      <c r="X83" t="s">
        <v>127</v>
      </c>
      <c r="Y83" t="s">
        <v>127</v>
      </c>
      <c r="Z83" t="s">
        <v>127</v>
      </c>
      <c r="AA83" t="s">
        <v>127</v>
      </c>
      <c r="AB83" t="s">
        <v>127</v>
      </c>
      <c r="AC83" t="s">
        <v>127</v>
      </c>
      <c r="AD83">
        <v>20</v>
      </c>
      <c r="AE83" t="s">
        <v>127</v>
      </c>
      <c r="AF83" t="s">
        <v>127</v>
      </c>
      <c r="AG83" t="s">
        <v>127</v>
      </c>
      <c r="AH83" t="s">
        <v>127</v>
      </c>
      <c r="AI83" t="s">
        <v>127</v>
      </c>
      <c r="AJ83" t="s">
        <v>127</v>
      </c>
      <c r="AK83" t="s">
        <v>127</v>
      </c>
      <c r="AL83" t="s">
        <v>127</v>
      </c>
      <c r="AM83">
        <v>298</v>
      </c>
      <c r="AN83">
        <v>185</v>
      </c>
      <c r="AO83">
        <v>0.62080539999999995</v>
      </c>
      <c r="AP83">
        <v>105</v>
      </c>
      <c r="AQ83">
        <v>0.56756759999999995</v>
      </c>
      <c r="AR83">
        <v>173</v>
      </c>
      <c r="AS83">
        <v>0.9351351</v>
      </c>
      <c r="AT83">
        <v>128</v>
      </c>
      <c r="AU83">
        <v>0.7398844</v>
      </c>
      <c r="AV83">
        <v>286</v>
      </c>
      <c r="AW83">
        <v>99</v>
      </c>
      <c r="AX83">
        <v>0.34615380000000001</v>
      </c>
      <c r="AY83">
        <v>99</v>
      </c>
      <c r="AZ83">
        <v>1</v>
      </c>
      <c r="BA83">
        <v>94</v>
      </c>
      <c r="BB83">
        <v>0.94949490000000003</v>
      </c>
      <c r="BC83">
        <v>71</v>
      </c>
      <c r="BD83">
        <v>0.75531910000000002</v>
      </c>
      <c r="BE83">
        <v>12</v>
      </c>
      <c r="BF83">
        <v>6</v>
      </c>
      <c r="BG83">
        <v>0.5</v>
      </c>
      <c r="BH83">
        <v>6</v>
      </c>
      <c r="BI83">
        <v>1</v>
      </c>
      <c r="BJ83">
        <v>6</v>
      </c>
      <c r="BK83">
        <v>1</v>
      </c>
      <c r="BL83">
        <v>6</v>
      </c>
      <c r="BM83">
        <v>1</v>
      </c>
    </row>
    <row r="84" spans="1:65" x14ac:dyDescent="0.25">
      <c r="A84" t="s">
        <v>286</v>
      </c>
      <c r="B84" t="s">
        <v>287</v>
      </c>
      <c r="C84">
        <v>275</v>
      </c>
      <c r="D84">
        <v>130</v>
      </c>
      <c r="E84">
        <v>0.47272730000000002</v>
      </c>
      <c r="F84">
        <v>103</v>
      </c>
      <c r="G84">
        <v>0.79230769999999995</v>
      </c>
      <c r="H84">
        <v>126</v>
      </c>
      <c r="I84">
        <v>0.96923079999999995</v>
      </c>
      <c r="J84">
        <v>84</v>
      </c>
      <c r="K84">
        <v>0.66666669999999995</v>
      </c>
      <c r="L84">
        <v>146</v>
      </c>
      <c r="M84">
        <v>67</v>
      </c>
      <c r="N84">
        <v>0.45890409999999998</v>
      </c>
      <c r="O84">
        <v>54</v>
      </c>
      <c r="P84">
        <v>0.80597010000000002</v>
      </c>
      <c r="Q84">
        <v>64</v>
      </c>
      <c r="R84">
        <v>0.95522390000000001</v>
      </c>
      <c r="S84">
        <v>41</v>
      </c>
      <c r="T84">
        <v>0.640625</v>
      </c>
      <c r="U84">
        <v>134</v>
      </c>
      <c r="V84">
        <v>48</v>
      </c>
      <c r="W84">
        <v>0.358209</v>
      </c>
      <c r="X84">
        <v>48</v>
      </c>
      <c r="Y84">
        <v>1</v>
      </c>
      <c r="Z84">
        <v>48</v>
      </c>
      <c r="AA84">
        <v>1</v>
      </c>
      <c r="AB84">
        <v>29</v>
      </c>
      <c r="AC84">
        <v>0.60416669999999995</v>
      </c>
      <c r="AD84">
        <v>12</v>
      </c>
      <c r="AE84">
        <v>6</v>
      </c>
      <c r="AF84">
        <v>0.5</v>
      </c>
      <c r="AG84">
        <v>6</v>
      </c>
      <c r="AH84">
        <v>1</v>
      </c>
      <c r="AI84">
        <v>5</v>
      </c>
      <c r="AJ84">
        <v>0.83333330000000005</v>
      </c>
      <c r="AK84">
        <v>5</v>
      </c>
      <c r="AL84">
        <v>1</v>
      </c>
      <c r="AM84">
        <v>129</v>
      </c>
      <c r="AN84">
        <v>63</v>
      </c>
      <c r="AO84">
        <v>0.48837209999999998</v>
      </c>
      <c r="AP84">
        <v>49</v>
      </c>
      <c r="AQ84">
        <v>0.77777779999999996</v>
      </c>
      <c r="AR84">
        <v>62</v>
      </c>
      <c r="AS84">
        <v>0.98412699999999997</v>
      </c>
      <c r="AT84">
        <v>43</v>
      </c>
      <c r="AU84">
        <v>0.69354839999999995</v>
      </c>
      <c r="AV84">
        <v>115</v>
      </c>
      <c r="AW84">
        <v>41</v>
      </c>
      <c r="AX84">
        <v>0.3565217</v>
      </c>
      <c r="AY84">
        <v>41</v>
      </c>
      <c r="AZ84">
        <v>1</v>
      </c>
      <c r="BA84">
        <v>40</v>
      </c>
      <c r="BB84">
        <v>0.97560979999999997</v>
      </c>
      <c r="BC84">
        <v>28</v>
      </c>
      <c r="BD84">
        <v>0.7</v>
      </c>
      <c r="BE84">
        <v>14</v>
      </c>
      <c r="BF84">
        <v>8</v>
      </c>
      <c r="BG84">
        <v>0.57142859999999995</v>
      </c>
      <c r="BH84">
        <v>8</v>
      </c>
      <c r="BI84">
        <v>1</v>
      </c>
      <c r="BJ84">
        <v>8</v>
      </c>
      <c r="BK84">
        <v>1</v>
      </c>
      <c r="BL84">
        <v>7</v>
      </c>
      <c r="BM84">
        <v>0.875</v>
      </c>
    </row>
    <row r="85" spans="1:65" x14ac:dyDescent="0.25">
      <c r="A85" t="s">
        <v>288</v>
      </c>
      <c r="B85" t="s">
        <v>289</v>
      </c>
      <c r="C85">
        <v>597</v>
      </c>
      <c r="D85">
        <v>791</v>
      </c>
      <c r="E85">
        <v>1.3249580999999999</v>
      </c>
      <c r="F85">
        <v>438</v>
      </c>
      <c r="G85">
        <v>0.55372949999999999</v>
      </c>
      <c r="H85">
        <v>721</v>
      </c>
      <c r="I85">
        <v>0.91150439999999999</v>
      </c>
      <c r="J85">
        <v>454</v>
      </c>
      <c r="K85">
        <v>0.62968100000000005</v>
      </c>
      <c r="L85">
        <v>253</v>
      </c>
      <c r="M85">
        <v>340</v>
      </c>
      <c r="N85">
        <v>1.3438734999999999</v>
      </c>
      <c r="O85">
        <v>178</v>
      </c>
      <c r="P85">
        <v>0.52352940000000003</v>
      </c>
      <c r="Q85">
        <v>331</v>
      </c>
      <c r="R85">
        <v>0.97352939999999999</v>
      </c>
      <c r="S85">
        <v>219</v>
      </c>
      <c r="T85">
        <v>0.66163139999999998</v>
      </c>
      <c r="U85" t="s">
        <v>127</v>
      </c>
      <c r="V85">
        <v>178</v>
      </c>
      <c r="W85" t="s">
        <v>127</v>
      </c>
      <c r="X85">
        <v>178</v>
      </c>
      <c r="Y85">
        <v>1</v>
      </c>
      <c r="Z85">
        <v>173</v>
      </c>
      <c r="AA85">
        <v>0.9719101</v>
      </c>
      <c r="AB85">
        <v>107</v>
      </c>
      <c r="AC85">
        <v>0.61849710000000002</v>
      </c>
      <c r="AD85" t="s">
        <v>127</v>
      </c>
      <c r="AE85">
        <v>0</v>
      </c>
      <c r="AF85" t="s">
        <v>127</v>
      </c>
      <c r="AG85">
        <v>0</v>
      </c>
      <c r="AH85">
        <v>0</v>
      </c>
      <c r="AI85">
        <v>0</v>
      </c>
      <c r="AJ85">
        <v>0</v>
      </c>
      <c r="AK85">
        <v>0</v>
      </c>
      <c r="AL85">
        <v>0</v>
      </c>
      <c r="AM85">
        <v>344</v>
      </c>
      <c r="AN85">
        <v>451</v>
      </c>
      <c r="AO85">
        <v>1.3110465</v>
      </c>
      <c r="AP85">
        <v>260</v>
      </c>
      <c r="AQ85">
        <v>0.57649669999999997</v>
      </c>
      <c r="AR85">
        <v>390</v>
      </c>
      <c r="AS85">
        <v>0.86474499999999999</v>
      </c>
      <c r="AT85">
        <v>235</v>
      </c>
      <c r="AU85">
        <v>0.60256410000000005</v>
      </c>
      <c r="AV85">
        <v>344</v>
      </c>
      <c r="AW85">
        <v>260</v>
      </c>
      <c r="AX85">
        <v>0.75581399999999999</v>
      </c>
      <c r="AY85">
        <v>260</v>
      </c>
      <c r="AZ85">
        <v>1</v>
      </c>
      <c r="BA85">
        <v>235</v>
      </c>
      <c r="BB85">
        <v>0.90384620000000004</v>
      </c>
      <c r="BC85">
        <v>133</v>
      </c>
      <c r="BD85">
        <v>0.56595740000000005</v>
      </c>
      <c r="BE85">
        <v>0</v>
      </c>
      <c r="BF85">
        <v>0</v>
      </c>
      <c r="BG85">
        <v>0</v>
      </c>
      <c r="BH85">
        <v>0</v>
      </c>
      <c r="BI85">
        <v>0</v>
      </c>
      <c r="BJ85">
        <v>0</v>
      </c>
      <c r="BK85">
        <v>0</v>
      </c>
      <c r="BL85">
        <v>0</v>
      </c>
      <c r="BM85">
        <v>0</v>
      </c>
    </row>
    <row r="86" spans="1:65" x14ac:dyDescent="0.25">
      <c r="A86" t="s">
        <v>290</v>
      </c>
      <c r="B86" t="s">
        <v>291</v>
      </c>
      <c r="C86">
        <v>869</v>
      </c>
      <c r="D86">
        <v>477</v>
      </c>
      <c r="E86">
        <v>0.54890680000000003</v>
      </c>
      <c r="F86">
        <v>288</v>
      </c>
      <c r="G86">
        <v>0.60377360000000002</v>
      </c>
      <c r="H86">
        <v>48</v>
      </c>
      <c r="I86">
        <v>0.10062889999999999</v>
      </c>
      <c r="J86">
        <v>48</v>
      </c>
      <c r="K86">
        <v>1</v>
      </c>
      <c r="L86">
        <v>377</v>
      </c>
      <c r="M86">
        <v>189</v>
      </c>
      <c r="N86">
        <v>0.5013263</v>
      </c>
      <c r="O86">
        <v>108</v>
      </c>
      <c r="P86">
        <v>0.57142859999999995</v>
      </c>
      <c r="Q86">
        <v>26</v>
      </c>
      <c r="R86">
        <v>0.1375661</v>
      </c>
      <c r="S86">
        <v>26</v>
      </c>
      <c r="T86">
        <v>1</v>
      </c>
      <c r="U86">
        <v>364</v>
      </c>
      <c r="V86">
        <v>102</v>
      </c>
      <c r="W86">
        <v>0.28021980000000002</v>
      </c>
      <c r="X86">
        <v>102</v>
      </c>
      <c r="Y86">
        <v>1</v>
      </c>
      <c r="Z86">
        <v>15</v>
      </c>
      <c r="AA86">
        <v>0.14705879999999999</v>
      </c>
      <c r="AB86">
        <v>15</v>
      </c>
      <c r="AC86">
        <v>1</v>
      </c>
      <c r="AD86">
        <v>13</v>
      </c>
      <c r="AE86">
        <v>6</v>
      </c>
      <c r="AF86">
        <v>0.46153850000000002</v>
      </c>
      <c r="AG86">
        <v>6</v>
      </c>
      <c r="AH86">
        <v>1</v>
      </c>
      <c r="AI86">
        <v>1</v>
      </c>
      <c r="AJ86">
        <v>0.1666667</v>
      </c>
      <c r="AK86">
        <v>1</v>
      </c>
      <c r="AL86">
        <v>1</v>
      </c>
      <c r="AM86">
        <v>492</v>
      </c>
      <c r="AN86">
        <v>288</v>
      </c>
      <c r="AO86">
        <v>0.58536589999999999</v>
      </c>
      <c r="AP86">
        <v>180</v>
      </c>
      <c r="AQ86">
        <v>0.625</v>
      </c>
      <c r="AR86">
        <v>22</v>
      </c>
      <c r="AS86">
        <v>7.6388899999999996E-2</v>
      </c>
      <c r="AT86">
        <v>22</v>
      </c>
      <c r="AU86">
        <v>1</v>
      </c>
      <c r="AV86">
        <v>479</v>
      </c>
      <c r="AW86" t="s">
        <v>127</v>
      </c>
      <c r="AX86" t="s">
        <v>127</v>
      </c>
      <c r="AY86" t="s">
        <v>127</v>
      </c>
      <c r="AZ86" t="s">
        <v>127</v>
      </c>
      <c r="BA86" t="s">
        <v>127</v>
      </c>
      <c r="BB86">
        <v>8.5714299999999993E-2</v>
      </c>
      <c r="BC86" t="s">
        <v>127</v>
      </c>
      <c r="BD86">
        <v>1</v>
      </c>
      <c r="BE86">
        <v>13</v>
      </c>
      <c r="BF86" t="s">
        <v>127</v>
      </c>
      <c r="BG86" t="s">
        <v>127</v>
      </c>
      <c r="BH86" t="s">
        <v>127</v>
      </c>
      <c r="BI86" t="s">
        <v>127</v>
      </c>
      <c r="BJ86">
        <v>0</v>
      </c>
      <c r="BK86" t="s">
        <v>127</v>
      </c>
      <c r="BL86">
        <v>0</v>
      </c>
      <c r="BM86" t="s">
        <v>127</v>
      </c>
    </row>
    <row r="87" spans="1:65" x14ac:dyDescent="0.25">
      <c r="A87" t="s">
        <v>292</v>
      </c>
      <c r="B87" t="s">
        <v>293</v>
      </c>
      <c r="C87">
        <v>60</v>
      </c>
      <c r="D87">
        <v>53</v>
      </c>
      <c r="E87">
        <v>0.88333329999999999</v>
      </c>
      <c r="F87">
        <v>35</v>
      </c>
      <c r="G87">
        <v>0.6603774</v>
      </c>
      <c r="H87">
        <v>50</v>
      </c>
      <c r="I87">
        <v>0.94339620000000002</v>
      </c>
      <c r="J87">
        <v>32</v>
      </c>
      <c r="K87">
        <v>0.64</v>
      </c>
      <c r="L87">
        <v>41</v>
      </c>
      <c r="M87">
        <v>27</v>
      </c>
      <c r="N87">
        <v>0.65853660000000003</v>
      </c>
      <c r="O87">
        <v>23</v>
      </c>
      <c r="P87">
        <v>0.8518519</v>
      </c>
      <c r="Q87">
        <v>26</v>
      </c>
      <c r="R87">
        <v>0.96296300000000001</v>
      </c>
      <c r="S87">
        <v>16</v>
      </c>
      <c r="T87">
        <v>0.61538459999999995</v>
      </c>
      <c r="U87">
        <v>41</v>
      </c>
      <c r="V87">
        <v>23</v>
      </c>
      <c r="W87">
        <v>0.56097560000000002</v>
      </c>
      <c r="X87">
        <v>23</v>
      </c>
      <c r="Y87">
        <v>1</v>
      </c>
      <c r="Z87">
        <v>23</v>
      </c>
      <c r="AA87">
        <v>1</v>
      </c>
      <c r="AB87">
        <v>15</v>
      </c>
      <c r="AC87">
        <v>0.65217389999999997</v>
      </c>
      <c r="AD87">
        <v>0</v>
      </c>
      <c r="AE87">
        <v>0</v>
      </c>
      <c r="AF87">
        <v>0</v>
      </c>
      <c r="AG87">
        <v>0</v>
      </c>
      <c r="AH87">
        <v>0</v>
      </c>
      <c r="AI87">
        <v>0</v>
      </c>
      <c r="AJ87">
        <v>0</v>
      </c>
      <c r="AK87">
        <v>0</v>
      </c>
      <c r="AL87">
        <v>0</v>
      </c>
      <c r="AM87">
        <v>19</v>
      </c>
      <c r="AN87">
        <v>26</v>
      </c>
      <c r="AO87">
        <v>1.3684210999999999</v>
      </c>
      <c r="AP87">
        <v>12</v>
      </c>
      <c r="AQ87">
        <v>0.46153850000000002</v>
      </c>
      <c r="AR87">
        <v>24</v>
      </c>
      <c r="AS87">
        <v>0.92307689999999998</v>
      </c>
      <c r="AT87">
        <v>16</v>
      </c>
      <c r="AU87">
        <v>0.66666669999999995</v>
      </c>
      <c r="AV87">
        <v>19</v>
      </c>
      <c r="AW87">
        <v>12</v>
      </c>
      <c r="AX87">
        <v>0.63157890000000005</v>
      </c>
      <c r="AY87">
        <v>12</v>
      </c>
      <c r="AZ87">
        <v>1</v>
      </c>
      <c r="BA87">
        <v>11</v>
      </c>
      <c r="BB87">
        <v>0.91666669999999995</v>
      </c>
      <c r="BC87">
        <v>6</v>
      </c>
      <c r="BD87">
        <v>0.54545449999999995</v>
      </c>
      <c r="BE87">
        <v>0</v>
      </c>
      <c r="BF87">
        <v>0</v>
      </c>
      <c r="BG87">
        <v>0</v>
      </c>
      <c r="BH87">
        <v>0</v>
      </c>
      <c r="BI87">
        <v>0</v>
      </c>
      <c r="BJ87">
        <v>0</v>
      </c>
      <c r="BK87">
        <v>0</v>
      </c>
      <c r="BL87">
        <v>0</v>
      </c>
      <c r="BM87">
        <v>0</v>
      </c>
    </row>
    <row r="88" spans="1:65" x14ac:dyDescent="0.25">
      <c r="A88" t="s">
        <v>294</v>
      </c>
      <c r="B88" t="s">
        <v>295</v>
      </c>
      <c r="C88">
        <v>0</v>
      </c>
      <c r="D88">
        <v>0</v>
      </c>
      <c r="E88">
        <v>0</v>
      </c>
      <c r="F88">
        <v>0</v>
      </c>
      <c r="G88">
        <v>0</v>
      </c>
      <c r="H88">
        <v>0</v>
      </c>
      <c r="I88">
        <v>0</v>
      </c>
      <c r="J88">
        <v>0</v>
      </c>
      <c r="K88">
        <v>0</v>
      </c>
      <c r="L88" t="s">
        <v>127</v>
      </c>
      <c r="M88">
        <v>0</v>
      </c>
      <c r="N88" t="s">
        <v>127</v>
      </c>
      <c r="O88">
        <v>0</v>
      </c>
      <c r="P88">
        <v>0</v>
      </c>
      <c r="Q88">
        <v>0</v>
      </c>
      <c r="R88">
        <v>0</v>
      </c>
      <c r="S88">
        <v>0</v>
      </c>
      <c r="T88">
        <v>0</v>
      </c>
      <c r="U88" t="s">
        <v>127</v>
      </c>
      <c r="V88">
        <v>0</v>
      </c>
      <c r="W88" t="s">
        <v>127</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row>
    <row r="89" spans="1:65" x14ac:dyDescent="0.25">
      <c r="A89" t="s">
        <v>296</v>
      </c>
      <c r="B89" t="s">
        <v>297</v>
      </c>
      <c r="C89">
        <v>377</v>
      </c>
      <c r="D89">
        <v>434</v>
      </c>
      <c r="E89">
        <v>1.1511936</v>
      </c>
      <c r="F89">
        <v>173</v>
      </c>
      <c r="G89">
        <v>0.39861750000000001</v>
      </c>
      <c r="H89">
        <v>395</v>
      </c>
      <c r="I89">
        <v>0.91013820000000001</v>
      </c>
      <c r="J89">
        <v>190</v>
      </c>
      <c r="K89">
        <v>0.48101270000000002</v>
      </c>
      <c r="L89">
        <v>188</v>
      </c>
      <c r="M89">
        <v>211</v>
      </c>
      <c r="N89">
        <v>1.1223403999999999</v>
      </c>
      <c r="O89">
        <v>79</v>
      </c>
      <c r="P89">
        <v>0.37440760000000001</v>
      </c>
      <c r="Q89">
        <v>189</v>
      </c>
      <c r="R89">
        <v>0.89573460000000005</v>
      </c>
      <c r="S89">
        <v>95</v>
      </c>
      <c r="T89">
        <v>0.50264549999999997</v>
      </c>
      <c r="U89">
        <v>165</v>
      </c>
      <c r="V89">
        <v>68</v>
      </c>
      <c r="W89">
        <v>0.41212120000000002</v>
      </c>
      <c r="X89">
        <v>68</v>
      </c>
      <c r="Y89">
        <v>1</v>
      </c>
      <c r="Z89">
        <v>57</v>
      </c>
      <c r="AA89">
        <v>0.83823530000000002</v>
      </c>
      <c r="AB89">
        <v>32</v>
      </c>
      <c r="AC89">
        <v>0.56140350000000006</v>
      </c>
      <c r="AD89">
        <v>23</v>
      </c>
      <c r="AE89">
        <v>11</v>
      </c>
      <c r="AF89">
        <v>0.47826089999999999</v>
      </c>
      <c r="AG89">
        <v>11</v>
      </c>
      <c r="AH89">
        <v>1</v>
      </c>
      <c r="AI89">
        <v>10</v>
      </c>
      <c r="AJ89">
        <v>0.90909090000000004</v>
      </c>
      <c r="AK89">
        <v>6</v>
      </c>
      <c r="AL89">
        <v>0.6</v>
      </c>
      <c r="AM89">
        <v>189</v>
      </c>
      <c r="AN89">
        <v>223</v>
      </c>
      <c r="AO89">
        <v>1.1798941999999999</v>
      </c>
      <c r="AP89">
        <v>94</v>
      </c>
      <c r="AQ89">
        <v>0.42152469999999997</v>
      </c>
      <c r="AR89">
        <v>206</v>
      </c>
      <c r="AS89">
        <v>0.9237668</v>
      </c>
      <c r="AT89">
        <v>95</v>
      </c>
      <c r="AU89">
        <v>0.46116499999999999</v>
      </c>
      <c r="AV89">
        <v>173</v>
      </c>
      <c r="AW89">
        <v>84</v>
      </c>
      <c r="AX89">
        <v>0.48554910000000001</v>
      </c>
      <c r="AY89">
        <v>84</v>
      </c>
      <c r="AZ89">
        <v>1</v>
      </c>
      <c r="BA89">
        <v>76</v>
      </c>
      <c r="BB89">
        <v>0.90476190000000001</v>
      </c>
      <c r="BC89">
        <v>45</v>
      </c>
      <c r="BD89">
        <v>0.59210529999999995</v>
      </c>
      <c r="BE89">
        <v>16</v>
      </c>
      <c r="BF89">
        <v>10</v>
      </c>
      <c r="BG89">
        <v>0.625</v>
      </c>
      <c r="BH89">
        <v>10</v>
      </c>
      <c r="BI89">
        <v>1</v>
      </c>
      <c r="BJ89">
        <v>9</v>
      </c>
      <c r="BK89">
        <v>0.9</v>
      </c>
      <c r="BL89">
        <v>6</v>
      </c>
      <c r="BM89">
        <v>0.66666669999999995</v>
      </c>
    </row>
    <row r="90" spans="1:65" x14ac:dyDescent="0.25">
      <c r="A90" t="s">
        <v>298</v>
      </c>
      <c r="B90" t="s">
        <v>299</v>
      </c>
      <c r="C90">
        <v>132</v>
      </c>
      <c r="D90">
        <v>232</v>
      </c>
      <c r="E90">
        <v>1.7575757999999999</v>
      </c>
      <c r="F90">
        <v>91</v>
      </c>
      <c r="G90">
        <v>0.39224140000000002</v>
      </c>
      <c r="H90">
        <v>225</v>
      </c>
      <c r="I90">
        <v>0.96982760000000001</v>
      </c>
      <c r="J90">
        <v>145</v>
      </c>
      <c r="K90">
        <v>0.64444440000000003</v>
      </c>
      <c r="L90">
        <v>57</v>
      </c>
      <c r="M90">
        <v>95</v>
      </c>
      <c r="N90">
        <v>1.6666666999999999</v>
      </c>
      <c r="O90">
        <v>40</v>
      </c>
      <c r="P90">
        <v>0.4210526</v>
      </c>
      <c r="Q90">
        <v>94</v>
      </c>
      <c r="R90">
        <v>0.98947370000000001</v>
      </c>
      <c r="S90">
        <v>62</v>
      </c>
      <c r="T90">
        <v>0.65957449999999995</v>
      </c>
      <c r="U90" t="s">
        <v>127</v>
      </c>
      <c r="V90">
        <v>40</v>
      </c>
      <c r="W90" t="s">
        <v>127</v>
      </c>
      <c r="X90">
        <v>40</v>
      </c>
      <c r="Y90">
        <v>1</v>
      </c>
      <c r="Z90">
        <v>39</v>
      </c>
      <c r="AA90">
        <v>0.97499999999999998</v>
      </c>
      <c r="AB90">
        <v>27</v>
      </c>
      <c r="AC90">
        <v>0.69230769999999997</v>
      </c>
      <c r="AD90" t="s">
        <v>127</v>
      </c>
      <c r="AE90">
        <v>0</v>
      </c>
      <c r="AF90" t="s">
        <v>127</v>
      </c>
      <c r="AG90">
        <v>0</v>
      </c>
      <c r="AH90">
        <v>0</v>
      </c>
      <c r="AI90">
        <v>0</v>
      </c>
      <c r="AJ90">
        <v>0</v>
      </c>
      <c r="AK90">
        <v>0</v>
      </c>
      <c r="AL90">
        <v>0</v>
      </c>
      <c r="AM90">
        <v>75</v>
      </c>
      <c r="AN90">
        <v>137</v>
      </c>
      <c r="AO90">
        <v>1.8266667000000001</v>
      </c>
      <c r="AP90">
        <v>51</v>
      </c>
      <c r="AQ90">
        <v>0.3722628</v>
      </c>
      <c r="AR90">
        <v>131</v>
      </c>
      <c r="AS90">
        <v>0.95620439999999995</v>
      </c>
      <c r="AT90">
        <v>83</v>
      </c>
      <c r="AU90">
        <v>0.63358780000000003</v>
      </c>
      <c r="AV90" t="s">
        <v>127</v>
      </c>
      <c r="AW90" t="s">
        <v>127</v>
      </c>
      <c r="AX90" t="s">
        <v>127</v>
      </c>
      <c r="AY90" t="s">
        <v>127</v>
      </c>
      <c r="AZ90" t="s">
        <v>127</v>
      </c>
      <c r="BA90" t="s">
        <v>127</v>
      </c>
      <c r="BB90">
        <v>1</v>
      </c>
      <c r="BC90" t="s">
        <v>127</v>
      </c>
      <c r="BD90">
        <v>0.72</v>
      </c>
      <c r="BE90" t="s">
        <v>127</v>
      </c>
      <c r="BF90" t="s">
        <v>127</v>
      </c>
      <c r="BG90" t="s">
        <v>127</v>
      </c>
      <c r="BH90" t="s">
        <v>127</v>
      </c>
      <c r="BI90" t="s">
        <v>127</v>
      </c>
      <c r="BJ90">
        <v>0</v>
      </c>
      <c r="BK90" t="s">
        <v>127</v>
      </c>
      <c r="BL90">
        <v>0</v>
      </c>
      <c r="BM90" t="s">
        <v>127</v>
      </c>
    </row>
    <row r="91" spans="1:65" x14ac:dyDescent="0.25">
      <c r="A91" t="s">
        <v>300</v>
      </c>
      <c r="B91" t="s">
        <v>301</v>
      </c>
      <c r="C91">
        <v>928</v>
      </c>
      <c r="D91">
        <v>622</v>
      </c>
      <c r="E91">
        <v>0.67025860000000004</v>
      </c>
      <c r="F91">
        <v>400</v>
      </c>
      <c r="G91">
        <v>0.64308679999999996</v>
      </c>
      <c r="H91">
        <v>592</v>
      </c>
      <c r="I91">
        <v>0.95176850000000002</v>
      </c>
      <c r="J91">
        <v>381</v>
      </c>
      <c r="K91">
        <v>0.64358110000000002</v>
      </c>
      <c r="L91">
        <v>449</v>
      </c>
      <c r="M91">
        <v>294</v>
      </c>
      <c r="N91">
        <v>0.65478840000000005</v>
      </c>
      <c r="O91">
        <v>195</v>
      </c>
      <c r="P91">
        <v>0.66326529999999995</v>
      </c>
      <c r="Q91">
        <v>288</v>
      </c>
      <c r="R91">
        <v>0.97959180000000001</v>
      </c>
      <c r="S91">
        <v>195</v>
      </c>
      <c r="T91">
        <v>0.67708330000000005</v>
      </c>
      <c r="U91">
        <v>378</v>
      </c>
      <c r="V91">
        <v>171</v>
      </c>
      <c r="W91">
        <v>0.45238099999999998</v>
      </c>
      <c r="X91">
        <v>171</v>
      </c>
      <c r="Y91">
        <v>1</v>
      </c>
      <c r="Z91">
        <v>167</v>
      </c>
      <c r="AA91">
        <v>0.97660820000000004</v>
      </c>
      <c r="AB91">
        <v>119</v>
      </c>
      <c r="AC91">
        <v>0.71257490000000001</v>
      </c>
      <c r="AD91">
        <v>71</v>
      </c>
      <c r="AE91">
        <v>24</v>
      </c>
      <c r="AF91">
        <v>0.3380282</v>
      </c>
      <c r="AG91">
        <v>24</v>
      </c>
      <c r="AH91">
        <v>1</v>
      </c>
      <c r="AI91">
        <v>23</v>
      </c>
      <c r="AJ91">
        <v>0.95833330000000005</v>
      </c>
      <c r="AK91">
        <v>18</v>
      </c>
      <c r="AL91">
        <v>0.78260870000000005</v>
      </c>
      <c r="AM91">
        <v>479</v>
      </c>
      <c r="AN91">
        <v>328</v>
      </c>
      <c r="AO91">
        <v>0.68475989999999998</v>
      </c>
      <c r="AP91">
        <v>205</v>
      </c>
      <c r="AQ91">
        <v>0.625</v>
      </c>
      <c r="AR91">
        <v>304</v>
      </c>
      <c r="AS91">
        <v>0.92682929999999997</v>
      </c>
      <c r="AT91">
        <v>186</v>
      </c>
      <c r="AU91">
        <v>0.61184210000000006</v>
      </c>
      <c r="AV91">
        <v>411</v>
      </c>
      <c r="AW91">
        <v>189</v>
      </c>
      <c r="AX91">
        <v>0.45985399999999998</v>
      </c>
      <c r="AY91">
        <v>189</v>
      </c>
      <c r="AZ91">
        <v>1</v>
      </c>
      <c r="BA91">
        <v>176</v>
      </c>
      <c r="BB91">
        <v>0.93121690000000001</v>
      </c>
      <c r="BC91">
        <v>115</v>
      </c>
      <c r="BD91">
        <v>0.65340909999999996</v>
      </c>
      <c r="BE91">
        <v>68</v>
      </c>
      <c r="BF91">
        <v>16</v>
      </c>
      <c r="BG91">
        <v>0.23529410000000001</v>
      </c>
      <c r="BH91">
        <v>16</v>
      </c>
      <c r="BI91">
        <v>1</v>
      </c>
      <c r="BJ91">
        <v>16</v>
      </c>
      <c r="BK91">
        <v>1</v>
      </c>
      <c r="BL91">
        <v>11</v>
      </c>
      <c r="BM91">
        <v>0.6875</v>
      </c>
    </row>
    <row r="92" spans="1:65" x14ac:dyDescent="0.25">
      <c r="A92" t="s">
        <v>302</v>
      </c>
      <c r="B92" t="s">
        <v>303</v>
      </c>
      <c r="C92">
        <v>340</v>
      </c>
      <c r="D92">
        <v>40</v>
      </c>
      <c r="E92">
        <v>0.1176471</v>
      </c>
      <c r="F92">
        <v>16</v>
      </c>
      <c r="G92">
        <v>0.4</v>
      </c>
      <c r="H92">
        <v>5</v>
      </c>
      <c r="I92">
        <v>0.125</v>
      </c>
      <c r="J92">
        <v>5</v>
      </c>
      <c r="K92">
        <v>1</v>
      </c>
      <c r="L92">
        <v>152</v>
      </c>
      <c r="M92">
        <v>17</v>
      </c>
      <c r="N92">
        <v>0.1118421</v>
      </c>
      <c r="O92">
        <v>9</v>
      </c>
      <c r="P92">
        <v>0.52941179999999999</v>
      </c>
      <c r="Q92">
        <v>2</v>
      </c>
      <c r="R92">
        <v>0.1176471</v>
      </c>
      <c r="S92">
        <v>2</v>
      </c>
      <c r="T92">
        <v>1</v>
      </c>
      <c r="U92" t="s">
        <v>127</v>
      </c>
      <c r="V92">
        <v>9</v>
      </c>
      <c r="W92" t="s">
        <v>127</v>
      </c>
      <c r="X92">
        <v>9</v>
      </c>
      <c r="Y92">
        <v>1</v>
      </c>
      <c r="Z92">
        <v>2</v>
      </c>
      <c r="AA92">
        <v>0.22222220000000001</v>
      </c>
      <c r="AB92">
        <v>2</v>
      </c>
      <c r="AC92">
        <v>1</v>
      </c>
      <c r="AD92" t="s">
        <v>127</v>
      </c>
      <c r="AE92">
        <v>0</v>
      </c>
      <c r="AF92" t="s">
        <v>127</v>
      </c>
      <c r="AG92">
        <v>0</v>
      </c>
      <c r="AH92">
        <v>0</v>
      </c>
      <c r="AI92">
        <v>0</v>
      </c>
      <c r="AJ92">
        <v>0</v>
      </c>
      <c r="AK92">
        <v>0</v>
      </c>
      <c r="AL92">
        <v>0</v>
      </c>
      <c r="AM92">
        <v>188</v>
      </c>
      <c r="AN92">
        <v>23</v>
      </c>
      <c r="AO92">
        <v>0.1223404</v>
      </c>
      <c r="AP92">
        <v>7</v>
      </c>
      <c r="AQ92">
        <v>0.3043478</v>
      </c>
      <c r="AR92">
        <v>3</v>
      </c>
      <c r="AS92">
        <v>0.13043479999999999</v>
      </c>
      <c r="AT92">
        <v>3</v>
      </c>
      <c r="AU92">
        <v>1</v>
      </c>
      <c r="AV92">
        <v>180</v>
      </c>
      <c r="AW92">
        <v>7</v>
      </c>
      <c r="AX92">
        <v>3.8888899999999997E-2</v>
      </c>
      <c r="AY92">
        <v>7</v>
      </c>
      <c r="AZ92">
        <v>1</v>
      </c>
      <c r="BA92">
        <v>0</v>
      </c>
      <c r="BB92">
        <v>0</v>
      </c>
      <c r="BC92">
        <v>0</v>
      </c>
      <c r="BD92">
        <v>0</v>
      </c>
      <c r="BE92">
        <v>8</v>
      </c>
      <c r="BF92">
        <v>0</v>
      </c>
      <c r="BG92">
        <v>0</v>
      </c>
      <c r="BH92">
        <v>0</v>
      </c>
      <c r="BI92">
        <v>0</v>
      </c>
      <c r="BJ92">
        <v>0</v>
      </c>
      <c r="BK92">
        <v>0</v>
      </c>
      <c r="BL92">
        <v>0</v>
      </c>
      <c r="BM92">
        <v>0</v>
      </c>
    </row>
    <row r="93" spans="1:65" x14ac:dyDescent="0.25">
      <c r="A93" t="s">
        <v>304</v>
      </c>
      <c r="B93" t="s">
        <v>305</v>
      </c>
      <c r="C93">
        <v>493</v>
      </c>
      <c r="D93">
        <v>280</v>
      </c>
      <c r="E93">
        <v>0.56795130000000005</v>
      </c>
      <c r="F93">
        <v>202</v>
      </c>
      <c r="G93">
        <v>0.72142859999999998</v>
      </c>
      <c r="H93">
        <v>278</v>
      </c>
      <c r="I93">
        <v>0.99285710000000005</v>
      </c>
      <c r="J93">
        <v>205</v>
      </c>
      <c r="K93">
        <v>0.73741009999999996</v>
      </c>
      <c r="L93">
        <v>265</v>
      </c>
      <c r="M93">
        <v>132</v>
      </c>
      <c r="N93">
        <v>0.49811319999999998</v>
      </c>
      <c r="O93">
        <v>97</v>
      </c>
      <c r="P93">
        <v>0.73484850000000002</v>
      </c>
      <c r="Q93">
        <v>131</v>
      </c>
      <c r="R93">
        <v>0.99242419999999998</v>
      </c>
      <c r="S93">
        <v>95</v>
      </c>
      <c r="T93">
        <v>0.72519080000000002</v>
      </c>
      <c r="U93" t="s">
        <v>127</v>
      </c>
      <c r="V93">
        <v>97</v>
      </c>
      <c r="W93" t="s">
        <v>127</v>
      </c>
      <c r="X93">
        <v>97</v>
      </c>
      <c r="Y93">
        <v>1</v>
      </c>
      <c r="Z93">
        <v>96</v>
      </c>
      <c r="AA93">
        <v>0.98969070000000003</v>
      </c>
      <c r="AB93">
        <v>74</v>
      </c>
      <c r="AC93">
        <v>0.77083330000000005</v>
      </c>
      <c r="AD93" t="s">
        <v>127</v>
      </c>
      <c r="AE93">
        <v>0</v>
      </c>
      <c r="AF93" t="s">
        <v>127</v>
      </c>
      <c r="AG93">
        <v>0</v>
      </c>
      <c r="AH93">
        <v>0</v>
      </c>
      <c r="AI93">
        <v>0</v>
      </c>
      <c r="AJ93">
        <v>0</v>
      </c>
      <c r="AK93">
        <v>0</v>
      </c>
      <c r="AL93">
        <v>0</v>
      </c>
      <c r="AM93">
        <v>228</v>
      </c>
      <c r="AN93">
        <v>148</v>
      </c>
      <c r="AO93">
        <v>0.6491228</v>
      </c>
      <c r="AP93">
        <v>105</v>
      </c>
      <c r="AQ93">
        <v>0.70945950000000002</v>
      </c>
      <c r="AR93">
        <v>147</v>
      </c>
      <c r="AS93">
        <v>0.99324319999999999</v>
      </c>
      <c r="AT93">
        <v>110</v>
      </c>
      <c r="AU93">
        <v>0.7482993</v>
      </c>
      <c r="AV93" t="s">
        <v>127</v>
      </c>
      <c r="AW93" t="s">
        <v>127</v>
      </c>
      <c r="AX93" t="s">
        <v>127</v>
      </c>
      <c r="AY93" t="s">
        <v>127</v>
      </c>
      <c r="AZ93" t="s">
        <v>127</v>
      </c>
      <c r="BA93" t="s">
        <v>127</v>
      </c>
      <c r="BB93" t="s">
        <v>127</v>
      </c>
      <c r="BC93" t="s">
        <v>127</v>
      </c>
      <c r="BD93" t="s">
        <v>127</v>
      </c>
      <c r="BE93" t="s">
        <v>127</v>
      </c>
      <c r="BF93" t="s">
        <v>127</v>
      </c>
      <c r="BG93" t="s">
        <v>127</v>
      </c>
      <c r="BH93" t="s">
        <v>127</v>
      </c>
      <c r="BI93" t="s">
        <v>127</v>
      </c>
      <c r="BJ93" t="s">
        <v>127</v>
      </c>
      <c r="BK93" t="s">
        <v>127</v>
      </c>
      <c r="BL93" t="s">
        <v>127</v>
      </c>
      <c r="BM93" t="s">
        <v>127</v>
      </c>
    </row>
    <row r="94" spans="1:65" x14ac:dyDescent="0.25">
      <c r="A94" t="s">
        <v>306</v>
      </c>
      <c r="B94" t="s">
        <v>307</v>
      </c>
      <c r="C94">
        <v>838</v>
      </c>
      <c r="D94">
        <v>878</v>
      </c>
      <c r="E94">
        <v>1.0477327000000001</v>
      </c>
      <c r="F94">
        <v>342</v>
      </c>
      <c r="G94">
        <v>0.38952160000000002</v>
      </c>
      <c r="H94">
        <v>841</v>
      </c>
      <c r="I94">
        <v>0.95785880000000001</v>
      </c>
      <c r="J94">
        <v>355</v>
      </c>
      <c r="K94">
        <v>0.42211650000000001</v>
      </c>
      <c r="L94">
        <v>459</v>
      </c>
      <c r="M94">
        <v>501</v>
      </c>
      <c r="N94">
        <v>1.0915033000000001</v>
      </c>
      <c r="O94">
        <v>202</v>
      </c>
      <c r="P94">
        <v>0.40319359999999999</v>
      </c>
      <c r="Q94">
        <v>477</v>
      </c>
      <c r="R94">
        <v>0.95209580000000005</v>
      </c>
      <c r="S94">
        <v>206</v>
      </c>
      <c r="T94">
        <v>0.43186580000000002</v>
      </c>
      <c r="U94">
        <v>415</v>
      </c>
      <c r="V94">
        <v>187</v>
      </c>
      <c r="W94">
        <v>0.45060240000000001</v>
      </c>
      <c r="X94">
        <v>187</v>
      </c>
      <c r="Y94">
        <v>1</v>
      </c>
      <c r="Z94">
        <v>181</v>
      </c>
      <c r="AA94">
        <v>0.96791439999999995</v>
      </c>
      <c r="AB94">
        <v>109</v>
      </c>
      <c r="AC94">
        <v>0.60220989999999996</v>
      </c>
      <c r="AD94">
        <v>44</v>
      </c>
      <c r="AE94">
        <v>15</v>
      </c>
      <c r="AF94">
        <v>0.34090910000000002</v>
      </c>
      <c r="AG94">
        <v>15</v>
      </c>
      <c r="AH94">
        <v>1</v>
      </c>
      <c r="AI94">
        <v>14</v>
      </c>
      <c r="AJ94">
        <v>0.93333330000000003</v>
      </c>
      <c r="AK94">
        <v>8</v>
      </c>
      <c r="AL94">
        <v>0.57142859999999995</v>
      </c>
      <c r="AM94">
        <v>379</v>
      </c>
      <c r="AN94">
        <v>377</v>
      </c>
      <c r="AO94">
        <v>0.99472300000000002</v>
      </c>
      <c r="AP94">
        <v>140</v>
      </c>
      <c r="AQ94">
        <v>0.37135279999999998</v>
      </c>
      <c r="AR94">
        <v>364</v>
      </c>
      <c r="AS94">
        <v>0.96551719999999996</v>
      </c>
      <c r="AT94">
        <v>149</v>
      </c>
      <c r="AU94">
        <v>0.4093407</v>
      </c>
      <c r="AV94">
        <v>350</v>
      </c>
      <c r="AW94">
        <v>133</v>
      </c>
      <c r="AX94">
        <v>0.38</v>
      </c>
      <c r="AY94">
        <v>133</v>
      </c>
      <c r="AZ94">
        <v>1</v>
      </c>
      <c r="BA94">
        <v>129</v>
      </c>
      <c r="BB94">
        <v>0.96992480000000003</v>
      </c>
      <c r="BC94">
        <v>75</v>
      </c>
      <c r="BD94">
        <v>0.58139529999999995</v>
      </c>
      <c r="BE94">
        <v>29</v>
      </c>
      <c r="BF94">
        <v>7</v>
      </c>
      <c r="BG94">
        <v>0.24137929999999999</v>
      </c>
      <c r="BH94">
        <v>7</v>
      </c>
      <c r="BI94">
        <v>1</v>
      </c>
      <c r="BJ94">
        <v>6</v>
      </c>
      <c r="BK94">
        <v>0.85714290000000004</v>
      </c>
      <c r="BL94">
        <v>1</v>
      </c>
      <c r="BM94">
        <v>0.1666667</v>
      </c>
    </row>
    <row r="95" spans="1:65" x14ac:dyDescent="0.25">
      <c r="A95" t="s">
        <v>308</v>
      </c>
      <c r="B95" t="s">
        <v>309</v>
      </c>
      <c r="C95">
        <v>139</v>
      </c>
      <c r="D95">
        <v>108</v>
      </c>
      <c r="E95">
        <v>0.77697839999999996</v>
      </c>
      <c r="F95">
        <v>42</v>
      </c>
      <c r="G95">
        <v>0.38888889999999998</v>
      </c>
      <c r="H95">
        <v>96</v>
      </c>
      <c r="I95">
        <v>0.88888889999999998</v>
      </c>
      <c r="J95">
        <v>52</v>
      </c>
      <c r="K95">
        <v>0.54166669999999995</v>
      </c>
      <c r="L95">
        <v>50</v>
      </c>
      <c r="M95">
        <v>41</v>
      </c>
      <c r="N95">
        <v>0.82</v>
      </c>
      <c r="O95">
        <v>14</v>
      </c>
      <c r="P95">
        <v>0.34146339999999997</v>
      </c>
      <c r="Q95">
        <v>41</v>
      </c>
      <c r="R95">
        <v>1</v>
      </c>
      <c r="S95">
        <v>24</v>
      </c>
      <c r="T95">
        <v>0.58536589999999999</v>
      </c>
      <c r="U95" t="s">
        <v>127</v>
      </c>
      <c r="V95">
        <v>14</v>
      </c>
      <c r="W95" t="s">
        <v>127</v>
      </c>
      <c r="X95">
        <v>14</v>
      </c>
      <c r="Y95">
        <v>1</v>
      </c>
      <c r="Z95">
        <v>14</v>
      </c>
      <c r="AA95">
        <v>1</v>
      </c>
      <c r="AB95">
        <v>8</v>
      </c>
      <c r="AC95">
        <v>0.57142859999999995</v>
      </c>
      <c r="AD95" t="s">
        <v>127</v>
      </c>
      <c r="AE95">
        <v>0</v>
      </c>
      <c r="AF95" t="s">
        <v>127</v>
      </c>
      <c r="AG95">
        <v>0</v>
      </c>
      <c r="AH95">
        <v>0</v>
      </c>
      <c r="AI95">
        <v>0</v>
      </c>
      <c r="AJ95">
        <v>0</v>
      </c>
      <c r="AK95">
        <v>0</v>
      </c>
      <c r="AL95">
        <v>0</v>
      </c>
      <c r="AM95">
        <v>89</v>
      </c>
      <c r="AN95">
        <v>67</v>
      </c>
      <c r="AO95">
        <v>0.75280899999999995</v>
      </c>
      <c r="AP95">
        <v>28</v>
      </c>
      <c r="AQ95">
        <v>0.41791040000000002</v>
      </c>
      <c r="AR95">
        <v>55</v>
      </c>
      <c r="AS95">
        <v>0.8208955</v>
      </c>
      <c r="AT95">
        <v>28</v>
      </c>
      <c r="AU95">
        <v>0.50909090000000001</v>
      </c>
      <c r="AV95" t="s">
        <v>127</v>
      </c>
      <c r="AW95">
        <v>28</v>
      </c>
      <c r="AX95">
        <v>0.31818180000000001</v>
      </c>
      <c r="AY95" t="s">
        <v>127</v>
      </c>
      <c r="AZ95">
        <v>1</v>
      </c>
      <c r="BA95">
        <v>25</v>
      </c>
      <c r="BB95">
        <v>0.89285709999999996</v>
      </c>
      <c r="BC95">
        <v>11</v>
      </c>
      <c r="BD95">
        <v>0.44</v>
      </c>
      <c r="BE95" t="s">
        <v>127</v>
      </c>
      <c r="BF95">
        <v>0</v>
      </c>
      <c r="BG95" t="s">
        <v>127</v>
      </c>
      <c r="BH95">
        <v>0</v>
      </c>
      <c r="BI95">
        <v>0</v>
      </c>
      <c r="BJ95">
        <v>0</v>
      </c>
      <c r="BK95">
        <v>0</v>
      </c>
      <c r="BL95">
        <v>0</v>
      </c>
      <c r="BM95">
        <v>0</v>
      </c>
    </row>
    <row r="96" spans="1:65" x14ac:dyDescent="0.25">
      <c r="A96" t="s">
        <v>310</v>
      </c>
      <c r="B96" t="s">
        <v>311</v>
      </c>
      <c r="C96">
        <v>586</v>
      </c>
      <c r="D96">
        <v>0</v>
      </c>
      <c r="E96">
        <v>0</v>
      </c>
      <c r="F96">
        <v>0</v>
      </c>
      <c r="G96">
        <v>0</v>
      </c>
      <c r="H96">
        <v>0</v>
      </c>
      <c r="I96">
        <v>0</v>
      </c>
      <c r="J96">
        <v>0</v>
      </c>
      <c r="K96">
        <v>0</v>
      </c>
      <c r="L96">
        <v>206</v>
      </c>
      <c r="M96">
        <v>0</v>
      </c>
      <c r="N96">
        <v>0</v>
      </c>
      <c r="O96">
        <v>0</v>
      </c>
      <c r="P96">
        <v>0</v>
      </c>
      <c r="Q96">
        <v>0</v>
      </c>
      <c r="R96">
        <v>0</v>
      </c>
      <c r="S96">
        <v>0</v>
      </c>
      <c r="T96">
        <v>0</v>
      </c>
      <c r="U96">
        <v>196</v>
      </c>
      <c r="V96">
        <v>0</v>
      </c>
      <c r="W96">
        <v>0</v>
      </c>
      <c r="X96">
        <v>0</v>
      </c>
      <c r="Y96">
        <v>0</v>
      </c>
      <c r="Z96">
        <v>0</v>
      </c>
      <c r="AA96">
        <v>0</v>
      </c>
      <c r="AB96">
        <v>0</v>
      </c>
      <c r="AC96">
        <v>0</v>
      </c>
      <c r="AD96">
        <v>10</v>
      </c>
      <c r="AE96">
        <v>0</v>
      </c>
      <c r="AF96">
        <v>0</v>
      </c>
      <c r="AG96">
        <v>0</v>
      </c>
      <c r="AH96">
        <v>0</v>
      </c>
      <c r="AI96">
        <v>0</v>
      </c>
      <c r="AJ96">
        <v>0</v>
      </c>
      <c r="AK96">
        <v>0</v>
      </c>
      <c r="AL96">
        <v>0</v>
      </c>
      <c r="AM96">
        <v>380</v>
      </c>
      <c r="AN96">
        <v>0</v>
      </c>
      <c r="AO96">
        <v>0</v>
      </c>
      <c r="AP96">
        <v>0</v>
      </c>
      <c r="AQ96">
        <v>0</v>
      </c>
      <c r="AR96">
        <v>0</v>
      </c>
      <c r="AS96">
        <v>0</v>
      </c>
      <c r="AT96">
        <v>0</v>
      </c>
      <c r="AU96">
        <v>0</v>
      </c>
      <c r="AV96">
        <v>367</v>
      </c>
      <c r="AW96">
        <v>0</v>
      </c>
      <c r="AX96">
        <v>0</v>
      </c>
      <c r="AY96">
        <v>0</v>
      </c>
      <c r="AZ96">
        <v>0</v>
      </c>
      <c r="BA96">
        <v>0</v>
      </c>
      <c r="BB96">
        <v>0</v>
      </c>
      <c r="BC96">
        <v>0</v>
      </c>
      <c r="BD96">
        <v>0</v>
      </c>
      <c r="BE96">
        <v>13</v>
      </c>
      <c r="BF96">
        <v>0</v>
      </c>
      <c r="BG96">
        <v>0</v>
      </c>
      <c r="BH96">
        <v>0</v>
      </c>
      <c r="BI96">
        <v>0</v>
      </c>
      <c r="BJ96">
        <v>0</v>
      </c>
      <c r="BK96">
        <v>0</v>
      </c>
      <c r="BL96">
        <v>0</v>
      </c>
      <c r="BM96">
        <v>0</v>
      </c>
    </row>
    <row r="97" spans="1:65" x14ac:dyDescent="0.25">
      <c r="A97" t="s">
        <v>312</v>
      </c>
      <c r="B97" t="s">
        <v>313</v>
      </c>
      <c r="C97">
        <v>1471</v>
      </c>
      <c r="D97">
        <v>733</v>
      </c>
      <c r="E97">
        <v>0.49830049999999998</v>
      </c>
      <c r="F97">
        <v>343</v>
      </c>
      <c r="G97">
        <v>0.46794000000000002</v>
      </c>
      <c r="H97">
        <v>704</v>
      </c>
      <c r="I97">
        <v>0.96043659999999997</v>
      </c>
      <c r="J97">
        <v>454</v>
      </c>
      <c r="K97">
        <v>0.64488639999999997</v>
      </c>
      <c r="L97">
        <v>700</v>
      </c>
      <c r="M97">
        <v>360</v>
      </c>
      <c r="N97">
        <v>0.51428569999999996</v>
      </c>
      <c r="O97">
        <v>167</v>
      </c>
      <c r="P97">
        <v>0.46388889999999999</v>
      </c>
      <c r="Q97">
        <v>354</v>
      </c>
      <c r="R97">
        <v>0.98333329999999997</v>
      </c>
      <c r="S97">
        <v>221</v>
      </c>
      <c r="T97">
        <v>0.62429380000000001</v>
      </c>
      <c r="U97">
        <v>662</v>
      </c>
      <c r="V97" t="s">
        <v>127</v>
      </c>
      <c r="W97" t="s">
        <v>127</v>
      </c>
      <c r="X97" t="s">
        <v>127</v>
      </c>
      <c r="Y97" t="s">
        <v>127</v>
      </c>
      <c r="Z97" t="s">
        <v>127</v>
      </c>
      <c r="AA97" t="s">
        <v>127</v>
      </c>
      <c r="AB97" t="s">
        <v>127</v>
      </c>
      <c r="AC97" t="s">
        <v>127</v>
      </c>
      <c r="AD97">
        <v>38</v>
      </c>
      <c r="AE97" t="s">
        <v>127</v>
      </c>
      <c r="AF97" t="s">
        <v>127</v>
      </c>
      <c r="AG97" t="s">
        <v>127</v>
      </c>
      <c r="AH97" t="s">
        <v>127</v>
      </c>
      <c r="AI97" t="s">
        <v>127</v>
      </c>
      <c r="AJ97" t="s">
        <v>127</v>
      </c>
      <c r="AK97" t="s">
        <v>127</v>
      </c>
      <c r="AL97" t="s">
        <v>127</v>
      </c>
      <c r="AM97">
        <v>771</v>
      </c>
      <c r="AN97">
        <v>373</v>
      </c>
      <c r="AO97">
        <v>0.48378729999999998</v>
      </c>
      <c r="AP97">
        <v>176</v>
      </c>
      <c r="AQ97">
        <v>0.47184989999999999</v>
      </c>
      <c r="AR97">
        <v>350</v>
      </c>
      <c r="AS97">
        <v>0.9383378</v>
      </c>
      <c r="AT97">
        <v>233</v>
      </c>
      <c r="AU97">
        <v>0.66571429999999998</v>
      </c>
      <c r="AV97">
        <v>748</v>
      </c>
      <c r="AW97" t="s">
        <v>127</v>
      </c>
      <c r="AX97" t="s">
        <v>127</v>
      </c>
      <c r="AY97" t="s">
        <v>127</v>
      </c>
      <c r="AZ97" t="s">
        <v>127</v>
      </c>
      <c r="BA97" t="s">
        <v>127</v>
      </c>
      <c r="BB97" t="s">
        <v>127</v>
      </c>
      <c r="BC97" t="s">
        <v>127</v>
      </c>
      <c r="BD97" t="s">
        <v>127</v>
      </c>
      <c r="BE97">
        <v>23</v>
      </c>
      <c r="BF97" t="s">
        <v>127</v>
      </c>
      <c r="BG97" t="s">
        <v>127</v>
      </c>
      <c r="BH97" t="s">
        <v>127</v>
      </c>
      <c r="BI97" t="s">
        <v>127</v>
      </c>
      <c r="BJ97" t="s">
        <v>127</v>
      </c>
      <c r="BK97" t="s">
        <v>127</v>
      </c>
      <c r="BL97" t="s">
        <v>127</v>
      </c>
      <c r="BM97" t="s">
        <v>127</v>
      </c>
    </row>
    <row r="98" spans="1:65" x14ac:dyDescent="0.25">
      <c r="A98" t="s">
        <v>314</v>
      </c>
      <c r="B98" t="s">
        <v>315</v>
      </c>
      <c r="C98">
        <v>18</v>
      </c>
      <c r="D98">
        <v>0</v>
      </c>
      <c r="E98">
        <v>0</v>
      </c>
      <c r="F98">
        <v>0</v>
      </c>
      <c r="G98">
        <v>0</v>
      </c>
      <c r="H98">
        <v>0</v>
      </c>
      <c r="I98">
        <v>0</v>
      </c>
      <c r="J98">
        <v>0</v>
      </c>
      <c r="K98">
        <v>0</v>
      </c>
      <c r="L98">
        <v>10</v>
      </c>
      <c r="M98">
        <v>0</v>
      </c>
      <c r="N98">
        <v>0</v>
      </c>
      <c r="O98">
        <v>0</v>
      </c>
      <c r="P98">
        <v>0</v>
      </c>
      <c r="Q98">
        <v>0</v>
      </c>
      <c r="R98">
        <v>0</v>
      </c>
      <c r="S98">
        <v>0</v>
      </c>
      <c r="T98">
        <v>0</v>
      </c>
      <c r="U98">
        <v>10</v>
      </c>
      <c r="V98">
        <v>0</v>
      </c>
      <c r="W98">
        <v>0</v>
      </c>
      <c r="X98">
        <v>0</v>
      </c>
      <c r="Y98">
        <v>0</v>
      </c>
      <c r="Z98">
        <v>0</v>
      </c>
      <c r="AA98">
        <v>0</v>
      </c>
      <c r="AB98">
        <v>0</v>
      </c>
      <c r="AC98">
        <v>0</v>
      </c>
      <c r="AD98">
        <v>0</v>
      </c>
      <c r="AE98">
        <v>0</v>
      </c>
      <c r="AF98">
        <v>0</v>
      </c>
      <c r="AG98">
        <v>0</v>
      </c>
      <c r="AH98">
        <v>0</v>
      </c>
      <c r="AI98">
        <v>0</v>
      </c>
      <c r="AJ98">
        <v>0</v>
      </c>
      <c r="AK98">
        <v>0</v>
      </c>
      <c r="AL98">
        <v>0</v>
      </c>
      <c r="AM98">
        <v>8</v>
      </c>
      <c r="AN98">
        <v>0</v>
      </c>
      <c r="AO98">
        <v>0</v>
      </c>
      <c r="AP98">
        <v>0</v>
      </c>
      <c r="AQ98">
        <v>0</v>
      </c>
      <c r="AR98">
        <v>0</v>
      </c>
      <c r="AS98">
        <v>0</v>
      </c>
      <c r="AT98">
        <v>0</v>
      </c>
      <c r="AU98">
        <v>0</v>
      </c>
      <c r="AV98">
        <v>8</v>
      </c>
      <c r="AW98">
        <v>0</v>
      </c>
      <c r="AX98">
        <v>0</v>
      </c>
      <c r="AY98">
        <v>0</v>
      </c>
      <c r="AZ98">
        <v>0</v>
      </c>
      <c r="BA98">
        <v>0</v>
      </c>
      <c r="BB98">
        <v>0</v>
      </c>
      <c r="BC98">
        <v>0</v>
      </c>
      <c r="BD98">
        <v>0</v>
      </c>
      <c r="BE98">
        <v>0</v>
      </c>
      <c r="BF98">
        <v>0</v>
      </c>
      <c r="BG98">
        <v>0</v>
      </c>
      <c r="BH98">
        <v>0</v>
      </c>
      <c r="BI98">
        <v>0</v>
      </c>
      <c r="BJ98">
        <v>0</v>
      </c>
      <c r="BK98">
        <v>0</v>
      </c>
      <c r="BL98">
        <v>0</v>
      </c>
      <c r="BM98">
        <v>0</v>
      </c>
    </row>
    <row r="99" spans="1:65" x14ac:dyDescent="0.25">
      <c r="A99" t="s">
        <v>316</v>
      </c>
      <c r="B99" t="s">
        <v>317</v>
      </c>
      <c r="C99">
        <v>737</v>
      </c>
      <c r="D99">
        <v>596</v>
      </c>
      <c r="E99">
        <v>0.80868390000000001</v>
      </c>
      <c r="F99">
        <v>414</v>
      </c>
      <c r="G99">
        <v>0.69463090000000005</v>
      </c>
      <c r="H99">
        <v>569</v>
      </c>
      <c r="I99">
        <v>0.95469800000000005</v>
      </c>
      <c r="J99">
        <v>308</v>
      </c>
      <c r="K99">
        <v>0.54130049999999996</v>
      </c>
      <c r="L99">
        <v>338</v>
      </c>
      <c r="M99">
        <v>278</v>
      </c>
      <c r="N99">
        <v>0.82248520000000003</v>
      </c>
      <c r="O99">
        <v>182</v>
      </c>
      <c r="P99">
        <v>0.65467629999999999</v>
      </c>
      <c r="Q99">
        <v>267</v>
      </c>
      <c r="R99">
        <v>0.9604317</v>
      </c>
      <c r="S99">
        <v>145</v>
      </c>
      <c r="T99">
        <v>0.54307119999999998</v>
      </c>
      <c r="U99">
        <v>320</v>
      </c>
      <c r="V99">
        <v>176</v>
      </c>
      <c r="W99">
        <v>0.55000000000000004</v>
      </c>
      <c r="X99">
        <v>176</v>
      </c>
      <c r="Y99">
        <v>1</v>
      </c>
      <c r="Z99">
        <v>173</v>
      </c>
      <c r="AA99">
        <v>0.98295449999999995</v>
      </c>
      <c r="AB99">
        <v>103</v>
      </c>
      <c r="AC99">
        <v>0.59537569999999995</v>
      </c>
      <c r="AD99">
        <v>18</v>
      </c>
      <c r="AE99">
        <v>6</v>
      </c>
      <c r="AF99">
        <v>0.3333333</v>
      </c>
      <c r="AG99">
        <v>6</v>
      </c>
      <c r="AH99">
        <v>1</v>
      </c>
      <c r="AI99">
        <v>6</v>
      </c>
      <c r="AJ99">
        <v>1</v>
      </c>
      <c r="AK99">
        <v>3</v>
      </c>
      <c r="AL99">
        <v>0.5</v>
      </c>
      <c r="AM99">
        <v>399</v>
      </c>
      <c r="AN99">
        <v>318</v>
      </c>
      <c r="AO99">
        <v>0.79699249999999999</v>
      </c>
      <c r="AP99">
        <v>232</v>
      </c>
      <c r="AQ99">
        <v>0.72955970000000003</v>
      </c>
      <c r="AR99">
        <v>302</v>
      </c>
      <c r="AS99">
        <v>0.94968549999999996</v>
      </c>
      <c r="AT99">
        <v>163</v>
      </c>
      <c r="AU99">
        <v>0.53973510000000002</v>
      </c>
      <c r="AV99">
        <v>373</v>
      </c>
      <c r="AW99">
        <v>220</v>
      </c>
      <c r="AX99">
        <v>0.58981229999999996</v>
      </c>
      <c r="AY99">
        <v>220</v>
      </c>
      <c r="AZ99">
        <v>1</v>
      </c>
      <c r="BA99">
        <v>212</v>
      </c>
      <c r="BB99">
        <v>0.96363639999999995</v>
      </c>
      <c r="BC99">
        <v>116</v>
      </c>
      <c r="BD99">
        <v>0.54716980000000004</v>
      </c>
      <c r="BE99">
        <v>26</v>
      </c>
      <c r="BF99">
        <v>12</v>
      </c>
      <c r="BG99">
        <v>0.46153850000000002</v>
      </c>
      <c r="BH99">
        <v>12</v>
      </c>
      <c r="BI99">
        <v>1</v>
      </c>
      <c r="BJ99">
        <v>10</v>
      </c>
      <c r="BK99">
        <v>0.83333330000000005</v>
      </c>
      <c r="BL99">
        <v>6</v>
      </c>
      <c r="BM99">
        <v>0.6</v>
      </c>
    </row>
    <row r="100" spans="1:65" x14ac:dyDescent="0.25">
      <c r="A100" t="s">
        <v>318</v>
      </c>
      <c r="B100" t="s">
        <v>319</v>
      </c>
      <c r="C100">
        <v>165</v>
      </c>
      <c r="D100">
        <v>71</v>
      </c>
      <c r="E100">
        <v>0.43030299999999999</v>
      </c>
      <c r="F100">
        <v>52</v>
      </c>
      <c r="G100">
        <v>0.7323944</v>
      </c>
      <c r="H100">
        <v>70</v>
      </c>
      <c r="I100">
        <v>0.98591549999999994</v>
      </c>
      <c r="J100">
        <v>51</v>
      </c>
      <c r="K100">
        <v>0.72857139999999998</v>
      </c>
      <c r="L100">
        <v>83</v>
      </c>
      <c r="M100">
        <v>38</v>
      </c>
      <c r="N100">
        <v>0.4578313</v>
      </c>
      <c r="O100">
        <v>25</v>
      </c>
      <c r="P100">
        <v>0.65789470000000005</v>
      </c>
      <c r="Q100">
        <v>38</v>
      </c>
      <c r="R100">
        <v>1</v>
      </c>
      <c r="S100">
        <v>29</v>
      </c>
      <c r="T100">
        <v>0.76315789999999994</v>
      </c>
      <c r="U100">
        <v>83</v>
      </c>
      <c r="V100">
        <v>25</v>
      </c>
      <c r="W100">
        <v>0.30120479999999999</v>
      </c>
      <c r="X100">
        <v>25</v>
      </c>
      <c r="Y100">
        <v>1</v>
      </c>
      <c r="Z100">
        <v>25</v>
      </c>
      <c r="AA100">
        <v>1</v>
      </c>
      <c r="AB100">
        <v>17</v>
      </c>
      <c r="AC100">
        <v>0.68</v>
      </c>
      <c r="AD100">
        <v>0</v>
      </c>
      <c r="AE100">
        <v>0</v>
      </c>
      <c r="AF100">
        <v>0</v>
      </c>
      <c r="AG100">
        <v>0</v>
      </c>
      <c r="AH100">
        <v>0</v>
      </c>
      <c r="AI100">
        <v>0</v>
      </c>
      <c r="AJ100">
        <v>0</v>
      </c>
      <c r="AK100">
        <v>0</v>
      </c>
      <c r="AL100">
        <v>0</v>
      </c>
      <c r="AM100">
        <v>82</v>
      </c>
      <c r="AN100">
        <v>33</v>
      </c>
      <c r="AO100">
        <v>0.40243899999999999</v>
      </c>
      <c r="AP100">
        <v>27</v>
      </c>
      <c r="AQ100">
        <v>0.81818179999999996</v>
      </c>
      <c r="AR100">
        <v>32</v>
      </c>
      <c r="AS100">
        <v>0.96969700000000003</v>
      </c>
      <c r="AT100">
        <v>22</v>
      </c>
      <c r="AU100">
        <v>0.6875</v>
      </c>
      <c r="AV100">
        <v>82</v>
      </c>
      <c r="AW100">
        <v>27</v>
      </c>
      <c r="AX100">
        <v>0.32926830000000001</v>
      </c>
      <c r="AY100">
        <v>27</v>
      </c>
      <c r="AZ100">
        <v>1</v>
      </c>
      <c r="BA100">
        <v>26</v>
      </c>
      <c r="BB100">
        <v>0.96296300000000001</v>
      </c>
      <c r="BC100">
        <v>17</v>
      </c>
      <c r="BD100">
        <v>0.65384620000000004</v>
      </c>
      <c r="BE100">
        <v>0</v>
      </c>
      <c r="BF100">
        <v>0</v>
      </c>
      <c r="BG100">
        <v>0</v>
      </c>
      <c r="BH100">
        <v>0</v>
      </c>
      <c r="BI100">
        <v>0</v>
      </c>
      <c r="BJ100">
        <v>0</v>
      </c>
      <c r="BK100">
        <v>0</v>
      </c>
      <c r="BL100">
        <v>0</v>
      </c>
      <c r="BM100">
        <v>0</v>
      </c>
    </row>
    <row r="101" spans="1:65" x14ac:dyDescent="0.25">
      <c r="A101" t="s">
        <v>320</v>
      </c>
      <c r="B101" t="s">
        <v>321</v>
      </c>
      <c r="C101">
        <v>414</v>
      </c>
      <c r="D101">
        <v>360</v>
      </c>
      <c r="E101">
        <v>0.86956520000000004</v>
      </c>
      <c r="F101">
        <v>199</v>
      </c>
      <c r="G101">
        <v>0.55277779999999999</v>
      </c>
      <c r="H101">
        <v>350</v>
      </c>
      <c r="I101">
        <v>0.97222220000000004</v>
      </c>
      <c r="J101">
        <v>188</v>
      </c>
      <c r="K101">
        <v>0.53714289999999998</v>
      </c>
      <c r="L101">
        <v>204</v>
      </c>
      <c r="M101">
        <v>179</v>
      </c>
      <c r="N101">
        <v>0.87745099999999998</v>
      </c>
      <c r="O101">
        <v>96</v>
      </c>
      <c r="P101">
        <v>0.53631280000000003</v>
      </c>
      <c r="Q101">
        <v>174</v>
      </c>
      <c r="R101">
        <v>0.97206700000000001</v>
      </c>
      <c r="S101">
        <v>95</v>
      </c>
      <c r="T101">
        <v>0.54597700000000005</v>
      </c>
      <c r="U101">
        <v>198</v>
      </c>
      <c r="V101" t="s">
        <v>127</v>
      </c>
      <c r="W101" t="s">
        <v>127</v>
      </c>
      <c r="X101" t="s">
        <v>127</v>
      </c>
      <c r="Y101" t="s">
        <v>127</v>
      </c>
      <c r="Z101" t="s">
        <v>127</v>
      </c>
      <c r="AA101" t="s">
        <v>127</v>
      </c>
      <c r="AB101" t="s">
        <v>127</v>
      </c>
      <c r="AC101" t="s">
        <v>127</v>
      </c>
      <c r="AD101">
        <v>6</v>
      </c>
      <c r="AE101" t="s">
        <v>127</v>
      </c>
      <c r="AF101" t="s">
        <v>127</v>
      </c>
      <c r="AG101" t="s">
        <v>127</v>
      </c>
      <c r="AH101" t="s">
        <v>127</v>
      </c>
      <c r="AI101" t="s">
        <v>127</v>
      </c>
      <c r="AJ101" t="s">
        <v>127</v>
      </c>
      <c r="AK101" t="s">
        <v>127</v>
      </c>
      <c r="AL101" t="s">
        <v>127</v>
      </c>
      <c r="AM101">
        <v>210</v>
      </c>
      <c r="AN101">
        <v>181</v>
      </c>
      <c r="AO101">
        <v>0.86190480000000003</v>
      </c>
      <c r="AP101">
        <v>103</v>
      </c>
      <c r="AQ101">
        <v>0.56906080000000003</v>
      </c>
      <c r="AR101">
        <v>176</v>
      </c>
      <c r="AS101">
        <v>0.97237569999999995</v>
      </c>
      <c r="AT101">
        <v>93</v>
      </c>
      <c r="AU101">
        <v>0.52840909999999996</v>
      </c>
      <c r="AV101">
        <v>197</v>
      </c>
      <c r="AW101" t="s">
        <v>127</v>
      </c>
      <c r="AX101" t="s">
        <v>127</v>
      </c>
      <c r="AY101" t="s">
        <v>127</v>
      </c>
      <c r="AZ101" t="s">
        <v>127</v>
      </c>
      <c r="BA101" t="s">
        <v>127</v>
      </c>
      <c r="BB101" t="s">
        <v>127</v>
      </c>
      <c r="BC101" t="s">
        <v>127</v>
      </c>
      <c r="BD101" t="s">
        <v>127</v>
      </c>
      <c r="BE101">
        <v>13</v>
      </c>
      <c r="BF101" t="s">
        <v>127</v>
      </c>
      <c r="BG101" t="s">
        <v>127</v>
      </c>
      <c r="BH101" t="s">
        <v>127</v>
      </c>
      <c r="BI101" t="s">
        <v>127</v>
      </c>
      <c r="BJ101" t="s">
        <v>127</v>
      </c>
      <c r="BK101" t="s">
        <v>127</v>
      </c>
      <c r="BL101" t="s">
        <v>127</v>
      </c>
      <c r="BM101" t="s">
        <v>127</v>
      </c>
    </row>
    <row r="102" spans="1:65" x14ac:dyDescent="0.25">
      <c r="A102" t="s">
        <v>322</v>
      </c>
      <c r="B102" t="s">
        <v>323</v>
      </c>
      <c r="C102">
        <v>314</v>
      </c>
      <c r="D102">
        <v>42</v>
      </c>
      <c r="E102">
        <v>0.13375799999999999</v>
      </c>
      <c r="F102">
        <v>20</v>
      </c>
      <c r="G102">
        <v>0.47619050000000002</v>
      </c>
      <c r="H102">
        <v>39</v>
      </c>
      <c r="I102">
        <v>0.92857140000000005</v>
      </c>
      <c r="J102">
        <v>23</v>
      </c>
      <c r="K102">
        <v>0.58974360000000003</v>
      </c>
      <c r="L102">
        <v>129</v>
      </c>
      <c r="M102">
        <v>20</v>
      </c>
      <c r="N102">
        <v>0.1550388</v>
      </c>
      <c r="O102">
        <v>10</v>
      </c>
      <c r="P102">
        <v>0.5</v>
      </c>
      <c r="Q102">
        <v>20</v>
      </c>
      <c r="R102">
        <v>1</v>
      </c>
      <c r="S102">
        <v>13</v>
      </c>
      <c r="T102">
        <v>0.65</v>
      </c>
      <c r="U102">
        <v>129</v>
      </c>
      <c r="V102">
        <v>10</v>
      </c>
      <c r="W102">
        <v>7.7519400000000002E-2</v>
      </c>
      <c r="X102">
        <v>10</v>
      </c>
      <c r="Y102">
        <v>1</v>
      </c>
      <c r="Z102">
        <v>10</v>
      </c>
      <c r="AA102">
        <v>1</v>
      </c>
      <c r="AB102">
        <v>6</v>
      </c>
      <c r="AC102">
        <v>0.6</v>
      </c>
      <c r="AD102">
        <v>0</v>
      </c>
      <c r="AE102">
        <v>0</v>
      </c>
      <c r="AF102">
        <v>0</v>
      </c>
      <c r="AG102">
        <v>0</v>
      </c>
      <c r="AH102">
        <v>0</v>
      </c>
      <c r="AI102">
        <v>0</v>
      </c>
      <c r="AJ102">
        <v>0</v>
      </c>
      <c r="AK102">
        <v>0</v>
      </c>
      <c r="AL102">
        <v>0</v>
      </c>
      <c r="AM102">
        <v>185</v>
      </c>
      <c r="AN102">
        <v>22</v>
      </c>
      <c r="AO102">
        <v>0.11891889999999999</v>
      </c>
      <c r="AP102">
        <v>10</v>
      </c>
      <c r="AQ102">
        <v>0.45454549999999999</v>
      </c>
      <c r="AR102">
        <v>19</v>
      </c>
      <c r="AS102">
        <v>0.86363639999999997</v>
      </c>
      <c r="AT102">
        <v>10</v>
      </c>
      <c r="AU102">
        <v>0.5263158</v>
      </c>
      <c r="AV102" t="s">
        <v>127</v>
      </c>
      <c r="AW102">
        <v>10</v>
      </c>
      <c r="AX102">
        <v>5.46448E-2</v>
      </c>
      <c r="AY102" t="s">
        <v>127</v>
      </c>
      <c r="AZ102">
        <v>1</v>
      </c>
      <c r="BA102">
        <v>9</v>
      </c>
      <c r="BB102">
        <v>0.9</v>
      </c>
      <c r="BC102">
        <v>7</v>
      </c>
      <c r="BD102">
        <v>0.77777779999999996</v>
      </c>
      <c r="BE102" t="s">
        <v>127</v>
      </c>
      <c r="BF102">
        <v>0</v>
      </c>
      <c r="BG102" t="s">
        <v>127</v>
      </c>
      <c r="BH102">
        <v>0</v>
      </c>
      <c r="BI102">
        <v>0</v>
      </c>
      <c r="BJ102">
        <v>0</v>
      </c>
      <c r="BK102">
        <v>0</v>
      </c>
      <c r="BL102">
        <v>0</v>
      </c>
      <c r="BM102">
        <v>0</v>
      </c>
    </row>
    <row r="103" spans="1:65" x14ac:dyDescent="0.25">
      <c r="A103" t="s">
        <v>324</v>
      </c>
      <c r="B103" t="s">
        <v>325</v>
      </c>
      <c r="C103">
        <v>1342</v>
      </c>
      <c r="D103">
        <v>839</v>
      </c>
      <c r="E103">
        <v>0.62518629999999997</v>
      </c>
      <c r="F103">
        <v>516</v>
      </c>
      <c r="G103">
        <v>0.61501790000000001</v>
      </c>
      <c r="H103">
        <v>813</v>
      </c>
      <c r="I103">
        <v>0.9690107</v>
      </c>
      <c r="J103">
        <v>430</v>
      </c>
      <c r="K103">
        <v>0.52890530000000002</v>
      </c>
      <c r="L103">
        <v>641</v>
      </c>
      <c r="M103">
        <v>388</v>
      </c>
      <c r="N103">
        <v>0.60530419999999996</v>
      </c>
      <c r="O103">
        <v>236</v>
      </c>
      <c r="P103">
        <v>0.60824739999999999</v>
      </c>
      <c r="Q103">
        <v>378</v>
      </c>
      <c r="R103">
        <v>0.97422679999999995</v>
      </c>
      <c r="S103">
        <v>201</v>
      </c>
      <c r="T103">
        <v>0.53174600000000005</v>
      </c>
      <c r="U103">
        <v>591</v>
      </c>
      <c r="V103">
        <v>227</v>
      </c>
      <c r="W103">
        <v>0.38409480000000001</v>
      </c>
      <c r="X103">
        <v>227</v>
      </c>
      <c r="Y103">
        <v>1</v>
      </c>
      <c r="Z103">
        <v>222</v>
      </c>
      <c r="AA103">
        <v>0.9779736</v>
      </c>
      <c r="AB103">
        <v>133</v>
      </c>
      <c r="AC103">
        <v>0.5990991</v>
      </c>
      <c r="AD103">
        <v>50</v>
      </c>
      <c r="AE103">
        <v>9</v>
      </c>
      <c r="AF103">
        <v>0.18</v>
      </c>
      <c r="AG103">
        <v>9</v>
      </c>
      <c r="AH103">
        <v>1</v>
      </c>
      <c r="AI103">
        <v>9</v>
      </c>
      <c r="AJ103">
        <v>1</v>
      </c>
      <c r="AK103">
        <v>3</v>
      </c>
      <c r="AL103">
        <v>0.3333333</v>
      </c>
      <c r="AM103">
        <v>701</v>
      </c>
      <c r="AN103">
        <v>451</v>
      </c>
      <c r="AO103">
        <v>0.64336660000000001</v>
      </c>
      <c r="AP103">
        <v>280</v>
      </c>
      <c r="AQ103">
        <v>0.62084260000000002</v>
      </c>
      <c r="AR103">
        <v>435</v>
      </c>
      <c r="AS103">
        <v>0.96452329999999997</v>
      </c>
      <c r="AT103">
        <v>229</v>
      </c>
      <c r="AU103">
        <v>0.52643680000000004</v>
      </c>
      <c r="AV103">
        <v>654</v>
      </c>
      <c r="AW103">
        <v>265</v>
      </c>
      <c r="AX103">
        <v>0.40519880000000003</v>
      </c>
      <c r="AY103">
        <v>265</v>
      </c>
      <c r="AZ103">
        <v>1</v>
      </c>
      <c r="BA103">
        <v>256</v>
      </c>
      <c r="BB103">
        <v>0.9660377</v>
      </c>
      <c r="BC103">
        <v>149</v>
      </c>
      <c r="BD103">
        <v>0.58203130000000003</v>
      </c>
      <c r="BE103">
        <v>47</v>
      </c>
      <c r="BF103">
        <v>15</v>
      </c>
      <c r="BG103">
        <v>0.31914890000000001</v>
      </c>
      <c r="BH103">
        <v>15</v>
      </c>
      <c r="BI103">
        <v>1</v>
      </c>
      <c r="BJ103">
        <v>15</v>
      </c>
      <c r="BK103">
        <v>1</v>
      </c>
      <c r="BL103">
        <v>4</v>
      </c>
      <c r="BM103">
        <v>0.26666669999999998</v>
      </c>
    </row>
    <row r="104" spans="1:65" x14ac:dyDescent="0.25">
      <c r="A104" t="s">
        <v>326</v>
      </c>
      <c r="B104" t="s">
        <v>327</v>
      </c>
      <c r="C104">
        <v>534</v>
      </c>
      <c r="D104">
        <v>405</v>
      </c>
      <c r="E104">
        <v>0.75842699999999996</v>
      </c>
      <c r="F104">
        <v>332</v>
      </c>
      <c r="G104">
        <v>0.81975310000000001</v>
      </c>
      <c r="H104">
        <v>395</v>
      </c>
      <c r="I104">
        <v>0.97530859999999997</v>
      </c>
      <c r="J104">
        <v>254</v>
      </c>
      <c r="K104">
        <v>0.643038</v>
      </c>
      <c r="L104">
        <v>285</v>
      </c>
      <c r="M104">
        <v>210</v>
      </c>
      <c r="N104">
        <v>0.73684210000000006</v>
      </c>
      <c r="O104">
        <v>167</v>
      </c>
      <c r="P104">
        <v>0.79523809999999995</v>
      </c>
      <c r="Q104">
        <v>206</v>
      </c>
      <c r="R104">
        <v>0.98095239999999995</v>
      </c>
      <c r="S104">
        <v>145</v>
      </c>
      <c r="T104">
        <v>0.7038835</v>
      </c>
      <c r="U104">
        <v>271</v>
      </c>
      <c r="V104" t="s">
        <v>127</v>
      </c>
      <c r="W104" t="s">
        <v>127</v>
      </c>
      <c r="X104" t="s">
        <v>127</v>
      </c>
      <c r="Y104" t="s">
        <v>127</v>
      </c>
      <c r="Z104" t="s">
        <v>127</v>
      </c>
      <c r="AA104" t="s">
        <v>127</v>
      </c>
      <c r="AB104" t="s">
        <v>127</v>
      </c>
      <c r="AC104" t="s">
        <v>127</v>
      </c>
      <c r="AD104">
        <v>14</v>
      </c>
      <c r="AE104" t="s">
        <v>127</v>
      </c>
      <c r="AF104" t="s">
        <v>127</v>
      </c>
      <c r="AG104" t="s">
        <v>127</v>
      </c>
      <c r="AH104" t="s">
        <v>127</v>
      </c>
      <c r="AI104" t="s">
        <v>127</v>
      </c>
      <c r="AJ104" t="s">
        <v>127</v>
      </c>
      <c r="AK104" t="s">
        <v>127</v>
      </c>
      <c r="AL104" t="s">
        <v>127</v>
      </c>
      <c r="AM104">
        <v>249</v>
      </c>
      <c r="AN104">
        <v>195</v>
      </c>
      <c r="AO104">
        <v>0.78313250000000001</v>
      </c>
      <c r="AP104">
        <v>165</v>
      </c>
      <c r="AQ104">
        <v>0.84615379999999996</v>
      </c>
      <c r="AR104">
        <v>189</v>
      </c>
      <c r="AS104">
        <v>0.96923079999999995</v>
      </c>
      <c r="AT104">
        <v>109</v>
      </c>
      <c r="AU104">
        <v>0.5767196</v>
      </c>
      <c r="AV104">
        <v>241</v>
      </c>
      <c r="AW104" t="s">
        <v>127</v>
      </c>
      <c r="AX104" t="s">
        <v>127</v>
      </c>
      <c r="AY104" t="s">
        <v>127</v>
      </c>
      <c r="AZ104" t="s">
        <v>127</v>
      </c>
      <c r="BA104" t="s">
        <v>127</v>
      </c>
      <c r="BB104" t="s">
        <v>127</v>
      </c>
      <c r="BC104" t="s">
        <v>127</v>
      </c>
      <c r="BD104" t="s">
        <v>127</v>
      </c>
      <c r="BE104">
        <v>8</v>
      </c>
      <c r="BF104" t="s">
        <v>127</v>
      </c>
      <c r="BG104" t="s">
        <v>127</v>
      </c>
      <c r="BH104" t="s">
        <v>127</v>
      </c>
      <c r="BI104" t="s">
        <v>127</v>
      </c>
      <c r="BJ104" t="s">
        <v>127</v>
      </c>
      <c r="BK104" t="s">
        <v>127</v>
      </c>
      <c r="BL104" t="s">
        <v>127</v>
      </c>
      <c r="BM104" t="s">
        <v>127</v>
      </c>
    </row>
    <row r="105" spans="1:65" x14ac:dyDescent="0.25">
      <c r="A105" t="s">
        <v>328</v>
      </c>
      <c r="B105" t="s">
        <v>329</v>
      </c>
      <c r="C105">
        <v>0</v>
      </c>
      <c r="D105">
        <v>50</v>
      </c>
      <c r="E105">
        <v>0</v>
      </c>
      <c r="F105">
        <v>0</v>
      </c>
      <c r="G105">
        <v>0</v>
      </c>
      <c r="H105">
        <v>50</v>
      </c>
      <c r="I105">
        <v>1</v>
      </c>
      <c r="J105">
        <v>32</v>
      </c>
      <c r="K105">
        <v>0.64</v>
      </c>
      <c r="L105">
        <v>0</v>
      </c>
      <c r="M105">
        <v>26</v>
      </c>
      <c r="N105">
        <v>0</v>
      </c>
      <c r="O105">
        <v>0</v>
      </c>
      <c r="P105">
        <v>0</v>
      </c>
      <c r="Q105">
        <v>26</v>
      </c>
      <c r="R105">
        <v>1</v>
      </c>
      <c r="S105">
        <v>16</v>
      </c>
      <c r="T105">
        <v>0.61538459999999995</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24</v>
      </c>
      <c r="AO105">
        <v>0</v>
      </c>
      <c r="AP105">
        <v>0</v>
      </c>
      <c r="AQ105">
        <v>0</v>
      </c>
      <c r="AR105">
        <v>24</v>
      </c>
      <c r="AS105">
        <v>1</v>
      </c>
      <c r="AT105">
        <v>16</v>
      </c>
      <c r="AU105">
        <v>0.66666669999999995</v>
      </c>
      <c r="AV105">
        <v>0</v>
      </c>
      <c r="AW105">
        <v>0</v>
      </c>
      <c r="AX105">
        <v>0</v>
      </c>
      <c r="AY105">
        <v>0</v>
      </c>
      <c r="AZ105">
        <v>0</v>
      </c>
      <c r="BA105">
        <v>0</v>
      </c>
      <c r="BB105">
        <v>0</v>
      </c>
      <c r="BC105">
        <v>0</v>
      </c>
      <c r="BD105">
        <v>0</v>
      </c>
      <c r="BE105">
        <v>0</v>
      </c>
      <c r="BF105">
        <v>0</v>
      </c>
      <c r="BG105">
        <v>0</v>
      </c>
      <c r="BH105">
        <v>0</v>
      </c>
      <c r="BI105">
        <v>0</v>
      </c>
      <c r="BJ105">
        <v>0</v>
      </c>
      <c r="BK105">
        <v>0</v>
      </c>
      <c r="BL105">
        <v>0</v>
      </c>
      <c r="BM105">
        <v>0</v>
      </c>
    </row>
    <row r="106" spans="1:65" x14ac:dyDescent="0.25">
      <c r="A106" t="s">
        <v>330</v>
      </c>
      <c r="B106" t="s">
        <v>331</v>
      </c>
      <c r="C106">
        <v>875</v>
      </c>
      <c r="D106">
        <v>882</v>
      </c>
      <c r="E106">
        <v>1.008</v>
      </c>
      <c r="F106">
        <v>697</v>
      </c>
      <c r="G106">
        <v>0.79024939999999999</v>
      </c>
      <c r="H106">
        <v>850</v>
      </c>
      <c r="I106">
        <v>0.96371879999999999</v>
      </c>
      <c r="J106">
        <v>509</v>
      </c>
      <c r="K106">
        <v>0.59882349999999995</v>
      </c>
      <c r="L106">
        <v>387</v>
      </c>
      <c r="M106">
        <v>379</v>
      </c>
      <c r="N106">
        <v>0.97932819999999998</v>
      </c>
      <c r="O106">
        <v>318</v>
      </c>
      <c r="P106">
        <v>0.83905010000000002</v>
      </c>
      <c r="Q106">
        <v>370</v>
      </c>
      <c r="R106">
        <v>0.97625329999999999</v>
      </c>
      <c r="S106">
        <v>226</v>
      </c>
      <c r="T106">
        <v>0.61081079999999999</v>
      </c>
      <c r="U106">
        <v>357</v>
      </c>
      <c r="V106">
        <v>295</v>
      </c>
      <c r="W106">
        <v>0.82633049999999997</v>
      </c>
      <c r="X106">
        <v>295</v>
      </c>
      <c r="Y106">
        <v>1</v>
      </c>
      <c r="Z106">
        <v>289</v>
      </c>
      <c r="AA106">
        <v>0.979661</v>
      </c>
      <c r="AB106">
        <v>179</v>
      </c>
      <c r="AC106">
        <v>0.61937719999999996</v>
      </c>
      <c r="AD106">
        <v>30</v>
      </c>
      <c r="AE106">
        <v>23</v>
      </c>
      <c r="AF106">
        <v>0.76666670000000003</v>
      </c>
      <c r="AG106">
        <v>23</v>
      </c>
      <c r="AH106">
        <v>1</v>
      </c>
      <c r="AI106">
        <v>22</v>
      </c>
      <c r="AJ106">
        <v>0.95652170000000003</v>
      </c>
      <c r="AK106">
        <v>14</v>
      </c>
      <c r="AL106">
        <v>0.63636360000000003</v>
      </c>
      <c r="AM106">
        <v>488</v>
      </c>
      <c r="AN106">
        <v>503</v>
      </c>
      <c r="AO106">
        <v>1.0307377</v>
      </c>
      <c r="AP106">
        <v>379</v>
      </c>
      <c r="AQ106">
        <v>0.75347909999999996</v>
      </c>
      <c r="AR106">
        <v>480</v>
      </c>
      <c r="AS106">
        <v>0.95427439999999997</v>
      </c>
      <c r="AT106">
        <v>283</v>
      </c>
      <c r="AU106">
        <v>0.58958330000000003</v>
      </c>
      <c r="AV106">
        <v>434</v>
      </c>
      <c r="AW106">
        <v>339</v>
      </c>
      <c r="AX106">
        <v>0.78110599999999997</v>
      </c>
      <c r="AY106">
        <v>339</v>
      </c>
      <c r="AZ106">
        <v>1</v>
      </c>
      <c r="BA106">
        <v>319</v>
      </c>
      <c r="BB106">
        <v>0.94100289999999998</v>
      </c>
      <c r="BC106">
        <v>186</v>
      </c>
      <c r="BD106">
        <v>0.58307209999999998</v>
      </c>
      <c r="BE106">
        <v>54</v>
      </c>
      <c r="BF106">
        <v>40</v>
      </c>
      <c r="BG106">
        <v>0.74074070000000003</v>
      </c>
      <c r="BH106">
        <v>40</v>
      </c>
      <c r="BI106">
        <v>1</v>
      </c>
      <c r="BJ106">
        <v>39</v>
      </c>
      <c r="BK106">
        <v>0.97499999999999998</v>
      </c>
      <c r="BL106">
        <v>26</v>
      </c>
      <c r="BM106">
        <v>0.66666669999999995</v>
      </c>
    </row>
    <row r="107" spans="1:65" x14ac:dyDescent="0.25">
      <c r="A107" t="s">
        <v>332</v>
      </c>
      <c r="B107" t="s">
        <v>333</v>
      </c>
      <c r="C107">
        <v>260</v>
      </c>
      <c r="D107">
        <v>333</v>
      </c>
      <c r="E107">
        <v>1.2807691999999999</v>
      </c>
      <c r="F107">
        <v>115</v>
      </c>
      <c r="G107">
        <v>0.34534530000000002</v>
      </c>
      <c r="H107">
        <v>319</v>
      </c>
      <c r="I107">
        <v>0.95795799999999998</v>
      </c>
      <c r="J107">
        <v>168</v>
      </c>
      <c r="K107">
        <v>0.52664580000000005</v>
      </c>
      <c r="L107">
        <v>126</v>
      </c>
      <c r="M107">
        <v>148</v>
      </c>
      <c r="N107">
        <v>1.1746032</v>
      </c>
      <c r="O107">
        <v>58</v>
      </c>
      <c r="P107">
        <v>0.39189190000000002</v>
      </c>
      <c r="Q107">
        <v>143</v>
      </c>
      <c r="R107">
        <v>0.96621619999999997</v>
      </c>
      <c r="S107">
        <v>74</v>
      </c>
      <c r="T107">
        <v>0.51748249999999996</v>
      </c>
      <c r="U107" t="s">
        <v>127</v>
      </c>
      <c r="V107" t="s">
        <v>127</v>
      </c>
      <c r="W107" t="s">
        <v>127</v>
      </c>
      <c r="X107" t="s">
        <v>127</v>
      </c>
      <c r="Y107" t="s">
        <v>127</v>
      </c>
      <c r="Z107" t="s">
        <v>127</v>
      </c>
      <c r="AA107" t="s">
        <v>127</v>
      </c>
      <c r="AB107" t="s">
        <v>127</v>
      </c>
      <c r="AC107" t="s">
        <v>127</v>
      </c>
      <c r="AD107" t="s">
        <v>127</v>
      </c>
      <c r="AE107" t="s">
        <v>127</v>
      </c>
      <c r="AF107" t="s">
        <v>127</v>
      </c>
      <c r="AG107" t="s">
        <v>127</v>
      </c>
      <c r="AH107" t="s">
        <v>127</v>
      </c>
      <c r="AI107" t="s">
        <v>127</v>
      </c>
      <c r="AJ107" t="s">
        <v>127</v>
      </c>
      <c r="AK107" t="s">
        <v>127</v>
      </c>
      <c r="AL107" t="s">
        <v>127</v>
      </c>
      <c r="AM107">
        <v>134</v>
      </c>
      <c r="AN107">
        <v>185</v>
      </c>
      <c r="AO107">
        <v>1.3805970000000001</v>
      </c>
      <c r="AP107">
        <v>57</v>
      </c>
      <c r="AQ107">
        <v>0.3081081</v>
      </c>
      <c r="AR107">
        <v>176</v>
      </c>
      <c r="AS107">
        <v>0.95135139999999996</v>
      </c>
      <c r="AT107">
        <v>94</v>
      </c>
      <c r="AU107">
        <v>0.53409090000000004</v>
      </c>
      <c r="AV107">
        <v>127</v>
      </c>
      <c r="AW107" t="s">
        <v>127</v>
      </c>
      <c r="AX107" t="s">
        <v>127</v>
      </c>
      <c r="AY107" t="s">
        <v>127</v>
      </c>
      <c r="AZ107" t="s">
        <v>127</v>
      </c>
      <c r="BA107" t="s">
        <v>127</v>
      </c>
      <c r="BB107" t="s">
        <v>127</v>
      </c>
      <c r="BC107" t="s">
        <v>127</v>
      </c>
      <c r="BD107" t="s">
        <v>127</v>
      </c>
      <c r="BE107">
        <v>7</v>
      </c>
      <c r="BF107" t="s">
        <v>127</v>
      </c>
      <c r="BG107" t="s">
        <v>127</v>
      </c>
      <c r="BH107" t="s">
        <v>127</v>
      </c>
      <c r="BI107" t="s">
        <v>127</v>
      </c>
      <c r="BJ107" t="s">
        <v>127</v>
      </c>
      <c r="BK107" t="s">
        <v>127</v>
      </c>
      <c r="BL107" t="s">
        <v>127</v>
      </c>
      <c r="BM107" t="s">
        <v>127</v>
      </c>
    </row>
    <row r="108" spans="1:65" x14ac:dyDescent="0.25">
      <c r="A108" t="s">
        <v>334</v>
      </c>
      <c r="B108" t="s">
        <v>335</v>
      </c>
      <c r="C108">
        <v>38</v>
      </c>
      <c r="D108">
        <v>42</v>
      </c>
      <c r="E108">
        <v>1.1052632</v>
      </c>
      <c r="F108">
        <v>19</v>
      </c>
      <c r="G108">
        <v>0.45238099999999998</v>
      </c>
      <c r="H108">
        <v>42</v>
      </c>
      <c r="I108">
        <v>1</v>
      </c>
      <c r="J108">
        <v>31</v>
      </c>
      <c r="K108">
        <v>0.73809519999999995</v>
      </c>
      <c r="L108">
        <v>17</v>
      </c>
      <c r="M108">
        <v>15</v>
      </c>
      <c r="N108">
        <v>0.8823529</v>
      </c>
      <c r="O108">
        <v>9</v>
      </c>
      <c r="P108">
        <v>0.6</v>
      </c>
      <c r="Q108">
        <v>15</v>
      </c>
      <c r="R108">
        <v>1</v>
      </c>
      <c r="S108">
        <v>13</v>
      </c>
      <c r="T108">
        <v>0.86666670000000001</v>
      </c>
      <c r="U108">
        <v>17</v>
      </c>
      <c r="V108">
        <v>9</v>
      </c>
      <c r="W108">
        <v>0.52941179999999999</v>
      </c>
      <c r="X108">
        <v>9</v>
      </c>
      <c r="Y108">
        <v>1</v>
      </c>
      <c r="Z108">
        <v>9</v>
      </c>
      <c r="AA108">
        <v>1</v>
      </c>
      <c r="AB108">
        <v>8</v>
      </c>
      <c r="AC108">
        <v>0.88888889999999998</v>
      </c>
      <c r="AD108">
        <v>0</v>
      </c>
      <c r="AE108">
        <v>0</v>
      </c>
      <c r="AF108">
        <v>0</v>
      </c>
      <c r="AG108">
        <v>0</v>
      </c>
      <c r="AH108">
        <v>0</v>
      </c>
      <c r="AI108">
        <v>0</v>
      </c>
      <c r="AJ108">
        <v>0</v>
      </c>
      <c r="AK108">
        <v>0</v>
      </c>
      <c r="AL108">
        <v>0</v>
      </c>
      <c r="AM108">
        <v>21</v>
      </c>
      <c r="AN108">
        <v>27</v>
      </c>
      <c r="AO108">
        <v>1.2857143</v>
      </c>
      <c r="AP108">
        <v>10</v>
      </c>
      <c r="AQ108">
        <v>0.37037039999999999</v>
      </c>
      <c r="AR108">
        <v>27</v>
      </c>
      <c r="AS108">
        <v>1</v>
      </c>
      <c r="AT108">
        <v>18</v>
      </c>
      <c r="AU108">
        <v>0.66666669999999995</v>
      </c>
      <c r="AV108" t="s">
        <v>127</v>
      </c>
      <c r="AW108">
        <v>10</v>
      </c>
      <c r="AX108">
        <v>0.5</v>
      </c>
      <c r="AY108" t="s">
        <v>127</v>
      </c>
      <c r="AZ108">
        <v>1</v>
      </c>
      <c r="BA108">
        <v>10</v>
      </c>
      <c r="BB108">
        <v>1</v>
      </c>
      <c r="BC108">
        <v>7</v>
      </c>
      <c r="BD108">
        <v>0.7</v>
      </c>
      <c r="BE108" t="s">
        <v>127</v>
      </c>
      <c r="BF108">
        <v>0</v>
      </c>
      <c r="BG108" t="s">
        <v>127</v>
      </c>
      <c r="BH108">
        <v>0</v>
      </c>
      <c r="BI108">
        <v>0</v>
      </c>
      <c r="BJ108">
        <v>0</v>
      </c>
      <c r="BK108">
        <v>0</v>
      </c>
      <c r="BL108">
        <v>0</v>
      </c>
      <c r="BM108">
        <v>0</v>
      </c>
    </row>
    <row r="109" spans="1:65" x14ac:dyDescent="0.25">
      <c r="A109" t="s">
        <v>336</v>
      </c>
      <c r="B109" t="s">
        <v>337</v>
      </c>
      <c r="C109">
        <v>456</v>
      </c>
      <c r="D109">
        <v>424</v>
      </c>
      <c r="E109">
        <v>0.9298246</v>
      </c>
      <c r="F109">
        <v>278</v>
      </c>
      <c r="G109">
        <v>0.65566040000000003</v>
      </c>
      <c r="H109">
        <v>414</v>
      </c>
      <c r="I109">
        <v>0.97641509999999998</v>
      </c>
      <c r="J109">
        <v>311</v>
      </c>
      <c r="K109">
        <v>0.75120770000000003</v>
      </c>
      <c r="L109">
        <v>190</v>
      </c>
      <c r="M109">
        <v>188</v>
      </c>
      <c r="N109">
        <v>0.98947370000000001</v>
      </c>
      <c r="O109">
        <v>113</v>
      </c>
      <c r="P109">
        <v>0.60106380000000004</v>
      </c>
      <c r="Q109">
        <v>182</v>
      </c>
      <c r="R109">
        <v>0.96808510000000003</v>
      </c>
      <c r="S109">
        <v>146</v>
      </c>
      <c r="T109">
        <v>0.80219779999999996</v>
      </c>
      <c r="U109">
        <v>190</v>
      </c>
      <c r="V109">
        <v>113</v>
      </c>
      <c r="W109">
        <v>0.59473679999999995</v>
      </c>
      <c r="X109">
        <v>113</v>
      </c>
      <c r="Y109">
        <v>1</v>
      </c>
      <c r="Z109">
        <v>109</v>
      </c>
      <c r="AA109">
        <v>0.96460179999999995</v>
      </c>
      <c r="AB109">
        <v>93</v>
      </c>
      <c r="AC109">
        <v>0.85321100000000005</v>
      </c>
      <c r="AD109">
        <v>0</v>
      </c>
      <c r="AE109">
        <v>0</v>
      </c>
      <c r="AF109">
        <v>0</v>
      </c>
      <c r="AG109">
        <v>0</v>
      </c>
      <c r="AH109">
        <v>0</v>
      </c>
      <c r="AI109">
        <v>0</v>
      </c>
      <c r="AJ109">
        <v>0</v>
      </c>
      <c r="AK109">
        <v>0</v>
      </c>
      <c r="AL109">
        <v>0</v>
      </c>
      <c r="AM109">
        <v>266</v>
      </c>
      <c r="AN109">
        <v>236</v>
      </c>
      <c r="AO109">
        <v>0.88721799999999995</v>
      </c>
      <c r="AP109">
        <v>165</v>
      </c>
      <c r="AQ109">
        <v>0.69915249999999995</v>
      </c>
      <c r="AR109">
        <v>232</v>
      </c>
      <c r="AS109">
        <v>0.9830508</v>
      </c>
      <c r="AT109">
        <v>165</v>
      </c>
      <c r="AU109">
        <v>0.71120689999999998</v>
      </c>
      <c r="AV109" t="s">
        <v>127</v>
      </c>
      <c r="AW109" t="s">
        <v>127</v>
      </c>
      <c r="AX109" t="s">
        <v>127</v>
      </c>
      <c r="AY109" t="s">
        <v>127</v>
      </c>
      <c r="AZ109" t="s">
        <v>127</v>
      </c>
      <c r="BA109" t="s">
        <v>127</v>
      </c>
      <c r="BB109" t="s">
        <v>127</v>
      </c>
      <c r="BC109" t="s">
        <v>127</v>
      </c>
      <c r="BD109" t="s">
        <v>127</v>
      </c>
      <c r="BE109" t="s">
        <v>127</v>
      </c>
      <c r="BF109" t="s">
        <v>127</v>
      </c>
      <c r="BG109" t="s">
        <v>127</v>
      </c>
      <c r="BH109" t="s">
        <v>127</v>
      </c>
      <c r="BI109" t="s">
        <v>127</v>
      </c>
      <c r="BJ109" t="s">
        <v>127</v>
      </c>
      <c r="BK109" t="s">
        <v>127</v>
      </c>
      <c r="BL109" t="s">
        <v>127</v>
      </c>
      <c r="BM109" t="s">
        <v>127</v>
      </c>
    </row>
    <row r="110" spans="1:65" x14ac:dyDescent="0.25">
      <c r="A110" t="s">
        <v>338</v>
      </c>
      <c r="B110" t="s">
        <v>339</v>
      </c>
      <c r="C110">
        <v>603</v>
      </c>
      <c r="D110">
        <v>690</v>
      </c>
      <c r="E110">
        <v>1.1442786</v>
      </c>
      <c r="F110">
        <v>311</v>
      </c>
      <c r="G110">
        <v>0.45072459999999998</v>
      </c>
      <c r="H110">
        <v>676</v>
      </c>
      <c r="I110">
        <v>0.97971010000000003</v>
      </c>
      <c r="J110">
        <v>405</v>
      </c>
      <c r="K110">
        <v>0.59911239999999999</v>
      </c>
      <c r="L110">
        <v>297</v>
      </c>
      <c r="M110">
        <v>344</v>
      </c>
      <c r="N110">
        <v>1.1582492</v>
      </c>
      <c r="O110">
        <v>148</v>
      </c>
      <c r="P110">
        <v>0.43023260000000002</v>
      </c>
      <c r="Q110">
        <v>339</v>
      </c>
      <c r="R110">
        <v>0.98546509999999998</v>
      </c>
      <c r="S110">
        <v>201</v>
      </c>
      <c r="T110">
        <v>0.59292040000000001</v>
      </c>
      <c r="U110" t="s">
        <v>127</v>
      </c>
      <c r="V110" t="s">
        <v>127</v>
      </c>
      <c r="W110" t="s">
        <v>127</v>
      </c>
      <c r="X110" t="s">
        <v>127</v>
      </c>
      <c r="Y110" t="s">
        <v>127</v>
      </c>
      <c r="Z110" t="s">
        <v>127</v>
      </c>
      <c r="AA110" t="s">
        <v>127</v>
      </c>
      <c r="AB110" t="s">
        <v>127</v>
      </c>
      <c r="AC110" t="s">
        <v>127</v>
      </c>
      <c r="AD110" t="s">
        <v>127</v>
      </c>
      <c r="AE110" t="s">
        <v>127</v>
      </c>
      <c r="AF110" t="s">
        <v>127</v>
      </c>
      <c r="AG110" t="s">
        <v>127</v>
      </c>
      <c r="AH110" t="s">
        <v>127</v>
      </c>
      <c r="AI110" t="s">
        <v>127</v>
      </c>
      <c r="AJ110" t="s">
        <v>127</v>
      </c>
      <c r="AK110" t="s">
        <v>127</v>
      </c>
      <c r="AL110" t="s">
        <v>127</v>
      </c>
      <c r="AM110">
        <v>306</v>
      </c>
      <c r="AN110">
        <v>346</v>
      </c>
      <c r="AO110">
        <v>1.130719</v>
      </c>
      <c r="AP110">
        <v>163</v>
      </c>
      <c r="AQ110">
        <v>0.47109830000000003</v>
      </c>
      <c r="AR110">
        <v>337</v>
      </c>
      <c r="AS110">
        <v>0.97398839999999998</v>
      </c>
      <c r="AT110">
        <v>204</v>
      </c>
      <c r="AU110">
        <v>0.60534120000000002</v>
      </c>
      <c r="AV110">
        <v>306</v>
      </c>
      <c r="AW110">
        <v>163</v>
      </c>
      <c r="AX110">
        <v>0.53267969999999998</v>
      </c>
      <c r="AY110">
        <v>163</v>
      </c>
      <c r="AZ110">
        <v>1</v>
      </c>
      <c r="BA110">
        <v>157</v>
      </c>
      <c r="BB110">
        <v>0.9631902</v>
      </c>
      <c r="BC110">
        <v>108</v>
      </c>
      <c r="BD110">
        <v>0.68789809999999996</v>
      </c>
      <c r="BE110">
        <v>0</v>
      </c>
      <c r="BF110">
        <v>0</v>
      </c>
      <c r="BG110">
        <v>0</v>
      </c>
      <c r="BH110">
        <v>0</v>
      </c>
      <c r="BI110">
        <v>0</v>
      </c>
      <c r="BJ110">
        <v>0</v>
      </c>
      <c r="BK110">
        <v>0</v>
      </c>
      <c r="BL110">
        <v>0</v>
      </c>
      <c r="BM110">
        <v>0</v>
      </c>
    </row>
    <row r="111" spans="1:65" x14ac:dyDescent="0.25">
      <c r="A111" t="s">
        <v>340</v>
      </c>
      <c r="B111" t="s">
        <v>341</v>
      </c>
      <c r="C111">
        <v>1076</v>
      </c>
      <c r="D111">
        <v>839</v>
      </c>
      <c r="E111">
        <v>0.77973979999999998</v>
      </c>
      <c r="F111">
        <v>607</v>
      </c>
      <c r="G111">
        <v>0.72348029999999997</v>
      </c>
      <c r="H111">
        <v>794</v>
      </c>
      <c r="I111">
        <v>0.94636469999999995</v>
      </c>
      <c r="J111">
        <v>483</v>
      </c>
      <c r="K111">
        <v>0.60831230000000003</v>
      </c>
      <c r="L111">
        <v>582</v>
      </c>
      <c r="M111">
        <v>493</v>
      </c>
      <c r="N111">
        <v>0.84707900000000003</v>
      </c>
      <c r="O111">
        <v>354</v>
      </c>
      <c r="P111">
        <v>0.71805269999999999</v>
      </c>
      <c r="Q111">
        <v>463</v>
      </c>
      <c r="R111">
        <v>0.93914810000000004</v>
      </c>
      <c r="S111">
        <v>287</v>
      </c>
      <c r="T111">
        <v>0.61987040000000004</v>
      </c>
      <c r="U111">
        <v>541</v>
      </c>
      <c r="V111">
        <v>318</v>
      </c>
      <c r="W111">
        <v>0.5878004</v>
      </c>
      <c r="X111">
        <v>318</v>
      </c>
      <c r="Y111">
        <v>1</v>
      </c>
      <c r="Z111">
        <v>302</v>
      </c>
      <c r="AA111">
        <v>0.94968549999999996</v>
      </c>
      <c r="AB111">
        <v>199</v>
      </c>
      <c r="AC111">
        <v>0.65894039999999998</v>
      </c>
      <c r="AD111">
        <v>41</v>
      </c>
      <c r="AE111">
        <v>36</v>
      </c>
      <c r="AF111">
        <v>0.87804879999999996</v>
      </c>
      <c r="AG111">
        <v>36</v>
      </c>
      <c r="AH111">
        <v>1</v>
      </c>
      <c r="AI111">
        <v>32</v>
      </c>
      <c r="AJ111">
        <v>0.88888889999999998</v>
      </c>
      <c r="AK111">
        <v>22</v>
      </c>
      <c r="AL111">
        <v>0.6875</v>
      </c>
      <c r="AM111">
        <v>494</v>
      </c>
      <c r="AN111">
        <v>346</v>
      </c>
      <c r="AO111">
        <v>0.7004049</v>
      </c>
      <c r="AP111">
        <v>253</v>
      </c>
      <c r="AQ111">
        <v>0.73121389999999997</v>
      </c>
      <c r="AR111">
        <v>331</v>
      </c>
      <c r="AS111">
        <v>0.95664740000000004</v>
      </c>
      <c r="AT111">
        <v>196</v>
      </c>
      <c r="AU111">
        <v>0.59214500000000003</v>
      </c>
      <c r="AV111">
        <v>472</v>
      </c>
      <c r="AW111">
        <v>235</v>
      </c>
      <c r="AX111">
        <v>0.49788139999999997</v>
      </c>
      <c r="AY111">
        <v>235</v>
      </c>
      <c r="AZ111">
        <v>1</v>
      </c>
      <c r="BA111">
        <v>229</v>
      </c>
      <c r="BB111">
        <v>0.97446809999999995</v>
      </c>
      <c r="BC111">
        <v>150</v>
      </c>
      <c r="BD111">
        <v>0.65502179999999999</v>
      </c>
      <c r="BE111">
        <v>22</v>
      </c>
      <c r="BF111">
        <v>18</v>
      </c>
      <c r="BG111">
        <v>0.81818179999999996</v>
      </c>
      <c r="BH111">
        <v>18</v>
      </c>
      <c r="BI111">
        <v>1</v>
      </c>
      <c r="BJ111">
        <v>17</v>
      </c>
      <c r="BK111">
        <v>0.94444439999999996</v>
      </c>
      <c r="BL111">
        <v>15</v>
      </c>
      <c r="BM111">
        <v>0.8823529</v>
      </c>
    </row>
    <row r="112" spans="1:65" x14ac:dyDescent="0.25">
      <c r="A112" t="s">
        <v>342</v>
      </c>
      <c r="B112" t="s">
        <v>343</v>
      </c>
      <c r="C112">
        <v>632</v>
      </c>
      <c r="D112">
        <v>291</v>
      </c>
      <c r="E112">
        <v>0.46044299999999999</v>
      </c>
      <c r="F112">
        <v>143</v>
      </c>
      <c r="G112">
        <v>0.49140889999999998</v>
      </c>
      <c r="H112">
        <v>18</v>
      </c>
      <c r="I112">
        <v>6.18557E-2</v>
      </c>
      <c r="J112">
        <v>18</v>
      </c>
      <c r="K112">
        <v>1</v>
      </c>
      <c r="L112">
        <v>330</v>
      </c>
      <c r="M112">
        <v>140</v>
      </c>
      <c r="N112">
        <v>0.42424240000000002</v>
      </c>
      <c r="O112">
        <v>70</v>
      </c>
      <c r="P112">
        <v>0.5</v>
      </c>
      <c r="Q112">
        <v>9</v>
      </c>
      <c r="R112">
        <v>6.4285700000000001E-2</v>
      </c>
      <c r="S112">
        <v>9</v>
      </c>
      <c r="T112">
        <v>1</v>
      </c>
      <c r="U112">
        <v>264</v>
      </c>
      <c r="V112">
        <v>57</v>
      </c>
      <c r="W112">
        <v>0.21590909999999999</v>
      </c>
      <c r="X112">
        <v>57</v>
      </c>
      <c r="Y112">
        <v>1</v>
      </c>
      <c r="Z112">
        <v>6</v>
      </c>
      <c r="AA112">
        <v>0.1052632</v>
      </c>
      <c r="AB112">
        <v>6</v>
      </c>
      <c r="AC112">
        <v>1</v>
      </c>
      <c r="AD112">
        <v>66</v>
      </c>
      <c r="AE112">
        <v>13</v>
      </c>
      <c r="AF112">
        <v>0.1969697</v>
      </c>
      <c r="AG112">
        <v>13</v>
      </c>
      <c r="AH112">
        <v>1</v>
      </c>
      <c r="AI112">
        <v>3</v>
      </c>
      <c r="AJ112">
        <v>0.23076920000000001</v>
      </c>
      <c r="AK112">
        <v>3</v>
      </c>
      <c r="AL112">
        <v>1</v>
      </c>
      <c r="AM112">
        <v>302</v>
      </c>
      <c r="AN112">
        <v>151</v>
      </c>
      <c r="AO112">
        <v>0.5</v>
      </c>
      <c r="AP112">
        <v>73</v>
      </c>
      <c r="AQ112">
        <v>0.48344369999999998</v>
      </c>
      <c r="AR112">
        <v>9</v>
      </c>
      <c r="AS112">
        <v>5.9602599999999999E-2</v>
      </c>
      <c r="AT112">
        <v>9</v>
      </c>
      <c r="AU112">
        <v>1</v>
      </c>
      <c r="AV112">
        <v>228</v>
      </c>
      <c r="AW112">
        <v>53</v>
      </c>
      <c r="AX112">
        <v>0.2324561</v>
      </c>
      <c r="AY112">
        <v>53</v>
      </c>
      <c r="AZ112">
        <v>1</v>
      </c>
      <c r="BA112">
        <v>5</v>
      </c>
      <c r="BB112">
        <v>9.4339599999999996E-2</v>
      </c>
      <c r="BC112">
        <v>5</v>
      </c>
      <c r="BD112">
        <v>1</v>
      </c>
      <c r="BE112">
        <v>74</v>
      </c>
      <c r="BF112">
        <v>20</v>
      </c>
      <c r="BG112">
        <v>0.27027030000000002</v>
      </c>
      <c r="BH112">
        <v>20</v>
      </c>
      <c r="BI112">
        <v>1</v>
      </c>
      <c r="BJ112">
        <v>2</v>
      </c>
      <c r="BK112">
        <v>0.1</v>
      </c>
      <c r="BL112">
        <v>2</v>
      </c>
      <c r="BM112">
        <v>1</v>
      </c>
    </row>
    <row r="113" spans="1:65" x14ac:dyDescent="0.25">
      <c r="A113" t="s">
        <v>344</v>
      </c>
      <c r="B113" t="s">
        <v>345</v>
      </c>
      <c r="C113">
        <v>631</v>
      </c>
      <c r="D113">
        <v>532</v>
      </c>
      <c r="E113">
        <v>0.84310620000000003</v>
      </c>
      <c r="F113">
        <v>386</v>
      </c>
      <c r="G113">
        <v>0.72556390000000004</v>
      </c>
      <c r="H113">
        <v>512</v>
      </c>
      <c r="I113">
        <v>0.96240599999999998</v>
      </c>
      <c r="J113">
        <v>326</v>
      </c>
      <c r="K113">
        <v>0.63671880000000003</v>
      </c>
      <c r="L113">
        <v>248</v>
      </c>
      <c r="M113">
        <v>210</v>
      </c>
      <c r="N113">
        <v>0.84677420000000003</v>
      </c>
      <c r="O113">
        <v>157</v>
      </c>
      <c r="P113">
        <v>0.74761900000000003</v>
      </c>
      <c r="Q113">
        <v>200</v>
      </c>
      <c r="R113">
        <v>0.95238100000000003</v>
      </c>
      <c r="S113">
        <v>138</v>
      </c>
      <c r="T113">
        <v>0.69</v>
      </c>
      <c r="U113">
        <v>223</v>
      </c>
      <c r="V113">
        <v>143</v>
      </c>
      <c r="W113">
        <v>0.64125560000000004</v>
      </c>
      <c r="X113">
        <v>143</v>
      </c>
      <c r="Y113">
        <v>1</v>
      </c>
      <c r="Z113">
        <v>138</v>
      </c>
      <c r="AA113">
        <v>0.96503499999999998</v>
      </c>
      <c r="AB113">
        <v>99</v>
      </c>
      <c r="AC113">
        <v>0.71739129999999995</v>
      </c>
      <c r="AD113">
        <v>25</v>
      </c>
      <c r="AE113">
        <v>14</v>
      </c>
      <c r="AF113">
        <v>0.56000000000000005</v>
      </c>
      <c r="AG113">
        <v>14</v>
      </c>
      <c r="AH113">
        <v>1</v>
      </c>
      <c r="AI113">
        <v>13</v>
      </c>
      <c r="AJ113">
        <v>0.92857140000000005</v>
      </c>
      <c r="AK113">
        <v>9</v>
      </c>
      <c r="AL113">
        <v>0.69230769999999997</v>
      </c>
      <c r="AM113">
        <v>383</v>
      </c>
      <c r="AN113">
        <v>322</v>
      </c>
      <c r="AO113">
        <v>0.84073109999999995</v>
      </c>
      <c r="AP113">
        <v>229</v>
      </c>
      <c r="AQ113">
        <v>0.71118009999999998</v>
      </c>
      <c r="AR113">
        <v>312</v>
      </c>
      <c r="AS113">
        <v>0.96894409999999997</v>
      </c>
      <c r="AT113">
        <v>188</v>
      </c>
      <c r="AU113">
        <v>0.60256410000000005</v>
      </c>
      <c r="AV113">
        <v>363</v>
      </c>
      <c r="AW113">
        <v>220</v>
      </c>
      <c r="AX113">
        <v>0.60606059999999995</v>
      </c>
      <c r="AY113">
        <v>220</v>
      </c>
      <c r="AZ113">
        <v>1</v>
      </c>
      <c r="BA113">
        <v>213</v>
      </c>
      <c r="BB113">
        <v>0.96818179999999998</v>
      </c>
      <c r="BC113">
        <v>141</v>
      </c>
      <c r="BD113">
        <v>0.6619718</v>
      </c>
      <c r="BE113">
        <v>20</v>
      </c>
      <c r="BF113">
        <v>9</v>
      </c>
      <c r="BG113">
        <v>0.45</v>
      </c>
      <c r="BH113">
        <v>9</v>
      </c>
      <c r="BI113">
        <v>1</v>
      </c>
      <c r="BJ113">
        <v>8</v>
      </c>
      <c r="BK113">
        <v>0.88888889999999998</v>
      </c>
      <c r="BL113">
        <v>3</v>
      </c>
      <c r="BM113">
        <v>0.375</v>
      </c>
    </row>
    <row r="114" spans="1:65" x14ac:dyDescent="0.25">
      <c r="A114" t="s">
        <v>346</v>
      </c>
      <c r="B114" t="s">
        <v>347</v>
      </c>
      <c r="C114">
        <v>0</v>
      </c>
      <c r="D114">
        <v>14</v>
      </c>
      <c r="E114">
        <v>0</v>
      </c>
      <c r="F114">
        <v>0</v>
      </c>
      <c r="G114">
        <v>0</v>
      </c>
      <c r="H114">
        <v>13</v>
      </c>
      <c r="I114">
        <v>0.92857140000000005</v>
      </c>
      <c r="J114">
        <v>8</v>
      </c>
      <c r="K114">
        <v>0.61538459999999995</v>
      </c>
      <c r="L114">
        <v>0</v>
      </c>
      <c r="M114">
        <v>8</v>
      </c>
      <c r="N114">
        <v>0</v>
      </c>
      <c r="O114">
        <v>0</v>
      </c>
      <c r="P114">
        <v>0</v>
      </c>
      <c r="Q114">
        <v>8</v>
      </c>
      <c r="R114">
        <v>1</v>
      </c>
      <c r="S114">
        <v>3</v>
      </c>
      <c r="T114">
        <v>0.375</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6</v>
      </c>
      <c r="AO114">
        <v>0</v>
      </c>
      <c r="AP114">
        <v>0</v>
      </c>
      <c r="AQ114">
        <v>0</v>
      </c>
      <c r="AR114">
        <v>5</v>
      </c>
      <c r="AS114">
        <v>0.83333330000000005</v>
      </c>
      <c r="AT114">
        <v>5</v>
      </c>
      <c r="AU114">
        <v>1</v>
      </c>
      <c r="AV114">
        <v>0</v>
      </c>
      <c r="AW114">
        <v>0</v>
      </c>
      <c r="AX114">
        <v>0</v>
      </c>
      <c r="AY114">
        <v>0</v>
      </c>
      <c r="AZ114">
        <v>0</v>
      </c>
      <c r="BA114">
        <v>0</v>
      </c>
      <c r="BB114">
        <v>0</v>
      </c>
      <c r="BC114">
        <v>0</v>
      </c>
      <c r="BD114">
        <v>0</v>
      </c>
      <c r="BE114">
        <v>0</v>
      </c>
      <c r="BF114">
        <v>0</v>
      </c>
      <c r="BG114">
        <v>0</v>
      </c>
      <c r="BH114">
        <v>0</v>
      </c>
      <c r="BI114">
        <v>0</v>
      </c>
      <c r="BJ114">
        <v>0</v>
      </c>
      <c r="BK114">
        <v>0</v>
      </c>
      <c r="BL114">
        <v>0</v>
      </c>
      <c r="BM114">
        <v>0</v>
      </c>
    </row>
    <row r="115" spans="1:65" x14ac:dyDescent="0.25">
      <c r="A115" t="s">
        <v>348</v>
      </c>
      <c r="B115" t="s">
        <v>349</v>
      </c>
      <c r="C115">
        <v>267</v>
      </c>
      <c r="D115">
        <v>293</v>
      </c>
      <c r="E115">
        <v>1.0973782999999999</v>
      </c>
      <c r="F115">
        <v>196</v>
      </c>
      <c r="G115">
        <v>0.66894200000000004</v>
      </c>
      <c r="H115">
        <v>274</v>
      </c>
      <c r="I115">
        <v>0.93515360000000003</v>
      </c>
      <c r="J115">
        <v>181</v>
      </c>
      <c r="K115">
        <v>0.6605839</v>
      </c>
      <c r="L115">
        <v>153</v>
      </c>
      <c r="M115">
        <v>174</v>
      </c>
      <c r="N115">
        <v>1.1372549000000001</v>
      </c>
      <c r="O115">
        <v>117</v>
      </c>
      <c r="P115">
        <v>0.67241379999999995</v>
      </c>
      <c r="Q115">
        <v>173</v>
      </c>
      <c r="R115">
        <v>0.9942529</v>
      </c>
      <c r="S115">
        <v>122</v>
      </c>
      <c r="T115">
        <v>0.70520229999999995</v>
      </c>
      <c r="U115" t="s">
        <v>127</v>
      </c>
      <c r="V115" t="s">
        <v>127</v>
      </c>
      <c r="W115" t="s">
        <v>127</v>
      </c>
      <c r="X115" t="s">
        <v>127</v>
      </c>
      <c r="Y115" t="s">
        <v>127</v>
      </c>
      <c r="Z115" t="s">
        <v>127</v>
      </c>
      <c r="AA115" t="s">
        <v>127</v>
      </c>
      <c r="AB115" t="s">
        <v>127</v>
      </c>
      <c r="AC115" t="s">
        <v>127</v>
      </c>
      <c r="AD115" t="s">
        <v>127</v>
      </c>
      <c r="AE115" t="s">
        <v>127</v>
      </c>
      <c r="AF115" t="s">
        <v>127</v>
      </c>
      <c r="AG115" t="s">
        <v>127</v>
      </c>
      <c r="AH115" t="s">
        <v>127</v>
      </c>
      <c r="AI115" t="s">
        <v>127</v>
      </c>
      <c r="AJ115" t="s">
        <v>127</v>
      </c>
      <c r="AK115" t="s">
        <v>127</v>
      </c>
      <c r="AL115" t="s">
        <v>127</v>
      </c>
      <c r="AM115">
        <v>114</v>
      </c>
      <c r="AN115">
        <v>119</v>
      </c>
      <c r="AO115">
        <v>1.0438596</v>
      </c>
      <c r="AP115">
        <v>79</v>
      </c>
      <c r="AQ115">
        <v>0.6638655</v>
      </c>
      <c r="AR115">
        <v>101</v>
      </c>
      <c r="AS115">
        <v>0.84873949999999998</v>
      </c>
      <c r="AT115">
        <v>59</v>
      </c>
      <c r="AU115">
        <v>0.58415839999999997</v>
      </c>
      <c r="AV115" t="s">
        <v>127</v>
      </c>
      <c r="AW115" t="s">
        <v>127</v>
      </c>
      <c r="AX115" t="s">
        <v>127</v>
      </c>
      <c r="AY115" t="s">
        <v>127</v>
      </c>
      <c r="AZ115" t="s">
        <v>127</v>
      </c>
      <c r="BA115" t="s">
        <v>127</v>
      </c>
      <c r="BB115" t="s">
        <v>127</v>
      </c>
      <c r="BC115" t="s">
        <v>127</v>
      </c>
      <c r="BD115" t="s">
        <v>127</v>
      </c>
      <c r="BE115" t="s">
        <v>127</v>
      </c>
      <c r="BF115" t="s">
        <v>127</v>
      </c>
      <c r="BG115" t="s">
        <v>127</v>
      </c>
      <c r="BH115" t="s">
        <v>127</v>
      </c>
      <c r="BI115" t="s">
        <v>127</v>
      </c>
      <c r="BJ115" t="s">
        <v>127</v>
      </c>
      <c r="BK115" t="s">
        <v>127</v>
      </c>
      <c r="BL115" t="s">
        <v>127</v>
      </c>
      <c r="BM115" t="s">
        <v>127</v>
      </c>
    </row>
    <row r="116" spans="1:65" x14ac:dyDescent="0.25">
      <c r="A116" t="s">
        <v>350</v>
      </c>
      <c r="B116" t="s">
        <v>351</v>
      </c>
      <c r="C116">
        <v>214</v>
      </c>
      <c r="D116">
        <v>105</v>
      </c>
      <c r="E116">
        <v>0.49065419999999998</v>
      </c>
      <c r="F116">
        <v>37</v>
      </c>
      <c r="G116">
        <v>0.352381</v>
      </c>
      <c r="H116">
        <v>101</v>
      </c>
      <c r="I116">
        <v>0.9619048</v>
      </c>
      <c r="J116">
        <v>40</v>
      </c>
      <c r="K116">
        <v>0.39603959999999999</v>
      </c>
      <c r="L116">
        <v>85</v>
      </c>
      <c r="M116">
        <v>45</v>
      </c>
      <c r="N116">
        <v>0.52941179999999999</v>
      </c>
      <c r="O116">
        <v>13</v>
      </c>
      <c r="P116">
        <v>0.2888889</v>
      </c>
      <c r="Q116">
        <v>44</v>
      </c>
      <c r="R116">
        <v>0.97777780000000003</v>
      </c>
      <c r="S116">
        <v>22</v>
      </c>
      <c r="T116">
        <v>0.5</v>
      </c>
      <c r="U116" t="s">
        <v>127</v>
      </c>
      <c r="V116">
        <v>13</v>
      </c>
      <c r="W116" t="s">
        <v>127</v>
      </c>
      <c r="X116">
        <v>13</v>
      </c>
      <c r="Y116">
        <v>1</v>
      </c>
      <c r="Z116">
        <v>13</v>
      </c>
      <c r="AA116">
        <v>1</v>
      </c>
      <c r="AB116">
        <v>9</v>
      </c>
      <c r="AC116">
        <v>0.69230769999999997</v>
      </c>
      <c r="AD116" t="s">
        <v>127</v>
      </c>
      <c r="AE116">
        <v>0</v>
      </c>
      <c r="AF116" t="s">
        <v>127</v>
      </c>
      <c r="AG116">
        <v>0</v>
      </c>
      <c r="AH116">
        <v>0</v>
      </c>
      <c r="AI116">
        <v>0</v>
      </c>
      <c r="AJ116">
        <v>0</v>
      </c>
      <c r="AK116">
        <v>0</v>
      </c>
      <c r="AL116">
        <v>0</v>
      </c>
      <c r="AM116">
        <v>129</v>
      </c>
      <c r="AN116">
        <v>60</v>
      </c>
      <c r="AO116">
        <v>0.46511629999999998</v>
      </c>
      <c r="AP116">
        <v>24</v>
      </c>
      <c r="AQ116">
        <v>0.4</v>
      </c>
      <c r="AR116">
        <v>57</v>
      </c>
      <c r="AS116">
        <v>0.95</v>
      </c>
      <c r="AT116">
        <v>18</v>
      </c>
      <c r="AU116">
        <v>0.3157895</v>
      </c>
      <c r="AV116">
        <v>129</v>
      </c>
      <c r="AW116">
        <v>24</v>
      </c>
      <c r="AX116">
        <v>0.1860465</v>
      </c>
      <c r="AY116">
        <v>24</v>
      </c>
      <c r="AZ116">
        <v>1</v>
      </c>
      <c r="BA116">
        <v>22</v>
      </c>
      <c r="BB116">
        <v>0.91666669999999995</v>
      </c>
      <c r="BC116">
        <v>9</v>
      </c>
      <c r="BD116">
        <v>0.40909089999999998</v>
      </c>
      <c r="BE116">
        <v>0</v>
      </c>
      <c r="BF116">
        <v>0</v>
      </c>
      <c r="BG116">
        <v>0</v>
      </c>
      <c r="BH116">
        <v>0</v>
      </c>
      <c r="BI116">
        <v>0</v>
      </c>
      <c r="BJ116">
        <v>0</v>
      </c>
      <c r="BK116">
        <v>0</v>
      </c>
      <c r="BL116">
        <v>0</v>
      </c>
      <c r="BM116">
        <v>0</v>
      </c>
    </row>
    <row r="117" spans="1:65" x14ac:dyDescent="0.25">
      <c r="A117" t="s">
        <v>352</v>
      </c>
      <c r="B117" t="s">
        <v>353</v>
      </c>
      <c r="C117">
        <v>673</v>
      </c>
      <c r="D117">
        <v>731</v>
      </c>
      <c r="E117">
        <v>1.0861813</v>
      </c>
      <c r="F117">
        <v>418</v>
      </c>
      <c r="G117">
        <v>0.57181939999999998</v>
      </c>
      <c r="H117">
        <v>678</v>
      </c>
      <c r="I117">
        <v>0.9274966</v>
      </c>
      <c r="J117">
        <v>430</v>
      </c>
      <c r="K117">
        <v>0.63421830000000001</v>
      </c>
      <c r="L117">
        <v>315</v>
      </c>
      <c r="M117">
        <v>343</v>
      </c>
      <c r="N117">
        <v>1.0888888999999999</v>
      </c>
      <c r="O117">
        <v>196</v>
      </c>
      <c r="P117">
        <v>0.57142859999999995</v>
      </c>
      <c r="Q117">
        <v>327</v>
      </c>
      <c r="R117">
        <v>0.9533528</v>
      </c>
      <c r="S117">
        <v>202</v>
      </c>
      <c r="T117">
        <v>0.61773699999999998</v>
      </c>
      <c r="U117">
        <v>285</v>
      </c>
      <c r="V117">
        <v>177</v>
      </c>
      <c r="W117">
        <v>0.62105259999999995</v>
      </c>
      <c r="X117">
        <v>177</v>
      </c>
      <c r="Y117">
        <v>1</v>
      </c>
      <c r="Z117">
        <v>168</v>
      </c>
      <c r="AA117">
        <v>0.94915249999999995</v>
      </c>
      <c r="AB117">
        <v>114</v>
      </c>
      <c r="AC117">
        <v>0.67857140000000005</v>
      </c>
      <c r="AD117">
        <v>30</v>
      </c>
      <c r="AE117">
        <v>19</v>
      </c>
      <c r="AF117">
        <v>0.63333329999999999</v>
      </c>
      <c r="AG117">
        <v>19</v>
      </c>
      <c r="AH117">
        <v>1</v>
      </c>
      <c r="AI117">
        <v>19</v>
      </c>
      <c r="AJ117">
        <v>1</v>
      </c>
      <c r="AK117">
        <v>10</v>
      </c>
      <c r="AL117">
        <v>0.5263158</v>
      </c>
      <c r="AM117">
        <v>358</v>
      </c>
      <c r="AN117">
        <v>388</v>
      </c>
      <c r="AO117">
        <v>1.0837988999999999</v>
      </c>
      <c r="AP117">
        <v>222</v>
      </c>
      <c r="AQ117">
        <v>0.57216489999999998</v>
      </c>
      <c r="AR117">
        <v>351</v>
      </c>
      <c r="AS117">
        <v>0.90463919999999998</v>
      </c>
      <c r="AT117">
        <v>228</v>
      </c>
      <c r="AU117">
        <v>0.64957259999999994</v>
      </c>
      <c r="AV117">
        <v>325</v>
      </c>
      <c r="AW117">
        <v>200</v>
      </c>
      <c r="AX117">
        <v>0.61538459999999995</v>
      </c>
      <c r="AY117">
        <v>200</v>
      </c>
      <c r="AZ117">
        <v>1</v>
      </c>
      <c r="BA117">
        <v>178</v>
      </c>
      <c r="BB117">
        <v>0.89</v>
      </c>
      <c r="BC117">
        <v>111</v>
      </c>
      <c r="BD117">
        <v>0.62359549999999997</v>
      </c>
      <c r="BE117">
        <v>33</v>
      </c>
      <c r="BF117">
        <v>22</v>
      </c>
      <c r="BG117">
        <v>0.66666669999999995</v>
      </c>
      <c r="BH117">
        <v>22</v>
      </c>
      <c r="BI117">
        <v>1</v>
      </c>
      <c r="BJ117">
        <v>18</v>
      </c>
      <c r="BK117">
        <v>0.81818179999999996</v>
      </c>
      <c r="BL117">
        <v>12</v>
      </c>
      <c r="BM117">
        <v>0.66666669999999995</v>
      </c>
    </row>
    <row r="118" spans="1:65" x14ac:dyDescent="0.25">
      <c r="A118" t="s">
        <v>354</v>
      </c>
      <c r="B118" t="s">
        <v>355</v>
      </c>
      <c r="C118">
        <v>841</v>
      </c>
      <c r="D118">
        <v>695</v>
      </c>
      <c r="E118">
        <v>0.8263971</v>
      </c>
      <c r="F118">
        <v>480</v>
      </c>
      <c r="G118">
        <v>0.69064749999999997</v>
      </c>
      <c r="H118">
        <v>670</v>
      </c>
      <c r="I118">
        <v>0.96402880000000002</v>
      </c>
      <c r="J118">
        <v>455</v>
      </c>
      <c r="K118">
        <v>0.6791045</v>
      </c>
      <c r="L118">
        <v>455</v>
      </c>
      <c r="M118">
        <v>356</v>
      </c>
      <c r="N118">
        <v>0.78241760000000005</v>
      </c>
      <c r="O118">
        <v>256</v>
      </c>
      <c r="P118">
        <v>0.71910110000000005</v>
      </c>
      <c r="Q118">
        <v>341</v>
      </c>
      <c r="R118">
        <v>0.95786519999999997</v>
      </c>
      <c r="S118">
        <v>237</v>
      </c>
      <c r="T118">
        <v>0.69501469999999999</v>
      </c>
      <c r="U118">
        <v>427</v>
      </c>
      <c r="V118">
        <v>249</v>
      </c>
      <c r="W118">
        <v>0.58313820000000005</v>
      </c>
      <c r="X118">
        <v>249</v>
      </c>
      <c r="Y118">
        <v>1</v>
      </c>
      <c r="Z118">
        <v>237</v>
      </c>
      <c r="AA118">
        <v>0.95180719999999996</v>
      </c>
      <c r="AB118">
        <v>181</v>
      </c>
      <c r="AC118">
        <v>0.76371310000000003</v>
      </c>
      <c r="AD118">
        <v>28</v>
      </c>
      <c r="AE118">
        <v>7</v>
      </c>
      <c r="AF118">
        <v>0.25</v>
      </c>
      <c r="AG118">
        <v>7</v>
      </c>
      <c r="AH118">
        <v>1</v>
      </c>
      <c r="AI118">
        <v>6</v>
      </c>
      <c r="AJ118">
        <v>0.85714290000000004</v>
      </c>
      <c r="AK118">
        <v>3</v>
      </c>
      <c r="AL118">
        <v>0.5</v>
      </c>
      <c r="AM118">
        <v>386</v>
      </c>
      <c r="AN118">
        <v>339</v>
      </c>
      <c r="AO118">
        <v>0.87823830000000003</v>
      </c>
      <c r="AP118">
        <v>224</v>
      </c>
      <c r="AQ118">
        <v>0.66076699999999999</v>
      </c>
      <c r="AR118">
        <v>329</v>
      </c>
      <c r="AS118">
        <v>0.97050150000000002</v>
      </c>
      <c r="AT118">
        <v>218</v>
      </c>
      <c r="AU118">
        <v>0.66261400000000004</v>
      </c>
      <c r="AV118">
        <v>355</v>
      </c>
      <c r="AW118">
        <v>209</v>
      </c>
      <c r="AX118">
        <v>0.58873240000000004</v>
      </c>
      <c r="AY118">
        <v>209</v>
      </c>
      <c r="AZ118">
        <v>1</v>
      </c>
      <c r="BA118">
        <v>202</v>
      </c>
      <c r="BB118">
        <v>0.96650720000000001</v>
      </c>
      <c r="BC118">
        <v>144</v>
      </c>
      <c r="BD118">
        <v>0.71287129999999999</v>
      </c>
      <c r="BE118">
        <v>31</v>
      </c>
      <c r="BF118">
        <v>15</v>
      </c>
      <c r="BG118">
        <v>0.483871</v>
      </c>
      <c r="BH118">
        <v>15</v>
      </c>
      <c r="BI118">
        <v>1</v>
      </c>
      <c r="BJ118">
        <v>15</v>
      </c>
      <c r="BK118">
        <v>1</v>
      </c>
      <c r="BL118">
        <v>10</v>
      </c>
      <c r="BM118">
        <v>0.66666669999999995</v>
      </c>
    </row>
    <row r="119" spans="1:65" x14ac:dyDescent="0.25">
      <c r="A119" t="s">
        <v>356</v>
      </c>
      <c r="B119" t="s">
        <v>357</v>
      </c>
      <c r="C119">
        <v>229</v>
      </c>
      <c r="D119">
        <v>210</v>
      </c>
      <c r="E119">
        <v>0.91703060000000003</v>
      </c>
      <c r="F119">
        <v>162</v>
      </c>
      <c r="G119">
        <v>0.77142860000000002</v>
      </c>
      <c r="H119">
        <v>195</v>
      </c>
      <c r="I119">
        <v>0.92857140000000005</v>
      </c>
      <c r="J119">
        <v>129</v>
      </c>
      <c r="K119">
        <v>0.66153850000000003</v>
      </c>
      <c r="L119">
        <v>106</v>
      </c>
      <c r="M119">
        <v>95</v>
      </c>
      <c r="N119">
        <v>0.89622639999999998</v>
      </c>
      <c r="O119">
        <v>67</v>
      </c>
      <c r="P119">
        <v>0.70526319999999998</v>
      </c>
      <c r="Q119">
        <v>90</v>
      </c>
      <c r="R119">
        <v>0.9473684</v>
      </c>
      <c r="S119">
        <v>65</v>
      </c>
      <c r="T119">
        <v>0.72222220000000004</v>
      </c>
      <c r="U119">
        <v>91</v>
      </c>
      <c r="V119">
        <v>59</v>
      </c>
      <c r="W119">
        <v>0.64835160000000003</v>
      </c>
      <c r="X119">
        <v>59</v>
      </c>
      <c r="Y119">
        <v>1</v>
      </c>
      <c r="Z119">
        <v>54</v>
      </c>
      <c r="AA119">
        <v>0.91525420000000002</v>
      </c>
      <c r="AB119">
        <v>41</v>
      </c>
      <c r="AC119">
        <v>0.75925929999999997</v>
      </c>
      <c r="AD119">
        <v>15</v>
      </c>
      <c r="AE119">
        <v>8</v>
      </c>
      <c r="AF119">
        <v>0.53333330000000001</v>
      </c>
      <c r="AG119">
        <v>8</v>
      </c>
      <c r="AH119">
        <v>1</v>
      </c>
      <c r="AI119">
        <v>8</v>
      </c>
      <c r="AJ119">
        <v>1</v>
      </c>
      <c r="AK119">
        <v>5</v>
      </c>
      <c r="AL119">
        <v>0.625</v>
      </c>
      <c r="AM119">
        <v>123</v>
      </c>
      <c r="AN119">
        <v>115</v>
      </c>
      <c r="AO119">
        <v>0.93495930000000005</v>
      </c>
      <c r="AP119">
        <v>95</v>
      </c>
      <c r="AQ119">
        <v>0.82608700000000002</v>
      </c>
      <c r="AR119">
        <v>105</v>
      </c>
      <c r="AS119">
        <v>0.91304350000000001</v>
      </c>
      <c r="AT119">
        <v>64</v>
      </c>
      <c r="AU119">
        <v>0.60952379999999995</v>
      </c>
      <c r="AV119">
        <v>117</v>
      </c>
      <c r="AW119" t="s">
        <v>127</v>
      </c>
      <c r="AX119" t="s">
        <v>127</v>
      </c>
      <c r="AY119" t="s">
        <v>127</v>
      </c>
      <c r="AZ119" t="s">
        <v>127</v>
      </c>
      <c r="BA119" t="s">
        <v>127</v>
      </c>
      <c r="BB119" t="s">
        <v>127</v>
      </c>
      <c r="BC119" t="s">
        <v>127</v>
      </c>
      <c r="BD119" t="s">
        <v>127</v>
      </c>
      <c r="BE119">
        <v>6</v>
      </c>
      <c r="BF119" t="s">
        <v>127</v>
      </c>
      <c r="BG119" t="s">
        <v>127</v>
      </c>
      <c r="BH119" t="s">
        <v>127</v>
      </c>
      <c r="BI119" t="s">
        <v>127</v>
      </c>
      <c r="BJ119" t="s">
        <v>127</v>
      </c>
      <c r="BK119" t="s">
        <v>127</v>
      </c>
      <c r="BL119" t="s">
        <v>127</v>
      </c>
      <c r="BM119" t="s">
        <v>127</v>
      </c>
    </row>
    <row r="120" spans="1:65" x14ac:dyDescent="0.25">
      <c r="A120" t="s">
        <v>358</v>
      </c>
      <c r="B120" t="s">
        <v>359</v>
      </c>
      <c r="C120">
        <v>754</v>
      </c>
      <c r="D120">
        <v>279</v>
      </c>
      <c r="E120">
        <v>0.37002649999999998</v>
      </c>
      <c r="F120">
        <v>175</v>
      </c>
      <c r="G120">
        <v>0.62724009999999997</v>
      </c>
      <c r="H120">
        <v>262</v>
      </c>
      <c r="I120">
        <v>0.93906809999999996</v>
      </c>
      <c r="J120">
        <v>14</v>
      </c>
      <c r="K120">
        <v>5.3435099999999999E-2</v>
      </c>
      <c r="L120">
        <v>384</v>
      </c>
      <c r="M120">
        <v>118</v>
      </c>
      <c r="N120">
        <v>0.3072917</v>
      </c>
      <c r="O120">
        <v>77</v>
      </c>
      <c r="P120">
        <v>0.65254239999999997</v>
      </c>
      <c r="Q120">
        <v>114</v>
      </c>
      <c r="R120">
        <v>0.96610169999999995</v>
      </c>
      <c r="S120">
        <v>6</v>
      </c>
      <c r="T120">
        <v>5.2631600000000001E-2</v>
      </c>
      <c r="U120">
        <v>350</v>
      </c>
      <c r="V120" t="s">
        <v>127</v>
      </c>
      <c r="W120" t="s">
        <v>127</v>
      </c>
      <c r="X120" t="s">
        <v>127</v>
      </c>
      <c r="Y120" t="s">
        <v>127</v>
      </c>
      <c r="Z120" t="s">
        <v>127</v>
      </c>
      <c r="AA120" t="s">
        <v>127</v>
      </c>
      <c r="AB120">
        <v>2</v>
      </c>
      <c r="AC120" t="s">
        <v>127</v>
      </c>
      <c r="AD120">
        <v>34</v>
      </c>
      <c r="AE120" t="s">
        <v>127</v>
      </c>
      <c r="AF120" t="s">
        <v>127</v>
      </c>
      <c r="AG120" t="s">
        <v>127</v>
      </c>
      <c r="AH120" t="s">
        <v>127</v>
      </c>
      <c r="AI120" t="s">
        <v>127</v>
      </c>
      <c r="AJ120" t="s">
        <v>127</v>
      </c>
      <c r="AK120">
        <v>0</v>
      </c>
      <c r="AL120" t="s">
        <v>127</v>
      </c>
      <c r="AM120">
        <v>370</v>
      </c>
      <c r="AN120">
        <v>161</v>
      </c>
      <c r="AO120">
        <v>0.4351351</v>
      </c>
      <c r="AP120">
        <v>98</v>
      </c>
      <c r="AQ120">
        <v>0.60869569999999995</v>
      </c>
      <c r="AR120">
        <v>148</v>
      </c>
      <c r="AS120">
        <v>0.91925469999999998</v>
      </c>
      <c r="AT120">
        <v>8</v>
      </c>
      <c r="AU120">
        <v>5.4054100000000001E-2</v>
      </c>
      <c r="AV120">
        <v>337</v>
      </c>
      <c r="AW120" t="s">
        <v>127</v>
      </c>
      <c r="AX120" t="s">
        <v>127</v>
      </c>
      <c r="AY120" t="s">
        <v>127</v>
      </c>
      <c r="AZ120" t="s">
        <v>127</v>
      </c>
      <c r="BA120" t="s">
        <v>127</v>
      </c>
      <c r="BB120" t="s">
        <v>127</v>
      </c>
      <c r="BC120" t="s">
        <v>127</v>
      </c>
      <c r="BD120">
        <v>7.9545500000000005E-2</v>
      </c>
      <c r="BE120">
        <v>33</v>
      </c>
      <c r="BF120" t="s">
        <v>127</v>
      </c>
      <c r="BG120" t="s">
        <v>127</v>
      </c>
      <c r="BH120" t="s">
        <v>127</v>
      </c>
      <c r="BI120" t="s">
        <v>127</v>
      </c>
      <c r="BJ120" t="s">
        <v>127</v>
      </c>
      <c r="BK120" t="s">
        <v>127</v>
      </c>
      <c r="BL120">
        <v>0</v>
      </c>
      <c r="BM120" t="s">
        <v>127</v>
      </c>
    </row>
    <row r="121" spans="1:65" x14ac:dyDescent="0.25">
      <c r="A121" t="s">
        <v>360</v>
      </c>
      <c r="B121" t="s">
        <v>361</v>
      </c>
      <c r="C121">
        <v>298</v>
      </c>
      <c r="D121">
        <v>208</v>
      </c>
      <c r="E121">
        <v>0.69798660000000001</v>
      </c>
      <c r="F121">
        <v>104</v>
      </c>
      <c r="G121">
        <v>0.5</v>
      </c>
      <c r="H121">
        <v>204</v>
      </c>
      <c r="I121">
        <v>0.98076920000000001</v>
      </c>
      <c r="J121">
        <v>147</v>
      </c>
      <c r="K121">
        <v>0.72058820000000001</v>
      </c>
      <c r="L121">
        <v>156</v>
      </c>
      <c r="M121">
        <v>106</v>
      </c>
      <c r="N121">
        <v>0.67948719999999996</v>
      </c>
      <c r="O121">
        <v>54</v>
      </c>
      <c r="P121">
        <v>0.50943400000000005</v>
      </c>
      <c r="Q121">
        <v>105</v>
      </c>
      <c r="R121">
        <v>0.99056599999999995</v>
      </c>
      <c r="S121">
        <v>73</v>
      </c>
      <c r="T121">
        <v>0.69523809999999997</v>
      </c>
      <c r="U121">
        <v>149</v>
      </c>
      <c r="V121" t="s">
        <v>127</v>
      </c>
      <c r="W121" t="s">
        <v>127</v>
      </c>
      <c r="X121" t="s">
        <v>127</v>
      </c>
      <c r="Y121" t="s">
        <v>127</v>
      </c>
      <c r="Z121" t="s">
        <v>127</v>
      </c>
      <c r="AA121" t="s">
        <v>127</v>
      </c>
      <c r="AB121" t="s">
        <v>127</v>
      </c>
      <c r="AC121" t="s">
        <v>127</v>
      </c>
      <c r="AD121">
        <v>7</v>
      </c>
      <c r="AE121" t="s">
        <v>127</v>
      </c>
      <c r="AF121" t="s">
        <v>127</v>
      </c>
      <c r="AG121" t="s">
        <v>127</v>
      </c>
      <c r="AH121" t="s">
        <v>127</v>
      </c>
      <c r="AI121" t="s">
        <v>127</v>
      </c>
      <c r="AJ121" t="s">
        <v>127</v>
      </c>
      <c r="AK121" t="s">
        <v>127</v>
      </c>
      <c r="AL121" t="s">
        <v>127</v>
      </c>
      <c r="AM121">
        <v>142</v>
      </c>
      <c r="AN121">
        <v>102</v>
      </c>
      <c r="AO121">
        <v>0.71830989999999995</v>
      </c>
      <c r="AP121">
        <v>50</v>
      </c>
      <c r="AQ121">
        <v>0.49019610000000002</v>
      </c>
      <c r="AR121">
        <v>99</v>
      </c>
      <c r="AS121">
        <v>0.97058820000000001</v>
      </c>
      <c r="AT121">
        <v>74</v>
      </c>
      <c r="AU121">
        <v>0.74747470000000005</v>
      </c>
      <c r="AV121" t="s">
        <v>127</v>
      </c>
      <c r="AW121" t="s">
        <v>127</v>
      </c>
      <c r="AX121" t="s">
        <v>127</v>
      </c>
      <c r="AY121" t="s">
        <v>127</v>
      </c>
      <c r="AZ121" t="s">
        <v>127</v>
      </c>
      <c r="BA121" t="s">
        <v>127</v>
      </c>
      <c r="BB121" t="s">
        <v>127</v>
      </c>
      <c r="BC121" t="s">
        <v>127</v>
      </c>
      <c r="BD121" t="s">
        <v>127</v>
      </c>
      <c r="BE121" t="s">
        <v>127</v>
      </c>
      <c r="BF121" t="s">
        <v>127</v>
      </c>
      <c r="BG121" t="s">
        <v>127</v>
      </c>
      <c r="BH121" t="s">
        <v>127</v>
      </c>
      <c r="BI121" t="s">
        <v>127</v>
      </c>
      <c r="BJ121" t="s">
        <v>127</v>
      </c>
      <c r="BK121" t="s">
        <v>127</v>
      </c>
      <c r="BL121" t="s">
        <v>127</v>
      </c>
      <c r="BM121" t="s">
        <v>127</v>
      </c>
    </row>
    <row r="122" spans="1:65" x14ac:dyDescent="0.25">
      <c r="A122" t="s">
        <v>362</v>
      </c>
      <c r="B122" t="s">
        <v>363</v>
      </c>
      <c r="C122">
        <v>662</v>
      </c>
      <c r="D122">
        <v>514</v>
      </c>
      <c r="E122">
        <v>0.77643499999999999</v>
      </c>
      <c r="F122">
        <v>303</v>
      </c>
      <c r="G122">
        <v>0.58949419999999997</v>
      </c>
      <c r="H122">
        <v>492</v>
      </c>
      <c r="I122">
        <v>0.9571984</v>
      </c>
      <c r="J122">
        <v>291</v>
      </c>
      <c r="K122">
        <v>0.59146339999999997</v>
      </c>
      <c r="L122">
        <v>280</v>
      </c>
      <c r="M122">
        <v>248</v>
      </c>
      <c r="N122">
        <v>0.88571429999999995</v>
      </c>
      <c r="O122">
        <v>149</v>
      </c>
      <c r="P122">
        <v>0.60080650000000002</v>
      </c>
      <c r="Q122">
        <v>245</v>
      </c>
      <c r="R122">
        <v>0.98790319999999998</v>
      </c>
      <c r="S122">
        <v>153</v>
      </c>
      <c r="T122">
        <v>0.62448979999999998</v>
      </c>
      <c r="U122">
        <v>268</v>
      </c>
      <c r="V122" t="s">
        <v>127</v>
      </c>
      <c r="W122" t="s">
        <v>127</v>
      </c>
      <c r="X122" t="s">
        <v>127</v>
      </c>
      <c r="Y122" t="s">
        <v>127</v>
      </c>
      <c r="Z122" t="s">
        <v>127</v>
      </c>
      <c r="AA122" t="s">
        <v>127</v>
      </c>
      <c r="AB122">
        <v>103</v>
      </c>
      <c r="AC122" t="s">
        <v>127</v>
      </c>
      <c r="AD122">
        <v>12</v>
      </c>
      <c r="AE122" t="s">
        <v>127</v>
      </c>
      <c r="AF122" t="s">
        <v>127</v>
      </c>
      <c r="AG122" t="s">
        <v>127</v>
      </c>
      <c r="AH122" t="s">
        <v>127</v>
      </c>
      <c r="AI122" t="s">
        <v>127</v>
      </c>
      <c r="AJ122" t="s">
        <v>127</v>
      </c>
      <c r="AK122">
        <v>0</v>
      </c>
      <c r="AL122" t="s">
        <v>127</v>
      </c>
      <c r="AM122">
        <v>382</v>
      </c>
      <c r="AN122">
        <v>266</v>
      </c>
      <c r="AO122">
        <v>0.69633509999999998</v>
      </c>
      <c r="AP122">
        <v>154</v>
      </c>
      <c r="AQ122">
        <v>0.5789474</v>
      </c>
      <c r="AR122">
        <v>247</v>
      </c>
      <c r="AS122">
        <v>0.92857140000000005</v>
      </c>
      <c r="AT122">
        <v>138</v>
      </c>
      <c r="AU122">
        <v>0.55870450000000005</v>
      </c>
      <c r="AV122">
        <v>356</v>
      </c>
      <c r="AW122" t="s">
        <v>127</v>
      </c>
      <c r="AX122" t="s">
        <v>127</v>
      </c>
      <c r="AY122" t="s">
        <v>127</v>
      </c>
      <c r="AZ122" t="s">
        <v>127</v>
      </c>
      <c r="BA122" t="s">
        <v>127</v>
      </c>
      <c r="BB122" t="s">
        <v>127</v>
      </c>
      <c r="BC122" t="s">
        <v>127</v>
      </c>
      <c r="BD122" t="s">
        <v>127</v>
      </c>
      <c r="BE122">
        <v>26</v>
      </c>
      <c r="BF122" t="s">
        <v>127</v>
      </c>
      <c r="BG122" t="s">
        <v>127</v>
      </c>
      <c r="BH122" t="s">
        <v>127</v>
      </c>
      <c r="BI122" t="s">
        <v>127</v>
      </c>
      <c r="BJ122" t="s">
        <v>127</v>
      </c>
      <c r="BK122" t="s">
        <v>127</v>
      </c>
      <c r="BL122" t="s">
        <v>127</v>
      </c>
      <c r="BM122" t="s">
        <v>127</v>
      </c>
    </row>
    <row r="123" spans="1:65" x14ac:dyDescent="0.25">
      <c r="A123" t="s">
        <v>364</v>
      </c>
      <c r="B123" t="s">
        <v>365</v>
      </c>
      <c r="C123">
        <v>2692</v>
      </c>
      <c r="D123">
        <v>1737</v>
      </c>
      <c r="E123">
        <v>0.64524519999999996</v>
      </c>
      <c r="F123">
        <v>1176</v>
      </c>
      <c r="G123">
        <v>0.6770294</v>
      </c>
      <c r="H123">
        <v>1685</v>
      </c>
      <c r="I123">
        <v>0.97006329999999996</v>
      </c>
      <c r="J123">
        <v>1122</v>
      </c>
      <c r="K123">
        <v>0.66587540000000001</v>
      </c>
      <c r="L123">
        <v>1262</v>
      </c>
      <c r="M123">
        <v>805</v>
      </c>
      <c r="N123">
        <v>0.63787640000000001</v>
      </c>
      <c r="O123">
        <v>504</v>
      </c>
      <c r="P123">
        <v>0.62608699999999995</v>
      </c>
      <c r="Q123">
        <v>796</v>
      </c>
      <c r="R123">
        <v>0.98881989999999997</v>
      </c>
      <c r="S123">
        <v>527</v>
      </c>
      <c r="T123">
        <v>0.66206030000000005</v>
      </c>
      <c r="U123">
        <v>1197</v>
      </c>
      <c r="V123">
        <v>490</v>
      </c>
      <c r="W123">
        <v>0.40935670000000002</v>
      </c>
      <c r="X123">
        <v>490</v>
      </c>
      <c r="Y123">
        <v>1</v>
      </c>
      <c r="Z123">
        <v>482</v>
      </c>
      <c r="AA123">
        <v>0.98367349999999998</v>
      </c>
      <c r="AB123">
        <v>311</v>
      </c>
      <c r="AC123">
        <v>0.64522820000000003</v>
      </c>
      <c r="AD123">
        <v>65</v>
      </c>
      <c r="AE123">
        <v>14</v>
      </c>
      <c r="AF123">
        <v>0.21538460000000001</v>
      </c>
      <c r="AG123">
        <v>14</v>
      </c>
      <c r="AH123">
        <v>1</v>
      </c>
      <c r="AI123">
        <v>14</v>
      </c>
      <c r="AJ123">
        <v>1</v>
      </c>
      <c r="AK123">
        <v>9</v>
      </c>
      <c r="AL123">
        <v>0.64285709999999996</v>
      </c>
      <c r="AM123">
        <v>1430</v>
      </c>
      <c r="AN123">
        <v>932</v>
      </c>
      <c r="AO123">
        <v>0.65174829999999995</v>
      </c>
      <c r="AP123">
        <v>672</v>
      </c>
      <c r="AQ123">
        <v>0.72102999999999995</v>
      </c>
      <c r="AR123">
        <v>889</v>
      </c>
      <c r="AS123">
        <v>0.95386269999999995</v>
      </c>
      <c r="AT123">
        <v>595</v>
      </c>
      <c r="AU123">
        <v>0.66929130000000003</v>
      </c>
      <c r="AV123">
        <v>1383</v>
      </c>
      <c r="AW123">
        <v>659</v>
      </c>
      <c r="AX123">
        <v>0.47650039999999999</v>
      </c>
      <c r="AY123">
        <v>659</v>
      </c>
      <c r="AZ123">
        <v>1</v>
      </c>
      <c r="BA123">
        <v>625</v>
      </c>
      <c r="BB123">
        <v>0.94840670000000005</v>
      </c>
      <c r="BC123">
        <v>404</v>
      </c>
      <c r="BD123">
        <v>0.64639999999999997</v>
      </c>
      <c r="BE123">
        <v>47</v>
      </c>
      <c r="BF123">
        <v>13</v>
      </c>
      <c r="BG123">
        <v>0.2765957</v>
      </c>
      <c r="BH123">
        <v>13</v>
      </c>
      <c r="BI123">
        <v>1</v>
      </c>
      <c r="BJ123">
        <v>12</v>
      </c>
      <c r="BK123">
        <v>0.92307689999999998</v>
      </c>
      <c r="BL123">
        <v>9</v>
      </c>
      <c r="BM123">
        <v>0.75</v>
      </c>
    </row>
    <row r="124" spans="1:65" x14ac:dyDescent="0.25">
      <c r="A124" t="s">
        <v>366</v>
      </c>
      <c r="B124" t="s">
        <v>367</v>
      </c>
      <c r="C124">
        <v>985</v>
      </c>
      <c r="D124">
        <v>302</v>
      </c>
      <c r="E124">
        <v>0.30659900000000001</v>
      </c>
      <c r="F124">
        <v>185</v>
      </c>
      <c r="G124">
        <v>0.61258279999999998</v>
      </c>
      <c r="H124">
        <v>288</v>
      </c>
      <c r="I124">
        <v>0.9536424</v>
      </c>
      <c r="J124">
        <v>13</v>
      </c>
      <c r="K124">
        <v>4.5138900000000003E-2</v>
      </c>
      <c r="L124">
        <v>471</v>
      </c>
      <c r="M124">
        <v>147</v>
      </c>
      <c r="N124">
        <v>0.31210189999999999</v>
      </c>
      <c r="O124">
        <v>81</v>
      </c>
      <c r="P124">
        <v>0.55102039999999997</v>
      </c>
      <c r="Q124">
        <v>142</v>
      </c>
      <c r="R124">
        <v>0.96598640000000002</v>
      </c>
      <c r="S124">
        <v>7</v>
      </c>
      <c r="T124">
        <v>4.9295800000000001E-2</v>
      </c>
      <c r="U124">
        <v>438</v>
      </c>
      <c r="V124">
        <v>81</v>
      </c>
      <c r="W124">
        <v>0.1849315</v>
      </c>
      <c r="X124">
        <v>81</v>
      </c>
      <c r="Y124">
        <v>1</v>
      </c>
      <c r="Z124">
        <v>78</v>
      </c>
      <c r="AA124">
        <v>0.96296300000000001</v>
      </c>
      <c r="AB124">
        <v>4</v>
      </c>
      <c r="AC124">
        <v>5.1282099999999997E-2</v>
      </c>
      <c r="AD124">
        <v>33</v>
      </c>
      <c r="AE124">
        <v>0</v>
      </c>
      <c r="AF124">
        <v>0</v>
      </c>
      <c r="AG124">
        <v>0</v>
      </c>
      <c r="AH124">
        <v>0</v>
      </c>
      <c r="AI124">
        <v>0</v>
      </c>
      <c r="AJ124">
        <v>0</v>
      </c>
      <c r="AK124">
        <v>0</v>
      </c>
      <c r="AL124">
        <v>0</v>
      </c>
      <c r="AM124">
        <v>514</v>
      </c>
      <c r="AN124">
        <v>155</v>
      </c>
      <c r="AO124">
        <v>0.3015564</v>
      </c>
      <c r="AP124">
        <v>104</v>
      </c>
      <c r="AQ124">
        <v>0.67096769999999994</v>
      </c>
      <c r="AR124">
        <v>146</v>
      </c>
      <c r="AS124">
        <v>0.94193550000000004</v>
      </c>
      <c r="AT124">
        <v>6</v>
      </c>
      <c r="AU124">
        <v>4.1095899999999998E-2</v>
      </c>
      <c r="AV124">
        <v>465</v>
      </c>
      <c r="AW124" t="s">
        <v>127</v>
      </c>
      <c r="AX124" t="s">
        <v>127</v>
      </c>
      <c r="AY124" t="s">
        <v>127</v>
      </c>
      <c r="AZ124" t="s">
        <v>127</v>
      </c>
      <c r="BA124" t="s">
        <v>127</v>
      </c>
      <c r="BB124" t="s">
        <v>127</v>
      </c>
      <c r="BC124" t="s">
        <v>127</v>
      </c>
      <c r="BD124">
        <v>4.1237099999999999E-2</v>
      </c>
      <c r="BE124">
        <v>49</v>
      </c>
      <c r="BF124" t="s">
        <v>127</v>
      </c>
      <c r="BG124" t="s">
        <v>127</v>
      </c>
      <c r="BH124" t="s">
        <v>127</v>
      </c>
      <c r="BI124" t="s">
        <v>127</v>
      </c>
      <c r="BJ124" t="s">
        <v>127</v>
      </c>
      <c r="BK124" t="s">
        <v>127</v>
      </c>
      <c r="BL124">
        <v>0</v>
      </c>
      <c r="BM124" t="s">
        <v>127</v>
      </c>
    </row>
    <row r="125" spans="1:65" x14ac:dyDescent="0.25">
      <c r="A125" t="s">
        <v>368</v>
      </c>
      <c r="B125" t="s">
        <v>369</v>
      </c>
      <c r="C125">
        <v>166</v>
      </c>
      <c r="D125">
        <v>123</v>
      </c>
      <c r="E125">
        <v>0.74096390000000001</v>
      </c>
      <c r="F125">
        <v>99</v>
      </c>
      <c r="G125">
        <v>0.80487799999999998</v>
      </c>
      <c r="H125">
        <v>112</v>
      </c>
      <c r="I125">
        <v>0.91056910000000002</v>
      </c>
      <c r="J125">
        <v>53</v>
      </c>
      <c r="K125">
        <v>0.47321429999999998</v>
      </c>
      <c r="L125">
        <v>69</v>
      </c>
      <c r="M125">
        <v>39</v>
      </c>
      <c r="N125">
        <v>0.56521739999999998</v>
      </c>
      <c r="O125">
        <v>30</v>
      </c>
      <c r="P125">
        <v>0.76923079999999999</v>
      </c>
      <c r="Q125">
        <v>32</v>
      </c>
      <c r="R125">
        <v>0.82051280000000004</v>
      </c>
      <c r="S125">
        <v>21</v>
      </c>
      <c r="T125">
        <v>0.65625</v>
      </c>
      <c r="U125">
        <v>69</v>
      </c>
      <c r="V125">
        <v>30</v>
      </c>
      <c r="W125">
        <v>0.43478260000000002</v>
      </c>
      <c r="X125">
        <v>30</v>
      </c>
      <c r="Y125">
        <v>1</v>
      </c>
      <c r="Z125">
        <v>23</v>
      </c>
      <c r="AA125">
        <v>0.76666670000000003</v>
      </c>
      <c r="AB125">
        <v>16</v>
      </c>
      <c r="AC125">
        <v>0.69565220000000005</v>
      </c>
      <c r="AD125">
        <v>0</v>
      </c>
      <c r="AE125">
        <v>0</v>
      </c>
      <c r="AF125">
        <v>0</v>
      </c>
      <c r="AG125">
        <v>0</v>
      </c>
      <c r="AH125">
        <v>0</v>
      </c>
      <c r="AI125">
        <v>0</v>
      </c>
      <c r="AJ125">
        <v>0</v>
      </c>
      <c r="AK125">
        <v>0</v>
      </c>
      <c r="AL125">
        <v>0</v>
      </c>
      <c r="AM125">
        <v>97</v>
      </c>
      <c r="AN125">
        <v>84</v>
      </c>
      <c r="AO125">
        <v>0.86597939999999995</v>
      </c>
      <c r="AP125">
        <v>69</v>
      </c>
      <c r="AQ125">
        <v>0.82142859999999995</v>
      </c>
      <c r="AR125">
        <v>80</v>
      </c>
      <c r="AS125">
        <v>0.95238100000000003</v>
      </c>
      <c r="AT125">
        <v>32</v>
      </c>
      <c r="AU125">
        <v>0.4</v>
      </c>
      <c r="AV125" t="s">
        <v>127</v>
      </c>
      <c r="AW125">
        <v>69</v>
      </c>
      <c r="AX125">
        <v>0.72631579999999996</v>
      </c>
      <c r="AY125" t="s">
        <v>127</v>
      </c>
      <c r="AZ125">
        <v>1</v>
      </c>
      <c r="BA125">
        <v>65</v>
      </c>
      <c r="BB125">
        <v>0.94202900000000001</v>
      </c>
      <c r="BC125">
        <v>25</v>
      </c>
      <c r="BD125">
        <v>0.3846154</v>
      </c>
      <c r="BE125" t="s">
        <v>127</v>
      </c>
      <c r="BF125">
        <v>0</v>
      </c>
      <c r="BG125" t="s">
        <v>127</v>
      </c>
      <c r="BH125">
        <v>0</v>
      </c>
      <c r="BI125">
        <v>0</v>
      </c>
      <c r="BJ125">
        <v>0</v>
      </c>
      <c r="BK125">
        <v>0</v>
      </c>
      <c r="BL125">
        <v>0</v>
      </c>
      <c r="BM125">
        <v>0</v>
      </c>
    </row>
    <row r="126" spans="1:65" x14ac:dyDescent="0.25">
      <c r="A126" t="s">
        <v>370</v>
      </c>
      <c r="B126" t="s">
        <v>371</v>
      </c>
      <c r="C126">
        <v>140</v>
      </c>
      <c r="D126">
        <v>61</v>
      </c>
      <c r="E126">
        <v>0.4357143</v>
      </c>
      <c r="F126">
        <v>49</v>
      </c>
      <c r="G126">
        <v>0.80327870000000001</v>
      </c>
      <c r="H126">
        <v>60</v>
      </c>
      <c r="I126">
        <v>0.9836066</v>
      </c>
      <c r="J126">
        <v>38</v>
      </c>
      <c r="K126">
        <v>0.63333329999999999</v>
      </c>
      <c r="L126">
        <v>68</v>
      </c>
      <c r="M126">
        <v>28</v>
      </c>
      <c r="N126">
        <v>0.41176469999999998</v>
      </c>
      <c r="O126">
        <v>20</v>
      </c>
      <c r="P126">
        <v>0.71428570000000002</v>
      </c>
      <c r="Q126">
        <v>28</v>
      </c>
      <c r="R126">
        <v>1</v>
      </c>
      <c r="S126">
        <v>20</v>
      </c>
      <c r="T126">
        <v>0.71428570000000002</v>
      </c>
      <c r="U126">
        <v>68</v>
      </c>
      <c r="V126">
        <v>20</v>
      </c>
      <c r="W126">
        <v>0.29411759999999998</v>
      </c>
      <c r="X126">
        <v>20</v>
      </c>
      <c r="Y126">
        <v>1</v>
      </c>
      <c r="Z126">
        <v>20</v>
      </c>
      <c r="AA126">
        <v>1</v>
      </c>
      <c r="AB126">
        <v>16</v>
      </c>
      <c r="AC126">
        <v>0.8</v>
      </c>
      <c r="AD126">
        <v>0</v>
      </c>
      <c r="AE126">
        <v>0</v>
      </c>
      <c r="AF126">
        <v>0</v>
      </c>
      <c r="AG126">
        <v>0</v>
      </c>
      <c r="AH126">
        <v>0</v>
      </c>
      <c r="AI126">
        <v>0</v>
      </c>
      <c r="AJ126">
        <v>0</v>
      </c>
      <c r="AK126">
        <v>0</v>
      </c>
      <c r="AL126">
        <v>0</v>
      </c>
      <c r="AM126">
        <v>72</v>
      </c>
      <c r="AN126">
        <v>33</v>
      </c>
      <c r="AO126">
        <v>0.4583333</v>
      </c>
      <c r="AP126">
        <v>29</v>
      </c>
      <c r="AQ126">
        <v>0.87878789999999996</v>
      </c>
      <c r="AR126">
        <v>32</v>
      </c>
      <c r="AS126">
        <v>0.96969700000000003</v>
      </c>
      <c r="AT126">
        <v>18</v>
      </c>
      <c r="AU126">
        <v>0.5625</v>
      </c>
      <c r="AV126" t="s">
        <v>127</v>
      </c>
      <c r="AW126" t="s">
        <v>127</v>
      </c>
      <c r="AX126" t="s">
        <v>127</v>
      </c>
      <c r="AY126" t="s">
        <v>127</v>
      </c>
      <c r="AZ126" t="s">
        <v>127</v>
      </c>
      <c r="BA126" t="s">
        <v>127</v>
      </c>
      <c r="BB126" t="s">
        <v>127</v>
      </c>
      <c r="BC126" t="s">
        <v>127</v>
      </c>
      <c r="BD126">
        <v>0.55555560000000004</v>
      </c>
      <c r="BE126" t="s">
        <v>127</v>
      </c>
      <c r="BF126" t="s">
        <v>127</v>
      </c>
      <c r="BG126" t="s">
        <v>127</v>
      </c>
      <c r="BH126" t="s">
        <v>127</v>
      </c>
      <c r="BI126" t="s">
        <v>127</v>
      </c>
      <c r="BJ126" t="s">
        <v>127</v>
      </c>
      <c r="BK126" t="s">
        <v>127</v>
      </c>
      <c r="BL126">
        <v>0</v>
      </c>
      <c r="BM126" t="s">
        <v>127</v>
      </c>
    </row>
    <row r="127" spans="1:65" x14ac:dyDescent="0.25">
      <c r="A127" t="s">
        <v>372</v>
      </c>
      <c r="B127" t="s">
        <v>373</v>
      </c>
      <c r="C127">
        <v>43</v>
      </c>
      <c r="D127">
        <v>42</v>
      </c>
      <c r="E127">
        <v>0.97674419999999995</v>
      </c>
      <c r="F127">
        <v>25</v>
      </c>
      <c r="G127">
        <v>0.59523809999999999</v>
      </c>
      <c r="H127">
        <v>41</v>
      </c>
      <c r="I127">
        <v>0.97619049999999996</v>
      </c>
      <c r="J127">
        <v>21</v>
      </c>
      <c r="K127">
        <v>0.51219510000000001</v>
      </c>
      <c r="L127">
        <v>21</v>
      </c>
      <c r="M127">
        <v>17</v>
      </c>
      <c r="N127">
        <v>0.80952380000000002</v>
      </c>
      <c r="O127">
        <v>10</v>
      </c>
      <c r="P127">
        <v>0.58823530000000002</v>
      </c>
      <c r="Q127">
        <v>17</v>
      </c>
      <c r="R127">
        <v>1</v>
      </c>
      <c r="S127">
        <v>7</v>
      </c>
      <c r="T127">
        <v>0.41176469999999998</v>
      </c>
      <c r="U127">
        <v>21</v>
      </c>
      <c r="V127">
        <v>10</v>
      </c>
      <c r="W127">
        <v>0.47619050000000002</v>
      </c>
      <c r="X127">
        <v>10</v>
      </c>
      <c r="Y127">
        <v>1</v>
      </c>
      <c r="Z127">
        <v>10</v>
      </c>
      <c r="AA127">
        <v>1</v>
      </c>
      <c r="AB127">
        <v>3</v>
      </c>
      <c r="AC127">
        <v>0.3</v>
      </c>
      <c r="AD127">
        <v>0</v>
      </c>
      <c r="AE127">
        <v>0</v>
      </c>
      <c r="AF127">
        <v>0</v>
      </c>
      <c r="AG127">
        <v>0</v>
      </c>
      <c r="AH127">
        <v>0</v>
      </c>
      <c r="AI127">
        <v>0</v>
      </c>
      <c r="AJ127">
        <v>0</v>
      </c>
      <c r="AK127">
        <v>0</v>
      </c>
      <c r="AL127">
        <v>0</v>
      </c>
      <c r="AM127">
        <v>22</v>
      </c>
      <c r="AN127">
        <v>25</v>
      </c>
      <c r="AO127">
        <v>1.1363635999999999</v>
      </c>
      <c r="AP127">
        <v>15</v>
      </c>
      <c r="AQ127">
        <v>0.6</v>
      </c>
      <c r="AR127">
        <v>24</v>
      </c>
      <c r="AS127">
        <v>0.96</v>
      </c>
      <c r="AT127">
        <v>14</v>
      </c>
      <c r="AU127">
        <v>0.58333330000000005</v>
      </c>
      <c r="AV127">
        <v>22</v>
      </c>
      <c r="AW127">
        <v>15</v>
      </c>
      <c r="AX127">
        <v>0.68181820000000004</v>
      </c>
      <c r="AY127">
        <v>15</v>
      </c>
      <c r="AZ127">
        <v>1</v>
      </c>
      <c r="BA127">
        <v>15</v>
      </c>
      <c r="BB127">
        <v>1</v>
      </c>
      <c r="BC127">
        <v>9</v>
      </c>
      <c r="BD127">
        <v>0.6</v>
      </c>
      <c r="BE127">
        <v>0</v>
      </c>
      <c r="BF127">
        <v>0</v>
      </c>
      <c r="BG127">
        <v>0</v>
      </c>
      <c r="BH127">
        <v>0</v>
      </c>
      <c r="BI127">
        <v>0</v>
      </c>
      <c r="BJ127">
        <v>0</v>
      </c>
      <c r="BK127">
        <v>0</v>
      </c>
      <c r="BL127">
        <v>0</v>
      </c>
      <c r="BM127">
        <v>0</v>
      </c>
    </row>
    <row r="128" spans="1:65" x14ac:dyDescent="0.25">
      <c r="A128" t="s">
        <v>374</v>
      </c>
      <c r="B128" t="s">
        <v>375</v>
      </c>
      <c r="C128">
        <v>294</v>
      </c>
      <c r="D128">
        <v>220</v>
      </c>
      <c r="E128">
        <v>0.7482993</v>
      </c>
      <c r="F128">
        <v>179</v>
      </c>
      <c r="G128">
        <v>0.81363640000000004</v>
      </c>
      <c r="H128">
        <v>217</v>
      </c>
      <c r="I128">
        <v>0.98636360000000001</v>
      </c>
      <c r="J128">
        <v>103</v>
      </c>
      <c r="K128">
        <v>0.47465439999999998</v>
      </c>
      <c r="L128">
        <v>148</v>
      </c>
      <c r="M128">
        <v>115</v>
      </c>
      <c r="N128">
        <v>0.77702700000000002</v>
      </c>
      <c r="O128">
        <v>90</v>
      </c>
      <c r="P128">
        <v>0.78260870000000005</v>
      </c>
      <c r="Q128">
        <v>112</v>
      </c>
      <c r="R128">
        <v>0.97391300000000003</v>
      </c>
      <c r="S128">
        <v>65</v>
      </c>
      <c r="T128">
        <v>0.58035709999999996</v>
      </c>
      <c r="U128">
        <v>148</v>
      </c>
      <c r="V128">
        <v>90</v>
      </c>
      <c r="W128">
        <v>0.60810810000000004</v>
      </c>
      <c r="X128">
        <v>90</v>
      </c>
      <c r="Y128">
        <v>1</v>
      </c>
      <c r="Z128">
        <v>88</v>
      </c>
      <c r="AA128">
        <v>0.97777780000000003</v>
      </c>
      <c r="AB128">
        <v>54</v>
      </c>
      <c r="AC128">
        <v>0.61363639999999997</v>
      </c>
      <c r="AD128">
        <v>0</v>
      </c>
      <c r="AE128">
        <v>0</v>
      </c>
      <c r="AF128">
        <v>0</v>
      </c>
      <c r="AG128">
        <v>0</v>
      </c>
      <c r="AH128">
        <v>0</v>
      </c>
      <c r="AI128">
        <v>0</v>
      </c>
      <c r="AJ128">
        <v>0</v>
      </c>
      <c r="AK128">
        <v>0</v>
      </c>
      <c r="AL128">
        <v>0</v>
      </c>
      <c r="AM128">
        <v>146</v>
      </c>
      <c r="AN128">
        <v>105</v>
      </c>
      <c r="AO128">
        <v>0.71917810000000004</v>
      </c>
      <c r="AP128">
        <v>89</v>
      </c>
      <c r="AQ128">
        <v>0.84761900000000001</v>
      </c>
      <c r="AR128">
        <v>105</v>
      </c>
      <c r="AS128">
        <v>1</v>
      </c>
      <c r="AT128">
        <v>38</v>
      </c>
      <c r="AU128">
        <v>0.36190480000000003</v>
      </c>
      <c r="AV128" t="s">
        <v>127</v>
      </c>
      <c r="AW128" t="s">
        <v>127</v>
      </c>
      <c r="AX128" t="s">
        <v>127</v>
      </c>
      <c r="AY128" t="s">
        <v>127</v>
      </c>
      <c r="AZ128" t="s">
        <v>127</v>
      </c>
      <c r="BA128" t="s">
        <v>127</v>
      </c>
      <c r="BB128" t="s">
        <v>127</v>
      </c>
      <c r="BC128" t="s">
        <v>127</v>
      </c>
      <c r="BD128">
        <v>0.38636359999999997</v>
      </c>
      <c r="BE128" t="s">
        <v>127</v>
      </c>
      <c r="BF128" t="s">
        <v>127</v>
      </c>
      <c r="BG128" t="s">
        <v>127</v>
      </c>
      <c r="BH128" t="s">
        <v>127</v>
      </c>
      <c r="BI128" t="s">
        <v>127</v>
      </c>
      <c r="BJ128" t="s">
        <v>127</v>
      </c>
      <c r="BK128" t="s">
        <v>127</v>
      </c>
      <c r="BL128">
        <v>0</v>
      </c>
      <c r="BM128" t="s">
        <v>127</v>
      </c>
    </row>
    <row r="129" spans="1:65" x14ac:dyDescent="0.25">
      <c r="A129" t="s">
        <v>376</v>
      </c>
      <c r="B129" t="s">
        <v>377</v>
      </c>
      <c r="C129">
        <v>114</v>
      </c>
      <c r="D129">
        <v>109</v>
      </c>
      <c r="E129">
        <v>0.9561404</v>
      </c>
      <c r="F129">
        <v>82</v>
      </c>
      <c r="G129">
        <v>0.75229360000000001</v>
      </c>
      <c r="H129">
        <v>107</v>
      </c>
      <c r="I129">
        <v>0.98165139999999995</v>
      </c>
      <c r="J129">
        <v>74</v>
      </c>
      <c r="K129">
        <v>0.6915888</v>
      </c>
      <c r="L129">
        <v>46</v>
      </c>
      <c r="M129">
        <v>48</v>
      </c>
      <c r="N129">
        <v>1.0434783000000001</v>
      </c>
      <c r="O129">
        <v>35</v>
      </c>
      <c r="P129">
        <v>0.72916669999999995</v>
      </c>
      <c r="Q129">
        <v>48</v>
      </c>
      <c r="R129">
        <v>1</v>
      </c>
      <c r="S129">
        <v>31</v>
      </c>
      <c r="T129">
        <v>0.64583330000000005</v>
      </c>
      <c r="U129">
        <v>46</v>
      </c>
      <c r="V129">
        <v>35</v>
      </c>
      <c r="W129">
        <v>0.76086960000000003</v>
      </c>
      <c r="X129">
        <v>35</v>
      </c>
      <c r="Y129">
        <v>1</v>
      </c>
      <c r="Z129">
        <v>35</v>
      </c>
      <c r="AA129">
        <v>1</v>
      </c>
      <c r="AB129">
        <v>22</v>
      </c>
      <c r="AC129">
        <v>0.6285714</v>
      </c>
      <c r="AD129">
        <v>0</v>
      </c>
      <c r="AE129">
        <v>0</v>
      </c>
      <c r="AF129">
        <v>0</v>
      </c>
      <c r="AG129">
        <v>0</v>
      </c>
      <c r="AH129">
        <v>0</v>
      </c>
      <c r="AI129">
        <v>0</v>
      </c>
      <c r="AJ129">
        <v>0</v>
      </c>
      <c r="AK129">
        <v>0</v>
      </c>
      <c r="AL129">
        <v>0</v>
      </c>
      <c r="AM129">
        <v>68</v>
      </c>
      <c r="AN129">
        <v>61</v>
      </c>
      <c r="AO129">
        <v>0.89705880000000005</v>
      </c>
      <c r="AP129">
        <v>47</v>
      </c>
      <c r="AQ129">
        <v>0.77049179999999995</v>
      </c>
      <c r="AR129">
        <v>59</v>
      </c>
      <c r="AS129">
        <v>0.96721310000000005</v>
      </c>
      <c r="AT129">
        <v>43</v>
      </c>
      <c r="AU129">
        <v>0.72881359999999995</v>
      </c>
      <c r="AV129">
        <v>68</v>
      </c>
      <c r="AW129">
        <v>47</v>
      </c>
      <c r="AX129">
        <v>0.69117649999999997</v>
      </c>
      <c r="AY129">
        <v>47</v>
      </c>
      <c r="AZ129">
        <v>1</v>
      </c>
      <c r="BA129">
        <v>47</v>
      </c>
      <c r="BB129">
        <v>1</v>
      </c>
      <c r="BC129">
        <v>36</v>
      </c>
      <c r="BD129">
        <v>0.76595740000000001</v>
      </c>
      <c r="BE129">
        <v>0</v>
      </c>
      <c r="BF129">
        <v>0</v>
      </c>
      <c r="BG129">
        <v>0</v>
      </c>
      <c r="BH129">
        <v>0</v>
      </c>
      <c r="BI129">
        <v>0</v>
      </c>
      <c r="BJ129">
        <v>0</v>
      </c>
      <c r="BK129">
        <v>0</v>
      </c>
      <c r="BL129">
        <v>0</v>
      </c>
      <c r="BM129">
        <v>0</v>
      </c>
    </row>
    <row r="130" spans="1:65" x14ac:dyDescent="0.25">
      <c r="A130" t="s">
        <v>378</v>
      </c>
      <c r="B130" t="s">
        <v>379</v>
      </c>
      <c r="C130">
        <v>114</v>
      </c>
      <c r="D130">
        <v>13</v>
      </c>
      <c r="E130">
        <v>0.1140351</v>
      </c>
      <c r="F130">
        <v>9</v>
      </c>
      <c r="G130">
        <v>0.69230769999999997</v>
      </c>
      <c r="H130">
        <v>13</v>
      </c>
      <c r="I130">
        <v>1</v>
      </c>
      <c r="J130">
        <v>11</v>
      </c>
      <c r="K130">
        <v>0.84615379999999996</v>
      </c>
      <c r="L130">
        <v>28</v>
      </c>
      <c r="M130" t="s">
        <v>127</v>
      </c>
      <c r="N130" t="s">
        <v>127</v>
      </c>
      <c r="O130" t="s">
        <v>127</v>
      </c>
      <c r="P130" t="s">
        <v>127</v>
      </c>
      <c r="Q130" t="s">
        <v>127</v>
      </c>
      <c r="R130" t="s">
        <v>127</v>
      </c>
      <c r="S130" t="s">
        <v>127</v>
      </c>
      <c r="T130" t="s">
        <v>127</v>
      </c>
      <c r="U130">
        <v>28</v>
      </c>
      <c r="V130" t="s">
        <v>127</v>
      </c>
      <c r="W130" t="s">
        <v>127</v>
      </c>
      <c r="X130" t="s">
        <v>127</v>
      </c>
      <c r="Y130" t="s">
        <v>127</v>
      </c>
      <c r="Z130" t="s">
        <v>127</v>
      </c>
      <c r="AA130" t="s">
        <v>127</v>
      </c>
      <c r="AB130" t="s">
        <v>127</v>
      </c>
      <c r="AC130" t="s">
        <v>127</v>
      </c>
      <c r="AD130">
        <v>0</v>
      </c>
      <c r="AE130">
        <v>0</v>
      </c>
      <c r="AF130">
        <v>0</v>
      </c>
      <c r="AG130">
        <v>0</v>
      </c>
      <c r="AH130">
        <v>0</v>
      </c>
      <c r="AI130">
        <v>0</v>
      </c>
      <c r="AJ130">
        <v>0</v>
      </c>
      <c r="AK130">
        <v>0</v>
      </c>
      <c r="AL130">
        <v>0</v>
      </c>
      <c r="AM130">
        <v>86</v>
      </c>
      <c r="AN130">
        <v>13</v>
      </c>
      <c r="AO130">
        <v>0.15116280000000001</v>
      </c>
      <c r="AP130">
        <v>9</v>
      </c>
      <c r="AQ130">
        <v>0.69230769999999997</v>
      </c>
      <c r="AR130">
        <v>13</v>
      </c>
      <c r="AS130">
        <v>1</v>
      </c>
      <c r="AT130">
        <v>11</v>
      </c>
      <c r="AU130">
        <v>0.84615379999999996</v>
      </c>
      <c r="AV130" t="s">
        <v>127</v>
      </c>
      <c r="AW130">
        <v>9</v>
      </c>
      <c r="AX130">
        <v>0.1058824</v>
      </c>
      <c r="AY130" t="s">
        <v>127</v>
      </c>
      <c r="AZ130">
        <v>1</v>
      </c>
      <c r="BA130">
        <v>9</v>
      </c>
      <c r="BB130">
        <v>1</v>
      </c>
      <c r="BC130">
        <v>8</v>
      </c>
      <c r="BD130">
        <v>0.88888889999999998</v>
      </c>
      <c r="BE130" t="s">
        <v>127</v>
      </c>
      <c r="BF130">
        <v>0</v>
      </c>
      <c r="BG130" t="s">
        <v>127</v>
      </c>
      <c r="BH130">
        <v>0</v>
      </c>
      <c r="BI130">
        <v>0</v>
      </c>
      <c r="BJ130">
        <v>0</v>
      </c>
      <c r="BK130">
        <v>0</v>
      </c>
      <c r="BL130">
        <v>0</v>
      </c>
      <c r="BM130">
        <v>0</v>
      </c>
    </row>
    <row r="131" spans="1:65" x14ac:dyDescent="0.25">
      <c r="A131" t="s">
        <v>380</v>
      </c>
      <c r="B131" t="s">
        <v>381</v>
      </c>
      <c r="C131">
        <v>119</v>
      </c>
      <c r="D131">
        <v>158</v>
      </c>
      <c r="E131">
        <v>1.3277311000000001</v>
      </c>
      <c r="F131">
        <v>54</v>
      </c>
      <c r="G131">
        <v>0.34177220000000003</v>
      </c>
      <c r="H131">
        <v>143</v>
      </c>
      <c r="I131">
        <v>0.90506330000000002</v>
      </c>
      <c r="J131">
        <v>109</v>
      </c>
      <c r="K131">
        <v>0.76223779999999997</v>
      </c>
      <c r="L131">
        <v>65</v>
      </c>
      <c r="M131">
        <v>76</v>
      </c>
      <c r="N131">
        <v>1.1692308</v>
      </c>
      <c r="O131">
        <v>28</v>
      </c>
      <c r="P131">
        <v>0.3684211</v>
      </c>
      <c r="Q131">
        <v>70</v>
      </c>
      <c r="R131">
        <v>0.9210526</v>
      </c>
      <c r="S131">
        <v>55</v>
      </c>
      <c r="T131">
        <v>0.78571429999999998</v>
      </c>
      <c r="U131" t="s">
        <v>127</v>
      </c>
      <c r="V131">
        <v>28</v>
      </c>
      <c r="W131" t="s">
        <v>127</v>
      </c>
      <c r="X131">
        <v>28</v>
      </c>
      <c r="Y131">
        <v>1</v>
      </c>
      <c r="Z131">
        <v>26</v>
      </c>
      <c r="AA131">
        <v>0.92857140000000005</v>
      </c>
      <c r="AB131">
        <v>22</v>
      </c>
      <c r="AC131">
        <v>0.84615379999999996</v>
      </c>
      <c r="AD131" t="s">
        <v>127</v>
      </c>
      <c r="AE131">
        <v>0</v>
      </c>
      <c r="AF131" t="s">
        <v>127</v>
      </c>
      <c r="AG131">
        <v>0</v>
      </c>
      <c r="AH131">
        <v>0</v>
      </c>
      <c r="AI131">
        <v>0</v>
      </c>
      <c r="AJ131">
        <v>0</v>
      </c>
      <c r="AK131">
        <v>0</v>
      </c>
      <c r="AL131">
        <v>0</v>
      </c>
      <c r="AM131">
        <v>54</v>
      </c>
      <c r="AN131">
        <v>82</v>
      </c>
      <c r="AO131">
        <v>1.5185185000000001</v>
      </c>
      <c r="AP131">
        <v>26</v>
      </c>
      <c r="AQ131">
        <v>0.3170732</v>
      </c>
      <c r="AR131">
        <v>73</v>
      </c>
      <c r="AS131">
        <v>0.89024389999999998</v>
      </c>
      <c r="AT131">
        <v>54</v>
      </c>
      <c r="AU131">
        <v>0.73972599999999999</v>
      </c>
      <c r="AV131">
        <v>54</v>
      </c>
      <c r="AW131">
        <v>26</v>
      </c>
      <c r="AX131">
        <v>0.48148150000000001</v>
      </c>
      <c r="AY131">
        <v>26</v>
      </c>
      <c r="AZ131">
        <v>1</v>
      </c>
      <c r="BA131">
        <v>23</v>
      </c>
      <c r="BB131">
        <v>0.88461540000000005</v>
      </c>
      <c r="BC131">
        <v>18</v>
      </c>
      <c r="BD131">
        <v>0.78260870000000005</v>
      </c>
      <c r="BE131">
        <v>0</v>
      </c>
      <c r="BF131">
        <v>0</v>
      </c>
      <c r="BG131">
        <v>0</v>
      </c>
      <c r="BH131">
        <v>0</v>
      </c>
      <c r="BI131">
        <v>0</v>
      </c>
      <c r="BJ131">
        <v>0</v>
      </c>
      <c r="BK131">
        <v>0</v>
      </c>
      <c r="BL131">
        <v>0</v>
      </c>
      <c r="BM131">
        <v>0</v>
      </c>
    </row>
    <row r="132" spans="1:65" x14ac:dyDescent="0.25">
      <c r="A132" t="s">
        <v>382</v>
      </c>
      <c r="B132" t="s">
        <v>383</v>
      </c>
      <c r="C132">
        <v>558</v>
      </c>
      <c r="D132">
        <v>298</v>
      </c>
      <c r="E132">
        <v>0.53405020000000003</v>
      </c>
      <c r="F132">
        <v>225</v>
      </c>
      <c r="G132">
        <v>0.75503359999999997</v>
      </c>
      <c r="H132">
        <v>292</v>
      </c>
      <c r="I132">
        <v>0.97986580000000001</v>
      </c>
      <c r="J132">
        <v>224</v>
      </c>
      <c r="K132">
        <v>0.76712329999999995</v>
      </c>
      <c r="L132">
        <v>194</v>
      </c>
      <c r="M132">
        <v>95</v>
      </c>
      <c r="N132">
        <v>0.48969069999999998</v>
      </c>
      <c r="O132">
        <v>67</v>
      </c>
      <c r="P132">
        <v>0.70526319999999998</v>
      </c>
      <c r="Q132">
        <v>95</v>
      </c>
      <c r="R132">
        <v>1</v>
      </c>
      <c r="S132">
        <v>76</v>
      </c>
      <c r="T132">
        <v>0.8</v>
      </c>
      <c r="U132">
        <v>194</v>
      </c>
      <c r="V132">
        <v>67</v>
      </c>
      <c r="W132">
        <v>0.34536080000000002</v>
      </c>
      <c r="X132">
        <v>67</v>
      </c>
      <c r="Y132">
        <v>1</v>
      </c>
      <c r="Z132">
        <v>67</v>
      </c>
      <c r="AA132">
        <v>1</v>
      </c>
      <c r="AB132">
        <v>54</v>
      </c>
      <c r="AC132">
        <v>0.80597010000000002</v>
      </c>
      <c r="AD132">
        <v>0</v>
      </c>
      <c r="AE132">
        <v>0</v>
      </c>
      <c r="AF132">
        <v>0</v>
      </c>
      <c r="AG132">
        <v>0</v>
      </c>
      <c r="AH132">
        <v>0</v>
      </c>
      <c r="AI132">
        <v>0</v>
      </c>
      <c r="AJ132">
        <v>0</v>
      </c>
      <c r="AK132">
        <v>0</v>
      </c>
      <c r="AL132">
        <v>0</v>
      </c>
      <c r="AM132">
        <v>364</v>
      </c>
      <c r="AN132">
        <v>203</v>
      </c>
      <c r="AO132">
        <v>0.55769230000000003</v>
      </c>
      <c r="AP132">
        <v>158</v>
      </c>
      <c r="AQ132">
        <v>0.77832509999999999</v>
      </c>
      <c r="AR132">
        <v>197</v>
      </c>
      <c r="AS132">
        <v>0.97044330000000001</v>
      </c>
      <c r="AT132">
        <v>148</v>
      </c>
      <c r="AU132">
        <v>0.75126899999999996</v>
      </c>
      <c r="AV132">
        <v>355</v>
      </c>
      <c r="AW132" t="s">
        <v>127</v>
      </c>
      <c r="AX132" t="s">
        <v>127</v>
      </c>
      <c r="AY132" t="s">
        <v>127</v>
      </c>
      <c r="AZ132" t="s">
        <v>127</v>
      </c>
      <c r="BA132" t="s">
        <v>127</v>
      </c>
      <c r="BB132" t="s">
        <v>127</v>
      </c>
      <c r="BC132" t="s">
        <v>127</v>
      </c>
      <c r="BD132" t="s">
        <v>127</v>
      </c>
      <c r="BE132">
        <v>9</v>
      </c>
      <c r="BF132" t="s">
        <v>127</v>
      </c>
      <c r="BG132" t="s">
        <v>127</v>
      </c>
      <c r="BH132" t="s">
        <v>127</v>
      </c>
      <c r="BI132" t="s">
        <v>127</v>
      </c>
      <c r="BJ132" t="s">
        <v>127</v>
      </c>
      <c r="BK132" t="s">
        <v>127</v>
      </c>
      <c r="BL132" t="s">
        <v>127</v>
      </c>
      <c r="BM132" t="s">
        <v>127</v>
      </c>
    </row>
    <row r="133" spans="1:65" x14ac:dyDescent="0.25">
      <c r="A133" t="s">
        <v>384</v>
      </c>
      <c r="B133" t="s">
        <v>385</v>
      </c>
      <c r="C133">
        <v>98</v>
      </c>
      <c r="D133">
        <v>0</v>
      </c>
      <c r="E133">
        <v>0</v>
      </c>
      <c r="F133">
        <v>0</v>
      </c>
      <c r="G133">
        <v>0</v>
      </c>
      <c r="H133">
        <v>0</v>
      </c>
      <c r="I133">
        <v>0</v>
      </c>
      <c r="J133">
        <v>0</v>
      </c>
      <c r="K133">
        <v>0</v>
      </c>
      <c r="L133">
        <v>67</v>
      </c>
      <c r="M133" t="s">
        <v>127</v>
      </c>
      <c r="N133" t="s">
        <v>127</v>
      </c>
      <c r="O133" t="s">
        <v>127</v>
      </c>
      <c r="P133" t="s">
        <v>127</v>
      </c>
      <c r="Q133" t="s">
        <v>127</v>
      </c>
      <c r="R133" t="s">
        <v>127</v>
      </c>
      <c r="S133" t="s">
        <v>127</v>
      </c>
      <c r="T133" t="s">
        <v>127</v>
      </c>
      <c r="U133">
        <v>67</v>
      </c>
      <c r="V133" t="s">
        <v>127</v>
      </c>
      <c r="W133" t="s">
        <v>127</v>
      </c>
      <c r="X133" t="s">
        <v>127</v>
      </c>
      <c r="Y133" t="s">
        <v>127</v>
      </c>
      <c r="Z133" t="s">
        <v>127</v>
      </c>
      <c r="AA133" t="s">
        <v>127</v>
      </c>
      <c r="AB133" t="s">
        <v>127</v>
      </c>
      <c r="AC133" t="s">
        <v>127</v>
      </c>
      <c r="AD133">
        <v>0</v>
      </c>
      <c r="AE133">
        <v>0</v>
      </c>
      <c r="AF133">
        <v>0</v>
      </c>
      <c r="AG133">
        <v>0</v>
      </c>
      <c r="AH133">
        <v>0</v>
      </c>
      <c r="AI133">
        <v>0</v>
      </c>
      <c r="AJ133">
        <v>0</v>
      </c>
      <c r="AK133">
        <v>0</v>
      </c>
      <c r="AL133">
        <v>0</v>
      </c>
      <c r="AM133">
        <v>31</v>
      </c>
      <c r="AN133" t="s">
        <v>127</v>
      </c>
      <c r="AO133" t="s">
        <v>127</v>
      </c>
      <c r="AP133" t="s">
        <v>127</v>
      </c>
      <c r="AQ133" t="s">
        <v>127</v>
      </c>
      <c r="AR133" t="s">
        <v>127</v>
      </c>
      <c r="AS133" t="s">
        <v>127</v>
      </c>
      <c r="AT133" t="s">
        <v>127</v>
      </c>
      <c r="AU133" t="s">
        <v>127</v>
      </c>
      <c r="AV133">
        <v>31</v>
      </c>
      <c r="AW133" t="s">
        <v>127</v>
      </c>
      <c r="AX133" t="s">
        <v>127</v>
      </c>
      <c r="AY133" t="s">
        <v>127</v>
      </c>
      <c r="AZ133" t="s">
        <v>127</v>
      </c>
      <c r="BA133" t="s">
        <v>127</v>
      </c>
      <c r="BB133" t="s">
        <v>127</v>
      </c>
      <c r="BC133" t="s">
        <v>127</v>
      </c>
      <c r="BD133" t="s">
        <v>127</v>
      </c>
      <c r="BE133">
        <v>0</v>
      </c>
      <c r="BF133">
        <v>0</v>
      </c>
      <c r="BG133">
        <v>0</v>
      </c>
      <c r="BH133">
        <v>0</v>
      </c>
      <c r="BI133">
        <v>0</v>
      </c>
      <c r="BJ133">
        <v>0</v>
      </c>
      <c r="BK133">
        <v>0</v>
      </c>
      <c r="BL133">
        <v>0</v>
      </c>
      <c r="BM133">
        <v>0</v>
      </c>
    </row>
    <row r="134" spans="1:65" x14ac:dyDescent="0.25">
      <c r="A134" t="s">
        <v>386</v>
      </c>
      <c r="B134" t="s">
        <v>387</v>
      </c>
      <c r="C134">
        <v>102</v>
      </c>
      <c r="D134">
        <v>196</v>
      </c>
      <c r="E134">
        <v>1.9215686000000001</v>
      </c>
      <c r="F134">
        <v>76</v>
      </c>
      <c r="G134">
        <v>0.38775510000000002</v>
      </c>
      <c r="H134">
        <v>184</v>
      </c>
      <c r="I134">
        <v>0.93877549999999998</v>
      </c>
      <c r="J134">
        <v>116</v>
      </c>
      <c r="K134">
        <v>0.63043479999999996</v>
      </c>
      <c r="L134">
        <v>45</v>
      </c>
      <c r="M134">
        <v>86</v>
      </c>
      <c r="N134">
        <v>1.9111111000000001</v>
      </c>
      <c r="O134">
        <v>38</v>
      </c>
      <c r="P134">
        <v>0.44186049999999999</v>
      </c>
      <c r="Q134">
        <v>84</v>
      </c>
      <c r="R134">
        <v>0.97674419999999995</v>
      </c>
      <c r="S134">
        <v>57</v>
      </c>
      <c r="T134">
        <v>0.67857140000000005</v>
      </c>
      <c r="U134">
        <v>45</v>
      </c>
      <c r="V134">
        <v>38</v>
      </c>
      <c r="W134">
        <v>0.84444439999999998</v>
      </c>
      <c r="X134">
        <v>38</v>
      </c>
      <c r="Y134">
        <v>1</v>
      </c>
      <c r="Z134">
        <v>37</v>
      </c>
      <c r="AA134">
        <v>0.9736842</v>
      </c>
      <c r="AB134">
        <v>25</v>
      </c>
      <c r="AC134">
        <v>0.67567569999999999</v>
      </c>
      <c r="AD134">
        <v>0</v>
      </c>
      <c r="AE134">
        <v>0</v>
      </c>
      <c r="AF134">
        <v>0</v>
      </c>
      <c r="AG134">
        <v>0</v>
      </c>
      <c r="AH134">
        <v>0</v>
      </c>
      <c r="AI134">
        <v>0</v>
      </c>
      <c r="AJ134">
        <v>0</v>
      </c>
      <c r="AK134">
        <v>0</v>
      </c>
      <c r="AL134">
        <v>0</v>
      </c>
      <c r="AM134">
        <v>57</v>
      </c>
      <c r="AN134">
        <v>110</v>
      </c>
      <c r="AO134">
        <v>1.9298245999999999</v>
      </c>
      <c r="AP134">
        <v>38</v>
      </c>
      <c r="AQ134">
        <v>0.3454545</v>
      </c>
      <c r="AR134">
        <v>100</v>
      </c>
      <c r="AS134">
        <v>0.90909090000000004</v>
      </c>
      <c r="AT134">
        <v>59</v>
      </c>
      <c r="AU134">
        <v>0.59</v>
      </c>
      <c r="AV134" t="s">
        <v>127</v>
      </c>
      <c r="AW134" t="s">
        <v>127</v>
      </c>
      <c r="AX134" t="s">
        <v>127</v>
      </c>
      <c r="AY134" t="s">
        <v>127</v>
      </c>
      <c r="AZ134" t="s">
        <v>127</v>
      </c>
      <c r="BA134" t="s">
        <v>127</v>
      </c>
      <c r="BB134">
        <v>0.94594590000000001</v>
      </c>
      <c r="BC134" t="s">
        <v>127</v>
      </c>
      <c r="BD134">
        <v>0.54285709999999998</v>
      </c>
      <c r="BE134" t="s">
        <v>127</v>
      </c>
      <c r="BF134" t="s">
        <v>127</v>
      </c>
      <c r="BG134" t="s">
        <v>127</v>
      </c>
      <c r="BH134" t="s">
        <v>127</v>
      </c>
      <c r="BI134" t="s">
        <v>127</v>
      </c>
      <c r="BJ134">
        <v>0</v>
      </c>
      <c r="BK134" t="s">
        <v>127</v>
      </c>
      <c r="BL134">
        <v>0</v>
      </c>
      <c r="BM134" t="s">
        <v>127</v>
      </c>
    </row>
    <row r="135" spans="1:65" x14ac:dyDescent="0.25">
      <c r="A135" t="s">
        <v>388</v>
      </c>
      <c r="B135" t="s">
        <v>389</v>
      </c>
      <c r="C135">
        <v>58</v>
      </c>
      <c r="D135">
        <v>144</v>
      </c>
      <c r="E135">
        <v>2.4827585999999999</v>
      </c>
      <c r="F135">
        <v>98</v>
      </c>
      <c r="G135">
        <v>0.68055560000000004</v>
      </c>
      <c r="H135">
        <v>135</v>
      </c>
      <c r="I135">
        <v>0.9375</v>
      </c>
      <c r="J135">
        <v>91</v>
      </c>
      <c r="K135">
        <v>0.67407410000000001</v>
      </c>
      <c r="L135">
        <v>24</v>
      </c>
      <c r="M135">
        <v>49</v>
      </c>
      <c r="N135">
        <v>2.0416666999999999</v>
      </c>
      <c r="O135">
        <v>30</v>
      </c>
      <c r="P135">
        <v>0.61224489999999998</v>
      </c>
      <c r="Q135">
        <v>47</v>
      </c>
      <c r="R135">
        <v>0.95918369999999997</v>
      </c>
      <c r="S135">
        <v>25</v>
      </c>
      <c r="T135">
        <v>0.53191489999999997</v>
      </c>
      <c r="U135">
        <v>24</v>
      </c>
      <c r="V135">
        <v>30</v>
      </c>
      <c r="W135">
        <v>1.25</v>
      </c>
      <c r="X135">
        <v>30</v>
      </c>
      <c r="Y135">
        <v>1</v>
      </c>
      <c r="Z135">
        <v>29</v>
      </c>
      <c r="AA135">
        <v>0.96666669999999999</v>
      </c>
      <c r="AB135">
        <v>16</v>
      </c>
      <c r="AC135">
        <v>0.55172410000000005</v>
      </c>
      <c r="AD135">
        <v>0</v>
      </c>
      <c r="AE135">
        <v>0</v>
      </c>
      <c r="AF135">
        <v>0</v>
      </c>
      <c r="AG135">
        <v>0</v>
      </c>
      <c r="AH135">
        <v>0</v>
      </c>
      <c r="AI135">
        <v>0</v>
      </c>
      <c r="AJ135">
        <v>0</v>
      </c>
      <c r="AK135">
        <v>0</v>
      </c>
      <c r="AL135">
        <v>0</v>
      </c>
      <c r="AM135">
        <v>34</v>
      </c>
      <c r="AN135">
        <v>95</v>
      </c>
      <c r="AO135">
        <v>2.7941175999999999</v>
      </c>
      <c r="AP135">
        <v>68</v>
      </c>
      <c r="AQ135">
        <v>0.71578949999999997</v>
      </c>
      <c r="AR135">
        <v>88</v>
      </c>
      <c r="AS135">
        <v>0.92631580000000002</v>
      </c>
      <c r="AT135">
        <v>66</v>
      </c>
      <c r="AU135">
        <v>0.75</v>
      </c>
      <c r="AV135" t="s">
        <v>127</v>
      </c>
      <c r="AW135" t="s">
        <v>127</v>
      </c>
      <c r="AX135" t="s">
        <v>127</v>
      </c>
      <c r="AY135" t="s">
        <v>127</v>
      </c>
      <c r="AZ135" t="s">
        <v>127</v>
      </c>
      <c r="BA135" t="s">
        <v>127</v>
      </c>
      <c r="BB135" t="s">
        <v>127</v>
      </c>
      <c r="BC135" t="s">
        <v>127</v>
      </c>
      <c r="BD135" t="s">
        <v>127</v>
      </c>
      <c r="BE135" t="s">
        <v>127</v>
      </c>
      <c r="BF135" t="s">
        <v>127</v>
      </c>
      <c r="BG135" t="s">
        <v>127</v>
      </c>
      <c r="BH135" t="s">
        <v>127</v>
      </c>
      <c r="BI135" t="s">
        <v>127</v>
      </c>
      <c r="BJ135" t="s">
        <v>127</v>
      </c>
      <c r="BK135" t="s">
        <v>127</v>
      </c>
      <c r="BL135" t="s">
        <v>127</v>
      </c>
      <c r="BM135" t="s">
        <v>127</v>
      </c>
    </row>
    <row r="136" spans="1:65" x14ac:dyDescent="0.25">
      <c r="A136" t="s">
        <v>390</v>
      </c>
      <c r="B136" t="s">
        <v>391</v>
      </c>
      <c r="C136">
        <v>25</v>
      </c>
      <c r="D136">
        <v>0</v>
      </c>
      <c r="E136">
        <v>0</v>
      </c>
      <c r="F136">
        <v>0</v>
      </c>
      <c r="G136">
        <v>0</v>
      </c>
      <c r="H136">
        <v>0</v>
      </c>
      <c r="I136">
        <v>0</v>
      </c>
      <c r="J136">
        <v>0</v>
      </c>
      <c r="K136">
        <v>0</v>
      </c>
      <c r="L136">
        <v>17</v>
      </c>
      <c r="M136">
        <v>0</v>
      </c>
      <c r="N136">
        <v>0</v>
      </c>
      <c r="O136">
        <v>0</v>
      </c>
      <c r="P136">
        <v>0</v>
      </c>
      <c r="Q136">
        <v>0</v>
      </c>
      <c r="R136">
        <v>0</v>
      </c>
      <c r="S136">
        <v>0</v>
      </c>
      <c r="T136">
        <v>0</v>
      </c>
      <c r="U136">
        <v>17</v>
      </c>
      <c r="V136">
        <v>0</v>
      </c>
      <c r="W136">
        <v>0</v>
      </c>
      <c r="X136">
        <v>0</v>
      </c>
      <c r="Y136">
        <v>0</v>
      </c>
      <c r="Z136">
        <v>0</v>
      </c>
      <c r="AA136">
        <v>0</v>
      </c>
      <c r="AB136">
        <v>0</v>
      </c>
      <c r="AC136">
        <v>0</v>
      </c>
      <c r="AD136">
        <v>0</v>
      </c>
      <c r="AE136">
        <v>0</v>
      </c>
      <c r="AF136">
        <v>0</v>
      </c>
      <c r="AG136">
        <v>0</v>
      </c>
      <c r="AH136">
        <v>0</v>
      </c>
      <c r="AI136">
        <v>0</v>
      </c>
      <c r="AJ136">
        <v>0</v>
      </c>
      <c r="AK136">
        <v>0</v>
      </c>
      <c r="AL136">
        <v>0</v>
      </c>
      <c r="AM136">
        <v>8</v>
      </c>
      <c r="AN136">
        <v>0</v>
      </c>
      <c r="AO136">
        <v>0</v>
      </c>
      <c r="AP136">
        <v>0</v>
      </c>
      <c r="AQ136">
        <v>0</v>
      </c>
      <c r="AR136">
        <v>0</v>
      </c>
      <c r="AS136">
        <v>0</v>
      </c>
      <c r="AT136">
        <v>0</v>
      </c>
      <c r="AU136">
        <v>0</v>
      </c>
      <c r="AV136">
        <v>8</v>
      </c>
      <c r="AW136">
        <v>0</v>
      </c>
      <c r="AX136">
        <v>0</v>
      </c>
      <c r="AY136">
        <v>0</v>
      </c>
      <c r="AZ136">
        <v>0</v>
      </c>
      <c r="BA136">
        <v>0</v>
      </c>
      <c r="BB136">
        <v>0</v>
      </c>
      <c r="BC136">
        <v>0</v>
      </c>
      <c r="BD136">
        <v>0</v>
      </c>
      <c r="BE136">
        <v>0</v>
      </c>
      <c r="BF136">
        <v>0</v>
      </c>
      <c r="BG136">
        <v>0</v>
      </c>
      <c r="BH136">
        <v>0</v>
      </c>
      <c r="BI136">
        <v>0</v>
      </c>
      <c r="BJ136">
        <v>0</v>
      </c>
      <c r="BK136">
        <v>0</v>
      </c>
      <c r="BL136">
        <v>0</v>
      </c>
      <c r="BM136">
        <v>0</v>
      </c>
    </row>
    <row r="137" spans="1:65" x14ac:dyDescent="0.25">
      <c r="A137" t="s">
        <v>392</v>
      </c>
      <c r="B137" t="s">
        <v>393</v>
      </c>
      <c r="C137">
        <v>570</v>
      </c>
      <c r="D137">
        <v>547</v>
      </c>
      <c r="E137">
        <v>0.95964910000000003</v>
      </c>
      <c r="F137">
        <v>406</v>
      </c>
      <c r="G137">
        <v>0.74223030000000001</v>
      </c>
      <c r="H137">
        <v>526</v>
      </c>
      <c r="I137">
        <v>0.96160880000000004</v>
      </c>
      <c r="J137">
        <v>371</v>
      </c>
      <c r="K137">
        <v>0.70532320000000004</v>
      </c>
      <c r="L137">
        <v>245</v>
      </c>
      <c r="M137">
        <v>230</v>
      </c>
      <c r="N137">
        <v>0.93877549999999998</v>
      </c>
      <c r="O137">
        <v>172</v>
      </c>
      <c r="P137">
        <v>0.74782610000000005</v>
      </c>
      <c r="Q137">
        <v>223</v>
      </c>
      <c r="R137">
        <v>0.96956520000000002</v>
      </c>
      <c r="S137">
        <v>159</v>
      </c>
      <c r="T137">
        <v>0.71300450000000004</v>
      </c>
      <c r="U137">
        <v>245</v>
      </c>
      <c r="V137">
        <v>172</v>
      </c>
      <c r="W137">
        <v>0.70204080000000002</v>
      </c>
      <c r="X137">
        <v>172</v>
      </c>
      <c r="Y137">
        <v>1</v>
      </c>
      <c r="Z137">
        <v>166</v>
      </c>
      <c r="AA137">
        <v>0.96511630000000004</v>
      </c>
      <c r="AB137">
        <v>123</v>
      </c>
      <c r="AC137">
        <v>0.74096390000000001</v>
      </c>
      <c r="AD137">
        <v>0</v>
      </c>
      <c r="AE137">
        <v>0</v>
      </c>
      <c r="AF137">
        <v>0</v>
      </c>
      <c r="AG137">
        <v>0</v>
      </c>
      <c r="AH137">
        <v>0</v>
      </c>
      <c r="AI137">
        <v>0</v>
      </c>
      <c r="AJ137">
        <v>0</v>
      </c>
      <c r="AK137">
        <v>0</v>
      </c>
      <c r="AL137">
        <v>0</v>
      </c>
      <c r="AM137">
        <v>325</v>
      </c>
      <c r="AN137">
        <v>317</v>
      </c>
      <c r="AO137">
        <v>0.97538460000000005</v>
      </c>
      <c r="AP137">
        <v>234</v>
      </c>
      <c r="AQ137">
        <v>0.73817029999999995</v>
      </c>
      <c r="AR137">
        <v>303</v>
      </c>
      <c r="AS137">
        <v>0.95583600000000002</v>
      </c>
      <c r="AT137">
        <v>212</v>
      </c>
      <c r="AU137">
        <v>0.69967000000000001</v>
      </c>
      <c r="AV137" t="s">
        <v>127</v>
      </c>
      <c r="AW137" t="s">
        <v>127</v>
      </c>
      <c r="AX137" t="s">
        <v>127</v>
      </c>
      <c r="AY137" t="s">
        <v>127</v>
      </c>
      <c r="AZ137" t="s">
        <v>127</v>
      </c>
      <c r="BA137" t="s">
        <v>127</v>
      </c>
      <c r="BB137" t="s">
        <v>127</v>
      </c>
      <c r="BC137" t="s">
        <v>127</v>
      </c>
      <c r="BD137" t="s">
        <v>127</v>
      </c>
      <c r="BE137" t="s">
        <v>127</v>
      </c>
      <c r="BF137" t="s">
        <v>127</v>
      </c>
      <c r="BG137" t="s">
        <v>127</v>
      </c>
      <c r="BH137" t="s">
        <v>127</v>
      </c>
      <c r="BI137" t="s">
        <v>127</v>
      </c>
      <c r="BJ137" t="s">
        <v>127</v>
      </c>
      <c r="BK137" t="s">
        <v>127</v>
      </c>
      <c r="BL137" t="s">
        <v>127</v>
      </c>
      <c r="BM137" t="s">
        <v>127</v>
      </c>
    </row>
    <row r="138" spans="1:65" x14ac:dyDescent="0.25">
      <c r="A138" t="s">
        <v>394</v>
      </c>
      <c r="B138" t="s">
        <v>395</v>
      </c>
      <c r="C138">
        <v>286</v>
      </c>
      <c r="D138">
        <v>220</v>
      </c>
      <c r="E138">
        <v>0.76923079999999999</v>
      </c>
      <c r="F138">
        <v>132</v>
      </c>
      <c r="G138">
        <v>0.6</v>
      </c>
      <c r="H138">
        <v>216</v>
      </c>
      <c r="I138">
        <v>0.98181819999999997</v>
      </c>
      <c r="J138">
        <v>113</v>
      </c>
      <c r="K138">
        <v>0.5231481</v>
      </c>
      <c r="L138">
        <v>120</v>
      </c>
      <c r="M138">
        <v>100</v>
      </c>
      <c r="N138">
        <v>0.83333330000000005</v>
      </c>
      <c r="O138">
        <v>60</v>
      </c>
      <c r="P138">
        <v>0.6</v>
      </c>
      <c r="Q138">
        <v>99</v>
      </c>
      <c r="R138">
        <v>0.99</v>
      </c>
      <c r="S138">
        <v>58</v>
      </c>
      <c r="T138">
        <v>0.58585860000000001</v>
      </c>
      <c r="U138">
        <v>120</v>
      </c>
      <c r="V138">
        <v>60</v>
      </c>
      <c r="W138">
        <v>0.5</v>
      </c>
      <c r="X138">
        <v>60</v>
      </c>
      <c r="Y138">
        <v>1</v>
      </c>
      <c r="Z138">
        <v>59</v>
      </c>
      <c r="AA138">
        <v>0.98333329999999997</v>
      </c>
      <c r="AB138">
        <v>34</v>
      </c>
      <c r="AC138">
        <v>0.57627119999999998</v>
      </c>
      <c r="AD138">
        <v>0</v>
      </c>
      <c r="AE138">
        <v>0</v>
      </c>
      <c r="AF138">
        <v>0</v>
      </c>
      <c r="AG138">
        <v>0</v>
      </c>
      <c r="AH138">
        <v>0</v>
      </c>
      <c r="AI138">
        <v>0</v>
      </c>
      <c r="AJ138">
        <v>0</v>
      </c>
      <c r="AK138">
        <v>0</v>
      </c>
      <c r="AL138">
        <v>0</v>
      </c>
      <c r="AM138">
        <v>166</v>
      </c>
      <c r="AN138">
        <v>120</v>
      </c>
      <c r="AO138">
        <v>0.72289159999999997</v>
      </c>
      <c r="AP138">
        <v>72</v>
      </c>
      <c r="AQ138">
        <v>0.6</v>
      </c>
      <c r="AR138">
        <v>117</v>
      </c>
      <c r="AS138">
        <v>0.97499999999999998</v>
      </c>
      <c r="AT138">
        <v>55</v>
      </c>
      <c r="AU138">
        <v>0.47008549999999999</v>
      </c>
      <c r="AV138">
        <v>166</v>
      </c>
      <c r="AW138">
        <v>72</v>
      </c>
      <c r="AX138">
        <v>0.43373489999999998</v>
      </c>
      <c r="AY138">
        <v>72</v>
      </c>
      <c r="AZ138">
        <v>1</v>
      </c>
      <c r="BA138">
        <v>70</v>
      </c>
      <c r="BB138">
        <v>0.97222220000000004</v>
      </c>
      <c r="BC138">
        <v>30</v>
      </c>
      <c r="BD138">
        <v>0.42857139999999999</v>
      </c>
      <c r="BE138">
        <v>0</v>
      </c>
      <c r="BF138">
        <v>0</v>
      </c>
      <c r="BG138">
        <v>0</v>
      </c>
      <c r="BH138">
        <v>0</v>
      </c>
      <c r="BI138">
        <v>0</v>
      </c>
      <c r="BJ138">
        <v>0</v>
      </c>
      <c r="BK138">
        <v>0</v>
      </c>
      <c r="BL138">
        <v>0</v>
      </c>
      <c r="BM138">
        <v>0</v>
      </c>
    </row>
    <row r="139" spans="1:65" x14ac:dyDescent="0.25">
      <c r="A139" t="s">
        <v>396</v>
      </c>
      <c r="B139" t="s">
        <v>397</v>
      </c>
      <c r="C139">
        <v>267</v>
      </c>
      <c r="D139">
        <v>245</v>
      </c>
      <c r="E139">
        <v>0.91760299999999995</v>
      </c>
      <c r="F139">
        <v>148</v>
      </c>
      <c r="G139">
        <v>0.6040816</v>
      </c>
      <c r="H139">
        <v>232</v>
      </c>
      <c r="I139">
        <v>0.94693879999999997</v>
      </c>
      <c r="J139">
        <v>141</v>
      </c>
      <c r="K139">
        <v>0.60775860000000004</v>
      </c>
      <c r="L139">
        <v>149</v>
      </c>
      <c r="M139">
        <v>135</v>
      </c>
      <c r="N139">
        <v>0.90604030000000002</v>
      </c>
      <c r="O139">
        <v>81</v>
      </c>
      <c r="P139">
        <v>0.6</v>
      </c>
      <c r="Q139">
        <v>134</v>
      </c>
      <c r="R139">
        <v>0.99259260000000005</v>
      </c>
      <c r="S139">
        <v>87</v>
      </c>
      <c r="T139">
        <v>0.64925370000000004</v>
      </c>
      <c r="U139">
        <v>149</v>
      </c>
      <c r="V139">
        <v>81</v>
      </c>
      <c r="W139">
        <v>0.5436242</v>
      </c>
      <c r="X139">
        <v>81</v>
      </c>
      <c r="Y139">
        <v>1</v>
      </c>
      <c r="Z139">
        <v>80</v>
      </c>
      <c r="AA139">
        <v>0.98765429999999999</v>
      </c>
      <c r="AB139">
        <v>50</v>
      </c>
      <c r="AC139">
        <v>0.625</v>
      </c>
      <c r="AD139">
        <v>0</v>
      </c>
      <c r="AE139">
        <v>0</v>
      </c>
      <c r="AF139">
        <v>0</v>
      </c>
      <c r="AG139">
        <v>0</v>
      </c>
      <c r="AH139">
        <v>0</v>
      </c>
      <c r="AI139">
        <v>0</v>
      </c>
      <c r="AJ139">
        <v>0</v>
      </c>
      <c r="AK139">
        <v>0</v>
      </c>
      <c r="AL139">
        <v>0</v>
      </c>
      <c r="AM139">
        <v>118</v>
      </c>
      <c r="AN139">
        <v>110</v>
      </c>
      <c r="AO139">
        <v>0.93220340000000002</v>
      </c>
      <c r="AP139">
        <v>67</v>
      </c>
      <c r="AQ139">
        <v>0.60909089999999999</v>
      </c>
      <c r="AR139">
        <v>98</v>
      </c>
      <c r="AS139">
        <v>0.89090910000000001</v>
      </c>
      <c r="AT139">
        <v>54</v>
      </c>
      <c r="AU139">
        <v>0.55102039999999997</v>
      </c>
      <c r="AV139">
        <v>118</v>
      </c>
      <c r="AW139">
        <v>67</v>
      </c>
      <c r="AX139">
        <v>0.56779659999999998</v>
      </c>
      <c r="AY139">
        <v>67</v>
      </c>
      <c r="AZ139">
        <v>1</v>
      </c>
      <c r="BA139">
        <v>60</v>
      </c>
      <c r="BB139">
        <v>0.89552240000000005</v>
      </c>
      <c r="BC139">
        <v>28</v>
      </c>
      <c r="BD139">
        <v>0.46666669999999999</v>
      </c>
      <c r="BE139">
        <v>0</v>
      </c>
      <c r="BF139">
        <v>0</v>
      </c>
      <c r="BG139">
        <v>0</v>
      </c>
      <c r="BH139">
        <v>0</v>
      </c>
      <c r="BI139">
        <v>0</v>
      </c>
      <c r="BJ139">
        <v>0</v>
      </c>
      <c r="BK139">
        <v>0</v>
      </c>
      <c r="BL139">
        <v>0</v>
      </c>
      <c r="BM139">
        <v>0</v>
      </c>
    </row>
    <row r="140" spans="1:65" x14ac:dyDescent="0.25">
      <c r="A140" t="s">
        <v>398</v>
      </c>
      <c r="B140" t="s">
        <v>399</v>
      </c>
      <c r="C140">
        <v>339</v>
      </c>
      <c r="D140">
        <v>248</v>
      </c>
      <c r="E140">
        <v>0.73156339999999997</v>
      </c>
      <c r="F140">
        <v>174</v>
      </c>
      <c r="G140">
        <v>0.70161289999999998</v>
      </c>
      <c r="H140">
        <v>242</v>
      </c>
      <c r="I140">
        <v>0.97580650000000002</v>
      </c>
      <c r="J140">
        <v>152</v>
      </c>
      <c r="K140">
        <v>0.62809919999999997</v>
      </c>
      <c r="L140">
        <v>132</v>
      </c>
      <c r="M140">
        <v>120</v>
      </c>
      <c r="N140">
        <v>0.90909090000000004</v>
      </c>
      <c r="O140">
        <v>83</v>
      </c>
      <c r="P140">
        <v>0.69166669999999997</v>
      </c>
      <c r="Q140">
        <v>118</v>
      </c>
      <c r="R140">
        <v>0.98333329999999997</v>
      </c>
      <c r="S140">
        <v>77</v>
      </c>
      <c r="T140">
        <v>0.65254239999999997</v>
      </c>
      <c r="U140">
        <v>132</v>
      </c>
      <c r="V140">
        <v>83</v>
      </c>
      <c r="W140">
        <v>0.62878789999999996</v>
      </c>
      <c r="X140">
        <v>83</v>
      </c>
      <c r="Y140">
        <v>1</v>
      </c>
      <c r="Z140">
        <v>81</v>
      </c>
      <c r="AA140">
        <v>0.97590359999999998</v>
      </c>
      <c r="AB140">
        <v>51</v>
      </c>
      <c r="AC140">
        <v>0.62962960000000001</v>
      </c>
      <c r="AD140">
        <v>0</v>
      </c>
      <c r="AE140">
        <v>0</v>
      </c>
      <c r="AF140">
        <v>0</v>
      </c>
      <c r="AG140">
        <v>0</v>
      </c>
      <c r="AH140">
        <v>0</v>
      </c>
      <c r="AI140">
        <v>0</v>
      </c>
      <c r="AJ140">
        <v>0</v>
      </c>
      <c r="AK140">
        <v>0</v>
      </c>
      <c r="AL140">
        <v>0</v>
      </c>
      <c r="AM140">
        <v>207</v>
      </c>
      <c r="AN140">
        <v>128</v>
      </c>
      <c r="AO140">
        <v>0.6183575</v>
      </c>
      <c r="AP140">
        <v>91</v>
      </c>
      <c r="AQ140">
        <v>0.7109375</v>
      </c>
      <c r="AR140">
        <v>124</v>
      </c>
      <c r="AS140">
        <v>0.96875</v>
      </c>
      <c r="AT140">
        <v>75</v>
      </c>
      <c r="AU140">
        <v>0.60483869999999995</v>
      </c>
      <c r="AV140" t="s">
        <v>127</v>
      </c>
      <c r="AW140" t="s">
        <v>127</v>
      </c>
      <c r="AX140" t="s">
        <v>127</v>
      </c>
      <c r="AY140" t="s">
        <v>127</v>
      </c>
      <c r="AZ140" t="s">
        <v>127</v>
      </c>
      <c r="BA140" t="s">
        <v>127</v>
      </c>
      <c r="BB140" t="s">
        <v>127</v>
      </c>
      <c r="BC140" t="s">
        <v>127</v>
      </c>
      <c r="BD140" t="s">
        <v>127</v>
      </c>
      <c r="BE140" t="s">
        <v>127</v>
      </c>
      <c r="BF140" t="s">
        <v>127</v>
      </c>
      <c r="BG140" t="s">
        <v>127</v>
      </c>
      <c r="BH140" t="s">
        <v>127</v>
      </c>
      <c r="BI140" t="s">
        <v>127</v>
      </c>
      <c r="BJ140" t="s">
        <v>127</v>
      </c>
      <c r="BK140" t="s">
        <v>127</v>
      </c>
      <c r="BL140" t="s">
        <v>127</v>
      </c>
      <c r="BM140" t="s">
        <v>127</v>
      </c>
    </row>
    <row r="141" spans="1:65" x14ac:dyDescent="0.25">
      <c r="A141" t="s">
        <v>400</v>
      </c>
      <c r="B141" t="s">
        <v>401</v>
      </c>
      <c r="C141">
        <v>285</v>
      </c>
      <c r="D141">
        <v>223</v>
      </c>
      <c r="E141">
        <v>0.78245609999999999</v>
      </c>
      <c r="F141">
        <v>166</v>
      </c>
      <c r="G141">
        <v>0.74439460000000002</v>
      </c>
      <c r="H141">
        <v>217</v>
      </c>
      <c r="I141">
        <v>0.97309420000000002</v>
      </c>
      <c r="J141">
        <v>154</v>
      </c>
      <c r="K141">
        <v>0.70967740000000001</v>
      </c>
      <c r="L141">
        <v>145</v>
      </c>
      <c r="M141">
        <v>118</v>
      </c>
      <c r="N141">
        <v>0.81379310000000005</v>
      </c>
      <c r="O141">
        <v>90</v>
      </c>
      <c r="P141">
        <v>0.7627119</v>
      </c>
      <c r="Q141">
        <v>112</v>
      </c>
      <c r="R141">
        <v>0.94915249999999995</v>
      </c>
      <c r="S141">
        <v>86</v>
      </c>
      <c r="T141">
        <v>0.76785709999999996</v>
      </c>
      <c r="U141" t="s">
        <v>127</v>
      </c>
      <c r="V141" t="s">
        <v>127</v>
      </c>
      <c r="W141" t="s">
        <v>127</v>
      </c>
      <c r="X141" t="s">
        <v>127</v>
      </c>
      <c r="Y141" t="s">
        <v>127</v>
      </c>
      <c r="Z141" t="s">
        <v>127</v>
      </c>
      <c r="AA141" t="s">
        <v>127</v>
      </c>
      <c r="AB141" t="s">
        <v>127</v>
      </c>
      <c r="AC141" t="s">
        <v>127</v>
      </c>
      <c r="AD141" t="s">
        <v>127</v>
      </c>
      <c r="AE141" t="s">
        <v>127</v>
      </c>
      <c r="AF141" t="s">
        <v>127</v>
      </c>
      <c r="AG141" t="s">
        <v>127</v>
      </c>
      <c r="AH141" t="s">
        <v>127</v>
      </c>
      <c r="AI141" t="s">
        <v>127</v>
      </c>
      <c r="AJ141" t="s">
        <v>127</v>
      </c>
      <c r="AK141" t="s">
        <v>127</v>
      </c>
      <c r="AL141" t="s">
        <v>127</v>
      </c>
      <c r="AM141">
        <v>140</v>
      </c>
      <c r="AN141">
        <v>105</v>
      </c>
      <c r="AO141">
        <v>0.75</v>
      </c>
      <c r="AP141">
        <v>76</v>
      </c>
      <c r="AQ141">
        <v>0.72380949999999999</v>
      </c>
      <c r="AR141">
        <v>105</v>
      </c>
      <c r="AS141">
        <v>1</v>
      </c>
      <c r="AT141">
        <v>68</v>
      </c>
      <c r="AU141">
        <v>0.64761899999999994</v>
      </c>
      <c r="AV141" t="s">
        <v>127</v>
      </c>
      <c r="AW141" t="s">
        <v>127</v>
      </c>
      <c r="AX141" t="s">
        <v>127</v>
      </c>
      <c r="AY141" t="s">
        <v>127</v>
      </c>
      <c r="AZ141" t="s">
        <v>127</v>
      </c>
      <c r="BA141" t="s">
        <v>127</v>
      </c>
      <c r="BB141" t="s">
        <v>127</v>
      </c>
      <c r="BC141" t="s">
        <v>127</v>
      </c>
      <c r="BD141" t="s">
        <v>127</v>
      </c>
      <c r="BE141" t="s">
        <v>127</v>
      </c>
      <c r="BF141" t="s">
        <v>127</v>
      </c>
      <c r="BG141" t="s">
        <v>127</v>
      </c>
      <c r="BH141" t="s">
        <v>127</v>
      </c>
      <c r="BI141" t="s">
        <v>127</v>
      </c>
      <c r="BJ141" t="s">
        <v>127</v>
      </c>
      <c r="BK141" t="s">
        <v>127</v>
      </c>
      <c r="BL141" t="s">
        <v>127</v>
      </c>
      <c r="BM141" t="s">
        <v>127</v>
      </c>
    </row>
    <row r="142" spans="1:65" x14ac:dyDescent="0.25">
      <c r="A142" t="s">
        <v>402</v>
      </c>
      <c r="B142" t="s">
        <v>403</v>
      </c>
      <c r="C142">
        <v>26</v>
      </c>
      <c r="D142">
        <v>23</v>
      </c>
      <c r="E142">
        <v>0.88461540000000005</v>
      </c>
      <c r="F142">
        <v>20</v>
      </c>
      <c r="G142">
        <v>0.86956520000000004</v>
      </c>
      <c r="H142">
        <v>23</v>
      </c>
      <c r="I142">
        <v>1</v>
      </c>
      <c r="J142">
        <v>14</v>
      </c>
      <c r="K142">
        <v>0.60869569999999995</v>
      </c>
      <c r="L142">
        <v>16</v>
      </c>
      <c r="M142">
        <v>12</v>
      </c>
      <c r="N142">
        <v>0.75</v>
      </c>
      <c r="O142">
        <v>11</v>
      </c>
      <c r="P142">
        <v>0.91666669999999995</v>
      </c>
      <c r="Q142">
        <v>12</v>
      </c>
      <c r="R142">
        <v>1</v>
      </c>
      <c r="S142">
        <v>11</v>
      </c>
      <c r="T142">
        <v>0.91666669999999995</v>
      </c>
      <c r="U142">
        <v>16</v>
      </c>
      <c r="V142">
        <v>11</v>
      </c>
      <c r="W142">
        <v>0.6875</v>
      </c>
      <c r="X142">
        <v>11</v>
      </c>
      <c r="Y142">
        <v>1</v>
      </c>
      <c r="Z142">
        <v>11</v>
      </c>
      <c r="AA142">
        <v>1</v>
      </c>
      <c r="AB142">
        <v>10</v>
      </c>
      <c r="AC142">
        <v>0.90909090000000004</v>
      </c>
      <c r="AD142">
        <v>0</v>
      </c>
      <c r="AE142">
        <v>0</v>
      </c>
      <c r="AF142">
        <v>0</v>
      </c>
      <c r="AG142">
        <v>0</v>
      </c>
      <c r="AH142">
        <v>0</v>
      </c>
      <c r="AI142">
        <v>0</v>
      </c>
      <c r="AJ142">
        <v>0</v>
      </c>
      <c r="AK142">
        <v>0</v>
      </c>
      <c r="AL142">
        <v>0</v>
      </c>
      <c r="AM142">
        <v>10</v>
      </c>
      <c r="AN142">
        <v>11</v>
      </c>
      <c r="AO142">
        <v>1.1000000000000001</v>
      </c>
      <c r="AP142">
        <v>9</v>
      </c>
      <c r="AQ142">
        <v>0.81818179999999996</v>
      </c>
      <c r="AR142">
        <v>11</v>
      </c>
      <c r="AS142">
        <v>1</v>
      </c>
      <c r="AT142">
        <v>3</v>
      </c>
      <c r="AU142">
        <v>0.27272730000000001</v>
      </c>
      <c r="AV142">
        <v>10</v>
      </c>
      <c r="AW142">
        <v>9</v>
      </c>
      <c r="AX142">
        <v>0.9</v>
      </c>
      <c r="AY142">
        <v>9</v>
      </c>
      <c r="AZ142">
        <v>1</v>
      </c>
      <c r="BA142">
        <v>9</v>
      </c>
      <c r="BB142">
        <v>1</v>
      </c>
      <c r="BC142">
        <v>3</v>
      </c>
      <c r="BD142">
        <v>0.3333333</v>
      </c>
      <c r="BE142">
        <v>0</v>
      </c>
      <c r="BF142">
        <v>0</v>
      </c>
      <c r="BG142">
        <v>0</v>
      </c>
      <c r="BH142">
        <v>0</v>
      </c>
      <c r="BI142">
        <v>0</v>
      </c>
      <c r="BJ142">
        <v>0</v>
      </c>
      <c r="BK142">
        <v>0</v>
      </c>
      <c r="BL142">
        <v>0</v>
      </c>
      <c r="BM142">
        <v>0</v>
      </c>
    </row>
    <row r="143" spans="1:65" x14ac:dyDescent="0.25">
      <c r="A143" t="s">
        <v>404</v>
      </c>
      <c r="B143" t="s">
        <v>405</v>
      </c>
      <c r="C143">
        <v>165</v>
      </c>
      <c r="D143">
        <v>165</v>
      </c>
      <c r="E143">
        <v>1</v>
      </c>
      <c r="F143">
        <v>87</v>
      </c>
      <c r="G143">
        <v>0.52727270000000004</v>
      </c>
      <c r="H143">
        <v>163</v>
      </c>
      <c r="I143">
        <v>0.98787879999999995</v>
      </c>
      <c r="J143">
        <v>117</v>
      </c>
      <c r="K143">
        <v>0.71779139999999997</v>
      </c>
      <c r="L143">
        <v>78</v>
      </c>
      <c r="M143">
        <v>84</v>
      </c>
      <c r="N143">
        <v>1.0769230999999999</v>
      </c>
      <c r="O143">
        <v>42</v>
      </c>
      <c r="P143">
        <v>0.5</v>
      </c>
      <c r="Q143">
        <v>82</v>
      </c>
      <c r="R143">
        <v>0.97619049999999996</v>
      </c>
      <c r="S143">
        <v>60</v>
      </c>
      <c r="T143">
        <v>0.73170729999999995</v>
      </c>
      <c r="U143">
        <v>78</v>
      </c>
      <c r="V143">
        <v>42</v>
      </c>
      <c r="W143">
        <v>0.53846150000000004</v>
      </c>
      <c r="X143">
        <v>42</v>
      </c>
      <c r="Y143">
        <v>1</v>
      </c>
      <c r="Z143">
        <v>42</v>
      </c>
      <c r="AA143">
        <v>1</v>
      </c>
      <c r="AB143">
        <v>28</v>
      </c>
      <c r="AC143">
        <v>0.66666669999999995</v>
      </c>
      <c r="AD143">
        <v>0</v>
      </c>
      <c r="AE143">
        <v>0</v>
      </c>
      <c r="AF143">
        <v>0</v>
      </c>
      <c r="AG143">
        <v>0</v>
      </c>
      <c r="AH143">
        <v>0</v>
      </c>
      <c r="AI143">
        <v>0</v>
      </c>
      <c r="AJ143">
        <v>0</v>
      </c>
      <c r="AK143">
        <v>0</v>
      </c>
      <c r="AL143">
        <v>0</v>
      </c>
      <c r="AM143">
        <v>87</v>
      </c>
      <c r="AN143">
        <v>81</v>
      </c>
      <c r="AO143">
        <v>0.93103449999999999</v>
      </c>
      <c r="AP143">
        <v>45</v>
      </c>
      <c r="AQ143">
        <v>0.55555560000000004</v>
      </c>
      <c r="AR143">
        <v>81</v>
      </c>
      <c r="AS143">
        <v>1</v>
      </c>
      <c r="AT143">
        <v>57</v>
      </c>
      <c r="AU143">
        <v>0.70370370000000004</v>
      </c>
      <c r="AV143">
        <v>87</v>
      </c>
      <c r="AW143">
        <v>45</v>
      </c>
      <c r="AX143">
        <v>0.51724139999999996</v>
      </c>
      <c r="AY143">
        <v>45</v>
      </c>
      <c r="AZ143">
        <v>1</v>
      </c>
      <c r="BA143">
        <v>45</v>
      </c>
      <c r="BB143">
        <v>1</v>
      </c>
      <c r="BC143">
        <v>31</v>
      </c>
      <c r="BD143">
        <v>0.68888890000000003</v>
      </c>
      <c r="BE143">
        <v>0</v>
      </c>
      <c r="BF143">
        <v>0</v>
      </c>
      <c r="BG143">
        <v>0</v>
      </c>
      <c r="BH143">
        <v>0</v>
      </c>
      <c r="BI143">
        <v>0</v>
      </c>
      <c r="BJ143">
        <v>0</v>
      </c>
      <c r="BK143">
        <v>0</v>
      </c>
      <c r="BL143">
        <v>0</v>
      </c>
      <c r="BM143">
        <v>0</v>
      </c>
    </row>
    <row r="144" spans="1:65" x14ac:dyDescent="0.25">
      <c r="A144" t="s">
        <v>406</v>
      </c>
      <c r="B144" t="s">
        <v>407</v>
      </c>
      <c r="C144">
        <v>813</v>
      </c>
      <c r="D144">
        <v>819</v>
      </c>
      <c r="E144">
        <v>1.0073801</v>
      </c>
      <c r="F144">
        <v>633</v>
      </c>
      <c r="G144">
        <v>0.77289379999999996</v>
      </c>
      <c r="H144">
        <v>791</v>
      </c>
      <c r="I144">
        <v>0.965812</v>
      </c>
      <c r="J144">
        <v>520</v>
      </c>
      <c r="K144">
        <v>0.65739570000000003</v>
      </c>
      <c r="L144">
        <v>334</v>
      </c>
      <c r="M144">
        <v>336</v>
      </c>
      <c r="N144">
        <v>1.0059880000000001</v>
      </c>
      <c r="O144">
        <v>256</v>
      </c>
      <c r="P144">
        <v>0.76190480000000005</v>
      </c>
      <c r="Q144">
        <v>334</v>
      </c>
      <c r="R144">
        <v>0.99404760000000003</v>
      </c>
      <c r="S144">
        <v>214</v>
      </c>
      <c r="T144">
        <v>0.64071860000000003</v>
      </c>
      <c r="U144">
        <v>323</v>
      </c>
      <c r="V144">
        <v>244</v>
      </c>
      <c r="W144">
        <v>0.75541800000000003</v>
      </c>
      <c r="X144">
        <v>244</v>
      </c>
      <c r="Y144">
        <v>1</v>
      </c>
      <c r="Z144">
        <v>243</v>
      </c>
      <c r="AA144">
        <v>0.99590160000000005</v>
      </c>
      <c r="AB144">
        <v>154</v>
      </c>
      <c r="AC144">
        <v>0.63374490000000006</v>
      </c>
      <c r="AD144">
        <v>11</v>
      </c>
      <c r="AE144">
        <v>12</v>
      </c>
      <c r="AF144">
        <v>1.0909091</v>
      </c>
      <c r="AG144">
        <v>12</v>
      </c>
      <c r="AH144">
        <v>1</v>
      </c>
      <c r="AI144">
        <v>12</v>
      </c>
      <c r="AJ144">
        <v>1</v>
      </c>
      <c r="AK144">
        <v>4</v>
      </c>
      <c r="AL144">
        <v>0.3333333</v>
      </c>
      <c r="AM144">
        <v>479</v>
      </c>
      <c r="AN144">
        <v>483</v>
      </c>
      <c r="AO144">
        <v>1.0083507</v>
      </c>
      <c r="AP144">
        <v>377</v>
      </c>
      <c r="AQ144">
        <v>0.78053830000000002</v>
      </c>
      <c r="AR144">
        <v>457</v>
      </c>
      <c r="AS144">
        <v>0.94616979999999995</v>
      </c>
      <c r="AT144">
        <v>306</v>
      </c>
      <c r="AU144">
        <v>0.66958419999999996</v>
      </c>
      <c r="AV144" t="s">
        <v>127</v>
      </c>
      <c r="AW144" t="s">
        <v>127</v>
      </c>
      <c r="AX144" t="s">
        <v>127</v>
      </c>
      <c r="AY144" t="s">
        <v>127</v>
      </c>
      <c r="AZ144" t="s">
        <v>127</v>
      </c>
      <c r="BA144" t="s">
        <v>127</v>
      </c>
      <c r="BB144" t="s">
        <v>127</v>
      </c>
      <c r="BC144" t="s">
        <v>127</v>
      </c>
      <c r="BD144" t="s">
        <v>127</v>
      </c>
      <c r="BE144" t="s">
        <v>127</v>
      </c>
      <c r="BF144" t="s">
        <v>127</v>
      </c>
      <c r="BG144" t="s">
        <v>127</v>
      </c>
      <c r="BH144" t="s">
        <v>127</v>
      </c>
      <c r="BI144" t="s">
        <v>127</v>
      </c>
      <c r="BJ144" t="s">
        <v>127</v>
      </c>
      <c r="BK144" t="s">
        <v>127</v>
      </c>
      <c r="BL144" t="s">
        <v>127</v>
      </c>
      <c r="BM144" t="s">
        <v>127</v>
      </c>
    </row>
    <row r="145" spans="1:65" x14ac:dyDescent="0.25">
      <c r="A145" t="s">
        <v>408</v>
      </c>
      <c r="B145" t="s">
        <v>409</v>
      </c>
      <c r="C145">
        <v>205</v>
      </c>
      <c r="D145">
        <v>63</v>
      </c>
      <c r="E145">
        <v>0.30731710000000001</v>
      </c>
      <c r="F145">
        <v>43</v>
      </c>
      <c r="G145">
        <v>0.68253969999999997</v>
      </c>
      <c r="H145">
        <v>61</v>
      </c>
      <c r="I145">
        <v>0.96825399999999995</v>
      </c>
      <c r="J145">
        <v>42</v>
      </c>
      <c r="K145">
        <v>0.68852460000000004</v>
      </c>
      <c r="L145">
        <v>95</v>
      </c>
      <c r="M145">
        <v>34</v>
      </c>
      <c r="N145">
        <v>0.35789470000000001</v>
      </c>
      <c r="O145">
        <v>22</v>
      </c>
      <c r="P145">
        <v>0.64705880000000005</v>
      </c>
      <c r="Q145">
        <v>33</v>
      </c>
      <c r="R145">
        <v>0.97058820000000001</v>
      </c>
      <c r="S145">
        <v>22</v>
      </c>
      <c r="T145">
        <v>0.66666669999999995</v>
      </c>
      <c r="U145">
        <v>95</v>
      </c>
      <c r="V145">
        <v>22</v>
      </c>
      <c r="W145">
        <v>0.2315789</v>
      </c>
      <c r="X145">
        <v>22</v>
      </c>
      <c r="Y145">
        <v>1</v>
      </c>
      <c r="Z145">
        <v>22</v>
      </c>
      <c r="AA145">
        <v>1</v>
      </c>
      <c r="AB145">
        <v>14</v>
      </c>
      <c r="AC145">
        <v>0.63636360000000003</v>
      </c>
      <c r="AD145">
        <v>0</v>
      </c>
      <c r="AE145">
        <v>0</v>
      </c>
      <c r="AF145">
        <v>0</v>
      </c>
      <c r="AG145">
        <v>0</v>
      </c>
      <c r="AH145">
        <v>0</v>
      </c>
      <c r="AI145">
        <v>0</v>
      </c>
      <c r="AJ145">
        <v>0</v>
      </c>
      <c r="AK145">
        <v>0</v>
      </c>
      <c r="AL145">
        <v>0</v>
      </c>
      <c r="AM145">
        <v>110</v>
      </c>
      <c r="AN145">
        <v>29</v>
      </c>
      <c r="AO145">
        <v>0.26363639999999999</v>
      </c>
      <c r="AP145">
        <v>21</v>
      </c>
      <c r="AQ145">
        <v>0.7241379</v>
      </c>
      <c r="AR145">
        <v>28</v>
      </c>
      <c r="AS145">
        <v>0.96551719999999996</v>
      </c>
      <c r="AT145">
        <v>20</v>
      </c>
      <c r="AU145">
        <v>0.71428570000000002</v>
      </c>
      <c r="AV145">
        <v>110</v>
      </c>
      <c r="AW145">
        <v>21</v>
      </c>
      <c r="AX145">
        <v>0.1909091</v>
      </c>
      <c r="AY145">
        <v>21</v>
      </c>
      <c r="AZ145">
        <v>1</v>
      </c>
      <c r="BA145">
        <v>20</v>
      </c>
      <c r="BB145">
        <v>0.95238100000000003</v>
      </c>
      <c r="BC145">
        <v>14</v>
      </c>
      <c r="BD145">
        <v>0.7</v>
      </c>
      <c r="BE145">
        <v>0</v>
      </c>
      <c r="BF145">
        <v>0</v>
      </c>
      <c r="BG145">
        <v>0</v>
      </c>
      <c r="BH145">
        <v>0</v>
      </c>
      <c r="BI145">
        <v>0</v>
      </c>
      <c r="BJ145">
        <v>0</v>
      </c>
      <c r="BK145">
        <v>0</v>
      </c>
      <c r="BL145">
        <v>0</v>
      </c>
      <c r="BM145">
        <v>0</v>
      </c>
    </row>
    <row r="146" spans="1:65" x14ac:dyDescent="0.25">
      <c r="A146" t="s">
        <v>410</v>
      </c>
      <c r="B146" t="s">
        <v>411</v>
      </c>
      <c r="C146">
        <v>16</v>
      </c>
      <c r="D146">
        <v>80</v>
      </c>
      <c r="E146">
        <v>5</v>
      </c>
      <c r="F146">
        <v>58</v>
      </c>
      <c r="G146">
        <v>0.72499999999999998</v>
      </c>
      <c r="H146">
        <v>78</v>
      </c>
      <c r="I146">
        <v>0.97499999999999998</v>
      </c>
      <c r="J146">
        <v>52</v>
      </c>
      <c r="K146">
        <v>0.66666669999999995</v>
      </c>
      <c r="L146">
        <v>8</v>
      </c>
      <c r="M146">
        <v>33</v>
      </c>
      <c r="N146">
        <v>4.125</v>
      </c>
      <c r="O146">
        <v>20</v>
      </c>
      <c r="P146">
        <v>0.60606059999999995</v>
      </c>
      <c r="Q146">
        <v>33</v>
      </c>
      <c r="R146">
        <v>1</v>
      </c>
      <c r="S146">
        <v>20</v>
      </c>
      <c r="T146">
        <v>0.60606059999999995</v>
      </c>
      <c r="U146">
        <v>8</v>
      </c>
      <c r="V146">
        <v>20</v>
      </c>
      <c r="W146">
        <v>2.5</v>
      </c>
      <c r="X146">
        <v>20</v>
      </c>
      <c r="Y146">
        <v>1</v>
      </c>
      <c r="Z146">
        <v>20</v>
      </c>
      <c r="AA146">
        <v>1</v>
      </c>
      <c r="AB146">
        <v>11</v>
      </c>
      <c r="AC146">
        <v>0.55000000000000004</v>
      </c>
      <c r="AD146">
        <v>0</v>
      </c>
      <c r="AE146">
        <v>0</v>
      </c>
      <c r="AF146">
        <v>0</v>
      </c>
      <c r="AG146">
        <v>0</v>
      </c>
      <c r="AH146">
        <v>0</v>
      </c>
      <c r="AI146">
        <v>0</v>
      </c>
      <c r="AJ146">
        <v>0</v>
      </c>
      <c r="AK146">
        <v>0</v>
      </c>
      <c r="AL146">
        <v>0</v>
      </c>
      <c r="AM146">
        <v>8</v>
      </c>
      <c r="AN146">
        <v>47</v>
      </c>
      <c r="AO146">
        <v>5.875</v>
      </c>
      <c r="AP146">
        <v>38</v>
      </c>
      <c r="AQ146">
        <v>0.80851059999999997</v>
      </c>
      <c r="AR146">
        <v>45</v>
      </c>
      <c r="AS146">
        <v>0.95744680000000004</v>
      </c>
      <c r="AT146">
        <v>32</v>
      </c>
      <c r="AU146">
        <v>0.7111111</v>
      </c>
      <c r="AV146">
        <v>8</v>
      </c>
      <c r="AW146">
        <v>38</v>
      </c>
      <c r="AX146">
        <v>4.75</v>
      </c>
      <c r="AY146">
        <v>38</v>
      </c>
      <c r="AZ146">
        <v>1</v>
      </c>
      <c r="BA146">
        <v>37</v>
      </c>
      <c r="BB146">
        <v>0.9736842</v>
      </c>
      <c r="BC146">
        <v>27</v>
      </c>
      <c r="BD146">
        <v>0.72972970000000004</v>
      </c>
      <c r="BE146">
        <v>0</v>
      </c>
      <c r="BF146">
        <v>0</v>
      </c>
      <c r="BG146">
        <v>0</v>
      </c>
      <c r="BH146">
        <v>0</v>
      </c>
      <c r="BI146">
        <v>0</v>
      </c>
      <c r="BJ146">
        <v>0</v>
      </c>
      <c r="BK146">
        <v>0</v>
      </c>
      <c r="BL146">
        <v>0</v>
      </c>
      <c r="BM146">
        <v>0</v>
      </c>
    </row>
    <row r="147" spans="1:65" x14ac:dyDescent="0.25">
      <c r="A147" t="s">
        <v>412</v>
      </c>
      <c r="B147" t="s">
        <v>413</v>
      </c>
      <c r="C147">
        <v>146</v>
      </c>
      <c r="D147">
        <v>87</v>
      </c>
      <c r="E147">
        <v>0.59589040000000004</v>
      </c>
      <c r="F147">
        <v>59</v>
      </c>
      <c r="G147">
        <v>0.67816089999999996</v>
      </c>
      <c r="H147">
        <v>85</v>
      </c>
      <c r="I147">
        <v>0.97701150000000003</v>
      </c>
      <c r="J147">
        <v>47</v>
      </c>
      <c r="K147">
        <v>0.55294120000000002</v>
      </c>
      <c r="L147">
        <v>64</v>
      </c>
      <c r="M147">
        <v>35</v>
      </c>
      <c r="N147">
        <v>0.546875</v>
      </c>
      <c r="O147">
        <v>23</v>
      </c>
      <c r="P147">
        <v>0.65714289999999997</v>
      </c>
      <c r="Q147">
        <v>35</v>
      </c>
      <c r="R147">
        <v>1</v>
      </c>
      <c r="S147">
        <v>24</v>
      </c>
      <c r="T147">
        <v>0.6857143</v>
      </c>
      <c r="U147">
        <v>64</v>
      </c>
      <c r="V147">
        <v>23</v>
      </c>
      <c r="W147">
        <v>0.359375</v>
      </c>
      <c r="X147">
        <v>23</v>
      </c>
      <c r="Y147">
        <v>1</v>
      </c>
      <c r="Z147">
        <v>23</v>
      </c>
      <c r="AA147">
        <v>1</v>
      </c>
      <c r="AB147">
        <v>20</v>
      </c>
      <c r="AC147">
        <v>0.86956520000000004</v>
      </c>
      <c r="AD147">
        <v>0</v>
      </c>
      <c r="AE147">
        <v>0</v>
      </c>
      <c r="AF147">
        <v>0</v>
      </c>
      <c r="AG147">
        <v>0</v>
      </c>
      <c r="AH147">
        <v>0</v>
      </c>
      <c r="AI147">
        <v>0</v>
      </c>
      <c r="AJ147">
        <v>0</v>
      </c>
      <c r="AK147">
        <v>0</v>
      </c>
      <c r="AL147">
        <v>0</v>
      </c>
      <c r="AM147">
        <v>82</v>
      </c>
      <c r="AN147">
        <v>52</v>
      </c>
      <c r="AO147">
        <v>0.63414630000000005</v>
      </c>
      <c r="AP147">
        <v>36</v>
      </c>
      <c r="AQ147">
        <v>0.69230769999999997</v>
      </c>
      <c r="AR147">
        <v>50</v>
      </c>
      <c r="AS147">
        <v>0.96153849999999996</v>
      </c>
      <c r="AT147">
        <v>23</v>
      </c>
      <c r="AU147">
        <v>0.46</v>
      </c>
      <c r="AV147" t="s">
        <v>127</v>
      </c>
      <c r="AW147" t="s">
        <v>127</v>
      </c>
      <c r="AX147" t="s">
        <v>127</v>
      </c>
      <c r="AY147" t="s">
        <v>127</v>
      </c>
      <c r="AZ147" t="s">
        <v>127</v>
      </c>
      <c r="BA147" t="s">
        <v>127</v>
      </c>
      <c r="BB147" t="s">
        <v>127</v>
      </c>
      <c r="BC147" t="s">
        <v>127</v>
      </c>
      <c r="BD147" t="s">
        <v>127</v>
      </c>
      <c r="BE147" t="s">
        <v>127</v>
      </c>
      <c r="BF147" t="s">
        <v>127</v>
      </c>
      <c r="BG147" t="s">
        <v>127</v>
      </c>
      <c r="BH147" t="s">
        <v>127</v>
      </c>
      <c r="BI147" t="s">
        <v>127</v>
      </c>
      <c r="BJ147" t="s">
        <v>127</v>
      </c>
      <c r="BK147" t="s">
        <v>127</v>
      </c>
      <c r="BL147" t="s">
        <v>127</v>
      </c>
      <c r="BM147" t="s">
        <v>127</v>
      </c>
    </row>
    <row r="148" spans="1:65" x14ac:dyDescent="0.25">
      <c r="A148" t="s">
        <v>414</v>
      </c>
      <c r="B148" t="s">
        <v>415</v>
      </c>
      <c r="C148">
        <v>218</v>
      </c>
      <c r="D148">
        <v>180</v>
      </c>
      <c r="E148">
        <v>0.82568810000000004</v>
      </c>
      <c r="F148">
        <v>145</v>
      </c>
      <c r="G148">
        <v>0.80555560000000004</v>
      </c>
      <c r="H148">
        <v>169</v>
      </c>
      <c r="I148">
        <v>0.93888890000000003</v>
      </c>
      <c r="J148">
        <v>109</v>
      </c>
      <c r="K148">
        <v>0.64497040000000005</v>
      </c>
      <c r="L148">
        <v>108</v>
      </c>
      <c r="M148">
        <v>86</v>
      </c>
      <c r="N148">
        <v>0.79629629999999996</v>
      </c>
      <c r="O148">
        <v>73</v>
      </c>
      <c r="P148">
        <v>0.84883719999999996</v>
      </c>
      <c r="Q148">
        <v>83</v>
      </c>
      <c r="R148">
        <v>0.96511630000000004</v>
      </c>
      <c r="S148">
        <v>59</v>
      </c>
      <c r="T148">
        <v>0.71084340000000001</v>
      </c>
      <c r="U148">
        <v>108</v>
      </c>
      <c r="V148">
        <v>73</v>
      </c>
      <c r="W148">
        <v>0.67592589999999997</v>
      </c>
      <c r="X148">
        <v>73</v>
      </c>
      <c r="Y148">
        <v>1</v>
      </c>
      <c r="Z148">
        <v>71</v>
      </c>
      <c r="AA148">
        <v>0.97260270000000004</v>
      </c>
      <c r="AB148">
        <v>52</v>
      </c>
      <c r="AC148">
        <v>0.7323944</v>
      </c>
      <c r="AD148">
        <v>0</v>
      </c>
      <c r="AE148">
        <v>0</v>
      </c>
      <c r="AF148">
        <v>0</v>
      </c>
      <c r="AG148">
        <v>0</v>
      </c>
      <c r="AH148">
        <v>0</v>
      </c>
      <c r="AI148">
        <v>0</v>
      </c>
      <c r="AJ148">
        <v>0</v>
      </c>
      <c r="AK148">
        <v>0</v>
      </c>
      <c r="AL148">
        <v>0</v>
      </c>
      <c r="AM148">
        <v>110</v>
      </c>
      <c r="AN148">
        <v>94</v>
      </c>
      <c r="AO148">
        <v>0.85454549999999996</v>
      </c>
      <c r="AP148">
        <v>72</v>
      </c>
      <c r="AQ148">
        <v>0.76595740000000001</v>
      </c>
      <c r="AR148">
        <v>86</v>
      </c>
      <c r="AS148">
        <v>0.91489359999999997</v>
      </c>
      <c r="AT148">
        <v>50</v>
      </c>
      <c r="AU148">
        <v>0.58139529999999995</v>
      </c>
      <c r="AV148">
        <v>110</v>
      </c>
      <c r="AW148">
        <v>72</v>
      </c>
      <c r="AX148">
        <v>0.6545455</v>
      </c>
      <c r="AY148">
        <v>72</v>
      </c>
      <c r="AZ148">
        <v>1</v>
      </c>
      <c r="BA148">
        <v>66</v>
      </c>
      <c r="BB148">
        <v>0.91666669999999995</v>
      </c>
      <c r="BC148">
        <v>41</v>
      </c>
      <c r="BD148">
        <v>0.62121210000000004</v>
      </c>
      <c r="BE148">
        <v>0</v>
      </c>
      <c r="BF148">
        <v>0</v>
      </c>
      <c r="BG148">
        <v>0</v>
      </c>
      <c r="BH148">
        <v>0</v>
      </c>
      <c r="BI148">
        <v>0</v>
      </c>
      <c r="BJ148">
        <v>0</v>
      </c>
      <c r="BK148">
        <v>0</v>
      </c>
      <c r="BL148">
        <v>0</v>
      </c>
      <c r="BM148">
        <v>0</v>
      </c>
    </row>
    <row r="149" spans="1:65" x14ac:dyDescent="0.25">
      <c r="A149" t="s">
        <v>416</v>
      </c>
      <c r="B149" t="s">
        <v>417</v>
      </c>
      <c r="C149">
        <v>47</v>
      </c>
      <c r="D149">
        <v>0</v>
      </c>
      <c r="E149">
        <v>0</v>
      </c>
      <c r="F149">
        <v>0</v>
      </c>
      <c r="G149">
        <v>0</v>
      </c>
      <c r="H149">
        <v>0</v>
      </c>
      <c r="I149">
        <v>0</v>
      </c>
      <c r="J149">
        <v>0</v>
      </c>
      <c r="K149">
        <v>0</v>
      </c>
      <c r="L149">
        <v>27</v>
      </c>
      <c r="M149" t="s">
        <v>127</v>
      </c>
      <c r="N149" t="s">
        <v>127</v>
      </c>
      <c r="O149">
        <v>0</v>
      </c>
      <c r="P149" t="s">
        <v>127</v>
      </c>
      <c r="Q149">
        <v>0</v>
      </c>
      <c r="R149" t="s">
        <v>127</v>
      </c>
      <c r="S149">
        <v>0</v>
      </c>
      <c r="T149" t="s">
        <v>127</v>
      </c>
      <c r="U149">
        <v>27</v>
      </c>
      <c r="V149">
        <v>0</v>
      </c>
      <c r="W149">
        <v>0</v>
      </c>
      <c r="X149">
        <v>0</v>
      </c>
      <c r="Y149">
        <v>0</v>
      </c>
      <c r="Z149">
        <v>0</v>
      </c>
      <c r="AA149">
        <v>0</v>
      </c>
      <c r="AB149">
        <v>0</v>
      </c>
      <c r="AC149">
        <v>0</v>
      </c>
      <c r="AD149">
        <v>0</v>
      </c>
      <c r="AE149">
        <v>0</v>
      </c>
      <c r="AF149">
        <v>0</v>
      </c>
      <c r="AG149">
        <v>0</v>
      </c>
      <c r="AH149">
        <v>0</v>
      </c>
      <c r="AI149">
        <v>0</v>
      </c>
      <c r="AJ149">
        <v>0</v>
      </c>
      <c r="AK149">
        <v>0</v>
      </c>
      <c r="AL149">
        <v>0</v>
      </c>
      <c r="AM149">
        <v>20</v>
      </c>
      <c r="AN149" t="s">
        <v>127</v>
      </c>
      <c r="AO149" t="s">
        <v>127</v>
      </c>
      <c r="AP149">
        <v>0</v>
      </c>
      <c r="AQ149" t="s">
        <v>127</v>
      </c>
      <c r="AR149" t="s">
        <v>127</v>
      </c>
      <c r="AS149" t="s">
        <v>127</v>
      </c>
      <c r="AT149" t="s">
        <v>127</v>
      </c>
      <c r="AU149" t="s">
        <v>127</v>
      </c>
      <c r="AV149">
        <v>20</v>
      </c>
      <c r="AW149">
        <v>0</v>
      </c>
      <c r="AX149">
        <v>0</v>
      </c>
      <c r="AY149">
        <v>0</v>
      </c>
      <c r="AZ149">
        <v>0</v>
      </c>
      <c r="BA149">
        <v>0</v>
      </c>
      <c r="BB149">
        <v>0</v>
      </c>
      <c r="BC149">
        <v>0</v>
      </c>
      <c r="BD149">
        <v>0</v>
      </c>
      <c r="BE149">
        <v>0</v>
      </c>
      <c r="BF149">
        <v>0</v>
      </c>
      <c r="BG149">
        <v>0</v>
      </c>
      <c r="BH149">
        <v>0</v>
      </c>
      <c r="BI149">
        <v>0</v>
      </c>
      <c r="BJ149">
        <v>0</v>
      </c>
      <c r="BK149">
        <v>0</v>
      </c>
      <c r="BL149">
        <v>0</v>
      </c>
      <c r="BM149">
        <v>0</v>
      </c>
    </row>
    <row r="150" spans="1:65" x14ac:dyDescent="0.25">
      <c r="A150" t="s">
        <v>418</v>
      </c>
      <c r="B150" t="s">
        <v>419</v>
      </c>
      <c r="C150">
        <v>165</v>
      </c>
      <c r="D150">
        <v>34</v>
      </c>
      <c r="E150">
        <v>0.20606060000000001</v>
      </c>
      <c r="F150">
        <v>25</v>
      </c>
      <c r="G150">
        <v>0.73529409999999995</v>
      </c>
      <c r="H150">
        <v>34</v>
      </c>
      <c r="I150">
        <v>1</v>
      </c>
      <c r="J150">
        <v>26</v>
      </c>
      <c r="K150">
        <v>0.76470590000000005</v>
      </c>
      <c r="L150">
        <v>58</v>
      </c>
      <c r="M150">
        <v>10</v>
      </c>
      <c r="N150">
        <v>0.17241380000000001</v>
      </c>
      <c r="O150">
        <v>6</v>
      </c>
      <c r="P150">
        <v>0.6</v>
      </c>
      <c r="Q150">
        <v>10</v>
      </c>
      <c r="R150">
        <v>1</v>
      </c>
      <c r="S150">
        <v>7</v>
      </c>
      <c r="T150">
        <v>0.7</v>
      </c>
      <c r="U150">
        <v>58</v>
      </c>
      <c r="V150">
        <v>6</v>
      </c>
      <c r="W150">
        <v>0.10344830000000001</v>
      </c>
      <c r="X150">
        <v>6</v>
      </c>
      <c r="Y150">
        <v>1</v>
      </c>
      <c r="Z150">
        <v>6</v>
      </c>
      <c r="AA150">
        <v>1</v>
      </c>
      <c r="AB150">
        <v>4</v>
      </c>
      <c r="AC150">
        <v>0.66666669999999995</v>
      </c>
      <c r="AD150">
        <v>0</v>
      </c>
      <c r="AE150">
        <v>0</v>
      </c>
      <c r="AF150">
        <v>0</v>
      </c>
      <c r="AG150">
        <v>0</v>
      </c>
      <c r="AH150">
        <v>0</v>
      </c>
      <c r="AI150">
        <v>0</v>
      </c>
      <c r="AJ150">
        <v>0</v>
      </c>
      <c r="AK150">
        <v>0</v>
      </c>
      <c r="AL150">
        <v>0</v>
      </c>
      <c r="AM150">
        <v>107</v>
      </c>
      <c r="AN150">
        <v>24</v>
      </c>
      <c r="AO150">
        <v>0.2242991</v>
      </c>
      <c r="AP150">
        <v>19</v>
      </c>
      <c r="AQ150">
        <v>0.79166669999999995</v>
      </c>
      <c r="AR150">
        <v>24</v>
      </c>
      <c r="AS150">
        <v>1</v>
      </c>
      <c r="AT150">
        <v>19</v>
      </c>
      <c r="AU150">
        <v>0.79166669999999995</v>
      </c>
      <c r="AV150">
        <v>107</v>
      </c>
      <c r="AW150">
        <v>19</v>
      </c>
      <c r="AX150">
        <v>0.17757010000000001</v>
      </c>
      <c r="AY150">
        <v>19</v>
      </c>
      <c r="AZ150">
        <v>1</v>
      </c>
      <c r="BA150">
        <v>19</v>
      </c>
      <c r="BB150">
        <v>1</v>
      </c>
      <c r="BC150">
        <v>16</v>
      </c>
      <c r="BD150">
        <v>0.84210529999999995</v>
      </c>
      <c r="BE150">
        <v>0</v>
      </c>
      <c r="BF150">
        <v>0</v>
      </c>
      <c r="BG150">
        <v>0</v>
      </c>
      <c r="BH150">
        <v>0</v>
      </c>
      <c r="BI150">
        <v>0</v>
      </c>
      <c r="BJ150">
        <v>0</v>
      </c>
      <c r="BK150">
        <v>0</v>
      </c>
      <c r="BL150">
        <v>0</v>
      </c>
      <c r="BM150">
        <v>0</v>
      </c>
    </row>
    <row r="151" spans="1:65" x14ac:dyDescent="0.25">
      <c r="A151" t="s">
        <v>420</v>
      </c>
      <c r="B151" t="s">
        <v>421</v>
      </c>
      <c r="C151">
        <v>399</v>
      </c>
      <c r="D151">
        <v>281</v>
      </c>
      <c r="E151">
        <v>0.70426069999999996</v>
      </c>
      <c r="F151">
        <v>225</v>
      </c>
      <c r="G151">
        <v>0.80071170000000003</v>
      </c>
      <c r="H151">
        <v>273</v>
      </c>
      <c r="I151">
        <v>0.97153020000000001</v>
      </c>
      <c r="J151">
        <v>176</v>
      </c>
      <c r="K151">
        <v>0.64468859999999995</v>
      </c>
      <c r="L151">
        <v>202</v>
      </c>
      <c r="M151">
        <v>162</v>
      </c>
      <c r="N151">
        <v>0.80198020000000003</v>
      </c>
      <c r="O151">
        <v>136</v>
      </c>
      <c r="P151">
        <v>0.83950619999999998</v>
      </c>
      <c r="Q151">
        <v>159</v>
      </c>
      <c r="R151">
        <v>0.98148150000000001</v>
      </c>
      <c r="S151">
        <v>99</v>
      </c>
      <c r="T151">
        <v>0.62264149999999996</v>
      </c>
      <c r="U151" t="s">
        <v>127</v>
      </c>
      <c r="V151" t="s">
        <v>127</v>
      </c>
      <c r="W151" t="s">
        <v>127</v>
      </c>
      <c r="X151" t="s">
        <v>127</v>
      </c>
      <c r="Y151" t="s">
        <v>127</v>
      </c>
      <c r="Z151" t="s">
        <v>127</v>
      </c>
      <c r="AA151" t="s">
        <v>127</v>
      </c>
      <c r="AB151" t="s">
        <v>127</v>
      </c>
      <c r="AC151" t="s">
        <v>127</v>
      </c>
      <c r="AD151" t="s">
        <v>127</v>
      </c>
      <c r="AE151" t="s">
        <v>127</v>
      </c>
      <c r="AF151" t="s">
        <v>127</v>
      </c>
      <c r="AG151" t="s">
        <v>127</v>
      </c>
      <c r="AH151" t="s">
        <v>127</v>
      </c>
      <c r="AI151" t="s">
        <v>127</v>
      </c>
      <c r="AJ151" t="s">
        <v>127</v>
      </c>
      <c r="AK151" t="s">
        <v>127</v>
      </c>
      <c r="AL151" t="s">
        <v>127</v>
      </c>
      <c r="AM151">
        <v>197</v>
      </c>
      <c r="AN151">
        <v>119</v>
      </c>
      <c r="AO151">
        <v>0.60406090000000001</v>
      </c>
      <c r="AP151">
        <v>89</v>
      </c>
      <c r="AQ151">
        <v>0.74789919999999999</v>
      </c>
      <c r="AR151">
        <v>114</v>
      </c>
      <c r="AS151">
        <v>0.95798320000000003</v>
      </c>
      <c r="AT151">
        <v>77</v>
      </c>
      <c r="AU151">
        <v>0.6754386</v>
      </c>
      <c r="AV151">
        <v>185</v>
      </c>
      <c r="AW151" t="s">
        <v>127</v>
      </c>
      <c r="AX151" t="s">
        <v>127</v>
      </c>
      <c r="AY151" t="s">
        <v>127</v>
      </c>
      <c r="AZ151" t="s">
        <v>127</v>
      </c>
      <c r="BA151" t="s">
        <v>127</v>
      </c>
      <c r="BB151" t="s">
        <v>127</v>
      </c>
      <c r="BC151" t="s">
        <v>127</v>
      </c>
      <c r="BD151" t="s">
        <v>127</v>
      </c>
      <c r="BE151">
        <v>12</v>
      </c>
      <c r="BF151" t="s">
        <v>127</v>
      </c>
      <c r="BG151" t="s">
        <v>127</v>
      </c>
      <c r="BH151" t="s">
        <v>127</v>
      </c>
      <c r="BI151" t="s">
        <v>127</v>
      </c>
      <c r="BJ151" t="s">
        <v>127</v>
      </c>
      <c r="BK151" t="s">
        <v>127</v>
      </c>
      <c r="BL151" t="s">
        <v>127</v>
      </c>
      <c r="BM151" t="s">
        <v>127</v>
      </c>
    </row>
    <row r="152" spans="1:65" x14ac:dyDescent="0.25">
      <c r="A152" t="s">
        <v>422</v>
      </c>
      <c r="B152" t="s">
        <v>423</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t="s">
        <v>127</v>
      </c>
      <c r="AN152" t="s">
        <v>127</v>
      </c>
      <c r="AO152" t="s">
        <v>127</v>
      </c>
      <c r="AP152">
        <v>0</v>
      </c>
      <c r="AQ152" t="s">
        <v>127</v>
      </c>
      <c r="AR152" t="s">
        <v>127</v>
      </c>
      <c r="AS152" t="s">
        <v>127</v>
      </c>
      <c r="AT152" t="s">
        <v>127</v>
      </c>
      <c r="AU152" t="s">
        <v>127</v>
      </c>
      <c r="AV152" t="s">
        <v>127</v>
      </c>
      <c r="AW152">
        <v>0</v>
      </c>
      <c r="AX152" t="s">
        <v>127</v>
      </c>
      <c r="AY152">
        <v>0</v>
      </c>
      <c r="AZ152">
        <v>0</v>
      </c>
      <c r="BA152">
        <v>0</v>
      </c>
      <c r="BB152">
        <v>0</v>
      </c>
      <c r="BC152">
        <v>0</v>
      </c>
      <c r="BD152">
        <v>0</v>
      </c>
      <c r="BE152">
        <v>0</v>
      </c>
      <c r="BF152">
        <v>0</v>
      </c>
      <c r="BG152">
        <v>0</v>
      </c>
      <c r="BH152">
        <v>0</v>
      </c>
      <c r="BI152">
        <v>0</v>
      </c>
      <c r="BJ152">
        <v>0</v>
      </c>
      <c r="BK152">
        <v>0</v>
      </c>
      <c r="BL152">
        <v>0</v>
      </c>
      <c r="BM152">
        <v>0</v>
      </c>
    </row>
    <row r="153" spans="1:65" x14ac:dyDescent="0.25">
      <c r="A153" t="s">
        <v>424</v>
      </c>
      <c r="B153" t="s">
        <v>425</v>
      </c>
      <c r="C153">
        <v>563</v>
      </c>
      <c r="D153">
        <v>382</v>
      </c>
      <c r="E153">
        <v>0.678508</v>
      </c>
      <c r="F153">
        <v>260</v>
      </c>
      <c r="G153">
        <v>0.68062829999999996</v>
      </c>
      <c r="H153">
        <v>365</v>
      </c>
      <c r="I153">
        <v>0.95549740000000005</v>
      </c>
      <c r="J153">
        <v>215</v>
      </c>
      <c r="K153">
        <v>0.58904109999999998</v>
      </c>
      <c r="L153">
        <v>242</v>
      </c>
      <c r="M153">
        <v>152</v>
      </c>
      <c r="N153">
        <v>0.62809919999999997</v>
      </c>
      <c r="O153">
        <v>110</v>
      </c>
      <c r="P153">
        <v>0.7236842</v>
      </c>
      <c r="Q153">
        <v>142</v>
      </c>
      <c r="R153">
        <v>0.93421050000000005</v>
      </c>
      <c r="S153">
        <v>87</v>
      </c>
      <c r="T153">
        <v>0.61267609999999995</v>
      </c>
      <c r="U153">
        <v>242</v>
      </c>
      <c r="V153">
        <v>110</v>
      </c>
      <c r="W153">
        <v>0.45454549999999999</v>
      </c>
      <c r="X153">
        <v>110</v>
      </c>
      <c r="Y153">
        <v>1</v>
      </c>
      <c r="Z153">
        <v>105</v>
      </c>
      <c r="AA153">
        <v>0.95454550000000005</v>
      </c>
      <c r="AB153">
        <v>67</v>
      </c>
      <c r="AC153">
        <v>0.63809519999999997</v>
      </c>
      <c r="AD153">
        <v>0</v>
      </c>
      <c r="AE153">
        <v>0</v>
      </c>
      <c r="AF153">
        <v>0</v>
      </c>
      <c r="AG153">
        <v>0</v>
      </c>
      <c r="AH153">
        <v>0</v>
      </c>
      <c r="AI153">
        <v>0</v>
      </c>
      <c r="AJ153">
        <v>0</v>
      </c>
      <c r="AK153">
        <v>0</v>
      </c>
      <c r="AL153">
        <v>0</v>
      </c>
      <c r="AM153">
        <v>321</v>
      </c>
      <c r="AN153">
        <v>230</v>
      </c>
      <c r="AO153">
        <v>0.71651089999999995</v>
      </c>
      <c r="AP153">
        <v>150</v>
      </c>
      <c r="AQ153">
        <v>0.65217389999999997</v>
      </c>
      <c r="AR153">
        <v>223</v>
      </c>
      <c r="AS153">
        <v>0.96956520000000002</v>
      </c>
      <c r="AT153">
        <v>128</v>
      </c>
      <c r="AU153">
        <v>0.57399100000000003</v>
      </c>
      <c r="AV153" t="s">
        <v>127</v>
      </c>
      <c r="AW153">
        <v>150</v>
      </c>
      <c r="AX153">
        <v>0.46875</v>
      </c>
      <c r="AY153" t="s">
        <v>127</v>
      </c>
      <c r="AZ153">
        <v>1</v>
      </c>
      <c r="BA153">
        <v>146</v>
      </c>
      <c r="BB153">
        <v>0.97333329999999996</v>
      </c>
      <c r="BC153">
        <v>92</v>
      </c>
      <c r="BD153">
        <v>0.63013699999999995</v>
      </c>
      <c r="BE153" t="s">
        <v>127</v>
      </c>
      <c r="BF153">
        <v>0</v>
      </c>
      <c r="BG153" t="s">
        <v>127</v>
      </c>
      <c r="BH153">
        <v>0</v>
      </c>
      <c r="BI153">
        <v>0</v>
      </c>
      <c r="BJ153">
        <v>0</v>
      </c>
      <c r="BK153">
        <v>0</v>
      </c>
      <c r="BL153">
        <v>0</v>
      </c>
      <c r="BM153">
        <v>0</v>
      </c>
    </row>
    <row r="154" spans="1:65" x14ac:dyDescent="0.25">
      <c r="A154" t="s">
        <v>426</v>
      </c>
      <c r="B154" t="s">
        <v>427</v>
      </c>
      <c r="C154">
        <v>72</v>
      </c>
      <c r="D154">
        <v>161</v>
      </c>
      <c r="E154">
        <v>2.2361111</v>
      </c>
      <c r="F154">
        <v>19</v>
      </c>
      <c r="G154">
        <v>0.1180124</v>
      </c>
      <c r="H154">
        <v>156</v>
      </c>
      <c r="I154">
        <v>0.96894409999999997</v>
      </c>
      <c r="J154">
        <v>117</v>
      </c>
      <c r="K154">
        <v>0.75</v>
      </c>
      <c r="L154">
        <v>35</v>
      </c>
      <c r="M154">
        <v>81</v>
      </c>
      <c r="N154">
        <v>2.3142857000000001</v>
      </c>
      <c r="O154">
        <v>13</v>
      </c>
      <c r="P154">
        <v>0.16049379999999999</v>
      </c>
      <c r="Q154">
        <v>80</v>
      </c>
      <c r="R154">
        <v>0.98765429999999999</v>
      </c>
      <c r="S154">
        <v>58</v>
      </c>
      <c r="T154">
        <v>0.72499999999999998</v>
      </c>
      <c r="U154">
        <v>35</v>
      </c>
      <c r="V154">
        <v>13</v>
      </c>
      <c r="W154">
        <v>0.3714286</v>
      </c>
      <c r="X154">
        <v>13</v>
      </c>
      <c r="Y154">
        <v>1</v>
      </c>
      <c r="Z154">
        <v>12</v>
      </c>
      <c r="AA154">
        <v>0.92307689999999998</v>
      </c>
      <c r="AB154">
        <v>7</v>
      </c>
      <c r="AC154">
        <v>0.58333330000000005</v>
      </c>
      <c r="AD154">
        <v>0</v>
      </c>
      <c r="AE154">
        <v>0</v>
      </c>
      <c r="AF154">
        <v>0</v>
      </c>
      <c r="AG154">
        <v>0</v>
      </c>
      <c r="AH154">
        <v>0</v>
      </c>
      <c r="AI154">
        <v>0</v>
      </c>
      <c r="AJ154">
        <v>0</v>
      </c>
      <c r="AK154">
        <v>0</v>
      </c>
      <c r="AL154">
        <v>0</v>
      </c>
      <c r="AM154">
        <v>37</v>
      </c>
      <c r="AN154">
        <v>80</v>
      </c>
      <c r="AO154">
        <v>2.1621622</v>
      </c>
      <c r="AP154">
        <v>6</v>
      </c>
      <c r="AQ154">
        <v>7.4999999999999997E-2</v>
      </c>
      <c r="AR154">
        <v>76</v>
      </c>
      <c r="AS154">
        <v>0.95</v>
      </c>
      <c r="AT154">
        <v>59</v>
      </c>
      <c r="AU154">
        <v>0.7763158</v>
      </c>
      <c r="AV154">
        <v>37</v>
      </c>
      <c r="AW154">
        <v>6</v>
      </c>
      <c r="AX154">
        <v>0.16216220000000001</v>
      </c>
      <c r="AY154">
        <v>6</v>
      </c>
      <c r="AZ154">
        <v>1</v>
      </c>
      <c r="BA154">
        <v>6</v>
      </c>
      <c r="BB154">
        <v>1</v>
      </c>
      <c r="BC154">
        <v>4</v>
      </c>
      <c r="BD154">
        <v>0.66666669999999995</v>
      </c>
      <c r="BE154">
        <v>0</v>
      </c>
      <c r="BF154">
        <v>0</v>
      </c>
      <c r="BG154">
        <v>0</v>
      </c>
      <c r="BH154">
        <v>0</v>
      </c>
      <c r="BI154">
        <v>0</v>
      </c>
      <c r="BJ154">
        <v>0</v>
      </c>
      <c r="BK154">
        <v>0</v>
      </c>
      <c r="BL154">
        <v>0</v>
      </c>
      <c r="BM154">
        <v>0</v>
      </c>
    </row>
    <row r="155" spans="1:65" x14ac:dyDescent="0.25">
      <c r="A155" t="s">
        <v>428</v>
      </c>
      <c r="B155" t="s">
        <v>429</v>
      </c>
      <c r="C155">
        <v>100</v>
      </c>
      <c r="D155">
        <v>0</v>
      </c>
      <c r="E155">
        <v>0</v>
      </c>
      <c r="F155">
        <v>0</v>
      </c>
      <c r="G155">
        <v>0</v>
      </c>
      <c r="H155">
        <v>0</v>
      </c>
      <c r="I155">
        <v>0</v>
      </c>
      <c r="J155">
        <v>0</v>
      </c>
      <c r="K155">
        <v>0</v>
      </c>
      <c r="L155">
        <v>49</v>
      </c>
      <c r="M155">
        <v>0</v>
      </c>
      <c r="N155">
        <v>0</v>
      </c>
      <c r="O155">
        <v>0</v>
      </c>
      <c r="P155">
        <v>0</v>
      </c>
      <c r="Q155">
        <v>0</v>
      </c>
      <c r="R155">
        <v>0</v>
      </c>
      <c r="S155">
        <v>0</v>
      </c>
      <c r="T155">
        <v>0</v>
      </c>
      <c r="U155">
        <v>49</v>
      </c>
      <c r="V155">
        <v>0</v>
      </c>
      <c r="W155">
        <v>0</v>
      </c>
      <c r="X155">
        <v>0</v>
      </c>
      <c r="Y155">
        <v>0</v>
      </c>
      <c r="Z155">
        <v>0</v>
      </c>
      <c r="AA155">
        <v>0</v>
      </c>
      <c r="AB155">
        <v>0</v>
      </c>
      <c r="AC155">
        <v>0</v>
      </c>
      <c r="AD155">
        <v>0</v>
      </c>
      <c r="AE155">
        <v>0</v>
      </c>
      <c r="AF155">
        <v>0</v>
      </c>
      <c r="AG155">
        <v>0</v>
      </c>
      <c r="AH155">
        <v>0</v>
      </c>
      <c r="AI155">
        <v>0</v>
      </c>
      <c r="AJ155">
        <v>0</v>
      </c>
      <c r="AK155">
        <v>0</v>
      </c>
      <c r="AL155">
        <v>0</v>
      </c>
      <c r="AM155">
        <v>51</v>
      </c>
      <c r="AN155">
        <v>0</v>
      </c>
      <c r="AO155">
        <v>0</v>
      </c>
      <c r="AP155">
        <v>0</v>
      </c>
      <c r="AQ155">
        <v>0</v>
      </c>
      <c r="AR155">
        <v>0</v>
      </c>
      <c r="AS155">
        <v>0</v>
      </c>
      <c r="AT155">
        <v>0</v>
      </c>
      <c r="AU155">
        <v>0</v>
      </c>
      <c r="AV155" t="s">
        <v>127</v>
      </c>
      <c r="AW155">
        <v>0</v>
      </c>
      <c r="AX155">
        <v>0</v>
      </c>
      <c r="AY155" t="s">
        <v>127</v>
      </c>
      <c r="AZ155">
        <v>0</v>
      </c>
      <c r="BA155">
        <v>0</v>
      </c>
      <c r="BB155">
        <v>0</v>
      </c>
      <c r="BC155">
        <v>0</v>
      </c>
      <c r="BD155">
        <v>0</v>
      </c>
      <c r="BE155" t="s">
        <v>127</v>
      </c>
      <c r="BF155">
        <v>0</v>
      </c>
      <c r="BG155" t="s">
        <v>127</v>
      </c>
      <c r="BH155">
        <v>0</v>
      </c>
      <c r="BI155">
        <v>0</v>
      </c>
      <c r="BJ155">
        <v>0</v>
      </c>
      <c r="BK155">
        <v>0</v>
      </c>
      <c r="BL155">
        <v>0</v>
      </c>
      <c r="BM155">
        <v>0</v>
      </c>
    </row>
    <row r="156" spans="1:65" x14ac:dyDescent="0.25">
      <c r="A156" t="s">
        <v>430</v>
      </c>
      <c r="B156" t="s">
        <v>431</v>
      </c>
      <c r="C156">
        <v>0</v>
      </c>
      <c r="D156">
        <v>0</v>
      </c>
      <c r="E156">
        <v>0</v>
      </c>
      <c r="F156">
        <v>0</v>
      </c>
      <c r="G156">
        <v>0</v>
      </c>
      <c r="H156">
        <v>0</v>
      </c>
      <c r="I156">
        <v>0</v>
      </c>
      <c r="J156">
        <v>0</v>
      </c>
      <c r="K156">
        <v>0</v>
      </c>
      <c r="L156" t="s">
        <v>127</v>
      </c>
      <c r="M156">
        <v>0</v>
      </c>
      <c r="N156" t="s">
        <v>127</v>
      </c>
      <c r="O156">
        <v>0</v>
      </c>
      <c r="P156">
        <v>0</v>
      </c>
      <c r="Q156">
        <v>0</v>
      </c>
      <c r="R156">
        <v>0</v>
      </c>
      <c r="S156">
        <v>0</v>
      </c>
      <c r="T156">
        <v>0</v>
      </c>
      <c r="U156" t="s">
        <v>127</v>
      </c>
      <c r="V156">
        <v>0</v>
      </c>
      <c r="W156" t="s">
        <v>127</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row>
    <row r="157" spans="1:65" x14ac:dyDescent="0.25">
      <c r="A157" t="s">
        <v>432</v>
      </c>
      <c r="B157" t="s">
        <v>433</v>
      </c>
      <c r="C157">
        <v>191</v>
      </c>
      <c r="D157">
        <v>0</v>
      </c>
      <c r="E157">
        <v>0</v>
      </c>
      <c r="F157">
        <v>0</v>
      </c>
      <c r="G157">
        <v>0</v>
      </c>
      <c r="H157">
        <v>0</v>
      </c>
      <c r="I157">
        <v>0</v>
      </c>
      <c r="J157">
        <v>0</v>
      </c>
      <c r="K157">
        <v>0</v>
      </c>
      <c r="L157">
        <v>69</v>
      </c>
      <c r="M157">
        <v>0</v>
      </c>
      <c r="N157">
        <v>0</v>
      </c>
      <c r="O157">
        <v>0</v>
      </c>
      <c r="P157">
        <v>0</v>
      </c>
      <c r="Q157">
        <v>0</v>
      </c>
      <c r="R157">
        <v>0</v>
      </c>
      <c r="S157">
        <v>0</v>
      </c>
      <c r="T157">
        <v>0</v>
      </c>
      <c r="U157">
        <v>69</v>
      </c>
      <c r="V157">
        <v>0</v>
      </c>
      <c r="W157">
        <v>0</v>
      </c>
      <c r="X157">
        <v>0</v>
      </c>
      <c r="Y157">
        <v>0</v>
      </c>
      <c r="Z157">
        <v>0</v>
      </c>
      <c r="AA157">
        <v>0</v>
      </c>
      <c r="AB157">
        <v>0</v>
      </c>
      <c r="AC157">
        <v>0</v>
      </c>
      <c r="AD157">
        <v>0</v>
      </c>
      <c r="AE157">
        <v>0</v>
      </c>
      <c r="AF157">
        <v>0</v>
      </c>
      <c r="AG157">
        <v>0</v>
      </c>
      <c r="AH157">
        <v>0</v>
      </c>
      <c r="AI157">
        <v>0</v>
      </c>
      <c r="AJ157">
        <v>0</v>
      </c>
      <c r="AK157">
        <v>0</v>
      </c>
      <c r="AL157">
        <v>0</v>
      </c>
      <c r="AM157">
        <v>122</v>
      </c>
      <c r="AN157">
        <v>0</v>
      </c>
      <c r="AO157">
        <v>0</v>
      </c>
      <c r="AP157">
        <v>0</v>
      </c>
      <c r="AQ157">
        <v>0</v>
      </c>
      <c r="AR157">
        <v>0</v>
      </c>
      <c r="AS157">
        <v>0</v>
      </c>
      <c r="AT157">
        <v>0</v>
      </c>
      <c r="AU157">
        <v>0</v>
      </c>
      <c r="AV157">
        <v>122</v>
      </c>
      <c r="AW157">
        <v>0</v>
      </c>
      <c r="AX157">
        <v>0</v>
      </c>
      <c r="AY157">
        <v>0</v>
      </c>
      <c r="AZ157">
        <v>0</v>
      </c>
      <c r="BA157">
        <v>0</v>
      </c>
      <c r="BB157">
        <v>0</v>
      </c>
      <c r="BC157">
        <v>0</v>
      </c>
      <c r="BD157">
        <v>0</v>
      </c>
      <c r="BE157">
        <v>0</v>
      </c>
      <c r="BF157">
        <v>0</v>
      </c>
      <c r="BG157">
        <v>0</v>
      </c>
      <c r="BH157">
        <v>0</v>
      </c>
      <c r="BI157">
        <v>0</v>
      </c>
      <c r="BJ157">
        <v>0</v>
      </c>
      <c r="BK157">
        <v>0</v>
      </c>
      <c r="BL157">
        <v>0</v>
      </c>
      <c r="BM157">
        <v>0</v>
      </c>
    </row>
    <row r="158" spans="1:65" x14ac:dyDescent="0.25">
      <c r="A158" t="s">
        <v>434</v>
      </c>
      <c r="B158" t="s">
        <v>435</v>
      </c>
      <c r="C158">
        <v>332</v>
      </c>
      <c r="D158">
        <v>346</v>
      </c>
      <c r="E158">
        <v>1.0421686999999999</v>
      </c>
      <c r="F158">
        <v>204</v>
      </c>
      <c r="G158">
        <v>0.58959539999999999</v>
      </c>
      <c r="H158">
        <v>335</v>
      </c>
      <c r="I158">
        <v>0.96820810000000002</v>
      </c>
      <c r="J158">
        <v>231</v>
      </c>
      <c r="K158">
        <v>0.68955219999999995</v>
      </c>
      <c r="L158">
        <v>115</v>
      </c>
      <c r="M158">
        <v>136</v>
      </c>
      <c r="N158">
        <v>1.1826087000000001</v>
      </c>
      <c r="O158">
        <v>78</v>
      </c>
      <c r="P158">
        <v>0.57352939999999997</v>
      </c>
      <c r="Q158">
        <v>135</v>
      </c>
      <c r="R158">
        <v>0.9926471</v>
      </c>
      <c r="S158">
        <v>102</v>
      </c>
      <c r="T158">
        <v>0.75555559999999999</v>
      </c>
      <c r="U158">
        <v>115</v>
      </c>
      <c r="V158">
        <v>78</v>
      </c>
      <c r="W158">
        <v>0.67826090000000006</v>
      </c>
      <c r="X158">
        <v>78</v>
      </c>
      <c r="Y158">
        <v>1</v>
      </c>
      <c r="Z158">
        <v>77</v>
      </c>
      <c r="AA158">
        <v>0.98717949999999999</v>
      </c>
      <c r="AB158">
        <v>58</v>
      </c>
      <c r="AC158">
        <v>0.75324679999999999</v>
      </c>
      <c r="AD158">
        <v>0</v>
      </c>
      <c r="AE158">
        <v>0</v>
      </c>
      <c r="AF158">
        <v>0</v>
      </c>
      <c r="AG158">
        <v>0</v>
      </c>
      <c r="AH158">
        <v>0</v>
      </c>
      <c r="AI158">
        <v>0</v>
      </c>
      <c r="AJ158">
        <v>0</v>
      </c>
      <c r="AK158">
        <v>0</v>
      </c>
      <c r="AL158">
        <v>0</v>
      </c>
      <c r="AM158">
        <v>217</v>
      </c>
      <c r="AN158">
        <v>210</v>
      </c>
      <c r="AO158">
        <v>0.96774190000000004</v>
      </c>
      <c r="AP158">
        <v>126</v>
      </c>
      <c r="AQ158">
        <v>0.6</v>
      </c>
      <c r="AR158">
        <v>200</v>
      </c>
      <c r="AS158">
        <v>0.95238100000000003</v>
      </c>
      <c r="AT158">
        <v>129</v>
      </c>
      <c r="AU158">
        <v>0.64500000000000002</v>
      </c>
      <c r="AV158">
        <v>217</v>
      </c>
      <c r="AW158">
        <v>126</v>
      </c>
      <c r="AX158">
        <v>0.58064519999999997</v>
      </c>
      <c r="AY158">
        <v>126</v>
      </c>
      <c r="AZ158">
        <v>1</v>
      </c>
      <c r="BA158">
        <v>121</v>
      </c>
      <c r="BB158">
        <v>0.96031750000000005</v>
      </c>
      <c r="BC158">
        <v>81</v>
      </c>
      <c r="BD158">
        <v>0.6694215</v>
      </c>
      <c r="BE158">
        <v>0</v>
      </c>
      <c r="BF158">
        <v>0</v>
      </c>
      <c r="BG158">
        <v>0</v>
      </c>
      <c r="BH158">
        <v>0</v>
      </c>
      <c r="BI158">
        <v>0</v>
      </c>
      <c r="BJ158">
        <v>0</v>
      </c>
      <c r="BK158">
        <v>0</v>
      </c>
      <c r="BL158">
        <v>0</v>
      </c>
      <c r="BM158">
        <v>0</v>
      </c>
    </row>
    <row r="159" spans="1:65" x14ac:dyDescent="0.25">
      <c r="A159" t="s">
        <v>436</v>
      </c>
      <c r="B159" t="s">
        <v>437</v>
      </c>
      <c r="C159">
        <v>26</v>
      </c>
      <c r="D159">
        <v>61</v>
      </c>
      <c r="E159">
        <v>2.3461538000000002</v>
      </c>
      <c r="F159">
        <v>21</v>
      </c>
      <c r="G159">
        <v>0.34426230000000002</v>
      </c>
      <c r="H159">
        <v>57</v>
      </c>
      <c r="I159">
        <v>0.93442619999999998</v>
      </c>
      <c r="J159">
        <v>50</v>
      </c>
      <c r="K159">
        <v>0.877193</v>
      </c>
      <c r="L159">
        <v>15</v>
      </c>
      <c r="M159">
        <v>37</v>
      </c>
      <c r="N159">
        <v>2.4666667000000002</v>
      </c>
      <c r="O159">
        <v>11</v>
      </c>
      <c r="P159">
        <v>0.29729729999999999</v>
      </c>
      <c r="Q159">
        <v>37</v>
      </c>
      <c r="R159">
        <v>1</v>
      </c>
      <c r="S159">
        <v>33</v>
      </c>
      <c r="T159">
        <v>0.89189189999999996</v>
      </c>
      <c r="U159">
        <v>15</v>
      </c>
      <c r="V159">
        <v>11</v>
      </c>
      <c r="W159">
        <v>0.73333329999999997</v>
      </c>
      <c r="X159">
        <v>11</v>
      </c>
      <c r="Y159">
        <v>1</v>
      </c>
      <c r="Z159">
        <v>11</v>
      </c>
      <c r="AA159">
        <v>1</v>
      </c>
      <c r="AB159">
        <v>9</v>
      </c>
      <c r="AC159">
        <v>0.81818179999999996</v>
      </c>
      <c r="AD159">
        <v>0</v>
      </c>
      <c r="AE159">
        <v>0</v>
      </c>
      <c r="AF159">
        <v>0</v>
      </c>
      <c r="AG159">
        <v>0</v>
      </c>
      <c r="AH159">
        <v>0</v>
      </c>
      <c r="AI159">
        <v>0</v>
      </c>
      <c r="AJ159">
        <v>0</v>
      </c>
      <c r="AK159">
        <v>0</v>
      </c>
      <c r="AL159">
        <v>0</v>
      </c>
      <c r="AM159">
        <v>11</v>
      </c>
      <c r="AN159">
        <v>24</v>
      </c>
      <c r="AO159">
        <v>2.1818181999999999</v>
      </c>
      <c r="AP159">
        <v>10</v>
      </c>
      <c r="AQ159">
        <v>0.4166667</v>
      </c>
      <c r="AR159">
        <v>20</v>
      </c>
      <c r="AS159">
        <v>0.83333330000000005</v>
      </c>
      <c r="AT159">
        <v>17</v>
      </c>
      <c r="AU159">
        <v>0.85</v>
      </c>
      <c r="AV159">
        <v>11</v>
      </c>
      <c r="AW159">
        <v>10</v>
      </c>
      <c r="AX159">
        <v>0.90909090000000004</v>
      </c>
      <c r="AY159">
        <v>10</v>
      </c>
      <c r="AZ159">
        <v>1</v>
      </c>
      <c r="BA159">
        <v>8</v>
      </c>
      <c r="BB159">
        <v>0.8</v>
      </c>
      <c r="BC159">
        <v>6</v>
      </c>
      <c r="BD159">
        <v>0.75</v>
      </c>
      <c r="BE159">
        <v>0</v>
      </c>
      <c r="BF159">
        <v>0</v>
      </c>
      <c r="BG159">
        <v>0</v>
      </c>
      <c r="BH159">
        <v>0</v>
      </c>
      <c r="BI159">
        <v>0</v>
      </c>
      <c r="BJ159">
        <v>0</v>
      </c>
      <c r="BK159">
        <v>0</v>
      </c>
      <c r="BL159">
        <v>0</v>
      </c>
      <c r="BM159">
        <v>0</v>
      </c>
    </row>
    <row r="160" spans="1:65" x14ac:dyDescent="0.25">
      <c r="A160" t="s">
        <v>438</v>
      </c>
      <c r="B160" t="s">
        <v>439</v>
      </c>
      <c r="C160">
        <v>1372</v>
      </c>
      <c r="D160">
        <v>1582</v>
      </c>
      <c r="E160">
        <v>1.1530612</v>
      </c>
      <c r="F160">
        <v>955</v>
      </c>
      <c r="G160">
        <v>0.60366620000000004</v>
      </c>
      <c r="H160">
        <v>1528</v>
      </c>
      <c r="I160">
        <v>0.965866</v>
      </c>
      <c r="J160">
        <v>964</v>
      </c>
      <c r="K160">
        <v>0.63089010000000001</v>
      </c>
      <c r="L160">
        <v>684</v>
      </c>
      <c r="M160">
        <v>813</v>
      </c>
      <c r="N160">
        <v>1.1885965000000001</v>
      </c>
      <c r="O160">
        <v>509</v>
      </c>
      <c r="P160">
        <v>0.62607630000000003</v>
      </c>
      <c r="Q160">
        <v>794</v>
      </c>
      <c r="R160">
        <v>0.97662979999999999</v>
      </c>
      <c r="S160">
        <v>505</v>
      </c>
      <c r="T160">
        <v>0.63602020000000004</v>
      </c>
      <c r="U160">
        <v>566</v>
      </c>
      <c r="V160">
        <v>439</v>
      </c>
      <c r="W160">
        <v>0.77561840000000004</v>
      </c>
      <c r="X160">
        <v>439</v>
      </c>
      <c r="Y160">
        <v>1</v>
      </c>
      <c r="Z160">
        <v>434</v>
      </c>
      <c r="AA160">
        <v>0.98861049999999995</v>
      </c>
      <c r="AB160">
        <v>322</v>
      </c>
      <c r="AC160">
        <v>0.74193549999999997</v>
      </c>
      <c r="AD160">
        <v>118</v>
      </c>
      <c r="AE160">
        <v>70</v>
      </c>
      <c r="AF160">
        <v>0.59322030000000003</v>
      </c>
      <c r="AG160">
        <v>70</v>
      </c>
      <c r="AH160">
        <v>1</v>
      </c>
      <c r="AI160">
        <v>68</v>
      </c>
      <c r="AJ160">
        <v>0.97142859999999998</v>
      </c>
      <c r="AK160">
        <v>43</v>
      </c>
      <c r="AL160">
        <v>0.6323529</v>
      </c>
      <c r="AM160">
        <v>688</v>
      </c>
      <c r="AN160">
        <v>769</v>
      </c>
      <c r="AO160">
        <v>1.1177326000000001</v>
      </c>
      <c r="AP160">
        <v>446</v>
      </c>
      <c r="AQ160">
        <v>0.57997399999999999</v>
      </c>
      <c r="AR160">
        <v>734</v>
      </c>
      <c r="AS160">
        <v>0.95448630000000001</v>
      </c>
      <c r="AT160">
        <v>459</v>
      </c>
      <c r="AU160">
        <v>0.62534060000000002</v>
      </c>
      <c r="AV160">
        <v>549</v>
      </c>
      <c r="AW160">
        <v>361</v>
      </c>
      <c r="AX160">
        <v>0.65755920000000001</v>
      </c>
      <c r="AY160">
        <v>361</v>
      </c>
      <c r="AZ160">
        <v>1</v>
      </c>
      <c r="BA160">
        <v>352</v>
      </c>
      <c r="BB160">
        <v>0.97506930000000003</v>
      </c>
      <c r="BC160">
        <v>273</v>
      </c>
      <c r="BD160">
        <v>0.77556820000000004</v>
      </c>
      <c r="BE160">
        <v>139</v>
      </c>
      <c r="BF160">
        <v>85</v>
      </c>
      <c r="BG160">
        <v>0.61151080000000002</v>
      </c>
      <c r="BH160">
        <v>85</v>
      </c>
      <c r="BI160">
        <v>1</v>
      </c>
      <c r="BJ160">
        <v>77</v>
      </c>
      <c r="BK160">
        <v>0.90588239999999998</v>
      </c>
      <c r="BL160">
        <v>51</v>
      </c>
      <c r="BM160">
        <v>0.66233770000000003</v>
      </c>
    </row>
    <row r="161" spans="1:65" x14ac:dyDescent="0.25">
      <c r="A161" t="s">
        <v>440</v>
      </c>
      <c r="B161" t="s">
        <v>441</v>
      </c>
      <c r="C161">
        <v>365</v>
      </c>
      <c r="D161">
        <v>411</v>
      </c>
      <c r="E161">
        <v>1.1260273999999999</v>
      </c>
      <c r="F161">
        <v>236</v>
      </c>
      <c r="G161">
        <v>0.57420919999999998</v>
      </c>
      <c r="H161">
        <v>397</v>
      </c>
      <c r="I161">
        <v>0.96593669999999998</v>
      </c>
      <c r="J161">
        <v>215</v>
      </c>
      <c r="K161">
        <v>0.54156170000000003</v>
      </c>
      <c r="L161">
        <v>178</v>
      </c>
      <c r="M161">
        <v>223</v>
      </c>
      <c r="N161">
        <v>1.2528090000000001</v>
      </c>
      <c r="O161">
        <v>140</v>
      </c>
      <c r="P161">
        <v>0.62780270000000005</v>
      </c>
      <c r="Q161">
        <v>216</v>
      </c>
      <c r="R161">
        <v>0.96860990000000002</v>
      </c>
      <c r="S161">
        <v>120</v>
      </c>
      <c r="T161">
        <v>0.55555560000000004</v>
      </c>
      <c r="U161" t="s">
        <v>127</v>
      </c>
      <c r="V161" t="s">
        <v>127</v>
      </c>
      <c r="W161" t="s">
        <v>127</v>
      </c>
      <c r="X161" t="s">
        <v>127</v>
      </c>
      <c r="Y161" t="s">
        <v>127</v>
      </c>
      <c r="Z161" t="s">
        <v>127</v>
      </c>
      <c r="AA161" t="s">
        <v>127</v>
      </c>
      <c r="AB161" t="s">
        <v>127</v>
      </c>
      <c r="AC161" t="s">
        <v>127</v>
      </c>
      <c r="AD161" t="s">
        <v>127</v>
      </c>
      <c r="AE161" t="s">
        <v>127</v>
      </c>
      <c r="AF161" t="s">
        <v>127</v>
      </c>
      <c r="AG161" t="s">
        <v>127</v>
      </c>
      <c r="AH161" t="s">
        <v>127</v>
      </c>
      <c r="AI161" t="s">
        <v>127</v>
      </c>
      <c r="AJ161" t="s">
        <v>127</v>
      </c>
      <c r="AK161" t="s">
        <v>127</v>
      </c>
      <c r="AL161" t="s">
        <v>127</v>
      </c>
      <c r="AM161">
        <v>187</v>
      </c>
      <c r="AN161">
        <v>188</v>
      </c>
      <c r="AO161">
        <v>1.0053475999999999</v>
      </c>
      <c r="AP161">
        <v>96</v>
      </c>
      <c r="AQ161">
        <v>0.51063829999999999</v>
      </c>
      <c r="AR161">
        <v>181</v>
      </c>
      <c r="AS161">
        <v>0.96276600000000001</v>
      </c>
      <c r="AT161">
        <v>95</v>
      </c>
      <c r="AU161">
        <v>0.52486189999999999</v>
      </c>
      <c r="AV161" t="s">
        <v>127</v>
      </c>
      <c r="AW161" t="s">
        <v>127</v>
      </c>
      <c r="AX161" t="s">
        <v>127</v>
      </c>
      <c r="AY161" t="s">
        <v>127</v>
      </c>
      <c r="AZ161" t="s">
        <v>127</v>
      </c>
      <c r="BA161" t="s">
        <v>127</v>
      </c>
      <c r="BB161" t="s">
        <v>127</v>
      </c>
      <c r="BC161" t="s">
        <v>127</v>
      </c>
      <c r="BD161" t="s">
        <v>127</v>
      </c>
      <c r="BE161" t="s">
        <v>127</v>
      </c>
      <c r="BF161" t="s">
        <v>127</v>
      </c>
      <c r="BG161" t="s">
        <v>127</v>
      </c>
      <c r="BH161" t="s">
        <v>127</v>
      </c>
      <c r="BI161" t="s">
        <v>127</v>
      </c>
      <c r="BJ161" t="s">
        <v>127</v>
      </c>
      <c r="BK161" t="s">
        <v>127</v>
      </c>
      <c r="BL161" t="s">
        <v>127</v>
      </c>
      <c r="BM161" t="s">
        <v>127</v>
      </c>
    </row>
    <row r="162" spans="1:65" x14ac:dyDescent="0.25">
      <c r="A162" t="s">
        <v>442</v>
      </c>
      <c r="B162" t="s">
        <v>443</v>
      </c>
      <c r="C162">
        <v>578</v>
      </c>
      <c r="D162">
        <v>147</v>
      </c>
      <c r="E162">
        <v>0.25432529999999998</v>
      </c>
      <c r="F162">
        <v>137</v>
      </c>
      <c r="G162">
        <v>0.93197280000000005</v>
      </c>
      <c r="H162">
        <v>141</v>
      </c>
      <c r="I162">
        <v>0.95918369999999997</v>
      </c>
      <c r="J162">
        <v>86</v>
      </c>
      <c r="K162">
        <v>0.6099291</v>
      </c>
      <c r="L162">
        <v>204</v>
      </c>
      <c r="M162">
        <v>42</v>
      </c>
      <c r="N162">
        <v>0.20588239999999999</v>
      </c>
      <c r="O162">
        <v>40</v>
      </c>
      <c r="P162">
        <v>0.95238100000000003</v>
      </c>
      <c r="Q162">
        <v>42</v>
      </c>
      <c r="R162">
        <v>1</v>
      </c>
      <c r="S162">
        <v>27</v>
      </c>
      <c r="T162">
        <v>0.64285709999999996</v>
      </c>
      <c r="U162">
        <v>204</v>
      </c>
      <c r="V162">
        <v>40</v>
      </c>
      <c r="W162">
        <v>0.19607840000000001</v>
      </c>
      <c r="X162">
        <v>40</v>
      </c>
      <c r="Y162">
        <v>1</v>
      </c>
      <c r="Z162">
        <v>40</v>
      </c>
      <c r="AA162">
        <v>1</v>
      </c>
      <c r="AB162">
        <v>25</v>
      </c>
      <c r="AC162">
        <v>0.625</v>
      </c>
      <c r="AD162">
        <v>0</v>
      </c>
      <c r="AE162">
        <v>0</v>
      </c>
      <c r="AF162">
        <v>0</v>
      </c>
      <c r="AG162">
        <v>0</v>
      </c>
      <c r="AH162">
        <v>0</v>
      </c>
      <c r="AI162">
        <v>0</v>
      </c>
      <c r="AJ162">
        <v>0</v>
      </c>
      <c r="AK162">
        <v>0</v>
      </c>
      <c r="AL162">
        <v>0</v>
      </c>
      <c r="AM162">
        <v>374</v>
      </c>
      <c r="AN162">
        <v>105</v>
      </c>
      <c r="AO162">
        <v>0.28074870000000002</v>
      </c>
      <c r="AP162">
        <v>97</v>
      </c>
      <c r="AQ162">
        <v>0.92380949999999995</v>
      </c>
      <c r="AR162">
        <v>99</v>
      </c>
      <c r="AS162">
        <v>0.9428571</v>
      </c>
      <c r="AT162">
        <v>59</v>
      </c>
      <c r="AU162">
        <v>0.59595960000000003</v>
      </c>
      <c r="AV162" t="s">
        <v>127</v>
      </c>
      <c r="AW162">
        <v>97</v>
      </c>
      <c r="AX162">
        <v>0.26145550000000001</v>
      </c>
      <c r="AY162" t="s">
        <v>127</v>
      </c>
      <c r="AZ162">
        <v>1</v>
      </c>
      <c r="BA162">
        <v>93</v>
      </c>
      <c r="BB162">
        <v>0.95876289999999997</v>
      </c>
      <c r="BC162">
        <v>55</v>
      </c>
      <c r="BD162">
        <v>0.59139779999999997</v>
      </c>
      <c r="BE162" t="s">
        <v>127</v>
      </c>
      <c r="BF162">
        <v>0</v>
      </c>
      <c r="BG162" t="s">
        <v>127</v>
      </c>
      <c r="BH162">
        <v>0</v>
      </c>
      <c r="BI162">
        <v>0</v>
      </c>
      <c r="BJ162">
        <v>0</v>
      </c>
      <c r="BK162">
        <v>0</v>
      </c>
      <c r="BL162">
        <v>0</v>
      </c>
      <c r="BM162">
        <v>0</v>
      </c>
    </row>
    <row r="163" spans="1:65" x14ac:dyDescent="0.25">
      <c r="A163" t="s">
        <v>444</v>
      </c>
      <c r="B163" t="s">
        <v>445</v>
      </c>
      <c r="C163">
        <v>478</v>
      </c>
      <c r="D163">
        <v>48</v>
      </c>
      <c r="E163">
        <v>0.1004184</v>
      </c>
      <c r="F163">
        <v>20</v>
      </c>
      <c r="G163">
        <v>0.4166667</v>
      </c>
      <c r="H163">
        <v>46</v>
      </c>
      <c r="I163">
        <v>0.95833330000000005</v>
      </c>
      <c r="J163">
        <v>28</v>
      </c>
      <c r="K163">
        <v>0.60869569999999995</v>
      </c>
      <c r="L163">
        <v>233</v>
      </c>
      <c r="M163">
        <v>27</v>
      </c>
      <c r="N163">
        <v>0.11587980000000001</v>
      </c>
      <c r="O163">
        <v>9</v>
      </c>
      <c r="P163">
        <v>0.3333333</v>
      </c>
      <c r="Q163">
        <v>25</v>
      </c>
      <c r="R163">
        <v>0.92592589999999997</v>
      </c>
      <c r="S163">
        <v>17</v>
      </c>
      <c r="T163">
        <v>0.68</v>
      </c>
      <c r="U163">
        <v>211</v>
      </c>
      <c r="V163">
        <v>9</v>
      </c>
      <c r="W163">
        <v>4.2653999999999997E-2</v>
      </c>
      <c r="X163">
        <v>9</v>
      </c>
      <c r="Y163">
        <v>1</v>
      </c>
      <c r="Z163">
        <v>8</v>
      </c>
      <c r="AA163">
        <v>0.88888889999999998</v>
      </c>
      <c r="AB163">
        <v>6</v>
      </c>
      <c r="AC163">
        <v>0.75</v>
      </c>
      <c r="AD163">
        <v>22</v>
      </c>
      <c r="AE163">
        <v>0</v>
      </c>
      <c r="AF163">
        <v>0</v>
      </c>
      <c r="AG163">
        <v>0</v>
      </c>
      <c r="AH163">
        <v>0</v>
      </c>
      <c r="AI163">
        <v>0</v>
      </c>
      <c r="AJ163">
        <v>0</v>
      </c>
      <c r="AK163">
        <v>0</v>
      </c>
      <c r="AL163">
        <v>0</v>
      </c>
      <c r="AM163">
        <v>245</v>
      </c>
      <c r="AN163">
        <v>21</v>
      </c>
      <c r="AO163">
        <v>8.5714299999999993E-2</v>
      </c>
      <c r="AP163">
        <v>11</v>
      </c>
      <c r="AQ163">
        <v>0.52380950000000004</v>
      </c>
      <c r="AR163">
        <v>21</v>
      </c>
      <c r="AS163">
        <v>1</v>
      </c>
      <c r="AT163">
        <v>11</v>
      </c>
      <c r="AU163">
        <v>0.52380950000000004</v>
      </c>
      <c r="AV163">
        <v>227</v>
      </c>
      <c r="AW163">
        <v>11</v>
      </c>
      <c r="AX163">
        <v>4.8458099999999997E-2</v>
      </c>
      <c r="AY163">
        <v>11</v>
      </c>
      <c r="AZ163">
        <v>1</v>
      </c>
      <c r="BA163">
        <v>11</v>
      </c>
      <c r="BB163">
        <v>1</v>
      </c>
      <c r="BC163">
        <v>4</v>
      </c>
      <c r="BD163">
        <v>0.36363640000000003</v>
      </c>
      <c r="BE163">
        <v>18</v>
      </c>
      <c r="BF163">
        <v>0</v>
      </c>
      <c r="BG163">
        <v>0</v>
      </c>
      <c r="BH163">
        <v>0</v>
      </c>
      <c r="BI163">
        <v>0</v>
      </c>
      <c r="BJ163">
        <v>0</v>
      </c>
      <c r="BK163">
        <v>0</v>
      </c>
      <c r="BL163">
        <v>0</v>
      </c>
      <c r="BM163">
        <v>0</v>
      </c>
    </row>
    <row r="164" spans="1:65" x14ac:dyDescent="0.25">
      <c r="A164" t="s">
        <v>446</v>
      </c>
      <c r="B164" t="s">
        <v>447</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t="s">
        <v>127</v>
      </c>
      <c r="AN164">
        <v>0</v>
      </c>
      <c r="AO164" t="s">
        <v>127</v>
      </c>
      <c r="AP164">
        <v>0</v>
      </c>
      <c r="AQ164">
        <v>0</v>
      </c>
      <c r="AR164">
        <v>0</v>
      </c>
      <c r="AS164">
        <v>0</v>
      </c>
      <c r="AT164">
        <v>0</v>
      </c>
      <c r="AU164">
        <v>0</v>
      </c>
      <c r="AV164" t="s">
        <v>127</v>
      </c>
      <c r="AW164">
        <v>0</v>
      </c>
      <c r="AX164">
        <v>0</v>
      </c>
      <c r="AY164" t="s">
        <v>127</v>
      </c>
      <c r="AZ164">
        <v>0</v>
      </c>
      <c r="BA164">
        <v>0</v>
      </c>
      <c r="BB164">
        <v>0</v>
      </c>
      <c r="BC164">
        <v>0</v>
      </c>
      <c r="BD164">
        <v>0</v>
      </c>
      <c r="BE164" t="s">
        <v>127</v>
      </c>
      <c r="BF164">
        <v>0</v>
      </c>
      <c r="BG164" t="s">
        <v>127</v>
      </c>
      <c r="BH164">
        <v>0</v>
      </c>
      <c r="BI164">
        <v>0</v>
      </c>
      <c r="BJ164">
        <v>0</v>
      </c>
      <c r="BK164">
        <v>0</v>
      </c>
      <c r="BL164">
        <v>0</v>
      </c>
      <c r="BM164">
        <v>0</v>
      </c>
    </row>
    <row r="165" spans="1:65" x14ac:dyDescent="0.25">
      <c r="A165" t="s">
        <v>448</v>
      </c>
      <c r="B165" t="s">
        <v>449</v>
      </c>
      <c r="C165">
        <v>267</v>
      </c>
      <c r="D165">
        <v>137</v>
      </c>
      <c r="E165">
        <v>0.51310860000000003</v>
      </c>
      <c r="F165">
        <v>57</v>
      </c>
      <c r="G165">
        <v>0.41605839999999999</v>
      </c>
      <c r="H165">
        <v>62</v>
      </c>
      <c r="I165">
        <v>0.45255469999999998</v>
      </c>
      <c r="J165">
        <v>62</v>
      </c>
      <c r="K165">
        <v>1</v>
      </c>
      <c r="L165">
        <v>165</v>
      </c>
      <c r="M165">
        <v>79</v>
      </c>
      <c r="N165">
        <v>0.47878789999999999</v>
      </c>
      <c r="O165">
        <v>35</v>
      </c>
      <c r="P165">
        <v>0.44303799999999999</v>
      </c>
      <c r="Q165">
        <v>41</v>
      </c>
      <c r="R165">
        <v>0.51898730000000004</v>
      </c>
      <c r="S165">
        <v>41</v>
      </c>
      <c r="T165">
        <v>1</v>
      </c>
      <c r="U165" t="s">
        <v>127</v>
      </c>
      <c r="V165">
        <v>35</v>
      </c>
      <c r="W165" t="s">
        <v>127</v>
      </c>
      <c r="X165">
        <v>35</v>
      </c>
      <c r="Y165">
        <v>1</v>
      </c>
      <c r="Z165">
        <v>17</v>
      </c>
      <c r="AA165">
        <v>0.48571429999999999</v>
      </c>
      <c r="AB165">
        <v>17</v>
      </c>
      <c r="AC165">
        <v>1</v>
      </c>
      <c r="AD165" t="s">
        <v>127</v>
      </c>
      <c r="AE165">
        <v>0</v>
      </c>
      <c r="AF165" t="s">
        <v>127</v>
      </c>
      <c r="AG165">
        <v>0</v>
      </c>
      <c r="AH165">
        <v>0</v>
      </c>
      <c r="AI165">
        <v>0</v>
      </c>
      <c r="AJ165">
        <v>0</v>
      </c>
      <c r="AK165">
        <v>0</v>
      </c>
      <c r="AL165">
        <v>0</v>
      </c>
      <c r="AM165">
        <v>102</v>
      </c>
      <c r="AN165">
        <v>58</v>
      </c>
      <c r="AO165">
        <v>0.56862749999999995</v>
      </c>
      <c r="AP165">
        <v>22</v>
      </c>
      <c r="AQ165">
        <v>0.37931029999999999</v>
      </c>
      <c r="AR165">
        <v>21</v>
      </c>
      <c r="AS165">
        <v>0.36206899999999997</v>
      </c>
      <c r="AT165">
        <v>21</v>
      </c>
      <c r="AU165">
        <v>1</v>
      </c>
      <c r="AV165" t="s">
        <v>127</v>
      </c>
      <c r="AW165">
        <v>22</v>
      </c>
      <c r="AX165">
        <v>0.21782180000000001</v>
      </c>
      <c r="AY165" t="s">
        <v>127</v>
      </c>
      <c r="AZ165">
        <v>1</v>
      </c>
      <c r="BA165">
        <v>8</v>
      </c>
      <c r="BB165">
        <v>0.36363640000000003</v>
      </c>
      <c r="BC165">
        <v>8</v>
      </c>
      <c r="BD165">
        <v>1</v>
      </c>
      <c r="BE165" t="s">
        <v>127</v>
      </c>
      <c r="BF165">
        <v>0</v>
      </c>
      <c r="BG165" t="s">
        <v>127</v>
      </c>
      <c r="BH165">
        <v>0</v>
      </c>
      <c r="BI165">
        <v>0</v>
      </c>
      <c r="BJ165">
        <v>0</v>
      </c>
      <c r="BK165">
        <v>0</v>
      </c>
      <c r="BL165">
        <v>0</v>
      </c>
      <c r="BM165">
        <v>0</v>
      </c>
    </row>
    <row r="166" spans="1:65" x14ac:dyDescent="0.25">
      <c r="A166" t="s">
        <v>450</v>
      </c>
      <c r="B166" t="s">
        <v>451</v>
      </c>
      <c r="C166">
        <v>1404</v>
      </c>
      <c r="D166">
        <v>189</v>
      </c>
      <c r="E166">
        <v>0.1346154</v>
      </c>
      <c r="F166">
        <v>69</v>
      </c>
      <c r="G166">
        <v>0.3650794</v>
      </c>
      <c r="H166">
        <v>167</v>
      </c>
      <c r="I166">
        <v>0.88359790000000005</v>
      </c>
      <c r="J166">
        <v>93</v>
      </c>
      <c r="K166">
        <v>0.5568862</v>
      </c>
      <c r="L166">
        <v>740</v>
      </c>
      <c r="M166">
        <v>73</v>
      </c>
      <c r="N166">
        <v>9.8648600000000003E-2</v>
      </c>
      <c r="O166">
        <v>32</v>
      </c>
      <c r="P166">
        <v>0.43835619999999997</v>
      </c>
      <c r="Q166">
        <v>67</v>
      </c>
      <c r="R166">
        <v>0.91780819999999996</v>
      </c>
      <c r="S166">
        <v>40</v>
      </c>
      <c r="T166">
        <v>0.59701490000000002</v>
      </c>
      <c r="U166">
        <v>697</v>
      </c>
      <c r="V166">
        <v>32</v>
      </c>
      <c r="W166">
        <v>4.5911E-2</v>
      </c>
      <c r="X166">
        <v>32</v>
      </c>
      <c r="Y166">
        <v>1</v>
      </c>
      <c r="Z166">
        <v>31</v>
      </c>
      <c r="AA166">
        <v>0.96875</v>
      </c>
      <c r="AB166">
        <v>20</v>
      </c>
      <c r="AC166">
        <v>0.64516130000000005</v>
      </c>
      <c r="AD166">
        <v>43</v>
      </c>
      <c r="AE166">
        <v>0</v>
      </c>
      <c r="AF166">
        <v>0</v>
      </c>
      <c r="AG166">
        <v>0</v>
      </c>
      <c r="AH166">
        <v>0</v>
      </c>
      <c r="AI166">
        <v>0</v>
      </c>
      <c r="AJ166">
        <v>0</v>
      </c>
      <c r="AK166">
        <v>0</v>
      </c>
      <c r="AL166">
        <v>0</v>
      </c>
      <c r="AM166">
        <v>664</v>
      </c>
      <c r="AN166">
        <v>116</v>
      </c>
      <c r="AO166">
        <v>0.17469879999999999</v>
      </c>
      <c r="AP166">
        <v>37</v>
      </c>
      <c r="AQ166">
        <v>0.31896550000000001</v>
      </c>
      <c r="AR166">
        <v>100</v>
      </c>
      <c r="AS166">
        <v>0.86206899999999997</v>
      </c>
      <c r="AT166">
        <v>53</v>
      </c>
      <c r="AU166">
        <v>0.53</v>
      </c>
      <c r="AV166">
        <v>612</v>
      </c>
      <c r="AW166" t="s">
        <v>127</v>
      </c>
      <c r="AX166" t="s">
        <v>127</v>
      </c>
      <c r="AY166" t="s">
        <v>127</v>
      </c>
      <c r="AZ166" t="s">
        <v>127</v>
      </c>
      <c r="BA166" t="s">
        <v>127</v>
      </c>
      <c r="BB166" t="s">
        <v>127</v>
      </c>
      <c r="BC166" t="s">
        <v>127</v>
      </c>
      <c r="BD166" t="s">
        <v>127</v>
      </c>
      <c r="BE166">
        <v>52</v>
      </c>
      <c r="BF166" t="s">
        <v>127</v>
      </c>
      <c r="BG166" t="s">
        <v>127</v>
      </c>
      <c r="BH166" t="s">
        <v>127</v>
      </c>
      <c r="BI166" t="s">
        <v>127</v>
      </c>
      <c r="BJ166" t="s">
        <v>127</v>
      </c>
      <c r="BK166" t="s">
        <v>127</v>
      </c>
      <c r="BL166" t="s">
        <v>127</v>
      </c>
      <c r="BM166" t="s">
        <v>127</v>
      </c>
    </row>
    <row r="167" spans="1:65" x14ac:dyDescent="0.25">
      <c r="A167" t="s">
        <v>452</v>
      </c>
      <c r="B167" t="s">
        <v>453</v>
      </c>
      <c r="C167">
        <v>912</v>
      </c>
      <c r="D167">
        <v>1785</v>
      </c>
      <c r="E167">
        <v>1.9572368</v>
      </c>
      <c r="F167">
        <v>759</v>
      </c>
      <c r="G167">
        <v>0.42521009999999998</v>
      </c>
      <c r="H167">
        <v>1779</v>
      </c>
      <c r="I167">
        <v>0.99663869999999999</v>
      </c>
      <c r="J167">
        <v>1184</v>
      </c>
      <c r="K167">
        <v>0.66554239999999998</v>
      </c>
      <c r="L167">
        <v>375</v>
      </c>
      <c r="M167">
        <v>879</v>
      </c>
      <c r="N167">
        <v>2.3439999999999999</v>
      </c>
      <c r="O167">
        <v>306</v>
      </c>
      <c r="P167">
        <v>0.34812290000000001</v>
      </c>
      <c r="Q167">
        <v>875</v>
      </c>
      <c r="R167">
        <v>0.99544940000000004</v>
      </c>
      <c r="S167">
        <v>623</v>
      </c>
      <c r="T167">
        <v>0.71199999999999997</v>
      </c>
      <c r="U167">
        <v>367</v>
      </c>
      <c r="V167">
        <v>297</v>
      </c>
      <c r="W167">
        <v>0.80926430000000005</v>
      </c>
      <c r="X167">
        <v>297</v>
      </c>
      <c r="Y167">
        <v>1</v>
      </c>
      <c r="Z167">
        <v>297</v>
      </c>
      <c r="AA167">
        <v>1</v>
      </c>
      <c r="AB167">
        <v>206</v>
      </c>
      <c r="AC167">
        <v>0.69360270000000002</v>
      </c>
      <c r="AD167">
        <v>8</v>
      </c>
      <c r="AE167">
        <v>9</v>
      </c>
      <c r="AF167">
        <v>1.125</v>
      </c>
      <c r="AG167">
        <v>9</v>
      </c>
      <c r="AH167">
        <v>1</v>
      </c>
      <c r="AI167">
        <v>9</v>
      </c>
      <c r="AJ167">
        <v>1</v>
      </c>
      <c r="AK167">
        <v>6</v>
      </c>
      <c r="AL167">
        <v>0.66666669999999995</v>
      </c>
      <c r="AM167">
        <v>537</v>
      </c>
      <c r="AN167">
        <v>906</v>
      </c>
      <c r="AO167">
        <v>1.6871508</v>
      </c>
      <c r="AP167">
        <v>453</v>
      </c>
      <c r="AQ167">
        <v>0.5</v>
      </c>
      <c r="AR167">
        <v>904</v>
      </c>
      <c r="AS167">
        <v>0.99779249999999997</v>
      </c>
      <c r="AT167">
        <v>561</v>
      </c>
      <c r="AU167">
        <v>0.62057519999999999</v>
      </c>
      <c r="AV167" t="s">
        <v>127</v>
      </c>
      <c r="AW167" t="s">
        <v>127</v>
      </c>
      <c r="AX167" t="s">
        <v>127</v>
      </c>
      <c r="AY167" t="s">
        <v>127</v>
      </c>
      <c r="AZ167" t="s">
        <v>127</v>
      </c>
      <c r="BA167" t="s">
        <v>127</v>
      </c>
      <c r="BB167" t="s">
        <v>127</v>
      </c>
      <c r="BC167" t="s">
        <v>127</v>
      </c>
      <c r="BD167" t="s">
        <v>127</v>
      </c>
      <c r="BE167" t="s">
        <v>127</v>
      </c>
      <c r="BF167" t="s">
        <v>127</v>
      </c>
      <c r="BG167" t="s">
        <v>127</v>
      </c>
      <c r="BH167" t="s">
        <v>127</v>
      </c>
      <c r="BI167" t="s">
        <v>127</v>
      </c>
      <c r="BJ167" t="s">
        <v>127</v>
      </c>
      <c r="BK167" t="s">
        <v>127</v>
      </c>
      <c r="BL167" t="s">
        <v>127</v>
      </c>
      <c r="BM167" t="s">
        <v>127</v>
      </c>
    </row>
    <row r="168" spans="1:65" x14ac:dyDescent="0.25">
      <c r="A168" t="s">
        <v>454</v>
      </c>
      <c r="B168" t="s">
        <v>455</v>
      </c>
      <c r="C168">
        <v>614</v>
      </c>
      <c r="D168">
        <v>843</v>
      </c>
      <c r="E168">
        <v>1.3729642</v>
      </c>
      <c r="F168">
        <v>451</v>
      </c>
      <c r="G168">
        <v>0.53499410000000003</v>
      </c>
      <c r="H168">
        <v>842</v>
      </c>
      <c r="I168">
        <v>0.99881379999999997</v>
      </c>
      <c r="J168">
        <v>548</v>
      </c>
      <c r="K168">
        <v>0.65083139999999995</v>
      </c>
      <c r="L168">
        <v>297</v>
      </c>
      <c r="M168">
        <v>446</v>
      </c>
      <c r="N168">
        <v>1.5016834999999999</v>
      </c>
      <c r="O168">
        <v>223</v>
      </c>
      <c r="P168">
        <v>0.5</v>
      </c>
      <c r="Q168">
        <v>445</v>
      </c>
      <c r="R168">
        <v>0.99775780000000003</v>
      </c>
      <c r="S168">
        <v>294</v>
      </c>
      <c r="T168">
        <v>0.66067419999999999</v>
      </c>
      <c r="U168">
        <v>297</v>
      </c>
      <c r="V168">
        <v>223</v>
      </c>
      <c r="W168">
        <v>0.7508418</v>
      </c>
      <c r="X168">
        <v>223</v>
      </c>
      <c r="Y168">
        <v>1</v>
      </c>
      <c r="Z168">
        <v>223</v>
      </c>
      <c r="AA168">
        <v>1</v>
      </c>
      <c r="AB168">
        <v>149</v>
      </c>
      <c r="AC168">
        <v>0.66816140000000002</v>
      </c>
      <c r="AD168">
        <v>0</v>
      </c>
      <c r="AE168">
        <v>0</v>
      </c>
      <c r="AF168">
        <v>0</v>
      </c>
      <c r="AG168">
        <v>0</v>
      </c>
      <c r="AH168">
        <v>0</v>
      </c>
      <c r="AI168">
        <v>0</v>
      </c>
      <c r="AJ168">
        <v>0</v>
      </c>
      <c r="AK168">
        <v>0</v>
      </c>
      <c r="AL168">
        <v>0</v>
      </c>
      <c r="AM168">
        <v>317</v>
      </c>
      <c r="AN168">
        <v>397</v>
      </c>
      <c r="AO168">
        <v>1.2523659</v>
      </c>
      <c r="AP168">
        <v>228</v>
      </c>
      <c r="AQ168">
        <v>0.57430729999999997</v>
      </c>
      <c r="AR168">
        <v>397</v>
      </c>
      <c r="AS168">
        <v>1</v>
      </c>
      <c r="AT168">
        <v>254</v>
      </c>
      <c r="AU168">
        <v>0.63979850000000005</v>
      </c>
      <c r="AV168">
        <v>317</v>
      </c>
      <c r="AW168">
        <v>228</v>
      </c>
      <c r="AX168">
        <v>0.71924290000000002</v>
      </c>
      <c r="AY168">
        <v>228</v>
      </c>
      <c r="AZ168">
        <v>1</v>
      </c>
      <c r="BA168">
        <v>228</v>
      </c>
      <c r="BB168">
        <v>1</v>
      </c>
      <c r="BC168">
        <v>148</v>
      </c>
      <c r="BD168">
        <v>0.6491228</v>
      </c>
      <c r="BE168">
        <v>0</v>
      </c>
      <c r="BF168">
        <v>0</v>
      </c>
      <c r="BG168">
        <v>0</v>
      </c>
      <c r="BH168">
        <v>0</v>
      </c>
      <c r="BI168">
        <v>0</v>
      </c>
      <c r="BJ168">
        <v>0</v>
      </c>
      <c r="BK168">
        <v>0</v>
      </c>
      <c r="BL168">
        <v>0</v>
      </c>
      <c r="BM168">
        <v>0</v>
      </c>
    </row>
    <row r="169" spans="1:65" x14ac:dyDescent="0.25">
      <c r="A169" t="s">
        <v>456</v>
      </c>
      <c r="B169" t="s">
        <v>457</v>
      </c>
      <c r="C169">
        <v>498</v>
      </c>
      <c r="D169">
        <v>603</v>
      </c>
      <c r="E169">
        <v>1.2108433999999999</v>
      </c>
      <c r="F169">
        <v>274</v>
      </c>
      <c r="G169">
        <v>0.45439469999999998</v>
      </c>
      <c r="H169">
        <v>597</v>
      </c>
      <c r="I169">
        <v>0.99004979999999998</v>
      </c>
      <c r="J169">
        <v>320</v>
      </c>
      <c r="K169">
        <v>0.53601339999999997</v>
      </c>
      <c r="L169">
        <v>170</v>
      </c>
      <c r="M169">
        <v>241</v>
      </c>
      <c r="N169">
        <v>1.4176470999999999</v>
      </c>
      <c r="O169">
        <v>91</v>
      </c>
      <c r="P169">
        <v>0.37759340000000002</v>
      </c>
      <c r="Q169">
        <v>241</v>
      </c>
      <c r="R169">
        <v>1</v>
      </c>
      <c r="S169">
        <v>154</v>
      </c>
      <c r="T169">
        <v>0.63900409999999996</v>
      </c>
      <c r="U169" t="s">
        <v>127</v>
      </c>
      <c r="V169" t="s">
        <v>127</v>
      </c>
      <c r="W169" t="s">
        <v>127</v>
      </c>
      <c r="X169" t="s">
        <v>127</v>
      </c>
      <c r="Y169" t="s">
        <v>127</v>
      </c>
      <c r="Z169" t="s">
        <v>127</v>
      </c>
      <c r="AA169" t="s">
        <v>127</v>
      </c>
      <c r="AB169">
        <v>65</v>
      </c>
      <c r="AC169" t="s">
        <v>127</v>
      </c>
      <c r="AD169" t="s">
        <v>127</v>
      </c>
      <c r="AE169" t="s">
        <v>127</v>
      </c>
      <c r="AF169" t="s">
        <v>127</v>
      </c>
      <c r="AG169" t="s">
        <v>127</v>
      </c>
      <c r="AH169" t="s">
        <v>127</v>
      </c>
      <c r="AI169" t="s">
        <v>127</v>
      </c>
      <c r="AJ169" t="s">
        <v>127</v>
      </c>
      <c r="AK169">
        <v>0</v>
      </c>
      <c r="AL169" t="s">
        <v>127</v>
      </c>
      <c r="AM169">
        <v>328</v>
      </c>
      <c r="AN169">
        <v>362</v>
      </c>
      <c r="AO169">
        <v>1.1036585000000001</v>
      </c>
      <c r="AP169">
        <v>183</v>
      </c>
      <c r="AQ169">
        <v>0.50552490000000005</v>
      </c>
      <c r="AR169">
        <v>356</v>
      </c>
      <c r="AS169">
        <v>0.98342540000000001</v>
      </c>
      <c r="AT169">
        <v>166</v>
      </c>
      <c r="AU169">
        <v>0.46629209999999999</v>
      </c>
      <c r="AV169">
        <v>319</v>
      </c>
      <c r="AW169" t="s">
        <v>127</v>
      </c>
      <c r="AX169" t="s">
        <v>127</v>
      </c>
      <c r="AY169" t="s">
        <v>127</v>
      </c>
      <c r="AZ169" t="s">
        <v>127</v>
      </c>
      <c r="BA169" t="s">
        <v>127</v>
      </c>
      <c r="BB169" t="s">
        <v>127</v>
      </c>
      <c r="BC169" t="s">
        <v>127</v>
      </c>
      <c r="BD169" t="s">
        <v>127</v>
      </c>
      <c r="BE169">
        <v>9</v>
      </c>
      <c r="BF169" t="s">
        <v>127</v>
      </c>
      <c r="BG169" t="s">
        <v>127</v>
      </c>
      <c r="BH169" t="s">
        <v>127</v>
      </c>
      <c r="BI169" t="s">
        <v>127</v>
      </c>
      <c r="BJ169" t="s">
        <v>127</v>
      </c>
      <c r="BK169" t="s">
        <v>127</v>
      </c>
      <c r="BL169" t="s">
        <v>127</v>
      </c>
      <c r="BM169" t="s">
        <v>127</v>
      </c>
    </row>
    <row r="170" spans="1:65" x14ac:dyDescent="0.25">
      <c r="A170" t="s">
        <v>458</v>
      </c>
      <c r="B170" t="s">
        <v>459</v>
      </c>
      <c r="C170">
        <v>1046</v>
      </c>
      <c r="D170">
        <v>785</v>
      </c>
      <c r="E170">
        <v>0.75047799999999998</v>
      </c>
      <c r="F170">
        <v>562</v>
      </c>
      <c r="G170">
        <v>0.71592359999999999</v>
      </c>
      <c r="H170">
        <v>784</v>
      </c>
      <c r="I170">
        <v>0.99872609999999995</v>
      </c>
      <c r="J170">
        <v>563</v>
      </c>
      <c r="K170">
        <v>0.71811219999999998</v>
      </c>
      <c r="L170">
        <v>478</v>
      </c>
      <c r="M170">
        <v>350</v>
      </c>
      <c r="N170">
        <v>0.73221760000000002</v>
      </c>
      <c r="O170">
        <v>257</v>
      </c>
      <c r="P170">
        <v>0.73428570000000004</v>
      </c>
      <c r="Q170">
        <v>350</v>
      </c>
      <c r="R170">
        <v>1</v>
      </c>
      <c r="S170">
        <v>265</v>
      </c>
      <c r="T170">
        <v>0.75714289999999995</v>
      </c>
      <c r="U170">
        <v>471</v>
      </c>
      <c r="V170" t="s">
        <v>127</v>
      </c>
      <c r="W170" t="s">
        <v>127</v>
      </c>
      <c r="X170" t="s">
        <v>127</v>
      </c>
      <c r="Y170" t="s">
        <v>127</v>
      </c>
      <c r="Z170" t="s">
        <v>127</v>
      </c>
      <c r="AA170" t="s">
        <v>127</v>
      </c>
      <c r="AB170" t="s">
        <v>127</v>
      </c>
      <c r="AC170" t="s">
        <v>127</v>
      </c>
      <c r="AD170">
        <v>7</v>
      </c>
      <c r="AE170" t="s">
        <v>127</v>
      </c>
      <c r="AF170" t="s">
        <v>127</v>
      </c>
      <c r="AG170" t="s">
        <v>127</v>
      </c>
      <c r="AH170" t="s">
        <v>127</v>
      </c>
      <c r="AI170" t="s">
        <v>127</v>
      </c>
      <c r="AJ170" t="s">
        <v>127</v>
      </c>
      <c r="AK170" t="s">
        <v>127</v>
      </c>
      <c r="AL170" t="s">
        <v>127</v>
      </c>
      <c r="AM170">
        <v>568</v>
      </c>
      <c r="AN170">
        <v>435</v>
      </c>
      <c r="AO170">
        <v>0.76584509999999995</v>
      </c>
      <c r="AP170">
        <v>305</v>
      </c>
      <c r="AQ170">
        <v>0.70114940000000003</v>
      </c>
      <c r="AR170">
        <v>434</v>
      </c>
      <c r="AS170">
        <v>0.99770110000000001</v>
      </c>
      <c r="AT170">
        <v>298</v>
      </c>
      <c r="AU170">
        <v>0.68663589999999997</v>
      </c>
      <c r="AV170">
        <v>561</v>
      </c>
      <c r="AW170">
        <v>298</v>
      </c>
      <c r="AX170">
        <v>0.53119430000000001</v>
      </c>
      <c r="AY170">
        <v>298</v>
      </c>
      <c r="AZ170">
        <v>1</v>
      </c>
      <c r="BA170">
        <v>298</v>
      </c>
      <c r="BB170">
        <v>1</v>
      </c>
      <c r="BC170">
        <v>203</v>
      </c>
      <c r="BD170">
        <v>0.68120809999999998</v>
      </c>
      <c r="BE170">
        <v>7</v>
      </c>
      <c r="BF170">
        <v>7</v>
      </c>
      <c r="BG170">
        <v>1</v>
      </c>
      <c r="BH170">
        <v>7</v>
      </c>
      <c r="BI170">
        <v>1</v>
      </c>
      <c r="BJ170">
        <v>7</v>
      </c>
      <c r="BK170">
        <v>1</v>
      </c>
      <c r="BL170">
        <v>5</v>
      </c>
      <c r="BM170">
        <v>0.71428570000000002</v>
      </c>
    </row>
    <row r="171" spans="1:65" x14ac:dyDescent="0.25">
      <c r="A171" t="s">
        <v>460</v>
      </c>
      <c r="B171" t="s">
        <v>461</v>
      </c>
      <c r="C171">
        <v>1142</v>
      </c>
      <c r="D171">
        <v>1416</v>
      </c>
      <c r="E171">
        <v>1.2399298999999999</v>
      </c>
      <c r="F171">
        <v>741</v>
      </c>
      <c r="G171">
        <v>0.52330509999999997</v>
      </c>
      <c r="H171">
        <v>1415</v>
      </c>
      <c r="I171">
        <v>0.99929380000000001</v>
      </c>
      <c r="J171">
        <v>1065</v>
      </c>
      <c r="K171">
        <v>0.75265020000000005</v>
      </c>
      <c r="L171">
        <v>636</v>
      </c>
      <c r="M171">
        <v>830</v>
      </c>
      <c r="N171">
        <v>1.3050314000000001</v>
      </c>
      <c r="O171">
        <v>408</v>
      </c>
      <c r="P171">
        <v>0.49156630000000001</v>
      </c>
      <c r="Q171">
        <v>829</v>
      </c>
      <c r="R171">
        <v>0.99879519999999999</v>
      </c>
      <c r="S171">
        <v>635</v>
      </c>
      <c r="T171">
        <v>0.76598310000000003</v>
      </c>
      <c r="U171">
        <v>629</v>
      </c>
      <c r="V171">
        <v>402</v>
      </c>
      <c r="W171">
        <v>0.6391097</v>
      </c>
      <c r="X171">
        <v>402</v>
      </c>
      <c r="Y171">
        <v>1</v>
      </c>
      <c r="Z171">
        <v>402</v>
      </c>
      <c r="AA171">
        <v>1</v>
      </c>
      <c r="AB171">
        <v>301</v>
      </c>
      <c r="AC171">
        <v>0.74875619999999998</v>
      </c>
      <c r="AD171">
        <v>7</v>
      </c>
      <c r="AE171">
        <v>6</v>
      </c>
      <c r="AF171">
        <v>0.85714290000000004</v>
      </c>
      <c r="AG171">
        <v>6</v>
      </c>
      <c r="AH171">
        <v>1</v>
      </c>
      <c r="AI171">
        <v>6</v>
      </c>
      <c r="AJ171">
        <v>1</v>
      </c>
      <c r="AK171">
        <v>5</v>
      </c>
      <c r="AL171">
        <v>0.83333330000000005</v>
      </c>
      <c r="AM171">
        <v>506</v>
      </c>
      <c r="AN171">
        <v>586</v>
      </c>
      <c r="AO171">
        <v>1.1581028</v>
      </c>
      <c r="AP171">
        <v>333</v>
      </c>
      <c r="AQ171">
        <v>0.56825939999999997</v>
      </c>
      <c r="AR171">
        <v>586</v>
      </c>
      <c r="AS171">
        <v>1</v>
      </c>
      <c r="AT171">
        <v>430</v>
      </c>
      <c r="AU171">
        <v>0.73378840000000001</v>
      </c>
      <c r="AV171">
        <v>506</v>
      </c>
      <c r="AW171">
        <v>333</v>
      </c>
      <c r="AX171">
        <v>0.65810279999999999</v>
      </c>
      <c r="AY171">
        <v>333</v>
      </c>
      <c r="AZ171">
        <v>1</v>
      </c>
      <c r="BA171">
        <v>333</v>
      </c>
      <c r="BB171">
        <v>1</v>
      </c>
      <c r="BC171">
        <v>237</v>
      </c>
      <c r="BD171">
        <v>0.71171169999999995</v>
      </c>
      <c r="BE171">
        <v>0</v>
      </c>
      <c r="BF171">
        <v>0</v>
      </c>
      <c r="BG171">
        <v>0</v>
      </c>
      <c r="BH171">
        <v>0</v>
      </c>
      <c r="BI171">
        <v>0</v>
      </c>
      <c r="BJ171">
        <v>0</v>
      </c>
      <c r="BK171">
        <v>0</v>
      </c>
      <c r="BL171">
        <v>0</v>
      </c>
      <c r="BM171">
        <v>0</v>
      </c>
    </row>
    <row r="172" spans="1:65" x14ac:dyDescent="0.25">
      <c r="A172" t="s">
        <v>462</v>
      </c>
      <c r="B172" t="s">
        <v>463</v>
      </c>
      <c r="C172">
        <v>532</v>
      </c>
      <c r="D172">
        <v>713</v>
      </c>
      <c r="E172">
        <v>1.3402255999999999</v>
      </c>
      <c r="F172">
        <v>291</v>
      </c>
      <c r="G172">
        <v>0.40813460000000001</v>
      </c>
      <c r="H172">
        <v>704</v>
      </c>
      <c r="I172">
        <v>0.98737730000000001</v>
      </c>
      <c r="J172">
        <v>428</v>
      </c>
      <c r="K172">
        <v>0.60795449999999995</v>
      </c>
      <c r="L172">
        <v>255</v>
      </c>
      <c r="M172">
        <v>379</v>
      </c>
      <c r="N172">
        <v>1.4862744999999999</v>
      </c>
      <c r="O172">
        <v>137</v>
      </c>
      <c r="P172">
        <v>0.36147760000000001</v>
      </c>
      <c r="Q172">
        <v>377</v>
      </c>
      <c r="R172">
        <v>0.99472300000000002</v>
      </c>
      <c r="S172">
        <v>239</v>
      </c>
      <c r="T172">
        <v>0.63395230000000002</v>
      </c>
      <c r="U172" t="s">
        <v>127</v>
      </c>
      <c r="V172" t="s">
        <v>127</v>
      </c>
      <c r="W172" t="s">
        <v>127</v>
      </c>
      <c r="X172" t="s">
        <v>127</v>
      </c>
      <c r="Y172" t="s">
        <v>127</v>
      </c>
      <c r="Z172" t="s">
        <v>127</v>
      </c>
      <c r="AA172" t="s">
        <v>127</v>
      </c>
      <c r="AB172" t="s">
        <v>127</v>
      </c>
      <c r="AC172" t="s">
        <v>127</v>
      </c>
      <c r="AD172" t="s">
        <v>127</v>
      </c>
      <c r="AE172" t="s">
        <v>127</v>
      </c>
      <c r="AF172" t="s">
        <v>127</v>
      </c>
      <c r="AG172" t="s">
        <v>127</v>
      </c>
      <c r="AH172" t="s">
        <v>127</v>
      </c>
      <c r="AI172" t="s">
        <v>127</v>
      </c>
      <c r="AJ172" t="s">
        <v>127</v>
      </c>
      <c r="AK172" t="s">
        <v>127</v>
      </c>
      <c r="AL172" t="s">
        <v>127</v>
      </c>
      <c r="AM172">
        <v>277</v>
      </c>
      <c r="AN172">
        <v>334</v>
      </c>
      <c r="AO172">
        <v>1.2057762000000001</v>
      </c>
      <c r="AP172">
        <v>154</v>
      </c>
      <c r="AQ172">
        <v>0.46107779999999998</v>
      </c>
      <c r="AR172">
        <v>327</v>
      </c>
      <c r="AS172">
        <v>0.97904190000000002</v>
      </c>
      <c r="AT172">
        <v>189</v>
      </c>
      <c r="AU172">
        <v>0.57798170000000004</v>
      </c>
      <c r="AV172">
        <v>265</v>
      </c>
      <c r="AW172" t="s">
        <v>127</v>
      </c>
      <c r="AX172" t="s">
        <v>127</v>
      </c>
      <c r="AY172" t="s">
        <v>127</v>
      </c>
      <c r="AZ172" t="s">
        <v>127</v>
      </c>
      <c r="BA172" t="s">
        <v>127</v>
      </c>
      <c r="BB172" t="s">
        <v>127</v>
      </c>
      <c r="BC172" t="s">
        <v>127</v>
      </c>
      <c r="BD172" t="s">
        <v>127</v>
      </c>
      <c r="BE172">
        <v>12</v>
      </c>
      <c r="BF172" t="s">
        <v>127</v>
      </c>
      <c r="BG172" t="s">
        <v>127</v>
      </c>
      <c r="BH172" t="s">
        <v>127</v>
      </c>
      <c r="BI172" t="s">
        <v>127</v>
      </c>
      <c r="BJ172" t="s">
        <v>127</v>
      </c>
      <c r="BK172" t="s">
        <v>127</v>
      </c>
      <c r="BL172" t="s">
        <v>127</v>
      </c>
      <c r="BM172" t="s">
        <v>127</v>
      </c>
    </row>
    <row r="173" spans="1:65" x14ac:dyDescent="0.25">
      <c r="A173" t="s">
        <v>464</v>
      </c>
      <c r="B173" t="s">
        <v>465</v>
      </c>
      <c r="C173">
        <v>0</v>
      </c>
      <c r="D173">
        <v>0</v>
      </c>
      <c r="E173">
        <v>0</v>
      </c>
      <c r="F173">
        <v>0</v>
      </c>
      <c r="G173">
        <v>0</v>
      </c>
      <c r="H173">
        <v>0</v>
      </c>
      <c r="I173">
        <v>0</v>
      </c>
      <c r="J173">
        <v>0</v>
      </c>
      <c r="K173">
        <v>0</v>
      </c>
      <c r="L173" t="s">
        <v>127</v>
      </c>
      <c r="M173" t="s">
        <v>127</v>
      </c>
      <c r="N173" t="s">
        <v>127</v>
      </c>
      <c r="O173" t="s">
        <v>127</v>
      </c>
      <c r="P173" t="s">
        <v>127</v>
      </c>
      <c r="Q173" t="s">
        <v>127</v>
      </c>
      <c r="R173" t="s">
        <v>127</v>
      </c>
      <c r="S173" t="s">
        <v>127</v>
      </c>
      <c r="T173" t="s">
        <v>127</v>
      </c>
      <c r="U173" t="s">
        <v>127</v>
      </c>
      <c r="V173" t="s">
        <v>127</v>
      </c>
      <c r="W173" t="s">
        <v>127</v>
      </c>
      <c r="X173" t="s">
        <v>127</v>
      </c>
      <c r="Y173" t="s">
        <v>127</v>
      </c>
      <c r="Z173" t="s">
        <v>127</v>
      </c>
      <c r="AA173" t="s">
        <v>127</v>
      </c>
      <c r="AB173" t="s">
        <v>127</v>
      </c>
      <c r="AC173" t="s">
        <v>127</v>
      </c>
      <c r="AD173">
        <v>0</v>
      </c>
      <c r="AE173">
        <v>0</v>
      </c>
      <c r="AF173">
        <v>0</v>
      </c>
      <c r="AG173">
        <v>0</v>
      </c>
      <c r="AH173">
        <v>0</v>
      </c>
      <c r="AI173">
        <v>0</v>
      </c>
      <c r="AJ173">
        <v>0</v>
      </c>
      <c r="AK173">
        <v>0</v>
      </c>
      <c r="AL173">
        <v>0</v>
      </c>
      <c r="AM173" t="s">
        <v>127</v>
      </c>
      <c r="AN173" t="s">
        <v>127</v>
      </c>
      <c r="AO173" t="s">
        <v>127</v>
      </c>
      <c r="AP173" t="s">
        <v>127</v>
      </c>
      <c r="AQ173" t="s">
        <v>127</v>
      </c>
      <c r="AR173" t="s">
        <v>127</v>
      </c>
      <c r="AS173" t="s">
        <v>127</v>
      </c>
      <c r="AT173" t="s">
        <v>127</v>
      </c>
      <c r="AU173" t="s">
        <v>127</v>
      </c>
      <c r="AV173" t="s">
        <v>127</v>
      </c>
      <c r="AW173" t="s">
        <v>127</v>
      </c>
      <c r="AX173" t="s">
        <v>127</v>
      </c>
      <c r="AY173" t="s">
        <v>127</v>
      </c>
      <c r="AZ173" t="s">
        <v>127</v>
      </c>
      <c r="BA173" t="s">
        <v>127</v>
      </c>
      <c r="BB173" t="s">
        <v>127</v>
      </c>
      <c r="BC173" t="s">
        <v>127</v>
      </c>
      <c r="BD173" t="s">
        <v>127</v>
      </c>
      <c r="BE173">
        <v>0</v>
      </c>
      <c r="BF173">
        <v>0</v>
      </c>
      <c r="BG173">
        <v>0</v>
      </c>
      <c r="BH173">
        <v>0</v>
      </c>
      <c r="BI173">
        <v>0</v>
      </c>
      <c r="BJ173">
        <v>0</v>
      </c>
      <c r="BK173">
        <v>0</v>
      </c>
      <c r="BL173">
        <v>0</v>
      </c>
      <c r="BM173">
        <v>0</v>
      </c>
    </row>
    <row r="174" spans="1:65" x14ac:dyDescent="0.25">
      <c r="A174" t="s">
        <v>466</v>
      </c>
      <c r="B174" t="s">
        <v>467</v>
      </c>
      <c r="C174">
        <v>213</v>
      </c>
      <c r="D174">
        <v>97</v>
      </c>
      <c r="E174">
        <v>0.4553991</v>
      </c>
      <c r="F174">
        <v>77</v>
      </c>
      <c r="G174">
        <v>0.79381440000000003</v>
      </c>
      <c r="H174">
        <v>96</v>
      </c>
      <c r="I174">
        <v>0.98969070000000003</v>
      </c>
      <c r="J174">
        <v>57</v>
      </c>
      <c r="K174">
        <v>0.59375</v>
      </c>
      <c r="L174">
        <v>68</v>
      </c>
      <c r="M174">
        <v>30</v>
      </c>
      <c r="N174">
        <v>0.44117650000000003</v>
      </c>
      <c r="O174">
        <v>22</v>
      </c>
      <c r="P174">
        <v>0.73333329999999997</v>
      </c>
      <c r="Q174">
        <v>30</v>
      </c>
      <c r="R174">
        <v>1</v>
      </c>
      <c r="S174">
        <v>16</v>
      </c>
      <c r="T174">
        <v>0.53333330000000001</v>
      </c>
      <c r="U174">
        <v>68</v>
      </c>
      <c r="V174">
        <v>22</v>
      </c>
      <c r="W174">
        <v>0.32352940000000002</v>
      </c>
      <c r="X174">
        <v>22</v>
      </c>
      <c r="Y174">
        <v>1</v>
      </c>
      <c r="Z174">
        <v>22</v>
      </c>
      <c r="AA174">
        <v>1</v>
      </c>
      <c r="AB174">
        <v>13</v>
      </c>
      <c r="AC174">
        <v>0.59090909999999996</v>
      </c>
      <c r="AD174">
        <v>0</v>
      </c>
      <c r="AE174">
        <v>0</v>
      </c>
      <c r="AF174">
        <v>0</v>
      </c>
      <c r="AG174">
        <v>0</v>
      </c>
      <c r="AH174">
        <v>0</v>
      </c>
      <c r="AI174">
        <v>0</v>
      </c>
      <c r="AJ174">
        <v>0</v>
      </c>
      <c r="AK174">
        <v>0</v>
      </c>
      <c r="AL174">
        <v>0</v>
      </c>
      <c r="AM174">
        <v>145</v>
      </c>
      <c r="AN174">
        <v>67</v>
      </c>
      <c r="AO174">
        <v>0.46206900000000001</v>
      </c>
      <c r="AP174">
        <v>55</v>
      </c>
      <c r="AQ174">
        <v>0.8208955</v>
      </c>
      <c r="AR174">
        <v>66</v>
      </c>
      <c r="AS174">
        <v>0.98507460000000002</v>
      </c>
      <c r="AT174">
        <v>41</v>
      </c>
      <c r="AU174">
        <v>0.62121210000000004</v>
      </c>
      <c r="AV174" t="s">
        <v>127</v>
      </c>
      <c r="AW174" t="s">
        <v>127</v>
      </c>
      <c r="AX174" t="s">
        <v>127</v>
      </c>
      <c r="AY174" t="s">
        <v>127</v>
      </c>
      <c r="AZ174" t="s">
        <v>127</v>
      </c>
      <c r="BA174" t="s">
        <v>127</v>
      </c>
      <c r="BB174" t="s">
        <v>127</v>
      </c>
      <c r="BC174" t="s">
        <v>127</v>
      </c>
      <c r="BD174" t="s">
        <v>127</v>
      </c>
      <c r="BE174" t="s">
        <v>127</v>
      </c>
      <c r="BF174" t="s">
        <v>127</v>
      </c>
      <c r="BG174" t="s">
        <v>127</v>
      </c>
      <c r="BH174" t="s">
        <v>127</v>
      </c>
      <c r="BI174" t="s">
        <v>127</v>
      </c>
      <c r="BJ174" t="s">
        <v>127</v>
      </c>
      <c r="BK174" t="s">
        <v>127</v>
      </c>
      <c r="BL174" t="s">
        <v>127</v>
      </c>
      <c r="BM174" t="s">
        <v>127</v>
      </c>
    </row>
    <row r="175" spans="1:65" x14ac:dyDescent="0.25">
      <c r="A175" t="s">
        <v>468</v>
      </c>
      <c r="B175" t="s">
        <v>469</v>
      </c>
      <c r="C175">
        <v>0</v>
      </c>
      <c r="D175">
        <v>0</v>
      </c>
      <c r="E175">
        <v>0</v>
      </c>
      <c r="F175">
        <v>0</v>
      </c>
      <c r="G175">
        <v>0</v>
      </c>
      <c r="H175">
        <v>0</v>
      </c>
      <c r="I175">
        <v>0</v>
      </c>
      <c r="J175">
        <v>0</v>
      </c>
      <c r="K175">
        <v>0</v>
      </c>
      <c r="L175" t="s">
        <v>127</v>
      </c>
      <c r="M175">
        <v>0</v>
      </c>
      <c r="N175" t="s">
        <v>127</v>
      </c>
      <c r="O175">
        <v>0</v>
      </c>
      <c r="P175">
        <v>0</v>
      </c>
      <c r="Q175">
        <v>0</v>
      </c>
      <c r="R175">
        <v>0</v>
      </c>
      <c r="S175">
        <v>0</v>
      </c>
      <c r="T175">
        <v>0</v>
      </c>
      <c r="U175" t="s">
        <v>127</v>
      </c>
      <c r="V175">
        <v>0</v>
      </c>
      <c r="W175" t="s">
        <v>127</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row>
    <row r="176" spans="1:65" x14ac:dyDescent="0.25">
      <c r="A176" t="s">
        <v>470</v>
      </c>
      <c r="B176" t="s">
        <v>471</v>
      </c>
      <c r="C176">
        <v>409</v>
      </c>
      <c r="D176">
        <v>310</v>
      </c>
      <c r="E176">
        <v>0.75794620000000001</v>
      </c>
      <c r="F176">
        <v>219</v>
      </c>
      <c r="G176">
        <v>0.70645159999999996</v>
      </c>
      <c r="H176">
        <v>305</v>
      </c>
      <c r="I176">
        <v>0.98387100000000005</v>
      </c>
      <c r="J176">
        <v>229</v>
      </c>
      <c r="K176">
        <v>0.75081969999999998</v>
      </c>
      <c r="L176">
        <v>213</v>
      </c>
      <c r="M176">
        <v>153</v>
      </c>
      <c r="N176">
        <v>0.71830989999999995</v>
      </c>
      <c r="O176">
        <v>115</v>
      </c>
      <c r="P176">
        <v>0.75163400000000002</v>
      </c>
      <c r="Q176">
        <v>151</v>
      </c>
      <c r="R176">
        <v>0.98692809999999997</v>
      </c>
      <c r="S176">
        <v>120</v>
      </c>
      <c r="T176">
        <v>0.79470200000000002</v>
      </c>
      <c r="U176">
        <v>213</v>
      </c>
      <c r="V176">
        <v>115</v>
      </c>
      <c r="W176">
        <v>0.53990610000000006</v>
      </c>
      <c r="X176">
        <v>115</v>
      </c>
      <c r="Y176">
        <v>1</v>
      </c>
      <c r="Z176">
        <v>114</v>
      </c>
      <c r="AA176">
        <v>0.99130430000000003</v>
      </c>
      <c r="AB176">
        <v>88</v>
      </c>
      <c r="AC176">
        <v>0.7719298</v>
      </c>
      <c r="AD176">
        <v>0</v>
      </c>
      <c r="AE176">
        <v>0</v>
      </c>
      <c r="AF176">
        <v>0</v>
      </c>
      <c r="AG176">
        <v>0</v>
      </c>
      <c r="AH176">
        <v>0</v>
      </c>
      <c r="AI176">
        <v>0</v>
      </c>
      <c r="AJ176">
        <v>0</v>
      </c>
      <c r="AK176">
        <v>0</v>
      </c>
      <c r="AL176">
        <v>0</v>
      </c>
      <c r="AM176">
        <v>196</v>
      </c>
      <c r="AN176">
        <v>157</v>
      </c>
      <c r="AO176">
        <v>0.80102039999999997</v>
      </c>
      <c r="AP176">
        <v>104</v>
      </c>
      <c r="AQ176">
        <v>0.66242040000000002</v>
      </c>
      <c r="AR176">
        <v>154</v>
      </c>
      <c r="AS176">
        <v>0.98089170000000003</v>
      </c>
      <c r="AT176">
        <v>109</v>
      </c>
      <c r="AU176">
        <v>0.70779219999999998</v>
      </c>
      <c r="AV176">
        <v>196</v>
      </c>
      <c r="AW176">
        <v>104</v>
      </c>
      <c r="AX176">
        <v>0.53061219999999998</v>
      </c>
      <c r="AY176">
        <v>104</v>
      </c>
      <c r="AZ176">
        <v>1</v>
      </c>
      <c r="BA176">
        <v>102</v>
      </c>
      <c r="BB176">
        <v>0.98076920000000001</v>
      </c>
      <c r="BC176">
        <v>70</v>
      </c>
      <c r="BD176">
        <v>0.68627450000000001</v>
      </c>
      <c r="BE176">
        <v>0</v>
      </c>
      <c r="BF176">
        <v>0</v>
      </c>
      <c r="BG176">
        <v>0</v>
      </c>
      <c r="BH176">
        <v>0</v>
      </c>
      <c r="BI176">
        <v>0</v>
      </c>
      <c r="BJ176">
        <v>0</v>
      </c>
      <c r="BK176">
        <v>0</v>
      </c>
      <c r="BL176">
        <v>0</v>
      </c>
      <c r="BM176">
        <v>0</v>
      </c>
    </row>
    <row r="177" spans="1:65" x14ac:dyDescent="0.25">
      <c r="A177" t="s">
        <v>472</v>
      </c>
      <c r="B177" t="s">
        <v>473</v>
      </c>
      <c r="C177">
        <v>26</v>
      </c>
      <c r="D177">
        <v>23</v>
      </c>
      <c r="E177">
        <v>0.88461540000000005</v>
      </c>
      <c r="F177">
        <v>13</v>
      </c>
      <c r="G177">
        <v>0.56521739999999998</v>
      </c>
      <c r="H177">
        <v>23</v>
      </c>
      <c r="I177">
        <v>1</v>
      </c>
      <c r="J177">
        <v>13</v>
      </c>
      <c r="K177">
        <v>0.56521739999999998</v>
      </c>
      <c r="L177">
        <v>13</v>
      </c>
      <c r="M177">
        <v>12</v>
      </c>
      <c r="N177">
        <v>0.92307689999999998</v>
      </c>
      <c r="O177">
        <v>8</v>
      </c>
      <c r="P177">
        <v>0.66666669999999995</v>
      </c>
      <c r="Q177">
        <v>12</v>
      </c>
      <c r="R177">
        <v>1</v>
      </c>
      <c r="S177">
        <v>9</v>
      </c>
      <c r="T177">
        <v>0.75</v>
      </c>
      <c r="U177">
        <v>13</v>
      </c>
      <c r="V177">
        <v>8</v>
      </c>
      <c r="W177">
        <v>0.61538459999999995</v>
      </c>
      <c r="X177">
        <v>8</v>
      </c>
      <c r="Y177">
        <v>1</v>
      </c>
      <c r="Z177">
        <v>8</v>
      </c>
      <c r="AA177">
        <v>1</v>
      </c>
      <c r="AB177">
        <v>6</v>
      </c>
      <c r="AC177">
        <v>0.75</v>
      </c>
      <c r="AD177">
        <v>0</v>
      </c>
      <c r="AE177">
        <v>0</v>
      </c>
      <c r="AF177">
        <v>0</v>
      </c>
      <c r="AG177">
        <v>0</v>
      </c>
      <c r="AH177">
        <v>0</v>
      </c>
      <c r="AI177">
        <v>0</v>
      </c>
      <c r="AJ177">
        <v>0</v>
      </c>
      <c r="AK177">
        <v>0</v>
      </c>
      <c r="AL177">
        <v>0</v>
      </c>
      <c r="AM177">
        <v>13</v>
      </c>
      <c r="AN177">
        <v>11</v>
      </c>
      <c r="AO177">
        <v>0.84615379999999996</v>
      </c>
      <c r="AP177">
        <v>5</v>
      </c>
      <c r="AQ177">
        <v>0.45454549999999999</v>
      </c>
      <c r="AR177">
        <v>11</v>
      </c>
      <c r="AS177">
        <v>1</v>
      </c>
      <c r="AT177">
        <v>4</v>
      </c>
      <c r="AU177">
        <v>0.36363640000000003</v>
      </c>
      <c r="AV177">
        <v>13</v>
      </c>
      <c r="AW177" t="s">
        <v>127</v>
      </c>
      <c r="AX177" t="s">
        <v>127</v>
      </c>
      <c r="AY177" t="s">
        <v>127</v>
      </c>
      <c r="AZ177" t="s">
        <v>127</v>
      </c>
      <c r="BA177" t="s">
        <v>127</v>
      </c>
      <c r="BB177" t="s">
        <v>127</v>
      </c>
      <c r="BC177" t="s">
        <v>127</v>
      </c>
      <c r="BD177" t="s">
        <v>127</v>
      </c>
      <c r="BE177">
        <v>0</v>
      </c>
      <c r="BF177">
        <v>0</v>
      </c>
      <c r="BG177">
        <v>0</v>
      </c>
      <c r="BH177">
        <v>0</v>
      </c>
      <c r="BI177">
        <v>0</v>
      </c>
      <c r="BJ177">
        <v>0</v>
      </c>
      <c r="BK177">
        <v>0</v>
      </c>
      <c r="BL177">
        <v>0</v>
      </c>
      <c r="BM177">
        <v>0</v>
      </c>
    </row>
    <row r="178" spans="1:65" x14ac:dyDescent="0.25">
      <c r="A178" t="s">
        <v>474</v>
      </c>
      <c r="B178" t="s">
        <v>475</v>
      </c>
      <c r="C178">
        <v>361</v>
      </c>
      <c r="D178">
        <v>238</v>
      </c>
      <c r="E178">
        <v>0.65927979999999997</v>
      </c>
      <c r="F178">
        <v>153</v>
      </c>
      <c r="G178">
        <v>0.64285709999999996</v>
      </c>
      <c r="H178">
        <v>232</v>
      </c>
      <c r="I178">
        <v>0.97478989999999999</v>
      </c>
      <c r="J178">
        <v>161</v>
      </c>
      <c r="K178">
        <v>0.69396550000000001</v>
      </c>
      <c r="L178">
        <v>182</v>
      </c>
      <c r="M178">
        <v>128</v>
      </c>
      <c r="N178">
        <v>0.7032967</v>
      </c>
      <c r="O178">
        <v>84</v>
      </c>
      <c r="P178">
        <v>0.65625</v>
      </c>
      <c r="Q178">
        <v>127</v>
      </c>
      <c r="R178">
        <v>0.9921875</v>
      </c>
      <c r="S178">
        <v>94</v>
      </c>
      <c r="T178">
        <v>0.74015750000000002</v>
      </c>
      <c r="U178" t="s">
        <v>127</v>
      </c>
      <c r="V178" t="s">
        <v>127</v>
      </c>
      <c r="W178" t="s">
        <v>127</v>
      </c>
      <c r="X178" t="s">
        <v>127</v>
      </c>
      <c r="Y178" t="s">
        <v>127</v>
      </c>
      <c r="Z178" t="s">
        <v>127</v>
      </c>
      <c r="AA178" t="s">
        <v>127</v>
      </c>
      <c r="AB178" t="s">
        <v>127</v>
      </c>
      <c r="AC178" t="s">
        <v>127</v>
      </c>
      <c r="AD178" t="s">
        <v>127</v>
      </c>
      <c r="AE178" t="s">
        <v>127</v>
      </c>
      <c r="AF178" t="s">
        <v>127</v>
      </c>
      <c r="AG178" t="s">
        <v>127</v>
      </c>
      <c r="AH178" t="s">
        <v>127</v>
      </c>
      <c r="AI178" t="s">
        <v>127</v>
      </c>
      <c r="AJ178" t="s">
        <v>127</v>
      </c>
      <c r="AK178" t="s">
        <v>127</v>
      </c>
      <c r="AL178" t="s">
        <v>127</v>
      </c>
      <c r="AM178">
        <v>179</v>
      </c>
      <c r="AN178">
        <v>110</v>
      </c>
      <c r="AO178">
        <v>0.61452510000000005</v>
      </c>
      <c r="AP178">
        <v>69</v>
      </c>
      <c r="AQ178">
        <v>0.62727270000000002</v>
      </c>
      <c r="AR178">
        <v>105</v>
      </c>
      <c r="AS178">
        <v>0.95454550000000005</v>
      </c>
      <c r="AT178">
        <v>67</v>
      </c>
      <c r="AU178">
        <v>0.63809519999999997</v>
      </c>
      <c r="AV178">
        <v>179</v>
      </c>
      <c r="AW178">
        <v>69</v>
      </c>
      <c r="AX178">
        <v>0.38547490000000001</v>
      </c>
      <c r="AY178">
        <v>69</v>
      </c>
      <c r="AZ178">
        <v>1</v>
      </c>
      <c r="BA178">
        <v>65</v>
      </c>
      <c r="BB178">
        <v>0.94202900000000001</v>
      </c>
      <c r="BC178">
        <v>38</v>
      </c>
      <c r="BD178">
        <v>0.58461540000000001</v>
      </c>
      <c r="BE178">
        <v>0</v>
      </c>
      <c r="BF178">
        <v>0</v>
      </c>
      <c r="BG178">
        <v>0</v>
      </c>
      <c r="BH178">
        <v>0</v>
      </c>
      <c r="BI178">
        <v>0</v>
      </c>
      <c r="BJ178">
        <v>0</v>
      </c>
      <c r="BK178">
        <v>0</v>
      </c>
      <c r="BL178">
        <v>0</v>
      </c>
      <c r="BM178">
        <v>0</v>
      </c>
    </row>
    <row r="179" spans="1:65" x14ac:dyDescent="0.25">
      <c r="A179" t="s">
        <v>476</v>
      </c>
      <c r="B179" t="s">
        <v>477</v>
      </c>
      <c r="C179">
        <v>555</v>
      </c>
      <c r="D179">
        <v>262</v>
      </c>
      <c r="E179">
        <v>0.47207209999999999</v>
      </c>
      <c r="F179">
        <v>191</v>
      </c>
      <c r="G179">
        <v>0.72900759999999998</v>
      </c>
      <c r="H179">
        <v>248</v>
      </c>
      <c r="I179">
        <v>0.94656490000000004</v>
      </c>
      <c r="J179">
        <v>146</v>
      </c>
      <c r="K179">
        <v>0.5887097</v>
      </c>
      <c r="L179">
        <v>245</v>
      </c>
      <c r="M179">
        <v>120</v>
      </c>
      <c r="N179">
        <v>0.48979590000000001</v>
      </c>
      <c r="O179">
        <v>90</v>
      </c>
      <c r="P179">
        <v>0.75</v>
      </c>
      <c r="Q179">
        <v>118</v>
      </c>
      <c r="R179">
        <v>0.98333329999999997</v>
      </c>
      <c r="S179">
        <v>76</v>
      </c>
      <c r="T179">
        <v>0.64406779999999997</v>
      </c>
      <c r="U179" t="s">
        <v>127</v>
      </c>
      <c r="V179" t="s">
        <v>127</v>
      </c>
      <c r="W179" t="s">
        <v>127</v>
      </c>
      <c r="X179" t="s">
        <v>127</v>
      </c>
      <c r="Y179" t="s">
        <v>127</v>
      </c>
      <c r="Z179" t="s">
        <v>127</v>
      </c>
      <c r="AA179" t="s">
        <v>127</v>
      </c>
      <c r="AB179" t="s">
        <v>127</v>
      </c>
      <c r="AC179" t="s">
        <v>127</v>
      </c>
      <c r="AD179" t="s">
        <v>127</v>
      </c>
      <c r="AE179" t="s">
        <v>127</v>
      </c>
      <c r="AF179" t="s">
        <v>127</v>
      </c>
      <c r="AG179" t="s">
        <v>127</v>
      </c>
      <c r="AH179" t="s">
        <v>127</v>
      </c>
      <c r="AI179" t="s">
        <v>127</v>
      </c>
      <c r="AJ179" t="s">
        <v>127</v>
      </c>
      <c r="AK179" t="s">
        <v>127</v>
      </c>
      <c r="AL179" t="s">
        <v>127</v>
      </c>
      <c r="AM179">
        <v>310</v>
      </c>
      <c r="AN179">
        <v>142</v>
      </c>
      <c r="AO179">
        <v>0.45806449999999999</v>
      </c>
      <c r="AP179">
        <v>101</v>
      </c>
      <c r="AQ179">
        <v>0.7112676</v>
      </c>
      <c r="AR179">
        <v>130</v>
      </c>
      <c r="AS179">
        <v>0.915493</v>
      </c>
      <c r="AT179">
        <v>70</v>
      </c>
      <c r="AU179">
        <v>0.53846150000000004</v>
      </c>
      <c r="AV179" t="s">
        <v>127</v>
      </c>
      <c r="AW179" t="s">
        <v>127</v>
      </c>
      <c r="AX179" t="s">
        <v>127</v>
      </c>
      <c r="AY179" t="s">
        <v>127</v>
      </c>
      <c r="AZ179" t="s">
        <v>127</v>
      </c>
      <c r="BA179" t="s">
        <v>127</v>
      </c>
      <c r="BB179" t="s">
        <v>127</v>
      </c>
      <c r="BC179" t="s">
        <v>127</v>
      </c>
      <c r="BD179" t="s">
        <v>127</v>
      </c>
      <c r="BE179" t="s">
        <v>127</v>
      </c>
      <c r="BF179" t="s">
        <v>127</v>
      </c>
      <c r="BG179" t="s">
        <v>127</v>
      </c>
      <c r="BH179" t="s">
        <v>127</v>
      </c>
      <c r="BI179" t="s">
        <v>127</v>
      </c>
      <c r="BJ179" t="s">
        <v>127</v>
      </c>
      <c r="BK179" t="s">
        <v>127</v>
      </c>
      <c r="BL179" t="s">
        <v>127</v>
      </c>
      <c r="BM179" t="s">
        <v>127</v>
      </c>
    </row>
    <row r="180" spans="1:65" x14ac:dyDescent="0.25">
      <c r="A180" t="s">
        <v>478</v>
      </c>
      <c r="B180" t="s">
        <v>479</v>
      </c>
      <c r="C180">
        <v>686</v>
      </c>
      <c r="D180">
        <v>194</v>
      </c>
      <c r="E180">
        <v>0.28279880000000002</v>
      </c>
      <c r="F180">
        <v>105</v>
      </c>
      <c r="G180">
        <v>0.54123710000000003</v>
      </c>
      <c r="H180">
        <v>29</v>
      </c>
      <c r="I180">
        <v>0.14948449999999999</v>
      </c>
      <c r="J180">
        <v>29</v>
      </c>
      <c r="K180">
        <v>1</v>
      </c>
      <c r="L180">
        <v>409</v>
      </c>
      <c r="M180">
        <v>109</v>
      </c>
      <c r="N180">
        <v>0.26650370000000001</v>
      </c>
      <c r="O180">
        <v>62</v>
      </c>
      <c r="P180">
        <v>0.56880730000000002</v>
      </c>
      <c r="Q180">
        <v>15</v>
      </c>
      <c r="R180">
        <v>0.13761470000000001</v>
      </c>
      <c r="S180">
        <v>15</v>
      </c>
      <c r="T180">
        <v>1</v>
      </c>
      <c r="U180">
        <v>372</v>
      </c>
      <c r="V180">
        <v>56</v>
      </c>
      <c r="W180">
        <v>0.15053759999999999</v>
      </c>
      <c r="X180">
        <v>56</v>
      </c>
      <c r="Y180">
        <v>1</v>
      </c>
      <c r="Z180">
        <v>4</v>
      </c>
      <c r="AA180">
        <v>7.1428599999999995E-2</v>
      </c>
      <c r="AB180">
        <v>4</v>
      </c>
      <c r="AC180">
        <v>1</v>
      </c>
      <c r="AD180">
        <v>37</v>
      </c>
      <c r="AE180">
        <v>6</v>
      </c>
      <c r="AF180">
        <v>0.16216220000000001</v>
      </c>
      <c r="AG180">
        <v>6</v>
      </c>
      <c r="AH180">
        <v>1</v>
      </c>
      <c r="AI180">
        <v>1</v>
      </c>
      <c r="AJ180">
        <v>0.1666667</v>
      </c>
      <c r="AK180">
        <v>1</v>
      </c>
      <c r="AL180">
        <v>1</v>
      </c>
      <c r="AM180">
        <v>277</v>
      </c>
      <c r="AN180">
        <v>85</v>
      </c>
      <c r="AO180">
        <v>0.3068592</v>
      </c>
      <c r="AP180">
        <v>43</v>
      </c>
      <c r="AQ180">
        <v>0.50588239999999995</v>
      </c>
      <c r="AR180">
        <v>14</v>
      </c>
      <c r="AS180">
        <v>0.16470589999999999</v>
      </c>
      <c r="AT180">
        <v>14</v>
      </c>
      <c r="AU180">
        <v>1</v>
      </c>
      <c r="AV180">
        <v>263</v>
      </c>
      <c r="AW180" t="s">
        <v>127</v>
      </c>
      <c r="AX180" t="s">
        <v>127</v>
      </c>
      <c r="AY180" t="s">
        <v>127</v>
      </c>
      <c r="AZ180" t="s">
        <v>127</v>
      </c>
      <c r="BA180" t="s">
        <v>127</v>
      </c>
      <c r="BB180">
        <v>0.24390239999999999</v>
      </c>
      <c r="BC180" t="s">
        <v>127</v>
      </c>
      <c r="BD180">
        <v>1</v>
      </c>
      <c r="BE180">
        <v>14</v>
      </c>
      <c r="BF180" t="s">
        <v>127</v>
      </c>
      <c r="BG180" t="s">
        <v>127</v>
      </c>
      <c r="BH180" t="s">
        <v>127</v>
      </c>
      <c r="BI180" t="s">
        <v>127</v>
      </c>
      <c r="BJ180">
        <v>0</v>
      </c>
      <c r="BK180" t="s">
        <v>127</v>
      </c>
      <c r="BL180">
        <v>0</v>
      </c>
      <c r="BM180" t="s">
        <v>127</v>
      </c>
    </row>
    <row r="181" spans="1:65" x14ac:dyDescent="0.25">
      <c r="A181" t="s">
        <v>480</v>
      </c>
      <c r="B181" t="s">
        <v>481</v>
      </c>
      <c r="C181">
        <v>729</v>
      </c>
      <c r="D181">
        <v>174</v>
      </c>
      <c r="E181">
        <v>0.23868310000000001</v>
      </c>
      <c r="F181">
        <v>132</v>
      </c>
      <c r="G181">
        <v>0.75862070000000004</v>
      </c>
      <c r="H181">
        <v>167</v>
      </c>
      <c r="I181">
        <v>0.95977009999999996</v>
      </c>
      <c r="J181">
        <v>132</v>
      </c>
      <c r="K181">
        <v>0.79041919999999999</v>
      </c>
      <c r="L181">
        <v>414</v>
      </c>
      <c r="M181">
        <v>100</v>
      </c>
      <c r="N181">
        <v>0.24154590000000001</v>
      </c>
      <c r="O181">
        <v>75</v>
      </c>
      <c r="P181">
        <v>0.75</v>
      </c>
      <c r="Q181">
        <v>94</v>
      </c>
      <c r="R181">
        <v>0.94</v>
      </c>
      <c r="S181">
        <v>76</v>
      </c>
      <c r="T181">
        <v>0.80851059999999997</v>
      </c>
      <c r="U181">
        <v>384</v>
      </c>
      <c r="V181" t="s">
        <v>127</v>
      </c>
      <c r="W181" t="s">
        <v>127</v>
      </c>
      <c r="X181" t="s">
        <v>127</v>
      </c>
      <c r="Y181" t="s">
        <v>127</v>
      </c>
      <c r="Z181" t="s">
        <v>127</v>
      </c>
      <c r="AA181" t="s">
        <v>127</v>
      </c>
      <c r="AB181" t="s">
        <v>127</v>
      </c>
      <c r="AC181" t="s">
        <v>127</v>
      </c>
      <c r="AD181">
        <v>30</v>
      </c>
      <c r="AE181" t="s">
        <v>127</v>
      </c>
      <c r="AF181" t="s">
        <v>127</v>
      </c>
      <c r="AG181" t="s">
        <v>127</v>
      </c>
      <c r="AH181" t="s">
        <v>127</v>
      </c>
      <c r="AI181" t="s">
        <v>127</v>
      </c>
      <c r="AJ181" t="s">
        <v>127</v>
      </c>
      <c r="AK181" t="s">
        <v>127</v>
      </c>
      <c r="AL181" t="s">
        <v>127</v>
      </c>
      <c r="AM181">
        <v>315</v>
      </c>
      <c r="AN181">
        <v>74</v>
      </c>
      <c r="AO181">
        <v>0.23492060000000001</v>
      </c>
      <c r="AP181">
        <v>57</v>
      </c>
      <c r="AQ181">
        <v>0.77027029999999996</v>
      </c>
      <c r="AR181">
        <v>73</v>
      </c>
      <c r="AS181">
        <v>0.98648650000000004</v>
      </c>
      <c r="AT181">
        <v>56</v>
      </c>
      <c r="AU181">
        <v>0.76712329999999995</v>
      </c>
      <c r="AV181">
        <v>285</v>
      </c>
      <c r="AW181" t="s">
        <v>127</v>
      </c>
      <c r="AX181" t="s">
        <v>127</v>
      </c>
      <c r="AY181" t="s">
        <v>127</v>
      </c>
      <c r="AZ181" t="s">
        <v>127</v>
      </c>
      <c r="BA181" t="s">
        <v>127</v>
      </c>
      <c r="BB181" t="s">
        <v>127</v>
      </c>
      <c r="BC181" t="s">
        <v>127</v>
      </c>
      <c r="BD181" t="s">
        <v>127</v>
      </c>
      <c r="BE181">
        <v>30</v>
      </c>
      <c r="BF181" t="s">
        <v>127</v>
      </c>
      <c r="BG181" t="s">
        <v>127</v>
      </c>
      <c r="BH181" t="s">
        <v>127</v>
      </c>
      <c r="BI181" t="s">
        <v>127</v>
      </c>
      <c r="BJ181" t="s">
        <v>127</v>
      </c>
      <c r="BK181" t="s">
        <v>127</v>
      </c>
      <c r="BL181" t="s">
        <v>127</v>
      </c>
      <c r="BM181" t="s">
        <v>127</v>
      </c>
    </row>
    <row r="182" spans="1:65" x14ac:dyDescent="0.25">
      <c r="A182" t="s">
        <v>482</v>
      </c>
      <c r="B182" t="s">
        <v>483</v>
      </c>
      <c r="C182">
        <v>547</v>
      </c>
      <c r="D182">
        <v>221</v>
      </c>
      <c r="E182">
        <v>0.40402189999999999</v>
      </c>
      <c r="F182">
        <v>92</v>
      </c>
      <c r="G182">
        <v>0.41628959999999998</v>
      </c>
      <c r="H182">
        <v>213</v>
      </c>
      <c r="I182">
        <v>0.96380089999999996</v>
      </c>
      <c r="J182">
        <v>94</v>
      </c>
      <c r="K182">
        <v>0.4413146</v>
      </c>
      <c r="L182">
        <v>304</v>
      </c>
      <c r="M182">
        <v>68</v>
      </c>
      <c r="N182">
        <v>0.2236842</v>
      </c>
      <c r="O182">
        <v>17</v>
      </c>
      <c r="P182">
        <v>0.25</v>
      </c>
      <c r="Q182">
        <v>65</v>
      </c>
      <c r="R182">
        <v>0.95588240000000002</v>
      </c>
      <c r="S182">
        <v>19</v>
      </c>
      <c r="T182">
        <v>0.2923077</v>
      </c>
      <c r="U182">
        <v>260</v>
      </c>
      <c r="V182" t="s">
        <v>127</v>
      </c>
      <c r="W182" t="s">
        <v>127</v>
      </c>
      <c r="X182" t="s">
        <v>127</v>
      </c>
      <c r="Y182" t="s">
        <v>127</v>
      </c>
      <c r="Z182" t="s">
        <v>127</v>
      </c>
      <c r="AA182" t="s">
        <v>127</v>
      </c>
      <c r="AB182">
        <v>5</v>
      </c>
      <c r="AC182" t="s">
        <v>127</v>
      </c>
      <c r="AD182">
        <v>44</v>
      </c>
      <c r="AE182" t="s">
        <v>127</v>
      </c>
      <c r="AF182" t="s">
        <v>127</v>
      </c>
      <c r="AG182" t="s">
        <v>127</v>
      </c>
      <c r="AH182" t="s">
        <v>127</v>
      </c>
      <c r="AI182" t="s">
        <v>127</v>
      </c>
      <c r="AJ182" t="s">
        <v>127</v>
      </c>
      <c r="AK182">
        <v>0</v>
      </c>
      <c r="AL182" t="s">
        <v>127</v>
      </c>
      <c r="AM182">
        <v>243</v>
      </c>
      <c r="AN182">
        <v>153</v>
      </c>
      <c r="AO182">
        <v>0.62962960000000001</v>
      </c>
      <c r="AP182">
        <v>75</v>
      </c>
      <c r="AQ182">
        <v>0.49019610000000002</v>
      </c>
      <c r="AR182">
        <v>148</v>
      </c>
      <c r="AS182">
        <v>0.96732030000000002</v>
      </c>
      <c r="AT182">
        <v>75</v>
      </c>
      <c r="AU182">
        <v>0.50675680000000001</v>
      </c>
      <c r="AV182">
        <v>188</v>
      </c>
      <c r="AW182">
        <v>64</v>
      </c>
      <c r="AX182">
        <v>0.34042549999999999</v>
      </c>
      <c r="AY182">
        <v>64</v>
      </c>
      <c r="AZ182">
        <v>1</v>
      </c>
      <c r="BA182">
        <v>63</v>
      </c>
      <c r="BB182">
        <v>0.984375</v>
      </c>
      <c r="BC182">
        <v>32</v>
      </c>
      <c r="BD182">
        <v>0.50793650000000001</v>
      </c>
      <c r="BE182">
        <v>55</v>
      </c>
      <c r="BF182">
        <v>11</v>
      </c>
      <c r="BG182">
        <v>0.2</v>
      </c>
      <c r="BH182">
        <v>11</v>
      </c>
      <c r="BI182">
        <v>1</v>
      </c>
      <c r="BJ182">
        <v>11</v>
      </c>
      <c r="BK182">
        <v>1</v>
      </c>
      <c r="BL182">
        <v>6</v>
      </c>
      <c r="BM182">
        <v>0.54545449999999995</v>
      </c>
    </row>
    <row r="183" spans="1:65" x14ac:dyDescent="0.25">
      <c r="A183" t="s">
        <v>484</v>
      </c>
      <c r="B183" t="s">
        <v>485</v>
      </c>
      <c r="C183">
        <v>879</v>
      </c>
      <c r="D183">
        <v>0</v>
      </c>
      <c r="E183">
        <v>0</v>
      </c>
      <c r="F183">
        <v>0</v>
      </c>
      <c r="G183">
        <v>0</v>
      </c>
      <c r="H183">
        <v>0</v>
      </c>
      <c r="I183">
        <v>0</v>
      </c>
      <c r="J183">
        <v>0</v>
      </c>
      <c r="K183">
        <v>0</v>
      </c>
      <c r="L183">
        <v>386</v>
      </c>
      <c r="M183">
        <v>0</v>
      </c>
      <c r="N183">
        <v>0</v>
      </c>
      <c r="O183">
        <v>0</v>
      </c>
      <c r="P183">
        <v>0</v>
      </c>
      <c r="Q183">
        <v>0</v>
      </c>
      <c r="R183">
        <v>0</v>
      </c>
      <c r="S183">
        <v>0</v>
      </c>
      <c r="T183">
        <v>0</v>
      </c>
      <c r="U183">
        <v>359</v>
      </c>
      <c r="V183">
        <v>0</v>
      </c>
      <c r="W183">
        <v>0</v>
      </c>
      <c r="X183">
        <v>0</v>
      </c>
      <c r="Y183">
        <v>0</v>
      </c>
      <c r="Z183">
        <v>0</v>
      </c>
      <c r="AA183">
        <v>0</v>
      </c>
      <c r="AB183">
        <v>0</v>
      </c>
      <c r="AC183">
        <v>0</v>
      </c>
      <c r="AD183">
        <v>27</v>
      </c>
      <c r="AE183">
        <v>0</v>
      </c>
      <c r="AF183">
        <v>0</v>
      </c>
      <c r="AG183">
        <v>0</v>
      </c>
      <c r="AH183">
        <v>0</v>
      </c>
      <c r="AI183">
        <v>0</v>
      </c>
      <c r="AJ183">
        <v>0</v>
      </c>
      <c r="AK183">
        <v>0</v>
      </c>
      <c r="AL183">
        <v>0</v>
      </c>
      <c r="AM183">
        <v>493</v>
      </c>
      <c r="AN183">
        <v>0</v>
      </c>
      <c r="AO183">
        <v>0</v>
      </c>
      <c r="AP183">
        <v>0</v>
      </c>
      <c r="AQ183">
        <v>0</v>
      </c>
      <c r="AR183">
        <v>0</v>
      </c>
      <c r="AS183">
        <v>0</v>
      </c>
      <c r="AT183">
        <v>0</v>
      </c>
      <c r="AU183">
        <v>0</v>
      </c>
      <c r="AV183">
        <v>478</v>
      </c>
      <c r="AW183">
        <v>0</v>
      </c>
      <c r="AX183">
        <v>0</v>
      </c>
      <c r="AY183">
        <v>0</v>
      </c>
      <c r="AZ183">
        <v>0</v>
      </c>
      <c r="BA183">
        <v>0</v>
      </c>
      <c r="BB183">
        <v>0</v>
      </c>
      <c r="BC183">
        <v>0</v>
      </c>
      <c r="BD183">
        <v>0</v>
      </c>
      <c r="BE183">
        <v>15</v>
      </c>
      <c r="BF183">
        <v>0</v>
      </c>
      <c r="BG183">
        <v>0</v>
      </c>
      <c r="BH183">
        <v>0</v>
      </c>
      <c r="BI183">
        <v>0</v>
      </c>
      <c r="BJ183">
        <v>0</v>
      </c>
      <c r="BK183">
        <v>0</v>
      </c>
      <c r="BL183">
        <v>0</v>
      </c>
      <c r="BM183">
        <v>0</v>
      </c>
    </row>
    <row r="184" spans="1:65" x14ac:dyDescent="0.25">
      <c r="A184" t="s">
        <v>486</v>
      </c>
      <c r="B184" t="s">
        <v>487</v>
      </c>
      <c r="C184">
        <v>655</v>
      </c>
      <c r="D184">
        <v>510</v>
      </c>
      <c r="E184">
        <v>0.77862600000000004</v>
      </c>
      <c r="F184">
        <v>378</v>
      </c>
      <c r="G184">
        <v>0.74117650000000002</v>
      </c>
      <c r="H184">
        <v>461</v>
      </c>
      <c r="I184">
        <v>0.90392159999999999</v>
      </c>
      <c r="J184">
        <v>271</v>
      </c>
      <c r="K184">
        <v>0.5878525</v>
      </c>
      <c r="L184">
        <v>283</v>
      </c>
      <c r="M184">
        <v>235</v>
      </c>
      <c r="N184">
        <v>0.83038869999999998</v>
      </c>
      <c r="O184">
        <v>159</v>
      </c>
      <c r="P184">
        <v>0.67659570000000002</v>
      </c>
      <c r="Q184">
        <v>228</v>
      </c>
      <c r="R184">
        <v>0.97021279999999999</v>
      </c>
      <c r="S184">
        <v>134</v>
      </c>
      <c r="T184">
        <v>0.58771929999999994</v>
      </c>
      <c r="U184">
        <v>207</v>
      </c>
      <c r="V184">
        <v>112</v>
      </c>
      <c r="W184">
        <v>0.54106279999999995</v>
      </c>
      <c r="X184">
        <v>112</v>
      </c>
      <c r="Y184">
        <v>1</v>
      </c>
      <c r="Z184">
        <v>110</v>
      </c>
      <c r="AA184">
        <v>0.98214290000000004</v>
      </c>
      <c r="AB184">
        <v>72</v>
      </c>
      <c r="AC184">
        <v>0.6545455</v>
      </c>
      <c r="AD184">
        <v>76</v>
      </c>
      <c r="AE184">
        <v>47</v>
      </c>
      <c r="AF184">
        <v>0.61842109999999995</v>
      </c>
      <c r="AG184">
        <v>47</v>
      </c>
      <c r="AH184">
        <v>1</v>
      </c>
      <c r="AI184">
        <v>44</v>
      </c>
      <c r="AJ184">
        <v>0.93617019999999995</v>
      </c>
      <c r="AK184">
        <v>26</v>
      </c>
      <c r="AL184">
        <v>0.59090909999999996</v>
      </c>
      <c r="AM184">
        <v>372</v>
      </c>
      <c r="AN184">
        <v>275</v>
      </c>
      <c r="AO184">
        <v>0.73924730000000005</v>
      </c>
      <c r="AP184">
        <v>219</v>
      </c>
      <c r="AQ184">
        <v>0.79636359999999995</v>
      </c>
      <c r="AR184">
        <v>233</v>
      </c>
      <c r="AS184">
        <v>0.84727269999999999</v>
      </c>
      <c r="AT184">
        <v>137</v>
      </c>
      <c r="AU184">
        <v>0.58798280000000003</v>
      </c>
      <c r="AV184">
        <v>284</v>
      </c>
      <c r="AW184">
        <v>167</v>
      </c>
      <c r="AX184">
        <v>0.5880282</v>
      </c>
      <c r="AY184">
        <v>167</v>
      </c>
      <c r="AZ184">
        <v>1</v>
      </c>
      <c r="BA184">
        <v>134</v>
      </c>
      <c r="BB184">
        <v>0.80239519999999998</v>
      </c>
      <c r="BC184">
        <v>83</v>
      </c>
      <c r="BD184">
        <v>0.61940300000000004</v>
      </c>
      <c r="BE184">
        <v>88</v>
      </c>
      <c r="BF184">
        <v>52</v>
      </c>
      <c r="BG184">
        <v>0.59090909999999996</v>
      </c>
      <c r="BH184">
        <v>52</v>
      </c>
      <c r="BI184">
        <v>1</v>
      </c>
      <c r="BJ184">
        <v>48</v>
      </c>
      <c r="BK184">
        <v>0.92307689999999998</v>
      </c>
      <c r="BL184">
        <v>28</v>
      </c>
      <c r="BM184">
        <v>0.58333330000000005</v>
      </c>
    </row>
    <row r="185" spans="1:65" x14ac:dyDescent="0.25">
      <c r="A185" t="s">
        <v>488</v>
      </c>
      <c r="B185" t="s">
        <v>489</v>
      </c>
      <c r="C185">
        <v>436</v>
      </c>
      <c r="D185">
        <v>488</v>
      </c>
      <c r="E185">
        <v>1.1192660999999999</v>
      </c>
      <c r="F185">
        <v>215</v>
      </c>
      <c r="G185">
        <v>0.44057380000000002</v>
      </c>
      <c r="H185">
        <v>471</v>
      </c>
      <c r="I185">
        <v>0.96516389999999996</v>
      </c>
      <c r="J185">
        <v>279</v>
      </c>
      <c r="K185">
        <v>0.59235669999999996</v>
      </c>
      <c r="L185">
        <v>245</v>
      </c>
      <c r="M185">
        <v>275</v>
      </c>
      <c r="N185">
        <v>1.122449</v>
      </c>
      <c r="O185">
        <v>134</v>
      </c>
      <c r="P185">
        <v>0.4872727</v>
      </c>
      <c r="Q185">
        <v>263</v>
      </c>
      <c r="R185">
        <v>0.95636359999999998</v>
      </c>
      <c r="S185">
        <v>165</v>
      </c>
      <c r="T185">
        <v>0.62737639999999995</v>
      </c>
      <c r="U185" t="s">
        <v>127</v>
      </c>
      <c r="V185" t="s">
        <v>127</v>
      </c>
      <c r="W185" t="s">
        <v>127</v>
      </c>
      <c r="X185" t="s">
        <v>127</v>
      </c>
      <c r="Y185" t="s">
        <v>127</v>
      </c>
      <c r="Z185" t="s">
        <v>127</v>
      </c>
      <c r="AA185" t="s">
        <v>127</v>
      </c>
      <c r="AB185">
        <v>90</v>
      </c>
      <c r="AC185" t="s">
        <v>127</v>
      </c>
      <c r="AD185" t="s">
        <v>127</v>
      </c>
      <c r="AE185" t="s">
        <v>127</v>
      </c>
      <c r="AF185" t="s">
        <v>127</v>
      </c>
      <c r="AG185" t="s">
        <v>127</v>
      </c>
      <c r="AH185" t="s">
        <v>127</v>
      </c>
      <c r="AI185" t="s">
        <v>127</v>
      </c>
      <c r="AJ185" t="s">
        <v>127</v>
      </c>
      <c r="AK185">
        <v>0</v>
      </c>
      <c r="AL185" t="s">
        <v>127</v>
      </c>
      <c r="AM185">
        <v>191</v>
      </c>
      <c r="AN185">
        <v>213</v>
      </c>
      <c r="AO185">
        <v>1.1151831999999999</v>
      </c>
      <c r="AP185">
        <v>81</v>
      </c>
      <c r="AQ185">
        <v>0.3802817</v>
      </c>
      <c r="AR185">
        <v>208</v>
      </c>
      <c r="AS185">
        <v>0.9765258</v>
      </c>
      <c r="AT185">
        <v>114</v>
      </c>
      <c r="AU185">
        <v>0.54807689999999998</v>
      </c>
      <c r="AV185" t="s">
        <v>127</v>
      </c>
      <c r="AW185">
        <v>81</v>
      </c>
      <c r="AX185">
        <v>0.42631580000000002</v>
      </c>
      <c r="AY185" t="s">
        <v>127</v>
      </c>
      <c r="AZ185">
        <v>1</v>
      </c>
      <c r="BA185">
        <v>80</v>
      </c>
      <c r="BB185">
        <v>0.98765429999999999</v>
      </c>
      <c r="BC185">
        <v>61</v>
      </c>
      <c r="BD185">
        <v>0.76249999999999996</v>
      </c>
      <c r="BE185" t="s">
        <v>127</v>
      </c>
      <c r="BF185">
        <v>0</v>
      </c>
      <c r="BG185" t="s">
        <v>127</v>
      </c>
      <c r="BH185">
        <v>0</v>
      </c>
      <c r="BI185">
        <v>0</v>
      </c>
      <c r="BJ185">
        <v>0</v>
      </c>
      <c r="BK185">
        <v>0</v>
      </c>
      <c r="BL185">
        <v>0</v>
      </c>
      <c r="BM185">
        <v>0</v>
      </c>
    </row>
    <row r="186" spans="1:65" x14ac:dyDescent="0.25">
      <c r="A186" t="s">
        <v>490</v>
      </c>
      <c r="B186" t="s">
        <v>491</v>
      </c>
      <c r="C186">
        <v>305</v>
      </c>
      <c r="D186">
        <v>649</v>
      </c>
      <c r="E186">
        <v>2.1278689000000002</v>
      </c>
      <c r="F186">
        <v>95</v>
      </c>
      <c r="G186">
        <v>0.14637900000000001</v>
      </c>
      <c r="H186">
        <v>622</v>
      </c>
      <c r="I186">
        <v>0.95839750000000001</v>
      </c>
      <c r="J186">
        <v>266</v>
      </c>
      <c r="K186">
        <v>0.4276527</v>
      </c>
      <c r="L186">
        <v>181</v>
      </c>
      <c r="M186">
        <v>357</v>
      </c>
      <c r="N186">
        <v>1.9723757</v>
      </c>
      <c r="O186">
        <v>38</v>
      </c>
      <c r="P186">
        <v>0.1064426</v>
      </c>
      <c r="Q186">
        <v>341</v>
      </c>
      <c r="R186">
        <v>0.95518210000000003</v>
      </c>
      <c r="S186">
        <v>149</v>
      </c>
      <c r="T186">
        <v>0.43695010000000001</v>
      </c>
      <c r="U186">
        <v>160</v>
      </c>
      <c r="V186" t="s">
        <v>127</v>
      </c>
      <c r="W186" t="s">
        <v>127</v>
      </c>
      <c r="X186" t="s">
        <v>127</v>
      </c>
      <c r="Y186" t="s">
        <v>127</v>
      </c>
      <c r="Z186" t="s">
        <v>127</v>
      </c>
      <c r="AA186" t="s">
        <v>127</v>
      </c>
      <c r="AB186" t="s">
        <v>127</v>
      </c>
      <c r="AC186" t="s">
        <v>127</v>
      </c>
      <c r="AD186">
        <v>21</v>
      </c>
      <c r="AE186" t="s">
        <v>127</v>
      </c>
      <c r="AF186" t="s">
        <v>127</v>
      </c>
      <c r="AG186" t="s">
        <v>127</v>
      </c>
      <c r="AH186" t="s">
        <v>127</v>
      </c>
      <c r="AI186" t="s">
        <v>127</v>
      </c>
      <c r="AJ186" t="s">
        <v>127</v>
      </c>
      <c r="AK186" t="s">
        <v>127</v>
      </c>
      <c r="AL186" t="s">
        <v>127</v>
      </c>
      <c r="AM186">
        <v>124</v>
      </c>
      <c r="AN186">
        <v>292</v>
      </c>
      <c r="AO186">
        <v>2.3548387000000002</v>
      </c>
      <c r="AP186">
        <v>57</v>
      </c>
      <c r="AQ186">
        <v>0.1952055</v>
      </c>
      <c r="AR186">
        <v>281</v>
      </c>
      <c r="AS186">
        <v>0.96232879999999998</v>
      </c>
      <c r="AT186">
        <v>117</v>
      </c>
      <c r="AU186">
        <v>0.41637010000000002</v>
      </c>
      <c r="AV186">
        <v>116</v>
      </c>
      <c r="AW186" t="s">
        <v>127</v>
      </c>
      <c r="AX186" t="s">
        <v>127</v>
      </c>
      <c r="AY186" t="s">
        <v>127</v>
      </c>
      <c r="AZ186" t="s">
        <v>127</v>
      </c>
      <c r="BA186" t="s">
        <v>127</v>
      </c>
      <c r="BB186" t="s">
        <v>127</v>
      </c>
      <c r="BC186" t="s">
        <v>127</v>
      </c>
      <c r="BD186" t="s">
        <v>127</v>
      </c>
      <c r="BE186">
        <v>8</v>
      </c>
      <c r="BF186" t="s">
        <v>127</v>
      </c>
      <c r="BG186" t="s">
        <v>127</v>
      </c>
      <c r="BH186" t="s">
        <v>127</v>
      </c>
      <c r="BI186" t="s">
        <v>127</v>
      </c>
      <c r="BJ186" t="s">
        <v>127</v>
      </c>
      <c r="BK186" t="s">
        <v>127</v>
      </c>
      <c r="BL186" t="s">
        <v>127</v>
      </c>
      <c r="BM186" t="s">
        <v>127</v>
      </c>
    </row>
    <row r="187" spans="1:65" x14ac:dyDescent="0.25">
      <c r="A187" t="s">
        <v>492</v>
      </c>
      <c r="B187" t="s">
        <v>493</v>
      </c>
      <c r="C187">
        <v>35</v>
      </c>
      <c r="D187">
        <v>67</v>
      </c>
      <c r="E187">
        <v>1.9142857</v>
      </c>
      <c r="F187">
        <v>43</v>
      </c>
      <c r="G187">
        <v>0.641791</v>
      </c>
      <c r="H187">
        <v>64</v>
      </c>
      <c r="I187">
        <v>0.95522390000000001</v>
      </c>
      <c r="J187">
        <v>40</v>
      </c>
      <c r="K187">
        <v>0.625</v>
      </c>
      <c r="L187">
        <v>15</v>
      </c>
      <c r="M187">
        <v>24</v>
      </c>
      <c r="N187">
        <v>1.6</v>
      </c>
      <c r="O187">
        <v>16</v>
      </c>
      <c r="P187">
        <v>0.66666669999999995</v>
      </c>
      <c r="Q187">
        <v>23</v>
      </c>
      <c r="R187">
        <v>0.95833330000000005</v>
      </c>
      <c r="S187">
        <v>18</v>
      </c>
      <c r="T187">
        <v>0.78260870000000005</v>
      </c>
      <c r="U187">
        <v>15</v>
      </c>
      <c r="V187">
        <v>16</v>
      </c>
      <c r="W187">
        <v>1.0666667000000001</v>
      </c>
      <c r="X187">
        <v>16</v>
      </c>
      <c r="Y187">
        <v>1</v>
      </c>
      <c r="Z187">
        <v>16</v>
      </c>
      <c r="AA187">
        <v>1</v>
      </c>
      <c r="AB187">
        <v>12</v>
      </c>
      <c r="AC187">
        <v>0.75</v>
      </c>
      <c r="AD187">
        <v>0</v>
      </c>
      <c r="AE187">
        <v>0</v>
      </c>
      <c r="AF187">
        <v>0</v>
      </c>
      <c r="AG187">
        <v>0</v>
      </c>
      <c r="AH187">
        <v>0</v>
      </c>
      <c r="AI187">
        <v>0</v>
      </c>
      <c r="AJ187">
        <v>0</v>
      </c>
      <c r="AK187">
        <v>0</v>
      </c>
      <c r="AL187">
        <v>0</v>
      </c>
      <c r="AM187">
        <v>20</v>
      </c>
      <c r="AN187">
        <v>43</v>
      </c>
      <c r="AO187">
        <v>2.15</v>
      </c>
      <c r="AP187">
        <v>27</v>
      </c>
      <c r="AQ187">
        <v>0.62790699999999999</v>
      </c>
      <c r="AR187">
        <v>41</v>
      </c>
      <c r="AS187">
        <v>0.95348840000000001</v>
      </c>
      <c r="AT187">
        <v>22</v>
      </c>
      <c r="AU187">
        <v>0.53658539999999999</v>
      </c>
      <c r="AV187">
        <v>20</v>
      </c>
      <c r="AW187">
        <v>27</v>
      </c>
      <c r="AX187">
        <v>1.35</v>
      </c>
      <c r="AY187">
        <v>27</v>
      </c>
      <c r="AZ187">
        <v>1</v>
      </c>
      <c r="BA187">
        <v>26</v>
      </c>
      <c r="BB187">
        <v>0.96296300000000001</v>
      </c>
      <c r="BC187">
        <v>17</v>
      </c>
      <c r="BD187">
        <v>0.65384620000000004</v>
      </c>
      <c r="BE187">
        <v>0</v>
      </c>
      <c r="BF187">
        <v>0</v>
      </c>
      <c r="BG187">
        <v>0</v>
      </c>
      <c r="BH187">
        <v>0</v>
      </c>
      <c r="BI187">
        <v>0</v>
      </c>
      <c r="BJ187">
        <v>0</v>
      </c>
      <c r="BK187">
        <v>0</v>
      </c>
      <c r="BL187">
        <v>0</v>
      </c>
      <c r="BM187">
        <v>0</v>
      </c>
    </row>
    <row r="188" spans="1:65" x14ac:dyDescent="0.25">
      <c r="A188" t="s">
        <v>494</v>
      </c>
      <c r="B188" t="s">
        <v>495</v>
      </c>
      <c r="C188">
        <v>228</v>
      </c>
      <c r="D188">
        <v>107</v>
      </c>
      <c r="E188">
        <v>0.4692982</v>
      </c>
      <c r="F188">
        <v>59</v>
      </c>
      <c r="G188">
        <v>0.5514019</v>
      </c>
      <c r="H188">
        <v>106</v>
      </c>
      <c r="I188">
        <v>0.99065420000000004</v>
      </c>
      <c r="J188">
        <v>6</v>
      </c>
      <c r="K188">
        <v>5.6603800000000003E-2</v>
      </c>
      <c r="L188">
        <v>120</v>
      </c>
      <c r="M188">
        <v>58</v>
      </c>
      <c r="N188">
        <v>0.48333330000000002</v>
      </c>
      <c r="O188">
        <v>31</v>
      </c>
      <c r="P188">
        <v>0.53448280000000004</v>
      </c>
      <c r="Q188">
        <v>57</v>
      </c>
      <c r="R188">
        <v>0.98275860000000004</v>
      </c>
      <c r="S188">
        <v>4</v>
      </c>
      <c r="T188">
        <v>7.0175399999999999E-2</v>
      </c>
      <c r="U188">
        <v>109</v>
      </c>
      <c r="V188" t="s">
        <v>127</v>
      </c>
      <c r="W188" t="s">
        <v>127</v>
      </c>
      <c r="X188" t="s">
        <v>127</v>
      </c>
      <c r="Y188" t="s">
        <v>127</v>
      </c>
      <c r="Z188" t="s">
        <v>127</v>
      </c>
      <c r="AA188" t="s">
        <v>127</v>
      </c>
      <c r="AB188">
        <v>3</v>
      </c>
      <c r="AC188" t="s">
        <v>127</v>
      </c>
      <c r="AD188">
        <v>11</v>
      </c>
      <c r="AE188" t="s">
        <v>127</v>
      </c>
      <c r="AF188" t="s">
        <v>127</v>
      </c>
      <c r="AG188" t="s">
        <v>127</v>
      </c>
      <c r="AH188" t="s">
        <v>127</v>
      </c>
      <c r="AI188" t="s">
        <v>127</v>
      </c>
      <c r="AJ188" t="s">
        <v>127</v>
      </c>
      <c r="AK188">
        <v>0</v>
      </c>
      <c r="AL188" t="s">
        <v>127</v>
      </c>
      <c r="AM188">
        <v>108</v>
      </c>
      <c r="AN188">
        <v>49</v>
      </c>
      <c r="AO188">
        <v>0.45370369999999999</v>
      </c>
      <c r="AP188">
        <v>28</v>
      </c>
      <c r="AQ188">
        <v>0.57142859999999995</v>
      </c>
      <c r="AR188">
        <v>49</v>
      </c>
      <c r="AS188">
        <v>1</v>
      </c>
      <c r="AT188">
        <v>2</v>
      </c>
      <c r="AU188">
        <v>4.08163E-2</v>
      </c>
      <c r="AV188">
        <v>92</v>
      </c>
      <c r="AW188" t="s">
        <v>127</v>
      </c>
      <c r="AX188" t="s">
        <v>127</v>
      </c>
      <c r="AY188" t="s">
        <v>127</v>
      </c>
      <c r="AZ188" t="s">
        <v>127</v>
      </c>
      <c r="BA188" t="s">
        <v>127</v>
      </c>
      <c r="BB188" t="s">
        <v>127</v>
      </c>
      <c r="BC188" t="s">
        <v>127</v>
      </c>
      <c r="BD188">
        <v>7.6923099999999994E-2</v>
      </c>
      <c r="BE188">
        <v>16</v>
      </c>
      <c r="BF188" t="s">
        <v>127</v>
      </c>
      <c r="BG188" t="s">
        <v>127</v>
      </c>
      <c r="BH188" t="s">
        <v>127</v>
      </c>
      <c r="BI188" t="s">
        <v>127</v>
      </c>
      <c r="BJ188" t="s">
        <v>127</v>
      </c>
      <c r="BK188" t="s">
        <v>127</v>
      </c>
      <c r="BL188">
        <v>0</v>
      </c>
      <c r="BM188" t="s">
        <v>127</v>
      </c>
    </row>
    <row r="189" spans="1:65" x14ac:dyDescent="0.25">
      <c r="A189" t="s">
        <v>496</v>
      </c>
      <c r="B189" t="s">
        <v>497</v>
      </c>
      <c r="C189">
        <v>391</v>
      </c>
      <c r="D189">
        <v>358</v>
      </c>
      <c r="E189">
        <v>0.915601</v>
      </c>
      <c r="F189">
        <v>302</v>
      </c>
      <c r="G189">
        <v>0.84357539999999998</v>
      </c>
      <c r="H189">
        <v>308</v>
      </c>
      <c r="I189">
        <v>0.86033519999999997</v>
      </c>
      <c r="J189">
        <v>133</v>
      </c>
      <c r="K189">
        <v>0.43181819999999999</v>
      </c>
      <c r="L189">
        <v>142</v>
      </c>
      <c r="M189">
        <v>135</v>
      </c>
      <c r="N189">
        <v>0.9507042</v>
      </c>
      <c r="O189">
        <v>111</v>
      </c>
      <c r="P189">
        <v>0.82222220000000001</v>
      </c>
      <c r="Q189">
        <v>129</v>
      </c>
      <c r="R189">
        <v>0.95555559999999995</v>
      </c>
      <c r="S189">
        <v>50</v>
      </c>
      <c r="T189">
        <v>0.38759690000000002</v>
      </c>
      <c r="U189">
        <v>136</v>
      </c>
      <c r="V189" t="s">
        <v>127</v>
      </c>
      <c r="W189" t="s">
        <v>127</v>
      </c>
      <c r="X189" t="s">
        <v>127</v>
      </c>
      <c r="Y189" t="s">
        <v>127</v>
      </c>
      <c r="Z189" t="s">
        <v>127</v>
      </c>
      <c r="AA189" t="s">
        <v>127</v>
      </c>
      <c r="AB189" t="s">
        <v>127</v>
      </c>
      <c r="AC189" t="s">
        <v>127</v>
      </c>
      <c r="AD189">
        <v>6</v>
      </c>
      <c r="AE189" t="s">
        <v>127</v>
      </c>
      <c r="AF189" t="s">
        <v>127</v>
      </c>
      <c r="AG189" t="s">
        <v>127</v>
      </c>
      <c r="AH189" t="s">
        <v>127</v>
      </c>
      <c r="AI189" t="s">
        <v>127</v>
      </c>
      <c r="AJ189" t="s">
        <v>127</v>
      </c>
      <c r="AK189" t="s">
        <v>127</v>
      </c>
      <c r="AL189" t="s">
        <v>127</v>
      </c>
      <c r="AM189">
        <v>249</v>
      </c>
      <c r="AN189">
        <v>223</v>
      </c>
      <c r="AO189">
        <v>0.89558230000000005</v>
      </c>
      <c r="AP189">
        <v>191</v>
      </c>
      <c r="AQ189">
        <v>0.85650219999999999</v>
      </c>
      <c r="AR189">
        <v>179</v>
      </c>
      <c r="AS189">
        <v>0.80269060000000003</v>
      </c>
      <c r="AT189">
        <v>83</v>
      </c>
      <c r="AU189">
        <v>0.46368720000000002</v>
      </c>
      <c r="AV189">
        <v>241</v>
      </c>
      <c r="AW189">
        <v>183</v>
      </c>
      <c r="AX189">
        <v>0.75933609999999996</v>
      </c>
      <c r="AY189">
        <v>183</v>
      </c>
      <c r="AZ189">
        <v>1</v>
      </c>
      <c r="BA189">
        <v>148</v>
      </c>
      <c r="BB189">
        <v>0.8087432</v>
      </c>
      <c r="BC189">
        <v>71</v>
      </c>
      <c r="BD189">
        <v>0.47972969999999998</v>
      </c>
      <c r="BE189">
        <v>8</v>
      </c>
      <c r="BF189">
        <v>8</v>
      </c>
      <c r="BG189">
        <v>1</v>
      </c>
      <c r="BH189">
        <v>8</v>
      </c>
      <c r="BI189">
        <v>1</v>
      </c>
      <c r="BJ189">
        <v>7</v>
      </c>
      <c r="BK189">
        <v>0.875</v>
      </c>
      <c r="BL189">
        <v>4</v>
      </c>
      <c r="BM189">
        <v>0.57142859999999995</v>
      </c>
    </row>
    <row r="190" spans="1:65" x14ac:dyDescent="0.25">
      <c r="A190" t="s">
        <v>498</v>
      </c>
      <c r="B190" t="s">
        <v>499</v>
      </c>
      <c r="C190">
        <v>191</v>
      </c>
      <c r="D190">
        <v>126</v>
      </c>
      <c r="E190">
        <v>0.65968590000000005</v>
      </c>
      <c r="F190">
        <v>88</v>
      </c>
      <c r="G190">
        <v>0.6984127</v>
      </c>
      <c r="H190">
        <v>122</v>
      </c>
      <c r="I190">
        <v>0.96825399999999995</v>
      </c>
      <c r="J190">
        <v>92</v>
      </c>
      <c r="K190">
        <v>0.75409839999999995</v>
      </c>
      <c r="L190">
        <v>89</v>
      </c>
      <c r="M190">
        <v>71</v>
      </c>
      <c r="N190">
        <v>0.79775280000000004</v>
      </c>
      <c r="O190">
        <v>47</v>
      </c>
      <c r="P190">
        <v>0.6619718</v>
      </c>
      <c r="Q190">
        <v>69</v>
      </c>
      <c r="R190">
        <v>0.971831</v>
      </c>
      <c r="S190">
        <v>53</v>
      </c>
      <c r="T190">
        <v>0.76811589999999996</v>
      </c>
      <c r="U190">
        <v>89</v>
      </c>
      <c r="V190">
        <v>47</v>
      </c>
      <c r="W190">
        <v>0.5280899</v>
      </c>
      <c r="X190">
        <v>47</v>
      </c>
      <c r="Y190">
        <v>1</v>
      </c>
      <c r="Z190">
        <v>46</v>
      </c>
      <c r="AA190">
        <v>0.97872340000000002</v>
      </c>
      <c r="AB190">
        <v>38</v>
      </c>
      <c r="AC190">
        <v>0.82608700000000002</v>
      </c>
      <c r="AD190">
        <v>0</v>
      </c>
      <c r="AE190">
        <v>0</v>
      </c>
      <c r="AF190">
        <v>0</v>
      </c>
      <c r="AG190">
        <v>0</v>
      </c>
      <c r="AH190">
        <v>0</v>
      </c>
      <c r="AI190">
        <v>0</v>
      </c>
      <c r="AJ190">
        <v>0</v>
      </c>
      <c r="AK190">
        <v>0</v>
      </c>
      <c r="AL190">
        <v>0</v>
      </c>
      <c r="AM190">
        <v>102</v>
      </c>
      <c r="AN190">
        <v>55</v>
      </c>
      <c r="AO190">
        <v>0.53921569999999996</v>
      </c>
      <c r="AP190">
        <v>41</v>
      </c>
      <c r="AQ190">
        <v>0.74545450000000002</v>
      </c>
      <c r="AR190">
        <v>53</v>
      </c>
      <c r="AS190">
        <v>0.96363639999999995</v>
      </c>
      <c r="AT190">
        <v>39</v>
      </c>
      <c r="AU190">
        <v>0.73584910000000003</v>
      </c>
      <c r="AV190">
        <v>102</v>
      </c>
      <c r="AW190">
        <v>41</v>
      </c>
      <c r="AX190">
        <v>0.40196080000000001</v>
      </c>
      <c r="AY190">
        <v>41</v>
      </c>
      <c r="AZ190">
        <v>1</v>
      </c>
      <c r="BA190">
        <v>39</v>
      </c>
      <c r="BB190">
        <v>0.9512195</v>
      </c>
      <c r="BC190">
        <v>30</v>
      </c>
      <c r="BD190">
        <v>0.76923079999999999</v>
      </c>
      <c r="BE190">
        <v>0</v>
      </c>
      <c r="BF190">
        <v>0</v>
      </c>
      <c r="BG190">
        <v>0</v>
      </c>
      <c r="BH190">
        <v>0</v>
      </c>
      <c r="BI190">
        <v>0</v>
      </c>
      <c r="BJ190">
        <v>0</v>
      </c>
      <c r="BK190">
        <v>0</v>
      </c>
      <c r="BL190">
        <v>0</v>
      </c>
      <c r="BM190">
        <v>0</v>
      </c>
    </row>
    <row r="191" spans="1:65" x14ac:dyDescent="0.25">
      <c r="A191" t="s">
        <v>500</v>
      </c>
      <c r="B191" t="s">
        <v>501</v>
      </c>
      <c r="C191">
        <v>142</v>
      </c>
      <c r="D191">
        <v>85</v>
      </c>
      <c r="E191">
        <v>0.59859150000000005</v>
      </c>
      <c r="F191">
        <v>54</v>
      </c>
      <c r="G191">
        <v>0.63529409999999997</v>
      </c>
      <c r="H191">
        <v>83</v>
      </c>
      <c r="I191">
        <v>0.97647059999999997</v>
      </c>
      <c r="J191">
        <v>48</v>
      </c>
      <c r="K191">
        <v>0.57831330000000003</v>
      </c>
      <c r="L191">
        <v>71</v>
      </c>
      <c r="M191">
        <v>51</v>
      </c>
      <c r="N191">
        <v>0.71830989999999995</v>
      </c>
      <c r="O191">
        <v>33</v>
      </c>
      <c r="P191">
        <v>0.64705880000000005</v>
      </c>
      <c r="Q191">
        <v>50</v>
      </c>
      <c r="R191">
        <v>0.98039220000000005</v>
      </c>
      <c r="S191">
        <v>27</v>
      </c>
      <c r="T191">
        <v>0.54</v>
      </c>
      <c r="U191">
        <v>71</v>
      </c>
      <c r="V191">
        <v>33</v>
      </c>
      <c r="W191">
        <v>0.4647887</v>
      </c>
      <c r="X191">
        <v>33</v>
      </c>
      <c r="Y191">
        <v>1</v>
      </c>
      <c r="Z191">
        <v>32</v>
      </c>
      <c r="AA191">
        <v>0.96969700000000003</v>
      </c>
      <c r="AB191">
        <v>19</v>
      </c>
      <c r="AC191">
        <v>0.59375</v>
      </c>
      <c r="AD191">
        <v>0</v>
      </c>
      <c r="AE191">
        <v>0</v>
      </c>
      <c r="AF191">
        <v>0</v>
      </c>
      <c r="AG191">
        <v>0</v>
      </c>
      <c r="AH191">
        <v>0</v>
      </c>
      <c r="AI191">
        <v>0</v>
      </c>
      <c r="AJ191">
        <v>0</v>
      </c>
      <c r="AK191">
        <v>0</v>
      </c>
      <c r="AL191">
        <v>0</v>
      </c>
      <c r="AM191">
        <v>71</v>
      </c>
      <c r="AN191">
        <v>34</v>
      </c>
      <c r="AO191">
        <v>0.4788732</v>
      </c>
      <c r="AP191">
        <v>21</v>
      </c>
      <c r="AQ191">
        <v>0.6176471</v>
      </c>
      <c r="AR191">
        <v>33</v>
      </c>
      <c r="AS191">
        <v>0.97058820000000001</v>
      </c>
      <c r="AT191">
        <v>21</v>
      </c>
      <c r="AU191">
        <v>0.63636360000000003</v>
      </c>
      <c r="AV191">
        <v>71</v>
      </c>
      <c r="AW191">
        <v>21</v>
      </c>
      <c r="AX191">
        <v>0.2957746</v>
      </c>
      <c r="AY191">
        <v>21</v>
      </c>
      <c r="AZ191">
        <v>1</v>
      </c>
      <c r="BA191">
        <v>21</v>
      </c>
      <c r="BB191">
        <v>1</v>
      </c>
      <c r="BC191">
        <v>14</v>
      </c>
      <c r="BD191">
        <v>0.66666669999999995</v>
      </c>
      <c r="BE191">
        <v>0</v>
      </c>
      <c r="BF191">
        <v>0</v>
      </c>
      <c r="BG191">
        <v>0</v>
      </c>
      <c r="BH191">
        <v>0</v>
      </c>
      <c r="BI191">
        <v>0</v>
      </c>
      <c r="BJ191">
        <v>0</v>
      </c>
      <c r="BK191">
        <v>0</v>
      </c>
      <c r="BL191">
        <v>0</v>
      </c>
      <c r="BM191">
        <v>0</v>
      </c>
    </row>
    <row r="192" spans="1:65" x14ac:dyDescent="0.25">
      <c r="A192" t="s">
        <v>502</v>
      </c>
      <c r="B192" t="s">
        <v>503</v>
      </c>
      <c r="C192">
        <v>128</v>
      </c>
      <c r="D192">
        <v>115</v>
      </c>
      <c r="E192">
        <v>0.8984375</v>
      </c>
      <c r="F192">
        <v>0</v>
      </c>
      <c r="G192">
        <v>0</v>
      </c>
      <c r="H192">
        <v>39</v>
      </c>
      <c r="I192">
        <v>0.3391304</v>
      </c>
      <c r="J192">
        <v>39</v>
      </c>
      <c r="K192">
        <v>1</v>
      </c>
      <c r="L192">
        <v>61</v>
      </c>
      <c r="M192">
        <v>52</v>
      </c>
      <c r="N192">
        <v>0.85245899999999997</v>
      </c>
      <c r="O192">
        <v>0</v>
      </c>
      <c r="P192">
        <v>0</v>
      </c>
      <c r="Q192">
        <v>28</v>
      </c>
      <c r="R192">
        <v>0.53846150000000004</v>
      </c>
      <c r="S192">
        <v>28</v>
      </c>
      <c r="T192">
        <v>1</v>
      </c>
      <c r="U192">
        <v>61</v>
      </c>
      <c r="V192">
        <v>0</v>
      </c>
      <c r="W192">
        <v>0</v>
      </c>
      <c r="X192">
        <v>0</v>
      </c>
      <c r="Y192">
        <v>0</v>
      </c>
      <c r="Z192">
        <v>0</v>
      </c>
      <c r="AA192">
        <v>0</v>
      </c>
      <c r="AB192">
        <v>0</v>
      </c>
      <c r="AC192">
        <v>0</v>
      </c>
      <c r="AD192">
        <v>0</v>
      </c>
      <c r="AE192">
        <v>0</v>
      </c>
      <c r="AF192">
        <v>0</v>
      </c>
      <c r="AG192">
        <v>0</v>
      </c>
      <c r="AH192">
        <v>0</v>
      </c>
      <c r="AI192">
        <v>0</v>
      </c>
      <c r="AJ192">
        <v>0</v>
      </c>
      <c r="AK192">
        <v>0</v>
      </c>
      <c r="AL192">
        <v>0</v>
      </c>
      <c r="AM192">
        <v>67</v>
      </c>
      <c r="AN192">
        <v>63</v>
      </c>
      <c r="AO192">
        <v>0.94029850000000004</v>
      </c>
      <c r="AP192">
        <v>0</v>
      </c>
      <c r="AQ192">
        <v>0</v>
      </c>
      <c r="AR192">
        <v>11</v>
      </c>
      <c r="AS192">
        <v>0.17460319999999999</v>
      </c>
      <c r="AT192">
        <v>11</v>
      </c>
      <c r="AU192">
        <v>1</v>
      </c>
      <c r="AV192" t="s">
        <v>127</v>
      </c>
      <c r="AW192">
        <v>0</v>
      </c>
      <c r="AX192">
        <v>0</v>
      </c>
      <c r="AY192" t="s">
        <v>127</v>
      </c>
      <c r="AZ192">
        <v>0</v>
      </c>
      <c r="BA192">
        <v>0</v>
      </c>
      <c r="BB192">
        <v>0</v>
      </c>
      <c r="BC192">
        <v>0</v>
      </c>
      <c r="BD192">
        <v>0</v>
      </c>
      <c r="BE192" t="s">
        <v>127</v>
      </c>
      <c r="BF192">
        <v>0</v>
      </c>
      <c r="BG192" t="s">
        <v>127</v>
      </c>
      <c r="BH192">
        <v>0</v>
      </c>
      <c r="BI192">
        <v>0</v>
      </c>
      <c r="BJ192">
        <v>0</v>
      </c>
      <c r="BK192">
        <v>0</v>
      </c>
      <c r="BL192">
        <v>0</v>
      </c>
      <c r="BM192">
        <v>0</v>
      </c>
    </row>
    <row r="193" spans="1:65" x14ac:dyDescent="0.25">
      <c r="A193" t="s">
        <v>504</v>
      </c>
      <c r="B193" t="s">
        <v>505</v>
      </c>
      <c r="C193">
        <v>0</v>
      </c>
      <c r="D193">
        <v>0</v>
      </c>
      <c r="E193">
        <v>0</v>
      </c>
      <c r="F193">
        <v>0</v>
      </c>
      <c r="G193">
        <v>0</v>
      </c>
      <c r="H193">
        <v>0</v>
      </c>
      <c r="I193">
        <v>0</v>
      </c>
      <c r="J193">
        <v>0</v>
      </c>
      <c r="K193">
        <v>0</v>
      </c>
      <c r="L193" t="s">
        <v>127</v>
      </c>
      <c r="M193">
        <v>0</v>
      </c>
      <c r="N193" t="s">
        <v>127</v>
      </c>
      <c r="O193">
        <v>0</v>
      </c>
      <c r="P193">
        <v>0</v>
      </c>
      <c r="Q193">
        <v>0</v>
      </c>
      <c r="R193">
        <v>0</v>
      </c>
      <c r="S193">
        <v>0</v>
      </c>
      <c r="T193">
        <v>0</v>
      </c>
      <c r="U193" t="s">
        <v>127</v>
      </c>
      <c r="V193">
        <v>0</v>
      </c>
      <c r="W193" t="s">
        <v>127</v>
      </c>
      <c r="X193">
        <v>0</v>
      </c>
      <c r="Y193">
        <v>0</v>
      </c>
      <c r="Z193">
        <v>0</v>
      </c>
      <c r="AA193">
        <v>0</v>
      </c>
      <c r="AB193">
        <v>0</v>
      </c>
      <c r="AC193">
        <v>0</v>
      </c>
      <c r="AD193">
        <v>0</v>
      </c>
      <c r="AE193">
        <v>0</v>
      </c>
      <c r="AF193">
        <v>0</v>
      </c>
      <c r="AG193">
        <v>0</v>
      </c>
      <c r="AH193">
        <v>0</v>
      </c>
      <c r="AI193">
        <v>0</v>
      </c>
      <c r="AJ193">
        <v>0</v>
      </c>
      <c r="AK193">
        <v>0</v>
      </c>
      <c r="AL193">
        <v>0</v>
      </c>
      <c r="AM193" t="s">
        <v>127</v>
      </c>
      <c r="AN193">
        <v>0</v>
      </c>
      <c r="AO193" t="s">
        <v>127</v>
      </c>
      <c r="AP193">
        <v>0</v>
      </c>
      <c r="AQ193">
        <v>0</v>
      </c>
      <c r="AR193">
        <v>0</v>
      </c>
      <c r="AS193">
        <v>0</v>
      </c>
      <c r="AT193">
        <v>0</v>
      </c>
      <c r="AU193">
        <v>0</v>
      </c>
      <c r="AV193" t="s">
        <v>127</v>
      </c>
      <c r="AW193">
        <v>0</v>
      </c>
      <c r="AX193" t="s">
        <v>127</v>
      </c>
      <c r="AY193">
        <v>0</v>
      </c>
      <c r="AZ193">
        <v>0</v>
      </c>
      <c r="BA193">
        <v>0</v>
      </c>
      <c r="BB193">
        <v>0</v>
      </c>
      <c r="BC193">
        <v>0</v>
      </c>
      <c r="BD193">
        <v>0</v>
      </c>
      <c r="BE193">
        <v>0</v>
      </c>
      <c r="BF193">
        <v>0</v>
      </c>
      <c r="BG193">
        <v>0</v>
      </c>
      <c r="BH193">
        <v>0</v>
      </c>
      <c r="BI193">
        <v>0</v>
      </c>
      <c r="BJ193">
        <v>0</v>
      </c>
      <c r="BK193">
        <v>0</v>
      </c>
      <c r="BL193">
        <v>0</v>
      </c>
      <c r="BM193">
        <v>0</v>
      </c>
    </row>
    <row r="194" spans="1:65" x14ac:dyDescent="0.25">
      <c r="A194" t="s">
        <v>506</v>
      </c>
      <c r="B194" t="s">
        <v>507</v>
      </c>
      <c r="C194">
        <v>1652</v>
      </c>
      <c r="D194">
        <v>0</v>
      </c>
      <c r="E194">
        <v>0</v>
      </c>
      <c r="F194">
        <v>0</v>
      </c>
      <c r="G194">
        <v>0</v>
      </c>
      <c r="H194">
        <v>0</v>
      </c>
      <c r="I194">
        <v>0</v>
      </c>
      <c r="J194">
        <v>0</v>
      </c>
      <c r="K194">
        <v>0</v>
      </c>
      <c r="L194">
        <v>809</v>
      </c>
      <c r="M194">
        <v>0</v>
      </c>
      <c r="N194">
        <v>0</v>
      </c>
      <c r="O194">
        <v>0</v>
      </c>
      <c r="P194">
        <v>0</v>
      </c>
      <c r="Q194">
        <v>0</v>
      </c>
      <c r="R194">
        <v>0</v>
      </c>
      <c r="S194">
        <v>0</v>
      </c>
      <c r="T194">
        <v>0</v>
      </c>
      <c r="U194">
        <v>758</v>
      </c>
      <c r="V194">
        <v>0</v>
      </c>
      <c r="W194">
        <v>0</v>
      </c>
      <c r="X194">
        <v>0</v>
      </c>
      <c r="Y194">
        <v>0</v>
      </c>
      <c r="Z194">
        <v>0</v>
      </c>
      <c r="AA194">
        <v>0</v>
      </c>
      <c r="AB194">
        <v>0</v>
      </c>
      <c r="AC194">
        <v>0</v>
      </c>
      <c r="AD194">
        <v>51</v>
      </c>
      <c r="AE194">
        <v>0</v>
      </c>
      <c r="AF194">
        <v>0</v>
      </c>
      <c r="AG194">
        <v>0</v>
      </c>
      <c r="AH194">
        <v>0</v>
      </c>
      <c r="AI194">
        <v>0</v>
      </c>
      <c r="AJ194">
        <v>0</v>
      </c>
      <c r="AK194">
        <v>0</v>
      </c>
      <c r="AL194">
        <v>0</v>
      </c>
      <c r="AM194">
        <v>843</v>
      </c>
      <c r="AN194">
        <v>0</v>
      </c>
      <c r="AO194">
        <v>0</v>
      </c>
      <c r="AP194">
        <v>0</v>
      </c>
      <c r="AQ194">
        <v>0</v>
      </c>
      <c r="AR194">
        <v>0</v>
      </c>
      <c r="AS194">
        <v>0</v>
      </c>
      <c r="AT194">
        <v>0</v>
      </c>
      <c r="AU194">
        <v>0</v>
      </c>
      <c r="AV194">
        <v>796</v>
      </c>
      <c r="AW194">
        <v>0</v>
      </c>
      <c r="AX194">
        <v>0</v>
      </c>
      <c r="AY194">
        <v>0</v>
      </c>
      <c r="AZ194">
        <v>0</v>
      </c>
      <c r="BA194">
        <v>0</v>
      </c>
      <c r="BB194">
        <v>0</v>
      </c>
      <c r="BC194">
        <v>0</v>
      </c>
      <c r="BD194">
        <v>0</v>
      </c>
      <c r="BE194">
        <v>47</v>
      </c>
      <c r="BF194">
        <v>0</v>
      </c>
      <c r="BG194">
        <v>0</v>
      </c>
      <c r="BH194">
        <v>0</v>
      </c>
      <c r="BI194">
        <v>0</v>
      </c>
      <c r="BJ194">
        <v>0</v>
      </c>
      <c r="BK194">
        <v>0</v>
      </c>
      <c r="BL194">
        <v>0</v>
      </c>
      <c r="BM194">
        <v>0</v>
      </c>
    </row>
    <row r="195" spans="1:65" x14ac:dyDescent="0.25">
      <c r="A195" t="s">
        <v>508</v>
      </c>
      <c r="B195" t="s">
        <v>509</v>
      </c>
      <c r="C195">
        <v>571</v>
      </c>
      <c r="D195">
        <v>644</v>
      </c>
      <c r="E195">
        <v>1.1278459000000001</v>
      </c>
      <c r="F195">
        <v>240</v>
      </c>
      <c r="G195">
        <v>0.37267080000000002</v>
      </c>
      <c r="H195">
        <v>610</v>
      </c>
      <c r="I195">
        <v>0.94720499999999996</v>
      </c>
      <c r="J195">
        <v>333</v>
      </c>
      <c r="K195">
        <v>0.54590159999999999</v>
      </c>
      <c r="L195">
        <v>285</v>
      </c>
      <c r="M195">
        <v>338</v>
      </c>
      <c r="N195">
        <v>1.1859649000000001</v>
      </c>
      <c r="O195">
        <v>120</v>
      </c>
      <c r="P195">
        <v>0.3550296</v>
      </c>
      <c r="Q195">
        <v>320</v>
      </c>
      <c r="R195">
        <v>0.94674559999999996</v>
      </c>
      <c r="S195">
        <v>176</v>
      </c>
      <c r="T195">
        <v>0.55000000000000004</v>
      </c>
      <c r="U195">
        <v>269</v>
      </c>
      <c r="V195" t="s">
        <v>127</v>
      </c>
      <c r="W195" t="s">
        <v>127</v>
      </c>
      <c r="X195" t="s">
        <v>127</v>
      </c>
      <c r="Y195" t="s">
        <v>127</v>
      </c>
      <c r="Z195" t="s">
        <v>127</v>
      </c>
      <c r="AA195" t="s">
        <v>127</v>
      </c>
      <c r="AB195">
        <v>86</v>
      </c>
      <c r="AC195" t="s">
        <v>127</v>
      </c>
      <c r="AD195">
        <v>16</v>
      </c>
      <c r="AE195" t="s">
        <v>127</v>
      </c>
      <c r="AF195" t="s">
        <v>127</v>
      </c>
      <c r="AG195" t="s">
        <v>127</v>
      </c>
      <c r="AH195" t="s">
        <v>127</v>
      </c>
      <c r="AI195" t="s">
        <v>127</v>
      </c>
      <c r="AJ195" t="s">
        <v>127</v>
      </c>
      <c r="AK195">
        <v>0</v>
      </c>
      <c r="AL195" t="s">
        <v>127</v>
      </c>
      <c r="AM195">
        <v>286</v>
      </c>
      <c r="AN195">
        <v>306</v>
      </c>
      <c r="AO195">
        <v>1.0699301000000001</v>
      </c>
      <c r="AP195">
        <v>120</v>
      </c>
      <c r="AQ195">
        <v>0.39215689999999997</v>
      </c>
      <c r="AR195">
        <v>290</v>
      </c>
      <c r="AS195">
        <v>0.94771240000000001</v>
      </c>
      <c r="AT195">
        <v>157</v>
      </c>
      <c r="AU195">
        <v>0.54137930000000001</v>
      </c>
      <c r="AV195">
        <v>273</v>
      </c>
      <c r="AW195" t="s">
        <v>127</v>
      </c>
      <c r="AX195" t="s">
        <v>127</v>
      </c>
      <c r="AY195" t="s">
        <v>127</v>
      </c>
      <c r="AZ195" t="s">
        <v>127</v>
      </c>
      <c r="BA195" t="s">
        <v>127</v>
      </c>
      <c r="BB195" t="s">
        <v>127</v>
      </c>
      <c r="BC195" t="s">
        <v>127</v>
      </c>
      <c r="BD195" t="s">
        <v>127</v>
      </c>
      <c r="BE195">
        <v>13</v>
      </c>
      <c r="BF195" t="s">
        <v>127</v>
      </c>
      <c r="BG195" t="s">
        <v>127</v>
      </c>
      <c r="BH195" t="s">
        <v>127</v>
      </c>
      <c r="BI195" t="s">
        <v>127</v>
      </c>
      <c r="BJ195" t="s">
        <v>127</v>
      </c>
      <c r="BK195" t="s">
        <v>127</v>
      </c>
      <c r="BL195" t="s">
        <v>127</v>
      </c>
      <c r="BM195" t="s">
        <v>127</v>
      </c>
    </row>
    <row r="196" spans="1:65" x14ac:dyDescent="0.25">
      <c r="A196" t="s">
        <v>510</v>
      </c>
      <c r="B196" t="s">
        <v>511</v>
      </c>
      <c r="C196">
        <v>54</v>
      </c>
      <c r="D196">
        <v>18</v>
      </c>
      <c r="E196">
        <v>0.3333333</v>
      </c>
      <c r="F196">
        <v>12</v>
      </c>
      <c r="G196">
        <v>0.66666669999999995</v>
      </c>
      <c r="H196">
        <v>18</v>
      </c>
      <c r="I196">
        <v>1</v>
      </c>
      <c r="J196">
        <v>9</v>
      </c>
      <c r="K196">
        <v>0.5</v>
      </c>
      <c r="L196">
        <v>22</v>
      </c>
      <c r="M196">
        <v>8</v>
      </c>
      <c r="N196">
        <v>0.36363640000000003</v>
      </c>
      <c r="O196">
        <v>5</v>
      </c>
      <c r="P196">
        <v>0.625</v>
      </c>
      <c r="Q196">
        <v>8</v>
      </c>
      <c r="R196">
        <v>1</v>
      </c>
      <c r="S196">
        <v>5</v>
      </c>
      <c r="T196">
        <v>0.625</v>
      </c>
      <c r="U196" t="s">
        <v>127</v>
      </c>
      <c r="V196" t="s">
        <v>127</v>
      </c>
      <c r="W196" t="s">
        <v>127</v>
      </c>
      <c r="X196" t="s">
        <v>127</v>
      </c>
      <c r="Y196" t="s">
        <v>127</v>
      </c>
      <c r="Z196" t="s">
        <v>127</v>
      </c>
      <c r="AA196" t="s">
        <v>127</v>
      </c>
      <c r="AB196" t="s">
        <v>127</v>
      </c>
      <c r="AC196" t="s">
        <v>127</v>
      </c>
      <c r="AD196" t="s">
        <v>127</v>
      </c>
      <c r="AE196">
        <v>0</v>
      </c>
      <c r="AF196" t="s">
        <v>127</v>
      </c>
      <c r="AG196">
        <v>0</v>
      </c>
      <c r="AH196">
        <v>0</v>
      </c>
      <c r="AI196">
        <v>0</v>
      </c>
      <c r="AJ196">
        <v>0</v>
      </c>
      <c r="AK196">
        <v>0</v>
      </c>
      <c r="AL196">
        <v>0</v>
      </c>
      <c r="AM196">
        <v>32</v>
      </c>
      <c r="AN196">
        <v>10</v>
      </c>
      <c r="AO196">
        <v>0.3125</v>
      </c>
      <c r="AP196">
        <v>7</v>
      </c>
      <c r="AQ196">
        <v>0.7</v>
      </c>
      <c r="AR196">
        <v>10</v>
      </c>
      <c r="AS196">
        <v>1</v>
      </c>
      <c r="AT196">
        <v>4</v>
      </c>
      <c r="AU196">
        <v>0.4</v>
      </c>
      <c r="AV196">
        <v>32</v>
      </c>
      <c r="AW196">
        <v>7</v>
      </c>
      <c r="AX196">
        <v>0.21875</v>
      </c>
      <c r="AY196">
        <v>7</v>
      </c>
      <c r="AZ196">
        <v>1</v>
      </c>
      <c r="BA196">
        <v>7</v>
      </c>
      <c r="BB196">
        <v>1</v>
      </c>
      <c r="BC196">
        <v>3</v>
      </c>
      <c r="BD196">
        <v>0.42857139999999999</v>
      </c>
      <c r="BE196">
        <v>0</v>
      </c>
      <c r="BF196">
        <v>0</v>
      </c>
      <c r="BG196">
        <v>0</v>
      </c>
      <c r="BH196">
        <v>0</v>
      </c>
      <c r="BI196">
        <v>0</v>
      </c>
      <c r="BJ196">
        <v>0</v>
      </c>
      <c r="BK196">
        <v>0</v>
      </c>
      <c r="BL196">
        <v>0</v>
      </c>
      <c r="BM196">
        <v>0</v>
      </c>
    </row>
    <row r="197" spans="1:65" x14ac:dyDescent="0.25">
      <c r="A197" t="s">
        <v>512</v>
      </c>
      <c r="B197" t="s">
        <v>513</v>
      </c>
      <c r="C197">
        <v>38</v>
      </c>
      <c r="D197">
        <v>32</v>
      </c>
      <c r="E197">
        <v>0.84210529999999995</v>
      </c>
      <c r="F197">
        <v>5</v>
      </c>
      <c r="G197">
        <v>0.15625</v>
      </c>
      <c r="H197">
        <v>32</v>
      </c>
      <c r="I197">
        <v>1</v>
      </c>
      <c r="J197">
        <v>24</v>
      </c>
      <c r="K197">
        <v>0.75</v>
      </c>
      <c r="L197">
        <v>24</v>
      </c>
      <c r="M197">
        <v>22</v>
      </c>
      <c r="N197">
        <v>0.91666669999999995</v>
      </c>
      <c r="O197">
        <v>4</v>
      </c>
      <c r="P197">
        <v>0.18181820000000001</v>
      </c>
      <c r="Q197">
        <v>22</v>
      </c>
      <c r="R197">
        <v>1</v>
      </c>
      <c r="S197">
        <v>18</v>
      </c>
      <c r="T197">
        <v>0.81818179999999996</v>
      </c>
      <c r="U197">
        <v>24</v>
      </c>
      <c r="V197" t="s">
        <v>127</v>
      </c>
      <c r="W197" t="s">
        <v>127</v>
      </c>
      <c r="X197" t="s">
        <v>127</v>
      </c>
      <c r="Y197" t="s">
        <v>127</v>
      </c>
      <c r="Z197" t="s">
        <v>127</v>
      </c>
      <c r="AA197" t="s">
        <v>127</v>
      </c>
      <c r="AB197" t="s">
        <v>127</v>
      </c>
      <c r="AC197" t="s">
        <v>127</v>
      </c>
      <c r="AD197">
        <v>0</v>
      </c>
      <c r="AE197">
        <v>0</v>
      </c>
      <c r="AF197">
        <v>0</v>
      </c>
      <c r="AG197">
        <v>0</v>
      </c>
      <c r="AH197">
        <v>0</v>
      </c>
      <c r="AI197">
        <v>0</v>
      </c>
      <c r="AJ197">
        <v>0</v>
      </c>
      <c r="AK197">
        <v>0</v>
      </c>
      <c r="AL197">
        <v>0</v>
      </c>
      <c r="AM197">
        <v>14</v>
      </c>
      <c r="AN197">
        <v>10</v>
      </c>
      <c r="AO197">
        <v>0.71428570000000002</v>
      </c>
      <c r="AP197">
        <v>1</v>
      </c>
      <c r="AQ197">
        <v>0.1</v>
      </c>
      <c r="AR197">
        <v>10</v>
      </c>
      <c r="AS197">
        <v>1</v>
      </c>
      <c r="AT197">
        <v>6</v>
      </c>
      <c r="AU197">
        <v>0.6</v>
      </c>
      <c r="AV197">
        <v>14</v>
      </c>
      <c r="AW197" t="s">
        <v>127</v>
      </c>
      <c r="AX197" t="s">
        <v>127</v>
      </c>
      <c r="AY197" t="s">
        <v>127</v>
      </c>
      <c r="AZ197" t="s">
        <v>127</v>
      </c>
      <c r="BA197" t="s">
        <v>127</v>
      </c>
      <c r="BB197" t="s">
        <v>127</v>
      </c>
      <c r="BC197">
        <v>0</v>
      </c>
      <c r="BD197" t="s">
        <v>127</v>
      </c>
      <c r="BE197">
        <v>0</v>
      </c>
      <c r="BF197">
        <v>0</v>
      </c>
      <c r="BG197">
        <v>0</v>
      </c>
      <c r="BH197">
        <v>0</v>
      </c>
      <c r="BI197">
        <v>0</v>
      </c>
      <c r="BJ197">
        <v>0</v>
      </c>
      <c r="BK197">
        <v>0</v>
      </c>
      <c r="BL197">
        <v>0</v>
      </c>
      <c r="BM197">
        <v>0</v>
      </c>
    </row>
    <row r="198" spans="1:65" x14ac:dyDescent="0.25">
      <c r="A198" t="s">
        <v>514</v>
      </c>
      <c r="B198" t="s">
        <v>515</v>
      </c>
      <c r="C198">
        <v>254</v>
      </c>
      <c r="D198">
        <v>0</v>
      </c>
      <c r="E198">
        <v>0</v>
      </c>
      <c r="F198">
        <v>0</v>
      </c>
      <c r="G198">
        <v>0</v>
      </c>
      <c r="H198">
        <v>0</v>
      </c>
      <c r="I198">
        <v>0</v>
      </c>
      <c r="J198">
        <v>0</v>
      </c>
      <c r="K198">
        <v>0</v>
      </c>
      <c r="L198">
        <v>139</v>
      </c>
      <c r="M198">
        <v>0</v>
      </c>
      <c r="N198">
        <v>0</v>
      </c>
      <c r="O198">
        <v>0</v>
      </c>
      <c r="P198">
        <v>0</v>
      </c>
      <c r="Q198">
        <v>0</v>
      </c>
      <c r="R198">
        <v>0</v>
      </c>
      <c r="S198">
        <v>0</v>
      </c>
      <c r="T198">
        <v>0</v>
      </c>
      <c r="U198">
        <v>106</v>
      </c>
      <c r="V198">
        <v>0</v>
      </c>
      <c r="W198">
        <v>0</v>
      </c>
      <c r="X198">
        <v>0</v>
      </c>
      <c r="Y198">
        <v>0</v>
      </c>
      <c r="Z198">
        <v>0</v>
      </c>
      <c r="AA198">
        <v>0</v>
      </c>
      <c r="AB198">
        <v>0</v>
      </c>
      <c r="AC198">
        <v>0</v>
      </c>
      <c r="AD198">
        <v>33</v>
      </c>
      <c r="AE198">
        <v>0</v>
      </c>
      <c r="AF198">
        <v>0</v>
      </c>
      <c r="AG198">
        <v>0</v>
      </c>
      <c r="AH198">
        <v>0</v>
      </c>
      <c r="AI198">
        <v>0</v>
      </c>
      <c r="AJ198">
        <v>0</v>
      </c>
      <c r="AK198">
        <v>0</v>
      </c>
      <c r="AL198">
        <v>0</v>
      </c>
      <c r="AM198">
        <v>115</v>
      </c>
      <c r="AN198">
        <v>0</v>
      </c>
      <c r="AO198">
        <v>0</v>
      </c>
      <c r="AP198">
        <v>0</v>
      </c>
      <c r="AQ198">
        <v>0</v>
      </c>
      <c r="AR198">
        <v>0</v>
      </c>
      <c r="AS198">
        <v>0</v>
      </c>
      <c r="AT198">
        <v>0</v>
      </c>
      <c r="AU198">
        <v>0</v>
      </c>
      <c r="AV198">
        <v>101</v>
      </c>
      <c r="AW198">
        <v>0</v>
      </c>
      <c r="AX198">
        <v>0</v>
      </c>
      <c r="AY198">
        <v>0</v>
      </c>
      <c r="AZ198">
        <v>0</v>
      </c>
      <c r="BA198">
        <v>0</v>
      </c>
      <c r="BB198">
        <v>0</v>
      </c>
      <c r="BC198">
        <v>0</v>
      </c>
      <c r="BD198">
        <v>0</v>
      </c>
      <c r="BE198">
        <v>14</v>
      </c>
      <c r="BF198">
        <v>0</v>
      </c>
      <c r="BG198">
        <v>0</v>
      </c>
      <c r="BH198">
        <v>0</v>
      </c>
      <c r="BI198">
        <v>0</v>
      </c>
      <c r="BJ198">
        <v>0</v>
      </c>
      <c r="BK198">
        <v>0</v>
      </c>
      <c r="BL198">
        <v>0</v>
      </c>
      <c r="BM198">
        <v>0</v>
      </c>
    </row>
    <row r="199" spans="1:65" x14ac:dyDescent="0.25">
      <c r="A199" t="s">
        <v>516</v>
      </c>
      <c r="B199" t="s">
        <v>517</v>
      </c>
      <c r="C199">
        <v>1289</v>
      </c>
      <c r="D199">
        <v>817</v>
      </c>
      <c r="E199">
        <v>0.63382470000000002</v>
      </c>
      <c r="F199">
        <v>495</v>
      </c>
      <c r="G199">
        <v>0.60587519999999995</v>
      </c>
      <c r="H199">
        <v>788</v>
      </c>
      <c r="I199">
        <v>0.96450429999999998</v>
      </c>
      <c r="J199">
        <v>533</v>
      </c>
      <c r="K199">
        <v>0.67639590000000005</v>
      </c>
      <c r="L199">
        <v>662</v>
      </c>
      <c r="M199">
        <v>437</v>
      </c>
      <c r="N199">
        <v>0.66012079999999995</v>
      </c>
      <c r="O199">
        <v>284</v>
      </c>
      <c r="P199">
        <v>0.64988559999999995</v>
      </c>
      <c r="Q199">
        <v>418</v>
      </c>
      <c r="R199">
        <v>0.95652170000000003</v>
      </c>
      <c r="S199">
        <v>304</v>
      </c>
      <c r="T199">
        <v>0.72727269999999999</v>
      </c>
      <c r="U199">
        <v>609</v>
      </c>
      <c r="V199">
        <v>267</v>
      </c>
      <c r="W199">
        <v>0.43842360000000002</v>
      </c>
      <c r="X199">
        <v>267</v>
      </c>
      <c r="Y199">
        <v>1</v>
      </c>
      <c r="Z199">
        <v>254</v>
      </c>
      <c r="AA199">
        <v>0.95131089999999996</v>
      </c>
      <c r="AB199">
        <v>198</v>
      </c>
      <c r="AC199">
        <v>0.77952759999999999</v>
      </c>
      <c r="AD199">
        <v>53</v>
      </c>
      <c r="AE199">
        <v>17</v>
      </c>
      <c r="AF199">
        <v>0.3207547</v>
      </c>
      <c r="AG199">
        <v>17</v>
      </c>
      <c r="AH199">
        <v>1</v>
      </c>
      <c r="AI199">
        <v>16</v>
      </c>
      <c r="AJ199">
        <v>0.94117649999999997</v>
      </c>
      <c r="AK199">
        <v>10</v>
      </c>
      <c r="AL199">
        <v>0.625</v>
      </c>
      <c r="AM199">
        <v>627</v>
      </c>
      <c r="AN199">
        <v>380</v>
      </c>
      <c r="AO199">
        <v>0.60606059999999995</v>
      </c>
      <c r="AP199">
        <v>211</v>
      </c>
      <c r="AQ199">
        <v>0.55526319999999996</v>
      </c>
      <c r="AR199">
        <v>370</v>
      </c>
      <c r="AS199">
        <v>0.9736842</v>
      </c>
      <c r="AT199">
        <v>229</v>
      </c>
      <c r="AU199">
        <v>0.61891890000000005</v>
      </c>
      <c r="AV199">
        <v>570</v>
      </c>
      <c r="AW199">
        <v>193</v>
      </c>
      <c r="AX199">
        <v>0.33859650000000002</v>
      </c>
      <c r="AY199">
        <v>193</v>
      </c>
      <c r="AZ199">
        <v>1</v>
      </c>
      <c r="BA199">
        <v>188</v>
      </c>
      <c r="BB199">
        <v>0.97409330000000005</v>
      </c>
      <c r="BC199">
        <v>125</v>
      </c>
      <c r="BD199">
        <v>0.66489359999999997</v>
      </c>
      <c r="BE199">
        <v>57</v>
      </c>
      <c r="BF199">
        <v>18</v>
      </c>
      <c r="BG199">
        <v>0.3157895</v>
      </c>
      <c r="BH199">
        <v>18</v>
      </c>
      <c r="BI199">
        <v>1</v>
      </c>
      <c r="BJ199">
        <v>18</v>
      </c>
      <c r="BK199">
        <v>1</v>
      </c>
      <c r="BL199">
        <v>10</v>
      </c>
      <c r="BM199">
        <v>0.55555560000000004</v>
      </c>
    </row>
    <row r="200" spans="1:65" x14ac:dyDescent="0.25">
      <c r="A200" t="s">
        <v>518</v>
      </c>
      <c r="B200" t="s">
        <v>519</v>
      </c>
      <c r="C200">
        <v>1109</v>
      </c>
      <c r="D200">
        <v>97</v>
      </c>
      <c r="E200">
        <v>8.7466199999999994E-2</v>
      </c>
      <c r="F200">
        <v>76</v>
      </c>
      <c r="G200">
        <v>0.78350520000000001</v>
      </c>
      <c r="H200">
        <v>86</v>
      </c>
      <c r="I200">
        <v>0.88659790000000005</v>
      </c>
      <c r="J200">
        <v>46</v>
      </c>
      <c r="K200">
        <v>0.53488369999999996</v>
      </c>
      <c r="L200">
        <v>539</v>
      </c>
      <c r="M200">
        <v>59</v>
      </c>
      <c r="N200">
        <v>0.109462</v>
      </c>
      <c r="O200">
        <v>45</v>
      </c>
      <c r="P200">
        <v>0.7627119</v>
      </c>
      <c r="Q200">
        <v>59</v>
      </c>
      <c r="R200">
        <v>1</v>
      </c>
      <c r="S200">
        <v>35</v>
      </c>
      <c r="T200">
        <v>0.59322030000000003</v>
      </c>
      <c r="U200">
        <v>518</v>
      </c>
      <c r="V200" t="s">
        <v>127</v>
      </c>
      <c r="W200" t="s">
        <v>127</v>
      </c>
      <c r="X200" t="s">
        <v>127</v>
      </c>
      <c r="Y200" t="s">
        <v>127</v>
      </c>
      <c r="Z200" t="s">
        <v>127</v>
      </c>
      <c r="AA200" t="s">
        <v>127</v>
      </c>
      <c r="AB200" t="s">
        <v>127</v>
      </c>
      <c r="AC200" t="s">
        <v>127</v>
      </c>
      <c r="AD200">
        <v>21</v>
      </c>
      <c r="AE200" t="s">
        <v>127</v>
      </c>
      <c r="AF200" t="s">
        <v>127</v>
      </c>
      <c r="AG200" t="s">
        <v>127</v>
      </c>
      <c r="AH200" t="s">
        <v>127</v>
      </c>
      <c r="AI200" t="s">
        <v>127</v>
      </c>
      <c r="AJ200" t="s">
        <v>127</v>
      </c>
      <c r="AK200" t="s">
        <v>127</v>
      </c>
      <c r="AL200" t="s">
        <v>127</v>
      </c>
      <c r="AM200">
        <v>570</v>
      </c>
      <c r="AN200">
        <v>38</v>
      </c>
      <c r="AO200">
        <v>6.6666699999999995E-2</v>
      </c>
      <c r="AP200">
        <v>31</v>
      </c>
      <c r="AQ200">
        <v>0.81578949999999995</v>
      </c>
      <c r="AR200">
        <v>27</v>
      </c>
      <c r="AS200">
        <v>0.71052630000000006</v>
      </c>
      <c r="AT200">
        <v>11</v>
      </c>
      <c r="AU200">
        <v>0.40740739999999998</v>
      </c>
      <c r="AV200">
        <v>533</v>
      </c>
      <c r="AW200" t="s">
        <v>127</v>
      </c>
      <c r="AX200" t="s">
        <v>127</v>
      </c>
      <c r="AY200" t="s">
        <v>127</v>
      </c>
      <c r="AZ200" t="s">
        <v>127</v>
      </c>
      <c r="BA200" t="s">
        <v>127</v>
      </c>
      <c r="BB200" t="s">
        <v>127</v>
      </c>
      <c r="BC200" t="s">
        <v>127</v>
      </c>
      <c r="BD200" t="s">
        <v>127</v>
      </c>
      <c r="BE200">
        <v>37</v>
      </c>
      <c r="BF200" t="s">
        <v>127</v>
      </c>
      <c r="BG200" t="s">
        <v>127</v>
      </c>
      <c r="BH200" t="s">
        <v>127</v>
      </c>
      <c r="BI200" t="s">
        <v>127</v>
      </c>
      <c r="BJ200" t="s">
        <v>127</v>
      </c>
      <c r="BK200" t="s">
        <v>127</v>
      </c>
      <c r="BL200" t="s">
        <v>127</v>
      </c>
      <c r="BM200" t="s">
        <v>127</v>
      </c>
    </row>
    <row r="201" spans="1:65" x14ac:dyDescent="0.25">
      <c r="A201" t="s">
        <v>520</v>
      </c>
      <c r="B201" t="s">
        <v>521</v>
      </c>
      <c r="C201">
        <v>1115</v>
      </c>
      <c r="D201">
        <v>882</v>
      </c>
      <c r="E201">
        <v>0.79103140000000005</v>
      </c>
      <c r="F201">
        <v>563</v>
      </c>
      <c r="G201">
        <v>0.63832199999999994</v>
      </c>
      <c r="H201">
        <v>841</v>
      </c>
      <c r="I201">
        <v>0.95351470000000005</v>
      </c>
      <c r="J201">
        <v>607</v>
      </c>
      <c r="K201">
        <v>0.72175979999999995</v>
      </c>
      <c r="L201">
        <v>531</v>
      </c>
      <c r="M201">
        <v>411</v>
      </c>
      <c r="N201">
        <v>0.77401129999999996</v>
      </c>
      <c r="O201">
        <v>275</v>
      </c>
      <c r="P201">
        <v>0.66909980000000002</v>
      </c>
      <c r="Q201">
        <v>406</v>
      </c>
      <c r="R201">
        <v>0.98783449999999995</v>
      </c>
      <c r="S201">
        <v>309</v>
      </c>
      <c r="T201">
        <v>0.76108370000000003</v>
      </c>
      <c r="U201">
        <v>507</v>
      </c>
      <c r="V201" t="s">
        <v>127</v>
      </c>
      <c r="W201" t="s">
        <v>127</v>
      </c>
      <c r="X201" t="s">
        <v>127</v>
      </c>
      <c r="Y201" t="s">
        <v>127</v>
      </c>
      <c r="Z201" t="s">
        <v>127</v>
      </c>
      <c r="AA201" t="s">
        <v>127</v>
      </c>
      <c r="AB201" t="s">
        <v>127</v>
      </c>
      <c r="AC201" t="s">
        <v>127</v>
      </c>
      <c r="AD201">
        <v>24</v>
      </c>
      <c r="AE201" t="s">
        <v>127</v>
      </c>
      <c r="AF201" t="s">
        <v>127</v>
      </c>
      <c r="AG201" t="s">
        <v>127</v>
      </c>
      <c r="AH201" t="s">
        <v>127</v>
      </c>
      <c r="AI201" t="s">
        <v>127</v>
      </c>
      <c r="AJ201" t="s">
        <v>127</v>
      </c>
      <c r="AK201" t="s">
        <v>127</v>
      </c>
      <c r="AL201" t="s">
        <v>127</v>
      </c>
      <c r="AM201">
        <v>584</v>
      </c>
      <c r="AN201">
        <v>471</v>
      </c>
      <c r="AO201">
        <v>0.80650679999999997</v>
      </c>
      <c r="AP201">
        <v>288</v>
      </c>
      <c r="AQ201">
        <v>0.61146500000000004</v>
      </c>
      <c r="AR201">
        <v>435</v>
      </c>
      <c r="AS201">
        <v>0.92356689999999997</v>
      </c>
      <c r="AT201">
        <v>298</v>
      </c>
      <c r="AU201">
        <v>0.68505749999999999</v>
      </c>
      <c r="AV201">
        <v>539</v>
      </c>
      <c r="AW201">
        <v>278</v>
      </c>
      <c r="AX201">
        <v>0.5157699</v>
      </c>
      <c r="AY201">
        <v>278</v>
      </c>
      <c r="AZ201">
        <v>1</v>
      </c>
      <c r="BA201">
        <v>255</v>
      </c>
      <c r="BB201">
        <v>0.91726620000000003</v>
      </c>
      <c r="BC201">
        <v>172</v>
      </c>
      <c r="BD201">
        <v>0.67450980000000005</v>
      </c>
      <c r="BE201">
        <v>45</v>
      </c>
      <c r="BF201">
        <v>10</v>
      </c>
      <c r="BG201">
        <v>0.22222220000000001</v>
      </c>
      <c r="BH201">
        <v>10</v>
      </c>
      <c r="BI201">
        <v>1</v>
      </c>
      <c r="BJ201">
        <v>8</v>
      </c>
      <c r="BK201">
        <v>0.8</v>
      </c>
      <c r="BL201">
        <v>5</v>
      </c>
      <c r="BM201">
        <v>0.625</v>
      </c>
    </row>
    <row r="202" spans="1:65" x14ac:dyDescent="0.25">
      <c r="A202" t="s">
        <v>522</v>
      </c>
      <c r="B202" t="s">
        <v>523</v>
      </c>
      <c r="C202">
        <v>141</v>
      </c>
      <c r="D202">
        <v>170</v>
      </c>
      <c r="E202">
        <v>1.2056738</v>
      </c>
      <c r="F202">
        <v>49</v>
      </c>
      <c r="G202">
        <v>0.28823530000000003</v>
      </c>
      <c r="H202">
        <v>162</v>
      </c>
      <c r="I202">
        <v>0.95294120000000004</v>
      </c>
      <c r="J202">
        <v>75</v>
      </c>
      <c r="K202">
        <v>0.46296300000000001</v>
      </c>
      <c r="L202">
        <v>62</v>
      </c>
      <c r="M202">
        <v>84</v>
      </c>
      <c r="N202">
        <v>1.3548387</v>
      </c>
      <c r="O202">
        <v>22</v>
      </c>
      <c r="P202">
        <v>0.26190479999999999</v>
      </c>
      <c r="Q202">
        <v>81</v>
      </c>
      <c r="R202">
        <v>0.96428570000000002</v>
      </c>
      <c r="S202">
        <v>40</v>
      </c>
      <c r="T202">
        <v>0.49382720000000002</v>
      </c>
      <c r="U202">
        <v>62</v>
      </c>
      <c r="V202">
        <v>22</v>
      </c>
      <c r="W202">
        <v>0.35483870000000001</v>
      </c>
      <c r="X202">
        <v>22</v>
      </c>
      <c r="Y202">
        <v>1</v>
      </c>
      <c r="Z202">
        <v>22</v>
      </c>
      <c r="AA202">
        <v>1</v>
      </c>
      <c r="AB202">
        <v>13</v>
      </c>
      <c r="AC202">
        <v>0.59090909999999996</v>
      </c>
      <c r="AD202">
        <v>0</v>
      </c>
      <c r="AE202">
        <v>0</v>
      </c>
      <c r="AF202">
        <v>0</v>
      </c>
      <c r="AG202">
        <v>0</v>
      </c>
      <c r="AH202">
        <v>0</v>
      </c>
      <c r="AI202">
        <v>0</v>
      </c>
      <c r="AJ202">
        <v>0</v>
      </c>
      <c r="AK202">
        <v>0</v>
      </c>
      <c r="AL202">
        <v>0</v>
      </c>
      <c r="AM202">
        <v>79</v>
      </c>
      <c r="AN202">
        <v>86</v>
      </c>
      <c r="AO202">
        <v>1.0886076</v>
      </c>
      <c r="AP202">
        <v>27</v>
      </c>
      <c r="AQ202">
        <v>0.3139535</v>
      </c>
      <c r="AR202">
        <v>81</v>
      </c>
      <c r="AS202">
        <v>0.94186049999999999</v>
      </c>
      <c r="AT202">
        <v>35</v>
      </c>
      <c r="AU202">
        <v>0.43209880000000001</v>
      </c>
      <c r="AV202">
        <v>79</v>
      </c>
      <c r="AW202">
        <v>27</v>
      </c>
      <c r="AX202">
        <v>0.34177220000000003</v>
      </c>
      <c r="AY202">
        <v>27</v>
      </c>
      <c r="AZ202">
        <v>1</v>
      </c>
      <c r="BA202">
        <v>23</v>
      </c>
      <c r="BB202">
        <v>0.8518519</v>
      </c>
      <c r="BC202">
        <v>17</v>
      </c>
      <c r="BD202">
        <v>0.73913039999999997</v>
      </c>
      <c r="BE202">
        <v>0</v>
      </c>
      <c r="BF202">
        <v>0</v>
      </c>
      <c r="BG202">
        <v>0</v>
      </c>
      <c r="BH202">
        <v>0</v>
      </c>
      <c r="BI202">
        <v>0</v>
      </c>
      <c r="BJ202">
        <v>0</v>
      </c>
      <c r="BK202">
        <v>0</v>
      </c>
      <c r="BL202">
        <v>0</v>
      </c>
      <c r="BM202">
        <v>0</v>
      </c>
    </row>
    <row r="203" spans="1:65" x14ac:dyDescent="0.25">
      <c r="A203" t="s">
        <v>524</v>
      </c>
      <c r="B203" t="s">
        <v>525</v>
      </c>
      <c r="C203">
        <v>6</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6</v>
      </c>
      <c r="AN203">
        <v>0</v>
      </c>
      <c r="AO203">
        <v>0</v>
      </c>
      <c r="AP203">
        <v>0</v>
      </c>
      <c r="AQ203">
        <v>0</v>
      </c>
      <c r="AR203">
        <v>0</v>
      </c>
      <c r="AS203">
        <v>0</v>
      </c>
      <c r="AT203">
        <v>0</v>
      </c>
      <c r="AU203">
        <v>0</v>
      </c>
      <c r="AV203">
        <v>6</v>
      </c>
      <c r="AW203">
        <v>0</v>
      </c>
      <c r="AX203">
        <v>0</v>
      </c>
      <c r="AY203">
        <v>0</v>
      </c>
      <c r="AZ203">
        <v>0</v>
      </c>
      <c r="BA203">
        <v>0</v>
      </c>
      <c r="BB203">
        <v>0</v>
      </c>
      <c r="BC203">
        <v>0</v>
      </c>
      <c r="BD203">
        <v>0</v>
      </c>
      <c r="BE203">
        <v>0</v>
      </c>
      <c r="BF203">
        <v>0</v>
      </c>
      <c r="BG203">
        <v>0</v>
      </c>
      <c r="BH203">
        <v>0</v>
      </c>
      <c r="BI203">
        <v>0</v>
      </c>
      <c r="BJ203">
        <v>0</v>
      </c>
      <c r="BK203">
        <v>0</v>
      </c>
      <c r="BL203">
        <v>0</v>
      </c>
      <c r="BM203">
        <v>0</v>
      </c>
    </row>
    <row r="204" spans="1:65" x14ac:dyDescent="0.25">
      <c r="A204" t="s">
        <v>526</v>
      </c>
      <c r="B204" t="s">
        <v>527</v>
      </c>
      <c r="C204">
        <v>146</v>
      </c>
      <c r="D204">
        <v>115</v>
      </c>
      <c r="E204">
        <v>0.78767120000000002</v>
      </c>
      <c r="F204">
        <v>70</v>
      </c>
      <c r="G204">
        <v>0.60869569999999995</v>
      </c>
      <c r="H204">
        <v>109</v>
      </c>
      <c r="I204">
        <v>0.9478261</v>
      </c>
      <c r="J204">
        <v>65</v>
      </c>
      <c r="K204">
        <v>0.59633029999999998</v>
      </c>
      <c r="L204">
        <v>62</v>
      </c>
      <c r="M204">
        <v>58</v>
      </c>
      <c r="N204">
        <v>0.93548390000000003</v>
      </c>
      <c r="O204">
        <v>31</v>
      </c>
      <c r="P204">
        <v>0.53448280000000004</v>
      </c>
      <c r="Q204">
        <v>57</v>
      </c>
      <c r="R204">
        <v>0.98275860000000004</v>
      </c>
      <c r="S204">
        <v>38</v>
      </c>
      <c r="T204">
        <v>0.66666669999999995</v>
      </c>
      <c r="U204">
        <v>62</v>
      </c>
      <c r="V204">
        <v>31</v>
      </c>
      <c r="W204">
        <v>0.5</v>
      </c>
      <c r="X204">
        <v>31</v>
      </c>
      <c r="Y204">
        <v>1</v>
      </c>
      <c r="Z204">
        <v>30</v>
      </c>
      <c r="AA204">
        <v>0.96774190000000004</v>
      </c>
      <c r="AB204">
        <v>24</v>
      </c>
      <c r="AC204">
        <v>0.8</v>
      </c>
      <c r="AD204">
        <v>0</v>
      </c>
      <c r="AE204">
        <v>0</v>
      </c>
      <c r="AF204">
        <v>0</v>
      </c>
      <c r="AG204">
        <v>0</v>
      </c>
      <c r="AH204">
        <v>0</v>
      </c>
      <c r="AI204">
        <v>0</v>
      </c>
      <c r="AJ204">
        <v>0</v>
      </c>
      <c r="AK204">
        <v>0</v>
      </c>
      <c r="AL204">
        <v>0</v>
      </c>
      <c r="AM204">
        <v>84</v>
      </c>
      <c r="AN204">
        <v>57</v>
      </c>
      <c r="AO204">
        <v>0.67857140000000005</v>
      </c>
      <c r="AP204">
        <v>39</v>
      </c>
      <c r="AQ204">
        <v>0.68421050000000005</v>
      </c>
      <c r="AR204">
        <v>52</v>
      </c>
      <c r="AS204">
        <v>0.91228070000000006</v>
      </c>
      <c r="AT204">
        <v>27</v>
      </c>
      <c r="AU204">
        <v>0.51923079999999999</v>
      </c>
      <c r="AV204" t="s">
        <v>127</v>
      </c>
      <c r="AW204">
        <v>39</v>
      </c>
      <c r="AX204">
        <v>0.46987950000000001</v>
      </c>
      <c r="AY204" t="s">
        <v>127</v>
      </c>
      <c r="AZ204">
        <v>1</v>
      </c>
      <c r="BA204">
        <v>36</v>
      </c>
      <c r="BB204">
        <v>0.92307689999999998</v>
      </c>
      <c r="BC204">
        <v>19</v>
      </c>
      <c r="BD204">
        <v>0.52777779999999996</v>
      </c>
      <c r="BE204" t="s">
        <v>127</v>
      </c>
      <c r="BF204">
        <v>0</v>
      </c>
      <c r="BG204" t="s">
        <v>127</v>
      </c>
      <c r="BH204">
        <v>0</v>
      </c>
      <c r="BI204">
        <v>0</v>
      </c>
      <c r="BJ204">
        <v>0</v>
      </c>
      <c r="BK204">
        <v>0</v>
      </c>
      <c r="BL204">
        <v>0</v>
      </c>
      <c r="BM204">
        <v>0</v>
      </c>
    </row>
    <row r="205" spans="1:65" x14ac:dyDescent="0.25">
      <c r="A205" t="s">
        <v>528</v>
      </c>
      <c r="B205" t="s">
        <v>529</v>
      </c>
      <c r="C205">
        <v>332</v>
      </c>
      <c r="D205">
        <v>143</v>
      </c>
      <c r="E205">
        <v>0.43072290000000002</v>
      </c>
      <c r="F205">
        <v>81</v>
      </c>
      <c r="G205">
        <v>0.56643359999999998</v>
      </c>
      <c r="H205">
        <v>77</v>
      </c>
      <c r="I205">
        <v>0.53846150000000004</v>
      </c>
      <c r="J205">
        <v>77</v>
      </c>
      <c r="K205">
        <v>1</v>
      </c>
      <c r="L205">
        <v>127</v>
      </c>
      <c r="M205">
        <v>56</v>
      </c>
      <c r="N205">
        <v>0.44094489999999997</v>
      </c>
      <c r="O205">
        <v>32</v>
      </c>
      <c r="P205">
        <v>0.57142859999999995</v>
      </c>
      <c r="Q205">
        <v>25</v>
      </c>
      <c r="R205">
        <v>0.44642860000000001</v>
      </c>
      <c r="S205">
        <v>25</v>
      </c>
      <c r="T205">
        <v>1</v>
      </c>
      <c r="U205">
        <v>127</v>
      </c>
      <c r="V205">
        <v>32</v>
      </c>
      <c r="W205">
        <v>0.25196849999999998</v>
      </c>
      <c r="X205">
        <v>32</v>
      </c>
      <c r="Y205">
        <v>1</v>
      </c>
      <c r="Z205">
        <v>14</v>
      </c>
      <c r="AA205">
        <v>0.4375</v>
      </c>
      <c r="AB205">
        <v>14</v>
      </c>
      <c r="AC205">
        <v>1</v>
      </c>
      <c r="AD205">
        <v>0</v>
      </c>
      <c r="AE205">
        <v>0</v>
      </c>
      <c r="AF205">
        <v>0</v>
      </c>
      <c r="AG205">
        <v>0</v>
      </c>
      <c r="AH205">
        <v>0</v>
      </c>
      <c r="AI205">
        <v>0</v>
      </c>
      <c r="AJ205">
        <v>0</v>
      </c>
      <c r="AK205">
        <v>0</v>
      </c>
      <c r="AL205">
        <v>0</v>
      </c>
      <c r="AM205">
        <v>205</v>
      </c>
      <c r="AN205">
        <v>87</v>
      </c>
      <c r="AO205">
        <v>0.4243902</v>
      </c>
      <c r="AP205">
        <v>49</v>
      </c>
      <c r="AQ205">
        <v>0.56321840000000001</v>
      </c>
      <c r="AR205">
        <v>52</v>
      </c>
      <c r="AS205">
        <v>0.59770109999999999</v>
      </c>
      <c r="AT205">
        <v>52</v>
      </c>
      <c r="AU205">
        <v>1</v>
      </c>
      <c r="AV205">
        <v>205</v>
      </c>
      <c r="AW205">
        <v>49</v>
      </c>
      <c r="AX205">
        <v>0.2390244</v>
      </c>
      <c r="AY205">
        <v>49</v>
      </c>
      <c r="AZ205">
        <v>1</v>
      </c>
      <c r="BA205">
        <v>29</v>
      </c>
      <c r="BB205">
        <v>0.59183669999999999</v>
      </c>
      <c r="BC205">
        <v>29</v>
      </c>
      <c r="BD205">
        <v>1</v>
      </c>
      <c r="BE205">
        <v>0</v>
      </c>
      <c r="BF205">
        <v>0</v>
      </c>
      <c r="BG205">
        <v>0</v>
      </c>
      <c r="BH205">
        <v>0</v>
      </c>
      <c r="BI205">
        <v>0</v>
      </c>
      <c r="BJ205">
        <v>0</v>
      </c>
      <c r="BK205">
        <v>0</v>
      </c>
      <c r="BL205">
        <v>0</v>
      </c>
      <c r="BM205">
        <v>0</v>
      </c>
    </row>
    <row r="206" spans="1:65" x14ac:dyDescent="0.25">
      <c r="A206" t="s">
        <v>530</v>
      </c>
      <c r="B206" t="s">
        <v>531</v>
      </c>
      <c r="C206">
        <v>827</v>
      </c>
      <c r="D206">
        <v>322</v>
      </c>
      <c r="E206">
        <v>0.38935910000000001</v>
      </c>
      <c r="F206">
        <v>184</v>
      </c>
      <c r="G206">
        <v>0.57142859999999995</v>
      </c>
      <c r="H206">
        <v>213</v>
      </c>
      <c r="I206">
        <v>0.66149069999999999</v>
      </c>
      <c r="J206">
        <v>213</v>
      </c>
      <c r="K206">
        <v>1</v>
      </c>
      <c r="L206">
        <v>367</v>
      </c>
      <c r="M206">
        <v>152</v>
      </c>
      <c r="N206">
        <v>0.41416890000000001</v>
      </c>
      <c r="O206">
        <v>88</v>
      </c>
      <c r="P206">
        <v>0.5789474</v>
      </c>
      <c r="Q206">
        <v>101</v>
      </c>
      <c r="R206">
        <v>0.66447369999999994</v>
      </c>
      <c r="S206">
        <v>101</v>
      </c>
      <c r="T206">
        <v>1</v>
      </c>
      <c r="U206">
        <v>367</v>
      </c>
      <c r="V206">
        <v>88</v>
      </c>
      <c r="W206">
        <v>0.239782</v>
      </c>
      <c r="X206">
        <v>88</v>
      </c>
      <c r="Y206">
        <v>1</v>
      </c>
      <c r="Z206">
        <v>62</v>
      </c>
      <c r="AA206">
        <v>0.70454550000000005</v>
      </c>
      <c r="AB206">
        <v>62</v>
      </c>
      <c r="AC206">
        <v>1</v>
      </c>
      <c r="AD206">
        <v>0</v>
      </c>
      <c r="AE206">
        <v>0</v>
      </c>
      <c r="AF206">
        <v>0</v>
      </c>
      <c r="AG206">
        <v>0</v>
      </c>
      <c r="AH206">
        <v>0</v>
      </c>
      <c r="AI206">
        <v>0</v>
      </c>
      <c r="AJ206">
        <v>0</v>
      </c>
      <c r="AK206">
        <v>0</v>
      </c>
      <c r="AL206">
        <v>0</v>
      </c>
      <c r="AM206">
        <v>460</v>
      </c>
      <c r="AN206">
        <v>170</v>
      </c>
      <c r="AO206">
        <v>0.36956519999999998</v>
      </c>
      <c r="AP206">
        <v>96</v>
      </c>
      <c r="AQ206">
        <v>0.56470589999999998</v>
      </c>
      <c r="AR206">
        <v>112</v>
      </c>
      <c r="AS206">
        <v>0.65882350000000001</v>
      </c>
      <c r="AT206">
        <v>112</v>
      </c>
      <c r="AU206">
        <v>1</v>
      </c>
      <c r="AV206">
        <v>454</v>
      </c>
      <c r="AW206">
        <v>96</v>
      </c>
      <c r="AX206">
        <v>0.21145369999999999</v>
      </c>
      <c r="AY206">
        <v>96</v>
      </c>
      <c r="AZ206">
        <v>1</v>
      </c>
      <c r="BA206">
        <v>63</v>
      </c>
      <c r="BB206">
        <v>0.65625</v>
      </c>
      <c r="BC206">
        <v>63</v>
      </c>
      <c r="BD206">
        <v>1</v>
      </c>
      <c r="BE206">
        <v>6</v>
      </c>
      <c r="BF206">
        <v>0</v>
      </c>
      <c r="BG206">
        <v>0</v>
      </c>
      <c r="BH206">
        <v>0</v>
      </c>
      <c r="BI206">
        <v>0</v>
      </c>
      <c r="BJ206">
        <v>0</v>
      </c>
      <c r="BK206">
        <v>0</v>
      </c>
      <c r="BL206">
        <v>0</v>
      </c>
      <c r="BM206">
        <v>0</v>
      </c>
    </row>
    <row r="207" spans="1:65" x14ac:dyDescent="0.25">
      <c r="A207" t="s">
        <v>532</v>
      </c>
      <c r="B207" t="s">
        <v>533</v>
      </c>
      <c r="C207">
        <v>163</v>
      </c>
      <c r="D207">
        <v>55</v>
      </c>
      <c r="E207">
        <v>0.33742329999999998</v>
      </c>
      <c r="F207">
        <v>25</v>
      </c>
      <c r="G207">
        <v>0.45454549999999999</v>
      </c>
      <c r="H207">
        <v>21</v>
      </c>
      <c r="I207">
        <v>0.3818182</v>
      </c>
      <c r="J207">
        <v>21</v>
      </c>
      <c r="K207">
        <v>1</v>
      </c>
      <c r="L207">
        <v>72</v>
      </c>
      <c r="M207">
        <v>27</v>
      </c>
      <c r="N207">
        <v>0.375</v>
      </c>
      <c r="O207">
        <v>12</v>
      </c>
      <c r="P207">
        <v>0.44444440000000002</v>
      </c>
      <c r="Q207">
        <v>11</v>
      </c>
      <c r="R207">
        <v>0.40740739999999998</v>
      </c>
      <c r="S207">
        <v>11</v>
      </c>
      <c r="T207">
        <v>1</v>
      </c>
      <c r="U207">
        <v>72</v>
      </c>
      <c r="V207">
        <v>12</v>
      </c>
      <c r="W207">
        <v>0.1666667</v>
      </c>
      <c r="X207">
        <v>12</v>
      </c>
      <c r="Y207">
        <v>1</v>
      </c>
      <c r="Z207">
        <v>4</v>
      </c>
      <c r="AA207">
        <v>0.3333333</v>
      </c>
      <c r="AB207">
        <v>4</v>
      </c>
      <c r="AC207">
        <v>1</v>
      </c>
      <c r="AD207">
        <v>0</v>
      </c>
      <c r="AE207">
        <v>0</v>
      </c>
      <c r="AF207">
        <v>0</v>
      </c>
      <c r="AG207">
        <v>0</v>
      </c>
      <c r="AH207">
        <v>0</v>
      </c>
      <c r="AI207">
        <v>0</v>
      </c>
      <c r="AJ207">
        <v>0</v>
      </c>
      <c r="AK207">
        <v>0</v>
      </c>
      <c r="AL207">
        <v>0</v>
      </c>
      <c r="AM207">
        <v>91</v>
      </c>
      <c r="AN207">
        <v>28</v>
      </c>
      <c r="AO207">
        <v>0.30769229999999997</v>
      </c>
      <c r="AP207">
        <v>13</v>
      </c>
      <c r="AQ207">
        <v>0.46428570000000002</v>
      </c>
      <c r="AR207">
        <v>10</v>
      </c>
      <c r="AS207">
        <v>0.35714289999999999</v>
      </c>
      <c r="AT207">
        <v>10</v>
      </c>
      <c r="AU207">
        <v>1</v>
      </c>
      <c r="AV207">
        <v>91</v>
      </c>
      <c r="AW207">
        <v>13</v>
      </c>
      <c r="AX207">
        <v>0.14285709999999999</v>
      </c>
      <c r="AY207">
        <v>13</v>
      </c>
      <c r="AZ207">
        <v>1</v>
      </c>
      <c r="BA207">
        <v>7</v>
      </c>
      <c r="BB207">
        <v>0.53846150000000004</v>
      </c>
      <c r="BC207">
        <v>7</v>
      </c>
      <c r="BD207">
        <v>1</v>
      </c>
      <c r="BE207">
        <v>0</v>
      </c>
      <c r="BF207">
        <v>0</v>
      </c>
      <c r="BG207">
        <v>0</v>
      </c>
      <c r="BH207">
        <v>0</v>
      </c>
      <c r="BI207">
        <v>0</v>
      </c>
      <c r="BJ207">
        <v>0</v>
      </c>
      <c r="BK207">
        <v>0</v>
      </c>
      <c r="BL207">
        <v>0</v>
      </c>
      <c r="BM207">
        <v>0</v>
      </c>
    </row>
    <row r="208" spans="1:65" x14ac:dyDescent="0.25">
      <c r="A208" t="s">
        <v>534</v>
      </c>
      <c r="B208" t="s">
        <v>535</v>
      </c>
      <c r="C208">
        <v>648</v>
      </c>
      <c r="D208">
        <v>283</v>
      </c>
      <c r="E208">
        <v>0.43672840000000002</v>
      </c>
      <c r="F208">
        <v>145</v>
      </c>
      <c r="G208">
        <v>0.51236749999999998</v>
      </c>
      <c r="H208">
        <v>149</v>
      </c>
      <c r="I208">
        <v>0.52650180000000002</v>
      </c>
      <c r="J208">
        <v>149</v>
      </c>
      <c r="K208">
        <v>1</v>
      </c>
      <c r="L208">
        <v>317</v>
      </c>
      <c r="M208">
        <v>143</v>
      </c>
      <c r="N208">
        <v>0.45110410000000001</v>
      </c>
      <c r="O208">
        <v>81</v>
      </c>
      <c r="P208">
        <v>0.56643359999999998</v>
      </c>
      <c r="Q208">
        <v>67</v>
      </c>
      <c r="R208">
        <v>0.46853149999999999</v>
      </c>
      <c r="S208">
        <v>67</v>
      </c>
      <c r="T208">
        <v>1</v>
      </c>
      <c r="U208" t="s">
        <v>127</v>
      </c>
      <c r="V208">
        <v>81</v>
      </c>
      <c r="W208" t="s">
        <v>127</v>
      </c>
      <c r="X208">
        <v>81</v>
      </c>
      <c r="Y208">
        <v>1</v>
      </c>
      <c r="Z208">
        <v>39</v>
      </c>
      <c r="AA208">
        <v>0.48148150000000001</v>
      </c>
      <c r="AB208">
        <v>39</v>
      </c>
      <c r="AC208">
        <v>1</v>
      </c>
      <c r="AD208" t="s">
        <v>127</v>
      </c>
      <c r="AE208">
        <v>0</v>
      </c>
      <c r="AF208" t="s">
        <v>127</v>
      </c>
      <c r="AG208">
        <v>0</v>
      </c>
      <c r="AH208">
        <v>0</v>
      </c>
      <c r="AI208">
        <v>0</v>
      </c>
      <c r="AJ208">
        <v>0</v>
      </c>
      <c r="AK208">
        <v>0</v>
      </c>
      <c r="AL208">
        <v>0</v>
      </c>
      <c r="AM208">
        <v>331</v>
      </c>
      <c r="AN208">
        <v>140</v>
      </c>
      <c r="AO208">
        <v>0.42296070000000002</v>
      </c>
      <c r="AP208">
        <v>64</v>
      </c>
      <c r="AQ208">
        <v>0.45714290000000002</v>
      </c>
      <c r="AR208">
        <v>82</v>
      </c>
      <c r="AS208">
        <v>0.58571430000000002</v>
      </c>
      <c r="AT208">
        <v>82</v>
      </c>
      <c r="AU208">
        <v>1</v>
      </c>
      <c r="AV208">
        <v>331</v>
      </c>
      <c r="AW208">
        <v>64</v>
      </c>
      <c r="AX208">
        <v>0.19335350000000001</v>
      </c>
      <c r="AY208">
        <v>64</v>
      </c>
      <c r="AZ208">
        <v>1</v>
      </c>
      <c r="BA208">
        <v>37</v>
      </c>
      <c r="BB208">
        <v>0.578125</v>
      </c>
      <c r="BC208">
        <v>37</v>
      </c>
      <c r="BD208">
        <v>1</v>
      </c>
      <c r="BE208">
        <v>0</v>
      </c>
      <c r="BF208">
        <v>0</v>
      </c>
      <c r="BG208">
        <v>0</v>
      </c>
      <c r="BH208">
        <v>0</v>
      </c>
      <c r="BI208">
        <v>0</v>
      </c>
      <c r="BJ208">
        <v>0</v>
      </c>
      <c r="BK208">
        <v>0</v>
      </c>
      <c r="BL208">
        <v>0</v>
      </c>
      <c r="BM208">
        <v>0</v>
      </c>
    </row>
    <row r="209" spans="1:65" x14ac:dyDescent="0.25">
      <c r="A209" t="s">
        <v>536</v>
      </c>
      <c r="B209" t="s">
        <v>537</v>
      </c>
      <c r="C209">
        <v>440</v>
      </c>
      <c r="D209">
        <v>293</v>
      </c>
      <c r="E209">
        <v>0.66590910000000003</v>
      </c>
      <c r="F209">
        <v>98</v>
      </c>
      <c r="G209">
        <v>0.33447100000000002</v>
      </c>
      <c r="H209">
        <v>166</v>
      </c>
      <c r="I209">
        <v>0.56655290000000003</v>
      </c>
      <c r="J209">
        <v>166</v>
      </c>
      <c r="K209">
        <v>1</v>
      </c>
      <c r="L209">
        <v>196</v>
      </c>
      <c r="M209">
        <v>136</v>
      </c>
      <c r="N209">
        <v>0.69387759999999998</v>
      </c>
      <c r="O209">
        <v>38</v>
      </c>
      <c r="P209">
        <v>0.27941179999999999</v>
      </c>
      <c r="Q209">
        <v>83</v>
      </c>
      <c r="R209">
        <v>0.61029409999999995</v>
      </c>
      <c r="S209">
        <v>83</v>
      </c>
      <c r="T209">
        <v>1</v>
      </c>
      <c r="U209" t="s">
        <v>127</v>
      </c>
      <c r="V209">
        <v>38</v>
      </c>
      <c r="W209" t="s">
        <v>127</v>
      </c>
      <c r="X209">
        <v>38</v>
      </c>
      <c r="Y209">
        <v>1</v>
      </c>
      <c r="Z209">
        <v>29</v>
      </c>
      <c r="AA209">
        <v>0.76315789999999994</v>
      </c>
      <c r="AB209">
        <v>29</v>
      </c>
      <c r="AC209">
        <v>1</v>
      </c>
      <c r="AD209" t="s">
        <v>127</v>
      </c>
      <c r="AE209">
        <v>0</v>
      </c>
      <c r="AF209" t="s">
        <v>127</v>
      </c>
      <c r="AG209">
        <v>0</v>
      </c>
      <c r="AH209">
        <v>0</v>
      </c>
      <c r="AI209">
        <v>0</v>
      </c>
      <c r="AJ209">
        <v>0</v>
      </c>
      <c r="AK209">
        <v>0</v>
      </c>
      <c r="AL209">
        <v>0</v>
      </c>
      <c r="AM209">
        <v>244</v>
      </c>
      <c r="AN209">
        <v>157</v>
      </c>
      <c r="AO209">
        <v>0.64344259999999998</v>
      </c>
      <c r="AP209">
        <v>60</v>
      </c>
      <c r="AQ209">
        <v>0.38216559999999999</v>
      </c>
      <c r="AR209">
        <v>83</v>
      </c>
      <c r="AS209">
        <v>0.52866239999999998</v>
      </c>
      <c r="AT209">
        <v>83</v>
      </c>
      <c r="AU209">
        <v>1</v>
      </c>
      <c r="AV209">
        <v>238</v>
      </c>
      <c r="AW209">
        <v>60</v>
      </c>
      <c r="AX209">
        <v>0.25210080000000001</v>
      </c>
      <c r="AY209">
        <v>60</v>
      </c>
      <c r="AZ209">
        <v>1</v>
      </c>
      <c r="BA209">
        <v>36</v>
      </c>
      <c r="BB209">
        <v>0.6</v>
      </c>
      <c r="BC209">
        <v>36</v>
      </c>
      <c r="BD209">
        <v>1</v>
      </c>
      <c r="BE209">
        <v>6</v>
      </c>
      <c r="BF209">
        <v>0</v>
      </c>
      <c r="BG209">
        <v>0</v>
      </c>
      <c r="BH209">
        <v>0</v>
      </c>
      <c r="BI209">
        <v>0</v>
      </c>
      <c r="BJ209">
        <v>0</v>
      </c>
      <c r="BK209">
        <v>0</v>
      </c>
      <c r="BL209">
        <v>0</v>
      </c>
      <c r="BM209">
        <v>0</v>
      </c>
    </row>
    <row r="210" spans="1:65" x14ac:dyDescent="0.25">
      <c r="A210" t="s">
        <v>538</v>
      </c>
      <c r="B210" t="s">
        <v>539</v>
      </c>
      <c r="C210">
        <v>117</v>
      </c>
      <c r="D210">
        <v>70</v>
      </c>
      <c r="E210">
        <v>0.59829060000000001</v>
      </c>
      <c r="F210">
        <v>40</v>
      </c>
      <c r="G210">
        <v>0.57142859999999995</v>
      </c>
      <c r="H210">
        <v>54</v>
      </c>
      <c r="I210">
        <v>0.77142860000000002</v>
      </c>
      <c r="J210">
        <v>54</v>
      </c>
      <c r="K210">
        <v>1</v>
      </c>
      <c r="L210">
        <v>70</v>
      </c>
      <c r="M210">
        <v>40</v>
      </c>
      <c r="N210">
        <v>0.57142859999999995</v>
      </c>
      <c r="O210">
        <v>23</v>
      </c>
      <c r="P210">
        <v>0.57499999999999996</v>
      </c>
      <c r="Q210">
        <v>26</v>
      </c>
      <c r="R210">
        <v>0.65</v>
      </c>
      <c r="S210">
        <v>26</v>
      </c>
      <c r="T210">
        <v>1</v>
      </c>
      <c r="U210">
        <v>70</v>
      </c>
      <c r="V210">
        <v>23</v>
      </c>
      <c r="W210">
        <v>0.32857140000000001</v>
      </c>
      <c r="X210">
        <v>23</v>
      </c>
      <c r="Y210">
        <v>1</v>
      </c>
      <c r="Z210">
        <v>13</v>
      </c>
      <c r="AA210">
        <v>0.56521739999999998</v>
      </c>
      <c r="AB210">
        <v>13</v>
      </c>
      <c r="AC210">
        <v>1</v>
      </c>
      <c r="AD210">
        <v>0</v>
      </c>
      <c r="AE210">
        <v>0</v>
      </c>
      <c r="AF210">
        <v>0</v>
      </c>
      <c r="AG210">
        <v>0</v>
      </c>
      <c r="AH210">
        <v>0</v>
      </c>
      <c r="AI210">
        <v>0</v>
      </c>
      <c r="AJ210">
        <v>0</v>
      </c>
      <c r="AK210">
        <v>0</v>
      </c>
      <c r="AL210">
        <v>0</v>
      </c>
      <c r="AM210">
        <v>47</v>
      </c>
      <c r="AN210">
        <v>30</v>
      </c>
      <c r="AO210">
        <v>0.63829789999999997</v>
      </c>
      <c r="AP210">
        <v>17</v>
      </c>
      <c r="AQ210">
        <v>0.56666669999999997</v>
      </c>
      <c r="AR210">
        <v>28</v>
      </c>
      <c r="AS210">
        <v>0.93333330000000003</v>
      </c>
      <c r="AT210">
        <v>28</v>
      </c>
      <c r="AU210">
        <v>1</v>
      </c>
      <c r="AV210" t="s">
        <v>127</v>
      </c>
      <c r="AW210">
        <v>17</v>
      </c>
      <c r="AX210">
        <v>0.36956519999999998</v>
      </c>
      <c r="AY210" t="s">
        <v>127</v>
      </c>
      <c r="AZ210">
        <v>1</v>
      </c>
      <c r="BA210">
        <v>15</v>
      </c>
      <c r="BB210">
        <v>0.8823529</v>
      </c>
      <c r="BC210">
        <v>15</v>
      </c>
      <c r="BD210">
        <v>1</v>
      </c>
      <c r="BE210" t="s">
        <v>127</v>
      </c>
      <c r="BF210">
        <v>0</v>
      </c>
      <c r="BG210" t="s">
        <v>127</v>
      </c>
      <c r="BH210">
        <v>0</v>
      </c>
      <c r="BI210">
        <v>0</v>
      </c>
      <c r="BJ210">
        <v>0</v>
      </c>
      <c r="BK210">
        <v>0</v>
      </c>
      <c r="BL210">
        <v>0</v>
      </c>
      <c r="BM210">
        <v>0</v>
      </c>
    </row>
    <row r="211" spans="1:65" x14ac:dyDescent="0.25">
      <c r="A211" t="s">
        <v>540</v>
      </c>
      <c r="B211" t="s">
        <v>541</v>
      </c>
      <c r="C211">
        <v>67</v>
      </c>
      <c r="D211">
        <v>7</v>
      </c>
      <c r="E211">
        <v>0.1044776</v>
      </c>
      <c r="F211">
        <v>4</v>
      </c>
      <c r="G211">
        <v>0.57142859999999995</v>
      </c>
      <c r="H211">
        <v>4</v>
      </c>
      <c r="I211">
        <v>0.57142859999999995</v>
      </c>
      <c r="J211">
        <v>4</v>
      </c>
      <c r="K211">
        <v>1</v>
      </c>
      <c r="L211">
        <v>34</v>
      </c>
      <c r="M211" t="s">
        <v>127</v>
      </c>
      <c r="N211" t="s">
        <v>127</v>
      </c>
      <c r="O211" t="s">
        <v>127</v>
      </c>
      <c r="P211" t="s">
        <v>127</v>
      </c>
      <c r="Q211" t="s">
        <v>127</v>
      </c>
      <c r="R211" t="s">
        <v>127</v>
      </c>
      <c r="S211" t="s">
        <v>127</v>
      </c>
      <c r="T211" t="s">
        <v>127</v>
      </c>
      <c r="U211">
        <v>34</v>
      </c>
      <c r="V211" t="s">
        <v>127</v>
      </c>
      <c r="W211" t="s">
        <v>127</v>
      </c>
      <c r="X211" t="s">
        <v>127</v>
      </c>
      <c r="Y211" t="s">
        <v>127</v>
      </c>
      <c r="Z211" t="s">
        <v>127</v>
      </c>
      <c r="AA211" t="s">
        <v>127</v>
      </c>
      <c r="AB211" t="s">
        <v>127</v>
      </c>
      <c r="AC211" t="s">
        <v>127</v>
      </c>
      <c r="AD211">
        <v>0</v>
      </c>
      <c r="AE211">
        <v>0</v>
      </c>
      <c r="AF211">
        <v>0</v>
      </c>
      <c r="AG211">
        <v>0</v>
      </c>
      <c r="AH211">
        <v>0</v>
      </c>
      <c r="AI211">
        <v>0</v>
      </c>
      <c r="AJ211">
        <v>0</v>
      </c>
      <c r="AK211">
        <v>0</v>
      </c>
      <c r="AL211">
        <v>0</v>
      </c>
      <c r="AM211">
        <v>33</v>
      </c>
      <c r="AN211">
        <v>7</v>
      </c>
      <c r="AO211">
        <v>0.21212120000000001</v>
      </c>
      <c r="AP211">
        <v>4</v>
      </c>
      <c r="AQ211">
        <v>0.57142859999999995</v>
      </c>
      <c r="AR211">
        <v>4</v>
      </c>
      <c r="AS211">
        <v>0.57142859999999995</v>
      </c>
      <c r="AT211">
        <v>4</v>
      </c>
      <c r="AU211">
        <v>1</v>
      </c>
      <c r="AV211">
        <v>33</v>
      </c>
      <c r="AW211" t="s">
        <v>127</v>
      </c>
      <c r="AX211" t="s">
        <v>127</v>
      </c>
      <c r="AY211" t="s">
        <v>127</v>
      </c>
      <c r="AZ211" t="s">
        <v>127</v>
      </c>
      <c r="BA211" t="s">
        <v>127</v>
      </c>
      <c r="BB211" t="s">
        <v>127</v>
      </c>
      <c r="BC211" t="s">
        <v>127</v>
      </c>
      <c r="BD211" t="s">
        <v>127</v>
      </c>
      <c r="BE211">
        <v>0</v>
      </c>
      <c r="BF211">
        <v>0</v>
      </c>
      <c r="BG211">
        <v>0</v>
      </c>
      <c r="BH211">
        <v>0</v>
      </c>
      <c r="BI211">
        <v>0</v>
      </c>
      <c r="BJ211">
        <v>0</v>
      </c>
      <c r="BK211">
        <v>0</v>
      </c>
      <c r="BL211">
        <v>0</v>
      </c>
      <c r="BM211">
        <v>0</v>
      </c>
    </row>
    <row r="212" spans="1:65" x14ac:dyDescent="0.25">
      <c r="A212" t="s">
        <v>542</v>
      </c>
      <c r="B212" t="s">
        <v>543</v>
      </c>
      <c r="C212">
        <v>525</v>
      </c>
      <c r="D212">
        <v>417</v>
      </c>
      <c r="E212">
        <v>0.79428569999999998</v>
      </c>
      <c r="F212">
        <v>123</v>
      </c>
      <c r="G212">
        <v>0.294964</v>
      </c>
      <c r="H212">
        <v>104</v>
      </c>
      <c r="I212">
        <v>0.2494005</v>
      </c>
      <c r="J212">
        <v>104</v>
      </c>
      <c r="K212">
        <v>1</v>
      </c>
      <c r="L212">
        <v>271</v>
      </c>
      <c r="M212">
        <v>211</v>
      </c>
      <c r="N212">
        <v>0.77859780000000001</v>
      </c>
      <c r="O212">
        <v>65</v>
      </c>
      <c r="P212">
        <v>0.30805690000000002</v>
      </c>
      <c r="Q212">
        <v>50</v>
      </c>
      <c r="R212">
        <v>0.23696680000000001</v>
      </c>
      <c r="S212">
        <v>50</v>
      </c>
      <c r="T212">
        <v>1</v>
      </c>
      <c r="U212">
        <v>271</v>
      </c>
      <c r="V212">
        <v>65</v>
      </c>
      <c r="W212">
        <v>0.23985239999999999</v>
      </c>
      <c r="X212">
        <v>65</v>
      </c>
      <c r="Y212">
        <v>1</v>
      </c>
      <c r="Z212">
        <v>16</v>
      </c>
      <c r="AA212">
        <v>0.24615380000000001</v>
      </c>
      <c r="AB212">
        <v>16</v>
      </c>
      <c r="AC212">
        <v>1</v>
      </c>
      <c r="AD212">
        <v>0</v>
      </c>
      <c r="AE212">
        <v>0</v>
      </c>
      <c r="AF212">
        <v>0</v>
      </c>
      <c r="AG212">
        <v>0</v>
      </c>
      <c r="AH212">
        <v>0</v>
      </c>
      <c r="AI212">
        <v>0</v>
      </c>
      <c r="AJ212">
        <v>0</v>
      </c>
      <c r="AK212">
        <v>0</v>
      </c>
      <c r="AL212">
        <v>0</v>
      </c>
      <c r="AM212">
        <v>254</v>
      </c>
      <c r="AN212">
        <v>206</v>
      </c>
      <c r="AO212">
        <v>0.81102359999999996</v>
      </c>
      <c r="AP212">
        <v>58</v>
      </c>
      <c r="AQ212">
        <v>0.28155340000000001</v>
      </c>
      <c r="AR212">
        <v>54</v>
      </c>
      <c r="AS212">
        <v>0.26213589999999998</v>
      </c>
      <c r="AT212">
        <v>54</v>
      </c>
      <c r="AU212">
        <v>1</v>
      </c>
      <c r="AV212" t="s">
        <v>127</v>
      </c>
      <c r="AW212">
        <v>58</v>
      </c>
      <c r="AX212">
        <v>0.22924900000000001</v>
      </c>
      <c r="AY212" t="s">
        <v>127</v>
      </c>
      <c r="AZ212">
        <v>1</v>
      </c>
      <c r="BA212">
        <v>20</v>
      </c>
      <c r="BB212">
        <v>0.34482760000000001</v>
      </c>
      <c r="BC212">
        <v>20</v>
      </c>
      <c r="BD212">
        <v>1</v>
      </c>
      <c r="BE212" t="s">
        <v>127</v>
      </c>
      <c r="BF212">
        <v>0</v>
      </c>
      <c r="BG212" t="s">
        <v>127</v>
      </c>
      <c r="BH212">
        <v>0</v>
      </c>
      <c r="BI212">
        <v>0</v>
      </c>
      <c r="BJ212">
        <v>0</v>
      </c>
      <c r="BK212">
        <v>0</v>
      </c>
      <c r="BL212">
        <v>0</v>
      </c>
      <c r="BM212">
        <v>0</v>
      </c>
    </row>
    <row r="213" spans="1:65" x14ac:dyDescent="0.25">
      <c r="A213" t="s">
        <v>544</v>
      </c>
      <c r="B213" t="s">
        <v>545</v>
      </c>
      <c r="C213">
        <v>668</v>
      </c>
      <c r="D213">
        <v>179</v>
      </c>
      <c r="E213">
        <v>0.26796409999999998</v>
      </c>
      <c r="F213">
        <v>109</v>
      </c>
      <c r="G213">
        <v>0.60893850000000005</v>
      </c>
      <c r="H213">
        <v>90</v>
      </c>
      <c r="I213">
        <v>0.5027933</v>
      </c>
      <c r="J213">
        <v>90</v>
      </c>
      <c r="K213">
        <v>1</v>
      </c>
      <c r="L213">
        <v>288</v>
      </c>
      <c r="M213">
        <v>90</v>
      </c>
      <c r="N213">
        <v>0.3125</v>
      </c>
      <c r="O213">
        <v>56</v>
      </c>
      <c r="P213">
        <v>0.62222219999999995</v>
      </c>
      <c r="Q213">
        <v>47</v>
      </c>
      <c r="R213">
        <v>0.52222219999999997</v>
      </c>
      <c r="S213">
        <v>47</v>
      </c>
      <c r="T213">
        <v>1</v>
      </c>
      <c r="U213" t="s">
        <v>127</v>
      </c>
      <c r="V213">
        <v>56</v>
      </c>
      <c r="W213" t="s">
        <v>127</v>
      </c>
      <c r="X213">
        <v>56</v>
      </c>
      <c r="Y213">
        <v>1</v>
      </c>
      <c r="Z213">
        <v>32</v>
      </c>
      <c r="AA213">
        <v>0.57142859999999995</v>
      </c>
      <c r="AB213">
        <v>32</v>
      </c>
      <c r="AC213">
        <v>1</v>
      </c>
      <c r="AD213" t="s">
        <v>127</v>
      </c>
      <c r="AE213">
        <v>0</v>
      </c>
      <c r="AF213" t="s">
        <v>127</v>
      </c>
      <c r="AG213">
        <v>0</v>
      </c>
      <c r="AH213">
        <v>0</v>
      </c>
      <c r="AI213">
        <v>0</v>
      </c>
      <c r="AJ213">
        <v>0</v>
      </c>
      <c r="AK213">
        <v>0</v>
      </c>
      <c r="AL213">
        <v>0</v>
      </c>
      <c r="AM213">
        <v>380</v>
      </c>
      <c r="AN213">
        <v>89</v>
      </c>
      <c r="AO213">
        <v>0.23421049999999999</v>
      </c>
      <c r="AP213">
        <v>53</v>
      </c>
      <c r="AQ213">
        <v>0.59550559999999997</v>
      </c>
      <c r="AR213">
        <v>43</v>
      </c>
      <c r="AS213">
        <v>0.48314610000000002</v>
      </c>
      <c r="AT213">
        <v>43</v>
      </c>
      <c r="AU213">
        <v>1</v>
      </c>
      <c r="AV213" t="s">
        <v>127</v>
      </c>
      <c r="AW213" t="s">
        <v>127</v>
      </c>
      <c r="AX213" t="s">
        <v>127</v>
      </c>
      <c r="AY213" t="s">
        <v>127</v>
      </c>
      <c r="AZ213" t="s">
        <v>127</v>
      </c>
      <c r="BA213" t="s">
        <v>127</v>
      </c>
      <c r="BB213" t="s">
        <v>127</v>
      </c>
      <c r="BC213" t="s">
        <v>127</v>
      </c>
      <c r="BD213" t="s">
        <v>127</v>
      </c>
      <c r="BE213" t="s">
        <v>127</v>
      </c>
      <c r="BF213" t="s">
        <v>127</v>
      </c>
      <c r="BG213" t="s">
        <v>127</v>
      </c>
      <c r="BH213" t="s">
        <v>127</v>
      </c>
      <c r="BI213" t="s">
        <v>127</v>
      </c>
      <c r="BJ213" t="s">
        <v>127</v>
      </c>
      <c r="BK213" t="s">
        <v>127</v>
      </c>
      <c r="BL213" t="s">
        <v>127</v>
      </c>
      <c r="BM213" t="s">
        <v>127</v>
      </c>
    </row>
    <row r="214" spans="1:65" x14ac:dyDescent="0.25">
      <c r="A214" t="s">
        <v>546</v>
      </c>
      <c r="B214" t="s">
        <v>547</v>
      </c>
      <c r="C214">
        <v>121</v>
      </c>
      <c r="D214">
        <v>97</v>
      </c>
      <c r="E214">
        <v>0.8016529</v>
      </c>
      <c r="F214">
        <v>23</v>
      </c>
      <c r="G214">
        <v>0.2371134</v>
      </c>
      <c r="H214">
        <v>49</v>
      </c>
      <c r="I214">
        <v>0.50515460000000001</v>
      </c>
      <c r="J214">
        <v>49</v>
      </c>
      <c r="K214">
        <v>1</v>
      </c>
      <c r="L214">
        <v>69</v>
      </c>
      <c r="M214">
        <v>53</v>
      </c>
      <c r="N214">
        <v>0.76811589999999996</v>
      </c>
      <c r="O214">
        <v>13</v>
      </c>
      <c r="P214">
        <v>0.245283</v>
      </c>
      <c r="Q214">
        <v>31</v>
      </c>
      <c r="R214">
        <v>0.58490569999999997</v>
      </c>
      <c r="S214">
        <v>31</v>
      </c>
      <c r="T214">
        <v>1</v>
      </c>
      <c r="U214" t="s">
        <v>127</v>
      </c>
      <c r="V214" t="s">
        <v>127</v>
      </c>
      <c r="W214" t="s">
        <v>127</v>
      </c>
      <c r="X214" t="s">
        <v>127</v>
      </c>
      <c r="Y214" t="s">
        <v>127</v>
      </c>
      <c r="Z214" t="s">
        <v>127</v>
      </c>
      <c r="AA214" t="s">
        <v>127</v>
      </c>
      <c r="AB214" t="s">
        <v>127</v>
      </c>
      <c r="AC214" t="s">
        <v>127</v>
      </c>
      <c r="AD214" t="s">
        <v>127</v>
      </c>
      <c r="AE214" t="s">
        <v>127</v>
      </c>
      <c r="AF214" t="s">
        <v>127</v>
      </c>
      <c r="AG214" t="s">
        <v>127</v>
      </c>
      <c r="AH214" t="s">
        <v>127</v>
      </c>
      <c r="AI214" t="s">
        <v>127</v>
      </c>
      <c r="AJ214" t="s">
        <v>127</v>
      </c>
      <c r="AK214" t="s">
        <v>127</v>
      </c>
      <c r="AL214" t="s">
        <v>127</v>
      </c>
      <c r="AM214">
        <v>52</v>
      </c>
      <c r="AN214">
        <v>44</v>
      </c>
      <c r="AO214">
        <v>0.84615379999999996</v>
      </c>
      <c r="AP214">
        <v>10</v>
      </c>
      <c r="AQ214">
        <v>0.22727269999999999</v>
      </c>
      <c r="AR214">
        <v>18</v>
      </c>
      <c r="AS214">
        <v>0.40909089999999998</v>
      </c>
      <c r="AT214">
        <v>18</v>
      </c>
      <c r="AU214">
        <v>1</v>
      </c>
      <c r="AV214" t="s">
        <v>127</v>
      </c>
      <c r="AW214">
        <v>10</v>
      </c>
      <c r="AX214">
        <v>0.19607840000000001</v>
      </c>
      <c r="AY214" t="s">
        <v>127</v>
      </c>
      <c r="AZ214">
        <v>1</v>
      </c>
      <c r="BA214">
        <v>6</v>
      </c>
      <c r="BB214">
        <v>0.6</v>
      </c>
      <c r="BC214">
        <v>6</v>
      </c>
      <c r="BD214">
        <v>1</v>
      </c>
      <c r="BE214" t="s">
        <v>127</v>
      </c>
      <c r="BF214">
        <v>0</v>
      </c>
      <c r="BG214" t="s">
        <v>127</v>
      </c>
      <c r="BH214">
        <v>0</v>
      </c>
      <c r="BI214">
        <v>0</v>
      </c>
      <c r="BJ214">
        <v>0</v>
      </c>
      <c r="BK214">
        <v>0</v>
      </c>
      <c r="BL214">
        <v>0</v>
      </c>
      <c r="BM214">
        <v>0</v>
      </c>
    </row>
    <row r="215" spans="1:65" x14ac:dyDescent="0.25">
      <c r="A215" t="s">
        <v>548</v>
      </c>
      <c r="B215" t="s">
        <v>549</v>
      </c>
      <c r="C215">
        <v>300</v>
      </c>
      <c r="D215">
        <v>153</v>
      </c>
      <c r="E215">
        <v>0.51</v>
      </c>
      <c r="F215">
        <v>109</v>
      </c>
      <c r="G215">
        <v>0.71241829999999995</v>
      </c>
      <c r="H215">
        <v>87</v>
      </c>
      <c r="I215">
        <v>0.56862749999999995</v>
      </c>
      <c r="J215">
        <v>87</v>
      </c>
      <c r="K215">
        <v>1</v>
      </c>
      <c r="L215">
        <v>163</v>
      </c>
      <c r="M215">
        <v>83</v>
      </c>
      <c r="N215">
        <v>0.5092025</v>
      </c>
      <c r="O215">
        <v>59</v>
      </c>
      <c r="P215">
        <v>0.71084340000000001</v>
      </c>
      <c r="Q215">
        <v>49</v>
      </c>
      <c r="R215">
        <v>0.59036140000000004</v>
      </c>
      <c r="S215">
        <v>49</v>
      </c>
      <c r="T215">
        <v>1</v>
      </c>
      <c r="U215">
        <v>163</v>
      </c>
      <c r="V215">
        <v>59</v>
      </c>
      <c r="W215">
        <v>0.36196319999999998</v>
      </c>
      <c r="X215">
        <v>59</v>
      </c>
      <c r="Y215">
        <v>1</v>
      </c>
      <c r="Z215">
        <v>36</v>
      </c>
      <c r="AA215">
        <v>0.61016950000000003</v>
      </c>
      <c r="AB215">
        <v>36</v>
      </c>
      <c r="AC215">
        <v>1</v>
      </c>
      <c r="AD215">
        <v>0</v>
      </c>
      <c r="AE215">
        <v>0</v>
      </c>
      <c r="AF215">
        <v>0</v>
      </c>
      <c r="AG215">
        <v>0</v>
      </c>
      <c r="AH215">
        <v>0</v>
      </c>
      <c r="AI215">
        <v>0</v>
      </c>
      <c r="AJ215">
        <v>0</v>
      </c>
      <c r="AK215">
        <v>0</v>
      </c>
      <c r="AL215">
        <v>0</v>
      </c>
      <c r="AM215">
        <v>137</v>
      </c>
      <c r="AN215">
        <v>70</v>
      </c>
      <c r="AO215">
        <v>0.51094890000000004</v>
      </c>
      <c r="AP215">
        <v>50</v>
      </c>
      <c r="AQ215">
        <v>0.71428570000000002</v>
      </c>
      <c r="AR215">
        <v>38</v>
      </c>
      <c r="AS215">
        <v>0.54285709999999998</v>
      </c>
      <c r="AT215">
        <v>38</v>
      </c>
      <c r="AU215">
        <v>1</v>
      </c>
      <c r="AV215" t="s">
        <v>127</v>
      </c>
      <c r="AW215">
        <v>50</v>
      </c>
      <c r="AX215">
        <v>0.3676471</v>
      </c>
      <c r="AY215" t="s">
        <v>127</v>
      </c>
      <c r="AZ215">
        <v>1</v>
      </c>
      <c r="BA215">
        <v>27</v>
      </c>
      <c r="BB215">
        <v>0.54</v>
      </c>
      <c r="BC215">
        <v>27</v>
      </c>
      <c r="BD215">
        <v>1</v>
      </c>
      <c r="BE215" t="s">
        <v>127</v>
      </c>
      <c r="BF215">
        <v>0</v>
      </c>
      <c r="BG215" t="s">
        <v>127</v>
      </c>
      <c r="BH215">
        <v>0</v>
      </c>
      <c r="BI215">
        <v>0</v>
      </c>
      <c r="BJ215">
        <v>0</v>
      </c>
      <c r="BK215">
        <v>0</v>
      </c>
      <c r="BL215">
        <v>0</v>
      </c>
      <c r="BM215">
        <v>0</v>
      </c>
    </row>
    <row r="216" spans="1:65" x14ac:dyDescent="0.25">
      <c r="A216" t="s">
        <v>550</v>
      </c>
      <c r="B216" t="s">
        <v>551</v>
      </c>
      <c r="C216">
        <v>421</v>
      </c>
      <c r="D216">
        <v>113</v>
      </c>
      <c r="E216">
        <v>0.2684086</v>
      </c>
      <c r="F216">
        <v>56</v>
      </c>
      <c r="G216">
        <v>0.49557519999999999</v>
      </c>
      <c r="H216">
        <v>56</v>
      </c>
      <c r="I216">
        <v>0.49557519999999999</v>
      </c>
      <c r="J216">
        <v>56</v>
      </c>
      <c r="K216">
        <v>1</v>
      </c>
      <c r="L216">
        <v>219</v>
      </c>
      <c r="M216">
        <v>56</v>
      </c>
      <c r="N216">
        <v>0.25570779999999999</v>
      </c>
      <c r="O216">
        <v>28</v>
      </c>
      <c r="P216">
        <v>0.5</v>
      </c>
      <c r="Q216">
        <v>28</v>
      </c>
      <c r="R216">
        <v>0.5</v>
      </c>
      <c r="S216">
        <v>28</v>
      </c>
      <c r="T216">
        <v>1</v>
      </c>
      <c r="U216" t="s">
        <v>127</v>
      </c>
      <c r="V216" t="s">
        <v>127</v>
      </c>
      <c r="W216" t="s">
        <v>127</v>
      </c>
      <c r="X216" t="s">
        <v>127</v>
      </c>
      <c r="Y216" t="s">
        <v>127</v>
      </c>
      <c r="Z216">
        <v>14</v>
      </c>
      <c r="AA216" t="s">
        <v>127</v>
      </c>
      <c r="AB216">
        <v>14</v>
      </c>
      <c r="AC216" t="s">
        <v>127</v>
      </c>
      <c r="AD216" t="s">
        <v>127</v>
      </c>
      <c r="AE216" t="s">
        <v>127</v>
      </c>
      <c r="AF216" t="s">
        <v>127</v>
      </c>
      <c r="AG216" t="s">
        <v>127</v>
      </c>
      <c r="AH216" t="s">
        <v>127</v>
      </c>
      <c r="AI216">
        <v>0</v>
      </c>
      <c r="AJ216" t="s">
        <v>127</v>
      </c>
      <c r="AK216">
        <v>0</v>
      </c>
      <c r="AL216" t="s">
        <v>127</v>
      </c>
      <c r="AM216">
        <v>202</v>
      </c>
      <c r="AN216">
        <v>57</v>
      </c>
      <c r="AO216">
        <v>0.28217819999999999</v>
      </c>
      <c r="AP216">
        <v>28</v>
      </c>
      <c r="AQ216">
        <v>0.4912281</v>
      </c>
      <c r="AR216">
        <v>28</v>
      </c>
      <c r="AS216">
        <v>0.4912281</v>
      </c>
      <c r="AT216">
        <v>28</v>
      </c>
      <c r="AU216">
        <v>1</v>
      </c>
      <c r="AV216" t="s">
        <v>127</v>
      </c>
      <c r="AW216">
        <v>28</v>
      </c>
      <c r="AX216">
        <v>0.1393035</v>
      </c>
      <c r="AY216" t="s">
        <v>127</v>
      </c>
      <c r="AZ216">
        <v>1</v>
      </c>
      <c r="BA216">
        <v>13</v>
      </c>
      <c r="BB216">
        <v>0.46428570000000002</v>
      </c>
      <c r="BC216">
        <v>13</v>
      </c>
      <c r="BD216">
        <v>1</v>
      </c>
      <c r="BE216" t="s">
        <v>127</v>
      </c>
      <c r="BF216">
        <v>0</v>
      </c>
      <c r="BG216" t="s">
        <v>127</v>
      </c>
      <c r="BH216">
        <v>0</v>
      </c>
      <c r="BI216">
        <v>0</v>
      </c>
      <c r="BJ216">
        <v>0</v>
      </c>
      <c r="BK216">
        <v>0</v>
      </c>
      <c r="BL216">
        <v>0</v>
      </c>
      <c r="BM216">
        <v>0</v>
      </c>
    </row>
    <row r="217" spans="1:65" x14ac:dyDescent="0.25">
      <c r="A217" t="s">
        <v>552</v>
      </c>
      <c r="B217" t="s">
        <v>553</v>
      </c>
      <c r="C217">
        <v>66</v>
      </c>
      <c r="D217">
        <v>0</v>
      </c>
      <c r="E217">
        <v>0</v>
      </c>
      <c r="F217">
        <v>0</v>
      </c>
      <c r="G217">
        <v>0</v>
      </c>
      <c r="H217">
        <v>0</v>
      </c>
      <c r="I217">
        <v>0</v>
      </c>
      <c r="J217">
        <v>0</v>
      </c>
      <c r="K217">
        <v>0</v>
      </c>
      <c r="L217">
        <v>35</v>
      </c>
      <c r="M217">
        <v>0</v>
      </c>
      <c r="N217">
        <v>0</v>
      </c>
      <c r="O217">
        <v>0</v>
      </c>
      <c r="P217">
        <v>0</v>
      </c>
      <c r="Q217">
        <v>0</v>
      </c>
      <c r="R217">
        <v>0</v>
      </c>
      <c r="S217">
        <v>0</v>
      </c>
      <c r="T217">
        <v>0</v>
      </c>
      <c r="U217">
        <v>35</v>
      </c>
      <c r="V217">
        <v>0</v>
      </c>
      <c r="W217">
        <v>0</v>
      </c>
      <c r="X217">
        <v>0</v>
      </c>
      <c r="Y217">
        <v>0</v>
      </c>
      <c r="Z217">
        <v>0</v>
      </c>
      <c r="AA217">
        <v>0</v>
      </c>
      <c r="AB217">
        <v>0</v>
      </c>
      <c r="AC217">
        <v>0</v>
      </c>
      <c r="AD217">
        <v>0</v>
      </c>
      <c r="AE217">
        <v>0</v>
      </c>
      <c r="AF217">
        <v>0</v>
      </c>
      <c r="AG217">
        <v>0</v>
      </c>
      <c r="AH217">
        <v>0</v>
      </c>
      <c r="AI217">
        <v>0</v>
      </c>
      <c r="AJ217">
        <v>0</v>
      </c>
      <c r="AK217">
        <v>0</v>
      </c>
      <c r="AL217">
        <v>0</v>
      </c>
      <c r="AM217">
        <v>31</v>
      </c>
      <c r="AN217">
        <v>0</v>
      </c>
      <c r="AO217">
        <v>0</v>
      </c>
      <c r="AP217">
        <v>0</v>
      </c>
      <c r="AQ217">
        <v>0</v>
      </c>
      <c r="AR217">
        <v>0</v>
      </c>
      <c r="AS217">
        <v>0</v>
      </c>
      <c r="AT217">
        <v>0</v>
      </c>
      <c r="AU217">
        <v>0</v>
      </c>
      <c r="AV217">
        <v>31</v>
      </c>
      <c r="AW217">
        <v>0</v>
      </c>
      <c r="AX217">
        <v>0</v>
      </c>
      <c r="AY217">
        <v>0</v>
      </c>
      <c r="AZ217">
        <v>0</v>
      </c>
      <c r="BA217">
        <v>0</v>
      </c>
      <c r="BB217">
        <v>0</v>
      </c>
      <c r="BC217">
        <v>0</v>
      </c>
      <c r="BD217">
        <v>0</v>
      </c>
      <c r="BE217">
        <v>0</v>
      </c>
      <c r="BF217">
        <v>0</v>
      </c>
      <c r="BG217">
        <v>0</v>
      </c>
      <c r="BH217">
        <v>0</v>
      </c>
      <c r="BI217">
        <v>0</v>
      </c>
      <c r="BJ217">
        <v>0</v>
      </c>
      <c r="BK217">
        <v>0</v>
      </c>
      <c r="BL217">
        <v>0</v>
      </c>
      <c r="BM217">
        <v>0</v>
      </c>
    </row>
    <row r="218" spans="1:65" x14ac:dyDescent="0.25">
      <c r="A218" t="s">
        <v>554</v>
      </c>
      <c r="B218" t="s">
        <v>555</v>
      </c>
      <c r="C218">
        <v>616</v>
      </c>
      <c r="D218">
        <v>267</v>
      </c>
      <c r="E218">
        <v>0.43344159999999998</v>
      </c>
      <c r="F218">
        <v>157</v>
      </c>
      <c r="G218">
        <v>0.58801499999999995</v>
      </c>
      <c r="H218">
        <v>120</v>
      </c>
      <c r="I218">
        <v>0.44943820000000001</v>
      </c>
      <c r="J218">
        <v>120</v>
      </c>
      <c r="K218">
        <v>1</v>
      </c>
      <c r="L218">
        <v>293</v>
      </c>
      <c r="M218">
        <v>128</v>
      </c>
      <c r="N218">
        <v>0.43686009999999997</v>
      </c>
      <c r="O218">
        <v>78</v>
      </c>
      <c r="P218">
        <v>0.609375</v>
      </c>
      <c r="Q218">
        <v>57</v>
      </c>
      <c r="R218">
        <v>0.4453125</v>
      </c>
      <c r="S218">
        <v>57</v>
      </c>
      <c r="T218">
        <v>1</v>
      </c>
      <c r="U218">
        <v>293</v>
      </c>
      <c r="V218" t="s">
        <v>127</v>
      </c>
      <c r="W218" t="s">
        <v>127</v>
      </c>
      <c r="X218" t="s">
        <v>127</v>
      </c>
      <c r="Y218" t="s">
        <v>127</v>
      </c>
      <c r="Z218">
        <v>38</v>
      </c>
      <c r="AA218" t="s">
        <v>127</v>
      </c>
      <c r="AB218">
        <v>38</v>
      </c>
      <c r="AC218" t="s">
        <v>127</v>
      </c>
      <c r="AD218">
        <v>0</v>
      </c>
      <c r="AE218" t="s">
        <v>127</v>
      </c>
      <c r="AF218" t="s">
        <v>127</v>
      </c>
      <c r="AG218" t="s">
        <v>127</v>
      </c>
      <c r="AH218" t="s">
        <v>127</v>
      </c>
      <c r="AI218">
        <v>0</v>
      </c>
      <c r="AJ218" t="s">
        <v>127</v>
      </c>
      <c r="AK218">
        <v>0</v>
      </c>
      <c r="AL218" t="s">
        <v>127</v>
      </c>
      <c r="AM218">
        <v>323</v>
      </c>
      <c r="AN218">
        <v>139</v>
      </c>
      <c r="AO218">
        <v>0.43034060000000002</v>
      </c>
      <c r="AP218">
        <v>79</v>
      </c>
      <c r="AQ218">
        <v>0.56834530000000005</v>
      </c>
      <c r="AR218">
        <v>63</v>
      </c>
      <c r="AS218">
        <v>0.45323740000000001</v>
      </c>
      <c r="AT218">
        <v>63</v>
      </c>
      <c r="AU218">
        <v>1</v>
      </c>
      <c r="AV218" t="s">
        <v>127</v>
      </c>
      <c r="AW218" t="s">
        <v>127</v>
      </c>
      <c r="AX218" t="s">
        <v>127</v>
      </c>
      <c r="AY218" t="s">
        <v>127</v>
      </c>
      <c r="AZ218" t="s">
        <v>127</v>
      </c>
      <c r="BA218" t="s">
        <v>127</v>
      </c>
      <c r="BB218">
        <v>0.52564100000000002</v>
      </c>
      <c r="BC218" t="s">
        <v>127</v>
      </c>
      <c r="BD218">
        <v>1</v>
      </c>
      <c r="BE218" t="s">
        <v>127</v>
      </c>
      <c r="BF218" t="s">
        <v>127</v>
      </c>
      <c r="BG218" t="s">
        <v>127</v>
      </c>
      <c r="BH218" t="s">
        <v>127</v>
      </c>
      <c r="BI218" t="s">
        <v>127</v>
      </c>
      <c r="BJ218">
        <v>0</v>
      </c>
      <c r="BK218" t="s">
        <v>127</v>
      </c>
      <c r="BL218">
        <v>0</v>
      </c>
      <c r="BM218" t="s">
        <v>127</v>
      </c>
    </row>
    <row r="219" spans="1:65" x14ac:dyDescent="0.25">
      <c r="A219" t="s">
        <v>556</v>
      </c>
      <c r="B219" t="s">
        <v>557</v>
      </c>
      <c r="C219">
        <v>551</v>
      </c>
      <c r="D219">
        <v>126</v>
      </c>
      <c r="E219">
        <v>0.22867509999999999</v>
      </c>
      <c r="F219">
        <v>59</v>
      </c>
      <c r="G219">
        <v>0.468254</v>
      </c>
      <c r="H219">
        <v>52</v>
      </c>
      <c r="I219">
        <v>0.41269840000000002</v>
      </c>
      <c r="J219">
        <v>52</v>
      </c>
      <c r="K219">
        <v>1</v>
      </c>
      <c r="L219">
        <v>253</v>
      </c>
      <c r="M219">
        <v>63</v>
      </c>
      <c r="N219">
        <v>0.24901190000000001</v>
      </c>
      <c r="O219">
        <v>30</v>
      </c>
      <c r="P219">
        <v>0.47619050000000002</v>
      </c>
      <c r="Q219">
        <v>27</v>
      </c>
      <c r="R219">
        <v>0.42857139999999999</v>
      </c>
      <c r="S219">
        <v>27</v>
      </c>
      <c r="T219">
        <v>1</v>
      </c>
      <c r="U219">
        <v>253</v>
      </c>
      <c r="V219">
        <v>30</v>
      </c>
      <c r="W219">
        <v>0.1185771</v>
      </c>
      <c r="X219">
        <v>30</v>
      </c>
      <c r="Y219">
        <v>1</v>
      </c>
      <c r="Z219">
        <v>14</v>
      </c>
      <c r="AA219">
        <v>0.46666669999999999</v>
      </c>
      <c r="AB219">
        <v>14</v>
      </c>
      <c r="AC219">
        <v>1</v>
      </c>
      <c r="AD219">
        <v>0</v>
      </c>
      <c r="AE219">
        <v>0</v>
      </c>
      <c r="AF219">
        <v>0</v>
      </c>
      <c r="AG219">
        <v>0</v>
      </c>
      <c r="AH219">
        <v>0</v>
      </c>
      <c r="AI219">
        <v>0</v>
      </c>
      <c r="AJ219">
        <v>0</v>
      </c>
      <c r="AK219">
        <v>0</v>
      </c>
      <c r="AL219">
        <v>0</v>
      </c>
      <c r="AM219">
        <v>298</v>
      </c>
      <c r="AN219">
        <v>63</v>
      </c>
      <c r="AO219">
        <v>0.2114094</v>
      </c>
      <c r="AP219">
        <v>29</v>
      </c>
      <c r="AQ219">
        <v>0.46031749999999999</v>
      </c>
      <c r="AR219">
        <v>25</v>
      </c>
      <c r="AS219">
        <v>0.39682539999999999</v>
      </c>
      <c r="AT219">
        <v>25</v>
      </c>
      <c r="AU219">
        <v>1</v>
      </c>
      <c r="AV219">
        <v>298</v>
      </c>
      <c r="AW219">
        <v>29</v>
      </c>
      <c r="AX219">
        <v>9.7315399999999996E-2</v>
      </c>
      <c r="AY219">
        <v>29</v>
      </c>
      <c r="AZ219">
        <v>1</v>
      </c>
      <c r="BA219">
        <v>16</v>
      </c>
      <c r="BB219">
        <v>0.55172410000000005</v>
      </c>
      <c r="BC219">
        <v>16</v>
      </c>
      <c r="BD219">
        <v>1</v>
      </c>
      <c r="BE219">
        <v>0</v>
      </c>
      <c r="BF219">
        <v>0</v>
      </c>
      <c r="BG219">
        <v>0</v>
      </c>
      <c r="BH219">
        <v>0</v>
      </c>
      <c r="BI219">
        <v>0</v>
      </c>
      <c r="BJ219">
        <v>0</v>
      </c>
      <c r="BK219">
        <v>0</v>
      </c>
      <c r="BL219">
        <v>0</v>
      </c>
      <c r="BM219">
        <v>0</v>
      </c>
    </row>
    <row r="220" spans="1:65" x14ac:dyDescent="0.25">
      <c r="A220" t="s">
        <v>558</v>
      </c>
      <c r="B220" t="s">
        <v>559</v>
      </c>
      <c r="C220">
        <v>433</v>
      </c>
      <c r="D220">
        <v>285</v>
      </c>
      <c r="E220">
        <v>0.65819859999999997</v>
      </c>
      <c r="F220">
        <v>168</v>
      </c>
      <c r="G220">
        <v>0.58947369999999999</v>
      </c>
      <c r="H220">
        <v>150</v>
      </c>
      <c r="I220">
        <v>0.5263158</v>
      </c>
      <c r="J220">
        <v>150</v>
      </c>
      <c r="K220">
        <v>1</v>
      </c>
      <c r="L220">
        <v>163</v>
      </c>
      <c r="M220">
        <v>109</v>
      </c>
      <c r="N220">
        <v>0.66871170000000002</v>
      </c>
      <c r="O220">
        <v>60</v>
      </c>
      <c r="P220">
        <v>0.55045869999999997</v>
      </c>
      <c r="Q220">
        <v>61</v>
      </c>
      <c r="R220">
        <v>0.55963300000000005</v>
      </c>
      <c r="S220">
        <v>61</v>
      </c>
      <c r="T220">
        <v>1</v>
      </c>
      <c r="U220">
        <v>163</v>
      </c>
      <c r="V220">
        <v>60</v>
      </c>
      <c r="W220">
        <v>0.36809819999999999</v>
      </c>
      <c r="X220">
        <v>60</v>
      </c>
      <c r="Y220">
        <v>1</v>
      </c>
      <c r="Z220">
        <v>37</v>
      </c>
      <c r="AA220">
        <v>0.61666670000000001</v>
      </c>
      <c r="AB220">
        <v>37</v>
      </c>
      <c r="AC220">
        <v>1</v>
      </c>
      <c r="AD220">
        <v>0</v>
      </c>
      <c r="AE220">
        <v>0</v>
      </c>
      <c r="AF220">
        <v>0</v>
      </c>
      <c r="AG220">
        <v>0</v>
      </c>
      <c r="AH220">
        <v>0</v>
      </c>
      <c r="AI220">
        <v>0</v>
      </c>
      <c r="AJ220">
        <v>0</v>
      </c>
      <c r="AK220">
        <v>0</v>
      </c>
      <c r="AL220">
        <v>0</v>
      </c>
      <c r="AM220">
        <v>270</v>
      </c>
      <c r="AN220">
        <v>176</v>
      </c>
      <c r="AO220">
        <v>0.65185190000000004</v>
      </c>
      <c r="AP220">
        <v>108</v>
      </c>
      <c r="AQ220">
        <v>0.61363639999999997</v>
      </c>
      <c r="AR220">
        <v>89</v>
      </c>
      <c r="AS220">
        <v>0.50568179999999996</v>
      </c>
      <c r="AT220">
        <v>89</v>
      </c>
      <c r="AU220">
        <v>1</v>
      </c>
      <c r="AV220" t="s">
        <v>127</v>
      </c>
      <c r="AW220">
        <v>108</v>
      </c>
      <c r="AX220">
        <v>0.40148699999999998</v>
      </c>
      <c r="AY220" t="s">
        <v>127</v>
      </c>
      <c r="AZ220">
        <v>1</v>
      </c>
      <c r="BA220">
        <v>60</v>
      </c>
      <c r="BB220">
        <v>0.55555560000000004</v>
      </c>
      <c r="BC220">
        <v>60</v>
      </c>
      <c r="BD220">
        <v>1</v>
      </c>
      <c r="BE220" t="s">
        <v>127</v>
      </c>
      <c r="BF220">
        <v>0</v>
      </c>
      <c r="BG220" t="s">
        <v>127</v>
      </c>
      <c r="BH220">
        <v>0</v>
      </c>
      <c r="BI220">
        <v>0</v>
      </c>
      <c r="BJ220">
        <v>0</v>
      </c>
      <c r="BK220">
        <v>0</v>
      </c>
      <c r="BL220">
        <v>0</v>
      </c>
      <c r="BM220">
        <v>0</v>
      </c>
    </row>
    <row r="221" spans="1:65" x14ac:dyDescent="0.25">
      <c r="A221" t="s">
        <v>560</v>
      </c>
      <c r="B221" t="s">
        <v>561</v>
      </c>
      <c r="C221">
        <v>515</v>
      </c>
      <c r="D221">
        <v>118</v>
      </c>
      <c r="E221">
        <v>0.2291262</v>
      </c>
      <c r="F221">
        <v>91</v>
      </c>
      <c r="G221">
        <v>0.77118640000000005</v>
      </c>
      <c r="H221">
        <v>67</v>
      </c>
      <c r="I221">
        <v>0.56779659999999998</v>
      </c>
      <c r="J221">
        <v>67</v>
      </c>
      <c r="K221">
        <v>1</v>
      </c>
      <c r="L221">
        <v>234</v>
      </c>
      <c r="M221">
        <v>62</v>
      </c>
      <c r="N221">
        <v>0.26495730000000001</v>
      </c>
      <c r="O221">
        <v>47</v>
      </c>
      <c r="P221">
        <v>0.75806450000000003</v>
      </c>
      <c r="Q221">
        <v>38</v>
      </c>
      <c r="R221">
        <v>0.61290319999999998</v>
      </c>
      <c r="S221">
        <v>38</v>
      </c>
      <c r="T221">
        <v>1</v>
      </c>
      <c r="U221" t="s">
        <v>127</v>
      </c>
      <c r="V221" t="s">
        <v>127</v>
      </c>
      <c r="W221" t="s">
        <v>127</v>
      </c>
      <c r="X221" t="s">
        <v>127</v>
      </c>
      <c r="Y221" t="s">
        <v>127</v>
      </c>
      <c r="Z221">
        <v>31</v>
      </c>
      <c r="AA221" t="s">
        <v>127</v>
      </c>
      <c r="AB221">
        <v>31</v>
      </c>
      <c r="AC221" t="s">
        <v>127</v>
      </c>
      <c r="AD221" t="s">
        <v>127</v>
      </c>
      <c r="AE221" t="s">
        <v>127</v>
      </c>
      <c r="AF221" t="s">
        <v>127</v>
      </c>
      <c r="AG221" t="s">
        <v>127</v>
      </c>
      <c r="AH221" t="s">
        <v>127</v>
      </c>
      <c r="AI221">
        <v>0</v>
      </c>
      <c r="AJ221" t="s">
        <v>127</v>
      </c>
      <c r="AK221">
        <v>0</v>
      </c>
      <c r="AL221" t="s">
        <v>127</v>
      </c>
      <c r="AM221">
        <v>281</v>
      </c>
      <c r="AN221">
        <v>56</v>
      </c>
      <c r="AO221">
        <v>0.1992883</v>
      </c>
      <c r="AP221">
        <v>44</v>
      </c>
      <c r="AQ221">
        <v>0.78571429999999998</v>
      </c>
      <c r="AR221">
        <v>29</v>
      </c>
      <c r="AS221">
        <v>0.51785709999999996</v>
      </c>
      <c r="AT221">
        <v>29</v>
      </c>
      <c r="AU221">
        <v>1</v>
      </c>
      <c r="AV221" t="s">
        <v>127</v>
      </c>
      <c r="AW221">
        <v>44</v>
      </c>
      <c r="AX221">
        <v>0.15942029999999999</v>
      </c>
      <c r="AY221" t="s">
        <v>127</v>
      </c>
      <c r="AZ221">
        <v>1</v>
      </c>
      <c r="BA221">
        <v>23</v>
      </c>
      <c r="BB221">
        <v>0.52272730000000001</v>
      </c>
      <c r="BC221">
        <v>23</v>
      </c>
      <c r="BD221">
        <v>1</v>
      </c>
      <c r="BE221" t="s">
        <v>127</v>
      </c>
      <c r="BF221">
        <v>0</v>
      </c>
      <c r="BG221" t="s">
        <v>127</v>
      </c>
      <c r="BH221">
        <v>0</v>
      </c>
      <c r="BI221">
        <v>0</v>
      </c>
      <c r="BJ221">
        <v>0</v>
      </c>
      <c r="BK221">
        <v>0</v>
      </c>
      <c r="BL221">
        <v>0</v>
      </c>
      <c r="BM221">
        <v>0</v>
      </c>
    </row>
    <row r="222" spans="1:65" x14ac:dyDescent="0.25">
      <c r="A222" t="s">
        <v>562</v>
      </c>
      <c r="B222" t="s">
        <v>563</v>
      </c>
      <c r="C222">
        <v>388</v>
      </c>
      <c r="D222">
        <v>57</v>
      </c>
      <c r="E222">
        <v>0.14690719999999999</v>
      </c>
      <c r="F222">
        <v>38</v>
      </c>
      <c r="G222">
        <v>0.66666669999999995</v>
      </c>
      <c r="H222">
        <v>31</v>
      </c>
      <c r="I222">
        <v>0.5438596</v>
      </c>
      <c r="J222">
        <v>31</v>
      </c>
      <c r="K222">
        <v>1</v>
      </c>
      <c r="L222">
        <v>160</v>
      </c>
      <c r="M222">
        <v>19</v>
      </c>
      <c r="N222">
        <v>0.11874999999999999</v>
      </c>
      <c r="O222">
        <v>14</v>
      </c>
      <c r="P222">
        <v>0.73684210000000006</v>
      </c>
      <c r="Q222">
        <v>12</v>
      </c>
      <c r="R222">
        <v>0.63157890000000005</v>
      </c>
      <c r="S222">
        <v>12</v>
      </c>
      <c r="T222">
        <v>1</v>
      </c>
      <c r="U222">
        <v>160</v>
      </c>
      <c r="V222">
        <v>14</v>
      </c>
      <c r="W222">
        <v>8.7499999999999994E-2</v>
      </c>
      <c r="X222">
        <v>14</v>
      </c>
      <c r="Y222">
        <v>1</v>
      </c>
      <c r="Z222">
        <v>9</v>
      </c>
      <c r="AA222">
        <v>0.64285709999999996</v>
      </c>
      <c r="AB222">
        <v>9</v>
      </c>
      <c r="AC222">
        <v>1</v>
      </c>
      <c r="AD222">
        <v>0</v>
      </c>
      <c r="AE222">
        <v>0</v>
      </c>
      <c r="AF222">
        <v>0</v>
      </c>
      <c r="AG222">
        <v>0</v>
      </c>
      <c r="AH222">
        <v>0</v>
      </c>
      <c r="AI222">
        <v>0</v>
      </c>
      <c r="AJ222">
        <v>0</v>
      </c>
      <c r="AK222">
        <v>0</v>
      </c>
      <c r="AL222">
        <v>0</v>
      </c>
      <c r="AM222">
        <v>228</v>
      </c>
      <c r="AN222">
        <v>38</v>
      </c>
      <c r="AO222">
        <v>0.1666667</v>
      </c>
      <c r="AP222">
        <v>24</v>
      </c>
      <c r="AQ222">
        <v>0.63157890000000005</v>
      </c>
      <c r="AR222">
        <v>19</v>
      </c>
      <c r="AS222">
        <v>0.5</v>
      </c>
      <c r="AT222">
        <v>19</v>
      </c>
      <c r="AU222">
        <v>1</v>
      </c>
      <c r="AV222" t="s">
        <v>127</v>
      </c>
      <c r="AW222">
        <v>24</v>
      </c>
      <c r="AX222">
        <v>0.1057269</v>
      </c>
      <c r="AY222" t="s">
        <v>127</v>
      </c>
      <c r="AZ222">
        <v>1</v>
      </c>
      <c r="BA222">
        <v>13</v>
      </c>
      <c r="BB222">
        <v>0.54166669999999995</v>
      </c>
      <c r="BC222">
        <v>13</v>
      </c>
      <c r="BD222">
        <v>1</v>
      </c>
      <c r="BE222" t="s">
        <v>127</v>
      </c>
      <c r="BF222">
        <v>0</v>
      </c>
      <c r="BG222" t="s">
        <v>127</v>
      </c>
      <c r="BH222">
        <v>0</v>
      </c>
      <c r="BI222">
        <v>0</v>
      </c>
      <c r="BJ222">
        <v>0</v>
      </c>
      <c r="BK222">
        <v>0</v>
      </c>
      <c r="BL222">
        <v>0</v>
      </c>
      <c r="BM222">
        <v>0</v>
      </c>
    </row>
    <row r="223" spans="1:65" x14ac:dyDescent="0.25">
      <c r="A223" t="s">
        <v>564</v>
      </c>
      <c r="B223" t="s">
        <v>565</v>
      </c>
      <c r="C223">
        <v>192</v>
      </c>
      <c r="D223">
        <v>0</v>
      </c>
      <c r="E223">
        <v>0</v>
      </c>
      <c r="F223">
        <v>0</v>
      </c>
      <c r="G223">
        <v>0</v>
      </c>
      <c r="H223">
        <v>0</v>
      </c>
      <c r="I223">
        <v>0</v>
      </c>
      <c r="J223">
        <v>0</v>
      </c>
      <c r="K223">
        <v>0</v>
      </c>
      <c r="L223">
        <v>73</v>
      </c>
      <c r="M223" t="s">
        <v>127</v>
      </c>
      <c r="N223" t="s">
        <v>127</v>
      </c>
      <c r="O223">
        <v>0</v>
      </c>
      <c r="P223" t="s">
        <v>127</v>
      </c>
      <c r="Q223">
        <v>0</v>
      </c>
      <c r="R223" t="s">
        <v>127</v>
      </c>
      <c r="S223">
        <v>0</v>
      </c>
      <c r="T223" t="s">
        <v>127</v>
      </c>
      <c r="U223">
        <v>73</v>
      </c>
      <c r="V223">
        <v>0</v>
      </c>
      <c r="W223">
        <v>0</v>
      </c>
      <c r="X223">
        <v>0</v>
      </c>
      <c r="Y223">
        <v>0</v>
      </c>
      <c r="Z223">
        <v>0</v>
      </c>
      <c r="AA223">
        <v>0</v>
      </c>
      <c r="AB223">
        <v>0</v>
      </c>
      <c r="AC223">
        <v>0</v>
      </c>
      <c r="AD223">
        <v>0</v>
      </c>
      <c r="AE223">
        <v>0</v>
      </c>
      <c r="AF223">
        <v>0</v>
      </c>
      <c r="AG223">
        <v>0</v>
      </c>
      <c r="AH223">
        <v>0</v>
      </c>
      <c r="AI223">
        <v>0</v>
      </c>
      <c r="AJ223">
        <v>0</v>
      </c>
      <c r="AK223">
        <v>0</v>
      </c>
      <c r="AL223">
        <v>0</v>
      </c>
      <c r="AM223">
        <v>119</v>
      </c>
      <c r="AN223">
        <v>0</v>
      </c>
      <c r="AO223">
        <v>0</v>
      </c>
      <c r="AP223">
        <v>0</v>
      </c>
      <c r="AQ223">
        <v>0</v>
      </c>
      <c r="AR223">
        <v>0</v>
      </c>
      <c r="AS223">
        <v>0</v>
      </c>
      <c r="AT223">
        <v>0</v>
      </c>
      <c r="AU223">
        <v>0</v>
      </c>
      <c r="AV223" t="s">
        <v>127</v>
      </c>
      <c r="AW223">
        <v>0</v>
      </c>
      <c r="AX223">
        <v>0</v>
      </c>
      <c r="AY223" t="s">
        <v>127</v>
      </c>
      <c r="AZ223">
        <v>0</v>
      </c>
      <c r="BA223">
        <v>0</v>
      </c>
      <c r="BB223">
        <v>0</v>
      </c>
      <c r="BC223">
        <v>0</v>
      </c>
      <c r="BD223">
        <v>0</v>
      </c>
      <c r="BE223" t="s">
        <v>127</v>
      </c>
      <c r="BF223">
        <v>0</v>
      </c>
      <c r="BG223" t="s">
        <v>127</v>
      </c>
      <c r="BH223">
        <v>0</v>
      </c>
      <c r="BI223">
        <v>0</v>
      </c>
      <c r="BJ223">
        <v>0</v>
      </c>
      <c r="BK223">
        <v>0</v>
      </c>
      <c r="BL223">
        <v>0</v>
      </c>
      <c r="BM223">
        <v>0</v>
      </c>
    </row>
    <row r="224" spans="1:65" x14ac:dyDescent="0.25">
      <c r="A224" t="s">
        <v>566</v>
      </c>
      <c r="B224" t="s">
        <v>567</v>
      </c>
      <c r="C224">
        <v>296</v>
      </c>
      <c r="D224">
        <v>228</v>
      </c>
      <c r="E224">
        <v>0.77027029999999996</v>
      </c>
      <c r="F224">
        <v>136</v>
      </c>
      <c r="G224">
        <v>0.5964912</v>
      </c>
      <c r="H224">
        <v>123</v>
      </c>
      <c r="I224">
        <v>0.53947369999999994</v>
      </c>
      <c r="J224">
        <v>123</v>
      </c>
      <c r="K224">
        <v>1</v>
      </c>
      <c r="L224">
        <v>132</v>
      </c>
      <c r="M224">
        <v>104</v>
      </c>
      <c r="N224">
        <v>0.78787879999999999</v>
      </c>
      <c r="O224">
        <v>59</v>
      </c>
      <c r="P224">
        <v>0.56730769999999997</v>
      </c>
      <c r="Q224">
        <v>57</v>
      </c>
      <c r="R224">
        <v>0.54807689999999998</v>
      </c>
      <c r="S224">
        <v>57</v>
      </c>
      <c r="T224">
        <v>1</v>
      </c>
      <c r="U224">
        <v>132</v>
      </c>
      <c r="V224">
        <v>59</v>
      </c>
      <c r="W224">
        <v>0.44696970000000003</v>
      </c>
      <c r="X224">
        <v>59</v>
      </c>
      <c r="Y224">
        <v>1</v>
      </c>
      <c r="Z224">
        <v>34</v>
      </c>
      <c r="AA224">
        <v>0.57627119999999998</v>
      </c>
      <c r="AB224">
        <v>34</v>
      </c>
      <c r="AC224">
        <v>1</v>
      </c>
      <c r="AD224">
        <v>0</v>
      </c>
      <c r="AE224">
        <v>0</v>
      </c>
      <c r="AF224">
        <v>0</v>
      </c>
      <c r="AG224">
        <v>0</v>
      </c>
      <c r="AH224">
        <v>0</v>
      </c>
      <c r="AI224">
        <v>0</v>
      </c>
      <c r="AJ224">
        <v>0</v>
      </c>
      <c r="AK224">
        <v>0</v>
      </c>
      <c r="AL224">
        <v>0</v>
      </c>
      <c r="AM224">
        <v>164</v>
      </c>
      <c r="AN224">
        <v>124</v>
      </c>
      <c r="AO224">
        <v>0.75609760000000004</v>
      </c>
      <c r="AP224">
        <v>77</v>
      </c>
      <c r="AQ224">
        <v>0.62096770000000001</v>
      </c>
      <c r="AR224">
        <v>66</v>
      </c>
      <c r="AS224">
        <v>0.53225809999999996</v>
      </c>
      <c r="AT224">
        <v>66</v>
      </c>
      <c r="AU224">
        <v>1</v>
      </c>
      <c r="AV224" t="s">
        <v>127</v>
      </c>
      <c r="AW224" t="s">
        <v>127</v>
      </c>
      <c r="AX224" t="s">
        <v>127</v>
      </c>
      <c r="AY224" t="s">
        <v>127</v>
      </c>
      <c r="AZ224" t="s">
        <v>127</v>
      </c>
      <c r="BA224" t="s">
        <v>127</v>
      </c>
      <c r="BB224">
        <v>0.56578949999999995</v>
      </c>
      <c r="BC224" t="s">
        <v>127</v>
      </c>
      <c r="BD224">
        <v>1</v>
      </c>
      <c r="BE224" t="s">
        <v>127</v>
      </c>
      <c r="BF224" t="s">
        <v>127</v>
      </c>
      <c r="BG224" t="s">
        <v>127</v>
      </c>
      <c r="BH224" t="s">
        <v>127</v>
      </c>
      <c r="BI224" t="s">
        <v>127</v>
      </c>
      <c r="BJ224">
        <v>0</v>
      </c>
      <c r="BK224" t="s">
        <v>127</v>
      </c>
      <c r="BL224">
        <v>0</v>
      </c>
      <c r="BM224" t="s">
        <v>127</v>
      </c>
    </row>
    <row r="225" spans="1:65" x14ac:dyDescent="0.25">
      <c r="A225" t="s">
        <v>568</v>
      </c>
      <c r="B225" t="s">
        <v>569</v>
      </c>
      <c r="C225">
        <v>585</v>
      </c>
      <c r="D225">
        <v>227</v>
      </c>
      <c r="E225">
        <v>0.3880342</v>
      </c>
      <c r="F225">
        <v>133</v>
      </c>
      <c r="G225">
        <v>0.58590310000000001</v>
      </c>
      <c r="H225">
        <v>119</v>
      </c>
      <c r="I225">
        <v>0.5242291</v>
      </c>
      <c r="J225">
        <v>119</v>
      </c>
      <c r="K225">
        <v>1</v>
      </c>
      <c r="L225">
        <v>271</v>
      </c>
      <c r="M225">
        <v>105</v>
      </c>
      <c r="N225">
        <v>0.38745390000000002</v>
      </c>
      <c r="O225">
        <v>65</v>
      </c>
      <c r="P225">
        <v>0.61904760000000003</v>
      </c>
      <c r="Q225">
        <v>59</v>
      </c>
      <c r="R225">
        <v>0.56190479999999998</v>
      </c>
      <c r="S225">
        <v>59</v>
      </c>
      <c r="T225">
        <v>1</v>
      </c>
      <c r="U225">
        <v>271</v>
      </c>
      <c r="V225">
        <v>65</v>
      </c>
      <c r="W225">
        <v>0.23985239999999999</v>
      </c>
      <c r="X225">
        <v>65</v>
      </c>
      <c r="Y225">
        <v>1</v>
      </c>
      <c r="Z225">
        <v>34</v>
      </c>
      <c r="AA225">
        <v>0.52307689999999996</v>
      </c>
      <c r="AB225">
        <v>34</v>
      </c>
      <c r="AC225">
        <v>1</v>
      </c>
      <c r="AD225">
        <v>0</v>
      </c>
      <c r="AE225">
        <v>0</v>
      </c>
      <c r="AF225">
        <v>0</v>
      </c>
      <c r="AG225">
        <v>0</v>
      </c>
      <c r="AH225">
        <v>0</v>
      </c>
      <c r="AI225">
        <v>0</v>
      </c>
      <c r="AJ225">
        <v>0</v>
      </c>
      <c r="AK225">
        <v>0</v>
      </c>
      <c r="AL225">
        <v>0</v>
      </c>
      <c r="AM225">
        <v>314</v>
      </c>
      <c r="AN225">
        <v>122</v>
      </c>
      <c r="AO225">
        <v>0.38853500000000002</v>
      </c>
      <c r="AP225">
        <v>68</v>
      </c>
      <c r="AQ225">
        <v>0.55737700000000001</v>
      </c>
      <c r="AR225">
        <v>60</v>
      </c>
      <c r="AS225">
        <v>0.4918033</v>
      </c>
      <c r="AT225">
        <v>60</v>
      </c>
      <c r="AU225">
        <v>1</v>
      </c>
      <c r="AV225">
        <v>307</v>
      </c>
      <c r="AW225">
        <v>68</v>
      </c>
      <c r="AX225">
        <v>0.22149840000000001</v>
      </c>
      <c r="AY225">
        <v>68</v>
      </c>
      <c r="AZ225">
        <v>1</v>
      </c>
      <c r="BA225">
        <v>36</v>
      </c>
      <c r="BB225">
        <v>0.52941179999999999</v>
      </c>
      <c r="BC225">
        <v>36</v>
      </c>
      <c r="BD225">
        <v>1</v>
      </c>
      <c r="BE225">
        <v>7</v>
      </c>
      <c r="BF225">
        <v>0</v>
      </c>
      <c r="BG225">
        <v>0</v>
      </c>
      <c r="BH225">
        <v>0</v>
      </c>
      <c r="BI225">
        <v>0</v>
      </c>
      <c r="BJ225">
        <v>0</v>
      </c>
      <c r="BK225">
        <v>0</v>
      </c>
      <c r="BL225">
        <v>0</v>
      </c>
      <c r="BM225">
        <v>0</v>
      </c>
    </row>
    <row r="226" spans="1:65" x14ac:dyDescent="0.25">
      <c r="A226" t="s">
        <v>570</v>
      </c>
      <c r="B226" t="s">
        <v>571</v>
      </c>
      <c r="C226">
        <v>110</v>
      </c>
      <c r="D226">
        <v>183</v>
      </c>
      <c r="E226">
        <v>1.6636363999999999</v>
      </c>
      <c r="F226">
        <v>23</v>
      </c>
      <c r="G226">
        <v>0.12568309999999999</v>
      </c>
      <c r="H226">
        <v>120</v>
      </c>
      <c r="I226">
        <v>0.65573769999999998</v>
      </c>
      <c r="J226">
        <v>120</v>
      </c>
      <c r="K226">
        <v>1</v>
      </c>
      <c r="L226">
        <v>52</v>
      </c>
      <c r="M226">
        <v>92</v>
      </c>
      <c r="N226">
        <v>1.7692308000000001</v>
      </c>
      <c r="O226">
        <v>7</v>
      </c>
      <c r="P226">
        <v>7.6087000000000002E-2</v>
      </c>
      <c r="Q226">
        <v>61</v>
      </c>
      <c r="R226">
        <v>0.66304350000000001</v>
      </c>
      <c r="S226">
        <v>61</v>
      </c>
      <c r="T226">
        <v>1</v>
      </c>
      <c r="U226" t="s">
        <v>127</v>
      </c>
      <c r="V226">
        <v>7</v>
      </c>
      <c r="W226" t="s">
        <v>127</v>
      </c>
      <c r="X226">
        <v>7</v>
      </c>
      <c r="Y226">
        <v>1</v>
      </c>
      <c r="Z226">
        <v>5</v>
      </c>
      <c r="AA226">
        <v>0.71428570000000002</v>
      </c>
      <c r="AB226">
        <v>5</v>
      </c>
      <c r="AC226">
        <v>1</v>
      </c>
      <c r="AD226" t="s">
        <v>127</v>
      </c>
      <c r="AE226">
        <v>0</v>
      </c>
      <c r="AF226" t="s">
        <v>127</v>
      </c>
      <c r="AG226">
        <v>0</v>
      </c>
      <c r="AH226">
        <v>0</v>
      </c>
      <c r="AI226">
        <v>0</v>
      </c>
      <c r="AJ226">
        <v>0</v>
      </c>
      <c r="AK226">
        <v>0</v>
      </c>
      <c r="AL226">
        <v>0</v>
      </c>
      <c r="AM226">
        <v>58</v>
      </c>
      <c r="AN226">
        <v>91</v>
      </c>
      <c r="AO226">
        <v>1.5689655</v>
      </c>
      <c r="AP226">
        <v>16</v>
      </c>
      <c r="AQ226">
        <v>0.17582420000000001</v>
      </c>
      <c r="AR226">
        <v>59</v>
      </c>
      <c r="AS226">
        <v>0.64835160000000003</v>
      </c>
      <c r="AT226">
        <v>59</v>
      </c>
      <c r="AU226">
        <v>1</v>
      </c>
      <c r="AV226" t="s">
        <v>127</v>
      </c>
      <c r="AW226" t="s">
        <v>127</v>
      </c>
      <c r="AX226" t="s">
        <v>127</v>
      </c>
      <c r="AY226" t="s">
        <v>127</v>
      </c>
      <c r="AZ226" t="s">
        <v>127</v>
      </c>
      <c r="BA226" t="s">
        <v>127</v>
      </c>
      <c r="BB226">
        <v>0.73333329999999997</v>
      </c>
      <c r="BC226" t="s">
        <v>127</v>
      </c>
      <c r="BD226">
        <v>1</v>
      </c>
      <c r="BE226" t="s">
        <v>127</v>
      </c>
      <c r="BF226" t="s">
        <v>127</v>
      </c>
      <c r="BG226" t="s">
        <v>127</v>
      </c>
      <c r="BH226" t="s">
        <v>127</v>
      </c>
      <c r="BI226" t="s">
        <v>127</v>
      </c>
      <c r="BJ226">
        <v>0</v>
      </c>
      <c r="BK226" t="s">
        <v>127</v>
      </c>
      <c r="BL226">
        <v>0</v>
      </c>
      <c r="BM226" t="s">
        <v>127</v>
      </c>
    </row>
    <row r="227" spans="1:65" x14ac:dyDescent="0.25">
      <c r="A227" t="s">
        <v>572</v>
      </c>
      <c r="B227" t="s">
        <v>573</v>
      </c>
      <c r="C227">
        <v>92</v>
      </c>
      <c r="D227">
        <v>171</v>
      </c>
      <c r="E227">
        <v>1.8586957</v>
      </c>
      <c r="F227">
        <v>12</v>
      </c>
      <c r="G227">
        <v>7.0175399999999999E-2</v>
      </c>
      <c r="H227">
        <v>100</v>
      </c>
      <c r="I227">
        <v>0.58479530000000002</v>
      </c>
      <c r="J227">
        <v>100</v>
      </c>
      <c r="K227">
        <v>1</v>
      </c>
      <c r="L227">
        <v>39</v>
      </c>
      <c r="M227">
        <v>96</v>
      </c>
      <c r="N227">
        <v>2.4615385000000001</v>
      </c>
      <c r="O227">
        <v>6</v>
      </c>
      <c r="P227">
        <v>6.25E-2</v>
      </c>
      <c r="Q227">
        <v>56</v>
      </c>
      <c r="R227">
        <v>0.58333330000000005</v>
      </c>
      <c r="S227">
        <v>56</v>
      </c>
      <c r="T227">
        <v>1</v>
      </c>
      <c r="U227">
        <v>39</v>
      </c>
      <c r="V227">
        <v>6</v>
      </c>
      <c r="W227">
        <v>0.15384619999999999</v>
      </c>
      <c r="X227">
        <v>6</v>
      </c>
      <c r="Y227">
        <v>1</v>
      </c>
      <c r="Z227">
        <v>5</v>
      </c>
      <c r="AA227">
        <v>0.83333330000000005</v>
      </c>
      <c r="AB227">
        <v>5</v>
      </c>
      <c r="AC227">
        <v>1</v>
      </c>
      <c r="AD227">
        <v>0</v>
      </c>
      <c r="AE227">
        <v>0</v>
      </c>
      <c r="AF227">
        <v>0</v>
      </c>
      <c r="AG227">
        <v>0</v>
      </c>
      <c r="AH227">
        <v>0</v>
      </c>
      <c r="AI227">
        <v>0</v>
      </c>
      <c r="AJ227">
        <v>0</v>
      </c>
      <c r="AK227">
        <v>0</v>
      </c>
      <c r="AL227">
        <v>0</v>
      </c>
      <c r="AM227">
        <v>53</v>
      </c>
      <c r="AN227">
        <v>75</v>
      </c>
      <c r="AO227">
        <v>1.4150943</v>
      </c>
      <c r="AP227">
        <v>6</v>
      </c>
      <c r="AQ227">
        <v>0.08</v>
      </c>
      <c r="AR227">
        <v>44</v>
      </c>
      <c r="AS227">
        <v>0.58666669999999999</v>
      </c>
      <c r="AT227">
        <v>44</v>
      </c>
      <c r="AU227">
        <v>1</v>
      </c>
      <c r="AV227">
        <v>53</v>
      </c>
      <c r="AW227">
        <v>6</v>
      </c>
      <c r="AX227">
        <v>0.1132075</v>
      </c>
      <c r="AY227">
        <v>6</v>
      </c>
      <c r="AZ227">
        <v>1</v>
      </c>
      <c r="BA227">
        <v>3</v>
      </c>
      <c r="BB227">
        <v>0.5</v>
      </c>
      <c r="BC227">
        <v>3</v>
      </c>
      <c r="BD227">
        <v>1</v>
      </c>
      <c r="BE227">
        <v>0</v>
      </c>
      <c r="BF227">
        <v>0</v>
      </c>
      <c r="BG227">
        <v>0</v>
      </c>
      <c r="BH227">
        <v>0</v>
      </c>
      <c r="BI227">
        <v>0</v>
      </c>
      <c r="BJ227">
        <v>0</v>
      </c>
      <c r="BK227">
        <v>0</v>
      </c>
      <c r="BL227">
        <v>0</v>
      </c>
      <c r="BM227">
        <v>0</v>
      </c>
    </row>
    <row r="228" spans="1:65" x14ac:dyDescent="0.25">
      <c r="A228" t="s">
        <v>574</v>
      </c>
      <c r="B228" t="s">
        <v>575</v>
      </c>
      <c r="C228">
        <v>0</v>
      </c>
      <c r="D228">
        <v>252</v>
      </c>
      <c r="E228">
        <v>0</v>
      </c>
      <c r="F228">
        <v>0</v>
      </c>
      <c r="G228">
        <v>0</v>
      </c>
      <c r="H228">
        <v>103</v>
      </c>
      <c r="I228">
        <v>0.40873019999999999</v>
      </c>
      <c r="J228">
        <v>103</v>
      </c>
      <c r="K228">
        <v>1</v>
      </c>
      <c r="L228">
        <v>0</v>
      </c>
      <c r="M228">
        <v>106</v>
      </c>
      <c r="N228">
        <v>0</v>
      </c>
      <c r="O228">
        <v>0</v>
      </c>
      <c r="P228">
        <v>0</v>
      </c>
      <c r="Q228">
        <v>48</v>
      </c>
      <c r="R228">
        <v>0.45283020000000002</v>
      </c>
      <c r="S228">
        <v>48</v>
      </c>
      <c r="T228">
        <v>1</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146</v>
      </c>
      <c r="AO228">
        <v>0</v>
      </c>
      <c r="AP228">
        <v>0</v>
      </c>
      <c r="AQ228">
        <v>0</v>
      </c>
      <c r="AR228">
        <v>55</v>
      </c>
      <c r="AS228">
        <v>0.3767123</v>
      </c>
      <c r="AT228">
        <v>55</v>
      </c>
      <c r="AU228">
        <v>1</v>
      </c>
      <c r="AV228">
        <v>0</v>
      </c>
      <c r="AW228">
        <v>0</v>
      </c>
      <c r="AX228">
        <v>0</v>
      </c>
      <c r="AY228">
        <v>0</v>
      </c>
      <c r="AZ228">
        <v>0</v>
      </c>
      <c r="BA228">
        <v>0</v>
      </c>
      <c r="BB228">
        <v>0</v>
      </c>
      <c r="BC228">
        <v>0</v>
      </c>
      <c r="BD228">
        <v>0</v>
      </c>
      <c r="BE228">
        <v>0</v>
      </c>
      <c r="BF228">
        <v>0</v>
      </c>
      <c r="BG228">
        <v>0</v>
      </c>
      <c r="BH228">
        <v>0</v>
      </c>
      <c r="BI228">
        <v>0</v>
      </c>
      <c r="BJ228">
        <v>0</v>
      </c>
      <c r="BK228">
        <v>0</v>
      </c>
      <c r="BL228">
        <v>0</v>
      </c>
      <c r="BM228">
        <v>0</v>
      </c>
    </row>
    <row r="229" spans="1:65" x14ac:dyDescent="0.25">
      <c r="A229" t="s">
        <v>576</v>
      </c>
      <c r="B229" t="s">
        <v>577</v>
      </c>
      <c r="C229">
        <v>139</v>
      </c>
      <c r="D229">
        <v>59</v>
      </c>
      <c r="E229">
        <v>0.42446040000000002</v>
      </c>
      <c r="F229">
        <v>26</v>
      </c>
      <c r="G229">
        <v>0.44067800000000001</v>
      </c>
      <c r="H229">
        <v>29</v>
      </c>
      <c r="I229">
        <v>0.4915254</v>
      </c>
      <c r="J229">
        <v>29</v>
      </c>
      <c r="K229">
        <v>1</v>
      </c>
      <c r="L229">
        <v>58</v>
      </c>
      <c r="M229">
        <v>23</v>
      </c>
      <c r="N229">
        <v>0.39655170000000001</v>
      </c>
      <c r="O229">
        <v>7</v>
      </c>
      <c r="P229">
        <v>0.3043478</v>
      </c>
      <c r="Q229">
        <v>10</v>
      </c>
      <c r="R229">
        <v>0.43478260000000002</v>
      </c>
      <c r="S229">
        <v>10</v>
      </c>
      <c r="T229">
        <v>1</v>
      </c>
      <c r="U229" t="s">
        <v>127</v>
      </c>
      <c r="V229">
        <v>7</v>
      </c>
      <c r="W229" t="s">
        <v>127</v>
      </c>
      <c r="X229">
        <v>7</v>
      </c>
      <c r="Y229">
        <v>1</v>
      </c>
      <c r="Z229">
        <v>1</v>
      </c>
      <c r="AA229">
        <v>0.14285709999999999</v>
      </c>
      <c r="AB229">
        <v>1</v>
      </c>
      <c r="AC229">
        <v>1</v>
      </c>
      <c r="AD229" t="s">
        <v>127</v>
      </c>
      <c r="AE229">
        <v>0</v>
      </c>
      <c r="AF229" t="s">
        <v>127</v>
      </c>
      <c r="AG229">
        <v>0</v>
      </c>
      <c r="AH229">
        <v>0</v>
      </c>
      <c r="AI229">
        <v>0</v>
      </c>
      <c r="AJ229">
        <v>0</v>
      </c>
      <c r="AK229">
        <v>0</v>
      </c>
      <c r="AL229">
        <v>0</v>
      </c>
      <c r="AM229">
        <v>81</v>
      </c>
      <c r="AN229">
        <v>36</v>
      </c>
      <c r="AO229">
        <v>0.44444440000000002</v>
      </c>
      <c r="AP229">
        <v>19</v>
      </c>
      <c r="AQ229">
        <v>0.52777779999999996</v>
      </c>
      <c r="AR229">
        <v>19</v>
      </c>
      <c r="AS229">
        <v>0.52777779999999996</v>
      </c>
      <c r="AT229">
        <v>19</v>
      </c>
      <c r="AU229">
        <v>1</v>
      </c>
      <c r="AV229" t="s">
        <v>127</v>
      </c>
      <c r="AW229">
        <v>19</v>
      </c>
      <c r="AX229">
        <v>0.23749999999999999</v>
      </c>
      <c r="AY229" t="s">
        <v>127</v>
      </c>
      <c r="AZ229">
        <v>1</v>
      </c>
      <c r="BA229">
        <v>11</v>
      </c>
      <c r="BB229">
        <v>0.5789474</v>
      </c>
      <c r="BC229">
        <v>11</v>
      </c>
      <c r="BD229">
        <v>1</v>
      </c>
      <c r="BE229" t="s">
        <v>127</v>
      </c>
      <c r="BF229">
        <v>0</v>
      </c>
      <c r="BG229" t="s">
        <v>127</v>
      </c>
      <c r="BH229">
        <v>0</v>
      </c>
      <c r="BI229">
        <v>0</v>
      </c>
      <c r="BJ229">
        <v>0</v>
      </c>
      <c r="BK229">
        <v>0</v>
      </c>
      <c r="BL229">
        <v>0</v>
      </c>
      <c r="BM229">
        <v>0</v>
      </c>
    </row>
    <row r="230" spans="1:65" x14ac:dyDescent="0.25">
      <c r="A230" t="s">
        <v>578</v>
      </c>
      <c r="B230" t="s">
        <v>579</v>
      </c>
      <c r="C230">
        <v>530</v>
      </c>
      <c r="D230">
        <v>79</v>
      </c>
      <c r="E230">
        <v>0.14905660000000001</v>
      </c>
      <c r="F230">
        <v>45</v>
      </c>
      <c r="G230">
        <v>0.56962029999999997</v>
      </c>
      <c r="H230">
        <v>49</v>
      </c>
      <c r="I230">
        <v>0.62025319999999995</v>
      </c>
      <c r="J230">
        <v>49</v>
      </c>
      <c r="K230">
        <v>1</v>
      </c>
      <c r="L230">
        <v>283</v>
      </c>
      <c r="M230">
        <v>42</v>
      </c>
      <c r="N230">
        <v>0.14840990000000001</v>
      </c>
      <c r="O230">
        <v>27</v>
      </c>
      <c r="P230">
        <v>0.64285709999999996</v>
      </c>
      <c r="Q230">
        <v>27</v>
      </c>
      <c r="R230">
        <v>0.64285709999999996</v>
      </c>
      <c r="S230">
        <v>27</v>
      </c>
      <c r="T230">
        <v>1</v>
      </c>
      <c r="U230" t="s">
        <v>127</v>
      </c>
      <c r="V230">
        <v>27</v>
      </c>
      <c r="W230" t="s">
        <v>127</v>
      </c>
      <c r="X230">
        <v>27</v>
      </c>
      <c r="Y230">
        <v>1</v>
      </c>
      <c r="Z230">
        <v>20</v>
      </c>
      <c r="AA230">
        <v>0.74074070000000003</v>
      </c>
      <c r="AB230">
        <v>20</v>
      </c>
      <c r="AC230">
        <v>1</v>
      </c>
      <c r="AD230" t="s">
        <v>127</v>
      </c>
      <c r="AE230">
        <v>0</v>
      </c>
      <c r="AF230" t="s">
        <v>127</v>
      </c>
      <c r="AG230">
        <v>0</v>
      </c>
      <c r="AH230">
        <v>0</v>
      </c>
      <c r="AI230">
        <v>0</v>
      </c>
      <c r="AJ230">
        <v>0</v>
      </c>
      <c r="AK230">
        <v>0</v>
      </c>
      <c r="AL230">
        <v>0</v>
      </c>
      <c r="AM230">
        <v>247</v>
      </c>
      <c r="AN230">
        <v>37</v>
      </c>
      <c r="AO230">
        <v>0.1497976</v>
      </c>
      <c r="AP230">
        <v>18</v>
      </c>
      <c r="AQ230">
        <v>0.48648649999999999</v>
      </c>
      <c r="AR230">
        <v>22</v>
      </c>
      <c r="AS230">
        <v>0.59459459999999997</v>
      </c>
      <c r="AT230">
        <v>22</v>
      </c>
      <c r="AU230">
        <v>1</v>
      </c>
      <c r="AV230" t="s">
        <v>127</v>
      </c>
      <c r="AW230">
        <v>18</v>
      </c>
      <c r="AX230">
        <v>7.3469400000000004E-2</v>
      </c>
      <c r="AY230" t="s">
        <v>127</v>
      </c>
      <c r="AZ230">
        <v>1</v>
      </c>
      <c r="BA230">
        <v>16</v>
      </c>
      <c r="BB230">
        <v>0.88888889999999998</v>
      </c>
      <c r="BC230">
        <v>16</v>
      </c>
      <c r="BD230">
        <v>1</v>
      </c>
      <c r="BE230" t="s">
        <v>127</v>
      </c>
      <c r="BF230">
        <v>0</v>
      </c>
      <c r="BG230" t="s">
        <v>127</v>
      </c>
      <c r="BH230">
        <v>0</v>
      </c>
      <c r="BI230">
        <v>0</v>
      </c>
      <c r="BJ230">
        <v>0</v>
      </c>
      <c r="BK230">
        <v>0</v>
      </c>
      <c r="BL230">
        <v>0</v>
      </c>
      <c r="BM230">
        <v>0</v>
      </c>
    </row>
    <row r="231" spans="1:65" x14ac:dyDescent="0.25">
      <c r="A231" t="s">
        <v>580</v>
      </c>
      <c r="B231" t="s">
        <v>581</v>
      </c>
      <c r="C231">
        <v>209</v>
      </c>
      <c r="D231">
        <v>66</v>
      </c>
      <c r="E231">
        <v>0.3157895</v>
      </c>
      <c r="F231">
        <v>38</v>
      </c>
      <c r="G231">
        <v>0.57575759999999998</v>
      </c>
      <c r="H231">
        <v>48</v>
      </c>
      <c r="I231">
        <v>0.72727269999999999</v>
      </c>
      <c r="J231">
        <v>48</v>
      </c>
      <c r="K231">
        <v>1</v>
      </c>
      <c r="L231">
        <v>101</v>
      </c>
      <c r="M231">
        <v>32</v>
      </c>
      <c r="N231">
        <v>0.31683169999999999</v>
      </c>
      <c r="O231">
        <v>14</v>
      </c>
      <c r="P231">
        <v>0.4375</v>
      </c>
      <c r="Q231">
        <v>25</v>
      </c>
      <c r="R231">
        <v>0.78125</v>
      </c>
      <c r="S231">
        <v>25</v>
      </c>
      <c r="T231">
        <v>1</v>
      </c>
      <c r="U231">
        <v>101</v>
      </c>
      <c r="V231">
        <v>14</v>
      </c>
      <c r="W231">
        <v>0.13861390000000001</v>
      </c>
      <c r="X231">
        <v>14</v>
      </c>
      <c r="Y231">
        <v>1</v>
      </c>
      <c r="Z231">
        <v>12</v>
      </c>
      <c r="AA231">
        <v>0.85714290000000004</v>
      </c>
      <c r="AB231">
        <v>12</v>
      </c>
      <c r="AC231">
        <v>1</v>
      </c>
      <c r="AD231">
        <v>0</v>
      </c>
      <c r="AE231">
        <v>0</v>
      </c>
      <c r="AF231">
        <v>0</v>
      </c>
      <c r="AG231">
        <v>0</v>
      </c>
      <c r="AH231">
        <v>0</v>
      </c>
      <c r="AI231">
        <v>0</v>
      </c>
      <c r="AJ231">
        <v>0</v>
      </c>
      <c r="AK231">
        <v>0</v>
      </c>
      <c r="AL231">
        <v>0</v>
      </c>
      <c r="AM231">
        <v>108</v>
      </c>
      <c r="AN231">
        <v>34</v>
      </c>
      <c r="AO231">
        <v>0.31481480000000001</v>
      </c>
      <c r="AP231">
        <v>24</v>
      </c>
      <c r="AQ231">
        <v>0.70588240000000002</v>
      </c>
      <c r="AR231">
        <v>23</v>
      </c>
      <c r="AS231">
        <v>0.67647060000000003</v>
      </c>
      <c r="AT231">
        <v>23</v>
      </c>
      <c r="AU231">
        <v>1</v>
      </c>
      <c r="AV231" t="s">
        <v>127</v>
      </c>
      <c r="AW231">
        <v>24</v>
      </c>
      <c r="AX231">
        <v>0.2242991</v>
      </c>
      <c r="AY231" t="s">
        <v>127</v>
      </c>
      <c r="AZ231">
        <v>1</v>
      </c>
      <c r="BA231">
        <v>17</v>
      </c>
      <c r="BB231">
        <v>0.70833330000000005</v>
      </c>
      <c r="BC231">
        <v>17</v>
      </c>
      <c r="BD231">
        <v>1</v>
      </c>
      <c r="BE231" t="s">
        <v>127</v>
      </c>
      <c r="BF231">
        <v>0</v>
      </c>
      <c r="BG231" t="s">
        <v>127</v>
      </c>
      <c r="BH231">
        <v>0</v>
      </c>
      <c r="BI231">
        <v>0</v>
      </c>
      <c r="BJ231">
        <v>0</v>
      </c>
      <c r="BK231">
        <v>0</v>
      </c>
      <c r="BL231">
        <v>0</v>
      </c>
      <c r="BM231">
        <v>0</v>
      </c>
    </row>
    <row r="232" spans="1:65" x14ac:dyDescent="0.25">
      <c r="A232" t="s">
        <v>582</v>
      </c>
      <c r="B232" t="s">
        <v>583</v>
      </c>
      <c r="C232">
        <v>354</v>
      </c>
      <c r="D232">
        <v>282</v>
      </c>
      <c r="E232">
        <v>0.79661020000000005</v>
      </c>
      <c r="F232">
        <v>168</v>
      </c>
      <c r="G232">
        <v>0.59574470000000002</v>
      </c>
      <c r="H232">
        <v>148</v>
      </c>
      <c r="I232">
        <v>0.52482269999999998</v>
      </c>
      <c r="J232">
        <v>148</v>
      </c>
      <c r="K232">
        <v>1</v>
      </c>
      <c r="L232">
        <v>182</v>
      </c>
      <c r="M232">
        <v>143</v>
      </c>
      <c r="N232">
        <v>0.78571429999999998</v>
      </c>
      <c r="O232">
        <v>86</v>
      </c>
      <c r="P232">
        <v>0.60139860000000001</v>
      </c>
      <c r="Q232">
        <v>68</v>
      </c>
      <c r="R232">
        <v>0.47552450000000002</v>
      </c>
      <c r="S232">
        <v>68</v>
      </c>
      <c r="T232">
        <v>1</v>
      </c>
      <c r="U232">
        <v>182</v>
      </c>
      <c r="V232">
        <v>86</v>
      </c>
      <c r="W232">
        <v>0.47252749999999999</v>
      </c>
      <c r="X232">
        <v>86</v>
      </c>
      <c r="Y232">
        <v>1</v>
      </c>
      <c r="Z232">
        <v>34</v>
      </c>
      <c r="AA232">
        <v>0.3953488</v>
      </c>
      <c r="AB232">
        <v>34</v>
      </c>
      <c r="AC232">
        <v>1</v>
      </c>
      <c r="AD232">
        <v>0</v>
      </c>
      <c r="AE232">
        <v>0</v>
      </c>
      <c r="AF232">
        <v>0</v>
      </c>
      <c r="AG232">
        <v>0</v>
      </c>
      <c r="AH232">
        <v>0</v>
      </c>
      <c r="AI232">
        <v>0</v>
      </c>
      <c r="AJ232">
        <v>0</v>
      </c>
      <c r="AK232">
        <v>0</v>
      </c>
      <c r="AL232">
        <v>0</v>
      </c>
      <c r="AM232">
        <v>172</v>
      </c>
      <c r="AN232">
        <v>139</v>
      </c>
      <c r="AO232">
        <v>0.80813950000000001</v>
      </c>
      <c r="AP232">
        <v>82</v>
      </c>
      <c r="AQ232">
        <v>0.58992809999999996</v>
      </c>
      <c r="AR232">
        <v>80</v>
      </c>
      <c r="AS232">
        <v>0.57553960000000004</v>
      </c>
      <c r="AT232">
        <v>80</v>
      </c>
      <c r="AU232">
        <v>1</v>
      </c>
      <c r="AV232">
        <v>172</v>
      </c>
      <c r="AW232">
        <v>82</v>
      </c>
      <c r="AX232">
        <v>0.47674420000000001</v>
      </c>
      <c r="AY232">
        <v>82</v>
      </c>
      <c r="AZ232">
        <v>1</v>
      </c>
      <c r="BA232">
        <v>49</v>
      </c>
      <c r="BB232">
        <v>0.59756100000000001</v>
      </c>
      <c r="BC232">
        <v>49</v>
      </c>
      <c r="BD232">
        <v>1</v>
      </c>
      <c r="BE232">
        <v>0</v>
      </c>
      <c r="BF232">
        <v>0</v>
      </c>
      <c r="BG232">
        <v>0</v>
      </c>
      <c r="BH232">
        <v>0</v>
      </c>
      <c r="BI232">
        <v>0</v>
      </c>
      <c r="BJ232">
        <v>0</v>
      </c>
      <c r="BK232">
        <v>0</v>
      </c>
      <c r="BL232">
        <v>0</v>
      </c>
      <c r="BM232">
        <v>0</v>
      </c>
    </row>
    <row r="233" spans="1:65" x14ac:dyDescent="0.25">
      <c r="A233" t="s">
        <v>584</v>
      </c>
      <c r="B233" t="s">
        <v>585</v>
      </c>
      <c r="C233">
        <v>222</v>
      </c>
      <c r="D233">
        <v>0</v>
      </c>
      <c r="E233">
        <v>0</v>
      </c>
      <c r="F233">
        <v>0</v>
      </c>
      <c r="G233">
        <v>0</v>
      </c>
      <c r="H233">
        <v>0</v>
      </c>
      <c r="I233">
        <v>0</v>
      </c>
      <c r="J233">
        <v>0</v>
      </c>
      <c r="K233">
        <v>0</v>
      </c>
      <c r="L233">
        <v>96</v>
      </c>
      <c r="M233" t="s">
        <v>127</v>
      </c>
      <c r="N233" t="s">
        <v>127</v>
      </c>
      <c r="O233">
        <v>0</v>
      </c>
      <c r="P233" t="s">
        <v>127</v>
      </c>
      <c r="Q233" t="s">
        <v>127</v>
      </c>
      <c r="R233" t="s">
        <v>127</v>
      </c>
      <c r="S233" t="s">
        <v>127</v>
      </c>
      <c r="T233" t="s">
        <v>127</v>
      </c>
      <c r="U233" t="s">
        <v>127</v>
      </c>
      <c r="V233">
        <v>0</v>
      </c>
      <c r="W233" t="s">
        <v>127</v>
      </c>
      <c r="X233">
        <v>0</v>
      </c>
      <c r="Y233">
        <v>0</v>
      </c>
      <c r="Z233">
        <v>0</v>
      </c>
      <c r="AA233">
        <v>0</v>
      </c>
      <c r="AB233">
        <v>0</v>
      </c>
      <c r="AC233">
        <v>0</v>
      </c>
      <c r="AD233" t="s">
        <v>127</v>
      </c>
      <c r="AE233">
        <v>0</v>
      </c>
      <c r="AF233" t="s">
        <v>127</v>
      </c>
      <c r="AG233">
        <v>0</v>
      </c>
      <c r="AH233">
        <v>0</v>
      </c>
      <c r="AI233">
        <v>0</v>
      </c>
      <c r="AJ233">
        <v>0</v>
      </c>
      <c r="AK233">
        <v>0</v>
      </c>
      <c r="AL233">
        <v>0</v>
      </c>
      <c r="AM233">
        <v>126</v>
      </c>
      <c r="AN233" t="s">
        <v>127</v>
      </c>
      <c r="AO233" t="s">
        <v>127</v>
      </c>
      <c r="AP233">
        <v>0</v>
      </c>
      <c r="AQ233" t="s">
        <v>127</v>
      </c>
      <c r="AR233" t="s">
        <v>127</v>
      </c>
      <c r="AS233" t="s">
        <v>127</v>
      </c>
      <c r="AT233" t="s">
        <v>127</v>
      </c>
      <c r="AU233" t="s">
        <v>127</v>
      </c>
      <c r="AV233" t="s">
        <v>127</v>
      </c>
      <c r="AW233">
        <v>0</v>
      </c>
      <c r="AX233">
        <v>0</v>
      </c>
      <c r="AY233" t="s">
        <v>127</v>
      </c>
      <c r="AZ233">
        <v>0</v>
      </c>
      <c r="BA233">
        <v>0</v>
      </c>
      <c r="BB233">
        <v>0</v>
      </c>
      <c r="BC233">
        <v>0</v>
      </c>
      <c r="BD233">
        <v>0</v>
      </c>
      <c r="BE233" t="s">
        <v>127</v>
      </c>
      <c r="BF233">
        <v>0</v>
      </c>
      <c r="BG233" t="s">
        <v>127</v>
      </c>
      <c r="BH233">
        <v>0</v>
      </c>
      <c r="BI233">
        <v>0</v>
      </c>
      <c r="BJ233">
        <v>0</v>
      </c>
      <c r="BK233">
        <v>0</v>
      </c>
      <c r="BL233">
        <v>0</v>
      </c>
      <c r="BM233">
        <v>0</v>
      </c>
    </row>
    <row r="234" spans="1:65" x14ac:dyDescent="0.25">
      <c r="A234" t="s">
        <v>586</v>
      </c>
      <c r="B234" t="s">
        <v>587</v>
      </c>
      <c r="C234">
        <v>395</v>
      </c>
      <c r="D234">
        <v>166</v>
      </c>
      <c r="E234">
        <v>0.42025319999999999</v>
      </c>
      <c r="F234">
        <v>118</v>
      </c>
      <c r="G234">
        <v>0.71084340000000001</v>
      </c>
      <c r="H234">
        <v>103</v>
      </c>
      <c r="I234">
        <v>0.62048190000000003</v>
      </c>
      <c r="J234">
        <v>103</v>
      </c>
      <c r="K234">
        <v>1</v>
      </c>
      <c r="L234">
        <v>244</v>
      </c>
      <c r="M234">
        <v>103</v>
      </c>
      <c r="N234">
        <v>0.42213109999999998</v>
      </c>
      <c r="O234">
        <v>71</v>
      </c>
      <c r="P234">
        <v>0.68932040000000006</v>
      </c>
      <c r="Q234">
        <v>68</v>
      </c>
      <c r="R234">
        <v>0.66019419999999995</v>
      </c>
      <c r="S234">
        <v>68</v>
      </c>
      <c r="T234">
        <v>1</v>
      </c>
      <c r="U234">
        <v>244</v>
      </c>
      <c r="V234">
        <v>71</v>
      </c>
      <c r="W234">
        <v>0.29098360000000001</v>
      </c>
      <c r="X234">
        <v>71</v>
      </c>
      <c r="Y234">
        <v>1</v>
      </c>
      <c r="Z234">
        <v>50</v>
      </c>
      <c r="AA234">
        <v>0.7042254</v>
      </c>
      <c r="AB234">
        <v>50</v>
      </c>
      <c r="AC234">
        <v>1</v>
      </c>
      <c r="AD234">
        <v>0</v>
      </c>
      <c r="AE234">
        <v>0</v>
      </c>
      <c r="AF234">
        <v>0</v>
      </c>
      <c r="AG234">
        <v>0</v>
      </c>
      <c r="AH234">
        <v>0</v>
      </c>
      <c r="AI234">
        <v>0</v>
      </c>
      <c r="AJ234">
        <v>0</v>
      </c>
      <c r="AK234">
        <v>0</v>
      </c>
      <c r="AL234">
        <v>0</v>
      </c>
      <c r="AM234">
        <v>151</v>
      </c>
      <c r="AN234">
        <v>63</v>
      </c>
      <c r="AO234">
        <v>0.41721849999999999</v>
      </c>
      <c r="AP234">
        <v>47</v>
      </c>
      <c r="AQ234">
        <v>0.74603169999999996</v>
      </c>
      <c r="AR234">
        <v>35</v>
      </c>
      <c r="AS234">
        <v>0.55555560000000004</v>
      </c>
      <c r="AT234">
        <v>35</v>
      </c>
      <c r="AU234">
        <v>1</v>
      </c>
      <c r="AV234">
        <v>151</v>
      </c>
      <c r="AW234">
        <v>47</v>
      </c>
      <c r="AX234">
        <v>0.31125829999999999</v>
      </c>
      <c r="AY234">
        <v>47</v>
      </c>
      <c r="AZ234">
        <v>1</v>
      </c>
      <c r="BA234">
        <v>28</v>
      </c>
      <c r="BB234">
        <v>0.59574470000000002</v>
      </c>
      <c r="BC234">
        <v>28</v>
      </c>
      <c r="BD234">
        <v>1</v>
      </c>
      <c r="BE234">
        <v>0</v>
      </c>
      <c r="BF234">
        <v>0</v>
      </c>
      <c r="BG234">
        <v>0</v>
      </c>
      <c r="BH234">
        <v>0</v>
      </c>
      <c r="BI234">
        <v>0</v>
      </c>
      <c r="BJ234">
        <v>0</v>
      </c>
      <c r="BK234">
        <v>0</v>
      </c>
      <c r="BL234">
        <v>0</v>
      </c>
      <c r="BM234">
        <v>0</v>
      </c>
    </row>
    <row r="235" spans="1:65" x14ac:dyDescent="0.25">
      <c r="A235" t="s">
        <v>588</v>
      </c>
      <c r="B235" t="s">
        <v>589</v>
      </c>
      <c r="C235">
        <v>44</v>
      </c>
      <c r="D235">
        <v>39</v>
      </c>
      <c r="E235">
        <v>0.88636360000000003</v>
      </c>
      <c r="F235">
        <v>26</v>
      </c>
      <c r="G235">
        <v>0.66666669999999995</v>
      </c>
      <c r="H235">
        <v>13</v>
      </c>
      <c r="I235">
        <v>0.3333333</v>
      </c>
      <c r="J235">
        <v>13</v>
      </c>
      <c r="K235">
        <v>1</v>
      </c>
      <c r="L235">
        <v>18</v>
      </c>
      <c r="M235">
        <v>16</v>
      </c>
      <c r="N235">
        <v>0.88888889999999998</v>
      </c>
      <c r="O235">
        <v>10</v>
      </c>
      <c r="P235">
        <v>0.625</v>
      </c>
      <c r="Q235">
        <v>7</v>
      </c>
      <c r="R235">
        <v>0.4375</v>
      </c>
      <c r="S235">
        <v>7</v>
      </c>
      <c r="T235">
        <v>1</v>
      </c>
      <c r="U235">
        <v>18</v>
      </c>
      <c r="V235">
        <v>10</v>
      </c>
      <c r="W235">
        <v>0.55555560000000004</v>
      </c>
      <c r="X235">
        <v>10</v>
      </c>
      <c r="Y235">
        <v>1</v>
      </c>
      <c r="Z235">
        <v>4</v>
      </c>
      <c r="AA235">
        <v>0.4</v>
      </c>
      <c r="AB235">
        <v>4</v>
      </c>
      <c r="AC235">
        <v>1</v>
      </c>
      <c r="AD235">
        <v>0</v>
      </c>
      <c r="AE235">
        <v>0</v>
      </c>
      <c r="AF235">
        <v>0</v>
      </c>
      <c r="AG235">
        <v>0</v>
      </c>
      <c r="AH235">
        <v>0</v>
      </c>
      <c r="AI235">
        <v>0</v>
      </c>
      <c r="AJ235">
        <v>0</v>
      </c>
      <c r="AK235">
        <v>0</v>
      </c>
      <c r="AL235">
        <v>0</v>
      </c>
      <c r="AM235">
        <v>26</v>
      </c>
      <c r="AN235">
        <v>23</v>
      </c>
      <c r="AO235">
        <v>0.88461540000000005</v>
      </c>
      <c r="AP235">
        <v>16</v>
      </c>
      <c r="AQ235">
        <v>0.69565220000000005</v>
      </c>
      <c r="AR235">
        <v>6</v>
      </c>
      <c r="AS235">
        <v>0.26086959999999998</v>
      </c>
      <c r="AT235">
        <v>6</v>
      </c>
      <c r="AU235">
        <v>1</v>
      </c>
      <c r="AV235">
        <v>26</v>
      </c>
      <c r="AW235">
        <v>16</v>
      </c>
      <c r="AX235">
        <v>0.61538459999999995</v>
      </c>
      <c r="AY235">
        <v>16</v>
      </c>
      <c r="AZ235">
        <v>1</v>
      </c>
      <c r="BA235">
        <v>4</v>
      </c>
      <c r="BB235">
        <v>0.25</v>
      </c>
      <c r="BC235">
        <v>4</v>
      </c>
      <c r="BD235">
        <v>1</v>
      </c>
      <c r="BE235">
        <v>0</v>
      </c>
      <c r="BF235">
        <v>0</v>
      </c>
      <c r="BG235">
        <v>0</v>
      </c>
      <c r="BH235">
        <v>0</v>
      </c>
      <c r="BI235">
        <v>0</v>
      </c>
      <c r="BJ235">
        <v>0</v>
      </c>
      <c r="BK235">
        <v>0</v>
      </c>
      <c r="BL235">
        <v>0</v>
      </c>
      <c r="BM235">
        <v>0</v>
      </c>
    </row>
    <row r="236" spans="1:65" x14ac:dyDescent="0.25">
      <c r="A236" t="s">
        <v>590</v>
      </c>
      <c r="B236" t="s">
        <v>591</v>
      </c>
      <c r="C236">
        <v>165</v>
      </c>
      <c r="D236">
        <v>100</v>
      </c>
      <c r="E236">
        <v>0.60606059999999995</v>
      </c>
      <c r="F236">
        <v>61</v>
      </c>
      <c r="G236">
        <v>0.61</v>
      </c>
      <c r="H236">
        <v>49</v>
      </c>
      <c r="I236">
        <v>0.49</v>
      </c>
      <c r="J236">
        <v>49</v>
      </c>
      <c r="K236">
        <v>1</v>
      </c>
      <c r="L236">
        <v>49</v>
      </c>
      <c r="M236">
        <v>30</v>
      </c>
      <c r="N236">
        <v>0.61224489999999998</v>
      </c>
      <c r="O236">
        <v>17</v>
      </c>
      <c r="P236">
        <v>0.56666669999999997</v>
      </c>
      <c r="Q236">
        <v>16</v>
      </c>
      <c r="R236">
        <v>0.53333330000000001</v>
      </c>
      <c r="S236">
        <v>16</v>
      </c>
      <c r="T236">
        <v>1</v>
      </c>
      <c r="U236" t="s">
        <v>127</v>
      </c>
      <c r="V236">
        <v>17</v>
      </c>
      <c r="W236" t="s">
        <v>127</v>
      </c>
      <c r="X236">
        <v>17</v>
      </c>
      <c r="Y236">
        <v>1</v>
      </c>
      <c r="Z236">
        <v>11</v>
      </c>
      <c r="AA236">
        <v>0.64705880000000005</v>
      </c>
      <c r="AB236">
        <v>11</v>
      </c>
      <c r="AC236">
        <v>1</v>
      </c>
      <c r="AD236" t="s">
        <v>127</v>
      </c>
      <c r="AE236">
        <v>0</v>
      </c>
      <c r="AF236" t="s">
        <v>127</v>
      </c>
      <c r="AG236">
        <v>0</v>
      </c>
      <c r="AH236">
        <v>0</v>
      </c>
      <c r="AI236">
        <v>0</v>
      </c>
      <c r="AJ236">
        <v>0</v>
      </c>
      <c r="AK236">
        <v>0</v>
      </c>
      <c r="AL236">
        <v>0</v>
      </c>
      <c r="AM236">
        <v>116</v>
      </c>
      <c r="AN236">
        <v>70</v>
      </c>
      <c r="AO236">
        <v>0.60344830000000005</v>
      </c>
      <c r="AP236">
        <v>44</v>
      </c>
      <c r="AQ236">
        <v>0.6285714</v>
      </c>
      <c r="AR236">
        <v>33</v>
      </c>
      <c r="AS236">
        <v>0.47142859999999998</v>
      </c>
      <c r="AT236">
        <v>33</v>
      </c>
      <c r="AU236">
        <v>1</v>
      </c>
      <c r="AV236" t="s">
        <v>127</v>
      </c>
      <c r="AW236">
        <v>44</v>
      </c>
      <c r="AX236">
        <v>0.3859649</v>
      </c>
      <c r="AY236" t="s">
        <v>127</v>
      </c>
      <c r="AZ236">
        <v>1</v>
      </c>
      <c r="BA236">
        <v>27</v>
      </c>
      <c r="BB236">
        <v>0.61363639999999997</v>
      </c>
      <c r="BC236">
        <v>27</v>
      </c>
      <c r="BD236">
        <v>1</v>
      </c>
      <c r="BE236" t="s">
        <v>127</v>
      </c>
      <c r="BF236">
        <v>0</v>
      </c>
      <c r="BG236" t="s">
        <v>127</v>
      </c>
      <c r="BH236">
        <v>0</v>
      </c>
      <c r="BI236">
        <v>0</v>
      </c>
      <c r="BJ236">
        <v>0</v>
      </c>
      <c r="BK236">
        <v>0</v>
      </c>
      <c r="BL236">
        <v>0</v>
      </c>
      <c r="BM236">
        <v>0</v>
      </c>
    </row>
    <row r="237" spans="1:65" x14ac:dyDescent="0.25">
      <c r="A237" t="s">
        <v>592</v>
      </c>
      <c r="B237" t="s">
        <v>593</v>
      </c>
      <c r="C237">
        <v>73</v>
      </c>
      <c r="D237">
        <v>48</v>
      </c>
      <c r="E237">
        <v>0.65753419999999996</v>
      </c>
      <c r="F237">
        <v>19</v>
      </c>
      <c r="G237">
        <v>0.3958333</v>
      </c>
      <c r="H237">
        <v>21</v>
      </c>
      <c r="I237">
        <v>0.4375</v>
      </c>
      <c r="J237">
        <v>21</v>
      </c>
      <c r="K237">
        <v>1</v>
      </c>
      <c r="L237">
        <v>35</v>
      </c>
      <c r="M237">
        <v>27</v>
      </c>
      <c r="N237">
        <v>0.77142860000000002</v>
      </c>
      <c r="O237">
        <v>13</v>
      </c>
      <c r="P237">
        <v>0.48148150000000001</v>
      </c>
      <c r="Q237">
        <v>13</v>
      </c>
      <c r="R237">
        <v>0.48148150000000001</v>
      </c>
      <c r="S237">
        <v>13</v>
      </c>
      <c r="T237">
        <v>1</v>
      </c>
      <c r="U237">
        <v>35</v>
      </c>
      <c r="V237">
        <v>13</v>
      </c>
      <c r="W237">
        <v>0.3714286</v>
      </c>
      <c r="X237">
        <v>13</v>
      </c>
      <c r="Y237">
        <v>1</v>
      </c>
      <c r="Z237">
        <v>8</v>
      </c>
      <c r="AA237">
        <v>0.61538459999999995</v>
      </c>
      <c r="AB237">
        <v>8</v>
      </c>
      <c r="AC237">
        <v>1</v>
      </c>
      <c r="AD237">
        <v>0</v>
      </c>
      <c r="AE237">
        <v>0</v>
      </c>
      <c r="AF237">
        <v>0</v>
      </c>
      <c r="AG237">
        <v>0</v>
      </c>
      <c r="AH237">
        <v>0</v>
      </c>
      <c r="AI237">
        <v>0</v>
      </c>
      <c r="AJ237">
        <v>0</v>
      </c>
      <c r="AK237">
        <v>0</v>
      </c>
      <c r="AL237">
        <v>0</v>
      </c>
      <c r="AM237">
        <v>38</v>
      </c>
      <c r="AN237">
        <v>21</v>
      </c>
      <c r="AO237">
        <v>0.5526316</v>
      </c>
      <c r="AP237">
        <v>6</v>
      </c>
      <c r="AQ237">
        <v>0.28571429999999998</v>
      </c>
      <c r="AR237">
        <v>8</v>
      </c>
      <c r="AS237">
        <v>0.38095240000000002</v>
      </c>
      <c r="AT237">
        <v>8</v>
      </c>
      <c r="AU237">
        <v>1</v>
      </c>
      <c r="AV237" t="s">
        <v>127</v>
      </c>
      <c r="AW237" t="s">
        <v>127</v>
      </c>
      <c r="AX237" t="s">
        <v>127</v>
      </c>
      <c r="AY237" t="s">
        <v>127</v>
      </c>
      <c r="AZ237" t="s">
        <v>127</v>
      </c>
      <c r="BA237" t="s">
        <v>127</v>
      </c>
      <c r="BB237" t="s">
        <v>127</v>
      </c>
      <c r="BC237" t="s">
        <v>127</v>
      </c>
      <c r="BD237" t="s">
        <v>127</v>
      </c>
      <c r="BE237" t="s">
        <v>127</v>
      </c>
      <c r="BF237" t="s">
        <v>127</v>
      </c>
      <c r="BG237" t="s">
        <v>127</v>
      </c>
      <c r="BH237" t="s">
        <v>127</v>
      </c>
      <c r="BI237" t="s">
        <v>127</v>
      </c>
      <c r="BJ237">
        <v>0</v>
      </c>
      <c r="BK237" t="s">
        <v>127</v>
      </c>
      <c r="BL237">
        <v>0</v>
      </c>
      <c r="BM237" t="s">
        <v>127</v>
      </c>
    </row>
    <row r="238" spans="1:65" x14ac:dyDescent="0.25">
      <c r="A238" t="s">
        <v>594</v>
      </c>
      <c r="B238" t="s">
        <v>595</v>
      </c>
      <c r="C238">
        <v>140</v>
      </c>
      <c r="D238">
        <v>37</v>
      </c>
      <c r="E238">
        <v>0.26428570000000001</v>
      </c>
      <c r="F238">
        <v>15</v>
      </c>
      <c r="G238">
        <v>0.40540540000000003</v>
      </c>
      <c r="H238">
        <v>18</v>
      </c>
      <c r="I238">
        <v>0.48648649999999999</v>
      </c>
      <c r="J238">
        <v>18</v>
      </c>
      <c r="K238">
        <v>1</v>
      </c>
      <c r="L238">
        <v>76</v>
      </c>
      <c r="M238">
        <v>26</v>
      </c>
      <c r="N238">
        <v>0.3421053</v>
      </c>
      <c r="O238">
        <v>11</v>
      </c>
      <c r="P238">
        <v>0.42307689999999998</v>
      </c>
      <c r="Q238">
        <v>17</v>
      </c>
      <c r="R238">
        <v>0.65384620000000004</v>
      </c>
      <c r="S238">
        <v>17</v>
      </c>
      <c r="T238">
        <v>1</v>
      </c>
      <c r="U238">
        <v>76</v>
      </c>
      <c r="V238">
        <v>11</v>
      </c>
      <c r="W238">
        <v>0.1447368</v>
      </c>
      <c r="X238">
        <v>11</v>
      </c>
      <c r="Y238">
        <v>1</v>
      </c>
      <c r="Z238">
        <v>7</v>
      </c>
      <c r="AA238">
        <v>0.63636360000000003</v>
      </c>
      <c r="AB238">
        <v>7</v>
      </c>
      <c r="AC238">
        <v>1</v>
      </c>
      <c r="AD238">
        <v>0</v>
      </c>
      <c r="AE238">
        <v>0</v>
      </c>
      <c r="AF238">
        <v>0</v>
      </c>
      <c r="AG238">
        <v>0</v>
      </c>
      <c r="AH238">
        <v>0</v>
      </c>
      <c r="AI238">
        <v>0</v>
      </c>
      <c r="AJ238">
        <v>0</v>
      </c>
      <c r="AK238">
        <v>0</v>
      </c>
      <c r="AL238">
        <v>0</v>
      </c>
      <c r="AM238">
        <v>64</v>
      </c>
      <c r="AN238">
        <v>11</v>
      </c>
      <c r="AO238">
        <v>0.171875</v>
      </c>
      <c r="AP238">
        <v>4</v>
      </c>
      <c r="AQ238">
        <v>0.36363640000000003</v>
      </c>
      <c r="AR238">
        <v>1</v>
      </c>
      <c r="AS238">
        <v>9.0909100000000007E-2</v>
      </c>
      <c r="AT238">
        <v>1</v>
      </c>
      <c r="AU238">
        <v>1</v>
      </c>
      <c r="AV238">
        <v>64</v>
      </c>
      <c r="AW238" t="s">
        <v>127</v>
      </c>
      <c r="AX238" t="s">
        <v>127</v>
      </c>
      <c r="AY238" t="s">
        <v>127</v>
      </c>
      <c r="AZ238" t="s">
        <v>127</v>
      </c>
      <c r="BA238" t="s">
        <v>127</v>
      </c>
      <c r="BB238" t="s">
        <v>127</v>
      </c>
      <c r="BC238" t="s">
        <v>127</v>
      </c>
      <c r="BD238" t="s">
        <v>127</v>
      </c>
      <c r="BE238">
        <v>0</v>
      </c>
      <c r="BF238">
        <v>0</v>
      </c>
      <c r="BG238">
        <v>0</v>
      </c>
      <c r="BH238">
        <v>0</v>
      </c>
      <c r="BI238">
        <v>0</v>
      </c>
      <c r="BJ238">
        <v>0</v>
      </c>
      <c r="BK238">
        <v>0</v>
      </c>
      <c r="BL238">
        <v>0</v>
      </c>
      <c r="BM238">
        <v>0</v>
      </c>
    </row>
    <row r="239" spans="1:65" x14ac:dyDescent="0.25">
      <c r="A239" t="s">
        <v>596</v>
      </c>
      <c r="B239" t="s">
        <v>597</v>
      </c>
      <c r="C239">
        <v>739</v>
      </c>
      <c r="D239">
        <v>536</v>
      </c>
      <c r="E239">
        <v>0.72530450000000002</v>
      </c>
      <c r="F239">
        <v>305</v>
      </c>
      <c r="G239">
        <v>0.56902989999999998</v>
      </c>
      <c r="H239">
        <v>302</v>
      </c>
      <c r="I239">
        <v>0.56343279999999996</v>
      </c>
      <c r="J239">
        <v>302</v>
      </c>
      <c r="K239">
        <v>1</v>
      </c>
      <c r="L239">
        <v>307</v>
      </c>
      <c r="M239">
        <v>231</v>
      </c>
      <c r="N239">
        <v>0.75244299999999997</v>
      </c>
      <c r="O239">
        <v>122</v>
      </c>
      <c r="P239">
        <v>0.52813849999999996</v>
      </c>
      <c r="Q239">
        <v>132</v>
      </c>
      <c r="R239">
        <v>0.57142859999999995</v>
      </c>
      <c r="S239">
        <v>132</v>
      </c>
      <c r="T239">
        <v>1</v>
      </c>
      <c r="U239">
        <v>307</v>
      </c>
      <c r="V239">
        <v>122</v>
      </c>
      <c r="W239">
        <v>0.39739409999999997</v>
      </c>
      <c r="X239">
        <v>122</v>
      </c>
      <c r="Y239">
        <v>1</v>
      </c>
      <c r="Z239">
        <v>68</v>
      </c>
      <c r="AA239">
        <v>0.55737700000000001</v>
      </c>
      <c r="AB239">
        <v>68</v>
      </c>
      <c r="AC239">
        <v>1</v>
      </c>
      <c r="AD239">
        <v>0</v>
      </c>
      <c r="AE239">
        <v>0</v>
      </c>
      <c r="AF239">
        <v>0</v>
      </c>
      <c r="AG239">
        <v>0</v>
      </c>
      <c r="AH239">
        <v>0</v>
      </c>
      <c r="AI239">
        <v>0</v>
      </c>
      <c r="AJ239">
        <v>0</v>
      </c>
      <c r="AK239">
        <v>0</v>
      </c>
      <c r="AL239">
        <v>0</v>
      </c>
      <c r="AM239">
        <v>432</v>
      </c>
      <c r="AN239">
        <v>305</v>
      </c>
      <c r="AO239">
        <v>0.70601849999999999</v>
      </c>
      <c r="AP239">
        <v>183</v>
      </c>
      <c r="AQ239">
        <v>0.6</v>
      </c>
      <c r="AR239">
        <v>170</v>
      </c>
      <c r="AS239">
        <v>0.55737700000000001</v>
      </c>
      <c r="AT239">
        <v>170</v>
      </c>
      <c r="AU239">
        <v>1</v>
      </c>
      <c r="AV239" t="s">
        <v>127</v>
      </c>
      <c r="AW239" t="s">
        <v>127</v>
      </c>
      <c r="AX239" t="s">
        <v>127</v>
      </c>
      <c r="AY239" t="s">
        <v>127</v>
      </c>
      <c r="AZ239" t="s">
        <v>127</v>
      </c>
      <c r="BA239" t="s">
        <v>127</v>
      </c>
      <c r="BB239" t="s">
        <v>127</v>
      </c>
      <c r="BC239" t="s">
        <v>127</v>
      </c>
      <c r="BD239" t="s">
        <v>127</v>
      </c>
      <c r="BE239" t="s">
        <v>127</v>
      </c>
      <c r="BF239" t="s">
        <v>127</v>
      </c>
      <c r="BG239" t="s">
        <v>127</v>
      </c>
      <c r="BH239" t="s">
        <v>127</v>
      </c>
      <c r="BI239" t="s">
        <v>127</v>
      </c>
      <c r="BJ239" t="s">
        <v>127</v>
      </c>
      <c r="BK239" t="s">
        <v>127</v>
      </c>
      <c r="BL239" t="s">
        <v>127</v>
      </c>
      <c r="BM239" t="s">
        <v>127</v>
      </c>
    </row>
    <row r="240" spans="1:65" x14ac:dyDescent="0.25">
      <c r="A240" t="s">
        <v>598</v>
      </c>
      <c r="B240" t="s">
        <v>599</v>
      </c>
      <c r="C240">
        <v>354</v>
      </c>
      <c r="D240">
        <v>0</v>
      </c>
      <c r="E240">
        <v>0</v>
      </c>
      <c r="F240">
        <v>0</v>
      </c>
      <c r="G240">
        <v>0</v>
      </c>
      <c r="H240">
        <v>0</v>
      </c>
      <c r="I240">
        <v>0</v>
      </c>
      <c r="J240">
        <v>0</v>
      </c>
      <c r="K240">
        <v>0</v>
      </c>
      <c r="L240">
        <v>145</v>
      </c>
      <c r="M240">
        <v>0</v>
      </c>
      <c r="N240">
        <v>0</v>
      </c>
      <c r="O240">
        <v>0</v>
      </c>
      <c r="P240">
        <v>0</v>
      </c>
      <c r="Q240">
        <v>0</v>
      </c>
      <c r="R240">
        <v>0</v>
      </c>
      <c r="S240">
        <v>0</v>
      </c>
      <c r="T240">
        <v>0</v>
      </c>
      <c r="U240" t="s">
        <v>127</v>
      </c>
      <c r="V240">
        <v>0</v>
      </c>
      <c r="W240" t="s">
        <v>127</v>
      </c>
      <c r="X240">
        <v>0</v>
      </c>
      <c r="Y240">
        <v>0</v>
      </c>
      <c r="Z240">
        <v>0</v>
      </c>
      <c r="AA240">
        <v>0</v>
      </c>
      <c r="AB240">
        <v>0</v>
      </c>
      <c r="AC240">
        <v>0</v>
      </c>
      <c r="AD240" t="s">
        <v>127</v>
      </c>
      <c r="AE240">
        <v>0</v>
      </c>
      <c r="AF240" t="s">
        <v>127</v>
      </c>
      <c r="AG240">
        <v>0</v>
      </c>
      <c r="AH240">
        <v>0</v>
      </c>
      <c r="AI240">
        <v>0</v>
      </c>
      <c r="AJ240">
        <v>0</v>
      </c>
      <c r="AK240">
        <v>0</v>
      </c>
      <c r="AL240">
        <v>0</v>
      </c>
      <c r="AM240">
        <v>209</v>
      </c>
      <c r="AN240" t="s">
        <v>127</v>
      </c>
      <c r="AO240" t="s">
        <v>127</v>
      </c>
      <c r="AP240">
        <v>0</v>
      </c>
      <c r="AQ240" t="s">
        <v>127</v>
      </c>
      <c r="AR240" t="s">
        <v>127</v>
      </c>
      <c r="AS240" t="s">
        <v>127</v>
      </c>
      <c r="AT240" t="s">
        <v>127</v>
      </c>
      <c r="AU240" t="s">
        <v>127</v>
      </c>
      <c r="AV240" t="s">
        <v>127</v>
      </c>
      <c r="AW240">
        <v>0</v>
      </c>
      <c r="AX240">
        <v>0</v>
      </c>
      <c r="AY240" t="s">
        <v>127</v>
      </c>
      <c r="AZ240">
        <v>0</v>
      </c>
      <c r="BA240">
        <v>0</v>
      </c>
      <c r="BB240">
        <v>0</v>
      </c>
      <c r="BC240">
        <v>0</v>
      </c>
      <c r="BD240">
        <v>0</v>
      </c>
      <c r="BE240" t="s">
        <v>127</v>
      </c>
      <c r="BF240">
        <v>0</v>
      </c>
      <c r="BG240" t="s">
        <v>127</v>
      </c>
      <c r="BH240">
        <v>0</v>
      </c>
      <c r="BI240">
        <v>0</v>
      </c>
      <c r="BJ240">
        <v>0</v>
      </c>
      <c r="BK240">
        <v>0</v>
      </c>
      <c r="BL240">
        <v>0</v>
      </c>
      <c r="BM240">
        <v>0</v>
      </c>
    </row>
    <row r="241" spans="1:65" x14ac:dyDescent="0.25">
      <c r="A241" t="s">
        <v>600</v>
      </c>
      <c r="B241" t="s">
        <v>601</v>
      </c>
      <c r="C241">
        <v>0</v>
      </c>
      <c r="D241">
        <v>0</v>
      </c>
      <c r="E241">
        <v>0</v>
      </c>
      <c r="F241">
        <v>0</v>
      </c>
      <c r="G241">
        <v>0</v>
      </c>
      <c r="H241">
        <v>0</v>
      </c>
      <c r="I241">
        <v>0</v>
      </c>
      <c r="J241">
        <v>0</v>
      </c>
      <c r="K241">
        <v>0</v>
      </c>
      <c r="L241">
        <v>0</v>
      </c>
      <c r="M241" t="s">
        <v>127</v>
      </c>
      <c r="N241" t="s">
        <v>127</v>
      </c>
      <c r="O241">
        <v>0</v>
      </c>
      <c r="P241" t="s">
        <v>127</v>
      </c>
      <c r="Q241">
        <v>0</v>
      </c>
      <c r="R241" t="s">
        <v>127</v>
      </c>
      <c r="S241">
        <v>0</v>
      </c>
      <c r="T241" t="s">
        <v>127</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t="s">
        <v>127</v>
      </c>
      <c r="AO241" t="s">
        <v>127</v>
      </c>
      <c r="AP241">
        <v>0</v>
      </c>
      <c r="AQ241" t="s">
        <v>127</v>
      </c>
      <c r="AR241">
        <v>0</v>
      </c>
      <c r="AS241" t="s">
        <v>127</v>
      </c>
      <c r="AT241">
        <v>0</v>
      </c>
      <c r="AU241" t="s">
        <v>127</v>
      </c>
      <c r="AV241">
        <v>0</v>
      </c>
      <c r="AW241">
        <v>0</v>
      </c>
      <c r="AX241">
        <v>0</v>
      </c>
      <c r="AY241">
        <v>0</v>
      </c>
      <c r="AZ241">
        <v>0</v>
      </c>
      <c r="BA241">
        <v>0</v>
      </c>
      <c r="BB241">
        <v>0</v>
      </c>
      <c r="BC241">
        <v>0</v>
      </c>
      <c r="BD241">
        <v>0</v>
      </c>
      <c r="BE241">
        <v>0</v>
      </c>
      <c r="BF241">
        <v>0</v>
      </c>
      <c r="BG241">
        <v>0</v>
      </c>
      <c r="BH241">
        <v>0</v>
      </c>
      <c r="BI241">
        <v>0</v>
      </c>
      <c r="BJ241">
        <v>0</v>
      </c>
      <c r="BK241">
        <v>0</v>
      </c>
      <c r="BL241">
        <v>0</v>
      </c>
      <c r="BM241">
        <v>0</v>
      </c>
    </row>
    <row r="242" spans="1:65" x14ac:dyDescent="0.25">
      <c r="A242" t="s">
        <v>602</v>
      </c>
      <c r="B242" t="s">
        <v>603</v>
      </c>
      <c r="C242">
        <v>770</v>
      </c>
      <c r="D242">
        <v>442</v>
      </c>
      <c r="E242">
        <v>0.57402600000000004</v>
      </c>
      <c r="F242">
        <v>296</v>
      </c>
      <c r="G242">
        <v>0.66968329999999998</v>
      </c>
      <c r="H242">
        <v>435</v>
      </c>
      <c r="I242">
        <v>0.98416289999999995</v>
      </c>
      <c r="J242">
        <v>295</v>
      </c>
      <c r="K242">
        <v>0.67816089999999996</v>
      </c>
      <c r="L242">
        <v>348</v>
      </c>
      <c r="M242">
        <v>209</v>
      </c>
      <c r="N242">
        <v>0.60057470000000002</v>
      </c>
      <c r="O242">
        <v>135</v>
      </c>
      <c r="P242">
        <v>0.64593299999999998</v>
      </c>
      <c r="Q242">
        <v>206</v>
      </c>
      <c r="R242">
        <v>0.98564589999999996</v>
      </c>
      <c r="S242">
        <v>143</v>
      </c>
      <c r="T242">
        <v>0.69417479999999998</v>
      </c>
      <c r="U242" t="s">
        <v>127</v>
      </c>
      <c r="V242" t="s">
        <v>127</v>
      </c>
      <c r="W242" t="s">
        <v>127</v>
      </c>
      <c r="X242" t="s">
        <v>127</v>
      </c>
      <c r="Y242" t="s">
        <v>127</v>
      </c>
      <c r="Z242" t="s">
        <v>127</v>
      </c>
      <c r="AA242" t="s">
        <v>127</v>
      </c>
      <c r="AB242" t="s">
        <v>127</v>
      </c>
      <c r="AC242" t="s">
        <v>127</v>
      </c>
      <c r="AD242" t="s">
        <v>127</v>
      </c>
      <c r="AE242" t="s">
        <v>127</v>
      </c>
      <c r="AF242" t="s">
        <v>127</v>
      </c>
      <c r="AG242" t="s">
        <v>127</v>
      </c>
      <c r="AH242" t="s">
        <v>127</v>
      </c>
      <c r="AI242" t="s">
        <v>127</v>
      </c>
      <c r="AJ242" t="s">
        <v>127</v>
      </c>
      <c r="AK242" t="s">
        <v>127</v>
      </c>
      <c r="AL242" t="s">
        <v>127</v>
      </c>
      <c r="AM242">
        <v>422</v>
      </c>
      <c r="AN242">
        <v>233</v>
      </c>
      <c r="AO242">
        <v>0.55213270000000003</v>
      </c>
      <c r="AP242">
        <v>161</v>
      </c>
      <c r="AQ242">
        <v>0.69098709999999997</v>
      </c>
      <c r="AR242">
        <v>229</v>
      </c>
      <c r="AS242">
        <v>0.98283259999999995</v>
      </c>
      <c r="AT242">
        <v>152</v>
      </c>
      <c r="AU242">
        <v>0.66375550000000005</v>
      </c>
      <c r="AV242" t="s">
        <v>127</v>
      </c>
      <c r="AW242" t="s">
        <v>127</v>
      </c>
      <c r="AX242" t="s">
        <v>127</v>
      </c>
      <c r="AY242" t="s">
        <v>127</v>
      </c>
      <c r="AZ242" t="s">
        <v>127</v>
      </c>
      <c r="BA242" t="s">
        <v>127</v>
      </c>
      <c r="BB242" t="s">
        <v>127</v>
      </c>
      <c r="BC242" t="s">
        <v>127</v>
      </c>
      <c r="BD242" t="s">
        <v>127</v>
      </c>
      <c r="BE242" t="s">
        <v>127</v>
      </c>
      <c r="BF242" t="s">
        <v>127</v>
      </c>
      <c r="BG242" t="s">
        <v>127</v>
      </c>
      <c r="BH242" t="s">
        <v>127</v>
      </c>
      <c r="BI242" t="s">
        <v>127</v>
      </c>
      <c r="BJ242" t="s">
        <v>127</v>
      </c>
      <c r="BK242" t="s">
        <v>127</v>
      </c>
      <c r="BL242" t="s">
        <v>127</v>
      </c>
      <c r="BM242" t="s">
        <v>127</v>
      </c>
    </row>
    <row r="243" spans="1:65" x14ac:dyDescent="0.25">
      <c r="A243" t="s">
        <v>604</v>
      </c>
      <c r="B243" t="s">
        <v>605</v>
      </c>
      <c r="C243">
        <v>298</v>
      </c>
      <c r="D243">
        <v>148</v>
      </c>
      <c r="E243">
        <v>0.49664429999999998</v>
      </c>
      <c r="F243">
        <v>109</v>
      </c>
      <c r="G243">
        <v>0.73648650000000004</v>
      </c>
      <c r="H243">
        <v>147</v>
      </c>
      <c r="I243">
        <v>0.99324319999999999</v>
      </c>
      <c r="J243">
        <v>118</v>
      </c>
      <c r="K243">
        <v>0.80272109999999997</v>
      </c>
      <c r="L243">
        <v>201</v>
      </c>
      <c r="M243">
        <v>105</v>
      </c>
      <c r="N243">
        <v>0.52238810000000002</v>
      </c>
      <c r="O243">
        <v>74</v>
      </c>
      <c r="P243">
        <v>0.70476190000000005</v>
      </c>
      <c r="Q243">
        <v>105</v>
      </c>
      <c r="R243">
        <v>1</v>
      </c>
      <c r="S243">
        <v>82</v>
      </c>
      <c r="T243">
        <v>0.78095239999999999</v>
      </c>
      <c r="U243">
        <v>201</v>
      </c>
      <c r="V243">
        <v>74</v>
      </c>
      <c r="W243">
        <v>0.36815920000000002</v>
      </c>
      <c r="X243">
        <v>74</v>
      </c>
      <c r="Y243">
        <v>1</v>
      </c>
      <c r="Z243">
        <v>74</v>
      </c>
      <c r="AA243">
        <v>1</v>
      </c>
      <c r="AB243">
        <v>63</v>
      </c>
      <c r="AC243">
        <v>0.85135139999999998</v>
      </c>
      <c r="AD243">
        <v>0</v>
      </c>
      <c r="AE243">
        <v>0</v>
      </c>
      <c r="AF243">
        <v>0</v>
      </c>
      <c r="AG243">
        <v>0</v>
      </c>
      <c r="AH243">
        <v>0</v>
      </c>
      <c r="AI243">
        <v>0</v>
      </c>
      <c r="AJ243">
        <v>0</v>
      </c>
      <c r="AK243">
        <v>0</v>
      </c>
      <c r="AL243">
        <v>0</v>
      </c>
      <c r="AM243">
        <v>97</v>
      </c>
      <c r="AN243">
        <v>43</v>
      </c>
      <c r="AO243">
        <v>0.443299</v>
      </c>
      <c r="AP243">
        <v>35</v>
      </c>
      <c r="AQ243">
        <v>0.8139535</v>
      </c>
      <c r="AR243">
        <v>42</v>
      </c>
      <c r="AS243">
        <v>0.97674419999999995</v>
      </c>
      <c r="AT243">
        <v>36</v>
      </c>
      <c r="AU243">
        <v>0.85714290000000004</v>
      </c>
      <c r="AV243">
        <v>97</v>
      </c>
      <c r="AW243">
        <v>35</v>
      </c>
      <c r="AX243">
        <v>0.3608247</v>
      </c>
      <c r="AY243">
        <v>35</v>
      </c>
      <c r="AZ243">
        <v>1</v>
      </c>
      <c r="BA243">
        <v>34</v>
      </c>
      <c r="BB243">
        <v>0.97142859999999998</v>
      </c>
      <c r="BC243">
        <v>29</v>
      </c>
      <c r="BD243">
        <v>0.85294119999999995</v>
      </c>
      <c r="BE243">
        <v>0</v>
      </c>
      <c r="BF243">
        <v>0</v>
      </c>
      <c r="BG243">
        <v>0</v>
      </c>
      <c r="BH243">
        <v>0</v>
      </c>
      <c r="BI243">
        <v>0</v>
      </c>
      <c r="BJ243">
        <v>0</v>
      </c>
      <c r="BK243">
        <v>0</v>
      </c>
      <c r="BL243">
        <v>0</v>
      </c>
      <c r="BM243">
        <v>0</v>
      </c>
    </row>
    <row r="244" spans="1:65" x14ac:dyDescent="0.25">
      <c r="A244" t="s">
        <v>606</v>
      </c>
      <c r="B244" t="s">
        <v>607</v>
      </c>
      <c r="C244">
        <v>70</v>
      </c>
      <c r="D244">
        <v>0</v>
      </c>
      <c r="E244">
        <v>0</v>
      </c>
      <c r="F244">
        <v>0</v>
      </c>
      <c r="G244">
        <v>0</v>
      </c>
      <c r="H244">
        <v>0</v>
      </c>
      <c r="I244">
        <v>0</v>
      </c>
      <c r="J244">
        <v>0</v>
      </c>
      <c r="K244">
        <v>0</v>
      </c>
      <c r="L244">
        <v>39</v>
      </c>
      <c r="M244">
        <v>0</v>
      </c>
      <c r="N244">
        <v>0</v>
      </c>
      <c r="O244">
        <v>0</v>
      </c>
      <c r="P244">
        <v>0</v>
      </c>
      <c r="Q244">
        <v>0</v>
      </c>
      <c r="R244">
        <v>0</v>
      </c>
      <c r="S244">
        <v>0</v>
      </c>
      <c r="T244">
        <v>0</v>
      </c>
      <c r="U244">
        <v>21</v>
      </c>
      <c r="V244">
        <v>0</v>
      </c>
      <c r="W244">
        <v>0</v>
      </c>
      <c r="X244">
        <v>0</v>
      </c>
      <c r="Y244">
        <v>0</v>
      </c>
      <c r="Z244">
        <v>0</v>
      </c>
      <c r="AA244">
        <v>0</v>
      </c>
      <c r="AB244">
        <v>0</v>
      </c>
      <c r="AC244">
        <v>0</v>
      </c>
      <c r="AD244">
        <v>18</v>
      </c>
      <c r="AE244">
        <v>0</v>
      </c>
      <c r="AF244">
        <v>0</v>
      </c>
      <c r="AG244">
        <v>0</v>
      </c>
      <c r="AH244">
        <v>0</v>
      </c>
      <c r="AI244">
        <v>0</v>
      </c>
      <c r="AJ244">
        <v>0</v>
      </c>
      <c r="AK244">
        <v>0</v>
      </c>
      <c r="AL244">
        <v>0</v>
      </c>
      <c r="AM244">
        <v>31</v>
      </c>
      <c r="AN244">
        <v>0</v>
      </c>
      <c r="AO244">
        <v>0</v>
      </c>
      <c r="AP244">
        <v>0</v>
      </c>
      <c r="AQ244">
        <v>0</v>
      </c>
      <c r="AR244">
        <v>0</v>
      </c>
      <c r="AS244">
        <v>0</v>
      </c>
      <c r="AT244">
        <v>0</v>
      </c>
      <c r="AU244">
        <v>0</v>
      </c>
      <c r="AV244">
        <v>14</v>
      </c>
      <c r="AW244">
        <v>0</v>
      </c>
      <c r="AX244">
        <v>0</v>
      </c>
      <c r="AY244">
        <v>0</v>
      </c>
      <c r="AZ244">
        <v>0</v>
      </c>
      <c r="BA244">
        <v>0</v>
      </c>
      <c r="BB244">
        <v>0</v>
      </c>
      <c r="BC244">
        <v>0</v>
      </c>
      <c r="BD244">
        <v>0</v>
      </c>
      <c r="BE244">
        <v>17</v>
      </c>
      <c r="BF244">
        <v>0</v>
      </c>
      <c r="BG244">
        <v>0</v>
      </c>
      <c r="BH244">
        <v>0</v>
      </c>
      <c r="BI244">
        <v>0</v>
      </c>
      <c r="BJ244">
        <v>0</v>
      </c>
      <c r="BK244">
        <v>0</v>
      </c>
      <c r="BL244">
        <v>0</v>
      </c>
      <c r="BM244">
        <v>0</v>
      </c>
    </row>
    <row r="245" spans="1:65" x14ac:dyDescent="0.25">
      <c r="A245" t="s">
        <v>608</v>
      </c>
      <c r="B245" t="s">
        <v>609</v>
      </c>
      <c r="C245">
        <v>587</v>
      </c>
      <c r="D245">
        <v>511</v>
      </c>
      <c r="E245">
        <v>0.87052810000000003</v>
      </c>
      <c r="F245">
        <v>382</v>
      </c>
      <c r="G245">
        <v>0.74755380000000005</v>
      </c>
      <c r="H245">
        <v>475</v>
      </c>
      <c r="I245">
        <v>0.92954990000000004</v>
      </c>
      <c r="J245">
        <v>234</v>
      </c>
      <c r="K245">
        <v>0.4926316</v>
      </c>
      <c r="L245">
        <v>256</v>
      </c>
      <c r="M245">
        <v>226</v>
      </c>
      <c r="N245">
        <v>0.8828125</v>
      </c>
      <c r="O245">
        <v>179</v>
      </c>
      <c r="P245">
        <v>0.79203539999999995</v>
      </c>
      <c r="Q245">
        <v>212</v>
      </c>
      <c r="R245">
        <v>0.93805309999999997</v>
      </c>
      <c r="S245">
        <v>106</v>
      </c>
      <c r="T245">
        <v>0.5</v>
      </c>
      <c r="U245">
        <v>234</v>
      </c>
      <c r="V245">
        <v>167</v>
      </c>
      <c r="W245">
        <v>0.71367519999999995</v>
      </c>
      <c r="X245">
        <v>167</v>
      </c>
      <c r="Y245">
        <v>1</v>
      </c>
      <c r="Z245">
        <v>157</v>
      </c>
      <c r="AA245">
        <v>0.94011979999999995</v>
      </c>
      <c r="AB245">
        <v>78</v>
      </c>
      <c r="AC245">
        <v>0.49681530000000002</v>
      </c>
      <c r="AD245">
        <v>22</v>
      </c>
      <c r="AE245">
        <v>12</v>
      </c>
      <c r="AF245">
        <v>0.54545449999999995</v>
      </c>
      <c r="AG245">
        <v>12</v>
      </c>
      <c r="AH245">
        <v>1</v>
      </c>
      <c r="AI245">
        <v>10</v>
      </c>
      <c r="AJ245">
        <v>0.83333330000000005</v>
      </c>
      <c r="AK245">
        <v>3</v>
      </c>
      <c r="AL245">
        <v>0.3</v>
      </c>
      <c r="AM245">
        <v>331</v>
      </c>
      <c r="AN245">
        <v>285</v>
      </c>
      <c r="AO245">
        <v>0.86102719999999999</v>
      </c>
      <c r="AP245">
        <v>203</v>
      </c>
      <c r="AQ245">
        <v>0.71228069999999999</v>
      </c>
      <c r="AR245">
        <v>263</v>
      </c>
      <c r="AS245">
        <v>0.92280700000000004</v>
      </c>
      <c r="AT245">
        <v>128</v>
      </c>
      <c r="AU245">
        <v>0.48669200000000001</v>
      </c>
      <c r="AV245">
        <v>311</v>
      </c>
      <c r="AW245">
        <v>193</v>
      </c>
      <c r="AX245">
        <v>0.62057879999999999</v>
      </c>
      <c r="AY245">
        <v>193</v>
      </c>
      <c r="AZ245">
        <v>1</v>
      </c>
      <c r="BA245">
        <v>176</v>
      </c>
      <c r="BB245">
        <v>0.91191710000000004</v>
      </c>
      <c r="BC245">
        <v>77</v>
      </c>
      <c r="BD245">
        <v>0.4375</v>
      </c>
      <c r="BE245">
        <v>20</v>
      </c>
      <c r="BF245">
        <v>10</v>
      </c>
      <c r="BG245">
        <v>0.5</v>
      </c>
      <c r="BH245">
        <v>10</v>
      </c>
      <c r="BI245">
        <v>1</v>
      </c>
      <c r="BJ245">
        <v>8</v>
      </c>
      <c r="BK245">
        <v>0.8</v>
      </c>
      <c r="BL245">
        <v>5</v>
      </c>
      <c r="BM245">
        <v>0.625</v>
      </c>
    </row>
    <row r="246" spans="1:65" x14ac:dyDescent="0.25">
      <c r="A246" t="s">
        <v>610</v>
      </c>
      <c r="B246" t="s">
        <v>611</v>
      </c>
      <c r="C246">
        <v>833</v>
      </c>
      <c r="D246">
        <v>736</v>
      </c>
      <c r="E246">
        <v>0.88355340000000004</v>
      </c>
      <c r="F246">
        <v>371</v>
      </c>
      <c r="G246">
        <v>0.50407610000000003</v>
      </c>
      <c r="H246">
        <v>680</v>
      </c>
      <c r="I246">
        <v>0.92391299999999998</v>
      </c>
      <c r="J246">
        <v>492</v>
      </c>
      <c r="K246">
        <v>0.72352939999999999</v>
      </c>
      <c r="L246">
        <v>384</v>
      </c>
      <c r="M246">
        <v>322</v>
      </c>
      <c r="N246">
        <v>0.83854169999999995</v>
      </c>
      <c r="O246">
        <v>146</v>
      </c>
      <c r="P246">
        <v>0.45341609999999999</v>
      </c>
      <c r="Q246">
        <v>319</v>
      </c>
      <c r="R246">
        <v>0.99068319999999999</v>
      </c>
      <c r="S246">
        <v>240</v>
      </c>
      <c r="T246">
        <v>0.75235110000000005</v>
      </c>
      <c r="U246">
        <v>384</v>
      </c>
      <c r="V246">
        <v>146</v>
      </c>
      <c r="W246">
        <v>0.3802083</v>
      </c>
      <c r="X246">
        <v>146</v>
      </c>
      <c r="Y246">
        <v>1</v>
      </c>
      <c r="Z246">
        <v>145</v>
      </c>
      <c r="AA246">
        <v>0.99315070000000005</v>
      </c>
      <c r="AB246">
        <v>106</v>
      </c>
      <c r="AC246">
        <v>0.73103450000000003</v>
      </c>
      <c r="AD246">
        <v>0</v>
      </c>
      <c r="AE246">
        <v>0</v>
      </c>
      <c r="AF246">
        <v>0</v>
      </c>
      <c r="AG246">
        <v>0</v>
      </c>
      <c r="AH246">
        <v>0</v>
      </c>
      <c r="AI246">
        <v>0</v>
      </c>
      <c r="AJ246">
        <v>0</v>
      </c>
      <c r="AK246">
        <v>0</v>
      </c>
      <c r="AL246">
        <v>0</v>
      </c>
      <c r="AM246">
        <v>449</v>
      </c>
      <c r="AN246">
        <v>414</v>
      </c>
      <c r="AO246">
        <v>0.92204900000000001</v>
      </c>
      <c r="AP246">
        <v>225</v>
      </c>
      <c r="AQ246">
        <v>0.54347829999999997</v>
      </c>
      <c r="AR246">
        <v>361</v>
      </c>
      <c r="AS246">
        <v>0.87198070000000005</v>
      </c>
      <c r="AT246">
        <v>252</v>
      </c>
      <c r="AU246">
        <v>0.69806089999999998</v>
      </c>
      <c r="AV246">
        <v>439</v>
      </c>
      <c r="AW246">
        <v>218</v>
      </c>
      <c r="AX246">
        <v>0.4965831</v>
      </c>
      <c r="AY246">
        <v>218</v>
      </c>
      <c r="AZ246">
        <v>1</v>
      </c>
      <c r="BA246">
        <v>198</v>
      </c>
      <c r="BB246">
        <v>0.90825690000000003</v>
      </c>
      <c r="BC246">
        <v>143</v>
      </c>
      <c r="BD246">
        <v>0.72222220000000004</v>
      </c>
      <c r="BE246">
        <v>10</v>
      </c>
      <c r="BF246">
        <v>7</v>
      </c>
      <c r="BG246">
        <v>0.7</v>
      </c>
      <c r="BH246">
        <v>7</v>
      </c>
      <c r="BI246">
        <v>1</v>
      </c>
      <c r="BJ246">
        <v>6</v>
      </c>
      <c r="BK246">
        <v>0.85714290000000004</v>
      </c>
      <c r="BL246">
        <v>3</v>
      </c>
      <c r="BM246">
        <v>0.5</v>
      </c>
    </row>
    <row r="247" spans="1:65" x14ac:dyDescent="0.25">
      <c r="A247" t="s">
        <v>612</v>
      </c>
      <c r="B247" t="s">
        <v>613</v>
      </c>
      <c r="C247">
        <v>39</v>
      </c>
      <c r="D247">
        <v>0</v>
      </c>
      <c r="E247">
        <v>0</v>
      </c>
      <c r="F247">
        <v>0</v>
      </c>
      <c r="G247">
        <v>0</v>
      </c>
      <c r="H247">
        <v>0</v>
      </c>
      <c r="I247">
        <v>0</v>
      </c>
      <c r="J247">
        <v>0</v>
      </c>
      <c r="K247">
        <v>0</v>
      </c>
      <c r="L247">
        <v>21</v>
      </c>
      <c r="M247">
        <v>0</v>
      </c>
      <c r="N247">
        <v>0</v>
      </c>
      <c r="O247">
        <v>0</v>
      </c>
      <c r="P247">
        <v>0</v>
      </c>
      <c r="Q247">
        <v>0</v>
      </c>
      <c r="R247">
        <v>0</v>
      </c>
      <c r="S247">
        <v>0</v>
      </c>
      <c r="T247">
        <v>0</v>
      </c>
      <c r="U247">
        <v>21</v>
      </c>
      <c r="V247">
        <v>0</v>
      </c>
      <c r="W247">
        <v>0</v>
      </c>
      <c r="X247">
        <v>0</v>
      </c>
      <c r="Y247">
        <v>0</v>
      </c>
      <c r="Z247">
        <v>0</v>
      </c>
      <c r="AA247">
        <v>0</v>
      </c>
      <c r="AB247">
        <v>0</v>
      </c>
      <c r="AC247">
        <v>0</v>
      </c>
      <c r="AD247">
        <v>0</v>
      </c>
      <c r="AE247">
        <v>0</v>
      </c>
      <c r="AF247">
        <v>0</v>
      </c>
      <c r="AG247">
        <v>0</v>
      </c>
      <c r="AH247">
        <v>0</v>
      </c>
      <c r="AI247">
        <v>0</v>
      </c>
      <c r="AJ247">
        <v>0</v>
      </c>
      <c r="AK247">
        <v>0</v>
      </c>
      <c r="AL247">
        <v>0</v>
      </c>
      <c r="AM247">
        <v>18</v>
      </c>
      <c r="AN247">
        <v>0</v>
      </c>
      <c r="AO247">
        <v>0</v>
      </c>
      <c r="AP247">
        <v>0</v>
      </c>
      <c r="AQ247">
        <v>0</v>
      </c>
      <c r="AR247">
        <v>0</v>
      </c>
      <c r="AS247">
        <v>0</v>
      </c>
      <c r="AT247">
        <v>0</v>
      </c>
      <c r="AU247">
        <v>0</v>
      </c>
      <c r="AV247">
        <v>18</v>
      </c>
      <c r="AW247">
        <v>0</v>
      </c>
      <c r="AX247">
        <v>0</v>
      </c>
      <c r="AY247">
        <v>0</v>
      </c>
      <c r="AZ247">
        <v>0</v>
      </c>
      <c r="BA247">
        <v>0</v>
      </c>
      <c r="BB247">
        <v>0</v>
      </c>
      <c r="BC247">
        <v>0</v>
      </c>
      <c r="BD247">
        <v>0</v>
      </c>
      <c r="BE247">
        <v>0</v>
      </c>
      <c r="BF247">
        <v>0</v>
      </c>
      <c r="BG247">
        <v>0</v>
      </c>
      <c r="BH247">
        <v>0</v>
      </c>
      <c r="BI247">
        <v>0</v>
      </c>
      <c r="BJ247">
        <v>0</v>
      </c>
      <c r="BK247">
        <v>0</v>
      </c>
      <c r="BL247">
        <v>0</v>
      </c>
      <c r="BM247">
        <v>0</v>
      </c>
    </row>
    <row r="248" spans="1:65" x14ac:dyDescent="0.25">
      <c r="A248" t="s">
        <v>614</v>
      </c>
      <c r="B248" t="s">
        <v>615</v>
      </c>
      <c r="C248">
        <v>243</v>
      </c>
      <c r="D248">
        <v>251</v>
      </c>
      <c r="E248">
        <v>1.0329218</v>
      </c>
      <c r="F248">
        <v>150</v>
      </c>
      <c r="G248">
        <v>0.59760959999999996</v>
      </c>
      <c r="H248">
        <v>229</v>
      </c>
      <c r="I248">
        <v>0.91235060000000001</v>
      </c>
      <c r="J248">
        <v>123</v>
      </c>
      <c r="K248">
        <v>0.53711790000000004</v>
      </c>
      <c r="L248">
        <v>147</v>
      </c>
      <c r="M248">
        <v>145</v>
      </c>
      <c r="N248">
        <v>0.98639460000000001</v>
      </c>
      <c r="O248">
        <v>89</v>
      </c>
      <c r="P248">
        <v>0.61379309999999998</v>
      </c>
      <c r="Q248">
        <v>140</v>
      </c>
      <c r="R248">
        <v>0.96551719999999996</v>
      </c>
      <c r="S248">
        <v>79</v>
      </c>
      <c r="T248">
        <v>0.5642857</v>
      </c>
      <c r="U248">
        <v>130</v>
      </c>
      <c r="V248">
        <v>80</v>
      </c>
      <c r="W248">
        <v>0.61538459999999995</v>
      </c>
      <c r="X248">
        <v>80</v>
      </c>
      <c r="Y248">
        <v>1</v>
      </c>
      <c r="Z248">
        <v>78</v>
      </c>
      <c r="AA248">
        <v>0.97499999999999998</v>
      </c>
      <c r="AB248">
        <v>51</v>
      </c>
      <c r="AC248">
        <v>0.65384620000000004</v>
      </c>
      <c r="AD248">
        <v>17</v>
      </c>
      <c r="AE248">
        <v>9</v>
      </c>
      <c r="AF248">
        <v>0.52941179999999999</v>
      </c>
      <c r="AG248">
        <v>9</v>
      </c>
      <c r="AH248">
        <v>1</v>
      </c>
      <c r="AI248">
        <v>9</v>
      </c>
      <c r="AJ248">
        <v>1</v>
      </c>
      <c r="AK248">
        <v>7</v>
      </c>
      <c r="AL248">
        <v>0.77777779999999996</v>
      </c>
      <c r="AM248">
        <v>96</v>
      </c>
      <c r="AN248">
        <v>106</v>
      </c>
      <c r="AO248">
        <v>1.1041666999999999</v>
      </c>
      <c r="AP248">
        <v>61</v>
      </c>
      <c r="AQ248">
        <v>0.57547170000000003</v>
      </c>
      <c r="AR248">
        <v>89</v>
      </c>
      <c r="AS248">
        <v>0.8396226</v>
      </c>
      <c r="AT248">
        <v>44</v>
      </c>
      <c r="AU248">
        <v>0.49438199999999999</v>
      </c>
      <c r="AV248">
        <v>84</v>
      </c>
      <c r="AW248">
        <v>54</v>
      </c>
      <c r="AX248">
        <v>0.64285709999999996</v>
      </c>
      <c r="AY248">
        <v>54</v>
      </c>
      <c r="AZ248">
        <v>1</v>
      </c>
      <c r="BA248">
        <v>47</v>
      </c>
      <c r="BB248">
        <v>0.87037039999999999</v>
      </c>
      <c r="BC248">
        <v>28</v>
      </c>
      <c r="BD248">
        <v>0.59574470000000002</v>
      </c>
      <c r="BE248">
        <v>12</v>
      </c>
      <c r="BF248">
        <v>7</v>
      </c>
      <c r="BG248">
        <v>0.58333330000000005</v>
      </c>
      <c r="BH248">
        <v>7</v>
      </c>
      <c r="BI248">
        <v>1</v>
      </c>
      <c r="BJ248">
        <v>7</v>
      </c>
      <c r="BK248">
        <v>1</v>
      </c>
      <c r="BL248">
        <v>4</v>
      </c>
      <c r="BM248">
        <v>0.57142859999999995</v>
      </c>
    </row>
    <row r="249" spans="1:65" x14ac:dyDescent="0.25">
      <c r="A249" t="s">
        <v>616</v>
      </c>
      <c r="B249" t="s">
        <v>617</v>
      </c>
      <c r="C249">
        <v>39</v>
      </c>
      <c r="D249">
        <v>0</v>
      </c>
      <c r="E249">
        <v>0</v>
      </c>
      <c r="F249">
        <v>0</v>
      </c>
      <c r="G249">
        <v>0</v>
      </c>
      <c r="H249">
        <v>0</v>
      </c>
      <c r="I249">
        <v>0</v>
      </c>
      <c r="J249">
        <v>0</v>
      </c>
      <c r="K249">
        <v>0</v>
      </c>
      <c r="L249">
        <v>23</v>
      </c>
      <c r="M249">
        <v>0</v>
      </c>
      <c r="N249">
        <v>0</v>
      </c>
      <c r="O249">
        <v>0</v>
      </c>
      <c r="P249">
        <v>0</v>
      </c>
      <c r="Q249">
        <v>0</v>
      </c>
      <c r="R249">
        <v>0</v>
      </c>
      <c r="S249">
        <v>0</v>
      </c>
      <c r="T249">
        <v>0</v>
      </c>
      <c r="U249">
        <v>23</v>
      </c>
      <c r="V249">
        <v>0</v>
      </c>
      <c r="W249">
        <v>0</v>
      </c>
      <c r="X249">
        <v>0</v>
      </c>
      <c r="Y249">
        <v>0</v>
      </c>
      <c r="Z249">
        <v>0</v>
      </c>
      <c r="AA249">
        <v>0</v>
      </c>
      <c r="AB249">
        <v>0</v>
      </c>
      <c r="AC249">
        <v>0</v>
      </c>
      <c r="AD249">
        <v>0</v>
      </c>
      <c r="AE249">
        <v>0</v>
      </c>
      <c r="AF249">
        <v>0</v>
      </c>
      <c r="AG249">
        <v>0</v>
      </c>
      <c r="AH249">
        <v>0</v>
      </c>
      <c r="AI249">
        <v>0</v>
      </c>
      <c r="AJ249">
        <v>0</v>
      </c>
      <c r="AK249">
        <v>0</v>
      </c>
      <c r="AL249">
        <v>0</v>
      </c>
      <c r="AM249">
        <v>16</v>
      </c>
      <c r="AN249">
        <v>0</v>
      </c>
      <c r="AO249">
        <v>0</v>
      </c>
      <c r="AP249">
        <v>0</v>
      </c>
      <c r="AQ249">
        <v>0</v>
      </c>
      <c r="AR249">
        <v>0</v>
      </c>
      <c r="AS249">
        <v>0</v>
      </c>
      <c r="AT249">
        <v>0</v>
      </c>
      <c r="AU249">
        <v>0</v>
      </c>
      <c r="AV249">
        <v>16</v>
      </c>
      <c r="AW249">
        <v>0</v>
      </c>
      <c r="AX249">
        <v>0</v>
      </c>
      <c r="AY249">
        <v>0</v>
      </c>
      <c r="AZ249">
        <v>0</v>
      </c>
      <c r="BA249">
        <v>0</v>
      </c>
      <c r="BB249">
        <v>0</v>
      </c>
      <c r="BC249">
        <v>0</v>
      </c>
      <c r="BD249">
        <v>0</v>
      </c>
      <c r="BE249">
        <v>0</v>
      </c>
      <c r="BF249">
        <v>0</v>
      </c>
      <c r="BG249">
        <v>0</v>
      </c>
      <c r="BH249">
        <v>0</v>
      </c>
      <c r="BI249">
        <v>0</v>
      </c>
      <c r="BJ249">
        <v>0</v>
      </c>
      <c r="BK249">
        <v>0</v>
      </c>
      <c r="BL249">
        <v>0</v>
      </c>
      <c r="BM249">
        <v>0</v>
      </c>
    </row>
    <row r="250" spans="1:65" x14ac:dyDescent="0.25">
      <c r="A250" t="s">
        <v>618</v>
      </c>
      <c r="B250" t="s">
        <v>619</v>
      </c>
      <c r="C250">
        <v>402</v>
      </c>
      <c r="D250">
        <v>287</v>
      </c>
      <c r="E250">
        <v>0.71393030000000002</v>
      </c>
      <c r="F250">
        <v>153</v>
      </c>
      <c r="G250">
        <v>0.53310100000000005</v>
      </c>
      <c r="H250">
        <v>275</v>
      </c>
      <c r="I250">
        <v>0.95818820000000005</v>
      </c>
      <c r="J250">
        <v>159</v>
      </c>
      <c r="K250">
        <v>0.57818179999999997</v>
      </c>
      <c r="L250">
        <v>231</v>
      </c>
      <c r="M250">
        <v>138</v>
      </c>
      <c r="N250">
        <v>0.59740260000000001</v>
      </c>
      <c r="O250">
        <v>77</v>
      </c>
      <c r="P250">
        <v>0.55797099999999999</v>
      </c>
      <c r="Q250">
        <v>137</v>
      </c>
      <c r="R250">
        <v>0.99275360000000001</v>
      </c>
      <c r="S250">
        <v>88</v>
      </c>
      <c r="T250">
        <v>0.64233580000000001</v>
      </c>
      <c r="U250">
        <v>204</v>
      </c>
      <c r="V250">
        <v>70</v>
      </c>
      <c r="W250">
        <v>0.34313729999999998</v>
      </c>
      <c r="X250">
        <v>70</v>
      </c>
      <c r="Y250">
        <v>1</v>
      </c>
      <c r="Z250">
        <v>70</v>
      </c>
      <c r="AA250">
        <v>1</v>
      </c>
      <c r="AB250">
        <v>46</v>
      </c>
      <c r="AC250">
        <v>0.65714289999999997</v>
      </c>
      <c r="AD250">
        <v>27</v>
      </c>
      <c r="AE250">
        <v>7</v>
      </c>
      <c r="AF250">
        <v>0.25925930000000003</v>
      </c>
      <c r="AG250">
        <v>7</v>
      </c>
      <c r="AH250">
        <v>1</v>
      </c>
      <c r="AI250">
        <v>7</v>
      </c>
      <c r="AJ250">
        <v>1</v>
      </c>
      <c r="AK250">
        <v>6</v>
      </c>
      <c r="AL250">
        <v>0.85714290000000004</v>
      </c>
      <c r="AM250">
        <v>171</v>
      </c>
      <c r="AN250">
        <v>149</v>
      </c>
      <c r="AO250">
        <v>0.87134500000000004</v>
      </c>
      <c r="AP250">
        <v>76</v>
      </c>
      <c r="AQ250">
        <v>0.5100671</v>
      </c>
      <c r="AR250">
        <v>138</v>
      </c>
      <c r="AS250">
        <v>0.92617450000000001</v>
      </c>
      <c r="AT250">
        <v>71</v>
      </c>
      <c r="AU250">
        <v>0.51449279999999997</v>
      </c>
      <c r="AV250">
        <v>162</v>
      </c>
      <c r="AW250" t="s">
        <v>127</v>
      </c>
      <c r="AX250" t="s">
        <v>127</v>
      </c>
      <c r="AY250" t="s">
        <v>127</v>
      </c>
      <c r="AZ250" t="s">
        <v>127</v>
      </c>
      <c r="BA250" t="s">
        <v>127</v>
      </c>
      <c r="BB250" t="s">
        <v>127</v>
      </c>
      <c r="BC250" t="s">
        <v>127</v>
      </c>
      <c r="BD250" t="s">
        <v>127</v>
      </c>
      <c r="BE250">
        <v>9</v>
      </c>
      <c r="BF250" t="s">
        <v>127</v>
      </c>
      <c r="BG250" t="s">
        <v>127</v>
      </c>
      <c r="BH250" t="s">
        <v>127</v>
      </c>
      <c r="BI250" t="s">
        <v>127</v>
      </c>
      <c r="BJ250" t="s">
        <v>127</v>
      </c>
      <c r="BK250" t="s">
        <v>127</v>
      </c>
      <c r="BL250" t="s">
        <v>127</v>
      </c>
      <c r="BM250" t="s">
        <v>127</v>
      </c>
    </row>
    <row r="251" spans="1:65" x14ac:dyDescent="0.25">
      <c r="A251" t="s">
        <v>620</v>
      </c>
      <c r="B251" t="s">
        <v>621</v>
      </c>
      <c r="C251">
        <v>276</v>
      </c>
      <c r="D251">
        <v>446</v>
      </c>
      <c r="E251">
        <v>1.615942</v>
      </c>
      <c r="F251">
        <v>218</v>
      </c>
      <c r="G251">
        <v>0.48878919999999998</v>
      </c>
      <c r="H251">
        <v>397</v>
      </c>
      <c r="I251">
        <v>0.89013450000000005</v>
      </c>
      <c r="J251">
        <v>6</v>
      </c>
      <c r="K251">
        <v>1.5113400000000001E-2</v>
      </c>
      <c r="L251">
        <v>114</v>
      </c>
      <c r="M251">
        <v>175</v>
      </c>
      <c r="N251">
        <v>1.5350877000000001</v>
      </c>
      <c r="O251">
        <v>101</v>
      </c>
      <c r="P251">
        <v>0.57714290000000001</v>
      </c>
      <c r="Q251">
        <v>165</v>
      </c>
      <c r="R251">
        <v>0.9428571</v>
      </c>
      <c r="S251">
        <v>3</v>
      </c>
      <c r="T251">
        <v>1.8181800000000001E-2</v>
      </c>
      <c r="U251" t="s">
        <v>127</v>
      </c>
      <c r="V251" t="s">
        <v>127</v>
      </c>
      <c r="W251" t="s">
        <v>127</v>
      </c>
      <c r="X251" t="s">
        <v>127</v>
      </c>
      <c r="Y251" t="s">
        <v>127</v>
      </c>
      <c r="Z251" t="s">
        <v>127</v>
      </c>
      <c r="AA251" t="s">
        <v>127</v>
      </c>
      <c r="AB251">
        <v>3</v>
      </c>
      <c r="AC251" t="s">
        <v>127</v>
      </c>
      <c r="AD251" t="s">
        <v>127</v>
      </c>
      <c r="AE251" t="s">
        <v>127</v>
      </c>
      <c r="AF251" t="s">
        <v>127</v>
      </c>
      <c r="AG251" t="s">
        <v>127</v>
      </c>
      <c r="AH251" t="s">
        <v>127</v>
      </c>
      <c r="AI251" t="s">
        <v>127</v>
      </c>
      <c r="AJ251" t="s">
        <v>127</v>
      </c>
      <c r="AK251">
        <v>0</v>
      </c>
      <c r="AL251" t="s">
        <v>127</v>
      </c>
      <c r="AM251">
        <v>162</v>
      </c>
      <c r="AN251">
        <v>271</v>
      </c>
      <c r="AO251">
        <v>1.6728395</v>
      </c>
      <c r="AP251">
        <v>117</v>
      </c>
      <c r="AQ251">
        <v>0.43173430000000002</v>
      </c>
      <c r="AR251">
        <v>232</v>
      </c>
      <c r="AS251">
        <v>0.85608859999999998</v>
      </c>
      <c r="AT251">
        <v>3</v>
      </c>
      <c r="AU251">
        <v>1.2931E-2</v>
      </c>
      <c r="AV251">
        <v>148</v>
      </c>
      <c r="AW251">
        <v>106</v>
      </c>
      <c r="AX251">
        <v>0.71621619999999997</v>
      </c>
      <c r="AY251">
        <v>106</v>
      </c>
      <c r="AZ251">
        <v>1</v>
      </c>
      <c r="BA251">
        <v>90</v>
      </c>
      <c r="BB251">
        <v>0.84905660000000005</v>
      </c>
      <c r="BC251">
        <v>1</v>
      </c>
      <c r="BD251">
        <v>1.11111E-2</v>
      </c>
      <c r="BE251">
        <v>14</v>
      </c>
      <c r="BF251">
        <v>11</v>
      </c>
      <c r="BG251">
        <v>0.78571429999999998</v>
      </c>
      <c r="BH251">
        <v>11</v>
      </c>
      <c r="BI251">
        <v>1</v>
      </c>
      <c r="BJ251">
        <v>8</v>
      </c>
      <c r="BK251">
        <v>0.72727269999999999</v>
      </c>
      <c r="BL251">
        <v>0</v>
      </c>
      <c r="BM251">
        <v>0</v>
      </c>
    </row>
    <row r="252" spans="1:65" x14ac:dyDescent="0.25">
      <c r="A252" t="s">
        <v>622</v>
      </c>
      <c r="B252" t="s">
        <v>623</v>
      </c>
      <c r="C252">
        <v>0</v>
      </c>
      <c r="D252">
        <v>96</v>
      </c>
      <c r="E252">
        <v>0</v>
      </c>
      <c r="F252">
        <v>0</v>
      </c>
      <c r="G252">
        <v>0</v>
      </c>
      <c r="H252">
        <v>89</v>
      </c>
      <c r="I252">
        <v>0.92708330000000005</v>
      </c>
      <c r="J252">
        <v>67</v>
      </c>
      <c r="K252">
        <v>0.75280899999999995</v>
      </c>
      <c r="L252">
        <v>0</v>
      </c>
      <c r="M252">
        <v>52</v>
      </c>
      <c r="N252">
        <v>0</v>
      </c>
      <c r="O252">
        <v>0</v>
      </c>
      <c r="P252">
        <v>0</v>
      </c>
      <c r="Q252">
        <v>52</v>
      </c>
      <c r="R252">
        <v>1</v>
      </c>
      <c r="S252">
        <v>38</v>
      </c>
      <c r="T252">
        <v>0.73076920000000001</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44</v>
      </c>
      <c r="AO252">
        <v>0</v>
      </c>
      <c r="AP252">
        <v>0</v>
      </c>
      <c r="AQ252">
        <v>0</v>
      </c>
      <c r="AR252">
        <v>37</v>
      </c>
      <c r="AS252">
        <v>0.84090909999999996</v>
      </c>
      <c r="AT252">
        <v>29</v>
      </c>
      <c r="AU252">
        <v>0.78378380000000003</v>
      </c>
      <c r="AV252">
        <v>0</v>
      </c>
      <c r="AW252">
        <v>0</v>
      </c>
      <c r="AX252">
        <v>0</v>
      </c>
      <c r="AY252">
        <v>0</v>
      </c>
      <c r="AZ252">
        <v>0</v>
      </c>
      <c r="BA252">
        <v>0</v>
      </c>
      <c r="BB252">
        <v>0</v>
      </c>
      <c r="BC252">
        <v>0</v>
      </c>
      <c r="BD252">
        <v>0</v>
      </c>
      <c r="BE252">
        <v>0</v>
      </c>
      <c r="BF252">
        <v>0</v>
      </c>
      <c r="BG252">
        <v>0</v>
      </c>
      <c r="BH252">
        <v>0</v>
      </c>
      <c r="BI252">
        <v>0</v>
      </c>
      <c r="BJ252">
        <v>0</v>
      </c>
      <c r="BK252">
        <v>0</v>
      </c>
      <c r="BL252">
        <v>0</v>
      </c>
      <c r="BM252">
        <v>0</v>
      </c>
    </row>
    <row r="253" spans="1:65" x14ac:dyDescent="0.25">
      <c r="A253" t="s">
        <v>624</v>
      </c>
      <c r="B253" t="s">
        <v>625</v>
      </c>
      <c r="C253">
        <v>629</v>
      </c>
      <c r="D253">
        <v>296</v>
      </c>
      <c r="E253">
        <v>0.47058820000000001</v>
      </c>
      <c r="F253">
        <v>173</v>
      </c>
      <c r="G253">
        <v>0.58445950000000002</v>
      </c>
      <c r="H253">
        <v>287</v>
      </c>
      <c r="I253">
        <v>0.96959459999999997</v>
      </c>
      <c r="J253">
        <v>181</v>
      </c>
      <c r="K253">
        <v>0.63066199999999994</v>
      </c>
      <c r="L253">
        <v>255</v>
      </c>
      <c r="M253">
        <v>136</v>
      </c>
      <c r="N253">
        <v>0.53333330000000001</v>
      </c>
      <c r="O253">
        <v>81</v>
      </c>
      <c r="P253">
        <v>0.59558820000000001</v>
      </c>
      <c r="Q253">
        <v>132</v>
      </c>
      <c r="R253">
        <v>0.97058820000000001</v>
      </c>
      <c r="S253">
        <v>89</v>
      </c>
      <c r="T253">
        <v>0.67424240000000002</v>
      </c>
      <c r="U253" t="s">
        <v>127</v>
      </c>
      <c r="V253">
        <v>81</v>
      </c>
      <c r="W253" t="s">
        <v>127</v>
      </c>
      <c r="X253">
        <v>81</v>
      </c>
      <c r="Y253">
        <v>1</v>
      </c>
      <c r="Z253">
        <v>78</v>
      </c>
      <c r="AA253">
        <v>0.96296300000000001</v>
      </c>
      <c r="AB253">
        <v>48</v>
      </c>
      <c r="AC253">
        <v>0.61538459999999995</v>
      </c>
      <c r="AD253" t="s">
        <v>127</v>
      </c>
      <c r="AE253">
        <v>0</v>
      </c>
      <c r="AF253" t="s">
        <v>127</v>
      </c>
      <c r="AG253">
        <v>0</v>
      </c>
      <c r="AH253">
        <v>0</v>
      </c>
      <c r="AI253">
        <v>0</v>
      </c>
      <c r="AJ253">
        <v>0</v>
      </c>
      <c r="AK253">
        <v>0</v>
      </c>
      <c r="AL253">
        <v>0</v>
      </c>
      <c r="AM253">
        <v>374</v>
      </c>
      <c r="AN253">
        <v>160</v>
      </c>
      <c r="AO253">
        <v>0.42780750000000001</v>
      </c>
      <c r="AP253">
        <v>92</v>
      </c>
      <c r="AQ253">
        <v>0.57499999999999996</v>
      </c>
      <c r="AR253">
        <v>155</v>
      </c>
      <c r="AS253">
        <v>0.96875</v>
      </c>
      <c r="AT253">
        <v>92</v>
      </c>
      <c r="AU253">
        <v>0.59354839999999998</v>
      </c>
      <c r="AV253" t="s">
        <v>127</v>
      </c>
      <c r="AW253" t="s">
        <v>127</v>
      </c>
      <c r="AX253" t="s">
        <v>127</v>
      </c>
      <c r="AY253" t="s">
        <v>127</v>
      </c>
      <c r="AZ253" t="s">
        <v>127</v>
      </c>
      <c r="BA253" t="s">
        <v>127</v>
      </c>
      <c r="BB253" t="s">
        <v>127</v>
      </c>
      <c r="BC253" t="s">
        <v>127</v>
      </c>
      <c r="BD253" t="s">
        <v>127</v>
      </c>
      <c r="BE253" t="s">
        <v>127</v>
      </c>
      <c r="BF253" t="s">
        <v>127</v>
      </c>
      <c r="BG253" t="s">
        <v>127</v>
      </c>
      <c r="BH253" t="s">
        <v>127</v>
      </c>
      <c r="BI253" t="s">
        <v>127</v>
      </c>
      <c r="BJ253" t="s">
        <v>127</v>
      </c>
      <c r="BK253" t="s">
        <v>127</v>
      </c>
      <c r="BL253" t="s">
        <v>127</v>
      </c>
      <c r="BM253" t="s">
        <v>127</v>
      </c>
    </row>
    <row r="254" spans="1:65" x14ac:dyDescent="0.25">
      <c r="A254" t="s">
        <v>626</v>
      </c>
      <c r="B254" t="s">
        <v>627</v>
      </c>
      <c r="C254">
        <v>144</v>
      </c>
      <c r="D254">
        <v>53</v>
      </c>
      <c r="E254">
        <v>0.36805559999999998</v>
      </c>
      <c r="F254">
        <v>37</v>
      </c>
      <c r="G254">
        <v>0.69811319999999999</v>
      </c>
      <c r="H254">
        <v>53</v>
      </c>
      <c r="I254">
        <v>1</v>
      </c>
      <c r="J254">
        <v>39</v>
      </c>
      <c r="K254">
        <v>0.73584910000000003</v>
      </c>
      <c r="L254">
        <v>57</v>
      </c>
      <c r="M254">
        <v>22</v>
      </c>
      <c r="N254">
        <v>0.3859649</v>
      </c>
      <c r="O254">
        <v>14</v>
      </c>
      <c r="P254">
        <v>0.63636360000000003</v>
      </c>
      <c r="Q254">
        <v>22</v>
      </c>
      <c r="R254">
        <v>1</v>
      </c>
      <c r="S254">
        <v>19</v>
      </c>
      <c r="T254">
        <v>0.86363639999999997</v>
      </c>
      <c r="U254">
        <v>57</v>
      </c>
      <c r="V254">
        <v>14</v>
      </c>
      <c r="W254">
        <v>0.245614</v>
      </c>
      <c r="X254">
        <v>14</v>
      </c>
      <c r="Y254">
        <v>1</v>
      </c>
      <c r="Z254">
        <v>14</v>
      </c>
      <c r="AA254">
        <v>1</v>
      </c>
      <c r="AB254">
        <v>13</v>
      </c>
      <c r="AC254">
        <v>0.92857140000000005</v>
      </c>
      <c r="AD254">
        <v>0</v>
      </c>
      <c r="AE254">
        <v>0</v>
      </c>
      <c r="AF254">
        <v>0</v>
      </c>
      <c r="AG254">
        <v>0</v>
      </c>
      <c r="AH254">
        <v>0</v>
      </c>
      <c r="AI254">
        <v>0</v>
      </c>
      <c r="AJ254">
        <v>0</v>
      </c>
      <c r="AK254">
        <v>0</v>
      </c>
      <c r="AL254">
        <v>0</v>
      </c>
      <c r="AM254">
        <v>87</v>
      </c>
      <c r="AN254">
        <v>31</v>
      </c>
      <c r="AO254">
        <v>0.35632180000000002</v>
      </c>
      <c r="AP254">
        <v>23</v>
      </c>
      <c r="AQ254">
        <v>0.74193549999999997</v>
      </c>
      <c r="AR254">
        <v>31</v>
      </c>
      <c r="AS254">
        <v>1</v>
      </c>
      <c r="AT254">
        <v>20</v>
      </c>
      <c r="AU254">
        <v>0.64516130000000005</v>
      </c>
      <c r="AV254" t="s">
        <v>127</v>
      </c>
      <c r="AW254" t="s">
        <v>127</v>
      </c>
      <c r="AX254" t="s">
        <v>127</v>
      </c>
      <c r="AY254" t="s">
        <v>127</v>
      </c>
      <c r="AZ254" t="s">
        <v>127</v>
      </c>
      <c r="BA254" t="s">
        <v>127</v>
      </c>
      <c r="BB254" t="s">
        <v>127</v>
      </c>
      <c r="BC254" t="s">
        <v>127</v>
      </c>
      <c r="BD254">
        <v>0.63636360000000003</v>
      </c>
      <c r="BE254" t="s">
        <v>127</v>
      </c>
      <c r="BF254" t="s">
        <v>127</v>
      </c>
      <c r="BG254" t="s">
        <v>127</v>
      </c>
      <c r="BH254" t="s">
        <v>127</v>
      </c>
      <c r="BI254" t="s">
        <v>127</v>
      </c>
      <c r="BJ254" t="s">
        <v>127</v>
      </c>
      <c r="BK254" t="s">
        <v>127</v>
      </c>
      <c r="BL254">
        <v>0</v>
      </c>
      <c r="BM254" t="s">
        <v>127</v>
      </c>
    </row>
    <row r="255" spans="1:65" x14ac:dyDescent="0.25">
      <c r="A255" t="s">
        <v>628</v>
      </c>
      <c r="B255" t="s">
        <v>629</v>
      </c>
      <c r="C255">
        <v>1250</v>
      </c>
      <c r="D255">
        <v>1073</v>
      </c>
      <c r="E255">
        <v>0.85840000000000005</v>
      </c>
      <c r="F255">
        <v>758</v>
      </c>
      <c r="G255">
        <v>0.70643060000000002</v>
      </c>
      <c r="H255">
        <v>1055</v>
      </c>
      <c r="I255">
        <v>0.9832246</v>
      </c>
      <c r="J255">
        <v>731</v>
      </c>
      <c r="K255">
        <v>0.69289100000000003</v>
      </c>
      <c r="L255">
        <v>531</v>
      </c>
      <c r="M255">
        <v>464</v>
      </c>
      <c r="N255">
        <v>0.87382300000000002</v>
      </c>
      <c r="O255">
        <v>312</v>
      </c>
      <c r="P255">
        <v>0.67241379999999995</v>
      </c>
      <c r="Q255">
        <v>457</v>
      </c>
      <c r="R255">
        <v>0.98491379999999995</v>
      </c>
      <c r="S255">
        <v>336</v>
      </c>
      <c r="T255">
        <v>0.73522980000000004</v>
      </c>
      <c r="U255">
        <v>531</v>
      </c>
      <c r="V255">
        <v>312</v>
      </c>
      <c r="W255">
        <v>0.58757060000000005</v>
      </c>
      <c r="X255">
        <v>312</v>
      </c>
      <c r="Y255">
        <v>1</v>
      </c>
      <c r="Z255">
        <v>306</v>
      </c>
      <c r="AA255">
        <v>0.98076920000000001</v>
      </c>
      <c r="AB255">
        <v>227</v>
      </c>
      <c r="AC255">
        <v>0.74183010000000005</v>
      </c>
      <c r="AD255">
        <v>0</v>
      </c>
      <c r="AE255">
        <v>0</v>
      </c>
      <c r="AF255">
        <v>0</v>
      </c>
      <c r="AG255">
        <v>0</v>
      </c>
      <c r="AH255">
        <v>0</v>
      </c>
      <c r="AI255">
        <v>0</v>
      </c>
      <c r="AJ255">
        <v>0</v>
      </c>
      <c r="AK255">
        <v>0</v>
      </c>
      <c r="AL255">
        <v>0</v>
      </c>
      <c r="AM255">
        <v>719</v>
      </c>
      <c r="AN255">
        <v>609</v>
      </c>
      <c r="AO255">
        <v>0.84700969999999998</v>
      </c>
      <c r="AP255">
        <v>446</v>
      </c>
      <c r="AQ255">
        <v>0.73234809999999995</v>
      </c>
      <c r="AR255">
        <v>598</v>
      </c>
      <c r="AS255">
        <v>0.98193759999999997</v>
      </c>
      <c r="AT255">
        <v>395</v>
      </c>
      <c r="AU255">
        <v>0.66053510000000004</v>
      </c>
      <c r="AV255">
        <v>689</v>
      </c>
      <c r="AW255">
        <v>425</v>
      </c>
      <c r="AX255">
        <v>0.61683600000000005</v>
      </c>
      <c r="AY255">
        <v>425</v>
      </c>
      <c r="AZ255">
        <v>1</v>
      </c>
      <c r="BA255">
        <v>415</v>
      </c>
      <c r="BB255">
        <v>0.97647059999999997</v>
      </c>
      <c r="BC255">
        <v>267</v>
      </c>
      <c r="BD255">
        <v>0.64337350000000004</v>
      </c>
      <c r="BE255">
        <v>30</v>
      </c>
      <c r="BF255">
        <v>21</v>
      </c>
      <c r="BG255">
        <v>0.7</v>
      </c>
      <c r="BH255">
        <v>21</v>
      </c>
      <c r="BI255">
        <v>1</v>
      </c>
      <c r="BJ255">
        <v>20</v>
      </c>
      <c r="BK255">
        <v>0.95238100000000003</v>
      </c>
      <c r="BL255">
        <v>8</v>
      </c>
      <c r="BM255">
        <v>0.4</v>
      </c>
    </row>
    <row r="256" spans="1:65" x14ac:dyDescent="0.25">
      <c r="A256" t="s">
        <v>630</v>
      </c>
      <c r="B256" t="s">
        <v>631</v>
      </c>
      <c r="C256">
        <v>547</v>
      </c>
      <c r="D256">
        <v>301</v>
      </c>
      <c r="E256">
        <v>0.55027420000000005</v>
      </c>
      <c r="F256">
        <v>198</v>
      </c>
      <c r="G256">
        <v>0.65780729999999998</v>
      </c>
      <c r="H256">
        <v>282</v>
      </c>
      <c r="I256">
        <v>0.93687710000000002</v>
      </c>
      <c r="J256">
        <v>3</v>
      </c>
      <c r="K256">
        <v>1.06383E-2</v>
      </c>
      <c r="L256">
        <v>265</v>
      </c>
      <c r="M256">
        <v>175</v>
      </c>
      <c r="N256">
        <v>0.6603774</v>
      </c>
      <c r="O256">
        <v>117</v>
      </c>
      <c r="P256">
        <v>0.66857140000000004</v>
      </c>
      <c r="Q256">
        <v>170</v>
      </c>
      <c r="R256">
        <v>0.97142859999999998</v>
      </c>
      <c r="S256">
        <v>1</v>
      </c>
      <c r="T256">
        <v>5.8824000000000003E-3</v>
      </c>
      <c r="U256" t="s">
        <v>127</v>
      </c>
      <c r="V256">
        <v>117</v>
      </c>
      <c r="W256" t="s">
        <v>127</v>
      </c>
      <c r="X256">
        <v>117</v>
      </c>
      <c r="Y256">
        <v>1</v>
      </c>
      <c r="Z256">
        <v>113</v>
      </c>
      <c r="AA256">
        <v>0.965812</v>
      </c>
      <c r="AB256">
        <v>1</v>
      </c>
      <c r="AC256">
        <v>8.8495999999999991E-3</v>
      </c>
      <c r="AD256" t="s">
        <v>127</v>
      </c>
      <c r="AE256">
        <v>0</v>
      </c>
      <c r="AF256" t="s">
        <v>127</v>
      </c>
      <c r="AG256">
        <v>0</v>
      </c>
      <c r="AH256">
        <v>0</v>
      </c>
      <c r="AI256">
        <v>0</v>
      </c>
      <c r="AJ256">
        <v>0</v>
      </c>
      <c r="AK256">
        <v>0</v>
      </c>
      <c r="AL256">
        <v>0</v>
      </c>
      <c r="AM256">
        <v>282</v>
      </c>
      <c r="AN256">
        <v>126</v>
      </c>
      <c r="AO256">
        <v>0.4468085</v>
      </c>
      <c r="AP256">
        <v>81</v>
      </c>
      <c r="AQ256">
        <v>0.64285709999999996</v>
      </c>
      <c r="AR256">
        <v>112</v>
      </c>
      <c r="AS256">
        <v>0.88888889999999998</v>
      </c>
      <c r="AT256">
        <v>2</v>
      </c>
      <c r="AU256">
        <v>1.7857100000000001E-2</v>
      </c>
      <c r="AV256">
        <v>276</v>
      </c>
      <c r="AW256">
        <v>81</v>
      </c>
      <c r="AX256">
        <v>0.29347830000000003</v>
      </c>
      <c r="AY256">
        <v>81</v>
      </c>
      <c r="AZ256">
        <v>1</v>
      </c>
      <c r="BA256">
        <v>81</v>
      </c>
      <c r="BB256">
        <v>1</v>
      </c>
      <c r="BC256">
        <v>1</v>
      </c>
      <c r="BD256">
        <v>1.2345699999999999E-2</v>
      </c>
      <c r="BE256">
        <v>6</v>
      </c>
      <c r="BF256">
        <v>0</v>
      </c>
      <c r="BG256">
        <v>0</v>
      </c>
      <c r="BH256">
        <v>0</v>
      </c>
      <c r="BI256">
        <v>0</v>
      </c>
      <c r="BJ256">
        <v>0</v>
      </c>
      <c r="BK256">
        <v>0</v>
      </c>
      <c r="BL256">
        <v>0</v>
      </c>
      <c r="BM256">
        <v>0</v>
      </c>
    </row>
    <row r="257" spans="1:65" x14ac:dyDescent="0.25">
      <c r="A257" t="s">
        <v>632</v>
      </c>
      <c r="B257" t="s">
        <v>633</v>
      </c>
      <c r="C257">
        <v>617</v>
      </c>
      <c r="D257">
        <v>510</v>
      </c>
      <c r="E257">
        <v>0.82658019999999999</v>
      </c>
      <c r="F257">
        <v>352</v>
      </c>
      <c r="G257">
        <v>0.69019609999999998</v>
      </c>
      <c r="H257">
        <v>493</v>
      </c>
      <c r="I257">
        <v>0.96666669999999999</v>
      </c>
      <c r="J257">
        <v>281</v>
      </c>
      <c r="K257">
        <v>0.56997969999999998</v>
      </c>
      <c r="L257">
        <v>240</v>
      </c>
      <c r="M257">
        <v>204</v>
      </c>
      <c r="N257">
        <v>0.85</v>
      </c>
      <c r="O257">
        <v>134</v>
      </c>
      <c r="P257">
        <v>0.65686270000000002</v>
      </c>
      <c r="Q257">
        <v>192</v>
      </c>
      <c r="R257">
        <v>0.94117649999999997</v>
      </c>
      <c r="S257">
        <v>119</v>
      </c>
      <c r="T257">
        <v>0.61979169999999995</v>
      </c>
      <c r="U257">
        <v>231</v>
      </c>
      <c r="V257" t="s">
        <v>127</v>
      </c>
      <c r="W257" t="s">
        <v>127</v>
      </c>
      <c r="X257" t="s">
        <v>127</v>
      </c>
      <c r="Y257" t="s">
        <v>127</v>
      </c>
      <c r="Z257" t="s">
        <v>127</v>
      </c>
      <c r="AA257" t="s">
        <v>127</v>
      </c>
      <c r="AB257" t="s">
        <v>127</v>
      </c>
      <c r="AC257" t="s">
        <v>127</v>
      </c>
      <c r="AD257">
        <v>9</v>
      </c>
      <c r="AE257" t="s">
        <v>127</v>
      </c>
      <c r="AF257" t="s">
        <v>127</v>
      </c>
      <c r="AG257" t="s">
        <v>127</v>
      </c>
      <c r="AH257" t="s">
        <v>127</v>
      </c>
      <c r="AI257" t="s">
        <v>127</v>
      </c>
      <c r="AJ257" t="s">
        <v>127</v>
      </c>
      <c r="AK257" t="s">
        <v>127</v>
      </c>
      <c r="AL257" t="s">
        <v>127</v>
      </c>
      <c r="AM257">
        <v>377</v>
      </c>
      <c r="AN257">
        <v>306</v>
      </c>
      <c r="AO257">
        <v>0.81167109999999998</v>
      </c>
      <c r="AP257">
        <v>218</v>
      </c>
      <c r="AQ257">
        <v>0.71241829999999995</v>
      </c>
      <c r="AR257">
        <v>301</v>
      </c>
      <c r="AS257">
        <v>0.98366010000000004</v>
      </c>
      <c r="AT257">
        <v>162</v>
      </c>
      <c r="AU257">
        <v>0.53820599999999996</v>
      </c>
      <c r="AV257">
        <v>344</v>
      </c>
      <c r="AW257">
        <v>205</v>
      </c>
      <c r="AX257">
        <v>0.59593019999999997</v>
      </c>
      <c r="AY257">
        <v>205</v>
      </c>
      <c r="AZ257">
        <v>1</v>
      </c>
      <c r="BA257">
        <v>202</v>
      </c>
      <c r="BB257">
        <v>0.98536590000000002</v>
      </c>
      <c r="BC257">
        <v>108</v>
      </c>
      <c r="BD257">
        <v>0.5346535</v>
      </c>
      <c r="BE257">
        <v>33</v>
      </c>
      <c r="BF257">
        <v>13</v>
      </c>
      <c r="BG257">
        <v>0.3939394</v>
      </c>
      <c r="BH257">
        <v>13</v>
      </c>
      <c r="BI257">
        <v>1</v>
      </c>
      <c r="BJ257">
        <v>13</v>
      </c>
      <c r="BK257">
        <v>1</v>
      </c>
      <c r="BL257">
        <v>6</v>
      </c>
      <c r="BM257">
        <v>0.46153850000000002</v>
      </c>
    </row>
    <row r="258" spans="1:65" x14ac:dyDescent="0.25">
      <c r="A258" t="s">
        <v>634</v>
      </c>
      <c r="B258" t="s">
        <v>635</v>
      </c>
      <c r="C258">
        <v>1432</v>
      </c>
      <c r="D258">
        <v>1416</v>
      </c>
      <c r="E258">
        <v>0.98882680000000001</v>
      </c>
      <c r="F258">
        <v>940</v>
      </c>
      <c r="G258">
        <v>0.66384180000000004</v>
      </c>
      <c r="H258">
        <v>1391</v>
      </c>
      <c r="I258">
        <v>0.98234460000000001</v>
      </c>
      <c r="J258">
        <v>1041</v>
      </c>
      <c r="K258">
        <v>0.74838249999999995</v>
      </c>
      <c r="L258">
        <v>701</v>
      </c>
      <c r="M258">
        <v>677</v>
      </c>
      <c r="N258">
        <v>0.96576320000000004</v>
      </c>
      <c r="O258">
        <v>445</v>
      </c>
      <c r="P258">
        <v>0.65731170000000005</v>
      </c>
      <c r="Q258">
        <v>668</v>
      </c>
      <c r="R258">
        <v>0.98670610000000003</v>
      </c>
      <c r="S258">
        <v>521</v>
      </c>
      <c r="T258">
        <v>0.77994010000000003</v>
      </c>
      <c r="U258">
        <v>667</v>
      </c>
      <c r="V258">
        <v>429</v>
      </c>
      <c r="W258">
        <v>0.64317840000000004</v>
      </c>
      <c r="X258">
        <v>429</v>
      </c>
      <c r="Y258">
        <v>1</v>
      </c>
      <c r="Z258">
        <v>422</v>
      </c>
      <c r="AA258">
        <v>0.98368299999999997</v>
      </c>
      <c r="AB258">
        <v>336</v>
      </c>
      <c r="AC258">
        <v>0.79620849999999999</v>
      </c>
      <c r="AD258">
        <v>34</v>
      </c>
      <c r="AE258">
        <v>16</v>
      </c>
      <c r="AF258">
        <v>0.47058820000000001</v>
      </c>
      <c r="AG258">
        <v>16</v>
      </c>
      <c r="AH258">
        <v>1</v>
      </c>
      <c r="AI258">
        <v>16</v>
      </c>
      <c r="AJ258">
        <v>1</v>
      </c>
      <c r="AK258">
        <v>12</v>
      </c>
      <c r="AL258">
        <v>0.75</v>
      </c>
      <c r="AM258">
        <v>731</v>
      </c>
      <c r="AN258">
        <v>739</v>
      </c>
      <c r="AO258">
        <v>1.0109439</v>
      </c>
      <c r="AP258">
        <v>495</v>
      </c>
      <c r="AQ258">
        <v>0.66982410000000003</v>
      </c>
      <c r="AR258">
        <v>723</v>
      </c>
      <c r="AS258">
        <v>0.97834909999999997</v>
      </c>
      <c r="AT258">
        <v>520</v>
      </c>
      <c r="AU258">
        <v>0.71922540000000001</v>
      </c>
      <c r="AV258">
        <v>705</v>
      </c>
      <c r="AW258">
        <v>485</v>
      </c>
      <c r="AX258">
        <v>0.68794330000000004</v>
      </c>
      <c r="AY258">
        <v>485</v>
      </c>
      <c r="AZ258">
        <v>1</v>
      </c>
      <c r="BA258">
        <v>475</v>
      </c>
      <c r="BB258">
        <v>0.97938139999999996</v>
      </c>
      <c r="BC258">
        <v>351</v>
      </c>
      <c r="BD258">
        <v>0.73894740000000003</v>
      </c>
      <c r="BE258">
        <v>26</v>
      </c>
      <c r="BF258">
        <v>10</v>
      </c>
      <c r="BG258">
        <v>0.3846154</v>
      </c>
      <c r="BH258">
        <v>10</v>
      </c>
      <c r="BI258">
        <v>1</v>
      </c>
      <c r="BJ258">
        <v>9</v>
      </c>
      <c r="BK258">
        <v>0.9</v>
      </c>
      <c r="BL258">
        <v>7</v>
      </c>
      <c r="BM258">
        <v>0.77777779999999996</v>
      </c>
    </row>
    <row r="259" spans="1:65" x14ac:dyDescent="0.25">
      <c r="A259" t="s">
        <v>636</v>
      </c>
      <c r="B259" t="s">
        <v>637</v>
      </c>
      <c r="C259">
        <v>36</v>
      </c>
      <c r="D259">
        <v>0</v>
      </c>
      <c r="E259">
        <v>0</v>
      </c>
      <c r="F259">
        <v>0</v>
      </c>
      <c r="G259">
        <v>0</v>
      </c>
      <c r="H259">
        <v>0</v>
      </c>
      <c r="I259">
        <v>0</v>
      </c>
      <c r="J259">
        <v>0</v>
      </c>
      <c r="K259">
        <v>0</v>
      </c>
      <c r="L259">
        <v>15</v>
      </c>
      <c r="M259">
        <v>0</v>
      </c>
      <c r="N259">
        <v>0</v>
      </c>
      <c r="O259">
        <v>0</v>
      </c>
      <c r="P259">
        <v>0</v>
      </c>
      <c r="Q259">
        <v>0</v>
      </c>
      <c r="R259">
        <v>0</v>
      </c>
      <c r="S259">
        <v>0</v>
      </c>
      <c r="T259">
        <v>0</v>
      </c>
      <c r="U259">
        <v>15</v>
      </c>
      <c r="V259">
        <v>0</v>
      </c>
      <c r="W259">
        <v>0</v>
      </c>
      <c r="X259">
        <v>0</v>
      </c>
      <c r="Y259">
        <v>0</v>
      </c>
      <c r="Z259">
        <v>0</v>
      </c>
      <c r="AA259">
        <v>0</v>
      </c>
      <c r="AB259">
        <v>0</v>
      </c>
      <c r="AC259">
        <v>0</v>
      </c>
      <c r="AD259">
        <v>0</v>
      </c>
      <c r="AE259">
        <v>0</v>
      </c>
      <c r="AF259">
        <v>0</v>
      </c>
      <c r="AG259">
        <v>0</v>
      </c>
      <c r="AH259">
        <v>0</v>
      </c>
      <c r="AI259">
        <v>0</v>
      </c>
      <c r="AJ259">
        <v>0</v>
      </c>
      <c r="AK259">
        <v>0</v>
      </c>
      <c r="AL259">
        <v>0</v>
      </c>
      <c r="AM259">
        <v>21</v>
      </c>
      <c r="AN259">
        <v>0</v>
      </c>
      <c r="AO259">
        <v>0</v>
      </c>
      <c r="AP259">
        <v>0</v>
      </c>
      <c r="AQ259">
        <v>0</v>
      </c>
      <c r="AR259">
        <v>0</v>
      </c>
      <c r="AS259">
        <v>0</v>
      </c>
      <c r="AT259">
        <v>0</v>
      </c>
      <c r="AU259">
        <v>0</v>
      </c>
      <c r="AV259">
        <v>21</v>
      </c>
      <c r="AW259">
        <v>0</v>
      </c>
      <c r="AX259">
        <v>0</v>
      </c>
      <c r="AY259">
        <v>0</v>
      </c>
      <c r="AZ259">
        <v>0</v>
      </c>
      <c r="BA259">
        <v>0</v>
      </c>
      <c r="BB259">
        <v>0</v>
      </c>
      <c r="BC259">
        <v>0</v>
      </c>
      <c r="BD259">
        <v>0</v>
      </c>
      <c r="BE259">
        <v>0</v>
      </c>
      <c r="BF259">
        <v>0</v>
      </c>
      <c r="BG259">
        <v>0</v>
      </c>
      <c r="BH259">
        <v>0</v>
      </c>
      <c r="BI259">
        <v>0</v>
      </c>
      <c r="BJ259">
        <v>0</v>
      </c>
      <c r="BK259">
        <v>0</v>
      </c>
      <c r="BL259">
        <v>0</v>
      </c>
      <c r="BM259">
        <v>0</v>
      </c>
    </row>
    <row r="260" spans="1:65" x14ac:dyDescent="0.25">
      <c r="A260" t="s">
        <v>638</v>
      </c>
      <c r="B260" t="s">
        <v>639</v>
      </c>
      <c r="C260">
        <v>827</v>
      </c>
      <c r="D260">
        <v>1097</v>
      </c>
      <c r="E260">
        <v>1.3264813</v>
      </c>
      <c r="F260">
        <v>138</v>
      </c>
      <c r="G260">
        <v>0.12579760000000001</v>
      </c>
      <c r="H260">
        <v>1033</v>
      </c>
      <c r="I260">
        <v>0.94165909999999997</v>
      </c>
      <c r="J260">
        <v>396</v>
      </c>
      <c r="K260">
        <v>0.38334950000000001</v>
      </c>
      <c r="L260">
        <v>388</v>
      </c>
      <c r="M260">
        <v>503</v>
      </c>
      <c r="N260">
        <v>1.2963918000000001</v>
      </c>
      <c r="O260">
        <v>72</v>
      </c>
      <c r="P260">
        <v>0.1431412</v>
      </c>
      <c r="Q260">
        <v>481</v>
      </c>
      <c r="R260">
        <v>0.95626239999999996</v>
      </c>
      <c r="S260">
        <v>215</v>
      </c>
      <c r="T260">
        <v>0.44698539999999998</v>
      </c>
      <c r="U260">
        <v>339</v>
      </c>
      <c r="V260">
        <v>66</v>
      </c>
      <c r="W260">
        <v>0.19469030000000001</v>
      </c>
      <c r="X260">
        <v>66</v>
      </c>
      <c r="Y260">
        <v>1</v>
      </c>
      <c r="Z260">
        <v>63</v>
      </c>
      <c r="AA260">
        <v>0.95454550000000005</v>
      </c>
      <c r="AB260">
        <v>47</v>
      </c>
      <c r="AC260">
        <v>0.74603169999999996</v>
      </c>
      <c r="AD260">
        <v>49</v>
      </c>
      <c r="AE260">
        <v>6</v>
      </c>
      <c r="AF260">
        <v>0.122449</v>
      </c>
      <c r="AG260">
        <v>6</v>
      </c>
      <c r="AH260">
        <v>1</v>
      </c>
      <c r="AI260">
        <v>6</v>
      </c>
      <c r="AJ260">
        <v>1</v>
      </c>
      <c r="AK260">
        <v>5</v>
      </c>
      <c r="AL260">
        <v>0.83333330000000005</v>
      </c>
      <c r="AM260">
        <v>439</v>
      </c>
      <c r="AN260">
        <v>594</v>
      </c>
      <c r="AO260">
        <v>1.3530751999999999</v>
      </c>
      <c r="AP260">
        <v>66</v>
      </c>
      <c r="AQ260">
        <v>0.1111111</v>
      </c>
      <c r="AR260">
        <v>552</v>
      </c>
      <c r="AS260">
        <v>0.92929289999999998</v>
      </c>
      <c r="AT260">
        <v>181</v>
      </c>
      <c r="AU260">
        <v>0.32789859999999998</v>
      </c>
      <c r="AV260">
        <v>397</v>
      </c>
      <c r="AW260" t="s">
        <v>127</v>
      </c>
      <c r="AX260" t="s">
        <v>127</v>
      </c>
      <c r="AY260" t="s">
        <v>127</v>
      </c>
      <c r="AZ260" t="s">
        <v>127</v>
      </c>
      <c r="BA260" t="s">
        <v>127</v>
      </c>
      <c r="BB260" t="s">
        <v>127</v>
      </c>
      <c r="BC260" t="s">
        <v>127</v>
      </c>
      <c r="BD260">
        <v>0.58181819999999995</v>
      </c>
      <c r="BE260">
        <v>42</v>
      </c>
      <c r="BF260" t="s">
        <v>127</v>
      </c>
      <c r="BG260" t="s">
        <v>127</v>
      </c>
      <c r="BH260" t="s">
        <v>127</v>
      </c>
      <c r="BI260" t="s">
        <v>127</v>
      </c>
      <c r="BJ260" t="s">
        <v>127</v>
      </c>
      <c r="BK260" t="s">
        <v>127</v>
      </c>
      <c r="BL260">
        <v>0</v>
      </c>
      <c r="BM260" t="s">
        <v>127</v>
      </c>
    </row>
    <row r="261" spans="1:65" x14ac:dyDescent="0.25">
      <c r="A261" t="s">
        <v>640</v>
      </c>
      <c r="B261" t="s">
        <v>641</v>
      </c>
      <c r="C261">
        <v>245</v>
      </c>
      <c r="D261">
        <v>174</v>
      </c>
      <c r="E261">
        <v>0.7102041</v>
      </c>
      <c r="F261">
        <v>109</v>
      </c>
      <c r="G261">
        <v>0.62643680000000002</v>
      </c>
      <c r="H261">
        <v>164</v>
      </c>
      <c r="I261">
        <v>0.9425287</v>
      </c>
      <c r="J261">
        <v>97</v>
      </c>
      <c r="K261">
        <v>0.59146339999999997</v>
      </c>
      <c r="L261">
        <v>115</v>
      </c>
      <c r="M261">
        <v>82</v>
      </c>
      <c r="N261">
        <v>0.71304350000000005</v>
      </c>
      <c r="O261">
        <v>54</v>
      </c>
      <c r="P261">
        <v>0.65853660000000003</v>
      </c>
      <c r="Q261">
        <v>78</v>
      </c>
      <c r="R261">
        <v>0.9512195</v>
      </c>
      <c r="S261">
        <v>43</v>
      </c>
      <c r="T261">
        <v>0.5512821</v>
      </c>
      <c r="U261">
        <v>98</v>
      </c>
      <c r="V261" t="s">
        <v>127</v>
      </c>
      <c r="W261" t="s">
        <v>127</v>
      </c>
      <c r="X261" t="s">
        <v>127</v>
      </c>
      <c r="Y261" t="s">
        <v>127</v>
      </c>
      <c r="Z261" t="s">
        <v>127</v>
      </c>
      <c r="AA261" t="s">
        <v>127</v>
      </c>
      <c r="AB261" t="s">
        <v>127</v>
      </c>
      <c r="AC261" t="s">
        <v>127</v>
      </c>
      <c r="AD261">
        <v>17</v>
      </c>
      <c r="AE261" t="s">
        <v>127</v>
      </c>
      <c r="AF261" t="s">
        <v>127</v>
      </c>
      <c r="AG261" t="s">
        <v>127</v>
      </c>
      <c r="AH261" t="s">
        <v>127</v>
      </c>
      <c r="AI261" t="s">
        <v>127</v>
      </c>
      <c r="AJ261" t="s">
        <v>127</v>
      </c>
      <c r="AK261" t="s">
        <v>127</v>
      </c>
      <c r="AL261" t="s">
        <v>127</v>
      </c>
      <c r="AM261">
        <v>130</v>
      </c>
      <c r="AN261">
        <v>92</v>
      </c>
      <c r="AO261">
        <v>0.70769230000000005</v>
      </c>
      <c r="AP261">
        <v>55</v>
      </c>
      <c r="AQ261">
        <v>0.59782610000000003</v>
      </c>
      <c r="AR261">
        <v>86</v>
      </c>
      <c r="AS261">
        <v>0.93478260000000002</v>
      </c>
      <c r="AT261">
        <v>54</v>
      </c>
      <c r="AU261">
        <v>0.62790699999999999</v>
      </c>
      <c r="AV261">
        <v>117</v>
      </c>
      <c r="AW261" t="s">
        <v>127</v>
      </c>
      <c r="AX261" t="s">
        <v>127</v>
      </c>
      <c r="AY261" t="s">
        <v>127</v>
      </c>
      <c r="AZ261" t="s">
        <v>127</v>
      </c>
      <c r="BA261" t="s">
        <v>127</v>
      </c>
      <c r="BB261" t="s">
        <v>127</v>
      </c>
      <c r="BC261" t="s">
        <v>127</v>
      </c>
      <c r="BD261" t="s">
        <v>127</v>
      </c>
      <c r="BE261">
        <v>13</v>
      </c>
      <c r="BF261" t="s">
        <v>127</v>
      </c>
      <c r="BG261" t="s">
        <v>127</v>
      </c>
      <c r="BH261" t="s">
        <v>127</v>
      </c>
      <c r="BI261" t="s">
        <v>127</v>
      </c>
      <c r="BJ261" t="s">
        <v>127</v>
      </c>
      <c r="BK261" t="s">
        <v>127</v>
      </c>
      <c r="BL261" t="s">
        <v>127</v>
      </c>
      <c r="BM261" t="s">
        <v>127</v>
      </c>
    </row>
    <row r="262" spans="1:65" x14ac:dyDescent="0.25">
      <c r="A262" t="s">
        <v>642</v>
      </c>
      <c r="B262" t="s">
        <v>643</v>
      </c>
      <c r="C262">
        <v>0</v>
      </c>
      <c r="D262">
        <v>0</v>
      </c>
      <c r="E262">
        <v>0</v>
      </c>
      <c r="F262">
        <v>0</v>
      </c>
      <c r="G262">
        <v>0</v>
      </c>
      <c r="H262">
        <v>0</v>
      </c>
      <c r="I262">
        <v>0</v>
      </c>
      <c r="J262">
        <v>0</v>
      </c>
      <c r="K262">
        <v>0</v>
      </c>
      <c r="L262">
        <v>0</v>
      </c>
      <c r="M262" t="s">
        <v>127</v>
      </c>
      <c r="N262" t="s">
        <v>127</v>
      </c>
      <c r="O262">
        <v>0</v>
      </c>
      <c r="P262" t="s">
        <v>127</v>
      </c>
      <c r="Q262" t="s">
        <v>127</v>
      </c>
      <c r="R262" t="s">
        <v>127</v>
      </c>
      <c r="S262">
        <v>0</v>
      </c>
      <c r="T262" t="s">
        <v>127</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row>
    <row r="263" spans="1:65" x14ac:dyDescent="0.25">
      <c r="A263" t="s">
        <v>644</v>
      </c>
      <c r="B263" t="s">
        <v>645</v>
      </c>
      <c r="C263">
        <v>471</v>
      </c>
      <c r="D263">
        <v>371</v>
      </c>
      <c r="E263">
        <v>0.78768579999999999</v>
      </c>
      <c r="F263">
        <v>273</v>
      </c>
      <c r="G263">
        <v>0.73584910000000003</v>
      </c>
      <c r="H263">
        <v>355</v>
      </c>
      <c r="I263">
        <v>0.95687330000000004</v>
      </c>
      <c r="J263">
        <v>225</v>
      </c>
      <c r="K263">
        <v>0.6338028</v>
      </c>
      <c r="L263">
        <v>233</v>
      </c>
      <c r="M263">
        <v>184</v>
      </c>
      <c r="N263">
        <v>0.78969959999999995</v>
      </c>
      <c r="O263">
        <v>138</v>
      </c>
      <c r="P263">
        <v>0.75</v>
      </c>
      <c r="Q263">
        <v>178</v>
      </c>
      <c r="R263">
        <v>0.96739129999999995</v>
      </c>
      <c r="S263">
        <v>107</v>
      </c>
      <c r="T263">
        <v>0.60112359999999998</v>
      </c>
      <c r="U263">
        <v>220</v>
      </c>
      <c r="V263" t="s">
        <v>127</v>
      </c>
      <c r="W263" t="s">
        <v>127</v>
      </c>
      <c r="X263" t="s">
        <v>127</v>
      </c>
      <c r="Y263" t="s">
        <v>127</v>
      </c>
      <c r="Z263" t="s">
        <v>127</v>
      </c>
      <c r="AA263" t="s">
        <v>127</v>
      </c>
      <c r="AB263" t="s">
        <v>127</v>
      </c>
      <c r="AC263" t="s">
        <v>127</v>
      </c>
      <c r="AD263">
        <v>13</v>
      </c>
      <c r="AE263" t="s">
        <v>127</v>
      </c>
      <c r="AF263" t="s">
        <v>127</v>
      </c>
      <c r="AG263" t="s">
        <v>127</v>
      </c>
      <c r="AH263" t="s">
        <v>127</v>
      </c>
      <c r="AI263" t="s">
        <v>127</v>
      </c>
      <c r="AJ263" t="s">
        <v>127</v>
      </c>
      <c r="AK263" t="s">
        <v>127</v>
      </c>
      <c r="AL263" t="s">
        <v>127</v>
      </c>
      <c r="AM263">
        <v>238</v>
      </c>
      <c r="AN263">
        <v>187</v>
      </c>
      <c r="AO263">
        <v>0.78571429999999998</v>
      </c>
      <c r="AP263">
        <v>135</v>
      </c>
      <c r="AQ263">
        <v>0.72192509999999999</v>
      </c>
      <c r="AR263">
        <v>177</v>
      </c>
      <c r="AS263">
        <v>0.94652409999999998</v>
      </c>
      <c r="AT263">
        <v>118</v>
      </c>
      <c r="AU263">
        <v>0.66666669999999995</v>
      </c>
      <c r="AV263">
        <v>223</v>
      </c>
      <c r="AW263" t="s">
        <v>127</v>
      </c>
      <c r="AX263" t="s">
        <v>127</v>
      </c>
      <c r="AY263" t="s">
        <v>127</v>
      </c>
      <c r="AZ263" t="s">
        <v>127</v>
      </c>
      <c r="BA263" t="s">
        <v>127</v>
      </c>
      <c r="BB263" t="s">
        <v>127</v>
      </c>
      <c r="BC263" t="s">
        <v>127</v>
      </c>
      <c r="BD263" t="s">
        <v>127</v>
      </c>
      <c r="BE263">
        <v>15</v>
      </c>
      <c r="BF263" t="s">
        <v>127</v>
      </c>
      <c r="BG263" t="s">
        <v>127</v>
      </c>
      <c r="BH263" t="s">
        <v>127</v>
      </c>
      <c r="BI263" t="s">
        <v>127</v>
      </c>
      <c r="BJ263" t="s">
        <v>127</v>
      </c>
      <c r="BK263" t="s">
        <v>127</v>
      </c>
      <c r="BL263" t="s">
        <v>127</v>
      </c>
      <c r="BM263" t="s">
        <v>127</v>
      </c>
    </row>
    <row r="264" spans="1:65" x14ac:dyDescent="0.25">
      <c r="A264" t="s">
        <v>646</v>
      </c>
      <c r="B264" t="s">
        <v>647</v>
      </c>
      <c r="C264">
        <v>2215</v>
      </c>
      <c r="D264">
        <v>1863</v>
      </c>
      <c r="E264">
        <v>0.84108349999999998</v>
      </c>
      <c r="F264">
        <v>1403</v>
      </c>
      <c r="G264">
        <v>0.75308640000000004</v>
      </c>
      <c r="H264">
        <v>1802</v>
      </c>
      <c r="I264">
        <v>0.96725709999999998</v>
      </c>
      <c r="J264">
        <v>1266</v>
      </c>
      <c r="K264">
        <v>0.70255270000000003</v>
      </c>
      <c r="L264">
        <v>1111</v>
      </c>
      <c r="M264">
        <v>913</v>
      </c>
      <c r="N264">
        <v>0.82178220000000002</v>
      </c>
      <c r="O264">
        <v>673</v>
      </c>
      <c r="P264">
        <v>0.73713030000000002</v>
      </c>
      <c r="Q264">
        <v>905</v>
      </c>
      <c r="R264">
        <v>0.9912377</v>
      </c>
      <c r="S264">
        <v>647</v>
      </c>
      <c r="T264">
        <v>0.71491709999999997</v>
      </c>
      <c r="U264">
        <v>1022</v>
      </c>
      <c r="V264">
        <v>619</v>
      </c>
      <c r="W264">
        <v>0.60567510000000002</v>
      </c>
      <c r="X264">
        <v>619</v>
      </c>
      <c r="Y264">
        <v>1</v>
      </c>
      <c r="Z264">
        <v>614</v>
      </c>
      <c r="AA264">
        <v>0.99192250000000004</v>
      </c>
      <c r="AB264">
        <v>436</v>
      </c>
      <c r="AC264">
        <v>0.71009770000000005</v>
      </c>
      <c r="AD264">
        <v>89</v>
      </c>
      <c r="AE264">
        <v>54</v>
      </c>
      <c r="AF264">
        <v>0.60674159999999999</v>
      </c>
      <c r="AG264">
        <v>54</v>
      </c>
      <c r="AH264">
        <v>1</v>
      </c>
      <c r="AI264">
        <v>53</v>
      </c>
      <c r="AJ264">
        <v>0.98148150000000001</v>
      </c>
      <c r="AK264">
        <v>35</v>
      </c>
      <c r="AL264">
        <v>0.6603774</v>
      </c>
      <c r="AM264">
        <v>1104</v>
      </c>
      <c r="AN264">
        <v>950</v>
      </c>
      <c r="AO264">
        <v>0.86050720000000003</v>
      </c>
      <c r="AP264">
        <v>730</v>
      </c>
      <c r="AQ264">
        <v>0.76842109999999997</v>
      </c>
      <c r="AR264">
        <v>897</v>
      </c>
      <c r="AS264">
        <v>0.94421049999999995</v>
      </c>
      <c r="AT264">
        <v>619</v>
      </c>
      <c r="AU264">
        <v>0.69007799999999997</v>
      </c>
      <c r="AV264">
        <v>964</v>
      </c>
      <c r="AW264">
        <v>642</v>
      </c>
      <c r="AX264">
        <v>0.66597510000000004</v>
      </c>
      <c r="AY264">
        <v>642</v>
      </c>
      <c r="AZ264">
        <v>1</v>
      </c>
      <c r="BA264">
        <v>608</v>
      </c>
      <c r="BB264">
        <v>0.94704049999999995</v>
      </c>
      <c r="BC264">
        <v>412</v>
      </c>
      <c r="BD264">
        <v>0.6776316</v>
      </c>
      <c r="BE264">
        <v>140</v>
      </c>
      <c r="BF264">
        <v>88</v>
      </c>
      <c r="BG264">
        <v>0.6285714</v>
      </c>
      <c r="BH264">
        <v>88</v>
      </c>
      <c r="BI264">
        <v>1</v>
      </c>
      <c r="BJ264">
        <v>83</v>
      </c>
      <c r="BK264">
        <v>0.94318179999999996</v>
      </c>
      <c r="BL264">
        <v>51</v>
      </c>
      <c r="BM264">
        <v>0.61445780000000005</v>
      </c>
    </row>
    <row r="265" spans="1:65" x14ac:dyDescent="0.25">
      <c r="A265" t="s">
        <v>648</v>
      </c>
      <c r="B265" t="s">
        <v>649</v>
      </c>
      <c r="C265">
        <v>638</v>
      </c>
      <c r="D265">
        <v>156</v>
      </c>
      <c r="E265">
        <v>0.24451410000000001</v>
      </c>
      <c r="F265">
        <v>90</v>
      </c>
      <c r="G265">
        <v>0.57692310000000002</v>
      </c>
      <c r="H265">
        <v>156</v>
      </c>
      <c r="I265">
        <v>1</v>
      </c>
      <c r="J265">
        <v>70</v>
      </c>
      <c r="K265">
        <v>0.4487179</v>
      </c>
      <c r="L265">
        <v>317</v>
      </c>
      <c r="M265">
        <v>67</v>
      </c>
      <c r="N265">
        <v>0.2113565</v>
      </c>
      <c r="O265">
        <v>37</v>
      </c>
      <c r="P265">
        <v>0.55223880000000003</v>
      </c>
      <c r="Q265">
        <v>67</v>
      </c>
      <c r="R265">
        <v>1</v>
      </c>
      <c r="S265">
        <v>26</v>
      </c>
      <c r="T265">
        <v>0.38805970000000001</v>
      </c>
      <c r="U265">
        <v>295</v>
      </c>
      <c r="V265">
        <v>37</v>
      </c>
      <c r="W265">
        <v>0.1254237</v>
      </c>
      <c r="X265">
        <v>37</v>
      </c>
      <c r="Y265">
        <v>1</v>
      </c>
      <c r="Z265">
        <v>37</v>
      </c>
      <c r="AA265">
        <v>1</v>
      </c>
      <c r="AB265">
        <v>17</v>
      </c>
      <c r="AC265">
        <v>0.45945950000000002</v>
      </c>
      <c r="AD265">
        <v>22</v>
      </c>
      <c r="AE265">
        <v>0</v>
      </c>
      <c r="AF265">
        <v>0</v>
      </c>
      <c r="AG265">
        <v>0</v>
      </c>
      <c r="AH265">
        <v>0</v>
      </c>
      <c r="AI265">
        <v>0</v>
      </c>
      <c r="AJ265">
        <v>0</v>
      </c>
      <c r="AK265">
        <v>0</v>
      </c>
      <c r="AL265">
        <v>0</v>
      </c>
      <c r="AM265">
        <v>321</v>
      </c>
      <c r="AN265">
        <v>89</v>
      </c>
      <c r="AO265">
        <v>0.27725860000000002</v>
      </c>
      <c r="AP265">
        <v>53</v>
      </c>
      <c r="AQ265">
        <v>0.59550559999999997</v>
      </c>
      <c r="AR265">
        <v>89</v>
      </c>
      <c r="AS265">
        <v>1</v>
      </c>
      <c r="AT265">
        <v>44</v>
      </c>
      <c r="AU265">
        <v>0.49438199999999999</v>
      </c>
      <c r="AV265">
        <v>300</v>
      </c>
      <c r="AW265">
        <v>53</v>
      </c>
      <c r="AX265">
        <v>0.17666670000000001</v>
      </c>
      <c r="AY265">
        <v>53</v>
      </c>
      <c r="AZ265">
        <v>1</v>
      </c>
      <c r="BA265">
        <v>53</v>
      </c>
      <c r="BB265">
        <v>1</v>
      </c>
      <c r="BC265">
        <v>36</v>
      </c>
      <c r="BD265">
        <v>0.67924530000000005</v>
      </c>
      <c r="BE265">
        <v>21</v>
      </c>
      <c r="BF265">
        <v>0</v>
      </c>
      <c r="BG265">
        <v>0</v>
      </c>
      <c r="BH265">
        <v>0</v>
      </c>
      <c r="BI265">
        <v>0</v>
      </c>
      <c r="BJ265">
        <v>0</v>
      </c>
      <c r="BK265">
        <v>0</v>
      </c>
      <c r="BL265">
        <v>0</v>
      </c>
      <c r="BM265">
        <v>0</v>
      </c>
    </row>
    <row r="266" spans="1:65" x14ac:dyDescent="0.25">
      <c r="A266" t="s">
        <v>650</v>
      </c>
      <c r="B266" t="s">
        <v>651</v>
      </c>
      <c r="C266">
        <v>0</v>
      </c>
      <c r="D266">
        <v>239</v>
      </c>
      <c r="E266">
        <v>0</v>
      </c>
      <c r="F266">
        <v>0</v>
      </c>
      <c r="G266">
        <v>0</v>
      </c>
      <c r="H266">
        <v>239</v>
      </c>
      <c r="I266">
        <v>1</v>
      </c>
      <c r="J266">
        <v>184</v>
      </c>
      <c r="K266">
        <v>0.76987450000000002</v>
      </c>
      <c r="L266">
        <v>0</v>
      </c>
      <c r="M266">
        <v>95</v>
      </c>
      <c r="N266">
        <v>0</v>
      </c>
      <c r="O266">
        <v>0</v>
      </c>
      <c r="P266">
        <v>0</v>
      </c>
      <c r="Q266">
        <v>95</v>
      </c>
      <c r="R266">
        <v>1</v>
      </c>
      <c r="S266">
        <v>74</v>
      </c>
      <c r="T266">
        <v>0.77894739999999996</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144</v>
      </c>
      <c r="AO266">
        <v>0</v>
      </c>
      <c r="AP266">
        <v>0</v>
      </c>
      <c r="AQ266">
        <v>0</v>
      </c>
      <c r="AR266">
        <v>144</v>
      </c>
      <c r="AS266">
        <v>1</v>
      </c>
      <c r="AT266">
        <v>110</v>
      </c>
      <c r="AU266">
        <v>0.76388889999999998</v>
      </c>
      <c r="AV266">
        <v>0</v>
      </c>
      <c r="AW266">
        <v>0</v>
      </c>
      <c r="AX266">
        <v>0</v>
      </c>
      <c r="AY266">
        <v>0</v>
      </c>
      <c r="AZ266">
        <v>0</v>
      </c>
      <c r="BA266">
        <v>0</v>
      </c>
      <c r="BB266">
        <v>0</v>
      </c>
      <c r="BC266">
        <v>0</v>
      </c>
      <c r="BD266">
        <v>0</v>
      </c>
      <c r="BE266">
        <v>0</v>
      </c>
      <c r="BF266">
        <v>0</v>
      </c>
      <c r="BG266">
        <v>0</v>
      </c>
      <c r="BH266">
        <v>0</v>
      </c>
      <c r="BI266">
        <v>0</v>
      </c>
      <c r="BJ266">
        <v>0</v>
      </c>
      <c r="BK266">
        <v>0</v>
      </c>
      <c r="BL266">
        <v>0</v>
      </c>
      <c r="BM266">
        <v>0</v>
      </c>
    </row>
    <row r="267" spans="1:65" x14ac:dyDescent="0.25">
      <c r="A267" t="s">
        <v>652</v>
      </c>
      <c r="B267" t="s">
        <v>653</v>
      </c>
      <c r="C267">
        <v>2826</v>
      </c>
      <c r="D267">
        <v>2259</v>
      </c>
      <c r="E267">
        <v>0.79936309999999999</v>
      </c>
      <c r="F267">
        <v>1584</v>
      </c>
      <c r="G267">
        <v>0.70119520000000002</v>
      </c>
      <c r="H267">
        <v>1645</v>
      </c>
      <c r="I267">
        <v>0.72819829999999997</v>
      </c>
      <c r="J267">
        <v>1534</v>
      </c>
      <c r="K267">
        <v>0.93252279999999999</v>
      </c>
      <c r="L267">
        <v>1586</v>
      </c>
      <c r="M267">
        <v>1331</v>
      </c>
      <c r="N267">
        <v>0.83921820000000003</v>
      </c>
      <c r="O267">
        <v>911</v>
      </c>
      <c r="P267">
        <v>0.68444780000000005</v>
      </c>
      <c r="Q267">
        <v>959</v>
      </c>
      <c r="R267">
        <v>0.72051089999999995</v>
      </c>
      <c r="S267">
        <v>880</v>
      </c>
      <c r="T267">
        <v>0.91762250000000001</v>
      </c>
      <c r="U267">
        <v>1434</v>
      </c>
      <c r="V267">
        <v>840</v>
      </c>
      <c r="W267">
        <v>0.58577409999999996</v>
      </c>
      <c r="X267">
        <v>840</v>
      </c>
      <c r="Y267">
        <v>1</v>
      </c>
      <c r="Z267">
        <v>673</v>
      </c>
      <c r="AA267">
        <v>0.80119050000000003</v>
      </c>
      <c r="AB267">
        <v>645</v>
      </c>
      <c r="AC267">
        <v>0.9583952</v>
      </c>
      <c r="AD267">
        <v>152</v>
      </c>
      <c r="AE267">
        <v>71</v>
      </c>
      <c r="AF267">
        <v>0.4671053</v>
      </c>
      <c r="AG267">
        <v>71</v>
      </c>
      <c r="AH267">
        <v>1</v>
      </c>
      <c r="AI267">
        <v>52</v>
      </c>
      <c r="AJ267">
        <v>0.7323944</v>
      </c>
      <c r="AK267">
        <v>47</v>
      </c>
      <c r="AL267">
        <v>0.90384620000000004</v>
      </c>
      <c r="AM267">
        <v>1240</v>
      </c>
      <c r="AN267">
        <v>928</v>
      </c>
      <c r="AO267">
        <v>0.74838709999999997</v>
      </c>
      <c r="AP267">
        <v>673</v>
      </c>
      <c r="AQ267">
        <v>0.72521550000000001</v>
      </c>
      <c r="AR267">
        <v>686</v>
      </c>
      <c r="AS267">
        <v>0.73922410000000005</v>
      </c>
      <c r="AT267">
        <v>654</v>
      </c>
      <c r="AU267">
        <v>0.9533528</v>
      </c>
      <c r="AV267">
        <v>1120</v>
      </c>
      <c r="AW267">
        <v>619</v>
      </c>
      <c r="AX267">
        <v>0.55267860000000002</v>
      </c>
      <c r="AY267">
        <v>619</v>
      </c>
      <c r="AZ267">
        <v>1</v>
      </c>
      <c r="BA267">
        <v>484</v>
      </c>
      <c r="BB267">
        <v>0.78190630000000005</v>
      </c>
      <c r="BC267">
        <v>470</v>
      </c>
      <c r="BD267">
        <v>0.9710744</v>
      </c>
      <c r="BE267">
        <v>120</v>
      </c>
      <c r="BF267">
        <v>54</v>
      </c>
      <c r="BG267">
        <v>0.45</v>
      </c>
      <c r="BH267">
        <v>54</v>
      </c>
      <c r="BI267">
        <v>1</v>
      </c>
      <c r="BJ267">
        <v>41</v>
      </c>
      <c r="BK267">
        <v>0.75925929999999997</v>
      </c>
      <c r="BL267">
        <v>39</v>
      </c>
      <c r="BM267">
        <v>0.9512195</v>
      </c>
    </row>
    <row r="268" spans="1:65" x14ac:dyDescent="0.25">
      <c r="A268" t="s">
        <v>654</v>
      </c>
      <c r="B268" t="s">
        <v>655</v>
      </c>
      <c r="C268">
        <v>1291</v>
      </c>
      <c r="D268">
        <v>119</v>
      </c>
      <c r="E268">
        <v>9.2176599999999997E-2</v>
      </c>
      <c r="F268">
        <v>70</v>
      </c>
      <c r="G268">
        <v>0.58823530000000002</v>
      </c>
      <c r="H268">
        <v>119</v>
      </c>
      <c r="I268">
        <v>1</v>
      </c>
      <c r="J268">
        <v>79</v>
      </c>
      <c r="K268">
        <v>0.6638655</v>
      </c>
      <c r="L268">
        <v>577</v>
      </c>
      <c r="M268">
        <v>60</v>
      </c>
      <c r="N268">
        <v>0.1039861</v>
      </c>
      <c r="O268">
        <v>29</v>
      </c>
      <c r="P268">
        <v>0.48333330000000002</v>
      </c>
      <c r="Q268">
        <v>60</v>
      </c>
      <c r="R268">
        <v>1</v>
      </c>
      <c r="S268">
        <v>42</v>
      </c>
      <c r="T268">
        <v>0.7</v>
      </c>
      <c r="U268">
        <v>546</v>
      </c>
      <c r="V268" t="s">
        <v>127</v>
      </c>
      <c r="W268" t="s">
        <v>127</v>
      </c>
      <c r="X268" t="s">
        <v>127</v>
      </c>
      <c r="Y268" t="s">
        <v>127</v>
      </c>
      <c r="Z268" t="s">
        <v>127</v>
      </c>
      <c r="AA268" t="s">
        <v>127</v>
      </c>
      <c r="AB268" t="s">
        <v>127</v>
      </c>
      <c r="AC268" t="s">
        <v>127</v>
      </c>
      <c r="AD268">
        <v>31</v>
      </c>
      <c r="AE268" t="s">
        <v>127</v>
      </c>
      <c r="AF268" t="s">
        <v>127</v>
      </c>
      <c r="AG268" t="s">
        <v>127</v>
      </c>
      <c r="AH268" t="s">
        <v>127</v>
      </c>
      <c r="AI268" t="s">
        <v>127</v>
      </c>
      <c r="AJ268" t="s">
        <v>127</v>
      </c>
      <c r="AK268" t="s">
        <v>127</v>
      </c>
      <c r="AL268" t="s">
        <v>127</v>
      </c>
      <c r="AM268">
        <v>714</v>
      </c>
      <c r="AN268">
        <v>59</v>
      </c>
      <c r="AO268">
        <v>8.2633100000000001E-2</v>
      </c>
      <c r="AP268">
        <v>41</v>
      </c>
      <c r="AQ268">
        <v>0.69491530000000001</v>
      </c>
      <c r="AR268">
        <v>59</v>
      </c>
      <c r="AS268">
        <v>1</v>
      </c>
      <c r="AT268">
        <v>37</v>
      </c>
      <c r="AU268">
        <v>0.62711859999999997</v>
      </c>
      <c r="AV268">
        <v>683</v>
      </c>
      <c r="AW268" t="s">
        <v>127</v>
      </c>
      <c r="AX268" t="s">
        <v>127</v>
      </c>
      <c r="AY268" t="s">
        <v>127</v>
      </c>
      <c r="AZ268" t="s">
        <v>127</v>
      </c>
      <c r="BA268" t="s">
        <v>127</v>
      </c>
      <c r="BB268" t="s">
        <v>127</v>
      </c>
      <c r="BC268" t="s">
        <v>127</v>
      </c>
      <c r="BD268" t="s">
        <v>127</v>
      </c>
      <c r="BE268">
        <v>31</v>
      </c>
      <c r="BF268" t="s">
        <v>127</v>
      </c>
      <c r="BG268" t="s">
        <v>127</v>
      </c>
      <c r="BH268" t="s">
        <v>127</v>
      </c>
      <c r="BI268" t="s">
        <v>127</v>
      </c>
      <c r="BJ268" t="s">
        <v>127</v>
      </c>
      <c r="BK268" t="s">
        <v>127</v>
      </c>
      <c r="BL268" t="s">
        <v>127</v>
      </c>
      <c r="BM268" t="s">
        <v>127</v>
      </c>
    </row>
    <row r="269" spans="1:65" x14ac:dyDescent="0.25">
      <c r="A269" t="s">
        <v>656</v>
      </c>
      <c r="B269" t="s">
        <v>657</v>
      </c>
      <c r="C269">
        <v>54</v>
      </c>
      <c r="D269">
        <v>111</v>
      </c>
      <c r="E269">
        <v>2.0555555999999999</v>
      </c>
      <c r="F269">
        <v>45</v>
      </c>
      <c r="G269">
        <v>0.40540540000000003</v>
      </c>
      <c r="H269">
        <v>104</v>
      </c>
      <c r="I269">
        <v>0.93693689999999996</v>
      </c>
      <c r="J269">
        <v>52</v>
      </c>
      <c r="K269">
        <v>0.5</v>
      </c>
      <c r="L269">
        <v>34</v>
      </c>
      <c r="M269">
        <v>69</v>
      </c>
      <c r="N269">
        <v>2.0294118000000001</v>
      </c>
      <c r="O269">
        <v>28</v>
      </c>
      <c r="P269">
        <v>0.40579710000000002</v>
      </c>
      <c r="Q269">
        <v>66</v>
      </c>
      <c r="R269">
        <v>0.95652170000000003</v>
      </c>
      <c r="S269">
        <v>31</v>
      </c>
      <c r="T269">
        <v>0.46969699999999998</v>
      </c>
      <c r="U269">
        <v>34</v>
      </c>
      <c r="V269">
        <v>28</v>
      </c>
      <c r="W269">
        <v>0.82352939999999997</v>
      </c>
      <c r="X269">
        <v>28</v>
      </c>
      <c r="Y269">
        <v>1</v>
      </c>
      <c r="Z269">
        <v>27</v>
      </c>
      <c r="AA269">
        <v>0.96428570000000002</v>
      </c>
      <c r="AB269">
        <v>20</v>
      </c>
      <c r="AC269">
        <v>0.74074070000000003</v>
      </c>
      <c r="AD269">
        <v>0</v>
      </c>
      <c r="AE269">
        <v>0</v>
      </c>
      <c r="AF269">
        <v>0</v>
      </c>
      <c r="AG269">
        <v>0</v>
      </c>
      <c r="AH269">
        <v>0</v>
      </c>
      <c r="AI269">
        <v>0</v>
      </c>
      <c r="AJ269">
        <v>0</v>
      </c>
      <c r="AK269">
        <v>0</v>
      </c>
      <c r="AL269">
        <v>0</v>
      </c>
      <c r="AM269">
        <v>20</v>
      </c>
      <c r="AN269">
        <v>42</v>
      </c>
      <c r="AO269">
        <v>2.1</v>
      </c>
      <c r="AP269">
        <v>17</v>
      </c>
      <c r="AQ269">
        <v>0.40476190000000001</v>
      </c>
      <c r="AR269">
        <v>38</v>
      </c>
      <c r="AS269">
        <v>0.90476190000000001</v>
      </c>
      <c r="AT269">
        <v>21</v>
      </c>
      <c r="AU269">
        <v>0.5526316</v>
      </c>
      <c r="AV269" t="s">
        <v>127</v>
      </c>
      <c r="AW269">
        <v>17</v>
      </c>
      <c r="AX269">
        <v>0.8947368</v>
      </c>
      <c r="AY269" t="s">
        <v>127</v>
      </c>
      <c r="AZ269">
        <v>1</v>
      </c>
      <c r="BA269">
        <v>16</v>
      </c>
      <c r="BB269">
        <v>0.94117649999999997</v>
      </c>
      <c r="BC269">
        <v>12</v>
      </c>
      <c r="BD269">
        <v>0.75</v>
      </c>
      <c r="BE269" t="s">
        <v>127</v>
      </c>
      <c r="BF269">
        <v>0</v>
      </c>
      <c r="BG269" t="s">
        <v>127</v>
      </c>
      <c r="BH269">
        <v>0</v>
      </c>
      <c r="BI269">
        <v>0</v>
      </c>
      <c r="BJ269">
        <v>0</v>
      </c>
      <c r="BK269">
        <v>0</v>
      </c>
      <c r="BL269">
        <v>0</v>
      </c>
      <c r="BM269">
        <v>0</v>
      </c>
    </row>
    <row r="270" spans="1:65" x14ac:dyDescent="0.25">
      <c r="A270" t="s">
        <v>658</v>
      </c>
      <c r="B270" t="s">
        <v>659</v>
      </c>
      <c r="C270">
        <v>73</v>
      </c>
      <c r="D270">
        <v>0</v>
      </c>
      <c r="E270">
        <v>0</v>
      </c>
      <c r="F270">
        <v>0</v>
      </c>
      <c r="G270">
        <v>0</v>
      </c>
      <c r="H270">
        <v>0</v>
      </c>
      <c r="I270">
        <v>0</v>
      </c>
      <c r="J270">
        <v>0</v>
      </c>
      <c r="K270">
        <v>0</v>
      </c>
      <c r="L270">
        <v>32</v>
      </c>
      <c r="M270">
        <v>0</v>
      </c>
      <c r="N270">
        <v>0</v>
      </c>
      <c r="O270">
        <v>0</v>
      </c>
      <c r="P270">
        <v>0</v>
      </c>
      <c r="Q270">
        <v>0</v>
      </c>
      <c r="R270">
        <v>0</v>
      </c>
      <c r="S270">
        <v>0</v>
      </c>
      <c r="T270">
        <v>0</v>
      </c>
      <c r="U270">
        <v>32</v>
      </c>
      <c r="V270">
        <v>0</v>
      </c>
      <c r="W270">
        <v>0</v>
      </c>
      <c r="X270">
        <v>0</v>
      </c>
      <c r="Y270">
        <v>0</v>
      </c>
      <c r="Z270">
        <v>0</v>
      </c>
      <c r="AA270">
        <v>0</v>
      </c>
      <c r="AB270">
        <v>0</v>
      </c>
      <c r="AC270">
        <v>0</v>
      </c>
      <c r="AD270">
        <v>0</v>
      </c>
      <c r="AE270">
        <v>0</v>
      </c>
      <c r="AF270">
        <v>0</v>
      </c>
      <c r="AG270">
        <v>0</v>
      </c>
      <c r="AH270">
        <v>0</v>
      </c>
      <c r="AI270">
        <v>0</v>
      </c>
      <c r="AJ270">
        <v>0</v>
      </c>
      <c r="AK270">
        <v>0</v>
      </c>
      <c r="AL270">
        <v>0</v>
      </c>
      <c r="AM270">
        <v>41</v>
      </c>
      <c r="AN270">
        <v>0</v>
      </c>
      <c r="AO270">
        <v>0</v>
      </c>
      <c r="AP270">
        <v>0</v>
      </c>
      <c r="AQ270">
        <v>0</v>
      </c>
      <c r="AR270">
        <v>0</v>
      </c>
      <c r="AS270">
        <v>0</v>
      </c>
      <c r="AT270">
        <v>0</v>
      </c>
      <c r="AU270">
        <v>0</v>
      </c>
      <c r="AV270">
        <v>41</v>
      </c>
      <c r="AW270">
        <v>0</v>
      </c>
      <c r="AX270">
        <v>0</v>
      </c>
      <c r="AY270">
        <v>0</v>
      </c>
      <c r="AZ270">
        <v>0</v>
      </c>
      <c r="BA270">
        <v>0</v>
      </c>
      <c r="BB270">
        <v>0</v>
      </c>
      <c r="BC270">
        <v>0</v>
      </c>
      <c r="BD270">
        <v>0</v>
      </c>
      <c r="BE270">
        <v>0</v>
      </c>
      <c r="BF270">
        <v>0</v>
      </c>
      <c r="BG270">
        <v>0</v>
      </c>
      <c r="BH270">
        <v>0</v>
      </c>
      <c r="BI270">
        <v>0</v>
      </c>
      <c r="BJ270">
        <v>0</v>
      </c>
      <c r="BK270">
        <v>0</v>
      </c>
      <c r="BL270">
        <v>0</v>
      </c>
      <c r="BM270">
        <v>0</v>
      </c>
    </row>
    <row r="271" spans="1:65" x14ac:dyDescent="0.25">
      <c r="A271" t="s">
        <v>660</v>
      </c>
      <c r="B271" t="s">
        <v>661</v>
      </c>
      <c r="C271">
        <v>0</v>
      </c>
      <c r="D271">
        <v>23</v>
      </c>
      <c r="E271">
        <v>0</v>
      </c>
      <c r="F271">
        <v>0</v>
      </c>
      <c r="G271">
        <v>0</v>
      </c>
      <c r="H271">
        <v>23</v>
      </c>
      <c r="I271">
        <v>1</v>
      </c>
      <c r="J271">
        <v>12</v>
      </c>
      <c r="K271">
        <v>0.52173910000000001</v>
      </c>
      <c r="L271">
        <v>0</v>
      </c>
      <c r="M271">
        <v>13</v>
      </c>
      <c r="N271">
        <v>0</v>
      </c>
      <c r="O271">
        <v>0</v>
      </c>
      <c r="P271">
        <v>0</v>
      </c>
      <c r="Q271">
        <v>13</v>
      </c>
      <c r="R271">
        <v>1</v>
      </c>
      <c r="S271">
        <v>6</v>
      </c>
      <c r="T271">
        <v>0.46153850000000002</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10</v>
      </c>
      <c r="AO271">
        <v>0</v>
      </c>
      <c r="AP271">
        <v>0</v>
      </c>
      <c r="AQ271">
        <v>0</v>
      </c>
      <c r="AR271">
        <v>10</v>
      </c>
      <c r="AS271">
        <v>1</v>
      </c>
      <c r="AT271">
        <v>6</v>
      </c>
      <c r="AU271">
        <v>0.6</v>
      </c>
      <c r="AV271">
        <v>0</v>
      </c>
      <c r="AW271">
        <v>0</v>
      </c>
      <c r="AX271">
        <v>0</v>
      </c>
      <c r="AY271">
        <v>0</v>
      </c>
      <c r="AZ271">
        <v>0</v>
      </c>
      <c r="BA271">
        <v>0</v>
      </c>
      <c r="BB271">
        <v>0</v>
      </c>
      <c r="BC271">
        <v>0</v>
      </c>
      <c r="BD271">
        <v>0</v>
      </c>
      <c r="BE271">
        <v>0</v>
      </c>
      <c r="BF271">
        <v>0</v>
      </c>
      <c r="BG271">
        <v>0</v>
      </c>
      <c r="BH271">
        <v>0</v>
      </c>
      <c r="BI271">
        <v>0</v>
      </c>
      <c r="BJ271">
        <v>0</v>
      </c>
      <c r="BK271">
        <v>0</v>
      </c>
      <c r="BL271">
        <v>0</v>
      </c>
      <c r="BM271">
        <v>0</v>
      </c>
    </row>
    <row r="272" spans="1:65" x14ac:dyDescent="0.25">
      <c r="A272" t="s">
        <v>662</v>
      </c>
      <c r="B272" t="s">
        <v>663</v>
      </c>
      <c r="C272">
        <v>624</v>
      </c>
      <c r="D272">
        <v>452</v>
      </c>
      <c r="E272">
        <v>0.72435899999999998</v>
      </c>
      <c r="F272">
        <v>237</v>
      </c>
      <c r="G272">
        <v>0.52433629999999998</v>
      </c>
      <c r="H272">
        <v>174</v>
      </c>
      <c r="I272">
        <v>0.38495580000000001</v>
      </c>
      <c r="J272">
        <v>174</v>
      </c>
      <c r="K272">
        <v>1</v>
      </c>
      <c r="L272">
        <v>304</v>
      </c>
      <c r="M272">
        <v>216</v>
      </c>
      <c r="N272">
        <v>0.71052630000000006</v>
      </c>
      <c r="O272">
        <v>118</v>
      </c>
      <c r="P272">
        <v>0.54629629999999996</v>
      </c>
      <c r="Q272">
        <v>100</v>
      </c>
      <c r="R272">
        <v>0.46296300000000001</v>
      </c>
      <c r="S272">
        <v>100</v>
      </c>
      <c r="T272">
        <v>1</v>
      </c>
      <c r="U272">
        <v>297</v>
      </c>
      <c r="V272" t="s">
        <v>127</v>
      </c>
      <c r="W272" t="s">
        <v>127</v>
      </c>
      <c r="X272" t="s">
        <v>127</v>
      </c>
      <c r="Y272" t="s">
        <v>127</v>
      </c>
      <c r="Z272">
        <v>65</v>
      </c>
      <c r="AA272" t="s">
        <v>127</v>
      </c>
      <c r="AB272">
        <v>65</v>
      </c>
      <c r="AC272" t="s">
        <v>127</v>
      </c>
      <c r="AD272">
        <v>7</v>
      </c>
      <c r="AE272" t="s">
        <v>127</v>
      </c>
      <c r="AF272" t="s">
        <v>127</v>
      </c>
      <c r="AG272" t="s">
        <v>127</v>
      </c>
      <c r="AH272" t="s">
        <v>127</v>
      </c>
      <c r="AI272">
        <v>0</v>
      </c>
      <c r="AJ272" t="s">
        <v>127</v>
      </c>
      <c r="AK272">
        <v>0</v>
      </c>
      <c r="AL272" t="s">
        <v>127</v>
      </c>
      <c r="AM272">
        <v>320</v>
      </c>
      <c r="AN272">
        <v>236</v>
      </c>
      <c r="AO272">
        <v>0.73750000000000004</v>
      </c>
      <c r="AP272">
        <v>119</v>
      </c>
      <c r="AQ272">
        <v>0.5042373</v>
      </c>
      <c r="AR272">
        <v>74</v>
      </c>
      <c r="AS272">
        <v>0.31355929999999999</v>
      </c>
      <c r="AT272">
        <v>74</v>
      </c>
      <c r="AU272">
        <v>1</v>
      </c>
      <c r="AV272">
        <v>313</v>
      </c>
      <c r="AW272" t="s">
        <v>127</v>
      </c>
      <c r="AX272" t="s">
        <v>127</v>
      </c>
      <c r="AY272" t="s">
        <v>127</v>
      </c>
      <c r="AZ272" t="s">
        <v>127</v>
      </c>
      <c r="BA272" t="s">
        <v>127</v>
      </c>
      <c r="BB272">
        <v>0.2991453</v>
      </c>
      <c r="BC272" t="s">
        <v>127</v>
      </c>
      <c r="BD272">
        <v>1</v>
      </c>
      <c r="BE272">
        <v>7</v>
      </c>
      <c r="BF272" t="s">
        <v>127</v>
      </c>
      <c r="BG272" t="s">
        <v>127</v>
      </c>
      <c r="BH272" t="s">
        <v>127</v>
      </c>
      <c r="BI272" t="s">
        <v>127</v>
      </c>
      <c r="BJ272">
        <v>0</v>
      </c>
      <c r="BK272" t="s">
        <v>127</v>
      </c>
      <c r="BL272">
        <v>0</v>
      </c>
      <c r="BM272" t="s">
        <v>127</v>
      </c>
    </row>
    <row r="273" spans="1:65" x14ac:dyDescent="0.25">
      <c r="A273" t="s">
        <v>664</v>
      </c>
      <c r="B273" t="s">
        <v>665</v>
      </c>
      <c r="C273">
        <v>114</v>
      </c>
      <c r="D273">
        <v>114</v>
      </c>
      <c r="E273">
        <v>1</v>
      </c>
      <c r="F273">
        <v>51</v>
      </c>
      <c r="G273">
        <v>0.4473684</v>
      </c>
      <c r="H273">
        <v>111</v>
      </c>
      <c r="I273">
        <v>0.9736842</v>
      </c>
      <c r="J273">
        <v>69</v>
      </c>
      <c r="K273">
        <v>0.6216216</v>
      </c>
      <c r="L273">
        <v>59</v>
      </c>
      <c r="M273">
        <v>67</v>
      </c>
      <c r="N273">
        <v>1.1355932</v>
      </c>
      <c r="O273">
        <v>29</v>
      </c>
      <c r="P273">
        <v>0.43283579999999999</v>
      </c>
      <c r="Q273">
        <v>66</v>
      </c>
      <c r="R273">
        <v>0.98507460000000002</v>
      </c>
      <c r="S273">
        <v>35</v>
      </c>
      <c r="T273">
        <v>0.53030299999999997</v>
      </c>
      <c r="U273">
        <v>59</v>
      </c>
      <c r="V273">
        <v>29</v>
      </c>
      <c r="W273">
        <v>0.4915254</v>
      </c>
      <c r="X273">
        <v>29</v>
      </c>
      <c r="Y273">
        <v>1</v>
      </c>
      <c r="Z273">
        <v>28</v>
      </c>
      <c r="AA273">
        <v>0.96551719999999996</v>
      </c>
      <c r="AB273">
        <v>15</v>
      </c>
      <c r="AC273">
        <v>0.53571429999999998</v>
      </c>
      <c r="AD273">
        <v>0</v>
      </c>
      <c r="AE273">
        <v>0</v>
      </c>
      <c r="AF273">
        <v>0</v>
      </c>
      <c r="AG273">
        <v>0</v>
      </c>
      <c r="AH273">
        <v>0</v>
      </c>
      <c r="AI273">
        <v>0</v>
      </c>
      <c r="AJ273">
        <v>0</v>
      </c>
      <c r="AK273">
        <v>0</v>
      </c>
      <c r="AL273">
        <v>0</v>
      </c>
      <c r="AM273">
        <v>55</v>
      </c>
      <c r="AN273">
        <v>47</v>
      </c>
      <c r="AO273">
        <v>0.85454549999999996</v>
      </c>
      <c r="AP273">
        <v>22</v>
      </c>
      <c r="AQ273">
        <v>0.46808509999999998</v>
      </c>
      <c r="AR273">
        <v>45</v>
      </c>
      <c r="AS273">
        <v>0.95744680000000004</v>
      </c>
      <c r="AT273">
        <v>34</v>
      </c>
      <c r="AU273">
        <v>0.75555559999999999</v>
      </c>
      <c r="AV273">
        <v>55</v>
      </c>
      <c r="AW273">
        <v>22</v>
      </c>
      <c r="AX273">
        <v>0.4</v>
      </c>
      <c r="AY273">
        <v>22</v>
      </c>
      <c r="AZ273">
        <v>1</v>
      </c>
      <c r="BA273">
        <v>21</v>
      </c>
      <c r="BB273">
        <v>0.95454550000000005</v>
      </c>
      <c r="BC273">
        <v>15</v>
      </c>
      <c r="BD273">
        <v>0.71428570000000002</v>
      </c>
      <c r="BE273">
        <v>0</v>
      </c>
      <c r="BF273">
        <v>0</v>
      </c>
      <c r="BG273">
        <v>0</v>
      </c>
      <c r="BH273">
        <v>0</v>
      </c>
      <c r="BI273">
        <v>0</v>
      </c>
      <c r="BJ273">
        <v>0</v>
      </c>
      <c r="BK273">
        <v>0</v>
      </c>
      <c r="BL273">
        <v>0</v>
      </c>
      <c r="BM273">
        <v>0</v>
      </c>
    </row>
    <row r="274" spans="1:65" x14ac:dyDescent="0.25">
      <c r="A274" t="s">
        <v>666</v>
      </c>
      <c r="B274" t="s">
        <v>667</v>
      </c>
      <c r="C274">
        <v>476</v>
      </c>
      <c r="D274">
        <v>405</v>
      </c>
      <c r="E274">
        <v>0.85084029999999999</v>
      </c>
      <c r="F274">
        <v>251</v>
      </c>
      <c r="G274">
        <v>0.61975309999999995</v>
      </c>
      <c r="H274">
        <v>392</v>
      </c>
      <c r="I274">
        <v>0.96790120000000002</v>
      </c>
      <c r="J274">
        <v>261</v>
      </c>
      <c r="K274">
        <v>0.66581630000000003</v>
      </c>
      <c r="L274">
        <v>216</v>
      </c>
      <c r="M274">
        <v>174</v>
      </c>
      <c r="N274">
        <v>0.80555560000000004</v>
      </c>
      <c r="O274">
        <v>102</v>
      </c>
      <c r="P274">
        <v>0.58620689999999998</v>
      </c>
      <c r="Q274">
        <v>174</v>
      </c>
      <c r="R274">
        <v>1</v>
      </c>
      <c r="S274">
        <v>119</v>
      </c>
      <c r="T274">
        <v>0.68390799999999996</v>
      </c>
      <c r="U274" t="s">
        <v>127</v>
      </c>
      <c r="V274">
        <v>102</v>
      </c>
      <c r="W274" t="s">
        <v>127</v>
      </c>
      <c r="X274">
        <v>102</v>
      </c>
      <c r="Y274">
        <v>1</v>
      </c>
      <c r="Z274">
        <v>102</v>
      </c>
      <c r="AA274">
        <v>1</v>
      </c>
      <c r="AB274">
        <v>75</v>
      </c>
      <c r="AC274">
        <v>0.73529409999999995</v>
      </c>
      <c r="AD274" t="s">
        <v>127</v>
      </c>
      <c r="AE274">
        <v>0</v>
      </c>
      <c r="AF274" t="s">
        <v>127</v>
      </c>
      <c r="AG274">
        <v>0</v>
      </c>
      <c r="AH274">
        <v>0</v>
      </c>
      <c r="AI274">
        <v>0</v>
      </c>
      <c r="AJ274">
        <v>0</v>
      </c>
      <c r="AK274">
        <v>0</v>
      </c>
      <c r="AL274">
        <v>0</v>
      </c>
      <c r="AM274">
        <v>260</v>
      </c>
      <c r="AN274">
        <v>231</v>
      </c>
      <c r="AO274">
        <v>0.88846150000000002</v>
      </c>
      <c r="AP274">
        <v>149</v>
      </c>
      <c r="AQ274">
        <v>0.64502159999999997</v>
      </c>
      <c r="AR274">
        <v>218</v>
      </c>
      <c r="AS274">
        <v>0.94372290000000003</v>
      </c>
      <c r="AT274">
        <v>142</v>
      </c>
      <c r="AU274">
        <v>0.65137610000000001</v>
      </c>
      <c r="AV274">
        <v>254</v>
      </c>
      <c r="AW274" t="s">
        <v>127</v>
      </c>
      <c r="AX274" t="s">
        <v>127</v>
      </c>
      <c r="AY274" t="s">
        <v>127</v>
      </c>
      <c r="AZ274" t="s">
        <v>127</v>
      </c>
      <c r="BA274" t="s">
        <v>127</v>
      </c>
      <c r="BB274" t="s">
        <v>127</v>
      </c>
      <c r="BC274" t="s">
        <v>127</v>
      </c>
      <c r="BD274" t="s">
        <v>127</v>
      </c>
      <c r="BE274">
        <v>6</v>
      </c>
      <c r="BF274" t="s">
        <v>127</v>
      </c>
      <c r="BG274" t="s">
        <v>127</v>
      </c>
      <c r="BH274" t="s">
        <v>127</v>
      </c>
      <c r="BI274" t="s">
        <v>127</v>
      </c>
      <c r="BJ274" t="s">
        <v>127</v>
      </c>
      <c r="BK274" t="s">
        <v>127</v>
      </c>
      <c r="BL274" t="s">
        <v>127</v>
      </c>
      <c r="BM274" t="s">
        <v>127</v>
      </c>
    </row>
    <row r="275" spans="1:65" x14ac:dyDescent="0.25">
      <c r="A275" t="s">
        <v>668</v>
      </c>
      <c r="B275" t="s">
        <v>669</v>
      </c>
      <c r="C275">
        <v>192</v>
      </c>
      <c r="D275">
        <v>53</v>
      </c>
      <c r="E275">
        <v>0.2760417</v>
      </c>
      <c r="F275">
        <v>31</v>
      </c>
      <c r="G275">
        <v>0.58490569999999997</v>
      </c>
      <c r="H275">
        <v>53</v>
      </c>
      <c r="I275">
        <v>1</v>
      </c>
      <c r="J275">
        <v>34</v>
      </c>
      <c r="K275">
        <v>0.64150940000000001</v>
      </c>
      <c r="L275">
        <v>105</v>
      </c>
      <c r="M275">
        <v>32</v>
      </c>
      <c r="N275">
        <v>0.30476189999999997</v>
      </c>
      <c r="O275">
        <v>17</v>
      </c>
      <c r="P275">
        <v>0.53125</v>
      </c>
      <c r="Q275">
        <v>32</v>
      </c>
      <c r="R275">
        <v>1</v>
      </c>
      <c r="S275">
        <v>23</v>
      </c>
      <c r="T275">
        <v>0.71875</v>
      </c>
      <c r="U275">
        <v>93</v>
      </c>
      <c r="V275" t="s">
        <v>127</v>
      </c>
      <c r="W275" t="s">
        <v>127</v>
      </c>
      <c r="X275" t="s">
        <v>127</v>
      </c>
      <c r="Y275" t="s">
        <v>127</v>
      </c>
      <c r="Z275" t="s">
        <v>127</v>
      </c>
      <c r="AA275" t="s">
        <v>127</v>
      </c>
      <c r="AB275" t="s">
        <v>127</v>
      </c>
      <c r="AC275" t="s">
        <v>127</v>
      </c>
      <c r="AD275">
        <v>12</v>
      </c>
      <c r="AE275" t="s">
        <v>127</v>
      </c>
      <c r="AF275" t="s">
        <v>127</v>
      </c>
      <c r="AG275" t="s">
        <v>127</v>
      </c>
      <c r="AH275" t="s">
        <v>127</v>
      </c>
      <c r="AI275" t="s">
        <v>127</v>
      </c>
      <c r="AJ275" t="s">
        <v>127</v>
      </c>
      <c r="AK275" t="s">
        <v>127</v>
      </c>
      <c r="AL275" t="s">
        <v>127</v>
      </c>
      <c r="AM275">
        <v>87</v>
      </c>
      <c r="AN275">
        <v>21</v>
      </c>
      <c r="AO275">
        <v>0.24137929999999999</v>
      </c>
      <c r="AP275">
        <v>14</v>
      </c>
      <c r="AQ275">
        <v>0.66666669999999995</v>
      </c>
      <c r="AR275">
        <v>21</v>
      </c>
      <c r="AS275">
        <v>1</v>
      </c>
      <c r="AT275">
        <v>11</v>
      </c>
      <c r="AU275">
        <v>0.52380950000000004</v>
      </c>
      <c r="AV275">
        <v>77</v>
      </c>
      <c r="AW275" t="s">
        <v>127</v>
      </c>
      <c r="AX275" t="s">
        <v>127</v>
      </c>
      <c r="AY275" t="s">
        <v>127</v>
      </c>
      <c r="AZ275" t="s">
        <v>127</v>
      </c>
      <c r="BA275" t="s">
        <v>127</v>
      </c>
      <c r="BB275" t="s">
        <v>127</v>
      </c>
      <c r="BC275" t="s">
        <v>127</v>
      </c>
      <c r="BD275" t="s">
        <v>127</v>
      </c>
      <c r="BE275">
        <v>10</v>
      </c>
      <c r="BF275" t="s">
        <v>127</v>
      </c>
      <c r="BG275" t="s">
        <v>127</v>
      </c>
      <c r="BH275" t="s">
        <v>127</v>
      </c>
      <c r="BI275" t="s">
        <v>127</v>
      </c>
      <c r="BJ275" t="s">
        <v>127</v>
      </c>
      <c r="BK275" t="s">
        <v>127</v>
      </c>
      <c r="BL275" t="s">
        <v>127</v>
      </c>
      <c r="BM275" t="s">
        <v>127</v>
      </c>
    </row>
    <row r="276" spans="1:65" x14ac:dyDescent="0.25">
      <c r="A276" t="s">
        <v>670</v>
      </c>
      <c r="B276" t="s">
        <v>671</v>
      </c>
      <c r="C276">
        <v>26</v>
      </c>
      <c r="D276">
        <v>0</v>
      </c>
      <c r="E276">
        <v>0</v>
      </c>
      <c r="F276">
        <v>0</v>
      </c>
      <c r="G276">
        <v>0</v>
      </c>
      <c r="H276">
        <v>0</v>
      </c>
      <c r="I276">
        <v>0</v>
      </c>
      <c r="J276">
        <v>0</v>
      </c>
      <c r="K276">
        <v>0</v>
      </c>
      <c r="L276">
        <v>12</v>
      </c>
      <c r="M276">
        <v>0</v>
      </c>
      <c r="N276">
        <v>0</v>
      </c>
      <c r="O276">
        <v>0</v>
      </c>
      <c r="P276">
        <v>0</v>
      </c>
      <c r="Q276">
        <v>0</v>
      </c>
      <c r="R276">
        <v>0</v>
      </c>
      <c r="S276">
        <v>0</v>
      </c>
      <c r="T276">
        <v>0</v>
      </c>
      <c r="U276">
        <v>12</v>
      </c>
      <c r="V276">
        <v>0</v>
      </c>
      <c r="W276">
        <v>0</v>
      </c>
      <c r="X276">
        <v>0</v>
      </c>
      <c r="Y276">
        <v>0</v>
      </c>
      <c r="Z276">
        <v>0</v>
      </c>
      <c r="AA276">
        <v>0</v>
      </c>
      <c r="AB276">
        <v>0</v>
      </c>
      <c r="AC276">
        <v>0</v>
      </c>
      <c r="AD276">
        <v>0</v>
      </c>
      <c r="AE276">
        <v>0</v>
      </c>
      <c r="AF276">
        <v>0</v>
      </c>
      <c r="AG276">
        <v>0</v>
      </c>
      <c r="AH276">
        <v>0</v>
      </c>
      <c r="AI276">
        <v>0</v>
      </c>
      <c r="AJ276">
        <v>0</v>
      </c>
      <c r="AK276">
        <v>0</v>
      </c>
      <c r="AL276">
        <v>0</v>
      </c>
      <c r="AM276">
        <v>14</v>
      </c>
      <c r="AN276">
        <v>0</v>
      </c>
      <c r="AO276">
        <v>0</v>
      </c>
      <c r="AP276">
        <v>0</v>
      </c>
      <c r="AQ276">
        <v>0</v>
      </c>
      <c r="AR276">
        <v>0</v>
      </c>
      <c r="AS276">
        <v>0</v>
      </c>
      <c r="AT276">
        <v>0</v>
      </c>
      <c r="AU276">
        <v>0</v>
      </c>
      <c r="AV276">
        <v>14</v>
      </c>
      <c r="AW276">
        <v>0</v>
      </c>
      <c r="AX276">
        <v>0</v>
      </c>
      <c r="AY276">
        <v>0</v>
      </c>
      <c r="AZ276">
        <v>0</v>
      </c>
      <c r="BA276">
        <v>0</v>
      </c>
      <c r="BB276">
        <v>0</v>
      </c>
      <c r="BC276">
        <v>0</v>
      </c>
      <c r="BD276">
        <v>0</v>
      </c>
      <c r="BE276">
        <v>0</v>
      </c>
      <c r="BF276">
        <v>0</v>
      </c>
      <c r="BG276">
        <v>0</v>
      </c>
      <c r="BH276">
        <v>0</v>
      </c>
      <c r="BI276">
        <v>0</v>
      </c>
      <c r="BJ276">
        <v>0</v>
      </c>
      <c r="BK276">
        <v>0</v>
      </c>
      <c r="BL276">
        <v>0</v>
      </c>
      <c r="BM276">
        <v>0</v>
      </c>
    </row>
    <row r="277" spans="1:65" x14ac:dyDescent="0.25">
      <c r="A277" t="s">
        <v>672</v>
      </c>
      <c r="B277" t="s">
        <v>673</v>
      </c>
      <c r="C277">
        <v>672</v>
      </c>
      <c r="D277">
        <v>234</v>
      </c>
      <c r="E277">
        <v>0.34821429999999998</v>
      </c>
      <c r="F277">
        <v>110</v>
      </c>
      <c r="G277">
        <v>0.47008549999999999</v>
      </c>
      <c r="H277">
        <v>231</v>
      </c>
      <c r="I277">
        <v>0.98717949999999999</v>
      </c>
      <c r="J277">
        <v>127</v>
      </c>
      <c r="K277">
        <v>0.54978349999999998</v>
      </c>
      <c r="L277">
        <v>343</v>
      </c>
      <c r="M277">
        <v>92</v>
      </c>
      <c r="N277">
        <v>0.2682216</v>
      </c>
      <c r="O277">
        <v>46</v>
      </c>
      <c r="P277">
        <v>0.5</v>
      </c>
      <c r="Q277">
        <v>92</v>
      </c>
      <c r="R277">
        <v>1</v>
      </c>
      <c r="S277">
        <v>55</v>
      </c>
      <c r="T277">
        <v>0.59782610000000003</v>
      </c>
      <c r="U277">
        <v>307</v>
      </c>
      <c r="V277" t="s">
        <v>127</v>
      </c>
      <c r="W277" t="s">
        <v>127</v>
      </c>
      <c r="X277" t="s">
        <v>127</v>
      </c>
      <c r="Y277" t="s">
        <v>127</v>
      </c>
      <c r="Z277" t="s">
        <v>127</v>
      </c>
      <c r="AA277" t="s">
        <v>127</v>
      </c>
      <c r="AB277" t="s">
        <v>127</v>
      </c>
      <c r="AC277" t="s">
        <v>127</v>
      </c>
      <c r="AD277">
        <v>36</v>
      </c>
      <c r="AE277" t="s">
        <v>127</v>
      </c>
      <c r="AF277" t="s">
        <v>127</v>
      </c>
      <c r="AG277" t="s">
        <v>127</v>
      </c>
      <c r="AH277" t="s">
        <v>127</v>
      </c>
      <c r="AI277" t="s">
        <v>127</v>
      </c>
      <c r="AJ277" t="s">
        <v>127</v>
      </c>
      <c r="AK277" t="s">
        <v>127</v>
      </c>
      <c r="AL277" t="s">
        <v>127</v>
      </c>
      <c r="AM277">
        <v>329</v>
      </c>
      <c r="AN277">
        <v>142</v>
      </c>
      <c r="AO277">
        <v>0.43161090000000002</v>
      </c>
      <c r="AP277">
        <v>64</v>
      </c>
      <c r="AQ277">
        <v>0.4507042</v>
      </c>
      <c r="AR277">
        <v>139</v>
      </c>
      <c r="AS277">
        <v>0.9788732</v>
      </c>
      <c r="AT277">
        <v>72</v>
      </c>
      <c r="AU277">
        <v>0.51798560000000005</v>
      </c>
      <c r="AV277">
        <v>298</v>
      </c>
      <c r="AW277" t="s">
        <v>127</v>
      </c>
      <c r="AX277" t="s">
        <v>127</v>
      </c>
      <c r="AY277" t="s">
        <v>127</v>
      </c>
      <c r="AZ277" t="s">
        <v>127</v>
      </c>
      <c r="BA277" t="s">
        <v>127</v>
      </c>
      <c r="BB277" t="s">
        <v>127</v>
      </c>
      <c r="BC277" t="s">
        <v>127</v>
      </c>
      <c r="BD277" t="s">
        <v>127</v>
      </c>
      <c r="BE277">
        <v>31</v>
      </c>
      <c r="BF277" t="s">
        <v>127</v>
      </c>
      <c r="BG277" t="s">
        <v>127</v>
      </c>
      <c r="BH277" t="s">
        <v>127</v>
      </c>
      <c r="BI277" t="s">
        <v>127</v>
      </c>
      <c r="BJ277" t="s">
        <v>127</v>
      </c>
      <c r="BK277" t="s">
        <v>127</v>
      </c>
      <c r="BL277" t="s">
        <v>127</v>
      </c>
      <c r="BM277" t="s">
        <v>127</v>
      </c>
    </row>
    <row r="278" spans="1:65" x14ac:dyDescent="0.25">
      <c r="A278" t="s">
        <v>674</v>
      </c>
      <c r="B278" t="s">
        <v>675</v>
      </c>
      <c r="C278">
        <v>1287</v>
      </c>
      <c r="D278">
        <v>901</v>
      </c>
      <c r="E278">
        <v>0.70007770000000002</v>
      </c>
      <c r="F278">
        <v>677</v>
      </c>
      <c r="G278">
        <v>0.75138729999999998</v>
      </c>
      <c r="H278">
        <v>853</v>
      </c>
      <c r="I278">
        <v>0.94672590000000001</v>
      </c>
      <c r="J278">
        <v>479</v>
      </c>
      <c r="K278">
        <v>0.56154749999999998</v>
      </c>
      <c r="L278">
        <v>625</v>
      </c>
      <c r="M278">
        <v>478</v>
      </c>
      <c r="N278">
        <v>0.76480000000000004</v>
      </c>
      <c r="O278">
        <v>330</v>
      </c>
      <c r="P278">
        <v>0.69037660000000001</v>
      </c>
      <c r="Q278">
        <v>455</v>
      </c>
      <c r="R278">
        <v>0.95188280000000003</v>
      </c>
      <c r="S278">
        <v>254</v>
      </c>
      <c r="T278">
        <v>0.55824180000000001</v>
      </c>
      <c r="U278">
        <v>589</v>
      </c>
      <c r="V278">
        <v>312</v>
      </c>
      <c r="W278">
        <v>0.52971140000000005</v>
      </c>
      <c r="X278">
        <v>312</v>
      </c>
      <c r="Y278">
        <v>1</v>
      </c>
      <c r="Z278">
        <v>300</v>
      </c>
      <c r="AA278">
        <v>0.96153849999999996</v>
      </c>
      <c r="AB278">
        <v>169</v>
      </c>
      <c r="AC278">
        <v>0.56333330000000004</v>
      </c>
      <c r="AD278">
        <v>36</v>
      </c>
      <c r="AE278">
        <v>18</v>
      </c>
      <c r="AF278">
        <v>0.5</v>
      </c>
      <c r="AG278">
        <v>18</v>
      </c>
      <c r="AH278">
        <v>1</v>
      </c>
      <c r="AI278">
        <v>16</v>
      </c>
      <c r="AJ278">
        <v>0.88888889999999998</v>
      </c>
      <c r="AK278">
        <v>9</v>
      </c>
      <c r="AL278">
        <v>0.5625</v>
      </c>
      <c r="AM278">
        <v>662</v>
      </c>
      <c r="AN278">
        <v>423</v>
      </c>
      <c r="AO278">
        <v>0.63897280000000001</v>
      </c>
      <c r="AP278">
        <v>347</v>
      </c>
      <c r="AQ278">
        <v>0.82033100000000003</v>
      </c>
      <c r="AR278">
        <v>398</v>
      </c>
      <c r="AS278">
        <v>0.94089829999999997</v>
      </c>
      <c r="AT278">
        <v>225</v>
      </c>
      <c r="AU278">
        <v>0.56532660000000001</v>
      </c>
      <c r="AV278">
        <v>634</v>
      </c>
      <c r="AW278">
        <v>336</v>
      </c>
      <c r="AX278">
        <v>0.52996849999999995</v>
      </c>
      <c r="AY278">
        <v>336</v>
      </c>
      <c r="AZ278">
        <v>1</v>
      </c>
      <c r="BA278">
        <v>318</v>
      </c>
      <c r="BB278">
        <v>0.94642859999999995</v>
      </c>
      <c r="BC278">
        <v>170</v>
      </c>
      <c r="BD278">
        <v>0.53459120000000004</v>
      </c>
      <c r="BE278">
        <v>28</v>
      </c>
      <c r="BF278">
        <v>11</v>
      </c>
      <c r="BG278">
        <v>0.39285710000000001</v>
      </c>
      <c r="BH278">
        <v>11</v>
      </c>
      <c r="BI278">
        <v>1</v>
      </c>
      <c r="BJ278">
        <v>10</v>
      </c>
      <c r="BK278">
        <v>0.90909090000000004</v>
      </c>
      <c r="BL278">
        <v>5</v>
      </c>
      <c r="BM278">
        <v>0.5</v>
      </c>
    </row>
    <row r="279" spans="1:65" x14ac:dyDescent="0.25">
      <c r="A279" t="s">
        <v>676</v>
      </c>
      <c r="B279" t="s">
        <v>677</v>
      </c>
      <c r="C279">
        <v>683</v>
      </c>
      <c r="D279">
        <v>463</v>
      </c>
      <c r="E279">
        <v>0.67789169999999999</v>
      </c>
      <c r="F279">
        <v>297</v>
      </c>
      <c r="G279">
        <v>0.6414687</v>
      </c>
      <c r="H279">
        <v>401</v>
      </c>
      <c r="I279">
        <v>0.86609069999999999</v>
      </c>
      <c r="J279">
        <v>258</v>
      </c>
      <c r="K279">
        <v>0.64339150000000001</v>
      </c>
      <c r="L279">
        <v>351</v>
      </c>
      <c r="M279">
        <v>254</v>
      </c>
      <c r="N279">
        <v>0.72364669999999998</v>
      </c>
      <c r="O279">
        <v>164</v>
      </c>
      <c r="P279">
        <v>0.6456693</v>
      </c>
      <c r="Q279">
        <v>218</v>
      </c>
      <c r="R279">
        <v>0.85826769999999997</v>
      </c>
      <c r="S279">
        <v>138</v>
      </c>
      <c r="T279">
        <v>0.63302749999999997</v>
      </c>
      <c r="U279">
        <v>305</v>
      </c>
      <c r="V279">
        <v>140</v>
      </c>
      <c r="W279">
        <v>0.45901639999999999</v>
      </c>
      <c r="X279">
        <v>140</v>
      </c>
      <c r="Y279">
        <v>1</v>
      </c>
      <c r="Z279">
        <v>127</v>
      </c>
      <c r="AA279">
        <v>0.90714289999999997</v>
      </c>
      <c r="AB279">
        <v>92</v>
      </c>
      <c r="AC279">
        <v>0.72440939999999998</v>
      </c>
      <c r="AD279">
        <v>46</v>
      </c>
      <c r="AE279">
        <v>24</v>
      </c>
      <c r="AF279">
        <v>0.52173910000000001</v>
      </c>
      <c r="AG279">
        <v>24</v>
      </c>
      <c r="AH279">
        <v>1</v>
      </c>
      <c r="AI279">
        <v>20</v>
      </c>
      <c r="AJ279">
        <v>0.83333330000000005</v>
      </c>
      <c r="AK279">
        <v>10</v>
      </c>
      <c r="AL279">
        <v>0.5</v>
      </c>
      <c r="AM279">
        <v>332</v>
      </c>
      <c r="AN279">
        <v>209</v>
      </c>
      <c r="AO279">
        <v>0.62951809999999997</v>
      </c>
      <c r="AP279">
        <v>133</v>
      </c>
      <c r="AQ279">
        <v>0.63636360000000003</v>
      </c>
      <c r="AR279">
        <v>183</v>
      </c>
      <c r="AS279">
        <v>0.87559810000000005</v>
      </c>
      <c r="AT279">
        <v>120</v>
      </c>
      <c r="AU279">
        <v>0.65573769999999998</v>
      </c>
      <c r="AV279">
        <v>272</v>
      </c>
      <c r="AW279">
        <v>100</v>
      </c>
      <c r="AX279">
        <v>0.3676471</v>
      </c>
      <c r="AY279">
        <v>100</v>
      </c>
      <c r="AZ279">
        <v>1</v>
      </c>
      <c r="BA279">
        <v>92</v>
      </c>
      <c r="BB279">
        <v>0.92</v>
      </c>
      <c r="BC279">
        <v>64</v>
      </c>
      <c r="BD279">
        <v>0.69565220000000005</v>
      </c>
      <c r="BE279">
        <v>60</v>
      </c>
      <c r="BF279">
        <v>33</v>
      </c>
      <c r="BG279">
        <v>0.55000000000000004</v>
      </c>
      <c r="BH279">
        <v>33</v>
      </c>
      <c r="BI279">
        <v>1</v>
      </c>
      <c r="BJ279">
        <v>31</v>
      </c>
      <c r="BK279">
        <v>0.9393939</v>
      </c>
      <c r="BL279">
        <v>22</v>
      </c>
      <c r="BM279">
        <v>0.70967740000000001</v>
      </c>
    </row>
    <row r="280" spans="1:65" x14ac:dyDescent="0.25">
      <c r="A280" t="s">
        <v>678</v>
      </c>
      <c r="B280" t="s">
        <v>679</v>
      </c>
      <c r="C280">
        <v>0</v>
      </c>
      <c r="D280">
        <v>0</v>
      </c>
      <c r="E280">
        <v>0</v>
      </c>
      <c r="F280">
        <v>0</v>
      </c>
      <c r="G280">
        <v>0</v>
      </c>
      <c r="H280">
        <v>0</v>
      </c>
      <c r="I280">
        <v>0</v>
      </c>
      <c r="J280">
        <v>0</v>
      </c>
      <c r="K280">
        <v>0</v>
      </c>
      <c r="L280" t="s">
        <v>127</v>
      </c>
      <c r="M280">
        <v>0</v>
      </c>
      <c r="N280" t="s">
        <v>127</v>
      </c>
      <c r="O280">
        <v>0</v>
      </c>
      <c r="P280">
        <v>0</v>
      </c>
      <c r="Q280">
        <v>0</v>
      </c>
      <c r="R280">
        <v>0</v>
      </c>
      <c r="S280">
        <v>0</v>
      </c>
      <c r="T280">
        <v>0</v>
      </c>
      <c r="U280" t="s">
        <v>127</v>
      </c>
      <c r="V280">
        <v>0</v>
      </c>
      <c r="W280" t="s">
        <v>127</v>
      </c>
      <c r="X280">
        <v>0</v>
      </c>
      <c r="Y280">
        <v>0</v>
      </c>
      <c r="Z280">
        <v>0</v>
      </c>
      <c r="AA280">
        <v>0</v>
      </c>
      <c r="AB280">
        <v>0</v>
      </c>
      <c r="AC280">
        <v>0</v>
      </c>
      <c r="AD280" t="s">
        <v>127</v>
      </c>
      <c r="AE280">
        <v>0</v>
      </c>
      <c r="AF280" t="s">
        <v>127</v>
      </c>
      <c r="AG280">
        <v>0</v>
      </c>
      <c r="AH280">
        <v>0</v>
      </c>
      <c r="AI280">
        <v>0</v>
      </c>
      <c r="AJ280">
        <v>0</v>
      </c>
      <c r="AK280">
        <v>0</v>
      </c>
      <c r="AL280">
        <v>0</v>
      </c>
      <c r="AM280" t="s">
        <v>127</v>
      </c>
      <c r="AN280">
        <v>0</v>
      </c>
      <c r="AO280" t="s">
        <v>127</v>
      </c>
      <c r="AP280">
        <v>0</v>
      </c>
      <c r="AQ280">
        <v>0</v>
      </c>
      <c r="AR280">
        <v>0</v>
      </c>
      <c r="AS280">
        <v>0</v>
      </c>
      <c r="AT280">
        <v>0</v>
      </c>
      <c r="AU280">
        <v>0</v>
      </c>
      <c r="AV280" t="s">
        <v>127</v>
      </c>
      <c r="AW280">
        <v>0</v>
      </c>
      <c r="AX280" t="s">
        <v>127</v>
      </c>
      <c r="AY280" t="s">
        <v>127</v>
      </c>
      <c r="AZ280">
        <v>0</v>
      </c>
      <c r="BA280">
        <v>0</v>
      </c>
      <c r="BB280">
        <v>0</v>
      </c>
      <c r="BC280">
        <v>0</v>
      </c>
      <c r="BD280">
        <v>0</v>
      </c>
      <c r="BE280" t="s">
        <v>127</v>
      </c>
      <c r="BF280">
        <v>0</v>
      </c>
      <c r="BG280" t="s">
        <v>127</v>
      </c>
      <c r="BH280">
        <v>0</v>
      </c>
      <c r="BI280">
        <v>0</v>
      </c>
      <c r="BJ280">
        <v>0</v>
      </c>
      <c r="BK280">
        <v>0</v>
      </c>
      <c r="BL280">
        <v>0</v>
      </c>
      <c r="BM280">
        <v>0</v>
      </c>
    </row>
    <row r="281" spans="1:65" x14ac:dyDescent="0.25">
      <c r="A281" t="s">
        <v>680</v>
      </c>
      <c r="B281" t="s">
        <v>681</v>
      </c>
      <c r="C281">
        <v>86</v>
      </c>
      <c r="D281">
        <v>169</v>
      </c>
      <c r="E281">
        <v>1.9651163</v>
      </c>
      <c r="F281">
        <v>84</v>
      </c>
      <c r="G281">
        <v>0.49704140000000002</v>
      </c>
      <c r="H281">
        <v>165</v>
      </c>
      <c r="I281">
        <v>0.97633139999999996</v>
      </c>
      <c r="J281">
        <v>79</v>
      </c>
      <c r="K281">
        <v>0.47878789999999999</v>
      </c>
      <c r="L281">
        <v>51</v>
      </c>
      <c r="M281">
        <v>91</v>
      </c>
      <c r="N281">
        <v>1.7843137</v>
      </c>
      <c r="O281">
        <v>44</v>
      </c>
      <c r="P281">
        <v>0.48351650000000002</v>
      </c>
      <c r="Q281">
        <v>88</v>
      </c>
      <c r="R281">
        <v>0.96703300000000003</v>
      </c>
      <c r="S281">
        <v>40</v>
      </c>
      <c r="T281">
        <v>0.45454549999999999</v>
      </c>
      <c r="U281" t="s">
        <v>127</v>
      </c>
      <c r="V281">
        <v>38</v>
      </c>
      <c r="W281" t="s">
        <v>127</v>
      </c>
      <c r="X281">
        <v>38</v>
      </c>
      <c r="Y281">
        <v>1</v>
      </c>
      <c r="Z281">
        <v>37</v>
      </c>
      <c r="AA281">
        <v>0.9736842</v>
      </c>
      <c r="AB281">
        <v>23</v>
      </c>
      <c r="AC281">
        <v>0.6216216</v>
      </c>
      <c r="AD281" t="s">
        <v>127</v>
      </c>
      <c r="AE281">
        <v>6</v>
      </c>
      <c r="AF281" t="s">
        <v>127</v>
      </c>
      <c r="AG281">
        <v>6</v>
      </c>
      <c r="AH281">
        <v>1</v>
      </c>
      <c r="AI281">
        <v>6</v>
      </c>
      <c r="AJ281">
        <v>1</v>
      </c>
      <c r="AK281">
        <v>2</v>
      </c>
      <c r="AL281">
        <v>0.3333333</v>
      </c>
      <c r="AM281">
        <v>35</v>
      </c>
      <c r="AN281">
        <v>78</v>
      </c>
      <c r="AO281">
        <v>2.2285713999999999</v>
      </c>
      <c r="AP281">
        <v>40</v>
      </c>
      <c r="AQ281">
        <v>0.51282050000000001</v>
      </c>
      <c r="AR281">
        <v>77</v>
      </c>
      <c r="AS281">
        <v>0.98717949999999999</v>
      </c>
      <c r="AT281">
        <v>39</v>
      </c>
      <c r="AU281">
        <v>0.50649350000000004</v>
      </c>
      <c r="AV281" t="s">
        <v>127</v>
      </c>
      <c r="AW281" t="s">
        <v>127</v>
      </c>
      <c r="AX281" t="s">
        <v>127</v>
      </c>
      <c r="AY281" t="s">
        <v>127</v>
      </c>
      <c r="AZ281" t="s">
        <v>127</v>
      </c>
      <c r="BA281" t="s">
        <v>127</v>
      </c>
      <c r="BB281" t="s">
        <v>127</v>
      </c>
      <c r="BC281" t="s">
        <v>127</v>
      </c>
      <c r="BD281" t="s">
        <v>127</v>
      </c>
      <c r="BE281" t="s">
        <v>127</v>
      </c>
      <c r="BF281" t="s">
        <v>127</v>
      </c>
      <c r="BG281" t="s">
        <v>127</v>
      </c>
      <c r="BH281" t="s">
        <v>127</v>
      </c>
      <c r="BI281" t="s">
        <v>127</v>
      </c>
      <c r="BJ281" t="s">
        <v>127</v>
      </c>
      <c r="BK281" t="s">
        <v>127</v>
      </c>
      <c r="BL281" t="s">
        <v>127</v>
      </c>
      <c r="BM281" t="s">
        <v>127</v>
      </c>
    </row>
    <row r="282" spans="1:65" x14ac:dyDescent="0.25">
      <c r="A282" t="s">
        <v>682</v>
      </c>
      <c r="B282" t="s">
        <v>683</v>
      </c>
      <c r="C282">
        <v>1206</v>
      </c>
      <c r="D282">
        <v>183</v>
      </c>
      <c r="E282">
        <v>0.1517413</v>
      </c>
      <c r="F282">
        <v>103</v>
      </c>
      <c r="G282">
        <v>0.56284149999999999</v>
      </c>
      <c r="H282">
        <v>180</v>
      </c>
      <c r="I282">
        <v>0.9836066</v>
      </c>
      <c r="J282">
        <v>106</v>
      </c>
      <c r="K282">
        <v>0.58888890000000005</v>
      </c>
      <c r="L282">
        <v>535</v>
      </c>
      <c r="M282">
        <v>96</v>
      </c>
      <c r="N282">
        <v>0.1794393</v>
      </c>
      <c r="O282">
        <v>61</v>
      </c>
      <c r="P282">
        <v>0.63541669999999995</v>
      </c>
      <c r="Q282">
        <v>93</v>
      </c>
      <c r="R282">
        <v>0.96875</v>
      </c>
      <c r="S282">
        <v>53</v>
      </c>
      <c r="T282">
        <v>0.56989250000000002</v>
      </c>
      <c r="U282">
        <v>495</v>
      </c>
      <c r="V282" t="s">
        <v>127</v>
      </c>
      <c r="W282" t="s">
        <v>127</v>
      </c>
      <c r="X282" t="s">
        <v>127</v>
      </c>
      <c r="Y282" t="s">
        <v>127</v>
      </c>
      <c r="Z282" t="s">
        <v>127</v>
      </c>
      <c r="AA282" t="s">
        <v>127</v>
      </c>
      <c r="AB282" t="s">
        <v>127</v>
      </c>
      <c r="AC282" t="s">
        <v>127</v>
      </c>
      <c r="AD282">
        <v>40</v>
      </c>
      <c r="AE282" t="s">
        <v>127</v>
      </c>
      <c r="AF282" t="s">
        <v>127</v>
      </c>
      <c r="AG282" t="s">
        <v>127</v>
      </c>
      <c r="AH282" t="s">
        <v>127</v>
      </c>
      <c r="AI282" t="s">
        <v>127</v>
      </c>
      <c r="AJ282" t="s">
        <v>127</v>
      </c>
      <c r="AK282" t="s">
        <v>127</v>
      </c>
      <c r="AL282" t="s">
        <v>127</v>
      </c>
      <c r="AM282">
        <v>671</v>
      </c>
      <c r="AN282">
        <v>87</v>
      </c>
      <c r="AO282">
        <v>0.1296572</v>
      </c>
      <c r="AP282">
        <v>42</v>
      </c>
      <c r="AQ282">
        <v>0.48275859999999998</v>
      </c>
      <c r="AR282">
        <v>87</v>
      </c>
      <c r="AS282">
        <v>1</v>
      </c>
      <c r="AT282">
        <v>53</v>
      </c>
      <c r="AU282">
        <v>0.60919540000000005</v>
      </c>
      <c r="AV282">
        <v>617</v>
      </c>
      <c r="AW282" t="s">
        <v>127</v>
      </c>
      <c r="AX282" t="s">
        <v>127</v>
      </c>
      <c r="AY282" t="s">
        <v>127</v>
      </c>
      <c r="AZ282" t="s">
        <v>127</v>
      </c>
      <c r="BA282" t="s">
        <v>127</v>
      </c>
      <c r="BB282" t="s">
        <v>127</v>
      </c>
      <c r="BC282" t="s">
        <v>127</v>
      </c>
      <c r="BD282" t="s">
        <v>127</v>
      </c>
      <c r="BE282">
        <v>54</v>
      </c>
      <c r="BF282" t="s">
        <v>127</v>
      </c>
      <c r="BG282" t="s">
        <v>127</v>
      </c>
      <c r="BH282" t="s">
        <v>127</v>
      </c>
      <c r="BI282" t="s">
        <v>127</v>
      </c>
      <c r="BJ282" t="s">
        <v>127</v>
      </c>
      <c r="BK282" t="s">
        <v>127</v>
      </c>
      <c r="BL282" t="s">
        <v>127</v>
      </c>
      <c r="BM282" t="s">
        <v>127</v>
      </c>
    </row>
    <row r="283" spans="1:65" x14ac:dyDescent="0.25">
      <c r="A283" t="s">
        <v>684</v>
      </c>
      <c r="B283" t="s">
        <v>685</v>
      </c>
      <c r="C283">
        <v>1057</v>
      </c>
      <c r="D283">
        <v>741</v>
      </c>
      <c r="E283">
        <v>0.70104069999999996</v>
      </c>
      <c r="F283">
        <v>627</v>
      </c>
      <c r="G283">
        <v>0.84615379999999996</v>
      </c>
      <c r="H283">
        <v>695</v>
      </c>
      <c r="I283">
        <v>0.93792169999999997</v>
      </c>
      <c r="J283">
        <v>524</v>
      </c>
      <c r="K283">
        <v>0.75395679999999998</v>
      </c>
      <c r="L283">
        <v>540</v>
      </c>
      <c r="M283">
        <v>362</v>
      </c>
      <c r="N283">
        <v>0.67037040000000003</v>
      </c>
      <c r="O283">
        <v>322</v>
      </c>
      <c r="P283">
        <v>0.88950280000000004</v>
      </c>
      <c r="Q283">
        <v>354</v>
      </c>
      <c r="R283">
        <v>0.97790060000000001</v>
      </c>
      <c r="S283">
        <v>276</v>
      </c>
      <c r="T283">
        <v>0.77966100000000005</v>
      </c>
      <c r="U283">
        <v>513</v>
      </c>
      <c r="V283">
        <v>306</v>
      </c>
      <c r="W283">
        <v>0.5964912</v>
      </c>
      <c r="X283">
        <v>306</v>
      </c>
      <c r="Y283">
        <v>1</v>
      </c>
      <c r="Z283">
        <v>298</v>
      </c>
      <c r="AA283">
        <v>0.97385619999999995</v>
      </c>
      <c r="AB283">
        <v>234</v>
      </c>
      <c r="AC283">
        <v>0.78523489999999996</v>
      </c>
      <c r="AD283">
        <v>27</v>
      </c>
      <c r="AE283">
        <v>16</v>
      </c>
      <c r="AF283">
        <v>0.59259260000000002</v>
      </c>
      <c r="AG283">
        <v>16</v>
      </c>
      <c r="AH283">
        <v>1</v>
      </c>
      <c r="AI283">
        <v>16</v>
      </c>
      <c r="AJ283">
        <v>1</v>
      </c>
      <c r="AK283">
        <v>12</v>
      </c>
      <c r="AL283">
        <v>0.75</v>
      </c>
      <c r="AM283">
        <v>517</v>
      </c>
      <c r="AN283">
        <v>379</v>
      </c>
      <c r="AO283">
        <v>0.73307540000000004</v>
      </c>
      <c r="AP283">
        <v>305</v>
      </c>
      <c r="AQ283">
        <v>0.8047493</v>
      </c>
      <c r="AR283">
        <v>341</v>
      </c>
      <c r="AS283">
        <v>0.89973610000000004</v>
      </c>
      <c r="AT283">
        <v>248</v>
      </c>
      <c r="AU283">
        <v>0.72727269999999999</v>
      </c>
      <c r="AV283">
        <v>489</v>
      </c>
      <c r="AW283">
        <v>290</v>
      </c>
      <c r="AX283">
        <v>0.59304699999999999</v>
      </c>
      <c r="AY283">
        <v>290</v>
      </c>
      <c r="AZ283">
        <v>1</v>
      </c>
      <c r="BA283">
        <v>260</v>
      </c>
      <c r="BB283">
        <v>0.89655169999999995</v>
      </c>
      <c r="BC283">
        <v>198</v>
      </c>
      <c r="BD283">
        <v>0.76153850000000001</v>
      </c>
      <c r="BE283">
        <v>28</v>
      </c>
      <c r="BF283">
        <v>15</v>
      </c>
      <c r="BG283">
        <v>0.53571429999999998</v>
      </c>
      <c r="BH283">
        <v>15</v>
      </c>
      <c r="BI283">
        <v>1</v>
      </c>
      <c r="BJ283">
        <v>13</v>
      </c>
      <c r="BK283">
        <v>0.86666670000000001</v>
      </c>
      <c r="BL283">
        <v>10</v>
      </c>
      <c r="BM283">
        <v>0.76923079999999999</v>
      </c>
    </row>
    <row r="284" spans="1:65" x14ac:dyDescent="0.25">
      <c r="A284" t="s">
        <v>686</v>
      </c>
      <c r="B284" t="s">
        <v>687</v>
      </c>
      <c r="C284">
        <v>1984</v>
      </c>
      <c r="D284">
        <v>2198</v>
      </c>
      <c r="E284">
        <v>1.1078629</v>
      </c>
      <c r="F284">
        <v>1274</v>
      </c>
      <c r="G284">
        <v>0.57961779999999996</v>
      </c>
      <c r="H284">
        <v>2103</v>
      </c>
      <c r="I284">
        <v>0.95677889999999999</v>
      </c>
      <c r="J284">
        <v>1326</v>
      </c>
      <c r="K284">
        <v>0.63052779999999997</v>
      </c>
      <c r="L284">
        <v>1001</v>
      </c>
      <c r="M284">
        <v>1038</v>
      </c>
      <c r="N284">
        <v>1.0369630000000001</v>
      </c>
      <c r="O284">
        <v>624</v>
      </c>
      <c r="P284">
        <v>0.60115609999999997</v>
      </c>
      <c r="Q284">
        <v>1003</v>
      </c>
      <c r="R284">
        <v>0.96628130000000001</v>
      </c>
      <c r="S284">
        <v>634</v>
      </c>
      <c r="T284">
        <v>0.63210370000000005</v>
      </c>
      <c r="U284">
        <v>952</v>
      </c>
      <c r="V284">
        <v>588</v>
      </c>
      <c r="W284">
        <v>0.6176471</v>
      </c>
      <c r="X284">
        <v>588</v>
      </c>
      <c r="Y284">
        <v>1</v>
      </c>
      <c r="Z284">
        <v>569</v>
      </c>
      <c r="AA284">
        <v>0.96768710000000002</v>
      </c>
      <c r="AB284">
        <v>391</v>
      </c>
      <c r="AC284">
        <v>0.68717050000000002</v>
      </c>
      <c r="AD284">
        <v>49</v>
      </c>
      <c r="AE284">
        <v>36</v>
      </c>
      <c r="AF284">
        <v>0.73469390000000001</v>
      </c>
      <c r="AG284">
        <v>36</v>
      </c>
      <c r="AH284">
        <v>1</v>
      </c>
      <c r="AI284">
        <v>34</v>
      </c>
      <c r="AJ284">
        <v>0.94444439999999996</v>
      </c>
      <c r="AK284">
        <v>23</v>
      </c>
      <c r="AL284">
        <v>0.67647060000000003</v>
      </c>
      <c r="AM284">
        <v>983</v>
      </c>
      <c r="AN284">
        <v>1160</v>
      </c>
      <c r="AO284">
        <v>1.180061</v>
      </c>
      <c r="AP284">
        <v>650</v>
      </c>
      <c r="AQ284">
        <v>0.56034479999999998</v>
      </c>
      <c r="AR284">
        <v>1100</v>
      </c>
      <c r="AS284">
        <v>0.94827589999999995</v>
      </c>
      <c r="AT284">
        <v>692</v>
      </c>
      <c r="AU284">
        <v>0.62909090000000001</v>
      </c>
      <c r="AV284">
        <v>914</v>
      </c>
      <c r="AW284">
        <v>608</v>
      </c>
      <c r="AX284">
        <v>0.66520789999999996</v>
      </c>
      <c r="AY284">
        <v>608</v>
      </c>
      <c r="AZ284">
        <v>1</v>
      </c>
      <c r="BA284">
        <v>574</v>
      </c>
      <c r="BB284">
        <v>0.94407890000000005</v>
      </c>
      <c r="BC284">
        <v>410</v>
      </c>
      <c r="BD284">
        <v>0.71428570000000002</v>
      </c>
      <c r="BE284">
        <v>69</v>
      </c>
      <c r="BF284">
        <v>42</v>
      </c>
      <c r="BG284">
        <v>0.60869569999999995</v>
      </c>
      <c r="BH284">
        <v>42</v>
      </c>
      <c r="BI284">
        <v>1</v>
      </c>
      <c r="BJ284">
        <v>38</v>
      </c>
      <c r="BK284">
        <v>0.90476190000000001</v>
      </c>
      <c r="BL284">
        <v>28</v>
      </c>
      <c r="BM284">
        <v>0.73684210000000006</v>
      </c>
    </row>
    <row r="285" spans="1:65" x14ac:dyDescent="0.25">
      <c r="A285" t="s">
        <v>688</v>
      </c>
      <c r="B285" t="s">
        <v>689</v>
      </c>
      <c r="C285">
        <v>892</v>
      </c>
      <c r="D285">
        <v>838</v>
      </c>
      <c r="E285">
        <v>0.93946189999999996</v>
      </c>
      <c r="F285">
        <v>581</v>
      </c>
      <c r="G285">
        <v>0.69331739999999997</v>
      </c>
      <c r="H285">
        <v>798</v>
      </c>
      <c r="I285">
        <v>0.95226730000000004</v>
      </c>
      <c r="J285">
        <v>410</v>
      </c>
      <c r="K285">
        <v>0.51378449999999998</v>
      </c>
      <c r="L285">
        <v>364</v>
      </c>
      <c r="M285">
        <v>310</v>
      </c>
      <c r="N285">
        <v>0.85164839999999997</v>
      </c>
      <c r="O285">
        <v>216</v>
      </c>
      <c r="P285">
        <v>0.69677420000000001</v>
      </c>
      <c r="Q285">
        <v>296</v>
      </c>
      <c r="R285">
        <v>0.95483870000000004</v>
      </c>
      <c r="S285">
        <v>178</v>
      </c>
      <c r="T285">
        <v>0.60135139999999998</v>
      </c>
      <c r="U285">
        <v>318</v>
      </c>
      <c r="V285">
        <v>192</v>
      </c>
      <c r="W285">
        <v>0.60377360000000002</v>
      </c>
      <c r="X285">
        <v>192</v>
      </c>
      <c r="Y285">
        <v>1</v>
      </c>
      <c r="Z285">
        <v>183</v>
      </c>
      <c r="AA285">
        <v>0.953125</v>
      </c>
      <c r="AB285">
        <v>110</v>
      </c>
      <c r="AC285">
        <v>0.60109290000000004</v>
      </c>
      <c r="AD285">
        <v>46</v>
      </c>
      <c r="AE285">
        <v>24</v>
      </c>
      <c r="AF285">
        <v>0.52173910000000001</v>
      </c>
      <c r="AG285">
        <v>24</v>
      </c>
      <c r="AH285">
        <v>1</v>
      </c>
      <c r="AI285">
        <v>24</v>
      </c>
      <c r="AJ285">
        <v>1</v>
      </c>
      <c r="AK285">
        <v>16</v>
      </c>
      <c r="AL285">
        <v>0.66666669999999995</v>
      </c>
      <c r="AM285">
        <v>528</v>
      </c>
      <c r="AN285">
        <v>528</v>
      </c>
      <c r="AO285">
        <v>1</v>
      </c>
      <c r="AP285">
        <v>365</v>
      </c>
      <c r="AQ285">
        <v>0.69128789999999996</v>
      </c>
      <c r="AR285">
        <v>502</v>
      </c>
      <c r="AS285">
        <v>0.95075759999999998</v>
      </c>
      <c r="AT285">
        <v>232</v>
      </c>
      <c r="AU285">
        <v>0.46215139999999999</v>
      </c>
      <c r="AV285">
        <v>481</v>
      </c>
      <c r="AW285">
        <v>336</v>
      </c>
      <c r="AX285">
        <v>0.69854470000000002</v>
      </c>
      <c r="AY285">
        <v>336</v>
      </c>
      <c r="AZ285">
        <v>1</v>
      </c>
      <c r="BA285">
        <v>323</v>
      </c>
      <c r="BB285">
        <v>0.96130950000000004</v>
      </c>
      <c r="BC285">
        <v>171</v>
      </c>
      <c r="BD285">
        <v>0.52941179999999999</v>
      </c>
      <c r="BE285">
        <v>47</v>
      </c>
      <c r="BF285">
        <v>29</v>
      </c>
      <c r="BG285">
        <v>0.61702129999999999</v>
      </c>
      <c r="BH285">
        <v>29</v>
      </c>
      <c r="BI285">
        <v>1</v>
      </c>
      <c r="BJ285">
        <v>27</v>
      </c>
      <c r="BK285">
        <v>0.93103449999999999</v>
      </c>
      <c r="BL285">
        <v>13</v>
      </c>
      <c r="BM285">
        <v>0.48148150000000001</v>
      </c>
    </row>
    <row r="286" spans="1:65" x14ac:dyDescent="0.25">
      <c r="A286" t="s">
        <v>690</v>
      </c>
      <c r="B286" t="s">
        <v>691</v>
      </c>
      <c r="C286">
        <v>1156</v>
      </c>
      <c r="D286">
        <v>999</v>
      </c>
      <c r="E286">
        <v>0.86418689999999998</v>
      </c>
      <c r="F286">
        <v>633</v>
      </c>
      <c r="G286">
        <v>0.63363360000000002</v>
      </c>
      <c r="H286">
        <v>974</v>
      </c>
      <c r="I286">
        <v>0.97497500000000004</v>
      </c>
      <c r="J286">
        <v>622</v>
      </c>
      <c r="K286">
        <v>0.6386037</v>
      </c>
      <c r="L286">
        <v>580</v>
      </c>
      <c r="M286">
        <v>494</v>
      </c>
      <c r="N286">
        <v>0.85172409999999998</v>
      </c>
      <c r="O286">
        <v>314</v>
      </c>
      <c r="P286">
        <v>0.63562750000000001</v>
      </c>
      <c r="Q286">
        <v>483</v>
      </c>
      <c r="R286">
        <v>0.97773279999999996</v>
      </c>
      <c r="S286">
        <v>331</v>
      </c>
      <c r="T286">
        <v>0.68530020000000003</v>
      </c>
      <c r="U286">
        <v>553</v>
      </c>
      <c r="V286">
        <v>300</v>
      </c>
      <c r="W286">
        <v>0.54249550000000002</v>
      </c>
      <c r="X286">
        <v>300</v>
      </c>
      <c r="Y286">
        <v>1</v>
      </c>
      <c r="Z286">
        <v>294</v>
      </c>
      <c r="AA286">
        <v>0.98</v>
      </c>
      <c r="AB286">
        <v>214</v>
      </c>
      <c r="AC286">
        <v>0.72789119999999996</v>
      </c>
      <c r="AD286">
        <v>27</v>
      </c>
      <c r="AE286">
        <v>14</v>
      </c>
      <c r="AF286">
        <v>0.51851849999999999</v>
      </c>
      <c r="AG286">
        <v>14</v>
      </c>
      <c r="AH286">
        <v>1</v>
      </c>
      <c r="AI286">
        <v>14</v>
      </c>
      <c r="AJ286">
        <v>1</v>
      </c>
      <c r="AK286">
        <v>8</v>
      </c>
      <c r="AL286">
        <v>0.57142859999999995</v>
      </c>
      <c r="AM286">
        <v>576</v>
      </c>
      <c r="AN286">
        <v>505</v>
      </c>
      <c r="AO286">
        <v>0.87673610000000002</v>
      </c>
      <c r="AP286">
        <v>319</v>
      </c>
      <c r="AQ286">
        <v>0.6316832</v>
      </c>
      <c r="AR286">
        <v>491</v>
      </c>
      <c r="AS286">
        <v>0.97227719999999995</v>
      </c>
      <c r="AT286">
        <v>291</v>
      </c>
      <c r="AU286">
        <v>0.59266799999999997</v>
      </c>
      <c r="AV286">
        <v>560</v>
      </c>
      <c r="AW286" t="s">
        <v>127</v>
      </c>
      <c r="AX286" t="s">
        <v>127</v>
      </c>
      <c r="AY286" t="s">
        <v>127</v>
      </c>
      <c r="AZ286" t="s">
        <v>127</v>
      </c>
      <c r="BA286" t="s">
        <v>127</v>
      </c>
      <c r="BB286" t="s">
        <v>127</v>
      </c>
      <c r="BC286" t="s">
        <v>127</v>
      </c>
      <c r="BD286" t="s">
        <v>127</v>
      </c>
      <c r="BE286">
        <v>16</v>
      </c>
      <c r="BF286" t="s">
        <v>127</v>
      </c>
      <c r="BG286" t="s">
        <v>127</v>
      </c>
      <c r="BH286" t="s">
        <v>127</v>
      </c>
      <c r="BI286" t="s">
        <v>127</v>
      </c>
      <c r="BJ286" t="s">
        <v>127</v>
      </c>
      <c r="BK286" t="s">
        <v>127</v>
      </c>
      <c r="BL286" t="s">
        <v>127</v>
      </c>
      <c r="BM286" t="s">
        <v>127</v>
      </c>
    </row>
    <row r="287" spans="1:65" x14ac:dyDescent="0.25">
      <c r="A287" t="s">
        <v>692</v>
      </c>
      <c r="B287" t="s">
        <v>693</v>
      </c>
      <c r="C287">
        <v>625</v>
      </c>
      <c r="D287">
        <v>307</v>
      </c>
      <c r="E287">
        <v>0.49120000000000003</v>
      </c>
      <c r="F287">
        <v>135</v>
      </c>
      <c r="G287">
        <v>0.4397394</v>
      </c>
      <c r="H287">
        <v>286</v>
      </c>
      <c r="I287">
        <v>0.93159610000000004</v>
      </c>
      <c r="J287">
        <v>120</v>
      </c>
      <c r="K287">
        <v>0.41958040000000002</v>
      </c>
      <c r="L287">
        <v>298</v>
      </c>
      <c r="M287">
        <v>146</v>
      </c>
      <c r="N287">
        <v>0.4899329</v>
      </c>
      <c r="O287">
        <v>59</v>
      </c>
      <c r="P287">
        <v>0.40410960000000001</v>
      </c>
      <c r="Q287">
        <v>133</v>
      </c>
      <c r="R287">
        <v>0.91095890000000002</v>
      </c>
      <c r="S287">
        <v>63</v>
      </c>
      <c r="T287">
        <v>0.4736842</v>
      </c>
      <c r="U287">
        <v>277</v>
      </c>
      <c r="V287" t="s">
        <v>127</v>
      </c>
      <c r="W287" t="s">
        <v>127</v>
      </c>
      <c r="X287" t="s">
        <v>127</v>
      </c>
      <c r="Y287" t="s">
        <v>127</v>
      </c>
      <c r="Z287" t="s">
        <v>127</v>
      </c>
      <c r="AA287" t="s">
        <v>127</v>
      </c>
      <c r="AB287" t="s">
        <v>127</v>
      </c>
      <c r="AC287" t="s">
        <v>127</v>
      </c>
      <c r="AD287">
        <v>21</v>
      </c>
      <c r="AE287" t="s">
        <v>127</v>
      </c>
      <c r="AF287" t="s">
        <v>127</v>
      </c>
      <c r="AG287" t="s">
        <v>127</v>
      </c>
      <c r="AH287" t="s">
        <v>127</v>
      </c>
      <c r="AI287" t="s">
        <v>127</v>
      </c>
      <c r="AJ287" t="s">
        <v>127</v>
      </c>
      <c r="AK287" t="s">
        <v>127</v>
      </c>
      <c r="AL287" t="s">
        <v>127</v>
      </c>
      <c r="AM287">
        <v>327</v>
      </c>
      <c r="AN287">
        <v>161</v>
      </c>
      <c r="AO287">
        <v>0.49235469999999998</v>
      </c>
      <c r="AP287">
        <v>76</v>
      </c>
      <c r="AQ287">
        <v>0.47204970000000002</v>
      </c>
      <c r="AR287">
        <v>153</v>
      </c>
      <c r="AS287">
        <v>0.95031060000000001</v>
      </c>
      <c r="AT287">
        <v>57</v>
      </c>
      <c r="AU287">
        <v>0.37254900000000002</v>
      </c>
      <c r="AV287">
        <v>300</v>
      </c>
      <c r="AW287" t="s">
        <v>127</v>
      </c>
      <c r="AX287" t="s">
        <v>127</v>
      </c>
      <c r="AY287" t="s">
        <v>127</v>
      </c>
      <c r="AZ287" t="s">
        <v>127</v>
      </c>
      <c r="BA287" t="s">
        <v>127</v>
      </c>
      <c r="BB287" t="s">
        <v>127</v>
      </c>
      <c r="BC287" t="s">
        <v>127</v>
      </c>
      <c r="BD287" t="s">
        <v>127</v>
      </c>
      <c r="BE287">
        <v>27</v>
      </c>
      <c r="BF287" t="s">
        <v>127</v>
      </c>
      <c r="BG287" t="s">
        <v>127</v>
      </c>
      <c r="BH287" t="s">
        <v>127</v>
      </c>
      <c r="BI287" t="s">
        <v>127</v>
      </c>
      <c r="BJ287" t="s">
        <v>127</v>
      </c>
      <c r="BK287" t="s">
        <v>127</v>
      </c>
      <c r="BL287" t="s">
        <v>127</v>
      </c>
      <c r="BM287" t="s">
        <v>127</v>
      </c>
    </row>
    <row r="288" spans="1:65" x14ac:dyDescent="0.25">
      <c r="A288" t="s">
        <v>694</v>
      </c>
      <c r="B288" t="s">
        <v>695</v>
      </c>
      <c r="C288">
        <v>121</v>
      </c>
      <c r="D288">
        <v>217</v>
      </c>
      <c r="E288">
        <v>1.7933884</v>
      </c>
      <c r="F288">
        <v>32</v>
      </c>
      <c r="G288">
        <v>0.1474654</v>
      </c>
      <c r="H288">
        <v>209</v>
      </c>
      <c r="I288">
        <v>0.96313360000000003</v>
      </c>
      <c r="J288">
        <v>79</v>
      </c>
      <c r="K288">
        <v>0.3779904</v>
      </c>
      <c r="L288">
        <v>85</v>
      </c>
      <c r="M288">
        <v>146</v>
      </c>
      <c r="N288">
        <v>1.7176471</v>
      </c>
      <c r="O288">
        <v>24</v>
      </c>
      <c r="P288">
        <v>0.16438359999999999</v>
      </c>
      <c r="Q288">
        <v>142</v>
      </c>
      <c r="R288">
        <v>0.97260270000000004</v>
      </c>
      <c r="S288">
        <v>54</v>
      </c>
      <c r="T288">
        <v>0.3802817</v>
      </c>
      <c r="U288">
        <v>58</v>
      </c>
      <c r="V288">
        <v>16</v>
      </c>
      <c r="W288">
        <v>0.2758621</v>
      </c>
      <c r="X288">
        <v>16</v>
      </c>
      <c r="Y288">
        <v>1</v>
      </c>
      <c r="Z288">
        <v>15</v>
      </c>
      <c r="AA288">
        <v>0.9375</v>
      </c>
      <c r="AB288">
        <v>6</v>
      </c>
      <c r="AC288">
        <v>0.4</v>
      </c>
      <c r="AD288">
        <v>27</v>
      </c>
      <c r="AE288">
        <v>8</v>
      </c>
      <c r="AF288">
        <v>0.29629630000000001</v>
      </c>
      <c r="AG288">
        <v>8</v>
      </c>
      <c r="AH288">
        <v>1</v>
      </c>
      <c r="AI288">
        <v>8</v>
      </c>
      <c r="AJ288">
        <v>1</v>
      </c>
      <c r="AK288">
        <v>4</v>
      </c>
      <c r="AL288">
        <v>0.5</v>
      </c>
      <c r="AM288">
        <v>36</v>
      </c>
      <c r="AN288">
        <v>71</v>
      </c>
      <c r="AO288">
        <v>1.9722222</v>
      </c>
      <c r="AP288">
        <v>8</v>
      </c>
      <c r="AQ288">
        <v>0.1126761</v>
      </c>
      <c r="AR288">
        <v>67</v>
      </c>
      <c r="AS288">
        <v>0.943662</v>
      </c>
      <c r="AT288">
        <v>25</v>
      </c>
      <c r="AU288">
        <v>0.37313429999999997</v>
      </c>
      <c r="AV288">
        <v>25</v>
      </c>
      <c r="AW288" t="s">
        <v>127</v>
      </c>
      <c r="AX288" t="s">
        <v>127</v>
      </c>
      <c r="AY288" t="s">
        <v>127</v>
      </c>
      <c r="AZ288" t="s">
        <v>127</v>
      </c>
      <c r="BA288" t="s">
        <v>127</v>
      </c>
      <c r="BB288" t="s">
        <v>127</v>
      </c>
      <c r="BC288" t="s">
        <v>127</v>
      </c>
      <c r="BD288" t="s">
        <v>127</v>
      </c>
      <c r="BE288">
        <v>11</v>
      </c>
      <c r="BF288" t="s">
        <v>127</v>
      </c>
      <c r="BG288" t="s">
        <v>127</v>
      </c>
      <c r="BH288" t="s">
        <v>127</v>
      </c>
      <c r="BI288" t="s">
        <v>127</v>
      </c>
      <c r="BJ288" t="s">
        <v>127</v>
      </c>
      <c r="BK288" t="s">
        <v>127</v>
      </c>
      <c r="BL288" t="s">
        <v>127</v>
      </c>
      <c r="BM288" t="s">
        <v>127</v>
      </c>
    </row>
    <row r="289" spans="1:65" x14ac:dyDescent="0.25">
      <c r="A289" t="s">
        <v>696</v>
      </c>
      <c r="B289" t="s">
        <v>697</v>
      </c>
      <c r="C289">
        <v>1742</v>
      </c>
      <c r="D289">
        <v>921</v>
      </c>
      <c r="E289">
        <v>0.52870260000000002</v>
      </c>
      <c r="F289">
        <v>468</v>
      </c>
      <c r="G289">
        <v>0.50814329999999996</v>
      </c>
      <c r="H289">
        <v>883</v>
      </c>
      <c r="I289">
        <v>0.9587405</v>
      </c>
      <c r="J289">
        <v>473</v>
      </c>
      <c r="K289">
        <v>0.53567379999999998</v>
      </c>
      <c r="L289">
        <v>923</v>
      </c>
      <c r="M289">
        <v>463</v>
      </c>
      <c r="N289">
        <v>0.50162510000000005</v>
      </c>
      <c r="O289">
        <v>250</v>
      </c>
      <c r="P289">
        <v>0.53995680000000001</v>
      </c>
      <c r="Q289">
        <v>446</v>
      </c>
      <c r="R289">
        <v>0.96328290000000005</v>
      </c>
      <c r="S289">
        <v>238</v>
      </c>
      <c r="T289">
        <v>0.53363229999999995</v>
      </c>
      <c r="U289">
        <v>838</v>
      </c>
      <c r="V289">
        <v>221</v>
      </c>
      <c r="W289">
        <v>0.26372319999999999</v>
      </c>
      <c r="X289">
        <v>221</v>
      </c>
      <c r="Y289">
        <v>1</v>
      </c>
      <c r="Z289">
        <v>215</v>
      </c>
      <c r="AA289">
        <v>0.97285069999999996</v>
      </c>
      <c r="AB289">
        <v>139</v>
      </c>
      <c r="AC289">
        <v>0.64651159999999996</v>
      </c>
      <c r="AD289">
        <v>85</v>
      </c>
      <c r="AE289">
        <v>29</v>
      </c>
      <c r="AF289">
        <v>0.34117649999999999</v>
      </c>
      <c r="AG289">
        <v>29</v>
      </c>
      <c r="AH289">
        <v>1</v>
      </c>
      <c r="AI289">
        <v>29</v>
      </c>
      <c r="AJ289">
        <v>1</v>
      </c>
      <c r="AK289">
        <v>18</v>
      </c>
      <c r="AL289">
        <v>0.62068970000000001</v>
      </c>
      <c r="AM289">
        <v>819</v>
      </c>
      <c r="AN289">
        <v>458</v>
      </c>
      <c r="AO289">
        <v>0.55921860000000001</v>
      </c>
      <c r="AP289">
        <v>218</v>
      </c>
      <c r="AQ289">
        <v>0.47598249999999998</v>
      </c>
      <c r="AR289">
        <v>437</v>
      </c>
      <c r="AS289">
        <v>0.95414849999999996</v>
      </c>
      <c r="AT289">
        <v>235</v>
      </c>
      <c r="AU289">
        <v>0.53775740000000005</v>
      </c>
      <c r="AV289">
        <v>748</v>
      </c>
      <c r="AW289">
        <v>203</v>
      </c>
      <c r="AX289">
        <v>0.27139039999999998</v>
      </c>
      <c r="AY289">
        <v>203</v>
      </c>
      <c r="AZ289">
        <v>1</v>
      </c>
      <c r="BA289">
        <v>196</v>
      </c>
      <c r="BB289">
        <v>0.96551719999999996</v>
      </c>
      <c r="BC289">
        <v>136</v>
      </c>
      <c r="BD289">
        <v>0.69387759999999998</v>
      </c>
      <c r="BE289">
        <v>71</v>
      </c>
      <c r="BF289">
        <v>15</v>
      </c>
      <c r="BG289">
        <v>0.2112676</v>
      </c>
      <c r="BH289">
        <v>15</v>
      </c>
      <c r="BI289">
        <v>1</v>
      </c>
      <c r="BJ289">
        <v>13</v>
      </c>
      <c r="BK289">
        <v>0.86666670000000001</v>
      </c>
      <c r="BL289">
        <v>4</v>
      </c>
      <c r="BM289">
        <v>0.30769229999999997</v>
      </c>
    </row>
    <row r="290" spans="1:65" x14ac:dyDescent="0.25">
      <c r="A290" t="s">
        <v>698</v>
      </c>
      <c r="B290" t="s">
        <v>699</v>
      </c>
      <c r="C290">
        <v>334</v>
      </c>
      <c r="D290">
        <v>64</v>
      </c>
      <c r="E290">
        <v>0.1916168</v>
      </c>
      <c r="F290">
        <v>37</v>
      </c>
      <c r="G290">
        <v>0.578125</v>
      </c>
      <c r="H290">
        <v>61</v>
      </c>
      <c r="I290">
        <v>0.953125</v>
      </c>
      <c r="J290">
        <v>34</v>
      </c>
      <c r="K290">
        <v>0.55737700000000001</v>
      </c>
      <c r="L290">
        <v>169</v>
      </c>
      <c r="M290">
        <v>31</v>
      </c>
      <c r="N290">
        <v>0.18343200000000001</v>
      </c>
      <c r="O290">
        <v>22</v>
      </c>
      <c r="P290">
        <v>0.70967740000000001</v>
      </c>
      <c r="Q290">
        <v>29</v>
      </c>
      <c r="R290">
        <v>0.93548390000000003</v>
      </c>
      <c r="S290">
        <v>17</v>
      </c>
      <c r="T290">
        <v>0.58620689999999998</v>
      </c>
      <c r="U290" t="s">
        <v>127</v>
      </c>
      <c r="V290">
        <v>22</v>
      </c>
      <c r="W290" t="s">
        <v>127</v>
      </c>
      <c r="X290">
        <v>22</v>
      </c>
      <c r="Y290">
        <v>1</v>
      </c>
      <c r="Z290">
        <v>21</v>
      </c>
      <c r="AA290">
        <v>0.95454550000000005</v>
      </c>
      <c r="AB290">
        <v>13</v>
      </c>
      <c r="AC290">
        <v>0.61904760000000003</v>
      </c>
      <c r="AD290" t="s">
        <v>127</v>
      </c>
      <c r="AE290">
        <v>0</v>
      </c>
      <c r="AF290" t="s">
        <v>127</v>
      </c>
      <c r="AG290">
        <v>0</v>
      </c>
      <c r="AH290">
        <v>0</v>
      </c>
      <c r="AI290">
        <v>0</v>
      </c>
      <c r="AJ290">
        <v>0</v>
      </c>
      <c r="AK290">
        <v>0</v>
      </c>
      <c r="AL290">
        <v>0</v>
      </c>
      <c r="AM290">
        <v>165</v>
      </c>
      <c r="AN290">
        <v>33</v>
      </c>
      <c r="AO290">
        <v>0.2</v>
      </c>
      <c r="AP290">
        <v>15</v>
      </c>
      <c r="AQ290">
        <v>0.45454549999999999</v>
      </c>
      <c r="AR290">
        <v>32</v>
      </c>
      <c r="AS290">
        <v>0.96969700000000003</v>
      </c>
      <c r="AT290">
        <v>17</v>
      </c>
      <c r="AU290">
        <v>0.53125</v>
      </c>
      <c r="AV290">
        <v>156</v>
      </c>
      <c r="AW290">
        <v>15</v>
      </c>
      <c r="AX290">
        <v>9.6153799999999998E-2</v>
      </c>
      <c r="AY290">
        <v>15</v>
      </c>
      <c r="AZ290">
        <v>1</v>
      </c>
      <c r="BA290">
        <v>14</v>
      </c>
      <c r="BB290">
        <v>0.93333330000000003</v>
      </c>
      <c r="BC290">
        <v>10</v>
      </c>
      <c r="BD290">
        <v>0.71428570000000002</v>
      </c>
      <c r="BE290">
        <v>9</v>
      </c>
      <c r="BF290">
        <v>0</v>
      </c>
      <c r="BG290">
        <v>0</v>
      </c>
      <c r="BH290">
        <v>0</v>
      </c>
      <c r="BI290">
        <v>0</v>
      </c>
      <c r="BJ290">
        <v>0</v>
      </c>
      <c r="BK290">
        <v>0</v>
      </c>
      <c r="BL290">
        <v>0</v>
      </c>
      <c r="BM290">
        <v>0</v>
      </c>
    </row>
    <row r="291" spans="1:65" x14ac:dyDescent="0.25">
      <c r="A291" t="s">
        <v>700</v>
      </c>
      <c r="B291" t="s">
        <v>701</v>
      </c>
      <c r="C291">
        <v>558</v>
      </c>
      <c r="D291">
        <v>133</v>
      </c>
      <c r="E291">
        <v>0.23835129999999999</v>
      </c>
      <c r="F291">
        <v>104</v>
      </c>
      <c r="G291">
        <v>0.78195490000000001</v>
      </c>
      <c r="H291">
        <v>130</v>
      </c>
      <c r="I291">
        <v>0.97744359999999997</v>
      </c>
      <c r="J291">
        <v>82</v>
      </c>
      <c r="K291">
        <v>0.63076920000000003</v>
      </c>
      <c r="L291">
        <v>266</v>
      </c>
      <c r="M291">
        <v>70</v>
      </c>
      <c r="N291">
        <v>0.2631579</v>
      </c>
      <c r="O291">
        <v>56</v>
      </c>
      <c r="P291">
        <v>0.8</v>
      </c>
      <c r="Q291">
        <v>68</v>
      </c>
      <c r="R291">
        <v>0.97142859999999998</v>
      </c>
      <c r="S291">
        <v>44</v>
      </c>
      <c r="T291">
        <v>0.64705880000000005</v>
      </c>
      <c r="U291">
        <v>250</v>
      </c>
      <c r="V291" t="s">
        <v>127</v>
      </c>
      <c r="W291" t="s">
        <v>127</v>
      </c>
      <c r="X291" t="s">
        <v>127</v>
      </c>
      <c r="Y291" t="s">
        <v>127</v>
      </c>
      <c r="Z291" t="s">
        <v>127</v>
      </c>
      <c r="AA291" t="s">
        <v>127</v>
      </c>
      <c r="AB291" t="s">
        <v>127</v>
      </c>
      <c r="AC291" t="s">
        <v>127</v>
      </c>
      <c r="AD291">
        <v>16</v>
      </c>
      <c r="AE291" t="s">
        <v>127</v>
      </c>
      <c r="AF291" t="s">
        <v>127</v>
      </c>
      <c r="AG291" t="s">
        <v>127</v>
      </c>
      <c r="AH291" t="s">
        <v>127</v>
      </c>
      <c r="AI291" t="s">
        <v>127</v>
      </c>
      <c r="AJ291" t="s">
        <v>127</v>
      </c>
      <c r="AK291" t="s">
        <v>127</v>
      </c>
      <c r="AL291" t="s">
        <v>127</v>
      </c>
      <c r="AM291">
        <v>292</v>
      </c>
      <c r="AN291">
        <v>63</v>
      </c>
      <c r="AO291">
        <v>0.21575340000000001</v>
      </c>
      <c r="AP291">
        <v>48</v>
      </c>
      <c r="AQ291">
        <v>0.76190480000000005</v>
      </c>
      <c r="AR291">
        <v>62</v>
      </c>
      <c r="AS291">
        <v>0.98412699999999997</v>
      </c>
      <c r="AT291">
        <v>38</v>
      </c>
      <c r="AU291">
        <v>0.61290319999999998</v>
      </c>
      <c r="AV291">
        <v>269</v>
      </c>
      <c r="AW291" t="s">
        <v>127</v>
      </c>
      <c r="AX291" t="s">
        <v>127</v>
      </c>
      <c r="AY291" t="s">
        <v>127</v>
      </c>
      <c r="AZ291" t="s">
        <v>127</v>
      </c>
      <c r="BA291" t="s">
        <v>127</v>
      </c>
      <c r="BB291" t="s">
        <v>127</v>
      </c>
      <c r="BC291" t="s">
        <v>127</v>
      </c>
      <c r="BD291" t="s">
        <v>127</v>
      </c>
      <c r="BE291">
        <v>23</v>
      </c>
      <c r="BF291" t="s">
        <v>127</v>
      </c>
      <c r="BG291" t="s">
        <v>127</v>
      </c>
      <c r="BH291" t="s">
        <v>127</v>
      </c>
      <c r="BI291" t="s">
        <v>127</v>
      </c>
      <c r="BJ291" t="s">
        <v>127</v>
      </c>
      <c r="BK291" t="s">
        <v>127</v>
      </c>
      <c r="BL291" t="s">
        <v>127</v>
      </c>
      <c r="BM291" t="s">
        <v>127</v>
      </c>
    </row>
    <row r="292" spans="1:65" x14ac:dyDescent="0.25">
      <c r="A292" t="s">
        <v>702</v>
      </c>
      <c r="B292" t="s">
        <v>703</v>
      </c>
      <c r="C292">
        <v>565</v>
      </c>
      <c r="D292">
        <v>447</v>
      </c>
      <c r="E292">
        <v>0.79115040000000003</v>
      </c>
      <c r="F292">
        <v>364</v>
      </c>
      <c r="G292">
        <v>0.81431770000000003</v>
      </c>
      <c r="H292">
        <v>439</v>
      </c>
      <c r="I292">
        <v>0.9821029</v>
      </c>
      <c r="J292">
        <v>232</v>
      </c>
      <c r="K292">
        <v>0.52847379999999999</v>
      </c>
      <c r="L292">
        <v>284</v>
      </c>
      <c r="M292">
        <v>220</v>
      </c>
      <c r="N292">
        <v>0.77464789999999994</v>
      </c>
      <c r="O292">
        <v>175</v>
      </c>
      <c r="P292">
        <v>0.79545449999999995</v>
      </c>
      <c r="Q292">
        <v>218</v>
      </c>
      <c r="R292">
        <v>0.99090909999999999</v>
      </c>
      <c r="S292">
        <v>128</v>
      </c>
      <c r="T292">
        <v>0.58715600000000001</v>
      </c>
      <c r="U292">
        <v>261</v>
      </c>
      <c r="V292">
        <v>163</v>
      </c>
      <c r="W292">
        <v>0.62452110000000005</v>
      </c>
      <c r="X292">
        <v>163</v>
      </c>
      <c r="Y292">
        <v>1</v>
      </c>
      <c r="Z292">
        <v>161</v>
      </c>
      <c r="AA292">
        <v>0.98773010000000006</v>
      </c>
      <c r="AB292">
        <v>94</v>
      </c>
      <c r="AC292">
        <v>0.58385089999999995</v>
      </c>
      <c r="AD292">
        <v>23</v>
      </c>
      <c r="AE292">
        <v>12</v>
      </c>
      <c r="AF292">
        <v>0.52173910000000001</v>
      </c>
      <c r="AG292">
        <v>12</v>
      </c>
      <c r="AH292">
        <v>1</v>
      </c>
      <c r="AI292">
        <v>12</v>
      </c>
      <c r="AJ292">
        <v>1</v>
      </c>
      <c r="AK292">
        <v>9</v>
      </c>
      <c r="AL292">
        <v>0.75</v>
      </c>
      <c r="AM292">
        <v>281</v>
      </c>
      <c r="AN292">
        <v>227</v>
      </c>
      <c r="AO292">
        <v>0.80782920000000003</v>
      </c>
      <c r="AP292">
        <v>189</v>
      </c>
      <c r="AQ292">
        <v>0.83259910000000004</v>
      </c>
      <c r="AR292">
        <v>221</v>
      </c>
      <c r="AS292">
        <v>0.97356830000000005</v>
      </c>
      <c r="AT292">
        <v>104</v>
      </c>
      <c r="AU292">
        <v>0.47058820000000001</v>
      </c>
      <c r="AV292">
        <v>263</v>
      </c>
      <c r="AW292">
        <v>174</v>
      </c>
      <c r="AX292">
        <v>0.66159699999999999</v>
      </c>
      <c r="AY292">
        <v>174</v>
      </c>
      <c r="AZ292">
        <v>1</v>
      </c>
      <c r="BA292">
        <v>171</v>
      </c>
      <c r="BB292">
        <v>0.98275860000000004</v>
      </c>
      <c r="BC292">
        <v>80</v>
      </c>
      <c r="BD292">
        <v>0.46783629999999998</v>
      </c>
      <c r="BE292">
        <v>18</v>
      </c>
      <c r="BF292">
        <v>15</v>
      </c>
      <c r="BG292">
        <v>0.83333330000000005</v>
      </c>
      <c r="BH292">
        <v>15</v>
      </c>
      <c r="BI292">
        <v>1</v>
      </c>
      <c r="BJ292">
        <v>14</v>
      </c>
      <c r="BK292">
        <v>0.93333330000000003</v>
      </c>
      <c r="BL292">
        <v>6</v>
      </c>
      <c r="BM292">
        <v>0.42857139999999999</v>
      </c>
    </row>
    <row r="293" spans="1:65" x14ac:dyDescent="0.25">
      <c r="A293" t="s">
        <v>704</v>
      </c>
      <c r="B293" t="s">
        <v>705</v>
      </c>
      <c r="C293">
        <v>439</v>
      </c>
      <c r="D293">
        <v>427</v>
      </c>
      <c r="E293">
        <v>0.97266509999999995</v>
      </c>
      <c r="F293">
        <v>289</v>
      </c>
      <c r="G293">
        <v>0.67681500000000006</v>
      </c>
      <c r="H293">
        <v>388</v>
      </c>
      <c r="I293">
        <v>0.9086651</v>
      </c>
      <c r="J293">
        <v>241</v>
      </c>
      <c r="K293">
        <v>0.62113399999999996</v>
      </c>
      <c r="L293">
        <v>216</v>
      </c>
      <c r="M293">
        <v>214</v>
      </c>
      <c r="N293">
        <v>0.99074070000000003</v>
      </c>
      <c r="O293">
        <v>143</v>
      </c>
      <c r="P293">
        <v>0.66822429999999999</v>
      </c>
      <c r="Q293">
        <v>212</v>
      </c>
      <c r="R293">
        <v>0.99065420000000004</v>
      </c>
      <c r="S293">
        <v>137</v>
      </c>
      <c r="T293">
        <v>0.64622639999999998</v>
      </c>
      <c r="U293" t="s">
        <v>127</v>
      </c>
      <c r="V293" t="s">
        <v>127</v>
      </c>
      <c r="W293" t="s">
        <v>127</v>
      </c>
      <c r="X293" t="s">
        <v>127</v>
      </c>
      <c r="Y293" t="s">
        <v>127</v>
      </c>
      <c r="Z293" t="s">
        <v>127</v>
      </c>
      <c r="AA293" t="s">
        <v>127</v>
      </c>
      <c r="AB293">
        <v>92</v>
      </c>
      <c r="AC293" t="s">
        <v>127</v>
      </c>
      <c r="AD293" t="s">
        <v>127</v>
      </c>
      <c r="AE293" t="s">
        <v>127</v>
      </c>
      <c r="AF293" t="s">
        <v>127</v>
      </c>
      <c r="AG293" t="s">
        <v>127</v>
      </c>
      <c r="AH293" t="s">
        <v>127</v>
      </c>
      <c r="AI293" t="s">
        <v>127</v>
      </c>
      <c r="AJ293" t="s">
        <v>127</v>
      </c>
      <c r="AK293">
        <v>0</v>
      </c>
      <c r="AL293" t="s">
        <v>127</v>
      </c>
      <c r="AM293">
        <v>223</v>
      </c>
      <c r="AN293">
        <v>213</v>
      </c>
      <c r="AO293">
        <v>0.95515700000000003</v>
      </c>
      <c r="AP293">
        <v>146</v>
      </c>
      <c r="AQ293">
        <v>0.685446</v>
      </c>
      <c r="AR293">
        <v>176</v>
      </c>
      <c r="AS293">
        <v>0.82629109999999995</v>
      </c>
      <c r="AT293">
        <v>104</v>
      </c>
      <c r="AU293">
        <v>0.59090909999999996</v>
      </c>
      <c r="AV293" t="s">
        <v>127</v>
      </c>
      <c r="AW293">
        <v>146</v>
      </c>
      <c r="AX293">
        <v>0.65765770000000001</v>
      </c>
      <c r="AY293" t="s">
        <v>127</v>
      </c>
      <c r="AZ293">
        <v>1</v>
      </c>
      <c r="BA293">
        <v>122</v>
      </c>
      <c r="BB293">
        <v>0.83561640000000004</v>
      </c>
      <c r="BC293">
        <v>70</v>
      </c>
      <c r="BD293">
        <v>0.57377049999999996</v>
      </c>
      <c r="BE293" t="s">
        <v>127</v>
      </c>
      <c r="BF293">
        <v>0</v>
      </c>
      <c r="BG293" t="s">
        <v>127</v>
      </c>
      <c r="BH293">
        <v>0</v>
      </c>
      <c r="BI293">
        <v>0</v>
      </c>
      <c r="BJ293">
        <v>0</v>
      </c>
      <c r="BK293">
        <v>0</v>
      </c>
      <c r="BL293">
        <v>0</v>
      </c>
      <c r="BM293">
        <v>0</v>
      </c>
    </row>
    <row r="294" spans="1:65" x14ac:dyDescent="0.25">
      <c r="A294" t="s">
        <v>706</v>
      </c>
      <c r="B294" t="s">
        <v>707</v>
      </c>
      <c r="C294">
        <v>398</v>
      </c>
      <c r="D294">
        <v>429</v>
      </c>
      <c r="E294">
        <v>1.0778894000000001</v>
      </c>
      <c r="F294">
        <v>246</v>
      </c>
      <c r="G294">
        <v>0.57342660000000001</v>
      </c>
      <c r="H294">
        <v>302</v>
      </c>
      <c r="I294">
        <v>0.70396270000000005</v>
      </c>
      <c r="J294">
        <v>302</v>
      </c>
      <c r="K294">
        <v>1</v>
      </c>
      <c r="L294">
        <v>241</v>
      </c>
      <c r="M294">
        <v>264</v>
      </c>
      <c r="N294">
        <v>1.0954356999999999</v>
      </c>
      <c r="O294">
        <v>154</v>
      </c>
      <c r="P294">
        <v>0.58333330000000005</v>
      </c>
      <c r="Q294">
        <v>198</v>
      </c>
      <c r="R294">
        <v>0.75</v>
      </c>
      <c r="S294">
        <v>198</v>
      </c>
      <c r="T294">
        <v>1</v>
      </c>
      <c r="U294">
        <v>223</v>
      </c>
      <c r="V294">
        <v>148</v>
      </c>
      <c r="W294">
        <v>0.66367710000000002</v>
      </c>
      <c r="X294">
        <v>148</v>
      </c>
      <c r="Y294">
        <v>1</v>
      </c>
      <c r="Z294">
        <v>136</v>
      </c>
      <c r="AA294">
        <v>0.91891889999999998</v>
      </c>
      <c r="AB294">
        <v>136</v>
      </c>
      <c r="AC294">
        <v>1</v>
      </c>
      <c r="AD294">
        <v>18</v>
      </c>
      <c r="AE294">
        <v>6</v>
      </c>
      <c r="AF294">
        <v>0.3333333</v>
      </c>
      <c r="AG294">
        <v>6</v>
      </c>
      <c r="AH294">
        <v>1</v>
      </c>
      <c r="AI294">
        <v>6</v>
      </c>
      <c r="AJ294">
        <v>1</v>
      </c>
      <c r="AK294">
        <v>6</v>
      </c>
      <c r="AL294">
        <v>1</v>
      </c>
      <c r="AM294">
        <v>157</v>
      </c>
      <c r="AN294">
        <v>165</v>
      </c>
      <c r="AO294">
        <v>1.0509554000000001</v>
      </c>
      <c r="AP294">
        <v>92</v>
      </c>
      <c r="AQ294">
        <v>0.55757579999999995</v>
      </c>
      <c r="AR294">
        <v>104</v>
      </c>
      <c r="AS294">
        <v>0.63030299999999995</v>
      </c>
      <c r="AT294">
        <v>104</v>
      </c>
      <c r="AU294">
        <v>1</v>
      </c>
      <c r="AV294">
        <v>147</v>
      </c>
      <c r="AW294" t="s">
        <v>127</v>
      </c>
      <c r="AX294" t="s">
        <v>127</v>
      </c>
      <c r="AY294" t="s">
        <v>127</v>
      </c>
      <c r="AZ294" t="s">
        <v>127</v>
      </c>
      <c r="BA294" t="s">
        <v>127</v>
      </c>
      <c r="BB294" t="s">
        <v>127</v>
      </c>
      <c r="BC294" t="s">
        <v>127</v>
      </c>
      <c r="BD294" t="s">
        <v>127</v>
      </c>
      <c r="BE294">
        <v>10</v>
      </c>
      <c r="BF294" t="s">
        <v>127</v>
      </c>
      <c r="BG294" t="s">
        <v>127</v>
      </c>
      <c r="BH294" t="s">
        <v>127</v>
      </c>
      <c r="BI294" t="s">
        <v>127</v>
      </c>
      <c r="BJ294" t="s">
        <v>127</v>
      </c>
      <c r="BK294" t="s">
        <v>127</v>
      </c>
      <c r="BL294" t="s">
        <v>127</v>
      </c>
      <c r="BM294" t="s">
        <v>127</v>
      </c>
    </row>
    <row r="295" spans="1:65" x14ac:dyDescent="0.25">
      <c r="A295" t="s">
        <v>708</v>
      </c>
      <c r="B295" t="s">
        <v>709</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t="s">
        <v>127</v>
      </c>
      <c r="AN295">
        <v>0</v>
      </c>
      <c r="AO295" t="s">
        <v>127</v>
      </c>
      <c r="AP295">
        <v>0</v>
      </c>
      <c r="AQ295">
        <v>0</v>
      </c>
      <c r="AR295">
        <v>0</v>
      </c>
      <c r="AS295">
        <v>0</v>
      </c>
      <c r="AT295">
        <v>0</v>
      </c>
      <c r="AU295">
        <v>0</v>
      </c>
      <c r="AV295" t="s">
        <v>127</v>
      </c>
      <c r="AW295">
        <v>0</v>
      </c>
      <c r="AX295" t="s">
        <v>127</v>
      </c>
      <c r="AY295">
        <v>0</v>
      </c>
      <c r="AZ295">
        <v>0</v>
      </c>
      <c r="BA295">
        <v>0</v>
      </c>
      <c r="BB295">
        <v>0</v>
      </c>
      <c r="BC295">
        <v>0</v>
      </c>
      <c r="BD295">
        <v>0</v>
      </c>
      <c r="BE295">
        <v>0</v>
      </c>
      <c r="BF295">
        <v>0</v>
      </c>
      <c r="BG295">
        <v>0</v>
      </c>
      <c r="BH295">
        <v>0</v>
      </c>
      <c r="BI295">
        <v>0</v>
      </c>
      <c r="BJ295">
        <v>0</v>
      </c>
      <c r="BK295">
        <v>0</v>
      </c>
      <c r="BL295">
        <v>0</v>
      </c>
      <c r="BM295">
        <v>0</v>
      </c>
    </row>
    <row r="296" spans="1:65" x14ac:dyDescent="0.25">
      <c r="A296" t="s">
        <v>710</v>
      </c>
      <c r="B296" t="s">
        <v>711</v>
      </c>
      <c r="C296">
        <v>501</v>
      </c>
      <c r="D296">
        <v>239</v>
      </c>
      <c r="E296">
        <v>0.47704590000000002</v>
      </c>
      <c r="F296">
        <v>153</v>
      </c>
      <c r="G296">
        <v>0.64016740000000005</v>
      </c>
      <c r="H296">
        <v>237</v>
      </c>
      <c r="I296">
        <v>0.99163179999999995</v>
      </c>
      <c r="J296">
        <v>173</v>
      </c>
      <c r="K296">
        <v>0.72995779999999999</v>
      </c>
      <c r="L296">
        <v>226</v>
      </c>
      <c r="M296">
        <v>111</v>
      </c>
      <c r="N296">
        <v>0.49115039999999999</v>
      </c>
      <c r="O296">
        <v>70</v>
      </c>
      <c r="P296">
        <v>0.63063060000000004</v>
      </c>
      <c r="Q296">
        <v>109</v>
      </c>
      <c r="R296">
        <v>0.98198200000000002</v>
      </c>
      <c r="S296">
        <v>82</v>
      </c>
      <c r="T296">
        <v>0.75229360000000001</v>
      </c>
      <c r="U296" t="s">
        <v>127</v>
      </c>
      <c r="V296">
        <v>70</v>
      </c>
      <c r="W296" t="s">
        <v>127</v>
      </c>
      <c r="X296">
        <v>70</v>
      </c>
      <c r="Y296">
        <v>1</v>
      </c>
      <c r="Z296">
        <v>68</v>
      </c>
      <c r="AA296">
        <v>0.97142859999999998</v>
      </c>
      <c r="AB296">
        <v>49</v>
      </c>
      <c r="AC296">
        <v>0.72058820000000001</v>
      </c>
      <c r="AD296" t="s">
        <v>127</v>
      </c>
      <c r="AE296">
        <v>0</v>
      </c>
      <c r="AF296" t="s">
        <v>127</v>
      </c>
      <c r="AG296">
        <v>0</v>
      </c>
      <c r="AH296">
        <v>0</v>
      </c>
      <c r="AI296">
        <v>0</v>
      </c>
      <c r="AJ296">
        <v>0</v>
      </c>
      <c r="AK296">
        <v>0</v>
      </c>
      <c r="AL296">
        <v>0</v>
      </c>
      <c r="AM296">
        <v>275</v>
      </c>
      <c r="AN296">
        <v>128</v>
      </c>
      <c r="AO296">
        <v>0.46545449999999999</v>
      </c>
      <c r="AP296">
        <v>83</v>
      </c>
      <c r="AQ296">
        <v>0.6484375</v>
      </c>
      <c r="AR296">
        <v>128</v>
      </c>
      <c r="AS296">
        <v>1</v>
      </c>
      <c r="AT296">
        <v>91</v>
      </c>
      <c r="AU296">
        <v>0.7109375</v>
      </c>
      <c r="AV296">
        <v>268</v>
      </c>
      <c r="AW296" t="s">
        <v>127</v>
      </c>
      <c r="AX296" t="s">
        <v>127</v>
      </c>
      <c r="AY296" t="s">
        <v>127</v>
      </c>
      <c r="AZ296" t="s">
        <v>127</v>
      </c>
      <c r="BA296" t="s">
        <v>127</v>
      </c>
      <c r="BB296" t="s">
        <v>127</v>
      </c>
      <c r="BC296" t="s">
        <v>127</v>
      </c>
      <c r="BD296" t="s">
        <v>127</v>
      </c>
      <c r="BE296">
        <v>7</v>
      </c>
      <c r="BF296" t="s">
        <v>127</v>
      </c>
      <c r="BG296" t="s">
        <v>127</v>
      </c>
      <c r="BH296" t="s">
        <v>127</v>
      </c>
      <c r="BI296" t="s">
        <v>127</v>
      </c>
      <c r="BJ296" t="s">
        <v>127</v>
      </c>
      <c r="BK296" t="s">
        <v>127</v>
      </c>
      <c r="BL296" t="s">
        <v>127</v>
      </c>
      <c r="BM296" t="s">
        <v>127</v>
      </c>
    </row>
    <row r="297" spans="1:65" x14ac:dyDescent="0.25">
      <c r="A297" t="s">
        <v>712</v>
      </c>
      <c r="B297" t="s">
        <v>713</v>
      </c>
      <c r="C297">
        <v>287</v>
      </c>
      <c r="D297">
        <v>185</v>
      </c>
      <c r="E297">
        <v>0.64459929999999999</v>
      </c>
      <c r="F297">
        <v>153</v>
      </c>
      <c r="G297">
        <v>0.82702699999999996</v>
      </c>
      <c r="H297">
        <v>180</v>
      </c>
      <c r="I297">
        <v>0.97297299999999998</v>
      </c>
      <c r="J297">
        <v>113</v>
      </c>
      <c r="K297">
        <v>0.62777780000000005</v>
      </c>
      <c r="L297">
        <v>163</v>
      </c>
      <c r="M297">
        <v>101</v>
      </c>
      <c r="N297">
        <v>0.61963190000000001</v>
      </c>
      <c r="O297">
        <v>83</v>
      </c>
      <c r="P297">
        <v>0.82178220000000002</v>
      </c>
      <c r="Q297">
        <v>101</v>
      </c>
      <c r="R297">
        <v>1</v>
      </c>
      <c r="S297">
        <v>63</v>
      </c>
      <c r="T297">
        <v>0.62376240000000005</v>
      </c>
      <c r="U297">
        <v>163</v>
      </c>
      <c r="V297">
        <v>83</v>
      </c>
      <c r="W297">
        <v>0.5092025</v>
      </c>
      <c r="X297">
        <v>83</v>
      </c>
      <c r="Y297">
        <v>1</v>
      </c>
      <c r="Z297">
        <v>83</v>
      </c>
      <c r="AA297">
        <v>1</v>
      </c>
      <c r="AB297">
        <v>55</v>
      </c>
      <c r="AC297">
        <v>0.66265059999999998</v>
      </c>
      <c r="AD297">
        <v>0</v>
      </c>
      <c r="AE297">
        <v>0</v>
      </c>
      <c r="AF297">
        <v>0</v>
      </c>
      <c r="AG297">
        <v>0</v>
      </c>
      <c r="AH297">
        <v>0</v>
      </c>
      <c r="AI297">
        <v>0</v>
      </c>
      <c r="AJ297">
        <v>0</v>
      </c>
      <c r="AK297">
        <v>0</v>
      </c>
      <c r="AL297">
        <v>0</v>
      </c>
      <c r="AM297">
        <v>124</v>
      </c>
      <c r="AN297">
        <v>84</v>
      </c>
      <c r="AO297">
        <v>0.6774194</v>
      </c>
      <c r="AP297">
        <v>70</v>
      </c>
      <c r="AQ297">
        <v>0.83333330000000005</v>
      </c>
      <c r="AR297">
        <v>79</v>
      </c>
      <c r="AS297">
        <v>0.94047619999999998</v>
      </c>
      <c r="AT297">
        <v>50</v>
      </c>
      <c r="AU297">
        <v>0.63291140000000001</v>
      </c>
      <c r="AV297">
        <v>124</v>
      </c>
      <c r="AW297">
        <v>70</v>
      </c>
      <c r="AX297">
        <v>0.56451609999999997</v>
      </c>
      <c r="AY297">
        <v>70</v>
      </c>
      <c r="AZ297">
        <v>1</v>
      </c>
      <c r="BA297">
        <v>67</v>
      </c>
      <c r="BB297">
        <v>0.95714290000000002</v>
      </c>
      <c r="BC297">
        <v>44</v>
      </c>
      <c r="BD297">
        <v>0.65671639999999998</v>
      </c>
      <c r="BE297">
        <v>0</v>
      </c>
      <c r="BF297">
        <v>0</v>
      </c>
      <c r="BG297">
        <v>0</v>
      </c>
      <c r="BH297">
        <v>0</v>
      </c>
      <c r="BI297">
        <v>0</v>
      </c>
      <c r="BJ297">
        <v>0</v>
      </c>
      <c r="BK297">
        <v>0</v>
      </c>
      <c r="BL297">
        <v>0</v>
      </c>
      <c r="BM297">
        <v>0</v>
      </c>
    </row>
    <row r="298" spans="1:65" x14ac:dyDescent="0.25">
      <c r="A298" t="s">
        <v>714</v>
      </c>
      <c r="B298" t="s">
        <v>715</v>
      </c>
      <c r="C298">
        <v>975</v>
      </c>
      <c r="D298">
        <v>477</v>
      </c>
      <c r="E298">
        <v>0.48923080000000002</v>
      </c>
      <c r="F298">
        <v>356</v>
      </c>
      <c r="G298">
        <v>0.74633119999999997</v>
      </c>
      <c r="H298">
        <v>451</v>
      </c>
      <c r="I298">
        <v>0.94549269999999996</v>
      </c>
      <c r="J298">
        <v>286</v>
      </c>
      <c r="K298">
        <v>0.63414630000000005</v>
      </c>
      <c r="L298">
        <v>530</v>
      </c>
      <c r="M298">
        <v>232</v>
      </c>
      <c r="N298">
        <v>0.43773580000000001</v>
      </c>
      <c r="O298">
        <v>175</v>
      </c>
      <c r="P298">
        <v>0.75431029999999999</v>
      </c>
      <c r="Q298">
        <v>222</v>
      </c>
      <c r="R298">
        <v>0.95689659999999999</v>
      </c>
      <c r="S298">
        <v>154</v>
      </c>
      <c r="T298">
        <v>0.69369369999999997</v>
      </c>
      <c r="U298">
        <v>493</v>
      </c>
      <c r="V298" t="s">
        <v>127</v>
      </c>
      <c r="W298" t="s">
        <v>127</v>
      </c>
      <c r="X298" t="s">
        <v>127</v>
      </c>
      <c r="Y298" t="s">
        <v>127</v>
      </c>
      <c r="Z298" t="s">
        <v>127</v>
      </c>
      <c r="AA298" t="s">
        <v>127</v>
      </c>
      <c r="AB298" t="s">
        <v>127</v>
      </c>
      <c r="AC298" t="s">
        <v>127</v>
      </c>
      <c r="AD298">
        <v>37</v>
      </c>
      <c r="AE298" t="s">
        <v>127</v>
      </c>
      <c r="AF298" t="s">
        <v>127</v>
      </c>
      <c r="AG298" t="s">
        <v>127</v>
      </c>
      <c r="AH298" t="s">
        <v>127</v>
      </c>
      <c r="AI298" t="s">
        <v>127</v>
      </c>
      <c r="AJ298" t="s">
        <v>127</v>
      </c>
      <c r="AK298" t="s">
        <v>127</v>
      </c>
      <c r="AL298" t="s">
        <v>127</v>
      </c>
      <c r="AM298">
        <v>445</v>
      </c>
      <c r="AN298">
        <v>245</v>
      </c>
      <c r="AO298">
        <v>0.55056179999999999</v>
      </c>
      <c r="AP298">
        <v>181</v>
      </c>
      <c r="AQ298">
        <v>0.73877550000000003</v>
      </c>
      <c r="AR298">
        <v>229</v>
      </c>
      <c r="AS298">
        <v>0.93469389999999997</v>
      </c>
      <c r="AT298">
        <v>132</v>
      </c>
      <c r="AU298">
        <v>0.57641920000000002</v>
      </c>
      <c r="AV298">
        <v>414</v>
      </c>
      <c r="AW298" t="s">
        <v>127</v>
      </c>
      <c r="AX298" t="s">
        <v>127</v>
      </c>
      <c r="AY298" t="s">
        <v>127</v>
      </c>
      <c r="AZ298" t="s">
        <v>127</v>
      </c>
      <c r="BA298" t="s">
        <v>127</v>
      </c>
      <c r="BB298" t="s">
        <v>127</v>
      </c>
      <c r="BC298" t="s">
        <v>127</v>
      </c>
      <c r="BD298" t="s">
        <v>127</v>
      </c>
      <c r="BE298">
        <v>31</v>
      </c>
      <c r="BF298" t="s">
        <v>127</v>
      </c>
      <c r="BG298" t="s">
        <v>127</v>
      </c>
      <c r="BH298" t="s">
        <v>127</v>
      </c>
      <c r="BI298" t="s">
        <v>127</v>
      </c>
      <c r="BJ298" t="s">
        <v>127</v>
      </c>
      <c r="BK298" t="s">
        <v>127</v>
      </c>
      <c r="BL298" t="s">
        <v>127</v>
      </c>
      <c r="BM298" t="s">
        <v>127</v>
      </c>
    </row>
    <row r="299" spans="1:65" x14ac:dyDescent="0.25">
      <c r="A299" t="s">
        <v>716</v>
      </c>
      <c r="B299" t="s">
        <v>717</v>
      </c>
      <c r="C299">
        <v>967</v>
      </c>
      <c r="D299">
        <v>777</v>
      </c>
      <c r="E299">
        <v>0.80351600000000001</v>
      </c>
      <c r="F299">
        <v>305</v>
      </c>
      <c r="G299">
        <v>0.39253539999999998</v>
      </c>
      <c r="H299">
        <v>751</v>
      </c>
      <c r="I299">
        <v>0.96653800000000001</v>
      </c>
      <c r="J299">
        <v>407</v>
      </c>
      <c r="K299">
        <v>0.54194410000000004</v>
      </c>
      <c r="L299">
        <v>429</v>
      </c>
      <c r="M299">
        <v>361</v>
      </c>
      <c r="N299">
        <v>0.84149180000000001</v>
      </c>
      <c r="O299">
        <v>158</v>
      </c>
      <c r="P299">
        <v>0.43767309999999998</v>
      </c>
      <c r="Q299">
        <v>347</v>
      </c>
      <c r="R299">
        <v>0.96121880000000004</v>
      </c>
      <c r="S299">
        <v>224</v>
      </c>
      <c r="T299">
        <v>0.64553309999999997</v>
      </c>
      <c r="U299" t="s">
        <v>127</v>
      </c>
      <c r="V299" t="s">
        <v>127</v>
      </c>
      <c r="W299" t="s">
        <v>127</v>
      </c>
      <c r="X299" t="s">
        <v>127</v>
      </c>
      <c r="Y299" t="s">
        <v>127</v>
      </c>
      <c r="Z299" t="s">
        <v>127</v>
      </c>
      <c r="AA299" t="s">
        <v>127</v>
      </c>
      <c r="AB299" t="s">
        <v>127</v>
      </c>
      <c r="AC299" t="s">
        <v>127</v>
      </c>
      <c r="AD299" t="s">
        <v>127</v>
      </c>
      <c r="AE299" t="s">
        <v>127</v>
      </c>
      <c r="AF299" t="s">
        <v>127</v>
      </c>
      <c r="AG299" t="s">
        <v>127</v>
      </c>
      <c r="AH299" t="s">
        <v>127</v>
      </c>
      <c r="AI299" t="s">
        <v>127</v>
      </c>
      <c r="AJ299" t="s">
        <v>127</v>
      </c>
      <c r="AK299" t="s">
        <v>127</v>
      </c>
      <c r="AL299" t="s">
        <v>127</v>
      </c>
      <c r="AM299">
        <v>538</v>
      </c>
      <c r="AN299">
        <v>416</v>
      </c>
      <c r="AO299">
        <v>0.77323419999999998</v>
      </c>
      <c r="AP299">
        <v>147</v>
      </c>
      <c r="AQ299">
        <v>0.3533654</v>
      </c>
      <c r="AR299">
        <v>404</v>
      </c>
      <c r="AS299">
        <v>0.97115379999999996</v>
      </c>
      <c r="AT299">
        <v>183</v>
      </c>
      <c r="AU299">
        <v>0.45297029999999999</v>
      </c>
      <c r="AV299" t="s">
        <v>127</v>
      </c>
      <c r="AW299">
        <v>147</v>
      </c>
      <c r="AX299">
        <v>0.2752809</v>
      </c>
      <c r="AY299" t="s">
        <v>127</v>
      </c>
      <c r="AZ299">
        <v>1</v>
      </c>
      <c r="BA299">
        <v>141</v>
      </c>
      <c r="BB299">
        <v>0.95918369999999997</v>
      </c>
      <c r="BC299">
        <v>80</v>
      </c>
      <c r="BD299">
        <v>0.56737590000000004</v>
      </c>
      <c r="BE299" t="s">
        <v>127</v>
      </c>
      <c r="BF299">
        <v>0</v>
      </c>
      <c r="BG299" t="s">
        <v>127</v>
      </c>
      <c r="BH299">
        <v>0</v>
      </c>
      <c r="BI299">
        <v>0</v>
      </c>
      <c r="BJ299">
        <v>0</v>
      </c>
      <c r="BK299">
        <v>0</v>
      </c>
      <c r="BL299">
        <v>0</v>
      </c>
      <c r="BM299">
        <v>0</v>
      </c>
    </row>
    <row r="300" spans="1:65" x14ac:dyDescent="0.25">
      <c r="A300" t="s">
        <v>718</v>
      </c>
      <c r="B300" t="s">
        <v>719</v>
      </c>
      <c r="C300">
        <v>733</v>
      </c>
      <c r="D300">
        <v>368</v>
      </c>
      <c r="E300">
        <v>0.5020464</v>
      </c>
      <c r="F300">
        <v>294</v>
      </c>
      <c r="G300">
        <v>0.79891299999999998</v>
      </c>
      <c r="H300">
        <v>355</v>
      </c>
      <c r="I300">
        <v>0.96467389999999997</v>
      </c>
      <c r="J300">
        <v>234</v>
      </c>
      <c r="K300">
        <v>0.65915489999999999</v>
      </c>
      <c r="L300">
        <v>342</v>
      </c>
      <c r="M300">
        <v>170</v>
      </c>
      <c r="N300">
        <v>0.49707600000000002</v>
      </c>
      <c r="O300">
        <v>133</v>
      </c>
      <c r="P300">
        <v>0.78235290000000002</v>
      </c>
      <c r="Q300">
        <v>168</v>
      </c>
      <c r="R300">
        <v>0.98823530000000004</v>
      </c>
      <c r="S300">
        <v>110</v>
      </c>
      <c r="T300">
        <v>0.65476190000000001</v>
      </c>
      <c r="U300" t="s">
        <v>127</v>
      </c>
      <c r="V300" t="s">
        <v>127</v>
      </c>
      <c r="W300" t="s">
        <v>127</v>
      </c>
      <c r="X300" t="s">
        <v>127</v>
      </c>
      <c r="Y300" t="s">
        <v>127</v>
      </c>
      <c r="Z300" t="s">
        <v>127</v>
      </c>
      <c r="AA300" t="s">
        <v>127</v>
      </c>
      <c r="AB300" t="s">
        <v>127</v>
      </c>
      <c r="AC300" t="s">
        <v>127</v>
      </c>
      <c r="AD300" t="s">
        <v>127</v>
      </c>
      <c r="AE300" t="s">
        <v>127</v>
      </c>
      <c r="AF300" t="s">
        <v>127</v>
      </c>
      <c r="AG300" t="s">
        <v>127</v>
      </c>
      <c r="AH300" t="s">
        <v>127</v>
      </c>
      <c r="AI300" t="s">
        <v>127</v>
      </c>
      <c r="AJ300" t="s">
        <v>127</v>
      </c>
      <c r="AK300" t="s">
        <v>127</v>
      </c>
      <c r="AL300" t="s">
        <v>127</v>
      </c>
      <c r="AM300">
        <v>391</v>
      </c>
      <c r="AN300">
        <v>198</v>
      </c>
      <c r="AO300">
        <v>0.50639389999999995</v>
      </c>
      <c r="AP300">
        <v>161</v>
      </c>
      <c r="AQ300">
        <v>0.8131313</v>
      </c>
      <c r="AR300">
        <v>187</v>
      </c>
      <c r="AS300">
        <v>0.94444439999999996</v>
      </c>
      <c r="AT300">
        <v>124</v>
      </c>
      <c r="AU300">
        <v>0.66310159999999996</v>
      </c>
      <c r="AV300" t="s">
        <v>127</v>
      </c>
      <c r="AW300">
        <v>161</v>
      </c>
      <c r="AX300">
        <v>0.4149485</v>
      </c>
      <c r="AY300" t="s">
        <v>127</v>
      </c>
      <c r="AZ300">
        <v>1</v>
      </c>
      <c r="BA300">
        <v>151</v>
      </c>
      <c r="BB300">
        <v>0.93788819999999995</v>
      </c>
      <c r="BC300">
        <v>103</v>
      </c>
      <c r="BD300">
        <v>0.68211920000000004</v>
      </c>
      <c r="BE300" t="s">
        <v>127</v>
      </c>
      <c r="BF300">
        <v>0</v>
      </c>
      <c r="BG300" t="s">
        <v>127</v>
      </c>
      <c r="BH300">
        <v>0</v>
      </c>
      <c r="BI300">
        <v>0</v>
      </c>
      <c r="BJ300">
        <v>0</v>
      </c>
      <c r="BK300">
        <v>0</v>
      </c>
      <c r="BL300">
        <v>0</v>
      </c>
      <c r="BM300">
        <v>0</v>
      </c>
    </row>
    <row r="301" spans="1:65" x14ac:dyDescent="0.25">
      <c r="A301" t="s">
        <v>720</v>
      </c>
      <c r="B301" t="s">
        <v>721</v>
      </c>
      <c r="C301">
        <v>695</v>
      </c>
      <c r="D301">
        <v>605</v>
      </c>
      <c r="E301">
        <v>0.87050360000000004</v>
      </c>
      <c r="F301">
        <v>408</v>
      </c>
      <c r="G301">
        <v>0.67438019999999999</v>
      </c>
      <c r="H301">
        <v>582</v>
      </c>
      <c r="I301">
        <v>0.96198349999999999</v>
      </c>
      <c r="J301">
        <v>381</v>
      </c>
      <c r="K301">
        <v>0.65463919999999998</v>
      </c>
      <c r="L301">
        <v>318</v>
      </c>
      <c r="M301">
        <v>256</v>
      </c>
      <c r="N301">
        <v>0.80503139999999995</v>
      </c>
      <c r="O301">
        <v>169</v>
      </c>
      <c r="P301">
        <v>0.66015630000000003</v>
      </c>
      <c r="Q301">
        <v>243</v>
      </c>
      <c r="R301">
        <v>0.94921880000000003</v>
      </c>
      <c r="S301">
        <v>170</v>
      </c>
      <c r="T301">
        <v>0.69958849999999995</v>
      </c>
      <c r="U301">
        <v>318</v>
      </c>
      <c r="V301">
        <v>169</v>
      </c>
      <c r="W301">
        <v>0.53144650000000004</v>
      </c>
      <c r="X301">
        <v>169</v>
      </c>
      <c r="Y301">
        <v>1</v>
      </c>
      <c r="Z301">
        <v>163</v>
      </c>
      <c r="AA301">
        <v>0.96449700000000005</v>
      </c>
      <c r="AB301">
        <v>109</v>
      </c>
      <c r="AC301">
        <v>0.66871170000000002</v>
      </c>
      <c r="AD301">
        <v>0</v>
      </c>
      <c r="AE301">
        <v>0</v>
      </c>
      <c r="AF301">
        <v>0</v>
      </c>
      <c r="AG301">
        <v>0</v>
      </c>
      <c r="AH301">
        <v>0</v>
      </c>
      <c r="AI301">
        <v>0</v>
      </c>
      <c r="AJ301">
        <v>0</v>
      </c>
      <c r="AK301">
        <v>0</v>
      </c>
      <c r="AL301">
        <v>0</v>
      </c>
      <c r="AM301">
        <v>377</v>
      </c>
      <c r="AN301">
        <v>349</v>
      </c>
      <c r="AO301">
        <v>0.92572940000000004</v>
      </c>
      <c r="AP301">
        <v>239</v>
      </c>
      <c r="AQ301">
        <v>0.68481380000000003</v>
      </c>
      <c r="AR301">
        <v>339</v>
      </c>
      <c r="AS301">
        <v>0.97134670000000001</v>
      </c>
      <c r="AT301">
        <v>211</v>
      </c>
      <c r="AU301">
        <v>0.6224189</v>
      </c>
      <c r="AV301" t="s">
        <v>127</v>
      </c>
      <c r="AW301" t="s">
        <v>127</v>
      </c>
      <c r="AX301" t="s">
        <v>127</v>
      </c>
      <c r="AY301" t="s">
        <v>127</v>
      </c>
      <c r="AZ301" t="s">
        <v>127</v>
      </c>
      <c r="BA301" t="s">
        <v>127</v>
      </c>
      <c r="BB301" t="s">
        <v>127</v>
      </c>
      <c r="BC301" t="s">
        <v>127</v>
      </c>
      <c r="BD301" t="s">
        <v>127</v>
      </c>
      <c r="BE301" t="s">
        <v>127</v>
      </c>
      <c r="BF301" t="s">
        <v>127</v>
      </c>
      <c r="BG301" t="s">
        <v>127</v>
      </c>
      <c r="BH301" t="s">
        <v>127</v>
      </c>
      <c r="BI301" t="s">
        <v>127</v>
      </c>
      <c r="BJ301" t="s">
        <v>127</v>
      </c>
      <c r="BK301" t="s">
        <v>127</v>
      </c>
      <c r="BL301" t="s">
        <v>127</v>
      </c>
      <c r="BM301" t="s">
        <v>127</v>
      </c>
    </row>
    <row r="302" spans="1:65" x14ac:dyDescent="0.25">
      <c r="A302" t="s">
        <v>722</v>
      </c>
      <c r="B302" t="s">
        <v>723</v>
      </c>
      <c r="C302">
        <v>711</v>
      </c>
      <c r="D302">
        <v>352</v>
      </c>
      <c r="E302">
        <v>0.4950774</v>
      </c>
      <c r="F302">
        <v>213</v>
      </c>
      <c r="G302">
        <v>0.60511360000000003</v>
      </c>
      <c r="H302">
        <v>315</v>
      </c>
      <c r="I302">
        <v>0.89488639999999997</v>
      </c>
      <c r="J302">
        <v>189</v>
      </c>
      <c r="K302">
        <v>0.6</v>
      </c>
      <c r="L302">
        <v>361</v>
      </c>
      <c r="M302">
        <v>187</v>
      </c>
      <c r="N302">
        <v>0.51800550000000001</v>
      </c>
      <c r="O302">
        <v>122</v>
      </c>
      <c r="P302">
        <v>0.65240640000000005</v>
      </c>
      <c r="Q302">
        <v>176</v>
      </c>
      <c r="R302">
        <v>0.94117649999999997</v>
      </c>
      <c r="S302">
        <v>99</v>
      </c>
      <c r="T302">
        <v>0.5625</v>
      </c>
      <c r="U302">
        <v>329</v>
      </c>
      <c r="V302">
        <v>110</v>
      </c>
      <c r="W302">
        <v>0.33434649999999999</v>
      </c>
      <c r="X302">
        <v>110</v>
      </c>
      <c r="Y302">
        <v>1</v>
      </c>
      <c r="Z302">
        <v>101</v>
      </c>
      <c r="AA302">
        <v>0.91818180000000005</v>
      </c>
      <c r="AB302">
        <v>58</v>
      </c>
      <c r="AC302">
        <v>0.57425740000000003</v>
      </c>
      <c r="AD302">
        <v>32</v>
      </c>
      <c r="AE302">
        <v>12</v>
      </c>
      <c r="AF302">
        <v>0.375</v>
      </c>
      <c r="AG302">
        <v>12</v>
      </c>
      <c r="AH302">
        <v>1</v>
      </c>
      <c r="AI302">
        <v>12</v>
      </c>
      <c r="AJ302">
        <v>1</v>
      </c>
      <c r="AK302">
        <v>6</v>
      </c>
      <c r="AL302">
        <v>0.5</v>
      </c>
      <c r="AM302">
        <v>350</v>
      </c>
      <c r="AN302">
        <v>165</v>
      </c>
      <c r="AO302">
        <v>0.47142859999999998</v>
      </c>
      <c r="AP302">
        <v>91</v>
      </c>
      <c r="AQ302">
        <v>0.55151519999999998</v>
      </c>
      <c r="AR302">
        <v>139</v>
      </c>
      <c r="AS302">
        <v>0.84242419999999996</v>
      </c>
      <c r="AT302">
        <v>90</v>
      </c>
      <c r="AU302">
        <v>0.647482</v>
      </c>
      <c r="AV302">
        <v>327</v>
      </c>
      <c r="AW302">
        <v>85</v>
      </c>
      <c r="AX302">
        <v>0.25993880000000003</v>
      </c>
      <c r="AY302">
        <v>85</v>
      </c>
      <c r="AZ302">
        <v>1</v>
      </c>
      <c r="BA302">
        <v>74</v>
      </c>
      <c r="BB302">
        <v>0.87058820000000003</v>
      </c>
      <c r="BC302">
        <v>49</v>
      </c>
      <c r="BD302">
        <v>0.66216220000000003</v>
      </c>
      <c r="BE302">
        <v>23</v>
      </c>
      <c r="BF302">
        <v>6</v>
      </c>
      <c r="BG302">
        <v>0.26086959999999998</v>
      </c>
      <c r="BH302">
        <v>6</v>
      </c>
      <c r="BI302">
        <v>1</v>
      </c>
      <c r="BJ302">
        <v>5</v>
      </c>
      <c r="BK302">
        <v>0.83333330000000005</v>
      </c>
      <c r="BL302">
        <v>3</v>
      </c>
      <c r="BM302">
        <v>0.6</v>
      </c>
    </row>
    <row r="303" spans="1:65" x14ac:dyDescent="0.25">
      <c r="A303" t="s">
        <v>724</v>
      </c>
      <c r="B303" t="s">
        <v>725</v>
      </c>
      <c r="C303">
        <v>2177</v>
      </c>
      <c r="D303">
        <v>2746</v>
      </c>
      <c r="E303">
        <v>1.2613688999999999</v>
      </c>
      <c r="F303">
        <v>1769</v>
      </c>
      <c r="G303">
        <v>0.64420980000000005</v>
      </c>
      <c r="H303">
        <v>2488</v>
      </c>
      <c r="I303">
        <v>0.9060452</v>
      </c>
      <c r="J303">
        <v>80</v>
      </c>
      <c r="K303">
        <v>3.2154299999999997E-2</v>
      </c>
      <c r="L303">
        <v>1194</v>
      </c>
      <c r="M303">
        <v>1490</v>
      </c>
      <c r="N303">
        <v>1.2479062000000001</v>
      </c>
      <c r="O303">
        <v>947</v>
      </c>
      <c r="P303">
        <v>0.63557050000000004</v>
      </c>
      <c r="Q303">
        <v>1395</v>
      </c>
      <c r="R303">
        <v>0.93624160000000001</v>
      </c>
      <c r="S303">
        <v>50</v>
      </c>
      <c r="T303">
        <v>3.5842300000000001E-2</v>
      </c>
      <c r="U303">
        <v>1018</v>
      </c>
      <c r="V303">
        <v>840</v>
      </c>
      <c r="W303">
        <v>0.82514730000000003</v>
      </c>
      <c r="X303">
        <v>840</v>
      </c>
      <c r="Y303">
        <v>1</v>
      </c>
      <c r="Z303">
        <v>786</v>
      </c>
      <c r="AA303">
        <v>0.9357143</v>
      </c>
      <c r="AB303">
        <v>26</v>
      </c>
      <c r="AC303">
        <v>3.3078900000000001E-2</v>
      </c>
      <c r="AD303">
        <v>176</v>
      </c>
      <c r="AE303">
        <v>107</v>
      </c>
      <c r="AF303">
        <v>0.60795449999999995</v>
      </c>
      <c r="AG303">
        <v>107</v>
      </c>
      <c r="AH303">
        <v>1</v>
      </c>
      <c r="AI303">
        <v>100</v>
      </c>
      <c r="AJ303">
        <v>0.93457939999999995</v>
      </c>
      <c r="AK303">
        <v>2</v>
      </c>
      <c r="AL303">
        <v>0.02</v>
      </c>
      <c r="AM303">
        <v>983</v>
      </c>
      <c r="AN303">
        <v>1256</v>
      </c>
      <c r="AO303">
        <v>1.2777213000000001</v>
      </c>
      <c r="AP303">
        <v>822</v>
      </c>
      <c r="AQ303">
        <v>0.6544586</v>
      </c>
      <c r="AR303">
        <v>1093</v>
      </c>
      <c r="AS303">
        <v>0.87022290000000002</v>
      </c>
      <c r="AT303">
        <v>30</v>
      </c>
      <c r="AU303">
        <v>2.74474E-2</v>
      </c>
      <c r="AV303">
        <v>895</v>
      </c>
      <c r="AW303">
        <v>770</v>
      </c>
      <c r="AX303">
        <v>0.86033519999999997</v>
      </c>
      <c r="AY303">
        <v>770</v>
      </c>
      <c r="AZ303">
        <v>1</v>
      </c>
      <c r="BA303">
        <v>676</v>
      </c>
      <c r="BB303">
        <v>0.87792210000000004</v>
      </c>
      <c r="BC303">
        <v>19</v>
      </c>
      <c r="BD303">
        <v>2.81065E-2</v>
      </c>
      <c r="BE303">
        <v>88</v>
      </c>
      <c r="BF303">
        <v>52</v>
      </c>
      <c r="BG303">
        <v>0.59090909999999996</v>
      </c>
      <c r="BH303">
        <v>52</v>
      </c>
      <c r="BI303">
        <v>1</v>
      </c>
      <c r="BJ303">
        <v>47</v>
      </c>
      <c r="BK303">
        <v>0.90384620000000004</v>
      </c>
      <c r="BL303">
        <v>1</v>
      </c>
      <c r="BM303">
        <v>2.12766E-2</v>
      </c>
    </row>
    <row r="304" spans="1:65" x14ac:dyDescent="0.25">
      <c r="A304" t="s">
        <v>726</v>
      </c>
      <c r="B304" t="s">
        <v>727</v>
      </c>
      <c r="C304">
        <v>396</v>
      </c>
      <c r="D304">
        <v>207</v>
      </c>
      <c r="E304">
        <v>0.52272730000000001</v>
      </c>
      <c r="F304">
        <v>64</v>
      </c>
      <c r="G304">
        <v>0.30917869999999997</v>
      </c>
      <c r="H304">
        <v>202</v>
      </c>
      <c r="I304">
        <v>0.97584539999999997</v>
      </c>
      <c r="J304">
        <v>104</v>
      </c>
      <c r="K304">
        <v>0.51485150000000002</v>
      </c>
      <c r="L304">
        <v>210</v>
      </c>
      <c r="M304">
        <v>117</v>
      </c>
      <c r="N304">
        <v>0.5571429</v>
      </c>
      <c r="O304">
        <v>39</v>
      </c>
      <c r="P304">
        <v>0.3333333</v>
      </c>
      <c r="Q304">
        <v>117</v>
      </c>
      <c r="R304">
        <v>1</v>
      </c>
      <c r="S304">
        <v>61</v>
      </c>
      <c r="T304">
        <v>0.52136749999999998</v>
      </c>
      <c r="U304">
        <v>198</v>
      </c>
      <c r="V304" t="s">
        <v>127</v>
      </c>
      <c r="W304" t="s">
        <v>127</v>
      </c>
      <c r="X304" t="s">
        <v>127</v>
      </c>
      <c r="Y304" t="s">
        <v>127</v>
      </c>
      <c r="Z304" t="s">
        <v>127</v>
      </c>
      <c r="AA304" t="s">
        <v>127</v>
      </c>
      <c r="AB304" t="s">
        <v>127</v>
      </c>
      <c r="AC304" t="s">
        <v>127</v>
      </c>
      <c r="AD304">
        <v>12</v>
      </c>
      <c r="AE304" t="s">
        <v>127</v>
      </c>
      <c r="AF304" t="s">
        <v>127</v>
      </c>
      <c r="AG304" t="s">
        <v>127</v>
      </c>
      <c r="AH304" t="s">
        <v>127</v>
      </c>
      <c r="AI304" t="s">
        <v>127</v>
      </c>
      <c r="AJ304" t="s">
        <v>127</v>
      </c>
      <c r="AK304" t="s">
        <v>127</v>
      </c>
      <c r="AL304" t="s">
        <v>127</v>
      </c>
      <c r="AM304">
        <v>186</v>
      </c>
      <c r="AN304">
        <v>90</v>
      </c>
      <c r="AO304">
        <v>0.483871</v>
      </c>
      <c r="AP304">
        <v>25</v>
      </c>
      <c r="AQ304">
        <v>0.27777780000000002</v>
      </c>
      <c r="AR304">
        <v>85</v>
      </c>
      <c r="AS304">
        <v>0.94444439999999996</v>
      </c>
      <c r="AT304">
        <v>43</v>
      </c>
      <c r="AU304">
        <v>0.50588239999999995</v>
      </c>
      <c r="AV304">
        <v>172</v>
      </c>
      <c r="AW304" t="s">
        <v>127</v>
      </c>
      <c r="AX304" t="s">
        <v>127</v>
      </c>
      <c r="AY304" t="s">
        <v>127</v>
      </c>
      <c r="AZ304" t="s">
        <v>127</v>
      </c>
      <c r="BA304" t="s">
        <v>127</v>
      </c>
      <c r="BB304" t="s">
        <v>127</v>
      </c>
      <c r="BC304" t="s">
        <v>127</v>
      </c>
      <c r="BD304">
        <v>0.625</v>
      </c>
      <c r="BE304">
        <v>14</v>
      </c>
      <c r="BF304" t="s">
        <v>127</v>
      </c>
      <c r="BG304" t="s">
        <v>127</v>
      </c>
      <c r="BH304" t="s">
        <v>127</v>
      </c>
      <c r="BI304" t="s">
        <v>127</v>
      </c>
      <c r="BJ304" t="s">
        <v>127</v>
      </c>
      <c r="BK304" t="s">
        <v>127</v>
      </c>
      <c r="BL304">
        <v>0</v>
      </c>
      <c r="BM304" t="s">
        <v>127</v>
      </c>
    </row>
    <row r="305" spans="1:65" x14ac:dyDescent="0.25">
      <c r="A305" t="s">
        <v>728</v>
      </c>
      <c r="B305" t="s">
        <v>729</v>
      </c>
      <c r="C305">
        <v>395</v>
      </c>
      <c r="D305">
        <v>34</v>
      </c>
      <c r="E305">
        <v>8.6075899999999997E-2</v>
      </c>
      <c r="F305">
        <v>3</v>
      </c>
      <c r="G305">
        <v>8.8235300000000003E-2</v>
      </c>
      <c r="H305">
        <v>4</v>
      </c>
      <c r="I305">
        <v>0.1176471</v>
      </c>
      <c r="J305">
        <v>4</v>
      </c>
      <c r="K305">
        <v>1</v>
      </c>
      <c r="L305">
        <v>200</v>
      </c>
      <c r="M305">
        <v>16</v>
      </c>
      <c r="N305">
        <v>0.08</v>
      </c>
      <c r="O305">
        <v>1</v>
      </c>
      <c r="P305">
        <v>6.25E-2</v>
      </c>
      <c r="Q305">
        <v>1</v>
      </c>
      <c r="R305">
        <v>6.25E-2</v>
      </c>
      <c r="S305">
        <v>1</v>
      </c>
      <c r="T305">
        <v>1</v>
      </c>
      <c r="U305">
        <v>182</v>
      </c>
      <c r="V305" t="s">
        <v>127</v>
      </c>
      <c r="W305" t="s">
        <v>127</v>
      </c>
      <c r="X305" t="s">
        <v>127</v>
      </c>
      <c r="Y305" t="s">
        <v>127</v>
      </c>
      <c r="Z305">
        <v>0</v>
      </c>
      <c r="AA305" t="s">
        <v>127</v>
      </c>
      <c r="AB305">
        <v>0</v>
      </c>
      <c r="AC305" t="s">
        <v>127</v>
      </c>
      <c r="AD305">
        <v>18</v>
      </c>
      <c r="AE305">
        <v>0</v>
      </c>
      <c r="AF305">
        <v>0</v>
      </c>
      <c r="AG305">
        <v>0</v>
      </c>
      <c r="AH305">
        <v>0</v>
      </c>
      <c r="AI305">
        <v>0</v>
      </c>
      <c r="AJ305">
        <v>0</v>
      </c>
      <c r="AK305">
        <v>0</v>
      </c>
      <c r="AL305">
        <v>0</v>
      </c>
      <c r="AM305">
        <v>195</v>
      </c>
      <c r="AN305">
        <v>18</v>
      </c>
      <c r="AO305">
        <v>9.2307700000000006E-2</v>
      </c>
      <c r="AP305">
        <v>2</v>
      </c>
      <c r="AQ305">
        <v>0.1111111</v>
      </c>
      <c r="AR305">
        <v>3</v>
      </c>
      <c r="AS305">
        <v>0.1666667</v>
      </c>
      <c r="AT305">
        <v>3</v>
      </c>
      <c r="AU305">
        <v>1</v>
      </c>
      <c r="AV305">
        <v>180</v>
      </c>
      <c r="AW305" t="s">
        <v>127</v>
      </c>
      <c r="AX305" t="s">
        <v>127</v>
      </c>
      <c r="AY305" t="s">
        <v>127</v>
      </c>
      <c r="AZ305" t="s">
        <v>127</v>
      </c>
      <c r="BA305" t="s">
        <v>127</v>
      </c>
      <c r="BB305" t="s">
        <v>127</v>
      </c>
      <c r="BC305" t="s">
        <v>127</v>
      </c>
      <c r="BD305" t="s">
        <v>127</v>
      </c>
      <c r="BE305">
        <v>15</v>
      </c>
      <c r="BF305">
        <v>0</v>
      </c>
      <c r="BG305">
        <v>0</v>
      </c>
      <c r="BH305">
        <v>0</v>
      </c>
      <c r="BI305">
        <v>0</v>
      </c>
      <c r="BJ305">
        <v>0</v>
      </c>
      <c r="BK305">
        <v>0</v>
      </c>
      <c r="BL305">
        <v>0</v>
      </c>
      <c r="BM305">
        <v>0</v>
      </c>
    </row>
    <row r="306" spans="1:65" x14ac:dyDescent="0.25">
      <c r="A306" t="s">
        <v>730</v>
      </c>
      <c r="B306" t="s">
        <v>731</v>
      </c>
      <c r="C306">
        <v>557</v>
      </c>
      <c r="D306">
        <v>339</v>
      </c>
      <c r="E306">
        <v>0.60861759999999998</v>
      </c>
      <c r="F306">
        <v>254</v>
      </c>
      <c r="G306">
        <v>0.74926250000000005</v>
      </c>
      <c r="H306">
        <v>330</v>
      </c>
      <c r="I306">
        <v>0.97345130000000002</v>
      </c>
      <c r="J306">
        <v>0</v>
      </c>
      <c r="K306">
        <v>0</v>
      </c>
      <c r="L306">
        <v>307</v>
      </c>
      <c r="M306">
        <v>177</v>
      </c>
      <c r="N306">
        <v>0.57654720000000004</v>
      </c>
      <c r="O306">
        <v>133</v>
      </c>
      <c r="P306">
        <v>0.75141239999999998</v>
      </c>
      <c r="Q306">
        <v>176</v>
      </c>
      <c r="R306">
        <v>0.99435030000000002</v>
      </c>
      <c r="S306">
        <v>0</v>
      </c>
      <c r="T306">
        <v>0</v>
      </c>
      <c r="U306">
        <v>290</v>
      </c>
      <c r="V306">
        <v>126</v>
      </c>
      <c r="W306">
        <v>0.4344828</v>
      </c>
      <c r="X306">
        <v>126</v>
      </c>
      <c r="Y306">
        <v>1</v>
      </c>
      <c r="Z306">
        <v>125</v>
      </c>
      <c r="AA306">
        <v>0.99206349999999999</v>
      </c>
      <c r="AB306">
        <v>0</v>
      </c>
      <c r="AC306">
        <v>0</v>
      </c>
      <c r="AD306">
        <v>17</v>
      </c>
      <c r="AE306">
        <v>7</v>
      </c>
      <c r="AF306">
        <v>0.41176469999999998</v>
      </c>
      <c r="AG306">
        <v>7</v>
      </c>
      <c r="AH306">
        <v>1</v>
      </c>
      <c r="AI306">
        <v>7</v>
      </c>
      <c r="AJ306">
        <v>1</v>
      </c>
      <c r="AK306">
        <v>0</v>
      </c>
      <c r="AL306">
        <v>0</v>
      </c>
      <c r="AM306">
        <v>250</v>
      </c>
      <c r="AN306">
        <v>162</v>
      </c>
      <c r="AO306">
        <v>0.64800000000000002</v>
      </c>
      <c r="AP306">
        <v>121</v>
      </c>
      <c r="AQ306">
        <v>0.74691359999999996</v>
      </c>
      <c r="AR306">
        <v>154</v>
      </c>
      <c r="AS306">
        <v>0.9506173</v>
      </c>
      <c r="AT306">
        <v>0</v>
      </c>
      <c r="AU306">
        <v>0</v>
      </c>
      <c r="AV306">
        <v>231</v>
      </c>
      <c r="AW306">
        <v>111</v>
      </c>
      <c r="AX306">
        <v>0.48051949999999999</v>
      </c>
      <c r="AY306">
        <v>111</v>
      </c>
      <c r="AZ306">
        <v>1</v>
      </c>
      <c r="BA306">
        <v>105</v>
      </c>
      <c r="BB306">
        <v>0.94594590000000001</v>
      </c>
      <c r="BC306">
        <v>0</v>
      </c>
      <c r="BD306">
        <v>0</v>
      </c>
      <c r="BE306">
        <v>19</v>
      </c>
      <c r="BF306">
        <v>10</v>
      </c>
      <c r="BG306">
        <v>0.5263158</v>
      </c>
      <c r="BH306">
        <v>10</v>
      </c>
      <c r="BI306">
        <v>1</v>
      </c>
      <c r="BJ306">
        <v>9</v>
      </c>
      <c r="BK306">
        <v>0.9</v>
      </c>
      <c r="BL306">
        <v>0</v>
      </c>
      <c r="BM306">
        <v>0</v>
      </c>
    </row>
    <row r="307" spans="1:65" x14ac:dyDescent="0.25">
      <c r="A307" t="s">
        <v>732</v>
      </c>
      <c r="B307" t="s">
        <v>1325</v>
      </c>
      <c r="C307">
        <v>436</v>
      </c>
      <c r="D307">
        <v>0</v>
      </c>
      <c r="E307">
        <v>0</v>
      </c>
      <c r="F307">
        <v>0</v>
      </c>
      <c r="G307">
        <v>0</v>
      </c>
      <c r="H307">
        <v>0</v>
      </c>
      <c r="I307">
        <v>0</v>
      </c>
      <c r="J307">
        <v>0</v>
      </c>
      <c r="K307">
        <v>0</v>
      </c>
      <c r="L307">
        <v>245</v>
      </c>
      <c r="M307">
        <v>0</v>
      </c>
      <c r="N307">
        <v>0</v>
      </c>
      <c r="O307">
        <v>0</v>
      </c>
      <c r="P307">
        <v>0</v>
      </c>
      <c r="Q307">
        <v>0</v>
      </c>
      <c r="R307">
        <v>0</v>
      </c>
      <c r="S307">
        <v>0</v>
      </c>
      <c r="T307">
        <v>0</v>
      </c>
      <c r="U307" t="s">
        <v>127</v>
      </c>
      <c r="V307">
        <v>0</v>
      </c>
      <c r="W307" t="s">
        <v>127</v>
      </c>
      <c r="X307">
        <v>0</v>
      </c>
      <c r="Y307">
        <v>0</v>
      </c>
      <c r="Z307">
        <v>0</v>
      </c>
      <c r="AA307">
        <v>0</v>
      </c>
      <c r="AB307">
        <v>0</v>
      </c>
      <c r="AC307">
        <v>0</v>
      </c>
      <c r="AD307" t="s">
        <v>127</v>
      </c>
      <c r="AE307">
        <v>0</v>
      </c>
      <c r="AF307" t="s">
        <v>127</v>
      </c>
      <c r="AG307">
        <v>0</v>
      </c>
      <c r="AH307">
        <v>0</v>
      </c>
      <c r="AI307">
        <v>0</v>
      </c>
      <c r="AJ307">
        <v>0</v>
      </c>
      <c r="AK307">
        <v>0</v>
      </c>
      <c r="AL307">
        <v>0</v>
      </c>
      <c r="AM307">
        <v>191</v>
      </c>
      <c r="AN307">
        <v>0</v>
      </c>
      <c r="AO307">
        <v>0</v>
      </c>
      <c r="AP307">
        <v>0</v>
      </c>
      <c r="AQ307">
        <v>0</v>
      </c>
      <c r="AR307">
        <v>0</v>
      </c>
      <c r="AS307">
        <v>0</v>
      </c>
      <c r="AT307">
        <v>0</v>
      </c>
      <c r="AU307">
        <v>0</v>
      </c>
      <c r="AV307" t="s">
        <v>127</v>
      </c>
      <c r="AW307">
        <v>0</v>
      </c>
      <c r="AX307">
        <v>0</v>
      </c>
      <c r="AY307" t="s">
        <v>127</v>
      </c>
      <c r="AZ307">
        <v>0</v>
      </c>
      <c r="BA307">
        <v>0</v>
      </c>
      <c r="BB307">
        <v>0</v>
      </c>
      <c r="BC307">
        <v>0</v>
      </c>
      <c r="BD307">
        <v>0</v>
      </c>
      <c r="BE307" t="s">
        <v>127</v>
      </c>
      <c r="BF307">
        <v>0</v>
      </c>
      <c r="BG307" t="s">
        <v>127</v>
      </c>
      <c r="BH307">
        <v>0</v>
      </c>
      <c r="BI307">
        <v>0</v>
      </c>
      <c r="BJ307">
        <v>0</v>
      </c>
      <c r="BK307">
        <v>0</v>
      </c>
      <c r="BL307">
        <v>0</v>
      </c>
      <c r="BM307">
        <v>0</v>
      </c>
    </row>
    <row r="322" spans="11:13" x14ac:dyDescent="0.25">
      <c r="K322" s="278"/>
      <c r="L322" s="278"/>
      <c r="M322" s="278"/>
    </row>
    <row r="323" spans="11:13" x14ac:dyDescent="0.25">
      <c r="K323" s="278"/>
      <c r="L323" s="278"/>
      <c r="M323" s="278"/>
    </row>
    <row r="324" spans="11:13" x14ac:dyDescent="0.25">
      <c r="K324" s="278"/>
      <c r="L324" s="278"/>
      <c r="M324" s="278"/>
    </row>
    <row r="325" spans="11:13" x14ac:dyDescent="0.25">
      <c r="K325" s="278"/>
      <c r="L325" s="278"/>
      <c r="M325" s="278"/>
    </row>
    <row r="326" spans="11:13" x14ac:dyDescent="0.25">
      <c r="K326" s="278"/>
      <c r="L326" s="278"/>
      <c r="M326" s="278"/>
    </row>
    <row r="327" spans="11:13" x14ac:dyDescent="0.25">
      <c r="K327" s="278"/>
      <c r="L327" s="278"/>
      <c r="M327" s="278"/>
    </row>
    <row r="329" spans="11:13" x14ac:dyDescent="0.25">
      <c r="K329" s="278"/>
      <c r="L329" s="278"/>
      <c r="M329" s="278"/>
    </row>
    <row r="330" spans="11:13" x14ac:dyDescent="0.25">
      <c r="K330" s="278"/>
      <c r="L330" s="278"/>
      <c r="M330" s="278"/>
    </row>
    <row r="331" spans="11:13" x14ac:dyDescent="0.25">
      <c r="K331" s="278"/>
      <c r="L331" s="278"/>
      <c r="M331" s="278"/>
    </row>
    <row r="332" spans="11:13" x14ac:dyDescent="0.25">
      <c r="K332" s="278"/>
      <c r="L332" s="278"/>
      <c r="M332" s="278"/>
    </row>
    <row r="333" spans="11:13" x14ac:dyDescent="0.25">
      <c r="K333" s="278"/>
      <c r="L333" s="278"/>
      <c r="M333" s="278"/>
    </row>
    <row r="334" spans="11:13" x14ac:dyDescent="0.25">
      <c r="K334" s="278"/>
      <c r="L334" s="278"/>
      <c r="M334" s="278"/>
    </row>
    <row r="335" spans="11:13" x14ac:dyDescent="0.25">
      <c r="K335" s="278"/>
      <c r="L335" s="278"/>
      <c r="M335" s="278"/>
    </row>
    <row r="336" spans="11:13" x14ac:dyDescent="0.25">
      <c r="K336" s="278"/>
      <c r="L336" s="278"/>
      <c r="M336" s="278"/>
    </row>
    <row r="337" spans="11:47" x14ac:dyDescent="0.25">
      <c r="K337" s="278"/>
      <c r="L337" s="278"/>
      <c r="M337" s="278"/>
    </row>
    <row r="338" spans="11:47" x14ac:dyDescent="0.25">
      <c r="K338" s="278"/>
      <c r="L338" s="278"/>
      <c r="M338" s="278"/>
    </row>
    <row r="339" spans="11:47" x14ac:dyDescent="0.25">
      <c r="K339" s="278"/>
      <c r="L339" s="278"/>
      <c r="M339" s="278"/>
    </row>
    <row r="340" spans="11:47" x14ac:dyDescent="0.25">
      <c r="K340" s="278"/>
      <c r="L340" s="278"/>
      <c r="M340" s="278"/>
    </row>
    <row r="341" spans="11:47" x14ac:dyDescent="0.25">
      <c r="K341" s="278"/>
      <c r="L341" s="278"/>
      <c r="M341" s="278"/>
    </row>
    <row r="342" spans="11:47" x14ac:dyDescent="0.25">
      <c r="K342" s="278"/>
      <c r="L342" s="278"/>
      <c r="M342" s="278"/>
    </row>
    <row r="343" spans="11:47" x14ac:dyDescent="0.25">
      <c r="K343" s="278"/>
      <c r="L343" s="278"/>
      <c r="M343" s="278"/>
    </row>
    <row r="344" spans="11:47" x14ac:dyDescent="0.25">
      <c r="K344" s="278"/>
      <c r="L344" s="278"/>
      <c r="M344" s="278"/>
      <c r="N344" s="275"/>
      <c r="P344" s="275"/>
      <c r="R344" s="275"/>
      <c r="T344" s="275"/>
      <c r="W344" s="275"/>
      <c r="Y344" s="275"/>
      <c r="AA344" s="275"/>
      <c r="AC344" s="275"/>
      <c r="AF344" s="275"/>
      <c r="AH344" s="275"/>
      <c r="AJ344" s="275"/>
      <c r="AL344" s="275"/>
      <c r="AO344" s="275"/>
      <c r="AQ344" s="275"/>
      <c r="AS344" s="275"/>
      <c r="AU344" s="275"/>
    </row>
    <row r="345" spans="11:47" x14ac:dyDescent="0.25">
      <c r="K345" s="278"/>
      <c r="L345" s="278"/>
      <c r="M345" s="278"/>
      <c r="N345" s="275"/>
      <c r="P345" s="275"/>
      <c r="R345" s="275"/>
      <c r="T345" s="275"/>
      <c r="W345" s="275"/>
      <c r="Y345" s="275"/>
      <c r="AA345" s="275"/>
      <c r="AC345" s="275"/>
      <c r="AF345" s="275"/>
      <c r="AH345" s="275"/>
      <c r="AJ345" s="275"/>
      <c r="AL345" s="275"/>
      <c r="AO345" s="275"/>
      <c r="AQ345" s="275"/>
      <c r="AS345" s="275"/>
      <c r="AU345" s="275"/>
    </row>
    <row r="346" spans="11:47" x14ac:dyDescent="0.25">
      <c r="K346" s="278"/>
      <c r="L346" s="278"/>
      <c r="M346" s="278"/>
      <c r="N346" s="275"/>
      <c r="P346" s="275"/>
      <c r="R346" s="275"/>
      <c r="T346" s="275"/>
      <c r="W346" s="275"/>
      <c r="Y346" s="275"/>
      <c r="AA346" s="275"/>
      <c r="AC346" s="275"/>
      <c r="AF346" s="275"/>
      <c r="AH346" s="275"/>
      <c r="AJ346" s="275"/>
      <c r="AL346" s="275"/>
      <c r="AO346" s="275"/>
      <c r="AQ346" s="275"/>
      <c r="AS346" s="275"/>
      <c r="AU346" s="275"/>
    </row>
    <row r="347" spans="11:47" x14ac:dyDescent="0.25">
      <c r="K347" s="278"/>
      <c r="L347" s="278"/>
      <c r="M347" s="278"/>
      <c r="N347" s="275"/>
      <c r="P347" s="275"/>
      <c r="R347" s="275"/>
      <c r="T347" s="275"/>
      <c r="W347" s="275"/>
      <c r="Y347" s="275"/>
      <c r="AA347" s="275"/>
      <c r="AC347" s="275"/>
      <c r="AF347" s="275"/>
      <c r="AH347" s="275"/>
      <c r="AJ347" s="275"/>
      <c r="AL347" s="275"/>
      <c r="AO347" s="275"/>
      <c r="AQ347" s="275"/>
      <c r="AS347" s="275"/>
      <c r="AU347" s="275"/>
    </row>
    <row r="348" spans="11:47" x14ac:dyDescent="0.25">
      <c r="K348" s="278"/>
      <c r="L348" s="278"/>
      <c r="M348" s="278"/>
      <c r="N348" s="275"/>
      <c r="P348" s="275"/>
      <c r="R348" s="275"/>
      <c r="T348" s="275"/>
      <c r="W348" s="275"/>
      <c r="Y348" s="275"/>
      <c r="AA348" s="275"/>
      <c r="AC348" s="275"/>
      <c r="AF348" s="275"/>
      <c r="AH348" s="275"/>
      <c r="AJ348" s="275"/>
      <c r="AL348" s="275"/>
      <c r="AO348" s="275"/>
      <c r="AQ348" s="275"/>
      <c r="AS348" s="275"/>
      <c r="AU348" s="275"/>
    </row>
    <row r="349" spans="11:47" x14ac:dyDescent="0.25">
      <c r="K349" s="278"/>
      <c r="L349" s="278"/>
      <c r="M349" s="278"/>
      <c r="N349" s="275"/>
      <c r="P349" s="275"/>
      <c r="R349" s="275"/>
      <c r="T349" s="275"/>
      <c r="W349" s="275"/>
      <c r="Y349" s="275"/>
      <c r="AA349" s="275"/>
      <c r="AC349" s="275"/>
      <c r="AF349" s="275"/>
      <c r="AH349" s="275"/>
      <c r="AJ349" s="275"/>
      <c r="AL349" s="275"/>
      <c r="AO349" s="275"/>
      <c r="AQ349" s="275"/>
      <c r="AS349" s="275"/>
      <c r="AU349" s="275"/>
    </row>
    <row r="350" spans="11:47" x14ac:dyDescent="0.25">
      <c r="K350" s="278"/>
      <c r="L350" s="278"/>
      <c r="M350" s="278"/>
      <c r="N350" s="275"/>
      <c r="P350" s="275"/>
      <c r="R350" s="275"/>
      <c r="T350" s="275"/>
      <c r="W350" s="275"/>
      <c r="Y350" s="275"/>
      <c r="AA350" s="275"/>
      <c r="AC350" s="275"/>
      <c r="AF350" s="275"/>
      <c r="AH350" s="275"/>
      <c r="AJ350" s="275"/>
      <c r="AL350" s="275"/>
      <c r="AO350" s="275"/>
      <c r="AQ350" s="275"/>
      <c r="AS350" s="275"/>
      <c r="AU350" s="275"/>
    </row>
    <row r="351" spans="11:47" x14ac:dyDescent="0.25">
      <c r="K351" s="278"/>
      <c r="L351" s="278"/>
      <c r="M351" s="278"/>
      <c r="N351" s="275"/>
      <c r="P351" s="275"/>
      <c r="R351" s="275"/>
      <c r="T351" s="275"/>
      <c r="W351" s="275"/>
      <c r="Y351" s="275"/>
      <c r="AA351" s="275"/>
      <c r="AC351" s="275"/>
      <c r="AF351" s="275"/>
      <c r="AH351" s="275"/>
      <c r="AJ351" s="275"/>
      <c r="AL351" s="275"/>
      <c r="AO351" s="275"/>
      <c r="AQ351" s="275"/>
      <c r="AS351" s="275"/>
      <c r="AU351" s="275"/>
    </row>
    <row r="352" spans="11:47" x14ac:dyDescent="0.25">
      <c r="K352" s="278"/>
      <c r="L352" s="278"/>
      <c r="M352" s="278"/>
      <c r="N352" s="275"/>
      <c r="P352" s="275"/>
      <c r="R352" s="275"/>
      <c r="T352" s="275"/>
      <c r="W352" s="275"/>
      <c r="Y352" s="275"/>
      <c r="AA352" s="275"/>
      <c r="AC352" s="275"/>
      <c r="AF352" s="275"/>
      <c r="AH352" s="275"/>
      <c r="AJ352" s="275"/>
      <c r="AL352" s="275"/>
      <c r="AO352" s="275"/>
      <c r="AQ352" s="275"/>
      <c r="AS352" s="275"/>
      <c r="AU352" s="275"/>
    </row>
    <row r="353" spans="11:47" x14ac:dyDescent="0.25">
      <c r="K353" s="278"/>
      <c r="L353" s="278"/>
      <c r="M353" s="278"/>
      <c r="N353" s="275"/>
      <c r="P353" s="275"/>
      <c r="R353" s="275"/>
      <c r="T353" s="275"/>
      <c r="W353" s="275"/>
      <c r="Y353" s="275"/>
      <c r="AA353" s="275"/>
      <c r="AC353" s="275"/>
      <c r="AF353" s="275"/>
      <c r="AH353" s="275"/>
      <c r="AJ353" s="275"/>
      <c r="AL353" s="275"/>
      <c r="AO353" s="275"/>
      <c r="AQ353" s="275"/>
      <c r="AS353" s="275"/>
      <c r="AU353" s="275"/>
    </row>
    <row r="354" spans="11:47" x14ac:dyDescent="0.25">
      <c r="K354" s="278"/>
      <c r="L354" s="278"/>
      <c r="M354" s="278"/>
      <c r="N354" s="275"/>
      <c r="P354" s="275"/>
      <c r="R354" s="275"/>
      <c r="T354" s="275"/>
      <c r="W354" s="275"/>
      <c r="Y354" s="275"/>
      <c r="AA354" s="275"/>
      <c r="AC354" s="275"/>
      <c r="AF354" s="275"/>
      <c r="AH354" s="275"/>
      <c r="AJ354" s="275"/>
      <c r="AL354" s="275"/>
      <c r="AO354" s="275"/>
      <c r="AQ354" s="275"/>
      <c r="AS354" s="275"/>
      <c r="AU354" s="275"/>
    </row>
    <row r="355" spans="11:47" x14ac:dyDescent="0.25">
      <c r="K355" s="278"/>
      <c r="L355" s="278"/>
      <c r="M355" s="278"/>
    </row>
    <row r="356" spans="11:47" x14ac:dyDescent="0.25">
      <c r="K356" s="278"/>
      <c r="L356" s="278"/>
      <c r="M356" s="278"/>
    </row>
    <row r="357" spans="11:47" x14ac:dyDescent="0.25">
      <c r="K357" s="278"/>
      <c r="L357" s="278"/>
      <c r="M357" s="278"/>
    </row>
    <row r="358" spans="11:47" x14ac:dyDescent="0.25">
      <c r="K358" s="278"/>
      <c r="L358" s="278"/>
      <c r="M358" s="278"/>
    </row>
    <row r="359" spans="11:47" x14ac:dyDescent="0.25">
      <c r="K359" s="278"/>
      <c r="L359" s="278"/>
      <c r="M359" s="278"/>
    </row>
    <row r="360" spans="11:47" x14ac:dyDescent="0.25">
      <c r="K360" s="278"/>
      <c r="L360" s="278"/>
      <c r="M360" s="278"/>
    </row>
    <row r="361" spans="11:47" x14ac:dyDescent="0.25">
      <c r="K361" s="278"/>
      <c r="L361" s="278"/>
      <c r="M361" s="278"/>
    </row>
    <row r="362" spans="11:47" x14ac:dyDescent="0.25">
      <c r="K362" s="278"/>
      <c r="L362" s="278"/>
      <c r="M362" s="278"/>
    </row>
    <row r="363" spans="11:47" x14ac:dyDescent="0.25">
      <c r="K363" s="278"/>
      <c r="L363" s="278"/>
      <c r="M363" s="278"/>
    </row>
    <row r="364" spans="11:47" x14ac:dyDescent="0.25">
      <c r="K364" s="278"/>
      <c r="L364" s="278"/>
      <c r="M364" s="278"/>
    </row>
    <row r="365" spans="11:47" x14ac:dyDescent="0.25">
      <c r="K365" s="278"/>
      <c r="L365" s="278"/>
      <c r="M365" s="278"/>
    </row>
    <row r="366" spans="11:47" x14ac:dyDescent="0.25">
      <c r="K366" s="278"/>
      <c r="L366" s="278"/>
      <c r="M366" s="278"/>
      <c r="N366" s="200"/>
      <c r="O366" s="199"/>
      <c r="P366" s="200"/>
      <c r="Q366" s="199"/>
      <c r="R366" s="200"/>
      <c r="S366" s="199"/>
      <c r="T366" s="200"/>
      <c r="U366" s="199"/>
      <c r="V366" s="199"/>
      <c r="W366" s="200"/>
      <c r="X366" s="199"/>
      <c r="Y366" s="200"/>
      <c r="Z366" s="199"/>
      <c r="AA366" s="200"/>
      <c r="AB366" s="199"/>
      <c r="AC366" s="200"/>
      <c r="AD366" s="199"/>
      <c r="AE366" s="199"/>
      <c r="AF366" s="200"/>
      <c r="AG366" s="199"/>
      <c r="AH366" s="200"/>
      <c r="AI366" s="199"/>
      <c r="AJ366" s="200"/>
      <c r="AK366" s="199"/>
      <c r="AL366" s="200"/>
      <c r="AM366" s="199"/>
      <c r="AN366" s="199"/>
      <c r="AO366" s="200"/>
      <c r="AP366" s="199"/>
      <c r="AQ366" s="200"/>
      <c r="AR366" s="199"/>
      <c r="AS366" s="200"/>
      <c r="AT366" s="199"/>
      <c r="AU366" s="200"/>
    </row>
    <row r="367" spans="11:47" x14ac:dyDescent="0.25">
      <c r="K367" s="278"/>
      <c r="L367" s="278"/>
      <c r="M367" s="278"/>
      <c r="N367" s="200"/>
      <c r="O367" s="199"/>
      <c r="P367" s="200"/>
      <c r="Q367" s="199"/>
      <c r="R367" s="200"/>
      <c r="S367" s="199"/>
      <c r="T367" s="200"/>
      <c r="U367" s="199"/>
      <c r="V367" s="199"/>
      <c r="W367" s="200"/>
      <c r="X367" s="199"/>
      <c r="Y367" s="200"/>
      <c r="Z367" s="199"/>
      <c r="AA367" s="200"/>
      <c r="AB367" s="199"/>
      <c r="AC367" s="200"/>
      <c r="AD367" s="199"/>
      <c r="AE367" s="199"/>
      <c r="AF367" s="200"/>
      <c r="AG367" s="199"/>
      <c r="AH367" s="200"/>
      <c r="AI367" s="199"/>
      <c r="AJ367" s="200"/>
      <c r="AK367" s="199"/>
      <c r="AL367" s="200"/>
      <c r="AM367" s="199"/>
      <c r="AN367" s="199"/>
      <c r="AO367" s="200"/>
      <c r="AP367" s="199"/>
      <c r="AQ367" s="200"/>
      <c r="AR367" s="199"/>
      <c r="AS367" s="200"/>
      <c r="AT367" s="199"/>
      <c r="AU367" s="200"/>
    </row>
    <row r="368" spans="11:47" x14ac:dyDescent="0.25">
      <c r="K368" s="278"/>
      <c r="L368" s="278"/>
      <c r="M368" s="278"/>
      <c r="N368" s="200"/>
      <c r="O368" s="199"/>
      <c r="P368" s="200"/>
      <c r="Q368" s="199"/>
      <c r="R368" s="200"/>
      <c r="S368" s="199"/>
      <c r="T368" s="199"/>
      <c r="U368" s="199"/>
      <c r="V368" s="199"/>
      <c r="W368" s="200"/>
      <c r="X368" s="199"/>
      <c r="Y368" s="200"/>
      <c r="Z368" s="199"/>
      <c r="AA368" s="200"/>
      <c r="AB368" s="199"/>
      <c r="AC368" s="200"/>
      <c r="AD368" s="199"/>
      <c r="AE368" s="199"/>
      <c r="AF368" s="200"/>
      <c r="AG368" s="199"/>
      <c r="AH368" s="200"/>
      <c r="AI368" s="199"/>
      <c r="AJ368" s="200"/>
      <c r="AK368" s="199"/>
      <c r="AL368" s="200"/>
      <c r="AM368" s="199"/>
      <c r="AN368" s="199"/>
      <c r="AO368" s="200"/>
      <c r="AP368" s="199"/>
      <c r="AQ368" s="200"/>
      <c r="AR368" s="199"/>
      <c r="AS368" s="200"/>
      <c r="AT368" s="199"/>
      <c r="AU368" s="199"/>
    </row>
    <row r="369" spans="11:47" x14ac:dyDescent="0.25">
      <c r="K369" s="278"/>
      <c r="L369" s="278"/>
      <c r="M369" s="278"/>
      <c r="N369" s="200"/>
      <c r="O369" s="199"/>
      <c r="P369" s="200"/>
      <c r="Q369" s="199"/>
      <c r="R369" s="200"/>
      <c r="S369" s="199"/>
      <c r="T369" s="200"/>
      <c r="U369" s="199"/>
      <c r="V369" s="199"/>
      <c r="W369" s="200"/>
      <c r="X369" s="199"/>
      <c r="Y369" s="200"/>
      <c r="Z369" s="199"/>
      <c r="AA369" s="200"/>
      <c r="AB369" s="199"/>
      <c r="AC369" s="200"/>
      <c r="AD369" s="199"/>
      <c r="AE369" s="199"/>
      <c r="AF369" s="200"/>
      <c r="AG369" s="199"/>
      <c r="AH369" s="200"/>
      <c r="AI369" s="199"/>
      <c r="AJ369" s="200"/>
      <c r="AK369" s="199"/>
      <c r="AL369" s="200"/>
      <c r="AM369" s="199"/>
      <c r="AN369" s="199"/>
      <c r="AO369" s="200"/>
      <c r="AP369" s="199"/>
      <c r="AQ369" s="200"/>
      <c r="AR369" s="199"/>
      <c r="AS369" s="200"/>
      <c r="AT369" s="199"/>
      <c r="AU369" s="200"/>
    </row>
    <row r="370" spans="11:47" x14ac:dyDescent="0.25">
      <c r="K370" s="278"/>
      <c r="L370" s="278"/>
      <c r="M370" s="278"/>
    </row>
    <row r="371" spans="11:47" x14ac:dyDescent="0.25">
      <c r="K371" s="278"/>
      <c r="L371" s="278"/>
      <c r="M371" s="278"/>
    </row>
    <row r="372" spans="11:47" x14ac:dyDescent="0.25">
      <c r="K372" s="278"/>
      <c r="L372" s="278"/>
      <c r="M372" s="278"/>
    </row>
    <row r="373" spans="11:47" x14ac:dyDescent="0.25">
      <c r="K373" s="278"/>
      <c r="L373" s="278"/>
      <c r="M373" s="278"/>
    </row>
    <row r="374" spans="11:47" x14ac:dyDescent="0.25">
      <c r="K374" s="278"/>
      <c r="L374" s="278"/>
      <c r="M374" s="278"/>
    </row>
    <row r="375" spans="11:47" x14ac:dyDescent="0.25">
      <c r="K375" s="278"/>
      <c r="L375" s="278"/>
      <c r="M375" s="278"/>
    </row>
    <row r="376" spans="11:47" x14ac:dyDescent="0.25">
      <c r="K376" s="278"/>
      <c r="L376" s="278"/>
      <c r="M376" s="278"/>
    </row>
    <row r="377" spans="11:47" x14ac:dyDescent="0.25">
      <c r="K377" s="278"/>
      <c r="L377" s="278"/>
      <c r="M377" s="278"/>
    </row>
    <row r="378" spans="11:47" x14ac:dyDescent="0.25">
      <c r="K378" s="278"/>
      <c r="L378" s="278"/>
      <c r="M378" s="278"/>
    </row>
    <row r="379" spans="11:47" x14ac:dyDescent="0.25">
      <c r="K379" s="278"/>
      <c r="L379" s="278"/>
      <c r="M379" s="278"/>
    </row>
    <row r="380" spans="11:47" x14ac:dyDescent="0.25">
      <c r="K380" s="278"/>
      <c r="L380" s="278"/>
      <c r="M380" s="278"/>
    </row>
    <row r="381" spans="11:47" x14ac:dyDescent="0.25">
      <c r="K381" s="278"/>
      <c r="L381" s="278"/>
      <c r="M381" s="278"/>
    </row>
    <row r="382" spans="11:47" x14ac:dyDescent="0.25">
      <c r="K382" s="278"/>
      <c r="L382" s="278"/>
      <c r="M382" s="278"/>
    </row>
    <row r="383" spans="11:47" x14ac:dyDescent="0.25">
      <c r="K383" s="278"/>
      <c r="L383" s="278"/>
      <c r="M383" s="278"/>
    </row>
    <row r="384" spans="11:47" x14ac:dyDescent="0.25">
      <c r="K384" s="278"/>
      <c r="L384" s="278"/>
      <c r="M384" s="278"/>
    </row>
    <row r="385" spans="11:13" x14ac:dyDescent="0.25">
      <c r="K385" s="278"/>
      <c r="L385" s="278"/>
      <c r="M385" s="278"/>
    </row>
    <row r="386" spans="11:13" x14ac:dyDescent="0.25">
      <c r="K386" s="278"/>
      <c r="L386" s="278"/>
      <c r="M386" s="278"/>
    </row>
    <row r="387" spans="11:13" x14ac:dyDescent="0.25">
      <c r="K387" s="278"/>
      <c r="L387" s="278"/>
      <c r="M387" s="278"/>
    </row>
    <row r="388" spans="11:13" x14ac:dyDescent="0.25">
      <c r="K388" s="278"/>
      <c r="L388" s="278"/>
      <c r="M388" s="278"/>
    </row>
    <row r="389" spans="11:13" x14ac:dyDescent="0.25">
      <c r="K389" s="278"/>
      <c r="L389" s="278"/>
      <c r="M389" s="278"/>
    </row>
    <row r="390" spans="11:13" x14ac:dyDescent="0.25">
      <c r="K390" s="278"/>
      <c r="L390" s="278"/>
      <c r="M390" s="278"/>
    </row>
    <row r="391" spans="11:13" x14ac:dyDescent="0.25">
      <c r="K391" s="278"/>
      <c r="L391" s="278"/>
      <c r="M391" s="278"/>
    </row>
    <row r="393" spans="11:13" x14ac:dyDescent="0.25">
      <c r="K393" s="278"/>
      <c r="L393" s="278"/>
      <c r="M393" s="278"/>
    </row>
    <row r="394" spans="11:13" x14ac:dyDescent="0.25">
      <c r="K394" s="278"/>
      <c r="L394" s="278"/>
      <c r="M394" s="278"/>
    </row>
    <row r="395" spans="11:13" x14ac:dyDescent="0.25">
      <c r="K395" s="278"/>
      <c r="L395" s="278"/>
      <c r="M395" s="278"/>
    </row>
    <row r="396" spans="11:13" x14ac:dyDescent="0.25">
      <c r="K396" s="278"/>
      <c r="L396" s="278"/>
      <c r="M396" s="278"/>
    </row>
    <row r="397" spans="11:13" x14ac:dyDescent="0.25">
      <c r="K397" s="278"/>
      <c r="L397" s="278"/>
      <c r="M397" s="278"/>
    </row>
    <row r="398" spans="11:13" x14ac:dyDescent="0.25">
      <c r="K398" s="278"/>
      <c r="L398" s="278"/>
      <c r="M398" s="278"/>
    </row>
    <row r="399" spans="11:13" x14ac:dyDescent="0.25">
      <c r="K399" s="278"/>
      <c r="L399" s="278"/>
      <c r="M399" s="278"/>
    </row>
    <row r="400" spans="11:13" x14ac:dyDescent="0.25">
      <c r="K400" s="278"/>
      <c r="L400" s="278"/>
      <c r="M400" s="278"/>
    </row>
    <row r="401" spans="11:13" x14ac:dyDescent="0.25">
      <c r="K401" s="278"/>
      <c r="L401" s="278"/>
      <c r="M401" s="278"/>
    </row>
    <row r="402" spans="11:13" x14ac:dyDescent="0.25">
      <c r="K402" s="278"/>
      <c r="L402" s="278"/>
      <c r="M402" s="278"/>
    </row>
    <row r="403" spans="11:13" x14ac:dyDescent="0.25">
      <c r="K403" s="278"/>
      <c r="L403" s="278"/>
      <c r="M403" s="278"/>
    </row>
    <row r="404" spans="11:13" x14ac:dyDescent="0.25">
      <c r="K404" s="278"/>
      <c r="L404" s="278"/>
      <c r="M404" s="278"/>
    </row>
    <row r="405" spans="11:13" x14ac:dyDescent="0.25">
      <c r="K405" s="278"/>
      <c r="L405" s="278"/>
      <c r="M405" s="278"/>
    </row>
    <row r="406" spans="11:13" x14ac:dyDescent="0.25">
      <c r="K406" s="278"/>
      <c r="L406" s="278"/>
      <c r="M406" s="278"/>
    </row>
    <row r="407" spans="11:13" x14ac:dyDescent="0.25">
      <c r="K407" s="278"/>
      <c r="L407" s="278"/>
      <c r="M407" s="278"/>
    </row>
    <row r="408" spans="11:13" x14ac:dyDescent="0.25">
      <c r="K408" s="278"/>
      <c r="L408" s="278"/>
      <c r="M408" s="278"/>
    </row>
    <row r="409" spans="11:13" x14ac:dyDescent="0.25">
      <c r="K409" s="278"/>
      <c r="L409" s="278"/>
      <c r="M409" s="278"/>
    </row>
    <row r="410" spans="11:13" x14ac:dyDescent="0.25">
      <c r="K410" s="278"/>
      <c r="L410" s="278"/>
      <c r="M410" s="278"/>
    </row>
    <row r="411" spans="11:13" x14ac:dyDescent="0.25">
      <c r="K411" s="278"/>
      <c r="L411" s="278"/>
      <c r="M411" s="278"/>
    </row>
    <row r="412" spans="11:13" x14ac:dyDescent="0.25">
      <c r="K412" s="278"/>
      <c r="L412" s="278"/>
      <c r="M412" s="278"/>
    </row>
    <row r="414" spans="11:13" x14ac:dyDescent="0.25">
      <c r="K414" s="278"/>
      <c r="L414" s="278"/>
      <c r="M414" s="278"/>
    </row>
    <row r="415" spans="11:13" x14ac:dyDescent="0.25">
      <c r="K415" s="278"/>
      <c r="L415" s="278"/>
      <c r="M415" s="278"/>
    </row>
    <row r="416" spans="11:13" x14ac:dyDescent="0.25">
      <c r="K416" s="278"/>
      <c r="L416" s="278"/>
      <c r="M416" s="278"/>
    </row>
    <row r="417" spans="11:13" x14ac:dyDescent="0.25">
      <c r="K417" s="278"/>
      <c r="L417" s="278"/>
      <c r="M417" s="278"/>
    </row>
    <row r="418" spans="11:13" x14ac:dyDescent="0.25">
      <c r="K418" s="278"/>
      <c r="L418" s="278"/>
      <c r="M418" s="278"/>
    </row>
    <row r="419" spans="11:13" x14ac:dyDescent="0.25">
      <c r="K419" s="278"/>
      <c r="L419" s="278"/>
      <c r="M419" s="278"/>
    </row>
    <row r="420" spans="11:13" x14ac:dyDescent="0.25">
      <c r="K420" s="278"/>
      <c r="L420" s="278"/>
      <c r="M420" s="278"/>
    </row>
    <row r="421" spans="11:13" x14ac:dyDescent="0.25">
      <c r="K421" s="278"/>
      <c r="L421" s="278"/>
      <c r="M421" s="278"/>
    </row>
    <row r="422" spans="11:13" x14ac:dyDescent="0.25">
      <c r="K422" s="278"/>
      <c r="L422" s="278"/>
      <c r="M422" s="278"/>
    </row>
    <row r="423" spans="11:13" x14ac:dyDescent="0.25">
      <c r="K423" s="278"/>
      <c r="L423" s="278"/>
      <c r="M423" s="278"/>
    </row>
    <row r="424" spans="11:13" x14ac:dyDescent="0.25">
      <c r="K424" s="278"/>
      <c r="L424" s="278"/>
      <c r="M424" s="278"/>
    </row>
    <row r="425" spans="11:13" x14ac:dyDescent="0.25">
      <c r="K425" s="278"/>
      <c r="L425" s="278"/>
      <c r="M425" s="278"/>
    </row>
    <row r="426" spans="11:13" x14ac:dyDescent="0.25">
      <c r="K426" s="278"/>
      <c r="L426" s="278"/>
      <c r="M426" s="278"/>
    </row>
    <row r="427" spans="11:13" x14ac:dyDescent="0.25">
      <c r="K427" s="278"/>
      <c r="L427" s="278"/>
      <c r="M427" s="278"/>
    </row>
    <row r="428" spans="11:13" x14ac:dyDescent="0.25">
      <c r="K428" s="278"/>
      <c r="L428" s="278"/>
      <c r="M428" s="278"/>
    </row>
    <row r="429" spans="11:13" x14ac:dyDescent="0.25">
      <c r="K429" s="278"/>
      <c r="L429" s="278"/>
      <c r="M429" s="278"/>
    </row>
    <row r="430" spans="11:13" x14ac:dyDescent="0.25">
      <c r="K430" s="278"/>
      <c r="L430" s="278"/>
      <c r="M430" s="278"/>
    </row>
    <row r="431" spans="11:13" x14ac:dyDescent="0.25">
      <c r="K431" s="278"/>
      <c r="L431" s="278"/>
      <c r="M431" s="278"/>
    </row>
    <row r="432" spans="11:13" x14ac:dyDescent="0.25">
      <c r="K432" s="278"/>
      <c r="L432" s="278"/>
      <c r="M432" s="278"/>
    </row>
    <row r="433" spans="11:13" x14ac:dyDescent="0.25">
      <c r="K433" s="278"/>
      <c r="L433" s="278"/>
      <c r="M433" s="278"/>
    </row>
    <row r="434" spans="11:13" x14ac:dyDescent="0.25">
      <c r="K434" s="278"/>
      <c r="L434" s="278"/>
      <c r="M434" s="278"/>
    </row>
    <row r="435" spans="11:13" x14ac:dyDescent="0.25">
      <c r="K435" s="278"/>
      <c r="L435" s="278"/>
      <c r="M435" s="278"/>
    </row>
    <row r="436" spans="11:13" x14ac:dyDescent="0.25">
      <c r="K436" s="278"/>
      <c r="L436" s="278"/>
      <c r="M436" s="278"/>
    </row>
    <row r="437" spans="11:13" x14ac:dyDescent="0.25">
      <c r="K437" s="278"/>
      <c r="L437" s="278"/>
      <c r="M437" s="278"/>
    </row>
    <row r="438" spans="11:13" x14ac:dyDescent="0.25">
      <c r="K438" s="278"/>
      <c r="L438" s="278"/>
      <c r="M438" s="278"/>
    </row>
    <row r="439" spans="11:13" x14ac:dyDescent="0.25">
      <c r="K439" s="278"/>
      <c r="L439" s="278"/>
      <c r="M439" s="278"/>
    </row>
    <row r="440" spans="11:13" x14ac:dyDescent="0.25">
      <c r="K440" s="278"/>
      <c r="L440" s="278"/>
      <c r="M440" s="278"/>
    </row>
    <row r="441" spans="11:13" x14ac:dyDescent="0.25">
      <c r="K441" s="278"/>
      <c r="L441" s="278"/>
      <c r="M441" s="278"/>
    </row>
    <row r="442" spans="11:13" x14ac:dyDescent="0.25">
      <c r="K442" s="278"/>
      <c r="L442" s="278"/>
      <c r="M442" s="278"/>
    </row>
    <row r="443" spans="11:13" x14ac:dyDescent="0.25">
      <c r="K443" s="278"/>
      <c r="L443" s="278"/>
      <c r="M443" s="278"/>
    </row>
    <row r="444" spans="11:13" x14ac:dyDescent="0.25">
      <c r="K444" s="278"/>
      <c r="L444" s="278"/>
      <c r="M444" s="278"/>
    </row>
    <row r="445" spans="11:13" x14ac:dyDescent="0.25">
      <c r="K445" s="278"/>
      <c r="L445" s="278"/>
      <c r="M445" s="278"/>
    </row>
    <row r="446" spans="11:13" x14ac:dyDescent="0.25">
      <c r="K446" s="278"/>
      <c r="L446" s="278"/>
      <c r="M446" s="278"/>
    </row>
    <row r="447" spans="11:13" x14ac:dyDescent="0.25">
      <c r="K447" s="278"/>
      <c r="L447" s="278"/>
      <c r="M447" s="278"/>
    </row>
    <row r="448" spans="11:13" x14ac:dyDescent="0.25">
      <c r="K448" s="278"/>
      <c r="L448" s="278"/>
      <c r="M448" s="278"/>
    </row>
    <row r="449" spans="11:13" x14ac:dyDescent="0.25">
      <c r="K449" s="278"/>
      <c r="L449" s="278"/>
      <c r="M449" s="278"/>
    </row>
    <row r="450" spans="11:13" x14ac:dyDescent="0.25">
      <c r="K450" s="278"/>
      <c r="L450" s="278"/>
      <c r="M450" s="278"/>
    </row>
    <row r="451" spans="11:13" x14ac:dyDescent="0.25">
      <c r="K451" s="278"/>
      <c r="L451" s="278"/>
      <c r="M451" s="278"/>
    </row>
    <row r="452" spans="11:13" x14ac:dyDescent="0.25">
      <c r="K452" s="278"/>
      <c r="L452" s="278"/>
      <c r="M452" s="278"/>
    </row>
    <row r="453" spans="11:13" x14ac:dyDescent="0.25">
      <c r="K453" s="278"/>
      <c r="L453" s="278"/>
      <c r="M453" s="278"/>
    </row>
    <row r="454" spans="11:13" x14ac:dyDescent="0.25">
      <c r="K454" s="278"/>
      <c r="L454" s="278"/>
      <c r="M454" s="278"/>
    </row>
    <row r="455" spans="11:13" x14ac:dyDescent="0.25">
      <c r="K455" s="278"/>
      <c r="L455" s="278"/>
      <c r="M455" s="278"/>
    </row>
    <row r="456" spans="11:13" x14ac:dyDescent="0.25">
      <c r="K456" s="278"/>
      <c r="L456" s="278"/>
      <c r="M456" s="278"/>
    </row>
    <row r="457" spans="11:13" x14ac:dyDescent="0.25">
      <c r="K457" s="278"/>
      <c r="L457" s="278"/>
      <c r="M457" s="278"/>
    </row>
    <row r="458" spans="11:13" x14ac:dyDescent="0.25">
      <c r="K458" s="278"/>
      <c r="L458" s="278"/>
      <c r="M458" s="278"/>
    </row>
    <row r="459" spans="11:13" x14ac:dyDescent="0.25">
      <c r="K459" s="278"/>
      <c r="L459" s="278"/>
      <c r="M459" s="278"/>
    </row>
    <row r="460" spans="11:13" x14ac:dyDescent="0.25">
      <c r="K460" s="278"/>
      <c r="L460" s="278"/>
      <c r="M460" s="278"/>
    </row>
    <row r="461" spans="11:13" x14ac:dyDescent="0.25">
      <c r="K461" s="278"/>
      <c r="L461" s="278"/>
      <c r="M461" s="278"/>
    </row>
    <row r="462" spans="11:13" x14ac:dyDescent="0.25">
      <c r="K462" s="278"/>
      <c r="L462" s="278"/>
      <c r="M462" s="278"/>
    </row>
    <row r="463" spans="11:13" x14ac:dyDescent="0.25">
      <c r="K463" s="278"/>
      <c r="L463" s="278"/>
      <c r="M463" s="278"/>
    </row>
    <row r="464" spans="11:13" x14ac:dyDescent="0.25">
      <c r="K464" s="278"/>
      <c r="L464" s="278"/>
      <c r="M464" s="278"/>
    </row>
    <row r="465" spans="11:13" x14ac:dyDescent="0.25">
      <c r="K465" s="278"/>
      <c r="L465" s="278"/>
      <c r="M465" s="278"/>
    </row>
    <row r="466" spans="11:13" x14ac:dyDescent="0.25">
      <c r="K466" s="278"/>
      <c r="L466" s="278"/>
      <c r="M466" s="278"/>
    </row>
    <row r="467" spans="11:13" x14ac:dyDescent="0.25">
      <c r="K467" s="278"/>
      <c r="L467" s="278"/>
      <c r="M467" s="278"/>
    </row>
    <row r="468" spans="11:13" x14ac:dyDescent="0.25">
      <c r="K468" s="278"/>
      <c r="L468" s="278"/>
      <c r="M468" s="278"/>
    </row>
    <row r="469" spans="11:13" x14ac:dyDescent="0.25">
      <c r="K469" s="278"/>
      <c r="L469" s="278"/>
      <c r="M469" s="278"/>
    </row>
    <row r="470" spans="11:13" x14ac:dyDescent="0.25">
      <c r="K470" s="278"/>
      <c r="L470" s="278"/>
      <c r="M470" s="278"/>
    </row>
    <row r="471" spans="11:13" x14ac:dyDescent="0.25">
      <c r="K471" s="278"/>
      <c r="L471" s="278"/>
      <c r="M471" s="278"/>
    </row>
    <row r="472" spans="11:13" x14ac:dyDescent="0.25">
      <c r="K472" s="278"/>
      <c r="L472" s="278"/>
      <c r="M472" s="278"/>
    </row>
    <row r="473" spans="11:13" x14ac:dyDescent="0.25">
      <c r="K473" s="278"/>
      <c r="L473" s="278"/>
      <c r="M473" s="278"/>
    </row>
    <row r="474" spans="11:13" x14ac:dyDescent="0.25">
      <c r="K474" s="278"/>
      <c r="L474" s="278"/>
      <c r="M474" s="278"/>
    </row>
    <row r="475" spans="11:13" x14ac:dyDescent="0.25">
      <c r="K475" s="278"/>
      <c r="L475" s="278"/>
      <c r="M475" s="278"/>
    </row>
    <row r="476" spans="11:13" x14ac:dyDescent="0.25">
      <c r="K476" s="278"/>
      <c r="L476" s="278"/>
      <c r="M476" s="278"/>
    </row>
    <row r="478" spans="11:13" x14ac:dyDescent="0.25">
      <c r="K478" s="278"/>
      <c r="L478" s="278"/>
      <c r="M478" s="278"/>
    </row>
    <row r="479" spans="11:13" x14ac:dyDescent="0.25">
      <c r="K479" s="278"/>
      <c r="L479" s="278"/>
      <c r="M479" s="278"/>
    </row>
    <row r="480" spans="11:13" x14ac:dyDescent="0.25">
      <c r="K480" s="278"/>
      <c r="L480" s="278"/>
      <c r="M480" s="278"/>
    </row>
    <row r="481" spans="11:13" x14ac:dyDescent="0.25">
      <c r="K481" s="278"/>
      <c r="L481" s="278"/>
      <c r="M481" s="278"/>
    </row>
    <row r="482" spans="11:13" x14ac:dyDescent="0.25">
      <c r="K482" s="278"/>
      <c r="L482" s="278"/>
      <c r="M482" s="278"/>
    </row>
    <row r="483" spans="11:13" x14ac:dyDescent="0.25">
      <c r="K483" s="278"/>
      <c r="L483" s="278"/>
      <c r="M483" s="278"/>
    </row>
    <row r="484" spans="11:13" x14ac:dyDescent="0.25">
      <c r="K484" s="278"/>
      <c r="L484" s="278"/>
      <c r="M484" s="278"/>
    </row>
    <row r="485" spans="11:13" x14ac:dyDescent="0.25">
      <c r="K485" s="278"/>
      <c r="L485" s="278"/>
      <c r="M485" s="278"/>
    </row>
    <row r="486" spans="11:13" x14ac:dyDescent="0.25">
      <c r="K486" s="278"/>
      <c r="L486" s="278"/>
      <c r="M486" s="278"/>
    </row>
    <row r="487" spans="11:13" x14ac:dyDescent="0.25">
      <c r="K487" s="278"/>
      <c r="L487" s="278"/>
      <c r="M487" s="278"/>
    </row>
    <row r="488" spans="11:13" x14ac:dyDescent="0.25">
      <c r="K488" s="278"/>
      <c r="L488" s="278"/>
      <c r="M488" s="278"/>
    </row>
    <row r="489" spans="11:13" x14ac:dyDescent="0.25">
      <c r="K489" s="278"/>
      <c r="L489" s="278"/>
      <c r="M489" s="278"/>
    </row>
    <row r="490" spans="11:13" x14ac:dyDescent="0.25">
      <c r="K490" s="278"/>
      <c r="L490" s="278"/>
      <c r="M490" s="278"/>
    </row>
    <row r="491" spans="11:13" x14ac:dyDescent="0.25">
      <c r="K491" s="278"/>
      <c r="L491" s="278"/>
      <c r="M491" s="278"/>
    </row>
    <row r="492" spans="11:13" x14ac:dyDescent="0.25">
      <c r="K492" s="278"/>
      <c r="L492" s="278"/>
      <c r="M492" s="278"/>
    </row>
    <row r="493" spans="11:13" x14ac:dyDescent="0.25">
      <c r="K493" s="278"/>
      <c r="L493" s="278"/>
      <c r="M493" s="278"/>
    </row>
    <row r="494" spans="11:13" x14ac:dyDescent="0.25">
      <c r="K494" s="278"/>
      <c r="L494" s="278"/>
      <c r="M494" s="278"/>
    </row>
    <row r="495" spans="11:13" x14ac:dyDescent="0.25">
      <c r="K495" s="278"/>
      <c r="L495" s="278"/>
      <c r="M495" s="278"/>
    </row>
    <row r="496" spans="11:13" x14ac:dyDescent="0.25">
      <c r="K496" s="278"/>
      <c r="L496" s="278"/>
      <c r="M496" s="278"/>
    </row>
    <row r="497" spans="11:13" x14ac:dyDescent="0.25">
      <c r="K497" s="278"/>
      <c r="L497" s="278"/>
      <c r="M497" s="278"/>
    </row>
    <row r="498" spans="11:13" x14ac:dyDescent="0.25">
      <c r="K498" s="278"/>
      <c r="L498" s="278"/>
      <c r="M498" s="278"/>
    </row>
    <row r="499" spans="11:13" x14ac:dyDescent="0.25">
      <c r="K499" s="278"/>
      <c r="L499" s="278"/>
      <c r="M499" s="278"/>
    </row>
    <row r="500" spans="11:13" x14ac:dyDescent="0.25">
      <c r="K500" s="278"/>
      <c r="L500" s="278"/>
      <c r="M500" s="278"/>
    </row>
    <row r="501" spans="11:13" x14ac:dyDescent="0.25">
      <c r="K501" s="278"/>
      <c r="L501" s="278"/>
      <c r="M501" s="278"/>
    </row>
    <row r="502" spans="11:13" x14ac:dyDescent="0.25">
      <c r="K502" s="278"/>
      <c r="L502" s="278"/>
      <c r="M502" s="278"/>
    </row>
    <row r="503" spans="11:13" x14ac:dyDescent="0.25">
      <c r="K503" s="278"/>
      <c r="L503" s="278"/>
      <c r="M503" s="278"/>
    </row>
    <row r="504" spans="11:13" x14ac:dyDescent="0.25">
      <c r="K504" s="278"/>
      <c r="L504" s="278"/>
      <c r="M504" s="278"/>
    </row>
    <row r="505" spans="11:13" x14ac:dyDescent="0.25">
      <c r="K505" s="278"/>
      <c r="L505" s="278"/>
      <c r="M505" s="278"/>
    </row>
    <row r="506" spans="11:13" x14ac:dyDescent="0.25">
      <c r="K506" s="278"/>
      <c r="L506" s="278"/>
      <c r="M506" s="278"/>
    </row>
    <row r="507" spans="11:13" x14ac:dyDescent="0.25">
      <c r="K507" s="278"/>
      <c r="L507" s="278"/>
      <c r="M507" s="278"/>
    </row>
    <row r="508" spans="11:13" x14ac:dyDescent="0.25">
      <c r="K508" s="278"/>
      <c r="L508" s="278"/>
      <c r="M508" s="278"/>
    </row>
    <row r="509" spans="11:13" x14ac:dyDescent="0.25">
      <c r="K509" s="278"/>
      <c r="L509" s="278"/>
      <c r="M509" s="278"/>
    </row>
    <row r="510" spans="11:13" x14ac:dyDescent="0.25">
      <c r="K510" s="278"/>
      <c r="L510" s="278"/>
      <c r="M510" s="278"/>
    </row>
    <row r="511" spans="11:13" x14ac:dyDescent="0.25">
      <c r="K511" s="278"/>
      <c r="L511" s="278"/>
      <c r="M511" s="278"/>
    </row>
    <row r="512" spans="11:13" x14ac:dyDescent="0.25">
      <c r="K512" s="278"/>
      <c r="L512" s="278"/>
      <c r="M512" s="278"/>
    </row>
    <row r="513" spans="11:13" x14ac:dyDescent="0.25">
      <c r="K513" s="278"/>
      <c r="L513" s="278"/>
      <c r="M513" s="278"/>
    </row>
    <row r="514" spans="11:13" x14ac:dyDescent="0.25">
      <c r="K514" s="278"/>
      <c r="L514" s="278"/>
      <c r="M514" s="278"/>
    </row>
    <row r="515" spans="11:13" x14ac:dyDescent="0.25">
      <c r="K515" s="278"/>
      <c r="L515" s="278"/>
      <c r="M515" s="278"/>
    </row>
    <row r="516" spans="11:13" x14ac:dyDescent="0.25">
      <c r="K516" s="278"/>
      <c r="L516" s="278"/>
      <c r="M516" s="278"/>
    </row>
    <row r="517" spans="11:13" x14ac:dyDescent="0.25">
      <c r="K517" s="278"/>
      <c r="L517" s="278"/>
      <c r="M517" s="278"/>
    </row>
    <row r="518" spans="11:13" x14ac:dyDescent="0.25">
      <c r="K518" s="278"/>
      <c r="L518" s="278"/>
      <c r="M518" s="278"/>
    </row>
    <row r="519" spans="11:13" x14ac:dyDescent="0.25">
      <c r="K519" s="278"/>
      <c r="L519" s="278"/>
      <c r="M519" s="278"/>
    </row>
    <row r="520" spans="11:13" x14ac:dyDescent="0.25">
      <c r="K520" s="278"/>
      <c r="L520" s="278"/>
      <c r="M520" s="278"/>
    </row>
    <row r="521" spans="11:13" x14ac:dyDescent="0.25">
      <c r="K521" s="278"/>
      <c r="L521" s="278"/>
      <c r="M521" s="278"/>
    </row>
    <row r="522" spans="11:13" x14ac:dyDescent="0.25">
      <c r="K522" s="278"/>
      <c r="L522" s="278"/>
      <c r="M522" s="278"/>
    </row>
    <row r="523" spans="11:13" x14ac:dyDescent="0.25">
      <c r="K523" s="278"/>
      <c r="L523" s="278"/>
      <c r="M523" s="278"/>
    </row>
    <row r="524" spans="11:13" x14ac:dyDescent="0.25">
      <c r="K524" s="278"/>
      <c r="L524" s="278"/>
      <c r="M524" s="278"/>
    </row>
    <row r="525" spans="11:13" x14ac:dyDescent="0.25">
      <c r="K525" s="278"/>
      <c r="L525" s="278"/>
      <c r="M525" s="278"/>
    </row>
    <row r="526" spans="11:13" x14ac:dyDescent="0.25">
      <c r="K526" s="278"/>
      <c r="L526" s="278"/>
      <c r="M526" s="278"/>
    </row>
    <row r="527" spans="11:13" x14ac:dyDescent="0.25">
      <c r="K527" s="278"/>
      <c r="L527" s="278"/>
      <c r="M527" s="278"/>
    </row>
    <row r="528" spans="11:13" x14ac:dyDescent="0.25">
      <c r="K528" s="278"/>
      <c r="L528" s="278"/>
      <c r="M528" s="278"/>
    </row>
    <row r="529" spans="11:13" x14ac:dyDescent="0.25">
      <c r="K529" s="278"/>
      <c r="L529" s="278"/>
      <c r="M529" s="278"/>
    </row>
    <row r="530" spans="11:13" x14ac:dyDescent="0.25">
      <c r="K530" s="278"/>
      <c r="L530" s="278"/>
      <c r="M530" s="278"/>
    </row>
    <row r="531" spans="11:13" x14ac:dyDescent="0.25">
      <c r="K531" s="278"/>
      <c r="L531" s="278"/>
      <c r="M531" s="278"/>
    </row>
    <row r="532" spans="11:13" x14ac:dyDescent="0.25">
      <c r="K532" s="278"/>
      <c r="L532" s="278"/>
      <c r="M532" s="278"/>
    </row>
    <row r="533" spans="11:13" x14ac:dyDescent="0.25">
      <c r="K533" s="278"/>
      <c r="L533" s="278"/>
      <c r="M533" s="278"/>
    </row>
    <row r="534" spans="11:13" x14ac:dyDescent="0.25">
      <c r="K534" s="278"/>
      <c r="L534" s="278"/>
      <c r="M534" s="278"/>
    </row>
    <row r="535" spans="11:13" x14ac:dyDescent="0.25">
      <c r="K535" s="278"/>
      <c r="L535" s="278"/>
      <c r="M535" s="278"/>
    </row>
    <row r="536" spans="11:13" x14ac:dyDescent="0.25">
      <c r="K536" s="278"/>
      <c r="L536" s="278"/>
      <c r="M536" s="278"/>
    </row>
    <row r="537" spans="11:13" x14ac:dyDescent="0.25">
      <c r="K537" s="278"/>
      <c r="L537" s="278"/>
      <c r="M537" s="278"/>
    </row>
    <row r="538" spans="11:13" x14ac:dyDescent="0.25">
      <c r="K538" s="278"/>
      <c r="L538" s="278"/>
      <c r="M538" s="278"/>
    </row>
    <row r="539" spans="11:13" x14ac:dyDescent="0.25">
      <c r="K539" s="278"/>
      <c r="L539" s="278"/>
      <c r="M539" s="278"/>
    </row>
    <row r="540" spans="11:13" x14ac:dyDescent="0.25">
      <c r="K540" s="278"/>
      <c r="L540" s="278"/>
      <c r="M540" s="278"/>
    </row>
    <row r="541" spans="11:13" x14ac:dyDescent="0.25">
      <c r="K541" s="278"/>
      <c r="L541" s="278"/>
      <c r="M541" s="278"/>
    </row>
    <row r="542" spans="11:13" x14ac:dyDescent="0.25">
      <c r="K542" s="278"/>
      <c r="L542" s="278"/>
      <c r="M542" s="278"/>
    </row>
    <row r="543" spans="11:13" x14ac:dyDescent="0.25">
      <c r="K543" s="278"/>
      <c r="L543" s="278"/>
      <c r="M543" s="278"/>
    </row>
    <row r="544" spans="11:13" x14ac:dyDescent="0.25">
      <c r="K544" s="278"/>
      <c r="L544" s="278"/>
      <c r="M544" s="278"/>
    </row>
    <row r="545" spans="11:13" x14ac:dyDescent="0.25">
      <c r="K545" s="278"/>
      <c r="L545" s="278"/>
      <c r="M545" s="278"/>
    </row>
    <row r="546" spans="11:13" x14ac:dyDescent="0.25">
      <c r="K546" s="278"/>
      <c r="L546" s="278"/>
      <c r="M546" s="278"/>
    </row>
    <row r="547" spans="11:13" x14ac:dyDescent="0.25">
      <c r="K547" s="278"/>
      <c r="L547" s="278"/>
      <c r="M547" s="278"/>
    </row>
    <row r="548" spans="11:13" x14ac:dyDescent="0.25">
      <c r="K548" s="278"/>
      <c r="L548" s="278"/>
      <c r="M548" s="278"/>
    </row>
    <row r="549" spans="11:13" x14ac:dyDescent="0.25">
      <c r="K549" s="278"/>
      <c r="L549" s="278"/>
      <c r="M549" s="278"/>
    </row>
    <row r="550" spans="11:13" x14ac:dyDescent="0.25">
      <c r="K550" s="278"/>
      <c r="L550" s="278"/>
      <c r="M550" s="278"/>
    </row>
    <row r="551" spans="11:13" x14ac:dyDescent="0.25">
      <c r="K551" s="278"/>
      <c r="L551" s="278"/>
      <c r="M551" s="278"/>
    </row>
    <row r="552" spans="11:13" x14ac:dyDescent="0.25">
      <c r="K552" s="278"/>
      <c r="L552" s="278"/>
      <c r="M552" s="278"/>
    </row>
    <row r="553" spans="11:13" x14ac:dyDescent="0.25">
      <c r="K553" s="278"/>
      <c r="L553" s="278"/>
      <c r="M553" s="278"/>
    </row>
    <row r="554" spans="11:13" x14ac:dyDescent="0.25">
      <c r="K554" s="278"/>
      <c r="L554" s="278"/>
      <c r="M554" s="278"/>
    </row>
    <row r="555" spans="11:13" x14ac:dyDescent="0.25">
      <c r="K555" s="278"/>
      <c r="L555" s="278"/>
      <c r="M555" s="278"/>
    </row>
    <row r="556" spans="11:13" x14ac:dyDescent="0.25">
      <c r="K556" s="278"/>
      <c r="L556" s="278"/>
      <c r="M556" s="278"/>
    </row>
    <row r="557" spans="11:13" x14ac:dyDescent="0.25">
      <c r="K557" s="278"/>
      <c r="L557" s="278"/>
      <c r="M557" s="278"/>
    </row>
    <row r="558" spans="11:13" x14ac:dyDescent="0.25">
      <c r="K558" s="278"/>
      <c r="L558" s="278"/>
      <c r="M558" s="278"/>
    </row>
    <row r="559" spans="11:13" x14ac:dyDescent="0.25">
      <c r="K559" s="278"/>
      <c r="L559" s="278"/>
      <c r="M559" s="278"/>
    </row>
    <row r="560" spans="11:13" x14ac:dyDescent="0.25">
      <c r="K560" s="278"/>
      <c r="L560" s="278"/>
      <c r="M560" s="278"/>
    </row>
    <row r="561" spans="11:13" x14ac:dyDescent="0.25">
      <c r="K561" s="278"/>
      <c r="L561" s="278"/>
      <c r="M561" s="278"/>
    </row>
    <row r="562" spans="11:13" x14ac:dyDescent="0.25">
      <c r="K562" s="278"/>
      <c r="L562" s="278"/>
      <c r="M562" s="278"/>
    </row>
    <row r="563" spans="11:13" x14ac:dyDescent="0.25">
      <c r="K563" s="278"/>
      <c r="L563" s="278"/>
      <c r="M563" s="278"/>
    </row>
    <row r="564" spans="11:13" x14ac:dyDescent="0.25">
      <c r="K564" s="278"/>
      <c r="L564" s="278"/>
      <c r="M564" s="278"/>
    </row>
    <row r="565" spans="11:13" x14ac:dyDescent="0.25">
      <c r="K565" s="278"/>
      <c r="L565" s="278"/>
      <c r="M565" s="278"/>
    </row>
    <row r="566" spans="11:13" x14ac:dyDescent="0.25">
      <c r="K566" s="278"/>
      <c r="L566" s="278"/>
      <c r="M566" s="278"/>
    </row>
    <row r="567" spans="11:13" x14ac:dyDescent="0.25">
      <c r="K567" s="278"/>
      <c r="L567" s="278"/>
      <c r="M567" s="278"/>
    </row>
    <row r="568" spans="11:13" x14ac:dyDescent="0.25">
      <c r="K568" s="278"/>
      <c r="L568" s="278"/>
      <c r="M568" s="278"/>
    </row>
    <row r="569" spans="11:13" x14ac:dyDescent="0.25">
      <c r="K569" s="278"/>
      <c r="L569" s="278"/>
      <c r="M569" s="278"/>
    </row>
    <row r="570" spans="11:13" x14ac:dyDescent="0.25">
      <c r="K570" s="278"/>
      <c r="L570" s="278"/>
      <c r="M570" s="278"/>
    </row>
    <row r="571" spans="11:13" x14ac:dyDescent="0.25">
      <c r="K571" s="278"/>
      <c r="L571" s="278"/>
      <c r="M571" s="278"/>
    </row>
    <row r="572" spans="11:13" x14ac:dyDescent="0.25">
      <c r="K572" s="278"/>
      <c r="L572" s="278"/>
      <c r="M572" s="278"/>
    </row>
    <row r="573" spans="11:13" x14ac:dyDescent="0.25">
      <c r="K573" s="278"/>
      <c r="L573" s="278"/>
      <c r="M573" s="278"/>
    </row>
    <row r="574" spans="11:13" x14ac:dyDescent="0.25">
      <c r="K574" s="278"/>
      <c r="L574" s="278"/>
      <c r="M574" s="278"/>
    </row>
    <row r="575" spans="11:13" x14ac:dyDescent="0.25">
      <c r="K575" s="278"/>
      <c r="L575" s="278"/>
      <c r="M575" s="278"/>
    </row>
    <row r="576" spans="11:13" x14ac:dyDescent="0.25">
      <c r="K576" s="278"/>
      <c r="L576" s="278"/>
      <c r="M576" s="278"/>
    </row>
    <row r="577" spans="11:13" x14ac:dyDescent="0.25">
      <c r="K577" s="278"/>
      <c r="L577" s="278"/>
      <c r="M577" s="278"/>
    </row>
    <row r="578" spans="11:13" x14ac:dyDescent="0.25">
      <c r="K578" s="278"/>
      <c r="L578" s="278"/>
      <c r="M578" s="278"/>
    </row>
    <row r="579" spans="11:13" x14ac:dyDescent="0.25">
      <c r="K579" s="278"/>
      <c r="L579" s="278"/>
      <c r="M579" s="278"/>
    </row>
    <row r="580" spans="11:13" x14ac:dyDescent="0.25">
      <c r="K580" s="278"/>
      <c r="L580" s="278"/>
      <c r="M580" s="278"/>
    </row>
    <row r="581" spans="11:13" x14ac:dyDescent="0.25">
      <c r="K581" s="278"/>
      <c r="L581" s="278"/>
      <c r="M581" s="278"/>
    </row>
    <row r="582" spans="11:13" x14ac:dyDescent="0.25">
      <c r="K582" s="278"/>
      <c r="L582" s="278"/>
      <c r="M582" s="278"/>
    </row>
    <row r="583" spans="11:13" x14ac:dyDescent="0.25">
      <c r="K583" s="278"/>
      <c r="L583" s="278"/>
      <c r="M583" s="278"/>
    </row>
    <row r="584" spans="11:13" x14ac:dyDescent="0.25">
      <c r="K584" s="278"/>
      <c r="L584" s="278"/>
      <c r="M584" s="278"/>
    </row>
    <row r="585" spans="11:13" x14ac:dyDescent="0.25">
      <c r="K585" s="278"/>
      <c r="L585" s="278"/>
      <c r="M585" s="278"/>
    </row>
    <row r="586" spans="11:13" x14ac:dyDescent="0.25">
      <c r="K586" s="278"/>
      <c r="L586" s="278"/>
      <c r="M586" s="278"/>
    </row>
    <row r="587" spans="11:13" x14ac:dyDescent="0.25">
      <c r="K587" s="278"/>
      <c r="L587" s="278"/>
      <c r="M587" s="278"/>
    </row>
    <row r="588" spans="11:13" x14ac:dyDescent="0.25">
      <c r="K588" s="278"/>
      <c r="L588" s="278"/>
      <c r="M588" s="278"/>
    </row>
    <row r="589" spans="11:13" x14ac:dyDescent="0.25">
      <c r="K589" s="278"/>
      <c r="L589" s="278"/>
      <c r="M589" s="278"/>
    </row>
    <row r="590" spans="11:13" x14ac:dyDescent="0.25">
      <c r="K590" s="278"/>
      <c r="L590" s="278"/>
      <c r="M590" s="278"/>
    </row>
    <row r="591" spans="11:13" x14ac:dyDescent="0.25">
      <c r="K591" s="278"/>
      <c r="L591" s="278"/>
      <c r="M591" s="278"/>
    </row>
    <row r="592" spans="11:13" x14ac:dyDescent="0.25">
      <c r="K592" s="278"/>
      <c r="L592" s="278"/>
      <c r="M592" s="278"/>
    </row>
    <row r="593" spans="11:13" x14ac:dyDescent="0.25">
      <c r="K593" s="278"/>
      <c r="L593" s="278"/>
      <c r="M593" s="278"/>
    </row>
    <row r="594" spans="11:13" x14ac:dyDescent="0.25">
      <c r="K594" s="278"/>
      <c r="L594" s="278"/>
      <c r="M594" s="278"/>
    </row>
    <row r="595" spans="11:13" x14ac:dyDescent="0.25">
      <c r="K595" s="278"/>
      <c r="L595" s="278"/>
      <c r="M595" s="278"/>
    </row>
    <row r="596" spans="11:13" x14ac:dyDescent="0.25">
      <c r="K596" s="278"/>
      <c r="L596" s="278"/>
      <c r="M596" s="278"/>
    </row>
    <row r="597" spans="11:13" x14ac:dyDescent="0.25">
      <c r="K597" s="278"/>
      <c r="L597" s="278"/>
      <c r="M597" s="278"/>
    </row>
    <row r="598" spans="11:13" x14ac:dyDescent="0.25">
      <c r="K598" s="278"/>
      <c r="L598" s="278"/>
      <c r="M598" s="278"/>
    </row>
    <row r="599" spans="11:13" x14ac:dyDescent="0.25">
      <c r="K599" s="278"/>
      <c r="L599" s="278"/>
      <c r="M599" s="278"/>
    </row>
    <row r="600" spans="11:13" x14ac:dyDescent="0.25">
      <c r="K600" s="278"/>
      <c r="L600" s="278"/>
      <c r="M600" s="278"/>
    </row>
    <row r="610" spans="11:13" x14ac:dyDescent="0.25">
      <c r="K610" s="278"/>
      <c r="L610" s="278"/>
      <c r="M610" s="278"/>
    </row>
    <row r="612" spans="11:13" x14ac:dyDescent="0.25">
      <c r="K612" s="278"/>
      <c r="L612" s="278"/>
      <c r="M612" s="278"/>
    </row>
    <row r="613" spans="11:13" x14ac:dyDescent="0.25">
      <c r="K613" s="278"/>
      <c r="L613" s="278"/>
      <c r="M613" s="278"/>
    </row>
    <row r="615" spans="11:13" x14ac:dyDescent="0.25">
      <c r="K615" s="278"/>
      <c r="L615" s="278"/>
      <c r="M615" s="278"/>
    </row>
    <row r="617" spans="11:13" x14ac:dyDescent="0.25">
      <c r="K617" s="278"/>
      <c r="L617" s="278"/>
      <c r="M617" s="278"/>
    </row>
    <row r="623" spans="11:13" x14ac:dyDescent="0.25">
      <c r="K623" s="278"/>
      <c r="L623" s="278"/>
      <c r="M623" s="278"/>
    </row>
    <row r="630" spans="11:13" x14ac:dyDescent="0.25">
      <c r="K630" s="278"/>
      <c r="L630" s="278"/>
      <c r="M630" s="278"/>
    </row>
    <row r="631" spans="11:13" x14ac:dyDescent="0.25">
      <c r="K631" s="278"/>
      <c r="L631" s="278"/>
      <c r="M631" s="278"/>
    </row>
    <row r="634" spans="11:13" x14ac:dyDescent="0.25">
      <c r="K634" s="278"/>
      <c r="L634" s="278"/>
      <c r="M634" s="278"/>
    </row>
    <row r="635" spans="11:13" x14ac:dyDescent="0.25">
      <c r="K635" s="278"/>
      <c r="L635" s="278"/>
      <c r="M635" s="278"/>
    </row>
    <row r="637" spans="11:13" x14ac:dyDescent="0.25">
      <c r="K637" s="278"/>
      <c r="L637" s="278"/>
      <c r="M637" s="278"/>
    </row>
    <row r="641" spans="11:13" x14ac:dyDescent="0.25">
      <c r="K641" s="278"/>
      <c r="L641" s="278"/>
      <c r="M641" s="278"/>
    </row>
    <row r="642" spans="11:13" x14ac:dyDescent="0.25">
      <c r="K642" s="278"/>
      <c r="L642" s="278"/>
      <c r="M642" s="278"/>
    </row>
    <row r="644" spans="11:13" x14ac:dyDescent="0.25">
      <c r="K644" s="278"/>
      <c r="L644" s="278"/>
      <c r="M644" s="278"/>
    </row>
    <row r="645" spans="11:13" x14ac:dyDescent="0.25">
      <c r="K645" s="278"/>
      <c r="L645" s="278"/>
      <c r="M645" s="278"/>
    </row>
    <row r="646" spans="11:13" x14ac:dyDescent="0.25">
      <c r="K646" s="278"/>
      <c r="L646" s="278"/>
      <c r="M646" s="278"/>
    </row>
    <row r="649" spans="11:13" x14ac:dyDescent="0.25">
      <c r="K649" s="278"/>
      <c r="L649" s="278"/>
      <c r="M649" s="278"/>
    </row>
    <row r="651" spans="11:13" x14ac:dyDescent="0.25">
      <c r="K651" s="278"/>
      <c r="L651" s="278"/>
      <c r="M651" s="278"/>
    </row>
    <row r="658" spans="11:13" x14ac:dyDescent="0.25">
      <c r="K658" s="278"/>
      <c r="L658" s="278"/>
      <c r="M658" s="278"/>
    </row>
    <row r="659" spans="11:13" x14ac:dyDescent="0.25">
      <c r="K659" s="278"/>
      <c r="L659" s="278"/>
      <c r="M659" s="278"/>
    </row>
    <row r="660" spans="11:13" x14ac:dyDescent="0.25">
      <c r="K660" s="278"/>
      <c r="L660" s="278"/>
      <c r="M660" s="278"/>
    </row>
    <row r="666" spans="11:13" x14ac:dyDescent="0.25">
      <c r="K666" s="278"/>
      <c r="L666" s="278"/>
      <c r="M666" s="278"/>
    </row>
    <row r="680" spans="11:13" x14ac:dyDescent="0.25">
      <c r="K680" s="278"/>
      <c r="L680" s="278"/>
      <c r="M680" s="278"/>
    </row>
    <row r="681" spans="11:13" x14ac:dyDescent="0.25">
      <c r="K681" s="278"/>
      <c r="L681" s="278"/>
      <c r="M681" s="278"/>
    </row>
    <row r="687" spans="11:13" x14ac:dyDescent="0.25">
      <c r="K687" s="278"/>
      <c r="L687" s="278"/>
      <c r="M687" s="278"/>
    </row>
    <row r="691" spans="11:13" x14ac:dyDescent="0.25">
      <c r="K691" s="278"/>
      <c r="L691" s="278"/>
      <c r="M691" s="278"/>
    </row>
    <row r="692" spans="11:13" x14ac:dyDescent="0.25">
      <c r="K692" s="278"/>
      <c r="L692" s="278"/>
      <c r="M692" s="278"/>
    </row>
    <row r="693" spans="11:13" x14ac:dyDescent="0.25">
      <c r="K693" s="278"/>
      <c r="L693" s="278"/>
      <c r="M693" s="278"/>
    </row>
    <row r="695" spans="11:13" x14ac:dyDescent="0.25">
      <c r="K695" s="278"/>
      <c r="L695" s="278"/>
      <c r="M695" s="278"/>
    </row>
    <row r="702" spans="11:13" x14ac:dyDescent="0.25">
      <c r="K702" s="278"/>
      <c r="L702" s="278"/>
      <c r="M702" s="278"/>
    </row>
    <row r="704" spans="11:13" x14ac:dyDescent="0.25">
      <c r="K704" s="278"/>
      <c r="L704" s="278"/>
      <c r="M704" s="278"/>
    </row>
    <row r="717" spans="11:13" x14ac:dyDescent="0.25">
      <c r="K717" s="278"/>
      <c r="L717" s="278"/>
      <c r="M717" s="278"/>
    </row>
    <row r="718" spans="11:13" x14ac:dyDescent="0.25">
      <c r="K718" s="278"/>
      <c r="L718" s="278"/>
      <c r="M718" s="278"/>
    </row>
    <row r="723" spans="11:13" x14ac:dyDescent="0.25">
      <c r="K723" s="278"/>
      <c r="L723" s="278"/>
      <c r="M723" s="278"/>
    </row>
    <row r="724" spans="11:13" x14ac:dyDescent="0.25">
      <c r="K724" s="278"/>
      <c r="L724" s="278"/>
      <c r="M724" s="278"/>
    </row>
    <row r="725" spans="11:13" x14ac:dyDescent="0.25">
      <c r="K725" s="278"/>
      <c r="L725" s="278"/>
      <c r="M725" s="278"/>
    </row>
    <row r="729" spans="11:13" x14ac:dyDescent="0.25">
      <c r="K729" s="278"/>
      <c r="L729" s="278"/>
      <c r="M729" s="278"/>
    </row>
    <row r="737" spans="11:13" x14ac:dyDescent="0.25">
      <c r="K737" s="278"/>
      <c r="L737" s="278"/>
      <c r="M737" s="278"/>
    </row>
    <row r="747" spans="11:13" x14ac:dyDescent="0.25">
      <c r="K747" s="278"/>
      <c r="L747" s="278"/>
      <c r="M747" s="278"/>
    </row>
    <row r="749" spans="11:13" x14ac:dyDescent="0.25">
      <c r="K749" s="278"/>
      <c r="L749" s="278"/>
      <c r="M749" s="278"/>
    </row>
    <row r="750" spans="11:13" x14ac:dyDescent="0.25">
      <c r="K750" s="278"/>
      <c r="L750" s="278"/>
      <c r="M750" s="278"/>
    </row>
    <row r="751" spans="11:13" x14ac:dyDescent="0.25">
      <c r="K751" s="278"/>
      <c r="L751" s="278"/>
      <c r="M751" s="278"/>
    </row>
    <row r="752" spans="11:13" x14ac:dyDescent="0.25">
      <c r="K752" s="278"/>
      <c r="L752" s="278"/>
      <c r="M752" s="278"/>
    </row>
    <row r="759" spans="11:13" x14ac:dyDescent="0.25">
      <c r="K759" s="278"/>
      <c r="L759" s="278"/>
      <c r="M759" s="278"/>
    </row>
    <row r="762" spans="11:13" x14ac:dyDescent="0.25">
      <c r="K762" s="278"/>
      <c r="L762" s="278"/>
      <c r="M762" s="278"/>
    </row>
    <row r="766" spans="11:13" x14ac:dyDescent="0.25">
      <c r="K766" s="278"/>
      <c r="L766" s="278"/>
      <c r="M766" s="278"/>
    </row>
    <row r="767" spans="11:13" x14ac:dyDescent="0.25">
      <c r="K767" s="278"/>
      <c r="L767" s="278"/>
      <c r="M767" s="278"/>
    </row>
    <row r="771" spans="11:13" x14ac:dyDescent="0.25">
      <c r="K771" s="278"/>
      <c r="L771" s="278"/>
      <c r="M771" s="278"/>
    </row>
    <row r="773" spans="11:13" x14ac:dyDescent="0.25">
      <c r="K773" s="278"/>
      <c r="L773" s="278"/>
      <c r="M773" s="278"/>
    </row>
    <row r="778" spans="11:13" x14ac:dyDescent="0.25">
      <c r="K778" s="278"/>
      <c r="L778" s="278"/>
      <c r="M778" s="278"/>
    </row>
    <row r="779" spans="11:13" x14ac:dyDescent="0.25">
      <c r="K779" s="278"/>
      <c r="L779" s="278"/>
      <c r="M779" s="278"/>
    </row>
    <row r="782" spans="11:13" x14ac:dyDescent="0.25">
      <c r="K782" s="278"/>
      <c r="L782" s="278"/>
      <c r="M782" s="278"/>
    </row>
    <row r="784" spans="11:13" x14ac:dyDescent="0.25">
      <c r="K784" s="278"/>
      <c r="L784" s="278"/>
      <c r="M784" s="278"/>
    </row>
    <row r="787" spans="11:13" x14ac:dyDescent="0.25">
      <c r="K787" s="278"/>
      <c r="L787" s="278"/>
      <c r="M787" s="278"/>
    </row>
    <row r="788" spans="11:13" x14ac:dyDescent="0.25">
      <c r="K788" s="278"/>
      <c r="L788" s="278"/>
      <c r="M788" s="278"/>
    </row>
    <row r="794" spans="11:13" x14ac:dyDescent="0.25">
      <c r="K794" s="278"/>
      <c r="L794" s="278"/>
      <c r="M794" s="278"/>
    </row>
    <row r="795" spans="11:13" x14ac:dyDescent="0.25">
      <c r="K795" s="278"/>
      <c r="L795" s="278"/>
      <c r="M795" s="278"/>
    </row>
    <row r="801" spans="11:13" x14ac:dyDescent="0.25">
      <c r="K801" s="278"/>
      <c r="L801" s="278"/>
      <c r="M801" s="278"/>
    </row>
    <row r="802" spans="11:13" x14ac:dyDescent="0.25">
      <c r="K802" s="278"/>
      <c r="L802" s="278"/>
      <c r="M802" s="278"/>
    </row>
    <row r="805" spans="11:13" x14ac:dyDescent="0.25">
      <c r="K805" s="278"/>
      <c r="L805" s="278"/>
      <c r="M805" s="278"/>
    </row>
    <row r="807" spans="11:13" x14ac:dyDescent="0.25">
      <c r="K807" s="278"/>
      <c r="L807" s="278"/>
      <c r="M807" s="278"/>
    </row>
    <row r="808" spans="11:13" x14ac:dyDescent="0.25">
      <c r="K808" s="278"/>
      <c r="L808" s="278"/>
      <c r="M808" s="278"/>
    </row>
    <row r="810" spans="11:13" x14ac:dyDescent="0.25">
      <c r="K810" s="278"/>
      <c r="L810" s="278"/>
      <c r="M810" s="278"/>
    </row>
    <row r="811" spans="11:13" x14ac:dyDescent="0.25">
      <c r="K811" s="278"/>
      <c r="L811" s="278"/>
      <c r="M811" s="278"/>
    </row>
    <row r="816" spans="11:13" x14ac:dyDescent="0.25">
      <c r="K816" s="278"/>
      <c r="L816" s="278"/>
      <c r="M816" s="278"/>
    </row>
    <row r="818" spans="11:13" x14ac:dyDescent="0.25">
      <c r="K818" s="278"/>
      <c r="L818" s="278"/>
      <c r="M818" s="278"/>
    </row>
    <row r="822" spans="11:13" x14ac:dyDescent="0.25">
      <c r="K822" s="278"/>
      <c r="L822" s="278"/>
      <c r="M822" s="278"/>
    </row>
    <row r="823" spans="11:13" x14ac:dyDescent="0.25">
      <c r="K823" s="278"/>
      <c r="L823" s="278"/>
      <c r="M823" s="278"/>
    </row>
    <row r="827" spans="11:13" x14ac:dyDescent="0.25">
      <c r="K827" s="278"/>
      <c r="L827" s="278"/>
      <c r="M827" s="278"/>
    </row>
    <row r="830" spans="11:13" x14ac:dyDescent="0.25">
      <c r="K830" s="278"/>
      <c r="L830" s="278"/>
      <c r="M830" s="278"/>
    </row>
    <row r="837" spans="11:13" x14ac:dyDescent="0.25">
      <c r="K837" s="278"/>
      <c r="L837" s="278"/>
      <c r="M837" s="278"/>
    </row>
    <row r="838" spans="11:13" x14ac:dyDescent="0.25">
      <c r="K838" s="278"/>
      <c r="L838" s="278"/>
      <c r="M838" s="278"/>
    </row>
    <row r="839" spans="11:13" x14ac:dyDescent="0.25">
      <c r="K839" s="278"/>
      <c r="L839" s="278"/>
      <c r="M839" s="278"/>
    </row>
    <row r="840" spans="11:13" x14ac:dyDescent="0.25">
      <c r="K840" s="278"/>
      <c r="L840" s="278"/>
      <c r="M840" s="278"/>
    </row>
    <row r="852" spans="11:13" x14ac:dyDescent="0.25">
      <c r="K852" s="278"/>
      <c r="L852" s="278"/>
      <c r="M852" s="278"/>
    </row>
    <row r="860" spans="11:13" x14ac:dyDescent="0.25">
      <c r="K860" s="278"/>
      <c r="L860" s="278"/>
      <c r="M860" s="278"/>
    </row>
    <row r="864" spans="11:13" x14ac:dyDescent="0.25">
      <c r="K864" s="278"/>
      <c r="L864" s="278"/>
      <c r="M864" s="278"/>
    </row>
    <row r="865" spans="11:13" x14ac:dyDescent="0.25">
      <c r="K865" s="278"/>
      <c r="L865" s="278"/>
      <c r="M865" s="278"/>
    </row>
    <row r="866" spans="11:13" x14ac:dyDescent="0.25">
      <c r="K866" s="278"/>
      <c r="L866" s="278"/>
      <c r="M866" s="278"/>
    </row>
    <row r="885" spans="11:13" x14ac:dyDescent="0.25">
      <c r="K885" s="278"/>
      <c r="L885" s="278"/>
      <c r="M885" s="278"/>
    </row>
    <row r="887" spans="11:13" x14ac:dyDescent="0.25">
      <c r="K887" s="278"/>
      <c r="L887" s="278"/>
      <c r="M887" s="278"/>
    </row>
    <row r="894" spans="11:13" x14ac:dyDescent="0.25">
      <c r="K894" s="278"/>
      <c r="L894" s="278"/>
      <c r="M894" s="278"/>
    </row>
    <row r="896" spans="11:13" x14ac:dyDescent="0.25">
      <c r="K896" s="278"/>
      <c r="L896" s="278"/>
      <c r="M896" s="278"/>
    </row>
    <row r="897" spans="11:13" x14ac:dyDescent="0.25">
      <c r="K897" s="278"/>
      <c r="L897" s="278"/>
      <c r="M897" s="278"/>
    </row>
    <row r="898" spans="11:13" x14ac:dyDescent="0.25">
      <c r="K898" s="278"/>
      <c r="L898" s="278"/>
      <c r="M898" s="278"/>
    </row>
    <row r="902" spans="11:13" x14ac:dyDescent="0.25">
      <c r="K902" s="278"/>
      <c r="L902" s="278"/>
      <c r="M902" s="278"/>
    </row>
    <row r="908" spans="11:13" x14ac:dyDescent="0.25">
      <c r="K908" s="278"/>
      <c r="L908" s="278"/>
      <c r="M908" s="278"/>
    </row>
    <row r="909" spans="11:13" x14ac:dyDescent="0.25">
      <c r="K909" s="278"/>
      <c r="L909" s="278"/>
      <c r="M909" s="278"/>
    </row>
    <row r="910" spans="11:13" x14ac:dyDescent="0.25">
      <c r="K910" s="278"/>
      <c r="L910" s="278"/>
      <c r="M910" s="278"/>
    </row>
    <row r="923" spans="11:13" x14ac:dyDescent="0.25">
      <c r="K923" s="278"/>
      <c r="L923" s="278"/>
      <c r="M923" s="278"/>
    </row>
    <row r="927" spans="11:13" x14ac:dyDescent="0.25">
      <c r="K927" s="278"/>
      <c r="L927" s="278"/>
      <c r="M927" s="278"/>
    </row>
    <row r="929" spans="11:13" x14ac:dyDescent="0.25">
      <c r="K929" s="278"/>
      <c r="L929" s="278"/>
      <c r="M929" s="278"/>
    </row>
    <row r="930" spans="11:13" x14ac:dyDescent="0.25">
      <c r="K930" s="278"/>
      <c r="L930" s="278"/>
      <c r="M930" s="278"/>
    </row>
    <row r="931" spans="11:13" x14ac:dyDescent="0.25">
      <c r="K931" s="278"/>
      <c r="L931" s="278"/>
      <c r="M931" s="278"/>
    </row>
    <row r="934" spans="11:13" x14ac:dyDescent="0.25">
      <c r="K934" s="278"/>
      <c r="L934" s="278"/>
      <c r="M934" s="278"/>
    </row>
    <row r="938" spans="11:13" x14ac:dyDescent="0.25">
      <c r="K938" s="278"/>
      <c r="L938" s="278"/>
      <c r="M938" s="278"/>
    </row>
    <row r="941" spans="11:13" x14ac:dyDescent="0.25">
      <c r="K941" s="278"/>
      <c r="L941" s="278"/>
      <c r="M941" s="278"/>
    </row>
    <row r="943" spans="11:13" x14ac:dyDescent="0.25">
      <c r="K943" s="278"/>
      <c r="L943" s="278"/>
      <c r="M943" s="278"/>
    </row>
    <row r="944" spans="11:13" x14ac:dyDescent="0.25">
      <c r="K944" s="278"/>
      <c r="L944" s="278"/>
      <c r="M944" s="278"/>
    </row>
    <row r="945" spans="11:13" x14ac:dyDescent="0.25">
      <c r="K945" s="278"/>
      <c r="L945" s="278"/>
      <c r="M945" s="278"/>
    </row>
    <row r="947" spans="11:13" x14ac:dyDescent="0.25">
      <c r="K947" s="278"/>
      <c r="L947" s="278"/>
      <c r="M947" s="278"/>
    </row>
    <row r="948" spans="11:13" x14ac:dyDescent="0.25">
      <c r="K948" s="278"/>
      <c r="L948" s="278"/>
      <c r="M948" s="278"/>
    </row>
    <row r="952" spans="11:13" x14ac:dyDescent="0.25">
      <c r="K952" s="278"/>
      <c r="L952" s="278"/>
      <c r="M952" s="278"/>
    </row>
    <row r="954" spans="11:13" x14ac:dyDescent="0.25">
      <c r="K954" s="278"/>
      <c r="L954" s="278"/>
      <c r="M954" s="278"/>
    </row>
    <row r="955" spans="11:13" x14ac:dyDescent="0.25">
      <c r="K955" s="278"/>
      <c r="L955" s="278"/>
      <c r="M955" s="278"/>
    </row>
    <row r="958" spans="11:13" x14ac:dyDescent="0.25">
      <c r="K958" s="278"/>
      <c r="L958" s="278"/>
      <c r="M958" s="278"/>
    </row>
    <row r="959" spans="11:13" x14ac:dyDescent="0.25">
      <c r="K959" s="278"/>
      <c r="L959" s="278"/>
      <c r="M959" s="278"/>
    </row>
    <row r="961" spans="11:13" x14ac:dyDescent="0.25">
      <c r="K961" s="278"/>
      <c r="L961" s="278"/>
      <c r="M961" s="278"/>
    </row>
    <row r="966" spans="11:13" x14ac:dyDescent="0.25">
      <c r="K966" s="278"/>
      <c r="L966" s="278"/>
      <c r="M966" s="278"/>
    </row>
    <row r="972" spans="11:13" x14ac:dyDescent="0.25">
      <c r="K972" s="278"/>
      <c r="L972" s="278"/>
      <c r="M972" s="278"/>
    </row>
    <row r="974" spans="11:13" x14ac:dyDescent="0.25">
      <c r="K974" s="278"/>
      <c r="L974" s="278"/>
      <c r="M974" s="278"/>
    </row>
    <row r="976" spans="11:13" x14ac:dyDescent="0.25">
      <c r="K976" s="278"/>
      <c r="L976" s="278"/>
      <c r="M976" s="278"/>
    </row>
    <row r="977" spans="11:13" x14ac:dyDescent="0.25">
      <c r="K977" s="278"/>
      <c r="L977" s="278"/>
      <c r="M977" s="278"/>
    </row>
    <row r="979" spans="11:13" x14ac:dyDescent="0.25">
      <c r="K979" s="278"/>
      <c r="L979" s="278"/>
      <c r="M979" s="278"/>
    </row>
    <row r="980" spans="11:13" x14ac:dyDescent="0.25">
      <c r="K980" s="278"/>
      <c r="L980" s="278"/>
      <c r="M980" s="278"/>
    </row>
    <row r="989" spans="11:13" x14ac:dyDescent="0.25">
      <c r="K989" s="278"/>
      <c r="L989" s="278"/>
      <c r="M989" s="278"/>
    </row>
    <row r="990" spans="11:13" x14ac:dyDescent="0.25">
      <c r="K990" s="278"/>
      <c r="L990" s="278"/>
      <c r="M990" s="278"/>
    </row>
    <row r="991" spans="11:13" x14ac:dyDescent="0.25">
      <c r="K991" s="278"/>
      <c r="L991" s="278"/>
      <c r="M991" s="278"/>
    </row>
    <row r="992" spans="11:13" x14ac:dyDescent="0.25">
      <c r="K992" s="278"/>
      <c r="L992" s="278"/>
      <c r="M992" s="278"/>
    </row>
    <row r="1002" spans="11:13" x14ac:dyDescent="0.25">
      <c r="K1002" s="278"/>
      <c r="L1002" s="278"/>
      <c r="M1002" s="278"/>
    </row>
    <row r="1005" spans="11:13" x14ac:dyDescent="0.25">
      <c r="K1005" s="278"/>
      <c r="L1005" s="278"/>
      <c r="M1005" s="278"/>
    </row>
    <row r="1007" spans="11:13" x14ac:dyDescent="0.25">
      <c r="K1007" s="278"/>
      <c r="L1007" s="278"/>
      <c r="M1007" s="278"/>
    </row>
    <row r="1009" spans="11:13" x14ac:dyDescent="0.25">
      <c r="K1009" s="278"/>
      <c r="L1009" s="278"/>
      <c r="M1009" s="278"/>
    </row>
    <row r="1015" spans="11:13" x14ac:dyDescent="0.25">
      <c r="K1015" s="278"/>
      <c r="L1015" s="278"/>
      <c r="M1015" s="278"/>
    </row>
    <row r="1020" spans="11:13" x14ac:dyDescent="0.25">
      <c r="K1020" s="278"/>
      <c r="L1020" s="278"/>
      <c r="M1020" s="278"/>
    </row>
    <row r="1022" spans="11:13" x14ac:dyDescent="0.25">
      <c r="K1022" s="278"/>
      <c r="L1022" s="278"/>
      <c r="M1022" s="278"/>
    </row>
    <row r="1023" spans="11:13" x14ac:dyDescent="0.25">
      <c r="K1023" s="278"/>
      <c r="L1023" s="278"/>
      <c r="M1023" s="278"/>
    </row>
    <row r="1026" spans="11:13" x14ac:dyDescent="0.25">
      <c r="K1026" s="278"/>
      <c r="L1026" s="278"/>
      <c r="M1026" s="278"/>
    </row>
    <row r="1027" spans="11:13" x14ac:dyDescent="0.25">
      <c r="K1027" s="278"/>
      <c r="L1027" s="278"/>
      <c r="M1027" s="278"/>
    </row>
    <row r="1029" spans="11:13" x14ac:dyDescent="0.25">
      <c r="K1029" s="278"/>
      <c r="L1029" s="278"/>
      <c r="M1029" s="278"/>
    </row>
    <row r="1033" spans="11:13" x14ac:dyDescent="0.25">
      <c r="K1033" s="278"/>
      <c r="L1033" s="278"/>
      <c r="M1033" s="278"/>
    </row>
    <row r="1036" spans="11:13" x14ac:dyDescent="0.25">
      <c r="K1036" s="278"/>
      <c r="L1036" s="278"/>
      <c r="M1036" s="278"/>
    </row>
    <row r="1037" spans="11:13" x14ac:dyDescent="0.25">
      <c r="K1037" s="278"/>
      <c r="L1037" s="278"/>
      <c r="M1037" s="278"/>
    </row>
    <row r="1038" spans="11:13" x14ac:dyDescent="0.25">
      <c r="K1038" s="278"/>
      <c r="L1038" s="278"/>
      <c r="M1038" s="278"/>
    </row>
    <row r="1040" spans="11:13" x14ac:dyDescent="0.25">
      <c r="K1040" s="278"/>
      <c r="L1040" s="278"/>
      <c r="M1040" s="278"/>
    </row>
    <row r="1043" spans="11:13" x14ac:dyDescent="0.25">
      <c r="K1043" s="278"/>
      <c r="L1043" s="278"/>
      <c r="M1043" s="278"/>
    </row>
    <row r="1047" spans="11:13" x14ac:dyDescent="0.25">
      <c r="K1047" s="278"/>
      <c r="L1047" s="278"/>
      <c r="M1047" s="278"/>
    </row>
    <row r="1050" spans="11:13" x14ac:dyDescent="0.25">
      <c r="K1050" s="278"/>
      <c r="L1050" s="278"/>
      <c r="M1050" s="278"/>
    </row>
    <row r="1051" spans="11:13" x14ac:dyDescent="0.25">
      <c r="K1051" s="278"/>
      <c r="L1051" s="278"/>
      <c r="M1051" s="278"/>
    </row>
    <row r="1052" spans="11:13" x14ac:dyDescent="0.25">
      <c r="K1052" s="278"/>
      <c r="L1052" s="278"/>
      <c r="M1052" s="278"/>
    </row>
    <row r="1054" spans="11:13" x14ac:dyDescent="0.25">
      <c r="K1054" s="278"/>
      <c r="L1054" s="278"/>
      <c r="M1054" s="278"/>
    </row>
    <row r="1058" spans="11:13" x14ac:dyDescent="0.25">
      <c r="K1058" s="278"/>
      <c r="L1058" s="278"/>
      <c r="M1058" s="278"/>
    </row>
    <row r="1072" spans="11:13" x14ac:dyDescent="0.25">
      <c r="K1072" s="278"/>
      <c r="L1072" s="278"/>
      <c r="M1072" s="278"/>
    </row>
    <row r="1073" spans="11:13" x14ac:dyDescent="0.25">
      <c r="K1073" s="278"/>
      <c r="L1073" s="278"/>
      <c r="M1073" s="278"/>
    </row>
    <row r="1079" spans="11:13" x14ac:dyDescent="0.25">
      <c r="K1079" s="278"/>
      <c r="L1079" s="278"/>
      <c r="M1079" s="278"/>
    </row>
    <row r="1083" spans="11:13" x14ac:dyDescent="0.25">
      <c r="K1083" s="278"/>
      <c r="L1083" s="278"/>
      <c r="M1083" s="278"/>
    </row>
    <row r="1084" spans="11:13" x14ac:dyDescent="0.25">
      <c r="K1084" s="278"/>
      <c r="L1084" s="278"/>
      <c r="M1084" s="278"/>
    </row>
    <row r="1085" spans="11:13" x14ac:dyDescent="0.25">
      <c r="K1085" s="278"/>
      <c r="L1085" s="278"/>
      <c r="M1085" s="278"/>
    </row>
    <row r="1087" spans="11:13" x14ac:dyDescent="0.25">
      <c r="K1087" s="278"/>
      <c r="L1087" s="278"/>
      <c r="M1087" s="278"/>
    </row>
    <row r="1094" spans="11:13" x14ac:dyDescent="0.25">
      <c r="K1094" s="278"/>
      <c r="L1094" s="278"/>
      <c r="M1094" s="278"/>
    </row>
    <row r="1096" spans="11:13" x14ac:dyDescent="0.25">
      <c r="K1096" s="278"/>
      <c r="L1096" s="278"/>
      <c r="M1096" s="278"/>
    </row>
    <row r="1105" spans="11:13" x14ac:dyDescent="0.25">
      <c r="K1105" s="278"/>
      <c r="L1105" s="278"/>
      <c r="M1105" s="278"/>
    </row>
    <row r="1109" spans="11:13" x14ac:dyDescent="0.25">
      <c r="K1109" s="278"/>
      <c r="L1109" s="278"/>
      <c r="M1109" s="278"/>
    </row>
    <row r="1115" spans="11:13" x14ac:dyDescent="0.25">
      <c r="K1115" s="278"/>
      <c r="L1115" s="278"/>
      <c r="M1115" s="278"/>
    </row>
    <row r="1116" spans="11:13" x14ac:dyDescent="0.25">
      <c r="K1116" s="278"/>
      <c r="L1116" s="278"/>
      <c r="M1116" s="278"/>
    </row>
    <row r="1117" spans="11:13" x14ac:dyDescent="0.25">
      <c r="K1117" s="278"/>
      <c r="L1117" s="278"/>
      <c r="M1117" s="278"/>
    </row>
    <row r="1121" spans="11:13" x14ac:dyDescent="0.25">
      <c r="K1121" s="278"/>
      <c r="L1121" s="278"/>
      <c r="M1121" s="278"/>
    </row>
    <row r="1129" spans="11:13" x14ac:dyDescent="0.25">
      <c r="K1129" s="278"/>
      <c r="L1129" s="278"/>
      <c r="M1129" s="278"/>
    </row>
    <row r="1141" spans="11:13" x14ac:dyDescent="0.25">
      <c r="K1141" s="278"/>
      <c r="L1141" s="278"/>
      <c r="M1141" s="278"/>
    </row>
    <row r="1142" spans="11:13" x14ac:dyDescent="0.25">
      <c r="K1142" s="278"/>
      <c r="L1142" s="278"/>
      <c r="M1142" s="278"/>
    </row>
    <row r="1144" spans="11:13" x14ac:dyDescent="0.25">
      <c r="K1144" s="278"/>
      <c r="L1144" s="278"/>
      <c r="M1144" s="278"/>
    </row>
    <row r="1149" spans="11:13" x14ac:dyDescent="0.25">
      <c r="K1149" s="278"/>
      <c r="L1149" s="278"/>
      <c r="M1149" s="278"/>
    </row>
    <row r="1151" spans="11:13" x14ac:dyDescent="0.25">
      <c r="K1151" s="278"/>
      <c r="L1151" s="278"/>
      <c r="M1151" s="278"/>
    </row>
    <row r="1154" spans="11:13" x14ac:dyDescent="0.25">
      <c r="K1154" s="278"/>
      <c r="L1154" s="278"/>
      <c r="M1154" s="278"/>
    </row>
    <row r="1158" spans="11:13" x14ac:dyDescent="0.25">
      <c r="K1158" s="278"/>
      <c r="L1158" s="278"/>
      <c r="M1158" s="278"/>
    </row>
    <row r="1159" spans="11:13" x14ac:dyDescent="0.25">
      <c r="K1159" s="278"/>
      <c r="L1159" s="278"/>
      <c r="M1159" s="278"/>
    </row>
    <row r="1163" spans="11:13" x14ac:dyDescent="0.25">
      <c r="K1163" s="278"/>
      <c r="L1163" s="278"/>
      <c r="M1163" s="278"/>
    </row>
    <row r="1165" spans="11:13" x14ac:dyDescent="0.25">
      <c r="K1165" s="278"/>
      <c r="L1165" s="278"/>
      <c r="M1165" s="278"/>
    </row>
    <row r="1170" spans="11:13" x14ac:dyDescent="0.25">
      <c r="K1170" s="278"/>
      <c r="L1170" s="278"/>
      <c r="M1170" s="278"/>
    </row>
    <row r="1171" spans="11:13" x14ac:dyDescent="0.25">
      <c r="K1171" s="278"/>
      <c r="L1171" s="278"/>
      <c r="M1171" s="278"/>
    </row>
    <row r="1173" spans="11:13" x14ac:dyDescent="0.25">
      <c r="K1173" s="278"/>
      <c r="L1173" s="278"/>
      <c r="M1173" s="278"/>
    </row>
    <row r="1174" spans="11:13" x14ac:dyDescent="0.25">
      <c r="K1174" s="278"/>
      <c r="L1174" s="278"/>
      <c r="M1174" s="278"/>
    </row>
    <row r="1176" spans="11:13" x14ac:dyDescent="0.25">
      <c r="K1176" s="278"/>
      <c r="L1176" s="278"/>
      <c r="M1176" s="278"/>
    </row>
    <row r="1179" spans="11:13" x14ac:dyDescent="0.25">
      <c r="K1179" s="278"/>
      <c r="L1179" s="278"/>
      <c r="M1179" s="278"/>
    </row>
    <row r="1180" spans="11:13" x14ac:dyDescent="0.25">
      <c r="K1180" s="278"/>
      <c r="L1180" s="278"/>
      <c r="M1180" s="278"/>
    </row>
    <row r="1186" spans="11:13" x14ac:dyDescent="0.25">
      <c r="K1186" s="278"/>
      <c r="L1186" s="278"/>
      <c r="M1186" s="278"/>
    </row>
    <row r="1192" spans="11:13" x14ac:dyDescent="0.25">
      <c r="K1192" s="278"/>
      <c r="L1192" s="278"/>
      <c r="M1192" s="278"/>
    </row>
    <row r="1193" spans="11:13" x14ac:dyDescent="0.25">
      <c r="K1193" s="278"/>
      <c r="L1193" s="278"/>
      <c r="M1193" s="278"/>
    </row>
    <row r="1196" spans="11:13" x14ac:dyDescent="0.25">
      <c r="K1196" s="278"/>
      <c r="L1196" s="278"/>
      <c r="M1196" s="278"/>
    </row>
    <row r="1203" spans="11:13" x14ac:dyDescent="0.25">
      <c r="K1203" s="278"/>
      <c r="L1203" s="278"/>
      <c r="M1203" s="278"/>
    </row>
    <row r="1205" spans="11:13" x14ac:dyDescent="0.25">
      <c r="K1205" s="278"/>
      <c r="L1205" s="278"/>
      <c r="M1205" s="278"/>
    </row>
    <row r="1209" spans="11:13" x14ac:dyDescent="0.25">
      <c r="K1209" s="278"/>
      <c r="L1209" s="278"/>
      <c r="M1209" s="278"/>
    </row>
    <row r="1210" spans="11:13" x14ac:dyDescent="0.25">
      <c r="K1210" s="278"/>
      <c r="L1210" s="278"/>
      <c r="M1210" s="278"/>
    </row>
    <row r="1214" spans="11:13" x14ac:dyDescent="0.25">
      <c r="K1214" s="278"/>
      <c r="L1214" s="278"/>
      <c r="M1214" s="278"/>
    </row>
    <row r="1217" spans="11:13" x14ac:dyDescent="0.25">
      <c r="K1217" s="278"/>
      <c r="L1217" s="278"/>
      <c r="M1217" s="278"/>
    </row>
    <row r="1224" spans="11:13" x14ac:dyDescent="0.25">
      <c r="K1224" s="278"/>
      <c r="L1224" s="278"/>
      <c r="M1224" s="278"/>
    </row>
    <row r="1225" spans="11:13" x14ac:dyDescent="0.25">
      <c r="K1225" s="278"/>
      <c r="L1225" s="278"/>
      <c r="M1225" s="278"/>
    </row>
    <row r="1236" spans="11:13" x14ac:dyDescent="0.25">
      <c r="K1236" s="278"/>
      <c r="L1236" s="278"/>
      <c r="M1236" s="278"/>
    </row>
    <row r="1244" spans="11:13" x14ac:dyDescent="0.25">
      <c r="K1244" s="278"/>
      <c r="L1244" s="278"/>
      <c r="M1244" s="278"/>
    </row>
    <row r="1248" spans="11:13" x14ac:dyDescent="0.25">
      <c r="K1248" s="278"/>
      <c r="L1248" s="278"/>
      <c r="M1248" s="278"/>
    </row>
    <row r="1253" spans="11:13" x14ac:dyDescent="0.25">
      <c r="K1253" s="278"/>
      <c r="L1253" s="278"/>
      <c r="M1253" s="278"/>
    </row>
    <row r="1266" spans="11:13" x14ac:dyDescent="0.25">
      <c r="K1266" s="278"/>
      <c r="L1266" s="278"/>
      <c r="M1266" s="278"/>
    </row>
    <row r="1273" spans="11:13" x14ac:dyDescent="0.25">
      <c r="K1273" s="278"/>
      <c r="L1273" s="278"/>
      <c r="M1273" s="278"/>
    </row>
    <row r="1275" spans="11:13" x14ac:dyDescent="0.25">
      <c r="K1275" s="278"/>
      <c r="L1275" s="278"/>
      <c r="M1275" s="278"/>
    </row>
    <row r="1279" spans="11:13" x14ac:dyDescent="0.25">
      <c r="K1279" s="278"/>
      <c r="L1279" s="278"/>
      <c r="M1279" s="278"/>
    </row>
    <row r="1298" spans="11:13" x14ac:dyDescent="0.25">
      <c r="K1298" s="278"/>
      <c r="L1298" s="278"/>
      <c r="M1298" s="278"/>
    </row>
    <row r="1304" spans="11:13" x14ac:dyDescent="0.25">
      <c r="K1304" s="278"/>
      <c r="L1304" s="278"/>
      <c r="M1304" s="278"/>
    </row>
    <row r="1311" spans="11:13" x14ac:dyDescent="0.25">
      <c r="K1311" s="278"/>
      <c r="L1311" s="278"/>
      <c r="M1311" s="278"/>
    </row>
    <row r="1315" spans="11:13" x14ac:dyDescent="0.25">
      <c r="K1315" s="278"/>
      <c r="L1315" s="278"/>
      <c r="M1315" s="278"/>
    </row>
    <row r="1320" spans="11:13" x14ac:dyDescent="0.25">
      <c r="K1320" s="278"/>
      <c r="L1320" s="278"/>
      <c r="M1320" s="278"/>
    </row>
    <row r="1322" spans="11:13" x14ac:dyDescent="0.25">
      <c r="K1322" s="278"/>
      <c r="L1322" s="278"/>
      <c r="M1322" s="278"/>
    </row>
    <row r="1323" spans="11:13" x14ac:dyDescent="0.25">
      <c r="K1323" s="278"/>
      <c r="L1323" s="278"/>
      <c r="M1323" s="278"/>
    </row>
    <row r="1332" spans="11:13" x14ac:dyDescent="0.25">
      <c r="K1332" s="278"/>
      <c r="L1332" s="278"/>
      <c r="M1332" s="278"/>
    </row>
    <row r="1338" spans="11:13" x14ac:dyDescent="0.25">
      <c r="K1338" s="278"/>
      <c r="L1338" s="278"/>
      <c r="M1338" s="278"/>
    </row>
    <row r="1340" spans="11:13" x14ac:dyDescent="0.25">
      <c r="K1340" s="278"/>
      <c r="L1340" s="278"/>
      <c r="M1340" s="278"/>
    </row>
    <row r="1343" spans="11:13" x14ac:dyDescent="0.25">
      <c r="K1343" s="278"/>
      <c r="L1343" s="278"/>
      <c r="M1343" s="278"/>
    </row>
    <row r="1353" spans="11:13" x14ac:dyDescent="0.25">
      <c r="K1353" s="278"/>
      <c r="L1353" s="278"/>
      <c r="M1353" s="278"/>
    </row>
    <row r="1354" spans="11:13" x14ac:dyDescent="0.25">
      <c r="K1354" s="278"/>
      <c r="L1354" s="278"/>
      <c r="M1354" s="278"/>
    </row>
    <row r="1355" spans="11:13" x14ac:dyDescent="0.25">
      <c r="K1355" s="278"/>
      <c r="L1355" s="278"/>
      <c r="M1355" s="278"/>
    </row>
    <row r="1356" spans="11:13" x14ac:dyDescent="0.25">
      <c r="K1356" s="278"/>
      <c r="L1356" s="278"/>
      <c r="M1356" s="278"/>
    </row>
    <row r="1365" spans="11:13" x14ac:dyDescent="0.25">
      <c r="K1365" s="278"/>
      <c r="L1365" s="278"/>
      <c r="M1365" s="278"/>
    </row>
    <row r="1368" spans="11:13" x14ac:dyDescent="0.25">
      <c r="K1368" s="278"/>
      <c r="L1368" s="278"/>
      <c r="M1368" s="278"/>
    </row>
    <row r="1370" spans="11:13" x14ac:dyDescent="0.25">
      <c r="K1370" s="278"/>
      <c r="L1370" s="278"/>
      <c r="M1370" s="278"/>
    </row>
    <row r="1376" spans="11:13" x14ac:dyDescent="0.25">
      <c r="K1376" s="278"/>
      <c r="L1376" s="278"/>
      <c r="M1376" s="278"/>
    </row>
    <row r="1381" spans="11:13" x14ac:dyDescent="0.25">
      <c r="K1381" s="278"/>
      <c r="L1381" s="278"/>
      <c r="M1381" s="278"/>
    </row>
    <row r="1385" spans="11:13" x14ac:dyDescent="0.25">
      <c r="K1385" s="278"/>
      <c r="L1385" s="278"/>
      <c r="M1385" s="278"/>
    </row>
    <row r="1386" spans="11:13" x14ac:dyDescent="0.25">
      <c r="K1386" s="278"/>
      <c r="L1386" s="278"/>
      <c r="M1386" s="278"/>
    </row>
    <row r="1388" spans="11:13" x14ac:dyDescent="0.25">
      <c r="K1388" s="278"/>
      <c r="L1388" s="278"/>
      <c r="M1388" s="278"/>
    </row>
    <row r="1393" spans="11:13" x14ac:dyDescent="0.25">
      <c r="K1393" s="278"/>
      <c r="L1393" s="278"/>
      <c r="M1393" s="278"/>
    </row>
    <row r="1395" spans="11:13" x14ac:dyDescent="0.25">
      <c r="K1395" s="278"/>
      <c r="L1395" s="278"/>
      <c r="M1395" s="278"/>
    </row>
    <row r="1398" spans="11:13" x14ac:dyDescent="0.25">
      <c r="K1398" s="278"/>
      <c r="L1398" s="278"/>
      <c r="M1398" s="278"/>
    </row>
    <row r="1402" spans="11:13" x14ac:dyDescent="0.25">
      <c r="K1402" s="278"/>
      <c r="L1402" s="278"/>
      <c r="M1402" s="278"/>
    </row>
    <row r="1405" spans="11:13" x14ac:dyDescent="0.25">
      <c r="K1405" s="278"/>
      <c r="L1405" s="278"/>
      <c r="M1405" s="278"/>
    </row>
    <row r="1407" spans="11:13" x14ac:dyDescent="0.25">
      <c r="K1407" s="278"/>
      <c r="L1407" s="278"/>
      <c r="M1407" s="278"/>
    </row>
    <row r="1411" spans="11:13" x14ac:dyDescent="0.25">
      <c r="K1411" s="278"/>
      <c r="L1411" s="278"/>
      <c r="M1411" s="278"/>
    </row>
    <row r="1429" spans="11:13" x14ac:dyDescent="0.25">
      <c r="K1429" s="278"/>
      <c r="L1429" s="278"/>
      <c r="M1429" s="278"/>
    </row>
    <row r="1433" spans="11:13" x14ac:dyDescent="0.25">
      <c r="K1433" s="278"/>
      <c r="L1433" s="278"/>
      <c r="M1433" s="278"/>
    </row>
    <row r="1435" spans="11:13" x14ac:dyDescent="0.25">
      <c r="K1435" s="278"/>
      <c r="L1435" s="278"/>
      <c r="M1435" s="278"/>
    </row>
    <row r="1442" spans="11:13" x14ac:dyDescent="0.25">
      <c r="K1442" s="278"/>
      <c r="L1442" s="278"/>
      <c r="M1442" s="278"/>
    </row>
    <row r="1460" spans="11:13" x14ac:dyDescent="0.25">
      <c r="K1460" s="278"/>
      <c r="L1460" s="278"/>
      <c r="M1460" s="278"/>
    </row>
    <row r="1464" spans="11:13" x14ac:dyDescent="0.25">
      <c r="K1464" s="278"/>
      <c r="L1464" s="278"/>
      <c r="M1464" s="278"/>
    </row>
    <row r="1472" spans="11:13" x14ac:dyDescent="0.25">
      <c r="K1472" s="278"/>
      <c r="L1472" s="278"/>
      <c r="M1472" s="278"/>
    </row>
    <row r="1484" spans="11:13" x14ac:dyDescent="0.25">
      <c r="K1484" s="278"/>
      <c r="L1484" s="278"/>
      <c r="M1484" s="278"/>
    </row>
    <row r="1485" spans="11:13" x14ac:dyDescent="0.25">
      <c r="K1485" s="278"/>
      <c r="L1485" s="278"/>
      <c r="M1485" s="278"/>
    </row>
    <row r="1492" spans="11:13" x14ac:dyDescent="0.25">
      <c r="K1492" s="278"/>
      <c r="L1492" s="278"/>
      <c r="M1492" s="278"/>
    </row>
    <row r="1495" spans="11:13" x14ac:dyDescent="0.25">
      <c r="K1495" s="278"/>
      <c r="L1495" s="278"/>
      <c r="M1495" s="278"/>
    </row>
    <row r="1499" spans="11:13" x14ac:dyDescent="0.25">
      <c r="K1499" s="278"/>
      <c r="L1499" s="278"/>
      <c r="M1499" s="278"/>
    </row>
    <row r="1500" spans="11:13" x14ac:dyDescent="0.25">
      <c r="K1500" s="278"/>
      <c r="L1500" s="278"/>
      <c r="M1500" s="278"/>
    </row>
    <row r="1504" spans="11:13" x14ac:dyDescent="0.25">
      <c r="K1504" s="278"/>
      <c r="L1504" s="278"/>
      <c r="M1504" s="278"/>
    </row>
    <row r="1506" spans="11:13" x14ac:dyDescent="0.25">
      <c r="K1506" s="278"/>
      <c r="L1506" s="278"/>
      <c r="M1506" s="278"/>
    </row>
    <row r="1512" spans="11:13" x14ac:dyDescent="0.25">
      <c r="K1512" s="278"/>
      <c r="L1512" s="278"/>
      <c r="M1512" s="278"/>
    </row>
    <row r="1513" spans="11:13" x14ac:dyDescent="0.25">
      <c r="K1513" s="278"/>
      <c r="L1513" s="278"/>
      <c r="M1513" s="278"/>
    </row>
    <row r="1516" spans="11:13" x14ac:dyDescent="0.25">
      <c r="K1516" s="278"/>
      <c r="L1516" s="278"/>
      <c r="M1516" s="278"/>
    </row>
    <row r="1517" spans="11:13" x14ac:dyDescent="0.25">
      <c r="K1517" s="278"/>
      <c r="L1517" s="278"/>
      <c r="M1517" s="278"/>
    </row>
    <row r="1528" spans="11:13" x14ac:dyDescent="0.25">
      <c r="K1528" s="278"/>
      <c r="L1528" s="278"/>
      <c r="M1528" s="278"/>
    </row>
    <row r="1529" spans="11:13" x14ac:dyDescent="0.25">
      <c r="K1529" s="278"/>
      <c r="L1529" s="278"/>
      <c r="M1529" s="278"/>
    </row>
    <row r="1532" spans="11:13" x14ac:dyDescent="0.25">
      <c r="K1532" s="278"/>
      <c r="L1532" s="278"/>
      <c r="M1532" s="278"/>
    </row>
    <row r="1533" spans="11:13" x14ac:dyDescent="0.25">
      <c r="K1533" s="278"/>
      <c r="L1533" s="278"/>
      <c r="M1533" s="278"/>
    </row>
    <row r="1539" spans="11:13" x14ac:dyDescent="0.25">
      <c r="K1539" s="278"/>
      <c r="L1539" s="278"/>
      <c r="M1539" s="278"/>
    </row>
    <row r="1541" spans="11:13" x14ac:dyDescent="0.25">
      <c r="K1541" s="278"/>
      <c r="L1541" s="278"/>
      <c r="M1541" s="278"/>
    </row>
    <row r="1545" spans="11:13" x14ac:dyDescent="0.25">
      <c r="K1545" s="278"/>
      <c r="L1545" s="278"/>
      <c r="M1545" s="278"/>
    </row>
    <row r="1546" spans="11:13" x14ac:dyDescent="0.25">
      <c r="K1546" s="278"/>
      <c r="L1546" s="278"/>
      <c r="M1546" s="278"/>
    </row>
    <row r="1550" spans="11:13" x14ac:dyDescent="0.25">
      <c r="K1550" s="278"/>
      <c r="L1550" s="278"/>
      <c r="M1550" s="278"/>
    </row>
    <row r="1553" spans="11:13" x14ac:dyDescent="0.25">
      <c r="K1553" s="278"/>
      <c r="L1553" s="278"/>
      <c r="M1553" s="278"/>
    </row>
    <row r="1555" spans="11:13" x14ac:dyDescent="0.25">
      <c r="K1555" s="278"/>
      <c r="L1555" s="278"/>
      <c r="M1555" s="278"/>
    </row>
    <row r="1560" spans="11:13" x14ac:dyDescent="0.25">
      <c r="K1560" s="278"/>
      <c r="L1560" s="278"/>
      <c r="M1560" s="278"/>
    </row>
    <row r="1573" spans="11:13" x14ac:dyDescent="0.25">
      <c r="K1573" s="278"/>
      <c r="L1573" s="278"/>
      <c r="M1573" s="278"/>
    </row>
    <row r="1581" spans="11:13" x14ac:dyDescent="0.25">
      <c r="K1581" s="278"/>
      <c r="L1581" s="278"/>
      <c r="M1581" s="278"/>
    </row>
    <row r="1585" spans="11:13" x14ac:dyDescent="0.25">
      <c r="K1585" s="278"/>
      <c r="L1585" s="278"/>
      <c r="M1585" s="278"/>
    </row>
    <row r="1591" spans="11:13" x14ac:dyDescent="0.25">
      <c r="K1591" s="278"/>
      <c r="L1591" s="278"/>
      <c r="M1591" s="278"/>
    </row>
    <row r="1595" spans="11:13" x14ac:dyDescent="0.25">
      <c r="K1595" s="278"/>
      <c r="L1595" s="278"/>
      <c r="M1595" s="278"/>
    </row>
    <row r="1604" spans="11:13" x14ac:dyDescent="0.25">
      <c r="K1604" s="278"/>
      <c r="L1604" s="278"/>
      <c r="M1604" s="278"/>
    </row>
    <row r="1611" spans="11:13" x14ac:dyDescent="0.25">
      <c r="K1611" s="278"/>
      <c r="L1611" s="278"/>
      <c r="M1611" s="278"/>
    </row>
    <row r="1613" spans="11:13" x14ac:dyDescent="0.25">
      <c r="K1613" s="278"/>
      <c r="L1613" s="278"/>
      <c r="M1613" s="278"/>
    </row>
    <row r="1617" spans="11:13" x14ac:dyDescent="0.25">
      <c r="K1617" s="278"/>
      <c r="L1617" s="278"/>
      <c r="M1617" s="278"/>
    </row>
    <row r="1636" spans="11:13" x14ac:dyDescent="0.25">
      <c r="K1636" s="278"/>
      <c r="L1636" s="278"/>
      <c r="M1636" s="278"/>
    </row>
    <row r="1640" spans="11:13" x14ac:dyDescent="0.25">
      <c r="K1640" s="278"/>
      <c r="L1640" s="278"/>
      <c r="M1640" s="278"/>
    </row>
    <row r="1642" spans="11:13" x14ac:dyDescent="0.25">
      <c r="K1642" s="278"/>
      <c r="L1642" s="278"/>
      <c r="M1642" s="278"/>
    </row>
    <row r="1645" spans="11:13" x14ac:dyDescent="0.25">
      <c r="K1645" s="278"/>
      <c r="L1645" s="278"/>
      <c r="M1645" s="278"/>
    </row>
    <row r="1649" spans="11:13" x14ac:dyDescent="0.25">
      <c r="K1649" s="278"/>
      <c r="L1649" s="278"/>
      <c r="M1649" s="278"/>
    </row>
    <row r="1652" spans="11:13" x14ac:dyDescent="0.25">
      <c r="K1652" s="278"/>
      <c r="L1652" s="278"/>
      <c r="M1652" s="278"/>
    </row>
    <row r="1654" spans="11:13" x14ac:dyDescent="0.25">
      <c r="K1654" s="278"/>
      <c r="L1654" s="278"/>
      <c r="M1654" s="278"/>
    </row>
    <row r="1660" spans="11:13" x14ac:dyDescent="0.25">
      <c r="K1660" s="278"/>
      <c r="L1660" s="278"/>
      <c r="M1660" s="278"/>
    </row>
    <row r="1662" spans="11:13" x14ac:dyDescent="0.25">
      <c r="K1662" s="278"/>
      <c r="L1662" s="278"/>
      <c r="M1662" s="278"/>
    </row>
    <row r="1663" spans="11:13" x14ac:dyDescent="0.25">
      <c r="K1663" s="278"/>
      <c r="L1663" s="278"/>
      <c r="M1663" s="278"/>
    </row>
    <row r="1667" spans="11:13" x14ac:dyDescent="0.25">
      <c r="K1667" s="278"/>
      <c r="L1667" s="278"/>
      <c r="M1667" s="278"/>
    </row>
    <row r="1672" spans="11:13" x14ac:dyDescent="0.25">
      <c r="K1672" s="278"/>
      <c r="L1672" s="278"/>
      <c r="M1672" s="278"/>
    </row>
    <row r="1678" spans="11:13" x14ac:dyDescent="0.25">
      <c r="K1678" s="278"/>
      <c r="L1678" s="278"/>
      <c r="M1678" s="278"/>
    </row>
    <row r="1680" spans="11:13" x14ac:dyDescent="0.25">
      <c r="K1680" s="278"/>
      <c r="L1680" s="278"/>
      <c r="M1680" s="278"/>
    </row>
    <row r="1684" spans="11:13" x14ac:dyDescent="0.25">
      <c r="K1684" s="278"/>
      <c r="L1684" s="278"/>
      <c r="M1684" s="278"/>
    </row>
    <row r="1694" spans="11:13" x14ac:dyDescent="0.25">
      <c r="K1694" s="278"/>
      <c r="L1694" s="278"/>
      <c r="M1694" s="278"/>
    </row>
    <row r="1695" spans="11:13" x14ac:dyDescent="0.25">
      <c r="K1695" s="278"/>
      <c r="L1695" s="278"/>
      <c r="M1695" s="278"/>
    </row>
    <row r="1696" spans="11:13" x14ac:dyDescent="0.25">
      <c r="K1696" s="278"/>
      <c r="L1696" s="278"/>
      <c r="M1696" s="278"/>
    </row>
    <row r="1697" spans="11:13" x14ac:dyDescent="0.25">
      <c r="K1697" s="278"/>
      <c r="L1697" s="278"/>
      <c r="M1697" s="278"/>
    </row>
    <row r="1698" spans="11:13" x14ac:dyDescent="0.25">
      <c r="K1698" s="278"/>
      <c r="L1698" s="278"/>
      <c r="M1698" s="278"/>
    </row>
    <row r="1699" spans="11:13" x14ac:dyDescent="0.25">
      <c r="K1699" s="278"/>
      <c r="L1699" s="278"/>
      <c r="M1699" s="278"/>
    </row>
    <row r="1700" spans="11:13" x14ac:dyDescent="0.25">
      <c r="K1700" s="278"/>
      <c r="L1700" s="278"/>
      <c r="M1700" s="278"/>
    </row>
    <row r="1701" spans="11:13" x14ac:dyDescent="0.25">
      <c r="K1701" s="278"/>
      <c r="L1701" s="278"/>
      <c r="M1701" s="278"/>
    </row>
    <row r="1702" spans="11:13" x14ac:dyDescent="0.25">
      <c r="K1702" s="278"/>
      <c r="L1702" s="278"/>
      <c r="M1702" s="278"/>
    </row>
    <row r="1703" spans="11:13" x14ac:dyDescent="0.25">
      <c r="K1703" s="278"/>
      <c r="L1703" s="278"/>
      <c r="M1703" s="278"/>
    </row>
    <row r="1704" spans="11:13" x14ac:dyDescent="0.25">
      <c r="K1704" s="278"/>
      <c r="L1704" s="278"/>
      <c r="M1704" s="278"/>
    </row>
    <row r="1705" spans="11:13" x14ac:dyDescent="0.25">
      <c r="K1705" s="278"/>
      <c r="L1705" s="278"/>
      <c r="M1705" s="278"/>
    </row>
    <row r="1706" spans="11:13" x14ac:dyDescent="0.25">
      <c r="K1706" s="278"/>
      <c r="L1706" s="278"/>
      <c r="M1706" s="278"/>
    </row>
    <row r="1707" spans="11:13" x14ac:dyDescent="0.25">
      <c r="K1707" s="278"/>
      <c r="L1707" s="278"/>
      <c r="M1707" s="278"/>
    </row>
    <row r="1708" spans="11:13" x14ac:dyDescent="0.25">
      <c r="K1708" s="278"/>
      <c r="L1708" s="278"/>
      <c r="M1708" s="278"/>
    </row>
    <row r="1711" spans="11:13" x14ac:dyDescent="0.25">
      <c r="K1711" s="278"/>
      <c r="L1711" s="278"/>
      <c r="M1711" s="278"/>
    </row>
    <row r="1713" spans="11:13" x14ac:dyDescent="0.25">
      <c r="K1713" s="278"/>
      <c r="L1713" s="278"/>
      <c r="M1713" s="278"/>
    </row>
    <row r="1714" spans="11:13" x14ac:dyDescent="0.25">
      <c r="K1714" s="278"/>
      <c r="L1714" s="278"/>
      <c r="M1714" s="278"/>
    </row>
    <row r="1715" spans="11:13" x14ac:dyDescent="0.25">
      <c r="K1715" s="278"/>
      <c r="L1715" s="278"/>
      <c r="M1715" s="278"/>
    </row>
    <row r="1716" spans="11:13" x14ac:dyDescent="0.25">
      <c r="K1716" s="278"/>
      <c r="L1716" s="278"/>
      <c r="M1716" s="278"/>
    </row>
    <row r="1717" spans="11:13" x14ac:dyDescent="0.25">
      <c r="K1717" s="278"/>
      <c r="L1717" s="278"/>
      <c r="M1717" s="278"/>
    </row>
    <row r="1718" spans="11:13" x14ac:dyDescent="0.25">
      <c r="K1718" s="278"/>
      <c r="L1718" s="278"/>
      <c r="M1718" s="278"/>
    </row>
    <row r="1721" spans="11:13" x14ac:dyDescent="0.25">
      <c r="K1721" s="278"/>
      <c r="L1721" s="278"/>
      <c r="M1721" s="278"/>
    </row>
    <row r="1723" spans="11:13" x14ac:dyDescent="0.25">
      <c r="K1723" s="278"/>
      <c r="L1723" s="278"/>
      <c r="M1723" s="278"/>
    </row>
    <row r="1724" spans="11:13" x14ac:dyDescent="0.25">
      <c r="K1724" s="278"/>
      <c r="L1724" s="278"/>
      <c r="M1724" s="278"/>
    </row>
    <row r="1725" spans="11:13" x14ac:dyDescent="0.25">
      <c r="K1725" s="278"/>
      <c r="L1725" s="278"/>
      <c r="M1725" s="278"/>
    </row>
    <row r="1727" spans="11:13" x14ac:dyDescent="0.25">
      <c r="K1727" s="278"/>
      <c r="L1727" s="278"/>
      <c r="M1727" s="278"/>
    </row>
    <row r="1730" spans="11:13" x14ac:dyDescent="0.25">
      <c r="K1730" s="278"/>
      <c r="L1730" s="278"/>
      <c r="M1730" s="278"/>
    </row>
    <row r="1731" spans="11:13" x14ac:dyDescent="0.25">
      <c r="K1731" s="278"/>
      <c r="L1731" s="278"/>
      <c r="M1731" s="278"/>
    </row>
    <row r="1732" spans="11:13" x14ac:dyDescent="0.25">
      <c r="K1732" s="278"/>
      <c r="L1732" s="278"/>
      <c r="M1732" s="278"/>
    </row>
    <row r="1734" spans="11:13" x14ac:dyDescent="0.25">
      <c r="K1734" s="278"/>
      <c r="L1734" s="278"/>
      <c r="M1734" s="278"/>
    </row>
    <row r="1735" spans="11:13" x14ac:dyDescent="0.25">
      <c r="K1735" s="278"/>
      <c r="L1735" s="278"/>
      <c r="M1735" s="278"/>
    </row>
    <row r="1736" spans="11:13" x14ac:dyDescent="0.25">
      <c r="K1736" s="278"/>
      <c r="L1736" s="278"/>
      <c r="M1736" s="278"/>
    </row>
    <row r="1737" spans="11:13" x14ac:dyDescent="0.25">
      <c r="K1737" s="278"/>
      <c r="L1737" s="278"/>
      <c r="M1737" s="278"/>
    </row>
    <row r="1738" spans="11:13" x14ac:dyDescent="0.25">
      <c r="K1738" s="278"/>
      <c r="L1738" s="278"/>
      <c r="M1738" s="278"/>
    </row>
    <row r="1740" spans="11:13" x14ac:dyDescent="0.25">
      <c r="K1740" s="278"/>
      <c r="L1740" s="278"/>
      <c r="M1740" s="278"/>
    </row>
    <row r="1741" spans="11:13" x14ac:dyDescent="0.25">
      <c r="K1741" s="278"/>
      <c r="L1741" s="278"/>
      <c r="M1741" s="278"/>
    </row>
    <row r="1742" spans="11:13" x14ac:dyDescent="0.25">
      <c r="K1742" s="278"/>
      <c r="L1742" s="278"/>
      <c r="M1742" s="278"/>
    </row>
    <row r="1743" spans="11:13" x14ac:dyDescent="0.25">
      <c r="K1743" s="278"/>
      <c r="L1743" s="278"/>
      <c r="M1743" s="278"/>
    </row>
    <row r="1744" spans="11:13" x14ac:dyDescent="0.25">
      <c r="K1744" s="278"/>
      <c r="L1744" s="278"/>
      <c r="M1744" s="278"/>
    </row>
    <row r="1745" spans="11:13" x14ac:dyDescent="0.25">
      <c r="K1745" s="278"/>
      <c r="L1745" s="278"/>
      <c r="M1745" s="278"/>
    </row>
    <row r="1746" spans="11:13" x14ac:dyDescent="0.25">
      <c r="K1746" s="278"/>
      <c r="L1746" s="278"/>
      <c r="M1746" s="278"/>
    </row>
    <row r="1748" spans="11:13" x14ac:dyDescent="0.25">
      <c r="K1748" s="278"/>
      <c r="L1748" s="278"/>
      <c r="M1748" s="278"/>
    </row>
    <row r="1749" spans="11:13" x14ac:dyDescent="0.25">
      <c r="K1749" s="278"/>
      <c r="L1749" s="278"/>
      <c r="M1749" s="278"/>
    </row>
    <row r="1750" spans="11:13" x14ac:dyDescent="0.25">
      <c r="K1750" s="278"/>
      <c r="L1750" s="278"/>
      <c r="M1750" s="278"/>
    </row>
    <row r="1751" spans="11:13" x14ac:dyDescent="0.25">
      <c r="K1751" s="278"/>
      <c r="L1751" s="278"/>
      <c r="M1751" s="278"/>
    </row>
    <row r="1752" spans="11:13" x14ac:dyDescent="0.25">
      <c r="K1752" s="278"/>
      <c r="L1752" s="278"/>
      <c r="M1752" s="278"/>
    </row>
    <row r="1753" spans="11:13" x14ac:dyDescent="0.25">
      <c r="K1753" s="278"/>
      <c r="L1753" s="278"/>
      <c r="M1753" s="278"/>
    </row>
    <row r="1754" spans="11:13" x14ac:dyDescent="0.25">
      <c r="K1754" s="278"/>
      <c r="L1754" s="278"/>
      <c r="M1754" s="278"/>
    </row>
    <row r="1755" spans="11:13" x14ac:dyDescent="0.25">
      <c r="K1755" s="278"/>
      <c r="L1755" s="278"/>
      <c r="M1755" s="278"/>
    </row>
    <row r="1756" spans="11:13" x14ac:dyDescent="0.25">
      <c r="K1756" s="278"/>
      <c r="L1756" s="278"/>
      <c r="M1756" s="278"/>
    </row>
    <row r="1757" spans="11:13" x14ac:dyDescent="0.25">
      <c r="K1757" s="278"/>
      <c r="L1757" s="278"/>
      <c r="M1757" s="278"/>
    </row>
    <row r="1758" spans="11:13" x14ac:dyDescent="0.25">
      <c r="K1758" s="278"/>
      <c r="L1758" s="278"/>
      <c r="M1758" s="278"/>
    </row>
    <row r="1759" spans="11:13" x14ac:dyDescent="0.25">
      <c r="K1759" s="278"/>
      <c r="L1759" s="278"/>
      <c r="M1759" s="278"/>
    </row>
    <row r="1760" spans="11:13" x14ac:dyDescent="0.25">
      <c r="K1760" s="278"/>
      <c r="L1760" s="278"/>
      <c r="M1760" s="278"/>
    </row>
    <row r="1761" spans="11:13" x14ac:dyDescent="0.25">
      <c r="K1761" s="278"/>
      <c r="L1761" s="278"/>
      <c r="M1761" s="278"/>
    </row>
    <row r="1762" spans="11:13" x14ac:dyDescent="0.25">
      <c r="K1762" s="278"/>
      <c r="L1762" s="278"/>
      <c r="M1762" s="278"/>
    </row>
    <row r="1763" spans="11:13" x14ac:dyDescent="0.25">
      <c r="K1763" s="278"/>
      <c r="L1763" s="278"/>
      <c r="M1763" s="278"/>
    </row>
    <row r="1764" spans="11:13" x14ac:dyDescent="0.25">
      <c r="K1764" s="278"/>
      <c r="L1764" s="278"/>
      <c r="M1764" s="278"/>
    </row>
    <row r="1765" spans="11:13" x14ac:dyDescent="0.25">
      <c r="K1765" s="278"/>
      <c r="L1765" s="278"/>
      <c r="M1765" s="278"/>
    </row>
    <row r="1766" spans="11:13" x14ac:dyDescent="0.25">
      <c r="K1766" s="278"/>
      <c r="L1766" s="278"/>
      <c r="M1766" s="278"/>
    </row>
    <row r="1767" spans="11:13" x14ac:dyDescent="0.25">
      <c r="K1767" s="278"/>
      <c r="L1767" s="278"/>
      <c r="M1767" s="278"/>
    </row>
    <row r="1768" spans="11:13" x14ac:dyDescent="0.25">
      <c r="K1768" s="278"/>
      <c r="L1768" s="278"/>
      <c r="M1768" s="278"/>
    </row>
    <row r="1769" spans="11:13" x14ac:dyDescent="0.25">
      <c r="K1769" s="278"/>
      <c r="L1769" s="278"/>
      <c r="M1769" s="278"/>
    </row>
    <row r="1770" spans="11:13" x14ac:dyDescent="0.25">
      <c r="K1770" s="278"/>
      <c r="L1770" s="278"/>
      <c r="M1770" s="278"/>
    </row>
    <row r="1771" spans="11:13" x14ac:dyDescent="0.25">
      <c r="K1771" s="278"/>
      <c r="L1771" s="278"/>
      <c r="M1771" s="278"/>
    </row>
    <row r="1772" spans="11:13" x14ac:dyDescent="0.25">
      <c r="K1772" s="278"/>
      <c r="L1772" s="278"/>
      <c r="M1772" s="278"/>
    </row>
    <row r="1773" spans="11:13" x14ac:dyDescent="0.25">
      <c r="K1773" s="278"/>
      <c r="L1773" s="278"/>
      <c r="M1773" s="278"/>
    </row>
    <row r="1774" spans="11:13" x14ac:dyDescent="0.25">
      <c r="K1774" s="278"/>
      <c r="L1774" s="278"/>
      <c r="M1774" s="278"/>
    </row>
    <row r="1775" spans="11:13" x14ac:dyDescent="0.25">
      <c r="K1775" s="278"/>
      <c r="L1775" s="278"/>
      <c r="M1775" s="278"/>
    </row>
    <row r="1776" spans="11:13" x14ac:dyDescent="0.25">
      <c r="K1776" s="278"/>
      <c r="L1776" s="278"/>
      <c r="M1776" s="278"/>
    </row>
    <row r="1777" spans="11:13" x14ac:dyDescent="0.25">
      <c r="K1777" s="278"/>
      <c r="L1777" s="278"/>
      <c r="M1777" s="278"/>
    </row>
    <row r="1778" spans="11:13" x14ac:dyDescent="0.25">
      <c r="K1778" s="278"/>
      <c r="L1778" s="278"/>
      <c r="M1778" s="278"/>
    </row>
    <row r="1779" spans="11:13" x14ac:dyDescent="0.25">
      <c r="K1779" s="278"/>
      <c r="L1779" s="278"/>
      <c r="M1779" s="278"/>
    </row>
    <row r="1780" spans="11:13" x14ac:dyDescent="0.25">
      <c r="K1780" s="278"/>
      <c r="L1780" s="278"/>
      <c r="M1780" s="278"/>
    </row>
    <row r="1781" spans="11:13" x14ac:dyDescent="0.25">
      <c r="K1781" s="278"/>
      <c r="L1781" s="278"/>
      <c r="M1781" s="278"/>
    </row>
    <row r="1782" spans="11:13" x14ac:dyDescent="0.25">
      <c r="K1782" s="278"/>
      <c r="L1782" s="278"/>
      <c r="M1782" s="278"/>
    </row>
    <row r="1783" spans="11:13" x14ac:dyDescent="0.25">
      <c r="K1783" s="278"/>
      <c r="L1783" s="278"/>
      <c r="M1783" s="278"/>
    </row>
    <row r="1784" spans="11:13" x14ac:dyDescent="0.25">
      <c r="K1784" s="278"/>
      <c r="L1784" s="278"/>
      <c r="M1784" s="278"/>
    </row>
    <row r="1785" spans="11:13" x14ac:dyDescent="0.25">
      <c r="K1785" s="278"/>
      <c r="L1785" s="278"/>
      <c r="M1785" s="278"/>
    </row>
    <row r="1786" spans="11:13" x14ac:dyDescent="0.25">
      <c r="K1786" s="278"/>
      <c r="L1786" s="278"/>
      <c r="M1786" s="278"/>
    </row>
    <row r="1787" spans="11:13" x14ac:dyDescent="0.25">
      <c r="K1787" s="278"/>
      <c r="L1787" s="278"/>
      <c r="M1787" s="278"/>
    </row>
    <row r="1788" spans="11:13" x14ac:dyDescent="0.25">
      <c r="K1788" s="278"/>
      <c r="L1788" s="278"/>
      <c r="M1788" s="278"/>
    </row>
    <row r="1789" spans="11:13" x14ac:dyDescent="0.25">
      <c r="K1789" s="278"/>
      <c r="L1789" s="278"/>
      <c r="M1789" s="278"/>
    </row>
    <row r="1790" spans="11:13" x14ac:dyDescent="0.25">
      <c r="K1790" s="278"/>
      <c r="L1790" s="278"/>
      <c r="M1790" s="278"/>
    </row>
    <row r="1791" spans="11:13" x14ac:dyDescent="0.25">
      <c r="K1791" s="278"/>
      <c r="L1791" s="278"/>
      <c r="M1791" s="278"/>
    </row>
    <row r="1792" spans="11:13" x14ac:dyDescent="0.25">
      <c r="K1792" s="278"/>
      <c r="L1792" s="278"/>
      <c r="M1792" s="278"/>
    </row>
    <row r="1793" spans="11:13" x14ac:dyDescent="0.25">
      <c r="K1793" s="278"/>
      <c r="L1793" s="278"/>
      <c r="M1793" s="278"/>
    </row>
    <row r="1794" spans="11:13" x14ac:dyDescent="0.25">
      <c r="K1794" s="278"/>
      <c r="L1794" s="278"/>
      <c r="M1794" s="278"/>
    </row>
    <row r="1795" spans="11:13" x14ac:dyDescent="0.25">
      <c r="K1795" s="278"/>
      <c r="L1795" s="278"/>
      <c r="M1795" s="278"/>
    </row>
    <row r="1796" spans="11:13" x14ac:dyDescent="0.25">
      <c r="K1796" s="278"/>
      <c r="L1796" s="278"/>
      <c r="M1796" s="278"/>
    </row>
    <row r="1797" spans="11:13" x14ac:dyDescent="0.25">
      <c r="K1797" s="278"/>
      <c r="L1797" s="278"/>
      <c r="M1797" s="278"/>
    </row>
    <row r="1798" spans="11:13" x14ac:dyDescent="0.25">
      <c r="K1798" s="278"/>
      <c r="L1798" s="278"/>
      <c r="M1798" s="278"/>
    </row>
    <row r="1799" spans="11:13" x14ac:dyDescent="0.25">
      <c r="K1799" s="278"/>
      <c r="L1799" s="278"/>
      <c r="M1799" s="278"/>
    </row>
    <row r="1800" spans="11:13" x14ac:dyDescent="0.25">
      <c r="K1800" s="278"/>
      <c r="L1800" s="278"/>
      <c r="M1800" s="278"/>
    </row>
    <row r="1801" spans="11:13" x14ac:dyDescent="0.25">
      <c r="K1801" s="278"/>
      <c r="L1801" s="278"/>
      <c r="M1801" s="278"/>
    </row>
    <row r="1802" spans="11:13" x14ac:dyDescent="0.25">
      <c r="K1802" s="278"/>
      <c r="L1802" s="278"/>
      <c r="M1802" s="278"/>
    </row>
    <row r="1803" spans="11:13" x14ac:dyDescent="0.25">
      <c r="K1803" s="278"/>
      <c r="L1803" s="278"/>
      <c r="M1803" s="278"/>
    </row>
    <row r="1804" spans="11:13" x14ac:dyDescent="0.25">
      <c r="K1804" s="278"/>
      <c r="L1804" s="278"/>
      <c r="M1804" s="278"/>
    </row>
    <row r="1805" spans="11:13" x14ac:dyDescent="0.25">
      <c r="K1805" s="278"/>
      <c r="L1805" s="278"/>
      <c r="M1805" s="278"/>
    </row>
    <row r="1806" spans="11:13" x14ac:dyDescent="0.25">
      <c r="K1806" s="278"/>
      <c r="L1806" s="278"/>
      <c r="M1806" s="278"/>
    </row>
    <row r="1807" spans="11:13" x14ac:dyDescent="0.25">
      <c r="K1807" s="278"/>
      <c r="L1807" s="278"/>
      <c r="M1807" s="278"/>
    </row>
    <row r="1808" spans="11:13" x14ac:dyDescent="0.25">
      <c r="K1808" s="278"/>
      <c r="L1808" s="278"/>
      <c r="M1808" s="278"/>
    </row>
    <row r="1809" spans="11:13" x14ac:dyDescent="0.25">
      <c r="K1809" s="278"/>
      <c r="L1809" s="278"/>
      <c r="M1809" s="278"/>
    </row>
    <row r="1810" spans="11:13" x14ac:dyDescent="0.25">
      <c r="K1810" s="278"/>
      <c r="L1810" s="278"/>
      <c r="M1810" s="278"/>
    </row>
    <row r="1811" spans="11:13" x14ac:dyDescent="0.25">
      <c r="K1811" s="278"/>
      <c r="L1811" s="278"/>
      <c r="M1811" s="278"/>
    </row>
    <row r="1812" spans="11:13" x14ac:dyDescent="0.25">
      <c r="K1812" s="278"/>
      <c r="L1812" s="278"/>
      <c r="M1812" s="278"/>
    </row>
    <row r="1813" spans="11:13" x14ac:dyDescent="0.25">
      <c r="K1813" s="278"/>
      <c r="L1813" s="278"/>
      <c r="M1813" s="278"/>
    </row>
    <row r="1814" spans="11:13" x14ac:dyDescent="0.25">
      <c r="K1814" s="278"/>
      <c r="L1814" s="278"/>
      <c r="M1814" s="278"/>
    </row>
    <row r="1815" spans="11:13" x14ac:dyDescent="0.25">
      <c r="K1815" s="278"/>
      <c r="L1815" s="278"/>
      <c r="M1815" s="278"/>
    </row>
    <row r="1816" spans="11:13" x14ac:dyDescent="0.25">
      <c r="K1816" s="278"/>
      <c r="L1816" s="278"/>
      <c r="M1816" s="278"/>
    </row>
    <row r="1817" spans="11:13" x14ac:dyDescent="0.25">
      <c r="K1817" s="278"/>
      <c r="L1817" s="278"/>
      <c r="M1817" s="278"/>
    </row>
    <row r="1818" spans="11:13" x14ac:dyDescent="0.25">
      <c r="K1818" s="278"/>
      <c r="L1818" s="278"/>
      <c r="M1818" s="278"/>
    </row>
    <row r="1819" spans="11:13" x14ac:dyDescent="0.25">
      <c r="K1819" s="278"/>
      <c r="L1819" s="278"/>
      <c r="M1819" s="278"/>
    </row>
    <row r="1820" spans="11:13" x14ac:dyDescent="0.25">
      <c r="K1820" s="278"/>
      <c r="L1820" s="278"/>
      <c r="M1820" s="278"/>
    </row>
    <row r="1821" spans="11:13" x14ac:dyDescent="0.25">
      <c r="K1821" s="278"/>
      <c r="L1821" s="278"/>
      <c r="M1821" s="278"/>
    </row>
    <row r="1822" spans="11:13" x14ac:dyDescent="0.25">
      <c r="K1822" s="278"/>
      <c r="L1822" s="278"/>
      <c r="M1822" s="278"/>
    </row>
    <row r="1823" spans="11:13" x14ac:dyDescent="0.25">
      <c r="K1823" s="278"/>
      <c r="L1823" s="278"/>
      <c r="M1823" s="278"/>
    </row>
    <row r="1824" spans="11:13" x14ac:dyDescent="0.25">
      <c r="K1824" s="278"/>
      <c r="L1824" s="278"/>
      <c r="M1824" s="278"/>
    </row>
    <row r="1825" spans="11:13" x14ac:dyDescent="0.25">
      <c r="K1825" s="278"/>
      <c r="L1825" s="278"/>
      <c r="M1825" s="278"/>
    </row>
    <row r="1826" spans="11:13" x14ac:dyDescent="0.25">
      <c r="K1826" s="278"/>
      <c r="L1826" s="278"/>
      <c r="M1826" s="278"/>
    </row>
    <row r="1827" spans="11:13" x14ac:dyDescent="0.25">
      <c r="K1827" s="278"/>
      <c r="L1827" s="278"/>
      <c r="M1827" s="278"/>
    </row>
    <row r="1828" spans="11:13" x14ac:dyDescent="0.25">
      <c r="K1828" s="278"/>
      <c r="L1828" s="278"/>
      <c r="M1828" s="278"/>
    </row>
    <row r="1829" spans="11:13" x14ac:dyDescent="0.25">
      <c r="K1829" s="278"/>
      <c r="L1829" s="278"/>
      <c r="M1829" s="278"/>
    </row>
    <row r="1831" spans="11:13" x14ac:dyDescent="0.25">
      <c r="K1831" s="278"/>
      <c r="L1831" s="278"/>
      <c r="M1831" s="278"/>
    </row>
    <row r="1832" spans="11:13" x14ac:dyDescent="0.25">
      <c r="K1832" s="278"/>
      <c r="L1832" s="278"/>
      <c r="M1832" s="278"/>
    </row>
    <row r="1833" spans="11:13" x14ac:dyDescent="0.25">
      <c r="K1833" s="278"/>
      <c r="L1833" s="278"/>
      <c r="M1833" s="278"/>
    </row>
    <row r="1834" spans="11:13" x14ac:dyDescent="0.25">
      <c r="K1834" s="278"/>
      <c r="L1834" s="278"/>
      <c r="M1834" s="278"/>
    </row>
    <row r="1835" spans="11:13" x14ac:dyDescent="0.25">
      <c r="K1835" s="278"/>
      <c r="L1835" s="278"/>
      <c r="M1835" s="278"/>
    </row>
    <row r="1836" spans="11:13" x14ac:dyDescent="0.25">
      <c r="K1836" s="278"/>
      <c r="L1836" s="278"/>
      <c r="M1836" s="278"/>
    </row>
    <row r="1837" spans="11:13" x14ac:dyDescent="0.25">
      <c r="K1837" s="278"/>
      <c r="L1837" s="278"/>
      <c r="M1837" s="278"/>
    </row>
    <row r="1839" spans="11:13" x14ac:dyDescent="0.25">
      <c r="K1839" s="278"/>
      <c r="L1839" s="278"/>
      <c r="M1839" s="278"/>
    </row>
    <row r="1840" spans="11:13" x14ac:dyDescent="0.25">
      <c r="K1840" s="278"/>
      <c r="L1840" s="278"/>
      <c r="M1840" s="278"/>
    </row>
    <row r="1842" spans="11:13" x14ac:dyDescent="0.25">
      <c r="K1842" s="278"/>
      <c r="L1842" s="278"/>
      <c r="M1842" s="278"/>
    </row>
    <row r="1844" spans="11:13" x14ac:dyDescent="0.25">
      <c r="K1844" s="278"/>
      <c r="L1844" s="278"/>
      <c r="M1844" s="278"/>
    </row>
    <row r="1845" spans="11:13" x14ac:dyDescent="0.25">
      <c r="K1845" s="278"/>
      <c r="L1845" s="278"/>
      <c r="M1845" s="278"/>
    </row>
    <row r="1846" spans="11:13" x14ac:dyDescent="0.25">
      <c r="K1846" s="278"/>
      <c r="L1846" s="278"/>
      <c r="M1846" s="278"/>
    </row>
    <row r="1847" spans="11:13" x14ac:dyDescent="0.25">
      <c r="K1847" s="278"/>
      <c r="L1847" s="278"/>
      <c r="M1847" s="278"/>
    </row>
    <row r="1848" spans="11:13" x14ac:dyDescent="0.25">
      <c r="K1848" s="278"/>
      <c r="L1848" s="278"/>
      <c r="M1848" s="278"/>
    </row>
    <row r="1849" spans="11:13" x14ac:dyDescent="0.25">
      <c r="K1849" s="278"/>
      <c r="L1849" s="278"/>
      <c r="M1849" s="278"/>
    </row>
    <row r="1850" spans="11:13" x14ac:dyDescent="0.25">
      <c r="K1850" s="278"/>
      <c r="L1850" s="278"/>
      <c r="M1850" s="278"/>
    </row>
    <row r="1851" spans="11:13" x14ac:dyDescent="0.25">
      <c r="K1851" s="278"/>
      <c r="L1851" s="278"/>
      <c r="M1851" s="278"/>
    </row>
    <row r="1852" spans="11:13" x14ac:dyDescent="0.25">
      <c r="K1852" s="278"/>
      <c r="L1852" s="278"/>
      <c r="M1852" s="278"/>
    </row>
    <row r="1853" spans="11:13" x14ac:dyDescent="0.25">
      <c r="K1853" s="278"/>
      <c r="L1853" s="278"/>
      <c r="M1853" s="278"/>
    </row>
    <row r="1854" spans="11:13" x14ac:dyDescent="0.25">
      <c r="K1854" s="278"/>
      <c r="L1854" s="278"/>
      <c r="M1854" s="278"/>
    </row>
    <row r="1855" spans="11:13" x14ac:dyDescent="0.25">
      <c r="K1855" s="278"/>
      <c r="L1855" s="278"/>
      <c r="M1855" s="278"/>
    </row>
    <row r="1856" spans="11:13" x14ac:dyDescent="0.25">
      <c r="K1856" s="278"/>
      <c r="L1856" s="278"/>
      <c r="M1856" s="278"/>
    </row>
    <row r="1857" spans="11:13" x14ac:dyDescent="0.25">
      <c r="K1857" s="278"/>
      <c r="L1857" s="278"/>
      <c r="M1857" s="278"/>
    </row>
    <row r="1859" spans="11:13" x14ac:dyDescent="0.25">
      <c r="K1859" s="278"/>
      <c r="L1859" s="278"/>
      <c r="M1859" s="278"/>
    </row>
    <row r="1860" spans="11:13" x14ac:dyDescent="0.25">
      <c r="K1860" s="278"/>
      <c r="L1860" s="278"/>
      <c r="M1860" s="278"/>
    </row>
    <row r="1861" spans="11:13" x14ac:dyDescent="0.25">
      <c r="K1861" s="278"/>
      <c r="L1861" s="278"/>
      <c r="M1861" s="278"/>
    </row>
    <row r="1862" spans="11:13" x14ac:dyDescent="0.25">
      <c r="K1862" s="278"/>
      <c r="L1862" s="278"/>
      <c r="M1862" s="278"/>
    </row>
    <row r="1863" spans="11:13" x14ac:dyDescent="0.25">
      <c r="K1863" s="278"/>
      <c r="L1863" s="278"/>
      <c r="M1863" s="278"/>
    </row>
    <row r="1865" spans="11:13" x14ac:dyDescent="0.25">
      <c r="K1865" s="278"/>
      <c r="L1865" s="278"/>
      <c r="M1865" s="278"/>
    </row>
    <row r="1866" spans="11:13" x14ac:dyDescent="0.25">
      <c r="K1866" s="278"/>
      <c r="L1866" s="278"/>
      <c r="M1866" s="278"/>
    </row>
    <row r="1869" spans="11:13" x14ac:dyDescent="0.25">
      <c r="K1869" s="278"/>
      <c r="L1869" s="278"/>
      <c r="M1869" s="278"/>
    </row>
    <row r="1870" spans="11:13" x14ac:dyDescent="0.25">
      <c r="K1870" s="278"/>
      <c r="L1870" s="278"/>
      <c r="M1870" s="278"/>
    </row>
    <row r="1871" spans="11:13" x14ac:dyDescent="0.25">
      <c r="K1871" s="278"/>
      <c r="L1871" s="278"/>
      <c r="M1871" s="278"/>
    </row>
    <row r="1872" spans="11:13" x14ac:dyDescent="0.25">
      <c r="K1872" s="278"/>
      <c r="L1872" s="278"/>
      <c r="M1872" s="278"/>
    </row>
    <row r="1873" spans="11:13" x14ac:dyDescent="0.25">
      <c r="K1873" s="278"/>
      <c r="L1873" s="278"/>
      <c r="M1873" s="278"/>
    </row>
    <row r="1874" spans="11:13" x14ac:dyDescent="0.25">
      <c r="K1874" s="278"/>
      <c r="L1874" s="278"/>
      <c r="M1874" s="278"/>
    </row>
    <row r="1875" spans="11:13" x14ac:dyDescent="0.25">
      <c r="K1875" s="278"/>
      <c r="L1875" s="278"/>
      <c r="M1875" s="278"/>
    </row>
    <row r="1876" spans="11:13" x14ac:dyDescent="0.25">
      <c r="K1876" s="278"/>
      <c r="L1876" s="278"/>
      <c r="M1876" s="278"/>
    </row>
    <row r="1877" spans="11:13" x14ac:dyDescent="0.25">
      <c r="K1877" s="278"/>
      <c r="L1877" s="278"/>
      <c r="M1877" s="278"/>
    </row>
    <row r="1878" spans="11:13" x14ac:dyDescent="0.25">
      <c r="K1878" s="278"/>
      <c r="L1878" s="278"/>
      <c r="M1878" s="278"/>
    </row>
    <row r="1879" spans="11:13" x14ac:dyDescent="0.25">
      <c r="K1879" s="278"/>
      <c r="L1879" s="278"/>
      <c r="M1879" s="278"/>
    </row>
    <row r="1880" spans="11:13" x14ac:dyDescent="0.25">
      <c r="K1880" s="278"/>
      <c r="L1880" s="278"/>
      <c r="M1880" s="278"/>
    </row>
    <row r="1881" spans="11:13" x14ac:dyDescent="0.25">
      <c r="K1881" s="278"/>
      <c r="L1881" s="278"/>
      <c r="M1881" s="278"/>
    </row>
    <row r="1882" spans="11:13" x14ac:dyDescent="0.25">
      <c r="K1882" s="278"/>
      <c r="L1882" s="278"/>
      <c r="M1882" s="278"/>
    </row>
    <row r="1883" spans="11:13" x14ac:dyDescent="0.25">
      <c r="K1883" s="278"/>
      <c r="L1883" s="278"/>
      <c r="M1883" s="278"/>
    </row>
    <row r="1884" spans="11:13" x14ac:dyDescent="0.25">
      <c r="K1884" s="278"/>
      <c r="L1884" s="278"/>
      <c r="M1884" s="278"/>
    </row>
    <row r="1885" spans="11:13" x14ac:dyDescent="0.25">
      <c r="K1885" s="278"/>
      <c r="L1885" s="278"/>
      <c r="M1885" s="278"/>
    </row>
    <row r="1887" spans="11:13" x14ac:dyDescent="0.25">
      <c r="K1887" s="278"/>
      <c r="L1887" s="278"/>
      <c r="M1887" s="278"/>
    </row>
    <row r="1888" spans="11:13" x14ac:dyDescent="0.25">
      <c r="K1888" s="278"/>
      <c r="L1888" s="278"/>
      <c r="M1888" s="278"/>
    </row>
    <row r="1889" spans="11:13" x14ac:dyDescent="0.25">
      <c r="K1889" s="278"/>
      <c r="L1889" s="278"/>
      <c r="M1889" s="278"/>
    </row>
    <row r="1890" spans="11:13" x14ac:dyDescent="0.25">
      <c r="K1890" s="278"/>
      <c r="L1890" s="278"/>
      <c r="M1890" s="278"/>
    </row>
    <row r="1891" spans="11:13" x14ac:dyDescent="0.25">
      <c r="K1891" s="278"/>
      <c r="L1891" s="278"/>
      <c r="M1891" s="278"/>
    </row>
    <row r="1892" spans="11:13" x14ac:dyDescent="0.25">
      <c r="K1892" s="278"/>
      <c r="L1892" s="278"/>
      <c r="M1892" s="278"/>
    </row>
    <row r="1893" spans="11:13" x14ac:dyDescent="0.25">
      <c r="K1893" s="278"/>
      <c r="L1893" s="278"/>
      <c r="M1893" s="278"/>
    </row>
    <row r="1894" spans="11:13" x14ac:dyDescent="0.25">
      <c r="K1894" s="278"/>
      <c r="L1894" s="278"/>
      <c r="M1894" s="278"/>
    </row>
    <row r="1895" spans="11:13" x14ac:dyDescent="0.25">
      <c r="K1895" s="278"/>
      <c r="L1895" s="278"/>
      <c r="M1895" s="278"/>
    </row>
    <row r="1896" spans="11:13" x14ac:dyDescent="0.25">
      <c r="K1896" s="278"/>
      <c r="L1896" s="278"/>
      <c r="M1896" s="278"/>
    </row>
    <row r="1897" spans="11:13" x14ac:dyDescent="0.25">
      <c r="K1897" s="278"/>
      <c r="L1897" s="278"/>
      <c r="M1897" s="278"/>
    </row>
    <row r="1898" spans="11:13" x14ac:dyDescent="0.25">
      <c r="K1898" s="278"/>
      <c r="L1898" s="278"/>
      <c r="M1898" s="278"/>
    </row>
    <row r="1918" spans="11:13" x14ac:dyDescent="0.25">
      <c r="K1918" s="278"/>
      <c r="L1918" s="278"/>
      <c r="M1918" s="278"/>
    </row>
    <row r="1921" spans="11:13" x14ac:dyDescent="0.25">
      <c r="K1921" s="278"/>
      <c r="L1921" s="278"/>
      <c r="M1921" s="278"/>
    </row>
    <row r="1922" spans="11:13" x14ac:dyDescent="0.25">
      <c r="K1922" s="278"/>
      <c r="L1922" s="278"/>
      <c r="M1922" s="278"/>
    </row>
    <row r="1923" spans="11:13" x14ac:dyDescent="0.25">
      <c r="K1923" s="278"/>
      <c r="L1923" s="278"/>
      <c r="M1923" s="278"/>
    </row>
    <row r="1924" spans="11:13" x14ac:dyDescent="0.25">
      <c r="K1924" s="278"/>
      <c r="L1924" s="278"/>
      <c r="M1924" s="278"/>
    </row>
    <row r="1925" spans="11:13" x14ac:dyDescent="0.25">
      <c r="K1925" s="278"/>
      <c r="L1925" s="278"/>
      <c r="M1925" s="278"/>
    </row>
    <row r="1926" spans="11:13" x14ac:dyDescent="0.25">
      <c r="K1926" s="278"/>
      <c r="L1926" s="278"/>
      <c r="M1926" s="278"/>
    </row>
    <row r="1927" spans="11:13" x14ac:dyDescent="0.25">
      <c r="K1927" s="278"/>
      <c r="L1927" s="278"/>
      <c r="M1927" s="278"/>
    </row>
    <row r="1928" spans="11:13" x14ac:dyDescent="0.25">
      <c r="K1928" s="278"/>
      <c r="L1928" s="278"/>
      <c r="M1928" s="278"/>
    </row>
    <row r="1929" spans="11:13" x14ac:dyDescent="0.25">
      <c r="K1929" s="278"/>
      <c r="L1929" s="278"/>
      <c r="M1929" s="278"/>
    </row>
    <row r="1930" spans="11:13" x14ac:dyDescent="0.25">
      <c r="K1930" s="278"/>
      <c r="L1930" s="278"/>
      <c r="M1930" s="278"/>
    </row>
    <row r="1931" spans="11:13" x14ac:dyDescent="0.25">
      <c r="K1931" s="278"/>
      <c r="L1931" s="278"/>
      <c r="M1931" s="278"/>
    </row>
    <row r="1932" spans="11:13" x14ac:dyDescent="0.25">
      <c r="K1932" s="278"/>
      <c r="L1932" s="278"/>
      <c r="M1932" s="278"/>
    </row>
    <row r="1933" spans="11:13" x14ac:dyDescent="0.25">
      <c r="K1933" s="278"/>
      <c r="L1933" s="278"/>
      <c r="M1933" s="278"/>
    </row>
    <row r="1934" spans="11:13" x14ac:dyDescent="0.25">
      <c r="K1934" s="278"/>
      <c r="L1934" s="278"/>
      <c r="M1934" s="278"/>
    </row>
    <row r="1935" spans="11:13" x14ac:dyDescent="0.25">
      <c r="K1935" s="278"/>
      <c r="L1935" s="278"/>
      <c r="M1935" s="278"/>
    </row>
    <row r="1936" spans="11:13" x14ac:dyDescent="0.25">
      <c r="K1936" s="278"/>
      <c r="L1936" s="278"/>
      <c r="M1936" s="278"/>
    </row>
    <row r="1937" spans="11:13" x14ac:dyDescent="0.25">
      <c r="K1937" s="278"/>
      <c r="L1937" s="278"/>
      <c r="M1937" s="278"/>
    </row>
    <row r="1938" spans="11:13" x14ac:dyDescent="0.25">
      <c r="K1938" s="278"/>
      <c r="L1938" s="278"/>
      <c r="M1938" s="278"/>
    </row>
    <row r="1939" spans="11:13" x14ac:dyDescent="0.25">
      <c r="K1939" s="278"/>
      <c r="L1939" s="278"/>
      <c r="M1939" s="278"/>
    </row>
    <row r="1940" spans="11:13" x14ac:dyDescent="0.25">
      <c r="K1940" s="278"/>
      <c r="L1940" s="278"/>
      <c r="M1940" s="278"/>
    </row>
    <row r="1941" spans="11:13" x14ac:dyDescent="0.25">
      <c r="K1941" s="278"/>
      <c r="L1941" s="278"/>
      <c r="M1941" s="278"/>
    </row>
    <row r="1944" spans="11:13" x14ac:dyDescent="0.25">
      <c r="K1944" s="278"/>
      <c r="L1944" s="278"/>
      <c r="M1944" s="278"/>
    </row>
    <row r="1945" spans="11:13" x14ac:dyDescent="0.25">
      <c r="K1945" s="278"/>
      <c r="L1945" s="278"/>
      <c r="M1945" s="278"/>
    </row>
    <row r="1946" spans="11:13" x14ac:dyDescent="0.25">
      <c r="K1946" s="278"/>
      <c r="L1946" s="278"/>
      <c r="M1946" s="278"/>
    </row>
    <row r="1947" spans="11:13" x14ac:dyDescent="0.25">
      <c r="K1947" s="278"/>
      <c r="L1947" s="278"/>
      <c r="M1947" s="278"/>
    </row>
    <row r="1948" spans="11:13" x14ac:dyDescent="0.25">
      <c r="K1948" s="278"/>
      <c r="L1948" s="278"/>
      <c r="M1948" s="278"/>
    </row>
    <row r="1949" spans="11:13" x14ac:dyDescent="0.25">
      <c r="K1949" s="278"/>
      <c r="L1949" s="278"/>
      <c r="M1949" s="278"/>
    </row>
    <row r="1950" spans="11:13" x14ac:dyDescent="0.25">
      <c r="K1950" s="278"/>
      <c r="L1950" s="278"/>
      <c r="M1950" s="278"/>
    </row>
    <row r="1951" spans="11:13" x14ac:dyDescent="0.25">
      <c r="K1951" s="278"/>
      <c r="L1951" s="278"/>
      <c r="M1951" s="278"/>
    </row>
    <row r="1952" spans="11:13" x14ac:dyDescent="0.25">
      <c r="K1952" s="278"/>
      <c r="L1952" s="278"/>
      <c r="M1952" s="278"/>
    </row>
    <row r="1953" spans="11:13" x14ac:dyDescent="0.25">
      <c r="K1953" s="278"/>
      <c r="L1953" s="278"/>
      <c r="M1953" s="278"/>
    </row>
    <row r="1954" spans="11:13" x14ac:dyDescent="0.25">
      <c r="K1954" s="278"/>
      <c r="L1954" s="278"/>
      <c r="M1954" s="278"/>
    </row>
    <row r="1955" spans="11:13" x14ac:dyDescent="0.25">
      <c r="K1955" s="278"/>
      <c r="L1955" s="278"/>
      <c r="M1955" s="278"/>
    </row>
    <row r="1956" spans="11:13" x14ac:dyDescent="0.25">
      <c r="K1956" s="278"/>
      <c r="L1956" s="278"/>
      <c r="M1956" s="278"/>
    </row>
    <row r="1957" spans="11:13" x14ac:dyDescent="0.25">
      <c r="K1957" s="278"/>
      <c r="L1957" s="278"/>
      <c r="M1957" s="278"/>
    </row>
    <row r="1958" spans="11:13" x14ac:dyDescent="0.25">
      <c r="K1958" s="278"/>
      <c r="L1958" s="278"/>
      <c r="M1958" s="278"/>
    </row>
    <row r="1959" spans="11:13" x14ac:dyDescent="0.25">
      <c r="K1959" s="278"/>
      <c r="L1959" s="278"/>
      <c r="M1959" s="278"/>
    </row>
    <row r="1960" spans="11:13" x14ac:dyDescent="0.25">
      <c r="K1960" s="278"/>
      <c r="L1960" s="278"/>
      <c r="M1960" s="278"/>
    </row>
    <row r="1961" spans="11:13" x14ac:dyDescent="0.25">
      <c r="K1961" s="278"/>
      <c r="L1961" s="278"/>
      <c r="M1961" s="278"/>
    </row>
    <row r="1962" spans="11:13" x14ac:dyDescent="0.25">
      <c r="K1962" s="278"/>
      <c r="L1962" s="278"/>
      <c r="M1962" s="278"/>
    </row>
    <row r="1963" spans="11:13" x14ac:dyDescent="0.25">
      <c r="K1963" s="278"/>
      <c r="L1963" s="278"/>
      <c r="M1963" s="278"/>
    </row>
    <row r="1964" spans="11:13" x14ac:dyDescent="0.25">
      <c r="K1964" s="278"/>
      <c r="L1964" s="278"/>
      <c r="M1964" s="278"/>
    </row>
    <row r="1965" spans="11:13" x14ac:dyDescent="0.25">
      <c r="K1965" s="278"/>
      <c r="L1965" s="278"/>
      <c r="M1965" s="278"/>
    </row>
    <row r="1966" spans="11:13" x14ac:dyDescent="0.25">
      <c r="K1966" s="278"/>
      <c r="L1966" s="278"/>
      <c r="M1966" s="278"/>
    </row>
    <row r="1967" spans="11:13" x14ac:dyDescent="0.25">
      <c r="K1967" s="278"/>
      <c r="L1967" s="278"/>
      <c r="M1967" s="278"/>
    </row>
    <row r="1968" spans="11:13" x14ac:dyDescent="0.25">
      <c r="K1968" s="278"/>
      <c r="L1968" s="278"/>
      <c r="M1968" s="278"/>
    </row>
    <row r="1969" spans="11:13" x14ac:dyDescent="0.25">
      <c r="K1969" s="278"/>
      <c r="L1969" s="278"/>
      <c r="M1969" s="278"/>
    </row>
    <row r="1970" spans="11:13" x14ac:dyDescent="0.25">
      <c r="K1970" s="278"/>
      <c r="L1970" s="278"/>
      <c r="M1970" s="278"/>
    </row>
    <row r="1971" spans="11:13" x14ac:dyDescent="0.25">
      <c r="K1971" s="278"/>
      <c r="L1971" s="278"/>
      <c r="M1971" s="278"/>
    </row>
    <row r="1972" spans="11:13" x14ac:dyDescent="0.25">
      <c r="K1972" s="278"/>
      <c r="L1972" s="278"/>
      <c r="M1972" s="278"/>
    </row>
    <row r="1973" spans="11:13" x14ac:dyDescent="0.25">
      <c r="K1973" s="278"/>
      <c r="L1973" s="278"/>
      <c r="M1973" s="278"/>
    </row>
    <row r="1974" spans="11:13" x14ac:dyDescent="0.25">
      <c r="K1974" s="278"/>
      <c r="L1974" s="278"/>
      <c r="M1974" s="278"/>
    </row>
    <row r="1975" spans="11:13" x14ac:dyDescent="0.25">
      <c r="K1975" s="278"/>
      <c r="L1975" s="278"/>
      <c r="M1975" s="278"/>
    </row>
    <row r="1976" spans="11:13" x14ac:dyDescent="0.25">
      <c r="K1976" s="278"/>
      <c r="L1976" s="278"/>
      <c r="M1976" s="278"/>
    </row>
    <row r="1977" spans="11:13" x14ac:dyDescent="0.25">
      <c r="K1977" s="278"/>
      <c r="L1977" s="278"/>
      <c r="M1977" s="278"/>
    </row>
    <row r="1978" spans="11:13" x14ac:dyDescent="0.25">
      <c r="K1978" s="278"/>
      <c r="L1978" s="278"/>
      <c r="M1978" s="278"/>
    </row>
    <row r="1979" spans="11:13" x14ac:dyDescent="0.25">
      <c r="K1979" s="278"/>
      <c r="L1979" s="278"/>
      <c r="M1979" s="278"/>
    </row>
    <row r="1980" spans="11:13" x14ac:dyDescent="0.25">
      <c r="K1980" s="278"/>
      <c r="L1980" s="278"/>
      <c r="M1980" s="278"/>
    </row>
    <row r="1981" spans="11:13" x14ac:dyDescent="0.25">
      <c r="K1981" s="278"/>
      <c r="L1981" s="278"/>
      <c r="M1981" s="278"/>
    </row>
    <row r="1982" spans="11:13" x14ac:dyDescent="0.25">
      <c r="K1982" s="278"/>
      <c r="L1982" s="278"/>
      <c r="M1982" s="278"/>
    </row>
    <row r="1983" spans="11:13" x14ac:dyDescent="0.25">
      <c r="K1983" s="278"/>
      <c r="L1983" s="278"/>
      <c r="M1983" s="278"/>
    </row>
    <row r="1984" spans="11:13" x14ac:dyDescent="0.25">
      <c r="K1984" s="278"/>
      <c r="L1984" s="278"/>
      <c r="M1984" s="278"/>
    </row>
    <row r="1985" spans="11:13" x14ac:dyDescent="0.25">
      <c r="K1985" s="278"/>
      <c r="L1985" s="278"/>
      <c r="M1985" s="278"/>
    </row>
    <row r="1986" spans="11:13" x14ac:dyDescent="0.25">
      <c r="K1986" s="278"/>
      <c r="L1986" s="278"/>
      <c r="M1986" s="278"/>
    </row>
    <row r="1987" spans="11:13" x14ac:dyDescent="0.25">
      <c r="K1987" s="278"/>
      <c r="L1987" s="278"/>
      <c r="M1987" s="278"/>
    </row>
    <row r="1988" spans="11:13" x14ac:dyDescent="0.25">
      <c r="K1988" s="278"/>
      <c r="L1988" s="278"/>
      <c r="M1988" s="278"/>
    </row>
    <row r="1989" spans="11:13" x14ac:dyDescent="0.25">
      <c r="K1989" s="278"/>
      <c r="L1989" s="278"/>
      <c r="M1989" s="278"/>
    </row>
    <row r="1990" spans="11:13" x14ac:dyDescent="0.25">
      <c r="K1990" s="278"/>
      <c r="L1990" s="278"/>
      <c r="M1990" s="278"/>
    </row>
    <row r="1991" spans="11:13" x14ac:dyDescent="0.25">
      <c r="K1991" s="278"/>
      <c r="L1991" s="278"/>
      <c r="M1991" s="278"/>
    </row>
    <row r="1992" spans="11:13" x14ac:dyDescent="0.25">
      <c r="K1992" s="278"/>
      <c r="L1992" s="278"/>
      <c r="M1992" s="278"/>
    </row>
    <row r="1993" spans="11:13" x14ac:dyDescent="0.25">
      <c r="K1993" s="278"/>
      <c r="L1993" s="278"/>
      <c r="M1993" s="278"/>
    </row>
    <row r="1994" spans="11:13" x14ac:dyDescent="0.25">
      <c r="K1994" s="278"/>
      <c r="L1994" s="278"/>
      <c r="M1994" s="278"/>
    </row>
    <row r="1995" spans="11:13" x14ac:dyDescent="0.25">
      <c r="K1995" s="278"/>
      <c r="L1995" s="278"/>
      <c r="M1995" s="278"/>
    </row>
    <row r="1998" spans="11:13" x14ac:dyDescent="0.25">
      <c r="K1998" s="278"/>
      <c r="L1998" s="278"/>
      <c r="M1998" s="278"/>
    </row>
    <row r="1999" spans="11:13" x14ac:dyDescent="0.25">
      <c r="K1999" s="278"/>
      <c r="L1999" s="278"/>
      <c r="M1999" s="278"/>
    </row>
    <row r="2000" spans="11:13" x14ac:dyDescent="0.25">
      <c r="K2000" s="278"/>
      <c r="L2000" s="278"/>
      <c r="M2000" s="278"/>
    </row>
    <row r="2001" spans="11:13" x14ac:dyDescent="0.25">
      <c r="K2001" s="278"/>
      <c r="L2001" s="278"/>
      <c r="M2001" s="278"/>
    </row>
    <row r="2002" spans="11:13" x14ac:dyDescent="0.25">
      <c r="K2002" s="278"/>
      <c r="L2002" s="278"/>
      <c r="M2002" s="278"/>
    </row>
    <row r="2003" spans="11:13" x14ac:dyDescent="0.25">
      <c r="K2003" s="278"/>
      <c r="L2003" s="278"/>
      <c r="M2003" s="278"/>
    </row>
    <row r="2004" spans="11:13" x14ac:dyDescent="0.25">
      <c r="K2004" s="278"/>
      <c r="L2004" s="278"/>
      <c r="M2004" s="278"/>
    </row>
    <row r="2005" spans="11:13" x14ac:dyDescent="0.25">
      <c r="K2005" s="278"/>
      <c r="L2005" s="278"/>
      <c r="M2005" s="278"/>
    </row>
    <row r="2006" spans="11:13" x14ac:dyDescent="0.25">
      <c r="K2006" s="278"/>
      <c r="L2006" s="278"/>
      <c r="M2006" s="278"/>
    </row>
    <row r="2007" spans="11:13" x14ac:dyDescent="0.25">
      <c r="K2007" s="278"/>
      <c r="L2007" s="278"/>
      <c r="M2007" s="278"/>
    </row>
    <row r="2008" spans="11:13" x14ac:dyDescent="0.25">
      <c r="K2008" s="278"/>
      <c r="L2008" s="278"/>
      <c r="M2008" s="278"/>
    </row>
    <row r="2009" spans="11:13" x14ac:dyDescent="0.25">
      <c r="K2009" s="278"/>
      <c r="L2009" s="278"/>
      <c r="M2009" s="278"/>
    </row>
    <row r="2010" spans="11:13" x14ac:dyDescent="0.25">
      <c r="K2010" s="278"/>
      <c r="L2010" s="278"/>
      <c r="M2010" s="278"/>
    </row>
    <row r="2011" spans="11:13" x14ac:dyDescent="0.25">
      <c r="K2011" s="278"/>
      <c r="L2011" s="278"/>
      <c r="M2011" s="278"/>
    </row>
    <row r="2012" spans="11:13" x14ac:dyDescent="0.25">
      <c r="K2012" s="278"/>
      <c r="L2012" s="278"/>
      <c r="M2012" s="278"/>
    </row>
    <row r="2013" spans="11:13" x14ac:dyDescent="0.25">
      <c r="K2013" s="278"/>
      <c r="L2013" s="278"/>
      <c r="M2013" s="278"/>
    </row>
    <row r="2014" spans="11:13" x14ac:dyDescent="0.25">
      <c r="K2014" s="278"/>
      <c r="L2014" s="278"/>
      <c r="M2014" s="278"/>
    </row>
    <row r="2015" spans="11:13" x14ac:dyDescent="0.25">
      <c r="K2015" s="278"/>
      <c r="L2015" s="278"/>
      <c r="M2015" s="278"/>
    </row>
    <row r="2016" spans="11:13" x14ac:dyDescent="0.25">
      <c r="K2016" s="278"/>
      <c r="L2016" s="278"/>
      <c r="M2016" s="278"/>
    </row>
    <row r="2017" spans="11:13" x14ac:dyDescent="0.25">
      <c r="K2017" s="278"/>
      <c r="L2017" s="278"/>
      <c r="M2017" s="278"/>
    </row>
    <row r="2018" spans="11:13" x14ac:dyDescent="0.25">
      <c r="K2018" s="278"/>
      <c r="L2018" s="278"/>
      <c r="M2018" s="278"/>
    </row>
    <row r="2021" spans="11:13" x14ac:dyDescent="0.25">
      <c r="K2021" s="278"/>
      <c r="L2021" s="278"/>
      <c r="M2021" s="278"/>
    </row>
    <row r="2041" spans="11:13" x14ac:dyDescent="0.25">
      <c r="K2041" s="278"/>
      <c r="L2041" s="278"/>
      <c r="M2041" s="278"/>
    </row>
    <row r="2042" spans="11:13" x14ac:dyDescent="0.25">
      <c r="K2042" s="278"/>
      <c r="L2042" s="278"/>
      <c r="M2042" s="278"/>
    </row>
    <row r="2043" spans="11:13" x14ac:dyDescent="0.25">
      <c r="K2043" s="278"/>
      <c r="L2043" s="278"/>
      <c r="M2043" s="278"/>
    </row>
    <row r="2044" spans="11:13" x14ac:dyDescent="0.25">
      <c r="K2044" s="278"/>
      <c r="L2044" s="278"/>
      <c r="M2044" s="278"/>
    </row>
    <row r="2045" spans="11:13" x14ac:dyDescent="0.25">
      <c r="K2045" s="278"/>
      <c r="L2045" s="278"/>
      <c r="M2045" s="278"/>
    </row>
    <row r="2046" spans="11:13" x14ac:dyDescent="0.25">
      <c r="K2046" s="278"/>
      <c r="L2046" s="278"/>
      <c r="M2046" s="278"/>
    </row>
    <row r="2047" spans="11:13" x14ac:dyDescent="0.25">
      <c r="K2047" s="278"/>
      <c r="L2047" s="278"/>
      <c r="M2047" s="278"/>
    </row>
    <row r="2048" spans="11:13" x14ac:dyDescent="0.25">
      <c r="K2048" s="278"/>
      <c r="L2048" s="278"/>
      <c r="M2048" s="278"/>
    </row>
    <row r="2049" spans="11:13" x14ac:dyDescent="0.25">
      <c r="K2049" s="278"/>
      <c r="L2049" s="278"/>
      <c r="M2049" s="278"/>
    </row>
    <row r="2050" spans="11:13" x14ac:dyDescent="0.25">
      <c r="K2050" s="278"/>
      <c r="L2050" s="278"/>
      <c r="M2050" s="278"/>
    </row>
    <row r="2051" spans="11:13" x14ac:dyDescent="0.25">
      <c r="K2051" s="278"/>
      <c r="L2051" s="278"/>
      <c r="M2051" s="278"/>
    </row>
    <row r="2052" spans="11:13" x14ac:dyDescent="0.25">
      <c r="K2052" s="278"/>
      <c r="L2052" s="278"/>
      <c r="M2052" s="278"/>
    </row>
    <row r="2054" spans="11:13" x14ac:dyDescent="0.25">
      <c r="K2054" s="278"/>
      <c r="L2054" s="278"/>
      <c r="M2054" s="278"/>
    </row>
    <row r="2055" spans="11:13" x14ac:dyDescent="0.25">
      <c r="K2055" s="278"/>
      <c r="L2055" s="278"/>
      <c r="M2055" s="278"/>
    </row>
    <row r="2056" spans="11:13" x14ac:dyDescent="0.25">
      <c r="K2056" s="278"/>
      <c r="L2056" s="278"/>
      <c r="M2056" s="278"/>
    </row>
    <row r="2057" spans="11:13" x14ac:dyDescent="0.25">
      <c r="K2057" s="278"/>
      <c r="L2057" s="278"/>
      <c r="M2057" s="278"/>
    </row>
    <row r="2058" spans="11:13" x14ac:dyDescent="0.25">
      <c r="K2058" s="278"/>
      <c r="L2058" s="278"/>
      <c r="M2058" s="278"/>
    </row>
    <row r="2059" spans="11:13" x14ac:dyDescent="0.25">
      <c r="K2059" s="278"/>
      <c r="L2059" s="278"/>
      <c r="M2059" s="278"/>
    </row>
    <row r="2060" spans="11:13" x14ac:dyDescent="0.25">
      <c r="K2060" s="278"/>
      <c r="L2060" s="278"/>
      <c r="M2060" s="278"/>
    </row>
    <row r="2061" spans="11:13" x14ac:dyDescent="0.25">
      <c r="K2061" s="278"/>
      <c r="L2061" s="278"/>
      <c r="M2061" s="278"/>
    </row>
    <row r="2062" spans="11:13" x14ac:dyDescent="0.25">
      <c r="K2062" s="278"/>
      <c r="L2062" s="278"/>
      <c r="M2062" s="278"/>
    </row>
    <row r="2063" spans="11:13" x14ac:dyDescent="0.25">
      <c r="K2063" s="278"/>
      <c r="L2063" s="278"/>
      <c r="M2063" s="278"/>
    </row>
    <row r="2064" spans="11:13" x14ac:dyDescent="0.25">
      <c r="K2064" s="278"/>
      <c r="L2064" s="278"/>
      <c r="M2064" s="278"/>
    </row>
    <row r="2065" spans="11:13" x14ac:dyDescent="0.25">
      <c r="K2065" s="278"/>
      <c r="L2065" s="278"/>
      <c r="M2065" s="278"/>
    </row>
    <row r="2066" spans="11:13" x14ac:dyDescent="0.25">
      <c r="K2066" s="278"/>
      <c r="L2066" s="278"/>
      <c r="M2066" s="278"/>
    </row>
    <row r="2067" spans="11:13" x14ac:dyDescent="0.25">
      <c r="K2067" s="278"/>
      <c r="L2067" s="278"/>
      <c r="M2067" s="278"/>
    </row>
    <row r="2068" spans="11:13" x14ac:dyDescent="0.25">
      <c r="K2068" s="278"/>
      <c r="L2068" s="278"/>
      <c r="M2068" s="278"/>
    </row>
    <row r="2069" spans="11:13" x14ac:dyDescent="0.25">
      <c r="K2069" s="278"/>
      <c r="L2069" s="278"/>
      <c r="M2069" s="278"/>
    </row>
    <row r="2070" spans="11:13" x14ac:dyDescent="0.25">
      <c r="K2070" s="278"/>
      <c r="L2070" s="278"/>
      <c r="M2070" s="278"/>
    </row>
    <row r="2073" spans="11:13" x14ac:dyDescent="0.25">
      <c r="K2073" s="278"/>
      <c r="L2073" s="278"/>
      <c r="M2073" s="278"/>
    </row>
    <row r="2074" spans="11:13" x14ac:dyDescent="0.25">
      <c r="K2074" s="278"/>
      <c r="L2074" s="278"/>
      <c r="M2074" s="278"/>
    </row>
    <row r="2076" spans="11:13" x14ac:dyDescent="0.25">
      <c r="K2076" s="278"/>
      <c r="L2076" s="278"/>
      <c r="M2076" s="278"/>
    </row>
    <row r="2077" spans="11:13" x14ac:dyDescent="0.25">
      <c r="K2077" s="278"/>
      <c r="L2077" s="278"/>
      <c r="M2077" s="278"/>
    </row>
    <row r="2078" spans="11:13" x14ac:dyDescent="0.25">
      <c r="K2078" s="278"/>
      <c r="L2078" s="278"/>
      <c r="M2078" s="278"/>
    </row>
    <row r="2079" spans="11:13" x14ac:dyDescent="0.25">
      <c r="K2079" s="278"/>
      <c r="L2079" s="278"/>
      <c r="M2079" s="278"/>
    </row>
    <row r="2080" spans="11:13" x14ac:dyDescent="0.25">
      <c r="K2080" s="278"/>
      <c r="L2080" s="278"/>
      <c r="M2080" s="278"/>
    </row>
    <row r="2082" spans="11:13" x14ac:dyDescent="0.25">
      <c r="K2082" s="278"/>
      <c r="L2082" s="278"/>
      <c r="M2082" s="278"/>
    </row>
    <row r="2083" spans="11:13" x14ac:dyDescent="0.25">
      <c r="K2083" s="278"/>
      <c r="L2083" s="278"/>
      <c r="M2083" s="278"/>
    </row>
    <row r="2084" spans="11:13" x14ac:dyDescent="0.25">
      <c r="K2084" s="278"/>
      <c r="L2084" s="278"/>
      <c r="M2084" s="278"/>
    </row>
    <row r="2085" spans="11:13" x14ac:dyDescent="0.25">
      <c r="K2085" s="278"/>
      <c r="L2085" s="278"/>
      <c r="M2085" s="278"/>
    </row>
    <row r="2086" spans="11:13" x14ac:dyDescent="0.25">
      <c r="K2086" s="278"/>
      <c r="L2086" s="278"/>
      <c r="M2086" s="278"/>
    </row>
    <row r="2087" spans="11:13" x14ac:dyDescent="0.25">
      <c r="K2087" s="278"/>
      <c r="L2087" s="278"/>
      <c r="M2087" s="278"/>
    </row>
    <row r="2088" spans="11:13" x14ac:dyDescent="0.25">
      <c r="K2088" s="278"/>
      <c r="L2088" s="278"/>
      <c r="M2088" s="278"/>
    </row>
    <row r="2089" spans="11:13" x14ac:dyDescent="0.25">
      <c r="K2089" s="278"/>
      <c r="L2089" s="278"/>
      <c r="M2089" s="278"/>
    </row>
    <row r="2090" spans="11:13" x14ac:dyDescent="0.25">
      <c r="K2090" s="278"/>
      <c r="L2090" s="278"/>
      <c r="M2090" s="278"/>
    </row>
    <row r="2091" spans="11:13" x14ac:dyDescent="0.25">
      <c r="K2091" s="278"/>
      <c r="L2091" s="278"/>
      <c r="M2091" s="278"/>
    </row>
    <row r="2092" spans="11:13" x14ac:dyDescent="0.25">
      <c r="K2092" s="278"/>
      <c r="L2092" s="278"/>
      <c r="M2092" s="278"/>
    </row>
    <row r="2093" spans="11:13" x14ac:dyDescent="0.25">
      <c r="K2093" s="278"/>
      <c r="L2093" s="278"/>
      <c r="M2093" s="278"/>
    </row>
    <row r="2094" spans="11:13" x14ac:dyDescent="0.25">
      <c r="K2094" s="278"/>
      <c r="L2094" s="278"/>
      <c r="M2094" s="278"/>
    </row>
    <row r="2095" spans="11:13" x14ac:dyDescent="0.25">
      <c r="K2095" s="278"/>
      <c r="L2095" s="278"/>
      <c r="M2095" s="278"/>
    </row>
    <row r="2097" spans="11:13" x14ac:dyDescent="0.25">
      <c r="K2097" s="278"/>
      <c r="L2097" s="278"/>
      <c r="M2097" s="278"/>
    </row>
    <row r="2099" spans="11:13" x14ac:dyDescent="0.25">
      <c r="K2099" s="278"/>
      <c r="L2099" s="278"/>
      <c r="M2099" s="278"/>
    </row>
    <row r="2100" spans="11:13" x14ac:dyDescent="0.25">
      <c r="K2100" s="278"/>
      <c r="L2100" s="278"/>
      <c r="M2100" s="278"/>
    </row>
    <row r="2102" spans="11:13" x14ac:dyDescent="0.25">
      <c r="K2102" s="278"/>
      <c r="L2102" s="278"/>
      <c r="M2102" s="278"/>
    </row>
    <row r="2103" spans="11:13" x14ac:dyDescent="0.25">
      <c r="K2103" s="278"/>
      <c r="L2103" s="278"/>
      <c r="M2103" s="278"/>
    </row>
    <row r="2104" spans="11:13" x14ac:dyDescent="0.25">
      <c r="K2104" s="278"/>
      <c r="L2104" s="278"/>
      <c r="M2104" s="278"/>
    </row>
    <row r="2105" spans="11:13" x14ac:dyDescent="0.25">
      <c r="K2105" s="278"/>
      <c r="L2105" s="278"/>
      <c r="M2105" s="278"/>
    </row>
    <row r="2106" spans="11:13" x14ac:dyDescent="0.25">
      <c r="K2106" s="278"/>
      <c r="L2106" s="278"/>
      <c r="M2106" s="278"/>
    </row>
    <row r="2107" spans="11:13" x14ac:dyDescent="0.25">
      <c r="K2107" s="278"/>
      <c r="L2107" s="278"/>
      <c r="M2107" s="278"/>
    </row>
    <row r="2108" spans="11:13" x14ac:dyDescent="0.25">
      <c r="K2108" s="278"/>
      <c r="L2108" s="278"/>
      <c r="M2108" s="278"/>
    </row>
    <row r="2110" spans="11:13" x14ac:dyDescent="0.25">
      <c r="K2110" s="278"/>
      <c r="L2110" s="278"/>
      <c r="M2110" s="278"/>
    </row>
    <row r="2111" spans="11:13" x14ac:dyDescent="0.25">
      <c r="K2111" s="278"/>
      <c r="L2111" s="278"/>
      <c r="M2111" s="278"/>
    </row>
    <row r="2112" spans="11:13" x14ac:dyDescent="0.25">
      <c r="K2112" s="278"/>
      <c r="L2112" s="278"/>
      <c r="M2112" s="278"/>
    </row>
    <row r="2113" spans="11:13" x14ac:dyDescent="0.25">
      <c r="K2113" s="278"/>
      <c r="L2113" s="278"/>
      <c r="M2113" s="278"/>
    </row>
    <row r="2114" spans="11:13" x14ac:dyDescent="0.25">
      <c r="K2114" s="278"/>
      <c r="L2114" s="278"/>
      <c r="M2114" s="278"/>
    </row>
    <row r="2115" spans="11:13" x14ac:dyDescent="0.25">
      <c r="K2115" s="278"/>
      <c r="L2115" s="278"/>
      <c r="M2115" s="278"/>
    </row>
    <row r="2116" spans="11:13" x14ac:dyDescent="0.25">
      <c r="K2116" s="278"/>
      <c r="L2116" s="278"/>
      <c r="M2116" s="278"/>
    </row>
    <row r="2117" spans="11:13" x14ac:dyDescent="0.25">
      <c r="K2117" s="278"/>
      <c r="L2117" s="278"/>
      <c r="M2117" s="278"/>
    </row>
    <row r="2118" spans="11:13" x14ac:dyDescent="0.25">
      <c r="K2118" s="278"/>
      <c r="L2118" s="278"/>
      <c r="M2118" s="278"/>
    </row>
    <row r="2119" spans="11:13" x14ac:dyDescent="0.25">
      <c r="K2119" s="278"/>
      <c r="L2119" s="278"/>
      <c r="M2119" s="278"/>
    </row>
    <row r="2120" spans="11:13" x14ac:dyDescent="0.25">
      <c r="K2120" s="278"/>
      <c r="L2120" s="278"/>
      <c r="M2120" s="278"/>
    </row>
    <row r="2121" spans="11:13" x14ac:dyDescent="0.25">
      <c r="K2121" s="278"/>
      <c r="L2121" s="278"/>
      <c r="M2121" s="278"/>
    </row>
    <row r="2122" spans="11:13" x14ac:dyDescent="0.25">
      <c r="K2122" s="278"/>
      <c r="L2122" s="278"/>
      <c r="M2122" s="278"/>
    </row>
    <row r="2123" spans="11:13" x14ac:dyDescent="0.25">
      <c r="K2123" s="278"/>
      <c r="L2123" s="278"/>
      <c r="M2123" s="278"/>
    </row>
    <row r="2124" spans="11:13" x14ac:dyDescent="0.25">
      <c r="K2124" s="278"/>
      <c r="L2124" s="278"/>
      <c r="M2124" s="278"/>
    </row>
    <row r="2125" spans="11:13" x14ac:dyDescent="0.25">
      <c r="K2125" s="278"/>
      <c r="L2125" s="278"/>
      <c r="M2125" s="278"/>
    </row>
    <row r="2126" spans="11:13" x14ac:dyDescent="0.25">
      <c r="K2126" s="278"/>
      <c r="L2126" s="278"/>
      <c r="M2126" s="278"/>
    </row>
    <row r="2127" spans="11:13" x14ac:dyDescent="0.25">
      <c r="K2127" s="278"/>
      <c r="L2127" s="278"/>
      <c r="M2127" s="278"/>
    </row>
    <row r="2128" spans="11:13" x14ac:dyDescent="0.25">
      <c r="K2128" s="278"/>
      <c r="L2128" s="278"/>
      <c r="M2128" s="278"/>
    </row>
    <row r="2129" spans="11:13" x14ac:dyDescent="0.25">
      <c r="K2129" s="278"/>
      <c r="L2129" s="278"/>
      <c r="M2129" s="278"/>
    </row>
    <row r="2130" spans="11:13" x14ac:dyDescent="0.25">
      <c r="K2130" s="278"/>
      <c r="L2130" s="278"/>
      <c r="M2130" s="278"/>
    </row>
    <row r="2131" spans="11:13" x14ac:dyDescent="0.25">
      <c r="K2131" s="278"/>
      <c r="L2131" s="278"/>
      <c r="M2131" s="278"/>
    </row>
    <row r="2132" spans="11:13" x14ac:dyDescent="0.25">
      <c r="K2132" s="278"/>
      <c r="L2132" s="278"/>
      <c r="M2132" s="278"/>
    </row>
    <row r="2133" spans="11:13" x14ac:dyDescent="0.25">
      <c r="K2133" s="278"/>
      <c r="L2133" s="278"/>
      <c r="M2133" s="278"/>
    </row>
    <row r="2134" spans="11:13" x14ac:dyDescent="0.25">
      <c r="K2134" s="278"/>
      <c r="L2134" s="278"/>
      <c r="M2134" s="278"/>
    </row>
    <row r="2135" spans="11:13" x14ac:dyDescent="0.25">
      <c r="K2135" s="278"/>
      <c r="L2135" s="278"/>
      <c r="M2135" s="278"/>
    </row>
    <row r="2136" spans="11:13" x14ac:dyDescent="0.25">
      <c r="K2136" s="278"/>
      <c r="L2136" s="278"/>
      <c r="M2136" s="278"/>
    </row>
    <row r="2137" spans="11:13" x14ac:dyDescent="0.25">
      <c r="K2137" s="278"/>
      <c r="L2137" s="278"/>
      <c r="M2137" s="278"/>
    </row>
    <row r="2138" spans="11:13" x14ac:dyDescent="0.25">
      <c r="K2138" s="278"/>
      <c r="L2138" s="278"/>
      <c r="M2138" s="278"/>
    </row>
    <row r="2139" spans="11:13" x14ac:dyDescent="0.25">
      <c r="K2139" s="278"/>
      <c r="L2139" s="278"/>
      <c r="M2139" s="278"/>
    </row>
    <row r="2140" spans="11:13" x14ac:dyDescent="0.25">
      <c r="K2140" s="278"/>
      <c r="L2140" s="278"/>
      <c r="M2140" s="278"/>
    </row>
    <row r="2141" spans="11:13" x14ac:dyDescent="0.25">
      <c r="K2141" s="278"/>
      <c r="L2141" s="278"/>
      <c r="M2141" s="278"/>
    </row>
    <row r="2142" spans="11:13" x14ac:dyDescent="0.25">
      <c r="K2142" s="278"/>
      <c r="L2142" s="278"/>
      <c r="M2142" s="278"/>
    </row>
    <row r="2143" spans="11:13" x14ac:dyDescent="0.25">
      <c r="K2143" s="278"/>
      <c r="L2143" s="278"/>
      <c r="M2143" s="278"/>
    </row>
    <row r="2144" spans="11:13" x14ac:dyDescent="0.25">
      <c r="K2144" s="278"/>
      <c r="L2144" s="278"/>
      <c r="M2144" s="278"/>
    </row>
    <row r="2145" spans="11:13" x14ac:dyDescent="0.25">
      <c r="K2145" s="278"/>
      <c r="L2145" s="278"/>
      <c r="M2145" s="278"/>
    </row>
    <row r="2146" spans="11:13" x14ac:dyDescent="0.25">
      <c r="K2146" s="278"/>
      <c r="L2146" s="278"/>
      <c r="M2146" s="278"/>
    </row>
    <row r="2147" spans="11:13" x14ac:dyDescent="0.25">
      <c r="K2147" s="278"/>
      <c r="L2147" s="278"/>
      <c r="M2147" s="278"/>
    </row>
    <row r="2148" spans="11:13" x14ac:dyDescent="0.25">
      <c r="K2148" s="278"/>
      <c r="L2148" s="278"/>
      <c r="M2148" s="278"/>
    </row>
    <row r="2149" spans="11:13" x14ac:dyDescent="0.25">
      <c r="K2149" s="278"/>
      <c r="L2149" s="278"/>
      <c r="M2149" s="278"/>
    </row>
    <row r="2150" spans="11:13" x14ac:dyDescent="0.25">
      <c r="K2150" s="278"/>
      <c r="L2150" s="278"/>
      <c r="M2150" s="278"/>
    </row>
    <row r="2151" spans="11:13" x14ac:dyDescent="0.25">
      <c r="K2151" s="278"/>
      <c r="L2151" s="278"/>
      <c r="M2151" s="278"/>
    </row>
    <row r="2152" spans="11:13" x14ac:dyDescent="0.25">
      <c r="K2152" s="278"/>
      <c r="L2152" s="278"/>
      <c r="M2152" s="278"/>
    </row>
    <row r="2153" spans="11:13" x14ac:dyDescent="0.25">
      <c r="K2153" s="278"/>
      <c r="L2153" s="278"/>
      <c r="M2153" s="278"/>
    </row>
    <row r="2154" spans="11:13" x14ac:dyDescent="0.25">
      <c r="K2154" s="278"/>
      <c r="L2154" s="278"/>
      <c r="M2154" s="278"/>
    </row>
    <row r="2155" spans="11:13" x14ac:dyDescent="0.25">
      <c r="K2155" s="278"/>
      <c r="L2155" s="278"/>
      <c r="M2155" s="278"/>
    </row>
    <row r="2156" spans="11:13" x14ac:dyDescent="0.25">
      <c r="K2156" s="278"/>
      <c r="L2156" s="278"/>
      <c r="M2156" s="278"/>
    </row>
    <row r="2157" spans="11:13" x14ac:dyDescent="0.25">
      <c r="K2157" s="278"/>
      <c r="L2157" s="278"/>
      <c r="M2157" s="278"/>
    </row>
    <row r="2158" spans="11:13" x14ac:dyDescent="0.25">
      <c r="K2158" s="278"/>
      <c r="L2158" s="278"/>
      <c r="M2158" s="278"/>
    </row>
    <row r="2159" spans="11:13" x14ac:dyDescent="0.25">
      <c r="K2159" s="278"/>
      <c r="L2159" s="278"/>
      <c r="M2159" s="278"/>
    </row>
    <row r="2160" spans="11:13" x14ac:dyDescent="0.25">
      <c r="K2160" s="278"/>
      <c r="L2160" s="278"/>
      <c r="M2160" s="278"/>
    </row>
    <row r="2161" spans="11:13" x14ac:dyDescent="0.25">
      <c r="K2161" s="278"/>
      <c r="L2161" s="278"/>
      <c r="M2161" s="278"/>
    </row>
    <row r="2162" spans="11:13" x14ac:dyDescent="0.25">
      <c r="K2162" s="278"/>
      <c r="L2162" s="278"/>
      <c r="M2162" s="278"/>
    </row>
    <row r="2163" spans="11:13" x14ac:dyDescent="0.25">
      <c r="K2163" s="278"/>
      <c r="L2163" s="278"/>
      <c r="M2163" s="278"/>
    </row>
    <row r="2164" spans="11:13" x14ac:dyDescent="0.25">
      <c r="K2164" s="278"/>
      <c r="L2164" s="278"/>
      <c r="M2164" s="278"/>
    </row>
    <row r="2165" spans="11:13" x14ac:dyDescent="0.25">
      <c r="K2165" s="278"/>
      <c r="L2165" s="278"/>
      <c r="M2165" s="278"/>
    </row>
    <row r="2166" spans="11:13" x14ac:dyDescent="0.25">
      <c r="K2166" s="278"/>
      <c r="L2166" s="278"/>
      <c r="M2166" s="278"/>
    </row>
    <row r="2167" spans="11:13" x14ac:dyDescent="0.25">
      <c r="K2167" s="278"/>
      <c r="L2167" s="278"/>
      <c r="M2167" s="278"/>
    </row>
    <row r="2168" spans="11:13" x14ac:dyDescent="0.25">
      <c r="K2168" s="278"/>
      <c r="L2168" s="278"/>
      <c r="M2168" s="278"/>
    </row>
    <row r="2169" spans="11:13" x14ac:dyDescent="0.25">
      <c r="K2169" s="278"/>
      <c r="L2169" s="278"/>
      <c r="M2169" s="278"/>
    </row>
    <row r="2170" spans="11:13" x14ac:dyDescent="0.25">
      <c r="K2170" s="278"/>
      <c r="L2170" s="278"/>
      <c r="M2170" s="278"/>
    </row>
    <row r="2171" spans="11:13" x14ac:dyDescent="0.25">
      <c r="K2171" s="278"/>
      <c r="L2171" s="278"/>
      <c r="M2171" s="278"/>
    </row>
    <row r="2172" spans="11:13" x14ac:dyDescent="0.25">
      <c r="K2172" s="278"/>
      <c r="L2172" s="278"/>
      <c r="M2172" s="278"/>
    </row>
    <row r="2173" spans="11:13" x14ac:dyDescent="0.25">
      <c r="K2173" s="278"/>
      <c r="L2173" s="278"/>
      <c r="M2173" s="278"/>
    </row>
    <row r="2174" spans="11:13" x14ac:dyDescent="0.25">
      <c r="K2174" s="278"/>
      <c r="L2174" s="278"/>
      <c r="M2174" s="278"/>
    </row>
    <row r="2175" spans="11:13" x14ac:dyDescent="0.25">
      <c r="K2175" s="278"/>
      <c r="L2175" s="278"/>
      <c r="M2175" s="278"/>
    </row>
    <row r="2176" spans="11:13" x14ac:dyDescent="0.25">
      <c r="K2176" s="278"/>
      <c r="L2176" s="278"/>
      <c r="M2176" s="278"/>
    </row>
    <row r="2177" spans="11:13" x14ac:dyDescent="0.25">
      <c r="K2177" s="278"/>
      <c r="L2177" s="278"/>
      <c r="M2177" s="278"/>
    </row>
    <row r="2178" spans="11:13" x14ac:dyDescent="0.25">
      <c r="K2178" s="278"/>
      <c r="L2178" s="278"/>
      <c r="M2178" s="278"/>
    </row>
    <row r="2179" spans="11:13" x14ac:dyDescent="0.25">
      <c r="K2179" s="278"/>
      <c r="L2179" s="278"/>
      <c r="M2179" s="278"/>
    </row>
    <row r="2180" spans="11:13" x14ac:dyDescent="0.25">
      <c r="K2180" s="278"/>
      <c r="L2180" s="278"/>
      <c r="M2180" s="278"/>
    </row>
    <row r="2181" spans="11:13" x14ac:dyDescent="0.25">
      <c r="K2181" s="278"/>
      <c r="L2181" s="278"/>
      <c r="M2181" s="278"/>
    </row>
    <row r="2182" spans="11:13" x14ac:dyDescent="0.25">
      <c r="K2182" s="278"/>
      <c r="L2182" s="278"/>
      <c r="M2182" s="278"/>
    </row>
    <row r="2183" spans="11:13" x14ac:dyDescent="0.25">
      <c r="K2183" s="278"/>
      <c r="L2183" s="278"/>
      <c r="M2183" s="278"/>
    </row>
    <row r="2184" spans="11:13" x14ac:dyDescent="0.25">
      <c r="K2184" s="278"/>
      <c r="L2184" s="278"/>
      <c r="M2184" s="278"/>
    </row>
    <row r="2185" spans="11:13" x14ac:dyDescent="0.25">
      <c r="K2185" s="278"/>
      <c r="L2185" s="278"/>
      <c r="M2185" s="278"/>
    </row>
    <row r="2186" spans="11:13" x14ac:dyDescent="0.25">
      <c r="K2186" s="278"/>
      <c r="L2186" s="278"/>
      <c r="M2186" s="278"/>
    </row>
    <row r="2187" spans="11:13" x14ac:dyDescent="0.25">
      <c r="K2187" s="278"/>
      <c r="L2187" s="278"/>
      <c r="M2187" s="278"/>
    </row>
    <row r="2188" spans="11:13" x14ac:dyDescent="0.25">
      <c r="K2188" s="278"/>
      <c r="L2188" s="278"/>
      <c r="M2188" s="278"/>
    </row>
    <row r="2189" spans="11:13" x14ac:dyDescent="0.25">
      <c r="K2189" s="278"/>
      <c r="L2189" s="278"/>
      <c r="M2189" s="278"/>
    </row>
    <row r="2190" spans="11:13" x14ac:dyDescent="0.25">
      <c r="K2190" s="278"/>
      <c r="L2190" s="278"/>
      <c r="M2190" s="278"/>
    </row>
    <row r="2191" spans="11:13" x14ac:dyDescent="0.25">
      <c r="K2191" s="278"/>
      <c r="L2191" s="278"/>
      <c r="M2191" s="278"/>
    </row>
    <row r="2193" spans="11:13" x14ac:dyDescent="0.25">
      <c r="K2193" s="278"/>
      <c r="L2193" s="278"/>
      <c r="M2193" s="278"/>
    </row>
    <row r="2194" spans="11:13" x14ac:dyDescent="0.25">
      <c r="K2194" s="278"/>
      <c r="L2194" s="278"/>
      <c r="M2194" s="278"/>
    </row>
    <row r="2195" spans="11:13" x14ac:dyDescent="0.25">
      <c r="K2195" s="278"/>
      <c r="L2195" s="278"/>
      <c r="M2195" s="278"/>
    </row>
    <row r="2196" spans="11:13" x14ac:dyDescent="0.25">
      <c r="K2196" s="278"/>
      <c r="L2196" s="278"/>
      <c r="M2196" s="278"/>
    </row>
    <row r="2197" spans="11:13" x14ac:dyDescent="0.25">
      <c r="K2197" s="278"/>
      <c r="L2197" s="278"/>
      <c r="M2197" s="278"/>
    </row>
    <row r="2198" spans="11:13" x14ac:dyDescent="0.25">
      <c r="K2198" s="278"/>
      <c r="L2198" s="278"/>
      <c r="M2198" s="278"/>
    </row>
    <row r="2199" spans="11:13" x14ac:dyDescent="0.25">
      <c r="K2199" s="278"/>
      <c r="L2199" s="278"/>
      <c r="M2199" s="278"/>
    </row>
    <row r="2201" spans="11:13" x14ac:dyDescent="0.25">
      <c r="K2201" s="278"/>
      <c r="L2201" s="278"/>
      <c r="M2201" s="278"/>
    </row>
    <row r="2202" spans="11:13" x14ac:dyDescent="0.25">
      <c r="K2202" s="278"/>
      <c r="L2202" s="278"/>
      <c r="M2202" s="278"/>
    </row>
    <row r="2203" spans="11:13" x14ac:dyDescent="0.25">
      <c r="K2203" s="278"/>
      <c r="L2203" s="278"/>
      <c r="M2203" s="278"/>
    </row>
    <row r="2204" spans="11:13" x14ac:dyDescent="0.25">
      <c r="K2204" s="278"/>
      <c r="L2204" s="278"/>
      <c r="M2204" s="278"/>
    </row>
    <row r="2205" spans="11:13" x14ac:dyDescent="0.25">
      <c r="K2205" s="278"/>
      <c r="L2205" s="278"/>
      <c r="M2205" s="278"/>
    </row>
    <row r="2207" spans="11:13" x14ac:dyDescent="0.25">
      <c r="K2207" s="278"/>
      <c r="L2207" s="278"/>
      <c r="M2207" s="278"/>
    </row>
    <row r="2208" spans="11:13" x14ac:dyDescent="0.25">
      <c r="K2208" s="278"/>
      <c r="L2208" s="278"/>
      <c r="M2208" s="278"/>
    </row>
    <row r="2209" spans="11:13" x14ac:dyDescent="0.25">
      <c r="K2209" s="278"/>
      <c r="L2209" s="278"/>
      <c r="M2209" s="278"/>
    </row>
    <row r="2212" spans="11:13" x14ac:dyDescent="0.25">
      <c r="K2212" s="278"/>
      <c r="L2212" s="278"/>
      <c r="M2212" s="278"/>
    </row>
    <row r="2214" spans="11:13" x14ac:dyDescent="0.25">
      <c r="K2214" s="278"/>
      <c r="L2214" s="278"/>
      <c r="M2214" s="278"/>
    </row>
    <row r="2215" spans="11:13" x14ac:dyDescent="0.25">
      <c r="K2215" s="278"/>
      <c r="L2215" s="278"/>
      <c r="M2215" s="278"/>
    </row>
    <row r="2216" spans="11:13" x14ac:dyDescent="0.25">
      <c r="K2216" s="278"/>
      <c r="L2216" s="278"/>
      <c r="M2216" s="278"/>
    </row>
    <row r="2217" spans="11:13" x14ac:dyDescent="0.25">
      <c r="K2217" s="278"/>
      <c r="L2217" s="278"/>
      <c r="M2217" s="278"/>
    </row>
    <row r="2218" spans="11:13" x14ac:dyDescent="0.25">
      <c r="K2218" s="278"/>
      <c r="L2218" s="278"/>
      <c r="M2218" s="278"/>
    </row>
    <row r="2221" spans="11:13" x14ac:dyDescent="0.25">
      <c r="K2221" s="278"/>
      <c r="L2221" s="278"/>
      <c r="M2221" s="278"/>
    </row>
    <row r="2222" spans="11:13" x14ac:dyDescent="0.25">
      <c r="K2222" s="278"/>
      <c r="L2222" s="278"/>
      <c r="M2222" s="278"/>
    </row>
    <row r="2223" spans="11:13" x14ac:dyDescent="0.25">
      <c r="K2223" s="278"/>
      <c r="L2223" s="278"/>
      <c r="M2223" s="278"/>
    </row>
    <row r="2224" spans="11:13" x14ac:dyDescent="0.25">
      <c r="K2224" s="278"/>
      <c r="L2224" s="278"/>
      <c r="M2224" s="278"/>
    </row>
    <row r="2225" spans="11:13" x14ac:dyDescent="0.25">
      <c r="K2225" s="278"/>
      <c r="L2225" s="278"/>
      <c r="M2225" s="278"/>
    </row>
    <row r="2226" spans="11:13" x14ac:dyDescent="0.25">
      <c r="K2226" s="278"/>
      <c r="L2226" s="278"/>
      <c r="M2226" s="278"/>
    </row>
    <row r="2228" spans="11:13" x14ac:dyDescent="0.25">
      <c r="K2228" s="278"/>
      <c r="L2228" s="278"/>
      <c r="M2228" s="278"/>
    </row>
    <row r="2230" spans="11:13" x14ac:dyDescent="0.25">
      <c r="K2230" s="278"/>
      <c r="L2230" s="278"/>
      <c r="M2230" s="278"/>
    </row>
    <row r="2231" spans="11:13" x14ac:dyDescent="0.25">
      <c r="K2231" s="278"/>
      <c r="L2231" s="278"/>
      <c r="M2231" s="278"/>
    </row>
    <row r="2232" spans="11:13" x14ac:dyDescent="0.25">
      <c r="K2232" s="278"/>
      <c r="L2232" s="278"/>
      <c r="M2232" s="278"/>
    </row>
    <row r="2233" spans="11:13" x14ac:dyDescent="0.25">
      <c r="K2233" s="278"/>
      <c r="L2233" s="278"/>
      <c r="M2233" s="278"/>
    </row>
    <row r="2234" spans="11:13" x14ac:dyDescent="0.25">
      <c r="K2234" s="278"/>
      <c r="L2234" s="278"/>
      <c r="M2234" s="278"/>
    </row>
    <row r="2235" spans="11:13" x14ac:dyDescent="0.25">
      <c r="K2235" s="278"/>
      <c r="L2235" s="278"/>
      <c r="M2235" s="278"/>
    </row>
    <row r="2236" spans="11:13" x14ac:dyDescent="0.25">
      <c r="K2236" s="278"/>
      <c r="L2236" s="278"/>
      <c r="M2236" s="278"/>
    </row>
    <row r="2237" spans="11:13" x14ac:dyDescent="0.25">
      <c r="K2237" s="278"/>
      <c r="L2237" s="278"/>
      <c r="M2237" s="278"/>
    </row>
    <row r="2238" spans="11:13" x14ac:dyDescent="0.25">
      <c r="K2238" s="278"/>
      <c r="L2238" s="278"/>
      <c r="M2238" s="278"/>
    </row>
    <row r="2239" spans="11:13" x14ac:dyDescent="0.25">
      <c r="K2239" s="278"/>
      <c r="L2239" s="278"/>
      <c r="M2239" s="278"/>
    </row>
    <row r="2240" spans="11:13" x14ac:dyDescent="0.25">
      <c r="K2240" s="278"/>
      <c r="L2240" s="278"/>
      <c r="M2240" s="278"/>
    </row>
    <row r="2241" spans="11:13" x14ac:dyDescent="0.25">
      <c r="K2241" s="278"/>
      <c r="L2241" s="278"/>
      <c r="M2241" s="278"/>
    </row>
    <row r="2242" spans="11:13" x14ac:dyDescent="0.25">
      <c r="K2242" s="278"/>
      <c r="L2242" s="278"/>
      <c r="M2242" s="278"/>
    </row>
    <row r="2243" spans="11:13" x14ac:dyDescent="0.25">
      <c r="K2243" s="278"/>
      <c r="L2243" s="278"/>
      <c r="M2243" s="278"/>
    </row>
    <row r="2244" spans="11:13" x14ac:dyDescent="0.25">
      <c r="K2244" s="278"/>
      <c r="L2244" s="278"/>
      <c r="M2244" s="278"/>
    </row>
    <row r="2245" spans="11:13" x14ac:dyDescent="0.25">
      <c r="K2245" s="278"/>
      <c r="L2245" s="278"/>
      <c r="M2245" s="278"/>
    </row>
    <row r="2246" spans="11:13" x14ac:dyDescent="0.25">
      <c r="K2246" s="278"/>
      <c r="L2246" s="278"/>
      <c r="M2246" s="278"/>
    </row>
    <row r="2247" spans="11:13" x14ac:dyDescent="0.25">
      <c r="K2247" s="278"/>
      <c r="L2247" s="278"/>
      <c r="M2247" s="278"/>
    </row>
    <row r="2248" spans="11:13" x14ac:dyDescent="0.25">
      <c r="K2248" s="278"/>
      <c r="L2248" s="278"/>
      <c r="M2248" s="278"/>
    </row>
    <row r="2249" spans="11:13" x14ac:dyDescent="0.25">
      <c r="K2249" s="278"/>
      <c r="L2249" s="278"/>
      <c r="M2249" s="278"/>
    </row>
    <row r="2250" spans="11:13" x14ac:dyDescent="0.25">
      <c r="K2250" s="278"/>
      <c r="L2250" s="278"/>
      <c r="M2250" s="278"/>
    </row>
    <row r="2251" spans="11:13" x14ac:dyDescent="0.25">
      <c r="K2251" s="278"/>
      <c r="L2251" s="278"/>
      <c r="M2251" s="278"/>
    </row>
    <row r="2252" spans="11:13" x14ac:dyDescent="0.25">
      <c r="K2252" s="278"/>
      <c r="L2252" s="278"/>
      <c r="M2252" s="278"/>
    </row>
    <row r="2253" spans="11:13" x14ac:dyDescent="0.25">
      <c r="K2253" s="278"/>
      <c r="L2253" s="278"/>
      <c r="M2253" s="278"/>
    </row>
    <row r="2254" spans="11:13" x14ac:dyDescent="0.25">
      <c r="K2254" s="278"/>
      <c r="L2254" s="278"/>
      <c r="M2254" s="278"/>
    </row>
    <row r="2255" spans="11:13" x14ac:dyDescent="0.25">
      <c r="K2255" s="278"/>
      <c r="L2255" s="278"/>
      <c r="M2255" s="278"/>
    </row>
    <row r="2256" spans="11:13" x14ac:dyDescent="0.25">
      <c r="K2256" s="278"/>
      <c r="L2256" s="278"/>
      <c r="M2256" s="278"/>
    </row>
    <row r="2257" spans="11:13" x14ac:dyDescent="0.25">
      <c r="K2257" s="278"/>
      <c r="L2257" s="278"/>
      <c r="M2257" s="278"/>
    </row>
    <row r="2259" spans="11:13" x14ac:dyDescent="0.25">
      <c r="K2259" s="278"/>
      <c r="L2259" s="278"/>
      <c r="M2259" s="278"/>
    </row>
    <row r="2261" spans="11:13" x14ac:dyDescent="0.25">
      <c r="K2261" s="278"/>
      <c r="L2261" s="278"/>
      <c r="M2261" s="278"/>
    </row>
    <row r="2262" spans="11:13" x14ac:dyDescent="0.25">
      <c r="K2262" s="278"/>
      <c r="L2262" s="278"/>
      <c r="M2262" s="278"/>
    </row>
    <row r="2263" spans="11:13" x14ac:dyDescent="0.25">
      <c r="K2263" s="278"/>
      <c r="L2263" s="278"/>
      <c r="M2263" s="278"/>
    </row>
    <row r="2264" spans="11:13" x14ac:dyDescent="0.25">
      <c r="K2264" s="278"/>
      <c r="L2264" s="278"/>
      <c r="M2264" s="278"/>
    </row>
    <row r="2265" spans="11:13" x14ac:dyDescent="0.25">
      <c r="K2265" s="278"/>
      <c r="L2265" s="278"/>
      <c r="M2265" s="278"/>
    </row>
    <row r="2266" spans="11:13" x14ac:dyDescent="0.25">
      <c r="K2266" s="278"/>
      <c r="L2266" s="278"/>
      <c r="M2266" s="278"/>
    </row>
    <row r="2269" spans="11:13" x14ac:dyDescent="0.25">
      <c r="K2269" s="278"/>
      <c r="L2269" s="278"/>
      <c r="M2269" s="278"/>
    </row>
    <row r="2270" spans="11:13" x14ac:dyDescent="0.25">
      <c r="K2270" s="278"/>
      <c r="L2270" s="278"/>
      <c r="M2270" s="278"/>
    </row>
    <row r="2271" spans="11:13" x14ac:dyDescent="0.25">
      <c r="K2271" s="278"/>
      <c r="L2271" s="278"/>
      <c r="M2271" s="278"/>
    </row>
    <row r="2272" spans="11:13" x14ac:dyDescent="0.25">
      <c r="K2272" s="278"/>
      <c r="L2272" s="278"/>
      <c r="M2272" s="278"/>
    </row>
    <row r="2273" spans="11:13" x14ac:dyDescent="0.25">
      <c r="K2273" s="278"/>
      <c r="L2273" s="278"/>
      <c r="M2273" s="278"/>
    </row>
    <row r="2275" spans="11:13" x14ac:dyDescent="0.25">
      <c r="K2275" s="278"/>
      <c r="L2275" s="278"/>
      <c r="M2275" s="278"/>
    </row>
    <row r="2278" spans="11:13" x14ac:dyDescent="0.25">
      <c r="K2278" s="278"/>
      <c r="L2278" s="278"/>
      <c r="M2278" s="278"/>
    </row>
    <row r="2279" spans="11:13" x14ac:dyDescent="0.25">
      <c r="K2279" s="278"/>
      <c r="L2279" s="278"/>
      <c r="M2279" s="278"/>
    </row>
    <row r="2280" spans="11:13" x14ac:dyDescent="0.25">
      <c r="K2280" s="278"/>
      <c r="L2280" s="278"/>
      <c r="M2280" s="278"/>
    </row>
    <row r="2282" spans="11:13" x14ac:dyDescent="0.25">
      <c r="K2282" s="278"/>
      <c r="L2282" s="278"/>
      <c r="M2282" s="278"/>
    </row>
    <row r="2283" spans="11:13" x14ac:dyDescent="0.25">
      <c r="K2283" s="278"/>
      <c r="L2283" s="278"/>
      <c r="M2283" s="278"/>
    </row>
    <row r="2284" spans="11:13" x14ac:dyDescent="0.25">
      <c r="K2284" s="278"/>
      <c r="L2284" s="278"/>
      <c r="M2284" s="278"/>
    </row>
    <row r="2285" spans="11:13" x14ac:dyDescent="0.25">
      <c r="K2285" s="278"/>
      <c r="L2285" s="278"/>
      <c r="M2285" s="278"/>
    </row>
    <row r="2286" spans="11:13" x14ac:dyDescent="0.25">
      <c r="K2286" s="278"/>
      <c r="L2286" s="278"/>
      <c r="M2286" s="278"/>
    </row>
    <row r="2288" spans="11:13" x14ac:dyDescent="0.25">
      <c r="K2288" s="278"/>
      <c r="L2288" s="278"/>
      <c r="M2288" s="278"/>
    </row>
    <row r="2289" spans="11:13" x14ac:dyDescent="0.25">
      <c r="K2289" s="278"/>
      <c r="L2289" s="278"/>
      <c r="M2289" s="278"/>
    </row>
    <row r="2290" spans="11:13" x14ac:dyDescent="0.25">
      <c r="K2290" s="278"/>
      <c r="L2290" s="278"/>
      <c r="M2290" s="278"/>
    </row>
    <row r="2291" spans="11:13" x14ac:dyDescent="0.25">
      <c r="K2291" s="278"/>
      <c r="L2291" s="278"/>
      <c r="M2291" s="278"/>
    </row>
    <row r="2292" spans="11:13" x14ac:dyDescent="0.25">
      <c r="K2292" s="278"/>
      <c r="L2292" s="278"/>
      <c r="M2292" s="278"/>
    </row>
    <row r="2293" spans="11:13" x14ac:dyDescent="0.25">
      <c r="K2293" s="278"/>
      <c r="L2293" s="278"/>
      <c r="M2293" s="278"/>
    </row>
    <row r="2294" spans="11:13" x14ac:dyDescent="0.25">
      <c r="K2294" s="278"/>
      <c r="L2294" s="278"/>
      <c r="M2294" s="278"/>
    </row>
    <row r="2296" spans="11:13" x14ac:dyDescent="0.25">
      <c r="K2296" s="278"/>
      <c r="L2296" s="278"/>
      <c r="M2296" s="278"/>
    </row>
    <row r="2297" spans="11:13" x14ac:dyDescent="0.25">
      <c r="K2297" s="278"/>
      <c r="L2297" s="278"/>
      <c r="M2297" s="278"/>
    </row>
    <row r="2298" spans="11:13" x14ac:dyDescent="0.25">
      <c r="K2298" s="278"/>
      <c r="L2298" s="278"/>
      <c r="M2298" s="278"/>
    </row>
    <row r="2299" spans="11:13" x14ac:dyDescent="0.25">
      <c r="K2299" s="278"/>
      <c r="L2299" s="278"/>
      <c r="M2299" s="278"/>
    </row>
    <row r="2300" spans="11:13" x14ac:dyDescent="0.25">
      <c r="K2300" s="278"/>
      <c r="L2300" s="278"/>
      <c r="M2300" s="278"/>
    </row>
    <row r="2301" spans="11:13" x14ac:dyDescent="0.25">
      <c r="K2301" s="278"/>
      <c r="L2301" s="278"/>
      <c r="M2301" s="278"/>
    </row>
    <row r="2302" spans="11:13" x14ac:dyDescent="0.25">
      <c r="K2302" s="278"/>
      <c r="L2302" s="278"/>
      <c r="M2302" s="278"/>
    </row>
    <row r="2303" spans="11:13" x14ac:dyDescent="0.25">
      <c r="K2303" s="278"/>
      <c r="L2303" s="278"/>
      <c r="M2303" s="278"/>
    </row>
    <row r="2304" spans="11:13" x14ac:dyDescent="0.25">
      <c r="K2304" s="278"/>
      <c r="L2304" s="278"/>
      <c r="M2304" s="278"/>
    </row>
    <row r="2305" spans="11:13" x14ac:dyDescent="0.25">
      <c r="K2305" s="278"/>
      <c r="L2305" s="278"/>
      <c r="M2305" s="278"/>
    </row>
    <row r="2306" spans="11:13" x14ac:dyDescent="0.25">
      <c r="K2306" s="278"/>
      <c r="L2306" s="278"/>
      <c r="M2306" s="278"/>
    </row>
    <row r="2307" spans="11:13" x14ac:dyDescent="0.25">
      <c r="K2307" s="278"/>
      <c r="L2307" s="278"/>
      <c r="M2307" s="278"/>
    </row>
    <row r="2308" spans="11:13" x14ac:dyDescent="0.25">
      <c r="K2308" s="278"/>
      <c r="L2308" s="278"/>
      <c r="M2308" s="278"/>
    </row>
    <row r="2309" spans="11:13" x14ac:dyDescent="0.25">
      <c r="K2309" s="278"/>
      <c r="L2309" s="278"/>
      <c r="M2309" s="278"/>
    </row>
    <row r="2310" spans="11:13" x14ac:dyDescent="0.25">
      <c r="K2310" s="278"/>
      <c r="L2310" s="278"/>
      <c r="M2310" s="278"/>
    </row>
    <row r="2311" spans="11:13" x14ac:dyDescent="0.25">
      <c r="K2311" s="278"/>
      <c r="L2311" s="278"/>
      <c r="M2311" s="278"/>
    </row>
    <row r="2312" spans="11:13" x14ac:dyDescent="0.25">
      <c r="K2312" s="278"/>
      <c r="L2312" s="278"/>
      <c r="M2312" s="278"/>
    </row>
    <row r="2313" spans="11:13" x14ac:dyDescent="0.25">
      <c r="K2313" s="278"/>
      <c r="L2313" s="278"/>
      <c r="M2313" s="278"/>
    </row>
    <row r="2314" spans="11:13" x14ac:dyDescent="0.25">
      <c r="K2314" s="278"/>
      <c r="L2314" s="278"/>
      <c r="M2314" s="278"/>
    </row>
    <row r="2315" spans="11:13" x14ac:dyDescent="0.25">
      <c r="K2315" s="278"/>
      <c r="L2315" s="278"/>
      <c r="M2315" s="278"/>
    </row>
    <row r="2316" spans="11:13" x14ac:dyDescent="0.25">
      <c r="K2316" s="278"/>
      <c r="L2316" s="278"/>
      <c r="M2316" s="278"/>
    </row>
    <row r="2317" spans="11:13" x14ac:dyDescent="0.25">
      <c r="K2317" s="278"/>
      <c r="L2317" s="278"/>
      <c r="M2317" s="278"/>
    </row>
    <row r="2318" spans="11:13" x14ac:dyDescent="0.25">
      <c r="K2318" s="278"/>
      <c r="L2318" s="278"/>
      <c r="M2318" s="278"/>
    </row>
    <row r="2319" spans="11:13" x14ac:dyDescent="0.25">
      <c r="K2319" s="278"/>
      <c r="L2319" s="278"/>
      <c r="M2319" s="278"/>
    </row>
    <row r="2320" spans="11:13" x14ac:dyDescent="0.25">
      <c r="K2320" s="278"/>
      <c r="L2320" s="278"/>
      <c r="M2320" s="278"/>
    </row>
    <row r="2321" spans="11:13" x14ac:dyDescent="0.25">
      <c r="K2321" s="278"/>
      <c r="L2321" s="278"/>
      <c r="M2321" s="278"/>
    </row>
    <row r="2322" spans="11:13" x14ac:dyDescent="0.25">
      <c r="K2322" s="278"/>
      <c r="L2322" s="278"/>
      <c r="M2322" s="278"/>
    </row>
    <row r="2323" spans="11:13" x14ac:dyDescent="0.25">
      <c r="K2323" s="278"/>
      <c r="L2323" s="278"/>
      <c r="M2323" s="278"/>
    </row>
    <row r="2324" spans="11:13" x14ac:dyDescent="0.25">
      <c r="K2324" s="278"/>
      <c r="L2324" s="278"/>
      <c r="M2324" s="278"/>
    </row>
    <row r="2325" spans="11:13" x14ac:dyDescent="0.25">
      <c r="K2325" s="278"/>
      <c r="L2325" s="278"/>
      <c r="M2325" s="278"/>
    </row>
    <row r="2326" spans="11:13" x14ac:dyDescent="0.25">
      <c r="K2326" s="278"/>
      <c r="L2326" s="278"/>
      <c r="M2326" s="278"/>
    </row>
    <row r="2327" spans="11:13" x14ac:dyDescent="0.25">
      <c r="K2327" s="278"/>
      <c r="L2327" s="278"/>
      <c r="M2327" s="278"/>
    </row>
    <row r="2328" spans="11:13" x14ac:dyDescent="0.25">
      <c r="K2328" s="278"/>
      <c r="L2328" s="278"/>
      <c r="M2328" s="278"/>
    </row>
    <row r="2329" spans="11:13" x14ac:dyDescent="0.25">
      <c r="K2329" s="278"/>
      <c r="L2329" s="278"/>
      <c r="M2329" s="278"/>
    </row>
    <row r="2330" spans="11:13" x14ac:dyDescent="0.25">
      <c r="K2330" s="278"/>
      <c r="L2330" s="278"/>
      <c r="M2330" s="278"/>
    </row>
    <row r="2331" spans="11:13" x14ac:dyDescent="0.25">
      <c r="K2331" s="278"/>
      <c r="L2331" s="278"/>
      <c r="M2331" s="278"/>
    </row>
    <row r="2332" spans="11:13" x14ac:dyDescent="0.25">
      <c r="K2332" s="278"/>
      <c r="L2332" s="278"/>
      <c r="M2332" s="278"/>
    </row>
    <row r="2333" spans="11:13" x14ac:dyDescent="0.25">
      <c r="K2333" s="278"/>
      <c r="L2333" s="278"/>
      <c r="M2333" s="278"/>
    </row>
    <row r="2334" spans="11:13" x14ac:dyDescent="0.25">
      <c r="K2334" s="278"/>
      <c r="L2334" s="278"/>
      <c r="M2334" s="278"/>
    </row>
    <row r="2335" spans="11:13" x14ac:dyDescent="0.25">
      <c r="K2335" s="278"/>
      <c r="L2335" s="278"/>
      <c r="M2335" s="278"/>
    </row>
    <row r="2336" spans="11:13" x14ac:dyDescent="0.25">
      <c r="K2336" s="278"/>
      <c r="L2336" s="278"/>
      <c r="M2336" s="278"/>
    </row>
    <row r="2337" spans="11:13" x14ac:dyDescent="0.25">
      <c r="K2337" s="278"/>
      <c r="L2337" s="278"/>
      <c r="M2337" s="278"/>
    </row>
    <row r="2338" spans="11:13" x14ac:dyDescent="0.25">
      <c r="K2338" s="278"/>
      <c r="L2338" s="278"/>
      <c r="M2338" s="278"/>
    </row>
    <row r="2339" spans="11:13" x14ac:dyDescent="0.25">
      <c r="K2339" s="278"/>
      <c r="L2339" s="278"/>
      <c r="M2339" s="278"/>
    </row>
    <row r="2340" spans="11:13" x14ac:dyDescent="0.25">
      <c r="K2340" s="278"/>
      <c r="L2340" s="278"/>
      <c r="M2340" s="278"/>
    </row>
    <row r="2341" spans="11:13" x14ac:dyDescent="0.25">
      <c r="K2341" s="278"/>
      <c r="L2341" s="278"/>
      <c r="M2341" s="278"/>
    </row>
    <row r="2342" spans="11:13" x14ac:dyDescent="0.25">
      <c r="K2342" s="278"/>
      <c r="L2342" s="278"/>
      <c r="M2342" s="278"/>
    </row>
    <row r="2343" spans="11:13" x14ac:dyDescent="0.25">
      <c r="K2343" s="278"/>
      <c r="L2343" s="278"/>
      <c r="M2343" s="278"/>
    </row>
    <row r="2344" spans="11:13" x14ac:dyDescent="0.25">
      <c r="K2344" s="278"/>
      <c r="L2344" s="278"/>
      <c r="M2344" s="278"/>
    </row>
    <row r="2345" spans="11:13" x14ac:dyDescent="0.25">
      <c r="K2345" s="278"/>
      <c r="L2345" s="278"/>
      <c r="M2345" s="278"/>
    </row>
    <row r="2346" spans="11:13" x14ac:dyDescent="0.25">
      <c r="K2346" s="278"/>
      <c r="L2346" s="278"/>
      <c r="M2346" s="278"/>
    </row>
    <row r="2347" spans="11:13" x14ac:dyDescent="0.25">
      <c r="K2347" s="278"/>
      <c r="L2347" s="278"/>
      <c r="M2347" s="278"/>
    </row>
    <row r="2348" spans="11:13" x14ac:dyDescent="0.25">
      <c r="K2348" s="278"/>
      <c r="L2348" s="278"/>
      <c r="M2348" s="278"/>
    </row>
    <row r="2349" spans="11:13" x14ac:dyDescent="0.25">
      <c r="K2349" s="278"/>
      <c r="L2349" s="278"/>
      <c r="M2349" s="278"/>
    </row>
    <row r="2350" spans="11:13" x14ac:dyDescent="0.25">
      <c r="K2350" s="278"/>
      <c r="L2350" s="278"/>
      <c r="M2350" s="278"/>
    </row>
    <row r="2351" spans="11:13" x14ac:dyDescent="0.25">
      <c r="K2351" s="278"/>
      <c r="L2351" s="278"/>
      <c r="M2351" s="278"/>
    </row>
    <row r="2352" spans="11:13" x14ac:dyDescent="0.25">
      <c r="K2352" s="278"/>
      <c r="L2352" s="278"/>
      <c r="M2352" s="278"/>
    </row>
    <row r="2353" spans="11:13" x14ac:dyDescent="0.25">
      <c r="K2353" s="278"/>
      <c r="L2353" s="278"/>
      <c r="M2353" s="278"/>
    </row>
    <row r="2354" spans="11:13" x14ac:dyDescent="0.25">
      <c r="K2354" s="278"/>
      <c r="L2354" s="278"/>
      <c r="M2354" s="278"/>
    </row>
    <row r="2355" spans="11:13" x14ac:dyDescent="0.25">
      <c r="K2355" s="278"/>
      <c r="L2355" s="278"/>
      <c r="M2355" s="278"/>
    </row>
    <row r="2356" spans="11:13" x14ac:dyDescent="0.25">
      <c r="K2356" s="278"/>
      <c r="L2356" s="278"/>
      <c r="M2356" s="278"/>
    </row>
    <row r="2357" spans="11:13" x14ac:dyDescent="0.25">
      <c r="K2357" s="278"/>
      <c r="L2357" s="278"/>
      <c r="M2357" s="278"/>
    </row>
    <row r="2358" spans="11:13" x14ac:dyDescent="0.25">
      <c r="K2358" s="278"/>
      <c r="L2358" s="278"/>
      <c r="M2358" s="278"/>
    </row>
    <row r="2359" spans="11:13" x14ac:dyDescent="0.25">
      <c r="K2359" s="278"/>
      <c r="L2359" s="278"/>
      <c r="M2359" s="278"/>
    </row>
    <row r="2360" spans="11:13" x14ac:dyDescent="0.25">
      <c r="K2360" s="278"/>
      <c r="L2360" s="278"/>
      <c r="M2360" s="278"/>
    </row>
    <row r="2361" spans="11:13" x14ac:dyDescent="0.25">
      <c r="K2361" s="278"/>
      <c r="L2361" s="278"/>
      <c r="M2361" s="278"/>
    </row>
    <row r="2362" spans="11:13" x14ac:dyDescent="0.25">
      <c r="K2362" s="278"/>
      <c r="L2362" s="278"/>
      <c r="M2362" s="278"/>
    </row>
    <row r="2363" spans="11:13" x14ac:dyDescent="0.25">
      <c r="K2363" s="278"/>
      <c r="L2363" s="278"/>
      <c r="M2363" s="278"/>
    </row>
    <row r="2364" spans="11:13" x14ac:dyDescent="0.25">
      <c r="K2364" s="278"/>
      <c r="L2364" s="278"/>
      <c r="M2364" s="278"/>
    </row>
    <row r="2365" spans="11:13" x14ac:dyDescent="0.25">
      <c r="K2365" s="278"/>
      <c r="L2365" s="278"/>
      <c r="M2365" s="278"/>
    </row>
    <row r="2366" spans="11:13" x14ac:dyDescent="0.25">
      <c r="K2366" s="278"/>
      <c r="L2366" s="278"/>
      <c r="M2366" s="278"/>
    </row>
    <row r="2367" spans="11:13" x14ac:dyDescent="0.25">
      <c r="K2367" s="278"/>
      <c r="L2367" s="278"/>
      <c r="M2367" s="278"/>
    </row>
    <row r="2368" spans="11:13" x14ac:dyDescent="0.25">
      <c r="K2368" s="278"/>
      <c r="L2368" s="278"/>
      <c r="M2368" s="278"/>
    </row>
    <row r="2369" spans="11:13" x14ac:dyDescent="0.25">
      <c r="K2369" s="278"/>
      <c r="L2369" s="278"/>
      <c r="M2369" s="278"/>
    </row>
    <row r="2370" spans="11:13" x14ac:dyDescent="0.25">
      <c r="K2370" s="278"/>
      <c r="L2370" s="278"/>
      <c r="M2370" s="278"/>
    </row>
    <row r="2371" spans="11:13" x14ac:dyDescent="0.25">
      <c r="K2371" s="278"/>
      <c r="L2371" s="278"/>
      <c r="M2371" s="278"/>
    </row>
    <row r="2372" spans="11:13" x14ac:dyDescent="0.25">
      <c r="K2372" s="278"/>
      <c r="L2372" s="278"/>
      <c r="M2372" s="278"/>
    </row>
    <row r="2373" spans="11:13" x14ac:dyDescent="0.25">
      <c r="K2373" s="278"/>
      <c r="L2373" s="278"/>
      <c r="M2373" s="278"/>
    </row>
    <row r="2374" spans="11:13" x14ac:dyDescent="0.25">
      <c r="K2374" s="278"/>
      <c r="L2374" s="278"/>
      <c r="M2374" s="278"/>
    </row>
    <row r="2375" spans="11:13" x14ac:dyDescent="0.25">
      <c r="K2375" s="278"/>
      <c r="L2375" s="278"/>
      <c r="M2375" s="278"/>
    </row>
    <row r="2376" spans="11:13" x14ac:dyDescent="0.25">
      <c r="K2376" s="278"/>
      <c r="L2376" s="278"/>
      <c r="M2376" s="278"/>
    </row>
    <row r="2377" spans="11:13" x14ac:dyDescent="0.25">
      <c r="K2377" s="278"/>
      <c r="L2377" s="278"/>
      <c r="M2377" s="278"/>
    </row>
    <row r="2379" spans="11:13" x14ac:dyDescent="0.25">
      <c r="K2379" s="278"/>
      <c r="L2379" s="278"/>
      <c r="M2379" s="278"/>
    </row>
    <row r="2380" spans="11:13" x14ac:dyDescent="0.25">
      <c r="K2380" s="278"/>
      <c r="L2380" s="278"/>
      <c r="M2380" s="278"/>
    </row>
    <row r="2381" spans="11:13" x14ac:dyDescent="0.25">
      <c r="K2381" s="278"/>
      <c r="L2381" s="278"/>
      <c r="M2381" s="278"/>
    </row>
    <row r="2382" spans="11:13" x14ac:dyDescent="0.25">
      <c r="K2382" s="278"/>
      <c r="L2382" s="278"/>
      <c r="M2382" s="278"/>
    </row>
    <row r="2383" spans="11:13" x14ac:dyDescent="0.25">
      <c r="K2383" s="278"/>
      <c r="L2383" s="278"/>
      <c r="M2383" s="278"/>
    </row>
    <row r="2384" spans="11:13" x14ac:dyDescent="0.25">
      <c r="K2384" s="278"/>
      <c r="L2384" s="278"/>
      <c r="M2384" s="278"/>
    </row>
    <row r="2385" spans="11:13" x14ac:dyDescent="0.25">
      <c r="K2385" s="278"/>
      <c r="L2385" s="278"/>
      <c r="M2385" s="278"/>
    </row>
    <row r="2387" spans="11:13" x14ac:dyDescent="0.25">
      <c r="K2387" s="278"/>
      <c r="L2387" s="278"/>
      <c r="M2387" s="278"/>
    </row>
    <row r="2388" spans="11:13" x14ac:dyDescent="0.25">
      <c r="K2388" s="278"/>
      <c r="L2388" s="278"/>
      <c r="M2388" s="278"/>
    </row>
    <row r="2390" spans="11:13" x14ac:dyDescent="0.25">
      <c r="K2390" s="278"/>
      <c r="L2390" s="278"/>
      <c r="M2390" s="278"/>
    </row>
    <row r="2392" spans="11:13" x14ac:dyDescent="0.25">
      <c r="K2392" s="278"/>
      <c r="L2392" s="278"/>
      <c r="M2392" s="278"/>
    </row>
    <row r="2393" spans="11:13" x14ac:dyDescent="0.25">
      <c r="K2393" s="278"/>
      <c r="L2393" s="278"/>
      <c r="M2393" s="278"/>
    </row>
    <row r="2394" spans="11:13" x14ac:dyDescent="0.25">
      <c r="K2394" s="278"/>
      <c r="L2394" s="278"/>
      <c r="M2394" s="278"/>
    </row>
    <row r="2395" spans="11:13" x14ac:dyDescent="0.25">
      <c r="K2395" s="278"/>
      <c r="L2395" s="278"/>
      <c r="M2395" s="278"/>
    </row>
    <row r="2396" spans="11:13" x14ac:dyDescent="0.25">
      <c r="K2396" s="278"/>
      <c r="L2396" s="278"/>
      <c r="M2396" s="278"/>
    </row>
    <row r="2397" spans="11:13" x14ac:dyDescent="0.25">
      <c r="K2397" s="278"/>
      <c r="L2397" s="278"/>
      <c r="M2397" s="278"/>
    </row>
    <row r="2398" spans="11:13" x14ac:dyDescent="0.25">
      <c r="K2398" s="278"/>
      <c r="L2398" s="278"/>
      <c r="M2398" s="278"/>
    </row>
    <row r="2399" spans="11:13" x14ac:dyDescent="0.25">
      <c r="K2399" s="278"/>
      <c r="L2399" s="278"/>
      <c r="M2399" s="278"/>
    </row>
    <row r="2400" spans="11:13" x14ac:dyDescent="0.25">
      <c r="K2400" s="278"/>
      <c r="L2400" s="278"/>
      <c r="M2400" s="278"/>
    </row>
    <row r="2401" spans="11:13" x14ac:dyDescent="0.25">
      <c r="K2401" s="278"/>
      <c r="L2401" s="278"/>
      <c r="M2401" s="278"/>
    </row>
    <row r="2402" spans="11:13" x14ac:dyDescent="0.25">
      <c r="K2402" s="278"/>
      <c r="L2402" s="278"/>
      <c r="M2402" s="278"/>
    </row>
    <row r="2403" spans="11:13" x14ac:dyDescent="0.25">
      <c r="K2403" s="278"/>
      <c r="L2403" s="278"/>
      <c r="M2403" s="278"/>
    </row>
    <row r="2404" spans="11:13" x14ac:dyDescent="0.25">
      <c r="K2404" s="278"/>
      <c r="L2404" s="278"/>
      <c r="M2404" s="278"/>
    </row>
    <row r="2405" spans="11:13" x14ac:dyDescent="0.25">
      <c r="K2405" s="278"/>
      <c r="L2405" s="278"/>
      <c r="M2405" s="278"/>
    </row>
    <row r="2407" spans="11:13" x14ac:dyDescent="0.25">
      <c r="K2407" s="278"/>
      <c r="L2407" s="278"/>
      <c r="M2407" s="278"/>
    </row>
    <row r="2408" spans="11:13" x14ac:dyDescent="0.25">
      <c r="K2408" s="278"/>
      <c r="L2408" s="278"/>
      <c r="M2408" s="278"/>
    </row>
    <row r="2409" spans="11:13" x14ac:dyDescent="0.25">
      <c r="K2409" s="278"/>
      <c r="L2409" s="278"/>
      <c r="M2409" s="278"/>
    </row>
    <row r="2410" spans="11:13" x14ac:dyDescent="0.25">
      <c r="K2410" s="278"/>
      <c r="L2410" s="278"/>
      <c r="M2410" s="278"/>
    </row>
    <row r="2411" spans="11:13" x14ac:dyDescent="0.25">
      <c r="K2411" s="278"/>
      <c r="L2411" s="278"/>
      <c r="M2411" s="278"/>
    </row>
    <row r="2413" spans="11:13" x14ac:dyDescent="0.25">
      <c r="K2413" s="278"/>
      <c r="L2413" s="278"/>
      <c r="M2413" s="278"/>
    </row>
    <row r="2414" spans="11:13" x14ac:dyDescent="0.25">
      <c r="K2414" s="278"/>
      <c r="L2414" s="278"/>
      <c r="M2414" s="278"/>
    </row>
    <row r="2417" spans="11:13" x14ac:dyDescent="0.25">
      <c r="K2417" s="278"/>
      <c r="L2417" s="278"/>
      <c r="M2417" s="278"/>
    </row>
    <row r="2418" spans="11:13" x14ac:dyDescent="0.25">
      <c r="K2418" s="278"/>
      <c r="L2418" s="278"/>
      <c r="M2418" s="278"/>
    </row>
    <row r="2419" spans="11:13" x14ac:dyDescent="0.25">
      <c r="K2419" s="278"/>
      <c r="L2419" s="278"/>
      <c r="M2419" s="278"/>
    </row>
    <row r="2420" spans="11:13" x14ac:dyDescent="0.25">
      <c r="K2420" s="278"/>
      <c r="L2420" s="278"/>
      <c r="M2420" s="278"/>
    </row>
    <row r="2421" spans="11:13" x14ac:dyDescent="0.25">
      <c r="K2421" s="278"/>
      <c r="L2421" s="278"/>
      <c r="M2421" s="278"/>
    </row>
    <row r="2422" spans="11:13" x14ac:dyDescent="0.25">
      <c r="K2422" s="278"/>
      <c r="L2422" s="278"/>
      <c r="M2422" s="278"/>
    </row>
    <row r="2423" spans="11:13" x14ac:dyDescent="0.25">
      <c r="K2423" s="278"/>
      <c r="L2423" s="278"/>
      <c r="M2423" s="278"/>
    </row>
    <row r="2424" spans="11:13" x14ac:dyDescent="0.25">
      <c r="K2424" s="278"/>
      <c r="L2424" s="278"/>
      <c r="M2424" s="278"/>
    </row>
    <row r="2425" spans="11:13" x14ac:dyDescent="0.25">
      <c r="K2425" s="278"/>
      <c r="L2425" s="278"/>
      <c r="M2425" s="278"/>
    </row>
    <row r="2426" spans="11:13" x14ac:dyDescent="0.25">
      <c r="K2426" s="278"/>
      <c r="L2426" s="278"/>
      <c r="M2426" s="278"/>
    </row>
    <row r="2427" spans="11:13" x14ac:dyDescent="0.25">
      <c r="K2427" s="278"/>
      <c r="L2427" s="278"/>
      <c r="M2427" s="278"/>
    </row>
    <row r="2428" spans="11:13" x14ac:dyDescent="0.25">
      <c r="K2428" s="278"/>
      <c r="L2428" s="278"/>
      <c r="M2428" s="278"/>
    </row>
    <row r="2429" spans="11:13" x14ac:dyDescent="0.25">
      <c r="K2429" s="278"/>
      <c r="L2429" s="278"/>
      <c r="M2429" s="278"/>
    </row>
    <row r="2430" spans="11:13" x14ac:dyDescent="0.25">
      <c r="K2430" s="278"/>
      <c r="L2430" s="278"/>
      <c r="M2430" s="278"/>
    </row>
    <row r="2431" spans="11:13" x14ac:dyDescent="0.25">
      <c r="K2431" s="278"/>
      <c r="L2431" s="278"/>
      <c r="M2431" s="278"/>
    </row>
    <row r="2432" spans="11:13" x14ac:dyDescent="0.25">
      <c r="K2432" s="278"/>
      <c r="L2432" s="278"/>
      <c r="M2432" s="278"/>
    </row>
    <row r="2433" spans="11:13" x14ac:dyDescent="0.25">
      <c r="K2433" s="278"/>
      <c r="L2433" s="278"/>
      <c r="M2433" s="278"/>
    </row>
    <row r="2435" spans="11:13" x14ac:dyDescent="0.25">
      <c r="K2435" s="278"/>
      <c r="L2435" s="278"/>
      <c r="M2435" s="278"/>
    </row>
    <row r="2436" spans="11:13" x14ac:dyDescent="0.25">
      <c r="K2436" s="278"/>
      <c r="L2436" s="278"/>
      <c r="M2436" s="278"/>
    </row>
    <row r="2437" spans="11:13" x14ac:dyDescent="0.25">
      <c r="K2437" s="278"/>
      <c r="L2437" s="278"/>
      <c r="M2437" s="278"/>
    </row>
    <row r="2438" spans="11:13" x14ac:dyDescent="0.25">
      <c r="K2438" s="278"/>
      <c r="L2438" s="278"/>
      <c r="M2438" s="278"/>
    </row>
    <row r="2439" spans="11:13" x14ac:dyDescent="0.25">
      <c r="K2439" s="278"/>
      <c r="L2439" s="278"/>
      <c r="M2439" s="278"/>
    </row>
    <row r="2440" spans="11:13" x14ac:dyDescent="0.25">
      <c r="K2440" s="278"/>
      <c r="L2440" s="278"/>
      <c r="M2440" s="278"/>
    </row>
    <row r="2441" spans="11:13" x14ac:dyDescent="0.25">
      <c r="K2441" s="278"/>
      <c r="L2441" s="278"/>
      <c r="M2441" s="278"/>
    </row>
    <row r="2442" spans="11:13" x14ac:dyDescent="0.25">
      <c r="K2442" s="278"/>
      <c r="L2442" s="278"/>
      <c r="M2442" s="278"/>
    </row>
    <row r="2443" spans="11:13" x14ac:dyDescent="0.25">
      <c r="K2443" s="278"/>
      <c r="L2443" s="278"/>
      <c r="M2443" s="278"/>
    </row>
    <row r="2444" spans="11:13" x14ac:dyDescent="0.25">
      <c r="K2444" s="278"/>
      <c r="L2444" s="278"/>
      <c r="M2444" s="278"/>
    </row>
    <row r="2445" spans="11:13" x14ac:dyDescent="0.25">
      <c r="K2445" s="278"/>
      <c r="L2445" s="278"/>
      <c r="M2445" s="278"/>
    </row>
    <row r="2446" spans="11:13" x14ac:dyDescent="0.25">
      <c r="K2446" s="278"/>
      <c r="L2446" s="278"/>
      <c r="M2446" s="278"/>
    </row>
    <row r="2466" spans="11:13" x14ac:dyDescent="0.25">
      <c r="K2466" s="278"/>
      <c r="L2466" s="278"/>
      <c r="M2466" s="278"/>
    </row>
    <row r="2469" spans="11:13" x14ac:dyDescent="0.25">
      <c r="K2469" s="278"/>
      <c r="L2469" s="278"/>
      <c r="M2469" s="278"/>
    </row>
    <row r="2470" spans="11:13" x14ac:dyDescent="0.25">
      <c r="K2470" s="278"/>
      <c r="L2470" s="278"/>
      <c r="M2470" s="278"/>
    </row>
    <row r="2471" spans="11:13" x14ac:dyDescent="0.25">
      <c r="K2471" s="278"/>
      <c r="L2471" s="278"/>
      <c r="M2471" s="278"/>
    </row>
    <row r="2472" spans="11:13" x14ac:dyDescent="0.25">
      <c r="K2472" s="278"/>
      <c r="L2472" s="278"/>
      <c r="M2472" s="278"/>
    </row>
    <row r="2473" spans="11:13" x14ac:dyDescent="0.25">
      <c r="K2473" s="278"/>
      <c r="L2473" s="278"/>
      <c r="M2473" s="278"/>
    </row>
    <row r="2474" spans="11:13" x14ac:dyDescent="0.25">
      <c r="K2474" s="278"/>
      <c r="L2474" s="278"/>
      <c r="M2474" s="278"/>
    </row>
    <row r="2475" spans="11:13" x14ac:dyDescent="0.25">
      <c r="K2475" s="278"/>
      <c r="L2475" s="278"/>
      <c r="M2475" s="278"/>
    </row>
    <row r="2476" spans="11:13" x14ac:dyDescent="0.25">
      <c r="K2476" s="278"/>
      <c r="L2476" s="278"/>
      <c r="M2476" s="278"/>
    </row>
    <row r="2477" spans="11:13" x14ac:dyDescent="0.25">
      <c r="K2477" s="278"/>
      <c r="L2477" s="278"/>
      <c r="M2477" s="278"/>
    </row>
    <row r="2478" spans="11:13" x14ac:dyDescent="0.25">
      <c r="K2478" s="278"/>
      <c r="L2478" s="278"/>
      <c r="M2478" s="278"/>
    </row>
    <row r="2479" spans="11:13" x14ac:dyDescent="0.25">
      <c r="K2479" s="278"/>
      <c r="L2479" s="278"/>
      <c r="M2479" s="278"/>
    </row>
    <row r="2480" spans="11:13" x14ac:dyDescent="0.25">
      <c r="K2480" s="278"/>
      <c r="L2480" s="278"/>
      <c r="M2480" s="278"/>
    </row>
    <row r="2481" spans="11:13" x14ac:dyDescent="0.25">
      <c r="K2481" s="278"/>
      <c r="L2481" s="278"/>
      <c r="M2481" s="278"/>
    </row>
    <row r="2482" spans="11:13" x14ac:dyDescent="0.25">
      <c r="K2482" s="278"/>
      <c r="L2482" s="278"/>
      <c r="M2482" s="278"/>
    </row>
    <row r="2483" spans="11:13" x14ac:dyDescent="0.25">
      <c r="K2483" s="278"/>
      <c r="L2483" s="278"/>
      <c r="M2483" s="278"/>
    </row>
    <row r="2484" spans="11:13" x14ac:dyDescent="0.25">
      <c r="K2484" s="278"/>
      <c r="L2484" s="278"/>
      <c r="M2484" s="278"/>
    </row>
    <row r="2485" spans="11:13" x14ac:dyDescent="0.25">
      <c r="K2485" s="278"/>
      <c r="L2485" s="278"/>
      <c r="M2485" s="278"/>
    </row>
    <row r="2486" spans="11:13" x14ac:dyDescent="0.25">
      <c r="K2486" s="278"/>
      <c r="L2486" s="278"/>
      <c r="M2486" s="278"/>
    </row>
    <row r="2487" spans="11:13" x14ac:dyDescent="0.25">
      <c r="K2487" s="278"/>
      <c r="L2487" s="278"/>
      <c r="M2487" s="278"/>
    </row>
    <row r="2488" spans="11:13" x14ac:dyDescent="0.25">
      <c r="K2488" s="278"/>
      <c r="L2488" s="278"/>
      <c r="M2488" s="278"/>
    </row>
    <row r="2489" spans="11:13" x14ac:dyDescent="0.25">
      <c r="K2489" s="278"/>
      <c r="L2489" s="278"/>
      <c r="M2489" s="278"/>
    </row>
    <row r="2492" spans="11:13" x14ac:dyDescent="0.25">
      <c r="K2492" s="278"/>
      <c r="L2492" s="278"/>
      <c r="M2492" s="278"/>
    </row>
    <row r="2493" spans="11:13" x14ac:dyDescent="0.25">
      <c r="K2493" s="278"/>
      <c r="L2493" s="278"/>
      <c r="M2493" s="278"/>
    </row>
    <row r="2494" spans="11:13" x14ac:dyDescent="0.25">
      <c r="K2494" s="278"/>
      <c r="L2494" s="278"/>
      <c r="M2494" s="278"/>
    </row>
    <row r="2495" spans="11:13" x14ac:dyDescent="0.25">
      <c r="K2495" s="278"/>
      <c r="L2495" s="278"/>
      <c r="M2495" s="278"/>
    </row>
    <row r="2496" spans="11:13" x14ac:dyDescent="0.25">
      <c r="K2496" s="278"/>
      <c r="L2496" s="278"/>
      <c r="M2496" s="278"/>
    </row>
    <row r="2497" spans="11:13" x14ac:dyDescent="0.25">
      <c r="K2497" s="278"/>
      <c r="L2497" s="278"/>
      <c r="M2497" s="278"/>
    </row>
    <row r="2498" spans="11:13" x14ac:dyDescent="0.25">
      <c r="K2498" s="278"/>
      <c r="L2498" s="278"/>
      <c r="M2498" s="278"/>
    </row>
    <row r="2499" spans="11:13" x14ac:dyDescent="0.25">
      <c r="K2499" s="278"/>
      <c r="L2499" s="278"/>
      <c r="M2499" s="278"/>
    </row>
    <row r="2500" spans="11:13" x14ac:dyDescent="0.25">
      <c r="K2500" s="278"/>
      <c r="L2500" s="278"/>
      <c r="M2500" s="278"/>
    </row>
    <row r="2501" spans="11:13" x14ac:dyDescent="0.25">
      <c r="K2501" s="278"/>
      <c r="L2501" s="278"/>
      <c r="M2501" s="278"/>
    </row>
    <row r="2502" spans="11:13" x14ac:dyDescent="0.25">
      <c r="K2502" s="278"/>
      <c r="L2502" s="278"/>
      <c r="M2502" s="278"/>
    </row>
    <row r="2503" spans="11:13" x14ac:dyDescent="0.25">
      <c r="K2503" s="278"/>
      <c r="L2503" s="278"/>
      <c r="M2503" s="278"/>
    </row>
    <row r="2504" spans="11:13" x14ac:dyDescent="0.25">
      <c r="K2504" s="278"/>
      <c r="L2504" s="278"/>
      <c r="M2504" s="278"/>
    </row>
    <row r="2505" spans="11:13" x14ac:dyDescent="0.25">
      <c r="K2505" s="278"/>
      <c r="L2505" s="278"/>
      <c r="M2505" s="278"/>
    </row>
    <row r="2506" spans="11:13" x14ac:dyDescent="0.25">
      <c r="K2506" s="278"/>
      <c r="L2506" s="278"/>
      <c r="M2506" s="278"/>
    </row>
    <row r="2507" spans="11:13" x14ac:dyDescent="0.25">
      <c r="K2507" s="278"/>
      <c r="L2507" s="278"/>
      <c r="M2507" s="278"/>
    </row>
    <row r="2508" spans="11:13" x14ac:dyDescent="0.25">
      <c r="K2508" s="278"/>
      <c r="L2508" s="278"/>
      <c r="M2508" s="278"/>
    </row>
    <row r="2509" spans="11:13" x14ac:dyDescent="0.25">
      <c r="K2509" s="278"/>
      <c r="L2509" s="278"/>
      <c r="M2509" s="278"/>
    </row>
    <row r="2510" spans="11:13" x14ac:dyDescent="0.25">
      <c r="K2510" s="278"/>
      <c r="L2510" s="278"/>
      <c r="M2510" s="278"/>
    </row>
    <row r="2511" spans="11:13" x14ac:dyDescent="0.25">
      <c r="K2511" s="278"/>
      <c r="L2511" s="278"/>
      <c r="M2511" s="278"/>
    </row>
    <row r="2512" spans="11:13" x14ac:dyDescent="0.25">
      <c r="K2512" s="278"/>
      <c r="L2512" s="278"/>
      <c r="M2512" s="278"/>
    </row>
    <row r="2513" spans="11:13" x14ac:dyDescent="0.25">
      <c r="K2513" s="278"/>
      <c r="L2513" s="278"/>
      <c r="M2513" s="278"/>
    </row>
    <row r="2514" spans="11:13" x14ac:dyDescent="0.25">
      <c r="K2514" s="278"/>
      <c r="L2514" s="278"/>
      <c r="M2514" s="278"/>
    </row>
    <row r="2515" spans="11:13" x14ac:dyDescent="0.25">
      <c r="K2515" s="278"/>
      <c r="L2515" s="278"/>
      <c r="M2515" s="278"/>
    </row>
    <row r="2516" spans="11:13" x14ac:dyDescent="0.25">
      <c r="K2516" s="278"/>
      <c r="L2516" s="278"/>
      <c r="M2516" s="278"/>
    </row>
    <row r="2517" spans="11:13" x14ac:dyDescent="0.25">
      <c r="K2517" s="278"/>
      <c r="L2517" s="278"/>
      <c r="M2517" s="278"/>
    </row>
    <row r="2518" spans="11:13" x14ac:dyDescent="0.25">
      <c r="K2518" s="278"/>
      <c r="L2518" s="278"/>
      <c r="M2518" s="278"/>
    </row>
    <row r="2519" spans="11:13" x14ac:dyDescent="0.25">
      <c r="K2519" s="278"/>
      <c r="L2519" s="278"/>
      <c r="M2519" s="278"/>
    </row>
    <row r="2521" spans="11:13" x14ac:dyDescent="0.25">
      <c r="K2521" s="278"/>
      <c r="L2521" s="278"/>
      <c r="M2521" s="278"/>
    </row>
    <row r="2522" spans="11:13" x14ac:dyDescent="0.25">
      <c r="K2522" s="278"/>
      <c r="L2522" s="278"/>
      <c r="M2522" s="278"/>
    </row>
    <row r="2523" spans="11:13" x14ac:dyDescent="0.25">
      <c r="K2523" s="278"/>
      <c r="L2523" s="278"/>
      <c r="M2523" s="278"/>
    </row>
    <row r="2525" spans="11:13" x14ac:dyDescent="0.25">
      <c r="K2525" s="278"/>
      <c r="L2525" s="278"/>
      <c r="M2525" s="278"/>
    </row>
    <row r="2526" spans="11:13" x14ac:dyDescent="0.25">
      <c r="K2526" s="278"/>
      <c r="L2526" s="278"/>
      <c r="M2526" s="278"/>
    </row>
    <row r="2532" spans="11:13" x14ac:dyDescent="0.25">
      <c r="K2532" s="278"/>
      <c r="L2532" s="278"/>
      <c r="M2532" s="278"/>
    </row>
    <row r="2533" spans="11:13" x14ac:dyDescent="0.25">
      <c r="K2533" s="278"/>
      <c r="L2533" s="278"/>
      <c r="M2533" s="278"/>
    </row>
    <row r="2534" spans="11:13" x14ac:dyDescent="0.25">
      <c r="K2534" s="278"/>
      <c r="L2534" s="278"/>
      <c r="M2534" s="278"/>
    </row>
    <row r="2537" spans="11:13" x14ac:dyDescent="0.25">
      <c r="K2537" s="278"/>
      <c r="L2537" s="278"/>
      <c r="M2537" s="278"/>
    </row>
    <row r="2539" spans="11:13" x14ac:dyDescent="0.25">
      <c r="K2539" s="278"/>
      <c r="L2539" s="278"/>
      <c r="M2539" s="278"/>
    </row>
    <row r="2541" spans="11:13" x14ac:dyDescent="0.25">
      <c r="K2541" s="278"/>
      <c r="L2541" s="278"/>
      <c r="M2541" s="278"/>
    </row>
    <row r="2545" spans="11:13" x14ac:dyDescent="0.25">
      <c r="K2545" s="278"/>
      <c r="L2545" s="278"/>
      <c r="M2545" s="278"/>
    </row>
    <row r="2546" spans="11:13" x14ac:dyDescent="0.25">
      <c r="K2546" s="278"/>
      <c r="L2546" s="278"/>
      <c r="M2546" s="278"/>
    </row>
    <row r="2548" spans="11:13" x14ac:dyDescent="0.25">
      <c r="K2548" s="278"/>
      <c r="L2548" s="278"/>
      <c r="M2548" s="278"/>
    </row>
    <row r="2551" spans="11:13" x14ac:dyDescent="0.25">
      <c r="K2551" s="278"/>
      <c r="L2551" s="278"/>
      <c r="M2551" s="278"/>
    </row>
    <row r="2552" spans="11:13" x14ac:dyDescent="0.25">
      <c r="K2552" s="278"/>
      <c r="L2552" s="278"/>
      <c r="M2552" s="278"/>
    </row>
    <row r="2553" spans="11:13" x14ac:dyDescent="0.25">
      <c r="K2553" s="278"/>
      <c r="L2553" s="278"/>
      <c r="M2553" s="278"/>
    </row>
    <row r="2556" spans="11:13" x14ac:dyDescent="0.25">
      <c r="K2556" s="278"/>
      <c r="L2556" s="278"/>
      <c r="M2556" s="278"/>
    </row>
    <row r="2558" spans="11:13" x14ac:dyDescent="0.25">
      <c r="K2558" s="278"/>
      <c r="L2558" s="278"/>
      <c r="M2558" s="278"/>
    </row>
    <row r="2559" spans="11:13" x14ac:dyDescent="0.25">
      <c r="K2559" s="278"/>
      <c r="L2559" s="278"/>
      <c r="M2559" s="278"/>
    </row>
    <row r="2563" spans="11:13" x14ac:dyDescent="0.25">
      <c r="K2563" s="278"/>
      <c r="L2563" s="278"/>
      <c r="M2563" s="278"/>
    </row>
    <row r="2564" spans="11:13" x14ac:dyDescent="0.25">
      <c r="K2564" s="278"/>
      <c r="L2564" s="278"/>
      <c r="M2564" s="278"/>
    </row>
    <row r="2577" spans="11:13" x14ac:dyDescent="0.25">
      <c r="K2577" s="278"/>
      <c r="L2577" s="278"/>
      <c r="M2577" s="278"/>
    </row>
    <row r="2580" spans="11:13" x14ac:dyDescent="0.25">
      <c r="K2580" s="278"/>
      <c r="L2580" s="278"/>
      <c r="M2580" s="278"/>
    </row>
    <row r="2581" spans="11:13" x14ac:dyDescent="0.25">
      <c r="K2581" s="278"/>
      <c r="L2581" s="278"/>
      <c r="M2581" s="278"/>
    </row>
    <row r="2582" spans="11:13" x14ac:dyDescent="0.25">
      <c r="K2582" s="278"/>
      <c r="L2582" s="278"/>
      <c r="M2582" s="278"/>
    </row>
    <row r="2583" spans="11:13" x14ac:dyDescent="0.25">
      <c r="K2583" s="278"/>
      <c r="L2583" s="278"/>
      <c r="M2583" s="278"/>
    </row>
    <row r="2587" spans="11:13" x14ac:dyDescent="0.25">
      <c r="K2587" s="278"/>
      <c r="L2587" s="278"/>
      <c r="M2587" s="278"/>
    </row>
    <row r="2590" spans="11:13" x14ac:dyDescent="0.25">
      <c r="K2590" s="278"/>
      <c r="L2590" s="278"/>
      <c r="M2590" s="278"/>
    </row>
    <row r="2591" spans="11:13" x14ac:dyDescent="0.25">
      <c r="K2591" s="278"/>
      <c r="L2591" s="278"/>
      <c r="M2591" s="278"/>
    </row>
    <row r="2593" spans="11:13" x14ac:dyDescent="0.25">
      <c r="K2593" s="278"/>
      <c r="L2593" s="278"/>
      <c r="M2593" s="278"/>
    </row>
    <row r="2596" spans="11:13" x14ac:dyDescent="0.25">
      <c r="K2596" s="278"/>
      <c r="L2596" s="278"/>
      <c r="M2596" s="278"/>
    </row>
    <row r="2601" spans="11:13" x14ac:dyDescent="0.25">
      <c r="K2601" s="278"/>
      <c r="L2601" s="278"/>
      <c r="M2601" s="278"/>
    </row>
    <row r="2602" spans="11:13" x14ac:dyDescent="0.25">
      <c r="K2602" s="278"/>
      <c r="L2602" s="278"/>
      <c r="M2602" s="278"/>
    </row>
    <row r="2606" spans="11:13" x14ac:dyDescent="0.25">
      <c r="K2606" s="278"/>
      <c r="L2606" s="278"/>
      <c r="M2606" s="278"/>
    </row>
    <row r="2607" spans="11:13" x14ac:dyDescent="0.25">
      <c r="K2607" s="278"/>
      <c r="L2607" s="278"/>
      <c r="M2607" s="278"/>
    </row>
    <row r="2609" spans="11:13" x14ac:dyDescent="0.25">
      <c r="K2609" s="278"/>
      <c r="L2609" s="278"/>
      <c r="M2609" s="278"/>
    </row>
    <row r="2610" spans="11:13" x14ac:dyDescent="0.25">
      <c r="K2610" s="278"/>
      <c r="L2610" s="278"/>
      <c r="M2610" s="278"/>
    </row>
    <row r="2611" spans="11:13" x14ac:dyDescent="0.25">
      <c r="K2611" s="278"/>
      <c r="L2611" s="278"/>
      <c r="M2611" s="278"/>
    </row>
    <row r="2612" spans="11:13" x14ac:dyDescent="0.25">
      <c r="K2612" s="278"/>
      <c r="L2612" s="278"/>
      <c r="M2612" s="278"/>
    </row>
    <row r="2613" spans="11:13" x14ac:dyDescent="0.25">
      <c r="K2613" s="278"/>
      <c r="L2613" s="278"/>
      <c r="M2613" s="278"/>
    </row>
    <row r="2615" spans="11:13" x14ac:dyDescent="0.25">
      <c r="K2615" s="278"/>
      <c r="L2615" s="278"/>
      <c r="M2615" s="278"/>
    </row>
    <row r="2616" spans="11:13" x14ac:dyDescent="0.25">
      <c r="K2616" s="278"/>
      <c r="L2616" s="278"/>
      <c r="M2616" s="278"/>
    </row>
    <row r="2617" spans="11:13" x14ac:dyDescent="0.25">
      <c r="K2617" s="278"/>
      <c r="L2617" s="278"/>
      <c r="M2617" s="278"/>
    </row>
    <row r="2618" spans="11:13" x14ac:dyDescent="0.25">
      <c r="K2618" s="278"/>
      <c r="L2618" s="278"/>
      <c r="M2618" s="278"/>
    </row>
    <row r="2620" spans="11:13" x14ac:dyDescent="0.25">
      <c r="K2620" s="278"/>
      <c r="L2620" s="278"/>
      <c r="M2620" s="278"/>
    </row>
    <row r="2621" spans="11:13" x14ac:dyDescent="0.25">
      <c r="K2621" s="278"/>
      <c r="L2621" s="278"/>
      <c r="M2621" s="278"/>
    </row>
    <row r="2622" spans="11:13" x14ac:dyDescent="0.25">
      <c r="K2622" s="278"/>
      <c r="L2622" s="278"/>
      <c r="M2622" s="278"/>
    </row>
    <row r="2623" spans="11:13" x14ac:dyDescent="0.25">
      <c r="K2623" s="278"/>
      <c r="L2623" s="278"/>
      <c r="M2623" s="278"/>
    </row>
    <row r="2624" spans="11:13" x14ac:dyDescent="0.25">
      <c r="K2624" s="278"/>
      <c r="L2624" s="278"/>
      <c r="M2624" s="278"/>
    </row>
    <row r="2625" spans="11:13" x14ac:dyDescent="0.25">
      <c r="K2625" s="278"/>
      <c r="L2625" s="278"/>
      <c r="M2625" s="278"/>
    </row>
    <row r="2626" spans="11:13" x14ac:dyDescent="0.25">
      <c r="K2626" s="278"/>
      <c r="L2626" s="278"/>
      <c r="M2626" s="278"/>
    </row>
    <row r="2629" spans="11:13" x14ac:dyDescent="0.25">
      <c r="K2629" s="278"/>
      <c r="L2629" s="278"/>
      <c r="M2629" s="278"/>
    </row>
    <row r="2630" spans="11:13" x14ac:dyDescent="0.25">
      <c r="K2630" s="278"/>
      <c r="L2630" s="278"/>
      <c r="M2630" s="278"/>
    </row>
    <row r="2632" spans="11:13" x14ac:dyDescent="0.25">
      <c r="K2632" s="278"/>
      <c r="L2632" s="278"/>
      <c r="M2632" s="278"/>
    </row>
    <row r="2633" spans="11:13" x14ac:dyDescent="0.25">
      <c r="K2633" s="278"/>
      <c r="L2633" s="278"/>
      <c r="M2633" s="278"/>
    </row>
    <row r="2635" spans="11:13" x14ac:dyDescent="0.25">
      <c r="K2635" s="278"/>
      <c r="L2635" s="278"/>
      <c r="M2635" s="278"/>
    </row>
    <row r="2636" spans="11:13" x14ac:dyDescent="0.25">
      <c r="K2636" s="278"/>
      <c r="L2636" s="278"/>
      <c r="M2636" s="278"/>
    </row>
    <row r="2637" spans="11:13" x14ac:dyDescent="0.25">
      <c r="K2637" s="278"/>
      <c r="L2637" s="278"/>
      <c r="M2637" s="278"/>
    </row>
    <row r="2639" spans="11:13" x14ac:dyDescent="0.25">
      <c r="K2639" s="278"/>
      <c r="L2639" s="278"/>
      <c r="M2639" s="278"/>
    </row>
    <row r="2641" spans="11:13" x14ac:dyDescent="0.25">
      <c r="K2641" s="278"/>
      <c r="L2641" s="278"/>
      <c r="M2641" s="278"/>
    </row>
    <row r="2643" spans="11:13" x14ac:dyDescent="0.25">
      <c r="K2643" s="278"/>
      <c r="L2643" s="278"/>
      <c r="M2643" s="278"/>
    </row>
    <row r="2645" spans="11:13" x14ac:dyDescent="0.25">
      <c r="K2645" s="278"/>
      <c r="L2645" s="278"/>
      <c r="M2645" s="278"/>
    </row>
    <row r="2646" spans="11:13" x14ac:dyDescent="0.25">
      <c r="K2646" s="278"/>
      <c r="L2646" s="278"/>
      <c r="M2646" s="278"/>
    </row>
    <row r="2650" spans="11:13" x14ac:dyDescent="0.25">
      <c r="K2650" s="278"/>
      <c r="L2650" s="278"/>
      <c r="M2650" s="278"/>
    </row>
    <row r="2655" spans="11:13" x14ac:dyDescent="0.25">
      <c r="K2655" s="278"/>
      <c r="L2655" s="278"/>
      <c r="M2655" s="278"/>
    </row>
    <row r="2658" spans="11:13" x14ac:dyDescent="0.25">
      <c r="K2658" s="278"/>
      <c r="L2658" s="278"/>
      <c r="M2658" s="278"/>
    </row>
    <row r="2662" spans="11:13" x14ac:dyDescent="0.25">
      <c r="K2662" s="278"/>
      <c r="L2662" s="278"/>
      <c r="M2662" s="278"/>
    </row>
    <row r="2668" spans="11:13" x14ac:dyDescent="0.25">
      <c r="K2668" s="278"/>
      <c r="L2668" s="278"/>
      <c r="M2668" s="278"/>
    </row>
    <row r="2669" spans="11:13" x14ac:dyDescent="0.25">
      <c r="K2669" s="278"/>
      <c r="L2669" s="278"/>
      <c r="M2669" s="278"/>
    </row>
    <row r="2672" spans="11:13" x14ac:dyDescent="0.25">
      <c r="K2672" s="278"/>
      <c r="L2672" s="278"/>
      <c r="M2672" s="278"/>
    </row>
    <row r="2676" spans="11:13" x14ac:dyDescent="0.25">
      <c r="K2676" s="278"/>
      <c r="L2676" s="278"/>
      <c r="M2676" s="278"/>
    </row>
    <row r="2677" spans="11:13" x14ac:dyDescent="0.25">
      <c r="K2677" s="278"/>
      <c r="L2677" s="278"/>
      <c r="M2677" s="278"/>
    </row>
    <row r="2678" spans="11:13" x14ac:dyDescent="0.25">
      <c r="K2678" s="278"/>
      <c r="L2678" s="278"/>
      <c r="M2678" s="278"/>
    </row>
    <row r="2679" spans="11:13" x14ac:dyDescent="0.25">
      <c r="K2679" s="278"/>
      <c r="L2679" s="278"/>
      <c r="M2679" s="278"/>
    </row>
    <row r="2683" spans="11:13" x14ac:dyDescent="0.25">
      <c r="K2683" s="278"/>
      <c r="L2683" s="278"/>
      <c r="M2683" s="278"/>
    </row>
    <row r="2684" spans="11:13" x14ac:dyDescent="0.25">
      <c r="K2684" s="278"/>
      <c r="L2684" s="278"/>
      <c r="M2684" s="278"/>
    </row>
    <row r="2685" spans="11:13" x14ac:dyDescent="0.25">
      <c r="K2685" s="278"/>
      <c r="L2685" s="278"/>
      <c r="M2685" s="278"/>
    </row>
    <row r="2687" spans="11:13" x14ac:dyDescent="0.25">
      <c r="K2687" s="278"/>
      <c r="L2687" s="278"/>
      <c r="M2687" s="278"/>
    </row>
    <row r="2688" spans="11:13" x14ac:dyDescent="0.25">
      <c r="K2688" s="278"/>
      <c r="L2688" s="278"/>
      <c r="M2688" s="278"/>
    </row>
    <row r="2689" spans="11:13" x14ac:dyDescent="0.25">
      <c r="K2689" s="278"/>
      <c r="L2689" s="278"/>
      <c r="M2689" s="278"/>
    </row>
    <row r="2691" spans="11:13" x14ac:dyDescent="0.25">
      <c r="K2691" s="278"/>
      <c r="L2691" s="278"/>
      <c r="M2691" s="278"/>
    </row>
    <row r="2692" spans="11:13" x14ac:dyDescent="0.25">
      <c r="K2692" s="278"/>
      <c r="L2692" s="278"/>
      <c r="M2692" s="278"/>
    </row>
    <row r="2693" spans="11:13" x14ac:dyDescent="0.25">
      <c r="K2693" s="278"/>
      <c r="L2693" s="278"/>
      <c r="M2693" s="278"/>
    </row>
    <row r="2694" spans="11:13" x14ac:dyDescent="0.25">
      <c r="K2694" s="278"/>
      <c r="L2694" s="278"/>
      <c r="M2694" s="278"/>
    </row>
    <row r="2695" spans="11:13" x14ac:dyDescent="0.25">
      <c r="K2695" s="278"/>
      <c r="L2695" s="278"/>
      <c r="M2695" s="278"/>
    </row>
    <row r="2696" spans="11:13" x14ac:dyDescent="0.25">
      <c r="K2696" s="278"/>
      <c r="L2696" s="278"/>
      <c r="M2696" s="278"/>
    </row>
    <row r="2699" spans="11:13" x14ac:dyDescent="0.25">
      <c r="K2699" s="278"/>
      <c r="L2699" s="278"/>
      <c r="M2699" s="278"/>
    </row>
    <row r="2700" spans="11:13" x14ac:dyDescent="0.25">
      <c r="K2700" s="278"/>
      <c r="L2700" s="278"/>
      <c r="M2700" s="278"/>
    </row>
    <row r="2701" spans="11:13" x14ac:dyDescent="0.25">
      <c r="K2701" s="278"/>
      <c r="L2701" s="278"/>
      <c r="M2701" s="278"/>
    </row>
    <row r="2705" spans="11:13" x14ac:dyDescent="0.25">
      <c r="K2705" s="278"/>
      <c r="L2705" s="278"/>
      <c r="M2705" s="278"/>
    </row>
    <row r="2706" spans="11:13" x14ac:dyDescent="0.25">
      <c r="K2706" s="278"/>
      <c r="L2706" s="278"/>
      <c r="M2706" s="278"/>
    </row>
    <row r="2707" spans="11:13" x14ac:dyDescent="0.25">
      <c r="K2707" s="278"/>
      <c r="L2707" s="278"/>
      <c r="M2707" s="278"/>
    </row>
    <row r="2708" spans="11:13" x14ac:dyDescent="0.25">
      <c r="K2708" s="278"/>
      <c r="L2708" s="278"/>
      <c r="M2708" s="278"/>
    </row>
    <row r="2712" spans="11:13" x14ac:dyDescent="0.25">
      <c r="K2712" s="278"/>
      <c r="L2712" s="278"/>
      <c r="M2712" s="278"/>
    </row>
    <row r="2714" spans="11:13" x14ac:dyDescent="0.25">
      <c r="K2714" s="278"/>
      <c r="L2714" s="278"/>
      <c r="M2714" s="278"/>
    </row>
    <row r="2716" spans="11:13" x14ac:dyDescent="0.25">
      <c r="K2716" s="278"/>
      <c r="L2716" s="278"/>
      <c r="M2716" s="278"/>
    </row>
    <row r="2717" spans="11:13" x14ac:dyDescent="0.25">
      <c r="K2717" s="278"/>
      <c r="L2717" s="278"/>
      <c r="M2717" s="278"/>
    </row>
    <row r="2719" spans="11:13" x14ac:dyDescent="0.25">
      <c r="K2719" s="278"/>
      <c r="L2719" s="278"/>
      <c r="M2719" s="278"/>
    </row>
    <row r="2720" spans="11:13" x14ac:dyDescent="0.25">
      <c r="K2720" s="278"/>
      <c r="L2720" s="278"/>
      <c r="M2720" s="278"/>
    </row>
    <row r="2721" spans="11:13" x14ac:dyDescent="0.25">
      <c r="K2721" s="278"/>
      <c r="L2721" s="278"/>
      <c r="M2721" s="278"/>
    </row>
    <row r="2722" spans="11:13" x14ac:dyDescent="0.25">
      <c r="K2722" s="278"/>
      <c r="L2722" s="278"/>
      <c r="M2722" s="278"/>
    </row>
    <row r="2723" spans="11:13" x14ac:dyDescent="0.25">
      <c r="K2723" s="278"/>
      <c r="L2723" s="278"/>
      <c r="M2723" s="278"/>
    </row>
    <row r="2724" spans="11:13" x14ac:dyDescent="0.25">
      <c r="K2724" s="278"/>
      <c r="L2724" s="278"/>
      <c r="M2724" s="278"/>
    </row>
    <row r="2727" spans="11:13" x14ac:dyDescent="0.25">
      <c r="K2727" s="278"/>
      <c r="L2727" s="278"/>
      <c r="M2727" s="278"/>
    </row>
    <row r="2728" spans="11:13" x14ac:dyDescent="0.25">
      <c r="K2728" s="278"/>
      <c r="L2728" s="278"/>
      <c r="M2728" s="278"/>
    </row>
    <row r="2730" spans="11:13" x14ac:dyDescent="0.25">
      <c r="K2730" s="278"/>
      <c r="L2730" s="278"/>
      <c r="M2730" s="278"/>
    </row>
    <row r="2733" spans="11:13" x14ac:dyDescent="0.25">
      <c r="K2733" s="278"/>
      <c r="L2733" s="278"/>
      <c r="M2733" s="278"/>
    </row>
    <row r="2734" spans="11:13" x14ac:dyDescent="0.25">
      <c r="K2734" s="278"/>
      <c r="L2734" s="278"/>
      <c r="M2734" s="278"/>
    </row>
    <row r="2735" spans="11:13" x14ac:dyDescent="0.25">
      <c r="K2735" s="278"/>
      <c r="L2735" s="278"/>
      <c r="M2735" s="278"/>
    </row>
    <row r="2736" spans="11:13" x14ac:dyDescent="0.25">
      <c r="K2736" s="278"/>
      <c r="L2736" s="278"/>
      <c r="M2736" s="278"/>
    </row>
    <row r="2737" spans="11:13" x14ac:dyDescent="0.25">
      <c r="K2737" s="278"/>
      <c r="L2737" s="278"/>
      <c r="M2737" s="278"/>
    </row>
    <row r="2738" spans="11:13" x14ac:dyDescent="0.25">
      <c r="K2738" s="278"/>
      <c r="L2738" s="278"/>
      <c r="M2738" s="278"/>
    </row>
    <row r="2740" spans="11:13" x14ac:dyDescent="0.25">
      <c r="K2740" s="278"/>
      <c r="L2740" s="278"/>
      <c r="M2740" s="278"/>
    </row>
    <row r="2741" spans="11:13" x14ac:dyDescent="0.25">
      <c r="K2741" s="278"/>
      <c r="L2741" s="278"/>
      <c r="M2741" s="278"/>
    </row>
    <row r="2742" spans="11:13" x14ac:dyDescent="0.25">
      <c r="K2742" s="278"/>
      <c r="L2742" s="278"/>
      <c r="M2742" s="278"/>
    </row>
    <row r="2745" spans="11:13" x14ac:dyDescent="0.25">
      <c r="K2745" s="278"/>
      <c r="L2745" s="278"/>
      <c r="M2745" s="278"/>
    </row>
    <row r="2747" spans="11:13" x14ac:dyDescent="0.25">
      <c r="K2747" s="278"/>
      <c r="L2747" s="278"/>
      <c r="M2747" s="278"/>
    </row>
    <row r="2748" spans="11:13" x14ac:dyDescent="0.25">
      <c r="K2748" s="278"/>
      <c r="L2748" s="278"/>
      <c r="M2748" s="278"/>
    </row>
    <row r="2751" spans="11:13" x14ac:dyDescent="0.25">
      <c r="K2751" s="278"/>
      <c r="L2751" s="278"/>
      <c r="M2751" s="278"/>
    </row>
    <row r="2754" spans="11:13" x14ac:dyDescent="0.25">
      <c r="K2754" s="278"/>
      <c r="L2754" s="278"/>
      <c r="M2754" s="278"/>
    </row>
    <row r="2755" spans="11:13" x14ac:dyDescent="0.25">
      <c r="K2755" s="278"/>
      <c r="L2755" s="278"/>
      <c r="M2755" s="278"/>
    </row>
    <row r="2756" spans="11:13" x14ac:dyDescent="0.25">
      <c r="K2756" s="278"/>
      <c r="L2756" s="278"/>
      <c r="M2756" s="278"/>
    </row>
    <row r="2761" spans="11:13" x14ac:dyDescent="0.25">
      <c r="K2761" s="278"/>
      <c r="L2761" s="278"/>
      <c r="M2761" s="278"/>
    </row>
    <row r="2764" spans="11:13" x14ac:dyDescent="0.25">
      <c r="K2764" s="278"/>
      <c r="L2764" s="278"/>
      <c r="M2764" s="278"/>
    </row>
    <row r="2767" spans="11:13" x14ac:dyDescent="0.25">
      <c r="K2767" s="278"/>
      <c r="L2767" s="278"/>
      <c r="M2767" s="278"/>
    </row>
    <row r="2768" spans="11:13" x14ac:dyDescent="0.25">
      <c r="K2768" s="278"/>
      <c r="L2768" s="278"/>
      <c r="M2768" s="278"/>
    </row>
    <row r="2771" spans="11:13" x14ac:dyDescent="0.25">
      <c r="K2771" s="278"/>
      <c r="L2771" s="278"/>
      <c r="M2771" s="278"/>
    </row>
    <row r="2775" spans="11:13" x14ac:dyDescent="0.25">
      <c r="K2775" s="278"/>
      <c r="L2775" s="278"/>
      <c r="M2775" s="278"/>
    </row>
    <row r="2776" spans="11:13" x14ac:dyDescent="0.25">
      <c r="K2776" s="278"/>
      <c r="L2776" s="278"/>
      <c r="M2776" s="278"/>
    </row>
    <row r="2777" spans="11:13" x14ac:dyDescent="0.25">
      <c r="K2777" s="278"/>
      <c r="L2777" s="278"/>
      <c r="M2777" s="278"/>
    </row>
    <row r="2778" spans="11:13" x14ac:dyDescent="0.25">
      <c r="K2778" s="278"/>
      <c r="L2778" s="278"/>
      <c r="M2778" s="278"/>
    </row>
    <row r="2782" spans="11:13" x14ac:dyDescent="0.25">
      <c r="K2782" s="278"/>
      <c r="L2782" s="278"/>
      <c r="M2782" s="278"/>
    </row>
    <row r="2785" spans="11:13" x14ac:dyDescent="0.25">
      <c r="K2785" s="278"/>
      <c r="L2785" s="278"/>
      <c r="M2785" s="278"/>
    </row>
    <row r="2786" spans="11:13" x14ac:dyDescent="0.25">
      <c r="K2786" s="278"/>
      <c r="L2786" s="278"/>
      <c r="M2786" s="278"/>
    </row>
    <row r="2789" spans="11:13" x14ac:dyDescent="0.25">
      <c r="K2789" s="278"/>
      <c r="L2789" s="278"/>
      <c r="M2789" s="278"/>
    </row>
    <row r="2790" spans="11:13" x14ac:dyDescent="0.25">
      <c r="K2790" s="278"/>
      <c r="L2790" s="278"/>
      <c r="M2790" s="278"/>
    </row>
    <row r="2792" spans="11:13" x14ac:dyDescent="0.25">
      <c r="K2792" s="278"/>
      <c r="L2792" s="278"/>
      <c r="M2792" s="278"/>
    </row>
    <row r="2794" spans="11:13" x14ac:dyDescent="0.25">
      <c r="K2794" s="278"/>
      <c r="L2794" s="278"/>
      <c r="M2794" s="278"/>
    </row>
    <row r="2797" spans="11:13" x14ac:dyDescent="0.25">
      <c r="K2797" s="278"/>
      <c r="L2797" s="278"/>
      <c r="M2797" s="278"/>
    </row>
    <row r="2798" spans="11:13" x14ac:dyDescent="0.25">
      <c r="K2798" s="278"/>
      <c r="L2798" s="278"/>
      <c r="M2798" s="278"/>
    </row>
    <row r="2799" spans="11:13" x14ac:dyDescent="0.25">
      <c r="K2799" s="278"/>
      <c r="L2799" s="278"/>
      <c r="M2799" s="278"/>
    </row>
    <row r="2802" spans="11:13" x14ac:dyDescent="0.25">
      <c r="K2802" s="278"/>
      <c r="L2802" s="278"/>
      <c r="M2802" s="278"/>
    </row>
    <row r="2805" spans="11:13" x14ac:dyDescent="0.25">
      <c r="K2805" s="278"/>
      <c r="L2805" s="278"/>
      <c r="M2805" s="278"/>
    </row>
    <row r="2806" spans="11:13" x14ac:dyDescent="0.25">
      <c r="K2806" s="278"/>
      <c r="L2806" s="278"/>
      <c r="M2806" s="278"/>
    </row>
    <row r="2808" spans="11:13" x14ac:dyDescent="0.25">
      <c r="K2808" s="278"/>
      <c r="L2808" s="278"/>
      <c r="M2808" s="278"/>
    </row>
    <row r="2811" spans="11:13" x14ac:dyDescent="0.25">
      <c r="K2811" s="278"/>
      <c r="L2811" s="278"/>
      <c r="M2811" s="278"/>
    </row>
    <row r="2812" spans="11:13" x14ac:dyDescent="0.25">
      <c r="K2812" s="278"/>
      <c r="L2812" s="278"/>
      <c r="M2812" s="278"/>
    </row>
    <row r="2813" spans="11:13" x14ac:dyDescent="0.25">
      <c r="K2813" s="278"/>
      <c r="L2813" s="278"/>
      <c r="M2813" s="278"/>
    </row>
    <row r="2815" spans="11:13" x14ac:dyDescent="0.25">
      <c r="K2815" s="278"/>
      <c r="L2815" s="278"/>
      <c r="M2815" s="278"/>
    </row>
    <row r="2816" spans="11:13" x14ac:dyDescent="0.25">
      <c r="K2816" s="278"/>
      <c r="L2816" s="278"/>
      <c r="M2816" s="278"/>
    </row>
    <row r="2817" spans="11:13" x14ac:dyDescent="0.25">
      <c r="K2817" s="278"/>
      <c r="L2817" s="278"/>
      <c r="M2817" s="278"/>
    </row>
    <row r="2818" spans="11:13" x14ac:dyDescent="0.25">
      <c r="K2818" s="278"/>
      <c r="L2818" s="278"/>
      <c r="M2818" s="278"/>
    </row>
    <row r="2819" spans="11:13" x14ac:dyDescent="0.25">
      <c r="K2819" s="278"/>
      <c r="L2819" s="278"/>
      <c r="M2819" s="278"/>
    </row>
    <row r="2820" spans="11:13" x14ac:dyDescent="0.25">
      <c r="K2820" s="278"/>
      <c r="L2820" s="278"/>
      <c r="M2820" s="278"/>
    </row>
    <row r="2823" spans="11:13" x14ac:dyDescent="0.25">
      <c r="K2823" s="278"/>
      <c r="L2823" s="278"/>
      <c r="M2823" s="278"/>
    </row>
    <row r="2825" spans="11:13" x14ac:dyDescent="0.25">
      <c r="K2825" s="278"/>
      <c r="L2825" s="278"/>
      <c r="M2825" s="278"/>
    </row>
    <row r="2826" spans="11:13" x14ac:dyDescent="0.25">
      <c r="K2826" s="278"/>
      <c r="L2826" s="278"/>
      <c r="M2826" s="278"/>
    </row>
    <row r="2829" spans="11:13" x14ac:dyDescent="0.25">
      <c r="K2829" s="278"/>
      <c r="L2829" s="278"/>
      <c r="M2829" s="278"/>
    </row>
    <row r="2830" spans="11:13" x14ac:dyDescent="0.25">
      <c r="K2830" s="278"/>
      <c r="L2830" s="278"/>
      <c r="M2830" s="278"/>
    </row>
    <row r="2831" spans="11:13" x14ac:dyDescent="0.25">
      <c r="K2831" s="278"/>
      <c r="L2831" s="278"/>
      <c r="M2831" s="278"/>
    </row>
    <row r="2832" spans="11:13" x14ac:dyDescent="0.25">
      <c r="K2832" s="278"/>
      <c r="L2832" s="278"/>
      <c r="M2832" s="278"/>
    </row>
    <row r="2833" spans="11:13" x14ac:dyDescent="0.25">
      <c r="K2833" s="278"/>
      <c r="L2833" s="278"/>
      <c r="M2833" s="278"/>
    </row>
    <row r="2834" spans="11:13" x14ac:dyDescent="0.25">
      <c r="K2834" s="278"/>
      <c r="L2834" s="278"/>
      <c r="M2834" s="278"/>
    </row>
    <row r="2836" spans="11:13" x14ac:dyDescent="0.25">
      <c r="K2836" s="278"/>
      <c r="L2836" s="278"/>
      <c r="M2836" s="278"/>
    </row>
    <row r="2837" spans="11:13" x14ac:dyDescent="0.25">
      <c r="K2837" s="278"/>
      <c r="L2837" s="278"/>
      <c r="M2837" s="278"/>
    </row>
    <row r="2839" spans="11:13" x14ac:dyDescent="0.25">
      <c r="K2839" s="278"/>
      <c r="L2839" s="278"/>
      <c r="M2839" s="278"/>
    </row>
    <row r="2841" spans="11:13" x14ac:dyDescent="0.25">
      <c r="K2841" s="278"/>
      <c r="L2841" s="278"/>
      <c r="M2841" s="278"/>
    </row>
    <row r="2845" spans="11:13" x14ac:dyDescent="0.25">
      <c r="K2845" s="278"/>
      <c r="L2845" s="278"/>
      <c r="M2845" s="278"/>
    </row>
    <row r="2846" spans="11:13" x14ac:dyDescent="0.25">
      <c r="K2846" s="278"/>
      <c r="L2846" s="278"/>
      <c r="M2846" s="278"/>
    </row>
    <row r="2847" spans="11:13" x14ac:dyDescent="0.25">
      <c r="K2847" s="278"/>
      <c r="L2847" s="278"/>
      <c r="M2847" s="278"/>
    </row>
    <row r="2848" spans="11:13" x14ac:dyDescent="0.25">
      <c r="K2848" s="278"/>
      <c r="L2848" s="278"/>
      <c r="M2848" s="278"/>
    </row>
    <row r="2852" spans="11:13" x14ac:dyDescent="0.25">
      <c r="K2852" s="278"/>
      <c r="L2852" s="278"/>
      <c r="M2852" s="278"/>
    </row>
    <row r="2853" spans="11:13" x14ac:dyDescent="0.25">
      <c r="K2853" s="278"/>
      <c r="L2853" s="278"/>
      <c r="M2853" s="278"/>
    </row>
    <row r="2854" spans="11:13" x14ac:dyDescent="0.25">
      <c r="K2854" s="278"/>
      <c r="L2854" s="278"/>
      <c r="M2854" s="278"/>
    </row>
    <row r="2857" spans="11:13" x14ac:dyDescent="0.25">
      <c r="K2857" s="278"/>
      <c r="L2857" s="278"/>
      <c r="M2857" s="278"/>
    </row>
    <row r="2858" spans="11:13" x14ac:dyDescent="0.25">
      <c r="K2858" s="278"/>
      <c r="L2858" s="278"/>
      <c r="M2858" s="278"/>
    </row>
    <row r="2859" spans="11:13" x14ac:dyDescent="0.25">
      <c r="K2859" s="278"/>
      <c r="L2859" s="278"/>
      <c r="M2859" s="278"/>
    </row>
    <row r="2860" spans="11:13" x14ac:dyDescent="0.25">
      <c r="K2860" s="278"/>
      <c r="L2860" s="278"/>
      <c r="M2860" s="278"/>
    </row>
    <row r="2861" spans="11:13" x14ac:dyDescent="0.25">
      <c r="K2861" s="278"/>
      <c r="L2861" s="278"/>
      <c r="M2861" s="278"/>
    </row>
    <row r="2862" spans="11:13" x14ac:dyDescent="0.25">
      <c r="K2862" s="278"/>
      <c r="L2862" s="278"/>
      <c r="M2862" s="278"/>
    </row>
    <row r="2864" spans="11:13" x14ac:dyDescent="0.25">
      <c r="K2864" s="278"/>
      <c r="L2864" s="278"/>
      <c r="M2864" s="278"/>
    </row>
    <row r="2865" spans="11:13" x14ac:dyDescent="0.25">
      <c r="K2865" s="278"/>
      <c r="L2865" s="278"/>
      <c r="M2865" s="278"/>
    </row>
    <row r="2866" spans="11:13" x14ac:dyDescent="0.25">
      <c r="K2866" s="278"/>
      <c r="L2866" s="278"/>
      <c r="M2866" s="278"/>
    </row>
    <row r="2868" spans="11:13" x14ac:dyDescent="0.25">
      <c r="K2868" s="278"/>
      <c r="L2868" s="278"/>
      <c r="M2868" s="278"/>
    </row>
    <row r="2869" spans="11:13" x14ac:dyDescent="0.25">
      <c r="K2869" s="278"/>
      <c r="L2869" s="278"/>
      <c r="M2869" s="278"/>
    </row>
    <row r="2870" spans="11:13" x14ac:dyDescent="0.25">
      <c r="K2870" s="278"/>
      <c r="L2870" s="278"/>
      <c r="M2870" s="278"/>
    </row>
    <row r="2874" spans="11:13" x14ac:dyDescent="0.25">
      <c r="K2874" s="278"/>
      <c r="L2874" s="278"/>
      <c r="M2874" s="278"/>
    </row>
    <row r="2875" spans="11:13" x14ac:dyDescent="0.25">
      <c r="K2875" s="278"/>
      <c r="L2875" s="278"/>
      <c r="M2875" s="278"/>
    </row>
    <row r="2876" spans="11:13" x14ac:dyDescent="0.25">
      <c r="K2876" s="278"/>
      <c r="L2876" s="278"/>
      <c r="M2876" s="278"/>
    </row>
    <row r="2877" spans="11:13" x14ac:dyDescent="0.25">
      <c r="K2877" s="278"/>
      <c r="L2877" s="278"/>
      <c r="M2877" s="278"/>
    </row>
    <row r="2880" spans="11:13" x14ac:dyDescent="0.25">
      <c r="K2880" s="278"/>
      <c r="L2880" s="278"/>
      <c r="M2880" s="278"/>
    </row>
    <row r="2881" spans="11:13" x14ac:dyDescent="0.25">
      <c r="K2881" s="278"/>
      <c r="L2881" s="278"/>
      <c r="M2881" s="278"/>
    </row>
    <row r="2884" spans="11:13" x14ac:dyDescent="0.25">
      <c r="K2884" s="278"/>
      <c r="L2884" s="278"/>
      <c r="M2884" s="278"/>
    </row>
    <row r="2885" spans="11:13" x14ac:dyDescent="0.25">
      <c r="K2885" s="278"/>
      <c r="L2885" s="278"/>
      <c r="M2885" s="278"/>
    </row>
    <row r="2891" spans="11:13" x14ac:dyDescent="0.25">
      <c r="K2891" s="278"/>
      <c r="L2891" s="278"/>
      <c r="M2891" s="278"/>
    </row>
    <row r="2898" spans="11:13" x14ac:dyDescent="0.25">
      <c r="K2898" s="278"/>
      <c r="L2898" s="278"/>
      <c r="M2898" s="278"/>
    </row>
    <row r="2899" spans="11:13" x14ac:dyDescent="0.25">
      <c r="K2899" s="278"/>
      <c r="L2899" s="278"/>
      <c r="M2899" s="278"/>
    </row>
    <row r="2903" spans="11:13" x14ac:dyDescent="0.25">
      <c r="K2903" s="278"/>
      <c r="L2903" s="278"/>
      <c r="M2903" s="278"/>
    </row>
    <row r="2908" spans="11:13" x14ac:dyDescent="0.25">
      <c r="K2908" s="278"/>
      <c r="L2908" s="278"/>
      <c r="M2908" s="278"/>
    </row>
    <row r="2910" spans="11:13" x14ac:dyDescent="0.25">
      <c r="K2910" s="278"/>
      <c r="L2910" s="278"/>
      <c r="M2910" s="278"/>
    </row>
    <row r="2912" spans="11:13" x14ac:dyDescent="0.25">
      <c r="K2912" s="278"/>
      <c r="L2912" s="278"/>
      <c r="M2912" s="278"/>
    </row>
    <row r="2914" spans="11:13" x14ac:dyDescent="0.25">
      <c r="K2914" s="278"/>
      <c r="L2914" s="278"/>
      <c r="M2914" s="278"/>
    </row>
    <row r="2916" spans="11:13" x14ac:dyDescent="0.25">
      <c r="K2916" s="278"/>
      <c r="L2916" s="278"/>
      <c r="M2916" s="278"/>
    </row>
    <row r="2917" spans="11:13" x14ac:dyDescent="0.25">
      <c r="K2917" s="278"/>
      <c r="L2917" s="278"/>
      <c r="M2917" s="278"/>
    </row>
    <row r="2918" spans="11:13" x14ac:dyDescent="0.25">
      <c r="K2918" s="278"/>
      <c r="L2918" s="278"/>
      <c r="M2918" s="278"/>
    </row>
    <row r="2920" spans="11:13" x14ac:dyDescent="0.25">
      <c r="K2920" s="278"/>
      <c r="L2920" s="278"/>
      <c r="M2920" s="278"/>
    </row>
    <row r="2921" spans="11:13" x14ac:dyDescent="0.25">
      <c r="K2921" s="278"/>
      <c r="L2921" s="278"/>
      <c r="M2921" s="278"/>
    </row>
    <row r="2923" spans="11:13" x14ac:dyDescent="0.25">
      <c r="K2923" s="278"/>
      <c r="L2923" s="278"/>
      <c r="M2923" s="278"/>
    </row>
    <row r="2924" spans="11:13" x14ac:dyDescent="0.25">
      <c r="K2924" s="278"/>
      <c r="L2924" s="278"/>
      <c r="M2924" s="278"/>
    </row>
    <row r="2927" spans="11:13" x14ac:dyDescent="0.25">
      <c r="K2927" s="278"/>
      <c r="L2927" s="278"/>
      <c r="M2927" s="278"/>
    </row>
    <row r="2928" spans="11:13" x14ac:dyDescent="0.25">
      <c r="K2928" s="278"/>
      <c r="L2928" s="278"/>
      <c r="M2928" s="278"/>
    </row>
    <row r="2929" spans="11:13" x14ac:dyDescent="0.25">
      <c r="K2929" s="278"/>
      <c r="L2929" s="278"/>
      <c r="M2929" s="278"/>
    </row>
    <row r="2930" spans="11:13" x14ac:dyDescent="0.25">
      <c r="K2930" s="278"/>
      <c r="L2930" s="278"/>
      <c r="M2930" s="278"/>
    </row>
    <row r="2931" spans="11:13" x14ac:dyDescent="0.25">
      <c r="K2931" s="278"/>
      <c r="L2931" s="278"/>
      <c r="M2931" s="278"/>
    </row>
    <row r="2932" spans="11:13" x14ac:dyDescent="0.25">
      <c r="K2932" s="278"/>
      <c r="L2932" s="278"/>
      <c r="M2932" s="278"/>
    </row>
    <row r="2933" spans="11:13" x14ac:dyDescent="0.25">
      <c r="K2933" s="278"/>
      <c r="L2933" s="278"/>
      <c r="M2933" s="278"/>
    </row>
    <row r="2935" spans="11:13" x14ac:dyDescent="0.25">
      <c r="K2935" s="278"/>
      <c r="L2935" s="278"/>
      <c r="M2935" s="278"/>
    </row>
    <row r="2936" spans="11:13" x14ac:dyDescent="0.25">
      <c r="K2936" s="278"/>
      <c r="L2936" s="278"/>
      <c r="M2936" s="278"/>
    </row>
    <row r="2937" spans="11:13" x14ac:dyDescent="0.25">
      <c r="K2937" s="278"/>
      <c r="L2937" s="278"/>
      <c r="M2937" s="278"/>
    </row>
    <row r="2938" spans="11:13" x14ac:dyDescent="0.25">
      <c r="K2938" s="278"/>
      <c r="L2938" s="278"/>
      <c r="M2938" s="278"/>
    </row>
    <row r="2940" spans="11:13" x14ac:dyDescent="0.25">
      <c r="K2940" s="278"/>
      <c r="L2940" s="278"/>
      <c r="M2940" s="278"/>
    </row>
    <row r="2941" spans="11:13" x14ac:dyDescent="0.25">
      <c r="K2941" s="278"/>
      <c r="L2941" s="278"/>
      <c r="M2941" s="278"/>
    </row>
    <row r="2942" spans="11:13" x14ac:dyDescent="0.25">
      <c r="K2942" s="278"/>
      <c r="L2942" s="278"/>
      <c r="M2942" s="278"/>
    </row>
    <row r="2943" spans="11:13" x14ac:dyDescent="0.25">
      <c r="K2943" s="278"/>
      <c r="L2943" s="278"/>
      <c r="M2943" s="278"/>
    </row>
    <row r="2944" spans="11:13" x14ac:dyDescent="0.25">
      <c r="K2944" s="278"/>
      <c r="L2944" s="278"/>
      <c r="M2944" s="278"/>
    </row>
    <row r="2946" spans="11:13" x14ac:dyDescent="0.25">
      <c r="K2946" s="278"/>
      <c r="L2946" s="278"/>
      <c r="M2946" s="278"/>
    </row>
    <row r="2947" spans="11:13" x14ac:dyDescent="0.25">
      <c r="K2947" s="278"/>
      <c r="L2947" s="278"/>
      <c r="M2947" s="278"/>
    </row>
    <row r="2951" spans="11:13" x14ac:dyDescent="0.25">
      <c r="K2951" s="278"/>
      <c r="L2951" s="278"/>
      <c r="M2951" s="278"/>
    </row>
    <row r="2952" spans="11:13" x14ac:dyDescent="0.25">
      <c r="K2952" s="278"/>
      <c r="L2952" s="278"/>
      <c r="M2952" s="278"/>
    </row>
    <row r="2957" spans="11:13" x14ac:dyDescent="0.25">
      <c r="K2957" s="278"/>
      <c r="L2957" s="278"/>
      <c r="M2957" s="278"/>
    </row>
    <row r="2960" spans="11:13" x14ac:dyDescent="0.25">
      <c r="K2960" s="278"/>
      <c r="L2960" s="278"/>
      <c r="M2960" s="278"/>
    </row>
    <row r="2962" spans="11:13" x14ac:dyDescent="0.25">
      <c r="K2962" s="278"/>
      <c r="L2962" s="278"/>
      <c r="M2962" s="278"/>
    </row>
    <row r="2963" spans="11:13" x14ac:dyDescent="0.25">
      <c r="K2963" s="278"/>
      <c r="L2963" s="278"/>
      <c r="M2963" s="278"/>
    </row>
    <row r="2966" spans="11:13" x14ac:dyDescent="0.25">
      <c r="K2966" s="278"/>
      <c r="L2966" s="278"/>
      <c r="M2966" s="278"/>
    </row>
    <row r="2970" spans="11:13" x14ac:dyDescent="0.25">
      <c r="K2970" s="278"/>
      <c r="L2970" s="278"/>
      <c r="M2970" s="278"/>
    </row>
    <row r="2971" spans="11:13" x14ac:dyDescent="0.25">
      <c r="K2971" s="278"/>
      <c r="L2971" s="278"/>
      <c r="M2971" s="278"/>
    </row>
    <row r="2972" spans="11:13" x14ac:dyDescent="0.25">
      <c r="K2972" s="278"/>
      <c r="L2972" s="278"/>
      <c r="M2972" s="278"/>
    </row>
    <row r="2973" spans="11:13" x14ac:dyDescent="0.25">
      <c r="K2973" s="278"/>
      <c r="L2973" s="278"/>
      <c r="M2973" s="278"/>
    </row>
    <row r="2976" spans="11:13" x14ac:dyDescent="0.25">
      <c r="K2976" s="278"/>
      <c r="L2976" s="278"/>
      <c r="M2976" s="278"/>
    </row>
    <row r="2989" spans="11:13" x14ac:dyDescent="0.25">
      <c r="K2989" s="278"/>
      <c r="L2989" s="278"/>
      <c r="M2989" s="278"/>
    </row>
    <row r="2990" spans="11:13" x14ac:dyDescent="0.25">
      <c r="K2990" s="278"/>
      <c r="L2990" s="278"/>
      <c r="M2990" s="278"/>
    </row>
    <row r="2994" spans="11:13" x14ac:dyDescent="0.25">
      <c r="K2994" s="278"/>
      <c r="L2994" s="278"/>
      <c r="M2994" s="278"/>
    </row>
    <row r="2995" spans="11:13" x14ac:dyDescent="0.25">
      <c r="K2995" s="278"/>
      <c r="L2995" s="278"/>
      <c r="M2995" s="278"/>
    </row>
    <row r="2997" spans="11:13" x14ac:dyDescent="0.25">
      <c r="K2997" s="278"/>
      <c r="L2997" s="278"/>
      <c r="M2997" s="278"/>
    </row>
    <row r="3000" spans="11:13" x14ac:dyDescent="0.25">
      <c r="K3000" s="278"/>
      <c r="L3000" s="278"/>
      <c r="M3000" s="278"/>
    </row>
    <row r="3001" spans="11:13" x14ac:dyDescent="0.25">
      <c r="K3001" s="278"/>
      <c r="L3001" s="278"/>
      <c r="M3001" s="278"/>
    </row>
    <row r="3002" spans="11:13" x14ac:dyDescent="0.25">
      <c r="K3002" s="278"/>
      <c r="L3002" s="278"/>
      <c r="M3002" s="278"/>
    </row>
    <row r="3005" spans="11:13" x14ac:dyDescent="0.25">
      <c r="K3005" s="278"/>
      <c r="L3005" s="278"/>
      <c r="M3005" s="278"/>
    </row>
    <row r="3007" spans="11:13" x14ac:dyDescent="0.25">
      <c r="K3007" s="278"/>
      <c r="L3007" s="278"/>
      <c r="M3007" s="278"/>
    </row>
    <row r="3008" spans="11:13" x14ac:dyDescent="0.25">
      <c r="K3008" s="278"/>
      <c r="L3008" s="278"/>
      <c r="M3008" s="278"/>
    </row>
    <row r="3012" spans="11:13" x14ac:dyDescent="0.25">
      <c r="K3012" s="278"/>
      <c r="L3012" s="278"/>
      <c r="M3012" s="278"/>
    </row>
    <row r="3014" spans="11:13" x14ac:dyDescent="0.25">
      <c r="K3014" s="278"/>
      <c r="L3014" s="278"/>
      <c r="M3014" s="278"/>
    </row>
    <row r="3016" spans="11:13" x14ac:dyDescent="0.25">
      <c r="K3016" s="278"/>
      <c r="L3016" s="278"/>
      <c r="M3016" s="278"/>
    </row>
    <row r="3019" spans="11:13" x14ac:dyDescent="0.25">
      <c r="K3019" s="278"/>
      <c r="L3019" s="278"/>
      <c r="M3019" s="278"/>
    </row>
    <row r="3020" spans="11:13" x14ac:dyDescent="0.25">
      <c r="K3020" s="278"/>
      <c r="L3020" s="278"/>
      <c r="M3020" s="278"/>
    </row>
    <row r="3027" spans="11:13" x14ac:dyDescent="0.25">
      <c r="K3027" s="278"/>
      <c r="L3027" s="278"/>
      <c r="M3027" s="278"/>
    </row>
    <row r="3028" spans="11:13" x14ac:dyDescent="0.25">
      <c r="K3028" s="278"/>
      <c r="L3028" s="278"/>
      <c r="M3028" s="278"/>
    </row>
    <row r="3030" spans="11:13" x14ac:dyDescent="0.25">
      <c r="K3030" s="278"/>
      <c r="L3030" s="278"/>
      <c r="M3030" s="278"/>
    </row>
    <row r="3031" spans="11:13" x14ac:dyDescent="0.25">
      <c r="K3031" s="278"/>
      <c r="L3031" s="278"/>
      <c r="M3031" s="278"/>
    </row>
    <row r="3032" spans="11:13" x14ac:dyDescent="0.25">
      <c r="K3032" s="278"/>
      <c r="L3032" s="278"/>
      <c r="M3032" s="278"/>
    </row>
    <row r="3034" spans="11:13" x14ac:dyDescent="0.25">
      <c r="K3034" s="278"/>
      <c r="L3034" s="278"/>
      <c r="M3034" s="278"/>
    </row>
    <row r="3035" spans="11:13" x14ac:dyDescent="0.25">
      <c r="K3035" s="278"/>
      <c r="L3035" s="278"/>
      <c r="M3035" s="278"/>
    </row>
    <row r="3036" spans="11:13" x14ac:dyDescent="0.25">
      <c r="K3036" s="278"/>
      <c r="L3036" s="278"/>
      <c r="M3036" s="278"/>
    </row>
    <row r="3037" spans="11:13" x14ac:dyDescent="0.25">
      <c r="K3037" s="278"/>
      <c r="L3037" s="278"/>
      <c r="M3037" s="278"/>
    </row>
    <row r="3039" spans="11:13" x14ac:dyDescent="0.25">
      <c r="K3039" s="278"/>
      <c r="L3039" s="278"/>
      <c r="M3039" s="278"/>
    </row>
    <row r="3040" spans="11:13" x14ac:dyDescent="0.25">
      <c r="K3040" s="278"/>
      <c r="L3040" s="278"/>
      <c r="M3040" s="278"/>
    </row>
    <row r="3041" spans="11:13" x14ac:dyDescent="0.25">
      <c r="K3041" s="278"/>
      <c r="L3041" s="278"/>
      <c r="M3041" s="278"/>
    </row>
    <row r="3043" spans="11:13" x14ac:dyDescent="0.25">
      <c r="K3043" s="278"/>
      <c r="L3043" s="278"/>
      <c r="M3043" s="278"/>
    </row>
    <row r="3044" spans="11:13" x14ac:dyDescent="0.25">
      <c r="K3044" s="278"/>
      <c r="L3044" s="278"/>
      <c r="M3044" s="278"/>
    </row>
    <row r="3051" spans="11:13" x14ac:dyDescent="0.25">
      <c r="K3051" s="278"/>
      <c r="L3051" s="278"/>
      <c r="M3051" s="278"/>
    </row>
    <row r="3052" spans="11:13" x14ac:dyDescent="0.25">
      <c r="K3052" s="278"/>
      <c r="L3052" s="278"/>
      <c r="M3052" s="278"/>
    </row>
    <row r="3055" spans="11:13" x14ac:dyDescent="0.25">
      <c r="K3055" s="278"/>
      <c r="L3055" s="278"/>
      <c r="M3055" s="278"/>
    </row>
    <row r="3057" spans="11:13" x14ac:dyDescent="0.25">
      <c r="K3057" s="278"/>
      <c r="L3057" s="278"/>
      <c r="M3057" s="278"/>
    </row>
    <row r="3059" spans="11:13" x14ac:dyDescent="0.25">
      <c r="K3059" s="278"/>
      <c r="L3059" s="278"/>
      <c r="M3059" s="278"/>
    </row>
    <row r="3063" spans="11:13" x14ac:dyDescent="0.25">
      <c r="K3063" s="278"/>
      <c r="L3063" s="278"/>
      <c r="M3063" s="278"/>
    </row>
    <row r="3064" spans="11:13" x14ac:dyDescent="0.25">
      <c r="K3064" s="278"/>
      <c r="L3064" s="278"/>
      <c r="M3064" s="278"/>
    </row>
    <row r="3066" spans="11:13" x14ac:dyDescent="0.25">
      <c r="K3066" s="278"/>
      <c r="L3066" s="278"/>
      <c r="M3066" s="278"/>
    </row>
    <row r="3069" spans="11:13" x14ac:dyDescent="0.25">
      <c r="K3069" s="278"/>
      <c r="L3069" s="278"/>
      <c r="M3069" s="278"/>
    </row>
    <row r="3070" spans="11:13" x14ac:dyDescent="0.25">
      <c r="K3070" s="278"/>
      <c r="L3070" s="278"/>
      <c r="M3070" s="278"/>
    </row>
    <row r="3071" spans="11:13" x14ac:dyDescent="0.25">
      <c r="K3071" s="278"/>
      <c r="L3071" s="278"/>
      <c r="M3071" s="278"/>
    </row>
    <row r="3074" spans="11:13" x14ac:dyDescent="0.25">
      <c r="K3074" s="278"/>
      <c r="L3074" s="278"/>
      <c r="M3074" s="278"/>
    </row>
    <row r="3076" spans="11:13" x14ac:dyDescent="0.25">
      <c r="K3076" s="278"/>
      <c r="L3076" s="278"/>
      <c r="M3076" s="278"/>
    </row>
    <row r="3077" spans="11:13" x14ac:dyDescent="0.25">
      <c r="K3077" s="278"/>
      <c r="L3077" s="278"/>
      <c r="M3077" s="278"/>
    </row>
    <row r="3081" spans="11:13" x14ac:dyDescent="0.25">
      <c r="K3081" s="278"/>
      <c r="L3081" s="278"/>
      <c r="M3081" s="278"/>
    </row>
    <row r="3082" spans="11:13" x14ac:dyDescent="0.25">
      <c r="K3082" s="278"/>
      <c r="L3082" s="278"/>
      <c r="M3082" s="278"/>
    </row>
    <row r="3095" spans="11:13" x14ac:dyDescent="0.25">
      <c r="K3095" s="278"/>
      <c r="L3095" s="278"/>
      <c r="M3095" s="278"/>
    </row>
    <row r="3098" spans="11:13" x14ac:dyDescent="0.25">
      <c r="K3098" s="278"/>
      <c r="L3098" s="278"/>
      <c r="M3098" s="278"/>
    </row>
    <row r="3099" spans="11:13" x14ac:dyDescent="0.25">
      <c r="K3099" s="278"/>
      <c r="L3099" s="278"/>
      <c r="M3099" s="278"/>
    </row>
    <row r="3100" spans="11:13" x14ac:dyDescent="0.25">
      <c r="K3100" s="278"/>
      <c r="L3100" s="278"/>
      <c r="M3100" s="278"/>
    </row>
    <row r="3101" spans="11:13" x14ac:dyDescent="0.25">
      <c r="K3101" s="278"/>
      <c r="L3101" s="278"/>
      <c r="M3101" s="278"/>
    </row>
    <row r="3105" spans="11:13" x14ac:dyDescent="0.25">
      <c r="K3105" s="278"/>
      <c r="L3105" s="278"/>
      <c r="M3105" s="278"/>
    </row>
    <row r="3108" spans="11:13" x14ac:dyDescent="0.25">
      <c r="K3108" s="278"/>
      <c r="L3108" s="278"/>
      <c r="M3108" s="278"/>
    </row>
    <row r="3109" spans="11:13" x14ac:dyDescent="0.25">
      <c r="K3109" s="278"/>
      <c r="L3109" s="278"/>
      <c r="M3109" s="278"/>
    </row>
    <row r="3111" spans="11:13" x14ac:dyDescent="0.25">
      <c r="K3111" s="278"/>
      <c r="L3111" s="278"/>
      <c r="M3111" s="278"/>
    </row>
    <row r="3114" spans="11:13" x14ac:dyDescent="0.25">
      <c r="K3114" s="278"/>
      <c r="L3114" s="278"/>
      <c r="M3114" s="278"/>
    </row>
    <row r="3120" spans="11:13" x14ac:dyDescent="0.25">
      <c r="K3120" s="278"/>
      <c r="L3120" s="278"/>
      <c r="M3120" s="278"/>
    </row>
    <row r="3124" spans="11:13" x14ac:dyDescent="0.25">
      <c r="K3124" s="278"/>
      <c r="L3124" s="278"/>
      <c r="M3124" s="278"/>
    </row>
    <row r="3125" spans="11:13" x14ac:dyDescent="0.25">
      <c r="K3125" s="278"/>
      <c r="L3125" s="278"/>
      <c r="M3125" s="278"/>
    </row>
    <row r="3128" spans="11:13" x14ac:dyDescent="0.25">
      <c r="K3128" s="278"/>
      <c r="L3128" s="278"/>
      <c r="M3128" s="278"/>
    </row>
    <row r="3129" spans="11:13" x14ac:dyDescent="0.25">
      <c r="K3129" s="278"/>
      <c r="L3129" s="278"/>
      <c r="M3129" s="278"/>
    </row>
    <row r="3130" spans="11:13" x14ac:dyDescent="0.25">
      <c r="K3130" s="278"/>
      <c r="L3130" s="278"/>
      <c r="M3130" s="278"/>
    </row>
    <row r="3131" spans="11:13" x14ac:dyDescent="0.25">
      <c r="K3131" s="278"/>
      <c r="L3131" s="278"/>
      <c r="M3131" s="278"/>
    </row>
    <row r="3132" spans="11:13" x14ac:dyDescent="0.25">
      <c r="K3132" s="278"/>
      <c r="L3132" s="278"/>
      <c r="M3132" s="278"/>
    </row>
    <row r="3134" spans="11:13" x14ac:dyDescent="0.25">
      <c r="K3134" s="278"/>
      <c r="L3134" s="278"/>
      <c r="M3134" s="278"/>
    </row>
    <row r="3136" spans="11:13" x14ac:dyDescent="0.25">
      <c r="K3136" s="278"/>
      <c r="L3136" s="278"/>
      <c r="M3136" s="278"/>
    </row>
    <row r="3137" spans="11:13" x14ac:dyDescent="0.25">
      <c r="K3137" s="278"/>
      <c r="L3137" s="278"/>
      <c r="M3137" s="278"/>
    </row>
    <row r="3139" spans="11:13" x14ac:dyDescent="0.25">
      <c r="K3139" s="278"/>
      <c r="L3139" s="278"/>
      <c r="M3139" s="278"/>
    </row>
    <row r="3140" spans="11:13" x14ac:dyDescent="0.25">
      <c r="K3140" s="278"/>
      <c r="L3140" s="278"/>
      <c r="M3140" s="278"/>
    </row>
    <row r="3141" spans="11:13" x14ac:dyDescent="0.25">
      <c r="K3141" s="278"/>
      <c r="L3141" s="278"/>
      <c r="M3141" s="278"/>
    </row>
    <row r="3142" spans="11:13" x14ac:dyDescent="0.25">
      <c r="K3142" s="278"/>
      <c r="L3142" s="278"/>
      <c r="M3142" s="278"/>
    </row>
    <row r="3143" spans="11:13" x14ac:dyDescent="0.25">
      <c r="K3143" s="278"/>
      <c r="L3143" s="278"/>
      <c r="M3143" s="278"/>
    </row>
    <row r="3144" spans="11:13" x14ac:dyDescent="0.25">
      <c r="K3144" s="278"/>
      <c r="L3144" s="278"/>
      <c r="M3144" s="278"/>
    </row>
    <row r="3145" spans="11:13" x14ac:dyDescent="0.25">
      <c r="K3145" s="278"/>
      <c r="L3145" s="278"/>
      <c r="M3145" s="278"/>
    </row>
    <row r="3148" spans="11:13" x14ac:dyDescent="0.25">
      <c r="K3148" s="278"/>
      <c r="L3148" s="278"/>
      <c r="M3148" s="278"/>
    </row>
    <row r="3149" spans="11:13" x14ac:dyDescent="0.25">
      <c r="K3149" s="278"/>
      <c r="L3149" s="278"/>
      <c r="M3149" s="278"/>
    </row>
    <row r="3151" spans="11:13" x14ac:dyDescent="0.25">
      <c r="K3151" s="278"/>
      <c r="L3151" s="278"/>
      <c r="M3151" s="278"/>
    </row>
    <row r="3152" spans="11:13" x14ac:dyDescent="0.25">
      <c r="K3152" s="278"/>
      <c r="L3152" s="278"/>
      <c r="M3152" s="278"/>
    </row>
    <row r="3154" spans="11:13" x14ac:dyDescent="0.25">
      <c r="K3154" s="278"/>
      <c r="L3154" s="278"/>
      <c r="M3154" s="278"/>
    </row>
    <row r="3155" spans="11:13" x14ac:dyDescent="0.25">
      <c r="K3155" s="278"/>
      <c r="L3155" s="278"/>
      <c r="M3155" s="278"/>
    </row>
    <row r="3156" spans="11:13" x14ac:dyDescent="0.25">
      <c r="K3156" s="278"/>
      <c r="L3156" s="278"/>
      <c r="M3156" s="278"/>
    </row>
    <row r="3158" spans="11:13" x14ac:dyDescent="0.25">
      <c r="K3158" s="278"/>
      <c r="L3158" s="278"/>
      <c r="M3158" s="278"/>
    </row>
    <row r="3160" spans="11:13" x14ac:dyDescent="0.25">
      <c r="K3160" s="278"/>
      <c r="L3160" s="278"/>
      <c r="M3160" s="278"/>
    </row>
    <row r="3162" spans="11:13" x14ac:dyDescent="0.25">
      <c r="K3162" s="278"/>
      <c r="L3162" s="278"/>
      <c r="M3162" s="278"/>
    </row>
    <row r="3164" spans="11:13" x14ac:dyDescent="0.25">
      <c r="K3164" s="278"/>
      <c r="L3164" s="278"/>
      <c r="M3164" s="278"/>
    </row>
    <row r="3169" spans="11:13" x14ac:dyDescent="0.25">
      <c r="K3169" s="278"/>
      <c r="L3169" s="278"/>
      <c r="M3169" s="278"/>
    </row>
    <row r="3173" spans="11:13" x14ac:dyDescent="0.25">
      <c r="K3173" s="278"/>
      <c r="L3173" s="278"/>
      <c r="M3173" s="278"/>
    </row>
    <row r="3174" spans="11:13" x14ac:dyDescent="0.25">
      <c r="K3174" s="278"/>
      <c r="L3174" s="278"/>
      <c r="M3174" s="278"/>
    </row>
    <row r="3181" spans="11:13" x14ac:dyDescent="0.25">
      <c r="K3181" s="278"/>
      <c r="L3181" s="278"/>
      <c r="M3181" s="278"/>
    </row>
    <row r="3187" spans="11:13" x14ac:dyDescent="0.25">
      <c r="K3187" s="278"/>
      <c r="L3187" s="278"/>
      <c r="M3187" s="278"/>
    </row>
    <row r="3188" spans="11:13" x14ac:dyDescent="0.25">
      <c r="K3188" s="278"/>
      <c r="L3188" s="278"/>
      <c r="M3188" s="278"/>
    </row>
    <row r="3191" spans="11:13" x14ac:dyDescent="0.25">
      <c r="K3191" s="278"/>
      <c r="L3191" s="278"/>
      <c r="M3191" s="278"/>
    </row>
    <row r="3195" spans="11:13" x14ac:dyDescent="0.25">
      <c r="K3195" s="278"/>
      <c r="L3195" s="278"/>
      <c r="M3195" s="278"/>
    </row>
    <row r="3196" spans="11:13" x14ac:dyDescent="0.25">
      <c r="K3196" s="278"/>
      <c r="L3196" s="278"/>
      <c r="M3196" s="278"/>
    </row>
    <row r="3197" spans="11:13" x14ac:dyDescent="0.25">
      <c r="K3197" s="278"/>
      <c r="L3197" s="278"/>
      <c r="M3197" s="278"/>
    </row>
    <row r="3202" spans="11:13" x14ac:dyDescent="0.25">
      <c r="K3202" s="278"/>
      <c r="L3202" s="278"/>
      <c r="M3202" s="278"/>
    </row>
    <row r="3203" spans="11:13" x14ac:dyDescent="0.25">
      <c r="K3203" s="278"/>
      <c r="L3203" s="278"/>
      <c r="M3203" s="278"/>
    </row>
    <row r="3204" spans="11:13" x14ac:dyDescent="0.25">
      <c r="K3204" s="278"/>
      <c r="L3204" s="278"/>
      <c r="M3204" s="278"/>
    </row>
    <row r="3206" spans="11:13" x14ac:dyDescent="0.25">
      <c r="K3206" s="278"/>
      <c r="L3206" s="278"/>
      <c r="M3206" s="278"/>
    </row>
    <row r="3207" spans="11:13" x14ac:dyDescent="0.25">
      <c r="K3207" s="278"/>
      <c r="L3207" s="278"/>
      <c r="M3207" s="278"/>
    </row>
    <row r="3208" spans="11:13" x14ac:dyDescent="0.25">
      <c r="K3208" s="278"/>
      <c r="L3208" s="278"/>
      <c r="M3208" s="278"/>
    </row>
    <row r="3210" spans="11:13" x14ac:dyDescent="0.25">
      <c r="K3210" s="278"/>
      <c r="L3210" s="278"/>
      <c r="M3210" s="278"/>
    </row>
    <row r="3211" spans="11:13" x14ac:dyDescent="0.25">
      <c r="K3211" s="278"/>
      <c r="L3211" s="278"/>
      <c r="M3211" s="278"/>
    </row>
    <row r="3212" spans="11:13" x14ac:dyDescent="0.25">
      <c r="K3212" s="278"/>
      <c r="L3212" s="278"/>
      <c r="M3212" s="278"/>
    </row>
    <row r="3213" spans="11:13" x14ac:dyDescent="0.25">
      <c r="K3213" s="278"/>
      <c r="L3213" s="278"/>
      <c r="M3213" s="278"/>
    </row>
    <row r="3214" spans="11:13" x14ac:dyDescent="0.25">
      <c r="K3214" s="278"/>
      <c r="L3214" s="278"/>
      <c r="M3214" s="278"/>
    </row>
    <row r="3215" spans="11:13" x14ac:dyDescent="0.25">
      <c r="K3215" s="278"/>
      <c r="L3215" s="278"/>
      <c r="M3215" s="278"/>
    </row>
    <row r="3218" spans="11:13" x14ac:dyDescent="0.25">
      <c r="K3218" s="278"/>
      <c r="L3218" s="278"/>
      <c r="M3218" s="278"/>
    </row>
    <row r="3219" spans="11:13" x14ac:dyDescent="0.25">
      <c r="K3219" s="278"/>
      <c r="L3219" s="278"/>
      <c r="M3219" s="278"/>
    </row>
    <row r="3224" spans="11:13" x14ac:dyDescent="0.25">
      <c r="K3224" s="278"/>
      <c r="L3224" s="278"/>
      <c r="M3224" s="278"/>
    </row>
    <row r="3225" spans="11:13" x14ac:dyDescent="0.25">
      <c r="K3225" s="278"/>
      <c r="L3225" s="278"/>
      <c r="M3225" s="278"/>
    </row>
    <row r="3226" spans="11:13" x14ac:dyDescent="0.25">
      <c r="K3226" s="278"/>
      <c r="L3226" s="278"/>
      <c r="M3226" s="278"/>
    </row>
    <row r="3227" spans="11:13" x14ac:dyDescent="0.25">
      <c r="K3227" s="278"/>
      <c r="L3227" s="278"/>
      <c r="M3227" s="278"/>
    </row>
    <row r="3231" spans="11:13" x14ac:dyDescent="0.25">
      <c r="K3231" s="278"/>
      <c r="L3231" s="278"/>
      <c r="M3231" s="278"/>
    </row>
    <row r="3233" spans="11:13" x14ac:dyDescent="0.25">
      <c r="K3233" s="278"/>
      <c r="L3233" s="278"/>
      <c r="M3233" s="278"/>
    </row>
    <row r="3235" spans="11:13" x14ac:dyDescent="0.25">
      <c r="K3235" s="278"/>
      <c r="L3235" s="278"/>
      <c r="M3235" s="278"/>
    </row>
    <row r="3236" spans="11:13" x14ac:dyDescent="0.25">
      <c r="K3236" s="278"/>
      <c r="L3236" s="278"/>
      <c r="M3236" s="278"/>
    </row>
    <row r="3238" spans="11:13" x14ac:dyDescent="0.25">
      <c r="K3238" s="278"/>
      <c r="L3238" s="278"/>
      <c r="M3238" s="278"/>
    </row>
    <row r="3239" spans="11:13" x14ac:dyDescent="0.25">
      <c r="K3239" s="278"/>
      <c r="L3239" s="278"/>
      <c r="M3239" s="278"/>
    </row>
    <row r="3240" spans="11:13" x14ac:dyDescent="0.25">
      <c r="K3240" s="278"/>
      <c r="L3240" s="278"/>
      <c r="M3240" s="278"/>
    </row>
    <row r="3241" spans="11:13" x14ac:dyDescent="0.25">
      <c r="K3241" s="278"/>
      <c r="L3241" s="278"/>
      <c r="M3241" s="278"/>
    </row>
    <row r="3242" spans="11:13" x14ac:dyDescent="0.25">
      <c r="K3242" s="278"/>
      <c r="L3242" s="278"/>
      <c r="M3242" s="278"/>
    </row>
    <row r="3243" spans="11:13" x14ac:dyDescent="0.25">
      <c r="K3243" s="278"/>
      <c r="L3243" s="278"/>
      <c r="M3243" s="278"/>
    </row>
    <row r="3246" spans="11:13" x14ac:dyDescent="0.25">
      <c r="K3246" s="278"/>
      <c r="L3246" s="278"/>
      <c r="M3246" s="278"/>
    </row>
    <row r="3247" spans="11:13" x14ac:dyDescent="0.25">
      <c r="K3247" s="278"/>
      <c r="L3247" s="278"/>
      <c r="M3247" s="278"/>
    </row>
    <row r="3249" spans="11:13" x14ac:dyDescent="0.25">
      <c r="K3249" s="278"/>
      <c r="L3249" s="278"/>
      <c r="M3249" s="278"/>
    </row>
    <row r="3252" spans="11:13" x14ac:dyDescent="0.25">
      <c r="K3252" s="278"/>
      <c r="L3252" s="278"/>
      <c r="M3252" s="278"/>
    </row>
    <row r="3253" spans="11:13" x14ac:dyDescent="0.25">
      <c r="K3253" s="278"/>
      <c r="L3253" s="278"/>
      <c r="M3253" s="278"/>
    </row>
    <row r="3254" spans="11:13" x14ac:dyDescent="0.25">
      <c r="K3254" s="278"/>
      <c r="L3254" s="278"/>
      <c r="M3254" s="278"/>
    </row>
    <row r="3255" spans="11:13" x14ac:dyDescent="0.25">
      <c r="K3255" s="278"/>
      <c r="L3255" s="278"/>
      <c r="M3255" s="278"/>
    </row>
    <row r="3256" spans="11:13" x14ac:dyDescent="0.25">
      <c r="K3256" s="278"/>
      <c r="L3256" s="278"/>
      <c r="M3256" s="278"/>
    </row>
    <row r="3257" spans="11:13" x14ac:dyDescent="0.25">
      <c r="K3257" s="278"/>
      <c r="L3257" s="278"/>
      <c r="M3257" s="278"/>
    </row>
    <row r="3259" spans="11:13" x14ac:dyDescent="0.25">
      <c r="K3259" s="278"/>
      <c r="L3259" s="278"/>
      <c r="M3259" s="278"/>
    </row>
    <row r="3260" spans="11:13" x14ac:dyDescent="0.25">
      <c r="K3260" s="278"/>
      <c r="L3260" s="278"/>
      <c r="M3260" s="278"/>
    </row>
    <row r="3261" spans="11:13" x14ac:dyDescent="0.25">
      <c r="K3261" s="278"/>
      <c r="L3261" s="278"/>
      <c r="M3261" s="278"/>
    </row>
    <row r="3264" spans="11:13" x14ac:dyDescent="0.25">
      <c r="K3264" s="278"/>
      <c r="L3264" s="278"/>
      <c r="M3264" s="278"/>
    </row>
    <row r="3266" spans="11:13" x14ac:dyDescent="0.25">
      <c r="K3266" s="278"/>
      <c r="L3266" s="278"/>
      <c r="M3266" s="278"/>
    </row>
    <row r="3267" spans="11:13" x14ac:dyDescent="0.25">
      <c r="K3267" s="278"/>
      <c r="L3267" s="278"/>
      <c r="M3267" s="278"/>
    </row>
    <row r="3270" spans="11:13" x14ac:dyDescent="0.25">
      <c r="K3270" s="278"/>
      <c r="L3270" s="278"/>
      <c r="M3270" s="278"/>
    </row>
    <row r="3273" spans="11:13" x14ac:dyDescent="0.25">
      <c r="K3273" s="278"/>
      <c r="L3273" s="278"/>
      <c r="M3273" s="278"/>
    </row>
    <row r="3274" spans="11:13" x14ac:dyDescent="0.25">
      <c r="K3274" s="278"/>
      <c r="L3274" s="278"/>
      <c r="M3274" s="278"/>
    </row>
    <row r="3275" spans="11:13" x14ac:dyDescent="0.25">
      <c r="K3275" s="278"/>
      <c r="L3275" s="278"/>
      <c r="M3275" s="278"/>
    </row>
    <row r="3280" spans="11:13" x14ac:dyDescent="0.25">
      <c r="K3280" s="278"/>
      <c r="L3280" s="278"/>
      <c r="M3280" s="278"/>
    </row>
    <row r="3282" spans="11:13" x14ac:dyDescent="0.25">
      <c r="K3282" s="278"/>
      <c r="L3282" s="278"/>
      <c r="M3282" s="278"/>
    </row>
    <row r="3283" spans="11:13" x14ac:dyDescent="0.25">
      <c r="K3283" s="278"/>
      <c r="L3283" s="278"/>
      <c r="M3283" s="278"/>
    </row>
    <row r="3286" spans="11:13" x14ac:dyDescent="0.25">
      <c r="K3286" s="278"/>
      <c r="L3286" s="278"/>
      <c r="M3286" s="278"/>
    </row>
    <row r="3287" spans="11:13" x14ac:dyDescent="0.25">
      <c r="K3287" s="278"/>
      <c r="L3287" s="278"/>
      <c r="M3287" s="278"/>
    </row>
    <row r="3290" spans="11:13" x14ac:dyDescent="0.25">
      <c r="K3290" s="278"/>
      <c r="L3290" s="278"/>
      <c r="M3290" s="278"/>
    </row>
    <row r="3294" spans="11:13" x14ac:dyDescent="0.25">
      <c r="K3294" s="278"/>
      <c r="L3294" s="278"/>
      <c r="M3294" s="278"/>
    </row>
    <row r="3295" spans="11:13" x14ac:dyDescent="0.25">
      <c r="K3295" s="278"/>
      <c r="L3295" s="278"/>
      <c r="M3295" s="278"/>
    </row>
    <row r="3299" spans="11:13" x14ac:dyDescent="0.25">
      <c r="K3299" s="278"/>
      <c r="L3299" s="278"/>
      <c r="M3299" s="278"/>
    </row>
    <row r="3312" spans="11:13" x14ac:dyDescent="0.25">
      <c r="K3312" s="278"/>
      <c r="L3312" s="278"/>
      <c r="M3312" s="278"/>
    </row>
    <row r="3314" spans="11:13" x14ac:dyDescent="0.25">
      <c r="K3314" s="278"/>
      <c r="L3314" s="278"/>
      <c r="M3314" s="278"/>
    </row>
    <row r="3321" spans="11:13" x14ac:dyDescent="0.25">
      <c r="K3321" s="278"/>
      <c r="L3321" s="278"/>
      <c r="M3321" s="278"/>
    </row>
    <row r="3324" spans="11:13" x14ac:dyDescent="0.25">
      <c r="K3324" s="278"/>
      <c r="L3324" s="278"/>
      <c r="M3324" s="278"/>
    </row>
    <row r="3325" spans="11:13" x14ac:dyDescent="0.25">
      <c r="K3325" s="278"/>
      <c r="L3325" s="278"/>
      <c r="M3325" s="278"/>
    </row>
    <row r="3327" spans="11:13" x14ac:dyDescent="0.25">
      <c r="K3327" s="278"/>
      <c r="L3327" s="278"/>
      <c r="M3327" s="278"/>
    </row>
    <row r="3329" spans="11:13" x14ac:dyDescent="0.25">
      <c r="K3329" s="278"/>
      <c r="L3329" s="278"/>
      <c r="M3329" s="278"/>
    </row>
    <row r="3333" spans="11:13" x14ac:dyDescent="0.25">
      <c r="K3333" s="278"/>
      <c r="L3333" s="278"/>
      <c r="M3333" s="278"/>
    </row>
    <row r="3334" spans="11:13" x14ac:dyDescent="0.25">
      <c r="K3334" s="278"/>
      <c r="L3334" s="278"/>
      <c r="M3334" s="278"/>
    </row>
    <row r="3338" spans="11:13" x14ac:dyDescent="0.25">
      <c r="K3338" s="278"/>
      <c r="L3338" s="278"/>
      <c r="M3338" s="278"/>
    </row>
    <row r="3346" spans="11:13" x14ac:dyDescent="0.25">
      <c r="K3346" s="278"/>
      <c r="L3346" s="278"/>
      <c r="M3346" s="278"/>
    </row>
    <row r="3352" spans="11:13" x14ac:dyDescent="0.25">
      <c r="K3352" s="278"/>
      <c r="L3352" s="278"/>
      <c r="M3352" s="278"/>
    </row>
    <row r="3357" spans="11:13" x14ac:dyDescent="0.25">
      <c r="K3357" s="278"/>
      <c r="L3357" s="278"/>
      <c r="M3357" s="278"/>
    </row>
    <row r="3361" spans="11:13" x14ac:dyDescent="0.25">
      <c r="K3361" s="278"/>
      <c r="L3361" s="278"/>
      <c r="M3361" s="278"/>
    </row>
    <row r="3363" spans="11:13" x14ac:dyDescent="0.25">
      <c r="K3363" s="278"/>
      <c r="L3363" s="278"/>
      <c r="M3363" s="278"/>
    </row>
    <row r="3365" spans="11:13" x14ac:dyDescent="0.25">
      <c r="K3365" s="278"/>
      <c r="L3365" s="278"/>
      <c r="M3365" s="278"/>
    </row>
    <row r="3367" spans="11:13" x14ac:dyDescent="0.25">
      <c r="K3367" s="278"/>
      <c r="L3367" s="278"/>
      <c r="M3367" s="278"/>
    </row>
    <row r="3371" spans="11:13" x14ac:dyDescent="0.25">
      <c r="K3371" s="278"/>
      <c r="L3371" s="278"/>
      <c r="M3371" s="278"/>
    </row>
    <row r="3379" spans="11:13" x14ac:dyDescent="0.25">
      <c r="K3379" s="278"/>
      <c r="L3379" s="278"/>
      <c r="M3379" s="278"/>
    </row>
    <row r="3382" spans="11:13" x14ac:dyDescent="0.25">
      <c r="K3382" s="278"/>
      <c r="L3382" s="278"/>
      <c r="M3382" s="278"/>
    </row>
    <row r="3384" spans="11:13" x14ac:dyDescent="0.25">
      <c r="K3384" s="278"/>
      <c r="L3384" s="278"/>
      <c r="M3384" s="278"/>
    </row>
    <row r="3386" spans="11:13" x14ac:dyDescent="0.25">
      <c r="K3386" s="278"/>
      <c r="L3386" s="278"/>
      <c r="M3386" s="278"/>
    </row>
    <row r="3390" spans="11:13" x14ac:dyDescent="0.25">
      <c r="K3390" s="278"/>
      <c r="L3390" s="278"/>
      <c r="M3390" s="278"/>
    </row>
    <row r="3391" spans="11:13" x14ac:dyDescent="0.25">
      <c r="K3391" s="278"/>
      <c r="L3391" s="278"/>
      <c r="M3391" s="278"/>
    </row>
    <row r="3400" spans="11:13" x14ac:dyDescent="0.25">
      <c r="K3400" s="278"/>
      <c r="L3400" s="278"/>
      <c r="M3400" s="278"/>
    </row>
    <row r="3403" spans="11:13" x14ac:dyDescent="0.25">
      <c r="K3403" s="278"/>
      <c r="L3403" s="278"/>
      <c r="M3403" s="278"/>
    </row>
    <row r="3406" spans="11:13" x14ac:dyDescent="0.25">
      <c r="K3406" s="278"/>
      <c r="L3406" s="278"/>
      <c r="M3406" s="278"/>
    </row>
    <row r="3409" spans="11:13" x14ac:dyDescent="0.25">
      <c r="K3409" s="278"/>
      <c r="L3409" s="278"/>
      <c r="M3409" s="278"/>
    </row>
    <row r="3411" spans="11:13" x14ac:dyDescent="0.25">
      <c r="K3411" s="278"/>
      <c r="L3411" s="278"/>
      <c r="M3411" s="278"/>
    </row>
    <row r="3413" spans="11:13" x14ac:dyDescent="0.25">
      <c r="K3413" s="278"/>
      <c r="L3413" s="278"/>
      <c r="M3413" s="278"/>
    </row>
    <row r="3416" spans="11:13" x14ac:dyDescent="0.25">
      <c r="K3416" s="278"/>
      <c r="L3416" s="278"/>
      <c r="M3416" s="278"/>
    </row>
    <row r="3423" spans="11:13" x14ac:dyDescent="0.25">
      <c r="K3423" s="278"/>
      <c r="L3423" s="278"/>
      <c r="M3423" s="278"/>
    </row>
    <row r="3425" spans="11:13" x14ac:dyDescent="0.25">
      <c r="K3425" s="278"/>
      <c r="L3425" s="278"/>
      <c r="M3425" s="278"/>
    </row>
    <row r="3426" spans="11:13" x14ac:dyDescent="0.25">
      <c r="K3426" s="278"/>
      <c r="L3426" s="278"/>
      <c r="M3426" s="278"/>
    </row>
    <row r="3428" spans="11:13" x14ac:dyDescent="0.25">
      <c r="K3428" s="278"/>
      <c r="L3428" s="278"/>
      <c r="M3428" s="278"/>
    </row>
    <row r="3435" spans="11:13" x14ac:dyDescent="0.25">
      <c r="K3435" s="278"/>
      <c r="L3435" s="278"/>
      <c r="M3435" s="278"/>
    </row>
    <row r="3439" spans="11:13" x14ac:dyDescent="0.25">
      <c r="K3439" s="278"/>
      <c r="L3439" s="278"/>
      <c r="M3439" s="278"/>
    </row>
    <row r="3441" spans="11:13" x14ac:dyDescent="0.25">
      <c r="K3441" s="278"/>
      <c r="L3441" s="278"/>
      <c r="M3441" s="278"/>
    </row>
    <row r="3443" spans="11:13" x14ac:dyDescent="0.25">
      <c r="K3443" s="278"/>
      <c r="L3443" s="278"/>
      <c r="M3443" s="278"/>
    </row>
    <row r="3446" spans="11:13" x14ac:dyDescent="0.25">
      <c r="K3446" s="278"/>
      <c r="L3446" s="278"/>
      <c r="M3446" s="278"/>
    </row>
    <row r="3449" spans="11:13" x14ac:dyDescent="0.25">
      <c r="K3449" s="278"/>
      <c r="L3449" s="278"/>
      <c r="M3449" s="278"/>
    </row>
    <row r="3452" spans="11:13" x14ac:dyDescent="0.25">
      <c r="K3452" s="278"/>
      <c r="L3452" s="278"/>
      <c r="M3452" s="278"/>
    </row>
    <row r="3461" spans="11:13" x14ac:dyDescent="0.25">
      <c r="K3461" s="278"/>
      <c r="L3461" s="278"/>
      <c r="M3461" s="278"/>
    </row>
    <row r="3462" spans="11:13" x14ac:dyDescent="0.25">
      <c r="K3462" s="278"/>
      <c r="L3462" s="278"/>
      <c r="M3462" s="278"/>
    </row>
    <row r="3466" spans="11:13" x14ac:dyDescent="0.25">
      <c r="K3466" s="278"/>
      <c r="L3466" s="278"/>
      <c r="M3466" s="278"/>
    </row>
    <row r="3468" spans="11:13" x14ac:dyDescent="0.25">
      <c r="K3468" s="278"/>
      <c r="L3468" s="278"/>
      <c r="M3468" s="278"/>
    </row>
    <row r="3470" spans="11:13" x14ac:dyDescent="0.25">
      <c r="K3470" s="278"/>
      <c r="L3470" s="278"/>
      <c r="M3470" s="278"/>
    </row>
    <row r="3473" spans="11:13" x14ac:dyDescent="0.25">
      <c r="K3473" s="278"/>
      <c r="L3473" s="278"/>
      <c r="M3473" s="278"/>
    </row>
    <row r="3481" spans="11:13" x14ac:dyDescent="0.25">
      <c r="K3481" s="278"/>
      <c r="L3481" s="278"/>
      <c r="M3481" s="278"/>
    </row>
    <row r="3485" spans="11:13" x14ac:dyDescent="0.25">
      <c r="K3485" s="278"/>
      <c r="L3485" s="278"/>
      <c r="M3485" s="278"/>
    </row>
    <row r="3487" spans="11:13" x14ac:dyDescent="0.25">
      <c r="K3487" s="278"/>
      <c r="L3487" s="278"/>
      <c r="M3487" s="278"/>
    </row>
    <row r="3489" spans="11:13" x14ac:dyDescent="0.25">
      <c r="K3489" s="278"/>
      <c r="L3489" s="278"/>
      <c r="M3489" s="278"/>
    </row>
    <row r="3491" spans="11:13" x14ac:dyDescent="0.25">
      <c r="K3491" s="278"/>
      <c r="L3491" s="278"/>
      <c r="M3491" s="278"/>
    </row>
    <row r="3496" spans="11:13" x14ac:dyDescent="0.25">
      <c r="K3496" s="278"/>
      <c r="L3496" s="278"/>
      <c r="M3496" s="278"/>
    </row>
    <row r="3500" spans="11:13" x14ac:dyDescent="0.25">
      <c r="K3500" s="278"/>
      <c r="L3500" s="278"/>
      <c r="M3500" s="278"/>
    </row>
    <row r="3501" spans="11:13" x14ac:dyDescent="0.25">
      <c r="K3501" s="278"/>
      <c r="L3501" s="278"/>
      <c r="M3501" s="278"/>
    </row>
    <row r="3508" spans="11:13" x14ac:dyDescent="0.25">
      <c r="K3508" s="278"/>
      <c r="L3508" s="278"/>
      <c r="M3508" s="278"/>
    </row>
    <row r="3516" spans="11:13" x14ac:dyDescent="0.25">
      <c r="K3516" s="278"/>
      <c r="L3516" s="278"/>
      <c r="M3516" s="278"/>
    </row>
    <row r="3519" spans="11:13" x14ac:dyDescent="0.25">
      <c r="K3519" s="278"/>
      <c r="L3519" s="278"/>
      <c r="M3519" s="278"/>
    </row>
    <row r="3520" spans="11:13" x14ac:dyDescent="0.25">
      <c r="K3520" s="278"/>
      <c r="L3520" s="278"/>
      <c r="M3520" s="278"/>
    </row>
    <row r="3524" spans="11:13" x14ac:dyDescent="0.25">
      <c r="K3524" s="278"/>
      <c r="L3524" s="278"/>
      <c r="M3524" s="278"/>
    </row>
    <row r="3526" spans="11:13" x14ac:dyDescent="0.25">
      <c r="K3526" s="278"/>
      <c r="L3526" s="278"/>
      <c r="M3526" s="278"/>
    </row>
    <row r="3528" spans="11:13" x14ac:dyDescent="0.25">
      <c r="K3528" s="278"/>
      <c r="L3528" s="278"/>
      <c r="M3528" s="278"/>
    </row>
    <row r="3529" spans="11:13" x14ac:dyDescent="0.25">
      <c r="K3529" s="278"/>
      <c r="L3529" s="278"/>
      <c r="M3529" s="278"/>
    </row>
    <row r="3532" spans="11:13" x14ac:dyDescent="0.25">
      <c r="K3532" s="278"/>
      <c r="L3532" s="278"/>
      <c r="M3532" s="278"/>
    </row>
    <row r="3539" spans="11:13" x14ac:dyDescent="0.25">
      <c r="K3539" s="278"/>
      <c r="L3539" s="278"/>
      <c r="M3539" s="278"/>
    </row>
    <row r="3541" spans="11:13" x14ac:dyDescent="0.25">
      <c r="K3541" s="278"/>
      <c r="L3541" s="278"/>
      <c r="M3541" s="278"/>
    </row>
    <row r="3553" spans="11:13" x14ac:dyDescent="0.25">
      <c r="K3553" s="278"/>
      <c r="L3553" s="278"/>
      <c r="M3553" s="278"/>
    </row>
    <row r="3560" spans="11:13" x14ac:dyDescent="0.25">
      <c r="K3560" s="278"/>
      <c r="L3560" s="278"/>
      <c r="M3560" s="278"/>
    </row>
    <row r="3573" spans="11:13" x14ac:dyDescent="0.25">
      <c r="K3573" s="278"/>
      <c r="L3573" s="278"/>
      <c r="M3573" s="278"/>
    </row>
    <row r="3575" spans="11:13" x14ac:dyDescent="0.25">
      <c r="K3575" s="278"/>
      <c r="L3575" s="278"/>
      <c r="M3575" s="278"/>
    </row>
    <row r="3582" spans="11:13" x14ac:dyDescent="0.25">
      <c r="K3582" s="278"/>
      <c r="L3582" s="278"/>
      <c r="M3582" s="278"/>
    </row>
    <row r="3586" spans="11:13" x14ac:dyDescent="0.25">
      <c r="K3586" s="278"/>
      <c r="L3586" s="278"/>
      <c r="M3586" s="278"/>
    </row>
    <row r="3587" spans="11:13" x14ac:dyDescent="0.25">
      <c r="K3587" s="278"/>
      <c r="L3587" s="278"/>
      <c r="M3587" s="278"/>
    </row>
    <row r="3589" spans="11:13" x14ac:dyDescent="0.25">
      <c r="K3589" s="278"/>
      <c r="L3589" s="278"/>
      <c r="M3589" s="278"/>
    </row>
    <row r="3591" spans="11:13" x14ac:dyDescent="0.25">
      <c r="K3591" s="278"/>
      <c r="L3591" s="278"/>
      <c r="M3591" s="278"/>
    </row>
    <row r="3596" spans="11:13" x14ac:dyDescent="0.25">
      <c r="K3596" s="278"/>
      <c r="L3596" s="278"/>
      <c r="M3596" s="278"/>
    </row>
    <row r="3599" spans="11:13" x14ac:dyDescent="0.25">
      <c r="K3599" s="278"/>
      <c r="L3599" s="278"/>
      <c r="M3599" s="278"/>
    </row>
    <row r="3608" spans="11:13" x14ac:dyDescent="0.25">
      <c r="K3608" s="278"/>
      <c r="L3608" s="278"/>
      <c r="M3608" s="278"/>
    </row>
    <row r="3615" spans="11:13" x14ac:dyDescent="0.25">
      <c r="K3615" s="278"/>
      <c r="L3615" s="278"/>
      <c r="M3615" s="278"/>
    </row>
    <row r="3616" spans="11:13" x14ac:dyDescent="0.25">
      <c r="K3616" s="278"/>
      <c r="L3616" s="278"/>
      <c r="M3616" s="278"/>
    </row>
    <row r="3620" spans="11:13" x14ac:dyDescent="0.25">
      <c r="K3620" s="278"/>
      <c r="L3620" s="278"/>
      <c r="M3620" s="278"/>
    </row>
    <row r="3625" spans="11:13" x14ac:dyDescent="0.25">
      <c r="K3625" s="278"/>
      <c r="L3625" s="278"/>
      <c r="M3625" s="278"/>
    </row>
    <row r="3627" spans="11:13" x14ac:dyDescent="0.25">
      <c r="K3627" s="278"/>
      <c r="L3627" s="278"/>
      <c r="M3627" s="278"/>
    </row>
    <row r="3629" spans="11:13" x14ac:dyDescent="0.25">
      <c r="K3629" s="278"/>
      <c r="L3629" s="278"/>
      <c r="M3629" s="278"/>
    </row>
    <row r="3631" spans="11:13" x14ac:dyDescent="0.25">
      <c r="K3631" s="278"/>
      <c r="L3631" s="278"/>
      <c r="M3631" s="278"/>
    </row>
    <row r="3636" spans="11:13" x14ac:dyDescent="0.25">
      <c r="K3636" s="278"/>
      <c r="L3636" s="278"/>
      <c r="M3636" s="278"/>
    </row>
    <row r="3645" spans="11:13" x14ac:dyDescent="0.25">
      <c r="K3645" s="278"/>
      <c r="L3645" s="278"/>
      <c r="M3645" s="278"/>
    </row>
    <row r="3648" spans="11:13" x14ac:dyDescent="0.25">
      <c r="K3648" s="278"/>
      <c r="L3648" s="278"/>
      <c r="M3648" s="278"/>
    </row>
    <row r="3650" spans="11:13" x14ac:dyDescent="0.25">
      <c r="K3650" s="278"/>
      <c r="L3650" s="278"/>
      <c r="M3650" s="278"/>
    </row>
    <row r="3652" spans="11:13" x14ac:dyDescent="0.25">
      <c r="K3652" s="278"/>
      <c r="L3652" s="278"/>
      <c r="M3652" s="278"/>
    </row>
    <row r="3656" spans="11:13" x14ac:dyDescent="0.25">
      <c r="K3656" s="278"/>
      <c r="L3656" s="278"/>
      <c r="M3656" s="278"/>
    </row>
    <row r="3657" spans="11:13" x14ac:dyDescent="0.25">
      <c r="K3657" s="278"/>
      <c r="L3657" s="278"/>
      <c r="M3657" s="278"/>
    </row>
    <row r="3666" spans="11:13" x14ac:dyDescent="0.25">
      <c r="K3666" s="278"/>
      <c r="L3666" s="278"/>
      <c r="M3666" s="278"/>
    </row>
    <row r="3669" spans="11:13" x14ac:dyDescent="0.25">
      <c r="K3669" s="278"/>
      <c r="L3669" s="278"/>
      <c r="M3669" s="278"/>
    </row>
    <row r="3672" spans="11:13" x14ac:dyDescent="0.25">
      <c r="K3672" s="278"/>
      <c r="L3672" s="278"/>
      <c r="M3672" s="278"/>
    </row>
    <row r="3675" spans="11:13" x14ac:dyDescent="0.25">
      <c r="K3675" s="278"/>
      <c r="L3675" s="278"/>
      <c r="M3675" s="278"/>
    </row>
    <row r="3677" spans="11:13" x14ac:dyDescent="0.25">
      <c r="K3677" s="278"/>
      <c r="L3677" s="278"/>
      <c r="M3677" s="278"/>
    </row>
    <row r="3679" spans="11:13" x14ac:dyDescent="0.25">
      <c r="K3679" s="278"/>
      <c r="L3679" s="278"/>
      <c r="M3679" s="278"/>
    </row>
    <row r="3683" spans="11:13" x14ac:dyDescent="0.25">
      <c r="K3683" s="278"/>
      <c r="L3683" s="278"/>
      <c r="M3683" s="278"/>
    </row>
    <row r="3690" spans="11:13" x14ac:dyDescent="0.25">
      <c r="K3690" s="278"/>
      <c r="L3690" s="278"/>
      <c r="M3690" s="278"/>
    </row>
    <row r="3692" spans="11:13" x14ac:dyDescent="0.25">
      <c r="K3692" s="278"/>
      <c r="L3692" s="278"/>
      <c r="M3692" s="278"/>
    </row>
  </sheetData>
  <autoFilter ref="A1:BM317" xr:uid="{00000000-0009-0000-0000-000001000000}"/>
  <pageMargins left="0.75" right="0.75" top="1" bottom="1" header="0.5" footer="0.5"/>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theme="7"/>
    <pageSetUpPr fitToPage="1"/>
  </sheetPr>
  <dimension ref="A1:R414"/>
  <sheetViews>
    <sheetView showGridLines="0" zoomScale="80" zoomScaleNormal="80" workbookViewId="0">
      <pane ySplit="9" topLeftCell="A10" activePane="bottomLeft" state="frozen"/>
      <selection activeCell="C13" sqref="C13"/>
      <selection pane="bottomLeft" activeCell="B2" sqref="B2"/>
    </sheetView>
  </sheetViews>
  <sheetFormatPr defaultColWidth="9.1796875" defaultRowHeight="12.5" x14ac:dyDescent="0.25"/>
  <cols>
    <col min="1" max="1" width="3.81640625" style="150" customWidth="1"/>
    <col min="2" max="2" width="17.1796875" style="4" customWidth="1"/>
    <col min="3" max="3" width="78" style="4" customWidth="1"/>
    <col min="4" max="10" width="14.81640625" style="4" customWidth="1"/>
    <col min="11" max="11" width="15.54296875" style="4" customWidth="1"/>
    <col min="12" max="16" width="16.453125" style="4" customWidth="1"/>
    <col min="17" max="18" width="21" style="4" customWidth="1"/>
    <col min="19" max="19" width="1.453125" style="4" customWidth="1"/>
    <col min="20" max="21" width="16.54296875" style="4" customWidth="1"/>
    <col min="22" max="27" width="9.1796875" style="4" customWidth="1"/>
    <col min="28" max="16384" width="9.1796875" style="4"/>
  </cols>
  <sheetData>
    <row r="1" spans="1:18" s="14" customFormat="1" ht="33" customHeight="1" x14ac:dyDescent="0.25">
      <c r="A1" s="67"/>
    </row>
    <row r="2" spans="1:18" s="14" customFormat="1" ht="14.9" customHeight="1" x14ac:dyDescent="0.25">
      <c r="A2" s="67"/>
    </row>
    <row r="3" spans="1:18" s="14" customFormat="1" ht="14.9" customHeight="1" x14ac:dyDescent="0.25">
      <c r="A3" s="67"/>
    </row>
    <row r="4" spans="1:18" s="14" customFormat="1" ht="14.9" customHeight="1" x14ac:dyDescent="0.25">
      <c r="A4" s="67"/>
    </row>
    <row r="5" spans="1:18" s="14" customFormat="1" ht="13.5" customHeight="1" x14ac:dyDescent="0.3">
      <c r="A5" s="67"/>
      <c r="K5" s="355" t="s">
        <v>1244</v>
      </c>
    </row>
    <row r="6" spans="1:18" s="14" customFormat="1" ht="26.25" customHeight="1" x14ac:dyDescent="0.5">
      <c r="A6" s="67"/>
      <c r="B6" s="46" t="s">
        <v>1315</v>
      </c>
      <c r="G6" s="67"/>
      <c r="H6" s="67"/>
      <c r="I6" s="67"/>
      <c r="J6" s="67"/>
    </row>
    <row r="7" spans="1:18" s="14" customFormat="1" ht="18" customHeight="1" x14ac:dyDescent="0.25">
      <c r="A7" s="67"/>
      <c r="B7" s="44" t="str">
        <f>'Title Sheet'!B9</f>
        <v>April 2021 to March 2022, finalised data</v>
      </c>
      <c r="G7" s="173"/>
      <c r="H7" s="173"/>
      <c r="I7" s="173"/>
      <c r="J7" s="173"/>
    </row>
    <row r="8" spans="1:18" s="14" customFormat="1" x14ac:dyDescent="0.25">
      <c r="A8" s="67"/>
      <c r="K8" s="40"/>
      <c r="L8" s="40"/>
      <c r="M8" s="40"/>
      <c r="N8" s="40"/>
      <c r="O8" s="40"/>
      <c r="P8" s="40"/>
      <c r="Q8" s="40"/>
      <c r="R8" s="40"/>
    </row>
    <row r="9" spans="1:18" ht="47.25" customHeight="1" x14ac:dyDescent="0.25">
      <c r="B9" s="315" t="s">
        <v>1316</v>
      </c>
      <c r="C9" s="315" t="s">
        <v>1126</v>
      </c>
      <c r="D9" s="315" t="s">
        <v>1131</v>
      </c>
      <c r="E9" s="315" t="s">
        <v>1189</v>
      </c>
      <c r="F9" s="315" t="s">
        <v>1317</v>
      </c>
      <c r="G9" s="315" t="s">
        <v>1318</v>
      </c>
      <c r="H9" s="315" t="s">
        <v>1319</v>
      </c>
      <c r="I9" s="315" t="s">
        <v>1320</v>
      </c>
      <c r="J9" s="315" t="s">
        <v>1321</v>
      </c>
      <c r="K9" s="315" t="s">
        <v>1322</v>
      </c>
      <c r="L9" s="5"/>
      <c r="M9" s="5"/>
      <c r="N9" s="5"/>
      <c r="O9" s="5"/>
      <c r="P9" s="5"/>
      <c r="Q9" s="5"/>
      <c r="R9" s="5"/>
    </row>
    <row r="10" spans="1:18" ht="15" customHeight="1" x14ac:dyDescent="0.35">
      <c r="B10" s="174" t="str">
        <f>IF(ISNUMBER('Funnel setup'!P23),VLOOKUP('Funnel setup'!$P23,'Provider Commission - Raw Data'!$A:$Q,5,0),"")</f>
        <v>B3W</v>
      </c>
      <c r="C10" s="175" t="str">
        <f>IF(ISNUMBER('Funnel setup'!P23),VLOOKUP('Funnel setup'!P23,'Provider Commission - Raw Data'!$A:$Q,6,0),"")</f>
        <v>SULIS HOSPITAL BATH</v>
      </c>
      <c r="D10" s="176">
        <f>IF(ISNUMBER('Funnel setup'!P23),IF(VLOOKUP('Funnel setup'!P23,'Provider Commission - Raw Data'!$A:$Q,8,0)="-","",VLOOKUP('Funnel setup'!P23,'Provider Commission - Raw Data'!$A:$Q,8,0)),"")</f>
        <v>37</v>
      </c>
      <c r="E10" s="251">
        <f>IF(ISNUMBER('Funnel setup'!P23),IF(VLOOKUP('Funnel setup'!P23,'Provider Commission - Raw Data'!$A:$Q,16,0)="-","",VLOOKUP('Funnel setup'!P23,'Provider Commission - Raw Data'!$A:$Q,16,0)),"")</f>
        <v>23.225100000000001</v>
      </c>
      <c r="F10" s="177">
        <f>IF(AND(ISNUMBER('Funnel setup'!P23)),'Funnel setup'!$K$9,"")</f>
        <v>22.515359017022909</v>
      </c>
      <c r="G10" s="177">
        <f>IF(AND(ISNUMBER('Funnel setup'!P23),D10&gt;=30,E10&lt;&gt;"*",D10&lt;&gt;""),F10-1.959963985 *('Funnel setup'!$K$8/SQRT('Funnel Data'!D10)),"")</f>
        <v>19.847727166351195</v>
      </c>
      <c r="H10" s="177">
        <f>IF(AND(ISNUMBER('Funnel setup'!P23),D10&gt;=30,E10&lt;&gt;"*",D10&lt;&gt;""),F10+1.959963985 *('Funnel setup'!$K$8/SQRT('Funnel Data'!D10)),"")</f>
        <v>25.182990867694624</v>
      </c>
      <c r="I10" s="177">
        <f>IF(AND(ISNUMBER('Funnel setup'!P23),D10&gt;=30,E10&lt;&gt;"*",D10&lt;&gt;""),F10-3.090232306 *('Funnel setup'!$K$8/SQRT('Funnel Data'!D10)),"")</f>
        <v>18.309362280067411</v>
      </c>
      <c r="J10" s="177">
        <f>IF(AND(ISNUMBER('Funnel setup'!P23),D10&gt;=30,E10&lt;&gt;"*",D10&lt;&gt;""),F10+3.090232306 *('Funnel setup'!$K$8/SQRT('Funnel Data'!D10)),"")</f>
        <v>26.721355753978408</v>
      </c>
      <c r="K10" s="178" t="str">
        <f>IF(AND(ISNUMBER('Funnel setup'!P23),D10&gt;=30,E10&lt;&gt;"*",D10&lt;&gt;""),IF(E10&gt;J10,'Funnel setup'!$K$15&amp;"99.8%",IF(E10&gt;H10,'Funnel setup'!$K$15&amp;"95%",IF(E10&lt;I10,'Funnel setup'!$K$16&amp;"99.8%",IF(E10&lt;G10,'Funnel setup'!$K$16&amp;"95%","")))),"")</f>
        <v/>
      </c>
    </row>
    <row r="11" spans="1:18" ht="30" customHeight="1" x14ac:dyDescent="0.35">
      <c r="B11" s="174" t="str">
        <f>IF(ISNUMBER('Funnel setup'!P24),VLOOKUP('Funnel setup'!$P24,'Provider Commission - Raw Data'!$A:$Q,5,0),"")</f>
        <v>RCF</v>
      </c>
      <c r="C11" s="175" t="str">
        <f>IF(ISNUMBER('Funnel setup'!P24),VLOOKUP('Funnel setup'!P24,'Provider Commission - Raw Data'!$A:$Q,6,0),"")</f>
        <v>AIREDALE NHS FOUNDATION TRUST (RCF)</v>
      </c>
      <c r="D11" s="176">
        <f>IF(ISNUMBER('Funnel setup'!P24),IF(VLOOKUP('Funnel setup'!P24,'Provider Commission - Raw Data'!$A:$Q,8,0)="-","",VLOOKUP('Funnel setup'!P24,'Provider Commission - Raw Data'!$A:$Q,8,0)),"")</f>
        <v>42</v>
      </c>
      <c r="E11" s="251">
        <f>IF(ISNUMBER('Funnel setup'!P24),IF(VLOOKUP('Funnel setup'!P24,'Provider Commission - Raw Data'!$A:$Q,16,0)="-","",VLOOKUP('Funnel setup'!P24,'Provider Commission - Raw Data'!$A:$Q,16,0)),"")</f>
        <v>22.7502</v>
      </c>
      <c r="F11" s="177">
        <f>IF(AND(ISNUMBER('Funnel setup'!P24)),'Funnel setup'!$K$9,"")</f>
        <v>22.515359017022909</v>
      </c>
      <c r="G11" s="177">
        <f>IF(AND(ISNUMBER('Funnel setup'!P24),D11&gt;=30,E11&lt;&gt;"*",D11&lt;&gt;""),F11-1.959963985 *('Funnel setup'!$K$8/SQRT('Funnel Data'!D11)),"")</f>
        <v>20.011544743157206</v>
      </c>
      <c r="H11" s="177">
        <f>IF(AND(ISNUMBER('Funnel setup'!P24),D11&gt;=30,E11&lt;&gt;"*",D11&lt;&gt;""),F11+1.959963985 *('Funnel setup'!$K$8/SQRT('Funnel Data'!D11)),"")</f>
        <v>25.019173290888613</v>
      </c>
      <c r="I11" s="177">
        <f>IF(AND(ISNUMBER('Funnel setup'!P24),D11&gt;=30,E11&lt;&gt;"*",D11&lt;&gt;""),F11-3.090232306 *('Funnel setup'!$K$8/SQRT('Funnel Data'!D11)),"")</f>
        <v>18.567649866987821</v>
      </c>
      <c r="J11" s="177">
        <f>IF(AND(ISNUMBER('Funnel setup'!P24),D11&gt;=30,E11&lt;&gt;"*",D11&lt;&gt;""),F11+3.090232306 *('Funnel setup'!$K$8/SQRT('Funnel Data'!D11)),"")</f>
        <v>26.463068167057997</v>
      </c>
      <c r="K11" s="178" t="str">
        <f>IF(AND(ISNUMBER('Funnel setup'!P24),D11&gt;=30,E11&lt;&gt;"*",D11&lt;&gt;""),IF(E11&gt;J11,'Funnel setup'!$K$15&amp;"99.8%",IF(E11&gt;H11,'Funnel setup'!$K$15&amp;"95%",IF(E11&lt;I11,'Funnel setup'!$K$16&amp;"99.8%",IF(E11&lt;G11,'Funnel setup'!$K$16&amp;"95%","")))),"")</f>
        <v/>
      </c>
    </row>
    <row r="12" spans="1:18" ht="15" customHeight="1" x14ac:dyDescent="0.35">
      <c r="B12" s="174" t="str">
        <f>IF(ISNUMBER('Funnel setup'!P25),VLOOKUP('Funnel setup'!$P25,'Provider Commission - Raw Data'!$A:$Q,5,0),"")</f>
        <v>NT401</v>
      </c>
      <c r="C12" s="175" t="str">
        <f>IF(ISNUMBER('Funnel setup'!P25),VLOOKUP('Funnel setup'!P25,'Provider Commission - Raw Data'!$A:$Q,6,0),"")</f>
        <v>ALEXANDRA HOSPITAL (NT401)</v>
      </c>
      <c r="D12" s="176">
        <f>IF(ISNUMBER('Funnel setup'!P25),IF(VLOOKUP('Funnel setup'!P25,'Provider Commission - Raw Data'!$A:$Q,8,0)="-","",VLOOKUP('Funnel setup'!P25,'Provider Commission - Raw Data'!$A:$Q,8,0)),"")</f>
        <v>30</v>
      </c>
      <c r="E12" s="251">
        <f>IF(ISNUMBER('Funnel setup'!P25),IF(VLOOKUP('Funnel setup'!P25,'Provider Commission - Raw Data'!$A:$Q,16,0)="-","",VLOOKUP('Funnel setup'!P25,'Provider Commission - Raw Data'!$A:$Q,16,0)),"")</f>
        <v>23.428100000000001</v>
      </c>
      <c r="F12" s="177">
        <f>IF(AND(ISNUMBER('Funnel setup'!P25)),'Funnel setup'!$K$9,"")</f>
        <v>22.515359017022909</v>
      </c>
      <c r="G12" s="177">
        <f>IF(AND(ISNUMBER('Funnel setup'!P25),D12&gt;=30,E12&lt;&gt;"*",D12&lt;&gt;""),F12-1.959963985 *('Funnel setup'!$K$8/SQRT('Funnel Data'!D12)),"")</f>
        <v>19.55280601577228</v>
      </c>
      <c r="H12" s="177">
        <f>IF(AND(ISNUMBER('Funnel setup'!P25),D12&gt;=30,E12&lt;&gt;"*",D12&lt;&gt;""),F12+1.959963985 *('Funnel setup'!$K$8/SQRT('Funnel Data'!D12)),"")</f>
        <v>25.477912018273539</v>
      </c>
      <c r="I12" s="177">
        <f>IF(AND(ISNUMBER('Funnel setup'!P25),D12&gt;=30,E12&lt;&gt;"*",D12&lt;&gt;""),F12-3.090232306 *('Funnel setup'!$K$8/SQRT('Funnel Data'!D12)),"")</f>
        <v>17.844366558606922</v>
      </c>
      <c r="J12" s="177">
        <f>IF(AND(ISNUMBER('Funnel setup'!P25),D12&gt;=30,E12&lt;&gt;"*",D12&lt;&gt;""),F12+3.090232306 *('Funnel setup'!$K$8/SQRT('Funnel Data'!D12)),"")</f>
        <v>27.186351475438897</v>
      </c>
      <c r="K12" s="178" t="str">
        <f>IF(AND(ISNUMBER('Funnel setup'!P25),D12&gt;=30,E12&lt;&gt;"*",D12&lt;&gt;""),IF(E12&gt;J12,'Funnel setup'!$K$15&amp;"99.8%",IF(E12&gt;H12,'Funnel setup'!$K$15&amp;"95%",IF(E12&lt;I12,'Funnel setup'!$K$16&amp;"99.8%",IF(E12&lt;G12,'Funnel setup'!$K$16&amp;"95%","")))),"")</f>
        <v/>
      </c>
    </row>
    <row r="13" spans="1:18" ht="30" customHeight="1" x14ac:dyDescent="0.35">
      <c r="B13" s="174" t="str">
        <f>IF(ISNUMBER('Funnel setup'!P26),VLOOKUP('Funnel setup'!$P26,'Provider Commission - Raw Data'!$A:$Q,5,0),"")</f>
        <v>RTK</v>
      </c>
      <c r="C13" s="175" t="str">
        <f>IF(ISNUMBER('Funnel setup'!P26),VLOOKUP('Funnel setup'!P26,'Provider Commission - Raw Data'!$A:$Q,6,0),"")</f>
        <v>ASHFORD AND ST PETER'S HOSPITALS NHS FOUNDATION TRUST (RTK)</v>
      </c>
      <c r="D13" s="176">
        <f>IF(ISNUMBER('Funnel setup'!P26),IF(VLOOKUP('Funnel setup'!P26,'Provider Commission - Raw Data'!$A:$Q,8,0)="-","",VLOOKUP('Funnel setup'!P26,'Provider Commission - Raw Data'!$A:$Q,8,0)),"")</f>
        <v>68</v>
      </c>
      <c r="E13" s="251">
        <f>IF(ISNUMBER('Funnel setup'!P26),IF(VLOOKUP('Funnel setup'!P26,'Provider Commission - Raw Data'!$A:$Q,16,0)="-","",VLOOKUP('Funnel setup'!P26,'Provider Commission - Raw Data'!$A:$Q,16,0)),"")</f>
        <v>23.302299999999999</v>
      </c>
      <c r="F13" s="177">
        <f>IF(AND(ISNUMBER('Funnel setup'!P26)),'Funnel setup'!$K$9,"")</f>
        <v>22.515359017022909</v>
      </c>
      <c r="G13" s="177">
        <f>IF(AND(ISNUMBER('Funnel setup'!P26),D13&gt;=30,E13&lt;&gt;"*",D13&lt;&gt;""),F13-1.959963985 *('Funnel setup'!$K$8/SQRT('Funnel Data'!D13)),"")</f>
        <v>20.547598239191128</v>
      </c>
      <c r="H13" s="177">
        <f>IF(AND(ISNUMBER('Funnel setup'!P26),D13&gt;=30,E13&lt;&gt;"*",D13&lt;&gt;""),F13+1.959963985 *('Funnel setup'!$K$8/SQRT('Funnel Data'!D13)),"")</f>
        <v>24.483119794854691</v>
      </c>
      <c r="I13" s="177">
        <f>IF(AND(ISNUMBER('Funnel setup'!P26),D13&gt;=30,E13&lt;&gt;"*",D13&lt;&gt;""),F13-3.090232306 *('Funnel setup'!$K$8/SQRT('Funnel Data'!D13)),"")</f>
        <v>19.412833678458867</v>
      </c>
      <c r="J13" s="177">
        <f>IF(AND(ISNUMBER('Funnel setup'!P26),D13&gt;=30,E13&lt;&gt;"*",D13&lt;&gt;""),F13+3.090232306 *('Funnel setup'!$K$8/SQRT('Funnel Data'!D13)),"")</f>
        <v>25.617884355586952</v>
      </c>
      <c r="K13" s="178" t="str">
        <f>IF(AND(ISNUMBER('Funnel setup'!P26),D13&gt;=30,E13&lt;&gt;"*",D13&lt;&gt;""),IF(E13&gt;J13,'Funnel setup'!$K$15&amp;"99.8%",IF(E13&gt;H13,'Funnel setup'!$K$15&amp;"95%",IF(E13&lt;I13,'Funnel setup'!$K$16&amp;"99.8%",IF(E13&lt;G13,'Funnel setup'!$K$16&amp;"95%","")))),"")</f>
        <v/>
      </c>
    </row>
    <row r="14" spans="1:18" ht="14.25" customHeight="1" x14ac:dyDescent="0.35">
      <c r="B14" s="174" t="str">
        <f>IF(ISNUMBER('Funnel setup'!P27),VLOOKUP('Funnel setup'!$P27,'Provider Commission - Raw Data'!$A:$Q,5,0),"")</f>
        <v>NVC01</v>
      </c>
      <c r="C14" s="175" t="str">
        <f>IF(ISNUMBER('Funnel setup'!P27),VLOOKUP('Funnel setup'!P27,'Provider Commission - Raw Data'!$A:$Q,6,0),"")</f>
        <v>ASHTEAD HOSPITAL (NVC01)</v>
      </c>
      <c r="D14" s="176">
        <f>IF(ISNUMBER('Funnel setup'!P27),IF(VLOOKUP('Funnel setup'!P27,'Provider Commission - Raw Data'!$A:$Q,8,0)="-","",VLOOKUP('Funnel setup'!P27,'Provider Commission - Raw Data'!$A:$Q,8,0)),"")</f>
        <v>12</v>
      </c>
      <c r="E14" s="251" t="str">
        <f>IF(ISNUMBER('Funnel setup'!P27),IF(VLOOKUP('Funnel setup'!P27,'Provider Commission - Raw Data'!$A:$Q,16,0)="-","",VLOOKUP('Funnel setup'!P27,'Provider Commission - Raw Data'!$A:$Q,16,0)),"")</f>
        <v>*</v>
      </c>
      <c r="F14" s="177">
        <f>IF(AND(ISNUMBER('Funnel setup'!P27)),'Funnel setup'!$K$9,"")</f>
        <v>22.515359017022909</v>
      </c>
      <c r="G14" s="177" t="str">
        <f>IF(AND(ISNUMBER('Funnel setup'!P27),D14&gt;=30,E14&lt;&gt;"*",D14&lt;&gt;""),F14-1.959963985 *('Funnel setup'!$K$8/SQRT('Funnel Data'!D14)),"")</f>
        <v/>
      </c>
      <c r="H14" s="177" t="str">
        <f>IF(AND(ISNUMBER('Funnel setup'!P27),D14&gt;=30,E14&lt;&gt;"*",D14&lt;&gt;""),F14+1.959963985 *('Funnel setup'!$K$8/SQRT('Funnel Data'!D14)),"")</f>
        <v/>
      </c>
      <c r="I14" s="177" t="str">
        <f>IF(AND(ISNUMBER('Funnel setup'!P27),D14&gt;=30,E14&lt;&gt;"*",D14&lt;&gt;""),F14-3.090232306 *('Funnel setup'!$K$8/SQRT('Funnel Data'!D14)),"")</f>
        <v/>
      </c>
      <c r="J14" s="177" t="str">
        <f>IF(AND(ISNUMBER('Funnel setup'!P27),D14&gt;=30,E14&lt;&gt;"*",D14&lt;&gt;""),F14+3.090232306 *('Funnel setup'!$K$8/SQRT('Funnel Data'!D14)),"")</f>
        <v/>
      </c>
      <c r="K14" s="178" t="str">
        <f>IF(AND(ISNUMBER('Funnel setup'!P27),D14&gt;=30,E14&lt;&gt;"*",D14&lt;&gt;""),IF(E14&gt;J14,'Funnel setup'!$K$15&amp;"99.8%",IF(E14&gt;H14,'Funnel setup'!$K$15&amp;"95%",IF(E14&lt;I14,'Funnel setup'!$K$16&amp;"99.8%",IF(E14&lt;G14,'Funnel setup'!$K$16&amp;"95%","")))),"")</f>
        <v/>
      </c>
    </row>
    <row r="15" spans="1:18" ht="15" customHeight="1" x14ac:dyDescent="0.35">
      <c r="B15" s="174" t="str">
        <f>IF(ISNUMBER('Funnel setup'!P28),VLOOKUP('Funnel setup'!$P28,'Provider Commission - Raw Data'!$A:$Q,5,0),"")</f>
        <v>RF4</v>
      </c>
      <c r="C15" s="175" t="str">
        <f>IF(ISNUMBER('Funnel setup'!P28),VLOOKUP('Funnel setup'!P28,'Provider Commission - Raw Data'!$A:$Q,6,0),"")</f>
        <v>BARKING, HAVERING AND REDBRIDGE UNIVERSITY HOSPITALS NHS TRUST (RF4)</v>
      </c>
      <c r="D15" s="176">
        <f>IF(ISNUMBER('Funnel setup'!P28),IF(VLOOKUP('Funnel setup'!P28,'Provider Commission - Raw Data'!$A:$Q,8,0)="-","",VLOOKUP('Funnel setup'!P28,'Provider Commission - Raw Data'!$A:$Q,8,0)),"")</f>
        <v>57</v>
      </c>
      <c r="E15" s="251">
        <f>IF(ISNUMBER('Funnel setup'!P28),IF(VLOOKUP('Funnel setup'!P28,'Provider Commission - Raw Data'!$A:$Q,16,0)="-","",VLOOKUP('Funnel setup'!P28,'Provider Commission - Raw Data'!$A:$Q,16,0)),"")</f>
        <v>19.538699999999999</v>
      </c>
      <c r="F15" s="177">
        <f>IF(AND(ISNUMBER('Funnel setup'!P28)),'Funnel setup'!$K$9,"")</f>
        <v>22.515359017022909</v>
      </c>
      <c r="G15" s="177">
        <f>IF(AND(ISNUMBER('Funnel setup'!P28),D15&gt;=30,E15&lt;&gt;"*",D15&lt;&gt;""),F15-1.959963985 *('Funnel setup'!$K$8/SQRT('Funnel Data'!D15)),"")</f>
        <v>20.366097174923443</v>
      </c>
      <c r="H15" s="177">
        <f>IF(AND(ISNUMBER('Funnel setup'!P28),D15&gt;=30,E15&lt;&gt;"*",D15&lt;&gt;""),F15+1.959963985 *('Funnel setup'!$K$8/SQRT('Funnel Data'!D15)),"")</f>
        <v>24.664620859122376</v>
      </c>
      <c r="I15" s="177">
        <f>IF(AND(ISNUMBER('Funnel setup'!P28),D15&gt;=30,E15&lt;&gt;"*",D15&lt;&gt;""),F15-3.090232306 *('Funnel setup'!$K$8/SQRT('Funnel Data'!D15)),"")</f>
        <v>19.126664923999133</v>
      </c>
      <c r="J15" s="177">
        <f>IF(AND(ISNUMBER('Funnel setup'!P28),D15&gt;=30,E15&lt;&gt;"*",D15&lt;&gt;""),F15+3.090232306 *('Funnel setup'!$K$8/SQRT('Funnel Data'!D15)),"")</f>
        <v>25.904053110046686</v>
      </c>
      <c r="K15" s="178" t="str">
        <f>IF(AND(ISNUMBER('Funnel setup'!P28),D15&gt;=30,E15&lt;&gt;"*",D15&lt;&gt;""),IF(E15&gt;J15,'Funnel setup'!$K$15&amp;"99.8%",IF(E15&gt;H15,'Funnel setup'!$K$15&amp;"95%",IF(E15&lt;I15,'Funnel setup'!$K$16&amp;"99.8%",IF(E15&lt;G15,'Funnel setup'!$K$16&amp;"95%","")))),"")</f>
        <v>Lower 95%</v>
      </c>
    </row>
    <row r="16" spans="1:18" ht="15" customHeight="1" x14ac:dyDescent="0.35">
      <c r="B16" s="174" t="str">
        <f>IF(ISNUMBER('Funnel setup'!P29),VLOOKUP('Funnel setup'!$P29,'Provider Commission - Raw Data'!$A:$Q,5,0),"")</f>
        <v>RFF</v>
      </c>
      <c r="C16" s="175" t="str">
        <f>IF(ISNUMBER('Funnel setup'!P29),VLOOKUP('Funnel setup'!P29,'Provider Commission - Raw Data'!$A:$Q,6,0),"")</f>
        <v>BARNSLEY HOSPITAL NHS FOUNDATION TRUST (RFF)</v>
      </c>
      <c r="D16" s="176">
        <f>IF(ISNUMBER('Funnel setup'!P29),IF(VLOOKUP('Funnel setup'!P29,'Provider Commission - Raw Data'!$A:$Q,8,0)="-","",VLOOKUP('Funnel setup'!P29,'Provider Commission - Raw Data'!$A:$Q,8,0)),"")</f>
        <v>45</v>
      </c>
      <c r="E16" s="251">
        <f>IF(ISNUMBER('Funnel setup'!P29),IF(VLOOKUP('Funnel setup'!P29,'Provider Commission - Raw Data'!$A:$Q,16,0)="-","",VLOOKUP('Funnel setup'!P29,'Provider Commission - Raw Data'!$A:$Q,16,0)),"")</f>
        <v>21.2681</v>
      </c>
      <c r="F16" s="177">
        <f>IF(AND(ISNUMBER('Funnel setup'!P29)),'Funnel setup'!$K$9,"")</f>
        <v>22.515359017022909</v>
      </c>
      <c r="G16" s="177">
        <f>IF(AND(ISNUMBER('Funnel setup'!P29),D16&gt;=30,E16&lt;&gt;"*",D16&lt;&gt;""),F16-1.959963985 *('Funnel setup'!$K$8/SQRT('Funnel Data'!D16)),"")</f>
        <v>20.096444620684597</v>
      </c>
      <c r="H16" s="177">
        <f>IF(AND(ISNUMBER('Funnel setup'!P29),D16&gt;=30,E16&lt;&gt;"*",D16&lt;&gt;""),F16+1.959963985 *('Funnel setup'!$K$8/SQRT('Funnel Data'!D16)),"")</f>
        <v>24.934273413361222</v>
      </c>
      <c r="I16" s="177">
        <f>IF(AND(ISNUMBER('Funnel setup'!P29),D16&gt;=30,E16&lt;&gt;"*",D16&lt;&gt;""),F16-3.090232306 *('Funnel setup'!$K$8/SQRT('Funnel Data'!D16)),"")</f>
        <v>18.701509645187059</v>
      </c>
      <c r="J16" s="177">
        <f>IF(AND(ISNUMBER('Funnel setup'!P29),D16&gt;=30,E16&lt;&gt;"*",D16&lt;&gt;""),F16+3.090232306 *('Funnel setup'!$K$8/SQRT('Funnel Data'!D16)),"")</f>
        <v>26.32920838885876</v>
      </c>
      <c r="K16" s="178" t="str">
        <f>IF(AND(ISNUMBER('Funnel setup'!P29),D16&gt;=30,E16&lt;&gt;"*",D16&lt;&gt;""),IF(E16&gt;J16,'Funnel setup'!$K$15&amp;"99.8%",IF(E16&gt;H16,'Funnel setup'!$K$15&amp;"95%",IF(E16&lt;I16,'Funnel setup'!$K$16&amp;"99.8%",IF(E16&lt;G16,'Funnel setup'!$K$16&amp;"95%","")))),"")</f>
        <v/>
      </c>
    </row>
    <row r="17" spans="1:18" s="6" customFormat="1" ht="15" customHeight="1" x14ac:dyDescent="0.35">
      <c r="A17" s="150"/>
      <c r="B17" s="174" t="str">
        <f>IF(ISNUMBER('Funnel setup'!P30),VLOOKUP('Funnel setup'!$P30,'Provider Commission - Raw Data'!$A:$Q,5,0),"")</f>
        <v>R1H</v>
      </c>
      <c r="C17" s="175" t="str">
        <f>IF(ISNUMBER('Funnel setup'!P30),VLOOKUP('Funnel setup'!P30,'Provider Commission - Raw Data'!$A:$Q,6,0),"")</f>
        <v>BARTS HEALTH NHS TRUST (R1H)</v>
      </c>
      <c r="D17" s="176">
        <f>IF(ISNUMBER('Funnel setup'!P30),IF(VLOOKUP('Funnel setup'!P30,'Provider Commission - Raw Data'!$A:$Q,8,0)="-","",VLOOKUP('Funnel setup'!P30,'Provider Commission - Raw Data'!$A:$Q,8,0)),"")</f>
        <v>41</v>
      </c>
      <c r="E17" s="251">
        <f>IF(ISNUMBER('Funnel setup'!P30),IF(VLOOKUP('Funnel setup'!P30,'Provider Commission - Raw Data'!$A:$Q,16,0)="-","",VLOOKUP('Funnel setup'!P30,'Provider Commission - Raw Data'!$A:$Q,16,0)),"")</f>
        <v>20.8598</v>
      </c>
      <c r="F17" s="177">
        <f>IF(AND(ISNUMBER('Funnel setup'!P30)),'Funnel setup'!$K$9,"")</f>
        <v>22.515359017022909</v>
      </c>
      <c r="G17" s="177">
        <f>IF(AND(ISNUMBER('Funnel setup'!P30),D17&gt;=30,E17&lt;&gt;"*",D17&lt;&gt;""),F17-1.959963985 *('Funnel setup'!$K$8/SQRT('Funnel Data'!D17)),"")</f>
        <v>19.981194371109122</v>
      </c>
      <c r="H17" s="177">
        <f>IF(AND(ISNUMBER('Funnel setup'!P30),D17&gt;=30,E17&lt;&gt;"*",D17&lt;&gt;""),F17+1.959963985 *('Funnel setup'!$K$8/SQRT('Funnel Data'!D17)),"")</f>
        <v>25.049523662936696</v>
      </c>
      <c r="I17" s="177">
        <f>IF(AND(ISNUMBER('Funnel setup'!P30),D17&gt;=30,E17&lt;&gt;"*",D17&lt;&gt;""),F17-3.090232306 *('Funnel setup'!$K$8/SQRT('Funnel Data'!D17)),"")</f>
        <v>18.51979709983501</v>
      </c>
      <c r="J17" s="177">
        <f>IF(AND(ISNUMBER('Funnel setup'!P30),D17&gt;=30,E17&lt;&gt;"*",D17&lt;&gt;""),F17+3.090232306 *('Funnel setup'!$K$8/SQRT('Funnel Data'!D17)),"")</f>
        <v>26.510920934210809</v>
      </c>
      <c r="K17" s="178" t="str">
        <f>IF(AND(ISNUMBER('Funnel setup'!P30),D17&gt;=30,E17&lt;&gt;"*",D17&lt;&gt;""),IF(E17&gt;J17,'Funnel setup'!$K$15&amp;"99.8%",IF(E17&gt;H17,'Funnel setup'!$K$15&amp;"95%",IF(E17&lt;I17,'Funnel setup'!$K$16&amp;"99.8%",IF(E17&lt;G17,'Funnel setup'!$K$16&amp;"95%","")))),"")</f>
        <v/>
      </c>
      <c r="L17" s="4"/>
      <c r="M17" s="4"/>
      <c r="N17" s="4"/>
      <c r="O17" s="4"/>
      <c r="P17" s="4"/>
      <c r="Q17" s="4"/>
      <c r="R17" s="4"/>
    </row>
    <row r="18" spans="1:18" ht="15" customHeight="1" x14ac:dyDescent="0.35">
      <c r="B18" s="174" t="str">
        <f>IF(ISNUMBER('Funnel setup'!P31),VLOOKUP('Funnel setup'!$P31,'Provider Commission - Raw Data'!$A:$Q,5,0),"")</f>
        <v>NT402</v>
      </c>
      <c r="C18" s="175" t="str">
        <f>IF(ISNUMBER('Funnel setup'!P31),VLOOKUP('Funnel setup'!P31,'Provider Commission - Raw Data'!$A:$Q,6,0),"")</f>
        <v>BATH CLINIC (NT402)</v>
      </c>
      <c r="D18" s="176">
        <f>IF(ISNUMBER('Funnel setup'!P31),IF(VLOOKUP('Funnel setup'!P31,'Provider Commission - Raw Data'!$A:$Q,8,0)="-","",VLOOKUP('Funnel setup'!P31,'Provider Commission - Raw Data'!$A:$Q,8,0)),"")</f>
        <v>79</v>
      </c>
      <c r="E18" s="251">
        <f>IF(ISNUMBER('Funnel setup'!P31),IF(VLOOKUP('Funnel setup'!P31,'Provider Commission - Raw Data'!$A:$Q,16,0)="-","",VLOOKUP('Funnel setup'!P31,'Provider Commission - Raw Data'!$A:$Q,16,0)),"")</f>
        <v>21.6694</v>
      </c>
      <c r="F18" s="177">
        <f>IF(AND(ISNUMBER('Funnel setup'!P31)),'Funnel setup'!$K$9,"")</f>
        <v>22.515359017022909</v>
      </c>
      <c r="G18" s="177">
        <f>IF(AND(ISNUMBER('Funnel setup'!P31),D18&gt;=30,E18&lt;&gt;"*",D18&lt;&gt;""),F18-1.959963985 *('Funnel setup'!$K$8/SQRT('Funnel Data'!D18)),"")</f>
        <v>20.689727139047321</v>
      </c>
      <c r="H18" s="177">
        <f>IF(AND(ISNUMBER('Funnel setup'!P31),D18&gt;=30,E18&lt;&gt;"*",D18&lt;&gt;""),F18+1.959963985 *('Funnel setup'!$K$8/SQRT('Funnel Data'!D18)),"")</f>
        <v>24.340990894998498</v>
      </c>
      <c r="I18" s="177">
        <f>IF(AND(ISNUMBER('Funnel setup'!P31),D18&gt;=30,E18&lt;&gt;"*",D18&lt;&gt;""),F18-3.090232306 *('Funnel setup'!$K$8/SQRT('Funnel Data'!D18)),"")</f>
        <v>19.636925203258922</v>
      </c>
      <c r="J18" s="177">
        <f>IF(AND(ISNUMBER('Funnel setup'!P31),D18&gt;=30,E18&lt;&gt;"*",D18&lt;&gt;""),F18+3.090232306 *('Funnel setup'!$K$8/SQRT('Funnel Data'!D18)),"")</f>
        <v>25.393792830786897</v>
      </c>
      <c r="K18" s="178" t="str">
        <f>IF(AND(ISNUMBER('Funnel setup'!P31),D18&gt;=30,E18&lt;&gt;"*",D18&lt;&gt;""),IF(E18&gt;J18,'Funnel setup'!$K$15&amp;"99.8%",IF(E18&gt;H18,'Funnel setup'!$K$15&amp;"95%",IF(E18&lt;I18,'Funnel setup'!$K$16&amp;"99.8%",IF(E18&lt;G18,'Funnel setup'!$K$16&amp;"95%","")))),"")</f>
        <v/>
      </c>
    </row>
    <row r="19" spans="1:18" ht="15" customHeight="1" x14ac:dyDescent="0.35">
      <c r="B19" s="174" t="str">
        <f>IF(ISNUMBER('Funnel setup'!P32),VLOOKUP('Funnel setup'!$P32,'Provider Commission - Raw Data'!$A:$Q,5,0),"")</f>
        <v>NT403</v>
      </c>
      <c r="C19" s="175" t="str">
        <f>IF(ISNUMBER('Funnel setup'!P32),VLOOKUP('Funnel setup'!P32,'Provider Commission - Raw Data'!$A:$Q,6,0),"")</f>
        <v>BEARDWOOD HOSPITAL (NT403)</v>
      </c>
      <c r="D19" s="176">
        <f>IF(ISNUMBER('Funnel setup'!P32),IF(VLOOKUP('Funnel setup'!P32,'Provider Commission - Raw Data'!$A:$Q,8,0)="-","",VLOOKUP('Funnel setup'!P32,'Provider Commission - Raw Data'!$A:$Q,8,0)),"")</f>
        <v>86</v>
      </c>
      <c r="E19" s="251">
        <f>IF(ISNUMBER('Funnel setup'!P32),IF(VLOOKUP('Funnel setup'!P32,'Provider Commission - Raw Data'!$A:$Q,16,0)="-","",VLOOKUP('Funnel setup'!P32,'Provider Commission - Raw Data'!$A:$Q,16,0)),"")</f>
        <v>22.840599999999998</v>
      </c>
      <c r="F19" s="177">
        <f>IF(AND(ISNUMBER('Funnel setup'!P32)),'Funnel setup'!$K$9,"")</f>
        <v>22.515359017022909</v>
      </c>
      <c r="G19" s="177">
        <f>IF(AND(ISNUMBER('Funnel setup'!P32),D19&gt;=30,E19&lt;&gt;"*",D19&lt;&gt;""),F19-1.959963985 *('Funnel setup'!$K$8/SQRT('Funnel Data'!D19)),"")</f>
        <v>20.76560285940467</v>
      </c>
      <c r="H19" s="177">
        <f>IF(AND(ISNUMBER('Funnel setup'!P32),D19&gt;=30,E19&lt;&gt;"*",D19&lt;&gt;""),F19+1.959963985 *('Funnel setup'!$K$8/SQRT('Funnel Data'!D19)),"")</f>
        <v>24.265115174641149</v>
      </c>
      <c r="I19" s="177">
        <f>IF(AND(ISNUMBER('Funnel setup'!P32),D19&gt;=30,E19&lt;&gt;"*",D19&lt;&gt;""),F19-3.090232306 *('Funnel setup'!$K$8/SQRT('Funnel Data'!D19)),"")</f>
        <v>19.75655679041245</v>
      </c>
      <c r="J19" s="177">
        <f>IF(AND(ISNUMBER('Funnel setup'!P32),D19&gt;=30,E19&lt;&gt;"*",D19&lt;&gt;""),F19+3.090232306 *('Funnel setup'!$K$8/SQRT('Funnel Data'!D19)),"")</f>
        <v>25.274161243633369</v>
      </c>
      <c r="K19" s="178" t="str">
        <f>IF(AND(ISNUMBER('Funnel setup'!P32),D19&gt;=30,E19&lt;&gt;"*",D19&lt;&gt;""),IF(E19&gt;J19,'Funnel setup'!$K$15&amp;"99.8%",IF(E19&gt;H19,'Funnel setup'!$K$15&amp;"95%",IF(E19&lt;I19,'Funnel setup'!$K$16&amp;"99.8%",IF(E19&lt;G19,'Funnel setup'!$K$16&amp;"95%","")))),"")</f>
        <v/>
      </c>
    </row>
    <row r="20" spans="1:18" ht="15" customHeight="1" x14ac:dyDescent="0.35">
      <c r="B20" s="174" t="str">
        <f>IF(ISNUMBER('Funnel setup'!P33),VLOOKUP('Funnel setup'!$P33,'Provider Commission - Raw Data'!$A:$Q,5,0),"")</f>
        <v>NT404</v>
      </c>
      <c r="C20" s="175" t="str">
        <f>IF(ISNUMBER('Funnel setup'!P33),VLOOKUP('Funnel setup'!P33,'Provider Commission - Raw Data'!$A:$Q,6,0),"")</f>
        <v>BEAUMONT HOSPITAL (NT404)</v>
      </c>
      <c r="D20" s="176">
        <f>IF(ISNUMBER('Funnel setup'!P33),IF(VLOOKUP('Funnel setup'!P33,'Provider Commission - Raw Data'!$A:$Q,8,0)="-","",VLOOKUP('Funnel setup'!P33,'Provider Commission - Raw Data'!$A:$Q,8,0)),"")</f>
        <v>15</v>
      </c>
      <c r="E20" s="251" t="str">
        <f>IF(ISNUMBER('Funnel setup'!P33),IF(VLOOKUP('Funnel setup'!P33,'Provider Commission - Raw Data'!$A:$Q,16,0)="-","",VLOOKUP('Funnel setup'!P33,'Provider Commission - Raw Data'!$A:$Q,16,0)),"")</f>
        <v>*</v>
      </c>
      <c r="F20" s="177">
        <f>IF(AND(ISNUMBER('Funnel setup'!P33)),'Funnel setup'!$K$9,"")</f>
        <v>22.515359017022909</v>
      </c>
      <c r="G20" s="177" t="str">
        <f>IF(AND(ISNUMBER('Funnel setup'!P33),D20&gt;=30,E20&lt;&gt;"*",D20&lt;&gt;""),F20-1.959963985 *('Funnel setup'!$K$8/SQRT('Funnel Data'!D20)),"")</f>
        <v/>
      </c>
      <c r="H20" s="177" t="str">
        <f>IF(AND(ISNUMBER('Funnel setup'!P33),D20&gt;=30,E20&lt;&gt;"*",D20&lt;&gt;""),F20+1.959963985 *('Funnel setup'!$K$8/SQRT('Funnel Data'!D20)),"")</f>
        <v/>
      </c>
      <c r="I20" s="177" t="str">
        <f>IF(AND(ISNUMBER('Funnel setup'!P33),D20&gt;=30,E20&lt;&gt;"*",D20&lt;&gt;""),F20-3.090232306 *('Funnel setup'!$K$8/SQRT('Funnel Data'!D20)),"")</f>
        <v/>
      </c>
      <c r="J20" s="177" t="str">
        <f>IF(AND(ISNUMBER('Funnel setup'!P33),D20&gt;=30,E20&lt;&gt;"*",D20&lt;&gt;""),F20+3.090232306 *('Funnel setup'!$K$8/SQRT('Funnel Data'!D20)),"")</f>
        <v/>
      </c>
      <c r="K20" s="178" t="str">
        <f>IF(AND(ISNUMBER('Funnel setup'!P33),D20&gt;=30,E20&lt;&gt;"*",D20&lt;&gt;""),IF(E20&gt;J20,'Funnel setup'!$K$15&amp;"99.8%",IF(E20&gt;H20,'Funnel setup'!$K$15&amp;"95%",IF(E20&lt;I20,'Funnel setup'!$K$16&amp;"99.8%",IF(E20&lt;G20,'Funnel setup'!$K$16&amp;"95%","")))),"")</f>
        <v/>
      </c>
    </row>
    <row r="21" spans="1:18" ht="15" customHeight="1" x14ac:dyDescent="0.35">
      <c r="B21" s="174" t="str">
        <f>IF(ISNUMBER('Funnel setup'!P34),VLOOKUP('Funnel setup'!$P34,'Provider Commission - Raw Data'!$A:$Q,5,0),"")</f>
        <v>RC9</v>
      </c>
      <c r="C21" s="175" t="str">
        <f>IF(ISNUMBER('Funnel setup'!P34),VLOOKUP('Funnel setup'!P34,'Provider Commission - Raw Data'!$A:$Q,6,0),"")</f>
        <v>BEDFORDSHIRE HOSPITALS NHS FOUNDATION TRUST (RC9)</v>
      </c>
      <c r="D21" s="176">
        <f>IF(ISNUMBER('Funnel setup'!P34),IF(VLOOKUP('Funnel setup'!P34,'Provider Commission - Raw Data'!$A:$Q,8,0)="-","",VLOOKUP('Funnel setup'!P34,'Provider Commission - Raw Data'!$A:$Q,8,0)),"")</f>
        <v>131</v>
      </c>
      <c r="E21" s="251">
        <f>IF(ISNUMBER('Funnel setup'!P34),IF(VLOOKUP('Funnel setup'!P34,'Provider Commission - Raw Data'!$A:$Q,16,0)="-","",VLOOKUP('Funnel setup'!P34,'Provider Commission - Raw Data'!$A:$Q,16,0)),"")</f>
        <v>20.761800000000001</v>
      </c>
      <c r="F21" s="177">
        <f>IF(AND(ISNUMBER('Funnel setup'!P34)),'Funnel setup'!$K$9,"")</f>
        <v>22.515359017022909</v>
      </c>
      <c r="G21" s="177">
        <f>IF(AND(ISNUMBER('Funnel setup'!P34),D21&gt;=30,E21&lt;&gt;"*",D21&lt;&gt;""),F21-1.959963985 *('Funnel setup'!$K$8/SQRT('Funnel Data'!D21)),"")</f>
        <v>21.097636920425714</v>
      </c>
      <c r="H21" s="177">
        <f>IF(AND(ISNUMBER('Funnel setup'!P34),D21&gt;=30,E21&lt;&gt;"*",D21&lt;&gt;""),F21+1.959963985 *('Funnel setup'!$K$8/SQRT('Funnel Data'!D21)),"")</f>
        <v>23.933081113620105</v>
      </c>
      <c r="I21" s="177">
        <f>IF(AND(ISNUMBER('Funnel setup'!P34),D21&gt;=30,E21&lt;&gt;"*",D21&lt;&gt;""),F21-3.090232306 *('Funnel setup'!$K$8/SQRT('Funnel Data'!D21)),"")</f>
        <v>20.280067625260571</v>
      </c>
      <c r="J21" s="177">
        <f>IF(AND(ISNUMBER('Funnel setup'!P34),D21&gt;=30,E21&lt;&gt;"*",D21&lt;&gt;""),F21+3.090232306 *('Funnel setup'!$K$8/SQRT('Funnel Data'!D21)),"")</f>
        <v>24.750650408785248</v>
      </c>
      <c r="K21" s="178" t="str">
        <f>IF(AND(ISNUMBER('Funnel setup'!P34),D21&gt;=30,E21&lt;&gt;"*",D21&lt;&gt;""),IF(E21&gt;J21,'Funnel setup'!$K$15&amp;"99.8%",IF(E21&gt;H21,'Funnel setup'!$K$15&amp;"95%",IF(E21&lt;I21,'Funnel setup'!$K$16&amp;"99.8%",IF(E21&lt;G21,'Funnel setup'!$K$16&amp;"95%","")))),"")</f>
        <v>Lower 95%</v>
      </c>
    </row>
    <row r="22" spans="1:18" ht="15" customHeight="1" x14ac:dyDescent="0.35">
      <c r="B22" s="174" t="str">
        <f>IF(ISNUMBER('Funnel setup'!P35),VLOOKUP('Funnel setup'!$P35,'Provider Commission - Raw Data'!$A:$Q,5,0),"")</f>
        <v>NWF01</v>
      </c>
      <c r="C22" s="175" t="str">
        <f>IF(ISNUMBER('Funnel setup'!P35),VLOOKUP('Funnel setup'!P35,'Provider Commission - Raw Data'!$A:$Q,6,0),"")</f>
        <v>BENENDEN HOSPITAL (NWF01)</v>
      </c>
      <c r="D22" s="176">
        <f>IF(ISNUMBER('Funnel setup'!P35),IF(VLOOKUP('Funnel setup'!P35,'Provider Commission - Raw Data'!$A:$Q,8,0)="-","",VLOOKUP('Funnel setup'!P35,'Provider Commission - Raw Data'!$A:$Q,8,0)),"")</f>
        <v>20</v>
      </c>
      <c r="E22" s="251" t="str">
        <f>IF(ISNUMBER('Funnel setup'!P35),IF(VLOOKUP('Funnel setup'!P35,'Provider Commission - Raw Data'!$A:$Q,16,0)="-","",VLOOKUP('Funnel setup'!P35,'Provider Commission - Raw Data'!$A:$Q,16,0)),"")</f>
        <v>*</v>
      </c>
      <c r="F22" s="177">
        <f>IF(AND(ISNUMBER('Funnel setup'!P35)),'Funnel setup'!$K$9,"")</f>
        <v>22.515359017022909</v>
      </c>
      <c r="G22" s="177" t="str">
        <f>IF(AND(ISNUMBER('Funnel setup'!P35),D22&gt;=30,E22&lt;&gt;"*",D22&lt;&gt;""),F22-1.959963985 *('Funnel setup'!$K$8/SQRT('Funnel Data'!D22)),"")</f>
        <v/>
      </c>
      <c r="H22" s="177" t="str">
        <f>IF(AND(ISNUMBER('Funnel setup'!P35),D22&gt;=30,E22&lt;&gt;"*",D22&lt;&gt;""),F22+1.959963985 *('Funnel setup'!$K$8/SQRT('Funnel Data'!D22)),"")</f>
        <v/>
      </c>
      <c r="I22" s="177" t="str">
        <f>IF(AND(ISNUMBER('Funnel setup'!P35),D22&gt;=30,E22&lt;&gt;"*",D22&lt;&gt;""),F22-3.090232306 *('Funnel setup'!$K$8/SQRT('Funnel Data'!D22)),"")</f>
        <v/>
      </c>
      <c r="J22" s="177" t="str">
        <f>IF(AND(ISNUMBER('Funnel setup'!P35),D22&gt;=30,E22&lt;&gt;"*",D22&lt;&gt;""),F22+3.090232306 *('Funnel setup'!$K$8/SQRT('Funnel Data'!D22)),"")</f>
        <v/>
      </c>
      <c r="K22" s="178" t="str">
        <f>IF(AND(ISNUMBER('Funnel setup'!P35),D22&gt;=30,E22&lt;&gt;"*",D22&lt;&gt;""),IF(E22&gt;J22,'Funnel setup'!$K$15&amp;"99.8%",IF(E22&gt;H22,'Funnel setup'!$K$15&amp;"95%",IF(E22&lt;I22,'Funnel setup'!$K$16&amp;"99.8%",IF(E22&lt;G22,'Funnel setup'!$K$16&amp;"95%","")))),"")</f>
        <v/>
      </c>
    </row>
    <row r="23" spans="1:18" ht="15" customHeight="1" x14ac:dyDescent="0.35">
      <c r="B23" s="174" t="str">
        <f>IF(ISNUMBER('Funnel setup'!P36),VLOOKUP('Funnel setup'!$P36,'Provider Commission - Raw Data'!$A:$Q,5,0),"")</f>
        <v>NT405</v>
      </c>
      <c r="C23" s="175" t="str">
        <f>IF(ISNUMBER('Funnel setup'!P36),VLOOKUP('Funnel setup'!P36,'Provider Commission - Raw Data'!$A:$Q,6,0),"")</f>
        <v>BISHOPS WOOD HOSPITAL (NT405)</v>
      </c>
      <c r="D23" s="176">
        <f>IF(ISNUMBER('Funnel setup'!P36),IF(VLOOKUP('Funnel setup'!P36,'Provider Commission - Raw Data'!$A:$Q,8,0)="-","",VLOOKUP('Funnel setup'!P36,'Provider Commission - Raw Data'!$A:$Q,8,0)),"")</f>
        <v>4</v>
      </c>
      <c r="E23" s="251" t="str">
        <f>IF(ISNUMBER('Funnel setup'!P36),IF(VLOOKUP('Funnel setup'!P36,'Provider Commission - Raw Data'!$A:$Q,16,0)="-","",VLOOKUP('Funnel setup'!P36,'Provider Commission - Raw Data'!$A:$Q,16,0)),"")</f>
        <v>*</v>
      </c>
      <c r="F23" s="177">
        <f>IF(AND(ISNUMBER('Funnel setup'!P36)),'Funnel setup'!$K$9,"")</f>
        <v>22.515359017022909</v>
      </c>
      <c r="G23" s="177" t="str">
        <f>IF(AND(ISNUMBER('Funnel setup'!P36),D23&gt;=30,E23&lt;&gt;"*",D23&lt;&gt;""),F23-1.959963985 *('Funnel setup'!$K$8/SQRT('Funnel Data'!D23)),"")</f>
        <v/>
      </c>
      <c r="H23" s="177" t="str">
        <f>IF(AND(ISNUMBER('Funnel setup'!P36),D23&gt;=30,E23&lt;&gt;"*",D23&lt;&gt;""),F23+1.959963985 *('Funnel setup'!$K$8/SQRT('Funnel Data'!D23)),"")</f>
        <v/>
      </c>
      <c r="I23" s="177" t="str">
        <f>IF(AND(ISNUMBER('Funnel setup'!P36),D23&gt;=30,E23&lt;&gt;"*",D23&lt;&gt;""),F23-3.090232306 *('Funnel setup'!$K$8/SQRT('Funnel Data'!D23)),"")</f>
        <v/>
      </c>
      <c r="J23" s="177" t="str">
        <f>IF(AND(ISNUMBER('Funnel setup'!P36),D23&gt;=30,E23&lt;&gt;"*",D23&lt;&gt;""),F23+3.090232306 *('Funnel setup'!$K$8/SQRT('Funnel Data'!D23)),"")</f>
        <v/>
      </c>
      <c r="K23" s="178" t="str">
        <f>IF(AND(ISNUMBER('Funnel setup'!P36),D23&gt;=30,E23&lt;&gt;"*",D23&lt;&gt;""),IF(E23&gt;J23,'Funnel setup'!$K$15&amp;"99.8%",IF(E23&gt;H23,'Funnel setup'!$K$15&amp;"95%",IF(E23&lt;I23,'Funnel setup'!$K$16&amp;"99.8%",IF(E23&lt;G23,'Funnel setup'!$K$16&amp;"95%","")))),"")</f>
        <v/>
      </c>
    </row>
    <row r="24" spans="1:18" ht="15" customHeight="1" x14ac:dyDescent="0.35">
      <c r="B24" s="174" t="str">
        <f>IF(ISNUMBER('Funnel setup'!P37),VLOOKUP('Funnel setup'!$P37,'Provider Commission - Raw Data'!$A:$Q,5,0),"")</f>
        <v>NT406</v>
      </c>
      <c r="C24" s="175" t="str">
        <f>IF(ISNUMBER('Funnel setup'!P37),VLOOKUP('Funnel setup'!P37,'Provider Commission - Raw Data'!$A:$Q,6,0),"")</f>
        <v>BLACKHEATH HOSPITAL (NT406)</v>
      </c>
      <c r="D24" s="176">
        <f>IF(ISNUMBER('Funnel setup'!P37),IF(VLOOKUP('Funnel setup'!P37,'Provider Commission - Raw Data'!$A:$Q,8,0)="-","",VLOOKUP('Funnel setup'!P37,'Provider Commission - Raw Data'!$A:$Q,8,0)),"")</f>
        <v>14</v>
      </c>
      <c r="E24" s="251" t="str">
        <f>IF(ISNUMBER('Funnel setup'!P37),IF(VLOOKUP('Funnel setup'!P37,'Provider Commission - Raw Data'!$A:$Q,16,0)="-","",VLOOKUP('Funnel setup'!P37,'Provider Commission - Raw Data'!$A:$Q,16,0)),"")</f>
        <v>*</v>
      </c>
      <c r="F24" s="177">
        <f>IF(AND(ISNUMBER('Funnel setup'!P37)),'Funnel setup'!$K$9,"")</f>
        <v>22.515359017022909</v>
      </c>
      <c r="G24" s="177" t="str">
        <f>IF(AND(ISNUMBER('Funnel setup'!P37),D24&gt;=30,E24&lt;&gt;"*",D24&lt;&gt;""),F24-1.959963985 *('Funnel setup'!$K$8/SQRT('Funnel Data'!D24)),"")</f>
        <v/>
      </c>
      <c r="H24" s="177" t="str">
        <f>IF(AND(ISNUMBER('Funnel setup'!P37),D24&gt;=30,E24&lt;&gt;"*",D24&lt;&gt;""),F24+1.959963985 *('Funnel setup'!$K$8/SQRT('Funnel Data'!D24)),"")</f>
        <v/>
      </c>
      <c r="I24" s="177" t="str">
        <f>IF(AND(ISNUMBER('Funnel setup'!P37),D24&gt;=30,E24&lt;&gt;"*",D24&lt;&gt;""),F24-3.090232306 *('Funnel setup'!$K$8/SQRT('Funnel Data'!D24)),"")</f>
        <v/>
      </c>
      <c r="J24" s="177" t="str">
        <f>IF(AND(ISNUMBER('Funnel setup'!P37),D24&gt;=30,E24&lt;&gt;"*",D24&lt;&gt;""),F24+3.090232306 *('Funnel setup'!$K$8/SQRT('Funnel Data'!D24)),"")</f>
        <v/>
      </c>
      <c r="K24" s="178" t="str">
        <f>IF(AND(ISNUMBER('Funnel setup'!P37),D24&gt;=30,E24&lt;&gt;"*",D24&lt;&gt;""),IF(E24&gt;J24,'Funnel setup'!$K$15&amp;"99.8%",IF(E24&gt;H24,'Funnel setup'!$K$15&amp;"95%",IF(E24&lt;I24,'Funnel setup'!$K$16&amp;"99.8%",IF(E24&lt;G24,'Funnel setup'!$K$16&amp;"95%","")))),"")</f>
        <v/>
      </c>
    </row>
    <row r="25" spans="1:18" ht="15" customHeight="1" x14ac:dyDescent="0.35">
      <c r="B25" s="174" t="str">
        <f>IF(ISNUMBER('Funnel setup'!P38),VLOOKUP('Funnel setup'!$P38,'Provider Commission - Raw Data'!$A:$Q,5,0),"")</f>
        <v>RXL</v>
      </c>
      <c r="C25" s="175" t="str">
        <f>IF(ISNUMBER('Funnel setup'!P38),VLOOKUP('Funnel setup'!P38,'Provider Commission - Raw Data'!$A:$Q,6,0),"")</f>
        <v>BLACKPOOL TEACHING HOSPITALS NHS FOUNDATION TRUST (RXL)</v>
      </c>
      <c r="D25" s="176">
        <f>IF(ISNUMBER('Funnel setup'!P38),IF(VLOOKUP('Funnel setup'!P38,'Provider Commission - Raw Data'!$A:$Q,8,0)="-","",VLOOKUP('Funnel setup'!P38,'Provider Commission - Raw Data'!$A:$Q,8,0)),"")</f>
        <v>56</v>
      </c>
      <c r="E25" s="251">
        <f>IF(ISNUMBER('Funnel setup'!P38),IF(VLOOKUP('Funnel setup'!P38,'Provider Commission - Raw Data'!$A:$Q,16,0)="-","",VLOOKUP('Funnel setup'!P38,'Provider Commission - Raw Data'!$A:$Q,16,0)),"")</f>
        <v>19.974900000000002</v>
      </c>
      <c r="F25" s="177">
        <f>IF(AND(ISNUMBER('Funnel setup'!P38)),'Funnel setup'!$K$9,"")</f>
        <v>22.515359017022909</v>
      </c>
      <c r="G25" s="177">
        <f>IF(AND(ISNUMBER('Funnel setup'!P38),D25&gt;=30,E25&lt;&gt;"*",D25&lt;&gt;""),F25-1.959963985 *('Funnel setup'!$K$8/SQRT('Funnel Data'!D25)),"")</f>
        <v>20.34699224949712</v>
      </c>
      <c r="H25" s="177">
        <f>IF(AND(ISNUMBER('Funnel setup'!P38),D25&gt;=30,E25&lt;&gt;"*",D25&lt;&gt;""),F25+1.959963985 *('Funnel setup'!$K$8/SQRT('Funnel Data'!D25)),"")</f>
        <v>24.683725784548699</v>
      </c>
      <c r="I25" s="177">
        <f>IF(AND(ISNUMBER('Funnel setup'!P38),D25&gt;=30,E25&lt;&gt;"*",D25&lt;&gt;""),F25-3.090232306 *('Funnel setup'!$K$8/SQRT('Funnel Data'!D25)),"")</f>
        <v>19.09654260634025</v>
      </c>
      <c r="J25" s="177">
        <f>IF(AND(ISNUMBER('Funnel setup'!P38),D25&gt;=30,E25&lt;&gt;"*",D25&lt;&gt;""),F25+3.090232306 *('Funnel setup'!$K$8/SQRT('Funnel Data'!D25)),"")</f>
        <v>25.934175427705568</v>
      </c>
      <c r="K25" s="178" t="str">
        <f>IF(AND(ISNUMBER('Funnel setup'!P38),D25&gt;=30,E25&lt;&gt;"*",D25&lt;&gt;""),IF(E25&gt;J25,'Funnel setup'!$K$15&amp;"99.8%",IF(E25&gt;H25,'Funnel setup'!$K$15&amp;"95%",IF(E25&lt;I25,'Funnel setup'!$K$16&amp;"99.8%",IF(E25&lt;G25,'Funnel setup'!$K$16&amp;"95%","")))),"")</f>
        <v>Lower 95%</v>
      </c>
    </row>
    <row r="26" spans="1:18" ht="15" customHeight="1" x14ac:dyDescent="0.35">
      <c r="B26" s="174" t="str">
        <f>IF(ISNUMBER('Funnel setup'!P39),VLOOKUP('Funnel setup'!$P39,'Provider Commission - Raw Data'!$A:$Q,5,0),"")</f>
        <v>RMC</v>
      </c>
      <c r="C26" s="175" t="str">
        <f>IF(ISNUMBER('Funnel setup'!P39),VLOOKUP('Funnel setup'!P39,'Provider Commission - Raw Data'!$A:$Q,6,0),"")</f>
        <v>BOLTON NHS FOUNDATION TRUST (RMC)</v>
      </c>
      <c r="D26" s="176">
        <f>IF(ISNUMBER('Funnel setup'!P39),IF(VLOOKUP('Funnel setup'!P39,'Provider Commission - Raw Data'!$A:$Q,8,0)="-","",VLOOKUP('Funnel setup'!P39,'Provider Commission - Raw Data'!$A:$Q,8,0)),"")</f>
        <v>44</v>
      </c>
      <c r="E26" s="251">
        <f>IF(ISNUMBER('Funnel setup'!P39),IF(VLOOKUP('Funnel setup'!P39,'Provider Commission - Raw Data'!$A:$Q,16,0)="-","",VLOOKUP('Funnel setup'!P39,'Provider Commission - Raw Data'!$A:$Q,16,0)),"")</f>
        <v>22.381799999999998</v>
      </c>
      <c r="F26" s="177">
        <f>IF(AND(ISNUMBER('Funnel setup'!P39)),'Funnel setup'!$K$9,"")</f>
        <v>22.515359017022909</v>
      </c>
      <c r="G26" s="177">
        <f>IF(AND(ISNUMBER('Funnel setup'!P39),D26&gt;=30,E26&lt;&gt;"*",D26&lt;&gt;""),F26-1.959963985 *('Funnel setup'!$K$8/SQRT('Funnel Data'!D26)),"")</f>
        <v>20.06911138704044</v>
      </c>
      <c r="H26" s="177">
        <f>IF(AND(ISNUMBER('Funnel setup'!P39),D26&gt;=30,E26&lt;&gt;"*",D26&lt;&gt;""),F26+1.959963985 *('Funnel setup'!$K$8/SQRT('Funnel Data'!D26)),"")</f>
        <v>24.961606647005379</v>
      </c>
      <c r="I26" s="177">
        <f>IF(AND(ISNUMBER('Funnel setup'!P39),D26&gt;=30,E26&lt;&gt;"*",D26&lt;&gt;""),F26-3.090232306 *('Funnel setup'!$K$8/SQRT('Funnel Data'!D26)),"")</f>
        <v>18.658413934102033</v>
      </c>
      <c r="J26" s="177">
        <f>IF(AND(ISNUMBER('Funnel setup'!P39),D26&gt;=30,E26&lt;&gt;"*",D26&lt;&gt;""),F26+3.090232306 *('Funnel setup'!$K$8/SQRT('Funnel Data'!D26)),"")</f>
        <v>26.372304099943786</v>
      </c>
      <c r="K26" s="178" t="str">
        <f>IF(AND(ISNUMBER('Funnel setup'!P39),D26&gt;=30,E26&lt;&gt;"*",D26&lt;&gt;""),IF(E26&gt;J26,'Funnel setup'!$K$15&amp;"99.8%",IF(E26&gt;H26,'Funnel setup'!$K$15&amp;"95%",IF(E26&lt;I26,'Funnel setup'!$K$16&amp;"99.8%",IF(E26&lt;G26,'Funnel setup'!$K$16&amp;"95%","")))),"")</f>
        <v/>
      </c>
    </row>
    <row r="27" spans="1:18" ht="15" customHeight="1" x14ac:dyDescent="0.35">
      <c r="B27" s="174" t="str">
        <f>IF(ISNUMBER('Funnel setup'!P40),VLOOKUP('Funnel setup'!$P40,'Provider Commission - Raw Data'!$A:$Q,5,0),"")</f>
        <v>RAE</v>
      </c>
      <c r="C27" s="175" t="str">
        <f>IF(ISNUMBER('Funnel setup'!P40),VLOOKUP('Funnel setup'!P40,'Provider Commission - Raw Data'!$A:$Q,6,0),"")</f>
        <v>BRADFORD TEACHING HOSPITALS NHS FOUNDATION TRUST (RAE)</v>
      </c>
      <c r="D27" s="176">
        <f>IF(ISNUMBER('Funnel setup'!P40),IF(VLOOKUP('Funnel setup'!P40,'Provider Commission - Raw Data'!$A:$Q,8,0)="-","",VLOOKUP('Funnel setup'!P40,'Provider Commission - Raw Data'!$A:$Q,8,0)),"")</f>
        <v>4</v>
      </c>
      <c r="E27" s="251" t="str">
        <f>IF(ISNUMBER('Funnel setup'!P40),IF(VLOOKUP('Funnel setup'!P40,'Provider Commission - Raw Data'!$A:$Q,16,0)="-","",VLOOKUP('Funnel setup'!P40,'Provider Commission - Raw Data'!$A:$Q,16,0)),"")</f>
        <v>*</v>
      </c>
      <c r="F27" s="177">
        <f>IF(AND(ISNUMBER('Funnel setup'!P40)),'Funnel setup'!$K$9,"")</f>
        <v>22.515359017022909</v>
      </c>
      <c r="G27" s="177" t="str">
        <f>IF(AND(ISNUMBER('Funnel setup'!P40),D27&gt;=30,E27&lt;&gt;"*",D27&lt;&gt;""),F27-1.959963985 *('Funnel setup'!$K$8/SQRT('Funnel Data'!D27)),"")</f>
        <v/>
      </c>
      <c r="H27" s="177" t="str">
        <f>IF(AND(ISNUMBER('Funnel setup'!P40),D27&gt;=30,E27&lt;&gt;"*",D27&lt;&gt;""),F27+1.959963985 *('Funnel setup'!$K$8/SQRT('Funnel Data'!D27)),"")</f>
        <v/>
      </c>
      <c r="I27" s="177" t="str">
        <f>IF(AND(ISNUMBER('Funnel setup'!P40),D27&gt;=30,E27&lt;&gt;"*",D27&lt;&gt;""),F27-3.090232306 *('Funnel setup'!$K$8/SQRT('Funnel Data'!D27)),"")</f>
        <v/>
      </c>
      <c r="J27" s="177" t="str">
        <f>IF(AND(ISNUMBER('Funnel setup'!P40),D27&gt;=30,E27&lt;&gt;"*",D27&lt;&gt;""),F27+3.090232306 *('Funnel setup'!$K$8/SQRT('Funnel Data'!D27)),"")</f>
        <v/>
      </c>
      <c r="K27" s="178" t="str">
        <f>IF(AND(ISNUMBER('Funnel setup'!P40),D27&gt;=30,E27&lt;&gt;"*",D27&lt;&gt;""),IF(E27&gt;J27,'Funnel setup'!$K$15&amp;"99.8%",IF(E27&gt;H27,'Funnel setup'!$K$15&amp;"95%",IF(E27&lt;I27,'Funnel setup'!$K$16&amp;"99.8%",IF(E27&lt;G27,'Funnel setup'!$K$16&amp;"95%","")))),"")</f>
        <v/>
      </c>
    </row>
    <row r="28" spans="1:18" ht="15" customHeight="1" x14ac:dyDescent="0.35">
      <c r="B28" s="174" t="str">
        <f>IF(ISNUMBER('Funnel setup'!P41),VLOOKUP('Funnel setup'!$P41,'Provider Commission - Raw Data'!$A:$Q,5,0),"")</f>
        <v>RXQ</v>
      </c>
      <c r="C28" s="175" t="str">
        <f>IF(ISNUMBER('Funnel setup'!P41),VLOOKUP('Funnel setup'!P41,'Provider Commission - Raw Data'!$A:$Q,6,0),"")</f>
        <v>BUCKINGHAMSHIRE HEALTHCARE NHS TRUST (RXQ)</v>
      </c>
      <c r="D28" s="176">
        <f>IF(ISNUMBER('Funnel setup'!P41),IF(VLOOKUP('Funnel setup'!P41,'Provider Commission - Raw Data'!$A:$Q,8,0)="-","",VLOOKUP('Funnel setup'!P41,'Provider Commission - Raw Data'!$A:$Q,8,0)),"")</f>
        <v>97</v>
      </c>
      <c r="E28" s="251">
        <f>IF(ISNUMBER('Funnel setup'!P41),IF(VLOOKUP('Funnel setup'!P41,'Provider Commission - Raw Data'!$A:$Q,16,0)="-","",VLOOKUP('Funnel setup'!P41,'Provider Commission - Raw Data'!$A:$Q,16,0)),"")</f>
        <v>20.348299999999998</v>
      </c>
      <c r="F28" s="177">
        <f>IF(AND(ISNUMBER('Funnel setup'!P41)),'Funnel setup'!$K$9,"")</f>
        <v>22.515359017022909</v>
      </c>
      <c r="G28" s="177">
        <f>IF(AND(ISNUMBER('Funnel setup'!P41),D28&gt;=30,E28&lt;&gt;"*",D28&lt;&gt;""),F28-1.959963985 *('Funnel setup'!$K$8/SQRT('Funnel Data'!D28)),"")</f>
        <v>20.867800346520344</v>
      </c>
      <c r="H28" s="177">
        <f>IF(AND(ISNUMBER('Funnel setup'!P41),D28&gt;=30,E28&lt;&gt;"*",D28&lt;&gt;""),F28+1.959963985 *('Funnel setup'!$K$8/SQRT('Funnel Data'!D28)),"")</f>
        <v>24.162917687525475</v>
      </c>
      <c r="I28" s="177">
        <f>IF(AND(ISNUMBER('Funnel setup'!P41),D28&gt;=30,E28&lt;&gt;"*",D28&lt;&gt;""),F28-3.090232306 *('Funnel setup'!$K$8/SQRT('Funnel Data'!D28)),"")</f>
        <v>19.917689330955984</v>
      </c>
      <c r="J28" s="177">
        <f>IF(AND(ISNUMBER('Funnel setup'!P41),D28&gt;=30,E28&lt;&gt;"*",D28&lt;&gt;""),F28+3.090232306 *('Funnel setup'!$K$8/SQRT('Funnel Data'!D28)),"")</f>
        <v>25.113028703089835</v>
      </c>
      <c r="K28" s="178" t="str">
        <f>IF(AND(ISNUMBER('Funnel setup'!P41),D28&gt;=30,E28&lt;&gt;"*",D28&lt;&gt;""),IF(E28&gt;J28,'Funnel setup'!$K$15&amp;"99.8%",IF(E28&gt;H28,'Funnel setup'!$K$15&amp;"95%",IF(E28&lt;I28,'Funnel setup'!$K$16&amp;"99.8%",IF(E28&lt;G28,'Funnel setup'!$K$16&amp;"95%","")))),"")</f>
        <v>Lower 95%</v>
      </c>
    </row>
    <row r="29" spans="1:18" ht="15" customHeight="1" x14ac:dyDescent="0.35">
      <c r="B29" s="174" t="str">
        <f>IF(ISNUMBER('Funnel setup'!P42),VLOOKUP('Funnel setup'!$P42,'Provider Commission - Raw Data'!$A:$Q,5,0),"")</f>
        <v>RWY</v>
      </c>
      <c r="C29" s="175" t="str">
        <f>IF(ISNUMBER('Funnel setup'!P42),VLOOKUP('Funnel setup'!P42,'Provider Commission - Raw Data'!$A:$Q,6,0),"")</f>
        <v>CALDERDALE AND HUDDERSFIELD NHS FOUNDATION TRUST (RWY)</v>
      </c>
      <c r="D29" s="176">
        <f>IF(ISNUMBER('Funnel setup'!P42),IF(VLOOKUP('Funnel setup'!P42,'Provider Commission - Raw Data'!$A:$Q,8,0)="-","",VLOOKUP('Funnel setup'!P42,'Provider Commission - Raw Data'!$A:$Q,8,0)),"")</f>
        <v>104</v>
      </c>
      <c r="E29" s="251">
        <f>IF(ISNUMBER('Funnel setup'!P42),IF(VLOOKUP('Funnel setup'!P42,'Provider Commission - Raw Data'!$A:$Q,16,0)="-","",VLOOKUP('Funnel setup'!P42,'Provider Commission - Raw Data'!$A:$Q,16,0)),"")</f>
        <v>23.5565</v>
      </c>
      <c r="F29" s="177">
        <f>IF(AND(ISNUMBER('Funnel setup'!P42)),'Funnel setup'!$K$9,"")</f>
        <v>22.515359017022909</v>
      </c>
      <c r="G29" s="177">
        <f>IF(AND(ISNUMBER('Funnel setup'!P42),D29&gt;=30,E29&lt;&gt;"*",D29&lt;&gt;""),F29-1.959963985 *('Funnel setup'!$K$8/SQRT('Funnel Data'!D29)),"")</f>
        <v>20.924212815028607</v>
      </c>
      <c r="H29" s="177">
        <f>IF(AND(ISNUMBER('Funnel setup'!P42),D29&gt;=30,E29&lt;&gt;"*",D29&lt;&gt;""),F29+1.959963985 *('Funnel setup'!$K$8/SQRT('Funnel Data'!D29)),"")</f>
        <v>24.106505219017212</v>
      </c>
      <c r="I29" s="177">
        <f>IF(AND(ISNUMBER('Funnel setup'!P42),D29&gt;=30,E29&lt;&gt;"*",D29&lt;&gt;""),F29-3.090232306 *('Funnel setup'!$K$8/SQRT('Funnel Data'!D29)),"")</f>
        <v>20.006633635024627</v>
      </c>
      <c r="J29" s="177">
        <f>IF(AND(ISNUMBER('Funnel setup'!P42),D29&gt;=30,E29&lt;&gt;"*",D29&lt;&gt;""),F29+3.090232306 *('Funnel setup'!$K$8/SQRT('Funnel Data'!D29)),"")</f>
        <v>25.024084399021191</v>
      </c>
      <c r="K29" s="178" t="str">
        <f>IF(AND(ISNUMBER('Funnel setup'!P42),D29&gt;=30,E29&lt;&gt;"*",D29&lt;&gt;""),IF(E29&gt;J29,'Funnel setup'!$K$15&amp;"99.8%",IF(E29&gt;H29,'Funnel setup'!$K$15&amp;"95%",IF(E29&lt;I29,'Funnel setup'!$K$16&amp;"99.8%",IF(E29&lt;G29,'Funnel setup'!$K$16&amp;"95%","")))),"")</f>
        <v/>
      </c>
    </row>
    <row r="30" spans="1:18" ht="15" customHeight="1" x14ac:dyDescent="0.35">
      <c r="B30" s="174" t="str">
        <f>IF(ISNUMBER('Funnel setup'!P43),VLOOKUP('Funnel setup'!$P43,'Provider Commission - Raw Data'!$A:$Q,5,0),"")</f>
        <v>RGT</v>
      </c>
      <c r="C30" s="175" t="str">
        <f>IF(ISNUMBER('Funnel setup'!P43),VLOOKUP('Funnel setup'!P43,'Provider Commission - Raw Data'!$A:$Q,6,0),"")</f>
        <v>CAMBRIDGE UNIVERSITY HOSPITALS NHS FOUNDATION TRUST (RGT)</v>
      </c>
      <c r="D30" s="176">
        <f>IF(ISNUMBER('Funnel setup'!P43),IF(VLOOKUP('Funnel setup'!P43,'Provider Commission - Raw Data'!$A:$Q,8,0)="-","",VLOOKUP('Funnel setup'!P43,'Provider Commission - Raw Data'!$A:$Q,8,0)),"")</f>
        <v>79</v>
      </c>
      <c r="E30" s="251">
        <f>IF(ISNUMBER('Funnel setup'!P43),IF(VLOOKUP('Funnel setup'!P43,'Provider Commission - Raw Data'!$A:$Q,16,0)="-","",VLOOKUP('Funnel setup'!P43,'Provider Commission - Raw Data'!$A:$Q,16,0)),"")</f>
        <v>23.872399999999999</v>
      </c>
      <c r="F30" s="177">
        <f>IF(AND(ISNUMBER('Funnel setup'!P43)),'Funnel setup'!$K$9,"")</f>
        <v>22.515359017022909</v>
      </c>
      <c r="G30" s="177">
        <f>IF(AND(ISNUMBER('Funnel setup'!P43),D30&gt;=30,E30&lt;&gt;"*",D30&lt;&gt;""),F30-1.959963985 *('Funnel setup'!$K$8/SQRT('Funnel Data'!D30)),"")</f>
        <v>20.689727139047321</v>
      </c>
      <c r="H30" s="177">
        <f>IF(AND(ISNUMBER('Funnel setup'!P43),D30&gt;=30,E30&lt;&gt;"*",D30&lt;&gt;""),F30+1.959963985 *('Funnel setup'!$K$8/SQRT('Funnel Data'!D30)),"")</f>
        <v>24.340990894998498</v>
      </c>
      <c r="I30" s="177">
        <f>IF(AND(ISNUMBER('Funnel setup'!P43),D30&gt;=30,E30&lt;&gt;"*",D30&lt;&gt;""),F30-3.090232306 *('Funnel setup'!$K$8/SQRT('Funnel Data'!D30)),"")</f>
        <v>19.636925203258922</v>
      </c>
      <c r="J30" s="177">
        <f>IF(AND(ISNUMBER('Funnel setup'!P43),D30&gt;=30,E30&lt;&gt;"*",D30&lt;&gt;""),F30+3.090232306 *('Funnel setup'!$K$8/SQRT('Funnel Data'!D30)),"")</f>
        <v>25.393792830786897</v>
      </c>
      <c r="K30" s="178" t="str">
        <f>IF(AND(ISNUMBER('Funnel setup'!P43),D30&gt;=30,E30&lt;&gt;"*",D30&lt;&gt;""),IF(E30&gt;J30,'Funnel setup'!$K$15&amp;"99.8%",IF(E30&gt;H30,'Funnel setup'!$K$15&amp;"95%",IF(E30&lt;I30,'Funnel setup'!$K$16&amp;"99.8%",IF(E30&lt;G30,'Funnel setup'!$K$16&amp;"95%","")))),"")</f>
        <v/>
      </c>
    </row>
    <row r="31" spans="1:18" ht="15" customHeight="1" x14ac:dyDescent="0.35">
      <c r="B31" s="174" t="str">
        <f>IF(ISNUMBER('Funnel setup'!P44),VLOOKUP('Funnel setup'!$P44,'Provider Commission - Raw Data'!$A:$Q,5,0),"")</f>
        <v>NT451</v>
      </c>
      <c r="C31" s="175" t="str">
        <f>IF(ISNUMBER('Funnel setup'!P44),VLOOKUP('Funnel setup'!P44,'Provider Commission - Raw Data'!$A:$Q,6,0),"")</f>
        <v>CAVELL HOSPITAL (NT451)</v>
      </c>
      <c r="D31" s="176">
        <f>IF(ISNUMBER('Funnel setup'!P44),IF(VLOOKUP('Funnel setup'!P44,'Provider Commission - Raw Data'!$A:$Q,8,0)="-","",VLOOKUP('Funnel setup'!P44,'Provider Commission - Raw Data'!$A:$Q,8,0)),"")</f>
        <v>17</v>
      </c>
      <c r="E31" s="251" t="str">
        <f>IF(ISNUMBER('Funnel setup'!P44),IF(VLOOKUP('Funnel setup'!P44,'Provider Commission - Raw Data'!$A:$Q,16,0)="-","",VLOOKUP('Funnel setup'!P44,'Provider Commission - Raw Data'!$A:$Q,16,0)),"")</f>
        <v>*</v>
      </c>
      <c r="F31" s="177">
        <f>IF(AND(ISNUMBER('Funnel setup'!P44)),'Funnel setup'!$K$9,"")</f>
        <v>22.515359017022909</v>
      </c>
      <c r="G31" s="177" t="str">
        <f>IF(AND(ISNUMBER('Funnel setup'!P44),D31&gt;=30,E31&lt;&gt;"*",D31&lt;&gt;""),F31-1.959963985 *('Funnel setup'!$K$8/SQRT('Funnel Data'!D31)),"")</f>
        <v/>
      </c>
      <c r="H31" s="177" t="str">
        <f>IF(AND(ISNUMBER('Funnel setup'!P44),D31&gt;=30,E31&lt;&gt;"*",D31&lt;&gt;""),F31+1.959963985 *('Funnel setup'!$K$8/SQRT('Funnel Data'!D31)),"")</f>
        <v/>
      </c>
      <c r="I31" s="177" t="str">
        <f>IF(AND(ISNUMBER('Funnel setup'!P44),D31&gt;=30,E31&lt;&gt;"*",D31&lt;&gt;""),F31-3.090232306 *('Funnel setup'!$K$8/SQRT('Funnel Data'!D31)),"")</f>
        <v/>
      </c>
      <c r="J31" s="177" t="str">
        <f>IF(AND(ISNUMBER('Funnel setup'!P44),D31&gt;=30,E31&lt;&gt;"*",D31&lt;&gt;""),F31+3.090232306 *('Funnel setup'!$K$8/SQRT('Funnel Data'!D31)),"")</f>
        <v/>
      </c>
      <c r="K31" s="178" t="str">
        <f>IF(AND(ISNUMBER('Funnel setup'!P44),D31&gt;=30,E31&lt;&gt;"*",D31&lt;&gt;""),IF(E31&gt;J31,'Funnel setup'!$K$15&amp;"99.8%",IF(E31&gt;H31,'Funnel setup'!$K$15&amp;"95%",IF(E31&lt;I31,'Funnel setup'!$K$16&amp;"99.8%",IF(E31&lt;G31,'Funnel setup'!$K$16&amp;"95%","")))),"")</f>
        <v/>
      </c>
    </row>
    <row r="32" spans="1:18" ht="15" customHeight="1" x14ac:dyDescent="0.35">
      <c r="B32" s="174" t="str">
        <f>IF(ISNUMBER('Funnel setup'!P45),VLOOKUP('Funnel setup'!$P45,'Provider Commission - Raw Data'!$A:$Q,5,0),"")</f>
        <v>NT408</v>
      </c>
      <c r="C32" s="175" t="str">
        <f>IF(ISNUMBER('Funnel setup'!P45),VLOOKUP('Funnel setup'!P45,'Provider Commission - Raw Data'!$A:$Q,6,0),"")</f>
        <v>CHAUCER HOSPITAL (NT408)</v>
      </c>
      <c r="D32" s="176">
        <f>IF(ISNUMBER('Funnel setup'!P45),IF(VLOOKUP('Funnel setup'!P45,'Provider Commission - Raw Data'!$A:$Q,8,0)="-","",VLOOKUP('Funnel setup'!P45,'Provider Commission - Raw Data'!$A:$Q,8,0)),"")</f>
        <v>31</v>
      </c>
      <c r="E32" s="251">
        <f>IF(ISNUMBER('Funnel setup'!P45),IF(VLOOKUP('Funnel setup'!P45,'Provider Commission - Raw Data'!$A:$Q,16,0)="-","",VLOOKUP('Funnel setup'!P45,'Provider Commission - Raw Data'!$A:$Q,16,0)),"")</f>
        <v>22.533899999999999</v>
      </c>
      <c r="F32" s="177">
        <f>IF(AND(ISNUMBER('Funnel setup'!P45)),'Funnel setup'!$K$9,"")</f>
        <v>22.515359017022909</v>
      </c>
      <c r="G32" s="177">
        <f>IF(AND(ISNUMBER('Funnel setup'!P45),D32&gt;=30,E32&lt;&gt;"*",D32&lt;&gt;""),F32-1.959963985 *('Funnel setup'!$K$8/SQRT('Funnel Data'!D32)),"")</f>
        <v>19.600980819873733</v>
      </c>
      <c r="H32" s="177">
        <f>IF(AND(ISNUMBER('Funnel setup'!P45),D32&gt;=30,E32&lt;&gt;"*",D32&lt;&gt;""),F32+1.959963985 *('Funnel setup'!$K$8/SQRT('Funnel Data'!D32)),"")</f>
        <v>25.429737214172086</v>
      </c>
      <c r="I32" s="177">
        <f>IF(AND(ISNUMBER('Funnel setup'!P45),D32&gt;=30,E32&lt;&gt;"*",D32&lt;&gt;""),F32-3.090232306 *('Funnel setup'!$K$8/SQRT('Funnel Data'!D32)),"")</f>
        <v>17.920322717551098</v>
      </c>
      <c r="J32" s="177">
        <f>IF(AND(ISNUMBER('Funnel setup'!P45),D32&gt;=30,E32&lt;&gt;"*",D32&lt;&gt;""),F32+3.090232306 *('Funnel setup'!$K$8/SQRT('Funnel Data'!D32)),"")</f>
        <v>27.110395316494721</v>
      </c>
      <c r="K32" s="178" t="str">
        <f>IF(AND(ISNUMBER('Funnel setup'!P45),D32&gt;=30,E32&lt;&gt;"*",D32&lt;&gt;""),IF(E32&gt;J32,'Funnel setup'!$K$15&amp;"99.8%",IF(E32&gt;H32,'Funnel setup'!$K$15&amp;"95%",IF(E32&lt;I32,'Funnel setup'!$K$16&amp;"99.8%",IF(E32&lt;G32,'Funnel setup'!$K$16&amp;"95%","")))),"")</f>
        <v/>
      </c>
    </row>
    <row r="33" spans="2:11" ht="15" customHeight="1" x14ac:dyDescent="0.35">
      <c r="B33" s="174" t="str">
        <f>IF(ISNUMBER('Funnel setup'!P46),VLOOKUP('Funnel setup'!$P46,'Provider Commission - Raw Data'!$A:$Q,5,0),"")</f>
        <v>RQM</v>
      </c>
      <c r="C33" s="175" t="str">
        <f>IF(ISNUMBER('Funnel setup'!P46),VLOOKUP('Funnel setup'!P46,'Provider Commission - Raw Data'!$A:$Q,6,0),"")</f>
        <v>CHELSEA AND WESTMINSTER HOSPITAL NHS FOUNDATION TRUST (RQM)</v>
      </c>
      <c r="D33" s="176">
        <f>IF(ISNUMBER('Funnel setup'!P46),IF(VLOOKUP('Funnel setup'!P46,'Provider Commission - Raw Data'!$A:$Q,8,0)="-","",VLOOKUP('Funnel setup'!P46,'Provider Commission - Raw Data'!$A:$Q,8,0)),"")</f>
        <v>19</v>
      </c>
      <c r="E33" s="251" t="str">
        <f>IF(ISNUMBER('Funnel setup'!P46),IF(VLOOKUP('Funnel setup'!P46,'Provider Commission - Raw Data'!$A:$Q,16,0)="-","",VLOOKUP('Funnel setup'!P46,'Provider Commission - Raw Data'!$A:$Q,16,0)),"")</f>
        <v>*</v>
      </c>
      <c r="F33" s="177">
        <f>IF(AND(ISNUMBER('Funnel setup'!P46)),'Funnel setup'!$K$9,"")</f>
        <v>22.515359017022909</v>
      </c>
      <c r="G33" s="177" t="str">
        <f>IF(AND(ISNUMBER('Funnel setup'!P46),D33&gt;=30,E33&lt;&gt;"*",D33&lt;&gt;""),F33-1.959963985 *('Funnel setup'!$K$8/SQRT('Funnel Data'!D33)),"")</f>
        <v/>
      </c>
      <c r="H33" s="177" t="str">
        <f>IF(AND(ISNUMBER('Funnel setup'!P46),D33&gt;=30,E33&lt;&gt;"*",D33&lt;&gt;""),F33+1.959963985 *('Funnel setup'!$K$8/SQRT('Funnel Data'!D33)),"")</f>
        <v/>
      </c>
      <c r="I33" s="177" t="str">
        <f>IF(AND(ISNUMBER('Funnel setup'!P46),D33&gt;=30,E33&lt;&gt;"*",D33&lt;&gt;""),F33-3.090232306 *('Funnel setup'!$K$8/SQRT('Funnel Data'!D33)),"")</f>
        <v/>
      </c>
      <c r="J33" s="177" t="str">
        <f>IF(AND(ISNUMBER('Funnel setup'!P46),D33&gt;=30,E33&lt;&gt;"*",D33&lt;&gt;""),F33+3.090232306 *('Funnel setup'!$K$8/SQRT('Funnel Data'!D33)),"")</f>
        <v/>
      </c>
      <c r="K33" s="178" t="str">
        <f>IF(AND(ISNUMBER('Funnel setup'!P46),D33&gt;=30,E33&lt;&gt;"*",D33&lt;&gt;""),IF(E33&gt;J33,'Funnel setup'!$K$15&amp;"99.8%",IF(E33&gt;H33,'Funnel setup'!$K$15&amp;"95%",IF(E33&lt;I33,'Funnel setup'!$K$16&amp;"99.8%",IF(E33&lt;G33,'Funnel setup'!$K$16&amp;"95%","")))),"")</f>
        <v/>
      </c>
    </row>
    <row r="34" spans="2:11" ht="15" customHeight="1" x14ac:dyDescent="0.35">
      <c r="B34" s="174" t="str">
        <f>IF(ISNUMBER('Funnel setup'!P47),VLOOKUP('Funnel setup'!$P47,'Provider Commission - Raw Data'!$A:$Q,5,0),"")</f>
        <v>NT409</v>
      </c>
      <c r="C34" s="175" t="str">
        <f>IF(ISNUMBER('Funnel setup'!P47),VLOOKUP('Funnel setup'!P47,'Provider Commission - Raw Data'!$A:$Q,6,0),"")</f>
        <v>CHELSFIELD PARK HOSPITAL (NT409)</v>
      </c>
      <c r="D34" s="176">
        <f>IF(ISNUMBER('Funnel setup'!P47),IF(VLOOKUP('Funnel setup'!P47,'Provider Commission - Raw Data'!$A:$Q,8,0)="-","",VLOOKUP('Funnel setup'!P47,'Provider Commission - Raw Data'!$A:$Q,8,0)),"")</f>
        <v>34</v>
      </c>
      <c r="E34" s="251">
        <f>IF(ISNUMBER('Funnel setup'!P47),IF(VLOOKUP('Funnel setup'!P47,'Provider Commission - Raw Data'!$A:$Q,16,0)="-","",VLOOKUP('Funnel setup'!P47,'Provider Commission - Raw Data'!$A:$Q,16,0)),"")</f>
        <v>22.036799999999999</v>
      </c>
      <c r="F34" s="177">
        <f>IF(AND(ISNUMBER('Funnel setup'!P47)),'Funnel setup'!$K$9,"")</f>
        <v>22.515359017022909</v>
      </c>
      <c r="G34" s="177">
        <f>IF(AND(ISNUMBER('Funnel setup'!P47),D34&gt;=30,E34&lt;&gt;"*",D34&lt;&gt;""),F34-1.959963985 *('Funnel setup'!$K$8/SQRT('Funnel Data'!D34)),"")</f>
        <v>19.732525037507376</v>
      </c>
      <c r="H34" s="177">
        <f>IF(AND(ISNUMBER('Funnel setup'!P47),D34&gt;=30,E34&lt;&gt;"*",D34&lt;&gt;""),F34+1.959963985 *('Funnel setup'!$K$8/SQRT('Funnel Data'!D34)),"")</f>
        <v>25.298192996538443</v>
      </c>
      <c r="I34" s="177">
        <f>IF(AND(ISNUMBER('Funnel setup'!P47),D34&gt;=30,E34&lt;&gt;"*",D34&lt;&gt;""),F34-3.090232306 *('Funnel setup'!$K$8/SQRT('Funnel Data'!D34)),"")</f>
        <v>18.12772560561946</v>
      </c>
      <c r="J34" s="177">
        <f>IF(AND(ISNUMBER('Funnel setup'!P47),D34&gt;=30,E34&lt;&gt;"*",D34&lt;&gt;""),F34+3.090232306 *('Funnel setup'!$K$8/SQRT('Funnel Data'!D34)),"")</f>
        <v>26.902992428426359</v>
      </c>
      <c r="K34" s="178" t="str">
        <f>IF(AND(ISNUMBER('Funnel setup'!P47),D34&gt;=30,E34&lt;&gt;"*",D34&lt;&gt;""),IF(E34&gt;J34,'Funnel setup'!$K$15&amp;"99.8%",IF(E34&gt;H34,'Funnel setup'!$K$15&amp;"95%",IF(E34&lt;I34,'Funnel setup'!$K$16&amp;"99.8%",IF(E34&lt;G34,'Funnel setup'!$K$16&amp;"95%","")))),"")</f>
        <v/>
      </c>
    </row>
    <row r="35" spans="2:11" ht="15" customHeight="1" x14ac:dyDescent="0.35">
      <c r="B35" s="174" t="str">
        <f>IF(ISNUMBER('Funnel setup'!P48),VLOOKUP('Funnel setup'!$P48,'Provider Commission - Raw Data'!$A:$Q,5,0),"")</f>
        <v>RFS</v>
      </c>
      <c r="C35" s="175" t="str">
        <f>IF(ISNUMBER('Funnel setup'!P48),VLOOKUP('Funnel setup'!P48,'Provider Commission - Raw Data'!$A:$Q,6,0),"")</f>
        <v>CHESTERFIELD ROYAL HOSPITAL NHS FOUNDATION TRUST (RFS)</v>
      </c>
      <c r="D35" s="176">
        <f>IF(ISNUMBER('Funnel setup'!P48),IF(VLOOKUP('Funnel setup'!P48,'Provider Commission - Raw Data'!$A:$Q,8,0)="-","",VLOOKUP('Funnel setup'!P48,'Provider Commission - Raw Data'!$A:$Q,8,0)),"")</f>
        <v>65</v>
      </c>
      <c r="E35" s="251">
        <f>IF(ISNUMBER('Funnel setup'!P48),IF(VLOOKUP('Funnel setup'!P48,'Provider Commission - Raw Data'!$A:$Q,16,0)="-","",VLOOKUP('Funnel setup'!P48,'Provider Commission - Raw Data'!$A:$Q,16,0)),"")</f>
        <v>21.360099999999999</v>
      </c>
      <c r="F35" s="177">
        <f>IF(AND(ISNUMBER('Funnel setup'!P48)),'Funnel setup'!$K$9,"")</f>
        <v>22.515359017022909</v>
      </c>
      <c r="G35" s="177">
        <f>IF(AND(ISNUMBER('Funnel setup'!P48),D35&gt;=30,E35&lt;&gt;"*",D35&lt;&gt;""),F35-1.959963985 *('Funnel setup'!$K$8/SQRT('Funnel Data'!D35)),"")</f>
        <v>20.50270058157157</v>
      </c>
      <c r="H35" s="177">
        <f>IF(AND(ISNUMBER('Funnel setup'!P48),D35&gt;=30,E35&lt;&gt;"*",D35&lt;&gt;""),F35+1.959963985 *('Funnel setup'!$K$8/SQRT('Funnel Data'!D35)),"")</f>
        <v>24.528017452474248</v>
      </c>
      <c r="I35" s="177">
        <f>IF(AND(ISNUMBER('Funnel setup'!P48),D35&gt;=30,E35&lt;&gt;"*",D35&lt;&gt;""),F35-3.090232306 *('Funnel setup'!$K$8/SQRT('Funnel Data'!D35)),"")</f>
        <v>19.34204452462669</v>
      </c>
      <c r="J35" s="177">
        <f>IF(AND(ISNUMBER('Funnel setup'!P48),D35&gt;=30,E35&lt;&gt;"*",D35&lt;&gt;""),F35+3.090232306 *('Funnel setup'!$K$8/SQRT('Funnel Data'!D35)),"")</f>
        <v>25.688673509419129</v>
      </c>
      <c r="K35" s="178" t="str">
        <f>IF(AND(ISNUMBER('Funnel setup'!P48),D35&gt;=30,E35&lt;&gt;"*",D35&lt;&gt;""),IF(E35&gt;J35,'Funnel setup'!$K$15&amp;"99.8%",IF(E35&gt;H35,'Funnel setup'!$K$15&amp;"95%",IF(E35&lt;I35,'Funnel setup'!$K$16&amp;"99.8%",IF(E35&lt;G35,'Funnel setup'!$K$16&amp;"95%","")))),"")</f>
        <v/>
      </c>
    </row>
    <row r="36" spans="2:11" ht="15" customHeight="1" x14ac:dyDescent="0.35">
      <c r="B36" s="174" t="str">
        <f>IF(ISNUMBER('Funnel setup'!P49),VLOOKUP('Funnel setup'!$P49,'Provider Commission - Raw Data'!$A:$Q,5,0),"")</f>
        <v>NT410</v>
      </c>
      <c r="C36" s="175" t="str">
        <f>IF(ISNUMBER('Funnel setup'!P49),VLOOKUP('Funnel setup'!P49,'Provider Commission - Raw Data'!$A:$Q,6,0),"")</f>
        <v>CHILTERN HOSPITAL (NT410)</v>
      </c>
      <c r="D36" s="176">
        <f>IF(ISNUMBER('Funnel setup'!P49),IF(VLOOKUP('Funnel setup'!P49,'Provider Commission - Raw Data'!$A:$Q,8,0)="-","",VLOOKUP('Funnel setup'!P49,'Provider Commission - Raw Data'!$A:$Q,8,0)),"")</f>
        <v>78</v>
      </c>
      <c r="E36" s="251">
        <f>IF(ISNUMBER('Funnel setup'!P49),IF(VLOOKUP('Funnel setup'!P49,'Provider Commission - Raw Data'!$A:$Q,16,0)="-","",VLOOKUP('Funnel setup'!P49,'Provider Commission - Raw Data'!$A:$Q,16,0)),"")</f>
        <v>21.3172</v>
      </c>
      <c r="F36" s="177">
        <f>IF(AND(ISNUMBER('Funnel setup'!P49)),'Funnel setup'!$K$9,"")</f>
        <v>22.515359017022909</v>
      </c>
      <c r="G36" s="177">
        <f>IF(AND(ISNUMBER('Funnel setup'!P49),D36&gt;=30,E36&lt;&gt;"*",D36&lt;&gt;""),F36-1.959963985 *('Funnel setup'!$K$8/SQRT('Funnel Data'!D36)),"")</f>
        <v>20.678061640939987</v>
      </c>
      <c r="H36" s="177">
        <f>IF(AND(ISNUMBER('Funnel setup'!P49),D36&gt;=30,E36&lt;&gt;"*",D36&lt;&gt;""),F36+1.959963985 *('Funnel setup'!$K$8/SQRT('Funnel Data'!D36)),"")</f>
        <v>24.352656393105832</v>
      </c>
      <c r="I36" s="177">
        <f>IF(AND(ISNUMBER('Funnel setup'!P49),D36&gt;=30,E36&lt;&gt;"*",D36&lt;&gt;""),F36-3.090232306 *('Funnel setup'!$K$8/SQRT('Funnel Data'!D36)),"")</f>
        <v>19.618532467783801</v>
      </c>
      <c r="J36" s="177">
        <f>IF(AND(ISNUMBER('Funnel setup'!P49),D36&gt;=30,E36&lt;&gt;"*",D36&lt;&gt;""),F36+3.090232306 *('Funnel setup'!$K$8/SQRT('Funnel Data'!D36)),"")</f>
        <v>25.412185566262018</v>
      </c>
      <c r="K36" s="178" t="str">
        <f>IF(AND(ISNUMBER('Funnel setup'!P49),D36&gt;=30,E36&lt;&gt;"*",D36&lt;&gt;""),IF(E36&gt;J36,'Funnel setup'!$K$15&amp;"99.8%",IF(E36&gt;H36,'Funnel setup'!$K$15&amp;"95%",IF(E36&lt;I36,'Funnel setup'!$K$16&amp;"99.8%",IF(E36&lt;G36,'Funnel setup'!$K$16&amp;"95%","")))),"")</f>
        <v/>
      </c>
    </row>
    <row r="37" spans="2:11" ht="15" customHeight="1" x14ac:dyDescent="0.35">
      <c r="B37" s="174" t="str">
        <f>IF(ISNUMBER('Funnel setup'!P50),VLOOKUP('Funnel setup'!$P50,'Provider Commission - Raw Data'!$A:$Q,5,0),"")</f>
        <v>NV302</v>
      </c>
      <c r="C37" s="175" t="str">
        <f>IF(ISNUMBER('Funnel setup'!P50),VLOOKUP('Funnel setup'!P50,'Provider Commission - Raw Data'!$A:$Q,6,0),"")</f>
        <v>CIRCLE BATH HOSPITAL (NV302)</v>
      </c>
      <c r="D37" s="176">
        <f>IF(ISNUMBER('Funnel setup'!P50),IF(VLOOKUP('Funnel setup'!P50,'Provider Commission - Raw Data'!$A:$Q,8,0)="-","",VLOOKUP('Funnel setup'!P50,'Provider Commission - Raw Data'!$A:$Q,8,0)),"")</f>
        <v>12</v>
      </c>
      <c r="E37" s="251" t="str">
        <f>IF(ISNUMBER('Funnel setup'!P50),IF(VLOOKUP('Funnel setup'!P50,'Provider Commission - Raw Data'!$A:$Q,16,0)="-","",VLOOKUP('Funnel setup'!P50,'Provider Commission - Raw Data'!$A:$Q,16,0)),"")</f>
        <v>*</v>
      </c>
      <c r="F37" s="177">
        <f>IF(AND(ISNUMBER('Funnel setup'!P50)),'Funnel setup'!$K$9,"")</f>
        <v>22.515359017022909</v>
      </c>
      <c r="G37" s="177" t="str">
        <f>IF(AND(ISNUMBER('Funnel setup'!P50),D37&gt;=30,E37&lt;&gt;"*",D37&lt;&gt;""),F37-1.959963985 *('Funnel setup'!$K$8/SQRT('Funnel Data'!D37)),"")</f>
        <v/>
      </c>
      <c r="H37" s="177" t="str">
        <f>IF(AND(ISNUMBER('Funnel setup'!P50),D37&gt;=30,E37&lt;&gt;"*",D37&lt;&gt;""),F37+1.959963985 *('Funnel setup'!$K$8/SQRT('Funnel Data'!D37)),"")</f>
        <v/>
      </c>
      <c r="I37" s="177" t="str">
        <f>IF(AND(ISNUMBER('Funnel setup'!P50),D37&gt;=30,E37&lt;&gt;"*",D37&lt;&gt;""),F37-3.090232306 *('Funnel setup'!$K$8/SQRT('Funnel Data'!D37)),"")</f>
        <v/>
      </c>
      <c r="J37" s="177" t="str">
        <f>IF(AND(ISNUMBER('Funnel setup'!P50),D37&gt;=30,E37&lt;&gt;"*",D37&lt;&gt;""),F37+3.090232306 *('Funnel setup'!$K$8/SQRT('Funnel Data'!D37)),"")</f>
        <v/>
      </c>
      <c r="K37" s="178" t="str">
        <f>IF(AND(ISNUMBER('Funnel setup'!P50),D37&gt;=30,E37&lt;&gt;"*",D37&lt;&gt;""),IF(E37&gt;J37,'Funnel setup'!$K$15&amp;"99.8%",IF(E37&gt;H37,'Funnel setup'!$K$15&amp;"95%",IF(E37&lt;I37,'Funnel setup'!$K$16&amp;"99.8%",IF(E37&lt;G37,'Funnel setup'!$K$16&amp;"95%","")))),"")</f>
        <v/>
      </c>
    </row>
    <row r="38" spans="2:11" ht="15" customHeight="1" x14ac:dyDescent="0.35">
      <c r="B38" s="174" t="str">
        <f>IF(ISNUMBER('Funnel setup'!P51),VLOOKUP('Funnel setup'!$P51,'Provider Commission - Raw Data'!$A:$Q,5,0),"")</f>
        <v>NV323</v>
      </c>
      <c r="C38" s="175" t="str">
        <f>IF(ISNUMBER('Funnel setup'!P51),VLOOKUP('Funnel setup'!P51,'Provider Commission - Raw Data'!$A:$Q,6,0),"")</f>
        <v>CIRCLE READING HOSPITAL (NV323)</v>
      </c>
      <c r="D38" s="176">
        <f>IF(ISNUMBER('Funnel setup'!P51),IF(VLOOKUP('Funnel setup'!P51,'Provider Commission - Raw Data'!$A:$Q,8,0)="-","",VLOOKUP('Funnel setup'!P51,'Provider Commission - Raw Data'!$A:$Q,8,0)),"")</f>
        <v>74</v>
      </c>
      <c r="E38" s="251">
        <f>IF(ISNUMBER('Funnel setup'!P51),IF(VLOOKUP('Funnel setup'!P51,'Provider Commission - Raw Data'!$A:$Q,16,0)="-","",VLOOKUP('Funnel setup'!P51,'Provider Commission - Raw Data'!$A:$Q,16,0)),"")</f>
        <v>22.629899999999999</v>
      </c>
      <c r="F38" s="177">
        <f>IF(AND(ISNUMBER('Funnel setup'!P51)),'Funnel setup'!$K$9,"")</f>
        <v>22.515359017022909</v>
      </c>
      <c r="G38" s="177">
        <f>IF(AND(ISNUMBER('Funnel setup'!P51),D38&gt;=30,E38&lt;&gt;"*",D38&lt;&gt;""),F38-1.959963985 *('Funnel setup'!$K$8/SQRT('Funnel Data'!D38)),"")</f>
        <v>20.62905844570372</v>
      </c>
      <c r="H38" s="177">
        <f>IF(AND(ISNUMBER('Funnel setup'!P51),D38&gt;=30,E38&lt;&gt;"*",D38&lt;&gt;""),F38+1.959963985 *('Funnel setup'!$K$8/SQRT('Funnel Data'!D38)),"")</f>
        <v>24.401659588342099</v>
      </c>
      <c r="I38" s="177">
        <f>IF(AND(ISNUMBER('Funnel setup'!P51),D38&gt;=30,E38&lt;&gt;"*",D38&lt;&gt;""),F38-3.090232306 *('Funnel setup'!$K$8/SQRT('Funnel Data'!D38)),"")</f>
        <v>19.541270202673186</v>
      </c>
      <c r="J38" s="177">
        <f>IF(AND(ISNUMBER('Funnel setup'!P51),D38&gt;=30,E38&lt;&gt;"*",D38&lt;&gt;""),F38+3.090232306 *('Funnel setup'!$K$8/SQRT('Funnel Data'!D38)),"")</f>
        <v>25.489447831372633</v>
      </c>
      <c r="K38" s="178" t="str">
        <f>IF(AND(ISNUMBER('Funnel setup'!P51),D38&gt;=30,E38&lt;&gt;"*",D38&lt;&gt;""),IF(E38&gt;J38,'Funnel setup'!$K$15&amp;"99.8%",IF(E38&gt;H38,'Funnel setup'!$K$15&amp;"95%",IF(E38&lt;I38,'Funnel setup'!$K$16&amp;"99.8%",IF(E38&lt;G38,'Funnel setup'!$K$16&amp;"95%","")))),"")</f>
        <v/>
      </c>
    </row>
    <row r="39" spans="2:11" ht="15" customHeight="1" x14ac:dyDescent="0.35">
      <c r="B39" s="174" t="str">
        <f>IF(ISNUMBER('Funnel setup'!P52),VLOOKUP('Funnel setup'!$P52,'Provider Commission - Raw Data'!$A:$Q,5,0),"")</f>
        <v>NT411</v>
      </c>
      <c r="C39" s="175" t="str">
        <f>IF(ISNUMBER('Funnel setup'!P52),VLOOKUP('Funnel setup'!P52,'Provider Commission - Raw Data'!$A:$Q,6,0),"")</f>
        <v>CLEMENTINE CHURCHILL HOSPITAL (NT411)</v>
      </c>
      <c r="D39" s="176">
        <f>IF(ISNUMBER('Funnel setup'!P52),IF(VLOOKUP('Funnel setup'!P52,'Provider Commission - Raw Data'!$A:$Q,8,0)="-","",VLOOKUP('Funnel setup'!P52,'Provider Commission - Raw Data'!$A:$Q,8,0)),"")</f>
        <v>25</v>
      </c>
      <c r="E39" s="251" t="str">
        <f>IF(ISNUMBER('Funnel setup'!P52),IF(VLOOKUP('Funnel setup'!P52,'Provider Commission - Raw Data'!$A:$Q,16,0)="-","",VLOOKUP('Funnel setup'!P52,'Provider Commission - Raw Data'!$A:$Q,16,0)),"")</f>
        <v>*</v>
      </c>
      <c r="F39" s="177">
        <f>IF(AND(ISNUMBER('Funnel setup'!P52)),'Funnel setup'!$K$9,"")</f>
        <v>22.515359017022909</v>
      </c>
      <c r="G39" s="177" t="str">
        <f>IF(AND(ISNUMBER('Funnel setup'!P52),D39&gt;=30,E39&lt;&gt;"*",D39&lt;&gt;""),F39-1.959963985 *('Funnel setup'!$K$8/SQRT('Funnel Data'!D39)),"")</f>
        <v/>
      </c>
      <c r="H39" s="177" t="str">
        <f>IF(AND(ISNUMBER('Funnel setup'!P52),D39&gt;=30,E39&lt;&gt;"*",D39&lt;&gt;""),F39+1.959963985 *('Funnel setup'!$K$8/SQRT('Funnel Data'!D39)),"")</f>
        <v/>
      </c>
      <c r="I39" s="177" t="str">
        <f>IF(AND(ISNUMBER('Funnel setup'!P52),D39&gt;=30,E39&lt;&gt;"*",D39&lt;&gt;""),F39-3.090232306 *('Funnel setup'!$K$8/SQRT('Funnel Data'!D39)),"")</f>
        <v/>
      </c>
      <c r="J39" s="177" t="str">
        <f>IF(AND(ISNUMBER('Funnel setup'!P52),D39&gt;=30,E39&lt;&gt;"*",D39&lt;&gt;""),F39+3.090232306 *('Funnel setup'!$K$8/SQRT('Funnel Data'!D39)),"")</f>
        <v/>
      </c>
      <c r="K39" s="178" t="str">
        <f>IF(AND(ISNUMBER('Funnel setup'!P52),D39&gt;=30,E39&lt;&gt;"*",D39&lt;&gt;""),IF(E39&gt;J39,'Funnel setup'!$K$15&amp;"99.8%",IF(E39&gt;H39,'Funnel setup'!$K$15&amp;"95%",IF(E39&lt;I39,'Funnel setup'!$K$16&amp;"99.8%",IF(E39&lt;G39,'Funnel setup'!$K$16&amp;"95%","")))),"")</f>
        <v/>
      </c>
    </row>
    <row r="40" spans="2:11" ht="15" customHeight="1" x14ac:dyDescent="0.35">
      <c r="B40" s="174" t="str">
        <f>IF(ISNUMBER('Funnel setup'!P53),VLOOKUP('Funnel setup'!$P53,'Provider Commission - Raw Data'!$A:$Q,5,0),"")</f>
        <v>NVC28</v>
      </c>
      <c r="C40" s="175" t="str">
        <f>IF(ISNUMBER('Funnel setup'!P53),VLOOKUP('Funnel setup'!P53,'Provider Commission - Raw Data'!$A:$Q,6,0),"")</f>
        <v>CLIFTON PARK HOSPITAL (NVC28)</v>
      </c>
      <c r="D40" s="176">
        <f>IF(ISNUMBER('Funnel setup'!P53),IF(VLOOKUP('Funnel setup'!P53,'Provider Commission - Raw Data'!$A:$Q,8,0)="-","",VLOOKUP('Funnel setup'!P53,'Provider Commission - Raw Data'!$A:$Q,8,0)),"")</f>
        <v>42</v>
      </c>
      <c r="E40" s="251">
        <f>IF(ISNUMBER('Funnel setup'!P53),IF(VLOOKUP('Funnel setup'!P53,'Provider Commission - Raw Data'!$A:$Q,16,0)="-","",VLOOKUP('Funnel setup'!P53,'Provider Commission - Raw Data'!$A:$Q,16,0)),"")</f>
        <v>9.4640500000000003</v>
      </c>
      <c r="F40" s="177">
        <f>IF(AND(ISNUMBER('Funnel setup'!P53)),'Funnel setup'!$K$9,"")</f>
        <v>22.515359017022909</v>
      </c>
      <c r="G40" s="177">
        <f>IF(AND(ISNUMBER('Funnel setup'!P53),D40&gt;=30,E40&lt;&gt;"*",D40&lt;&gt;""),F40-1.959963985 *('Funnel setup'!$K$8/SQRT('Funnel Data'!D40)),"")</f>
        <v>20.011544743157206</v>
      </c>
      <c r="H40" s="177">
        <f>IF(AND(ISNUMBER('Funnel setup'!P53),D40&gt;=30,E40&lt;&gt;"*",D40&lt;&gt;""),F40+1.959963985 *('Funnel setup'!$K$8/SQRT('Funnel Data'!D40)),"")</f>
        <v>25.019173290888613</v>
      </c>
      <c r="I40" s="177">
        <f>IF(AND(ISNUMBER('Funnel setup'!P53),D40&gt;=30,E40&lt;&gt;"*",D40&lt;&gt;""),F40-3.090232306 *('Funnel setup'!$K$8/SQRT('Funnel Data'!D40)),"")</f>
        <v>18.567649866987821</v>
      </c>
      <c r="J40" s="177">
        <f>IF(AND(ISNUMBER('Funnel setup'!P53),D40&gt;=30,E40&lt;&gt;"*",D40&lt;&gt;""),F40+3.090232306 *('Funnel setup'!$K$8/SQRT('Funnel Data'!D40)),"")</f>
        <v>26.463068167057997</v>
      </c>
      <c r="K40" s="178" t="str">
        <f>IF(AND(ISNUMBER('Funnel setup'!P53),D40&gt;=30,E40&lt;&gt;"*",D40&lt;&gt;""),IF(E40&gt;J40,'Funnel setup'!$K$15&amp;"99.8%",IF(E40&gt;H40,'Funnel setup'!$K$15&amp;"95%",IF(E40&lt;I40,'Funnel setup'!$K$16&amp;"99.8%",IF(E40&lt;G40,'Funnel setup'!$K$16&amp;"95%","")))),"")</f>
        <v>Lower 99.8%</v>
      </c>
    </row>
    <row r="41" spans="2:11" ht="15" customHeight="1" x14ac:dyDescent="0.35">
      <c r="B41" s="174" t="str">
        <f>IF(ISNUMBER('Funnel setup'!P54),VLOOKUP('Funnel setup'!$P54,'Provider Commission - Raw Data'!$A:$Q,5,0),"")</f>
        <v>RJR</v>
      </c>
      <c r="C41" s="175" t="str">
        <f>IF(ISNUMBER('Funnel setup'!P54),VLOOKUP('Funnel setup'!P54,'Provider Commission - Raw Data'!$A:$Q,6,0),"")</f>
        <v>COUNTESS OF CHESTER HOSPITAL NHS FOUNDATION TRUST (RJR)</v>
      </c>
      <c r="D41" s="176">
        <f>IF(ISNUMBER('Funnel setup'!P54),IF(VLOOKUP('Funnel setup'!P54,'Provider Commission - Raw Data'!$A:$Q,8,0)="-","",VLOOKUP('Funnel setup'!P54,'Provider Commission - Raw Data'!$A:$Q,8,0)),"")</f>
        <v>29</v>
      </c>
      <c r="E41" s="251" t="str">
        <f>IF(ISNUMBER('Funnel setup'!P54),IF(VLOOKUP('Funnel setup'!P54,'Provider Commission - Raw Data'!$A:$Q,16,0)="-","",VLOOKUP('Funnel setup'!P54,'Provider Commission - Raw Data'!$A:$Q,16,0)),"")</f>
        <v>*</v>
      </c>
      <c r="F41" s="177">
        <f>IF(AND(ISNUMBER('Funnel setup'!P54)),'Funnel setup'!$K$9,"")</f>
        <v>22.515359017022909</v>
      </c>
      <c r="G41" s="177" t="str">
        <f>IF(AND(ISNUMBER('Funnel setup'!P54),D41&gt;=30,E41&lt;&gt;"*",D41&lt;&gt;""),F41-1.959963985 *('Funnel setup'!$K$8/SQRT('Funnel Data'!D41)),"")</f>
        <v/>
      </c>
      <c r="H41" s="177" t="str">
        <f>IF(AND(ISNUMBER('Funnel setup'!P54),D41&gt;=30,E41&lt;&gt;"*",D41&lt;&gt;""),F41+1.959963985 *('Funnel setup'!$K$8/SQRT('Funnel Data'!D41)),"")</f>
        <v/>
      </c>
      <c r="I41" s="177" t="str">
        <f>IF(AND(ISNUMBER('Funnel setup'!P54),D41&gt;=30,E41&lt;&gt;"*",D41&lt;&gt;""),F41-3.090232306 *('Funnel setup'!$K$8/SQRT('Funnel Data'!D41)),"")</f>
        <v/>
      </c>
      <c r="J41" s="177" t="str">
        <f>IF(AND(ISNUMBER('Funnel setup'!P54),D41&gt;=30,E41&lt;&gt;"*",D41&lt;&gt;""),F41+3.090232306 *('Funnel setup'!$K$8/SQRT('Funnel Data'!D41)),"")</f>
        <v/>
      </c>
      <c r="K41" s="178" t="str">
        <f>IF(AND(ISNUMBER('Funnel setup'!P54),D41&gt;=30,E41&lt;&gt;"*",D41&lt;&gt;""),IF(E41&gt;J41,'Funnel setup'!$K$15&amp;"99.8%",IF(E41&gt;H41,'Funnel setup'!$K$15&amp;"95%",IF(E41&lt;I41,'Funnel setup'!$K$16&amp;"99.8%",IF(E41&lt;G41,'Funnel setup'!$K$16&amp;"95%","")))),"")</f>
        <v/>
      </c>
    </row>
    <row r="42" spans="2:11" ht="15" customHeight="1" x14ac:dyDescent="0.35">
      <c r="B42" s="174" t="str">
        <f>IF(ISNUMBER('Funnel setup'!P55),VLOOKUP('Funnel setup'!$P55,'Provider Commission - Raw Data'!$A:$Q,5,0),"")</f>
        <v>RXP</v>
      </c>
      <c r="C42" s="175" t="str">
        <f>IF(ISNUMBER('Funnel setup'!P55),VLOOKUP('Funnel setup'!P55,'Provider Commission - Raw Data'!$A:$Q,6,0),"")</f>
        <v>COUNTY DURHAM AND DARLINGTON NHS FOUNDATION TRUST (RXP)</v>
      </c>
      <c r="D42" s="176">
        <f>IF(ISNUMBER('Funnel setup'!P55),IF(VLOOKUP('Funnel setup'!P55,'Provider Commission - Raw Data'!$A:$Q,8,0)="-","",VLOOKUP('Funnel setup'!P55,'Provider Commission - Raw Data'!$A:$Q,8,0)),"")</f>
        <v>174</v>
      </c>
      <c r="E42" s="251">
        <f>IF(ISNUMBER('Funnel setup'!P55),IF(VLOOKUP('Funnel setup'!P55,'Provider Commission - Raw Data'!$A:$Q,16,0)="-","",VLOOKUP('Funnel setup'!P55,'Provider Commission - Raw Data'!$A:$Q,16,0)),"")</f>
        <v>22.106200000000001</v>
      </c>
      <c r="F42" s="177">
        <f>IF(AND(ISNUMBER('Funnel setup'!P55)),'Funnel setup'!$K$9,"")</f>
        <v>22.515359017022909</v>
      </c>
      <c r="G42" s="177">
        <f>IF(AND(ISNUMBER('Funnel setup'!P55),D42&gt;=30,E42&lt;&gt;"*",D42&lt;&gt;""),F42-1.959963985 *('Funnel setup'!$K$8/SQRT('Funnel Data'!D42)),"")</f>
        <v>21.285225839117931</v>
      </c>
      <c r="H42" s="177">
        <f>IF(AND(ISNUMBER('Funnel setup'!P55),D42&gt;=30,E42&lt;&gt;"*",D42&lt;&gt;""),F42+1.959963985 *('Funnel setup'!$K$8/SQRT('Funnel Data'!D42)),"")</f>
        <v>23.745492194927888</v>
      </c>
      <c r="I42" s="177">
        <f>IF(AND(ISNUMBER('Funnel setup'!P55),D42&gt;=30,E42&lt;&gt;"*",D42&lt;&gt;""),F42-3.090232306 *('Funnel setup'!$K$8/SQRT('Funnel Data'!D42)),"")</f>
        <v>20.575834966511128</v>
      </c>
      <c r="J42" s="177">
        <f>IF(AND(ISNUMBER('Funnel setup'!P55),D42&gt;=30,E42&lt;&gt;"*",D42&lt;&gt;""),F42+3.090232306 *('Funnel setup'!$K$8/SQRT('Funnel Data'!D42)),"")</f>
        <v>24.454883067534691</v>
      </c>
      <c r="K42" s="178" t="str">
        <f>IF(AND(ISNUMBER('Funnel setup'!P55),D42&gt;=30,E42&lt;&gt;"*",D42&lt;&gt;""),IF(E42&gt;J42,'Funnel setup'!$K$15&amp;"99.8%",IF(E42&gt;H42,'Funnel setup'!$K$15&amp;"95%",IF(E42&lt;I42,'Funnel setup'!$K$16&amp;"99.8%",IF(E42&lt;G42,'Funnel setup'!$K$16&amp;"95%","")))),"")</f>
        <v/>
      </c>
    </row>
    <row r="43" spans="2:11" ht="15" customHeight="1" x14ac:dyDescent="0.35">
      <c r="B43" s="174" t="str">
        <f>IF(ISNUMBER('Funnel setup'!P56),VLOOKUP('Funnel setup'!$P56,'Provider Commission - Raw Data'!$A:$Q,5,0),"")</f>
        <v>RP5</v>
      </c>
      <c r="C43" s="175" t="str">
        <f>IF(ISNUMBER('Funnel setup'!P56),VLOOKUP('Funnel setup'!P56,'Provider Commission - Raw Data'!$A:$Q,6,0),"")</f>
        <v>DONCASTER AND BASSETLAW TEACHING HOSPITALS NHS FOUNDATION TRUST (RP5)</v>
      </c>
      <c r="D43" s="176">
        <f>IF(ISNUMBER('Funnel setup'!P56),IF(VLOOKUP('Funnel setup'!P56,'Provider Commission - Raw Data'!$A:$Q,8,0)="-","",VLOOKUP('Funnel setup'!P56,'Provider Commission - Raw Data'!$A:$Q,8,0)),"")</f>
        <v>64</v>
      </c>
      <c r="E43" s="251">
        <f>IF(ISNUMBER('Funnel setup'!P56),IF(VLOOKUP('Funnel setup'!P56,'Provider Commission - Raw Data'!$A:$Q,16,0)="-","",VLOOKUP('Funnel setup'!P56,'Provider Commission - Raw Data'!$A:$Q,16,0)),"")</f>
        <v>19.098299999999998</v>
      </c>
      <c r="F43" s="177">
        <f>IF(AND(ISNUMBER('Funnel setup'!P56)),'Funnel setup'!$K$9,"")</f>
        <v>22.515359017022909</v>
      </c>
      <c r="G43" s="177">
        <f>IF(AND(ISNUMBER('Funnel setup'!P56),D43&gt;=30,E43&lt;&gt;"*",D43&lt;&gt;""),F43-1.959963985 *('Funnel setup'!$K$8/SQRT('Funnel Data'!D43)),"")</f>
        <v>20.48703763378591</v>
      </c>
      <c r="H43" s="177">
        <f>IF(AND(ISNUMBER('Funnel setup'!P56),D43&gt;=30,E43&lt;&gt;"*",D43&lt;&gt;""),F43+1.959963985 *('Funnel setup'!$K$8/SQRT('Funnel Data'!D43)),"")</f>
        <v>24.543680400259909</v>
      </c>
      <c r="I43" s="177">
        <f>IF(AND(ISNUMBER('Funnel setup'!P56),D43&gt;=30,E43&lt;&gt;"*",D43&lt;&gt;""),F43-3.090232306 *('Funnel setup'!$K$8/SQRT('Funnel Data'!D43)),"")</f>
        <v>19.317349097759223</v>
      </c>
      <c r="J43" s="177">
        <f>IF(AND(ISNUMBER('Funnel setup'!P56),D43&gt;=30,E43&lt;&gt;"*",D43&lt;&gt;""),F43+3.090232306 *('Funnel setup'!$K$8/SQRT('Funnel Data'!D43)),"")</f>
        <v>25.713368936286596</v>
      </c>
      <c r="K43" s="178" t="str">
        <f>IF(AND(ISNUMBER('Funnel setup'!P56),D43&gt;=30,E43&lt;&gt;"*",D43&lt;&gt;""),IF(E43&gt;J43,'Funnel setup'!$K$15&amp;"99.8%",IF(E43&gt;H43,'Funnel setup'!$K$15&amp;"95%",IF(E43&lt;I43,'Funnel setup'!$K$16&amp;"99.8%",IF(E43&lt;G43,'Funnel setup'!$K$16&amp;"95%","")))),"")</f>
        <v>Lower 99.8%</v>
      </c>
    </row>
    <row r="44" spans="2:11" ht="15" customHeight="1" x14ac:dyDescent="0.35">
      <c r="B44" s="174" t="str">
        <f>IF(ISNUMBER('Funnel setup'!P57),VLOOKUP('Funnel setup'!$P57,'Provider Commission - Raw Data'!$A:$Q,5,0),"")</f>
        <v>RBD</v>
      </c>
      <c r="C44" s="175" t="str">
        <f>IF(ISNUMBER('Funnel setup'!P57),VLOOKUP('Funnel setup'!P57,'Provider Commission - Raw Data'!$A:$Q,6,0),"")</f>
        <v>DORSET COUNTY HOSPITAL NHS FOUNDATION TRUST (RBD)</v>
      </c>
      <c r="D44" s="176">
        <f>IF(ISNUMBER('Funnel setup'!P57),IF(VLOOKUP('Funnel setup'!P57,'Provider Commission - Raw Data'!$A:$Q,8,0)="-","",VLOOKUP('Funnel setup'!P57,'Provider Commission - Raw Data'!$A:$Q,8,0)),"")</f>
        <v>14</v>
      </c>
      <c r="E44" s="251" t="str">
        <f>IF(ISNUMBER('Funnel setup'!P57),IF(VLOOKUP('Funnel setup'!P57,'Provider Commission - Raw Data'!$A:$Q,16,0)="-","",VLOOKUP('Funnel setup'!P57,'Provider Commission - Raw Data'!$A:$Q,16,0)),"")</f>
        <v>*</v>
      </c>
      <c r="F44" s="177">
        <f>IF(AND(ISNUMBER('Funnel setup'!P57)),'Funnel setup'!$K$9,"")</f>
        <v>22.515359017022909</v>
      </c>
      <c r="G44" s="177" t="str">
        <f>IF(AND(ISNUMBER('Funnel setup'!P57),D44&gt;=30,E44&lt;&gt;"*",D44&lt;&gt;""),F44-1.959963985 *('Funnel setup'!$K$8/SQRT('Funnel Data'!D44)),"")</f>
        <v/>
      </c>
      <c r="H44" s="177" t="str">
        <f>IF(AND(ISNUMBER('Funnel setup'!P57),D44&gt;=30,E44&lt;&gt;"*",D44&lt;&gt;""),F44+1.959963985 *('Funnel setup'!$K$8/SQRT('Funnel Data'!D44)),"")</f>
        <v/>
      </c>
      <c r="I44" s="177" t="str">
        <f>IF(AND(ISNUMBER('Funnel setup'!P57),D44&gt;=30,E44&lt;&gt;"*",D44&lt;&gt;""),F44-3.090232306 *('Funnel setup'!$K$8/SQRT('Funnel Data'!D44)),"")</f>
        <v/>
      </c>
      <c r="J44" s="177" t="str">
        <f>IF(AND(ISNUMBER('Funnel setup'!P57),D44&gt;=30,E44&lt;&gt;"*",D44&lt;&gt;""),F44+3.090232306 *('Funnel setup'!$K$8/SQRT('Funnel Data'!D44)),"")</f>
        <v/>
      </c>
      <c r="K44" s="178" t="str">
        <f>IF(AND(ISNUMBER('Funnel setup'!P57),D44&gt;=30,E44&lt;&gt;"*",D44&lt;&gt;""),IF(E44&gt;J44,'Funnel setup'!$K$15&amp;"99.8%",IF(E44&gt;H44,'Funnel setup'!$K$15&amp;"95%",IF(E44&lt;I44,'Funnel setup'!$K$16&amp;"99.8%",IF(E44&lt;G44,'Funnel setup'!$K$16&amp;"95%","")))),"")</f>
        <v/>
      </c>
    </row>
    <row r="45" spans="2:11" ht="15" customHeight="1" x14ac:dyDescent="0.35">
      <c r="B45" s="174" t="str">
        <f>IF(ISNUMBER('Funnel setup'!P58),VLOOKUP('Funnel setup'!$P58,'Provider Commission - Raw Data'!$A:$Q,5,0),"")</f>
        <v>NT412</v>
      </c>
      <c r="C45" s="175" t="str">
        <f>IF(ISNUMBER('Funnel setup'!P58),VLOOKUP('Funnel setup'!P58,'Provider Commission - Raw Data'!$A:$Q,6,0),"")</f>
        <v>DROITWICH SPA HOSPITAL (NT412)</v>
      </c>
      <c r="D45" s="176">
        <f>IF(ISNUMBER('Funnel setup'!P58),IF(VLOOKUP('Funnel setup'!P58,'Provider Commission - Raw Data'!$A:$Q,8,0)="-","",VLOOKUP('Funnel setup'!P58,'Provider Commission - Raw Data'!$A:$Q,8,0)),"")</f>
        <v>25</v>
      </c>
      <c r="E45" s="251" t="str">
        <f>IF(ISNUMBER('Funnel setup'!P58),IF(VLOOKUP('Funnel setup'!P58,'Provider Commission - Raw Data'!$A:$Q,16,0)="-","",VLOOKUP('Funnel setup'!P58,'Provider Commission - Raw Data'!$A:$Q,16,0)),"")</f>
        <v>*</v>
      </c>
      <c r="F45" s="177">
        <f>IF(AND(ISNUMBER('Funnel setup'!P58)),'Funnel setup'!$K$9,"")</f>
        <v>22.515359017022909</v>
      </c>
      <c r="G45" s="177" t="str">
        <f>IF(AND(ISNUMBER('Funnel setup'!P58),D45&gt;=30,E45&lt;&gt;"*",D45&lt;&gt;""),F45-1.959963985 *('Funnel setup'!$K$8/SQRT('Funnel Data'!D45)),"")</f>
        <v/>
      </c>
      <c r="H45" s="177" t="str">
        <f>IF(AND(ISNUMBER('Funnel setup'!P58),D45&gt;=30,E45&lt;&gt;"*",D45&lt;&gt;""),F45+1.959963985 *('Funnel setup'!$K$8/SQRT('Funnel Data'!D45)),"")</f>
        <v/>
      </c>
      <c r="I45" s="177" t="str">
        <f>IF(AND(ISNUMBER('Funnel setup'!P58),D45&gt;=30,E45&lt;&gt;"*",D45&lt;&gt;""),F45-3.090232306 *('Funnel setup'!$K$8/SQRT('Funnel Data'!D45)),"")</f>
        <v/>
      </c>
      <c r="J45" s="177" t="str">
        <f>IF(AND(ISNUMBER('Funnel setup'!P58),D45&gt;=30,E45&lt;&gt;"*",D45&lt;&gt;""),F45+3.090232306 *('Funnel setup'!$K$8/SQRT('Funnel Data'!D45)),"")</f>
        <v/>
      </c>
      <c r="K45" s="178" t="str">
        <f>IF(AND(ISNUMBER('Funnel setup'!P58),D45&gt;=30,E45&lt;&gt;"*",D45&lt;&gt;""),IF(E45&gt;J45,'Funnel setup'!$K$15&amp;"99.8%",IF(E45&gt;H45,'Funnel setup'!$K$15&amp;"95%",IF(E45&lt;I45,'Funnel setup'!$K$16&amp;"99.8%",IF(E45&lt;G45,'Funnel setup'!$K$16&amp;"95%","")))),"")</f>
        <v/>
      </c>
    </row>
    <row r="46" spans="2:11" ht="15" customHeight="1" x14ac:dyDescent="0.35">
      <c r="B46" s="174" t="str">
        <f>IF(ISNUMBER('Funnel setup'!P59),VLOOKUP('Funnel setup'!$P59,'Provider Commission - Raw Data'!$A:$Q,5,0),"")</f>
        <v>NT447</v>
      </c>
      <c r="C46" s="175" t="str">
        <f>IF(ISNUMBER('Funnel setup'!P59),VLOOKUP('Funnel setup'!P59,'Provider Commission - Raw Data'!$A:$Q,6,0),"")</f>
        <v>DUCHY HOSPITAL (NT447)</v>
      </c>
      <c r="D46" s="176">
        <f>IF(ISNUMBER('Funnel setup'!P59),IF(VLOOKUP('Funnel setup'!P59,'Provider Commission - Raw Data'!$A:$Q,8,0)="-","",VLOOKUP('Funnel setup'!P59,'Provider Commission - Raw Data'!$A:$Q,8,0)),"")</f>
        <v>29</v>
      </c>
      <c r="E46" s="251" t="str">
        <f>IF(ISNUMBER('Funnel setup'!P59),IF(VLOOKUP('Funnel setup'!P59,'Provider Commission - Raw Data'!$A:$Q,16,0)="-","",VLOOKUP('Funnel setup'!P59,'Provider Commission - Raw Data'!$A:$Q,16,0)),"")</f>
        <v>*</v>
      </c>
      <c r="F46" s="177">
        <f>IF(AND(ISNUMBER('Funnel setup'!P59)),'Funnel setup'!$K$9,"")</f>
        <v>22.515359017022909</v>
      </c>
      <c r="G46" s="177" t="str">
        <f>IF(AND(ISNUMBER('Funnel setup'!P59),D46&gt;=30,E46&lt;&gt;"*",D46&lt;&gt;""),F46-1.959963985 *('Funnel setup'!$K$8/SQRT('Funnel Data'!D46)),"")</f>
        <v/>
      </c>
      <c r="H46" s="177" t="str">
        <f>IF(AND(ISNUMBER('Funnel setup'!P59),D46&gt;=30,E46&lt;&gt;"*",D46&lt;&gt;""),F46+1.959963985 *('Funnel setup'!$K$8/SQRT('Funnel Data'!D46)),"")</f>
        <v/>
      </c>
      <c r="I46" s="177" t="str">
        <f>IF(AND(ISNUMBER('Funnel setup'!P59),D46&gt;=30,E46&lt;&gt;"*",D46&lt;&gt;""),F46-3.090232306 *('Funnel setup'!$K$8/SQRT('Funnel Data'!D46)),"")</f>
        <v/>
      </c>
      <c r="J46" s="177" t="str">
        <f>IF(AND(ISNUMBER('Funnel setup'!P59),D46&gt;=30,E46&lt;&gt;"*",D46&lt;&gt;""),F46+3.090232306 *('Funnel setup'!$K$8/SQRT('Funnel Data'!D46)),"")</f>
        <v/>
      </c>
      <c r="K46" s="178" t="str">
        <f>IF(AND(ISNUMBER('Funnel setup'!P59),D46&gt;=30,E46&lt;&gt;"*",D46&lt;&gt;""),IF(E46&gt;J46,'Funnel setup'!$K$15&amp;"99.8%",IF(E46&gt;H46,'Funnel setup'!$K$15&amp;"95%",IF(E46&lt;I46,'Funnel setup'!$K$16&amp;"99.8%",IF(E46&lt;G46,'Funnel setup'!$K$16&amp;"95%","")))),"")</f>
        <v/>
      </c>
    </row>
    <row r="47" spans="2:11" ht="15" customHeight="1" x14ac:dyDescent="0.35">
      <c r="B47" s="174" t="str">
        <f>IF(ISNUMBER('Funnel setup'!P60),VLOOKUP('Funnel setup'!$P60,'Provider Commission - Raw Data'!$A:$Q,5,0),"")</f>
        <v>NVC04</v>
      </c>
      <c r="C47" s="175" t="str">
        <f>IF(ISNUMBER('Funnel setup'!P60),VLOOKUP('Funnel setup'!P60,'Provider Commission - Raw Data'!$A:$Q,6,0),"")</f>
        <v>DUCHY HOSPITAL (NVC04)</v>
      </c>
      <c r="D47" s="176">
        <f>IF(ISNUMBER('Funnel setup'!P60),IF(VLOOKUP('Funnel setup'!P60,'Provider Commission - Raw Data'!$A:$Q,8,0)="-","",VLOOKUP('Funnel setup'!P60,'Provider Commission - Raw Data'!$A:$Q,8,0)),"")</f>
        <v>25</v>
      </c>
      <c r="E47" s="251" t="str">
        <f>IF(ISNUMBER('Funnel setup'!P60),IF(VLOOKUP('Funnel setup'!P60,'Provider Commission - Raw Data'!$A:$Q,16,0)="-","",VLOOKUP('Funnel setup'!P60,'Provider Commission - Raw Data'!$A:$Q,16,0)),"")</f>
        <v>*</v>
      </c>
      <c r="F47" s="177">
        <f>IF(AND(ISNUMBER('Funnel setup'!P60)),'Funnel setup'!$K$9,"")</f>
        <v>22.515359017022909</v>
      </c>
      <c r="G47" s="177" t="str">
        <f>IF(AND(ISNUMBER('Funnel setup'!P60),D47&gt;=30,E47&lt;&gt;"*",D47&lt;&gt;""),F47-1.959963985 *('Funnel setup'!$K$8/SQRT('Funnel Data'!D47)),"")</f>
        <v/>
      </c>
      <c r="H47" s="177" t="str">
        <f>IF(AND(ISNUMBER('Funnel setup'!P60),D47&gt;=30,E47&lt;&gt;"*",D47&lt;&gt;""),F47+1.959963985 *('Funnel setup'!$K$8/SQRT('Funnel Data'!D47)),"")</f>
        <v/>
      </c>
      <c r="I47" s="177" t="str">
        <f>IF(AND(ISNUMBER('Funnel setup'!P60),D47&gt;=30,E47&lt;&gt;"*",D47&lt;&gt;""),F47-3.090232306 *('Funnel setup'!$K$8/SQRT('Funnel Data'!D47)),"")</f>
        <v/>
      </c>
      <c r="J47" s="177" t="str">
        <f>IF(AND(ISNUMBER('Funnel setup'!P60),D47&gt;=30,E47&lt;&gt;"*",D47&lt;&gt;""),F47+3.090232306 *('Funnel setup'!$K$8/SQRT('Funnel Data'!D47)),"")</f>
        <v/>
      </c>
      <c r="K47" s="178" t="str">
        <f>IF(AND(ISNUMBER('Funnel setup'!P60),D47&gt;=30,E47&lt;&gt;"*",D47&lt;&gt;""),IF(E47&gt;J47,'Funnel setup'!$K$15&amp;"99.8%",IF(E47&gt;H47,'Funnel setup'!$K$15&amp;"95%",IF(E47&lt;I47,'Funnel setup'!$K$16&amp;"99.8%",IF(E47&lt;G47,'Funnel setup'!$K$16&amp;"95%","")))),"")</f>
        <v/>
      </c>
    </row>
    <row r="48" spans="2:11" ht="15" customHeight="1" x14ac:dyDescent="0.35">
      <c r="B48" s="174" t="str">
        <f>IF(ISNUMBER('Funnel setup'!P61),VLOOKUP('Funnel setup'!$P61,'Provider Commission - Raw Data'!$A:$Q,5,0),"")</f>
        <v>RWH</v>
      </c>
      <c r="C48" s="175" t="str">
        <f>IF(ISNUMBER('Funnel setup'!P61),VLOOKUP('Funnel setup'!P61,'Provider Commission - Raw Data'!$A:$Q,6,0),"")</f>
        <v>EAST AND NORTH HERTFORDSHIRE NHS TRUST (RWH)</v>
      </c>
      <c r="D48" s="176">
        <f>IF(ISNUMBER('Funnel setup'!P61),IF(VLOOKUP('Funnel setup'!P61,'Provider Commission - Raw Data'!$A:$Q,8,0)="-","",VLOOKUP('Funnel setup'!P61,'Provider Commission - Raw Data'!$A:$Q,8,0)),"")</f>
        <v>44</v>
      </c>
      <c r="E48" s="251">
        <f>IF(ISNUMBER('Funnel setup'!P61),IF(VLOOKUP('Funnel setup'!P61,'Provider Commission - Raw Data'!$A:$Q,16,0)="-","",VLOOKUP('Funnel setup'!P61,'Provider Commission - Raw Data'!$A:$Q,16,0)),"")</f>
        <v>22.792000000000002</v>
      </c>
      <c r="F48" s="177">
        <f>IF(AND(ISNUMBER('Funnel setup'!P61)),'Funnel setup'!$K$9,"")</f>
        <v>22.515359017022909</v>
      </c>
      <c r="G48" s="177">
        <f>IF(AND(ISNUMBER('Funnel setup'!P61),D48&gt;=30,E48&lt;&gt;"*",D48&lt;&gt;""),F48-1.959963985 *('Funnel setup'!$K$8/SQRT('Funnel Data'!D48)),"")</f>
        <v>20.06911138704044</v>
      </c>
      <c r="H48" s="177">
        <f>IF(AND(ISNUMBER('Funnel setup'!P61),D48&gt;=30,E48&lt;&gt;"*",D48&lt;&gt;""),F48+1.959963985 *('Funnel setup'!$K$8/SQRT('Funnel Data'!D48)),"")</f>
        <v>24.961606647005379</v>
      </c>
      <c r="I48" s="177">
        <f>IF(AND(ISNUMBER('Funnel setup'!P61),D48&gt;=30,E48&lt;&gt;"*",D48&lt;&gt;""),F48-3.090232306 *('Funnel setup'!$K$8/SQRT('Funnel Data'!D48)),"")</f>
        <v>18.658413934102033</v>
      </c>
      <c r="J48" s="177">
        <f>IF(AND(ISNUMBER('Funnel setup'!P61),D48&gt;=30,E48&lt;&gt;"*",D48&lt;&gt;""),F48+3.090232306 *('Funnel setup'!$K$8/SQRT('Funnel Data'!D48)),"")</f>
        <v>26.372304099943786</v>
      </c>
      <c r="K48" s="178" t="str">
        <f>IF(AND(ISNUMBER('Funnel setup'!P61),D48&gt;=30,E48&lt;&gt;"*",D48&lt;&gt;""),IF(E48&gt;J48,'Funnel setup'!$K$15&amp;"99.8%",IF(E48&gt;H48,'Funnel setup'!$K$15&amp;"95%",IF(E48&lt;I48,'Funnel setup'!$K$16&amp;"99.8%",IF(E48&lt;G48,'Funnel setup'!$K$16&amp;"95%","")))),"")</f>
        <v/>
      </c>
    </row>
    <row r="49" spans="2:11" ht="15" customHeight="1" x14ac:dyDescent="0.35">
      <c r="B49" s="174" t="str">
        <f>IF(ISNUMBER('Funnel setup'!P62),VLOOKUP('Funnel setup'!$P62,'Provider Commission - Raw Data'!$A:$Q,5,0),"")</f>
        <v>RJN</v>
      </c>
      <c r="C49" s="175" t="str">
        <f>IF(ISNUMBER('Funnel setup'!P62),VLOOKUP('Funnel setup'!P62,'Provider Commission - Raw Data'!$A:$Q,6,0),"")</f>
        <v>EAST CHESHIRE NHS TRUST (RJN)</v>
      </c>
      <c r="D49" s="176">
        <f>IF(ISNUMBER('Funnel setup'!P62),IF(VLOOKUP('Funnel setup'!P62,'Provider Commission - Raw Data'!$A:$Q,8,0)="-","",VLOOKUP('Funnel setup'!P62,'Provider Commission - Raw Data'!$A:$Q,8,0)),"")</f>
        <v>5</v>
      </c>
      <c r="E49" s="251" t="str">
        <f>IF(ISNUMBER('Funnel setup'!P62),IF(VLOOKUP('Funnel setup'!P62,'Provider Commission - Raw Data'!$A:$Q,16,0)="-","",VLOOKUP('Funnel setup'!P62,'Provider Commission - Raw Data'!$A:$Q,16,0)),"")</f>
        <v>*</v>
      </c>
      <c r="F49" s="177">
        <f>IF(AND(ISNUMBER('Funnel setup'!P62)),'Funnel setup'!$K$9,"")</f>
        <v>22.515359017022909</v>
      </c>
      <c r="G49" s="177" t="str">
        <f>IF(AND(ISNUMBER('Funnel setup'!P62),D49&gt;=30,E49&lt;&gt;"*",D49&lt;&gt;""),F49-1.959963985 *('Funnel setup'!$K$8/SQRT('Funnel Data'!D49)),"")</f>
        <v/>
      </c>
      <c r="H49" s="177" t="str">
        <f>IF(AND(ISNUMBER('Funnel setup'!P62),D49&gt;=30,E49&lt;&gt;"*",D49&lt;&gt;""),F49+1.959963985 *('Funnel setup'!$K$8/SQRT('Funnel Data'!D49)),"")</f>
        <v/>
      </c>
      <c r="I49" s="177" t="str">
        <f>IF(AND(ISNUMBER('Funnel setup'!P62),D49&gt;=30,E49&lt;&gt;"*",D49&lt;&gt;""),F49-3.090232306 *('Funnel setup'!$K$8/SQRT('Funnel Data'!D49)),"")</f>
        <v/>
      </c>
      <c r="J49" s="177" t="str">
        <f>IF(AND(ISNUMBER('Funnel setup'!P62),D49&gt;=30,E49&lt;&gt;"*",D49&lt;&gt;""),F49+3.090232306 *('Funnel setup'!$K$8/SQRT('Funnel Data'!D49)),"")</f>
        <v/>
      </c>
      <c r="K49" s="178" t="str">
        <f>IF(AND(ISNUMBER('Funnel setup'!P62),D49&gt;=30,E49&lt;&gt;"*",D49&lt;&gt;""),IF(E49&gt;J49,'Funnel setup'!$K$15&amp;"99.8%",IF(E49&gt;H49,'Funnel setup'!$K$15&amp;"95%",IF(E49&lt;I49,'Funnel setup'!$K$16&amp;"99.8%",IF(E49&lt;G49,'Funnel setup'!$K$16&amp;"95%","")))),"")</f>
        <v/>
      </c>
    </row>
    <row r="50" spans="2:11" ht="15" customHeight="1" x14ac:dyDescent="0.35">
      <c r="B50" s="174" t="str">
        <f>IF(ISNUMBER('Funnel setup'!P63),VLOOKUP('Funnel setup'!$P63,'Provider Commission - Raw Data'!$A:$Q,5,0),"")</f>
        <v>RVV</v>
      </c>
      <c r="C50" s="175" t="str">
        <f>IF(ISNUMBER('Funnel setup'!P63),VLOOKUP('Funnel setup'!P63,'Provider Commission - Raw Data'!$A:$Q,6,0),"")</f>
        <v>EAST KENT HOSPITALS UNIVERSITY NHS FOUNDATION TRUST (RVV)</v>
      </c>
      <c r="D50" s="176">
        <f>IF(ISNUMBER('Funnel setup'!P63),IF(VLOOKUP('Funnel setup'!P63,'Provider Commission - Raw Data'!$A:$Q,8,0)="-","",VLOOKUP('Funnel setup'!P63,'Provider Commission - Raw Data'!$A:$Q,8,0)),"")</f>
        <v>100</v>
      </c>
      <c r="E50" s="251">
        <f>IF(ISNUMBER('Funnel setup'!P63),IF(VLOOKUP('Funnel setup'!P63,'Provider Commission - Raw Data'!$A:$Q,16,0)="-","",VLOOKUP('Funnel setup'!P63,'Provider Commission - Raw Data'!$A:$Q,16,0)),"")</f>
        <v>23.294499999999999</v>
      </c>
      <c r="F50" s="177">
        <f>IF(AND(ISNUMBER('Funnel setup'!P63)),'Funnel setup'!$K$9,"")</f>
        <v>22.515359017022909</v>
      </c>
      <c r="G50" s="177">
        <f>IF(AND(ISNUMBER('Funnel setup'!P63),D50&gt;=30,E50&lt;&gt;"*",D50&lt;&gt;""),F50-1.959963985 *('Funnel setup'!$K$8/SQRT('Funnel Data'!D50)),"")</f>
        <v>20.89270191043331</v>
      </c>
      <c r="H50" s="177">
        <f>IF(AND(ISNUMBER('Funnel setup'!P63),D50&gt;=30,E50&lt;&gt;"*",D50&lt;&gt;""),F50+1.959963985 *('Funnel setup'!$K$8/SQRT('Funnel Data'!D50)),"")</f>
        <v>24.138016123612509</v>
      </c>
      <c r="I50" s="177">
        <f>IF(AND(ISNUMBER('Funnel setup'!P63),D50&gt;=30,E50&lt;&gt;"*",D50&lt;&gt;""),F50-3.090232306 *('Funnel setup'!$K$8/SQRT('Funnel Data'!D50)),"")</f>
        <v>19.956951081611962</v>
      </c>
      <c r="J50" s="177">
        <f>IF(AND(ISNUMBER('Funnel setup'!P63),D50&gt;=30,E50&lt;&gt;"*",D50&lt;&gt;""),F50+3.090232306 *('Funnel setup'!$K$8/SQRT('Funnel Data'!D50)),"")</f>
        <v>25.073766952433857</v>
      </c>
      <c r="K50" s="178" t="str">
        <f>IF(AND(ISNUMBER('Funnel setup'!P63),D50&gt;=30,E50&lt;&gt;"*",D50&lt;&gt;""),IF(E50&gt;J50,'Funnel setup'!$K$15&amp;"99.8%",IF(E50&gt;H50,'Funnel setup'!$K$15&amp;"95%",IF(E50&lt;I50,'Funnel setup'!$K$16&amp;"99.8%",IF(E50&lt;G50,'Funnel setup'!$K$16&amp;"95%","")))),"")</f>
        <v/>
      </c>
    </row>
    <row r="51" spans="2:11" ht="15" customHeight="1" x14ac:dyDescent="0.35">
      <c r="B51" s="174" t="str">
        <f>IF(ISNUMBER('Funnel setup'!P64),VLOOKUP('Funnel setup'!$P64,'Provider Commission - Raw Data'!$A:$Q,5,0),"")</f>
        <v>RXR</v>
      </c>
      <c r="C51" s="175" t="str">
        <f>IF(ISNUMBER('Funnel setup'!P64),VLOOKUP('Funnel setup'!P64,'Provider Commission - Raw Data'!$A:$Q,6,0),"")</f>
        <v>EAST LANCASHIRE HOSPITALS NHS TRUST (RXR)</v>
      </c>
      <c r="D51" s="176">
        <f>IF(ISNUMBER('Funnel setup'!P64),IF(VLOOKUP('Funnel setup'!P64,'Provider Commission - Raw Data'!$A:$Q,8,0)="-","",VLOOKUP('Funnel setup'!P64,'Provider Commission - Raw Data'!$A:$Q,8,0)),"")</f>
        <v>96</v>
      </c>
      <c r="E51" s="251">
        <f>IF(ISNUMBER('Funnel setup'!P64),IF(VLOOKUP('Funnel setup'!P64,'Provider Commission - Raw Data'!$A:$Q,16,0)="-","",VLOOKUP('Funnel setup'!P64,'Provider Commission - Raw Data'!$A:$Q,16,0)),"")</f>
        <v>24.2653</v>
      </c>
      <c r="F51" s="177">
        <f>IF(AND(ISNUMBER('Funnel setup'!P64)),'Funnel setup'!$K$9,"")</f>
        <v>22.515359017022909</v>
      </c>
      <c r="G51" s="177">
        <f>IF(AND(ISNUMBER('Funnel setup'!P64),D51&gt;=30,E51&lt;&gt;"*",D51&lt;&gt;""),F51-1.959963985 *('Funnel setup'!$K$8/SQRT('Funnel Data'!D51)),"")</f>
        <v>20.859241542587302</v>
      </c>
      <c r="H51" s="177">
        <f>IF(AND(ISNUMBER('Funnel setup'!P64),D51&gt;=30,E51&lt;&gt;"*",D51&lt;&gt;""),F51+1.959963985 *('Funnel setup'!$K$8/SQRT('Funnel Data'!D51)),"")</f>
        <v>24.171476491458517</v>
      </c>
      <c r="I51" s="177">
        <f>IF(AND(ISNUMBER('Funnel setup'!P64),D51&gt;=30,E51&lt;&gt;"*",D51&lt;&gt;""),F51-3.090232306 *('Funnel setup'!$K$8/SQRT('Funnel Data'!D51)),"")</f>
        <v>19.904194852171155</v>
      </c>
      <c r="J51" s="177">
        <f>IF(AND(ISNUMBER('Funnel setup'!P64),D51&gt;=30,E51&lt;&gt;"*",D51&lt;&gt;""),F51+3.090232306 *('Funnel setup'!$K$8/SQRT('Funnel Data'!D51)),"")</f>
        <v>25.126523181874663</v>
      </c>
      <c r="K51" s="178" t="str">
        <f>IF(AND(ISNUMBER('Funnel setup'!P64),D51&gt;=30,E51&lt;&gt;"*",D51&lt;&gt;""),IF(E51&gt;J51,'Funnel setup'!$K$15&amp;"99.8%",IF(E51&gt;H51,'Funnel setup'!$K$15&amp;"95%",IF(E51&lt;I51,'Funnel setup'!$K$16&amp;"99.8%",IF(E51&lt;G51,'Funnel setup'!$K$16&amp;"95%","")))),"")</f>
        <v>Upper 95%</v>
      </c>
    </row>
    <row r="52" spans="2:11" ht="15" customHeight="1" x14ac:dyDescent="0.35">
      <c r="B52" s="174" t="str">
        <f>IF(ISNUMBER('Funnel setup'!P65),VLOOKUP('Funnel setup'!$P65,'Provider Commission - Raw Data'!$A:$Q,5,0),"")</f>
        <v>RDE</v>
      </c>
      <c r="C52" s="175" t="str">
        <f>IF(ISNUMBER('Funnel setup'!P65),VLOOKUP('Funnel setup'!P65,'Provider Commission - Raw Data'!$A:$Q,6,0),"")</f>
        <v>EAST SUFFOLK AND NORTH ESSEX NHS FOUNDATION TRUST (RDE)</v>
      </c>
      <c r="D52" s="176">
        <f>IF(ISNUMBER('Funnel setup'!P65),IF(VLOOKUP('Funnel setup'!P65,'Provider Commission - Raw Data'!$A:$Q,8,0)="-","",VLOOKUP('Funnel setup'!P65,'Provider Commission - Raw Data'!$A:$Q,8,0)),"")</f>
        <v>147</v>
      </c>
      <c r="E52" s="251">
        <f>IF(ISNUMBER('Funnel setup'!P65),IF(VLOOKUP('Funnel setup'!P65,'Provider Commission - Raw Data'!$A:$Q,16,0)="-","",VLOOKUP('Funnel setup'!P65,'Provider Commission - Raw Data'!$A:$Q,16,0)),"")</f>
        <v>23.359400000000001</v>
      </c>
      <c r="F52" s="177">
        <f>IF(AND(ISNUMBER('Funnel setup'!P65)),'Funnel setup'!$K$9,"")</f>
        <v>22.515359017022909</v>
      </c>
      <c r="G52" s="177">
        <f>IF(AND(ISNUMBER('Funnel setup'!P65),D52&gt;=30,E52&lt;&gt;"*",D52&lt;&gt;""),F52-1.959963985 *('Funnel setup'!$K$8/SQRT('Funnel Data'!D52)),"")</f>
        <v>21.177013992320102</v>
      </c>
      <c r="H52" s="177">
        <f>IF(AND(ISNUMBER('Funnel setup'!P65),D52&gt;=30,E52&lt;&gt;"*",D52&lt;&gt;""),F52+1.959963985 *('Funnel setup'!$K$8/SQRT('Funnel Data'!D52)),"")</f>
        <v>23.853704041725717</v>
      </c>
      <c r="I52" s="177">
        <f>IF(AND(ISNUMBER('Funnel setup'!P65),D52&gt;=30,E52&lt;&gt;"*",D52&lt;&gt;""),F52-3.090232306 *('Funnel setup'!$K$8/SQRT('Funnel Data'!D52)),"")</f>
        <v>20.405219716728073</v>
      </c>
      <c r="J52" s="177">
        <f>IF(AND(ISNUMBER('Funnel setup'!P65),D52&gt;=30,E52&lt;&gt;"*",D52&lt;&gt;""),F52+3.090232306 *('Funnel setup'!$K$8/SQRT('Funnel Data'!D52)),"")</f>
        <v>24.625498317317746</v>
      </c>
      <c r="K52" s="178" t="str">
        <f>IF(AND(ISNUMBER('Funnel setup'!P65),D52&gt;=30,E52&lt;&gt;"*",D52&lt;&gt;""),IF(E52&gt;J52,'Funnel setup'!$K$15&amp;"99.8%",IF(E52&gt;H52,'Funnel setup'!$K$15&amp;"95%",IF(E52&lt;I52,'Funnel setup'!$K$16&amp;"99.8%",IF(E52&lt;G52,'Funnel setup'!$K$16&amp;"95%","")))),"")</f>
        <v/>
      </c>
    </row>
    <row r="53" spans="2:11" ht="15" customHeight="1" x14ac:dyDescent="0.35">
      <c r="B53" s="174" t="str">
        <f>IF(ISNUMBER('Funnel setup'!P66),VLOOKUP('Funnel setup'!$P66,'Provider Commission - Raw Data'!$A:$Q,5,0),"")</f>
        <v>RXC</v>
      </c>
      <c r="C53" s="175" t="str">
        <f>IF(ISNUMBER('Funnel setup'!P66),VLOOKUP('Funnel setup'!P66,'Provider Commission - Raw Data'!$A:$Q,6,0),"")</f>
        <v>EAST SUSSEX HEALTHCARE NHS TRUST (RXC)</v>
      </c>
      <c r="D53" s="176">
        <f>IF(ISNUMBER('Funnel setup'!P66),IF(VLOOKUP('Funnel setup'!P66,'Provider Commission - Raw Data'!$A:$Q,8,0)="-","",VLOOKUP('Funnel setup'!P66,'Provider Commission - Raw Data'!$A:$Q,8,0)),"")</f>
        <v>101</v>
      </c>
      <c r="E53" s="251">
        <f>IF(ISNUMBER('Funnel setup'!P66),IF(VLOOKUP('Funnel setup'!P66,'Provider Commission - Raw Data'!$A:$Q,16,0)="-","",VLOOKUP('Funnel setup'!P66,'Provider Commission - Raw Data'!$A:$Q,16,0)),"")</f>
        <v>23.320399999999999</v>
      </c>
      <c r="F53" s="177">
        <f>IF(AND(ISNUMBER('Funnel setup'!P66)),'Funnel setup'!$K$9,"")</f>
        <v>22.515359017022909</v>
      </c>
      <c r="G53" s="177">
        <f>IF(AND(ISNUMBER('Funnel setup'!P66),D53&gt;=30,E53&lt;&gt;"*",D53&lt;&gt;""),F53-1.959963985 *('Funnel setup'!$K$8/SQRT('Funnel Data'!D53)),"")</f>
        <v>20.900754849007722</v>
      </c>
      <c r="H53" s="177">
        <f>IF(AND(ISNUMBER('Funnel setup'!P66),D53&gt;=30,E53&lt;&gt;"*",D53&lt;&gt;""),F53+1.959963985 *('Funnel setup'!$K$8/SQRT('Funnel Data'!D53)),"")</f>
        <v>24.129963185038097</v>
      </c>
      <c r="I53" s="177">
        <f>IF(AND(ISNUMBER('Funnel setup'!P66),D53&gt;=30,E53&lt;&gt;"*",D53&lt;&gt;""),F53-3.090232306 *('Funnel setup'!$K$8/SQRT('Funnel Data'!D53)),"")</f>
        <v>19.969647973560658</v>
      </c>
      <c r="J53" s="177">
        <f>IF(AND(ISNUMBER('Funnel setup'!P66),D53&gt;=30,E53&lt;&gt;"*",D53&lt;&gt;""),F53+3.090232306 *('Funnel setup'!$K$8/SQRT('Funnel Data'!D53)),"")</f>
        <v>25.061070060485161</v>
      </c>
      <c r="K53" s="178" t="str">
        <f>IF(AND(ISNUMBER('Funnel setup'!P66),D53&gt;=30,E53&lt;&gt;"*",D53&lt;&gt;""),IF(E53&gt;J53,'Funnel setup'!$K$15&amp;"99.8%",IF(E53&gt;H53,'Funnel setup'!$K$15&amp;"95%",IF(E53&lt;I53,'Funnel setup'!$K$16&amp;"99.8%",IF(E53&lt;G53,'Funnel setup'!$K$16&amp;"95%","")))),"")</f>
        <v/>
      </c>
    </row>
    <row r="54" spans="2:11" ht="15" customHeight="1" x14ac:dyDescent="0.35">
      <c r="B54" s="174" t="str">
        <f>IF(ISNUMBER('Funnel setup'!P67),VLOOKUP('Funnel setup'!$P67,'Provider Commission - Raw Data'!$A:$Q,5,0),"")</f>
        <v>RVR</v>
      </c>
      <c r="C54" s="175" t="str">
        <f>IF(ISNUMBER('Funnel setup'!P67),VLOOKUP('Funnel setup'!P67,'Provider Commission - Raw Data'!$A:$Q,6,0),"")</f>
        <v>EPSOM AND ST HELIER UNIVERSITY HOSPITALS NHS TRUST (RVR)</v>
      </c>
      <c r="D54" s="176">
        <f>IF(ISNUMBER('Funnel setup'!P67),IF(VLOOKUP('Funnel setup'!P67,'Provider Commission - Raw Data'!$A:$Q,8,0)="-","",VLOOKUP('Funnel setup'!P67,'Provider Commission - Raw Data'!$A:$Q,8,0)),"")</f>
        <v>568</v>
      </c>
      <c r="E54" s="251">
        <f>IF(ISNUMBER('Funnel setup'!P67),IF(VLOOKUP('Funnel setup'!P67,'Provider Commission - Raw Data'!$A:$Q,16,0)="-","",VLOOKUP('Funnel setup'!P67,'Provider Commission - Raw Data'!$A:$Q,16,0)),"")</f>
        <v>22.7761</v>
      </c>
      <c r="F54" s="177">
        <f>IF(AND(ISNUMBER('Funnel setup'!P67)),'Funnel setup'!$K$9,"")</f>
        <v>22.515359017022909</v>
      </c>
      <c r="G54" s="177">
        <f>IF(AND(ISNUMBER('Funnel setup'!P67),D54&gt;=30,E54&lt;&gt;"*",D54&lt;&gt;""),F54-1.959963985 *('Funnel setup'!$K$8/SQRT('Funnel Data'!D54)),"")</f>
        <v>21.834507219644092</v>
      </c>
      <c r="H54" s="177">
        <f>IF(AND(ISNUMBER('Funnel setup'!P67),D54&gt;=30,E54&lt;&gt;"*",D54&lt;&gt;""),F54+1.959963985 *('Funnel setup'!$K$8/SQRT('Funnel Data'!D54)),"")</f>
        <v>23.196210814401727</v>
      </c>
      <c r="I54" s="177">
        <f>IF(AND(ISNUMBER('Funnel setup'!P67),D54&gt;=30,E54&lt;&gt;"*",D54&lt;&gt;""),F54-3.090232306 *('Funnel setup'!$K$8/SQRT('Funnel Data'!D54)),"")</f>
        <v>21.441874893865315</v>
      </c>
      <c r="J54" s="177">
        <f>IF(AND(ISNUMBER('Funnel setup'!P67),D54&gt;=30,E54&lt;&gt;"*",D54&lt;&gt;""),F54+3.090232306 *('Funnel setup'!$K$8/SQRT('Funnel Data'!D54)),"")</f>
        <v>23.588843140180504</v>
      </c>
      <c r="K54" s="178" t="str">
        <f>IF(AND(ISNUMBER('Funnel setup'!P67),D54&gt;=30,E54&lt;&gt;"*",D54&lt;&gt;""),IF(E54&gt;J54,'Funnel setup'!$K$15&amp;"99.8%",IF(E54&gt;H54,'Funnel setup'!$K$15&amp;"95%",IF(E54&lt;I54,'Funnel setup'!$K$16&amp;"99.8%",IF(E54&lt;G54,'Funnel setup'!$K$16&amp;"95%","")))),"")</f>
        <v/>
      </c>
    </row>
    <row r="55" spans="2:11" ht="15" customHeight="1" x14ac:dyDescent="0.35">
      <c r="B55" s="174" t="str">
        <f>IF(ISNUMBER('Funnel setup'!P68),VLOOKUP('Funnel setup'!$P68,'Provider Commission - Raw Data'!$A:$Q,5,0),"")</f>
        <v>NVC05</v>
      </c>
      <c r="C55" s="175" t="str">
        <f>IF(ISNUMBER('Funnel setup'!P68),VLOOKUP('Funnel setup'!P68,'Provider Commission - Raw Data'!$A:$Q,6,0),"")</f>
        <v>EUXTON HALL HOSPITAL (NVC05)</v>
      </c>
      <c r="D55" s="176">
        <f>IF(ISNUMBER('Funnel setup'!P68),IF(VLOOKUP('Funnel setup'!P68,'Provider Commission - Raw Data'!$A:$Q,8,0)="-","",VLOOKUP('Funnel setup'!P68,'Provider Commission - Raw Data'!$A:$Q,8,0)),"")</f>
        <v>59</v>
      </c>
      <c r="E55" s="251">
        <f>IF(ISNUMBER('Funnel setup'!P68),IF(VLOOKUP('Funnel setup'!P68,'Provider Commission - Raw Data'!$A:$Q,16,0)="-","",VLOOKUP('Funnel setup'!P68,'Provider Commission - Raw Data'!$A:$Q,16,0)),"")</f>
        <v>24.320900000000002</v>
      </c>
      <c r="F55" s="177">
        <f>IF(AND(ISNUMBER('Funnel setup'!P68)),'Funnel setup'!$K$9,"")</f>
        <v>22.515359017022909</v>
      </c>
      <c r="G55" s="177">
        <f>IF(AND(ISNUMBER('Funnel setup'!P68),D55&gt;=30,E55&lt;&gt;"*",D55&lt;&gt;""),F55-1.959963985 *('Funnel setup'!$K$8/SQRT('Funnel Data'!D55)),"")</f>
        <v>20.402839401000964</v>
      </c>
      <c r="H55" s="177">
        <f>IF(AND(ISNUMBER('Funnel setup'!P68),D55&gt;=30,E55&lt;&gt;"*",D55&lt;&gt;""),F55+1.959963985 *('Funnel setup'!$K$8/SQRT('Funnel Data'!D55)),"")</f>
        <v>24.627878633044855</v>
      </c>
      <c r="I55" s="177">
        <f>IF(AND(ISNUMBER('Funnel setup'!P68),D55&gt;=30,E55&lt;&gt;"*",D55&lt;&gt;""),F55-3.090232306 *('Funnel setup'!$K$8/SQRT('Funnel Data'!D55)),"")</f>
        <v>19.184595587464415</v>
      </c>
      <c r="J55" s="177">
        <f>IF(AND(ISNUMBER('Funnel setup'!P68),D55&gt;=30,E55&lt;&gt;"*",D55&lt;&gt;""),F55+3.090232306 *('Funnel setup'!$K$8/SQRT('Funnel Data'!D55)),"")</f>
        <v>25.846122446581404</v>
      </c>
      <c r="K55" s="178" t="str">
        <f>IF(AND(ISNUMBER('Funnel setup'!P68),D55&gt;=30,E55&lt;&gt;"*",D55&lt;&gt;""),IF(E55&gt;J55,'Funnel setup'!$K$15&amp;"99.8%",IF(E55&gt;H55,'Funnel setup'!$K$15&amp;"95%",IF(E55&lt;I55,'Funnel setup'!$K$16&amp;"99.8%",IF(E55&lt;G55,'Funnel setup'!$K$16&amp;"95%","")))),"")</f>
        <v/>
      </c>
    </row>
    <row r="56" spans="2:11" ht="15" customHeight="1" x14ac:dyDescent="0.35">
      <c r="B56" s="174" t="str">
        <f>IF(ISNUMBER('Funnel setup'!P69),VLOOKUP('Funnel setup'!$P69,'Provider Commission - Raw Data'!$A:$Q,5,0),"")</f>
        <v>NVG01</v>
      </c>
      <c r="C56" s="175" t="str">
        <f>IF(ISNUMBER('Funnel setup'!P69),VLOOKUP('Funnel setup'!P69,'Provider Commission - Raw Data'!$A:$Q,6,0),"")</f>
        <v>FAIRFIELD HOSPITAL (NVG01)</v>
      </c>
      <c r="D56" s="176">
        <f>IF(ISNUMBER('Funnel setup'!P69),IF(VLOOKUP('Funnel setup'!P69,'Provider Commission - Raw Data'!$A:$Q,8,0)="-","",VLOOKUP('Funnel setup'!P69,'Provider Commission - Raw Data'!$A:$Q,8,0)),"")</f>
        <v>42</v>
      </c>
      <c r="E56" s="251">
        <f>IF(ISNUMBER('Funnel setup'!P69),IF(VLOOKUP('Funnel setup'!P69,'Provider Commission - Raw Data'!$A:$Q,16,0)="-","",VLOOKUP('Funnel setup'!P69,'Provider Commission - Raw Data'!$A:$Q,16,0)),"")</f>
        <v>20.5381</v>
      </c>
      <c r="F56" s="177">
        <f>IF(AND(ISNUMBER('Funnel setup'!P69)),'Funnel setup'!$K$9,"")</f>
        <v>22.515359017022909</v>
      </c>
      <c r="G56" s="177">
        <f>IF(AND(ISNUMBER('Funnel setup'!P69),D56&gt;=30,E56&lt;&gt;"*",D56&lt;&gt;""),F56-1.959963985 *('Funnel setup'!$K$8/SQRT('Funnel Data'!D56)),"")</f>
        <v>20.011544743157206</v>
      </c>
      <c r="H56" s="177">
        <f>IF(AND(ISNUMBER('Funnel setup'!P69),D56&gt;=30,E56&lt;&gt;"*",D56&lt;&gt;""),F56+1.959963985 *('Funnel setup'!$K$8/SQRT('Funnel Data'!D56)),"")</f>
        <v>25.019173290888613</v>
      </c>
      <c r="I56" s="177">
        <f>IF(AND(ISNUMBER('Funnel setup'!P69),D56&gt;=30,E56&lt;&gt;"*",D56&lt;&gt;""),F56-3.090232306 *('Funnel setup'!$K$8/SQRT('Funnel Data'!D56)),"")</f>
        <v>18.567649866987821</v>
      </c>
      <c r="J56" s="177">
        <f>IF(AND(ISNUMBER('Funnel setup'!P69),D56&gt;=30,E56&lt;&gt;"*",D56&lt;&gt;""),F56+3.090232306 *('Funnel setup'!$K$8/SQRT('Funnel Data'!D56)),"")</f>
        <v>26.463068167057997</v>
      </c>
      <c r="K56" s="178" t="str">
        <f>IF(AND(ISNUMBER('Funnel setup'!P69),D56&gt;=30,E56&lt;&gt;"*",D56&lt;&gt;""),IF(E56&gt;J56,'Funnel setup'!$K$15&amp;"99.8%",IF(E56&gt;H56,'Funnel setup'!$K$15&amp;"95%",IF(E56&lt;I56,'Funnel setup'!$K$16&amp;"99.8%",IF(E56&lt;G56,'Funnel setup'!$K$16&amp;"95%","")))),"")</f>
        <v/>
      </c>
    </row>
    <row r="57" spans="2:11" ht="15" customHeight="1" x14ac:dyDescent="0.35">
      <c r="B57" s="174" t="str">
        <f>IF(ISNUMBER('Funnel setup'!P70),VLOOKUP('Funnel setup'!$P70,'Provider Commission - Raw Data'!$A:$Q,5,0),"")</f>
        <v>NVC06</v>
      </c>
      <c r="C57" s="175" t="str">
        <f>IF(ISNUMBER('Funnel setup'!P70),VLOOKUP('Funnel setup'!P70,'Provider Commission - Raw Data'!$A:$Q,6,0),"")</f>
        <v>FITZWILLIAM HOSPITAL (NVC06)</v>
      </c>
      <c r="D57" s="176">
        <f>IF(ISNUMBER('Funnel setup'!P70),IF(VLOOKUP('Funnel setup'!P70,'Provider Commission - Raw Data'!$A:$Q,8,0)="-","",VLOOKUP('Funnel setup'!P70,'Provider Commission - Raw Data'!$A:$Q,8,0)),"")</f>
        <v>60</v>
      </c>
      <c r="E57" s="251">
        <f>IF(ISNUMBER('Funnel setup'!P70),IF(VLOOKUP('Funnel setup'!P70,'Provider Commission - Raw Data'!$A:$Q,16,0)="-","",VLOOKUP('Funnel setup'!P70,'Provider Commission - Raw Data'!$A:$Q,16,0)),"")</f>
        <v>22.9937</v>
      </c>
      <c r="F57" s="177">
        <f>IF(AND(ISNUMBER('Funnel setup'!P70)),'Funnel setup'!$K$9,"")</f>
        <v>22.515359017022909</v>
      </c>
      <c r="G57" s="177">
        <f>IF(AND(ISNUMBER('Funnel setup'!P70),D57&gt;=30,E57&lt;&gt;"*",D57&lt;&gt;""),F57-1.959963985 *('Funnel setup'!$K$8/SQRT('Funnel Data'!D57)),"")</f>
        <v>20.420517700214031</v>
      </c>
      <c r="H57" s="177">
        <f>IF(AND(ISNUMBER('Funnel setup'!P70),D57&gt;=30,E57&lt;&gt;"*",D57&lt;&gt;""),F57+1.959963985 *('Funnel setup'!$K$8/SQRT('Funnel Data'!D57)),"")</f>
        <v>24.610200333831788</v>
      </c>
      <c r="I57" s="177">
        <f>IF(AND(ISNUMBER('Funnel setup'!P70),D57&gt;=30,E57&lt;&gt;"*",D57&lt;&gt;""),F57-3.090232306 *('Funnel setup'!$K$8/SQRT('Funnel Data'!D57)),"")</f>
        <v>19.21246857480574</v>
      </c>
      <c r="J57" s="177">
        <f>IF(AND(ISNUMBER('Funnel setup'!P70),D57&gt;=30,E57&lt;&gt;"*",D57&lt;&gt;""),F57+3.090232306 *('Funnel setup'!$K$8/SQRT('Funnel Data'!D57)),"")</f>
        <v>25.818249459240079</v>
      </c>
      <c r="K57" s="178" t="str">
        <f>IF(AND(ISNUMBER('Funnel setup'!P70),D57&gt;=30,E57&lt;&gt;"*",D57&lt;&gt;""),IF(E57&gt;J57,'Funnel setup'!$K$15&amp;"99.8%",IF(E57&gt;H57,'Funnel setup'!$K$15&amp;"95%",IF(E57&lt;I57,'Funnel setup'!$K$16&amp;"99.8%",IF(E57&lt;G57,'Funnel setup'!$K$16&amp;"95%","")))),"")</f>
        <v/>
      </c>
    </row>
    <row r="58" spans="2:11" ht="30" customHeight="1" x14ac:dyDescent="0.35">
      <c r="B58" s="174" t="str">
        <f>IF(ISNUMBER('Funnel setup'!P71),VLOOKUP('Funnel setup'!$P71,'Provider Commission - Raw Data'!$A:$Q,5,0),"")</f>
        <v>RDU</v>
      </c>
      <c r="C58" s="175" t="str">
        <f>IF(ISNUMBER('Funnel setup'!P71),VLOOKUP('Funnel setup'!P71,'Provider Commission - Raw Data'!$A:$Q,6,0),"")</f>
        <v>FRIMLEY HEALTH NHS FOUNDATION TRUST (RDU)</v>
      </c>
      <c r="D58" s="176">
        <f>IF(ISNUMBER('Funnel setup'!P71),IF(VLOOKUP('Funnel setup'!P71,'Provider Commission - Raw Data'!$A:$Q,8,0)="-","",VLOOKUP('Funnel setup'!P71,'Provider Commission - Raw Data'!$A:$Q,8,0)),"")</f>
        <v>191</v>
      </c>
      <c r="E58" s="251">
        <f>IF(ISNUMBER('Funnel setup'!P71),IF(VLOOKUP('Funnel setup'!P71,'Provider Commission - Raw Data'!$A:$Q,16,0)="-","",VLOOKUP('Funnel setup'!P71,'Provider Commission - Raw Data'!$A:$Q,16,0)),"")</f>
        <v>22.477799999999998</v>
      </c>
      <c r="F58" s="177">
        <f>IF(AND(ISNUMBER('Funnel setup'!P71)),'Funnel setup'!$K$9,"")</f>
        <v>22.515359017022909</v>
      </c>
      <c r="G58" s="177">
        <f>IF(AND(ISNUMBER('Funnel setup'!P71),D58&gt;=30,E58&lt;&gt;"*",D58&lt;&gt;""),F58-1.959963985 *('Funnel setup'!$K$8/SQRT('Funnel Data'!D58)),"")</f>
        <v>21.341245541597395</v>
      </c>
      <c r="H58" s="177">
        <f>IF(AND(ISNUMBER('Funnel setup'!P71),D58&gt;=30,E58&lt;&gt;"*",D58&lt;&gt;""),F58+1.959963985 *('Funnel setup'!$K$8/SQRT('Funnel Data'!D58)),"")</f>
        <v>23.689472492448424</v>
      </c>
      <c r="I58" s="177">
        <f>IF(AND(ISNUMBER('Funnel setup'!P71),D58&gt;=30,E58&lt;&gt;"*",D58&lt;&gt;""),F58-3.090232306 *('Funnel setup'!$K$8/SQRT('Funnel Data'!D58)),"")</f>
        <v>20.664160004980932</v>
      </c>
      <c r="J58" s="177">
        <f>IF(AND(ISNUMBER('Funnel setup'!P71),D58&gt;=30,E58&lt;&gt;"*",D58&lt;&gt;""),F58+3.090232306 *('Funnel setup'!$K$8/SQRT('Funnel Data'!D58)),"")</f>
        <v>24.366558029064887</v>
      </c>
      <c r="K58" s="178" t="str">
        <f>IF(AND(ISNUMBER('Funnel setup'!P71),D58&gt;=30,E58&lt;&gt;"*",D58&lt;&gt;""),IF(E58&gt;J58,'Funnel setup'!$K$15&amp;"99.8%",IF(E58&gt;H58,'Funnel setup'!$K$15&amp;"95%",IF(E58&lt;I58,'Funnel setup'!$K$16&amp;"99.8%",IF(E58&lt;G58,'Funnel setup'!$K$16&amp;"95%","")))),"")</f>
        <v/>
      </c>
    </row>
    <row r="59" spans="2:11" ht="30" customHeight="1" x14ac:dyDescent="0.35">
      <c r="B59" s="174" t="str">
        <f>IF(ISNUMBER('Funnel setup'!P72),VLOOKUP('Funnel setup'!$P72,'Provider Commission - Raw Data'!$A:$Q,5,0),"")</f>
        <v>NVC07</v>
      </c>
      <c r="C59" s="175" t="str">
        <f>IF(ISNUMBER('Funnel setup'!P72),VLOOKUP('Funnel setup'!P72,'Provider Commission - Raw Data'!$A:$Q,6,0),"")</f>
        <v>FULWOOD HALL HOSPITAL (NVC07)</v>
      </c>
      <c r="D59" s="176">
        <f>IF(ISNUMBER('Funnel setup'!P72),IF(VLOOKUP('Funnel setup'!P72,'Provider Commission - Raw Data'!$A:$Q,8,0)="-","",VLOOKUP('Funnel setup'!P72,'Provider Commission - Raw Data'!$A:$Q,8,0)),"")</f>
        <v>72</v>
      </c>
      <c r="E59" s="251">
        <f>IF(ISNUMBER('Funnel setup'!P72),IF(VLOOKUP('Funnel setup'!P72,'Provider Commission - Raw Data'!$A:$Q,16,0)="-","",VLOOKUP('Funnel setup'!P72,'Provider Commission - Raw Data'!$A:$Q,16,0)),"")</f>
        <v>23.514800000000001</v>
      </c>
      <c r="F59" s="177">
        <f>IF(AND(ISNUMBER('Funnel setup'!P72)),'Funnel setup'!$K$9,"")</f>
        <v>22.515359017022909</v>
      </c>
      <c r="G59" s="177">
        <f>IF(AND(ISNUMBER('Funnel setup'!P72),D59&gt;=30,E59&lt;&gt;"*",D59&lt;&gt;""),F59-1.959963985 *('Funnel setup'!$K$8/SQRT('Funnel Data'!D59)),"")</f>
        <v>20.603039277672828</v>
      </c>
      <c r="H59" s="177">
        <f>IF(AND(ISNUMBER('Funnel setup'!P72),D59&gt;=30,E59&lt;&gt;"*",D59&lt;&gt;""),F59+1.959963985 *('Funnel setup'!$K$8/SQRT('Funnel Data'!D59)),"")</f>
        <v>24.427678756372991</v>
      </c>
      <c r="I59" s="177">
        <f>IF(AND(ISNUMBER('Funnel setup'!P72),D59&gt;=30,E59&lt;&gt;"*",D59&lt;&gt;""),F59-3.090232306 *('Funnel setup'!$K$8/SQRT('Funnel Data'!D59)),"")</f>
        <v>19.500246350071983</v>
      </c>
      <c r="J59" s="177">
        <f>IF(AND(ISNUMBER('Funnel setup'!P72),D59&gt;=30,E59&lt;&gt;"*",D59&lt;&gt;""),F59+3.090232306 *('Funnel setup'!$K$8/SQRT('Funnel Data'!D59)),"")</f>
        <v>25.530471683973836</v>
      </c>
      <c r="K59" s="178" t="str">
        <f>IF(AND(ISNUMBER('Funnel setup'!P72),D59&gt;=30,E59&lt;&gt;"*",D59&lt;&gt;""),IF(E59&gt;J59,'Funnel setup'!$K$15&amp;"99.8%",IF(E59&gt;H59,'Funnel setup'!$K$15&amp;"95%",IF(E59&lt;I59,'Funnel setup'!$K$16&amp;"99.8%",IF(E59&lt;G59,'Funnel setup'!$K$16&amp;"95%","")))),"")</f>
        <v/>
      </c>
    </row>
    <row r="60" spans="2:11" ht="15" customHeight="1" x14ac:dyDescent="0.35">
      <c r="B60" s="174" t="str">
        <f>IF(ISNUMBER('Funnel setup'!P73),VLOOKUP('Funnel setup'!$P73,'Provider Commission - Raw Data'!$A:$Q,5,0),"")</f>
        <v>RR7</v>
      </c>
      <c r="C60" s="175" t="str">
        <f>IF(ISNUMBER('Funnel setup'!P73),VLOOKUP('Funnel setup'!P73,'Provider Commission - Raw Data'!$A:$Q,6,0),"")</f>
        <v>GATESHEAD HEALTH NHS FOUNDATION TRUST (RR7)</v>
      </c>
      <c r="D60" s="176">
        <f>IF(ISNUMBER('Funnel setup'!P73),IF(VLOOKUP('Funnel setup'!P73,'Provider Commission - Raw Data'!$A:$Q,8,0)="-","",VLOOKUP('Funnel setup'!P73,'Provider Commission - Raw Data'!$A:$Q,8,0)),"")</f>
        <v>51</v>
      </c>
      <c r="E60" s="251">
        <f>IF(ISNUMBER('Funnel setup'!P73),IF(VLOOKUP('Funnel setup'!P73,'Provider Commission - Raw Data'!$A:$Q,16,0)="-","",VLOOKUP('Funnel setup'!P73,'Provider Commission - Raw Data'!$A:$Q,16,0)),"")</f>
        <v>24.298400000000001</v>
      </c>
      <c r="F60" s="177">
        <f>IF(AND(ISNUMBER('Funnel setup'!P73)),'Funnel setup'!$K$9,"")</f>
        <v>22.515359017022909</v>
      </c>
      <c r="G60" s="177">
        <f>IF(AND(ISNUMBER('Funnel setup'!P73),D60&gt;=30,E60&lt;&gt;"*",D60&lt;&gt;""),F60-1.959963985 *('Funnel setup'!$K$8/SQRT('Funnel Data'!D60)),"")</f>
        <v>20.243184587458977</v>
      </c>
      <c r="H60" s="177">
        <f>IF(AND(ISNUMBER('Funnel setup'!P73),D60&gt;=30,E60&lt;&gt;"*",D60&lt;&gt;""),F60+1.959963985 *('Funnel setup'!$K$8/SQRT('Funnel Data'!D60)),"")</f>
        <v>24.787533446586842</v>
      </c>
      <c r="I60" s="177">
        <f>IF(AND(ISNUMBER('Funnel setup'!P73),D60&gt;=30,E60&lt;&gt;"*",D60&lt;&gt;""),F60-3.090232306 *('Funnel setup'!$K$8/SQRT('Funnel Data'!D60)),"")</f>
        <v>18.93287133824774</v>
      </c>
      <c r="J60" s="177">
        <f>IF(AND(ISNUMBER('Funnel setup'!P73),D60&gt;=30,E60&lt;&gt;"*",D60&lt;&gt;""),F60+3.090232306 *('Funnel setup'!$K$8/SQRT('Funnel Data'!D60)),"")</f>
        <v>26.097846695798079</v>
      </c>
      <c r="K60" s="178" t="str">
        <f>IF(AND(ISNUMBER('Funnel setup'!P73),D60&gt;=30,E60&lt;&gt;"*",D60&lt;&gt;""),IF(E60&gt;J60,'Funnel setup'!$K$15&amp;"99.8%",IF(E60&gt;H60,'Funnel setup'!$K$15&amp;"95%",IF(E60&lt;I60,'Funnel setup'!$K$16&amp;"99.8%",IF(E60&lt;G60,'Funnel setup'!$K$16&amp;"95%","")))),"")</f>
        <v/>
      </c>
    </row>
    <row r="61" spans="2:11" ht="15" customHeight="1" x14ac:dyDescent="0.35">
      <c r="B61" s="174" t="str">
        <f>IF(ISNUMBER('Funnel setup'!P74),VLOOKUP('Funnel setup'!$P74,'Provider Commission - Raw Data'!$A:$Q,5,0),"")</f>
        <v>RTE</v>
      </c>
      <c r="C61" s="175" t="str">
        <f>IF(ISNUMBER('Funnel setup'!P74),VLOOKUP('Funnel setup'!P74,'Provider Commission - Raw Data'!$A:$Q,6,0),"")</f>
        <v>GLOUCESTERSHIRE HOSPITALS NHS FOUNDATION TRUST (RTE)</v>
      </c>
      <c r="D61" s="176">
        <f>IF(ISNUMBER('Funnel setup'!P74),IF(VLOOKUP('Funnel setup'!P74,'Provider Commission - Raw Data'!$A:$Q,8,0)="-","",VLOOKUP('Funnel setup'!P74,'Provider Commission - Raw Data'!$A:$Q,8,0)),"")</f>
        <v>79</v>
      </c>
      <c r="E61" s="251">
        <f>IF(ISNUMBER('Funnel setup'!P74),IF(VLOOKUP('Funnel setup'!P74,'Provider Commission - Raw Data'!$A:$Q,16,0)="-","",VLOOKUP('Funnel setup'!P74,'Provider Commission - Raw Data'!$A:$Q,16,0)),"")</f>
        <v>22.404800000000002</v>
      </c>
      <c r="F61" s="177">
        <f>IF(AND(ISNUMBER('Funnel setup'!P74)),'Funnel setup'!$K$9,"")</f>
        <v>22.515359017022909</v>
      </c>
      <c r="G61" s="177">
        <f>IF(AND(ISNUMBER('Funnel setup'!P74),D61&gt;=30,E61&lt;&gt;"*",D61&lt;&gt;""),F61-1.959963985 *('Funnel setup'!$K$8/SQRT('Funnel Data'!D61)),"")</f>
        <v>20.689727139047321</v>
      </c>
      <c r="H61" s="177">
        <f>IF(AND(ISNUMBER('Funnel setup'!P74),D61&gt;=30,E61&lt;&gt;"*",D61&lt;&gt;""),F61+1.959963985 *('Funnel setup'!$K$8/SQRT('Funnel Data'!D61)),"")</f>
        <v>24.340990894998498</v>
      </c>
      <c r="I61" s="177">
        <f>IF(AND(ISNUMBER('Funnel setup'!P74),D61&gt;=30,E61&lt;&gt;"*",D61&lt;&gt;""),F61-3.090232306 *('Funnel setup'!$K$8/SQRT('Funnel Data'!D61)),"")</f>
        <v>19.636925203258922</v>
      </c>
      <c r="J61" s="177">
        <f>IF(AND(ISNUMBER('Funnel setup'!P74),D61&gt;=30,E61&lt;&gt;"*",D61&lt;&gt;""),F61+3.090232306 *('Funnel setup'!$K$8/SQRT('Funnel Data'!D61)),"")</f>
        <v>25.393792830786897</v>
      </c>
      <c r="K61" s="178" t="str">
        <f>IF(AND(ISNUMBER('Funnel setup'!P74),D61&gt;=30,E61&lt;&gt;"*",D61&lt;&gt;""),IF(E61&gt;J61,'Funnel setup'!$K$15&amp;"99.8%",IF(E61&gt;H61,'Funnel setup'!$K$15&amp;"95%",IF(E61&lt;I61,'Funnel setup'!$K$16&amp;"99.8%",IF(E61&lt;G61,'Funnel setup'!$K$16&amp;"95%","")))),"")</f>
        <v/>
      </c>
    </row>
    <row r="62" spans="2:11" ht="15" customHeight="1" x14ac:dyDescent="0.35">
      <c r="B62" s="174" t="str">
        <f>IF(ISNUMBER('Funnel setup'!P75),VLOOKUP('Funnel setup'!$P75,'Provider Commission - Raw Data'!$A:$Q,5,0),"")</f>
        <v>NT417</v>
      </c>
      <c r="C62" s="175" t="str">
        <f>IF(ISNUMBER('Funnel setup'!P75),VLOOKUP('Funnel setup'!P75,'Provider Commission - Raw Data'!$A:$Q,6,0),"")</f>
        <v>GORING HALL HOSPITAL (NT417)</v>
      </c>
      <c r="D62" s="176">
        <f>IF(ISNUMBER('Funnel setup'!P75),IF(VLOOKUP('Funnel setup'!P75,'Provider Commission - Raw Data'!$A:$Q,8,0)="-","",VLOOKUP('Funnel setup'!P75,'Provider Commission - Raw Data'!$A:$Q,8,0)),"")</f>
        <v>28</v>
      </c>
      <c r="E62" s="251" t="str">
        <f>IF(ISNUMBER('Funnel setup'!P75),IF(VLOOKUP('Funnel setup'!P75,'Provider Commission - Raw Data'!$A:$Q,16,0)="-","",VLOOKUP('Funnel setup'!P75,'Provider Commission - Raw Data'!$A:$Q,16,0)),"")</f>
        <v>*</v>
      </c>
      <c r="F62" s="177">
        <f>IF(AND(ISNUMBER('Funnel setup'!P75)),'Funnel setup'!$K$9,"")</f>
        <v>22.515359017022909</v>
      </c>
      <c r="G62" s="177" t="str">
        <f>IF(AND(ISNUMBER('Funnel setup'!P75),D62&gt;=30,E62&lt;&gt;"*",D62&lt;&gt;""),F62-1.959963985 *('Funnel setup'!$K$8/SQRT('Funnel Data'!D62)),"")</f>
        <v/>
      </c>
      <c r="H62" s="177" t="str">
        <f>IF(AND(ISNUMBER('Funnel setup'!P75),D62&gt;=30,E62&lt;&gt;"*",D62&lt;&gt;""),F62+1.959963985 *('Funnel setup'!$K$8/SQRT('Funnel Data'!D62)),"")</f>
        <v/>
      </c>
      <c r="I62" s="177" t="str">
        <f>IF(AND(ISNUMBER('Funnel setup'!P75),D62&gt;=30,E62&lt;&gt;"*",D62&lt;&gt;""),F62-3.090232306 *('Funnel setup'!$K$8/SQRT('Funnel Data'!D62)),"")</f>
        <v/>
      </c>
      <c r="J62" s="177" t="str">
        <f>IF(AND(ISNUMBER('Funnel setup'!P75),D62&gt;=30,E62&lt;&gt;"*",D62&lt;&gt;""),F62+3.090232306 *('Funnel setup'!$K$8/SQRT('Funnel Data'!D62)),"")</f>
        <v/>
      </c>
      <c r="K62" s="178" t="str">
        <f>IF(AND(ISNUMBER('Funnel setup'!P75),D62&gt;=30,E62&lt;&gt;"*",D62&lt;&gt;""),IF(E62&gt;J62,'Funnel setup'!$K$15&amp;"99.8%",IF(E62&gt;H62,'Funnel setup'!$K$15&amp;"95%",IF(E62&lt;I62,'Funnel setup'!$K$16&amp;"99.8%",IF(E62&lt;G62,'Funnel setup'!$K$16&amp;"95%","")))),"")</f>
        <v/>
      </c>
    </row>
    <row r="63" spans="2:11" ht="15" customHeight="1" x14ac:dyDescent="0.35">
      <c r="B63" s="174" t="str">
        <f>IF(ISNUMBER('Funnel setup'!P76),VLOOKUP('Funnel setup'!$P76,'Provider Commission - Raw Data'!$A:$Q,5,0),"")</f>
        <v>RJ1</v>
      </c>
      <c r="C63" s="175" t="str">
        <f>IF(ISNUMBER('Funnel setup'!P76),VLOOKUP('Funnel setup'!P76,'Provider Commission - Raw Data'!$A:$Q,6,0),"")</f>
        <v>GUY'S AND ST THOMAS' NHS FOUNDATION TRUST (RJ1)</v>
      </c>
      <c r="D63" s="176">
        <f>IF(ISNUMBER('Funnel setup'!P76),IF(VLOOKUP('Funnel setup'!P76,'Provider Commission - Raw Data'!$A:$Q,8,0)="-","",VLOOKUP('Funnel setup'!P76,'Provider Commission - Raw Data'!$A:$Q,8,0)),"")</f>
        <v>81</v>
      </c>
      <c r="E63" s="251">
        <f>IF(ISNUMBER('Funnel setup'!P76),IF(VLOOKUP('Funnel setup'!P76,'Provider Commission - Raw Data'!$A:$Q,16,0)="-","",VLOOKUP('Funnel setup'!P76,'Provider Commission - Raw Data'!$A:$Q,16,0)),"")</f>
        <v>19.8</v>
      </c>
      <c r="F63" s="177">
        <f>IF(AND(ISNUMBER('Funnel setup'!P76)),'Funnel setup'!$K$9,"")</f>
        <v>22.515359017022909</v>
      </c>
      <c r="G63" s="177">
        <f>IF(AND(ISNUMBER('Funnel setup'!P76),D63&gt;=30,E63&lt;&gt;"*",D63&lt;&gt;""),F63-1.959963985 *('Funnel setup'!$K$8/SQRT('Funnel Data'!D63)),"")</f>
        <v>20.712406676367799</v>
      </c>
      <c r="H63" s="177">
        <f>IF(AND(ISNUMBER('Funnel setup'!P76),D63&gt;=30,E63&lt;&gt;"*",D63&lt;&gt;""),F63+1.959963985 *('Funnel setup'!$K$8/SQRT('Funnel Data'!D63)),"")</f>
        <v>24.31831135767802</v>
      </c>
      <c r="I63" s="177">
        <f>IF(AND(ISNUMBER('Funnel setup'!P76),D63&gt;=30,E63&lt;&gt;"*",D63&lt;&gt;""),F63-3.090232306 *('Funnel setup'!$K$8/SQRT('Funnel Data'!D63)),"")</f>
        <v>19.672683533232966</v>
      </c>
      <c r="J63" s="177">
        <f>IF(AND(ISNUMBER('Funnel setup'!P76),D63&gt;=30,E63&lt;&gt;"*",D63&lt;&gt;""),F63+3.090232306 *('Funnel setup'!$K$8/SQRT('Funnel Data'!D63)),"")</f>
        <v>25.358034500812852</v>
      </c>
      <c r="K63" s="178" t="str">
        <f>IF(AND(ISNUMBER('Funnel setup'!P76),D63&gt;=30,E63&lt;&gt;"*",D63&lt;&gt;""),IF(E63&gt;J63,'Funnel setup'!$K$15&amp;"99.8%",IF(E63&gt;H63,'Funnel setup'!$K$15&amp;"95%",IF(E63&lt;I63,'Funnel setup'!$K$16&amp;"99.8%",IF(E63&lt;G63,'Funnel setup'!$K$16&amp;"95%","")))),"")</f>
        <v>Lower 95%</v>
      </c>
    </row>
    <row r="64" spans="2:11" ht="15" customHeight="1" x14ac:dyDescent="0.35">
      <c r="B64" s="174" t="str">
        <f>IF(ISNUMBER('Funnel setup'!P77),VLOOKUP('Funnel setup'!$P77,'Provider Commission - Raw Data'!$A:$Q,5,0),"")</f>
        <v>NT418</v>
      </c>
      <c r="C64" s="175" t="str">
        <f>IF(ISNUMBER('Funnel setup'!P77),VLOOKUP('Funnel setup'!P77,'Provider Commission - Raw Data'!$A:$Q,6,0),"")</f>
        <v>HAMPSHIRE CLINIC (NT418)</v>
      </c>
      <c r="D64" s="176">
        <f>IF(ISNUMBER('Funnel setup'!P77),IF(VLOOKUP('Funnel setup'!P77,'Provider Commission - Raw Data'!$A:$Q,8,0)="-","",VLOOKUP('Funnel setup'!P77,'Provider Commission - Raw Data'!$A:$Q,8,0)),"")</f>
        <v>28</v>
      </c>
      <c r="E64" s="251" t="str">
        <f>IF(ISNUMBER('Funnel setup'!P77),IF(VLOOKUP('Funnel setup'!P77,'Provider Commission - Raw Data'!$A:$Q,16,0)="-","",VLOOKUP('Funnel setup'!P77,'Provider Commission - Raw Data'!$A:$Q,16,0)),"")</f>
        <v>*</v>
      </c>
      <c r="F64" s="177">
        <f>IF(AND(ISNUMBER('Funnel setup'!P77)),'Funnel setup'!$K$9,"")</f>
        <v>22.515359017022909</v>
      </c>
      <c r="G64" s="177" t="str">
        <f>IF(AND(ISNUMBER('Funnel setup'!P77),D64&gt;=30,E64&lt;&gt;"*",D64&lt;&gt;""),F64-1.959963985 *('Funnel setup'!$K$8/SQRT('Funnel Data'!D64)),"")</f>
        <v/>
      </c>
      <c r="H64" s="177" t="str">
        <f>IF(AND(ISNUMBER('Funnel setup'!P77),D64&gt;=30,E64&lt;&gt;"*",D64&lt;&gt;""),F64+1.959963985 *('Funnel setup'!$K$8/SQRT('Funnel Data'!D64)),"")</f>
        <v/>
      </c>
      <c r="I64" s="177" t="str">
        <f>IF(AND(ISNUMBER('Funnel setup'!P77),D64&gt;=30,E64&lt;&gt;"*",D64&lt;&gt;""),F64-3.090232306 *('Funnel setup'!$K$8/SQRT('Funnel Data'!D64)),"")</f>
        <v/>
      </c>
      <c r="J64" s="177" t="str">
        <f>IF(AND(ISNUMBER('Funnel setup'!P77),D64&gt;=30,E64&lt;&gt;"*",D64&lt;&gt;""),F64+3.090232306 *('Funnel setup'!$K$8/SQRT('Funnel Data'!D64)),"")</f>
        <v/>
      </c>
      <c r="K64" s="178" t="str">
        <f>IF(AND(ISNUMBER('Funnel setup'!P77),D64&gt;=30,E64&lt;&gt;"*",D64&lt;&gt;""),IF(E64&gt;J64,'Funnel setup'!$K$15&amp;"99.8%",IF(E64&gt;H64,'Funnel setup'!$K$15&amp;"95%",IF(E64&lt;I64,'Funnel setup'!$K$16&amp;"99.8%",IF(E64&lt;G64,'Funnel setup'!$K$16&amp;"95%","")))),"")</f>
        <v/>
      </c>
    </row>
    <row r="65" spans="2:11" ht="15" customHeight="1" x14ac:dyDescent="0.35">
      <c r="B65" s="174" t="str">
        <f>IF(ISNUMBER('Funnel setup'!P78),VLOOKUP('Funnel setup'!$P78,'Provider Commission - Raw Data'!$A:$Q,5,0),"")</f>
        <v>RN5</v>
      </c>
      <c r="C65" s="175" t="str">
        <f>IF(ISNUMBER('Funnel setup'!P78),VLOOKUP('Funnel setup'!P78,'Provider Commission - Raw Data'!$A:$Q,6,0),"")</f>
        <v>HAMPSHIRE HOSPITALS NHS FOUNDATION TRUST (RN5)</v>
      </c>
      <c r="D65" s="176">
        <f>IF(ISNUMBER('Funnel setup'!P78),IF(VLOOKUP('Funnel setup'!P78,'Provider Commission - Raw Data'!$A:$Q,8,0)="-","",VLOOKUP('Funnel setup'!P78,'Provider Commission - Raw Data'!$A:$Q,8,0)),"")</f>
        <v>38</v>
      </c>
      <c r="E65" s="251">
        <f>IF(ISNUMBER('Funnel setup'!P78),IF(VLOOKUP('Funnel setup'!P78,'Provider Commission - Raw Data'!$A:$Q,16,0)="-","",VLOOKUP('Funnel setup'!P78,'Provider Commission - Raw Data'!$A:$Q,16,0)),"")</f>
        <v>22.7896</v>
      </c>
      <c r="F65" s="177">
        <f>IF(AND(ISNUMBER('Funnel setup'!P78)),'Funnel setup'!$K$9,"")</f>
        <v>22.515359017022909</v>
      </c>
      <c r="G65" s="177">
        <f>IF(AND(ISNUMBER('Funnel setup'!P78),D65&gt;=30,E65&lt;&gt;"*",D65&lt;&gt;""),F65-1.959963985 *('Funnel setup'!$K$8/SQRT('Funnel Data'!D65)),"")</f>
        <v>19.883061598633947</v>
      </c>
      <c r="H65" s="177">
        <f>IF(AND(ISNUMBER('Funnel setup'!P78),D65&gt;=30,E65&lt;&gt;"*",D65&lt;&gt;""),F65+1.959963985 *('Funnel setup'!$K$8/SQRT('Funnel Data'!D65)),"")</f>
        <v>25.147656435411871</v>
      </c>
      <c r="I65" s="177">
        <f>IF(AND(ISNUMBER('Funnel setup'!P78),D65&gt;=30,E65&lt;&gt;"*",D65&lt;&gt;""),F65-3.090232306 *('Funnel setup'!$K$8/SQRT('Funnel Data'!D65)),"")</f>
        <v>18.365073305877068</v>
      </c>
      <c r="J65" s="177">
        <f>IF(AND(ISNUMBER('Funnel setup'!P78),D65&gt;=30,E65&lt;&gt;"*",D65&lt;&gt;""),F65+3.090232306 *('Funnel setup'!$K$8/SQRT('Funnel Data'!D65)),"")</f>
        <v>26.665644728168751</v>
      </c>
      <c r="K65" s="178" t="str">
        <f>IF(AND(ISNUMBER('Funnel setup'!P78),D65&gt;=30,E65&lt;&gt;"*",D65&lt;&gt;""),IF(E65&gt;J65,'Funnel setup'!$K$15&amp;"99.8%",IF(E65&gt;H65,'Funnel setup'!$K$15&amp;"95%",IF(E65&lt;I65,'Funnel setup'!$K$16&amp;"99.8%",IF(E65&lt;G65,'Funnel setup'!$K$16&amp;"95%","")))),"")</f>
        <v/>
      </c>
    </row>
    <row r="66" spans="2:11" ht="30" customHeight="1" x14ac:dyDescent="0.35">
      <c r="B66" s="174" t="str">
        <f>IF(ISNUMBER('Funnel setup'!P79),VLOOKUP('Funnel setup'!$P79,'Provider Commission - Raw Data'!$A:$Q,5,0),"")</f>
        <v>NT419</v>
      </c>
      <c r="C66" s="175" t="str">
        <f>IF(ISNUMBER('Funnel setup'!P79),VLOOKUP('Funnel setup'!P79,'Provider Commission - Raw Data'!$A:$Q,6,0),"")</f>
        <v>HARBOUR HOSPITAL (NT419)</v>
      </c>
      <c r="D66" s="176">
        <f>IF(ISNUMBER('Funnel setup'!P79),IF(VLOOKUP('Funnel setup'!P79,'Provider Commission - Raw Data'!$A:$Q,8,0)="-","",VLOOKUP('Funnel setup'!P79,'Provider Commission - Raw Data'!$A:$Q,8,0)),"")</f>
        <v>10</v>
      </c>
      <c r="E66" s="251" t="str">
        <f>IF(ISNUMBER('Funnel setup'!P79),IF(VLOOKUP('Funnel setup'!P79,'Provider Commission - Raw Data'!$A:$Q,16,0)="-","",VLOOKUP('Funnel setup'!P79,'Provider Commission - Raw Data'!$A:$Q,16,0)),"")</f>
        <v>*</v>
      </c>
      <c r="F66" s="177">
        <f>IF(AND(ISNUMBER('Funnel setup'!P79)),'Funnel setup'!$K$9,"")</f>
        <v>22.515359017022909</v>
      </c>
      <c r="G66" s="177" t="str">
        <f>IF(AND(ISNUMBER('Funnel setup'!P79),D66&gt;=30,E66&lt;&gt;"*",D66&lt;&gt;""),F66-1.959963985 *('Funnel setup'!$K$8/SQRT('Funnel Data'!D66)),"")</f>
        <v/>
      </c>
      <c r="H66" s="177" t="str">
        <f>IF(AND(ISNUMBER('Funnel setup'!P79),D66&gt;=30,E66&lt;&gt;"*",D66&lt;&gt;""),F66+1.959963985 *('Funnel setup'!$K$8/SQRT('Funnel Data'!D66)),"")</f>
        <v/>
      </c>
      <c r="I66" s="177" t="str">
        <f>IF(AND(ISNUMBER('Funnel setup'!P79),D66&gt;=30,E66&lt;&gt;"*",D66&lt;&gt;""),F66-3.090232306 *('Funnel setup'!$K$8/SQRT('Funnel Data'!D66)),"")</f>
        <v/>
      </c>
      <c r="J66" s="177" t="str">
        <f>IF(AND(ISNUMBER('Funnel setup'!P79),D66&gt;=30,E66&lt;&gt;"*",D66&lt;&gt;""),F66+3.090232306 *('Funnel setup'!$K$8/SQRT('Funnel Data'!D66)),"")</f>
        <v/>
      </c>
      <c r="K66" s="178" t="str">
        <f>IF(AND(ISNUMBER('Funnel setup'!P79),D66&gt;=30,E66&lt;&gt;"*",D66&lt;&gt;""),IF(E66&gt;J66,'Funnel setup'!$K$15&amp;"99.8%",IF(E66&gt;H66,'Funnel setup'!$K$15&amp;"95%",IF(E66&lt;I66,'Funnel setup'!$K$16&amp;"99.8%",IF(E66&lt;G66,'Funnel setup'!$K$16&amp;"95%","")))),"")</f>
        <v/>
      </c>
    </row>
    <row r="67" spans="2:11" ht="15" customHeight="1" x14ac:dyDescent="0.35">
      <c r="B67" s="174" t="str">
        <f>IF(ISNUMBER('Funnel setup'!P80),VLOOKUP('Funnel setup'!$P80,'Provider Commission - Raw Data'!$A:$Q,5,0),"")</f>
        <v>RCD</v>
      </c>
      <c r="C67" s="175" t="str">
        <f>IF(ISNUMBER('Funnel setup'!P80),VLOOKUP('Funnel setup'!P80,'Provider Commission - Raw Data'!$A:$Q,6,0),"")</f>
        <v>HARROGATE AND DISTRICT NHS FOUNDATION TRUST (RCD)</v>
      </c>
      <c r="D67" s="176">
        <f>IF(ISNUMBER('Funnel setup'!P80),IF(VLOOKUP('Funnel setup'!P80,'Provider Commission - Raw Data'!$A:$Q,8,0)="-","",VLOOKUP('Funnel setup'!P80,'Provider Commission - Raw Data'!$A:$Q,8,0)),"")</f>
        <v>90</v>
      </c>
      <c r="E67" s="251">
        <f>IF(ISNUMBER('Funnel setup'!P80),IF(VLOOKUP('Funnel setup'!P80,'Provider Commission - Raw Data'!$A:$Q,16,0)="-","",VLOOKUP('Funnel setup'!P80,'Provider Commission - Raw Data'!$A:$Q,16,0)),"")</f>
        <v>23.161300000000001</v>
      </c>
      <c r="F67" s="177">
        <f>IF(AND(ISNUMBER('Funnel setup'!P80)),'Funnel setup'!$K$9,"")</f>
        <v>22.515359017022909</v>
      </c>
      <c r="G67" s="177">
        <f>IF(AND(ISNUMBER('Funnel setup'!P80),D67&gt;=30,E67&lt;&gt;"*",D67&lt;&gt;""),F67-1.959963985 *('Funnel setup'!$K$8/SQRT('Funnel Data'!D67)),"")</f>
        <v>20.804928244262324</v>
      </c>
      <c r="H67" s="177">
        <f>IF(AND(ISNUMBER('Funnel setup'!P80),D67&gt;=30,E67&lt;&gt;"*",D67&lt;&gt;""),F67+1.959963985 *('Funnel setup'!$K$8/SQRT('Funnel Data'!D67)),"")</f>
        <v>24.225789789783494</v>
      </c>
      <c r="I67" s="177">
        <f>IF(AND(ISNUMBER('Funnel setup'!P80),D67&gt;=30,E67&lt;&gt;"*",D67&lt;&gt;""),F67-3.090232306 *('Funnel setup'!$K$8/SQRT('Funnel Data'!D67)),"")</f>
        <v>19.818560263773726</v>
      </c>
      <c r="J67" s="177">
        <f>IF(AND(ISNUMBER('Funnel setup'!P80),D67&gt;=30,E67&lt;&gt;"*",D67&lt;&gt;""),F67+3.090232306 *('Funnel setup'!$K$8/SQRT('Funnel Data'!D67)),"")</f>
        <v>25.212157770272093</v>
      </c>
      <c r="K67" s="178" t="str">
        <f>IF(AND(ISNUMBER('Funnel setup'!P80),D67&gt;=30,E67&lt;&gt;"*",D67&lt;&gt;""),IF(E67&gt;J67,'Funnel setup'!$K$15&amp;"99.8%",IF(E67&gt;H67,'Funnel setup'!$K$15&amp;"95%",IF(E67&lt;I67,'Funnel setup'!$K$16&amp;"99.8%",IF(E67&lt;G67,'Funnel setup'!$K$16&amp;"95%","")))),"")</f>
        <v/>
      </c>
    </row>
    <row r="68" spans="2:11" ht="15" customHeight="1" x14ac:dyDescent="0.35">
      <c r="B68" s="174" t="str">
        <f>IF(ISNUMBER('Funnel setup'!P81),VLOOKUP('Funnel setup'!$P81,'Provider Commission - Raw Data'!$A:$Q,5,0),"")</f>
        <v>NT420</v>
      </c>
      <c r="C68" s="175" t="str">
        <f>IF(ISNUMBER('Funnel setup'!P81),VLOOKUP('Funnel setup'!P81,'Provider Commission - Raw Data'!$A:$Q,6,0),"")</f>
        <v>HIGHFIELD HOSPITAL (NT420)</v>
      </c>
      <c r="D68" s="176">
        <f>IF(ISNUMBER('Funnel setup'!P81),IF(VLOOKUP('Funnel setup'!P81,'Provider Commission - Raw Data'!$A:$Q,8,0)="-","",VLOOKUP('Funnel setup'!P81,'Provider Commission - Raw Data'!$A:$Q,8,0)),"")</f>
        <v>143</v>
      </c>
      <c r="E68" s="251">
        <f>IF(ISNUMBER('Funnel setup'!P81),IF(VLOOKUP('Funnel setup'!P81,'Provider Commission - Raw Data'!$A:$Q,16,0)="-","",VLOOKUP('Funnel setup'!P81,'Provider Commission - Raw Data'!$A:$Q,16,0)),"")</f>
        <v>22.406099999999999</v>
      </c>
      <c r="F68" s="177">
        <f>IF(AND(ISNUMBER('Funnel setup'!P81)),'Funnel setup'!$K$9,"")</f>
        <v>22.515359017022909</v>
      </c>
      <c r="G68" s="177">
        <f>IF(AND(ISNUMBER('Funnel setup'!P81),D68&gt;=30,E68&lt;&gt;"*",D68&lt;&gt;""),F68-1.959963985 *('Funnel setup'!$K$8/SQRT('Funnel Data'!D68)),"")</f>
        <v>21.158424976656132</v>
      </c>
      <c r="H68" s="177">
        <f>IF(AND(ISNUMBER('Funnel setup'!P81),D68&gt;=30,E68&lt;&gt;"*",D68&lt;&gt;""),F68+1.959963985 *('Funnel setup'!$K$8/SQRT('Funnel Data'!D68)),"")</f>
        <v>23.872293057389687</v>
      </c>
      <c r="I68" s="177">
        <f>IF(AND(ISNUMBER('Funnel setup'!P81),D68&gt;=30,E68&lt;&gt;"*",D68&lt;&gt;""),F68-3.090232306 *('Funnel setup'!$K$8/SQRT('Funnel Data'!D68)),"")</f>
        <v>20.375910822696767</v>
      </c>
      <c r="J68" s="177">
        <f>IF(AND(ISNUMBER('Funnel setup'!P81),D68&gt;=30,E68&lt;&gt;"*",D68&lt;&gt;""),F68+3.090232306 *('Funnel setup'!$K$8/SQRT('Funnel Data'!D68)),"")</f>
        <v>24.654807211349052</v>
      </c>
      <c r="K68" s="178" t="str">
        <f>IF(AND(ISNUMBER('Funnel setup'!P81),D68&gt;=30,E68&lt;&gt;"*",D68&lt;&gt;""),IF(E68&gt;J68,'Funnel setup'!$K$15&amp;"99.8%",IF(E68&gt;H68,'Funnel setup'!$K$15&amp;"95%",IF(E68&lt;I68,'Funnel setup'!$K$16&amp;"99.8%",IF(E68&lt;G68,'Funnel setup'!$K$16&amp;"95%","")))),"")</f>
        <v/>
      </c>
    </row>
    <row r="69" spans="2:11" ht="15" customHeight="1" x14ac:dyDescent="0.35">
      <c r="B69" s="174" t="str">
        <f>IF(ISNUMBER('Funnel setup'!P82),VLOOKUP('Funnel setup'!$P82,'Provider Commission - Raw Data'!$A:$Q,5,0),"")</f>
        <v>RQX</v>
      </c>
      <c r="C69" s="175" t="str">
        <f>IF(ISNUMBER('Funnel setup'!P82),VLOOKUP('Funnel setup'!P82,'Provider Commission - Raw Data'!$A:$Q,6,0),"")</f>
        <v>HOMERTON HEALTHCARE NHS FOUNDATION TRUST (RQX)</v>
      </c>
      <c r="D69" s="176">
        <f>IF(ISNUMBER('Funnel setup'!P82),IF(VLOOKUP('Funnel setup'!P82,'Provider Commission - Raw Data'!$A:$Q,8,0)="-","",VLOOKUP('Funnel setup'!P82,'Provider Commission - Raw Data'!$A:$Q,8,0)),"")</f>
        <v>5</v>
      </c>
      <c r="E69" s="251" t="str">
        <f>IF(ISNUMBER('Funnel setup'!P82),IF(VLOOKUP('Funnel setup'!P82,'Provider Commission - Raw Data'!$A:$Q,16,0)="-","",VLOOKUP('Funnel setup'!P82,'Provider Commission - Raw Data'!$A:$Q,16,0)),"")</f>
        <v>*</v>
      </c>
      <c r="F69" s="177">
        <f>IF(AND(ISNUMBER('Funnel setup'!P82)),'Funnel setup'!$K$9,"")</f>
        <v>22.515359017022909</v>
      </c>
      <c r="G69" s="177" t="str">
        <f>IF(AND(ISNUMBER('Funnel setup'!P82),D69&gt;=30,E69&lt;&gt;"*",D69&lt;&gt;""),F69-1.959963985 *('Funnel setup'!$K$8/SQRT('Funnel Data'!D69)),"")</f>
        <v/>
      </c>
      <c r="H69" s="177" t="str">
        <f>IF(AND(ISNUMBER('Funnel setup'!P82),D69&gt;=30,E69&lt;&gt;"*",D69&lt;&gt;""),F69+1.959963985 *('Funnel setup'!$K$8/SQRT('Funnel Data'!D69)),"")</f>
        <v/>
      </c>
      <c r="I69" s="177" t="str">
        <f>IF(AND(ISNUMBER('Funnel setup'!P82),D69&gt;=30,E69&lt;&gt;"*",D69&lt;&gt;""),F69-3.090232306 *('Funnel setup'!$K$8/SQRT('Funnel Data'!D69)),"")</f>
        <v/>
      </c>
      <c r="J69" s="177" t="str">
        <f>IF(AND(ISNUMBER('Funnel setup'!P82),D69&gt;=30,E69&lt;&gt;"*",D69&lt;&gt;""),F69+3.090232306 *('Funnel setup'!$K$8/SQRT('Funnel Data'!D69)),"")</f>
        <v/>
      </c>
      <c r="K69" s="178" t="str">
        <f>IF(AND(ISNUMBER('Funnel setup'!P82),D69&gt;=30,E69&lt;&gt;"*",D69&lt;&gt;""),IF(E69&gt;J69,'Funnel setup'!$K$15&amp;"99.8%",IF(E69&gt;H69,'Funnel setup'!$K$15&amp;"95%",IF(E69&lt;I69,'Funnel setup'!$K$16&amp;"99.8%",IF(E69&lt;G69,'Funnel setup'!$K$16&amp;"95%","")))),"")</f>
        <v/>
      </c>
    </row>
    <row r="70" spans="2:11" ht="15" customHeight="1" x14ac:dyDescent="0.35">
      <c r="B70" s="174" t="str">
        <f>IF(ISNUMBER('Funnel setup'!P83),VLOOKUP('Funnel setup'!$P83,'Provider Commission - Raw Data'!$A:$Q,5,0),"")</f>
        <v>NT448</v>
      </c>
      <c r="C70" s="175" t="str">
        <f>IF(ISNUMBER('Funnel setup'!P83),VLOOKUP('Funnel setup'!P83,'Provider Commission - Raw Data'!$A:$Q,6,0),"")</f>
        <v>HUDDERSFIELD HOSPITAL (NT448)</v>
      </c>
      <c r="D70" s="176">
        <f>IF(ISNUMBER('Funnel setup'!P83),IF(VLOOKUP('Funnel setup'!P83,'Provider Commission - Raw Data'!$A:$Q,8,0)="-","",VLOOKUP('Funnel setup'!P83,'Provider Commission - Raw Data'!$A:$Q,8,0)),"")</f>
        <v>8</v>
      </c>
      <c r="E70" s="251" t="str">
        <f>IF(ISNUMBER('Funnel setup'!P83),IF(VLOOKUP('Funnel setup'!P83,'Provider Commission - Raw Data'!$A:$Q,16,0)="-","",VLOOKUP('Funnel setup'!P83,'Provider Commission - Raw Data'!$A:$Q,16,0)),"")</f>
        <v>*</v>
      </c>
      <c r="F70" s="177">
        <f>IF(AND(ISNUMBER('Funnel setup'!P83)),'Funnel setup'!$K$9,"")</f>
        <v>22.515359017022909</v>
      </c>
      <c r="G70" s="177" t="str">
        <f>IF(AND(ISNUMBER('Funnel setup'!P83),D70&gt;=30,E70&lt;&gt;"*",D70&lt;&gt;""),F70-1.959963985 *('Funnel setup'!$K$8/SQRT('Funnel Data'!D70)),"")</f>
        <v/>
      </c>
      <c r="H70" s="177" t="str">
        <f>IF(AND(ISNUMBER('Funnel setup'!P83),D70&gt;=30,E70&lt;&gt;"*",D70&lt;&gt;""),F70+1.959963985 *('Funnel setup'!$K$8/SQRT('Funnel Data'!D70)),"")</f>
        <v/>
      </c>
      <c r="I70" s="177" t="str">
        <f>IF(AND(ISNUMBER('Funnel setup'!P83),D70&gt;=30,E70&lt;&gt;"*",D70&lt;&gt;""),F70-3.090232306 *('Funnel setup'!$K$8/SQRT('Funnel Data'!D70)),"")</f>
        <v/>
      </c>
      <c r="J70" s="177" t="str">
        <f>IF(AND(ISNUMBER('Funnel setup'!P83),D70&gt;=30,E70&lt;&gt;"*",D70&lt;&gt;""),F70+3.090232306 *('Funnel setup'!$K$8/SQRT('Funnel Data'!D70)),"")</f>
        <v/>
      </c>
      <c r="K70" s="178" t="str">
        <f>IF(AND(ISNUMBER('Funnel setup'!P83),D70&gt;=30,E70&lt;&gt;"*",D70&lt;&gt;""),IF(E70&gt;J70,'Funnel setup'!$K$15&amp;"99.8%",IF(E70&gt;H70,'Funnel setup'!$K$15&amp;"95%",IF(E70&lt;I70,'Funnel setup'!$K$16&amp;"99.8%",IF(E70&lt;G70,'Funnel setup'!$K$16&amp;"95%","")))),"")</f>
        <v/>
      </c>
    </row>
    <row r="71" spans="2:11" ht="15" customHeight="1" x14ac:dyDescent="0.35">
      <c r="B71" s="174" t="str">
        <f>IF(ISNUMBER('Funnel setup'!P84),VLOOKUP('Funnel setup'!$P84,'Provider Commission - Raw Data'!$A:$Q,5,0),"")</f>
        <v>RWA</v>
      </c>
      <c r="C71" s="175" t="str">
        <f>IF(ISNUMBER('Funnel setup'!P84),VLOOKUP('Funnel setup'!P84,'Provider Commission - Raw Data'!$A:$Q,6,0),"")</f>
        <v>HULL UNIVERSITY TEACHING HOSPITALS NHS TRUST (RWA)</v>
      </c>
      <c r="D71" s="176">
        <f>IF(ISNUMBER('Funnel setup'!P84),IF(VLOOKUP('Funnel setup'!P84,'Provider Commission - Raw Data'!$A:$Q,8,0)="-","",VLOOKUP('Funnel setup'!P84,'Provider Commission - Raw Data'!$A:$Q,8,0)),"")</f>
        <v>40</v>
      </c>
      <c r="E71" s="251">
        <f>IF(ISNUMBER('Funnel setup'!P84),IF(VLOOKUP('Funnel setup'!P84,'Provider Commission - Raw Data'!$A:$Q,16,0)="-","",VLOOKUP('Funnel setup'!P84,'Provider Commission - Raw Data'!$A:$Q,16,0)),"")</f>
        <v>20.899899999999999</v>
      </c>
      <c r="F71" s="177">
        <f>IF(AND(ISNUMBER('Funnel setup'!P84)),'Funnel setup'!$K$9,"")</f>
        <v>22.515359017022909</v>
      </c>
      <c r="G71" s="177">
        <f>IF(AND(ISNUMBER('Funnel setup'!P84),D71&gt;=30,E71&lt;&gt;"*",D71&lt;&gt;""),F71-1.959963985 *('Funnel setup'!$K$8/SQRT('Funnel Data'!D71)),"")</f>
        <v>19.949712857882034</v>
      </c>
      <c r="H71" s="177">
        <f>IF(AND(ISNUMBER('Funnel setup'!P84),D71&gt;=30,E71&lt;&gt;"*",D71&lt;&gt;""),F71+1.959963985 *('Funnel setup'!$K$8/SQRT('Funnel Data'!D71)),"")</f>
        <v>25.081005176163785</v>
      </c>
      <c r="I71" s="177">
        <f>IF(AND(ISNUMBER('Funnel setup'!P84),D71&gt;=30,E71&lt;&gt;"*",D71&lt;&gt;""),F71-3.090232306 *('Funnel setup'!$K$8/SQRT('Funnel Data'!D71)),"")</f>
        <v>18.470160887149135</v>
      </c>
      <c r="J71" s="177">
        <f>IF(AND(ISNUMBER('Funnel setup'!P84),D71&gt;=30,E71&lt;&gt;"*",D71&lt;&gt;""),F71+3.090232306 *('Funnel setup'!$K$8/SQRT('Funnel Data'!D71)),"")</f>
        <v>26.560557146896684</v>
      </c>
      <c r="K71" s="178" t="str">
        <f>IF(AND(ISNUMBER('Funnel setup'!P84),D71&gt;=30,E71&lt;&gt;"*",D71&lt;&gt;""),IF(E71&gt;J71,'Funnel setup'!$K$15&amp;"99.8%",IF(E71&gt;H71,'Funnel setup'!$K$15&amp;"95%",IF(E71&lt;I71,'Funnel setup'!$K$16&amp;"99.8%",IF(E71&lt;G71,'Funnel setup'!$K$16&amp;"95%","")))),"")</f>
        <v/>
      </c>
    </row>
    <row r="72" spans="2:11" ht="15" customHeight="1" x14ac:dyDescent="0.35">
      <c r="B72" s="174" t="str">
        <f>IF(ISNUMBER('Funnel setup'!P85),VLOOKUP('Funnel setup'!$P85,'Provider Commission - Raw Data'!$A:$Q,5,0),"")</f>
        <v>RYJ</v>
      </c>
      <c r="C72" s="175" t="str">
        <f>IF(ISNUMBER('Funnel setup'!P85),VLOOKUP('Funnel setup'!P85,'Provider Commission - Raw Data'!$A:$Q,6,0),"")</f>
        <v>IMPERIAL COLLEGE HEALTHCARE NHS TRUST (RYJ)</v>
      </c>
      <c r="D72" s="176">
        <f>IF(ISNUMBER('Funnel setup'!P85),IF(VLOOKUP('Funnel setup'!P85,'Provider Commission - Raw Data'!$A:$Q,8,0)="-","",VLOOKUP('Funnel setup'!P85,'Provider Commission - Raw Data'!$A:$Q,8,0)),"")</f>
        <v>23</v>
      </c>
      <c r="E72" s="251" t="str">
        <f>IF(ISNUMBER('Funnel setup'!P85),IF(VLOOKUP('Funnel setup'!P85,'Provider Commission - Raw Data'!$A:$Q,16,0)="-","",VLOOKUP('Funnel setup'!P85,'Provider Commission - Raw Data'!$A:$Q,16,0)),"")</f>
        <v>*</v>
      </c>
      <c r="F72" s="177">
        <f>IF(AND(ISNUMBER('Funnel setup'!P85)),'Funnel setup'!$K$9,"")</f>
        <v>22.515359017022909</v>
      </c>
      <c r="G72" s="177" t="str">
        <f>IF(AND(ISNUMBER('Funnel setup'!P85),D72&gt;=30,E72&lt;&gt;"*",D72&lt;&gt;""),F72-1.959963985 *('Funnel setup'!$K$8/SQRT('Funnel Data'!D72)),"")</f>
        <v/>
      </c>
      <c r="H72" s="177" t="str">
        <f>IF(AND(ISNUMBER('Funnel setup'!P85),D72&gt;=30,E72&lt;&gt;"*",D72&lt;&gt;""),F72+1.959963985 *('Funnel setup'!$K$8/SQRT('Funnel Data'!D72)),"")</f>
        <v/>
      </c>
      <c r="I72" s="177" t="str">
        <f>IF(AND(ISNUMBER('Funnel setup'!P85),D72&gt;=30,E72&lt;&gt;"*",D72&lt;&gt;""),F72-3.090232306 *('Funnel setup'!$K$8/SQRT('Funnel Data'!D72)),"")</f>
        <v/>
      </c>
      <c r="J72" s="177" t="str">
        <f>IF(AND(ISNUMBER('Funnel setup'!P85),D72&gt;=30,E72&lt;&gt;"*",D72&lt;&gt;""),F72+3.090232306 *('Funnel setup'!$K$8/SQRT('Funnel Data'!D72)),"")</f>
        <v/>
      </c>
      <c r="K72" s="178" t="str">
        <f>IF(AND(ISNUMBER('Funnel setup'!P85),D72&gt;=30,E72&lt;&gt;"*",D72&lt;&gt;""),IF(E72&gt;J72,'Funnel setup'!$K$15&amp;"99.8%",IF(E72&gt;H72,'Funnel setup'!$K$15&amp;"95%",IF(E72&lt;I72,'Funnel setup'!$K$16&amp;"99.8%",IF(E72&lt;G72,'Funnel setup'!$K$16&amp;"95%","")))),"")</f>
        <v/>
      </c>
    </row>
    <row r="73" spans="2:11" ht="15" customHeight="1" x14ac:dyDescent="0.35">
      <c r="B73" s="174" t="str">
        <f>IF(ISNUMBER('Funnel setup'!P86),VLOOKUP('Funnel setup'!$P86,'Provider Commission - Raw Data'!$A:$Q,5,0),"")</f>
        <v>R1F</v>
      </c>
      <c r="C73" s="175" t="str">
        <f>IF(ISNUMBER('Funnel setup'!P86),VLOOKUP('Funnel setup'!P86,'Provider Commission - Raw Data'!$A:$Q,6,0),"")</f>
        <v>ISLE OF WIGHT NHS TRUST (R1F)</v>
      </c>
      <c r="D73" s="176">
        <f>IF(ISNUMBER('Funnel setup'!P86),IF(VLOOKUP('Funnel setup'!P86,'Provider Commission - Raw Data'!$A:$Q,8,0)="-","",VLOOKUP('Funnel setup'!P86,'Provider Commission - Raw Data'!$A:$Q,8,0)),"")</f>
        <v>2</v>
      </c>
      <c r="E73" s="251" t="str">
        <f>IF(ISNUMBER('Funnel setup'!P86),IF(VLOOKUP('Funnel setup'!P86,'Provider Commission - Raw Data'!$A:$Q,16,0)="-","",VLOOKUP('Funnel setup'!P86,'Provider Commission - Raw Data'!$A:$Q,16,0)),"")</f>
        <v>*</v>
      </c>
      <c r="F73" s="177">
        <f>IF(AND(ISNUMBER('Funnel setup'!P86)),'Funnel setup'!$K$9,"")</f>
        <v>22.515359017022909</v>
      </c>
      <c r="G73" s="177" t="str">
        <f>IF(AND(ISNUMBER('Funnel setup'!P86),D73&gt;=30,E73&lt;&gt;"*",D73&lt;&gt;""),F73-1.959963985 *('Funnel setup'!$K$8/SQRT('Funnel Data'!D73)),"")</f>
        <v/>
      </c>
      <c r="H73" s="177" t="str">
        <f>IF(AND(ISNUMBER('Funnel setup'!P86),D73&gt;=30,E73&lt;&gt;"*",D73&lt;&gt;""),F73+1.959963985 *('Funnel setup'!$K$8/SQRT('Funnel Data'!D73)),"")</f>
        <v/>
      </c>
      <c r="I73" s="177" t="str">
        <f>IF(AND(ISNUMBER('Funnel setup'!P86),D73&gt;=30,E73&lt;&gt;"*",D73&lt;&gt;""),F73-3.090232306 *('Funnel setup'!$K$8/SQRT('Funnel Data'!D73)),"")</f>
        <v/>
      </c>
      <c r="J73" s="177" t="str">
        <f>IF(AND(ISNUMBER('Funnel setup'!P86),D73&gt;=30,E73&lt;&gt;"*",D73&lt;&gt;""),F73+3.090232306 *('Funnel setup'!$K$8/SQRT('Funnel Data'!D73)),"")</f>
        <v/>
      </c>
      <c r="K73" s="178" t="str">
        <f>IF(AND(ISNUMBER('Funnel setup'!P86),D73&gt;=30,E73&lt;&gt;"*",D73&lt;&gt;""),IF(E73&gt;J73,'Funnel setup'!$K$15&amp;"99.8%",IF(E73&gt;H73,'Funnel setup'!$K$15&amp;"95%",IF(E73&lt;I73,'Funnel setup'!$K$16&amp;"99.8%",IF(E73&lt;G73,'Funnel setup'!$K$16&amp;"95%","")))),"")</f>
        <v/>
      </c>
    </row>
    <row r="74" spans="2:11" ht="15" customHeight="1" x14ac:dyDescent="0.35">
      <c r="B74" s="174" t="str">
        <f>IF(ISNUMBER('Funnel setup'!P87),VLOOKUP('Funnel setup'!$P87,'Provider Commission - Raw Data'!$A:$Q,5,0),"")</f>
        <v>RGP</v>
      </c>
      <c r="C74" s="175" t="str">
        <f>IF(ISNUMBER('Funnel setup'!P87),VLOOKUP('Funnel setup'!P87,'Provider Commission - Raw Data'!$A:$Q,6,0),"")</f>
        <v>JAMES PAGET UNIVERSITY HOSPITALS NHS FOUNDATION TRUST (RGP)</v>
      </c>
      <c r="D74" s="176">
        <f>IF(ISNUMBER('Funnel setup'!P87),IF(VLOOKUP('Funnel setup'!P87,'Provider Commission - Raw Data'!$A:$Q,8,0)="-","",VLOOKUP('Funnel setup'!P87,'Provider Commission - Raw Data'!$A:$Q,8,0)),"")</f>
        <v>69</v>
      </c>
      <c r="E74" s="251">
        <f>IF(ISNUMBER('Funnel setup'!P87),IF(VLOOKUP('Funnel setup'!P87,'Provider Commission - Raw Data'!$A:$Q,16,0)="-","",VLOOKUP('Funnel setup'!P87,'Provider Commission - Raw Data'!$A:$Q,16,0)),"")</f>
        <v>21.944800000000001</v>
      </c>
      <c r="F74" s="177">
        <f>IF(AND(ISNUMBER('Funnel setup'!P87)),'Funnel setup'!$K$9,"")</f>
        <v>22.515359017022909</v>
      </c>
      <c r="G74" s="177">
        <f>IF(AND(ISNUMBER('Funnel setup'!P87),D74&gt;=30,E74&lt;&gt;"*",D74&lt;&gt;""),F74-1.959963985 *('Funnel setup'!$K$8/SQRT('Funnel Data'!D74)),"")</f>
        <v>20.561909416598162</v>
      </c>
      <c r="H74" s="177">
        <f>IF(AND(ISNUMBER('Funnel setup'!P87),D74&gt;=30,E74&lt;&gt;"*",D74&lt;&gt;""),F74+1.959963985 *('Funnel setup'!$K$8/SQRT('Funnel Data'!D74)),"")</f>
        <v>24.468808617447657</v>
      </c>
      <c r="I74" s="177">
        <f>IF(AND(ISNUMBER('Funnel setup'!P87),D74&gt;=30,E74&lt;&gt;"*",D74&lt;&gt;""),F74-3.090232306 *('Funnel setup'!$K$8/SQRT('Funnel Data'!D74)),"")</f>
        <v>19.435397798564424</v>
      </c>
      <c r="J74" s="177">
        <f>IF(AND(ISNUMBER('Funnel setup'!P87),D74&gt;=30,E74&lt;&gt;"*",D74&lt;&gt;""),F74+3.090232306 *('Funnel setup'!$K$8/SQRT('Funnel Data'!D74)),"")</f>
        <v>25.595320235481395</v>
      </c>
      <c r="K74" s="178" t="str">
        <f>IF(AND(ISNUMBER('Funnel setup'!P87),D74&gt;=30,E74&lt;&gt;"*",D74&lt;&gt;""),IF(E74&gt;J74,'Funnel setup'!$K$15&amp;"99.8%",IF(E74&gt;H74,'Funnel setup'!$K$15&amp;"95%",IF(E74&lt;I74,'Funnel setup'!$K$16&amp;"99.8%",IF(E74&lt;G74,'Funnel setup'!$K$16&amp;"95%","")))),"")</f>
        <v/>
      </c>
    </row>
    <row r="75" spans="2:11" ht="15" customHeight="1" x14ac:dyDescent="0.35">
      <c r="B75" s="174" t="str">
        <f>IF(ISNUMBER('Funnel setup'!P88),VLOOKUP('Funnel setup'!$P88,'Provider Commission - Raw Data'!$A:$Q,5,0),"")</f>
        <v>RNQ</v>
      </c>
      <c r="C75" s="175" t="str">
        <f>IF(ISNUMBER('Funnel setup'!P88),VLOOKUP('Funnel setup'!P88,'Provider Commission - Raw Data'!$A:$Q,6,0),"")</f>
        <v>KETTERING GENERAL HOSPITAL NHS FOUNDATION TRUST (RNQ)</v>
      </c>
      <c r="D75" s="176">
        <f>IF(ISNUMBER('Funnel setup'!P88),IF(VLOOKUP('Funnel setup'!P88,'Provider Commission - Raw Data'!$A:$Q,8,0)="-","",VLOOKUP('Funnel setup'!P88,'Provider Commission - Raw Data'!$A:$Q,8,0)),"")</f>
        <v>33</v>
      </c>
      <c r="E75" s="251">
        <f>IF(ISNUMBER('Funnel setup'!P88),IF(VLOOKUP('Funnel setup'!P88,'Provider Commission - Raw Data'!$A:$Q,16,0)="-","",VLOOKUP('Funnel setup'!P88,'Provider Commission - Raw Data'!$A:$Q,16,0)),"")</f>
        <v>23.093699999999998</v>
      </c>
      <c r="F75" s="177">
        <f>IF(AND(ISNUMBER('Funnel setup'!P88)),'Funnel setup'!$K$9,"")</f>
        <v>22.515359017022909</v>
      </c>
      <c r="G75" s="177">
        <f>IF(AND(ISNUMBER('Funnel setup'!P88),D75&gt;=30,E75&lt;&gt;"*",D75&lt;&gt;""),F75-1.959963985 *('Funnel setup'!$K$8/SQRT('Funnel Data'!D75)),"")</f>
        <v>19.690675561673185</v>
      </c>
      <c r="H75" s="177">
        <f>IF(AND(ISNUMBER('Funnel setup'!P88),D75&gt;=30,E75&lt;&gt;"*",D75&lt;&gt;""),F75+1.959963985 *('Funnel setup'!$K$8/SQRT('Funnel Data'!D75)),"")</f>
        <v>25.340042472372634</v>
      </c>
      <c r="I75" s="177">
        <f>IF(AND(ISNUMBER('Funnel setup'!P88),D75&gt;=30,E75&lt;&gt;"*",D75&lt;&gt;""),F75-3.090232306 *('Funnel setup'!$K$8/SQRT('Funnel Data'!D75)),"")</f>
        <v>18.061742453274967</v>
      </c>
      <c r="J75" s="177">
        <f>IF(AND(ISNUMBER('Funnel setup'!P88),D75&gt;=30,E75&lt;&gt;"*",D75&lt;&gt;""),F75+3.090232306 *('Funnel setup'!$K$8/SQRT('Funnel Data'!D75)),"")</f>
        <v>26.968975580770852</v>
      </c>
      <c r="K75" s="178" t="str">
        <f>IF(AND(ISNUMBER('Funnel setup'!P88),D75&gt;=30,E75&lt;&gt;"*",D75&lt;&gt;""),IF(E75&gt;J75,'Funnel setup'!$K$15&amp;"99.8%",IF(E75&gt;H75,'Funnel setup'!$K$15&amp;"95%",IF(E75&lt;I75,'Funnel setup'!$K$16&amp;"99.8%",IF(E75&lt;G75,'Funnel setup'!$K$16&amp;"95%","")))),"")</f>
        <v/>
      </c>
    </row>
    <row r="76" spans="2:11" ht="15" customHeight="1" x14ac:dyDescent="0.35">
      <c r="B76" s="174" t="str">
        <f>IF(ISNUMBER('Funnel setup'!P89),VLOOKUP('Funnel setup'!$P89,'Provider Commission - Raw Data'!$A:$Q,5,0),"")</f>
        <v>ADP02</v>
      </c>
      <c r="C76" s="175" t="str">
        <f>IF(ISNUMBER('Funnel setup'!P89),VLOOKUP('Funnel setup'!P89,'Provider Commission - Raw Data'!$A:$Q,6,0),"")</f>
        <v>KIMS HOSPITAL (NEWNHAM COURT) (ADP02)</v>
      </c>
      <c r="D76" s="176">
        <f>IF(ISNUMBER('Funnel setup'!P89),IF(VLOOKUP('Funnel setup'!P89,'Provider Commission - Raw Data'!$A:$Q,8,0)="-","",VLOOKUP('Funnel setup'!P89,'Provider Commission - Raw Data'!$A:$Q,8,0)),"")</f>
        <v>108</v>
      </c>
      <c r="E76" s="251">
        <f>IF(ISNUMBER('Funnel setup'!P89),IF(VLOOKUP('Funnel setup'!P89,'Provider Commission - Raw Data'!$A:$Q,16,0)="-","",VLOOKUP('Funnel setup'!P89,'Provider Commission - Raw Data'!$A:$Q,16,0)),"")</f>
        <v>22.514399999999998</v>
      </c>
      <c r="F76" s="177">
        <f>IF(AND(ISNUMBER('Funnel setup'!P89)),'Funnel setup'!$K$9,"")</f>
        <v>22.515359017022909</v>
      </c>
      <c r="G76" s="177">
        <f>IF(AND(ISNUMBER('Funnel setup'!P89),D76&gt;=30,E76&lt;&gt;"*",D76&lt;&gt;""),F76-1.959963985 *('Funnel setup'!$K$8/SQRT('Funnel Data'!D76)),"")</f>
        <v>20.953956488202969</v>
      </c>
      <c r="H76" s="177">
        <f>IF(AND(ISNUMBER('Funnel setup'!P89),D76&gt;=30,E76&lt;&gt;"*",D76&lt;&gt;""),F76+1.959963985 *('Funnel setup'!$K$8/SQRT('Funnel Data'!D76)),"")</f>
        <v>24.076761545842849</v>
      </c>
      <c r="I76" s="177">
        <f>IF(AND(ISNUMBER('Funnel setup'!P89),D76&gt;=30,E76&lt;&gt;"*",D76&lt;&gt;""),F76-3.090232306 *('Funnel setup'!$K$8/SQRT('Funnel Data'!D76)),"")</f>
        <v>20.0535298333456</v>
      </c>
      <c r="J76" s="177">
        <f>IF(AND(ISNUMBER('Funnel setup'!P89),D76&gt;=30,E76&lt;&gt;"*",D76&lt;&gt;""),F76+3.090232306 *('Funnel setup'!$K$8/SQRT('Funnel Data'!D76)),"")</f>
        <v>24.977188200700219</v>
      </c>
      <c r="K76" s="178" t="str">
        <f>IF(AND(ISNUMBER('Funnel setup'!P89),D76&gt;=30,E76&lt;&gt;"*",D76&lt;&gt;""),IF(E76&gt;J76,'Funnel setup'!$K$15&amp;"99.8%",IF(E76&gt;H76,'Funnel setup'!$K$15&amp;"95%",IF(E76&lt;I76,'Funnel setup'!$K$16&amp;"99.8%",IF(E76&lt;G76,'Funnel setup'!$K$16&amp;"95%","")))),"")</f>
        <v/>
      </c>
    </row>
    <row r="77" spans="2:11" ht="15" customHeight="1" x14ac:dyDescent="0.35">
      <c r="B77" s="174" t="str">
        <f>IF(ISNUMBER('Funnel setup'!P90),VLOOKUP('Funnel setup'!$P90,'Provider Commission - Raw Data'!$A:$Q,5,0),"")</f>
        <v>RJZ</v>
      </c>
      <c r="C77" s="175" t="str">
        <f>IF(ISNUMBER('Funnel setup'!P90),VLOOKUP('Funnel setup'!P90,'Provider Commission - Raw Data'!$A:$Q,6,0),"")</f>
        <v>KING'S COLLEGE HOSPITAL NHS FOUNDATION TRUST (RJZ)</v>
      </c>
      <c r="D77" s="176">
        <f>IF(ISNUMBER('Funnel setup'!P90),IF(VLOOKUP('Funnel setup'!P90,'Provider Commission - Raw Data'!$A:$Q,8,0)="-","",VLOOKUP('Funnel setup'!P90,'Provider Commission - Raw Data'!$A:$Q,8,0)),"")</f>
        <v>15</v>
      </c>
      <c r="E77" s="251" t="str">
        <f>IF(ISNUMBER('Funnel setup'!P90),IF(VLOOKUP('Funnel setup'!P90,'Provider Commission - Raw Data'!$A:$Q,16,0)="-","",VLOOKUP('Funnel setup'!P90,'Provider Commission - Raw Data'!$A:$Q,16,0)),"")</f>
        <v>*</v>
      </c>
      <c r="F77" s="177">
        <f>IF(AND(ISNUMBER('Funnel setup'!P90)),'Funnel setup'!$K$9,"")</f>
        <v>22.515359017022909</v>
      </c>
      <c r="G77" s="177" t="str">
        <f>IF(AND(ISNUMBER('Funnel setup'!P90),D77&gt;=30,E77&lt;&gt;"*",D77&lt;&gt;""),F77-1.959963985 *('Funnel setup'!$K$8/SQRT('Funnel Data'!D77)),"")</f>
        <v/>
      </c>
      <c r="H77" s="177" t="str">
        <f>IF(AND(ISNUMBER('Funnel setup'!P90),D77&gt;=30,E77&lt;&gt;"*",D77&lt;&gt;""),F77+1.959963985 *('Funnel setup'!$K$8/SQRT('Funnel Data'!D77)),"")</f>
        <v/>
      </c>
      <c r="I77" s="177" t="str">
        <f>IF(AND(ISNUMBER('Funnel setup'!P90),D77&gt;=30,E77&lt;&gt;"*",D77&lt;&gt;""),F77-3.090232306 *('Funnel setup'!$K$8/SQRT('Funnel Data'!D77)),"")</f>
        <v/>
      </c>
      <c r="J77" s="177" t="str">
        <f>IF(AND(ISNUMBER('Funnel setup'!P90),D77&gt;=30,E77&lt;&gt;"*",D77&lt;&gt;""),F77+3.090232306 *('Funnel setup'!$K$8/SQRT('Funnel Data'!D77)),"")</f>
        <v/>
      </c>
      <c r="K77" s="178" t="str">
        <f>IF(AND(ISNUMBER('Funnel setup'!P90),D77&gt;=30,E77&lt;&gt;"*",D77&lt;&gt;""),IF(E77&gt;J77,'Funnel setup'!$K$15&amp;"99.8%",IF(E77&gt;H77,'Funnel setup'!$K$15&amp;"95%",IF(E77&lt;I77,'Funnel setup'!$K$16&amp;"99.8%",IF(E77&lt;G77,'Funnel setup'!$K$16&amp;"95%","")))),"")</f>
        <v/>
      </c>
    </row>
    <row r="78" spans="2:11" ht="15" customHeight="1" x14ac:dyDescent="0.35">
      <c r="B78" s="174" t="str">
        <f>IF(ISNUMBER('Funnel setup'!P91),VLOOKUP('Funnel setup'!$P91,'Provider Commission - Raw Data'!$A:$Q,5,0),"")</f>
        <v>NT421</v>
      </c>
      <c r="C78" s="175" t="str">
        <f>IF(ISNUMBER('Funnel setup'!P91),VLOOKUP('Funnel setup'!P91,'Provider Commission - Raw Data'!$A:$Q,6,0),"")</f>
        <v>KINGS OAK HOSPITAL (NT421)</v>
      </c>
      <c r="D78" s="176">
        <f>IF(ISNUMBER('Funnel setup'!P91),IF(VLOOKUP('Funnel setup'!P91,'Provider Commission - Raw Data'!$A:$Q,8,0)="-","",VLOOKUP('Funnel setup'!P91,'Provider Commission - Raw Data'!$A:$Q,8,0)),"")</f>
        <v>14</v>
      </c>
      <c r="E78" s="251" t="str">
        <f>IF(ISNUMBER('Funnel setup'!P91),IF(VLOOKUP('Funnel setup'!P91,'Provider Commission - Raw Data'!$A:$Q,16,0)="-","",VLOOKUP('Funnel setup'!P91,'Provider Commission - Raw Data'!$A:$Q,16,0)),"")</f>
        <v>*</v>
      </c>
      <c r="F78" s="177">
        <f>IF(AND(ISNUMBER('Funnel setup'!P91)),'Funnel setup'!$K$9,"")</f>
        <v>22.515359017022909</v>
      </c>
      <c r="G78" s="177" t="str">
        <f>IF(AND(ISNUMBER('Funnel setup'!P91),D78&gt;=30,E78&lt;&gt;"*",D78&lt;&gt;""),F78-1.959963985 *('Funnel setup'!$K$8/SQRT('Funnel Data'!D78)),"")</f>
        <v/>
      </c>
      <c r="H78" s="177" t="str">
        <f>IF(AND(ISNUMBER('Funnel setup'!P91),D78&gt;=30,E78&lt;&gt;"*",D78&lt;&gt;""),F78+1.959963985 *('Funnel setup'!$K$8/SQRT('Funnel Data'!D78)),"")</f>
        <v/>
      </c>
      <c r="I78" s="177" t="str">
        <f>IF(AND(ISNUMBER('Funnel setup'!P91),D78&gt;=30,E78&lt;&gt;"*",D78&lt;&gt;""),F78-3.090232306 *('Funnel setup'!$K$8/SQRT('Funnel Data'!D78)),"")</f>
        <v/>
      </c>
      <c r="J78" s="177" t="str">
        <f>IF(AND(ISNUMBER('Funnel setup'!P91),D78&gt;=30,E78&lt;&gt;"*",D78&lt;&gt;""),F78+3.090232306 *('Funnel setup'!$K$8/SQRT('Funnel Data'!D78)),"")</f>
        <v/>
      </c>
      <c r="K78" s="178" t="str">
        <f>IF(AND(ISNUMBER('Funnel setup'!P91),D78&gt;=30,E78&lt;&gt;"*",D78&lt;&gt;""),IF(E78&gt;J78,'Funnel setup'!$K$15&amp;"99.8%",IF(E78&gt;H78,'Funnel setup'!$K$15&amp;"95%",IF(E78&lt;I78,'Funnel setup'!$K$16&amp;"99.8%",IF(E78&lt;G78,'Funnel setup'!$K$16&amp;"95%","")))),"")</f>
        <v/>
      </c>
    </row>
    <row r="79" spans="2:11" ht="15" customHeight="1" x14ac:dyDescent="0.35">
      <c r="B79" s="174" t="str">
        <f>IF(ISNUMBER('Funnel setup'!P92),VLOOKUP('Funnel setup'!$P92,'Provider Commission - Raw Data'!$A:$Q,5,0),"")</f>
        <v>RXN</v>
      </c>
      <c r="C79" s="175" t="str">
        <f>IF(ISNUMBER('Funnel setup'!P92),VLOOKUP('Funnel setup'!P92,'Provider Commission - Raw Data'!$A:$Q,6,0),"")</f>
        <v>LANCASHIRE TEACHING HOSPITALS NHS FOUNDATION TRUST (RXN)</v>
      </c>
      <c r="D79" s="176">
        <f>IF(ISNUMBER('Funnel setup'!P92),IF(VLOOKUP('Funnel setup'!P92,'Provider Commission - Raw Data'!$A:$Q,8,0)="-","",VLOOKUP('Funnel setup'!P92,'Provider Commission - Raw Data'!$A:$Q,8,0)),"")</f>
        <v>37</v>
      </c>
      <c r="E79" s="251">
        <f>IF(ISNUMBER('Funnel setup'!P92),IF(VLOOKUP('Funnel setup'!P92,'Provider Commission - Raw Data'!$A:$Q,16,0)="-","",VLOOKUP('Funnel setup'!P92,'Provider Commission - Raw Data'!$A:$Q,16,0)),"")</f>
        <v>18.787299999999998</v>
      </c>
      <c r="F79" s="177">
        <f>IF(AND(ISNUMBER('Funnel setup'!P92)),'Funnel setup'!$K$9,"")</f>
        <v>22.515359017022909</v>
      </c>
      <c r="G79" s="177">
        <f>IF(AND(ISNUMBER('Funnel setup'!P92),D79&gt;=30,E79&lt;&gt;"*",D79&lt;&gt;""),F79-1.959963985 *('Funnel setup'!$K$8/SQRT('Funnel Data'!D79)),"")</f>
        <v>19.847727166351195</v>
      </c>
      <c r="H79" s="177">
        <f>IF(AND(ISNUMBER('Funnel setup'!P92),D79&gt;=30,E79&lt;&gt;"*",D79&lt;&gt;""),F79+1.959963985 *('Funnel setup'!$K$8/SQRT('Funnel Data'!D79)),"")</f>
        <v>25.182990867694624</v>
      </c>
      <c r="I79" s="177">
        <f>IF(AND(ISNUMBER('Funnel setup'!P92),D79&gt;=30,E79&lt;&gt;"*",D79&lt;&gt;""),F79-3.090232306 *('Funnel setup'!$K$8/SQRT('Funnel Data'!D79)),"")</f>
        <v>18.309362280067411</v>
      </c>
      <c r="J79" s="177">
        <f>IF(AND(ISNUMBER('Funnel setup'!P92),D79&gt;=30,E79&lt;&gt;"*",D79&lt;&gt;""),F79+3.090232306 *('Funnel setup'!$K$8/SQRT('Funnel Data'!D79)),"")</f>
        <v>26.721355753978408</v>
      </c>
      <c r="K79" s="178" t="str">
        <f>IF(AND(ISNUMBER('Funnel setup'!P92),D79&gt;=30,E79&lt;&gt;"*",D79&lt;&gt;""),IF(E79&gt;J79,'Funnel setup'!$K$15&amp;"99.8%",IF(E79&gt;H79,'Funnel setup'!$K$15&amp;"95%",IF(E79&lt;I79,'Funnel setup'!$K$16&amp;"99.8%",IF(E79&lt;G79,'Funnel setup'!$K$16&amp;"95%","")))),"")</f>
        <v>Lower 95%</v>
      </c>
    </row>
    <row r="80" spans="2:11" ht="15" customHeight="1" x14ac:dyDescent="0.35">
      <c r="B80" s="174" t="str">
        <f>IF(ISNUMBER('Funnel setup'!P93),VLOOKUP('Funnel setup'!$P93,'Provider Commission - Raw Data'!$A:$Q,5,0),"")</f>
        <v>NT449</v>
      </c>
      <c r="C80" s="175" t="str">
        <f>IF(ISNUMBER('Funnel setup'!P93),VLOOKUP('Funnel setup'!P93,'Provider Commission - Raw Data'!$A:$Q,6,0),"")</f>
        <v>LANCASTER HOSPITAL (NT449)</v>
      </c>
      <c r="D80" s="176">
        <f>IF(ISNUMBER('Funnel setup'!P93),IF(VLOOKUP('Funnel setup'!P93,'Provider Commission - Raw Data'!$A:$Q,8,0)="-","",VLOOKUP('Funnel setup'!P93,'Provider Commission - Raw Data'!$A:$Q,8,0)),"")</f>
        <v>23</v>
      </c>
      <c r="E80" s="251" t="str">
        <f>IF(ISNUMBER('Funnel setup'!P93),IF(VLOOKUP('Funnel setup'!P93,'Provider Commission - Raw Data'!$A:$Q,16,0)="-","",VLOOKUP('Funnel setup'!P93,'Provider Commission - Raw Data'!$A:$Q,16,0)),"")</f>
        <v>*</v>
      </c>
      <c r="F80" s="177">
        <f>IF(AND(ISNUMBER('Funnel setup'!P93)),'Funnel setup'!$K$9,"")</f>
        <v>22.515359017022909</v>
      </c>
      <c r="G80" s="177" t="str">
        <f>IF(AND(ISNUMBER('Funnel setup'!P93),D80&gt;=30,E80&lt;&gt;"*",D80&lt;&gt;""),F80-1.959963985 *('Funnel setup'!$K$8/SQRT('Funnel Data'!D80)),"")</f>
        <v/>
      </c>
      <c r="H80" s="177" t="str">
        <f>IF(AND(ISNUMBER('Funnel setup'!P93),D80&gt;=30,E80&lt;&gt;"*",D80&lt;&gt;""),F80+1.959963985 *('Funnel setup'!$K$8/SQRT('Funnel Data'!D80)),"")</f>
        <v/>
      </c>
      <c r="I80" s="177" t="str">
        <f>IF(AND(ISNUMBER('Funnel setup'!P93),D80&gt;=30,E80&lt;&gt;"*",D80&lt;&gt;""),F80-3.090232306 *('Funnel setup'!$K$8/SQRT('Funnel Data'!D80)),"")</f>
        <v/>
      </c>
      <c r="J80" s="177" t="str">
        <f>IF(AND(ISNUMBER('Funnel setup'!P93),D80&gt;=30,E80&lt;&gt;"*",D80&lt;&gt;""),F80+3.090232306 *('Funnel setup'!$K$8/SQRT('Funnel Data'!D80)),"")</f>
        <v/>
      </c>
      <c r="K80" s="178" t="str">
        <f>IF(AND(ISNUMBER('Funnel setup'!P93),D80&gt;=30,E80&lt;&gt;"*",D80&lt;&gt;""),IF(E80&gt;J80,'Funnel setup'!$K$15&amp;"99.8%",IF(E80&gt;H80,'Funnel setup'!$K$15&amp;"95%",IF(E80&lt;I80,'Funnel setup'!$K$16&amp;"99.8%",IF(E80&lt;G80,'Funnel setup'!$K$16&amp;"95%","")))),"")</f>
        <v/>
      </c>
    </row>
    <row r="81" spans="2:11" ht="15" customHeight="1" x14ac:dyDescent="0.35">
      <c r="B81" s="174" t="str">
        <f>IF(ISNUMBER('Funnel setup'!P94),VLOOKUP('Funnel setup'!$P94,'Provider Commission - Raw Data'!$A:$Q,5,0),"")</f>
        <v>RR8</v>
      </c>
      <c r="C81" s="175" t="str">
        <f>IF(ISNUMBER('Funnel setup'!P94),VLOOKUP('Funnel setup'!P94,'Provider Commission - Raw Data'!$A:$Q,6,0),"")</f>
        <v>LEEDS TEACHING HOSPITALS NHS TRUST (RR8)</v>
      </c>
      <c r="D81" s="176">
        <f>IF(ISNUMBER('Funnel setup'!P94),IF(VLOOKUP('Funnel setup'!P94,'Provider Commission - Raw Data'!$A:$Q,8,0)="-","",VLOOKUP('Funnel setup'!P94,'Provider Commission - Raw Data'!$A:$Q,8,0)),"")</f>
        <v>124</v>
      </c>
      <c r="E81" s="251">
        <f>IF(ISNUMBER('Funnel setup'!P94),IF(VLOOKUP('Funnel setup'!P94,'Provider Commission - Raw Data'!$A:$Q,16,0)="-","",VLOOKUP('Funnel setup'!P94,'Provider Commission - Raw Data'!$A:$Q,16,0)),"")</f>
        <v>21.484500000000001</v>
      </c>
      <c r="F81" s="177">
        <f>IF(AND(ISNUMBER('Funnel setup'!P94)),'Funnel setup'!$K$9,"")</f>
        <v>22.515359017022909</v>
      </c>
      <c r="G81" s="177">
        <f>IF(AND(ISNUMBER('Funnel setup'!P94),D81&gt;=30,E81&lt;&gt;"*",D81&lt;&gt;""),F81-1.959963985 *('Funnel setup'!$K$8/SQRT('Funnel Data'!D81)),"")</f>
        <v>21.058169918448321</v>
      </c>
      <c r="H81" s="177">
        <f>IF(AND(ISNUMBER('Funnel setup'!P94),D81&gt;=30,E81&lt;&gt;"*",D81&lt;&gt;""),F81+1.959963985 *('Funnel setup'!$K$8/SQRT('Funnel Data'!D81)),"")</f>
        <v>23.972548115597498</v>
      </c>
      <c r="I81" s="177">
        <f>IF(AND(ISNUMBER('Funnel setup'!P94),D81&gt;=30,E81&lt;&gt;"*",D81&lt;&gt;""),F81-3.090232306 *('Funnel setup'!$K$8/SQRT('Funnel Data'!D81)),"")</f>
        <v>20.217840867287002</v>
      </c>
      <c r="J81" s="177">
        <f>IF(AND(ISNUMBER('Funnel setup'!P94),D81&gt;=30,E81&lt;&gt;"*",D81&lt;&gt;""),F81+3.090232306 *('Funnel setup'!$K$8/SQRT('Funnel Data'!D81)),"")</f>
        <v>24.812877166758817</v>
      </c>
      <c r="K81" s="178" t="str">
        <f>IF(AND(ISNUMBER('Funnel setup'!P94),D81&gt;=30,E81&lt;&gt;"*",D81&lt;&gt;""),IF(E81&gt;J81,'Funnel setup'!$K$15&amp;"99.8%",IF(E81&gt;H81,'Funnel setup'!$K$15&amp;"95%",IF(E81&lt;I81,'Funnel setup'!$K$16&amp;"99.8%",IF(E81&lt;G81,'Funnel setup'!$K$16&amp;"95%","")))),"")</f>
        <v/>
      </c>
    </row>
    <row r="82" spans="2:11" ht="15" customHeight="1" x14ac:dyDescent="0.35">
      <c r="B82" s="174" t="str">
        <f>IF(ISNUMBER('Funnel setup'!P95),VLOOKUP('Funnel setup'!$P95,'Provider Commission - Raw Data'!$A:$Q,5,0),"")</f>
        <v>RJ2</v>
      </c>
      <c r="C82" s="175" t="str">
        <f>IF(ISNUMBER('Funnel setup'!P95),VLOOKUP('Funnel setup'!P95,'Provider Commission - Raw Data'!$A:$Q,6,0),"")</f>
        <v>LEWISHAM AND GREENWICH NHS TRUST (RJ2)</v>
      </c>
      <c r="D82" s="176">
        <f>IF(ISNUMBER('Funnel setup'!P95),IF(VLOOKUP('Funnel setup'!P95,'Provider Commission - Raw Data'!$A:$Q,8,0)="-","",VLOOKUP('Funnel setup'!P95,'Provider Commission - Raw Data'!$A:$Q,8,0)),"")</f>
        <v>2</v>
      </c>
      <c r="E82" s="251" t="str">
        <f>IF(ISNUMBER('Funnel setup'!P95),IF(VLOOKUP('Funnel setup'!P95,'Provider Commission - Raw Data'!$A:$Q,16,0)="-","",VLOOKUP('Funnel setup'!P95,'Provider Commission - Raw Data'!$A:$Q,16,0)),"")</f>
        <v>*</v>
      </c>
      <c r="F82" s="177">
        <f>IF(AND(ISNUMBER('Funnel setup'!P95)),'Funnel setup'!$K$9,"")</f>
        <v>22.515359017022909</v>
      </c>
      <c r="G82" s="177" t="str">
        <f>IF(AND(ISNUMBER('Funnel setup'!P95),D82&gt;=30,E82&lt;&gt;"*",D82&lt;&gt;""),F82-1.959963985 *('Funnel setup'!$K$8/SQRT('Funnel Data'!D82)),"")</f>
        <v/>
      </c>
      <c r="H82" s="177" t="str">
        <f>IF(AND(ISNUMBER('Funnel setup'!P95),D82&gt;=30,E82&lt;&gt;"*",D82&lt;&gt;""),F82+1.959963985 *('Funnel setup'!$K$8/SQRT('Funnel Data'!D82)),"")</f>
        <v/>
      </c>
      <c r="I82" s="177" t="str">
        <f>IF(AND(ISNUMBER('Funnel setup'!P95),D82&gt;=30,E82&lt;&gt;"*",D82&lt;&gt;""),F82-3.090232306 *('Funnel setup'!$K$8/SQRT('Funnel Data'!D82)),"")</f>
        <v/>
      </c>
      <c r="J82" s="177" t="str">
        <f>IF(AND(ISNUMBER('Funnel setup'!P95),D82&gt;=30,E82&lt;&gt;"*",D82&lt;&gt;""),F82+3.090232306 *('Funnel setup'!$K$8/SQRT('Funnel Data'!D82)),"")</f>
        <v/>
      </c>
      <c r="K82" s="178" t="str">
        <f>IF(AND(ISNUMBER('Funnel setup'!P95),D82&gt;=30,E82&lt;&gt;"*",D82&lt;&gt;""),IF(E82&gt;J82,'Funnel setup'!$K$15&amp;"99.8%",IF(E82&gt;H82,'Funnel setup'!$K$15&amp;"95%",IF(E82&lt;I82,'Funnel setup'!$K$16&amp;"99.8%",IF(E82&lt;G82,'Funnel setup'!$K$16&amp;"95%","")))),"")</f>
        <v/>
      </c>
    </row>
    <row r="83" spans="2:11" ht="15" customHeight="1" x14ac:dyDescent="0.35">
      <c r="B83" s="174" t="str">
        <f>IF(ISNUMBER('Funnel setup'!P96),VLOOKUP('Funnel setup'!$P96,'Provider Commission - Raw Data'!$A:$Q,5,0),"")</f>
        <v>NT450</v>
      </c>
      <c r="C83" s="175" t="str">
        <f>IF(ISNUMBER('Funnel setup'!P96),VLOOKUP('Funnel setup'!P96,'Provider Commission - Raw Data'!$A:$Q,6,0),"")</f>
        <v>LINCOLN HOSPITAL (NT450)</v>
      </c>
      <c r="D83" s="176">
        <f>IF(ISNUMBER('Funnel setup'!P96),IF(VLOOKUP('Funnel setup'!P96,'Provider Commission - Raw Data'!$A:$Q,8,0)="-","",VLOOKUP('Funnel setup'!P96,'Provider Commission - Raw Data'!$A:$Q,8,0)),"")</f>
        <v>67</v>
      </c>
      <c r="E83" s="251">
        <f>IF(ISNUMBER('Funnel setup'!P96),IF(VLOOKUP('Funnel setup'!P96,'Provider Commission - Raw Data'!$A:$Q,16,0)="-","",VLOOKUP('Funnel setup'!P96,'Provider Commission - Raw Data'!$A:$Q,16,0)),"")</f>
        <v>24.764800000000001</v>
      </c>
      <c r="F83" s="177">
        <f>IF(AND(ISNUMBER('Funnel setup'!P96)),'Funnel setup'!$K$9,"")</f>
        <v>22.515359017022909</v>
      </c>
      <c r="G83" s="177">
        <f>IF(AND(ISNUMBER('Funnel setup'!P96),D83&gt;=30,E83&lt;&gt;"*",D83&lt;&gt;""),F83-1.959963985 *('Funnel setup'!$K$8/SQRT('Funnel Data'!D83)),"")</f>
        <v>20.532967846094294</v>
      </c>
      <c r="H83" s="177">
        <f>IF(AND(ISNUMBER('Funnel setup'!P96),D83&gt;=30,E83&lt;&gt;"*",D83&lt;&gt;""),F83+1.959963985 *('Funnel setup'!$K$8/SQRT('Funnel Data'!D83)),"")</f>
        <v>24.497750187951524</v>
      </c>
      <c r="I83" s="177">
        <f>IF(AND(ISNUMBER('Funnel setup'!P96),D83&gt;=30,E83&lt;&gt;"*",D83&lt;&gt;""),F83-3.090232306 *('Funnel setup'!$K$8/SQRT('Funnel Data'!D83)),"")</f>
        <v>19.389766257963732</v>
      </c>
      <c r="J83" s="177">
        <f>IF(AND(ISNUMBER('Funnel setup'!P96),D83&gt;=30,E83&lt;&gt;"*",D83&lt;&gt;""),F83+3.090232306 *('Funnel setup'!$K$8/SQRT('Funnel Data'!D83)),"")</f>
        <v>25.640951776082087</v>
      </c>
      <c r="K83" s="178" t="str">
        <f>IF(AND(ISNUMBER('Funnel setup'!P96),D83&gt;=30,E83&lt;&gt;"*",D83&lt;&gt;""),IF(E83&gt;J83,'Funnel setup'!$K$15&amp;"99.8%",IF(E83&gt;H83,'Funnel setup'!$K$15&amp;"95%",IF(E83&lt;I83,'Funnel setup'!$K$16&amp;"99.8%",IF(E83&lt;G83,'Funnel setup'!$K$16&amp;"95%","")))),"")</f>
        <v>Upper 95%</v>
      </c>
    </row>
    <row r="84" spans="2:11" ht="15" customHeight="1" x14ac:dyDescent="0.35">
      <c r="B84" s="174" t="str">
        <f>IF(ISNUMBER('Funnel setup'!P97),VLOOKUP('Funnel setup'!$P97,'Provider Commission - Raw Data'!$A:$Q,5,0),"")</f>
        <v>REM</v>
      </c>
      <c r="C84" s="175" t="str">
        <f>IF(ISNUMBER('Funnel setup'!P97),VLOOKUP('Funnel setup'!P97,'Provider Commission - Raw Data'!$A:$Q,6,0),"")</f>
        <v>LIVERPOOL UNIVERSITY HOSPITALS NHS FOUNDATION TRUST (REM)</v>
      </c>
      <c r="D84" s="176">
        <f>IF(ISNUMBER('Funnel setup'!P97),IF(VLOOKUP('Funnel setup'!P97,'Provider Commission - Raw Data'!$A:$Q,8,0)="-","",VLOOKUP('Funnel setup'!P97,'Provider Commission - Raw Data'!$A:$Q,8,0)),"")</f>
        <v>97</v>
      </c>
      <c r="E84" s="251">
        <f>IF(ISNUMBER('Funnel setup'!P97),IF(VLOOKUP('Funnel setup'!P97,'Provider Commission - Raw Data'!$A:$Q,16,0)="-","",VLOOKUP('Funnel setup'!P97,'Provider Commission - Raw Data'!$A:$Q,16,0)),"")</f>
        <v>22.450700000000001</v>
      </c>
      <c r="F84" s="177">
        <f>IF(AND(ISNUMBER('Funnel setup'!P97)),'Funnel setup'!$K$9,"")</f>
        <v>22.515359017022909</v>
      </c>
      <c r="G84" s="177">
        <f>IF(AND(ISNUMBER('Funnel setup'!P97),D84&gt;=30,E84&lt;&gt;"*",D84&lt;&gt;""),F84-1.959963985 *('Funnel setup'!$K$8/SQRT('Funnel Data'!D84)),"")</f>
        <v>20.867800346520344</v>
      </c>
      <c r="H84" s="177">
        <f>IF(AND(ISNUMBER('Funnel setup'!P97),D84&gt;=30,E84&lt;&gt;"*",D84&lt;&gt;""),F84+1.959963985 *('Funnel setup'!$K$8/SQRT('Funnel Data'!D84)),"")</f>
        <v>24.162917687525475</v>
      </c>
      <c r="I84" s="177">
        <f>IF(AND(ISNUMBER('Funnel setup'!P97),D84&gt;=30,E84&lt;&gt;"*",D84&lt;&gt;""),F84-3.090232306 *('Funnel setup'!$K$8/SQRT('Funnel Data'!D84)),"")</f>
        <v>19.917689330955984</v>
      </c>
      <c r="J84" s="177">
        <f>IF(AND(ISNUMBER('Funnel setup'!P97),D84&gt;=30,E84&lt;&gt;"*",D84&lt;&gt;""),F84+3.090232306 *('Funnel setup'!$K$8/SQRT('Funnel Data'!D84)),"")</f>
        <v>25.113028703089835</v>
      </c>
      <c r="K84" s="178" t="str">
        <f>IF(AND(ISNUMBER('Funnel setup'!P97),D84&gt;=30,E84&lt;&gt;"*",D84&lt;&gt;""),IF(E84&gt;J84,'Funnel setup'!$K$15&amp;"99.8%",IF(E84&gt;H84,'Funnel setup'!$K$15&amp;"95%",IF(E84&lt;I84,'Funnel setup'!$K$16&amp;"99.8%",IF(E84&lt;G84,'Funnel setup'!$K$16&amp;"95%","")))),"")</f>
        <v/>
      </c>
    </row>
    <row r="85" spans="2:11" ht="15" customHeight="1" x14ac:dyDescent="0.35">
      <c r="B85" s="174" t="str">
        <f>IF(ISNUMBER('Funnel setup'!P98),VLOOKUP('Funnel setup'!$P98,'Provider Commission - Raw Data'!$A:$Q,5,0),"")</f>
        <v>NT422</v>
      </c>
      <c r="C85" s="175" t="str">
        <f>IF(ISNUMBER('Funnel setup'!P98),VLOOKUP('Funnel setup'!P98,'Provider Commission - Raw Data'!$A:$Q,6,0),"")</f>
        <v>LONDON INDEPENDENT HOSPITAL (NT422)</v>
      </c>
      <c r="D85" s="176">
        <f>IF(ISNUMBER('Funnel setup'!P98),IF(VLOOKUP('Funnel setup'!P98,'Provider Commission - Raw Data'!$A:$Q,8,0)="-","",VLOOKUP('Funnel setup'!P98,'Provider Commission - Raw Data'!$A:$Q,8,0)),"")</f>
        <v>8</v>
      </c>
      <c r="E85" s="251" t="str">
        <f>IF(ISNUMBER('Funnel setup'!P98),IF(VLOOKUP('Funnel setup'!P98,'Provider Commission - Raw Data'!$A:$Q,16,0)="-","",VLOOKUP('Funnel setup'!P98,'Provider Commission - Raw Data'!$A:$Q,16,0)),"")</f>
        <v>*</v>
      </c>
      <c r="F85" s="177">
        <f>IF(AND(ISNUMBER('Funnel setup'!P98)),'Funnel setup'!$K$9,"")</f>
        <v>22.515359017022909</v>
      </c>
      <c r="G85" s="177" t="str">
        <f>IF(AND(ISNUMBER('Funnel setup'!P98),D85&gt;=30,E85&lt;&gt;"*",D85&lt;&gt;""),F85-1.959963985 *('Funnel setup'!$K$8/SQRT('Funnel Data'!D85)),"")</f>
        <v/>
      </c>
      <c r="H85" s="177" t="str">
        <f>IF(AND(ISNUMBER('Funnel setup'!P98),D85&gt;=30,E85&lt;&gt;"*",D85&lt;&gt;""),F85+1.959963985 *('Funnel setup'!$K$8/SQRT('Funnel Data'!D85)),"")</f>
        <v/>
      </c>
      <c r="I85" s="177" t="str">
        <f>IF(AND(ISNUMBER('Funnel setup'!P98),D85&gt;=30,E85&lt;&gt;"*",D85&lt;&gt;""),F85-3.090232306 *('Funnel setup'!$K$8/SQRT('Funnel Data'!D85)),"")</f>
        <v/>
      </c>
      <c r="J85" s="177" t="str">
        <f>IF(AND(ISNUMBER('Funnel setup'!P98),D85&gt;=30,E85&lt;&gt;"*",D85&lt;&gt;""),F85+3.090232306 *('Funnel setup'!$K$8/SQRT('Funnel Data'!D85)),"")</f>
        <v/>
      </c>
      <c r="K85" s="178" t="str">
        <f>IF(AND(ISNUMBER('Funnel setup'!P98),D85&gt;=30,E85&lt;&gt;"*",D85&lt;&gt;""),IF(E85&gt;J85,'Funnel setup'!$K$15&amp;"99.8%",IF(E85&gt;H85,'Funnel setup'!$K$15&amp;"95%",IF(E85&lt;I85,'Funnel setup'!$K$16&amp;"99.8%",IF(E85&lt;G85,'Funnel setup'!$K$16&amp;"95%","")))),"")</f>
        <v/>
      </c>
    </row>
    <row r="86" spans="2:11" ht="15" customHeight="1" x14ac:dyDescent="0.35">
      <c r="B86" s="174" t="str">
        <f>IF(ISNUMBER('Funnel setup'!P99),VLOOKUP('Funnel setup'!$P99,'Provider Commission - Raw Data'!$A:$Q,5,0),"")</f>
        <v>RWF</v>
      </c>
      <c r="C86" s="175" t="str">
        <f>IF(ISNUMBER('Funnel setup'!P99),VLOOKUP('Funnel setup'!P99,'Provider Commission - Raw Data'!$A:$Q,6,0),"")</f>
        <v>MAIDSTONE AND TUNBRIDGE WELLS NHS TRUST (RWF)</v>
      </c>
      <c r="D86" s="176">
        <f>IF(ISNUMBER('Funnel setup'!P99),IF(VLOOKUP('Funnel setup'!P99,'Provider Commission - Raw Data'!$A:$Q,8,0)="-","",VLOOKUP('Funnel setup'!P99,'Provider Commission - Raw Data'!$A:$Q,8,0)),"")</f>
        <v>124</v>
      </c>
      <c r="E86" s="251">
        <f>IF(ISNUMBER('Funnel setup'!P99),IF(VLOOKUP('Funnel setup'!P99,'Provider Commission - Raw Data'!$A:$Q,16,0)="-","",VLOOKUP('Funnel setup'!P99,'Provider Commission - Raw Data'!$A:$Q,16,0)),"")</f>
        <v>21.6541</v>
      </c>
      <c r="F86" s="177">
        <f>IF(AND(ISNUMBER('Funnel setup'!P99)),'Funnel setup'!$K$9,"")</f>
        <v>22.515359017022909</v>
      </c>
      <c r="G86" s="177">
        <f>IF(AND(ISNUMBER('Funnel setup'!P99),D86&gt;=30,E86&lt;&gt;"*",D86&lt;&gt;""),F86-1.959963985 *('Funnel setup'!$K$8/SQRT('Funnel Data'!D86)),"")</f>
        <v>21.058169918448321</v>
      </c>
      <c r="H86" s="177">
        <f>IF(AND(ISNUMBER('Funnel setup'!P99),D86&gt;=30,E86&lt;&gt;"*",D86&lt;&gt;""),F86+1.959963985 *('Funnel setup'!$K$8/SQRT('Funnel Data'!D86)),"")</f>
        <v>23.972548115597498</v>
      </c>
      <c r="I86" s="177">
        <f>IF(AND(ISNUMBER('Funnel setup'!P99),D86&gt;=30,E86&lt;&gt;"*",D86&lt;&gt;""),F86-3.090232306 *('Funnel setup'!$K$8/SQRT('Funnel Data'!D86)),"")</f>
        <v>20.217840867287002</v>
      </c>
      <c r="J86" s="177">
        <f>IF(AND(ISNUMBER('Funnel setup'!P99),D86&gt;=30,E86&lt;&gt;"*",D86&lt;&gt;""),F86+3.090232306 *('Funnel setup'!$K$8/SQRT('Funnel Data'!D86)),"")</f>
        <v>24.812877166758817</v>
      </c>
      <c r="K86" s="178" t="str">
        <f>IF(AND(ISNUMBER('Funnel setup'!P99),D86&gt;=30,E86&lt;&gt;"*",D86&lt;&gt;""),IF(E86&gt;J86,'Funnel setup'!$K$15&amp;"99.8%",IF(E86&gt;H86,'Funnel setup'!$K$15&amp;"95%",IF(E86&lt;I86,'Funnel setup'!$K$16&amp;"99.8%",IF(E86&lt;G86,'Funnel setup'!$K$16&amp;"95%","")))),"")</f>
        <v/>
      </c>
    </row>
    <row r="87" spans="2:11" ht="15" customHeight="1" x14ac:dyDescent="0.35">
      <c r="B87" s="174" t="str">
        <f>IF(ISNUMBER('Funnel setup'!P100),VLOOKUP('Funnel setup'!$P100,'Provider Commission - Raw Data'!$A:$Q,5,0),"")</f>
        <v>R0A</v>
      </c>
      <c r="C87" s="175" t="str">
        <f>IF(ISNUMBER('Funnel setup'!P100),VLOOKUP('Funnel setup'!P100,'Provider Commission - Raw Data'!$A:$Q,6,0),"")</f>
        <v>MANCHESTER UNIVERSITY NHS FOUNDATION TRUST (R0A)</v>
      </c>
      <c r="D87" s="176">
        <f>IF(ISNUMBER('Funnel setup'!P100),IF(VLOOKUP('Funnel setup'!P100,'Provider Commission - Raw Data'!$A:$Q,8,0)="-","",VLOOKUP('Funnel setup'!P100,'Provider Commission - Raw Data'!$A:$Q,8,0)),"")</f>
        <v>103</v>
      </c>
      <c r="E87" s="251">
        <f>IF(ISNUMBER('Funnel setup'!P100),IF(VLOOKUP('Funnel setup'!P100,'Provider Commission - Raw Data'!$A:$Q,16,0)="-","",VLOOKUP('Funnel setup'!P100,'Provider Commission - Raw Data'!$A:$Q,16,0)),"")</f>
        <v>21.2746</v>
      </c>
      <c r="F87" s="177">
        <f>IF(AND(ISNUMBER('Funnel setup'!P100)),'Funnel setup'!$K$9,"")</f>
        <v>22.515359017022909</v>
      </c>
      <c r="G87" s="177">
        <f>IF(AND(ISNUMBER('Funnel setup'!P100),D87&gt;=30,E87&lt;&gt;"*",D87&lt;&gt;""),F87-1.959963985 *('Funnel setup'!$K$8/SQRT('Funnel Data'!D87)),"")</f>
        <v>20.916507461478819</v>
      </c>
      <c r="H87" s="177">
        <f>IF(AND(ISNUMBER('Funnel setup'!P100),D87&gt;=30,E87&lt;&gt;"*",D87&lt;&gt;""),F87+1.959963985 *('Funnel setup'!$K$8/SQRT('Funnel Data'!D87)),"")</f>
        <v>24.114210572567</v>
      </c>
      <c r="I87" s="177">
        <f>IF(AND(ISNUMBER('Funnel setup'!P100),D87&gt;=30,E87&lt;&gt;"*",D87&lt;&gt;""),F87-3.090232306 *('Funnel setup'!$K$8/SQRT('Funnel Data'!D87)),"")</f>
        <v>19.994484772774641</v>
      </c>
      <c r="J87" s="177">
        <f>IF(AND(ISNUMBER('Funnel setup'!P100),D87&gt;=30,E87&lt;&gt;"*",D87&lt;&gt;""),F87+3.090232306 *('Funnel setup'!$K$8/SQRT('Funnel Data'!D87)),"")</f>
        <v>25.036233261271178</v>
      </c>
      <c r="K87" s="178" t="str">
        <f>IF(AND(ISNUMBER('Funnel setup'!P100),D87&gt;=30,E87&lt;&gt;"*",D87&lt;&gt;""),IF(E87&gt;J87,'Funnel setup'!$K$15&amp;"99.8%",IF(E87&gt;H87,'Funnel setup'!$K$15&amp;"95%",IF(E87&lt;I87,'Funnel setup'!$K$16&amp;"99.8%",IF(E87&lt;G87,'Funnel setup'!$K$16&amp;"95%","")))),"")</f>
        <v/>
      </c>
    </row>
    <row r="88" spans="2:11" ht="15" customHeight="1" x14ac:dyDescent="0.35">
      <c r="B88" s="174" t="str">
        <f>IF(ISNUMBER('Funnel setup'!P101),VLOOKUP('Funnel setup'!$P101,'Provider Commission - Raw Data'!$A:$Q,5,0),"")</f>
        <v>NT423</v>
      </c>
      <c r="C88" s="175" t="str">
        <f>IF(ISNUMBER('Funnel setup'!P101),VLOOKUP('Funnel setup'!P101,'Provider Commission - Raw Data'!$A:$Q,6,0),"")</f>
        <v>MANOR HOSPITAL (NT423)</v>
      </c>
      <c r="D88" s="176">
        <f>IF(ISNUMBER('Funnel setup'!P101),IF(VLOOKUP('Funnel setup'!P101,'Provider Commission - Raw Data'!$A:$Q,8,0)="-","",VLOOKUP('Funnel setup'!P101,'Provider Commission - Raw Data'!$A:$Q,8,0)),"")</f>
        <v>17</v>
      </c>
      <c r="E88" s="251" t="str">
        <f>IF(ISNUMBER('Funnel setup'!P101),IF(VLOOKUP('Funnel setup'!P101,'Provider Commission - Raw Data'!$A:$Q,16,0)="-","",VLOOKUP('Funnel setup'!P101,'Provider Commission - Raw Data'!$A:$Q,16,0)),"")</f>
        <v>*</v>
      </c>
      <c r="F88" s="177">
        <f>IF(AND(ISNUMBER('Funnel setup'!P101)),'Funnel setup'!$K$9,"")</f>
        <v>22.515359017022909</v>
      </c>
      <c r="G88" s="177" t="str">
        <f>IF(AND(ISNUMBER('Funnel setup'!P101),D88&gt;=30,E88&lt;&gt;"*",D88&lt;&gt;""),F88-1.959963985 *('Funnel setup'!$K$8/SQRT('Funnel Data'!D88)),"")</f>
        <v/>
      </c>
      <c r="H88" s="177" t="str">
        <f>IF(AND(ISNUMBER('Funnel setup'!P101),D88&gt;=30,E88&lt;&gt;"*",D88&lt;&gt;""),F88+1.959963985 *('Funnel setup'!$K$8/SQRT('Funnel Data'!D88)),"")</f>
        <v/>
      </c>
      <c r="I88" s="177" t="str">
        <f>IF(AND(ISNUMBER('Funnel setup'!P101),D88&gt;=30,E88&lt;&gt;"*",D88&lt;&gt;""),F88-3.090232306 *('Funnel setup'!$K$8/SQRT('Funnel Data'!D88)),"")</f>
        <v/>
      </c>
      <c r="J88" s="177" t="str">
        <f>IF(AND(ISNUMBER('Funnel setup'!P101),D88&gt;=30,E88&lt;&gt;"*",D88&lt;&gt;""),F88+3.090232306 *('Funnel setup'!$K$8/SQRT('Funnel Data'!D88)),"")</f>
        <v/>
      </c>
      <c r="K88" s="178" t="str">
        <f>IF(AND(ISNUMBER('Funnel setup'!P101),D88&gt;=30,E88&lt;&gt;"*",D88&lt;&gt;""),IF(E88&gt;J88,'Funnel setup'!$K$15&amp;"99.8%",IF(E88&gt;H88,'Funnel setup'!$K$15&amp;"95%",IF(E88&lt;I88,'Funnel setup'!$K$16&amp;"99.8%",IF(E88&lt;G88,'Funnel setup'!$K$16&amp;"95%","")))),"")</f>
        <v/>
      </c>
    </row>
    <row r="89" spans="2:11" ht="30" customHeight="1" x14ac:dyDescent="0.35">
      <c r="B89" s="174" t="str">
        <f>IF(ISNUMBER('Funnel setup'!P102),VLOOKUP('Funnel setup'!$P102,'Provider Commission - Raw Data'!$A:$Q,5,0),"")</f>
        <v>RPA</v>
      </c>
      <c r="C89" s="175" t="str">
        <f>IF(ISNUMBER('Funnel setup'!P102),VLOOKUP('Funnel setup'!P102,'Provider Commission - Raw Data'!$A:$Q,6,0),"")</f>
        <v>MEDWAY NHS FOUNDATION TRUST (RPA)</v>
      </c>
      <c r="D89" s="176">
        <f>IF(ISNUMBER('Funnel setup'!P102),IF(VLOOKUP('Funnel setup'!P102,'Provider Commission - Raw Data'!$A:$Q,8,0)="-","",VLOOKUP('Funnel setup'!P102,'Provider Commission - Raw Data'!$A:$Q,8,0)),"")</f>
        <v>48</v>
      </c>
      <c r="E89" s="251">
        <f>IF(ISNUMBER('Funnel setup'!P102),IF(VLOOKUP('Funnel setup'!P102,'Provider Commission - Raw Data'!$A:$Q,16,0)="-","",VLOOKUP('Funnel setup'!P102,'Provider Commission - Raw Data'!$A:$Q,16,0)),"")</f>
        <v>21.467300000000002</v>
      </c>
      <c r="F89" s="177">
        <f>IF(AND(ISNUMBER('Funnel setup'!P102)),'Funnel setup'!$K$9,"")</f>
        <v>22.515359017022909</v>
      </c>
      <c r="G89" s="177">
        <f>IF(AND(ISNUMBER('Funnel setup'!P102),D89&gt;=30,E89&lt;&gt;"*",D89&lt;&gt;""),F89-1.959963985 *('Funnel setup'!$K$8/SQRT('Funnel Data'!D89)),"")</f>
        <v>20.173255223792999</v>
      </c>
      <c r="H89" s="177">
        <f>IF(AND(ISNUMBER('Funnel setup'!P102),D89&gt;=30,E89&lt;&gt;"*",D89&lt;&gt;""),F89+1.959963985 *('Funnel setup'!$K$8/SQRT('Funnel Data'!D89)),"")</f>
        <v>24.857462810252819</v>
      </c>
      <c r="I89" s="177">
        <f>IF(AND(ISNUMBER('Funnel setup'!P102),D89&gt;=30,E89&lt;&gt;"*",D89&lt;&gt;""),F89-3.090232306 *('Funnel setup'!$K$8/SQRT('Funnel Data'!D89)),"")</f>
        <v>18.822615241506945</v>
      </c>
      <c r="J89" s="177">
        <f>IF(AND(ISNUMBER('Funnel setup'!P102),D89&gt;=30,E89&lt;&gt;"*",D89&lt;&gt;""),F89+3.090232306 *('Funnel setup'!$K$8/SQRT('Funnel Data'!D89)),"")</f>
        <v>26.208102792538874</v>
      </c>
      <c r="K89" s="178" t="str">
        <f>IF(AND(ISNUMBER('Funnel setup'!P102),D89&gt;=30,E89&lt;&gt;"*",D89&lt;&gt;""),IF(E89&gt;J89,'Funnel setup'!$K$15&amp;"99.8%",IF(E89&gt;H89,'Funnel setup'!$K$15&amp;"95%",IF(E89&lt;I89,'Funnel setup'!$K$16&amp;"99.8%",IF(E89&lt;G89,'Funnel setup'!$K$16&amp;"95%","")))),"")</f>
        <v/>
      </c>
    </row>
    <row r="90" spans="2:11" ht="15" customHeight="1" x14ac:dyDescent="0.35">
      <c r="B90" s="174" t="str">
        <f>IF(ISNUMBER('Funnel setup'!P103),VLOOKUP('Funnel setup'!$P103,'Provider Commission - Raw Data'!$A:$Q,5,0),"")</f>
        <v>NT424</v>
      </c>
      <c r="C90" s="175" t="str">
        <f>IF(ISNUMBER('Funnel setup'!P103),VLOOKUP('Funnel setup'!P103,'Provider Commission - Raw Data'!$A:$Q,6,0),"")</f>
        <v>MERIDEN HOSPITAL (NT424)</v>
      </c>
      <c r="D90" s="176">
        <f>IF(ISNUMBER('Funnel setup'!P103),IF(VLOOKUP('Funnel setup'!P103,'Provider Commission - Raw Data'!$A:$Q,8,0)="-","",VLOOKUP('Funnel setup'!P103,'Provider Commission - Raw Data'!$A:$Q,8,0)),"")</f>
        <v>6</v>
      </c>
      <c r="E90" s="251" t="str">
        <f>IF(ISNUMBER('Funnel setup'!P103),IF(VLOOKUP('Funnel setup'!P103,'Provider Commission - Raw Data'!$A:$Q,16,0)="-","",VLOOKUP('Funnel setup'!P103,'Provider Commission - Raw Data'!$A:$Q,16,0)),"")</f>
        <v>*</v>
      </c>
      <c r="F90" s="177">
        <f>IF(AND(ISNUMBER('Funnel setup'!P103)),'Funnel setup'!$K$9,"")</f>
        <v>22.515359017022909</v>
      </c>
      <c r="G90" s="177" t="str">
        <f>IF(AND(ISNUMBER('Funnel setup'!P103),D90&gt;=30,E90&lt;&gt;"*",D90&lt;&gt;""),F90-1.959963985 *('Funnel setup'!$K$8/SQRT('Funnel Data'!D90)),"")</f>
        <v/>
      </c>
      <c r="H90" s="177" t="str">
        <f>IF(AND(ISNUMBER('Funnel setup'!P103),D90&gt;=30,E90&lt;&gt;"*",D90&lt;&gt;""),F90+1.959963985 *('Funnel setup'!$K$8/SQRT('Funnel Data'!D90)),"")</f>
        <v/>
      </c>
      <c r="I90" s="177" t="str">
        <f>IF(AND(ISNUMBER('Funnel setup'!P103),D90&gt;=30,E90&lt;&gt;"*",D90&lt;&gt;""),F90-3.090232306 *('Funnel setup'!$K$8/SQRT('Funnel Data'!D90)),"")</f>
        <v/>
      </c>
      <c r="J90" s="177" t="str">
        <f>IF(AND(ISNUMBER('Funnel setup'!P103),D90&gt;=30,E90&lt;&gt;"*",D90&lt;&gt;""),F90+3.090232306 *('Funnel setup'!$K$8/SQRT('Funnel Data'!D90)),"")</f>
        <v/>
      </c>
      <c r="K90" s="178" t="str">
        <f>IF(AND(ISNUMBER('Funnel setup'!P103),D90&gt;=30,E90&lt;&gt;"*",D90&lt;&gt;""),IF(E90&gt;J90,'Funnel setup'!$K$15&amp;"99.8%",IF(E90&gt;H90,'Funnel setup'!$K$15&amp;"95%",IF(E90&lt;I90,'Funnel setup'!$K$16&amp;"99.8%",IF(E90&lt;G90,'Funnel setup'!$K$16&amp;"95%","")))),"")</f>
        <v/>
      </c>
    </row>
    <row r="91" spans="2:11" ht="15" customHeight="1" x14ac:dyDescent="0.35">
      <c r="B91" s="174" t="str">
        <f>IF(ISNUMBER('Funnel setup'!P104),VLOOKUP('Funnel setup'!$P104,'Provider Commission - Raw Data'!$A:$Q,5,0),"")</f>
        <v>RAJ</v>
      </c>
      <c r="C91" s="175" t="str">
        <f>IF(ISNUMBER('Funnel setup'!P104),VLOOKUP('Funnel setup'!P104,'Provider Commission - Raw Data'!$A:$Q,6,0),"")</f>
        <v>MID AND SOUTH ESSEX NHS FOUNDATION TRUST (RAJ)</v>
      </c>
      <c r="D91" s="176">
        <f>IF(ISNUMBER('Funnel setup'!P104),IF(VLOOKUP('Funnel setup'!P104,'Provider Commission - Raw Data'!$A:$Q,8,0)="-","",VLOOKUP('Funnel setup'!P104,'Provider Commission - Raw Data'!$A:$Q,8,0)),"")</f>
        <v>127</v>
      </c>
      <c r="E91" s="251">
        <f>IF(ISNUMBER('Funnel setup'!P104),IF(VLOOKUP('Funnel setup'!P104,'Provider Commission - Raw Data'!$A:$Q,16,0)="-","",VLOOKUP('Funnel setup'!P104,'Provider Commission - Raw Data'!$A:$Q,16,0)),"")</f>
        <v>23.321400000000001</v>
      </c>
      <c r="F91" s="177">
        <f>IF(AND(ISNUMBER('Funnel setup'!P104)),'Funnel setup'!$K$9,"")</f>
        <v>22.515359017022909</v>
      </c>
      <c r="G91" s="177">
        <f>IF(AND(ISNUMBER('Funnel setup'!P104),D91&gt;=30,E91&lt;&gt;"*",D91&lt;&gt;""),F91-1.959963985 *('Funnel setup'!$K$8/SQRT('Funnel Data'!D91)),"")</f>
        <v>21.075483670940311</v>
      </c>
      <c r="H91" s="177">
        <f>IF(AND(ISNUMBER('Funnel setup'!P104),D91&gt;=30,E91&lt;&gt;"*",D91&lt;&gt;""),F91+1.959963985 *('Funnel setup'!$K$8/SQRT('Funnel Data'!D91)),"")</f>
        <v>23.955234363105507</v>
      </c>
      <c r="I91" s="177">
        <f>IF(AND(ISNUMBER('Funnel setup'!P104),D91&gt;=30,E91&lt;&gt;"*",D91&lt;&gt;""),F91-3.090232306 *('Funnel setup'!$K$8/SQRT('Funnel Data'!D91)),"")</f>
        <v>20.245139081794164</v>
      </c>
      <c r="J91" s="177">
        <f>IF(AND(ISNUMBER('Funnel setup'!P104),D91&gt;=30,E91&lt;&gt;"*",D91&lt;&gt;""),F91+3.090232306 *('Funnel setup'!$K$8/SQRT('Funnel Data'!D91)),"")</f>
        <v>24.785578952251655</v>
      </c>
      <c r="K91" s="178" t="str">
        <f>IF(AND(ISNUMBER('Funnel setup'!P104),D91&gt;=30,E91&lt;&gt;"*",D91&lt;&gt;""),IF(E91&gt;J91,'Funnel setup'!$K$15&amp;"99.8%",IF(E91&gt;H91,'Funnel setup'!$K$15&amp;"95%",IF(E91&lt;I91,'Funnel setup'!$K$16&amp;"99.8%",IF(E91&lt;G91,'Funnel setup'!$K$16&amp;"95%","")))),"")</f>
        <v/>
      </c>
    </row>
    <row r="92" spans="2:11" ht="15" customHeight="1" x14ac:dyDescent="0.35">
      <c r="B92" s="174" t="str">
        <f>IF(ISNUMBER('Funnel setup'!P105),VLOOKUP('Funnel setup'!$P105,'Provider Commission - Raw Data'!$A:$Q,5,0),"")</f>
        <v>RBT</v>
      </c>
      <c r="C92" s="175" t="str">
        <f>IF(ISNUMBER('Funnel setup'!P105),VLOOKUP('Funnel setup'!P105,'Provider Commission - Raw Data'!$A:$Q,6,0),"")</f>
        <v>MID CHESHIRE HOSPITALS NHS FOUNDATION TRUST (RBT)</v>
      </c>
      <c r="D92" s="176">
        <f>IF(ISNUMBER('Funnel setup'!P105),IF(VLOOKUP('Funnel setup'!P105,'Provider Commission - Raw Data'!$A:$Q,8,0)="-","",VLOOKUP('Funnel setup'!P105,'Provider Commission - Raw Data'!$A:$Q,8,0)),"")</f>
        <v>112</v>
      </c>
      <c r="E92" s="251">
        <f>IF(ISNUMBER('Funnel setup'!P105),IF(VLOOKUP('Funnel setup'!P105,'Provider Commission - Raw Data'!$A:$Q,16,0)="-","",VLOOKUP('Funnel setup'!P105,'Provider Commission - Raw Data'!$A:$Q,16,0)),"")</f>
        <v>23.627300000000002</v>
      </c>
      <c r="F92" s="177">
        <f>IF(AND(ISNUMBER('Funnel setup'!P105)),'Funnel setup'!$K$9,"")</f>
        <v>22.515359017022909</v>
      </c>
      <c r="G92" s="177">
        <f>IF(AND(ISNUMBER('Funnel setup'!P105),D92&gt;=30,E92&lt;&gt;"*",D92&lt;&gt;""),F92-1.959963985 *('Funnel setup'!$K$8/SQRT('Funnel Data'!D92)),"")</f>
        <v>20.982092171605871</v>
      </c>
      <c r="H92" s="177">
        <f>IF(AND(ISNUMBER('Funnel setup'!P105),D92&gt;=30,E92&lt;&gt;"*",D92&lt;&gt;""),F92+1.959963985 *('Funnel setup'!$K$8/SQRT('Funnel Data'!D92)),"")</f>
        <v>24.048625862439948</v>
      </c>
      <c r="I92" s="177">
        <f>IF(AND(ISNUMBER('Funnel setup'!P105),D92&gt;=30,E92&lt;&gt;"*",D92&lt;&gt;""),F92-3.090232306 *('Funnel setup'!$K$8/SQRT('Funnel Data'!D92)),"")</f>
        <v>20.097890749397347</v>
      </c>
      <c r="J92" s="177">
        <f>IF(AND(ISNUMBER('Funnel setup'!P105),D92&gt;=30,E92&lt;&gt;"*",D92&lt;&gt;""),F92+3.090232306 *('Funnel setup'!$K$8/SQRT('Funnel Data'!D92)),"")</f>
        <v>24.932827284648472</v>
      </c>
      <c r="K92" s="178" t="str">
        <f>IF(AND(ISNUMBER('Funnel setup'!P105),D92&gt;=30,E92&lt;&gt;"*",D92&lt;&gt;""),IF(E92&gt;J92,'Funnel setup'!$K$15&amp;"99.8%",IF(E92&gt;H92,'Funnel setup'!$K$15&amp;"95%",IF(E92&lt;I92,'Funnel setup'!$K$16&amp;"99.8%",IF(E92&lt;G92,'Funnel setup'!$K$16&amp;"95%","")))),"")</f>
        <v/>
      </c>
    </row>
    <row r="93" spans="2:11" ht="15" customHeight="1" x14ac:dyDescent="0.35">
      <c r="B93" s="174" t="str">
        <f>IF(ISNUMBER('Funnel setup'!P106),VLOOKUP('Funnel setup'!$P106,'Provider Commission - Raw Data'!$A:$Q,5,0),"")</f>
        <v>RXF</v>
      </c>
      <c r="C93" s="175" t="str">
        <f>IF(ISNUMBER('Funnel setup'!P106),VLOOKUP('Funnel setup'!P106,'Provider Commission - Raw Data'!$A:$Q,6,0),"")</f>
        <v>MID YORKSHIRE TEACHING NHS TRUST (RXF)</v>
      </c>
      <c r="D93" s="176">
        <f>IF(ISNUMBER('Funnel setup'!P106),IF(VLOOKUP('Funnel setup'!P106,'Provider Commission - Raw Data'!$A:$Q,8,0)="-","",VLOOKUP('Funnel setup'!P106,'Provider Commission - Raw Data'!$A:$Q,8,0)),"")</f>
        <v>187</v>
      </c>
      <c r="E93" s="251">
        <f>IF(ISNUMBER('Funnel setup'!P106),IF(VLOOKUP('Funnel setup'!P106,'Provider Commission - Raw Data'!$A:$Q,16,0)="-","",VLOOKUP('Funnel setup'!P106,'Provider Commission - Raw Data'!$A:$Q,16,0)),"")</f>
        <v>21.8094</v>
      </c>
      <c r="F93" s="177">
        <f>IF(AND(ISNUMBER('Funnel setup'!P106)),'Funnel setup'!$K$9,"")</f>
        <v>22.515359017022909</v>
      </c>
      <c r="G93" s="177">
        <f>IF(AND(ISNUMBER('Funnel setup'!P106),D93&gt;=30,E93&lt;&gt;"*",D93&lt;&gt;""),F93-1.959963985 *('Funnel setup'!$K$8/SQRT('Funnel Data'!D93)),"")</f>
        <v>21.328754621160016</v>
      </c>
      <c r="H93" s="177">
        <f>IF(AND(ISNUMBER('Funnel setup'!P106),D93&gt;=30,E93&lt;&gt;"*",D93&lt;&gt;""),F93+1.959963985 *('Funnel setup'!$K$8/SQRT('Funnel Data'!D93)),"")</f>
        <v>23.701963412885803</v>
      </c>
      <c r="I93" s="177">
        <f>IF(AND(ISNUMBER('Funnel setup'!P106),D93&gt;=30,E93&lt;&gt;"*",D93&lt;&gt;""),F93-3.090232306 *('Funnel setup'!$K$8/SQRT('Funnel Data'!D93)),"")</f>
        <v>20.644465844188858</v>
      </c>
      <c r="J93" s="177">
        <f>IF(AND(ISNUMBER('Funnel setup'!P106),D93&gt;=30,E93&lt;&gt;"*",D93&lt;&gt;""),F93+3.090232306 *('Funnel setup'!$K$8/SQRT('Funnel Data'!D93)),"")</f>
        <v>24.386252189856961</v>
      </c>
      <c r="K93" s="178" t="str">
        <f>IF(AND(ISNUMBER('Funnel setup'!P106),D93&gt;=30,E93&lt;&gt;"*",D93&lt;&gt;""),IF(E93&gt;J93,'Funnel setup'!$K$15&amp;"99.8%",IF(E93&gt;H93,'Funnel setup'!$K$15&amp;"95%",IF(E93&lt;I93,'Funnel setup'!$K$16&amp;"99.8%",IF(E93&lt;G93,'Funnel setup'!$K$16&amp;"95%","")))),"")</f>
        <v/>
      </c>
    </row>
    <row r="94" spans="2:11" ht="15" customHeight="1" x14ac:dyDescent="0.35">
      <c r="B94" s="174" t="str">
        <f>IF(ISNUMBER('Funnel setup'!P107),VLOOKUP('Funnel setup'!$P107,'Provider Commission - Raw Data'!$A:$Q,5,0),"")</f>
        <v>RD8</v>
      </c>
      <c r="C94" s="175" t="str">
        <f>IF(ISNUMBER('Funnel setup'!P107),VLOOKUP('Funnel setup'!P107,'Provider Commission - Raw Data'!$A:$Q,6,0),"")</f>
        <v>MILTON KEYNES UNIVERSITY HOSPITAL NHS FOUNDATION TRUST (RD8)</v>
      </c>
      <c r="D94" s="176">
        <f>IF(ISNUMBER('Funnel setup'!P107),IF(VLOOKUP('Funnel setup'!P107,'Provider Commission - Raw Data'!$A:$Q,8,0)="-","",VLOOKUP('Funnel setup'!P107,'Provider Commission - Raw Data'!$A:$Q,8,0)),"")</f>
        <v>39</v>
      </c>
      <c r="E94" s="251">
        <f>IF(ISNUMBER('Funnel setup'!P107),IF(VLOOKUP('Funnel setup'!P107,'Provider Commission - Raw Data'!$A:$Q,16,0)="-","",VLOOKUP('Funnel setup'!P107,'Provider Commission - Raw Data'!$A:$Q,16,0)),"")</f>
        <v>24.965199999999999</v>
      </c>
      <c r="F94" s="177">
        <f>IF(AND(ISNUMBER('Funnel setup'!P107)),'Funnel setup'!$K$9,"")</f>
        <v>22.515359017022909</v>
      </c>
      <c r="G94" s="177">
        <f>IF(AND(ISNUMBER('Funnel setup'!P107),D94&gt;=30,E94&lt;&gt;"*",D94&lt;&gt;""),F94-1.959963985 *('Funnel setup'!$K$8/SQRT('Funnel Data'!D94)),"")</f>
        <v>19.917028149653937</v>
      </c>
      <c r="H94" s="177">
        <f>IF(AND(ISNUMBER('Funnel setup'!P107),D94&gt;=30,E94&lt;&gt;"*",D94&lt;&gt;""),F94+1.959963985 *('Funnel setup'!$K$8/SQRT('Funnel Data'!D94)),"")</f>
        <v>25.113689884391881</v>
      </c>
      <c r="I94" s="177">
        <f>IF(AND(ISNUMBER('Funnel setup'!P107),D94&gt;=30,E94&lt;&gt;"*",D94&lt;&gt;""),F94-3.090232306 *('Funnel setup'!$K$8/SQRT('Funnel Data'!D94)),"")</f>
        <v>18.418627623246511</v>
      </c>
      <c r="J94" s="177">
        <f>IF(AND(ISNUMBER('Funnel setup'!P107),D94&gt;=30,E94&lt;&gt;"*",D94&lt;&gt;""),F94+3.090232306 *('Funnel setup'!$K$8/SQRT('Funnel Data'!D94)),"")</f>
        <v>26.612090410799308</v>
      </c>
      <c r="K94" s="178" t="str">
        <f>IF(AND(ISNUMBER('Funnel setup'!P107),D94&gt;=30,E94&lt;&gt;"*",D94&lt;&gt;""),IF(E94&gt;J94,'Funnel setup'!$K$15&amp;"99.8%",IF(E94&gt;H94,'Funnel setup'!$K$15&amp;"95%",IF(E94&lt;I94,'Funnel setup'!$K$16&amp;"99.8%",IF(E94&lt;G94,'Funnel setup'!$K$16&amp;"95%","")))),"")</f>
        <v/>
      </c>
    </row>
    <row r="95" spans="2:11" ht="15" customHeight="1" x14ac:dyDescent="0.35">
      <c r="B95" s="174" t="str">
        <f>IF(ISNUMBER('Funnel setup'!P108),VLOOKUP('Funnel setup'!$P108,'Provider Commission - Raw Data'!$A:$Q,5,0),"")</f>
        <v>NT455</v>
      </c>
      <c r="C95" s="175" t="str">
        <f>IF(ISNUMBER('Funnel setup'!P108),VLOOKUP('Funnel setup'!P108,'Provider Commission - Raw Data'!$A:$Q,6,0),"")</f>
        <v>MOUNT ALVERNIA HOSPITAL (NT455)</v>
      </c>
      <c r="D95" s="176">
        <f>IF(ISNUMBER('Funnel setup'!P108),IF(VLOOKUP('Funnel setup'!P108,'Provider Commission - Raw Data'!$A:$Q,8,0)="-","",VLOOKUP('Funnel setup'!P108,'Provider Commission - Raw Data'!$A:$Q,8,0)),"")</f>
        <v>8</v>
      </c>
      <c r="E95" s="251" t="str">
        <f>IF(ISNUMBER('Funnel setup'!P108),IF(VLOOKUP('Funnel setup'!P108,'Provider Commission - Raw Data'!$A:$Q,16,0)="-","",VLOOKUP('Funnel setup'!P108,'Provider Commission - Raw Data'!$A:$Q,16,0)),"")</f>
        <v>*</v>
      </c>
      <c r="F95" s="177">
        <f>IF(AND(ISNUMBER('Funnel setup'!P108)),'Funnel setup'!$K$9,"")</f>
        <v>22.515359017022909</v>
      </c>
      <c r="G95" s="177" t="str">
        <f>IF(AND(ISNUMBER('Funnel setup'!P108),D95&gt;=30,E95&lt;&gt;"*",D95&lt;&gt;""),F95-1.959963985 *('Funnel setup'!$K$8/SQRT('Funnel Data'!D95)),"")</f>
        <v/>
      </c>
      <c r="H95" s="177" t="str">
        <f>IF(AND(ISNUMBER('Funnel setup'!P108),D95&gt;=30,E95&lt;&gt;"*",D95&lt;&gt;""),F95+1.959963985 *('Funnel setup'!$K$8/SQRT('Funnel Data'!D95)),"")</f>
        <v/>
      </c>
      <c r="I95" s="177" t="str">
        <f>IF(AND(ISNUMBER('Funnel setup'!P108),D95&gt;=30,E95&lt;&gt;"*",D95&lt;&gt;""),F95-3.090232306 *('Funnel setup'!$K$8/SQRT('Funnel Data'!D95)),"")</f>
        <v/>
      </c>
      <c r="J95" s="177" t="str">
        <f>IF(AND(ISNUMBER('Funnel setup'!P108),D95&gt;=30,E95&lt;&gt;"*",D95&lt;&gt;""),F95+3.090232306 *('Funnel setup'!$K$8/SQRT('Funnel Data'!D95)),"")</f>
        <v/>
      </c>
      <c r="K95" s="178" t="str">
        <f>IF(AND(ISNUMBER('Funnel setup'!P108),D95&gt;=30,E95&lt;&gt;"*",D95&lt;&gt;""),IF(E95&gt;J95,'Funnel setup'!$K$15&amp;"99.8%",IF(E95&gt;H95,'Funnel setup'!$K$15&amp;"95%",IF(E95&lt;I95,'Funnel setup'!$K$16&amp;"99.8%",IF(E95&lt;G95,'Funnel setup'!$K$16&amp;"95%","")))),"")</f>
        <v/>
      </c>
    </row>
    <row r="96" spans="2:11" ht="30" customHeight="1" x14ac:dyDescent="0.35">
      <c r="B96" s="174" t="str">
        <f>IF(ISNUMBER('Funnel setup'!P109),VLOOKUP('Funnel setup'!$P109,'Provider Commission - Raw Data'!$A:$Q,5,0),"")</f>
        <v>NVC08</v>
      </c>
      <c r="C96" s="175" t="str">
        <f>IF(ISNUMBER('Funnel setup'!P109),VLOOKUP('Funnel setup'!P109,'Provider Commission - Raw Data'!$A:$Q,6,0),"")</f>
        <v>MOUNT STUART HOSPITAL (NVC08)</v>
      </c>
      <c r="D96" s="176">
        <f>IF(ISNUMBER('Funnel setup'!P109),IF(VLOOKUP('Funnel setup'!P109,'Provider Commission - Raw Data'!$A:$Q,8,0)="-","",VLOOKUP('Funnel setup'!P109,'Provider Commission - Raw Data'!$A:$Q,8,0)),"")</f>
        <v>88</v>
      </c>
      <c r="E96" s="251">
        <f>IF(ISNUMBER('Funnel setup'!P109),IF(VLOOKUP('Funnel setup'!P109,'Provider Commission - Raw Data'!$A:$Q,16,0)="-","",VLOOKUP('Funnel setup'!P109,'Provider Commission - Raw Data'!$A:$Q,16,0)),"")</f>
        <v>24.126200000000001</v>
      </c>
      <c r="F96" s="177">
        <f>IF(AND(ISNUMBER('Funnel setup'!P109)),'Funnel setup'!$K$9,"")</f>
        <v>22.515359017022909</v>
      </c>
      <c r="G96" s="177">
        <f>IF(AND(ISNUMBER('Funnel setup'!P109),D96&gt;=30,E96&lt;&gt;"*",D96&lt;&gt;""),F96-1.959963985 *('Funnel setup'!$K$8/SQRT('Funnel Data'!D96)),"")</f>
        <v>20.785600729400784</v>
      </c>
      <c r="H96" s="177">
        <f>IF(AND(ISNUMBER('Funnel setup'!P109),D96&gt;=30,E96&lt;&gt;"*",D96&lt;&gt;""),F96+1.959963985 *('Funnel setup'!$K$8/SQRT('Funnel Data'!D96)),"")</f>
        <v>24.245117304645035</v>
      </c>
      <c r="I96" s="177">
        <f>IF(AND(ISNUMBER('Funnel setup'!P109),D96&gt;=30,E96&lt;&gt;"*",D96&lt;&gt;""),F96-3.090232306 *('Funnel setup'!$K$8/SQRT('Funnel Data'!D96)),"")</f>
        <v>19.788086994225445</v>
      </c>
      <c r="J96" s="177">
        <f>IF(AND(ISNUMBER('Funnel setup'!P109),D96&gt;=30,E96&lt;&gt;"*",D96&lt;&gt;""),F96+3.090232306 *('Funnel setup'!$K$8/SQRT('Funnel Data'!D96)),"")</f>
        <v>25.242631039820374</v>
      </c>
      <c r="K96" s="178" t="str">
        <f>IF(AND(ISNUMBER('Funnel setup'!P109),D96&gt;=30,E96&lt;&gt;"*",D96&lt;&gt;""),IF(E96&gt;J96,'Funnel setup'!$K$15&amp;"99.8%",IF(E96&gt;H96,'Funnel setup'!$K$15&amp;"95%",IF(E96&lt;I96,'Funnel setup'!$K$16&amp;"99.8%",IF(E96&lt;G96,'Funnel setup'!$K$16&amp;"95%","")))),"")</f>
        <v/>
      </c>
    </row>
    <row r="97" spans="2:11" ht="15" customHeight="1" x14ac:dyDescent="0.35">
      <c r="B97" s="174" t="str">
        <f>IF(ISNUMBER('Funnel setup'!P110),VLOOKUP('Funnel setup'!$P110,'Provider Commission - Raw Data'!$A:$Q,5,0),"")</f>
        <v>NVC09</v>
      </c>
      <c r="C97" s="175" t="str">
        <f>IF(ISNUMBER('Funnel setup'!P110),VLOOKUP('Funnel setup'!P110,'Provider Commission - Raw Data'!$A:$Q,6,0),"")</f>
        <v>NEW HALL HOSPITAL (NVC09)</v>
      </c>
      <c r="D97" s="176">
        <f>IF(ISNUMBER('Funnel setup'!P110),IF(VLOOKUP('Funnel setup'!P110,'Provider Commission - Raw Data'!$A:$Q,8,0)="-","",VLOOKUP('Funnel setup'!P110,'Provider Commission - Raw Data'!$A:$Q,8,0)),"")</f>
        <v>94</v>
      </c>
      <c r="E97" s="251">
        <f>IF(ISNUMBER('Funnel setup'!P110),IF(VLOOKUP('Funnel setup'!P110,'Provider Commission - Raw Data'!$A:$Q,16,0)="-","",VLOOKUP('Funnel setup'!P110,'Provider Commission - Raw Data'!$A:$Q,16,0)),"")</f>
        <v>22.974900000000002</v>
      </c>
      <c r="F97" s="177">
        <f>IF(AND(ISNUMBER('Funnel setup'!P110)),'Funnel setup'!$K$9,"")</f>
        <v>22.515359017022909</v>
      </c>
      <c r="G97" s="177">
        <f>IF(AND(ISNUMBER('Funnel setup'!P110),D97&gt;=30,E97&lt;&gt;"*",D97&lt;&gt;""),F97-1.959963985 *('Funnel setup'!$K$8/SQRT('Funnel Data'!D97)),"")</f>
        <v>20.841716001893577</v>
      </c>
      <c r="H97" s="177">
        <f>IF(AND(ISNUMBER('Funnel setup'!P110),D97&gt;=30,E97&lt;&gt;"*",D97&lt;&gt;""),F97+1.959963985 *('Funnel setup'!$K$8/SQRT('Funnel Data'!D97)),"")</f>
        <v>24.189002032152242</v>
      </c>
      <c r="I97" s="177">
        <f>IF(AND(ISNUMBER('Funnel setup'!P110),D97&gt;=30,E97&lt;&gt;"*",D97&lt;&gt;""),F97-3.090232306 *('Funnel setup'!$K$8/SQRT('Funnel Data'!D97)),"")</f>
        <v>19.876562715842962</v>
      </c>
      <c r="J97" s="177">
        <f>IF(AND(ISNUMBER('Funnel setup'!P110),D97&gt;=30,E97&lt;&gt;"*",D97&lt;&gt;""),F97+3.090232306 *('Funnel setup'!$K$8/SQRT('Funnel Data'!D97)),"")</f>
        <v>25.154155318202857</v>
      </c>
      <c r="K97" s="178" t="str">
        <f>IF(AND(ISNUMBER('Funnel setup'!P110),D97&gt;=30,E97&lt;&gt;"*",D97&lt;&gt;""),IF(E97&gt;J97,'Funnel setup'!$K$15&amp;"99.8%",IF(E97&gt;H97,'Funnel setup'!$K$15&amp;"95%",IF(E97&lt;I97,'Funnel setup'!$K$16&amp;"99.8%",IF(E97&lt;G97,'Funnel setup'!$K$16&amp;"95%","")))),"")</f>
        <v/>
      </c>
    </row>
    <row r="98" spans="2:11" ht="15" customHeight="1" x14ac:dyDescent="0.35">
      <c r="B98" s="174" t="str">
        <f>IF(ISNUMBER('Funnel setup'!P111),VLOOKUP('Funnel setup'!$P111,'Provider Commission - Raw Data'!$A:$Q,5,0),"")</f>
        <v>RM1</v>
      </c>
      <c r="C98" s="175" t="str">
        <f>IF(ISNUMBER('Funnel setup'!P111),VLOOKUP('Funnel setup'!P111,'Provider Commission - Raw Data'!$A:$Q,6,0),"")</f>
        <v>NORFOLK AND NORWICH UNIVERSITY HOSPITALS NHS FOUNDATION TRUST (RM1)</v>
      </c>
      <c r="D98" s="176">
        <f>IF(ISNUMBER('Funnel setup'!P111),IF(VLOOKUP('Funnel setup'!P111,'Provider Commission - Raw Data'!$A:$Q,8,0)="-","",VLOOKUP('Funnel setup'!P111,'Provider Commission - Raw Data'!$A:$Q,8,0)),"")</f>
        <v>202</v>
      </c>
      <c r="E98" s="251">
        <f>IF(ISNUMBER('Funnel setup'!P111),IF(VLOOKUP('Funnel setup'!P111,'Provider Commission - Raw Data'!$A:$Q,16,0)="-","",VLOOKUP('Funnel setup'!P111,'Provider Commission - Raw Data'!$A:$Q,16,0)),"")</f>
        <v>22.9438</v>
      </c>
      <c r="F98" s="177">
        <f>IF(AND(ISNUMBER('Funnel setup'!P111)),'Funnel setup'!$K$9,"")</f>
        <v>22.515359017022909</v>
      </c>
      <c r="G98" s="177">
        <f>IF(AND(ISNUMBER('Funnel setup'!P111),D98&gt;=30,E98&lt;&gt;"*",D98&lt;&gt;""),F98-1.959963985 *('Funnel setup'!$K$8/SQRT('Funnel Data'!D98)),"")</f>
        <v>21.373661460887309</v>
      </c>
      <c r="H98" s="177">
        <f>IF(AND(ISNUMBER('Funnel setup'!P111),D98&gt;=30,E98&lt;&gt;"*",D98&lt;&gt;""),F98+1.959963985 *('Funnel setup'!$K$8/SQRT('Funnel Data'!D98)),"")</f>
        <v>23.65705657315851</v>
      </c>
      <c r="I98" s="177">
        <f>IF(AND(ISNUMBER('Funnel setup'!P111),D98&gt;=30,E98&lt;&gt;"*",D98&lt;&gt;""),F98-3.090232306 *('Funnel setup'!$K$8/SQRT('Funnel Data'!D98)),"")</f>
        <v>20.715269475249272</v>
      </c>
      <c r="J98" s="177">
        <f>IF(AND(ISNUMBER('Funnel setup'!P111),D98&gt;=30,E98&lt;&gt;"*",D98&lt;&gt;""),F98+3.090232306 *('Funnel setup'!$K$8/SQRT('Funnel Data'!D98)),"")</f>
        <v>24.315448558796547</v>
      </c>
      <c r="K98" s="178" t="str">
        <f>IF(AND(ISNUMBER('Funnel setup'!P111),D98&gt;=30,E98&lt;&gt;"*",D98&lt;&gt;""),IF(E98&gt;J98,'Funnel setup'!$K$15&amp;"99.8%",IF(E98&gt;H98,'Funnel setup'!$K$15&amp;"95%",IF(E98&lt;I98,'Funnel setup'!$K$16&amp;"99.8%",IF(E98&lt;G98,'Funnel setup'!$K$16&amp;"95%","")))),"")</f>
        <v/>
      </c>
    </row>
    <row r="99" spans="2:11" ht="15" customHeight="1" x14ac:dyDescent="0.35">
      <c r="B99" s="174" t="str">
        <f>IF(ISNUMBER('Funnel setup'!P112),VLOOKUP('Funnel setup'!$P112,'Provider Commission - Raw Data'!$A:$Q,5,0),"")</f>
        <v>RVJ</v>
      </c>
      <c r="C99" s="175" t="str">
        <f>IF(ISNUMBER('Funnel setup'!P112),VLOOKUP('Funnel setup'!P112,'Provider Commission - Raw Data'!$A:$Q,6,0),"")</f>
        <v>NORTH BRISTOL NHS TRUST (RVJ)</v>
      </c>
      <c r="D99" s="176">
        <f>IF(ISNUMBER('Funnel setup'!P112),IF(VLOOKUP('Funnel setup'!P112,'Provider Commission - Raw Data'!$A:$Q,8,0)="-","",VLOOKUP('Funnel setup'!P112,'Provider Commission - Raw Data'!$A:$Q,8,0)),"")</f>
        <v>9</v>
      </c>
      <c r="E99" s="251" t="str">
        <f>IF(ISNUMBER('Funnel setup'!P112),IF(VLOOKUP('Funnel setup'!P112,'Provider Commission - Raw Data'!$A:$Q,16,0)="-","",VLOOKUP('Funnel setup'!P112,'Provider Commission - Raw Data'!$A:$Q,16,0)),"")</f>
        <v>*</v>
      </c>
      <c r="F99" s="177">
        <f>IF(AND(ISNUMBER('Funnel setup'!P112)),'Funnel setup'!$K$9,"")</f>
        <v>22.515359017022909</v>
      </c>
      <c r="G99" s="177" t="str">
        <f>IF(AND(ISNUMBER('Funnel setup'!P112),D99&gt;=30,E99&lt;&gt;"*",D99&lt;&gt;""),F99-1.959963985 *('Funnel setup'!$K$8/SQRT('Funnel Data'!D99)),"")</f>
        <v/>
      </c>
      <c r="H99" s="177" t="str">
        <f>IF(AND(ISNUMBER('Funnel setup'!P112),D99&gt;=30,E99&lt;&gt;"*",D99&lt;&gt;""),F99+1.959963985 *('Funnel setup'!$K$8/SQRT('Funnel Data'!D99)),"")</f>
        <v/>
      </c>
      <c r="I99" s="177" t="str">
        <f>IF(AND(ISNUMBER('Funnel setup'!P112),D99&gt;=30,E99&lt;&gt;"*",D99&lt;&gt;""),F99-3.090232306 *('Funnel setup'!$K$8/SQRT('Funnel Data'!D99)),"")</f>
        <v/>
      </c>
      <c r="J99" s="177" t="str">
        <f>IF(AND(ISNUMBER('Funnel setup'!P112),D99&gt;=30,E99&lt;&gt;"*",D99&lt;&gt;""),F99+3.090232306 *('Funnel setup'!$K$8/SQRT('Funnel Data'!D99)),"")</f>
        <v/>
      </c>
      <c r="K99" s="178" t="str">
        <f>IF(AND(ISNUMBER('Funnel setup'!P112),D99&gt;=30,E99&lt;&gt;"*",D99&lt;&gt;""),IF(E99&gt;J99,'Funnel setup'!$K$15&amp;"99.8%",IF(E99&gt;H99,'Funnel setup'!$K$15&amp;"95%",IF(E99&lt;I99,'Funnel setup'!$K$16&amp;"99.8%",IF(E99&lt;G99,'Funnel setup'!$K$16&amp;"95%","")))),"")</f>
        <v/>
      </c>
    </row>
    <row r="100" spans="2:11" ht="15" customHeight="1" x14ac:dyDescent="0.35">
      <c r="B100" s="174" t="str">
        <f>IF(ISNUMBER('Funnel setup'!P113),VLOOKUP('Funnel setup'!$P113,'Provider Commission - Raw Data'!$A:$Q,5,0),"")</f>
        <v>RNN</v>
      </c>
      <c r="C100" s="175" t="str">
        <f>IF(ISNUMBER('Funnel setup'!P113),VLOOKUP('Funnel setup'!P113,'Provider Commission - Raw Data'!$A:$Q,6,0),"")</f>
        <v>NORTH CUMBRIA INTEGRATED CARE NHS FOUNDATION TRUST (RNN)</v>
      </c>
      <c r="D100" s="176">
        <f>IF(ISNUMBER('Funnel setup'!P113),IF(VLOOKUP('Funnel setup'!P113,'Provider Commission - Raw Data'!$A:$Q,8,0)="-","",VLOOKUP('Funnel setup'!P113,'Provider Commission - Raw Data'!$A:$Q,8,0)),"")</f>
        <v>90</v>
      </c>
      <c r="E100" s="251">
        <f>IF(ISNUMBER('Funnel setup'!P113),IF(VLOOKUP('Funnel setup'!P113,'Provider Commission - Raw Data'!$A:$Q,16,0)="-","",VLOOKUP('Funnel setup'!P113,'Provider Commission - Raw Data'!$A:$Q,16,0)),"")</f>
        <v>24.396999999999998</v>
      </c>
      <c r="F100" s="177">
        <f>IF(AND(ISNUMBER('Funnel setup'!P113)),'Funnel setup'!$K$9,"")</f>
        <v>22.515359017022909</v>
      </c>
      <c r="G100" s="177">
        <f>IF(AND(ISNUMBER('Funnel setup'!P113),D100&gt;=30,E100&lt;&gt;"*",D100&lt;&gt;""),F100-1.959963985 *('Funnel setup'!$K$8/SQRT('Funnel Data'!D100)),"")</f>
        <v>20.804928244262324</v>
      </c>
      <c r="H100" s="177">
        <f>IF(AND(ISNUMBER('Funnel setup'!P113),D100&gt;=30,E100&lt;&gt;"*",D100&lt;&gt;""),F100+1.959963985 *('Funnel setup'!$K$8/SQRT('Funnel Data'!D100)),"")</f>
        <v>24.225789789783494</v>
      </c>
      <c r="I100" s="177">
        <f>IF(AND(ISNUMBER('Funnel setup'!P113),D100&gt;=30,E100&lt;&gt;"*",D100&lt;&gt;""),F100-3.090232306 *('Funnel setup'!$K$8/SQRT('Funnel Data'!D100)),"")</f>
        <v>19.818560263773726</v>
      </c>
      <c r="J100" s="177">
        <f>IF(AND(ISNUMBER('Funnel setup'!P113),D100&gt;=30,E100&lt;&gt;"*",D100&lt;&gt;""),F100+3.090232306 *('Funnel setup'!$K$8/SQRT('Funnel Data'!D100)),"")</f>
        <v>25.212157770272093</v>
      </c>
      <c r="K100" s="178" t="str">
        <f>IF(AND(ISNUMBER('Funnel setup'!P113),D100&gt;=30,E100&lt;&gt;"*",D100&lt;&gt;""),IF(E100&gt;J100,'Funnel setup'!$K$15&amp;"99.8%",IF(E100&gt;H100,'Funnel setup'!$K$15&amp;"95%",IF(E100&lt;I100,'Funnel setup'!$K$16&amp;"99.8%",IF(E100&lt;G100,'Funnel setup'!$K$16&amp;"95%","")))),"")</f>
        <v>Upper 95%</v>
      </c>
    </row>
    <row r="101" spans="2:11" ht="15" customHeight="1" x14ac:dyDescent="0.35">
      <c r="B101" s="174" t="str">
        <f>IF(ISNUMBER('Funnel setup'!P114),VLOOKUP('Funnel setup'!$P114,'Provider Commission - Raw Data'!$A:$Q,5,0),"")</f>
        <v>NVC11</v>
      </c>
      <c r="C101" s="175" t="str">
        <f>IF(ISNUMBER('Funnel setup'!P114),VLOOKUP('Funnel setup'!P114,'Provider Commission - Raw Data'!$A:$Q,6,0),"")</f>
        <v>NORTH DOWNS HOSPITAL (NVC11)</v>
      </c>
      <c r="D101" s="176">
        <f>IF(ISNUMBER('Funnel setup'!P114),IF(VLOOKUP('Funnel setup'!P114,'Provider Commission - Raw Data'!$A:$Q,8,0)="-","",VLOOKUP('Funnel setup'!P114,'Provider Commission - Raw Data'!$A:$Q,8,0)),"")</f>
        <v>60</v>
      </c>
      <c r="E101" s="251">
        <f>IF(ISNUMBER('Funnel setup'!P114),IF(VLOOKUP('Funnel setup'!P114,'Provider Commission - Raw Data'!$A:$Q,16,0)="-","",VLOOKUP('Funnel setup'!P114,'Provider Commission - Raw Data'!$A:$Q,16,0)),"")</f>
        <v>23.205300000000001</v>
      </c>
      <c r="F101" s="177">
        <f>IF(AND(ISNUMBER('Funnel setup'!P114)),'Funnel setup'!$K$9,"")</f>
        <v>22.515359017022909</v>
      </c>
      <c r="G101" s="177">
        <f>IF(AND(ISNUMBER('Funnel setup'!P114),D101&gt;=30,E101&lt;&gt;"*",D101&lt;&gt;""),F101-1.959963985 *('Funnel setup'!$K$8/SQRT('Funnel Data'!D101)),"")</f>
        <v>20.420517700214031</v>
      </c>
      <c r="H101" s="177">
        <f>IF(AND(ISNUMBER('Funnel setup'!P114),D101&gt;=30,E101&lt;&gt;"*",D101&lt;&gt;""),F101+1.959963985 *('Funnel setup'!$K$8/SQRT('Funnel Data'!D101)),"")</f>
        <v>24.610200333831788</v>
      </c>
      <c r="I101" s="177">
        <f>IF(AND(ISNUMBER('Funnel setup'!P114),D101&gt;=30,E101&lt;&gt;"*",D101&lt;&gt;""),F101-3.090232306 *('Funnel setup'!$K$8/SQRT('Funnel Data'!D101)),"")</f>
        <v>19.21246857480574</v>
      </c>
      <c r="J101" s="177">
        <f>IF(AND(ISNUMBER('Funnel setup'!P114),D101&gt;=30,E101&lt;&gt;"*",D101&lt;&gt;""),F101+3.090232306 *('Funnel setup'!$K$8/SQRT('Funnel Data'!D101)),"")</f>
        <v>25.818249459240079</v>
      </c>
      <c r="K101" s="178" t="str">
        <f>IF(AND(ISNUMBER('Funnel setup'!P114),D101&gt;=30,E101&lt;&gt;"*",D101&lt;&gt;""),IF(E101&gt;J101,'Funnel setup'!$K$15&amp;"99.8%",IF(E101&gt;H101,'Funnel setup'!$K$15&amp;"95%",IF(E101&lt;I101,'Funnel setup'!$K$16&amp;"99.8%",IF(E101&lt;G101,'Funnel setup'!$K$16&amp;"95%","")))),"")</f>
        <v/>
      </c>
    </row>
    <row r="102" spans="2:11" ht="30" customHeight="1" x14ac:dyDescent="0.35">
      <c r="B102" s="174" t="str">
        <f>IF(ISNUMBER('Funnel setup'!P115),VLOOKUP('Funnel setup'!$P115,'Provider Commission - Raw Data'!$A:$Q,5,0),"")</f>
        <v>RAP</v>
      </c>
      <c r="C102" s="175" t="str">
        <f>IF(ISNUMBER('Funnel setup'!P115),VLOOKUP('Funnel setup'!P115,'Provider Commission - Raw Data'!$A:$Q,6,0),"")</f>
        <v>NORTH MIDDLESEX UNIVERSITY HOSPITAL NHS TRUST (RAP)</v>
      </c>
      <c r="D102" s="176">
        <f>IF(ISNUMBER('Funnel setup'!P115),IF(VLOOKUP('Funnel setup'!P115,'Provider Commission - Raw Data'!$A:$Q,8,0)="-","",VLOOKUP('Funnel setup'!P115,'Provider Commission - Raw Data'!$A:$Q,8,0)),"")</f>
        <v>8</v>
      </c>
      <c r="E102" s="251" t="str">
        <f>IF(ISNUMBER('Funnel setup'!P115),IF(VLOOKUP('Funnel setup'!P115,'Provider Commission - Raw Data'!$A:$Q,16,0)="-","",VLOOKUP('Funnel setup'!P115,'Provider Commission - Raw Data'!$A:$Q,16,0)),"")</f>
        <v>*</v>
      </c>
      <c r="F102" s="177">
        <f>IF(AND(ISNUMBER('Funnel setup'!P115)),'Funnel setup'!$K$9,"")</f>
        <v>22.515359017022909</v>
      </c>
      <c r="G102" s="177" t="str">
        <f>IF(AND(ISNUMBER('Funnel setup'!P115),D102&gt;=30,E102&lt;&gt;"*",D102&lt;&gt;""),F102-1.959963985 *('Funnel setup'!$K$8/SQRT('Funnel Data'!D102)),"")</f>
        <v/>
      </c>
      <c r="H102" s="177" t="str">
        <f>IF(AND(ISNUMBER('Funnel setup'!P115),D102&gt;=30,E102&lt;&gt;"*",D102&lt;&gt;""),F102+1.959963985 *('Funnel setup'!$K$8/SQRT('Funnel Data'!D102)),"")</f>
        <v/>
      </c>
      <c r="I102" s="177" t="str">
        <f>IF(AND(ISNUMBER('Funnel setup'!P115),D102&gt;=30,E102&lt;&gt;"*",D102&lt;&gt;""),F102-3.090232306 *('Funnel setup'!$K$8/SQRT('Funnel Data'!D102)),"")</f>
        <v/>
      </c>
      <c r="J102" s="177" t="str">
        <f>IF(AND(ISNUMBER('Funnel setup'!P115),D102&gt;=30,E102&lt;&gt;"*",D102&lt;&gt;""),F102+3.090232306 *('Funnel setup'!$K$8/SQRT('Funnel Data'!D102)),"")</f>
        <v/>
      </c>
      <c r="K102" s="178" t="str">
        <f>IF(AND(ISNUMBER('Funnel setup'!P115),D102&gt;=30,E102&lt;&gt;"*",D102&lt;&gt;""),IF(E102&gt;J102,'Funnel setup'!$K$15&amp;"99.8%",IF(E102&gt;H102,'Funnel setup'!$K$15&amp;"95%",IF(E102&lt;I102,'Funnel setup'!$K$16&amp;"99.8%",IF(E102&lt;G102,'Funnel setup'!$K$16&amp;"95%","")))),"")</f>
        <v/>
      </c>
    </row>
    <row r="103" spans="2:11" ht="15" customHeight="1" x14ac:dyDescent="0.35">
      <c r="B103" s="174" t="str">
        <f>IF(ISNUMBER('Funnel setup'!P116),VLOOKUP('Funnel setup'!$P116,'Provider Commission - Raw Data'!$A:$Q,5,0),"")</f>
        <v>RVW</v>
      </c>
      <c r="C103" s="175" t="str">
        <f>IF(ISNUMBER('Funnel setup'!P116),VLOOKUP('Funnel setup'!P116,'Provider Commission - Raw Data'!$A:$Q,6,0),"")</f>
        <v>NORTH TEES AND HARTLEPOOL NHS FOUNDATION TRUST (RVW)</v>
      </c>
      <c r="D103" s="176">
        <f>IF(ISNUMBER('Funnel setup'!P116),IF(VLOOKUP('Funnel setup'!P116,'Provider Commission - Raw Data'!$A:$Q,8,0)="-","",VLOOKUP('Funnel setup'!P116,'Provider Commission - Raw Data'!$A:$Q,8,0)),"")</f>
        <v>116</v>
      </c>
      <c r="E103" s="251">
        <f>IF(ISNUMBER('Funnel setup'!P116),IF(VLOOKUP('Funnel setup'!P116,'Provider Commission - Raw Data'!$A:$Q,16,0)="-","",VLOOKUP('Funnel setup'!P116,'Provider Commission - Raw Data'!$A:$Q,16,0)),"")</f>
        <v>22.732199999999999</v>
      </c>
      <c r="F103" s="177">
        <f>IF(AND(ISNUMBER('Funnel setup'!P116)),'Funnel setup'!$K$9,"")</f>
        <v>22.515359017022909</v>
      </c>
      <c r="G103" s="177">
        <f>IF(AND(ISNUMBER('Funnel setup'!P116),D103&gt;=30,E103&lt;&gt;"*",D103&lt;&gt;""),F103-1.959963985 *('Funnel setup'!$K$8/SQRT('Funnel Data'!D103)),"")</f>
        <v>21.008759716255149</v>
      </c>
      <c r="H103" s="177">
        <f>IF(AND(ISNUMBER('Funnel setup'!P116),D103&gt;=30,E103&lt;&gt;"*",D103&lt;&gt;""),F103+1.959963985 *('Funnel setup'!$K$8/SQRT('Funnel Data'!D103)),"")</f>
        <v>24.02195831779067</v>
      </c>
      <c r="I103" s="177">
        <f>IF(AND(ISNUMBER('Funnel setup'!P116),D103&gt;=30,E103&lt;&gt;"*",D103&lt;&gt;""),F103-3.090232306 *('Funnel setup'!$K$8/SQRT('Funnel Data'!D103)),"")</f>
        <v>20.139936883217963</v>
      </c>
      <c r="J103" s="177">
        <f>IF(AND(ISNUMBER('Funnel setup'!P116),D103&gt;=30,E103&lt;&gt;"*",D103&lt;&gt;""),F103+3.090232306 *('Funnel setup'!$K$8/SQRT('Funnel Data'!D103)),"")</f>
        <v>24.890781150827856</v>
      </c>
      <c r="K103" s="178" t="str">
        <f>IF(AND(ISNUMBER('Funnel setup'!P116),D103&gt;=30,E103&lt;&gt;"*",D103&lt;&gt;""),IF(E103&gt;J103,'Funnel setup'!$K$15&amp;"99.8%",IF(E103&gt;H103,'Funnel setup'!$K$15&amp;"95%",IF(E103&lt;I103,'Funnel setup'!$K$16&amp;"99.8%",IF(E103&lt;G103,'Funnel setup'!$K$16&amp;"95%","")))),"")</f>
        <v/>
      </c>
    </row>
    <row r="104" spans="2:11" ht="15" customHeight="1" x14ac:dyDescent="0.35">
      <c r="B104" s="174" t="str">
        <f>IF(ISNUMBER('Funnel setup'!P117),VLOOKUP('Funnel setup'!$P117,'Provider Commission - Raw Data'!$A:$Q,5,0),"")</f>
        <v>RGN</v>
      </c>
      <c r="C104" s="175" t="str">
        <f>IF(ISNUMBER('Funnel setup'!P117),VLOOKUP('Funnel setup'!P117,'Provider Commission - Raw Data'!$A:$Q,6,0),"")</f>
        <v>NORTH WEST ANGLIA NHS FOUNDATION TRUST (RGN)</v>
      </c>
      <c r="D104" s="176">
        <f>IF(ISNUMBER('Funnel setup'!P117),IF(VLOOKUP('Funnel setup'!P117,'Provider Commission - Raw Data'!$A:$Q,8,0)="-","",VLOOKUP('Funnel setup'!P117,'Provider Commission - Raw Data'!$A:$Q,8,0)),"")</f>
        <v>175</v>
      </c>
      <c r="E104" s="251">
        <f>IF(ISNUMBER('Funnel setup'!P117),IF(VLOOKUP('Funnel setup'!P117,'Provider Commission - Raw Data'!$A:$Q,16,0)="-","",VLOOKUP('Funnel setup'!P117,'Provider Commission - Raw Data'!$A:$Q,16,0)),"")</f>
        <v>22.890999999999998</v>
      </c>
      <c r="F104" s="177">
        <f>IF(AND(ISNUMBER('Funnel setup'!P117)),'Funnel setup'!$K$9,"")</f>
        <v>22.515359017022909</v>
      </c>
      <c r="G104" s="177">
        <f>IF(AND(ISNUMBER('Funnel setup'!P117),D104&gt;=30,E104&lt;&gt;"*",D104&lt;&gt;""),F104-1.959963985 *('Funnel setup'!$K$8/SQRT('Funnel Data'!D104)),"")</f>
        <v>21.288745540689277</v>
      </c>
      <c r="H104" s="177">
        <f>IF(AND(ISNUMBER('Funnel setup'!P117),D104&gt;=30,E104&lt;&gt;"*",D104&lt;&gt;""),F104+1.959963985 *('Funnel setup'!$K$8/SQRT('Funnel Data'!D104)),"")</f>
        <v>23.741972493356542</v>
      </c>
      <c r="I104" s="177">
        <f>IF(AND(ISNUMBER('Funnel setup'!P117),D104&gt;=30,E104&lt;&gt;"*",D104&lt;&gt;""),F104-3.090232306 *('Funnel setup'!$K$8/SQRT('Funnel Data'!D104)),"")</f>
        <v>20.58138440292246</v>
      </c>
      <c r="J104" s="177">
        <f>IF(AND(ISNUMBER('Funnel setup'!P117),D104&gt;=30,E104&lt;&gt;"*",D104&lt;&gt;""),F104+3.090232306 *('Funnel setup'!$K$8/SQRT('Funnel Data'!D104)),"")</f>
        <v>24.449333631123359</v>
      </c>
      <c r="K104" s="178" t="str">
        <f>IF(AND(ISNUMBER('Funnel setup'!P117),D104&gt;=30,E104&lt;&gt;"*",D104&lt;&gt;""),IF(E104&gt;J104,'Funnel setup'!$K$15&amp;"99.8%",IF(E104&gt;H104,'Funnel setup'!$K$15&amp;"95%",IF(E104&lt;I104,'Funnel setup'!$K$16&amp;"99.8%",IF(E104&lt;G104,'Funnel setup'!$K$16&amp;"95%","")))),"")</f>
        <v/>
      </c>
    </row>
    <row r="105" spans="2:11" ht="30" customHeight="1" x14ac:dyDescent="0.35">
      <c r="B105" s="174" t="str">
        <f>IF(ISNUMBER('Funnel setup'!P118),VLOOKUP('Funnel setup'!$P118,'Provider Commission - Raw Data'!$A:$Q,5,0),"")</f>
        <v>RNS</v>
      </c>
      <c r="C105" s="175" t="str">
        <f>IF(ISNUMBER('Funnel setup'!P118),VLOOKUP('Funnel setup'!P118,'Provider Commission - Raw Data'!$A:$Q,6,0),"")</f>
        <v>NORTHAMPTON GENERAL HOSPITAL NHS TRUST (RNS)</v>
      </c>
      <c r="D105" s="176">
        <f>IF(ISNUMBER('Funnel setup'!P118),IF(VLOOKUP('Funnel setup'!P118,'Provider Commission - Raw Data'!$A:$Q,8,0)="-","",VLOOKUP('Funnel setup'!P118,'Provider Commission - Raw Data'!$A:$Q,8,0)),"")</f>
        <v>45</v>
      </c>
      <c r="E105" s="251">
        <f>IF(ISNUMBER('Funnel setup'!P118),IF(VLOOKUP('Funnel setup'!P118,'Provider Commission - Raw Data'!$A:$Q,16,0)="-","",VLOOKUP('Funnel setup'!P118,'Provider Commission - Raw Data'!$A:$Q,16,0)),"")</f>
        <v>23.5364</v>
      </c>
      <c r="F105" s="177">
        <f>IF(AND(ISNUMBER('Funnel setup'!P118)),'Funnel setup'!$K$9,"")</f>
        <v>22.515359017022909</v>
      </c>
      <c r="G105" s="177">
        <f>IF(AND(ISNUMBER('Funnel setup'!P118),D105&gt;=30,E105&lt;&gt;"*",D105&lt;&gt;""),F105-1.959963985 *('Funnel setup'!$K$8/SQRT('Funnel Data'!D105)),"")</f>
        <v>20.096444620684597</v>
      </c>
      <c r="H105" s="177">
        <f>IF(AND(ISNUMBER('Funnel setup'!P118),D105&gt;=30,E105&lt;&gt;"*",D105&lt;&gt;""),F105+1.959963985 *('Funnel setup'!$K$8/SQRT('Funnel Data'!D105)),"")</f>
        <v>24.934273413361222</v>
      </c>
      <c r="I105" s="177">
        <f>IF(AND(ISNUMBER('Funnel setup'!P118),D105&gt;=30,E105&lt;&gt;"*",D105&lt;&gt;""),F105-3.090232306 *('Funnel setup'!$K$8/SQRT('Funnel Data'!D105)),"")</f>
        <v>18.701509645187059</v>
      </c>
      <c r="J105" s="177">
        <f>IF(AND(ISNUMBER('Funnel setup'!P118),D105&gt;=30,E105&lt;&gt;"*",D105&lt;&gt;""),F105+3.090232306 *('Funnel setup'!$K$8/SQRT('Funnel Data'!D105)),"")</f>
        <v>26.32920838885876</v>
      </c>
      <c r="K105" s="178" t="str">
        <f>IF(AND(ISNUMBER('Funnel setup'!P118),D105&gt;=30,E105&lt;&gt;"*",D105&lt;&gt;""),IF(E105&gt;J105,'Funnel setup'!$K$15&amp;"99.8%",IF(E105&gt;H105,'Funnel setup'!$K$15&amp;"95%",IF(E105&lt;I105,'Funnel setup'!$K$16&amp;"99.8%",IF(E105&lt;G105,'Funnel setup'!$K$16&amp;"95%","")))),"")</f>
        <v/>
      </c>
    </row>
    <row r="106" spans="2:11" ht="15" customHeight="1" x14ac:dyDescent="0.35">
      <c r="B106" s="174" t="str">
        <f>IF(ISNUMBER('Funnel setup'!P119),VLOOKUP('Funnel setup'!$P119,'Provider Commission - Raw Data'!$A:$Q,5,0),"")</f>
        <v>RM3</v>
      </c>
      <c r="C106" s="175" t="str">
        <f>IF(ISNUMBER('Funnel setup'!P119),VLOOKUP('Funnel setup'!P119,'Provider Commission - Raw Data'!$A:$Q,6,0),"")</f>
        <v>NORTHERN CARE ALLIANCE NHS FOUNDATION TRUST (RM3)</v>
      </c>
      <c r="D106" s="176">
        <f>IF(ISNUMBER('Funnel setup'!P119),IF(VLOOKUP('Funnel setup'!P119,'Provider Commission - Raw Data'!$A:$Q,8,0)="-","",VLOOKUP('Funnel setup'!P119,'Provider Commission - Raw Data'!$A:$Q,8,0)),"")</f>
        <v>5</v>
      </c>
      <c r="E106" s="251" t="str">
        <f>IF(ISNUMBER('Funnel setup'!P119),IF(VLOOKUP('Funnel setup'!P119,'Provider Commission - Raw Data'!$A:$Q,16,0)="-","",VLOOKUP('Funnel setup'!P119,'Provider Commission - Raw Data'!$A:$Q,16,0)),"")</f>
        <v>*</v>
      </c>
      <c r="F106" s="177">
        <f>IF(AND(ISNUMBER('Funnel setup'!P119)),'Funnel setup'!$K$9,"")</f>
        <v>22.515359017022909</v>
      </c>
      <c r="G106" s="177" t="str">
        <f>IF(AND(ISNUMBER('Funnel setup'!P119),D106&gt;=30,E106&lt;&gt;"*",D106&lt;&gt;""),F106-1.959963985 *('Funnel setup'!$K$8/SQRT('Funnel Data'!D106)),"")</f>
        <v/>
      </c>
      <c r="H106" s="177" t="str">
        <f>IF(AND(ISNUMBER('Funnel setup'!P119),D106&gt;=30,E106&lt;&gt;"*",D106&lt;&gt;""),F106+1.959963985 *('Funnel setup'!$K$8/SQRT('Funnel Data'!D106)),"")</f>
        <v/>
      </c>
      <c r="I106" s="177" t="str">
        <f>IF(AND(ISNUMBER('Funnel setup'!P119),D106&gt;=30,E106&lt;&gt;"*",D106&lt;&gt;""),F106-3.090232306 *('Funnel setup'!$K$8/SQRT('Funnel Data'!D106)),"")</f>
        <v/>
      </c>
      <c r="J106" s="177" t="str">
        <f>IF(AND(ISNUMBER('Funnel setup'!P119),D106&gt;=30,E106&lt;&gt;"*",D106&lt;&gt;""),F106+3.090232306 *('Funnel setup'!$K$8/SQRT('Funnel Data'!D106)),"")</f>
        <v/>
      </c>
      <c r="K106" s="178" t="str">
        <f>IF(AND(ISNUMBER('Funnel setup'!P119),D106&gt;=30,E106&lt;&gt;"*",D106&lt;&gt;""),IF(E106&gt;J106,'Funnel setup'!$K$15&amp;"99.8%",IF(E106&gt;H106,'Funnel setup'!$K$15&amp;"95%",IF(E106&lt;I106,'Funnel setup'!$K$16&amp;"99.8%",IF(E106&lt;G106,'Funnel setup'!$K$16&amp;"95%","")))),"")</f>
        <v/>
      </c>
    </row>
    <row r="107" spans="2:11" ht="30" customHeight="1" x14ac:dyDescent="0.35">
      <c r="B107" s="174" t="str">
        <f>IF(ISNUMBER('Funnel setup'!P120),VLOOKUP('Funnel setup'!$P120,'Provider Commission - Raw Data'!$A:$Q,5,0),"")</f>
        <v>RBZ</v>
      </c>
      <c r="C107" s="175" t="str">
        <f>IF(ISNUMBER('Funnel setup'!P120),VLOOKUP('Funnel setup'!P120,'Provider Commission - Raw Data'!$A:$Q,6,0),"")</f>
        <v>NORTHERN DEVON HEALTHCARE NHS TRUST (RBZ)</v>
      </c>
      <c r="D107" s="176">
        <f>IF(ISNUMBER('Funnel setup'!P120),IF(VLOOKUP('Funnel setup'!P120,'Provider Commission - Raw Data'!$A:$Q,8,0)="-","",VLOOKUP('Funnel setup'!P120,'Provider Commission - Raw Data'!$A:$Q,8,0)),"")</f>
        <v>34</v>
      </c>
      <c r="E107" s="251">
        <f>IF(ISNUMBER('Funnel setup'!P120),IF(VLOOKUP('Funnel setup'!P120,'Provider Commission - Raw Data'!$A:$Q,16,0)="-","",VLOOKUP('Funnel setup'!P120,'Provider Commission - Raw Data'!$A:$Q,16,0)),"")</f>
        <v>26.187100000000001</v>
      </c>
      <c r="F107" s="177">
        <f>IF(AND(ISNUMBER('Funnel setup'!P120)),'Funnel setup'!$K$9,"")</f>
        <v>22.515359017022909</v>
      </c>
      <c r="G107" s="177">
        <f>IF(AND(ISNUMBER('Funnel setup'!P120),D107&gt;=30,E107&lt;&gt;"*",D107&lt;&gt;""),F107-1.959963985 *('Funnel setup'!$K$8/SQRT('Funnel Data'!D107)),"")</f>
        <v>19.732525037507376</v>
      </c>
      <c r="H107" s="177">
        <f>IF(AND(ISNUMBER('Funnel setup'!P120),D107&gt;=30,E107&lt;&gt;"*",D107&lt;&gt;""),F107+1.959963985 *('Funnel setup'!$K$8/SQRT('Funnel Data'!D107)),"")</f>
        <v>25.298192996538443</v>
      </c>
      <c r="I107" s="177">
        <f>IF(AND(ISNUMBER('Funnel setup'!P120),D107&gt;=30,E107&lt;&gt;"*",D107&lt;&gt;""),F107-3.090232306 *('Funnel setup'!$K$8/SQRT('Funnel Data'!D107)),"")</f>
        <v>18.12772560561946</v>
      </c>
      <c r="J107" s="177">
        <f>IF(AND(ISNUMBER('Funnel setup'!P120),D107&gt;=30,E107&lt;&gt;"*",D107&lt;&gt;""),F107+3.090232306 *('Funnel setup'!$K$8/SQRT('Funnel Data'!D107)),"")</f>
        <v>26.902992428426359</v>
      </c>
      <c r="K107" s="178" t="str">
        <f>IF(AND(ISNUMBER('Funnel setup'!P120),D107&gt;=30,E107&lt;&gt;"*",D107&lt;&gt;""),IF(E107&gt;J107,'Funnel setup'!$K$15&amp;"99.8%",IF(E107&gt;H107,'Funnel setup'!$K$15&amp;"95%",IF(E107&lt;I107,'Funnel setup'!$K$16&amp;"99.8%",IF(E107&lt;G107,'Funnel setup'!$K$16&amp;"95%","")))),"")</f>
        <v>Upper 95%</v>
      </c>
    </row>
    <row r="108" spans="2:11" ht="15" customHeight="1" x14ac:dyDescent="0.35">
      <c r="B108" s="174" t="str">
        <f>IF(ISNUMBER('Funnel setup'!P121),VLOOKUP('Funnel setup'!$P121,'Provider Commission - Raw Data'!$A:$Q,5,0),"")</f>
        <v>RJL</v>
      </c>
      <c r="C108" s="175" t="str">
        <f>IF(ISNUMBER('Funnel setup'!P121),VLOOKUP('Funnel setup'!P121,'Provider Commission - Raw Data'!$A:$Q,6,0),"")</f>
        <v>NORTHERN LINCOLNSHIRE AND GOOLE NHS FOUNDATION TRUST (RJL)</v>
      </c>
      <c r="D108" s="176">
        <f>IF(ISNUMBER('Funnel setup'!P121),IF(VLOOKUP('Funnel setup'!P121,'Provider Commission - Raw Data'!$A:$Q,8,0)="-","",VLOOKUP('Funnel setup'!P121,'Provider Commission - Raw Data'!$A:$Q,8,0)),"")</f>
        <v>95</v>
      </c>
      <c r="E108" s="251">
        <f>IF(ISNUMBER('Funnel setup'!P121),IF(VLOOKUP('Funnel setup'!P121,'Provider Commission - Raw Data'!$A:$Q,16,0)="-","",VLOOKUP('Funnel setup'!P121,'Provider Commission - Raw Data'!$A:$Q,16,0)),"")</f>
        <v>22.023099999999999</v>
      </c>
      <c r="F108" s="177">
        <f>IF(AND(ISNUMBER('Funnel setup'!P121)),'Funnel setup'!$K$9,"")</f>
        <v>22.515359017022909</v>
      </c>
      <c r="G108" s="177">
        <f>IF(AND(ISNUMBER('Funnel setup'!P121),D108&gt;=30,E108&lt;&gt;"*",D108&lt;&gt;""),F108-1.959963985 *('Funnel setup'!$K$8/SQRT('Funnel Data'!D108)),"")</f>
        <v>20.850547952804849</v>
      </c>
      <c r="H108" s="177">
        <f>IF(AND(ISNUMBER('Funnel setup'!P121),D108&gt;=30,E108&lt;&gt;"*",D108&lt;&gt;""),F108+1.959963985 *('Funnel setup'!$K$8/SQRT('Funnel Data'!D108)),"")</f>
        <v>24.18017008124097</v>
      </c>
      <c r="I108" s="177">
        <f>IF(AND(ISNUMBER('Funnel setup'!P121),D108&gt;=30,E108&lt;&gt;"*",D108&lt;&gt;""),F108-3.090232306 *('Funnel setup'!$K$8/SQRT('Funnel Data'!D108)),"")</f>
        <v>19.890487859488402</v>
      </c>
      <c r="J108" s="177">
        <f>IF(AND(ISNUMBER('Funnel setup'!P121),D108&gt;=30,E108&lt;&gt;"*",D108&lt;&gt;""),F108+3.090232306 *('Funnel setup'!$K$8/SQRT('Funnel Data'!D108)),"")</f>
        <v>25.140230174557416</v>
      </c>
      <c r="K108" s="178" t="str">
        <f>IF(AND(ISNUMBER('Funnel setup'!P121),D108&gt;=30,E108&lt;&gt;"*",D108&lt;&gt;""),IF(E108&gt;J108,'Funnel setup'!$K$15&amp;"99.8%",IF(E108&gt;H108,'Funnel setup'!$K$15&amp;"95%",IF(E108&lt;I108,'Funnel setup'!$K$16&amp;"99.8%",IF(E108&lt;G108,'Funnel setup'!$K$16&amp;"95%","")))),"")</f>
        <v/>
      </c>
    </row>
    <row r="109" spans="2:11" ht="15" customHeight="1" x14ac:dyDescent="0.35">
      <c r="B109" s="174" t="str">
        <f>IF(ISNUMBER('Funnel setup'!P122),VLOOKUP('Funnel setup'!$P122,'Provider Commission - Raw Data'!$A:$Q,5,0),"")</f>
        <v>RTF</v>
      </c>
      <c r="C109" s="175" t="str">
        <f>IF(ISNUMBER('Funnel setup'!P122),VLOOKUP('Funnel setup'!P122,'Provider Commission - Raw Data'!$A:$Q,6,0),"")</f>
        <v>NORTHUMBRIA HEALTHCARE NHS FOUNDATION TRUST (RTF)</v>
      </c>
      <c r="D109" s="176">
        <f>IF(ISNUMBER('Funnel setup'!P122),IF(VLOOKUP('Funnel setup'!P122,'Provider Commission - Raw Data'!$A:$Q,8,0)="-","",VLOOKUP('Funnel setup'!P122,'Provider Commission - Raw Data'!$A:$Q,8,0)),"")</f>
        <v>310</v>
      </c>
      <c r="E109" s="251">
        <f>IF(ISNUMBER('Funnel setup'!P122),IF(VLOOKUP('Funnel setup'!P122,'Provider Commission - Raw Data'!$A:$Q,16,0)="-","",VLOOKUP('Funnel setup'!P122,'Provider Commission - Raw Data'!$A:$Q,16,0)),"")</f>
        <v>24.540400000000002</v>
      </c>
      <c r="F109" s="177">
        <f>IF(AND(ISNUMBER('Funnel setup'!P122)),'Funnel setup'!$K$9,"")</f>
        <v>22.515359017022909</v>
      </c>
      <c r="G109" s="177">
        <f>IF(AND(ISNUMBER('Funnel setup'!P122),D109&gt;=30,E109&lt;&gt;"*",D109&lt;&gt;""),F109-1.959963985 *('Funnel setup'!$K$8/SQRT('Funnel Data'!D109)),"")</f>
        <v>21.593751710410245</v>
      </c>
      <c r="H109" s="177">
        <f>IF(AND(ISNUMBER('Funnel setup'!P122),D109&gt;=30,E109&lt;&gt;"*",D109&lt;&gt;""),F109+1.959963985 *('Funnel setup'!$K$8/SQRT('Funnel Data'!D109)),"")</f>
        <v>23.436966323635573</v>
      </c>
      <c r="I109" s="177">
        <f>IF(AND(ISNUMBER('Funnel setup'!P122),D109&gt;=30,E109&lt;&gt;"*",D109&lt;&gt;""),F109-3.090232306 *('Funnel setup'!$K$8/SQRT('Funnel Data'!D109)),"")</f>
        <v>21.062280953274662</v>
      </c>
      <c r="J109" s="177">
        <f>IF(AND(ISNUMBER('Funnel setup'!P122),D109&gt;=30,E109&lt;&gt;"*",D109&lt;&gt;""),F109+3.090232306 *('Funnel setup'!$K$8/SQRT('Funnel Data'!D109)),"")</f>
        <v>23.968437080771157</v>
      </c>
      <c r="K109" s="178" t="str">
        <f>IF(AND(ISNUMBER('Funnel setup'!P122),D109&gt;=30,E109&lt;&gt;"*",D109&lt;&gt;""),IF(E109&gt;J109,'Funnel setup'!$K$15&amp;"99.8%",IF(E109&gt;H109,'Funnel setup'!$K$15&amp;"95%",IF(E109&lt;I109,'Funnel setup'!$K$16&amp;"99.8%",IF(E109&lt;G109,'Funnel setup'!$K$16&amp;"95%","")))),"")</f>
        <v>Upper 99.8%</v>
      </c>
    </row>
    <row r="110" spans="2:11" ht="15" customHeight="1" x14ac:dyDescent="0.35">
      <c r="B110" s="174" t="str">
        <f>IF(ISNUMBER('Funnel setup'!P123),VLOOKUP('Funnel setup'!$P123,'Provider Commission - Raw Data'!$A:$Q,5,0),"")</f>
        <v>RX1</v>
      </c>
      <c r="C110" s="175" t="str">
        <f>IF(ISNUMBER('Funnel setup'!P123),VLOOKUP('Funnel setup'!P123,'Provider Commission - Raw Data'!$A:$Q,6,0),"")</f>
        <v>NOTTINGHAM UNIVERSITY HOSPITALS NHS TRUST (RX1)</v>
      </c>
      <c r="D110" s="176">
        <f>IF(ISNUMBER('Funnel setup'!P123),IF(VLOOKUP('Funnel setup'!P123,'Provider Commission - Raw Data'!$A:$Q,8,0)="-","",VLOOKUP('Funnel setup'!P123,'Provider Commission - Raw Data'!$A:$Q,8,0)),"")</f>
        <v>3</v>
      </c>
      <c r="E110" s="251" t="str">
        <f>IF(ISNUMBER('Funnel setup'!P123),IF(VLOOKUP('Funnel setup'!P123,'Provider Commission - Raw Data'!$A:$Q,16,0)="-","",VLOOKUP('Funnel setup'!P123,'Provider Commission - Raw Data'!$A:$Q,16,0)),"")</f>
        <v>*</v>
      </c>
      <c r="F110" s="177">
        <f>IF(AND(ISNUMBER('Funnel setup'!P123)),'Funnel setup'!$K$9,"")</f>
        <v>22.515359017022909</v>
      </c>
      <c r="G110" s="177" t="str">
        <f>IF(AND(ISNUMBER('Funnel setup'!P123),D110&gt;=30,E110&lt;&gt;"*",D110&lt;&gt;""),F110-1.959963985 *('Funnel setup'!$K$8/SQRT('Funnel Data'!D110)),"")</f>
        <v/>
      </c>
      <c r="H110" s="177" t="str">
        <f>IF(AND(ISNUMBER('Funnel setup'!P123),D110&gt;=30,E110&lt;&gt;"*",D110&lt;&gt;""),F110+1.959963985 *('Funnel setup'!$K$8/SQRT('Funnel Data'!D110)),"")</f>
        <v/>
      </c>
      <c r="I110" s="177" t="str">
        <f>IF(AND(ISNUMBER('Funnel setup'!P123),D110&gt;=30,E110&lt;&gt;"*",D110&lt;&gt;""),F110-3.090232306 *('Funnel setup'!$K$8/SQRT('Funnel Data'!D110)),"")</f>
        <v/>
      </c>
      <c r="J110" s="177" t="str">
        <f>IF(AND(ISNUMBER('Funnel setup'!P123),D110&gt;=30,E110&lt;&gt;"*",D110&lt;&gt;""),F110+3.090232306 *('Funnel setup'!$K$8/SQRT('Funnel Data'!D110)),"")</f>
        <v/>
      </c>
      <c r="K110" s="178" t="str">
        <f>IF(AND(ISNUMBER('Funnel setup'!P123),D110&gt;=30,E110&lt;&gt;"*",D110&lt;&gt;""),IF(E110&gt;J110,'Funnel setup'!$K$15&amp;"99.8%",IF(E110&gt;H110,'Funnel setup'!$K$15&amp;"95%",IF(E110&lt;I110,'Funnel setup'!$K$16&amp;"99.8%",IF(E110&lt;G110,'Funnel setup'!$K$16&amp;"95%","")))),"")</f>
        <v/>
      </c>
    </row>
    <row r="111" spans="2:11" ht="15" customHeight="1" x14ac:dyDescent="0.35">
      <c r="B111" s="174" t="str">
        <f>IF(ISNUMBER('Funnel setup'!P124),VLOOKUP('Funnel setup'!$P124,'Provider Commission - Raw Data'!$A:$Q,5,0),"")</f>
        <v>NT202</v>
      </c>
      <c r="C111" s="175" t="str">
        <f>IF(ISNUMBER('Funnel setup'!P124),VLOOKUP('Funnel setup'!P124,'Provider Commission - Raw Data'!$A:$Q,6,0),"")</f>
        <v>NUFFIELD HEALTH, BOURNEMOUTH HOSPITAL (NT202)</v>
      </c>
      <c r="D111" s="176">
        <f>IF(ISNUMBER('Funnel setup'!P124),IF(VLOOKUP('Funnel setup'!P124,'Provider Commission - Raw Data'!$A:$Q,8,0)="-","",VLOOKUP('Funnel setup'!P124,'Provider Commission - Raw Data'!$A:$Q,8,0)),"")</f>
        <v>14</v>
      </c>
      <c r="E111" s="251" t="str">
        <f>IF(ISNUMBER('Funnel setup'!P124),IF(VLOOKUP('Funnel setup'!P124,'Provider Commission - Raw Data'!$A:$Q,16,0)="-","",VLOOKUP('Funnel setup'!P124,'Provider Commission - Raw Data'!$A:$Q,16,0)),"")</f>
        <v>*</v>
      </c>
      <c r="F111" s="177">
        <f>IF(AND(ISNUMBER('Funnel setup'!P124)),'Funnel setup'!$K$9,"")</f>
        <v>22.515359017022909</v>
      </c>
      <c r="G111" s="177" t="str">
        <f>IF(AND(ISNUMBER('Funnel setup'!P124),D111&gt;=30,E111&lt;&gt;"*",D111&lt;&gt;""),F111-1.959963985 *('Funnel setup'!$K$8/SQRT('Funnel Data'!D111)),"")</f>
        <v/>
      </c>
      <c r="H111" s="177" t="str">
        <f>IF(AND(ISNUMBER('Funnel setup'!P124),D111&gt;=30,E111&lt;&gt;"*",D111&lt;&gt;""),F111+1.959963985 *('Funnel setup'!$K$8/SQRT('Funnel Data'!D111)),"")</f>
        <v/>
      </c>
      <c r="I111" s="177" t="str">
        <f>IF(AND(ISNUMBER('Funnel setup'!P124),D111&gt;=30,E111&lt;&gt;"*",D111&lt;&gt;""),F111-3.090232306 *('Funnel setup'!$K$8/SQRT('Funnel Data'!D111)),"")</f>
        <v/>
      </c>
      <c r="J111" s="177" t="str">
        <f>IF(AND(ISNUMBER('Funnel setup'!P124),D111&gt;=30,E111&lt;&gt;"*",D111&lt;&gt;""),F111+3.090232306 *('Funnel setup'!$K$8/SQRT('Funnel Data'!D111)),"")</f>
        <v/>
      </c>
      <c r="K111" s="178" t="str">
        <f>IF(AND(ISNUMBER('Funnel setup'!P124),D111&gt;=30,E111&lt;&gt;"*",D111&lt;&gt;""),IF(E111&gt;J111,'Funnel setup'!$K$15&amp;"99.8%",IF(E111&gt;H111,'Funnel setup'!$K$15&amp;"95%",IF(E111&lt;I111,'Funnel setup'!$K$16&amp;"99.8%",IF(E111&lt;G111,'Funnel setup'!$K$16&amp;"95%","")))),"")</f>
        <v/>
      </c>
    </row>
    <row r="112" spans="2:11" ht="15" customHeight="1" x14ac:dyDescent="0.35">
      <c r="B112" s="174" t="str">
        <f>IF(ISNUMBER('Funnel setup'!P125),VLOOKUP('Funnel setup'!$P125,'Provider Commission - Raw Data'!$A:$Q,5,0),"")</f>
        <v>NT204</v>
      </c>
      <c r="C112" s="175" t="str">
        <f>IF(ISNUMBER('Funnel setup'!P125),VLOOKUP('Funnel setup'!P125,'Provider Commission - Raw Data'!$A:$Q,6,0),"")</f>
        <v>NUFFIELD HEALTH, BRENTWOOD HOSPITAL (NT204)</v>
      </c>
      <c r="D112" s="176">
        <f>IF(ISNUMBER('Funnel setup'!P125),IF(VLOOKUP('Funnel setup'!P125,'Provider Commission - Raw Data'!$A:$Q,8,0)="-","",VLOOKUP('Funnel setup'!P125,'Provider Commission - Raw Data'!$A:$Q,8,0)),"")</f>
        <v>16</v>
      </c>
      <c r="E112" s="251" t="str">
        <f>IF(ISNUMBER('Funnel setup'!P125),IF(VLOOKUP('Funnel setup'!P125,'Provider Commission - Raw Data'!$A:$Q,16,0)="-","",VLOOKUP('Funnel setup'!P125,'Provider Commission - Raw Data'!$A:$Q,16,0)),"")</f>
        <v>*</v>
      </c>
      <c r="F112" s="177">
        <f>IF(AND(ISNUMBER('Funnel setup'!P125)),'Funnel setup'!$K$9,"")</f>
        <v>22.515359017022909</v>
      </c>
      <c r="G112" s="177" t="str">
        <f>IF(AND(ISNUMBER('Funnel setup'!P125),D112&gt;=30,E112&lt;&gt;"*",D112&lt;&gt;""),F112-1.959963985 *('Funnel setup'!$K$8/SQRT('Funnel Data'!D112)),"")</f>
        <v/>
      </c>
      <c r="H112" s="177" t="str">
        <f>IF(AND(ISNUMBER('Funnel setup'!P125),D112&gt;=30,E112&lt;&gt;"*",D112&lt;&gt;""),F112+1.959963985 *('Funnel setup'!$K$8/SQRT('Funnel Data'!D112)),"")</f>
        <v/>
      </c>
      <c r="I112" s="177" t="str">
        <f>IF(AND(ISNUMBER('Funnel setup'!P125),D112&gt;=30,E112&lt;&gt;"*",D112&lt;&gt;""),F112-3.090232306 *('Funnel setup'!$K$8/SQRT('Funnel Data'!D112)),"")</f>
        <v/>
      </c>
      <c r="J112" s="177" t="str">
        <f>IF(AND(ISNUMBER('Funnel setup'!P125),D112&gt;=30,E112&lt;&gt;"*",D112&lt;&gt;""),F112+3.090232306 *('Funnel setup'!$K$8/SQRT('Funnel Data'!D112)),"")</f>
        <v/>
      </c>
      <c r="K112" s="178" t="str">
        <f>IF(AND(ISNUMBER('Funnel setup'!P125),D112&gt;=30,E112&lt;&gt;"*",D112&lt;&gt;""),IF(E112&gt;J112,'Funnel setup'!$K$15&amp;"99.8%",IF(E112&gt;H112,'Funnel setup'!$K$15&amp;"95%",IF(E112&lt;I112,'Funnel setup'!$K$16&amp;"99.8%",IF(E112&lt;G112,'Funnel setup'!$K$16&amp;"95%","")))),"")</f>
        <v/>
      </c>
    </row>
    <row r="113" spans="2:11" ht="15" customHeight="1" x14ac:dyDescent="0.35">
      <c r="B113" s="174" t="str">
        <f>IF(ISNUMBER('Funnel setup'!P126),VLOOKUP('Funnel setup'!$P126,'Provider Commission - Raw Data'!$A:$Q,5,0),"")</f>
        <v>NT205</v>
      </c>
      <c r="C113" s="175" t="str">
        <f>IF(ISNUMBER('Funnel setup'!P126),VLOOKUP('Funnel setup'!P126,'Provider Commission - Raw Data'!$A:$Q,6,0),"")</f>
        <v>NUFFIELD HEALTH, BRIGHTON HOSPITAL (NT205)</v>
      </c>
      <c r="D113" s="176">
        <f>IF(ISNUMBER('Funnel setup'!P126),IF(VLOOKUP('Funnel setup'!P126,'Provider Commission - Raw Data'!$A:$Q,8,0)="-","",VLOOKUP('Funnel setup'!P126,'Provider Commission - Raw Data'!$A:$Q,8,0)),"")</f>
        <v>3</v>
      </c>
      <c r="E113" s="251" t="str">
        <f>IF(ISNUMBER('Funnel setup'!P126),IF(VLOOKUP('Funnel setup'!P126,'Provider Commission - Raw Data'!$A:$Q,16,0)="-","",VLOOKUP('Funnel setup'!P126,'Provider Commission - Raw Data'!$A:$Q,16,0)),"")</f>
        <v>*</v>
      </c>
      <c r="F113" s="177">
        <f>IF(AND(ISNUMBER('Funnel setup'!P126)),'Funnel setup'!$K$9,"")</f>
        <v>22.515359017022909</v>
      </c>
      <c r="G113" s="177" t="str">
        <f>IF(AND(ISNUMBER('Funnel setup'!P126),D113&gt;=30,E113&lt;&gt;"*",D113&lt;&gt;""),F113-1.959963985 *('Funnel setup'!$K$8/SQRT('Funnel Data'!D113)),"")</f>
        <v/>
      </c>
      <c r="H113" s="177" t="str">
        <f>IF(AND(ISNUMBER('Funnel setup'!P126),D113&gt;=30,E113&lt;&gt;"*",D113&lt;&gt;""),F113+1.959963985 *('Funnel setup'!$K$8/SQRT('Funnel Data'!D113)),"")</f>
        <v/>
      </c>
      <c r="I113" s="177" t="str">
        <f>IF(AND(ISNUMBER('Funnel setup'!P126),D113&gt;=30,E113&lt;&gt;"*",D113&lt;&gt;""),F113-3.090232306 *('Funnel setup'!$K$8/SQRT('Funnel Data'!D113)),"")</f>
        <v/>
      </c>
      <c r="J113" s="177" t="str">
        <f>IF(AND(ISNUMBER('Funnel setup'!P126),D113&gt;=30,E113&lt;&gt;"*",D113&lt;&gt;""),F113+3.090232306 *('Funnel setup'!$K$8/SQRT('Funnel Data'!D113)),"")</f>
        <v/>
      </c>
      <c r="K113" s="178" t="str">
        <f>IF(AND(ISNUMBER('Funnel setup'!P126),D113&gt;=30,E113&lt;&gt;"*",D113&lt;&gt;""),IF(E113&gt;J113,'Funnel setup'!$K$15&amp;"99.8%",IF(E113&gt;H113,'Funnel setup'!$K$15&amp;"95%",IF(E113&lt;I113,'Funnel setup'!$K$16&amp;"99.8%",IF(E113&lt;G113,'Funnel setup'!$K$16&amp;"95%","")))),"")</f>
        <v/>
      </c>
    </row>
    <row r="114" spans="2:11" ht="30" customHeight="1" x14ac:dyDescent="0.35">
      <c r="B114" s="174" t="str">
        <f>IF(ISNUMBER('Funnel setup'!P127),VLOOKUP('Funnel setup'!$P127,'Provider Commission - Raw Data'!$A:$Q,5,0),"")</f>
        <v>NT206</v>
      </c>
      <c r="C114" s="175" t="str">
        <f>IF(ISNUMBER('Funnel setup'!P127),VLOOKUP('Funnel setup'!P127,'Provider Commission - Raw Data'!$A:$Q,6,0),"")</f>
        <v>NUFFIELD HEALTH, BRISTOL HOSPITAL (CHESTERFIELD) (NT206)</v>
      </c>
      <c r="D114" s="176">
        <f>IF(ISNUMBER('Funnel setup'!P127),IF(VLOOKUP('Funnel setup'!P127,'Provider Commission - Raw Data'!$A:$Q,8,0)="-","",VLOOKUP('Funnel setup'!P127,'Provider Commission - Raw Data'!$A:$Q,8,0)),"")</f>
        <v>53</v>
      </c>
      <c r="E114" s="251">
        <f>IF(ISNUMBER('Funnel setup'!P127),IF(VLOOKUP('Funnel setup'!P127,'Provider Commission - Raw Data'!$A:$Q,16,0)="-","",VLOOKUP('Funnel setup'!P127,'Provider Commission - Raw Data'!$A:$Q,16,0)),"")</f>
        <v>24.9666</v>
      </c>
      <c r="F114" s="177">
        <f>IF(AND(ISNUMBER('Funnel setup'!P127)),'Funnel setup'!$K$9,"")</f>
        <v>22.515359017022909</v>
      </c>
      <c r="G114" s="177">
        <f>IF(AND(ISNUMBER('Funnel setup'!P127),D114&gt;=30,E114&lt;&gt;"*",D114&lt;&gt;""),F114-1.959963985 *('Funnel setup'!$K$8/SQRT('Funnel Data'!D114)),"")</f>
        <v>20.286468064457956</v>
      </c>
      <c r="H114" s="177">
        <f>IF(AND(ISNUMBER('Funnel setup'!P127),D114&gt;=30,E114&lt;&gt;"*",D114&lt;&gt;""),F114+1.959963985 *('Funnel setup'!$K$8/SQRT('Funnel Data'!D114)),"")</f>
        <v>24.744249969587862</v>
      </c>
      <c r="I114" s="177">
        <f>IF(AND(ISNUMBER('Funnel setup'!P127),D114&gt;=30,E114&lt;&gt;"*",D114&lt;&gt;""),F114-3.090232306 *('Funnel setup'!$K$8/SQRT('Funnel Data'!D114)),"")</f>
        <v>19.001115448834419</v>
      </c>
      <c r="J114" s="177">
        <f>IF(AND(ISNUMBER('Funnel setup'!P127),D114&gt;=30,E114&lt;&gt;"*",D114&lt;&gt;""),F114+3.090232306 *('Funnel setup'!$K$8/SQRT('Funnel Data'!D114)),"")</f>
        <v>26.0296025852114</v>
      </c>
      <c r="K114" s="178" t="str">
        <f>IF(AND(ISNUMBER('Funnel setup'!P127),D114&gt;=30,E114&lt;&gt;"*",D114&lt;&gt;""),IF(E114&gt;J114,'Funnel setup'!$K$15&amp;"99.8%",IF(E114&gt;H114,'Funnel setup'!$K$15&amp;"95%",IF(E114&lt;I114,'Funnel setup'!$K$16&amp;"99.8%",IF(E114&lt;G114,'Funnel setup'!$K$16&amp;"95%","")))),"")</f>
        <v>Upper 95%</v>
      </c>
    </row>
    <row r="115" spans="2:11" ht="15" customHeight="1" x14ac:dyDescent="0.35">
      <c r="B115" s="174" t="str">
        <f>IF(ISNUMBER('Funnel setup'!P128),VLOOKUP('Funnel setup'!$P128,'Provider Commission - Raw Data'!$A:$Q,5,0),"")</f>
        <v>NT209</v>
      </c>
      <c r="C115" s="175" t="str">
        <f>IF(ISNUMBER('Funnel setup'!P128),VLOOKUP('Funnel setup'!P128,'Provider Commission - Raw Data'!$A:$Q,6,0),"")</f>
        <v>NUFFIELD HEALTH, CAMBRIDGE HOSPITAL (NT209)</v>
      </c>
      <c r="D115" s="176">
        <f>IF(ISNUMBER('Funnel setup'!P128),IF(VLOOKUP('Funnel setup'!P128,'Provider Commission - Raw Data'!$A:$Q,8,0)="-","",VLOOKUP('Funnel setup'!P128,'Provider Commission - Raw Data'!$A:$Q,8,0)),"")</f>
        <v>22</v>
      </c>
      <c r="E115" s="251" t="str">
        <f>IF(ISNUMBER('Funnel setup'!P128),IF(VLOOKUP('Funnel setup'!P128,'Provider Commission - Raw Data'!$A:$Q,16,0)="-","",VLOOKUP('Funnel setup'!P128,'Provider Commission - Raw Data'!$A:$Q,16,0)),"")</f>
        <v>*</v>
      </c>
      <c r="F115" s="177">
        <f>IF(AND(ISNUMBER('Funnel setup'!P128)),'Funnel setup'!$K$9,"")</f>
        <v>22.515359017022909</v>
      </c>
      <c r="G115" s="177" t="str">
        <f>IF(AND(ISNUMBER('Funnel setup'!P128),D115&gt;=30,E115&lt;&gt;"*",D115&lt;&gt;""),F115-1.959963985 *('Funnel setup'!$K$8/SQRT('Funnel Data'!D115)),"")</f>
        <v/>
      </c>
      <c r="H115" s="177" t="str">
        <f>IF(AND(ISNUMBER('Funnel setup'!P128),D115&gt;=30,E115&lt;&gt;"*",D115&lt;&gt;""),F115+1.959963985 *('Funnel setup'!$K$8/SQRT('Funnel Data'!D115)),"")</f>
        <v/>
      </c>
      <c r="I115" s="177" t="str">
        <f>IF(AND(ISNUMBER('Funnel setup'!P128),D115&gt;=30,E115&lt;&gt;"*",D115&lt;&gt;""),F115-3.090232306 *('Funnel setup'!$K$8/SQRT('Funnel Data'!D115)),"")</f>
        <v/>
      </c>
      <c r="J115" s="177" t="str">
        <f>IF(AND(ISNUMBER('Funnel setup'!P128),D115&gt;=30,E115&lt;&gt;"*",D115&lt;&gt;""),F115+3.090232306 *('Funnel setup'!$K$8/SQRT('Funnel Data'!D115)),"")</f>
        <v/>
      </c>
      <c r="K115" s="178" t="str">
        <f>IF(AND(ISNUMBER('Funnel setup'!P128),D115&gt;=30,E115&lt;&gt;"*",D115&lt;&gt;""),IF(E115&gt;J115,'Funnel setup'!$K$15&amp;"99.8%",IF(E115&gt;H115,'Funnel setup'!$K$15&amp;"95%",IF(E115&lt;I115,'Funnel setup'!$K$16&amp;"99.8%",IF(E115&lt;G115,'Funnel setup'!$K$16&amp;"95%","")))),"")</f>
        <v/>
      </c>
    </row>
    <row r="116" spans="2:11" ht="15" customHeight="1" x14ac:dyDescent="0.35">
      <c r="B116" s="174" t="str">
        <f>IF(ISNUMBER('Funnel setup'!P129),VLOOKUP('Funnel setup'!$P129,'Provider Commission - Raw Data'!$A:$Q,5,0),"")</f>
        <v>NT211</v>
      </c>
      <c r="C116" s="175" t="str">
        <f>IF(ISNUMBER('Funnel setup'!P129),VLOOKUP('Funnel setup'!P129,'Provider Commission - Raw Data'!$A:$Q,6,0),"")</f>
        <v>NUFFIELD HEALTH, CHELTENHAM HOSPITAL (NT211)</v>
      </c>
      <c r="D116" s="176">
        <f>IF(ISNUMBER('Funnel setup'!P129),IF(VLOOKUP('Funnel setup'!P129,'Provider Commission - Raw Data'!$A:$Q,8,0)="-","",VLOOKUP('Funnel setup'!P129,'Provider Commission - Raw Data'!$A:$Q,8,0)),"")</f>
        <v>1</v>
      </c>
      <c r="E116" s="251" t="str">
        <f>IF(ISNUMBER('Funnel setup'!P129),IF(VLOOKUP('Funnel setup'!P129,'Provider Commission - Raw Data'!$A:$Q,16,0)="-","",VLOOKUP('Funnel setup'!P129,'Provider Commission - Raw Data'!$A:$Q,16,0)),"")</f>
        <v>*</v>
      </c>
      <c r="F116" s="177">
        <f>IF(AND(ISNUMBER('Funnel setup'!P129)),'Funnel setup'!$K$9,"")</f>
        <v>22.515359017022909</v>
      </c>
      <c r="G116" s="177" t="str">
        <f>IF(AND(ISNUMBER('Funnel setup'!P129),D116&gt;=30,E116&lt;&gt;"*",D116&lt;&gt;""),F116-1.959963985 *('Funnel setup'!$K$8/SQRT('Funnel Data'!D116)),"")</f>
        <v/>
      </c>
      <c r="H116" s="177" t="str">
        <f>IF(AND(ISNUMBER('Funnel setup'!P129),D116&gt;=30,E116&lt;&gt;"*",D116&lt;&gt;""),F116+1.959963985 *('Funnel setup'!$K$8/SQRT('Funnel Data'!D116)),"")</f>
        <v/>
      </c>
      <c r="I116" s="177" t="str">
        <f>IF(AND(ISNUMBER('Funnel setup'!P129),D116&gt;=30,E116&lt;&gt;"*",D116&lt;&gt;""),F116-3.090232306 *('Funnel setup'!$K$8/SQRT('Funnel Data'!D116)),"")</f>
        <v/>
      </c>
      <c r="J116" s="177" t="str">
        <f>IF(AND(ISNUMBER('Funnel setup'!P129),D116&gt;=30,E116&lt;&gt;"*",D116&lt;&gt;""),F116+3.090232306 *('Funnel setup'!$K$8/SQRT('Funnel Data'!D116)),"")</f>
        <v/>
      </c>
      <c r="K116" s="178" t="str">
        <f>IF(AND(ISNUMBER('Funnel setup'!P129),D116&gt;=30,E116&lt;&gt;"*",D116&lt;&gt;""),IF(E116&gt;J116,'Funnel setup'!$K$15&amp;"99.8%",IF(E116&gt;H116,'Funnel setup'!$K$15&amp;"95%",IF(E116&lt;I116,'Funnel setup'!$K$16&amp;"99.8%",IF(E116&lt;G116,'Funnel setup'!$K$16&amp;"95%","")))),"")</f>
        <v/>
      </c>
    </row>
    <row r="117" spans="2:11" ht="15" customHeight="1" x14ac:dyDescent="0.35">
      <c r="B117" s="174" t="str">
        <f>IF(ISNUMBER('Funnel setup'!P130),VLOOKUP('Funnel setup'!$P130,'Provider Commission - Raw Data'!$A:$Q,5,0),"")</f>
        <v>NT212</v>
      </c>
      <c r="C117" s="175" t="str">
        <f>IF(ISNUMBER('Funnel setup'!P130),VLOOKUP('Funnel setup'!P130,'Provider Commission - Raw Data'!$A:$Q,6,0),"")</f>
        <v>NUFFIELD HEALTH, CHICHESTER HOSPITAL (NT212)</v>
      </c>
      <c r="D117" s="176">
        <f>IF(ISNUMBER('Funnel setup'!P130),IF(VLOOKUP('Funnel setup'!P130,'Provider Commission - Raw Data'!$A:$Q,8,0)="-","",VLOOKUP('Funnel setup'!P130,'Provider Commission - Raw Data'!$A:$Q,8,0)),"")</f>
        <v>20</v>
      </c>
      <c r="E117" s="251" t="str">
        <f>IF(ISNUMBER('Funnel setup'!P130),IF(VLOOKUP('Funnel setup'!P130,'Provider Commission - Raw Data'!$A:$Q,16,0)="-","",VLOOKUP('Funnel setup'!P130,'Provider Commission - Raw Data'!$A:$Q,16,0)),"")</f>
        <v>*</v>
      </c>
      <c r="F117" s="177">
        <f>IF(AND(ISNUMBER('Funnel setup'!P130)),'Funnel setup'!$K$9,"")</f>
        <v>22.515359017022909</v>
      </c>
      <c r="G117" s="177" t="str">
        <f>IF(AND(ISNUMBER('Funnel setup'!P130),D117&gt;=30,E117&lt;&gt;"*",D117&lt;&gt;""),F117-1.959963985 *('Funnel setup'!$K$8/SQRT('Funnel Data'!D117)),"")</f>
        <v/>
      </c>
      <c r="H117" s="177" t="str">
        <f>IF(AND(ISNUMBER('Funnel setup'!P130),D117&gt;=30,E117&lt;&gt;"*",D117&lt;&gt;""),F117+1.959963985 *('Funnel setup'!$K$8/SQRT('Funnel Data'!D117)),"")</f>
        <v/>
      </c>
      <c r="I117" s="177" t="str">
        <f>IF(AND(ISNUMBER('Funnel setup'!P130),D117&gt;=30,E117&lt;&gt;"*",D117&lt;&gt;""),F117-3.090232306 *('Funnel setup'!$K$8/SQRT('Funnel Data'!D117)),"")</f>
        <v/>
      </c>
      <c r="J117" s="177" t="str">
        <f>IF(AND(ISNUMBER('Funnel setup'!P130),D117&gt;=30,E117&lt;&gt;"*",D117&lt;&gt;""),F117+3.090232306 *('Funnel setup'!$K$8/SQRT('Funnel Data'!D117)),"")</f>
        <v/>
      </c>
      <c r="K117" s="178" t="str">
        <f>IF(AND(ISNUMBER('Funnel setup'!P130),D117&gt;=30,E117&lt;&gt;"*",D117&lt;&gt;""),IF(E117&gt;J117,'Funnel setup'!$K$15&amp;"99.8%",IF(E117&gt;H117,'Funnel setup'!$K$15&amp;"95%",IF(E117&lt;I117,'Funnel setup'!$K$16&amp;"99.8%",IF(E117&lt;G117,'Funnel setup'!$K$16&amp;"95%","")))),"")</f>
        <v/>
      </c>
    </row>
    <row r="118" spans="2:11" ht="15" customHeight="1" x14ac:dyDescent="0.35">
      <c r="B118" s="174" t="str">
        <f>IF(ISNUMBER('Funnel setup'!P131),VLOOKUP('Funnel setup'!$P131,'Provider Commission - Raw Data'!$A:$Q,5,0),"")</f>
        <v>NT213</v>
      </c>
      <c r="C118" s="175" t="str">
        <f>IF(ISNUMBER('Funnel setup'!P131),VLOOKUP('Funnel setup'!P131,'Provider Commission - Raw Data'!$A:$Q,6,0),"")</f>
        <v>NUFFIELD HEALTH, DERBY HOSPITAL (NT213)</v>
      </c>
      <c r="D118" s="176">
        <f>IF(ISNUMBER('Funnel setup'!P131),IF(VLOOKUP('Funnel setup'!P131,'Provider Commission - Raw Data'!$A:$Q,8,0)="-","",VLOOKUP('Funnel setup'!P131,'Provider Commission - Raw Data'!$A:$Q,8,0)),"")</f>
        <v>53</v>
      </c>
      <c r="E118" s="251">
        <f>IF(ISNUMBER('Funnel setup'!P131),IF(VLOOKUP('Funnel setup'!P131,'Provider Commission - Raw Data'!$A:$Q,16,0)="-","",VLOOKUP('Funnel setup'!P131,'Provider Commission - Raw Data'!$A:$Q,16,0)),"")</f>
        <v>24.125900000000001</v>
      </c>
      <c r="F118" s="177">
        <f>IF(AND(ISNUMBER('Funnel setup'!P131)),'Funnel setup'!$K$9,"")</f>
        <v>22.515359017022909</v>
      </c>
      <c r="G118" s="177">
        <f>IF(AND(ISNUMBER('Funnel setup'!P131),D118&gt;=30,E118&lt;&gt;"*",D118&lt;&gt;""),F118-1.959963985 *('Funnel setup'!$K$8/SQRT('Funnel Data'!D118)),"")</f>
        <v>20.286468064457956</v>
      </c>
      <c r="H118" s="177">
        <f>IF(AND(ISNUMBER('Funnel setup'!P131),D118&gt;=30,E118&lt;&gt;"*",D118&lt;&gt;""),F118+1.959963985 *('Funnel setup'!$K$8/SQRT('Funnel Data'!D118)),"")</f>
        <v>24.744249969587862</v>
      </c>
      <c r="I118" s="177">
        <f>IF(AND(ISNUMBER('Funnel setup'!P131),D118&gt;=30,E118&lt;&gt;"*",D118&lt;&gt;""),F118-3.090232306 *('Funnel setup'!$K$8/SQRT('Funnel Data'!D118)),"")</f>
        <v>19.001115448834419</v>
      </c>
      <c r="J118" s="177">
        <f>IF(AND(ISNUMBER('Funnel setup'!P131),D118&gt;=30,E118&lt;&gt;"*",D118&lt;&gt;""),F118+3.090232306 *('Funnel setup'!$K$8/SQRT('Funnel Data'!D118)),"")</f>
        <v>26.0296025852114</v>
      </c>
      <c r="K118" s="178" t="str">
        <f>IF(AND(ISNUMBER('Funnel setup'!P131),D118&gt;=30,E118&lt;&gt;"*",D118&lt;&gt;""),IF(E118&gt;J118,'Funnel setup'!$K$15&amp;"99.8%",IF(E118&gt;H118,'Funnel setup'!$K$15&amp;"95%",IF(E118&lt;I118,'Funnel setup'!$K$16&amp;"99.8%",IF(E118&lt;G118,'Funnel setup'!$K$16&amp;"95%","")))),"")</f>
        <v/>
      </c>
    </row>
    <row r="119" spans="2:11" ht="15" customHeight="1" x14ac:dyDescent="0.35">
      <c r="B119" s="174" t="str">
        <f>IF(ISNUMBER('Funnel setup'!P132),VLOOKUP('Funnel setup'!$P132,'Provider Commission - Raw Data'!$A:$Q,5,0),"")</f>
        <v>NT215</v>
      </c>
      <c r="C119" s="175" t="str">
        <f>IF(ISNUMBER('Funnel setup'!P132),VLOOKUP('Funnel setup'!P132,'Provider Commission - Raw Data'!$A:$Q,6,0),"")</f>
        <v>NUFFIELD HEALTH, EXETER HOSPITAL (NT215)</v>
      </c>
      <c r="D119" s="176">
        <f>IF(ISNUMBER('Funnel setup'!P132),IF(VLOOKUP('Funnel setup'!P132,'Provider Commission - Raw Data'!$A:$Q,8,0)="-","",VLOOKUP('Funnel setup'!P132,'Provider Commission - Raw Data'!$A:$Q,8,0)),"")</f>
        <v>3</v>
      </c>
      <c r="E119" s="251" t="str">
        <f>IF(ISNUMBER('Funnel setup'!P132),IF(VLOOKUP('Funnel setup'!P132,'Provider Commission - Raw Data'!$A:$Q,16,0)="-","",VLOOKUP('Funnel setup'!P132,'Provider Commission - Raw Data'!$A:$Q,16,0)),"")</f>
        <v>*</v>
      </c>
      <c r="F119" s="177">
        <f>IF(AND(ISNUMBER('Funnel setup'!P132)),'Funnel setup'!$K$9,"")</f>
        <v>22.515359017022909</v>
      </c>
      <c r="G119" s="177" t="str">
        <f>IF(AND(ISNUMBER('Funnel setup'!P132),D119&gt;=30,E119&lt;&gt;"*",D119&lt;&gt;""),F119-1.959963985 *('Funnel setup'!$K$8/SQRT('Funnel Data'!D119)),"")</f>
        <v/>
      </c>
      <c r="H119" s="177" t="str">
        <f>IF(AND(ISNUMBER('Funnel setup'!P132),D119&gt;=30,E119&lt;&gt;"*",D119&lt;&gt;""),F119+1.959963985 *('Funnel setup'!$K$8/SQRT('Funnel Data'!D119)),"")</f>
        <v/>
      </c>
      <c r="I119" s="177" t="str">
        <f>IF(AND(ISNUMBER('Funnel setup'!P132),D119&gt;=30,E119&lt;&gt;"*",D119&lt;&gt;""),F119-3.090232306 *('Funnel setup'!$K$8/SQRT('Funnel Data'!D119)),"")</f>
        <v/>
      </c>
      <c r="J119" s="177" t="str">
        <f>IF(AND(ISNUMBER('Funnel setup'!P132),D119&gt;=30,E119&lt;&gt;"*",D119&lt;&gt;""),F119+3.090232306 *('Funnel setup'!$K$8/SQRT('Funnel Data'!D119)),"")</f>
        <v/>
      </c>
      <c r="K119" s="178" t="str">
        <f>IF(AND(ISNUMBER('Funnel setup'!P132),D119&gt;=30,E119&lt;&gt;"*",D119&lt;&gt;""),IF(E119&gt;J119,'Funnel setup'!$K$15&amp;"99.8%",IF(E119&gt;H119,'Funnel setup'!$K$15&amp;"95%",IF(E119&lt;I119,'Funnel setup'!$K$16&amp;"99.8%",IF(E119&lt;G119,'Funnel setup'!$K$16&amp;"95%","")))),"")</f>
        <v/>
      </c>
    </row>
    <row r="120" spans="2:11" ht="15" customHeight="1" x14ac:dyDescent="0.35">
      <c r="B120" s="174" t="str">
        <f>IF(ISNUMBER('Funnel setup'!P133),VLOOKUP('Funnel setup'!$P133,'Provider Commission - Raw Data'!$A:$Q,5,0),"")</f>
        <v>NT218</v>
      </c>
      <c r="C120" s="175" t="str">
        <f>IF(ISNUMBER('Funnel setup'!P133),VLOOKUP('Funnel setup'!P133,'Provider Commission - Raw Data'!$A:$Q,6,0),"")</f>
        <v>NUFFIELD HEALTH, HAYWARDS HEATH HOSPITAL (NT218)</v>
      </c>
      <c r="D120" s="176">
        <f>IF(ISNUMBER('Funnel setup'!P133),IF(VLOOKUP('Funnel setup'!P133,'Provider Commission - Raw Data'!$A:$Q,8,0)="-","",VLOOKUP('Funnel setup'!P133,'Provider Commission - Raw Data'!$A:$Q,8,0)),"")</f>
        <v>21</v>
      </c>
      <c r="E120" s="251" t="str">
        <f>IF(ISNUMBER('Funnel setup'!P133),IF(VLOOKUP('Funnel setup'!P133,'Provider Commission - Raw Data'!$A:$Q,16,0)="-","",VLOOKUP('Funnel setup'!P133,'Provider Commission - Raw Data'!$A:$Q,16,0)),"")</f>
        <v>*</v>
      </c>
      <c r="F120" s="177">
        <f>IF(AND(ISNUMBER('Funnel setup'!P133)),'Funnel setup'!$K$9,"")</f>
        <v>22.515359017022909</v>
      </c>
      <c r="G120" s="177" t="str">
        <f>IF(AND(ISNUMBER('Funnel setup'!P133),D120&gt;=30,E120&lt;&gt;"*",D120&lt;&gt;""),F120-1.959963985 *('Funnel setup'!$K$8/SQRT('Funnel Data'!D120)),"")</f>
        <v/>
      </c>
      <c r="H120" s="177" t="str">
        <f>IF(AND(ISNUMBER('Funnel setup'!P133),D120&gt;=30,E120&lt;&gt;"*",D120&lt;&gt;""),F120+1.959963985 *('Funnel setup'!$K$8/SQRT('Funnel Data'!D120)),"")</f>
        <v/>
      </c>
      <c r="I120" s="177" t="str">
        <f>IF(AND(ISNUMBER('Funnel setup'!P133),D120&gt;=30,E120&lt;&gt;"*",D120&lt;&gt;""),F120-3.090232306 *('Funnel setup'!$K$8/SQRT('Funnel Data'!D120)),"")</f>
        <v/>
      </c>
      <c r="J120" s="177" t="str">
        <f>IF(AND(ISNUMBER('Funnel setup'!P133),D120&gt;=30,E120&lt;&gt;"*",D120&lt;&gt;""),F120+3.090232306 *('Funnel setup'!$K$8/SQRT('Funnel Data'!D120)),"")</f>
        <v/>
      </c>
      <c r="K120" s="178" t="str">
        <f>IF(AND(ISNUMBER('Funnel setup'!P133),D120&gt;=30,E120&lt;&gt;"*",D120&lt;&gt;""),IF(E120&gt;J120,'Funnel setup'!$K$15&amp;"99.8%",IF(E120&gt;H120,'Funnel setup'!$K$15&amp;"95%",IF(E120&lt;I120,'Funnel setup'!$K$16&amp;"99.8%",IF(E120&lt;G120,'Funnel setup'!$K$16&amp;"95%","")))),"")</f>
        <v/>
      </c>
    </row>
    <row r="121" spans="2:11" ht="15" customHeight="1" x14ac:dyDescent="0.35">
      <c r="B121" s="174" t="str">
        <f>IF(ISNUMBER('Funnel setup'!P134),VLOOKUP('Funnel setup'!$P134,'Provider Commission - Raw Data'!$A:$Q,5,0),"")</f>
        <v>NT219</v>
      </c>
      <c r="C121" s="175" t="str">
        <f>IF(ISNUMBER('Funnel setup'!P134),VLOOKUP('Funnel setup'!P134,'Provider Commission - Raw Data'!$A:$Q,6,0),"")</f>
        <v>NUFFIELD HEALTH, HEREFORD HOSPITAL (NT219)</v>
      </c>
      <c r="D121" s="176">
        <f>IF(ISNUMBER('Funnel setup'!P134),IF(VLOOKUP('Funnel setup'!P134,'Provider Commission - Raw Data'!$A:$Q,8,0)="-","",VLOOKUP('Funnel setup'!P134,'Provider Commission - Raw Data'!$A:$Q,8,0)),"")</f>
        <v>8</v>
      </c>
      <c r="E121" s="251" t="str">
        <f>IF(ISNUMBER('Funnel setup'!P134),IF(VLOOKUP('Funnel setup'!P134,'Provider Commission - Raw Data'!$A:$Q,16,0)="-","",VLOOKUP('Funnel setup'!P134,'Provider Commission - Raw Data'!$A:$Q,16,0)),"")</f>
        <v>*</v>
      </c>
      <c r="F121" s="177">
        <f>IF(AND(ISNUMBER('Funnel setup'!P134)),'Funnel setup'!$K$9,"")</f>
        <v>22.515359017022909</v>
      </c>
      <c r="G121" s="177" t="str">
        <f>IF(AND(ISNUMBER('Funnel setup'!P134),D121&gt;=30,E121&lt;&gt;"*",D121&lt;&gt;""),F121-1.959963985 *('Funnel setup'!$K$8/SQRT('Funnel Data'!D121)),"")</f>
        <v/>
      </c>
      <c r="H121" s="177" t="str">
        <f>IF(AND(ISNUMBER('Funnel setup'!P134),D121&gt;=30,E121&lt;&gt;"*",D121&lt;&gt;""),F121+1.959963985 *('Funnel setup'!$K$8/SQRT('Funnel Data'!D121)),"")</f>
        <v/>
      </c>
      <c r="I121" s="177" t="str">
        <f>IF(AND(ISNUMBER('Funnel setup'!P134),D121&gt;=30,E121&lt;&gt;"*",D121&lt;&gt;""),F121-3.090232306 *('Funnel setup'!$K$8/SQRT('Funnel Data'!D121)),"")</f>
        <v/>
      </c>
      <c r="J121" s="177" t="str">
        <f>IF(AND(ISNUMBER('Funnel setup'!P134),D121&gt;=30,E121&lt;&gt;"*",D121&lt;&gt;""),F121+3.090232306 *('Funnel setup'!$K$8/SQRT('Funnel Data'!D121)),"")</f>
        <v/>
      </c>
      <c r="K121" s="178" t="str">
        <f>IF(AND(ISNUMBER('Funnel setup'!P134),D121&gt;=30,E121&lt;&gt;"*",D121&lt;&gt;""),IF(E121&gt;J121,'Funnel setup'!$K$15&amp;"99.8%",IF(E121&gt;H121,'Funnel setup'!$K$15&amp;"95%",IF(E121&lt;I121,'Funnel setup'!$K$16&amp;"99.8%",IF(E121&lt;G121,'Funnel setup'!$K$16&amp;"95%","")))),"")</f>
        <v/>
      </c>
    </row>
    <row r="122" spans="2:11" ht="15" customHeight="1" x14ac:dyDescent="0.35">
      <c r="B122" s="174" t="str">
        <f>IF(ISNUMBER('Funnel setup'!P135),VLOOKUP('Funnel setup'!$P135,'Provider Commission - Raw Data'!$A:$Q,5,0),"")</f>
        <v>NT222</v>
      </c>
      <c r="C122" s="175" t="str">
        <f>IF(ISNUMBER('Funnel setup'!P135),VLOOKUP('Funnel setup'!P135,'Provider Commission - Raw Data'!$A:$Q,6,0),"")</f>
        <v>NUFFIELD HEALTH, IPSWICH HOSPITAL (NT222)</v>
      </c>
      <c r="D122" s="176">
        <f>IF(ISNUMBER('Funnel setup'!P135),IF(VLOOKUP('Funnel setup'!P135,'Provider Commission - Raw Data'!$A:$Q,8,0)="-","",VLOOKUP('Funnel setup'!P135,'Provider Commission - Raw Data'!$A:$Q,8,0)),"")</f>
        <v>8</v>
      </c>
      <c r="E122" s="251" t="str">
        <f>IF(ISNUMBER('Funnel setup'!P135),IF(VLOOKUP('Funnel setup'!P135,'Provider Commission - Raw Data'!$A:$Q,16,0)="-","",VLOOKUP('Funnel setup'!P135,'Provider Commission - Raw Data'!$A:$Q,16,0)),"")</f>
        <v>*</v>
      </c>
      <c r="F122" s="177">
        <f>IF(AND(ISNUMBER('Funnel setup'!P135)),'Funnel setup'!$K$9,"")</f>
        <v>22.515359017022909</v>
      </c>
      <c r="G122" s="177" t="str">
        <f>IF(AND(ISNUMBER('Funnel setup'!P135),D122&gt;=30,E122&lt;&gt;"*",D122&lt;&gt;""),F122-1.959963985 *('Funnel setup'!$K$8/SQRT('Funnel Data'!D122)),"")</f>
        <v/>
      </c>
      <c r="H122" s="177" t="str">
        <f>IF(AND(ISNUMBER('Funnel setup'!P135),D122&gt;=30,E122&lt;&gt;"*",D122&lt;&gt;""),F122+1.959963985 *('Funnel setup'!$K$8/SQRT('Funnel Data'!D122)),"")</f>
        <v/>
      </c>
      <c r="I122" s="177" t="str">
        <f>IF(AND(ISNUMBER('Funnel setup'!P135),D122&gt;=30,E122&lt;&gt;"*",D122&lt;&gt;""),F122-3.090232306 *('Funnel setup'!$K$8/SQRT('Funnel Data'!D122)),"")</f>
        <v/>
      </c>
      <c r="J122" s="177" t="str">
        <f>IF(AND(ISNUMBER('Funnel setup'!P135),D122&gt;=30,E122&lt;&gt;"*",D122&lt;&gt;""),F122+3.090232306 *('Funnel setup'!$K$8/SQRT('Funnel Data'!D122)),"")</f>
        <v/>
      </c>
      <c r="K122" s="178" t="str">
        <f>IF(AND(ISNUMBER('Funnel setup'!P135),D122&gt;=30,E122&lt;&gt;"*",D122&lt;&gt;""),IF(E122&gt;J122,'Funnel setup'!$K$15&amp;"99.8%",IF(E122&gt;H122,'Funnel setup'!$K$15&amp;"95%",IF(E122&lt;I122,'Funnel setup'!$K$16&amp;"99.8%",IF(E122&lt;G122,'Funnel setup'!$K$16&amp;"95%","")))),"")</f>
        <v/>
      </c>
    </row>
    <row r="123" spans="2:11" ht="15" customHeight="1" x14ac:dyDescent="0.35">
      <c r="B123" s="174" t="str">
        <f>IF(ISNUMBER('Funnel setup'!P136),VLOOKUP('Funnel setup'!$P136,'Provider Commission - Raw Data'!$A:$Q,5,0),"")</f>
        <v>NT225</v>
      </c>
      <c r="C123" s="175" t="str">
        <f>IF(ISNUMBER('Funnel setup'!P136),VLOOKUP('Funnel setup'!P136,'Provider Commission - Raw Data'!$A:$Q,6,0),"")</f>
        <v>NUFFIELD HEALTH, LEEDS HOSPITAL (NT225)</v>
      </c>
      <c r="D123" s="176">
        <f>IF(ISNUMBER('Funnel setup'!P136),IF(VLOOKUP('Funnel setup'!P136,'Provider Commission - Raw Data'!$A:$Q,8,0)="-","",VLOOKUP('Funnel setup'!P136,'Provider Commission - Raw Data'!$A:$Q,8,0)),"")</f>
        <v>118</v>
      </c>
      <c r="E123" s="251">
        <f>IF(ISNUMBER('Funnel setup'!P136),IF(VLOOKUP('Funnel setup'!P136,'Provider Commission - Raw Data'!$A:$Q,16,0)="-","",VLOOKUP('Funnel setup'!P136,'Provider Commission - Raw Data'!$A:$Q,16,0)),"")</f>
        <v>22.639099999999999</v>
      </c>
      <c r="F123" s="177">
        <f>IF(AND(ISNUMBER('Funnel setup'!P136)),'Funnel setup'!$K$9,"")</f>
        <v>22.515359017022909</v>
      </c>
      <c r="G123" s="177">
        <f>IF(AND(ISNUMBER('Funnel setup'!P136),D123&gt;=30,E123&lt;&gt;"*",D123&lt;&gt;""),F123-1.959963985 *('Funnel setup'!$K$8/SQRT('Funnel Data'!D123)),"")</f>
        <v>21.021582071144191</v>
      </c>
      <c r="H123" s="177">
        <f>IF(AND(ISNUMBER('Funnel setup'!P136),D123&gt;=30,E123&lt;&gt;"*",D123&lt;&gt;""),F123+1.959963985 *('Funnel setup'!$K$8/SQRT('Funnel Data'!D123)),"")</f>
        <v>24.009135962901627</v>
      </c>
      <c r="I123" s="177">
        <f>IF(AND(ISNUMBER('Funnel setup'!P136),D123&gt;=30,E123&lt;&gt;"*",D123&lt;&gt;""),F123-3.090232306 *('Funnel setup'!$K$8/SQRT('Funnel Data'!D123)),"")</f>
        <v>20.160153609453936</v>
      </c>
      <c r="J123" s="177">
        <f>IF(AND(ISNUMBER('Funnel setup'!P136),D123&gt;=30,E123&lt;&gt;"*",D123&lt;&gt;""),F123+3.090232306 *('Funnel setup'!$K$8/SQRT('Funnel Data'!D123)),"")</f>
        <v>24.870564424591883</v>
      </c>
      <c r="K123" s="178" t="str">
        <f>IF(AND(ISNUMBER('Funnel setup'!P136),D123&gt;=30,E123&lt;&gt;"*",D123&lt;&gt;""),IF(E123&gt;J123,'Funnel setup'!$K$15&amp;"99.8%",IF(E123&gt;H123,'Funnel setup'!$K$15&amp;"95%",IF(E123&lt;I123,'Funnel setup'!$K$16&amp;"99.8%",IF(E123&lt;G123,'Funnel setup'!$K$16&amp;"95%","")))),"")</f>
        <v/>
      </c>
    </row>
    <row r="124" spans="2:11" ht="15" customHeight="1" x14ac:dyDescent="0.35">
      <c r="B124" s="174" t="str">
        <f>IF(ISNUMBER('Funnel setup'!P137),VLOOKUP('Funnel setup'!$P137,'Provider Commission - Raw Data'!$A:$Q,5,0),"")</f>
        <v>NT226</v>
      </c>
      <c r="C124" s="175" t="str">
        <f>IF(ISNUMBER('Funnel setup'!P137),VLOOKUP('Funnel setup'!P137,'Provider Commission - Raw Data'!$A:$Q,6,0),"")</f>
        <v>NUFFIELD HEALTH, LEICESTER HOSPITAL (NT226)</v>
      </c>
      <c r="D124" s="176">
        <f>IF(ISNUMBER('Funnel setup'!P137),IF(VLOOKUP('Funnel setup'!P137,'Provider Commission - Raw Data'!$A:$Q,8,0)="-","",VLOOKUP('Funnel setup'!P137,'Provider Commission - Raw Data'!$A:$Q,8,0)),"")</f>
        <v>34</v>
      </c>
      <c r="E124" s="251">
        <f>IF(ISNUMBER('Funnel setup'!P137),IF(VLOOKUP('Funnel setup'!P137,'Provider Commission - Raw Data'!$A:$Q,16,0)="-","",VLOOKUP('Funnel setup'!P137,'Provider Commission - Raw Data'!$A:$Q,16,0)),"")</f>
        <v>23.589400000000001</v>
      </c>
      <c r="F124" s="177">
        <f>IF(AND(ISNUMBER('Funnel setup'!P137)),'Funnel setup'!$K$9,"")</f>
        <v>22.515359017022909</v>
      </c>
      <c r="G124" s="177">
        <f>IF(AND(ISNUMBER('Funnel setup'!P137),D124&gt;=30,E124&lt;&gt;"*",D124&lt;&gt;""),F124-1.959963985 *('Funnel setup'!$K$8/SQRT('Funnel Data'!D124)),"")</f>
        <v>19.732525037507376</v>
      </c>
      <c r="H124" s="177">
        <f>IF(AND(ISNUMBER('Funnel setup'!P137),D124&gt;=30,E124&lt;&gt;"*",D124&lt;&gt;""),F124+1.959963985 *('Funnel setup'!$K$8/SQRT('Funnel Data'!D124)),"")</f>
        <v>25.298192996538443</v>
      </c>
      <c r="I124" s="177">
        <f>IF(AND(ISNUMBER('Funnel setup'!P137),D124&gt;=30,E124&lt;&gt;"*",D124&lt;&gt;""),F124-3.090232306 *('Funnel setup'!$K$8/SQRT('Funnel Data'!D124)),"")</f>
        <v>18.12772560561946</v>
      </c>
      <c r="J124" s="177">
        <f>IF(AND(ISNUMBER('Funnel setup'!P137),D124&gt;=30,E124&lt;&gt;"*",D124&lt;&gt;""),F124+3.090232306 *('Funnel setup'!$K$8/SQRT('Funnel Data'!D124)),"")</f>
        <v>26.902992428426359</v>
      </c>
      <c r="K124" s="178" t="str">
        <f>IF(AND(ISNUMBER('Funnel setup'!P137),D124&gt;=30,E124&lt;&gt;"*",D124&lt;&gt;""),IF(E124&gt;J124,'Funnel setup'!$K$15&amp;"99.8%",IF(E124&gt;H124,'Funnel setup'!$K$15&amp;"95%",IF(E124&lt;I124,'Funnel setup'!$K$16&amp;"99.8%",IF(E124&lt;G124,'Funnel setup'!$K$16&amp;"95%","")))),"")</f>
        <v/>
      </c>
    </row>
    <row r="125" spans="2:11" ht="15" customHeight="1" x14ac:dyDescent="0.35">
      <c r="B125" s="174" t="str">
        <f>IF(ISNUMBER('Funnel setup'!P138),VLOOKUP('Funnel setup'!$P138,'Provider Commission - Raw Data'!$A:$Q,5,0),"")</f>
        <v>NT229</v>
      </c>
      <c r="C125" s="175" t="str">
        <f>IF(ISNUMBER('Funnel setup'!P138),VLOOKUP('Funnel setup'!P138,'Provider Commission - Raw Data'!$A:$Q,6,0),"")</f>
        <v>NUFFIELD HEALTH, NEWCASTLE UPON TYNE HOSPITAL (NT229)</v>
      </c>
      <c r="D125" s="176">
        <f>IF(ISNUMBER('Funnel setup'!P138),IF(VLOOKUP('Funnel setup'!P138,'Provider Commission - Raw Data'!$A:$Q,8,0)="-","",VLOOKUP('Funnel setup'!P138,'Provider Commission - Raw Data'!$A:$Q,8,0)),"")</f>
        <v>50</v>
      </c>
      <c r="E125" s="251">
        <f>IF(ISNUMBER('Funnel setup'!P138),IF(VLOOKUP('Funnel setup'!P138,'Provider Commission - Raw Data'!$A:$Q,16,0)="-","",VLOOKUP('Funnel setup'!P138,'Provider Commission - Raw Data'!$A:$Q,16,0)),"")</f>
        <v>23.434100000000001</v>
      </c>
      <c r="F125" s="177">
        <f>IF(AND(ISNUMBER('Funnel setup'!P138)),'Funnel setup'!$K$9,"")</f>
        <v>22.515359017022909</v>
      </c>
      <c r="G125" s="177">
        <f>IF(AND(ISNUMBER('Funnel setup'!P138),D125&gt;=30,E125&lt;&gt;"*",D125&lt;&gt;""),F125-1.959963985 *('Funnel setup'!$K$8/SQRT('Funnel Data'!D125)),"")</f>
        <v>20.220575329802813</v>
      </c>
      <c r="H125" s="177">
        <f>IF(AND(ISNUMBER('Funnel setup'!P138),D125&gt;=30,E125&lt;&gt;"*",D125&lt;&gt;""),F125+1.959963985 *('Funnel setup'!$K$8/SQRT('Funnel Data'!D125)),"")</f>
        <v>24.810142704243006</v>
      </c>
      <c r="I125" s="177">
        <f>IF(AND(ISNUMBER('Funnel setup'!P138),D125&gt;=30,E125&lt;&gt;"*",D125&lt;&gt;""),F125-3.090232306 *('Funnel setup'!$K$8/SQRT('Funnel Data'!D125)),"")</f>
        <v>18.897223816681795</v>
      </c>
      <c r="J125" s="177">
        <f>IF(AND(ISNUMBER('Funnel setup'!P138),D125&gt;=30,E125&lt;&gt;"*",D125&lt;&gt;""),F125+3.090232306 *('Funnel setup'!$K$8/SQRT('Funnel Data'!D125)),"")</f>
        <v>26.133494217364024</v>
      </c>
      <c r="K125" s="178" t="str">
        <f>IF(AND(ISNUMBER('Funnel setup'!P138),D125&gt;=30,E125&lt;&gt;"*",D125&lt;&gt;""),IF(E125&gt;J125,'Funnel setup'!$K$15&amp;"99.8%",IF(E125&gt;H125,'Funnel setup'!$K$15&amp;"95%",IF(E125&lt;I125,'Funnel setup'!$K$16&amp;"99.8%",IF(E125&lt;G125,'Funnel setup'!$K$16&amp;"95%","")))),"")</f>
        <v/>
      </c>
    </row>
    <row r="126" spans="2:11" ht="15" customHeight="1" x14ac:dyDescent="0.35">
      <c r="B126" s="174" t="str">
        <f>IF(ISNUMBER('Funnel setup'!P139),VLOOKUP('Funnel setup'!$P139,'Provider Commission - Raw Data'!$A:$Q,5,0),"")</f>
        <v>NT230</v>
      </c>
      <c r="C126" s="175" t="str">
        <f>IF(ISNUMBER('Funnel setup'!P139),VLOOKUP('Funnel setup'!P139,'Provider Commission - Raw Data'!$A:$Q,6,0),"")</f>
        <v>NUFFIELD HEALTH, NORTH STAFFORDSHIRE HOSPITAL (NT230)</v>
      </c>
      <c r="D126" s="176">
        <f>IF(ISNUMBER('Funnel setup'!P139),IF(VLOOKUP('Funnel setup'!P139,'Provider Commission - Raw Data'!$A:$Q,8,0)="-","",VLOOKUP('Funnel setup'!P139,'Provider Commission - Raw Data'!$A:$Q,8,0)),"")</f>
        <v>35</v>
      </c>
      <c r="E126" s="251">
        <f>IF(ISNUMBER('Funnel setup'!P139),IF(VLOOKUP('Funnel setup'!P139,'Provider Commission - Raw Data'!$A:$Q,16,0)="-","",VLOOKUP('Funnel setup'!P139,'Provider Commission - Raw Data'!$A:$Q,16,0)),"")</f>
        <v>20.816600000000001</v>
      </c>
      <c r="F126" s="177">
        <f>IF(AND(ISNUMBER('Funnel setup'!P139)),'Funnel setup'!$K$9,"")</f>
        <v>22.515359017022909</v>
      </c>
      <c r="G126" s="177">
        <f>IF(AND(ISNUMBER('Funnel setup'!P139),D126&gt;=30,E126&lt;&gt;"*",D126&lt;&gt;""),F126-1.959963985 *('Funnel setup'!$K$8/SQRT('Funnel Data'!D126)),"")</f>
        <v>19.772567901823582</v>
      </c>
      <c r="H126" s="177">
        <f>IF(AND(ISNUMBER('Funnel setup'!P139),D126&gt;=30,E126&lt;&gt;"*",D126&lt;&gt;""),F126+1.959963985 *('Funnel setup'!$K$8/SQRT('Funnel Data'!D126)),"")</f>
        <v>25.258150132222237</v>
      </c>
      <c r="I126" s="177">
        <f>IF(AND(ISNUMBER('Funnel setup'!P139),D126&gt;=30,E126&lt;&gt;"*",D126&lt;&gt;""),F126-3.090232306 *('Funnel setup'!$K$8/SQRT('Funnel Data'!D126)),"")</f>
        <v>18.190860313135381</v>
      </c>
      <c r="J126" s="177">
        <f>IF(AND(ISNUMBER('Funnel setup'!P139),D126&gt;=30,E126&lt;&gt;"*",D126&lt;&gt;""),F126+3.090232306 *('Funnel setup'!$K$8/SQRT('Funnel Data'!D126)),"")</f>
        <v>26.839857720910437</v>
      </c>
      <c r="K126" s="178" t="str">
        <f>IF(AND(ISNUMBER('Funnel setup'!P139),D126&gt;=30,E126&lt;&gt;"*",D126&lt;&gt;""),IF(E126&gt;J126,'Funnel setup'!$K$15&amp;"99.8%",IF(E126&gt;H126,'Funnel setup'!$K$15&amp;"95%",IF(E126&lt;I126,'Funnel setup'!$K$16&amp;"99.8%",IF(E126&lt;G126,'Funnel setup'!$K$16&amp;"95%","")))),"")</f>
        <v/>
      </c>
    </row>
    <row r="127" spans="2:11" ht="15" customHeight="1" x14ac:dyDescent="0.35">
      <c r="B127" s="174" t="str">
        <f>IF(ISNUMBER('Funnel setup'!P140),VLOOKUP('Funnel setup'!$P140,'Provider Commission - Raw Data'!$A:$Q,5,0),"")</f>
        <v>NT233</v>
      </c>
      <c r="C127" s="175" t="str">
        <f>IF(ISNUMBER('Funnel setup'!P140),VLOOKUP('Funnel setup'!P140,'Provider Commission - Raw Data'!$A:$Q,6,0),"")</f>
        <v>NUFFIELD HEALTH, PLYMOUTH HOSPITAL (NT233)</v>
      </c>
      <c r="D127" s="176">
        <f>IF(ISNUMBER('Funnel setup'!P140),IF(VLOOKUP('Funnel setup'!P140,'Provider Commission - Raw Data'!$A:$Q,8,0)="-","",VLOOKUP('Funnel setup'!P140,'Provider Commission - Raw Data'!$A:$Q,8,0)),"")</f>
        <v>66</v>
      </c>
      <c r="E127" s="251">
        <f>IF(ISNUMBER('Funnel setup'!P140),IF(VLOOKUP('Funnel setup'!P140,'Provider Commission - Raw Data'!$A:$Q,16,0)="-","",VLOOKUP('Funnel setup'!P140,'Provider Commission - Raw Data'!$A:$Q,16,0)),"")</f>
        <v>23.561800000000002</v>
      </c>
      <c r="F127" s="177">
        <f>IF(AND(ISNUMBER('Funnel setup'!P140)),'Funnel setup'!$K$9,"")</f>
        <v>22.515359017022909</v>
      </c>
      <c r="G127" s="177">
        <f>IF(AND(ISNUMBER('Funnel setup'!P140),D127&gt;=30,E127&lt;&gt;"*",D127&lt;&gt;""),F127-1.959963985 *('Funnel setup'!$K$8/SQRT('Funnel Data'!D127)),"")</f>
        <v>20.518006191039671</v>
      </c>
      <c r="H127" s="177">
        <f>IF(AND(ISNUMBER('Funnel setup'!P140),D127&gt;=30,E127&lt;&gt;"*",D127&lt;&gt;""),F127+1.959963985 *('Funnel setup'!$K$8/SQRT('Funnel Data'!D127)),"")</f>
        <v>24.512711843006148</v>
      </c>
      <c r="I127" s="177">
        <f>IF(AND(ISNUMBER('Funnel setup'!P140),D127&gt;=30,E127&lt;&gt;"*",D127&lt;&gt;""),F127-3.090232306 *('Funnel setup'!$K$8/SQRT('Funnel Data'!D127)),"")</f>
        <v>19.366176543992008</v>
      </c>
      <c r="J127" s="177">
        <f>IF(AND(ISNUMBER('Funnel setup'!P140),D127&gt;=30,E127&lt;&gt;"*",D127&lt;&gt;""),F127+3.090232306 *('Funnel setup'!$K$8/SQRT('Funnel Data'!D127)),"")</f>
        <v>25.664541490053811</v>
      </c>
      <c r="K127" s="178" t="str">
        <f>IF(AND(ISNUMBER('Funnel setup'!P140),D127&gt;=30,E127&lt;&gt;"*",D127&lt;&gt;""),IF(E127&gt;J127,'Funnel setup'!$K$15&amp;"99.8%",IF(E127&gt;H127,'Funnel setup'!$K$15&amp;"95%",IF(E127&lt;I127,'Funnel setup'!$K$16&amp;"99.8%",IF(E127&lt;G127,'Funnel setup'!$K$16&amp;"95%","")))),"")</f>
        <v/>
      </c>
    </row>
    <row r="128" spans="2:11" ht="15" customHeight="1" x14ac:dyDescent="0.35">
      <c r="B128" s="174" t="str">
        <f>IF(ISNUMBER('Funnel setup'!P141),VLOOKUP('Funnel setup'!$P141,'Provider Commission - Raw Data'!$A:$Q,5,0),"")</f>
        <v>NT235</v>
      </c>
      <c r="C128" s="175" t="str">
        <f>IF(ISNUMBER('Funnel setup'!P141),VLOOKUP('Funnel setup'!P141,'Provider Commission - Raw Data'!$A:$Q,6,0),"")</f>
        <v>NUFFIELD HEALTH, SHREWSBURY HOSPITAL (NT235)</v>
      </c>
      <c r="D128" s="176">
        <f>IF(ISNUMBER('Funnel setup'!P141),IF(VLOOKUP('Funnel setup'!P141,'Provider Commission - Raw Data'!$A:$Q,8,0)="-","",VLOOKUP('Funnel setup'!P141,'Provider Commission - Raw Data'!$A:$Q,8,0)),"")</f>
        <v>8</v>
      </c>
      <c r="E128" s="251" t="str">
        <f>IF(ISNUMBER('Funnel setup'!P141),IF(VLOOKUP('Funnel setup'!P141,'Provider Commission - Raw Data'!$A:$Q,16,0)="-","",VLOOKUP('Funnel setup'!P141,'Provider Commission - Raw Data'!$A:$Q,16,0)),"")</f>
        <v>*</v>
      </c>
      <c r="F128" s="177">
        <f>IF(AND(ISNUMBER('Funnel setup'!P141)),'Funnel setup'!$K$9,"")</f>
        <v>22.515359017022909</v>
      </c>
      <c r="G128" s="177" t="str">
        <f>IF(AND(ISNUMBER('Funnel setup'!P141),D128&gt;=30,E128&lt;&gt;"*",D128&lt;&gt;""),F128-1.959963985 *('Funnel setup'!$K$8/SQRT('Funnel Data'!D128)),"")</f>
        <v/>
      </c>
      <c r="H128" s="177" t="str">
        <f>IF(AND(ISNUMBER('Funnel setup'!P141),D128&gt;=30,E128&lt;&gt;"*",D128&lt;&gt;""),F128+1.959963985 *('Funnel setup'!$K$8/SQRT('Funnel Data'!D128)),"")</f>
        <v/>
      </c>
      <c r="I128" s="177" t="str">
        <f>IF(AND(ISNUMBER('Funnel setup'!P141),D128&gt;=30,E128&lt;&gt;"*",D128&lt;&gt;""),F128-3.090232306 *('Funnel setup'!$K$8/SQRT('Funnel Data'!D128)),"")</f>
        <v/>
      </c>
      <c r="J128" s="177" t="str">
        <f>IF(AND(ISNUMBER('Funnel setup'!P141),D128&gt;=30,E128&lt;&gt;"*",D128&lt;&gt;""),F128+3.090232306 *('Funnel setup'!$K$8/SQRT('Funnel Data'!D128)),"")</f>
        <v/>
      </c>
      <c r="K128" s="178" t="str">
        <f>IF(AND(ISNUMBER('Funnel setup'!P141),D128&gt;=30,E128&lt;&gt;"*",D128&lt;&gt;""),IF(E128&gt;J128,'Funnel setup'!$K$15&amp;"99.8%",IF(E128&gt;H128,'Funnel setup'!$K$15&amp;"95%",IF(E128&lt;I128,'Funnel setup'!$K$16&amp;"99.8%",IF(E128&lt;G128,'Funnel setup'!$K$16&amp;"95%","")))),"")</f>
        <v/>
      </c>
    </row>
    <row r="129" spans="2:11" ht="15" customHeight="1" x14ac:dyDescent="0.35">
      <c r="B129" s="174" t="str">
        <f>IF(ISNUMBER('Funnel setup'!P142),VLOOKUP('Funnel setup'!$P142,'Provider Commission - Raw Data'!$A:$Q,5,0),"")</f>
        <v>NT238</v>
      </c>
      <c r="C129" s="175" t="str">
        <f>IF(ISNUMBER('Funnel setup'!P142),VLOOKUP('Funnel setup'!P142,'Provider Commission - Raw Data'!$A:$Q,6,0),"")</f>
        <v>NUFFIELD HEALTH, TAUNTON HOSPITAL (NT238)</v>
      </c>
      <c r="D129" s="176">
        <f>IF(ISNUMBER('Funnel setup'!P142),IF(VLOOKUP('Funnel setup'!P142,'Provider Commission - Raw Data'!$A:$Q,8,0)="-","",VLOOKUP('Funnel setup'!P142,'Provider Commission - Raw Data'!$A:$Q,8,0)),"")</f>
        <v>22</v>
      </c>
      <c r="E129" s="251" t="str">
        <f>IF(ISNUMBER('Funnel setup'!P142),IF(VLOOKUP('Funnel setup'!P142,'Provider Commission - Raw Data'!$A:$Q,16,0)="-","",VLOOKUP('Funnel setup'!P142,'Provider Commission - Raw Data'!$A:$Q,16,0)),"")</f>
        <v>*</v>
      </c>
      <c r="F129" s="177">
        <f>IF(AND(ISNUMBER('Funnel setup'!P142)),'Funnel setup'!$K$9,"")</f>
        <v>22.515359017022909</v>
      </c>
      <c r="G129" s="177" t="str">
        <f>IF(AND(ISNUMBER('Funnel setup'!P142),D129&gt;=30,E129&lt;&gt;"*",D129&lt;&gt;""),F129-1.959963985 *('Funnel setup'!$K$8/SQRT('Funnel Data'!D129)),"")</f>
        <v/>
      </c>
      <c r="H129" s="177" t="str">
        <f>IF(AND(ISNUMBER('Funnel setup'!P142),D129&gt;=30,E129&lt;&gt;"*",D129&lt;&gt;""),F129+1.959963985 *('Funnel setup'!$K$8/SQRT('Funnel Data'!D129)),"")</f>
        <v/>
      </c>
      <c r="I129" s="177" t="str">
        <f>IF(AND(ISNUMBER('Funnel setup'!P142),D129&gt;=30,E129&lt;&gt;"*",D129&lt;&gt;""),F129-3.090232306 *('Funnel setup'!$K$8/SQRT('Funnel Data'!D129)),"")</f>
        <v/>
      </c>
      <c r="J129" s="177" t="str">
        <f>IF(AND(ISNUMBER('Funnel setup'!P142),D129&gt;=30,E129&lt;&gt;"*",D129&lt;&gt;""),F129+3.090232306 *('Funnel setup'!$K$8/SQRT('Funnel Data'!D129)),"")</f>
        <v/>
      </c>
      <c r="K129" s="178" t="str">
        <f>IF(AND(ISNUMBER('Funnel setup'!P142),D129&gt;=30,E129&lt;&gt;"*",D129&lt;&gt;""),IF(E129&gt;J129,'Funnel setup'!$K$15&amp;"99.8%",IF(E129&gt;H129,'Funnel setup'!$K$15&amp;"95%",IF(E129&lt;I129,'Funnel setup'!$K$16&amp;"99.8%",IF(E129&lt;G129,'Funnel setup'!$K$16&amp;"95%","")))),"")</f>
        <v/>
      </c>
    </row>
    <row r="130" spans="2:11" ht="15" customHeight="1" x14ac:dyDescent="0.35">
      <c r="B130" s="174" t="str">
        <f>IF(ISNUMBER('Funnel setup'!P143),VLOOKUP('Funnel setup'!$P143,'Provider Commission - Raw Data'!$A:$Q,5,0),"")</f>
        <v>NT237</v>
      </c>
      <c r="C130" s="175" t="str">
        <f>IF(ISNUMBER('Funnel setup'!P143),VLOOKUP('Funnel setup'!P143,'Provider Commission - Raw Data'!$A:$Q,6,0),"")</f>
        <v>NUFFIELD HEALTH, TEES HOSPITAL (NT237)</v>
      </c>
      <c r="D130" s="176">
        <f>IF(ISNUMBER('Funnel setup'!P143),IF(VLOOKUP('Funnel setup'!P143,'Provider Commission - Raw Data'!$A:$Q,8,0)="-","",VLOOKUP('Funnel setup'!P143,'Provider Commission - Raw Data'!$A:$Q,8,0)),"")</f>
        <v>150</v>
      </c>
      <c r="E130" s="251">
        <f>IF(ISNUMBER('Funnel setup'!P143),IF(VLOOKUP('Funnel setup'!P143,'Provider Commission - Raw Data'!$A:$Q,16,0)="-","",VLOOKUP('Funnel setup'!P143,'Provider Commission - Raw Data'!$A:$Q,16,0)),"")</f>
        <v>23.0657</v>
      </c>
      <c r="F130" s="177">
        <f>IF(AND(ISNUMBER('Funnel setup'!P143)),'Funnel setup'!$K$9,"")</f>
        <v>22.515359017022909</v>
      </c>
      <c r="G130" s="177">
        <f>IF(AND(ISNUMBER('Funnel setup'!P143),D130&gt;=30,E130&lt;&gt;"*",D130&lt;&gt;""),F130-1.959963985 *('Funnel setup'!$K$8/SQRT('Funnel Data'!D130)),"")</f>
        <v>21.190465037474425</v>
      </c>
      <c r="H130" s="177">
        <f>IF(AND(ISNUMBER('Funnel setup'!P143),D130&gt;=30,E130&lt;&gt;"*",D130&lt;&gt;""),F130+1.959963985 *('Funnel setup'!$K$8/SQRT('Funnel Data'!D130)),"")</f>
        <v>23.840252996571394</v>
      </c>
      <c r="I130" s="177">
        <f>IF(AND(ISNUMBER('Funnel setup'!P143),D130&gt;=30,E130&lt;&gt;"*",D130&lt;&gt;""),F130-3.090232306 *('Funnel setup'!$K$8/SQRT('Funnel Data'!D130)),"")</f>
        <v>20.426427685141508</v>
      </c>
      <c r="J130" s="177">
        <f>IF(AND(ISNUMBER('Funnel setup'!P143),D130&gt;=30,E130&lt;&gt;"*",D130&lt;&gt;""),F130+3.090232306 *('Funnel setup'!$K$8/SQRT('Funnel Data'!D130)),"")</f>
        <v>24.604290348904311</v>
      </c>
      <c r="K130" s="178" t="str">
        <f>IF(AND(ISNUMBER('Funnel setup'!P143),D130&gt;=30,E130&lt;&gt;"*",D130&lt;&gt;""),IF(E130&gt;J130,'Funnel setup'!$K$15&amp;"99.8%",IF(E130&gt;H130,'Funnel setup'!$K$15&amp;"95%",IF(E130&lt;I130,'Funnel setup'!$K$16&amp;"99.8%",IF(E130&lt;G130,'Funnel setup'!$K$16&amp;"95%","")))),"")</f>
        <v/>
      </c>
    </row>
    <row r="131" spans="2:11" ht="15" customHeight="1" x14ac:dyDescent="0.35">
      <c r="B131" s="174" t="str">
        <f>IF(ISNUMBER('Funnel setup'!P144),VLOOKUP('Funnel setup'!$P144,'Provider Commission - Raw Data'!$A:$Q,5,0),"")</f>
        <v>NT210</v>
      </c>
      <c r="C131" s="175" t="str">
        <f>IF(ISNUMBER('Funnel setup'!P144),VLOOKUP('Funnel setup'!P144,'Provider Commission - Raw Data'!$A:$Q,6,0),"")</f>
        <v>NUFFIELD HEALTH, THE GROSVENOR HOSPITAL, CHESTER (NT210)</v>
      </c>
      <c r="D131" s="176">
        <f>IF(ISNUMBER('Funnel setup'!P144),IF(VLOOKUP('Funnel setup'!P144,'Provider Commission - Raw Data'!$A:$Q,8,0)="-","",VLOOKUP('Funnel setup'!P144,'Provider Commission - Raw Data'!$A:$Q,8,0)),"")</f>
        <v>14</v>
      </c>
      <c r="E131" s="251" t="str">
        <f>IF(ISNUMBER('Funnel setup'!P144),IF(VLOOKUP('Funnel setup'!P144,'Provider Commission - Raw Data'!$A:$Q,16,0)="-","",VLOOKUP('Funnel setup'!P144,'Provider Commission - Raw Data'!$A:$Q,16,0)),"")</f>
        <v>*</v>
      </c>
      <c r="F131" s="177">
        <f>IF(AND(ISNUMBER('Funnel setup'!P144)),'Funnel setup'!$K$9,"")</f>
        <v>22.515359017022909</v>
      </c>
      <c r="G131" s="177" t="str">
        <f>IF(AND(ISNUMBER('Funnel setup'!P144),D131&gt;=30,E131&lt;&gt;"*",D131&lt;&gt;""),F131-1.959963985 *('Funnel setup'!$K$8/SQRT('Funnel Data'!D131)),"")</f>
        <v/>
      </c>
      <c r="H131" s="177" t="str">
        <f>IF(AND(ISNUMBER('Funnel setup'!P144),D131&gt;=30,E131&lt;&gt;"*",D131&lt;&gt;""),F131+1.959963985 *('Funnel setup'!$K$8/SQRT('Funnel Data'!D131)),"")</f>
        <v/>
      </c>
      <c r="I131" s="177" t="str">
        <f>IF(AND(ISNUMBER('Funnel setup'!P144),D131&gt;=30,E131&lt;&gt;"*",D131&lt;&gt;""),F131-3.090232306 *('Funnel setup'!$K$8/SQRT('Funnel Data'!D131)),"")</f>
        <v/>
      </c>
      <c r="J131" s="177" t="str">
        <f>IF(AND(ISNUMBER('Funnel setup'!P144),D131&gt;=30,E131&lt;&gt;"*",D131&lt;&gt;""),F131+3.090232306 *('Funnel setup'!$K$8/SQRT('Funnel Data'!D131)),"")</f>
        <v/>
      </c>
      <c r="K131" s="178" t="str">
        <f>IF(AND(ISNUMBER('Funnel setup'!P144),D131&gt;=30,E131&lt;&gt;"*",D131&lt;&gt;""),IF(E131&gt;J131,'Funnel setup'!$K$15&amp;"99.8%",IF(E131&gt;H131,'Funnel setup'!$K$15&amp;"95%",IF(E131&lt;I131,'Funnel setup'!$K$16&amp;"99.8%",IF(E131&lt;G131,'Funnel setup'!$K$16&amp;"95%","")))),"")</f>
        <v/>
      </c>
    </row>
    <row r="132" spans="2:11" ht="15" customHeight="1" x14ac:dyDescent="0.35">
      <c r="B132" s="174" t="str">
        <f>IF(ISNUMBER('Funnel setup'!P145),VLOOKUP('Funnel setup'!$P145,'Provider Commission - Raw Data'!$A:$Q,5,0),"")</f>
        <v>NT239</v>
      </c>
      <c r="C132" s="175" t="str">
        <f>IF(ISNUMBER('Funnel setup'!P145),VLOOKUP('Funnel setup'!P145,'Provider Commission - Raw Data'!$A:$Q,6,0),"")</f>
        <v>NUFFIELD HEALTH, TUNBRIDGE WELLS HOSPITAL (NT239)</v>
      </c>
      <c r="D132" s="176">
        <f>IF(ISNUMBER('Funnel setup'!P145),IF(VLOOKUP('Funnel setup'!P145,'Provider Commission - Raw Data'!$A:$Q,8,0)="-","",VLOOKUP('Funnel setup'!P145,'Provider Commission - Raw Data'!$A:$Q,8,0)),"")</f>
        <v>6</v>
      </c>
      <c r="E132" s="251" t="str">
        <f>IF(ISNUMBER('Funnel setup'!P145),IF(VLOOKUP('Funnel setup'!P145,'Provider Commission - Raw Data'!$A:$Q,16,0)="-","",VLOOKUP('Funnel setup'!P145,'Provider Commission - Raw Data'!$A:$Q,16,0)),"")</f>
        <v>*</v>
      </c>
      <c r="F132" s="177">
        <f>IF(AND(ISNUMBER('Funnel setup'!P145)),'Funnel setup'!$K$9,"")</f>
        <v>22.515359017022909</v>
      </c>
      <c r="G132" s="177" t="str">
        <f>IF(AND(ISNUMBER('Funnel setup'!P145),D132&gt;=30,E132&lt;&gt;"*",D132&lt;&gt;""),F132-1.959963985 *('Funnel setup'!$K$8/SQRT('Funnel Data'!D132)),"")</f>
        <v/>
      </c>
      <c r="H132" s="177" t="str">
        <f>IF(AND(ISNUMBER('Funnel setup'!P145),D132&gt;=30,E132&lt;&gt;"*",D132&lt;&gt;""),F132+1.959963985 *('Funnel setup'!$K$8/SQRT('Funnel Data'!D132)),"")</f>
        <v/>
      </c>
      <c r="I132" s="177" t="str">
        <f>IF(AND(ISNUMBER('Funnel setup'!P145),D132&gt;=30,E132&lt;&gt;"*",D132&lt;&gt;""),F132-3.090232306 *('Funnel setup'!$K$8/SQRT('Funnel Data'!D132)),"")</f>
        <v/>
      </c>
      <c r="J132" s="177" t="str">
        <f>IF(AND(ISNUMBER('Funnel setup'!P145),D132&gt;=30,E132&lt;&gt;"*",D132&lt;&gt;""),F132+3.090232306 *('Funnel setup'!$K$8/SQRT('Funnel Data'!D132)),"")</f>
        <v/>
      </c>
      <c r="K132" s="178" t="str">
        <f>IF(AND(ISNUMBER('Funnel setup'!P145),D132&gt;=30,E132&lt;&gt;"*",D132&lt;&gt;""),IF(E132&gt;J132,'Funnel setup'!$K$15&amp;"99.8%",IF(E132&gt;H132,'Funnel setup'!$K$15&amp;"95%",IF(E132&lt;I132,'Funnel setup'!$K$16&amp;"99.8%",IF(E132&lt;G132,'Funnel setup'!$K$16&amp;"95%","")))),"")</f>
        <v/>
      </c>
    </row>
    <row r="133" spans="2:11" ht="15" customHeight="1" x14ac:dyDescent="0.35">
      <c r="B133" s="174" t="str">
        <f>IF(ISNUMBER('Funnel setup'!P146),VLOOKUP('Funnel setup'!$P146,'Provider Commission - Raw Data'!$A:$Q,5,0),"")</f>
        <v>NT224</v>
      </c>
      <c r="C133" s="175" t="str">
        <f>IF(ISNUMBER('Funnel setup'!P146),VLOOKUP('Funnel setup'!P146,'Provider Commission - Raw Data'!$A:$Q,6,0),"")</f>
        <v>NUFFIELD HEALTH, WARWICKSHIRE HOSPITAL (NT224)</v>
      </c>
      <c r="D133" s="176">
        <f>IF(ISNUMBER('Funnel setup'!P146),IF(VLOOKUP('Funnel setup'!P146,'Provider Commission - Raw Data'!$A:$Q,8,0)="-","",VLOOKUP('Funnel setup'!P146,'Provider Commission - Raw Data'!$A:$Q,8,0)),"")</f>
        <v>19</v>
      </c>
      <c r="E133" s="251" t="str">
        <f>IF(ISNUMBER('Funnel setup'!P146),IF(VLOOKUP('Funnel setup'!P146,'Provider Commission - Raw Data'!$A:$Q,16,0)="-","",VLOOKUP('Funnel setup'!P146,'Provider Commission - Raw Data'!$A:$Q,16,0)),"")</f>
        <v>*</v>
      </c>
      <c r="F133" s="177">
        <f>IF(AND(ISNUMBER('Funnel setup'!P146)),'Funnel setup'!$K$9,"")</f>
        <v>22.515359017022909</v>
      </c>
      <c r="G133" s="177" t="str">
        <f>IF(AND(ISNUMBER('Funnel setup'!P146),D133&gt;=30,E133&lt;&gt;"*",D133&lt;&gt;""),F133-1.959963985 *('Funnel setup'!$K$8/SQRT('Funnel Data'!D133)),"")</f>
        <v/>
      </c>
      <c r="H133" s="177" t="str">
        <f>IF(AND(ISNUMBER('Funnel setup'!P146),D133&gt;=30,E133&lt;&gt;"*",D133&lt;&gt;""),F133+1.959963985 *('Funnel setup'!$K$8/SQRT('Funnel Data'!D133)),"")</f>
        <v/>
      </c>
      <c r="I133" s="177" t="str">
        <f>IF(AND(ISNUMBER('Funnel setup'!P146),D133&gt;=30,E133&lt;&gt;"*",D133&lt;&gt;""),F133-3.090232306 *('Funnel setup'!$K$8/SQRT('Funnel Data'!D133)),"")</f>
        <v/>
      </c>
      <c r="J133" s="177" t="str">
        <f>IF(AND(ISNUMBER('Funnel setup'!P146),D133&gt;=30,E133&lt;&gt;"*",D133&lt;&gt;""),F133+3.090232306 *('Funnel setup'!$K$8/SQRT('Funnel Data'!D133)),"")</f>
        <v/>
      </c>
      <c r="K133" s="178" t="str">
        <f>IF(AND(ISNUMBER('Funnel setup'!P146),D133&gt;=30,E133&lt;&gt;"*",D133&lt;&gt;""),IF(E133&gt;J133,'Funnel setup'!$K$15&amp;"99.8%",IF(E133&gt;H133,'Funnel setup'!$K$15&amp;"95%",IF(E133&lt;I133,'Funnel setup'!$K$16&amp;"99.8%",IF(E133&lt;G133,'Funnel setup'!$K$16&amp;"95%","")))),"")</f>
        <v/>
      </c>
    </row>
    <row r="134" spans="2:11" ht="15" customHeight="1" x14ac:dyDescent="0.35">
      <c r="B134" s="174" t="str">
        <f>IF(ISNUMBER('Funnel setup'!P147),VLOOKUP('Funnel setup'!$P147,'Provider Commission - Raw Data'!$A:$Q,5,0),"")</f>
        <v>NT214</v>
      </c>
      <c r="C134" s="175" t="str">
        <f>IF(ISNUMBER('Funnel setup'!P147),VLOOKUP('Funnel setup'!P147,'Provider Commission - Raw Data'!$A:$Q,6,0),"")</f>
        <v>NUFFIELD HEALTH, WESSEX HOSPITAL (NT214)</v>
      </c>
      <c r="D134" s="176">
        <f>IF(ISNUMBER('Funnel setup'!P147),IF(VLOOKUP('Funnel setup'!P147,'Provider Commission - Raw Data'!$A:$Q,8,0)="-","",VLOOKUP('Funnel setup'!P147,'Provider Commission - Raw Data'!$A:$Q,8,0)),"")</f>
        <v>35</v>
      </c>
      <c r="E134" s="251">
        <f>IF(ISNUMBER('Funnel setup'!P147),IF(VLOOKUP('Funnel setup'!P147,'Provider Commission - Raw Data'!$A:$Q,16,0)="-","",VLOOKUP('Funnel setup'!P147,'Provider Commission - Raw Data'!$A:$Q,16,0)),"")</f>
        <v>22.505400000000002</v>
      </c>
      <c r="F134" s="177">
        <f>IF(AND(ISNUMBER('Funnel setup'!P147)),'Funnel setup'!$K$9,"")</f>
        <v>22.515359017022909</v>
      </c>
      <c r="G134" s="177">
        <f>IF(AND(ISNUMBER('Funnel setup'!P147),D134&gt;=30,E134&lt;&gt;"*",D134&lt;&gt;""),F134-1.959963985 *('Funnel setup'!$K$8/SQRT('Funnel Data'!D134)),"")</f>
        <v>19.772567901823582</v>
      </c>
      <c r="H134" s="177">
        <f>IF(AND(ISNUMBER('Funnel setup'!P147),D134&gt;=30,E134&lt;&gt;"*",D134&lt;&gt;""),F134+1.959963985 *('Funnel setup'!$K$8/SQRT('Funnel Data'!D134)),"")</f>
        <v>25.258150132222237</v>
      </c>
      <c r="I134" s="177">
        <f>IF(AND(ISNUMBER('Funnel setup'!P147),D134&gt;=30,E134&lt;&gt;"*",D134&lt;&gt;""),F134-3.090232306 *('Funnel setup'!$K$8/SQRT('Funnel Data'!D134)),"")</f>
        <v>18.190860313135381</v>
      </c>
      <c r="J134" s="177">
        <f>IF(AND(ISNUMBER('Funnel setup'!P147),D134&gt;=30,E134&lt;&gt;"*",D134&lt;&gt;""),F134+3.090232306 *('Funnel setup'!$K$8/SQRT('Funnel Data'!D134)),"")</f>
        <v>26.839857720910437</v>
      </c>
      <c r="K134" s="178" t="str">
        <f>IF(AND(ISNUMBER('Funnel setup'!P147),D134&gt;=30,E134&lt;&gt;"*",D134&lt;&gt;""),IF(E134&gt;J134,'Funnel setup'!$K$15&amp;"99.8%",IF(E134&gt;H134,'Funnel setup'!$K$15&amp;"95%",IF(E134&lt;I134,'Funnel setup'!$K$16&amp;"99.8%",IF(E134&lt;G134,'Funnel setup'!$K$16&amp;"95%","")))),"")</f>
        <v/>
      </c>
    </row>
    <row r="135" spans="2:11" ht="15" customHeight="1" x14ac:dyDescent="0.35">
      <c r="B135" s="174" t="str">
        <f>IF(ISNUMBER('Funnel setup'!P148),VLOOKUP('Funnel setup'!$P148,'Provider Commission - Raw Data'!$A:$Q,5,0),"")</f>
        <v>NT242</v>
      </c>
      <c r="C135" s="175" t="str">
        <f>IF(ISNUMBER('Funnel setup'!P148),VLOOKUP('Funnel setup'!P148,'Provider Commission - Raw Data'!$A:$Q,6,0),"")</f>
        <v>NUFFIELD HEALTH, WOLVERHAMPTON HOSPITAL (NT242)</v>
      </c>
      <c r="D135" s="176">
        <f>IF(ISNUMBER('Funnel setup'!P148),IF(VLOOKUP('Funnel setup'!P148,'Provider Commission - Raw Data'!$A:$Q,8,0)="-","",VLOOKUP('Funnel setup'!P148,'Provider Commission - Raw Data'!$A:$Q,8,0)),"")</f>
        <v>4</v>
      </c>
      <c r="E135" s="251" t="str">
        <f>IF(ISNUMBER('Funnel setup'!P148),IF(VLOOKUP('Funnel setup'!P148,'Provider Commission - Raw Data'!$A:$Q,16,0)="-","",VLOOKUP('Funnel setup'!P148,'Provider Commission - Raw Data'!$A:$Q,16,0)),"")</f>
        <v>*</v>
      </c>
      <c r="F135" s="177">
        <f>IF(AND(ISNUMBER('Funnel setup'!P148)),'Funnel setup'!$K$9,"")</f>
        <v>22.515359017022909</v>
      </c>
      <c r="G135" s="177" t="str">
        <f>IF(AND(ISNUMBER('Funnel setup'!P148),D135&gt;=30,E135&lt;&gt;"*",D135&lt;&gt;""),F135-1.959963985 *('Funnel setup'!$K$8/SQRT('Funnel Data'!D135)),"")</f>
        <v/>
      </c>
      <c r="H135" s="177" t="str">
        <f>IF(AND(ISNUMBER('Funnel setup'!P148),D135&gt;=30,E135&lt;&gt;"*",D135&lt;&gt;""),F135+1.959963985 *('Funnel setup'!$K$8/SQRT('Funnel Data'!D135)),"")</f>
        <v/>
      </c>
      <c r="I135" s="177" t="str">
        <f>IF(AND(ISNUMBER('Funnel setup'!P148),D135&gt;=30,E135&lt;&gt;"*",D135&lt;&gt;""),F135-3.090232306 *('Funnel setup'!$K$8/SQRT('Funnel Data'!D135)),"")</f>
        <v/>
      </c>
      <c r="J135" s="177" t="str">
        <f>IF(AND(ISNUMBER('Funnel setup'!P148),D135&gt;=30,E135&lt;&gt;"*",D135&lt;&gt;""),F135+3.090232306 *('Funnel setup'!$K$8/SQRT('Funnel Data'!D135)),"")</f>
        <v/>
      </c>
      <c r="K135" s="178" t="str">
        <f>IF(AND(ISNUMBER('Funnel setup'!P148),D135&gt;=30,E135&lt;&gt;"*",D135&lt;&gt;""),IF(E135&gt;J135,'Funnel setup'!$K$15&amp;"99.8%",IF(E135&gt;H135,'Funnel setup'!$K$15&amp;"95%",IF(E135&lt;I135,'Funnel setup'!$K$16&amp;"99.8%",IF(E135&lt;G135,'Funnel setup'!$K$16&amp;"95%","")))),"")</f>
        <v/>
      </c>
    </row>
    <row r="136" spans="2:11" ht="15" customHeight="1" x14ac:dyDescent="0.35">
      <c r="B136" s="174" t="str">
        <f>IF(ISNUMBER('Funnel setup'!P149),VLOOKUP('Funnel setup'!$P149,'Provider Commission - Raw Data'!$A:$Q,5,0),"")</f>
        <v>NT245</v>
      </c>
      <c r="C136" s="175" t="str">
        <f>IF(ISNUMBER('Funnel setup'!P149),VLOOKUP('Funnel setup'!P149,'Provider Commission - Raw Data'!$A:$Q,6,0),"")</f>
        <v>NUFFIELD HEALTH, YORK HOSPITAL (NT245)</v>
      </c>
      <c r="D136" s="176">
        <f>IF(ISNUMBER('Funnel setup'!P149),IF(VLOOKUP('Funnel setup'!P149,'Provider Commission - Raw Data'!$A:$Q,8,0)="-","",VLOOKUP('Funnel setup'!P149,'Provider Commission - Raw Data'!$A:$Q,8,0)),"")</f>
        <v>80</v>
      </c>
      <c r="E136" s="251">
        <f>IF(ISNUMBER('Funnel setup'!P149),IF(VLOOKUP('Funnel setup'!P149,'Provider Commission - Raw Data'!$A:$Q,16,0)="-","",VLOOKUP('Funnel setup'!P149,'Provider Commission - Raw Data'!$A:$Q,16,0)),"")</f>
        <v>25.1861</v>
      </c>
      <c r="F136" s="177">
        <f>IF(AND(ISNUMBER('Funnel setup'!P149)),'Funnel setup'!$K$9,"")</f>
        <v>22.515359017022909</v>
      </c>
      <c r="G136" s="177">
        <f>IF(AND(ISNUMBER('Funnel setup'!P149),D136&gt;=30,E136&lt;&gt;"*",D136&lt;&gt;""),F136-1.959963985 *('Funnel setup'!$K$8/SQRT('Funnel Data'!D136)),"")</f>
        <v>20.701173219769178</v>
      </c>
      <c r="H136" s="177">
        <f>IF(AND(ISNUMBER('Funnel setup'!P149),D136&gt;=30,E136&lt;&gt;"*",D136&lt;&gt;""),F136+1.959963985 *('Funnel setup'!$K$8/SQRT('Funnel Data'!D136)),"")</f>
        <v>24.329544814276641</v>
      </c>
      <c r="I136" s="177">
        <f>IF(AND(ISNUMBER('Funnel setup'!P149),D136&gt;=30,E136&lt;&gt;"*",D136&lt;&gt;""),F136-3.090232306 *('Funnel setup'!$K$8/SQRT('Funnel Data'!D136)),"")</f>
        <v>19.654971988146023</v>
      </c>
      <c r="J136" s="177">
        <f>IF(AND(ISNUMBER('Funnel setup'!P149),D136&gt;=30,E136&lt;&gt;"*",D136&lt;&gt;""),F136+3.090232306 *('Funnel setup'!$K$8/SQRT('Funnel Data'!D136)),"")</f>
        <v>25.375746045899795</v>
      </c>
      <c r="K136" s="178" t="str">
        <f>IF(AND(ISNUMBER('Funnel setup'!P149),D136&gt;=30,E136&lt;&gt;"*",D136&lt;&gt;""),IF(E136&gt;J136,'Funnel setup'!$K$15&amp;"99.8%",IF(E136&gt;H136,'Funnel setup'!$K$15&amp;"95%",IF(E136&lt;I136,'Funnel setup'!$K$16&amp;"99.8%",IF(E136&lt;G136,'Funnel setup'!$K$16&amp;"95%","")))),"")</f>
        <v>Upper 95%</v>
      </c>
    </row>
    <row r="137" spans="2:11" ht="15" customHeight="1" x14ac:dyDescent="0.35">
      <c r="B137" s="174" t="str">
        <f>IF(ISNUMBER('Funnel setup'!P150),VLOOKUP('Funnel setup'!$P150,'Provider Commission - Raw Data'!$A:$Q,5,0),"")</f>
        <v>NVC12</v>
      </c>
      <c r="C137" s="175" t="str">
        <f>IF(ISNUMBER('Funnel setup'!P150),VLOOKUP('Funnel setup'!P150,'Provider Commission - Raw Data'!$A:$Q,6,0),"")</f>
        <v>OAKLANDS HOSPITAL (NVC12)</v>
      </c>
      <c r="D137" s="176">
        <f>IF(ISNUMBER('Funnel setup'!P150),IF(VLOOKUP('Funnel setup'!P150,'Provider Commission - Raw Data'!$A:$Q,8,0)="-","",VLOOKUP('Funnel setup'!P150,'Provider Commission - Raw Data'!$A:$Q,8,0)),"")</f>
        <v>65</v>
      </c>
      <c r="E137" s="251">
        <f>IF(ISNUMBER('Funnel setup'!P150),IF(VLOOKUP('Funnel setup'!P150,'Provider Commission - Raw Data'!$A:$Q,16,0)="-","",VLOOKUP('Funnel setup'!P150,'Provider Commission - Raw Data'!$A:$Q,16,0)),"")</f>
        <v>21.625900000000001</v>
      </c>
      <c r="F137" s="177">
        <f>IF(AND(ISNUMBER('Funnel setup'!P150)),'Funnel setup'!$K$9,"")</f>
        <v>22.515359017022909</v>
      </c>
      <c r="G137" s="177">
        <f>IF(AND(ISNUMBER('Funnel setup'!P150),D137&gt;=30,E137&lt;&gt;"*",D137&lt;&gt;""),F137-1.959963985 *('Funnel setup'!$K$8/SQRT('Funnel Data'!D137)),"")</f>
        <v>20.50270058157157</v>
      </c>
      <c r="H137" s="177">
        <f>IF(AND(ISNUMBER('Funnel setup'!P150),D137&gt;=30,E137&lt;&gt;"*",D137&lt;&gt;""),F137+1.959963985 *('Funnel setup'!$K$8/SQRT('Funnel Data'!D137)),"")</f>
        <v>24.528017452474248</v>
      </c>
      <c r="I137" s="177">
        <f>IF(AND(ISNUMBER('Funnel setup'!P150),D137&gt;=30,E137&lt;&gt;"*",D137&lt;&gt;""),F137-3.090232306 *('Funnel setup'!$K$8/SQRT('Funnel Data'!D137)),"")</f>
        <v>19.34204452462669</v>
      </c>
      <c r="J137" s="177">
        <f>IF(AND(ISNUMBER('Funnel setup'!P150),D137&gt;=30,E137&lt;&gt;"*",D137&lt;&gt;""),F137+3.090232306 *('Funnel setup'!$K$8/SQRT('Funnel Data'!D137)),"")</f>
        <v>25.688673509419129</v>
      </c>
      <c r="K137" s="178" t="str">
        <f>IF(AND(ISNUMBER('Funnel setup'!P150),D137&gt;=30,E137&lt;&gt;"*",D137&lt;&gt;""),IF(E137&gt;J137,'Funnel setup'!$K$15&amp;"99.8%",IF(E137&gt;H137,'Funnel setup'!$K$15&amp;"95%",IF(E137&lt;I137,'Funnel setup'!$K$16&amp;"99.8%",IF(E137&lt;G137,'Funnel setup'!$K$16&amp;"95%","")))),"")</f>
        <v/>
      </c>
    </row>
    <row r="138" spans="2:11" ht="15" customHeight="1" x14ac:dyDescent="0.35">
      <c r="B138" s="174" t="str">
        <f>IF(ISNUMBER('Funnel setup'!P151),VLOOKUP('Funnel setup'!$P151,'Provider Commission - Raw Data'!$A:$Q,5,0),"")</f>
        <v>NVC13</v>
      </c>
      <c r="C138" s="175" t="str">
        <f>IF(ISNUMBER('Funnel setup'!P151),VLOOKUP('Funnel setup'!P151,'Provider Commission - Raw Data'!$A:$Q,6,0),"")</f>
        <v>OAKS HOSPITAL (NVC13)</v>
      </c>
      <c r="D138" s="176">
        <f>IF(ISNUMBER('Funnel setup'!P151),IF(VLOOKUP('Funnel setup'!P151,'Provider Commission - Raw Data'!$A:$Q,8,0)="-","",VLOOKUP('Funnel setup'!P151,'Provider Commission - Raw Data'!$A:$Q,8,0)),"")</f>
        <v>7</v>
      </c>
      <c r="E138" s="251" t="str">
        <f>IF(ISNUMBER('Funnel setup'!P151),IF(VLOOKUP('Funnel setup'!P151,'Provider Commission - Raw Data'!$A:$Q,16,0)="-","",VLOOKUP('Funnel setup'!P151,'Provider Commission - Raw Data'!$A:$Q,16,0)),"")</f>
        <v>*</v>
      </c>
      <c r="F138" s="177">
        <f>IF(AND(ISNUMBER('Funnel setup'!P151)),'Funnel setup'!$K$9,"")</f>
        <v>22.515359017022909</v>
      </c>
      <c r="G138" s="177" t="str">
        <f>IF(AND(ISNUMBER('Funnel setup'!P151),D138&gt;=30,E138&lt;&gt;"*",D138&lt;&gt;""),F138-1.959963985 *('Funnel setup'!$K$8/SQRT('Funnel Data'!D138)),"")</f>
        <v/>
      </c>
      <c r="H138" s="177" t="str">
        <f>IF(AND(ISNUMBER('Funnel setup'!P151),D138&gt;=30,E138&lt;&gt;"*",D138&lt;&gt;""),F138+1.959963985 *('Funnel setup'!$K$8/SQRT('Funnel Data'!D138)),"")</f>
        <v/>
      </c>
      <c r="I138" s="177" t="str">
        <f>IF(AND(ISNUMBER('Funnel setup'!P151),D138&gt;=30,E138&lt;&gt;"*",D138&lt;&gt;""),F138-3.090232306 *('Funnel setup'!$K$8/SQRT('Funnel Data'!D138)),"")</f>
        <v/>
      </c>
      <c r="J138" s="177" t="str">
        <f>IF(AND(ISNUMBER('Funnel setup'!P151),D138&gt;=30,E138&lt;&gt;"*",D138&lt;&gt;""),F138+3.090232306 *('Funnel setup'!$K$8/SQRT('Funnel Data'!D138)),"")</f>
        <v/>
      </c>
      <c r="K138" s="178" t="str">
        <f>IF(AND(ISNUMBER('Funnel setup'!P151),D138&gt;=30,E138&lt;&gt;"*",D138&lt;&gt;""),IF(E138&gt;J138,'Funnel setup'!$K$15&amp;"99.8%",IF(E138&gt;H138,'Funnel setup'!$K$15&amp;"95%",IF(E138&lt;I138,'Funnel setup'!$K$16&amp;"99.8%",IF(E138&lt;G138,'Funnel setup'!$K$16&amp;"95%","")))),"")</f>
        <v/>
      </c>
    </row>
    <row r="139" spans="2:11" ht="15" customHeight="1" x14ac:dyDescent="0.35">
      <c r="B139" s="174" t="str">
        <f>IF(ISNUMBER('Funnel setup'!P152),VLOOKUP('Funnel setup'!$P152,'Provider Commission - Raw Data'!$A:$Q,5,0),"")</f>
        <v>AVQ</v>
      </c>
      <c r="C139" s="175" t="str">
        <f>IF(ISNUMBER('Funnel setup'!P152),VLOOKUP('Funnel setup'!P152,'Provider Commission - Raw Data'!$A:$Q,6,0),"")</f>
        <v>ONE HEALTHCARE (AVQ)</v>
      </c>
      <c r="D139" s="176">
        <f>IF(ISNUMBER('Funnel setup'!P152),IF(VLOOKUP('Funnel setup'!P152,'Provider Commission - Raw Data'!$A:$Q,8,0)="-","",VLOOKUP('Funnel setup'!P152,'Provider Commission - Raw Data'!$A:$Q,8,0)),"")</f>
        <v>53</v>
      </c>
      <c r="E139" s="251">
        <f>IF(ISNUMBER('Funnel setup'!P152),IF(VLOOKUP('Funnel setup'!P152,'Provider Commission - Raw Data'!$A:$Q,16,0)="-","",VLOOKUP('Funnel setup'!P152,'Provider Commission - Raw Data'!$A:$Q,16,0)),"")</f>
        <v>23.052099999999999</v>
      </c>
      <c r="F139" s="177">
        <f>IF(AND(ISNUMBER('Funnel setup'!P152)),'Funnel setup'!$K$9,"")</f>
        <v>22.515359017022909</v>
      </c>
      <c r="G139" s="177">
        <f>IF(AND(ISNUMBER('Funnel setup'!P152),D139&gt;=30,E139&lt;&gt;"*",D139&lt;&gt;""),F139-1.959963985 *('Funnel setup'!$K$8/SQRT('Funnel Data'!D139)),"")</f>
        <v>20.286468064457956</v>
      </c>
      <c r="H139" s="177">
        <f>IF(AND(ISNUMBER('Funnel setup'!P152),D139&gt;=30,E139&lt;&gt;"*",D139&lt;&gt;""),F139+1.959963985 *('Funnel setup'!$K$8/SQRT('Funnel Data'!D139)),"")</f>
        <v>24.744249969587862</v>
      </c>
      <c r="I139" s="177">
        <f>IF(AND(ISNUMBER('Funnel setup'!P152),D139&gt;=30,E139&lt;&gt;"*",D139&lt;&gt;""),F139-3.090232306 *('Funnel setup'!$K$8/SQRT('Funnel Data'!D139)),"")</f>
        <v>19.001115448834419</v>
      </c>
      <c r="J139" s="177">
        <f>IF(AND(ISNUMBER('Funnel setup'!P152),D139&gt;=30,E139&lt;&gt;"*",D139&lt;&gt;""),F139+3.090232306 *('Funnel setup'!$K$8/SQRT('Funnel Data'!D139)),"")</f>
        <v>26.0296025852114</v>
      </c>
      <c r="K139" s="178" t="str">
        <f>IF(AND(ISNUMBER('Funnel setup'!P152),D139&gt;=30,E139&lt;&gt;"*",D139&lt;&gt;""),IF(E139&gt;J139,'Funnel setup'!$K$15&amp;"99.8%",IF(E139&gt;H139,'Funnel setup'!$K$15&amp;"95%",IF(E139&lt;I139,'Funnel setup'!$K$16&amp;"99.8%",IF(E139&lt;G139,'Funnel setup'!$K$16&amp;"95%","")))),"")</f>
        <v/>
      </c>
    </row>
    <row r="140" spans="2:11" ht="15" customHeight="1" x14ac:dyDescent="0.35">
      <c r="B140" s="174" t="str">
        <f>IF(ISNUMBER('Funnel setup'!P153),VLOOKUP('Funnel setup'!$P153,'Provider Commission - Raw Data'!$A:$Q,5,0),"")</f>
        <v>NQM01</v>
      </c>
      <c r="C140" s="175" t="str">
        <f>IF(ISNUMBER('Funnel setup'!P153),VLOOKUP('Funnel setup'!P153,'Provider Commission - Raw Data'!$A:$Q,6,0),"")</f>
        <v>ORTHOPAEDICS &amp; SPINE SPECIALIST HOSPITAL SITE (NQM01)</v>
      </c>
      <c r="D140" s="176">
        <f>IF(ISNUMBER('Funnel setup'!P153),IF(VLOOKUP('Funnel setup'!P153,'Provider Commission - Raw Data'!$A:$Q,8,0)="-","",VLOOKUP('Funnel setup'!P153,'Provider Commission - Raw Data'!$A:$Q,8,0)),"")</f>
        <v>7</v>
      </c>
      <c r="E140" s="251" t="str">
        <f>IF(ISNUMBER('Funnel setup'!P153),IF(VLOOKUP('Funnel setup'!P153,'Provider Commission - Raw Data'!$A:$Q,16,0)="-","",VLOOKUP('Funnel setup'!P153,'Provider Commission - Raw Data'!$A:$Q,16,0)),"")</f>
        <v>*</v>
      </c>
      <c r="F140" s="177">
        <f>IF(AND(ISNUMBER('Funnel setup'!P153)),'Funnel setup'!$K$9,"")</f>
        <v>22.515359017022909</v>
      </c>
      <c r="G140" s="177" t="str">
        <f>IF(AND(ISNUMBER('Funnel setup'!P153),D140&gt;=30,E140&lt;&gt;"*",D140&lt;&gt;""),F140-1.959963985 *('Funnel setup'!$K$8/SQRT('Funnel Data'!D140)),"")</f>
        <v/>
      </c>
      <c r="H140" s="177" t="str">
        <f>IF(AND(ISNUMBER('Funnel setup'!P153),D140&gt;=30,E140&lt;&gt;"*",D140&lt;&gt;""),F140+1.959963985 *('Funnel setup'!$K$8/SQRT('Funnel Data'!D140)),"")</f>
        <v/>
      </c>
      <c r="I140" s="177" t="str">
        <f>IF(AND(ISNUMBER('Funnel setup'!P153),D140&gt;=30,E140&lt;&gt;"*",D140&lt;&gt;""),F140-3.090232306 *('Funnel setup'!$K$8/SQRT('Funnel Data'!D140)),"")</f>
        <v/>
      </c>
      <c r="J140" s="177" t="str">
        <f>IF(AND(ISNUMBER('Funnel setup'!P153),D140&gt;=30,E140&lt;&gt;"*",D140&lt;&gt;""),F140+3.090232306 *('Funnel setup'!$K$8/SQRT('Funnel Data'!D140)),"")</f>
        <v/>
      </c>
      <c r="K140" s="178" t="str">
        <f>IF(AND(ISNUMBER('Funnel setup'!P153),D140&gt;=30,E140&lt;&gt;"*",D140&lt;&gt;""),IF(E140&gt;J140,'Funnel setup'!$K$15&amp;"99.8%",IF(E140&gt;H140,'Funnel setup'!$K$15&amp;"95%",IF(E140&lt;I140,'Funnel setup'!$K$16&amp;"99.8%",IF(E140&lt;G140,'Funnel setup'!$K$16&amp;"95%","")))),"")</f>
        <v/>
      </c>
    </row>
    <row r="141" spans="2:11" ht="15" customHeight="1" x14ac:dyDescent="0.35">
      <c r="B141" s="174" t="str">
        <f>IF(ISNUMBER('Funnel setup'!P154),VLOOKUP('Funnel setup'!$P154,'Provider Commission - Raw Data'!$A:$Q,5,0),"")</f>
        <v>RTH</v>
      </c>
      <c r="C141" s="175" t="str">
        <f>IF(ISNUMBER('Funnel setup'!P154),VLOOKUP('Funnel setup'!P154,'Provider Commission - Raw Data'!$A:$Q,6,0),"")</f>
        <v>OXFORD UNIVERSITY HOSPITALS NHS FOUNDATION TRUST (RTH)</v>
      </c>
      <c r="D141" s="176">
        <f>IF(ISNUMBER('Funnel setup'!P154),IF(VLOOKUP('Funnel setup'!P154,'Provider Commission - Raw Data'!$A:$Q,8,0)="-","",VLOOKUP('Funnel setup'!P154,'Provider Commission - Raw Data'!$A:$Q,8,0)),"")</f>
        <v>328</v>
      </c>
      <c r="E141" s="251">
        <f>IF(ISNUMBER('Funnel setup'!P154),IF(VLOOKUP('Funnel setup'!P154,'Provider Commission - Raw Data'!$A:$Q,16,0)="-","",VLOOKUP('Funnel setup'!P154,'Provider Commission - Raw Data'!$A:$Q,16,0)),"")</f>
        <v>22.691400000000002</v>
      </c>
      <c r="F141" s="177">
        <f>IF(AND(ISNUMBER('Funnel setup'!P154)),'Funnel setup'!$K$9,"")</f>
        <v>22.515359017022909</v>
      </c>
      <c r="G141" s="177">
        <f>IF(AND(ISNUMBER('Funnel setup'!P154),D141&gt;=30,E141&lt;&gt;"*",D141&lt;&gt;""),F141-1.959963985 *('Funnel setup'!$K$8/SQRT('Funnel Data'!D141)),"")</f>
        <v>21.619396514138487</v>
      </c>
      <c r="H141" s="177">
        <f>IF(AND(ISNUMBER('Funnel setup'!P154),D141&gt;=30,E141&lt;&gt;"*",D141&lt;&gt;""),F141+1.959963985 *('Funnel setup'!$K$8/SQRT('Funnel Data'!D141)),"")</f>
        <v>23.411321519907332</v>
      </c>
      <c r="I141" s="177">
        <f>IF(AND(ISNUMBER('Funnel setup'!P154),D141&gt;=30,E141&lt;&gt;"*",D141&lt;&gt;""),F141-3.090232306 *('Funnel setup'!$K$8/SQRT('Funnel Data'!D141)),"")</f>
        <v>21.102714553875767</v>
      </c>
      <c r="J141" s="177">
        <f>IF(AND(ISNUMBER('Funnel setup'!P154),D141&gt;=30,E141&lt;&gt;"*",D141&lt;&gt;""),F141+3.090232306 *('Funnel setup'!$K$8/SQRT('Funnel Data'!D141)),"")</f>
        <v>23.928003480170052</v>
      </c>
      <c r="K141" s="178" t="str">
        <f>IF(AND(ISNUMBER('Funnel setup'!P154),D141&gt;=30,E141&lt;&gt;"*",D141&lt;&gt;""),IF(E141&gt;J141,'Funnel setup'!$K$15&amp;"99.8%",IF(E141&gt;H141,'Funnel setup'!$K$15&amp;"95%",IF(E141&lt;I141,'Funnel setup'!$K$16&amp;"99.8%",IF(E141&lt;G141,'Funnel setup'!$K$16&amp;"95%","")))),"")</f>
        <v/>
      </c>
    </row>
    <row r="142" spans="2:11" ht="15" customHeight="1" x14ac:dyDescent="0.35">
      <c r="B142" s="174" t="str">
        <f>IF(ISNUMBER('Funnel setup'!P155),VLOOKUP('Funnel setup'!$P155,'Provider Commission - Raw Data'!$A:$Q,5,0),"")</f>
        <v>NVC14</v>
      </c>
      <c r="C142" s="175" t="str">
        <f>IF(ISNUMBER('Funnel setup'!P155),VLOOKUP('Funnel setup'!P155,'Provider Commission - Raw Data'!$A:$Q,6,0),"")</f>
        <v>PARK HILL HOSPITAL (NVC14)</v>
      </c>
      <c r="D142" s="176">
        <f>IF(ISNUMBER('Funnel setup'!P155),IF(VLOOKUP('Funnel setup'!P155,'Provider Commission - Raw Data'!$A:$Q,8,0)="-","",VLOOKUP('Funnel setup'!P155,'Provider Commission - Raw Data'!$A:$Q,8,0)),"")</f>
        <v>59</v>
      </c>
      <c r="E142" s="251">
        <f>IF(ISNUMBER('Funnel setup'!P155),IF(VLOOKUP('Funnel setup'!P155,'Provider Commission - Raw Data'!$A:$Q,16,0)="-","",VLOOKUP('Funnel setup'!P155,'Provider Commission - Raw Data'!$A:$Q,16,0)),"")</f>
        <v>22.334800000000001</v>
      </c>
      <c r="F142" s="177">
        <f>IF(AND(ISNUMBER('Funnel setup'!P155)),'Funnel setup'!$K$9,"")</f>
        <v>22.515359017022909</v>
      </c>
      <c r="G142" s="177">
        <f>IF(AND(ISNUMBER('Funnel setup'!P155),D142&gt;=30,E142&lt;&gt;"*",D142&lt;&gt;""),F142-1.959963985 *('Funnel setup'!$K$8/SQRT('Funnel Data'!D142)),"")</f>
        <v>20.402839401000964</v>
      </c>
      <c r="H142" s="177">
        <f>IF(AND(ISNUMBER('Funnel setup'!P155),D142&gt;=30,E142&lt;&gt;"*",D142&lt;&gt;""),F142+1.959963985 *('Funnel setup'!$K$8/SQRT('Funnel Data'!D142)),"")</f>
        <v>24.627878633044855</v>
      </c>
      <c r="I142" s="177">
        <f>IF(AND(ISNUMBER('Funnel setup'!P155),D142&gt;=30,E142&lt;&gt;"*",D142&lt;&gt;""),F142-3.090232306 *('Funnel setup'!$K$8/SQRT('Funnel Data'!D142)),"")</f>
        <v>19.184595587464415</v>
      </c>
      <c r="J142" s="177">
        <f>IF(AND(ISNUMBER('Funnel setup'!P155),D142&gt;=30,E142&lt;&gt;"*",D142&lt;&gt;""),F142+3.090232306 *('Funnel setup'!$K$8/SQRT('Funnel Data'!D142)),"")</f>
        <v>25.846122446581404</v>
      </c>
      <c r="K142" s="178" t="str">
        <f>IF(AND(ISNUMBER('Funnel setup'!P155),D142&gt;=30,E142&lt;&gt;"*",D142&lt;&gt;""),IF(E142&gt;J142,'Funnel setup'!$K$15&amp;"99.8%",IF(E142&gt;H142,'Funnel setup'!$K$15&amp;"95%",IF(E142&lt;I142,'Funnel setup'!$K$16&amp;"99.8%",IF(E142&lt;G142,'Funnel setup'!$K$16&amp;"95%","")))),"")</f>
        <v/>
      </c>
    </row>
    <row r="143" spans="2:11" ht="15" customHeight="1" x14ac:dyDescent="0.35">
      <c r="B143" s="174" t="str">
        <f>IF(ISNUMBER('Funnel setup'!P156),VLOOKUP('Funnel setup'!$P156,'Provider Commission - Raw Data'!$A:$Q,5,0),"")</f>
        <v>NT427</v>
      </c>
      <c r="C143" s="175" t="str">
        <f>IF(ISNUMBER('Funnel setup'!P156),VLOOKUP('Funnel setup'!P156,'Provider Commission - Raw Data'!$A:$Q,6,0),"")</f>
        <v>PARK HOSPITAL (NT427)</v>
      </c>
      <c r="D143" s="176">
        <f>IF(ISNUMBER('Funnel setup'!P156),IF(VLOOKUP('Funnel setup'!P156,'Provider Commission - Raw Data'!$A:$Q,8,0)="-","",VLOOKUP('Funnel setup'!P156,'Provider Commission - Raw Data'!$A:$Q,8,0)),"")</f>
        <v>25</v>
      </c>
      <c r="E143" s="251" t="str">
        <f>IF(ISNUMBER('Funnel setup'!P156),IF(VLOOKUP('Funnel setup'!P156,'Provider Commission - Raw Data'!$A:$Q,16,0)="-","",VLOOKUP('Funnel setup'!P156,'Provider Commission - Raw Data'!$A:$Q,16,0)),"")</f>
        <v>*</v>
      </c>
      <c r="F143" s="177">
        <f>IF(AND(ISNUMBER('Funnel setup'!P156)),'Funnel setup'!$K$9,"")</f>
        <v>22.515359017022909</v>
      </c>
      <c r="G143" s="177" t="str">
        <f>IF(AND(ISNUMBER('Funnel setup'!P156),D143&gt;=30,E143&lt;&gt;"*",D143&lt;&gt;""),F143-1.959963985 *('Funnel setup'!$K$8/SQRT('Funnel Data'!D143)),"")</f>
        <v/>
      </c>
      <c r="H143" s="177" t="str">
        <f>IF(AND(ISNUMBER('Funnel setup'!P156),D143&gt;=30,E143&lt;&gt;"*",D143&lt;&gt;""),F143+1.959963985 *('Funnel setup'!$K$8/SQRT('Funnel Data'!D143)),"")</f>
        <v/>
      </c>
      <c r="I143" s="177" t="str">
        <f>IF(AND(ISNUMBER('Funnel setup'!P156),D143&gt;=30,E143&lt;&gt;"*",D143&lt;&gt;""),F143-3.090232306 *('Funnel setup'!$K$8/SQRT('Funnel Data'!D143)),"")</f>
        <v/>
      </c>
      <c r="J143" s="177" t="str">
        <f>IF(AND(ISNUMBER('Funnel setup'!P156),D143&gt;=30,E143&lt;&gt;"*",D143&lt;&gt;""),F143+3.090232306 *('Funnel setup'!$K$8/SQRT('Funnel Data'!D143)),"")</f>
        <v/>
      </c>
      <c r="K143" s="178" t="str">
        <f>IF(AND(ISNUMBER('Funnel setup'!P156),D143&gt;=30,E143&lt;&gt;"*",D143&lt;&gt;""),IF(E143&gt;J143,'Funnel setup'!$K$15&amp;"99.8%",IF(E143&gt;H143,'Funnel setup'!$K$15&amp;"95%",IF(E143&lt;I143,'Funnel setup'!$K$16&amp;"99.8%",IF(E143&lt;G143,'Funnel setup'!$K$16&amp;"95%","")))),"")</f>
        <v/>
      </c>
    </row>
    <row r="144" spans="2:11" ht="15" customHeight="1" x14ac:dyDescent="0.35">
      <c r="B144" s="174" t="str">
        <f>IF(ISNUMBER('Funnel setup'!P157),VLOOKUP('Funnel setup'!$P157,'Provider Commission - Raw Data'!$A:$Q,5,0),"")</f>
        <v>RW6</v>
      </c>
      <c r="C144" s="175" t="str">
        <f>IF(ISNUMBER('Funnel setup'!P157),VLOOKUP('Funnel setup'!P157,'Provider Commission - Raw Data'!$A:$Q,6,0),"")</f>
        <v>PENNINE ACUTE HOSPITALS NHS TRUST (RW6)</v>
      </c>
      <c r="D144" s="176">
        <f>IF(ISNUMBER('Funnel setup'!P157),IF(VLOOKUP('Funnel setup'!P157,'Provider Commission - Raw Data'!$A:$Q,8,0)="-","",VLOOKUP('Funnel setup'!P157,'Provider Commission - Raw Data'!$A:$Q,8,0)),"")</f>
        <v>3</v>
      </c>
      <c r="E144" s="251" t="str">
        <f>IF(ISNUMBER('Funnel setup'!P157),IF(VLOOKUP('Funnel setup'!P157,'Provider Commission - Raw Data'!$A:$Q,16,0)="-","",VLOOKUP('Funnel setup'!P157,'Provider Commission - Raw Data'!$A:$Q,16,0)),"")</f>
        <v>*</v>
      </c>
      <c r="F144" s="177">
        <f>IF(AND(ISNUMBER('Funnel setup'!P157)),'Funnel setup'!$K$9,"")</f>
        <v>22.515359017022909</v>
      </c>
      <c r="G144" s="177" t="str">
        <f>IF(AND(ISNUMBER('Funnel setup'!P157),D144&gt;=30,E144&lt;&gt;"*",D144&lt;&gt;""),F144-1.959963985 *('Funnel setup'!$K$8/SQRT('Funnel Data'!D144)),"")</f>
        <v/>
      </c>
      <c r="H144" s="177" t="str">
        <f>IF(AND(ISNUMBER('Funnel setup'!P157),D144&gt;=30,E144&lt;&gt;"*",D144&lt;&gt;""),F144+1.959963985 *('Funnel setup'!$K$8/SQRT('Funnel Data'!D144)),"")</f>
        <v/>
      </c>
      <c r="I144" s="177" t="str">
        <f>IF(AND(ISNUMBER('Funnel setup'!P157),D144&gt;=30,E144&lt;&gt;"*",D144&lt;&gt;""),F144-3.090232306 *('Funnel setup'!$K$8/SQRT('Funnel Data'!D144)),"")</f>
        <v/>
      </c>
      <c r="J144" s="177" t="str">
        <f>IF(AND(ISNUMBER('Funnel setup'!P157),D144&gt;=30,E144&lt;&gt;"*",D144&lt;&gt;""),F144+3.090232306 *('Funnel setup'!$K$8/SQRT('Funnel Data'!D144)),"")</f>
        <v/>
      </c>
      <c r="K144" s="178" t="str">
        <f>IF(AND(ISNUMBER('Funnel setup'!P157),D144&gt;=30,E144&lt;&gt;"*",D144&lt;&gt;""),IF(E144&gt;J144,'Funnel setup'!$K$15&amp;"99.8%",IF(E144&gt;H144,'Funnel setup'!$K$15&amp;"95%",IF(E144&lt;I144,'Funnel setup'!$K$16&amp;"99.8%",IF(E144&lt;G144,'Funnel setup'!$K$16&amp;"95%","")))),"")</f>
        <v/>
      </c>
    </row>
    <row r="145" spans="2:11" ht="15" customHeight="1" x14ac:dyDescent="0.35">
      <c r="B145" s="174" t="str">
        <f>IF(ISNUMBER('Funnel setup'!P158),VLOOKUP('Funnel setup'!$P158,'Provider Commission - Raw Data'!$A:$Q,5,0),"")</f>
        <v>NVC15</v>
      </c>
      <c r="C145" s="175" t="str">
        <f>IF(ISNUMBER('Funnel setup'!P158),VLOOKUP('Funnel setup'!P158,'Provider Commission - Raw Data'!$A:$Q,6,0),"")</f>
        <v>PINEHILL HOSPITAL (NVC15)</v>
      </c>
      <c r="D145" s="176">
        <f>IF(ISNUMBER('Funnel setup'!P158),IF(VLOOKUP('Funnel setup'!P158,'Provider Commission - Raw Data'!$A:$Q,8,0)="-","",VLOOKUP('Funnel setup'!P158,'Provider Commission - Raw Data'!$A:$Q,8,0)),"")</f>
        <v>12</v>
      </c>
      <c r="E145" s="251" t="str">
        <f>IF(ISNUMBER('Funnel setup'!P158),IF(VLOOKUP('Funnel setup'!P158,'Provider Commission - Raw Data'!$A:$Q,16,0)="-","",VLOOKUP('Funnel setup'!P158,'Provider Commission - Raw Data'!$A:$Q,16,0)),"")</f>
        <v>*</v>
      </c>
      <c r="F145" s="177">
        <f>IF(AND(ISNUMBER('Funnel setup'!P158)),'Funnel setup'!$K$9,"")</f>
        <v>22.515359017022909</v>
      </c>
      <c r="G145" s="177" t="str">
        <f>IF(AND(ISNUMBER('Funnel setup'!P158),D145&gt;=30,E145&lt;&gt;"*",D145&lt;&gt;""),F145-1.959963985 *('Funnel setup'!$K$8/SQRT('Funnel Data'!D145)),"")</f>
        <v/>
      </c>
      <c r="H145" s="177" t="str">
        <f>IF(AND(ISNUMBER('Funnel setup'!P158),D145&gt;=30,E145&lt;&gt;"*",D145&lt;&gt;""),F145+1.959963985 *('Funnel setup'!$K$8/SQRT('Funnel Data'!D145)),"")</f>
        <v/>
      </c>
      <c r="I145" s="177" t="str">
        <f>IF(AND(ISNUMBER('Funnel setup'!P158),D145&gt;=30,E145&lt;&gt;"*",D145&lt;&gt;""),F145-3.090232306 *('Funnel setup'!$K$8/SQRT('Funnel Data'!D145)),"")</f>
        <v/>
      </c>
      <c r="J145" s="177" t="str">
        <f>IF(AND(ISNUMBER('Funnel setup'!P158),D145&gt;=30,E145&lt;&gt;"*",D145&lt;&gt;""),F145+3.090232306 *('Funnel setup'!$K$8/SQRT('Funnel Data'!D145)),"")</f>
        <v/>
      </c>
      <c r="K145" s="178" t="str">
        <f>IF(AND(ISNUMBER('Funnel setup'!P158),D145&gt;=30,E145&lt;&gt;"*",D145&lt;&gt;""),IF(E145&gt;J145,'Funnel setup'!$K$15&amp;"99.8%",IF(E145&gt;H145,'Funnel setup'!$K$15&amp;"95%",IF(E145&lt;I145,'Funnel setup'!$K$16&amp;"99.8%",IF(E145&lt;G145,'Funnel setup'!$K$16&amp;"95%","")))),"")</f>
        <v/>
      </c>
    </row>
    <row r="146" spans="2:11" ht="15" customHeight="1" x14ac:dyDescent="0.35">
      <c r="B146" s="174" t="str">
        <f>IF(ISNUMBER('Funnel setup'!P159),VLOOKUP('Funnel setup'!$P159,'Provider Commission - Raw Data'!$A:$Q,5,0),"")</f>
        <v>RHU</v>
      </c>
      <c r="C146" s="175" t="str">
        <f>IF(ISNUMBER('Funnel setup'!P159),VLOOKUP('Funnel setup'!P159,'Provider Commission - Raw Data'!$A:$Q,6,0),"")</f>
        <v>PORTSMOUTH HOSPITALS UNIVERSITY NATIONAL HEALTH SERVICE TRUST (RHU)</v>
      </c>
      <c r="D146" s="176">
        <f>IF(ISNUMBER('Funnel setup'!P159),IF(VLOOKUP('Funnel setup'!P159,'Provider Commission - Raw Data'!$A:$Q,8,0)="-","",VLOOKUP('Funnel setup'!P159,'Provider Commission - Raw Data'!$A:$Q,8,0)),"")</f>
        <v>14</v>
      </c>
      <c r="E146" s="251" t="str">
        <f>IF(ISNUMBER('Funnel setup'!P159),IF(VLOOKUP('Funnel setup'!P159,'Provider Commission - Raw Data'!$A:$Q,16,0)="-","",VLOOKUP('Funnel setup'!P159,'Provider Commission - Raw Data'!$A:$Q,16,0)),"")</f>
        <v>*</v>
      </c>
      <c r="F146" s="177">
        <f>IF(AND(ISNUMBER('Funnel setup'!P159)),'Funnel setup'!$K$9,"")</f>
        <v>22.515359017022909</v>
      </c>
      <c r="G146" s="177" t="str">
        <f>IF(AND(ISNUMBER('Funnel setup'!P159),D146&gt;=30,E146&lt;&gt;"*",D146&lt;&gt;""),F146-1.959963985 *('Funnel setup'!$K$8/SQRT('Funnel Data'!D146)),"")</f>
        <v/>
      </c>
      <c r="H146" s="177" t="str">
        <f>IF(AND(ISNUMBER('Funnel setup'!P159),D146&gt;=30,E146&lt;&gt;"*",D146&lt;&gt;""),F146+1.959963985 *('Funnel setup'!$K$8/SQRT('Funnel Data'!D146)),"")</f>
        <v/>
      </c>
      <c r="I146" s="177" t="str">
        <f>IF(AND(ISNUMBER('Funnel setup'!P159),D146&gt;=30,E146&lt;&gt;"*",D146&lt;&gt;""),F146-3.090232306 *('Funnel setup'!$K$8/SQRT('Funnel Data'!D146)),"")</f>
        <v/>
      </c>
      <c r="J146" s="177" t="str">
        <f>IF(AND(ISNUMBER('Funnel setup'!P159),D146&gt;=30,E146&lt;&gt;"*",D146&lt;&gt;""),F146+3.090232306 *('Funnel setup'!$K$8/SQRT('Funnel Data'!D146)),"")</f>
        <v/>
      </c>
      <c r="K146" s="178" t="str">
        <f>IF(AND(ISNUMBER('Funnel setup'!P159),D146&gt;=30,E146&lt;&gt;"*",D146&lt;&gt;""),IF(E146&gt;J146,'Funnel setup'!$K$15&amp;"99.8%",IF(E146&gt;H146,'Funnel setup'!$K$15&amp;"95%",IF(E146&lt;I146,'Funnel setup'!$K$16&amp;"99.8%",IF(E146&lt;G146,'Funnel setup'!$K$16&amp;"95%","")))),"")</f>
        <v/>
      </c>
    </row>
    <row r="147" spans="2:11" ht="15" customHeight="1" x14ac:dyDescent="0.35">
      <c r="B147" s="174" t="str">
        <f>IF(ISNUMBER('Funnel setup'!P160),VLOOKUP('Funnel setup'!$P160,'Provider Commission - Raw Data'!$A:$Q,5,0),"")</f>
        <v>NTP13</v>
      </c>
      <c r="C147" s="175" t="str">
        <f>IF(ISNUMBER('Funnel setup'!P160),VLOOKUP('Funnel setup'!P160,'Provider Commission - Raw Data'!$A:$Q,6,0),"")</f>
        <v>PRACTICE PLUS GROUP HOSPITAL - BARLBOROUGH (NTP13)</v>
      </c>
      <c r="D147" s="176">
        <f>IF(ISNUMBER('Funnel setup'!P160),IF(VLOOKUP('Funnel setup'!P160,'Provider Commission - Raw Data'!$A:$Q,8,0)="-","",VLOOKUP('Funnel setup'!P160,'Provider Commission - Raw Data'!$A:$Q,8,0)),"")</f>
        <v>183</v>
      </c>
      <c r="E147" s="251">
        <f>IF(ISNUMBER('Funnel setup'!P160),IF(VLOOKUP('Funnel setup'!P160,'Provider Commission - Raw Data'!$A:$Q,16,0)="-","",VLOOKUP('Funnel setup'!P160,'Provider Commission - Raw Data'!$A:$Q,16,0)),"")</f>
        <v>22.469100000000001</v>
      </c>
      <c r="F147" s="177">
        <f>IF(AND(ISNUMBER('Funnel setup'!P160)),'Funnel setup'!$K$9,"")</f>
        <v>22.515359017022909</v>
      </c>
      <c r="G147" s="177">
        <f>IF(AND(ISNUMBER('Funnel setup'!P160),D147&gt;=30,E147&lt;&gt;"*",D147&lt;&gt;""),F147-1.959963985 *('Funnel setup'!$K$8/SQRT('Funnel Data'!D147)),"")</f>
        <v>21.315856368366276</v>
      </c>
      <c r="H147" s="177">
        <f>IF(AND(ISNUMBER('Funnel setup'!P160),D147&gt;=30,E147&lt;&gt;"*",D147&lt;&gt;""),F147+1.959963985 *('Funnel setup'!$K$8/SQRT('Funnel Data'!D147)),"")</f>
        <v>23.714861665679543</v>
      </c>
      <c r="I147" s="177">
        <f>IF(AND(ISNUMBER('Funnel setup'!P160),D147&gt;=30,E147&lt;&gt;"*",D147&lt;&gt;""),F147-3.090232306 *('Funnel setup'!$K$8/SQRT('Funnel Data'!D147)),"")</f>
        <v>20.624129451388164</v>
      </c>
      <c r="J147" s="177">
        <f>IF(AND(ISNUMBER('Funnel setup'!P160),D147&gt;=30,E147&lt;&gt;"*",D147&lt;&gt;""),F147+3.090232306 *('Funnel setup'!$K$8/SQRT('Funnel Data'!D147)),"")</f>
        <v>24.406588582657655</v>
      </c>
      <c r="K147" s="178" t="str">
        <f>IF(AND(ISNUMBER('Funnel setup'!P160),D147&gt;=30,E147&lt;&gt;"*",D147&lt;&gt;""),IF(E147&gt;J147,'Funnel setup'!$K$15&amp;"99.8%",IF(E147&gt;H147,'Funnel setup'!$K$15&amp;"95%",IF(E147&lt;I147,'Funnel setup'!$K$16&amp;"99.8%",IF(E147&lt;G147,'Funnel setup'!$K$16&amp;"95%","")))),"")</f>
        <v/>
      </c>
    </row>
    <row r="148" spans="2:11" ht="15" customHeight="1" x14ac:dyDescent="0.35">
      <c r="B148" s="174" t="str">
        <f>IF(ISNUMBER('Funnel setup'!P161),VLOOKUP('Funnel setup'!$P161,'Provider Commission - Raw Data'!$A:$Q,5,0),"")</f>
        <v>NTPH2</v>
      </c>
      <c r="C148" s="175" t="str">
        <f>IF(ISNUMBER('Funnel setup'!P161),VLOOKUP('Funnel setup'!P161,'Provider Commission - Raw Data'!$A:$Q,6,0),"")</f>
        <v>PRACTICE PLUS GROUP HOSPITAL - EMERSONS GREEN (NTPH2)</v>
      </c>
      <c r="D148" s="176">
        <f>IF(ISNUMBER('Funnel setup'!P161),IF(VLOOKUP('Funnel setup'!P161,'Provider Commission - Raw Data'!$A:$Q,8,0)="-","",VLOOKUP('Funnel setup'!P161,'Provider Commission - Raw Data'!$A:$Q,8,0)),"")</f>
        <v>145</v>
      </c>
      <c r="E148" s="251">
        <f>IF(ISNUMBER('Funnel setup'!P161),IF(VLOOKUP('Funnel setup'!P161,'Provider Commission - Raw Data'!$A:$Q,16,0)="-","",VLOOKUP('Funnel setup'!P161,'Provider Commission - Raw Data'!$A:$Q,16,0)),"")</f>
        <v>23.5961</v>
      </c>
      <c r="F148" s="177">
        <f>IF(AND(ISNUMBER('Funnel setup'!P161)),'Funnel setup'!$K$9,"")</f>
        <v>22.515359017022909</v>
      </c>
      <c r="G148" s="177">
        <f>IF(AND(ISNUMBER('Funnel setup'!P161),D148&gt;=30,E148&lt;&gt;"*",D148&lt;&gt;""),F148-1.959963985 *('Funnel setup'!$K$8/SQRT('Funnel Data'!D148)),"")</f>
        <v>21.167815636474764</v>
      </c>
      <c r="H148" s="177">
        <f>IF(AND(ISNUMBER('Funnel setup'!P161),D148&gt;=30,E148&lt;&gt;"*",D148&lt;&gt;""),F148+1.959963985 *('Funnel setup'!$K$8/SQRT('Funnel Data'!D148)),"")</f>
        <v>23.862902397571055</v>
      </c>
      <c r="I148" s="177">
        <f>IF(AND(ISNUMBER('Funnel setup'!P161),D148&gt;=30,E148&lt;&gt;"*",D148&lt;&gt;""),F148-3.090232306 *('Funnel setup'!$K$8/SQRT('Funnel Data'!D148)),"")</f>
        <v>20.390716870444727</v>
      </c>
      <c r="J148" s="177">
        <f>IF(AND(ISNUMBER('Funnel setup'!P161),D148&gt;=30,E148&lt;&gt;"*",D148&lt;&gt;""),F148+3.090232306 *('Funnel setup'!$K$8/SQRT('Funnel Data'!D148)),"")</f>
        <v>24.640001163601092</v>
      </c>
      <c r="K148" s="178" t="str">
        <f>IF(AND(ISNUMBER('Funnel setup'!P161),D148&gt;=30,E148&lt;&gt;"*",D148&lt;&gt;""),IF(E148&gt;J148,'Funnel setup'!$K$15&amp;"99.8%",IF(E148&gt;H148,'Funnel setup'!$K$15&amp;"95%",IF(E148&lt;I148,'Funnel setup'!$K$16&amp;"99.8%",IF(E148&lt;G148,'Funnel setup'!$K$16&amp;"95%","")))),"")</f>
        <v/>
      </c>
    </row>
    <row r="149" spans="2:11" ht="15" customHeight="1" x14ac:dyDescent="0.35">
      <c r="B149" s="174" t="str">
        <f>IF(ISNUMBER('Funnel setup'!P162),VLOOKUP('Funnel setup'!$P162,'Provider Commission - Raw Data'!$A:$Q,5,0),"")</f>
        <v>NTP15</v>
      </c>
      <c r="C149" s="175" t="str">
        <f>IF(ISNUMBER('Funnel setup'!P162),VLOOKUP('Funnel setup'!P162,'Provider Commission - Raw Data'!$A:$Q,6,0),"")</f>
        <v>PRACTICE PLUS GROUP HOSPITAL - ILFORD (NTP15)</v>
      </c>
      <c r="D149" s="176">
        <f>IF(ISNUMBER('Funnel setup'!P162),IF(VLOOKUP('Funnel setup'!P162,'Provider Commission - Raw Data'!$A:$Q,8,0)="-","",VLOOKUP('Funnel setup'!P162,'Provider Commission - Raw Data'!$A:$Q,8,0)),"")</f>
        <v>61</v>
      </c>
      <c r="E149" s="251">
        <f>IF(ISNUMBER('Funnel setup'!P162),IF(VLOOKUP('Funnel setup'!P162,'Provider Commission - Raw Data'!$A:$Q,16,0)="-","",VLOOKUP('Funnel setup'!P162,'Provider Commission - Raw Data'!$A:$Q,16,0)),"")</f>
        <v>22.493400000000001</v>
      </c>
      <c r="F149" s="177">
        <f>IF(AND(ISNUMBER('Funnel setup'!P162)),'Funnel setup'!$K$9,"")</f>
        <v>22.515359017022909</v>
      </c>
      <c r="G149" s="177">
        <f>IF(AND(ISNUMBER('Funnel setup'!P162),D149&gt;=30,E149&lt;&gt;"*",D149&lt;&gt;""),F149-1.959963985 *('Funnel setup'!$K$8/SQRT('Funnel Data'!D149)),"")</f>
        <v>20.43775948573618</v>
      </c>
      <c r="H149" s="177">
        <f>IF(AND(ISNUMBER('Funnel setup'!P162),D149&gt;=30,E149&lt;&gt;"*",D149&lt;&gt;""),F149+1.959963985 *('Funnel setup'!$K$8/SQRT('Funnel Data'!D149)),"")</f>
        <v>24.592958548309639</v>
      </c>
      <c r="I149" s="177">
        <f>IF(AND(ISNUMBER('Funnel setup'!P162),D149&gt;=30,E149&lt;&gt;"*",D149&lt;&gt;""),F149-3.090232306 *('Funnel setup'!$K$8/SQRT('Funnel Data'!D149)),"")</f>
        <v>19.239653320567111</v>
      </c>
      <c r="J149" s="177">
        <f>IF(AND(ISNUMBER('Funnel setup'!P162),D149&gt;=30,E149&lt;&gt;"*",D149&lt;&gt;""),F149+3.090232306 *('Funnel setup'!$K$8/SQRT('Funnel Data'!D149)),"")</f>
        <v>25.791064713478708</v>
      </c>
      <c r="K149" s="178" t="str">
        <f>IF(AND(ISNUMBER('Funnel setup'!P162),D149&gt;=30,E149&lt;&gt;"*",D149&lt;&gt;""),IF(E149&gt;J149,'Funnel setup'!$K$15&amp;"99.8%",IF(E149&gt;H149,'Funnel setup'!$K$15&amp;"95%",IF(E149&lt;I149,'Funnel setup'!$K$16&amp;"99.8%",IF(E149&lt;G149,'Funnel setup'!$K$16&amp;"95%","")))),"")</f>
        <v/>
      </c>
    </row>
    <row r="150" spans="2:11" ht="15" customHeight="1" x14ac:dyDescent="0.35">
      <c r="B150" s="174" t="str">
        <f>IF(ISNUMBER('Funnel setup'!P163),VLOOKUP('Funnel setup'!$P163,'Provider Commission - Raw Data'!$A:$Q,5,0),"")</f>
        <v>NTPH5</v>
      </c>
      <c r="C150" s="175" t="str">
        <f>IF(ISNUMBER('Funnel setup'!P163),VLOOKUP('Funnel setup'!P163,'Provider Commission - Raw Data'!$A:$Q,6,0),"")</f>
        <v>PRACTICE PLUS GROUP HOSPITAL - PLYMOUTH (NTPH5)</v>
      </c>
      <c r="D150" s="176">
        <f>IF(ISNUMBER('Funnel setup'!P163),IF(VLOOKUP('Funnel setup'!P163,'Provider Commission - Raw Data'!$A:$Q,8,0)="-","",VLOOKUP('Funnel setup'!P163,'Provider Commission - Raw Data'!$A:$Q,8,0)),"")</f>
        <v>190</v>
      </c>
      <c r="E150" s="251">
        <f>IF(ISNUMBER('Funnel setup'!P163),IF(VLOOKUP('Funnel setup'!P163,'Provider Commission - Raw Data'!$A:$Q,16,0)="-","",VLOOKUP('Funnel setup'!P163,'Provider Commission - Raw Data'!$A:$Q,16,0)),"")</f>
        <v>23.873100000000001</v>
      </c>
      <c r="F150" s="177">
        <f>IF(AND(ISNUMBER('Funnel setup'!P163)),'Funnel setup'!$K$9,"")</f>
        <v>22.515359017022909</v>
      </c>
      <c r="G150" s="177">
        <f>IF(AND(ISNUMBER('Funnel setup'!P163),D150&gt;=30,E150&lt;&gt;"*",D150&lt;&gt;""),F150-1.959963985 *('Funnel setup'!$K$8/SQRT('Funnel Data'!D150)),"")</f>
        <v>21.338159824119924</v>
      </c>
      <c r="H150" s="177">
        <f>IF(AND(ISNUMBER('Funnel setup'!P163),D150&gt;=30,E150&lt;&gt;"*",D150&lt;&gt;""),F150+1.959963985 *('Funnel setup'!$K$8/SQRT('Funnel Data'!D150)),"")</f>
        <v>23.692558209925895</v>
      </c>
      <c r="I150" s="177">
        <f>IF(AND(ISNUMBER('Funnel setup'!P163),D150&gt;=30,E150&lt;&gt;"*",D150&lt;&gt;""),F150-3.090232306 *('Funnel setup'!$K$8/SQRT('Funnel Data'!D150)),"")</f>
        <v>20.659294821789278</v>
      </c>
      <c r="J150" s="177">
        <f>IF(AND(ISNUMBER('Funnel setup'!P163),D150&gt;=30,E150&lt;&gt;"*",D150&lt;&gt;""),F150+3.090232306 *('Funnel setup'!$K$8/SQRT('Funnel Data'!D150)),"")</f>
        <v>24.371423212256541</v>
      </c>
      <c r="K150" s="178" t="str">
        <f>IF(AND(ISNUMBER('Funnel setup'!P163),D150&gt;=30,E150&lt;&gt;"*",D150&lt;&gt;""),IF(E150&gt;J150,'Funnel setup'!$K$15&amp;"99.8%",IF(E150&gt;H150,'Funnel setup'!$K$15&amp;"95%",IF(E150&lt;I150,'Funnel setup'!$K$16&amp;"99.8%",IF(E150&lt;G150,'Funnel setup'!$K$16&amp;"95%","")))),"")</f>
        <v>Upper 95%</v>
      </c>
    </row>
    <row r="151" spans="2:11" ht="15" customHeight="1" x14ac:dyDescent="0.35">
      <c r="B151" s="174" t="str">
        <f>IF(ISNUMBER('Funnel setup'!P164),VLOOKUP('Funnel setup'!$P164,'Provider Commission - Raw Data'!$A:$Q,5,0),"")</f>
        <v>NTPH1</v>
      </c>
      <c r="C151" s="175" t="str">
        <f>IF(ISNUMBER('Funnel setup'!P164),VLOOKUP('Funnel setup'!P164,'Provider Commission - Raw Data'!$A:$Q,6,0),"")</f>
        <v>PRACTICE PLUS GROUP HOSPITAL - SHEPTON MALLET (NTPH1)</v>
      </c>
      <c r="D151" s="176">
        <f>IF(ISNUMBER('Funnel setup'!P164),IF(VLOOKUP('Funnel setup'!P164,'Provider Commission - Raw Data'!$A:$Q,8,0)="-","",VLOOKUP('Funnel setup'!P164,'Provider Commission - Raw Data'!$A:$Q,8,0)),"")</f>
        <v>300</v>
      </c>
      <c r="E151" s="251">
        <f>IF(ISNUMBER('Funnel setup'!P164),IF(VLOOKUP('Funnel setup'!P164,'Provider Commission - Raw Data'!$A:$Q,16,0)="-","",VLOOKUP('Funnel setup'!P164,'Provider Commission - Raw Data'!$A:$Q,16,0)),"")</f>
        <v>23.187799999999999</v>
      </c>
      <c r="F151" s="177">
        <f>IF(AND(ISNUMBER('Funnel setup'!P164)),'Funnel setup'!$K$9,"")</f>
        <v>22.515359017022909</v>
      </c>
      <c r="G151" s="177">
        <f>IF(AND(ISNUMBER('Funnel setup'!P164),D151&gt;=30,E151&lt;&gt;"*",D151&lt;&gt;""),F151-1.959963985 *('Funnel setup'!$K$8/SQRT('Funnel Data'!D151)),"")</f>
        <v>21.578517499730946</v>
      </c>
      <c r="H151" s="177">
        <f>IF(AND(ISNUMBER('Funnel setup'!P164),D151&gt;=30,E151&lt;&gt;"*",D151&lt;&gt;""),F151+1.959963985 *('Funnel setup'!$K$8/SQRT('Funnel Data'!D151)),"")</f>
        <v>23.452200534314873</v>
      </c>
      <c r="I151" s="177">
        <f>IF(AND(ISNUMBER('Funnel setup'!P164),D151&gt;=30,E151&lt;&gt;"*",D151&lt;&gt;""),F151-3.090232306 *('Funnel setup'!$K$8/SQRT('Funnel Data'!D151)),"")</f>
        <v>21.038261506816525</v>
      </c>
      <c r="J151" s="177">
        <f>IF(AND(ISNUMBER('Funnel setup'!P164),D151&gt;=30,E151&lt;&gt;"*",D151&lt;&gt;""),F151+3.090232306 *('Funnel setup'!$K$8/SQRT('Funnel Data'!D151)),"")</f>
        <v>23.992456527229294</v>
      </c>
      <c r="K151" s="178" t="str">
        <f>IF(AND(ISNUMBER('Funnel setup'!P164),D151&gt;=30,E151&lt;&gt;"*",D151&lt;&gt;""),IF(E151&gt;J151,'Funnel setup'!$K$15&amp;"99.8%",IF(E151&gt;H151,'Funnel setup'!$K$15&amp;"95%",IF(E151&lt;I151,'Funnel setup'!$K$16&amp;"99.8%",IF(E151&lt;G151,'Funnel setup'!$K$16&amp;"95%","")))),"")</f>
        <v/>
      </c>
    </row>
    <row r="152" spans="2:11" ht="15" customHeight="1" x14ac:dyDescent="0.35">
      <c r="B152" s="174" t="str">
        <f>IF(ISNUMBER('Funnel setup'!P165),VLOOKUP('Funnel setup'!$P165,'Provider Commission - Raw Data'!$A:$Q,5,0),"")</f>
        <v>NTP11</v>
      </c>
      <c r="C152" s="175" t="str">
        <f>IF(ISNUMBER('Funnel setup'!P165),VLOOKUP('Funnel setup'!P165,'Provider Commission - Raw Data'!$A:$Q,6,0),"")</f>
        <v>PRACTICE PLUS GROUP HOSPITAL - SOUTHAMPTON (NTP11)</v>
      </c>
      <c r="D152" s="176">
        <f>IF(ISNUMBER('Funnel setup'!P165),IF(VLOOKUP('Funnel setup'!P165,'Provider Commission - Raw Data'!$A:$Q,8,0)="-","",VLOOKUP('Funnel setup'!P165,'Provider Commission - Raw Data'!$A:$Q,8,0)),"")</f>
        <v>79</v>
      </c>
      <c r="E152" s="251">
        <f>IF(ISNUMBER('Funnel setup'!P165),IF(VLOOKUP('Funnel setup'!P165,'Provider Commission - Raw Data'!$A:$Q,16,0)="-","",VLOOKUP('Funnel setup'!P165,'Provider Commission - Raw Data'!$A:$Q,16,0)),"")</f>
        <v>22.282599999999999</v>
      </c>
      <c r="F152" s="177">
        <f>IF(AND(ISNUMBER('Funnel setup'!P165)),'Funnel setup'!$K$9,"")</f>
        <v>22.515359017022909</v>
      </c>
      <c r="G152" s="177">
        <f>IF(AND(ISNUMBER('Funnel setup'!P165),D152&gt;=30,E152&lt;&gt;"*",D152&lt;&gt;""),F152-1.959963985 *('Funnel setup'!$K$8/SQRT('Funnel Data'!D152)),"")</f>
        <v>20.689727139047321</v>
      </c>
      <c r="H152" s="177">
        <f>IF(AND(ISNUMBER('Funnel setup'!P165),D152&gt;=30,E152&lt;&gt;"*",D152&lt;&gt;""),F152+1.959963985 *('Funnel setup'!$K$8/SQRT('Funnel Data'!D152)),"")</f>
        <v>24.340990894998498</v>
      </c>
      <c r="I152" s="177">
        <f>IF(AND(ISNUMBER('Funnel setup'!P165),D152&gt;=30,E152&lt;&gt;"*",D152&lt;&gt;""),F152-3.090232306 *('Funnel setup'!$K$8/SQRT('Funnel Data'!D152)),"")</f>
        <v>19.636925203258922</v>
      </c>
      <c r="J152" s="177">
        <f>IF(AND(ISNUMBER('Funnel setup'!P165),D152&gt;=30,E152&lt;&gt;"*",D152&lt;&gt;""),F152+3.090232306 *('Funnel setup'!$K$8/SQRT('Funnel Data'!D152)),"")</f>
        <v>25.393792830786897</v>
      </c>
      <c r="K152" s="178" t="str">
        <f>IF(AND(ISNUMBER('Funnel setup'!P165),D152&gt;=30,E152&lt;&gt;"*",D152&lt;&gt;""),IF(E152&gt;J152,'Funnel setup'!$K$15&amp;"99.8%",IF(E152&gt;H152,'Funnel setup'!$K$15&amp;"95%",IF(E152&lt;I152,'Funnel setup'!$K$16&amp;"99.8%",IF(E152&lt;G152,'Funnel setup'!$K$16&amp;"95%","")))),"")</f>
        <v/>
      </c>
    </row>
    <row r="153" spans="2:11" ht="15" customHeight="1" x14ac:dyDescent="0.35">
      <c r="B153" s="174" t="str">
        <f>IF(ISNUMBER('Funnel setup'!P166),VLOOKUP('Funnel setup'!$P166,'Provider Commission - Raw Data'!$A:$Q,5,0),"")</f>
        <v>NT428</v>
      </c>
      <c r="C153" s="175" t="str">
        <f>IF(ISNUMBER('Funnel setup'!P166),VLOOKUP('Funnel setup'!P166,'Provider Commission - Raw Data'!$A:$Q,6,0),"")</f>
        <v>PRINCESS MARGARET HOSPITAL (NT428)</v>
      </c>
      <c r="D153" s="176" t="str">
        <f>IF(ISNUMBER('Funnel setup'!P166),IF(VLOOKUP('Funnel setup'!P166,'Provider Commission - Raw Data'!$A:$Q,8,0)="-","",VLOOKUP('Funnel setup'!P166,'Provider Commission - Raw Data'!$A:$Q,8,0)),"")</f>
        <v>*</v>
      </c>
      <c r="E153" s="251" t="str">
        <f>IF(ISNUMBER('Funnel setup'!P166),IF(VLOOKUP('Funnel setup'!P166,'Provider Commission - Raw Data'!$A:$Q,16,0)="-","",VLOOKUP('Funnel setup'!P166,'Provider Commission - Raw Data'!$A:$Q,16,0)),"")</f>
        <v>*</v>
      </c>
      <c r="F153" s="177">
        <f>IF(AND(ISNUMBER('Funnel setup'!P166)),'Funnel setup'!$K$9,"")</f>
        <v>22.515359017022909</v>
      </c>
      <c r="G153" s="177" t="str">
        <f>IF(AND(ISNUMBER('Funnel setup'!P166),D153&gt;=30,E153&lt;&gt;"*",D153&lt;&gt;""),F153-1.959963985 *('Funnel setup'!$K$8/SQRT('Funnel Data'!D153)),"")</f>
        <v/>
      </c>
      <c r="H153" s="177" t="str">
        <f>IF(AND(ISNUMBER('Funnel setup'!P166),D153&gt;=30,E153&lt;&gt;"*",D153&lt;&gt;""),F153+1.959963985 *('Funnel setup'!$K$8/SQRT('Funnel Data'!D153)),"")</f>
        <v/>
      </c>
      <c r="I153" s="177" t="str">
        <f>IF(AND(ISNUMBER('Funnel setup'!P166),D153&gt;=30,E153&lt;&gt;"*",D153&lt;&gt;""),F153-3.090232306 *('Funnel setup'!$K$8/SQRT('Funnel Data'!D153)),"")</f>
        <v/>
      </c>
      <c r="J153" s="177" t="str">
        <f>IF(AND(ISNUMBER('Funnel setup'!P166),D153&gt;=30,E153&lt;&gt;"*",D153&lt;&gt;""),F153+3.090232306 *('Funnel setup'!$K$8/SQRT('Funnel Data'!D153)),"")</f>
        <v/>
      </c>
      <c r="K153" s="178" t="str">
        <f>IF(AND(ISNUMBER('Funnel setup'!P166),D153&gt;=30,E153&lt;&gt;"*",D153&lt;&gt;""),IF(E153&gt;J153,'Funnel setup'!$K$15&amp;"99.8%",IF(E153&gt;H153,'Funnel setup'!$K$15&amp;"95%",IF(E153&lt;I153,'Funnel setup'!$K$16&amp;"99.8%",IF(E153&lt;G153,'Funnel setup'!$K$16&amp;"95%","")))),"")</f>
        <v/>
      </c>
    </row>
    <row r="154" spans="2:11" ht="15" customHeight="1" x14ac:dyDescent="0.35">
      <c r="B154" s="174" t="str">
        <f>IF(ISNUMBER('Funnel setup'!P167),VLOOKUP('Funnel setup'!$P167,'Provider Commission - Raw Data'!$A:$Q,5,0),"")</f>
        <v>NT429</v>
      </c>
      <c r="C154" s="175" t="str">
        <f>IF(ISNUMBER('Funnel setup'!P167),VLOOKUP('Funnel setup'!P167,'Provider Commission - Raw Data'!$A:$Q,6,0),"")</f>
        <v>PRIORY HOSPITAL (NT429)</v>
      </c>
      <c r="D154" s="176">
        <f>IF(ISNUMBER('Funnel setup'!P167),IF(VLOOKUP('Funnel setup'!P167,'Provider Commission - Raw Data'!$A:$Q,8,0)="-","",VLOOKUP('Funnel setup'!P167,'Provider Commission - Raw Data'!$A:$Q,8,0)),"")</f>
        <v>11</v>
      </c>
      <c r="E154" s="251" t="str">
        <f>IF(ISNUMBER('Funnel setup'!P167),IF(VLOOKUP('Funnel setup'!P167,'Provider Commission - Raw Data'!$A:$Q,16,0)="-","",VLOOKUP('Funnel setup'!P167,'Provider Commission - Raw Data'!$A:$Q,16,0)),"")</f>
        <v>*</v>
      </c>
      <c r="F154" s="177">
        <f>IF(AND(ISNUMBER('Funnel setup'!P167)),'Funnel setup'!$K$9,"")</f>
        <v>22.515359017022909</v>
      </c>
      <c r="G154" s="177" t="str">
        <f>IF(AND(ISNUMBER('Funnel setup'!P167),D154&gt;=30,E154&lt;&gt;"*",D154&lt;&gt;""),F154-1.959963985 *('Funnel setup'!$K$8/SQRT('Funnel Data'!D154)),"")</f>
        <v/>
      </c>
      <c r="H154" s="177" t="str">
        <f>IF(AND(ISNUMBER('Funnel setup'!P167),D154&gt;=30,E154&lt;&gt;"*",D154&lt;&gt;""),F154+1.959963985 *('Funnel setup'!$K$8/SQRT('Funnel Data'!D154)),"")</f>
        <v/>
      </c>
      <c r="I154" s="177" t="str">
        <f>IF(AND(ISNUMBER('Funnel setup'!P167),D154&gt;=30,E154&lt;&gt;"*",D154&lt;&gt;""),F154-3.090232306 *('Funnel setup'!$K$8/SQRT('Funnel Data'!D154)),"")</f>
        <v/>
      </c>
      <c r="J154" s="177" t="str">
        <f>IF(AND(ISNUMBER('Funnel setup'!P167),D154&gt;=30,E154&lt;&gt;"*",D154&lt;&gt;""),F154+3.090232306 *('Funnel setup'!$K$8/SQRT('Funnel Data'!D154)),"")</f>
        <v/>
      </c>
      <c r="K154" s="178" t="str">
        <f>IF(AND(ISNUMBER('Funnel setup'!P167),D154&gt;=30,E154&lt;&gt;"*",D154&lt;&gt;""),IF(E154&gt;J154,'Funnel setup'!$K$15&amp;"99.8%",IF(E154&gt;H154,'Funnel setup'!$K$15&amp;"95%",IF(E154&lt;I154,'Funnel setup'!$K$16&amp;"99.8%",IF(E154&lt;G154,'Funnel setup'!$K$16&amp;"95%","")))),"")</f>
        <v/>
      </c>
    </row>
    <row r="155" spans="2:11" ht="15" customHeight="1" x14ac:dyDescent="0.35">
      <c r="B155" s="174" t="str">
        <f>IF(ISNUMBER('Funnel setup'!P168),VLOOKUP('Funnel setup'!$P168,'Provider Commission - Raw Data'!$A:$Q,5,0),"")</f>
        <v>NVC16</v>
      </c>
      <c r="C155" s="175" t="str">
        <f>IF(ISNUMBER('Funnel setup'!P168),VLOOKUP('Funnel setup'!P168,'Provider Commission - Raw Data'!$A:$Q,6,0),"")</f>
        <v>RENACRES HOSPITAL (NVC16)</v>
      </c>
      <c r="D155" s="176">
        <f>IF(ISNUMBER('Funnel setup'!P168),IF(VLOOKUP('Funnel setup'!P168,'Provider Commission - Raw Data'!$A:$Q,8,0)="-","",VLOOKUP('Funnel setup'!P168,'Provider Commission - Raw Data'!$A:$Q,8,0)),"")</f>
        <v>83</v>
      </c>
      <c r="E155" s="251">
        <f>IF(ISNUMBER('Funnel setup'!P168),IF(VLOOKUP('Funnel setup'!P168,'Provider Commission - Raw Data'!$A:$Q,16,0)="-","",VLOOKUP('Funnel setup'!P168,'Provider Commission - Raw Data'!$A:$Q,16,0)),"")</f>
        <v>23.238700000000001</v>
      </c>
      <c r="F155" s="177">
        <f>IF(AND(ISNUMBER('Funnel setup'!P168)),'Funnel setup'!$K$9,"")</f>
        <v>22.515359017022909</v>
      </c>
      <c r="G155" s="177">
        <f>IF(AND(ISNUMBER('Funnel setup'!P168),D155&gt;=30,E155&lt;&gt;"*",D155&lt;&gt;""),F155-1.959963985 *('Funnel setup'!$K$8/SQRT('Funnel Data'!D155)),"")</f>
        <v>20.734261451804713</v>
      </c>
      <c r="H155" s="177">
        <f>IF(AND(ISNUMBER('Funnel setup'!P168),D155&gt;=30,E155&lt;&gt;"*",D155&lt;&gt;""),F155+1.959963985 *('Funnel setup'!$K$8/SQRT('Funnel Data'!D155)),"")</f>
        <v>24.296456582241106</v>
      </c>
      <c r="I155" s="177">
        <f>IF(AND(ISNUMBER('Funnel setup'!P168),D155&gt;=30,E155&lt;&gt;"*",D155&lt;&gt;""),F155-3.090232306 *('Funnel setup'!$K$8/SQRT('Funnel Data'!D155)),"")</f>
        <v>19.707141479201567</v>
      </c>
      <c r="J155" s="177">
        <f>IF(AND(ISNUMBER('Funnel setup'!P168),D155&gt;=30,E155&lt;&gt;"*",D155&lt;&gt;""),F155+3.090232306 *('Funnel setup'!$K$8/SQRT('Funnel Data'!D155)),"")</f>
        <v>25.323576554844252</v>
      </c>
      <c r="K155" s="178" t="str">
        <f>IF(AND(ISNUMBER('Funnel setup'!P168),D155&gt;=30,E155&lt;&gt;"*",D155&lt;&gt;""),IF(E155&gt;J155,'Funnel setup'!$K$15&amp;"99.8%",IF(E155&gt;H155,'Funnel setup'!$K$15&amp;"95%",IF(E155&lt;I155,'Funnel setup'!$K$16&amp;"99.8%",IF(E155&lt;G155,'Funnel setup'!$K$16&amp;"95%","")))),"")</f>
        <v/>
      </c>
    </row>
    <row r="156" spans="2:11" ht="15" customHeight="1" x14ac:dyDescent="0.35">
      <c r="B156" s="174" t="str">
        <f>IF(ISNUMBER('Funnel setup'!P169),VLOOKUP('Funnel setup'!$P169,'Provider Commission - Raw Data'!$A:$Q,5,0),"")</f>
        <v>NT430</v>
      </c>
      <c r="C156" s="175" t="str">
        <f>IF(ISNUMBER('Funnel setup'!P169),VLOOKUP('Funnel setup'!P169,'Provider Commission - Raw Data'!$A:$Q,6,0),"")</f>
        <v>RIDGEWAY HOSPITAL (NT430)</v>
      </c>
      <c r="D156" s="176">
        <f>IF(ISNUMBER('Funnel setup'!P169),IF(VLOOKUP('Funnel setup'!P169,'Provider Commission - Raw Data'!$A:$Q,8,0)="-","",VLOOKUP('Funnel setup'!P169,'Provider Commission - Raw Data'!$A:$Q,8,0)),"")</f>
        <v>5</v>
      </c>
      <c r="E156" s="251" t="str">
        <f>IF(ISNUMBER('Funnel setup'!P169),IF(VLOOKUP('Funnel setup'!P169,'Provider Commission - Raw Data'!$A:$Q,16,0)="-","",VLOOKUP('Funnel setup'!P169,'Provider Commission - Raw Data'!$A:$Q,16,0)),"")</f>
        <v>*</v>
      </c>
      <c r="F156" s="177">
        <f>IF(AND(ISNUMBER('Funnel setup'!P169)),'Funnel setup'!$K$9,"")</f>
        <v>22.515359017022909</v>
      </c>
      <c r="G156" s="177" t="str">
        <f>IF(AND(ISNUMBER('Funnel setup'!P169),D156&gt;=30,E156&lt;&gt;"*",D156&lt;&gt;""),F156-1.959963985 *('Funnel setup'!$K$8/SQRT('Funnel Data'!D156)),"")</f>
        <v/>
      </c>
      <c r="H156" s="177" t="str">
        <f>IF(AND(ISNUMBER('Funnel setup'!P169),D156&gt;=30,E156&lt;&gt;"*",D156&lt;&gt;""),F156+1.959963985 *('Funnel setup'!$K$8/SQRT('Funnel Data'!D156)),"")</f>
        <v/>
      </c>
      <c r="I156" s="177" t="str">
        <f>IF(AND(ISNUMBER('Funnel setup'!P169),D156&gt;=30,E156&lt;&gt;"*",D156&lt;&gt;""),F156-3.090232306 *('Funnel setup'!$K$8/SQRT('Funnel Data'!D156)),"")</f>
        <v/>
      </c>
      <c r="J156" s="177" t="str">
        <f>IF(AND(ISNUMBER('Funnel setup'!P169),D156&gt;=30,E156&lt;&gt;"*",D156&lt;&gt;""),F156+3.090232306 *('Funnel setup'!$K$8/SQRT('Funnel Data'!D156)),"")</f>
        <v/>
      </c>
      <c r="K156" s="178" t="str">
        <f>IF(AND(ISNUMBER('Funnel setup'!P169),D156&gt;=30,E156&lt;&gt;"*",D156&lt;&gt;""),IF(E156&gt;J156,'Funnel setup'!$K$15&amp;"99.8%",IF(E156&gt;H156,'Funnel setup'!$K$15&amp;"95%",IF(E156&lt;I156,'Funnel setup'!$K$16&amp;"99.8%",IF(E156&lt;G156,'Funnel setup'!$K$16&amp;"95%","")))),"")</f>
        <v/>
      </c>
    </row>
    <row r="157" spans="2:11" ht="15" customHeight="1" x14ac:dyDescent="0.35">
      <c r="B157" s="174" t="str">
        <f>IF(ISNUMBER('Funnel setup'!P170),VLOOKUP('Funnel setup'!$P170,'Provider Commission - Raw Data'!$A:$Q,5,0),"")</f>
        <v>NVC19</v>
      </c>
      <c r="C157" s="175" t="str">
        <f>IF(ISNUMBER('Funnel setup'!P170),VLOOKUP('Funnel setup'!P170,'Provider Commission - Raw Data'!$A:$Q,6,0),"")</f>
        <v>RIVERS HOSPITAL (NVC19)</v>
      </c>
      <c r="D157" s="176">
        <f>IF(ISNUMBER('Funnel setup'!P170),IF(VLOOKUP('Funnel setup'!P170,'Provider Commission - Raw Data'!$A:$Q,8,0)="-","",VLOOKUP('Funnel setup'!P170,'Provider Commission - Raw Data'!$A:$Q,8,0)),"")</f>
        <v>58</v>
      </c>
      <c r="E157" s="251">
        <f>IF(ISNUMBER('Funnel setup'!P170),IF(VLOOKUP('Funnel setup'!P170,'Provider Commission - Raw Data'!$A:$Q,16,0)="-","",VLOOKUP('Funnel setup'!P170,'Provider Commission - Raw Data'!$A:$Q,16,0)),"")</f>
        <v>23.629000000000001</v>
      </c>
      <c r="F157" s="177">
        <f>IF(AND(ISNUMBER('Funnel setup'!P170)),'Funnel setup'!$K$9,"")</f>
        <v>22.515359017022909</v>
      </c>
      <c r="G157" s="177">
        <f>IF(AND(ISNUMBER('Funnel setup'!P170),D157&gt;=30,E157&lt;&gt;"*",D157&lt;&gt;""),F157-1.959963985 *('Funnel setup'!$K$8/SQRT('Funnel Data'!D157)),"")</f>
        <v>20.384705852815319</v>
      </c>
      <c r="H157" s="177">
        <f>IF(AND(ISNUMBER('Funnel setup'!P170),D157&gt;=30,E157&lt;&gt;"*",D157&lt;&gt;""),F157+1.959963985 *('Funnel setup'!$K$8/SQRT('Funnel Data'!D157)),"")</f>
        <v>24.6460121812305</v>
      </c>
      <c r="I157" s="177">
        <f>IF(AND(ISNUMBER('Funnel setup'!P170),D157&gt;=30,E157&lt;&gt;"*",D157&lt;&gt;""),F157-3.090232306 *('Funnel setup'!$K$8/SQRT('Funnel Data'!D157)),"")</f>
        <v>19.156004819034717</v>
      </c>
      <c r="J157" s="177">
        <f>IF(AND(ISNUMBER('Funnel setup'!P170),D157&gt;=30,E157&lt;&gt;"*",D157&lt;&gt;""),F157+3.090232306 *('Funnel setup'!$K$8/SQRT('Funnel Data'!D157)),"")</f>
        <v>25.874713215011102</v>
      </c>
      <c r="K157" s="178" t="str">
        <f>IF(AND(ISNUMBER('Funnel setup'!P170),D157&gt;=30,E157&lt;&gt;"*",D157&lt;&gt;""),IF(E157&gt;J157,'Funnel setup'!$K$15&amp;"99.8%",IF(E157&gt;H157,'Funnel setup'!$K$15&amp;"95%",IF(E157&lt;I157,'Funnel setup'!$K$16&amp;"99.8%",IF(E157&lt;G157,'Funnel setup'!$K$16&amp;"95%","")))),"")</f>
        <v/>
      </c>
    </row>
    <row r="158" spans="2:11" ht="15" customHeight="1" x14ac:dyDescent="0.35">
      <c r="B158" s="174" t="str">
        <f>IF(ISNUMBER('Funnel setup'!P171),VLOOKUP('Funnel setup'!$P171,'Provider Commission - Raw Data'!$A:$Q,5,0),"")</f>
        <v>NVC17</v>
      </c>
      <c r="C158" s="175" t="str">
        <f>IF(ISNUMBER('Funnel setup'!P171),VLOOKUP('Funnel setup'!P171,'Provider Commission - Raw Data'!$A:$Q,6,0),"")</f>
        <v>ROWLEY HALL HOSPITAL (NVC17)</v>
      </c>
      <c r="D158" s="176">
        <f>IF(ISNUMBER('Funnel setup'!P171),IF(VLOOKUP('Funnel setup'!P171,'Provider Commission - Raw Data'!$A:$Q,8,0)="-","",VLOOKUP('Funnel setup'!P171,'Provider Commission - Raw Data'!$A:$Q,8,0)),"")</f>
        <v>56</v>
      </c>
      <c r="E158" s="251">
        <f>IF(ISNUMBER('Funnel setup'!P171),IF(VLOOKUP('Funnel setup'!P171,'Provider Commission - Raw Data'!$A:$Q,16,0)="-","",VLOOKUP('Funnel setup'!P171,'Provider Commission - Raw Data'!$A:$Q,16,0)),"")</f>
        <v>22.995200000000001</v>
      </c>
      <c r="F158" s="177">
        <f>IF(AND(ISNUMBER('Funnel setup'!P171)),'Funnel setup'!$K$9,"")</f>
        <v>22.515359017022909</v>
      </c>
      <c r="G158" s="177">
        <f>IF(AND(ISNUMBER('Funnel setup'!P171),D158&gt;=30,E158&lt;&gt;"*",D158&lt;&gt;""),F158-1.959963985 *('Funnel setup'!$K$8/SQRT('Funnel Data'!D158)),"")</f>
        <v>20.34699224949712</v>
      </c>
      <c r="H158" s="177">
        <f>IF(AND(ISNUMBER('Funnel setup'!P171),D158&gt;=30,E158&lt;&gt;"*",D158&lt;&gt;""),F158+1.959963985 *('Funnel setup'!$K$8/SQRT('Funnel Data'!D158)),"")</f>
        <v>24.683725784548699</v>
      </c>
      <c r="I158" s="177">
        <f>IF(AND(ISNUMBER('Funnel setup'!P171),D158&gt;=30,E158&lt;&gt;"*",D158&lt;&gt;""),F158-3.090232306 *('Funnel setup'!$K$8/SQRT('Funnel Data'!D158)),"")</f>
        <v>19.09654260634025</v>
      </c>
      <c r="J158" s="177">
        <f>IF(AND(ISNUMBER('Funnel setup'!P171),D158&gt;=30,E158&lt;&gt;"*",D158&lt;&gt;""),F158+3.090232306 *('Funnel setup'!$K$8/SQRT('Funnel Data'!D158)),"")</f>
        <v>25.934175427705568</v>
      </c>
      <c r="K158" s="178" t="str">
        <f>IF(AND(ISNUMBER('Funnel setup'!P171),D158&gt;=30,E158&lt;&gt;"*",D158&lt;&gt;""),IF(E158&gt;J158,'Funnel setup'!$K$15&amp;"99.8%",IF(E158&gt;H158,'Funnel setup'!$K$15&amp;"95%",IF(E158&lt;I158,'Funnel setup'!$K$16&amp;"99.8%",IF(E158&lt;G158,'Funnel setup'!$K$16&amp;"95%","")))),"")</f>
        <v/>
      </c>
    </row>
    <row r="159" spans="2:11" ht="15" customHeight="1" x14ac:dyDescent="0.35">
      <c r="B159" s="174" t="str">
        <f>IF(ISNUMBER('Funnel setup'!P172),VLOOKUP('Funnel setup'!$P172,'Provider Commission - Raw Data'!$A:$Q,5,0),"")</f>
        <v>RHW</v>
      </c>
      <c r="C159" s="175" t="str">
        <f>IF(ISNUMBER('Funnel setup'!P172),VLOOKUP('Funnel setup'!P172,'Provider Commission - Raw Data'!$A:$Q,6,0),"")</f>
        <v>ROYAL BERKSHIRE NHS FOUNDATION TRUST (RHW)</v>
      </c>
      <c r="D159" s="176">
        <f>IF(ISNUMBER('Funnel setup'!P172),IF(VLOOKUP('Funnel setup'!P172,'Provider Commission - Raw Data'!$A:$Q,8,0)="-","",VLOOKUP('Funnel setup'!P172,'Provider Commission - Raw Data'!$A:$Q,8,0)),"")</f>
        <v>4</v>
      </c>
      <c r="E159" s="251" t="str">
        <f>IF(ISNUMBER('Funnel setup'!P172),IF(VLOOKUP('Funnel setup'!P172,'Provider Commission - Raw Data'!$A:$Q,16,0)="-","",VLOOKUP('Funnel setup'!P172,'Provider Commission - Raw Data'!$A:$Q,16,0)),"")</f>
        <v>*</v>
      </c>
      <c r="F159" s="177">
        <f>IF(AND(ISNUMBER('Funnel setup'!P172)),'Funnel setup'!$K$9,"")</f>
        <v>22.515359017022909</v>
      </c>
      <c r="G159" s="177" t="str">
        <f>IF(AND(ISNUMBER('Funnel setup'!P172),D159&gt;=30,E159&lt;&gt;"*",D159&lt;&gt;""),F159-1.959963985 *('Funnel setup'!$K$8/SQRT('Funnel Data'!D159)),"")</f>
        <v/>
      </c>
      <c r="H159" s="177" t="str">
        <f>IF(AND(ISNUMBER('Funnel setup'!P172),D159&gt;=30,E159&lt;&gt;"*",D159&lt;&gt;""),F159+1.959963985 *('Funnel setup'!$K$8/SQRT('Funnel Data'!D159)),"")</f>
        <v/>
      </c>
      <c r="I159" s="177" t="str">
        <f>IF(AND(ISNUMBER('Funnel setup'!P172),D159&gt;=30,E159&lt;&gt;"*",D159&lt;&gt;""),F159-3.090232306 *('Funnel setup'!$K$8/SQRT('Funnel Data'!D159)),"")</f>
        <v/>
      </c>
      <c r="J159" s="177" t="str">
        <f>IF(AND(ISNUMBER('Funnel setup'!P172),D159&gt;=30,E159&lt;&gt;"*",D159&lt;&gt;""),F159+3.090232306 *('Funnel setup'!$K$8/SQRT('Funnel Data'!D159)),"")</f>
        <v/>
      </c>
      <c r="K159" s="178" t="str">
        <f>IF(AND(ISNUMBER('Funnel setup'!P172),D159&gt;=30,E159&lt;&gt;"*",D159&lt;&gt;""),IF(E159&gt;J159,'Funnel setup'!$K$15&amp;"99.8%",IF(E159&gt;H159,'Funnel setup'!$K$15&amp;"95%",IF(E159&lt;I159,'Funnel setup'!$K$16&amp;"99.8%",IF(E159&lt;G159,'Funnel setup'!$K$16&amp;"95%","")))),"")</f>
        <v/>
      </c>
    </row>
    <row r="160" spans="2:11" ht="15" customHeight="1" x14ac:dyDescent="0.35">
      <c r="B160" s="174" t="str">
        <f>IF(ISNUMBER('Funnel setup'!P173),VLOOKUP('Funnel setup'!$P173,'Provider Commission - Raw Data'!$A:$Q,5,0),"")</f>
        <v>REF</v>
      </c>
      <c r="C160" s="175" t="str">
        <f>IF(ISNUMBER('Funnel setup'!P173),VLOOKUP('Funnel setup'!P173,'Provider Commission - Raw Data'!$A:$Q,6,0),"")</f>
        <v>ROYAL CORNWALL HOSPITALS NHS TRUST (REF)</v>
      </c>
      <c r="D160" s="176">
        <f>IF(ISNUMBER('Funnel setup'!P173),IF(VLOOKUP('Funnel setup'!P173,'Provider Commission - Raw Data'!$A:$Q,8,0)="-","",VLOOKUP('Funnel setup'!P173,'Provider Commission - Raw Data'!$A:$Q,8,0)),"")</f>
        <v>57</v>
      </c>
      <c r="E160" s="251">
        <f>IF(ISNUMBER('Funnel setup'!P173),IF(VLOOKUP('Funnel setup'!P173,'Provider Commission - Raw Data'!$A:$Q,16,0)="-","",VLOOKUP('Funnel setup'!P173,'Provider Commission - Raw Data'!$A:$Q,16,0)),"")</f>
        <v>23.055800000000001</v>
      </c>
      <c r="F160" s="177">
        <f>IF(AND(ISNUMBER('Funnel setup'!P173)),'Funnel setup'!$K$9,"")</f>
        <v>22.515359017022909</v>
      </c>
      <c r="G160" s="177">
        <f>IF(AND(ISNUMBER('Funnel setup'!P173),D160&gt;=30,E160&lt;&gt;"*",D160&lt;&gt;""),F160-1.959963985 *('Funnel setup'!$K$8/SQRT('Funnel Data'!D160)),"")</f>
        <v>20.366097174923443</v>
      </c>
      <c r="H160" s="177">
        <f>IF(AND(ISNUMBER('Funnel setup'!P173),D160&gt;=30,E160&lt;&gt;"*",D160&lt;&gt;""),F160+1.959963985 *('Funnel setup'!$K$8/SQRT('Funnel Data'!D160)),"")</f>
        <v>24.664620859122376</v>
      </c>
      <c r="I160" s="177">
        <f>IF(AND(ISNUMBER('Funnel setup'!P173),D160&gt;=30,E160&lt;&gt;"*",D160&lt;&gt;""),F160-3.090232306 *('Funnel setup'!$K$8/SQRT('Funnel Data'!D160)),"")</f>
        <v>19.126664923999133</v>
      </c>
      <c r="J160" s="177">
        <f>IF(AND(ISNUMBER('Funnel setup'!P173),D160&gt;=30,E160&lt;&gt;"*",D160&lt;&gt;""),F160+3.090232306 *('Funnel setup'!$K$8/SQRT('Funnel Data'!D160)),"")</f>
        <v>25.904053110046686</v>
      </c>
      <c r="K160" s="178" t="str">
        <f>IF(AND(ISNUMBER('Funnel setup'!P173),D160&gt;=30,E160&lt;&gt;"*",D160&lt;&gt;""),IF(E160&gt;J160,'Funnel setup'!$K$15&amp;"99.8%",IF(E160&gt;H160,'Funnel setup'!$K$15&amp;"95%",IF(E160&lt;I160,'Funnel setup'!$K$16&amp;"99.8%",IF(E160&lt;G160,'Funnel setup'!$K$16&amp;"95%","")))),"")</f>
        <v/>
      </c>
    </row>
    <row r="161" spans="1:11" ht="15" customHeight="1" x14ac:dyDescent="0.35">
      <c r="B161" s="174" t="str">
        <f>IF(ISNUMBER('Funnel setup'!P174),VLOOKUP('Funnel setup'!$P174,'Provider Commission - Raw Data'!$A:$Q,5,0),"")</f>
        <v>RH8</v>
      </c>
      <c r="C161" s="175" t="str">
        <f>IF(ISNUMBER('Funnel setup'!P174),VLOOKUP('Funnel setup'!P174,'Provider Commission - Raw Data'!$A:$Q,6,0),"")</f>
        <v>ROYAL DEVON UNIVERSITY HEALTHCARE NHS FOUNDATION TRUST (RH8)</v>
      </c>
      <c r="D161" s="176">
        <f>IF(ISNUMBER('Funnel setup'!P174),IF(VLOOKUP('Funnel setup'!P174,'Provider Commission - Raw Data'!$A:$Q,8,0)="-","",VLOOKUP('Funnel setup'!P174,'Provider Commission - Raw Data'!$A:$Q,8,0)),"")</f>
        <v>4</v>
      </c>
      <c r="E161" s="251" t="str">
        <f>IF(ISNUMBER('Funnel setup'!P174),IF(VLOOKUP('Funnel setup'!P174,'Provider Commission - Raw Data'!$A:$Q,16,0)="-","",VLOOKUP('Funnel setup'!P174,'Provider Commission - Raw Data'!$A:$Q,16,0)),"")</f>
        <v>*</v>
      </c>
      <c r="F161" s="177">
        <f>IF(AND(ISNUMBER('Funnel setup'!P174)),'Funnel setup'!$K$9,"")</f>
        <v>22.515359017022909</v>
      </c>
      <c r="G161" s="177" t="str">
        <f>IF(AND(ISNUMBER('Funnel setup'!P174),D161&gt;=30,E161&lt;&gt;"*",D161&lt;&gt;""),F161-1.959963985 *('Funnel setup'!$K$8/SQRT('Funnel Data'!D161)),"")</f>
        <v/>
      </c>
      <c r="H161" s="177" t="str">
        <f>IF(AND(ISNUMBER('Funnel setup'!P174),D161&gt;=30,E161&lt;&gt;"*",D161&lt;&gt;""),F161+1.959963985 *('Funnel setup'!$K$8/SQRT('Funnel Data'!D161)),"")</f>
        <v/>
      </c>
      <c r="I161" s="177" t="str">
        <f>IF(AND(ISNUMBER('Funnel setup'!P174),D161&gt;=30,E161&lt;&gt;"*",D161&lt;&gt;""),F161-3.090232306 *('Funnel setup'!$K$8/SQRT('Funnel Data'!D161)),"")</f>
        <v/>
      </c>
      <c r="J161" s="177" t="str">
        <f>IF(AND(ISNUMBER('Funnel setup'!P174),D161&gt;=30,E161&lt;&gt;"*",D161&lt;&gt;""),F161+3.090232306 *('Funnel setup'!$K$8/SQRT('Funnel Data'!D161)),"")</f>
        <v/>
      </c>
      <c r="K161" s="178" t="str">
        <f>IF(AND(ISNUMBER('Funnel setup'!P174),D161&gt;=30,E161&lt;&gt;"*",D161&lt;&gt;""),IF(E161&gt;J161,'Funnel setup'!$K$15&amp;"99.8%",IF(E161&gt;H161,'Funnel setup'!$K$15&amp;"95%",IF(E161&lt;I161,'Funnel setup'!$K$16&amp;"99.8%",IF(E161&lt;G161,'Funnel setup'!$K$16&amp;"95%","")))),"")</f>
        <v/>
      </c>
    </row>
    <row r="162" spans="1:11" ht="15" customHeight="1" x14ac:dyDescent="0.35">
      <c r="B162" s="174" t="str">
        <f>IF(ISNUMBER('Funnel setup'!P175),VLOOKUP('Funnel setup'!$P175,'Provider Commission - Raw Data'!$A:$Q,5,0),"")</f>
        <v>RAN</v>
      </c>
      <c r="C162" s="175" t="str">
        <f>IF(ISNUMBER('Funnel setup'!P175),VLOOKUP('Funnel setup'!P175,'Provider Commission - Raw Data'!$A:$Q,6,0),"")</f>
        <v>ROYAL NATIONAL ORTHOPAEDIC HOSPITAL NHS TRUST (RAN)</v>
      </c>
      <c r="D162" s="176">
        <f>IF(ISNUMBER('Funnel setup'!P175),IF(VLOOKUP('Funnel setup'!P175,'Provider Commission - Raw Data'!$A:$Q,8,0)="-","",VLOOKUP('Funnel setup'!P175,'Provider Commission - Raw Data'!$A:$Q,8,0)),"")</f>
        <v>93</v>
      </c>
      <c r="E162" s="251">
        <f>IF(ISNUMBER('Funnel setup'!P175),IF(VLOOKUP('Funnel setup'!P175,'Provider Commission - Raw Data'!$A:$Q,16,0)="-","",VLOOKUP('Funnel setup'!P175,'Provider Commission - Raw Data'!$A:$Q,16,0)),"")</f>
        <v>19.752099999999999</v>
      </c>
      <c r="F162" s="177">
        <f>IF(AND(ISNUMBER('Funnel setup'!P175)),'Funnel setup'!$K$9,"")</f>
        <v>22.515359017022909</v>
      </c>
      <c r="G162" s="177">
        <f>IF(AND(ISNUMBER('Funnel setup'!P175),D162&gt;=30,E162&lt;&gt;"*",D162&lt;&gt;""),F162-1.959963985 *('Funnel setup'!$K$8/SQRT('Funnel Data'!D162)),"")</f>
        <v>20.832741980378454</v>
      </c>
      <c r="H162" s="177">
        <f>IF(AND(ISNUMBER('Funnel setup'!P175),D162&gt;=30,E162&lt;&gt;"*",D162&lt;&gt;""),F162+1.959963985 *('Funnel setup'!$K$8/SQRT('Funnel Data'!D162)),"")</f>
        <v>24.197976053667364</v>
      </c>
      <c r="I162" s="177">
        <f>IF(AND(ISNUMBER('Funnel setup'!P175),D162&gt;=30,E162&lt;&gt;"*",D162&lt;&gt;""),F162-3.090232306 *('Funnel setup'!$K$8/SQRT('Funnel Data'!D162)),"")</f>
        <v>19.862413572586757</v>
      </c>
      <c r="J162" s="177">
        <f>IF(AND(ISNUMBER('Funnel setup'!P175),D162&gt;=30,E162&lt;&gt;"*",D162&lt;&gt;""),F162+3.090232306 *('Funnel setup'!$K$8/SQRT('Funnel Data'!D162)),"")</f>
        <v>25.168304461459062</v>
      </c>
      <c r="K162" s="178" t="str">
        <f>IF(AND(ISNUMBER('Funnel setup'!P175),D162&gt;=30,E162&lt;&gt;"*",D162&lt;&gt;""),IF(E162&gt;J162,'Funnel setup'!$K$15&amp;"99.8%",IF(E162&gt;H162,'Funnel setup'!$K$15&amp;"95%",IF(E162&lt;I162,'Funnel setup'!$K$16&amp;"99.8%",IF(E162&lt;G162,'Funnel setup'!$K$16&amp;"95%","")))),"")</f>
        <v>Lower 99.8%</v>
      </c>
    </row>
    <row r="163" spans="1:11" ht="30" customHeight="1" x14ac:dyDescent="0.35">
      <c r="B163" s="174" t="str">
        <f>IF(ISNUMBER('Funnel setup'!P176),VLOOKUP('Funnel setup'!$P176,'Provider Commission - Raw Data'!$A:$Q,5,0),"")</f>
        <v>RA2</v>
      </c>
      <c r="C163" s="175" t="str">
        <f>IF(ISNUMBER('Funnel setup'!P176),VLOOKUP('Funnel setup'!P176,'Provider Commission - Raw Data'!$A:$Q,6,0),"")</f>
        <v>ROYAL SURREY COUNTY HOSPITAL NHS FOUNDATION TRUST (RA2)</v>
      </c>
      <c r="D163" s="176">
        <f>IF(ISNUMBER('Funnel setup'!P176),IF(VLOOKUP('Funnel setup'!P176,'Provider Commission - Raw Data'!$A:$Q,8,0)="-","",VLOOKUP('Funnel setup'!P176,'Provider Commission - Raw Data'!$A:$Q,8,0)),"")</f>
        <v>80</v>
      </c>
      <c r="E163" s="251">
        <f>IF(ISNUMBER('Funnel setup'!P176),IF(VLOOKUP('Funnel setup'!P176,'Provider Commission - Raw Data'!$A:$Q,16,0)="-","",VLOOKUP('Funnel setup'!P176,'Provider Commission - Raw Data'!$A:$Q,16,0)),"")</f>
        <v>21.983499999999999</v>
      </c>
      <c r="F163" s="177">
        <f>IF(AND(ISNUMBER('Funnel setup'!P176)),'Funnel setup'!$K$9,"")</f>
        <v>22.515359017022909</v>
      </c>
      <c r="G163" s="177">
        <f>IF(AND(ISNUMBER('Funnel setup'!P176),D163&gt;=30,E163&lt;&gt;"*",D163&lt;&gt;""),F163-1.959963985 *('Funnel setup'!$K$8/SQRT('Funnel Data'!D163)),"")</f>
        <v>20.701173219769178</v>
      </c>
      <c r="H163" s="177">
        <f>IF(AND(ISNUMBER('Funnel setup'!P176),D163&gt;=30,E163&lt;&gt;"*",D163&lt;&gt;""),F163+1.959963985 *('Funnel setup'!$K$8/SQRT('Funnel Data'!D163)),"")</f>
        <v>24.329544814276641</v>
      </c>
      <c r="I163" s="177">
        <f>IF(AND(ISNUMBER('Funnel setup'!P176),D163&gt;=30,E163&lt;&gt;"*",D163&lt;&gt;""),F163-3.090232306 *('Funnel setup'!$K$8/SQRT('Funnel Data'!D163)),"")</f>
        <v>19.654971988146023</v>
      </c>
      <c r="J163" s="177">
        <f>IF(AND(ISNUMBER('Funnel setup'!P176),D163&gt;=30,E163&lt;&gt;"*",D163&lt;&gt;""),F163+3.090232306 *('Funnel setup'!$K$8/SQRT('Funnel Data'!D163)),"")</f>
        <v>25.375746045899795</v>
      </c>
      <c r="K163" s="178" t="str">
        <f>IF(AND(ISNUMBER('Funnel setup'!P176),D163&gt;=30,E163&lt;&gt;"*",D163&lt;&gt;""),IF(E163&gt;J163,'Funnel setup'!$K$15&amp;"99.8%",IF(E163&gt;H163,'Funnel setup'!$K$15&amp;"95%",IF(E163&lt;I163,'Funnel setup'!$K$16&amp;"99.8%",IF(E163&lt;G163,'Funnel setup'!$K$16&amp;"95%","")))),"")</f>
        <v/>
      </c>
    </row>
    <row r="164" spans="1:11" ht="15" customHeight="1" x14ac:dyDescent="0.35">
      <c r="B164" s="174" t="str">
        <f>IF(ISNUMBER('Funnel setup'!P177),VLOOKUP('Funnel setup'!$P177,'Provider Commission - Raw Data'!$A:$Q,5,0),"")</f>
        <v>RD1</v>
      </c>
      <c r="C164" s="175" t="str">
        <f>IF(ISNUMBER('Funnel setup'!P177),VLOOKUP('Funnel setup'!P177,'Provider Commission - Raw Data'!$A:$Q,6,0),"")</f>
        <v>ROYAL UNITED HOSPITALS BATH NHS FOUNDATION TRUST (RD1)</v>
      </c>
      <c r="D164" s="176">
        <f>IF(ISNUMBER('Funnel setup'!P177),IF(VLOOKUP('Funnel setup'!P177,'Provider Commission - Raw Data'!$A:$Q,8,0)="-","",VLOOKUP('Funnel setup'!P177,'Provider Commission - Raw Data'!$A:$Q,8,0)),"")</f>
        <v>8</v>
      </c>
      <c r="E164" s="251" t="str">
        <f>IF(ISNUMBER('Funnel setup'!P177),IF(VLOOKUP('Funnel setup'!P177,'Provider Commission - Raw Data'!$A:$Q,16,0)="-","",VLOOKUP('Funnel setup'!P177,'Provider Commission - Raw Data'!$A:$Q,16,0)),"")</f>
        <v>*</v>
      </c>
      <c r="F164" s="177">
        <f>IF(AND(ISNUMBER('Funnel setup'!P177)),'Funnel setup'!$K$9,"")</f>
        <v>22.515359017022909</v>
      </c>
      <c r="G164" s="177" t="str">
        <f>IF(AND(ISNUMBER('Funnel setup'!P177),D164&gt;=30,E164&lt;&gt;"*",D164&lt;&gt;""),F164-1.959963985 *('Funnel setup'!$K$8/SQRT('Funnel Data'!D164)),"")</f>
        <v/>
      </c>
      <c r="H164" s="177" t="str">
        <f>IF(AND(ISNUMBER('Funnel setup'!P177),D164&gt;=30,E164&lt;&gt;"*",D164&lt;&gt;""),F164+1.959963985 *('Funnel setup'!$K$8/SQRT('Funnel Data'!D164)),"")</f>
        <v/>
      </c>
      <c r="I164" s="177" t="str">
        <f>IF(AND(ISNUMBER('Funnel setup'!P177),D164&gt;=30,E164&lt;&gt;"*",D164&lt;&gt;""),F164-3.090232306 *('Funnel setup'!$K$8/SQRT('Funnel Data'!D164)),"")</f>
        <v/>
      </c>
      <c r="J164" s="177" t="str">
        <f>IF(AND(ISNUMBER('Funnel setup'!P177),D164&gt;=30,E164&lt;&gt;"*",D164&lt;&gt;""),F164+3.090232306 *('Funnel setup'!$K$8/SQRT('Funnel Data'!D164)),"")</f>
        <v/>
      </c>
      <c r="K164" s="178" t="str">
        <f>IF(AND(ISNUMBER('Funnel setup'!P177),D164&gt;=30,E164&lt;&gt;"*",D164&lt;&gt;""),IF(E164&gt;J164,'Funnel setup'!$K$15&amp;"99.8%",IF(E164&gt;H164,'Funnel setup'!$K$15&amp;"95%",IF(E164&lt;I164,'Funnel setup'!$K$16&amp;"99.8%",IF(E164&lt;G164,'Funnel setup'!$K$16&amp;"95%","")))),"")</f>
        <v/>
      </c>
    </row>
    <row r="165" spans="1:11" ht="15" customHeight="1" x14ac:dyDescent="0.35">
      <c r="B165" s="174" t="str">
        <f>IF(ISNUMBER('Funnel setup'!P178),VLOOKUP('Funnel setup'!$P178,'Provider Commission - Raw Data'!$A:$Q,5,0),"")</f>
        <v>NT431</v>
      </c>
      <c r="C165" s="175" t="str">
        <f>IF(ISNUMBER('Funnel setup'!P178),VLOOKUP('Funnel setup'!P178,'Provider Commission - Raw Data'!$A:$Q,6,0),"")</f>
        <v>RUNNYMEDE HOSPITAL (NT431)</v>
      </c>
      <c r="D165" s="176">
        <f>IF(ISNUMBER('Funnel setup'!P178),IF(VLOOKUP('Funnel setup'!P178,'Provider Commission - Raw Data'!$A:$Q,8,0)="-","",VLOOKUP('Funnel setup'!P178,'Provider Commission - Raw Data'!$A:$Q,8,0)),"")</f>
        <v>6</v>
      </c>
      <c r="E165" s="251" t="str">
        <f>IF(ISNUMBER('Funnel setup'!P178),IF(VLOOKUP('Funnel setup'!P178,'Provider Commission - Raw Data'!$A:$Q,16,0)="-","",VLOOKUP('Funnel setup'!P178,'Provider Commission - Raw Data'!$A:$Q,16,0)),"")</f>
        <v>*</v>
      </c>
      <c r="F165" s="177">
        <f>IF(AND(ISNUMBER('Funnel setup'!P178)),'Funnel setup'!$K$9,"")</f>
        <v>22.515359017022909</v>
      </c>
      <c r="G165" s="177" t="str">
        <f>IF(AND(ISNUMBER('Funnel setup'!P178),D165&gt;=30,E165&lt;&gt;"*",D165&lt;&gt;""),F165-1.959963985 *('Funnel setup'!$K$8/SQRT('Funnel Data'!D165)),"")</f>
        <v/>
      </c>
      <c r="H165" s="177" t="str">
        <f>IF(AND(ISNUMBER('Funnel setup'!P178),D165&gt;=30,E165&lt;&gt;"*",D165&lt;&gt;""),F165+1.959963985 *('Funnel setup'!$K$8/SQRT('Funnel Data'!D165)),"")</f>
        <v/>
      </c>
      <c r="I165" s="177" t="str">
        <f>IF(AND(ISNUMBER('Funnel setup'!P178),D165&gt;=30,E165&lt;&gt;"*",D165&lt;&gt;""),F165-3.090232306 *('Funnel setup'!$K$8/SQRT('Funnel Data'!D165)),"")</f>
        <v/>
      </c>
      <c r="J165" s="177" t="str">
        <f>IF(AND(ISNUMBER('Funnel setup'!P178),D165&gt;=30,E165&lt;&gt;"*",D165&lt;&gt;""),F165+3.090232306 *('Funnel setup'!$K$8/SQRT('Funnel Data'!D165)),"")</f>
        <v/>
      </c>
      <c r="K165" s="178" t="str">
        <f>IF(AND(ISNUMBER('Funnel setup'!P178),D165&gt;=30,E165&lt;&gt;"*",D165&lt;&gt;""),IF(E165&gt;J165,'Funnel setup'!$K$15&amp;"99.8%",IF(E165&gt;H165,'Funnel setup'!$K$15&amp;"95%",IF(E165&lt;I165,'Funnel setup'!$K$16&amp;"99.8%",IF(E165&lt;G165,'Funnel setup'!$K$16&amp;"95%","")))),"")</f>
        <v/>
      </c>
    </row>
    <row r="166" spans="1:11" ht="15" customHeight="1" x14ac:dyDescent="0.35">
      <c r="B166" s="174" t="str">
        <f>IF(ISNUMBER('Funnel setup'!P179),VLOOKUP('Funnel setup'!$P179,'Provider Commission - Raw Data'!$A:$Q,5,0),"")</f>
        <v>RNZ</v>
      </c>
      <c r="C166" s="175" t="str">
        <f>IF(ISNUMBER('Funnel setup'!P179),VLOOKUP('Funnel setup'!P179,'Provider Commission - Raw Data'!$A:$Q,6,0),"")</f>
        <v>SALISBURY NHS FOUNDATION TRUST (RNZ)</v>
      </c>
      <c r="D166" s="176">
        <f>IF(ISNUMBER('Funnel setup'!P179),IF(VLOOKUP('Funnel setup'!P179,'Provider Commission - Raw Data'!$A:$Q,8,0)="-","",VLOOKUP('Funnel setup'!P179,'Provider Commission - Raw Data'!$A:$Q,8,0)),"")</f>
        <v>3</v>
      </c>
      <c r="E166" s="251" t="str">
        <f>IF(ISNUMBER('Funnel setup'!P179),IF(VLOOKUP('Funnel setup'!P179,'Provider Commission - Raw Data'!$A:$Q,16,0)="-","",VLOOKUP('Funnel setup'!P179,'Provider Commission - Raw Data'!$A:$Q,16,0)),"")</f>
        <v>*</v>
      </c>
      <c r="F166" s="177">
        <f>IF(AND(ISNUMBER('Funnel setup'!P179)),'Funnel setup'!$K$9,"")</f>
        <v>22.515359017022909</v>
      </c>
      <c r="G166" s="177" t="str">
        <f>IF(AND(ISNUMBER('Funnel setup'!P179),D166&gt;=30,E166&lt;&gt;"*",D166&lt;&gt;""),F166-1.959963985 *('Funnel setup'!$K$8/SQRT('Funnel Data'!D166)),"")</f>
        <v/>
      </c>
      <c r="H166" s="177" t="str">
        <f>IF(AND(ISNUMBER('Funnel setup'!P179),D166&gt;=30,E166&lt;&gt;"*",D166&lt;&gt;""),F166+1.959963985 *('Funnel setup'!$K$8/SQRT('Funnel Data'!D166)),"")</f>
        <v/>
      </c>
      <c r="I166" s="177" t="str">
        <f>IF(AND(ISNUMBER('Funnel setup'!P179),D166&gt;=30,E166&lt;&gt;"*",D166&lt;&gt;""),F166-3.090232306 *('Funnel setup'!$K$8/SQRT('Funnel Data'!D166)),"")</f>
        <v/>
      </c>
      <c r="J166" s="177" t="str">
        <f>IF(AND(ISNUMBER('Funnel setup'!P179),D166&gt;=30,E166&lt;&gt;"*",D166&lt;&gt;""),F166+3.090232306 *('Funnel setup'!$K$8/SQRT('Funnel Data'!D166)),"")</f>
        <v/>
      </c>
      <c r="K166" s="178" t="str">
        <f>IF(AND(ISNUMBER('Funnel setup'!P179),D166&gt;=30,E166&lt;&gt;"*",D166&lt;&gt;""),IF(E166&gt;J166,'Funnel setup'!$K$15&amp;"99.8%",IF(E166&gt;H166,'Funnel setup'!$K$15&amp;"95%",IF(E166&lt;I166,'Funnel setup'!$K$16&amp;"99.8%",IF(E166&lt;G166,'Funnel setup'!$K$16&amp;"95%","")))),"")</f>
        <v/>
      </c>
    </row>
    <row r="167" spans="1:11" ht="15" customHeight="1" x14ac:dyDescent="0.35">
      <c r="B167" s="174" t="str">
        <f>IF(ISNUMBER('Funnel setup'!P180),VLOOKUP('Funnel setup'!$P180,'Provider Commission - Raw Data'!$A:$Q,5,0),"")</f>
        <v>RXK</v>
      </c>
      <c r="C167" s="175" t="str">
        <f>IF(ISNUMBER('Funnel setup'!P180),VLOOKUP('Funnel setup'!P180,'Provider Commission - Raw Data'!$A:$Q,6,0),"")</f>
        <v>SANDWELL AND WEST BIRMINGHAM HOSPITALS NHS TRUST (RXK)</v>
      </c>
      <c r="D167" s="176">
        <f>IF(ISNUMBER('Funnel setup'!P180),IF(VLOOKUP('Funnel setup'!P180,'Provider Commission - Raw Data'!$A:$Q,8,0)="-","",VLOOKUP('Funnel setup'!P180,'Provider Commission - Raw Data'!$A:$Q,8,0)),"")</f>
        <v>44</v>
      </c>
      <c r="E167" s="251">
        <f>IF(ISNUMBER('Funnel setup'!P180),IF(VLOOKUP('Funnel setup'!P180,'Provider Commission - Raw Data'!$A:$Q,16,0)="-","",VLOOKUP('Funnel setup'!P180,'Provider Commission - Raw Data'!$A:$Q,16,0)),"")</f>
        <v>23.266300000000001</v>
      </c>
      <c r="F167" s="177">
        <f>IF(AND(ISNUMBER('Funnel setup'!P180)),'Funnel setup'!$K$9,"")</f>
        <v>22.515359017022909</v>
      </c>
      <c r="G167" s="177">
        <f>IF(AND(ISNUMBER('Funnel setup'!P180),D167&gt;=30,E167&lt;&gt;"*",D167&lt;&gt;""),F167-1.959963985 *('Funnel setup'!$K$8/SQRT('Funnel Data'!D167)),"")</f>
        <v>20.06911138704044</v>
      </c>
      <c r="H167" s="177">
        <f>IF(AND(ISNUMBER('Funnel setup'!P180),D167&gt;=30,E167&lt;&gt;"*",D167&lt;&gt;""),F167+1.959963985 *('Funnel setup'!$K$8/SQRT('Funnel Data'!D167)),"")</f>
        <v>24.961606647005379</v>
      </c>
      <c r="I167" s="177">
        <f>IF(AND(ISNUMBER('Funnel setup'!P180),D167&gt;=30,E167&lt;&gt;"*",D167&lt;&gt;""),F167-3.090232306 *('Funnel setup'!$K$8/SQRT('Funnel Data'!D167)),"")</f>
        <v>18.658413934102033</v>
      </c>
      <c r="J167" s="177">
        <f>IF(AND(ISNUMBER('Funnel setup'!P180),D167&gt;=30,E167&lt;&gt;"*",D167&lt;&gt;""),F167+3.090232306 *('Funnel setup'!$K$8/SQRT('Funnel Data'!D167)),"")</f>
        <v>26.372304099943786</v>
      </c>
      <c r="K167" s="178" t="str">
        <f>IF(AND(ISNUMBER('Funnel setup'!P180),D167&gt;=30,E167&lt;&gt;"*",D167&lt;&gt;""),IF(E167&gt;J167,'Funnel setup'!$K$15&amp;"99.8%",IF(E167&gt;H167,'Funnel setup'!$K$15&amp;"95%",IF(E167&lt;I167,'Funnel setup'!$K$16&amp;"99.8%",IF(E167&lt;G167,'Funnel setup'!$K$16&amp;"95%","")))),"")</f>
        <v/>
      </c>
    </row>
    <row r="168" spans="1:11" ht="15" customHeight="1" x14ac:dyDescent="0.35">
      <c r="B168" s="174" t="str">
        <f>IF(ISNUMBER('Funnel setup'!P181),VLOOKUP('Funnel setup'!$P181,'Provider Commission - Raw Data'!$A:$Q,5,0),"")</f>
        <v>NT433</v>
      </c>
      <c r="C168" s="175" t="str">
        <f>IF(ISNUMBER('Funnel setup'!P181),VLOOKUP('Funnel setup'!P181,'Provider Commission - Raw Data'!$A:$Q,6,0),"")</f>
        <v>SARUM ROAD HOSPITAL (NT433)</v>
      </c>
      <c r="D168" s="176">
        <f>IF(ISNUMBER('Funnel setup'!P181),IF(VLOOKUP('Funnel setup'!P181,'Provider Commission - Raw Data'!$A:$Q,8,0)="-","",VLOOKUP('Funnel setup'!P181,'Provider Commission - Raw Data'!$A:$Q,8,0)),"")</f>
        <v>36</v>
      </c>
      <c r="E168" s="251">
        <f>IF(ISNUMBER('Funnel setup'!P181),IF(VLOOKUP('Funnel setup'!P181,'Provider Commission - Raw Data'!$A:$Q,16,0)="-","",VLOOKUP('Funnel setup'!P181,'Provider Commission - Raw Data'!$A:$Q,16,0)),"")</f>
        <v>22.3673</v>
      </c>
      <c r="F168" s="177">
        <f>IF(AND(ISNUMBER('Funnel setup'!P181)),'Funnel setup'!$K$9,"")</f>
        <v>22.515359017022909</v>
      </c>
      <c r="G168" s="177">
        <f>IF(AND(ISNUMBER('Funnel setup'!P181),D168&gt;=30,E168&lt;&gt;"*",D168&lt;&gt;""),F168-1.959963985 *('Funnel setup'!$K$8/SQRT('Funnel Data'!D168)),"")</f>
        <v>19.810930506040243</v>
      </c>
      <c r="H168" s="177">
        <f>IF(AND(ISNUMBER('Funnel setup'!P181),D168&gt;=30,E168&lt;&gt;"*",D168&lt;&gt;""),F168+1.959963985 *('Funnel setup'!$K$8/SQRT('Funnel Data'!D168)),"")</f>
        <v>25.219787528005575</v>
      </c>
      <c r="I168" s="177">
        <f>IF(AND(ISNUMBER('Funnel setup'!P181),D168&gt;=30,E168&lt;&gt;"*",D168&lt;&gt;""),F168-3.090232306 *('Funnel setup'!$K$8/SQRT('Funnel Data'!D168)),"")</f>
        <v>18.251345791337997</v>
      </c>
      <c r="J168" s="177">
        <f>IF(AND(ISNUMBER('Funnel setup'!P181),D168&gt;=30,E168&lt;&gt;"*",D168&lt;&gt;""),F168+3.090232306 *('Funnel setup'!$K$8/SQRT('Funnel Data'!D168)),"")</f>
        <v>26.779372242707822</v>
      </c>
      <c r="K168" s="178" t="str">
        <f>IF(AND(ISNUMBER('Funnel setup'!P181),D168&gt;=30,E168&lt;&gt;"*",D168&lt;&gt;""),IF(E168&gt;J168,'Funnel setup'!$K$15&amp;"99.8%",IF(E168&gt;H168,'Funnel setup'!$K$15&amp;"95%",IF(E168&lt;I168,'Funnel setup'!$K$16&amp;"99.8%",IF(E168&lt;G168,'Funnel setup'!$K$16&amp;"95%","")))),"")</f>
        <v/>
      </c>
    </row>
    <row r="169" spans="1:11" ht="15" customHeight="1" x14ac:dyDescent="0.35">
      <c r="B169" s="174" t="str">
        <f>IF(ISNUMBER('Funnel setup'!P182),VLOOKUP('Funnel setup'!$P182,'Provider Commission - Raw Data'!$A:$Q,5,0),"")</f>
        <v>NT434</v>
      </c>
      <c r="C169" s="175" t="str">
        <f>IF(ISNUMBER('Funnel setup'!P182),VLOOKUP('Funnel setup'!P182,'Provider Commission - Raw Data'!$A:$Q,6,0),"")</f>
        <v>SAXON CLINIC (NT434)</v>
      </c>
      <c r="D169" s="176">
        <f>IF(ISNUMBER('Funnel setup'!P182),IF(VLOOKUP('Funnel setup'!P182,'Provider Commission - Raw Data'!$A:$Q,8,0)="-","",VLOOKUP('Funnel setup'!P182,'Provider Commission - Raw Data'!$A:$Q,8,0)),"")</f>
        <v>19</v>
      </c>
      <c r="E169" s="251" t="str">
        <f>IF(ISNUMBER('Funnel setup'!P182),IF(VLOOKUP('Funnel setup'!P182,'Provider Commission - Raw Data'!$A:$Q,16,0)="-","",VLOOKUP('Funnel setup'!P182,'Provider Commission - Raw Data'!$A:$Q,16,0)),"")</f>
        <v>*</v>
      </c>
      <c r="F169" s="177">
        <f>IF(AND(ISNUMBER('Funnel setup'!P182)),'Funnel setup'!$K$9,"")</f>
        <v>22.515359017022909</v>
      </c>
      <c r="G169" s="177" t="str">
        <f>IF(AND(ISNUMBER('Funnel setup'!P182),D169&gt;=30,E169&lt;&gt;"*",D169&lt;&gt;""),F169-1.959963985 *('Funnel setup'!$K$8/SQRT('Funnel Data'!D169)),"")</f>
        <v/>
      </c>
      <c r="H169" s="177" t="str">
        <f>IF(AND(ISNUMBER('Funnel setup'!P182),D169&gt;=30,E169&lt;&gt;"*",D169&lt;&gt;""),F169+1.959963985 *('Funnel setup'!$K$8/SQRT('Funnel Data'!D169)),"")</f>
        <v/>
      </c>
      <c r="I169" s="177" t="str">
        <f>IF(AND(ISNUMBER('Funnel setup'!P182),D169&gt;=30,E169&lt;&gt;"*",D169&lt;&gt;""),F169-3.090232306 *('Funnel setup'!$K$8/SQRT('Funnel Data'!D169)),"")</f>
        <v/>
      </c>
      <c r="J169" s="177" t="str">
        <f>IF(AND(ISNUMBER('Funnel setup'!P182),D169&gt;=30,E169&lt;&gt;"*",D169&lt;&gt;""),F169+3.090232306 *('Funnel setup'!$K$8/SQRT('Funnel Data'!D169)),"")</f>
        <v/>
      </c>
      <c r="K169" s="178" t="str">
        <f>IF(AND(ISNUMBER('Funnel setup'!P182),D169&gt;=30,E169&lt;&gt;"*",D169&lt;&gt;""),IF(E169&gt;J169,'Funnel setup'!$K$15&amp;"99.8%",IF(E169&gt;H169,'Funnel setup'!$K$15&amp;"95%",IF(E169&lt;I169,'Funnel setup'!$K$16&amp;"99.8%",IF(E169&lt;G169,'Funnel setup'!$K$16&amp;"95%","")))),"")</f>
        <v/>
      </c>
    </row>
    <row r="170" spans="1:11" ht="15" customHeight="1" x14ac:dyDescent="0.35">
      <c r="B170" s="174" t="str">
        <f>IF(ISNUMBER('Funnel setup'!P183),VLOOKUP('Funnel setup'!$P183,'Provider Commission - Raw Data'!$A:$Q,5,0),"")</f>
        <v>RHQ</v>
      </c>
      <c r="C170" s="175" t="str">
        <f>IF(ISNUMBER('Funnel setup'!P183),VLOOKUP('Funnel setup'!P183,'Provider Commission - Raw Data'!$A:$Q,6,0),"")</f>
        <v>SHEFFIELD TEACHING HOSPITALS NHS FOUNDATION TRUST (RHQ)</v>
      </c>
      <c r="D170" s="176">
        <f>IF(ISNUMBER('Funnel setup'!P183),IF(VLOOKUP('Funnel setup'!P183,'Provider Commission - Raw Data'!$A:$Q,8,0)="-","",VLOOKUP('Funnel setup'!P183,'Provider Commission - Raw Data'!$A:$Q,8,0)),"")</f>
        <v>34</v>
      </c>
      <c r="E170" s="251">
        <f>IF(ISNUMBER('Funnel setup'!P183),IF(VLOOKUP('Funnel setup'!P183,'Provider Commission - Raw Data'!$A:$Q,16,0)="-","",VLOOKUP('Funnel setup'!P183,'Provider Commission - Raw Data'!$A:$Q,16,0)),"")</f>
        <v>21.664100000000001</v>
      </c>
      <c r="F170" s="177">
        <f>IF(AND(ISNUMBER('Funnel setup'!P183)),'Funnel setup'!$K$9,"")</f>
        <v>22.515359017022909</v>
      </c>
      <c r="G170" s="177">
        <f>IF(AND(ISNUMBER('Funnel setup'!P183),D170&gt;=30,E170&lt;&gt;"*",D170&lt;&gt;""),F170-1.959963985 *('Funnel setup'!$K$8/SQRT('Funnel Data'!D170)),"")</f>
        <v>19.732525037507376</v>
      </c>
      <c r="H170" s="177">
        <f>IF(AND(ISNUMBER('Funnel setup'!P183),D170&gt;=30,E170&lt;&gt;"*",D170&lt;&gt;""),F170+1.959963985 *('Funnel setup'!$K$8/SQRT('Funnel Data'!D170)),"")</f>
        <v>25.298192996538443</v>
      </c>
      <c r="I170" s="177">
        <f>IF(AND(ISNUMBER('Funnel setup'!P183),D170&gt;=30,E170&lt;&gt;"*",D170&lt;&gt;""),F170-3.090232306 *('Funnel setup'!$K$8/SQRT('Funnel Data'!D170)),"")</f>
        <v>18.12772560561946</v>
      </c>
      <c r="J170" s="177">
        <f>IF(AND(ISNUMBER('Funnel setup'!P183),D170&gt;=30,E170&lt;&gt;"*",D170&lt;&gt;""),F170+3.090232306 *('Funnel setup'!$K$8/SQRT('Funnel Data'!D170)),"")</f>
        <v>26.902992428426359</v>
      </c>
      <c r="K170" s="178" t="str">
        <f>IF(AND(ISNUMBER('Funnel setup'!P183),D170&gt;=30,E170&lt;&gt;"*",D170&lt;&gt;""),IF(E170&gt;J170,'Funnel setup'!$K$15&amp;"99.8%",IF(E170&gt;H170,'Funnel setup'!$K$15&amp;"95%",IF(E170&lt;I170,'Funnel setup'!$K$16&amp;"99.8%",IF(E170&lt;G170,'Funnel setup'!$K$16&amp;"95%","")))),"")</f>
        <v/>
      </c>
    </row>
    <row r="171" spans="1:11" ht="15" customHeight="1" x14ac:dyDescent="0.35">
      <c r="B171" s="174" t="str">
        <f>IF(ISNUMBER('Funnel setup'!P184),VLOOKUP('Funnel setup'!$P184,'Provider Commission - Raw Data'!$A:$Q,5,0),"")</f>
        <v>RK5</v>
      </c>
      <c r="C171" s="175" t="str">
        <f>IF(ISNUMBER('Funnel setup'!P184),VLOOKUP('Funnel setup'!P184,'Provider Commission - Raw Data'!$A:$Q,6,0),"")</f>
        <v>SHERWOOD FOREST HOSPITALS NHS FOUNDATION TRUST (RK5)</v>
      </c>
      <c r="D171" s="176">
        <f>IF(ISNUMBER('Funnel setup'!P184),IF(VLOOKUP('Funnel setup'!P184,'Provider Commission - Raw Data'!$A:$Q,8,0)="-","",VLOOKUP('Funnel setup'!P184,'Provider Commission - Raw Data'!$A:$Q,8,0)),"")</f>
        <v>77</v>
      </c>
      <c r="E171" s="251">
        <f>IF(ISNUMBER('Funnel setup'!P184),IF(VLOOKUP('Funnel setup'!P184,'Provider Commission - Raw Data'!$A:$Q,16,0)="-","",VLOOKUP('Funnel setup'!P184,'Provider Commission - Raw Data'!$A:$Q,16,0)),"")</f>
        <v>23.546399999999998</v>
      </c>
      <c r="F171" s="177">
        <f>IF(AND(ISNUMBER('Funnel setup'!P184)),'Funnel setup'!$K$9,"")</f>
        <v>22.515359017022909</v>
      </c>
      <c r="G171" s="177">
        <f>IF(AND(ISNUMBER('Funnel setup'!P184),D171&gt;=30,E171&lt;&gt;"*",D171&lt;&gt;""),F171-1.959963985 *('Funnel setup'!$K$8/SQRT('Funnel Data'!D171)),"")</f>
        <v>20.666169624390122</v>
      </c>
      <c r="H171" s="177">
        <f>IF(AND(ISNUMBER('Funnel setup'!P184),D171&gt;=30,E171&lt;&gt;"*",D171&lt;&gt;""),F171+1.959963985 *('Funnel setup'!$K$8/SQRT('Funnel Data'!D171)),"")</f>
        <v>24.364548409655697</v>
      </c>
      <c r="I171" s="177">
        <f>IF(AND(ISNUMBER('Funnel setup'!P184),D171&gt;=30,E171&lt;&gt;"*",D171&lt;&gt;""),F171-3.090232306 *('Funnel setup'!$K$8/SQRT('Funnel Data'!D171)),"")</f>
        <v>19.599782585639471</v>
      </c>
      <c r="J171" s="177">
        <f>IF(AND(ISNUMBER('Funnel setup'!P184),D171&gt;=30,E171&lt;&gt;"*",D171&lt;&gt;""),F171+3.090232306 *('Funnel setup'!$K$8/SQRT('Funnel Data'!D171)),"")</f>
        <v>25.430935448406348</v>
      </c>
      <c r="K171" s="178" t="str">
        <f>IF(AND(ISNUMBER('Funnel setup'!P184),D171&gt;=30,E171&lt;&gt;"*",D171&lt;&gt;""),IF(E171&gt;J171,'Funnel setup'!$K$15&amp;"99.8%",IF(E171&gt;H171,'Funnel setup'!$K$15&amp;"95%",IF(E171&lt;I171,'Funnel setup'!$K$16&amp;"99.8%",IF(E171&lt;G171,'Funnel setup'!$K$16&amp;"95%","")))),"")</f>
        <v/>
      </c>
    </row>
    <row r="172" spans="1:11" ht="15" customHeight="1" x14ac:dyDescent="0.35">
      <c r="B172" s="174" t="str">
        <f>IF(ISNUMBER('Funnel setup'!P185),VLOOKUP('Funnel setup'!$P185,'Provider Commission - Raw Data'!$A:$Q,5,0),"")</f>
        <v>NT436</v>
      </c>
      <c r="C172" s="175" t="str">
        <f>IF(ISNUMBER('Funnel setup'!P185),VLOOKUP('Funnel setup'!P185,'Provider Commission - Raw Data'!$A:$Q,6,0),"")</f>
        <v>SHIRLEY OAKS HOSPITAL (NT436)</v>
      </c>
      <c r="D172" s="176">
        <f>IF(ISNUMBER('Funnel setup'!P185),IF(VLOOKUP('Funnel setup'!P185,'Provider Commission - Raw Data'!$A:$Q,8,0)="-","",VLOOKUP('Funnel setup'!P185,'Provider Commission - Raw Data'!$A:$Q,8,0)),"")</f>
        <v>2</v>
      </c>
      <c r="E172" s="251" t="str">
        <f>IF(ISNUMBER('Funnel setup'!P185),IF(VLOOKUP('Funnel setup'!P185,'Provider Commission - Raw Data'!$A:$Q,16,0)="-","",VLOOKUP('Funnel setup'!P185,'Provider Commission - Raw Data'!$A:$Q,16,0)),"")</f>
        <v>*</v>
      </c>
      <c r="F172" s="177">
        <f>IF(AND(ISNUMBER('Funnel setup'!P185)),'Funnel setup'!$K$9,"")</f>
        <v>22.515359017022909</v>
      </c>
      <c r="G172" s="177" t="str">
        <f>IF(AND(ISNUMBER('Funnel setup'!P185),D172&gt;=30,E172&lt;&gt;"*",D172&lt;&gt;""),F172-1.959963985 *('Funnel setup'!$K$8/SQRT('Funnel Data'!D172)),"")</f>
        <v/>
      </c>
      <c r="H172" s="177" t="str">
        <f>IF(AND(ISNUMBER('Funnel setup'!P185),D172&gt;=30,E172&lt;&gt;"*",D172&lt;&gt;""),F172+1.959963985 *('Funnel setup'!$K$8/SQRT('Funnel Data'!D172)),"")</f>
        <v/>
      </c>
      <c r="I172" s="177" t="str">
        <f>IF(AND(ISNUMBER('Funnel setup'!P185),D172&gt;=30,E172&lt;&gt;"*",D172&lt;&gt;""),F172-3.090232306 *('Funnel setup'!$K$8/SQRT('Funnel Data'!D172)),"")</f>
        <v/>
      </c>
      <c r="J172" s="177" t="str">
        <f>IF(AND(ISNUMBER('Funnel setup'!P185),D172&gt;=30,E172&lt;&gt;"*",D172&lt;&gt;""),F172+3.090232306 *('Funnel setup'!$K$8/SQRT('Funnel Data'!D172)),"")</f>
        <v/>
      </c>
      <c r="K172" s="178" t="str">
        <f>IF(AND(ISNUMBER('Funnel setup'!P185),D172&gt;=30,E172&lt;&gt;"*",D172&lt;&gt;""),IF(E172&gt;J172,'Funnel setup'!$K$15&amp;"99.8%",IF(E172&gt;H172,'Funnel setup'!$K$15&amp;"95%",IF(E172&lt;I172,'Funnel setup'!$K$16&amp;"99.8%",IF(E172&lt;G172,'Funnel setup'!$K$16&amp;"95%","")))),"")</f>
        <v/>
      </c>
    </row>
    <row r="173" spans="1:11" s="65" customFormat="1" ht="15" customHeight="1" x14ac:dyDescent="0.35">
      <c r="A173" s="154"/>
      <c r="B173" s="174" t="str">
        <f>IF(ISNUMBER('Funnel setup'!P186),VLOOKUP('Funnel setup'!$P186,'Provider Commission - Raw Data'!$A:$Q,5,0),"")</f>
        <v>NT437</v>
      </c>
      <c r="C173" s="175" t="str">
        <f>IF(ISNUMBER('Funnel setup'!P186),VLOOKUP('Funnel setup'!P186,'Provider Commission - Raw Data'!$A:$Q,6,0),"")</f>
        <v>SLOANE HOSPITAL (NT437)</v>
      </c>
      <c r="D173" s="176">
        <f>IF(ISNUMBER('Funnel setup'!P186),IF(VLOOKUP('Funnel setup'!P186,'Provider Commission - Raw Data'!$A:$Q,8,0)="-","",VLOOKUP('Funnel setup'!P186,'Provider Commission - Raw Data'!$A:$Q,8,0)),"")</f>
        <v>2</v>
      </c>
      <c r="E173" s="251" t="str">
        <f>IF(ISNUMBER('Funnel setup'!P186),IF(VLOOKUP('Funnel setup'!P186,'Provider Commission - Raw Data'!$A:$Q,16,0)="-","",VLOOKUP('Funnel setup'!P186,'Provider Commission - Raw Data'!$A:$Q,16,0)),"")</f>
        <v>*</v>
      </c>
      <c r="F173" s="177">
        <f>IF(AND(ISNUMBER('Funnel setup'!P186)),'Funnel setup'!$K$9,"")</f>
        <v>22.515359017022909</v>
      </c>
      <c r="G173" s="177" t="str">
        <f>IF(AND(ISNUMBER('Funnel setup'!P186),D173&gt;=30,E173&lt;&gt;"*",D173&lt;&gt;""),F173-1.959963985 *('Funnel setup'!$K$8/SQRT('Funnel Data'!D173)),"")</f>
        <v/>
      </c>
      <c r="H173" s="177" t="str">
        <f>IF(AND(ISNUMBER('Funnel setup'!P186),D173&gt;=30,E173&lt;&gt;"*",D173&lt;&gt;""),F173+1.959963985 *('Funnel setup'!$K$8/SQRT('Funnel Data'!D173)),"")</f>
        <v/>
      </c>
      <c r="I173" s="177" t="str">
        <f>IF(AND(ISNUMBER('Funnel setup'!P186),D173&gt;=30,E173&lt;&gt;"*",D173&lt;&gt;""),F173-3.090232306 *('Funnel setup'!$K$8/SQRT('Funnel Data'!D173)),"")</f>
        <v/>
      </c>
      <c r="J173" s="177" t="str">
        <f>IF(AND(ISNUMBER('Funnel setup'!P186),D173&gt;=30,E173&lt;&gt;"*",D173&lt;&gt;""),F173+3.090232306 *('Funnel setup'!$K$8/SQRT('Funnel Data'!D173)),"")</f>
        <v/>
      </c>
      <c r="K173" s="178" t="str">
        <f>IF(AND(ISNUMBER('Funnel setup'!P186),D173&gt;=30,E173&lt;&gt;"*",D173&lt;&gt;""),IF(E173&gt;J173,'Funnel setup'!$K$15&amp;"99.8%",IF(E173&gt;H173,'Funnel setup'!$K$15&amp;"95%",IF(E173&lt;I173,'Funnel setup'!$K$16&amp;"99.8%",IF(E173&lt;G173,'Funnel setup'!$K$16&amp;"95%","")))),"")</f>
        <v/>
      </c>
    </row>
    <row r="174" spans="1:11" ht="15" customHeight="1" x14ac:dyDescent="0.35">
      <c r="B174" s="174" t="str">
        <f>IF(ISNUMBER('Funnel setup'!P187),VLOOKUP('Funnel setup'!$P187,'Provider Commission - Raw Data'!$A:$Q,5,0),"")</f>
        <v>RTR</v>
      </c>
      <c r="C174" s="175" t="str">
        <f>IF(ISNUMBER('Funnel setup'!P187),VLOOKUP('Funnel setup'!P187,'Provider Commission - Raw Data'!$A:$Q,6,0),"")</f>
        <v>SOUTH TEES HOSPITALS NHS FOUNDATION TRUST (RTR)</v>
      </c>
      <c r="D174" s="176">
        <f>IF(ISNUMBER('Funnel setup'!P187),IF(VLOOKUP('Funnel setup'!P187,'Provider Commission - Raw Data'!$A:$Q,8,0)="-","",VLOOKUP('Funnel setup'!P187,'Provider Commission - Raw Data'!$A:$Q,8,0)),"")</f>
        <v>192</v>
      </c>
      <c r="E174" s="251">
        <f>IF(ISNUMBER('Funnel setup'!P187),IF(VLOOKUP('Funnel setup'!P187,'Provider Commission - Raw Data'!$A:$Q,16,0)="-","",VLOOKUP('Funnel setup'!P187,'Provider Commission - Raw Data'!$A:$Q,16,0)),"")</f>
        <v>24.070900000000002</v>
      </c>
      <c r="F174" s="177">
        <f>IF(AND(ISNUMBER('Funnel setup'!P187)),'Funnel setup'!$K$9,"")</f>
        <v>22.515359017022909</v>
      </c>
      <c r="G174" s="177">
        <f>IF(AND(ISNUMBER('Funnel setup'!P187),D174&gt;=30,E174&lt;&gt;"*",D174&lt;&gt;""),F174-1.959963985 *('Funnel setup'!$K$8/SQRT('Funnel Data'!D174)),"")</f>
        <v>21.344307120407954</v>
      </c>
      <c r="H174" s="177">
        <f>IF(AND(ISNUMBER('Funnel setup'!P187),D174&gt;=30,E174&lt;&gt;"*",D174&lt;&gt;""),F174+1.959963985 *('Funnel setup'!$K$8/SQRT('Funnel Data'!D174)),"")</f>
        <v>23.686410913637864</v>
      </c>
      <c r="I174" s="177">
        <f>IF(AND(ISNUMBER('Funnel setup'!P187),D174&gt;=30,E174&lt;&gt;"*",D174&lt;&gt;""),F174-3.090232306 *('Funnel setup'!$K$8/SQRT('Funnel Data'!D174)),"")</f>
        <v>20.668987129264927</v>
      </c>
      <c r="J174" s="177">
        <f>IF(AND(ISNUMBER('Funnel setup'!P187),D174&gt;=30,E174&lt;&gt;"*",D174&lt;&gt;""),F174+3.090232306 *('Funnel setup'!$K$8/SQRT('Funnel Data'!D174)),"")</f>
        <v>24.361730904780892</v>
      </c>
      <c r="K174" s="178" t="str">
        <f>IF(AND(ISNUMBER('Funnel setup'!P187),D174&gt;=30,E174&lt;&gt;"*",D174&lt;&gt;""),IF(E174&gt;J174,'Funnel setup'!$K$15&amp;"99.8%",IF(E174&gt;H174,'Funnel setup'!$K$15&amp;"95%",IF(E174&lt;I174,'Funnel setup'!$K$16&amp;"99.8%",IF(E174&lt;G174,'Funnel setup'!$K$16&amp;"95%","")))),"")</f>
        <v>Upper 95%</v>
      </c>
    </row>
    <row r="175" spans="1:11" ht="15" customHeight="1" x14ac:dyDescent="0.35">
      <c r="B175" s="174" t="str">
        <f>IF(ISNUMBER('Funnel setup'!P188),VLOOKUP('Funnel setup'!$P188,'Provider Commission - Raw Data'!$A:$Q,5,0),"")</f>
        <v>R0B</v>
      </c>
      <c r="C175" s="175" t="str">
        <f>IF(ISNUMBER('Funnel setup'!P188),VLOOKUP('Funnel setup'!P188,'Provider Commission - Raw Data'!$A:$Q,6,0),"")</f>
        <v>SOUTH TYNESIDE AND SUNDERLAND NHS FOUNDATION TRUST (R0B)</v>
      </c>
      <c r="D175" s="176">
        <f>IF(ISNUMBER('Funnel setup'!P188),IF(VLOOKUP('Funnel setup'!P188,'Provider Commission - Raw Data'!$A:$Q,8,0)="-","",VLOOKUP('Funnel setup'!P188,'Provider Commission - Raw Data'!$A:$Q,8,0)),"")</f>
        <v>28</v>
      </c>
      <c r="E175" s="251" t="str">
        <f>IF(ISNUMBER('Funnel setup'!P188),IF(VLOOKUP('Funnel setup'!P188,'Provider Commission - Raw Data'!$A:$Q,16,0)="-","",VLOOKUP('Funnel setup'!P188,'Provider Commission - Raw Data'!$A:$Q,16,0)),"")</f>
        <v>*</v>
      </c>
      <c r="F175" s="177">
        <f>IF(AND(ISNUMBER('Funnel setup'!P188)),'Funnel setup'!$K$9,"")</f>
        <v>22.515359017022909</v>
      </c>
      <c r="G175" s="177" t="str">
        <f>IF(AND(ISNUMBER('Funnel setup'!P188),D175&gt;=30,E175&lt;&gt;"*",D175&lt;&gt;""),F175-1.959963985 *('Funnel setup'!$K$8/SQRT('Funnel Data'!D175)),"")</f>
        <v/>
      </c>
      <c r="H175" s="177" t="str">
        <f>IF(AND(ISNUMBER('Funnel setup'!P188),D175&gt;=30,E175&lt;&gt;"*",D175&lt;&gt;""),F175+1.959963985 *('Funnel setup'!$K$8/SQRT('Funnel Data'!D175)),"")</f>
        <v/>
      </c>
      <c r="I175" s="177" t="str">
        <f>IF(AND(ISNUMBER('Funnel setup'!P188),D175&gt;=30,E175&lt;&gt;"*",D175&lt;&gt;""),F175-3.090232306 *('Funnel setup'!$K$8/SQRT('Funnel Data'!D175)),"")</f>
        <v/>
      </c>
      <c r="J175" s="177" t="str">
        <f>IF(AND(ISNUMBER('Funnel setup'!P188),D175&gt;=30,E175&lt;&gt;"*",D175&lt;&gt;""),F175+3.090232306 *('Funnel setup'!$K$8/SQRT('Funnel Data'!D175)),"")</f>
        <v/>
      </c>
      <c r="K175" s="178" t="str">
        <f>IF(AND(ISNUMBER('Funnel setup'!P188),D175&gt;=30,E175&lt;&gt;"*",D175&lt;&gt;""),IF(E175&gt;J175,'Funnel setup'!$K$15&amp;"99.8%",IF(E175&gt;H175,'Funnel setup'!$K$15&amp;"95%",IF(E175&lt;I175,'Funnel setup'!$K$16&amp;"99.8%",IF(E175&lt;G175,'Funnel setup'!$K$16&amp;"95%","")))),"")</f>
        <v/>
      </c>
    </row>
    <row r="176" spans="1:11" ht="15" customHeight="1" x14ac:dyDescent="0.35">
      <c r="B176" s="174" t="str">
        <f>IF(ISNUMBER('Funnel setup'!P189),VLOOKUP('Funnel setup'!$P189,'Provider Commission - Raw Data'!$A:$Q,5,0),"")</f>
        <v>RJC</v>
      </c>
      <c r="C176" s="175" t="str">
        <f>IF(ISNUMBER('Funnel setup'!P189),VLOOKUP('Funnel setup'!P189,'Provider Commission - Raw Data'!$A:$Q,6,0),"")</f>
        <v>SOUTH WARWICKSHIRE UNIVERSITY NHS FOUNDATION TRUST (RJC)</v>
      </c>
      <c r="D176" s="176">
        <f>IF(ISNUMBER('Funnel setup'!P189),IF(VLOOKUP('Funnel setup'!P189,'Provider Commission - Raw Data'!$A:$Q,8,0)="-","",VLOOKUP('Funnel setup'!P189,'Provider Commission - Raw Data'!$A:$Q,8,0)),"")</f>
        <v>196</v>
      </c>
      <c r="E176" s="251">
        <f>IF(ISNUMBER('Funnel setup'!P189),IF(VLOOKUP('Funnel setup'!P189,'Provider Commission - Raw Data'!$A:$Q,16,0)="-","",VLOOKUP('Funnel setup'!P189,'Provider Commission - Raw Data'!$A:$Q,16,0)),"")</f>
        <v>21.2852</v>
      </c>
      <c r="F176" s="177">
        <f>IF(AND(ISNUMBER('Funnel setup'!P189)),'Funnel setup'!$K$9,"")</f>
        <v>22.515359017022909</v>
      </c>
      <c r="G176" s="177">
        <f>IF(AND(ISNUMBER('Funnel setup'!P189),D176&gt;=30,E176&lt;&gt;"*",D176&lt;&gt;""),F176-1.959963985 *('Funnel setup'!$K$8/SQRT('Funnel Data'!D176)),"")</f>
        <v>21.356318226601768</v>
      </c>
      <c r="H176" s="177">
        <f>IF(AND(ISNUMBER('Funnel setup'!P189),D176&gt;=30,E176&lt;&gt;"*",D176&lt;&gt;""),F176+1.959963985 *('Funnel setup'!$K$8/SQRT('Funnel Data'!D176)),"")</f>
        <v>23.67439980744405</v>
      </c>
      <c r="I176" s="177">
        <f>IF(AND(ISNUMBER('Funnel setup'!P189),D176&gt;=30,E176&lt;&gt;"*",D176&lt;&gt;""),F176-3.090232306 *('Funnel setup'!$K$8/SQRT('Funnel Data'!D176)),"")</f>
        <v>20.687924777443659</v>
      </c>
      <c r="J176" s="177">
        <f>IF(AND(ISNUMBER('Funnel setup'!P189),D176&gt;=30,E176&lt;&gt;"*",D176&lt;&gt;""),F176+3.090232306 *('Funnel setup'!$K$8/SQRT('Funnel Data'!D176)),"")</f>
        <v>24.34279325660216</v>
      </c>
      <c r="K176" s="178" t="str">
        <f>IF(AND(ISNUMBER('Funnel setup'!P189),D176&gt;=30,E176&lt;&gt;"*",D176&lt;&gt;""),IF(E176&gt;J176,'Funnel setup'!$K$15&amp;"99.8%",IF(E176&gt;H176,'Funnel setup'!$K$15&amp;"95%",IF(E176&lt;I176,'Funnel setup'!$K$16&amp;"99.8%",IF(E176&lt;G176,'Funnel setup'!$K$16&amp;"95%","")))),"")</f>
        <v>Lower 95%</v>
      </c>
    </row>
    <row r="177" spans="2:11" ht="15" customHeight="1" x14ac:dyDescent="0.35">
      <c r="B177" s="174" t="str">
        <f>IF(ISNUMBER('Funnel setup'!P190),VLOOKUP('Funnel setup'!$P190,'Provider Commission - Raw Data'!$A:$Q,5,0),"")</f>
        <v>RVY</v>
      </c>
      <c r="C177" s="175" t="str">
        <f>IF(ISNUMBER('Funnel setup'!P190),VLOOKUP('Funnel setup'!P190,'Provider Commission - Raw Data'!$A:$Q,6,0),"")</f>
        <v>SOUTHPORT AND ORMSKIRK HOSPITAL NHS TRUST (RVY)</v>
      </c>
      <c r="D177" s="176">
        <f>IF(ISNUMBER('Funnel setup'!P190),IF(VLOOKUP('Funnel setup'!P190,'Provider Commission - Raw Data'!$A:$Q,8,0)="-","",VLOOKUP('Funnel setup'!P190,'Provider Commission - Raw Data'!$A:$Q,8,0)),"")</f>
        <v>10</v>
      </c>
      <c r="E177" s="251" t="str">
        <f>IF(ISNUMBER('Funnel setup'!P190),IF(VLOOKUP('Funnel setup'!P190,'Provider Commission - Raw Data'!$A:$Q,16,0)="-","",VLOOKUP('Funnel setup'!P190,'Provider Commission - Raw Data'!$A:$Q,16,0)),"")</f>
        <v>*</v>
      </c>
      <c r="F177" s="177">
        <f>IF(AND(ISNUMBER('Funnel setup'!P190)),'Funnel setup'!$K$9,"")</f>
        <v>22.515359017022909</v>
      </c>
      <c r="G177" s="177" t="str">
        <f>IF(AND(ISNUMBER('Funnel setup'!P190),D177&gt;=30,E177&lt;&gt;"*",D177&lt;&gt;""),F177-1.959963985 *('Funnel setup'!$K$8/SQRT('Funnel Data'!D177)),"")</f>
        <v/>
      </c>
      <c r="H177" s="177" t="str">
        <f>IF(AND(ISNUMBER('Funnel setup'!P190),D177&gt;=30,E177&lt;&gt;"*",D177&lt;&gt;""),F177+1.959963985 *('Funnel setup'!$K$8/SQRT('Funnel Data'!D177)),"")</f>
        <v/>
      </c>
      <c r="I177" s="177" t="str">
        <f>IF(AND(ISNUMBER('Funnel setup'!P190),D177&gt;=30,E177&lt;&gt;"*",D177&lt;&gt;""),F177-3.090232306 *('Funnel setup'!$K$8/SQRT('Funnel Data'!D177)),"")</f>
        <v/>
      </c>
      <c r="J177" s="177" t="str">
        <f>IF(AND(ISNUMBER('Funnel setup'!P190),D177&gt;=30,E177&lt;&gt;"*",D177&lt;&gt;""),F177+3.090232306 *('Funnel setup'!$K$8/SQRT('Funnel Data'!D177)),"")</f>
        <v/>
      </c>
      <c r="K177" s="178" t="str">
        <f>IF(AND(ISNUMBER('Funnel setup'!P190),D177&gt;=30,E177&lt;&gt;"*",D177&lt;&gt;""),IF(E177&gt;J177,'Funnel setup'!$K$15&amp;"99.8%",IF(E177&gt;H177,'Funnel setup'!$K$15&amp;"95%",IF(E177&lt;I177,'Funnel setup'!$K$16&amp;"99.8%",IF(E177&lt;G177,'Funnel setup'!$K$16&amp;"95%","")))),"")</f>
        <v/>
      </c>
    </row>
    <row r="178" spans="2:11" ht="15" customHeight="1" x14ac:dyDescent="0.35">
      <c r="B178" s="174" t="str">
        <f>IF(ISNUMBER('Funnel setup'!P191),VLOOKUP('Funnel setup'!$P191,'Provider Commission - Raw Data'!$A:$Q,5,0),"")</f>
        <v>NN801</v>
      </c>
      <c r="C178" s="175" t="str">
        <f>IF(ISNUMBER('Funnel setup'!P191),VLOOKUP('Funnel setup'!P191,'Provider Commission - Raw Data'!$A:$Q,6,0),"")</f>
        <v>SPENCER PRIVATE HOSPITALS - MARGATE (NN801)</v>
      </c>
      <c r="D178" s="176">
        <f>IF(ISNUMBER('Funnel setup'!P191),IF(VLOOKUP('Funnel setup'!P191,'Provider Commission - Raw Data'!$A:$Q,8,0)="-","",VLOOKUP('Funnel setup'!P191,'Provider Commission - Raw Data'!$A:$Q,8,0)),"")</f>
        <v>19</v>
      </c>
      <c r="E178" s="251" t="str">
        <f>IF(ISNUMBER('Funnel setup'!P191),IF(VLOOKUP('Funnel setup'!P191,'Provider Commission - Raw Data'!$A:$Q,16,0)="-","",VLOOKUP('Funnel setup'!P191,'Provider Commission - Raw Data'!$A:$Q,16,0)),"")</f>
        <v>*</v>
      </c>
      <c r="F178" s="177">
        <f>IF(AND(ISNUMBER('Funnel setup'!P191)),'Funnel setup'!$K$9,"")</f>
        <v>22.515359017022909</v>
      </c>
      <c r="G178" s="177" t="str">
        <f>IF(AND(ISNUMBER('Funnel setup'!P191),D178&gt;=30,E178&lt;&gt;"*",D178&lt;&gt;""),F178-1.959963985 *('Funnel setup'!$K$8/SQRT('Funnel Data'!D178)),"")</f>
        <v/>
      </c>
      <c r="H178" s="177" t="str">
        <f>IF(AND(ISNUMBER('Funnel setup'!P191),D178&gt;=30,E178&lt;&gt;"*",D178&lt;&gt;""),F178+1.959963985 *('Funnel setup'!$K$8/SQRT('Funnel Data'!D178)),"")</f>
        <v/>
      </c>
      <c r="I178" s="177" t="str">
        <f>IF(AND(ISNUMBER('Funnel setup'!P191),D178&gt;=30,E178&lt;&gt;"*",D178&lt;&gt;""),F178-3.090232306 *('Funnel setup'!$K$8/SQRT('Funnel Data'!D178)),"")</f>
        <v/>
      </c>
      <c r="J178" s="177" t="str">
        <f>IF(AND(ISNUMBER('Funnel setup'!P191),D178&gt;=30,E178&lt;&gt;"*",D178&lt;&gt;""),F178+3.090232306 *('Funnel setup'!$K$8/SQRT('Funnel Data'!D178)),"")</f>
        <v/>
      </c>
      <c r="K178" s="178" t="str">
        <f>IF(AND(ISNUMBER('Funnel setup'!P191),D178&gt;=30,E178&lt;&gt;"*",D178&lt;&gt;""),IF(E178&gt;J178,'Funnel setup'!$K$15&amp;"99.8%",IF(E178&gt;H178,'Funnel setup'!$K$15&amp;"95%",IF(E178&lt;I178,'Funnel setup'!$K$16&amp;"99.8%",IF(E178&lt;G178,'Funnel setup'!$K$16&amp;"95%","")))),"")</f>
        <v/>
      </c>
    </row>
    <row r="179" spans="2:11" ht="15" customHeight="1" x14ac:dyDescent="0.35">
      <c r="B179" s="174" t="str">
        <f>IF(ISNUMBER('Funnel setup'!P192),VLOOKUP('Funnel setup'!$P192,'Provider Commission - Raw Data'!$A:$Q,5,0),"")</f>
        <v>NT312</v>
      </c>
      <c r="C179" s="175" t="str">
        <f>IF(ISNUMBER('Funnel setup'!P192),VLOOKUP('Funnel setup'!P192,'Provider Commission - Raw Data'!$A:$Q,6,0),"")</f>
        <v>SPIRE ALEXANDRA HOSPITAL (NT312)</v>
      </c>
      <c r="D179" s="176">
        <f>IF(ISNUMBER('Funnel setup'!P192),IF(VLOOKUP('Funnel setup'!P192,'Provider Commission - Raw Data'!$A:$Q,8,0)="-","",VLOOKUP('Funnel setup'!P192,'Provider Commission - Raw Data'!$A:$Q,8,0)),"")</f>
        <v>13</v>
      </c>
      <c r="E179" s="251" t="str">
        <f>IF(ISNUMBER('Funnel setup'!P192),IF(VLOOKUP('Funnel setup'!P192,'Provider Commission - Raw Data'!$A:$Q,16,0)="-","",VLOOKUP('Funnel setup'!P192,'Provider Commission - Raw Data'!$A:$Q,16,0)),"")</f>
        <v>*</v>
      </c>
      <c r="F179" s="177">
        <f>IF(AND(ISNUMBER('Funnel setup'!P192)),'Funnel setup'!$K$9,"")</f>
        <v>22.515359017022909</v>
      </c>
      <c r="G179" s="177" t="str">
        <f>IF(AND(ISNUMBER('Funnel setup'!P192),D179&gt;=30,E179&lt;&gt;"*",D179&lt;&gt;""),F179-1.959963985 *('Funnel setup'!$K$8/SQRT('Funnel Data'!D179)),"")</f>
        <v/>
      </c>
      <c r="H179" s="177" t="str">
        <f>IF(AND(ISNUMBER('Funnel setup'!P192),D179&gt;=30,E179&lt;&gt;"*",D179&lt;&gt;""),F179+1.959963985 *('Funnel setup'!$K$8/SQRT('Funnel Data'!D179)),"")</f>
        <v/>
      </c>
      <c r="I179" s="177" t="str">
        <f>IF(AND(ISNUMBER('Funnel setup'!P192),D179&gt;=30,E179&lt;&gt;"*",D179&lt;&gt;""),F179-3.090232306 *('Funnel setup'!$K$8/SQRT('Funnel Data'!D179)),"")</f>
        <v/>
      </c>
      <c r="J179" s="177" t="str">
        <f>IF(AND(ISNUMBER('Funnel setup'!P192),D179&gt;=30,E179&lt;&gt;"*",D179&lt;&gt;""),F179+3.090232306 *('Funnel setup'!$K$8/SQRT('Funnel Data'!D179)),"")</f>
        <v/>
      </c>
      <c r="K179" s="178" t="str">
        <f>IF(AND(ISNUMBER('Funnel setup'!P192),D179&gt;=30,E179&lt;&gt;"*",D179&lt;&gt;""),IF(E179&gt;J179,'Funnel setup'!$K$15&amp;"99.8%",IF(E179&gt;H179,'Funnel setup'!$K$15&amp;"95%",IF(E179&lt;I179,'Funnel setup'!$K$16&amp;"99.8%",IF(E179&lt;G179,'Funnel setup'!$K$16&amp;"95%","")))),"")</f>
        <v/>
      </c>
    </row>
    <row r="180" spans="2:11" ht="15" customHeight="1" x14ac:dyDescent="0.35">
      <c r="B180" s="174" t="str">
        <f>IF(ISNUMBER('Funnel setup'!P193),VLOOKUP('Funnel setup'!$P193,'Provider Commission - Raw Data'!$A:$Q,5,0),"")</f>
        <v>NT302</v>
      </c>
      <c r="C180" s="175" t="str">
        <f>IF(ISNUMBER('Funnel setup'!P193),VLOOKUP('Funnel setup'!P193,'Provider Commission - Raw Data'!$A:$Q,6,0),"")</f>
        <v>SPIRE BRISTOL HOSPITAL (NT302)</v>
      </c>
      <c r="D180" s="176">
        <f>IF(ISNUMBER('Funnel setup'!P193),IF(VLOOKUP('Funnel setup'!P193,'Provider Commission - Raw Data'!$A:$Q,8,0)="-","",VLOOKUP('Funnel setup'!P193,'Provider Commission - Raw Data'!$A:$Q,8,0)),"")</f>
        <v>56</v>
      </c>
      <c r="E180" s="251">
        <f>IF(ISNUMBER('Funnel setup'!P193),IF(VLOOKUP('Funnel setup'!P193,'Provider Commission - Raw Data'!$A:$Q,16,0)="-","",VLOOKUP('Funnel setup'!P193,'Provider Commission - Raw Data'!$A:$Q,16,0)),"")</f>
        <v>24.028199999999998</v>
      </c>
      <c r="F180" s="177">
        <f>IF(AND(ISNUMBER('Funnel setup'!P193)),'Funnel setup'!$K$9,"")</f>
        <v>22.515359017022909</v>
      </c>
      <c r="G180" s="177">
        <f>IF(AND(ISNUMBER('Funnel setup'!P193),D180&gt;=30,E180&lt;&gt;"*",D180&lt;&gt;""),F180-1.959963985 *('Funnel setup'!$K$8/SQRT('Funnel Data'!D180)),"")</f>
        <v>20.34699224949712</v>
      </c>
      <c r="H180" s="177">
        <f>IF(AND(ISNUMBER('Funnel setup'!P193),D180&gt;=30,E180&lt;&gt;"*",D180&lt;&gt;""),F180+1.959963985 *('Funnel setup'!$K$8/SQRT('Funnel Data'!D180)),"")</f>
        <v>24.683725784548699</v>
      </c>
      <c r="I180" s="177">
        <f>IF(AND(ISNUMBER('Funnel setup'!P193),D180&gt;=30,E180&lt;&gt;"*",D180&lt;&gt;""),F180-3.090232306 *('Funnel setup'!$K$8/SQRT('Funnel Data'!D180)),"")</f>
        <v>19.09654260634025</v>
      </c>
      <c r="J180" s="177">
        <f>IF(AND(ISNUMBER('Funnel setup'!P193),D180&gt;=30,E180&lt;&gt;"*",D180&lt;&gt;""),F180+3.090232306 *('Funnel setup'!$K$8/SQRT('Funnel Data'!D180)),"")</f>
        <v>25.934175427705568</v>
      </c>
      <c r="K180" s="178" t="str">
        <f>IF(AND(ISNUMBER('Funnel setup'!P193),D180&gt;=30,E180&lt;&gt;"*",D180&lt;&gt;""),IF(E180&gt;J180,'Funnel setup'!$K$15&amp;"99.8%",IF(E180&gt;H180,'Funnel setup'!$K$15&amp;"95%",IF(E180&lt;I180,'Funnel setup'!$K$16&amp;"99.8%",IF(E180&lt;G180,'Funnel setup'!$K$16&amp;"95%","")))),"")</f>
        <v/>
      </c>
    </row>
    <row r="181" spans="2:11" ht="15" customHeight="1" x14ac:dyDescent="0.35">
      <c r="B181" s="174" t="str">
        <f>IF(ISNUMBER('Funnel setup'!P194),VLOOKUP('Funnel setup'!$P194,'Provider Commission - Raw Data'!$A:$Q,5,0),"")</f>
        <v>NT315</v>
      </c>
      <c r="C181" s="175" t="str">
        <f>IF(ISNUMBER('Funnel setup'!P194),VLOOKUP('Funnel setup'!P194,'Provider Commission - Raw Data'!$A:$Q,6,0),"")</f>
        <v>SPIRE BUSHEY HOSPITAL (NT315)</v>
      </c>
      <c r="D181" s="176">
        <f>IF(ISNUMBER('Funnel setup'!P194),IF(VLOOKUP('Funnel setup'!P194,'Provider Commission - Raw Data'!$A:$Q,8,0)="-","",VLOOKUP('Funnel setup'!P194,'Provider Commission - Raw Data'!$A:$Q,8,0)),"")</f>
        <v>1</v>
      </c>
      <c r="E181" s="251" t="str">
        <f>IF(ISNUMBER('Funnel setup'!P194),IF(VLOOKUP('Funnel setup'!P194,'Provider Commission - Raw Data'!$A:$Q,16,0)="-","",VLOOKUP('Funnel setup'!P194,'Provider Commission - Raw Data'!$A:$Q,16,0)),"")</f>
        <v>*</v>
      </c>
      <c r="F181" s="177">
        <f>IF(AND(ISNUMBER('Funnel setup'!P194)),'Funnel setup'!$K$9,"")</f>
        <v>22.515359017022909</v>
      </c>
      <c r="G181" s="177" t="str">
        <f>IF(AND(ISNUMBER('Funnel setup'!P194),D181&gt;=30,E181&lt;&gt;"*",D181&lt;&gt;""),F181-1.959963985 *('Funnel setup'!$K$8/SQRT('Funnel Data'!D181)),"")</f>
        <v/>
      </c>
      <c r="H181" s="177" t="str">
        <f>IF(AND(ISNUMBER('Funnel setup'!P194),D181&gt;=30,E181&lt;&gt;"*",D181&lt;&gt;""),F181+1.959963985 *('Funnel setup'!$K$8/SQRT('Funnel Data'!D181)),"")</f>
        <v/>
      </c>
      <c r="I181" s="177" t="str">
        <f>IF(AND(ISNUMBER('Funnel setup'!P194),D181&gt;=30,E181&lt;&gt;"*",D181&lt;&gt;""),F181-3.090232306 *('Funnel setup'!$K$8/SQRT('Funnel Data'!D181)),"")</f>
        <v/>
      </c>
      <c r="J181" s="177" t="str">
        <f>IF(AND(ISNUMBER('Funnel setup'!P194),D181&gt;=30,E181&lt;&gt;"*",D181&lt;&gt;""),F181+3.090232306 *('Funnel setup'!$K$8/SQRT('Funnel Data'!D181)),"")</f>
        <v/>
      </c>
      <c r="K181" s="178" t="str">
        <f>IF(AND(ISNUMBER('Funnel setup'!P194),D181&gt;=30,E181&lt;&gt;"*",D181&lt;&gt;""),IF(E181&gt;J181,'Funnel setup'!$K$15&amp;"99.8%",IF(E181&gt;H181,'Funnel setup'!$K$15&amp;"95%",IF(E181&lt;I181,'Funnel setup'!$K$16&amp;"99.8%",IF(E181&lt;G181,'Funnel setup'!$K$16&amp;"95%","")))),"")</f>
        <v/>
      </c>
    </row>
    <row r="182" spans="2:11" ht="15" customHeight="1" x14ac:dyDescent="0.35">
      <c r="B182" s="174" t="str">
        <f>IF(ISNUMBER('Funnel setup'!P195),VLOOKUP('Funnel setup'!$P195,'Provider Commission - Raw Data'!$A:$Q,5,0),"")</f>
        <v>NT317</v>
      </c>
      <c r="C182" s="175" t="str">
        <f>IF(ISNUMBER('Funnel setup'!P195),VLOOKUP('Funnel setup'!P195,'Provider Commission - Raw Data'!$A:$Q,6,0),"")</f>
        <v>SPIRE CAMBRIDGE LEA HOSPITAL (NT317)</v>
      </c>
      <c r="D182" s="176">
        <f>IF(ISNUMBER('Funnel setup'!P195),IF(VLOOKUP('Funnel setup'!P195,'Provider Commission - Raw Data'!$A:$Q,8,0)="-","",VLOOKUP('Funnel setup'!P195,'Provider Commission - Raw Data'!$A:$Q,8,0)),"")</f>
        <v>33</v>
      </c>
      <c r="E182" s="251">
        <f>IF(ISNUMBER('Funnel setup'!P195),IF(VLOOKUP('Funnel setup'!P195,'Provider Commission - Raw Data'!$A:$Q,16,0)="-","",VLOOKUP('Funnel setup'!P195,'Provider Commission - Raw Data'!$A:$Q,16,0)),"")</f>
        <v>24.831</v>
      </c>
      <c r="F182" s="177">
        <f>IF(AND(ISNUMBER('Funnel setup'!P195)),'Funnel setup'!$K$9,"")</f>
        <v>22.515359017022909</v>
      </c>
      <c r="G182" s="177">
        <f>IF(AND(ISNUMBER('Funnel setup'!P195),D182&gt;=30,E182&lt;&gt;"*",D182&lt;&gt;""),F182-1.959963985 *('Funnel setup'!$K$8/SQRT('Funnel Data'!D182)),"")</f>
        <v>19.690675561673185</v>
      </c>
      <c r="H182" s="177">
        <f>IF(AND(ISNUMBER('Funnel setup'!P195),D182&gt;=30,E182&lt;&gt;"*",D182&lt;&gt;""),F182+1.959963985 *('Funnel setup'!$K$8/SQRT('Funnel Data'!D182)),"")</f>
        <v>25.340042472372634</v>
      </c>
      <c r="I182" s="177">
        <f>IF(AND(ISNUMBER('Funnel setup'!P195),D182&gt;=30,E182&lt;&gt;"*",D182&lt;&gt;""),F182-3.090232306 *('Funnel setup'!$K$8/SQRT('Funnel Data'!D182)),"")</f>
        <v>18.061742453274967</v>
      </c>
      <c r="J182" s="177">
        <f>IF(AND(ISNUMBER('Funnel setup'!P195),D182&gt;=30,E182&lt;&gt;"*",D182&lt;&gt;""),F182+3.090232306 *('Funnel setup'!$K$8/SQRT('Funnel Data'!D182)),"")</f>
        <v>26.968975580770852</v>
      </c>
      <c r="K182" s="178" t="str">
        <f>IF(AND(ISNUMBER('Funnel setup'!P195),D182&gt;=30,E182&lt;&gt;"*",D182&lt;&gt;""),IF(E182&gt;J182,'Funnel setup'!$K$15&amp;"99.8%",IF(E182&gt;H182,'Funnel setup'!$K$15&amp;"95%",IF(E182&lt;I182,'Funnel setup'!$K$16&amp;"99.8%",IF(E182&lt;G182,'Funnel setup'!$K$16&amp;"95%","")))),"")</f>
        <v/>
      </c>
    </row>
    <row r="183" spans="2:11" ht="15" customHeight="1" x14ac:dyDescent="0.35">
      <c r="B183" s="174" t="str">
        <f>IF(ISNUMBER('Funnel setup'!P196),VLOOKUP('Funnel setup'!$P196,'Provider Commission - Raw Data'!$A:$Q,5,0),"")</f>
        <v>NT324</v>
      </c>
      <c r="C183" s="175" t="str">
        <f>IF(ISNUMBER('Funnel setup'!P196),VLOOKUP('Funnel setup'!P196,'Provider Commission - Raw Data'!$A:$Q,6,0),"")</f>
        <v>SPIRE CHESHIRE HOSPITAL (NT324)</v>
      </c>
      <c r="D183" s="176">
        <f>IF(ISNUMBER('Funnel setup'!P196),IF(VLOOKUP('Funnel setup'!P196,'Provider Commission - Raw Data'!$A:$Q,8,0)="-","",VLOOKUP('Funnel setup'!P196,'Provider Commission - Raw Data'!$A:$Q,8,0)),"")</f>
        <v>23</v>
      </c>
      <c r="E183" s="251" t="str">
        <f>IF(ISNUMBER('Funnel setup'!P196),IF(VLOOKUP('Funnel setup'!P196,'Provider Commission - Raw Data'!$A:$Q,16,0)="-","",VLOOKUP('Funnel setup'!P196,'Provider Commission - Raw Data'!$A:$Q,16,0)),"")</f>
        <v>*</v>
      </c>
      <c r="F183" s="177">
        <f>IF(AND(ISNUMBER('Funnel setup'!P196)),'Funnel setup'!$K$9,"")</f>
        <v>22.515359017022909</v>
      </c>
      <c r="G183" s="177" t="str">
        <f>IF(AND(ISNUMBER('Funnel setup'!P196),D183&gt;=30,E183&lt;&gt;"*",D183&lt;&gt;""),F183-1.959963985 *('Funnel setup'!$K$8/SQRT('Funnel Data'!D183)),"")</f>
        <v/>
      </c>
      <c r="H183" s="177" t="str">
        <f>IF(AND(ISNUMBER('Funnel setup'!P196),D183&gt;=30,E183&lt;&gt;"*",D183&lt;&gt;""),F183+1.959963985 *('Funnel setup'!$K$8/SQRT('Funnel Data'!D183)),"")</f>
        <v/>
      </c>
      <c r="I183" s="177" t="str">
        <f>IF(AND(ISNUMBER('Funnel setup'!P196),D183&gt;=30,E183&lt;&gt;"*",D183&lt;&gt;""),F183-3.090232306 *('Funnel setup'!$K$8/SQRT('Funnel Data'!D183)),"")</f>
        <v/>
      </c>
      <c r="J183" s="177" t="str">
        <f>IF(AND(ISNUMBER('Funnel setup'!P196),D183&gt;=30,E183&lt;&gt;"*",D183&lt;&gt;""),F183+3.090232306 *('Funnel setup'!$K$8/SQRT('Funnel Data'!D183)),"")</f>
        <v/>
      </c>
      <c r="K183" s="178" t="str">
        <f>IF(AND(ISNUMBER('Funnel setup'!P196),D183&gt;=30,E183&lt;&gt;"*",D183&lt;&gt;""),IF(E183&gt;J183,'Funnel setup'!$K$15&amp;"99.8%",IF(E183&gt;H183,'Funnel setup'!$K$15&amp;"95%",IF(E183&lt;I183,'Funnel setup'!$K$16&amp;"99.8%",IF(E183&lt;G183,'Funnel setup'!$K$16&amp;"95%","")))),"")</f>
        <v/>
      </c>
    </row>
    <row r="184" spans="2:11" ht="15" customHeight="1" x14ac:dyDescent="0.35">
      <c r="B184" s="174" t="str">
        <f>IF(ISNUMBER('Funnel setup'!P197),VLOOKUP('Funnel setup'!$P197,'Provider Commission - Raw Data'!$A:$Q,5,0),"")</f>
        <v>NT345</v>
      </c>
      <c r="C184" s="175" t="str">
        <f>IF(ISNUMBER('Funnel setup'!P197),VLOOKUP('Funnel setup'!P197,'Provider Commission - Raw Data'!$A:$Q,6,0),"")</f>
        <v>SPIRE CLARE PARK HOSPITAL (NT345)</v>
      </c>
      <c r="D184" s="176">
        <f>IF(ISNUMBER('Funnel setup'!P197),IF(VLOOKUP('Funnel setup'!P197,'Provider Commission - Raw Data'!$A:$Q,8,0)="-","",VLOOKUP('Funnel setup'!P197,'Provider Commission - Raw Data'!$A:$Q,8,0)),"")</f>
        <v>13</v>
      </c>
      <c r="E184" s="251" t="str">
        <f>IF(ISNUMBER('Funnel setup'!P197),IF(VLOOKUP('Funnel setup'!P197,'Provider Commission - Raw Data'!$A:$Q,16,0)="-","",VLOOKUP('Funnel setup'!P197,'Provider Commission - Raw Data'!$A:$Q,16,0)),"")</f>
        <v>*</v>
      </c>
      <c r="F184" s="177">
        <f>IF(AND(ISNUMBER('Funnel setup'!P197)),'Funnel setup'!$K$9,"")</f>
        <v>22.515359017022909</v>
      </c>
      <c r="G184" s="177" t="str">
        <f>IF(AND(ISNUMBER('Funnel setup'!P197),D184&gt;=30,E184&lt;&gt;"*",D184&lt;&gt;""),F184-1.959963985 *('Funnel setup'!$K$8/SQRT('Funnel Data'!D184)),"")</f>
        <v/>
      </c>
      <c r="H184" s="177" t="str">
        <f>IF(AND(ISNUMBER('Funnel setup'!P197),D184&gt;=30,E184&lt;&gt;"*",D184&lt;&gt;""),F184+1.959963985 *('Funnel setup'!$K$8/SQRT('Funnel Data'!D184)),"")</f>
        <v/>
      </c>
      <c r="I184" s="177" t="str">
        <f>IF(AND(ISNUMBER('Funnel setup'!P197),D184&gt;=30,E184&lt;&gt;"*",D184&lt;&gt;""),F184-3.090232306 *('Funnel setup'!$K$8/SQRT('Funnel Data'!D184)),"")</f>
        <v/>
      </c>
      <c r="J184" s="177" t="str">
        <f>IF(AND(ISNUMBER('Funnel setup'!P197),D184&gt;=30,E184&lt;&gt;"*",D184&lt;&gt;""),F184+3.090232306 *('Funnel setup'!$K$8/SQRT('Funnel Data'!D184)),"")</f>
        <v/>
      </c>
      <c r="K184" s="178" t="str">
        <f>IF(AND(ISNUMBER('Funnel setup'!P197),D184&gt;=30,E184&lt;&gt;"*",D184&lt;&gt;""),IF(E184&gt;J184,'Funnel setup'!$K$15&amp;"99.8%",IF(E184&gt;H184,'Funnel setup'!$K$15&amp;"95%",IF(E184&lt;I184,'Funnel setup'!$K$16&amp;"99.8%",IF(E184&lt;G184,'Funnel setup'!$K$16&amp;"95%","")))),"")</f>
        <v/>
      </c>
    </row>
    <row r="185" spans="2:11" ht="15" customHeight="1" x14ac:dyDescent="0.35">
      <c r="B185" s="174" t="str">
        <f>IF(ISNUMBER('Funnel setup'!P198),VLOOKUP('Funnel setup'!$P198,'Provider Commission - Raw Data'!$A:$Q,5,0),"")</f>
        <v>NT344</v>
      </c>
      <c r="C185" s="175" t="str">
        <f>IF(ISNUMBER('Funnel setup'!P198),VLOOKUP('Funnel setup'!P198,'Provider Commission - Raw Data'!$A:$Q,6,0),"")</f>
        <v>SPIRE DUNEDIN HOSPITAL (NT344)</v>
      </c>
      <c r="D185" s="176">
        <f>IF(ISNUMBER('Funnel setup'!P198),IF(VLOOKUP('Funnel setup'!P198,'Provider Commission - Raw Data'!$A:$Q,8,0)="-","",VLOOKUP('Funnel setup'!P198,'Provider Commission - Raw Data'!$A:$Q,8,0)),"")</f>
        <v>1</v>
      </c>
      <c r="E185" s="251" t="str">
        <f>IF(ISNUMBER('Funnel setup'!P198),IF(VLOOKUP('Funnel setup'!P198,'Provider Commission - Raw Data'!$A:$Q,16,0)="-","",VLOOKUP('Funnel setup'!P198,'Provider Commission - Raw Data'!$A:$Q,16,0)),"")</f>
        <v>*</v>
      </c>
      <c r="F185" s="177">
        <f>IF(AND(ISNUMBER('Funnel setup'!P198)),'Funnel setup'!$K$9,"")</f>
        <v>22.515359017022909</v>
      </c>
      <c r="G185" s="177" t="str">
        <f>IF(AND(ISNUMBER('Funnel setup'!P198),D185&gt;=30,E185&lt;&gt;"*",D185&lt;&gt;""),F185-1.959963985 *('Funnel setup'!$K$8/SQRT('Funnel Data'!D185)),"")</f>
        <v/>
      </c>
      <c r="H185" s="177" t="str">
        <f>IF(AND(ISNUMBER('Funnel setup'!P198),D185&gt;=30,E185&lt;&gt;"*",D185&lt;&gt;""),F185+1.959963985 *('Funnel setup'!$K$8/SQRT('Funnel Data'!D185)),"")</f>
        <v/>
      </c>
      <c r="I185" s="177" t="str">
        <f>IF(AND(ISNUMBER('Funnel setup'!P198),D185&gt;=30,E185&lt;&gt;"*",D185&lt;&gt;""),F185-3.090232306 *('Funnel setup'!$K$8/SQRT('Funnel Data'!D185)),"")</f>
        <v/>
      </c>
      <c r="J185" s="177" t="str">
        <f>IF(AND(ISNUMBER('Funnel setup'!P198),D185&gt;=30,E185&lt;&gt;"*",D185&lt;&gt;""),F185+3.090232306 *('Funnel setup'!$K$8/SQRT('Funnel Data'!D185)),"")</f>
        <v/>
      </c>
      <c r="K185" s="178" t="str">
        <f>IF(AND(ISNUMBER('Funnel setup'!P198),D185&gt;=30,E185&lt;&gt;"*",D185&lt;&gt;""),IF(E185&gt;J185,'Funnel setup'!$K$15&amp;"99.8%",IF(E185&gt;H185,'Funnel setup'!$K$15&amp;"95%",IF(E185&lt;I185,'Funnel setup'!$K$16&amp;"99.8%",IF(E185&lt;G185,'Funnel setup'!$K$16&amp;"95%","")))),"")</f>
        <v/>
      </c>
    </row>
    <row r="186" spans="2:11" ht="15" customHeight="1" x14ac:dyDescent="0.35">
      <c r="B186" s="174" t="str">
        <f>IF(ISNUMBER('Funnel setup'!P199),VLOOKUP('Funnel setup'!$P199,'Provider Commission - Raw Data'!$A:$Q,5,0),"")</f>
        <v>NT348</v>
      </c>
      <c r="C186" s="175" t="str">
        <f>IF(ISNUMBER('Funnel setup'!P199),VLOOKUP('Funnel setup'!P199,'Provider Commission - Raw Data'!$A:$Q,6,0),"")</f>
        <v>SPIRE ELLAND HOSPITAL (NT348)</v>
      </c>
      <c r="D186" s="176">
        <f>IF(ISNUMBER('Funnel setup'!P199),IF(VLOOKUP('Funnel setup'!P199,'Provider Commission - Raw Data'!$A:$Q,8,0)="-","",VLOOKUP('Funnel setup'!P199,'Provider Commission - Raw Data'!$A:$Q,8,0)),"")</f>
        <v>14</v>
      </c>
      <c r="E186" s="251" t="str">
        <f>IF(ISNUMBER('Funnel setup'!P199),IF(VLOOKUP('Funnel setup'!P199,'Provider Commission - Raw Data'!$A:$Q,16,0)="-","",VLOOKUP('Funnel setup'!P199,'Provider Commission - Raw Data'!$A:$Q,16,0)),"")</f>
        <v>*</v>
      </c>
      <c r="F186" s="177">
        <f>IF(AND(ISNUMBER('Funnel setup'!P199)),'Funnel setup'!$K$9,"")</f>
        <v>22.515359017022909</v>
      </c>
      <c r="G186" s="177" t="str">
        <f>IF(AND(ISNUMBER('Funnel setup'!P199),D186&gt;=30,E186&lt;&gt;"*",D186&lt;&gt;""),F186-1.959963985 *('Funnel setup'!$K$8/SQRT('Funnel Data'!D186)),"")</f>
        <v/>
      </c>
      <c r="H186" s="177" t="str">
        <f>IF(AND(ISNUMBER('Funnel setup'!P199),D186&gt;=30,E186&lt;&gt;"*",D186&lt;&gt;""),F186+1.959963985 *('Funnel setup'!$K$8/SQRT('Funnel Data'!D186)),"")</f>
        <v/>
      </c>
      <c r="I186" s="177" t="str">
        <f>IF(AND(ISNUMBER('Funnel setup'!P199),D186&gt;=30,E186&lt;&gt;"*",D186&lt;&gt;""),F186-3.090232306 *('Funnel setup'!$K$8/SQRT('Funnel Data'!D186)),"")</f>
        <v/>
      </c>
      <c r="J186" s="177" t="str">
        <f>IF(AND(ISNUMBER('Funnel setup'!P199),D186&gt;=30,E186&lt;&gt;"*",D186&lt;&gt;""),F186+3.090232306 *('Funnel setup'!$K$8/SQRT('Funnel Data'!D186)),"")</f>
        <v/>
      </c>
      <c r="K186" s="178" t="str">
        <f>IF(AND(ISNUMBER('Funnel setup'!P199),D186&gt;=30,E186&lt;&gt;"*",D186&lt;&gt;""),IF(E186&gt;J186,'Funnel setup'!$K$15&amp;"99.8%",IF(E186&gt;H186,'Funnel setup'!$K$15&amp;"95%",IF(E186&lt;I186,'Funnel setup'!$K$16&amp;"99.8%",IF(E186&lt;G186,'Funnel setup'!$K$16&amp;"95%","")))),"")</f>
        <v/>
      </c>
    </row>
    <row r="187" spans="2:11" ht="15" customHeight="1" x14ac:dyDescent="0.35">
      <c r="B187" s="174" t="str">
        <f>IF(ISNUMBER('Funnel setup'!P200),VLOOKUP('Funnel setup'!$P200,'Provider Commission - Raw Data'!$A:$Q,5,0),"")</f>
        <v>NT347</v>
      </c>
      <c r="C187" s="175" t="str">
        <f>IF(ISNUMBER('Funnel setup'!P200),VLOOKUP('Funnel setup'!P200,'Provider Commission - Raw Data'!$A:$Q,6,0),"")</f>
        <v>SPIRE FYLDE COAST HOSPITAL (NT347)</v>
      </c>
      <c r="D187" s="176">
        <f>IF(ISNUMBER('Funnel setup'!P200),IF(VLOOKUP('Funnel setup'!P200,'Provider Commission - Raw Data'!$A:$Q,8,0)="-","",VLOOKUP('Funnel setup'!P200,'Provider Commission - Raw Data'!$A:$Q,8,0)),"")</f>
        <v>29</v>
      </c>
      <c r="E187" s="251" t="str">
        <f>IF(ISNUMBER('Funnel setup'!P200),IF(VLOOKUP('Funnel setup'!P200,'Provider Commission - Raw Data'!$A:$Q,16,0)="-","",VLOOKUP('Funnel setup'!P200,'Provider Commission - Raw Data'!$A:$Q,16,0)),"")</f>
        <v>*</v>
      </c>
      <c r="F187" s="177">
        <f>IF(AND(ISNUMBER('Funnel setup'!P200)),'Funnel setup'!$K$9,"")</f>
        <v>22.515359017022909</v>
      </c>
      <c r="G187" s="177" t="str">
        <f>IF(AND(ISNUMBER('Funnel setup'!P200),D187&gt;=30,E187&lt;&gt;"*",D187&lt;&gt;""),F187-1.959963985 *('Funnel setup'!$K$8/SQRT('Funnel Data'!D187)),"")</f>
        <v/>
      </c>
      <c r="H187" s="177" t="str">
        <f>IF(AND(ISNUMBER('Funnel setup'!P200),D187&gt;=30,E187&lt;&gt;"*",D187&lt;&gt;""),F187+1.959963985 *('Funnel setup'!$K$8/SQRT('Funnel Data'!D187)),"")</f>
        <v/>
      </c>
      <c r="I187" s="177" t="str">
        <f>IF(AND(ISNUMBER('Funnel setup'!P200),D187&gt;=30,E187&lt;&gt;"*",D187&lt;&gt;""),F187-3.090232306 *('Funnel setup'!$K$8/SQRT('Funnel Data'!D187)),"")</f>
        <v/>
      </c>
      <c r="J187" s="177" t="str">
        <f>IF(AND(ISNUMBER('Funnel setup'!P200),D187&gt;=30,E187&lt;&gt;"*",D187&lt;&gt;""),F187+3.090232306 *('Funnel setup'!$K$8/SQRT('Funnel Data'!D187)),"")</f>
        <v/>
      </c>
      <c r="K187" s="178" t="str">
        <f>IF(AND(ISNUMBER('Funnel setup'!P200),D187&gt;=30,E187&lt;&gt;"*",D187&lt;&gt;""),IF(E187&gt;J187,'Funnel setup'!$K$15&amp;"99.8%",IF(E187&gt;H187,'Funnel setup'!$K$15&amp;"95%",IF(E187&lt;I187,'Funnel setup'!$K$16&amp;"99.8%",IF(E187&lt;G187,'Funnel setup'!$K$16&amp;"95%","")))),"")</f>
        <v/>
      </c>
    </row>
    <row r="188" spans="2:11" ht="15" customHeight="1" x14ac:dyDescent="0.35">
      <c r="B188" s="174" t="str">
        <f>IF(ISNUMBER('Funnel setup'!P201),VLOOKUP('Funnel setup'!$P201,'Provider Commission - Raw Data'!$A:$Q,5,0),"")</f>
        <v>NT308</v>
      </c>
      <c r="C188" s="175" t="str">
        <f>IF(ISNUMBER('Funnel setup'!P201),VLOOKUP('Funnel setup'!P201,'Provider Commission - Raw Data'!$A:$Q,6,0),"")</f>
        <v>SPIRE GATWICK PARK HOSPITAL (NT308)</v>
      </c>
      <c r="D188" s="176">
        <f>IF(ISNUMBER('Funnel setup'!P201),IF(VLOOKUP('Funnel setup'!P201,'Provider Commission - Raw Data'!$A:$Q,8,0)="-","",VLOOKUP('Funnel setup'!P201,'Provider Commission - Raw Data'!$A:$Q,8,0)),"")</f>
        <v>8</v>
      </c>
      <c r="E188" s="251" t="str">
        <f>IF(ISNUMBER('Funnel setup'!P201),IF(VLOOKUP('Funnel setup'!P201,'Provider Commission - Raw Data'!$A:$Q,16,0)="-","",VLOOKUP('Funnel setup'!P201,'Provider Commission - Raw Data'!$A:$Q,16,0)),"")</f>
        <v>*</v>
      </c>
      <c r="F188" s="177">
        <f>IF(AND(ISNUMBER('Funnel setup'!P201)),'Funnel setup'!$K$9,"")</f>
        <v>22.515359017022909</v>
      </c>
      <c r="G188" s="177" t="str">
        <f>IF(AND(ISNUMBER('Funnel setup'!P201),D188&gt;=30,E188&lt;&gt;"*",D188&lt;&gt;""),F188-1.959963985 *('Funnel setup'!$K$8/SQRT('Funnel Data'!D188)),"")</f>
        <v/>
      </c>
      <c r="H188" s="177" t="str">
        <f>IF(AND(ISNUMBER('Funnel setup'!P201),D188&gt;=30,E188&lt;&gt;"*",D188&lt;&gt;""),F188+1.959963985 *('Funnel setup'!$K$8/SQRT('Funnel Data'!D188)),"")</f>
        <v/>
      </c>
      <c r="I188" s="177" t="str">
        <f>IF(AND(ISNUMBER('Funnel setup'!P201),D188&gt;=30,E188&lt;&gt;"*",D188&lt;&gt;""),F188-3.090232306 *('Funnel setup'!$K$8/SQRT('Funnel Data'!D188)),"")</f>
        <v/>
      </c>
      <c r="J188" s="177" t="str">
        <f>IF(AND(ISNUMBER('Funnel setup'!P201),D188&gt;=30,E188&lt;&gt;"*",D188&lt;&gt;""),F188+3.090232306 *('Funnel setup'!$K$8/SQRT('Funnel Data'!D188)),"")</f>
        <v/>
      </c>
      <c r="K188" s="178" t="str">
        <f>IF(AND(ISNUMBER('Funnel setup'!P201),D188&gt;=30,E188&lt;&gt;"*",D188&lt;&gt;""),IF(E188&gt;J188,'Funnel setup'!$K$15&amp;"99.8%",IF(E188&gt;H188,'Funnel setup'!$K$15&amp;"95%",IF(E188&lt;I188,'Funnel setup'!$K$16&amp;"99.8%",IF(E188&lt;G188,'Funnel setup'!$K$16&amp;"95%","")))),"")</f>
        <v/>
      </c>
    </row>
    <row r="189" spans="2:11" ht="15" customHeight="1" x14ac:dyDescent="0.35">
      <c r="B189" s="174" t="str">
        <f>IF(ISNUMBER('Funnel setup'!P202),VLOOKUP('Funnel setup'!$P202,'Provider Commission - Raw Data'!$A:$Q,5,0),"")</f>
        <v>NT316</v>
      </c>
      <c r="C189" s="175" t="str">
        <f>IF(ISNUMBER('Funnel setup'!P202),VLOOKUP('Funnel setup'!P202,'Provider Commission - Raw Data'!$A:$Q,6,0),"")</f>
        <v>SPIRE HARPENDEN HOSPITAL (NT316)</v>
      </c>
      <c r="D189" s="176">
        <f>IF(ISNUMBER('Funnel setup'!P202),IF(VLOOKUP('Funnel setup'!P202,'Provider Commission - Raw Data'!$A:$Q,8,0)="-","",VLOOKUP('Funnel setup'!P202,'Provider Commission - Raw Data'!$A:$Q,8,0)),"")</f>
        <v>32</v>
      </c>
      <c r="E189" s="251">
        <f>IF(ISNUMBER('Funnel setup'!P202),IF(VLOOKUP('Funnel setup'!P202,'Provider Commission - Raw Data'!$A:$Q,16,0)="-","",VLOOKUP('Funnel setup'!P202,'Provider Commission - Raw Data'!$A:$Q,16,0)),"")</f>
        <v>22.8613</v>
      </c>
      <c r="F189" s="177">
        <f>IF(AND(ISNUMBER('Funnel setup'!P202)),'Funnel setup'!$K$9,"")</f>
        <v>22.515359017022909</v>
      </c>
      <c r="G189" s="177">
        <f>IF(AND(ISNUMBER('Funnel setup'!P202),D189&gt;=30,E189&lt;&gt;"*",D189&lt;&gt;""),F189-1.959963985 *('Funnel setup'!$K$8/SQRT('Funnel Data'!D189)),"")</f>
        <v>19.64687940799779</v>
      </c>
      <c r="H189" s="177">
        <f>IF(AND(ISNUMBER('Funnel setup'!P202),D189&gt;=30,E189&lt;&gt;"*",D189&lt;&gt;""),F189+1.959963985 *('Funnel setup'!$K$8/SQRT('Funnel Data'!D189)),"")</f>
        <v>25.383838626048028</v>
      </c>
      <c r="I189" s="177">
        <f>IF(AND(ISNUMBER('Funnel setup'!P202),D189&gt;=30,E189&lt;&gt;"*",D189&lt;&gt;""),F189-3.090232306 *('Funnel setup'!$K$8/SQRT('Funnel Data'!D189)),"")</f>
        <v>17.992690016596519</v>
      </c>
      <c r="J189" s="177">
        <f>IF(AND(ISNUMBER('Funnel setup'!P202),D189&gt;=30,E189&lt;&gt;"*",D189&lt;&gt;""),F189+3.090232306 *('Funnel setup'!$K$8/SQRT('Funnel Data'!D189)),"")</f>
        <v>27.0380280174493</v>
      </c>
      <c r="K189" s="178" t="str">
        <f>IF(AND(ISNUMBER('Funnel setup'!P202),D189&gt;=30,E189&lt;&gt;"*",D189&lt;&gt;""),IF(E189&gt;J189,'Funnel setup'!$K$15&amp;"99.8%",IF(E189&gt;H189,'Funnel setup'!$K$15&amp;"95%",IF(E189&lt;I189,'Funnel setup'!$K$16&amp;"99.8%",IF(E189&lt;G189,'Funnel setup'!$K$16&amp;"95%","")))),"")</f>
        <v/>
      </c>
    </row>
    <row r="190" spans="2:11" ht="15" customHeight="1" x14ac:dyDescent="0.35">
      <c r="B190" s="174" t="str">
        <f>IF(ISNUMBER('Funnel setup'!P203),VLOOKUP('Funnel setup'!$P203,'Provider Commission - Raw Data'!$A:$Q,5,0),"")</f>
        <v>NT319</v>
      </c>
      <c r="C190" s="175" t="str">
        <f>IF(ISNUMBER('Funnel setup'!P203),VLOOKUP('Funnel setup'!P203,'Provider Commission - Raw Data'!$A:$Q,6,0),"")</f>
        <v>SPIRE HARTSWOOD HOSPITAL (NT319)</v>
      </c>
      <c r="D190" s="176">
        <f>IF(ISNUMBER('Funnel setup'!P203),IF(VLOOKUP('Funnel setup'!P203,'Provider Commission - Raw Data'!$A:$Q,8,0)="-","",VLOOKUP('Funnel setup'!P203,'Provider Commission - Raw Data'!$A:$Q,8,0)),"")</f>
        <v>12</v>
      </c>
      <c r="E190" s="251" t="str">
        <f>IF(ISNUMBER('Funnel setup'!P203),IF(VLOOKUP('Funnel setup'!P203,'Provider Commission - Raw Data'!$A:$Q,16,0)="-","",VLOOKUP('Funnel setup'!P203,'Provider Commission - Raw Data'!$A:$Q,16,0)),"")</f>
        <v>*</v>
      </c>
      <c r="F190" s="177">
        <f>IF(AND(ISNUMBER('Funnel setup'!P203)),'Funnel setup'!$K$9,"")</f>
        <v>22.515359017022909</v>
      </c>
      <c r="G190" s="177" t="str">
        <f>IF(AND(ISNUMBER('Funnel setup'!P203),D190&gt;=30,E190&lt;&gt;"*",D190&lt;&gt;""),F190-1.959963985 *('Funnel setup'!$K$8/SQRT('Funnel Data'!D190)),"")</f>
        <v/>
      </c>
      <c r="H190" s="177" t="str">
        <f>IF(AND(ISNUMBER('Funnel setup'!P203),D190&gt;=30,E190&lt;&gt;"*",D190&lt;&gt;""),F190+1.959963985 *('Funnel setup'!$K$8/SQRT('Funnel Data'!D190)),"")</f>
        <v/>
      </c>
      <c r="I190" s="177" t="str">
        <f>IF(AND(ISNUMBER('Funnel setup'!P203),D190&gt;=30,E190&lt;&gt;"*",D190&lt;&gt;""),F190-3.090232306 *('Funnel setup'!$K$8/SQRT('Funnel Data'!D190)),"")</f>
        <v/>
      </c>
      <c r="J190" s="177" t="str">
        <f>IF(AND(ISNUMBER('Funnel setup'!P203),D190&gt;=30,E190&lt;&gt;"*",D190&lt;&gt;""),F190+3.090232306 *('Funnel setup'!$K$8/SQRT('Funnel Data'!D190)),"")</f>
        <v/>
      </c>
      <c r="K190" s="178" t="str">
        <f>IF(AND(ISNUMBER('Funnel setup'!P203),D190&gt;=30,E190&lt;&gt;"*",D190&lt;&gt;""),IF(E190&gt;J190,'Funnel setup'!$K$15&amp;"99.8%",IF(E190&gt;H190,'Funnel setup'!$K$15&amp;"95%",IF(E190&lt;I190,'Funnel setup'!$K$16&amp;"99.8%",IF(E190&lt;G190,'Funnel setup'!$K$16&amp;"95%","")))),"")</f>
        <v/>
      </c>
    </row>
    <row r="191" spans="2:11" ht="15" customHeight="1" x14ac:dyDescent="0.35">
      <c r="B191" s="174" t="str">
        <f>IF(ISNUMBER('Funnel setup'!P204),VLOOKUP('Funnel setup'!$P204,'Provider Commission - Raw Data'!$A:$Q,5,0),"")</f>
        <v>NT351</v>
      </c>
      <c r="C191" s="175" t="str">
        <f>IF(ISNUMBER('Funnel setup'!P204),VLOOKUP('Funnel setup'!P204,'Provider Commission - Raw Data'!$A:$Q,6,0),"")</f>
        <v>SPIRE HULL AND EAST RIDING HOSPITAL (NT351)</v>
      </c>
      <c r="D191" s="176">
        <f>IF(ISNUMBER('Funnel setup'!P204),IF(VLOOKUP('Funnel setup'!P204,'Provider Commission - Raw Data'!$A:$Q,8,0)="-","",VLOOKUP('Funnel setup'!P204,'Provider Commission - Raw Data'!$A:$Q,8,0)),"")</f>
        <v>37</v>
      </c>
      <c r="E191" s="251">
        <f>IF(ISNUMBER('Funnel setup'!P204),IF(VLOOKUP('Funnel setup'!P204,'Provider Commission - Raw Data'!$A:$Q,16,0)="-","",VLOOKUP('Funnel setup'!P204,'Provider Commission - Raw Data'!$A:$Q,16,0)),"")</f>
        <v>22.914400000000001</v>
      </c>
      <c r="F191" s="177">
        <f>IF(AND(ISNUMBER('Funnel setup'!P204)),'Funnel setup'!$K$9,"")</f>
        <v>22.515359017022909</v>
      </c>
      <c r="G191" s="177">
        <f>IF(AND(ISNUMBER('Funnel setup'!P204),D191&gt;=30,E191&lt;&gt;"*",D191&lt;&gt;""),F191-1.959963985 *('Funnel setup'!$K$8/SQRT('Funnel Data'!D191)),"")</f>
        <v>19.847727166351195</v>
      </c>
      <c r="H191" s="177">
        <f>IF(AND(ISNUMBER('Funnel setup'!P204),D191&gt;=30,E191&lt;&gt;"*",D191&lt;&gt;""),F191+1.959963985 *('Funnel setup'!$K$8/SQRT('Funnel Data'!D191)),"")</f>
        <v>25.182990867694624</v>
      </c>
      <c r="I191" s="177">
        <f>IF(AND(ISNUMBER('Funnel setup'!P204),D191&gt;=30,E191&lt;&gt;"*",D191&lt;&gt;""),F191-3.090232306 *('Funnel setup'!$K$8/SQRT('Funnel Data'!D191)),"")</f>
        <v>18.309362280067411</v>
      </c>
      <c r="J191" s="177">
        <f>IF(AND(ISNUMBER('Funnel setup'!P204),D191&gt;=30,E191&lt;&gt;"*",D191&lt;&gt;""),F191+3.090232306 *('Funnel setup'!$K$8/SQRT('Funnel Data'!D191)),"")</f>
        <v>26.721355753978408</v>
      </c>
      <c r="K191" s="178" t="str">
        <f>IF(AND(ISNUMBER('Funnel setup'!P204),D191&gt;=30,E191&lt;&gt;"*",D191&lt;&gt;""),IF(E191&gt;J191,'Funnel setup'!$K$15&amp;"99.8%",IF(E191&gt;H191,'Funnel setup'!$K$15&amp;"95%",IF(E191&lt;I191,'Funnel setup'!$K$16&amp;"99.8%",IF(E191&lt;G191,'Funnel setup'!$K$16&amp;"95%","")))),"")</f>
        <v/>
      </c>
    </row>
    <row r="192" spans="2:11" ht="15" customHeight="1" x14ac:dyDescent="0.35">
      <c r="B192" s="174" t="str">
        <f>IF(ISNUMBER('Funnel setup'!P205),VLOOKUP('Funnel setup'!$P205,'Provider Commission - Raw Data'!$A:$Q,5,0),"")</f>
        <v>NT332</v>
      </c>
      <c r="C192" s="175" t="str">
        <f>IF(ISNUMBER('Funnel setup'!P205),VLOOKUP('Funnel setup'!P205,'Provider Commission - Raw Data'!$A:$Q,6,0),"")</f>
        <v>SPIRE LEEDS HOSPITAL (NT332)</v>
      </c>
      <c r="D192" s="176">
        <f>IF(ISNUMBER('Funnel setup'!P205),IF(VLOOKUP('Funnel setup'!P205,'Provider Commission - Raw Data'!$A:$Q,8,0)="-","",VLOOKUP('Funnel setup'!P205,'Provider Commission - Raw Data'!$A:$Q,8,0)),"")</f>
        <v>14</v>
      </c>
      <c r="E192" s="251" t="str">
        <f>IF(ISNUMBER('Funnel setup'!P205),IF(VLOOKUP('Funnel setup'!P205,'Provider Commission - Raw Data'!$A:$Q,16,0)="-","",VLOOKUP('Funnel setup'!P205,'Provider Commission - Raw Data'!$A:$Q,16,0)),"")</f>
        <v>*</v>
      </c>
      <c r="F192" s="177">
        <f>IF(AND(ISNUMBER('Funnel setup'!P205)),'Funnel setup'!$K$9,"")</f>
        <v>22.515359017022909</v>
      </c>
      <c r="G192" s="177" t="str">
        <f>IF(AND(ISNUMBER('Funnel setup'!P205),D192&gt;=30,E192&lt;&gt;"*",D192&lt;&gt;""),F192-1.959963985 *('Funnel setup'!$K$8/SQRT('Funnel Data'!D192)),"")</f>
        <v/>
      </c>
      <c r="H192" s="177" t="str">
        <f>IF(AND(ISNUMBER('Funnel setup'!P205),D192&gt;=30,E192&lt;&gt;"*",D192&lt;&gt;""),F192+1.959963985 *('Funnel setup'!$K$8/SQRT('Funnel Data'!D192)),"")</f>
        <v/>
      </c>
      <c r="I192" s="177" t="str">
        <f>IF(AND(ISNUMBER('Funnel setup'!P205),D192&gt;=30,E192&lt;&gt;"*",D192&lt;&gt;""),F192-3.090232306 *('Funnel setup'!$K$8/SQRT('Funnel Data'!D192)),"")</f>
        <v/>
      </c>
      <c r="J192" s="177" t="str">
        <f>IF(AND(ISNUMBER('Funnel setup'!P205),D192&gt;=30,E192&lt;&gt;"*",D192&lt;&gt;""),F192+3.090232306 *('Funnel setup'!$K$8/SQRT('Funnel Data'!D192)),"")</f>
        <v/>
      </c>
      <c r="K192" s="178" t="str">
        <f>IF(AND(ISNUMBER('Funnel setup'!P205),D192&gt;=30,E192&lt;&gt;"*",D192&lt;&gt;""),IF(E192&gt;J192,'Funnel setup'!$K$15&amp;"99.8%",IF(E192&gt;H192,'Funnel setup'!$K$15&amp;"95%",IF(E192&lt;I192,'Funnel setup'!$K$16&amp;"99.8%",IF(E192&lt;G192,'Funnel setup'!$K$16&amp;"95%","")))),"")</f>
        <v/>
      </c>
    </row>
    <row r="193" spans="2:11" ht="15" customHeight="1" x14ac:dyDescent="0.35">
      <c r="B193" s="174" t="str">
        <f>IF(ISNUMBER('Funnel setup'!P206),VLOOKUP('Funnel setup'!$P206,'Provider Commission - Raw Data'!$A:$Q,5,0),"")</f>
        <v>NT322</v>
      </c>
      <c r="C193" s="175" t="str">
        <f>IF(ISNUMBER('Funnel setup'!P206),VLOOKUP('Funnel setup'!P206,'Provider Commission - Raw Data'!$A:$Q,6,0),"")</f>
        <v>SPIRE LEICESTER HOSPITAL (NT322)</v>
      </c>
      <c r="D193" s="176">
        <f>IF(ISNUMBER('Funnel setup'!P206),IF(VLOOKUP('Funnel setup'!P206,'Provider Commission - Raw Data'!$A:$Q,8,0)="-","",VLOOKUP('Funnel setup'!P206,'Provider Commission - Raw Data'!$A:$Q,8,0)),"")</f>
        <v>32</v>
      </c>
      <c r="E193" s="251">
        <f>IF(ISNUMBER('Funnel setup'!P206),IF(VLOOKUP('Funnel setup'!P206,'Provider Commission - Raw Data'!$A:$Q,16,0)="-","",VLOOKUP('Funnel setup'!P206,'Provider Commission - Raw Data'!$A:$Q,16,0)),"")</f>
        <v>24.335799999999999</v>
      </c>
      <c r="F193" s="177">
        <f>IF(AND(ISNUMBER('Funnel setup'!P206)),'Funnel setup'!$K$9,"")</f>
        <v>22.515359017022909</v>
      </c>
      <c r="G193" s="177">
        <f>IF(AND(ISNUMBER('Funnel setup'!P206),D193&gt;=30,E193&lt;&gt;"*",D193&lt;&gt;""),F193-1.959963985 *('Funnel setup'!$K$8/SQRT('Funnel Data'!D193)),"")</f>
        <v>19.64687940799779</v>
      </c>
      <c r="H193" s="177">
        <f>IF(AND(ISNUMBER('Funnel setup'!P206),D193&gt;=30,E193&lt;&gt;"*",D193&lt;&gt;""),F193+1.959963985 *('Funnel setup'!$K$8/SQRT('Funnel Data'!D193)),"")</f>
        <v>25.383838626048028</v>
      </c>
      <c r="I193" s="177">
        <f>IF(AND(ISNUMBER('Funnel setup'!P206),D193&gt;=30,E193&lt;&gt;"*",D193&lt;&gt;""),F193-3.090232306 *('Funnel setup'!$K$8/SQRT('Funnel Data'!D193)),"")</f>
        <v>17.992690016596519</v>
      </c>
      <c r="J193" s="177">
        <f>IF(AND(ISNUMBER('Funnel setup'!P206),D193&gt;=30,E193&lt;&gt;"*",D193&lt;&gt;""),F193+3.090232306 *('Funnel setup'!$K$8/SQRT('Funnel Data'!D193)),"")</f>
        <v>27.0380280174493</v>
      </c>
      <c r="K193" s="178" t="str">
        <f>IF(AND(ISNUMBER('Funnel setup'!P206),D193&gt;=30,E193&lt;&gt;"*",D193&lt;&gt;""),IF(E193&gt;J193,'Funnel setup'!$K$15&amp;"99.8%",IF(E193&gt;H193,'Funnel setup'!$K$15&amp;"95%",IF(E193&lt;I193,'Funnel setup'!$K$16&amp;"99.8%",IF(E193&lt;G193,'Funnel setup'!$K$16&amp;"95%","")))),"")</f>
        <v/>
      </c>
    </row>
    <row r="194" spans="2:11" ht="15" customHeight="1" x14ac:dyDescent="0.35">
      <c r="B194" s="174" t="str">
        <f>IF(ISNUMBER('Funnel setup'!P207),VLOOKUP('Funnel setup'!$P207,'Provider Commission - Raw Data'!$A:$Q,5,0),"")</f>
        <v>NT321</v>
      </c>
      <c r="C194" s="175" t="str">
        <f>IF(ISNUMBER('Funnel setup'!P207),VLOOKUP('Funnel setup'!P207,'Provider Commission - Raw Data'!$A:$Q,6,0),"")</f>
        <v>SPIRE LITTLE ASTON HOSPITAL (NT321)</v>
      </c>
      <c r="D194" s="176">
        <f>IF(ISNUMBER('Funnel setup'!P207),IF(VLOOKUP('Funnel setup'!P207,'Provider Commission - Raw Data'!$A:$Q,8,0)="-","",VLOOKUP('Funnel setup'!P207,'Provider Commission - Raw Data'!$A:$Q,8,0)),"")</f>
        <v>30</v>
      </c>
      <c r="E194" s="251">
        <f>IF(ISNUMBER('Funnel setup'!P207),IF(VLOOKUP('Funnel setup'!P207,'Provider Commission - Raw Data'!$A:$Q,16,0)="-","",VLOOKUP('Funnel setup'!P207,'Provider Commission - Raw Data'!$A:$Q,16,0)),"")</f>
        <v>17.764800000000001</v>
      </c>
      <c r="F194" s="177">
        <f>IF(AND(ISNUMBER('Funnel setup'!P207)),'Funnel setup'!$K$9,"")</f>
        <v>22.515359017022909</v>
      </c>
      <c r="G194" s="177">
        <f>IF(AND(ISNUMBER('Funnel setup'!P207),D194&gt;=30,E194&lt;&gt;"*",D194&lt;&gt;""),F194-1.959963985 *('Funnel setup'!$K$8/SQRT('Funnel Data'!D194)),"")</f>
        <v>19.55280601577228</v>
      </c>
      <c r="H194" s="177">
        <f>IF(AND(ISNUMBER('Funnel setup'!P207),D194&gt;=30,E194&lt;&gt;"*",D194&lt;&gt;""),F194+1.959963985 *('Funnel setup'!$K$8/SQRT('Funnel Data'!D194)),"")</f>
        <v>25.477912018273539</v>
      </c>
      <c r="I194" s="177">
        <f>IF(AND(ISNUMBER('Funnel setup'!P207),D194&gt;=30,E194&lt;&gt;"*",D194&lt;&gt;""),F194-3.090232306 *('Funnel setup'!$K$8/SQRT('Funnel Data'!D194)),"")</f>
        <v>17.844366558606922</v>
      </c>
      <c r="J194" s="177">
        <f>IF(AND(ISNUMBER('Funnel setup'!P207),D194&gt;=30,E194&lt;&gt;"*",D194&lt;&gt;""),F194+3.090232306 *('Funnel setup'!$K$8/SQRT('Funnel Data'!D194)),"")</f>
        <v>27.186351475438897</v>
      </c>
      <c r="K194" s="178" t="str">
        <f>IF(AND(ISNUMBER('Funnel setup'!P207),D194&gt;=30,E194&lt;&gt;"*",D194&lt;&gt;""),IF(E194&gt;J194,'Funnel setup'!$K$15&amp;"99.8%",IF(E194&gt;H194,'Funnel setup'!$K$15&amp;"95%",IF(E194&lt;I194,'Funnel setup'!$K$16&amp;"99.8%",IF(E194&lt;G194,'Funnel setup'!$K$16&amp;"95%","")))),"")</f>
        <v>Lower 99.8%</v>
      </c>
    </row>
    <row r="195" spans="2:11" ht="15" customHeight="1" x14ac:dyDescent="0.35">
      <c r="B195" s="174" t="str">
        <f>IF(ISNUMBER('Funnel setup'!P208),VLOOKUP('Funnel setup'!$P208,'Provider Commission - Raw Data'!$A:$Q,5,0),"")</f>
        <v>NT337</v>
      </c>
      <c r="C195" s="175" t="str">
        <f>IF(ISNUMBER('Funnel setup'!P208),VLOOKUP('Funnel setup'!P208,'Provider Commission - Raw Data'!$A:$Q,6,0),"")</f>
        <v>SPIRE LIVERPOOL HOSPITAL (NT337)</v>
      </c>
      <c r="D195" s="176">
        <f>IF(ISNUMBER('Funnel setup'!P208),IF(VLOOKUP('Funnel setup'!P208,'Provider Commission - Raw Data'!$A:$Q,8,0)="-","",VLOOKUP('Funnel setup'!P208,'Provider Commission - Raw Data'!$A:$Q,8,0)),"")</f>
        <v>9</v>
      </c>
      <c r="E195" s="251" t="str">
        <f>IF(ISNUMBER('Funnel setup'!P208),IF(VLOOKUP('Funnel setup'!P208,'Provider Commission - Raw Data'!$A:$Q,16,0)="-","",VLOOKUP('Funnel setup'!P208,'Provider Commission - Raw Data'!$A:$Q,16,0)),"")</f>
        <v>*</v>
      </c>
      <c r="F195" s="177">
        <f>IF(AND(ISNUMBER('Funnel setup'!P208)),'Funnel setup'!$K$9,"")</f>
        <v>22.515359017022909</v>
      </c>
      <c r="G195" s="177" t="str">
        <f>IF(AND(ISNUMBER('Funnel setup'!P208),D195&gt;=30,E195&lt;&gt;"*",D195&lt;&gt;""),F195-1.959963985 *('Funnel setup'!$K$8/SQRT('Funnel Data'!D195)),"")</f>
        <v/>
      </c>
      <c r="H195" s="177" t="str">
        <f>IF(AND(ISNUMBER('Funnel setup'!P208),D195&gt;=30,E195&lt;&gt;"*",D195&lt;&gt;""),F195+1.959963985 *('Funnel setup'!$K$8/SQRT('Funnel Data'!D195)),"")</f>
        <v/>
      </c>
      <c r="I195" s="177" t="str">
        <f>IF(AND(ISNUMBER('Funnel setup'!P208),D195&gt;=30,E195&lt;&gt;"*",D195&lt;&gt;""),F195-3.090232306 *('Funnel setup'!$K$8/SQRT('Funnel Data'!D195)),"")</f>
        <v/>
      </c>
      <c r="J195" s="177" t="str">
        <f>IF(AND(ISNUMBER('Funnel setup'!P208),D195&gt;=30,E195&lt;&gt;"*",D195&lt;&gt;""),F195+3.090232306 *('Funnel setup'!$K$8/SQRT('Funnel Data'!D195)),"")</f>
        <v/>
      </c>
      <c r="K195" s="178" t="str">
        <f>IF(AND(ISNUMBER('Funnel setup'!P208),D195&gt;=30,E195&lt;&gt;"*",D195&lt;&gt;""),IF(E195&gt;J195,'Funnel setup'!$K$15&amp;"99.8%",IF(E195&gt;H195,'Funnel setup'!$K$15&amp;"95%",IF(E195&lt;I195,'Funnel setup'!$K$16&amp;"99.8%",IF(E195&lt;G195,'Funnel setup'!$K$16&amp;"95%","")))),"")</f>
        <v/>
      </c>
    </row>
    <row r="196" spans="2:11" ht="15" customHeight="1" x14ac:dyDescent="0.35">
      <c r="B196" s="174" t="str">
        <f>IF(ISNUMBER('Funnel setup'!P209),VLOOKUP('Funnel setup'!$P209,'Provider Commission - Raw Data'!$A:$Q,5,0),"")</f>
        <v>NT327</v>
      </c>
      <c r="C196" s="175" t="str">
        <f>IF(ISNUMBER('Funnel setup'!P209),VLOOKUP('Funnel setup'!P209,'Provider Commission - Raw Data'!$A:$Q,6,0),"")</f>
        <v>SPIRE MANCHESTER HOSPITAL (NT327)</v>
      </c>
      <c r="D196" s="176">
        <f>IF(ISNUMBER('Funnel setup'!P209),IF(VLOOKUP('Funnel setup'!P209,'Provider Commission - Raw Data'!$A:$Q,8,0)="-","",VLOOKUP('Funnel setup'!P209,'Provider Commission - Raw Data'!$A:$Q,8,0)),"")</f>
        <v>31</v>
      </c>
      <c r="E196" s="251">
        <f>IF(ISNUMBER('Funnel setup'!P209),IF(VLOOKUP('Funnel setup'!P209,'Provider Commission - Raw Data'!$A:$Q,16,0)="-","",VLOOKUP('Funnel setup'!P209,'Provider Commission - Raw Data'!$A:$Q,16,0)),"")</f>
        <v>21.158899999999999</v>
      </c>
      <c r="F196" s="177">
        <f>IF(AND(ISNUMBER('Funnel setup'!P209)),'Funnel setup'!$K$9,"")</f>
        <v>22.515359017022909</v>
      </c>
      <c r="G196" s="177">
        <f>IF(AND(ISNUMBER('Funnel setup'!P209),D196&gt;=30,E196&lt;&gt;"*",D196&lt;&gt;""),F196-1.959963985 *('Funnel setup'!$K$8/SQRT('Funnel Data'!D196)),"")</f>
        <v>19.600980819873733</v>
      </c>
      <c r="H196" s="177">
        <f>IF(AND(ISNUMBER('Funnel setup'!P209),D196&gt;=30,E196&lt;&gt;"*",D196&lt;&gt;""),F196+1.959963985 *('Funnel setup'!$K$8/SQRT('Funnel Data'!D196)),"")</f>
        <v>25.429737214172086</v>
      </c>
      <c r="I196" s="177">
        <f>IF(AND(ISNUMBER('Funnel setup'!P209),D196&gt;=30,E196&lt;&gt;"*",D196&lt;&gt;""),F196-3.090232306 *('Funnel setup'!$K$8/SQRT('Funnel Data'!D196)),"")</f>
        <v>17.920322717551098</v>
      </c>
      <c r="J196" s="177">
        <f>IF(AND(ISNUMBER('Funnel setup'!P209),D196&gt;=30,E196&lt;&gt;"*",D196&lt;&gt;""),F196+3.090232306 *('Funnel setup'!$K$8/SQRT('Funnel Data'!D196)),"")</f>
        <v>27.110395316494721</v>
      </c>
      <c r="K196" s="178" t="str">
        <f>IF(AND(ISNUMBER('Funnel setup'!P209),D196&gt;=30,E196&lt;&gt;"*",D196&lt;&gt;""),IF(E196&gt;J196,'Funnel setup'!$K$15&amp;"99.8%",IF(E196&gt;H196,'Funnel setup'!$K$15&amp;"95%",IF(E196&lt;I196,'Funnel setup'!$K$16&amp;"99.8%",IF(E196&lt;G196,'Funnel setup'!$K$16&amp;"95%","")))),"")</f>
        <v/>
      </c>
    </row>
    <row r="197" spans="2:11" ht="15" customHeight="1" x14ac:dyDescent="0.35">
      <c r="B197" s="174" t="str">
        <f>IF(ISNUMBER('Funnel setup'!P210),VLOOKUP('Funnel setup'!$P210,'Provider Commission - Raw Data'!$A:$Q,5,0),"")</f>
        <v>NT350</v>
      </c>
      <c r="C197" s="175" t="str">
        <f>IF(ISNUMBER('Funnel setup'!P210),VLOOKUP('Funnel setup'!P210,'Provider Commission - Raw Data'!$A:$Q,6,0),"")</f>
        <v>SPIRE METHLEY PARK HOSPITAL (NT350)</v>
      </c>
      <c r="D197" s="176">
        <f>IF(ISNUMBER('Funnel setup'!P210),IF(VLOOKUP('Funnel setup'!P210,'Provider Commission - Raw Data'!$A:$Q,8,0)="-","",VLOOKUP('Funnel setup'!P210,'Provider Commission - Raw Data'!$A:$Q,8,0)),"")</f>
        <v>28</v>
      </c>
      <c r="E197" s="251" t="str">
        <f>IF(ISNUMBER('Funnel setup'!P210),IF(VLOOKUP('Funnel setup'!P210,'Provider Commission - Raw Data'!$A:$Q,16,0)="-","",VLOOKUP('Funnel setup'!P210,'Provider Commission - Raw Data'!$A:$Q,16,0)),"")</f>
        <v>*</v>
      </c>
      <c r="F197" s="177">
        <f>IF(AND(ISNUMBER('Funnel setup'!P210)),'Funnel setup'!$K$9,"")</f>
        <v>22.515359017022909</v>
      </c>
      <c r="G197" s="177" t="str">
        <f>IF(AND(ISNUMBER('Funnel setup'!P210),D197&gt;=30,E197&lt;&gt;"*",D197&lt;&gt;""),F197-1.959963985 *('Funnel setup'!$K$8/SQRT('Funnel Data'!D197)),"")</f>
        <v/>
      </c>
      <c r="H197" s="177" t="str">
        <f>IF(AND(ISNUMBER('Funnel setup'!P210),D197&gt;=30,E197&lt;&gt;"*",D197&lt;&gt;""),F197+1.959963985 *('Funnel setup'!$K$8/SQRT('Funnel Data'!D197)),"")</f>
        <v/>
      </c>
      <c r="I197" s="177" t="str">
        <f>IF(AND(ISNUMBER('Funnel setup'!P210),D197&gt;=30,E197&lt;&gt;"*",D197&lt;&gt;""),F197-3.090232306 *('Funnel setup'!$K$8/SQRT('Funnel Data'!D197)),"")</f>
        <v/>
      </c>
      <c r="J197" s="177" t="str">
        <f>IF(AND(ISNUMBER('Funnel setup'!P210),D197&gt;=30,E197&lt;&gt;"*",D197&lt;&gt;""),F197+3.090232306 *('Funnel setup'!$K$8/SQRT('Funnel Data'!D197)),"")</f>
        <v/>
      </c>
      <c r="K197" s="178" t="str">
        <f>IF(AND(ISNUMBER('Funnel setup'!P210),D197&gt;=30,E197&lt;&gt;"*",D197&lt;&gt;""),IF(E197&gt;J197,'Funnel setup'!$K$15&amp;"99.8%",IF(E197&gt;H197,'Funnel setup'!$K$15&amp;"95%",IF(E197&lt;I197,'Funnel setup'!$K$16&amp;"99.8%",IF(E197&lt;G197,'Funnel setup'!$K$16&amp;"95%","")))),"")</f>
        <v/>
      </c>
    </row>
    <row r="198" spans="2:11" ht="30" customHeight="1" x14ac:dyDescent="0.35">
      <c r="B198" s="174" t="str">
        <f>IF(ISNUMBER('Funnel setup'!P211),VLOOKUP('Funnel setup'!$P211,'Provider Commission - Raw Data'!$A:$Q,5,0),"")</f>
        <v>NT364</v>
      </c>
      <c r="C198" s="175" t="str">
        <f>IF(ISNUMBER('Funnel setup'!P211),VLOOKUP('Funnel setup'!P211,'Provider Commission - Raw Data'!$A:$Q,6,0),"")</f>
        <v>SPIRE MONTEFIORE HOSPITAL (NT364)</v>
      </c>
      <c r="D198" s="176">
        <f>IF(ISNUMBER('Funnel setup'!P211),IF(VLOOKUP('Funnel setup'!P211,'Provider Commission - Raw Data'!$A:$Q,8,0)="-","",VLOOKUP('Funnel setup'!P211,'Provider Commission - Raw Data'!$A:$Q,8,0)),"")</f>
        <v>3</v>
      </c>
      <c r="E198" s="251" t="str">
        <f>IF(ISNUMBER('Funnel setup'!P211),IF(VLOOKUP('Funnel setup'!P211,'Provider Commission - Raw Data'!$A:$Q,16,0)="-","",VLOOKUP('Funnel setup'!P211,'Provider Commission - Raw Data'!$A:$Q,16,0)),"")</f>
        <v>*</v>
      </c>
      <c r="F198" s="177">
        <f>IF(AND(ISNUMBER('Funnel setup'!P211)),'Funnel setup'!$K$9,"")</f>
        <v>22.515359017022909</v>
      </c>
      <c r="G198" s="177" t="str">
        <f>IF(AND(ISNUMBER('Funnel setup'!P211),D198&gt;=30,E198&lt;&gt;"*",D198&lt;&gt;""),F198-1.959963985 *('Funnel setup'!$K$8/SQRT('Funnel Data'!D198)),"")</f>
        <v/>
      </c>
      <c r="H198" s="177" t="str">
        <f>IF(AND(ISNUMBER('Funnel setup'!P211),D198&gt;=30,E198&lt;&gt;"*",D198&lt;&gt;""),F198+1.959963985 *('Funnel setup'!$K$8/SQRT('Funnel Data'!D198)),"")</f>
        <v/>
      </c>
      <c r="I198" s="177" t="str">
        <f>IF(AND(ISNUMBER('Funnel setup'!P211),D198&gt;=30,E198&lt;&gt;"*",D198&lt;&gt;""),F198-3.090232306 *('Funnel setup'!$K$8/SQRT('Funnel Data'!D198)),"")</f>
        <v/>
      </c>
      <c r="J198" s="177" t="str">
        <f>IF(AND(ISNUMBER('Funnel setup'!P211),D198&gt;=30,E198&lt;&gt;"*",D198&lt;&gt;""),F198+3.090232306 *('Funnel setup'!$K$8/SQRT('Funnel Data'!D198)),"")</f>
        <v/>
      </c>
      <c r="K198" s="178" t="str">
        <f>IF(AND(ISNUMBER('Funnel setup'!P211),D198&gt;=30,E198&lt;&gt;"*",D198&lt;&gt;""),IF(E198&gt;J198,'Funnel setup'!$K$15&amp;"99.8%",IF(E198&gt;H198,'Funnel setup'!$K$15&amp;"95%",IF(E198&lt;I198,'Funnel setup'!$K$16&amp;"99.8%",IF(E198&lt;G198,'Funnel setup'!$K$16&amp;"95%","")))),"")</f>
        <v/>
      </c>
    </row>
    <row r="199" spans="2:11" ht="15" customHeight="1" x14ac:dyDescent="0.35">
      <c r="B199" s="174" t="str">
        <f>IF(ISNUMBER('Funnel setup'!P212),VLOOKUP('Funnel setup'!$P212,'Provider Commission - Raw Data'!$A:$Q,5,0),"")</f>
        <v>NT325</v>
      </c>
      <c r="C199" s="175" t="str">
        <f>IF(ISNUMBER('Funnel setup'!P212),VLOOKUP('Funnel setup'!P212,'Provider Commission - Raw Data'!$A:$Q,6,0),"")</f>
        <v>SPIRE MURRAYFIELD HOSPITAL (NT325)</v>
      </c>
      <c r="D199" s="176">
        <f>IF(ISNUMBER('Funnel setup'!P212),IF(VLOOKUP('Funnel setup'!P212,'Provider Commission - Raw Data'!$A:$Q,8,0)="-","",VLOOKUP('Funnel setup'!P212,'Provider Commission - Raw Data'!$A:$Q,8,0)),"")</f>
        <v>5</v>
      </c>
      <c r="E199" s="251" t="str">
        <f>IF(ISNUMBER('Funnel setup'!P212),IF(VLOOKUP('Funnel setup'!P212,'Provider Commission - Raw Data'!$A:$Q,16,0)="-","",VLOOKUP('Funnel setup'!P212,'Provider Commission - Raw Data'!$A:$Q,16,0)),"")</f>
        <v>*</v>
      </c>
      <c r="F199" s="177">
        <f>IF(AND(ISNUMBER('Funnel setup'!P212)),'Funnel setup'!$K$9,"")</f>
        <v>22.515359017022909</v>
      </c>
      <c r="G199" s="177" t="str">
        <f>IF(AND(ISNUMBER('Funnel setup'!P212),D199&gt;=30,E199&lt;&gt;"*",D199&lt;&gt;""),F199-1.959963985 *('Funnel setup'!$K$8/SQRT('Funnel Data'!D199)),"")</f>
        <v/>
      </c>
      <c r="H199" s="177" t="str">
        <f>IF(AND(ISNUMBER('Funnel setup'!P212),D199&gt;=30,E199&lt;&gt;"*",D199&lt;&gt;""),F199+1.959963985 *('Funnel setup'!$K$8/SQRT('Funnel Data'!D199)),"")</f>
        <v/>
      </c>
      <c r="I199" s="177" t="str">
        <f>IF(AND(ISNUMBER('Funnel setup'!P212),D199&gt;=30,E199&lt;&gt;"*",D199&lt;&gt;""),F199-3.090232306 *('Funnel setup'!$K$8/SQRT('Funnel Data'!D199)),"")</f>
        <v/>
      </c>
      <c r="J199" s="177" t="str">
        <f>IF(AND(ISNUMBER('Funnel setup'!P212),D199&gt;=30,E199&lt;&gt;"*",D199&lt;&gt;""),F199+3.090232306 *('Funnel setup'!$K$8/SQRT('Funnel Data'!D199)),"")</f>
        <v/>
      </c>
      <c r="K199" s="178" t="str">
        <f>IF(AND(ISNUMBER('Funnel setup'!P212),D199&gt;=30,E199&lt;&gt;"*",D199&lt;&gt;""),IF(E199&gt;J199,'Funnel setup'!$K$15&amp;"99.8%",IF(E199&gt;H199,'Funnel setup'!$K$15&amp;"95%",IF(E199&lt;I199,'Funnel setup'!$K$16&amp;"99.8%",IF(E199&lt;G199,'Funnel setup'!$K$16&amp;"95%","")))),"")</f>
        <v/>
      </c>
    </row>
    <row r="200" spans="2:11" ht="15" customHeight="1" x14ac:dyDescent="0.35">
      <c r="B200" s="174" t="str">
        <f>IF(ISNUMBER('Funnel setup'!P213),VLOOKUP('Funnel setup'!$P213,'Provider Commission - Raw Data'!$A:$Q,5,0),"")</f>
        <v>NT30A</v>
      </c>
      <c r="C200" s="175" t="str">
        <f>IF(ISNUMBER('Funnel setup'!P213),VLOOKUP('Funnel setup'!P213,'Provider Commission - Raw Data'!$A:$Q,6,0),"")</f>
        <v>SPIRE NOTTINGHAM HOSPITAL (NT30A)</v>
      </c>
      <c r="D200" s="176">
        <f>IF(ISNUMBER('Funnel setup'!P213),IF(VLOOKUP('Funnel setup'!P213,'Provider Commission - Raw Data'!$A:$Q,8,0)="-","",VLOOKUP('Funnel setup'!P213,'Provider Commission - Raw Data'!$A:$Q,8,0)),"")</f>
        <v>1</v>
      </c>
      <c r="E200" s="251" t="str">
        <f>IF(ISNUMBER('Funnel setup'!P213),IF(VLOOKUP('Funnel setup'!P213,'Provider Commission - Raw Data'!$A:$Q,16,0)="-","",VLOOKUP('Funnel setup'!P213,'Provider Commission - Raw Data'!$A:$Q,16,0)),"")</f>
        <v>*</v>
      </c>
      <c r="F200" s="177">
        <f>IF(AND(ISNUMBER('Funnel setup'!P213)),'Funnel setup'!$K$9,"")</f>
        <v>22.515359017022909</v>
      </c>
      <c r="G200" s="177" t="str">
        <f>IF(AND(ISNUMBER('Funnel setup'!P213),D200&gt;=30,E200&lt;&gt;"*",D200&lt;&gt;""),F200-1.959963985 *('Funnel setup'!$K$8/SQRT('Funnel Data'!D200)),"")</f>
        <v/>
      </c>
      <c r="H200" s="177" t="str">
        <f>IF(AND(ISNUMBER('Funnel setup'!P213),D200&gt;=30,E200&lt;&gt;"*",D200&lt;&gt;""),F200+1.959963985 *('Funnel setup'!$K$8/SQRT('Funnel Data'!D200)),"")</f>
        <v/>
      </c>
      <c r="I200" s="177" t="str">
        <f>IF(AND(ISNUMBER('Funnel setup'!P213),D200&gt;=30,E200&lt;&gt;"*",D200&lt;&gt;""),F200-3.090232306 *('Funnel setup'!$K$8/SQRT('Funnel Data'!D200)),"")</f>
        <v/>
      </c>
      <c r="J200" s="177" t="str">
        <f>IF(AND(ISNUMBER('Funnel setup'!P213),D200&gt;=30,E200&lt;&gt;"*",D200&lt;&gt;""),F200+3.090232306 *('Funnel setup'!$K$8/SQRT('Funnel Data'!D200)),"")</f>
        <v/>
      </c>
      <c r="K200" s="178" t="str">
        <f>IF(AND(ISNUMBER('Funnel setup'!P213),D200&gt;=30,E200&lt;&gt;"*",D200&lt;&gt;""),IF(E200&gt;J200,'Funnel setup'!$K$15&amp;"99.8%",IF(E200&gt;H200,'Funnel setup'!$K$15&amp;"95%",IF(E200&lt;I200,'Funnel setup'!$K$16&amp;"99.8%",IF(E200&lt;G200,'Funnel setup'!$K$16&amp;"95%","")))),"")</f>
        <v/>
      </c>
    </row>
    <row r="201" spans="2:11" ht="15" customHeight="1" x14ac:dyDescent="0.35">
      <c r="B201" s="174" t="str">
        <f>IF(ISNUMBER('Funnel setup'!P214),VLOOKUP('Funnel setup'!$P214,'Provider Commission - Raw Data'!$A:$Q,5,0),"")</f>
        <v>NT320</v>
      </c>
      <c r="C201" s="175" t="str">
        <f>IF(ISNUMBER('Funnel setup'!P214),VLOOKUP('Funnel setup'!P214,'Provider Commission - Raw Data'!$A:$Q,6,0),"")</f>
        <v>SPIRE PARKWAY HOSPITAL (NT320)</v>
      </c>
      <c r="D201" s="176">
        <f>IF(ISNUMBER('Funnel setup'!P214),IF(VLOOKUP('Funnel setup'!P214,'Provider Commission - Raw Data'!$A:$Q,8,0)="-","",VLOOKUP('Funnel setup'!P214,'Provider Commission - Raw Data'!$A:$Q,8,0)),"")</f>
        <v>19</v>
      </c>
      <c r="E201" s="251" t="str">
        <f>IF(ISNUMBER('Funnel setup'!P214),IF(VLOOKUP('Funnel setup'!P214,'Provider Commission - Raw Data'!$A:$Q,16,0)="-","",VLOOKUP('Funnel setup'!P214,'Provider Commission - Raw Data'!$A:$Q,16,0)),"")</f>
        <v>*</v>
      </c>
      <c r="F201" s="177">
        <f>IF(AND(ISNUMBER('Funnel setup'!P214)),'Funnel setup'!$K$9,"")</f>
        <v>22.515359017022909</v>
      </c>
      <c r="G201" s="177" t="str">
        <f>IF(AND(ISNUMBER('Funnel setup'!P214),D201&gt;=30,E201&lt;&gt;"*",D201&lt;&gt;""),F201-1.959963985 *('Funnel setup'!$K$8/SQRT('Funnel Data'!D201)),"")</f>
        <v/>
      </c>
      <c r="H201" s="177" t="str">
        <f>IF(AND(ISNUMBER('Funnel setup'!P214),D201&gt;=30,E201&lt;&gt;"*",D201&lt;&gt;""),F201+1.959963985 *('Funnel setup'!$K$8/SQRT('Funnel Data'!D201)),"")</f>
        <v/>
      </c>
      <c r="I201" s="177" t="str">
        <f>IF(AND(ISNUMBER('Funnel setup'!P214),D201&gt;=30,E201&lt;&gt;"*",D201&lt;&gt;""),F201-3.090232306 *('Funnel setup'!$K$8/SQRT('Funnel Data'!D201)),"")</f>
        <v/>
      </c>
      <c r="J201" s="177" t="str">
        <f>IF(AND(ISNUMBER('Funnel setup'!P214),D201&gt;=30,E201&lt;&gt;"*",D201&lt;&gt;""),F201+3.090232306 *('Funnel setup'!$K$8/SQRT('Funnel Data'!D201)),"")</f>
        <v/>
      </c>
      <c r="K201" s="178" t="str">
        <f>IF(AND(ISNUMBER('Funnel setup'!P214),D201&gt;=30,E201&lt;&gt;"*",D201&lt;&gt;""),IF(E201&gt;J201,'Funnel setup'!$K$15&amp;"99.8%",IF(E201&gt;H201,'Funnel setup'!$K$15&amp;"95%",IF(E201&lt;I201,'Funnel setup'!$K$16&amp;"99.8%",IF(E201&lt;G201,'Funnel setup'!$K$16&amp;"95%","")))),"")</f>
        <v/>
      </c>
    </row>
    <row r="202" spans="2:11" ht="30" customHeight="1" x14ac:dyDescent="0.35">
      <c r="B202" s="174" t="str">
        <f>IF(ISNUMBER('Funnel setup'!P215),VLOOKUP('Funnel setup'!$P215,'Provider Commission - Raw Data'!$A:$Q,5,0),"")</f>
        <v>NT305</v>
      </c>
      <c r="C202" s="175" t="str">
        <f>IF(ISNUMBER('Funnel setup'!P215),VLOOKUP('Funnel setup'!P215,'Provider Commission - Raw Data'!$A:$Q,6,0),"")</f>
        <v>SPIRE PORTSMOUTH HOSPITAL (NT305)</v>
      </c>
      <c r="D202" s="176">
        <f>IF(ISNUMBER('Funnel setup'!P215),IF(VLOOKUP('Funnel setup'!P215,'Provider Commission - Raw Data'!$A:$Q,8,0)="-","",VLOOKUP('Funnel setup'!P215,'Provider Commission - Raw Data'!$A:$Q,8,0)),"")</f>
        <v>12</v>
      </c>
      <c r="E202" s="251" t="str">
        <f>IF(ISNUMBER('Funnel setup'!P215),IF(VLOOKUP('Funnel setup'!P215,'Provider Commission - Raw Data'!$A:$Q,16,0)="-","",VLOOKUP('Funnel setup'!P215,'Provider Commission - Raw Data'!$A:$Q,16,0)),"")</f>
        <v>*</v>
      </c>
      <c r="F202" s="177">
        <f>IF(AND(ISNUMBER('Funnel setup'!P215)),'Funnel setup'!$K$9,"")</f>
        <v>22.515359017022909</v>
      </c>
      <c r="G202" s="177" t="str">
        <f>IF(AND(ISNUMBER('Funnel setup'!P215),D202&gt;=30,E202&lt;&gt;"*",D202&lt;&gt;""),F202-1.959963985 *('Funnel setup'!$K$8/SQRT('Funnel Data'!D202)),"")</f>
        <v/>
      </c>
      <c r="H202" s="177" t="str">
        <f>IF(AND(ISNUMBER('Funnel setup'!P215),D202&gt;=30,E202&lt;&gt;"*",D202&lt;&gt;""),F202+1.959963985 *('Funnel setup'!$K$8/SQRT('Funnel Data'!D202)),"")</f>
        <v/>
      </c>
      <c r="I202" s="177" t="str">
        <f>IF(AND(ISNUMBER('Funnel setup'!P215),D202&gt;=30,E202&lt;&gt;"*",D202&lt;&gt;""),F202-3.090232306 *('Funnel setup'!$K$8/SQRT('Funnel Data'!D202)),"")</f>
        <v/>
      </c>
      <c r="J202" s="177" t="str">
        <f>IF(AND(ISNUMBER('Funnel setup'!P215),D202&gt;=30,E202&lt;&gt;"*",D202&lt;&gt;""),F202+3.090232306 *('Funnel setup'!$K$8/SQRT('Funnel Data'!D202)),"")</f>
        <v/>
      </c>
      <c r="K202" s="178" t="str">
        <f>IF(AND(ISNUMBER('Funnel setup'!P215),D202&gt;=30,E202&lt;&gt;"*",D202&lt;&gt;""),IF(E202&gt;J202,'Funnel setup'!$K$15&amp;"99.8%",IF(E202&gt;H202,'Funnel setup'!$K$15&amp;"95%",IF(E202&lt;I202,'Funnel setup'!$K$16&amp;"99.8%",IF(E202&lt;G202,'Funnel setup'!$K$16&amp;"95%","")))),"")</f>
        <v/>
      </c>
    </row>
    <row r="203" spans="2:11" ht="15" customHeight="1" x14ac:dyDescent="0.35">
      <c r="B203" s="174" t="str">
        <f>IF(ISNUMBER('Funnel setup'!P216),VLOOKUP('Funnel setup'!$P216,'Provider Commission - Raw Data'!$A:$Q,5,0),"")</f>
        <v>NT339</v>
      </c>
      <c r="C203" s="175" t="str">
        <f>IF(ISNUMBER('Funnel setup'!P216),VLOOKUP('Funnel setup'!P216,'Provider Commission - Raw Data'!$A:$Q,6,0),"")</f>
        <v>SPIRE REGENCY HOSPITAL (NT339)</v>
      </c>
      <c r="D203" s="176">
        <f>IF(ISNUMBER('Funnel setup'!P216),IF(VLOOKUP('Funnel setup'!P216,'Provider Commission - Raw Data'!$A:$Q,8,0)="-","",VLOOKUP('Funnel setup'!P216,'Provider Commission - Raw Data'!$A:$Q,8,0)),"")</f>
        <v>32</v>
      </c>
      <c r="E203" s="251">
        <f>IF(ISNUMBER('Funnel setup'!P216),IF(VLOOKUP('Funnel setup'!P216,'Provider Commission - Raw Data'!$A:$Q,16,0)="-","",VLOOKUP('Funnel setup'!P216,'Provider Commission - Raw Data'!$A:$Q,16,0)),"")</f>
        <v>20.387799999999999</v>
      </c>
      <c r="F203" s="177">
        <f>IF(AND(ISNUMBER('Funnel setup'!P216)),'Funnel setup'!$K$9,"")</f>
        <v>22.515359017022909</v>
      </c>
      <c r="G203" s="177">
        <f>IF(AND(ISNUMBER('Funnel setup'!P216),D203&gt;=30,E203&lt;&gt;"*",D203&lt;&gt;""),F203-1.959963985 *('Funnel setup'!$K$8/SQRT('Funnel Data'!D203)),"")</f>
        <v>19.64687940799779</v>
      </c>
      <c r="H203" s="177">
        <f>IF(AND(ISNUMBER('Funnel setup'!P216),D203&gt;=30,E203&lt;&gt;"*",D203&lt;&gt;""),F203+1.959963985 *('Funnel setup'!$K$8/SQRT('Funnel Data'!D203)),"")</f>
        <v>25.383838626048028</v>
      </c>
      <c r="I203" s="177">
        <f>IF(AND(ISNUMBER('Funnel setup'!P216),D203&gt;=30,E203&lt;&gt;"*",D203&lt;&gt;""),F203-3.090232306 *('Funnel setup'!$K$8/SQRT('Funnel Data'!D203)),"")</f>
        <v>17.992690016596519</v>
      </c>
      <c r="J203" s="177">
        <f>IF(AND(ISNUMBER('Funnel setup'!P216),D203&gt;=30,E203&lt;&gt;"*",D203&lt;&gt;""),F203+3.090232306 *('Funnel setup'!$K$8/SQRT('Funnel Data'!D203)),"")</f>
        <v>27.0380280174493</v>
      </c>
      <c r="K203" s="178" t="str">
        <f>IF(AND(ISNUMBER('Funnel setup'!P216),D203&gt;=30,E203&lt;&gt;"*",D203&lt;&gt;""),IF(E203&gt;J203,'Funnel setup'!$K$15&amp;"99.8%",IF(E203&gt;H203,'Funnel setup'!$K$15&amp;"95%",IF(E203&lt;I203,'Funnel setup'!$K$16&amp;"99.8%",IF(E203&lt;G203,'Funnel setup'!$K$16&amp;"95%","")))),"")</f>
        <v/>
      </c>
    </row>
    <row r="204" spans="2:11" ht="15" customHeight="1" x14ac:dyDescent="0.35">
      <c r="B204" s="174" t="str">
        <f>IF(ISNUMBER('Funnel setup'!P217),VLOOKUP('Funnel setup'!$P217,'Provider Commission - Raw Data'!$A:$Q,5,0),"")</f>
        <v>NT304</v>
      </c>
      <c r="C204" s="175" t="str">
        <f>IF(ISNUMBER('Funnel setup'!P217),VLOOKUP('Funnel setup'!P217,'Provider Commission - Raw Data'!$A:$Q,6,0),"")</f>
        <v>SPIRE SOUTHAMPTON HOSPITAL (NT304)</v>
      </c>
      <c r="D204" s="176">
        <f>IF(ISNUMBER('Funnel setup'!P217),IF(VLOOKUP('Funnel setup'!P217,'Provider Commission - Raw Data'!$A:$Q,8,0)="-","",VLOOKUP('Funnel setup'!P217,'Provider Commission - Raw Data'!$A:$Q,8,0)),"")</f>
        <v>44</v>
      </c>
      <c r="E204" s="251">
        <f>IF(ISNUMBER('Funnel setup'!P217),IF(VLOOKUP('Funnel setup'!P217,'Provider Commission - Raw Data'!$A:$Q,16,0)="-","",VLOOKUP('Funnel setup'!P217,'Provider Commission - Raw Data'!$A:$Q,16,0)),"")</f>
        <v>23.212499999999999</v>
      </c>
      <c r="F204" s="177">
        <f>IF(AND(ISNUMBER('Funnel setup'!P217)),'Funnel setup'!$K$9,"")</f>
        <v>22.515359017022909</v>
      </c>
      <c r="G204" s="177">
        <f>IF(AND(ISNUMBER('Funnel setup'!P217),D204&gt;=30,E204&lt;&gt;"*",D204&lt;&gt;""),F204-1.959963985 *('Funnel setup'!$K$8/SQRT('Funnel Data'!D204)),"")</f>
        <v>20.06911138704044</v>
      </c>
      <c r="H204" s="177">
        <f>IF(AND(ISNUMBER('Funnel setup'!P217),D204&gt;=30,E204&lt;&gt;"*",D204&lt;&gt;""),F204+1.959963985 *('Funnel setup'!$K$8/SQRT('Funnel Data'!D204)),"")</f>
        <v>24.961606647005379</v>
      </c>
      <c r="I204" s="177">
        <f>IF(AND(ISNUMBER('Funnel setup'!P217),D204&gt;=30,E204&lt;&gt;"*",D204&lt;&gt;""),F204-3.090232306 *('Funnel setup'!$K$8/SQRT('Funnel Data'!D204)),"")</f>
        <v>18.658413934102033</v>
      </c>
      <c r="J204" s="177">
        <f>IF(AND(ISNUMBER('Funnel setup'!P217),D204&gt;=30,E204&lt;&gt;"*",D204&lt;&gt;""),F204+3.090232306 *('Funnel setup'!$K$8/SQRT('Funnel Data'!D204)),"")</f>
        <v>26.372304099943786</v>
      </c>
      <c r="K204" s="178" t="str">
        <f>IF(AND(ISNUMBER('Funnel setup'!P217),D204&gt;=30,E204&lt;&gt;"*",D204&lt;&gt;""),IF(E204&gt;J204,'Funnel setup'!$K$15&amp;"99.8%",IF(E204&gt;H204,'Funnel setup'!$K$15&amp;"95%",IF(E204&lt;I204,'Funnel setup'!$K$16&amp;"99.8%",IF(E204&lt;G204,'Funnel setup'!$K$16&amp;"95%","")))),"")</f>
        <v/>
      </c>
    </row>
    <row r="205" spans="2:11" ht="15" customHeight="1" x14ac:dyDescent="0.35">
      <c r="B205" s="174" t="str">
        <f>IF(ISNUMBER('Funnel setup'!P218),VLOOKUP('Funnel setup'!$P218,'Provider Commission - Raw Data'!$A:$Q,5,0),"")</f>
        <v>NT3X3</v>
      </c>
      <c r="C205" s="175" t="str">
        <f>IF(ISNUMBER('Funnel setup'!P218),VLOOKUP('Funnel setup'!P218,'Provider Commission - Raw Data'!$A:$Q,6,0),"")</f>
        <v>SPIRE ST ANTHONY'S HOSPITAL (NT3X3)</v>
      </c>
      <c r="D205" s="176">
        <f>IF(ISNUMBER('Funnel setup'!P218),IF(VLOOKUP('Funnel setup'!P218,'Provider Commission - Raw Data'!$A:$Q,8,0)="-","",VLOOKUP('Funnel setup'!P218,'Provider Commission - Raw Data'!$A:$Q,8,0)),"")</f>
        <v>3</v>
      </c>
      <c r="E205" s="251" t="str">
        <f>IF(ISNUMBER('Funnel setup'!P218),IF(VLOOKUP('Funnel setup'!P218,'Provider Commission - Raw Data'!$A:$Q,16,0)="-","",VLOOKUP('Funnel setup'!P218,'Provider Commission - Raw Data'!$A:$Q,16,0)),"")</f>
        <v>*</v>
      </c>
      <c r="F205" s="177">
        <f>IF(AND(ISNUMBER('Funnel setup'!P218)),'Funnel setup'!$K$9,"")</f>
        <v>22.515359017022909</v>
      </c>
      <c r="G205" s="177" t="str">
        <f>IF(AND(ISNUMBER('Funnel setup'!P218),D205&gt;=30,E205&lt;&gt;"*",D205&lt;&gt;""),F205-1.959963985 *('Funnel setup'!$K$8/SQRT('Funnel Data'!D205)),"")</f>
        <v/>
      </c>
      <c r="H205" s="177" t="str">
        <f>IF(AND(ISNUMBER('Funnel setup'!P218),D205&gt;=30,E205&lt;&gt;"*",D205&lt;&gt;""),F205+1.959963985 *('Funnel setup'!$K$8/SQRT('Funnel Data'!D205)),"")</f>
        <v/>
      </c>
      <c r="I205" s="177" t="str">
        <f>IF(AND(ISNUMBER('Funnel setup'!P218),D205&gt;=30,E205&lt;&gt;"*",D205&lt;&gt;""),F205-3.090232306 *('Funnel setup'!$K$8/SQRT('Funnel Data'!D205)),"")</f>
        <v/>
      </c>
      <c r="J205" s="177" t="str">
        <f>IF(AND(ISNUMBER('Funnel setup'!P218),D205&gt;=30,E205&lt;&gt;"*",D205&lt;&gt;""),F205+3.090232306 *('Funnel setup'!$K$8/SQRT('Funnel Data'!D205)),"")</f>
        <v/>
      </c>
      <c r="K205" s="178" t="str">
        <f>IF(AND(ISNUMBER('Funnel setup'!P218),D205&gt;=30,E205&lt;&gt;"*",D205&lt;&gt;""),IF(E205&gt;J205,'Funnel setup'!$K$15&amp;"99.8%",IF(E205&gt;H205,'Funnel setup'!$K$15&amp;"95%",IF(E205&lt;I205,'Funnel setup'!$K$16&amp;"99.8%",IF(E205&lt;G205,'Funnel setup'!$K$16&amp;"95%","")))),"")</f>
        <v/>
      </c>
    </row>
    <row r="206" spans="2:11" ht="15" customHeight="1" x14ac:dyDescent="0.35">
      <c r="B206" s="174" t="str">
        <f>IF(ISNUMBER('Funnel setup'!P219),VLOOKUP('Funnel setup'!$P219,'Provider Commission - Raw Data'!$A:$Q,5,0),"")</f>
        <v>NT309</v>
      </c>
      <c r="C206" s="175" t="str">
        <f>IF(ISNUMBER('Funnel setup'!P219),VLOOKUP('Funnel setup'!P219,'Provider Commission - Raw Data'!$A:$Q,6,0),"")</f>
        <v>SPIRE SUSSEX HOSPITAL (NT309)</v>
      </c>
      <c r="D206" s="176">
        <f>IF(ISNUMBER('Funnel setup'!P219),IF(VLOOKUP('Funnel setup'!P219,'Provider Commission - Raw Data'!$A:$Q,8,0)="-","",VLOOKUP('Funnel setup'!P219,'Provider Commission - Raw Data'!$A:$Q,8,0)),"")</f>
        <v>7</v>
      </c>
      <c r="E206" s="251" t="str">
        <f>IF(ISNUMBER('Funnel setup'!P219),IF(VLOOKUP('Funnel setup'!P219,'Provider Commission - Raw Data'!$A:$Q,16,0)="-","",VLOOKUP('Funnel setup'!P219,'Provider Commission - Raw Data'!$A:$Q,16,0)),"")</f>
        <v>*</v>
      </c>
      <c r="F206" s="177">
        <f>IF(AND(ISNUMBER('Funnel setup'!P219)),'Funnel setup'!$K$9,"")</f>
        <v>22.515359017022909</v>
      </c>
      <c r="G206" s="177" t="str">
        <f>IF(AND(ISNUMBER('Funnel setup'!P219),D206&gt;=30,E206&lt;&gt;"*",D206&lt;&gt;""),F206-1.959963985 *('Funnel setup'!$K$8/SQRT('Funnel Data'!D206)),"")</f>
        <v/>
      </c>
      <c r="H206" s="177" t="str">
        <f>IF(AND(ISNUMBER('Funnel setup'!P219),D206&gt;=30,E206&lt;&gt;"*",D206&lt;&gt;""),F206+1.959963985 *('Funnel setup'!$K$8/SQRT('Funnel Data'!D206)),"")</f>
        <v/>
      </c>
      <c r="I206" s="177" t="str">
        <f>IF(AND(ISNUMBER('Funnel setup'!P219),D206&gt;=30,E206&lt;&gt;"*",D206&lt;&gt;""),F206-3.090232306 *('Funnel setup'!$K$8/SQRT('Funnel Data'!D206)),"")</f>
        <v/>
      </c>
      <c r="J206" s="177" t="str">
        <f>IF(AND(ISNUMBER('Funnel setup'!P219),D206&gt;=30,E206&lt;&gt;"*",D206&lt;&gt;""),F206+3.090232306 *('Funnel setup'!$K$8/SQRT('Funnel Data'!D206)),"")</f>
        <v/>
      </c>
      <c r="K206" s="178" t="str">
        <f>IF(AND(ISNUMBER('Funnel setup'!P219),D206&gt;=30,E206&lt;&gt;"*",D206&lt;&gt;""),IF(E206&gt;J206,'Funnel setup'!$K$15&amp;"99.8%",IF(E206&gt;H206,'Funnel setup'!$K$15&amp;"95%",IF(E206&lt;I206,'Funnel setup'!$K$16&amp;"99.8%",IF(E206&lt;G206,'Funnel setup'!$K$16&amp;"95%","")))),"")</f>
        <v/>
      </c>
    </row>
    <row r="207" spans="2:11" ht="15" customHeight="1" x14ac:dyDescent="0.35">
      <c r="B207" s="174" t="str">
        <f>IF(ISNUMBER('Funnel setup'!P220),VLOOKUP('Funnel setup'!$P220,'Provider Commission - Raw Data'!$A:$Q,5,0),"")</f>
        <v>NT343</v>
      </c>
      <c r="C207" s="175" t="str">
        <f>IF(ISNUMBER('Funnel setup'!P220),VLOOKUP('Funnel setup'!P220,'Provider Commission - Raw Data'!$A:$Q,6,0),"")</f>
        <v>SPIRE THAMES VALLEY HOSPITAL (NT343)</v>
      </c>
      <c r="D207" s="176">
        <f>IF(ISNUMBER('Funnel setup'!P220),IF(VLOOKUP('Funnel setup'!P220,'Provider Commission - Raw Data'!$A:$Q,8,0)="-","",VLOOKUP('Funnel setup'!P220,'Provider Commission - Raw Data'!$A:$Q,8,0)),"")</f>
        <v>7</v>
      </c>
      <c r="E207" s="251" t="str">
        <f>IF(ISNUMBER('Funnel setup'!P220),IF(VLOOKUP('Funnel setup'!P220,'Provider Commission - Raw Data'!$A:$Q,16,0)="-","",VLOOKUP('Funnel setup'!P220,'Provider Commission - Raw Data'!$A:$Q,16,0)),"")</f>
        <v>*</v>
      </c>
      <c r="F207" s="177">
        <f>IF(AND(ISNUMBER('Funnel setup'!P220)),'Funnel setup'!$K$9,"")</f>
        <v>22.515359017022909</v>
      </c>
      <c r="G207" s="177" t="str">
        <f>IF(AND(ISNUMBER('Funnel setup'!P220),D207&gt;=30,E207&lt;&gt;"*",D207&lt;&gt;""),F207-1.959963985 *('Funnel setup'!$K$8/SQRT('Funnel Data'!D207)),"")</f>
        <v/>
      </c>
      <c r="H207" s="177" t="str">
        <f>IF(AND(ISNUMBER('Funnel setup'!P220),D207&gt;=30,E207&lt;&gt;"*",D207&lt;&gt;""),F207+1.959963985 *('Funnel setup'!$K$8/SQRT('Funnel Data'!D207)),"")</f>
        <v/>
      </c>
      <c r="I207" s="177" t="str">
        <f>IF(AND(ISNUMBER('Funnel setup'!P220),D207&gt;=30,E207&lt;&gt;"*",D207&lt;&gt;""),F207-3.090232306 *('Funnel setup'!$K$8/SQRT('Funnel Data'!D207)),"")</f>
        <v/>
      </c>
      <c r="J207" s="177" t="str">
        <f>IF(AND(ISNUMBER('Funnel setup'!P220),D207&gt;=30,E207&lt;&gt;"*",D207&lt;&gt;""),F207+3.090232306 *('Funnel setup'!$K$8/SQRT('Funnel Data'!D207)),"")</f>
        <v/>
      </c>
      <c r="K207" s="178" t="str">
        <f>IF(AND(ISNUMBER('Funnel setup'!P220),D207&gt;=30,E207&lt;&gt;"*",D207&lt;&gt;""),IF(E207&gt;J207,'Funnel setup'!$K$15&amp;"99.8%",IF(E207&gt;H207,'Funnel setup'!$K$15&amp;"95%",IF(E207&lt;I207,'Funnel setup'!$K$16&amp;"99.8%",IF(E207&lt;G207,'Funnel setup'!$K$16&amp;"95%","")))),"")</f>
        <v/>
      </c>
    </row>
    <row r="208" spans="2:11" ht="30" customHeight="1" x14ac:dyDescent="0.35">
      <c r="B208" s="174" t="str">
        <f>IF(ISNUMBER('Funnel setup'!P221),VLOOKUP('Funnel setup'!$P221,'Provider Commission - Raw Data'!$A:$Q,5,0),"")</f>
        <v>NT310</v>
      </c>
      <c r="C208" s="175" t="str">
        <f>IF(ISNUMBER('Funnel setup'!P221),VLOOKUP('Funnel setup'!P221,'Provider Commission - Raw Data'!$A:$Q,6,0),"")</f>
        <v>SPIRE TUNBRIDGE WELLS HOSPITAL (NT310)</v>
      </c>
      <c r="D208" s="176">
        <f>IF(ISNUMBER('Funnel setup'!P221),IF(VLOOKUP('Funnel setup'!P221,'Provider Commission - Raw Data'!$A:$Q,8,0)="-","",VLOOKUP('Funnel setup'!P221,'Provider Commission - Raw Data'!$A:$Q,8,0)),"")</f>
        <v>7</v>
      </c>
      <c r="E208" s="251" t="str">
        <f>IF(ISNUMBER('Funnel setup'!P221),IF(VLOOKUP('Funnel setup'!P221,'Provider Commission - Raw Data'!$A:$Q,16,0)="-","",VLOOKUP('Funnel setup'!P221,'Provider Commission - Raw Data'!$A:$Q,16,0)),"")</f>
        <v>*</v>
      </c>
      <c r="F208" s="177">
        <f>IF(AND(ISNUMBER('Funnel setup'!P221)),'Funnel setup'!$K$9,"")</f>
        <v>22.515359017022909</v>
      </c>
      <c r="G208" s="177" t="str">
        <f>IF(AND(ISNUMBER('Funnel setup'!P221),D208&gt;=30,E208&lt;&gt;"*",D208&lt;&gt;""),F208-1.959963985 *('Funnel setup'!$K$8/SQRT('Funnel Data'!D208)),"")</f>
        <v/>
      </c>
      <c r="H208" s="177" t="str">
        <f>IF(AND(ISNUMBER('Funnel setup'!P221),D208&gt;=30,E208&lt;&gt;"*",D208&lt;&gt;""),F208+1.959963985 *('Funnel setup'!$K$8/SQRT('Funnel Data'!D208)),"")</f>
        <v/>
      </c>
      <c r="I208" s="177" t="str">
        <f>IF(AND(ISNUMBER('Funnel setup'!P221),D208&gt;=30,E208&lt;&gt;"*",D208&lt;&gt;""),F208-3.090232306 *('Funnel setup'!$K$8/SQRT('Funnel Data'!D208)),"")</f>
        <v/>
      </c>
      <c r="J208" s="177" t="str">
        <f>IF(AND(ISNUMBER('Funnel setup'!P221),D208&gt;=30,E208&lt;&gt;"*",D208&lt;&gt;""),F208+3.090232306 *('Funnel setup'!$K$8/SQRT('Funnel Data'!D208)),"")</f>
        <v/>
      </c>
      <c r="K208" s="178" t="str">
        <f>IF(AND(ISNUMBER('Funnel setup'!P221),D208&gt;=30,E208&lt;&gt;"*",D208&lt;&gt;""),IF(E208&gt;J208,'Funnel setup'!$K$15&amp;"99.8%",IF(E208&gt;H208,'Funnel setup'!$K$15&amp;"95%",IF(E208&lt;I208,'Funnel setup'!$K$16&amp;"99.8%",IF(E208&lt;G208,'Funnel setup'!$K$16&amp;"95%","")))),"")</f>
        <v/>
      </c>
    </row>
    <row r="209" spans="2:11" ht="15" customHeight="1" x14ac:dyDescent="0.35">
      <c r="B209" s="174" t="str">
        <f>IF(ISNUMBER('Funnel setup'!P222),VLOOKUP('Funnel setup'!$P222,'Provider Commission - Raw Data'!$A:$Q,5,0),"")</f>
        <v>NT333</v>
      </c>
      <c r="C209" s="175" t="str">
        <f>IF(ISNUMBER('Funnel setup'!P222),VLOOKUP('Funnel setup'!P222,'Provider Commission - Raw Data'!$A:$Q,6,0),"")</f>
        <v>SPIRE WASHINGTON HOSPITAL (NT333)</v>
      </c>
      <c r="D209" s="176">
        <f>IF(ISNUMBER('Funnel setup'!P222),IF(VLOOKUP('Funnel setup'!P222,'Provider Commission - Raw Data'!$A:$Q,8,0)="-","",VLOOKUP('Funnel setup'!P222,'Provider Commission - Raw Data'!$A:$Q,8,0)),"")</f>
        <v>64</v>
      </c>
      <c r="E209" s="251">
        <f>IF(ISNUMBER('Funnel setup'!P222),IF(VLOOKUP('Funnel setup'!P222,'Provider Commission - Raw Data'!$A:$Q,16,0)="-","",VLOOKUP('Funnel setup'!P222,'Provider Commission - Raw Data'!$A:$Q,16,0)),"")</f>
        <v>26.6038</v>
      </c>
      <c r="F209" s="177">
        <f>IF(AND(ISNUMBER('Funnel setup'!P222)),'Funnel setup'!$K$9,"")</f>
        <v>22.515359017022909</v>
      </c>
      <c r="G209" s="177">
        <f>IF(AND(ISNUMBER('Funnel setup'!P222),D209&gt;=30,E209&lt;&gt;"*",D209&lt;&gt;""),F209-1.959963985 *('Funnel setup'!$K$8/SQRT('Funnel Data'!D209)),"")</f>
        <v>20.48703763378591</v>
      </c>
      <c r="H209" s="177">
        <f>IF(AND(ISNUMBER('Funnel setup'!P222),D209&gt;=30,E209&lt;&gt;"*",D209&lt;&gt;""),F209+1.959963985 *('Funnel setup'!$K$8/SQRT('Funnel Data'!D209)),"")</f>
        <v>24.543680400259909</v>
      </c>
      <c r="I209" s="177">
        <f>IF(AND(ISNUMBER('Funnel setup'!P222),D209&gt;=30,E209&lt;&gt;"*",D209&lt;&gt;""),F209-3.090232306 *('Funnel setup'!$K$8/SQRT('Funnel Data'!D209)),"")</f>
        <v>19.317349097759223</v>
      </c>
      <c r="J209" s="177">
        <f>IF(AND(ISNUMBER('Funnel setup'!P222),D209&gt;=30,E209&lt;&gt;"*",D209&lt;&gt;""),F209+3.090232306 *('Funnel setup'!$K$8/SQRT('Funnel Data'!D209)),"")</f>
        <v>25.713368936286596</v>
      </c>
      <c r="K209" s="178" t="str">
        <f>IF(AND(ISNUMBER('Funnel setup'!P222),D209&gt;=30,E209&lt;&gt;"*",D209&lt;&gt;""),IF(E209&gt;J209,'Funnel setup'!$K$15&amp;"99.8%",IF(E209&gt;H209,'Funnel setup'!$K$15&amp;"95%",IF(E209&lt;I209,'Funnel setup'!$K$16&amp;"99.8%",IF(E209&lt;G209,'Funnel setup'!$K$16&amp;"95%","")))),"")</f>
        <v>Upper 99.8%</v>
      </c>
    </row>
    <row r="210" spans="2:11" ht="30" customHeight="1" x14ac:dyDescent="0.35">
      <c r="B210" s="174" t="str">
        <f>IF(ISNUMBER('Funnel setup'!P223),VLOOKUP('Funnel setup'!$P223,'Provider Commission - Raw Data'!$A:$Q,5,0),"")</f>
        <v>NVC18</v>
      </c>
      <c r="C210" s="175" t="str">
        <f>IF(ISNUMBER('Funnel setup'!P223),VLOOKUP('Funnel setup'!P223,'Provider Commission - Raw Data'!$A:$Q,6,0),"")</f>
        <v>SPRINGFIELD HOSPITAL (NVC18)</v>
      </c>
      <c r="D210" s="176">
        <f>IF(ISNUMBER('Funnel setup'!P223),IF(VLOOKUP('Funnel setup'!P223,'Provider Commission - Raw Data'!$A:$Q,8,0)="-","",VLOOKUP('Funnel setup'!P223,'Provider Commission - Raw Data'!$A:$Q,8,0)),"")</f>
        <v>81</v>
      </c>
      <c r="E210" s="251">
        <f>IF(ISNUMBER('Funnel setup'!P223),IF(VLOOKUP('Funnel setup'!P223,'Provider Commission - Raw Data'!$A:$Q,16,0)="-","",VLOOKUP('Funnel setup'!P223,'Provider Commission - Raw Data'!$A:$Q,16,0)),"")</f>
        <v>24.796299999999999</v>
      </c>
      <c r="F210" s="177">
        <f>IF(AND(ISNUMBER('Funnel setup'!P223)),'Funnel setup'!$K$9,"")</f>
        <v>22.515359017022909</v>
      </c>
      <c r="G210" s="177">
        <f>IF(AND(ISNUMBER('Funnel setup'!P223),D210&gt;=30,E210&lt;&gt;"*",D210&lt;&gt;""),F210-1.959963985 *('Funnel setup'!$K$8/SQRT('Funnel Data'!D210)),"")</f>
        <v>20.712406676367799</v>
      </c>
      <c r="H210" s="177">
        <f>IF(AND(ISNUMBER('Funnel setup'!P223),D210&gt;=30,E210&lt;&gt;"*",D210&lt;&gt;""),F210+1.959963985 *('Funnel setup'!$K$8/SQRT('Funnel Data'!D210)),"")</f>
        <v>24.31831135767802</v>
      </c>
      <c r="I210" s="177">
        <f>IF(AND(ISNUMBER('Funnel setup'!P223),D210&gt;=30,E210&lt;&gt;"*",D210&lt;&gt;""),F210-3.090232306 *('Funnel setup'!$K$8/SQRT('Funnel Data'!D210)),"")</f>
        <v>19.672683533232966</v>
      </c>
      <c r="J210" s="177">
        <f>IF(AND(ISNUMBER('Funnel setup'!P223),D210&gt;=30,E210&lt;&gt;"*",D210&lt;&gt;""),F210+3.090232306 *('Funnel setup'!$K$8/SQRT('Funnel Data'!D210)),"")</f>
        <v>25.358034500812852</v>
      </c>
      <c r="K210" s="178" t="str">
        <f>IF(AND(ISNUMBER('Funnel setup'!P223),D210&gt;=30,E210&lt;&gt;"*",D210&lt;&gt;""),IF(E210&gt;J210,'Funnel setup'!$K$15&amp;"99.8%",IF(E210&gt;H210,'Funnel setup'!$K$15&amp;"95%",IF(E210&lt;I210,'Funnel setup'!$K$16&amp;"99.8%",IF(E210&lt;G210,'Funnel setup'!$K$16&amp;"95%","")))),"")</f>
        <v>Upper 95%</v>
      </c>
    </row>
    <row r="211" spans="2:11" ht="30" customHeight="1" x14ac:dyDescent="0.35">
      <c r="B211" s="174" t="str">
        <f>IF(ISNUMBER('Funnel setup'!P224),VLOOKUP('Funnel setup'!$P224,'Provider Commission - Raw Data'!$A:$Q,5,0),"")</f>
        <v>NT446</v>
      </c>
      <c r="C211" s="175" t="str">
        <f>IF(ISNUMBER('Funnel setup'!P224),VLOOKUP('Funnel setup'!P224,'Provider Commission - Raw Data'!$A:$Q,6,0),"")</f>
        <v>ST EDMUNDS HOSPITAL (NT446)</v>
      </c>
      <c r="D211" s="176">
        <f>IF(ISNUMBER('Funnel setup'!P224),IF(VLOOKUP('Funnel setup'!P224,'Provider Commission - Raw Data'!$A:$Q,8,0)="-","",VLOOKUP('Funnel setup'!P224,'Provider Commission - Raw Data'!$A:$Q,8,0)),"")</f>
        <v>55</v>
      </c>
      <c r="E211" s="251">
        <f>IF(ISNUMBER('Funnel setup'!P224),IF(VLOOKUP('Funnel setup'!P224,'Provider Commission - Raw Data'!$A:$Q,16,0)="-","",VLOOKUP('Funnel setup'!P224,'Provider Commission - Raw Data'!$A:$Q,16,0)),"")</f>
        <v>24.116099999999999</v>
      </c>
      <c r="F211" s="177">
        <f>IF(AND(ISNUMBER('Funnel setup'!P224)),'Funnel setup'!$K$9,"")</f>
        <v>22.515359017022909</v>
      </c>
      <c r="G211" s="177">
        <f>IF(AND(ISNUMBER('Funnel setup'!P224),D211&gt;=30,E211&lt;&gt;"*",D211&lt;&gt;""),F211-1.959963985 *('Funnel setup'!$K$8/SQRT('Funnel Data'!D211)),"")</f>
        <v>20.327368620847487</v>
      </c>
      <c r="H211" s="177">
        <f>IF(AND(ISNUMBER('Funnel setup'!P224),D211&gt;=30,E211&lt;&gt;"*",D211&lt;&gt;""),F211+1.959963985 *('Funnel setup'!$K$8/SQRT('Funnel Data'!D211)),"")</f>
        <v>24.703349413198332</v>
      </c>
      <c r="I211" s="177">
        <f>IF(AND(ISNUMBER('Funnel setup'!P224),D211&gt;=30,E211&lt;&gt;"*",D211&lt;&gt;""),F211-3.090232306 *('Funnel setup'!$K$8/SQRT('Funnel Data'!D211)),"")</f>
        <v>19.065602460665051</v>
      </c>
      <c r="J211" s="177">
        <f>IF(AND(ISNUMBER('Funnel setup'!P224),D211&gt;=30,E211&lt;&gt;"*",D211&lt;&gt;""),F211+3.090232306 *('Funnel setup'!$K$8/SQRT('Funnel Data'!D211)),"")</f>
        <v>25.965115573380768</v>
      </c>
      <c r="K211" s="178" t="str">
        <f>IF(AND(ISNUMBER('Funnel setup'!P224),D211&gt;=30,E211&lt;&gt;"*",D211&lt;&gt;""),IF(E211&gt;J211,'Funnel setup'!$K$15&amp;"99.8%",IF(E211&gt;H211,'Funnel setup'!$K$15&amp;"95%",IF(E211&lt;I211,'Funnel setup'!$K$16&amp;"99.8%",IF(E211&lt;G211,'Funnel setup'!$K$16&amp;"95%","")))),"")</f>
        <v/>
      </c>
    </row>
    <row r="212" spans="2:11" ht="15" customHeight="1" x14ac:dyDescent="0.35">
      <c r="B212" s="174" t="str">
        <f>IF(ISNUMBER('Funnel setup'!P225),VLOOKUP('Funnel setup'!$P225,'Provider Commission - Raw Data'!$A:$Q,5,0),"")</f>
        <v>RBN</v>
      </c>
      <c r="C212" s="175" t="str">
        <f>IF(ISNUMBER('Funnel setup'!P225),VLOOKUP('Funnel setup'!P225,'Provider Commission - Raw Data'!$A:$Q,6,0),"")</f>
        <v>ST HELENS AND KNOWSLEY TEACHING HOSPITALS NHS TRUST (RBN)</v>
      </c>
      <c r="D212" s="176">
        <f>IF(ISNUMBER('Funnel setup'!P225),IF(VLOOKUP('Funnel setup'!P225,'Provider Commission - Raw Data'!$A:$Q,8,0)="-","",VLOOKUP('Funnel setup'!P225,'Provider Commission - Raw Data'!$A:$Q,8,0)),"")</f>
        <v>78</v>
      </c>
      <c r="E212" s="251">
        <f>IF(ISNUMBER('Funnel setup'!P225),IF(VLOOKUP('Funnel setup'!P225,'Provider Commission - Raw Data'!$A:$Q,16,0)="-","",VLOOKUP('Funnel setup'!P225,'Provider Commission - Raw Data'!$A:$Q,16,0)),"")</f>
        <v>21.5517</v>
      </c>
      <c r="F212" s="177">
        <f>IF(AND(ISNUMBER('Funnel setup'!P225)),'Funnel setup'!$K$9,"")</f>
        <v>22.515359017022909</v>
      </c>
      <c r="G212" s="177">
        <f>IF(AND(ISNUMBER('Funnel setup'!P225),D212&gt;=30,E212&lt;&gt;"*",D212&lt;&gt;""),F212-1.959963985 *('Funnel setup'!$K$8/SQRT('Funnel Data'!D212)),"")</f>
        <v>20.678061640939987</v>
      </c>
      <c r="H212" s="177">
        <f>IF(AND(ISNUMBER('Funnel setup'!P225),D212&gt;=30,E212&lt;&gt;"*",D212&lt;&gt;""),F212+1.959963985 *('Funnel setup'!$K$8/SQRT('Funnel Data'!D212)),"")</f>
        <v>24.352656393105832</v>
      </c>
      <c r="I212" s="177">
        <f>IF(AND(ISNUMBER('Funnel setup'!P225),D212&gt;=30,E212&lt;&gt;"*",D212&lt;&gt;""),F212-3.090232306 *('Funnel setup'!$K$8/SQRT('Funnel Data'!D212)),"")</f>
        <v>19.618532467783801</v>
      </c>
      <c r="J212" s="177">
        <f>IF(AND(ISNUMBER('Funnel setup'!P225),D212&gt;=30,E212&lt;&gt;"*",D212&lt;&gt;""),F212+3.090232306 *('Funnel setup'!$K$8/SQRT('Funnel Data'!D212)),"")</f>
        <v>25.412185566262018</v>
      </c>
      <c r="K212" s="178" t="str">
        <f>IF(AND(ISNUMBER('Funnel setup'!P225),D212&gt;=30,E212&lt;&gt;"*",D212&lt;&gt;""),IF(E212&gt;J212,'Funnel setup'!$K$15&amp;"99.8%",IF(E212&gt;H212,'Funnel setup'!$K$15&amp;"95%",IF(E212&lt;I212,'Funnel setup'!$K$16&amp;"99.8%",IF(E212&lt;G212,'Funnel setup'!$K$16&amp;"95%","")))),"")</f>
        <v/>
      </c>
    </row>
    <row r="213" spans="2:11" ht="30" customHeight="1" x14ac:dyDescent="0.35">
      <c r="B213" s="174" t="str">
        <f>IF(ISNUMBER('Funnel setup'!P226),VLOOKUP('Funnel setup'!$P226,'Provider Commission - Raw Data'!$A:$Q,5,0),"")</f>
        <v>NTE02</v>
      </c>
      <c r="C213" s="175" t="str">
        <f>IF(ISNUMBER('Funnel setup'!P226),VLOOKUP('Funnel setup'!P226,'Provider Commission - Raw Data'!$A:$Q,6,0),"")</f>
        <v>ST HUGH'S HOSPITAL (NTE02)</v>
      </c>
      <c r="D213" s="176">
        <f>IF(ISNUMBER('Funnel setup'!P226),IF(VLOOKUP('Funnel setup'!P226,'Provider Commission - Raw Data'!$A:$Q,8,0)="-","",VLOOKUP('Funnel setup'!P226,'Provider Commission - Raw Data'!$A:$Q,8,0)),"")</f>
        <v>99</v>
      </c>
      <c r="E213" s="251">
        <f>IF(ISNUMBER('Funnel setup'!P226),IF(VLOOKUP('Funnel setup'!P226,'Provider Commission - Raw Data'!$A:$Q,16,0)="-","",VLOOKUP('Funnel setup'!P226,'Provider Commission - Raw Data'!$A:$Q,16,0)),"")</f>
        <v>21.736799999999999</v>
      </c>
      <c r="F213" s="177">
        <f>IF(AND(ISNUMBER('Funnel setup'!P226)),'Funnel setup'!$K$9,"")</f>
        <v>22.515359017022909</v>
      </c>
      <c r="G213" s="177">
        <f>IF(AND(ISNUMBER('Funnel setup'!P226),D213&gt;=30,E213&lt;&gt;"*",D213&lt;&gt;""),F213-1.959963985 *('Funnel setup'!$K$8/SQRT('Funnel Data'!D213)),"")</f>
        <v>20.884527263701266</v>
      </c>
      <c r="H213" s="177">
        <f>IF(AND(ISNUMBER('Funnel setup'!P226),D213&gt;=30,E213&lt;&gt;"*",D213&lt;&gt;""),F213+1.959963985 *('Funnel setup'!$K$8/SQRT('Funnel Data'!D213)),"")</f>
        <v>24.146190770344553</v>
      </c>
      <c r="I213" s="177">
        <f>IF(AND(ISNUMBER('Funnel setup'!P226),D213&gt;=30,E213&lt;&gt;"*",D213&lt;&gt;""),F213-3.090232306 *('Funnel setup'!$K$8/SQRT('Funnel Data'!D213)),"")</f>
        <v>19.944062295075657</v>
      </c>
      <c r="J213" s="177">
        <f>IF(AND(ISNUMBER('Funnel setup'!P226),D213&gt;=30,E213&lt;&gt;"*",D213&lt;&gt;""),F213+3.090232306 *('Funnel setup'!$K$8/SQRT('Funnel Data'!D213)),"")</f>
        <v>25.086655738970162</v>
      </c>
      <c r="K213" s="178" t="str">
        <f>IF(AND(ISNUMBER('Funnel setup'!P226),D213&gt;=30,E213&lt;&gt;"*",D213&lt;&gt;""),IF(E213&gt;J213,'Funnel setup'!$K$15&amp;"99.8%",IF(E213&gt;H213,'Funnel setup'!$K$15&amp;"95%",IF(E213&lt;I213,'Funnel setup'!$K$16&amp;"99.8%",IF(E213&lt;G213,'Funnel setup'!$K$16&amp;"95%","")))),"")</f>
        <v/>
      </c>
    </row>
    <row r="214" spans="2:11" ht="15" customHeight="1" x14ac:dyDescent="0.35">
      <c r="B214" s="174" t="str">
        <f>IF(ISNUMBER('Funnel setup'!P227),VLOOKUP('Funnel setup'!$P227,'Provider Commission - Raw Data'!$A:$Q,5,0),"")</f>
        <v>RWJ</v>
      </c>
      <c r="C214" s="175" t="str">
        <f>IF(ISNUMBER('Funnel setup'!P227),VLOOKUP('Funnel setup'!P227,'Provider Commission - Raw Data'!$A:$Q,6,0),"")</f>
        <v>STOCKPORT NHS FOUNDATION TRUST (RWJ)</v>
      </c>
      <c r="D214" s="176">
        <f>IF(ISNUMBER('Funnel setup'!P227),IF(VLOOKUP('Funnel setup'!P227,'Provider Commission - Raw Data'!$A:$Q,8,0)="-","",VLOOKUP('Funnel setup'!P227,'Provider Commission - Raw Data'!$A:$Q,8,0)),"")</f>
        <v>60</v>
      </c>
      <c r="E214" s="251">
        <f>IF(ISNUMBER('Funnel setup'!P227),IF(VLOOKUP('Funnel setup'!P227,'Provider Commission - Raw Data'!$A:$Q,16,0)="-","",VLOOKUP('Funnel setup'!P227,'Provider Commission - Raw Data'!$A:$Q,16,0)),"")</f>
        <v>23.235800000000001</v>
      </c>
      <c r="F214" s="177">
        <f>IF(AND(ISNUMBER('Funnel setup'!P227)),'Funnel setup'!$K$9,"")</f>
        <v>22.515359017022909</v>
      </c>
      <c r="G214" s="177">
        <f>IF(AND(ISNUMBER('Funnel setup'!P227),D214&gt;=30,E214&lt;&gt;"*",D214&lt;&gt;""),F214-1.959963985 *('Funnel setup'!$K$8/SQRT('Funnel Data'!D214)),"")</f>
        <v>20.420517700214031</v>
      </c>
      <c r="H214" s="177">
        <f>IF(AND(ISNUMBER('Funnel setup'!P227),D214&gt;=30,E214&lt;&gt;"*",D214&lt;&gt;""),F214+1.959963985 *('Funnel setup'!$K$8/SQRT('Funnel Data'!D214)),"")</f>
        <v>24.610200333831788</v>
      </c>
      <c r="I214" s="177">
        <f>IF(AND(ISNUMBER('Funnel setup'!P227),D214&gt;=30,E214&lt;&gt;"*",D214&lt;&gt;""),F214-3.090232306 *('Funnel setup'!$K$8/SQRT('Funnel Data'!D214)),"")</f>
        <v>19.21246857480574</v>
      </c>
      <c r="J214" s="177">
        <f>IF(AND(ISNUMBER('Funnel setup'!P227),D214&gt;=30,E214&lt;&gt;"*",D214&lt;&gt;""),F214+3.090232306 *('Funnel setup'!$K$8/SQRT('Funnel Data'!D214)),"")</f>
        <v>25.818249459240079</v>
      </c>
      <c r="K214" s="178" t="str">
        <f>IF(AND(ISNUMBER('Funnel setup'!P227),D214&gt;=30,E214&lt;&gt;"*",D214&lt;&gt;""),IF(E214&gt;J214,'Funnel setup'!$K$15&amp;"99.8%",IF(E214&gt;H214,'Funnel setup'!$K$15&amp;"95%",IF(E214&lt;I214,'Funnel setup'!$K$16&amp;"99.8%",IF(E214&lt;G214,'Funnel setup'!$K$16&amp;"95%","")))),"")</f>
        <v/>
      </c>
    </row>
    <row r="215" spans="2:11" ht="15" customHeight="1" x14ac:dyDescent="0.35">
      <c r="B215" s="174" t="str">
        <f>IF(ISNUMBER('Funnel setup'!P228),VLOOKUP('Funnel setup'!$P228,'Provider Commission - Raw Data'!$A:$Q,5,0),"")</f>
        <v>RTP</v>
      </c>
      <c r="C215" s="175" t="str">
        <f>IF(ISNUMBER('Funnel setup'!P228),VLOOKUP('Funnel setup'!P228,'Provider Commission - Raw Data'!$A:$Q,6,0),"")</f>
        <v>SURREY AND SUSSEX HEALTHCARE NHS TRUST (RTP)</v>
      </c>
      <c r="D215" s="176">
        <f>IF(ISNUMBER('Funnel setup'!P228),IF(VLOOKUP('Funnel setup'!P228,'Provider Commission - Raw Data'!$A:$Q,8,0)="-","",VLOOKUP('Funnel setup'!P228,'Provider Commission - Raw Data'!$A:$Q,8,0)),"")</f>
        <v>56</v>
      </c>
      <c r="E215" s="251">
        <f>IF(ISNUMBER('Funnel setup'!P228),IF(VLOOKUP('Funnel setup'!P228,'Provider Commission - Raw Data'!$A:$Q,16,0)="-","",VLOOKUP('Funnel setup'!P228,'Provider Commission - Raw Data'!$A:$Q,16,0)),"")</f>
        <v>21.419899999999998</v>
      </c>
      <c r="F215" s="177">
        <f>IF(AND(ISNUMBER('Funnel setup'!P228)),'Funnel setup'!$K$9,"")</f>
        <v>22.515359017022909</v>
      </c>
      <c r="G215" s="177">
        <f>IF(AND(ISNUMBER('Funnel setup'!P228),D215&gt;=30,E215&lt;&gt;"*",D215&lt;&gt;""),F215-1.959963985 *('Funnel setup'!$K$8/SQRT('Funnel Data'!D215)),"")</f>
        <v>20.34699224949712</v>
      </c>
      <c r="H215" s="177">
        <f>IF(AND(ISNUMBER('Funnel setup'!P228),D215&gt;=30,E215&lt;&gt;"*",D215&lt;&gt;""),F215+1.959963985 *('Funnel setup'!$K$8/SQRT('Funnel Data'!D215)),"")</f>
        <v>24.683725784548699</v>
      </c>
      <c r="I215" s="177">
        <f>IF(AND(ISNUMBER('Funnel setup'!P228),D215&gt;=30,E215&lt;&gt;"*",D215&lt;&gt;""),F215-3.090232306 *('Funnel setup'!$K$8/SQRT('Funnel Data'!D215)),"")</f>
        <v>19.09654260634025</v>
      </c>
      <c r="J215" s="177">
        <f>IF(AND(ISNUMBER('Funnel setup'!P228),D215&gt;=30,E215&lt;&gt;"*",D215&lt;&gt;""),F215+3.090232306 *('Funnel setup'!$K$8/SQRT('Funnel Data'!D215)),"")</f>
        <v>25.934175427705568</v>
      </c>
      <c r="K215" s="178" t="str">
        <f>IF(AND(ISNUMBER('Funnel setup'!P228),D215&gt;=30,E215&lt;&gt;"*",D215&lt;&gt;""),IF(E215&gt;J215,'Funnel setup'!$K$15&amp;"99.8%",IF(E215&gt;H215,'Funnel setup'!$K$15&amp;"95%",IF(E215&lt;I215,'Funnel setup'!$K$16&amp;"99.8%",IF(E215&lt;G215,'Funnel setup'!$K$16&amp;"95%","")))),"")</f>
        <v/>
      </c>
    </row>
    <row r="216" spans="2:11" ht="15" customHeight="1" x14ac:dyDescent="0.35">
      <c r="B216" s="174" t="str">
        <f>IF(ISNUMBER('Funnel setup'!P229),VLOOKUP('Funnel setup'!$P229,'Provider Commission - Raw Data'!$A:$Q,5,0),"")</f>
        <v>RMP</v>
      </c>
      <c r="C216" s="175" t="str">
        <f>IF(ISNUMBER('Funnel setup'!P229),VLOOKUP('Funnel setup'!P229,'Provider Commission - Raw Data'!$A:$Q,6,0),"")</f>
        <v>TAMESIDE AND GLOSSOP INTEGRATED CARE NHS FOUNDATION TRUST (RMP)</v>
      </c>
      <c r="D216" s="176">
        <f>IF(ISNUMBER('Funnel setup'!P229),IF(VLOOKUP('Funnel setup'!P229,'Provider Commission - Raw Data'!$A:$Q,8,0)="-","",VLOOKUP('Funnel setup'!P229,'Provider Commission - Raw Data'!$A:$Q,8,0)),"")</f>
        <v>3</v>
      </c>
      <c r="E216" s="251" t="str">
        <f>IF(ISNUMBER('Funnel setup'!P229),IF(VLOOKUP('Funnel setup'!P229,'Provider Commission - Raw Data'!$A:$Q,16,0)="-","",VLOOKUP('Funnel setup'!P229,'Provider Commission - Raw Data'!$A:$Q,16,0)),"")</f>
        <v>*</v>
      </c>
      <c r="F216" s="177">
        <f>IF(AND(ISNUMBER('Funnel setup'!P229)),'Funnel setup'!$K$9,"")</f>
        <v>22.515359017022909</v>
      </c>
      <c r="G216" s="177" t="str">
        <f>IF(AND(ISNUMBER('Funnel setup'!P229),D216&gt;=30,E216&lt;&gt;"*",D216&lt;&gt;""),F216-1.959963985 *('Funnel setup'!$K$8/SQRT('Funnel Data'!D216)),"")</f>
        <v/>
      </c>
      <c r="H216" s="177" t="str">
        <f>IF(AND(ISNUMBER('Funnel setup'!P229),D216&gt;=30,E216&lt;&gt;"*",D216&lt;&gt;""),F216+1.959963985 *('Funnel setup'!$K$8/SQRT('Funnel Data'!D216)),"")</f>
        <v/>
      </c>
      <c r="I216" s="177" t="str">
        <f>IF(AND(ISNUMBER('Funnel setup'!P229),D216&gt;=30,E216&lt;&gt;"*",D216&lt;&gt;""),F216-3.090232306 *('Funnel setup'!$K$8/SQRT('Funnel Data'!D216)),"")</f>
        <v/>
      </c>
      <c r="J216" s="177" t="str">
        <f>IF(AND(ISNUMBER('Funnel setup'!P229),D216&gt;=30,E216&lt;&gt;"*",D216&lt;&gt;""),F216+3.090232306 *('Funnel setup'!$K$8/SQRT('Funnel Data'!D216)),"")</f>
        <v/>
      </c>
      <c r="K216" s="178" t="str">
        <f>IF(AND(ISNUMBER('Funnel setup'!P229),D216&gt;=30,E216&lt;&gt;"*",D216&lt;&gt;""),IF(E216&gt;J216,'Funnel setup'!$K$15&amp;"99.8%",IF(E216&gt;H216,'Funnel setup'!$K$15&amp;"95%",IF(E216&lt;I216,'Funnel setup'!$K$16&amp;"99.8%",IF(E216&lt;G216,'Funnel setup'!$K$16&amp;"95%","")))),"")</f>
        <v/>
      </c>
    </row>
    <row r="217" spans="2:11" ht="15" customHeight="1" x14ac:dyDescent="0.35">
      <c r="B217" s="174" t="str">
        <f>IF(ISNUMBER('Funnel setup'!P230),VLOOKUP('Funnel setup'!$P230,'Provider Commission - Raw Data'!$A:$Q,5,0),"")</f>
        <v>NVC0R</v>
      </c>
      <c r="C217" s="175" t="str">
        <f>IF(ISNUMBER('Funnel setup'!P230),VLOOKUP('Funnel setup'!P230,'Provider Commission - Raw Data'!$A:$Q,6,0),"")</f>
        <v>TEES VALLEY HOSPITAL (NVC0R)</v>
      </c>
      <c r="D217" s="176">
        <f>IF(ISNUMBER('Funnel setup'!P230),IF(VLOOKUP('Funnel setup'!P230,'Provider Commission - Raw Data'!$A:$Q,8,0)="-","",VLOOKUP('Funnel setup'!P230,'Provider Commission - Raw Data'!$A:$Q,8,0)),"")</f>
        <v>47</v>
      </c>
      <c r="E217" s="251">
        <f>IF(ISNUMBER('Funnel setup'!P230),IF(VLOOKUP('Funnel setup'!P230,'Provider Commission - Raw Data'!$A:$Q,16,0)="-","",VLOOKUP('Funnel setup'!P230,'Provider Commission - Raw Data'!$A:$Q,16,0)),"")</f>
        <v>21.933499999999999</v>
      </c>
      <c r="F217" s="177">
        <f>IF(AND(ISNUMBER('Funnel setup'!P230)),'Funnel setup'!$K$9,"")</f>
        <v>22.515359017022909</v>
      </c>
      <c r="G217" s="177">
        <f>IF(AND(ISNUMBER('Funnel setup'!P230),D217&gt;=30,E217&lt;&gt;"*",D217&lt;&gt;""),F217-1.959963985 *('Funnel setup'!$K$8/SQRT('Funnel Data'!D217)),"")</f>
        <v>20.148470366456007</v>
      </c>
      <c r="H217" s="177">
        <f>IF(AND(ISNUMBER('Funnel setup'!P230),D217&gt;=30,E217&lt;&gt;"*",D217&lt;&gt;""),F217+1.959963985 *('Funnel setup'!$K$8/SQRT('Funnel Data'!D217)),"")</f>
        <v>24.882247667589812</v>
      </c>
      <c r="I217" s="177">
        <f>IF(AND(ISNUMBER('Funnel setup'!P230),D217&gt;=30,E217&lt;&gt;"*",D217&lt;&gt;""),F217-3.090232306 *('Funnel setup'!$K$8/SQRT('Funnel Data'!D217)),"")</f>
        <v>18.783537499554267</v>
      </c>
      <c r="J217" s="177">
        <f>IF(AND(ISNUMBER('Funnel setup'!P230),D217&gt;=30,E217&lt;&gt;"*",D217&lt;&gt;""),F217+3.090232306 *('Funnel setup'!$K$8/SQRT('Funnel Data'!D217)),"")</f>
        <v>26.247180534491552</v>
      </c>
      <c r="K217" s="178" t="str">
        <f>IF(AND(ISNUMBER('Funnel setup'!P230),D217&gt;=30,E217&lt;&gt;"*",D217&lt;&gt;""),IF(E217&gt;J217,'Funnel setup'!$K$15&amp;"99.8%",IF(E217&gt;H217,'Funnel setup'!$K$15&amp;"95%",IF(E217&lt;I217,'Funnel setup'!$K$16&amp;"99.8%",IF(E217&lt;G217,'Funnel setup'!$K$16&amp;"95%","")))),"")</f>
        <v/>
      </c>
    </row>
    <row r="218" spans="2:11" ht="30" customHeight="1" x14ac:dyDescent="0.35">
      <c r="B218" s="174" t="str">
        <f>IF(ISNUMBER('Funnel setup'!P231),VLOOKUP('Funnel setup'!$P231,'Provider Commission - Raw Data'!$A:$Q,5,0),"")</f>
        <v>NVC02</v>
      </c>
      <c r="C218" s="175" t="str">
        <f>IF(ISNUMBER('Funnel setup'!P231),VLOOKUP('Funnel setup'!P231,'Provider Commission - Raw Data'!$A:$Q,6,0),"")</f>
        <v>THE BERKSHIRE INDEPENDENT HOSPITAL (NVC02)</v>
      </c>
      <c r="D218" s="176">
        <f>IF(ISNUMBER('Funnel setup'!P231),IF(VLOOKUP('Funnel setup'!P231,'Provider Commission - Raw Data'!$A:$Q,8,0)="-","",VLOOKUP('Funnel setup'!P231,'Provider Commission - Raw Data'!$A:$Q,8,0)),"")</f>
        <v>11</v>
      </c>
      <c r="E218" s="251" t="str">
        <f>IF(ISNUMBER('Funnel setup'!P231),IF(VLOOKUP('Funnel setup'!P231,'Provider Commission - Raw Data'!$A:$Q,16,0)="-","",VLOOKUP('Funnel setup'!P231,'Provider Commission - Raw Data'!$A:$Q,16,0)),"")</f>
        <v>*</v>
      </c>
      <c r="F218" s="177">
        <f>IF(AND(ISNUMBER('Funnel setup'!P231)),'Funnel setup'!$K$9,"")</f>
        <v>22.515359017022909</v>
      </c>
      <c r="G218" s="177" t="str">
        <f>IF(AND(ISNUMBER('Funnel setup'!P231),D218&gt;=30,E218&lt;&gt;"*",D218&lt;&gt;""),F218-1.959963985 *('Funnel setup'!$K$8/SQRT('Funnel Data'!D218)),"")</f>
        <v/>
      </c>
      <c r="H218" s="177" t="str">
        <f>IF(AND(ISNUMBER('Funnel setup'!P231),D218&gt;=30,E218&lt;&gt;"*",D218&lt;&gt;""),F218+1.959963985 *('Funnel setup'!$K$8/SQRT('Funnel Data'!D218)),"")</f>
        <v/>
      </c>
      <c r="I218" s="177" t="str">
        <f>IF(AND(ISNUMBER('Funnel setup'!P231),D218&gt;=30,E218&lt;&gt;"*",D218&lt;&gt;""),F218-3.090232306 *('Funnel setup'!$K$8/SQRT('Funnel Data'!D218)),"")</f>
        <v/>
      </c>
      <c r="J218" s="177" t="str">
        <f>IF(AND(ISNUMBER('Funnel setup'!P231),D218&gt;=30,E218&lt;&gt;"*",D218&lt;&gt;""),F218+3.090232306 *('Funnel setup'!$K$8/SQRT('Funnel Data'!D218)),"")</f>
        <v/>
      </c>
      <c r="K218" s="178" t="str">
        <f>IF(AND(ISNUMBER('Funnel setup'!P231),D218&gt;=30,E218&lt;&gt;"*",D218&lt;&gt;""),IF(E218&gt;J218,'Funnel setup'!$K$15&amp;"99.8%",IF(E218&gt;H218,'Funnel setup'!$K$15&amp;"95%",IF(E218&lt;I218,'Funnel setup'!$K$16&amp;"99.8%",IF(E218&lt;G218,'Funnel setup'!$K$16&amp;"95%","")))),"")</f>
        <v/>
      </c>
    </row>
    <row r="219" spans="2:11" ht="30" customHeight="1" x14ac:dyDescent="0.35">
      <c r="B219" s="174" t="str">
        <f>IF(ISNUMBER('Funnel setup'!P232),VLOOKUP('Funnel setup'!$P232,'Provider Commission - Raw Data'!$A:$Q,5,0),"")</f>
        <v>NVC25</v>
      </c>
      <c r="C219" s="175" t="str">
        <f>IF(ISNUMBER('Funnel setup'!P232),VLOOKUP('Funnel setup'!P232,'Provider Commission - Raw Data'!$A:$Q,6,0),"")</f>
        <v>THE CHERWELL HOSPITAL (NVC25)</v>
      </c>
      <c r="D219" s="176">
        <f>IF(ISNUMBER('Funnel setup'!P232),IF(VLOOKUP('Funnel setup'!P232,'Provider Commission - Raw Data'!$A:$Q,8,0)="-","",VLOOKUP('Funnel setup'!P232,'Provider Commission - Raw Data'!$A:$Q,8,0)),"")</f>
        <v>226</v>
      </c>
      <c r="E219" s="251">
        <f>IF(ISNUMBER('Funnel setup'!P232),IF(VLOOKUP('Funnel setup'!P232,'Provider Commission - Raw Data'!$A:$Q,16,0)="-","",VLOOKUP('Funnel setup'!P232,'Provider Commission - Raw Data'!$A:$Q,16,0)),"")</f>
        <v>22.651199999999999</v>
      </c>
      <c r="F219" s="177">
        <f>IF(AND(ISNUMBER('Funnel setup'!P232)),'Funnel setup'!$K$9,"")</f>
        <v>22.515359017022909</v>
      </c>
      <c r="G219" s="177">
        <f>IF(AND(ISNUMBER('Funnel setup'!P232),D219&gt;=30,E219&lt;&gt;"*",D219&lt;&gt;""),F219-1.959963985 *('Funnel setup'!$K$8/SQRT('Funnel Data'!D219)),"")</f>
        <v>21.43598356552581</v>
      </c>
      <c r="H219" s="177">
        <f>IF(AND(ISNUMBER('Funnel setup'!P232),D219&gt;=30,E219&lt;&gt;"*",D219&lt;&gt;""),F219+1.959963985 *('Funnel setup'!$K$8/SQRT('Funnel Data'!D219)),"")</f>
        <v>23.594734468520009</v>
      </c>
      <c r="I219" s="177">
        <f>IF(AND(ISNUMBER('Funnel setup'!P232),D219&gt;=30,E219&lt;&gt;"*",D219&lt;&gt;""),F219-3.090232306 *('Funnel setup'!$K$8/SQRT('Funnel Data'!D219)),"")</f>
        <v>20.813531373225832</v>
      </c>
      <c r="J219" s="177">
        <f>IF(AND(ISNUMBER('Funnel setup'!P232),D219&gt;=30,E219&lt;&gt;"*",D219&lt;&gt;""),F219+3.090232306 *('Funnel setup'!$K$8/SQRT('Funnel Data'!D219)),"")</f>
        <v>24.217186660819987</v>
      </c>
      <c r="K219" s="178" t="str">
        <f>IF(AND(ISNUMBER('Funnel setup'!P232),D219&gt;=30,E219&lt;&gt;"*",D219&lt;&gt;""),IF(E219&gt;J219,'Funnel setup'!$K$15&amp;"99.8%",IF(E219&gt;H219,'Funnel setup'!$K$15&amp;"95%",IF(E219&lt;I219,'Funnel setup'!$K$16&amp;"99.8%",IF(E219&lt;G219,'Funnel setup'!$K$16&amp;"95%","")))),"")</f>
        <v/>
      </c>
    </row>
    <row r="220" spans="2:11" ht="30" customHeight="1" x14ac:dyDescent="0.35">
      <c r="B220" s="174" t="str">
        <f>IF(ISNUMBER('Funnel setup'!P233),VLOOKUP('Funnel setup'!$P233,'Provider Commission - Raw Data'!$A:$Q,5,0),"")</f>
        <v>RNA</v>
      </c>
      <c r="C220" s="175" t="str">
        <f>IF(ISNUMBER('Funnel setup'!P233),VLOOKUP('Funnel setup'!P233,'Provider Commission - Raw Data'!$A:$Q,6,0),"")</f>
        <v>THE DUDLEY GROUP NHS FOUNDATION TRUST (RNA)</v>
      </c>
      <c r="D220" s="176">
        <f>IF(ISNUMBER('Funnel setup'!P233),IF(VLOOKUP('Funnel setup'!P233,'Provider Commission - Raw Data'!$A:$Q,8,0)="-","",VLOOKUP('Funnel setup'!P233,'Provider Commission - Raw Data'!$A:$Q,8,0)),"")</f>
        <v>1</v>
      </c>
      <c r="E220" s="251" t="str">
        <f>IF(ISNUMBER('Funnel setup'!P233),IF(VLOOKUP('Funnel setup'!P233,'Provider Commission - Raw Data'!$A:$Q,16,0)="-","",VLOOKUP('Funnel setup'!P233,'Provider Commission - Raw Data'!$A:$Q,16,0)),"")</f>
        <v>*</v>
      </c>
      <c r="F220" s="177">
        <f>IF(AND(ISNUMBER('Funnel setup'!P233)),'Funnel setup'!$K$9,"")</f>
        <v>22.515359017022909</v>
      </c>
      <c r="G220" s="177" t="str">
        <f>IF(AND(ISNUMBER('Funnel setup'!P233),D220&gt;=30,E220&lt;&gt;"*",D220&lt;&gt;""),F220-1.959963985 *('Funnel setup'!$K$8/SQRT('Funnel Data'!D220)),"")</f>
        <v/>
      </c>
      <c r="H220" s="177" t="str">
        <f>IF(AND(ISNUMBER('Funnel setup'!P233),D220&gt;=30,E220&lt;&gt;"*",D220&lt;&gt;""),F220+1.959963985 *('Funnel setup'!$K$8/SQRT('Funnel Data'!D220)),"")</f>
        <v/>
      </c>
      <c r="I220" s="177" t="str">
        <f>IF(AND(ISNUMBER('Funnel setup'!P233),D220&gt;=30,E220&lt;&gt;"*",D220&lt;&gt;""),F220-3.090232306 *('Funnel setup'!$K$8/SQRT('Funnel Data'!D220)),"")</f>
        <v/>
      </c>
      <c r="J220" s="177" t="str">
        <f>IF(AND(ISNUMBER('Funnel setup'!P233),D220&gt;=30,E220&lt;&gt;"*",D220&lt;&gt;""),F220+3.090232306 *('Funnel setup'!$K$8/SQRT('Funnel Data'!D220)),"")</f>
        <v/>
      </c>
      <c r="K220" s="178" t="str">
        <f>IF(AND(ISNUMBER('Funnel setup'!P233),D220&gt;=30,E220&lt;&gt;"*",D220&lt;&gt;""),IF(E220&gt;J220,'Funnel setup'!$K$15&amp;"99.8%",IF(E220&gt;H220,'Funnel setup'!$K$15&amp;"95%",IF(E220&lt;I220,'Funnel setup'!$K$16&amp;"99.8%",IF(E220&lt;G220,'Funnel setup'!$K$16&amp;"95%","")))),"")</f>
        <v/>
      </c>
    </row>
    <row r="221" spans="2:11" ht="15" customHeight="1" x14ac:dyDescent="0.35">
      <c r="B221" s="174" t="str">
        <f>IF(ISNUMBER('Funnel setup'!P234),VLOOKUP('Funnel setup'!$P234,'Provider Commission - Raw Data'!$A:$Q,5,0),"")</f>
        <v>RAS</v>
      </c>
      <c r="C221" s="175" t="str">
        <f>IF(ISNUMBER('Funnel setup'!P234),VLOOKUP('Funnel setup'!P234,'Provider Commission - Raw Data'!$A:$Q,6,0),"")</f>
        <v>THE HILLINGDON HOSPITALS NHS FOUNDATION TRUST (RAS)</v>
      </c>
      <c r="D221" s="176">
        <f>IF(ISNUMBER('Funnel setup'!P234),IF(VLOOKUP('Funnel setup'!P234,'Provider Commission - Raw Data'!$A:$Q,8,0)="-","",VLOOKUP('Funnel setup'!P234,'Provider Commission - Raw Data'!$A:$Q,8,0)),"")</f>
        <v>73</v>
      </c>
      <c r="E221" s="251">
        <f>IF(ISNUMBER('Funnel setup'!P234),IF(VLOOKUP('Funnel setup'!P234,'Provider Commission - Raw Data'!$A:$Q,16,0)="-","",VLOOKUP('Funnel setup'!P234,'Provider Commission - Raw Data'!$A:$Q,16,0)),"")</f>
        <v>21.104600000000001</v>
      </c>
      <c r="F221" s="177">
        <f>IF(AND(ISNUMBER('Funnel setup'!P234)),'Funnel setup'!$K$9,"")</f>
        <v>22.515359017022909</v>
      </c>
      <c r="G221" s="177">
        <f>IF(AND(ISNUMBER('Funnel setup'!P234),D221&gt;=30,E221&lt;&gt;"*",D221&lt;&gt;""),F221-1.959963985 *('Funnel setup'!$K$8/SQRT('Funnel Data'!D221)),"")</f>
        <v>20.616182524410902</v>
      </c>
      <c r="H221" s="177">
        <f>IF(AND(ISNUMBER('Funnel setup'!P234),D221&gt;=30,E221&lt;&gt;"*",D221&lt;&gt;""),F221+1.959963985 *('Funnel setup'!$K$8/SQRT('Funnel Data'!D221)),"")</f>
        <v>24.414535509634916</v>
      </c>
      <c r="I221" s="177">
        <f>IF(AND(ISNUMBER('Funnel setup'!P234),D221&gt;=30,E221&lt;&gt;"*",D221&lt;&gt;""),F221-3.090232306 *('Funnel setup'!$K$8/SQRT('Funnel Data'!D221)),"")</f>
        <v>19.520969019461095</v>
      </c>
      <c r="J221" s="177">
        <f>IF(AND(ISNUMBER('Funnel setup'!P234),D221&gt;=30,E221&lt;&gt;"*",D221&lt;&gt;""),F221+3.090232306 *('Funnel setup'!$K$8/SQRT('Funnel Data'!D221)),"")</f>
        <v>25.509749014584724</v>
      </c>
      <c r="K221" s="178" t="str">
        <f>IF(AND(ISNUMBER('Funnel setup'!P234),D221&gt;=30,E221&lt;&gt;"*",D221&lt;&gt;""),IF(E221&gt;J221,'Funnel setup'!$K$15&amp;"99.8%",IF(E221&gt;H221,'Funnel setup'!$K$15&amp;"95%",IF(E221&lt;I221,'Funnel setup'!$K$16&amp;"99.8%",IF(E221&lt;G221,'Funnel setup'!$K$16&amp;"95%","")))),"")</f>
        <v/>
      </c>
    </row>
    <row r="222" spans="2:11" ht="30" customHeight="1" x14ac:dyDescent="0.35">
      <c r="B222" s="174" t="str">
        <f>IF(ISNUMBER('Funnel setup'!P235),VLOOKUP('Funnel setup'!$P235,'Provider Commission - Raw Data'!$A:$Q,5,0),"")</f>
        <v>NXM01</v>
      </c>
      <c r="C222" s="175" t="str">
        <f>IF(ISNUMBER('Funnel setup'!P235),VLOOKUP('Funnel setup'!P235,'Provider Commission - Raw Data'!$A:$Q,6,0),"")</f>
        <v>THE HORDER CENTRE - ST JOHNS ROAD (NXM01)</v>
      </c>
      <c r="D222" s="176">
        <f>IF(ISNUMBER('Funnel setup'!P235),IF(VLOOKUP('Funnel setup'!P235,'Provider Commission - Raw Data'!$A:$Q,8,0)="-","",VLOOKUP('Funnel setup'!P235,'Provider Commission - Raw Data'!$A:$Q,8,0)),"")</f>
        <v>273</v>
      </c>
      <c r="E222" s="251">
        <f>IF(ISNUMBER('Funnel setup'!P235),IF(VLOOKUP('Funnel setup'!P235,'Provider Commission - Raw Data'!$A:$Q,16,0)="-","",VLOOKUP('Funnel setup'!P235,'Provider Commission - Raw Data'!$A:$Q,16,0)),"")</f>
        <v>22.906700000000001</v>
      </c>
      <c r="F222" s="177">
        <f>IF(AND(ISNUMBER('Funnel setup'!P235)),'Funnel setup'!$K$9,"")</f>
        <v>22.515359017022909</v>
      </c>
      <c r="G222" s="177">
        <f>IF(AND(ISNUMBER('Funnel setup'!P235),D222&gt;=30,E222&lt;&gt;"*",D222&lt;&gt;""),F222-1.959963985 *('Funnel setup'!$K$8/SQRT('Funnel Data'!D222)),"")</f>
        <v>21.533282260034188</v>
      </c>
      <c r="H222" s="177">
        <f>IF(AND(ISNUMBER('Funnel setup'!P235),D222&gt;=30,E222&lt;&gt;"*",D222&lt;&gt;""),F222+1.959963985 *('Funnel setup'!$K$8/SQRT('Funnel Data'!D222)),"")</f>
        <v>23.497435774011631</v>
      </c>
      <c r="I222" s="177">
        <f>IF(AND(ISNUMBER('Funnel setup'!P235),D222&gt;=30,E222&lt;&gt;"*",D222&lt;&gt;""),F222-3.090232306 *('Funnel setup'!$K$8/SQRT('Funnel Data'!D222)),"")</f>
        <v>20.966940094713856</v>
      </c>
      <c r="J222" s="177">
        <f>IF(AND(ISNUMBER('Funnel setup'!P235),D222&gt;=30,E222&lt;&gt;"*",D222&lt;&gt;""),F222+3.090232306 *('Funnel setup'!$K$8/SQRT('Funnel Data'!D222)),"")</f>
        <v>24.063777939331963</v>
      </c>
      <c r="K222" s="178" t="str">
        <f>IF(AND(ISNUMBER('Funnel setup'!P235),D222&gt;=30,E222&lt;&gt;"*",D222&lt;&gt;""),IF(E222&gt;J222,'Funnel setup'!$K$15&amp;"99.8%",IF(E222&gt;H222,'Funnel setup'!$K$15&amp;"95%",IF(E222&lt;I222,'Funnel setup'!$K$16&amp;"99.8%",IF(E222&lt;G222,'Funnel setup'!$K$16&amp;"95%","")))),"")</f>
        <v/>
      </c>
    </row>
    <row r="223" spans="2:11" ht="15" customHeight="1" x14ac:dyDescent="0.35">
      <c r="B223" s="174" t="str">
        <f>IF(ISNUMBER('Funnel setup'!P236),VLOOKUP('Funnel setup'!$P236,'Provider Commission - Raw Data'!$A:$Q,5,0),"")</f>
        <v>RTD</v>
      </c>
      <c r="C223" s="175" t="str">
        <f>IF(ISNUMBER('Funnel setup'!P236),VLOOKUP('Funnel setup'!P236,'Provider Commission - Raw Data'!$A:$Q,6,0),"")</f>
        <v>THE NEWCASTLE UPON TYNE HOSPITALS NHS FOUNDATION TRUST (RTD)</v>
      </c>
      <c r="D223" s="176">
        <f>IF(ISNUMBER('Funnel setup'!P236),IF(VLOOKUP('Funnel setup'!P236,'Provider Commission - Raw Data'!$A:$Q,8,0)="-","",VLOOKUP('Funnel setup'!P236,'Provider Commission - Raw Data'!$A:$Q,8,0)),"")</f>
        <v>40</v>
      </c>
      <c r="E223" s="251">
        <f>IF(ISNUMBER('Funnel setup'!P236),IF(VLOOKUP('Funnel setup'!P236,'Provider Commission - Raw Data'!$A:$Q,16,0)="-","",VLOOKUP('Funnel setup'!P236,'Provider Commission - Raw Data'!$A:$Q,16,0)),"")</f>
        <v>21.0063</v>
      </c>
      <c r="F223" s="177">
        <f>IF(AND(ISNUMBER('Funnel setup'!P236)),'Funnel setup'!$K$9,"")</f>
        <v>22.515359017022909</v>
      </c>
      <c r="G223" s="177">
        <f>IF(AND(ISNUMBER('Funnel setup'!P236),D223&gt;=30,E223&lt;&gt;"*",D223&lt;&gt;""),F223-1.959963985 *('Funnel setup'!$K$8/SQRT('Funnel Data'!D223)),"")</f>
        <v>19.949712857882034</v>
      </c>
      <c r="H223" s="177">
        <f>IF(AND(ISNUMBER('Funnel setup'!P236),D223&gt;=30,E223&lt;&gt;"*",D223&lt;&gt;""),F223+1.959963985 *('Funnel setup'!$K$8/SQRT('Funnel Data'!D223)),"")</f>
        <v>25.081005176163785</v>
      </c>
      <c r="I223" s="177">
        <f>IF(AND(ISNUMBER('Funnel setup'!P236),D223&gt;=30,E223&lt;&gt;"*",D223&lt;&gt;""),F223-3.090232306 *('Funnel setup'!$K$8/SQRT('Funnel Data'!D223)),"")</f>
        <v>18.470160887149135</v>
      </c>
      <c r="J223" s="177">
        <f>IF(AND(ISNUMBER('Funnel setup'!P236),D223&gt;=30,E223&lt;&gt;"*",D223&lt;&gt;""),F223+3.090232306 *('Funnel setup'!$K$8/SQRT('Funnel Data'!D223)),"")</f>
        <v>26.560557146896684</v>
      </c>
      <c r="K223" s="178" t="str">
        <f>IF(AND(ISNUMBER('Funnel setup'!P236),D223&gt;=30,E223&lt;&gt;"*",D223&lt;&gt;""),IF(E223&gt;J223,'Funnel setup'!$K$15&amp;"99.8%",IF(E223&gt;H223,'Funnel setup'!$K$15&amp;"95%",IF(E223&lt;I223,'Funnel setup'!$K$16&amp;"99.8%",IF(E223&lt;G223,'Funnel setup'!$K$16&amp;"95%","")))),"")</f>
        <v/>
      </c>
    </row>
    <row r="224" spans="2:11" ht="15" customHeight="1" x14ac:dyDescent="0.35">
      <c r="B224" s="174" t="str">
        <f>IF(ISNUMBER('Funnel setup'!P237),VLOOKUP('Funnel setup'!$P237,'Provider Commission - Raw Data'!$A:$Q,5,0),"")</f>
        <v>RQW</v>
      </c>
      <c r="C224" s="175" t="str">
        <f>IF(ISNUMBER('Funnel setup'!P237),VLOOKUP('Funnel setup'!P237,'Provider Commission - Raw Data'!$A:$Q,6,0),"")</f>
        <v>THE PRINCESS ALEXANDRA HOSPITAL NHS TRUST (RQW)</v>
      </c>
      <c r="D224" s="176">
        <f>IF(ISNUMBER('Funnel setup'!P237),IF(VLOOKUP('Funnel setup'!P237,'Provider Commission - Raw Data'!$A:$Q,8,0)="-","",VLOOKUP('Funnel setup'!P237,'Provider Commission - Raw Data'!$A:$Q,8,0)),"")</f>
        <v>28</v>
      </c>
      <c r="E224" s="251" t="str">
        <f>IF(ISNUMBER('Funnel setup'!P237),IF(VLOOKUP('Funnel setup'!P237,'Provider Commission - Raw Data'!$A:$Q,16,0)="-","",VLOOKUP('Funnel setup'!P237,'Provider Commission - Raw Data'!$A:$Q,16,0)),"")</f>
        <v>*</v>
      </c>
      <c r="F224" s="177">
        <f>IF(AND(ISNUMBER('Funnel setup'!P237)),'Funnel setup'!$K$9,"")</f>
        <v>22.515359017022909</v>
      </c>
      <c r="G224" s="177" t="str">
        <f>IF(AND(ISNUMBER('Funnel setup'!P237),D224&gt;=30,E224&lt;&gt;"*",D224&lt;&gt;""),F224-1.959963985 *('Funnel setup'!$K$8/SQRT('Funnel Data'!D224)),"")</f>
        <v/>
      </c>
      <c r="H224" s="177" t="str">
        <f>IF(AND(ISNUMBER('Funnel setup'!P237),D224&gt;=30,E224&lt;&gt;"*",D224&lt;&gt;""),F224+1.959963985 *('Funnel setup'!$K$8/SQRT('Funnel Data'!D224)),"")</f>
        <v/>
      </c>
      <c r="I224" s="177" t="str">
        <f>IF(AND(ISNUMBER('Funnel setup'!P237),D224&gt;=30,E224&lt;&gt;"*",D224&lt;&gt;""),F224-3.090232306 *('Funnel setup'!$K$8/SQRT('Funnel Data'!D224)),"")</f>
        <v/>
      </c>
      <c r="J224" s="177" t="str">
        <f>IF(AND(ISNUMBER('Funnel setup'!P237),D224&gt;=30,E224&lt;&gt;"*",D224&lt;&gt;""),F224+3.090232306 *('Funnel setup'!$K$8/SQRT('Funnel Data'!D224)),"")</f>
        <v/>
      </c>
      <c r="K224" s="178" t="str">
        <f>IF(AND(ISNUMBER('Funnel setup'!P237),D224&gt;=30,E224&lt;&gt;"*",D224&lt;&gt;""),IF(E224&gt;J224,'Funnel setup'!$K$15&amp;"99.8%",IF(E224&gt;H224,'Funnel setup'!$K$15&amp;"95%",IF(E224&lt;I224,'Funnel setup'!$K$16&amp;"99.8%",IF(E224&lt;G224,'Funnel setup'!$K$16&amp;"95%","")))),"")</f>
        <v/>
      </c>
    </row>
    <row r="225" spans="2:11" ht="15" customHeight="1" x14ac:dyDescent="0.35">
      <c r="B225" s="174" t="str">
        <f>IF(ISNUMBER('Funnel setup'!P238),VLOOKUP('Funnel setup'!$P238,'Provider Commission - Raw Data'!$A:$Q,5,0),"")</f>
        <v>RCX</v>
      </c>
      <c r="C225" s="175" t="str">
        <f>IF(ISNUMBER('Funnel setup'!P238),VLOOKUP('Funnel setup'!P238,'Provider Commission - Raw Data'!$A:$Q,6,0),"")</f>
        <v>THE QUEEN ELIZABETH HOSPITAL, KING'S LYNN, NHS FOUNDATION TRUST (RCX)</v>
      </c>
      <c r="D225" s="176">
        <f>IF(ISNUMBER('Funnel setup'!P238),IF(VLOOKUP('Funnel setup'!P238,'Provider Commission - Raw Data'!$A:$Q,8,0)="-","",VLOOKUP('Funnel setup'!P238,'Provider Commission - Raw Data'!$A:$Q,8,0)),"")</f>
        <v>71</v>
      </c>
      <c r="E225" s="251">
        <f>IF(ISNUMBER('Funnel setup'!P238),IF(VLOOKUP('Funnel setup'!P238,'Provider Commission - Raw Data'!$A:$Q,16,0)="-","",VLOOKUP('Funnel setup'!P238,'Provider Commission - Raw Data'!$A:$Q,16,0)),"")</f>
        <v>23.717500000000001</v>
      </c>
      <c r="F225" s="177">
        <f>IF(AND(ISNUMBER('Funnel setup'!P238)),'Funnel setup'!$K$9,"")</f>
        <v>22.515359017022909</v>
      </c>
      <c r="G225" s="177">
        <f>IF(AND(ISNUMBER('Funnel setup'!P238),D225&gt;=30,E225&lt;&gt;"*",D225&lt;&gt;""),F225-1.959963985 *('Funnel setup'!$K$8/SQRT('Funnel Data'!D225)),"")</f>
        <v>20.589619325384465</v>
      </c>
      <c r="H225" s="177">
        <f>IF(AND(ISNUMBER('Funnel setup'!P238),D225&gt;=30,E225&lt;&gt;"*",D225&lt;&gt;""),F225+1.959963985 *('Funnel setup'!$K$8/SQRT('Funnel Data'!D225)),"")</f>
        <v>24.441098708661354</v>
      </c>
      <c r="I225" s="177">
        <f>IF(AND(ISNUMBER('Funnel setup'!P238),D225&gt;=30,E225&lt;&gt;"*",D225&lt;&gt;""),F225-3.090232306 *('Funnel setup'!$K$8/SQRT('Funnel Data'!D225)),"")</f>
        <v>19.479087405099591</v>
      </c>
      <c r="J225" s="177">
        <f>IF(AND(ISNUMBER('Funnel setup'!P238),D225&gt;=30,E225&lt;&gt;"*",D225&lt;&gt;""),F225+3.090232306 *('Funnel setup'!$K$8/SQRT('Funnel Data'!D225)),"")</f>
        <v>25.551630628946228</v>
      </c>
      <c r="K225" s="178" t="str">
        <f>IF(AND(ISNUMBER('Funnel setup'!P238),D225&gt;=30,E225&lt;&gt;"*",D225&lt;&gt;""),IF(E225&gt;J225,'Funnel setup'!$K$15&amp;"99.8%",IF(E225&gt;H225,'Funnel setup'!$K$15&amp;"95%",IF(E225&lt;I225,'Funnel setup'!$K$16&amp;"99.8%",IF(E225&lt;G225,'Funnel setup'!$K$16&amp;"95%","")))),"")</f>
        <v/>
      </c>
    </row>
    <row r="226" spans="2:11" ht="15" customHeight="1" x14ac:dyDescent="0.35">
      <c r="B226" s="174" t="str">
        <f>IF(ISNUMBER('Funnel setup'!P239),VLOOKUP('Funnel setup'!$P239,'Provider Commission - Raw Data'!$A:$Q,5,0),"")</f>
        <v>RL1</v>
      </c>
      <c r="C226" s="175" t="str">
        <f>IF(ISNUMBER('Funnel setup'!P239),VLOOKUP('Funnel setup'!P239,'Provider Commission - Raw Data'!$A:$Q,6,0),"")</f>
        <v>THE ROBERT JONES AND AGNES HUNT ORTHOPAEDIC HOSPITAL NHS FOUNDATION TRUST (RL1)</v>
      </c>
      <c r="D226" s="176">
        <f>IF(ISNUMBER('Funnel setup'!P239),IF(VLOOKUP('Funnel setup'!P239,'Provider Commission - Raw Data'!$A:$Q,8,0)="-","",VLOOKUP('Funnel setup'!P239,'Provider Commission - Raw Data'!$A:$Q,8,0)),"")</f>
        <v>373</v>
      </c>
      <c r="E226" s="251">
        <f>IF(ISNUMBER('Funnel setup'!P239),IF(VLOOKUP('Funnel setup'!P239,'Provider Commission - Raw Data'!$A:$Q,16,0)="-","",VLOOKUP('Funnel setup'!P239,'Provider Commission - Raw Data'!$A:$Q,16,0)),"")</f>
        <v>24.420999999999999</v>
      </c>
      <c r="F226" s="177">
        <f>IF(AND(ISNUMBER('Funnel setup'!P239)),'Funnel setup'!$K$9,"")</f>
        <v>22.515359017022909</v>
      </c>
      <c r="G226" s="177">
        <f>IF(AND(ISNUMBER('Funnel setup'!P239),D226&gt;=30,E226&lt;&gt;"*",D226&lt;&gt;""),F226-1.959963985 *('Funnel setup'!$K$8/SQRT('Funnel Data'!D226)),"")</f>
        <v>21.67517901499447</v>
      </c>
      <c r="H226" s="177">
        <f>IF(AND(ISNUMBER('Funnel setup'!P239),D226&gt;=30,E226&lt;&gt;"*",D226&lt;&gt;""),F226+1.959963985 *('Funnel setup'!$K$8/SQRT('Funnel Data'!D226)),"")</f>
        <v>23.355539019051349</v>
      </c>
      <c r="I226" s="177">
        <f>IF(AND(ISNUMBER('Funnel setup'!P239),D226&gt;=30,E226&lt;&gt;"*",D226&lt;&gt;""),F226-3.090232306 *('Funnel setup'!$K$8/SQRT('Funnel Data'!D226)),"")</f>
        <v>21.190665601738839</v>
      </c>
      <c r="J226" s="177">
        <f>IF(AND(ISNUMBER('Funnel setup'!P239),D226&gt;=30,E226&lt;&gt;"*",D226&lt;&gt;""),F226+3.090232306 *('Funnel setup'!$K$8/SQRT('Funnel Data'!D226)),"")</f>
        <v>23.84005243230698</v>
      </c>
      <c r="K226" s="178" t="str">
        <f>IF(AND(ISNUMBER('Funnel setup'!P239),D226&gt;=30,E226&lt;&gt;"*",D226&lt;&gt;""),IF(E226&gt;J226,'Funnel setup'!$K$15&amp;"99.8%",IF(E226&gt;H226,'Funnel setup'!$K$15&amp;"95%",IF(E226&lt;I226,'Funnel setup'!$K$16&amp;"99.8%",IF(E226&lt;G226,'Funnel setup'!$K$16&amp;"95%","")))),"")</f>
        <v>Upper 99.8%</v>
      </c>
    </row>
    <row r="227" spans="2:11" ht="15" customHeight="1" x14ac:dyDescent="0.35">
      <c r="B227" s="174" t="str">
        <f>IF(ISNUMBER('Funnel setup'!P240),VLOOKUP('Funnel setup'!$P240,'Provider Commission - Raw Data'!$A:$Q,5,0),"")</f>
        <v>RFR</v>
      </c>
      <c r="C227" s="175" t="str">
        <f>IF(ISNUMBER('Funnel setup'!P240),VLOOKUP('Funnel setup'!P240,'Provider Commission - Raw Data'!$A:$Q,6,0),"")</f>
        <v>THE ROTHERHAM NHS FOUNDATION TRUST (RFR)</v>
      </c>
      <c r="D227" s="176">
        <f>IF(ISNUMBER('Funnel setup'!P240),IF(VLOOKUP('Funnel setup'!P240,'Provider Commission - Raw Data'!$A:$Q,8,0)="-","",VLOOKUP('Funnel setup'!P240,'Provider Commission - Raw Data'!$A:$Q,8,0)),"")</f>
        <v>18</v>
      </c>
      <c r="E227" s="251" t="str">
        <f>IF(ISNUMBER('Funnel setup'!P240),IF(VLOOKUP('Funnel setup'!P240,'Provider Commission - Raw Data'!$A:$Q,16,0)="-","",VLOOKUP('Funnel setup'!P240,'Provider Commission - Raw Data'!$A:$Q,16,0)),"")</f>
        <v>*</v>
      </c>
      <c r="F227" s="177">
        <f>IF(AND(ISNUMBER('Funnel setup'!P240)),'Funnel setup'!$K$9,"")</f>
        <v>22.515359017022909</v>
      </c>
      <c r="G227" s="177" t="str">
        <f>IF(AND(ISNUMBER('Funnel setup'!P240),D227&gt;=30,E227&lt;&gt;"*",D227&lt;&gt;""),F227-1.959963985 *('Funnel setup'!$K$8/SQRT('Funnel Data'!D227)),"")</f>
        <v/>
      </c>
      <c r="H227" s="177" t="str">
        <f>IF(AND(ISNUMBER('Funnel setup'!P240),D227&gt;=30,E227&lt;&gt;"*",D227&lt;&gt;""),F227+1.959963985 *('Funnel setup'!$K$8/SQRT('Funnel Data'!D227)),"")</f>
        <v/>
      </c>
      <c r="I227" s="177" t="str">
        <f>IF(AND(ISNUMBER('Funnel setup'!P240),D227&gt;=30,E227&lt;&gt;"*",D227&lt;&gt;""),F227-3.090232306 *('Funnel setup'!$K$8/SQRT('Funnel Data'!D227)),"")</f>
        <v/>
      </c>
      <c r="J227" s="177" t="str">
        <f>IF(AND(ISNUMBER('Funnel setup'!P240),D227&gt;=30,E227&lt;&gt;"*",D227&lt;&gt;""),F227+3.090232306 *('Funnel setup'!$K$8/SQRT('Funnel Data'!D227)),"")</f>
        <v/>
      </c>
      <c r="K227" s="178" t="str">
        <f>IF(AND(ISNUMBER('Funnel setup'!P240),D227&gt;=30,E227&lt;&gt;"*",D227&lt;&gt;""),IF(E227&gt;J227,'Funnel setup'!$K$15&amp;"99.8%",IF(E227&gt;H227,'Funnel setup'!$K$15&amp;"95%",IF(E227&lt;I227,'Funnel setup'!$K$16&amp;"99.8%",IF(E227&lt;G227,'Funnel setup'!$K$16&amp;"95%","")))),"")</f>
        <v/>
      </c>
    </row>
    <row r="228" spans="2:11" ht="15" customHeight="1" x14ac:dyDescent="0.35">
      <c r="B228" s="174" t="str">
        <f>IF(ISNUMBER('Funnel setup'!P241),VLOOKUP('Funnel setup'!$P241,'Provider Commission - Raw Data'!$A:$Q,5,0),"")</f>
        <v>RRJ</v>
      </c>
      <c r="C228" s="175" t="str">
        <f>IF(ISNUMBER('Funnel setup'!P241),VLOOKUP('Funnel setup'!P241,'Provider Commission - Raw Data'!$A:$Q,6,0),"")</f>
        <v>THE ROYAL ORTHOPAEDIC HOSPITAL NHS FOUNDATION TRUST (RRJ)</v>
      </c>
      <c r="D228" s="176">
        <f>IF(ISNUMBER('Funnel setup'!P241),IF(VLOOKUP('Funnel setup'!P241,'Provider Commission - Raw Data'!$A:$Q,8,0)="-","",VLOOKUP('Funnel setup'!P241,'Provider Commission - Raw Data'!$A:$Q,8,0)),"")</f>
        <v>644</v>
      </c>
      <c r="E228" s="251">
        <f>IF(ISNUMBER('Funnel setup'!P241),IF(VLOOKUP('Funnel setup'!P241,'Provider Commission - Raw Data'!$A:$Q,16,0)="-","",VLOOKUP('Funnel setup'!P241,'Provider Commission - Raw Data'!$A:$Q,16,0)),"")</f>
        <v>22.157800000000002</v>
      </c>
      <c r="F228" s="177">
        <f>IF(AND(ISNUMBER('Funnel setup'!P241)),'Funnel setup'!$K$9,"")</f>
        <v>22.515359017022909</v>
      </c>
      <c r="G228" s="177">
        <f>IF(AND(ISNUMBER('Funnel setup'!P241),D228&gt;=30,E228&lt;&gt;"*",D228&lt;&gt;""),F228-1.959963985 *('Funnel setup'!$K$8/SQRT('Funnel Data'!D228)),"")</f>
        <v>21.875942541292364</v>
      </c>
      <c r="H228" s="177">
        <f>IF(AND(ISNUMBER('Funnel setup'!P241),D228&gt;=30,E228&lt;&gt;"*",D228&lt;&gt;""),F228+1.959963985 *('Funnel setup'!$K$8/SQRT('Funnel Data'!D228)),"")</f>
        <v>23.154775492753455</v>
      </c>
      <c r="I228" s="177">
        <f>IF(AND(ISNUMBER('Funnel setup'!P241),D228&gt;=30,E228&lt;&gt;"*",D228&lt;&gt;""),F228-3.090232306 *('Funnel setup'!$K$8/SQRT('Funnel Data'!D228)),"")</f>
        <v>21.507205058371877</v>
      </c>
      <c r="J228" s="177">
        <f>IF(AND(ISNUMBER('Funnel setup'!P241),D228&gt;=30,E228&lt;&gt;"*",D228&lt;&gt;""),F228+3.090232306 *('Funnel setup'!$K$8/SQRT('Funnel Data'!D228)),"")</f>
        <v>23.523512975673942</v>
      </c>
      <c r="K228" s="178" t="str">
        <f>IF(AND(ISNUMBER('Funnel setup'!P241),D228&gt;=30,E228&lt;&gt;"*",D228&lt;&gt;""),IF(E228&gt;J228,'Funnel setup'!$K$15&amp;"99.8%",IF(E228&gt;H228,'Funnel setup'!$K$15&amp;"95%",IF(E228&lt;I228,'Funnel setup'!$K$16&amp;"99.8%",IF(E228&lt;G228,'Funnel setup'!$K$16&amp;"95%","")))),"")</f>
        <v/>
      </c>
    </row>
    <row r="229" spans="2:11" ht="15" customHeight="1" x14ac:dyDescent="0.35">
      <c r="B229" s="174" t="str">
        <f>IF(ISNUMBER('Funnel setup'!P242),VLOOKUP('Funnel setup'!$P242,'Provider Commission - Raw Data'!$A:$Q,5,0),"")</f>
        <v>RL4</v>
      </c>
      <c r="C229" s="175" t="str">
        <f>IF(ISNUMBER('Funnel setup'!P242),VLOOKUP('Funnel setup'!P242,'Provider Commission - Raw Data'!$A:$Q,6,0),"")</f>
        <v>THE ROYAL WOLVERHAMPTON NHS TRUST (RL4)</v>
      </c>
      <c r="D229" s="176">
        <f>IF(ISNUMBER('Funnel setup'!P242),IF(VLOOKUP('Funnel setup'!P242,'Provider Commission - Raw Data'!$A:$Q,8,0)="-","",VLOOKUP('Funnel setup'!P242,'Provider Commission - Raw Data'!$A:$Q,8,0)),"")</f>
        <v>18</v>
      </c>
      <c r="E229" s="251" t="str">
        <f>IF(ISNUMBER('Funnel setup'!P242),IF(VLOOKUP('Funnel setup'!P242,'Provider Commission - Raw Data'!$A:$Q,16,0)="-","",VLOOKUP('Funnel setup'!P242,'Provider Commission - Raw Data'!$A:$Q,16,0)),"")</f>
        <v>*</v>
      </c>
      <c r="F229" s="177">
        <f>IF(AND(ISNUMBER('Funnel setup'!P242)),'Funnel setup'!$K$9,"")</f>
        <v>22.515359017022909</v>
      </c>
      <c r="G229" s="177" t="str">
        <f>IF(AND(ISNUMBER('Funnel setup'!P242),D229&gt;=30,E229&lt;&gt;"*",D229&lt;&gt;""),F229-1.959963985 *('Funnel setup'!$K$8/SQRT('Funnel Data'!D229)),"")</f>
        <v/>
      </c>
      <c r="H229" s="177" t="str">
        <f>IF(AND(ISNUMBER('Funnel setup'!P242),D229&gt;=30,E229&lt;&gt;"*",D229&lt;&gt;""),F229+1.959963985 *('Funnel setup'!$K$8/SQRT('Funnel Data'!D229)),"")</f>
        <v/>
      </c>
      <c r="I229" s="177" t="str">
        <f>IF(AND(ISNUMBER('Funnel setup'!P242),D229&gt;=30,E229&lt;&gt;"*",D229&lt;&gt;""),F229-3.090232306 *('Funnel setup'!$K$8/SQRT('Funnel Data'!D229)),"")</f>
        <v/>
      </c>
      <c r="J229" s="177" t="str">
        <f>IF(AND(ISNUMBER('Funnel setup'!P242),D229&gt;=30,E229&lt;&gt;"*",D229&lt;&gt;""),F229+3.090232306 *('Funnel setup'!$K$8/SQRT('Funnel Data'!D229)),"")</f>
        <v/>
      </c>
      <c r="K229" s="178" t="str">
        <f>IF(AND(ISNUMBER('Funnel setup'!P242),D229&gt;=30,E229&lt;&gt;"*",D229&lt;&gt;""),IF(E229&gt;J229,'Funnel setup'!$K$15&amp;"99.8%",IF(E229&gt;H229,'Funnel setup'!$K$15&amp;"95%",IF(E229&lt;I229,'Funnel setup'!$K$16&amp;"99.8%",IF(E229&lt;G229,'Funnel setup'!$K$16&amp;"95%","")))),"")</f>
        <v/>
      </c>
    </row>
    <row r="230" spans="2:11" ht="15" customHeight="1" x14ac:dyDescent="0.35">
      <c r="B230" s="174" t="str">
        <f>IF(ISNUMBER('Funnel setup'!P243),VLOOKUP('Funnel setup'!$P243,'Provider Commission - Raw Data'!$A:$Q,5,0),"")</f>
        <v>RXW</v>
      </c>
      <c r="C230" s="175" t="str">
        <f>IF(ISNUMBER('Funnel setup'!P243),VLOOKUP('Funnel setup'!P243,'Provider Commission - Raw Data'!$A:$Q,6,0),"")</f>
        <v>THE SHREWSBURY AND TELFORD HOSPITAL NHS TRUST (RXW)</v>
      </c>
      <c r="D230" s="176">
        <f>IF(ISNUMBER('Funnel setup'!P243),IF(VLOOKUP('Funnel setup'!P243,'Provider Commission - Raw Data'!$A:$Q,8,0)="-","",VLOOKUP('Funnel setup'!P243,'Provider Commission - Raw Data'!$A:$Q,8,0)),"")</f>
        <v>20</v>
      </c>
      <c r="E230" s="251" t="str">
        <f>IF(ISNUMBER('Funnel setup'!P243),IF(VLOOKUP('Funnel setup'!P243,'Provider Commission - Raw Data'!$A:$Q,16,0)="-","",VLOOKUP('Funnel setup'!P243,'Provider Commission - Raw Data'!$A:$Q,16,0)),"")</f>
        <v>*</v>
      </c>
      <c r="F230" s="177">
        <f>IF(AND(ISNUMBER('Funnel setup'!P243)),'Funnel setup'!$K$9,"")</f>
        <v>22.515359017022909</v>
      </c>
      <c r="G230" s="177" t="str">
        <f>IF(AND(ISNUMBER('Funnel setup'!P243),D230&gt;=30,E230&lt;&gt;"*",D230&lt;&gt;""),F230-1.959963985 *('Funnel setup'!$K$8/SQRT('Funnel Data'!D230)),"")</f>
        <v/>
      </c>
      <c r="H230" s="177" t="str">
        <f>IF(AND(ISNUMBER('Funnel setup'!P243),D230&gt;=30,E230&lt;&gt;"*",D230&lt;&gt;""),F230+1.959963985 *('Funnel setup'!$K$8/SQRT('Funnel Data'!D230)),"")</f>
        <v/>
      </c>
      <c r="I230" s="177" t="str">
        <f>IF(AND(ISNUMBER('Funnel setup'!P243),D230&gt;=30,E230&lt;&gt;"*",D230&lt;&gt;""),F230-3.090232306 *('Funnel setup'!$K$8/SQRT('Funnel Data'!D230)),"")</f>
        <v/>
      </c>
      <c r="J230" s="177" t="str">
        <f>IF(AND(ISNUMBER('Funnel setup'!P243),D230&gt;=30,E230&lt;&gt;"*",D230&lt;&gt;""),F230+3.090232306 *('Funnel setup'!$K$8/SQRT('Funnel Data'!D230)),"")</f>
        <v/>
      </c>
      <c r="K230" s="178" t="str">
        <f>IF(AND(ISNUMBER('Funnel setup'!P243),D230&gt;=30,E230&lt;&gt;"*",D230&lt;&gt;""),IF(E230&gt;J230,'Funnel setup'!$K$15&amp;"99.8%",IF(E230&gt;H230,'Funnel setup'!$K$15&amp;"95%",IF(E230&lt;I230,'Funnel setup'!$K$16&amp;"99.8%",IF(E230&lt;G230,'Funnel setup'!$K$16&amp;"95%","")))),"")</f>
        <v/>
      </c>
    </row>
    <row r="231" spans="2:11" ht="30" customHeight="1" x14ac:dyDescent="0.35">
      <c r="B231" s="174" t="str">
        <f>IF(ISNUMBER('Funnel setup'!P244),VLOOKUP('Funnel setup'!$P244,'Provider Commission - Raw Data'!$A:$Q,5,0),"")</f>
        <v>NVC20</v>
      </c>
      <c r="C231" s="175" t="str">
        <f>IF(ISNUMBER('Funnel setup'!P244),VLOOKUP('Funnel setup'!P244,'Provider Commission - Raw Data'!$A:$Q,6,0),"")</f>
        <v>THE YORKSHIRE CLINIC (NVC20)</v>
      </c>
      <c r="D231" s="176">
        <f>IF(ISNUMBER('Funnel setup'!P244),IF(VLOOKUP('Funnel setup'!P244,'Provider Commission - Raw Data'!$A:$Q,8,0)="-","",VLOOKUP('Funnel setup'!P244,'Provider Commission - Raw Data'!$A:$Q,8,0)),"")</f>
        <v>65</v>
      </c>
      <c r="E231" s="251">
        <f>IF(ISNUMBER('Funnel setup'!P244),IF(VLOOKUP('Funnel setup'!P244,'Provider Commission - Raw Data'!$A:$Q,16,0)="-","",VLOOKUP('Funnel setup'!P244,'Provider Commission - Raw Data'!$A:$Q,16,0)),"")</f>
        <v>6.9525399999999999</v>
      </c>
      <c r="F231" s="177">
        <f>IF(AND(ISNUMBER('Funnel setup'!P244)),'Funnel setup'!$K$9,"")</f>
        <v>22.515359017022909</v>
      </c>
      <c r="G231" s="177">
        <f>IF(AND(ISNUMBER('Funnel setup'!P244),D231&gt;=30,E231&lt;&gt;"*",D231&lt;&gt;""),F231-1.959963985 *('Funnel setup'!$K$8/SQRT('Funnel Data'!D231)),"")</f>
        <v>20.50270058157157</v>
      </c>
      <c r="H231" s="177">
        <f>IF(AND(ISNUMBER('Funnel setup'!P244),D231&gt;=30,E231&lt;&gt;"*",D231&lt;&gt;""),F231+1.959963985 *('Funnel setup'!$K$8/SQRT('Funnel Data'!D231)),"")</f>
        <v>24.528017452474248</v>
      </c>
      <c r="I231" s="177">
        <f>IF(AND(ISNUMBER('Funnel setup'!P244),D231&gt;=30,E231&lt;&gt;"*",D231&lt;&gt;""),F231-3.090232306 *('Funnel setup'!$K$8/SQRT('Funnel Data'!D231)),"")</f>
        <v>19.34204452462669</v>
      </c>
      <c r="J231" s="177">
        <f>IF(AND(ISNUMBER('Funnel setup'!P244),D231&gt;=30,E231&lt;&gt;"*",D231&lt;&gt;""),F231+3.090232306 *('Funnel setup'!$K$8/SQRT('Funnel Data'!D231)),"")</f>
        <v>25.688673509419129</v>
      </c>
      <c r="K231" s="178" t="str">
        <f>IF(AND(ISNUMBER('Funnel setup'!P244),D231&gt;=30,E231&lt;&gt;"*",D231&lt;&gt;""),IF(E231&gt;J231,'Funnel setup'!$K$15&amp;"99.8%",IF(E231&gt;H231,'Funnel setup'!$K$15&amp;"95%",IF(E231&lt;I231,'Funnel setup'!$K$16&amp;"99.8%",IF(E231&lt;G231,'Funnel setup'!$K$16&amp;"95%","")))),"")</f>
        <v>Lower 99.8%</v>
      </c>
    </row>
    <row r="232" spans="2:11" ht="15" customHeight="1" x14ac:dyDescent="0.35">
      <c r="B232" s="174" t="str">
        <f>IF(ISNUMBER('Funnel setup'!P245),VLOOKUP('Funnel setup'!$P245,'Provider Commission - Raw Data'!$A:$Q,5,0),"")</f>
        <v>NT440</v>
      </c>
      <c r="C232" s="175" t="str">
        <f>IF(ISNUMBER('Funnel setup'!P245),VLOOKUP('Funnel setup'!P245,'Provider Commission - Raw Data'!$A:$Q,6,0),"")</f>
        <v>THORNBURY HOSPITAL (NT440)</v>
      </c>
      <c r="D232" s="176">
        <f>IF(ISNUMBER('Funnel setup'!P245),IF(VLOOKUP('Funnel setup'!P245,'Provider Commission - Raw Data'!$A:$Q,8,0)="-","",VLOOKUP('Funnel setup'!P245,'Provider Commission - Raw Data'!$A:$Q,8,0)),"")</f>
        <v>3</v>
      </c>
      <c r="E232" s="251" t="str">
        <f>IF(ISNUMBER('Funnel setup'!P245),IF(VLOOKUP('Funnel setup'!P245,'Provider Commission - Raw Data'!$A:$Q,16,0)="-","",VLOOKUP('Funnel setup'!P245,'Provider Commission - Raw Data'!$A:$Q,16,0)),"")</f>
        <v>*</v>
      </c>
      <c r="F232" s="177">
        <f>IF(AND(ISNUMBER('Funnel setup'!P245)),'Funnel setup'!$K$9,"")</f>
        <v>22.515359017022909</v>
      </c>
      <c r="G232" s="177" t="str">
        <f>IF(AND(ISNUMBER('Funnel setup'!P245),D232&gt;=30,E232&lt;&gt;"*",D232&lt;&gt;""),F232-1.959963985 *('Funnel setup'!$K$8/SQRT('Funnel Data'!D232)),"")</f>
        <v/>
      </c>
      <c r="H232" s="177" t="str">
        <f>IF(AND(ISNUMBER('Funnel setup'!P245),D232&gt;=30,E232&lt;&gt;"*",D232&lt;&gt;""),F232+1.959963985 *('Funnel setup'!$K$8/SQRT('Funnel Data'!D232)),"")</f>
        <v/>
      </c>
      <c r="I232" s="177" t="str">
        <f>IF(AND(ISNUMBER('Funnel setup'!P245),D232&gt;=30,E232&lt;&gt;"*",D232&lt;&gt;""),F232-3.090232306 *('Funnel setup'!$K$8/SQRT('Funnel Data'!D232)),"")</f>
        <v/>
      </c>
      <c r="J232" s="177" t="str">
        <f>IF(AND(ISNUMBER('Funnel setup'!P245),D232&gt;=30,E232&lt;&gt;"*",D232&lt;&gt;""),F232+3.090232306 *('Funnel setup'!$K$8/SQRT('Funnel Data'!D232)),"")</f>
        <v/>
      </c>
      <c r="K232" s="178" t="str">
        <f>IF(AND(ISNUMBER('Funnel setup'!P245),D232&gt;=30,E232&lt;&gt;"*",D232&lt;&gt;""),IF(E232&gt;J232,'Funnel setup'!$K$15&amp;"99.8%",IF(E232&gt;H232,'Funnel setup'!$K$15&amp;"95%",IF(E232&lt;I232,'Funnel setup'!$K$16&amp;"99.8%",IF(E232&lt;G232,'Funnel setup'!$K$16&amp;"95%","")))),"")</f>
        <v/>
      </c>
    </row>
    <row r="233" spans="2:11" ht="15" customHeight="1" x14ac:dyDescent="0.35">
      <c r="B233" s="174" t="str">
        <f>IF(ISNUMBER('Funnel setup'!P246),VLOOKUP('Funnel setup'!$P246,'Provider Commission - Raw Data'!$A:$Q,5,0),"")</f>
        <v>NT441</v>
      </c>
      <c r="C233" s="175" t="str">
        <f>IF(ISNUMBER('Funnel setup'!P246),VLOOKUP('Funnel setup'!P246,'Provider Commission - Raw Data'!$A:$Q,6,0),"")</f>
        <v>THREE SHIRES HOSPITAL (NT441)</v>
      </c>
      <c r="D233" s="176">
        <f>IF(ISNUMBER('Funnel setup'!P246),IF(VLOOKUP('Funnel setup'!P246,'Provider Commission - Raw Data'!$A:$Q,8,0)="-","",VLOOKUP('Funnel setup'!P246,'Provider Commission - Raw Data'!$A:$Q,8,0)),"")</f>
        <v>67</v>
      </c>
      <c r="E233" s="251">
        <f>IF(ISNUMBER('Funnel setup'!P246),IF(VLOOKUP('Funnel setup'!P246,'Provider Commission - Raw Data'!$A:$Q,16,0)="-","",VLOOKUP('Funnel setup'!P246,'Provider Commission - Raw Data'!$A:$Q,16,0)),"")</f>
        <v>22.378</v>
      </c>
      <c r="F233" s="177">
        <f>IF(AND(ISNUMBER('Funnel setup'!P246)),'Funnel setup'!$K$9,"")</f>
        <v>22.515359017022909</v>
      </c>
      <c r="G233" s="177">
        <f>IF(AND(ISNUMBER('Funnel setup'!P246),D233&gt;=30,E233&lt;&gt;"*",D233&lt;&gt;""),F233-1.959963985 *('Funnel setup'!$K$8/SQRT('Funnel Data'!D233)),"")</f>
        <v>20.532967846094294</v>
      </c>
      <c r="H233" s="177">
        <f>IF(AND(ISNUMBER('Funnel setup'!P246),D233&gt;=30,E233&lt;&gt;"*",D233&lt;&gt;""),F233+1.959963985 *('Funnel setup'!$K$8/SQRT('Funnel Data'!D233)),"")</f>
        <v>24.497750187951524</v>
      </c>
      <c r="I233" s="177">
        <f>IF(AND(ISNUMBER('Funnel setup'!P246),D233&gt;=30,E233&lt;&gt;"*",D233&lt;&gt;""),F233-3.090232306 *('Funnel setup'!$K$8/SQRT('Funnel Data'!D233)),"")</f>
        <v>19.389766257963732</v>
      </c>
      <c r="J233" s="177">
        <f>IF(AND(ISNUMBER('Funnel setup'!P246),D233&gt;=30,E233&lt;&gt;"*",D233&lt;&gt;""),F233+3.090232306 *('Funnel setup'!$K$8/SQRT('Funnel Data'!D233)),"")</f>
        <v>25.640951776082087</v>
      </c>
      <c r="K233" s="178" t="str">
        <f>IF(AND(ISNUMBER('Funnel setup'!P246),D233&gt;=30,E233&lt;&gt;"*",D233&lt;&gt;""),IF(E233&gt;J233,'Funnel setup'!$K$15&amp;"99.8%",IF(E233&gt;H233,'Funnel setup'!$K$15&amp;"95%",IF(E233&lt;I233,'Funnel setup'!$K$16&amp;"99.8%",IF(E233&lt;G233,'Funnel setup'!$K$16&amp;"95%","")))),"")</f>
        <v/>
      </c>
    </row>
    <row r="234" spans="2:11" ht="15" customHeight="1" x14ac:dyDescent="0.35">
      <c r="B234" s="174" t="str">
        <f>IF(ISNUMBER('Funnel setup'!P247),VLOOKUP('Funnel setup'!$P247,'Provider Commission - Raw Data'!$A:$Q,5,0),"")</f>
        <v>RA9</v>
      </c>
      <c r="C234" s="175" t="str">
        <f>IF(ISNUMBER('Funnel setup'!P247),VLOOKUP('Funnel setup'!P247,'Provider Commission - Raw Data'!$A:$Q,6,0),"")</f>
        <v>TORBAY AND SOUTH DEVON NHS FOUNDATION TRUST (RA9)</v>
      </c>
      <c r="D234" s="176">
        <f>IF(ISNUMBER('Funnel setup'!P247),IF(VLOOKUP('Funnel setup'!P247,'Provider Commission - Raw Data'!$A:$Q,8,0)="-","",VLOOKUP('Funnel setup'!P247,'Provider Commission - Raw Data'!$A:$Q,8,0)),"")</f>
        <v>12</v>
      </c>
      <c r="E234" s="251" t="str">
        <f>IF(ISNUMBER('Funnel setup'!P247),IF(VLOOKUP('Funnel setup'!P247,'Provider Commission - Raw Data'!$A:$Q,16,0)="-","",VLOOKUP('Funnel setup'!P247,'Provider Commission - Raw Data'!$A:$Q,16,0)),"")</f>
        <v>*</v>
      </c>
      <c r="F234" s="177">
        <f>IF(AND(ISNUMBER('Funnel setup'!P247)),'Funnel setup'!$K$9,"")</f>
        <v>22.515359017022909</v>
      </c>
      <c r="G234" s="177" t="str">
        <f>IF(AND(ISNUMBER('Funnel setup'!P247),D234&gt;=30,E234&lt;&gt;"*",D234&lt;&gt;""),F234-1.959963985 *('Funnel setup'!$K$8/SQRT('Funnel Data'!D234)),"")</f>
        <v/>
      </c>
      <c r="H234" s="177" t="str">
        <f>IF(AND(ISNUMBER('Funnel setup'!P247),D234&gt;=30,E234&lt;&gt;"*",D234&lt;&gt;""),F234+1.959963985 *('Funnel setup'!$K$8/SQRT('Funnel Data'!D234)),"")</f>
        <v/>
      </c>
      <c r="I234" s="177" t="str">
        <f>IF(AND(ISNUMBER('Funnel setup'!P247),D234&gt;=30,E234&lt;&gt;"*",D234&lt;&gt;""),F234-3.090232306 *('Funnel setup'!$K$8/SQRT('Funnel Data'!D234)),"")</f>
        <v/>
      </c>
      <c r="J234" s="177" t="str">
        <f>IF(AND(ISNUMBER('Funnel setup'!P247),D234&gt;=30,E234&lt;&gt;"*",D234&lt;&gt;""),F234+3.090232306 *('Funnel setup'!$K$8/SQRT('Funnel Data'!D234)),"")</f>
        <v/>
      </c>
      <c r="K234" s="178" t="str">
        <f>IF(AND(ISNUMBER('Funnel setup'!P247),D234&gt;=30,E234&lt;&gt;"*",D234&lt;&gt;""),IF(E234&gt;J234,'Funnel setup'!$K$15&amp;"99.8%",IF(E234&gt;H234,'Funnel setup'!$K$15&amp;"95%",IF(E234&lt;I234,'Funnel setup'!$K$16&amp;"99.8%",IF(E234&lt;G234,'Funnel setup'!$K$16&amp;"95%","")))),"")</f>
        <v/>
      </c>
    </row>
    <row r="235" spans="2:11" ht="15" customHeight="1" x14ac:dyDescent="0.35">
      <c r="B235" s="174" t="str">
        <f>IF(ISNUMBER('Funnel setup'!P248),VLOOKUP('Funnel setup'!$P248,'Provider Commission - Raw Data'!$A:$Q,5,0),"")</f>
        <v>RWD</v>
      </c>
      <c r="C235" s="175" t="str">
        <f>IF(ISNUMBER('Funnel setup'!P248),VLOOKUP('Funnel setup'!P248,'Provider Commission - Raw Data'!$A:$Q,6,0),"")</f>
        <v>UNITED LINCOLNSHIRE HOSPITALS NHS TRUST (RWD)</v>
      </c>
      <c r="D235" s="176">
        <f>IF(ISNUMBER('Funnel setup'!P248),IF(VLOOKUP('Funnel setup'!P248,'Provider Commission - Raw Data'!$A:$Q,8,0)="-","",VLOOKUP('Funnel setup'!P248,'Provider Commission - Raw Data'!$A:$Q,8,0)),"")</f>
        <v>26</v>
      </c>
      <c r="E235" s="251" t="str">
        <f>IF(ISNUMBER('Funnel setup'!P248),IF(VLOOKUP('Funnel setup'!P248,'Provider Commission - Raw Data'!$A:$Q,16,0)="-","",VLOOKUP('Funnel setup'!P248,'Provider Commission - Raw Data'!$A:$Q,16,0)),"")</f>
        <v>*</v>
      </c>
      <c r="F235" s="177">
        <f>IF(AND(ISNUMBER('Funnel setup'!P248)),'Funnel setup'!$K$9,"")</f>
        <v>22.515359017022909</v>
      </c>
      <c r="G235" s="177" t="str">
        <f>IF(AND(ISNUMBER('Funnel setup'!P248),D235&gt;=30,E235&lt;&gt;"*",D235&lt;&gt;""),F235-1.959963985 *('Funnel setup'!$K$8/SQRT('Funnel Data'!D235)),"")</f>
        <v/>
      </c>
      <c r="H235" s="177" t="str">
        <f>IF(AND(ISNUMBER('Funnel setup'!P248),D235&gt;=30,E235&lt;&gt;"*",D235&lt;&gt;""),F235+1.959963985 *('Funnel setup'!$K$8/SQRT('Funnel Data'!D235)),"")</f>
        <v/>
      </c>
      <c r="I235" s="177" t="str">
        <f>IF(AND(ISNUMBER('Funnel setup'!P248),D235&gt;=30,E235&lt;&gt;"*",D235&lt;&gt;""),F235-3.090232306 *('Funnel setup'!$K$8/SQRT('Funnel Data'!D235)),"")</f>
        <v/>
      </c>
      <c r="J235" s="177" t="str">
        <f>IF(AND(ISNUMBER('Funnel setup'!P248),D235&gt;=30,E235&lt;&gt;"*",D235&lt;&gt;""),F235+3.090232306 *('Funnel setup'!$K$8/SQRT('Funnel Data'!D235)),"")</f>
        <v/>
      </c>
      <c r="K235" s="178" t="str">
        <f>IF(AND(ISNUMBER('Funnel setup'!P248),D235&gt;=30,E235&lt;&gt;"*",D235&lt;&gt;""),IF(E235&gt;J235,'Funnel setup'!$K$15&amp;"99.8%",IF(E235&gt;H235,'Funnel setup'!$K$15&amp;"95%",IF(E235&lt;I235,'Funnel setup'!$K$16&amp;"99.8%",IF(E235&lt;G235,'Funnel setup'!$K$16&amp;"95%","")))),"")</f>
        <v/>
      </c>
    </row>
    <row r="236" spans="2:11" ht="15" customHeight="1" x14ac:dyDescent="0.35">
      <c r="B236" s="174" t="str">
        <f>IF(ISNUMBER('Funnel setup'!P249),VLOOKUP('Funnel setup'!$P249,'Provider Commission - Raw Data'!$A:$Q,5,0),"")</f>
        <v>RRV</v>
      </c>
      <c r="C236" s="175" t="str">
        <f>IF(ISNUMBER('Funnel setup'!P249),VLOOKUP('Funnel setup'!P249,'Provider Commission - Raw Data'!$A:$Q,6,0),"")</f>
        <v>UNIVERSITY COLLEGE LONDON HOSPITALS NHS FOUNDATION TRUST (RRV)</v>
      </c>
      <c r="D236" s="176">
        <f>IF(ISNUMBER('Funnel setup'!P249),IF(VLOOKUP('Funnel setup'!P249,'Provider Commission - Raw Data'!$A:$Q,8,0)="-","",VLOOKUP('Funnel setup'!P249,'Provider Commission - Raw Data'!$A:$Q,8,0)),"")</f>
        <v>175</v>
      </c>
      <c r="E236" s="251">
        <f>IF(ISNUMBER('Funnel setup'!P249),IF(VLOOKUP('Funnel setup'!P249,'Provider Commission - Raw Data'!$A:$Q,16,0)="-","",VLOOKUP('Funnel setup'!P249,'Provider Commission - Raw Data'!$A:$Q,16,0)),"")</f>
        <v>21.972899999999999</v>
      </c>
      <c r="F236" s="177">
        <f>IF(AND(ISNUMBER('Funnel setup'!P249)),'Funnel setup'!$K$9,"")</f>
        <v>22.515359017022909</v>
      </c>
      <c r="G236" s="177">
        <f>IF(AND(ISNUMBER('Funnel setup'!P249),D236&gt;=30,E236&lt;&gt;"*",D236&lt;&gt;""),F236-1.959963985 *('Funnel setup'!$K$8/SQRT('Funnel Data'!D236)),"")</f>
        <v>21.288745540689277</v>
      </c>
      <c r="H236" s="177">
        <f>IF(AND(ISNUMBER('Funnel setup'!P249),D236&gt;=30,E236&lt;&gt;"*",D236&lt;&gt;""),F236+1.959963985 *('Funnel setup'!$K$8/SQRT('Funnel Data'!D236)),"")</f>
        <v>23.741972493356542</v>
      </c>
      <c r="I236" s="177">
        <f>IF(AND(ISNUMBER('Funnel setup'!P249),D236&gt;=30,E236&lt;&gt;"*",D236&lt;&gt;""),F236-3.090232306 *('Funnel setup'!$K$8/SQRT('Funnel Data'!D236)),"")</f>
        <v>20.58138440292246</v>
      </c>
      <c r="J236" s="177">
        <f>IF(AND(ISNUMBER('Funnel setup'!P249),D236&gt;=30,E236&lt;&gt;"*",D236&lt;&gt;""),F236+3.090232306 *('Funnel setup'!$K$8/SQRT('Funnel Data'!D236)),"")</f>
        <v>24.449333631123359</v>
      </c>
      <c r="K236" s="178" t="str">
        <f>IF(AND(ISNUMBER('Funnel setup'!P249),D236&gt;=30,E236&lt;&gt;"*",D236&lt;&gt;""),IF(E236&gt;J236,'Funnel setup'!$K$15&amp;"99.8%",IF(E236&gt;H236,'Funnel setup'!$K$15&amp;"95%",IF(E236&lt;I236,'Funnel setup'!$K$16&amp;"99.8%",IF(E236&lt;G236,'Funnel setup'!$K$16&amp;"95%","")))),"")</f>
        <v/>
      </c>
    </row>
    <row r="237" spans="2:11" ht="15" customHeight="1" x14ac:dyDescent="0.35">
      <c r="B237" s="174" t="str">
        <f>IF(ISNUMBER('Funnel setup'!P250),VLOOKUP('Funnel setup'!$P250,'Provider Commission - Raw Data'!$A:$Q,5,0),"")</f>
        <v>RHM</v>
      </c>
      <c r="C237" s="175" t="str">
        <f>IF(ISNUMBER('Funnel setup'!P250),VLOOKUP('Funnel setup'!P250,'Provider Commission - Raw Data'!$A:$Q,6,0),"")</f>
        <v>UNIVERSITY HOSPITAL SOUTHAMPTON NHS FOUNDATION TRUST (RHM)</v>
      </c>
      <c r="D237" s="176">
        <f>IF(ISNUMBER('Funnel setup'!P250),IF(VLOOKUP('Funnel setup'!P250,'Provider Commission - Raw Data'!$A:$Q,8,0)="-","",VLOOKUP('Funnel setup'!P250,'Provider Commission - Raw Data'!$A:$Q,8,0)),"")</f>
        <v>118</v>
      </c>
      <c r="E237" s="251">
        <f>IF(ISNUMBER('Funnel setup'!P250),IF(VLOOKUP('Funnel setup'!P250,'Provider Commission - Raw Data'!$A:$Q,16,0)="-","",VLOOKUP('Funnel setup'!P250,'Provider Commission - Raw Data'!$A:$Q,16,0)),"")</f>
        <v>22.727</v>
      </c>
      <c r="F237" s="177">
        <f>IF(AND(ISNUMBER('Funnel setup'!P250)),'Funnel setup'!$K$9,"")</f>
        <v>22.515359017022909</v>
      </c>
      <c r="G237" s="177">
        <f>IF(AND(ISNUMBER('Funnel setup'!P250),D237&gt;=30,E237&lt;&gt;"*",D237&lt;&gt;""),F237-1.959963985 *('Funnel setup'!$K$8/SQRT('Funnel Data'!D237)),"")</f>
        <v>21.021582071144191</v>
      </c>
      <c r="H237" s="177">
        <f>IF(AND(ISNUMBER('Funnel setup'!P250),D237&gt;=30,E237&lt;&gt;"*",D237&lt;&gt;""),F237+1.959963985 *('Funnel setup'!$K$8/SQRT('Funnel Data'!D237)),"")</f>
        <v>24.009135962901627</v>
      </c>
      <c r="I237" s="177">
        <f>IF(AND(ISNUMBER('Funnel setup'!P250),D237&gt;=30,E237&lt;&gt;"*",D237&lt;&gt;""),F237-3.090232306 *('Funnel setup'!$K$8/SQRT('Funnel Data'!D237)),"")</f>
        <v>20.160153609453936</v>
      </c>
      <c r="J237" s="177">
        <f>IF(AND(ISNUMBER('Funnel setup'!P250),D237&gt;=30,E237&lt;&gt;"*",D237&lt;&gt;""),F237+3.090232306 *('Funnel setup'!$K$8/SQRT('Funnel Data'!D237)),"")</f>
        <v>24.870564424591883</v>
      </c>
      <c r="K237" s="178" t="str">
        <f>IF(AND(ISNUMBER('Funnel setup'!P250),D237&gt;=30,E237&lt;&gt;"*",D237&lt;&gt;""),IF(E237&gt;J237,'Funnel setup'!$K$15&amp;"99.8%",IF(E237&gt;H237,'Funnel setup'!$K$15&amp;"95%",IF(E237&lt;I237,'Funnel setup'!$K$16&amp;"99.8%",IF(E237&lt;G237,'Funnel setup'!$K$16&amp;"95%","")))),"")</f>
        <v/>
      </c>
    </row>
    <row r="238" spans="2:11" ht="15" customHeight="1" x14ac:dyDescent="0.35">
      <c r="B238" s="174" t="str">
        <f>IF(ISNUMBER('Funnel setup'!P251),VLOOKUP('Funnel setup'!$P251,'Provider Commission - Raw Data'!$A:$Q,5,0),"")</f>
        <v>RA7</v>
      </c>
      <c r="C238" s="175" t="str">
        <f>IF(ISNUMBER('Funnel setup'!P251),VLOOKUP('Funnel setup'!P251,'Provider Commission - Raw Data'!$A:$Q,6,0),"")</f>
        <v>UNIVERSITY HOSPITALS BRISTOL AND WESTON NHS FOUNDATION TRUST (RA7)</v>
      </c>
      <c r="D238" s="176">
        <f>IF(ISNUMBER('Funnel setup'!P251),IF(VLOOKUP('Funnel setup'!P251,'Provider Commission - Raw Data'!$A:$Q,8,0)="-","",VLOOKUP('Funnel setup'!P251,'Provider Commission - Raw Data'!$A:$Q,8,0)),"")</f>
        <v>17</v>
      </c>
      <c r="E238" s="251" t="str">
        <f>IF(ISNUMBER('Funnel setup'!P251),IF(VLOOKUP('Funnel setup'!P251,'Provider Commission - Raw Data'!$A:$Q,16,0)="-","",VLOOKUP('Funnel setup'!P251,'Provider Commission - Raw Data'!$A:$Q,16,0)),"")</f>
        <v>*</v>
      </c>
      <c r="F238" s="177">
        <f>IF(AND(ISNUMBER('Funnel setup'!P251)),'Funnel setup'!$K$9,"")</f>
        <v>22.515359017022909</v>
      </c>
      <c r="G238" s="177" t="str">
        <f>IF(AND(ISNUMBER('Funnel setup'!P251),D238&gt;=30,E238&lt;&gt;"*",D238&lt;&gt;""),F238-1.959963985 *('Funnel setup'!$K$8/SQRT('Funnel Data'!D238)),"")</f>
        <v/>
      </c>
      <c r="H238" s="177" t="str">
        <f>IF(AND(ISNUMBER('Funnel setup'!P251),D238&gt;=30,E238&lt;&gt;"*",D238&lt;&gt;""),F238+1.959963985 *('Funnel setup'!$K$8/SQRT('Funnel Data'!D238)),"")</f>
        <v/>
      </c>
      <c r="I238" s="177" t="str">
        <f>IF(AND(ISNUMBER('Funnel setup'!P251),D238&gt;=30,E238&lt;&gt;"*",D238&lt;&gt;""),F238-3.090232306 *('Funnel setup'!$K$8/SQRT('Funnel Data'!D238)),"")</f>
        <v/>
      </c>
      <c r="J238" s="177" t="str">
        <f>IF(AND(ISNUMBER('Funnel setup'!P251),D238&gt;=30,E238&lt;&gt;"*",D238&lt;&gt;""),F238+3.090232306 *('Funnel setup'!$K$8/SQRT('Funnel Data'!D238)),"")</f>
        <v/>
      </c>
      <c r="K238" s="178" t="str">
        <f>IF(AND(ISNUMBER('Funnel setup'!P251),D238&gt;=30,E238&lt;&gt;"*",D238&lt;&gt;""),IF(E238&gt;J238,'Funnel setup'!$K$15&amp;"99.8%",IF(E238&gt;H238,'Funnel setup'!$K$15&amp;"95%",IF(E238&lt;I238,'Funnel setup'!$K$16&amp;"99.8%",IF(E238&lt;G238,'Funnel setup'!$K$16&amp;"95%","")))),"")</f>
        <v/>
      </c>
    </row>
    <row r="239" spans="2:11" ht="15" customHeight="1" x14ac:dyDescent="0.35">
      <c r="B239" s="174" t="str">
        <f>IF(ISNUMBER('Funnel setup'!P252),VLOOKUP('Funnel setup'!$P252,'Provider Commission - Raw Data'!$A:$Q,5,0),"")</f>
        <v>RKB</v>
      </c>
      <c r="C239" s="175" t="str">
        <f>IF(ISNUMBER('Funnel setup'!P252),VLOOKUP('Funnel setup'!P252,'Provider Commission - Raw Data'!$A:$Q,6,0),"")</f>
        <v>UNIVERSITY HOSPITALS COVENTRY AND WARWICKSHIRE NHS TRUST (RKB)</v>
      </c>
      <c r="D239" s="176">
        <f>IF(ISNUMBER('Funnel setup'!P252),IF(VLOOKUP('Funnel setup'!P252,'Provider Commission - Raw Data'!$A:$Q,8,0)="-","",VLOOKUP('Funnel setup'!P252,'Provider Commission - Raw Data'!$A:$Q,8,0)),"")</f>
        <v>30</v>
      </c>
      <c r="E239" s="251">
        <f>IF(ISNUMBER('Funnel setup'!P252),IF(VLOOKUP('Funnel setup'!P252,'Provider Commission - Raw Data'!$A:$Q,16,0)="-","",VLOOKUP('Funnel setup'!P252,'Provider Commission - Raw Data'!$A:$Q,16,0)),"")</f>
        <v>22.7072</v>
      </c>
      <c r="F239" s="177">
        <f>IF(AND(ISNUMBER('Funnel setup'!P252)),'Funnel setup'!$K$9,"")</f>
        <v>22.515359017022909</v>
      </c>
      <c r="G239" s="177">
        <f>IF(AND(ISNUMBER('Funnel setup'!P252),D239&gt;=30,E239&lt;&gt;"*",D239&lt;&gt;""),F239-1.959963985 *('Funnel setup'!$K$8/SQRT('Funnel Data'!D239)),"")</f>
        <v>19.55280601577228</v>
      </c>
      <c r="H239" s="177">
        <f>IF(AND(ISNUMBER('Funnel setup'!P252),D239&gt;=30,E239&lt;&gt;"*",D239&lt;&gt;""),F239+1.959963985 *('Funnel setup'!$K$8/SQRT('Funnel Data'!D239)),"")</f>
        <v>25.477912018273539</v>
      </c>
      <c r="I239" s="177">
        <f>IF(AND(ISNUMBER('Funnel setup'!P252),D239&gt;=30,E239&lt;&gt;"*",D239&lt;&gt;""),F239-3.090232306 *('Funnel setup'!$K$8/SQRT('Funnel Data'!D239)),"")</f>
        <v>17.844366558606922</v>
      </c>
      <c r="J239" s="177">
        <f>IF(AND(ISNUMBER('Funnel setup'!P252),D239&gt;=30,E239&lt;&gt;"*",D239&lt;&gt;""),F239+3.090232306 *('Funnel setup'!$K$8/SQRT('Funnel Data'!D239)),"")</f>
        <v>27.186351475438897</v>
      </c>
      <c r="K239" s="178" t="str">
        <f>IF(AND(ISNUMBER('Funnel setup'!P252),D239&gt;=30,E239&lt;&gt;"*",D239&lt;&gt;""),IF(E239&gt;J239,'Funnel setup'!$K$15&amp;"99.8%",IF(E239&gt;H239,'Funnel setup'!$K$15&amp;"95%",IF(E239&lt;I239,'Funnel setup'!$K$16&amp;"99.8%",IF(E239&lt;G239,'Funnel setup'!$K$16&amp;"95%","")))),"")</f>
        <v/>
      </c>
    </row>
    <row r="240" spans="2:11" ht="15" customHeight="1" x14ac:dyDescent="0.35">
      <c r="B240" s="174" t="str">
        <f>IF(ISNUMBER('Funnel setup'!P253),VLOOKUP('Funnel setup'!$P253,'Provider Commission - Raw Data'!$A:$Q,5,0),"")</f>
        <v>R0D</v>
      </c>
      <c r="C240" s="175" t="str">
        <f>IF(ISNUMBER('Funnel setup'!P253),VLOOKUP('Funnel setup'!P253,'Provider Commission - Raw Data'!$A:$Q,6,0),"")</f>
        <v>UNIVERSITY HOSPITAL DORSET NHS FUNDATION TRUST (R0D)</v>
      </c>
      <c r="D240" s="176">
        <f>IF(ISNUMBER('Funnel setup'!P253),IF(VLOOKUP('Funnel setup'!P253,'Provider Commission - Raw Data'!$A:$Q,8,0)="-","",VLOOKUP('Funnel setup'!P253,'Provider Commission - Raw Data'!$A:$Q,8,0)),"")</f>
        <v>242</v>
      </c>
      <c r="E240" s="251">
        <f>IF(ISNUMBER('Funnel setup'!P253),IF(VLOOKUP('Funnel setup'!P253,'Provider Commission - Raw Data'!$A:$Q,16,0)="-","",VLOOKUP('Funnel setup'!P253,'Provider Commission - Raw Data'!$A:$Q,16,0)),"")</f>
        <v>23.0246</v>
      </c>
      <c r="F240" s="177">
        <f>IF(AND(ISNUMBER('Funnel setup'!P253)),'Funnel setup'!$K$9,"")</f>
        <v>22.515359017022909</v>
      </c>
      <c r="G240" s="177">
        <f>IF(AND(ISNUMBER('Funnel setup'!P253),D240&gt;=30,E240&lt;&gt;"*",D240&lt;&gt;""),F240-1.959963985 *('Funnel setup'!$K$8/SQRT('Funnel Data'!D240)),"")</f>
        <v>21.472275522831957</v>
      </c>
      <c r="H240" s="177">
        <f>IF(AND(ISNUMBER('Funnel setup'!P253),D240&gt;=30,E240&lt;&gt;"*",D240&lt;&gt;""),F240+1.959963985 *('Funnel setup'!$K$8/SQRT('Funnel Data'!D240)),"")</f>
        <v>23.558442511213862</v>
      </c>
      <c r="I240" s="177">
        <f>IF(AND(ISNUMBER('Funnel setup'!P253),D240&gt;=30,E240&lt;&gt;"*",D240&lt;&gt;""),F240-3.090232306 *('Funnel setup'!$K$8/SQRT('Funnel Data'!D240)),"")</f>
        <v>20.870752107776948</v>
      </c>
      <c r="J240" s="177">
        <f>IF(AND(ISNUMBER('Funnel setup'!P253),D240&gt;=30,E240&lt;&gt;"*",D240&lt;&gt;""),F240+3.090232306 *('Funnel setup'!$K$8/SQRT('Funnel Data'!D240)),"")</f>
        <v>24.159965926268871</v>
      </c>
      <c r="K240" s="178" t="str">
        <f>IF(AND(ISNUMBER('Funnel setup'!P253),D240&gt;=30,E240&lt;&gt;"*",D240&lt;&gt;""),IF(E240&gt;J240,'Funnel setup'!$K$15&amp;"99.8%",IF(E240&gt;H240,'Funnel setup'!$K$15&amp;"95%",IF(E240&lt;I240,'Funnel setup'!$K$16&amp;"99.8%",IF(E240&lt;G240,'Funnel setup'!$K$16&amp;"95%","")))),"")</f>
        <v/>
      </c>
    </row>
    <row r="241" spans="2:11" ht="15" customHeight="1" x14ac:dyDescent="0.35">
      <c r="B241" s="174" t="str">
        <f>IF(ISNUMBER('Funnel setup'!P254),VLOOKUP('Funnel setup'!$P254,'Provider Commission - Raw Data'!$A:$Q,5,0),"")</f>
        <v>RTG</v>
      </c>
      <c r="C241" s="175" t="str">
        <f>IF(ISNUMBER('Funnel setup'!P254),VLOOKUP('Funnel setup'!P254,'Provider Commission - Raw Data'!$A:$Q,6,0),"")</f>
        <v>UNIVERSITY HOSPITALS OF DERBY AND BURTON NHS FOUNDATION TRUST (RTG)</v>
      </c>
      <c r="D241" s="176">
        <f>IF(ISNUMBER('Funnel setup'!P254),IF(VLOOKUP('Funnel setup'!P254,'Provider Commission - Raw Data'!$A:$Q,8,0)="-","",VLOOKUP('Funnel setup'!P254,'Provider Commission - Raw Data'!$A:$Q,8,0)),"")</f>
        <v>364</v>
      </c>
      <c r="E241" s="251">
        <f>IF(ISNUMBER('Funnel setup'!P254),IF(VLOOKUP('Funnel setup'!P254,'Provider Commission - Raw Data'!$A:$Q,16,0)="-","",VLOOKUP('Funnel setup'!P254,'Provider Commission - Raw Data'!$A:$Q,16,0)),"")</f>
        <v>22.3447</v>
      </c>
      <c r="F241" s="177">
        <f>IF(AND(ISNUMBER('Funnel setup'!P254)),'Funnel setup'!$K$9,"")</f>
        <v>22.515359017022909</v>
      </c>
      <c r="G241" s="177">
        <f>IF(AND(ISNUMBER('Funnel setup'!P254),D241&gt;=30,E241&lt;&gt;"*",D241&lt;&gt;""),F241-1.959963985 *('Funnel setup'!$K$8/SQRT('Funnel Data'!D241)),"")</f>
        <v>21.66485559700444</v>
      </c>
      <c r="H241" s="177">
        <f>IF(AND(ISNUMBER('Funnel setup'!P254),D241&gt;=30,E241&lt;&gt;"*",D241&lt;&gt;""),F241+1.959963985 *('Funnel setup'!$K$8/SQRT('Funnel Data'!D241)),"")</f>
        <v>23.365862437041379</v>
      </c>
      <c r="I241" s="177">
        <f>IF(AND(ISNUMBER('Funnel setup'!P254),D241&gt;=30,E241&lt;&gt;"*",D241&lt;&gt;""),F241-3.090232306 *('Funnel setup'!$K$8/SQRT('Funnel Data'!D241)),"")</f>
        <v>21.174388894602746</v>
      </c>
      <c r="J241" s="177">
        <f>IF(AND(ISNUMBER('Funnel setup'!P254),D241&gt;=30,E241&lt;&gt;"*",D241&lt;&gt;""),F241+3.090232306 *('Funnel setup'!$K$8/SQRT('Funnel Data'!D241)),"")</f>
        <v>23.856329139443073</v>
      </c>
      <c r="K241" s="178" t="str">
        <f>IF(AND(ISNUMBER('Funnel setup'!P254),D241&gt;=30,E241&lt;&gt;"*",D241&lt;&gt;""),IF(E241&gt;J241,'Funnel setup'!$K$15&amp;"99.8%",IF(E241&gt;H241,'Funnel setup'!$K$15&amp;"95%",IF(E241&lt;I241,'Funnel setup'!$K$16&amp;"99.8%",IF(E241&lt;G241,'Funnel setup'!$K$16&amp;"95%","")))),"")</f>
        <v/>
      </c>
    </row>
    <row r="242" spans="2:11" ht="15" customHeight="1" x14ac:dyDescent="0.35">
      <c r="B242" s="174" t="str">
        <f>IF(ISNUMBER('Funnel setup'!P255),VLOOKUP('Funnel setup'!$P255,'Provider Commission - Raw Data'!$A:$Q,5,0),"")</f>
        <v>RWE</v>
      </c>
      <c r="C242" s="175" t="str">
        <f>IF(ISNUMBER('Funnel setup'!P255),VLOOKUP('Funnel setup'!P255,'Provider Commission - Raw Data'!$A:$Q,6,0),"")</f>
        <v>UNIVERSITY HOSPITALS OF LEICESTER NHS TRUST (RWE)</v>
      </c>
      <c r="D242" s="176">
        <f>IF(ISNUMBER('Funnel setup'!P255),IF(VLOOKUP('Funnel setup'!P255,'Provider Commission - Raw Data'!$A:$Q,8,0)="-","",VLOOKUP('Funnel setup'!P255,'Provider Commission - Raw Data'!$A:$Q,8,0)),"")</f>
        <v>123</v>
      </c>
      <c r="E242" s="251">
        <f>IF(ISNUMBER('Funnel setup'!P255),IF(VLOOKUP('Funnel setup'!P255,'Provider Commission - Raw Data'!$A:$Q,16,0)="-","",VLOOKUP('Funnel setup'!P255,'Provider Commission - Raw Data'!$A:$Q,16,0)),"")</f>
        <v>22.7486</v>
      </c>
      <c r="F242" s="177">
        <f>IF(AND(ISNUMBER('Funnel setup'!P255)),'Funnel setup'!$K$9,"")</f>
        <v>22.515359017022909</v>
      </c>
      <c r="G242" s="177">
        <f>IF(AND(ISNUMBER('Funnel setup'!P255),D242&gt;=30,E242&lt;&gt;"*",D242&lt;&gt;""),F242-1.959963985 *('Funnel setup'!$K$8/SQRT('Funnel Data'!D242)),"")</f>
        <v>21.052258376533754</v>
      </c>
      <c r="H242" s="177">
        <f>IF(AND(ISNUMBER('Funnel setup'!P255),D242&gt;=30,E242&lt;&gt;"*",D242&lt;&gt;""),F242+1.959963985 *('Funnel setup'!$K$8/SQRT('Funnel Data'!D242)),"")</f>
        <v>23.978459657512065</v>
      </c>
      <c r="I242" s="177">
        <f>IF(AND(ISNUMBER('Funnel setup'!P255),D242&gt;=30,E242&lt;&gt;"*",D242&lt;&gt;""),F242-3.090232306 *('Funnel setup'!$K$8/SQRT('Funnel Data'!D242)),"")</f>
        <v>20.208520268570659</v>
      </c>
      <c r="J242" s="177">
        <f>IF(AND(ISNUMBER('Funnel setup'!P255),D242&gt;=30,E242&lt;&gt;"*",D242&lt;&gt;""),F242+3.090232306 *('Funnel setup'!$K$8/SQRT('Funnel Data'!D242)),"")</f>
        <v>24.82219776547516</v>
      </c>
      <c r="K242" s="178" t="str">
        <f>IF(AND(ISNUMBER('Funnel setup'!P255),D242&gt;=30,E242&lt;&gt;"*",D242&lt;&gt;""),IF(E242&gt;J242,'Funnel setup'!$K$15&amp;"99.8%",IF(E242&gt;H242,'Funnel setup'!$K$15&amp;"95%",IF(E242&lt;I242,'Funnel setup'!$K$16&amp;"99.8%",IF(E242&lt;G242,'Funnel setup'!$K$16&amp;"95%","")))),"")</f>
        <v/>
      </c>
    </row>
    <row r="243" spans="2:11" ht="15" customHeight="1" x14ac:dyDescent="0.35">
      <c r="B243" s="174" t="str">
        <f>IF(ISNUMBER('Funnel setup'!P256),VLOOKUP('Funnel setup'!$P256,'Provider Commission - Raw Data'!$A:$Q,5,0),"")</f>
        <v>RTX</v>
      </c>
      <c r="C243" s="175" t="str">
        <f>IF(ISNUMBER('Funnel setup'!P256),VLOOKUP('Funnel setup'!P256,'Provider Commission - Raw Data'!$A:$Q,6,0),"")</f>
        <v>UNIVERSITY HOSPITALS OF MORECAMBE BAY NHS FOUNDATION TRUST (RTX)</v>
      </c>
      <c r="D243" s="176">
        <f>IF(ISNUMBER('Funnel setup'!P256),IF(VLOOKUP('Funnel setup'!P256,'Provider Commission - Raw Data'!$A:$Q,8,0)="-","",VLOOKUP('Funnel setup'!P256,'Provider Commission - Raw Data'!$A:$Q,8,0)),"")</f>
        <v>195</v>
      </c>
      <c r="E243" s="251">
        <f>IF(ISNUMBER('Funnel setup'!P256),IF(VLOOKUP('Funnel setup'!P256,'Provider Commission - Raw Data'!$A:$Q,16,0)="-","",VLOOKUP('Funnel setup'!P256,'Provider Commission - Raw Data'!$A:$Q,16,0)),"")</f>
        <v>22.578199999999999</v>
      </c>
      <c r="F243" s="177">
        <f>IF(AND(ISNUMBER('Funnel setup'!P256)),'Funnel setup'!$K$9,"")</f>
        <v>22.515359017022909</v>
      </c>
      <c r="G243" s="177">
        <f>IF(AND(ISNUMBER('Funnel setup'!P256),D243&gt;=30,E243&lt;&gt;"*",D243&lt;&gt;""),F243-1.959963985 *('Funnel setup'!$K$8/SQRT('Funnel Data'!D243)),"")</f>
        <v>21.353350127528309</v>
      </c>
      <c r="H243" s="177">
        <f>IF(AND(ISNUMBER('Funnel setup'!P256),D243&gt;=30,E243&lt;&gt;"*",D243&lt;&gt;""),F243+1.959963985 *('Funnel setup'!$K$8/SQRT('Funnel Data'!D243)),"")</f>
        <v>23.67736790651751</v>
      </c>
      <c r="I243" s="177">
        <f>IF(AND(ISNUMBER('Funnel setup'!P256),D243&gt;=30,E243&lt;&gt;"*",D243&lt;&gt;""),F243-3.090232306 *('Funnel setup'!$K$8/SQRT('Funnel Data'!D243)),"")</f>
        <v>20.683245040614612</v>
      </c>
      <c r="J243" s="177">
        <f>IF(AND(ISNUMBER('Funnel setup'!P256),D243&gt;=30,E243&lt;&gt;"*",D243&lt;&gt;""),F243+3.090232306 *('Funnel setup'!$K$8/SQRT('Funnel Data'!D243)),"")</f>
        <v>24.347472993431207</v>
      </c>
      <c r="K243" s="178" t="str">
        <f>IF(AND(ISNUMBER('Funnel setup'!P256),D243&gt;=30,E243&lt;&gt;"*",D243&lt;&gt;""),IF(E243&gt;J243,'Funnel setup'!$K$15&amp;"99.8%",IF(E243&gt;H243,'Funnel setup'!$K$15&amp;"95%",IF(E243&lt;I243,'Funnel setup'!$K$16&amp;"99.8%",IF(E243&lt;G243,'Funnel setup'!$K$16&amp;"95%","")))),"")</f>
        <v/>
      </c>
    </row>
    <row r="244" spans="2:11" ht="15" customHeight="1" x14ac:dyDescent="0.35">
      <c r="B244" s="174" t="str">
        <f>IF(ISNUMBER('Funnel setup'!P257),VLOOKUP('Funnel setup'!$P257,'Provider Commission - Raw Data'!$A:$Q,5,0),"")</f>
        <v>RJE</v>
      </c>
      <c r="C244" s="175" t="str">
        <f>IF(ISNUMBER('Funnel setup'!P257),VLOOKUP('Funnel setup'!P257,'Provider Commission - Raw Data'!$A:$Q,6,0),"")</f>
        <v>UNIVERSITY HOSPITALS OF NORTH MIDLANDS NHS TRUST (RJE)</v>
      </c>
      <c r="D244" s="176">
        <f>IF(ISNUMBER('Funnel setup'!P257),IF(VLOOKUP('Funnel setup'!P257,'Provider Commission - Raw Data'!$A:$Q,8,0)="-","",VLOOKUP('Funnel setup'!P257,'Provider Commission - Raw Data'!$A:$Q,8,0)),"")</f>
        <v>34</v>
      </c>
      <c r="E244" s="251">
        <f>IF(ISNUMBER('Funnel setup'!P257),IF(VLOOKUP('Funnel setup'!P257,'Provider Commission - Raw Data'!$A:$Q,16,0)="-","",VLOOKUP('Funnel setup'!P257,'Provider Commission - Raw Data'!$A:$Q,16,0)),"")</f>
        <v>24.366700000000002</v>
      </c>
      <c r="F244" s="177">
        <f>IF(AND(ISNUMBER('Funnel setup'!P257)),'Funnel setup'!$K$9,"")</f>
        <v>22.515359017022909</v>
      </c>
      <c r="G244" s="177">
        <f>IF(AND(ISNUMBER('Funnel setup'!P257),D244&gt;=30,E244&lt;&gt;"*",D244&lt;&gt;""),F244-1.959963985 *('Funnel setup'!$K$8/SQRT('Funnel Data'!D244)),"")</f>
        <v>19.732525037507376</v>
      </c>
      <c r="H244" s="177">
        <f>IF(AND(ISNUMBER('Funnel setup'!P257),D244&gt;=30,E244&lt;&gt;"*",D244&lt;&gt;""),F244+1.959963985 *('Funnel setup'!$K$8/SQRT('Funnel Data'!D244)),"")</f>
        <v>25.298192996538443</v>
      </c>
      <c r="I244" s="177">
        <f>IF(AND(ISNUMBER('Funnel setup'!P257),D244&gt;=30,E244&lt;&gt;"*",D244&lt;&gt;""),F244-3.090232306 *('Funnel setup'!$K$8/SQRT('Funnel Data'!D244)),"")</f>
        <v>18.12772560561946</v>
      </c>
      <c r="J244" s="177">
        <f>IF(AND(ISNUMBER('Funnel setup'!P257),D244&gt;=30,E244&lt;&gt;"*",D244&lt;&gt;""),F244+3.090232306 *('Funnel setup'!$K$8/SQRT('Funnel Data'!D244)),"")</f>
        <v>26.902992428426359</v>
      </c>
      <c r="K244" s="178" t="str">
        <f>IF(AND(ISNUMBER('Funnel setup'!P257),D244&gt;=30,E244&lt;&gt;"*",D244&lt;&gt;""),IF(E244&gt;J244,'Funnel setup'!$K$15&amp;"99.8%",IF(E244&gt;H244,'Funnel setup'!$K$15&amp;"95%",IF(E244&lt;I244,'Funnel setup'!$K$16&amp;"99.8%",IF(E244&lt;G244,'Funnel setup'!$K$16&amp;"95%","")))),"")</f>
        <v/>
      </c>
    </row>
    <row r="245" spans="2:11" ht="15" customHeight="1" x14ac:dyDescent="0.35">
      <c r="B245" s="174" t="str">
        <f>IF(ISNUMBER('Funnel setup'!P258),VLOOKUP('Funnel setup'!$P258,'Provider Commission - Raw Data'!$A:$Q,5,0),"")</f>
        <v>RK9</v>
      </c>
      <c r="C245" s="175" t="str">
        <f>IF(ISNUMBER('Funnel setup'!P258),VLOOKUP('Funnel setup'!P258,'Provider Commission - Raw Data'!$A:$Q,6,0),"")</f>
        <v>UNIVERSITY HOSPITALS PLYMOUTH NHS TRUST (RK9)</v>
      </c>
      <c r="D245" s="176">
        <f>IF(ISNUMBER('Funnel setup'!P258),IF(VLOOKUP('Funnel setup'!P258,'Provider Commission - Raw Data'!$A:$Q,8,0)="-","",VLOOKUP('Funnel setup'!P258,'Provider Commission - Raw Data'!$A:$Q,8,0)),"")</f>
        <v>7</v>
      </c>
      <c r="E245" s="251" t="str">
        <f>IF(ISNUMBER('Funnel setup'!P258),IF(VLOOKUP('Funnel setup'!P258,'Provider Commission - Raw Data'!$A:$Q,16,0)="-","",VLOOKUP('Funnel setup'!P258,'Provider Commission - Raw Data'!$A:$Q,16,0)),"")</f>
        <v>*</v>
      </c>
      <c r="F245" s="177">
        <f>IF(AND(ISNUMBER('Funnel setup'!P258)),'Funnel setup'!$K$9,"")</f>
        <v>22.515359017022909</v>
      </c>
      <c r="G245" s="177" t="str">
        <f>IF(AND(ISNUMBER('Funnel setup'!P258),D245&gt;=30,E245&lt;&gt;"*",D245&lt;&gt;""),F245-1.959963985 *('Funnel setup'!$K$8/SQRT('Funnel Data'!D245)),"")</f>
        <v/>
      </c>
      <c r="H245" s="177" t="str">
        <f>IF(AND(ISNUMBER('Funnel setup'!P258),D245&gt;=30,E245&lt;&gt;"*",D245&lt;&gt;""),F245+1.959963985 *('Funnel setup'!$K$8/SQRT('Funnel Data'!D245)),"")</f>
        <v/>
      </c>
      <c r="I245" s="177" t="str">
        <f>IF(AND(ISNUMBER('Funnel setup'!P258),D245&gt;=30,E245&lt;&gt;"*",D245&lt;&gt;""),F245-3.090232306 *('Funnel setup'!$K$8/SQRT('Funnel Data'!D245)),"")</f>
        <v/>
      </c>
      <c r="J245" s="177" t="str">
        <f>IF(AND(ISNUMBER('Funnel setup'!P258),D245&gt;=30,E245&lt;&gt;"*",D245&lt;&gt;""),F245+3.090232306 *('Funnel setup'!$K$8/SQRT('Funnel Data'!D245)),"")</f>
        <v/>
      </c>
      <c r="K245" s="178" t="str">
        <f>IF(AND(ISNUMBER('Funnel setup'!P258),D245&gt;=30,E245&lt;&gt;"*",D245&lt;&gt;""),IF(E245&gt;J245,'Funnel setup'!$K$15&amp;"99.8%",IF(E245&gt;H245,'Funnel setup'!$K$15&amp;"95%",IF(E245&lt;I245,'Funnel setup'!$K$16&amp;"99.8%",IF(E245&lt;G245,'Funnel setup'!$K$16&amp;"95%","")))),"")</f>
        <v/>
      </c>
    </row>
    <row r="246" spans="2:11" ht="15" customHeight="1" x14ac:dyDescent="0.35">
      <c r="B246" s="174" t="str">
        <f>IF(ISNUMBER('Funnel setup'!P259),VLOOKUP('Funnel setup'!$P259,'Provider Commission - Raw Data'!$A:$Q,5,0),"")</f>
        <v>RYR</v>
      </c>
      <c r="C246" s="175" t="str">
        <f>IF(ISNUMBER('Funnel setup'!P259),VLOOKUP('Funnel setup'!P259,'Provider Commission - Raw Data'!$A:$Q,6,0),"")</f>
        <v>UNIVERSITY HOSPITALS SUSSEX NHS FOUNDATION TRUST (RYR)</v>
      </c>
      <c r="D246" s="176">
        <f>IF(ISNUMBER('Funnel setup'!P259),IF(VLOOKUP('Funnel setup'!P259,'Provider Commission - Raw Data'!$A:$Q,8,0)="-","",VLOOKUP('Funnel setup'!P259,'Provider Commission - Raw Data'!$A:$Q,8,0)),"")</f>
        <v>151</v>
      </c>
      <c r="E246" s="251">
        <f>IF(ISNUMBER('Funnel setup'!P259),IF(VLOOKUP('Funnel setup'!P259,'Provider Commission - Raw Data'!$A:$Q,16,0)="-","",VLOOKUP('Funnel setup'!P259,'Provider Commission - Raw Data'!$A:$Q,16,0)),"")</f>
        <v>19.625499999999999</v>
      </c>
      <c r="F246" s="177">
        <f>IF(AND(ISNUMBER('Funnel setup'!P259)),'Funnel setup'!$K$9,"")</f>
        <v>22.515359017022909</v>
      </c>
      <c r="G246" s="177">
        <f>IF(AND(ISNUMBER('Funnel setup'!P259),D246&gt;=30,E246&lt;&gt;"*",D246&lt;&gt;""),F246-1.959963985 *('Funnel setup'!$K$8/SQRT('Funnel Data'!D246)),"")</f>
        <v>21.194859391137289</v>
      </c>
      <c r="H246" s="177">
        <f>IF(AND(ISNUMBER('Funnel setup'!P259),D246&gt;=30,E246&lt;&gt;"*",D246&lt;&gt;""),F246+1.959963985 *('Funnel setup'!$K$8/SQRT('Funnel Data'!D246)),"")</f>
        <v>23.83585864290853</v>
      </c>
      <c r="I246" s="177">
        <f>IF(AND(ISNUMBER('Funnel setup'!P259),D246&gt;=30,E246&lt;&gt;"*",D246&lt;&gt;""),F246-3.090232306 *('Funnel setup'!$K$8/SQRT('Funnel Data'!D246)),"")</f>
        <v>20.43335616635693</v>
      </c>
      <c r="J246" s="177">
        <f>IF(AND(ISNUMBER('Funnel setup'!P259),D246&gt;=30,E246&lt;&gt;"*",D246&lt;&gt;""),F246+3.090232306 *('Funnel setup'!$K$8/SQRT('Funnel Data'!D246)),"")</f>
        <v>24.597361867688889</v>
      </c>
      <c r="K246" s="178" t="str">
        <f>IF(AND(ISNUMBER('Funnel setup'!P259),D246&gt;=30,E246&lt;&gt;"*",D246&lt;&gt;""),IF(E246&gt;J246,'Funnel setup'!$K$15&amp;"99.8%",IF(E246&gt;H246,'Funnel setup'!$K$15&amp;"95%",IF(E246&lt;I246,'Funnel setup'!$K$16&amp;"99.8%",IF(E246&lt;G246,'Funnel setup'!$K$16&amp;"95%","")))),"")</f>
        <v>Lower 99.8%</v>
      </c>
    </row>
    <row r="247" spans="2:11" ht="15" customHeight="1" x14ac:dyDescent="0.35">
      <c r="B247" s="174" t="str">
        <f>IF(ISNUMBER('Funnel setup'!P260),VLOOKUP('Funnel setup'!$P260,'Provider Commission - Raw Data'!$A:$Q,5,0),"")</f>
        <v>RBK</v>
      </c>
      <c r="C247" s="175" t="str">
        <f>IF(ISNUMBER('Funnel setup'!P260),VLOOKUP('Funnel setup'!P260,'Provider Commission - Raw Data'!$A:$Q,6,0),"")</f>
        <v>WALSALL HEALTHCARE NHS TRUST (RBK)</v>
      </c>
      <c r="D247" s="176">
        <f>IF(ISNUMBER('Funnel setup'!P260),IF(VLOOKUP('Funnel setup'!P260,'Provider Commission - Raw Data'!$A:$Q,8,0)="-","",VLOOKUP('Funnel setup'!P260,'Provider Commission - Raw Data'!$A:$Q,8,0)),"")</f>
        <v>14</v>
      </c>
      <c r="E247" s="251" t="str">
        <f>IF(ISNUMBER('Funnel setup'!P260),IF(VLOOKUP('Funnel setup'!P260,'Provider Commission - Raw Data'!$A:$Q,16,0)="-","",VLOOKUP('Funnel setup'!P260,'Provider Commission - Raw Data'!$A:$Q,16,0)),"")</f>
        <v>*</v>
      </c>
      <c r="F247" s="177">
        <f>IF(AND(ISNUMBER('Funnel setup'!P260)),'Funnel setup'!$K$9,"")</f>
        <v>22.515359017022909</v>
      </c>
      <c r="G247" s="177" t="str">
        <f>IF(AND(ISNUMBER('Funnel setup'!P260),D247&gt;=30,E247&lt;&gt;"*",D247&lt;&gt;""),F247-1.959963985 *('Funnel setup'!$K$8/SQRT('Funnel Data'!D247)),"")</f>
        <v/>
      </c>
      <c r="H247" s="177" t="str">
        <f>IF(AND(ISNUMBER('Funnel setup'!P260),D247&gt;=30,E247&lt;&gt;"*",D247&lt;&gt;""),F247+1.959963985 *('Funnel setup'!$K$8/SQRT('Funnel Data'!D247)),"")</f>
        <v/>
      </c>
      <c r="I247" s="177" t="str">
        <f>IF(AND(ISNUMBER('Funnel setup'!P260),D247&gt;=30,E247&lt;&gt;"*",D247&lt;&gt;""),F247-3.090232306 *('Funnel setup'!$K$8/SQRT('Funnel Data'!D247)),"")</f>
        <v/>
      </c>
      <c r="J247" s="177" t="str">
        <f>IF(AND(ISNUMBER('Funnel setup'!P260),D247&gt;=30,E247&lt;&gt;"*",D247&lt;&gt;""),F247+3.090232306 *('Funnel setup'!$K$8/SQRT('Funnel Data'!D247)),"")</f>
        <v/>
      </c>
      <c r="K247" s="178" t="str">
        <f>IF(AND(ISNUMBER('Funnel setup'!P260),D247&gt;=30,E247&lt;&gt;"*",D247&lt;&gt;""),IF(E247&gt;J247,'Funnel setup'!$K$15&amp;"99.8%",IF(E247&gt;H247,'Funnel setup'!$K$15&amp;"95%",IF(E247&lt;I247,'Funnel setup'!$K$16&amp;"99.8%",IF(E247&lt;G247,'Funnel setup'!$K$16&amp;"95%","")))),"")</f>
        <v/>
      </c>
    </row>
    <row r="248" spans="2:11" ht="15" customHeight="1" x14ac:dyDescent="0.35">
      <c r="B248" s="174" t="str">
        <f>IF(ISNUMBER('Funnel setup'!P261),VLOOKUP('Funnel setup'!$P261,'Provider Commission - Raw Data'!$A:$Q,5,0),"")</f>
        <v>RWW</v>
      </c>
      <c r="C248" s="175" t="str">
        <f>IF(ISNUMBER('Funnel setup'!P261),VLOOKUP('Funnel setup'!P261,'Provider Commission - Raw Data'!$A:$Q,6,0),"")</f>
        <v>WARRINGTON AND HALTON TEACHING HOSPITALS NHS FOUNDATION TRUST (RWW)</v>
      </c>
      <c r="D248" s="176">
        <f>IF(ISNUMBER('Funnel setup'!P261),IF(VLOOKUP('Funnel setup'!P261,'Provider Commission - Raw Data'!$A:$Q,8,0)="-","",VLOOKUP('Funnel setup'!P261,'Provider Commission - Raw Data'!$A:$Q,8,0)),"")</f>
        <v>34</v>
      </c>
      <c r="E248" s="251">
        <f>IF(ISNUMBER('Funnel setup'!P261),IF(VLOOKUP('Funnel setup'!P261,'Provider Commission - Raw Data'!$A:$Q,16,0)="-","",VLOOKUP('Funnel setup'!P261,'Provider Commission - Raw Data'!$A:$Q,16,0)),"")</f>
        <v>22.192499999999999</v>
      </c>
      <c r="F248" s="177">
        <f>IF(AND(ISNUMBER('Funnel setup'!P261)),'Funnel setup'!$K$9,"")</f>
        <v>22.515359017022909</v>
      </c>
      <c r="G248" s="177">
        <f>IF(AND(ISNUMBER('Funnel setup'!P261),D248&gt;=30,E248&lt;&gt;"*",D248&lt;&gt;""),F248-1.959963985 *('Funnel setup'!$K$8/SQRT('Funnel Data'!D248)),"")</f>
        <v>19.732525037507376</v>
      </c>
      <c r="H248" s="177">
        <f>IF(AND(ISNUMBER('Funnel setup'!P261),D248&gt;=30,E248&lt;&gt;"*",D248&lt;&gt;""),F248+1.959963985 *('Funnel setup'!$K$8/SQRT('Funnel Data'!D248)),"")</f>
        <v>25.298192996538443</v>
      </c>
      <c r="I248" s="177">
        <f>IF(AND(ISNUMBER('Funnel setup'!P261),D248&gt;=30,E248&lt;&gt;"*",D248&lt;&gt;""),F248-3.090232306 *('Funnel setup'!$K$8/SQRT('Funnel Data'!D248)),"")</f>
        <v>18.12772560561946</v>
      </c>
      <c r="J248" s="177">
        <f>IF(AND(ISNUMBER('Funnel setup'!P261),D248&gt;=30,E248&lt;&gt;"*",D248&lt;&gt;""),F248+3.090232306 *('Funnel setup'!$K$8/SQRT('Funnel Data'!D248)),"")</f>
        <v>26.902992428426359</v>
      </c>
      <c r="K248" s="178" t="str">
        <f>IF(AND(ISNUMBER('Funnel setup'!P261),D248&gt;=30,E248&lt;&gt;"*",D248&lt;&gt;""),IF(E248&gt;J248,'Funnel setup'!$K$15&amp;"99.8%",IF(E248&gt;H248,'Funnel setup'!$K$15&amp;"95%",IF(E248&lt;I248,'Funnel setup'!$K$16&amp;"99.8%",IF(E248&lt;G248,'Funnel setup'!$K$16&amp;"95%","")))),"")</f>
        <v/>
      </c>
    </row>
    <row r="249" spans="2:11" ht="15" customHeight="1" x14ac:dyDescent="0.35">
      <c r="B249" s="174" t="str">
        <f>IF(ISNUMBER('Funnel setup'!P262),VLOOKUP('Funnel setup'!$P262,'Provider Commission - Raw Data'!$A:$Q,5,0),"")</f>
        <v>RWG</v>
      </c>
      <c r="C249" s="175" t="str">
        <f>IF(ISNUMBER('Funnel setup'!P262),VLOOKUP('Funnel setup'!P262,'Provider Commission - Raw Data'!$A:$Q,6,0),"")</f>
        <v>WEST HERTFORDSHIRE TEACHING HOSPITALS NHS TRUST (RWG)</v>
      </c>
      <c r="D249" s="176">
        <f>IF(ISNUMBER('Funnel setup'!P262),IF(VLOOKUP('Funnel setup'!P262,'Provider Commission - Raw Data'!$A:$Q,8,0)="-","",VLOOKUP('Funnel setup'!P262,'Provider Commission - Raw Data'!$A:$Q,8,0)),"")</f>
        <v>100</v>
      </c>
      <c r="E249" s="251">
        <f>IF(ISNUMBER('Funnel setup'!P262),IF(VLOOKUP('Funnel setup'!P262,'Provider Commission - Raw Data'!$A:$Q,16,0)="-","",VLOOKUP('Funnel setup'!P262,'Provider Commission - Raw Data'!$A:$Q,16,0)),"")</f>
        <v>21.598099999999999</v>
      </c>
      <c r="F249" s="177">
        <f>IF(AND(ISNUMBER('Funnel setup'!P262)),'Funnel setup'!$K$9,"")</f>
        <v>22.515359017022909</v>
      </c>
      <c r="G249" s="177">
        <f>IF(AND(ISNUMBER('Funnel setup'!P262),D249&gt;=30,E249&lt;&gt;"*",D249&lt;&gt;""),F249-1.959963985 *('Funnel setup'!$K$8/SQRT('Funnel Data'!D249)),"")</f>
        <v>20.89270191043331</v>
      </c>
      <c r="H249" s="177">
        <f>IF(AND(ISNUMBER('Funnel setup'!P262),D249&gt;=30,E249&lt;&gt;"*",D249&lt;&gt;""),F249+1.959963985 *('Funnel setup'!$K$8/SQRT('Funnel Data'!D249)),"")</f>
        <v>24.138016123612509</v>
      </c>
      <c r="I249" s="177">
        <f>IF(AND(ISNUMBER('Funnel setup'!P262),D249&gt;=30,E249&lt;&gt;"*",D249&lt;&gt;""),F249-3.090232306 *('Funnel setup'!$K$8/SQRT('Funnel Data'!D249)),"")</f>
        <v>19.956951081611962</v>
      </c>
      <c r="J249" s="177">
        <f>IF(AND(ISNUMBER('Funnel setup'!P262),D249&gt;=30,E249&lt;&gt;"*",D249&lt;&gt;""),F249+3.090232306 *('Funnel setup'!$K$8/SQRT('Funnel Data'!D249)),"")</f>
        <v>25.073766952433857</v>
      </c>
      <c r="K249" s="178" t="str">
        <f>IF(AND(ISNUMBER('Funnel setup'!P262),D249&gt;=30,E249&lt;&gt;"*",D249&lt;&gt;""),IF(E249&gt;J249,'Funnel setup'!$K$15&amp;"99.8%",IF(E249&gt;H249,'Funnel setup'!$K$15&amp;"95%",IF(E249&lt;I249,'Funnel setup'!$K$16&amp;"99.8%",IF(E249&lt;G249,'Funnel setup'!$K$16&amp;"95%","")))),"")</f>
        <v/>
      </c>
    </row>
    <row r="250" spans="2:11" ht="15" customHeight="1" x14ac:dyDescent="0.35">
      <c r="B250" s="174" t="str">
        <f>IF(ISNUMBER('Funnel setup'!P263),VLOOKUP('Funnel setup'!$P263,'Provider Commission - Raw Data'!$A:$Q,5,0),"")</f>
        <v>NVC21</v>
      </c>
      <c r="C250" s="175" t="str">
        <f>IF(ISNUMBER('Funnel setup'!P263),VLOOKUP('Funnel setup'!P263,'Provider Commission - Raw Data'!$A:$Q,6,0),"")</f>
        <v>WEST MIDLANDS HOSPITAL (NVC21)</v>
      </c>
      <c r="D250" s="176">
        <f>IF(ISNUMBER('Funnel setup'!P263),IF(VLOOKUP('Funnel setup'!P263,'Provider Commission - Raw Data'!$A:$Q,8,0)="-","",VLOOKUP('Funnel setup'!P263,'Provider Commission - Raw Data'!$A:$Q,8,0)),"")</f>
        <v>85</v>
      </c>
      <c r="E250" s="251">
        <f>IF(ISNUMBER('Funnel setup'!P263),IF(VLOOKUP('Funnel setup'!P263,'Provider Commission - Raw Data'!$A:$Q,16,0)="-","",VLOOKUP('Funnel setup'!P263,'Provider Commission - Raw Data'!$A:$Q,16,0)),"")</f>
        <v>22.697800000000001</v>
      </c>
      <c r="F250" s="177">
        <f>IF(AND(ISNUMBER('Funnel setup'!P263)),'Funnel setup'!$K$9,"")</f>
        <v>22.515359017022909</v>
      </c>
      <c r="G250" s="177">
        <f>IF(AND(ISNUMBER('Funnel setup'!P263),D250&gt;=30,E250&lt;&gt;"*",D250&lt;&gt;""),F250-1.959963985 *('Funnel setup'!$K$8/SQRT('Funnel Data'!D250)),"")</f>
        <v>20.75534027194702</v>
      </c>
      <c r="H250" s="177">
        <f>IF(AND(ISNUMBER('Funnel setup'!P263),D250&gt;=30,E250&lt;&gt;"*",D250&lt;&gt;""),F250+1.959963985 *('Funnel setup'!$K$8/SQRT('Funnel Data'!D250)),"")</f>
        <v>24.275377762098799</v>
      </c>
      <c r="I250" s="177">
        <f>IF(AND(ISNUMBER('Funnel setup'!P263),D250&gt;=30,E250&lt;&gt;"*",D250&lt;&gt;""),F250-3.090232306 *('Funnel setup'!$K$8/SQRT('Funnel Data'!D250)),"")</f>
        <v>19.74037599344501</v>
      </c>
      <c r="J250" s="177">
        <f>IF(AND(ISNUMBER('Funnel setup'!P263),D250&gt;=30,E250&lt;&gt;"*",D250&lt;&gt;""),F250+3.090232306 *('Funnel setup'!$K$8/SQRT('Funnel Data'!D250)),"")</f>
        <v>25.290342040600809</v>
      </c>
      <c r="K250" s="178" t="str">
        <f>IF(AND(ISNUMBER('Funnel setup'!P263),D250&gt;=30,E250&lt;&gt;"*",D250&lt;&gt;""),IF(E250&gt;J250,'Funnel setup'!$K$15&amp;"99.8%",IF(E250&gt;H250,'Funnel setup'!$K$15&amp;"95%",IF(E250&lt;I250,'Funnel setup'!$K$16&amp;"99.8%",IF(E250&lt;G250,'Funnel setup'!$K$16&amp;"95%","")))),"")</f>
        <v/>
      </c>
    </row>
    <row r="251" spans="2:11" ht="15" customHeight="1" x14ac:dyDescent="0.35">
      <c r="B251" s="174" t="str">
        <f>IF(ISNUMBER('Funnel setup'!P264),VLOOKUP('Funnel setup'!$P264,'Provider Commission - Raw Data'!$A:$Q,5,0),"")</f>
        <v>RGR</v>
      </c>
      <c r="C251" s="175" t="str">
        <f>IF(ISNUMBER('Funnel setup'!P264),VLOOKUP('Funnel setup'!P264,'Provider Commission - Raw Data'!$A:$Q,6,0),"")</f>
        <v>WEST SUFFOLK NHS FOUNDATION TRUST (RGR)</v>
      </c>
      <c r="D251" s="176">
        <f>IF(ISNUMBER('Funnel setup'!P264),IF(VLOOKUP('Funnel setup'!P264,'Provider Commission - Raw Data'!$A:$Q,8,0)="-","",VLOOKUP('Funnel setup'!P264,'Provider Commission - Raw Data'!$A:$Q,8,0)),"")</f>
        <v>116</v>
      </c>
      <c r="E251" s="251">
        <f>IF(ISNUMBER('Funnel setup'!P264),IF(VLOOKUP('Funnel setup'!P264,'Provider Commission - Raw Data'!$A:$Q,16,0)="-","",VLOOKUP('Funnel setup'!P264,'Provider Commission - Raw Data'!$A:$Q,16,0)),"")</f>
        <v>21.183299999999999</v>
      </c>
      <c r="F251" s="177">
        <f>IF(AND(ISNUMBER('Funnel setup'!P264)),'Funnel setup'!$K$9,"")</f>
        <v>22.515359017022909</v>
      </c>
      <c r="G251" s="177">
        <f>IF(AND(ISNUMBER('Funnel setup'!P264),D251&gt;=30,E251&lt;&gt;"*",D251&lt;&gt;""),F251-1.959963985 *('Funnel setup'!$K$8/SQRT('Funnel Data'!D251)),"")</f>
        <v>21.008759716255149</v>
      </c>
      <c r="H251" s="177">
        <f>IF(AND(ISNUMBER('Funnel setup'!P264),D251&gt;=30,E251&lt;&gt;"*",D251&lt;&gt;""),F251+1.959963985 *('Funnel setup'!$K$8/SQRT('Funnel Data'!D251)),"")</f>
        <v>24.02195831779067</v>
      </c>
      <c r="I251" s="177">
        <f>IF(AND(ISNUMBER('Funnel setup'!P264),D251&gt;=30,E251&lt;&gt;"*",D251&lt;&gt;""),F251-3.090232306 *('Funnel setup'!$K$8/SQRT('Funnel Data'!D251)),"")</f>
        <v>20.139936883217963</v>
      </c>
      <c r="J251" s="177">
        <f>IF(AND(ISNUMBER('Funnel setup'!P264),D251&gt;=30,E251&lt;&gt;"*",D251&lt;&gt;""),F251+3.090232306 *('Funnel setup'!$K$8/SQRT('Funnel Data'!D251)),"")</f>
        <v>24.890781150827856</v>
      </c>
      <c r="K251" s="178" t="str">
        <f>IF(AND(ISNUMBER('Funnel setup'!P264),D251&gt;=30,E251&lt;&gt;"*",D251&lt;&gt;""),IF(E251&gt;J251,'Funnel setup'!$K$15&amp;"99.8%",IF(E251&gt;H251,'Funnel setup'!$K$15&amp;"95%",IF(E251&lt;I251,'Funnel setup'!$K$16&amp;"99.8%",IF(E251&lt;G251,'Funnel setup'!$K$16&amp;"95%","")))),"")</f>
        <v/>
      </c>
    </row>
    <row r="252" spans="2:11" ht="15" customHeight="1" x14ac:dyDescent="0.35">
      <c r="B252" s="174" t="str">
        <f>IF(ISNUMBER('Funnel setup'!P265),VLOOKUP('Funnel setup'!$P265,'Provider Commission - Raw Data'!$A:$Q,5,0),"")</f>
        <v>NVC22</v>
      </c>
      <c r="C252" s="175" t="str">
        <f>IF(ISNUMBER('Funnel setup'!P265),VLOOKUP('Funnel setup'!P265,'Provider Commission - Raw Data'!$A:$Q,6,0),"")</f>
        <v>WINFIELD HOSPITAL (NVC22)</v>
      </c>
      <c r="D252" s="176">
        <f>IF(ISNUMBER('Funnel setup'!P265),IF(VLOOKUP('Funnel setup'!P265,'Provider Commission - Raw Data'!$A:$Q,8,0)="-","",VLOOKUP('Funnel setup'!P265,'Provider Commission - Raw Data'!$A:$Q,8,0)),"")</f>
        <v>49</v>
      </c>
      <c r="E252" s="251">
        <f>IF(ISNUMBER('Funnel setup'!P265),IF(VLOOKUP('Funnel setup'!P265,'Provider Commission - Raw Data'!$A:$Q,16,0)="-","",VLOOKUP('Funnel setup'!P265,'Provider Commission - Raw Data'!$A:$Q,16,0)),"")</f>
        <v>23.040099999999999</v>
      </c>
      <c r="F252" s="177">
        <f>IF(AND(ISNUMBER('Funnel setup'!P265)),'Funnel setup'!$K$9,"")</f>
        <v>22.515359017022909</v>
      </c>
      <c r="G252" s="177">
        <f>IF(AND(ISNUMBER('Funnel setup'!P265),D252&gt;=30,E252&lt;&gt;"*",D252&lt;&gt;""),F252-1.959963985 *('Funnel setup'!$K$8/SQRT('Funnel Data'!D252)),"")</f>
        <v>20.197277436180624</v>
      </c>
      <c r="H252" s="177">
        <f>IF(AND(ISNUMBER('Funnel setup'!P265),D252&gt;=30,E252&lt;&gt;"*",D252&lt;&gt;""),F252+1.959963985 *('Funnel setup'!$K$8/SQRT('Funnel Data'!D252)),"")</f>
        <v>24.833440597865195</v>
      </c>
      <c r="I252" s="177">
        <f>IF(AND(ISNUMBER('Funnel setup'!P265),D252&gt;=30,E252&lt;&gt;"*",D252&lt;&gt;""),F252-3.090232306 *('Funnel setup'!$K$8/SQRT('Funnel Data'!D252)),"")</f>
        <v>18.860490537864411</v>
      </c>
      <c r="J252" s="177">
        <f>IF(AND(ISNUMBER('Funnel setup'!P265),D252&gt;=30,E252&lt;&gt;"*",D252&lt;&gt;""),F252+3.090232306 *('Funnel setup'!$K$8/SQRT('Funnel Data'!D252)),"")</f>
        <v>26.170227496181408</v>
      </c>
      <c r="K252" s="178" t="str">
        <f>IF(AND(ISNUMBER('Funnel setup'!P265),D252&gt;=30,E252&lt;&gt;"*",D252&lt;&gt;""),IF(E252&gt;J252,'Funnel setup'!$K$15&amp;"99.8%",IF(E252&gt;H252,'Funnel setup'!$K$15&amp;"95%",IF(E252&lt;I252,'Funnel setup'!$K$16&amp;"99.8%",IF(E252&lt;G252,'Funnel setup'!$K$16&amp;"95%","")))),"")</f>
        <v/>
      </c>
    </row>
    <row r="253" spans="2:11" ht="15" customHeight="1" x14ac:dyDescent="0.35">
      <c r="B253" s="174" t="str">
        <f>IF(ISNUMBER('Funnel setup'!P266),VLOOKUP('Funnel setup'!$P266,'Provider Commission - Raw Data'!$A:$Q,5,0),"")</f>
        <v>NT443</v>
      </c>
      <c r="C253" s="175" t="str">
        <f>IF(ISNUMBER('Funnel setup'!P266),VLOOKUP('Funnel setup'!P266,'Provider Commission - Raw Data'!$A:$Q,6,0),"")</f>
        <v>WINTERBOURNE HOSPITAL (NT443)</v>
      </c>
      <c r="D253" s="176">
        <f>IF(ISNUMBER('Funnel setup'!P266),IF(VLOOKUP('Funnel setup'!P266,'Provider Commission - Raw Data'!$A:$Q,8,0)="-","",VLOOKUP('Funnel setup'!P266,'Provider Commission - Raw Data'!$A:$Q,8,0)),"")</f>
        <v>53</v>
      </c>
      <c r="E253" s="251">
        <f>IF(ISNUMBER('Funnel setup'!P266),IF(VLOOKUP('Funnel setup'!P266,'Provider Commission - Raw Data'!$A:$Q,16,0)="-","",VLOOKUP('Funnel setup'!P266,'Provider Commission - Raw Data'!$A:$Q,16,0)),"")</f>
        <v>23.654800000000002</v>
      </c>
      <c r="F253" s="177">
        <f>IF(AND(ISNUMBER('Funnel setup'!P266)),'Funnel setup'!$K$9,"")</f>
        <v>22.515359017022909</v>
      </c>
      <c r="G253" s="177">
        <f>IF(AND(ISNUMBER('Funnel setup'!P266),D253&gt;=30,E253&lt;&gt;"*",D253&lt;&gt;""),F253-1.959963985 *('Funnel setup'!$K$8/SQRT('Funnel Data'!D253)),"")</f>
        <v>20.286468064457956</v>
      </c>
      <c r="H253" s="177">
        <f>IF(AND(ISNUMBER('Funnel setup'!P266),D253&gt;=30,E253&lt;&gt;"*",D253&lt;&gt;""),F253+1.959963985 *('Funnel setup'!$K$8/SQRT('Funnel Data'!D253)),"")</f>
        <v>24.744249969587862</v>
      </c>
      <c r="I253" s="177">
        <f>IF(AND(ISNUMBER('Funnel setup'!P266),D253&gt;=30,E253&lt;&gt;"*",D253&lt;&gt;""),F253-3.090232306 *('Funnel setup'!$K$8/SQRT('Funnel Data'!D253)),"")</f>
        <v>19.001115448834419</v>
      </c>
      <c r="J253" s="177">
        <f>IF(AND(ISNUMBER('Funnel setup'!P266),D253&gt;=30,E253&lt;&gt;"*",D253&lt;&gt;""),F253+3.090232306 *('Funnel setup'!$K$8/SQRT('Funnel Data'!D253)),"")</f>
        <v>26.0296025852114</v>
      </c>
      <c r="K253" s="178" t="str">
        <f>IF(AND(ISNUMBER('Funnel setup'!P266),D253&gt;=30,E253&lt;&gt;"*",D253&lt;&gt;""),IF(E253&gt;J253,'Funnel setup'!$K$15&amp;"99.8%",IF(E253&gt;H253,'Funnel setup'!$K$15&amp;"95%",IF(E253&lt;I253,'Funnel setup'!$K$16&amp;"99.8%",IF(E253&lt;G253,'Funnel setup'!$K$16&amp;"95%","")))),"")</f>
        <v/>
      </c>
    </row>
    <row r="254" spans="2:11" ht="15" customHeight="1" x14ac:dyDescent="0.35">
      <c r="B254" s="174" t="str">
        <f>IF(ISNUMBER('Funnel setup'!P267),VLOOKUP('Funnel setup'!$P267,'Provider Commission - Raw Data'!$A:$Q,5,0),"")</f>
        <v>RBL</v>
      </c>
      <c r="C254" s="175" t="str">
        <f>IF(ISNUMBER('Funnel setup'!P267),VLOOKUP('Funnel setup'!P267,'Provider Commission - Raw Data'!$A:$Q,6,0),"")</f>
        <v>WIRRAL UNIVERSITY TEACHING HOSPITAL NHS FOUNDATION TRUST (RBL)</v>
      </c>
      <c r="D254" s="176">
        <f>IF(ISNUMBER('Funnel setup'!P267),IF(VLOOKUP('Funnel setup'!P267,'Provider Commission - Raw Data'!$A:$Q,8,0)="-","",VLOOKUP('Funnel setup'!P267,'Provider Commission - Raw Data'!$A:$Q,8,0)),"")</f>
        <v>111</v>
      </c>
      <c r="E254" s="251">
        <f>IF(ISNUMBER('Funnel setup'!P267),IF(VLOOKUP('Funnel setup'!P267,'Provider Commission - Raw Data'!$A:$Q,16,0)="-","",VLOOKUP('Funnel setup'!P267,'Provider Commission - Raw Data'!$A:$Q,16,0)),"")</f>
        <v>21.491499999999998</v>
      </c>
      <c r="F254" s="177">
        <f>IF(AND(ISNUMBER('Funnel setup'!P267)),'Funnel setup'!$K$9,"")</f>
        <v>22.515359017022909</v>
      </c>
      <c r="G254" s="177">
        <f>IF(AND(ISNUMBER('Funnel setup'!P267),D254&gt;=30,E254&lt;&gt;"*",D254&lt;&gt;""),F254-1.959963985 *('Funnel setup'!$K$8/SQRT('Funnel Data'!D254)),"")</f>
        <v>20.975201049938775</v>
      </c>
      <c r="H254" s="177">
        <f>IF(AND(ISNUMBER('Funnel setup'!P267),D254&gt;=30,E254&lt;&gt;"*",D254&lt;&gt;""),F254+1.959963985 *('Funnel setup'!$K$8/SQRT('Funnel Data'!D254)),"")</f>
        <v>24.055516984107044</v>
      </c>
      <c r="I254" s="177">
        <f>IF(AND(ISNUMBER('Funnel setup'!P267),D254&gt;=30,E254&lt;&gt;"*",D254&lt;&gt;""),F254-3.090232306 *('Funnel setup'!$K$8/SQRT('Funnel Data'!D254)),"")</f>
        <v>20.087025668730963</v>
      </c>
      <c r="J254" s="177">
        <f>IF(AND(ISNUMBER('Funnel setup'!P267),D254&gt;=30,E254&lt;&gt;"*",D254&lt;&gt;""),F254+3.090232306 *('Funnel setup'!$K$8/SQRT('Funnel Data'!D254)),"")</f>
        <v>24.943692365314856</v>
      </c>
      <c r="K254" s="178" t="str">
        <f>IF(AND(ISNUMBER('Funnel setup'!P267),D254&gt;=30,E254&lt;&gt;"*",D254&lt;&gt;""),IF(E254&gt;J254,'Funnel setup'!$K$15&amp;"99.8%",IF(E254&gt;H254,'Funnel setup'!$K$15&amp;"95%",IF(E254&lt;I254,'Funnel setup'!$K$16&amp;"99.8%",IF(E254&lt;G254,'Funnel setup'!$K$16&amp;"95%","")))),"")</f>
        <v/>
      </c>
    </row>
    <row r="255" spans="2:11" ht="15" customHeight="1" x14ac:dyDescent="0.35">
      <c r="B255" s="174" t="str">
        <f>IF(ISNUMBER('Funnel setup'!P268),VLOOKUP('Funnel setup'!$P268,'Provider Commission - Raw Data'!$A:$Q,5,0),"")</f>
        <v>NVC23</v>
      </c>
      <c r="C255" s="175" t="str">
        <f>IF(ISNUMBER('Funnel setup'!P268),VLOOKUP('Funnel setup'!P268,'Provider Commission - Raw Data'!$A:$Q,6,0),"")</f>
        <v>WOODLAND HOSPITAL (NVC23)</v>
      </c>
      <c r="D255" s="176">
        <f>IF(ISNUMBER('Funnel setup'!P268),IF(VLOOKUP('Funnel setup'!P268,'Provider Commission - Raw Data'!$A:$Q,8,0)="-","",VLOOKUP('Funnel setup'!P268,'Provider Commission - Raw Data'!$A:$Q,8,0)),"")</f>
        <v>85</v>
      </c>
      <c r="E255" s="251">
        <f>IF(ISNUMBER('Funnel setup'!P268),IF(VLOOKUP('Funnel setup'!P268,'Provider Commission - Raw Data'!$A:$Q,16,0)="-","",VLOOKUP('Funnel setup'!P268,'Provider Commission - Raw Data'!$A:$Q,16,0)),"")</f>
        <v>19.078199999999999</v>
      </c>
      <c r="F255" s="177">
        <f>IF(AND(ISNUMBER('Funnel setup'!P268)),'Funnel setup'!$K$9,"")</f>
        <v>22.515359017022909</v>
      </c>
      <c r="G255" s="177">
        <f>IF(AND(ISNUMBER('Funnel setup'!P268),D255&gt;=30,E255&lt;&gt;"*",D255&lt;&gt;""),F255-1.959963985 *('Funnel setup'!$K$8/SQRT('Funnel Data'!D255)),"")</f>
        <v>20.75534027194702</v>
      </c>
      <c r="H255" s="177">
        <f>IF(AND(ISNUMBER('Funnel setup'!P268),D255&gt;=30,E255&lt;&gt;"*",D255&lt;&gt;""),F255+1.959963985 *('Funnel setup'!$K$8/SQRT('Funnel Data'!D255)),"")</f>
        <v>24.275377762098799</v>
      </c>
      <c r="I255" s="177">
        <f>IF(AND(ISNUMBER('Funnel setup'!P268),D255&gt;=30,E255&lt;&gt;"*",D255&lt;&gt;""),F255-3.090232306 *('Funnel setup'!$K$8/SQRT('Funnel Data'!D255)),"")</f>
        <v>19.74037599344501</v>
      </c>
      <c r="J255" s="177">
        <f>IF(AND(ISNUMBER('Funnel setup'!P268),D255&gt;=30,E255&lt;&gt;"*",D255&lt;&gt;""),F255+3.090232306 *('Funnel setup'!$K$8/SQRT('Funnel Data'!D255)),"")</f>
        <v>25.290342040600809</v>
      </c>
      <c r="K255" s="178" t="str">
        <f>IF(AND(ISNUMBER('Funnel setup'!P268),D255&gt;=30,E255&lt;&gt;"*",D255&lt;&gt;""),IF(E255&gt;J255,'Funnel setup'!$K$15&amp;"99.8%",IF(E255&gt;H255,'Funnel setup'!$K$15&amp;"95%",IF(E255&lt;I255,'Funnel setup'!$K$16&amp;"99.8%",IF(E255&lt;G255,'Funnel setup'!$K$16&amp;"95%","")))),"")</f>
        <v>Lower 99.8%</v>
      </c>
    </row>
    <row r="256" spans="2:11" ht="15" customHeight="1" x14ac:dyDescent="0.35">
      <c r="B256" s="174" t="str">
        <f>IF(ISNUMBER('Funnel setup'!P269),VLOOKUP('Funnel setup'!$P269,'Provider Commission - Raw Data'!$A:$Q,5,0),"")</f>
        <v>NT457</v>
      </c>
      <c r="C256" s="175" t="str">
        <f>IF(ISNUMBER('Funnel setup'!P269),VLOOKUP('Funnel setup'!P269,'Provider Commission - Raw Data'!$A:$Q,6,0),"")</f>
        <v>WOODLANDS HOSPITAL (NT457)</v>
      </c>
      <c r="D256" s="176">
        <f>IF(ISNUMBER('Funnel setup'!P269),IF(VLOOKUP('Funnel setup'!P269,'Provider Commission - Raw Data'!$A:$Q,8,0)="-","",VLOOKUP('Funnel setup'!P269,'Provider Commission - Raw Data'!$A:$Q,8,0)),"")</f>
        <v>74</v>
      </c>
      <c r="E256" s="251">
        <f>IF(ISNUMBER('Funnel setup'!P269),IF(VLOOKUP('Funnel setup'!P269,'Provider Commission - Raw Data'!$A:$Q,16,0)="-","",VLOOKUP('Funnel setup'!P269,'Provider Commission - Raw Data'!$A:$Q,16,0)),"")</f>
        <v>22.0852</v>
      </c>
      <c r="F256" s="177">
        <f>IF(AND(ISNUMBER('Funnel setup'!P269)),'Funnel setup'!$K$9,"")</f>
        <v>22.515359017022909</v>
      </c>
      <c r="G256" s="177">
        <f>IF(AND(ISNUMBER('Funnel setup'!P269),D256&gt;=30,E256&lt;&gt;"*",D256&lt;&gt;""),F256-1.959963985 *('Funnel setup'!$K$8/SQRT('Funnel Data'!D256)),"")</f>
        <v>20.62905844570372</v>
      </c>
      <c r="H256" s="177">
        <f>IF(AND(ISNUMBER('Funnel setup'!P269),D256&gt;=30,E256&lt;&gt;"*",D256&lt;&gt;""),F256+1.959963985 *('Funnel setup'!$K$8/SQRT('Funnel Data'!D256)),"")</f>
        <v>24.401659588342099</v>
      </c>
      <c r="I256" s="177">
        <f>IF(AND(ISNUMBER('Funnel setup'!P269),D256&gt;=30,E256&lt;&gt;"*",D256&lt;&gt;""),F256-3.090232306 *('Funnel setup'!$K$8/SQRT('Funnel Data'!D256)),"")</f>
        <v>19.541270202673186</v>
      </c>
      <c r="J256" s="177">
        <f>IF(AND(ISNUMBER('Funnel setup'!P269),D256&gt;=30,E256&lt;&gt;"*",D256&lt;&gt;""),F256+3.090232306 *('Funnel setup'!$K$8/SQRT('Funnel Data'!D256)),"")</f>
        <v>25.489447831372633</v>
      </c>
      <c r="K256" s="178" t="str">
        <f>IF(AND(ISNUMBER('Funnel setup'!P269),D256&gt;=30,E256&lt;&gt;"*",D256&lt;&gt;""),IF(E256&gt;J256,'Funnel setup'!$K$15&amp;"99.8%",IF(E256&gt;H256,'Funnel setup'!$K$15&amp;"95%",IF(E256&lt;I256,'Funnel setup'!$K$16&amp;"99.8%",IF(E256&lt;G256,'Funnel setup'!$K$16&amp;"95%","")))),"")</f>
        <v/>
      </c>
    </row>
    <row r="257" spans="2:11" ht="15" customHeight="1" x14ac:dyDescent="0.35">
      <c r="B257" s="174" t="str">
        <f>IF(ISNUMBER('Funnel setup'!P270),VLOOKUP('Funnel setup'!$P270,'Provider Commission - Raw Data'!$A:$Q,5,0),"")</f>
        <v>NVC40</v>
      </c>
      <c r="C257" s="175" t="str">
        <f>IF(ISNUMBER('Funnel setup'!P270),VLOOKUP('Funnel setup'!P270,'Provider Commission - Raw Data'!$A:$Q,6,0),"")</f>
        <v>WOODTHORPE HOSPITAL (NVC40)</v>
      </c>
      <c r="D257" s="176">
        <f>IF(ISNUMBER('Funnel setup'!P270),IF(VLOOKUP('Funnel setup'!P270,'Provider Commission - Raw Data'!$A:$Q,8,0)="-","",VLOOKUP('Funnel setup'!P270,'Provider Commission - Raw Data'!$A:$Q,8,0)),"")</f>
        <v>98</v>
      </c>
      <c r="E257" s="251">
        <f>IF(ISNUMBER('Funnel setup'!P270),IF(VLOOKUP('Funnel setup'!P270,'Provider Commission - Raw Data'!$A:$Q,16,0)="-","",VLOOKUP('Funnel setup'!P270,'Provider Commission - Raw Data'!$A:$Q,16,0)),"")</f>
        <v>21.563500000000001</v>
      </c>
      <c r="F257" s="177">
        <f>IF(AND(ISNUMBER('Funnel setup'!P270)),'Funnel setup'!$K$9,"")</f>
        <v>22.515359017022909</v>
      </c>
      <c r="G257" s="177">
        <f>IF(AND(ISNUMBER('Funnel setup'!P270),D257&gt;=30,E257&lt;&gt;"*",D257&lt;&gt;""),F257-1.959963985 *('Funnel setup'!$K$8/SQRT('Funnel Data'!D257)),"")</f>
        <v>20.876227811865697</v>
      </c>
      <c r="H257" s="177">
        <f>IF(AND(ISNUMBER('Funnel setup'!P270),D257&gt;=30,E257&lt;&gt;"*",D257&lt;&gt;""),F257+1.959963985 *('Funnel setup'!$K$8/SQRT('Funnel Data'!D257)),"")</f>
        <v>24.154490222180122</v>
      </c>
      <c r="I257" s="177">
        <f>IF(AND(ISNUMBER('Funnel setup'!P270),D257&gt;=30,E257&lt;&gt;"*",D257&lt;&gt;""),F257-3.090232306 *('Funnel setup'!$K$8/SQRT('Funnel Data'!D257)),"")</f>
        <v>19.93097673106497</v>
      </c>
      <c r="J257" s="177">
        <f>IF(AND(ISNUMBER('Funnel setup'!P270),D257&gt;=30,E257&lt;&gt;"*",D257&lt;&gt;""),F257+3.090232306 *('Funnel setup'!$K$8/SQRT('Funnel Data'!D257)),"")</f>
        <v>25.099741302980849</v>
      </c>
      <c r="K257" s="178" t="str">
        <f>IF(AND(ISNUMBER('Funnel setup'!P270),D257&gt;=30,E257&lt;&gt;"*",D257&lt;&gt;""),IF(E257&gt;J257,'Funnel setup'!$K$15&amp;"99.8%",IF(E257&gt;H257,'Funnel setup'!$K$15&amp;"95%",IF(E257&lt;I257,'Funnel setup'!$K$16&amp;"99.8%",IF(E257&lt;G257,'Funnel setup'!$K$16&amp;"95%","")))),"")</f>
        <v/>
      </c>
    </row>
    <row r="258" spans="2:11" ht="15" customHeight="1" x14ac:dyDescent="0.35">
      <c r="B258" s="174" t="str">
        <f>IF(ISNUMBER('Funnel setup'!P272),VLOOKUP('Funnel setup'!$P272,'Provider Commission - Raw Data'!$A:$Q,5,0),"")</f>
        <v>RRF</v>
      </c>
      <c r="C258" s="175" t="str">
        <f>IF(ISNUMBER('Funnel setup'!P272),VLOOKUP('Funnel setup'!P272,'Provider Commission - Raw Data'!$A:$Q,6,0),"")</f>
        <v>WRIGHTINGTON, WIGAN AND LEIGH NHS FOUNDATION TRUST (RRF)</v>
      </c>
      <c r="D258" s="176">
        <f>IF(ISNUMBER('Funnel setup'!P272),IF(VLOOKUP('Funnel setup'!P272,'Provider Commission - Raw Data'!$A:$Q,8,0)="-","",VLOOKUP('Funnel setup'!P272,'Provider Commission - Raw Data'!$A:$Q,8,0)),"")</f>
        <v>19</v>
      </c>
      <c r="E258" s="251" t="str">
        <f>IF(ISNUMBER('Funnel setup'!P272),IF(VLOOKUP('Funnel setup'!P272,'Provider Commission - Raw Data'!$A:$Q,16,0)="-","",VLOOKUP('Funnel setup'!P272,'Provider Commission - Raw Data'!$A:$Q,16,0)),"")</f>
        <v>*</v>
      </c>
      <c r="F258" s="177">
        <f>IF(AND(ISNUMBER('Funnel setup'!P272)),'Funnel setup'!$K$9,"")</f>
        <v>22.515359017022909</v>
      </c>
      <c r="G258" s="177" t="str">
        <f>IF(AND(ISNUMBER('Funnel setup'!P272),D258&gt;=30,E258&lt;&gt;"*",D258&lt;&gt;""),F258-1.959963985 *('Funnel setup'!$K$8/SQRT('Funnel Data'!D258)),"")</f>
        <v/>
      </c>
      <c r="H258" s="177" t="str">
        <f>IF(AND(ISNUMBER('Funnel setup'!P272),D258&gt;=30,E258&lt;&gt;"*",D258&lt;&gt;""),F258+1.959963985 *('Funnel setup'!$K$8/SQRT('Funnel Data'!D258)),"")</f>
        <v/>
      </c>
      <c r="I258" s="177" t="str">
        <f>IF(AND(ISNUMBER('Funnel setup'!P272),D258&gt;=30,E258&lt;&gt;"*",D258&lt;&gt;""),F258-3.090232306 *('Funnel setup'!$K$8/SQRT('Funnel Data'!D258)),"")</f>
        <v/>
      </c>
      <c r="J258" s="177" t="str">
        <f>IF(AND(ISNUMBER('Funnel setup'!P272),D258&gt;=30,E258&lt;&gt;"*",D258&lt;&gt;""),F258+3.090232306 *('Funnel setup'!$K$8/SQRT('Funnel Data'!D258)),"")</f>
        <v/>
      </c>
      <c r="K258" s="178" t="str">
        <f>IF(AND(ISNUMBER('Funnel setup'!P272),D258&gt;=30,E258&lt;&gt;"*",D258&lt;&gt;""),IF(E258&gt;J258,'Funnel setup'!$K$15&amp;"99.8%",IF(E258&gt;H258,'Funnel setup'!$K$15&amp;"95%",IF(E258&lt;I258,'Funnel setup'!$K$16&amp;"99.8%",IF(E258&lt;G258,'Funnel setup'!$K$16&amp;"95%","")))),"")</f>
        <v/>
      </c>
    </row>
    <row r="259" spans="2:11" ht="15" customHeight="1" x14ac:dyDescent="0.35">
      <c r="B259" s="174" t="str">
        <f>IF(ISNUMBER('Funnel setup'!P273),VLOOKUP('Funnel setup'!$P273,'Provider Commission - Raw Data'!$A:$Q,5,0),"")</f>
        <v>RLQ</v>
      </c>
      <c r="C259" s="175" t="str">
        <f>IF(ISNUMBER('Funnel setup'!P273),VLOOKUP('Funnel setup'!P273,'Provider Commission - Raw Data'!$A:$Q,6,0),"")</f>
        <v>WYE VALLEY NHS TRUST (RLQ)</v>
      </c>
      <c r="D259" s="176">
        <f>IF(ISNUMBER('Funnel setup'!P273),IF(VLOOKUP('Funnel setup'!P273,'Provider Commission - Raw Data'!$A:$Q,8,0)="-","",VLOOKUP('Funnel setup'!P273,'Provider Commission - Raw Data'!$A:$Q,8,0)),"")</f>
        <v>24</v>
      </c>
      <c r="E259" s="251" t="str">
        <f>IF(ISNUMBER('Funnel setup'!P273),IF(VLOOKUP('Funnel setup'!P273,'Provider Commission - Raw Data'!$A:$Q,16,0)="-","",VLOOKUP('Funnel setup'!P273,'Provider Commission - Raw Data'!$A:$Q,16,0)),"")</f>
        <v>*</v>
      </c>
      <c r="F259" s="177">
        <f>IF(AND(ISNUMBER('Funnel setup'!P273)),'Funnel setup'!$K$9,"")</f>
        <v>22.515359017022909</v>
      </c>
      <c r="G259" s="177" t="str">
        <f>IF(AND(ISNUMBER('Funnel setup'!P273),D259&gt;=30,E259&lt;&gt;"*",D259&lt;&gt;""),F259-1.959963985 *('Funnel setup'!$K$8/SQRT('Funnel Data'!D259)),"")</f>
        <v/>
      </c>
      <c r="H259" s="177" t="str">
        <f>IF(AND(ISNUMBER('Funnel setup'!P273),D259&gt;=30,E259&lt;&gt;"*",D259&lt;&gt;""),F259+1.959963985 *('Funnel setup'!$K$8/SQRT('Funnel Data'!D259)),"")</f>
        <v/>
      </c>
      <c r="I259" s="177" t="str">
        <f>IF(AND(ISNUMBER('Funnel setup'!P273),D259&gt;=30,E259&lt;&gt;"*",D259&lt;&gt;""),F259-3.090232306 *('Funnel setup'!$K$8/SQRT('Funnel Data'!D259)),"")</f>
        <v/>
      </c>
      <c r="J259" s="177" t="str">
        <f>IF(AND(ISNUMBER('Funnel setup'!P273),D259&gt;=30,E259&lt;&gt;"*",D259&lt;&gt;""),F259+3.090232306 *('Funnel setup'!$K$8/SQRT('Funnel Data'!D259)),"")</f>
        <v/>
      </c>
      <c r="K259" s="178" t="str">
        <f>IF(AND(ISNUMBER('Funnel setup'!P273),D259&gt;=30,E259&lt;&gt;"*",D259&lt;&gt;""),IF(E259&gt;J259,'Funnel setup'!$K$15&amp;"99.8%",IF(E259&gt;H259,'Funnel setup'!$K$15&amp;"95%",IF(E259&lt;I259,'Funnel setup'!$K$16&amp;"99.8%",IF(E259&lt;G259,'Funnel setup'!$K$16&amp;"95%","")))),"")</f>
        <v/>
      </c>
    </row>
    <row r="260" spans="2:11" ht="15" customHeight="1" x14ac:dyDescent="0.35">
      <c r="B260" s="174" t="str">
        <f>IF(ISNUMBER('Funnel setup'!P274),VLOOKUP('Funnel setup'!$P274,'Provider Commission - Raw Data'!$A:$Q,5,0),"")</f>
        <v>RCB</v>
      </c>
      <c r="C260" s="175" t="str">
        <f>IF(ISNUMBER('Funnel setup'!P274),VLOOKUP('Funnel setup'!P274,'Provider Commission - Raw Data'!$A:$Q,6,0),"")</f>
        <v>YORK AND SCARBOROUGH TEACHING HOSPITALS NHS FOUNDATION TRUST (RCB)</v>
      </c>
      <c r="D260" s="176">
        <f>IF(ISNUMBER('Funnel setup'!P274),IF(VLOOKUP('Funnel setup'!P274,'Provider Commission - Raw Data'!$A:$Q,8,0)="-","",VLOOKUP('Funnel setup'!P274,'Provider Commission - Raw Data'!$A:$Q,8,0)),"")</f>
        <v>1</v>
      </c>
      <c r="E260" s="251" t="str">
        <f>IF(ISNUMBER('Funnel setup'!P274),IF(VLOOKUP('Funnel setup'!P274,'Provider Commission - Raw Data'!$A:$Q,16,0)="-","",VLOOKUP('Funnel setup'!P274,'Provider Commission - Raw Data'!$A:$Q,16,0)),"")</f>
        <v>*</v>
      </c>
      <c r="F260" s="177">
        <f>IF(AND(ISNUMBER('Funnel setup'!P274)),'Funnel setup'!$K$9,"")</f>
        <v>22.515359017022909</v>
      </c>
      <c r="G260" s="177" t="str">
        <f>IF(AND(ISNUMBER('Funnel setup'!P274),D260&gt;=30,E260&lt;&gt;"*",D260&lt;&gt;""),F260-1.959963985 *('Funnel setup'!$K$8/SQRT('Funnel Data'!D260)),"")</f>
        <v/>
      </c>
      <c r="H260" s="177" t="str">
        <f>IF(AND(ISNUMBER('Funnel setup'!P274),D260&gt;=30,E260&lt;&gt;"*",D260&lt;&gt;""),F260+1.959963985 *('Funnel setup'!$K$8/SQRT('Funnel Data'!D260)),"")</f>
        <v/>
      </c>
      <c r="I260" s="177" t="str">
        <f>IF(AND(ISNUMBER('Funnel setup'!P274),D260&gt;=30,E260&lt;&gt;"*",D260&lt;&gt;""),F260-3.090232306 *('Funnel setup'!$K$8/SQRT('Funnel Data'!D260)),"")</f>
        <v/>
      </c>
      <c r="J260" s="177" t="str">
        <f>IF(AND(ISNUMBER('Funnel setup'!P274),D260&gt;=30,E260&lt;&gt;"*",D260&lt;&gt;""),F260+3.090232306 *('Funnel setup'!$K$8/SQRT('Funnel Data'!D260)),"")</f>
        <v/>
      </c>
      <c r="K260" s="178" t="str">
        <f>IF(AND(ISNUMBER('Funnel setup'!P274),D260&gt;=30,E260&lt;&gt;"*",D260&lt;&gt;""),IF(E260&gt;J260,'Funnel setup'!$K$15&amp;"99.8%",IF(E260&gt;H260,'Funnel setup'!$K$15&amp;"95%",IF(E260&lt;I260,'Funnel setup'!$K$16&amp;"99.8%",IF(E260&lt;G260,'Funnel setup'!$K$16&amp;"95%","")))),"")</f>
        <v/>
      </c>
    </row>
    <row r="261" spans="2:11" ht="15" customHeight="1" x14ac:dyDescent="0.35">
      <c r="B261" s="174" t="str">
        <f>IF(ISNUMBER('Funnel setup'!P275),VLOOKUP('Funnel setup'!$P275,'Provider Commission - Raw Data'!$A:$Q,5,0),"")</f>
        <v/>
      </c>
      <c r="C261" s="175" t="str">
        <f>IF(ISNUMBER('Funnel setup'!P275),VLOOKUP('Funnel setup'!P275,'Provider Commission - Raw Data'!$A:$Q,6,0),"")</f>
        <v/>
      </c>
      <c r="D261" s="176" t="str">
        <f>IF(ISNUMBER('Funnel setup'!P275),IF(VLOOKUP('Funnel setup'!P275,'Provider Commission - Raw Data'!$A:$Q,8,0)="-","",VLOOKUP('Funnel setup'!P275,'Provider Commission - Raw Data'!$A:$Q,8,0)),"")</f>
        <v/>
      </c>
      <c r="E261" s="251" t="str">
        <f>IF(ISNUMBER('Funnel setup'!P275),IF(VLOOKUP('Funnel setup'!P275,'Provider Commission - Raw Data'!$A:$Q,16,0)="-","",VLOOKUP('Funnel setup'!P275,'Provider Commission - Raw Data'!$A:$Q,16,0)),"")</f>
        <v/>
      </c>
      <c r="F261" s="177" t="str">
        <f>IF(AND(ISNUMBER('Funnel setup'!P275)),'Funnel setup'!$K$9,"")</f>
        <v/>
      </c>
      <c r="G261" s="177" t="str">
        <f>IF(AND(ISNUMBER('Funnel setup'!P275),D261&gt;=30,E261&lt;&gt;"*",D261&lt;&gt;""),F261-1.959963985 *('Funnel setup'!$K$8/SQRT('Funnel Data'!D261)),"")</f>
        <v/>
      </c>
      <c r="H261" s="177" t="str">
        <f>IF(AND(ISNUMBER('Funnel setup'!P275),D261&gt;=30,E261&lt;&gt;"*",D261&lt;&gt;""),F261+1.959963985 *('Funnel setup'!$K$8/SQRT('Funnel Data'!D261)),"")</f>
        <v/>
      </c>
      <c r="I261" s="177" t="str">
        <f>IF(AND(ISNUMBER('Funnel setup'!P275),D261&gt;=30,E261&lt;&gt;"*",D261&lt;&gt;""),F261-3.090232306 *('Funnel setup'!$K$8/SQRT('Funnel Data'!D261)),"")</f>
        <v/>
      </c>
      <c r="J261" s="177" t="str">
        <f>IF(AND(ISNUMBER('Funnel setup'!P275),D261&gt;=30,E261&lt;&gt;"*",D261&lt;&gt;""),F261+3.090232306 *('Funnel setup'!$K$8/SQRT('Funnel Data'!D261)),"")</f>
        <v/>
      </c>
      <c r="K261" s="178" t="str">
        <f>IF(AND(ISNUMBER('Funnel setup'!P275),D261&gt;=30,E261&lt;&gt;"*",D261&lt;&gt;""),IF(E261&gt;J261,'Funnel setup'!$K$15&amp;"99.8%",IF(E261&gt;H261,'Funnel setup'!$K$15&amp;"95%",IF(E261&lt;I261,'Funnel setup'!$K$16&amp;"99.8%",IF(E261&lt;G261,'Funnel setup'!$K$16&amp;"95%","")))),"")</f>
        <v/>
      </c>
    </row>
    <row r="262" spans="2:11" ht="15" customHeight="1" thickBot="1" x14ac:dyDescent="0.3">
      <c r="B262" s="430" t="s">
        <v>1257</v>
      </c>
      <c r="C262" s="431"/>
      <c r="D262" s="431"/>
      <c r="E262" s="431"/>
      <c r="F262" s="431"/>
      <c r="G262" s="431"/>
      <c r="H262" s="431"/>
      <c r="I262" s="431"/>
      <c r="J262" s="431"/>
      <c r="K262" s="431"/>
    </row>
    <row r="263" spans="2:11" ht="15" customHeight="1" x14ac:dyDescent="0.35">
      <c r="B263" s="174" t="str">
        <f>IF(ISNUMBER('Funnel setup'!P276),VLOOKUP('Funnel setup'!$P276,'Provider Commission - Raw Data'!$A:$Q,5,0),"")</f>
        <v/>
      </c>
      <c r="C263" s="175" t="str">
        <f>IF(ISNUMBER('Funnel setup'!P276),VLOOKUP('Funnel setup'!P276,'Provider Commission - Raw Data'!$A:$Q,6,0),"")</f>
        <v/>
      </c>
      <c r="D263" s="176" t="str">
        <f>IF(ISNUMBER('Funnel setup'!P276),IF(VLOOKUP('Funnel setup'!P276,'Provider Commission - Raw Data'!$A:$Q,8,0)="-","",VLOOKUP('Funnel setup'!P276,'Provider Commission - Raw Data'!$A:$Q,8,0)),"")</f>
        <v/>
      </c>
      <c r="E263" s="251" t="str">
        <f>IF(ISNUMBER('Funnel setup'!P276),IF(VLOOKUP('Funnel setup'!P276,'Provider Commission - Raw Data'!$A:$Q,16,0)="-","",VLOOKUP('Funnel setup'!P276,'Provider Commission - Raw Data'!$A:$Q,16,0)),"")</f>
        <v/>
      </c>
      <c r="F263" s="177" t="str">
        <f>IF(AND(ISNUMBER('Funnel setup'!P276)),'Funnel setup'!$K$9,"")</f>
        <v/>
      </c>
      <c r="G263" s="177" t="str">
        <f>IF(AND(ISNUMBER('Funnel setup'!P276),D263&gt;=30,E263&lt;&gt;"*",D263&lt;&gt;""),F263-1.959963985 *('Funnel setup'!$K$8/SQRT('Funnel Data'!D263)),"")</f>
        <v/>
      </c>
      <c r="H263" s="177" t="str">
        <f>IF(AND(ISNUMBER('Funnel setup'!P276),D263&gt;=30,E263&lt;&gt;"*",D263&lt;&gt;""),F263+1.959963985 *('Funnel setup'!$K$8/SQRT('Funnel Data'!D263)),"")</f>
        <v/>
      </c>
      <c r="I263" s="177" t="str">
        <f>IF(AND(ISNUMBER('Funnel setup'!P276),D263&gt;=30,E263&lt;&gt;"*",D263&lt;&gt;""),F263-3.090232306 *('Funnel setup'!$K$8/SQRT('Funnel Data'!D263)),"")</f>
        <v/>
      </c>
      <c r="J263" s="177" t="str">
        <f>IF(AND(ISNUMBER('Funnel setup'!P276),D263&gt;=30,E263&lt;&gt;"*",D263&lt;&gt;""),F263+3.090232306 *('Funnel setup'!$K$8/SQRT('Funnel Data'!D263)),"")</f>
        <v/>
      </c>
      <c r="K263" s="178" t="str">
        <f>IF(AND(ISNUMBER('Funnel setup'!P276),D263&gt;=30,E263&lt;&gt;"*",D263&lt;&gt;""),IF(E263&gt;J263,'Funnel setup'!$K$15&amp;"99.8%",IF(E263&gt;H263,'Funnel setup'!$K$15&amp;"95%",IF(E263&lt;I263,'Funnel setup'!$K$16&amp;"99.8%",IF(E263&lt;G263,'Funnel setup'!$K$16&amp;"95%","")))),"")</f>
        <v/>
      </c>
    </row>
    <row r="264" spans="2:11" ht="15" customHeight="1" x14ac:dyDescent="0.35">
      <c r="B264" s="174" t="str">
        <f>IF(ISNUMBER('Funnel setup'!P277),VLOOKUP('Funnel setup'!$P277,'Provider Commission - Raw Data'!$A:$Q,5,0),"")</f>
        <v/>
      </c>
      <c r="C264" s="175" t="str">
        <f>IF(ISNUMBER('Funnel setup'!P277),VLOOKUP('Funnel setup'!P277,'Provider Commission - Raw Data'!$A:$Q,6,0),"")</f>
        <v/>
      </c>
      <c r="D264" s="176" t="str">
        <f>IF(ISNUMBER('Funnel setup'!P277),IF(VLOOKUP('Funnel setup'!P277,'Provider Commission - Raw Data'!$A:$Q,8,0)="-","",VLOOKUP('Funnel setup'!P277,'Provider Commission - Raw Data'!$A:$Q,8,0)),"")</f>
        <v/>
      </c>
      <c r="E264" s="251" t="str">
        <f>IF(ISNUMBER('Funnel setup'!P277),IF(VLOOKUP('Funnel setup'!P277,'Provider Commission - Raw Data'!$A:$Q,16,0)="-","",VLOOKUP('Funnel setup'!P277,'Provider Commission - Raw Data'!$A:$Q,16,0)),"")</f>
        <v/>
      </c>
      <c r="F264" s="177" t="str">
        <f>IF(AND(ISNUMBER('Funnel setup'!P277)),'Funnel setup'!$K$9,"")</f>
        <v/>
      </c>
      <c r="G264" s="177" t="str">
        <f>IF(AND(ISNUMBER('Funnel setup'!P277),D264&gt;=30,E264&lt;&gt;"*",D264&lt;&gt;""),F264-1.959963985 *('Funnel setup'!$K$8/SQRT('Funnel Data'!D264)),"")</f>
        <v/>
      </c>
      <c r="H264" s="177" t="str">
        <f>IF(AND(ISNUMBER('Funnel setup'!P277),D264&gt;=30,E264&lt;&gt;"*",D264&lt;&gt;""),F264+1.959963985 *('Funnel setup'!$K$8/SQRT('Funnel Data'!D264)),"")</f>
        <v/>
      </c>
      <c r="I264" s="177" t="str">
        <f>IF(AND(ISNUMBER('Funnel setup'!P277),D264&gt;=30,E264&lt;&gt;"*",D264&lt;&gt;""),F264-3.090232306 *('Funnel setup'!$K$8/SQRT('Funnel Data'!D264)),"")</f>
        <v/>
      </c>
      <c r="J264" s="177" t="str">
        <f>IF(AND(ISNUMBER('Funnel setup'!P277),D264&gt;=30,E264&lt;&gt;"*",D264&lt;&gt;""),F264+3.090232306 *('Funnel setup'!$K$8/SQRT('Funnel Data'!D264)),"")</f>
        <v/>
      </c>
      <c r="K264" s="178" t="str">
        <f>IF(AND(ISNUMBER('Funnel setup'!P277),D264&gt;=30,E264&lt;&gt;"*",D264&lt;&gt;""),IF(E264&gt;J264,'Funnel setup'!$K$15&amp;"99.8%",IF(E264&gt;H264,'Funnel setup'!$K$15&amp;"95%",IF(E264&lt;I264,'Funnel setup'!$K$16&amp;"99.8%",IF(E264&lt;G264,'Funnel setup'!$K$16&amp;"95%","")))),"")</f>
        <v/>
      </c>
    </row>
    <row r="265" spans="2:11" ht="15" customHeight="1" x14ac:dyDescent="0.35">
      <c r="B265" s="174" t="str">
        <f>IF(ISNUMBER('Funnel setup'!P278),VLOOKUP('Funnel setup'!$P278,'Provider Commission - Raw Data'!$A:$Q,5,0),"")</f>
        <v/>
      </c>
      <c r="C265" s="175" t="str">
        <f>IF(ISNUMBER('Funnel setup'!P278),VLOOKUP('Funnel setup'!P278,'Provider Commission - Raw Data'!$A:$Q,6,0),"")</f>
        <v/>
      </c>
      <c r="D265" s="176" t="str">
        <f>IF(ISNUMBER('Funnel setup'!P278),IF(VLOOKUP('Funnel setup'!P278,'Provider Commission - Raw Data'!$A:$Q,8,0)="-","",VLOOKUP('Funnel setup'!P278,'Provider Commission - Raw Data'!$A:$Q,8,0)),"")</f>
        <v/>
      </c>
      <c r="E265" s="251" t="str">
        <f>IF(ISNUMBER('Funnel setup'!P278),IF(VLOOKUP('Funnel setup'!P278,'Provider Commission - Raw Data'!$A:$Q,16,0)="-","",VLOOKUP('Funnel setup'!P278,'Provider Commission - Raw Data'!$A:$Q,16,0)),"")</f>
        <v/>
      </c>
      <c r="F265" s="177" t="str">
        <f>IF(AND(ISNUMBER('Funnel setup'!P278)),'Funnel setup'!$K$9,"")</f>
        <v/>
      </c>
      <c r="G265" s="177" t="str">
        <f>IF(AND(ISNUMBER('Funnel setup'!P278),D265&gt;=30,E265&lt;&gt;"*",D265&lt;&gt;""),F265-1.959963985 *('Funnel setup'!$K$8/SQRT('Funnel Data'!D265)),"")</f>
        <v/>
      </c>
      <c r="H265" s="177" t="str">
        <f>IF(AND(ISNUMBER('Funnel setup'!P278),D265&gt;=30,E265&lt;&gt;"*",D265&lt;&gt;""),F265+1.959963985 *('Funnel setup'!$K$8/SQRT('Funnel Data'!D265)),"")</f>
        <v/>
      </c>
      <c r="I265" s="177" t="str">
        <f>IF(AND(ISNUMBER('Funnel setup'!P278),D265&gt;=30,E265&lt;&gt;"*",D265&lt;&gt;""),F265-3.090232306 *('Funnel setup'!$K$8/SQRT('Funnel Data'!D265)),"")</f>
        <v/>
      </c>
      <c r="J265" s="177" t="str">
        <f>IF(AND(ISNUMBER('Funnel setup'!P278),D265&gt;=30,E265&lt;&gt;"*",D265&lt;&gt;""),F265+3.090232306 *('Funnel setup'!$K$8/SQRT('Funnel Data'!D265)),"")</f>
        <v/>
      </c>
      <c r="K265" s="178" t="str">
        <f>IF(AND(ISNUMBER('Funnel setup'!P278),D265&gt;=30,E265&lt;&gt;"*",D265&lt;&gt;""),IF(E265&gt;J265,'Funnel setup'!$K$15&amp;"99.8%",IF(E265&gt;H265,'Funnel setup'!$K$15&amp;"95%",IF(E265&lt;I265,'Funnel setup'!$K$16&amp;"99.8%",IF(E265&lt;G265,'Funnel setup'!$K$16&amp;"95%","")))),"")</f>
        <v/>
      </c>
    </row>
    <row r="266" spans="2:11" ht="15" customHeight="1" x14ac:dyDescent="0.35">
      <c r="B266" s="174" t="str">
        <f>IF(ISNUMBER('Funnel setup'!P279),VLOOKUP('Funnel setup'!$P279,'Provider Commission - Raw Data'!$A:$Q,5,0),"")</f>
        <v/>
      </c>
      <c r="C266" s="175" t="str">
        <f>IF(ISNUMBER('Funnel setup'!P279),VLOOKUP('Funnel setup'!P279,'Provider Commission - Raw Data'!$A:$Q,6,0),"")</f>
        <v/>
      </c>
      <c r="D266" s="176" t="str">
        <f>IF(ISNUMBER('Funnel setup'!P279),IF(VLOOKUP('Funnel setup'!P279,'Provider Commission - Raw Data'!$A:$Q,8,0)="-","",VLOOKUP('Funnel setup'!P279,'Provider Commission - Raw Data'!$A:$Q,8,0)),"")</f>
        <v/>
      </c>
      <c r="E266" s="251" t="str">
        <f>IF(ISNUMBER('Funnel setup'!P279),IF(VLOOKUP('Funnel setup'!P279,'Provider Commission - Raw Data'!$A:$Q,16,0)="-","",VLOOKUP('Funnel setup'!P279,'Provider Commission - Raw Data'!$A:$Q,16,0)),"")</f>
        <v/>
      </c>
      <c r="F266" s="177" t="str">
        <f>IF(AND(ISNUMBER('Funnel setup'!P279)),'Funnel setup'!$K$9,"")</f>
        <v/>
      </c>
      <c r="G266" s="177" t="str">
        <f>IF(AND(ISNUMBER('Funnel setup'!P279),D266&gt;=30,E266&lt;&gt;"*",D266&lt;&gt;""),F266-1.959963985 *('Funnel setup'!$K$8/SQRT('Funnel Data'!D266)),"")</f>
        <v/>
      </c>
      <c r="H266" s="177" t="str">
        <f>IF(AND(ISNUMBER('Funnel setup'!P279),D266&gt;=30,E266&lt;&gt;"*",D266&lt;&gt;""),F266+1.959963985 *('Funnel setup'!$K$8/SQRT('Funnel Data'!D266)),"")</f>
        <v/>
      </c>
      <c r="I266" s="177" t="str">
        <f>IF(AND(ISNUMBER('Funnel setup'!P279),D266&gt;=30,E266&lt;&gt;"*",D266&lt;&gt;""),F266-3.090232306 *('Funnel setup'!$K$8/SQRT('Funnel Data'!D266)),"")</f>
        <v/>
      </c>
      <c r="J266" s="177" t="str">
        <f>IF(AND(ISNUMBER('Funnel setup'!P279),D266&gt;=30,E266&lt;&gt;"*",D266&lt;&gt;""),F266+3.090232306 *('Funnel setup'!$K$8/SQRT('Funnel Data'!D266)),"")</f>
        <v/>
      </c>
      <c r="K266" s="178" t="str">
        <f>IF(AND(ISNUMBER('Funnel setup'!P279),D266&gt;=30,E266&lt;&gt;"*",D266&lt;&gt;""),IF(E266&gt;J266,'Funnel setup'!$K$15&amp;"99.8%",IF(E266&gt;H266,'Funnel setup'!$K$15&amp;"95%",IF(E266&lt;I266,'Funnel setup'!$K$16&amp;"99.8%",IF(E266&lt;G266,'Funnel setup'!$K$16&amp;"95%","")))),"")</f>
        <v/>
      </c>
    </row>
    <row r="267" spans="2:11" ht="15" customHeight="1" x14ac:dyDescent="0.35">
      <c r="B267" s="174" t="str">
        <f>IF(ISNUMBER('Funnel setup'!P280),VLOOKUP('Funnel setup'!$P280,'Provider Commission - Raw Data'!$A:$Q,5,0),"")</f>
        <v/>
      </c>
      <c r="C267" s="175" t="str">
        <f>IF(ISNUMBER('Funnel setup'!P280),VLOOKUP('Funnel setup'!P280,'Provider Commission - Raw Data'!$A:$Q,6,0),"")</f>
        <v/>
      </c>
      <c r="D267" s="176" t="str">
        <f>IF(ISNUMBER('Funnel setup'!P280),IF(VLOOKUP('Funnel setup'!P280,'Provider Commission - Raw Data'!$A:$Q,8,0)="-","",VLOOKUP('Funnel setup'!P280,'Provider Commission - Raw Data'!$A:$Q,8,0)),"")</f>
        <v/>
      </c>
      <c r="E267" s="251" t="str">
        <f>IF(ISNUMBER('Funnel setup'!P280),IF(VLOOKUP('Funnel setup'!P280,'Provider Commission - Raw Data'!$A:$Q,16,0)="-","",VLOOKUP('Funnel setup'!P280,'Provider Commission - Raw Data'!$A:$Q,16,0)),"")</f>
        <v/>
      </c>
      <c r="F267" s="177" t="str">
        <f>IF(AND(ISNUMBER('Funnel setup'!P280)),'Funnel setup'!$K$9,"")</f>
        <v/>
      </c>
      <c r="G267" s="177" t="str">
        <f>IF(AND(ISNUMBER('Funnel setup'!P280),D267&gt;=30,E267&lt;&gt;"*",D267&lt;&gt;""),F267-1.959963985 *('Funnel setup'!$K$8/SQRT('Funnel Data'!D267)),"")</f>
        <v/>
      </c>
      <c r="H267" s="177" t="str">
        <f>IF(AND(ISNUMBER('Funnel setup'!P280),D267&gt;=30,E267&lt;&gt;"*",D267&lt;&gt;""),F267+1.959963985 *('Funnel setup'!$K$8/SQRT('Funnel Data'!D267)),"")</f>
        <v/>
      </c>
      <c r="I267" s="177" t="str">
        <f>IF(AND(ISNUMBER('Funnel setup'!P280),D267&gt;=30,E267&lt;&gt;"*",D267&lt;&gt;""),F267-3.090232306 *('Funnel setup'!$K$8/SQRT('Funnel Data'!D267)),"")</f>
        <v/>
      </c>
      <c r="J267" s="177" t="str">
        <f>IF(AND(ISNUMBER('Funnel setup'!P280),D267&gt;=30,E267&lt;&gt;"*",D267&lt;&gt;""),F267+3.090232306 *('Funnel setup'!$K$8/SQRT('Funnel Data'!D267)),"")</f>
        <v/>
      </c>
      <c r="K267" s="178" t="str">
        <f>IF(AND(ISNUMBER('Funnel setup'!P280),D267&gt;=30,E267&lt;&gt;"*",D267&lt;&gt;""),IF(E267&gt;J267,'Funnel setup'!$K$15&amp;"99.8%",IF(E267&gt;H267,'Funnel setup'!$K$15&amp;"95%",IF(E267&lt;I267,'Funnel setup'!$K$16&amp;"99.8%",IF(E267&lt;G267,'Funnel setup'!$K$16&amp;"95%","")))),"")</f>
        <v/>
      </c>
    </row>
    <row r="268" spans="2:11" ht="15" customHeight="1" x14ac:dyDescent="0.35">
      <c r="B268" s="174" t="str">
        <f>IF(ISNUMBER('Funnel setup'!P281),VLOOKUP('Funnel setup'!$P281,'Provider Commission - Raw Data'!$A:$Q,5,0),"")</f>
        <v/>
      </c>
      <c r="C268" s="175" t="str">
        <f>IF(ISNUMBER('Funnel setup'!P281),VLOOKUP('Funnel setup'!P281,'Provider Commission - Raw Data'!$A:$Q,6,0),"")</f>
        <v/>
      </c>
      <c r="D268" s="176" t="str">
        <f>IF(ISNUMBER('Funnel setup'!P281),IF(VLOOKUP('Funnel setup'!P281,'Provider Commission - Raw Data'!$A:$Q,8,0)="-","",VLOOKUP('Funnel setup'!P281,'Provider Commission - Raw Data'!$A:$Q,8,0)),"")</f>
        <v/>
      </c>
      <c r="E268" s="251" t="str">
        <f>IF(ISNUMBER('Funnel setup'!P281),IF(VLOOKUP('Funnel setup'!P281,'Provider Commission - Raw Data'!$A:$Q,16,0)="-","",VLOOKUP('Funnel setup'!P281,'Provider Commission - Raw Data'!$A:$Q,16,0)),"")</f>
        <v/>
      </c>
      <c r="F268" s="177" t="str">
        <f>IF(AND(ISNUMBER('Funnel setup'!P281)),'Funnel setup'!$K$9,"")</f>
        <v/>
      </c>
      <c r="G268" s="177" t="str">
        <f>IF(AND(ISNUMBER('Funnel setup'!P281),D268&gt;=30,E268&lt;&gt;"*",D268&lt;&gt;""),F268-1.959963985 *('Funnel setup'!$K$8/SQRT('Funnel Data'!D268)),"")</f>
        <v/>
      </c>
      <c r="H268" s="177" t="str">
        <f>IF(AND(ISNUMBER('Funnel setup'!P281),D268&gt;=30,E268&lt;&gt;"*",D268&lt;&gt;""),F268+1.959963985 *('Funnel setup'!$K$8/SQRT('Funnel Data'!D268)),"")</f>
        <v/>
      </c>
      <c r="I268" s="177" t="str">
        <f>IF(AND(ISNUMBER('Funnel setup'!P281),D268&gt;=30,E268&lt;&gt;"*",D268&lt;&gt;""),F268-3.090232306 *('Funnel setup'!$K$8/SQRT('Funnel Data'!D268)),"")</f>
        <v/>
      </c>
      <c r="J268" s="177" t="str">
        <f>IF(AND(ISNUMBER('Funnel setup'!P281),D268&gt;=30,E268&lt;&gt;"*",D268&lt;&gt;""),F268+3.090232306 *('Funnel setup'!$K$8/SQRT('Funnel Data'!D268)),"")</f>
        <v/>
      </c>
      <c r="K268" s="178" t="str">
        <f>IF(AND(ISNUMBER('Funnel setup'!P281),D268&gt;=30,E268&lt;&gt;"*",D268&lt;&gt;""),IF(E268&gt;J268,'Funnel setup'!$K$15&amp;"99.8%",IF(E268&gt;H268,'Funnel setup'!$K$15&amp;"95%",IF(E268&lt;I268,'Funnel setup'!$K$16&amp;"99.8%",IF(E268&lt;G268,'Funnel setup'!$K$16&amp;"95%","")))),"")</f>
        <v/>
      </c>
    </row>
    <row r="269" spans="2:11" ht="15" customHeight="1" x14ac:dyDescent="0.35">
      <c r="B269" s="174" t="str">
        <f>IF(ISNUMBER('Funnel setup'!P282),VLOOKUP('Funnel setup'!$P282,'Provider Commission - Raw Data'!$A:$Q,5,0),"")</f>
        <v/>
      </c>
      <c r="C269" s="175" t="str">
        <f>IF(ISNUMBER('Funnel setup'!P282),VLOOKUP('Funnel setup'!P282,'Provider Commission - Raw Data'!$A:$Q,6,0),"")</f>
        <v/>
      </c>
      <c r="D269" s="176" t="str">
        <f>IF(ISNUMBER('Funnel setup'!P282),IF(VLOOKUP('Funnel setup'!P282,'Provider Commission - Raw Data'!$A:$Q,8,0)="-","",VLOOKUP('Funnel setup'!P282,'Provider Commission - Raw Data'!$A:$Q,8,0)),"")</f>
        <v/>
      </c>
      <c r="E269" s="251" t="str">
        <f>IF(ISNUMBER('Funnel setup'!P282),IF(VLOOKUP('Funnel setup'!P282,'Provider Commission - Raw Data'!$A:$Q,16,0)="-","",VLOOKUP('Funnel setup'!P282,'Provider Commission - Raw Data'!$A:$Q,16,0)),"")</f>
        <v/>
      </c>
      <c r="F269" s="177" t="str">
        <f>IF(AND(ISNUMBER('Funnel setup'!P282)),'Funnel setup'!$K$9,"")</f>
        <v/>
      </c>
      <c r="G269" s="177" t="str">
        <f>IF(AND(ISNUMBER('Funnel setup'!P282),D269&gt;=30,E269&lt;&gt;"*",D269&lt;&gt;""),F269-1.959963985 *('Funnel setup'!$K$8/SQRT('Funnel Data'!D269)),"")</f>
        <v/>
      </c>
      <c r="H269" s="177" t="str">
        <f>IF(AND(ISNUMBER('Funnel setup'!P282),D269&gt;=30,E269&lt;&gt;"*",D269&lt;&gt;""),F269+1.959963985 *('Funnel setup'!$K$8/SQRT('Funnel Data'!D269)),"")</f>
        <v/>
      </c>
      <c r="I269" s="177" t="str">
        <f>IF(AND(ISNUMBER('Funnel setup'!P282),D269&gt;=30,E269&lt;&gt;"*",D269&lt;&gt;""),F269-3.090232306 *('Funnel setup'!$K$8/SQRT('Funnel Data'!D269)),"")</f>
        <v/>
      </c>
      <c r="J269" s="177" t="str">
        <f>IF(AND(ISNUMBER('Funnel setup'!P282),D269&gt;=30,E269&lt;&gt;"*",D269&lt;&gt;""),F269+3.090232306 *('Funnel setup'!$K$8/SQRT('Funnel Data'!D269)),"")</f>
        <v/>
      </c>
      <c r="K269" s="178" t="str">
        <f>IF(AND(ISNUMBER('Funnel setup'!P282),D269&gt;=30,E269&lt;&gt;"*",D269&lt;&gt;""),IF(E269&gt;J269,'Funnel setup'!$K$15&amp;"99.8%",IF(E269&gt;H269,'Funnel setup'!$K$15&amp;"95%",IF(E269&lt;I269,'Funnel setup'!$K$16&amp;"99.8%",IF(E269&lt;G269,'Funnel setup'!$K$16&amp;"95%","")))),"")</f>
        <v/>
      </c>
    </row>
    <row r="270" spans="2:11" ht="15" customHeight="1" x14ac:dyDescent="0.35">
      <c r="B270" s="174" t="str">
        <f>IF(ISNUMBER('Funnel setup'!P283),VLOOKUP('Funnel setup'!$P283,'Provider Commission - Raw Data'!$A:$Q,5,0),"")</f>
        <v/>
      </c>
      <c r="C270" s="175" t="str">
        <f>IF(ISNUMBER('Funnel setup'!P283),VLOOKUP('Funnel setup'!P283,'Provider Commission - Raw Data'!$A:$Q,6,0),"")</f>
        <v/>
      </c>
      <c r="D270" s="176" t="str">
        <f>IF(ISNUMBER('Funnel setup'!P283),IF(VLOOKUP('Funnel setup'!P283,'Provider Commission - Raw Data'!$A:$Q,8,0)="-","",VLOOKUP('Funnel setup'!P283,'Provider Commission - Raw Data'!$A:$Q,8,0)),"")</f>
        <v/>
      </c>
      <c r="E270" s="251" t="str">
        <f>IF(ISNUMBER('Funnel setup'!P283),IF(VLOOKUP('Funnel setup'!P283,'Provider Commission - Raw Data'!$A:$Q,16,0)="-","",VLOOKUP('Funnel setup'!P283,'Provider Commission - Raw Data'!$A:$Q,16,0)),"")</f>
        <v/>
      </c>
      <c r="F270" s="177" t="str">
        <f>IF(AND(ISNUMBER('Funnel setup'!P283)),'Funnel setup'!$K$9,"")</f>
        <v/>
      </c>
      <c r="G270" s="177" t="str">
        <f>IF(AND(ISNUMBER('Funnel setup'!P283),D270&gt;=30,E270&lt;&gt;"*",D270&lt;&gt;""),F270-1.959963985 *('Funnel setup'!$K$8/SQRT('Funnel Data'!D270)),"")</f>
        <v/>
      </c>
      <c r="H270" s="177" t="str">
        <f>IF(AND(ISNUMBER('Funnel setup'!P283),D270&gt;=30,E270&lt;&gt;"*",D270&lt;&gt;""),F270+1.959963985 *('Funnel setup'!$K$8/SQRT('Funnel Data'!D270)),"")</f>
        <v/>
      </c>
      <c r="I270" s="177" t="str">
        <f>IF(AND(ISNUMBER('Funnel setup'!P283),D270&gt;=30,E270&lt;&gt;"*",D270&lt;&gt;""),F270-3.090232306 *('Funnel setup'!$K$8/SQRT('Funnel Data'!D270)),"")</f>
        <v/>
      </c>
      <c r="J270" s="177" t="str">
        <f>IF(AND(ISNUMBER('Funnel setup'!P283),D270&gt;=30,E270&lt;&gt;"*",D270&lt;&gt;""),F270+3.090232306 *('Funnel setup'!$K$8/SQRT('Funnel Data'!D270)),"")</f>
        <v/>
      </c>
      <c r="K270" s="178" t="str">
        <f>IF(AND(ISNUMBER('Funnel setup'!P283),D270&gt;=30,E270&lt;&gt;"*",D270&lt;&gt;""),IF(E270&gt;J270,'Funnel setup'!$K$15&amp;"99.8%",IF(E270&gt;H270,'Funnel setup'!$K$15&amp;"95%",IF(E270&lt;I270,'Funnel setup'!$K$16&amp;"99.8%",IF(E270&lt;G270,'Funnel setup'!$K$16&amp;"95%","")))),"")</f>
        <v/>
      </c>
    </row>
    <row r="271" spans="2:11" ht="15" customHeight="1" x14ac:dyDescent="0.35">
      <c r="B271" s="174" t="str">
        <f>IF(ISNUMBER('Funnel setup'!P284),VLOOKUP('Funnel setup'!$P284,'Provider Commission - Raw Data'!$A:$Q,5,0),"")</f>
        <v/>
      </c>
      <c r="C271" s="175" t="str">
        <f>IF(ISNUMBER('Funnel setup'!P284),VLOOKUP('Funnel setup'!P284,'Provider Commission - Raw Data'!$A:$Q,6,0),"")</f>
        <v/>
      </c>
      <c r="D271" s="176" t="str">
        <f>IF(ISNUMBER('Funnel setup'!P284),IF(VLOOKUP('Funnel setup'!P284,'Provider Commission - Raw Data'!$A:$Q,8,0)="-","",VLOOKUP('Funnel setup'!P284,'Provider Commission - Raw Data'!$A:$Q,8,0)),"")</f>
        <v/>
      </c>
      <c r="E271" s="251" t="str">
        <f>IF(ISNUMBER('Funnel setup'!P284),IF(VLOOKUP('Funnel setup'!P284,'Provider Commission - Raw Data'!$A:$Q,16,0)="-","",VLOOKUP('Funnel setup'!P284,'Provider Commission - Raw Data'!$A:$Q,16,0)),"")</f>
        <v/>
      </c>
      <c r="F271" s="177" t="str">
        <f>IF(AND(ISNUMBER('Funnel setup'!P284)),'Funnel setup'!$K$9,"")</f>
        <v/>
      </c>
      <c r="G271" s="177" t="str">
        <f>IF(AND(ISNUMBER('Funnel setup'!P284),D271&gt;=30,E271&lt;&gt;"*",D271&lt;&gt;""),F271-1.959963985 *('Funnel setup'!$K$8/SQRT('Funnel Data'!D271)),"")</f>
        <v/>
      </c>
      <c r="H271" s="177" t="str">
        <f>IF(AND(ISNUMBER('Funnel setup'!P284),D271&gt;=30,E271&lt;&gt;"*",D271&lt;&gt;""),F271+1.959963985 *('Funnel setup'!$K$8/SQRT('Funnel Data'!D271)),"")</f>
        <v/>
      </c>
      <c r="I271" s="177" t="str">
        <f>IF(AND(ISNUMBER('Funnel setup'!P284),D271&gt;=30,E271&lt;&gt;"*",D271&lt;&gt;""),F271-3.090232306 *('Funnel setup'!$K$8/SQRT('Funnel Data'!D271)),"")</f>
        <v/>
      </c>
      <c r="J271" s="177" t="str">
        <f>IF(AND(ISNUMBER('Funnel setup'!P284),D271&gt;=30,E271&lt;&gt;"*",D271&lt;&gt;""),F271+3.090232306 *('Funnel setup'!$K$8/SQRT('Funnel Data'!D271)),"")</f>
        <v/>
      </c>
      <c r="K271" s="178" t="str">
        <f>IF(AND(ISNUMBER('Funnel setup'!P284),D271&gt;=30,E271&lt;&gt;"*",D271&lt;&gt;""),IF(E271&gt;J271,'Funnel setup'!$K$15&amp;"99.8%",IF(E271&gt;H271,'Funnel setup'!$K$15&amp;"95%",IF(E271&lt;I271,'Funnel setup'!$K$16&amp;"99.8%",IF(E271&lt;G271,'Funnel setup'!$K$16&amp;"95%","")))),"")</f>
        <v/>
      </c>
    </row>
    <row r="272" spans="2:11" ht="15" customHeight="1" x14ac:dyDescent="0.35">
      <c r="B272" s="174" t="str">
        <f>IF(ISNUMBER('Funnel setup'!P285),VLOOKUP('Funnel setup'!$P285,'Provider Commission - Raw Data'!$A:$Q,5,0),"")</f>
        <v/>
      </c>
      <c r="C272" s="175" t="str">
        <f>IF(ISNUMBER('Funnel setup'!P285),VLOOKUP('Funnel setup'!P285,'Provider Commission - Raw Data'!$A:$Q,6,0),"")</f>
        <v/>
      </c>
      <c r="D272" s="176" t="str">
        <f>IF(ISNUMBER('Funnel setup'!P285),IF(VLOOKUP('Funnel setup'!P285,'Provider Commission - Raw Data'!$A:$Q,8,0)="-","",VLOOKUP('Funnel setup'!P285,'Provider Commission - Raw Data'!$A:$Q,8,0)),"")</f>
        <v/>
      </c>
      <c r="E272" s="251" t="str">
        <f>IF(ISNUMBER('Funnel setup'!P285),IF(VLOOKUP('Funnel setup'!P285,'Provider Commission - Raw Data'!$A:$Q,16,0)="-","",VLOOKUP('Funnel setup'!P285,'Provider Commission - Raw Data'!$A:$Q,16,0)),"")</f>
        <v/>
      </c>
      <c r="F272" s="177" t="str">
        <f>IF(AND(ISNUMBER('Funnel setup'!P285)),'Funnel setup'!$K$9,"")</f>
        <v/>
      </c>
      <c r="G272" s="177" t="str">
        <f>IF(AND(ISNUMBER('Funnel setup'!P285),D272&gt;=30,E272&lt;&gt;"*",D272&lt;&gt;""),F272-1.959963985 *('Funnel setup'!$K$8/SQRT('Funnel Data'!D272)),"")</f>
        <v/>
      </c>
      <c r="H272" s="177" t="str">
        <f>IF(AND(ISNUMBER('Funnel setup'!P285),D272&gt;=30,E272&lt;&gt;"*",D272&lt;&gt;""),F272+1.959963985 *('Funnel setup'!$K$8/SQRT('Funnel Data'!D272)),"")</f>
        <v/>
      </c>
      <c r="I272" s="177" t="str">
        <f>IF(AND(ISNUMBER('Funnel setup'!P285),D272&gt;=30,E272&lt;&gt;"*",D272&lt;&gt;""),F272-3.090232306 *('Funnel setup'!$K$8/SQRT('Funnel Data'!D272)),"")</f>
        <v/>
      </c>
      <c r="J272" s="177" t="str">
        <f>IF(AND(ISNUMBER('Funnel setup'!P285),D272&gt;=30,E272&lt;&gt;"*",D272&lt;&gt;""),F272+3.090232306 *('Funnel setup'!$K$8/SQRT('Funnel Data'!D272)),"")</f>
        <v/>
      </c>
      <c r="K272" s="178" t="str">
        <f>IF(AND(ISNUMBER('Funnel setup'!P285),D272&gt;=30,E272&lt;&gt;"*",D272&lt;&gt;""),IF(E272&gt;J272,'Funnel setup'!$K$15&amp;"99.8%",IF(E272&gt;H272,'Funnel setup'!$K$15&amp;"95%",IF(E272&lt;I272,'Funnel setup'!$K$16&amp;"99.8%",IF(E272&lt;G272,'Funnel setup'!$K$16&amp;"95%","")))),"")</f>
        <v/>
      </c>
    </row>
    <row r="273" spans="2:11" ht="15" customHeight="1" x14ac:dyDescent="0.35">
      <c r="B273" s="174" t="str">
        <f>IF(ISNUMBER('Funnel setup'!P286),VLOOKUP('Funnel setup'!$P286,'Provider Commission - Raw Data'!$A:$Q,5,0),"")</f>
        <v/>
      </c>
      <c r="C273" s="175" t="str">
        <f>IF(ISNUMBER('Funnel setup'!P286),VLOOKUP('Funnel setup'!P286,'Provider Commission - Raw Data'!$A:$Q,6,0),"")</f>
        <v/>
      </c>
      <c r="D273" s="176" t="str">
        <f>IF(ISNUMBER('Funnel setup'!P286),IF(VLOOKUP('Funnel setup'!P286,'Provider Commission - Raw Data'!$A:$Q,8,0)="-","",VLOOKUP('Funnel setup'!P286,'Provider Commission - Raw Data'!$A:$Q,8,0)),"")</f>
        <v/>
      </c>
      <c r="E273" s="251" t="str">
        <f>IF(ISNUMBER('Funnel setup'!P286),IF(VLOOKUP('Funnel setup'!P286,'Provider Commission - Raw Data'!$A:$Q,16,0)="-","",VLOOKUP('Funnel setup'!P286,'Provider Commission - Raw Data'!$A:$Q,16,0)),"")</f>
        <v/>
      </c>
      <c r="F273" s="177" t="str">
        <f>IF(AND(ISNUMBER('Funnel setup'!P286)),'Funnel setup'!$K$9,"")</f>
        <v/>
      </c>
      <c r="G273" s="177" t="str">
        <f>IF(AND(ISNUMBER('Funnel setup'!P286),D273&gt;=30,E273&lt;&gt;"*",D273&lt;&gt;""),F273-1.959963985 *('Funnel setup'!$K$8/SQRT('Funnel Data'!D273)),"")</f>
        <v/>
      </c>
      <c r="H273" s="177" t="str">
        <f>IF(AND(ISNUMBER('Funnel setup'!P286),D273&gt;=30,E273&lt;&gt;"*",D273&lt;&gt;""),F273+1.959963985 *('Funnel setup'!$K$8/SQRT('Funnel Data'!D273)),"")</f>
        <v/>
      </c>
      <c r="I273" s="177" t="str">
        <f>IF(AND(ISNUMBER('Funnel setup'!P286),D273&gt;=30,E273&lt;&gt;"*",D273&lt;&gt;""),F273-3.090232306 *('Funnel setup'!$K$8/SQRT('Funnel Data'!D273)),"")</f>
        <v/>
      </c>
      <c r="J273" s="177" t="str">
        <f>IF(AND(ISNUMBER('Funnel setup'!P286),D273&gt;=30,E273&lt;&gt;"*",D273&lt;&gt;""),F273+3.090232306 *('Funnel setup'!$K$8/SQRT('Funnel Data'!D273)),"")</f>
        <v/>
      </c>
      <c r="K273" s="178" t="str">
        <f>IF(AND(ISNUMBER('Funnel setup'!P286),D273&gt;=30,E273&lt;&gt;"*",D273&lt;&gt;""),IF(E273&gt;J273,'Funnel setup'!$K$15&amp;"99.8%",IF(E273&gt;H273,'Funnel setup'!$K$15&amp;"95%",IF(E273&lt;I273,'Funnel setup'!$K$16&amp;"99.8%",IF(E273&lt;G273,'Funnel setup'!$K$16&amp;"95%","")))),"")</f>
        <v/>
      </c>
    </row>
    <row r="274" spans="2:11" ht="15" customHeight="1" x14ac:dyDescent="0.35">
      <c r="B274" s="174" t="str">
        <f>IF(ISNUMBER('Funnel setup'!P287),VLOOKUP('Funnel setup'!$P287,'Provider Commission - Raw Data'!$A:$Q,5,0),"")</f>
        <v/>
      </c>
      <c r="C274" s="175" t="str">
        <f>IF(ISNUMBER('Funnel setup'!P287),VLOOKUP('Funnel setup'!P287,'Provider Commission - Raw Data'!$A:$Q,6,0),"")</f>
        <v/>
      </c>
      <c r="D274" s="176" t="str">
        <f>IF(ISNUMBER('Funnel setup'!P287),IF(VLOOKUP('Funnel setup'!P287,'Provider Commission - Raw Data'!$A:$Q,8,0)="-","",VLOOKUP('Funnel setup'!P287,'Provider Commission - Raw Data'!$A:$Q,8,0)),"")</f>
        <v/>
      </c>
      <c r="E274" s="251" t="str">
        <f>IF(ISNUMBER('Funnel setup'!P287),IF(VLOOKUP('Funnel setup'!P287,'Provider Commission - Raw Data'!$A:$Q,16,0)="-","",VLOOKUP('Funnel setup'!P287,'Provider Commission - Raw Data'!$A:$Q,16,0)),"")</f>
        <v/>
      </c>
      <c r="F274" s="177" t="str">
        <f>IF(AND(ISNUMBER('Funnel setup'!P287)),'Funnel setup'!$K$9,"")</f>
        <v/>
      </c>
      <c r="G274" s="177" t="str">
        <f>IF(AND(ISNUMBER('Funnel setup'!P287),D274&gt;=30,E274&lt;&gt;"*",D274&lt;&gt;""),F274-1.959963985 *('Funnel setup'!$K$8/SQRT('Funnel Data'!D274)),"")</f>
        <v/>
      </c>
      <c r="H274" s="177" t="str">
        <f>IF(AND(ISNUMBER('Funnel setup'!P287),D274&gt;=30,E274&lt;&gt;"*",D274&lt;&gt;""),F274+1.959963985 *('Funnel setup'!$K$8/SQRT('Funnel Data'!D274)),"")</f>
        <v/>
      </c>
      <c r="I274" s="177" t="str">
        <f>IF(AND(ISNUMBER('Funnel setup'!P287),D274&gt;=30,E274&lt;&gt;"*",D274&lt;&gt;""),F274-3.090232306 *('Funnel setup'!$K$8/SQRT('Funnel Data'!D274)),"")</f>
        <v/>
      </c>
      <c r="J274" s="177" t="str">
        <f>IF(AND(ISNUMBER('Funnel setup'!P287),D274&gt;=30,E274&lt;&gt;"*",D274&lt;&gt;""),F274+3.090232306 *('Funnel setup'!$K$8/SQRT('Funnel Data'!D274)),"")</f>
        <v/>
      </c>
      <c r="K274" s="178" t="str">
        <f>IF(AND(ISNUMBER('Funnel setup'!P287),D274&gt;=30,E274&lt;&gt;"*",D274&lt;&gt;""),IF(E274&gt;J274,'Funnel setup'!$K$15&amp;"99.8%",IF(E274&gt;H274,'Funnel setup'!$K$15&amp;"95%",IF(E274&lt;I274,'Funnel setup'!$K$16&amp;"99.8%",IF(E274&lt;G274,'Funnel setup'!$K$16&amp;"95%","")))),"")</f>
        <v/>
      </c>
    </row>
    <row r="275" spans="2:11" ht="15" customHeight="1" x14ac:dyDescent="0.35">
      <c r="B275" s="174" t="str">
        <f>IF(ISNUMBER('Funnel setup'!P288),VLOOKUP('Funnel setup'!$P288,'Provider Commission - Raw Data'!$A:$Q,5,0),"")</f>
        <v/>
      </c>
      <c r="C275" s="175" t="str">
        <f>IF(ISNUMBER('Funnel setup'!P288),VLOOKUP('Funnel setup'!P288,'Provider Commission - Raw Data'!$A:$Q,6,0),"")</f>
        <v/>
      </c>
      <c r="D275" s="176" t="str">
        <f>IF(ISNUMBER('Funnel setup'!P288),IF(VLOOKUP('Funnel setup'!P288,'Provider Commission - Raw Data'!$A:$Q,8,0)="-","",VLOOKUP('Funnel setup'!P288,'Provider Commission - Raw Data'!$A:$Q,8,0)),"")</f>
        <v/>
      </c>
      <c r="E275" s="251" t="str">
        <f>IF(ISNUMBER('Funnel setup'!P288),IF(VLOOKUP('Funnel setup'!P288,'Provider Commission - Raw Data'!$A:$Q,16,0)="-","",VLOOKUP('Funnel setup'!P288,'Provider Commission - Raw Data'!$A:$Q,16,0)),"")</f>
        <v/>
      </c>
      <c r="F275" s="177" t="str">
        <f>IF(AND(ISNUMBER('Funnel setup'!P288)),'Funnel setup'!$K$9,"")</f>
        <v/>
      </c>
      <c r="G275" s="177" t="str">
        <f>IF(AND(ISNUMBER('Funnel setup'!P288),D275&gt;=30,E275&lt;&gt;"*",D275&lt;&gt;""),F275-1.959963985 *('Funnel setup'!$K$8/SQRT('Funnel Data'!D275)),"")</f>
        <v/>
      </c>
      <c r="H275" s="177" t="str">
        <f>IF(AND(ISNUMBER('Funnel setup'!P288),D275&gt;=30,E275&lt;&gt;"*",D275&lt;&gt;""),F275+1.959963985 *('Funnel setup'!$K$8/SQRT('Funnel Data'!D275)),"")</f>
        <v/>
      </c>
      <c r="I275" s="177" t="str">
        <f>IF(AND(ISNUMBER('Funnel setup'!P288),D275&gt;=30,E275&lt;&gt;"*",D275&lt;&gt;""),F275-3.090232306 *('Funnel setup'!$K$8/SQRT('Funnel Data'!D275)),"")</f>
        <v/>
      </c>
      <c r="J275" s="177" t="str">
        <f>IF(AND(ISNUMBER('Funnel setup'!P288),D275&gt;=30,E275&lt;&gt;"*",D275&lt;&gt;""),F275+3.090232306 *('Funnel setup'!$K$8/SQRT('Funnel Data'!D275)),"")</f>
        <v/>
      </c>
      <c r="K275" s="178" t="str">
        <f>IF(AND(ISNUMBER('Funnel setup'!P288),D275&gt;=30,E275&lt;&gt;"*",D275&lt;&gt;""),IF(E275&gt;J275,'Funnel setup'!$K$15&amp;"99.8%",IF(E275&gt;H275,'Funnel setup'!$K$15&amp;"95%",IF(E275&lt;I275,'Funnel setup'!$K$16&amp;"99.8%",IF(E275&lt;G275,'Funnel setup'!$K$16&amp;"95%","")))),"")</f>
        <v/>
      </c>
    </row>
    <row r="276" spans="2:11" ht="15" customHeight="1" x14ac:dyDescent="0.35">
      <c r="B276" s="174" t="str">
        <f>IF(ISNUMBER('Funnel setup'!P289),VLOOKUP('Funnel setup'!$P289,'Provider Commission - Raw Data'!$A:$Q,5,0),"")</f>
        <v/>
      </c>
      <c r="C276" s="175" t="str">
        <f>IF(ISNUMBER('Funnel setup'!P289),VLOOKUP('Funnel setup'!P289,'Provider Commission - Raw Data'!$A:$Q,6,0),"")</f>
        <v/>
      </c>
      <c r="D276" s="176" t="str">
        <f>IF(ISNUMBER('Funnel setup'!P289),IF(VLOOKUP('Funnel setup'!P289,'Provider Commission - Raw Data'!$A:$Q,8,0)="-","",VLOOKUP('Funnel setup'!P289,'Provider Commission - Raw Data'!$A:$Q,8,0)),"")</f>
        <v/>
      </c>
      <c r="E276" s="251" t="str">
        <f>IF(ISNUMBER('Funnel setup'!P289),IF(VLOOKUP('Funnel setup'!P289,'Provider Commission - Raw Data'!$A:$Q,16,0)="-","",VLOOKUP('Funnel setup'!P289,'Provider Commission - Raw Data'!$A:$Q,16,0)),"")</f>
        <v/>
      </c>
      <c r="F276" s="177" t="str">
        <f>IF(AND(ISNUMBER('Funnel setup'!P289)),'Funnel setup'!$K$9,"")</f>
        <v/>
      </c>
      <c r="G276" s="177" t="str">
        <f>IF(AND(ISNUMBER('Funnel setup'!P289),D276&gt;=30,E276&lt;&gt;"*",D276&lt;&gt;""),F276-1.959963985 *('Funnel setup'!$K$8/SQRT('Funnel Data'!D276)),"")</f>
        <v/>
      </c>
      <c r="H276" s="177" t="str">
        <f>IF(AND(ISNUMBER('Funnel setup'!P289),D276&gt;=30,E276&lt;&gt;"*",D276&lt;&gt;""),F276+1.959963985 *('Funnel setup'!$K$8/SQRT('Funnel Data'!D276)),"")</f>
        <v/>
      </c>
      <c r="I276" s="177" t="str">
        <f>IF(AND(ISNUMBER('Funnel setup'!P289),D276&gt;=30,E276&lt;&gt;"*",D276&lt;&gt;""),F276-3.090232306 *('Funnel setup'!$K$8/SQRT('Funnel Data'!D276)),"")</f>
        <v/>
      </c>
      <c r="J276" s="177" t="str">
        <f>IF(AND(ISNUMBER('Funnel setup'!P289),D276&gt;=30,E276&lt;&gt;"*",D276&lt;&gt;""),F276+3.090232306 *('Funnel setup'!$K$8/SQRT('Funnel Data'!D276)),"")</f>
        <v/>
      </c>
      <c r="K276" s="178" t="str">
        <f>IF(AND(ISNUMBER('Funnel setup'!P289),D276&gt;=30,E276&lt;&gt;"*",D276&lt;&gt;""),IF(E276&gt;J276,'Funnel setup'!$K$15&amp;"99.8%",IF(E276&gt;H276,'Funnel setup'!$K$15&amp;"95%",IF(E276&lt;I276,'Funnel setup'!$K$16&amp;"99.8%",IF(E276&lt;G276,'Funnel setup'!$K$16&amp;"95%","")))),"")</f>
        <v/>
      </c>
    </row>
    <row r="277" spans="2:11" ht="15" customHeight="1" x14ac:dyDescent="0.35">
      <c r="B277" s="174" t="str">
        <f>IF(ISNUMBER('Funnel setup'!P290),VLOOKUP('Funnel setup'!$P290,'Provider Commission - Raw Data'!$A:$Q,5,0),"")</f>
        <v/>
      </c>
      <c r="C277" s="175" t="str">
        <f>IF(ISNUMBER('Funnel setup'!P290),VLOOKUP('Funnel setup'!P290,'Provider Commission - Raw Data'!$A:$Q,6,0),"")</f>
        <v/>
      </c>
      <c r="D277" s="176" t="str">
        <f>IF(ISNUMBER('Funnel setup'!P290),IF(VLOOKUP('Funnel setup'!P290,'Provider Commission - Raw Data'!$A:$Q,8,0)="-","",VLOOKUP('Funnel setup'!P290,'Provider Commission - Raw Data'!$A:$Q,8,0)),"")</f>
        <v/>
      </c>
      <c r="E277" s="251" t="str">
        <f>IF(ISNUMBER('Funnel setup'!P290),IF(VLOOKUP('Funnel setup'!P290,'Provider Commission - Raw Data'!$A:$Q,16,0)="-","",VLOOKUP('Funnel setup'!P290,'Provider Commission - Raw Data'!$A:$Q,16,0)),"")</f>
        <v/>
      </c>
      <c r="F277" s="177" t="str">
        <f>IF(AND(ISNUMBER('Funnel setup'!P290)),'Funnel setup'!$K$9,"")</f>
        <v/>
      </c>
      <c r="G277" s="177" t="str">
        <f>IF(AND(ISNUMBER('Funnel setup'!P290),D277&gt;=30,E277&lt;&gt;"*",D277&lt;&gt;""),F277-1.959963985 *('Funnel setup'!$K$8/SQRT('Funnel Data'!D277)),"")</f>
        <v/>
      </c>
      <c r="H277" s="177" t="str">
        <f>IF(AND(ISNUMBER('Funnel setup'!P290),D277&gt;=30,E277&lt;&gt;"*",D277&lt;&gt;""),F277+1.959963985 *('Funnel setup'!$K$8/SQRT('Funnel Data'!D277)),"")</f>
        <v/>
      </c>
      <c r="I277" s="177" t="str">
        <f>IF(AND(ISNUMBER('Funnel setup'!P290),D277&gt;=30,E277&lt;&gt;"*",D277&lt;&gt;""),F277-3.090232306 *('Funnel setup'!$K$8/SQRT('Funnel Data'!D277)),"")</f>
        <v/>
      </c>
      <c r="J277" s="177" t="str">
        <f>IF(AND(ISNUMBER('Funnel setup'!P290),D277&gt;=30,E277&lt;&gt;"*",D277&lt;&gt;""),F277+3.090232306 *('Funnel setup'!$K$8/SQRT('Funnel Data'!D277)),"")</f>
        <v/>
      </c>
      <c r="K277" s="178" t="str">
        <f>IF(AND(ISNUMBER('Funnel setup'!P290),D277&gt;=30,E277&lt;&gt;"*",D277&lt;&gt;""),IF(E277&gt;J277,'Funnel setup'!$K$15&amp;"99.8%",IF(E277&gt;H277,'Funnel setup'!$K$15&amp;"95%",IF(E277&lt;I277,'Funnel setup'!$K$16&amp;"99.8%",IF(E277&lt;G277,'Funnel setup'!$K$16&amp;"95%","")))),"")</f>
        <v/>
      </c>
    </row>
    <row r="278" spans="2:11" ht="15" customHeight="1" x14ac:dyDescent="0.35">
      <c r="B278" s="174" t="str">
        <f>IF(ISNUMBER('Funnel setup'!P291),VLOOKUP('Funnel setup'!$P291,'Provider Commission - Raw Data'!$A:$Q,5,0),"")</f>
        <v/>
      </c>
      <c r="C278" s="175" t="str">
        <f>IF(ISNUMBER('Funnel setup'!P291),VLOOKUP('Funnel setup'!P291,'Provider Commission - Raw Data'!$A:$Q,6,0),"")</f>
        <v/>
      </c>
      <c r="D278" s="176" t="str">
        <f>IF(ISNUMBER('Funnel setup'!P291),IF(VLOOKUP('Funnel setup'!P291,'Provider Commission - Raw Data'!$A:$Q,8,0)="-","",VLOOKUP('Funnel setup'!P291,'Provider Commission - Raw Data'!$A:$Q,8,0)),"")</f>
        <v/>
      </c>
      <c r="E278" s="251" t="str">
        <f>IF(ISNUMBER('Funnel setup'!P291),IF(VLOOKUP('Funnel setup'!P291,'Provider Commission - Raw Data'!$A:$Q,16,0)="-","",VLOOKUP('Funnel setup'!P291,'Provider Commission - Raw Data'!$A:$Q,16,0)),"")</f>
        <v/>
      </c>
      <c r="F278" s="177" t="str">
        <f>IF(AND(ISNUMBER('Funnel setup'!P291)),'Funnel setup'!$K$9,"")</f>
        <v/>
      </c>
      <c r="G278" s="177" t="str">
        <f>IF(AND(ISNUMBER('Funnel setup'!P291),D278&gt;=30,E278&lt;&gt;"*",D278&lt;&gt;""),F278-1.959963985 *('Funnel setup'!$K$8/SQRT('Funnel Data'!D278)),"")</f>
        <v/>
      </c>
      <c r="H278" s="177" t="str">
        <f>IF(AND(ISNUMBER('Funnel setup'!P291),D278&gt;=30,E278&lt;&gt;"*",D278&lt;&gt;""),F278+1.959963985 *('Funnel setup'!$K$8/SQRT('Funnel Data'!D278)),"")</f>
        <v/>
      </c>
      <c r="I278" s="177" t="str">
        <f>IF(AND(ISNUMBER('Funnel setup'!P291),D278&gt;=30,E278&lt;&gt;"*",D278&lt;&gt;""),F278-3.090232306 *('Funnel setup'!$K$8/SQRT('Funnel Data'!D278)),"")</f>
        <v/>
      </c>
      <c r="J278" s="177" t="str">
        <f>IF(AND(ISNUMBER('Funnel setup'!P291),D278&gt;=30,E278&lt;&gt;"*",D278&lt;&gt;""),F278+3.090232306 *('Funnel setup'!$K$8/SQRT('Funnel Data'!D278)),"")</f>
        <v/>
      </c>
      <c r="K278" s="178" t="str">
        <f>IF(AND(ISNUMBER('Funnel setup'!P291),D278&gt;=30,E278&lt;&gt;"*",D278&lt;&gt;""),IF(E278&gt;J278,'Funnel setup'!$K$15&amp;"99.8%",IF(E278&gt;H278,'Funnel setup'!$K$15&amp;"95%",IF(E278&lt;I278,'Funnel setup'!$K$16&amp;"99.8%",IF(E278&lt;G278,'Funnel setup'!$K$16&amp;"95%","")))),"")</f>
        <v/>
      </c>
    </row>
    <row r="279" spans="2:11" ht="15" customHeight="1" x14ac:dyDescent="0.35">
      <c r="B279" s="174" t="str">
        <f>IF(ISNUMBER('Funnel setup'!P292),VLOOKUP('Funnel setup'!$P292,'Provider Commission - Raw Data'!$A:$Q,5,0),"")</f>
        <v/>
      </c>
      <c r="C279" s="175" t="str">
        <f>IF(ISNUMBER('Funnel setup'!P292),VLOOKUP('Funnel setup'!P292,'Provider Commission - Raw Data'!$A:$Q,6,0),"")</f>
        <v/>
      </c>
      <c r="D279" s="176" t="str">
        <f>IF(ISNUMBER('Funnel setup'!P292),IF(VLOOKUP('Funnel setup'!P292,'Provider Commission - Raw Data'!$A:$Q,8,0)="-","",VLOOKUP('Funnel setup'!P292,'Provider Commission - Raw Data'!$A:$Q,8,0)),"")</f>
        <v/>
      </c>
      <c r="E279" s="251" t="str">
        <f>IF(ISNUMBER('Funnel setup'!P292),IF(VLOOKUP('Funnel setup'!P292,'Provider Commission - Raw Data'!$A:$Q,16,0)="-","",VLOOKUP('Funnel setup'!P292,'Provider Commission - Raw Data'!$A:$Q,16,0)),"")</f>
        <v/>
      </c>
      <c r="F279" s="177" t="str">
        <f>IF(AND(ISNUMBER('Funnel setup'!P292)),'Funnel setup'!$K$9,"")</f>
        <v/>
      </c>
      <c r="G279" s="177" t="str">
        <f>IF(AND(ISNUMBER('Funnel setup'!P292),D279&gt;=30,E279&lt;&gt;"*",D279&lt;&gt;""),F279-1.959963985 *('Funnel setup'!$K$8/SQRT('Funnel Data'!D279)),"")</f>
        <v/>
      </c>
      <c r="H279" s="177" t="str">
        <f>IF(AND(ISNUMBER('Funnel setup'!P292),D279&gt;=30,E279&lt;&gt;"*",D279&lt;&gt;""),F279+1.959963985 *('Funnel setup'!$K$8/SQRT('Funnel Data'!D279)),"")</f>
        <v/>
      </c>
      <c r="I279" s="177" t="str">
        <f>IF(AND(ISNUMBER('Funnel setup'!P292),D279&gt;=30,E279&lt;&gt;"*",D279&lt;&gt;""),F279-3.090232306 *('Funnel setup'!$K$8/SQRT('Funnel Data'!D279)),"")</f>
        <v/>
      </c>
      <c r="J279" s="177" t="str">
        <f>IF(AND(ISNUMBER('Funnel setup'!P292),D279&gt;=30,E279&lt;&gt;"*",D279&lt;&gt;""),F279+3.090232306 *('Funnel setup'!$K$8/SQRT('Funnel Data'!D279)),"")</f>
        <v/>
      </c>
      <c r="K279" s="178" t="str">
        <f>IF(AND(ISNUMBER('Funnel setup'!P292),D279&gt;=30,E279&lt;&gt;"*",D279&lt;&gt;""),IF(E279&gt;J279,'Funnel setup'!$K$15&amp;"99.8%",IF(E279&gt;H279,'Funnel setup'!$K$15&amp;"95%",IF(E279&lt;I279,'Funnel setup'!$K$16&amp;"99.8%",IF(E279&lt;G279,'Funnel setup'!$K$16&amp;"95%","")))),"")</f>
        <v/>
      </c>
    </row>
    <row r="280" spans="2:11" ht="15" customHeight="1" x14ac:dyDescent="0.35">
      <c r="B280" s="174" t="str">
        <f>IF(ISNUMBER('Funnel setup'!P293),VLOOKUP('Funnel setup'!$P293,'Provider Commission - Raw Data'!$A:$Q,5,0),"")</f>
        <v/>
      </c>
      <c r="C280" s="175" t="str">
        <f>IF(ISNUMBER('Funnel setup'!P293),VLOOKUP('Funnel setup'!P293,'Provider Commission - Raw Data'!$A:$Q,6,0),"")</f>
        <v/>
      </c>
      <c r="D280" s="176" t="str">
        <f>IF(ISNUMBER('Funnel setup'!P293),IF(VLOOKUP('Funnel setup'!P293,'Provider Commission - Raw Data'!$A:$Q,8,0)="-","",VLOOKUP('Funnel setup'!P293,'Provider Commission - Raw Data'!$A:$Q,8,0)),"")</f>
        <v/>
      </c>
      <c r="E280" s="251" t="str">
        <f>IF(ISNUMBER('Funnel setup'!P293),IF(VLOOKUP('Funnel setup'!P293,'Provider Commission - Raw Data'!$A:$Q,16,0)="-","",VLOOKUP('Funnel setup'!P293,'Provider Commission - Raw Data'!$A:$Q,16,0)),"")</f>
        <v/>
      </c>
      <c r="F280" s="177" t="str">
        <f>IF(AND(ISNUMBER('Funnel setup'!P293)),'Funnel setup'!$K$9,"")</f>
        <v/>
      </c>
      <c r="G280" s="177" t="str">
        <f>IF(AND(ISNUMBER('Funnel setup'!P293),D280&gt;=30,E280&lt;&gt;"*",D280&lt;&gt;""),F280-1.959963985 *('Funnel setup'!$K$8/SQRT('Funnel Data'!D280)),"")</f>
        <v/>
      </c>
      <c r="H280" s="177" t="str">
        <f>IF(AND(ISNUMBER('Funnel setup'!P293),D280&gt;=30,E280&lt;&gt;"*",D280&lt;&gt;""),F280+1.959963985 *('Funnel setup'!$K$8/SQRT('Funnel Data'!D280)),"")</f>
        <v/>
      </c>
      <c r="I280" s="177" t="str">
        <f>IF(AND(ISNUMBER('Funnel setup'!P293),D280&gt;=30,E280&lt;&gt;"*",D280&lt;&gt;""),F280-3.090232306 *('Funnel setup'!$K$8/SQRT('Funnel Data'!D280)),"")</f>
        <v/>
      </c>
      <c r="J280" s="177" t="str">
        <f>IF(AND(ISNUMBER('Funnel setup'!P293),D280&gt;=30,E280&lt;&gt;"*",D280&lt;&gt;""),F280+3.090232306 *('Funnel setup'!$K$8/SQRT('Funnel Data'!D280)),"")</f>
        <v/>
      </c>
      <c r="K280" s="178" t="str">
        <f>IF(AND(ISNUMBER('Funnel setup'!P293),D280&gt;=30,E280&lt;&gt;"*",D280&lt;&gt;""),IF(E280&gt;J280,'Funnel setup'!$K$15&amp;"99.8%",IF(E280&gt;H280,'Funnel setup'!$K$15&amp;"95%",IF(E280&lt;I280,'Funnel setup'!$K$16&amp;"99.8%",IF(E280&lt;G280,'Funnel setup'!$K$16&amp;"95%","")))),"")</f>
        <v/>
      </c>
    </row>
    <row r="281" spans="2:11" ht="15" customHeight="1" x14ac:dyDescent="0.35">
      <c r="B281" s="174" t="str">
        <f>IF(ISNUMBER('Funnel setup'!P294),VLOOKUP('Funnel setup'!$P294,'Provider Commission - Raw Data'!$A:$Q,5,0),"")</f>
        <v/>
      </c>
      <c r="C281" s="175" t="str">
        <f>IF(ISNUMBER('Funnel setup'!P294),VLOOKUP('Funnel setup'!P294,'Provider Commission - Raw Data'!$A:$Q,6,0),"")</f>
        <v/>
      </c>
      <c r="D281" s="176" t="str">
        <f>IF(ISNUMBER('Funnel setup'!P294),IF(VLOOKUP('Funnel setup'!P294,'Provider Commission - Raw Data'!$A:$Q,8,0)="-","",VLOOKUP('Funnel setup'!P294,'Provider Commission - Raw Data'!$A:$Q,8,0)),"")</f>
        <v/>
      </c>
      <c r="E281" s="251" t="str">
        <f>IF(ISNUMBER('Funnel setup'!P294),IF(VLOOKUP('Funnel setup'!P294,'Provider Commission - Raw Data'!$A:$Q,16,0)="-","",VLOOKUP('Funnel setup'!P294,'Provider Commission - Raw Data'!$A:$Q,16,0)),"")</f>
        <v/>
      </c>
      <c r="F281" s="177" t="str">
        <f>IF(AND(ISNUMBER('Funnel setup'!P294)),'Funnel setup'!$K$9,"")</f>
        <v/>
      </c>
      <c r="G281" s="177" t="str">
        <f>IF(AND(ISNUMBER('Funnel setup'!P294),D281&gt;=30,E281&lt;&gt;"*",D281&lt;&gt;""),F281-1.959963985 *('Funnel setup'!$K$8/SQRT('Funnel Data'!D281)),"")</f>
        <v/>
      </c>
      <c r="H281" s="177" t="str">
        <f>IF(AND(ISNUMBER('Funnel setup'!P294),D281&gt;=30,E281&lt;&gt;"*",D281&lt;&gt;""),F281+1.959963985 *('Funnel setup'!$K$8/SQRT('Funnel Data'!D281)),"")</f>
        <v/>
      </c>
      <c r="I281" s="177" t="str">
        <f>IF(AND(ISNUMBER('Funnel setup'!P294),D281&gt;=30,E281&lt;&gt;"*",D281&lt;&gt;""),F281-3.090232306 *('Funnel setup'!$K$8/SQRT('Funnel Data'!D281)),"")</f>
        <v/>
      </c>
      <c r="J281" s="177" t="str">
        <f>IF(AND(ISNUMBER('Funnel setup'!P294),D281&gt;=30,E281&lt;&gt;"*",D281&lt;&gt;""),F281+3.090232306 *('Funnel setup'!$K$8/SQRT('Funnel Data'!D281)),"")</f>
        <v/>
      </c>
      <c r="K281" s="178" t="str">
        <f>IF(AND(ISNUMBER('Funnel setup'!P294),D281&gt;=30,E281&lt;&gt;"*",D281&lt;&gt;""),IF(E281&gt;J281,'Funnel setup'!$K$15&amp;"99.8%",IF(E281&gt;H281,'Funnel setup'!$K$15&amp;"95%",IF(E281&lt;I281,'Funnel setup'!$K$16&amp;"99.8%",IF(E281&lt;G281,'Funnel setup'!$K$16&amp;"95%","")))),"")</f>
        <v/>
      </c>
    </row>
    <row r="282" spans="2:11" ht="15" customHeight="1" x14ac:dyDescent="0.35">
      <c r="B282" s="174" t="str">
        <f>IF(ISNUMBER('Funnel setup'!P295),VLOOKUP('Funnel setup'!$P295,'Provider Commission - Raw Data'!$A:$Q,5,0),"")</f>
        <v/>
      </c>
      <c r="C282" s="175" t="str">
        <f>IF(ISNUMBER('Funnel setup'!P295),VLOOKUP('Funnel setup'!P295,'Provider Commission - Raw Data'!$A:$Q,6,0),"")</f>
        <v/>
      </c>
      <c r="D282" s="176" t="str">
        <f>IF(ISNUMBER('Funnel setup'!P295),IF(VLOOKUP('Funnel setup'!P295,'Provider Commission - Raw Data'!$A:$Q,8,0)="-","",VLOOKUP('Funnel setup'!P295,'Provider Commission - Raw Data'!$A:$Q,8,0)),"")</f>
        <v/>
      </c>
      <c r="E282" s="251" t="str">
        <f>IF(ISNUMBER('Funnel setup'!P295),IF(VLOOKUP('Funnel setup'!P295,'Provider Commission - Raw Data'!$A:$Q,16,0)="-","",VLOOKUP('Funnel setup'!P295,'Provider Commission - Raw Data'!$A:$Q,16,0)),"")</f>
        <v/>
      </c>
      <c r="F282" s="177" t="str">
        <f>IF(AND(ISNUMBER('Funnel setup'!P295)),'Funnel setup'!$K$9,"")</f>
        <v/>
      </c>
      <c r="G282" s="177" t="str">
        <f>IF(AND(ISNUMBER('Funnel setup'!P295),D282&gt;=30,E282&lt;&gt;"*",D282&lt;&gt;""),F282-1.959963985 *('Funnel setup'!$K$8/SQRT('Funnel Data'!D282)),"")</f>
        <v/>
      </c>
      <c r="H282" s="177" t="str">
        <f>IF(AND(ISNUMBER('Funnel setup'!P295),D282&gt;=30,E282&lt;&gt;"*",D282&lt;&gt;""),F282+1.959963985 *('Funnel setup'!$K$8/SQRT('Funnel Data'!D282)),"")</f>
        <v/>
      </c>
      <c r="I282" s="177" t="str">
        <f>IF(AND(ISNUMBER('Funnel setup'!P295),D282&gt;=30,E282&lt;&gt;"*",D282&lt;&gt;""),F282-3.090232306 *('Funnel setup'!$K$8/SQRT('Funnel Data'!D282)),"")</f>
        <v/>
      </c>
      <c r="J282" s="177" t="str">
        <f>IF(AND(ISNUMBER('Funnel setup'!P295),D282&gt;=30,E282&lt;&gt;"*",D282&lt;&gt;""),F282+3.090232306 *('Funnel setup'!$K$8/SQRT('Funnel Data'!D282)),"")</f>
        <v/>
      </c>
      <c r="K282" s="178" t="str">
        <f>IF(AND(ISNUMBER('Funnel setup'!P295),D282&gt;=30,E282&lt;&gt;"*",D282&lt;&gt;""),IF(E282&gt;J282,'Funnel setup'!$K$15&amp;"99.8%",IF(E282&gt;H282,'Funnel setup'!$K$15&amp;"95%",IF(E282&lt;I282,'Funnel setup'!$K$16&amp;"99.8%",IF(E282&lt;G282,'Funnel setup'!$K$16&amp;"95%","")))),"")</f>
        <v/>
      </c>
    </row>
    <row r="283" spans="2:11" ht="15" customHeight="1" x14ac:dyDescent="0.35">
      <c r="B283" s="174" t="str">
        <f>IF(ISNUMBER('Funnel setup'!P296),VLOOKUP('Funnel setup'!$P296,'Provider Commission - Raw Data'!$A:$Q,5,0),"")</f>
        <v/>
      </c>
      <c r="C283" s="175" t="str">
        <f>IF(ISNUMBER('Funnel setup'!P296),VLOOKUP('Funnel setup'!P296,'Provider Commission - Raw Data'!$A:$Q,6,0),"")</f>
        <v/>
      </c>
      <c r="D283" s="176" t="str">
        <f>IF(ISNUMBER('Funnel setup'!P296),IF(VLOOKUP('Funnel setup'!P296,'Provider Commission - Raw Data'!$A:$Q,8,0)="-","",VLOOKUP('Funnel setup'!P296,'Provider Commission - Raw Data'!$A:$Q,8,0)),"")</f>
        <v/>
      </c>
      <c r="E283" s="251" t="str">
        <f>IF(ISNUMBER('Funnel setup'!P296),IF(VLOOKUP('Funnel setup'!P296,'Provider Commission - Raw Data'!$A:$Q,16,0)="-","",VLOOKUP('Funnel setup'!P296,'Provider Commission - Raw Data'!$A:$Q,16,0)),"")</f>
        <v/>
      </c>
      <c r="F283" s="177" t="str">
        <f>IF(AND(ISNUMBER('Funnel setup'!P296)),'Funnel setup'!$K$9,"")</f>
        <v/>
      </c>
      <c r="G283" s="177" t="str">
        <f>IF(AND(ISNUMBER('Funnel setup'!P296),D283&gt;=30,E283&lt;&gt;"*",D283&lt;&gt;""),F283-1.959963985 *('Funnel setup'!$K$8/SQRT('Funnel Data'!D283)),"")</f>
        <v/>
      </c>
      <c r="H283" s="177" t="str">
        <f>IF(AND(ISNUMBER('Funnel setup'!P296),D283&gt;=30,E283&lt;&gt;"*",D283&lt;&gt;""),F283+1.959963985 *('Funnel setup'!$K$8/SQRT('Funnel Data'!D283)),"")</f>
        <v/>
      </c>
      <c r="I283" s="177" t="str">
        <f>IF(AND(ISNUMBER('Funnel setup'!P296),D283&gt;=30,E283&lt;&gt;"*",D283&lt;&gt;""),F283-3.090232306 *('Funnel setup'!$K$8/SQRT('Funnel Data'!D283)),"")</f>
        <v/>
      </c>
      <c r="J283" s="177" t="str">
        <f>IF(AND(ISNUMBER('Funnel setup'!P296),D283&gt;=30,E283&lt;&gt;"*",D283&lt;&gt;""),F283+3.090232306 *('Funnel setup'!$K$8/SQRT('Funnel Data'!D283)),"")</f>
        <v/>
      </c>
      <c r="K283" s="178" t="str">
        <f>IF(AND(ISNUMBER('Funnel setup'!P296),D283&gt;=30,E283&lt;&gt;"*",D283&lt;&gt;""),IF(E283&gt;J283,'Funnel setup'!$K$15&amp;"99.8%",IF(E283&gt;H283,'Funnel setup'!$K$15&amp;"95%",IF(E283&lt;I283,'Funnel setup'!$K$16&amp;"99.8%",IF(E283&lt;G283,'Funnel setup'!$K$16&amp;"95%","")))),"")</f>
        <v/>
      </c>
    </row>
    <row r="284" spans="2:11" ht="15" customHeight="1" x14ac:dyDescent="0.35">
      <c r="B284" s="174" t="str">
        <f>IF(ISNUMBER('Funnel setup'!P297),VLOOKUP('Funnel setup'!$P297,'Provider Commission - Raw Data'!$A:$Q,5,0),"")</f>
        <v/>
      </c>
      <c r="C284" s="175" t="str">
        <f>IF(ISNUMBER('Funnel setup'!P297),VLOOKUP('Funnel setup'!P297,'Provider Commission - Raw Data'!$A:$Q,6,0),"")</f>
        <v/>
      </c>
      <c r="D284" s="176" t="str">
        <f>IF(ISNUMBER('Funnel setup'!P297),IF(VLOOKUP('Funnel setup'!P297,'Provider Commission - Raw Data'!$A:$Q,8,0)="-","",VLOOKUP('Funnel setup'!P297,'Provider Commission - Raw Data'!$A:$Q,8,0)),"")</f>
        <v/>
      </c>
      <c r="E284" s="251" t="str">
        <f>IF(ISNUMBER('Funnel setup'!P297),IF(VLOOKUP('Funnel setup'!P297,'Provider Commission - Raw Data'!$A:$Q,16,0)="-","",VLOOKUP('Funnel setup'!P297,'Provider Commission - Raw Data'!$A:$Q,16,0)),"")</f>
        <v/>
      </c>
      <c r="F284" s="177" t="str">
        <f>IF(AND(ISNUMBER('Funnel setup'!P297)),'Funnel setup'!$K$9,"")</f>
        <v/>
      </c>
      <c r="G284" s="177" t="str">
        <f>IF(AND(ISNUMBER('Funnel setup'!P297),D284&gt;=30,E284&lt;&gt;"*",D284&lt;&gt;""),F284-1.959963985 *('Funnel setup'!$K$8/SQRT('Funnel Data'!D284)),"")</f>
        <v/>
      </c>
      <c r="H284" s="177" t="str">
        <f>IF(AND(ISNUMBER('Funnel setup'!P297),D284&gt;=30,E284&lt;&gt;"*",D284&lt;&gt;""),F284+1.959963985 *('Funnel setup'!$K$8/SQRT('Funnel Data'!D284)),"")</f>
        <v/>
      </c>
      <c r="I284" s="177" t="str">
        <f>IF(AND(ISNUMBER('Funnel setup'!P297),D284&gt;=30,E284&lt;&gt;"*",D284&lt;&gt;""),F284-3.090232306 *('Funnel setup'!$K$8/SQRT('Funnel Data'!D284)),"")</f>
        <v/>
      </c>
      <c r="J284" s="177" t="str">
        <f>IF(AND(ISNUMBER('Funnel setup'!P297),D284&gt;=30,E284&lt;&gt;"*",D284&lt;&gt;""),F284+3.090232306 *('Funnel setup'!$K$8/SQRT('Funnel Data'!D284)),"")</f>
        <v/>
      </c>
      <c r="K284" s="178" t="str">
        <f>IF(AND(ISNUMBER('Funnel setup'!P297),D284&gt;=30,E284&lt;&gt;"*",D284&lt;&gt;""),IF(E284&gt;J284,'Funnel setup'!$K$15&amp;"99.8%",IF(E284&gt;H284,'Funnel setup'!$K$15&amp;"95%",IF(E284&lt;I284,'Funnel setup'!$K$16&amp;"99.8%",IF(E284&lt;G284,'Funnel setup'!$K$16&amp;"95%","")))),"")</f>
        <v/>
      </c>
    </row>
    <row r="285" spans="2:11" ht="15" customHeight="1" x14ac:dyDescent="0.35">
      <c r="B285" s="174" t="str">
        <f>IF(ISNUMBER('Funnel setup'!P298),VLOOKUP('Funnel setup'!$P298,'Provider Commission - Raw Data'!$A:$Q,5,0),"")</f>
        <v/>
      </c>
      <c r="C285" s="175" t="str">
        <f>IF(ISNUMBER('Funnel setup'!P298),VLOOKUP('Funnel setup'!P298,'Provider Commission - Raw Data'!$A:$Q,6,0),"")</f>
        <v/>
      </c>
      <c r="D285" s="176" t="str">
        <f>IF(ISNUMBER('Funnel setup'!P298),IF(VLOOKUP('Funnel setup'!P298,'Provider Commission - Raw Data'!$A:$Q,8,0)="-","",VLOOKUP('Funnel setup'!P298,'Provider Commission - Raw Data'!$A:$Q,8,0)),"")</f>
        <v/>
      </c>
      <c r="E285" s="251" t="str">
        <f>IF(ISNUMBER('Funnel setup'!P298),IF(VLOOKUP('Funnel setup'!P298,'Provider Commission - Raw Data'!$A:$Q,16,0)="-","",VLOOKUP('Funnel setup'!P298,'Provider Commission - Raw Data'!$A:$Q,16,0)),"")</f>
        <v/>
      </c>
      <c r="F285" s="177" t="str">
        <f>IF(AND(ISNUMBER('Funnel setup'!P298)),'Funnel setup'!$K$9,"")</f>
        <v/>
      </c>
      <c r="G285" s="177" t="str">
        <f>IF(AND(ISNUMBER('Funnel setup'!P298),D285&gt;=30,E285&lt;&gt;"*",D285&lt;&gt;""),F285-1.959963985 *('Funnel setup'!$K$8/SQRT('Funnel Data'!D285)),"")</f>
        <v/>
      </c>
      <c r="H285" s="177" t="str">
        <f>IF(AND(ISNUMBER('Funnel setup'!P298),D285&gt;=30,E285&lt;&gt;"*",D285&lt;&gt;""),F285+1.959963985 *('Funnel setup'!$K$8/SQRT('Funnel Data'!D285)),"")</f>
        <v/>
      </c>
      <c r="I285" s="177" t="str">
        <f>IF(AND(ISNUMBER('Funnel setup'!P298),D285&gt;=30,E285&lt;&gt;"*",D285&lt;&gt;""),F285-3.090232306 *('Funnel setup'!$K$8/SQRT('Funnel Data'!D285)),"")</f>
        <v/>
      </c>
      <c r="J285" s="177" t="str">
        <f>IF(AND(ISNUMBER('Funnel setup'!P298),D285&gt;=30,E285&lt;&gt;"*",D285&lt;&gt;""),F285+3.090232306 *('Funnel setup'!$K$8/SQRT('Funnel Data'!D285)),"")</f>
        <v/>
      </c>
      <c r="K285" s="178" t="str">
        <f>IF(AND(ISNUMBER('Funnel setup'!P298),D285&gt;=30,E285&lt;&gt;"*",D285&lt;&gt;""),IF(E285&gt;J285,'Funnel setup'!$K$15&amp;"99.8%",IF(E285&gt;H285,'Funnel setup'!$K$15&amp;"95%",IF(E285&lt;I285,'Funnel setup'!$K$16&amp;"99.8%",IF(E285&lt;G285,'Funnel setup'!$K$16&amp;"95%","")))),"")</f>
        <v/>
      </c>
    </row>
    <row r="286" spans="2:11" ht="15" customHeight="1" x14ac:dyDescent="0.35">
      <c r="B286" s="174" t="str">
        <f>IF(ISNUMBER('Funnel setup'!P299),VLOOKUP('Funnel setup'!$P299,'Provider Commission - Raw Data'!$A:$Q,5,0),"")</f>
        <v/>
      </c>
      <c r="C286" s="175" t="str">
        <f>IF(ISNUMBER('Funnel setup'!P299),VLOOKUP('Funnel setup'!P299,'Provider Commission - Raw Data'!$A:$Q,6,0),"")</f>
        <v/>
      </c>
      <c r="D286" s="176" t="str">
        <f>IF(ISNUMBER('Funnel setup'!P299),IF(VLOOKUP('Funnel setup'!P299,'Provider Commission - Raw Data'!$A:$Q,8,0)="-","",VLOOKUP('Funnel setup'!P299,'Provider Commission - Raw Data'!$A:$Q,8,0)),"")</f>
        <v/>
      </c>
      <c r="E286" s="251" t="str">
        <f>IF(ISNUMBER('Funnel setup'!P299),IF(VLOOKUP('Funnel setup'!P299,'Provider Commission - Raw Data'!$A:$Q,16,0)="-","",VLOOKUP('Funnel setup'!P299,'Provider Commission - Raw Data'!$A:$Q,16,0)),"")</f>
        <v/>
      </c>
      <c r="F286" s="177" t="str">
        <f>IF(AND(ISNUMBER('Funnel setup'!P299)),'Funnel setup'!$K$9,"")</f>
        <v/>
      </c>
      <c r="G286" s="177" t="str">
        <f>IF(AND(ISNUMBER('Funnel setup'!P299),D286&gt;=30,E286&lt;&gt;"*",D286&lt;&gt;""),F286-1.959963985 *('Funnel setup'!$K$8/SQRT('Funnel Data'!D286)),"")</f>
        <v/>
      </c>
      <c r="H286" s="177" t="str">
        <f>IF(AND(ISNUMBER('Funnel setup'!P299),D286&gt;=30,E286&lt;&gt;"*",D286&lt;&gt;""),F286+1.959963985 *('Funnel setup'!$K$8/SQRT('Funnel Data'!D286)),"")</f>
        <v/>
      </c>
      <c r="I286" s="177" t="str">
        <f>IF(AND(ISNUMBER('Funnel setup'!P299),D286&gt;=30,E286&lt;&gt;"*",D286&lt;&gt;""),F286-3.090232306 *('Funnel setup'!$K$8/SQRT('Funnel Data'!D286)),"")</f>
        <v/>
      </c>
      <c r="J286" s="177" t="str">
        <f>IF(AND(ISNUMBER('Funnel setup'!P299),D286&gt;=30,E286&lt;&gt;"*",D286&lt;&gt;""),F286+3.090232306 *('Funnel setup'!$K$8/SQRT('Funnel Data'!D286)),"")</f>
        <v/>
      </c>
      <c r="K286" s="178" t="str">
        <f>IF(AND(ISNUMBER('Funnel setup'!P299),D286&gt;=30,E286&lt;&gt;"*",D286&lt;&gt;""),IF(E286&gt;J286,'Funnel setup'!$K$15&amp;"99.8%",IF(E286&gt;H286,'Funnel setup'!$K$15&amp;"95%",IF(E286&lt;I286,'Funnel setup'!$K$16&amp;"99.8%",IF(E286&lt;G286,'Funnel setup'!$K$16&amp;"95%","")))),"")</f>
        <v/>
      </c>
    </row>
    <row r="287" spans="2:11" ht="15" customHeight="1" x14ac:dyDescent="0.35">
      <c r="B287" s="174" t="str">
        <f>IF(ISNUMBER('Funnel setup'!P300),VLOOKUP('Funnel setup'!$P300,'Provider Commission - Raw Data'!$A:$Q,5,0),"")</f>
        <v/>
      </c>
      <c r="C287" s="175" t="str">
        <f>IF(ISNUMBER('Funnel setup'!P300),VLOOKUP('Funnel setup'!P300,'Provider Commission - Raw Data'!$A:$Q,6,0),"")</f>
        <v/>
      </c>
      <c r="D287" s="176" t="str">
        <f>IF(ISNUMBER('Funnel setup'!P300),IF(VLOOKUP('Funnel setup'!P300,'Provider Commission - Raw Data'!$A:$Q,8,0)="-","",VLOOKUP('Funnel setup'!P300,'Provider Commission - Raw Data'!$A:$Q,8,0)),"")</f>
        <v/>
      </c>
      <c r="E287" s="251" t="str">
        <f>IF(ISNUMBER('Funnel setup'!P300),IF(VLOOKUP('Funnel setup'!P300,'Provider Commission - Raw Data'!$A:$Q,16,0)="-","",VLOOKUP('Funnel setup'!P300,'Provider Commission - Raw Data'!$A:$Q,16,0)),"")</f>
        <v/>
      </c>
      <c r="F287" s="177" t="str">
        <f>IF(AND(ISNUMBER('Funnel setup'!P300)),'Funnel setup'!$K$9,"")</f>
        <v/>
      </c>
      <c r="G287" s="177" t="str">
        <f>IF(AND(ISNUMBER('Funnel setup'!P300),D287&gt;=30,E287&lt;&gt;"*",D287&lt;&gt;""),F287-1.959963985 *('Funnel setup'!$K$8/SQRT('Funnel Data'!D287)),"")</f>
        <v/>
      </c>
      <c r="H287" s="177" t="str">
        <f>IF(AND(ISNUMBER('Funnel setup'!P300),D287&gt;=30,E287&lt;&gt;"*",D287&lt;&gt;""),F287+1.959963985 *('Funnel setup'!$K$8/SQRT('Funnel Data'!D287)),"")</f>
        <v/>
      </c>
      <c r="I287" s="177" t="str">
        <f>IF(AND(ISNUMBER('Funnel setup'!P300),D287&gt;=30,E287&lt;&gt;"*",D287&lt;&gt;""),F287-3.090232306 *('Funnel setup'!$K$8/SQRT('Funnel Data'!D287)),"")</f>
        <v/>
      </c>
      <c r="J287" s="177" t="str">
        <f>IF(AND(ISNUMBER('Funnel setup'!P300),D287&gt;=30,E287&lt;&gt;"*",D287&lt;&gt;""),F287+3.090232306 *('Funnel setup'!$K$8/SQRT('Funnel Data'!D287)),"")</f>
        <v/>
      </c>
      <c r="K287" s="178" t="str">
        <f>IF(AND(ISNUMBER('Funnel setup'!P300),D287&gt;=30,E287&lt;&gt;"*",D287&lt;&gt;""),IF(E287&gt;J287,'Funnel setup'!$K$15&amp;"99.8%",IF(E287&gt;H287,'Funnel setup'!$K$15&amp;"95%",IF(E287&lt;I287,'Funnel setup'!$K$16&amp;"99.8%",IF(E287&lt;G287,'Funnel setup'!$K$16&amp;"95%","")))),"")</f>
        <v/>
      </c>
    </row>
    <row r="288" spans="2:11" ht="15" customHeight="1" x14ac:dyDescent="0.35">
      <c r="B288" s="174" t="str">
        <f>IF(ISNUMBER('Funnel setup'!P301),VLOOKUP('Funnel setup'!$P301,'Provider Commission - Raw Data'!$A:$Q,5,0),"")</f>
        <v/>
      </c>
      <c r="C288" s="175" t="str">
        <f>IF(ISNUMBER('Funnel setup'!P301),VLOOKUP('Funnel setup'!P301,'Provider Commission - Raw Data'!$A:$Q,6,0),"")</f>
        <v/>
      </c>
      <c r="D288" s="176" t="str">
        <f>IF(ISNUMBER('Funnel setup'!P301),IF(VLOOKUP('Funnel setup'!P301,'Provider Commission - Raw Data'!$A:$Q,8,0)="-","",VLOOKUP('Funnel setup'!P301,'Provider Commission - Raw Data'!$A:$Q,8,0)),"")</f>
        <v/>
      </c>
      <c r="E288" s="251" t="str">
        <f>IF(ISNUMBER('Funnel setup'!P301),IF(VLOOKUP('Funnel setup'!P301,'Provider Commission - Raw Data'!$A:$Q,16,0)="-","",VLOOKUP('Funnel setup'!P301,'Provider Commission - Raw Data'!$A:$Q,16,0)),"")</f>
        <v/>
      </c>
      <c r="F288" s="177" t="str">
        <f>IF(AND(ISNUMBER('Funnel setup'!P301)),'Funnel setup'!$K$9,"")</f>
        <v/>
      </c>
      <c r="G288" s="177" t="str">
        <f>IF(AND(ISNUMBER('Funnel setup'!P301),D288&gt;=30,E288&lt;&gt;"*",D288&lt;&gt;""),F288-1.959963985 *('Funnel setup'!$K$8/SQRT('Funnel Data'!D288)),"")</f>
        <v/>
      </c>
      <c r="H288" s="177" t="str">
        <f>IF(AND(ISNUMBER('Funnel setup'!P301),D288&gt;=30,E288&lt;&gt;"*",D288&lt;&gt;""),F288+1.959963985 *('Funnel setup'!$K$8/SQRT('Funnel Data'!D288)),"")</f>
        <v/>
      </c>
      <c r="I288" s="177" t="str">
        <f>IF(AND(ISNUMBER('Funnel setup'!P301),D288&gt;=30,E288&lt;&gt;"*",D288&lt;&gt;""),F288-3.090232306 *('Funnel setup'!$K$8/SQRT('Funnel Data'!D288)),"")</f>
        <v/>
      </c>
      <c r="J288" s="177" t="str">
        <f>IF(AND(ISNUMBER('Funnel setup'!P301),D288&gt;=30,E288&lt;&gt;"*",D288&lt;&gt;""),F288+3.090232306 *('Funnel setup'!$K$8/SQRT('Funnel Data'!D288)),"")</f>
        <v/>
      </c>
      <c r="K288" s="178" t="str">
        <f>IF(AND(ISNUMBER('Funnel setup'!P301),D288&gt;=30,E288&lt;&gt;"*",D288&lt;&gt;""),IF(E288&gt;J288,'Funnel setup'!$K$15&amp;"99.8%",IF(E288&gt;H288,'Funnel setup'!$K$15&amp;"95%",IF(E288&lt;I288,'Funnel setup'!$K$16&amp;"99.8%",IF(E288&lt;G288,'Funnel setup'!$K$16&amp;"95%","")))),"")</f>
        <v/>
      </c>
    </row>
    <row r="289" spans="2:11" ht="15" customHeight="1" x14ac:dyDescent="0.35">
      <c r="B289" s="174" t="str">
        <f>IF(ISNUMBER('Funnel setup'!P302),VLOOKUP('Funnel setup'!$P302,'Provider Commission - Raw Data'!$A:$Q,5,0),"")</f>
        <v/>
      </c>
      <c r="C289" s="175" t="str">
        <f>IF(ISNUMBER('Funnel setup'!P302),VLOOKUP('Funnel setup'!P302,'Provider Commission - Raw Data'!$A:$Q,6,0),"")</f>
        <v/>
      </c>
      <c r="D289" s="176" t="str">
        <f>IF(ISNUMBER('Funnel setup'!P302),IF(VLOOKUP('Funnel setup'!P302,'Provider Commission - Raw Data'!$A:$Q,8,0)="-","",VLOOKUP('Funnel setup'!P302,'Provider Commission - Raw Data'!$A:$Q,8,0)),"")</f>
        <v/>
      </c>
      <c r="E289" s="251" t="str">
        <f>IF(ISNUMBER('Funnel setup'!P302),IF(VLOOKUP('Funnel setup'!P302,'Provider Commission - Raw Data'!$A:$Q,16,0)="-","",VLOOKUP('Funnel setup'!P302,'Provider Commission - Raw Data'!$A:$Q,16,0)),"")</f>
        <v/>
      </c>
      <c r="F289" s="177" t="str">
        <f>IF(AND(ISNUMBER('Funnel setup'!P302)),'Funnel setup'!$K$9,"")</f>
        <v/>
      </c>
      <c r="G289" s="177" t="str">
        <f>IF(AND(ISNUMBER('Funnel setup'!P302),D289&gt;=30,E289&lt;&gt;"*",D289&lt;&gt;""),F289-1.959963985 *('Funnel setup'!$K$8/SQRT('Funnel Data'!D289)),"")</f>
        <v/>
      </c>
      <c r="H289" s="177" t="str">
        <f>IF(AND(ISNUMBER('Funnel setup'!P302),D289&gt;=30,E289&lt;&gt;"*",D289&lt;&gt;""),F289+1.959963985 *('Funnel setup'!$K$8/SQRT('Funnel Data'!D289)),"")</f>
        <v/>
      </c>
      <c r="I289" s="177" t="str">
        <f>IF(AND(ISNUMBER('Funnel setup'!P302),D289&gt;=30,E289&lt;&gt;"*",D289&lt;&gt;""),F289-3.090232306 *('Funnel setup'!$K$8/SQRT('Funnel Data'!D289)),"")</f>
        <v/>
      </c>
      <c r="J289" s="177" t="str">
        <f>IF(AND(ISNUMBER('Funnel setup'!P302),D289&gt;=30,E289&lt;&gt;"*",D289&lt;&gt;""),F289+3.090232306 *('Funnel setup'!$K$8/SQRT('Funnel Data'!D289)),"")</f>
        <v/>
      </c>
      <c r="K289" s="178" t="str">
        <f>IF(AND(ISNUMBER('Funnel setup'!P302),D289&gt;=30,E289&lt;&gt;"*",D289&lt;&gt;""),IF(E289&gt;J289,'Funnel setup'!$K$15&amp;"99.8%",IF(E289&gt;H289,'Funnel setup'!$K$15&amp;"95%",IF(E289&lt;I289,'Funnel setup'!$K$16&amp;"99.8%",IF(E289&lt;G289,'Funnel setup'!$K$16&amp;"95%","")))),"")</f>
        <v/>
      </c>
    </row>
    <row r="290" spans="2:11" ht="15" customHeight="1" x14ac:dyDescent="0.35">
      <c r="B290" s="174" t="str">
        <f>IF(ISNUMBER('Funnel setup'!P303),VLOOKUP('Funnel setup'!$P303,'Provider Commission - Raw Data'!$A:$Q,5,0),"")</f>
        <v/>
      </c>
      <c r="C290" s="175" t="str">
        <f>IF(ISNUMBER('Funnel setup'!P303),VLOOKUP('Funnel setup'!P303,'Provider Commission - Raw Data'!$A:$Q,6,0),"")</f>
        <v/>
      </c>
      <c r="D290" s="176" t="str">
        <f>IF(ISNUMBER('Funnel setup'!P303),IF(VLOOKUP('Funnel setup'!P303,'Provider Commission - Raw Data'!$A:$Q,8,0)="-","",VLOOKUP('Funnel setup'!P303,'Provider Commission - Raw Data'!$A:$Q,8,0)),"")</f>
        <v/>
      </c>
      <c r="E290" s="251" t="str">
        <f>IF(ISNUMBER('Funnel setup'!P303),IF(VLOOKUP('Funnel setup'!P303,'Provider Commission - Raw Data'!$A:$Q,16,0)="-","",VLOOKUP('Funnel setup'!P303,'Provider Commission - Raw Data'!$A:$Q,16,0)),"")</f>
        <v/>
      </c>
      <c r="F290" s="177" t="str">
        <f>IF(AND(ISNUMBER('Funnel setup'!P303)),'Funnel setup'!$K$9,"")</f>
        <v/>
      </c>
      <c r="G290" s="177" t="str">
        <f>IF(AND(ISNUMBER('Funnel setup'!P303),D290&gt;=30,E290&lt;&gt;"*",D290&lt;&gt;""),F290-1.959963985 *('Funnel setup'!$K$8/SQRT('Funnel Data'!D290)),"")</f>
        <v/>
      </c>
      <c r="H290" s="177" t="str">
        <f>IF(AND(ISNUMBER('Funnel setup'!P303),D290&gt;=30,E290&lt;&gt;"*",D290&lt;&gt;""),F290+1.959963985 *('Funnel setup'!$K$8/SQRT('Funnel Data'!D290)),"")</f>
        <v/>
      </c>
      <c r="I290" s="177" t="str">
        <f>IF(AND(ISNUMBER('Funnel setup'!P303),D290&gt;=30,E290&lt;&gt;"*",D290&lt;&gt;""),F290-3.090232306 *('Funnel setup'!$K$8/SQRT('Funnel Data'!D290)),"")</f>
        <v/>
      </c>
      <c r="J290" s="177" t="str">
        <f>IF(AND(ISNUMBER('Funnel setup'!P303),D290&gt;=30,E290&lt;&gt;"*",D290&lt;&gt;""),F290+3.090232306 *('Funnel setup'!$K$8/SQRT('Funnel Data'!D290)),"")</f>
        <v/>
      </c>
      <c r="K290" s="178" t="str">
        <f>IF(AND(ISNUMBER('Funnel setup'!P303),D290&gt;=30,E290&lt;&gt;"*",D290&lt;&gt;""),IF(E290&gt;J290,'Funnel setup'!$K$15&amp;"99.8%",IF(E290&gt;H290,'Funnel setup'!$K$15&amp;"95%",IF(E290&lt;I290,'Funnel setup'!$K$16&amp;"99.8%",IF(E290&lt;G290,'Funnel setup'!$K$16&amp;"95%","")))),"")</f>
        <v/>
      </c>
    </row>
    <row r="291" spans="2:11" ht="15" customHeight="1" x14ac:dyDescent="0.35">
      <c r="B291" s="174" t="str">
        <f>IF(ISNUMBER('Funnel setup'!P304),VLOOKUP('Funnel setup'!$P304,'Provider Commission - Raw Data'!$A:$Q,5,0),"")</f>
        <v/>
      </c>
      <c r="C291" s="175" t="str">
        <f>IF(ISNUMBER('Funnel setup'!P304),VLOOKUP('Funnel setup'!P304,'Provider Commission - Raw Data'!$A:$Q,6,0),"")</f>
        <v/>
      </c>
      <c r="D291" s="176" t="str">
        <f>IF(ISNUMBER('Funnel setup'!P304),IF(VLOOKUP('Funnel setup'!P304,'Provider Commission - Raw Data'!$A:$Q,8,0)="-","",VLOOKUP('Funnel setup'!P304,'Provider Commission - Raw Data'!$A:$Q,8,0)),"")</f>
        <v/>
      </c>
      <c r="E291" s="251" t="str">
        <f>IF(ISNUMBER('Funnel setup'!P304),IF(VLOOKUP('Funnel setup'!P304,'Provider Commission - Raw Data'!$A:$Q,16,0)="-","",VLOOKUP('Funnel setup'!P304,'Provider Commission - Raw Data'!$A:$Q,16,0)),"")</f>
        <v/>
      </c>
      <c r="F291" s="177" t="str">
        <f>IF(AND(ISNUMBER('Funnel setup'!P304)),'Funnel setup'!$K$9,"")</f>
        <v/>
      </c>
      <c r="G291" s="177" t="str">
        <f>IF(AND(ISNUMBER('Funnel setup'!P304),D291&gt;=30,E291&lt;&gt;"*",D291&lt;&gt;""),F291-1.959963985 *('Funnel setup'!$K$8/SQRT('Funnel Data'!D291)),"")</f>
        <v/>
      </c>
      <c r="H291" s="177" t="str">
        <f>IF(AND(ISNUMBER('Funnel setup'!P304),D291&gt;=30,E291&lt;&gt;"*",D291&lt;&gt;""),F291+1.959963985 *('Funnel setup'!$K$8/SQRT('Funnel Data'!D291)),"")</f>
        <v/>
      </c>
      <c r="I291" s="177" t="str">
        <f>IF(AND(ISNUMBER('Funnel setup'!P304),D291&gt;=30,E291&lt;&gt;"*",D291&lt;&gt;""),F291-3.090232306 *('Funnel setup'!$K$8/SQRT('Funnel Data'!D291)),"")</f>
        <v/>
      </c>
      <c r="J291" s="177" t="str">
        <f>IF(AND(ISNUMBER('Funnel setup'!P304),D291&gt;=30,E291&lt;&gt;"*",D291&lt;&gt;""),F291+3.090232306 *('Funnel setup'!$K$8/SQRT('Funnel Data'!D291)),"")</f>
        <v/>
      </c>
      <c r="K291" s="178" t="str">
        <f>IF(AND(ISNUMBER('Funnel setup'!P304),D291&gt;=30,E291&lt;&gt;"*",D291&lt;&gt;""),IF(E291&gt;J291,'Funnel setup'!$K$15&amp;"99.8%",IF(E291&gt;H291,'Funnel setup'!$K$15&amp;"95%",IF(E291&lt;I291,'Funnel setup'!$K$16&amp;"99.8%",IF(E291&lt;G291,'Funnel setup'!$K$16&amp;"95%","")))),"")</f>
        <v/>
      </c>
    </row>
    <row r="292" spans="2:11" ht="15" customHeight="1" x14ac:dyDescent="0.35">
      <c r="B292" s="174" t="str">
        <f>IF(ISNUMBER('Funnel setup'!P305),VLOOKUP('Funnel setup'!$P305,'Provider Commission - Raw Data'!$A:$Q,5,0),"")</f>
        <v/>
      </c>
      <c r="C292" s="175" t="str">
        <f>IF(ISNUMBER('Funnel setup'!P305),VLOOKUP('Funnel setup'!P305,'Provider Commission - Raw Data'!$A:$Q,6,0),"")</f>
        <v/>
      </c>
      <c r="D292" s="176" t="str">
        <f>IF(ISNUMBER('Funnel setup'!P305),IF(VLOOKUP('Funnel setup'!P305,'Provider Commission - Raw Data'!$A:$Q,8,0)="-","",VLOOKUP('Funnel setup'!P305,'Provider Commission - Raw Data'!$A:$Q,8,0)),"")</f>
        <v/>
      </c>
      <c r="E292" s="251" t="str">
        <f>IF(ISNUMBER('Funnel setup'!P305),IF(VLOOKUP('Funnel setup'!P305,'Provider Commission - Raw Data'!$A:$Q,16,0)="-","",VLOOKUP('Funnel setup'!P305,'Provider Commission - Raw Data'!$A:$Q,16,0)),"")</f>
        <v/>
      </c>
      <c r="F292" s="177" t="str">
        <f>IF(AND(ISNUMBER('Funnel setup'!P305)),'Funnel setup'!$K$9,"")</f>
        <v/>
      </c>
      <c r="G292" s="177" t="str">
        <f>IF(AND(ISNUMBER('Funnel setup'!P305),D292&gt;=30,E292&lt;&gt;"*",D292&lt;&gt;""),F292-1.959963985 *('Funnel setup'!$K$8/SQRT('Funnel Data'!D292)),"")</f>
        <v/>
      </c>
      <c r="H292" s="177" t="str">
        <f>IF(AND(ISNUMBER('Funnel setup'!P305),D292&gt;=30,E292&lt;&gt;"*",D292&lt;&gt;""),F292+1.959963985 *('Funnel setup'!$K$8/SQRT('Funnel Data'!D292)),"")</f>
        <v/>
      </c>
      <c r="I292" s="177" t="str">
        <f>IF(AND(ISNUMBER('Funnel setup'!P305),D292&gt;=30,E292&lt;&gt;"*",D292&lt;&gt;""),F292-3.090232306 *('Funnel setup'!$K$8/SQRT('Funnel Data'!D292)),"")</f>
        <v/>
      </c>
      <c r="J292" s="177" t="str">
        <f>IF(AND(ISNUMBER('Funnel setup'!P305),D292&gt;=30,E292&lt;&gt;"*",D292&lt;&gt;""),F292+3.090232306 *('Funnel setup'!$K$8/SQRT('Funnel Data'!D292)),"")</f>
        <v/>
      </c>
      <c r="K292" s="178" t="str">
        <f>IF(AND(ISNUMBER('Funnel setup'!P305),D292&gt;=30,E292&lt;&gt;"*",D292&lt;&gt;""),IF(E292&gt;J292,'Funnel setup'!$K$15&amp;"99.8%",IF(E292&gt;H292,'Funnel setup'!$K$15&amp;"95%",IF(E292&lt;I292,'Funnel setup'!$K$16&amp;"99.8%",IF(E292&lt;G292,'Funnel setup'!$K$16&amp;"95%","")))),"")</f>
        <v/>
      </c>
    </row>
    <row r="293" spans="2:11" ht="15" customHeight="1" x14ac:dyDescent="0.35">
      <c r="B293" s="174" t="str">
        <f>IF(ISNUMBER('Funnel setup'!P306),VLOOKUP('Funnel setup'!$P306,'Provider Commission - Raw Data'!$A:$Q,5,0),"")</f>
        <v/>
      </c>
      <c r="C293" s="175" t="str">
        <f>IF(ISNUMBER('Funnel setup'!P306),VLOOKUP('Funnel setup'!P306,'Provider Commission - Raw Data'!$A:$Q,6,0),"")</f>
        <v/>
      </c>
      <c r="D293" s="176" t="str">
        <f>IF(ISNUMBER('Funnel setup'!P306),IF(VLOOKUP('Funnel setup'!P306,'Provider Commission - Raw Data'!$A:$Q,8,0)="-","",VLOOKUP('Funnel setup'!P306,'Provider Commission - Raw Data'!$A:$Q,8,0)),"")</f>
        <v/>
      </c>
      <c r="E293" s="251" t="str">
        <f>IF(ISNUMBER('Funnel setup'!P306),IF(VLOOKUP('Funnel setup'!P306,'Provider Commission - Raw Data'!$A:$Q,16,0)="-","",VLOOKUP('Funnel setup'!P306,'Provider Commission - Raw Data'!$A:$Q,16,0)),"")</f>
        <v/>
      </c>
      <c r="F293" s="177" t="str">
        <f>IF(AND(ISNUMBER('Funnel setup'!P306)),'Funnel setup'!$K$9,"")</f>
        <v/>
      </c>
      <c r="G293" s="177" t="str">
        <f>IF(AND(ISNUMBER('Funnel setup'!P306),D293&gt;=30,E293&lt;&gt;"*",D293&lt;&gt;""),F293-1.959963985 *('Funnel setup'!$K$8/SQRT('Funnel Data'!D293)),"")</f>
        <v/>
      </c>
      <c r="H293" s="177" t="str">
        <f>IF(AND(ISNUMBER('Funnel setup'!P306),D293&gt;=30,E293&lt;&gt;"*",D293&lt;&gt;""),F293+1.959963985 *('Funnel setup'!$K$8/SQRT('Funnel Data'!D293)),"")</f>
        <v/>
      </c>
      <c r="I293" s="177" t="str">
        <f>IF(AND(ISNUMBER('Funnel setup'!P306),D293&gt;=30,E293&lt;&gt;"*",D293&lt;&gt;""),F293-3.090232306 *('Funnel setup'!$K$8/SQRT('Funnel Data'!D293)),"")</f>
        <v/>
      </c>
      <c r="J293" s="177" t="str">
        <f>IF(AND(ISNUMBER('Funnel setup'!P306),D293&gt;=30,E293&lt;&gt;"*",D293&lt;&gt;""),F293+3.090232306 *('Funnel setup'!$K$8/SQRT('Funnel Data'!D293)),"")</f>
        <v/>
      </c>
      <c r="K293" s="178" t="str">
        <f>IF(AND(ISNUMBER('Funnel setup'!P306),D293&gt;=30,E293&lt;&gt;"*",D293&lt;&gt;""),IF(E293&gt;J293,'Funnel setup'!$K$15&amp;"99.8%",IF(E293&gt;H293,'Funnel setup'!$K$15&amp;"95%",IF(E293&lt;I293,'Funnel setup'!$K$16&amp;"99.8%",IF(E293&lt;G293,'Funnel setup'!$K$16&amp;"95%","")))),"")</f>
        <v/>
      </c>
    </row>
    <row r="294" spans="2:11" ht="15" customHeight="1" x14ac:dyDescent="0.35">
      <c r="B294" s="174" t="str">
        <f>IF(ISNUMBER('Funnel setup'!P307),VLOOKUP('Funnel setup'!$P307,'Provider Commission - Raw Data'!$A:$Q,5,0),"")</f>
        <v/>
      </c>
      <c r="C294" s="175" t="str">
        <f>IF(ISNUMBER('Funnel setup'!P307),VLOOKUP('Funnel setup'!P307,'Provider Commission - Raw Data'!$A:$Q,6,0),"")</f>
        <v/>
      </c>
      <c r="D294" s="176" t="str">
        <f>IF(ISNUMBER('Funnel setup'!P307),IF(VLOOKUP('Funnel setup'!P307,'Provider Commission - Raw Data'!$A:$Q,8,0)="-","",VLOOKUP('Funnel setup'!P307,'Provider Commission - Raw Data'!$A:$Q,8,0)),"")</f>
        <v/>
      </c>
      <c r="E294" s="251" t="str">
        <f>IF(ISNUMBER('Funnel setup'!P307),IF(VLOOKUP('Funnel setup'!P307,'Provider Commission - Raw Data'!$A:$Q,16,0)="-","",VLOOKUP('Funnel setup'!P307,'Provider Commission - Raw Data'!$A:$Q,16,0)),"")</f>
        <v/>
      </c>
      <c r="F294" s="177" t="str">
        <f>IF(AND(ISNUMBER('Funnel setup'!P307)),'Funnel setup'!$K$9,"")</f>
        <v/>
      </c>
      <c r="G294" s="177" t="str">
        <f>IF(AND(ISNUMBER('Funnel setup'!P307),D294&gt;=30,E294&lt;&gt;"*",D294&lt;&gt;""),F294-1.959963985 *('Funnel setup'!$K$8/SQRT('Funnel Data'!D294)),"")</f>
        <v/>
      </c>
      <c r="H294" s="177" t="str">
        <f>IF(AND(ISNUMBER('Funnel setup'!P307),D294&gt;=30,E294&lt;&gt;"*",D294&lt;&gt;""),F294+1.959963985 *('Funnel setup'!$K$8/SQRT('Funnel Data'!D294)),"")</f>
        <v/>
      </c>
      <c r="I294" s="177" t="str">
        <f>IF(AND(ISNUMBER('Funnel setup'!P307),D294&gt;=30,E294&lt;&gt;"*",D294&lt;&gt;""),F294-3.090232306 *('Funnel setup'!$K$8/SQRT('Funnel Data'!D294)),"")</f>
        <v/>
      </c>
      <c r="J294" s="177" t="str">
        <f>IF(AND(ISNUMBER('Funnel setup'!P307),D294&gt;=30,E294&lt;&gt;"*",D294&lt;&gt;""),F294+3.090232306 *('Funnel setup'!$K$8/SQRT('Funnel Data'!D294)),"")</f>
        <v/>
      </c>
      <c r="K294" s="178" t="str">
        <f>IF(AND(ISNUMBER('Funnel setup'!P307),D294&gt;=30,E294&lt;&gt;"*",D294&lt;&gt;""),IF(E294&gt;J294,'Funnel setup'!$K$15&amp;"99.8%",IF(E294&gt;H294,'Funnel setup'!$K$15&amp;"95%",IF(E294&lt;I294,'Funnel setup'!$K$16&amp;"99.8%",IF(E294&lt;G294,'Funnel setup'!$K$16&amp;"95%","")))),"")</f>
        <v/>
      </c>
    </row>
    <row r="295" spans="2:11" ht="15" customHeight="1" x14ac:dyDescent="0.35">
      <c r="B295" s="174" t="str">
        <f>IF(ISNUMBER('Funnel setup'!P308),VLOOKUP('Funnel setup'!$P308,'Provider Commission - Raw Data'!$A:$Q,5,0),"")</f>
        <v/>
      </c>
      <c r="C295" s="175" t="str">
        <f>IF(ISNUMBER('Funnel setup'!P308),VLOOKUP('Funnel setup'!P308,'Provider Commission - Raw Data'!$A:$Q,6,0),"")</f>
        <v/>
      </c>
      <c r="D295" s="176" t="str">
        <f>IF(ISNUMBER('Funnel setup'!P308),IF(VLOOKUP('Funnel setup'!P308,'Provider Commission - Raw Data'!$A:$Q,8,0)="-","",VLOOKUP('Funnel setup'!P308,'Provider Commission - Raw Data'!$A:$Q,8,0)),"")</f>
        <v/>
      </c>
      <c r="E295" s="251" t="str">
        <f>IF(ISNUMBER('Funnel setup'!P308),IF(VLOOKUP('Funnel setup'!P308,'Provider Commission - Raw Data'!$A:$Q,16,0)="-","",VLOOKUP('Funnel setup'!P308,'Provider Commission - Raw Data'!$A:$Q,16,0)),"")</f>
        <v/>
      </c>
      <c r="F295" s="177" t="str">
        <f>IF(AND(ISNUMBER('Funnel setup'!P308)),'Funnel setup'!$K$9,"")</f>
        <v/>
      </c>
      <c r="G295" s="177" t="str">
        <f>IF(AND(ISNUMBER('Funnel setup'!P308),D295&gt;=30,E295&lt;&gt;"*",D295&lt;&gt;""),F295-1.959963985 *('Funnel setup'!$K$8/SQRT('Funnel Data'!D295)),"")</f>
        <v/>
      </c>
      <c r="H295" s="177" t="str">
        <f>IF(AND(ISNUMBER('Funnel setup'!P308),D295&gt;=30,E295&lt;&gt;"*",D295&lt;&gt;""),F295+1.959963985 *('Funnel setup'!$K$8/SQRT('Funnel Data'!D295)),"")</f>
        <v/>
      </c>
      <c r="I295" s="177" t="str">
        <f>IF(AND(ISNUMBER('Funnel setup'!P308),D295&gt;=30,E295&lt;&gt;"*",D295&lt;&gt;""),F295-3.090232306 *('Funnel setup'!$K$8/SQRT('Funnel Data'!D295)),"")</f>
        <v/>
      </c>
      <c r="J295" s="177" t="str">
        <f>IF(AND(ISNUMBER('Funnel setup'!P308),D295&gt;=30,E295&lt;&gt;"*",D295&lt;&gt;""),F295+3.090232306 *('Funnel setup'!$K$8/SQRT('Funnel Data'!D295)),"")</f>
        <v/>
      </c>
      <c r="K295" s="178" t="str">
        <f>IF(AND(ISNUMBER('Funnel setup'!P308),D295&gt;=30,E295&lt;&gt;"*",D295&lt;&gt;""),IF(E295&gt;J295,'Funnel setup'!$K$15&amp;"99.8%",IF(E295&gt;H295,'Funnel setup'!$K$15&amp;"95%",IF(E295&lt;I295,'Funnel setup'!$K$16&amp;"99.8%",IF(E295&lt;G295,'Funnel setup'!$K$16&amp;"95%","")))),"")</f>
        <v/>
      </c>
    </row>
    <row r="296" spans="2:11" ht="15" customHeight="1" x14ac:dyDescent="0.35">
      <c r="B296" s="174" t="str">
        <f>IF(ISNUMBER('Funnel setup'!P309),VLOOKUP('Funnel setup'!$P309,'Provider Commission - Raw Data'!$A:$Q,5,0),"")</f>
        <v/>
      </c>
      <c r="C296" s="175" t="str">
        <f>IF(ISNUMBER('Funnel setup'!P309),VLOOKUP('Funnel setup'!P309,'Provider Commission - Raw Data'!$A:$Q,6,0),"")</f>
        <v/>
      </c>
      <c r="D296" s="176" t="str">
        <f>IF(ISNUMBER('Funnel setup'!P309),IF(VLOOKUP('Funnel setup'!P309,'Provider Commission - Raw Data'!$A:$Q,8,0)="-","",VLOOKUP('Funnel setup'!P309,'Provider Commission - Raw Data'!$A:$Q,8,0)),"")</f>
        <v/>
      </c>
      <c r="E296" s="251" t="str">
        <f>IF(ISNUMBER('Funnel setup'!P309),IF(VLOOKUP('Funnel setup'!P309,'Provider Commission - Raw Data'!$A:$Q,16,0)="-","",VLOOKUP('Funnel setup'!P309,'Provider Commission - Raw Data'!$A:$Q,16,0)),"")</f>
        <v/>
      </c>
      <c r="F296" s="177" t="str">
        <f>IF(AND(ISNUMBER('Funnel setup'!P309)),'Funnel setup'!$K$9,"")</f>
        <v/>
      </c>
      <c r="G296" s="177" t="str">
        <f>IF(AND(ISNUMBER('Funnel setup'!P309),D296&gt;=30,E296&lt;&gt;"*",D296&lt;&gt;""),F296-1.959963985 *('Funnel setup'!$K$8/SQRT('Funnel Data'!D296)),"")</f>
        <v/>
      </c>
      <c r="H296" s="177" t="str">
        <f>IF(AND(ISNUMBER('Funnel setup'!P309),D296&gt;=30,E296&lt;&gt;"*",D296&lt;&gt;""),F296+1.959963985 *('Funnel setup'!$K$8/SQRT('Funnel Data'!D296)),"")</f>
        <v/>
      </c>
      <c r="I296" s="177" t="str">
        <f>IF(AND(ISNUMBER('Funnel setup'!P309),D296&gt;=30,E296&lt;&gt;"*",D296&lt;&gt;""),F296-3.090232306 *('Funnel setup'!$K$8/SQRT('Funnel Data'!D296)),"")</f>
        <v/>
      </c>
      <c r="J296" s="177" t="str">
        <f>IF(AND(ISNUMBER('Funnel setup'!P309),D296&gt;=30,E296&lt;&gt;"*",D296&lt;&gt;""),F296+3.090232306 *('Funnel setup'!$K$8/SQRT('Funnel Data'!D296)),"")</f>
        <v/>
      </c>
      <c r="K296" s="178" t="str">
        <f>IF(AND(ISNUMBER('Funnel setup'!P309),D296&gt;=30,E296&lt;&gt;"*",D296&lt;&gt;""),IF(E296&gt;J296,'Funnel setup'!$K$15&amp;"99.8%",IF(E296&gt;H296,'Funnel setup'!$K$15&amp;"95%",IF(E296&lt;I296,'Funnel setup'!$K$16&amp;"99.8%",IF(E296&lt;G296,'Funnel setup'!$K$16&amp;"95%","")))),"")</f>
        <v/>
      </c>
    </row>
    <row r="297" spans="2:11" ht="15" customHeight="1" x14ac:dyDescent="0.35">
      <c r="B297" s="174" t="str">
        <f>IF(ISNUMBER('Funnel setup'!P310),VLOOKUP('Funnel setup'!$P310,'Provider Commission - Raw Data'!$A:$Q,5,0),"")</f>
        <v/>
      </c>
      <c r="C297" s="175" t="str">
        <f>IF(ISNUMBER('Funnel setup'!P310),VLOOKUP('Funnel setup'!P310,'Provider Commission - Raw Data'!$A:$Q,6,0),"")</f>
        <v/>
      </c>
      <c r="D297" s="176" t="str">
        <f>IF(ISNUMBER('Funnel setup'!P310),IF(VLOOKUP('Funnel setup'!P310,'Provider Commission - Raw Data'!$A:$Q,8,0)="-","",VLOOKUP('Funnel setup'!P310,'Provider Commission - Raw Data'!$A:$Q,8,0)),"")</f>
        <v/>
      </c>
      <c r="E297" s="251" t="str">
        <f>IF(ISNUMBER('Funnel setup'!P310),IF(VLOOKUP('Funnel setup'!P310,'Provider Commission - Raw Data'!$A:$Q,16,0)="-","",VLOOKUP('Funnel setup'!P310,'Provider Commission - Raw Data'!$A:$Q,16,0)),"")</f>
        <v/>
      </c>
      <c r="F297" s="177" t="str">
        <f>IF(AND(ISNUMBER('Funnel setup'!P310)),'Funnel setup'!$K$9,"")</f>
        <v/>
      </c>
      <c r="G297" s="177" t="str">
        <f>IF(AND(ISNUMBER('Funnel setup'!P310),D297&gt;=30,E297&lt;&gt;"*",D297&lt;&gt;""),F297-1.959963985 *('Funnel setup'!$K$8/SQRT('Funnel Data'!D297)),"")</f>
        <v/>
      </c>
      <c r="H297" s="177" t="str">
        <f>IF(AND(ISNUMBER('Funnel setup'!P310),D297&gt;=30,E297&lt;&gt;"*",D297&lt;&gt;""),F297+1.959963985 *('Funnel setup'!$K$8/SQRT('Funnel Data'!D297)),"")</f>
        <v/>
      </c>
      <c r="I297" s="177" t="str">
        <f>IF(AND(ISNUMBER('Funnel setup'!P310),D297&gt;=30,E297&lt;&gt;"*",D297&lt;&gt;""),F297-3.090232306 *('Funnel setup'!$K$8/SQRT('Funnel Data'!D297)),"")</f>
        <v/>
      </c>
      <c r="J297" s="177" t="str">
        <f>IF(AND(ISNUMBER('Funnel setup'!P310),D297&gt;=30,E297&lt;&gt;"*",D297&lt;&gt;""),F297+3.090232306 *('Funnel setup'!$K$8/SQRT('Funnel Data'!D297)),"")</f>
        <v/>
      </c>
      <c r="K297" s="178" t="str">
        <f>IF(AND(ISNUMBER('Funnel setup'!P310),D297&gt;=30,E297&lt;&gt;"*",D297&lt;&gt;""),IF(E297&gt;J297,'Funnel setup'!$K$15&amp;"99.8%",IF(E297&gt;H297,'Funnel setup'!$K$15&amp;"95%",IF(E297&lt;I297,'Funnel setup'!$K$16&amp;"99.8%",IF(E297&lt;G297,'Funnel setup'!$K$16&amp;"95%","")))),"")</f>
        <v/>
      </c>
    </row>
    <row r="298" spans="2:11" ht="15" customHeight="1" x14ac:dyDescent="0.35">
      <c r="B298" s="174" t="str">
        <f>IF(ISNUMBER('Funnel setup'!P311),VLOOKUP('Funnel setup'!$P311,'Provider Commission - Raw Data'!$A:$Q,5,0),"")</f>
        <v/>
      </c>
      <c r="C298" s="175" t="str">
        <f>IF(ISNUMBER('Funnel setup'!P311),VLOOKUP('Funnel setup'!P311,'Provider Commission - Raw Data'!$A:$Q,6,0),"")</f>
        <v/>
      </c>
      <c r="D298" s="176" t="str">
        <f>IF(ISNUMBER('Funnel setup'!P311),IF(VLOOKUP('Funnel setup'!P311,'Provider Commission - Raw Data'!$A:$Q,8,0)="-","",VLOOKUP('Funnel setup'!P311,'Provider Commission - Raw Data'!$A:$Q,8,0)),"")</f>
        <v/>
      </c>
      <c r="E298" s="251" t="str">
        <f>IF(ISNUMBER('Funnel setup'!P311),IF(VLOOKUP('Funnel setup'!P311,'Provider Commission - Raw Data'!$A:$Q,16,0)="-","",VLOOKUP('Funnel setup'!P311,'Provider Commission - Raw Data'!$A:$Q,16,0)),"")</f>
        <v/>
      </c>
      <c r="F298" s="177" t="str">
        <f>IF(AND(ISNUMBER('Funnel setup'!P311)),'Funnel setup'!$K$9,"")</f>
        <v/>
      </c>
      <c r="G298" s="177" t="str">
        <f>IF(AND(ISNUMBER('Funnel setup'!P311),D298&gt;=30,E298&lt;&gt;"*",D298&lt;&gt;""),F298-1.959963985 *('Funnel setup'!$K$8/SQRT('Funnel Data'!D298)),"")</f>
        <v/>
      </c>
      <c r="H298" s="177" t="str">
        <f>IF(AND(ISNUMBER('Funnel setup'!P311),D298&gt;=30,E298&lt;&gt;"*",D298&lt;&gt;""),F298+1.959963985 *('Funnel setup'!$K$8/SQRT('Funnel Data'!D298)),"")</f>
        <v/>
      </c>
      <c r="I298" s="177" t="str">
        <f>IF(AND(ISNUMBER('Funnel setup'!P311),D298&gt;=30,E298&lt;&gt;"*",D298&lt;&gt;""),F298-3.090232306 *('Funnel setup'!$K$8/SQRT('Funnel Data'!D298)),"")</f>
        <v/>
      </c>
      <c r="J298" s="177" t="str">
        <f>IF(AND(ISNUMBER('Funnel setup'!P311),D298&gt;=30,E298&lt;&gt;"*",D298&lt;&gt;""),F298+3.090232306 *('Funnel setup'!$K$8/SQRT('Funnel Data'!D298)),"")</f>
        <v/>
      </c>
      <c r="K298" s="178" t="str">
        <f>IF(AND(ISNUMBER('Funnel setup'!P311),D298&gt;=30,E298&lt;&gt;"*",D298&lt;&gt;""),IF(E298&gt;J298,'Funnel setup'!$K$15&amp;"99.8%",IF(E298&gt;H298,'Funnel setup'!$K$15&amp;"95%",IF(E298&lt;I298,'Funnel setup'!$K$16&amp;"99.8%",IF(E298&lt;G298,'Funnel setup'!$K$16&amp;"95%","")))),"")</f>
        <v/>
      </c>
    </row>
    <row r="299" spans="2:11" ht="15" customHeight="1" x14ac:dyDescent="0.35">
      <c r="B299" s="174" t="str">
        <f>IF(ISNUMBER('Funnel setup'!P312),VLOOKUP('Funnel setup'!$P312,'Provider Commission - Raw Data'!$A:$Q,5,0),"")</f>
        <v/>
      </c>
      <c r="C299" s="175" t="str">
        <f>IF(ISNUMBER('Funnel setup'!P312),VLOOKUP('Funnel setup'!P312,'Provider Commission - Raw Data'!$A:$Q,6,0),"")</f>
        <v/>
      </c>
      <c r="D299" s="176" t="str">
        <f>IF(ISNUMBER('Funnel setup'!P312),IF(VLOOKUP('Funnel setup'!P312,'Provider Commission - Raw Data'!$A:$Q,8,0)="-","",VLOOKUP('Funnel setup'!P312,'Provider Commission - Raw Data'!$A:$Q,8,0)),"")</f>
        <v/>
      </c>
      <c r="E299" s="251" t="str">
        <f>IF(ISNUMBER('Funnel setup'!P312),IF(VLOOKUP('Funnel setup'!P312,'Provider Commission - Raw Data'!$A:$Q,16,0)="-","",VLOOKUP('Funnel setup'!P312,'Provider Commission - Raw Data'!$A:$Q,16,0)),"")</f>
        <v/>
      </c>
      <c r="F299" s="177" t="str">
        <f>IF(AND(ISNUMBER('Funnel setup'!P312)),'Funnel setup'!$K$9,"")</f>
        <v/>
      </c>
      <c r="G299" s="177" t="str">
        <f>IF(AND(ISNUMBER('Funnel setup'!P312),D299&gt;=30,E299&lt;&gt;"*",D299&lt;&gt;""),F299-1.959963985 *('Funnel setup'!$K$8/SQRT('Funnel Data'!D299)),"")</f>
        <v/>
      </c>
      <c r="H299" s="177" t="str">
        <f>IF(AND(ISNUMBER('Funnel setup'!P312),D299&gt;=30,E299&lt;&gt;"*",D299&lt;&gt;""),F299+1.959963985 *('Funnel setup'!$K$8/SQRT('Funnel Data'!D299)),"")</f>
        <v/>
      </c>
      <c r="I299" s="177" t="str">
        <f>IF(AND(ISNUMBER('Funnel setup'!P312),D299&gt;=30,E299&lt;&gt;"*",D299&lt;&gt;""),F299-3.090232306 *('Funnel setup'!$K$8/SQRT('Funnel Data'!D299)),"")</f>
        <v/>
      </c>
      <c r="J299" s="177" t="str">
        <f>IF(AND(ISNUMBER('Funnel setup'!P312),D299&gt;=30,E299&lt;&gt;"*",D299&lt;&gt;""),F299+3.090232306 *('Funnel setup'!$K$8/SQRT('Funnel Data'!D299)),"")</f>
        <v/>
      </c>
      <c r="K299" s="178" t="str">
        <f>IF(AND(ISNUMBER('Funnel setup'!P312),D299&gt;=30,E299&lt;&gt;"*",D299&lt;&gt;""),IF(E299&gt;J299,'Funnel setup'!$K$15&amp;"99.8%",IF(E299&gt;H299,'Funnel setup'!$K$15&amp;"95%",IF(E299&lt;I299,'Funnel setup'!$K$16&amp;"99.8%",IF(E299&lt;G299,'Funnel setup'!$K$16&amp;"95%","")))),"")</f>
        <v/>
      </c>
    </row>
    <row r="300" spans="2:11" ht="15" customHeight="1" x14ac:dyDescent="0.35">
      <c r="B300" s="174" t="str">
        <f>IF(ISNUMBER('Funnel setup'!P313),VLOOKUP('Funnel setup'!$P313,'Provider Commission - Raw Data'!$A:$Q,5,0),"")</f>
        <v/>
      </c>
      <c r="C300" s="175" t="str">
        <f>IF(ISNUMBER('Funnel setup'!P313),VLOOKUP('Funnel setup'!P313,'Provider Commission - Raw Data'!$A:$Q,6,0),"")</f>
        <v/>
      </c>
      <c r="D300" s="176" t="str">
        <f>IF(ISNUMBER('Funnel setup'!P313),IF(VLOOKUP('Funnel setup'!P313,'Provider Commission - Raw Data'!$A:$Q,8,0)="-","",VLOOKUP('Funnel setup'!P313,'Provider Commission - Raw Data'!$A:$Q,8,0)),"")</f>
        <v/>
      </c>
      <c r="E300" s="251" t="str">
        <f>IF(ISNUMBER('Funnel setup'!P313),IF(VLOOKUP('Funnel setup'!P313,'Provider Commission - Raw Data'!$A:$Q,16,0)="-","",VLOOKUP('Funnel setup'!P313,'Provider Commission - Raw Data'!$A:$Q,16,0)),"")</f>
        <v/>
      </c>
      <c r="F300" s="177" t="str">
        <f>IF(AND(ISNUMBER('Funnel setup'!P313)),'Funnel setup'!$K$9,"")</f>
        <v/>
      </c>
      <c r="G300" s="177" t="str">
        <f>IF(AND(ISNUMBER('Funnel setup'!P313),D300&gt;=30,E300&lt;&gt;"*",D300&lt;&gt;""),F300-1.959963985 *('Funnel setup'!$K$8/SQRT('Funnel Data'!D300)),"")</f>
        <v/>
      </c>
      <c r="H300" s="177" t="str">
        <f>IF(AND(ISNUMBER('Funnel setup'!P313),D300&gt;=30,E300&lt;&gt;"*",D300&lt;&gt;""),F300+1.959963985 *('Funnel setup'!$K$8/SQRT('Funnel Data'!D300)),"")</f>
        <v/>
      </c>
      <c r="I300" s="177" t="str">
        <f>IF(AND(ISNUMBER('Funnel setup'!P313),D300&gt;=30,E300&lt;&gt;"*",D300&lt;&gt;""),F300-3.090232306 *('Funnel setup'!$K$8/SQRT('Funnel Data'!D300)),"")</f>
        <v/>
      </c>
      <c r="J300" s="177" t="str">
        <f>IF(AND(ISNUMBER('Funnel setup'!P313),D300&gt;=30,E300&lt;&gt;"*",D300&lt;&gt;""),F300+3.090232306 *('Funnel setup'!$K$8/SQRT('Funnel Data'!D300)),"")</f>
        <v/>
      </c>
      <c r="K300" s="178" t="str">
        <f>IF(AND(ISNUMBER('Funnel setup'!P313),D300&gt;=30,E300&lt;&gt;"*",D300&lt;&gt;""),IF(E300&gt;J300,'Funnel setup'!$K$15&amp;"99.8%",IF(E300&gt;H300,'Funnel setup'!$K$15&amp;"95%",IF(E300&lt;I300,'Funnel setup'!$K$16&amp;"99.8%",IF(E300&lt;G300,'Funnel setup'!$K$16&amp;"95%","")))),"")</f>
        <v/>
      </c>
    </row>
    <row r="301" spans="2:11" ht="15" customHeight="1" x14ac:dyDescent="0.35">
      <c r="B301" s="174" t="str">
        <f>IF(ISNUMBER('Funnel setup'!P314),VLOOKUP('Funnel setup'!$P314,'Provider Commission - Raw Data'!$A:$Q,5,0),"")</f>
        <v/>
      </c>
      <c r="C301" s="175" t="str">
        <f>IF(ISNUMBER('Funnel setup'!P314),VLOOKUP('Funnel setup'!P314,'Provider Commission - Raw Data'!$A:$Q,6,0),"")</f>
        <v/>
      </c>
      <c r="D301" s="176" t="str">
        <f>IF(ISNUMBER('Funnel setup'!P314),IF(VLOOKUP('Funnel setup'!P314,'Provider Commission - Raw Data'!$A:$Q,8,0)="-","",VLOOKUP('Funnel setup'!P314,'Provider Commission - Raw Data'!$A:$Q,8,0)),"")</f>
        <v/>
      </c>
      <c r="E301" s="251" t="str">
        <f>IF(ISNUMBER('Funnel setup'!P314),IF(VLOOKUP('Funnel setup'!P314,'Provider Commission - Raw Data'!$A:$Q,16,0)="-","",VLOOKUP('Funnel setup'!P314,'Provider Commission - Raw Data'!$A:$Q,16,0)),"")</f>
        <v/>
      </c>
      <c r="F301" s="177" t="str">
        <f>IF(AND(ISNUMBER('Funnel setup'!P314)),'Funnel setup'!$K$9,"")</f>
        <v/>
      </c>
      <c r="G301" s="177" t="str">
        <f>IF(AND(ISNUMBER('Funnel setup'!P314),D301&gt;=30,E301&lt;&gt;"*",D301&lt;&gt;""),F301-1.959963985 *('Funnel setup'!$K$8/SQRT('Funnel Data'!D301)),"")</f>
        <v/>
      </c>
      <c r="H301" s="177" t="str">
        <f>IF(AND(ISNUMBER('Funnel setup'!P314),D301&gt;=30,E301&lt;&gt;"*",D301&lt;&gt;""),F301+1.959963985 *('Funnel setup'!$K$8/SQRT('Funnel Data'!D301)),"")</f>
        <v/>
      </c>
      <c r="I301" s="177" t="str">
        <f>IF(AND(ISNUMBER('Funnel setup'!P314),D301&gt;=30,E301&lt;&gt;"*",D301&lt;&gt;""),F301-3.090232306 *('Funnel setup'!$K$8/SQRT('Funnel Data'!D301)),"")</f>
        <v/>
      </c>
      <c r="J301" s="177" t="str">
        <f>IF(AND(ISNUMBER('Funnel setup'!P314),D301&gt;=30,E301&lt;&gt;"*",D301&lt;&gt;""),F301+3.090232306 *('Funnel setup'!$K$8/SQRT('Funnel Data'!D301)),"")</f>
        <v/>
      </c>
      <c r="K301" s="178" t="str">
        <f>IF(AND(ISNUMBER('Funnel setup'!P314),D301&gt;=30,E301&lt;&gt;"*",D301&lt;&gt;""),IF(E301&gt;J301,'Funnel setup'!$K$15&amp;"99.8%",IF(E301&gt;H301,'Funnel setup'!$K$15&amp;"95%",IF(E301&lt;I301,'Funnel setup'!$K$16&amp;"99.8%",IF(E301&lt;G301,'Funnel setup'!$K$16&amp;"95%","")))),"")</f>
        <v/>
      </c>
    </row>
    <row r="302" spans="2:11" ht="15" customHeight="1" x14ac:dyDescent="0.35">
      <c r="B302" s="174" t="str">
        <f>IF(ISNUMBER('Funnel setup'!P315),VLOOKUP('Funnel setup'!$P315,'Provider Commission - Raw Data'!$A:$Q,5,0),"")</f>
        <v/>
      </c>
      <c r="C302" s="175" t="str">
        <f>IF(ISNUMBER('Funnel setup'!P315),VLOOKUP('Funnel setup'!P315,'Provider Commission - Raw Data'!$A:$Q,6,0),"")</f>
        <v/>
      </c>
      <c r="D302" s="176" t="str">
        <f>IF(ISNUMBER('Funnel setup'!P315),IF(VLOOKUP('Funnel setup'!P315,'Provider Commission - Raw Data'!$A:$Q,8,0)="-","",VLOOKUP('Funnel setup'!P315,'Provider Commission - Raw Data'!$A:$Q,8,0)),"")</f>
        <v/>
      </c>
      <c r="E302" s="251" t="str">
        <f>IF(ISNUMBER('Funnel setup'!P315),IF(VLOOKUP('Funnel setup'!P315,'Provider Commission - Raw Data'!$A:$Q,16,0)="-","",VLOOKUP('Funnel setup'!P315,'Provider Commission - Raw Data'!$A:$Q,16,0)),"")</f>
        <v/>
      </c>
      <c r="F302" s="177" t="str">
        <f>IF(AND(ISNUMBER('Funnel setup'!P315)),'Funnel setup'!$K$9,"")</f>
        <v/>
      </c>
      <c r="G302" s="177" t="str">
        <f>IF(AND(ISNUMBER('Funnel setup'!P315),D302&gt;=30,E302&lt;&gt;"*",D302&lt;&gt;""),F302-1.959963985 *('Funnel setup'!$K$8/SQRT('Funnel Data'!D302)),"")</f>
        <v/>
      </c>
      <c r="H302" s="177" t="str">
        <f>IF(AND(ISNUMBER('Funnel setup'!P315),D302&gt;=30,E302&lt;&gt;"*",D302&lt;&gt;""),F302+1.959963985 *('Funnel setup'!$K$8/SQRT('Funnel Data'!D302)),"")</f>
        <v/>
      </c>
      <c r="I302" s="177" t="str">
        <f>IF(AND(ISNUMBER('Funnel setup'!P315),D302&gt;=30,E302&lt;&gt;"*",D302&lt;&gt;""),F302-3.090232306 *('Funnel setup'!$K$8/SQRT('Funnel Data'!D302)),"")</f>
        <v/>
      </c>
      <c r="J302" s="177" t="str">
        <f>IF(AND(ISNUMBER('Funnel setup'!P315),D302&gt;=30,E302&lt;&gt;"*",D302&lt;&gt;""),F302+3.090232306 *('Funnel setup'!$K$8/SQRT('Funnel Data'!D302)),"")</f>
        <v/>
      </c>
      <c r="K302" s="178" t="str">
        <f>IF(AND(ISNUMBER('Funnel setup'!P315),D302&gt;=30,E302&lt;&gt;"*",D302&lt;&gt;""),IF(E302&gt;J302,'Funnel setup'!$K$15&amp;"99.8%",IF(E302&gt;H302,'Funnel setup'!$K$15&amp;"95%",IF(E302&lt;I302,'Funnel setup'!$K$16&amp;"99.8%",IF(E302&lt;G302,'Funnel setup'!$K$16&amp;"95%","")))),"")</f>
        <v/>
      </c>
    </row>
    <row r="303" spans="2:11" ht="15" customHeight="1" x14ac:dyDescent="0.35">
      <c r="B303" s="174" t="str">
        <f>IF(ISNUMBER('Funnel setup'!P316),VLOOKUP('Funnel setup'!$P316,'Provider Commission - Raw Data'!$A:$Q,5,0),"")</f>
        <v/>
      </c>
      <c r="C303" s="175" t="str">
        <f>IF(ISNUMBER('Funnel setup'!P316),VLOOKUP('Funnel setup'!P316,'Provider Commission - Raw Data'!$A:$Q,6,0),"")</f>
        <v/>
      </c>
      <c r="D303" s="176" t="str">
        <f>IF(ISNUMBER('Funnel setup'!P316),IF(VLOOKUP('Funnel setup'!P316,'Provider Commission - Raw Data'!$A:$Q,8,0)="-","",VLOOKUP('Funnel setup'!P316,'Provider Commission - Raw Data'!$A:$Q,8,0)),"")</f>
        <v/>
      </c>
      <c r="E303" s="251" t="str">
        <f>IF(ISNUMBER('Funnel setup'!P316),IF(VLOOKUP('Funnel setup'!P316,'Provider Commission - Raw Data'!$A:$Q,16,0)="-","",VLOOKUP('Funnel setup'!P316,'Provider Commission - Raw Data'!$A:$Q,16,0)),"")</f>
        <v/>
      </c>
      <c r="F303" s="177" t="str">
        <f>IF(AND(ISNUMBER('Funnel setup'!P316)),'Funnel setup'!$K$9,"")</f>
        <v/>
      </c>
      <c r="G303" s="177" t="str">
        <f>IF(AND(ISNUMBER('Funnel setup'!P316),D303&gt;=30,E303&lt;&gt;"*",D303&lt;&gt;""),F303-1.959963985 *('Funnel setup'!$K$8/SQRT('Funnel Data'!D303)),"")</f>
        <v/>
      </c>
      <c r="H303" s="177" t="str">
        <f>IF(AND(ISNUMBER('Funnel setup'!P316),D303&gt;=30,E303&lt;&gt;"*",D303&lt;&gt;""),F303+1.959963985 *('Funnel setup'!$K$8/SQRT('Funnel Data'!D303)),"")</f>
        <v/>
      </c>
      <c r="I303" s="177" t="str">
        <f>IF(AND(ISNUMBER('Funnel setup'!P316),D303&gt;=30,E303&lt;&gt;"*",D303&lt;&gt;""),F303-3.090232306 *('Funnel setup'!$K$8/SQRT('Funnel Data'!D303)),"")</f>
        <v/>
      </c>
      <c r="J303" s="177" t="str">
        <f>IF(AND(ISNUMBER('Funnel setup'!P316),D303&gt;=30,E303&lt;&gt;"*",D303&lt;&gt;""),F303+3.090232306 *('Funnel setup'!$K$8/SQRT('Funnel Data'!D303)),"")</f>
        <v/>
      </c>
      <c r="K303" s="178" t="str">
        <f>IF(AND(ISNUMBER('Funnel setup'!P316),D303&gt;=30,E303&lt;&gt;"*",D303&lt;&gt;""),IF(E303&gt;J303,'Funnel setup'!$K$15&amp;"99.8%",IF(E303&gt;H303,'Funnel setup'!$K$15&amp;"95%",IF(E303&lt;I303,'Funnel setup'!$K$16&amp;"99.8%",IF(E303&lt;G303,'Funnel setup'!$K$16&amp;"95%","")))),"")</f>
        <v/>
      </c>
    </row>
    <row r="304" spans="2:11" ht="15" customHeight="1" x14ac:dyDescent="0.35">
      <c r="B304" s="174" t="str">
        <f>IF(ISNUMBER('Funnel setup'!P317),VLOOKUP('Funnel setup'!$P317,'Provider Commission - Raw Data'!$A:$Q,5,0),"")</f>
        <v/>
      </c>
      <c r="C304" s="175" t="str">
        <f>IF(ISNUMBER('Funnel setup'!P317),VLOOKUP('Funnel setup'!P317,'Provider Commission - Raw Data'!$A:$Q,6,0),"")</f>
        <v/>
      </c>
      <c r="D304" s="176" t="str">
        <f>IF(ISNUMBER('Funnel setup'!P317),IF(VLOOKUP('Funnel setup'!P317,'Provider Commission - Raw Data'!$A:$Q,8,0)="-","",VLOOKUP('Funnel setup'!P317,'Provider Commission - Raw Data'!$A:$Q,8,0)),"")</f>
        <v/>
      </c>
      <c r="E304" s="251" t="str">
        <f>IF(ISNUMBER('Funnel setup'!P317),IF(VLOOKUP('Funnel setup'!P317,'Provider Commission - Raw Data'!$A:$Q,16,0)="-","",VLOOKUP('Funnel setup'!P317,'Provider Commission - Raw Data'!$A:$Q,16,0)),"")</f>
        <v/>
      </c>
      <c r="F304" s="177" t="str">
        <f>IF(AND(ISNUMBER('Funnel setup'!P317)),'Funnel setup'!$K$9,"")</f>
        <v/>
      </c>
      <c r="G304" s="177" t="str">
        <f>IF(AND(ISNUMBER('Funnel setup'!P317),D304&gt;=30,E304&lt;&gt;"*",D304&lt;&gt;""),F304-1.959963985 *('Funnel setup'!$K$8/SQRT('Funnel Data'!D304)),"")</f>
        <v/>
      </c>
      <c r="H304" s="177" t="str">
        <f>IF(AND(ISNUMBER('Funnel setup'!P317),D304&gt;=30,E304&lt;&gt;"*",D304&lt;&gt;""),F304+1.959963985 *('Funnel setup'!$K$8/SQRT('Funnel Data'!D304)),"")</f>
        <v/>
      </c>
      <c r="I304" s="177" t="str">
        <f>IF(AND(ISNUMBER('Funnel setup'!P317),D304&gt;=30,E304&lt;&gt;"*",D304&lt;&gt;""),F304-3.090232306 *('Funnel setup'!$K$8/SQRT('Funnel Data'!D304)),"")</f>
        <v/>
      </c>
      <c r="J304" s="177" t="str">
        <f>IF(AND(ISNUMBER('Funnel setup'!P317),D304&gt;=30,E304&lt;&gt;"*",D304&lt;&gt;""),F304+3.090232306 *('Funnel setup'!$K$8/SQRT('Funnel Data'!D304)),"")</f>
        <v/>
      </c>
      <c r="K304" s="178" t="str">
        <f>IF(AND(ISNUMBER('Funnel setup'!P317),D304&gt;=30,E304&lt;&gt;"*",D304&lt;&gt;""),IF(E304&gt;J304,'Funnel setup'!$K$15&amp;"99.8%",IF(E304&gt;H304,'Funnel setup'!$K$15&amp;"95%",IF(E304&lt;I304,'Funnel setup'!$K$16&amp;"99.8%",IF(E304&lt;G304,'Funnel setup'!$K$16&amp;"95%","")))),"")</f>
        <v/>
      </c>
    </row>
    <row r="305" spans="2:11" ht="15" customHeight="1" x14ac:dyDescent="0.35">
      <c r="B305" s="174" t="str">
        <f>IF(ISNUMBER('Funnel setup'!P318),VLOOKUP('Funnel setup'!$P318,'Provider Commission - Raw Data'!$A:$Q,5,0),"")</f>
        <v/>
      </c>
      <c r="C305" s="175" t="str">
        <f>IF(ISNUMBER('Funnel setup'!P318),VLOOKUP('Funnel setup'!P318,'Provider Commission - Raw Data'!$A:$Q,6,0),"")</f>
        <v/>
      </c>
      <c r="D305" s="176" t="str">
        <f>IF(ISNUMBER('Funnel setup'!P318),IF(VLOOKUP('Funnel setup'!P318,'Provider Commission - Raw Data'!$A:$Q,8,0)="-","",VLOOKUP('Funnel setup'!P318,'Provider Commission - Raw Data'!$A:$Q,8,0)),"")</f>
        <v/>
      </c>
      <c r="E305" s="251" t="str">
        <f>IF(ISNUMBER('Funnel setup'!P318),IF(VLOOKUP('Funnel setup'!P318,'Provider Commission - Raw Data'!$A:$Q,16,0)="-","",VLOOKUP('Funnel setup'!P318,'Provider Commission - Raw Data'!$A:$Q,16,0)),"")</f>
        <v/>
      </c>
      <c r="F305" s="177" t="str">
        <f>IF(AND(ISNUMBER('Funnel setup'!P318)),'Funnel setup'!$K$9,"")</f>
        <v/>
      </c>
      <c r="G305" s="177" t="str">
        <f>IF(AND(ISNUMBER('Funnel setup'!P318),D305&gt;=30,E305&lt;&gt;"*",D305&lt;&gt;""),F305-1.959963985 *('Funnel setup'!$K$8/SQRT('Funnel Data'!D305)),"")</f>
        <v/>
      </c>
      <c r="H305" s="177" t="str">
        <f>IF(AND(ISNUMBER('Funnel setup'!P318),D305&gt;=30,E305&lt;&gt;"*",D305&lt;&gt;""),F305+1.959963985 *('Funnel setup'!$K$8/SQRT('Funnel Data'!D305)),"")</f>
        <v/>
      </c>
      <c r="I305" s="177" t="str">
        <f>IF(AND(ISNUMBER('Funnel setup'!P318),D305&gt;=30,E305&lt;&gt;"*",D305&lt;&gt;""),F305-3.090232306 *('Funnel setup'!$K$8/SQRT('Funnel Data'!D305)),"")</f>
        <v/>
      </c>
      <c r="J305" s="177" t="str">
        <f>IF(AND(ISNUMBER('Funnel setup'!P318),D305&gt;=30,E305&lt;&gt;"*",D305&lt;&gt;""),F305+3.090232306 *('Funnel setup'!$K$8/SQRT('Funnel Data'!D305)),"")</f>
        <v/>
      </c>
      <c r="K305" s="178" t="str">
        <f>IF(AND(ISNUMBER('Funnel setup'!P318),D305&gt;=30,E305&lt;&gt;"*",D305&lt;&gt;""),IF(E305&gt;J305,'Funnel setup'!$K$15&amp;"99.8%",IF(E305&gt;H305,'Funnel setup'!$K$15&amp;"95%",IF(E305&lt;I305,'Funnel setup'!$K$16&amp;"99.8%",IF(E305&lt;G305,'Funnel setup'!$K$16&amp;"95%","")))),"")</f>
        <v/>
      </c>
    </row>
    <row r="306" spans="2:11" ht="15" customHeight="1" x14ac:dyDescent="0.35">
      <c r="B306" s="174" t="str">
        <f>IF(ISNUMBER('Funnel setup'!P319),VLOOKUP('Funnel setup'!$P319,'Provider Commission - Raw Data'!$A:$Q,5,0),"")</f>
        <v/>
      </c>
      <c r="C306" s="175" t="str">
        <f>IF(ISNUMBER('Funnel setup'!P319),VLOOKUP('Funnel setup'!P319,'Provider Commission - Raw Data'!$A:$Q,6,0),"")</f>
        <v/>
      </c>
      <c r="D306" s="176" t="str">
        <f>IF(ISNUMBER('Funnel setup'!P319),IF(VLOOKUP('Funnel setup'!P319,'Provider Commission - Raw Data'!$A:$Q,8,0)="-","",VLOOKUP('Funnel setup'!P319,'Provider Commission - Raw Data'!$A:$Q,8,0)),"")</f>
        <v/>
      </c>
      <c r="E306" s="251" t="str">
        <f>IF(ISNUMBER('Funnel setup'!P319),IF(VLOOKUP('Funnel setup'!P319,'Provider Commission - Raw Data'!$A:$Q,16,0)="-","",VLOOKUP('Funnel setup'!P319,'Provider Commission - Raw Data'!$A:$Q,16,0)),"")</f>
        <v/>
      </c>
      <c r="F306" s="177" t="str">
        <f>IF(AND(ISNUMBER('Funnel setup'!P319)),'Funnel setup'!$K$9,"")</f>
        <v/>
      </c>
      <c r="G306" s="177" t="str">
        <f>IF(AND(ISNUMBER('Funnel setup'!P319),D306&gt;=30,E306&lt;&gt;"*",D306&lt;&gt;""),F306-1.959963985 *('Funnel setup'!$K$8/SQRT('Funnel Data'!D306)),"")</f>
        <v/>
      </c>
      <c r="H306" s="177" t="str">
        <f>IF(AND(ISNUMBER('Funnel setup'!P319),D306&gt;=30,E306&lt;&gt;"*",D306&lt;&gt;""),F306+1.959963985 *('Funnel setup'!$K$8/SQRT('Funnel Data'!D306)),"")</f>
        <v/>
      </c>
      <c r="I306" s="177" t="str">
        <f>IF(AND(ISNUMBER('Funnel setup'!P319),D306&gt;=30,E306&lt;&gt;"*",D306&lt;&gt;""),F306-3.090232306 *('Funnel setup'!$K$8/SQRT('Funnel Data'!D306)),"")</f>
        <v/>
      </c>
      <c r="J306" s="177" t="str">
        <f>IF(AND(ISNUMBER('Funnel setup'!P319),D306&gt;=30,E306&lt;&gt;"*",D306&lt;&gt;""),F306+3.090232306 *('Funnel setup'!$K$8/SQRT('Funnel Data'!D306)),"")</f>
        <v/>
      </c>
      <c r="K306" s="178" t="str">
        <f>IF(AND(ISNUMBER('Funnel setup'!P319),D306&gt;=30,E306&lt;&gt;"*",D306&lt;&gt;""),IF(E306&gt;J306,'Funnel setup'!$K$15&amp;"99.8%",IF(E306&gt;H306,'Funnel setup'!$K$15&amp;"95%",IF(E306&lt;I306,'Funnel setup'!$K$16&amp;"99.8%",IF(E306&lt;G306,'Funnel setup'!$K$16&amp;"95%","")))),"")</f>
        <v/>
      </c>
    </row>
    <row r="307" spans="2:11" ht="15" customHeight="1" x14ac:dyDescent="0.35">
      <c r="B307" s="174" t="str">
        <f>IF(ISNUMBER('Funnel setup'!P320),VLOOKUP('Funnel setup'!$P320,'Provider Commission - Raw Data'!$A:$Q,5,0),"")</f>
        <v/>
      </c>
      <c r="C307" s="175" t="str">
        <f>IF(ISNUMBER('Funnel setup'!P320),VLOOKUP('Funnel setup'!P320,'Provider Commission - Raw Data'!$A:$Q,6,0),"")</f>
        <v/>
      </c>
      <c r="D307" s="176" t="str">
        <f>IF(ISNUMBER('Funnel setup'!P320),IF(VLOOKUP('Funnel setup'!P320,'Provider Commission - Raw Data'!$A:$Q,8,0)="-","",VLOOKUP('Funnel setup'!P320,'Provider Commission - Raw Data'!$A:$Q,8,0)),"")</f>
        <v/>
      </c>
      <c r="E307" s="251" t="str">
        <f>IF(ISNUMBER('Funnel setup'!P320),IF(VLOOKUP('Funnel setup'!P320,'Provider Commission - Raw Data'!$A:$Q,16,0)="-","",VLOOKUP('Funnel setup'!P320,'Provider Commission - Raw Data'!$A:$Q,16,0)),"")</f>
        <v/>
      </c>
      <c r="F307" s="177" t="str">
        <f>IF(AND(ISNUMBER('Funnel setup'!P320)),'Funnel setup'!$K$9,"")</f>
        <v/>
      </c>
      <c r="G307" s="177" t="str">
        <f>IF(AND(ISNUMBER('Funnel setup'!P320),D307&gt;=30,E307&lt;&gt;"*",D307&lt;&gt;""),F307-1.959963985 *('Funnel setup'!$K$8/SQRT('Funnel Data'!D307)),"")</f>
        <v/>
      </c>
      <c r="H307" s="177" t="str">
        <f>IF(AND(ISNUMBER('Funnel setup'!P320),D307&gt;=30,E307&lt;&gt;"*",D307&lt;&gt;""),F307+1.959963985 *('Funnel setup'!$K$8/SQRT('Funnel Data'!D307)),"")</f>
        <v/>
      </c>
      <c r="I307" s="177" t="str">
        <f>IF(AND(ISNUMBER('Funnel setup'!P320),D307&gt;=30,E307&lt;&gt;"*",D307&lt;&gt;""),F307-3.090232306 *('Funnel setup'!$K$8/SQRT('Funnel Data'!D307)),"")</f>
        <v/>
      </c>
      <c r="J307" s="177" t="str">
        <f>IF(AND(ISNUMBER('Funnel setup'!P320),D307&gt;=30,E307&lt;&gt;"*",D307&lt;&gt;""),F307+3.090232306 *('Funnel setup'!$K$8/SQRT('Funnel Data'!D307)),"")</f>
        <v/>
      </c>
      <c r="K307" s="178" t="str">
        <f>IF(AND(ISNUMBER('Funnel setup'!P320),D307&gt;=30,E307&lt;&gt;"*",D307&lt;&gt;""),IF(E307&gt;J307,'Funnel setup'!$K$15&amp;"99.8%",IF(E307&gt;H307,'Funnel setup'!$K$15&amp;"95%",IF(E307&lt;I307,'Funnel setup'!$K$16&amp;"99.8%",IF(E307&lt;G307,'Funnel setup'!$K$16&amp;"95%","")))),"")</f>
        <v/>
      </c>
    </row>
    <row r="308" spans="2:11" ht="15" customHeight="1" x14ac:dyDescent="0.35">
      <c r="B308" s="174" t="str">
        <f>IF(ISNUMBER('Funnel setup'!P321),VLOOKUP('Funnel setup'!$P321,'Provider Commission - Raw Data'!$A:$Q,5,0),"")</f>
        <v/>
      </c>
      <c r="C308" s="175" t="str">
        <f>IF(ISNUMBER('Funnel setup'!P321),VLOOKUP('Funnel setup'!P321,'Provider Commission - Raw Data'!$A:$Q,6,0),"")</f>
        <v/>
      </c>
      <c r="D308" s="176" t="str">
        <f>IF(ISNUMBER('Funnel setup'!P321),IF(VLOOKUP('Funnel setup'!P321,'Provider Commission - Raw Data'!$A:$Q,8,0)="-","",VLOOKUP('Funnel setup'!P321,'Provider Commission - Raw Data'!$A:$Q,8,0)),"")</f>
        <v/>
      </c>
      <c r="E308" s="251" t="str">
        <f>IF(ISNUMBER('Funnel setup'!P321),IF(VLOOKUP('Funnel setup'!P321,'Provider Commission - Raw Data'!$A:$Q,16,0)="-","",VLOOKUP('Funnel setup'!P321,'Provider Commission - Raw Data'!$A:$Q,16,0)),"")</f>
        <v/>
      </c>
      <c r="F308" s="177" t="str">
        <f>IF(AND(ISNUMBER('Funnel setup'!P321)),'Funnel setup'!$K$9,"")</f>
        <v/>
      </c>
      <c r="G308" s="177" t="str">
        <f>IF(AND(ISNUMBER('Funnel setup'!P321),D308&gt;=30,E308&lt;&gt;"*",D308&lt;&gt;""),F308-1.959963985 *('Funnel setup'!$K$8/SQRT('Funnel Data'!D308)),"")</f>
        <v/>
      </c>
      <c r="H308" s="177" t="str">
        <f>IF(AND(ISNUMBER('Funnel setup'!P321),D308&gt;=30,E308&lt;&gt;"*",D308&lt;&gt;""),F308+1.959963985 *('Funnel setup'!$K$8/SQRT('Funnel Data'!D308)),"")</f>
        <v/>
      </c>
      <c r="I308" s="177" t="str">
        <f>IF(AND(ISNUMBER('Funnel setup'!P321),D308&gt;=30,E308&lt;&gt;"*",D308&lt;&gt;""),F308-3.090232306 *('Funnel setup'!$K$8/SQRT('Funnel Data'!D308)),"")</f>
        <v/>
      </c>
      <c r="J308" s="177" t="str">
        <f>IF(AND(ISNUMBER('Funnel setup'!P321),D308&gt;=30,E308&lt;&gt;"*",D308&lt;&gt;""),F308+3.090232306 *('Funnel setup'!$K$8/SQRT('Funnel Data'!D308)),"")</f>
        <v/>
      </c>
      <c r="K308" s="178" t="str">
        <f>IF(AND(ISNUMBER('Funnel setup'!P321),D308&gt;=30,E308&lt;&gt;"*",D308&lt;&gt;""),IF(E308&gt;J308,'Funnel setup'!$K$15&amp;"99.8%",IF(E308&gt;H308,'Funnel setup'!$K$15&amp;"95%",IF(E308&lt;I308,'Funnel setup'!$K$16&amp;"99.8%",IF(E308&lt;G308,'Funnel setup'!$K$16&amp;"95%","")))),"")</f>
        <v/>
      </c>
    </row>
    <row r="309" spans="2:11" ht="15" customHeight="1" x14ac:dyDescent="0.35">
      <c r="B309" s="174" t="str">
        <f>IF(ISNUMBER('Funnel setup'!P322),VLOOKUP('Funnel setup'!$P322,'Provider Commission - Raw Data'!$A:$Q,5,0),"")</f>
        <v/>
      </c>
      <c r="C309" s="175" t="str">
        <f>IF(ISNUMBER('Funnel setup'!P322),VLOOKUP('Funnel setup'!P322,'Provider Commission - Raw Data'!$A:$Q,6,0),"")</f>
        <v/>
      </c>
      <c r="D309" s="176" t="str">
        <f>IF(ISNUMBER('Funnel setup'!P322),IF(VLOOKUP('Funnel setup'!P322,'Provider Commission - Raw Data'!$A:$Q,8,0)="-","",VLOOKUP('Funnel setup'!P322,'Provider Commission - Raw Data'!$A:$Q,8,0)),"")</f>
        <v/>
      </c>
      <c r="E309" s="251" t="str">
        <f>IF(ISNUMBER('Funnel setup'!P322),IF(VLOOKUP('Funnel setup'!P322,'Provider Commission - Raw Data'!$A:$Q,16,0)="-","",VLOOKUP('Funnel setup'!P322,'Provider Commission - Raw Data'!$A:$Q,16,0)),"")</f>
        <v/>
      </c>
      <c r="F309" s="177" t="str">
        <f>IF(AND(ISNUMBER('Funnel setup'!P322)),'Funnel setup'!$K$9,"")</f>
        <v/>
      </c>
      <c r="G309" s="177" t="str">
        <f>IF(AND(ISNUMBER('Funnel setup'!P322),D309&gt;=30,E309&lt;&gt;"*",D309&lt;&gt;""),F309-1.959963985 *('Funnel setup'!$K$8/SQRT('Funnel Data'!D309)),"")</f>
        <v/>
      </c>
      <c r="H309" s="177" t="str">
        <f>IF(AND(ISNUMBER('Funnel setup'!P322),D309&gt;=30,E309&lt;&gt;"*",D309&lt;&gt;""),F309+1.959963985 *('Funnel setup'!$K$8/SQRT('Funnel Data'!D309)),"")</f>
        <v/>
      </c>
      <c r="I309" s="177" t="str">
        <f>IF(AND(ISNUMBER('Funnel setup'!P322),D309&gt;=30,E309&lt;&gt;"*",D309&lt;&gt;""),F309-3.090232306 *('Funnel setup'!$K$8/SQRT('Funnel Data'!D309)),"")</f>
        <v/>
      </c>
      <c r="J309" s="177" t="str">
        <f>IF(AND(ISNUMBER('Funnel setup'!P322),D309&gt;=30,E309&lt;&gt;"*",D309&lt;&gt;""),F309+3.090232306 *('Funnel setup'!$K$8/SQRT('Funnel Data'!D309)),"")</f>
        <v/>
      </c>
      <c r="K309" s="178" t="str">
        <f>IF(AND(ISNUMBER('Funnel setup'!P322),D309&gt;=30,E309&lt;&gt;"*",D309&lt;&gt;""),IF(E309&gt;J309,'Funnel setup'!$K$15&amp;"99.8%",IF(E309&gt;H309,'Funnel setup'!$K$15&amp;"95%",IF(E309&lt;I309,'Funnel setup'!$K$16&amp;"99.8%",IF(E309&lt;G309,'Funnel setup'!$K$16&amp;"95%","")))),"")</f>
        <v/>
      </c>
    </row>
    <row r="310" spans="2:11" ht="15" customHeight="1" x14ac:dyDescent="0.35">
      <c r="B310" s="174" t="str">
        <f>IF(ISNUMBER('Funnel setup'!P323),VLOOKUP('Funnel setup'!$P323,'Provider Commission - Raw Data'!$A:$Q,5,0),"")</f>
        <v/>
      </c>
      <c r="C310" s="175" t="str">
        <f>IF(ISNUMBER('Funnel setup'!P323),VLOOKUP('Funnel setup'!P323,'Provider Commission - Raw Data'!$A:$Q,6,0),"")</f>
        <v/>
      </c>
      <c r="D310" s="176" t="str">
        <f>IF(ISNUMBER('Funnel setup'!P323),IF(VLOOKUP('Funnel setup'!P323,'Provider Commission - Raw Data'!$A:$Q,8,0)="-","",VLOOKUP('Funnel setup'!P323,'Provider Commission - Raw Data'!$A:$Q,8,0)),"")</f>
        <v/>
      </c>
      <c r="E310" s="251" t="str">
        <f>IF(ISNUMBER('Funnel setup'!P323),IF(VLOOKUP('Funnel setup'!P323,'Provider Commission - Raw Data'!$A:$Q,16,0)="-","",VLOOKUP('Funnel setup'!P323,'Provider Commission - Raw Data'!$A:$Q,16,0)),"")</f>
        <v/>
      </c>
      <c r="F310" s="177" t="str">
        <f>IF(AND(ISNUMBER('Funnel setup'!P323)),'Funnel setup'!$K$9,"")</f>
        <v/>
      </c>
      <c r="G310" s="177" t="str">
        <f>IF(AND(ISNUMBER('Funnel setup'!P323),D310&gt;=30,E310&lt;&gt;"*",D310&lt;&gt;""),F310-1.959963985 *('Funnel setup'!$K$8/SQRT('Funnel Data'!D310)),"")</f>
        <v/>
      </c>
      <c r="H310" s="177" t="str">
        <f>IF(AND(ISNUMBER('Funnel setup'!P323),D310&gt;=30,E310&lt;&gt;"*",D310&lt;&gt;""),F310+1.959963985 *('Funnel setup'!$K$8/SQRT('Funnel Data'!D310)),"")</f>
        <v/>
      </c>
      <c r="I310" s="177" t="str">
        <f>IF(AND(ISNUMBER('Funnel setup'!P323),D310&gt;=30,E310&lt;&gt;"*",D310&lt;&gt;""),F310-3.090232306 *('Funnel setup'!$K$8/SQRT('Funnel Data'!D310)),"")</f>
        <v/>
      </c>
      <c r="J310" s="177" t="str">
        <f>IF(AND(ISNUMBER('Funnel setup'!P323),D310&gt;=30,E310&lt;&gt;"*",D310&lt;&gt;""),F310+3.090232306 *('Funnel setup'!$K$8/SQRT('Funnel Data'!D310)),"")</f>
        <v/>
      </c>
      <c r="K310" s="178" t="str">
        <f>IF(AND(ISNUMBER('Funnel setup'!P323),D310&gt;=30,E310&lt;&gt;"*",D310&lt;&gt;""),IF(E310&gt;J310,'Funnel setup'!$K$15&amp;"99.8%",IF(E310&gt;H310,'Funnel setup'!$K$15&amp;"95%",IF(E310&lt;I310,'Funnel setup'!$K$16&amp;"99.8%",IF(E310&lt;G310,'Funnel setup'!$K$16&amp;"95%","")))),"")</f>
        <v/>
      </c>
    </row>
    <row r="311" spans="2:11" ht="15" customHeight="1" x14ac:dyDescent="0.35">
      <c r="B311" s="174" t="str">
        <f>IF(ISNUMBER('Funnel setup'!P324),VLOOKUP('Funnel setup'!$P324,'Provider Commission - Raw Data'!$A:$Q,5,0),"")</f>
        <v/>
      </c>
      <c r="C311" s="175" t="str">
        <f>IF(ISNUMBER('Funnel setup'!P324),VLOOKUP('Funnel setup'!P324,'Provider Commission - Raw Data'!$A:$Q,6,0),"")</f>
        <v/>
      </c>
      <c r="D311" s="176" t="str">
        <f>IF(ISNUMBER('Funnel setup'!P324),IF(VLOOKUP('Funnel setup'!P324,'Provider Commission - Raw Data'!$A:$Q,8,0)="-","",VLOOKUP('Funnel setup'!P324,'Provider Commission - Raw Data'!$A:$Q,8,0)),"")</f>
        <v/>
      </c>
      <c r="E311" s="251" t="str">
        <f>IF(ISNUMBER('Funnel setup'!P324),IF(VLOOKUP('Funnel setup'!P324,'Provider Commission - Raw Data'!$A:$Q,16,0)="-","",VLOOKUP('Funnel setup'!P324,'Provider Commission - Raw Data'!$A:$Q,16,0)),"")</f>
        <v/>
      </c>
      <c r="F311" s="177" t="str">
        <f>IF(AND(ISNUMBER('Funnel setup'!P324)),'Funnel setup'!$K$9,"")</f>
        <v/>
      </c>
      <c r="G311" s="177" t="str">
        <f>IF(AND(ISNUMBER('Funnel setup'!P324),D311&gt;=30,E311&lt;&gt;"*",D311&lt;&gt;""),F311-1.959963985 *('Funnel setup'!$K$8/SQRT('Funnel Data'!D311)),"")</f>
        <v/>
      </c>
      <c r="H311" s="177" t="str">
        <f>IF(AND(ISNUMBER('Funnel setup'!P324),D311&gt;=30,E311&lt;&gt;"*",D311&lt;&gt;""),F311+1.959963985 *('Funnel setup'!$K$8/SQRT('Funnel Data'!D311)),"")</f>
        <v/>
      </c>
      <c r="I311" s="177" t="str">
        <f>IF(AND(ISNUMBER('Funnel setup'!P324),D311&gt;=30,E311&lt;&gt;"*",D311&lt;&gt;""),F311-3.090232306 *('Funnel setup'!$K$8/SQRT('Funnel Data'!D311)),"")</f>
        <v/>
      </c>
      <c r="J311" s="177" t="str">
        <f>IF(AND(ISNUMBER('Funnel setup'!P324),D311&gt;=30,E311&lt;&gt;"*",D311&lt;&gt;""),F311+3.090232306 *('Funnel setup'!$K$8/SQRT('Funnel Data'!D311)),"")</f>
        <v/>
      </c>
      <c r="K311" s="178" t="str">
        <f>IF(AND(ISNUMBER('Funnel setup'!P324),D311&gt;=30,E311&lt;&gt;"*",D311&lt;&gt;""),IF(E311&gt;J311,'Funnel setup'!$K$15&amp;"99.8%",IF(E311&gt;H311,'Funnel setup'!$K$15&amp;"95%",IF(E311&lt;I311,'Funnel setup'!$K$16&amp;"99.8%",IF(E311&lt;G311,'Funnel setup'!$K$16&amp;"95%","")))),"")</f>
        <v/>
      </c>
    </row>
    <row r="312" spans="2:11" ht="15" customHeight="1" x14ac:dyDescent="0.35">
      <c r="B312" s="174" t="str">
        <f>IF(ISNUMBER('Funnel setup'!P325),VLOOKUP('Funnel setup'!$P325,'Provider Commission - Raw Data'!$A:$Q,5,0),"")</f>
        <v/>
      </c>
      <c r="C312" s="175" t="str">
        <f>IF(ISNUMBER('Funnel setup'!P325),VLOOKUP('Funnel setup'!P325,'Provider Commission - Raw Data'!$A:$Q,6,0),"")</f>
        <v/>
      </c>
      <c r="D312" s="176" t="str">
        <f>IF(ISNUMBER('Funnel setup'!P325),IF(VLOOKUP('Funnel setup'!P325,'Provider Commission - Raw Data'!$A:$Q,8,0)="-","",VLOOKUP('Funnel setup'!P325,'Provider Commission - Raw Data'!$A:$Q,8,0)),"")</f>
        <v/>
      </c>
      <c r="E312" s="251" t="str">
        <f>IF(ISNUMBER('Funnel setup'!P325),IF(VLOOKUP('Funnel setup'!P325,'Provider Commission - Raw Data'!$A:$Q,16,0)="-","",VLOOKUP('Funnel setup'!P325,'Provider Commission - Raw Data'!$A:$Q,16,0)),"")</f>
        <v/>
      </c>
      <c r="F312" s="177" t="str">
        <f>IF(AND(ISNUMBER('Funnel setup'!P325)),'Funnel setup'!$K$9,"")</f>
        <v/>
      </c>
      <c r="G312" s="177" t="str">
        <f>IF(AND(ISNUMBER('Funnel setup'!P325),D312&gt;=30,E312&lt;&gt;"*",D312&lt;&gt;""),F312-1.959963985 *('Funnel setup'!$K$8/SQRT('Funnel Data'!D312)),"")</f>
        <v/>
      </c>
      <c r="H312" s="177" t="str">
        <f>IF(AND(ISNUMBER('Funnel setup'!P325),D312&gt;=30,E312&lt;&gt;"*",D312&lt;&gt;""),F312+1.959963985 *('Funnel setup'!$K$8/SQRT('Funnel Data'!D312)),"")</f>
        <v/>
      </c>
      <c r="I312" s="177" t="str">
        <f>IF(AND(ISNUMBER('Funnel setup'!P325),D312&gt;=30,E312&lt;&gt;"*",D312&lt;&gt;""),F312-3.090232306 *('Funnel setup'!$K$8/SQRT('Funnel Data'!D312)),"")</f>
        <v/>
      </c>
      <c r="J312" s="177" t="str">
        <f>IF(AND(ISNUMBER('Funnel setup'!P325),D312&gt;=30,E312&lt;&gt;"*",D312&lt;&gt;""),F312+3.090232306 *('Funnel setup'!$K$8/SQRT('Funnel Data'!D312)),"")</f>
        <v/>
      </c>
      <c r="K312" s="178" t="str">
        <f>IF(AND(ISNUMBER('Funnel setup'!P325),D312&gt;=30,E312&lt;&gt;"*",D312&lt;&gt;""),IF(E312&gt;J312,'Funnel setup'!$K$15&amp;"99.8%",IF(E312&gt;H312,'Funnel setup'!$K$15&amp;"95%",IF(E312&lt;I312,'Funnel setup'!$K$16&amp;"99.8%",IF(E312&lt;G312,'Funnel setup'!$K$16&amp;"95%","")))),"")</f>
        <v/>
      </c>
    </row>
    <row r="313" spans="2:11" ht="15" customHeight="1" x14ac:dyDescent="0.35">
      <c r="B313" s="174" t="str">
        <f>IF(ISNUMBER('Funnel setup'!P326),VLOOKUP('Funnel setup'!$P326,'Provider Commission - Raw Data'!$A:$Q,5,0),"")</f>
        <v/>
      </c>
      <c r="C313" s="175" t="str">
        <f>IF(ISNUMBER('Funnel setup'!P326),VLOOKUP('Funnel setup'!P326,'Provider Commission - Raw Data'!$A:$Q,6,0),"")</f>
        <v/>
      </c>
      <c r="D313" s="176" t="str">
        <f>IF(ISNUMBER('Funnel setup'!P326),IF(VLOOKUP('Funnel setup'!P326,'Provider Commission - Raw Data'!$A:$Q,8,0)="-","",VLOOKUP('Funnel setup'!P326,'Provider Commission - Raw Data'!$A:$Q,8,0)),"")</f>
        <v/>
      </c>
      <c r="E313" s="251" t="str">
        <f>IF(ISNUMBER('Funnel setup'!P326),IF(VLOOKUP('Funnel setup'!P326,'Provider Commission - Raw Data'!$A:$Q,16,0)="-","",VLOOKUP('Funnel setup'!P326,'Provider Commission - Raw Data'!$A:$Q,16,0)),"")</f>
        <v/>
      </c>
      <c r="F313" s="177" t="str">
        <f>IF(AND(ISNUMBER('Funnel setup'!P326)),'Funnel setup'!$K$9,"")</f>
        <v/>
      </c>
      <c r="G313" s="177" t="str">
        <f>IF(AND(ISNUMBER('Funnel setup'!P326),D313&gt;=30,E313&lt;&gt;"*",D313&lt;&gt;""),F313-1.959963985 *('Funnel setup'!$K$8/SQRT('Funnel Data'!D313)),"")</f>
        <v/>
      </c>
      <c r="H313" s="177" t="str">
        <f>IF(AND(ISNUMBER('Funnel setup'!P326),D313&gt;=30,E313&lt;&gt;"*",D313&lt;&gt;""),F313+1.959963985 *('Funnel setup'!$K$8/SQRT('Funnel Data'!D313)),"")</f>
        <v/>
      </c>
      <c r="I313" s="177" t="str">
        <f>IF(AND(ISNUMBER('Funnel setup'!P326),D313&gt;=30,E313&lt;&gt;"*",D313&lt;&gt;""),F313-3.090232306 *('Funnel setup'!$K$8/SQRT('Funnel Data'!D313)),"")</f>
        <v/>
      </c>
      <c r="J313" s="177" t="str">
        <f>IF(AND(ISNUMBER('Funnel setup'!P326),D313&gt;=30,E313&lt;&gt;"*",D313&lt;&gt;""),F313+3.090232306 *('Funnel setup'!$K$8/SQRT('Funnel Data'!D313)),"")</f>
        <v/>
      </c>
      <c r="K313" s="178" t="str">
        <f>IF(AND(ISNUMBER('Funnel setup'!P326),D313&gt;=30,E313&lt;&gt;"*",D313&lt;&gt;""),IF(E313&gt;J313,'Funnel setup'!$K$15&amp;"99.8%",IF(E313&gt;H313,'Funnel setup'!$K$15&amp;"95%",IF(E313&lt;I313,'Funnel setup'!$K$16&amp;"99.8%",IF(E313&lt;G313,'Funnel setup'!$K$16&amp;"95%","")))),"")</f>
        <v/>
      </c>
    </row>
    <row r="314" spans="2:11" ht="15" customHeight="1" x14ac:dyDescent="0.35">
      <c r="B314" s="174" t="str">
        <f>IF(ISNUMBER('Funnel setup'!P327),VLOOKUP('Funnel setup'!$P327,'Provider Commission - Raw Data'!$A:$Q,5,0),"")</f>
        <v/>
      </c>
      <c r="C314" s="175" t="str">
        <f>IF(ISNUMBER('Funnel setup'!P327),VLOOKUP('Funnel setup'!P327,'Provider Commission - Raw Data'!$A:$Q,6,0),"")</f>
        <v/>
      </c>
      <c r="D314" s="176" t="str">
        <f>IF(ISNUMBER('Funnel setup'!P327),IF(VLOOKUP('Funnel setup'!P327,'Provider Commission - Raw Data'!$A:$Q,8,0)="-","",VLOOKUP('Funnel setup'!P327,'Provider Commission - Raw Data'!$A:$Q,8,0)),"")</f>
        <v/>
      </c>
      <c r="E314" s="251" t="str">
        <f>IF(ISNUMBER('Funnel setup'!P327),IF(VLOOKUP('Funnel setup'!P327,'Provider Commission - Raw Data'!$A:$Q,16,0)="-","",VLOOKUP('Funnel setup'!P327,'Provider Commission - Raw Data'!$A:$Q,16,0)),"")</f>
        <v/>
      </c>
      <c r="F314" s="177" t="str">
        <f>IF(AND(ISNUMBER('Funnel setup'!P327)),'Funnel setup'!$K$9,"")</f>
        <v/>
      </c>
      <c r="G314" s="177" t="str">
        <f>IF(AND(ISNUMBER('Funnel setup'!P327),D314&gt;=30,E314&lt;&gt;"*",D314&lt;&gt;""),F314-1.959963985 *('Funnel setup'!$K$8/SQRT('Funnel Data'!D314)),"")</f>
        <v/>
      </c>
      <c r="H314" s="177" t="str">
        <f>IF(AND(ISNUMBER('Funnel setup'!P327),D314&gt;=30,E314&lt;&gt;"*",D314&lt;&gt;""),F314+1.959963985 *('Funnel setup'!$K$8/SQRT('Funnel Data'!D314)),"")</f>
        <v/>
      </c>
      <c r="I314" s="177" t="str">
        <f>IF(AND(ISNUMBER('Funnel setup'!P327),D314&gt;=30,E314&lt;&gt;"*",D314&lt;&gt;""),F314-3.090232306 *('Funnel setup'!$K$8/SQRT('Funnel Data'!D314)),"")</f>
        <v/>
      </c>
      <c r="J314" s="177" t="str">
        <f>IF(AND(ISNUMBER('Funnel setup'!P327),D314&gt;=30,E314&lt;&gt;"*",D314&lt;&gt;""),F314+3.090232306 *('Funnel setup'!$K$8/SQRT('Funnel Data'!D314)),"")</f>
        <v/>
      </c>
      <c r="K314" s="178" t="str">
        <f>IF(AND(ISNUMBER('Funnel setup'!P327),D314&gt;=30,E314&lt;&gt;"*",D314&lt;&gt;""),IF(E314&gt;J314,'Funnel setup'!$K$15&amp;"99.8%",IF(E314&gt;H314,'Funnel setup'!$K$15&amp;"95%",IF(E314&lt;I314,'Funnel setup'!$K$16&amp;"99.8%",IF(E314&lt;G314,'Funnel setup'!$K$16&amp;"95%","")))),"")</f>
        <v/>
      </c>
    </row>
    <row r="315" spans="2:11" ht="15" customHeight="1" x14ac:dyDescent="0.35">
      <c r="B315" s="174" t="str">
        <f>IF(ISNUMBER('Funnel setup'!P328),VLOOKUP('Funnel setup'!$P328,'Provider Commission - Raw Data'!$A:$Q,5,0),"")</f>
        <v/>
      </c>
      <c r="C315" s="175" t="str">
        <f>IF(ISNUMBER('Funnel setup'!P328),VLOOKUP('Funnel setup'!P328,'Provider Commission - Raw Data'!$A:$Q,6,0),"")</f>
        <v/>
      </c>
      <c r="D315" s="176" t="str">
        <f>IF(ISNUMBER('Funnel setup'!P328),IF(VLOOKUP('Funnel setup'!P328,'Provider Commission - Raw Data'!$A:$Q,8,0)="-","",VLOOKUP('Funnel setup'!P328,'Provider Commission - Raw Data'!$A:$Q,8,0)),"")</f>
        <v/>
      </c>
      <c r="E315" s="251" t="str">
        <f>IF(ISNUMBER('Funnel setup'!P328),IF(VLOOKUP('Funnel setup'!P328,'Provider Commission - Raw Data'!$A:$Q,16,0)="-","",VLOOKUP('Funnel setup'!P328,'Provider Commission - Raw Data'!$A:$Q,16,0)),"")</f>
        <v/>
      </c>
      <c r="F315" s="177" t="str">
        <f>IF(AND(ISNUMBER('Funnel setup'!P328)),'Funnel setup'!$K$9,"")</f>
        <v/>
      </c>
      <c r="G315" s="177" t="str">
        <f>IF(AND(ISNUMBER('Funnel setup'!P328),D315&gt;=30,E315&lt;&gt;"*",D315&lt;&gt;""),F315-1.959963985 *('Funnel setup'!$K$8/SQRT('Funnel Data'!D315)),"")</f>
        <v/>
      </c>
      <c r="H315" s="177" t="str">
        <f>IF(AND(ISNUMBER('Funnel setup'!P328),D315&gt;=30,E315&lt;&gt;"*",D315&lt;&gt;""),F315+1.959963985 *('Funnel setup'!$K$8/SQRT('Funnel Data'!D315)),"")</f>
        <v/>
      </c>
      <c r="I315" s="177" t="str">
        <f>IF(AND(ISNUMBER('Funnel setup'!P328),D315&gt;=30,E315&lt;&gt;"*",D315&lt;&gt;""),F315-3.090232306 *('Funnel setup'!$K$8/SQRT('Funnel Data'!D315)),"")</f>
        <v/>
      </c>
      <c r="J315" s="177" t="str">
        <f>IF(AND(ISNUMBER('Funnel setup'!P328),D315&gt;=30,E315&lt;&gt;"*",D315&lt;&gt;""),F315+3.090232306 *('Funnel setup'!$K$8/SQRT('Funnel Data'!D315)),"")</f>
        <v/>
      </c>
      <c r="K315" s="178" t="str">
        <f>IF(AND(ISNUMBER('Funnel setup'!P328),D315&gt;=30,E315&lt;&gt;"*",D315&lt;&gt;""),IF(E315&gt;J315,'Funnel setup'!$K$15&amp;"99.8%",IF(E315&gt;H315,'Funnel setup'!$K$15&amp;"95%",IF(E315&lt;I315,'Funnel setup'!$K$16&amp;"99.8%",IF(E315&lt;G315,'Funnel setup'!$K$16&amp;"95%","")))),"")</f>
        <v/>
      </c>
    </row>
    <row r="316" spans="2:11" ht="15" customHeight="1" x14ac:dyDescent="0.35">
      <c r="B316" s="174" t="str">
        <f>IF(ISNUMBER('Funnel setup'!P329),VLOOKUP('Funnel setup'!$P329,'Provider Commission - Raw Data'!$A:$Q,5,0),"")</f>
        <v/>
      </c>
      <c r="C316" s="175" t="str">
        <f>IF(ISNUMBER('Funnel setup'!P329),VLOOKUP('Funnel setup'!P329,'Provider Commission - Raw Data'!$A:$Q,6,0),"")</f>
        <v/>
      </c>
      <c r="D316" s="176" t="str">
        <f>IF(ISNUMBER('Funnel setup'!P329),IF(VLOOKUP('Funnel setup'!P329,'Provider Commission - Raw Data'!$A:$Q,8,0)="-","",VLOOKUP('Funnel setup'!P329,'Provider Commission - Raw Data'!$A:$Q,8,0)),"")</f>
        <v/>
      </c>
      <c r="E316" s="251" t="str">
        <f>IF(ISNUMBER('Funnel setup'!P329),IF(VLOOKUP('Funnel setup'!P329,'Provider Commission - Raw Data'!$A:$Q,16,0)="-","",VLOOKUP('Funnel setup'!P329,'Provider Commission - Raw Data'!$A:$Q,16,0)),"")</f>
        <v/>
      </c>
      <c r="F316" s="177" t="str">
        <f>IF(AND(ISNUMBER('Funnel setup'!P329)),'Funnel setup'!$K$9,"")</f>
        <v/>
      </c>
      <c r="G316" s="177" t="str">
        <f>IF(AND(ISNUMBER('Funnel setup'!P329),D316&gt;=30,E316&lt;&gt;"*",D316&lt;&gt;""),F316-1.959963985 *('Funnel setup'!$K$8/SQRT('Funnel Data'!D316)),"")</f>
        <v/>
      </c>
      <c r="H316" s="177" t="str">
        <f>IF(AND(ISNUMBER('Funnel setup'!P329),D316&gt;=30,E316&lt;&gt;"*",D316&lt;&gt;""),F316+1.959963985 *('Funnel setup'!$K$8/SQRT('Funnel Data'!D316)),"")</f>
        <v/>
      </c>
      <c r="I316" s="177" t="str">
        <f>IF(AND(ISNUMBER('Funnel setup'!P329),D316&gt;=30,E316&lt;&gt;"*",D316&lt;&gt;""),F316-3.090232306 *('Funnel setup'!$K$8/SQRT('Funnel Data'!D316)),"")</f>
        <v/>
      </c>
      <c r="J316" s="177" t="str">
        <f>IF(AND(ISNUMBER('Funnel setup'!P329),D316&gt;=30,E316&lt;&gt;"*",D316&lt;&gt;""),F316+3.090232306 *('Funnel setup'!$K$8/SQRT('Funnel Data'!D316)),"")</f>
        <v/>
      </c>
      <c r="K316" s="178" t="str">
        <f>IF(AND(ISNUMBER('Funnel setup'!P329),D316&gt;=30,E316&lt;&gt;"*",D316&lt;&gt;""),IF(E316&gt;J316,'Funnel setup'!$K$15&amp;"99.8%",IF(E316&gt;H316,'Funnel setup'!$K$15&amp;"95%",IF(E316&lt;I316,'Funnel setup'!$K$16&amp;"99.8%",IF(E316&lt;G316,'Funnel setup'!$K$16&amp;"95%","")))),"")</f>
        <v/>
      </c>
    </row>
    <row r="317" spans="2:11" ht="15" customHeight="1" x14ac:dyDescent="0.35">
      <c r="B317" s="174" t="str">
        <f>IF(ISNUMBER('Funnel setup'!P330),VLOOKUP('Funnel setup'!$P330,'Provider Commission - Raw Data'!$A:$Q,5,0),"")</f>
        <v/>
      </c>
      <c r="C317" s="175" t="str">
        <f>IF(ISNUMBER('Funnel setup'!P330),VLOOKUP('Funnel setup'!P330,'Provider Commission - Raw Data'!$A:$Q,6,0),"")</f>
        <v/>
      </c>
      <c r="D317" s="176" t="str">
        <f>IF(ISNUMBER('Funnel setup'!P330),IF(VLOOKUP('Funnel setup'!P330,'Provider Commission - Raw Data'!$A:$Q,8,0)="-","",VLOOKUP('Funnel setup'!P330,'Provider Commission - Raw Data'!$A:$Q,8,0)),"")</f>
        <v/>
      </c>
      <c r="E317" s="251" t="str">
        <f>IF(ISNUMBER('Funnel setup'!P330),IF(VLOOKUP('Funnel setup'!P330,'Provider Commission - Raw Data'!$A:$Q,16,0)="-","",VLOOKUP('Funnel setup'!P330,'Provider Commission - Raw Data'!$A:$Q,16,0)),"")</f>
        <v/>
      </c>
      <c r="F317" s="177" t="str">
        <f>IF(AND(ISNUMBER('Funnel setup'!P330)),'Funnel setup'!$K$9,"")</f>
        <v/>
      </c>
      <c r="G317" s="177" t="str">
        <f>IF(AND(ISNUMBER('Funnel setup'!P330),D317&gt;=30,E317&lt;&gt;"*",D317&lt;&gt;""),F317-1.959963985 *('Funnel setup'!$K$8/SQRT('Funnel Data'!D317)),"")</f>
        <v/>
      </c>
      <c r="H317" s="177" t="str">
        <f>IF(AND(ISNUMBER('Funnel setup'!P330),D317&gt;=30,E317&lt;&gt;"*",D317&lt;&gt;""),F317+1.959963985 *('Funnel setup'!$K$8/SQRT('Funnel Data'!D317)),"")</f>
        <v/>
      </c>
      <c r="I317" s="177" t="str">
        <f>IF(AND(ISNUMBER('Funnel setup'!P330),D317&gt;=30,E317&lt;&gt;"*",D317&lt;&gt;""),F317-3.090232306 *('Funnel setup'!$K$8/SQRT('Funnel Data'!D317)),"")</f>
        <v/>
      </c>
      <c r="J317" s="177" t="str">
        <f>IF(AND(ISNUMBER('Funnel setup'!P330),D317&gt;=30,E317&lt;&gt;"*",D317&lt;&gt;""),F317+3.090232306 *('Funnel setup'!$K$8/SQRT('Funnel Data'!D317)),"")</f>
        <v/>
      </c>
      <c r="K317" s="178" t="str">
        <f>IF(AND(ISNUMBER('Funnel setup'!P330),D317&gt;=30,E317&lt;&gt;"*",D317&lt;&gt;""),IF(E317&gt;J317,'Funnel setup'!$K$15&amp;"99.8%",IF(E317&gt;H317,'Funnel setup'!$K$15&amp;"95%",IF(E317&lt;I317,'Funnel setup'!$K$16&amp;"99.8%",IF(E317&lt;G317,'Funnel setup'!$K$16&amp;"95%","")))),"")</f>
        <v/>
      </c>
    </row>
    <row r="318" spans="2:11" ht="15" customHeight="1" x14ac:dyDescent="0.35">
      <c r="B318" s="174" t="str">
        <f>IF(ISNUMBER('Funnel setup'!P331),VLOOKUP('Funnel setup'!$P331,'Provider Commission - Raw Data'!$A:$Q,5,0),"")</f>
        <v/>
      </c>
      <c r="C318" s="175" t="str">
        <f>IF(ISNUMBER('Funnel setup'!P331),VLOOKUP('Funnel setup'!P331,'Provider Commission - Raw Data'!$A:$Q,6,0),"")</f>
        <v/>
      </c>
      <c r="D318" s="176" t="str">
        <f>IF(ISNUMBER('Funnel setup'!P331),IF(VLOOKUP('Funnel setup'!P331,'Provider Commission - Raw Data'!$A:$Q,8,0)="-","",VLOOKUP('Funnel setup'!P331,'Provider Commission - Raw Data'!$A:$Q,8,0)),"")</f>
        <v/>
      </c>
      <c r="E318" s="251" t="str">
        <f>IF(ISNUMBER('Funnel setup'!P331),IF(VLOOKUP('Funnel setup'!P331,'Provider Commission - Raw Data'!$A:$Q,16,0)="-","",VLOOKUP('Funnel setup'!P331,'Provider Commission - Raw Data'!$A:$Q,16,0)),"")</f>
        <v/>
      </c>
      <c r="F318" s="177" t="str">
        <f>IF(AND(ISNUMBER('Funnel setup'!P331)),'Funnel setup'!$K$9,"")</f>
        <v/>
      </c>
      <c r="G318" s="177" t="str">
        <f>IF(AND(ISNUMBER('Funnel setup'!P331),D318&gt;=30,E318&lt;&gt;"*",D318&lt;&gt;""),F318-1.959963985 *('Funnel setup'!$K$8/SQRT('Funnel Data'!D318)),"")</f>
        <v/>
      </c>
      <c r="H318" s="177" t="str">
        <f>IF(AND(ISNUMBER('Funnel setup'!P331),D318&gt;=30,E318&lt;&gt;"*",D318&lt;&gt;""),F318+1.959963985 *('Funnel setup'!$K$8/SQRT('Funnel Data'!D318)),"")</f>
        <v/>
      </c>
      <c r="I318" s="177" t="str">
        <f>IF(AND(ISNUMBER('Funnel setup'!P331),D318&gt;=30,E318&lt;&gt;"*",D318&lt;&gt;""),F318-3.090232306 *('Funnel setup'!$K$8/SQRT('Funnel Data'!D318)),"")</f>
        <v/>
      </c>
      <c r="J318" s="177" t="str">
        <f>IF(AND(ISNUMBER('Funnel setup'!P331),D318&gt;=30,E318&lt;&gt;"*",D318&lt;&gt;""),F318+3.090232306 *('Funnel setup'!$K$8/SQRT('Funnel Data'!D318)),"")</f>
        <v/>
      </c>
      <c r="K318" s="178" t="str">
        <f>IF(AND(ISNUMBER('Funnel setup'!P331),D318&gt;=30,E318&lt;&gt;"*",D318&lt;&gt;""),IF(E318&gt;J318,'Funnel setup'!$K$15&amp;"99.8%",IF(E318&gt;H318,'Funnel setup'!$K$15&amp;"95%",IF(E318&lt;I318,'Funnel setup'!$K$16&amp;"99.8%",IF(E318&lt;G318,'Funnel setup'!$K$16&amp;"95%","")))),"")</f>
        <v/>
      </c>
    </row>
    <row r="319" spans="2:11" ht="15" customHeight="1" x14ac:dyDescent="0.35">
      <c r="B319" s="174" t="str">
        <f>IF(ISNUMBER('Funnel setup'!P332),VLOOKUP('Funnel setup'!$P332,'Provider Commission - Raw Data'!$A:$Q,5,0),"")</f>
        <v/>
      </c>
      <c r="C319" s="175" t="str">
        <f>IF(ISNUMBER('Funnel setup'!P332),VLOOKUP('Funnel setup'!P332,'Provider Commission - Raw Data'!$A:$Q,6,0),"")</f>
        <v/>
      </c>
      <c r="D319" s="176" t="str">
        <f>IF(ISNUMBER('Funnel setup'!P332),IF(VLOOKUP('Funnel setup'!P332,'Provider Commission - Raw Data'!$A:$Q,8,0)="-","",VLOOKUP('Funnel setup'!P332,'Provider Commission - Raw Data'!$A:$Q,8,0)),"")</f>
        <v/>
      </c>
      <c r="E319" s="251" t="str">
        <f>IF(ISNUMBER('Funnel setup'!P332),IF(VLOOKUP('Funnel setup'!P332,'Provider Commission - Raw Data'!$A:$Q,16,0)="-","",VLOOKUP('Funnel setup'!P332,'Provider Commission - Raw Data'!$A:$Q,16,0)),"")</f>
        <v/>
      </c>
      <c r="F319" s="177" t="str">
        <f>IF(AND(ISNUMBER('Funnel setup'!P332)),'Funnel setup'!$K$9,"")</f>
        <v/>
      </c>
      <c r="G319" s="177" t="str">
        <f>IF(AND(ISNUMBER('Funnel setup'!P332),D319&gt;=30,E319&lt;&gt;"*",D319&lt;&gt;""),F319-1.959963985 *('Funnel setup'!$K$8/SQRT('Funnel Data'!D319)),"")</f>
        <v/>
      </c>
      <c r="H319" s="177" t="str">
        <f>IF(AND(ISNUMBER('Funnel setup'!P332),D319&gt;=30,E319&lt;&gt;"*",D319&lt;&gt;""),F319+1.959963985 *('Funnel setup'!$K$8/SQRT('Funnel Data'!D319)),"")</f>
        <v/>
      </c>
      <c r="I319" s="177" t="str">
        <f>IF(AND(ISNUMBER('Funnel setup'!P332),D319&gt;=30,E319&lt;&gt;"*",D319&lt;&gt;""),F319-3.090232306 *('Funnel setup'!$K$8/SQRT('Funnel Data'!D319)),"")</f>
        <v/>
      </c>
      <c r="J319" s="177" t="str">
        <f>IF(AND(ISNUMBER('Funnel setup'!P332),D319&gt;=30,E319&lt;&gt;"*",D319&lt;&gt;""),F319+3.090232306 *('Funnel setup'!$K$8/SQRT('Funnel Data'!D319)),"")</f>
        <v/>
      </c>
      <c r="K319" s="178" t="str">
        <f>IF(AND(ISNUMBER('Funnel setup'!P332),D319&gt;=30,E319&lt;&gt;"*",D319&lt;&gt;""),IF(E319&gt;J319,'Funnel setup'!$K$15&amp;"99.8%",IF(E319&gt;H319,'Funnel setup'!$K$15&amp;"95%",IF(E319&lt;I319,'Funnel setup'!$K$16&amp;"99.8%",IF(E319&lt;G319,'Funnel setup'!$K$16&amp;"95%","")))),"")</f>
        <v/>
      </c>
    </row>
    <row r="320" spans="2:11" ht="15" customHeight="1" x14ac:dyDescent="0.35">
      <c r="B320" s="174" t="str">
        <f>IF(ISNUMBER('Funnel setup'!P333),VLOOKUP('Funnel setup'!$P333,'Provider Commission - Raw Data'!$A:$Q,5,0),"")</f>
        <v/>
      </c>
      <c r="C320" s="175" t="str">
        <f>IF(ISNUMBER('Funnel setup'!P333),VLOOKUP('Funnel setup'!P333,'Provider Commission - Raw Data'!$A:$Q,6,0),"")</f>
        <v/>
      </c>
      <c r="D320" s="176" t="str">
        <f>IF(ISNUMBER('Funnel setup'!P333),IF(VLOOKUP('Funnel setup'!P333,'Provider Commission - Raw Data'!$A:$Q,8,0)="-","",VLOOKUP('Funnel setup'!P333,'Provider Commission - Raw Data'!$A:$Q,8,0)),"")</f>
        <v/>
      </c>
      <c r="E320" s="251" t="str">
        <f>IF(ISNUMBER('Funnel setup'!P333),IF(VLOOKUP('Funnel setup'!P333,'Provider Commission - Raw Data'!$A:$Q,16,0)="-","",VLOOKUP('Funnel setup'!P333,'Provider Commission - Raw Data'!$A:$Q,16,0)),"")</f>
        <v/>
      </c>
      <c r="F320" s="177" t="str">
        <f>IF(AND(ISNUMBER('Funnel setup'!P333)),'Funnel setup'!$K$9,"")</f>
        <v/>
      </c>
      <c r="G320" s="177" t="str">
        <f>IF(AND(ISNUMBER('Funnel setup'!P333),D320&gt;=30,E320&lt;&gt;"*",D320&lt;&gt;""),F320-1.959963985 *('Funnel setup'!$K$8/SQRT('Funnel Data'!D320)),"")</f>
        <v/>
      </c>
      <c r="H320" s="177" t="str">
        <f>IF(AND(ISNUMBER('Funnel setup'!P333),D320&gt;=30,E320&lt;&gt;"*",D320&lt;&gt;""),F320+1.959963985 *('Funnel setup'!$K$8/SQRT('Funnel Data'!D320)),"")</f>
        <v/>
      </c>
      <c r="I320" s="177" t="str">
        <f>IF(AND(ISNUMBER('Funnel setup'!P333),D320&gt;=30,E320&lt;&gt;"*",D320&lt;&gt;""),F320-3.090232306 *('Funnel setup'!$K$8/SQRT('Funnel Data'!D320)),"")</f>
        <v/>
      </c>
      <c r="J320" s="177" t="str">
        <f>IF(AND(ISNUMBER('Funnel setup'!P333),D320&gt;=30,E320&lt;&gt;"*",D320&lt;&gt;""),F320+3.090232306 *('Funnel setup'!$K$8/SQRT('Funnel Data'!D320)),"")</f>
        <v/>
      </c>
      <c r="K320" s="178" t="str">
        <f>IF(AND(ISNUMBER('Funnel setup'!P333),D320&gt;=30,E320&lt;&gt;"*",D320&lt;&gt;""),IF(E320&gt;J320,'Funnel setup'!$K$15&amp;"99.8%",IF(E320&gt;H320,'Funnel setup'!$K$15&amp;"95%",IF(E320&lt;I320,'Funnel setup'!$K$16&amp;"99.8%",IF(E320&lt;G320,'Funnel setup'!$K$16&amp;"95%","")))),"")</f>
        <v/>
      </c>
    </row>
    <row r="321" spans="2:11" ht="15" customHeight="1" x14ac:dyDescent="0.35">
      <c r="B321" s="174" t="str">
        <f>IF(ISNUMBER('Funnel setup'!P334),VLOOKUP('Funnel setup'!$P334,'Provider Commission - Raw Data'!$A:$Q,5,0),"")</f>
        <v/>
      </c>
      <c r="C321" s="175" t="str">
        <f>IF(ISNUMBER('Funnel setup'!P334),VLOOKUP('Funnel setup'!P334,'Provider Commission - Raw Data'!$A:$Q,6,0),"")</f>
        <v/>
      </c>
      <c r="D321" s="176" t="str">
        <f>IF(ISNUMBER('Funnel setup'!P334),IF(VLOOKUP('Funnel setup'!P334,'Provider Commission - Raw Data'!$A:$Q,8,0)="-","",VLOOKUP('Funnel setup'!P334,'Provider Commission - Raw Data'!$A:$Q,8,0)),"")</f>
        <v/>
      </c>
      <c r="E321" s="251" t="str">
        <f>IF(ISNUMBER('Funnel setup'!P334),IF(VLOOKUP('Funnel setup'!P334,'Provider Commission - Raw Data'!$A:$Q,16,0)="-","",VLOOKUP('Funnel setup'!P334,'Provider Commission - Raw Data'!$A:$Q,16,0)),"")</f>
        <v/>
      </c>
      <c r="F321" s="177" t="str">
        <f>IF(AND(ISNUMBER('Funnel setup'!P334)),'Funnel setup'!$K$9,"")</f>
        <v/>
      </c>
      <c r="G321" s="177" t="str">
        <f>IF(AND(ISNUMBER('Funnel setup'!P334),D321&gt;=30,E321&lt;&gt;"*",D321&lt;&gt;""),F321-1.959963985 *('Funnel setup'!$K$8/SQRT('Funnel Data'!D321)),"")</f>
        <v/>
      </c>
      <c r="H321" s="177" t="str">
        <f>IF(AND(ISNUMBER('Funnel setup'!P334),D321&gt;=30,E321&lt;&gt;"*",D321&lt;&gt;""),F321+1.959963985 *('Funnel setup'!$K$8/SQRT('Funnel Data'!D321)),"")</f>
        <v/>
      </c>
      <c r="I321" s="177" t="str">
        <f>IF(AND(ISNUMBER('Funnel setup'!P334),D321&gt;=30,E321&lt;&gt;"*",D321&lt;&gt;""),F321-3.090232306 *('Funnel setup'!$K$8/SQRT('Funnel Data'!D321)),"")</f>
        <v/>
      </c>
      <c r="J321" s="177" t="str">
        <f>IF(AND(ISNUMBER('Funnel setup'!P334),D321&gt;=30,E321&lt;&gt;"*",D321&lt;&gt;""),F321+3.090232306 *('Funnel setup'!$K$8/SQRT('Funnel Data'!D321)),"")</f>
        <v/>
      </c>
      <c r="K321" s="178" t="str">
        <f>IF(AND(ISNUMBER('Funnel setup'!P334),D321&gt;=30,E321&lt;&gt;"*",D321&lt;&gt;""),IF(E321&gt;J321,'Funnel setup'!$K$15&amp;"99.8%",IF(E321&gt;H321,'Funnel setup'!$K$15&amp;"95%",IF(E321&lt;I321,'Funnel setup'!$K$16&amp;"99.8%",IF(E321&lt;G321,'Funnel setup'!$K$16&amp;"95%","")))),"")</f>
        <v/>
      </c>
    </row>
    <row r="322" spans="2:11" ht="15" customHeight="1" x14ac:dyDescent="0.35">
      <c r="B322" s="174" t="str">
        <f>IF(ISNUMBER('Funnel setup'!P335),VLOOKUP('Funnel setup'!$P335,'Provider Commission - Raw Data'!$A:$Q,5,0),"")</f>
        <v/>
      </c>
      <c r="C322" s="175" t="str">
        <f>IF(ISNUMBER('Funnel setup'!P335),VLOOKUP('Funnel setup'!P335,'Provider Commission - Raw Data'!$A:$Q,6,0),"")</f>
        <v/>
      </c>
      <c r="D322" s="176" t="str">
        <f>IF(ISNUMBER('Funnel setup'!P335),IF(VLOOKUP('Funnel setup'!P335,'Provider Commission - Raw Data'!$A:$Q,8,0)="-","",VLOOKUP('Funnel setup'!P335,'Provider Commission - Raw Data'!$A:$Q,8,0)),"")</f>
        <v/>
      </c>
      <c r="E322" s="251" t="str">
        <f>IF(ISNUMBER('Funnel setup'!P335),IF(VLOOKUP('Funnel setup'!P335,'Provider Commission - Raw Data'!$A:$Q,16,0)="-","",VLOOKUP('Funnel setup'!P335,'Provider Commission - Raw Data'!$A:$Q,16,0)),"")</f>
        <v/>
      </c>
      <c r="F322" s="177" t="str">
        <f>IF(AND(ISNUMBER('Funnel setup'!P335)),'Funnel setup'!$K$9,"")</f>
        <v/>
      </c>
      <c r="G322" s="177" t="str">
        <f>IF(AND(ISNUMBER('Funnel setup'!P335),D322&gt;=30,E322&lt;&gt;"*",D322&lt;&gt;""),F322-1.959963985 *('Funnel setup'!$K$8/SQRT('Funnel Data'!D322)),"")</f>
        <v/>
      </c>
      <c r="H322" s="177" t="str">
        <f>IF(AND(ISNUMBER('Funnel setup'!P335),D322&gt;=30,E322&lt;&gt;"*",D322&lt;&gt;""),F322+1.959963985 *('Funnel setup'!$K$8/SQRT('Funnel Data'!D322)),"")</f>
        <v/>
      </c>
      <c r="I322" s="177" t="str">
        <f>IF(AND(ISNUMBER('Funnel setup'!P335),D322&gt;=30,E322&lt;&gt;"*",D322&lt;&gt;""),F322-3.090232306 *('Funnel setup'!$K$8/SQRT('Funnel Data'!D322)),"")</f>
        <v/>
      </c>
      <c r="J322" s="177" t="str">
        <f>IF(AND(ISNUMBER('Funnel setup'!P335),D322&gt;=30,E322&lt;&gt;"*",D322&lt;&gt;""),F322+3.090232306 *('Funnel setup'!$K$8/SQRT('Funnel Data'!D322)),"")</f>
        <v/>
      </c>
      <c r="K322" s="178" t="str">
        <f>IF(AND(ISNUMBER('Funnel setup'!P335),D322&gt;=30,E322&lt;&gt;"*",D322&lt;&gt;""),IF(E322&gt;J322,'Funnel setup'!$K$15&amp;"99.8%",IF(E322&gt;H322,'Funnel setup'!$K$15&amp;"95%",IF(E322&lt;I322,'Funnel setup'!$K$16&amp;"99.8%",IF(E322&lt;G322,'Funnel setup'!$K$16&amp;"95%","")))),"")</f>
        <v/>
      </c>
    </row>
    <row r="323" spans="2:11" ht="15" customHeight="1" x14ac:dyDescent="0.35">
      <c r="B323" s="174" t="str">
        <f>IF(ISNUMBER('Funnel setup'!P336),VLOOKUP('Funnel setup'!$P336,'Provider Commission - Raw Data'!$A:$Q,5,0),"")</f>
        <v/>
      </c>
      <c r="C323" s="175" t="str">
        <f>IF(ISNUMBER('Funnel setup'!P336),VLOOKUP('Funnel setup'!P336,'Provider Commission - Raw Data'!$A:$Q,6,0),"")</f>
        <v/>
      </c>
      <c r="D323" s="176" t="str">
        <f>IF(ISNUMBER('Funnel setup'!P336),IF(VLOOKUP('Funnel setup'!P336,'Provider Commission - Raw Data'!$A:$Q,8,0)="-","",VLOOKUP('Funnel setup'!P336,'Provider Commission - Raw Data'!$A:$Q,8,0)),"")</f>
        <v/>
      </c>
      <c r="E323" s="251" t="str">
        <f>IF(ISNUMBER('Funnel setup'!P336),IF(VLOOKUP('Funnel setup'!P336,'Provider Commission - Raw Data'!$A:$Q,16,0)="-","",VLOOKUP('Funnel setup'!P336,'Provider Commission - Raw Data'!$A:$Q,16,0)),"")</f>
        <v/>
      </c>
      <c r="F323" s="177" t="str">
        <f>IF(AND(ISNUMBER('Funnel setup'!P336)),'Funnel setup'!$K$9,"")</f>
        <v/>
      </c>
      <c r="G323" s="177" t="str">
        <f>IF(AND(ISNUMBER('Funnel setup'!P336),D323&gt;=30,E323&lt;&gt;"*",D323&lt;&gt;""),F323-1.959963985 *('Funnel setup'!$K$8/SQRT('Funnel Data'!D323)),"")</f>
        <v/>
      </c>
      <c r="H323" s="177" t="str">
        <f>IF(AND(ISNUMBER('Funnel setup'!P336),D323&gt;=30,E323&lt;&gt;"*",D323&lt;&gt;""),F323+1.959963985 *('Funnel setup'!$K$8/SQRT('Funnel Data'!D323)),"")</f>
        <v/>
      </c>
      <c r="I323" s="177" t="str">
        <f>IF(AND(ISNUMBER('Funnel setup'!P336),D323&gt;=30,E323&lt;&gt;"*",D323&lt;&gt;""),F323-3.090232306 *('Funnel setup'!$K$8/SQRT('Funnel Data'!D323)),"")</f>
        <v/>
      </c>
      <c r="J323" s="177" t="str">
        <f>IF(AND(ISNUMBER('Funnel setup'!P336),D323&gt;=30,E323&lt;&gt;"*",D323&lt;&gt;""),F323+3.090232306 *('Funnel setup'!$K$8/SQRT('Funnel Data'!D323)),"")</f>
        <v/>
      </c>
      <c r="K323" s="178" t="str">
        <f>IF(AND(ISNUMBER('Funnel setup'!P336),D323&gt;=30,E323&lt;&gt;"*",D323&lt;&gt;""),IF(E323&gt;J323,'Funnel setup'!$K$15&amp;"99.8%",IF(E323&gt;H323,'Funnel setup'!$K$15&amp;"95%",IF(E323&lt;I323,'Funnel setup'!$K$16&amp;"99.8%",IF(E323&lt;G323,'Funnel setup'!$K$16&amp;"95%","")))),"")</f>
        <v/>
      </c>
    </row>
    <row r="324" spans="2:11" ht="15" customHeight="1" x14ac:dyDescent="0.35">
      <c r="B324" s="174" t="str">
        <f>IF(ISNUMBER('Funnel setup'!P337),VLOOKUP('Funnel setup'!$P337,'Provider Commission - Raw Data'!$A:$Q,5,0),"")</f>
        <v/>
      </c>
      <c r="C324" s="175" t="str">
        <f>IF(ISNUMBER('Funnel setup'!P337),VLOOKUP('Funnel setup'!P337,'Provider Commission - Raw Data'!$A:$Q,6,0),"")</f>
        <v/>
      </c>
      <c r="D324" s="176" t="str">
        <f>IF(ISNUMBER('Funnel setup'!P337),IF(VLOOKUP('Funnel setup'!P337,'Provider Commission - Raw Data'!$A:$Q,8,0)="-","",VLOOKUP('Funnel setup'!P337,'Provider Commission - Raw Data'!$A:$Q,8,0)),"")</f>
        <v/>
      </c>
      <c r="E324" s="251" t="str">
        <f>IF(ISNUMBER('Funnel setup'!P337),IF(VLOOKUP('Funnel setup'!P337,'Provider Commission - Raw Data'!$A:$Q,16,0)="-","",VLOOKUP('Funnel setup'!P337,'Provider Commission - Raw Data'!$A:$Q,16,0)),"")</f>
        <v/>
      </c>
      <c r="F324" s="177" t="str">
        <f>IF(AND(ISNUMBER('Funnel setup'!P337)),'Funnel setup'!$K$9,"")</f>
        <v/>
      </c>
      <c r="G324" s="177" t="str">
        <f>IF(AND(ISNUMBER('Funnel setup'!P337),D324&gt;=30,E324&lt;&gt;"*",D324&lt;&gt;""),F324-1.959963985 *('Funnel setup'!$K$8/SQRT('Funnel Data'!D324)),"")</f>
        <v/>
      </c>
      <c r="H324" s="177" t="str">
        <f>IF(AND(ISNUMBER('Funnel setup'!P337),D324&gt;=30,E324&lt;&gt;"*",D324&lt;&gt;""),F324+1.959963985 *('Funnel setup'!$K$8/SQRT('Funnel Data'!D324)),"")</f>
        <v/>
      </c>
      <c r="I324" s="177" t="str">
        <f>IF(AND(ISNUMBER('Funnel setup'!P337),D324&gt;=30,E324&lt;&gt;"*",D324&lt;&gt;""),F324-3.090232306 *('Funnel setup'!$K$8/SQRT('Funnel Data'!D324)),"")</f>
        <v/>
      </c>
      <c r="J324" s="177" t="str">
        <f>IF(AND(ISNUMBER('Funnel setup'!P337),D324&gt;=30,E324&lt;&gt;"*",D324&lt;&gt;""),F324+3.090232306 *('Funnel setup'!$K$8/SQRT('Funnel Data'!D324)),"")</f>
        <v/>
      </c>
      <c r="K324" s="178" t="str">
        <f>IF(AND(ISNUMBER('Funnel setup'!P337),D324&gt;=30,E324&lt;&gt;"*",D324&lt;&gt;""),IF(E324&gt;J324,'Funnel setup'!$K$15&amp;"99.8%",IF(E324&gt;H324,'Funnel setup'!$K$15&amp;"95%",IF(E324&lt;I324,'Funnel setup'!$K$16&amp;"99.8%",IF(E324&lt;G324,'Funnel setup'!$K$16&amp;"95%","")))),"")</f>
        <v/>
      </c>
    </row>
    <row r="325" spans="2:11" ht="15" customHeight="1" x14ac:dyDescent="0.35">
      <c r="B325" s="174" t="str">
        <f>IF(ISNUMBER('Funnel setup'!P338),VLOOKUP('Funnel setup'!$P338,'Provider Commission - Raw Data'!$A:$Q,5,0),"")</f>
        <v/>
      </c>
      <c r="C325" s="175" t="str">
        <f>IF(ISNUMBER('Funnel setup'!P338),VLOOKUP('Funnel setup'!P338,'Provider Commission - Raw Data'!$A:$Q,6,0),"")</f>
        <v/>
      </c>
      <c r="D325" s="176" t="str">
        <f>IF(ISNUMBER('Funnel setup'!P338),IF(VLOOKUP('Funnel setup'!P338,'Provider Commission - Raw Data'!$A:$Q,8,0)="-","",VLOOKUP('Funnel setup'!P338,'Provider Commission - Raw Data'!$A:$Q,8,0)),"")</f>
        <v/>
      </c>
      <c r="E325" s="251" t="str">
        <f>IF(ISNUMBER('Funnel setup'!P338),IF(VLOOKUP('Funnel setup'!P338,'Provider Commission - Raw Data'!$A:$Q,16,0)="-","",VLOOKUP('Funnel setup'!P338,'Provider Commission - Raw Data'!$A:$Q,16,0)),"")</f>
        <v/>
      </c>
      <c r="F325" s="177" t="str">
        <f>IF(AND(ISNUMBER('Funnel setup'!P338)),'Funnel setup'!$K$9,"")</f>
        <v/>
      </c>
      <c r="G325" s="177" t="str">
        <f>IF(AND(ISNUMBER('Funnel setup'!P338),D325&gt;=30,E325&lt;&gt;"*",D325&lt;&gt;""),F325-1.959963985 *('Funnel setup'!$K$8/SQRT('Funnel Data'!D325)),"")</f>
        <v/>
      </c>
      <c r="H325" s="177" t="str">
        <f>IF(AND(ISNUMBER('Funnel setup'!P338),D325&gt;=30,E325&lt;&gt;"*",D325&lt;&gt;""),F325+1.959963985 *('Funnel setup'!$K$8/SQRT('Funnel Data'!D325)),"")</f>
        <v/>
      </c>
      <c r="I325" s="177" t="str">
        <f>IF(AND(ISNUMBER('Funnel setup'!P338),D325&gt;=30,E325&lt;&gt;"*",D325&lt;&gt;""),F325-3.090232306 *('Funnel setup'!$K$8/SQRT('Funnel Data'!D325)),"")</f>
        <v/>
      </c>
      <c r="J325" s="177" t="str">
        <f>IF(AND(ISNUMBER('Funnel setup'!P338),D325&gt;=30,E325&lt;&gt;"*",D325&lt;&gt;""),F325+3.090232306 *('Funnel setup'!$K$8/SQRT('Funnel Data'!D325)),"")</f>
        <v/>
      </c>
      <c r="K325" s="178" t="str">
        <f>IF(AND(ISNUMBER('Funnel setup'!P338),D325&gt;=30,E325&lt;&gt;"*",D325&lt;&gt;""),IF(E325&gt;J325,'Funnel setup'!$K$15&amp;"99.8%",IF(E325&gt;H325,'Funnel setup'!$K$15&amp;"95%",IF(E325&lt;I325,'Funnel setup'!$K$16&amp;"99.8%",IF(E325&lt;G325,'Funnel setup'!$K$16&amp;"95%","")))),"")</f>
        <v/>
      </c>
    </row>
    <row r="326" spans="2:11" ht="15" customHeight="1" x14ac:dyDescent="0.35">
      <c r="B326" s="174" t="str">
        <f>IF(ISNUMBER('Funnel setup'!P339),VLOOKUP('Funnel setup'!$P339,'Provider Commission - Raw Data'!$A:$Q,5,0),"")</f>
        <v/>
      </c>
      <c r="C326" s="175" t="str">
        <f>IF(ISNUMBER('Funnel setup'!P339),VLOOKUP('Funnel setup'!P339,'Provider Commission - Raw Data'!$A:$Q,6,0),"")</f>
        <v/>
      </c>
      <c r="D326" s="176" t="str">
        <f>IF(ISNUMBER('Funnel setup'!P339),IF(VLOOKUP('Funnel setup'!P339,'Provider Commission - Raw Data'!$A:$Q,8,0)="-","",VLOOKUP('Funnel setup'!P339,'Provider Commission - Raw Data'!$A:$Q,8,0)),"")</f>
        <v/>
      </c>
      <c r="E326" s="251" t="str">
        <f>IF(ISNUMBER('Funnel setup'!P339),IF(VLOOKUP('Funnel setup'!P339,'Provider Commission - Raw Data'!$A:$Q,16,0)="-","",VLOOKUP('Funnel setup'!P339,'Provider Commission - Raw Data'!$A:$Q,16,0)),"")</f>
        <v/>
      </c>
      <c r="F326" s="177" t="str">
        <f>IF(AND(ISNUMBER('Funnel setup'!P339)),'Funnel setup'!$K$9,"")</f>
        <v/>
      </c>
      <c r="G326" s="177" t="str">
        <f>IF(AND(ISNUMBER('Funnel setup'!P339),D326&gt;=30,E326&lt;&gt;"*",D326&lt;&gt;""),F326-1.959963985 *('Funnel setup'!$K$8/SQRT('Funnel Data'!D326)),"")</f>
        <v/>
      </c>
      <c r="H326" s="177" t="str">
        <f>IF(AND(ISNUMBER('Funnel setup'!P339),D326&gt;=30,E326&lt;&gt;"*",D326&lt;&gt;""),F326+1.959963985 *('Funnel setup'!$K$8/SQRT('Funnel Data'!D326)),"")</f>
        <v/>
      </c>
      <c r="I326" s="177" t="str">
        <f>IF(AND(ISNUMBER('Funnel setup'!P339),D326&gt;=30,E326&lt;&gt;"*",D326&lt;&gt;""),F326-3.090232306 *('Funnel setup'!$K$8/SQRT('Funnel Data'!D326)),"")</f>
        <v/>
      </c>
      <c r="J326" s="177" t="str">
        <f>IF(AND(ISNUMBER('Funnel setup'!P339),D326&gt;=30,E326&lt;&gt;"*",D326&lt;&gt;""),F326+3.090232306 *('Funnel setup'!$K$8/SQRT('Funnel Data'!D326)),"")</f>
        <v/>
      </c>
      <c r="K326" s="178" t="str">
        <f>IF(AND(ISNUMBER('Funnel setup'!P339),D326&gt;=30,E326&lt;&gt;"*",D326&lt;&gt;""),IF(E326&gt;J326,'Funnel setup'!$K$15&amp;"99.8%",IF(E326&gt;H326,'Funnel setup'!$K$15&amp;"95%",IF(E326&lt;I326,'Funnel setup'!$K$16&amp;"99.8%",IF(E326&lt;G326,'Funnel setup'!$K$16&amp;"95%","")))),"")</f>
        <v/>
      </c>
    </row>
    <row r="327" spans="2:11" ht="15" customHeight="1" x14ac:dyDescent="0.35">
      <c r="B327" s="174" t="str">
        <f>IF(ISNUMBER('Funnel setup'!P340),VLOOKUP('Funnel setup'!$P340,'Provider Commission - Raw Data'!$A:$Q,5,0),"")</f>
        <v/>
      </c>
      <c r="C327" s="175" t="str">
        <f>IF(ISNUMBER('Funnel setup'!P340),VLOOKUP('Funnel setup'!P340,'Provider Commission - Raw Data'!$A:$Q,6,0),"")</f>
        <v/>
      </c>
      <c r="D327" s="176" t="str">
        <f>IF(ISNUMBER('Funnel setup'!P340),IF(VLOOKUP('Funnel setup'!P340,'Provider Commission - Raw Data'!$A:$Q,8,0)="-","",VLOOKUP('Funnel setup'!P340,'Provider Commission - Raw Data'!$A:$Q,8,0)),"")</f>
        <v/>
      </c>
      <c r="E327" s="251" t="str">
        <f>IF(ISNUMBER('Funnel setup'!P340),IF(VLOOKUP('Funnel setup'!P340,'Provider Commission - Raw Data'!$A:$Q,16,0)="-","",VLOOKUP('Funnel setup'!P340,'Provider Commission - Raw Data'!$A:$Q,16,0)),"")</f>
        <v/>
      </c>
      <c r="F327" s="177" t="str">
        <f>IF(AND(ISNUMBER('Funnel setup'!P340)),'Funnel setup'!$K$9,"")</f>
        <v/>
      </c>
      <c r="G327" s="177" t="str">
        <f>IF(AND(ISNUMBER('Funnel setup'!P340),D327&gt;=30,E327&lt;&gt;"*",D327&lt;&gt;""),F327-1.959963985 *('Funnel setup'!$K$8/SQRT('Funnel Data'!D327)),"")</f>
        <v/>
      </c>
      <c r="H327" s="177" t="str">
        <f>IF(AND(ISNUMBER('Funnel setup'!P340),D327&gt;=30,E327&lt;&gt;"*",D327&lt;&gt;""),F327+1.959963985 *('Funnel setup'!$K$8/SQRT('Funnel Data'!D327)),"")</f>
        <v/>
      </c>
      <c r="I327" s="177" t="str">
        <f>IF(AND(ISNUMBER('Funnel setup'!P340),D327&gt;=30,E327&lt;&gt;"*",D327&lt;&gt;""),F327-3.090232306 *('Funnel setup'!$K$8/SQRT('Funnel Data'!D327)),"")</f>
        <v/>
      </c>
      <c r="J327" s="177" t="str">
        <f>IF(AND(ISNUMBER('Funnel setup'!P340),D327&gt;=30,E327&lt;&gt;"*",D327&lt;&gt;""),F327+3.090232306 *('Funnel setup'!$K$8/SQRT('Funnel Data'!D327)),"")</f>
        <v/>
      </c>
      <c r="K327" s="178" t="str">
        <f>IF(AND(ISNUMBER('Funnel setup'!P340),D327&gt;=30,E327&lt;&gt;"*",D327&lt;&gt;""),IF(E327&gt;J327,'Funnel setup'!$K$15&amp;"99.8%",IF(E327&gt;H327,'Funnel setup'!$K$15&amp;"95%",IF(E327&lt;I327,'Funnel setup'!$K$16&amp;"99.8%",IF(E327&lt;G327,'Funnel setup'!$K$16&amp;"95%","")))),"")</f>
        <v/>
      </c>
    </row>
    <row r="328" spans="2:11" ht="15" customHeight="1" x14ac:dyDescent="0.35">
      <c r="B328" s="174" t="str">
        <f>IF(ISNUMBER('Funnel setup'!P341),VLOOKUP('Funnel setup'!$P341,'Provider Commission - Raw Data'!$A:$Q,5,0),"")</f>
        <v/>
      </c>
      <c r="C328" s="175" t="str">
        <f>IF(ISNUMBER('Funnel setup'!P341),VLOOKUP('Funnel setup'!P341,'Provider Commission - Raw Data'!$A:$Q,6,0),"")</f>
        <v/>
      </c>
      <c r="D328" s="176" t="str">
        <f>IF(ISNUMBER('Funnel setup'!P341),IF(VLOOKUP('Funnel setup'!P341,'Provider Commission - Raw Data'!$A:$Q,8,0)="-","",VLOOKUP('Funnel setup'!P341,'Provider Commission - Raw Data'!$A:$Q,8,0)),"")</f>
        <v/>
      </c>
      <c r="E328" s="251" t="str">
        <f>IF(ISNUMBER('Funnel setup'!P341),IF(VLOOKUP('Funnel setup'!P341,'Provider Commission - Raw Data'!$A:$Q,16,0)="-","",VLOOKUP('Funnel setup'!P341,'Provider Commission - Raw Data'!$A:$Q,16,0)),"")</f>
        <v/>
      </c>
      <c r="F328" s="177" t="str">
        <f>IF(AND(ISNUMBER('Funnel setup'!P341)),'Funnel setup'!$K$9,"")</f>
        <v/>
      </c>
      <c r="G328" s="177" t="str">
        <f>IF(AND(ISNUMBER('Funnel setup'!P341),D328&gt;=30,E328&lt;&gt;"*",D328&lt;&gt;""),F328-1.959963985 *('Funnel setup'!$K$8/SQRT('Funnel Data'!D328)),"")</f>
        <v/>
      </c>
      <c r="H328" s="177" t="str">
        <f>IF(AND(ISNUMBER('Funnel setup'!P341),D328&gt;=30,E328&lt;&gt;"*",D328&lt;&gt;""),F328+1.959963985 *('Funnel setup'!$K$8/SQRT('Funnel Data'!D328)),"")</f>
        <v/>
      </c>
      <c r="I328" s="177" t="str">
        <f>IF(AND(ISNUMBER('Funnel setup'!P341),D328&gt;=30,E328&lt;&gt;"*",D328&lt;&gt;""),F328-3.090232306 *('Funnel setup'!$K$8/SQRT('Funnel Data'!D328)),"")</f>
        <v/>
      </c>
      <c r="J328" s="177" t="str">
        <f>IF(AND(ISNUMBER('Funnel setup'!P341),D328&gt;=30,E328&lt;&gt;"*",D328&lt;&gt;""),F328+3.090232306 *('Funnel setup'!$K$8/SQRT('Funnel Data'!D328)),"")</f>
        <v/>
      </c>
      <c r="K328" s="178" t="str">
        <f>IF(AND(ISNUMBER('Funnel setup'!P341),D328&gt;=30,E328&lt;&gt;"*",D328&lt;&gt;""),IF(E328&gt;J328,'Funnel setup'!$K$15&amp;"99.8%",IF(E328&gt;H328,'Funnel setup'!$K$15&amp;"95%",IF(E328&lt;I328,'Funnel setup'!$K$16&amp;"99.8%",IF(E328&lt;G328,'Funnel setup'!$K$16&amp;"95%","")))),"")</f>
        <v/>
      </c>
    </row>
    <row r="329" spans="2:11" ht="15" customHeight="1" x14ac:dyDescent="0.35">
      <c r="B329" s="174" t="str">
        <f>IF(ISNUMBER('Funnel setup'!P342),VLOOKUP('Funnel setup'!$P342,'Provider Commission - Raw Data'!$A:$Q,5,0),"")</f>
        <v/>
      </c>
      <c r="C329" s="175" t="str">
        <f>IF(ISNUMBER('Funnel setup'!P342),VLOOKUP('Funnel setup'!P342,'Provider Commission - Raw Data'!$A:$Q,6,0),"")</f>
        <v/>
      </c>
      <c r="D329" s="176" t="str">
        <f>IF(ISNUMBER('Funnel setup'!P342),IF(VLOOKUP('Funnel setup'!P342,'Provider Commission - Raw Data'!$A:$Q,8,0)="-","",VLOOKUP('Funnel setup'!P342,'Provider Commission - Raw Data'!$A:$Q,8,0)),"")</f>
        <v/>
      </c>
      <c r="E329" s="251" t="str">
        <f>IF(ISNUMBER('Funnel setup'!P342),IF(VLOOKUP('Funnel setup'!P342,'Provider Commission - Raw Data'!$A:$Q,16,0)="-","",VLOOKUP('Funnel setup'!P342,'Provider Commission - Raw Data'!$A:$Q,16,0)),"")</f>
        <v/>
      </c>
      <c r="F329" s="177" t="str">
        <f>IF(AND(ISNUMBER('Funnel setup'!P342)),'Funnel setup'!$K$9,"")</f>
        <v/>
      </c>
      <c r="G329" s="177" t="str">
        <f>IF(AND(ISNUMBER('Funnel setup'!P342),D329&gt;=30,E329&lt;&gt;"*",D329&lt;&gt;""),F329-1.959963985 *('Funnel setup'!$K$8/SQRT('Funnel Data'!D329)),"")</f>
        <v/>
      </c>
      <c r="H329" s="177" t="str">
        <f>IF(AND(ISNUMBER('Funnel setup'!P342),D329&gt;=30,E329&lt;&gt;"*",D329&lt;&gt;""),F329+1.959963985 *('Funnel setup'!$K$8/SQRT('Funnel Data'!D329)),"")</f>
        <v/>
      </c>
      <c r="I329" s="177" t="str">
        <f>IF(AND(ISNUMBER('Funnel setup'!P342),D329&gt;=30,E329&lt;&gt;"*",D329&lt;&gt;""),F329-3.090232306 *('Funnel setup'!$K$8/SQRT('Funnel Data'!D329)),"")</f>
        <v/>
      </c>
      <c r="J329" s="177" t="str">
        <f>IF(AND(ISNUMBER('Funnel setup'!P342),D329&gt;=30,E329&lt;&gt;"*",D329&lt;&gt;""),F329+3.090232306 *('Funnel setup'!$K$8/SQRT('Funnel Data'!D329)),"")</f>
        <v/>
      </c>
      <c r="K329" s="178" t="str">
        <f>IF(AND(ISNUMBER('Funnel setup'!P342),D329&gt;=30,E329&lt;&gt;"*",D329&lt;&gt;""),IF(E329&gt;J329,'Funnel setup'!$K$15&amp;"99.8%",IF(E329&gt;H329,'Funnel setup'!$K$15&amp;"95%",IF(E329&lt;I329,'Funnel setup'!$K$16&amp;"99.8%",IF(E329&lt;G329,'Funnel setup'!$K$16&amp;"95%","")))),"")</f>
        <v/>
      </c>
    </row>
    <row r="330" spans="2:11" ht="15" customHeight="1" x14ac:dyDescent="0.35">
      <c r="B330" s="174" t="str">
        <f>IF(ISNUMBER('Funnel setup'!P343),VLOOKUP('Funnel setup'!$P343,'Provider Commission - Raw Data'!$A:$Q,5,0),"")</f>
        <v/>
      </c>
      <c r="C330" s="175" t="str">
        <f>IF(ISNUMBER('Funnel setup'!P343),VLOOKUP('Funnel setup'!P343,'Provider Commission - Raw Data'!$A:$Q,6,0),"")</f>
        <v/>
      </c>
      <c r="D330" s="176" t="str">
        <f>IF(ISNUMBER('Funnel setup'!P343),IF(VLOOKUP('Funnel setup'!P343,'Provider Commission - Raw Data'!$A:$Q,8,0)="-","",VLOOKUP('Funnel setup'!P343,'Provider Commission - Raw Data'!$A:$Q,8,0)),"")</f>
        <v/>
      </c>
      <c r="E330" s="251" t="str">
        <f>IF(ISNUMBER('Funnel setup'!P343),IF(VLOOKUP('Funnel setup'!P343,'Provider Commission - Raw Data'!$A:$Q,16,0)="-","",VLOOKUP('Funnel setup'!P343,'Provider Commission - Raw Data'!$A:$Q,16,0)),"")</f>
        <v/>
      </c>
      <c r="F330" s="177" t="str">
        <f>IF(AND(ISNUMBER('Funnel setup'!P343)),'Funnel setup'!$K$9,"")</f>
        <v/>
      </c>
      <c r="G330" s="177" t="str">
        <f>IF(AND(ISNUMBER('Funnel setup'!P343),D330&gt;=30,E330&lt;&gt;"*",D330&lt;&gt;""),F330-1.959963985 *('Funnel setup'!$K$8/SQRT('Funnel Data'!D330)),"")</f>
        <v/>
      </c>
      <c r="H330" s="177" t="str">
        <f>IF(AND(ISNUMBER('Funnel setup'!P343),D330&gt;=30,E330&lt;&gt;"*",D330&lt;&gt;""),F330+1.959963985 *('Funnel setup'!$K$8/SQRT('Funnel Data'!D330)),"")</f>
        <v/>
      </c>
      <c r="I330" s="177" t="str">
        <f>IF(AND(ISNUMBER('Funnel setup'!P343),D330&gt;=30,E330&lt;&gt;"*",D330&lt;&gt;""),F330-3.090232306 *('Funnel setup'!$K$8/SQRT('Funnel Data'!D330)),"")</f>
        <v/>
      </c>
      <c r="J330" s="177" t="str">
        <f>IF(AND(ISNUMBER('Funnel setup'!P343),D330&gt;=30,E330&lt;&gt;"*",D330&lt;&gt;""),F330+3.090232306 *('Funnel setup'!$K$8/SQRT('Funnel Data'!D330)),"")</f>
        <v/>
      </c>
      <c r="K330" s="178" t="str">
        <f>IF(AND(ISNUMBER('Funnel setup'!P343),D330&gt;=30,E330&lt;&gt;"*",D330&lt;&gt;""),IF(E330&gt;J330,'Funnel setup'!$K$15&amp;"99.8%",IF(E330&gt;H330,'Funnel setup'!$K$15&amp;"95%",IF(E330&lt;I330,'Funnel setup'!$K$16&amp;"99.8%",IF(E330&lt;G330,'Funnel setup'!$K$16&amp;"95%","")))),"")</f>
        <v/>
      </c>
    </row>
    <row r="331" spans="2:11" ht="15" customHeight="1" x14ac:dyDescent="0.35">
      <c r="B331" s="174" t="str">
        <f>IF(ISNUMBER('Funnel setup'!P344),VLOOKUP('Funnel setup'!$P344,'Provider Commission - Raw Data'!$A:$Q,5,0),"")</f>
        <v/>
      </c>
      <c r="C331" s="175" t="str">
        <f>IF(ISNUMBER('Funnel setup'!P344),VLOOKUP('Funnel setup'!P344,'Provider Commission - Raw Data'!$A:$Q,6,0),"")</f>
        <v/>
      </c>
      <c r="D331" s="176" t="str">
        <f>IF(ISNUMBER('Funnel setup'!P344),IF(VLOOKUP('Funnel setup'!P344,'Provider Commission - Raw Data'!$A:$Q,8,0)="-","",VLOOKUP('Funnel setup'!P344,'Provider Commission - Raw Data'!$A:$Q,8,0)),"")</f>
        <v/>
      </c>
      <c r="E331" s="251" t="str">
        <f>IF(ISNUMBER('Funnel setup'!P344),IF(VLOOKUP('Funnel setup'!P344,'Provider Commission - Raw Data'!$A:$Q,16,0)="-","",VLOOKUP('Funnel setup'!P344,'Provider Commission - Raw Data'!$A:$Q,16,0)),"")</f>
        <v/>
      </c>
      <c r="F331" s="177" t="str">
        <f>IF(AND(ISNUMBER('Funnel setup'!P344)),'Funnel setup'!$K$9,"")</f>
        <v/>
      </c>
      <c r="G331" s="177" t="str">
        <f>IF(AND(ISNUMBER('Funnel setup'!P344),D331&gt;=30,E331&lt;&gt;"*",D331&lt;&gt;""),F331-1.959963985 *('Funnel setup'!$K$8/SQRT('Funnel Data'!D331)),"")</f>
        <v/>
      </c>
      <c r="H331" s="177" t="str">
        <f>IF(AND(ISNUMBER('Funnel setup'!P344),D331&gt;=30,E331&lt;&gt;"*",D331&lt;&gt;""),F331+1.959963985 *('Funnel setup'!$K$8/SQRT('Funnel Data'!D331)),"")</f>
        <v/>
      </c>
      <c r="I331" s="177" t="str">
        <f>IF(AND(ISNUMBER('Funnel setup'!P344),D331&gt;=30,E331&lt;&gt;"*",D331&lt;&gt;""),F331-3.090232306 *('Funnel setup'!$K$8/SQRT('Funnel Data'!D331)),"")</f>
        <v/>
      </c>
      <c r="J331" s="177" t="str">
        <f>IF(AND(ISNUMBER('Funnel setup'!P344),D331&gt;=30,E331&lt;&gt;"*",D331&lt;&gt;""),F331+3.090232306 *('Funnel setup'!$K$8/SQRT('Funnel Data'!D331)),"")</f>
        <v/>
      </c>
      <c r="K331" s="178" t="str">
        <f>IF(AND(ISNUMBER('Funnel setup'!P344),D331&gt;=30,E331&lt;&gt;"*",D331&lt;&gt;""),IF(E331&gt;J331,'Funnel setup'!$K$15&amp;"99.8%",IF(E331&gt;H331,'Funnel setup'!$K$15&amp;"95%",IF(E331&lt;I331,'Funnel setup'!$K$16&amp;"99.8%",IF(E331&lt;G331,'Funnel setup'!$K$16&amp;"95%","")))),"")</f>
        <v/>
      </c>
    </row>
    <row r="332" spans="2:11" ht="15" customHeight="1" x14ac:dyDescent="0.35">
      <c r="B332" s="174" t="str">
        <f>IF(ISNUMBER('Funnel setup'!P345),VLOOKUP('Funnel setup'!$P345,'Provider Commission - Raw Data'!$A:$Q,5,0),"")</f>
        <v/>
      </c>
      <c r="C332" s="175" t="str">
        <f>IF(ISNUMBER('Funnel setup'!P345),VLOOKUP('Funnel setup'!P345,'Provider Commission - Raw Data'!$A:$Q,6,0),"")</f>
        <v/>
      </c>
      <c r="D332" s="176" t="str">
        <f>IF(ISNUMBER('Funnel setup'!P345),IF(VLOOKUP('Funnel setup'!P345,'Provider Commission - Raw Data'!$A:$Q,8,0)="-","",VLOOKUP('Funnel setup'!P345,'Provider Commission - Raw Data'!$A:$Q,8,0)),"")</f>
        <v/>
      </c>
      <c r="E332" s="251" t="str">
        <f>IF(ISNUMBER('Funnel setup'!P345),IF(VLOOKUP('Funnel setup'!P345,'Provider Commission - Raw Data'!$A:$Q,16,0)="-","",VLOOKUP('Funnel setup'!P345,'Provider Commission - Raw Data'!$A:$Q,16,0)),"")</f>
        <v/>
      </c>
      <c r="F332" s="177" t="str">
        <f>IF(AND(ISNUMBER('Funnel setup'!P345)),'Funnel setup'!$K$9,"")</f>
        <v/>
      </c>
      <c r="G332" s="177" t="str">
        <f>IF(AND(ISNUMBER('Funnel setup'!P345),D332&gt;=30,E332&lt;&gt;"*",D332&lt;&gt;""),F332-1.959963985 *('Funnel setup'!$K$8/SQRT('Funnel Data'!D332)),"")</f>
        <v/>
      </c>
      <c r="H332" s="177" t="str">
        <f>IF(AND(ISNUMBER('Funnel setup'!P345),D332&gt;=30,E332&lt;&gt;"*",D332&lt;&gt;""),F332+1.959963985 *('Funnel setup'!$K$8/SQRT('Funnel Data'!D332)),"")</f>
        <v/>
      </c>
      <c r="I332" s="177" t="str">
        <f>IF(AND(ISNUMBER('Funnel setup'!P345),D332&gt;=30,E332&lt;&gt;"*",D332&lt;&gt;""),F332-3.090232306 *('Funnel setup'!$K$8/SQRT('Funnel Data'!D332)),"")</f>
        <v/>
      </c>
      <c r="J332" s="177" t="str">
        <f>IF(AND(ISNUMBER('Funnel setup'!P345),D332&gt;=30,E332&lt;&gt;"*",D332&lt;&gt;""),F332+3.090232306 *('Funnel setup'!$K$8/SQRT('Funnel Data'!D332)),"")</f>
        <v/>
      </c>
      <c r="K332" s="178" t="str">
        <f>IF(AND(ISNUMBER('Funnel setup'!P345),D332&gt;=30,E332&lt;&gt;"*",D332&lt;&gt;""),IF(E332&gt;J332,'Funnel setup'!$K$15&amp;"99.8%",IF(E332&gt;H332,'Funnel setup'!$K$15&amp;"95%",IF(E332&lt;I332,'Funnel setup'!$K$16&amp;"99.8%",IF(E332&lt;G332,'Funnel setup'!$K$16&amp;"95%","")))),"")</f>
        <v/>
      </c>
    </row>
    <row r="333" spans="2:11" ht="15" customHeight="1" x14ac:dyDescent="0.35">
      <c r="B333" s="174" t="str">
        <f>IF(ISNUMBER('Funnel setup'!P346),VLOOKUP('Funnel setup'!$P346,'Provider Commission - Raw Data'!$A:$Q,5,0),"")</f>
        <v/>
      </c>
      <c r="C333" s="175" t="str">
        <f>IF(ISNUMBER('Funnel setup'!P346),VLOOKUP('Funnel setup'!P346,'Provider Commission - Raw Data'!$A:$Q,6,0),"")</f>
        <v/>
      </c>
      <c r="D333" s="176" t="str">
        <f>IF(ISNUMBER('Funnel setup'!P346),IF(VLOOKUP('Funnel setup'!P346,'Provider Commission - Raw Data'!$A:$Q,8,0)="-","",VLOOKUP('Funnel setup'!P346,'Provider Commission - Raw Data'!$A:$Q,8,0)),"")</f>
        <v/>
      </c>
      <c r="E333" s="251" t="str">
        <f>IF(ISNUMBER('Funnel setup'!P346),IF(VLOOKUP('Funnel setup'!P346,'Provider Commission - Raw Data'!$A:$Q,16,0)="-","",VLOOKUP('Funnel setup'!P346,'Provider Commission - Raw Data'!$A:$Q,16,0)),"")</f>
        <v/>
      </c>
      <c r="F333" s="177" t="str">
        <f>IF(AND(ISNUMBER('Funnel setup'!P346)),'Funnel setup'!$K$9,"")</f>
        <v/>
      </c>
      <c r="G333" s="177" t="str">
        <f>IF(AND(ISNUMBER('Funnel setup'!P346),D333&gt;=30,E333&lt;&gt;"*",D333&lt;&gt;""),F333-1.959963985 *('Funnel setup'!$K$8/SQRT('Funnel Data'!D333)),"")</f>
        <v/>
      </c>
      <c r="H333" s="177" t="str">
        <f>IF(AND(ISNUMBER('Funnel setup'!P346),D333&gt;=30,E333&lt;&gt;"*",D333&lt;&gt;""),F333+1.959963985 *('Funnel setup'!$K$8/SQRT('Funnel Data'!D333)),"")</f>
        <v/>
      </c>
      <c r="I333" s="177" t="str">
        <f>IF(AND(ISNUMBER('Funnel setup'!P346),D333&gt;=30,E333&lt;&gt;"*",D333&lt;&gt;""),F333-3.090232306 *('Funnel setup'!$K$8/SQRT('Funnel Data'!D333)),"")</f>
        <v/>
      </c>
      <c r="J333" s="177" t="str">
        <f>IF(AND(ISNUMBER('Funnel setup'!P346),D333&gt;=30,E333&lt;&gt;"*",D333&lt;&gt;""),F333+3.090232306 *('Funnel setup'!$K$8/SQRT('Funnel Data'!D333)),"")</f>
        <v/>
      </c>
      <c r="K333" s="178" t="str">
        <f>IF(AND(ISNUMBER('Funnel setup'!P346),D333&gt;=30,E333&lt;&gt;"*",D333&lt;&gt;""),IF(E333&gt;J333,'Funnel setup'!$K$15&amp;"99.8%",IF(E333&gt;H333,'Funnel setup'!$K$15&amp;"95%",IF(E333&lt;I333,'Funnel setup'!$K$16&amp;"99.8%",IF(E333&lt;G333,'Funnel setup'!$K$16&amp;"95%","")))),"")</f>
        <v/>
      </c>
    </row>
    <row r="334" spans="2:11" ht="15" customHeight="1" x14ac:dyDescent="0.35">
      <c r="B334" s="174" t="str">
        <f>IF(ISNUMBER('Funnel setup'!P347),VLOOKUP('Funnel setup'!$P347,'Provider Commission - Raw Data'!$A:$Q,5,0),"")</f>
        <v/>
      </c>
      <c r="C334" s="175" t="str">
        <f>IF(ISNUMBER('Funnel setup'!P347),VLOOKUP('Funnel setup'!P347,'Provider Commission - Raw Data'!$A:$Q,6,0),"")</f>
        <v/>
      </c>
      <c r="D334" s="176" t="str">
        <f>IF(ISNUMBER('Funnel setup'!P347),IF(VLOOKUP('Funnel setup'!P347,'Provider Commission - Raw Data'!$A:$Q,8,0)="-","",VLOOKUP('Funnel setup'!P347,'Provider Commission - Raw Data'!$A:$Q,8,0)),"")</f>
        <v/>
      </c>
      <c r="E334" s="251" t="str">
        <f>IF(ISNUMBER('Funnel setup'!P347),IF(VLOOKUP('Funnel setup'!P347,'Provider Commission - Raw Data'!$A:$Q,16,0)="-","",VLOOKUP('Funnel setup'!P347,'Provider Commission - Raw Data'!$A:$Q,16,0)),"")</f>
        <v/>
      </c>
      <c r="F334" s="177" t="str">
        <f>IF(AND(ISNUMBER('Funnel setup'!P347)),'Funnel setup'!$K$9,"")</f>
        <v/>
      </c>
      <c r="G334" s="177" t="str">
        <f>IF(AND(ISNUMBER('Funnel setup'!P347),D334&gt;=30,E334&lt;&gt;"*",D334&lt;&gt;""),F334-1.959963985 *('Funnel setup'!$K$8/SQRT('Funnel Data'!D334)),"")</f>
        <v/>
      </c>
      <c r="H334" s="177" t="str">
        <f>IF(AND(ISNUMBER('Funnel setup'!P347),D334&gt;=30,E334&lt;&gt;"*",D334&lt;&gt;""),F334+1.959963985 *('Funnel setup'!$K$8/SQRT('Funnel Data'!D334)),"")</f>
        <v/>
      </c>
      <c r="I334" s="177" t="str">
        <f>IF(AND(ISNUMBER('Funnel setup'!P347),D334&gt;=30,E334&lt;&gt;"*",D334&lt;&gt;""),F334-3.090232306 *('Funnel setup'!$K$8/SQRT('Funnel Data'!D334)),"")</f>
        <v/>
      </c>
      <c r="J334" s="177" t="str">
        <f>IF(AND(ISNUMBER('Funnel setup'!P347),D334&gt;=30,E334&lt;&gt;"*",D334&lt;&gt;""),F334+3.090232306 *('Funnel setup'!$K$8/SQRT('Funnel Data'!D334)),"")</f>
        <v/>
      </c>
      <c r="K334" s="178" t="str">
        <f>IF(AND(ISNUMBER('Funnel setup'!P347),D334&gt;=30,E334&lt;&gt;"*",D334&lt;&gt;""),IF(E334&gt;J334,'Funnel setup'!$K$15&amp;"99.8%",IF(E334&gt;H334,'Funnel setup'!$K$15&amp;"95%",IF(E334&lt;I334,'Funnel setup'!$K$16&amp;"99.8%",IF(E334&lt;G334,'Funnel setup'!$K$16&amp;"95%","")))),"")</f>
        <v/>
      </c>
    </row>
    <row r="335" spans="2:11" ht="15" customHeight="1" x14ac:dyDescent="0.35">
      <c r="B335" s="174" t="str">
        <f>IF(ISNUMBER('Funnel setup'!P348),VLOOKUP('Funnel setup'!$P348,'Provider Commission - Raw Data'!$A:$Q,5,0),"")</f>
        <v/>
      </c>
      <c r="C335" s="175" t="str">
        <f>IF(ISNUMBER('Funnel setup'!P348),VLOOKUP('Funnel setup'!P348,'Provider Commission - Raw Data'!$A:$Q,6,0),"")</f>
        <v/>
      </c>
      <c r="D335" s="176" t="str">
        <f>IF(ISNUMBER('Funnel setup'!P348),IF(VLOOKUP('Funnel setup'!P348,'Provider Commission - Raw Data'!$A:$Q,8,0)="-","",VLOOKUP('Funnel setup'!P348,'Provider Commission - Raw Data'!$A:$Q,8,0)),"")</f>
        <v/>
      </c>
      <c r="E335" s="251" t="str">
        <f>IF(ISNUMBER('Funnel setup'!P348),IF(VLOOKUP('Funnel setup'!P348,'Provider Commission - Raw Data'!$A:$Q,16,0)="-","",VLOOKUP('Funnel setup'!P348,'Provider Commission - Raw Data'!$A:$Q,16,0)),"")</f>
        <v/>
      </c>
      <c r="F335" s="177" t="str">
        <f>IF(AND(ISNUMBER('Funnel setup'!P348)),'Funnel setup'!$K$9,"")</f>
        <v/>
      </c>
      <c r="G335" s="177" t="str">
        <f>IF(AND(ISNUMBER('Funnel setup'!P348),D335&gt;=30,E335&lt;&gt;"*",D335&lt;&gt;""),F335-1.959963985 *('Funnel setup'!$K$8/SQRT('Funnel Data'!D335)),"")</f>
        <v/>
      </c>
      <c r="H335" s="177" t="str">
        <f>IF(AND(ISNUMBER('Funnel setup'!P348),D335&gt;=30,E335&lt;&gt;"*",D335&lt;&gt;""),F335+1.959963985 *('Funnel setup'!$K$8/SQRT('Funnel Data'!D335)),"")</f>
        <v/>
      </c>
      <c r="I335" s="177" t="str">
        <f>IF(AND(ISNUMBER('Funnel setup'!P348),D335&gt;=30,E335&lt;&gt;"*",D335&lt;&gt;""),F335-3.090232306 *('Funnel setup'!$K$8/SQRT('Funnel Data'!D335)),"")</f>
        <v/>
      </c>
      <c r="J335" s="177" t="str">
        <f>IF(AND(ISNUMBER('Funnel setup'!P348),D335&gt;=30,E335&lt;&gt;"*",D335&lt;&gt;""),F335+3.090232306 *('Funnel setup'!$K$8/SQRT('Funnel Data'!D335)),"")</f>
        <v/>
      </c>
      <c r="K335" s="178" t="str">
        <f>IF(AND(ISNUMBER('Funnel setup'!P348),D335&gt;=30,E335&lt;&gt;"*",D335&lt;&gt;""),IF(E335&gt;J335,'Funnel setup'!$K$15&amp;"99.8%",IF(E335&gt;H335,'Funnel setup'!$K$15&amp;"95%",IF(E335&lt;I335,'Funnel setup'!$K$16&amp;"99.8%",IF(E335&lt;G335,'Funnel setup'!$K$16&amp;"95%","")))),"")</f>
        <v/>
      </c>
    </row>
    <row r="336" spans="2:11" ht="15" customHeight="1" x14ac:dyDescent="0.35">
      <c r="B336" s="174" t="str">
        <f>IF(ISNUMBER('Funnel setup'!P349),VLOOKUP('Funnel setup'!$P349,'Provider Commission - Raw Data'!$A:$Q,5,0),"")</f>
        <v/>
      </c>
      <c r="C336" s="175" t="str">
        <f>IF(ISNUMBER('Funnel setup'!P349),VLOOKUP('Funnel setup'!P349,'Provider Commission - Raw Data'!$A:$Q,6,0),"")</f>
        <v/>
      </c>
      <c r="D336" s="176" t="str">
        <f>IF(ISNUMBER('Funnel setup'!P349),IF(VLOOKUP('Funnel setup'!P349,'Provider Commission - Raw Data'!$A:$Q,8,0)="-","",VLOOKUP('Funnel setup'!P349,'Provider Commission - Raw Data'!$A:$Q,8,0)),"")</f>
        <v/>
      </c>
      <c r="E336" s="251" t="str">
        <f>IF(ISNUMBER('Funnel setup'!P349),IF(VLOOKUP('Funnel setup'!P349,'Provider Commission - Raw Data'!$A:$Q,16,0)="-","",VLOOKUP('Funnel setup'!P349,'Provider Commission - Raw Data'!$A:$Q,16,0)),"")</f>
        <v/>
      </c>
      <c r="F336" s="177" t="str">
        <f>IF(AND(ISNUMBER('Funnel setup'!P349)),'Funnel setup'!$K$9,"")</f>
        <v/>
      </c>
      <c r="G336" s="177" t="str">
        <f>IF(AND(ISNUMBER('Funnel setup'!P349),D336&gt;=30,E336&lt;&gt;"*",D336&lt;&gt;""),F336-1.959963985 *('Funnel setup'!$K$8/SQRT('Funnel Data'!D336)),"")</f>
        <v/>
      </c>
      <c r="H336" s="177" t="str">
        <f>IF(AND(ISNUMBER('Funnel setup'!P349),D336&gt;=30,E336&lt;&gt;"*",D336&lt;&gt;""),F336+1.959963985 *('Funnel setup'!$K$8/SQRT('Funnel Data'!D336)),"")</f>
        <v/>
      </c>
      <c r="I336" s="177" t="str">
        <f>IF(AND(ISNUMBER('Funnel setup'!P349),D336&gt;=30,E336&lt;&gt;"*",D336&lt;&gt;""),F336-3.090232306 *('Funnel setup'!$K$8/SQRT('Funnel Data'!D336)),"")</f>
        <v/>
      </c>
      <c r="J336" s="177" t="str">
        <f>IF(AND(ISNUMBER('Funnel setup'!P349),D336&gt;=30,E336&lt;&gt;"*",D336&lt;&gt;""),F336+3.090232306 *('Funnel setup'!$K$8/SQRT('Funnel Data'!D336)),"")</f>
        <v/>
      </c>
      <c r="K336" s="178" t="str">
        <f>IF(AND(ISNUMBER('Funnel setup'!P349),D336&gt;=30,E336&lt;&gt;"*",D336&lt;&gt;""),IF(E336&gt;J336,'Funnel setup'!$K$15&amp;"99.8%",IF(E336&gt;H336,'Funnel setup'!$K$15&amp;"95%",IF(E336&lt;I336,'Funnel setup'!$K$16&amp;"99.8%",IF(E336&lt;G336,'Funnel setup'!$K$16&amp;"95%","")))),"")</f>
        <v/>
      </c>
    </row>
    <row r="337" spans="2:11" ht="15" customHeight="1" x14ac:dyDescent="0.35">
      <c r="B337" s="174" t="str">
        <f>IF(ISNUMBER('Funnel setup'!P350),VLOOKUP('Funnel setup'!$P350,'Provider Commission - Raw Data'!$A:$Q,5,0),"")</f>
        <v/>
      </c>
      <c r="C337" s="175" t="str">
        <f>IF(ISNUMBER('Funnel setup'!P350),VLOOKUP('Funnel setup'!P350,'Provider Commission - Raw Data'!$A:$Q,6,0),"")</f>
        <v/>
      </c>
      <c r="D337" s="176" t="str">
        <f>IF(ISNUMBER('Funnel setup'!P350),IF(VLOOKUP('Funnel setup'!P350,'Provider Commission - Raw Data'!$A:$Q,8,0)="-","",VLOOKUP('Funnel setup'!P350,'Provider Commission - Raw Data'!$A:$Q,8,0)),"")</f>
        <v/>
      </c>
      <c r="E337" s="251" t="str">
        <f>IF(ISNUMBER('Funnel setup'!P350),IF(VLOOKUP('Funnel setup'!P350,'Provider Commission - Raw Data'!$A:$Q,16,0)="-","",VLOOKUP('Funnel setup'!P350,'Provider Commission - Raw Data'!$A:$Q,16,0)),"")</f>
        <v/>
      </c>
      <c r="F337" s="177" t="str">
        <f>IF(AND(ISNUMBER('Funnel setup'!P350)),'Funnel setup'!$K$9,"")</f>
        <v/>
      </c>
      <c r="G337" s="177" t="str">
        <f>IF(AND(ISNUMBER('Funnel setup'!P350),D337&gt;=30,E337&lt;&gt;"*",D337&lt;&gt;""),F337-1.959963985 *('Funnel setup'!$K$8/SQRT('Funnel Data'!D337)),"")</f>
        <v/>
      </c>
      <c r="H337" s="177" t="str">
        <f>IF(AND(ISNUMBER('Funnel setup'!P350),D337&gt;=30,E337&lt;&gt;"*",D337&lt;&gt;""),F337+1.959963985 *('Funnel setup'!$K$8/SQRT('Funnel Data'!D337)),"")</f>
        <v/>
      </c>
      <c r="I337" s="177" t="str">
        <f>IF(AND(ISNUMBER('Funnel setup'!P350),D337&gt;=30,E337&lt;&gt;"*",D337&lt;&gt;""),F337-3.090232306 *('Funnel setup'!$K$8/SQRT('Funnel Data'!D337)),"")</f>
        <v/>
      </c>
      <c r="J337" s="177" t="str">
        <f>IF(AND(ISNUMBER('Funnel setup'!P350),D337&gt;=30,E337&lt;&gt;"*",D337&lt;&gt;""),F337+3.090232306 *('Funnel setup'!$K$8/SQRT('Funnel Data'!D337)),"")</f>
        <v/>
      </c>
      <c r="K337" s="178" t="str">
        <f>IF(AND(ISNUMBER('Funnel setup'!P350),D337&gt;=30,E337&lt;&gt;"*",D337&lt;&gt;""),IF(E337&gt;J337,'Funnel setup'!$K$15&amp;"99.8%",IF(E337&gt;H337,'Funnel setup'!$K$15&amp;"95%",IF(E337&lt;I337,'Funnel setup'!$K$16&amp;"99.8%",IF(E337&lt;G337,'Funnel setup'!$K$16&amp;"95%","")))),"")</f>
        <v/>
      </c>
    </row>
    <row r="338" spans="2:11" ht="15" customHeight="1" x14ac:dyDescent="0.35">
      <c r="B338" s="174" t="str">
        <f>IF(ISNUMBER('Funnel setup'!P351),VLOOKUP('Funnel setup'!$P351,'Provider Commission - Raw Data'!$A:$Q,5,0),"")</f>
        <v/>
      </c>
      <c r="C338" s="175" t="str">
        <f>IF(ISNUMBER('Funnel setup'!P351),VLOOKUP('Funnel setup'!P351,'Provider Commission - Raw Data'!$A:$Q,6,0),"")</f>
        <v/>
      </c>
      <c r="D338" s="176" t="str">
        <f>IF(ISNUMBER('Funnel setup'!P351),IF(VLOOKUP('Funnel setup'!P351,'Provider Commission - Raw Data'!$A:$Q,8,0)="-","",VLOOKUP('Funnel setup'!P351,'Provider Commission - Raw Data'!$A:$Q,8,0)),"")</f>
        <v/>
      </c>
      <c r="E338" s="251" t="str">
        <f>IF(ISNUMBER('Funnel setup'!P351),IF(VLOOKUP('Funnel setup'!P351,'Provider Commission - Raw Data'!$A:$Q,16,0)="-","",VLOOKUP('Funnel setup'!P351,'Provider Commission - Raw Data'!$A:$Q,16,0)),"")</f>
        <v/>
      </c>
      <c r="F338" s="177" t="str">
        <f>IF(AND(ISNUMBER('Funnel setup'!P351)),'Funnel setup'!$K$9,"")</f>
        <v/>
      </c>
      <c r="G338" s="177" t="str">
        <f>IF(AND(ISNUMBER('Funnel setup'!P351),D338&gt;=30,E338&lt;&gt;"*",D338&lt;&gt;""),F338-1.959963985 *('Funnel setup'!$K$8/SQRT('Funnel Data'!D338)),"")</f>
        <v/>
      </c>
      <c r="H338" s="177" t="str">
        <f>IF(AND(ISNUMBER('Funnel setup'!P351),D338&gt;=30,E338&lt;&gt;"*",D338&lt;&gt;""),F338+1.959963985 *('Funnel setup'!$K$8/SQRT('Funnel Data'!D338)),"")</f>
        <v/>
      </c>
      <c r="I338" s="177" t="str">
        <f>IF(AND(ISNUMBER('Funnel setup'!P351),D338&gt;=30,E338&lt;&gt;"*",D338&lt;&gt;""),F338-3.090232306 *('Funnel setup'!$K$8/SQRT('Funnel Data'!D338)),"")</f>
        <v/>
      </c>
      <c r="J338" s="177" t="str">
        <f>IF(AND(ISNUMBER('Funnel setup'!P351),D338&gt;=30,E338&lt;&gt;"*",D338&lt;&gt;""),F338+3.090232306 *('Funnel setup'!$K$8/SQRT('Funnel Data'!D338)),"")</f>
        <v/>
      </c>
      <c r="K338" s="178" t="str">
        <f>IF(AND(ISNUMBER('Funnel setup'!P351),D338&gt;=30,E338&lt;&gt;"*",D338&lt;&gt;""),IF(E338&gt;J338,'Funnel setup'!$K$15&amp;"99.8%",IF(E338&gt;H338,'Funnel setup'!$K$15&amp;"95%",IF(E338&lt;I338,'Funnel setup'!$K$16&amp;"99.8%",IF(E338&lt;G338,'Funnel setup'!$K$16&amp;"95%","")))),"")</f>
        <v/>
      </c>
    </row>
    <row r="339" spans="2:11" ht="15" customHeight="1" x14ac:dyDescent="0.35">
      <c r="B339" s="174" t="str">
        <f>IF(ISNUMBER('Funnel setup'!P352),VLOOKUP('Funnel setup'!$P352,'Provider Commission - Raw Data'!$A:$Q,5,0),"")</f>
        <v/>
      </c>
      <c r="C339" s="175" t="str">
        <f>IF(ISNUMBER('Funnel setup'!P352),VLOOKUP('Funnel setup'!P352,'Provider Commission - Raw Data'!$A:$Q,6,0),"")</f>
        <v/>
      </c>
      <c r="D339" s="176" t="str">
        <f>IF(ISNUMBER('Funnel setup'!P352),IF(VLOOKUP('Funnel setup'!P352,'Provider Commission - Raw Data'!$A:$Q,8,0)="-","",VLOOKUP('Funnel setup'!P352,'Provider Commission - Raw Data'!$A:$Q,8,0)),"")</f>
        <v/>
      </c>
      <c r="E339" s="251" t="str">
        <f>IF(ISNUMBER('Funnel setup'!P352),IF(VLOOKUP('Funnel setup'!P352,'Provider Commission - Raw Data'!$A:$Q,16,0)="-","",VLOOKUP('Funnel setup'!P352,'Provider Commission - Raw Data'!$A:$Q,16,0)),"")</f>
        <v/>
      </c>
      <c r="F339" s="177" t="str">
        <f>IF(AND(ISNUMBER('Funnel setup'!P352)),'Funnel setup'!$K$9,"")</f>
        <v/>
      </c>
      <c r="G339" s="177" t="str">
        <f>IF(AND(ISNUMBER('Funnel setup'!P352),D339&gt;=30,E339&lt;&gt;"*",D339&lt;&gt;""),F339-1.959963985 *('Funnel setup'!$K$8/SQRT('Funnel Data'!D339)),"")</f>
        <v/>
      </c>
      <c r="H339" s="177" t="str">
        <f>IF(AND(ISNUMBER('Funnel setup'!P352),D339&gt;=30,E339&lt;&gt;"*",D339&lt;&gt;""),F339+1.959963985 *('Funnel setup'!$K$8/SQRT('Funnel Data'!D339)),"")</f>
        <v/>
      </c>
      <c r="I339" s="177" t="str">
        <f>IF(AND(ISNUMBER('Funnel setup'!P352),D339&gt;=30,E339&lt;&gt;"*",D339&lt;&gt;""),F339-3.090232306 *('Funnel setup'!$K$8/SQRT('Funnel Data'!D339)),"")</f>
        <v/>
      </c>
      <c r="J339" s="177" t="str">
        <f>IF(AND(ISNUMBER('Funnel setup'!P352),D339&gt;=30,E339&lt;&gt;"*",D339&lt;&gt;""),F339+3.090232306 *('Funnel setup'!$K$8/SQRT('Funnel Data'!D339)),"")</f>
        <v/>
      </c>
      <c r="K339" s="178" t="str">
        <f>IF(AND(ISNUMBER('Funnel setup'!P352),D339&gt;=30,E339&lt;&gt;"*",D339&lt;&gt;""),IF(E339&gt;J339,'Funnel setup'!$K$15&amp;"99.8%",IF(E339&gt;H339,'Funnel setup'!$K$15&amp;"95%",IF(E339&lt;I339,'Funnel setup'!$K$16&amp;"99.8%",IF(E339&lt;G339,'Funnel setup'!$K$16&amp;"95%","")))),"")</f>
        <v/>
      </c>
    </row>
    <row r="340" spans="2:11" ht="15" customHeight="1" x14ac:dyDescent="0.35">
      <c r="B340" s="174" t="str">
        <f>IF(ISNUMBER('Funnel setup'!P353),VLOOKUP('Funnel setup'!$P353,'Provider Commission - Raw Data'!$A:$Q,5,0),"")</f>
        <v/>
      </c>
      <c r="C340" s="175" t="str">
        <f>IF(ISNUMBER('Funnel setup'!P353),VLOOKUP('Funnel setup'!P353,'Provider Commission - Raw Data'!$A:$Q,6,0),"")</f>
        <v/>
      </c>
      <c r="D340" s="176" t="str">
        <f>IF(ISNUMBER('Funnel setup'!P353),IF(VLOOKUP('Funnel setup'!P353,'Provider Commission - Raw Data'!$A:$Q,8,0)="-","",VLOOKUP('Funnel setup'!P353,'Provider Commission - Raw Data'!$A:$Q,8,0)),"")</f>
        <v/>
      </c>
      <c r="E340" s="251" t="str">
        <f>IF(ISNUMBER('Funnel setup'!P353),IF(VLOOKUP('Funnel setup'!P353,'Provider Commission - Raw Data'!$A:$Q,16,0)="-","",VLOOKUP('Funnel setup'!P353,'Provider Commission - Raw Data'!$A:$Q,16,0)),"")</f>
        <v/>
      </c>
      <c r="F340" s="177" t="str">
        <f>IF(AND(ISNUMBER('Funnel setup'!P353)),'Funnel setup'!$K$9,"")</f>
        <v/>
      </c>
      <c r="G340" s="177" t="str">
        <f>IF(AND(ISNUMBER('Funnel setup'!P353),D340&gt;=30,E340&lt;&gt;"*",D340&lt;&gt;""),F340-1.959963985 *('Funnel setup'!$K$8/SQRT('Funnel Data'!D340)),"")</f>
        <v/>
      </c>
      <c r="H340" s="177" t="str">
        <f>IF(AND(ISNUMBER('Funnel setup'!P353),D340&gt;=30,E340&lt;&gt;"*",D340&lt;&gt;""),F340+1.959963985 *('Funnel setup'!$K$8/SQRT('Funnel Data'!D340)),"")</f>
        <v/>
      </c>
      <c r="I340" s="177" t="str">
        <f>IF(AND(ISNUMBER('Funnel setup'!P353),D340&gt;=30,E340&lt;&gt;"*",D340&lt;&gt;""),F340-3.090232306 *('Funnel setup'!$K$8/SQRT('Funnel Data'!D340)),"")</f>
        <v/>
      </c>
      <c r="J340" s="177" t="str">
        <f>IF(AND(ISNUMBER('Funnel setup'!P353),D340&gt;=30,E340&lt;&gt;"*",D340&lt;&gt;""),F340+3.090232306 *('Funnel setup'!$K$8/SQRT('Funnel Data'!D340)),"")</f>
        <v/>
      </c>
      <c r="K340" s="178" t="str">
        <f>IF(AND(ISNUMBER('Funnel setup'!P353),D340&gt;=30,E340&lt;&gt;"*",D340&lt;&gt;""),IF(E340&gt;J340,'Funnel setup'!$K$15&amp;"99.8%",IF(E340&gt;H340,'Funnel setup'!$K$15&amp;"95%",IF(E340&lt;I340,'Funnel setup'!$K$16&amp;"99.8%",IF(E340&lt;G340,'Funnel setup'!$K$16&amp;"95%","")))),"")</f>
        <v/>
      </c>
    </row>
    <row r="341" spans="2:11" ht="15" customHeight="1" x14ac:dyDescent="0.35">
      <c r="B341" s="174" t="str">
        <f>IF(ISNUMBER('Funnel setup'!P354),VLOOKUP('Funnel setup'!$P354,'Provider Commission - Raw Data'!$A:$Q,5,0),"")</f>
        <v/>
      </c>
      <c r="C341" s="175" t="str">
        <f>IF(ISNUMBER('Funnel setup'!P354),VLOOKUP('Funnel setup'!P354,'Provider Commission - Raw Data'!$A:$Q,6,0),"")</f>
        <v/>
      </c>
      <c r="D341" s="176" t="str">
        <f>IF(ISNUMBER('Funnel setup'!P354),IF(VLOOKUP('Funnel setup'!P354,'Provider Commission - Raw Data'!$A:$Q,8,0)="-","",VLOOKUP('Funnel setup'!P354,'Provider Commission - Raw Data'!$A:$Q,8,0)),"")</f>
        <v/>
      </c>
      <c r="E341" s="251" t="str">
        <f>IF(ISNUMBER('Funnel setup'!P354),IF(VLOOKUP('Funnel setup'!P354,'Provider Commission - Raw Data'!$A:$Q,16,0)="-","",VLOOKUP('Funnel setup'!P354,'Provider Commission - Raw Data'!$A:$Q,16,0)),"")</f>
        <v/>
      </c>
      <c r="F341" s="177" t="str">
        <f>IF(AND(ISNUMBER('Funnel setup'!P354)),'Funnel setup'!$K$9,"")</f>
        <v/>
      </c>
      <c r="G341" s="177" t="str">
        <f>IF(AND(ISNUMBER('Funnel setup'!P354),D341&gt;=30,E341&lt;&gt;"*",D341&lt;&gt;""),F341-1.959963985 *('Funnel setup'!$K$8/SQRT('Funnel Data'!D341)),"")</f>
        <v/>
      </c>
      <c r="H341" s="177" t="str">
        <f>IF(AND(ISNUMBER('Funnel setup'!P354),D341&gt;=30,E341&lt;&gt;"*",D341&lt;&gt;""),F341+1.959963985 *('Funnel setup'!$K$8/SQRT('Funnel Data'!D341)),"")</f>
        <v/>
      </c>
      <c r="I341" s="177" t="str">
        <f>IF(AND(ISNUMBER('Funnel setup'!P354),D341&gt;=30,E341&lt;&gt;"*",D341&lt;&gt;""),F341-3.090232306 *('Funnel setup'!$K$8/SQRT('Funnel Data'!D341)),"")</f>
        <v/>
      </c>
      <c r="J341" s="177" t="str">
        <f>IF(AND(ISNUMBER('Funnel setup'!P354),D341&gt;=30,E341&lt;&gt;"*",D341&lt;&gt;""),F341+3.090232306 *('Funnel setup'!$K$8/SQRT('Funnel Data'!D341)),"")</f>
        <v/>
      </c>
      <c r="K341" s="178" t="str">
        <f>IF(AND(ISNUMBER('Funnel setup'!P354),D341&gt;=30,E341&lt;&gt;"*",D341&lt;&gt;""),IF(E341&gt;J341,'Funnel setup'!$K$15&amp;"99.8%",IF(E341&gt;H341,'Funnel setup'!$K$15&amp;"95%",IF(E341&lt;I341,'Funnel setup'!$K$16&amp;"99.8%",IF(E341&lt;G341,'Funnel setup'!$K$16&amp;"95%","")))),"")</f>
        <v/>
      </c>
    </row>
    <row r="342" spans="2:11" ht="15" customHeight="1" x14ac:dyDescent="0.35">
      <c r="B342" s="174" t="str">
        <f>IF(ISNUMBER('Funnel setup'!P355),VLOOKUP('Funnel setup'!$P355,'Provider Commission - Raw Data'!$A:$Q,5,0),"")</f>
        <v/>
      </c>
      <c r="C342" s="175" t="str">
        <f>IF(ISNUMBER('Funnel setup'!P355),VLOOKUP('Funnel setup'!P355,'Provider Commission - Raw Data'!$A:$Q,6,0),"")</f>
        <v/>
      </c>
      <c r="D342" s="176" t="str">
        <f>IF(ISNUMBER('Funnel setup'!P355),IF(VLOOKUP('Funnel setup'!P355,'Provider Commission - Raw Data'!$A:$Q,8,0)="-","",VLOOKUP('Funnel setup'!P355,'Provider Commission - Raw Data'!$A:$Q,8,0)),"")</f>
        <v/>
      </c>
      <c r="E342" s="251" t="str">
        <f>IF(ISNUMBER('Funnel setup'!P355),IF(VLOOKUP('Funnel setup'!P355,'Provider Commission - Raw Data'!$A:$Q,16,0)="-","",VLOOKUP('Funnel setup'!P355,'Provider Commission - Raw Data'!$A:$Q,16,0)),"")</f>
        <v/>
      </c>
      <c r="F342" s="177" t="str">
        <f>IF(AND(ISNUMBER('Funnel setup'!P355)),'Funnel setup'!$K$9,"")</f>
        <v/>
      </c>
      <c r="G342" s="177" t="str">
        <f>IF(AND(ISNUMBER('Funnel setup'!P355),D342&gt;=30,E342&lt;&gt;"*",D342&lt;&gt;""),F342-1.959963985 *('Funnel setup'!$K$8/SQRT('Funnel Data'!D342)),"")</f>
        <v/>
      </c>
      <c r="H342" s="177" t="str">
        <f>IF(AND(ISNUMBER('Funnel setup'!P355),D342&gt;=30,E342&lt;&gt;"*",D342&lt;&gt;""),F342+1.959963985 *('Funnel setup'!$K$8/SQRT('Funnel Data'!D342)),"")</f>
        <v/>
      </c>
      <c r="I342" s="177" t="str">
        <f>IF(AND(ISNUMBER('Funnel setup'!P355),D342&gt;=30,E342&lt;&gt;"*",D342&lt;&gt;""),F342-3.090232306 *('Funnel setup'!$K$8/SQRT('Funnel Data'!D342)),"")</f>
        <v/>
      </c>
      <c r="J342" s="177" t="str">
        <f>IF(AND(ISNUMBER('Funnel setup'!P355),D342&gt;=30,E342&lt;&gt;"*",D342&lt;&gt;""),F342+3.090232306 *('Funnel setup'!$K$8/SQRT('Funnel Data'!D342)),"")</f>
        <v/>
      </c>
      <c r="K342" s="178" t="str">
        <f>IF(AND(ISNUMBER('Funnel setup'!P355),D342&gt;=30,E342&lt;&gt;"*",D342&lt;&gt;""),IF(E342&gt;J342,'Funnel setup'!$K$15&amp;"99.8%",IF(E342&gt;H342,'Funnel setup'!$K$15&amp;"95%",IF(E342&lt;I342,'Funnel setup'!$K$16&amp;"99.8%",IF(E342&lt;G342,'Funnel setup'!$K$16&amp;"95%","")))),"")</f>
        <v/>
      </c>
    </row>
    <row r="343" spans="2:11" ht="15" customHeight="1" x14ac:dyDescent="0.35">
      <c r="B343" s="174" t="str">
        <f>IF(ISNUMBER('Funnel setup'!P356),VLOOKUP('Funnel setup'!$P356,'Provider Commission - Raw Data'!$A:$Q,5,0),"")</f>
        <v/>
      </c>
      <c r="C343" s="175" t="str">
        <f>IF(ISNUMBER('Funnel setup'!P356),VLOOKUP('Funnel setup'!P356,'Provider Commission - Raw Data'!$A:$Q,6,0),"")</f>
        <v/>
      </c>
      <c r="D343" s="176" t="str">
        <f>IF(ISNUMBER('Funnel setup'!P356),IF(VLOOKUP('Funnel setup'!P356,'Provider Commission - Raw Data'!$A:$Q,8,0)="-","",VLOOKUP('Funnel setup'!P356,'Provider Commission - Raw Data'!$A:$Q,8,0)),"")</f>
        <v/>
      </c>
      <c r="E343" s="251" t="str">
        <f>IF(ISNUMBER('Funnel setup'!P356),IF(VLOOKUP('Funnel setup'!P356,'Provider Commission - Raw Data'!$A:$Q,16,0)="-","",VLOOKUP('Funnel setup'!P356,'Provider Commission - Raw Data'!$A:$Q,16,0)),"")</f>
        <v/>
      </c>
      <c r="F343" s="177" t="str">
        <f>IF(AND(ISNUMBER('Funnel setup'!P356)),'Funnel setup'!$K$9,"")</f>
        <v/>
      </c>
      <c r="G343" s="177" t="str">
        <f>IF(AND(ISNUMBER('Funnel setup'!P356),D343&gt;=30,E343&lt;&gt;"*",D343&lt;&gt;""),F343-1.959963985 *('Funnel setup'!$K$8/SQRT('Funnel Data'!D343)),"")</f>
        <v/>
      </c>
      <c r="H343" s="177" t="str">
        <f>IF(AND(ISNUMBER('Funnel setup'!P356),D343&gt;=30,E343&lt;&gt;"*",D343&lt;&gt;""),F343+1.959963985 *('Funnel setup'!$K$8/SQRT('Funnel Data'!D343)),"")</f>
        <v/>
      </c>
      <c r="I343" s="177" t="str">
        <f>IF(AND(ISNUMBER('Funnel setup'!P356),D343&gt;=30,E343&lt;&gt;"*",D343&lt;&gt;""),F343-3.090232306 *('Funnel setup'!$K$8/SQRT('Funnel Data'!D343)),"")</f>
        <v/>
      </c>
      <c r="J343" s="177" t="str">
        <f>IF(AND(ISNUMBER('Funnel setup'!P356),D343&gt;=30,E343&lt;&gt;"*",D343&lt;&gt;""),F343+3.090232306 *('Funnel setup'!$K$8/SQRT('Funnel Data'!D343)),"")</f>
        <v/>
      </c>
      <c r="K343" s="178" t="str">
        <f>IF(AND(ISNUMBER('Funnel setup'!P356),D343&gt;=30,E343&lt;&gt;"*",D343&lt;&gt;""),IF(E343&gt;J343,'Funnel setup'!$K$15&amp;"99.8%",IF(E343&gt;H343,'Funnel setup'!$K$15&amp;"95%",IF(E343&lt;I343,'Funnel setup'!$K$16&amp;"99.8%",IF(E343&lt;G343,'Funnel setup'!$K$16&amp;"95%","")))),"")</f>
        <v/>
      </c>
    </row>
    <row r="344" spans="2:11" ht="15" customHeight="1" x14ac:dyDescent="0.35">
      <c r="B344" s="174" t="str">
        <f>IF(ISNUMBER('Funnel setup'!P357),VLOOKUP('Funnel setup'!$P357,'Provider Commission - Raw Data'!$A:$Q,5,0),"")</f>
        <v/>
      </c>
      <c r="C344" s="175" t="str">
        <f>IF(ISNUMBER('Funnel setup'!P357),VLOOKUP('Funnel setup'!P357,'Provider Commission - Raw Data'!$A:$Q,6,0),"")</f>
        <v/>
      </c>
      <c r="D344" s="176" t="str">
        <f>IF(ISNUMBER('Funnel setup'!P357),IF(VLOOKUP('Funnel setup'!P357,'Provider Commission - Raw Data'!$A:$Q,8,0)="-","",VLOOKUP('Funnel setup'!P357,'Provider Commission - Raw Data'!$A:$Q,8,0)),"")</f>
        <v/>
      </c>
      <c r="E344" s="251" t="str">
        <f>IF(ISNUMBER('Funnel setup'!P357),IF(VLOOKUP('Funnel setup'!P357,'Provider Commission - Raw Data'!$A:$Q,16,0)="-","",VLOOKUP('Funnel setup'!P357,'Provider Commission - Raw Data'!$A:$Q,16,0)),"")</f>
        <v/>
      </c>
      <c r="F344" s="177" t="str">
        <f>IF(AND(ISNUMBER('Funnel setup'!P357)),'Funnel setup'!$K$9,"")</f>
        <v/>
      </c>
      <c r="G344" s="177" t="str">
        <f>IF(AND(ISNUMBER('Funnel setup'!P357),D344&gt;=30,E344&lt;&gt;"*",D344&lt;&gt;""),F344-1.959963985 *('Funnel setup'!$K$8/SQRT('Funnel Data'!D344)),"")</f>
        <v/>
      </c>
      <c r="H344" s="177" t="str">
        <f>IF(AND(ISNUMBER('Funnel setup'!P357),D344&gt;=30,E344&lt;&gt;"*",D344&lt;&gt;""),F344+1.959963985 *('Funnel setup'!$K$8/SQRT('Funnel Data'!D344)),"")</f>
        <v/>
      </c>
      <c r="I344" s="177" t="str">
        <f>IF(AND(ISNUMBER('Funnel setup'!P357),D344&gt;=30,E344&lt;&gt;"*",D344&lt;&gt;""),F344-3.090232306 *('Funnel setup'!$K$8/SQRT('Funnel Data'!D344)),"")</f>
        <v/>
      </c>
      <c r="J344" s="177" t="str">
        <f>IF(AND(ISNUMBER('Funnel setup'!P357),D344&gt;=30,E344&lt;&gt;"*",D344&lt;&gt;""),F344+3.090232306 *('Funnel setup'!$K$8/SQRT('Funnel Data'!D344)),"")</f>
        <v/>
      </c>
      <c r="K344" s="178" t="str">
        <f>IF(AND(ISNUMBER('Funnel setup'!P357),D344&gt;=30,E344&lt;&gt;"*",D344&lt;&gt;""),IF(E344&gt;J344,'Funnel setup'!$K$15&amp;"99.8%",IF(E344&gt;H344,'Funnel setup'!$K$15&amp;"95%",IF(E344&lt;I344,'Funnel setup'!$K$16&amp;"99.8%",IF(E344&lt;G344,'Funnel setup'!$K$16&amp;"95%","")))),"")</f>
        <v/>
      </c>
    </row>
    <row r="345" spans="2:11" ht="15" customHeight="1" x14ac:dyDescent="0.35">
      <c r="B345" s="174" t="str">
        <f>IF(ISNUMBER('Funnel setup'!P358),VLOOKUP('Funnel setup'!$P358,'Provider Commission - Raw Data'!$A:$Q,5,0),"")</f>
        <v/>
      </c>
      <c r="C345" s="175" t="str">
        <f>IF(ISNUMBER('Funnel setup'!P358),VLOOKUP('Funnel setup'!P358,'Provider Commission - Raw Data'!$A:$Q,6,0),"")</f>
        <v/>
      </c>
      <c r="D345" s="176" t="str">
        <f>IF(ISNUMBER('Funnel setup'!P358),IF(VLOOKUP('Funnel setup'!P358,'Provider Commission - Raw Data'!$A:$Q,8,0)="-","",VLOOKUP('Funnel setup'!P358,'Provider Commission - Raw Data'!$A:$Q,8,0)),"")</f>
        <v/>
      </c>
      <c r="E345" s="251" t="str">
        <f>IF(ISNUMBER('Funnel setup'!P358),IF(VLOOKUP('Funnel setup'!P358,'Provider Commission - Raw Data'!$A:$Q,16,0)="-","",VLOOKUP('Funnel setup'!P358,'Provider Commission - Raw Data'!$A:$Q,16,0)),"")</f>
        <v/>
      </c>
      <c r="F345" s="177" t="str">
        <f>IF(AND(ISNUMBER('Funnel setup'!P358)),'Funnel setup'!$K$9,"")</f>
        <v/>
      </c>
      <c r="G345" s="177" t="str">
        <f>IF(AND(ISNUMBER('Funnel setup'!P358),D345&gt;=30,E345&lt;&gt;"*",D345&lt;&gt;""),F345-1.959963985 *('Funnel setup'!$K$8/SQRT('Funnel Data'!D345)),"")</f>
        <v/>
      </c>
      <c r="H345" s="177" t="str">
        <f>IF(AND(ISNUMBER('Funnel setup'!P358),D345&gt;=30,E345&lt;&gt;"*",D345&lt;&gt;""),F345+1.959963985 *('Funnel setup'!$K$8/SQRT('Funnel Data'!D345)),"")</f>
        <v/>
      </c>
      <c r="I345" s="177" t="str">
        <f>IF(AND(ISNUMBER('Funnel setup'!P358),D345&gt;=30,E345&lt;&gt;"*",D345&lt;&gt;""),F345-3.090232306 *('Funnel setup'!$K$8/SQRT('Funnel Data'!D345)),"")</f>
        <v/>
      </c>
      <c r="J345" s="177" t="str">
        <f>IF(AND(ISNUMBER('Funnel setup'!P358),D345&gt;=30,E345&lt;&gt;"*",D345&lt;&gt;""),F345+3.090232306 *('Funnel setup'!$K$8/SQRT('Funnel Data'!D345)),"")</f>
        <v/>
      </c>
      <c r="K345" s="178" t="str">
        <f>IF(AND(ISNUMBER('Funnel setup'!P358),D345&gt;=30,E345&lt;&gt;"*",D345&lt;&gt;""),IF(E345&gt;J345,'Funnel setup'!$K$15&amp;"99.8%",IF(E345&gt;H345,'Funnel setup'!$K$15&amp;"95%",IF(E345&lt;I345,'Funnel setup'!$K$16&amp;"99.8%",IF(E345&lt;G345,'Funnel setup'!$K$16&amp;"95%","")))),"")</f>
        <v/>
      </c>
    </row>
    <row r="346" spans="2:11" ht="15" customHeight="1" x14ac:dyDescent="0.35">
      <c r="B346" s="174" t="str">
        <f>IF(ISNUMBER('Funnel setup'!P359),VLOOKUP('Funnel setup'!$P359,'Provider Commission - Raw Data'!$A:$Q,5,0),"")</f>
        <v/>
      </c>
      <c r="C346" s="175" t="str">
        <f>IF(ISNUMBER('Funnel setup'!P359),VLOOKUP('Funnel setup'!P359,'Provider Commission - Raw Data'!$A:$Q,6,0),"")</f>
        <v/>
      </c>
      <c r="D346" s="176" t="str">
        <f>IF(ISNUMBER('Funnel setup'!P359),IF(VLOOKUP('Funnel setup'!P359,'Provider Commission - Raw Data'!$A:$Q,8,0)="-","",VLOOKUP('Funnel setup'!P359,'Provider Commission - Raw Data'!$A:$Q,8,0)),"")</f>
        <v/>
      </c>
      <c r="E346" s="251" t="str">
        <f>IF(ISNUMBER('Funnel setup'!P359),IF(VLOOKUP('Funnel setup'!P359,'Provider Commission - Raw Data'!$A:$Q,16,0)="-","",VLOOKUP('Funnel setup'!P359,'Provider Commission - Raw Data'!$A:$Q,16,0)),"")</f>
        <v/>
      </c>
      <c r="F346" s="177" t="str">
        <f>IF(AND(ISNUMBER('Funnel setup'!P359)),'Funnel setup'!$K$9,"")</f>
        <v/>
      </c>
      <c r="G346" s="177" t="str">
        <f>IF(AND(ISNUMBER('Funnel setup'!P359),D346&gt;=30,E346&lt;&gt;"*",D346&lt;&gt;""),F346-1.959963985 *('Funnel setup'!$K$8/SQRT('Funnel Data'!D346)),"")</f>
        <v/>
      </c>
      <c r="H346" s="177" t="str">
        <f>IF(AND(ISNUMBER('Funnel setup'!P359),D346&gt;=30,E346&lt;&gt;"*",D346&lt;&gt;""),F346+1.959963985 *('Funnel setup'!$K$8/SQRT('Funnel Data'!D346)),"")</f>
        <v/>
      </c>
      <c r="I346" s="177" t="str">
        <f>IF(AND(ISNUMBER('Funnel setup'!P359),D346&gt;=30,E346&lt;&gt;"*",D346&lt;&gt;""),F346-3.090232306 *('Funnel setup'!$K$8/SQRT('Funnel Data'!D346)),"")</f>
        <v/>
      </c>
      <c r="J346" s="177" t="str">
        <f>IF(AND(ISNUMBER('Funnel setup'!P359),D346&gt;=30,E346&lt;&gt;"*",D346&lt;&gt;""),F346+3.090232306 *('Funnel setup'!$K$8/SQRT('Funnel Data'!D346)),"")</f>
        <v/>
      </c>
      <c r="K346" s="178" t="str">
        <f>IF(AND(ISNUMBER('Funnel setup'!P359),D346&gt;=30,E346&lt;&gt;"*",D346&lt;&gt;""),IF(E346&gt;J346,'Funnel setup'!$K$15&amp;"99.8%",IF(E346&gt;H346,'Funnel setup'!$K$15&amp;"95%",IF(E346&lt;I346,'Funnel setup'!$K$16&amp;"99.8%",IF(E346&lt;G346,'Funnel setup'!$K$16&amp;"95%","")))),"")</f>
        <v/>
      </c>
    </row>
    <row r="347" spans="2:11" ht="15" customHeight="1" x14ac:dyDescent="0.35">
      <c r="B347" s="174" t="str">
        <f>IF(ISNUMBER('Funnel setup'!P360),VLOOKUP('Funnel setup'!$P360,'Provider Commission - Raw Data'!$A:$Q,5,0),"")</f>
        <v/>
      </c>
      <c r="C347" s="175" t="str">
        <f>IF(ISNUMBER('Funnel setup'!P360),VLOOKUP('Funnel setup'!P360,'Provider Commission - Raw Data'!$A:$Q,6,0),"")</f>
        <v/>
      </c>
      <c r="D347" s="176" t="str">
        <f>IF(ISNUMBER('Funnel setup'!P360),IF(VLOOKUP('Funnel setup'!P360,'Provider Commission - Raw Data'!$A:$Q,8,0)="-","",VLOOKUP('Funnel setup'!P360,'Provider Commission - Raw Data'!$A:$Q,8,0)),"")</f>
        <v/>
      </c>
      <c r="E347" s="251" t="str">
        <f>IF(ISNUMBER('Funnel setup'!P360),IF(VLOOKUP('Funnel setup'!P360,'Provider Commission - Raw Data'!$A:$Q,16,0)="-","",VLOOKUP('Funnel setup'!P360,'Provider Commission - Raw Data'!$A:$Q,16,0)),"")</f>
        <v/>
      </c>
      <c r="F347" s="177" t="str">
        <f>IF(AND(ISNUMBER('Funnel setup'!P360)),'Funnel setup'!$K$9,"")</f>
        <v/>
      </c>
      <c r="G347" s="177" t="str">
        <f>IF(AND(ISNUMBER('Funnel setup'!P360),D347&gt;=30,E347&lt;&gt;"*",D347&lt;&gt;""),F347-1.959963985 *('Funnel setup'!$K$8/SQRT('Funnel Data'!D347)),"")</f>
        <v/>
      </c>
      <c r="H347" s="177" t="str">
        <f>IF(AND(ISNUMBER('Funnel setup'!P360),D347&gt;=30,E347&lt;&gt;"*",D347&lt;&gt;""),F347+1.959963985 *('Funnel setup'!$K$8/SQRT('Funnel Data'!D347)),"")</f>
        <v/>
      </c>
      <c r="I347" s="177" t="str">
        <f>IF(AND(ISNUMBER('Funnel setup'!P360),D347&gt;=30,E347&lt;&gt;"*",D347&lt;&gt;""),F347-3.090232306 *('Funnel setup'!$K$8/SQRT('Funnel Data'!D347)),"")</f>
        <v/>
      </c>
      <c r="J347" s="177" t="str">
        <f>IF(AND(ISNUMBER('Funnel setup'!P360),D347&gt;=30,E347&lt;&gt;"*",D347&lt;&gt;""),F347+3.090232306 *('Funnel setup'!$K$8/SQRT('Funnel Data'!D347)),"")</f>
        <v/>
      </c>
      <c r="K347" s="178" t="str">
        <f>IF(AND(ISNUMBER('Funnel setup'!P360),D347&gt;=30,E347&lt;&gt;"*",D347&lt;&gt;""),IF(E347&gt;J347,'Funnel setup'!$K$15&amp;"99.8%",IF(E347&gt;H347,'Funnel setup'!$K$15&amp;"95%",IF(E347&lt;I347,'Funnel setup'!$K$16&amp;"99.8%",IF(E347&lt;G347,'Funnel setup'!$K$16&amp;"95%","")))),"")</f>
        <v/>
      </c>
    </row>
    <row r="348" spans="2:11" ht="15" customHeight="1" x14ac:dyDescent="0.35">
      <c r="B348" s="174" t="str">
        <f>IF(ISNUMBER('Funnel setup'!P361),VLOOKUP('Funnel setup'!$P361,'Provider Commission - Raw Data'!$A:$Q,5,0),"")</f>
        <v/>
      </c>
      <c r="C348" s="175" t="str">
        <f>IF(ISNUMBER('Funnel setup'!P361),VLOOKUP('Funnel setup'!P361,'Provider Commission - Raw Data'!$A:$Q,6,0),"")</f>
        <v/>
      </c>
      <c r="D348" s="176" t="str">
        <f>IF(ISNUMBER('Funnel setup'!P361),IF(VLOOKUP('Funnel setup'!P361,'Provider Commission - Raw Data'!$A:$Q,8,0)="-","",VLOOKUP('Funnel setup'!P361,'Provider Commission - Raw Data'!$A:$Q,8,0)),"")</f>
        <v/>
      </c>
      <c r="E348" s="251" t="str">
        <f>IF(ISNUMBER('Funnel setup'!P361),IF(VLOOKUP('Funnel setup'!P361,'Provider Commission - Raw Data'!$A:$Q,16,0)="-","",VLOOKUP('Funnel setup'!P361,'Provider Commission - Raw Data'!$A:$Q,16,0)),"")</f>
        <v/>
      </c>
      <c r="F348" s="177" t="str">
        <f>IF(AND(ISNUMBER('Funnel setup'!P361)),'Funnel setup'!$K$9,"")</f>
        <v/>
      </c>
      <c r="G348" s="177" t="str">
        <f>IF(AND(ISNUMBER('Funnel setup'!P361),D348&gt;=30,E348&lt;&gt;"*",D348&lt;&gt;""),F348-1.959963985 *('Funnel setup'!$K$8/SQRT('Funnel Data'!D348)),"")</f>
        <v/>
      </c>
      <c r="H348" s="177" t="str">
        <f>IF(AND(ISNUMBER('Funnel setup'!P361),D348&gt;=30,E348&lt;&gt;"*",D348&lt;&gt;""),F348+1.959963985 *('Funnel setup'!$K$8/SQRT('Funnel Data'!D348)),"")</f>
        <v/>
      </c>
      <c r="I348" s="177" t="str">
        <f>IF(AND(ISNUMBER('Funnel setup'!P361),D348&gt;=30,E348&lt;&gt;"*",D348&lt;&gt;""),F348-3.090232306 *('Funnel setup'!$K$8/SQRT('Funnel Data'!D348)),"")</f>
        <v/>
      </c>
      <c r="J348" s="177" t="str">
        <f>IF(AND(ISNUMBER('Funnel setup'!P361),D348&gt;=30,E348&lt;&gt;"*",D348&lt;&gt;""),F348+3.090232306 *('Funnel setup'!$K$8/SQRT('Funnel Data'!D348)),"")</f>
        <v/>
      </c>
      <c r="K348" s="178" t="str">
        <f>IF(AND(ISNUMBER('Funnel setup'!P361),D348&gt;=30,E348&lt;&gt;"*",D348&lt;&gt;""),IF(E348&gt;J348,'Funnel setup'!$K$15&amp;"99.8%",IF(E348&gt;H348,'Funnel setup'!$K$15&amp;"95%",IF(E348&lt;I348,'Funnel setup'!$K$16&amp;"99.8%",IF(E348&lt;G348,'Funnel setup'!$K$16&amp;"95%","")))),"")</f>
        <v/>
      </c>
    </row>
    <row r="349" spans="2:11" ht="15" customHeight="1" x14ac:dyDescent="0.35">
      <c r="B349" s="174" t="str">
        <f>IF(ISNUMBER('Funnel setup'!P362),VLOOKUP('Funnel setup'!$P362,'Provider Commission - Raw Data'!$A:$Q,5,0),"")</f>
        <v/>
      </c>
      <c r="C349" s="175" t="str">
        <f>IF(ISNUMBER('Funnel setup'!P362),VLOOKUP('Funnel setup'!P362,'Provider Commission - Raw Data'!$A:$Q,6,0),"")</f>
        <v/>
      </c>
      <c r="D349" s="176" t="str">
        <f>IF(ISNUMBER('Funnel setup'!P362),IF(VLOOKUP('Funnel setup'!P362,'Provider Commission - Raw Data'!$A:$Q,8,0)="-","",VLOOKUP('Funnel setup'!P362,'Provider Commission - Raw Data'!$A:$Q,8,0)),"")</f>
        <v/>
      </c>
      <c r="E349" s="251" t="str">
        <f>IF(ISNUMBER('Funnel setup'!P362),IF(VLOOKUP('Funnel setup'!P362,'Provider Commission - Raw Data'!$A:$Q,16,0)="-","",VLOOKUP('Funnel setup'!P362,'Provider Commission - Raw Data'!$A:$Q,16,0)),"")</f>
        <v/>
      </c>
      <c r="F349" s="177" t="str">
        <f>IF(AND(ISNUMBER('Funnel setup'!P362)),'Funnel setup'!$K$9,"")</f>
        <v/>
      </c>
      <c r="G349" s="177" t="str">
        <f>IF(AND(ISNUMBER('Funnel setup'!P362),D349&gt;=30,E349&lt;&gt;"*",D349&lt;&gt;""),F349-1.959963985 *('Funnel setup'!$K$8/SQRT('Funnel Data'!D349)),"")</f>
        <v/>
      </c>
      <c r="H349" s="177" t="str">
        <f>IF(AND(ISNUMBER('Funnel setup'!P362),D349&gt;=30,E349&lt;&gt;"*",D349&lt;&gt;""),F349+1.959963985 *('Funnel setup'!$K$8/SQRT('Funnel Data'!D349)),"")</f>
        <v/>
      </c>
      <c r="I349" s="177" t="str">
        <f>IF(AND(ISNUMBER('Funnel setup'!P362),D349&gt;=30,E349&lt;&gt;"*",D349&lt;&gt;""),F349-3.090232306 *('Funnel setup'!$K$8/SQRT('Funnel Data'!D349)),"")</f>
        <v/>
      </c>
      <c r="J349" s="177" t="str">
        <f>IF(AND(ISNUMBER('Funnel setup'!P362),D349&gt;=30,E349&lt;&gt;"*",D349&lt;&gt;""),F349+3.090232306 *('Funnel setup'!$K$8/SQRT('Funnel Data'!D349)),"")</f>
        <v/>
      </c>
      <c r="K349" s="178" t="str">
        <f>IF(AND(ISNUMBER('Funnel setup'!P362),D349&gt;=30,E349&lt;&gt;"*",D349&lt;&gt;""),IF(E349&gt;J349,'Funnel setup'!$K$15&amp;"99.8%",IF(E349&gt;H349,'Funnel setup'!$K$15&amp;"95%",IF(E349&lt;I349,'Funnel setup'!$K$16&amp;"99.8%",IF(E349&lt;G349,'Funnel setup'!$K$16&amp;"95%","")))),"")</f>
        <v/>
      </c>
    </row>
    <row r="350" spans="2:11" ht="15" customHeight="1" x14ac:dyDescent="0.35">
      <c r="B350" s="174" t="str">
        <f>IF(ISNUMBER('Funnel setup'!P363),VLOOKUP('Funnel setup'!$P363,'Provider Commission - Raw Data'!$A:$Q,5,0),"")</f>
        <v/>
      </c>
      <c r="C350" s="175" t="str">
        <f>IF(ISNUMBER('Funnel setup'!P363),VLOOKUP('Funnel setup'!P363,'Provider Commission - Raw Data'!$A:$Q,6,0),"")</f>
        <v/>
      </c>
      <c r="D350" s="176" t="str">
        <f>IF(ISNUMBER('Funnel setup'!P363),IF(VLOOKUP('Funnel setup'!P363,'Provider Commission - Raw Data'!$A:$Q,8,0)="-","",VLOOKUP('Funnel setup'!P363,'Provider Commission - Raw Data'!$A:$Q,8,0)),"")</f>
        <v/>
      </c>
      <c r="E350" s="251" t="str">
        <f>IF(ISNUMBER('Funnel setup'!P363),IF(VLOOKUP('Funnel setup'!P363,'Provider Commission - Raw Data'!$A:$Q,16,0)="-","",VLOOKUP('Funnel setup'!P363,'Provider Commission - Raw Data'!$A:$Q,16,0)),"")</f>
        <v/>
      </c>
      <c r="F350" s="177" t="str">
        <f>IF(AND(ISNUMBER('Funnel setup'!P363)),'Funnel setup'!$K$9,"")</f>
        <v/>
      </c>
      <c r="G350" s="177" t="str">
        <f>IF(AND(ISNUMBER('Funnel setup'!P363),D350&gt;=30,E350&lt;&gt;"*",D350&lt;&gt;""),F350-1.959963985 *('Funnel setup'!$K$8/SQRT('Funnel Data'!D350)),"")</f>
        <v/>
      </c>
      <c r="H350" s="177" t="str">
        <f>IF(AND(ISNUMBER('Funnel setup'!P363),D350&gt;=30,E350&lt;&gt;"*",D350&lt;&gt;""),F350+1.959963985 *('Funnel setup'!$K$8/SQRT('Funnel Data'!D350)),"")</f>
        <v/>
      </c>
      <c r="I350" s="177" t="str">
        <f>IF(AND(ISNUMBER('Funnel setup'!P363),D350&gt;=30,E350&lt;&gt;"*",D350&lt;&gt;""),F350-3.090232306 *('Funnel setup'!$K$8/SQRT('Funnel Data'!D350)),"")</f>
        <v/>
      </c>
      <c r="J350" s="177" t="str">
        <f>IF(AND(ISNUMBER('Funnel setup'!P363),D350&gt;=30,E350&lt;&gt;"*",D350&lt;&gt;""),F350+3.090232306 *('Funnel setup'!$K$8/SQRT('Funnel Data'!D350)),"")</f>
        <v/>
      </c>
      <c r="K350" s="178" t="str">
        <f>IF(AND(ISNUMBER('Funnel setup'!P363),D350&gt;=30,E350&lt;&gt;"*",D350&lt;&gt;""),IF(E350&gt;J350,'Funnel setup'!$K$15&amp;"99.8%",IF(E350&gt;H350,'Funnel setup'!$K$15&amp;"95%",IF(E350&lt;I350,'Funnel setup'!$K$16&amp;"99.8%",IF(E350&lt;G350,'Funnel setup'!$K$16&amp;"95%","")))),"")</f>
        <v/>
      </c>
    </row>
    <row r="351" spans="2:11" ht="15" customHeight="1" x14ac:dyDescent="0.35">
      <c r="B351" s="174" t="str">
        <f>IF(ISNUMBER('Funnel setup'!P364),VLOOKUP('Funnel setup'!$P364,'Provider Commission - Raw Data'!$A:$Q,5,0),"")</f>
        <v/>
      </c>
      <c r="C351" s="175" t="str">
        <f>IF(ISNUMBER('Funnel setup'!P364),VLOOKUP('Funnel setup'!P364,'Provider Commission - Raw Data'!$A:$Q,6,0),"")</f>
        <v/>
      </c>
      <c r="D351" s="176" t="str">
        <f>IF(ISNUMBER('Funnel setup'!P364),IF(VLOOKUP('Funnel setup'!P364,'Provider Commission - Raw Data'!$A:$Q,8,0)="-","",VLOOKUP('Funnel setup'!P364,'Provider Commission - Raw Data'!$A:$Q,8,0)),"")</f>
        <v/>
      </c>
      <c r="E351" s="251" t="str">
        <f>IF(ISNUMBER('Funnel setup'!P364),IF(VLOOKUP('Funnel setup'!P364,'Provider Commission - Raw Data'!$A:$Q,16,0)="-","",VLOOKUP('Funnel setup'!P364,'Provider Commission - Raw Data'!$A:$Q,16,0)),"")</f>
        <v/>
      </c>
      <c r="F351" s="177" t="str">
        <f>IF(AND(ISNUMBER('Funnel setup'!P364)),'Funnel setup'!$K$9,"")</f>
        <v/>
      </c>
      <c r="G351" s="177" t="str">
        <f>IF(AND(ISNUMBER('Funnel setup'!P364),D351&gt;=30,E351&lt;&gt;"*",D351&lt;&gt;""),F351-1.959963985 *('Funnel setup'!$K$8/SQRT('Funnel Data'!D351)),"")</f>
        <v/>
      </c>
      <c r="H351" s="177" t="str">
        <f>IF(AND(ISNUMBER('Funnel setup'!P364),D351&gt;=30,E351&lt;&gt;"*",D351&lt;&gt;""),F351+1.959963985 *('Funnel setup'!$K$8/SQRT('Funnel Data'!D351)),"")</f>
        <v/>
      </c>
      <c r="I351" s="177" t="str">
        <f>IF(AND(ISNUMBER('Funnel setup'!P364),D351&gt;=30,E351&lt;&gt;"*",D351&lt;&gt;""),F351-3.090232306 *('Funnel setup'!$K$8/SQRT('Funnel Data'!D351)),"")</f>
        <v/>
      </c>
      <c r="J351" s="177" t="str">
        <f>IF(AND(ISNUMBER('Funnel setup'!P364),D351&gt;=30,E351&lt;&gt;"*",D351&lt;&gt;""),F351+3.090232306 *('Funnel setup'!$K$8/SQRT('Funnel Data'!D351)),"")</f>
        <v/>
      </c>
      <c r="K351" s="178" t="str">
        <f>IF(AND(ISNUMBER('Funnel setup'!P364),D351&gt;=30,E351&lt;&gt;"*",D351&lt;&gt;""),IF(E351&gt;J351,'Funnel setup'!$K$15&amp;"99.8%",IF(E351&gt;H351,'Funnel setup'!$K$15&amp;"95%",IF(E351&lt;I351,'Funnel setup'!$K$16&amp;"99.8%",IF(E351&lt;G351,'Funnel setup'!$K$16&amp;"95%","")))),"")</f>
        <v/>
      </c>
    </row>
    <row r="352" spans="2:11" ht="15" customHeight="1" x14ac:dyDescent="0.35">
      <c r="B352" s="174" t="str">
        <f>IF(ISNUMBER('Funnel setup'!P365),VLOOKUP('Funnel setup'!$P365,'Provider Commission - Raw Data'!$A:$Q,5,0),"")</f>
        <v/>
      </c>
      <c r="C352" s="175" t="str">
        <f>IF(ISNUMBER('Funnel setup'!P365),VLOOKUP('Funnel setup'!P365,'Provider Commission - Raw Data'!$A:$Q,6,0),"")</f>
        <v/>
      </c>
      <c r="D352" s="176" t="str">
        <f>IF(ISNUMBER('Funnel setup'!P365),IF(VLOOKUP('Funnel setup'!P365,'Provider Commission - Raw Data'!$A:$Q,8,0)="-","",VLOOKUP('Funnel setup'!P365,'Provider Commission - Raw Data'!$A:$Q,8,0)),"")</f>
        <v/>
      </c>
      <c r="E352" s="251" t="str">
        <f>IF(ISNUMBER('Funnel setup'!P365),IF(VLOOKUP('Funnel setup'!P365,'Provider Commission - Raw Data'!$A:$Q,16,0)="-","",VLOOKUP('Funnel setup'!P365,'Provider Commission - Raw Data'!$A:$Q,16,0)),"")</f>
        <v/>
      </c>
      <c r="F352" s="177" t="str">
        <f>IF(AND(ISNUMBER('Funnel setup'!P365)),'Funnel setup'!$K$9,"")</f>
        <v/>
      </c>
      <c r="G352" s="177" t="str">
        <f>IF(AND(ISNUMBER('Funnel setup'!P365),D352&gt;=30,E352&lt;&gt;"*",D352&lt;&gt;""),F352-1.959963985 *('Funnel setup'!$K$8/SQRT('Funnel Data'!D352)),"")</f>
        <v/>
      </c>
      <c r="H352" s="177" t="str">
        <f>IF(AND(ISNUMBER('Funnel setup'!P365),D352&gt;=30,E352&lt;&gt;"*",D352&lt;&gt;""),F352+1.959963985 *('Funnel setup'!$K$8/SQRT('Funnel Data'!D352)),"")</f>
        <v/>
      </c>
      <c r="I352" s="177" t="str">
        <f>IF(AND(ISNUMBER('Funnel setup'!P365),D352&gt;=30,E352&lt;&gt;"*",D352&lt;&gt;""),F352-3.090232306 *('Funnel setup'!$K$8/SQRT('Funnel Data'!D352)),"")</f>
        <v/>
      </c>
      <c r="J352" s="177" t="str">
        <f>IF(AND(ISNUMBER('Funnel setup'!P365),D352&gt;=30,E352&lt;&gt;"*",D352&lt;&gt;""),F352+3.090232306 *('Funnel setup'!$K$8/SQRT('Funnel Data'!D352)),"")</f>
        <v/>
      </c>
      <c r="K352" s="178" t="str">
        <f>IF(AND(ISNUMBER('Funnel setup'!P365),D352&gt;=30,E352&lt;&gt;"*",D352&lt;&gt;""),IF(E352&gt;J352,'Funnel setup'!$K$15&amp;"99.8%",IF(E352&gt;H352,'Funnel setup'!$K$15&amp;"95%",IF(E352&lt;I352,'Funnel setup'!$K$16&amp;"99.8%",IF(E352&lt;G352,'Funnel setup'!$K$16&amp;"95%","")))),"")</f>
        <v/>
      </c>
    </row>
    <row r="353" spans="2:11" ht="15" customHeight="1" x14ac:dyDescent="0.35">
      <c r="B353" s="174" t="str">
        <f>IF(ISNUMBER('Funnel setup'!P366),VLOOKUP('Funnel setup'!$P366,'Provider Commission - Raw Data'!$A:$Q,5,0),"")</f>
        <v/>
      </c>
      <c r="C353" s="175" t="str">
        <f>IF(ISNUMBER('Funnel setup'!P366),VLOOKUP('Funnel setup'!P366,'Provider Commission - Raw Data'!$A:$Q,6,0),"")</f>
        <v/>
      </c>
      <c r="D353" s="176" t="str">
        <f>IF(ISNUMBER('Funnel setup'!P366),IF(VLOOKUP('Funnel setup'!P366,'Provider Commission - Raw Data'!$A:$Q,8,0)="-","",VLOOKUP('Funnel setup'!P366,'Provider Commission - Raw Data'!$A:$Q,8,0)),"")</f>
        <v/>
      </c>
      <c r="E353" s="251" t="str">
        <f>IF(ISNUMBER('Funnel setup'!P366),IF(VLOOKUP('Funnel setup'!P366,'Provider Commission - Raw Data'!$A:$Q,16,0)="-","",VLOOKUP('Funnel setup'!P366,'Provider Commission - Raw Data'!$A:$Q,16,0)),"")</f>
        <v/>
      </c>
      <c r="F353" s="177" t="str">
        <f>IF(AND(ISNUMBER('Funnel setup'!P366)),'Funnel setup'!$K$9,"")</f>
        <v/>
      </c>
      <c r="G353" s="177" t="str">
        <f>IF(AND(ISNUMBER('Funnel setup'!P366),D353&gt;=30,E353&lt;&gt;"*",D353&lt;&gt;""),F353-1.959963985 *('Funnel setup'!$K$8/SQRT('Funnel Data'!D353)),"")</f>
        <v/>
      </c>
      <c r="H353" s="177" t="str">
        <f>IF(AND(ISNUMBER('Funnel setup'!P366),D353&gt;=30,E353&lt;&gt;"*",D353&lt;&gt;""),F353+1.959963985 *('Funnel setup'!$K$8/SQRT('Funnel Data'!D353)),"")</f>
        <v/>
      </c>
      <c r="I353" s="177" t="str">
        <f>IF(AND(ISNUMBER('Funnel setup'!P366),D353&gt;=30,E353&lt;&gt;"*",D353&lt;&gt;""),F353-3.090232306 *('Funnel setup'!$K$8/SQRT('Funnel Data'!D353)),"")</f>
        <v/>
      </c>
      <c r="J353" s="177" t="str">
        <f>IF(AND(ISNUMBER('Funnel setup'!P366),D353&gt;=30,E353&lt;&gt;"*",D353&lt;&gt;""),F353+3.090232306 *('Funnel setup'!$K$8/SQRT('Funnel Data'!D353)),"")</f>
        <v/>
      </c>
      <c r="K353" s="178" t="str">
        <f>IF(AND(ISNUMBER('Funnel setup'!P366),D353&gt;=30,E353&lt;&gt;"*",D353&lt;&gt;""),IF(E353&gt;J353,'Funnel setup'!$K$15&amp;"99.8%",IF(E353&gt;H353,'Funnel setup'!$K$15&amp;"95%",IF(E353&lt;I353,'Funnel setup'!$K$16&amp;"99.8%",IF(E353&lt;G353,'Funnel setup'!$K$16&amp;"95%","")))),"")</f>
        <v/>
      </c>
    </row>
    <row r="354" spans="2:11" ht="15" customHeight="1" x14ac:dyDescent="0.35">
      <c r="B354" s="174" t="str">
        <f>IF(ISNUMBER('Funnel setup'!P367),VLOOKUP('Funnel setup'!$P367,'Provider Commission - Raw Data'!$A:$Q,5,0),"")</f>
        <v/>
      </c>
      <c r="C354" s="175" t="str">
        <f>IF(ISNUMBER('Funnel setup'!P367),VLOOKUP('Funnel setup'!P367,'Provider Commission - Raw Data'!$A:$Q,6,0),"")</f>
        <v/>
      </c>
      <c r="D354" s="176" t="str">
        <f>IF(ISNUMBER('Funnel setup'!P367),IF(VLOOKUP('Funnel setup'!P367,'Provider Commission - Raw Data'!$A:$Q,8,0)="-","",VLOOKUP('Funnel setup'!P367,'Provider Commission - Raw Data'!$A:$Q,8,0)),"")</f>
        <v/>
      </c>
      <c r="E354" s="251" t="str">
        <f>IF(ISNUMBER('Funnel setup'!P367),IF(VLOOKUP('Funnel setup'!P367,'Provider Commission - Raw Data'!$A:$Q,16,0)="-","",VLOOKUP('Funnel setup'!P367,'Provider Commission - Raw Data'!$A:$Q,16,0)),"")</f>
        <v/>
      </c>
      <c r="F354" s="177" t="str">
        <f>IF(AND(ISNUMBER('Funnel setup'!P367)),'Funnel setup'!$K$9,"")</f>
        <v/>
      </c>
      <c r="G354" s="177" t="str">
        <f>IF(AND(ISNUMBER('Funnel setup'!P367),D354&gt;=30,E354&lt;&gt;"*",D354&lt;&gt;""),F354-1.959963985 *('Funnel setup'!$K$8/SQRT('Funnel Data'!D354)),"")</f>
        <v/>
      </c>
      <c r="H354" s="177" t="str">
        <f>IF(AND(ISNUMBER('Funnel setup'!P367),D354&gt;=30,E354&lt;&gt;"*",D354&lt;&gt;""),F354+1.959963985 *('Funnel setup'!$K$8/SQRT('Funnel Data'!D354)),"")</f>
        <v/>
      </c>
      <c r="I354" s="177" t="str">
        <f>IF(AND(ISNUMBER('Funnel setup'!P367),D354&gt;=30,E354&lt;&gt;"*",D354&lt;&gt;""),F354-3.090232306 *('Funnel setup'!$K$8/SQRT('Funnel Data'!D354)),"")</f>
        <v/>
      </c>
      <c r="J354" s="177" t="str">
        <f>IF(AND(ISNUMBER('Funnel setup'!P367),D354&gt;=30,E354&lt;&gt;"*",D354&lt;&gt;""),F354+3.090232306 *('Funnel setup'!$K$8/SQRT('Funnel Data'!D354)),"")</f>
        <v/>
      </c>
      <c r="K354" s="178" t="str">
        <f>IF(AND(ISNUMBER('Funnel setup'!P367),D354&gt;=30,E354&lt;&gt;"*",D354&lt;&gt;""),IF(E354&gt;J354,'Funnel setup'!$K$15&amp;"99.8%",IF(E354&gt;H354,'Funnel setup'!$K$15&amp;"95%",IF(E354&lt;I354,'Funnel setup'!$K$16&amp;"99.8%",IF(E354&lt;G354,'Funnel setup'!$K$16&amp;"95%","")))),"")</f>
        <v/>
      </c>
    </row>
    <row r="355" spans="2:11" ht="15" customHeight="1" x14ac:dyDescent="0.35">
      <c r="B355" s="174" t="str">
        <f>IF(ISNUMBER('Funnel setup'!P368),VLOOKUP('Funnel setup'!$P368,'Provider Commission - Raw Data'!$A:$Q,5,0),"")</f>
        <v/>
      </c>
      <c r="C355" s="175" t="str">
        <f>IF(ISNUMBER('Funnel setup'!P368),VLOOKUP('Funnel setup'!P368,'Provider Commission - Raw Data'!$A:$Q,6,0),"")</f>
        <v/>
      </c>
      <c r="D355" s="176" t="str">
        <f>IF(ISNUMBER('Funnel setup'!P368),IF(VLOOKUP('Funnel setup'!P368,'Provider Commission - Raw Data'!$A:$Q,8,0)="-","",VLOOKUP('Funnel setup'!P368,'Provider Commission - Raw Data'!$A:$Q,8,0)),"")</f>
        <v/>
      </c>
      <c r="E355" s="251" t="str">
        <f>IF(ISNUMBER('Funnel setup'!P368),IF(VLOOKUP('Funnel setup'!P368,'Provider Commission - Raw Data'!$A:$Q,16,0)="-","",VLOOKUP('Funnel setup'!P368,'Provider Commission - Raw Data'!$A:$Q,16,0)),"")</f>
        <v/>
      </c>
      <c r="F355" s="177" t="str">
        <f>IF(AND(ISNUMBER('Funnel setup'!P368)),'Funnel setup'!$K$9,"")</f>
        <v/>
      </c>
      <c r="G355" s="177" t="str">
        <f>IF(AND(ISNUMBER('Funnel setup'!P368),D355&gt;=30,E355&lt;&gt;"*",D355&lt;&gt;""),F355-1.959963985 *('Funnel setup'!$K$8/SQRT('Funnel Data'!D355)),"")</f>
        <v/>
      </c>
      <c r="H355" s="177" t="str">
        <f>IF(AND(ISNUMBER('Funnel setup'!P368),D355&gt;=30,E355&lt;&gt;"*",D355&lt;&gt;""),F355+1.959963985 *('Funnel setup'!$K$8/SQRT('Funnel Data'!D355)),"")</f>
        <v/>
      </c>
      <c r="I355" s="177" t="str">
        <f>IF(AND(ISNUMBER('Funnel setup'!P368),D355&gt;=30,E355&lt;&gt;"*",D355&lt;&gt;""),F355-3.090232306 *('Funnel setup'!$K$8/SQRT('Funnel Data'!D355)),"")</f>
        <v/>
      </c>
      <c r="J355" s="177" t="str">
        <f>IF(AND(ISNUMBER('Funnel setup'!P368),D355&gt;=30,E355&lt;&gt;"*",D355&lt;&gt;""),F355+3.090232306 *('Funnel setup'!$K$8/SQRT('Funnel Data'!D355)),"")</f>
        <v/>
      </c>
      <c r="K355" s="178" t="str">
        <f>IF(AND(ISNUMBER('Funnel setup'!P368),D355&gt;=30,E355&lt;&gt;"*",D355&lt;&gt;""),IF(E355&gt;J355,'Funnel setup'!$K$15&amp;"99.8%",IF(E355&gt;H355,'Funnel setup'!$K$15&amp;"95%",IF(E355&lt;I355,'Funnel setup'!$K$16&amp;"99.8%",IF(E355&lt;G355,'Funnel setup'!$K$16&amp;"95%","")))),"")</f>
        <v/>
      </c>
    </row>
    <row r="356" spans="2:11" ht="15" customHeight="1" x14ac:dyDescent="0.35">
      <c r="B356" s="174" t="str">
        <f>IF(ISNUMBER('Funnel setup'!P369),VLOOKUP('Funnel setup'!$P369,'Provider Commission - Raw Data'!$A:$Q,5,0),"")</f>
        <v/>
      </c>
      <c r="C356" s="175" t="str">
        <f>IF(ISNUMBER('Funnel setup'!P369),VLOOKUP('Funnel setup'!P369,'Provider Commission - Raw Data'!$A:$Q,6,0),"")</f>
        <v/>
      </c>
      <c r="D356" s="176" t="str">
        <f>IF(ISNUMBER('Funnel setup'!P369),IF(VLOOKUP('Funnel setup'!P369,'Provider Commission - Raw Data'!$A:$Q,8,0)="-","",VLOOKUP('Funnel setup'!P369,'Provider Commission - Raw Data'!$A:$Q,8,0)),"")</f>
        <v/>
      </c>
      <c r="E356" s="251" t="str">
        <f>IF(ISNUMBER('Funnel setup'!P369),IF(VLOOKUP('Funnel setup'!P369,'Provider Commission - Raw Data'!$A:$Q,16,0)="-","",VLOOKUP('Funnel setup'!P369,'Provider Commission - Raw Data'!$A:$Q,16,0)),"")</f>
        <v/>
      </c>
      <c r="F356" s="177" t="str">
        <f>IF(AND(ISNUMBER('Funnel setup'!P369)),'Funnel setup'!$K$9,"")</f>
        <v/>
      </c>
      <c r="G356" s="177" t="str">
        <f>IF(AND(ISNUMBER('Funnel setup'!P369),D356&gt;=30,E356&lt;&gt;"*",D356&lt;&gt;""),F356-1.959963985 *('Funnel setup'!$K$8/SQRT('Funnel Data'!D356)),"")</f>
        <v/>
      </c>
      <c r="H356" s="177" t="str">
        <f>IF(AND(ISNUMBER('Funnel setup'!P369),D356&gt;=30,E356&lt;&gt;"*",D356&lt;&gt;""),F356+1.959963985 *('Funnel setup'!$K$8/SQRT('Funnel Data'!D356)),"")</f>
        <v/>
      </c>
      <c r="I356" s="177" t="str">
        <f>IF(AND(ISNUMBER('Funnel setup'!P369),D356&gt;=30,E356&lt;&gt;"*",D356&lt;&gt;""),F356-3.090232306 *('Funnel setup'!$K$8/SQRT('Funnel Data'!D356)),"")</f>
        <v/>
      </c>
      <c r="J356" s="177" t="str">
        <f>IF(AND(ISNUMBER('Funnel setup'!P369),D356&gt;=30,E356&lt;&gt;"*",D356&lt;&gt;""),F356+3.090232306 *('Funnel setup'!$K$8/SQRT('Funnel Data'!D356)),"")</f>
        <v/>
      </c>
      <c r="K356" s="178" t="str">
        <f>IF(AND(ISNUMBER('Funnel setup'!P369),D356&gt;=30,E356&lt;&gt;"*",D356&lt;&gt;""),IF(E356&gt;J356,'Funnel setup'!$K$15&amp;"99.8%",IF(E356&gt;H356,'Funnel setup'!$K$15&amp;"95%",IF(E356&lt;I356,'Funnel setup'!$K$16&amp;"99.8%",IF(E356&lt;G356,'Funnel setup'!$K$16&amp;"95%","")))),"")</f>
        <v/>
      </c>
    </row>
    <row r="357" spans="2:11" ht="15" customHeight="1" x14ac:dyDescent="0.35">
      <c r="B357" s="174" t="str">
        <f>IF(ISNUMBER('Funnel setup'!P370),VLOOKUP('Funnel setup'!$P370,'Provider Commission - Raw Data'!$A:$Q,5,0),"")</f>
        <v/>
      </c>
      <c r="C357" s="175" t="str">
        <f>IF(ISNUMBER('Funnel setup'!P370),VLOOKUP('Funnel setup'!P370,'Provider Commission - Raw Data'!$A:$Q,6,0),"")</f>
        <v/>
      </c>
      <c r="D357" s="176" t="str">
        <f>IF(ISNUMBER('Funnel setup'!P370),IF(VLOOKUP('Funnel setup'!P370,'Provider Commission - Raw Data'!$A:$Q,8,0)="-","",VLOOKUP('Funnel setup'!P370,'Provider Commission - Raw Data'!$A:$Q,8,0)),"")</f>
        <v/>
      </c>
      <c r="E357" s="251" t="str">
        <f>IF(ISNUMBER('Funnel setup'!P370),IF(VLOOKUP('Funnel setup'!P370,'Provider Commission - Raw Data'!$A:$Q,16,0)="-","",VLOOKUP('Funnel setup'!P370,'Provider Commission - Raw Data'!$A:$Q,16,0)),"")</f>
        <v/>
      </c>
      <c r="F357" s="177" t="str">
        <f>IF(AND(ISNUMBER('Funnel setup'!P370)),'Funnel setup'!$K$9,"")</f>
        <v/>
      </c>
      <c r="G357" s="177" t="str">
        <f>IF(AND(ISNUMBER('Funnel setup'!P370),D357&gt;=30,E357&lt;&gt;"*",D357&lt;&gt;""),F357-1.959963985 *('Funnel setup'!$K$8/SQRT('Funnel Data'!D357)),"")</f>
        <v/>
      </c>
      <c r="H357" s="177" t="str">
        <f>IF(AND(ISNUMBER('Funnel setup'!P370),D357&gt;=30,E357&lt;&gt;"*",D357&lt;&gt;""),F357+1.959963985 *('Funnel setup'!$K$8/SQRT('Funnel Data'!D357)),"")</f>
        <v/>
      </c>
      <c r="I357" s="177" t="str">
        <f>IF(AND(ISNUMBER('Funnel setup'!P370),D357&gt;=30,E357&lt;&gt;"*",D357&lt;&gt;""),F357-3.090232306 *('Funnel setup'!$K$8/SQRT('Funnel Data'!D357)),"")</f>
        <v/>
      </c>
      <c r="J357" s="177" t="str">
        <f>IF(AND(ISNUMBER('Funnel setup'!P370),D357&gt;=30,E357&lt;&gt;"*",D357&lt;&gt;""),F357+3.090232306 *('Funnel setup'!$K$8/SQRT('Funnel Data'!D357)),"")</f>
        <v/>
      </c>
      <c r="K357" s="178" t="str">
        <f>IF(AND(ISNUMBER('Funnel setup'!P370),D357&gt;=30,E357&lt;&gt;"*",D357&lt;&gt;""),IF(E357&gt;J357,'Funnel setup'!$K$15&amp;"99.8%",IF(E357&gt;H357,'Funnel setup'!$K$15&amp;"95%",IF(E357&lt;I357,'Funnel setup'!$K$16&amp;"99.8%",IF(E357&lt;G357,'Funnel setup'!$K$16&amp;"95%","")))),"")</f>
        <v/>
      </c>
    </row>
    <row r="358" spans="2:11" ht="15" customHeight="1" x14ac:dyDescent="0.35">
      <c r="B358" s="174" t="str">
        <f>IF(ISNUMBER('Funnel setup'!P371),VLOOKUP('Funnel setup'!$P371,'Provider Commission - Raw Data'!$A:$Q,5,0),"")</f>
        <v/>
      </c>
      <c r="C358" s="175" t="str">
        <f>IF(ISNUMBER('Funnel setup'!P371),VLOOKUP('Funnel setup'!P371,'Provider Commission - Raw Data'!$A:$Q,6,0),"")</f>
        <v/>
      </c>
      <c r="D358" s="176" t="str">
        <f>IF(ISNUMBER('Funnel setup'!P371),IF(VLOOKUP('Funnel setup'!P371,'Provider Commission - Raw Data'!$A:$Q,8,0)="-","",VLOOKUP('Funnel setup'!P371,'Provider Commission - Raw Data'!$A:$Q,8,0)),"")</f>
        <v/>
      </c>
      <c r="E358" s="251" t="str">
        <f>IF(ISNUMBER('Funnel setup'!P371),IF(VLOOKUP('Funnel setup'!P371,'Provider Commission - Raw Data'!$A:$Q,16,0)="-","",VLOOKUP('Funnel setup'!P371,'Provider Commission - Raw Data'!$A:$Q,16,0)),"")</f>
        <v/>
      </c>
      <c r="F358" s="177" t="str">
        <f>IF(AND(ISNUMBER('Funnel setup'!P371)),'Funnel setup'!$K$9,"")</f>
        <v/>
      </c>
      <c r="G358" s="177" t="str">
        <f>IF(AND(ISNUMBER('Funnel setup'!P371),D358&gt;=30,E358&lt;&gt;"*",D358&lt;&gt;""),F358-1.959963985 *('Funnel setup'!$K$8/SQRT('Funnel Data'!D358)),"")</f>
        <v/>
      </c>
      <c r="H358" s="177" t="str">
        <f>IF(AND(ISNUMBER('Funnel setup'!P371),D358&gt;=30,E358&lt;&gt;"*",D358&lt;&gt;""),F358+1.959963985 *('Funnel setup'!$K$8/SQRT('Funnel Data'!D358)),"")</f>
        <v/>
      </c>
      <c r="I358" s="177" t="str">
        <f>IF(AND(ISNUMBER('Funnel setup'!P371),D358&gt;=30,E358&lt;&gt;"*",D358&lt;&gt;""),F358-3.090232306 *('Funnel setup'!$K$8/SQRT('Funnel Data'!D358)),"")</f>
        <v/>
      </c>
      <c r="J358" s="177" t="str">
        <f>IF(AND(ISNUMBER('Funnel setup'!P371),D358&gt;=30,E358&lt;&gt;"*",D358&lt;&gt;""),F358+3.090232306 *('Funnel setup'!$K$8/SQRT('Funnel Data'!D358)),"")</f>
        <v/>
      </c>
      <c r="K358" s="178" t="str">
        <f>IF(AND(ISNUMBER('Funnel setup'!P371),D358&gt;=30,E358&lt;&gt;"*",D358&lt;&gt;""),IF(E358&gt;J358,'Funnel setup'!$K$15&amp;"99.8%",IF(E358&gt;H358,'Funnel setup'!$K$15&amp;"95%",IF(E358&lt;I358,'Funnel setup'!$K$16&amp;"99.8%",IF(E358&lt;G358,'Funnel setup'!$K$16&amp;"95%","")))),"")</f>
        <v/>
      </c>
    </row>
    <row r="359" spans="2:11" ht="15" customHeight="1" x14ac:dyDescent="0.35">
      <c r="B359" s="174" t="str">
        <f>IF(ISNUMBER('Funnel setup'!P372),VLOOKUP('Funnel setup'!$P372,'Provider Commission - Raw Data'!$A:$Q,5,0),"")</f>
        <v/>
      </c>
      <c r="C359" s="175" t="str">
        <f>IF(ISNUMBER('Funnel setup'!P372),VLOOKUP('Funnel setup'!P372,'Provider Commission - Raw Data'!$A:$Q,6,0),"")</f>
        <v/>
      </c>
      <c r="D359" s="176" t="str">
        <f>IF(ISNUMBER('Funnel setup'!P372),IF(VLOOKUP('Funnel setup'!P372,'Provider Commission - Raw Data'!$A:$Q,8,0)="-","",VLOOKUP('Funnel setup'!P372,'Provider Commission - Raw Data'!$A:$Q,8,0)),"")</f>
        <v/>
      </c>
      <c r="E359" s="251" t="str">
        <f>IF(ISNUMBER('Funnel setup'!P372),IF(VLOOKUP('Funnel setup'!P372,'Provider Commission - Raw Data'!$A:$Q,16,0)="-","",VLOOKUP('Funnel setup'!P372,'Provider Commission - Raw Data'!$A:$Q,16,0)),"")</f>
        <v/>
      </c>
      <c r="F359" s="177" t="str">
        <f>IF(AND(ISNUMBER('Funnel setup'!P372)),'Funnel setup'!$K$9,"")</f>
        <v/>
      </c>
      <c r="G359" s="177" t="str">
        <f>IF(AND(ISNUMBER('Funnel setup'!P372),D359&gt;=30,E359&lt;&gt;"*",D359&lt;&gt;""),F359-1.959963985 *('Funnel setup'!$K$8/SQRT('Funnel Data'!D359)),"")</f>
        <v/>
      </c>
      <c r="H359" s="177" t="str">
        <f>IF(AND(ISNUMBER('Funnel setup'!P372),D359&gt;=30,E359&lt;&gt;"*",D359&lt;&gt;""),F359+1.959963985 *('Funnel setup'!$K$8/SQRT('Funnel Data'!D359)),"")</f>
        <v/>
      </c>
      <c r="I359" s="177" t="str">
        <f>IF(AND(ISNUMBER('Funnel setup'!P372),D359&gt;=30,E359&lt;&gt;"*",D359&lt;&gt;""),F359-3.090232306 *('Funnel setup'!$K$8/SQRT('Funnel Data'!D359)),"")</f>
        <v/>
      </c>
      <c r="J359" s="177" t="str">
        <f>IF(AND(ISNUMBER('Funnel setup'!P372),D359&gt;=30,E359&lt;&gt;"*",D359&lt;&gt;""),F359+3.090232306 *('Funnel setup'!$K$8/SQRT('Funnel Data'!D359)),"")</f>
        <v/>
      </c>
      <c r="K359" s="178" t="str">
        <f>IF(AND(ISNUMBER('Funnel setup'!P372),D359&gt;=30,E359&lt;&gt;"*",D359&lt;&gt;""),IF(E359&gt;J359,'Funnel setup'!$K$15&amp;"99.8%",IF(E359&gt;H359,'Funnel setup'!$K$15&amp;"95%",IF(E359&lt;I359,'Funnel setup'!$K$16&amp;"99.8%",IF(E359&lt;G359,'Funnel setup'!$K$16&amp;"95%","")))),"")</f>
        <v/>
      </c>
    </row>
    <row r="360" spans="2:11" ht="15" customHeight="1" x14ac:dyDescent="0.35">
      <c r="B360" s="174" t="str">
        <f>IF(ISNUMBER('Funnel setup'!P373),VLOOKUP('Funnel setup'!$P373,'Provider Commission - Raw Data'!$A:$Q,5,0),"")</f>
        <v/>
      </c>
      <c r="C360" s="175" t="str">
        <f>IF(ISNUMBER('Funnel setup'!P373),VLOOKUP('Funnel setup'!P373,'Provider Commission - Raw Data'!$A:$Q,6,0),"")</f>
        <v/>
      </c>
      <c r="D360" s="176" t="str">
        <f>IF(ISNUMBER('Funnel setup'!P373),IF(VLOOKUP('Funnel setup'!P373,'Provider Commission - Raw Data'!$A:$Q,8,0)="-","",VLOOKUP('Funnel setup'!P373,'Provider Commission - Raw Data'!$A:$Q,8,0)),"")</f>
        <v/>
      </c>
      <c r="E360" s="251" t="str">
        <f>IF(ISNUMBER('Funnel setup'!P373),IF(VLOOKUP('Funnel setup'!P373,'Provider Commission - Raw Data'!$A:$Q,16,0)="-","",VLOOKUP('Funnel setup'!P373,'Provider Commission - Raw Data'!$A:$Q,16,0)),"")</f>
        <v/>
      </c>
      <c r="F360" s="177" t="str">
        <f>IF(AND(ISNUMBER('Funnel setup'!P373)),'Funnel setup'!$K$9,"")</f>
        <v/>
      </c>
      <c r="G360" s="177" t="str">
        <f>IF(AND(ISNUMBER('Funnel setup'!P373),D360&gt;=30,E360&lt;&gt;"*",D360&lt;&gt;""),F360-1.959963985 *('Funnel setup'!$K$8/SQRT('Funnel Data'!D360)),"")</f>
        <v/>
      </c>
      <c r="H360" s="177" t="str">
        <f>IF(AND(ISNUMBER('Funnel setup'!P373),D360&gt;=30,E360&lt;&gt;"*",D360&lt;&gt;""),F360+1.959963985 *('Funnel setup'!$K$8/SQRT('Funnel Data'!D360)),"")</f>
        <v/>
      </c>
      <c r="I360" s="177" t="str">
        <f>IF(AND(ISNUMBER('Funnel setup'!P373),D360&gt;=30,E360&lt;&gt;"*",D360&lt;&gt;""),F360-3.090232306 *('Funnel setup'!$K$8/SQRT('Funnel Data'!D360)),"")</f>
        <v/>
      </c>
      <c r="J360" s="177" t="str">
        <f>IF(AND(ISNUMBER('Funnel setup'!P373),D360&gt;=30,E360&lt;&gt;"*",D360&lt;&gt;""),F360+3.090232306 *('Funnel setup'!$K$8/SQRT('Funnel Data'!D360)),"")</f>
        <v/>
      </c>
      <c r="K360" s="178" t="str">
        <f>IF(AND(ISNUMBER('Funnel setup'!P373),D360&gt;=30,E360&lt;&gt;"*",D360&lt;&gt;""),IF(E360&gt;J360,'Funnel setup'!$K$15&amp;"99.8%",IF(E360&gt;H360,'Funnel setup'!$K$15&amp;"95%",IF(E360&lt;I360,'Funnel setup'!$K$16&amp;"99.8%",IF(E360&lt;G360,'Funnel setup'!$K$16&amp;"95%","")))),"")</f>
        <v/>
      </c>
    </row>
    <row r="361" spans="2:11" ht="15" customHeight="1" x14ac:dyDescent="0.35">
      <c r="B361" s="174" t="str">
        <f>IF(ISNUMBER('Funnel setup'!P374),VLOOKUP('Funnel setup'!$P374,'Provider Commission - Raw Data'!$A:$Q,5,0),"")</f>
        <v/>
      </c>
      <c r="C361" s="175" t="str">
        <f>IF(ISNUMBER('Funnel setup'!P374),VLOOKUP('Funnel setup'!P374,'Provider Commission - Raw Data'!$A:$Q,6,0),"")</f>
        <v/>
      </c>
      <c r="D361" s="176" t="str">
        <f>IF(ISNUMBER('Funnel setup'!P374),IF(VLOOKUP('Funnel setup'!P374,'Provider Commission - Raw Data'!$A:$Q,8,0)="-","",VLOOKUP('Funnel setup'!P374,'Provider Commission - Raw Data'!$A:$Q,8,0)),"")</f>
        <v/>
      </c>
      <c r="E361" s="251" t="str">
        <f>IF(ISNUMBER('Funnel setup'!P374),IF(VLOOKUP('Funnel setup'!P374,'Provider Commission - Raw Data'!$A:$Q,16,0)="-","",VLOOKUP('Funnel setup'!P374,'Provider Commission - Raw Data'!$A:$Q,16,0)),"")</f>
        <v/>
      </c>
      <c r="F361" s="177" t="str">
        <f>IF(AND(ISNUMBER('Funnel setup'!P374)),'Funnel setup'!$K$9,"")</f>
        <v/>
      </c>
      <c r="G361" s="177" t="str">
        <f>IF(AND(ISNUMBER('Funnel setup'!P374),D361&gt;=30,E361&lt;&gt;"*",D361&lt;&gt;""),F361-1.959963985 *('Funnel setup'!$K$8/SQRT('Funnel Data'!D361)),"")</f>
        <v/>
      </c>
      <c r="H361" s="177" t="str">
        <f>IF(AND(ISNUMBER('Funnel setup'!P374),D361&gt;=30,E361&lt;&gt;"*",D361&lt;&gt;""),F361+1.959963985 *('Funnel setup'!$K$8/SQRT('Funnel Data'!D361)),"")</f>
        <v/>
      </c>
      <c r="I361" s="177" t="str">
        <f>IF(AND(ISNUMBER('Funnel setup'!P374),D361&gt;=30,E361&lt;&gt;"*",D361&lt;&gt;""),F361-3.090232306 *('Funnel setup'!$K$8/SQRT('Funnel Data'!D361)),"")</f>
        <v/>
      </c>
      <c r="J361" s="177" t="str">
        <f>IF(AND(ISNUMBER('Funnel setup'!P374),D361&gt;=30,E361&lt;&gt;"*",D361&lt;&gt;""),F361+3.090232306 *('Funnel setup'!$K$8/SQRT('Funnel Data'!D361)),"")</f>
        <v/>
      </c>
      <c r="K361" s="178" t="str">
        <f>IF(AND(ISNUMBER('Funnel setup'!P374),D361&gt;=30,E361&lt;&gt;"*",D361&lt;&gt;""),IF(E361&gt;J361,'Funnel setup'!$K$15&amp;"99.8%",IF(E361&gt;H361,'Funnel setup'!$K$15&amp;"95%",IF(E361&lt;I361,'Funnel setup'!$K$16&amp;"99.8%",IF(E361&lt;G361,'Funnel setup'!$K$16&amp;"95%","")))),"")</f>
        <v/>
      </c>
    </row>
    <row r="362" spans="2:11" ht="15" customHeight="1" x14ac:dyDescent="0.35">
      <c r="B362" s="174" t="str">
        <f>IF(ISNUMBER('Funnel setup'!P375),VLOOKUP('Funnel setup'!$P375,'Provider Commission - Raw Data'!$A:$Q,5,0),"")</f>
        <v/>
      </c>
      <c r="C362" s="175" t="str">
        <f>IF(ISNUMBER('Funnel setup'!P375),VLOOKUP('Funnel setup'!P375,'Provider Commission - Raw Data'!$A:$Q,6,0),"")</f>
        <v/>
      </c>
      <c r="D362" s="176" t="str">
        <f>IF(ISNUMBER('Funnel setup'!P375),IF(VLOOKUP('Funnel setup'!P375,'Provider Commission - Raw Data'!$A:$Q,8,0)="-","",VLOOKUP('Funnel setup'!P375,'Provider Commission - Raw Data'!$A:$Q,8,0)),"")</f>
        <v/>
      </c>
      <c r="E362" s="251" t="str">
        <f>IF(ISNUMBER('Funnel setup'!P375),IF(VLOOKUP('Funnel setup'!P375,'Provider Commission - Raw Data'!$A:$Q,16,0)="-","",VLOOKUP('Funnel setup'!P375,'Provider Commission - Raw Data'!$A:$Q,16,0)),"")</f>
        <v/>
      </c>
      <c r="F362" s="177" t="str">
        <f>IF(AND(ISNUMBER('Funnel setup'!P375)),'Funnel setup'!$K$9,"")</f>
        <v/>
      </c>
      <c r="G362" s="177" t="str">
        <f>IF(AND(ISNUMBER('Funnel setup'!P375),D362&gt;=30,E362&lt;&gt;"*",D362&lt;&gt;""),F362-1.959963985 *('Funnel setup'!$K$8/SQRT('Funnel Data'!D362)),"")</f>
        <v/>
      </c>
      <c r="H362" s="177" t="str">
        <f>IF(AND(ISNUMBER('Funnel setup'!P375),D362&gt;=30,E362&lt;&gt;"*",D362&lt;&gt;""),F362+1.959963985 *('Funnel setup'!$K$8/SQRT('Funnel Data'!D362)),"")</f>
        <v/>
      </c>
      <c r="I362" s="177" t="str">
        <f>IF(AND(ISNUMBER('Funnel setup'!P375),D362&gt;=30,E362&lt;&gt;"*",D362&lt;&gt;""),F362-3.090232306 *('Funnel setup'!$K$8/SQRT('Funnel Data'!D362)),"")</f>
        <v/>
      </c>
      <c r="J362" s="177" t="str">
        <f>IF(AND(ISNUMBER('Funnel setup'!P375),D362&gt;=30,E362&lt;&gt;"*",D362&lt;&gt;""),F362+3.090232306 *('Funnel setup'!$K$8/SQRT('Funnel Data'!D362)),"")</f>
        <v/>
      </c>
      <c r="K362" s="178" t="str">
        <f>IF(AND(ISNUMBER('Funnel setup'!P375),D362&gt;=30,E362&lt;&gt;"*",D362&lt;&gt;""),IF(E362&gt;J362,'Funnel setup'!$K$15&amp;"99.8%",IF(E362&gt;H362,'Funnel setup'!$K$15&amp;"95%",IF(E362&lt;I362,'Funnel setup'!$K$16&amp;"99.8%",IF(E362&lt;G362,'Funnel setup'!$K$16&amp;"95%","")))),"")</f>
        <v/>
      </c>
    </row>
    <row r="363" spans="2:11" ht="15" customHeight="1" x14ac:dyDescent="0.35">
      <c r="B363" s="174" t="str">
        <f>IF(ISNUMBER('Funnel setup'!P376),VLOOKUP('Funnel setup'!$P376,'Provider Commission - Raw Data'!$A:$Q,5,0),"")</f>
        <v/>
      </c>
      <c r="C363" s="175" t="str">
        <f>IF(ISNUMBER('Funnel setup'!P376),VLOOKUP('Funnel setup'!P376,'Provider Commission - Raw Data'!$A:$Q,6,0),"")</f>
        <v/>
      </c>
      <c r="D363" s="176" t="str">
        <f>IF(ISNUMBER('Funnel setup'!P376),IF(VLOOKUP('Funnel setup'!P376,'Provider Commission - Raw Data'!$A:$Q,8,0)="-","",VLOOKUP('Funnel setup'!P376,'Provider Commission - Raw Data'!$A:$Q,8,0)),"")</f>
        <v/>
      </c>
      <c r="E363" s="251" t="str">
        <f>IF(ISNUMBER('Funnel setup'!P376),IF(VLOOKUP('Funnel setup'!P376,'Provider Commission - Raw Data'!$A:$Q,16,0)="-","",VLOOKUP('Funnel setup'!P376,'Provider Commission - Raw Data'!$A:$Q,16,0)),"")</f>
        <v/>
      </c>
      <c r="F363" s="177" t="str">
        <f>IF(AND(ISNUMBER('Funnel setup'!P376)),'Funnel setup'!$K$9,"")</f>
        <v/>
      </c>
      <c r="G363" s="177" t="str">
        <f>IF(AND(ISNUMBER('Funnel setup'!P376),D363&gt;=30,E363&lt;&gt;"*",D363&lt;&gt;""),F363-1.959963985 *('Funnel setup'!$K$8/SQRT('Funnel Data'!D363)),"")</f>
        <v/>
      </c>
      <c r="H363" s="177" t="str">
        <f>IF(AND(ISNUMBER('Funnel setup'!P376),D363&gt;=30,E363&lt;&gt;"*",D363&lt;&gt;""),F363+1.959963985 *('Funnel setup'!$K$8/SQRT('Funnel Data'!D363)),"")</f>
        <v/>
      </c>
      <c r="I363" s="177" t="str">
        <f>IF(AND(ISNUMBER('Funnel setup'!P376),D363&gt;=30,E363&lt;&gt;"*",D363&lt;&gt;""),F363-3.090232306 *('Funnel setup'!$K$8/SQRT('Funnel Data'!D363)),"")</f>
        <v/>
      </c>
      <c r="J363" s="177" t="str">
        <f>IF(AND(ISNUMBER('Funnel setup'!P376),D363&gt;=30,E363&lt;&gt;"*",D363&lt;&gt;""),F363+3.090232306 *('Funnel setup'!$K$8/SQRT('Funnel Data'!D363)),"")</f>
        <v/>
      </c>
      <c r="K363" s="178" t="str">
        <f>IF(AND(ISNUMBER('Funnel setup'!P376),D363&gt;=30,E363&lt;&gt;"*",D363&lt;&gt;""),IF(E363&gt;J363,'Funnel setup'!$K$15&amp;"99.8%",IF(E363&gt;H363,'Funnel setup'!$K$15&amp;"95%",IF(E363&lt;I363,'Funnel setup'!$K$16&amp;"99.8%",IF(E363&lt;G363,'Funnel setup'!$K$16&amp;"95%","")))),"")</f>
        <v/>
      </c>
    </row>
    <row r="364" spans="2:11" ht="15" customHeight="1" x14ac:dyDescent="0.35">
      <c r="B364" s="174" t="str">
        <f>IF(ISNUMBER('Funnel setup'!P377),VLOOKUP('Funnel setup'!$P377,'Provider Commission - Raw Data'!$A:$Q,5,0),"")</f>
        <v/>
      </c>
      <c r="C364" s="175" t="str">
        <f>IF(ISNUMBER('Funnel setup'!P377),VLOOKUP('Funnel setup'!P377,'Provider Commission - Raw Data'!$A:$Q,6,0),"")</f>
        <v/>
      </c>
      <c r="D364" s="176" t="str">
        <f>IF(ISNUMBER('Funnel setup'!P377),IF(VLOOKUP('Funnel setup'!P377,'Provider Commission - Raw Data'!$A:$Q,8,0)="-","",VLOOKUP('Funnel setup'!P377,'Provider Commission - Raw Data'!$A:$Q,8,0)),"")</f>
        <v/>
      </c>
      <c r="E364" s="251" t="str">
        <f>IF(ISNUMBER('Funnel setup'!P377),IF(VLOOKUP('Funnel setup'!P377,'Provider Commission - Raw Data'!$A:$Q,16,0)="-","",VLOOKUP('Funnel setup'!P377,'Provider Commission - Raw Data'!$A:$Q,16,0)),"")</f>
        <v/>
      </c>
      <c r="F364" s="177" t="str">
        <f>IF(AND(ISNUMBER('Funnel setup'!P377)),'Funnel setup'!$K$9,"")</f>
        <v/>
      </c>
      <c r="G364" s="177" t="str">
        <f>IF(AND(ISNUMBER('Funnel setup'!P377),D364&gt;=30,E364&lt;&gt;"*",D364&lt;&gt;""),F364-1.959963985 *('Funnel setup'!$K$8/SQRT('Funnel Data'!D364)),"")</f>
        <v/>
      </c>
      <c r="H364" s="177" t="str">
        <f>IF(AND(ISNUMBER('Funnel setup'!P377),D364&gt;=30,E364&lt;&gt;"*",D364&lt;&gt;""),F364+1.959963985 *('Funnel setup'!$K$8/SQRT('Funnel Data'!D364)),"")</f>
        <v/>
      </c>
      <c r="I364" s="177" t="str">
        <f>IF(AND(ISNUMBER('Funnel setup'!P377),D364&gt;=30,E364&lt;&gt;"*",D364&lt;&gt;""),F364-3.090232306 *('Funnel setup'!$K$8/SQRT('Funnel Data'!D364)),"")</f>
        <v/>
      </c>
      <c r="J364" s="177" t="str">
        <f>IF(AND(ISNUMBER('Funnel setup'!P377),D364&gt;=30,E364&lt;&gt;"*",D364&lt;&gt;""),F364+3.090232306 *('Funnel setup'!$K$8/SQRT('Funnel Data'!D364)),"")</f>
        <v/>
      </c>
      <c r="K364" s="178" t="str">
        <f>IF(AND(ISNUMBER('Funnel setup'!P377),D364&gt;=30,E364&lt;&gt;"*",D364&lt;&gt;""),IF(E364&gt;J364,'Funnel setup'!$K$15&amp;"99.8%",IF(E364&gt;H364,'Funnel setup'!$K$15&amp;"95%",IF(E364&lt;I364,'Funnel setup'!$K$16&amp;"99.8%",IF(E364&lt;G364,'Funnel setup'!$K$16&amp;"95%","")))),"")</f>
        <v/>
      </c>
    </row>
    <row r="365" spans="2:11" ht="15" customHeight="1" x14ac:dyDescent="0.35">
      <c r="B365" s="174" t="str">
        <f>IF(ISNUMBER('Funnel setup'!P378),VLOOKUP('Funnel setup'!$P378,'Provider Commission - Raw Data'!$A:$Q,5,0),"")</f>
        <v/>
      </c>
      <c r="C365" s="175" t="str">
        <f>IF(ISNUMBER('Funnel setup'!P378),VLOOKUP('Funnel setup'!P378,'Provider Commission - Raw Data'!$A:$Q,6,0),"")</f>
        <v/>
      </c>
      <c r="D365" s="176" t="str">
        <f>IF(ISNUMBER('Funnel setup'!P378),IF(VLOOKUP('Funnel setup'!P378,'Provider Commission - Raw Data'!$A:$Q,8,0)="-","",VLOOKUP('Funnel setup'!P378,'Provider Commission - Raw Data'!$A:$Q,8,0)),"")</f>
        <v/>
      </c>
      <c r="E365" s="251" t="str">
        <f>IF(ISNUMBER('Funnel setup'!P378),IF(VLOOKUP('Funnel setup'!P378,'Provider Commission - Raw Data'!$A:$Q,16,0)="-","",VLOOKUP('Funnel setup'!P378,'Provider Commission - Raw Data'!$A:$Q,16,0)),"")</f>
        <v/>
      </c>
      <c r="F365" s="177" t="str">
        <f>IF(AND(ISNUMBER('Funnel setup'!P378)),'Funnel setup'!$K$9,"")</f>
        <v/>
      </c>
      <c r="G365" s="177" t="str">
        <f>IF(AND(ISNUMBER('Funnel setup'!P378),D365&gt;=30,E365&lt;&gt;"*",D365&lt;&gt;""),F365-1.959963985 *('Funnel setup'!$K$8/SQRT('Funnel Data'!D365)),"")</f>
        <v/>
      </c>
      <c r="H365" s="177" t="str">
        <f>IF(AND(ISNUMBER('Funnel setup'!P378),D365&gt;=30,E365&lt;&gt;"*",D365&lt;&gt;""),F365+1.959963985 *('Funnel setup'!$K$8/SQRT('Funnel Data'!D365)),"")</f>
        <v/>
      </c>
      <c r="I365" s="177" t="str">
        <f>IF(AND(ISNUMBER('Funnel setup'!P378),D365&gt;=30,E365&lt;&gt;"*",D365&lt;&gt;""),F365-3.090232306 *('Funnel setup'!$K$8/SQRT('Funnel Data'!D365)),"")</f>
        <v/>
      </c>
      <c r="J365" s="177" t="str">
        <f>IF(AND(ISNUMBER('Funnel setup'!P378),D365&gt;=30,E365&lt;&gt;"*",D365&lt;&gt;""),F365+3.090232306 *('Funnel setup'!$K$8/SQRT('Funnel Data'!D365)),"")</f>
        <v/>
      </c>
      <c r="K365" s="178" t="str">
        <f>IF(AND(ISNUMBER('Funnel setup'!P378),D365&gt;=30,E365&lt;&gt;"*",D365&lt;&gt;""),IF(E365&gt;J365,'Funnel setup'!$K$15&amp;"99.8%",IF(E365&gt;H365,'Funnel setup'!$K$15&amp;"95%",IF(E365&lt;I365,'Funnel setup'!$K$16&amp;"99.8%",IF(E365&lt;G365,'Funnel setup'!$K$16&amp;"95%","")))),"")</f>
        <v/>
      </c>
    </row>
    <row r="366" spans="2:11" ht="15" customHeight="1" x14ac:dyDescent="0.35">
      <c r="B366" s="174" t="str">
        <f>IF(ISNUMBER('Funnel setup'!P379),VLOOKUP('Funnel setup'!$P379,'Provider Commission - Raw Data'!$A:$Q,5,0),"")</f>
        <v/>
      </c>
      <c r="C366" s="175" t="str">
        <f>IF(ISNUMBER('Funnel setup'!P379),VLOOKUP('Funnel setup'!P379,'Provider Commission - Raw Data'!$A:$Q,6,0),"")</f>
        <v/>
      </c>
      <c r="D366" s="176" t="str">
        <f>IF(ISNUMBER('Funnel setup'!P379),IF(VLOOKUP('Funnel setup'!P379,'Provider Commission - Raw Data'!$A:$Q,8,0)="-","",VLOOKUP('Funnel setup'!P379,'Provider Commission - Raw Data'!$A:$Q,8,0)),"")</f>
        <v/>
      </c>
      <c r="E366" s="251" t="str">
        <f>IF(ISNUMBER('Funnel setup'!P379),IF(VLOOKUP('Funnel setup'!P379,'Provider Commission - Raw Data'!$A:$Q,16,0)="-","",VLOOKUP('Funnel setup'!P379,'Provider Commission - Raw Data'!$A:$Q,16,0)),"")</f>
        <v/>
      </c>
      <c r="F366" s="177" t="str">
        <f>IF(AND(ISNUMBER('Funnel setup'!P379)),'Funnel setup'!$K$9,"")</f>
        <v/>
      </c>
      <c r="G366" s="177" t="str">
        <f>IF(AND(ISNUMBER('Funnel setup'!P379),D366&gt;=30,E366&lt;&gt;"*",D366&lt;&gt;""),F366-1.959963985 *('Funnel setup'!$K$8/SQRT('Funnel Data'!D366)),"")</f>
        <v/>
      </c>
      <c r="H366" s="177" t="str">
        <f>IF(AND(ISNUMBER('Funnel setup'!P379),D366&gt;=30,E366&lt;&gt;"*",D366&lt;&gt;""),F366+1.959963985 *('Funnel setup'!$K$8/SQRT('Funnel Data'!D366)),"")</f>
        <v/>
      </c>
      <c r="I366" s="177" t="str">
        <f>IF(AND(ISNUMBER('Funnel setup'!P379),D366&gt;=30,E366&lt;&gt;"*",D366&lt;&gt;""),F366-3.090232306 *('Funnel setup'!$K$8/SQRT('Funnel Data'!D366)),"")</f>
        <v/>
      </c>
      <c r="J366" s="177" t="str">
        <f>IF(AND(ISNUMBER('Funnel setup'!P379),D366&gt;=30,E366&lt;&gt;"*",D366&lt;&gt;""),F366+3.090232306 *('Funnel setup'!$K$8/SQRT('Funnel Data'!D366)),"")</f>
        <v/>
      </c>
      <c r="K366" s="178" t="str">
        <f>IF(AND(ISNUMBER('Funnel setup'!P379),D366&gt;=30,E366&lt;&gt;"*",D366&lt;&gt;""),IF(E366&gt;J366,'Funnel setup'!$K$15&amp;"99.8%",IF(E366&gt;H366,'Funnel setup'!$K$15&amp;"95%",IF(E366&lt;I366,'Funnel setup'!$K$16&amp;"99.8%",IF(E366&lt;G366,'Funnel setup'!$K$16&amp;"95%","")))),"")</f>
        <v/>
      </c>
    </row>
    <row r="367" spans="2:11" ht="15" customHeight="1" x14ac:dyDescent="0.35">
      <c r="B367" s="174" t="str">
        <f>IF(ISNUMBER('Funnel setup'!P380),VLOOKUP('Funnel setup'!$P380,'Provider Commission - Raw Data'!$A:$Q,5,0),"")</f>
        <v/>
      </c>
      <c r="C367" s="175" t="str">
        <f>IF(ISNUMBER('Funnel setup'!P380),VLOOKUP('Funnel setup'!P380,'Provider Commission - Raw Data'!$A:$Q,6,0),"")</f>
        <v/>
      </c>
      <c r="D367" s="176" t="str">
        <f>IF(ISNUMBER('Funnel setup'!P380),IF(VLOOKUP('Funnel setup'!P380,'Provider Commission - Raw Data'!$A:$Q,8,0)="-","",VLOOKUP('Funnel setup'!P380,'Provider Commission - Raw Data'!$A:$Q,8,0)),"")</f>
        <v/>
      </c>
      <c r="E367" s="251" t="str">
        <f>IF(ISNUMBER('Funnel setup'!P380),IF(VLOOKUP('Funnel setup'!P380,'Provider Commission - Raw Data'!$A:$Q,16,0)="-","",VLOOKUP('Funnel setup'!P380,'Provider Commission - Raw Data'!$A:$Q,16,0)),"")</f>
        <v/>
      </c>
      <c r="F367" s="177" t="str">
        <f>IF(AND(ISNUMBER('Funnel setup'!P380)),'Funnel setup'!$K$9,"")</f>
        <v/>
      </c>
      <c r="G367" s="177" t="str">
        <f>IF(AND(ISNUMBER('Funnel setup'!P380),D367&gt;=30,E367&lt;&gt;"*",D367&lt;&gt;""),F367-1.959963985 *('Funnel setup'!$K$8/SQRT('Funnel Data'!D367)),"")</f>
        <v/>
      </c>
      <c r="H367" s="177" t="str">
        <f>IF(AND(ISNUMBER('Funnel setup'!P380),D367&gt;=30,E367&lt;&gt;"*",D367&lt;&gt;""),F367+1.959963985 *('Funnel setup'!$K$8/SQRT('Funnel Data'!D367)),"")</f>
        <v/>
      </c>
      <c r="I367" s="177" t="str">
        <f>IF(AND(ISNUMBER('Funnel setup'!P380),D367&gt;=30,E367&lt;&gt;"*",D367&lt;&gt;""),F367-3.090232306 *('Funnel setup'!$K$8/SQRT('Funnel Data'!D367)),"")</f>
        <v/>
      </c>
      <c r="J367" s="177" t="str">
        <f>IF(AND(ISNUMBER('Funnel setup'!P380),D367&gt;=30,E367&lt;&gt;"*",D367&lt;&gt;""),F367+3.090232306 *('Funnel setup'!$K$8/SQRT('Funnel Data'!D367)),"")</f>
        <v/>
      </c>
      <c r="K367" s="178" t="str">
        <f>IF(AND(ISNUMBER('Funnel setup'!P380),D367&gt;=30,E367&lt;&gt;"*",D367&lt;&gt;""),IF(E367&gt;J367,'Funnel setup'!$K$15&amp;"99.8%",IF(E367&gt;H367,'Funnel setup'!$K$15&amp;"95%",IF(E367&lt;I367,'Funnel setup'!$K$16&amp;"99.8%",IF(E367&lt;G367,'Funnel setup'!$K$16&amp;"95%","")))),"")</f>
        <v/>
      </c>
    </row>
    <row r="368" spans="2:11" ht="15" customHeight="1" x14ac:dyDescent="0.35">
      <c r="B368" s="174" t="str">
        <f>IF(ISNUMBER('Funnel setup'!P381),VLOOKUP('Funnel setup'!$P381,'Provider Commission - Raw Data'!$A:$Q,5,0),"")</f>
        <v/>
      </c>
      <c r="C368" s="175" t="str">
        <f>IF(ISNUMBER('Funnel setup'!P381),VLOOKUP('Funnel setup'!P381,'Provider Commission - Raw Data'!$A:$Q,6,0),"")</f>
        <v/>
      </c>
      <c r="D368" s="176" t="str">
        <f>IF(ISNUMBER('Funnel setup'!P381),IF(VLOOKUP('Funnel setup'!P381,'Provider Commission - Raw Data'!$A:$Q,8,0)="-","",VLOOKUP('Funnel setup'!P381,'Provider Commission - Raw Data'!$A:$Q,8,0)),"")</f>
        <v/>
      </c>
      <c r="E368" s="251" t="str">
        <f>IF(ISNUMBER('Funnel setup'!P381),IF(VLOOKUP('Funnel setup'!P381,'Provider Commission - Raw Data'!$A:$Q,16,0)="-","",VLOOKUP('Funnel setup'!P381,'Provider Commission - Raw Data'!$A:$Q,16,0)),"")</f>
        <v/>
      </c>
      <c r="F368" s="177" t="str">
        <f>IF(AND(ISNUMBER('Funnel setup'!P381)),'Funnel setup'!$K$9,"")</f>
        <v/>
      </c>
      <c r="G368" s="177" t="str">
        <f>IF(AND(ISNUMBER('Funnel setup'!P381),D368&gt;=30,E368&lt;&gt;"*",D368&lt;&gt;""),F368-1.959963985 *('Funnel setup'!$K$8/SQRT('Funnel Data'!D368)),"")</f>
        <v/>
      </c>
      <c r="H368" s="177" t="str">
        <f>IF(AND(ISNUMBER('Funnel setup'!P381),D368&gt;=30,E368&lt;&gt;"*",D368&lt;&gt;""),F368+1.959963985 *('Funnel setup'!$K$8/SQRT('Funnel Data'!D368)),"")</f>
        <v/>
      </c>
      <c r="I368" s="177" t="str">
        <f>IF(AND(ISNUMBER('Funnel setup'!P381),D368&gt;=30,E368&lt;&gt;"*",D368&lt;&gt;""),F368-3.090232306 *('Funnel setup'!$K$8/SQRT('Funnel Data'!D368)),"")</f>
        <v/>
      </c>
      <c r="J368" s="177" t="str">
        <f>IF(AND(ISNUMBER('Funnel setup'!P381),D368&gt;=30,E368&lt;&gt;"*",D368&lt;&gt;""),F368+3.090232306 *('Funnel setup'!$K$8/SQRT('Funnel Data'!D368)),"")</f>
        <v/>
      </c>
      <c r="K368" s="178" t="str">
        <f>IF(AND(ISNUMBER('Funnel setup'!P381),D368&gt;=30,E368&lt;&gt;"*",D368&lt;&gt;""),IF(E368&gt;J368,'Funnel setup'!$K$15&amp;"99.8%",IF(E368&gt;H368,'Funnel setup'!$K$15&amp;"95%",IF(E368&lt;I368,'Funnel setup'!$K$16&amp;"99.8%",IF(E368&lt;G368,'Funnel setup'!$K$16&amp;"95%","")))),"")</f>
        <v/>
      </c>
    </row>
    <row r="369" spans="2:11" ht="15" customHeight="1" x14ac:dyDescent="0.35">
      <c r="B369" s="174" t="str">
        <f>IF(ISNUMBER('Funnel setup'!P382),VLOOKUP('Funnel setup'!$P382,'Provider Commission - Raw Data'!$A:$Q,5,0),"")</f>
        <v/>
      </c>
      <c r="C369" s="175" t="str">
        <f>IF(ISNUMBER('Funnel setup'!P382),VLOOKUP('Funnel setup'!P382,'Provider Commission - Raw Data'!$A:$Q,6,0),"")</f>
        <v/>
      </c>
      <c r="D369" s="176" t="str">
        <f>IF(ISNUMBER('Funnel setup'!P382),IF(VLOOKUP('Funnel setup'!P382,'Provider Commission - Raw Data'!$A:$Q,8,0)="-","",VLOOKUP('Funnel setup'!P382,'Provider Commission - Raw Data'!$A:$Q,8,0)),"")</f>
        <v/>
      </c>
      <c r="E369" s="251" t="str">
        <f>IF(ISNUMBER('Funnel setup'!P382),IF(VLOOKUP('Funnel setup'!P382,'Provider Commission - Raw Data'!$A:$Q,16,0)="-","",VLOOKUP('Funnel setup'!P382,'Provider Commission - Raw Data'!$A:$Q,16,0)),"")</f>
        <v/>
      </c>
      <c r="F369" s="177" t="str">
        <f>IF(AND(ISNUMBER('Funnel setup'!P382)),'Funnel setup'!$K$9,"")</f>
        <v/>
      </c>
      <c r="G369" s="177" t="str">
        <f>IF(AND(ISNUMBER('Funnel setup'!P382),D369&gt;=30,E369&lt;&gt;"*",D369&lt;&gt;""),F369-1.959963985 *('Funnel setup'!$K$8/SQRT('Funnel Data'!D369)),"")</f>
        <v/>
      </c>
      <c r="H369" s="177" t="str">
        <f>IF(AND(ISNUMBER('Funnel setup'!P382),D369&gt;=30,E369&lt;&gt;"*",D369&lt;&gt;""),F369+1.959963985 *('Funnel setup'!$K$8/SQRT('Funnel Data'!D369)),"")</f>
        <v/>
      </c>
      <c r="I369" s="177" t="str">
        <f>IF(AND(ISNUMBER('Funnel setup'!P382),D369&gt;=30,E369&lt;&gt;"*",D369&lt;&gt;""),F369-3.090232306 *('Funnel setup'!$K$8/SQRT('Funnel Data'!D369)),"")</f>
        <v/>
      </c>
      <c r="J369" s="177" t="str">
        <f>IF(AND(ISNUMBER('Funnel setup'!P382),D369&gt;=30,E369&lt;&gt;"*",D369&lt;&gt;""),F369+3.090232306 *('Funnel setup'!$K$8/SQRT('Funnel Data'!D369)),"")</f>
        <v/>
      </c>
      <c r="K369" s="178" t="str">
        <f>IF(AND(ISNUMBER('Funnel setup'!P382),D369&gt;=30,E369&lt;&gt;"*",D369&lt;&gt;""),IF(E369&gt;J369,'Funnel setup'!$K$15&amp;"99.8%",IF(E369&gt;H369,'Funnel setup'!$K$15&amp;"95%",IF(E369&lt;I369,'Funnel setup'!$K$16&amp;"99.8%",IF(E369&lt;G369,'Funnel setup'!$K$16&amp;"95%","")))),"")</f>
        <v/>
      </c>
    </row>
    <row r="370" spans="2:11" ht="15" customHeight="1" x14ac:dyDescent="0.35">
      <c r="B370" s="174" t="str">
        <f>IF(ISNUMBER('Funnel setup'!P383),VLOOKUP('Funnel setup'!$P383,'Provider Commission - Raw Data'!$A:$Q,5,0),"")</f>
        <v/>
      </c>
      <c r="C370" s="175" t="str">
        <f>IF(ISNUMBER('Funnel setup'!P383),VLOOKUP('Funnel setup'!P383,'Provider Commission - Raw Data'!$A:$Q,6,0),"")</f>
        <v/>
      </c>
      <c r="D370" s="176" t="str">
        <f>IF(ISNUMBER('Funnel setup'!P383),IF(VLOOKUP('Funnel setup'!P383,'Provider Commission - Raw Data'!$A:$Q,8,0)="-","",VLOOKUP('Funnel setup'!P383,'Provider Commission - Raw Data'!$A:$Q,8,0)),"")</f>
        <v/>
      </c>
      <c r="E370" s="251" t="str">
        <f>IF(ISNUMBER('Funnel setup'!P383),IF(VLOOKUP('Funnel setup'!P383,'Provider Commission - Raw Data'!$A:$Q,16,0)="-","",VLOOKUP('Funnel setup'!P383,'Provider Commission - Raw Data'!$A:$Q,16,0)),"")</f>
        <v/>
      </c>
      <c r="F370" s="177" t="str">
        <f>IF(AND(ISNUMBER('Funnel setup'!P383)),'Funnel setup'!$K$9,"")</f>
        <v/>
      </c>
      <c r="G370" s="177" t="str">
        <f>IF(AND(ISNUMBER('Funnel setup'!P383),D370&gt;=30,E370&lt;&gt;"*",D370&lt;&gt;""),F370-1.959963985 *('Funnel setup'!$K$8/SQRT('Funnel Data'!D370)),"")</f>
        <v/>
      </c>
      <c r="H370" s="177" t="str">
        <f>IF(AND(ISNUMBER('Funnel setup'!P383),D370&gt;=30,E370&lt;&gt;"*",D370&lt;&gt;""),F370+1.959963985 *('Funnel setup'!$K$8/SQRT('Funnel Data'!D370)),"")</f>
        <v/>
      </c>
      <c r="I370" s="177" t="str">
        <f>IF(AND(ISNUMBER('Funnel setup'!P383),D370&gt;=30,E370&lt;&gt;"*",D370&lt;&gt;""),F370-3.090232306 *('Funnel setup'!$K$8/SQRT('Funnel Data'!D370)),"")</f>
        <v/>
      </c>
      <c r="J370" s="177" t="str">
        <f>IF(AND(ISNUMBER('Funnel setup'!P383),D370&gt;=30,E370&lt;&gt;"*",D370&lt;&gt;""),F370+3.090232306 *('Funnel setup'!$K$8/SQRT('Funnel Data'!D370)),"")</f>
        <v/>
      </c>
      <c r="K370" s="178" t="str">
        <f>IF(AND(ISNUMBER('Funnel setup'!P383),D370&gt;=30,E370&lt;&gt;"*",D370&lt;&gt;""),IF(E370&gt;J370,'Funnel setup'!$K$15&amp;"99.8%",IF(E370&gt;H370,'Funnel setup'!$K$15&amp;"95%",IF(E370&lt;I370,'Funnel setup'!$K$16&amp;"99.8%",IF(E370&lt;G370,'Funnel setup'!$K$16&amp;"95%","")))),"")</f>
        <v/>
      </c>
    </row>
    <row r="371" spans="2:11" ht="15" customHeight="1" x14ac:dyDescent="0.35">
      <c r="B371" s="174" t="str">
        <f>IF(ISNUMBER('Funnel setup'!P384),VLOOKUP('Funnel setup'!$P384,'Provider Commission - Raw Data'!$A:$Q,5,0),"")</f>
        <v/>
      </c>
      <c r="C371" s="175" t="str">
        <f>IF(ISNUMBER('Funnel setup'!P384),VLOOKUP('Funnel setup'!P384,'Provider Commission - Raw Data'!$A:$Q,6,0),"")</f>
        <v/>
      </c>
      <c r="D371" s="176" t="str">
        <f>IF(ISNUMBER('Funnel setup'!P384),IF(VLOOKUP('Funnel setup'!P384,'Provider Commission - Raw Data'!$A:$Q,8,0)="-","",VLOOKUP('Funnel setup'!P384,'Provider Commission - Raw Data'!$A:$Q,8,0)),"")</f>
        <v/>
      </c>
      <c r="E371" s="251" t="str">
        <f>IF(ISNUMBER('Funnel setup'!P384),IF(VLOOKUP('Funnel setup'!P384,'Provider Commission - Raw Data'!$A:$Q,16,0)="-","",VLOOKUP('Funnel setup'!P384,'Provider Commission - Raw Data'!$A:$Q,16,0)),"")</f>
        <v/>
      </c>
      <c r="F371" s="177" t="str">
        <f>IF(AND(ISNUMBER('Funnel setup'!P384)),'Funnel setup'!$K$9,"")</f>
        <v/>
      </c>
      <c r="G371" s="177" t="str">
        <f>IF(AND(ISNUMBER('Funnel setup'!P384),D371&gt;=30,E371&lt;&gt;"*",D371&lt;&gt;""),F371-1.959963985 *('Funnel setup'!$K$8/SQRT('Funnel Data'!D371)),"")</f>
        <v/>
      </c>
      <c r="H371" s="177" t="str">
        <f>IF(AND(ISNUMBER('Funnel setup'!P384),D371&gt;=30,E371&lt;&gt;"*",D371&lt;&gt;""),F371+1.959963985 *('Funnel setup'!$K$8/SQRT('Funnel Data'!D371)),"")</f>
        <v/>
      </c>
      <c r="I371" s="177" t="str">
        <f>IF(AND(ISNUMBER('Funnel setup'!P384),D371&gt;=30,E371&lt;&gt;"*",D371&lt;&gt;""),F371-3.090232306 *('Funnel setup'!$K$8/SQRT('Funnel Data'!D371)),"")</f>
        <v/>
      </c>
      <c r="J371" s="177" t="str">
        <f>IF(AND(ISNUMBER('Funnel setup'!P384),D371&gt;=30,E371&lt;&gt;"*",D371&lt;&gt;""),F371+3.090232306 *('Funnel setup'!$K$8/SQRT('Funnel Data'!D371)),"")</f>
        <v/>
      </c>
      <c r="K371" s="178" t="str">
        <f>IF(AND(ISNUMBER('Funnel setup'!P384),D371&gt;=30,E371&lt;&gt;"*",D371&lt;&gt;""),IF(E371&gt;J371,'Funnel setup'!$K$15&amp;"99.8%",IF(E371&gt;H371,'Funnel setup'!$K$15&amp;"95%",IF(E371&lt;I371,'Funnel setup'!$K$16&amp;"99.8%",IF(E371&lt;G371,'Funnel setup'!$K$16&amp;"95%","")))),"")</f>
        <v/>
      </c>
    </row>
    <row r="372" spans="2:11" ht="15" customHeight="1" x14ac:dyDescent="0.35">
      <c r="B372" s="174" t="str">
        <f>IF(ISNUMBER('Funnel setup'!P385),VLOOKUP('Funnel setup'!$P385,'Provider Commission - Raw Data'!$A:$Q,5,0),"")</f>
        <v/>
      </c>
      <c r="C372" s="175" t="str">
        <f>IF(ISNUMBER('Funnel setup'!P385),VLOOKUP('Funnel setup'!P385,'Provider Commission - Raw Data'!$A:$Q,6,0),"")</f>
        <v/>
      </c>
      <c r="D372" s="176" t="str">
        <f>IF(ISNUMBER('Funnel setup'!P385),IF(VLOOKUP('Funnel setup'!P385,'Provider Commission - Raw Data'!$A:$Q,8,0)="-","",VLOOKUP('Funnel setup'!P385,'Provider Commission - Raw Data'!$A:$Q,8,0)),"")</f>
        <v/>
      </c>
      <c r="E372" s="251" t="str">
        <f>IF(ISNUMBER('Funnel setup'!P385),IF(VLOOKUP('Funnel setup'!P385,'Provider Commission - Raw Data'!$A:$Q,16,0)="-","",VLOOKUP('Funnel setup'!P385,'Provider Commission - Raw Data'!$A:$Q,16,0)),"")</f>
        <v/>
      </c>
      <c r="F372" s="177" t="str">
        <f>IF(AND(ISNUMBER('Funnel setup'!P385)),'Funnel setup'!$K$9,"")</f>
        <v/>
      </c>
      <c r="G372" s="177" t="str">
        <f>IF(AND(ISNUMBER('Funnel setup'!P385),D372&gt;=30,E372&lt;&gt;"*",D372&lt;&gt;""),F372-1.959963985 *('Funnel setup'!$K$8/SQRT('Funnel Data'!D372)),"")</f>
        <v/>
      </c>
      <c r="H372" s="177" t="str">
        <f>IF(AND(ISNUMBER('Funnel setup'!P385),D372&gt;=30,E372&lt;&gt;"*",D372&lt;&gt;""),F372+1.959963985 *('Funnel setup'!$K$8/SQRT('Funnel Data'!D372)),"")</f>
        <v/>
      </c>
      <c r="I372" s="177" t="str">
        <f>IF(AND(ISNUMBER('Funnel setup'!P385),D372&gt;=30,E372&lt;&gt;"*",D372&lt;&gt;""),F372-3.090232306 *('Funnel setup'!$K$8/SQRT('Funnel Data'!D372)),"")</f>
        <v/>
      </c>
      <c r="J372" s="177" t="str">
        <f>IF(AND(ISNUMBER('Funnel setup'!P385),D372&gt;=30,E372&lt;&gt;"*",D372&lt;&gt;""),F372+3.090232306 *('Funnel setup'!$K$8/SQRT('Funnel Data'!D372)),"")</f>
        <v/>
      </c>
      <c r="K372" s="178" t="str">
        <f>IF(AND(ISNUMBER('Funnel setup'!P385),D372&gt;=30,E372&lt;&gt;"*",D372&lt;&gt;""),IF(E372&gt;J372,'Funnel setup'!$K$15&amp;"99.8%",IF(E372&gt;H372,'Funnel setup'!$K$15&amp;"95%",IF(E372&lt;I372,'Funnel setup'!$K$16&amp;"99.8%",IF(E372&lt;G372,'Funnel setup'!$K$16&amp;"95%","")))),"")</f>
        <v/>
      </c>
    </row>
    <row r="373" spans="2:11" ht="15" customHeight="1" x14ac:dyDescent="0.35">
      <c r="B373" s="174" t="str">
        <f>IF(ISNUMBER('Funnel setup'!P386),VLOOKUP('Funnel setup'!$P386,'Provider Commission - Raw Data'!$A:$Q,5,0),"")</f>
        <v/>
      </c>
      <c r="C373" s="175" t="str">
        <f>IF(ISNUMBER('Funnel setup'!P386),VLOOKUP('Funnel setup'!P386,'Provider Commission - Raw Data'!$A:$Q,6,0),"")</f>
        <v/>
      </c>
      <c r="D373" s="176" t="str">
        <f>IF(ISNUMBER('Funnel setup'!P386),IF(VLOOKUP('Funnel setup'!P386,'Provider Commission - Raw Data'!$A:$Q,8,0)="-","",VLOOKUP('Funnel setup'!P386,'Provider Commission - Raw Data'!$A:$Q,8,0)),"")</f>
        <v/>
      </c>
      <c r="E373" s="251" t="str">
        <f>IF(ISNUMBER('Funnel setup'!P386),IF(VLOOKUP('Funnel setup'!P386,'Provider Commission - Raw Data'!$A:$Q,16,0)="-","",VLOOKUP('Funnel setup'!P386,'Provider Commission - Raw Data'!$A:$Q,16,0)),"")</f>
        <v/>
      </c>
      <c r="F373" s="177" t="str">
        <f>IF(AND(ISNUMBER('Funnel setup'!P386)),'Funnel setup'!$K$9,"")</f>
        <v/>
      </c>
      <c r="G373" s="177" t="str">
        <f>IF(AND(ISNUMBER('Funnel setup'!P386),D373&gt;=30,E373&lt;&gt;"*",D373&lt;&gt;""),F373-1.959963985 *('Funnel setup'!$K$8/SQRT('Funnel Data'!D373)),"")</f>
        <v/>
      </c>
      <c r="H373" s="177" t="str">
        <f>IF(AND(ISNUMBER('Funnel setup'!P386),D373&gt;=30,E373&lt;&gt;"*",D373&lt;&gt;""),F373+1.959963985 *('Funnel setup'!$K$8/SQRT('Funnel Data'!D373)),"")</f>
        <v/>
      </c>
      <c r="I373" s="177" t="str">
        <f>IF(AND(ISNUMBER('Funnel setup'!P386),D373&gt;=30,E373&lt;&gt;"*",D373&lt;&gt;""),F373-3.090232306 *('Funnel setup'!$K$8/SQRT('Funnel Data'!D373)),"")</f>
        <v/>
      </c>
      <c r="J373" s="177" t="str">
        <f>IF(AND(ISNUMBER('Funnel setup'!P386),D373&gt;=30,E373&lt;&gt;"*",D373&lt;&gt;""),F373+3.090232306 *('Funnel setup'!$K$8/SQRT('Funnel Data'!D373)),"")</f>
        <v/>
      </c>
      <c r="K373" s="178" t="str">
        <f>IF(AND(ISNUMBER('Funnel setup'!P386),D373&gt;=30,E373&lt;&gt;"*",D373&lt;&gt;""),IF(E373&gt;J373,'Funnel setup'!$K$15&amp;"99.8%",IF(E373&gt;H373,'Funnel setup'!$K$15&amp;"95%",IF(E373&lt;I373,'Funnel setup'!$K$16&amp;"99.8%",IF(E373&lt;G373,'Funnel setup'!$K$16&amp;"95%","")))),"")</f>
        <v/>
      </c>
    </row>
    <row r="374" spans="2:11" ht="15" customHeight="1" x14ac:dyDescent="0.35">
      <c r="B374" s="174" t="str">
        <f>IF(ISNUMBER('Funnel setup'!P387),VLOOKUP('Funnel setup'!$P387,'Provider Commission - Raw Data'!$A:$Q,5,0),"")</f>
        <v/>
      </c>
      <c r="C374" s="175" t="str">
        <f>IF(ISNUMBER('Funnel setup'!P387),VLOOKUP('Funnel setup'!P387,'Provider Commission - Raw Data'!$A:$Q,6,0),"")</f>
        <v/>
      </c>
      <c r="D374" s="176" t="str">
        <f>IF(ISNUMBER('Funnel setup'!P387),IF(VLOOKUP('Funnel setup'!P387,'Provider Commission - Raw Data'!$A:$Q,8,0)="-","",VLOOKUP('Funnel setup'!P387,'Provider Commission - Raw Data'!$A:$Q,8,0)),"")</f>
        <v/>
      </c>
      <c r="E374" s="251" t="str">
        <f>IF(ISNUMBER('Funnel setup'!P387),IF(VLOOKUP('Funnel setup'!P387,'Provider Commission - Raw Data'!$A:$Q,16,0)="-","",VLOOKUP('Funnel setup'!P387,'Provider Commission - Raw Data'!$A:$Q,16,0)),"")</f>
        <v/>
      </c>
      <c r="F374" s="177" t="str">
        <f>IF(AND(ISNUMBER('Funnel setup'!P387)),'Funnel setup'!$K$9,"")</f>
        <v/>
      </c>
      <c r="G374" s="177" t="str">
        <f>IF(AND(ISNUMBER('Funnel setup'!P387),D374&gt;=30,E374&lt;&gt;"*",D374&lt;&gt;""),F374-1.959963985 *('Funnel setup'!$K$8/SQRT('Funnel Data'!D374)),"")</f>
        <v/>
      </c>
      <c r="H374" s="177" t="str">
        <f>IF(AND(ISNUMBER('Funnel setup'!P387),D374&gt;=30,E374&lt;&gt;"*",D374&lt;&gt;""),F374+1.959963985 *('Funnel setup'!$K$8/SQRT('Funnel Data'!D374)),"")</f>
        <v/>
      </c>
      <c r="I374" s="177" t="str">
        <f>IF(AND(ISNUMBER('Funnel setup'!P387),D374&gt;=30,E374&lt;&gt;"*",D374&lt;&gt;""),F374-3.090232306 *('Funnel setup'!$K$8/SQRT('Funnel Data'!D374)),"")</f>
        <v/>
      </c>
      <c r="J374" s="177" t="str">
        <f>IF(AND(ISNUMBER('Funnel setup'!P387),D374&gt;=30,E374&lt;&gt;"*",D374&lt;&gt;""),F374+3.090232306 *('Funnel setup'!$K$8/SQRT('Funnel Data'!D374)),"")</f>
        <v/>
      </c>
      <c r="K374" s="178" t="str">
        <f>IF(AND(ISNUMBER('Funnel setup'!P387),D374&gt;=30,E374&lt;&gt;"*",D374&lt;&gt;""),IF(E374&gt;J374,'Funnel setup'!$K$15&amp;"99.8%",IF(E374&gt;H374,'Funnel setup'!$K$15&amp;"95%",IF(E374&lt;I374,'Funnel setup'!$K$16&amp;"99.8%",IF(E374&lt;G374,'Funnel setup'!$K$16&amp;"95%","")))),"")</f>
        <v/>
      </c>
    </row>
    <row r="375" spans="2:11" ht="15" customHeight="1" x14ac:dyDescent="0.35">
      <c r="B375" s="174" t="str">
        <f>IF(ISNUMBER('Funnel setup'!P388),VLOOKUP('Funnel setup'!$P388,'Provider Commission - Raw Data'!$A:$Q,5,0),"")</f>
        <v/>
      </c>
      <c r="C375" s="175" t="str">
        <f>IF(ISNUMBER('Funnel setup'!P388),VLOOKUP('Funnel setup'!P388,'Provider Commission - Raw Data'!$A:$Q,6,0),"")</f>
        <v/>
      </c>
      <c r="D375" s="176" t="str">
        <f>IF(ISNUMBER('Funnel setup'!P388),IF(VLOOKUP('Funnel setup'!P388,'Provider Commission - Raw Data'!$A:$Q,8,0)="-","",VLOOKUP('Funnel setup'!P388,'Provider Commission - Raw Data'!$A:$Q,8,0)),"")</f>
        <v/>
      </c>
      <c r="E375" s="251" t="str">
        <f>IF(ISNUMBER('Funnel setup'!P388),IF(VLOOKUP('Funnel setup'!P388,'Provider Commission - Raw Data'!$A:$Q,16,0)="-","",VLOOKUP('Funnel setup'!P388,'Provider Commission - Raw Data'!$A:$Q,16,0)),"")</f>
        <v/>
      </c>
      <c r="F375" s="177" t="str">
        <f>IF(AND(ISNUMBER('Funnel setup'!P388)),'Funnel setup'!$K$9,"")</f>
        <v/>
      </c>
      <c r="G375" s="177" t="str">
        <f>IF(AND(ISNUMBER('Funnel setup'!P388),D375&gt;=30,E375&lt;&gt;"*",D375&lt;&gt;""),F375-1.959963985 *('Funnel setup'!$K$8/SQRT('Funnel Data'!D375)),"")</f>
        <v/>
      </c>
      <c r="H375" s="177" t="str">
        <f>IF(AND(ISNUMBER('Funnel setup'!P388),D375&gt;=30,E375&lt;&gt;"*",D375&lt;&gt;""),F375+1.959963985 *('Funnel setup'!$K$8/SQRT('Funnel Data'!D375)),"")</f>
        <v/>
      </c>
      <c r="I375" s="177" t="str">
        <f>IF(AND(ISNUMBER('Funnel setup'!P388),D375&gt;=30,E375&lt;&gt;"*",D375&lt;&gt;""),F375-3.090232306 *('Funnel setup'!$K$8/SQRT('Funnel Data'!D375)),"")</f>
        <v/>
      </c>
      <c r="J375" s="177" t="str">
        <f>IF(AND(ISNUMBER('Funnel setup'!P388),D375&gt;=30,E375&lt;&gt;"*",D375&lt;&gt;""),F375+3.090232306 *('Funnel setup'!$K$8/SQRT('Funnel Data'!D375)),"")</f>
        <v/>
      </c>
      <c r="K375" s="178" t="str">
        <f>IF(AND(ISNUMBER('Funnel setup'!P388),D375&gt;=30,E375&lt;&gt;"*",D375&lt;&gt;""),IF(E375&gt;J375,'Funnel setup'!$K$15&amp;"99.8%",IF(E375&gt;H375,'Funnel setup'!$K$15&amp;"95%",IF(E375&lt;I375,'Funnel setup'!$K$16&amp;"99.8%",IF(E375&lt;G375,'Funnel setup'!$K$16&amp;"95%","")))),"")</f>
        <v/>
      </c>
    </row>
    <row r="376" spans="2:11" ht="15" customHeight="1" x14ac:dyDescent="0.35">
      <c r="B376" s="174" t="str">
        <f>IF(ISNUMBER('Funnel setup'!P389),VLOOKUP('Funnel setup'!$P389,'Provider Commission - Raw Data'!$A:$Q,5,0),"")</f>
        <v/>
      </c>
      <c r="C376" s="175" t="str">
        <f>IF(ISNUMBER('Funnel setup'!P389),VLOOKUP('Funnel setup'!P389,'Provider Commission - Raw Data'!$A:$Q,6,0),"")</f>
        <v/>
      </c>
      <c r="D376" s="176" t="str">
        <f>IF(ISNUMBER('Funnel setup'!P389),IF(VLOOKUP('Funnel setup'!P389,'Provider Commission - Raw Data'!$A:$Q,8,0)="-","",VLOOKUP('Funnel setup'!P389,'Provider Commission - Raw Data'!$A:$Q,8,0)),"")</f>
        <v/>
      </c>
      <c r="E376" s="251" t="str">
        <f>IF(ISNUMBER('Funnel setup'!P389),IF(VLOOKUP('Funnel setup'!P389,'Provider Commission - Raw Data'!$A:$Q,16,0)="-","",VLOOKUP('Funnel setup'!P389,'Provider Commission - Raw Data'!$A:$Q,16,0)),"")</f>
        <v/>
      </c>
      <c r="F376" s="177" t="str">
        <f>IF(AND(ISNUMBER('Funnel setup'!P389)),'Funnel setup'!$K$9,"")</f>
        <v/>
      </c>
      <c r="G376" s="177" t="str">
        <f>IF(AND(ISNUMBER('Funnel setup'!P389),D376&gt;=30,E376&lt;&gt;"*",D376&lt;&gt;""),F376-1.959963985 *('Funnel setup'!$K$8/SQRT('Funnel Data'!D376)),"")</f>
        <v/>
      </c>
      <c r="H376" s="177" t="str">
        <f>IF(AND(ISNUMBER('Funnel setup'!P389),D376&gt;=30,E376&lt;&gt;"*",D376&lt;&gt;""),F376+1.959963985 *('Funnel setup'!$K$8/SQRT('Funnel Data'!D376)),"")</f>
        <v/>
      </c>
      <c r="I376" s="177" t="str">
        <f>IF(AND(ISNUMBER('Funnel setup'!P389),D376&gt;=30,E376&lt;&gt;"*",D376&lt;&gt;""),F376-3.090232306 *('Funnel setup'!$K$8/SQRT('Funnel Data'!D376)),"")</f>
        <v/>
      </c>
      <c r="J376" s="177" t="str">
        <f>IF(AND(ISNUMBER('Funnel setup'!P389),D376&gt;=30,E376&lt;&gt;"*",D376&lt;&gt;""),F376+3.090232306 *('Funnel setup'!$K$8/SQRT('Funnel Data'!D376)),"")</f>
        <v/>
      </c>
      <c r="K376" s="178" t="str">
        <f>IF(AND(ISNUMBER('Funnel setup'!P389),D376&gt;=30,E376&lt;&gt;"*",D376&lt;&gt;""),IF(E376&gt;J376,'Funnel setup'!$K$15&amp;"99.8%",IF(E376&gt;H376,'Funnel setup'!$K$15&amp;"95%",IF(E376&lt;I376,'Funnel setup'!$K$16&amp;"99.8%",IF(E376&lt;G376,'Funnel setup'!$K$16&amp;"95%","")))),"")</f>
        <v/>
      </c>
    </row>
    <row r="377" spans="2:11" ht="15" customHeight="1" x14ac:dyDescent="0.35">
      <c r="B377" s="174" t="str">
        <f>IF(ISNUMBER('Funnel setup'!P390),VLOOKUP('Funnel setup'!$P390,'Provider Commission - Raw Data'!$A:$Q,5,0),"")</f>
        <v/>
      </c>
      <c r="C377" s="175" t="str">
        <f>IF(ISNUMBER('Funnel setup'!P390),VLOOKUP('Funnel setup'!P390,'Provider Commission - Raw Data'!$A:$Q,6,0),"")</f>
        <v/>
      </c>
      <c r="D377" s="176" t="str">
        <f>IF(ISNUMBER('Funnel setup'!P390),IF(VLOOKUP('Funnel setup'!P390,'Provider Commission - Raw Data'!$A:$Q,8,0)="-","",VLOOKUP('Funnel setup'!P390,'Provider Commission - Raw Data'!$A:$Q,8,0)),"")</f>
        <v/>
      </c>
      <c r="E377" s="251" t="str">
        <f>IF(ISNUMBER('Funnel setup'!P390),IF(VLOOKUP('Funnel setup'!P390,'Provider Commission - Raw Data'!$A:$Q,16,0)="-","",VLOOKUP('Funnel setup'!P390,'Provider Commission - Raw Data'!$A:$Q,16,0)),"")</f>
        <v/>
      </c>
      <c r="F377" s="177" t="str">
        <f>IF(AND(ISNUMBER('Funnel setup'!P390)),'Funnel setup'!$K$9,"")</f>
        <v/>
      </c>
      <c r="G377" s="177" t="str">
        <f>IF(AND(ISNUMBER('Funnel setup'!P390),D377&gt;=30,E377&lt;&gt;"*",D377&lt;&gt;""),F377-1.959963985 *('Funnel setup'!$K$8/SQRT('Funnel Data'!D377)),"")</f>
        <v/>
      </c>
      <c r="H377" s="177" t="str">
        <f>IF(AND(ISNUMBER('Funnel setup'!P390),D377&gt;=30,E377&lt;&gt;"*",D377&lt;&gt;""),F377+1.959963985 *('Funnel setup'!$K$8/SQRT('Funnel Data'!D377)),"")</f>
        <v/>
      </c>
      <c r="I377" s="177" t="str">
        <f>IF(AND(ISNUMBER('Funnel setup'!P390),D377&gt;=30,E377&lt;&gt;"*",D377&lt;&gt;""),F377-3.090232306 *('Funnel setup'!$K$8/SQRT('Funnel Data'!D377)),"")</f>
        <v/>
      </c>
      <c r="J377" s="177" t="str">
        <f>IF(AND(ISNUMBER('Funnel setup'!P390),D377&gt;=30,E377&lt;&gt;"*",D377&lt;&gt;""),F377+3.090232306 *('Funnel setup'!$K$8/SQRT('Funnel Data'!D377)),"")</f>
        <v/>
      </c>
      <c r="K377" s="178" t="str">
        <f>IF(AND(ISNUMBER('Funnel setup'!P390),D377&gt;=30,E377&lt;&gt;"*",D377&lt;&gt;""),IF(E377&gt;J377,'Funnel setup'!$K$15&amp;"99.8%",IF(E377&gt;H377,'Funnel setup'!$K$15&amp;"95%",IF(E377&lt;I377,'Funnel setup'!$K$16&amp;"99.8%",IF(E377&lt;G377,'Funnel setup'!$K$16&amp;"95%","")))),"")</f>
        <v/>
      </c>
    </row>
    <row r="378" spans="2:11" ht="15" customHeight="1" x14ac:dyDescent="0.35">
      <c r="B378" s="174" t="str">
        <f>IF(ISNUMBER('Funnel setup'!P391),VLOOKUP('Funnel setup'!$P391,'Provider Commission - Raw Data'!$A:$Q,5,0),"")</f>
        <v/>
      </c>
      <c r="C378" s="175" t="str">
        <f>IF(ISNUMBER('Funnel setup'!P391),VLOOKUP('Funnel setup'!P391,'Provider Commission - Raw Data'!$A:$Q,6,0),"")</f>
        <v/>
      </c>
      <c r="D378" s="176" t="str">
        <f>IF(ISNUMBER('Funnel setup'!P391),IF(VLOOKUP('Funnel setup'!P391,'Provider Commission - Raw Data'!$A:$Q,8,0)="-","",VLOOKUP('Funnel setup'!P391,'Provider Commission - Raw Data'!$A:$Q,8,0)),"")</f>
        <v/>
      </c>
      <c r="E378" s="251" t="str">
        <f>IF(ISNUMBER('Funnel setup'!P391),IF(VLOOKUP('Funnel setup'!P391,'Provider Commission - Raw Data'!$A:$Q,16,0)="-","",VLOOKUP('Funnel setup'!P391,'Provider Commission - Raw Data'!$A:$Q,16,0)),"")</f>
        <v/>
      </c>
      <c r="F378" s="177" t="str">
        <f>IF(AND(ISNUMBER('Funnel setup'!P391)),'Funnel setup'!$K$9,"")</f>
        <v/>
      </c>
      <c r="G378" s="177" t="str">
        <f>IF(AND(ISNUMBER('Funnel setup'!P391),D378&gt;=30,E378&lt;&gt;"*",D378&lt;&gt;""),F378-1.959963985 *('Funnel setup'!$K$8/SQRT('Funnel Data'!D378)),"")</f>
        <v/>
      </c>
      <c r="H378" s="177" t="str">
        <f>IF(AND(ISNUMBER('Funnel setup'!P391),D378&gt;=30,E378&lt;&gt;"*",D378&lt;&gt;""),F378+1.959963985 *('Funnel setup'!$K$8/SQRT('Funnel Data'!D378)),"")</f>
        <v/>
      </c>
      <c r="I378" s="177" t="str">
        <f>IF(AND(ISNUMBER('Funnel setup'!P391),D378&gt;=30,E378&lt;&gt;"*",D378&lt;&gt;""),F378-3.090232306 *('Funnel setup'!$K$8/SQRT('Funnel Data'!D378)),"")</f>
        <v/>
      </c>
      <c r="J378" s="177" t="str">
        <f>IF(AND(ISNUMBER('Funnel setup'!P391),D378&gt;=30,E378&lt;&gt;"*",D378&lt;&gt;""),F378+3.090232306 *('Funnel setup'!$K$8/SQRT('Funnel Data'!D378)),"")</f>
        <v/>
      </c>
      <c r="K378" s="178" t="str">
        <f>IF(AND(ISNUMBER('Funnel setup'!P391),D378&gt;=30,E378&lt;&gt;"*",D378&lt;&gt;""),IF(E378&gt;J378,'Funnel setup'!$K$15&amp;"99.8%",IF(E378&gt;H378,'Funnel setup'!$K$15&amp;"95%",IF(E378&lt;I378,'Funnel setup'!$K$16&amp;"99.8%",IF(E378&lt;G378,'Funnel setup'!$K$16&amp;"95%","")))),"")</f>
        <v/>
      </c>
    </row>
    <row r="379" spans="2:11" ht="15" customHeight="1" x14ac:dyDescent="0.35">
      <c r="B379" s="174" t="str">
        <f>IF(ISNUMBER('Funnel setup'!P392),VLOOKUP('Funnel setup'!$P392,'Provider Commission - Raw Data'!$A:$Q,5,0),"")</f>
        <v/>
      </c>
      <c r="C379" s="175" t="str">
        <f>IF(ISNUMBER('Funnel setup'!P392),VLOOKUP('Funnel setup'!P392,'Provider Commission - Raw Data'!$A:$Q,6,0),"")</f>
        <v/>
      </c>
      <c r="D379" s="176" t="str">
        <f>IF(ISNUMBER('Funnel setup'!P392),IF(VLOOKUP('Funnel setup'!P392,'Provider Commission - Raw Data'!$A:$Q,8,0)="-","",VLOOKUP('Funnel setup'!P392,'Provider Commission - Raw Data'!$A:$Q,8,0)),"")</f>
        <v/>
      </c>
      <c r="E379" s="251" t="str">
        <f>IF(ISNUMBER('Funnel setup'!P392),IF(VLOOKUP('Funnel setup'!P392,'Provider Commission - Raw Data'!$A:$Q,16,0)="-","",VLOOKUP('Funnel setup'!P392,'Provider Commission - Raw Data'!$A:$Q,16,0)),"")</f>
        <v/>
      </c>
      <c r="F379" s="177" t="str">
        <f>IF(AND(ISNUMBER('Funnel setup'!P392)),'Funnel setup'!$K$9,"")</f>
        <v/>
      </c>
      <c r="G379" s="177" t="str">
        <f>IF(AND(ISNUMBER('Funnel setup'!P392),D379&gt;=30,E379&lt;&gt;"*",D379&lt;&gt;""),F379-1.959963985 *('Funnel setup'!$K$8/SQRT('Funnel Data'!D379)),"")</f>
        <v/>
      </c>
      <c r="H379" s="177" t="str">
        <f>IF(AND(ISNUMBER('Funnel setup'!P392),D379&gt;=30,E379&lt;&gt;"*",D379&lt;&gt;""),F379+1.959963985 *('Funnel setup'!$K$8/SQRT('Funnel Data'!D379)),"")</f>
        <v/>
      </c>
      <c r="I379" s="177" t="str">
        <f>IF(AND(ISNUMBER('Funnel setup'!P392),D379&gt;=30,E379&lt;&gt;"*",D379&lt;&gt;""),F379-3.090232306 *('Funnel setup'!$K$8/SQRT('Funnel Data'!D379)),"")</f>
        <v/>
      </c>
      <c r="J379" s="177" t="str">
        <f>IF(AND(ISNUMBER('Funnel setup'!P392),D379&gt;=30,E379&lt;&gt;"*",D379&lt;&gt;""),F379+3.090232306 *('Funnel setup'!$K$8/SQRT('Funnel Data'!D379)),"")</f>
        <v/>
      </c>
      <c r="K379" s="178" t="str">
        <f>IF(AND(ISNUMBER('Funnel setup'!P392),D379&gt;=30,E379&lt;&gt;"*",D379&lt;&gt;""),IF(E379&gt;J379,'Funnel setup'!$K$15&amp;"99.8%",IF(E379&gt;H379,'Funnel setup'!$K$15&amp;"95%",IF(E379&lt;I379,'Funnel setup'!$K$16&amp;"99.8%",IF(E379&lt;G379,'Funnel setup'!$K$16&amp;"95%","")))),"")</f>
        <v/>
      </c>
    </row>
    <row r="380" spans="2:11" ht="15" customHeight="1" x14ac:dyDescent="0.35">
      <c r="B380" s="174" t="str">
        <f>IF(ISNUMBER('Funnel setup'!P393),VLOOKUP('Funnel setup'!$P393,'Provider Commission - Raw Data'!$A:$Q,5,0),"")</f>
        <v/>
      </c>
      <c r="C380" s="175" t="str">
        <f>IF(ISNUMBER('Funnel setup'!P393),VLOOKUP('Funnel setup'!P393,'Provider Commission - Raw Data'!$A:$Q,6,0),"")</f>
        <v/>
      </c>
      <c r="D380" s="176" t="str">
        <f>IF(ISNUMBER('Funnel setup'!P393),IF(VLOOKUP('Funnel setup'!P393,'Provider Commission - Raw Data'!$A:$Q,8,0)="-","",VLOOKUP('Funnel setup'!P393,'Provider Commission - Raw Data'!$A:$Q,8,0)),"")</f>
        <v/>
      </c>
      <c r="E380" s="251" t="str">
        <f>IF(ISNUMBER('Funnel setup'!P393),IF(VLOOKUP('Funnel setup'!P393,'Provider Commission - Raw Data'!$A:$Q,16,0)="-","",VLOOKUP('Funnel setup'!P393,'Provider Commission - Raw Data'!$A:$Q,16,0)),"")</f>
        <v/>
      </c>
      <c r="F380" s="177" t="str">
        <f>IF(AND(ISNUMBER('Funnel setup'!P393)),'Funnel setup'!$K$9,"")</f>
        <v/>
      </c>
      <c r="G380" s="177" t="str">
        <f>IF(AND(ISNUMBER('Funnel setup'!P393),D380&gt;=30,E380&lt;&gt;"*",D380&lt;&gt;""),F380-1.959963985 *('Funnel setup'!$K$8/SQRT('Funnel Data'!D380)),"")</f>
        <v/>
      </c>
      <c r="H380" s="177" t="str">
        <f>IF(AND(ISNUMBER('Funnel setup'!P393),D380&gt;=30,E380&lt;&gt;"*",D380&lt;&gt;""),F380+1.959963985 *('Funnel setup'!$K$8/SQRT('Funnel Data'!D380)),"")</f>
        <v/>
      </c>
      <c r="I380" s="177" t="str">
        <f>IF(AND(ISNUMBER('Funnel setup'!P393),D380&gt;=30,E380&lt;&gt;"*",D380&lt;&gt;""),F380-3.090232306 *('Funnel setup'!$K$8/SQRT('Funnel Data'!D380)),"")</f>
        <v/>
      </c>
      <c r="J380" s="177" t="str">
        <f>IF(AND(ISNUMBER('Funnel setup'!P393),D380&gt;=30,E380&lt;&gt;"*",D380&lt;&gt;""),F380+3.090232306 *('Funnel setup'!$K$8/SQRT('Funnel Data'!D380)),"")</f>
        <v/>
      </c>
      <c r="K380" s="178" t="str">
        <f>IF(AND(ISNUMBER('Funnel setup'!P393),D380&gt;=30,E380&lt;&gt;"*",D380&lt;&gt;""),IF(E380&gt;J380,'Funnel setup'!$K$15&amp;"99.8%",IF(E380&gt;H380,'Funnel setup'!$K$15&amp;"95%",IF(E380&lt;I380,'Funnel setup'!$K$16&amp;"99.8%",IF(E380&lt;G380,'Funnel setup'!$K$16&amp;"95%","")))),"")</f>
        <v/>
      </c>
    </row>
    <row r="381" spans="2:11" ht="15" customHeight="1" x14ac:dyDescent="0.35">
      <c r="B381" s="174" t="str">
        <f>IF(ISNUMBER('Funnel setup'!P394),VLOOKUP('Funnel setup'!$P394,'Provider Commission - Raw Data'!$A:$Q,5,0),"")</f>
        <v/>
      </c>
      <c r="C381" s="175" t="str">
        <f>IF(ISNUMBER('Funnel setup'!P394),VLOOKUP('Funnel setup'!P394,'Provider Commission - Raw Data'!$A:$Q,6,0),"")</f>
        <v/>
      </c>
      <c r="D381" s="176" t="str">
        <f>IF(ISNUMBER('Funnel setup'!P394),IF(VLOOKUP('Funnel setup'!P394,'Provider Commission - Raw Data'!$A:$Q,8,0)="-","",VLOOKUP('Funnel setup'!P394,'Provider Commission - Raw Data'!$A:$Q,8,0)),"")</f>
        <v/>
      </c>
      <c r="E381" s="251" t="str">
        <f>IF(ISNUMBER('Funnel setup'!P394),IF(VLOOKUP('Funnel setup'!P394,'Provider Commission - Raw Data'!$A:$Q,16,0)="-","",VLOOKUP('Funnel setup'!P394,'Provider Commission - Raw Data'!$A:$Q,16,0)),"")</f>
        <v/>
      </c>
      <c r="F381" s="177" t="str">
        <f>IF(AND(ISNUMBER('Funnel setup'!P394)),'Funnel setup'!$K$9,"")</f>
        <v/>
      </c>
      <c r="G381" s="177" t="str">
        <f>IF(AND(ISNUMBER('Funnel setup'!P394),D381&gt;=30,E381&lt;&gt;"*",D381&lt;&gt;""),F381-1.959963985 *('Funnel setup'!$K$8/SQRT('Funnel Data'!D381)),"")</f>
        <v/>
      </c>
      <c r="H381" s="177" t="str">
        <f>IF(AND(ISNUMBER('Funnel setup'!P394),D381&gt;=30,E381&lt;&gt;"*",D381&lt;&gt;""),F381+1.959963985 *('Funnel setup'!$K$8/SQRT('Funnel Data'!D381)),"")</f>
        <v/>
      </c>
      <c r="I381" s="177" t="str">
        <f>IF(AND(ISNUMBER('Funnel setup'!P394),D381&gt;=30,E381&lt;&gt;"*",D381&lt;&gt;""),F381-3.090232306 *('Funnel setup'!$K$8/SQRT('Funnel Data'!D381)),"")</f>
        <v/>
      </c>
      <c r="J381" s="177" t="str">
        <f>IF(AND(ISNUMBER('Funnel setup'!P394),D381&gt;=30,E381&lt;&gt;"*",D381&lt;&gt;""),F381+3.090232306 *('Funnel setup'!$K$8/SQRT('Funnel Data'!D381)),"")</f>
        <v/>
      </c>
      <c r="K381" s="178" t="str">
        <f>IF(AND(ISNUMBER('Funnel setup'!P394),D381&gt;=30,E381&lt;&gt;"*",D381&lt;&gt;""),IF(E381&gt;J381,'Funnel setup'!$K$15&amp;"99.8%",IF(E381&gt;H381,'Funnel setup'!$K$15&amp;"95%",IF(E381&lt;I381,'Funnel setup'!$K$16&amp;"99.8%",IF(E381&lt;G381,'Funnel setup'!$K$16&amp;"95%","")))),"")</f>
        <v/>
      </c>
    </row>
    <row r="382" spans="2:11" ht="15" customHeight="1" x14ac:dyDescent="0.35">
      <c r="B382" s="174" t="str">
        <f>IF(ISNUMBER('Funnel setup'!P395),VLOOKUP('Funnel setup'!$P395,'Provider Commission - Raw Data'!$A:$Q,5,0),"")</f>
        <v/>
      </c>
      <c r="C382" s="175" t="str">
        <f>IF(ISNUMBER('Funnel setup'!P395),VLOOKUP('Funnel setup'!P395,'Provider Commission - Raw Data'!$A:$Q,6,0),"")</f>
        <v/>
      </c>
      <c r="D382" s="176" t="str">
        <f>IF(ISNUMBER('Funnel setup'!P395),IF(VLOOKUP('Funnel setup'!P395,'Provider Commission - Raw Data'!$A:$Q,8,0)="-","",VLOOKUP('Funnel setup'!P395,'Provider Commission - Raw Data'!$A:$Q,8,0)),"")</f>
        <v/>
      </c>
      <c r="E382" s="251" t="str">
        <f>IF(ISNUMBER('Funnel setup'!P395),IF(VLOOKUP('Funnel setup'!P395,'Provider Commission - Raw Data'!$A:$Q,16,0)="-","",VLOOKUP('Funnel setup'!P395,'Provider Commission - Raw Data'!$A:$Q,16,0)),"")</f>
        <v/>
      </c>
      <c r="F382" s="177" t="str">
        <f>IF(AND(ISNUMBER('Funnel setup'!P395)),'Funnel setup'!$K$9,"")</f>
        <v/>
      </c>
      <c r="G382" s="177" t="str">
        <f>IF(AND(ISNUMBER('Funnel setup'!P395),D382&gt;=30,E382&lt;&gt;"*",D382&lt;&gt;""),F382-1.959963985 *('Funnel setup'!$K$8/SQRT('Funnel Data'!D382)),"")</f>
        <v/>
      </c>
      <c r="H382" s="177" t="str">
        <f>IF(AND(ISNUMBER('Funnel setup'!P395),D382&gt;=30,E382&lt;&gt;"*",D382&lt;&gt;""),F382+1.959963985 *('Funnel setup'!$K$8/SQRT('Funnel Data'!D382)),"")</f>
        <v/>
      </c>
      <c r="I382" s="177" t="str">
        <f>IF(AND(ISNUMBER('Funnel setup'!P395),D382&gt;=30,E382&lt;&gt;"*",D382&lt;&gt;""),F382-3.090232306 *('Funnel setup'!$K$8/SQRT('Funnel Data'!D382)),"")</f>
        <v/>
      </c>
      <c r="J382" s="177" t="str">
        <f>IF(AND(ISNUMBER('Funnel setup'!P395),D382&gt;=30,E382&lt;&gt;"*",D382&lt;&gt;""),F382+3.090232306 *('Funnel setup'!$K$8/SQRT('Funnel Data'!D382)),"")</f>
        <v/>
      </c>
      <c r="K382" s="178" t="str">
        <f>IF(AND(ISNUMBER('Funnel setup'!P395),D382&gt;=30,E382&lt;&gt;"*",D382&lt;&gt;""),IF(E382&gt;J382,'Funnel setup'!$K$15&amp;"99.8%",IF(E382&gt;H382,'Funnel setup'!$K$15&amp;"95%",IF(E382&lt;I382,'Funnel setup'!$K$16&amp;"99.8%",IF(E382&lt;G382,'Funnel setup'!$K$16&amp;"95%","")))),"")</f>
        <v/>
      </c>
    </row>
    <row r="383" spans="2:11" ht="15" customHeight="1" x14ac:dyDescent="0.35">
      <c r="B383" s="174" t="str">
        <f>IF(ISNUMBER('Funnel setup'!P396),VLOOKUP('Funnel setup'!$P396,'Provider Commission - Raw Data'!$A:$Q,5,0),"")</f>
        <v/>
      </c>
      <c r="C383" s="175" t="str">
        <f>IF(ISNUMBER('Funnel setup'!P396),VLOOKUP('Funnel setup'!P396,'Provider Commission - Raw Data'!$A:$Q,6,0),"")</f>
        <v/>
      </c>
      <c r="D383" s="176" t="str">
        <f>IF(ISNUMBER('Funnel setup'!P396),IF(VLOOKUP('Funnel setup'!P396,'Provider Commission - Raw Data'!$A:$Q,8,0)="-","",VLOOKUP('Funnel setup'!P396,'Provider Commission - Raw Data'!$A:$Q,8,0)),"")</f>
        <v/>
      </c>
      <c r="E383" s="251" t="str">
        <f>IF(ISNUMBER('Funnel setup'!P396),IF(VLOOKUP('Funnel setup'!P396,'Provider Commission - Raw Data'!$A:$Q,16,0)="-","",VLOOKUP('Funnel setup'!P396,'Provider Commission - Raw Data'!$A:$Q,16,0)),"")</f>
        <v/>
      </c>
      <c r="F383" s="177" t="str">
        <f>IF(AND(ISNUMBER('Funnel setup'!P396)),'Funnel setup'!$K$9,"")</f>
        <v/>
      </c>
      <c r="G383" s="177" t="str">
        <f>IF(AND(ISNUMBER('Funnel setup'!P396),D383&gt;=30,E383&lt;&gt;"*",D383&lt;&gt;""),F383-1.959963985 *('Funnel setup'!$K$8/SQRT('Funnel Data'!D383)),"")</f>
        <v/>
      </c>
      <c r="H383" s="177" t="str">
        <f>IF(AND(ISNUMBER('Funnel setup'!P396),D383&gt;=30,E383&lt;&gt;"*",D383&lt;&gt;""),F383+1.959963985 *('Funnel setup'!$K$8/SQRT('Funnel Data'!D383)),"")</f>
        <v/>
      </c>
      <c r="I383" s="177" t="str">
        <f>IF(AND(ISNUMBER('Funnel setup'!P396),D383&gt;=30,E383&lt;&gt;"*",D383&lt;&gt;""),F383-3.090232306 *('Funnel setup'!$K$8/SQRT('Funnel Data'!D383)),"")</f>
        <v/>
      </c>
      <c r="J383" s="177" t="str">
        <f>IF(AND(ISNUMBER('Funnel setup'!P396),D383&gt;=30,E383&lt;&gt;"*",D383&lt;&gt;""),F383+3.090232306 *('Funnel setup'!$K$8/SQRT('Funnel Data'!D383)),"")</f>
        <v/>
      </c>
      <c r="K383" s="178" t="str">
        <f>IF(AND(ISNUMBER('Funnel setup'!P396),D383&gt;=30,E383&lt;&gt;"*",D383&lt;&gt;""),IF(E383&gt;J383,'Funnel setup'!$K$15&amp;"99.8%",IF(E383&gt;H383,'Funnel setup'!$K$15&amp;"95%",IF(E383&lt;I383,'Funnel setup'!$K$16&amp;"99.8%",IF(E383&lt;G383,'Funnel setup'!$K$16&amp;"95%","")))),"")</f>
        <v/>
      </c>
    </row>
    <row r="384" spans="2:11" ht="15" customHeight="1" x14ac:dyDescent="0.35">
      <c r="B384" s="174" t="str">
        <f>IF(ISNUMBER('Funnel setup'!P397),VLOOKUP('Funnel setup'!$P397,'Provider Commission - Raw Data'!$A:$Q,5,0),"")</f>
        <v/>
      </c>
      <c r="C384" s="175" t="str">
        <f>IF(ISNUMBER('Funnel setup'!P397),VLOOKUP('Funnel setup'!P397,'Provider Commission - Raw Data'!$A:$Q,6,0),"")</f>
        <v/>
      </c>
      <c r="D384" s="176" t="str">
        <f>IF(ISNUMBER('Funnel setup'!P397),IF(VLOOKUP('Funnel setup'!P397,'Provider Commission - Raw Data'!$A:$Q,8,0)="-","",VLOOKUP('Funnel setup'!P397,'Provider Commission - Raw Data'!$A:$Q,8,0)),"")</f>
        <v/>
      </c>
      <c r="E384" s="251" t="str">
        <f>IF(ISNUMBER('Funnel setup'!P397),IF(VLOOKUP('Funnel setup'!P397,'Provider Commission - Raw Data'!$A:$Q,16,0)="-","",VLOOKUP('Funnel setup'!P397,'Provider Commission - Raw Data'!$A:$Q,16,0)),"")</f>
        <v/>
      </c>
      <c r="F384" s="177" t="str">
        <f>IF(AND(ISNUMBER('Funnel setup'!P397)),'Funnel setup'!$K$9,"")</f>
        <v/>
      </c>
      <c r="G384" s="177" t="str">
        <f>IF(AND(ISNUMBER('Funnel setup'!P397),D384&gt;=30,E384&lt;&gt;"*",D384&lt;&gt;""),F384-1.959963985 *('Funnel setup'!$K$8/SQRT('Funnel Data'!D384)),"")</f>
        <v/>
      </c>
      <c r="H384" s="177" t="str">
        <f>IF(AND(ISNUMBER('Funnel setup'!P397),D384&gt;=30,E384&lt;&gt;"*",D384&lt;&gt;""),F384+1.959963985 *('Funnel setup'!$K$8/SQRT('Funnel Data'!D384)),"")</f>
        <v/>
      </c>
      <c r="I384" s="177" t="str">
        <f>IF(AND(ISNUMBER('Funnel setup'!P397),D384&gt;=30,E384&lt;&gt;"*",D384&lt;&gt;""),F384-3.090232306 *('Funnel setup'!$K$8/SQRT('Funnel Data'!D384)),"")</f>
        <v/>
      </c>
      <c r="J384" s="177" t="str">
        <f>IF(AND(ISNUMBER('Funnel setup'!P397),D384&gt;=30,E384&lt;&gt;"*",D384&lt;&gt;""),F384+3.090232306 *('Funnel setup'!$K$8/SQRT('Funnel Data'!D384)),"")</f>
        <v/>
      </c>
      <c r="K384" s="178" t="str">
        <f>IF(AND(ISNUMBER('Funnel setup'!P397),D384&gt;=30,E384&lt;&gt;"*",D384&lt;&gt;""),IF(E384&gt;J384,'Funnel setup'!$K$15&amp;"99.8%",IF(E384&gt;H384,'Funnel setup'!$K$15&amp;"95%",IF(E384&lt;I384,'Funnel setup'!$K$16&amp;"99.8%",IF(E384&lt;G384,'Funnel setup'!$K$16&amp;"95%","")))),"")</f>
        <v/>
      </c>
    </row>
    <row r="385" spans="2:11" ht="15" customHeight="1" x14ac:dyDescent="0.35">
      <c r="B385" s="174" t="str">
        <f>IF(ISNUMBER('Funnel setup'!P398),VLOOKUP('Funnel setup'!$P398,'Provider Commission - Raw Data'!$A:$Q,5,0),"")</f>
        <v/>
      </c>
      <c r="C385" s="175" t="str">
        <f>IF(ISNUMBER('Funnel setup'!P398),VLOOKUP('Funnel setup'!P398,'Provider Commission - Raw Data'!$A:$Q,6,0),"")</f>
        <v/>
      </c>
      <c r="D385" s="176" t="str">
        <f>IF(ISNUMBER('Funnel setup'!P398),IF(VLOOKUP('Funnel setup'!P398,'Provider Commission - Raw Data'!$A:$Q,8,0)="-","",VLOOKUP('Funnel setup'!P398,'Provider Commission - Raw Data'!$A:$Q,8,0)),"")</f>
        <v/>
      </c>
      <c r="E385" s="251" t="str">
        <f>IF(ISNUMBER('Funnel setup'!P398),IF(VLOOKUP('Funnel setup'!P398,'Provider Commission - Raw Data'!$A:$Q,16,0)="-","",VLOOKUP('Funnel setup'!P398,'Provider Commission - Raw Data'!$A:$Q,16,0)),"")</f>
        <v/>
      </c>
      <c r="F385" s="177" t="str">
        <f>IF(AND(ISNUMBER('Funnel setup'!P398)),'Funnel setup'!$K$9,"")</f>
        <v/>
      </c>
      <c r="G385" s="177" t="str">
        <f>IF(AND(ISNUMBER('Funnel setup'!P398),D385&gt;=30,E385&lt;&gt;"*",D385&lt;&gt;""),F385-1.959963985 *('Funnel setup'!$K$8/SQRT('Funnel Data'!D385)),"")</f>
        <v/>
      </c>
      <c r="H385" s="177" t="str">
        <f>IF(AND(ISNUMBER('Funnel setup'!P398),D385&gt;=30,E385&lt;&gt;"*",D385&lt;&gt;""),F385+1.959963985 *('Funnel setup'!$K$8/SQRT('Funnel Data'!D385)),"")</f>
        <v/>
      </c>
      <c r="I385" s="177" t="str">
        <f>IF(AND(ISNUMBER('Funnel setup'!P398),D385&gt;=30,E385&lt;&gt;"*",D385&lt;&gt;""),F385-3.090232306 *('Funnel setup'!$K$8/SQRT('Funnel Data'!D385)),"")</f>
        <v/>
      </c>
      <c r="J385" s="177" t="str">
        <f>IF(AND(ISNUMBER('Funnel setup'!P398),D385&gt;=30,E385&lt;&gt;"*",D385&lt;&gt;""),F385+3.090232306 *('Funnel setup'!$K$8/SQRT('Funnel Data'!D385)),"")</f>
        <v/>
      </c>
      <c r="K385" s="178" t="str">
        <f>IF(AND(ISNUMBER('Funnel setup'!P398),D385&gt;=30,E385&lt;&gt;"*",D385&lt;&gt;""),IF(E385&gt;J385,'Funnel setup'!$K$15&amp;"99.8%",IF(E385&gt;H385,'Funnel setup'!$K$15&amp;"95%",IF(E385&lt;I385,'Funnel setup'!$K$16&amp;"99.8%",IF(E385&lt;G385,'Funnel setup'!$K$16&amp;"95%","")))),"")</f>
        <v/>
      </c>
    </row>
    <row r="386" spans="2:11" ht="15" customHeight="1" x14ac:dyDescent="0.35">
      <c r="B386" s="174" t="str">
        <f>IF(ISNUMBER('Funnel setup'!P399),VLOOKUP('Funnel setup'!$P399,'Provider Commission - Raw Data'!$A:$Q,5,0),"")</f>
        <v/>
      </c>
      <c r="C386" s="175" t="str">
        <f>IF(ISNUMBER('Funnel setup'!P399),VLOOKUP('Funnel setup'!P399,'Provider Commission - Raw Data'!$A:$Q,6,0),"")</f>
        <v/>
      </c>
      <c r="D386" s="176" t="str">
        <f>IF(ISNUMBER('Funnel setup'!P399),IF(VLOOKUP('Funnel setup'!P399,'Provider Commission - Raw Data'!$A:$Q,8,0)="-","",VLOOKUP('Funnel setup'!P399,'Provider Commission - Raw Data'!$A:$Q,8,0)),"")</f>
        <v/>
      </c>
      <c r="E386" s="251" t="str">
        <f>IF(ISNUMBER('Funnel setup'!P399),IF(VLOOKUP('Funnel setup'!P399,'Provider Commission - Raw Data'!$A:$Q,16,0)="-","",VLOOKUP('Funnel setup'!P399,'Provider Commission - Raw Data'!$A:$Q,16,0)),"")</f>
        <v/>
      </c>
      <c r="F386" s="177" t="str">
        <f>IF(AND(ISNUMBER('Funnel setup'!P399)),'Funnel setup'!$K$9,"")</f>
        <v/>
      </c>
      <c r="G386" s="177" t="str">
        <f>IF(AND(ISNUMBER('Funnel setup'!P399),D386&gt;=30,E386&lt;&gt;"*",D386&lt;&gt;""),F386-1.959963985 *('Funnel setup'!$K$8/SQRT('Funnel Data'!D386)),"")</f>
        <v/>
      </c>
      <c r="H386" s="177" t="str">
        <f>IF(AND(ISNUMBER('Funnel setup'!P399),D386&gt;=30,E386&lt;&gt;"*",D386&lt;&gt;""),F386+1.959963985 *('Funnel setup'!$K$8/SQRT('Funnel Data'!D386)),"")</f>
        <v/>
      </c>
      <c r="I386" s="177" t="str">
        <f>IF(AND(ISNUMBER('Funnel setup'!P399),D386&gt;=30,E386&lt;&gt;"*",D386&lt;&gt;""),F386-3.090232306 *('Funnel setup'!$K$8/SQRT('Funnel Data'!D386)),"")</f>
        <v/>
      </c>
      <c r="J386" s="177" t="str">
        <f>IF(AND(ISNUMBER('Funnel setup'!P399),D386&gt;=30,E386&lt;&gt;"*",D386&lt;&gt;""),F386+3.090232306 *('Funnel setup'!$K$8/SQRT('Funnel Data'!D386)),"")</f>
        <v/>
      </c>
      <c r="K386" s="178" t="str">
        <f>IF(AND(ISNUMBER('Funnel setup'!P399),D386&gt;=30,E386&lt;&gt;"*",D386&lt;&gt;""),IF(E386&gt;J386,'Funnel setup'!$K$15&amp;"99.8%",IF(E386&gt;H386,'Funnel setup'!$K$15&amp;"95%",IF(E386&lt;I386,'Funnel setup'!$K$16&amp;"99.8%",IF(E386&lt;G386,'Funnel setup'!$K$16&amp;"95%","")))),"")</f>
        <v/>
      </c>
    </row>
    <row r="387" spans="2:11" ht="15" customHeight="1" x14ac:dyDescent="0.35">
      <c r="B387" s="174" t="str">
        <f>IF(ISNUMBER('Funnel setup'!P400),VLOOKUP('Funnel setup'!$P400,'Provider Commission - Raw Data'!$A:$Q,5,0),"")</f>
        <v/>
      </c>
      <c r="C387" s="175" t="str">
        <f>IF(ISNUMBER('Funnel setup'!P400),VLOOKUP('Funnel setup'!P400,'Provider Commission - Raw Data'!$A:$Q,6,0),"")</f>
        <v/>
      </c>
      <c r="D387" s="176" t="str">
        <f>IF(ISNUMBER('Funnel setup'!P400),IF(VLOOKUP('Funnel setup'!P400,'Provider Commission - Raw Data'!$A:$Q,8,0)="-","",VLOOKUP('Funnel setup'!P400,'Provider Commission - Raw Data'!$A:$Q,8,0)),"")</f>
        <v/>
      </c>
      <c r="E387" s="251" t="str">
        <f>IF(ISNUMBER('Funnel setup'!P400),IF(VLOOKUP('Funnel setup'!P400,'Provider Commission - Raw Data'!$A:$Q,16,0)="-","",VLOOKUP('Funnel setup'!P400,'Provider Commission - Raw Data'!$A:$Q,16,0)),"")</f>
        <v/>
      </c>
      <c r="F387" s="177" t="str">
        <f>IF(AND(ISNUMBER('Funnel setup'!P400)),'Funnel setup'!$K$9,"")</f>
        <v/>
      </c>
      <c r="G387" s="177" t="str">
        <f>IF(AND(ISNUMBER('Funnel setup'!P400),D387&gt;=30,E387&lt;&gt;"*",D387&lt;&gt;""),F387-1.959963985 *('Funnel setup'!$K$8/SQRT('Funnel Data'!D387)),"")</f>
        <v/>
      </c>
      <c r="H387" s="177" t="str">
        <f>IF(AND(ISNUMBER('Funnel setup'!P400),D387&gt;=30,E387&lt;&gt;"*",D387&lt;&gt;""),F387+1.959963985 *('Funnel setup'!$K$8/SQRT('Funnel Data'!D387)),"")</f>
        <v/>
      </c>
      <c r="I387" s="177" t="str">
        <f>IF(AND(ISNUMBER('Funnel setup'!P400),D387&gt;=30,E387&lt;&gt;"*",D387&lt;&gt;""),F387-3.090232306 *('Funnel setup'!$K$8/SQRT('Funnel Data'!D387)),"")</f>
        <v/>
      </c>
      <c r="J387" s="177" t="str">
        <f>IF(AND(ISNUMBER('Funnel setup'!P400),D387&gt;=30,E387&lt;&gt;"*",D387&lt;&gt;""),F387+3.090232306 *('Funnel setup'!$K$8/SQRT('Funnel Data'!D387)),"")</f>
        <v/>
      </c>
      <c r="K387" s="178" t="str">
        <f>IF(AND(ISNUMBER('Funnel setup'!P400),D387&gt;=30,E387&lt;&gt;"*",D387&lt;&gt;""),IF(E387&gt;J387,'Funnel setup'!$K$15&amp;"99.8%",IF(E387&gt;H387,'Funnel setup'!$K$15&amp;"95%",IF(E387&lt;I387,'Funnel setup'!$K$16&amp;"99.8%",IF(E387&lt;G387,'Funnel setup'!$K$16&amp;"95%","")))),"")</f>
        <v/>
      </c>
    </row>
    <row r="388" spans="2:11" ht="15" customHeight="1" x14ac:dyDescent="0.35">
      <c r="B388" s="174" t="str">
        <f>IF(ISNUMBER('Funnel setup'!P401),VLOOKUP('Funnel setup'!$P401,'Provider Commission - Raw Data'!$A:$Q,5,0),"")</f>
        <v/>
      </c>
      <c r="C388" s="175" t="str">
        <f>IF(ISNUMBER('Funnel setup'!P401),VLOOKUP('Funnel setup'!P401,'Provider Commission - Raw Data'!$A:$Q,6,0),"")</f>
        <v/>
      </c>
      <c r="D388" s="176" t="str">
        <f>IF(ISNUMBER('Funnel setup'!P401),IF(VLOOKUP('Funnel setup'!P401,'Provider Commission - Raw Data'!$A:$Q,8,0)="-","",VLOOKUP('Funnel setup'!P401,'Provider Commission - Raw Data'!$A:$Q,8,0)),"")</f>
        <v/>
      </c>
      <c r="E388" s="251" t="str">
        <f>IF(ISNUMBER('Funnel setup'!P401),IF(VLOOKUP('Funnel setup'!P401,'Provider Commission - Raw Data'!$A:$Q,16,0)="-","",VLOOKUP('Funnel setup'!P401,'Provider Commission - Raw Data'!$A:$Q,16,0)),"")</f>
        <v/>
      </c>
      <c r="F388" s="177" t="str">
        <f>IF(AND(ISNUMBER('Funnel setup'!P401)),'Funnel setup'!$K$9,"")</f>
        <v/>
      </c>
      <c r="G388" s="177" t="str">
        <f>IF(AND(ISNUMBER('Funnel setup'!P401),D388&gt;=30,E388&lt;&gt;"*",D388&lt;&gt;""),F388-1.959963985 *('Funnel setup'!$K$8/SQRT('Funnel Data'!D388)),"")</f>
        <v/>
      </c>
      <c r="H388" s="177" t="str">
        <f>IF(AND(ISNUMBER('Funnel setup'!P401),D388&gt;=30,E388&lt;&gt;"*",D388&lt;&gt;""),F388+1.959963985 *('Funnel setup'!$K$8/SQRT('Funnel Data'!D388)),"")</f>
        <v/>
      </c>
      <c r="I388" s="177" t="str">
        <f>IF(AND(ISNUMBER('Funnel setup'!P401),D388&gt;=30,E388&lt;&gt;"*",D388&lt;&gt;""),F388-3.090232306 *('Funnel setup'!$K$8/SQRT('Funnel Data'!D388)),"")</f>
        <v/>
      </c>
      <c r="J388" s="177" t="str">
        <f>IF(AND(ISNUMBER('Funnel setup'!P401),D388&gt;=30,E388&lt;&gt;"*",D388&lt;&gt;""),F388+3.090232306 *('Funnel setup'!$K$8/SQRT('Funnel Data'!D388)),"")</f>
        <v/>
      </c>
      <c r="K388" s="178" t="str">
        <f>IF(AND(ISNUMBER('Funnel setup'!P401),D388&gt;=30,E388&lt;&gt;"*",D388&lt;&gt;""),IF(E388&gt;J388,'Funnel setup'!$K$15&amp;"99.8%",IF(E388&gt;H388,'Funnel setup'!$K$15&amp;"95%",IF(E388&lt;I388,'Funnel setup'!$K$16&amp;"99.8%",IF(E388&lt;G388,'Funnel setup'!$K$16&amp;"95%","")))),"")</f>
        <v/>
      </c>
    </row>
    <row r="389" spans="2:11" ht="15" customHeight="1" x14ac:dyDescent="0.35">
      <c r="B389" s="174" t="str">
        <f>IF(ISNUMBER('Funnel setup'!P402),VLOOKUP('Funnel setup'!$P402,'Provider Commission - Raw Data'!$A:$Q,5,0),"")</f>
        <v/>
      </c>
      <c r="C389" s="175" t="str">
        <f>IF(ISNUMBER('Funnel setup'!P402),VLOOKUP('Funnel setup'!P402,'Provider Commission - Raw Data'!$A:$Q,6,0),"")</f>
        <v/>
      </c>
      <c r="D389" s="176" t="str">
        <f>IF(ISNUMBER('Funnel setup'!P402),IF(VLOOKUP('Funnel setup'!P402,'Provider Commission - Raw Data'!$A:$Q,8,0)="-","",VLOOKUP('Funnel setup'!P402,'Provider Commission - Raw Data'!$A:$Q,8,0)),"")</f>
        <v/>
      </c>
      <c r="E389" s="251" t="str">
        <f>IF(ISNUMBER('Funnel setup'!P402),IF(VLOOKUP('Funnel setup'!P402,'Provider Commission - Raw Data'!$A:$Q,16,0)="-","",VLOOKUP('Funnel setup'!P402,'Provider Commission - Raw Data'!$A:$Q,16,0)),"")</f>
        <v/>
      </c>
      <c r="F389" s="177" t="str">
        <f>IF(AND(ISNUMBER('Funnel setup'!P402)),'Funnel setup'!$K$9,"")</f>
        <v/>
      </c>
      <c r="G389" s="177" t="str">
        <f>IF(AND(ISNUMBER('Funnel setup'!P402),D389&gt;=30,E389&lt;&gt;"*",D389&lt;&gt;""),F389-1.959963985 *('Funnel setup'!$K$8/SQRT('Funnel Data'!D389)),"")</f>
        <v/>
      </c>
      <c r="H389" s="177" t="str">
        <f>IF(AND(ISNUMBER('Funnel setup'!P402),D389&gt;=30,E389&lt;&gt;"*",D389&lt;&gt;""),F389+1.959963985 *('Funnel setup'!$K$8/SQRT('Funnel Data'!D389)),"")</f>
        <v/>
      </c>
      <c r="I389" s="177" t="str">
        <f>IF(AND(ISNUMBER('Funnel setup'!P402),D389&gt;=30,E389&lt;&gt;"*",D389&lt;&gt;""),F389-3.090232306 *('Funnel setup'!$K$8/SQRT('Funnel Data'!D389)),"")</f>
        <v/>
      </c>
      <c r="J389" s="177" t="str">
        <f>IF(AND(ISNUMBER('Funnel setup'!P402),D389&gt;=30,E389&lt;&gt;"*",D389&lt;&gt;""),F389+3.090232306 *('Funnel setup'!$K$8/SQRT('Funnel Data'!D389)),"")</f>
        <v/>
      </c>
      <c r="K389" s="178" t="str">
        <f>IF(AND(ISNUMBER('Funnel setup'!P402),D389&gt;=30,E389&lt;&gt;"*",D389&lt;&gt;""),IF(E389&gt;J389,'Funnel setup'!$K$15&amp;"99.8%",IF(E389&gt;H389,'Funnel setup'!$K$15&amp;"95%",IF(E389&lt;I389,'Funnel setup'!$K$16&amp;"99.8%",IF(E389&lt;G389,'Funnel setup'!$K$16&amp;"95%","")))),"")</f>
        <v/>
      </c>
    </row>
    <row r="390" spans="2:11" ht="15" customHeight="1" x14ac:dyDescent="0.35">
      <c r="B390" s="174" t="str">
        <f>IF(ISNUMBER('Funnel setup'!P403),VLOOKUP('Funnel setup'!$P403,'Provider Commission - Raw Data'!$A:$Q,5,0),"")</f>
        <v/>
      </c>
      <c r="C390" s="175" t="str">
        <f>IF(ISNUMBER('Funnel setup'!P403),VLOOKUP('Funnel setup'!P403,'Provider Commission - Raw Data'!$A:$Q,6,0),"")</f>
        <v/>
      </c>
      <c r="D390" s="176" t="str">
        <f>IF(ISNUMBER('Funnel setup'!P403),IF(VLOOKUP('Funnel setup'!P403,'Provider Commission - Raw Data'!$A:$Q,8,0)="-","",VLOOKUP('Funnel setup'!P403,'Provider Commission - Raw Data'!$A:$Q,8,0)),"")</f>
        <v/>
      </c>
      <c r="E390" s="251" t="str">
        <f>IF(ISNUMBER('Funnel setup'!P403),IF(VLOOKUP('Funnel setup'!P403,'Provider Commission - Raw Data'!$A:$Q,16,0)="-","",VLOOKUP('Funnel setup'!P403,'Provider Commission - Raw Data'!$A:$Q,16,0)),"")</f>
        <v/>
      </c>
      <c r="F390" s="177" t="str">
        <f>IF(AND(ISNUMBER('Funnel setup'!P403)),'Funnel setup'!$K$9,"")</f>
        <v/>
      </c>
      <c r="G390" s="177" t="str">
        <f>IF(AND(ISNUMBER('Funnel setup'!P403),D390&gt;=30,E390&lt;&gt;"*",D390&lt;&gt;""),F390-1.959963985 *('Funnel setup'!$K$8/SQRT('Funnel Data'!D390)),"")</f>
        <v/>
      </c>
      <c r="H390" s="177" t="str">
        <f>IF(AND(ISNUMBER('Funnel setup'!P403),D390&gt;=30,E390&lt;&gt;"*",D390&lt;&gt;""),F390+1.959963985 *('Funnel setup'!$K$8/SQRT('Funnel Data'!D390)),"")</f>
        <v/>
      </c>
      <c r="I390" s="177" t="str">
        <f>IF(AND(ISNUMBER('Funnel setup'!P403),D390&gt;=30,E390&lt;&gt;"*",D390&lt;&gt;""),F390-3.090232306 *('Funnel setup'!$K$8/SQRT('Funnel Data'!D390)),"")</f>
        <v/>
      </c>
      <c r="J390" s="177" t="str">
        <f>IF(AND(ISNUMBER('Funnel setup'!P403),D390&gt;=30,E390&lt;&gt;"*",D390&lt;&gt;""),F390+3.090232306 *('Funnel setup'!$K$8/SQRT('Funnel Data'!D390)),"")</f>
        <v/>
      </c>
      <c r="K390" s="178" t="str">
        <f>IF(AND(ISNUMBER('Funnel setup'!P403),D390&gt;=30,E390&lt;&gt;"*",D390&lt;&gt;""),IF(E390&gt;J390,'Funnel setup'!$K$15&amp;"99.8%",IF(E390&gt;H390,'Funnel setup'!$K$15&amp;"95%",IF(E390&lt;I390,'Funnel setup'!$K$16&amp;"99.8%",IF(E390&lt;G390,'Funnel setup'!$K$16&amp;"95%","")))),"")</f>
        <v/>
      </c>
    </row>
    <row r="391" spans="2:11" ht="15" customHeight="1" x14ac:dyDescent="0.35">
      <c r="B391" s="174" t="str">
        <f>IF(ISNUMBER('Funnel setup'!P404),VLOOKUP('Funnel setup'!$P404,'Provider Commission - Raw Data'!$A:$Q,5,0),"")</f>
        <v/>
      </c>
      <c r="C391" s="175" t="str">
        <f>IF(ISNUMBER('Funnel setup'!P404),VLOOKUP('Funnel setup'!P404,'Provider Commission - Raw Data'!$A:$Q,6,0),"")</f>
        <v/>
      </c>
      <c r="D391" s="176" t="str">
        <f>IF(ISNUMBER('Funnel setup'!P404),IF(VLOOKUP('Funnel setup'!P404,'Provider Commission - Raw Data'!$A:$Q,8,0)="-","",VLOOKUP('Funnel setup'!P404,'Provider Commission - Raw Data'!$A:$Q,8,0)),"")</f>
        <v/>
      </c>
      <c r="E391" s="251" t="str">
        <f>IF(ISNUMBER('Funnel setup'!P404),IF(VLOOKUP('Funnel setup'!P404,'Provider Commission - Raw Data'!$A:$Q,16,0)="-","",VLOOKUP('Funnel setup'!P404,'Provider Commission - Raw Data'!$A:$Q,16,0)),"")</f>
        <v/>
      </c>
      <c r="F391" s="177" t="str">
        <f>IF(AND(ISNUMBER('Funnel setup'!P404)),'Funnel setup'!$K$9,"")</f>
        <v/>
      </c>
      <c r="G391" s="177" t="str">
        <f>IF(AND(ISNUMBER('Funnel setup'!P404),D391&gt;=30,E391&lt;&gt;"*",D391&lt;&gt;""),F391-1.959963985 *('Funnel setup'!$K$8/SQRT('Funnel Data'!D391)),"")</f>
        <v/>
      </c>
      <c r="H391" s="177" t="str">
        <f>IF(AND(ISNUMBER('Funnel setup'!P404),D391&gt;=30,E391&lt;&gt;"*",D391&lt;&gt;""),F391+1.959963985 *('Funnel setup'!$K$8/SQRT('Funnel Data'!D391)),"")</f>
        <v/>
      </c>
      <c r="I391" s="177" t="str">
        <f>IF(AND(ISNUMBER('Funnel setup'!P404),D391&gt;=30,E391&lt;&gt;"*",D391&lt;&gt;""),F391-3.090232306 *('Funnel setup'!$K$8/SQRT('Funnel Data'!D391)),"")</f>
        <v/>
      </c>
      <c r="J391" s="177" t="str">
        <f>IF(AND(ISNUMBER('Funnel setup'!P404),D391&gt;=30,E391&lt;&gt;"*",D391&lt;&gt;""),F391+3.090232306 *('Funnel setup'!$K$8/SQRT('Funnel Data'!D391)),"")</f>
        <v/>
      </c>
      <c r="K391" s="178" t="str">
        <f>IF(AND(ISNUMBER('Funnel setup'!P404),D391&gt;=30,E391&lt;&gt;"*",D391&lt;&gt;""),IF(E391&gt;J391,'Funnel setup'!$K$15&amp;"99.8%",IF(E391&gt;H391,'Funnel setup'!$K$15&amp;"95%",IF(E391&lt;I391,'Funnel setup'!$K$16&amp;"99.8%",IF(E391&lt;G391,'Funnel setup'!$K$16&amp;"95%","")))),"")</f>
        <v/>
      </c>
    </row>
    <row r="392" spans="2:11" ht="15" customHeight="1" x14ac:dyDescent="0.35">
      <c r="B392" s="174" t="str">
        <f>IF(ISNUMBER('Funnel setup'!P405),VLOOKUP('Funnel setup'!$P405,'Provider Commission - Raw Data'!$A:$Q,5,0),"")</f>
        <v/>
      </c>
      <c r="C392" s="175" t="str">
        <f>IF(ISNUMBER('Funnel setup'!P405),VLOOKUP('Funnel setup'!P405,'Provider Commission - Raw Data'!$A:$Q,6,0),"")</f>
        <v/>
      </c>
      <c r="D392" s="176" t="str">
        <f>IF(ISNUMBER('Funnel setup'!P405),IF(VLOOKUP('Funnel setup'!P405,'Provider Commission - Raw Data'!$A:$Q,8,0)="-","",VLOOKUP('Funnel setup'!P405,'Provider Commission - Raw Data'!$A:$Q,8,0)),"")</f>
        <v/>
      </c>
      <c r="E392" s="251" t="str">
        <f>IF(ISNUMBER('Funnel setup'!P405),IF(VLOOKUP('Funnel setup'!P405,'Provider Commission - Raw Data'!$A:$Q,16,0)="-","",VLOOKUP('Funnel setup'!P405,'Provider Commission - Raw Data'!$A:$Q,16,0)),"")</f>
        <v/>
      </c>
      <c r="F392" s="177" t="str">
        <f>IF(AND(ISNUMBER('Funnel setup'!P405)),'Funnel setup'!$K$9,"")</f>
        <v/>
      </c>
      <c r="G392" s="177" t="str">
        <f>IF(AND(ISNUMBER('Funnel setup'!P405),D392&gt;=30,E392&lt;&gt;"*",D392&lt;&gt;""),F392-1.959963985 *('Funnel setup'!$K$8/SQRT('Funnel Data'!D392)),"")</f>
        <v/>
      </c>
      <c r="H392" s="177" t="str">
        <f>IF(AND(ISNUMBER('Funnel setup'!P405),D392&gt;=30,E392&lt;&gt;"*",D392&lt;&gt;""),F392+1.959963985 *('Funnel setup'!$K$8/SQRT('Funnel Data'!D392)),"")</f>
        <v/>
      </c>
      <c r="I392" s="177" t="str">
        <f>IF(AND(ISNUMBER('Funnel setup'!P405),D392&gt;=30,E392&lt;&gt;"*",D392&lt;&gt;""),F392-3.090232306 *('Funnel setup'!$K$8/SQRT('Funnel Data'!D392)),"")</f>
        <v/>
      </c>
      <c r="J392" s="177" t="str">
        <f>IF(AND(ISNUMBER('Funnel setup'!P405),D392&gt;=30,E392&lt;&gt;"*",D392&lt;&gt;""),F392+3.090232306 *('Funnel setup'!$K$8/SQRT('Funnel Data'!D392)),"")</f>
        <v/>
      </c>
      <c r="K392" s="178" t="str">
        <f>IF(AND(ISNUMBER('Funnel setup'!P405),D392&gt;=30,E392&lt;&gt;"*",D392&lt;&gt;""),IF(E392&gt;J392,'Funnel setup'!$K$15&amp;"99.8%",IF(E392&gt;H392,'Funnel setup'!$K$15&amp;"95%",IF(E392&lt;I392,'Funnel setup'!$K$16&amp;"99.8%",IF(E392&lt;G392,'Funnel setup'!$K$16&amp;"95%","")))),"")</f>
        <v/>
      </c>
    </row>
    <row r="393" spans="2:11" ht="15" customHeight="1" x14ac:dyDescent="0.35">
      <c r="B393" s="174" t="str">
        <f>IF(ISNUMBER('Funnel setup'!P406),VLOOKUP('Funnel setup'!$P406,'Provider Commission - Raw Data'!$A:$Q,5,0),"")</f>
        <v/>
      </c>
      <c r="C393" s="175" t="str">
        <f>IF(ISNUMBER('Funnel setup'!P406),VLOOKUP('Funnel setup'!P406,'Provider Commission - Raw Data'!$A:$Q,6,0),"")</f>
        <v/>
      </c>
      <c r="D393" s="176" t="str">
        <f>IF(ISNUMBER('Funnel setup'!P406),IF(VLOOKUP('Funnel setup'!P406,'Provider Commission - Raw Data'!$A:$Q,8,0)="-","",VLOOKUP('Funnel setup'!P406,'Provider Commission - Raw Data'!$A:$Q,8,0)),"")</f>
        <v/>
      </c>
      <c r="E393" s="251" t="str">
        <f>IF(ISNUMBER('Funnel setup'!P406),IF(VLOOKUP('Funnel setup'!P406,'Provider Commission - Raw Data'!$A:$Q,16,0)="-","",VLOOKUP('Funnel setup'!P406,'Provider Commission - Raw Data'!$A:$Q,16,0)),"")</f>
        <v/>
      </c>
      <c r="F393" s="177" t="str">
        <f>IF(AND(ISNUMBER('Funnel setup'!P406)),'Funnel setup'!$K$9,"")</f>
        <v/>
      </c>
      <c r="G393" s="177" t="str">
        <f>IF(AND(ISNUMBER('Funnel setup'!P406),D393&gt;=30,E393&lt;&gt;"*",D393&lt;&gt;""),F393-1.959963985 *('Funnel setup'!$K$8/SQRT('Funnel Data'!D393)),"")</f>
        <v/>
      </c>
      <c r="H393" s="177" t="str">
        <f>IF(AND(ISNUMBER('Funnel setup'!P406),D393&gt;=30,E393&lt;&gt;"*",D393&lt;&gt;""),F393+1.959963985 *('Funnel setup'!$K$8/SQRT('Funnel Data'!D393)),"")</f>
        <v/>
      </c>
      <c r="I393" s="177" t="str">
        <f>IF(AND(ISNUMBER('Funnel setup'!P406),D393&gt;=30,E393&lt;&gt;"*",D393&lt;&gt;""),F393-3.090232306 *('Funnel setup'!$K$8/SQRT('Funnel Data'!D393)),"")</f>
        <v/>
      </c>
      <c r="J393" s="177" t="str">
        <f>IF(AND(ISNUMBER('Funnel setup'!P406),D393&gt;=30,E393&lt;&gt;"*",D393&lt;&gt;""),F393+3.090232306 *('Funnel setup'!$K$8/SQRT('Funnel Data'!D393)),"")</f>
        <v/>
      </c>
      <c r="K393" s="178" t="str">
        <f>IF(AND(ISNUMBER('Funnel setup'!P406),D393&gt;=30,E393&lt;&gt;"*",D393&lt;&gt;""),IF(E393&gt;J393,'Funnel setup'!$K$15&amp;"99.8%",IF(E393&gt;H393,'Funnel setup'!$K$15&amp;"95%",IF(E393&lt;I393,'Funnel setup'!$K$16&amp;"99.8%",IF(E393&lt;G393,'Funnel setup'!$K$16&amp;"95%","")))),"")</f>
        <v/>
      </c>
    </row>
    <row r="394" spans="2:11" ht="15" customHeight="1" x14ac:dyDescent="0.35">
      <c r="B394" s="174" t="str">
        <f>IF(ISNUMBER('Funnel setup'!P407),VLOOKUP('Funnel setup'!$P407,'Provider Commission - Raw Data'!$A:$Q,5,0),"")</f>
        <v/>
      </c>
      <c r="C394" s="175" t="str">
        <f>IF(ISNUMBER('Funnel setup'!P407),VLOOKUP('Funnel setup'!P407,'Provider Commission - Raw Data'!$A:$Q,6,0),"")</f>
        <v/>
      </c>
      <c r="D394" s="176" t="str">
        <f>IF(ISNUMBER('Funnel setup'!P407),IF(VLOOKUP('Funnel setup'!P407,'Provider Commission - Raw Data'!$A:$Q,8,0)="-","",VLOOKUP('Funnel setup'!P407,'Provider Commission - Raw Data'!$A:$Q,8,0)),"")</f>
        <v/>
      </c>
      <c r="E394" s="251" t="str">
        <f>IF(ISNUMBER('Funnel setup'!P407),IF(VLOOKUP('Funnel setup'!P407,'Provider Commission - Raw Data'!$A:$Q,16,0)="-","",VLOOKUP('Funnel setup'!P407,'Provider Commission - Raw Data'!$A:$Q,16,0)),"")</f>
        <v/>
      </c>
      <c r="F394" s="177" t="str">
        <f>IF(AND(ISNUMBER('Funnel setup'!P407)),'Funnel setup'!$K$9,"")</f>
        <v/>
      </c>
      <c r="G394" s="177" t="str">
        <f>IF(AND(ISNUMBER('Funnel setup'!P407),D394&gt;=30,E394&lt;&gt;"*",D394&lt;&gt;""),F394-1.959963985 *('Funnel setup'!$K$8/SQRT('Funnel Data'!D394)),"")</f>
        <v/>
      </c>
      <c r="H394" s="177" t="str">
        <f>IF(AND(ISNUMBER('Funnel setup'!P407),D394&gt;=30,E394&lt;&gt;"*",D394&lt;&gt;""),F394+1.959963985 *('Funnel setup'!$K$8/SQRT('Funnel Data'!D394)),"")</f>
        <v/>
      </c>
      <c r="I394" s="177" t="str">
        <f>IF(AND(ISNUMBER('Funnel setup'!P407),D394&gt;=30,E394&lt;&gt;"*",D394&lt;&gt;""),F394-3.090232306 *('Funnel setup'!$K$8/SQRT('Funnel Data'!D394)),"")</f>
        <v/>
      </c>
      <c r="J394" s="177" t="str">
        <f>IF(AND(ISNUMBER('Funnel setup'!P407),D394&gt;=30,E394&lt;&gt;"*",D394&lt;&gt;""),F394+3.090232306 *('Funnel setup'!$K$8/SQRT('Funnel Data'!D394)),"")</f>
        <v/>
      </c>
      <c r="K394" s="178" t="str">
        <f>IF(AND(ISNUMBER('Funnel setup'!P407),D394&gt;=30,E394&lt;&gt;"*",D394&lt;&gt;""),IF(E394&gt;J394,'Funnel setup'!$K$15&amp;"99.8%",IF(E394&gt;H394,'Funnel setup'!$K$15&amp;"95%",IF(E394&lt;I394,'Funnel setup'!$K$16&amp;"99.8%",IF(E394&lt;G394,'Funnel setup'!$K$16&amp;"95%","")))),"")</f>
        <v/>
      </c>
    </row>
    <row r="395" spans="2:11" ht="15" customHeight="1" x14ac:dyDescent="0.35">
      <c r="B395" s="174" t="str">
        <f>IF(ISNUMBER('Funnel setup'!P408),VLOOKUP('Funnel setup'!$P408,'Provider Commission - Raw Data'!$A:$Q,5,0),"")</f>
        <v/>
      </c>
      <c r="C395" s="175" t="str">
        <f>IF(ISNUMBER('Funnel setup'!P408),VLOOKUP('Funnel setup'!P408,'Provider Commission - Raw Data'!$A:$Q,6,0),"")</f>
        <v/>
      </c>
      <c r="D395" s="176" t="str">
        <f>IF(ISNUMBER('Funnel setup'!P408),IF(VLOOKUP('Funnel setup'!P408,'Provider Commission - Raw Data'!$A:$Q,8,0)="-","",VLOOKUP('Funnel setup'!P408,'Provider Commission - Raw Data'!$A:$Q,8,0)),"")</f>
        <v/>
      </c>
      <c r="E395" s="251" t="str">
        <f>IF(ISNUMBER('Funnel setup'!P408),IF(VLOOKUP('Funnel setup'!P408,'Provider Commission - Raw Data'!$A:$Q,16,0)="-","",VLOOKUP('Funnel setup'!P408,'Provider Commission - Raw Data'!$A:$Q,16,0)),"")</f>
        <v/>
      </c>
      <c r="F395" s="177" t="str">
        <f>IF(AND(ISNUMBER('Funnel setup'!P408)),'Funnel setup'!$K$9,"")</f>
        <v/>
      </c>
      <c r="G395" s="177" t="str">
        <f>IF(AND(ISNUMBER('Funnel setup'!P408),D395&gt;=30,E395&lt;&gt;"*",D395&lt;&gt;""),F395-1.959963985 *('Funnel setup'!$K$8/SQRT('Funnel Data'!D395)),"")</f>
        <v/>
      </c>
      <c r="H395" s="177" t="str">
        <f>IF(AND(ISNUMBER('Funnel setup'!P408),D395&gt;=30,E395&lt;&gt;"*",D395&lt;&gt;""),F395+1.959963985 *('Funnel setup'!$K$8/SQRT('Funnel Data'!D395)),"")</f>
        <v/>
      </c>
      <c r="I395" s="177" t="str">
        <f>IF(AND(ISNUMBER('Funnel setup'!P408),D395&gt;=30,E395&lt;&gt;"*",D395&lt;&gt;""),F395-3.090232306 *('Funnel setup'!$K$8/SQRT('Funnel Data'!D395)),"")</f>
        <v/>
      </c>
      <c r="J395" s="177" t="str">
        <f>IF(AND(ISNUMBER('Funnel setup'!P408),D395&gt;=30,E395&lt;&gt;"*",D395&lt;&gt;""),F395+3.090232306 *('Funnel setup'!$K$8/SQRT('Funnel Data'!D395)),"")</f>
        <v/>
      </c>
      <c r="K395" s="178" t="str">
        <f>IF(AND(ISNUMBER('Funnel setup'!P408),D395&gt;=30,E395&lt;&gt;"*",D395&lt;&gt;""),IF(E395&gt;J395,'Funnel setup'!$K$15&amp;"99.8%",IF(E395&gt;H395,'Funnel setup'!$K$15&amp;"95%",IF(E395&lt;I395,'Funnel setup'!$K$16&amp;"99.8%",IF(E395&lt;G395,'Funnel setup'!$K$16&amp;"95%","")))),"")</f>
        <v/>
      </c>
    </row>
    <row r="396" spans="2:11" ht="15" customHeight="1" x14ac:dyDescent="0.35">
      <c r="B396" s="174" t="str">
        <f>IF(ISNUMBER('Funnel setup'!P409),VLOOKUP('Funnel setup'!$P409,'Provider Commission - Raw Data'!$A:$Q,5,0),"")</f>
        <v/>
      </c>
      <c r="C396" s="175" t="str">
        <f>IF(ISNUMBER('Funnel setup'!P409),VLOOKUP('Funnel setup'!P409,'Provider Commission - Raw Data'!$A:$Q,6,0),"")</f>
        <v/>
      </c>
      <c r="D396" s="176" t="str">
        <f>IF(ISNUMBER('Funnel setup'!P409),IF(VLOOKUP('Funnel setup'!P409,'Provider Commission - Raw Data'!$A:$Q,8,0)="-","",VLOOKUP('Funnel setup'!P409,'Provider Commission - Raw Data'!$A:$Q,8,0)),"")</f>
        <v/>
      </c>
      <c r="E396" s="251" t="str">
        <f>IF(ISNUMBER('Funnel setup'!P409),IF(VLOOKUP('Funnel setup'!P409,'Provider Commission - Raw Data'!$A:$Q,16,0)="-","",VLOOKUP('Funnel setup'!P409,'Provider Commission - Raw Data'!$A:$Q,16,0)),"")</f>
        <v/>
      </c>
      <c r="F396" s="177" t="str">
        <f>IF(AND(ISNUMBER('Funnel setup'!P409)),'Funnel setup'!$K$9,"")</f>
        <v/>
      </c>
      <c r="G396" s="177" t="str">
        <f>IF(AND(ISNUMBER('Funnel setup'!P409),D396&gt;=30,E396&lt;&gt;"*",D396&lt;&gt;""),F396-1.959963985 *('Funnel setup'!$K$8/SQRT('Funnel Data'!D396)),"")</f>
        <v/>
      </c>
      <c r="H396" s="177" t="str">
        <f>IF(AND(ISNUMBER('Funnel setup'!P409),D396&gt;=30,E396&lt;&gt;"*",D396&lt;&gt;""),F396+1.959963985 *('Funnel setup'!$K$8/SQRT('Funnel Data'!D396)),"")</f>
        <v/>
      </c>
      <c r="I396" s="177" t="str">
        <f>IF(AND(ISNUMBER('Funnel setup'!P409),D396&gt;=30,E396&lt;&gt;"*",D396&lt;&gt;""),F396-3.090232306 *('Funnel setup'!$K$8/SQRT('Funnel Data'!D396)),"")</f>
        <v/>
      </c>
      <c r="J396" s="177" t="str">
        <f>IF(AND(ISNUMBER('Funnel setup'!P409),D396&gt;=30,E396&lt;&gt;"*",D396&lt;&gt;""),F396+3.090232306 *('Funnel setup'!$K$8/SQRT('Funnel Data'!D396)),"")</f>
        <v/>
      </c>
      <c r="K396" s="178" t="str">
        <f>IF(AND(ISNUMBER('Funnel setup'!P409),D396&gt;=30,E396&lt;&gt;"*",D396&lt;&gt;""),IF(E396&gt;J396,'Funnel setup'!$K$15&amp;"99.8%",IF(E396&gt;H396,'Funnel setup'!$K$15&amp;"95%",IF(E396&lt;I396,'Funnel setup'!$K$16&amp;"99.8%",IF(E396&lt;G396,'Funnel setup'!$K$16&amp;"95%","")))),"")</f>
        <v/>
      </c>
    </row>
    <row r="397" spans="2:11" ht="15" customHeight="1" x14ac:dyDescent="0.35">
      <c r="B397" s="174" t="str">
        <f>IF(ISNUMBER('Funnel setup'!P410),VLOOKUP('Funnel setup'!$P410,'Provider Commission - Raw Data'!$A:$Q,5,0),"")</f>
        <v/>
      </c>
      <c r="C397" s="175" t="str">
        <f>IF(ISNUMBER('Funnel setup'!P410),VLOOKUP('Funnel setup'!P410,'Provider Commission - Raw Data'!$A:$Q,6,0),"")</f>
        <v/>
      </c>
      <c r="D397" s="176" t="str">
        <f>IF(ISNUMBER('Funnel setup'!P410),IF(VLOOKUP('Funnel setup'!P410,'Provider Commission - Raw Data'!$A:$Q,8,0)="-","",VLOOKUP('Funnel setup'!P410,'Provider Commission - Raw Data'!$A:$Q,8,0)),"")</f>
        <v/>
      </c>
      <c r="E397" s="251" t="str">
        <f>IF(ISNUMBER('Funnel setup'!P410),IF(VLOOKUP('Funnel setup'!P410,'Provider Commission - Raw Data'!$A:$Q,16,0)="-","",VLOOKUP('Funnel setup'!P410,'Provider Commission - Raw Data'!$A:$Q,16,0)),"")</f>
        <v/>
      </c>
      <c r="F397" s="177" t="str">
        <f>IF(AND(ISNUMBER('Funnel setup'!P410)),'Funnel setup'!$K$9,"")</f>
        <v/>
      </c>
      <c r="G397" s="177" t="str">
        <f>IF(AND(ISNUMBER('Funnel setup'!P410),D397&gt;=30,E397&lt;&gt;"*",D397&lt;&gt;""),F397-1.959963985 *('Funnel setup'!$K$8/SQRT('Funnel Data'!D397)),"")</f>
        <v/>
      </c>
      <c r="H397" s="177" t="str">
        <f>IF(AND(ISNUMBER('Funnel setup'!P410),D397&gt;=30,E397&lt;&gt;"*",D397&lt;&gt;""),F397+1.959963985 *('Funnel setup'!$K$8/SQRT('Funnel Data'!D397)),"")</f>
        <v/>
      </c>
      <c r="I397" s="177" t="str">
        <f>IF(AND(ISNUMBER('Funnel setup'!P410),D397&gt;=30,E397&lt;&gt;"*",D397&lt;&gt;""),F397-3.090232306 *('Funnel setup'!$K$8/SQRT('Funnel Data'!D397)),"")</f>
        <v/>
      </c>
      <c r="J397" s="177" t="str">
        <f>IF(AND(ISNUMBER('Funnel setup'!P410),D397&gt;=30,E397&lt;&gt;"*",D397&lt;&gt;""),F397+3.090232306 *('Funnel setup'!$K$8/SQRT('Funnel Data'!D397)),"")</f>
        <v/>
      </c>
      <c r="K397" s="178" t="str">
        <f>IF(AND(ISNUMBER('Funnel setup'!P410),D397&gt;=30,E397&lt;&gt;"*",D397&lt;&gt;""),IF(E397&gt;J397,'Funnel setup'!$K$15&amp;"99.8%",IF(E397&gt;H397,'Funnel setup'!$K$15&amp;"95%",IF(E397&lt;I397,'Funnel setup'!$K$16&amp;"99.8%",IF(E397&lt;G397,'Funnel setup'!$K$16&amp;"95%","")))),"")</f>
        <v/>
      </c>
    </row>
    <row r="398" spans="2:11" ht="15" customHeight="1" x14ac:dyDescent="0.35">
      <c r="B398" s="174" t="str">
        <f>IF(ISNUMBER('Funnel setup'!P411),VLOOKUP('Funnel setup'!$P411,'Provider Commission - Raw Data'!$A:$Q,5,0),"")</f>
        <v/>
      </c>
      <c r="C398" s="175" t="str">
        <f>IF(ISNUMBER('Funnel setup'!P411),VLOOKUP('Funnel setup'!P411,'Provider Commission - Raw Data'!$A:$Q,6,0),"")</f>
        <v/>
      </c>
      <c r="D398" s="176" t="str">
        <f>IF(ISNUMBER('Funnel setup'!P411),IF(VLOOKUP('Funnel setup'!P411,'Provider Commission - Raw Data'!$A:$Q,8,0)="-","",VLOOKUP('Funnel setup'!P411,'Provider Commission - Raw Data'!$A:$Q,8,0)),"")</f>
        <v/>
      </c>
      <c r="E398" s="251" t="str">
        <f>IF(ISNUMBER('Funnel setup'!P411),IF(VLOOKUP('Funnel setup'!P411,'Provider Commission - Raw Data'!$A:$Q,16,0)="-","",VLOOKUP('Funnel setup'!P411,'Provider Commission - Raw Data'!$A:$Q,16,0)),"")</f>
        <v/>
      </c>
      <c r="F398" s="177" t="str">
        <f>IF(AND(ISNUMBER('Funnel setup'!P411)),'Funnel setup'!$K$9,"")</f>
        <v/>
      </c>
      <c r="G398" s="177" t="str">
        <f>IF(AND(ISNUMBER('Funnel setup'!P411),D398&gt;=30,E398&lt;&gt;"*",D398&lt;&gt;""),F398-1.959963985 *('Funnel setup'!$K$8/SQRT('Funnel Data'!D398)),"")</f>
        <v/>
      </c>
      <c r="H398" s="177" t="str">
        <f>IF(AND(ISNUMBER('Funnel setup'!P411),D398&gt;=30,E398&lt;&gt;"*",D398&lt;&gt;""),F398+1.959963985 *('Funnel setup'!$K$8/SQRT('Funnel Data'!D398)),"")</f>
        <v/>
      </c>
      <c r="I398" s="177" t="str">
        <f>IF(AND(ISNUMBER('Funnel setup'!P411),D398&gt;=30,E398&lt;&gt;"*",D398&lt;&gt;""),F398-3.090232306 *('Funnel setup'!$K$8/SQRT('Funnel Data'!D398)),"")</f>
        <v/>
      </c>
      <c r="J398" s="177" t="str">
        <f>IF(AND(ISNUMBER('Funnel setup'!P411),D398&gt;=30,E398&lt;&gt;"*",D398&lt;&gt;""),F398+3.090232306 *('Funnel setup'!$K$8/SQRT('Funnel Data'!D398)),"")</f>
        <v/>
      </c>
      <c r="K398" s="178" t="str">
        <f>IF(AND(ISNUMBER('Funnel setup'!P411),D398&gt;=30,E398&lt;&gt;"*",D398&lt;&gt;""),IF(E398&gt;J398,'Funnel setup'!$K$15&amp;"99.8%",IF(E398&gt;H398,'Funnel setup'!$K$15&amp;"95%",IF(E398&lt;I398,'Funnel setup'!$K$16&amp;"99.8%",IF(E398&lt;G398,'Funnel setup'!$K$16&amp;"95%","")))),"")</f>
        <v/>
      </c>
    </row>
    <row r="399" spans="2:11" ht="15" customHeight="1" x14ac:dyDescent="0.35">
      <c r="B399" s="174" t="str">
        <f>IF(ISNUMBER('Funnel setup'!P412),VLOOKUP('Funnel setup'!$P412,'Provider Commission - Raw Data'!$A:$Q,5,0),"")</f>
        <v/>
      </c>
      <c r="C399" s="175" t="str">
        <f>IF(ISNUMBER('Funnel setup'!P412),VLOOKUP('Funnel setup'!P412,'Provider Commission - Raw Data'!$A:$Q,6,0),"")</f>
        <v/>
      </c>
      <c r="D399" s="176" t="str">
        <f>IF(ISNUMBER('Funnel setup'!P412),IF(VLOOKUP('Funnel setup'!P412,'Provider Commission - Raw Data'!$A:$Q,8,0)="-","",VLOOKUP('Funnel setup'!P412,'Provider Commission - Raw Data'!$A:$Q,8,0)),"")</f>
        <v/>
      </c>
      <c r="E399" s="251" t="str">
        <f>IF(ISNUMBER('Funnel setup'!P412),IF(VLOOKUP('Funnel setup'!P412,'Provider Commission - Raw Data'!$A:$Q,16,0)="-","",VLOOKUP('Funnel setup'!P412,'Provider Commission - Raw Data'!$A:$Q,16,0)),"")</f>
        <v/>
      </c>
      <c r="F399" s="177" t="str">
        <f>IF(AND(ISNUMBER('Funnel setup'!P412)),'Funnel setup'!$K$9,"")</f>
        <v/>
      </c>
      <c r="G399" s="177" t="str">
        <f>IF(AND(ISNUMBER('Funnel setup'!P412),D399&gt;=30,E399&lt;&gt;"*",D399&lt;&gt;""),F399-1.959963985 *('Funnel setup'!$K$8/SQRT('Funnel Data'!D399)),"")</f>
        <v/>
      </c>
      <c r="H399" s="177" t="str">
        <f>IF(AND(ISNUMBER('Funnel setup'!P412),D399&gt;=30,E399&lt;&gt;"*",D399&lt;&gt;""),F399+1.959963985 *('Funnel setup'!$K$8/SQRT('Funnel Data'!D399)),"")</f>
        <v/>
      </c>
      <c r="I399" s="177" t="str">
        <f>IF(AND(ISNUMBER('Funnel setup'!P412),D399&gt;=30,E399&lt;&gt;"*",D399&lt;&gt;""),F399-3.090232306 *('Funnel setup'!$K$8/SQRT('Funnel Data'!D399)),"")</f>
        <v/>
      </c>
      <c r="J399" s="177" t="str">
        <f>IF(AND(ISNUMBER('Funnel setup'!P412),D399&gt;=30,E399&lt;&gt;"*",D399&lt;&gt;""),F399+3.090232306 *('Funnel setup'!$K$8/SQRT('Funnel Data'!D399)),"")</f>
        <v/>
      </c>
      <c r="K399" s="178" t="str">
        <f>IF(AND(ISNUMBER('Funnel setup'!P412),D399&gt;=30,E399&lt;&gt;"*",D399&lt;&gt;""),IF(E399&gt;J399,'Funnel setup'!$K$15&amp;"99.8%",IF(E399&gt;H399,'Funnel setup'!$K$15&amp;"95%",IF(E399&lt;I399,'Funnel setup'!$K$16&amp;"99.8%",IF(E399&lt;G399,'Funnel setup'!$K$16&amp;"95%","")))),"")</f>
        <v/>
      </c>
    </row>
    <row r="400" spans="2:11" ht="15" customHeight="1" x14ac:dyDescent="0.35">
      <c r="B400" s="174" t="str">
        <f>IF(ISNUMBER('Funnel setup'!P413),VLOOKUP('Funnel setup'!$P413,'Provider Commission - Raw Data'!$A:$Q,5,0),"")</f>
        <v/>
      </c>
      <c r="C400" s="175" t="str">
        <f>IF(ISNUMBER('Funnel setup'!P413),VLOOKUP('Funnel setup'!P413,'Provider Commission - Raw Data'!$A:$Q,6,0),"")</f>
        <v/>
      </c>
      <c r="D400" s="176" t="str">
        <f>IF(ISNUMBER('Funnel setup'!P413),IF(VLOOKUP('Funnel setup'!P413,'Provider Commission - Raw Data'!$A:$Q,8,0)="-","",VLOOKUP('Funnel setup'!P413,'Provider Commission - Raw Data'!$A:$Q,8,0)),"")</f>
        <v/>
      </c>
      <c r="E400" s="251" t="str">
        <f>IF(ISNUMBER('Funnel setup'!P413),IF(VLOOKUP('Funnel setup'!P413,'Provider Commission - Raw Data'!$A:$Q,16,0)="-","",VLOOKUP('Funnel setup'!P413,'Provider Commission - Raw Data'!$A:$Q,16,0)),"")</f>
        <v/>
      </c>
      <c r="F400" s="177" t="str">
        <f>IF(AND(ISNUMBER('Funnel setup'!P413)),'Funnel setup'!$K$9,"")</f>
        <v/>
      </c>
      <c r="G400" s="177" t="str">
        <f>IF(AND(ISNUMBER('Funnel setup'!P413),D400&gt;=30,E400&lt;&gt;"*",D400&lt;&gt;""),F400-1.959963985 *('Funnel setup'!$K$8/SQRT('Funnel Data'!D400)),"")</f>
        <v/>
      </c>
      <c r="H400" s="177" t="str">
        <f>IF(AND(ISNUMBER('Funnel setup'!P413),D400&gt;=30,E400&lt;&gt;"*",D400&lt;&gt;""),F400+1.959963985 *('Funnel setup'!$K$8/SQRT('Funnel Data'!D400)),"")</f>
        <v/>
      </c>
      <c r="I400" s="177" t="str">
        <f>IF(AND(ISNUMBER('Funnel setup'!P413),D400&gt;=30,E400&lt;&gt;"*",D400&lt;&gt;""),F400-3.090232306 *('Funnel setup'!$K$8/SQRT('Funnel Data'!D400)),"")</f>
        <v/>
      </c>
      <c r="J400" s="177" t="str">
        <f>IF(AND(ISNUMBER('Funnel setup'!P413),D400&gt;=30,E400&lt;&gt;"*",D400&lt;&gt;""),F400+3.090232306 *('Funnel setup'!$K$8/SQRT('Funnel Data'!D400)),"")</f>
        <v/>
      </c>
      <c r="K400" s="178" t="str">
        <f>IF(AND(ISNUMBER('Funnel setup'!P413),D400&gt;=30,E400&lt;&gt;"*",D400&lt;&gt;""),IF(E400&gt;J400,'Funnel setup'!$K$15&amp;"99.8%",IF(E400&gt;H400,'Funnel setup'!$K$15&amp;"95%",IF(E400&lt;I400,'Funnel setup'!$K$16&amp;"99.8%",IF(E400&lt;G400,'Funnel setup'!$K$16&amp;"95%","")))),"")</f>
        <v/>
      </c>
    </row>
    <row r="401" spans="2:12" ht="15" customHeight="1" x14ac:dyDescent="0.35">
      <c r="B401" s="174" t="str">
        <f>IF(ISNUMBER('Funnel setup'!P414),VLOOKUP('Funnel setup'!$P414,'Provider Commission - Raw Data'!$A:$Q,5,0),"")</f>
        <v/>
      </c>
      <c r="C401" s="175" t="str">
        <f>IF(ISNUMBER('Funnel setup'!P414),VLOOKUP('Funnel setup'!P414,'Provider Commission - Raw Data'!$A:$Q,6,0),"")</f>
        <v/>
      </c>
      <c r="D401" s="176" t="str">
        <f>IF(ISNUMBER('Funnel setup'!P414),IF(VLOOKUP('Funnel setup'!P414,'Provider Commission - Raw Data'!$A:$Q,8,0)="-","",VLOOKUP('Funnel setup'!P414,'Provider Commission - Raw Data'!$A:$Q,8,0)),"")</f>
        <v/>
      </c>
      <c r="E401" s="251" t="str">
        <f>IF(ISNUMBER('Funnel setup'!P414),IF(VLOOKUP('Funnel setup'!P414,'Provider Commission - Raw Data'!$A:$Q,16,0)="-","",VLOOKUP('Funnel setup'!P414,'Provider Commission - Raw Data'!$A:$Q,16,0)),"")</f>
        <v/>
      </c>
      <c r="F401" s="177" t="str">
        <f>IF(AND(ISNUMBER('Funnel setup'!P414)),'Funnel setup'!$K$9,"")</f>
        <v/>
      </c>
      <c r="G401" s="177" t="str">
        <f>IF(AND(ISNUMBER('Funnel setup'!P414),D401&gt;=30,E401&lt;&gt;"*",D401&lt;&gt;""),F401-1.959963985 *('Funnel setup'!$K$8/SQRT('Funnel Data'!D401)),"")</f>
        <v/>
      </c>
      <c r="H401" s="177" t="str">
        <f>IF(AND(ISNUMBER('Funnel setup'!P414),D401&gt;=30,E401&lt;&gt;"*",D401&lt;&gt;""),F401+1.959963985 *('Funnel setup'!$K$8/SQRT('Funnel Data'!D401)),"")</f>
        <v/>
      </c>
      <c r="I401" s="177" t="str">
        <f>IF(AND(ISNUMBER('Funnel setup'!P414),D401&gt;=30,E401&lt;&gt;"*",D401&lt;&gt;""),F401-3.090232306 *('Funnel setup'!$K$8/SQRT('Funnel Data'!D401)),"")</f>
        <v/>
      </c>
      <c r="J401" s="177" t="str">
        <f>IF(AND(ISNUMBER('Funnel setup'!P414),D401&gt;=30,E401&lt;&gt;"*",D401&lt;&gt;""),F401+3.090232306 *('Funnel setup'!$K$8/SQRT('Funnel Data'!D401)),"")</f>
        <v/>
      </c>
      <c r="K401" s="178" t="str">
        <f>IF(AND(ISNUMBER('Funnel setup'!P414),D401&gt;=30,E401&lt;&gt;"*",D401&lt;&gt;""),IF(E401&gt;J401,'Funnel setup'!$K$15&amp;"99.8%",IF(E401&gt;H401,'Funnel setup'!$K$15&amp;"95%",IF(E401&lt;I401,'Funnel setup'!$K$16&amp;"99.8%",IF(E401&lt;G401,'Funnel setup'!$K$16&amp;"95%","")))),"")</f>
        <v/>
      </c>
    </row>
    <row r="402" spans="2:12" ht="15" customHeight="1" x14ac:dyDescent="0.35">
      <c r="B402" s="174" t="str">
        <f>IF(ISNUMBER('Funnel setup'!P415),VLOOKUP('Funnel setup'!$P415,'Provider Commission - Raw Data'!$A:$Q,5,0),"")</f>
        <v/>
      </c>
      <c r="C402" s="175" t="str">
        <f>IF(ISNUMBER('Funnel setup'!P415),VLOOKUP('Funnel setup'!P415,'Provider Commission - Raw Data'!$A:$Q,6,0),"")</f>
        <v/>
      </c>
      <c r="D402" s="176" t="str">
        <f>IF(ISNUMBER('Funnel setup'!P415),IF(VLOOKUP('Funnel setup'!P415,'Provider Commission - Raw Data'!$A:$Q,8,0)="-","",VLOOKUP('Funnel setup'!P415,'Provider Commission - Raw Data'!$A:$Q,8,0)),"")</f>
        <v/>
      </c>
      <c r="E402" s="251" t="str">
        <f>IF(ISNUMBER('Funnel setup'!P415),IF(VLOOKUP('Funnel setup'!P415,'Provider Commission - Raw Data'!$A:$Q,16,0)="-","",VLOOKUP('Funnel setup'!P415,'Provider Commission - Raw Data'!$A:$Q,16,0)),"")</f>
        <v/>
      </c>
      <c r="F402" s="177" t="str">
        <f>IF(AND(ISNUMBER('Funnel setup'!P415)),'Funnel setup'!$K$9,"")</f>
        <v/>
      </c>
      <c r="G402" s="177" t="str">
        <f>IF(AND(ISNUMBER('Funnel setup'!P415),D402&gt;=30,E402&lt;&gt;"*",D402&lt;&gt;""),F402-1.959963985 *('Funnel setup'!$K$8/SQRT('Funnel Data'!D402)),"")</f>
        <v/>
      </c>
      <c r="H402" s="177" t="str">
        <f>IF(AND(ISNUMBER('Funnel setup'!P415),D402&gt;=30,E402&lt;&gt;"*",D402&lt;&gt;""),F402+1.959963985 *('Funnel setup'!$K$8/SQRT('Funnel Data'!D402)),"")</f>
        <v/>
      </c>
      <c r="I402" s="177" t="str">
        <f>IF(AND(ISNUMBER('Funnel setup'!P415),D402&gt;=30,E402&lt;&gt;"*",D402&lt;&gt;""),F402-3.090232306 *('Funnel setup'!$K$8/SQRT('Funnel Data'!D402)),"")</f>
        <v/>
      </c>
      <c r="J402" s="177" t="str">
        <f>IF(AND(ISNUMBER('Funnel setup'!P415),D402&gt;=30,E402&lt;&gt;"*",D402&lt;&gt;""),F402+3.090232306 *('Funnel setup'!$K$8/SQRT('Funnel Data'!D402)),"")</f>
        <v/>
      </c>
      <c r="K402" s="178" t="str">
        <f>IF(AND(ISNUMBER('Funnel setup'!P415),D402&gt;=30,E402&lt;&gt;"*",D402&lt;&gt;""),IF(E402&gt;J402,'Funnel setup'!$K$15&amp;"99.8%",IF(E402&gt;H402,'Funnel setup'!$K$15&amp;"95%",IF(E402&lt;I402,'Funnel setup'!$K$16&amp;"99.8%",IF(E402&lt;G402,'Funnel setup'!$K$16&amp;"95%","")))),"")</f>
        <v/>
      </c>
    </row>
    <row r="403" spans="2:12" ht="15" customHeight="1" x14ac:dyDescent="0.35">
      <c r="B403" s="174" t="str">
        <f>IF(ISNUMBER('Funnel setup'!P416),VLOOKUP('Funnel setup'!$P416,'Provider Commission - Raw Data'!$A:$Q,5,0),"")</f>
        <v/>
      </c>
      <c r="C403" s="175" t="str">
        <f>IF(ISNUMBER('Funnel setup'!P416),VLOOKUP('Funnel setup'!P416,'Provider Commission - Raw Data'!$A:$Q,6,0),"")</f>
        <v/>
      </c>
      <c r="D403" s="176" t="str">
        <f>IF(ISNUMBER('Funnel setup'!P416),IF(VLOOKUP('Funnel setup'!P416,'Provider Commission - Raw Data'!$A:$Q,8,0)="-","",VLOOKUP('Funnel setup'!P416,'Provider Commission - Raw Data'!$A:$Q,8,0)),"")</f>
        <v/>
      </c>
      <c r="E403" s="251" t="str">
        <f>IF(ISNUMBER('Funnel setup'!P416),IF(VLOOKUP('Funnel setup'!P416,'Provider Commission - Raw Data'!$A:$Q,16,0)="-","",VLOOKUP('Funnel setup'!P416,'Provider Commission - Raw Data'!$A:$Q,16,0)),"")</f>
        <v/>
      </c>
      <c r="F403" s="177" t="str">
        <f>IF(AND(ISNUMBER('Funnel setup'!P416)),'Funnel setup'!$K$9,"")</f>
        <v/>
      </c>
      <c r="G403" s="177" t="str">
        <f>IF(AND(ISNUMBER('Funnel setup'!P416),D403&gt;=30,E403&lt;&gt;"*",D403&lt;&gt;""),F403-1.959963985 *('Funnel setup'!$K$8/SQRT('Funnel Data'!D403)),"")</f>
        <v/>
      </c>
      <c r="H403" s="177" t="str">
        <f>IF(AND(ISNUMBER('Funnel setup'!P416),D403&gt;=30,E403&lt;&gt;"*",D403&lt;&gt;""),F403+1.959963985 *('Funnel setup'!$K$8/SQRT('Funnel Data'!D403)),"")</f>
        <v/>
      </c>
      <c r="I403" s="177" t="str">
        <f>IF(AND(ISNUMBER('Funnel setup'!P416),D403&gt;=30,E403&lt;&gt;"*",D403&lt;&gt;""),F403-3.090232306 *('Funnel setup'!$K$8/SQRT('Funnel Data'!D403)),"")</f>
        <v/>
      </c>
      <c r="J403" s="177" t="str">
        <f>IF(AND(ISNUMBER('Funnel setup'!P416),D403&gt;=30,E403&lt;&gt;"*",D403&lt;&gt;""),F403+3.090232306 *('Funnel setup'!$K$8/SQRT('Funnel Data'!D403)),"")</f>
        <v/>
      </c>
      <c r="K403" s="178" t="str">
        <f>IF(AND(ISNUMBER('Funnel setup'!P416),D403&gt;=30,E403&lt;&gt;"*",D403&lt;&gt;""),IF(E403&gt;J403,'Funnel setup'!$K$15&amp;"99.8%",IF(E403&gt;H403,'Funnel setup'!$K$15&amp;"95%",IF(E403&lt;I403,'Funnel setup'!$K$16&amp;"99.8%",IF(E403&lt;G403,'Funnel setup'!$K$16&amp;"95%","")))),"")</f>
        <v/>
      </c>
    </row>
    <row r="404" spans="2:12" ht="15" customHeight="1" x14ac:dyDescent="0.35">
      <c r="B404" s="174" t="str">
        <f>IF(ISNUMBER('Funnel setup'!P417),VLOOKUP('Funnel setup'!$P417,'Provider Commission - Raw Data'!$A:$Q,5,0),"")</f>
        <v/>
      </c>
      <c r="C404" s="175" t="str">
        <f>IF(ISNUMBER('Funnel setup'!P417),VLOOKUP('Funnel setup'!P417,'Provider Commission - Raw Data'!$A:$Q,6,0),"")</f>
        <v/>
      </c>
      <c r="D404" s="176" t="str">
        <f>IF(ISNUMBER('Funnel setup'!P417),IF(VLOOKUP('Funnel setup'!P417,'Provider Commission - Raw Data'!$A:$Q,8,0)="-","",VLOOKUP('Funnel setup'!P417,'Provider Commission - Raw Data'!$A:$Q,8,0)),"")</f>
        <v/>
      </c>
      <c r="E404" s="251" t="str">
        <f>IF(ISNUMBER('Funnel setup'!P417),IF(VLOOKUP('Funnel setup'!P417,'Provider Commission - Raw Data'!$A:$Q,16,0)="-","",VLOOKUP('Funnel setup'!P417,'Provider Commission - Raw Data'!$A:$Q,16,0)),"")</f>
        <v/>
      </c>
      <c r="F404" s="177" t="str">
        <f>IF(AND(ISNUMBER('Funnel setup'!P417)),'Funnel setup'!$K$9,"")</f>
        <v/>
      </c>
      <c r="G404" s="177" t="str">
        <f>IF(AND(ISNUMBER('Funnel setup'!P417),D404&gt;=30,E404&lt;&gt;"*",D404&lt;&gt;""),F404-1.959963985 *('Funnel setup'!$K$8/SQRT('Funnel Data'!D404)),"")</f>
        <v/>
      </c>
      <c r="H404" s="177" t="str">
        <f>IF(AND(ISNUMBER('Funnel setup'!P417),D404&gt;=30,E404&lt;&gt;"*",D404&lt;&gt;""),F404+1.959963985 *('Funnel setup'!$K$8/SQRT('Funnel Data'!D404)),"")</f>
        <v/>
      </c>
      <c r="I404" s="177" t="str">
        <f>IF(AND(ISNUMBER('Funnel setup'!P417),D404&gt;=30,E404&lt;&gt;"*",D404&lt;&gt;""),F404-3.090232306 *('Funnel setup'!$K$8/SQRT('Funnel Data'!D404)),"")</f>
        <v/>
      </c>
      <c r="J404" s="177" t="str">
        <f>IF(AND(ISNUMBER('Funnel setup'!P417),D404&gt;=30,E404&lt;&gt;"*",D404&lt;&gt;""),F404+3.090232306 *('Funnel setup'!$K$8/SQRT('Funnel Data'!D404)),"")</f>
        <v/>
      </c>
      <c r="K404" s="178" t="str">
        <f>IF(AND(ISNUMBER('Funnel setup'!P417),D404&gt;=30,E404&lt;&gt;"*",D404&lt;&gt;""),IF(E404&gt;J404,'Funnel setup'!$K$15&amp;"99.8%",IF(E404&gt;H404,'Funnel setup'!$K$15&amp;"95%",IF(E404&lt;I404,'Funnel setup'!$K$16&amp;"99.8%",IF(E404&lt;G404,'Funnel setup'!$K$16&amp;"95%","")))),"")</f>
        <v/>
      </c>
    </row>
    <row r="405" spans="2:12" ht="15" customHeight="1" x14ac:dyDescent="0.35">
      <c r="B405" s="174" t="str">
        <f>IF(ISNUMBER('Funnel setup'!P418),VLOOKUP('Funnel setup'!$P418,'Provider Commission - Raw Data'!$A:$Q,5,0),"")</f>
        <v/>
      </c>
      <c r="C405" s="175" t="str">
        <f>IF(ISNUMBER('Funnel setup'!P418),VLOOKUP('Funnel setup'!P418,'Provider Commission - Raw Data'!$A:$Q,6,0),"")</f>
        <v/>
      </c>
      <c r="D405" s="176" t="str">
        <f>IF(ISNUMBER('Funnel setup'!P418),IF(VLOOKUP('Funnel setup'!P418,'Provider Commission - Raw Data'!$A:$Q,8,0)="-","",VLOOKUP('Funnel setup'!P418,'Provider Commission - Raw Data'!$A:$Q,8,0)),"")</f>
        <v/>
      </c>
      <c r="E405" s="251" t="str">
        <f>IF(ISNUMBER('Funnel setup'!P418),IF(VLOOKUP('Funnel setup'!P418,'Provider Commission - Raw Data'!$A:$Q,16,0)="-","",VLOOKUP('Funnel setup'!P418,'Provider Commission - Raw Data'!$A:$Q,16,0)),"")</f>
        <v/>
      </c>
      <c r="F405" s="177" t="str">
        <f>IF(AND(ISNUMBER('Funnel setup'!P418)),'Funnel setup'!$K$9,"")</f>
        <v/>
      </c>
      <c r="G405" s="177" t="str">
        <f>IF(AND(ISNUMBER('Funnel setup'!P418),D405&gt;=30,E405&lt;&gt;"*",D405&lt;&gt;""),F405-1.959963985 *('Funnel setup'!$K$8/SQRT('Funnel Data'!D405)),"")</f>
        <v/>
      </c>
      <c r="H405" s="177" t="str">
        <f>IF(AND(ISNUMBER('Funnel setup'!P418),D405&gt;=30,E405&lt;&gt;"*",D405&lt;&gt;""),F405+1.959963985 *('Funnel setup'!$K$8/SQRT('Funnel Data'!D405)),"")</f>
        <v/>
      </c>
      <c r="I405" s="177" t="str">
        <f>IF(AND(ISNUMBER('Funnel setup'!P418),D405&gt;=30,E405&lt;&gt;"*",D405&lt;&gt;""),F405-3.090232306 *('Funnel setup'!$K$8/SQRT('Funnel Data'!D405)),"")</f>
        <v/>
      </c>
      <c r="J405" s="177" t="str">
        <f>IF(AND(ISNUMBER('Funnel setup'!P418),D405&gt;=30,E405&lt;&gt;"*",D405&lt;&gt;""),F405+3.090232306 *('Funnel setup'!$K$8/SQRT('Funnel Data'!D405)),"")</f>
        <v/>
      </c>
      <c r="K405" s="178" t="str">
        <f>IF(AND(ISNUMBER('Funnel setup'!P418),D405&gt;=30,E405&lt;&gt;"*",D405&lt;&gt;""),IF(E405&gt;J405,'Funnel setup'!$K$15&amp;"99.8%",IF(E405&gt;H405,'Funnel setup'!$K$15&amp;"95%",IF(E405&lt;I405,'Funnel setup'!$K$16&amp;"99.8%",IF(E405&lt;G405,'Funnel setup'!$K$16&amp;"95%","")))),"")</f>
        <v/>
      </c>
    </row>
    <row r="406" spans="2:12" ht="15" customHeight="1" x14ac:dyDescent="0.35">
      <c r="B406" s="174" t="str">
        <f>IF(ISNUMBER('Funnel setup'!P419),VLOOKUP('Funnel setup'!$P419,'Provider Commission - Raw Data'!$A:$Q,5,0),"")</f>
        <v/>
      </c>
      <c r="C406" s="175" t="str">
        <f>IF(ISNUMBER('Funnel setup'!P419),VLOOKUP('Funnel setup'!P419,'Provider Commission - Raw Data'!$A:$Q,6,0),"")</f>
        <v/>
      </c>
      <c r="D406" s="176" t="str">
        <f>IF(ISNUMBER('Funnel setup'!P419),IF(VLOOKUP('Funnel setup'!P419,'Provider Commission - Raw Data'!$A:$Q,8,0)="-","",VLOOKUP('Funnel setup'!P419,'Provider Commission - Raw Data'!$A:$Q,8,0)),"")</f>
        <v/>
      </c>
      <c r="E406" s="251" t="str">
        <f>IF(ISNUMBER('Funnel setup'!P419),IF(VLOOKUP('Funnel setup'!P419,'Provider Commission - Raw Data'!$A:$Q,16,0)="-","",VLOOKUP('Funnel setup'!P419,'Provider Commission - Raw Data'!$A:$Q,16,0)),"")</f>
        <v/>
      </c>
      <c r="F406" s="177" t="str">
        <f>IF(AND(ISNUMBER('Funnel setup'!P419)),'Funnel setup'!$K$9,"")</f>
        <v/>
      </c>
      <c r="G406" s="177" t="str">
        <f>IF(AND(ISNUMBER('Funnel setup'!P419),D406&gt;=30,E406&lt;&gt;"*",D406&lt;&gt;""),F406-1.959963985 *('Funnel setup'!$K$8/SQRT('Funnel Data'!D406)),"")</f>
        <v/>
      </c>
      <c r="H406" s="177" t="str">
        <f>IF(AND(ISNUMBER('Funnel setup'!P419),D406&gt;=30,E406&lt;&gt;"*",D406&lt;&gt;""),F406+1.959963985 *('Funnel setup'!$K$8/SQRT('Funnel Data'!D406)),"")</f>
        <v/>
      </c>
      <c r="I406" s="177" t="str">
        <f>IF(AND(ISNUMBER('Funnel setup'!P419),D406&gt;=30,E406&lt;&gt;"*",D406&lt;&gt;""),F406-3.090232306 *('Funnel setup'!$K$8/SQRT('Funnel Data'!D406)),"")</f>
        <v/>
      </c>
      <c r="J406" s="177" t="str">
        <f>IF(AND(ISNUMBER('Funnel setup'!P419),D406&gt;=30,E406&lt;&gt;"*",D406&lt;&gt;""),F406+3.090232306 *('Funnel setup'!$K$8/SQRT('Funnel Data'!D406)),"")</f>
        <v/>
      </c>
      <c r="K406" s="178" t="str">
        <f>IF(AND(ISNUMBER('Funnel setup'!P419),D406&gt;=30,E406&lt;&gt;"*",D406&lt;&gt;""),IF(E406&gt;J406,'Funnel setup'!$K$15&amp;"99.8%",IF(E406&gt;H406,'Funnel setup'!$K$15&amp;"95%",IF(E406&lt;I406,'Funnel setup'!$K$16&amp;"99.8%",IF(E406&lt;G406,'Funnel setup'!$K$16&amp;"95%","")))),"")</f>
        <v/>
      </c>
    </row>
    <row r="407" spans="2:12" ht="15" customHeight="1" x14ac:dyDescent="0.35">
      <c r="B407" s="174" t="str">
        <f>IF(ISNUMBER('Funnel setup'!P420),VLOOKUP('Funnel setup'!$P420,'Provider Commission - Raw Data'!$A:$Q,5,0),"")</f>
        <v/>
      </c>
      <c r="C407" s="175" t="str">
        <f>IF(ISNUMBER('Funnel setup'!P420),VLOOKUP('Funnel setup'!P420,'Provider Commission - Raw Data'!$A:$Q,6,0),"")</f>
        <v/>
      </c>
      <c r="D407" s="176" t="str">
        <f>IF(ISNUMBER('Funnel setup'!P420),IF(VLOOKUP('Funnel setup'!P420,'Provider Commission - Raw Data'!$A:$Q,8,0)="-","",VLOOKUP('Funnel setup'!P420,'Provider Commission - Raw Data'!$A:$Q,8,0)),"")</f>
        <v/>
      </c>
      <c r="E407" s="251" t="str">
        <f>IF(ISNUMBER('Funnel setup'!P420),IF(VLOOKUP('Funnel setup'!P420,'Provider Commission - Raw Data'!$A:$Q,16,0)="-","",VLOOKUP('Funnel setup'!P420,'Provider Commission - Raw Data'!$A:$Q,16,0)),"")</f>
        <v/>
      </c>
      <c r="F407" s="177" t="str">
        <f>IF(AND(ISNUMBER('Funnel setup'!P420)),'Funnel setup'!$K$9,"")</f>
        <v/>
      </c>
      <c r="G407" s="177" t="str">
        <f>IF(AND(ISNUMBER('Funnel setup'!P420),D407&gt;=30,E407&lt;&gt;"*",D407&lt;&gt;""),F407-1.959963985 *('Funnel setup'!$K$8/SQRT('Funnel Data'!D407)),"")</f>
        <v/>
      </c>
      <c r="H407" s="177" t="str">
        <f>IF(AND(ISNUMBER('Funnel setup'!P420),D407&gt;=30,E407&lt;&gt;"*",D407&lt;&gt;""),F407+1.959963985 *('Funnel setup'!$K$8/SQRT('Funnel Data'!D407)),"")</f>
        <v/>
      </c>
      <c r="I407" s="177" t="str">
        <f>IF(AND(ISNUMBER('Funnel setup'!P420),D407&gt;=30,E407&lt;&gt;"*",D407&lt;&gt;""),F407-3.090232306 *('Funnel setup'!$K$8/SQRT('Funnel Data'!D407)),"")</f>
        <v/>
      </c>
      <c r="J407" s="177" t="str">
        <f>IF(AND(ISNUMBER('Funnel setup'!P420),D407&gt;=30,E407&lt;&gt;"*",D407&lt;&gt;""),F407+3.090232306 *('Funnel setup'!$K$8/SQRT('Funnel Data'!D407)),"")</f>
        <v/>
      </c>
      <c r="K407" s="178" t="str">
        <f>IF(AND(ISNUMBER('Funnel setup'!P420),D407&gt;=30,E407&lt;&gt;"*",D407&lt;&gt;""),IF(E407&gt;J407,'Funnel setup'!$K$15&amp;"99.8%",IF(E407&gt;H407,'Funnel setup'!$K$15&amp;"95%",IF(E407&lt;I407,'Funnel setup'!$K$16&amp;"99.8%",IF(E407&lt;G407,'Funnel setup'!$K$16&amp;"95%","")))),"")</f>
        <v/>
      </c>
    </row>
    <row r="408" spans="2:12" ht="15" customHeight="1" x14ac:dyDescent="0.35">
      <c r="B408" s="174" t="str">
        <f>IF(ISNUMBER('Funnel setup'!P421),VLOOKUP('Funnel setup'!$P421,'Provider Commission - Raw Data'!$A:$Q,5,0),"")</f>
        <v/>
      </c>
      <c r="C408" s="175" t="str">
        <f>IF(ISNUMBER('Funnel setup'!P421),VLOOKUP('Funnel setup'!P421,'Provider Commission - Raw Data'!$A:$Q,6,0),"")</f>
        <v/>
      </c>
      <c r="D408" s="176" t="str">
        <f>IF(ISNUMBER('Funnel setup'!P421),IF(VLOOKUP('Funnel setup'!P421,'Provider Commission - Raw Data'!$A:$Q,8,0)="-","",VLOOKUP('Funnel setup'!P421,'Provider Commission - Raw Data'!$A:$Q,8,0)),"")</f>
        <v/>
      </c>
      <c r="E408" s="251" t="str">
        <f>IF(ISNUMBER('Funnel setup'!P421),IF(VLOOKUP('Funnel setup'!P421,'Provider Commission - Raw Data'!$A:$Q,16,0)="-","",VLOOKUP('Funnel setup'!P421,'Provider Commission - Raw Data'!$A:$Q,16,0)),"")</f>
        <v/>
      </c>
      <c r="F408" s="177" t="str">
        <f>IF(AND(ISNUMBER('Funnel setup'!P421)),'Funnel setup'!$K$9,"")</f>
        <v/>
      </c>
      <c r="G408" s="177" t="str">
        <f>IF(AND(ISNUMBER('Funnel setup'!P421),D408&gt;=30,E408&lt;&gt;"*",D408&lt;&gt;""),F408-1.959963985 *('Funnel setup'!$K$8/SQRT('Funnel Data'!D408)),"")</f>
        <v/>
      </c>
      <c r="H408" s="177" t="str">
        <f>IF(AND(ISNUMBER('Funnel setup'!P421),D408&gt;=30,E408&lt;&gt;"*",D408&lt;&gt;""),F408+1.959963985 *('Funnel setup'!$K$8/SQRT('Funnel Data'!D408)),"")</f>
        <v/>
      </c>
      <c r="I408" s="177" t="str">
        <f>IF(AND(ISNUMBER('Funnel setup'!P421),D408&gt;=30,E408&lt;&gt;"*",D408&lt;&gt;""),F408-3.090232306 *('Funnel setup'!$K$8/SQRT('Funnel Data'!D408)),"")</f>
        <v/>
      </c>
      <c r="J408" s="177" t="str">
        <f>IF(AND(ISNUMBER('Funnel setup'!P421),D408&gt;=30,E408&lt;&gt;"*",D408&lt;&gt;""),F408+3.090232306 *('Funnel setup'!$K$8/SQRT('Funnel Data'!D408)),"")</f>
        <v/>
      </c>
      <c r="K408" s="178" t="str">
        <f>IF(AND(ISNUMBER('Funnel setup'!P421),D408&gt;=30,E408&lt;&gt;"*",D408&lt;&gt;""),IF(E408&gt;J408,'Funnel setup'!$K$15&amp;"99.8%",IF(E408&gt;H408,'Funnel setup'!$K$15&amp;"95%",IF(E408&lt;I408,'Funnel setup'!$K$16&amp;"99.8%",IF(E408&lt;G408,'Funnel setup'!$K$16&amp;"95%","")))),"")</f>
        <v/>
      </c>
    </row>
    <row r="409" spans="2:12" ht="15" customHeight="1" x14ac:dyDescent="0.35">
      <c r="B409" s="174" t="str">
        <f>IF(ISNUMBER('Funnel setup'!P422),VLOOKUP('Funnel setup'!$P422,'Provider Commission - Raw Data'!$A:$Q,5,0),"")</f>
        <v/>
      </c>
      <c r="C409" s="175" t="str">
        <f>IF(ISNUMBER('Funnel setup'!P422),VLOOKUP('Funnel setup'!P422,'Provider Commission - Raw Data'!$A:$Q,6,0),"")</f>
        <v/>
      </c>
      <c r="D409" s="176" t="str">
        <f>IF(ISNUMBER('Funnel setup'!P422),IF(VLOOKUP('Funnel setup'!P422,'Provider Commission - Raw Data'!$A:$Q,8,0)="-","",VLOOKUP('Funnel setup'!P422,'Provider Commission - Raw Data'!$A:$Q,8,0)),"")</f>
        <v/>
      </c>
      <c r="E409" s="251" t="str">
        <f>IF(ISNUMBER('Funnel setup'!P422),IF(VLOOKUP('Funnel setup'!P422,'Provider Commission - Raw Data'!$A:$Q,16,0)="-","",VLOOKUP('Funnel setup'!P422,'Provider Commission - Raw Data'!$A:$Q,16,0)),"")</f>
        <v/>
      </c>
      <c r="F409" s="177" t="str">
        <f>IF(AND(ISNUMBER('Funnel setup'!P422)),'Funnel setup'!$K$9,"")</f>
        <v/>
      </c>
      <c r="G409" s="177" t="str">
        <f>IF(AND(ISNUMBER('Funnel setup'!P422),D409&gt;=30,E409&lt;&gt;"*",D409&lt;&gt;""),F409-1.959963985 *('Funnel setup'!$K$8/SQRT('Funnel Data'!D409)),"")</f>
        <v/>
      </c>
      <c r="H409" s="177" t="str">
        <f>IF(AND(ISNUMBER('Funnel setup'!P422),D409&gt;=30,E409&lt;&gt;"*",D409&lt;&gt;""),F409+1.959963985 *('Funnel setup'!$K$8/SQRT('Funnel Data'!D409)),"")</f>
        <v/>
      </c>
      <c r="I409" s="177" t="str">
        <f>IF(AND(ISNUMBER('Funnel setup'!P422),D409&gt;=30,E409&lt;&gt;"*",D409&lt;&gt;""),F409-3.090232306 *('Funnel setup'!$K$8/SQRT('Funnel Data'!D409)),"")</f>
        <v/>
      </c>
      <c r="J409" s="177" t="str">
        <f>IF(AND(ISNUMBER('Funnel setup'!P422),D409&gt;=30,E409&lt;&gt;"*",D409&lt;&gt;""),F409+3.090232306 *('Funnel setup'!$K$8/SQRT('Funnel Data'!D409)),"")</f>
        <v/>
      </c>
      <c r="K409" s="178" t="str">
        <f>IF(AND(ISNUMBER('Funnel setup'!P422),D409&gt;=30,E409&lt;&gt;"*",D409&lt;&gt;""),IF(E409&gt;J409,'Funnel setup'!$K$15&amp;"99.8%",IF(E409&gt;H409,'Funnel setup'!$K$15&amp;"95%",IF(E409&lt;I409,'Funnel setup'!$K$16&amp;"99.8%",IF(E409&lt;G409,'Funnel setup'!$K$16&amp;"95%","")))),"")</f>
        <v/>
      </c>
    </row>
    <row r="410" spans="2:12" ht="15" customHeight="1" x14ac:dyDescent="0.35">
      <c r="B410" s="174" t="str">
        <f>IF(ISNUMBER('Funnel setup'!P423),VLOOKUP('Funnel setup'!$P423,'Provider Commission - Raw Data'!$A:$Q,5,0),"")</f>
        <v/>
      </c>
      <c r="C410" s="175" t="str">
        <f>IF(ISNUMBER('Funnel setup'!P423),VLOOKUP('Funnel setup'!P423,'Provider Commission - Raw Data'!$A:$Q,6,0),"")</f>
        <v/>
      </c>
      <c r="D410" s="176" t="str">
        <f>IF(ISNUMBER('Funnel setup'!P423),IF(VLOOKUP('Funnel setup'!P423,'Provider Commission - Raw Data'!$A:$Q,8,0)="-","",VLOOKUP('Funnel setup'!P423,'Provider Commission - Raw Data'!$A:$Q,8,0)),"")</f>
        <v/>
      </c>
      <c r="E410" s="251" t="str">
        <f>IF(ISNUMBER('Funnel setup'!P423),IF(VLOOKUP('Funnel setup'!P423,'Provider Commission - Raw Data'!$A:$Q,16,0)="-","",VLOOKUP('Funnel setup'!P423,'Provider Commission - Raw Data'!$A:$Q,16,0)),"")</f>
        <v/>
      </c>
      <c r="F410" s="177" t="str">
        <f>IF(AND(ISNUMBER('Funnel setup'!P423)),'Funnel setup'!$K$9,"")</f>
        <v/>
      </c>
      <c r="G410" s="177" t="str">
        <f>IF(AND(ISNUMBER('Funnel setup'!P423),D410&gt;=30,E410&lt;&gt;"*",D410&lt;&gt;""),F410-1.959963985 *('Funnel setup'!$K$8/SQRT('Funnel Data'!D410)),"")</f>
        <v/>
      </c>
      <c r="H410" s="177" t="str">
        <f>IF(AND(ISNUMBER('Funnel setup'!P423),D410&gt;=30,E410&lt;&gt;"*",D410&lt;&gt;""),F410+1.959963985 *('Funnel setup'!$K$8/SQRT('Funnel Data'!D410)),"")</f>
        <v/>
      </c>
      <c r="I410" s="177" t="str">
        <f>IF(AND(ISNUMBER('Funnel setup'!P423),D410&gt;=30,E410&lt;&gt;"*",D410&lt;&gt;""),F410-3.090232306 *('Funnel setup'!$K$8/SQRT('Funnel Data'!D410)),"")</f>
        <v/>
      </c>
      <c r="J410" s="177" t="str">
        <f>IF(AND(ISNUMBER('Funnel setup'!P423),D410&gt;=30,E410&lt;&gt;"*",D410&lt;&gt;""),F410+3.090232306 *('Funnel setup'!$K$8/SQRT('Funnel Data'!D410)),"")</f>
        <v/>
      </c>
      <c r="K410" s="178" t="str">
        <f>IF(AND(ISNUMBER('Funnel setup'!P423),D410&gt;=30,E410&lt;&gt;"*",D410&lt;&gt;""),IF(E410&gt;J410,'Funnel setup'!$K$15&amp;"99.8%",IF(E410&gt;H410,'Funnel setup'!$K$15&amp;"95%",IF(E410&lt;I410,'Funnel setup'!$K$16&amp;"99.8%",IF(E410&lt;G410,'Funnel setup'!$K$16&amp;"95%","")))),"")</f>
        <v/>
      </c>
    </row>
    <row r="411" spans="2:12" ht="15" customHeight="1" x14ac:dyDescent="0.35">
      <c r="B411" s="174" t="str">
        <f>IF(ISNUMBER('Funnel setup'!P424),VLOOKUP('Funnel setup'!$P424,'Provider Commission - Raw Data'!$A:$Q,5,0),"")</f>
        <v/>
      </c>
      <c r="C411" s="175" t="str">
        <f>IF(ISNUMBER('Funnel setup'!P424),VLOOKUP('Funnel setup'!P424,'Provider Commission - Raw Data'!$A:$Q,6,0),"")</f>
        <v/>
      </c>
      <c r="D411" s="176" t="str">
        <f>IF(ISNUMBER('Funnel setup'!P424),IF(VLOOKUP('Funnel setup'!P424,'Provider Commission - Raw Data'!$A:$Q,8,0)="-","",VLOOKUP('Funnel setup'!P424,'Provider Commission - Raw Data'!$A:$Q,8,0)),"")</f>
        <v/>
      </c>
      <c r="E411" s="251" t="str">
        <f>IF(ISNUMBER('Funnel setup'!P424),IF(VLOOKUP('Funnel setup'!P424,'Provider Commission - Raw Data'!$A:$Q,16,0)="-","",VLOOKUP('Funnel setup'!P424,'Provider Commission - Raw Data'!$A:$Q,16,0)),"")</f>
        <v/>
      </c>
      <c r="F411" s="177" t="str">
        <f>IF(AND(ISNUMBER('Funnel setup'!P424)),'Funnel setup'!$K$9,"")</f>
        <v/>
      </c>
      <c r="G411" s="177" t="str">
        <f>IF(AND(ISNUMBER('Funnel setup'!P424),D411&gt;=30,E411&lt;&gt;"*",D411&lt;&gt;""),F411-1.959963985 *('Funnel setup'!$K$8/SQRT('Funnel Data'!D411)),"")</f>
        <v/>
      </c>
      <c r="H411" s="177" t="str">
        <f>IF(AND(ISNUMBER('Funnel setup'!P424),D411&gt;=30,E411&lt;&gt;"*",D411&lt;&gt;""),F411+1.959963985 *('Funnel setup'!$K$8/SQRT('Funnel Data'!D411)),"")</f>
        <v/>
      </c>
      <c r="I411" s="177" t="str">
        <f>IF(AND(ISNUMBER('Funnel setup'!P424),D411&gt;=30,E411&lt;&gt;"*",D411&lt;&gt;""),F411-3.090232306 *('Funnel setup'!$K$8/SQRT('Funnel Data'!D411)),"")</f>
        <v/>
      </c>
      <c r="J411" s="177" t="str">
        <f>IF(AND(ISNUMBER('Funnel setup'!P424),D411&gt;=30,E411&lt;&gt;"*",D411&lt;&gt;""),F411+3.090232306 *('Funnel setup'!$K$8/SQRT('Funnel Data'!D411)),"")</f>
        <v/>
      </c>
      <c r="K411" s="178" t="str">
        <f>IF(AND(ISNUMBER('Funnel setup'!P424),D411&gt;=30,E411&lt;&gt;"*",D411&lt;&gt;""),IF(E411&gt;J411,'Funnel setup'!$K$15&amp;"99.8%",IF(E411&gt;H411,'Funnel setup'!$K$15&amp;"95%",IF(E411&lt;I411,'Funnel setup'!$K$16&amp;"99.8%",IF(E411&lt;G411,'Funnel setup'!$K$16&amp;"95%","")))),"")</f>
        <v/>
      </c>
    </row>
    <row r="412" spans="2:12" ht="15" customHeight="1" x14ac:dyDescent="0.35">
      <c r="E412" s="252"/>
      <c r="F412" s="252"/>
      <c r="G412" s="177" t="str">
        <f>IF(AND(ISNUMBER('Funnel setup'!P425),D412&gt;=30,E412&lt;&gt;"*"),F412-1.959963985 *('Funnel setup'!$K$8/SQRT('Funnel Data'!D412)),"")</f>
        <v/>
      </c>
      <c r="H412" s="177" t="str">
        <f>IF(AND(ISNUMBER('Funnel setup'!P425),D412&gt;=30,E412&lt;&gt;"*"),F412+1.959963985 *('Funnel setup'!$K$8/SQRT('Funnel Data'!D412)),"")</f>
        <v/>
      </c>
      <c r="I412" s="177" t="str">
        <f>IF(AND(ISNUMBER('Funnel setup'!P425),D412&gt;=30,E412&lt;&gt;"*"),F412-3.090232306 *('Funnel setup'!$K$8/SQRT('Funnel Data'!D412)),"")</f>
        <v/>
      </c>
      <c r="J412" s="177" t="str">
        <f>IF(AND(ISNUMBER('Funnel setup'!P425),D412&gt;=30,E412&lt;&gt;"*"),F412+3.090232306 *('Funnel setup'!$K$8/SQRT('Funnel Data'!D412)),"")</f>
        <v/>
      </c>
    </row>
    <row r="413" spans="2:12" ht="15" customHeight="1" x14ac:dyDescent="0.35">
      <c r="G413" s="177" t="str">
        <f>IF(AND(ISNUMBER('Funnel setup'!P426),D413&gt;=30,E413&lt;&gt;"*"),F413-1.959963985 *('Funnel setup'!$K$8/SQRT('Funnel Data'!D413)),"")</f>
        <v/>
      </c>
      <c r="H413" s="177" t="str">
        <f>IF(AND(ISNUMBER('Funnel setup'!P426),D413&gt;=30,E413&lt;&gt;"*"),F413+1.959963985 *('Funnel setup'!$K$8/SQRT('Funnel Data'!D413)),"")</f>
        <v/>
      </c>
      <c r="I413" s="177" t="str">
        <f>IF(AND(ISNUMBER('Funnel setup'!P426),D413&gt;=30,E413&lt;&gt;"*"),F413-3.090232306 *('Funnel setup'!$K$8/SQRT('Funnel Data'!D413)),"")</f>
        <v/>
      </c>
      <c r="J413" s="177" t="str">
        <f>IF(AND(ISNUMBER('Funnel setup'!P426),D413&gt;=30,E413&lt;&gt;"*"),F413+3.090232306 *('Funnel setup'!$K$8/SQRT('Funnel Data'!D413)),"")</f>
        <v/>
      </c>
    </row>
    <row r="414" spans="2:12" s="49" customFormat="1" ht="32.25" customHeight="1" x14ac:dyDescent="0.35">
      <c r="B414" s="503" t="str">
        <f ca="1">HYPERLINK(Reference!B$11, Reference!A$11)</f>
        <v>Copyright © 2024, Health and Social Care Information Centre. The Health and Social Care Information Centre is a non-departmental body created by statute, also known as NHS Digital.</v>
      </c>
      <c r="C414" s="458"/>
      <c r="D414" s="458"/>
      <c r="E414" s="458"/>
      <c r="F414" s="458"/>
      <c r="G414" s="458"/>
      <c r="H414" s="458"/>
      <c r="I414" s="458"/>
      <c r="J414" s="458"/>
      <c r="K414" s="458"/>
      <c r="L414" s="288"/>
    </row>
  </sheetData>
  <mergeCells count="2">
    <mergeCell ref="B414:K414"/>
    <mergeCell ref="B262:K262"/>
  </mergeCells>
  <conditionalFormatting sqref="B10:K411 G412:J413">
    <cfRule type="expression" dxfId="1" priority="3" stopIfTrue="1">
      <formula>$B10&lt;&gt;""</formula>
    </cfRule>
    <cfRule type="expression" dxfId="0" priority="5" stopIfTrue="1">
      <formula>$B10=""</formula>
    </cfRule>
  </conditionalFormatting>
  <hyperlinks>
    <hyperlink ref="K5" location="'Title Sheet'!A16" display="Return to contents" xr:uid="{00000000-0004-0000-1300-000000000000}"/>
  </hyperlinks>
  <pageMargins left="0.35433070866141742" right="0.35433070866141742" top="0.39370078740157483" bottom="0.39370078740157483" header="0.11811023622047249" footer="0.11811023622047249"/>
  <pageSetup paperSize="9" scale="45" fitToHeight="2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indexed="34"/>
  </sheetPr>
  <dimension ref="A1:Q7768"/>
  <sheetViews>
    <sheetView topLeftCell="B1" zoomScale="80" zoomScaleNormal="80" workbookViewId="0">
      <pane ySplit="1" topLeftCell="A2" activePane="bottomLeft" state="frozen"/>
      <selection activeCell="F8" sqref="F8"/>
      <selection pane="bottomLeft" activeCell="F5254" sqref="F5254"/>
    </sheetView>
  </sheetViews>
  <sheetFormatPr defaultRowHeight="12.5" x14ac:dyDescent="0.25"/>
  <cols>
    <col min="1" max="1" width="10.81640625" customWidth="1"/>
    <col min="2" max="2" width="132.54296875" bestFit="1" customWidth="1"/>
  </cols>
  <sheetData>
    <row r="1" spans="1:17" ht="47.25" customHeight="1" x14ac:dyDescent="0.25">
      <c r="A1" s="13" t="s">
        <v>733</v>
      </c>
      <c r="B1" t="s">
        <v>734</v>
      </c>
      <c r="C1" t="s">
        <v>735</v>
      </c>
      <c r="D1" t="s">
        <v>736</v>
      </c>
      <c r="E1" t="s">
        <v>57</v>
      </c>
      <c r="F1" t="s">
        <v>737</v>
      </c>
      <c r="G1" t="s">
        <v>738</v>
      </c>
      <c r="H1" t="s">
        <v>739</v>
      </c>
      <c r="I1" t="s">
        <v>740</v>
      </c>
      <c r="J1" t="s">
        <v>741</v>
      </c>
      <c r="K1" t="s">
        <v>742</v>
      </c>
      <c r="L1" t="s">
        <v>743</v>
      </c>
      <c r="M1" t="s">
        <v>744</v>
      </c>
      <c r="N1" t="s">
        <v>745</v>
      </c>
      <c r="O1" t="s">
        <v>746</v>
      </c>
      <c r="P1" t="s">
        <v>747</v>
      </c>
      <c r="Q1" t="s">
        <v>748</v>
      </c>
    </row>
    <row r="2" spans="1:17" x14ac:dyDescent="0.25">
      <c r="A2" t="str">
        <f>IF(C2&amp;G2&amp;D2&lt;&gt;'Funnel setup'!$K$3&amp;'Funnel setup'!$K$4&amp;'Funnel setup'!$K$6,".",IF(A1=".",1,A1+1))</f>
        <v>.</v>
      </c>
      <c r="B2" s="244" t="str">
        <f t="shared" ref="B2:B65" si="0">C2&amp;D2&amp;F2&amp;G2</f>
        <v>Hip Replacement PrimarySub-ICB of GP PracticeNHS BATH AND NORTH EAST SOMERSET, SWINDON AND WILTSHIRE ICB - 92G (92G)EQ VAS</v>
      </c>
      <c r="C2" t="s">
        <v>749</v>
      </c>
      <c r="D2" t="s">
        <v>1021</v>
      </c>
      <c r="E2" t="s">
        <v>750</v>
      </c>
      <c r="F2" t="s">
        <v>751</v>
      </c>
      <c r="G2" t="s">
        <v>752</v>
      </c>
      <c r="H2">
        <v>237</v>
      </c>
      <c r="I2">
        <v>64</v>
      </c>
      <c r="J2">
        <v>78.746799999999993</v>
      </c>
      <c r="K2">
        <v>14.7468</v>
      </c>
      <c r="L2">
        <v>169</v>
      </c>
      <c r="M2">
        <v>14</v>
      </c>
      <c r="N2">
        <v>54</v>
      </c>
      <c r="O2">
        <v>75.879900000000006</v>
      </c>
      <c r="P2">
        <v>15.0687</v>
      </c>
      <c r="Q2">
        <v>15.323600000000001</v>
      </c>
    </row>
    <row r="3" spans="1:17" x14ac:dyDescent="0.25">
      <c r="A3" t="str">
        <f>IF(C3&amp;G3&amp;D3&lt;&gt;'Funnel setup'!$K$3&amp;'Funnel setup'!$K$4&amp;'Funnel setup'!$K$6,".",IF(A2=".",1,A2+1))</f>
        <v>.</v>
      </c>
      <c r="B3" s="244" t="str">
        <f t="shared" si="0"/>
        <v>Hip Replacement PrimarySub-ICB of GP PracticeNHS BEDFORDSHIRE, LUTON AND MILTON KEYNES ICB - M1J4Y (M1J4Y)EQ VAS</v>
      </c>
      <c r="C3" t="s">
        <v>749</v>
      </c>
      <c r="D3" t="s">
        <v>1021</v>
      </c>
      <c r="E3" t="s">
        <v>753</v>
      </c>
      <c r="F3" t="s">
        <v>754</v>
      </c>
      <c r="G3" t="s">
        <v>752</v>
      </c>
      <c r="H3">
        <v>210</v>
      </c>
      <c r="I3">
        <v>57.090499999999999</v>
      </c>
      <c r="J3">
        <v>73.604799999999997</v>
      </c>
      <c r="K3">
        <v>16.514299999999999</v>
      </c>
      <c r="L3">
        <v>150</v>
      </c>
      <c r="M3">
        <v>17</v>
      </c>
      <c r="N3">
        <v>43</v>
      </c>
      <c r="O3">
        <v>75.829400000000007</v>
      </c>
      <c r="P3">
        <v>15.0182</v>
      </c>
      <c r="Q3">
        <v>19.3065</v>
      </c>
    </row>
    <row r="4" spans="1:17" x14ac:dyDescent="0.25">
      <c r="A4" t="str">
        <f>IF(C4&amp;G4&amp;D4&lt;&gt;'Funnel setup'!$K$3&amp;'Funnel setup'!$K$4&amp;'Funnel setup'!$K$6,".",IF(A3=".",1,A3+1))</f>
        <v>.</v>
      </c>
      <c r="B4" s="244" t="str">
        <f t="shared" si="0"/>
        <v>Hip Replacement PrimarySub-ICB of GP PracticeNHS BIRMINGHAM AND SOLIHULL ICB - 15E (15E)EQ VAS</v>
      </c>
      <c r="C4" t="s">
        <v>749</v>
      </c>
      <c r="D4" t="s">
        <v>1021</v>
      </c>
      <c r="E4" t="s">
        <v>755</v>
      </c>
      <c r="F4" t="s">
        <v>756</v>
      </c>
      <c r="G4" t="s">
        <v>752</v>
      </c>
      <c r="H4">
        <v>344</v>
      </c>
      <c r="I4">
        <v>63.648299999999999</v>
      </c>
      <c r="J4">
        <v>75.805199999999999</v>
      </c>
      <c r="K4">
        <v>12.157</v>
      </c>
      <c r="L4">
        <v>234</v>
      </c>
      <c r="M4">
        <v>31</v>
      </c>
      <c r="N4">
        <v>79</v>
      </c>
      <c r="O4">
        <v>75.233900000000006</v>
      </c>
      <c r="P4">
        <v>14.422599999999999</v>
      </c>
      <c r="Q4">
        <v>17.9008</v>
      </c>
    </row>
    <row r="5" spans="1:17" x14ac:dyDescent="0.25">
      <c r="A5" t="str">
        <f>IF(C5&amp;G5&amp;D5&lt;&gt;'Funnel setup'!$K$3&amp;'Funnel setup'!$K$4&amp;'Funnel setup'!$K$6,".",IF(A4=".",1,A4+1))</f>
        <v>.</v>
      </c>
      <c r="B5" s="244" t="str">
        <f t="shared" si="0"/>
        <v>Hip Replacement PrimarySub-ICB of GP PracticeNHS BLACK COUNTRY ICB - D2P2L (D2P2L)EQ VAS</v>
      </c>
      <c r="C5" t="s">
        <v>749</v>
      </c>
      <c r="D5" t="s">
        <v>1021</v>
      </c>
      <c r="E5" t="s">
        <v>757</v>
      </c>
      <c r="F5" t="s">
        <v>758</v>
      </c>
      <c r="G5" t="s">
        <v>752</v>
      </c>
      <c r="H5">
        <v>247</v>
      </c>
      <c r="I5">
        <v>61.927100000000003</v>
      </c>
      <c r="J5">
        <v>74.728700000000003</v>
      </c>
      <c r="K5">
        <v>12.801600000000001</v>
      </c>
      <c r="L5">
        <v>176</v>
      </c>
      <c r="M5">
        <v>15</v>
      </c>
      <c r="N5">
        <v>56</v>
      </c>
      <c r="O5">
        <v>75.924400000000006</v>
      </c>
      <c r="P5">
        <v>15.113200000000001</v>
      </c>
      <c r="Q5">
        <v>16.418900000000001</v>
      </c>
    </row>
    <row r="6" spans="1:17" x14ac:dyDescent="0.25">
      <c r="A6" t="str">
        <f>IF(C6&amp;G6&amp;D6&lt;&gt;'Funnel setup'!$K$3&amp;'Funnel setup'!$K$4&amp;'Funnel setup'!$K$6,".",IF(A5=".",1,A5+1))</f>
        <v>.</v>
      </c>
      <c r="B6" s="244" t="str">
        <f t="shared" si="0"/>
        <v>Hip Replacement PrimarySub-ICB of GP PracticeNHS BRISTOL, NORTH SOMERSET AND SOUTH GLOUCESTERSHIRE ICB - 15C (15C)EQ VAS</v>
      </c>
      <c r="C6" t="s">
        <v>749</v>
      </c>
      <c r="D6" t="s">
        <v>1021</v>
      </c>
      <c r="E6" t="s">
        <v>759</v>
      </c>
      <c r="F6" t="s">
        <v>760</v>
      </c>
      <c r="G6" t="s">
        <v>752</v>
      </c>
      <c r="H6">
        <v>220</v>
      </c>
      <c r="I6">
        <v>61.063600000000001</v>
      </c>
      <c r="J6">
        <v>79.822699999999998</v>
      </c>
      <c r="K6">
        <v>18.7591</v>
      </c>
      <c r="L6">
        <v>166</v>
      </c>
      <c r="M6">
        <v>19</v>
      </c>
      <c r="N6">
        <v>35</v>
      </c>
      <c r="O6">
        <v>79.043899999999994</v>
      </c>
      <c r="P6">
        <v>18.232700000000001</v>
      </c>
      <c r="Q6">
        <v>15.86</v>
      </c>
    </row>
    <row r="7" spans="1:17" x14ac:dyDescent="0.25">
      <c r="A7" t="str">
        <f>IF(C7&amp;G7&amp;D7&lt;&gt;'Funnel setup'!$K$3&amp;'Funnel setup'!$K$4&amp;'Funnel setup'!$K$6,".",IF(A6=".",1,A6+1))</f>
        <v>.</v>
      </c>
      <c r="B7" s="244" t="str">
        <f t="shared" si="0"/>
        <v>Hip Replacement PrimarySub-ICB of GP PracticeNHS BUCKINGHAMSHIRE, OXFORDSHIRE AND BERKSHIRE WEST ICB - 10Q (10Q)EQ VAS</v>
      </c>
      <c r="C7" t="s">
        <v>749</v>
      </c>
      <c r="D7" t="s">
        <v>1021</v>
      </c>
      <c r="E7" t="s">
        <v>761</v>
      </c>
      <c r="F7" t="s">
        <v>762</v>
      </c>
      <c r="G7" t="s">
        <v>752</v>
      </c>
      <c r="H7">
        <v>330</v>
      </c>
      <c r="I7">
        <v>62.490900000000003</v>
      </c>
      <c r="J7">
        <v>76.048500000000004</v>
      </c>
      <c r="K7">
        <v>13.557600000000001</v>
      </c>
      <c r="L7">
        <v>233</v>
      </c>
      <c r="M7">
        <v>36</v>
      </c>
      <c r="N7">
        <v>61</v>
      </c>
      <c r="O7">
        <v>74.7286</v>
      </c>
      <c r="P7">
        <v>13.917299999999999</v>
      </c>
      <c r="Q7">
        <v>15.920500000000001</v>
      </c>
    </row>
    <row r="8" spans="1:17" x14ac:dyDescent="0.25">
      <c r="A8" t="str">
        <f>IF(C8&amp;G8&amp;D8&lt;&gt;'Funnel setup'!$K$3&amp;'Funnel setup'!$K$4&amp;'Funnel setup'!$K$6,".",IF(A7=".",1,A7+1))</f>
        <v>.</v>
      </c>
      <c r="B8" s="244" t="str">
        <f t="shared" si="0"/>
        <v>Hip Replacement PrimarySub-ICB of GP PracticeNHS BUCKINGHAMSHIRE, OXFORDSHIRE AND BERKSHIRE WEST ICB - 14Y (14Y)EQ VAS</v>
      </c>
      <c r="C8" t="s">
        <v>749</v>
      </c>
      <c r="D8" t="s">
        <v>1021</v>
      </c>
      <c r="E8" t="s">
        <v>763</v>
      </c>
      <c r="F8" t="s">
        <v>764</v>
      </c>
      <c r="G8" t="s">
        <v>752</v>
      </c>
      <c r="H8">
        <v>205</v>
      </c>
      <c r="I8">
        <v>62.453699999999998</v>
      </c>
      <c r="J8">
        <v>77.624399999999994</v>
      </c>
      <c r="K8">
        <v>15.1707</v>
      </c>
      <c r="L8">
        <v>150</v>
      </c>
      <c r="M8">
        <v>13</v>
      </c>
      <c r="N8">
        <v>42</v>
      </c>
      <c r="O8">
        <v>75.880099999999999</v>
      </c>
      <c r="P8">
        <v>15.0688</v>
      </c>
      <c r="Q8">
        <v>17.1431</v>
      </c>
    </row>
    <row r="9" spans="1:17" x14ac:dyDescent="0.25">
      <c r="A9" t="str">
        <f>IF(C9&amp;G9&amp;D9&lt;&gt;'Funnel setup'!$K$3&amp;'Funnel setup'!$K$4&amp;'Funnel setup'!$K$6,".",IF(A8=".",1,A8+1))</f>
        <v>.</v>
      </c>
      <c r="B9" s="244" t="str">
        <f t="shared" si="0"/>
        <v>Hip Replacement PrimarySub-ICB of GP PracticeNHS BUCKINGHAMSHIRE, OXFORDSHIRE AND BERKSHIRE WEST ICB - 15A (15A)EQ VAS</v>
      </c>
      <c r="C9" t="s">
        <v>749</v>
      </c>
      <c r="D9" t="s">
        <v>1021</v>
      </c>
      <c r="E9" t="s">
        <v>765</v>
      </c>
      <c r="F9" t="s">
        <v>766</v>
      </c>
      <c r="G9" t="s">
        <v>752</v>
      </c>
      <c r="H9">
        <v>62</v>
      </c>
      <c r="I9">
        <v>55.064500000000002</v>
      </c>
      <c r="J9">
        <v>77.774199999999993</v>
      </c>
      <c r="K9">
        <v>22.709700000000002</v>
      </c>
      <c r="L9">
        <v>50</v>
      </c>
      <c r="M9">
        <v>4</v>
      </c>
      <c r="N9">
        <v>8</v>
      </c>
      <c r="O9">
        <v>76.043599999999998</v>
      </c>
      <c r="P9">
        <v>15.2323</v>
      </c>
      <c r="Q9">
        <v>17.334099999999999</v>
      </c>
    </row>
    <row r="10" spans="1:17" x14ac:dyDescent="0.25">
      <c r="A10" t="str">
        <f>IF(C10&amp;G10&amp;D10&lt;&gt;'Funnel setup'!$K$3&amp;'Funnel setup'!$K$4&amp;'Funnel setup'!$K$6,".",IF(A9=".",1,A9+1))</f>
        <v>.</v>
      </c>
      <c r="B10" s="244" t="str">
        <f t="shared" si="0"/>
        <v>Hip Replacement PrimarySub-ICB of GP PracticeNHS CAMBRIDGESHIRE AND PETERBOROUGH ICB - 06H (06H)EQ VAS</v>
      </c>
      <c r="C10" t="s">
        <v>749</v>
      </c>
      <c r="D10" t="s">
        <v>1021</v>
      </c>
      <c r="E10" t="s">
        <v>767</v>
      </c>
      <c r="F10" t="s">
        <v>768</v>
      </c>
      <c r="G10" t="s">
        <v>752</v>
      </c>
      <c r="H10">
        <v>208</v>
      </c>
      <c r="I10">
        <v>58.350999999999999</v>
      </c>
      <c r="J10">
        <v>73.927899999999994</v>
      </c>
      <c r="K10">
        <v>15.5769</v>
      </c>
      <c r="L10">
        <v>139</v>
      </c>
      <c r="M10">
        <v>13</v>
      </c>
      <c r="N10">
        <v>56</v>
      </c>
      <c r="O10">
        <v>75.105000000000004</v>
      </c>
      <c r="P10">
        <v>14.293699999999999</v>
      </c>
      <c r="Q10">
        <v>18.1355</v>
      </c>
    </row>
    <row r="11" spans="1:17" x14ac:dyDescent="0.25">
      <c r="A11" t="str">
        <f>IF(C11&amp;G11&amp;D11&lt;&gt;'Funnel setup'!$K$3&amp;'Funnel setup'!$K$4&amp;'Funnel setup'!$K$6,".",IF(A10=".",1,A10+1))</f>
        <v>.</v>
      </c>
      <c r="B11" s="244" t="str">
        <f t="shared" si="0"/>
        <v>Hip Replacement PrimarySub-ICB of GP PracticeNHS CHESHIRE AND MERSEYSIDE ICB - 01F (01F)EQ VAS</v>
      </c>
      <c r="C11" t="s">
        <v>749</v>
      </c>
      <c r="D11" t="s">
        <v>1021</v>
      </c>
      <c r="E11" t="s">
        <v>769</v>
      </c>
      <c r="F11" t="s">
        <v>770</v>
      </c>
      <c r="G11" t="s">
        <v>752</v>
      </c>
      <c r="H11">
        <v>25</v>
      </c>
      <c r="I11">
        <v>54.44</v>
      </c>
      <c r="J11">
        <v>68.8</v>
      </c>
      <c r="K11">
        <v>14.36</v>
      </c>
      <c r="L11">
        <v>16</v>
      </c>
      <c r="M11">
        <v>3</v>
      </c>
      <c r="N11">
        <v>6</v>
      </c>
      <c r="O11" t="s">
        <v>127</v>
      </c>
      <c r="P11" t="s">
        <v>127</v>
      </c>
      <c r="Q11" t="s">
        <v>127</v>
      </c>
    </row>
    <row r="12" spans="1:17" x14ac:dyDescent="0.25">
      <c r="A12" t="str">
        <f>IF(C12&amp;G12&amp;D12&lt;&gt;'Funnel setup'!$K$3&amp;'Funnel setup'!$K$4&amp;'Funnel setup'!$K$6,".",IF(A11=".",1,A11+1))</f>
        <v>.</v>
      </c>
      <c r="B12" s="244" t="str">
        <f t="shared" si="0"/>
        <v>Hip Replacement PrimarySub-ICB of GP PracticeNHS CHESHIRE AND MERSEYSIDE ICB - 01J (01J)EQ VAS</v>
      </c>
      <c r="C12" t="s">
        <v>749</v>
      </c>
      <c r="D12" t="s">
        <v>1021</v>
      </c>
      <c r="E12" t="s">
        <v>771</v>
      </c>
      <c r="F12" t="s">
        <v>772</v>
      </c>
      <c r="G12" t="s">
        <v>752</v>
      </c>
      <c r="H12">
        <v>35</v>
      </c>
      <c r="I12">
        <v>51.7714</v>
      </c>
      <c r="J12">
        <v>79.714299999999994</v>
      </c>
      <c r="K12">
        <v>27.942900000000002</v>
      </c>
      <c r="L12">
        <v>30</v>
      </c>
      <c r="M12">
        <v>0</v>
      </c>
      <c r="N12">
        <v>5</v>
      </c>
      <c r="O12">
        <v>83.706299999999999</v>
      </c>
      <c r="P12">
        <v>22.895</v>
      </c>
      <c r="Q12">
        <v>13.466799999999999</v>
      </c>
    </row>
    <row r="13" spans="1:17" x14ac:dyDescent="0.25">
      <c r="A13" t="str">
        <f>IF(C13&amp;G13&amp;D13&lt;&gt;'Funnel setup'!$K$3&amp;'Funnel setup'!$K$4&amp;'Funnel setup'!$K$6,".",IF(A12=".",1,A12+1))</f>
        <v>.</v>
      </c>
      <c r="B13" s="244" t="str">
        <f t="shared" si="0"/>
        <v>Hip Replacement PrimarySub-ICB of GP PracticeNHS CHESHIRE AND MERSEYSIDE ICB - 01T (01T)EQ VAS</v>
      </c>
      <c r="C13" t="s">
        <v>749</v>
      </c>
      <c r="D13" t="s">
        <v>1021</v>
      </c>
      <c r="E13" t="s">
        <v>773</v>
      </c>
      <c r="F13" t="s">
        <v>774</v>
      </c>
      <c r="G13" t="s">
        <v>752</v>
      </c>
      <c r="H13">
        <v>41</v>
      </c>
      <c r="I13">
        <v>58.268300000000004</v>
      </c>
      <c r="J13">
        <v>75</v>
      </c>
      <c r="K13">
        <v>16.7317</v>
      </c>
      <c r="L13">
        <v>29</v>
      </c>
      <c r="M13">
        <v>5</v>
      </c>
      <c r="N13">
        <v>7</v>
      </c>
      <c r="O13">
        <v>75.644599999999997</v>
      </c>
      <c r="P13">
        <v>14.833299999999999</v>
      </c>
      <c r="Q13">
        <v>18.962800000000001</v>
      </c>
    </row>
    <row r="14" spans="1:17" x14ac:dyDescent="0.25">
      <c r="A14" t="str">
        <f>IF(C14&amp;G14&amp;D14&lt;&gt;'Funnel setup'!$K$3&amp;'Funnel setup'!$K$4&amp;'Funnel setup'!$K$6,".",IF(A13=".",1,A13+1))</f>
        <v>.</v>
      </c>
      <c r="B14" s="244" t="str">
        <f t="shared" si="0"/>
        <v>Hip Replacement PrimarySub-ICB of GP PracticeNHS CHESHIRE AND MERSEYSIDE ICB - 01V (01V)EQ VAS</v>
      </c>
      <c r="C14" t="s">
        <v>749</v>
      </c>
      <c r="D14" t="s">
        <v>1021</v>
      </c>
      <c r="E14" t="s">
        <v>775</v>
      </c>
      <c r="F14" t="s">
        <v>776</v>
      </c>
      <c r="G14" t="s">
        <v>752</v>
      </c>
      <c r="H14">
        <v>22</v>
      </c>
      <c r="I14">
        <v>58.045499999999997</v>
      </c>
      <c r="J14">
        <v>75.954499999999996</v>
      </c>
      <c r="K14">
        <v>17.909099999999999</v>
      </c>
      <c r="L14">
        <v>19</v>
      </c>
      <c r="M14">
        <v>1</v>
      </c>
      <c r="N14">
        <v>2</v>
      </c>
      <c r="O14" t="s">
        <v>127</v>
      </c>
      <c r="P14" t="s">
        <v>127</v>
      </c>
      <c r="Q14" t="s">
        <v>127</v>
      </c>
    </row>
    <row r="15" spans="1:17" x14ac:dyDescent="0.25">
      <c r="A15" t="str">
        <f>IF(C15&amp;G15&amp;D15&lt;&gt;'Funnel setup'!$K$3&amp;'Funnel setup'!$K$4&amp;'Funnel setup'!$K$6,".",IF(A14=".",1,A14+1))</f>
        <v>.</v>
      </c>
      <c r="B15" s="244" t="str">
        <f t="shared" si="0"/>
        <v>Hip Replacement PrimarySub-ICB of GP PracticeNHS CHESHIRE AND MERSEYSIDE ICB - 01X (01X)EQ VAS</v>
      </c>
      <c r="C15" t="s">
        <v>749</v>
      </c>
      <c r="D15" t="s">
        <v>1021</v>
      </c>
      <c r="E15" t="s">
        <v>777</v>
      </c>
      <c r="F15" t="s">
        <v>778</v>
      </c>
      <c r="G15" t="s">
        <v>752</v>
      </c>
      <c r="H15">
        <v>56</v>
      </c>
      <c r="I15">
        <v>57.839300000000001</v>
      </c>
      <c r="J15">
        <v>68.107100000000003</v>
      </c>
      <c r="K15">
        <v>10.267899999999999</v>
      </c>
      <c r="L15">
        <v>40</v>
      </c>
      <c r="M15">
        <v>2</v>
      </c>
      <c r="N15">
        <v>14</v>
      </c>
      <c r="O15">
        <v>70.748800000000003</v>
      </c>
      <c r="P15">
        <v>9.9375699999999991</v>
      </c>
      <c r="Q15">
        <v>19.056799999999999</v>
      </c>
    </row>
    <row r="16" spans="1:17" x14ac:dyDescent="0.25">
      <c r="A16" t="str">
        <f>IF(C16&amp;G16&amp;D16&lt;&gt;'Funnel setup'!$K$3&amp;'Funnel setup'!$K$4&amp;'Funnel setup'!$K$6,".",IF(A15=".",1,A15+1))</f>
        <v>.</v>
      </c>
      <c r="B16" s="244" t="str">
        <f t="shared" si="0"/>
        <v>Hip Replacement PrimarySub-ICB of GP PracticeNHS CHESHIRE AND MERSEYSIDE ICB - 02E (02E)EQ VAS</v>
      </c>
      <c r="C16" t="s">
        <v>749</v>
      </c>
      <c r="D16" t="s">
        <v>1021</v>
      </c>
      <c r="E16" t="s">
        <v>779</v>
      </c>
      <c r="F16" t="s">
        <v>780</v>
      </c>
      <c r="G16" t="s">
        <v>752</v>
      </c>
      <c r="H16">
        <v>29</v>
      </c>
      <c r="I16">
        <v>64.724100000000007</v>
      </c>
      <c r="J16">
        <v>76.379300000000001</v>
      </c>
      <c r="K16">
        <v>11.655200000000001</v>
      </c>
      <c r="L16">
        <v>20</v>
      </c>
      <c r="M16">
        <v>1</v>
      </c>
      <c r="N16">
        <v>8</v>
      </c>
      <c r="O16" t="s">
        <v>127</v>
      </c>
      <c r="P16" t="s">
        <v>127</v>
      </c>
      <c r="Q16" t="s">
        <v>127</v>
      </c>
    </row>
    <row r="17" spans="1:17" x14ac:dyDescent="0.25">
      <c r="A17" t="str">
        <f>IF(C17&amp;G17&amp;D17&lt;&gt;'Funnel setup'!$K$3&amp;'Funnel setup'!$K$4&amp;'Funnel setup'!$K$6,".",IF(A16=".",1,A16+1))</f>
        <v>.</v>
      </c>
      <c r="B17" s="244" t="str">
        <f t="shared" si="0"/>
        <v>Hip Replacement PrimarySub-ICB of GP PracticeNHS CHESHIRE AND MERSEYSIDE ICB - 12F (12F)EQ VAS</v>
      </c>
      <c r="C17" t="s">
        <v>749</v>
      </c>
      <c r="D17" t="s">
        <v>1021</v>
      </c>
      <c r="E17" t="s">
        <v>781</v>
      </c>
      <c r="F17" t="s">
        <v>782</v>
      </c>
      <c r="G17" t="s">
        <v>752</v>
      </c>
      <c r="H17">
        <v>88</v>
      </c>
      <c r="I17">
        <v>58.715899999999998</v>
      </c>
      <c r="J17">
        <v>74.9773</v>
      </c>
      <c r="K17">
        <v>16.261399999999998</v>
      </c>
      <c r="L17">
        <v>63</v>
      </c>
      <c r="M17">
        <v>7</v>
      </c>
      <c r="N17">
        <v>18</v>
      </c>
      <c r="O17">
        <v>75.822000000000003</v>
      </c>
      <c r="P17">
        <v>15.0107</v>
      </c>
      <c r="Q17">
        <v>15.9657</v>
      </c>
    </row>
    <row r="18" spans="1:17" x14ac:dyDescent="0.25">
      <c r="A18" t="str">
        <f>IF(C18&amp;G18&amp;D18&lt;&gt;'Funnel setup'!$K$3&amp;'Funnel setup'!$K$4&amp;'Funnel setup'!$K$6,".",IF(A17=".",1,A17+1))</f>
        <v>.</v>
      </c>
      <c r="B18" s="244" t="str">
        <f t="shared" si="0"/>
        <v>Hip Replacement PrimarySub-ICB of GP PracticeNHS CHESHIRE AND MERSEYSIDE ICB - 27D (27D)EQ VAS</v>
      </c>
      <c r="C18" t="s">
        <v>749</v>
      </c>
      <c r="D18" t="s">
        <v>1021</v>
      </c>
      <c r="E18" t="s">
        <v>783</v>
      </c>
      <c r="F18" t="s">
        <v>784</v>
      </c>
      <c r="G18" t="s">
        <v>752</v>
      </c>
      <c r="H18">
        <v>247</v>
      </c>
      <c r="I18">
        <v>60.862299999999998</v>
      </c>
      <c r="J18">
        <v>78.441299999999998</v>
      </c>
      <c r="K18">
        <v>17.578900000000001</v>
      </c>
      <c r="L18">
        <v>182</v>
      </c>
      <c r="M18">
        <v>16</v>
      </c>
      <c r="N18">
        <v>49</v>
      </c>
      <c r="O18">
        <v>77.861500000000007</v>
      </c>
      <c r="P18">
        <v>17.0502</v>
      </c>
      <c r="Q18">
        <v>15.855700000000001</v>
      </c>
    </row>
    <row r="19" spans="1:17" x14ac:dyDescent="0.25">
      <c r="A19" t="str">
        <f>IF(C19&amp;G19&amp;D19&lt;&gt;'Funnel setup'!$K$3&amp;'Funnel setup'!$K$4&amp;'Funnel setup'!$K$6,".",IF(A18=".",1,A18+1))</f>
        <v>.</v>
      </c>
      <c r="B19" s="244" t="str">
        <f t="shared" si="0"/>
        <v>Hip Replacement PrimarySub-ICB of GP PracticeNHS CHESHIRE AND MERSEYSIDE ICB - 99A (99A)EQ VAS</v>
      </c>
      <c r="C19" t="s">
        <v>749</v>
      </c>
      <c r="D19" t="s">
        <v>1021</v>
      </c>
      <c r="E19" t="s">
        <v>785</v>
      </c>
      <c r="F19" t="s">
        <v>786</v>
      </c>
      <c r="G19" t="s">
        <v>752</v>
      </c>
      <c r="H19">
        <v>74</v>
      </c>
      <c r="I19">
        <v>51.6892</v>
      </c>
      <c r="J19">
        <v>72.8108</v>
      </c>
      <c r="K19">
        <v>21.121600000000001</v>
      </c>
      <c r="L19">
        <v>55</v>
      </c>
      <c r="M19">
        <v>7</v>
      </c>
      <c r="N19">
        <v>12</v>
      </c>
      <c r="O19">
        <v>79.607500000000002</v>
      </c>
      <c r="P19">
        <v>18.796199999999999</v>
      </c>
      <c r="Q19">
        <v>15.9643</v>
      </c>
    </row>
    <row r="20" spans="1:17" x14ac:dyDescent="0.25">
      <c r="A20" t="str">
        <f>IF(C20&amp;G20&amp;D20&lt;&gt;'Funnel setup'!$K$3&amp;'Funnel setup'!$K$4&amp;'Funnel setup'!$K$6,".",IF(A19=".",1,A19+1))</f>
        <v>.</v>
      </c>
      <c r="B20" s="244" t="str">
        <f t="shared" si="0"/>
        <v>Hip Replacement PrimarySub-ICB of GP PracticeNHS CORNWALL AND THE ISLES OF SCILLY ICB - 11N (11N)EQ VAS</v>
      </c>
      <c r="C20" t="s">
        <v>749</v>
      </c>
      <c r="D20" t="s">
        <v>1021</v>
      </c>
      <c r="E20" t="s">
        <v>787</v>
      </c>
      <c r="F20" t="s">
        <v>788</v>
      </c>
      <c r="G20" t="s">
        <v>752</v>
      </c>
      <c r="H20">
        <v>146</v>
      </c>
      <c r="I20">
        <v>62.6233</v>
      </c>
      <c r="J20">
        <v>79.178100000000001</v>
      </c>
      <c r="K20">
        <v>16.5548</v>
      </c>
      <c r="L20">
        <v>110</v>
      </c>
      <c r="M20">
        <v>14</v>
      </c>
      <c r="N20">
        <v>22</v>
      </c>
      <c r="O20">
        <v>78.102099999999993</v>
      </c>
      <c r="P20">
        <v>17.290900000000001</v>
      </c>
      <c r="Q20">
        <v>16.1479</v>
      </c>
    </row>
    <row r="21" spans="1:17" x14ac:dyDescent="0.25">
      <c r="A21" t="str">
        <f>IF(C21&amp;G21&amp;D21&lt;&gt;'Funnel setup'!$K$3&amp;'Funnel setup'!$K$4&amp;'Funnel setup'!$K$6,".",IF(A20=".",1,A20+1))</f>
        <v>.</v>
      </c>
      <c r="B21" s="244" t="str">
        <f t="shared" si="0"/>
        <v>Hip Replacement PrimarySub-ICB of GP PracticeNHS COVENTRY AND WARWICKSHIRE ICB - B2M3M (B2M3M)EQ VAS</v>
      </c>
      <c r="C21" t="s">
        <v>749</v>
      </c>
      <c r="D21" t="s">
        <v>1021</v>
      </c>
      <c r="E21" t="s">
        <v>789</v>
      </c>
      <c r="F21" t="s">
        <v>790</v>
      </c>
      <c r="G21" t="s">
        <v>752</v>
      </c>
      <c r="H21">
        <v>250</v>
      </c>
      <c r="I21">
        <v>65.635999999999996</v>
      </c>
      <c r="J21">
        <v>79.183999999999997</v>
      </c>
      <c r="K21">
        <v>13.548</v>
      </c>
      <c r="L21">
        <v>169</v>
      </c>
      <c r="M21">
        <v>29</v>
      </c>
      <c r="N21">
        <v>52</v>
      </c>
      <c r="O21">
        <v>76.811999999999998</v>
      </c>
      <c r="P21">
        <v>16.000699999999998</v>
      </c>
      <c r="Q21">
        <v>14.5288</v>
      </c>
    </row>
    <row r="22" spans="1:17" x14ac:dyDescent="0.25">
      <c r="A22" t="str">
        <f>IF(C22&amp;G22&amp;D22&lt;&gt;'Funnel setup'!$K$3&amp;'Funnel setup'!$K$4&amp;'Funnel setup'!$K$6,".",IF(A21=".",1,A21+1))</f>
        <v>.</v>
      </c>
      <c r="B22" s="244" t="str">
        <f t="shared" si="0"/>
        <v>Hip Replacement PrimarySub-ICB of GP PracticeNHS DERBY AND DERBYSHIRE ICB - 15M (15M)EQ VAS</v>
      </c>
      <c r="C22" t="s">
        <v>749</v>
      </c>
      <c r="D22" t="s">
        <v>1021</v>
      </c>
      <c r="E22" t="s">
        <v>791</v>
      </c>
      <c r="F22" t="s">
        <v>792</v>
      </c>
      <c r="G22" t="s">
        <v>752</v>
      </c>
      <c r="H22">
        <v>431</v>
      </c>
      <c r="I22">
        <v>57.846899999999998</v>
      </c>
      <c r="J22">
        <v>74.719300000000004</v>
      </c>
      <c r="K22">
        <v>16.872399999999999</v>
      </c>
      <c r="L22">
        <v>299</v>
      </c>
      <c r="M22">
        <v>39</v>
      </c>
      <c r="N22">
        <v>93</v>
      </c>
      <c r="O22">
        <v>75.627799999999993</v>
      </c>
      <c r="P22">
        <v>14.816599999999999</v>
      </c>
      <c r="Q22">
        <v>16.797000000000001</v>
      </c>
    </row>
    <row r="23" spans="1:17" x14ac:dyDescent="0.25">
      <c r="A23" t="str">
        <f>IF(C23&amp;G23&amp;D23&lt;&gt;'Funnel setup'!$K$3&amp;'Funnel setup'!$K$4&amp;'Funnel setup'!$K$6,".",IF(A22=".",1,A22+1))</f>
        <v>.</v>
      </c>
      <c r="B23" s="244" t="str">
        <f t="shared" si="0"/>
        <v>Hip Replacement PrimarySub-ICB of GP PracticeNHS DEVON ICB - 15N (15N)EQ VAS</v>
      </c>
      <c r="C23" t="s">
        <v>749</v>
      </c>
      <c r="D23" t="s">
        <v>1021</v>
      </c>
      <c r="E23" t="s">
        <v>793</v>
      </c>
      <c r="F23" t="s">
        <v>794</v>
      </c>
      <c r="G23" t="s">
        <v>752</v>
      </c>
      <c r="H23">
        <v>338</v>
      </c>
      <c r="I23">
        <v>65.260400000000004</v>
      </c>
      <c r="J23">
        <v>76.245599999999996</v>
      </c>
      <c r="K23">
        <v>10.985200000000001</v>
      </c>
      <c r="L23">
        <v>228</v>
      </c>
      <c r="M23">
        <v>25</v>
      </c>
      <c r="N23">
        <v>85</v>
      </c>
      <c r="O23">
        <v>75.202600000000004</v>
      </c>
      <c r="P23">
        <v>14.391299999999999</v>
      </c>
      <c r="Q23">
        <v>15.8522</v>
      </c>
    </row>
    <row r="24" spans="1:17" x14ac:dyDescent="0.25">
      <c r="A24" t="str">
        <f>IF(C24&amp;G24&amp;D24&lt;&gt;'Funnel setup'!$K$3&amp;'Funnel setup'!$K$4&amp;'Funnel setup'!$K$6,".",IF(A23=".",1,A23+1))</f>
        <v>.</v>
      </c>
      <c r="B24" s="244" t="str">
        <f t="shared" si="0"/>
        <v>Hip Replacement PrimarySub-ICB of GP PracticeNHS DORSET ICB - 11J (11J)EQ VAS</v>
      </c>
      <c r="C24" t="s">
        <v>749</v>
      </c>
      <c r="D24" t="s">
        <v>1021</v>
      </c>
      <c r="E24" t="s">
        <v>795</v>
      </c>
      <c r="F24" t="s">
        <v>796</v>
      </c>
      <c r="G24" t="s">
        <v>752</v>
      </c>
      <c r="H24">
        <v>262</v>
      </c>
      <c r="I24">
        <v>64.396900000000002</v>
      </c>
      <c r="J24">
        <v>77.477099999999993</v>
      </c>
      <c r="K24">
        <v>13.0802</v>
      </c>
      <c r="L24">
        <v>191</v>
      </c>
      <c r="M24">
        <v>24</v>
      </c>
      <c r="N24">
        <v>47</v>
      </c>
      <c r="O24">
        <v>76.037599999999998</v>
      </c>
      <c r="P24">
        <v>15.2263</v>
      </c>
      <c r="Q24">
        <v>15.648400000000001</v>
      </c>
    </row>
    <row r="25" spans="1:17" x14ac:dyDescent="0.25">
      <c r="A25" t="str">
        <f>IF(C25&amp;G25&amp;D25&lt;&gt;'Funnel setup'!$K$3&amp;'Funnel setup'!$K$4&amp;'Funnel setup'!$K$6,".",IF(A24=".",1,A24+1))</f>
        <v>.</v>
      </c>
      <c r="B25" s="244" t="str">
        <f t="shared" si="0"/>
        <v>Hip Replacement PrimarySub-ICB of GP PracticeNHS FRIMLEY ICB - D4U1Y (D4U1Y)EQ VAS</v>
      </c>
      <c r="C25" t="s">
        <v>749</v>
      </c>
      <c r="D25" t="s">
        <v>1021</v>
      </c>
      <c r="E25" t="s">
        <v>797</v>
      </c>
      <c r="F25" t="s">
        <v>798</v>
      </c>
      <c r="G25" t="s">
        <v>752</v>
      </c>
      <c r="H25">
        <v>151</v>
      </c>
      <c r="I25">
        <v>61.523200000000003</v>
      </c>
      <c r="J25">
        <v>75.649000000000001</v>
      </c>
      <c r="K25">
        <v>14.1258</v>
      </c>
      <c r="L25">
        <v>108</v>
      </c>
      <c r="M25">
        <v>10</v>
      </c>
      <c r="N25">
        <v>33</v>
      </c>
      <c r="O25">
        <v>75.006100000000004</v>
      </c>
      <c r="P25">
        <v>14.194900000000001</v>
      </c>
      <c r="Q25">
        <v>16.3827</v>
      </c>
    </row>
    <row r="26" spans="1:17" x14ac:dyDescent="0.25">
      <c r="A26" t="str">
        <f>IF(C26&amp;G26&amp;D26&lt;&gt;'Funnel setup'!$K$3&amp;'Funnel setup'!$K$4&amp;'Funnel setup'!$K$6,".",IF(A25=".",1,A25+1))</f>
        <v>.</v>
      </c>
      <c r="B26" s="244" t="str">
        <f t="shared" si="0"/>
        <v>Hip Replacement PrimarySub-ICB of GP PracticeNHS GLOUCESTERSHIRE ICB - 11M (11M)EQ VAS</v>
      </c>
      <c r="C26" t="s">
        <v>749</v>
      </c>
      <c r="D26" t="s">
        <v>1021</v>
      </c>
      <c r="E26" t="s">
        <v>799</v>
      </c>
      <c r="F26" t="s">
        <v>800</v>
      </c>
      <c r="G26" t="s">
        <v>752</v>
      </c>
      <c r="H26">
        <v>154</v>
      </c>
      <c r="I26">
        <v>56.220799999999997</v>
      </c>
      <c r="J26">
        <v>76.720799999999997</v>
      </c>
      <c r="K26">
        <v>20.5</v>
      </c>
      <c r="L26">
        <v>118</v>
      </c>
      <c r="M26">
        <v>14</v>
      </c>
      <c r="N26">
        <v>22</v>
      </c>
      <c r="O26">
        <v>76.708399999999997</v>
      </c>
      <c r="P26">
        <v>15.8971</v>
      </c>
      <c r="Q26">
        <v>15.8279</v>
      </c>
    </row>
    <row r="27" spans="1:17" x14ac:dyDescent="0.25">
      <c r="A27" t="str">
        <f>IF(C27&amp;G27&amp;D27&lt;&gt;'Funnel setup'!$K$3&amp;'Funnel setup'!$K$4&amp;'Funnel setup'!$K$6,".",IF(A26=".",1,A26+1))</f>
        <v>.</v>
      </c>
      <c r="B27" s="244" t="str">
        <f t="shared" si="0"/>
        <v>Hip Replacement PrimarySub-ICB of GP PracticeNHS GREATER MANCHESTER ICB - 00T (00T)EQ VAS</v>
      </c>
      <c r="C27" t="s">
        <v>749</v>
      </c>
      <c r="D27" t="s">
        <v>1021</v>
      </c>
      <c r="E27" t="s">
        <v>801</v>
      </c>
      <c r="F27" t="s">
        <v>802</v>
      </c>
      <c r="G27" t="s">
        <v>752</v>
      </c>
      <c r="H27">
        <v>50</v>
      </c>
      <c r="I27">
        <v>65.260000000000005</v>
      </c>
      <c r="J27">
        <v>74.040000000000006</v>
      </c>
      <c r="K27">
        <v>8.7799999999999994</v>
      </c>
      <c r="L27">
        <v>35</v>
      </c>
      <c r="M27">
        <v>3</v>
      </c>
      <c r="N27">
        <v>12</v>
      </c>
      <c r="O27">
        <v>76.665099999999995</v>
      </c>
      <c r="P27">
        <v>15.8538</v>
      </c>
      <c r="Q27">
        <v>18.9682</v>
      </c>
    </row>
    <row r="28" spans="1:17" x14ac:dyDescent="0.25">
      <c r="A28" t="str">
        <f>IF(C28&amp;G28&amp;D28&lt;&gt;'Funnel setup'!$K$3&amp;'Funnel setup'!$K$4&amp;'Funnel setup'!$K$6,".",IF(A27=".",1,A27+1))</f>
        <v>.</v>
      </c>
      <c r="B28" s="244" t="str">
        <f t="shared" si="0"/>
        <v>Hip Replacement PrimarySub-ICB of GP PracticeNHS GREATER MANCHESTER ICB - 00V (00V)EQ VAS</v>
      </c>
      <c r="C28" t="s">
        <v>749</v>
      </c>
      <c r="D28" t="s">
        <v>1021</v>
      </c>
      <c r="E28" t="s">
        <v>803</v>
      </c>
      <c r="F28" t="s">
        <v>804</v>
      </c>
      <c r="G28" t="s">
        <v>752</v>
      </c>
      <c r="H28">
        <v>16</v>
      </c>
      <c r="I28">
        <v>63.5625</v>
      </c>
      <c r="J28">
        <v>73.5</v>
      </c>
      <c r="K28">
        <v>9.9375</v>
      </c>
      <c r="L28">
        <v>10</v>
      </c>
      <c r="M28">
        <v>2</v>
      </c>
      <c r="N28">
        <v>4</v>
      </c>
      <c r="O28" t="s">
        <v>127</v>
      </c>
      <c r="P28" t="s">
        <v>127</v>
      </c>
      <c r="Q28" t="s">
        <v>127</v>
      </c>
    </row>
    <row r="29" spans="1:17" x14ac:dyDescent="0.25">
      <c r="A29" t="str">
        <f>IF(C29&amp;G29&amp;D29&lt;&gt;'Funnel setup'!$K$3&amp;'Funnel setup'!$K$4&amp;'Funnel setup'!$K$6,".",IF(A28=".",1,A28+1))</f>
        <v>.</v>
      </c>
      <c r="B29" s="244" t="str">
        <f t="shared" si="0"/>
        <v>Hip Replacement PrimarySub-ICB of GP PracticeNHS GREATER MANCHESTER ICB - 00Y (00Y)EQ VAS</v>
      </c>
      <c r="C29" t="s">
        <v>749</v>
      </c>
      <c r="D29" t="s">
        <v>1021</v>
      </c>
      <c r="E29" t="s">
        <v>805</v>
      </c>
      <c r="F29" t="s">
        <v>806</v>
      </c>
      <c r="G29" t="s">
        <v>752</v>
      </c>
      <c r="H29">
        <v>66</v>
      </c>
      <c r="I29">
        <v>61.348500000000001</v>
      </c>
      <c r="J29">
        <v>78.909099999999995</v>
      </c>
      <c r="K29">
        <v>17.560600000000001</v>
      </c>
      <c r="L29">
        <v>53</v>
      </c>
      <c r="M29">
        <v>3</v>
      </c>
      <c r="N29">
        <v>10</v>
      </c>
      <c r="O29">
        <v>78.272900000000007</v>
      </c>
      <c r="P29">
        <v>17.461600000000001</v>
      </c>
      <c r="Q29">
        <v>15.1775</v>
      </c>
    </row>
    <row r="30" spans="1:17" x14ac:dyDescent="0.25">
      <c r="A30" t="str">
        <f>IF(C30&amp;G30&amp;D30&lt;&gt;'Funnel setup'!$K$3&amp;'Funnel setup'!$K$4&amp;'Funnel setup'!$K$6,".",IF(A29=".",1,A29+1))</f>
        <v>.</v>
      </c>
      <c r="B30" s="244" t="str">
        <f t="shared" si="0"/>
        <v>Hip Replacement PrimarySub-ICB of GP PracticeNHS GREATER MANCHESTER ICB - 01D (01D)EQ VAS</v>
      </c>
      <c r="C30" t="s">
        <v>749</v>
      </c>
      <c r="D30" t="s">
        <v>1021</v>
      </c>
      <c r="E30" t="s">
        <v>807</v>
      </c>
      <c r="F30" t="s">
        <v>808</v>
      </c>
      <c r="G30" t="s">
        <v>752</v>
      </c>
      <c r="H30">
        <v>17</v>
      </c>
      <c r="I30">
        <v>52.470599999999997</v>
      </c>
      <c r="J30">
        <v>73.882400000000004</v>
      </c>
      <c r="K30">
        <v>21.411799999999999</v>
      </c>
      <c r="L30">
        <v>13</v>
      </c>
      <c r="M30">
        <v>0</v>
      </c>
      <c r="N30">
        <v>4</v>
      </c>
      <c r="O30" t="s">
        <v>127</v>
      </c>
      <c r="P30" t="s">
        <v>127</v>
      </c>
      <c r="Q30" t="s">
        <v>127</v>
      </c>
    </row>
    <row r="31" spans="1:17" x14ac:dyDescent="0.25">
      <c r="A31" t="str">
        <f>IF(C31&amp;G31&amp;D31&lt;&gt;'Funnel setup'!$K$3&amp;'Funnel setup'!$K$4&amp;'Funnel setup'!$K$6,".",IF(A30=".",1,A30+1))</f>
        <v>.</v>
      </c>
      <c r="B31" s="244" t="str">
        <f t="shared" si="0"/>
        <v>Hip Replacement PrimarySub-ICB of GP PracticeNHS GREATER MANCHESTER ICB - 01G (01G)EQ VAS</v>
      </c>
      <c r="C31" t="s">
        <v>749</v>
      </c>
      <c r="D31" t="s">
        <v>1021</v>
      </c>
      <c r="E31" t="s">
        <v>809</v>
      </c>
      <c r="F31" t="s">
        <v>810</v>
      </c>
      <c r="G31" t="s">
        <v>752</v>
      </c>
      <c r="H31">
        <v>30</v>
      </c>
      <c r="I31">
        <v>61.566699999999997</v>
      </c>
      <c r="J31">
        <v>68.2333</v>
      </c>
      <c r="K31">
        <v>6.6666699999999999</v>
      </c>
      <c r="L31">
        <v>18</v>
      </c>
      <c r="M31">
        <v>4</v>
      </c>
      <c r="N31">
        <v>8</v>
      </c>
      <c r="O31">
        <v>69.4572</v>
      </c>
      <c r="P31">
        <v>8.6459799999999998</v>
      </c>
      <c r="Q31">
        <v>18.533999999999999</v>
      </c>
    </row>
    <row r="32" spans="1:17" x14ac:dyDescent="0.25">
      <c r="A32" t="str">
        <f>IF(C32&amp;G32&amp;D32&lt;&gt;'Funnel setup'!$K$3&amp;'Funnel setup'!$K$4&amp;'Funnel setup'!$K$6,".",IF(A31=".",1,A31+1))</f>
        <v>.</v>
      </c>
      <c r="B32" s="244" t="str">
        <f t="shared" si="0"/>
        <v>Hip Replacement PrimarySub-ICB of GP PracticeNHS GREATER MANCHESTER ICB - 01W (01W)EQ VAS</v>
      </c>
      <c r="C32" t="s">
        <v>749</v>
      </c>
      <c r="D32" t="s">
        <v>1021</v>
      </c>
      <c r="E32" t="s">
        <v>811</v>
      </c>
      <c r="F32" t="s">
        <v>812</v>
      </c>
      <c r="G32" t="s">
        <v>752</v>
      </c>
      <c r="H32">
        <v>71</v>
      </c>
      <c r="I32">
        <v>59.112699999999997</v>
      </c>
      <c r="J32">
        <v>73.915499999999994</v>
      </c>
      <c r="K32">
        <v>14.8028</v>
      </c>
      <c r="L32">
        <v>48</v>
      </c>
      <c r="M32">
        <v>9</v>
      </c>
      <c r="N32">
        <v>14</v>
      </c>
      <c r="O32">
        <v>74.961699999999993</v>
      </c>
      <c r="P32">
        <v>14.150499999999999</v>
      </c>
      <c r="Q32">
        <v>18.744499999999999</v>
      </c>
    </row>
    <row r="33" spans="1:17" x14ac:dyDescent="0.25">
      <c r="A33" t="str">
        <f>IF(C33&amp;G33&amp;D33&lt;&gt;'Funnel setup'!$K$3&amp;'Funnel setup'!$K$4&amp;'Funnel setup'!$K$6,".",IF(A32=".",1,A32+1))</f>
        <v>.</v>
      </c>
      <c r="B33" s="244" t="str">
        <f t="shared" si="0"/>
        <v>Hip Replacement PrimarySub-ICB of GP PracticeNHS GREATER MANCHESTER ICB - 01Y (01Y)EQ VAS</v>
      </c>
      <c r="C33" t="s">
        <v>749</v>
      </c>
      <c r="D33" t="s">
        <v>1021</v>
      </c>
      <c r="E33" t="s">
        <v>813</v>
      </c>
      <c r="F33" t="s">
        <v>814</v>
      </c>
      <c r="G33" t="s">
        <v>752</v>
      </c>
      <c r="H33">
        <v>33</v>
      </c>
      <c r="I33">
        <v>62.7879</v>
      </c>
      <c r="J33">
        <v>76.606099999999998</v>
      </c>
      <c r="K33">
        <v>13.818199999999999</v>
      </c>
      <c r="L33">
        <v>19</v>
      </c>
      <c r="M33">
        <v>3</v>
      </c>
      <c r="N33">
        <v>11</v>
      </c>
      <c r="O33">
        <v>74.753299999999996</v>
      </c>
      <c r="P33">
        <v>13.942</v>
      </c>
      <c r="Q33">
        <v>19.577500000000001</v>
      </c>
    </row>
    <row r="34" spans="1:17" x14ac:dyDescent="0.25">
      <c r="A34" t="str">
        <f>IF(C34&amp;G34&amp;D34&lt;&gt;'Funnel setup'!$K$3&amp;'Funnel setup'!$K$4&amp;'Funnel setup'!$K$6,".",IF(A33=".",1,A33+1))</f>
        <v>.</v>
      </c>
      <c r="B34" s="244" t="str">
        <f t="shared" si="0"/>
        <v>Hip Replacement PrimarySub-ICB of GP PracticeNHS GREATER MANCHESTER ICB - 02A (02A)EQ VAS</v>
      </c>
      <c r="C34" t="s">
        <v>749</v>
      </c>
      <c r="D34" t="s">
        <v>1021</v>
      </c>
      <c r="E34" t="s">
        <v>815</v>
      </c>
      <c r="F34" t="s">
        <v>816</v>
      </c>
      <c r="G34" t="s">
        <v>752</v>
      </c>
      <c r="H34">
        <v>71</v>
      </c>
      <c r="I34">
        <v>55.816899999999997</v>
      </c>
      <c r="J34">
        <v>71.605599999999995</v>
      </c>
      <c r="K34">
        <v>15.7887</v>
      </c>
      <c r="L34">
        <v>51</v>
      </c>
      <c r="M34">
        <v>2</v>
      </c>
      <c r="N34">
        <v>18</v>
      </c>
      <c r="O34">
        <v>72.437799999999996</v>
      </c>
      <c r="P34">
        <v>11.6265</v>
      </c>
      <c r="Q34">
        <v>16.216000000000001</v>
      </c>
    </row>
    <row r="35" spans="1:17" x14ac:dyDescent="0.25">
      <c r="A35" t="str">
        <f>IF(C35&amp;G35&amp;D35&lt;&gt;'Funnel setup'!$K$3&amp;'Funnel setup'!$K$4&amp;'Funnel setup'!$K$6,".",IF(A34=".",1,A34+1))</f>
        <v>.</v>
      </c>
      <c r="B35" s="244" t="str">
        <f t="shared" si="0"/>
        <v>Hip Replacement PrimarySub-ICB of GP PracticeNHS GREATER MANCHESTER ICB - 02H (02H)EQ VAS</v>
      </c>
      <c r="C35" t="s">
        <v>749</v>
      </c>
      <c r="D35" t="s">
        <v>1021</v>
      </c>
      <c r="E35" t="s">
        <v>817</v>
      </c>
      <c r="F35" t="s">
        <v>818</v>
      </c>
      <c r="G35" t="s">
        <v>752</v>
      </c>
      <c r="H35">
        <v>22</v>
      </c>
      <c r="I35">
        <v>60.409100000000002</v>
      </c>
      <c r="J35">
        <v>74.363600000000005</v>
      </c>
      <c r="K35">
        <v>13.954499999999999</v>
      </c>
      <c r="L35">
        <v>14</v>
      </c>
      <c r="M35">
        <v>0</v>
      </c>
      <c r="N35">
        <v>8</v>
      </c>
      <c r="O35" t="s">
        <v>127</v>
      </c>
      <c r="P35" t="s">
        <v>127</v>
      </c>
      <c r="Q35" t="s">
        <v>127</v>
      </c>
    </row>
    <row r="36" spans="1:17" x14ac:dyDescent="0.25">
      <c r="A36" t="str">
        <f>IF(C36&amp;G36&amp;D36&lt;&gt;'Funnel setup'!$K$3&amp;'Funnel setup'!$K$4&amp;'Funnel setup'!$K$6,".",IF(A35=".",1,A35+1))</f>
        <v>.</v>
      </c>
      <c r="B36" s="244" t="str">
        <f t="shared" si="0"/>
        <v>Hip Replacement PrimarySub-ICB of GP PracticeNHS GREATER MANCHESTER ICB - 14L (14L)EQ VAS</v>
      </c>
      <c r="C36" t="s">
        <v>749</v>
      </c>
      <c r="D36" t="s">
        <v>1021</v>
      </c>
      <c r="E36" t="s">
        <v>819</v>
      </c>
      <c r="F36" t="s">
        <v>820</v>
      </c>
      <c r="G36" t="s">
        <v>752</v>
      </c>
      <c r="H36">
        <v>40</v>
      </c>
      <c r="I36">
        <v>60.95</v>
      </c>
      <c r="J36">
        <v>76.900000000000006</v>
      </c>
      <c r="K36">
        <v>15.95</v>
      </c>
      <c r="L36">
        <v>31</v>
      </c>
      <c r="M36">
        <v>3</v>
      </c>
      <c r="N36">
        <v>6</v>
      </c>
      <c r="O36">
        <v>78.641900000000007</v>
      </c>
      <c r="P36">
        <v>17.8306</v>
      </c>
      <c r="Q36">
        <v>18.809699999999999</v>
      </c>
    </row>
    <row r="37" spans="1:17" x14ac:dyDescent="0.25">
      <c r="A37" t="str">
        <f>IF(C37&amp;G37&amp;D37&lt;&gt;'Funnel setup'!$K$3&amp;'Funnel setup'!$K$4&amp;'Funnel setup'!$K$6,".",IF(A36=".",1,A36+1))</f>
        <v>.</v>
      </c>
      <c r="B37" s="244" t="str">
        <f t="shared" si="0"/>
        <v>Hip Replacement PrimarySub-ICB of GP PracticeNHS HAMPSHIRE AND ISLE OF WIGHT ICB - 10R (10R)EQ VAS</v>
      </c>
      <c r="C37" t="s">
        <v>749</v>
      </c>
      <c r="D37" t="s">
        <v>1021</v>
      </c>
      <c r="E37" t="s">
        <v>821</v>
      </c>
      <c r="F37" t="s">
        <v>822</v>
      </c>
      <c r="G37" t="s">
        <v>752</v>
      </c>
      <c r="H37">
        <v>13</v>
      </c>
      <c r="I37">
        <v>57.461500000000001</v>
      </c>
      <c r="J37">
        <v>81.230800000000002</v>
      </c>
      <c r="K37">
        <v>23.769200000000001</v>
      </c>
      <c r="L37">
        <v>10</v>
      </c>
      <c r="M37">
        <v>1</v>
      </c>
      <c r="N37">
        <v>2</v>
      </c>
      <c r="O37" t="s">
        <v>127</v>
      </c>
      <c r="P37" t="s">
        <v>127</v>
      </c>
      <c r="Q37" t="s">
        <v>127</v>
      </c>
    </row>
    <row r="38" spans="1:17" x14ac:dyDescent="0.25">
      <c r="A38" t="str">
        <f>IF(C38&amp;G38&amp;D38&lt;&gt;'Funnel setup'!$K$3&amp;'Funnel setup'!$K$4&amp;'Funnel setup'!$K$6,".",IF(A37=".",1,A37+1))</f>
        <v>.</v>
      </c>
      <c r="B38" s="244" t="str">
        <f t="shared" si="0"/>
        <v>Hip Replacement PrimarySub-ICB of GP PracticeNHS HAMPSHIRE AND ISLE OF WIGHT ICB - D9Y0V (D9Y0V)EQ VAS</v>
      </c>
      <c r="C38" t="s">
        <v>749</v>
      </c>
      <c r="D38" t="s">
        <v>1021</v>
      </c>
      <c r="E38" t="s">
        <v>823</v>
      </c>
      <c r="F38" t="s">
        <v>824</v>
      </c>
      <c r="G38" t="s">
        <v>752</v>
      </c>
      <c r="H38">
        <v>385</v>
      </c>
      <c r="I38">
        <v>62.9636</v>
      </c>
      <c r="J38">
        <v>77.389600000000002</v>
      </c>
      <c r="K38">
        <v>14.426</v>
      </c>
      <c r="L38">
        <v>273</v>
      </c>
      <c r="M38">
        <v>33</v>
      </c>
      <c r="N38">
        <v>79</v>
      </c>
      <c r="O38">
        <v>76.199600000000004</v>
      </c>
      <c r="P38">
        <v>15.388400000000001</v>
      </c>
      <c r="Q38">
        <v>15.525499999999999</v>
      </c>
    </row>
    <row r="39" spans="1:17" x14ac:dyDescent="0.25">
      <c r="A39" t="str">
        <f>IF(C39&amp;G39&amp;D39&lt;&gt;'Funnel setup'!$K$3&amp;'Funnel setup'!$K$4&amp;'Funnel setup'!$K$6,".",IF(A38=".",1,A38+1))</f>
        <v>.</v>
      </c>
      <c r="B39" s="244" t="str">
        <f t="shared" si="0"/>
        <v>Hip Replacement PrimarySub-ICB of GP PracticeNHS HEREFORDSHIRE AND WORCESTERSHIRE ICB - 18C (18C)EQ VAS</v>
      </c>
      <c r="C39" t="s">
        <v>749</v>
      </c>
      <c r="D39" t="s">
        <v>1021</v>
      </c>
      <c r="E39" t="s">
        <v>825</v>
      </c>
      <c r="F39" t="s">
        <v>826</v>
      </c>
      <c r="G39" t="s">
        <v>752</v>
      </c>
      <c r="H39">
        <v>189</v>
      </c>
      <c r="I39">
        <v>58.608499999999999</v>
      </c>
      <c r="J39">
        <v>74.925899999999999</v>
      </c>
      <c r="K39">
        <v>16.317499999999999</v>
      </c>
      <c r="L39">
        <v>140</v>
      </c>
      <c r="M39">
        <v>19</v>
      </c>
      <c r="N39">
        <v>30</v>
      </c>
      <c r="O39">
        <v>76.123800000000003</v>
      </c>
      <c r="P39">
        <v>15.3125</v>
      </c>
      <c r="Q39">
        <v>17.387899999999998</v>
      </c>
    </row>
    <row r="40" spans="1:17" x14ac:dyDescent="0.25">
      <c r="A40" t="str">
        <f>IF(C40&amp;G40&amp;D40&lt;&gt;'Funnel setup'!$K$3&amp;'Funnel setup'!$K$4&amp;'Funnel setup'!$K$6,".",IF(A39=".",1,A39+1))</f>
        <v>.</v>
      </c>
      <c r="B40" s="244" t="str">
        <f t="shared" si="0"/>
        <v>Hip Replacement PrimarySub-ICB of GP PracticeNHS HERTFORDSHIRE AND WEST ESSEX ICB - 06K (06K)EQ VAS</v>
      </c>
      <c r="C40" t="s">
        <v>749</v>
      </c>
      <c r="D40" t="s">
        <v>1021</v>
      </c>
      <c r="E40" t="s">
        <v>827</v>
      </c>
      <c r="F40" t="s">
        <v>828</v>
      </c>
      <c r="G40" t="s">
        <v>752</v>
      </c>
      <c r="H40">
        <v>97</v>
      </c>
      <c r="I40">
        <v>61.659799999999997</v>
      </c>
      <c r="J40">
        <v>74.340199999999996</v>
      </c>
      <c r="K40">
        <v>12.680400000000001</v>
      </c>
      <c r="L40">
        <v>63</v>
      </c>
      <c r="M40">
        <v>10</v>
      </c>
      <c r="N40">
        <v>24</v>
      </c>
      <c r="O40">
        <v>73.776799999999994</v>
      </c>
      <c r="P40">
        <v>12.9656</v>
      </c>
      <c r="Q40">
        <v>18.254999999999999</v>
      </c>
    </row>
    <row r="41" spans="1:17" x14ac:dyDescent="0.25">
      <c r="A41" t="str">
        <f>IF(C41&amp;G41&amp;D41&lt;&gt;'Funnel setup'!$K$3&amp;'Funnel setup'!$K$4&amp;'Funnel setup'!$K$6,".",IF(A40=".",1,A40+1))</f>
        <v>.</v>
      </c>
      <c r="B41" s="244" t="str">
        <f t="shared" si="0"/>
        <v>Hip Replacement PrimarySub-ICB of GP PracticeNHS HERTFORDSHIRE AND WEST ESSEX ICB - 06N (06N)EQ VAS</v>
      </c>
      <c r="C41" t="s">
        <v>749</v>
      </c>
      <c r="D41" t="s">
        <v>1021</v>
      </c>
      <c r="E41" t="s">
        <v>829</v>
      </c>
      <c r="F41" t="s">
        <v>830</v>
      </c>
      <c r="G41" t="s">
        <v>752</v>
      </c>
      <c r="H41">
        <v>114</v>
      </c>
      <c r="I41">
        <v>60.157899999999998</v>
      </c>
      <c r="J41">
        <v>73.771900000000002</v>
      </c>
      <c r="K41">
        <v>13.614000000000001</v>
      </c>
      <c r="L41">
        <v>81</v>
      </c>
      <c r="M41">
        <v>7</v>
      </c>
      <c r="N41">
        <v>26</v>
      </c>
      <c r="O41">
        <v>73.369399999999999</v>
      </c>
      <c r="P41">
        <v>12.5581</v>
      </c>
      <c r="Q41">
        <v>18.5871</v>
      </c>
    </row>
    <row r="42" spans="1:17" x14ac:dyDescent="0.25">
      <c r="A42" t="str">
        <f>IF(C42&amp;G42&amp;D42&lt;&gt;'Funnel setup'!$K$3&amp;'Funnel setup'!$K$4&amp;'Funnel setup'!$K$6,".",IF(A41=".",1,A41+1))</f>
        <v>.</v>
      </c>
      <c r="B42" s="244" t="str">
        <f t="shared" si="0"/>
        <v>Hip Replacement PrimarySub-ICB of GP PracticeNHS HERTFORDSHIRE AND WEST ESSEX ICB - 07H (07H)EQ VAS</v>
      </c>
      <c r="C42" t="s">
        <v>749</v>
      </c>
      <c r="D42" t="s">
        <v>1021</v>
      </c>
      <c r="E42" t="s">
        <v>831</v>
      </c>
      <c r="F42" t="s">
        <v>832</v>
      </c>
      <c r="G42" t="s">
        <v>752</v>
      </c>
      <c r="H42">
        <v>69</v>
      </c>
      <c r="I42">
        <v>59.087000000000003</v>
      </c>
      <c r="J42">
        <v>76.101399999999998</v>
      </c>
      <c r="K42">
        <v>17.014500000000002</v>
      </c>
      <c r="L42">
        <v>50</v>
      </c>
      <c r="M42">
        <v>5</v>
      </c>
      <c r="N42">
        <v>14</v>
      </c>
      <c r="O42">
        <v>76.754499999999993</v>
      </c>
      <c r="P42">
        <v>15.943199999999999</v>
      </c>
      <c r="Q42">
        <v>17.188099999999999</v>
      </c>
    </row>
    <row r="43" spans="1:17" x14ac:dyDescent="0.25">
      <c r="A43" t="str">
        <f>IF(C43&amp;G43&amp;D43&lt;&gt;'Funnel setup'!$K$3&amp;'Funnel setup'!$K$4&amp;'Funnel setup'!$K$6,".",IF(A42=".",1,A42+1))</f>
        <v>.</v>
      </c>
      <c r="B43" s="244" t="str">
        <f t="shared" si="0"/>
        <v>Hip Replacement PrimarySub-ICB of GP PracticeNHS HUMBER AND NORTH YORKSHIRE ICB - 02Y (02Y)EQ VAS</v>
      </c>
      <c r="C43" t="s">
        <v>749</v>
      </c>
      <c r="D43" t="s">
        <v>1021</v>
      </c>
      <c r="E43" t="s">
        <v>833</v>
      </c>
      <c r="F43" t="s">
        <v>834</v>
      </c>
      <c r="G43" t="s">
        <v>752</v>
      </c>
      <c r="H43">
        <v>61</v>
      </c>
      <c r="I43">
        <v>66.3279</v>
      </c>
      <c r="J43">
        <v>76.737700000000004</v>
      </c>
      <c r="K43">
        <v>10.409800000000001</v>
      </c>
      <c r="L43">
        <v>43</v>
      </c>
      <c r="M43">
        <v>3</v>
      </c>
      <c r="N43">
        <v>15</v>
      </c>
      <c r="O43">
        <v>74.952399999999997</v>
      </c>
      <c r="P43">
        <v>14.1412</v>
      </c>
      <c r="Q43">
        <v>17.968900000000001</v>
      </c>
    </row>
    <row r="44" spans="1:17" x14ac:dyDescent="0.25">
      <c r="A44" t="str">
        <f>IF(C44&amp;G44&amp;D44&lt;&gt;'Funnel setup'!$K$3&amp;'Funnel setup'!$K$4&amp;'Funnel setup'!$K$6,".",IF(A43=".",1,A43+1))</f>
        <v>.</v>
      </c>
      <c r="B44" s="244" t="str">
        <f t="shared" si="0"/>
        <v>Hip Replacement PrimarySub-ICB of GP PracticeNHS HUMBER AND NORTH YORKSHIRE ICB - 03F (03F)EQ VAS</v>
      </c>
      <c r="C44" t="s">
        <v>749</v>
      </c>
      <c r="D44" t="s">
        <v>1021</v>
      </c>
      <c r="E44" t="s">
        <v>835</v>
      </c>
      <c r="F44" t="s">
        <v>836</v>
      </c>
      <c r="G44" t="s">
        <v>752</v>
      </c>
      <c r="H44">
        <v>24</v>
      </c>
      <c r="I44">
        <v>56.708300000000001</v>
      </c>
      <c r="J44">
        <v>67.375</v>
      </c>
      <c r="K44">
        <v>10.666700000000001</v>
      </c>
      <c r="L44">
        <v>16</v>
      </c>
      <c r="M44">
        <v>3</v>
      </c>
      <c r="N44">
        <v>5</v>
      </c>
      <c r="O44" t="s">
        <v>127</v>
      </c>
      <c r="P44" t="s">
        <v>127</v>
      </c>
      <c r="Q44" t="s">
        <v>127</v>
      </c>
    </row>
    <row r="45" spans="1:17" x14ac:dyDescent="0.25">
      <c r="A45" t="str">
        <f>IF(C45&amp;G45&amp;D45&lt;&gt;'Funnel setup'!$K$3&amp;'Funnel setup'!$K$4&amp;'Funnel setup'!$K$6,".",IF(A44=".",1,A44+1))</f>
        <v>.</v>
      </c>
      <c r="B45" s="244" t="str">
        <f t="shared" si="0"/>
        <v>Hip Replacement PrimarySub-ICB of GP PracticeNHS HUMBER AND NORTH YORKSHIRE ICB - 03H (03H)EQ VAS</v>
      </c>
      <c r="C45" t="s">
        <v>749</v>
      </c>
      <c r="D45" t="s">
        <v>1021</v>
      </c>
      <c r="E45" t="s">
        <v>837</v>
      </c>
      <c r="F45" t="s">
        <v>838</v>
      </c>
      <c r="G45" t="s">
        <v>752</v>
      </c>
      <c r="H45">
        <v>68</v>
      </c>
      <c r="I45">
        <v>60.691200000000002</v>
      </c>
      <c r="J45">
        <v>72.808800000000005</v>
      </c>
      <c r="K45">
        <v>12.117599999999999</v>
      </c>
      <c r="L45">
        <v>39</v>
      </c>
      <c r="M45">
        <v>8</v>
      </c>
      <c r="N45">
        <v>21</v>
      </c>
      <c r="O45">
        <v>73.281999999999996</v>
      </c>
      <c r="P45">
        <v>12.470700000000001</v>
      </c>
      <c r="Q45">
        <v>19.3919</v>
      </c>
    </row>
    <row r="46" spans="1:17" x14ac:dyDescent="0.25">
      <c r="A46" t="str">
        <f>IF(C46&amp;G46&amp;D46&lt;&gt;'Funnel setup'!$K$3&amp;'Funnel setup'!$K$4&amp;'Funnel setup'!$K$6,".",IF(A45=".",1,A45+1))</f>
        <v>.</v>
      </c>
      <c r="B46" s="244" t="str">
        <f t="shared" si="0"/>
        <v>Hip Replacement PrimarySub-ICB of GP PracticeNHS HUMBER AND NORTH YORKSHIRE ICB - 03K (03K)EQ VAS</v>
      </c>
      <c r="C46" t="s">
        <v>749</v>
      </c>
      <c r="D46" t="s">
        <v>1021</v>
      </c>
      <c r="E46" t="s">
        <v>839</v>
      </c>
      <c r="F46" t="s">
        <v>840</v>
      </c>
      <c r="G46" t="s">
        <v>752</v>
      </c>
      <c r="H46">
        <v>56</v>
      </c>
      <c r="I46">
        <v>61.428600000000003</v>
      </c>
      <c r="J46">
        <v>74.017899999999997</v>
      </c>
      <c r="K46">
        <v>12.5893</v>
      </c>
      <c r="L46">
        <v>39</v>
      </c>
      <c r="M46">
        <v>7</v>
      </c>
      <c r="N46">
        <v>10</v>
      </c>
      <c r="O46">
        <v>73.827100000000002</v>
      </c>
      <c r="P46">
        <v>13.0158</v>
      </c>
      <c r="Q46">
        <v>21.709099999999999</v>
      </c>
    </row>
    <row r="47" spans="1:17" x14ac:dyDescent="0.25">
      <c r="A47" t="str">
        <f>IF(C47&amp;G47&amp;D47&lt;&gt;'Funnel setup'!$K$3&amp;'Funnel setup'!$K$4&amp;'Funnel setup'!$K$6,".",IF(A46=".",1,A46+1))</f>
        <v>.</v>
      </c>
      <c r="B47" s="244" t="str">
        <f t="shared" si="0"/>
        <v>Hip Replacement PrimarySub-ICB of GP PracticeNHS HUMBER AND NORTH YORKSHIRE ICB - 03Q (03Q)EQ VAS</v>
      </c>
      <c r="C47" t="s">
        <v>749</v>
      </c>
      <c r="D47" t="s">
        <v>1021</v>
      </c>
      <c r="E47" t="s">
        <v>841</v>
      </c>
      <c r="F47" t="s">
        <v>842</v>
      </c>
      <c r="G47" t="s">
        <v>752</v>
      </c>
      <c r="H47">
        <v>75</v>
      </c>
      <c r="I47">
        <v>58.013300000000001</v>
      </c>
      <c r="J47">
        <v>75.426699999999997</v>
      </c>
      <c r="K47">
        <v>17.4133</v>
      </c>
      <c r="L47">
        <v>56</v>
      </c>
      <c r="M47">
        <v>3</v>
      </c>
      <c r="N47">
        <v>16</v>
      </c>
      <c r="O47">
        <v>74.655699999999996</v>
      </c>
      <c r="P47">
        <v>13.8444</v>
      </c>
      <c r="Q47">
        <v>18.914400000000001</v>
      </c>
    </row>
    <row r="48" spans="1:17" x14ac:dyDescent="0.25">
      <c r="A48" t="str">
        <f>IF(C48&amp;G48&amp;D48&lt;&gt;'Funnel setup'!$K$3&amp;'Funnel setup'!$K$4&amp;'Funnel setup'!$K$6,".",IF(A47=".",1,A47+1))</f>
        <v>.</v>
      </c>
      <c r="B48" s="244" t="str">
        <f t="shared" si="0"/>
        <v>Hip Replacement PrimarySub-ICB of GP PracticeNHS HUMBER AND NORTH YORKSHIRE ICB - 42D (42D)EQ VAS</v>
      </c>
      <c r="C48" t="s">
        <v>749</v>
      </c>
      <c r="D48" t="s">
        <v>1021</v>
      </c>
      <c r="E48" t="s">
        <v>843</v>
      </c>
      <c r="F48" t="s">
        <v>844</v>
      </c>
      <c r="G48" t="s">
        <v>752</v>
      </c>
      <c r="H48">
        <v>230</v>
      </c>
      <c r="I48">
        <v>62.639099999999999</v>
      </c>
      <c r="J48">
        <v>79.534800000000004</v>
      </c>
      <c r="K48">
        <v>16.895700000000001</v>
      </c>
      <c r="L48">
        <v>166</v>
      </c>
      <c r="M48">
        <v>15</v>
      </c>
      <c r="N48">
        <v>49</v>
      </c>
      <c r="O48">
        <v>79.786000000000001</v>
      </c>
      <c r="P48">
        <v>18.974799999999998</v>
      </c>
      <c r="Q48">
        <v>16.4084</v>
      </c>
    </row>
    <row r="49" spans="1:17" x14ac:dyDescent="0.25">
      <c r="A49" t="str">
        <f>IF(C49&amp;G49&amp;D49&lt;&gt;'Funnel setup'!$K$3&amp;'Funnel setup'!$K$4&amp;'Funnel setup'!$K$6,".",IF(A48=".",1,A48+1))</f>
        <v>.</v>
      </c>
      <c r="B49" s="244" t="str">
        <f t="shared" si="0"/>
        <v>Hip Replacement PrimarySub-ICB of GP PracticeNHS KENT AND MEDWAY ICB - 91Q (91Q)EQ VAS</v>
      </c>
      <c r="C49" t="s">
        <v>749</v>
      </c>
      <c r="D49" t="s">
        <v>1021</v>
      </c>
      <c r="E49" t="s">
        <v>845</v>
      </c>
      <c r="F49" t="s">
        <v>846</v>
      </c>
      <c r="G49" t="s">
        <v>752</v>
      </c>
      <c r="H49">
        <v>451</v>
      </c>
      <c r="I49">
        <v>63.0732</v>
      </c>
      <c r="J49">
        <v>75.924599999999998</v>
      </c>
      <c r="K49">
        <v>12.8514</v>
      </c>
      <c r="L49">
        <v>316</v>
      </c>
      <c r="M49">
        <v>33</v>
      </c>
      <c r="N49">
        <v>102</v>
      </c>
      <c r="O49">
        <v>75.147800000000004</v>
      </c>
      <c r="P49">
        <v>14.336499999999999</v>
      </c>
      <c r="Q49">
        <v>16.6479</v>
      </c>
    </row>
    <row r="50" spans="1:17" x14ac:dyDescent="0.25">
      <c r="A50" t="str">
        <f>IF(C50&amp;G50&amp;D50&lt;&gt;'Funnel setup'!$K$3&amp;'Funnel setup'!$K$4&amp;'Funnel setup'!$K$6,".",IF(A49=".",1,A49+1))</f>
        <v>.</v>
      </c>
      <c r="B50" s="244" t="str">
        <f t="shared" si="0"/>
        <v>Hip Replacement PrimarySub-ICB of GP PracticeNHS LANCASHIRE AND SOUTH CUMBRIA ICB - 00Q (00Q)EQ VAS</v>
      </c>
      <c r="C50" t="s">
        <v>749</v>
      </c>
      <c r="D50" t="s">
        <v>1021</v>
      </c>
      <c r="E50" t="s">
        <v>847</v>
      </c>
      <c r="F50" t="s">
        <v>848</v>
      </c>
      <c r="G50" t="s">
        <v>752</v>
      </c>
      <c r="H50">
        <v>37</v>
      </c>
      <c r="I50">
        <v>66.891900000000007</v>
      </c>
      <c r="J50">
        <v>75</v>
      </c>
      <c r="K50">
        <v>8.1081099999999999</v>
      </c>
      <c r="L50">
        <v>23</v>
      </c>
      <c r="M50">
        <v>3</v>
      </c>
      <c r="N50">
        <v>11</v>
      </c>
      <c r="O50">
        <v>75.319000000000003</v>
      </c>
      <c r="P50">
        <v>14.5078</v>
      </c>
      <c r="Q50">
        <v>14.224399999999999</v>
      </c>
    </row>
    <row r="51" spans="1:17" x14ac:dyDescent="0.25">
      <c r="A51" t="str">
        <f>IF(C51&amp;G51&amp;D51&lt;&gt;'Funnel setup'!$K$3&amp;'Funnel setup'!$K$4&amp;'Funnel setup'!$K$6,".",IF(A50=".",1,A50+1))</f>
        <v>.</v>
      </c>
      <c r="B51" s="244" t="str">
        <f t="shared" si="0"/>
        <v>Hip Replacement PrimarySub-ICB of GP PracticeNHS LANCASHIRE AND SOUTH CUMBRIA ICB - 00R (00R)EQ VAS</v>
      </c>
      <c r="C51" t="s">
        <v>749</v>
      </c>
      <c r="D51" t="s">
        <v>1021</v>
      </c>
      <c r="E51" t="s">
        <v>849</v>
      </c>
      <c r="F51" t="s">
        <v>850</v>
      </c>
      <c r="G51" t="s">
        <v>752</v>
      </c>
      <c r="H51">
        <v>33</v>
      </c>
      <c r="I51">
        <v>59.969700000000003</v>
      </c>
      <c r="J51">
        <v>75.484800000000007</v>
      </c>
      <c r="K51">
        <v>15.5152</v>
      </c>
      <c r="L51">
        <v>26</v>
      </c>
      <c r="M51">
        <v>1</v>
      </c>
      <c r="N51">
        <v>6</v>
      </c>
      <c r="O51">
        <v>76.772599999999997</v>
      </c>
      <c r="P51">
        <v>15.961399999999999</v>
      </c>
      <c r="Q51">
        <v>17.953600000000002</v>
      </c>
    </row>
    <row r="52" spans="1:17" x14ac:dyDescent="0.25">
      <c r="A52" t="str">
        <f>IF(C52&amp;G52&amp;D52&lt;&gt;'Funnel setup'!$K$3&amp;'Funnel setup'!$K$4&amp;'Funnel setup'!$K$6,".",IF(A51=".",1,A51+1))</f>
        <v>.</v>
      </c>
      <c r="B52" s="244" t="str">
        <f t="shared" si="0"/>
        <v>Hip Replacement PrimarySub-ICB of GP PracticeNHS LANCASHIRE AND SOUTH CUMBRIA ICB - 00X (00X)EQ VAS</v>
      </c>
      <c r="C52" t="s">
        <v>749</v>
      </c>
      <c r="D52" t="s">
        <v>1021</v>
      </c>
      <c r="E52" t="s">
        <v>851</v>
      </c>
      <c r="F52" t="s">
        <v>852</v>
      </c>
      <c r="G52" t="s">
        <v>752</v>
      </c>
      <c r="H52">
        <v>56</v>
      </c>
      <c r="I52">
        <v>61.5</v>
      </c>
      <c r="J52">
        <v>75.75</v>
      </c>
      <c r="K52">
        <v>14.25</v>
      </c>
      <c r="L52">
        <v>42</v>
      </c>
      <c r="M52">
        <v>6</v>
      </c>
      <c r="N52">
        <v>8</v>
      </c>
      <c r="O52">
        <v>76.386300000000006</v>
      </c>
      <c r="P52">
        <v>15.574999999999999</v>
      </c>
      <c r="Q52">
        <v>18.600100000000001</v>
      </c>
    </row>
    <row r="53" spans="1:17" x14ac:dyDescent="0.25">
      <c r="A53" t="str">
        <f>IF(C53&amp;G53&amp;D53&lt;&gt;'Funnel setup'!$K$3&amp;'Funnel setup'!$K$4&amp;'Funnel setup'!$K$6,".",IF(A52=".",1,A52+1))</f>
        <v>.</v>
      </c>
      <c r="B53" s="244" t="str">
        <f t="shared" si="0"/>
        <v>Hip Replacement PrimarySub-ICB of GP PracticeNHS LANCASHIRE AND SOUTH CUMBRIA ICB - 01A (01A)EQ VAS</v>
      </c>
      <c r="C53" t="s">
        <v>749</v>
      </c>
      <c r="D53" t="s">
        <v>1021</v>
      </c>
      <c r="E53" t="s">
        <v>853</v>
      </c>
      <c r="F53" t="s">
        <v>854</v>
      </c>
      <c r="G53" t="s">
        <v>752</v>
      </c>
      <c r="H53">
        <v>137</v>
      </c>
      <c r="I53">
        <v>60.6569</v>
      </c>
      <c r="J53">
        <v>76.810199999999995</v>
      </c>
      <c r="K53">
        <v>16.153300000000002</v>
      </c>
      <c r="L53">
        <v>88</v>
      </c>
      <c r="M53">
        <v>11</v>
      </c>
      <c r="N53">
        <v>38</v>
      </c>
      <c r="O53">
        <v>76.478099999999998</v>
      </c>
      <c r="P53">
        <v>15.6668</v>
      </c>
      <c r="Q53">
        <v>15.236700000000001</v>
      </c>
    </row>
    <row r="54" spans="1:17" x14ac:dyDescent="0.25">
      <c r="A54" t="str">
        <f>IF(C54&amp;G54&amp;D54&lt;&gt;'Funnel setup'!$K$3&amp;'Funnel setup'!$K$4&amp;'Funnel setup'!$K$6,".",IF(A53=".",1,A53+1))</f>
        <v>.</v>
      </c>
      <c r="B54" s="244" t="str">
        <f t="shared" si="0"/>
        <v>Hip Replacement PrimarySub-ICB of GP PracticeNHS LANCASHIRE AND SOUTH CUMBRIA ICB - 01E (01E)EQ VAS</v>
      </c>
      <c r="C54" t="s">
        <v>749</v>
      </c>
      <c r="D54" t="s">
        <v>1021</v>
      </c>
      <c r="E54" t="s">
        <v>855</v>
      </c>
      <c r="F54" t="s">
        <v>856</v>
      </c>
      <c r="G54" t="s">
        <v>752</v>
      </c>
      <c r="H54">
        <v>58</v>
      </c>
      <c r="I54">
        <v>71.103399999999993</v>
      </c>
      <c r="J54">
        <v>77.569000000000003</v>
      </c>
      <c r="K54">
        <v>6.4655199999999997</v>
      </c>
      <c r="L54">
        <v>38</v>
      </c>
      <c r="M54">
        <v>4</v>
      </c>
      <c r="N54">
        <v>16</v>
      </c>
      <c r="O54">
        <v>74.929000000000002</v>
      </c>
      <c r="P54">
        <v>14.117699999999999</v>
      </c>
      <c r="Q54">
        <v>13.5283</v>
      </c>
    </row>
    <row r="55" spans="1:17" x14ac:dyDescent="0.25">
      <c r="A55" t="str">
        <f>IF(C55&amp;G55&amp;D55&lt;&gt;'Funnel setup'!$K$3&amp;'Funnel setup'!$K$4&amp;'Funnel setup'!$K$6,".",IF(A54=".",1,A54+1))</f>
        <v>.</v>
      </c>
      <c r="B55" s="244" t="str">
        <f t="shared" si="0"/>
        <v>Hip Replacement PrimarySub-ICB of GP PracticeNHS LANCASHIRE AND SOUTH CUMBRIA ICB - 01K (01K)EQ VAS</v>
      </c>
      <c r="C55" t="s">
        <v>749</v>
      </c>
      <c r="D55" t="s">
        <v>1021</v>
      </c>
      <c r="E55" t="s">
        <v>857</v>
      </c>
      <c r="F55" t="s">
        <v>858</v>
      </c>
      <c r="G55" t="s">
        <v>752</v>
      </c>
      <c r="H55">
        <v>175</v>
      </c>
      <c r="I55">
        <v>60.177100000000003</v>
      </c>
      <c r="J55">
        <v>76.2286</v>
      </c>
      <c r="K55">
        <v>16.051400000000001</v>
      </c>
      <c r="L55">
        <v>125</v>
      </c>
      <c r="M55">
        <v>13</v>
      </c>
      <c r="N55">
        <v>37</v>
      </c>
      <c r="O55">
        <v>76.299300000000002</v>
      </c>
      <c r="P55">
        <v>15.488099999999999</v>
      </c>
      <c r="Q55">
        <v>15.4986</v>
      </c>
    </row>
    <row r="56" spans="1:17" x14ac:dyDescent="0.25">
      <c r="A56" t="str">
        <f>IF(C56&amp;G56&amp;D56&lt;&gt;'Funnel setup'!$K$3&amp;'Funnel setup'!$K$4&amp;'Funnel setup'!$K$6,".",IF(A55=".",1,A55+1))</f>
        <v>.</v>
      </c>
      <c r="B56" s="244" t="str">
        <f t="shared" si="0"/>
        <v>Hip Replacement PrimarySub-ICB of GP PracticeNHS LANCASHIRE AND SOUTH CUMBRIA ICB - 02G (02G)EQ VAS</v>
      </c>
      <c r="C56" t="s">
        <v>749</v>
      </c>
      <c r="D56" t="s">
        <v>1021</v>
      </c>
      <c r="E56" t="s">
        <v>859</v>
      </c>
      <c r="F56" t="s">
        <v>860</v>
      </c>
      <c r="G56" t="s">
        <v>752</v>
      </c>
      <c r="H56">
        <v>32</v>
      </c>
      <c r="I56">
        <v>66.281300000000002</v>
      </c>
      <c r="J56">
        <v>79.281300000000002</v>
      </c>
      <c r="K56">
        <v>13</v>
      </c>
      <c r="L56">
        <v>19</v>
      </c>
      <c r="M56">
        <v>7</v>
      </c>
      <c r="N56">
        <v>6</v>
      </c>
      <c r="O56">
        <v>75.669200000000004</v>
      </c>
      <c r="P56">
        <v>14.857900000000001</v>
      </c>
      <c r="Q56">
        <v>18.255500000000001</v>
      </c>
    </row>
    <row r="57" spans="1:17" x14ac:dyDescent="0.25">
      <c r="A57" t="str">
        <f>IF(C57&amp;G57&amp;D57&lt;&gt;'Funnel setup'!$K$3&amp;'Funnel setup'!$K$4&amp;'Funnel setup'!$K$6,".",IF(A56=".",1,A56+1))</f>
        <v>.</v>
      </c>
      <c r="B57" s="244" t="str">
        <f t="shared" si="0"/>
        <v>Hip Replacement PrimarySub-ICB of GP PracticeNHS LANCASHIRE AND SOUTH CUMBRIA ICB - 02M (02M)EQ VAS</v>
      </c>
      <c r="C57" t="s">
        <v>749</v>
      </c>
      <c r="D57" t="s">
        <v>1021</v>
      </c>
      <c r="E57" t="s">
        <v>861</v>
      </c>
      <c r="F57" t="s">
        <v>862</v>
      </c>
      <c r="G57" t="s">
        <v>752</v>
      </c>
      <c r="H57">
        <v>69</v>
      </c>
      <c r="I57">
        <v>67.753600000000006</v>
      </c>
      <c r="J57">
        <v>77.2029</v>
      </c>
      <c r="K57">
        <v>9.4492799999999999</v>
      </c>
      <c r="L57">
        <v>48</v>
      </c>
      <c r="M57">
        <v>5</v>
      </c>
      <c r="N57">
        <v>16</v>
      </c>
      <c r="O57">
        <v>75.603700000000003</v>
      </c>
      <c r="P57">
        <v>14.792400000000001</v>
      </c>
      <c r="Q57">
        <v>13.656000000000001</v>
      </c>
    </row>
    <row r="58" spans="1:17" x14ac:dyDescent="0.25">
      <c r="A58" t="str">
        <f>IF(C58&amp;G58&amp;D58&lt;&gt;'Funnel setup'!$K$3&amp;'Funnel setup'!$K$4&amp;'Funnel setup'!$K$6,".",IF(A57=".",1,A57+1))</f>
        <v>.</v>
      </c>
      <c r="B58" s="244" t="str">
        <f t="shared" si="0"/>
        <v>Hip Replacement PrimarySub-ICB of GP PracticeNHS LEICESTER, LEICESTERSHIRE AND RUTLAND ICB - 03W (03W)EQ VAS</v>
      </c>
      <c r="C58" t="s">
        <v>749</v>
      </c>
      <c r="D58" t="s">
        <v>1021</v>
      </c>
      <c r="E58" t="s">
        <v>863</v>
      </c>
      <c r="F58" t="s">
        <v>864</v>
      </c>
      <c r="G58" t="s">
        <v>752</v>
      </c>
      <c r="H58">
        <v>102</v>
      </c>
      <c r="I58">
        <v>61.980400000000003</v>
      </c>
      <c r="J58">
        <v>74.656899999999993</v>
      </c>
      <c r="K58">
        <v>12.676500000000001</v>
      </c>
      <c r="L58">
        <v>76</v>
      </c>
      <c r="M58">
        <v>5</v>
      </c>
      <c r="N58">
        <v>21</v>
      </c>
      <c r="O58">
        <v>73.066199999999995</v>
      </c>
      <c r="P58">
        <v>12.254899999999999</v>
      </c>
      <c r="Q58">
        <v>15.5351</v>
      </c>
    </row>
    <row r="59" spans="1:17" x14ac:dyDescent="0.25">
      <c r="A59" t="str">
        <f>IF(C59&amp;G59&amp;D59&lt;&gt;'Funnel setup'!$K$3&amp;'Funnel setup'!$K$4&amp;'Funnel setup'!$K$6,".",IF(A58=".",1,A58+1))</f>
        <v>.</v>
      </c>
      <c r="B59" s="244" t="str">
        <f t="shared" si="0"/>
        <v>Hip Replacement PrimarySub-ICB of GP PracticeNHS LEICESTER, LEICESTERSHIRE AND RUTLAND ICB - 04C (04C)EQ VAS</v>
      </c>
      <c r="C59" t="s">
        <v>749</v>
      </c>
      <c r="D59" t="s">
        <v>1021</v>
      </c>
      <c r="E59" t="s">
        <v>865</v>
      </c>
      <c r="F59" t="s">
        <v>866</v>
      </c>
      <c r="G59" t="s">
        <v>752</v>
      </c>
      <c r="H59">
        <v>37</v>
      </c>
      <c r="I59">
        <v>57.162199999999999</v>
      </c>
      <c r="J59">
        <v>69.945899999999995</v>
      </c>
      <c r="K59">
        <v>12.783799999999999</v>
      </c>
      <c r="L59">
        <v>25</v>
      </c>
      <c r="M59">
        <v>2</v>
      </c>
      <c r="N59">
        <v>10</v>
      </c>
      <c r="O59">
        <v>71.784099999999995</v>
      </c>
      <c r="P59">
        <v>10.972899999999999</v>
      </c>
      <c r="Q59">
        <v>16.2591</v>
      </c>
    </row>
    <row r="60" spans="1:17" x14ac:dyDescent="0.25">
      <c r="A60" t="str">
        <f>IF(C60&amp;G60&amp;D60&lt;&gt;'Funnel setup'!$K$3&amp;'Funnel setup'!$K$4&amp;'Funnel setup'!$K$6,".",IF(A59=".",1,A59+1))</f>
        <v>.</v>
      </c>
      <c r="B60" s="244" t="str">
        <f t="shared" si="0"/>
        <v>Hip Replacement PrimarySub-ICB of GP PracticeNHS LEICESTER, LEICESTERSHIRE AND RUTLAND ICB - 04V (04V)EQ VAS</v>
      </c>
      <c r="C60" t="s">
        <v>749</v>
      </c>
      <c r="D60" t="s">
        <v>1021</v>
      </c>
      <c r="E60" t="s">
        <v>867</v>
      </c>
      <c r="F60" t="s">
        <v>868</v>
      </c>
      <c r="G60" t="s">
        <v>752</v>
      </c>
      <c r="H60">
        <v>107</v>
      </c>
      <c r="I60">
        <v>57.345799999999997</v>
      </c>
      <c r="J60">
        <v>75.308400000000006</v>
      </c>
      <c r="K60">
        <v>17.962599999999998</v>
      </c>
      <c r="L60">
        <v>82</v>
      </c>
      <c r="M60">
        <v>7</v>
      </c>
      <c r="N60">
        <v>18</v>
      </c>
      <c r="O60">
        <v>76.234800000000007</v>
      </c>
      <c r="P60">
        <v>15.4236</v>
      </c>
      <c r="Q60">
        <v>15.095700000000001</v>
      </c>
    </row>
    <row r="61" spans="1:17" x14ac:dyDescent="0.25">
      <c r="A61" t="str">
        <f>IF(C61&amp;G61&amp;D61&lt;&gt;'Funnel setup'!$K$3&amp;'Funnel setup'!$K$4&amp;'Funnel setup'!$K$6,".",IF(A60=".",1,A60+1))</f>
        <v>.</v>
      </c>
      <c r="B61" s="244" t="str">
        <f t="shared" si="0"/>
        <v>Hip Replacement PrimarySub-ICB of GP PracticeNHS LINCOLNSHIRE ICB - 71E (71E)EQ VAS</v>
      </c>
      <c r="C61" t="s">
        <v>749</v>
      </c>
      <c r="D61" t="s">
        <v>1021</v>
      </c>
      <c r="E61" t="s">
        <v>869</v>
      </c>
      <c r="F61" t="s">
        <v>870</v>
      </c>
      <c r="G61" t="s">
        <v>752</v>
      </c>
      <c r="H61">
        <v>246</v>
      </c>
      <c r="I61">
        <v>62.650399999999998</v>
      </c>
      <c r="J61">
        <v>75.906499999999994</v>
      </c>
      <c r="K61">
        <v>13.2561</v>
      </c>
      <c r="L61">
        <v>167</v>
      </c>
      <c r="M61">
        <v>20</v>
      </c>
      <c r="N61">
        <v>59</v>
      </c>
      <c r="O61">
        <v>75.680999999999997</v>
      </c>
      <c r="P61">
        <v>14.8697</v>
      </c>
      <c r="Q61">
        <v>16.764099999999999</v>
      </c>
    </row>
    <row r="62" spans="1:17" x14ac:dyDescent="0.25">
      <c r="A62" t="str">
        <f>IF(C62&amp;G62&amp;D62&lt;&gt;'Funnel setup'!$K$3&amp;'Funnel setup'!$K$4&amp;'Funnel setup'!$K$6,".",IF(A61=".",1,A61+1))</f>
        <v>.</v>
      </c>
      <c r="B62" s="244" t="str">
        <f t="shared" si="0"/>
        <v>Hip Replacement PrimarySub-ICB of GP PracticeNHS MID AND SOUTH ESSEX ICB - 06Q (06Q)EQ VAS</v>
      </c>
      <c r="C62" t="s">
        <v>749</v>
      </c>
      <c r="D62" t="s">
        <v>1021</v>
      </c>
      <c r="E62" t="s">
        <v>871</v>
      </c>
      <c r="F62" t="s">
        <v>872</v>
      </c>
      <c r="G62" t="s">
        <v>752</v>
      </c>
      <c r="H62">
        <v>107</v>
      </c>
      <c r="I62">
        <v>61.401899999999998</v>
      </c>
      <c r="J62">
        <v>75.607500000000002</v>
      </c>
      <c r="K62">
        <v>14.2056</v>
      </c>
      <c r="L62">
        <v>71</v>
      </c>
      <c r="M62">
        <v>9</v>
      </c>
      <c r="N62">
        <v>27</v>
      </c>
      <c r="O62">
        <v>75.183499999999995</v>
      </c>
      <c r="P62">
        <v>14.372199999999999</v>
      </c>
      <c r="Q62">
        <v>18.430800000000001</v>
      </c>
    </row>
    <row r="63" spans="1:17" x14ac:dyDescent="0.25">
      <c r="A63" t="str">
        <f>IF(C63&amp;G63&amp;D63&lt;&gt;'Funnel setup'!$K$3&amp;'Funnel setup'!$K$4&amp;'Funnel setup'!$K$6,".",IF(A62=".",1,A62+1))</f>
        <v>.</v>
      </c>
      <c r="B63" s="244" t="str">
        <f t="shared" si="0"/>
        <v>Hip Replacement PrimarySub-ICB of GP PracticeNHS MID AND SOUTH ESSEX ICB - 07G (07G)EQ VAS</v>
      </c>
      <c r="C63" t="s">
        <v>749</v>
      </c>
      <c r="D63" t="s">
        <v>1021</v>
      </c>
      <c r="E63" t="s">
        <v>873</v>
      </c>
      <c r="F63" t="s">
        <v>874</v>
      </c>
      <c r="G63" t="s">
        <v>752</v>
      </c>
      <c r="H63">
        <v>30</v>
      </c>
      <c r="I63">
        <v>50</v>
      </c>
      <c r="J63">
        <v>77.900000000000006</v>
      </c>
      <c r="K63">
        <v>27.9</v>
      </c>
      <c r="L63">
        <v>23</v>
      </c>
      <c r="M63">
        <v>1</v>
      </c>
      <c r="N63">
        <v>6</v>
      </c>
      <c r="O63">
        <v>79.866600000000005</v>
      </c>
      <c r="P63">
        <v>19.055399999999999</v>
      </c>
      <c r="Q63">
        <v>12.9619</v>
      </c>
    </row>
    <row r="64" spans="1:17" ht="15" customHeight="1" x14ac:dyDescent="0.25">
      <c r="A64" t="str">
        <f>IF(C64&amp;G64&amp;D64&lt;&gt;'Funnel setup'!$K$3&amp;'Funnel setup'!$K$4&amp;'Funnel setup'!$K$6,".",IF(A63=".",1,A63+1))</f>
        <v>.</v>
      </c>
      <c r="B64" s="244" t="str">
        <f t="shared" si="0"/>
        <v>Hip Replacement PrimarySub-ICB of GP PracticeNHS MID AND SOUTH ESSEX ICB - 99E (99E)EQ VAS</v>
      </c>
      <c r="C64" t="s">
        <v>749</v>
      </c>
      <c r="D64" t="s">
        <v>1021</v>
      </c>
      <c r="E64" t="s">
        <v>875</v>
      </c>
      <c r="F64" t="s">
        <v>876</v>
      </c>
      <c r="G64" t="s">
        <v>752</v>
      </c>
      <c r="H64">
        <v>40</v>
      </c>
      <c r="I64">
        <v>50.25</v>
      </c>
      <c r="J64">
        <v>69.900000000000006</v>
      </c>
      <c r="K64">
        <v>19.649999999999999</v>
      </c>
      <c r="L64">
        <v>29</v>
      </c>
      <c r="M64">
        <v>5</v>
      </c>
      <c r="N64">
        <v>6</v>
      </c>
      <c r="O64">
        <v>73.848200000000006</v>
      </c>
      <c r="P64">
        <v>13.037000000000001</v>
      </c>
      <c r="Q64">
        <v>19.626799999999999</v>
      </c>
    </row>
    <row r="65" spans="1:17" ht="15" customHeight="1" x14ac:dyDescent="0.25">
      <c r="A65" t="str">
        <f>IF(C65&amp;G65&amp;D65&lt;&gt;'Funnel setup'!$K$3&amp;'Funnel setup'!$K$4&amp;'Funnel setup'!$K$6,".",IF(A64=".",1,A64+1))</f>
        <v>.</v>
      </c>
      <c r="B65" s="244" t="str">
        <f t="shared" si="0"/>
        <v>Hip Replacement PrimarySub-ICB of GP PracticeNHS MID AND SOUTH ESSEX ICB - 99F (99F)EQ VAS</v>
      </c>
      <c r="C65" t="s">
        <v>749</v>
      </c>
      <c r="D65" t="s">
        <v>1021</v>
      </c>
      <c r="E65" t="s">
        <v>877</v>
      </c>
      <c r="F65" t="s">
        <v>878</v>
      </c>
      <c r="G65" t="s">
        <v>752</v>
      </c>
      <c r="H65">
        <v>25</v>
      </c>
      <c r="I65">
        <v>64.84</v>
      </c>
      <c r="J65">
        <v>77.56</v>
      </c>
      <c r="K65">
        <v>12.72</v>
      </c>
      <c r="L65">
        <v>21</v>
      </c>
      <c r="M65">
        <v>0</v>
      </c>
      <c r="N65">
        <v>4</v>
      </c>
      <c r="O65" t="s">
        <v>127</v>
      </c>
      <c r="P65" t="s">
        <v>127</v>
      </c>
      <c r="Q65" t="s">
        <v>127</v>
      </c>
    </row>
    <row r="66" spans="1:17" ht="15" customHeight="1" x14ac:dyDescent="0.25">
      <c r="A66" t="str">
        <f>IF(C66&amp;G66&amp;D66&lt;&gt;'Funnel setup'!$K$3&amp;'Funnel setup'!$K$4&amp;'Funnel setup'!$K$6,".",IF(A65=".",1,A65+1))</f>
        <v>.</v>
      </c>
      <c r="B66" s="244" t="str">
        <f t="shared" ref="B66:B129" si="1">C66&amp;D66&amp;F66&amp;G66</f>
        <v>Hip Replacement PrimarySub-ICB of GP PracticeNHS MID AND SOUTH ESSEX ICB - 99G (99G)EQ VAS</v>
      </c>
      <c r="C66" t="s">
        <v>749</v>
      </c>
      <c r="D66" t="s">
        <v>1021</v>
      </c>
      <c r="E66" t="s">
        <v>879</v>
      </c>
      <c r="F66" t="s">
        <v>880</v>
      </c>
      <c r="G66" t="s">
        <v>752</v>
      </c>
      <c r="H66">
        <v>11</v>
      </c>
      <c r="I66">
        <v>52.545499999999997</v>
      </c>
      <c r="J66">
        <v>68.363600000000005</v>
      </c>
      <c r="K66">
        <v>15.818199999999999</v>
      </c>
      <c r="L66">
        <v>9</v>
      </c>
      <c r="M66">
        <v>1</v>
      </c>
      <c r="N66">
        <v>1</v>
      </c>
      <c r="O66" t="s">
        <v>127</v>
      </c>
      <c r="P66" t="s">
        <v>127</v>
      </c>
      <c r="Q66" t="s">
        <v>127</v>
      </c>
    </row>
    <row r="67" spans="1:17" ht="15" customHeight="1" x14ac:dyDescent="0.25">
      <c r="A67" t="str">
        <f>IF(C67&amp;G67&amp;D67&lt;&gt;'Funnel setup'!$K$3&amp;'Funnel setup'!$K$4&amp;'Funnel setup'!$K$6,".",IF(A66=".",1,A66+1))</f>
        <v>.</v>
      </c>
      <c r="B67" s="244" t="str">
        <f t="shared" si="1"/>
        <v>Hip Replacement PrimarySub-ICB of GP PracticeNHS NORFOLK AND WAVENEY ICB - 26A (26A)EQ VAS</v>
      </c>
      <c r="C67" t="s">
        <v>749</v>
      </c>
      <c r="D67" t="s">
        <v>1021</v>
      </c>
      <c r="E67" t="s">
        <v>881</v>
      </c>
      <c r="F67" t="s">
        <v>882</v>
      </c>
      <c r="G67" t="s">
        <v>752</v>
      </c>
      <c r="H67">
        <v>340</v>
      </c>
      <c r="I67">
        <v>57.908799999999999</v>
      </c>
      <c r="J67">
        <v>74.755899999999997</v>
      </c>
      <c r="K67">
        <v>16.847100000000001</v>
      </c>
      <c r="L67">
        <v>239</v>
      </c>
      <c r="M67">
        <v>23</v>
      </c>
      <c r="N67">
        <v>78</v>
      </c>
      <c r="O67">
        <v>76.2102</v>
      </c>
      <c r="P67">
        <v>15.398999999999999</v>
      </c>
      <c r="Q67">
        <v>17.6187</v>
      </c>
    </row>
    <row r="68" spans="1:17" ht="15" customHeight="1" x14ac:dyDescent="0.25">
      <c r="A68" t="str">
        <f>IF(C68&amp;G68&amp;D68&lt;&gt;'Funnel setup'!$K$3&amp;'Funnel setup'!$K$4&amp;'Funnel setup'!$K$6,".",IF(A67=".",1,A67+1))</f>
        <v>.</v>
      </c>
      <c r="B68" s="244" t="str">
        <f t="shared" si="1"/>
        <v>Hip Replacement PrimarySub-ICB of GP PracticeNHS NORTH CENTRAL LONDON ICB - 93C (93C)EQ VAS</v>
      </c>
      <c r="C68" t="s">
        <v>749</v>
      </c>
      <c r="D68" t="s">
        <v>1021</v>
      </c>
      <c r="E68" t="s">
        <v>883</v>
      </c>
      <c r="F68" t="s">
        <v>884</v>
      </c>
      <c r="G68" t="s">
        <v>752</v>
      </c>
      <c r="H68">
        <v>126</v>
      </c>
      <c r="I68">
        <v>60.8095</v>
      </c>
      <c r="J68">
        <v>73.849199999999996</v>
      </c>
      <c r="K68">
        <v>13.0397</v>
      </c>
      <c r="L68">
        <v>87</v>
      </c>
      <c r="M68">
        <v>12</v>
      </c>
      <c r="N68">
        <v>27</v>
      </c>
      <c r="O68">
        <v>74.220699999999994</v>
      </c>
      <c r="P68">
        <v>13.4095</v>
      </c>
      <c r="Q68">
        <v>16.937000000000001</v>
      </c>
    </row>
    <row r="69" spans="1:17" ht="15" customHeight="1" x14ac:dyDescent="0.25">
      <c r="A69" t="str">
        <f>IF(C69&amp;G69&amp;D69&lt;&gt;'Funnel setup'!$K$3&amp;'Funnel setup'!$K$4&amp;'Funnel setup'!$K$6,".",IF(A68=".",1,A68+1))</f>
        <v>.</v>
      </c>
      <c r="B69" s="244" t="str">
        <f t="shared" si="1"/>
        <v>Hip Replacement PrimarySub-ICB of GP PracticeNHS NORTH EAST AND NORTH CUMBRIA ICB - 00L (00L)EQ VAS</v>
      </c>
      <c r="C69" t="s">
        <v>749</v>
      </c>
      <c r="D69" t="s">
        <v>1021</v>
      </c>
      <c r="E69" t="s">
        <v>885</v>
      </c>
      <c r="F69" t="s">
        <v>886</v>
      </c>
      <c r="G69" t="s">
        <v>752</v>
      </c>
      <c r="H69">
        <v>139</v>
      </c>
      <c r="I69">
        <v>56.7194</v>
      </c>
      <c r="J69">
        <v>73.381299999999996</v>
      </c>
      <c r="K69">
        <v>16.661899999999999</v>
      </c>
      <c r="L69">
        <v>102</v>
      </c>
      <c r="M69">
        <v>7</v>
      </c>
      <c r="N69">
        <v>30</v>
      </c>
      <c r="O69">
        <v>74.849500000000006</v>
      </c>
      <c r="P69">
        <v>14.0382</v>
      </c>
      <c r="Q69">
        <v>18.132100000000001</v>
      </c>
    </row>
    <row r="70" spans="1:17" ht="15" customHeight="1" x14ac:dyDescent="0.25">
      <c r="A70" t="str">
        <f>IF(C70&amp;G70&amp;D70&lt;&gt;'Funnel setup'!$K$3&amp;'Funnel setup'!$K$4&amp;'Funnel setup'!$K$6,".",IF(A69=".",1,A69+1))</f>
        <v>.</v>
      </c>
      <c r="B70" s="244" t="str">
        <f t="shared" si="1"/>
        <v>Hip Replacement PrimarySub-ICB of GP PracticeNHS NORTH EAST AND NORTH CUMBRIA ICB - 00N (00N)EQ VAS</v>
      </c>
      <c r="C70" t="s">
        <v>749</v>
      </c>
      <c r="D70" t="s">
        <v>1021</v>
      </c>
      <c r="E70" t="s">
        <v>887</v>
      </c>
      <c r="F70" t="s">
        <v>888</v>
      </c>
      <c r="G70" t="s">
        <v>752</v>
      </c>
      <c r="H70">
        <v>11</v>
      </c>
      <c r="I70">
        <v>60.090899999999998</v>
      </c>
      <c r="J70">
        <v>76.090900000000005</v>
      </c>
      <c r="K70">
        <v>16</v>
      </c>
      <c r="L70">
        <v>9</v>
      </c>
      <c r="M70">
        <v>0</v>
      </c>
      <c r="N70">
        <v>2</v>
      </c>
      <c r="O70" t="s">
        <v>127</v>
      </c>
      <c r="P70" t="s">
        <v>127</v>
      </c>
      <c r="Q70" t="s">
        <v>127</v>
      </c>
    </row>
    <row r="71" spans="1:17" ht="15" customHeight="1" x14ac:dyDescent="0.25">
      <c r="A71" t="str">
        <f>IF(C71&amp;G71&amp;D71&lt;&gt;'Funnel setup'!$K$3&amp;'Funnel setup'!$K$4&amp;'Funnel setup'!$K$6,".",IF(A70=".",1,A70+1))</f>
        <v>.</v>
      </c>
      <c r="B71" s="244" t="str">
        <f t="shared" si="1"/>
        <v>Hip Replacement PrimarySub-ICB of GP PracticeNHS NORTH EAST AND NORTH CUMBRIA ICB - 00P (00P)EQ VAS</v>
      </c>
      <c r="C71" t="s">
        <v>749</v>
      </c>
      <c r="D71" t="s">
        <v>1021</v>
      </c>
      <c r="E71" t="s">
        <v>889</v>
      </c>
      <c r="F71" t="s">
        <v>890</v>
      </c>
      <c r="G71" t="s">
        <v>752</v>
      </c>
      <c r="H71">
        <v>30</v>
      </c>
      <c r="I71">
        <v>52</v>
      </c>
      <c r="J71">
        <v>66.2667</v>
      </c>
      <c r="K71">
        <v>14.2667</v>
      </c>
      <c r="L71">
        <v>21</v>
      </c>
      <c r="M71">
        <v>3</v>
      </c>
      <c r="N71">
        <v>6</v>
      </c>
      <c r="O71">
        <v>70.808700000000002</v>
      </c>
      <c r="P71">
        <v>9.9974600000000002</v>
      </c>
      <c r="Q71">
        <v>16.2544</v>
      </c>
    </row>
    <row r="72" spans="1:17" ht="15" customHeight="1" x14ac:dyDescent="0.25">
      <c r="A72" t="str">
        <f>IF(C72&amp;G72&amp;D72&lt;&gt;'Funnel setup'!$K$3&amp;'Funnel setup'!$K$4&amp;'Funnel setup'!$K$6,".",IF(A71=".",1,A71+1))</f>
        <v>.</v>
      </c>
      <c r="B72" s="244" t="str">
        <f t="shared" si="1"/>
        <v>Hip Replacement PrimarySub-ICB of GP PracticeNHS NORTH EAST AND NORTH CUMBRIA ICB - 01H (01H)EQ VAS</v>
      </c>
      <c r="C72" t="s">
        <v>749</v>
      </c>
      <c r="D72" t="s">
        <v>1021</v>
      </c>
      <c r="E72" t="s">
        <v>891</v>
      </c>
      <c r="F72" t="s">
        <v>892</v>
      </c>
      <c r="G72" t="s">
        <v>752</v>
      </c>
      <c r="H72">
        <v>162</v>
      </c>
      <c r="I72">
        <v>60.018500000000003</v>
      </c>
      <c r="J72">
        <v>77.481499999999997</v>
      </c>
      <c r="K72">
        <v>17.463000000000001</v>
      </c>
      <c r="L72">
        <v>113</v>
      </c>
      <c r="M72">
        <v>16</v>
      </c>
      <c r="N72">
        <v>33</v>
      </c>
      <c r="O72">
        <v>77.962199999999996</v>
      </c>
      <c r="P72">
        <v>17.1509</v>
      </c>
      <c r="Q72">
        <v>15.042999999999999</v>
      </c>
    </row>
    <row r="73" spans="1:17" ht="15" customHeight="1" x14ac:dyDescent="0.25">
      <c r="A73" t="str">
        <f>IF(C73&amp;G73&amp;D73&lt;&gt;'Funnel setup'!$K$3&amp;'Funnel setup'!$K$4&amp;'Funnel setup'!$K$6,".",IF(A72=".",1,A72+1))</f>
        <v>.</v>
      </c>
      <c r="B73" s="244" t="str">
        <f t="shared" si="1"/>
        <v>Hip Replacement PrimarySub-ICB of GP PracticeNHS NORTH EAST AND NORTH CUMBRIA ICB - 13T (13T)EQ VAS</v>
      </c>
      <c r="C73" t="s">
        <v>749</v>
      </c>
      <c r="D73" t="s">
        <v>1021</v>
      </c>
      <c r="E73" t="s">
        <v>893</v>
      </c>
      <c r="F73" t="s">
        <v>894</v>
      </c>
      <c r="G73" t="s">
        <v>752</v>
      </c>
      <c r="H73">
        <v>101</v>
      </c>
      <c r="I73">
        <v>53.396000000000001</v>
      </c>
      <c r="J73">
        <v>74.633700000000005</v>
      </c>
      <c r="K73">
        <v>21.2376</v>
      </c>
      <c r="L73">
        <v>68</v>
      </c>
      <c r="M73">
        <v>13</v>
      </c>
      <c r="N73">
        <v>20</v>
      </c>
      <c r="O73">
        <v>77.511200000000002</v>
      </c>
      <c r="P73">
        <v>16.7</v>
      </c>
      <c r="Q73">
        <v>17.678899999999999</v>
      </c>
    </row>
    <row r="74" spans="1:17" ht="15" customHeight="1" x14ac:dyDescent="0.25">
      <c r="A74" t="str">
        <f>IF(C74&amp;G74&amp;D74&lt;&gt;'Funnel setup'!$K$3&amp;'Funnel setup'!$K$4&amp;'Funnel setup'!$K$6,".",IF(A73=".",1,A73+1))</f>
        <v>.</v>
      </c>
      <c r="B74" s="244" t="str">
        <f t="shared" si="1"/>
        <v>Hip Replacement PrimarySub-ICB of GP PracticeNHS NORTH EAST AND NORTH CUMBRIA ICB - 16C (16C)EQ VAS</v>
      </c>
      <c r="C74" t="s">
        <v>749</v>
      </c>
      <c r="D74" t="s">
        <v>1021</v>
      </c>
      <c r="E74" t="s">
        <v>895</v>
      </c>
      <c r="F74" t="s">
        <v>896</v>
      </c>
      <c r="G74" t="s">
        <v>752</v>
      </c>
      <c r="H74">
        <v>339</v>
      </c>
      <c r="I74">
        <v>66.126800000000003</v>
      </c>
      <c r="J74">
        <v>74.769900000000007</v>
      </c>
      <c r="K74">
        <v>8.6430699999999998</v>
      </c>
      <c r="L74">
        <v>196</v>
      </c>
      <c r="M74">
        <v>37</v>
      </c>
      <c r="N74">
        <v>106</v>
      </c>
      <c r="O74">
        <v>74.639700000000005</v>
      </c>
      <c r="P74">
        <v>13.8284</v>
      </c>
      <c r="Q74">
        <v>16.621700000000001</v>
      </c>
    </row>
    <row r="75" spans="1:17" ht="15" customHeight="1" x14ac:dyDescent="0.25">
      <c r="A75" t="str">
        <f>IF(C75&amp;G75&amp;D75&lt;&gt;'Funnel setup'!$K$3&amp;'Funnel setup'!$K$4&amp;'Funnel setup'!$K$6,".",IF(A74=".",1,A74+1))</f>
        <v>.</v>
      </c>
      <c r="B75" s="244" t="str">
        <f t="shared" si="1"/>
        <v>Hip Replacement PrimarySub-ICB of GP PracticeNHS NORTH EAST AND NORTH CUMBRIA ICB - 84H (84H)EQ VAS</v>
      </c>
      <c r="C75" t="s">
        <v>749</v>
      </c>
      <c r="D75" t="s">
        <v>1021</v>
      </c>
      <c r="E75" t="s">
        <v>897</v>
      </c>
      <c r="F75" t="s">
        <v>898</v>
      </c>
      <c r="G75" t="s">
        <v>752</v>
      </c>
      <c r="H75">
        <v>246</v>
      </c>
      <c r="I75">
        <v>62.260199999999998</v>
      </c>
      <c r="J75">
        <v>73.321100000000001</v>
      </c>
      <c r="K75">
        <v>11.061</v>
      </c>
      <c r="L75">
        <v>159</v>
      </c>
      <c r="M75">
        <v>23</v>
      </c>
      <c r="N75">
        <v>64</v>
      </c>
      <c r="O75">
        <v>74.123599999999996</v>
      </c>
      <c r="P75">
        <v>13.3124</v>
      </c>
      <c r="Q75">
        <v>17.305700000000002</v>
      </c>
    </row>
    <row r="76" spans="1:17" ht="15" customHeight="1" x14ac:dyDescent="0.25">
      <c r="A76" t="str">
        <f>IF(C76&amp;G76&amp;D76&lt;&gt;'Funnel setup'!$K$3&amp;'Funnel setup'!$K$4&amp;'Funnel setup'!$K$6,".",IF(A75=".",1,A75+1))</f>
        <v>.</v>
      </c>
      <c r="B76" s="244" t="str">
        <f t="shared" si="1"/>
        <v>Hip Replacement PrimarySub-ICB of GP PracticeNHS NORTH EAST AND NORTH CUMBRIA ICB - 99C (99C)EQ VAS</v>
      </c>
      <c r="C76" t="s">
        <v>749</v>
      </c>
      <c r="D76" t="s">
        <v>1021</v>
      </c>
      <c r="E76" t="s">
        <v>899</v>
      </c>
      <c r="F76" t="s">
        <v>900</v>
      </c>
      <c r="G76" t="s">
        <v>752</v>
      </c>
      <c r="H76">
        <v>70</v>
      </c>
      <c r="I76">
        <v>60.814300000000003</v>
      </c>
      <c r="J76">
        <v>79.357100000000003</v>
      </c>
      <c r="K76">
        <v>18.542899999999999</v>
      </c>
      <c r="L76">
        <v>56</v>
      </c>
      <c r="M76">
        <v>9</v>
      </c>
      <c r="N76">
        <v>5</v>
      </c>
      <c r="O76">
        <v>79.296000000000006</v>
      </c>
      <c r="P76">
        <v>18.4847</v>
      </c>
      <c r="Q76">
        <v>16.0412</v>
      </c>
    </row>
    <row r="77" spans="1:17" ht="15" customHeight="1" x14ac:dyDescent="0.25">
      <c r="A77" t="str">
        <f>IF(C77&amp;G77&amp;D77&lt;&gt;'Funnel setup'!$K$3&amp;'Funnel setup'!$K$4&amp;'Funnel setup'!$K$6,".",IF(A76=".",1,A76+1))</f>
        <v>.</v>
      </c>
      <c r="B77" s="244" t="str">
        <f t="shared" si="1"/>
        <v>Hip Replacement PrimarySub-ICB of GP PracticeNHS NORTH EAST LONDON ICB - A3A8R (A3A8R)EQ VAS</v>
      </c>
      <c r="C77" t="s">
        <v>749</v>
      </c>
      <c r="D77" t="s">
        <v>1021</v>
      </c>
      <c r="E77" t="s">
        <v>901</v>
      </c>
      <c r="F77" t="s">
        <v>902</v>
      </c>
      <c r="G77" t="s">
        <v>752</v>
      </c>
      <c r="H77">
        <v>148</v>
      </c>
      <c r="I77">
        <v>61.229700000000001</v>
      </c>
      <c r="J77">
        <v>74.195899999999995</v>
      </c>
      <c r="K77">
        <v>12.966200000000001</v>
      </c>
      <c r="L77">
        <v>93</v>
      </c>
      <c r="M77">
        <v>19</v>
      </c>
      <c r="N77">
        <v>36</v>
      </c>
      <c r="O77">
        <v>74.994600000000005</v>
      </c>
      <c r="P77">
        <v>14.183400000000001</v>
      </c>
      <c r="Q77">
        <v>18.388500000000001</v>
      </c>
    </row>
    <row r="78" spans="1:17" ht="15" customHeight="1" x14ac:dyDescent="0.25">
      <c r="A78" t="str">
        <f>IF(C78&amp;G78&amp;D78&lt;&gt;'Funnel setup'!$K$3&amp;'Funnel setup'!$K$4&amp;'Funnel setup'!$K$6,".",IF(A77=".",1,A77+1))</f>
        <v>.</v>
      </c>
      <c r="B78" s="244" t="str">
        <f t="shared" si="1"/>
        <v>Hip Replacement PrimarySub-ICB of GP PracticeNHS NORTH WEST LONDON ICB - W2U3Z (W2U3Z)EQ VAS</v>
      </c>
      <c r="C78" t="s">
        <v>749</v>
      </c>
      <c r="D78" t="s">
        <v>1021</v>
      </c>
      <c r="E78" t="s">
        <v>903</v>
      </c>
      <c r="F78" t="s">
        <v>904</v>
      </c>
      <c r="G78" t="s">
        <v>752</v>
      </c>
      <c r="H78">
        <v>141</v>
      </c>
      <c r="I78">
        <v>62.9574</v>
      </c>
      <c r="J78">
        <v>72.489400000000003</v>
      </c>
      <c r="K78">
        <v>9.5319099999999999</v>
      </c>
      <c r="L78">
        <v>91</v>
      </c>
      <c r="M78">
        <v>15</v>
      </c>
      <c r="N78">
        <v>35</v>
      </c>
      <c r="O78">
        <v>72.389499999999998</v>
      </c>
      <c r="P78">
        <v>11.5783</v>
      </c>
      <c r="Q78">
        <v>18.000800000000002</v>
      </c>
    </row>
    <row r="79" spans="1:17" ht="15" customHeight="1" x14ac:dyDescent="0.25">
      <c r="A79" t="str">
        <f>IF(C79&amp;G79&amp;D79&lt;&gt;'Funnel setup'!$K$3&amp;'Funnel setup'!$K$4&amp;'Funnel setup'!$K$6,".",IF(A78=".",1,A78+1))</f>
        <v>.</v>
      </c>
      <c r="B79" s="244" t="str">
        <f t="shared" si="1"/>
        <v>Hip Replacement PrimarySub-ICB of GP PracticeNHS NORTHAMPTONSHIRE ICB - 78H (78H)EQ VAS</v>
      </c>
      <c r="C79" t="s">
        <v>749</v>
      </c>
      <c r="D79" t="s">
        <v>1021</v>
      </c>
      <c r="E79" t="s">
        <v>905</v>
      </c>
      <c r="F79" t="s">
        <v>906</v>
      </c>
      <c r="G79" t="s">
        <v>752</v>
      </c>
      <c r="H79">
        <v>220</v>
      </c>
      <c r="I79">
        <v>56.886400000000002</v>
      </c>
      <c r="J79">
        <v>75.118200000000002</v>
      </c>
      <c r="K79">
        <v>18.2318</v>
      </c>
      <c r="L79">
        <v>160</v>
      </c>
      <c r="M79">
        <v>17</v>
      </c>
      <c r="N79">
        <v>43</v>
      </c>
      <c r="O79">
        <v>75.746499999999997</v>
      </c>
      <c r="P79">
        <v>14.9352</v>
      </c>
      <c r="Q79">
        <v>16.099900000000002</v>
      </c>
    </row>
    <row r="80" spans="1:17" ht="15" customHeight="1" x14ac:dyDescent="0.25">
      <c r="A80" t="str">
        <f>IF(C80&amp;G80&amp;D80&lt;&gt;'Funnel setup'!$K$3&amp;'Funnel setup'!$K$4&amp;'Funnel setup'!$K$6,".",IF(A79=".",1,A79+1))</f>
        <v>.</v>
      </c>
      <c r="B80" s="244" t="str">
        <f t="shared" si="1"/>
        <v>Hip Replacement PrimarySub-ICB of GP PracticeNHS NOTTINGHAM AND NOTTINGHAMSHIRE ICB - 02Q (02Q)EQ VAS</v>
      </c>
      <c r="C80" t="s">
        <v>749</v>
      </c>
      <c r="D80" t="s">
        <v>1021</v>
      </c>
      <c r="E80" t="s">
        <v>907</v>
      </c>
      <c r="F80" t="s">
        <v>908</v>
      </c>
      <c r="G80" t="s">
        <v>752</v>
      </c>
      <c r="H80">
        <v>48</v>
      </c>
      <c r="I80">
        <v>53.5625</v>
      </c>
      <c r="J80">
        <v>73.833299999999994</v>
      </c>
      <c r="K80">
        <v>20.270800000000001</v>
      </c>
      <c r="L80">
        <v>37</v>
      </c>
      <c r="M80">
        <v>2</v>
      </c>
      <c r="N80">
        <v>9</v>
      </c>
      <c r="O80">
        <v>77.247100000000003</v>
      </c>
      <c r="P80">
        <v>16.4359</v>
      </c>
      <c r="Q80">
        <v>14.575799999999999</v>
      </c>
    </row>
    <row r="81" spans="1:17" ht="15" customHeight="1" x14ac:dyDescent="0.25">
      <c r="A81" t="str">
        <f>IF(C81&amp;G81&amp;D81&lt;&gt;'Funnel setup'!$K$3&amp;'Funnel setup'!$K$4&amp;'Funnel setup'!$K$6,".",IF(A80=".",1,A80+1))</f>
        <v>.</v>
      </c>
      <c r="B81" s="244" t="str">
        <f t="shared" si="1"/>
        <v>Hip Replacement PrimarySub-ICB of GP PracticeNHS NOTTINGHAM AND NOTTINGHAMSHIRE ICB - 52R (52R)EQ VAS</v>
      </c>
      <c r="C81" t="s">
        <v>749</v>
      </c>
      <c r="D81" t="s">
        <v>1021</v>
      </c>
      <c r="E81" t="s">
        <v>909</v>
      </c>
      <c r="F81" t="s">
        <v>910</v>
      </c>
      <c r="G81" t="s">
        <v>752</v>
      </c>
      <c r="H81">
        <v>133</v>
      </c>
      <c r="I81">
        <v>54.827100000000002</v>
      </c>
      <c r="J81">
        <v>73.8797</v>
      </c>
      <c r="K81">
        <v>19.052600000000002</v>
      </c>
      <c r="L81">
        <v>99</v>
      </c>
      <c r="M81">
        <v>11</v>
      </c>
      <c r="N81">
        <v>23</v>
      </c>
      <c r="O81">
        <v>75.149199999999993</v>
      </c>
      <c r="P81">
        <v>14.337999999999999</v>
      </c>
      <c r="Q81">
        <v>16.609500000000001</v>
      </c>
    </row>
    <row r="82" spans="1:17" ht="15" customHeight="1" x14ac:dyDescent="0.25">
      <c r="A82" t="str">
        <f>IF(C82&amp;G82&amp;D82&lt;&gt;'Funnel setup'!$K$3&amp;'Funnel setup'!$K$4&amp;'Funnel setup'!$K$6,".",IF(A81=".",1,A81+1))</f>
        <v>.</v>
      </c>
      <c r="B82" s="244" t="str">
        <f t="shared" si="1"/>
        <v>Hip Replacement PrimarySub-ICB of GP PracticeNHS SHROPSHIRE, TELFORD AND WREKIN ICB - M2L0M (M2L0M)EQ VAS</v>
      </c>
      <c r="C82" t="s">
        <v>749</v>
      </c>
      <c r="D82" t="s">
        <v>1021</v>
      </c>
      <c r="E82" t="s">
        <v>911</v>
      </c>
      <c r="F82" t="s">
        <v>912</v>
      </c>
      <c r="G82" t="s">
        <v>752</v>
      </c>
      <c r="H82">
        <v>248</v>
      </c>
      <c r="I82">
        <v>53.4315</v>
      </c>
      <c r="J82">
        <v>76.935500000000005</v>
      </c>
      <c r="K82">
        <v>23.504000000000001</v>
      </c>
      <c r="L82">
        <v>191</v>
      </c>
      <c r="M82">
        <v>19</v>
      </c>
      <c r="N82">
        <v>38</v>
      </c>
      <c r="O82">
        <v>79.149299999999997</v>
      </c>
      <c r="P82">
        <v>18.338000000000001</v>
      </c>
      <c r="Q82">
        <v>15.481299999999999</v>
      </c>
    </row>
    <row r="83" spans="1:17" ht="15" customHeight="1" x14ac:dyDescent="0.25">
      <c r="A83" t="str">
        <f>IF(C83&amp;G83&amp;D83&lt;&gt;'Funnel setup'!$K$3&amp;'Funnel setup'!$K$4&amp;'Funnel setup'!$K$6,".",IF(A82=".",1,A82+1))</f>
        <v>.</v>
      </c>
      <c r="B83" s="244" t="str">
        <f t="shared" si="1"/>
        <v>Hip Replacement PrimarySub-ICB of GP PracticeNHS SOMERSET ICB - 11X (11X)EQ VAS</v>
      </c>
      <c r="C83" t="s">
        <v>749</v>
      </c>
      <c r="D83" t="s">
        <v>1021</v>
      </c>
      <c r="E83" t="s">
        <v>913</v>
      </c>
      <c r="F83" t="s">
        <v>914</v>
      </c>
      <c r="G83" t="s">
        <v>752</v>
      </c>
      <c r="H83">
        <v>230</v>
      </c>
      <c r="I83">
        <v>63.169600000000003</v>
      </c>
      <c r="J83">
        <v>79.991299999999995</v>
      </c>
      <c r="K83">
        <v>16.8217</v>
      </c>
      <c r="L83">
        <v>166</v>
      </c>
      <c r="M83">
        <v>24</v>
      </c>
      <c r="N83">
        <v>40</v>
      </c>
      <c r="O83">
        <v>77.995699999999999</v>
      </c>
      <c r="P83">
        <v>17.1844</v>
      </c>
      <c r="Q83">
        <v>14.444699999999999</v>
      </c>
    </row>
    <row r="84" spans="1:17" x14ac:dyDescent="0.25">
      <c r="A84" t="str">
        <f>IF(C84&amp;G84&amp;D84&lt;&gt;'Funnel setup'!$K$3&amp;'Funnel setup'!$K$4&amp;'Funnel setup'!$K$6,".",IF(A83=".",1,A83+1))</f>
        <v>.</v>
      </c>
      <c r="B84" s="244" t="str">
        <f t="shared" si="1"/>
        <v>Hip Replacement PrimarySub-ICB of GP PracticeNHS SOUTH EAST LONDON ICB - 72Q (72Q)EQ VAS</v>
      </c>
      <c r="C84" t="s">
        <v>749</v>
      </c>
      <c r="D84" t="s">
        <v>1021</v>
      </c>
      <c r="E84" t="s">
        <v>915</v>
      </c>
      <c r="F84" t="s">
        <v>916</v>
      </c>
      <c r="G84" t="s">
        <v>752</v>
      </c>
      <c r="H84">
        <v>127</v>
      </c>
      <c r="I84">
        <v>54.936999999999998</v>
      </c>
      <c r="J84">
        <v>73.031499999999994</v>
      </c>
      <c r="K84">
        <v>18.0945</v>
      </c>
      <c r="L84">
        <v>96</v>
      </c>
      <c r="M84">
        <v>10</v>
      </c>
      <c r="N84">
        <v>21</v>
      </c>
      <c r="O84">
        <v>73.283299999999997</v>
      </c>
      <c r="P84">
        <v>12.472</v>
      </c>
      <c r="Q84">
        <v>15.429600000000001</v>
      </c>
    </row>
    <row r="85" spans="1:17" x14ac:dyDescent="0.25">
      <c r="A85" t="str">
        <f>IF(C85&amp;G85&amp;D85&lt;&gt;'Funnel setup'!$K$3&amp;'Funnel setup'!$K$4&amp;'Funnel setup'!$K$6,".",IF(A84=".",1,A84+1))</f>
        <v>.</v>
      </c>
      <c r="B85" s="244" t="str">
        <f t="shared" si="1"/>
        <v>Hip Replacement PrimarySub-ICB of GP PracticeNHS SOUTH WEST LONDON ICB - 36L (36L)EQ VAS</v>
      </c>
      <c r="C85" t="s">
        <v>749</v>
      </c>
      <c r="D85" t="s">
        <v>1021</v>
      </c>
      <c r="E85" t="s">
        <v>917</v>
      </c>
      <c r="F85" t="s">
        <v>918</v>
      </c>
      <c r="G85" t="s">
        <v>752</v>
      </c>
      <c r="H85">
        <v>359</v>
      </c>
      <c r="I85">
        <v>60.852400000000003</v>
      </c>
      <c r="J85">
        <v>75.623999999999995</v>
      </c>
      <c r="K85">
        <v>14.771599999999999</v>
      </c>
      <c r="L85">
        <v>258</v>
      </c>
      <c r="M85">
        <v>39</v>
      </c>
      <c r="N85">
        <v>62</v>
      </c>
      <c r="O85">
        <v>75.897499999999994</v>
      </c>
      <c r="P85">
        <v>15.0862</v>
      </c>
      <c r="Q85">
        <v>17.065200000000001</v>
      </c>
    </row>
    <row r="86" spans="1:17" x14ac:dyDescent="0.25">
      <c r="A86" t="str">
        <f>IF(C86&amp;G86&amp;D86&lt;&gt;'Funnel setup'!$K$3&amp;'Funnel setup'!$K$4&amp;'Funnel setup'!$K$6,".",IF(A85=".",1,A85+1))</f>
        <v>.</v>
      </c>
      <c r="B86" s="244" t="str">
        <f t="shared" si="1"/>
        <v>Hip Replacement PrimarySub-ICB of GP PracticeNHS SOUTH YORKSHIRE ICB - 02P (02P)EQ VAS</v>
      </c>
      <c r="C86" t="s">
        <v>749</v>
      </c>
      <c r="D86" t="s">
        <v>1021</v>
      </c>
      <c r="E86" t="s">
        <v>919</v>
      </c>
      <c r="F86" t="s">
        <v>920</v>
      </c>
      <c r="G86" t="s">
        <v>752</v>
      </c>
      <c r="H86">
        <v>43</v>
      </c>
      <c r="I86">
        <v>53.7209</v>
      </c>
      <c r="J86">
        <v>71.883700000000005</v>
      </c>
      <c r="K86">
        <v>18.162800000000001</v>
      </c>
      <c r="L86">
        <v>29</v>
      </c>
      <c r="M86">
        <v>3</v>
      </c>
      <c r="N86">
        <v>11</v>
      </c>
      <c r="O86">
        <v>76.669600000000003</v>
      </c>
      <c r="P86">
        <v>15.8584</v>
      </c>
      <c r="Q86">
        <v>16.617999999999999</v>
      </c>
    </row>
    <row r="87" spans="1:17" x14ac:dyDescent="0.25">
      <c r="A87" t="str">
        <f>IF(C87&amp;G87&amp;D87&lt;&gt;'Funnel setup'!$K$3&amp;'Funnel setup'!$K$4&amp;'Funnel setup'!$K$6,".",IF(A86=".",1,A86+1))</f>
        <v>.</v>
      </c>
      <c r="B87" s="244" t="str">
        <f t="shared" si="1"/>
        <v>Hip Replacement PrimarySub-ICB of GP PracticeNHS SOUTH YORKSHIRE ICB - 02X (02X)EQ VAS</v>
      </c>
      <c r="C87" t="s">
        <v>749</v>
      </c>
      <c r="D87" t="s">
        <v>1021</v>
      </c>
      <c r="E87" t="s">
        <v>921</v>
      </c>
      <c r="F87" t="s">
        <v>922</v>
      </c>
      <c r="G87" t="s">
        <v>752</v>
      </c>
      <c r="H87">
        <v>77</v>
      </c>
      <c r="I87">
        <v>58.948099999999997</v>
      </c>
      <c r="J87">
        <v>74.766199999999998</v>
      </c>
      <c r="K87">
        <v>15.818199999999999</v>
      </c>
      <c r="L87">
        <v>56</v>
      </c>
      <c r="M87">
        <v>5</v>
      </c>
      <c r="N87">
        <v>16</v>
      </c>
      <c r="O87">
        <v>75.0685</v>
      </c>
      <c r="P87">
        <v>14.257300000000001</v>
      </c>
      <c r="Q87">
        <v>18.5519</v>
      </c>
    </row>
    <row r="88" spans="1:17" x14ac:dyDescent="0.25">
      <c r="A88" t="str">
        <f>IF(C88&amp;G88&amp;D88&lt;&gt;'Funnel setup'!$K$3&amp;'Funnel setup'!$K$4&amp;'Funnel setup'!$K$6,".",IF(A87=".",1,A87+1))</f>
        <v>.</v>
      </c>
      <c r="B88" s="244" t="str">
        <f t="shared" si="1"/>
        <v>Hip Replacement PrimarySub-ICB of GP PracticeNHS SOUTH YORKSHIRE ICB - 03L (03L)EQ VAS</v>
      </c>
      <c r="C88" t="s">
        <v>749</v>
      </c>
      <c r="D88" t="s">
        <v>1021</v>
      </c>
      <c r="E88" t="s">
        <v>923</v>
      </c>
      <c r="F88" t="s">
        <v>924</v>
      </c>
      <c r="G88" t="s">
        <v>752</v>
      </c>
      <c r="H88">
        <v>36</v>
      </c>
      <c r="I88">
        <v>63.027799999999999</v>
      </c>
      <c r="J88">
        <v>70.805599999999998</v>
      </c>
      <c r="K88">
        <v>7.7777799999999999</v>
      </c>
      <c r="L88">
        <v>19</v>
      </c>
      <c r="M88">
        <v>3</v>
      </c>
      <c r="N88">
        <v>14</v>
      </c>
      <c r="O88">
        <v>71.824299999999994</v>
      </c>
      <c r="P88">
        <v>11.0131</v>
      </c>
      <c r="Q88">
        <v>19.138200000000001</v>
      </c>
    </row>
    <row r="89" spans="1:17" x14ac:dyDescent="0.25">
      <c r="A89" t="str">
        <f>IF(C89&amp;G89&amp;D89&lt;&gt;'Funnel setup'!$K$3&amp;'Funnel setup'!$K$4&amp;'Funnel setup'!$K$6,".",IF(A88=".",1,A88+1))</f>
        <v>.</v>
      </c>
      <c r="B89" s="244" t="str">
        <f t="shared" si="1"/>
        <v>Hip Replacement PrimarySub-ICB of GP PracticeNHS SOUTH YORKSHIRE ICB - 03N (03N)EQ VAS</v>
      </c>
      <c r="C89" t="s">
        <v>749</v>
      </c>
      <c r="D89" t="s">
        <v>1021</v>
      </c>
      <c r="E89" t="s">
        <v>925</v>
      </c>
      <c r="F89" t="s">
        <v>926</v>
      </c>
      <c r="G89" t="s">
        <v>752</v>
      </c>
      <c r="H89">
        <v>31</v>
      </c>
      <c r="I89">
        <v>61.128999999999998</v>
      </c>
      <c r="J89">
        <v>77</v>
      </c>
      <c r="K89">
        <v>15.871</v>
      </c>
      <c r="L89">
        <v>24</v>
      </c>
      <c r="M89">
        <v>1</v>
      </c>
      <c r="N89">
        <v>6</v>
      </c>
      <c r="O89">
        <v>76.534400000000005</v>
      </c>
      <c r="P89">
        <v>15.723100000000001</v>
      </c>
      <c r="Q89">
        <v>15.689500000000001</v>
      </c>
    </row>
    <row r="90" spans="1:17" x14ac:dyDescent="0.25">
      <c r="A90" t="str">
        <f>IF(C90&amp;G90&amp;D90&lt;&gt;'Funnel setup'!$K$3&amp;'Funnel setup'!$K$4&amp;'Funnel setup'!$K$6,".",IF(A89=".",1,A89+1))</f>
        <v>.</v>
      </c>
      <c r="B90" s="244" t="str">
        <f t="shared" si="1"/>
        <v>Hip Replacement PrimarySub-ICB of GP PracticeNHS STAFFORDSHIRE AND STOKE-ON-TRENT ICB - 04Y (04Y)EQ VAS</v>
      </c>
      <c r="C90" t="s">
        <v>749</v>
      </c>
      <c r="D90" t="s">
        <v>1021</v>
      </c>
      <c r="E90" t="s">
        <v>927</v>
      </c>
      <c r="F90" t="s">
        <v>928</v>
      </c>
      <c r="G90" t="s">
        <v>752</v>
      </c>
      <c r="H90">
        <v>30</v>
      </c>
      <c r="I90">
        <v>61.2</v>
      </c>
      <c r="J90">
        <v>79.366699999999994</v>
      </c>
      <c r="K90">
        <v>18.166699999999999</v>
      </c>
      <c r="L90">
        <v>20</v>
      </c>
      <c r="M90">
        <v>2</v>
      </c>
      <c r="N90">
        <v>8</v>
      </c>
      <c r="O90">
        <v>77.5458</v>
      </c>
      <c r="P90">
        <v>16.734500000000001</v>
      </c>
      <c r="Q90">
        <v>16.162500000000001</v>
      </c>
    </row>
    <row r="91" spans="1:17" x14ac:dyDescent="0.25">
      <c r="A91" t="str">
        <f>IF(C91&amp;G91&amp;D91&lt;&gt;'Funnel setup'!$K$3&amp;'Funnel setup'!$K$4&amp;'Funnel setup'!$K$6,".",IF(A90=".",1,A90+1))</f>
        <v>.</v>
      </c>
      <c r="B91" s="244" t="str">
        <f t="shared" si="1"/>
        <v>Hip Replacement PrimarySub-ICB of GP PracticeNHS STAFFORDSHIRE AND STOKE-ON-TRENT ICB - 05D (05D)EQ VAS</v>
      </c>
      <c r="C91" t="s">
        <v>749</v>
      </c>
      <c r="D91" t="s">
        <v>1021</v>
      </c>
      <c r="E91" t="s">
        <v>929</v>
      </c>
      <c r="F91" t="s">
        <v>930</v>
      </c>
      <c r="G91" t="s">
        <v>752</v>
      </c>
      <c r="H91">
        <v>49</v>
      </c>
      <c r="I91">
        <v>55.816299999999998</v>
      </c>
      <c r="J91">
        <v>76.387799999999999</v>
      </c>
      <c r="K91">
        <v>20.571400000000001</v>
      </c>
      <c r="L91">
        <v>37</v>
      </c>
      <c r="M91">
        <v>6</v>
      </c>
      <c r="N91">
        <v>6</v>
      </c>
      <c r="O91">
        <v>77.809399999999997</v>
      </c>
      <c r="P91">
        <v>16.998100000000001</v>
      </c>
      <c r="Q91">
        <v>17.918299999999999</v>
      </c>
    </row>
    <row r="92" spans="1:17" x14ac:dyDescent="0.25">
      <c r="A92" t="str">
        <f>IF(C92&amp;G92&amp;D92&lt;&gt;'Funnel setup'!$K$3&amp;'Funnel setup'!$K$4&amp;'Funnel setup'!$K$6,".",IF(A91=".",1,A91+1))</f>
        <v>.</v>
      </c>
      <c r="B92" s="244" t="str">
        <f t="shared" si="1"/>
        <v>Hip Replacement PrimarySub-ICB of GP PracticeNHS STAFFORDSHIRE AND STOKE-ON-TRENT ICB - 05G (05G)EQ VAS</v>
      </c>
      <c r="C92" t="s">
        <v>749</v>
      </c>
      <c r="D92" t="s">
        <v>1021</v>
      </c>
      <c r="E92" t="s">
        <v>931</v>
      </c>
      <c r="F92" t="s">
        <v>932</v>
      </c>
      <c r="G92" t="s">
        <v>752</v>
      </c>
      <c r="H92">
        <v>38</v>
      </c>
      <c r="I92">
        <v>60.263199999999998</v>
      </c>
      <c r="J92">
        <v>75.684200000000004</v>
      </c>
      <c r="K92">
        <v>15.421099999999999</v>
      </c>
      <c r="L92">
        <v>26</v>
      </c>
      <c r="M92">
        <v>5</v>
      </c>
      <c r="N92">
        <v>7</v>
      </c>
      <c r="O92">
        <v>75.759699999999995</v>
      </c>
      <c r="P92">
        <v>14.948499999999999</v>
      </c>
      <c r="Q92">
        <v>19.313400000000001</v>
      </c>
    </row>
    <row r="93" spans="1:17" x14ac:dyDescent="0.25">
      <c r="A93" t="str">
        <f>IF(C93&amp;G93&amp;D93&lt;&gt;'Funnel setup'!$K$3&amp;'Funnel setup'!$K$4&amp;'Funnel setup'!$K$6,".",IF(A92=".",1,A92+1))</f>
        <v>.</v>
      </c>
      <c r="B93" s="244" t="str">
        <f t="shared" si="1"/>
        <v>Hip Replacement PrimarySub-ICB of GP PracticeNHS STAFFORDSHIRE AND STOKE-ON-TRENT ICB - 05Q (05Q)EQ VAS</v>
      </c>
      <c r="C93" t="s">
        <v>749</v>
      </c>
      <c r="D93" t="s">
        <v>1021</v>
      </c>
      <c r="E93" t="s">
        <v>933</v>
      </c>
      <c r="F93" t="s">
        <v>934</v>
      </c>
      <c r="G93" t="s">
        <v>752</v>
      </c>
      <c r="H93">
        <v>64</v>
      </c>
      <c r="I93">
        <v>61.140599999999999</v>
      </c>
      <c r="J93">
        <v>70.046899999999994</v>
      </c>
      <c r="K93">
        <v>8.90625</v>
      </c>
      <c r="L93">
        <v>38</v>
      </c>
      <c r="M93">
        <v>7</v>
      </c>
      <c r="N93">
        <v>19</v>
      </c>
      <c r="O93">
        <v>69.997500000000002</v>
      </c>
      <c r="P93">
        <v>9.1862700000000004</v>
      </c>
      <c r="Q93">
        <v>16.494900000000001</v>
      </c>
    </row>
    <row r="94" spans="1:17" x14ac:dyDescent="0.25">
      <c r="A94" t="str">
        <f>IF(C94&amp;G94&amp;D94&lt;&gt;'Funnel setup'!$K$3&amp;'Funnel setup'!$K$4&amp;'Funnel setup'!$K$6,".",IF(A93=".",1,A93+1))</f>
        <v>.</v>
      </c>
      <c r="B94" s="244" t="str">
        <f t="shared" si="1"/>
        <v>Hip Replacement PrimarySub-ICB of GP PracticeNHS STAFFORDSHIRE AND STOKE-ON-TRENT ICB - 05V (05V)EQ VAS</v>
      </c>
      <c r="C94" t="s">
        <v>749</v>
      </c>
      <c r="D94" t="s">
        <v>1021</v>
      </c>
      <c r="E94" t="s">
        <v>935</v>
      </c>
      <c r="F94" t="s">
        <v>936</v>
      </c>
      <c r="G94" t="s">
        <v>752</v>
      </c>
      <c r="H94">
        <v>53</v>
      </c>
      <c r="I94">
        <v>65.113200000000006</v>
      </c>
      <c r="J94">
        <v>79.698099999999997</v>
      </c>
      <c r="K94">
        <v>14.584899999999999</v>
      </c>
      <c r="L94">
        <v>39</v>
      </c>
      <c r="M94">
        <v>6</v>
      </c>
      <c r="N94">
        <v>8</v>
      </c>
      <c r="O94">
        <v>77.813599999999994</v>
      </c>
      <c r="P94">
        <v>17.002400000000002</v>
      </c>
      <c r="Q94">
        <v>11.0854</v>
      </c>
    </row>
    <row r="95" spans="1:17" x14ac:dyDescent="0.25">
      <c r="A95" t="str">
        <f>IF(C95&amp;G95&amp;D95&lt;&gt;'Funnel setup'!$K$3&amp;'Funnel setup'!$K$4&amp;'Funnel setup'!$K$6,".",IF(A94=".",1,A94+1))</f>
        <v>.</v>
      </c>
      <c r="B95" s="244" t="str">
        <f t="shared" si="1"/>
        <v>Hip Replacement PrimarySub-ICB of GP PracticeNHS STAFFORDSHIRE AND STOKE-ON-TRENT ICB - 05W (05W)EQ VAS</v>
      </c>
      <c r="C95" t="s">
        <v>749</v>
      </c>
      <c r="D95" t="s">
        <v>1021</v>
      </c>
      <c r="E95" t="s">
        <v>937</v>
      </c>
      <c r="F95" t="s">
        <v>938</v>
      </c>
      <c r="G95" t="s">
        <v>752</v>
      </c>
      <c r="H95">
        <v>32</v>
      </c>
      <c r="I95">
        <v>58.781300000000002</v>
      </c>
      <c r="J95">
        <v>75.406300000000002</v>
      </c>
      <c r="K95">
        <v>16.625</v>
      </c>
      <c r="L95">
        <v>24</v>
      </c>
      <c r="M95">
        <v>3</v>
      </c>
      <c r="N95">
        <v>5</v>
      </c>
      <c r="O95">
        <v>78.732100000000003</v>
      </c>
      <c r="P95">
        <v>17.9208</v>
      </c>
      <c r="Q95">
        <v>17.006399999999999</v>
      </c>
    </row>
    <row r="96" spans="1:17" x14ac:dyDescent="0.25">
      <c r="A96" t="str">
        <f>IF(C96&amp;G96&amp;D96&lt;&gt;'Funnel setup'!$K$3&amp;'Funnel setup'!$K$4&amp;'Funnel setup'!$K$6,".",IF(A95=".",1,A95+1))</f>
        <v>.</v>
      </c>
      <c r="B96" s="244" t="str">
        <f t="shared" si="1"/>
        <v>Hip Replacement PrimarySub-ICB of GP PracticeNHS SUFFOLK AND NORTH EAST ESSEX ICB - 06L (06L)EQ VAS</v>
      </c>
      <c r="C96" t="s">
        <v>749</v>
      </c>
      <c r="D96" t="s">
        <v>1021</v>
      </c>
      <c r="E96" t="s">
        <v>939</v>
      </c>
      <c r="F96" t="s">
        <v>940</v>
      </c>
      <c r="G96" t="s">
        <v>752</v>
      </c>
      <c r="H96">
        <v>134</v>
      </c>
      <c r="I96">
        <v>54.358199999999997</v>
      </c>
      <c r="J96">
        <v>74.290999999999997</v>
      </c>
      <c r="K96">
        <v>19.9328</v>
      </c>
      <c r="L96">
        <v>100</v>
      </c>
      <c r="M96">
        <v>12</v>
      </c>
      <c r="N96">
        <v>22</v>
      </c>
      <c r="O96">
        <v>76.166700000000006</v>
      </c>
      <c r="P96">
        <v>15.355499999999999</v>
      </c>
      <c r="Q96">
        <v>17.689399999999999</v>
      </c>
    </row>
    <row r="97" spans="1:17" x14ac:dyDescent="0.25">
      <c r="A97" t="str">
        <f>IF(C97&amp;G97&amp;D97&lt;&gt;'Funnel setup'!$K$3&amp;'Funnel setup'!$K$4&amp;'Funnel setup'!$K$6,".",IF(A96=".",1,A96+1))</f>
        <v>.</v>
      </c>
      <c r="B97" s="244" t="str">
        <f t="shared" si="1"/>
        <v>Hip Replacement PrimarySub-ICB of GP PracticeNHS SUFFOLK AND NORTH EAST ESSEX ICB - 06T (06T)EQ VAS</v>
      </c>
      <c r="C97" t="s">
        <v>749</v>
      </c>
      <c r="D97" t="s">
        <v>1021</v>
      </c>
      <c r="E97" t="s">
        <v>941</v>
      </c>
      <c r="F97" t="s">
        <v>942</v>
      </c>
      <c r="G97" t="s">
        <v>752</v>
      </c>
      <c r="H97">
        <v>27</v>
      </c>
      <c r="I97">
        <v>67.407399999999996</v>
      </c>
      <c r="J97">
        <v>79.111099999999993</v>
      </c>
      <c r="K97">
        <v>11.7037</v>
      </c>
      <c r="L97">
        <v>18</v>
      </c>
      <c r="M97">
        <v>5</v>
      </c>
      <c r="N97">
        <v>4</v>
      </c>
      <c r="O97" t="s">
        <v>127</v>
      </c>
      <c r="P97" t="s">
        <v>127</v>
      </c>
      <c r="Q97" t="s">
        <v>127</v>
      </c>
    </row>
    <row r="98" spans="1:17" x14ac:dyDescent="0.25">
      <c r="A98" t="str">
        <f>IF(C98&amp;G98&amp;D98&lt;&gt;'Funnel setup'!$K$3&amp;'Funnel setup'!$K$4&amp;'Funnel setup'!$K$6,".",IF(A97=".",1,A97+1))</f>
        <v>.</v>
      </c>
      <c r="B98" s="244" t="str">
        <f t="shared" si="1"/>
        <v>Hip Replacement PrimarySub-ICB of GP PracticeNHS SUFFOLK AND NORTH EAST ESSEX ICB - 07K (07K)EQ VAS</v>
      </c>
      <c r="C98" t="s">
        <v>749</v>
      </c>
      <c r="D98" t="s">
        <v>1021</v>
      </c>
      <c r="E98" t="s">
        <v>943</v>
      </c>
      <c r="F98" t="s">
        <v>944</v>
      </c>
      <c r="G98" t="s">
        <v>752</v>
      </c>
      <c r="H98">
        <v>130</v>
      </c>
      <c r="I98">
        <v>55.738500000000002</v>
      </c>
      <c r="J98">
        <v>72.407700000000006</v>
      </c>
      <c r="K98">
        <v>16.6692</v>
      </c>
      <c r="L98">
        <v>87</v>
      </c>
      <c r="M98">
        <v>10</v>
      </c>
      <c r="N98">
        <v>33</v>
      </c>
      <c r="O98">
        <v>72.815899999999999</v>
      </c>
      <c r="P98">
        <v>12.0047</v>
      </c>
      <c r="Q98">
        <v>18.566400000000002</v>
      </c>
    </row>
    <row r="99" spans="1:17" x14ac:dyDescent="0.25">
      <c r="A99" t="str">
        <f>IF(C99&amp;G99&amp;D99&lt;&gt;'Funnel setup'!$K$3&amp;'Funnel setup'!$K$4&amp;'Funnel setup'!$K$6,".",IF(A98=".",1,A98+1))</f>
        <v>.</v>
      </c>
      <c r="B99" s="244" t="str">
        <f t="shared" si="1"/>
        <v>Hip Replacement PrimarySub-ICB of GP PracticeNHS SURREY HEARTLANDS ICB - 92A (92A)EQ VAS</v>
      </c>
      <c r="C99" t="s">
        <v>749</v>
      </c>
      <c r="D99" t="s">
        <v>1021</v>
      </c>
      <c r="E99" t="s">
        <v>945</v>
      </c>
      <c r="F99" t="s">
        <v>946</v>
      </c>
      <c r="G99" t="s">
        <v>752</v>
      </c>
      <c r="H99">
        <v>356</v>
      </c>
      <c r="I99">
        <v>63.896099999999997</v>
      </c>
      <c r="J99">
        <v>77.6798</v>
      </c>
      <c r="K99">
        <v>13.7837</v>
      </c>
      <c r="L99">
        <v>246</v>
      </c>
      <c r="M99">
        <v>39</v>
      </c>
      <c r="N99">
        <v>71</v>
      </c>
      <c r="O99">
        <v>75.719300000000004</v>
      </c>
      <c r="P99">
        <v>14.908099999999999</v>
      </c>
      <c r="Q99">
        <v>15.0944</v>
      </c>
    </row>
    <row r="100" spans="1:17" x14ac:dyDescent="0.25">
      <c r="A100" t="str">
        <f>IF(C100&amp;G100&amp;D100&lt;&gt;'Funnel setup'!$K$3&amp;'Funnel setup'!$K$4&amp;'Funnel setup'!$K$6,".",IF(A99=".",1,A99+1))</f>
        <v>.</v>
      </c>
      <c r="B100" s="244" t="str">
        <f t="shared" si="1"/>
        <v>Hip Replacement PrimarySub-ICB of GP PracticeNHS SUSSEX ICB - 09D (09D)EQ VAS</v>
      </c>
      <c r="C100" t="s">
        <v>749</v>
      </c>
      <c r="D100" t="s">
        <v>1021</v>
      </c>
      <c r="E100" t="s">
        <v>947</v>
      </c>
      <c r="F100" t="s">
        <v>948</v>
      </c>
      <c r="G100" t="s">
        <v>752</v>
      </c>
      <c r="H100">
        <v>8</v>
      </c>
      <c r="I100">
        <v>70.625</v>
      </c>
      <c r="J100">
        <v>75.375</v>
      </c>
      <c r="K100">
        <v>4.75</v>
      </c>
      <c r="L100">
        <v>6</v>
      </c>
      <c r="M100">
        <v>0</v>
      </c>
      <c r="N100">
        <v>2</v>
      </c>
      <c r="O100" t="s">
        <v>127</v>
      </c>
      <c r="P100" t="s">
        <v>127</v>
      </c>
      <c r="Q100" t="s">
        <v>127</v>
      </c>
    </row>
    <row r="101" spans="1:17" x14ac:dyDescent="0.25">
      <c r="A101" t="str">
        <f>IF(C101&amp;G101&amp;D101&lt;&gt;'Funnel setup'!$K$3&amp;'Funnel setup'!$K$4&amp;'Funnel setup'!$K$6,".",IF(A100=".",1,A100+1))</f>
        <v>.</v>
      </c>
      <c r="B101" s="244" t="str">
        <f t="shared" si="1"/>
        <v>Hip Replacement PrimarySub-ICB of GP PracticeNHS SUSSEX ICB - 70F (70F)EQ VAS</v>
      </c>
      <c r="C101" t="s">
        <v>749</v>
      </c>
      <c r="D101" t="s">
        <v>1021</v>
      </c>
      <c r="E101" t="s">
        <v>949</v>
      </c>
      <c r="F101" t="s">
        <v>950</v>
      </c>
      <c r="G101" t="s">
        <v>752</v>
      </c>
      <c r="H101">
        <v>240</v>
      </c>
      <c r="I101">
        <v>60.554200000000002</v>
      </c>
      <c r="J101">
        <v>74.445800000000006</v>
      </c>
      <c r="K101">
        <v>13.8917</v>
      </c>
      <c r="L101">
        <v>166</v>
      </c>
      <c r="M101">
        <v>18</v>
      </c>
      <c r="N101">
        <v>56</v>
      </c>
      <c r="O101">
        <v>74.324600000000004</v>
      </c>
      <c r="P101">
        <v>13.513400000000001</v>
      </c>
      <c r="Q101">
        <v>17.825399999999998</v>
      </c>
    </row>
    <row r="102" spans="1:17" x14ac:dyDescent="0.25">
      <c r="A102" t="str">
        <f>IF(C102&amp;G102&amp;D102&lt;&gt;'Funnel setup'!$K$3&amp;'Funnel setup'!$K$4&amp;'Funnel setup'!$K$6,".",IF(A101=".",1,A101+1))</f>
        <v>.</v>
      </c>
      <c r="B102" s="244" t="str">
        <f t="shared" si="1"/>
        <v>Hip Replacement PrimarySub-ICB of GP PracticeNHS SUSSEX ICB - 97R (97R)EQ VAS</v>
      </c>
      <c r="C102" t="s">
        <v>749</v>
      </c>
      <c r="D102" t="s">
        <v>1021</v>
      </c>
      <c r="E102" t="s">
        <v>951</v>
      </c>
      <c r="F102" t="s">
        <v>952</v>
      </c>
      <c r="G102" t="s">
        <v>752</v>
      </c>
      <c r="H102">
        <v>260</v>
      </c>
      <c r="I102">
        <v>64.442300000000003</v>
      </c>
      <c r="J102">
        <v>77.5077</v>
      </c>
      <c r="K102">
        <v>13.0654</v>
      </c>
      <c r="L102">
        <v>166</v>
      </c>
      <c r="M102">
        <v>31</v>
      </c>
      <c r="N102">
        <v>63</v>
      </c>
      <c r="O102">
        <v>76.171700000000001</v>
      </c>
      <c r="P102">
        <v>15.3604</v>
      </c>
      <c r="Q102">
        <v>16.0001</v>
      </c>
    </row>
    <row r="103" spans="1:17" x14ac:dyDescent="0.25">
      <c r="A103" t="str">
        <f>IF(C103&amp;G103&amp;D103&lt;&gt;'Funnel setup'!$K$3&amp;'Funnel setup'!$K$4&amp;'Funnel setup'!$K$6,".",IF(A102=".",1,A102+1))</f>
        <v>.</v>
      </c>
      <c r="B103" s="244" t="str">
        <f t="shared" si="1"/>
        <v>Hip Replacement PrimarySub-ICB of GP PracticeNHS WEST YORKSHIRE ICB - 02T (02T)EQ VAS</v>
      </c>
      <c r="C103" t="s">
        <v>749</v>
      </c>
      <c r="D103" t="s">
        <v>1021</v>
      </c>
      <c r="E103" t="s">
        <v>953</v>
      </c>
      <c r="F103" t="s">
        <v>954</v>
      </c>
      <c r="G103" t="s">
        <v>752</v>
      </c>
      <c r="H103">
        <v>53</v>
      </c>
      <c r="I103">
        <v>60.811300000000003</v>
      </c>
      <c r="J103">
        <v>74.547200000000004</v>
      </c>
      <c r="K103">
        <v>13.735799999999999</v>
      </c>
      <c r="L103">
        <v>36</v>
      </c>
      <c r="M103">
        <v>4</v>
      </c>
      <c r="N103">
        <v>13</v>
      </c>
      <c r="O103">
        <v>74.0428</v>
      </c>
      <c r="P103">
        <v>13.2315</v>
      </c>
      <c r="Q103">
        <v>18.545300000000001</v>
      </c>
    </row>
    <row r="104" spans="1:17" x14ac:dyDescent="0.25">
      <c r="A104" t="str">
        <f>IF(C104&amp;G104&amp;D104&lt;&gt;'Funnel setup'!$K$3&amp;'Funnel setup'!$K$4&amp;'Funnel setup'!$K$6,".",IF(A103=".",1,A103+1))</f>
        <v>.</v>
      </c>
      <c r="B104" s="244" t="str">
        <f t="shared" si="1"/>
        <v>Hip Replacement PrimarySub-ICB of GP PracticeNHS WEST YORKSHIRE ICB - 03R (03R)EQ VAS</v>
      </c>
      <c r="C104" t="s">
        <v>749</v>
      </c>
      <c r="D104" t="s">
        <v>1021</v>
      </c>
      <c r="E104" t="s">
        <v>955</v>
      </c>
      <c r="F104" t="s">
        <v>956</v>
      </c>
      <c r="G104" t="s">
        <v>752</v>
      </c>
      <c r="H104">
        <v>156</v>
      </c>
      <c r="I104">
        <v>58.5</v>
      </c>
      <c r="J104">
        <v>72.865399999999994</v>
      </c>
      <c r="K104">
        <v>14.365399999999999</v>
      </c>
      <c r="L104">
        <v>109</v>
      </c>
      <c r="M104">
        <v>8</v>
      </c>
      <c r="N104">
        <v>39</v>
      </c>
      <c r="O104">
        <v>74.354600000000005</v>
      </c>
      <c r="P104">
        <v>13.5434</v>
      </c>
      <c r="Q104">
        <v>16.878799999999998</v>
      </c>
    </row>
    <row r="105" spans="1:17" x14ac:dyDescent="0.25">
      <c r="A105" t="str">
        <f>IF(C105&amp;G105&amp;D105&lt;&gt;'Funnel setup'!$K$3&amp;'Funnel setup'!$K$4&amp;'Funnel setup'!$K$6,".",IF(A104=".",1,A104+1))</f>
        <v>.</v>
      </c>
      <c r="B105" s="244" t="str">
        <f t="shared" si="1"/>
        <v>Hip Replacement PrimarySub-ICB of GP PracticeNHS WEST YORKSHIRE ICB - 15F (15F)EQ VAS</v>
      </c>
      <c r="C105" t="s">
        <v>749</v>
      </c>
      <c r="D105" t="s">
        <v>1021</v>
      </c>
      <c r="E105" t="s">
        <v>957</v>
      </c>
      <c r="F105" t="s">
        <v>958</v>
      </c>
      <c r="G105" t="s">
        <v>752</v>
      </c>
      <c r="H105">
        <v>206</v>
      </c>
      <c r="I105">
        <v>61.067999999999998</v>
      </c>
      <c r="J105">
        <v>74.781599999999997</v>
      </c>
      <c r="K105">
        <v>13.7136</v>
      </c>
      <c r="L105">
        <v>139</v>
      </c>
      <c r="M105">
        <v>24</v>
      </c>
      <c r="N105">
        <v>43</v>
      </c>
      <c r="O105">
        <v>74.186700000000002</v>
      </c>
      <c r="P105">
        <v>13.375400000000001</v>
      </c>
      <c r="Q105">
        <v>15.898899999999999</v>
      </c>
    </row>
    <row r="106" spans="1:17" x14ac:dyDescent="0.25">
      <c r="A106" t="str">
        <f>IF(C106&amp;G106&amp;D106&lt;&gt;'Funnel setup'!$K$3&amp;'Funnel setup'!$K$4&amp;'Funnel setup'!$K$6,".",IF(A105=".",1,A105+1))</f>
        <v>.</v>
      </c>
      <c r="B106" s="244" t="str">
        <f t="shared" si="1"/>
        <v>Hip Replacement PrimarySub-ICB of GP PracticeNHS WEST YORKSHIRE ICB - 36J (36J)EQ VAS</v>
      </c>
      <c r="C106" t="s">
        <v>749</v>
      </c>
      <c r="D106" t="s">
        <v>1021</v>
      </c>
      <c r="E106" t="s">
        <v>959</v>
      </c>
      <c r="F106" t="s">
        <v>960</v>
      </c>
      <c r="G106" t="s">
        <v>752</v>
      </c>
      <c r="H106">
        <v>85</v>
      </c>
      <c r="I106">
        <v>60.976500000000001</v>
      </c>
      <c r="J106">
        <v>79.211799999999997</v>
      </c>
      <c r="K106">
        <v>18.235299999999999</v>
      </c>
      <c r="L106">
        <v>63</v>
      </c>
      <c r="M106">
        <v>7</v>
      </c>
      <c r="N106">
        <v>15</v>
      </c>
      <c r="O106">
        <v>79.501599999999996</v>
      </c>
      <c r="P106">
        <v>18.6904</v>
      </c>
      <c r="Q106">
        <v>16.325800000000001</v>
      </c>
    </row>
    <row r="107" spans="1:17" x14ac:dyDescent="0.25">
      <c r="A107" t="str">
        <f>IF(C107&amp;G107&amp;D107&lt;&gt;'Funnel setup'!$K$3&amp;'Funnel setup'!$K$4&amp;'Funnel setup'!$K$6,".",IF(A106=".",1,A106+1))</f>
        <v>.</v>
      </c>
      <c r="B107" s="244" t="str">
        <f t="shared" si="1"/>
        <v>Hip Replacement PrimarySub-ICB of GP PracticeNHS WEST YORKSHIRE ICB - X2C4Y (X2C4Y)EQ VAS</v>
      </c>
      <c r="C107" t="s">
        <v>749</v>
      </c>
      <c r="D107" t="s">
        <v>1021</v>
      </c>
      <c r="E107" t="s">
        <v>961</v>
      </c>
      <c r="F107" t="s">
        <v>962</v>
      </c>
      <c r="G107" t="s">
        <v>752</v>
      </c>
      <c r="H107">
        <v>102</v>
      </c>
      <c r="I107">
        <v>58.990200000000002</v>
      </c>
      <c r="J107">
        <v>75.402000000000001</v>
      </c>
      <c r="K107">
        <v>16.411799999999999</v>
      </c>
      <c r="L107">
        <v>73</v>
      </c>
      <c r="M107">
        <v>11</v>
      </c>
      <c r="N107">
        <v>18</v>
      </c>
      <c r="O107">
        <v>77.213099999999997</v>
      </c>
      <c r="P107">
        <v>16.401800000000001</v>
      </c>
      <c r="Q107">
        <v>15.6602</v>
      </c>
    </row>
    <row r="108" spans="1:17" x14ac:dyDescent="0.25">
      <c r="A108" t="str">
        <f>IF(C108&amp;G108&amp;D108&lt;&gt;'Funnel setup'!$K$3&amp;'Funnel setup'!$K$4&amp;'Funnel setup'!$K$6,".",IF(A107=".",1,A107+1))</f>
        <v>.</v>
      </c>
      <c r="B108" s="244" t="str">
        <f t="shared" si="1"/>
        <v>Hip Replacement PrimarySub-ICB of GP PracticeNHS BATH AND NORTH EAST SOMERSET, SWINDON AND WILTSHIRE ICB - 92G (92G)EQ-5D Index</v>
      </c>
      <c r="C108" t="s">
        <v>749</v>
      </c>
      <c r="D108" t="s">
        <v>1021</v>
      </c>
      <c r="E108" t="s">
        <v>750</v>
      </c>
      <c r="F108" t="s">
        <v>751</v>
      </c>
      <c r="G108" t="s">
        <v>963</v>
      </c>
      <c r="H108">
        <v>240</v>
      </c>
      <c r="I108">
        <v>0.43437900000000002</v>
      </c>
      <c r="J108">
        <v>0.82700399999999996</v>
      </c>
      <c r="K108">
        <v>0.392625</v>
      </c>
      <c r="L108">
        <v>217</v>
      </c>
      <c r="M108">
        <v>12</v>
      </c>
      <c r="N108">
        <v>11</v>
      </c>
      <c r="O108">
        <v>0.78317300000000001</v>
      </c>
      <c r="P108">
        <v>0.45733400000000002</v>
      </c>
      <c r="Q108">
        <v>0.20241200000000001</v>
      </c>
    </row>
    <row r="109" spans="1:17" x14ac:dyDescent="0.25">
      <c r="A109" t="str">
        <f>IF(C109&amp;G109&amp;D109&lt;&gt;'Funnel setup'!$K$3&amp;'Funnel setup'!$K$4&amp;'Funnel setup'!$K$6,".",IF(A108=".",1,A108+1))</f>
        <v>.</v>
      </c>
      <c r="B109" s="244" t="str">
        <f t="shared" si="1"/>
        <v>Hip Replacement PrimarySub-ICB of GP PracticeNHS BEDFORDSHIRE, LUTON AND MILTON KEYNES ICB - M1J4Y (M1J4Y)EQ-5D Index</v>
      </c>
      <c r="C109" t="s">
        <v>749</v>
      </c>
      <c r="D109" t="s">
        <v>1021</v>
      </c>
      <c r="E109" t="s">
        <v>753</v>
      </c>
      <c r="F109" t="s">
        <v>754</v>
      </c>
      <c r="G109" t="s">
        <v>963</v>
      </c>
      <c r="H109">
        <v>221</v>
      </c>
      <c r="I109">
        <v>0.25037100000000001</v>
      </c>
      <c r="J109">
        <v>0.74838499999999997</v>
      </c>
      <c r="K109">
        <v>0.49801400000000001</v>
      </c>
      <c r="L109">
        <v>199</v>
      </c>
      <c r="M109">
        <v>13</v>
      </c>
      <c r="N109">
        <v>9</v>
      </c>
      <c r="O109">
        <v>0.77449699999999999</v>
      </c>
      <c r="P109">
        <v>0.44865899999999997</v>
      </c>
      <c r="Q109">
        <v>0.25967099999999999</v>
      </c>
    </row>
    <row r="110" spans="1:17" x14ac:dyDescent="0.25">
      <c r="A110" t="str">
        <f>IF(C110&amp;G110&amp;D110&lt;&gt;'Funnel setup'!$K$3&amp;'Funnel setup'!$K$4&amp;'Funnel setup'!$K$6,".",IF(A109=".",1,A109+1))</f>
        <v>.</v>
      </c>
      <c r="B110" s="244" t="str">
        <f t="shared" si="1"/>
        <v>Hip Replacement PrimarySub-ICB of GP PracticeNHS BIRMINGHAM AND SOLIHULL ICB - 15E (15E)EQ-5D Index</v>
      </c>
      <c r="C110" t="s">
        <v>749</v>
      </c>
      <c r="D110" t="s">
        <v>1021</v>
      </c>
      <c r="E110" t="s">
        <v>755</v>
      </c>
      <c r="F110" t="s">
        <v>756</v>
      </c>
      <c r="G110" t="s">
        <v>963</v>
      </c>
      <c r="H110">
        <v>347</v>
      </c>
      <c r="I110">
        <v>0.29152400000000001</v>
      </c>
      <c r="J110">
        <v>0.81385300000000005</v>
      </c>
      <c r="K110">
        <v>0.52232900000000004</v>
      </c>
      <c r="L110">
        <v>328</v>
      </c>
      <c r="M110">
        <v>5</v>
      </c>
      <c r="N110">
        <v>14</v>
      </c>
      <c r="O110">
        <v>0.81987900000000002</v>
      </c>
      <c r="P110">
        <v>0.49403999999999998</v>
      </c>
      <c r="Q110">
        <v>0.212287</v>
      </c>
    </row>
    <row r="111" spans="1:17" x14ac:dyDescent="0.25">
      <c r="A111" t="str">
        <f>IF(C111&amp;G111&amp;D111&lt;&gt;'Funnel setup'!$K$3&amp;'Funnel setup'!$K$4&amp;'Funnel setup'!$K$6,".",IF(A110=".",1,A110+1))</f>
        <v>.</v>
      </c>
      <c r="B111" s="244" t="str">
        <f t="shared" si="1"/>
        <v>Hip Replacement PrimarySub-ICB of GP PracticeNHS BLACK COUNTRY ICB - D2P2L (D2P2L)EQ-5D Index</v>
      </c>
      <c r="C111" t="s">
        <v>749</v>
      </c>
      <c r="D111" t="s">
        <v>1021</v>
      </c>
      <c r="E111" t="s">
        <v>757</v>
      </c>
      <c r="F111" t="s">
        <v>758</v>
      </c>
      <c r="G111" t="s">
        <v>963</v>
      </c>
      <c r="H111">
        <v>251</v>
      </c>
      <c r="I111">
        <v>0.29586099999999999</v>
      </c>
      <c r="J111">
        <v>0.77505999999999997</v>
      </c>
      <c r="K111">
        <v>0.47919899999999999</v>
      </c>
      <c r="L111">
        <v>225</v>
      </c>
      <c r="M111">
        <v>11</v>
      </c>
      <c r="N111">
        <v>15</v>
      </c>
      <c r="O111">
        <v>0.79934099999999997</v>
      </c>
      <c r="P111">
        <v>0.47350300000000001</v>
      </c>
      <c r="Q111">
        <v>0.231631</v>
      </c>
    </row>
    <row r="112" spans="1:17" x14ac:dyDescent="0.25">
      <c r="A112" t="str">
        <f>IF(C112&amp;G112&amp;D112&lt;&gt;'Funnel setup'!$K$3&amp;'Funnel setup'!$K$4&amp;'Funnel setup'!$K$6,".",IF(A111=".",1,A111+1))</f>
        <v>.</v>
      </c>
      <c r="B112" s="244" t="str">
        <f t="shared" si="1"/>
        <v>Hip Replacement PrimarySub-ICB of GP PracticeNHS BRISTOL, NORTH SOMERSET AND SOUTH GLOUCESTERSHIRE ICB - 15C (15C)EQ-5D Index</v>
      </c>
      <c r="C112" t="s">
        <v>749</v>
      </c>
      <c r="D112" t="s">
        <v>1021</v>
      </c>
      <c r="E112" t="s">
        <v>759</v>
      </c>
      <c r="F112" t="s">
        <v>760</v>
      </c>
      <c r="G112" t="s">
        <v>963</v>
      </c>
      <c r="H112">
        <v>220</v>
      </c>
      <c r="I112">
        <v>0.38439499999999999</v>
      </c>
      <c r="J112">
        <v>0.84122300000000005</v>
      </c>
      <c r="K112">
        <v>0.45682699999999998</v>
      </c>
      <c r="L112">
        <v>203</v>
      </c>
      <c r="M112">
        <v>10</v>
      </c>
      <c r="N112">
        <v>7</v>
      </c>
      <c r="O112">
        <v>0.81458600000000003</v>
      </c>
      <c r="P112">
        <v>0.48874800000000002</v>
      </c>
      <c r="Q112">
        <v>0.213394</v>
      </c>
    </row>
    <row r="113" spans="1:17" x14ac:dyDescent="0.25">
      <c r="A113" t="str">
        <f>IF(C113&amp;G113&amp;D113&lt;&gt;'Funnel setup'!$K$3&amp;'Funnel setup'!$K$4&amp;'Funnel setup'!$K$6,".",IF(A112=".",1,A112+1))</f>
        <v>.</v>
      </c>
      <c r="B113" s="244" t="str">
        <f t="shared" si="1"/>
        <v>Hip Replacement PrimarySub-ICB of GP PracticeNHS BUCKINGHAMSHIRE, OXFORDSHIRE AND BERKSHIRE WEST ICB - 10Q (10Q)EQ-5D Index</v>
      </c>
      <c r="C113" t="s">
        <v>749</v>
      </c>
      <c r="D113" t="s">
        <v>1021</v>
      </c>
      <c r="E113" t="s">
        <v>761</v>
      </c>
      <c r="F113" t="s">
        <v>762</v>
      </c>
      <c r="G113" t="s">
        <v>963</v>
      </c>
      <c r="H113">
        <v>342</v>
      </c>
      <c r="I113">
        <v>0.35948000000000002</v>
      </c>
      <c r="J113">
        <v>0.80347999999999997</v>
      </c>
      <c r="K113">
        <v>0.44400000000000001</v>
      </c>
      <c r="L113">
        <v>309</v>
      </c>
      <c r="M113">
        <v>16</v>
      </c>
      <c r="N113">
        <v>17</v>
      </c>
      <c r="O113">
        <v>0.78397499999999998</v>
      </c>
      <c r="P113">
        <v>0.45813700000000002</v>
      </c>
      <c r="Q113">
        <v>0.24507499999999999</v>
      </c>
    </row>
    <row r="114" spans="1:17" x14ac:dyDescent="0.25">
      <c r="A114" t="str">
        <f>IF(C114&amp;G114&amp;D114&lt;&gt;'Funnel setup'!$K$3&amp;'Funnel setup'!$K$4&amp;'Funnel setup'!$K$6,".",IF(A113=".",1,A113+1))</f>
        <v>.</v>
      </c>
      <c r="B114" s="244" t="str">
        <f t="shared" si="1"/>
        <v>Hip Replacement PrimarySub-ICB of GP PracticeNHS BUCKINGHAMSHIRE, OXFORDSHIRE AND BERKSHIRE WEST ICB - 14Y (14Y)EQ-5D Index</v>
      </c>
      <c r="C114" t="s">
        <v>749</v>
      </c>
      <c r="D114" t="s">
        <v>1021</v>
      </c>
      <c r="E114" t="s">
        <v>763</v>
      </c>
      <c r="F114" t="s">
        <v>764</v>
      </c>
      <c r="G114" t="s">
        <v>963</v>
      </c>
      <c r="H114">
        <v>214</v>
      </c>
      <c r="I114">
        <v>0.35914000000000001</v>
      </c>
      <c r="J114">
        <v>0.77760300000000004</v>
      </c>
      <c r="K114">
        <v>0.41846299999999997</v>
      </c>
      <c r="L114">
        <v>191</v>
      </c>
      <c r="M114">
        <v>11</v>
      </c>
      <c r="N114">
        <v>12</v>
      </c>
      <c r="O114">
        <v>0.75304499999999996</v>
      </c>
      <c r="P114">
        <v>0.42720599999999997</v>
      </c>
      <c r="Q114">
        <v>0.25707000000000002</v>
      </c>
    </row>
    <row r="115" spans="1:17" x14ac:dyDescent="0.25">
      <c r="A115" t="str">
        <f>IF(C115&amp;G115&amp;D115&lt;&gt;'Funnel setup'!$K$3&amp;'Funnel setup'!$K$4&amp;'Funnel setup'!$K$6,".",IF(A114=".",1,A114+1))</f>
        <v>.</v>
      </c>
      <c r="B115" s="244" t="str">
        <f t="shared" si="1"/>
        <v>Hip Replacement PrimarySub-ICB of GP PracticeNHS BUCKINGHAMSHIRE, OXFORDSHIRE AND BERKSHIRE WEST ICB - 15A (15A)EQ-5D Index</v>
      </c>
      <c r="C115" t="s">
        <v>749</v>
      </c>
      <c r="D115" t="s">
        <v>1021</v>
      </c>
      <c r="E115" t="s">
        <v>765</v>
      </c>
      <c r="F115" t="s">
        <v>766</v>
      </c>
      <c r="G115" t="s">
        <v>963</v>
      </c>
      <c r="H115">
        <v>60</v>
      </c>
      <c r="I115">
        <v>0.39311699999999999</v>
      </c>
      <c r="J115">
        <v>0.83958299999999997</v>
      </c>
      <c r="K115">
        <v>0.446467</v>
      </c>
      <c r="L115">
        <v>52</v>
      </c>
      <c r="M115">
        <v>7</v>
      </c>
      <c r="N115">
        <v>1</v>
      </c>
      <c r="O115">
        <v>0.79442299999999999</v>
      </c>
      <c r="P115">
        <v>0.46858499999999997</v>
      </c>
      <c r="Q115">
        <v>0.211645</v>
      </c>
    </row>
    <row r="116" spans="1:17" x14ac:dyDescent="0.25">
      <c r="A116" t="str">
        <f>IF(C116&amp;G116&amp;D116&lt;&gt;'Funnel setup'!$K$3&amp;'Funnel setup'!$K$4&amp;'Funnel setup'!$K$6,".",IF(A115=".",1,A115+1))</f>
        <v>.</v>
      </c>
      <c r="B116" s="244" t="str">
        <f t="shared" si="1"/>
        <v>Hip Replacement PrimarySub-ICB of GP PracticeNHS CAMBRIDGESHIRE AND PETERBOROUGH ICB - 06H (06H)EQ-5D Index</v>
      </c>
      <c r="C116" t="s">
        <v>749</v>
      </c>
      <c r="D116" t="s">
        <v>1021</v>
      </c>
      <c r="E116" t="s">
        <v>767</v>
      </c>
      <c r="F116" t="s">
        <v>768</v>
      </c>
      <c r="G116" t="s">
        <v>963</v>
      </c>
      <c r="H116">
        <v>215</v>
      </c>
      <c r="I116">
        <v>0.24210699999999999</v>
      </c>
      <c r="J116">
        <v>0.73951599999999995</v>
      </c>
      <c r="K116">
        <v>0.49740899999999999</v>
      </c>
      <c r="L116">
        <v>188</v>
      </c>
      <c r="M116">
        <v>12</v>
      </c>
      <c r="N116">
        <v>15</v>
      </c>
      <c r="O116">
        <v>0.764849</v>
      </c>
      <c r="P116">
        <v>0.43901099999999998</v>
      </c>
      <c r="Q116">
        <v>0.245091</v>
      </c>
    </row>
    <row r="117" spans="1:17" x14ac:dyDescent="0.25">
      <c r="A117" t="str">
        <f>IF(C117&amp;G117&amp;D117&lt;&gt;'Funnel setup'!$K$3&amp;'Funnel setup'!$K$4&amp;'Funnel setup'!$K$6,".",IF(A116=".",1,A116+1))</f>
        <v>.</v>
      </c>
      <c r="B117" s="244" t="str">
        <f t="shared" si="1"/>
        <v>Hip Replacement PrimarySub-ICB of GP PracticeNHS CHESHIRE AND MERSEYSIDE ICB - 01F (01F)EQ-5D Index</v>
      </c>
      <c r="C117" t="s">
        <v>749</v>
      </c>
      <c r="D117" t="s">
        <v>1021</v>
      </c>
      <c r="E117" t="s">
        <v>769</v>
      </c>
      <c r="F117" t="s">
        <v>770</v>
      </c>
      <c r="G117" t="s">
        <v>963</v>
      </c>
      <c r="H117">
        <v>30</v>
      </c>
      <c r="I117">
        <v>0.27879999999999999</v>
      </c>
      <c r="J117">
        <v>0.68593300000000001</v>
      </c>
      <c r="K117">
        <v>0.40713300000000002</v>
      </c>
      <c r="L117">
        <v>28</v>
      </c>
      <c r="M117">
        <v>0</v>
      </c>
      <c r="N117">
        <v>2</v>
      </c>
      <c r="O117">
        <v>0.72125300000000003</v>
      </c>
      <c r="P117">
        <v>0.39541399999999999</v>
      </c>
      <c r="Q117">
        <v>0.266129</v>
      </c>
    </row>
    <row r="118" spans="1:17" x14ac:dyDescent="0.25">
      <c r="A118" t="str">
        <f>IF(C118&amp;G118&amp;D118&lt;&gt;'Funnel setup'!$K$3&amp;'Funnel setup'!$K$4&amp;'Funnel setup'!$K$6,".",IF(A117=".",1,A117+1))</f>
        <v>.</v>
      </c>
      <c r="B118" s="244" t="str">
        <f t="shared" si="1"/>
        <v>Hip Replacement PrimarySub-ICB of GP PracticeNHS CHESHIRE AND MERSEYSIDE ICB - 01J (01J)EQ-5D Index</v>
      </c>
      <c r="C118" t="s">
        <v>749</v>
      </c>
      <c r="D118" t="s">
        <v>1021</v>
      </c>
      <c r="E118" t="s">
        <v>771</v>
      </c>
      <c r="F118" t="s">
        <v>772</v>
      </c>
      <c r="G118" t="s">
        <v>963</v>
      </c>
      <c r="H118">
        <v>37</v>
      </c>
      <c r="I118">
        <v>0.18740499999999999</v>
      </c>
      <c r="J118">
        <v>0.77805400000000002</v>
      </c>
      <c r="K118">
        <v>0.59064899999999998</v>
      </c>
      <c r="L118">
        <v>32</v>
      </c>
      <c r="M118">
        <v>3</v>
      </c>
      <c r="N118">
        <v>2</v>
      </c>
      <c r="O118">
        <v>0.83550800000000003</v>
      </c>
      <c r="P118">
        <v>0.50966900000000004</v>
      </c>
      <c r="Q118">
        <v>0.23263800000000001</v>
      </c>
    </row>
    <row r="119" spans="1:17" x14ac:dyDescent="0.25">
      <c r="A119" t="str">
        <f>IF(C119&amp;G119&amp;D119&lt;&gt;'Funnel setup'!$K$3&amp;'Funnel setup'!$K$4&amp;'Funnel setup'!$K$6,".",IF(A118=".",1,A118+1))</f>
        <v>.</v>
      </c>
      <c r="B119" s="244" t="str">
        <f t="shared" si="1"/>
        <v>Hip Replacement PrimarySub-ICB of GP PracticeNHS CHESHIRE AND MERSEYSIDE ICB - 01T (01T)EQ-5D Index</v>
      </c>
      <c r="C119" t="s">
        <v>749</v>
      </c>
      <c r="D119" t="s">
        <v>1021</v>
      </c>
      <c r="E119" t="s">
        <v>773</v>
      </c>
      <c r="F119" t="s">
        <v>774</v>
      </c>
      <c r="G119" t="s">
        <v>963</v>
      </c>
      <c r="H119">
        <v>42</v>
      </c>
      <c r="I119">
        <v>0.30438100000000001</v>
      </c>
      <c r="J119">
        <v>0.77726200000000001</v>
      </c>
      <c r="K119">
        <v>0.472881</v>
      </c>
      <c r="L119">
        <v>39</v>
      </c>
      <c r="M119">
        <v>2</v>
      </c>
      <c r="N119">
        <v>1</v>
      </c>
      <c r="O119">
        <v>0.77844500000000005</v>
      </c>
      <c r="P119">
        <v>0.45260699999999998</v>
      </c>
      <c r="Q119">
        <v>0.27010499999999998</v>
      </c>
    </row>
    <row r="120" spans="1:17" x14ac:dyDescent="0.25">
      <c r="A120" t="str">
        <f>IF(C120&amp;G120&amp;D120&lt;&gt;'Funnel setup'!$K$3&amp;'Funnel setup'!$K$4&amp;'Funnel setup'!$K$6,".",IF(A119=".",1,A119+1))</f>
        <v>.</v>
      </c>
      <c r="B120" s="244" t="str">
        <f t="shared" si="1"/>
        <v>Hip Replacement PrimarySub-ICB of GP PracticeNHS CHESHIRE AND MERSEYSIDE ICB - 01V (01V)EQ-5D Index</v>
      </c>
      <c r="C120" t="s">
        <v>749</v>
      </c>
      <c r="D120" t="s">
        <v>1021</v>
      </c>
      <c r="E120" t="s">
        <v>775</v>
      </c>
      <c r="F120" t="s">
        <v>776</v>
      </c>
      <c r="G120" t="s">
        <v>963</v>
      </c>
      <c r="H120">
        <v>22</v>
      </c>
      <c r="I120">
        <v>0.376</v>
      </c>
      <c r="J120">
        <v>0.78054500000000004</v>
      </c>
      <c r="K120">
        <v>0.40454499999999999</v>
      </c>
      <c r="L120">
        <v>21</v>
      </c>
      <c r="M120">
        <v>0</v>
      </c>
      <c r="N120">
        <v>1</v>
      </c>
      <c r="O120" t="s">
        <v>127</v>
      </c>
      <c r="P120" t="s">
        <v>127</v>
      </c>
      <c r="Q120" t="s">
        <v>127</v>
      </c>
    </row>
    <row r="121" spans="1:17" x14ac:dyDescent="0.25">
      <c r="A121" t="str">
        <f>IF(C121&amp;G121&amp;D121&lt;&gt;'Funnel setup'!$K$3&amp;'Funnel setup'!$K$4&amp;'Funnel setup'!$K$6,".",IF(A120=".",1,A120+1))</f>
        <v>.</v>
      </c>
      <c r="B121" s="244" t="str">
        <f t="shared" si="1"/>
        <v>Hip Replacement PrimarySub-ICB of GP PracticeNHS CHESHIRE AND MERSEYSIDE ICB - 01X (01X)EQ-5D Index</v>
      </c>
      <c r="C121" t="s">
        <v>749</v>
      </c>
      <c r="D121" t="s">
        <v>1021</v>
      </c>
      <c r="E121" t="s">
        <v>777</v>
      </c>
      <c r="F121" t="s">
        <v>778</v>
      </c>
      <c r="G121" t="s">
        <v>963</v>
      </c>
      <c r="H121">
        <v>58</v>
      </c>
      <c r="I121">
        <v>0.223638</v>
      </c>
      <c r="J121">
        <v>0.65905199999999997</v>
      </c>
      <c r="K121">
        <v>0.43541400000000002</v>
      </c>
      <c r="L121">
        <v>50</v>
      </c>
      <c r="M121">
        <v>4</v>
      </c>
      <c r="N121">
        <v>4</v>
      </c>
      <c r="O121">
        <v>0.70352999999999999</v>
      </c>
      <c r="P121">
        <v>0.377691</v>
      </c>
      <c r="Q121">
        <v>0.26762900000000001</v>
      </c>
    </row>
    <row r="122" spans="1:17" x14ac:dyDescent="0.25">
      <c r="A122" t="str">
        <f>IF(C122&amp;G122&amp;D122&lt;&gt;'Funnel setup'!$K$3&amp;'Funnel setup'!$K$4&amp;'Funnel setup'!$K$6,".",IF(A121=".",1,A121+1))</f>
        <v>.</v>
      </c>
      <c r="B122" s="244" t="str">
        <f t="shared" si="1"/>
        <v>Hip Replacement PrimarySub-ICB of GP PracticeNHS CHESHIRE AND MERSEYSIDE ICB - 02E (02E)EQ-5D Index</v>
      </c>
      <c r="C122" t="s">
        <v>749</v>
      </c>
      <c r="D122" t="s">
        <v>1021</v>
      </c>
      <c r="E122" t="s">
        <v>779</v>
      </c>
      <c r="F122" t="s">
        <v>780</v>
      </c>
      <c r="G122" t="s">
        <v>963</v>
      </c>
      <c r="H122">
        <v>32</v>
      </c>
      <c r="I122">
        <v>0.32200000000000001</v>
      </c>
      <c r="J122">
        <v>0.74550000000000005</v>
      </c>
      <c r="K122">
        <v>0.42349999999999999</v>
      </c>
      <c r="L122">
        <v>29</v>
      </c>
      <c r="M122">
        <v>1</v>
      </c>
      <c r="N122">
        <v>2</v>
      </c>
      <c r="O122">
        <v>0.74226300000000001</v>
      </c>
      <c r="P122">
        <v>0.41642400000000002</v>
      </c>
      <c r="Q122">
        <v>0.17424799999999999</v>
      </c>
    </row>
    <row r="123" spans="1:17" x14ac:dyDescent="0.25">
      <c r="A123" t="str">
        <f>IF(C123&amp;G123&amp;D123&lt;&gt;'Funnel setup'!$K$3&amp;'Funnel setup'!$K$4&amp;'Funnel setup'!$K$6,".",IF(A122=".",1,A122+1))</f>
        <v>.</v>
      </c>
      <c r="B123" s="244" t="str">
        <f t="shared" si="1"/>
        <v>Hip Replacement PrimarySub-ICB of GP PracticeNHS CHESHIRE AND MERSEYSIDE ICB - 12F (12F)EQ-5D Index</v>
      </c>
      <c r="C123" t="s">
        <v>749</v>
      </c>
      <c r="D123" t="s">
        <v>1021</v>
      </c>
      <c r="E123" t="s">
        <v>781</v>
      </c>
      <c r="F123" t="s">
        <v>782</v>
      </c>
      <c r="G123" t="s">
        <v>963</v>
      </c>
      <c r="H123">
        <v>88</v>
      </c>
      <c r="I123">
        <v>0.31980700000000001</v>
      </c>
      <c r="J123">
        <v>0.74341999999999997</v>
      </c>
      <c r="K123">
        <v>0.42361399999999999</v>
      </c>
      <c r="L123">
        <v>75</v>
      </c>
      <c r="M123">
        <v>11</v>
      </c>
      <c r="N123">
        <v>2</v>
      </c>
      <c r="O123">
        <v>0.74422500000000003</v>
      </c>
      <c r="P123">
        <v>0.41838700000000001</v>
      </c>
      <c r="Q123">
        <v>0.242918</v>
      </c>
    </row>
    <row r="124" spans="1:17" x14ac:dyDescent="0.25">
      <c r="A124" t="str">
        <f>IF(C124&amp;G124&amp;D124&lt;&gt;'Funnel setup'!$K$3&amp;'Funnel setup'!$K$4&amp;'Funnel setup'!$K$6,".",IF(A123=".",1,A123+1))</f>
        <v>.</v>
      </c>
      <c r="B124" s="244" t="str">
        <f t="shared" si="1"/>
        <v>Hip Replacement PrimarySub-ICB of GP PracticeNHS CHESHIRE AND MERSEYSIDE ICB - 27D (27D)EQ-5D Index</v>
      </c>
      <c r="C124" t="s">
        <v>749</v>
      </c>
      <c r="D124" t="s">
        <v>1021</v>
      </c>
      <c r="E124" t="s">
        <v>783</v>
      </c>
      <c r="F124" t="s">
        <v>784</v>
      </c>
      <c r="G124" t="s">
        <v>963</v>
      </c>
      <c r="H124">
        <v>256</v>
      </c>
      <c r="I124">
        <v>0.32331599999999999</v>
      </c>
      <c r="J124">
        <v>0.82098000000000004</v>
      </c>
      <c r="K124">
        <v>0.497664</v>
      </c>
      <c r="L124">
        <v>234</v>
      </c>
      <c r="M124">
        <v>11</v>
      </c>
      <c r="N124">
        <v>11</v>
      </c>
      <c r="O124">
        <v>0.81448699999999996</v>
      </c>
      <c r="P124">
        <v>0.488649</v>
      </c>
      <c r="Q124">
        <v>0.18737799999999999</v>
      </c>
    </row>
    <row r="125" spans="1:17" x14ac:dyDescent="0.25">
      <c r="A125" t="str">
        <f>IF(C125&amp;G125&amp;D125&lt;&gt;'Funnel setup'!$K$3&amp;'Funnel setup'!$K$4&amp;'Funnel setup'!$K$6,".",IF(A124=".",1,A124+1))</f>
        <v>.</v>
      </c>
      <c r="B125" s="244" t="str">
        <f t="shared" si="1"/>
        <v>Hip Replacement PrimarySub-ICB of GP PracticeNHS CHESHIRE AND MERSEYSIDE ICB - 99A (99A)EQ-5D Index</v>
      </c>
      <c r="C125" t="s">
        <v>749</v>
      </c>
      <c r="D125" t="s">
        <v>1021</v>
      </c>
      <c r="E125" t="s">
        <v>785</v>
      </c>
      <c r="F125" t="s">
        <v>786</v>
      </c>
      <c r="G125" t="s">
        <v>963</v>
      </c>
      <c r="H125">
        <v>79</v>
      </c>
      <c r="I125">
        <v>0.17382300000000001</v>
      </c>
      <c r="J125">
        <v>0.70226599999999995</v>
      </c>
      <c r="K125">
        <v>0.528443</v>
      </c>
      <c r="L125">
        <v>73</v>
      </c>
      <c r="M125">
        <v>4</v>
      </c>
      <c r="N125">
        <v>2</v>
      </c>
      <c r="O125">
        <v>0.78630199999999995</v>
      </c>
      <c r="P125">
        <v>0.46046399999999998</v>
      </c>
      <c r="Q125">
        <v>0.27314899999999998</v>
      </c>
    </row>
    <row r="126" spans="1:17" x14ac:dyDescent="0.25">
      <c r="A126" t="str">
        <f>IF(C126&amp;G126&amp;D126&lt;&gt;'Funnel setup'!$K$3&amp;'Funnel setup'!$K$4&amp;'Funnel setup'!$K$6,".",IF(A125=".",1,A125+1))</f>
        <v>.</v>
      </c>
      <c r="B126" s="244" t="str">
        <f t="shared" si="1"/>
        <v>Hip Replacement PrimarySub-ICB of GP PracticeNHS CORNWALL AND THE ISLES OF SCILLY ICB - 11N (11N)EQ-5D Index</v>
      </c>
      <c r="C126" t="s">
        <v>749</v>
      </c>
      <c r="D126" t="s">
        <v>1021</v>
      </c>
      <c r="E126" t="s">
        <v>787</v>
      </c>
      <c r="F126" t="s">
        <v>788</v>
      </c>
      <c r="G126" t="s">
        <v>963</v>
      </c>
      <c r="H126">
        <v>153</v>
      </c>
      <c r="I126">
        <v>0.39180999999999999</v>
      </c>
      <c r="J126">
        <v>0.84582400000000002</v>
      </c>
      <c r="K126">
        <v>0.454013</v>
      </c>
      <c r="L126">
        <v>142</v>
      </c>
      <c r="M126">
        <v>5</v>
      </c>
      <c r="N126">
        <v>6</v>
      </c>
      <c r="O126">
        <v>0.83325800000000005</v>
      </c>
      <c r="P126">
        <v>0.50741999999999998</v>
      </c>
      <c r="Q126">
        <v>0.24337300000000001</v>
      </c>
    </row>
    <row r="127" spans="1:17" x14ac:dyDescent="0.25">
      <c r="A127" t="str">
        <f>IF(C127&amp;G127&amp;D127&lt;&gt;'Funnel setup'!$K$3&amp;'Funnel setup'!$K$4&amp;'Funnel setup'!$K$6,".",IF(A126=".",1,A126+1))</f>
        <v>.</v>
      </c>
      <c r="B127" s="244" t="str">
        <f t="shared" si="1"/>
        <v>Hip Replacement PrimarySub-ICB of GP PracticeNHS COVENTRY AND WARWICKSHIRE ICB - B2M3M (B2M3M)EQ-5D Index</v>
      </c>
      <c r="C127" t="s">
        <v>749</v>
      </c>
      <c r="D127" t="s">
        <v>1021</v>
      </c>
      <c r="E127" t="s">
        <v>789</v>
      </c>
      <c r="F127" t="s">
        <v>790</v>
      </c>
      <c r="G127" t="s">
        <v>963</v>
      </c>
      <c r="H127">
        <v>257</v>
      </c>
      <c r="I127">
        <v>0.41563</v>
      </c>
      <c r="J127">
        <v>0.83371600000000001</v>
      </c>
      <c r="K127">
        <v>0.41808600000000001</v>
      </c>
      <c r="L127">
        <v>226</v>
      </c>
      <c r="M127">
        <v>18</v>
      </c>
      <c r="N127">
        <v>13</v>
      </c>
      <c r="O127">
        <v>0.796489</v>
      </c>
      <c r="P127">
        <v>0.47065099999999999</v>
      </c>
      <c r="Q127">
        <v>0.21595400000000001</v>
      </c>
    </row>
    <row r="128" spans="1:17" x14ac:dyDescent="0.25">
      <c r="A128" t="str">
        <f>IF(C128&amp;G128&amp;D128&lt;&gt;'Funnel setup'!$K$3&amp;'Funnel setup'!$K$4&amp;'Funnel setup'!$K$6,".",IF(A127=".",1,A127+1))</f>
        <v>.</v>
      </c>
      <c r="B128" s="244" t="str">
        <f t="shared" si="1"/>
        <v>Hip Replacement PrimarySub-ICB of GP PracticeNHS DERBY AND DERBYSHIRE ICB - 15M (15M)EQ-5D Index</v>
      </c>
      <c r="C128" t="s">
        <v>749</v>
      </c>
      <c r="D128" t="s">
        <v>1021</v>
      </c>
      <c r="E128" t="s">
        <v>791</v>
      </c>
      <c r="F128" t="s">
        <v>792</v>
      </c>
      <c r="G128" t="s">
        <v>963</v>
      </c>
      <c r="H128">
        <v>447</v>
      </c>
      <c r="I128">
        <v>0.27691900000000003</v>
      </c>
      <c r="J128">
        <v>0.76485899999999996</v>
      </c>
      <c r="K128">
        <v>0.48793999999999998</v>
      </c>
      <c r="L128">
        <v>399</v>
      </c>
      <c r="M128">
        <v>21</v>
      </c>
      <c r="N128">
        <v>27</v>
      </c>
      <c r="O128">
        <v>0.77982099999999999</v>
      </c>
      <c r="P128">
        <v>0.45398300000000003</v>
      </c>
      <c r="Q128">
        <v>0.24338000000000001</v>
      </c>
    </row>
    <row r="129" spans="1:17" x14ac:dyDescent="0.25">
      <c r="A129" t="str">
        <f>IF(C129&amp;G129&amp;D129&lt;&gt;'Funnel setup'!$K$3&amp;'Funnel setup'!$K$4&amp;'Funnel setup'!$K$6,".",IF(A128=".",1,A128+1))</f>
        <v>.</v>
      </c>
      <c r="B129" s="244" t="str">
        <f t="shared" si="1"/>
        <v>Hip Replacement PrimarySub-ICB of GP PracticeNHS DEVON ICB - 15N (15N)EQ-5D Index</v>
      </c>
      <c r="C129" t="s">
        <v>749</v>
      </c>
      <c r="D129" t="s">
        <v>1021</v>
      </c>
      <c r="E129" t="s">
        <v>793</v>
      </c>
      <c r="F129" t="s">
        <v>794</v>
      </c>
      <c r="G129" t="s">
        <v>963</v>
      </c>
      <c r="H129">
        <v>351</v>
      </c>
      <c r="I129">
        <v>0.31721899999999997</v>
      </c>
      <c r="J129">
        <v>0.81319900000000001</v>
      </c>
      <c r="K129">
        <v>0.49597999999999998</v>
      </c>
      <c r="L129">
        <v>318</v>
      </c>
      <c r="M129">
        <v>14</v>
      </c>
      <c r="N129">
        <v>19</v>
      </c>
      <c r="O129">
        <v>0.81737599999999999</v>
      </c>
      <c r="P129">
        <v>0.49153799999999997</v>
      </c>
      <c r="Q129">
        <v>0.212723</v>
      </c>
    </row>
    <row r="130" spans="1:17" x14ac:dyDescent="0.25">
      <c r="A130" t="str">
        <f>IF(C130&amp;G130&amp;D130&lt;&gt;'Funnel setup'!$K$3&amp;'Funnel setup'!$K$4&amp;'Funnel setup'!$K$6,".",IF(A129=".",1,A129+1))</f>
        <v>.</v>
      </c>
      <c r="B130" s="244" t="str">
        <f t="shared" ref="B130:B193" si="2">C130&amp;D130&amp;F130&amp;G130</f>
        <v>Hip Replacement PrimarySub-ICB of GP PracticeNHS DORSET ICB - 11J (11J)EQ-5D Index</v>
      </c>
      <c r="C130" t="s">
        <v>749</v>
      </c>
      <c r="D130" t="s">
        <v>1021</v>
      </c>
      <c r="E130" t="s">
        <v>795</v>
      </c>
      <c r="F130" t="s">
        <v>796</v>
      </c>
      <c r="G130" t="s">
        <v>963</v>
      </c>
      <c r="H130">
        <v>269</v>
      </c>
      <c r="I130">
        <v>0.382301</v>
      </c>
      <c r="J130">
        <v>0.81363200000000002</v>
      </c>
      <c r="K130">
        <v>0.43133100000000002</v>
      </c>
      <c r="L130">
        <v>240</v>
      </c>
      <c r="M130">
        <v>15</v>
      </c>
      <c r="N130">
        <v>14</v>
      </c>
      <c r="O130">
        <v>0.79634700000000003</v>
      </c>
      <c r="P130">
        <v>0.47050900000000001</v>
      </c>
      <c r="Q130">
        <v>0.241593</v>
      </c>
    </row>
    <row r="131" spans="1:17" x14ac:dyDescent="0.25">
      <c r="A131" t="str">
        <f>IF(C131&amp;G131&amp;D131&lt;&gt;'Funnel setup'!$K$3&amp;'Funnel setup'!$K$4&amp;'Funnel setup'!$K$6,".",IF(A130=".",1,A130+1))</f>
        <v>.</v>
      </c>
      <c r="B131" s="244" t="str">
        <f t="shared" si="2"/>
        <v>Hip Replacement PrimarySub-ICB of GP PracticeNHS FRIMLEY ICB - D4U1Y (D4U1Y)EQ-5D Index</v>
      </c>
      <c r="C131" t="s">
        <v>749</v>
      </c>
      <c r="D131" t="s">
        <v>1021</v>
      </c>
      <c r="E131" t="s">
        <v>797</v>
      </c>
      <c r="F131" t="s">
        <v>798</v>
      </c>
      <c r="G131" t="s">
        <v>963</v>
      </c>
      <c r="H131">
        <v>162</v>
      </c>
      <c r="I131">
        <v>0.35590100000000002</v>
      </c>
      <c r="J131">
        <v>0.80333299999999996</v>
      </c>
      <c r="K131">
        <v>0.447432</v>
      </c>
      <c r="L131">
        <v>149</v>
      </c>
      <c r="M131">
        <v>6</v>
      </c>
      <c r="N131">
        <v>7</v>
      </c>
      <c r="O131">
        <v>0.78990700000000003</v>
      </c>
      <c r="P131">
        <v>0.46406900000000001</v>
      </c>
      <c r="Q131">
        <v>0.20263</v>
      </c>
    </row>
    <row r="132" spans="1:17" x14ac:dyDescent="0.25">
      <c r="A132" t="str">
        <f>IF(C132&amp;G132&amp;D132&lt;&gt;'Funnel setup'!$K$3&amp;'Funnel setup'!$K$4&amp;'Funnel setup'!$K$6,".",IF(A131=".",1,A131+1))</f>
        <v>.</v>
      </c>
      <c r="B132" s="244" t="str">
        <f t="shared" si="2"/>
        <v>Hip Replacement PrimarySub-ICB of GP PracticeNHS GLOUCESTERSHIRE ICB - 11M (11M)EQ-5D Index</v>
      </c>
      <c r="C132" t="s">
        <v>749</v>
      </c>
      <c r="D132" t="s">
        <v>1021</v>
      </c>
      <c r="E132" t="s">
        <v>799</v>
      </c>
      <c r="F132" t="s">
        <v>800</v>
      </c>
      <c r="G132" t="s">
        <v>963</v>
      </c>
      <c r="H132">
        <v>161</v>
      </c>
      <c r="I132">
        <v>0.33149699999999999</v>
      </c>
      <c r="J132">
        <v>0.80511200000000005</v>
      </c>
      <c r="K132">
        <v>0.47361500000000001</v>
      </c>
      <c r="L132">
        <v>150</v>
      </c>
      <c r="M132">
        <v>5</v>
      </c>
      <c r="N132">
        <v>6</v>
      </c>
      <c r="O132">
        <v>0.79236099999999998</v>
      </c>
      <c r="P132">
        <v>0.46652199999999999</v>
      </c>
      <c r="Q132">
        <v>0.20969099999999999</v>
      </c>
    </row>
    <row r="133" spans="1:17" x14ac:dyDescent="0.25">
      <c r="A133" t="str">
        <f>IF(C133&amp;G133&amp;D133&lt;&gt;'Funnel setup'!$K$3&amp;'Funnel setup'!$K$4&amp;'Funnel setup'!$K$6,".",IF(A132=".",1,A132+1))</f>
        <v>.</v>
      </c>
      <c r="B133" s="244" t="str">
        <f t="shared" si="2"/>
        <v>Hip Replacement PrimarySub-ICB of GP PracticeNHS GREATER MANCHESTER ICB - 00T (00T)EQ-5D Index</v>
      </c>
      <c r="C133" t="s">
        <v>749</v>
      </c>
      <c r="D133" t="s">
        <v>1021</v>
      </c>
      <c r="E133" t="s">
        <v>801</v>
      </c>
      <c r="F133" t="s">
        <v>802</v>
      </c>
      <c r="G133" t="s">
        <v>963</v>
      </c>
      <c r="H133">
        <v>49</v>
      </c>
      <c r="I133">
        <v>0.24804100000000001</v>
      </c>
      <c r="J133">
        <v>0.74481600000000003</v>
      </c>
      <c r="K133">
        <v>0.496776</v>
      </c>
      <c r="L133">
        <v>44</v>
      </c>
      <c r="M133">
        <v>1</v>
      </c>
      <c r="N133">
        <v>4</v>
      </c>
      <c r="O133">
        <v>0.78937000000000002</v>
      </c>
      <c r="P133">
        <v>0.463532</v>
      </c>
      <c r="Q133">
        <v>0.259407</v>
      </c>
    </row>
    <row r="134" spans="1:17" x14ac:dyDescent="0.25">
      <c r="A134" t="str">
        <f>IF(C134&amp;G134&amp;D134&lt;&gt;'Funnel setup'!$K$3&amp;'Funnel setup'!$K$4&amp;'Funnel setup'!$K$6,".",IF(A133=".",1,A133+1))</f>
        <v>.</v>
      </c>
      <c r="B134" s="244" t="str">
        <f t="shared" si="2"/>
        <v>Hip Replacement PrimarySub-ICB of GP PracticeNHS GREATER MANCHESTER ICB - 00V (00V)EQ-5D Index</v>
      </c>
      <c r="C134" t="s">
        <v>749</v>
      </c>
      <c r="D134" t="s">
        <v>1021</v>
      </c>
      <c r="E134" t="s">
        <v>803</v>
      </c>
      <c r="F134" t="s">
        <v>804</v>
      </c>
      <c r="G134" t="s">
        <v>963</v>
      </c>
      <c r="H134">
        <v>15</v>
      </c>
      <c r="I134">
        <v>0.235933</v>
      </c>
      <c r="J134">
        <v>0.77573300000000001</v>
      </c>
      <c r="K134">
        <v>0.53979999999999995</v>
      </c>
      <c r="L134">
        <v>15</v>
      </c>
      <c r="M134">
        <v>0</v>
      </c>
      <c r="N134">
        <v>0</v>
      </c>
      <c r="O134" t="s">
        <v>127</v>
      </c>
      <c r="P134" t="s">
        <v>127</v>
      </c>
      <c r="Q134" t="s">
        <v>127</v>
      </c>
    </row>
    <row r="135" spans="1:17" x14ac:dyDescent="0.25">
      <c r="A135" t="str">
        <f>IF(C135&amp;G135&amp;D135&lt;&gt;'Funnel setup'!$K$3&amp;'Funnel setup'!$K$4&amp;'Funnel setup'!$K$6,".",IF(A134=".",1,A134+1))</f>
        <v>.</v>
      </c>
      <c r="B135" s="244" t="str">
        <f t="shared" si="2"/>
        <v>Hip Replacement PrimarySub-ICB of GP PracticeNHS GREATER MANCHESTER ICB - 00Y (00Y)EQ-5D Index</v>
      </c>
      <c r="C135" t="s">
        <v>749</v>
      </c>
      <c r="D135" t="s">
        <v>1021</v>
      </c>
      <c r="E135" t="s">
        <v>805</v>
      </c>
      <c r="F135" t="s">
        <v>806</v>
      </c>
      <c r="G135" t="s">
        <v>963</v>
      </c>
      <c r="H135">
        <v>66</v>
      </c>
      <c r="I135">
        <v>0.340227</v>
      </c>
      <c r="J135">
        <v>0.84721199999999997</v>
      </c>
      <c r="K135">
        <v>0.50698500000000002</v>
      </c>
      <c r="L135">
        <v>63</v>
      </c>
      <c r="M135">
        <v>2</v>
      </c>
      <c r="N135">
        <v>1</v>
      </c>
      <c r="O135">
        <v>0.83898700000000004</v>
      </c>
      <c r="P135">
        <v>0.51314899999999997</v>
      </c>
      <c r="Q135">
        <v>0.18621099999999999</v>
      </c>
    </row>
    <row r="136" spans="1:17" x14ac:dyDescent="0.25">
      <c r="A136" t="str">
        <f>IF(C136&amp;G136&amp;D136&lt;&gt;'Funnel setup'!$K$3&amp;'Funnel setup'!$K$4&amp;'Funnel setup'!$K$6,".",IF(A135=".",1,A135+1))</f>
        <v>.</v>
      </c>
      <c r="B136" s="244" t="str">
        <f t="shared" si="2"/>
        <v>Hip Replacement PrimarySub-ICB of GP PracticeNHS GREATER MANCHESTER ICB - 01D (01D)EQ-5D Index</v>
      </c>
      <c r="C136" t="s">
        <v>749</v>
      </c>
      <c r="D136" t="s">
        <v>1021</v>
      </c>
      <c r="E136" t="s">
        <v>807</v>
      </c>
      <c r="F136" t="s">
        <v>808</v>
      </c>
      <c r="G136" t="s">
        <v>963</v>
      </c>
      <c r="H136">
        <v>19</v>
      </c>
      <c r="I136">
        <v>0.331737</v>
      </c>
      <c r="J136">
        <v>0.71415799999999996</v>
      </c>
      <c r="K136">
        <v>0.38242100000000001</v>
      </c>
      <c r="L136">
        <v>17</v>
      </c>
      <c r="M136">
        <v>0</v>
      </c>
      <c r="N136">
        <v>2</v>
      </c>
      <c r="O136" t="s">
        <v>127</v>
      </c>
      <c r="P136" t="s">
        <v>127</v>
      </c>
      <c r="Q136" t="s">
        <v>127</v>
      </c>
    </row>
    <row r="137" spans="1:17" x14ac:dyDescent="0.25">
      <c r="A137" t="str">
        <f>IF(C137&amp;G137&amp;D137&lt;&gt;'Funnel setup'!$K$3&amp;'Funnel setup'!$K$4&amp;'Funnel setup'!$K$6,".",IF(A136=".",1,A136+1))</f>
        <v>.</v>
      </c>
      <c r="B137" s="244" t="str">
        <f t="shared" si="2"/>
        <v>Hip Replacement PrimarySub-ICB of GP PracticeNHS GREATER MANCHESTER ICB - 01G (01G)EQ-5D Index</v>
      </c>
      <c r="C137" t="s">
        <v>749</v>
      </c>
      <c r="D137" t="s">
        <v>1021</v>
      </c>
      <c r="E137" t="s">
        <v>809</v>
      </c>
      <c r="F137" t="s">
        <v>810</v>
      </c>
      <c r="G137" t="s">
        <v>963</v>
      </c>
      <c r="H137">
        <v>34</v>
      </c>
      <c r="I137">
        <v>0.35305900000000001</v>
      </c>
      <c r="J137">
        <v>0.76547100000000001</v>
      </c>
      <c r="K137">
        <v>0.412412</v>
      </c>
      <c r="L137">
        <v>26</v>
      </c>
      <c r="M137">
        <v>5</v>
      </c>
      <c r="N137">
        <v>3</v>
      </c>
      <c r="O137">
        <v>0.77497499999999997</v>
      </c>
      <c r="P137">
        <v>0.44913599999999998</v>
      </c>
      <c r="Q137">
        <v>0.24382799999999999</v>
      </c>
    </row>
    <row r="138" spans="1:17" x14ac:dyDescent="0.25">
      <c r="A138" t="str">
        <f>IF(C138&amp;G138&amp;D138&lt;&gt;'Funnel setup'!$K$3&amp;'Funnel setup'!$K$4&amp;'Funnel setup'!$K$6,".",IF(A137=".",1,A137+1))</f>
        <v>.</v>
      </c>
      <c r="B138" s="244" t="str">
        <f t="shared" si="2"/>
        <v>Hip Replacement PrimarySub-ICB of GP PracticeNHS GREATER MANCHESTER ICB - 01W (01W)EQ-5D Index</v>
      </c>
      <c r="C138" t="s">
        <v>749</v>
      </c>
      <c r="D138" t="s">
        <v>1021</v>
      </c>
      <c r="E138" t="s">
        <v>811</v>
      </c>
      <c r="F138" t="s">
        <v>812</v>
      </c>
      <c r="G138" t="s">
        <v>963</v>
      </c>
      <c r="H138">
        <v>78</v>
      </c>
      <c r="I138">
        <v>0.328795</v>
      </c>
      <c r="J138">
        <v>0.80476899999999996</v>
      </c>
      <c r="K138">
        <v>0.47597400000000001</v>
      </c>
      <c r="L138">
        <v>72</v>
      </c>
      <c r="M138">
        <v>3</v>
      </c>
      <c r="N138">
        <v>3</v>
      </c>
      <c r="O138">
        <v>0.81634200000000001</v>
      </c>
      <c r="P138">
        <v>0.49050300000000002</v>
      </c>
      <c r="Q138">
        <v>0.198431</v>
      </c>
    </row>
    <row r="139" spans="1:17" x14ac:dyDescent="0.25">
      <c r="A139" t="str">
        <f>IF(C139&amp;G139&amp;D139&lt;&gt;'Funnel setup'!$K$3&amp;'Funnel setup'!$K$4&amp;'Funnel setup'!$K$6,".",IF(A138=".",1,A138+1))</f>
        <v>.</v>
      </c>
      <c r="B139" s="244" t="str">
        <f t="shared" si="2"/>
        <v>Hip Replacement PrimarySub-ICB of GP PracticeNHS GREATER MANCHESTER ICB - 01Y (01Y)EQ-5D Index</v>
      </c>
      <c r="C139" t="s">
        <v>749</v>
      </c>
      <c r="D139" t="s">
        <v>1021</v>
      </c>
      <c r="E139" t="s">
        <v>813</v>
      </c>
      <c r="F139" t="s">
        <v>814</v>
      </c>
      <c r="G139" t="s">
        <v>963</v>
      </c>
      <c r="H139">
        <v>33</v>
      </c>
      <c r="I139">
        <v>0.33700000000000002</v>
      </c>
      <c r="J139">
        <v>0.74351500000000004</v>
      </c>
      <c r="K139">
        <v>0.40651500000000002</v>
      </c>
      <c r="L139">
        <v>29</v>
      </c>
      <c r="M139">
        <v>2</v>
      </c>
      <c r="N139">
        <v>2</v>
      </c>
      <c r="O139">
        <v>0.74643400000000004</v>
      </c>
      <c r="P139">
        <v>0.42059600000000003</v>
      </c>
      <c r="Q139">
        <v>0.21596000000000001</v>
      </c>
    </row>
    <row r="140" spans="1:17" x14ac:dyDescent="0.25">
      <c r="A140" t="str">
        <f>IF(C140&amp;G140&amp;D140&lt;&gt;'Funnel setup'!$K$3&amp;'Funnel setup'!$K$4&amp;'Funnel setup'!$K$6,".",IF(A139=".",1,A139+1))</f>
        <v>.</v>
      </c>
      <c r="B140" s="244" t="str">
        <f t="shared" si="2"/>
        <v>Hip Replacement PrimarySub-ICB of GP PracticeNHS GREATER MANCHESTER ICB - 02A (02A)EQ-5D Index</v>
      </c>
      <c r="C140" t="s">
        <v>749</v>
      </c>
      <c r="D140" t="s">
        <v>1021</v>
      </c>
      <c r="E140" t="s">
        <v>815</v>
      </c>
      <c r="F140" t="s">
        <v>816</v>
      </c>
      <c r="G140" t="s">
        <v>963</v>
      </c>
      <c r="H140">
        <v>78</v>
      </c>
      <c r="I140">
        <v>0.31962800000000002</v>
      </c>
      <c r="J140">
        <v>0.75156400000000001</v>
      </c>
      <c r="K140">
        <v>0.43193599999999999</v>
      </c>
      <c r="L140">
        <v>70</v>
      </c>
      <c r="M140">
        <v>2</v>
      </c>
      <c r="N140">
        <v>6</v>
      </c>
      <c r="O140">
        <v>0.75293699999999997</v>
      </c>
      <c r="P140">
        <v>0.42709900000000001</v>
      </c>
      <c r="Q140">
        <v>0.218499</v>
      </c>
    </row>
    <row r="141" spans="1:17" x14ac:dyDescent="0.25">
      <c r="A141" t="str">
        <f>IF(C141&amp;G141&amp;D141&lt;&gt;'Funnel setup'!$K$3&amp;'Funnel setup'!$K$4&amp;'Funnel setup'!$K$6,".",IF(A140=".",1,A140+1))</f>
        <v>.</v>
      </c>
      <c r="B141" s="244" t="str">
        <f t="shared" si="2"/>
        <v>Hip Replacement PrimarySub-ICB of GP PracticeNHS GREATER MANCHESTER ICB - 02H (02H)EQ-5D Index</v>
      </c>
      <c r="C141" t="s">
        <v>749</v>
      </c>
      <c r="D141" t="s">
        <v>1021</v>
      </c>
      <c r="E141" t="s">
        <v>817</v>
      </c>
      <c r="F141" t="s">
        <v>818</v>
      </c>
      <c r="G141" t="s">
        <v>963</v>
      </c>
      <c r="H141">
        <v>29</v>
      </c>
      <c r="I141">
        <v>0.228379</v>
      </c>
      <c r="J141">
        <v>0.73317200000000005</v>
      </c>
      <c r="K141">
        <v>0.50479300000000005</v>
      </c>
      <c r="L141">
        <v>25</v>
      </c>
      <c r="M141">
        <v>2</v>
      </c>
      <c r="N141">
        <v>2</v>
      </c>
      <c r="O141" t="s">
        <v>127</v>
      </c>
      <c r="P141" t="s">
        <v>127</v>
      </c>
      <c r="Q141" t="s">
        <v>127</v>
      </c>
    </row>
    <row r="142" spans="1:17" x14ac:dyDescent="0.25">
      <c r="A142" t="str">
        <f>IF(C142&amp;G142&amp;D142&lt;&gt;'Funnel setup'!$K$3&amp;'Funnel setup'!$K$4&amp;'Funnel setup'!$K$6,".",IF(A141=".",1,A141+1))</f>
        <v>.</v>
      </c>
      <c r="B142" s="244" t="str">
        <f t="shared" si="2"/>
        <v>Hip Replacement PrimarySub-ICB of GP PracticeNHS GREATER MANCHESTER ICB - 14L (14L)EQ-5D Index</v>
      </c>
      <c r="C142" t="s">
        <v>749</v>
      </c>
      <c r="D142" t="s">
        <v>1021</v>
      </c>
      <c r="E142" t="s">
        <v>819</v>
      </c>
      <c r="F142" t="s">
        <v>820</v>
      </c>
      <c r="G142" t="s">
        <v>963</v>
      </c>
      <c r="H142">
        <v>43</v>
      </c>
      <c r="I142">
        <v>0.23139499999999999</v>
      </c>
      <c r="J142">
        <v>0.71113999999999999</v>
      </c>
      <c r="K142">
        <v>0.479744</v>
      </c>
      <c r="L142">
        <v>36</v>
      </c>
      <c r="M142">
        <v>3</v>
      </c>
      <c r="N142">
        <v>4</v>
      </c>
      <c r="O142">
        <v>0.75121300000000002</v>
      </c>
      <c r="P142">
        <v>0.425375</v>
      </c>
      <c r="Q142">
        <v>0.28964400000000001</v>
      </c>
    </row>
    <row r="143" spans="1:17" x14ac:dyDescent="0.25">
      <c r="A143" t="str">
        <f>IF(C143&amp;G143&amp;D143&lt;&gt;'Funnel setup'!$K$3&amp;'Funnel setup'!$K$4&amp;'Funnel setup'!$K$6,".",IF(A142=".",1,A142+1))</f>
        <v>.</v>
      </c>
      <c r="B143" s="244" t="str">
        <f t="shared" si="2"/>
        <v>Hip Replacement PrimarySub-ICB of GP PracticeNHS HAMPSHIRE AND ISLE OF WIGHT ICB - 10R (10R)EQ-5D Index</v>
      </c>
      <c r="C143" t="s">
        <v>749</v>
      </c>
      <c r="D143" t="s">
        <v>1021</v>
      </c>
      <c r="E143" t="s">
        <v>821</v>
      </c>
      <c r="F143" t="s">
        <v>822</v>
      </c>
      <c r="G143" t="s">
        <v>963</v>
      </c>
      <c r="H143">
        <v>12</v>
      </c>
      <c r="I143">
        <v>0.35483300000000001</v>
      </c>
      <c r="J143">
        <v>0.723333</v>
      </c>
      <c r="K143">
        <v>0.36849999999999999</v>
      </c>
      <c r="L143">
        <v>11</v>
      </c>
      <c r="M143">
        <v>1</v>
      </c>
      <c r="N143">
        <v>0</v>
      </c>
      <c r="O143" t="s">
        <v>127</v>
      </c>
      <c r="P143" t="s">
        <v>127</v>
      </c>
      <c r="Q143" t="s">
        <v>127</v>
      </c>
    </row>
    <row r="144" spans="1:17" x14ac:dyDescent="0.25">
      <c r="A144" t="str">
        <f>IF(C144&amp;G144&amp;D144&lt;&gt;'Funnel setup'!$K$3&amp;'Funnel setup'!$K$4&amp;'Funnel setup'!$K$6,".",IF(A143=".",1,A143+1))</f>
        <v>.</v>
      </c>
      <c r="B144" s="244" t="str">
        <f t="shared" si="2"/>
        <v>Hip Replacement PrimarySub-ICB of GP PracticeNHS HAMPSHIRE AND ISLE OF WIGHT ICB - D9Y0V (D9Y0V)EQ-5D Index</v>
      </c>
      <c r="C144" t="s">
        <v>749</v>
      </c>
      <c r="D144" t="s">
        <v>1021</v>
      </c>
      <c r="E144" t="s">
        <v>823</v>
      </c>
      <c r="F144" t="s">
        <v>824</v>
      </c>
      <c r="G144" t="s">
        <v>963</v>
      </c>
      <c r="H144">
        <v>408</v>
      </c>
      <c r="I144">
        <v>0.38479400000000002</v>
      </c>
      <c r="J144">
        <v>0.80383800000000005</v>
      </c>
      <c r="K144">
        <v>0.41904400000000003</v>
      </c>
      <c r="L144">
        <v>355</v>
      </c>
      <c r="M144">
        <v>30</v>
      </c>
      <c r="N144">
        <v>23</v>
      </c>
      <c r="O144">
        <v>0.78231200000000001</v>
      </c>
      <c r="P144">
        <v>0.45647300000000002</v>
      </c>
      <c r="Q144">
        <v>0.21870600000000001</v>
      </c>
    </row>
    <row r="145" spans="1:17" x14ac:dyDescent="0.25">
      <c r="A145" t="str">
        <f>IF(C145&amp;G145&amp;D145&lt;&gt;'Funnel setup'!$K$3&amp;'Funnel setup'!$K$4&amp;'Funnel setup'!$K$6,".",IF(A144=".",1,A144+1))</f>
        <v>.</v>
      </c>
      <c r="B145" s="244" t="str">
        <f t="shared" si="2"/>
        <v>Hip Replacement PrimarySub-ICB of GP PracticeNHS HEREFORDSHIRE AND WORCESTERSHIRE ICB - 18C (18C)EQ-5D Index</v>
      </c>
      <c r="C145" t="s">
        <v>749</v>
      </c>
      <c r="D145" t="s">
        <v>1021</v>
      </c>
      <c r="E145" t="s">
        <v>825</v>
      </c>
      <c r="F145" t="s">
        <v>826</v>
      </c>
      <c r="G145" t="s">
        <v>963</v>
      </c>
      <c r="H145">
        <v>201</v>
      </c>
      <c r="I145">
        <v>0.25394499999999998</v>
      </c>
      <c r="J145">
        <v>0.78470600000000001</v>
      </c>
      <c r="K145">
        <v>0.53076100000000004</v>
      </c>
      <c r="L145">
        <v>184</v>
      </c>
      <c r="M145">
        <v>4</v>
      </c>
      <c r="N145">
        <v>13</v>
      </c>
      <c r="O145">
        <v>0.80405700000000002</v>
      </c>
      <c r="P145">
        <v>0.47821900000000001</v>
      </c>
      <c r="Q145">
        <v>0.240315</v>
      </c>
    </row>
    <row r="146" spans="1:17" x14ac:dyDescent="0.25">
      <c r="A146" t="str">
        <f>IF(C146&amp;G146&amp;D146&lt;&gt;'Funnel setup'!$K$3&amp;'Funnel setup'!$K$4&amp;'Funnel setup'!$K$6,".",IF(A145=".",1,A145+1))</f>
        <v>.</v>
      </c>
      <c r="B146" s="244" t="str">
        <f t="shared" si="2"/>
        <v>Hip Replacement PrimarySub-ICB of GP PracticeNHS HERTFORDSHIRE AND WEST ESSEX ICB - 06K (06K)EQ-5D Index</v>
      </c>
      <c r="C146" t="s">
        <v>749</v>
      </c>
      <c r="D146" t="s">
        <v>1021</v>
      </c>
      <c r="E146" t="s">
        <v>827</v>
      </c>
      <c r="F146" t="s">
        <v>828</v>
      </c>
      <c r="G146" t="s">
        <v>963</v>
      </c>
      <c r="H146">
        <v>100</v>
      </c>
      <c r="I146">
        <v>0.31278</v>
      </c>
      <c r="J146">
        <v>0.73394000000000004</v>
      </c>
      <c r="K146">
        <v>0.42115999999999998</v>
      </c>
      <c r="L146">
        <v>90</v>
      </c>
      <c r="M146">
        <v>2</v>
      </c>
      <c r="N146">
        <v>8</v>
      </c>
      <c r="O146">
        <v>0.73507</v>
      </c>
      <c r="P146">
        <v>0.40923199999999998</v>
      </c>
      <c r="Q146">
        <v>0.27054600000000001</v>
      </c>
    </row>
    <row r="147" spans="1:17" x14ac:dyDescent="0.25">
      <c r="A147" t="str">
        <f>IF(C147&amp;G147&amp;D147&lt;&gt;'Funnel setup'!$K$3&amp;'Funnel setup'!$K$4&amp;'Funnel setup'!$K$6,".",IF(A146=".",1,A146+1))</f>
        <v>.</v>
      </c>
      <c r="B147" s="244" t="str">
        <f t="shared" si="2"/>
        <v>Hip Replacement PrimarySub-ICB of GP PracticeNHS HERTFORDSHIRE AND WEST ESSEX ICB - 06N (06N)EQ-5D Index</v>
      </c>
      <c r="C147" t="s">
        <v>749</v>
      </c>
      <c r="D147" t="s">
        <v>1021</v>
      </c>
      <c r="E147" t="s">
        <v>829</v>
      </c>
      <c r="F147" t="s">
        <v>830</v>
      </c>
      <c r="G147" t="s">
        <v>963</v>
      </c>
      <c r="H147">
        <v>122</v>
      </c>
      <c r="I147">
        <v>0.332484</v>
      </c>
      <c r="J147">
        <v>0.74861500000000003</v>
      </c>
      <c r="K147">
        <v>0.41613099999999997</v>
      </c>
      <c r="L147">
        <v>107</v>
      </c>
      <c r="M147">
        <v>6</v>
      </c>
      <c r="N147">
        <v>9</v>
      </c>
      <c r="O147">
        <v>0.74173699999999998</v>
      </c>
      <c r="P147">
        <v>0.41589900000000002</v>
      </c>
      <c r="Q147">
        <v>0.25457800000000003</v>
      </c>
    </row>
    <row r="148" spans="1:17" x14ac:dyDescent="0.25">
      <c r="A148" t="str">
        <f>IF(C148&amp;G148&amp;D148&lt;&gt;'Funnel setup'!$K$3&amp;'Funnel setup'!$K$4&amp;'Funnel setup'!$K$6,".",IF(A147=".",1,A147+1))</f>
        <v>.</v>
      </c>
      <c r="B148" s="244" t="str">
        <f t="shared" si="2"/>
        <v>Hip Replacement PrimarySub-ICB of GP PracticeNHS HERTFORDSHIRE AND WEST ESSEX ICB - 07H (07H)EQ-5D Index</v>
      </c>
      <c r="C148" t="s">
        <v>749</v>
      </c>
      <c r="D148" t="s">
        <v>1021</v>
      </c>
      <c r="E148" t="s">
        <v>831</v>
      </c>
      <c r="F148" t="s">
        <v>832</v>
      </c>
      <c r="G148" t="s">
        <v>963</v>
      </c>
      <c r="H148">
        <v>76</v>
      </c>
      <c r="I148">
        <v>0.34669699999999998</v>
      </c>
      <c r="J148">
        <v>0.78456599999999999</v>
      </c>
      <c r="K148">
        <v>0.43786799999999998</v>
      </c>
      <c r="L148">
        <v>72</v>
      </c>
      <c r="M148">
        <v>2</v>
      </c>
      <c r="N148">
        <v>2</v>
      </c>
      <c r="O148">
        <v>0.78406500000000001</v>
      </c>
      <c r="P148">
        <v>0.45822600000000002</v>
      </c>
      <c r="Q148">
        <v>0.22729099999999999</v>
      </c>
    </row>
    <row r="149" spans="1:17" x14ac:dyDescent="0.25">
      <c r="A149" t="str">
        <f>IF(C149&amp;G149&amp;D149&lt;&gt;'Funnel setup'!$K$3&amp;'Funnel setup'!$K$4&amp;'Funnel setup'!$K$6,".",IF(A148=".",1,A148+1))</f>
        <v>.</v>
      </c>
      <c r="B149" s="244" t="str">
        <f t="shared" si="2"/>
        <v>Hip Replacement PrimarySub-ICB of GP PracticeNHS HUMBER AND NORTH YORKSHIRE ICB - 02Y (02Y)EQ-5D Index</v>
      </c>
      <c r="C149" t="s">
        <v>749</v>
      </c>
      <c r="D149" t="s">
        <v>1021</v>
      </c>
      <c r="E149" t="s">
        <v>833</v>
      </c>
      <c r="F149" t="s">
        <v>834</v>
      </c>
      <c r="G149" t="s">
        <v>963</v>
      </c>
      <c r="H149">
        <v>66</v>
      </c>
      <c r="I149">
        <v>0.320303</v>
      </c>
      <c r="J149">
        <v>0.80442400000000003</v>
      </c>
      <c r="K149">
        <v>0.48412100000000002</v>
      </c>
      <c r="L149">
        <v>59</v>
      </c>
      <c r="M149">
        <v>2</v>
      </c>
      <c r="N149">
        <v>5</v>
      </c>
      <c r="O149">
        <v>0.80145</v>
      </c>
      <c r="P149">
        <v>0.47561100000000001</v>
      </c>
      <c r="Q149">
        <v>0.24873100000000001</v>
      </c>
    </row>
    <row r="150" spans="1:17" x14ac:dyDescent="0.25">
      <c r="A150" t="str">
        <f>IF(C150&amp;G150&amp;D150&lt;&gt;'Funnel setup'!$K$3&amp;'Funnel setup'!$K$4&amp;'Funnel setup'!$K$6,".",IF(A149=".",1,A149+1))</f>
        <v>.</v>
      </c>
      <c r="B150" s="244" t="str">
        <f t="shared" si="2"/>
        <v>Hip Replacement PrimarySub-ICB of GP PracticeNHS HUMBER AND NORTH YORKSHIRE ICB - 03F (03F)EQ-5D Index</v>
      </c>
      <c r="C150" t="s">
        <v>749</v>
      </c>
      <c r="D150" t="s">
        <v>1021</v>
      </c>
      <c r="E150" t="s">
        <v>835</v>
      </c>
      <c r="F150" t="s">
        <v>836</v>
      </c>
      <c r="G150" t="s">
        <v>963</v>
      </c>
      <c r="H150">
        <v>24</v>
      </c>
      <c r="I150">
        <v>0.160833</v>
      </c>
      <c r="J150">
        <v>0.66316699999999995</v>
      </c>
      <c r="K150">
        <v>0.50233300000000003</v>
      </c>
      <c r="L150">
        <v>21</v>
      </c>
      <c r="M150">
        <v>2</v>
      </c>
      <c r="N150">
        <v>1</v>
      </c>
      <c r="O150" t="s">
        <v>127</v>
      </c>
      <c r="P150" t="s">
        <v>127</v>
      </c>
      <c r="Q150" t="s">
        <v>127</v>
      </c>
    </row>
    <row r="151" spans="1:17" x14ac:dyDescent="0.25">
      <c r="A151" t="str">
        <f>IF(C151&amp;G151&amp;D151&lt;&gt;'Funnel setup'!$K$3&amp;'Funnel setup'!$K$4&amp;'Funnel setup'!$K$6,".",IF(A150=".",1,A150+1))</f>
        <v>.</v>
      </c>
      <c r="B151" s="244" t="str">
        <f t="shared" si="2"/>
        <v>Hip Replacement PrimarySub-ICB of GP PracticeNHS HUMBER AND NORTH YORKSHIRE ICB - 03H (03H)EQ-5D Index</v>
      </c>
      <c r="C151" t="s">
        <v>749</v>
      </c>
      <c r="D151" t="s">
        <v>1021</v>
      </c>
      <c r="E151" t="s">
        <v>837</v>
      </c>
      <c r="F151" t="s">
        <v>838</v>
      </c>
      <c r="G151" t="s">
        <v>963</v>
      </c>
      <c r="H151">
        <v>73</v>
      </c>
      <c r="I151">
        <v>0.33469900000000002</v>
      </c>
      <c r="J151">
        <v>0.73953400000000002</v>
      </c>
      <c r="K151">
        <v>0.40483599999999997</v>
      </c>
      <c r="L151">
        <v>59</v>
      </c>
      <c r="M151">
        <v>10</v>
      </c>
      <c r="N151">
        <v>4</v>
      </c>
      <c r="O151">
        <v>0.74809000000000003</v>
      </c>
      <c r="P151">
        <v>0.42225099999999999</v>
      </c>
      <c r="Q151">
        <v>0.24115400000000001</v>
      </c>
    </row>
    <row r="152" spans="1:17" x14ac:dyDescent="0.25">
      <c r="A152" t="str">
        <f>IF(C152&amp;G152&amp;D152&lt;&gt;'Funnel setup'!$K$3&amp;'Funnel setup'!$K$4&amp;'Funnel setup'!$K$6,".",IF(A151=".",1,A151+1))</f>
        <v>.</v>
      </c>
      <c r="B152" s="244" t="str">
        <f t="shared" si="2"/>
        <v>Hip Replacement PrimarySub-ICB of GP PracticeNHS HUMBER AND NORTH YORKSHIRE ICB - 03K (03K)EQ-5D Index</v>
      </c>
      <c r="C152" t="s">
        <v>749</v>
      </c>
      <c r="D152" t="s">
        <v>1021</v>
      </c>
      <c r="E152" t="s">
        <v>839</v>
      </c>
      <c r="F152" t="s">
        <v>840</v>
      </c>
      <c r="G152" t="s">
        <v>963</v>
      </c>
      <c r="H152">
        <v>59</v>
      </c>
      <c r="I152">
        <v>0.30033900000000002</v>
      </c>
      <c r="J152">
        <v>0.81083099999999997</v>
      </c>
      <c r="K152">
        <v>0.51049199999999995</v>
      </c>
      <c r="L152">
        <v>56</v>
      </c>
      <c r="M152">
        <v>1</v>
      </c>
      <c r="N152">
        <v>2</v>
      </c>
      <c r="O152">
        <v>0.81143399999999999</v>
      </c>
      <c r="P152">
        <v>0.485595</v>
      </c>
      <c r="Q152">
        <v>0.20852599999999999</v>
      </c>
    </row>
    <row r="153" spans="1:17" x14ac:dyDescent="0.25">
      <c r="A153" t="str">
        <f>IF(C153&amp;G153&amp;D153&lt;&gt;'Funnel setup'!$K$3&amp;'Funnel setup'!$K$4&amp;'Funnel setup'!$K$6,".",IF(A152=".",1,A152+1))</f>
        <v>.</v>
      </c>
      <c r="B153" s="244" t="str">
        <f t="shared" si="2"/>
        <v>Hip Replacement PrimarySub-ICB of GP PracticeNHS HUMBER AND NORTH YORKSHIRE ICB - 03Q (03Q)EQ-5D Index</v>
      </c>
      <c r="C153" t="s">
        <v>749</v>
      </c>
      <c r="D153" t="s">
        <v>1021</v>
      </c>
      <c r="E153" t="s">
        <v>841</v>
      </c>
      <c r="F153" t="s">
        <v>842</v>
      </c>
      <c r="G153" t="s">
        <v>963</v>
      </c>
      <c r="H153">
        <v>75</v>
      </c>
      <c r="I153">
        <v>0.34005299999999999</v>
      </c>
      <c r="J153">
        <v>0.78821300000000005</v>
      </c>
      <c r="K153">
        <v>0.44816</v>
      </c>
      <c r="L153">
        <v>67</v>
      </c>
      <c r="M153">
        <v>4</v>
      </c>
      <c r="N153">
        <v>4</v>
      </c>
      <c r="O153">
        <v>0.77651800000000004</v>
      </c>
      <c r="P153">
        <v>0.45068000000000003</v>
      </c>
      <c r="Q153">
        <v>0.21798600000000001</v>
      </c>
    </row>
    <row r="154" spans="1:17" x14ac:dyDescent="0.25">
      <c r="A154" t="str">
        <f>IF(C154&amp;G154&amp;D154&lt;&gt;'Funnel setup'!$K$3&amp;'Funnel setup'!$K$4&amp;'Funnel setup'!$K$6,".",IF(A153=".",1,A153+1))</f>
        <v>.</v>
      </c>
      <c r="B154" s="244" t="str">
        <f t="shared" si="2"/>
        <v>Hip Replacement PrimarySub-ICB of GP PracticeNHS HUMBER AND NORTH YORKSHIRE ICB - 42D (42D)EQ-5D Index</v>
      </c>
      <c r="C154" t="s">
        <v>749</v>
      </c>
      <c r="D154" t="s">
        <v>1021</v>
      </c>
      <c r="E154" t="s">
        <v>843</v>
      </c>
      <c r="F154" t="s">
        <v>844</v>
      </c>
      <c r="G154" t="s">
        <v>963</v>
      </c>
      <c r="H154">
        <v>243</v>
      </c>
      <c r="I154">
        <v>0.29645700000000003</v>
      </c>
      <c r="J154">
        <v>0.82144399999999995</v>
      </c>
      <c r="K154">
        <v>0.52498800000000001</v>
      </c>
      <c r="L154">
        <v>228</v>
      </c>
      <c r="M154">
        <v>8</v>
      </c>
      <c r="N154">
        <v>7</v>
      </c>
      <c r="O154">
        <v>0.82798400000000005</v>
      </c>
      <c r="P154">
        <v>0.50214599999999998</v>
      </c>
      <c r="Q154">
        <v>0.215058</v>
      </c>
    </row>
    <row r="155" spans="1:17" x14ac:dyDescent="0.25">
      <c r="A155" t="str">
        <f>IF(C155&amp;G155&amp;D155&lt;&gt;'Funnel setup'!$K$3&amp;'Funnel setup'!$K$4&amp;'Funnel setup'!$K$6,".",IF(A154=".",1,A154+1))</f>
        <v>.</v>
      </c>
      <c r="B155" s="244" t="str">
        <f t="shared" si="2"/>
        <v>Hip Replacement PrimarySub-ICB of GP PracticeNHS KENT AND MEDWAY ICB - 91Q (91Q)EQ-5D Index</v>
      </c>
      <c r="C155" t="s">
        <v>749</v>
      </c>
      <c r="D155" t="s">
        <v>1021</v>
      </c>
      <c r="E155" t="s">
        <v>845</v>
      </c>
      <c r="F155" t="s">
        <v>846</v>
      </c>
      <c r="G155" t="s">
        <v>963</v>
      </c>
      <c r="H155">
        <v>479</v>
      </c>
      <c r="I155">
        <v>0.35470400000000002</v>
      </c>
      <c r="J155">
        <v>0.79207499999999997</v>
      </c>
      <c r="K155">
        <v>0.43737199999999998</v>
      </c>
      <c r="L155">
        <v>436</v>
      </c>
      <c r="M155">
        <v>26</v>
      </c>
      <c r="N155">
        <v>17</v>
      </c>
      <c r="O155">
        <v>0.78267699999999996</v>
      </c>
      <c r="P155">
        <v>0.45683800000000002</v>
      </c>
      <c r="Q155">
        <v>0.222748</v>
      </c>
    </row>
    <row r="156" spans="1:17" x14ac:dyDescent="0.25">
      <c r="A156" t="str">
        <f>IF(C156&amp;G156&amp;D156&lt;&gt;'Funnel setup'!$K$3&amp;'Funnel setup'!$K$4&amp;'Funnel setup'!$K$6,".",IF(A155=".",1,A155+1))</f>
        <v>.</v>
      </c>
      <c r="B156" s="244" t="str">
        <f t="shared" si="2"/>
        <v>Hip Replacement PrimarySub-ICB of GP PracticeNHS LANCASHIRE AND SOUTH CUMBRIA ICB - 00Q (00Q)EQ-5D Index</v>
      </c>
      <c r="C156" t="s">
        <v>749</v>
      </c>
      <c r="D156" t="s">
        <v>1021</v>
      </c>
      <c r="E156" t="s">
        <v>847</v>
      </c>
      <c r="F156" t="s">
        <v>848</v>
      </c>
      <c r="G156" t="s">
        <v>963</v>
      </c>
      <c r="H156">
        <v>40</v>
      </c>
      <c r="I156">
        <v>0.35639999999999999</v>
      </c>
      <c r="J156">
        <v>0.74504999999999999</v>
      </c>
      <c r="K156">
        <v>0.38865</v>
      </c>
      <c r="L156">
        <v>37</v>
      </c>
      <c r="M156">
        <v>0</v>
      </c>
      <c r="N156">
        <v>3</v>
      </c>
      <c r="O156">
        <v>0.76697599999999999</v>
      </c>
      <c r="P156">
        <v>0.441137</v>
      </c>
      <c r="Q156">
        <v>0.23061100000000001</v>
      </c>
    </row>
    <row r="157" spans="1:17" x14ac:dyDescent="0.25">
      <c r="A157" t="str">
        <f>IF(C157&amp;G157&amp;D157&lt;&gt;'Funnel setup'!$K$3&amp;'Funnel setup'!$K$4&amp;'Funnel setup'!$K$6,".",IF(A156=".",1,A156+1))</f>
        <v>.</v>
      </c>
      <c r="B157" s="244" t="str">
        <f t="shared" si="2"/>
        <v>Hip Replacement PrimarySub-ICB of GP PracticeNHS LANCASHIRE AND SOUTH CUMBRIA ICB - 00R (00R)EQ-5D Index</v>
      </c>
      <c r="C157" t="s">
        <v>749</v>
      </c>
      <c r="D157" t="s">
        <v>1021</v>
      </c>
      <c r="E157" t="s">
        <v>849</v>
      </c>
      <c r="F157" t="s">
        <v>850</v>
      </c>
      <c r="G157" t="s">
        <v>963</v>
      </c>
      <c r="H157">
        <v>37</v>
      </c>
      <c r="I157">
        <v>0.35248600000000002</v>
      </c>
      <c r="J157">
        <v>0.78927000000000003</v>
      </c>
      <c r="K157">
        <v>0.43678400000000001</v>
      </c>
      <c r="L157">
        <v>33</v>
      </c>
      <c r="M157">
        <v>2</v>
      </c>
      <c r="N157">
        <v>2</v>
      </c>
      <c r="O157">
        <v>0.80737599999999998</v>
      </c>
      <c r="P157">
        <v>0.48153699999999999</v>
      </c>
      <c r="Q157">
        <v>0.23430799999999999</v>
      </c>
    </row>
    <row r="158" spans="1:17" x14ac:dyDescent="0.25">
      <c r="A158" t="str">
        <f>IF(C158&amp;G158&amp;D158&lt;&gt;'Funnel setup'!$K$3&amp;'Funnel setup'!$K$4&amp;'Funnel setup'!$K$6,".",IF(A157=".",1,A157+1))</f>
        <v>.</v>
      </c>
      <c r="B158" s="244" t="str">
        <f t="shared" si="2"/>
        <v>Hip Replacement PrimarySub-ICB of GP PracticeNHS LANCASHIRE AND SOUTH CUMBRIA ICB - 00X (00X)EQ-5D Index</v>
      </c>
      <c r="C158" t="s">
        <v>749</v>
      </c>
      <c r="D158" t="s">
        <v>1021</v>
      </c>
      <c r="E158" t="s">
        <v>851</v>
      </c>
      <c r="F158" t="s">
        <v>852</v>
      </c>
      <c r="G158" t="s">
        <v>963</v>
      </c>
      <c r="H158">
        <v>61</v>
      </c>
      <c r="I158">
        <v>0.27213100000000001</v>
      </c>
      <c r="J158">
        <v>0.80945900000000004</v>
      </c>
      <c r="K158">
        <v>0.53732800000000003</v>
      </c>
      <c r="L158">
        <v>58</v>
      </c>
      <c r="M158">
        <v>2</v>
      </c>
      <c r="N158">
        <v>1</v>
      </c>
      <c r="O158">
        <v>0.82191800000000004</v>
      </c>
      <c r="P158">
        <v>0.49607899999999999</v>
      </c>
      <c r="Q158">
        <v>0.204513</v>
      </c>
    </row>
    <row r="159" spans="1:17" x14ac:dyDescent="0.25">
      <c r="A159" t="str">
        <f>IF(C159&amp;G159&amp;D159&lt;&gt;'Funnel setup'!$K$3&amp;'Funnel setup'!$K$4&amp;'Funnel setup'!$K$6,".",IF(A158=".",1,A158+1))</f>
        <v>.</v>
      </c>
      <c r="B159" s="244" t="str">
        <f t="shared" si="2"/>
        <v>Hip Replacement PrimarySub-ICB of GP PracticeNHS LANCASHIRE AND SOUTH CUMBRIA ICB - 01A (01A)EQ-5D Index</v>
      </c>
      <c r="C159" t="s">
        <v>749</v>
      </c>
      <c r="D159" t="s">
        <v>1021</v>
      </c>
      <c r="E159" t="s">
        <v>853</v>
      </c>
      <c r="F159" t="s">
        <v>854</v>
      </c>
      <c r="G159" t="s">
        <v>963</v>
      </c>
      <c r="H159">
        <v>148</v>
      </c>
      <c r="I159">
        <v>0.34912799999999999</v>
      </c>
      <c r="J159">
        <v>0.81484500000000004</v>
      </c>
      <c r="K159">
        <v>0.46571600000000002</v>
      </c>
      <c r="L159">
        <v>137</v>
      </c>
      <c r="M159">
        <v>2</v>
      </c>
      <c r="N159">
        <v>9</v>
      </c>
      <c r="O159">
        <v>0.81243799999999999</v>
      </c>
      <c r="P159">
        <v>0.48659999999999998</v>
      </c>
      <c r="Q159">
        <v>0.24260399999999999</v>
      </c>
    </row>
    <row r="160" spans="1:17" x14ac:dyDescent="0.25">
      <c r="A160" t="str">
        <f>IF(C160&amp;G160&amp;D160&lt;&gt;'Funnel setup'!$K$3&amp;'Funnel setup'!$K$4&amp;'Funnel setup'!$K$6,".",IF(A159=".",1,A159+1))</f>
        <v>.</v>
      </c>
      <c r="B160" s="244" t="str">
        <f t="shared" si="2"/>
        <v>Hip Replacement PrimarySub-ICB of GP PracticeNHS LANCASHIRE AND SOUTH CUMBRIA ICB - 01E (01E)EQ-5D Index</v>
      </c>
      <c r="C160" t="s">
        <v>749</v>
      </c>
      <c r="D160" t="s">
        <v>1021</v>
      </c>
      <c r="E160" t="s">
        <v>855</v>
      </c>
      <c r="F160" t="s">
        <v>856</v>
      </c>
      <c r="G160" t="s">
        <v>963</v>
      </c>
      <c r="H160">
        <v>57</v>
      </c>
      <c r="I160">
        <v>0.40422799999999998</v>
      </c>
      <c r="J160">
        <v>0.82710499999999998</v>
      </c>
      <c r="K160">
        <v>0.422877</v>
      </c>
      <c r="L160">
        <v>50</v>
      </c>
      <c r="M160">
        <v>3</v>
      </c>
      <c r="N160">
        <v>4</v>
      </c>
      <c r="O160">
        <v>0.80228999999999995</v>
      </c>
      <c r="P160">
        <v>0.47645199999999999</v>
      </c>
      <c r="Q160">
        <v>0.22719600000000001</v>
      </c>
    </row>
    <row r="161" spans="1:17" x14ac:dyDescent="0.25">
      <c r="A161" t="str">
        <f>IF(C161&amp;G161&amp;D161&lt;&gt;'Funnel setup'!$K$3&amp;'Funnel setup'!$K$4&amp;'Funnel setup'!$K$6,".",IF(A160=".",1,A160+1))</f>
        <v>.</v>
      </c>
      <c r="B161" s="244" t="str">
        <f t="shared" si="2"/>
        <v>Hip Replacement PrimarySub-ICB of GP PracticeNHS LANCASHIRE AND SOUTH CUMBRIA ICB - 01K (01K)EQ-5D Index</v>
      </c>
      <c r="C161" t="s">
        <v>749</v>
      </c>
      <c r="D161" t="s">
        <v>1021</v>
      </c>
      <c r="E161" t="s">
        <v>857</v>
      </c>
      <c r="F161" t="s">
        <v>858</v>
      </c>
      <c r="G161" t="s">
        <v>963</v>
      </c>
      <c r="H161">
        <v>184</v>
      </c>
      <c r="I161">
        <v>0.330038</v>
      </c>
      <c r="J161">
        <v>0.80601599999999995</v>
      </c>
      <c r="K161">
        <v>0.47597800000000001</v>
      </c>
      <c r="L161">
        <v>171</v>
      </c>
      <c r="M161">
        <v>7</v>
      </c>
      <c r="N161">
        <v>6</v>
      </c>
      <c r="O161">
        <v>0.80409299999999995</v>
      </c>
      <c r="P161">
        <v>0.47825400000000001</v>
      </c>
      <c r="Q161">
        <v>0.202626</v>
      </c>
    </row>
    <row r="162" spans="1:17" x14ac:dyDescent="0.25">
      <c r="A162" t="str">
        <f>IF(C162&amp;G162&amp;D162&lt;&gt;'Funnel setup'!$K$3&amp;'Funnel setup'!$K$4&amp;'Funnel setup'!$K$6,".",IF(A161=".",1,A161+1))</f>
        <v>.</v>
      </c>
      <c r="B162" s="244" t="str">
        <f t="shared" si="2"/>
        <v>Hip Replacement PrimarySub-ICB of GP PracticeNHS LANCASHIRE AND SOUTH CUMBRIA ICB - 02G (02G)EQ-5D Index</v>
      </c>
      <c r="C162" t="s">
        <v>749</v>
      </c>
      <c r="D162" t="s">
        <v>1021</v>
      </c>
      <c r="E162" t="s">
        <v>859</v>
      </c>
      <c r="F162" t="s">
        <v>860</v>
      </c>
      <c r="G162" t="s">
        <v>963</v>
      </c>
      <c r="H162">
        <v>31</v>
      </c>
      <c r="I162">
        <v>0.27338699999999999</v>
      </c>
      <c r="J162">
        <v>0.84412900000000002</v>
      </c>
      <c r="K162">
        <v>0.57074199999999997</v>
      </c>
      <c r="L162">
        <v>30</v>
      </c>
      <c r="M162">
        <v>0</v>
      </c>
      <c r="N162">
        <v>1</v>
      </c>
      <c r="O162">
        <v>0.82048699999999997</v>
      </c>
      <c r="P162">
        <v>0.49464900000000001</v>
      </c>
      <c r="Q162">
        <v>0.249727</v>
      </c>
    </row>
    <row r="163" spans="1:17" x14ac:dyDescent="0.25">
      <c r="A163" t="str">
        <f>IF(C163&amp;G163&amp;D163&lt;&gt;'Funnel setup'!$K$3&amp;'Funnel setup'!$K$4&amp;'Funnel setup'!$K$6,".",IF(A162=".",1,A162+1))</f>
        <v>.</v>
      </c>
      <c r="B163" s="244" t="str">
        <f t="shared" si="2"/>
        <v>Hip Replacement PrimarySub-ICB of GP PracticeNHS LANCASHIRE AND SOUTH CUMBRIA ICB - 02M (02M)EQ-5D Index</v>
      </c>
      <c r="C163" t="s">
        <v>749</v>
      </c>
      <c r="D163" t="s">
        <v>1021</v>
      </c>
      <c r="E163" t="s">
        <v>861</v>
      </c>
      <c r="F163" t="s">
        <v>862</v>
      </c>
      <c r="G163" t="s">
        <v>963</v>
      </c>
      <c r="H163">
        <v>70</v>
      </c>
      <c r="I163">
        <v>0.45807100000000001</v>
      </c>
      <c r="J163">
        <v>0.79167100000000001</v>
      </c>
      <c r="K163">
        <v>0.33360000000000001</v>
      </c>
      <c r="L163">
        <v>61</v>
      </c>
      <c r="M163">
        <v>3</v>
      </c>
      <c r="N163">
        <v>6</v>
      </c>
      <c r="O163">
        <v>0.76351899999999995</v>
      </c>
      <c r="P163">
        <v>0.43768000000000001</v>
      </c>
      <c r="Q163">
        <v>0.218636</v>
      </c>
    </row>
    <row r="164" spans="1:17" x14ac:dyDescent="0.25">
      <c r="A164" t="str">
        <f>IF(C164&amp;G164&amp;D164&lt;&gt;'Funnel setup'!$K$3&amp;'Funnel setup'!$K$4&amp;'Funnel setup'!$K$6,".",IF(A163=".",1,A163+1))</f>
        <v>.</v>
      </c>
      <c r="B164" s="244" t="str">
        <f t="shared" si="2"/>
        <v>Hip Replacement PrimarySub-ICB of GP PracticeNHS LEICESTER, LEICESTERSHIRE AND RUTLAND ICB - 03W (03W)EQ-5D Index</v>
      </c>
      <c r="C164" t="s">
        <v>749</v>
      </c>
      <c r="D164" t="s">
        <v>1021</v>
      </c>
      <c r="E164" t="s">
        <v>863</v>
      </c>
      <c r="F164" t="s">
        <v>864</v>
      </c>
      <c r="G164" t="s">
        <v>963</v>
      </c>
      <c r="H164">
        <v>101</v>
      </c>
      <c r="I164">
        <v>0.33317799999999997</v>
      </c>
      <c r="J164">
        <v>0.76986100000000002</v>
      </c>
      <c r="K164">
        <v>0.43668299999999999</v>
      </c>
      <c r="L164">
        <v>92</v>
      </c>
      <c r="M164">
        <v>3</v>
      </c>
      <c r="N164">
        <v>6</v>
      </c>
      <c r="O164">
        <v>0.75140700000000005</v>
      </c>
      <c r="P164">
        <v>0.42556899999999998</v>
      </c>
      <c r="Q164">
        <v>0.23318900000000001</v>
      </c>
    </row>
    <row r="165" spans="1:17" x14ac:dyDescent="0.25">
      <c r="A165" t="str">
        <f>IF(C165&amp;G165&amp;D165&lt;&gt;'Funnel setup'!$K$3&amp;'Funnel setup'!$K$4&amp;'Funnel setup'!$K$6,".",IF(A164=".",1,A164+1))</f>
        <v>.</v>
      </c>
      <c r="B165" s="244" t="str">
        <f t="shared" si="2"/>
        <v>Hip Replacement PrimarySub-ICB of GP PracticeNHS LEICESTER, LEICESTERSHIRE AND RUTLAND ICB - 04C (04C)EQ-5D Index</v>
      </c>
      <c r="C165" t="s">
        <v>749</v>
      </c>
      <c r="D165" t="s">
        <v>1021</v>
      </c>
      <c r="E165" t="s">
        <v>865</v>
      </c>
      <c r="F165" t="s">
        <v>866</v>
      </c>
      <c r="G165" t="s">
        <v>963</v>
      </c>
      <c r="H165">
        <v>36</v>
      </c>
      <c r="I165">
        <v>0.250778</v>
      </c>
      <c r="J165">
        <v>0.76991699999999996</v>
      </c>
      <c r="K165">
        <v>0.51913900000000002</v>
      </c>
      <c r="L165">
        <v>30</v>
      </c>
      <c r="M165">
        <v>3</v>
      </c>
      <c r="N165">
        <v>3</v>
      </c>
      <c r="O165">
        <v>0.79984200000000005</v>
      </c>
      <c r="P165">
        <v>0.47400399999999998</v>
      </c>
      <c r="Q165">
        <v>0.22176799999999999</v>
      </c>
    </row>
    <row r="166" spans="1:17" x14ac:dyDescent="0.25">
      <c r="A166" t="str">
        <f>IF(C166&amp;G166&amp;D166&lt;&gt;'Funnel setup'!$K$3&amp;'Funnel setup'!$K$4&amp;'Funnel setup'!$K$6,".",IF(A165=".",1,A165+1))</f>
        <v>.</v>
      </c>
      <c r="B166" s="244" t="str">
        <f t="shared" si="2"/>
        <v>Hip Replacement PrimarySub-ICB of GP PracticeNHS LEICESTER, LEICESTERSHIRE AND RUTLAND ICB - 04V (04V)EQ-5D Index</v>
      </c>
      <c r="C166" t="s">
        <v>749</v>
      </c>
      <c r="D166" t="s">
        <v>1021</v>
      </c>
      <c r="E166" t="s">
        <v>867</v>
      </c>
      <c r="F166" t="s">
        <v>868</v>
      </c>
      <c r="G166" t="s">
        <v>963</v>
      </c>
      <c r="H166">
        <v>108</v>
      </c>
      <c r="I166">
        <v>0.35323100000000002</v>
      </c>
      <c r="J166">
        <v>0.79</v>
      </c>
      <c r="K166">
        <v>0.43676900000000002</v>
      </c>
      <c r="L166">
        <v>93</v>
      </c>
      <c r="M166">
        <v>11</v>
      </c>
      <c r="N166">
        <v>4</v>
      </c>
      <c r="O166">
        <v>0.78309499999999999</v>
      </c>
      <c r="P166">
        <v>0.45725700000000002</v>
      </c>
      <c r="Q166">
        <v>0.21585799999999999</v>
      </c>
    </row>
    <row r="167" spans="1:17" x14ac:dyDescent="0.25">
      <c r="A167" t="str">
        <f>IF(C167&amp;G167&amp;D167&lt;&gt;'Funnel setup'!$K$3&amp;'Funnel setup'!$K$4&amp;'Funnel setup'!$K$6,".",IF(A166=".",1,A166+1))</f>
        <v>.</v>
      </c>
      <c r="B167" s="244" t="str">
        <f t="shared" si="2"/>
        <v>Hip Replacement PrimarySub-ICB of GP PracticeNHS LINCOLNSHIRE ICB - 71E (71E)EQ-5D Index</v>
      </c>
      <c r="C167" t="s">
        <v>749</v>
      </c>
      <c r="D167" t="s">
        <v>1021</v>
      </c>
      <c r="E167" t="s">
        <v>869</v>
      </c>
      <c r="F167" t="s">
        <v>870</v>
      </c>
      <c r="G167" t="s">
        <v>963</v>
      </c>
      <c r="H167">
        <v>255</v>
      </c>
      <c r="I167">
        <v>0.33086300000000002</v>
      </c>
      <c r="J167">
        <v>0.80565500000000001</v>
      </c>
      <c r="K167">
        <v>0.47479199999999999</v>
      </c>
      <c r="L167">
        <v>228</v>
      </c>
      <c r="M167">
        <v>15</v>
      </c>
      <c r="N167">
        <v>12</v>
      </c>
      <c r="O167">
        <v>0.80577200000000004</v>
      </c>
      <c r="P167">
        <v>0.47993400000000003</v>
      </c>
      <c r="Q167">
        <v>0.232068</v>
      </c>
    </row>
    <row r="168" spans="1:17" x14ac:dyDescent="0.25">
      <c r="A168" t="str">
        <f>IF(C168&amp;G168&amp;D168&lt;&gt;'Funnel setup'!$K$3&amp;'Funnel setup'!$K$4&amp;'Funnel setup'!$K$6,".",IF(A167=".",1,A167+1))</f>
        <v>.</v>
      </c>
      <c r="B168" s="244" t="str">
        <f t="shared" si="2"/>
        <v>Hip Replacement PrimarySub-ICB of GP PracticeNHS MID AND SOUTH ESSEX ICB - 06Q (06Q)EQ-5D Index</v>
      </c>
      <c r="C168" t="s">
        <v>749</v>
      </c>
      <c r="D168" t="s">
        <v>1021</v>
      </c>
      <c r="E168" t="s">
        <v>871</v>
      </c>
      <c r="F168" t="s">
        <v>872</v>
      </c>
      <c r="G168" t="s">
        <v>963</v>
      </c>
      <c r="H168">
        <v>108</v>
      </c>
      <c r="I168">
        <v>0.32681500000000002</v>
      </c>
      <c r="J168">
        <v>0.82390699999999994</v>
      </c>
      <c r="K168">
        <v>0.49709300000000001</v>
      </c>
      <c r="L168">
        <v>103</v>
      </c>
      <c r="M168">
        <v>2</v>
      </c>
      <c r="N168">
        <v>3</v>
      </c>
      <c r="O168">
        <v>0.82386800000000004</v>
      </c>
      <c r="P168">
        <v>0.49802999999999997</v>
      </c>
      <c r="Q168">
        <v>0.22112100000000001</v>
      </c>
    </row>
    <row r="169" spans="1:17" x14ac:dyDescent="0.25">
      <c r="A169" t="str">
        <f>IF(C169&amp;G169&amp;D169&lt;&gt;'Funnel setup'!$K$3&amp;'Funnel setup'!$K$4&amp;'Funnel setup'!$K$6,".",IF(A168=".",1,A168+1))</f>
        <v>.</v>
      </c>
      <c r="B169" s="244" t="str">
        <f t="shared" si="2"/>
        <v>Hip Replacement PrimarySub-ICB of GP PracticeNHS MID AND SOUTH ESSEX ICB - 07G (07G)EQ-5D Index</v>
      </c>
      <c r="C169" t="s">
        <v>749</v>
      </c>
      <c r="D169" t="s">
        <v>1021</v>
      </c>
      <c r="E169" t="s">
        <v>873</v>
      </c>
      <c r="F169" t="s">
        <v>874</v>
      </c>
      <c r="G169" t="s">
        <v>963</v>
      </c>
      <c r="H169">
        <v>32</v>
      </c>
      <c r="I169">
        <v>0.24062500000000001</v>
      </c>
      <c r="J169">
        <v>0.75212500000000004</v>
      </c>
      <c r="K169">
        <v>0.51149999999999995</v>
      </c>
      <c r="L169">
        <v>28</v>
      </c>
      <c r="M169">
        <v>2</v>
      </c>
      <c r="N169">
        <v>2</v>
      </c>
      <c r="O169">
        <v>0.78167699999999996</v>
      </c>
      <c r="P169">
        <v>0.45583899999999999</v>
      </c>
      <c r="Q169">
        <v>0.20791399999999999</v>
      </c>
    </row>
    <row r="170" spans="1:17" x14ac:dyDescent="0.25">
      <c r="A170" t="str">
        <f>IF(C170&amp;G170&amp;D170&lt;&gt;'Funnel setup'!$K$3&amp;'Funnel setup'!$K$4&amp;'Funnel setup'!$K$6,".",IF(A169=".",1,A169+1))</f>
        <v>.</v>
      </c>
      <c r="B170" s="244" t="str">
        <f t="shared" si="2"/>
        <v>Hip Replacement PrimarySub-ICB of GP PracticeNHS MID AND SOUTH ESSEX ICB - 99E (99E)EQ-5D Index</v>
      </c>
      <c r="C170" t="s">
        <v>749</v>
      </c>
      <c r="D170" t="s">
        <v>1021</v>
      </c>
      <c r="E170" t="s">
        <v>875</v>
      </c>
      <c r="F170" t="s">
        <v>876</v>
      </c>
      <c r="G170" t="s">
        <v>963</v>
      </c>
      <c r="H170">
        <v>40</v>
      </c>
      <c r="I170">
        <v>0.18404999999999999</v>
      </c>
      <c r="J170">
        <v>0.76634999999999998</v>
      </c>
      <c r="K170">
        <v>0.58230000000000004</v>
      </c>
      <c r="L170">
        <v>40</v>
      </c>
      <c r="M170">
        <v>0</v>
      </c>
      <c r="N170">
        <v>0</v>
      </c>
      <c r="O170">
        <v>0.79670200000000002</v>
      </c>
      <c r="P170">
        <v>0.47086299999999998</v>
      </c>
      <c r="Q170">
        <v>0.241006</v>
      </c>
    </row>
    <row r="171" spans="1:17" x14ac:dyDescent="0.25">
      <c r="A171" t="str">
        <f>IF(C171&amp;G171&amp;D171&lt;&gt;'Funnel setup'!$K$3&amp;'Funnel setup'!$K$4&amp;'Funnel setup'!$K$6,".",IF(A170=".",1,A170+1))</f>
        <v>.</v>
      </c>
      <c r="B171" s="244" t="str">
        <f t="shared" si="2"/>
        <v>Hip Replacement PrimarySub-ICB of GP PracticeNHS MID AND SOUTH ESSEX ICB - 99F (99F)EQ-5D Index</v>
      </c>
      <c r="C171" t="s">
        <v>749</v>
      </c>
      <c r="D171" t="s">
        <v>1021</v>
      </c>
      <c r="E171" t="s">
        <v>877</v>
      </c>
      <c r="F171" t="s">
        <v>878</v>
      </c>
      <c r="G171" t="s">
        <v>963</v>
      </c>
      <c r="H171">
        <v>27</v>
      </c>
      <c r="I171">
        <v>0.26270399999999999</v>
      </c>
      <c r="J171">
        <v>0.76400000000000001</v>
      </c>
      <c r="K171">
        <v>0.50129599999999996</v>
      </c>
      <c r="L171">
        <v>24</v>
      </c>
      <c r="M171">
        <v>0</v>
      </c>
      <c r="N171">
        <v>3</v>
      </c>
      <c r="O171" t="s">
        <v>127</v>
      </c>
      <c r="P171" t="s">
        <v>127</v>
      </c>
      <c r="Q171" t="s">
        <v>127</v>
      </c>
    </row>
    <row r="172" spans="1:17" x14ac:dyDescent="0.25">
      <c r="A172" t="str">
        <f>IF(C172&amp;G172&amp;D172&lt;&gt;'Funnel setup'!$K$3&amp;'Funnel setup'!$K$4&amp;'Funnel setup'!$K$6,".",IF(A171=".",1,A171+1))</f>
        <v>.</v>
      </c>
      <c r="B172" s="244" t="str">
        <f t="shared" si="2"/>
        <v>Hip Replacement PrimarySub-ICB of GP PracticeNHS MID AND SOUTH ESSEX ICB - 99G (99G)EQ-5D Index</v>
      </c>
      <c r="C172" t="s">
        <v>749</v>
      </c>
      <c r="D172" t="s">
        <v>1021</v>
      </c>
      <c r="E172" t="s">
        <v>879</v>
      </c>
      <c r="F172" t="s">
        <v>880</v>
      </c>
      <c r="G172" t="s">
        <v>963</v>
      </c>
      <c r="H172">
        <v>11</v>
      </c>
      <c r="I172">
        <v>0.28699999999999998</v>
      </c>
      <c r="J172">
        <v>0.76709099999999997</v>
      </c>
      <c r="K172">
        <v>0.48009099999999999</v>
      </c>
      <c r="L172">
        <v>11</v>
      </c>
      <c r="M172">
        <v>0</v>
      </c>
      <c r="N172">
        <v>0</v>
      </c>
      <c r="O172" t="s">
        <v>127</v>
      </c>
      <c r="P172" t="s">
        <v>127</v>
      </c>
      <c r="Q172" t="s">
        <v>127</v>
      </c>
    </row>
    <row r="173" spans="1:17" x14ac:dyDescent="0.25">
      <c r="A173" t="str">
        <f>IF(C173&amp;G173&amp;D173&lt;&gt;'Funnel setup'!$K$3&amp;'Funnel setup'!$K$4&amp;'Funnel setup'!$K$6,".",IF(A172=".",1,A172+1))</f>
        <v>.</v>
      </c>
      <c r="B173" s="244" t="str">
        <f t="shared" si="2"/>
        <v>Hip Replacement PrimarySub-ICB of GP PracticeNHS NORFOLK AND WAVENEY ICB - 26A (26A)EQ-5D Index</v>
      </c>
      <c r="C173" t="s">
        <v>749</v>
      </c>
      <c r="D173" t="s">
        <v>1021</v>
      </c>
      <c r="E173" t="s">
        <v>881</v>
      </c>
      <c r="F173" t="s">
        <v>882</v>
      </c>
      <c r="G173" t="s">
        <v>963</v>
      </c>
      <c r="H173">
        <v>344</v>
      </c>
      <c r="I173">
        <v>0.28591899999999998</v>
      </c>
      <c r="J173">
        <v>0.75545099999999998</v>
      </c>
      <c r="K173">
        <v>0.469532</v>
      </c>
      <c r="L173">
        <v>303</v>
      </c>
      <c r="M173">
        <v>24</v>
      </c>
      <c r="N173">
        <v>17</v>
      </c>
      <c r="O173">
        <v>0.77207099999999995</v>
      </c>
      <c r="P173">
        <v>0.44623299999999999</v>
      </c>
      <c r="Q173">
        <v>0.27105899999999999</v>
      </c>
    </row>
    <row r="174" spans="1:17" x14ac:dyDescent="0.25">
      <c r="A174" t="str">
        <f>IF(C174&amp;G174&amp;D174&lt;&gt;'Funnel setup'!$K$3&amp;'Funnel setup'!$K$4&amp;'Funnel setup'!$K$6,".",IF(A173=".",1,A173+1))</f>
        <v>.</v>
      </c>
      <c r="B174" s="244" t="str">
        <f t="shared" si="2"/>
        <v>Hip Replacement PrimarySub-ICB of GP PracticeNHS NORTH CENTRAL LONDON ICB - 93C (93C)EQ-5D Index</v>
      </c>
      <c r="C174" t="s">
        <v>749</v>
      </c>
      <c r="D174" t="s">
        <v>1021</v>
      </c>
      <c r="E174" t="s">
        <v>883</v>
      </c>
      <c r="F174" t="s">
        <v>884</v>
      </c>
      <c r="G174" t="s">
        <v>963</v>
      </c>
      <c r="H174">
        <v>127</v>
      </c>
      <c r="I174">
        <v>0.34618900000000002</v>
      </c>
      <c r="J174">
        <v>0.75343300000000002</v>
      </c>
      <c r="K174">
        <v>0.40724399999999999</v>
      </c>
      <c r="L174">
        <v>108</v>
      </c>
      <c r="M174">
        <v>8</v>
      </c>
      <c r="N174">
        <v>11</v>
      </c>
      <c r="O174">
        <v>0.75551400000000002</v>
      </c>
      <c r="P174">
        <v>0.429676</v>
      </c>
      <c r="Q174">
        <v>0.25581900000000002</v>
      </c>
    </row>
    <row r="175" spans="1:17" x14ac:dyDescent="0.25">
      <c r="A175" t="str">
        <f>IF(C175&amp;G175&amp;D175&lt;&gt;'Funnel setup'!$K$3&amp;'Funnel setup'!$K$4&amp;'Funnel setup'!$K$6,".",IF(A174=".",1,A174+1))</f>
        <v>.</v>
      </c>
      <c r="B175" s="244" t="str">
        <f t="shared" si="2"/>
        <v>Hip Replacement PrimarySub-ICB of GP PracticeNHS NORTH EAST AND NORTH CUMBRIA ICB - 00L (00L)EQ-5D Index</v>
      </c>
      <c r="C175" t="s">
        <v>749</v>
      </c>
      <c r="D175" t="s">
        <v>1021</v>
      </c>
      <c r="E175" t="s">
        <v>885</v>
      </c>
      <c r="F175" t="s">
        <v>886</v>
      </c>
      <c r="G175" t="s">
        <v>963</v>
      </c>
      <c r="H175">
        <v>152</v>
      </c>
      <c r="I175">
        <v>0.278559</v>
      </c>
      <c r="J175">
        <v>0.77336199999999999</v>
      </c>
      <c r="K175">
        <v>0.49480299999999999</v>
      </c>
      <c r="L175">
        <v>135</v>
      </c>
      <c r="M175">
        <v>9</v>
      </c>
      <c r="N175">
        <v>8</v>
      </c>
      <c r="O175">
        <v>0.78577200000000003</v>
      </c>
      <c r="P175">
        <v>0.45993400000000001</v>
      </c>
      <c r="Q175">
        <v>0.26259500000000002</v>
      </c>
    </row>
    <row r="176" spans="1:17" x14ac:dyDescent="0.25">
      <c r="A176" t="str">
        <f>IF(C176&amp;G176&amp;D176&lt;&gt;'Funnel setup'!$K$3&amp;'Funnel setup'!$K$4&amp;'Funnel setup'!$K$6,".",IF(A175=".",1,A175+1))</f>
        <v>.</v>
      </c>
      <c r="B176" s="244" t="str">
        <f t="shared" si="2"/>
        <v>Hip Replacement PrimarySub-ICB of GP PracticeNHS NORTH EAST AND NORTH CUMBRIA ICB - 00N (00N)EQ-5D Index</v>
      </c>
      <c r="C176" t="s">
        <v>749</v>
      </c>
      <c r="D176" t="s">
        <v>1021</v>
      </c>
      <c r="E176" t="s">
        <v>887</v>
      </c>
      <c r="F176" t="s">
        <v>888</v>
      </c>
      <c r="G176" t="s">
        <v>963</v>
      </c>
      <c r="H176">
        <v>11</v>
      </c>
      <c r="I176">
        <v>0.22245500000000001</v>
      </c>
      <c r="J176">
        <v>0.78909099999999999</v>
      </c>
      <c r="K176">
        <v>0.56663600000000003</v>
      </c>
      <c r="L176">
        <v>9</v>
      </c>
      <c r="M176">
        <v>1</v>
      </c>
      <c r="N176">
        <v>1</v>
      </c>
      <c r="O176" t="s">
        <v>127</v>
      </c>
      <c r="P176" t="s">
        <v>127</v>
      </c>
      <c r="Q176" t="s">
        <v>127</v>
      </c>
    </row>
    <row r="177" spans="1:17" x14ac:dyDescent="0.25">
      <c r="A177" t="str">
        <f>IF(C177&amp;G177&amp;D177&lt;&gt;'Funnel setup'!$K$3&amp;'Funnel setup'!$K$4&amp;'Funnel setup'!$K$6,".",IF(A176=".",1,A176+1))</f>
        <v>.</v>
      </c>
      <c r="B177" s="244" t="str">
        <f t="shared" si="2"/>
        <v>Hip Replacement PrimarySub-ICB of GP PracticeNHS NORTH EAST AND NORTH CUMBRIA ICB - 00P (00P)EQ-5D Index</v>
      </c>
      <c r="C177" t="s">
        <v>749</v>
      </c>
      <c r="D177" t="s">
        <v>1021</v>
      </c>
      <c r="E177" t="s">
        <v>889</v>
      </c>
      <c r="F177" t="s">
        <v>890</v>
      </c>
      <c r="G177" t="s">
        <v>963</v>
      </c>
      <c r="H177">
        <v>30</v>
      </c>
      <c r="I177">
        <v>0.17799999999999999</v>
      </c>
      <c r="J177">
        <v>0.58699999999999997</v>
      </c>
      <c r="K177">
        <v>0.40899999999999997</v>
      </c>
      <c r="L177">
        <v>22</v>
      </c>
      <c r="M177">
        <v>3</v>
      </c>
      <c r="N177">
        <v>5</v>
      </c>
      <c r="O177">
        <v>0.65396399999999999</v>
      </c>
      <c r="P177">
        <v>0.32812599999999997</v>
      </c>
      <c r="Q177">
        <v>0.34629100000000002</v>
      </c>
    </row>
    <row r="178" spans="1:17" x14ac:dyDescent="0.25">
      <c r="A178" t="str">
        <f>IF(C178&amp;G178&amp;D178&lt;&gt;'Funnel setup'!$K$3&amp;'Funnel setup'!$K$4&amp;'Funnel setup'!$K$6,".",IF(A177=".",1,A177+1))</f>
        <v>.</v>
      </c>
      <c r="B178" s="244" t="str">
        <f t="shared" si="2"/>
        <v>Hip Replacement PrimarySub-ICB of GP PracticeNHS NORTH EAST AND NORTH CUMBRIA ICB - 01H (01H)EQ-5D Index</v>
      </c>
      <c r="C178" t="s">
        <v>749</v>
      </c>
      <c r="D178" t="s">
        <v>1021</v>
      </c>
      <c r="E178" t="s">
        <v>891</v>
      </c>
      <c r="F178" t="s">
        <v>892</v>
      </c>
      <c r="G178" t="s">
        <v>963</v>
      </c>
      <c r="H178">
        <v>166</v>
      </c>
      <c r="I178">
        <v>0.27285500000000001</v>
      </c>
      <c r="J178">
        <v>0.79549400000000003</v>
      </c>
      <c r="K178">
        <v>0.52263899999999996</v>
      </c>
      <c r="L178">
        <v>154</v>
      </c>
      <c r="M178">
        <v>3</v>
      </c>
      <c r="N178">
        <v>9</v>
      </c>
      <c r="O178">
        <v>0.80516799999999999</v>
      </c>
      <c r="P178">
        <v>0.47932999999999998</v>
      </c>
      <c r="Q178">
        <v>0.23341400000000001</v>
      </c>
    </row>
    <row r="179" spans="1:17" x14ac:dyDescent="0.25">
      <c r="A179" t="str">
        <f>IF(C179&amp;G179&amp;D179&lt;&gt;'Funnel setup'!$K$3&amp;'Funnel setup'!$K$4&amp;'Funnel setup'!$K$6,".",IF(A178=".",1,A178+1))</f>
        <v>.</v>
      </c>
      <c r="B179" s="244" t="str">
        <f t="shared" si="2"/>
        <v>Hip Replacement PrimarySub-ICB of GP PracticeNHS NORTH EAST AND NORTH CUMBRIA ICB - 13T (13T)EQ-5D Index</v>
      </c>
      <c r="C179" t="s">
        <v>749</v>
      </c>
      <c r="D179" t="s">
        <v>1021</v>
      </c>
      <c r="E179" t="s">
        <v>893</v>
      </c>
      <c r="F179" t="s">
        <v>894</v>
      </c>
      <c r="G179" t="s">
        <v>963</v>
      </c>
      <c r="H179">
        <v>94</v>
      </c>
      <c r="I179">
        <v>0.242926</v>
      </c>
      <c r="J179">
        <v>0.78562799999999999</v>
      </c>
      <c r="K179">
        <v>0.54270200000000002</v>
      </c>
      <c r="L179">
        <v>91</v>
      </c>
      <c r="M179">
        <v>3</v>
      </c>
      <c r="N179">
        <v>0</v>
      </c>
      <c r="O179">
        <v>0.81059199999999998</v>
      </c>
      <c r="P179">
        <v>0.48475299999999999</v>
      </c>
      <c r="Q179">
        <v>0.233929</v>
      </c>
    </row>
    <row r="180" spans="1:17" x14ac:dyDescent="0.25">
      <c r="A180" t="str">
        <f>IF(C180&amp;G180&amp;D180&lt;&gt;'Funnel setup'!$K$3&amp;'Funnel setup'!$K$4&amp;'Funnel setup'!$K$6,".",IF(A179=".",1,A179+1))</f>
        <v>.</v>
      </c>
      <c r="B180" s="244" t="str">
        <f t="shared" si="2"/>
        <v>Hip Replacement PrimarySub-ICB of GP PracticeNHS NORTH EAST AND NORTH CUMBRIA ICB - 16C (16C)EQ-5D Index</v>
      </c>
      <c r="C180" t="s">
        <v>749</v>
      </c>
      <c r="D180" t="s">
        <v>1021</v>
      </c>
      <c r="E180" t="s">
        <v>895</v>
      </c>
      <c r="F180" t="s">
        <v>896</v>
      </c>
      <c r="G180" t="s">
        <v>963</v>
      </c>
      <c r="H180">
        <v>337</v>
      </c>
      <c r="I180">
        <v>0.34217799999999998</v>
      </c>
      <c r="J180">
        <v>0.76648099999999997</v>
      </c>
      <c r="K180">
        <v>0.42430299999999999</v>
      </c>
      <c r="L180">
        <v>301</v>
      </c>
      <c r="M180">
        <v>12</v>
      </c>
      <c r="N180">
        <v>24</v>
      </c>
      <c r="O180">
        <v>0.77421300000000004</v>
      </c>
      <c r="P180">
        <v>0.44837399999999999</v>
      </c>
      <c r="Q180">
        <v>0.24682399999999999</v>
      </c>
    </row>
    <row r="181" spans="1:17" x14ac:dyDescent="0.25">
      <c r="A181" t="str">
        <f>IF(C181&amp;G181&amp;D181&lt;&gt;'Funnel setup'!$K$3&amp;'Funnel setup'!$K$4&amp;'Funnel setup'!$K$6,".",IF(A180=".",1,A180+1))</f>
        <v>.</v>
      </c>
      <c r="B181" s="244" t="str">
        <f t="shared" si="2"/>
        <v>Hip Replacement PrimarySub-ICB of GP PracticeNHS NORTH EAST AND NORTH CUMBRIA ICB - 84H (84H)EQ-5D Index</v>
      </c>
      <c r="C181" t="s">
        <v>749</v>
      </c>
      <c r="D181" t="s">
        <v>1021</v>
      </c>
      <c r="E181" t="s">
        <v>897</v>
      </c>
      <c r="F181" t="s">
        <v>898</v>
      </c>
      <c r="G181" t="s">
        <v>963</v>
      </c>
      <c r="H181">
        <v>259</v>
      </c>
      <c r="I181">
        <v>0.31506200000000001</v>
      </c>
      <c r="J181">
        <v>0.76383000000000001</v>
      </c>
      <c r="K181">
        <v>0.448768</v>
      </c>
      <c r="L181">
        <v>231</v>
      </c>
      <c r="M181">
        <v>14</v>
      </c>
      <c r="N181">
        <v>14</v>
      </c>
      <c r="O181">
        <v>0.77739100000000005</v>
      </c>
      <c r="P181">
        <v>0.45155200000000001</v>
      </c>
      <c r="Q181">
        <v>0.22738</v>
      </c>
    </row>
    <row r="182" spans="1:17" x14ac:dyDescent="0.25">
      <c r="A182" t="str">
        <f>IF(C182&amp;G182&amp;D182&lt;&gt;'Funnel setup'!$K$3&amp;'Funnel setup'!$K$4&amp;'Funnel setup'!$K$6,".",IF(A181=".",1,A181+1))</f>
        <v>.</v>
      </c>
      <c r="B182" s="244" t="str">
        <f t="shared" si="2"/>
        <v>Hip Replacement PrimarySub-ICB of GP PracticeNHS NORTH EAST AND NORTH CUMBRIA ICB - 99C (99C)EQ-5D Index</v>
      </c>
      <c r="C182" t="s">
        <v>749</v>
      </c>
      <c r="D182" t="s">
        <v>1021</v>
      </c>
      <c r="E182" t="s">
        <v>899</v>
      </c>
      <c r="F182" t="s">
        <v>900</v>
      </c>
      <c r="G182" t="s">
        <v>963</v>
      </c>
      <c r="H182">
        <v>71</v>
      </c>
      <c r="I182">
        <v>0.32681700000000002</v>
      </c>
      <c r="J182">
        <v>0.79533799999999999</v>
      </c>
      <c r="K182">
        <v>0.46852100000000002</v>
      </c>
      <c r="L182">
        <v>68</v>
      </c>
      <c r="M182">
        <v>1</v>
      </c>
      <c r="N182">
        <v>2</v>
      </c>
      <c r="O182">
        <v>0.79114099999999998</v>
      </c>
      <c r="P182">
        <v>0.46530300000000002</v>
      </c>
      <c r="Q182">
        <v>0.21540699999999999</v>
      </c>
    </row>
    <row r="183" spans="1:17" x14ac:dyDescent="0.25">
      <c r="A183" t="str">
        <f>IF(C183&amp;G183&amp;D183&lt;&gt;'Funnel setup'!$K$3&amp;'Funnel setup'!$K$4&amp;'Funnel setup'!$K$6,".",IF(A182=".",1,A182+1))</f>
        <v>.</v>
      </c>
      <c r="B183" s="244" t="str">
        <f t="shared" si="2"/>
        <v>Hip Replacement PrimarySub-ICB of GP PracticeNHS NORTH EAST LONDON ICB - A3A8R (A3A8R)EQ-5D Index</v>
      </c>
      <c r="C183" t="s">
        <v>749</v>
      </c>
      <c r="D183" t="s">
        <v>1021</v>
      </c>
      <c r="E183" t="s">
        <v>901</v>
      </c>
      <c r="F183" t="s">
        <v>902</v>
      </c>
      <c r="G183" t="s">
        <v>963</v>
      </c>
      <c r="H183">
        <v>152</v>
      </c>
      <c r="I183">
        <v>0.29461199999999999</v>
      </c>
      <c r="J183">
        <v>0.73599300000000001</v>
      </c>
      <c r="K183">
        <v>0.441382</v>
      </c>
      <c r="L183">
        <v>135</v>
      </c>
      <c r="M183">
        <v>9</v>
      </c>
      <c r="N183">
        <v>8</v>
      </c>
      <c r="O183">
        <v>0.76003699999999996</v>
      </c>
      <c r="P183">
        <v>0.43419799999999997</v>
      </c>
      <c r="Q183">
        <v>0.25622200000000001</v>
      </c>
    </row>
    <row r="184" spans="1:17" x14ac:dyDescent="0.25">
      <c r="A184" t="str">
        <f>IF(C184&amp;G184&amp;D184&lt;&gt;'Funnel setup'!$K$3&amp;'Funnel setup'!$K$4&amp;'Funnel setup'!$K$6,".",IF(A183=".",1,A183+1))</f>
        <v>.</v>
      </c>
      <c r="B184" s="244" t="str">
        <f t="shared" si="2"/>
        <v>Hip Replacement PrimarySub-ICB of GP PracticeNHS NORTH WEST LONDON ICB - W2U3Z (W2U3Z)EQ-5D Index</v>
      </c>
      <c r="C184" t="s">
        <v>749</v>
      </c>
      <c r="D184" t="s">
        <v>1021</v>
      </c>
      <c r="E184" t="s">
        <v>903</v>
      </c>
      <c r="F184" t="s">
        <v>904</v>
      </c>
      <c r="G184" t="s">
        <v>963</v>
      </c>
      <c r="H184">
        <v>147</v>
      </c>
      <c r="I184">
        <v>0.37395899999999999</v>
      </c>
      <c r="J184">
        <v>0.79106100000000001</v>
      </c>
      <c r="K184">
        <v>0.41710199999999997</v>
      </c>
      <c r="L184">
        <v>130</v>
      </c>
      <c r="M184">
        <v>9</v>
      </c>
      <c r="N184">
        <v>8</v>
      </c>
      <c r="O184">
        <v>0.78479699999999997</v>
      </c>
      <c r="P184">
        <v>0.45895799999999998</v>
      </c>
      <c r="Q184">
        <v>0.232511</v>
      </c>
    </row>
    <row r="185" spans="1:17" x14ac:dyDescent="0.25">
      <c r="A185" t="str">
        <f>IF(C185&amp;G185&amp;D185&lt;&gt;'Funnel setup'!$K$3&amp;'Funnel setup'!$K$4&amp;'Funnel setup'!$K$6,".",IF(A184=".",1,A184+1))</f>
        <v>.</v>
      </c>
      <c r="B185" s="244" t="str">
        <f t="shared" si="2"/>
        <v>Hip Replacement PrimarySub-ICB of GP PracticeNHS NORTHAMPTONSHIRE ICB - 78H (78H)EQ-5D Index</v>
      </c>
      <c r="C185" t="s">
        <v>749</v>
      </c>
      <c r="D185" t="s">
        <v>1021</v>
      </c>
      <c r="E185" t="s">
        <v>905</v>
      </c>
      <c r="F185" t="s">
        <v>906</v>
      </c>
      <c r="G185" t="s">
        <v>963</v>
      </c>
      <c r="H185">
        <v>233</v>
      </c>
      <c r="I185">
        <v>0.29527500000000001</v>
      </c>
      <c r="J185">
        <v>0.783335</v>
      </c>
      <c r="K185">
        <v>0.48805999999999999</v>
      </c>
      <c r="L185">
        <v>210</v>
      </c>
      <c r="M185">
        <v>11</v>
      </c>
      <c r="N185">
        <v>12</v>
      </c>
      <c r="O185">
        <v>0.785995</v>
      </c>
      <c r="P185">
        <v>0.46015699999999998</v>
      </c>
      <c r="Q185">
        <v>0.22508500000000001</v>
      </c>
    </row>
    <row r="186" spans="1:17" x14ac:dyDescent="0.25">
      <c r="A186" t="str">
        <f>IF(C186&amp;G186&amp;D186&lt;&gt;'Funnel setup'!$K$3&amp;'Funnel setup'!$K$4&amp;'Funnel setup'!$K$6,".",IF(A185=".",1,A185+1))</f>
        <v>.</v>
      </c>
      <c r="B186" s="244" t="str">
        <f t="shared" si="2"/>
        <v>Hip Replacement PrimarySub-ICB of GP PracticeNHS NOTTINGHAM AND NOTTINGHAMSHIRE ICB - 02Q (02Q)EQ-5D Index</v>
      </c>
      <c r="C186" t="s">
        <v>749</v>
      </c>
      <c r="D186" t="s">
        <v>1021</v>
      </c>
      <c r="E186" t="s">
        <v>907</v>
      </c>
      <c r="F186" t="s">
        <v>908</v>
      </c>
      <c r="G186" t="s">
        <v>963</v>
      </c>
      <c r="H186">
        <v>46</v>
      </c>
      <c r="I186">
        <v>0.24330399999999999</v>
      </c>
      <c r="J186">
        <v>0.76958700000000002</v>
      </c>
      <c r="K186">
        <v>0.52628299999999995</v>
      </c>
      <c r="L186">
        <v>42</v>
      </c>
      <c r="M186">
        <v>3</v>
      </c>
      <c r="N186">
        <v>1</v>
      </c>
      <c r="O186">
        <v>0.80482900000000002</v>
      </c>
      <c r="P186">
        <v>0.47899000000000003</v>
      </c>
      <c r="Q186">
        <v>0.20950299999999999</v>
      </c>
    </row>
    <row r="187" spans="1:17" x14ac:dyDescent="0.25">
      <c r="A187" t="str">
        <f>IF(C187&amp;G187&amp;D187&lt;&gt;'Funnel setup'!$K$3&amp;'Funnel setup'!$K$4&amp;'Funnel setup'!$K$6,".",IF(A186=".",1,A186+1))</f>
        <v>.</v>
      </c>
      <c r="B187" s="244" t="str">
        <f t="shared" si="2"/>
        <v>Hip Replacement PrimarySub-ICB of GP PracticeNHS NOTTINGHAM AND NOTTINGHAMSHIRE ICB - 52R (52R)EQ-5D Index</v>
      </c>
      <c r="C187" t="s">
        <v>749</v>
      </c>
      <c r="D187" t="s">
        <v>1021</v>
      </c>
      <c r="E187" t="s">
        <v>909</v>
      </c>
      <c r="F187" t="s">
        <v>910</v>
      </c>
      <c r="G187" t="s">
        <v>963</v>
      </c>
      <c r="H187">
        <v>138</v>
      </c>
      <c r="I187">
        <v>0.28749999999999998</v>
      </c>
      <c r="J187">
        <v>0.76051400000000002</v>
      </c>
      <c r="K187">
        <v>0.47301399999999999</v>
      </c>
      <c r="L187">
        <v>126</v>
      </c>
      <c r="M187">
        <v>4</v>
      </c>
      <c r="N187">
        <v>8</v>
      </c>
      <c r="O187">
        <v>0.77274799999999999</v>
      </c>
      <c r="P187">
        <v>0.44690999999999997</v>
      </c>
      <c r="Q187">
        <v>0.213785</v>
      </c>
    </row>
    <row r="188" spans="1:17" x14ac:dyDescent="0.25">
      <c r="A188" t="str">
        <f>IF(C188&amp;G188&amp;D188&lt;&gt;'Funnel setup'!$K$3&amp;'Funnel setup'!$K$4&amp;'Funnel setup'!$K$6,".",IF(A187=".",1,A187+1))</f>
        <v>.</v>
      </c>
      <c r="B188" s="244" t="str">
        <f t="shared" si="2"/>
        <v>Hip Replacement PrimarySub-ICB of GP PracticeNHS SHROPSHIRE, TELFORD AND WREKIN ICB - M2L0M (M2L0M)EQ-5D Index</v>
      </c>
      <c r="C188" t="s">
        <v>749</v>
      </c>
      <c r="D188" t="s">
        <v>1021</v>
      </c>
      <c r="E188" t="s">
        <v>911</v>
      </c>
      <c r="F188" t="s">
        <v>912</v>
      </c>
      <c r="G188" t="s">
        <v>963</v>
      </c>
      <c r="H188">
        <v>243</v>
      </c>
      <c r="I188">
        <v>0.18254300000000001</v>
      </c>
      <c r="J188">
        <v>0.81695899999999999</v>
      </c>
      <c r="K188">
        <v>0.63441599999999998</v>
      </c>
      <c r="L188">
        <v>229</v>
      </c>
      <c r="M188">
        <v>7</v>
      </c>
      <c r="N188">
        <v>7</v>
      </c>
      <c r="O188">
        <v>0.84787400000000002</v>
      </c>
      <c r="P188">
        <v>0.52203500000000003</v>
      </c>
      <c r="Q188">
        <v>0.210539</v>
      </c>
    </row>
    <row r="189" spans="1:17" x14ac:dyDescent="0.25">
      <c r="A189" t="str">
        <f>IF(C189&amp;G189&amp;D189&lt;&gt;'Funnel setup'!$K$3&amp;'Funnel setup'!$K$4&amp;'Funnel setup'!$K$6,".",IF(A188=".",1,A188+1))</f>
        <v>.</v>
      </c>
      <c r="B189" s="244" t="str">
        <f t="shared" si="2"/>
        <v>Hip Replacement PrimarySub-ICB of GP PracticeNHS SOMERSET ICB - 11X (11X)EQ-5D Index</v>
      </c>
      <c r="C189" t="s">
        <v>749</v>
      </c>
      <c r="D189" t="s">
        <v>1021</v>
      </c>
      <c r="E189" t="s">
        <v>913</v>
      </c>
      <c r="F189" t="s">
        <v>914</v>
      </c>
      <c r="G189" t="s">
        <v>963</v>
      </c>
      <c r="H189">
        <v>236</v>
      </c>
      <c r="I189">
        <v>0.408364</v>
      </c>
      <c r="J189">
        <v>0.85367800000000005</v>
      </c>
      <c r="K189">
        <v>0.44531399999999999</v>
      </c>
      <c r="L189">
        <v>218</v>
      </c>
      <c r="M189">
        <v>9</v>
      </c>
      <c r="N189">
        <v>9</v>
      </c>
      <c r="O189">
        <v>0.82090399999999997</v>
      </c>
      <c r="P189">
        <v>0.49506600000000001</v>
      </c>
      <c r="Q189">
        <v>0.18120900000000001</v>
      </c>
    </row>
    <row r="190" spans="1:17" x14ac:dyDescent="0.25">
      <c r="A190" t="str">
        <f>IF(C190&amp;G190&amp;D190&lt;&gt;'Funnel setup'!$K$3&amp;'Funnel setup'!$K$4&amp;'Funnel setup'!$K$6,".",IF(A189=".",1,A189+1))</f>
        <v>.</v>
      </c>
      <c r="B190" s="244" t="str">
        <f t="shared" si="2"/>
        <v>Hip Replacement PrimarySub-ICB of GP PracticeNHS SOUTH EAST LONDON ICB - 72Q (72Q)EQ-5D Index</v>
      </c>
      <c r="C190" t="s">
        <v>749</v>
      </c>
      <c r="D190" t="s">
        <v>1021</v>
      </c>
      <c r="E190" t="s">
        <v>915</v>
      </c>
      <c r="F190" t="s">
        <v>916</v>
      </c>
      <c r="G190" t="s">
        <v>963</v>
      </c>
      <c r="H190">
        <v>130</v>
      </c>
      <c r="I190">
        <v>0.35236899999999999</v>
      </c>
      <c r="J190">
        <v>0.75340799999999997</v>
      </c>
      <c r="K190">
        <v>0.40103800000000001</v>
      </c>
      <c r="L190">
        <v>113</v>
      </c>
      <c r="M190">
        <v>8</v>
      </c>
      <c r="N190">
        <v>9</v>
      </c>
      <c r="O190">
        <v>0.74590999999999996</v>
      </c>
      <c r="P190">
        <v>0.420072</v>
      </c>
      <c r="Q190">
        <v>0.25391000000000002</v>
      </c>
    </row>
    <row r="191" spans="1:17" x14ac:dyDescent="0.25">
      <c r="A191" t="str">
        <f>IF(C191&amp;G191&amp;D191&lt;&gt;'Funnel setup'!$K$3&amp;'Funnel setup'!$K$4&amp;'Funnel setup'!$K$6,".",IF(A190=".",1,A190+1))</f>
        <v>.</v>
      </c>
      <c r="B191" s="244" t="str">
        <f t="shared" si="2"/>
        <v>Hip Replacement PrimarySub-ICB of GP PracticeNHS SOUTH WEST LONDON ICB - 36L (36L)EQ-5D Index</v>
      </c>
      <c r="C191" t="s">
        <v>749</v>
      </c>
      <c r="D191" t="s">
        <v>1021</v>
      </c>
      <c r="E191" t="s">
        <v>917</v>
      </c>
      <c r="F191" t="s">
        <v>918</v>
      </c>
      <c r="G191" t="s">
        <v>963</v>
      </c>
      <c r="H191">
        <v>362</v>
      </c>
      <c r="I191">
        <v>0.37766</v>
      </c>
      <c r="J191">
        <v>0.789663</v>
      </c>
      <c r="K191">
        <v>0.41200300000000001</v>
      </c>
      <c r="L191">
        <v>327</v>
      </c>
      <c r="M191">
        <v>18</v>
      </c>
      <c r="N191">
        <v>17</v>
      </c>
      <c r="O191">
        <v>0.78027500000000005</v>
      </c>
      <c r="P191">
        <v>0.45443699999999998</v>
      </c>
      <c r="Q191">
        <v>0.22563900000000001</v>
      </c>
    </row>
    <row r="192" spans="1:17" x14ac:dyDescent="0.25">
      <c r="A192" t="str">
        <f>IF(C192&amp;G192&amp;D192&lt;&gt;'Funnel setup'!$K$3&amp;'Funnel setup'!$K$4&amp;'Funnel setup'!$K$6,".",IF(A191=".",1,A191+1))</f>
        <v>.</v>
      </c>
      <c r="B192" s="244" t="str">
        <f t="shared" si="2"/>
        <v>Hip Replacement PrimarySub-ICB of GP PracticeNHS SOUTH YORKSHIRE ICB - 02P (02P)EQ-5D Index</v>
      </c>
      <c r="C192" t="s">
        <v>749</v>
      </c>
      <c r="D192" t="s">
        <v>1021</v>
      </c>
      <c r="E192" t="s">
        <v>919</v>
      </c>
      <c r="F192" t="s">
        <v>920</v>
      </c>
      <c r="G192" t="s">
        <v>963</v>
      </c>
      <c r="H192">
        <v>44</v>
      </c>
      <c r="I192">
        <v>0.184364</v>
      </c>
      <c r="J192">
        <v>0.71020499999999998</v>
      </c>
      <c r="K192">
        <v>0.525841</v>
      </c>
      <c r="L192">
        <v>42</v>
      </c>
      <c r="M192">
        <v>1</v>
      </c>
      <c r="N192">
        <v>1</v>
      </c>
      <c r="O192">
        <v>0.76791200000000004</v>
      </c>
      <c r="P192">
        <v>0.44207400000000002</v>
      </c>
      <c r="Q192">
        <v>0.19708300000000001</v>
      </c>
    </row>
    <row r="193" spans="1:17" x14ac:dyDescent="0.25">
      <c r="A193" t="str">
        <f>IF(C193&amp;G193&amp;D193&lt;&gt;'Funnel setup'!$K$3&amp;'Funnel setup'!$K$4&amp;'Funnel setup'!$K$6,".",IF(A192=".",1,A192+1))</f>
        <v>.</v>
      </c>
      <c r="B193" s="244" t="str">
        <f t="shared" si="2"/>
        <v>Hip Replacement PrimarySub-ICB of GP PracticeNHS SOUTH YORKSHIRE ICB - 02X (02X)EQ-5D Index</v>
      </c>
      <c r="C193" t="s">
        <v>749</v>
      </c>
      <c r="D193" t="s">
        <v>1021</v>
      </c>
      <c r="E193" t="s">
        <v>921</v>
      </c>
      <c r="F193" t="s">
        <v>922</v>
      </c>
      <c r="G193" t="s">
        <v>963</v>
      </c>
      <c r="H193">
        <v>81</v>
      </c>
      <c r="I193">
        <v>0.28970400000000002</v>
      </c>
      <c r="J193">
        <v>0.75712299999999999</v>
      </c>
      <c r="K193">
        <v>0.46742</v>
      </c>
      <c r="L193">
        <v>73</v>
      </c>
      <c r="M193">
        <v>1</v>
      </c>
      <c r="N193">
        <v>7</v>
      </c>
      <c r="O193">
        <v>0.76534199999999997</v>
      </c>
      <c r="P193">
        <v>0.43950299999999998</v>
      </c>
      <c r="Q193">
        <v>0.28880299999999998</v>
      </c>
    </row>
    <row r="194" spans="1:17" x14ac:dyDescent="0.25">
      <c r="A194" t="str">
        <f>IF(C194&amp;G194&amp;D194&lt;&gt;'Funnel setup'!$K$3&amp;'Funnel setup'!$K$4&amp;'Funnel setup'!$K$6,".",IF(A193=".",1,A193+1))</f>
        <v>.</v>
      </c>
      <c r="B194" s="244" t="str">
        <f t="shared" ref="B194:B257" si="3">C194&amp;D194&amp;F194&amp;G194</f>
        <v>Hip Replacement PrimarySub-ICB of GP PracticeNHS SOUTH YORKSHIRE ICB - 03L (03L)EQ-5D Index</v>
      </c>
      <c r="C194" t="s">
        <v>749</v>
      </c>
      <c r="D194" t="s">
        <v>1021</v>
      </c>
      <c r="E194" t="s">
        <v>923</v>
      </c>
      <c r="F194" t="s">
        <v>924</v>
      </c>
      <c r="G194" t="s">
        <v>963</v>
      </c>
      <c r="H194">
        <v>37</v>
      </c>
      <c r="I194">
        <v>0.34843200000000002</v>
      </c>
      <c r="J194">
        <v>0.81364899999999996</v>
      </c>
      <c r="K194">
        <v>0.46521600000000002</v>
      </c>
      <c r="L194">
        <v>32</v>
      </c>
      <c r="M194">
        <v>4</v>
      </c>
      <c r="N194">
        <v>1</v>
      </c>
      <c r="O194">
        <v>0.82759899999999997</v>
      </c>
      <c r="P194">
        <v>0.50176100000000001</v>
      </c>
      <c r="Q194">
        <v>0.17749999999999999</v>
      </c>
    </row>
    <row r="195" spans="1:17" x14ac:dyDescent="0.25">
      <c r="A195" t="str">
        <f>IF(C195&amp;G195&amp;D195&lt;&gt;'Funnel setup'!$K$3&amp;'Funnel setup'!$K$4&amp;'Funnel setup'!$K$6,".",IF(A194=".",1,A194+1))</f>
        <v>.</v>
      </c>
      <c r="B195" s="244" t="str">
        <f t="shared" si="3"/>
        <v>Hip Replacement PrimarySub-ICB of GP PracticeNHS SOUTH YORKSHIRE ICB - 03N (03N)EQ-5D Index</v>
      </c>
      <c r="C195" t="s">
        <v>749</v>
      </c>
      <c r="D195" t="s">
        <v>1021</v>
      </c>
      <c r="E195" t="s">
        <v>925</v>
      </c>
      <c r="F195" t="s">
        <v>926</v>
      </c>
      <c r="G195" t="s">
        <v>963</v>
      </c>
      <c r="H195">
        <v>32</v>
      </c>
      <c r="I195">
        <v>0.40118700000000002</v>
      </c>
      <c r="J195">
        <v>0.784937</v>
      </c>
      <c r="K195">
        <v>0.38374999999999998</v>
      </c>
      <c r="L195">
        <v>28</v>
      </c>
      <c r="M195">
        <v>1</v>
      </c>
      <c r="N195">
        <v>3</v>
      </c>
      <c r="O195">
        <v>0.76979299999999995</v>
      </c>
      <c r="P195">
        <v>0.44395400000000002</v>
      </c>
      <c r="Q195">
        <v>0.29547800000000002</v>
      </c>
    </row>
    <row r="196" spans="1:17" x14ac:dyDescent="0.25">
      <c r="A196" t="str">
        <f>IF(C196&amp;G196&amp;D196&lt;&gt;'Funnel setup'!$K$3&amp;'Funnel setup'!$K$4&amp;'Funnel setup'!$K$6,".",IF(A195=".",1,A195+1))</f>
        <v>.</v>
      </c>
      <c r="B196" s="244" t="str">
        <f t="shared" si="3"/>
        <v>Hip Replacement PrimarySub-ICB of GP PracticeNHS STAFFORDSHIRE AND STOKE-ON-TRENT ICB - 04Y (04Y)EQ-5D Index</v>
      </c>
      <c r="C196" t="s">
        <v>749</v>
      </c>
      <c r="D196" t="s">
        <v>1021</v>
      </c>
      <c r="E196" t="s">
        <v>927</v>
      </c>
      <c r="F196" t="s">
        <v>928</v>
      </c>
      <c r="G196" t="s">
        <v>963</v>
      </c>
      <c r="H196">
        <v>29</v>
      </c>
      <c r="I196">
        <v>0.332621</v>
      </c>
      <c r="J196">
        <v>0.85175900000000004</v>
      </c>
      <c r="K196">
        <v>0.51913799999999999</v>
      </c>
      <c r="L196">
        <v>26</v>
      </c>
      <c r="M196">
        <v>2</v>
      </c>
      <c r="N196">
        <v>1</v>
      </c>
      <c r="O196" t="s">
        <v>127</v>
      </c>
      <c r="P196" t="s">
        <v>127</v>
      </c>
      <c r="Q196" t="s">
        <v>127</v>
      </c>
    </row>
    <row r="197" spans="1:17" x14ac:dyDescent="0.25">
      <c r="A197" t="str">
        <f>IF(C197&amp;G197&amp;D197&lt;&gt;'Funnel setup'!$K$3&amp;'Funnel setup'!$K$4&amp;'Funnel setup'!$K$6,".",IF(A196=".",1,A196+1))</f>
        <v>.</v>
      </c>
      <c r="B197" s="244" t="str">
        <f t="shared" si="3"/>
        <v>Hip Replacement PrimarySub-ICB of GP PracticeNHS STAFFORDSHIRE AND STOKE-ON-TRENT ICB - 05D (05D)EQ-5D Index</v>
      </c>
      <c r="C197" t="s">
        <v>749</v>
      </c>
      <c r="D197" t="s">
        <v>1021</v>
      </c>
      <c r="E197" t="s">
        <v>929</v>
      </c>
      <c r="F197" t="s">
        <v>930</v>
      </c>
      <c r="G197" t="s">
        <v>963</v>
      </c>
      <c r="H197">
        <v>52</v>
      </c>
      <c r="I197">
        <v>0.30009599999999997</v>
      </c>
      <c r="J197">
        <v>0.77182700000000004</v>
      </c>
      <c r="K197">
        <v>0.47173100000000001</v>
      </c>
      <c r="L197">
        <v>49</v>
      </c>
      <c r="M197">
        <v>1</v>
      </c>
      <c r="N197">
        <v>2</v>
      </c>
      <c r="O197">
        <v>0.78728399999999998</v>
      </c>
      <c r="P197">
        <v>0.46144600000000002</v>
      </c>
      <c r="Q197">
        <v>0.235874</v>
      </c>
    </row>
    <row r="198" spans="1:17" x14ac:dyDescent="0.25">
      <c r="A198" t="str">
        <f>IF(C198&amp;G198&amp;D198&lt;&gt;'Funnel setup'!$K$3&amp;'Funnel setup'!$K$4&amp;'Funnel setup'!$K$6,".",IF(A197=".",1,A197+1))</f>
        <v>.</v>
      </c>
      <c r="B198" s="244" t="str">
        <f t="shared" si="3"/>
        <v>Hip Replacement PrimarySub-ICB of GP PracticeNHS STAFFORDSHIRE AND STOKE-ON-TRENT ICB - 05G (05G)EQ-5D Index</v>
      </c>
      <c r="C198" t="s">
        <v>749</v>
      </c>
      <c r="D198" t="s">
        <v>1021</v>
      </c>
      <c r="E198" t="s">
        <v>931</v>
      </c>
      <c r="F198" t="s">
        <v>932</v>
      </c>
      <c r="G198" t="s">
        <v>963</v>
      </c>
      <c r="H198">
        <v>42</v>
      </c>
      <c r="I198">
        <v>0.306452</v>
      </c>
      <c r="J198">
        <v>0.69257100000000005</v>
      </c>
      <c r="K198">
        <v>0.38611899999999999</v>
      </c>
      <c r="L198">
        <v>37</v>
      </c>
      <c r="M198">
        <v>2</v>
      </c>
      <c r="N198">
        <v>3</v>
      </c>
      <c r="O198">
        <v>0.70626699999999998</v>
      </c>
      <c r="P198">
        <v>0.38042799999999999</v>
      </c>
      <c r="Q198">
        <v>0.31009900000000001</v>
      </c>
    </row>
    <row r="199" spans="1:17" x14ac:dyDescent="0.25">
      <c r="A199" t="str">
        <f>IF(C199&amp;G199&amp;D199&lt;&gt;'Funnel setup'!$K$3&amp;'Funnel setup'!$K$4&amp;'Funnel setup'!$K$6,".",IF(A198=".",1,A198+1))</f>
        <v>.</v>
      </c>
      <c r="B199" s="244" t="str">
        <f t="shared" si="3"/>
        <v>Hip Replacement PrimarySub-ICB of GP PracticeNHS STAFFORDSHIRE AND STOKE-ON-TRENT ICB - 05Q (05Q)EQ-5D Index</v>
      </c>
      <c r="C199" t="s">
        <v>749</v>
      </c>
      <c r="D199" t="s">
        <v>1021</v>
      </c>
      <c r="E199" t="s">
        <v>933</v>
      </c>
      <c r="F199" t="s">
        <v>934</v>
      </c>
      <c r="G199" t="s">
        <v>963</v>
      </c>
      <c r="H199">
        <v>72</v>
      </c>
      <c r="I199">
        <v>0.34151399999999998</v>
      </c>
      <c r="J199">
        <v>0.71252800000000005</v>
      </c>
      <c r="K199">
        <v>0.37101400000000001</v>
      </c>
      <c r="L199">
        <v>59</v>
      </c>
      <c r="M199">
        <v>7</v>
      </c>
      <c r="N199">
        <v>6</v>
      </c>
      <c r="O199">
        <v>0.71296999999999999</v>
      </c>
      <c r="P199">
        <v>0.38713199999999998</v>
      </c>
      <c r="Q199">
        <v>0.24234700000000001</v>
      </c>
    </row>
    <row r="200" spans="1:17" x14ac:dyDescent="0.25">
      <c r="A200" t="str">
        <f>IF(C200&amp;G200&amp;D200&lt;&gt;'Funnel setup'!$K$3&amp;'Funnel setup'!$K$4&amp;'Funnel setup'!$K$6,".",IF(A199=".",1,A199+1))</f>
        <v>.</v>
      </c>
      <c r="B200" s="244" t="str">
        <f t="shared" si="3"/>
        <v>Hip Replacement PrimarySub-ICB of GP PracticeNHS STAFFORDSHIRE AND STOKE-ON-TRENT ICB - 05V (05V)EQ-5D Index</v>
      </c>
      <c r="C200" t="s">
        <v>749</v>
      </c>
      <c r="D200" t="s">
        <v>1021</v>
      </c>
      <c r="E200" t="s">
        <v>935</v>
      </c>
      <c r="F200" t="s">
        <v>936</v>
      </c>
      <c r="G200" t="s">
        <v>963</v>
      </c>
      <c r="H200">
        <v>58</v>
      </c>
      <c r="I200">
        <v>0.42584499999999997</v>
      </c>
      <c r="J200">
        <v>0.82274099999999994</v>
      </c>
      <c r="K200">
        <v>0.396897</v>
      </c>
      <c r="L200">
        <v>53</v>
      </c>
      <c r="M200">
        <v>3</v>
      </c>
      <c r="N200">
        <v>2</v>
      </c>
      <c r="O200">
        <v>0.78777900000000001</v>
      </c>
      <c r="P200">
        <v>0.46194000000000002</v>
      </c>
      <c r="Q200">
        <v>0.194687</v>
      </c>
    </row>
    <row r="201" spans="1:17" x14ac:dyDescent="0.25">
      <c r="A201" t="str">
        <f>IF(C201&amp;G201&amp;D201&lt;&gt;'Funnel setup'!$K$3&amp;'Funnel setup'!$K$4&amp;'Funnel setup'!$K$6,".",IF(A200=".",1,A200+1))</f>
        <v>.</v>
      </c>
      <c r="B201" s="244" t="str">
        <f t="shared" si="3"/>
        <v>Hip Replacement PrimarySub-ICB of GP PracticeNHS STAFFORDSHIRE AND STOKE-ON-TRENT ICB - 05W (05W)EQ-5D Index</v>
      </c>
      <c r="C201" t="s">
        <v>749</v>
      </c>
      <c r="D201" t="s">
        <v>1021</v>
      </c>
      <c r="E201" t="s">
        <v>937</v>
      </c>
      <c r="F201" t="s">
        <v>938</v>
      </c>
      <c r="G201" t="s">
        <v>963</v>
      </c>
      <c r="H201">
        <v>31</v>
      </c>
      <c r="I201">
        <v>0.25664500000000001</v>
      </c>
      <c r="J201">
        <v>0.81316100000000002</v>
      </c>
      <c r="K201">
        <v>0.55651600000000001</v>
      </c>
      <c r="L201">
        <v>29</v>
      </c>
      <c r="M201">
        <v>1</v>
      </c>
      <c r="N201">
        <v>1</v>
      </c>
      <c r="O201">
        <v>0.86485500000000004</v>
      </c>
      <c r="P201">
        <v>0.53901699999999997</v>
      </c>
      <c r="Q201">
        <v>0.186084</v>
      </c>
    </row>
    <row r="202" spans="1:17" x14ac:dyDescent="0.25">
      <c r="A202" t="str">
        <f>IF(C202&amp;G202&amp;D202&lt;&gt;'Funnel setup'!$K$3&amp;'Funnel setup'!$K$4&amp;'Funnel setup'!$K$6,".",IF(A201=".",1,A201+1))</f>
        <v>.</v>
      </c>
      <c r="B202" s="244" t="str">
        <f t="shared" si="3"/>
        <v>Hip Replacement PrimarySub-ICB of GP PracticeNHS SUFFOLK AND NORTH EAST ESSEX ICB - 06L (06L)EQ-5D Index</v>
      </c>
      <c r="C202" t="s">
        <v>749</v>
      </c>
      <c r="D202" t="s">
        <v>1021</v>
      </c>
      <c r="E202" t="s">
        <v>939</v>
      </c>
      <c r="F202" t="s">
        <v>940</v>
      </c>
      <c r="G202" t="s">
        <v>963</v>
      </c>
      <c r="H202">
        <v>140</v>
      </c>
      <c r="I202">
        <v>0.23935000000000001</v>
      </c>
      <c r="J202">
        <v>0.76063599999999998</v>
      </c>
      <c r="K202">
        <v>0.52128600000000003</v>
      </c>
      <c r="L202">
        <v>130</v>
      </c>
      <c r="M202">
        <v>7</v>
      </c>
      <c r="N202">
        <v>3</v>
      </c>
      <c r="O202">
        <v>0.78221700000000005</v>
      </c>
      <c r="P202">
        <v>0.45637800000000001</v>
      </c>
      <c r="Q202">
        <v>0.2462</v>
      </c>
    </row>
    <row r="203" spans="1:17" x14ac:dyDescent="0.25">
      <c r="A203" t="str">
        <f>IF(C203&amp;G203&amp;D203&lt;&gt;'Funnel setup'!$K$3&amp;'Funnel setup'!$K$4&amp;'Funnel setup'!$K$6,".",IF(A202=".",1,A202+1))</f>
        <v>.</v>
      </c>
      <c r="B203" s="244" t="str">
        <f t="shared" si="3"/>
        <v>Hip Replacement PrimarySub-ICB of GP PracticeNHS SUFFOLK AND NORTH EAST ESSEX ICB - 06T (06T)EQ-5D Index</v>
      </c>
      <c r="C203" t="s">
        <v>749</v>
      </c>
      <c r="D203" t="s">
        <v>1021</v>
      </c>
      <c r="E203" t="s">
        <v>941</v>
      </c>
      <c r="F203" t="s">
        <v>942</v>
      </c>
      <c r="G203" t="s">
        <v>963</v>
      </c>
      <c r="H203">
        <v>31</v>
      </c>
      <c r="I203">
        <v>0.38958100000000001</v>
      </c>
      <c r="J203">
        <v>0.79380600000000001</v>
      </c>
      <c r="K203">
        <v>0.40422599999999997</v>
      </c>
      <c r="L203">
        <v>28</v>
      </c>
      <c r="M203">
        <v>3</v>
      </c>
      <c r="N203">
        <v>0</v>
      </c>
      <c r="O203">
        <v>0.78985399999999995</v>
      </c>
      <c r="P203">
        <v>0.46401599999999998</v>
      </c>
      <c r="Q203">
        <v>0.16061400000000001</v>
      </c>
    </row>
    <row r="204" spans="1:17" x14ac:dyDescent="0.25">
      <c r="A204" t="str">
        <f>IF(C204&amp;G204&amp;D204&lt;&gt;'Funnel setup'!$K$3&amp;'Funnel setup'!$K$4&amp;'Funnel setup'!$K$6,".",IF(A203=".",1,A203+1))</f>
        <v>.</v>
      </c>
      <c r="B204" s="244" t="str">
        <f t="shared" si="3"/>
        <v>Hip Replacement PrimarySub-ICB of GP PracticeNHS SUFFOLK AND NORTH EAST ESSEX ICB - 07K (07K)EQ-5D Index</v>
      </c>
      <c r="C204" t="s">
        <v>749</v>
      </c>
      <c r="D204" t="s">
        <v>1021</v>
      </c>
      <c r="E204" t="s">
        <v>943</v>
      </c>
      <c r="F204" t="s">
        <v>944</v>
      </c>
      <c r="G204" t="s">
        <v>963</v>
      </c>
      <c r="H204">
        <v>127</v>
      </c>
      <c r="I204">
        <v>0.22875599999999999</v>
      </c>
      <c r="J204">
        <v>0.74041699999999999</v>
      </c>
      <c r="K204">
        <v>0.51166100000000003</v>
      </c>
      <c r="L204">
        <v>109</v>
      </c>
      <c r="M204">
        <v>8</v>
      </c>
      <c r="N204">
        <v>10</v>
      </c>
      <c r="O204">
        <v>0.74828099999999997</v>
      </c>
      <c r="P204">
        <v>0.42244300000000001</v>
      </c>
      <c r="Q204">
        <v>0.26301099999999999</v>
      </c>
    </row>
    <row r="205" spans="1:17" x14ac:dyDescent="0.25">
      <c r="A205" t="str">
        <f>IF(C205&amp;G205&amp;D205&lt;&gt;'Funnel setup'!$K$3&amp;'Funnel setup'!$K$4&amp;'Funnel setup'!$K$6,".",IF(A204=".",1,A204+1))</f>
        <v>.</v>
      </c>
      <c r="B205" s="244" t="str">
        <f t="shared" si="3"/>
        <v>Hip Replacement PrimarySub-ICB of GP PracticeNHS SURREY HEARTLANDS ICB - 92A (92A)EQ-5D Index</v>
      </c>
      <c r="C205" t="s">
        <v>749</v>
      </c>
      <c r="D205" t="s">
        <v>1021</v>
      </c>
      <c r="E205" t="s">
        <v>945</v>
      </c>
      <c r="F205" t="s">
        <v>946</v>
      </c>
      <c r="G205" t="s">
        <v>963</v>
      </c>
      <c r="H205">
        <v>365</v>
      </c>
      <c r="I205">
        <v>0.40646599999999999</v>
      </c>
      <c r="J205">
        <v>0.83092600000000005</v>
      </c>
      <c r="K205">
        <v>0.42446</v>
      </c>
      <c r="L205">
        <v>334</v>
      </c>
      <c r="M205">
        <v>16</v>
      </c>
      <c r="N205">
        <v>15</v>
      </c>
      <c r="O205">
        <v>0.79674</v>
      </c>
      <c r="P205">
        <v>0.47090100000000001</v>
      </c>
      <c r="Q205">
        <v>0.17980699999999999</v>
      </c>
    </row>
    <row r="206" spans="1:17" x14ac:dyDescent="0.25">
      <c r="A206" t="str">
        <f>IF(C206&amp;G206&amp;D206&lt;&gt;'Funnel setup'!$K$3&amp;'Funnel setup'!$K$4&amp;'Funnel setup'!$K$6,".",IF(A205=".",1,A205+1))</f>
        <v>.</v>
      </c>
      <c r="B206" s="244" t="str">
        <f t="shared" si="3"/>
        <v>Hip Replacement PrimarySub-ICB of GP PracticeNHS SUSSEX ICB - 09D (09D)EQ-5D Index</v>
      </c>
      <c r="C206" t="s">
        <v>749</v>
      </c>
      <c r="D206" t="s">
        <v>1021</v>
      </c>
      <c r="E206" t="s">
        <v>947</v>
      </c>
      <c r="F206" t="s">
        <v>948</v>
      </c>
      <c r="G206" t="s">
        <v>963</v>
      </c>
      <c r="H206">
        <v>8</v>
      </c>
      <c r="I206">
        <v>0.53112499999999996</v>
      </c>
      <c r="J206">
        <v>0.82137499999999997</v>
      </c>
      <c r="K206">
        <v>0.29025000000000001</v>
      </c>
      <c r="L206">
        <v>8</v>
      </c>
      <c r="M206">
        <v>0</v>
      </c>
      <c r="N206">
        <v>0</v>
      </c>
      <c r="O206" t="s">
        <v>127</v>
      </c>
      <c r="P206" t="s">
        <v>127</v>
      </c>
      <c r="Q206" t="s">
        <v>127</v>
      </c>
    </row>
    <row r="207" spans="1:17" x14ac:dyDescent="0.25">
      <c r="A207" t="str">
        <f>IF(C207&amp;G207&amp;D207&lt;&gt;'Funnel setup'!$K$3&amp;'Funnel setup'!$K$4&amp;'Funnel setup'!$K$6,".",IF(A206=".",1,A206+1))</f>
        <v>.</v>
      </c>
      <c r="B207" s="244" t="str">
        <f t="shared" si="3"/>
        <v>Hip Replacement PrimarySub-ICB of GP PracticeNHS SUSSEX ICB - 70F (70F)EQ-5D Index</v>
      </c>
      <c r="C207" t="s">
        <v>749</v>
      </c>
      <c r="D207" t="s">
        <v>1021</v>
      </c>
      <c r="E207" t="s">
        <v>949</v>
      </c>
      <c r="F207" t="s">
        <v>950</v>
      </c>
      <c r="G207" t="s">
        <v>963</v>
      </c>
      <c r="H207">
        <v>249</v>
      </c>
      <c r="I207">
        <v>0.32947799999999999</v>
      </c>
      <c r="J207">
        <v>0.76815299999999997</v>
      </c>
      <c r="K207">
        <v>0.43867499999999998</v>
      </c>
      <c r="L207">
        <v>216</v>
      </c>
      <c r="M207">
        <v>13</v>
      </c>
      <c r="N207">
        <v>20</v>
      </c>
      <c r="O207">
        <v>0.76394099999999998</v>
      </c>
      <c r="P207">
        <v>0.43810300000000002</v>
      </c>
      <c r="Q207">
        <v>0.254525</v>
      </c>
    </row>
    <row r="208" spans="1:17" x14ac:dyDescent="0.25">
      <c r="A208" t="str">
        <f>IF(C208&amp;G208&amp;D208&lt;&gt;'Funnel setup'!$K$3&amp;'Funnel setup'!$K$4&amp;'Funnel setup'!$K$6,".",IF(A207=".",1,A207+1))</f>
        <v>.</v>
      </c>
      <c r="B208" s="244" t="str">
        <f t="shared" si="3"/>
        <v>Hip Replacement PrimarySub-ICB of GP PracticeNHS SUSSEX ICB - 97R (97R)EQ-5D Index</v>
      </c>
      <c r="C208" t="s">
        <v>749</v>
      </c>
      <c r="D208" t="s">
        <v>1021</v>
      </c>
      <c r="E208" t="s">
        <v>951</v>
      </c>
      <c r="F208" t="s">
        <v>952</v>
      </c>
      <c r="G208" t="s">
        <v>963</v>
      </c>
      <c r="H208">
        <v>272</v>
      </c>
      <c r="I208">
        <v>0.37559900000000002</v>
      </c>
      <c r="J208">
        <v>0.80206200000000005</v>
      </c>
      <c r="K208">
        <v>0.42646299999999998</v>
      </c>
      <c r="L208">
        <v>239</v>
      </c>
      <c r="M208">
        <v>14</v>
      </c>
      <c r="N208">
        <v>19</v>
      </c>
      <c r="O208">
        <v>0.792489</v>
      </c>
      <c r="P208">
        <v>0.46665000000000001</v>
      </c>
      <c r="Q208">
        <v>0.27126400000000001</v>
      </c>
    </row>
    <row r="209" spans="1:17" x14ac:dyDescent="0.25">
      <c r="A209" t="str">
        <f>IF(C209&amp;G209&amp;D209&lt;&gt;'Funnel setup'!$K$3&amp;'Funnel setup'!$K$4&amp;'Funnel setup'!$K$6,".",IF(A208=".",1,A208+1))</f>
        <v>.</v>
      </c>
      <c r="B209" s="244" t="str">
        <f t="shared" si="3"/>
        <v>Hip Replacement PrimarySub-ICB of GP PracticeNHS WEST YORKSHIRE ICB - 02T (02T)EQ-5D Index</v>
      </c>
      <c r="C209" t="s">
        <v>749</v>
      </c>
      <c r="D209" t="s">
        <v>1021</v>
      </c>
      <c r="E209" t="s">
        <v>953</v>
      </c>
      <c r="F209" t="s">
        <v>954</v>
      </c>
      <c r="G209" t="s">
        <v>963</v>
      </c>
      <c r="H209">
        <v>57</v>
      </c>
      <c r="I209">
        <v>0.38101800000000002</v>
      </c>
      <c r="J209">
        <v>0.81587699999999996</v>
      </c>
      <c r="K209">
        <v>0.43486000000000002</v>
      </c>
      <c r="L209">
        <v>54</v>
      </c>
      <c r="M209">
        <v>2</v>
      </c>
      <c r="N209">
        <v>1</v>
      </c>
      <c r="O209">
        <v>0.80396999999999996</v>
      </c>
      <c r="P209">
        <v>0.47813099999999997</v>
      </c>
      <c r="Q209">
        <v>0.208181</v>
      </c>
    </row>
    <row r="210" spans="1:17" x14ac:dyDescent="0.25">
      <c r="A210" t="str">
        <f>IF(C210&amp;G210&amp;D210&lt;&gt;'Funnel setup'!$K$3&amp;'Funnel setup'!$K$4&amp;'Funnel setup'!$K$6,".",IF(A209=".",1,A209+1))</f>
        <v>.</v>
      </c>
      <c r="B210" s="244" t="str">
        <f t="shared" si="3"/>
        <v>Hip Replacement PrimarySub-ICB of GP PracticeNHS WEST YORKSHIRE ICB - 03R (03R)EQ-5D Index</v>
      </c>
      <c r="C210" t="s">
        <v>749</v>
      </c>
      <c r="D210" t="s">
        <v>1021</v>
      </c>
      <c r="E210" t="s">
        <v>955</v>
      </c>
      <c r="F210" t="s">
        <v>956</v>
      </c>
      <c r="G210" t="s">
        <v>963</v>
      </c>
      <c r="H210">
        <v>164</v>
      </c>
      <c r="I210">
        <v>0.29109099999999999</v>
      </c>
      <c r="J210">
        <v>0.73130499999999998</v>
      </c>
      <c r="K210">
        <v>0.44021300000000002</v>
      </c>
      <c r="L210">
        <v>149</v>
      </c>
      <c r="M210">
        <v>7</v>
      </c>
      <c r="N210">
        <v>8</v>
      </c>
      <c r="O210">
        <v>0.74749500000000002</v>
      </c>
      <c r="P210">
        <v>0.421657</v>
      </c>
      <c r="Q210">
        <v>0.26204</v>
      </c>
    </row>
    <row r="211" spans="1:17" x14ac:dyDescent="0.25">
      <c r="A211" t="str">
        <f>IF(C211&amp;G211&amp;D211&lt;&gt;'Funnel setup'!$K$3&amp;'Funnel setup'!$K$4&amp;'Funnel setup'!$K$6,".",IF(A210=".",1,A210+1))</f>
        <v>.</v>
      </c>
      <c r="B211" s="244" t="str">
        <f t="shared" si="3"/>
        <v>Hip Replacement PrimarySub-ICB of GP PracticeNHS WEST YORKSHIRE ICB - 15F (15F)EQ-5D Index</v>
      </c>
      <c r="C211" t="s">
        <v>749</v>
      </c>
      <c r="D211" t="s">
        <v>1021</v>
      </c>
      <c r="E211" t="s">
        <v>957</v>
      </c>
      <c r="F211" t="s">
        <v>958</v>
      </c>
      <c r="G211" t="s">
        <v>963</v>
      </c>
      <c r="H211">
        <v>218</v>
      </c>
      <c r="I211">
        <v>0.33467400000000003</v>
      </c>
      <c r="J211">
        <v>0.77789399999999997</v>
      </c>
      <c r="K211">
        <v>0.44322</v>
      </c>
      <c r="L211">
        <v>190</v>
      </c>
      <c r="M211">
        <v>8</v>
      </c>
      <c r="N211">
        <v>20</v>
      </c>
      <c r="O211">
        <v>0.77321200000000001</v>
      </c>
      <c r="P211">
        <v>0.44737399999999999</v>
      </c>
      <c r="Q211">
        <v>0.228412</v>
      </c>
    </row>
    <row r="212" spans="1:17" x14ac:dyDescent="0.25">
      <c r="A212" t="str">
        <f>IF(C212&amp;G212&amp;D212&lt;&gt;'Funnel setup'!$K$3&amp;'Funnel setup'!$K$4&amp;'Funnel setup'!$K$6,".",IF(A211=".",1,A211+1))</f>
        <v>.</v>
      </c>
      <c r="B212" s="244" t="str">
        <f t="shared" si="3"/>
        <v>Hip Replacement PrimarySub-ICB of GP PracticeNHS WEST YORKSHIRE ICB - 36J (36J)EQ-5D Index</v>
      </c>
      <c r="C212" t="s">
        <v>749</v>
      </c>
      <c r="D212" t="s">
        <v>1021</v>
      </c>
      <c r="E212" t="s">
        <v>959</v>
      </c>
      <c r="F212" t="s">
        <v>960</v>
      </c>
      <c r="G212" t="s">
        <v>963</v>
      </c>
      <c r="H212">
        <v>85</v>
      </c>
      <c r="I212">
        <v>0.33560000000000001</v>
      </c>
      <c r="J212">
        <v>0.83871799999999996</v>
      </c>
      <c r="K212">
        <v>0.50311799999999995</v>
      </c>
      <c r="L212">
        <v>78</v>
      </c>
      <c r="M212">
        <v>6</v>
      </c>
      <c r="N212">
        <v>1</v>
      </c>
      <c r="O212">
        <v>0.84644299999999995</v>
      </c>
      <c r="P212">
        <v>0.52060499999999998</v>
      </c>
      <c r="Q212">
        <v>0.192195</v>
      </c>
    </row>
    <row r="213" spans="1:17" x14ac:dyDescent="0.25">
      <c r="A213" t="str">
        <f>IF(C213&amp;G213&amp;D213&lt;&gt;'Funnel setup'!$K$3&amp;'Funnel setup'!$K$4&amp;'Funnel setup'!$K$6,".",IF(A212=".",1,A212+1))</f>
        <v>.</v>
      </c>
      <c r="B213" s="244" t="str">
        <f t="shared" si="3"/>
        <v>Hip Replacement PrimarySub-ICB of GP PracticeNHS WEST YORKSHIRE ICB - X2C4Y (X2C4Y)EQ-5D Index</v>
      </c>
      <c r="C213" t="s">
        <v>749</v>
      </c>
      <c r="D213" t="s">
        <v>1021</v>
      </c>
      <c r="E213" t="s">
        <v>961</v>
      </c>
      <c r="F213" t="s">
        <v>962</v>
      </c>
      <c r="G213" t="s">
        <v>963</v>
      </c>
      <c r="H213">
        <v>113</v>
      </c>
      <c r="I213">
        <v>0.30326500000000001</v>
      </c>
      <c r="J213">
        <v>0.73014199999999996</v>
      </c>
      <c r="K213">
        <v>0.42687599999999998</v>
      </c>
      <c r="L213">
        <v>96</v>
      </c>
      <c r="M213">
        <v>5</v>
      </c>
      <c r="N213">
        <v>12</v>
      </c>
      <c r="O213">
        <v>0.75244599999999995</v>
      </c>
      <c r="P213">
        <v>0.42660799999999999</v>
      </c>
      <c r="Q213">
        <v>0.26782499999999998</v>
      </c>
    </row>
    <row r="214" spans="1:17" x14ac:dyDescent="0.25">
      <c r="A214" t="str">
        <f>IF(C214&amp;G214&amp;D214&lt;&gt;'Funnel setup'!$K$3&amp;'Funnel setup'!$K$4&amp;'Funnel setup'!$K$6,".",IF(A213=".",1,A213+1))</f>
        <v>.</v>
      </c>
      <c r="B214" s="244" t="str">
        <f t="shared" si="3"/>
        <v>Hip Replacement PrimarySub-ICB of GP PracticeNHS BATH AND NORTH EAST SOMERSET, SWINDON AND WILTSHIRE ICB - 92G (92G)Oxford Hip Score</v>
      </c>
      <c r="C214" t="s">
        <v>749</v>
      </c>
      <c r="D214" t="s">
        <v>1021</v>
      </c>
      <c r="E214" t="s">
        <v>750</v>
      </c>
      <c r="F214" t="s">
        <v>751</v>
      </c>
      <c r="G214" t="s">
        <v>964</v>
      </c>
      <c r="H214">
        <v>250</v>
      </c>
      <c r="I214">
        <v>18.96</v>
      </c>
      <c r="J214">
        <v>41.676000000000002</v>
      </c>
      <c r="K214">
        <v>22.716000000000001</v>
      </c>
      <c r="L214">
        <v>246</v>
      </c>
      <c r="M214">
        <v>0</v>
      </c>
      <c r="N214">
        <v>4</v>
      </c>
      <c r="O214">
        <v>40.036799999999999</v>
      </c>
      <c r="P214">
        <v>22.952500000000001</v>
      </c>
      <c r="Q214">
        <v>7.61625</v>
      </c>
    </row>
    <row r="215" spans="1:17" x14ac:dyDescent="0.25">
      <c r="A215" t="str">
        <f>IF(C215&amp;G215&amp;D215&lt;&gt;'Funnel setup'!$K$3&amp;'Funnel setup'!$K$4&amp;'Funnel setup'!$K$6,".",IF(A214=".",1,A214+1))</f>
        <v>.</v>
      </c>
      <c r="B215" s="244" t="str">
        <f t="shared" si="3"/>
        <v>Hip Replacement PrimarySub-ICB of GP PracticeNHS BEDFORDSHIRE, LUTON AND MILTON KEYNES ICB - M1J4Y (M1J4Y)Oxford Hip Score</v>
      </c>
      <c r="C215" t="s">
        <v>749</v>
      </c>
      <c r="D215" t="s">
        <v>1021</v>
      </c>
      <c r="E215" t="s">
        <v>753</v>
      </c>
      <c r="F215" t="s">
        <v>754</v>
      </c>
      <c r="G215" t="s">
        <v>964</v>
      </c>
      <c r="H215">
        <v>239</v>
      </c>
      <c r="I215">
        <v>15.3766</v>
      </c>
      <c r="J215">
        <v>38.8703</v>
      </c>
      <c r="K215">
        <v>23.4937</v>
      </c>
      <c r="L215">
        <v>234</v>
      </c>
      <c r="M215">
        <v>0</v>
      </c>
      <c r="N215">
        <v>5</v>
      </c>
      <c r="O215">
        <v>39.698500000000003</v>
      </c>
      <c r="P215">
        <v>22.6142</v>
      </c>
      <c r="Q215">
        <v>8.7817100000000003</v>
      </c>
    </row>
    <row r="216" spans="1:17" x14ac:dyDescent="0.25">
      <c r="A216" t="str">
        <f>IF(C216&amp;G216&amp;D216&lt;&gt;'Funnel setup'!$K$3&amp;'Funnel setup'!$K$4&amp;'Funnel setup'!$K$6,".",IF(A215=".",1,A215+1))</f>
        <v>.</v>
      </c>
      <c r="B216" s="244" t="str">
        <f t="shared" si="3"/>
        <v>Hip Replacement PrimarySub-ICB of GP PracticeNHS BIRMINGHAM AND SOLIHULL ICB - 15E (15E)Oxford Hip Score</v>
      </c>
      <c r="C216" t="s">
        <v>749</v>
      </c>
      <c r="D216" t="s">
        <v>1021</v>
      </c>
      <c r="E216" t="s">
        <v>755</v>
      </c>
      <c r="F216" t="s">
        <v>756</v>
      </c>
      <c r="G216" t="s">
        <v>964</v>
      </c>
      <c r="H216">
        <v>369</v>
      </c>
      <c r="I216">
        <v>17.216799999999999</v>
      </c>
      <c r="J216">
        <v>40.374000000000002</v>
      </c>
      <c r="K216">
        <v>23.1572</v>
      </c>
      <c r="L216">
        <v>365</v>
      </c>
      <c r="M216">
        <v>1</v>
      </c>
      <c r="N216">
        <v>3</v>
      </c>
      <c r="O216">
        <v>40.384799999999998</v>
      </c>
      <c r="P216">
        <v>23.3005</v>
      </c>
      <c r="Q216">
        <v>7.5527300000000004</v>
      </c>
    </row>
    <row r="217" spans="1:17" x14ac:dyDescent="0.25">
      <c r="A217" t="str">
        <f>IF(C217&amp;G217&amp;D217&lt;&gt;'Funnel setup'!$K$3&amp;'Funnel setup'!$K$4&amp;'Funnel setup'!$K$6,".",IF(A216=".",1,A216+1))</f>
        <v>.</v>
      </c>
      <c r="B217" s="244" t="str">
        <f t="shared" si="3"/>
        <v>Hip Replacement PrimarySub-ICB of GP PracticeNHS BLACK COUNTRY ICB - D2P2L (D2P2L)Oxford Hip Score</v>
      </c>
      <c r="C217" t="s">
        <v>749</v>
      </c>
      <c r="D217" t="s">
        <v>1021</v>
      </c>
      <c r="E217" t="s">
        <v>757</v>
      </c>
      <c r="F217" t="s">
        <v>758</v>
      </c>
      <c r="G217" t="s">
        <v>964</v>
      </c>
      <c r="H217">
        <v>269</v>
      </c>
      <c r="I217">
        <v>16.546500000000002</v>
      </c>
      <c r="J217">
        <v>39.063200000000002</v>
      </c>
      <c r="K217">
        <v>22.5167</v>
      </c>
      <c r="L217">
        <v>261</v>
      </c>
      <c r="M217">
        <v>1</v>
      </c>
      <c r="N217">
        <v>7</v>
      </c>
      <c r="O217">
        <v>39.879300000000001</v>
      </c>
      <c r="P217">
        <v>22.795000000000002</v>
      </c>
      <c r="Q217">
        <v>8.5857799999999997</v>
      </c>
    </row>
    <row r="218" spans="1:17" x14ac:dyDescent="0.25">
      <c r="A218" t="str">
        <f>IF(C218&amp;G218&amp;D218&lt;&gt;'Funnel setup'!$K$3&amp;'Funnel setup'!$K$4&amp;'Funnel setup'!$K$6,".",IF(A217=".",1,A217+1))</f>
        <v>.</v>
      </c>
      <c r="B218" s="244" t="str">
        <f t="shared" si="3"/>
        <v>Hip Replacement PrimarySub-ICB of GP PracticeNHS BRISTOL, NORTH SOMERSET AND SOUTH GLOUCESTERSHIRE ICB - 15C (15C)Oxford Hip Score</v>
      </c>
      <c r="C218" t="s">
        <v>749</v>
      </c>
      <c r="D218" t="s">
        <v>1021</v>
      </c>
      <c r="E218" t="s">
        <v>759</v>
      </c>
      <c r="F218" t="s">
        <v>760</v>
      </c>
      <c r="G218" t="s">
        <v>964</v>
      </c>
      <c r="H218">
        <v>230</v>
      </c>
      <c r="I218">
        <v>16.934799999999999</v>
      </c>
      <c r="J218">
        <v>42.5261</v>
      </c>
      <c r="K218">
        <v>25.5913</v>
      </c>
      <c r="L218">
        <v>228</v>
      </c>
      <c r="M218">
        <v>1</v>
      </c>
      <c r="N218">
        <v>1</v>
      </c>
      <c r="O218">
        <v>41.987900000000003</v>
      </c>
      <c r="P218">
        <v>24.903600000000001</v>
      </c>
      <c r="Q218">
        <v>6.8538899999999998</v>
      </c>
    </row>
    <row r="219" spans="1:17" x14ac:dyDescent="0.25">
      <c r="A219" t="str">
        <f>IF(C219&amp;G219&amp;D219&lt;&gt;'Funnel setup'!$K$3&amp;'Funnel setup'!$K$4&amp;'Funnel setup'!$K$6,".",IF(A218=".",1,A218+1))</f>
        <v>.</v>
      </c>
      <c r="B219" s="244" t="str">
        <f t="shared" si="3"/>
        <v>Hip Replacement PrimarySub-ICB of GP PracticeNHS BUCKINGHAMSHIRE, OXFORDSHIRE AND BERKSHIRE WEST ICB - 10Q (10Q)Oxford Hip Score</v>
      </c>
      <c r="C219" t="s">
        <v>749</v>
      </c>
      <c r="D219" t="s">
        <v>1021</v>
      </c>
      <c r="E219" t="s">
        <v>761</v>
      </c>
      <c r="F219" t="s">
        <v>762</v>
      </c>
      <c r="G219" t="s">
        <v>964</v>
      </c>
      <c r="H219">
        <v>362</v>
      </c>
      <c r="I219">
        <v>18.384</v>
      </c>
      <c r="J219">
        <v>41.190600000000003</v>
      </c>
      <c r="K219">
        <v>22.8066</v>
      </c>
      <c r="L219">
        <v>352</v>
      </c>
      <c r="M219">
        <v>1</v>
      </c>
      <c r="N219">
        <v>9</v>
      </c>
      <c r="O219">
        <v>40.186300000000003</v>
      </c>
      <c r="P219">
        <v>23.1021</v>
      </c>
      <c r="Q219">
        <v>7.7755099999999997</v>
      </c>
    </row>
    <row r="220" spans="1:17" x14ac:dyDescent="0.25">
      <c r="A220" t="str">
        <f>IF(C220&amp;G220&amp;D220&lt;&gt;'Funnel setup'!$K$3&amp;'Funnel setup'!$K$4&amp;'Funnel setup'!$K$6,".",IF(A219=".",1,A219+1))</f>
        <v>.</v>
      </c>
      <c r="B220" s="244" t="str">
        <f t="shared" si="3"/>
        <v>Hip Replacement PrimarySub-ICB of GP PracticeNHS BUCKINGHAMSHIRE, OXFORDSHIRE AND BERKSHIRE WEST ICB - 14Y (14Y)Oxford Hip Score</v>
      </c>
      <c r="C220" t="s">
        <v>749</v>
      </c>
      <c r="D220" t="s">
        <v>1021</v>
      </c>
      <c r="E220" t="s">
        <v>763</v>
      </c>
      <c r="F220" t="s">
        <v>764</v>
      </c>
      <c r="G220" t="s">
        <v>964</v>
      </c>
      <c r="H220">
        <v>227</v>
      </c>
      <c r="I220">
        <v>18.008800000000001</v>
      </c>
      <c r="J220">
        <v>40.088099999999997</v>
      </c>
      <c r="K220">
        <v>22.0793</v>
      </c>
      <c r="L220">
        <v>219</v>
      </c>
      <c r="M220">
        <v>1</v>
      </c>
      <c r="N220">
        <v>7</v>
      </c>
      <c r="O220">
        <v>39.204000000000001</v>
      </c>
      <c r="P220">
        <v>22.119700000000002</v>
      </c>
      <c r="Q220">
        <v>8.3191299999999995</v>
      </c>
    </row>
    <row r="221" spans="1:17" x14ac:dyDescent="0.25">
      <c r="A221" t="str">
        <f>IF(C221&amp;G221&amp;D221&lt;&gt;'Funnel setup'!$K$3&amp;'Funnel setup'!$K$4&amp;'Funnel setup'!$K$6,".",IF(A220=".",1,A220+1))</f>
        <v>.</v>
      </c>
      <c r="B221" s="244" t="str">
        <f t="shared" si="3"/>
        <v>Hip Replacement PrimarySub-ICB of GP PracticeNHS BUCKINGHAMSHIRE, OXFORDSHIRE AND BERKSHIRE WEST ICB - 15A (15A)Oxford Hip Score</v>
      </c>
      <c r="C221" t="s">
        <v>749</v>
      </c>
      <c r="D221" t="s">
        <v>1021</v>
      </c>
      <c r="E221" t="s">
        <v>765</v>
      </c>
      <c r="F221" t="s">
        <v>766</v>
      </c>
      <c r="G221" t="s">
        <v>964</v>
      </c>
      <c r="H221">
        <v>71</v>
      </c>
      <c r="I221">
        <v>20.9437</v>
      </c>
      <c r="J221">
        <v>41.563400000000001</v>
      </c>
      <c r="K221">
        <v>20.619700000000002</v>
      </c>
      <c r="L221">
        <v>68</v>
      </c>
      <c r="M221">
        <v>0</v>
      </c>
      <c r="N221">
        <v>3</v>
      </c>
      <c r="O221">
        <v>39.287999999999997</v>
      </c>
      <c r="P221">
        <v>22.203700000000001</v>
      </c>
      <c r="Q221">
        <v>8.6591500000000003</v>
      </c>
    </row>
    <row r="222" spans="1:17" x14ac:dyDescent="0.25">
      <c r="A222" t="str">
        <f>IF(C222&amp;G222&amp;D222&lt;&gt;'Funnel setup'!$K$3&amp;'Funnel setup'!$K$4&amp;'Funnel setup'!$K$6,".",IF(A221=".",1,A221+1))</f>
        <v>.</v>
      </c>
      <c r="B222" s="244" t="str">
        <f t="shared" si="3"/>
        <v>Hip Replacement PrimarySub-ICB of GP PracticeNHS CAMBRIDGESHIRE AND PETERBOROUGH ICB - 06H (06H)Oxford Hip Score</v>
      </c>
      <c r="C222" t="s">
        <v>749</v>
      </c>
      <c r="D222" t="s">
        <v>1021</v>
      </c>
      <c r="E222" t="s">
        <v>767</v>
      </c>
      <c r="F222" t="s">
        <v>768</v>
      </c>
      <c r="G222" t="s">
        <v>964</v>
      </c>
      <c r="H222">
        <v>229</v>
      </c>
      <c r="I222">
        <v>14.69</v>
      </c>
      <c r="J222">
        <v>38.869</v>
      </c>
      <c r="K222">
        <v>24.178999999999998</v>
      </c>
      <c r="L222">
        <v>224</v>
      </c>
      <c r="M222">
        <v>2</v>
      </c>
      <c r="N222">
        <v>3</v>
      </c>
      <c r="O222">
        <v>39.953600000000002</v>
      </c>
      <c r="P222">
        <v>22.869299999999999</v>
      </c>
      <c r="Q222">
        <v>8.3904899999999998</v>
      </c>
    </row>
    <row r="223" spans="1:17" x14ac:dyDescent="0.25">
      <c r="A223" t="str">
        <f>IF(C223&amp;G223&amp;D223&lt;&gt;'Funnel setup'!$K$3&amp;'Funnel setup'!$K$4&amp;'Funnel setup'!$K$6,".",IF(A222=".",1,A222+1))</f>
        <v>.</v>
      </c>
      <c r="B223" s="244" t="str">
        <f t="shared" si="3"/>
        <v>Hip Replacement PrimarySub-ICB of GP PracticeNHS CHESHIRE AND MERSEYSIDE ICB - 01F (01F)Oxford Hip Score</v>
      </c>
      <c r="C223" t="s">
        <v>749</v>
      </c>
      <c r="D223" t="s">
        <v>1021</v>
      </c>
      <c r="E223" t="s">
        <v>769</v>
      </c>
      <c r="F223" t="s">
        <v>770</v>
      </c>
      <c r="G223" t="s">
        <v>964</v>
      </c>
      <c r="H223">
        <v>31</v>
      </c>
      <c r="I223">
        <v>17.483899999999998</v>
      </c>
      <c r="J223">
        <v>38.483899999999998</v>
      </c>
      <c r="K223">
        <v>21</v>
      </c>
      <c r="L223">
        <v>31</v>
      </c>
      <c r="M223">
        <v>0</v>
      </c>
      <c r="N223">
        <v>0</v>
      </c>
      <c r="O223">
        <v>39.564900000000002</v>
      </c>
      <c r="P223">
        <v>22.480599999999999</v>
      </c>
      <c r="Q223">
        <v>6.65754</v>
      </c>
    </row>
    <row r="224" spans="1:17" x14ac:dyDescent="0.25">
      <c r="A224" t="str">
        <f>IF(C224&amp;G224&amp;D224&lt;&gt;'Funnel setup'!$K$3&amp;'Funnel setup'!$K$4&amp;'Funnel setup'!$K$6,".",IF(A223=".",1,A223+1))</f>
        <v>.</v>
      </c>
      <c r="B224" s="244" t="str">
        <f t="shared" si="3"/>
        <v>Hip Replacement PrimarySub-ICB of GP PracticeNHS CHESHIRE AND MERSEYSIDE ICB - 01J (01J)Oxford Hip Score</v>
      </c>
      <c r="C224" t="s">
        <v>749</v>
      </c>
      <c r="D224" t="s">
        <v>1021</v>
      </c>
      <c r="E224" t="s">
        <v>771</v>
      </c>
      <c r="F224" t="s">
        <v>772</v>
      </c>
      <c r="G224" t="s">
        <v>964</v>
      </c>
      <c r="H224">
        <v>38</v>
      </c>
      <c r="I224">
        <v>13.736800000000001</v>
      </c>
      <c r="J224">
        <v>38.289499999999997</v>
      </c>
      <c r="K224">
        <v>24.552600000000002</v>
      </c>
      <c r="L224">
        <v>37</v>
      </c>
      <c r="M224">
        <v>0</v>
      </c>
      <c r="N224">
        <v>1</v>
      </c>
      <c r="O224">
        <v>40.484200000000001</v>
      </c>
      <c r="P224">
        <v>23.399899999999999</v>
      </c>
      <c r="Q224">
        <v>9.7844800000000003</v>
      </c>
    </row>
    <row r="225" spans="1:17" x14ac:dyDescent="0.25">
      <c r="A225" t="str">
        <f>IF(C225&amp;G225&amp;D225&lt;&gt;'Funnel setup'!$K$3&amp;'Funnel setup'!$K$4&amp;'Funnel setup'!$K$6,".",IF(A224=".",1,A224+1))</f>
        <v>.</v>
      </c>
      <c r="B225" s="244" t="str">
        <f t="shared" si="3"/>
        <v>Hip Replacement PrimarySub-ICB of GP PracticeNHS CHESHIRE AND MERSEYSIDE ICB - 01T (01T)Oxford Hip Score</v>
      </c>
      <c r="C225" t="s">
        <v>749</v>
      </c>
      <c r="D225" t="s">
        <v>1021</v>
      </c>
      <c r="E225" t="s">
        <v>773</v>
      </c>
      <c r="F225" t="s">
        <v>774</v>
      </c>
      <c r="G225" t="s">
        <v>964</v>
      </c>
      <c r="H225">
        <v>45</v>
      </c>
      <c r="I225">
        <v>17.088899999999999</v>
      </c>
      <c r="J225">
        <v>38.7333</v>
      </c>
      <c r="K225">
        <v>21.644400000000001</v>
      </c>
      <c r="L225">
        <v>44</v>
      </c>
      <c r="M225">
        <v>0</v>
      </c>
      <c r="N225">
        <v>1</v>
      </c>
      <c r="O225">
        <v>38.8108</v>
      </c>
      <c r="P225">
        <v>21.726500000000001</v>
      </c>
      <c r="Q225">
        <v>9.7836400000000001</v>
      </c>
    </row>
    <row r="226" spans="1:17" x14ac:dyDescent="0.25">
      <c r="A226" t="str">
        <f>IF(C226&amp;G226&amp;D226&lt;&gt;'Funnel setup'!$K$3&amp;'Funnel setup'!$K$4&amp;'Funnel setup'!$K$6,".",IF(A225=".",1,A225+1))</f>
        <v>.</v>
      </c>
      <c r="B226" s="244" t="str">
        <f t="shared" si="3"/>
        <v>Hip Replacement PrimarySub-ICB of GP PracticeNHS CHESHIRE AND MERSEYSIDE ICB - 01V (01V)Oxford Hip Score</v>
      </c>
      <c r="C226" t="s">
        <v>749</v>
      </c>
      <c r="D226" t="s">
        <v>1021</v>
      </c>
      <c r="E226" t="s">
        <v>775</v>
      </c>
      <c r="F226" t="s">
        <v>776</v>
      </c>
      <c r="G226" t="s">
        <v>964</v>
      </c>
      <c r="H226">
        <v>24</v>
      </c>
      <c r="I226">
        <v>16.375</v>
      </c>
      <c r="J226">
        <v>38.666699999999999</v>
      </c>
      <c r="K226">
        <v>22.291699999999999</v>
      </c>
      <c r="L226">
        <v>24</v>
      </c>
      <c r="M226">
        <v>0</v>
      </c>
      <c r="N226">
        <v>0</v>
      </c>
      <c r="O226" t="s">
        <v>127</v>
      </c>
      <c r="P226" t="s">
        <v>127</v>
      </c>
      <c r="Q226" t="s">
        <v>127</v>
      </c>
    </row>
    <row r="227" spans="1:17" x14ac:dyDescent="0.25">
      <c r="A227" t="str">
        <f>IF(C227&amp;G227&amp;D227&lt;&gt;'Funnel setup'!$K$3&amp;'Funnel setup'!$K$4&amp;'Funnel setup'!$K$6,".",IF(A226=".",1,A226+1))</f>
        <v>.</v>
      </c>
      <c r="B227" s="244" t="str">
        <f t="shared" si="3"/>
        <v>Hip Replacement PrimarySub-ICB of GP PracticeNHS CHESHIRE AND MERSEYSIDE ICB - 01X (01X)Oxford Hip Score</v>
      </c>
      <c r="C227" t="s">
        <v>749</v>
      </c>
      <c r="D227" t="s">
        <v>1021</v>
      </c>
      <c r="E227" t="s">
        <v>777</v>
      </c>
      <c r="F227" t="s">
        <v>778</v>
      </c>
      <c r="G227" t="s">
        <v>964</v>
      </c>
      <c r="H227">
        <v>63</v>
      </c>
      <c r="I227">
        <v>15.301600000000001</v>
      </c>
      <c r="J227">
        <v>36.238100000000003</v>
      </c>
      <c r="K227">
        <v>20.936499999999999</v>
      </c>
      <c r="L227">
        <v>60</v>
      </c>
      <c r="M227">
        <v>1</v>
      </c>
      <c r="N227">
        <v>2</v>
      </c>
      <c r="O227">
        <v>37.533099999999997</v>
      </c>
      <c r="P227">
        <v>20.448799999999999</v>
      </c>
      <c r="Q227">
        <v>9.5393600000000003</v>
      </c>
    </row>
    <row r="228" spans="1:17" x14ac:dyDescent="0.25">
      <c r="A228" t="str">
        <f>IF(C228&amp;G228&amp;D228&lt;&gt;'Funnel setup'!$K$3&amp;'Funnel setup'!$K$4&amp;'Funnel setup'!$K$6,".",IF(A227=".",1,A227+1))</f>
        <v>.</v>
      </c>
      <c r="B228" s="244" t="str">
        <f t="shared" si="3"/>
        <v>Hip Replacement PrimarySub-ICB of GP PracticeNHS CHESHIRE AND MERSEYSIDE ICB - 02E (02E)Oxford Hip Score</v>
      </c>
      <c r="C228" t="s">
        <v>749</v>
      </c>
      <c r="D228" t="s">
        <v>1021</v>
      </c>
      <c r="E228" t="s">
        <v>779</v>
      </c>
      <c r="F228" t="s">
        <v>780</v>
      </c>
      <c r="G228" t="s">
        <v>964</v>
      </c>
      <c r="H228">
        <v>34</v>
      </c>
      <c r="I228">
        <v>16.5</v>
      </c>
      <c r="J228">
        <v>37.058799999999998</v>
      </c>
      <c r="K228">
        <v>20.558800000000002</v>
      </c>
      <c r="L228">
        <v>32</v>
      </c>
      <c r="M228">
        <v>0</v>
      </c>
      <c r="N228">
        <v>2</v>
      </c>
      <c r="O228">
        <v>37.222799999999999</v>
      </c>
      <c r="P228">
        <v>20.138500000000001</v>
      </c>
      <c r="Q228">
        <v>8.9335500000000003</v>
      </c>
    </row>
    <row r="229" spans="1:17" x14ac:dyDescent="0.25">
      <c r="A229" t="str">
        <f>IF(C229&amp;G229&amp;D229&lt;&gt;'Funnel setup'!$K$3&amp;'Funnel setup'!$K$4&amp;'Funnel setup'!$K$6,".",IF(A228=".",1,A228+1))</f>
        <v>.</v>
      </c>
      <c r="B229" s="244" t="str">
        <f t="shared" si="3"/>
        <v>Hip Replacement PrimarySub-ICB of GP PracticeNHS CHESHIRE AND MERSEYSIDE ICB - 12F (12F)Oxford Hip Score</v>
      </c>
      <c r="C229" t="s">
        <v>749</v>
      </c>
      <c r="D229" t="s">
        <v>1021</v>
      </c>
      <c r="E229" t="s">
        <v>781</v>
      </c>
      <c r="F229" t="s">
        <v>782</v>
      </c>
      <c r="G229" t="s">
        <v>964</v>
      </c>
      <c r="H229">
        <v>102</v>
      </c>
      <c r="I229">
        <v>15.6275</v>
      </c>
      <c r="J229">
        <v>37.196100000000001</v>
      </c>
      <c r="K229">
        <v>21.5686</v>
      </c>
      <c r="L229">
        <v>100</v>
      </c>
      <c r="M229">
        <v>0</v>
      </c>
      <c r="N229">
        <v>2</v>
      </c>
      <c r="O229">
        <v>37.918399999999998</v>
      </c>
      <c r="P229">
        <v>20.834099999999999</v>
      </c>
      <c r="Q229">
        <v>8.35398</v>
      </c>
    </row>
    <row r="230" spans="1:17" x14ac:dyDescent="0.25">
      <c r="A230" t="str">
        <f>IF(C230&amp;G230&amp;D230&lt;&gt;'Funnel setup'!$K$3&amp;'Funnel setup'!$K$4&amp;'Funnel setup'!$K$6,".",IF(A229=".",1,A229+1))</f>
        <v>.</v>
      </c>
      <c r="B230" s="244" t="str">
        <f t="shared" si="3"/>
        <v>Hip Replacement PrimarySub-ICB of GP PracticeNHS CHESHIRE AND MERSEYSIDE ICB - 27D (27D)Oxford Hip Score</v>
      </c>
      <c r="C230" t="s">
        <v>749</v>
      </c>
      <c r="D230" t="s">
        <v>1021</v>
      </c>
      <c r="E230" t="s">
        <v>783</v>
      </c>
      <c r="F230" t="s">
        <v>784</v>
      </c>
      <c r="G230" t="s">
        <v>964</v>
      </c>
      <c r="H230">
        <v>277</v>
      </c>
      <c r="I230">
        <v>16.454899999999999</v>
      </c>
      <c r="J230">
        <v>41.299599999999998</v>
      </c>
      <c r="K230">
        <v>24.844799999999999</v>
      </c>
      <c r="L230">
        <v>276</v>
      </c>
      <c r="M230">
        <v>1</v>
      </c>
      <c r="N230">
        <v>0</v>
      </c>
      <c r="O230">
        <v>41.233899999999998</v>
      </c>
      <c r="P230">
        <v>24.1496</v>
      </c>
      <c r="Q230">
        <v>6.7345499999999996</v>
      </c>
    </row>
    <row r="231" spans="1:17" x14ac:dyDescent="0.25">
      <c r="A231" t="str">
        <f>IF(C231&amp;G231&amp;D231&lt;&gt;'Funnel setup'!$K$3&amp;'Funnel setup'!$K$4&amp;'Funnel setup'!$K$6,".",IF(A230=".",1,A230+1))</f>
        <v>.</v>
      </c>
      <c r="B231" s="244" t="str">
        <f t="shared" si="3"/>
        <v>Hip Replacement PrimarySub-ICB of GP PracticeNHS CHESHIRE AND MERSEYSIDE ICB - 99A (99A)Oxford Hip Score</v>
      </c>
      <c r="C231" t="s">
        <v>749</v>
      </c>
      <c r="D231" t="s">
        <v>1021</v>
      </c>
      <c r="E231" t="s">
        <v>785</v>
      </c>
      <c r="F231" t="s">
        <v>786</v>
      </c>
      <c r="G231" t="s">
        <v>964</v>
      </c>
      <c r="H231">
        <v>83</v>
      </c>
      <c r="I231">
        <v>13.903600000000001</v>
      </c>
      <c r="J231">
        <v>36.722900000000003</v>
      </c>
      <c r="K231">
        <v>22.819299999999998</v>
      </c>
      <c r="L231">
        <v>80</v>
      </c>
      <c r="M231">
        <v>0</v>
      </c>
      <c r="N231">
        <v>3</v>
      </c>
      <c r="O231">
        <v>39.9726</v>
      </c>
      <c r="P231">
        <v>22.888300000000001</v>
      </c>
      <c r="Q231">
        <v>8.6572700000000005</v>
      </c>
    </row>
    <row r="232" spans="1:17" x14ac:dyDescent="0.25">
      <c r="A232" t="str">
        <f>IF(C232&amp;G232&amp;D232&lt;&gt;'Funnel setup'!$K$3&amp;'Funnel setup'!$K$4&amp;'Funnel setup'!$K$6,".",IF(A231=".",1,A231+1))</f>
        <v>.</v>
      </c>
      <c r="B232" s="244" t="str">
        <f t="shared" si="3"/>
        <v>Hip Replacement PrimarySub-ICB of GP PracticeNHS CORNWALL AND THE ISLES OF SCILLY ICB - 11N (11N)Oxford Hip Score</v>
      </c>
      <c r="C232" t="s">
        <v>749</v>
      </c>
      <c r="D232" t="s">
        <v>1021</v>
      </c>
      <c r="E232" t="s">
        <v>787</v>
      </c>
      <c r="F232" t="s">
        <v>788</v>
      </c>
      <c r="G232" t="s">
        <v>964</v>
      </c>
      <c r="H232">
        <v>160</v>
      </c>
      <c r="I232">
        <v>20.6812</v>
      </c>
      <c r="J232">
        <v>40.056199999999997</v>
      </c>
      <c r="K232">
        <v>19.375</v>
      </c>
      <c r="L232">
        <v>148</v>
      </c>
      <c r="M232">
        <v>1</v>
      </c>
      <c r="N232">
        <v>11</v>
      </c>
      <c r="O232">
        <v>39.003500000000003</v>
      </c>
      <c r="P232">
        <v>21.9192</v>
      </c>
      <c r="Q232">
        <v>8.6832100000000008</v>
      </c>
    </row>
    <row r="233" spans="1:17" x14ac:dyDescent="0.25">
      <c r="A233" t="str">
        <f>IF(C233&amp;G233&amp;D233&lt;&gt;'Funnel setup'!$K$3&amp;'Funnel setup'!$K$4&amp;'Funnel setup'!$K$6,".",IF(A232=".",1,A232+1))</f>
        <v>.</v>
      </c>
      <c r="B233" s="244" t="str">
        <f t="shared" si="3"/>
        <v>Hip Replacement PrimarySub-ICB of GP PracticeNHS COVENTRY AND WARWICKSHIRE ICB - B2M3M (B2M3M)Oxford Hip Score</v>
      </c>
      <c r="C233" t="s">
        <v>749</v>
      </c>
      <c r="D233" t="s">
        <v>1021</v>
      </c>
      <c r="E233" t="s">
        <v>789</v>
      </c>
      <c r="F233" t="s">
        <v>790</v>
      </c>
      <c r="G233" t="s">
        <v>964</v>
      </c>
      <c r="H233">
        <v>282</v>
      </c>
      <c r="I233">
        <v>20.758900000000001</v>
      </c>
      <c r="J233">
        <v>41.5426</v>
      </c>
      <c r="K233">
        <v>20.7837</v>
      </c>
      <c r="L233">
        <v>274</v>
      </c>
      <c r="M233">
        <v>1</v>
      </c>
      <c r="N233">
        <v>7</v>
      </c>
      <c r="O233">
        <v>39.874200000000002</v>
      </c>
      <c r="P233">
        <v>22.789899999999999</v>
      </c>
      <c r="Q233">
        <v>7.0937599999999996</v>
      </c>
    </row>
    <row r="234" spans="1:17" x14ac:dyDescent="0.25">
      <c r="A234" t="str">
        <f>IF(C234&amp;G234&amp;D234&lt;&gt;'Funnel setup'!$K$3&amp;'Funnel setup'!$K$4&amp;'Funnel setup'!$K$6,".",IF(A233=".",1,A233+1))</f>
        <v>.</v>
      </c>
      <c r="B234" s="244" t="str">
        <f t="shared" si="3"/>
        <v>Hip Replacement PrimarySub-ICB of GP PracticeNHS DERBY AND DERBYSHIRE ICB - 15M (15M)Oxford Hip Score</v>
      </c>
      <c r="C234" t="s">
        <v>749</v>
      </c>
      <c r="D234" t="s">
        <v>1021</v>
      </c>
      <c r="E234" t="s">
        <v>791</v>
      </c>
      <c r="F234" t="s">
        <v>792</v>
      </c>
      <c r="G234" t="s">
        <v>964</v>
      </c>
      <c r="H234">
        <v>463</v>
      </c>
      <c r="I234">
        <v>15.879</v>
      </c>
      <c r="J234">
        <v>38.900599999999997</v>
      </c>
      <c r="K234">
        <v>23.021599999999999</v>
      </c>
      <c r="L234">
        <v>451</v>
      </c>
      <c r="M234">
        <v>2</v>
      </c>
      <c r="N234">
        <v>10</v>
      </c>
      <c r="O234">
        <v>39.3264</v>
      </c>
      <c r="P234">
        <v>22.242100000000001</v>
      </c>
      <c r="Q234">
        <v>8.5102100000000007</v>
      </c>
    </row>
    <row r="235" spans="1:17" x14ac:dyDescent="0.25">
      <c r="A235" t="str">
        <f>IF(C235&amp;G235&amp;D235&lt;&gt;'Funnel setup'!$K$3&amp;'Funnel setup'!$K$4&amp;'Funnel setup'!$K$6,".",IF(A234=".",1,A234+1))</f>
        <v>.</v>
      </c>
      <c r="B235" s="244" t="str">
        <f t="shared" si="3"/>
        <v>Hip Replacement PrimarySub-ICB of GP PracticeNHS DEVON ICB - 15N (15N)Oxford Hip Score</v>
      </c>
      <c r="C235" t="s">
        <v>749</v>
      </c>
      <c r="D235" t="s">
        <v>1021</v>
      </c>
      <c r="E235" t="s">
        <v>793</v>
      </c>
      <c r="F235" t="s">
        <v>794</v>
      </c>
      <c r="G235" t="s">
        <v>964</v>
      </c>
      <c r="H235">
        <v>378</v>
      </c>
      <c r="I235">
        <v>16.134899999999998</v>
      </c>
      <c r="J235">
        <v>41.275100000000002</v>
      </c>
      <c r="K235">
        <v>25.1402</v>
      </c>
      <c r="L235">
        <v>370</v>
      </c>
      <c r="M235">
        <v>1</v>
      </c>
      <c r="N235">
        <v>7</v>
      </c>
      <c r="O235">
        <v>41.394599999999997</v>
      </c>
      <c r="P235">
        <v>24.310300000000002</v>
      </c>
      <c r="Q235">
        <v>7.41892</v>
      </c>
    </row>
    <row r="236" spans="1:17" x14ac:dyDescent="0.25">
      <c r="A236" t="str">
        <f>IF(C236&amp;G236&amp;D236&lt;&gt;'Funnel setup'!$K$3&amp;'Funnel setup'!$K$4&amp;'Funnel setup'!$K$6,".",IF(A235=".",1,A235+1))</f>
        <v>.</v>
      </c>
      <c r="B236" s="244" t="str">
        <f t="shared" si="3"/>
        <v>Hip Replacement PrimarySub-ICB of GP PracticeNHS DORSET ICB - 11J (11J)Oxford Hip Score</v>
      </c>
      <c r="C236" t="s">
        <v>749</v>
      </c>
      <c r="D236" t="s">
        <v>1021</v>
      </c>
      <c r="E236" t="s">
        <v>795</v>
      </c>
      <c r="F236" t="s">
        <v>796</v>
      </c>
      <c r="G236" t="s">
        <v>964</v>
      </c>
      <c r="H236">
        <v>300</v>
      </c>
      <c r="I236">
        <v>17.756699999999999</v>
      </c>
      <c r="J236">
        <v>40.706699999999998</v>
      </c>
      <c r="K236">
        <v>22.95</v>
      </c>
      <c r="L236">
        <v>296</v>
      </c>
      <c r="M236">
        <v>0</v>
      </c>
      <c r="N236">
        <v>4</v>
      </c>
      <c r="O236">
        <v>40.234900000000003</v>
      </c>
      <c r="P236">
        <v>23.150600000000001</v>
      </c>
      <c r="Q236">
        <v>7.8002700000000003</v>
      </c>
    </row>
    <row r="237" spans="1:17" x14ac:dyDescent="0.25">
      <c r="A237" t="str">
        <f>IF(C237&amp;G237&amp;D237&lt;&gt;'Funnel setup'!$K$3&amp;'Funnel setup'!$K$4&amp;'Funnel setup'!$K$6,".",IF(A236=".",1,A236+1))</f>
        <v>.</v>
      </c>
      <c r="B237" s="244" t="str">
        <f t="shared" si="3"/>
        <v>Hip Replacement PrimarySub-ICB of GP PracticeNHS FRIMLEY ICB - D4U1Y (D4U1Y)Oxford Hip Score</v>
      </c>
      <c r="C237" t="s">
        <v>749</v>
      </c>
      <c r="D237" t="s">
        <v>1021</v>
      </c>
      <c r="E237" t="s">
        <v>797</v>
      </c>
      <c r="F237" t="s">
        <v>798</v>
      </c>
      <c r="G237" t="s">
        <v>964</v>
      </c>
      <c r="H237">
        <v>172</v>
      </c>
      <c r="I237">
        <v>17.686</v>
      </c>
      <c r="J237">
        <v>40.755800000000001</v>
      </c>
      <c r="K237">
        <v>23.069800000000001</v>
      </c>
      <c r="L237">
        <v>167</v>
      </c>
      <c r="M237">
        <v>2</v>
      </c>
      <c r="N237">
        <v>3</v>
      </c>
      <c r="O237">
        <v>40.280200000000001</v>
      </c>
      <c r="P237">
        <v>23.195900000000002</v>
      </c>
      <c r="Q237">
        <v>7.8948799999999997</v>
      </c>
    </row>
    <row r="238" spans="1:17" x14ac:dyDescent="0.25">
      <c r="A238" t="str">
        <f>IF(C238&amp;G238&amp;D238&lt;&gt;'Funnel setup'!$K$3&amp;'Funnel setup'!$K$4&amp;'Funnel setup'!$K$6,".",IF(A237=".",1,A237+1))</f>
        <v>.</v>
      </c>
      <c r="B238" s="244" t="str">
        <f t="shared" si="3"/>
        <v>Hip Replacement PrimarySub-ICB of GP PracticeNHS GLOUCESTERSHIRE ICB - 11M (11M)Oxford Hip Score</v>
      </c>
      <c r="C238" t="s">
        <v>749</v>
      </c>
      <c r="D238" t="s">
        <v>1021</v>
      </c>
      <c r="E238" t="s">
        <v>799</v>
      </c>
      <c r="F238" t="s">
        <v>800</v>
      </c>
      <c r="G238" t="s">
        <v>964</v>
      </c>
      <c r="H238">
        <v>172</v>
      </c>
      <c r="I238">
        <v>16.907</v>
      </c>
      <c r="J238">
        <v>40.825600000000001</v>
      </c>
      <c r="K238">
        <v>23.918600000000001</v>
      </c>
      <c r="L238">
        <v>171</v>
      </c>
      <c r="M238">
        <v>1</v>
      </c>
      <c r="N238">
        <v>0</v>
      </c>
      <c r="O238">
        <v>40.413400000000003</v>
      </c>
      <c r="P238">
        <v>23.3291</v>
      </c>
      <c r="Q238">
        <v>7.3752700000000004</v>
      </c>
    </row>
    <row r="239" spans="1:17" x14ac:dyDescent="0.25">
      <c r="A239" t="str">
        <f>IF(C239&amp;G239&amp;D239&lt;&gt;'Funnel setup'!$K$3&amp;'Funnel setup'!$K$4&amp;'Funnel setup'!$K$6,".",IF(A238=".",1,A238+1))</f>
        <v>.</v>
      </c>
      <c r="B239" s="244" t="str">
        <f t="shared" si="3"/>
        <v>Hip Replacement PrimarySub-ICB of GP PracticeNHS GREATER MANCHESTER ICB - 00T (00T)Oxford Hip Score</v>
      </c>
      <c r="C239" t="s">
        <v>749</v>
      </c>
      <c r="D239" t="s">
        <v>1021</v>
      </c>
      <c r="E239" t="s">
        <v>801</v>
      </c>
      <c r="F239" t="s">
        <v>802</v>
      </c>
      <c r="G239" t="s">
        <v>964</v>
      </c>
      <c r="H239">
        <v>55</v>
      </c>
      <c r="I239">
        <v>16.163599999999999</v>
      </c>
      <c r="J239">
        <v>38.927300000000002</v>
      </c>
      <c r="K239">
        <v>22.7636</v>
      </c>
      <c r="L239">
        <v>55</v>
      </c>
      <c r="M239">
        <v>0</v>
      </c>
      <c r="N239">
        <v>0</v>
      </c>
      <c r="O239">
        <v>40.409500000000001</v>
      </c>
      <c r="P239">
        <v>23.325199999999999</v>
      </c>
      <c r="Q239">
        <v>7.7539699999999998</v>
      </c>
    </row>
    <row r="240" spans="1:17" x14ac:dyDescent="0.25">
      <c r="A240" t="str">
        <f>IF(C240&amp;G240&amp;D240&lt;&gt;'Funnel setup'!$K$3&amp;'Funnel setup'!$K$4&amp;'Funnel setup'!$K$6,".",IF(A239=".",1,A239+1))</f>
        <v>.</v>
      </c>
      <c r="B240" s="244" t="str">
        <f t="shared" si="3"/>
        <v>Hip Replacement PrimarySub-ICB of GP PracticeNHS GREATER MANCHESTER ICB - 00V (00V)Oxford Hip Score</v>
      </c>
      <c r="C240" t="s">
        <v>749</v>
      </c>
      <c r="D240" t="s">
        <v>1021</v>
      </c>
      <c r="E240" t="s">
        <v>803</v>
      </c>
      <c r="F240" t="s">
        <v>804</v>
      </c>
      <c r="G240" t="s">
        <v>964</v>
      </c>
      <c r="H240">
        <v>18</v>
      </c>
      <c r="I240">
        <v>16.444400000000002</v>
      </c>
      <c r="J240">
        <v>40.6111</v>
      </c>
      <c r="K240">
        <v>24.166699999999999</v>
      </c>
      <c r="L240">
        <v>18</v>
      </c>
      <c r="M240">
        <v>0</v>
      </c>
      <c r="N240">
        <v>0</v>
      </c>
      <c r="O240" t="s">
        <v>127</v>
      </c>
      <c r="P240" t="s">
        <v>127</v>
      </c>
      <c r="Q240" t="s">
        <v>127</v>
      </c>
    </row>
    <row r="241" spans="1:17" x14ac:dyDescent="0.25">
      <c r="A241" t="str">
        <f>IF(C241&amp;G241&amp;D241&lt;&gt;'Funnel setup'!$K$3&amp;'Funnel setup'!$K$4&amp;'Funnel setup'!$K$6,".",IF(A240=".",1,A240+1))</f>
        <v>.</v>
      </c>
      <c r="B241" s="244" t="str">
        <f t="shared" si="3"/>
        <v>Hip Replacement PrimarySub-ICB of GP PracticeNHS GREATER MANCHESTER ICB - 00Y (00Y)Oxford Hip Score</v>
      </c>
      <c r="C241" t="s">
        <v>749</v>
      </c>
      <c r="D241" t="s">
        <v>1021</v>
      </c>
      <c r="E241" t="s">
        <v>805</v>
      </c>
      <c r="F241" t="s">
        <v>806</v>
      </c>
      <c r="G241" t="s">
        <v>964</v>
      </c>
      <c r="H241">
        <v>69</v>
      </c>
      <c r="I241">
        <v>19.724599999999999</v>
      </c>
      <c r="J241">
        <v>42.159399999999998</v>
      </c>
      <c r="K241">
        <v>22.434799999999999</v>
      </c>
      <c r="L241">
        <v>66</v>
      </c>
      <c r="M241">
        <v>1</v>
      </c>
      <c r="N241">
        <v>2</v>
      </c>
      <c r="O241">
        <v>41.232500000000002</v>
      </c>
      <c r="P241">
        <v>24.148199999999999</v>
      </c>
      <c r="Q241">
        <v>6.7367100000000004</v>
      </c>
    </row>
    <row r="242" spans="1:17" x14ac:dyDescent="0.25">
      <c r="A242" t="str">
        <f>IF(C242&amp;G242&amp;D242&lt;&gt;'Funnel setup'!$K$3&amp;'Funnel setup'!$K$4&amp;'Funnel setup'!$K$6,".",IF(A241=".",1,A241+1))</f>
        <v>.</v>
      </c>
      <c r="B242" s="244" t="str">
        <f t="shared" si="3"/>
        <v>Hip Replacement PrimarySub-ICB of GP PracticeNHS GREATER MANCHESTER ICB - 01D (01D)Oxford Hip Score</v>
      </c>
      <c r="C242" t="s">
        <v>749</v>
      </c>
      <c r="D242" t="s">
        <v>1021</v>
      </c>
      <c r="E242" t="s">
        <v>807</v>
      </c>
      <c r="F242" t="s">
        <v>808</v>
      </c>
      <c r="G242" t="s">
        <v>964</v>
      </c>
      <c r="H242">
        <v>20</v>
      </c>
      <c r="I242">
        <v>15.75</v>
      </c>
      <c r="J242">
        <v>38.75</v>
      </c>
      <c r="K242">
        <v>23</v>
      </c>
      <c r="L242">
        <v>18</v>
      </c>
      <c r="M242">
        <v>1</v>
      </c>
      <c r="N242">
        <v>1</v>
      </c>
      <c r="O242" t="s">
        <v>127</v>
      </c>
      <c r="P242" t="s">
        <v>127</v>
      </c>
      <c r="Q242" t="s">
        <v>127</v>
      </c>
    </row>
    <row r="243" spans="1:17" x14ac:dyDescent="0.25">
      <c r="A243" t="str">
        <f>IF(C243&amp;G243&amp;D243&lt;&gt;'Funnel setup'!$K$3&amp;'Funnel setup'!$K$4&amp;'Funnel setup'!$K$6,".",IF(A242=".",1,A242+1))</f>
        <v>.</v>
      </c>
      <c r="B243" s="244" t="str">
        <f t="shared" si="3"/>
        <v>Hip Replacement PrimarySub-ICB of GP PracticeNHS GREATER MANCHESTER ICB - 01G (01G)Oxford Hip Score</v>
      </c>
      <c r="C243" t="s">
        <v>749</v>
      </c>
      <c r="D243" t="s">
        <v>1021</v>
      </c>
      <c r="E243" t="s">
        <v>809</v>
      </c>
      <c r="F243" t="s">
        <v>810</v>
      </c>
      <c r="G243" t="s">
        <v>964</v>
      </c>
      <c r="H243">
        <v>34</v>
      </c>
      <c r="I243">
        <v>15.882400000000001</v>
      </c>
      <c r="J243">
        <v>37.117600000000003</v>
      </c>
      <c r="K243">
        <v>21.235299999999999</v>
      </c>
      <c r="L243">
        <v>32</v>
      </c>
      <c r="M243">
        <v>0</v>
      </c>
      <c r="N243">
        <v>2</v>
      </c>
      <c r="O243">
        <v>37.5411</v>
      </c>
      <c r="P243">
        <v>20.456800000000001</v>
      </c>
      <c r="Q243">
        <v>10.211</v>
      </c>
    </row>
    <row r="244" spans="1:17" x14ac:dyDescent="0.25">
      <c r="A244" t="str">
        <f>IF(C244&amp;G244&amp;D244&lt;&gt;'Funnel setup'!$K$3&amp;'Funnel setup'!$K$4&amp;'Funnel setup'!$K$6,".",IF(A243=".",1,A243+1))</f>
        <v>.</v>
      </c>
      <c r="B244" s="244" t="str">
        <f t="shared" si="3"/>
        <v>Hip Replacement PrimarySub-ICB of GP PracticeNHS GREATER MANCHESTER ICB - 01W (01W)Oxford Hip Score</v>
      </c>
      <c r="C244" t="s">
        <v>749</v>
      </c>
      <c r="D244" t="s">
        <v>1021</v>
      </c>
      <c r="E244" t="s">
        <v>811</v>
      </c>
      <c r="F244" t="s">
        <v>812</v>
      </c>
      <c r="G244" t="s">
        <v>964</v>
      </c>
      <c r="H244">
        <v>80</v>
      </c>
      <c r="I244">
        <v>16.95</v>
      </c>
      <c r="J244">
        <v>41.162500000000001</v>
      </c>
      <c r="K244">
        <v>24.212499999999999</v>
      </c>
      <c r="L244">
        <v>79</v>
      </c>
      <c r="M244">
        <v>0</v>
      </c>
      <c r="N244">
        <v>1</v>
      </c>
      <c r="O244">
        <v>41.753999999999998</v>
      </c>
      <c r="P244">
        <v>24.669699999999999</v>
      </c>
      <c r="Q244">
        <v>6.9326800000000004</v>
      </c>
    </row>
    <row r="245" spans="1:17" x14ac:dyDescent="0.25">
      <c r="A245" t="str">
        <f>IF(C245&amp;G245&amp;D245&lt;&gt;'Funnel setup'!$K$3&amp;'Funnel setup'!$K$4&amp;'Funnel setup'!$K$6,".",IF(A244=".",1,A244+1))</f>
        <v>.</v>
      </c>
      <c r="B245" s="244" t="str">
        <f t="shared" si="3"/>
        <v>Hip Replacement PrimarySub-ICB of GP PracticeNHS GREATER MANCHESTER ICB - 01Y (01Y)Oxford Hip Score</v>
      </c>
      <c r="C245" t="s">
        <v>749</v>
      </c>
      <c r="D245" t="s">
        <v>1021</v>
      </c>
      <c r="E245" t="s">
        <v>813</v>
      </c>
      <c r="F245" t="s">
        <v>814</v>
      </c>
      <c r="G245" t="s">
        <v>964</v>
      </c>
      <c r="H245">
        <v>33</v>
      </c>
      <c r="I245">
        <v>15.2121</v>
      </c>
      <c r="J245">
        <v>37.2121</v>
      </c>
      <c r="K245">
        <v>22</v>
      </c>
      <c r="L245">
        <v>32</v>
      </c>
      <c r="M245">
        <v>1</v>
      </c>
      <c r="N245">
        <v>0</v>
      </c>
      <c r="O245">
        <v>37.3889</v>
      </c>
      <c r="P245">
        <v>20.304600000000001</v>
      </c>
      <c r="Q245">
        <v>10.0215</v>
      </c>
    </row>
    <row r="246" spans="1:17" x14ac:dyDescent="0.25">
      <c r="A246" t="str">
        <f>IF(C246&amp;G246&amp;D246&lt;&gt;'Funnel setup'!$K$3&amp;'Funnel setup'!$K$4&amp;'Funnel setup'!$K$6,".",IF(A245=".",1,A245+1))</f>
        <v>.</v>
      </c>
      <c r="B246" s="244" t="str">
        <f t="shared" si="3"/>
        <v>Hip Replacement PrimarySub-ICB of GP PracticeNHS GREATER MANCHESTER ICB - 02A (02A)Oxford Hip Score</v>
      </c>
      <c r="C246" t="s">
        <v>749</v>
      </c>
      <c r="D246" t="s">
        <v>1021</v>
      </c>
      <c r="E246" t="s">
        <v>815</v>
      </c>
      <c r="F246" t="s">
        <v>816</v>
      </c>
      <c r="G246" t="s">
        <v>964</v>
      </c>
      <c r="H246">
        <v>81</v>
      </c>
      <c r="I246">
        <v>17.024699999999999</v>
      </c>
      <c r="J246">
        <v>37.370399999999997</v>
      </c>
      <c r="K246">
        <v>20.345700000000001</v>
      </c>
      <c r="L246">
        <v>79</v>
      </c>
      <c r="M246">
        <v>0</v>
      </c>
      <c r="N246">
        <v>2</v>
      </c>
      <c r="O246">
        <v>37.323300000000003</v>
      </c>
      <c r="P246">
        <v>20.239000000000001</v>
      </c>
      <c r="Q246">
        <v>9.1480599999999992</v>
      </c>
    </row>
    <row r="247" spans="1:17" x14ac:dyDescent="0.25">
      <c r="A247" t="str">
        <f>IF(C247&amp;G247&amp;D247&lt;&gt;'Funnel setup'!$K$3&amp;'Funnel setup'!$K$4&amp;'Funnel setup'!$K$6,".",IF(A246=".",1,A246+1))</f>
        <v>.</v>
      </c>
      <c r="B247" s="244" t="str">
        <f t="shared" si="3"/>
        <v>Hip Replacement PrimarySub-ICB of GP PracticeNHS GREATER MANCHESTER ICB - 02H (02H)Oxford Hip Score</v>
      </c>
      <c r="C247" t="s">
        <v>749</v>
      </c>
      <c r="D247" t="s">
        <v>1021</v>
      </c>
      <c r="E247" t="s">
        <v>817</v>
      </c>
      <c r="F247" t="s">
        <v>818</v>
      </c>
      <c r="G247" t="s">
        <v>964</v>
      </c>
      <c r="H247">
        <v>31</v>
      </c>
      <c r="I247">
        <v>14.7097</v>
      </c>
      <c r="J247">
        <v>37.612900000000003</v>
      </c>
      <c r="K247">
        <v>22.903199999999998</v>
      </c>
      <c r="L247">
        <v>29</v>
      </c>
      <c r="M247">
        <v>1</v>
      </c>
      <c r="N247">
        <v>1</v>
      </c>
      <c r="O247">
        <v>38.2532</v>
      </c>
      <c r="P247">
        <v>21.168900000000001</v>
      </c>
      <c r="Q247">
        <v>11.256600000000001</v>
      </c>
    </row>
    <row r="248" spans="1:17" x14ac:dyDescent="0.25">
      <c r="A248" t="str">
        <f>IF(C248&amp;G248&amp;D248&lt;&gt;'Funnel setup'!$K$3&amp;'Funnel setup'!$K$4&amp;'Funnel setup'!$K$6,".",IF(A247=".",1,A247+1))</f>
        <v>.</v>
      </c>
      <c r="B248" s="244" t="str">
        <f t="shared" si="3"/>
        <v>Hip Replacement PrimarySub-ICB of GP PracticeNHS GREATER MANCHESTER ICB - 14L (14L)Oxford Hip Score</v>
      </c>
      <c r="C248" t="s">
        <v>749</v>
      </c>
      <c r="D248" t="s">
        <v>1021</v>
      </c>
      <c r="E248" t="s">
        <v>819</v>
      </c>
      <c r="F248" t="s">
        <v>820</v>
      </c>
      <c r="G248" t="s">
        <v>964</v>
      </c>
      <c r="H248">
        <v>44</v>
      </c>
      <c r="I248">
        <v>16.954499999999999</v>
      </c>
      <c r="J248">
        <v>38.613599999999998</v>
      </c>
      <c r="K248">
        <v>21.659099999999999</v>
      </c>
      <c r="L248">
        <v>42</v>
      </c>
      <c r="M248">
        <v>0</v>
      </c>
      <c r="N248">
        <v>2</v>
      </c>
      <c r="O248">
        <v>39.8078</v>
      </c>
      <c r="P248">
        <v>22.723500000000001</v>
      </c>
      <c r="Q248">
        <v>9.7998700000000003</v>
      </c>
    </row>
    <row r="249" spans="1:17" x14ac:dyDescent="0.25">
      <c r="A249" t="str">
        <f>IF(C249&amp;G249&amp;D249&lt;&gt;'Funnel setup'!$K$3&amp;'Funnel setup'!$K$4&amp;'Funnel setup'!$K$6,".",IF(A248=".",1,A248+1))</f>
        <v>.</v>
      </c>
      <c r="B249" s="244" t="str">
        <f t="shared" si="3"/>
        <v>Hip Replacement PrimarySub-ICB of GP PracticeNHS HAMPSHIRE AND ISLE OF WIGHT ICB - 10R (10R)Oxford Hip Score</v>
      </c>
      <c r="C249" t="s">
        <v>749</v>
      </c>
      <c r="D249" t="s">
        <v>1021</v>
      </c>
      <c r="E249" t="s">
        <v>821</v>
      </c>
      <c r="F249" t="s">
        <v>822</v>
      </c>
      <c r="G249" t="s">
        <v>964</v>
      </c>
      <c r="H249">
        <v>13</v>
      </c>
      <c r="I249">
        <v>18.1538</v>
      </c>
      <c r="J249">
        <v>38.153799999999997</v>
      </c>
      <c r="K249">
        <v>20</v>
      </c>
      <c r="L249">
        <v>13</v>
      </c>
      <c r="M249">
        <v>0</v>
      </c>
      <c r="N249">
        <v>0</v>
      </c>
      <c r="O249" t="s">
        <v>127</v>
      </c>
      <c r="P249" t="s">
        <v>127</v>
      </c>
      <c r="Q249" t="s">
        <v>127</v>
      </c>
    </row>
    <row r="250" spans="1:17" x14ac:dyDescent="0.25">
      <c r="A250" t="str">
        <f>IF(C250&amp;G250&amp;D250&lt;&gt;'Funnel setup'!$K$3&amp;'Funnel setup'!$K$4&amp;'Funnel setup'!$K$6,".",IF(A249=".",1,A249+1))</f>
        <v>.</v>
      </c>
      <c r="B250" s="244" t="str">
        <f t="shared" si="3"/>
        <v>Hip Replacement PrimarySub-ICB of GP PracticeNHS HAMPSHIRE AND ISLE OF WIGHT ICB - D9Y0V (D9Y0V)Oxford Hip Score</v>
      </c>
      <c r="C250" t="s">
        <v>749</v>
      </c>
      <c r="D250" t="s">
        <v>1021</v>
      </c>
      <c r="E250" t="s">
        <v>823</v>
      </c>
      <c r="F250" t="s">
        <v>824</v>
      </c>
      <c r="G250" t="s">
        <v>964</v>
      </c>
      <c r="H250">
        <v>443</v>
      </c>
      <c r="I250">
        <v>18.4605</v>
      </c>
      <c r="J250">
        <v>40.381500000000003</v>
      </c>
      <c r="K250">
        <v>21.920999999999999</v>
      </c>
      <c r="L250">
        <v>431</v>
      </c>
      <c r="M250">
        <v>0</v>
      </c>
      <c r="N250">
        <v>12</v>
      </c>
      <c r="O250">
        <v>39.601599999999998</v>
      </c>
      <c r="P250">
        <v>22.517299999999999</v>
      </c>
      <c r="Q250">
        <v>7.8305300000000004</v>
      </c>
    </row>
    <row r="251" spans="1:17" x14ac:dyDescent="0.25">
      <c r="A251" t="str">
        <f>IF(C251&amp;G251&amp;D251&lt;&gt;'Funnel setup'!$K$3&amp;'Funnel setup'!$K$4&amp;'Funnel setup'!$K$6,".",IF(A250=".",1,A250+1))</f>
        <v>.</v>
      </c>
      <c r="B251" s="244" t="str">
        <f t="shared" si="3"/>
        <v>Hip Replacement PrimarySub-ICB of GP PracticeNHS HEREFORDSHIRE AND WORCESTERSHIRE ICB - 18C (18C)Oxford Hip Score</v>
      </c>
      <c r="C251" t="s">
        <v>749</v>
      </c>
      <c r="D251" t="s">
        <v>1021</v>
      </c>
      <c r="E251" t="s">
        <v>825</v>
      </c>
      <c r="F251" t="s">
        <v>826</v>
      </c>
      <c r="G251" t="s">
        <v>964</v>
      </c>
      <c r="H251">
        <v>219</v>
      </c>
      <c r="I251">
        <v>15.4155</v>
      </c>
      <c r="J251">
        <v>39.223700000000001</v>
      </c>
      <c r="K251">
        <v>23.808199999999999</v>
      </c>
      <c r="L251">
        <v>215</v>
      </c>
      <c r="M251">
        <v>1</v>
      </c>
      <c r="N251">
        <v>3</v>
      </c>
      <c r="O251">
        <v>39.702199999999998</v>
      </c>
      <c r="P251">
        <v>22.617899999999999</v>
      </c>
      <c r="Q251">
        <v>8.2443600000000004</v>
      </c>
    </row>
    <row r="252" spans="1:17" x14ac:dyDescent="0.25">
      <c r="A252" t="str">
        <f>IF(C252&amp;G252&amp;D252&lt;&gt;'Funnel setup'!$K$3&amp;'Funnel setup'!$K$4&amp;'Funnel setup'!$K$6,".",IF(A251=".",1,A251+1))</f>
        <v>.</v>
      </c>
      <c r="B252" s="244" t="str">
        <f t="shared" si="3"/>
        <v>Hip Replacement PrimarySub-ICB of GP PracticeNHS HERTFORDSHIRE AND WEST ESSEX ICB - 06K (06K)Oxford Hip Score</v>
      </c>
      <c r="C252" t="s">
        <v>749</v>
      </c>
      <c r="D252" t="s">
        <v>1021</v>
      </c>
      <c r="E252" t="s">
        <v>827</v>
      </c>
      <c r="F252" t="s">
        <v>828</v>
      </c>
      <c r="G252" t="s">
        <v>964</v>
      </c>
      <c r="H252">
        <v>108</v>
      </c>
      <c r="I252">
        <v>16.3796</v>
      </c>
      <c r="J252">
        <v>39.027799999999999</v>
      </c>
      <c r="K252">
        <v>22.648099999999999</v>
      </c>
      <c r="L252">
        <v>100</v>
      </c>
      <c r="M252">
        <v>2</v>
      </c>
      <c r="N252">
        <v>6</v>
      </c>
      <c r="O252">
        <v>38.952199999999998</v>
      </c>
      <c r="P252">
        <v>21.867899999999999</v>
      </c>
      <c r="Q252">
        <v>9.1150099999999998</v>
      </c>
    </row>
    <row r="253" spans="1:17" x14ac:dyDescent="0.25">
      <c r="A253" t="str">
        <f>IF(C253&amp;G253&amp;D253&lt;&gt;'Funnel setup'!$K$3&amp;'Funnel setup'!$K$4&amp;'Funnel setup'!$K$6,".",IF(A252=".",1,A252+1))</f>
        <v>.</v>
      </c>
      <c r="B253" s="244" t="str">
        <f t="shared" si="3"/>
        <v>Hip Replacement PrimarySub-ICB of GP PracticeNHS HERTFORDSHIRE AND WEST ESSEX ICB - 06N (06N)Oxford Hip Score</v>
      </c>
      <c r="C253" t="s">
        <v>749</v>
      </c>
      <c r="D253" t="s">
        <v>1021</v>
      </c>
      <c r="E253" t="s">
        <v>829</v>
      </c>
      <c r="F253" t="s">
        <v>830</v>
      </c>
      <c r="G253" t="s">
        <v>964</v>
      </c>
      <c r="H253">
        <v>132</v>
      </c>
      <c r="I253">
        <v>18.386399999999998</v>
      </c>
      <c r="J253">
        <v>39.704500000000003</v>
      </c>
      <c r="K253">
        <v>21.318200000000001</v>
      </c>
      <c r="L253">
        <v>128</v>
      </c>
      <c r="M253">
        <v>1</v>
      </c>
      <c r="N253">
        <v>3</v>
      </c>
      <c r="O253">
        <v>39.1569</v>
      </c>
      <c r="P253">
        <v>22.072600000000001</v>
      </c>
      <c r="Q253">
        <v>8.8465199999999999</v>
      </c>
    </row>
    <row r="254" spans="1:17" x14ac:dyDescent="0.25">
      <c r="A254" t="str">
        <f>IF(C254&amp;G254&amp;D254&lt;&gt;'Funnel setup'!$K$3&amp;'Funnel setup'!$K$4&amp;'Funnel setup'!$K$6,".",IF(A253=".",1,A253+1))</f>
        <v>.</v>
      </c>
      <c r="B254" s="244" t="str">
        <f t="shared" si="3"/>
        <v>Hip Replacement PrimarySub-ICB of GP PracticeNHS HERTFORDSHIRE AND WEST ESSEX ICB - 07H (07H)Oxford Hip Score</v>
      </c>
      <c r="C254" t="s">
        <v>749</v>
      </c>
      <c r="D254" t="s">
        <v>1021</v>
      </c>
      <c r="E254" t="s">
        <v>831</v>
      </c>
      <c r="F254" t="s">
        <v>832</v>
      </c>
      <c r="G254" t="s">
        <v>964</v>
      </c>
      <c r="H254">
        <v>77</v>
      </c>
      <c r="I254">
        <v>18.259699999999999</v>
      </c>
      <c r="J254">
        <v>39.792200000000001</v>
      </c>
      <c r="K254">
        <v>21.532499999999999</v>
      </c>
      <c r="L254">
        <v>72</v>
      </c>
      <c r="M254">
        <v>1</v>
      </c>
      <c r="N254">
        <v>4</v>
      </c>
      <c r="O254">
        <v>39.538400000000003</v>
      </c>
      <c r="P254">
        <v>22.4541</v>
      </c>
      <c r="Q254">
        <v>8.3599200000000007</v>
      </c>
    </row>
    <row r="255" spans="1:17" x14ac:dyDescent="0.25">
      <c r="A255" t="str">
        <f>IF(C255&amp;G255&amp;D255&lt;&gt;'Funnel setup'!$K$3&amp;'Funnel setup'!$K$4&amp;'Funnel setup'!$K$6,".",IF(A254=".",1,A254+1))</f>
        <v>.</v>
      </c>
      <c r="B255" s="244" t="str">
        <f t="shared" si="3"/>
        <v>Hip Replacement PrimarySub-ICB of GP PracticeNHS HUMBER AND NORTH YORKSHIRE ICB - 02Y (02Y)Oxford Hip Score</v>
      </c>
      <c r="C255" t="s">
        <v>749</v>
      </c>
      <c r="D255" t="s">
        <v>1021</v>
      </c>
      <c r="E255" t="s">
        <v>833</v>
      </c>
      <c r="F255" t="s">
        <v>834</v>
      </c>
      <c r="G255" t="s">
        <v>964</v>
      </c>
      <c r="H255">
        <v>69</v>
      </c>
      <c r="I255">
        <v>17.246400000000001</v>
      </c>
      <c r="J255">
        <v>40.536200000000001</v>
      </c>
      <c r="K255">
        <v>23.289899999999999</v>
      </c>
      <c r="L255">
        <v>67</v>
      </c>
      <c r="M255">
        <v>0</v>
      </c>
      <c r="N255">
        <v>2</v>
      </c>
      <c r="O255">
        <v>40.407699999999998</v>
      </c>
      <c r="P255">
        <v>23.323399999999999</v>
      </c>
      <c r="Q255">
        <v>8.7556200000000004</v>
      </c>
    </row>
    <row r="256" spans="1:17" x14ac:dyDescent="0.25">
      <c r="A256" t="str">
        <f>IF(C256&amp;G256&amp;D256&lt;&gt;'Funnel setup'!$K$3&amp;'Funnel setup'!$K$4&amp;'Funnel setup'!$K$6,".",IF(A255=".",1,A255+1))</f>
        <v>.</v>
      </c>
      <c r="B256" s="244" t="str">
        <f t="shared" si="3"/>
        <v>Hip Replacement PrimarySub-ICB of GP PracticeNHS HUMBER AND NORTH YORKSHIRE ICB - 03F (03F)Oxford Hip Score</v>
      </c>
      <c r="C256" t="s">
        <v>749</v>
      </c>
      <c r="D256" t="s">
        <v>1021</v>
      </c>
      <c r="E256" t="s">
        <v>835</v>
      </c>
      <c r="F256" t="s">
        <v>836</v>
      </c>
      <c r="G256" t="s">
        <v>964</v>
      </c>
      <c r="H256">
        <v>26</v>
      </c>
      <c r="I256">
        <v>12.1538</v>
      </c>
      <c r="J256">
        <v>35.461500000000001</v>
      </c>
      <c r="K256">
        <v>23.307700000000001</v>
      </c>
      <c r="L256">
        <v>26</v>
      </c>
      <c r="M256">
        <v>0</v>
      </c>
      <c r="N256">
        <v>0</v>
      </c>
      <c r="O256" t="s">
        <v>127</v>
      </c>
      <c r="P256" t="s">
        <v>127</v>
      </c>
      <c r="Q256" t="s">
        <v>127</v>
      </c>
    </row>
    <row r="257" spans="1:17" x14ac:dyDescent="0.25">
      <c r="A257" t="str">
        <f>IF(C257&amp;G257&amp;D257&lt;&gt;'Funnel setup'!$K$3&amp;'Funnel setup'!$K$4&amp;'Funnel setup'!$K$6,".",IF(A256=".",1,A256+1))</f>
        <v>.</v>
      </c>
      <c r="B257" s="244" t="str">
        <f t="shared" si="3"/>
        <v>Hip Replacement PrimarySub-ICB of GP PracticeNHS HUMBER AND NORTH YORKSHIRE ICB - 03H (03H)Oxford Hip Score</v>
      </c>
      <c r="C257" t="s">
        <v>749</v>
      </c>
      <c r="D257" t="s">
        <v>1021</v>
      </c>
      <c r="E257" t="s">
        <v>837</v>
      </c>
      <c r="F257" t="s">
        <v>838</v>
      </c>
      <c r="G257" t="s">
        <v>964</v>
      </c>
      <c r="H257">
        <v>80</v>
      </c>
      <c r="I257">
        <v>17.6875</v>
      </c>
      <c r="J257">
        <v>38.15</v>
      </c>
      <c r="K257">
        <v>20.462499999999999</v>
      </c>
      <c r="L257">
        <v>76</v>
      </c>
      <c r="M257">
        <v>0</v>
      </c>
      <c r="N257">
        <v>4</v>
      </c>
      <c r="O257">
        <v>38.569499999999998</v>
      </c>
      <c r="P257">
        <v>21.485199999999999</v>
      </c>
      <c r="Q257">
        <v>8.7601499999999994</v>
      </c>
    </row>
    <row r="258" spans="1:17" x14ac:dyDescent="0.25">
      <c r="A258" t="str">
        <f>IF(C258&amp;G258&amp;D258&lt;&gt;'Funnel setup'!$K$3&amp;'Funnel setup'!$K$4&amp;'Funnel setup'!$K$6,".",IF(A257=".",1,A257+1))</f>
        <v>.</v>
      </c>
      <c r="B258" s="244" t="str">
        <f t="shared" ref="B258:B321" si="4">C258&amp;D258&amp;F258&amp;G258</f>
        <v>Hip Replacement PrimarySub-ICB of GP PracticeNHS HUMBER AND NORTH YORKSHIRE ICB - 03K (03K)Oxford Hip Score</v>
      </c>
      <c r="C258" t="s">
        <v>749</v>
      </c>
      <c r="D258" t="s">
        <v>1021</v>
      </c>
      <c r="E258" t="s">
        <v>839</v>
      </c>
      <c r="F258" t="s">
        <v>840</v>
      </c>
      <c r="G258" t="s">
        <v>964</v>
      </c>
      <c r="H258">
        <v>62</v>
      </c>
      <c r="I258">
        <v>15.967700000000001</v>
      </c>
      <c r="J258">
        <v>40.145200000000003</v>
      </c>
      <c r="K258">
        <v>24.177399999999999</v>
      </c>
      <c r="L258">
        <v>61</v>
      </c>
      <c r="M258">
        <v>1</v>
      </c>
      <c r="N258">
        <v>0</v>
      </c>
      <c r="O258">
        <v>40.099800000000002</v>
      </c>
      <c r="P258">
        <v>23.015499999999999</v>
      </c>
      <c r="Q258">
        <v>7.5129900000000003</v>
      </c>
    </row>
    <row r="259" spans="1:17" x14ac:dyDescent="0.25">
      <c r="A259" t="str">
        <f>IF(C259&amp;G259&amp;D259&lt;&gt;'Funnel setup'!$K$3&amp;'Funnel setup'!$K$4&amp;'Funnel setup'!$K$6,".",IF(A258=".",1,A258+1))</f>
        <v>.</v>
      </c>
      <c r="B259" s="244" t="str">
        <f t="shared" si="4"/>
        <v>Hip Replacement PrimarySub-ICB of GP PracticeNHS HUMBER AND NORTH YORKSHIRE ICB - 03Q (03Q)Oxford Hip Score</v>
      </c>
      <c r="C259" t="s">
        <v>749</v>
      </c>
      <c r="D259" t="s">
        <v>1021</v>
      </c>
      <c r="E259" t="s">
        <v>841</v>
      </c>
      <c r="F259" t="s">
        <v>842</v>
      </c>
      <c r="G259" t="s">
        <v>964</v>
      </c>
      <c r="H259">
        <v>82</v>
      </c>
      <c r="I259">
        <v>20.2317</v>
      </c>
      <c r="J259">
        <v>36.4268</v>
      </c>
      <c r="K259">
        <v>16.1951</v>
      </c>
      <c r="L259">
        <v>67</v>
      </c>
      <c r="M259">
        <v>2</v>
      </c>
      <c r="N259">
        <v>13</v>
      </c>
      <c r="O259">
        <v>35.189900000000002</v>
      </c>
      <c r="P259">
        <v>18.105599999999999</v>
      </c>
      <c r="Q259">
        <v>10.393800000000001</v>
      </c>
    </row>
    <row r="260" spans="1:17" x14ac:dyDescent="0.25">
      <c r="A260" t="str">
        <f>IF(C260&amp;G260&amp;D260&lt;&gt;'Funnel setup'!$K$3&amp;'Funnel setup'!$K$4&amp;'Funnel setup'!$K$6,".",IF(A259=".",1,A259+1))</f>
        <v>.</v>
      </c>
      <c r="B260" s="244" t="str">
        <f t="shared" si="4"/>
        <v>Hip Replacement PrimarySub-ICB of GP PracticeNHS HUMBER AND NORTH YORKSHIRE ICB - 42D (42D)Oxford Hip Score</v>
      </c>
      <c r="C260" t="s">
        <v>749</v>
      </c>
      <c r="D260" t="s">
        <v>1021</v>
      </c>
      <c r="E260" t="s">
        <v>843</v>
      </c>
      <c r="F260" t="s">
        <v>844</v>
      </c>
      <c r="G260" t="s">
        <v>964</v>
      </c>
      <c r="H260">
        <v>259</v>
      </c>
      <c r="I260">
        <v>16.3127</v>
      </c>
      <c r="J260">
        <v>40.474899999999998</v>
      </c>
      <c r="K260">
        <v>24.162199999999999</v>
      </c>
      <c r="L260">
        <v>253</v>
      </c>
      <c r="M260">
        <v>2</v>
      </c>
      <c r="N260">
        <v>4</v>
      </c>
      <c r="O260">
        <v>40.580599999999997</v>
      </c>
      <c r="P260">
        <v>23.496300000000002</v>
      </c>
      <c r="Q260">
        <v>8.2613800000000008</v>
      </c>
    </row>
    <row r="261" spans="1:17" x14ac:dyDescent="0.25">
      <c r="A261" t="str">
        <f>IF(C261&amp;G261&amp;D261&lt;&gt;'Funnel setup'!$K$3&amp;'Funnel setup'!$K$4&amp;'Funnel setup'!$K$6,".",IF(A260=".",1,A260+1))</f>
        <v>.</v>
      </c>
      <c r="B261" s="244" t="str">
        <f t="shared" si="4"/>
        <v>Hip Replacement PrimarySub-ICB of GP PracticeNHS KENT AND MEDWAY ICB - 91Q (91Q)Oxford Hip Score</v>
      </c>
      <c r="C261" t="s">
        <v>749</v>
      </c>
      <c r="D261" t="s">
        <v>1021</v>
      </c>
      <c r="E261" t="s">
        <v>845</v>
      </c>
      <c r="F261" t="s">
        <v>846</v>
      </c>
      <c r="G261" t="s">
        <v>964</v>
      </c>
      <c r="H261">
        <v>506</v>
      </c>
      <c r="I261">
        <v>17.715399999999999</v>
      </c>
      <c r="J261">
        <v>40.7806</v>
      </c>
      <c r="K261">
        <v>23.065200000000001</v>
      </c>
      <c r="L261">
        <v>498</v>
      </c>
      <c r="M261">
        <v>3</v>
      </c>
      <c r="N261">
        <v>5</v>
      </c>
      <c r="O261">
        <v>40.443300000000001</v>
      </c>
      <c r="P261">
        <v>23.359000000000002</v>
      </c>
      <c r="Q261">
        <v>7.34701</v>
      </c>
    </row>
    <row r="262" spans="1:17" x14ac:dyDescent="0.25">
      <c r="A262" t="str">
        <f>IF(C262&amp;G262&amp;D262&lt;&gt;'Funnel setup'!$K$3&amp;'Funnel setup'!$K$4&amp;'Funnel setup'!$K$6,".",IF(A261=".",1,A261+1))</f>
        <v>.</v>
      </c>
      <c r="B262" s="244" t="str">
        <f t="shared" si="4"/>
        <v>Hip Replacement PrimarySub-ICB of GP PracticeNHS LANCASHIRE AND SOUTH CUMBRIA ICB - 00Q (00Q)Oxford Hip Score</v>
      </c>
      <c r="C262" t="s">
        <v>749</v>
      </c>
      <c r="D262" t="s">
        <v>1021</v>
      </c>
      <c r="E262" t="s">
        <v>847</v>
      </c>
      <c r="F262" t="s">
        <v>848</v>
      </c>
      <c r="G262" t="s">
        <v>964</v>
      </c>
      <c r="H262">
        <v>46</v>
      </c>
      <c r="I262">
        <v>16.565200000000001</v>
      </c>
      <c r="J262">
        <v>39.434800000000003</v>
      </c>
      <c r="K262">
        <v>22.869599999999998</v>
      </c>
      <c r="L262">
        <v>45</v>
      </c>
      <c r="M262">
        <v>0</v>
      </c>
      <c r="N262">
        <v>1</v>
      </c>
      <c r="O262">
        <v>40.5961</v>
      </c>
      <c r="P262">
        <v>23.511800000000001</v>
      </c>
      <c r="Q262">
        <v>8.1075700000000008</v>
      </c>
    </row>
    <row r="263" spans="1:17" x14ac:dyDescent="0.25">
      <c r="A263" t="str">
        <f>IF(C263&amp;G263&amp;D263&lt;&gt;'Funnel setup'!$K$3&amp;'Funnel setup'!$K$4&amp;'Funnel setup'!$K$6,".",IF(A262=".",1,A262+1))</f>
        <v>.</v>
      </c>
      <c r="B263" s="244" t="str">
        <f t="shared" si="4"/>
        <v>Hip Replacement PrimarySub-ICB of GP PracticeNHS LANCASHIRE AND SOUTH CUMBRIA ICB - 00R (00R)Oxford Hip Score</v>
      </c>
      <c r="C263" t="s">
        <v>749</v>
      </c>
      <c r="D263" t="s">
        <v>1021</v>
      </c>
      <c r="E263" t="s">
        <v>849</v>
      </c>
      <c r="F263" t="s">
        <v>850</v>
      </c>
      <c r="G263" t="s">
        <v>964</v>
      </c>
      <c r="H263">
        <v>39</v>
      </c>
      <c r="I263">
        <v>17.769200000000001</v>
      </c>
      <c r="J263">
        <v>38.538499999999999</v>
      </c>
      <c r="K263">
        <v>20.769200000000001</v>
      </c>
      <c r="L263">
        <v>38</v>
      </c>
      <c r="M263">
        <v>0</v>
      </c>
      <c r="N263">
        <v>1</v>
      </c>
      <c r="O263">
        <v>39.596200000000003</v>
      </c>
      <c r="P263">
        <v>22.511900000000001</v>
      </c>
      <c r="Q263">
        <v>9.2829599999999992</v>
      </c>
    </row>
    <row r="264" spans="1:17" x14ac:dyDescent="0.25">
      <c r="A264" t="str">
        <f>IF(C264&amp;G264&amp;D264&lt;&gt;'Funnel setup'!$K$3&amp;'Funnel setup'!$K$4&amp;'Funnel setup'!$K$6,".",IF(A263=".",1,A263+1))</f>
        <v>.</v>
      </c>
      <c r="B264" s="244" t="str">
        <f t="shared" si="4"/>
        <v>Hip Replacement PrimarySub-ICB of GP PracticeNHS LANCASHIRE AND SOUTH CUMBRIA ICB - 00X (00X)Oxford Hip Score</v>
      </c>
      <c r="C264" t="s">
        <v>749</v>
      </c>
      <c r="D264" t="s">
        <v>1021</v>
      </c>
      <c r="E264" t="s">
        <v>851</v>
      </c>
      <c r="F264" t="s">
        <v>852</v>
      </c>
      <c r="G264" t="s">
        <v>964</v>
      </c>
      <c r="H264">
        <v>65</v>
      </c>
      <c r="I264">
        <v>16.8308</v>
      </c>
      <c r="J264">
        <v>40.569200000000002</v>
      </c>
      <c r="K264">
        <v>23.738499999999998</v>
      </c>
      <c r="L264">
        <v>63</v>
      </c>
      <c r="M264">
        <v>0</v>
      </c>
      <c r="N264">
        <v>2</v>
      </c>
      <c r="O264">
        <v>40.739800000000002</v>
      </c>
      <c r="P264">
        <v>23.6555</v>
      </c>
      <c r="Q264">
        <v>8.8068000000000008</v>
      </c>
    </row>
    <row r="265" spans="1:17" x14ac:dyDescent="0.25">
      <c r="A265" t="str">
        <f>IF(C265&amp;G265&amp;D265&lt;&gt;'Funnel setup'!$K$3&amp;'Funnel setup'!$K$4&amp;'Funnel setup'!$K$6,".",IF(A264=".",1,A264+1))</f>
        <v>.</v>
      </c>
      <c r="B265" s="244" t="str">
        <f t="shared" si="4"/>
        <v>Hip Replacement PrimarySub-ICB of GP PracticeNHS LANCASHIRE AND SOUTH CUMBRIA ICB - 01A (01A)Oxford Hip Score</v>
      </c>
      <c r="C265" t="s">
        <v>749</v>
      </c>
      <c r="D265" t="s">
        <v>1021</v>
      </c>
      <c r="E265" t="s">
        <v>853</v>
      </c>
      <c r="F265" t="s">
        <v>854</v>
      </c>
      <c r="G265" t="s">
        <v>964</v>
      </c>
      <c r="H265">
        <v>158</v>
      </c>
      <c r="I265">
        <v>17.265799999999999</v>
      </c>
      <c r="J265">
        <v>40.6203</v>
      </c>
      <c r="K265">
        <v>23.354399999999998</v>
      </c>
      <c r="L265">
        <v>153</v>
      </c>
      <c r="M265">
        <v>2</v>
      </c>
      <c r="N265">
        <v>3</v>
      </c>
      <c r="O265">
        <v>40.908499999999997</v>
      </c>
      <c r="P265">
        <v>23.824200000000001</v>
      </c>
      <c r="Q265">
        <v>6.9460699999999997</v>
      </c>
    </row>
    <row r="266" spans="1:17" x14ac:dyDescent="0.25">
      <c r="A266" t="str">
        <f>IF(C266&amp;G266&amp;D266&lt;&gt;'Funnel setup'!$K$3&amp;'Funnel setup'!$K$4&amp;'Funnel setup'!$K$6,".",IF(A265=".",1,A265+1))</f>
        <v>.</v>
      </c>
      <c r="B266" s="244" t="str">
        <f t="shared" si="4"/>
        <v>Hip Replacement PrimarySub-ICB of GP PracticeNHS LANCASHIRE AND SOUTH CUMBRIA ICB - 01E (01E)Oxford Hip Score</v>
      </c>
      <c r="C266" t="s">
        <v>749</v>
      </c>
      <c r="D266" t="s">
        <v>1021</v>
      </c>
      <c r="E266" t="s">
        <v>855</v>
      </c>
      <c r="F266" t="s">
        <v>856</v>
      </c>
      <c r="G266" t="s">
        <v>964</v>
      </c>
      <c r="H266">
        <v>64</v>
      </c>
      <c r="I266">
        <v>20.171900000000001</v>
      </c>
      <c r="J266">
        <v>40.796900000000001</v>
      </c>
      <c r="K266">
        <v>20.625</v>
      </c>
      <c r="L266">
        <v>64</v>
      </c>
      <c r="M266">
        <v>0</v>
      </c>
      <c r="N266">
        <v>0</v>
      </c>
      <c r="O266">
        <v>39.707700000000003</v>
      </c>
      <c r="P266">
        <v>22.6234</v>
      </c>
      <c r="Q266">
        <v>7.2246800000000002</v>
      </c>
    </row>
    <row r="267" spans="1:17" x14ac:dyDescent="0.25">
      <c r="A267" t="str">
        <f>IF(C267&amp;G267&amp;D267&lt;&gt;'Funnel setup'!$K$3&amp;'Funnel setup'!$K$4&amp;'Funnel setup'!$K$6,".",IF(A266=".",1,A266+1))</f>
        <v>.</v>
      </c>
      <c r="B267" s="244" t="str">
        <f t="shared" si="4"/>
        <v>Hip Replacement PrimarySub-ICB of GP PracticeNHS LANCASHIRE AND SOUTH CUMBRIA ICB - 01K (01K)Oxford Hip Score</v>
      </c>
      <c r="C267" t="s">
        <v>749</v>
      </c>
      <c r="D267" t="s">
        <v>1021</v>
      </c>
      <c r="E267" t="s">
        <v>857</v>
      </c>
      <c r="F267" t="s">
        <v>858</v>
      </c>
      <c r="G267" t="s">
        <v>964</v>
      </c>
      <c r="H267">
        <v>202</v>
      </c>
      <c r="I267">
        <v>17.623799999999999</v>
      </c>
      <c r="J267">
        <v>40.613900000000001</v>
      </c>
      <c r="K267">
        <v>22.990100000000002</v>
      </c>
      <c r="L267">
        <v>199</v>
      </c>
      <c r="M267">
        <v>1</v>
      </c>
      <c r="N267">
        <v>2</v>
      </c>
      <c r="O267">
        <v>40.5017</v>
      </c>
      <c r="P267">
        <v>23.417400000000001</v>
      </c>
      <c r="Q267">
        <v>7.0133400000000004</v>
      </c>
    </row>
    <row r="268" spans="1:17" x14ac:dyDescent="0.25">
      <c r="A268" t="str">
        <f>IF(C268&amp;G268&amp;D268&lt;&gt;'Funnel setup'!$K$3&amp;'Funnel setup'!$K$4&amp;'Funnel setup'!$K$6,".",IF(A267=".",1,A267+1))</f>
        <v>.</v>
      </c>
      <c r="B268" s="244" t="str">
        <f t="shared" si="4"/>
        <v>Hip Replacement PrimarySub-ICB of GP PracticeNHS LANCASHIRE AND SOUTH CUMBRIA ICB - 02G (02G)Oxford Hip Score</v>
      </c>
      <c r="C268" t="s">
        <v>749</v>
      </c>
      <c r="D268" t="s">
        <v>1021</v>
      </c>
      <c r="E268" t="s">
        <v>859</v>
      </c>
      <c r="F268" t="s">
        <v>860</v>
      </c>
      <c r="G268" t="s">
        <v>964</v>
      </c>
      <c r="H268">
        <v>33</v>
      </c>
      <c r="I268">
        <v>16.090900000000001</v>
      </c>
      <c r="J268">
        <v>41.393900000000002</v>
      </c>
      <c r="K268">
        <v>25.303000000000001</v>
      </c>
      <c r="L268">
        <v>33</v>
      </c>
      <c r="M268">
        <v>0</v>
      </c>
      <c r="N268">
        <v>0</v>
      </c>
      <c r="O268">
        <v>40.733400000000003</v>
      </c>
      <c r="P268">
        <v>23.649100000000001</v>
      </c>
      <c r="Q268">
        <v>7.6908799999999999</v>
      </c>
    </row>
    <row r="269" spans="1:17" x14ac:dyDescent="0.25">
      <c r="A269" t="str">
        <f>IF(C269&amp;G269&amp;D269&lt;&gt;'Funnel setup'!$K$3&amp;'Funnel setup'!$K$4&amp;'Funnel setup'!$K$6,".",IF(A268=".",1,A268+1))</f>
        <v>.</v>
      </c>
      <c r="B269" s="244" t="str">
        <f t="shared" si="4"/>
        <v>Hip Replacement PrimarySub-ICB of GP PracticeNHS LANCASHIRE AND SOUTH CUMBRIA ICB - 02M (02M)Oxford Hip Score</v>
      </c>
      <c r="C269" t="s">
        <v>749</v>
      </c>
      <c r="D269" t="s">
        <v>1021</v>
      </c>
      <c r="E269" t="s">
        <v>861</v>
      </c>
      <c r="F269" t="s">
        <v>862</v>
      </c>
      <c r="G269" t="s">
        <v>964</v>
      </c>
      <c r="H269">
        <v>70</v>
      </c>
      <c r="I269">
        <v>20.957100000000001</v>
      </c>
      <c r="J269">
        <v>38.9</v>
      </c>
      <c r="K269">
        <v>17.942900000000002</v>
      </c>
      <c r="L269">
        <v>67</v>
      </c>
      <c r="M269">
        <v>0</v>
      </c>
      <c r="N269">
        <v>3</v>
      </c>
      <c r="O269">
        <v>37.743099999999998</v>
      </c>
      <c r="P269">
        <v>20.658799999999999</v>
      </c>
      <c r="Q269">
        <v>7.7820299999999998</v>
      </c>
    </row>
    <row r="270" spans="1:17" x14ac:dyDescent="0.25">
      <c r="A270" t="str">
        <f>IF(C270&amp;G270&amp;D270&lt;&gt;'Funnel setup'!$K$3&amp;'Funnel setup'!$K$4&amp;'Funnel setup'!$K$6,".",IF(A269=".",1,A269+1))</f>
        <v>.</v>
      </c>
      <c r="B270" s="244" t="str">
        <f t="shared" si="4"/>
        <v>Hip Replacement PrimarySub-ICB of GP PracticeNHS LEICESTER, LEICESTERSHIRE AND RUTLAND ICB - 03W (03W)Oxford Hip Score</v>
      </c>
      <c r="C270" t="s">
        <v>749</v>
      </c>
      <c r="D270" t="s">
        <v>1021</v>
      </c>
      <c r="E270" t="s">
        <v>863</v>
      </c>
      <c r="F270" t="s">
        <v>864</v>
      </c>
      <c r="G270" t="s">
        <v>964</v>
      </c>
      <c r="H270">
        <v>113</v>
      </c>
      <c r="I270">
        <v>16.327400000000001</v>
      </c>
      <c r="J270">
        <v>39.309699999999999</v>
      </c>
      <c r="K270">
        <v>22.982299999999999</v>
      </c>
      <c r="L270">
        <v>110</v>
      </c>
      <c r="M270">
        <v>0</v>
      </c>
      <c r="N270">
        <v>3</v>
      </c>
      <c r="O270">
        <v>38.900100000000002</v>
      </c>
      <c r="P270">
        <v>21.815799999999999</v>
      </c>
      <c r="Q270">
        <v>7.5396400000000003</v>
      </c>
    </row>
    <row r="271" spans="1:17" x14ac:dyDescent="0.25">
      <c r="A271" t="str">
        <f>IF(C271&amp;G271&amp;D271&lt;&gt;'Funnel setup'!$K$3&amp;'Funnel setup'!$K$4&amp;'Funnel setup'!$K$6,".",IF(A270=".",1,A270+1))</f>
        <v>.</v>
      </c>
      <c r="B271" s="244" t="str">
        <f t="shared" si="4"/>
        <v>Hip Replacement PrimarySub-ICB of GP PracticeNHS LEICESTER, LEICESTERSHIRE AND RUTLAND ICB - 04C (04C)Oxford Hip Score</v>
      </c>
      <c r="C271" t="s">
        <v>749</v>
      </c>
      <c r="D271" t="s">
        <v>1021</v>
      </c>
      <c r="E271" t="s">
        <v>865</v>
      </c>
      <c r="F271" t="s">
        <v>866</v>
      </c>
      <c r="G271" t="s">
        <v>964</v>
      </c>
      <c r="H271">
        <v>39</v>
      </c>
      <c r="I271">
        <v>14.2308</v>
      </c>
      <c r="J271">
        <v>37.076900000000002</v>
      </c>
      <c r="K271">
        <v>22.8462</v>
      </c>
      <c r="L271">
        <v>37</v>
      </c>
      <c r="M271">
        <v>0</v>
      </c>
      <c r="N271">
        <v>2</v>
      </c>
      <c r="O271">
        <v>39.126100000000001</v>
      </c>
      <c r="P271">
        <v>22.041799999999999</v>
      </c>
      <c r="Q271">
        <v>10.660299999999999</v>
      </c>
    </row>
    <row r="272" spans="1:17" x14ac:dyDescent="0.25">
      <c r="A272" t="str">
        <f>IF(C272&amp;G272&amp;D272&lt;&gt;'Funnel setup'!$K$3&amp;'Funnel setup'!$K$4&amp;'Funnel setup'!$K$6,".",IF(A271=".",1,A271+1))</f>
        <v>.</v>
      </c>
      <c r="B272" s="244" t="str">
        <f t="shared" si="4"/>
        <v>Hip Replacement PrimarySub-ICB of GP PracticeNHS LEICESTER, LEICESTERSHIRE AND RUTLAND ICB - 04V (04V)Oxford Hip Score</v>
      </c>
      <c r="C272" t="s">
        <v>749</v>
      </c>
      <c r="D272" t="s">
        <v>1021</v>
      </c>
      <c r="E272" t="s">
        <v>867</v>
      </c>
      <c r="F272" t="s">
        <v>868</v>
      </c>
      <c r="G272" t="s">
        <v>964</v>
      </c>
      <c r="H272">
        <v>113</v>
      </c>
      <c r="I272">
        <v>16.619499999999999</v>
      </c>
      <c r="J272">
        <v>40.221200000000003</v>
      </c>
      <c r="K272">
        <v>23.601800000000001</v>
      </c>
      <c r="L272">
        <v>111</v>
      </c>
      <c r="M272">
        <v>2</v>
      </c>
      <c r="N272">
        <v>0</v>
      </c>
      <c r="O272">
        <v>39.998899999999999</v>
      </c>
      <c r="P272">
        <v>22.9146</v>
      </c>
      <c r="Q272">
        <v>8.3664799999999993</v>
      </c>
    </row>
    <row r="273" spans="1:17" x14ac:dyDescent="0.25">
      <c r="A273" t="str">
        <f>IF(C273&amp;G273&amp;D273&lt;&gt;'Funnel setup'!$K$3&amp;'Funnel setup'!$K$4&amp;'Funnel setup'!$K$6,".",IF(A272=".",1,A272+1))</f>
        <v>.</v>
      </c>
      <c r="B273" s="244" t="str">
        <f t="shared" si="4"/>
        <v>Hip Replacement PrimarySub-ICB of GP PracticeNHS LINCOLNSHIRE ICB - 71E (71E)Oxford Hip Score</v>
      </c>
      <c r="C273" t="s">
        <v>749</v>
      </c>
      <c r="D273" t="s">
        <v>1021</v>
      </c>
      <c r="E273" t="s">
        <v>869</v>
      </c>
      <c r="F273" t="s">
        <v>870</v>
      </c>
      <c r="G273" t="s">
        <v>964</v>
      </c>
      <c r="H273">
        <v>264</v>
      </c>
      <c r="I273">
        <v>16.946999999999999</v>
      </c>
      <c r="J273">
        <v>40.7879</v>
      </c>
      <c r="K273">
        <v>23.840900000000001</v>
      </c>
      <c r="L273">
        <v>257</v>
      </c>
      <c r="M273">
        <v>3</v>
      </c>
      <c r="N273">
        <v>4</v>
      </c>
      <c r="O273">
        <v>40.973300000000002</v>
      </c>
      <c r="P273">
        <v>23.888999999999999</v>
      </c>
      <c r="Q273">
        <v>7.2883800000000001</v>
      </c>
    </row>
    <row r="274" spans="1:17" x14ac:dyDescent="0.25">
      <c r="A274" t="str">
        <f>IF(C274&amp;G274&amp;D274&lt;&gt;'Funnel setup'!$K$3&amp;'Funnel setup'!$K$4&amp;'Funnel setup'!$K$6,".",IF(A273=".",1,A273+1))</f>
        <v>.</v>
      </c>
      <c r="B274" s="244" t="str">
        <f t="shared" si="4"/>
        <v>Hip Replacement PrimarySub-ICB of GP PracticeNHS MID AND SOUTH ESSEX ICB - 06Q (06Q)Oxford Hip Score</v>
      </c>
      <c r="C274" t="s">
        <v>749</v>
      </c>
      <c r="D274" t="s">
        <v>1021</v>
      </c>
      <c r="E274" t="s">
        <v>871</v>
      </c>
      <c r="F274" t="s">
        <v>872</v>
      </c>
      <c r="G274" t="s">
        <v>964</v>
      </c>
      <c r="H274">
        <v>116</v>
      </c>
      <c r="I274">
        <v>15.5345</v>
      </c>
      <c r="J274">
        <v>41.5</v>
      </c>
      <c r="K274">
        <v>25.965499999999999</v>
      </c>
      <c r="L274">
        <v>114</v>
      </c>
      <c r="M274">
        <v>0</v>
      </c>
      <c r="N274">
        <v>2</v>
      </c>
      <c r="O274">
        <v>41.897500000000001</v>
      </c>
      <c r="P274">
        <v>24.813199999999998</v>
      </c>
      <c r="Q274">
        <v>6.9013400000000003</v>
      </c>
    </row>
    <row r="275" spans="1:17" x14ac:dyDescent="0.25">
      <c r="A275" t="str">
        <f>IF(C275&amp;G275&amp;D275&lt;&gt;'Funnel setup'!$K$3&amp;'Funnel setup'!$K$4&amp;'Funnel setup'!$K$6,".",IF(A274=".",1,A274+1))</f>
        <v>.</v>
      </c>
      <c r="B275" s="244" t="str">
        <f t="shared" si="4"/>
        <v>Hip Replacement PrimarySub-ICB of GP PracticeNHS MID AND SOUTH ESSEX ICB - 07G (07G)Oxford Hip Score</v>
      </c>
      <c r="C275" t="s">
        <v>749</v>
      </c>
      <c r="D275" t="s">
        <v>1021</v>
      </c>
      <c r="E275" t="s">
        <v>873</v>
      </c>
      <c r="F275" t="s">
        <v>874</v>
      </c>
      <c r="G275" t="s">
        <v>964</v>
      </c>
      <c r="H275">
        <v>34</v>
      </c>
      <c r="I275">
        <v>13.6471</v>
      </c>
      <c r="J275">
        <v>37.411799999999999</v>
      </c>
      <c r="K275">
        <v>23.764700000000001</v>
      </c>
      <c r="L275">
        <v>34</v>
      </c>
      <c r="M275">
        <v>0</v>
      </c>
      <c r="N275">
        <v>0</v>
      </c>
      <c r="O275">
        <v>38.916600000000003</v>
      </c>
      <c r="P275">
        <v>21.8323</v>
      </c>
      <c r="Q275">
        <v>7.9705700000000004</v>
      </c>
    </row>
    <row r="276" spans="1:17" x14ac:dyDescent="0.25">
      <c r="A276" t="str">
        <f>IF(C276&amp;G276&amp;D276&lt;&gt;'Funnel setup'!$K$3&amp;'Funnel setup'!$K$4&amp;'Funnel setup'!$K$6,".",IF(A275=".",1,A275+1))</f>
        <v>.</v>
      </c>
      <c r="B276" s="244" t="str">
        <f t="shared" si="4"/>
        <v>Hip Replacement PrimarySub-ICB of GP PracticeNHS MID AND SOUTH ESSEX ICB - 99E (99E)Oxford Hip Score</v>
      </c>
      <c r="C276" t="s">
        <v>749</v>
      </c>
      <c r="D276" t="s">
        <v>1021</v>
      </c>
      <c r="E276" t="s">
        <v>875</v>
      </c>
      <c r="F276" t="s">
        <v>876</v>
      </c>
      <c r="G276" t="s">
        <v>964</v>
      </c>
      <c r="H276">
        <v>43</v>
      </c>
      <c r="I276">
        <v>14.5349</v>
      </c>
      <c r="J276">
        <v>40.372100000000003</v>
      </c>
      <c r="K276">
        <v>25.837199999999999</v>
      </c>
      <c r="L276">
        <v>43</v>
      </c>
      <c r="M276">
        <v>0</v>
      </c>
      <c r="N276">
        <v>0</v>
      </c>
      <c r="O276">
        <v>41.312899999999999</v>
      </c>
      <c r="P276">
        <v>24.2286</v>
      </c>
      <c r="Q276">
        <v>7.7268800000000004</v>
      </c>
    </row>
    <row r="277" spans="1:17" x14ac:dyDescent="0.25">
      <c r="A277" t="str">
        <f>IF(C277&amp;G277&amp;D277&lt;&gt;'Funnel setup'!$K$3&amp;'Funnel setup'!$K$4&amp;'Funnel setup'!$K$6,".",IF(A276=".",1,A276+1))</f>
        <v>.</v>
      </c>
      <c r="B277" s="244" t="str">
        <f t="shared" si="4"/>
        <v>Hip Replacement PrimarySub-ICB of GP PracticeNHS MID AND SOUTH ESSEX ICB - 99F (99F)Oxford Hip Score</v>
      </c>
      <c r="C277" t="s">
        <v>749</v>
      </c>
      <c r="D277" t="s">
        <v>1021</v>
      </c>
      <c r="E277" t="s">
        <v>877</v>
      </c>
      <c r="F277" t="s">
        <v>878</v>
      </c>
      <c r="G277" t="s">
        <v>964</v>
      </c>
      <c r="H277">
        <v>27</v>
      </c>
      <c r="I277">
        <v>15.2963</v>
      </c>
      <c r="J277">
        <v>41.222200000000001</v>
      </c>
      <c r="K277">
        <v>25.925899999999999</v>
      </c>
      <c r="L277">
        <v>27</v>
      </c>
      <c r="M277">
        <v>0</v>
      </c>
      <c r="N277">
        <v>0</v>
      </c>
      <c r="O277" t="s">
        <v>127</v>
      </c>
      <c r="P277" t="s">
        <v>127</v>
      </c>
      <c r="Q277" t="s">
        <v>127</v>
      </c>
    </row>
    <row r="278" spans="1:17" x14ac:dyDescent="0.25">
      <c r="A278" t="str">
        <f>IF(C278&amp;G278&amp;D278&lt;&gt;'Funnel setup'!$K$3&amp;'Funnel setup'!$K$4&amp;'Funnel setup'!$K$6,".",IF(A277=".",1,A277+1))</f>
        <v>.</v>
      </c>
      <c r="B278" s="244" t="str">
        <f t="shared" si="4"/>
        <v>Hip Replacement PrimarySub-ICB of GP PracticeNHS MID AND SOUTH ESSEX ICB - 99G (99G)Oxford Hip Score</v>
      </c>
      <c r="C278" t="s">
        <v>749</v>
      </c>
      <c r="D278" t="s">
        <v>1021</v>
      </c>
      <c r="E278" t="s">
        <v>879</v>
      </c>
      <c r="F278" t="s">
        <v>880</v>
      </c>
      <c r="G278" t="s">
        <v>964</v>
      </c>
      <c r="H278">
        <v>13</v>
      </c>
      <c r="I278">
        <v>14.9231</v>
      </c>
      <c r="J278">
        <v>40</v>
      </c>
      <c r="K278">
        <v>25.076899999999998</v>
      </c>
      <c r="L278">
        <v>13</v>
      </c>
      <c r="M278">
        <v>0</v>
      </c>
      <c r="N278">
        <v>0</v>
      </c>
      <c r="O278" t="s">
        <v>127</v>
      </c>
      <c r="P278" t="s">
        <v>127</v>
      </c>
      <c r="Q278" t="s">
        <v>127</v>
      </c>
    </row>
    <row r="279" spans="1:17" x14ac:dyDescent="0.25">
      <c r="A279" t="str">
        <f>IF(C279&amp;G279&amp;D279&lt;&gt;'Funnel setup'!$K$3&amp;'Funnel setup'!$K$4&amp;'Funnel setup'!$K$6,".",IF(A278=".",1,A278+1))</f>
        <v>.</v>
      </c>
      <c r="B279" s="244" t="str">
        <f t="shared" si="4"/>
        <v>Hip Replacement PrimarySub-ICB of GP PracticeNHS NORFOLK AND WAVENEY ICB - 26A (26A)Oxford Hip Score</v>
      </c>
      <c r="C279" t="s">
        <v>749</v>
      </c>
      <c r="D279" t="s">
        <v>1021</v>
      </c>
      <c r="E279" t="s">
        <v>881</v>
      </c>
      <c r="F279" t="s">
        <v>882</v>
      </c>
      <c r="G279" t="s">
        <v>964</v>
      </c>
      <c r="H279">
        <v>359</v>
      </c>
      <c r="I279">
        <v>14.908099999999999</v>
      </c>
      <c r="J279">
        <v>39.317500000000003</v>
      </c>
      <c r="K279">
        <v>24.409500000000001</v>
      </c>
      <c r="L279">
        <v>352</v>
      </c>
      <c r="M279">
        <v>0</v>
      </c>
      <c r="N279">
        <v>7</v>
      </c>
      <c r="O279">
        <v>40.270200000000003</v>
      </c>
      <c r="P279">
        <v>23.1859</v>
      </c>
      <c r="Q279">
        <v>8.5696600000000007</v>
      </c>
    </row>
    <row r="280" spans="1:17" x14ac:dyDescent="0.25">
      <c r="A280" t="str">
        <f>IF(C280&amp;G280&amp;D280&lt;&gt;'Funnel setup'!$K$3&amp;'Funnel setup'!$K$4&amp;'Funnel setup'!$K$6,".",IF(A279=".",1,A279+1))</f>
        <v>.</v>
      </c>
      <c r="B280" s="244" t="str">
        <f t="shared" si="4"/>
        <v>Hip Replacement PrimarySub-ICB of GP PracticeNHS NORTH CENTRAL LONDON ICB - 93C (93C)Oxford Hip Score</v>
      </c>
      <c r="C280" t="s">
        <v>749</v>
      </c>
      <c r="D280" t="s">
        <v>1021</v>
      </c>
      <c r="E280" t="s">
        <v>883</v>
      </c>
      <c r="F280" t="s">
        <v>884</v>
      </c>
      <c r="G280" t="s">
        <v>964</v>
      </c>
      <c r="H280">
        <v>150</v>
      </c>
      <c r="I280">
        <v>18.7333</v>
      </c>
      <c r="J280">
        <v>38.533299999999997</v>
      </c>
      <c r="K280">
        <v>19.8</v>
      </c>
      <c r="L280">
        <v>143</v>
      </c>
      <c r="M280">
        <v>1</v>
      </c>
      <c r="N280">
        <v>6</v>
      </c>
      <c r="O280">
        <v>38.689500000000002</v>
      </c>
      <c r="P280">
        <v>21.6052</v>
      </c>
      <c r="Q280">
        <v>8.7819299999999991</v>
      </c>
    </row>
    <row r="281" spans="1:17" x14ac:dyDescent="0.25">
      <c r="A281" t="str">
        <f>IF(C281&amp;G281&amp;D281&lt;&gt;'Funnel setup'!$K$3&amp;'Funnel setup'!$K$4&amp;'Funnel setup'!$K$6,".",IF(A280=".",1,A280+1))</f>
        <v>.</v>
      </c>
      <c r="B281" s="244" t="str">
        <f t="shared" si="4"/>
        <v>Hip Replacement PrimarySub-ICB of GP PracticeNHS NORTH EAST AND NORTH CUMBRIA ICB - 00L (00L)Oxford Hip Score</v>
      </c>
      <c r="C281" t="s">
        <v>749</v>
      </c>
      <c r="D281" t="s">
        <v>1021</v>
      </c>
      <c r="E281" t="s">
        <v>885</v>
      </c>
      <c r="F281" t="s">
        <v>886</v>
      </c>
      <c r="G281" t="s">
        <v>964</v>
      </c>
      <c r="H281">
        <v>161</v>
      </c>
      <c r="I281">
        <v>15.4224</v>
      </c>
      <c r="J281">
        <v>39.906799999999997</v>
      </c>
      <c r="K281">
        <v>24.484500000000001</v>
      </c>
      <c r="L281">
        <v>159</v>
      </c>
      <c r="M281">
        <v>0</v>
      </c>
      <c r="N281">
        <v>2</v>
      </c>
      <c r="O281">
        <v>40.525799999999997</v>
      </c>
      <c r="P281">
        <v>23.441500000000001</v>
      </c>
      <c r="Q281">
        <v>8.4410399999999992</v>
      </c>
    </row>
    <row r="282" spans="1:17" x14ac:dyDescent="0.25">
      <c r="A282" t="str">
        <f>IF(C282&amp;G282&amp;D282&lt;&gt;'Funnel setup'!$K$3&amp;'Funnel setup'!$K$4&amp;'Funnel setup'!$K$6,".",IF(A281=".",1,A281+1))</f>
        <v>.</v>
      </c>
      <c r="B282" s="244" t="str">
        <f t="shared" si="4"/>
        <v>Hip Replacement PrimarySub-ICB of GP PracticeNHS NORTH EAST AND NORTH CUMBRIA ICB - 00N (00N)Oxford Hip Score</v>
      </c>
      <c r="C282" t="s">
        <v>749</v>
      </c>
      <c r="D282" t="s">
        <v>1021</v>
      </c>
      <c r="E282" t="s">
        <v>887</v>
      </c>
      <c r="F282" t="s">
        <v>888</v>
      </c>
      <c r="G282" t="s">
        <v>964</v>
      </c>
      <c r="H282">
        <v>10</v>
      </c>
      <c r="I282">
        <v>14.4</v>
      </c>
      <c r="J282">
        <v>44.6</v>
      </c>
      <c r="K282">
        <v>30.2</v>
      </c>
      <c r="L282">
        <v>10</v>
      </c>
      <c r="M282">
        <v>0</v>
      </c>
      <c r="N282">
        <v>0</v>
      </c>
      <c r="O282" t="s">
        <v>127</v>
      </c>
      <c r="P282" t="s">
        <v>127</v>
      </c>
      <c r="Q282" t="s">
        <v>127</v>
      </c>
    </row>
    <row r="283" spans="1:17" x14ac:dyDescent="0.25">
      <c r="A283" t="str">
        <f>IF(C283&amp;G283&amp;D283&lt;&gt;'Funnel setup'!$K$3&amp;'Funnel setup'!$K$4&amp;'Funnel setup'!$K$6,".",IF(A282=".",1,A282+1))</f>
        <v>.</v>
      </c>
      <c r="B283" s="244" t="str">
        <f t="shared" si="4"/>
        <v>Hip Replacement PrimarySub-ICB of GP PracticeNHS NORTH EAST AND NORTH CUMBRIA ICB - 00P (00P)Oxford Hip Score</v>
      </c>
      <c r="C283" t="s">
        <v>749</v>
      </c>
      <c r="D283" t="s">
        <v>1021</v>
      </c>
      <c r="E283" t="s">
        <v>889</v>
      </c>
      <c r="F283" t="s">
        <v>890</v>
      </c>
      <c r="G283" t="s">
        <v>964</v>
      </c>
      <c r="H283">
        <v>34</v>
      </c>
      <c r="I283">
        <v>13.2941</v>
      </c>
      <c r="J283">
        <v>35.823500000000003</v>
      </c>
      <c r="K283">
        <v>22.529399999999999</v>
      </c>
      <c r="L283">
        <v>32</v>
      </c>
      <c r="M283">
        <v>0</v>
      </c>
      <c r="N283">
        <v>2</v>
      </c>
      <c r="O283">
        <v>37.994599999999998</v>
      </c>
      <c r="P283">
        <v>20.910299999999999</v>
      </c>
      <c r="Q283">
        <v>10.5672</v>
      </c>
    </row>
    <row r="284" spans="1:17" x14ac:dyDescent="0.25">
      <c r="A284" t="str">
        <f>IF(C284&amp;G284&amp;D284&lt;&gt;'Funnel setup'!$K$3&amp;'Funnel setup'!$K$4&amp;'Funnel setup'!$K$6,".",IF(A283=".",1,A283+1))</f>
        <v>.</v>
      </c>
      <c r="B284" s="244" t="str">
        <f t="shared" si="4"/>
        <v>Hip Replacement PrimarySub-ICB of GP PracticeNHS NORTH EAST AND NORTH CUMBRIA ICB - 01H (01H)Oxford Hip Score</v>
      </c>
      <c r="C284" t="s">
        <v>749</v>
      </c>
      <c r="D284" t="s">
        <v>1021</v>
      </c>
      <c r="E284" t="s">
        <v>891</v>
      </c>
      <c r="F284" t="s">
        <v>892</v>
      </c>
      <c r="G284" t="s">
        <v>964</v>
      </c>
      <c r="H284">
        <v>175</v>
      </c>
      <c r="I284">
        <v>14.948600000000001</v>
      </c>
      <c r="J284">
        <v>40.102899999999998</v>
      </c>
      <c r="K284">
        <v>25.154299999999999</v>
      </c>
      <c r="L284">
        <v>174</v>
      </c>
      <c r="M284">
        <v>0</v>
      </c>
      <c r="N284">
        <v>1</v>
      </c>
      <c r="O284">
        <v>40.924199999999999</v>
      </c>
      <c r="P284">
        <v>23.8399</v>
      </c>
      <c r="Q284">
        <v>8.0659899999999993</v>
      </c>
    </row>
    <row r="285" spans="1:17" x14ac:dyDescent="0.25">
      <c r="A285" t="str">
        <f>IF(C285&amp;G285&amp;D285&lt;&gt;'Funnel setup'!$K$3&amp;'Funnel setup'!$K$4&amp;'Funnel setup'!$K$6,".",IF(A284=".",1,A284+1))</f>
        <v>.</v>
      </c>
      <c r="B285" s="244" t="str">
        <f t="shared" si="4"/>
        <v>Hip Replacement PrimarySub-ICB of GP PracticeNHS NORTH EAST AND NORTH CUMBRIA ICB - 13T (13T)Oxford Hip Score</v>
      </c>
      <c r="C285" t="s">
        <v>749</v>
      </c>
      <c r="D285" t="s">
        <v>1021</v>
      </c>
      <c r="E285" t="s">
        <v>893</v>
      </c>
      <c r="F285" t="s">
        <v>894</v>
      </c>
      <c r="G285" t="s">
        <v>964</v>
      </c>
      <c r="H285">
        <v>100</v>
      </c>
      <c r="I285">
        <v>15.32</v>
      </c>
      <c r="J285">
        <v>39.29</v>
      </c>
      <c r="K285">
        <v>23.97</v>
      </c>
      <c r="L285">
        <v>99</v>
      </c>
      <c r="M285">
        <v>0</v>
      </c>
      <c r="N285">
        <v>1</v>
      </c>
      <c r="O285">
        <v>40.3093</v>
      </c>
      <c r="P285">
        <v>23.225100000000001</v>
      </c>
      <c r="Q285">
        <v>7.8559000000000001</v>
      </c>
    </row>
    <row r="286" spans="1:17" x14ac:dyDescent="0.25">
      <c r="A286" t="str">
        <f>IF(C286&amp;G286&amp;D286&lt;&gt;'Funnel setup'!$K$3&amp;'Funnel setup'!$K$4&amp;'Funnel setup'!$K$6,".",IF(A285=".",1,A285+1))</f>
        <v>.</v>
      </c>
      <c r="B286" s="244" t="str">
        <f t="shared" si="4"/>
        <v>Hip Replacement PrimarySub-ICB of GP PracticeNHS NORTH EAST AND NORTH CUMBRIA ICB - 16C (16C)Oxford Hip Score</v>
      </c>
      <c r="C286" t="s">
        <v>749</v>
      </c>
      <c r="D286" t="s">
        <v>1021</v>
      </c>
      <c r="E286" t="s">
        <v>895</v>
      </c>
      <c r="F286" t="s">
        <v>896</v>
      </c>
      <c r="G286" t="s">
        <v>964</v>
      </c>
      <c r="H286">
        <v>368</v>
      </c>
      <c r="I286">
        <v>16.967400000000001</v>
      </c>
      <c r="J286">
        <v>39.171199999999999</v>
      </c>
      <c r="K286">
        <v>22.203800000000001</v>
      </c>
      <c r="L286">
        <v>355</v>
      </c>
      <c r="M286">
        <v>3</v>
      </c>
      <c r="N286">
        <v>10</v>
      </c>
      <c r="O286">
        <v>39.526299999999999</v>
      </c>
      <c r="P286">
        <v>22.442</v>
      </c>
      <c r="Q286">
        <v>8.4811399999999999</v>
      </c>
    </row>
    <row r="287" spans="1:17" x14ac:dyDescent="0.25">
      <c r="A287" t="str">
        <f>IF(C287&amp;G287&amp;D287&lt;&gt;'Funnel setup'!$K$3&amp;'Funnel setup'!$K$4&amp;'Funnel setup'!$K$6,".",IF(A286=".",1,A286+1))</f>
        <v>.</v>
      </c>
      <c r="B287" s="244" t="str">
        <f t="shared" si="4"/>
        <v>Hip Replacement PrimarySub-ICB of GP PracticeNHS NORTH EAST AND NORTH CUMBRIA ICB - 84H (84H)Oxford Hip Score</v>
      </c>
      <c r="C287" t="s">
        <v>749</v>
      </c>
      <c r="D287" t="s">
        <v>1021</v>
      </c>
      <c r="E287" t="s">
        <v>897</v>
      </c>
      <c r="F287" t="s">
        <v>898</v>
      </c>
      <c r="G287" t="s">
        <v>964</v>
      </c>
      <c r="H287">
        <v>273</v>
      </c>
      <c r="I287">
        <v>16.238099999999999</v>
      </c>
      <c r="J287">
        <v>39.586100000000002</v>
      </c>
      <c r="K287">
        <v>23.347999999999999</v>
      </c>
      <c r="L287">
        <v>267</v>
      </c>
      <c r="M287">
        <v>0</v>
      </c>
      <c r="N287">
        <v>6</v>
      </c>
      <c r="O287">
        <v>40.1616</v>
      </c>
      <c r="P287">
        <v>23.077300000000001</v>
      </c>
      <c r="Q287">
        <v>8.6097000000000001</v>
      </c>
    </row>
    <row r="288" spans="1:17" x14ac:dyDescent="0.25">
      <c r="A288" t="str">
        <f>IF(C288&amp;G288&amp;D288&lt;&gt;'Funnel setup'!$K$3&amp;'Funnel setup'!$K$4&amp;'Funnel setup'!$K$6,".",IF(A287=".",1,A287+1))</f>
        <v>.</v>
      </c>
      <c r="B288" s="244" t="str">
        <f t="shared" si="4"/>
        <v>Hip Replacement PrimarySub-ICB of GP PracticeNHS NORTH EAST AND NORTH CUMBRIA ICB - 99C (99C)Oxford Hip Score</v>
      </c>
      <c r="C288" t="s">
        <v>749</v>
      </c>
      <c r="D288" t="s">
        <v>1021</v>
      </c>
      <c r="E288" t="s">
        <v>899</v>
      </c>
      <c r="F288" t="s">
        <v>900</v>
      </c>
      <c r="G288" t="s">
        <v>964</v>
      </c>
      <c r="H288">
        <v>77</v>
      </c>
      <c r="I288">
        <v>16.883099999999999</v>
      </c>
      <c r="J288">
        <v>40.285699999999999</v>
      </c>
      <c r="K288">
        <v>23.4026</v>
      </c>
      <c r="L288">
        <v>75</v>
      </c>
      <c r="M288">
        <v>0</v>
      </c>
      <c r="N288">
        <v>2</v>
      </c>
      <c r="O288">
        <v>40.365000000000002</v>
      </c>
      <c r="P288">
        <v>23.2807</v>
      </c>
      <c r="Q288">
        <v>7.6078400000000004</v>
      </c>
    </row>
    <row r="289" spans="1:17" x14ac:dyDescent="0.25">
      <c r="A289" t="str">
        <f>IF(C289&amp;G289&amp;D289&lt;&gt;'Funnel setup'!$K$3&amp;'Funnel setup'!$K$4&amp;'Funnel setup'!$K$6,".",IF(A288=".",1,A288+1))</f>
        <v>.</v>
      </c>
      <c r="B289" s="244" t="str">
        <f t="shared" si="4"/>
        <v>Hip Replacement PrimarySub-ICB of GP PracticeNHS NORTH EAST LONDON ICB - A3A8R (A3A8R)Oxford Hip Score</v>
      </c>
      <c r="C289" t="s">
        <v>749</v>
      </c>
      <c r="D289" t="s">
        <v>1021</v>
      </c>
      <c r="E289" t="s">
        <v>901</v>
      </c>
      <c r="F289" t="s">
        <v>902</v>
      </c>
      <c r="G289" t="s">
        <v>964</v>
      </c>
      <c r="H289">
        <v>168</v>
      </c>
      <c r="I289">
        <v>16.0595</v>
      </c>
      <c r="J289">
        <v>36.982100000000003</v>
      </c>
      <c r="K289">
        <v>20.922599999999999</v>
      </c>
      <c r="L289">
        <v>162</v>
      </c>
      <c r="M289">
        <v>0</v>
      </c>
      <c r="N289">
        <v>6</v>
      </c>
      <c r="O289">
        <v>38.209499999999998</v>
      </c>
      <c r="P289">
        <v>21.1252</v>
      </c>
      <c r="Q289">
        <v>8.9098199999999999</v>
      </c>
    </row>
    <row r="290" spans="1:17" x14ac:dyDescent="0.25">
      <c r="A290" t="str">
        <f>IF(C290&amp;G290&amp;D290&lt;&gt;'Funnel setup'!$K$3&amp;'Funnel setup'!$K$4&amp;'Funnel setup'!$K$6,".",IF(A289=".",1,A289+1))</f>
        <v>.</v>
      </c>
      <c r="B290" s="244" t="str">
        <f t="shared" si="4"/>
        <v>Hip Replacement PrimarySub-ICB of GP PracticeNHS NORTH WEST LONDON ICB - W2U3Z (W2U3Z)Oxford Hip Score</v>
      </c>
      <c r="C290" t="s">
        <v>749</v>
      </c>
      <c r="D290" t="s">
        <v>1021</v>
      </c>
      <c r="E290" t="s">
        <v>903</v>
      </c>
      <c r="F290" t="s">
        <v>904</v>
      </c>
      <c r="G290" t="s">
        <v>964</v>
      </c>
      <c r="H290">
        <v>155</v>
      </c>
      <c r="I290">
        <v>18.245200000000001</v>
      </c>
      <c r="J290">
        <v>40.658099999999997</v>
      </c>
      <c r="K290">
        <v>22.4129</v>
      </c>
      <c r="L290">
        <v>152</v>
      </c>
      <c r="M290">
        <v>0</v>
      </c>
      <c r="N290">
        <v>3</v>
      </c>
      <c r="O290">
        <v>40.656500000000001</v>
      </c>
      <c r="P290">
        <v>23.572199999999999</v>
      </c>
      <c r="Q290">
        <v>7.3798399999999997</v>
      </c>
    </row>
    <row r="291" spans="1:17" x14ac:dyDescent="0.25">
      <c r="A291" t="str">
        <f>IF(C291&amp;G291&amp;D291&lt;&gt;'Funnel setup'!$K$3&amp;'Funnel setup'!$K$4&amp;'Funnel setup'!$K$6,".",IF(A290=".",1,A290+1))</f>
        <v>.</v>
      </c>
      <c r="B291" s="244" t="str">
        <f t="shared" si="4"/>
        <v>Hip Replacement PrimarySub-ICB of GP PracticeNHS NORTHAMPTONSHIRE ICB - 78H (78H)Oxford Hip Score</v>
      </c>
      <c r="C291" t="s">
        <v>749</v>
      </c>
      <c r="D291" t="s">
        <v>1021</v>
      </c>
      <c r="E291" t="s">
        <v>905</v>
      </c>
      <c r="F291" t="s">
        <v>906</v>
      </c>
      <c r="G291" t="s">
        <v>964</v>
      </c>
      <c r="H291">
        <v>250</v>
      </c>
      <c r="I291">
        <v>15.804</v>
      </c>
      <c r="J291">
        <v>39.152000000000001</v>
      </c>
      <c r="K291">
        <v>23.347999999999999</v>
      </c>
      <c r="L291">
        <v>242</v>
      </c>
      <c r="M291">
        <v>0</v>
      </c>
      <c r="N291">
        <v>8</v>
      </c>
      <c r="O291">
        <v>39.290199999999999</v>
      </c>
      <c r="P291">
        <v>22.2059</v>
      </c>
      <c r="Q291">
        <v>8.8009000000000004</v>
      </c>
    </row>
    <row r="292" spans="1:17" x14ac:dyDescent="0.25">
      <c r="A292" t="str">
        <f>IF(C292&amp;G292&amp;D292&lt;&gt;'Funnel setup'!$K$3&amp;'Funnel setup'!$K$4&amp;'Funnel setup'!$K$6,".",IF(A291=".",1,A291+1))</f>
        <v>.</v>
      </c>
      <c r="B292" s="244" t="str">
        <f t="shared" si="4"/>
        <v>Hip Replacement PrimarySub-ICB of GP PracticeNHS NOTTINGHAM AND NOTTINGHAMSHIRE ICB - 02Q (02Q)Oxford Hip Score</v>
      </c>
      <c r="C292" t="s">
        <v>749</v>
      </c>
      <c r="D292" t="s">
        <v>1021</v>
      </c>
      <c r="E292" t="s">
        <v>907</v>
      </c>
      <c r="F292" t="s">
        <v>908</v>
      </c>
      <c r="G292" t="s">
        <v>964</v>
      </c>
      <c r="H292">
        <v>51</v>
      </c>
      <c r="I292">
        <v>14.8627</v>
      </c>
      <c r="J292">
        <v>38.078400000000002</v>
      </c>
      <c r="K292">
        <v>23.215699999999998</v>
      </c>
      <c r="L292">
        <v>49</v>
      </c>
      <c r="M292">
        <v>0</v>
      </c>
      <c r="N292">
        <v>2</v>
      </c>
      <c r="O292">
        <v>39.452500000000001</v>
      </c>
      <c r="P292">
        <v>22.368200000000002</v>
      </c>
      <c r="Q292">
        <v>7.9207000000000001</v>
      </c>
    </row>
    <row r="293" spans="1:17" x14ac:dyDescent="0.25">
      <c r="A293" t="str">
        <f>IF(C293&amp;G293&amp;D293&lt;&gt;'Funnel setup'!$K$3&amp;'Funnel setup'!$K$4&amp;'Funnel setup'!$K$6,".",IF(A292=".",1,A292+1))</f>
        <v>.</v>
      </c>
      <c r="B293" s="244" t="str">
        <f t="shared" si="4"/>
        <v>Hip Replacement PrimarySub-ICB of GP PracticeNHS NOTTINGHAM AND NOTTINGHAMSHIRE ICB - 52R (52R)Oxford Hip Score</v>
      </c>
      <c r="C293" t="s">
        <v>749</v>
      </c>
      <c r="D293" t="s">
        <v>1021</v>
      </c>
      <c r="E293" t="s">
        <v>909</v>
      </c>
      <c r="F293" t="s">
        <v>910</v>
      </c>
      <c r="G293" t="s">
        <v>964</v>
      </c>
      <c r="H293">
        <v>149</v>
      </c>
      <c r="I293">
        <v>15.2819</v>
      </c>
      <c r="J293">
        <v>39.228200000000001</v>
      </c>
      <c r="K293">
        <v>23.946300000000001</v>
      </c>
      <c r="L293">
        <v>147</v>
      </c>
      <c r="M293">
        <v>0</v>
      </c>
      <c r="N293">
        <v>2</v>
      </c>
      <c r="O293">
        <v>39.709299999999999</v>
      </c>
      <c r="P293">
        <v>22.625</v>
      </c>
      <c r="Q293">
        <v>7.7839499999999999</v>
      </c>
    </row>
    <row r="294" spans="1:17" x14ac:dyDescent="0.25">
      <c r="A294" t="str">
        <f>IF(C294&amp;G294&amp;D294&lt;&gt;'Funnel setup'!$K$3&amp;'Funnel setup'!$K$4&amp;'Funnel setup'!$K$6,".",IF(A293=".",1,A293+1))</f>
        <v>.</v>
      </c>
      <c r="B294" s="244" t="str">
        <f t="shared" si="4"/>
        <v>Hip Replacement PrimarySub-ICB of GP PracticeNHS SHROPSHIRE, TELFORD AND WREKIN ICB - M2L0M (M2L0M)Oxford Hip Score</v>
      </c>
      <c r="C294" t="s">
        <v>749</v>
      </c>
      <c r="D294" t="s">
        <v>1021</v>
      </c>
      <c r="E294" t="s">
        <v>911</v>
      </c>
      <c r="F294" t="s">
        <v>912</v>
      </c>
      <c r="G294" t="s">
        <v>964</v>
      </c>
      <c r="H294">
        <v>264</v>
      </c>
      <c r="I294">
        <v>12.8902</v>
      </c>
      <c r="J294">
        <v>40.2727</v>
      </c>
      <c r="K294">
        <v>27.3826</v>
      </c>
      <c r="L294">
        <v>263</v>
      </c>
      <c r="M294">
        <v>0</v>
      </c>
      <c r="N294">
        <v>1</v>
      </c>
      <c r="O294">
        <v>41.8536</v>
      </c>
      <c r="P294">
        <v>24.769300000000001</v>
      </c>
      <c r="Q294">
        <v>7.8282499999999997</v>
      </c>
    </row>
    <row r="295" spans="1:17" x14ac:dyDescent="0.25">
      <c r="A295" t="str">
        <f>IF(C295&amp;G295&amp;D295&lt;&gt;'Funnel setup'!$K$3&amp;'Funnel setup'!$K$4&amp;'Funnel setup'!$K$6,".",IF(A294=".",1,A294+1))</f>
        <v>.</v>
      </c>
      <c r="B295" s="244" t="str">
        <f t="shared" si="4"/>
        <v>Hip Replacement PrimarySub-ICB of GP PracticeNHS SOMERSET ICB - 11X (11X)Oxford Hip Score</v>
      </c>
      <c r="C295" t="s">
        <v>749</v>
      </c>
      <c r="D295" t="s">
        <v>1021</v>
      </c>
      <c r="E295" t="s">
        <v>913</v>
      </c>
      <c r="F295" t="s">
        <v>914</v>
      </c>
      <c r="G295" t="s">
        <v>964</v>
      </c>
      <c r="H295">
        <v>255</v>
      </c>
      <c r="I295">
        <v>18.145099999999999</v>
      </c>
      <c r="J295">
        <v>42.031399999999998</v>
      </c>
      <c r="K295">
        <v>23.886299999999999</v>
      </c>
      <c r="L295">
        <v>253</v>
      </c>
      <c r="M295">
        <v>0</v>
      </c>
      <c r="N295">
        <v>2</v>
      </c>
      <c r="O295">
        <v>41.064999999999998</v>
      </c>
      <c r="P295">
        <v>23.980699999999999</v>
      </c>
      <c r="Q295">
        <v>7.14466</v>
      </c>
    </row>
    <row r="296" spans="1:17" x14ac:dyDescent="0.25">
      <c r="A296" t="str">
        <f>IF(C296&amp;G296&amp;D296&lt;&gt;'Funnel setup'!$K$3&amp;'Funnel setup'!$K$4&amp;'Funnel setup'!$K$6,".",IF(A295=".",1,A295+1))</f>
        <v>.</v>
      </c>
      <c r="B296" s="244" t="str">
        <f t="shared" si="4"/>
        <v>Hip Replacement PrimarySub-ICB of GP PracticeNHS SOUTH EAST LONDON ICB - 72Q (72Q)Oxford Hip Score</v>
      </c>
      <c r="C296" t="s">
        <v>749</v>
      </c>
      <c r="D296" t="s">
        <v>1021</v>
      </c>
      <c r="E296" t="s">
        <v>915</v>
      </c>
      <c r="F296" t="s">
        <v>916</v>
      </c>
      <c r="G296" t="s">
        <v>964</v>
      </c>
      <c r="H296">
        <v>138</v>
      </c>
      <c r="I296">
        <v>18.224599999999999</v>
      </c>
      <c r="J296">
        <v>39.434800000000003</v>
      </c>
      <c r="K296">
        <v>21.210100000000001</v>
      </c>
      <c r="L296">
        <v>134</v>
      </c>
      <c r="M296">
        <v>1</v>
      </c>
      <c r="N296">
        <v>3</v>
      </c>
      <c r="O296">
        <v>39.0777</v>
      </c>
      <c r="P296">
        <v>21.993400000000001</v>
      </c>
      <c r="Q296">
        <v>8.6676099999999998</v>
      </c>
    </row>
    <row r="297" spans="1:17" x14ac:dyDescent="0.25">
      <c r="A297" t="str">
        <f>IF(C297&amp;G297&amp;D297&lt;&gt;'Funnel setup'!$K$3&amp;'Funnel setup'!$K$4&amp;'Funnel setup'!$K$6,".",IF(A296=".",1,A296+1))</f>
        <v>.</v>
      </c>
      <c r="B297" s="244" t="str">
        <f t="shared" si="4"/>
        <v>Hip Replacement PrimarySub-ICB of GP PracticeNHS SOUTH WEST LONDON ICB - 36L (36L)Oxford Hip Score</v>
      </c>
      <c r="C297" t="s">
        <v>749</v>
      </c>
      <c r="D297" t="s">
        <v>1021</v>
      </c>
      <c r="E297" t="s">
        <v>917</v>
      </c>
      <c r="F297" t="s">
        <v>918</v>
      </c>
      <c r="G297" t="s">
        <v>964</v>
      </c>
      <c r="H297">
        <v>385</v>
      </c>
      <c r="I297">
        <v>18.755800000000001</v>
      </c>
      <c r="J297">
        <v>39.826000000000001</v>
      </c>
      <c r="K297">
        <v>21.0701</v>
      </c>
      <c r="L297">
        <v>377</v>
      </c>
      <c r="M297">
        <v>0</v>
      </c>
      <c r="N297">
        <v>8</v>
      </c>
      <c r="O297">
        <v>39.355499999999999</v>
      </c>
      <c r="P297">
        <v>22.2712</v>
      </c>
      <c r="Q297">
        <v>7.8568300000000004</v>
      </c>
    </row>
    <row r="298" spans="1:17" x14ac:dyDescent="0.25">
      <c r="A298" t="str">
        <f>IF(C298&amp;G298&amp;D298&lt;&gt;'Funnel setup'!$K$3&amp;'Funnel setup'!$K$4&amp;'Funnel setup'!$K$6,".",IF(A297=".",1,A297+1))</f>
        <v>.</v>
      </c>
      <c r="B298" s="244" t="str">
        <f t="shared" si="4"/>
        <v>Hip Replacement PrimarySub-ICB of GP PracticeNHS SOUTH YORKSHIRE ICB - 02P (02P)Oxford Hip Score</v>
      </c>
      <c r="C298" t="s">
        <v>749</v>
      </c>
      <c r="D298" t="s">
        <v>1021</v>
      </c>
      <c r="E298" t="s">
        <v>919</v>
      </c>
      <c r="F298" t="s">
        <v>920</v>
      </c>
      <c r="G298" t="s">
        <v>964</v>
      </c>
      <c r="H298">
        <v>46</v>
      </c>
      <c r="I298">
        <v>13.434799999999999</v>
      </c>
      <c r="J298">
        <v>36.434800000000003</v>
      </c>
      <c r="K298">
        <v>23</v>
      </c>
      <c r="L298">
        <v>44</v>
      </c>
      <c r="M298">
        <v>0</v>
      </c>
      <c r="N298">
        <v>2</v>
      </c>
      <c r="O298">
        <v>39.167200000000001</v>
      </c>
      <c r="P298">
        <v>22.082899999999999</v>
      </c>
      <c r="Q298">
        <v>9.0043600000000001</v>
      </c>
    </row>
    <row r="299" spans="1:17" x14ac:dyDescent="0.25">
      <c r="A299" t="str">
        <f>IF(C299&amp;G299&amp;D299&lt;&gt;'Funnel setup'!$K$3&amp;'Funnel setup'!$K$4&amp;'Funnel setup'!$K$6,".",IF(A298=".",1,A298+1))</f>
        <v>.</v>
      </c>
      <c r="B299" s="244" t="str">
        <f t="shared" si="4"/>
        <v>Hip Replacement PrimarySub-ICB of GP PracticeNHS SOUTH YORKSHIRE ICB - 02X (02X)Oxford Hip Score</v>
      </c>
      <c r="C299" t="s">
        <v>749</v>
      </c>
      <c r="D299" t="s">
        <v>1021</v>
      </c>
      <c r="E299" t="s">
        <v>921</v>
      </c>
      <c r="F299" t="s">
        <v>922</v>
      </c>
      <c r="G299" t="s">
        <v>964</v>
      </c>
      <c r="H299">
        <v>88</v>
      </c>
      <c r="I299">
        <v>15.454499999999999</v>
      </c>
      <c r="J299">
        <v>37.75</v>
      </c>
      <c r="K299">
        <v>22.295500000000001</v>
      </c>
      <c r="L299">
        <v>81</v>
      </c>
      <c r="M299">
        <v>0</v>
      </c>
      <c r="N299">
        <v>7</v>
      </c>
      <c r="O299">
        <v>38.237499999999997</v>
      </c>
      <c r="P299">
        <v>21.153199999999998</v>
      </c>
      <c r="Q299">
        <v>10.308</v>
      </c>
    </row>
    <row r="300" spans="1:17" x14ac:dyDescent="0.25">
      <c r="A300" t="str">
        <f>IF(C300&amp;G300&amp;D300&lt;&gt;'Funnel setup'!$K$3&amp;'Funnel setup'!$K$4&amp;'Funnel setup'!$K$6,".",IF(A299=".",1,A299+1))</f>
        <v>.</v>
      </c>
      <c r="B300" s="244" t="str">
        <f t="shared" si="4"/>
        <v>Hip Replacement PrimarySub-ICB of GP PracticeNHS SOUTH YORKSHIRE ICB - 03L (03L)Oxford Hip Score</v>
      </c>
      <c r="C300" t="s">
        <v>749</v>
      </c>
      <c r="D300" t="s">
        <v>1021</v>
      </c>
      <c r="E300" t="s">
        <v>923</v>
      </c>
      <c r="F300" t="s">
        <v>924</v>
      </c>
      <c r="G300" t="s">
        <v>964</v>
      </c>
      <c r="H300">
        <v>39</v>
      </c>
      <c r="I300">
        <v>16.5641</v>
      </c>
      <c r="J300">
        <v>38.692300000000003</v>
      </c>
      <c r="K300">
        <v>22.1282</v>
      </c>
      <c r="L300">
        <v>39</v>
      </c>
      <c r="M300">
        <v>0</v>
      </c>
      <c r="N300">
        <v>0</v>
      </c>
      <c r="O300">
        <v>39.604199999999999</v>
      </c>
      <c r="P300">
        <v>22.5199</v>
      </c>
      <c r="Q300">
        <v>9.14649</v>
      </c>
    </row>
    <row r="301" spans="1:17" x14ac:dyDescent="0.25">
      <c r="A301" t="str">
        <f>IF(C301&amp;G301&amp;D301&lt;&gt;'Funnel setup'!$K$3&amp;'Funnel setup'!$K$4&amp;'Funnel setup'!$K$6,".",IF(A300=".",1,A300+1))</f>
        <v>.</v>
      </c>
      <c r="B301" s="244" t="str">
        <f t="shared" si="4"/>
        <v>Hip Replacement PrimarySub-ICB of GP PracticeNHS SOUTH YORKSHIRE ICB - 03N (03N)Oxford Hip Score</v>
      </c>
      <c r="C301" t="s">
        <v>749</v>
      </c>
      <c r="D301" t="s">
        <v>1021</v>
      </c>
      <c r="E301" t="s">
        <v>925</v>
      </c>
      <c r="F301" t="s">
        <v>926</v>
      </c>
      <c r="G301" t="s">
        <v>964</v>
      </c>
      <c r="H301">
        <v>34</v>
      </c>
      <c r="I301">
        <v>18.176500000000001</v>
      </c>
      <c r="J301">
        <v>41.352899999999998</v>
      </c>
      <c r="K301">
        <v>23.176500000000001</v>
      </c>
      <c r="L301">
        <v>33</v>
      </c>
      <c r="M301">
        <v>0</v>
      </c>
      <c r="N301">
        <v>1</v>
      </c>
      <c r="O301">
        <v>40.602400000000003</v>
      </c>
      <c r="P301">
        <v>23.5181</v>
      </c>
      <c r="Q301">
        <v>7.7976200000000002</v>
      </c>
    </row>
    <row r="302" spans="1:17" x14ac:dyDescent="0.25">
      <c r="A302" t="str">
        <f>IF(C302&amp;G302&amp;D302&lt;&gt;'Funnel setup'!$K$3&amp;'Funnel setup'!$K$4&amp;'Funnel setup'!$K$6,".",IF(A301=".",1,A301+1))</f>
        <v>.</v>
      </c>
      <c r="B302" s="244" t="str">
        <f t="shared" si="4"/>
        <v>Hip Replacement PrimarySub-ICB of GP PracticeNHS STAFFORDSHIRE AND STOKE-ON-TRENT ICB - 04Y (04Y)Oxford Hip Score</v>
      </c>
      <c r="C302" t="s">
        <v>749</v>
      </c>
      <c r="D302" t="s">
        <v>1021</v>
      </c>
      <c r="E302" t="s">
        <v>927</v>
      </c>
      <c r="F302" t="s">
        <v>928</v>
      </c>
      <c r="G302" t="s">
        <v>964</v>
      </c>
      <c r="H302">
        <v>32</v>
      </c>
      <c r="I302">
        <v>18.4375</v>
      </c>
      <c r="J302">
        <v>41.3125</v>
      </c>
      <c r="K302">
        <v>22.875</v>
      </c>
      <c r="L302">
        <v>32</v>
      </c>
      <c r="M302">
        <v>0</v>
      </c>
      <c r="N302">
        <v>0</v>
      </c>
      <c r="O302">
        <v>40.781999999999996</v>
      </c>
      <c r="P302">
        <v>23.697700000000001</v>
      </c>
      <c r="Q302">
        <v>6.2937900000000004</v>
      </c>
    </row>
    <row r="303" spans="1:17" x14ac:dyDescent="0.25">
      <c r="A303" t="str">
        <f>IF(C303&amp;G303&amp;D303&lt;&gt;'Funnel setup'!$K$3&amp;'Funnel setup'!$K$4&amp;'Funnel setup'!$K$6,".",IF(A302=".",1,A302+1))</f>
        <v>.</v>
      </c>
      <c r="B303" s="244" t="str">
        <f t="shared" si="4"/>
        <v>Hip Replacement PrimarySub-ICB of GP PracticeNHS STAFFORDSHIRE AND STOKE-ON-TRENT ICB - 05D (05D)Oxford Hip Score</v>
      </c>
      <c r="C303" t="s">
        <v>749</v>
      </c>
      <c r="D303" t="s">
        <v>1021</v>
      </c>
      <c r="E303" t="s">
        <v>929</v>
      </c>
      <c r="F303" t="s">
        <v>930</v>
      </c>
      <c r="G303" t="s">
        <v>964</v>
      </c>
      <c r="H303">
        <v>54</v>
      </c>
      <c r="I303">
        <v>17.9815</v>
      </c>
      <c r="J303">
        <v>39.722200000000001</v>
      </c>
      <c r="K303">
        <v>21.7407</v>
      </c>
      <c r="L303">
        <v>53</v>
      </c>
      <c r="M303">
        <v>0</v>
      </c>
      <c r="N303">
        <v>1</v>
      </c>
      <c r="O303">
        <v>39.958799999999997</v>
      </c>
      <c r="P303">
        <v>22.874500000000001</v>
      </c>
      <c r="Q303">
        <v>7.2193899999999998</v>
      </c>
    </row>
    <row r="304" spans="1:17" x14ac:dyDescent="0.25">
      <c r="A304" t="str">
        <f>IF(C304&amp;G304&amp;D304&lt;&gt;'Funnel setup'!$K$3&amp;'Funnel setup'!$K$4&amp;'Funnel setup'!$K$6,".",IF(A303=".",1,A303+1))</f>
        <v>.</v>
      </c>
      <c r="B304" s="244" t="str">
        <f t="shared" si="4"/>
        <v>Hip Replacement PrimarySub-ICB of GP PracticeNHS STAFFORDSHIRE AND STOKE-ON-TRENT ICB - 05G (05G)Oxford Hip Score</v>
      </c>
      <c r="C304" t="s">
        <v>749</v>
      </c>
      <c r="D304" t="s">
        <v>1021</v>
      </c>
      <c r="E304" t="s">
        <v>931</v>
      </c>
      <c r="F304" t="s">
        <v>932</v>
      </c>
      <c r="G304" t="s">
        <v>964</v>
      </c>
      <c r="H304">
        <v>45</v>
      </c>
      <c r="I304">
        <v>15.5778</v>
      </c>
      <c r="J304">
        <v>37.933300000000003</v>
      </c>
      <c r="K304">
        <v>22.355599999999999</v>
      </c>
      <c r="L304">
        <v>43</v>
      </c>
      <c r="M304">
        <v>0</v>
      </c>
      <c r="N304">
        <v>2</v>
      </c>
      <c r="O304">
        <v>38.305900000000001</v>
      </c>
      <c r="P304">
        <v>21.221599999999999</v>
      </c>
      <c r="Q304">
        <v>9.9335000000000004</v>
      </c>
    </row>
    <row r="305" spans="1:17" x14ac:dyDescent="0.25">
      <c r="A305" t="str">
        <f>IF(C305&amp;G305&amp;D305&lt;&gt;'Funnel setup'!$K$3&amp;'Funnel setup'!$K$4&amp;'Funnel setup'!$K$6,".",IF(A304=".",1,A304+1))</f>
        <v>.</v>
      </c>
      <c r="B305" s="244" t="str">
        <f t="shared" si="4"/>
        <v>Hip Replacement PrimarySub-ICB of GP PracticeNHS STAFFORDSHIRE AND STOKE-ON-TRENT ICB - 05Q (05Q)Oxford Hip Score</v>
      </c>
      <c r="C305" t="s">
        <v>749</v>
      </c>
      <c r="D305" t="s">
        <v>1021</v>
      </c>
      <c r="E305" t="s">
        <v>933</v>
      </c>
      <c r="F305" t="s">
        <v>934</v>
      </c>
      <c r="G305" t="s">
        <v>964</v>
      </c>
      <c r="H305">
        <v>71</v>
      </c>
      <c r="I305">
        <v>18.5915</v>
      </c>
      <c r="J305">
        <v>38.394399999999997</v>
      </c>
      <c r="K305">
        <v>19.802800000000001</v>
      </c>
      <c r="L305">
        <v>66</v>
      </c>
      <c r="M305">
        <v>0</v>
      </c>
      <c r="N305">
        <v>5</v>
      </c>
      <c r="O305">
        <v>37.966999999999999</v>
      </c>
      <c r="P305">
        <v>20.8827</v>
      </c>
      <c r="Q305">
        <v>8.67624</v>
      </c>
    </row>
    <row r="306" spans="1:17" x14ac:dyDescent="0.25">
      <c r="A306" t="str">
        <f>IF(C306&amp;G306&amp;D306&lt;&gt;'Funnel setup'!$K$3&amp;'Funnel setup'!$K$4&amp;'Funnel setup'!$K$6,".",IF(A305=".",1,A305+1))</f>
        <v>.</v>
      </c>
      <c r="B306" s="244" t="str">
        <f t="shared" si="4"/>
        <v>Hip Replacement PrimarySub-ICB of GP PracticeNHS STAFFORDSHIRE AND STOKE-ON-TRENT ICB - 05V (05V)Oxford Hip Score</v>
      </c>
      <c r="C306" t="s">
        <v>749</v>
      </c>
      <c r="D306" t="s">
        <v>1021</v>
      </c>
      <c r="E306" t="s">
        <v>935</v>
      </c>
      <c r="F306" t="s">
        <v>936</v>
      </c>
      <c r="G306" t="s">
        <v>964</v>
      </c>
      <c r="H306">
        <v>61</v>
      </c>
      <c r="I306">
        <v>19.786899999999999</v>
      </c>
      <c r="J306">
        <v>42.950800000000001</v>
      </c>
      <c r="K306">
        <v>23.163900000000002</v>
      </c>
      <c r="L306">
        <v>61</v>
      </c>
      <c r="M306">
        <v>0</v>
      </c>
      <c r="N306">
        <v>0</v>
      </c>
      <c r="O306">
        <v>41.440199999999997</v>
      </c>
      <c r="P306">
        <v>24.355899999999998</v>
      </c>
      <c r="Q306">
        <v>5.8588500000000003</v>
      </c>
    </row>
    <row r="307" spans="1:17" x14ac:dyDescent="0.25">
      <c r="A307" t="str">
        <f>IF(C307&amp;G307&amp;D307&lt;&gt;'Funnel setup'!$K$3&amp;'Funnel setup'!$K$4&amp;'Funnel setup'!$K$6,".",IF(A306=".",1,A306+1))</f>
        <v>.</v>
      </c>
      <c r="B307" s="244" t="str">
        <f t="shared" si="4"/>
        <v>Hip Replacement PrimarySub-ICB of GP PracticeNHS STAFFORDSHIRE AND STOKE-ON-TRENT ICB - 05W (05W)Oxford Hip Score</v>
      </c>
      <c r="C307" t="s">
        <v>749</v>
      </c>
      <c r="D307" t="s">
        <v>1021</v>
      </c>
      <c r="E307" t="s">
        <v>937</v>
      </c>
      <c r="F307" t="s">
        <v>938</v>
      </c>
      <c r="G307" t="s">
        <v>964</v>
      </c>
      <c r="H307">
        <v>35</v>
      </c>
      <c r="I307">
        <v>15.142899999999999</v>
      </c>
      <c r="J307">
        <v>40.628599999999999</v>
      </c>
      <c r="K307">
        <v>25.485700000000001</v>
      </c>
      <c r="L307">
        <v>35</v>
      </c>
      <c r="M307">
        <v>0</v>
      </c>
      <c r="N307">
        <v>0</v>
      </c>
      <c r="O307">
        <v>41.985199999999999</v>
      </c>
      <c r="P307">
        <v>24.9009</v>
      </c>
      <c r="Q307">
        <v>6.1118300000000003</v>
      </c>
    </row>
    <row r="308" spans="1:17" x14ac:dyDescent="0.25">
      <c r="A308" t="str">
        <f>IF(C308&amp;G308&amp;D308&lt;&gt;'Funnel setup'!$K$3&amp;'Funnel setup'!$K$4&amp;'Funnel setup'!$K$6,".",IF(A307=".",1,A307+1))</f>
        <v>.</v>
      </c>
      <c r="B308" s="244" t="str">
        <f t="shared" si="4"/>
        <v>Hip Replacement PrimarySub-ICB of GP PracticeNHS SUFFOLK AND NORTH EAST ESSEX ICB - 06L (06L)Oxford Hip Score</v>
      </c>
      <c r="C308" t="s">
        <v>749</v>
      </c>
      <c r="D308" t="s">
        <v>1021</v>
      </c>
      <c r="E308" t="s">
        <v>939</v>
      </c>
      <c r="F308" t="s">
        <v>940</v>
      </c>
      <c r="G308" t="s">
        <v>964</v>
      </c>
      <c r="H308">
        <v>148</v>
      </c>
      <c r="I308">
        <v>14.533799999999999</v>
      </c>
      <c r="J308">
        <v>39.527000000000001</v>
      </c>
      <c r="K308">
        <v>24.993200000000002</v>
      </c>
      <c r="L308">
        <v>147</v>
      </c>
      <c r="M308">
        <v>0</v>
      </c>
      <c r="N308">
        <v>1</v>
      </c>
      <c r="O308">
        <v>40.398899999999998</v>
      </c>
      <c r="P308">
        <v>23.314599999999999</v>
      </c>
      <c r="Q308">
        <v>7.7879300000000002</v>
      </c>
    </row>
    <row r="309" spans="1:17" x14ac:dyDescent="0.25">
      <c r="A309" t="str">
        <f>IF(C309&amp;G309&amp;D309&lt;&gt;'Funnel setup'!$K$3&amp;'Funnel setup'!$K$4&amp;'Funnel setup'!$K$6,".",IF(A308=".",1,A308+1))</f>
        <v>.</v>
      </c>
      <c r="B309" s="244" t="str">
        <f t="shared" si="4"/>
        <v>Hip Replacement PrimarySub-ICB of GP PracticeNHS SUFFOLK AND NORTH EAST ESSEX ICB - 06T (06T)Oxford Hip Score</v>
      </c>
      <c r="C309" t="s">
        <v>749</v>
      </c>
      <c r="D309" t="s">
        <v>1021</v>
      </c>
      <c r="E309" t="s">
        <v>941</v>
      </c>
      <c r="F309" t="s">
        <v>942</v>
      </c>
      <c r="G309" t="s">
        <v>964</v>
      </c>
      <c r="H309">
        <v>35</v>
      </c>
      <c r="I309">
        <v>16.6571</v>
      </c>
      <c r="J309">
        <v>39.1143</v>
      </c>
      <c r="K309">
        <v>22.457100000000001</v>
      </c>
      <c r="L309">
        <v>34</v>
      </c>
      <c r="M309">
        <v>0</v>
      </c>
      <c r="N309">
        <v>1</v>
      </c>
      <c r="O309">
        <v>39.590600000000002</v>
      </c>
      <c r="P309">
        <v>22.5063</v>
      </c>
      <c r="Q309">
        <v>6.7910199999999996</v>
      </c>
    </row>
    <row r="310" spans="1:17" x14ac:dyDescent="0.25">
      <c r="A310" t="str">
        <f>IF(C310&amp;G310&amp;D310&lt;&gt;'Funnel setup'!$K$3&amp;'Funnel setup'!$K$4&amp;'Funnel setup'!$K$6,".",IF(A309=".",1,A309+1))</f>
        <v>.</v>
      </c>
      <c r="B310" s="244" t="str">
        <f t="shared" si="4"/>
        <v>Hip Replacement PrimarySub-ICB of GP PracticeNHS SUFFOLK AND NORTH EAST ESSEX ICB - 07K (07K)Oxford Hip Score</v>
      </c>
      <c r="C310" t="s">
        <v>749</v>
      </c>
      <c r="D310" t="s">
        <v>1021</v>
      </c>
      <c r="E310" t="s">
        <v>943</v>
      </c>
      <c r="F310" t="s">
        <v>944</v>
      </c>
      <c r="G310" t="s">
        <v>964</v>
      </c>
      <c r="H310">
        <v>126</v>
      </c>
      <c r="I310">
        <v>14.5397</v>
      </c>
      <c r="J310">
        <v>37.968299999999999</v>
      </c>
      <c r="K310">
        <v>23.428599999999999</v>
      </c>
      <c r="L310">
        <v>121</v>
      </c>
      <c r="M310">
        <v>1</v>
      </c>
      <c r="N310">
        <v>4</v>
      </c>
      <c r="O310">
        <v>38.564799999999998</v>
      </c>
      <c r="P310">
        <v>21.480499999999999</v>
      </c>
      <c r="Q310">
        <v>9.3737899999999996</v>
      </c>
    </row>
    <row r="311" spans="1:17" x14ac:dyDescent="0.25">
      <c r="A311" t="str">
        <f>IF(C311&amp;G311&amp;D311&lt;&gt;'Funnel setup'!$K$3&amp;'Funnel setup'!$K$4&amp;'Funnel setup'!$K$6,".",IF(A310=".",1,A310+1))</f>
        <v>.</v>
      </c>
      <c r="B311" s="244" t="str">
        <f t="shared" si="4"/>
        <v>Hip Replacement PrimarySub-ICB of GP PracticeNHS SURREY HEARTLANDS ICB - 92A (92A)Oxford Hip Score</v>
      </c>
      <c r="C311" t="s">
        <v>749</v>
      </c>
      <c r="D311" t="s">
        <v>1021</v>
      </c>
      <c r="E311" t="s">
        <v>945</v>
      </c>
      <c r="F311" t="s">
        <v>946</v>
      </c>
      <c r="G311" t="s">
        <v>964</v>
      </c>
      <c r="H311">
        <v>388</v>
      </c>
      <c r="I311">
        <v>19.806699999999999</v>
      </c>
      <c r="J311">
        <v>42.116</v>
      </c>
      <c r="K311">
        <v>22.3093</v>
      </c>
      <c r="L311">
        <v>377</v>
      </c>
      <c r="M311">
        <v>3</v>
      </c>
      <c r="N311">
        <v>8</v>
      </c>
      <c r="O311">
        <v>40.676200000000001</v>
      </c>
      <c r="P311">
        <v>23.591899999999999</v>
      </c>
      <c r="Q311">
        <v>6.5634800000000002</v>
      </c>
    </row>
    <row r="312" spans="1:17" x14ac:dyDescent="0.25">
      <c r="A312" t="str">
        <f>IF(C312&amp;G312&amp;D312&lt;&gt;'Funnel setup'!$K$3&amp;'Funnel setup'!$K$4&amp;'Funnel setup'!$K$6,".",IF(A311=".",1,A311+1))</f>
        <v>.</v>
      </c>
      <c r="B312" s="244" t="str">
        <f t="shared" si="4"/>
        <v>Hip Replacement PrimarySub-ICB of GP PracticeNHS SUSSEX ICB - 09D (09D)Oxford Hip Score</v>
      </c>
      <c r="C312" t="s">
        <v>749</v>
      </c>
      <c r="D312" t="s">
        <v>1021</v>
      </c>
      <c r="E312" t="s">
        <v>947</v>
      </c>
      <c r="F312" t="s">
        <v>948</v>
      </c>
      <c r="G312" t="s">
        <v>964</v>
      </c>
      <c r="H312">
        <v>9</v>
      </c>
      <c r="I312">
        <v>22.1111</v>
      </c>
      <c r="J312">
        <v>41.333300000000001</v>
      </c>
      <c r="K312">
        <v>19.222200000000001</v>
      </c>
      <c r="L312">
        <v>9</v>
      </c>
      <c r="M312">
        <v>0</v>
      </c>
      <c r="N312">
        <v>0</v>
      </c>
      <c r="O312" t="s">
        <v>127</v>
      </c>
      <c r="P312" t="s">
        <v>127</v>
      </c>
      <c r="Q312" t="s">
        <v>127</v>
      </c>
    </row>
    <row r="313" spans="1:17" x14ac:dyDescent="0.25">
      <c r="A313" t="str">
        <f>IF(C313&amp;G313&amp;D313&lt;&gt;'Funnel setup'!$K$3&amp;'Funnel setup'!$K$4&amp;'Funnel setup'!$K$6,".",IF(A312=".",1,A312+1))</f>
        <v>.</v>
      </c>
      <c r="B313" s="244" t="str">
        <f t="shared" si="4"/>
        <v>Hip Replacement PrimarySub-ICB of GP PracticeNHS SUSSEX ICB - 70F (70F)Oxford Hip Score</v>
      </c>
      <c r="C313" t="s">
        <v>749</v>
      </c>
      <c r="D313" t="s">
        <v>1021</v>
      </c>
      <c r="E313" t="s">
        <v>949</v>
      </c>
      <c r="F313" t="s">
        <v>950</v>
      </c>
      <c r="G313" t="s">
        <v>964</v>
      </c>
      <c r="H313">
        <v>268</v>
      </c>
      <c r="I313">
        <v>16.843299999999999</v>
      </c>
      <c r="J313">
        <v>38.652999999999999</v>
      </c>
      <c r="K313">
        <v>21.809699999999999</v>
      </c>
      <c r="L313">
        <v>259</v>
      </c>
      <c r="M313">
        <v>0</v>
      </c>
      <c r="N313">
        <v>9</v>
      </c>
      <c r="O313">
        <v>38.661499999999997</v>
      </c>
      <c r="P313">
        <v>21.577200000000001</v>
      </c>
      <c r="Q313">
        <v>9.0253099999999993</v>
      </c>
    </row>
    <row r="314" spans="1:17" x14ac:dyDescent="0.25">
      <c r="A314" t="str">
        <f>IF(C314&amp;G314&amp;D314&lt;&gt;'Funnel setup'!$K$3&amp;'Funnel setup'!$K$4&amp;'Funnel setup'!$K$6,".",IF(A313=".",1,A313+1))</f>
        <v>.</v>
      </c>
      <c r="B314" s="244" t="str">
        <f t="shared" si="4"/>
        <v>Hip Replacement PrimarySub-ICB of GP PracticeNHS SUSSEX ICB - 97R (97R)Oxford Hip Score</v>
      </c>
      <c r="C314" t="s">
        <v>749</v>
      </c>
      <c r="D314" t="s">
        <v>1021</v>
      </c>
      <c r="E314" t="s">
        <v>951</v>
      </c>
      <c r="F314" t="s">
        <v>952</v>
      </c>
      <c r="G314" t="s">
        <v>964</v>
      </c>
      <c r="H314">
        <v>294</v>
      </c>
      <c r="I314">
        <v>19.173500000000001</v>
      </c>
      <c r="J314">
        <v>41.986400000000003</v>
      </c>
      <c r="K314">
        <v>22.812899999999999</v>
      </c>
      <c r="L314">
        <v>284</v>
      </c>
      <c r="M314">
        <v>3</v>
      </c>
      <c r="N314">
        <v>7</v>
      </c>
      <c r="O314">
        <v>41.338000000000001</v>
      </c>
      <c r="P314">
        <v>24.253699999999998</v>
      </c>
      <c r="Q314">
        <v>7.7751299999999999</v>
      </c>
    </row>
    <row r="315" spans="1:17" x14ac:dyDescent="0.25">
      <c r="A315" t="str">
        <f>IF(C315&amp;G315&amp;D315&lt;&gt;'Funnel setup'!$K$3&amp;'Funnel setup'!$K$4&amp;'Funnel setup'!$K$6,".",IF(A314=".",1,A314+1))</f>
        <v>.</v>
      </c>
      <c r="B315" s="244" t="str">
        <f t="shared" si="4"/>
        <v>Hip Replacement PrimarySub-ICB of GP PracticeNHS WEST YORKSHIRE ICB - 02T (02T)Oxford Hip Score</v>
      </c>
      <c r="C315" t="s">
        <v>749</v>
      </c>
      <c r="D315" t="s">
        <v>1021</v>
      </c>
      <c r="E315" t="s">
        <v>953</v>
      </c>
      <c r="F315" t="s">
        <v>954</v>
      </c>
      <c r="G315" t="s">
        <v>964</v>
      </c>
      <c r="H315">
        <v>62</v>
      </c>
      <c r="I315">
        <v>18.532299999999999</v>
      </c>
      <c r="J315">
        <v>40.661299999999997</v>
      </c>
      <c r="K315">
        <v>22.129000000000001</v>
      </c>
      <c r="L315">
        <v>61</v>
      </c>
      <c r="M315">
        <v>1</v>
      </c>
      <c r="N315">
        <v>0</v>
      </c>
      <c r="O315">
        <v>40.305399999999999</v>
      </c>
      <c r="P315">
        <v>23.2211</v>
      </c>
      <c r="Q315">
        <v>7.8006900000000003</v>
      </c>
    </row>
    <row r="316" spans="1:17" x14ac:dyDescent="0.25">
      <c r="A316" t="str">
        <f>IF(C316&amp;G316&amp;D316&lt;&gt;'Funnel setup'!$K$3&amp;'Funnel setup'!$K$4&amp;'Funnel setup'!$K$6,".",IF(A315=".",1,A315+1))</f>
        <v>.</v>
      </c>
      <c r="B316" s="244" t="str">
        <f t="shared" si="4"/>
        <v>Hip Replacement PrimarySub-ICB of GP PracticeNHS WEST YORKSHIRE ICB - 03R (03R)Oxford Hip Score</v>
      </c>
      <c r="C316" t="s">
        <v>749</v>
      </c>
      <c r="D316" t="s">
        <v>1021</v>
      </c>
      <c r="E316" t="s">
        <v>955</v>
      </c>
      <c r="F316" t="s">
        <v>956</v>
      </c>
      <c r="G316" t="s">
        <v>964</v>
      </c>
      <c r="H316">
        <v>168</v>
      </c>
      <c r="I316">
        <v>16.631</v>
      </c>
      <c r="J316">
        <v>39.4405</v>
      </c>
      <c r="K316">
        <v>22.8095</v>
      </c>
      <c r="L316">
        <v>166</v>
      </c>
      <c r="M316">
        <v>0</v>
      </c>
      <c r="N316">
        <v>2</v>
      </c>
      <c r="O316">
        <v>39.935699999999997</v>
      </c>
      <c r="P316">
        <v>22.851400000000002</v>
      </c>
      <c r="Q316">
        <v>8.4480299999999993</v>
      </c>
    </row>
    <row r="317" spans="1:17" x14ac:dyDescent="0.25">
      <c r="A317" t="str">
        <f>IF(C317&amp;G317&amp;D317&lt;&gt;'Funnel setup'!$K$3&amp;'Funnel setup'!$K$4&amp;'Funnel setup'!$K$6,".",IF(A316=".",1,A316+1))</f>
        <v>.</v>
      </c>
      <c r="B317" s="244" t="str">
        <f t="shared" si="4"/>
        <v>Hip Replacement PrimarySub-ICB of GP PracticeNHS WEST YORKSHIRE ICB - 15F (15F)Oxford Hip Score</v>
      </c>
      <c r="C317" t="s">
        <v>749</v>
      </c>
      <c r="D317" t="s">
        <v>1021</v>
      </c>
      <c r="E317" t="s">
        <v>957</v>
      </c>
      <c r="F317" t="s">
        <v>958</v>
      </c>
      <c r="G317" t="s">
        <v>964</v>
      </c>
      <c r="H317">
        <v>234</v>
      </c>
      <c r="I317">
        <v>17.683800000000002</v>
      </c>
      <c r="J317">
        <v>39.376100000000001</v>
      </c>
      <c r="K317">
        <v>21.692299999999999</v>
      </c>
      <c r="L317">
        <v>222</v>
      </c>
      <c r="M317">
        <v>0</v>
      </c>
      <c r="N317">
        <v>12</v>
      </c>
      <c r="O317">
        <v>39.088500000000003</v>
      </c>
      <c r="P317">
        <v>22.004200000000001</v>
      </c>
      <c r="Q317">
        <v>8.3123799999999992</v>
      </c>
    </row>
    <row r="318" spans="1:17" x14ac:dyDescent="0.25">
      <c r="A318" t="str">
        <f>IF(C318&amp;G318&amp;D318&lt;&gt;'Funnel setup'!$K$3&amp;'Funnel setup'!$K$4&amp;'Funnel setup'!$K$6,".",IF(A317=".",1,A317+1))</f>
        <v>.</v>
      </c>
      <c r="B318" s="244" t="str">
        <f t="shared" si="4"/>
        <v>Hip Replacement PrimarySub-ICB of GP PracticeNHS WEST YORKSHIRE ICB - 36J (36J)Oxford Hip Score</v>
      </c>
      <c r="C318" t="s">
        <v>749</v>
      </c>
      <c r="D318" t="s">
        <v>1021</v>
      </c>
      <c r="E318" t="s">
        <v>959</v>
      </c>
      <c r="F318" t="s">
        <v>960</v>
      </c>
      <c r="G318" t="s">
        <v>964</v>
      </c>
      <c r="H318">
        <v>88</v>
      </c>
      <c r="I318">
        <v>22.056799999999999</v>
      </c>
      <c r="J318">
        <v>33.090899999999998</v>
      </c>
      <c r="K318">
        <v>11.0341</v>
      </c>
      <c r="L318">
        <v>68</v>
      </c>
      <c r="M318">
        <v>7</v>
      </c>
      <c r="N318">
        <v>13</v>
      </c>
      <c r="O318">
        <v>31.956199999999999</v>
      </c>
      <c r="P318">
        <v>14.8719</v>
      </c>
      <c r="Q318">
        <v>10.2818</v>
      </c>
    </row>
    <row r="319" spans="1:17" x14ac:dyDescent="0.25">
      <c r="A319" t="str">
        <f>IF(C319&amp;G319&amp;D319&lt;&gt;'Funnel setup'!$K$3&amp;'Funnel setup'!$K$4&amp;'Funnel setup'!$K$6,".",IF(A318=".",1,A318+1))</f>
        <v>.</v>
      </c>
      <c r="B319" s="244" t="str">
        <f t="shared" si="4"/>
        <v>Hip Replacement PrimarySub-ICB of GP PracticeNHS WEST YORKSHIRE ICB - X2C4Y (X2C4Y)Oxford Hip Score</v>
      </c>
      <c r="C319" t="s">
        <v>749</v>
      </c>
      <c r="D319" t="s">
        <v>1021</v>
      </c>
      <c r="E319" t="s">
        <v>961</v>
      </c>
      <c r="F319" t="s">
        <v>962</v>
      </c>
      <c r="G319" t="s">
        <v>964</v>
      </c>
      <c r="H319">
        <v>117</v>
      </c>
      <c r="I319">
        <v>17.307700000000001</v>
      </c>
      <c r="J319">
        <v>38.6496</v>
      </c>
      <c r="K319">
        <v>21.341899999999999</v>
      </c>
      <c r="L319">
        <v>114</v>
      </c>
      <c r="M319">
        <v>1</v>
      </c>
      <c r="N319">
        <v>2</v>
      </c>
      <c r="O319">
        <v>39.172699999999999</v>
      </c>
      <c r="P319">
        <v>22.0884</v>
      </c>
      <c r="Q319">
        <v>8.8692499999999992</v>
      </c>
    </row>
    <row r="320" spans="1:17" x14ac:dyDescent="0.25">
      <c r="A320" t="str">
        <f>IF(C320&amp;G320&amp;D320&lt;&gt;'Funnel setup'!$K$3&amp;'Funnel setup'!$K$4&amp;'Funnel setup'!$K$6,".",IF(A319=".",1,A319+1))</f>
        <v>.</v>
      </c>
      <c r="B320" s="244" t="str">
        <f t="shared" si="4"/>
        <v>Hip Replacement PrimaryEnglandEnglandEQ VAS</v>
      </c>
      <c r="C320" t="s">
        <v>749</v>
      </c>
      <c r="D320" t="s">
        <v>122</v>
      </c>
      <c r="E320" t="s">
        <v>122</v>
      </c>
      <c r="F320" t="s">
        <v>122</v>
      </c>
      <c r="G320" t="s">
        <v>752</v>
      </c>
      <c r="H320">
        <v>13559</v>
      </c>
      <c r="I320">
        <v>60.811300000000003</v>
      </c>
      <c r="J320">
        <v>75.796599999999998</v>
      </c>
      <c r="K320">
        <v>14.985300000000001</v>
      </c>
      <c r="L320">
        <v>9525</v>
      </c>
      <c r="M320">
        <v>1157</v>
      </c>
      <c r="N320">
        <v>2877</v>
      </c>
      <c r="O320">
        <v>75.796599999999998</v>
      </c>
      <c r="P320">
        <v>14.985300000000001</v>
      </c>
      <c r="Q320">
        <v>16.684699999999999</v>
      </c>
    </row>
    <row r="321" spans="1:17" x14ac:dyDescent="0.25">
      <c r="A321" t="str">
        <f>IF(C321&amp;G321&amp;D321&lt;&gt;'Funnel setup'!$K$3&amp;'Funnel setup'!$K$4&amp;'Funnel setup'!$K$6,".",IF(A320=".",1,A320+1))</f>
        <v>.</v>
      </c>
      <c r="B321" s="244" t="str">
        <f t="shared" si="4"/>
        <v>Hip Replacement PrimaryEnglandEnglandEQ-5D Index</v>
      </c>
      <c r="C321" t="s">
        <v>749</v>
      </c>
      <c r="D321" t="s">
        <v>122</v>
      </c>
      <c r="E321" t="s">
        <v>122</v>
      </c>
      <c r="F321" t="s">
        <v>122</v>
      </c>
      <c r="G321" t="s">
        <v>963</v>
      </c>
      <c r="H321">
        <v>14042</v>
      </c>
      <c r="I321">
        <v>0.32583800000000002</v>
      </c>
      <c r="J321">
        <v>0.78769500000000003</v>
      </c>
      <c r="K321">
        <v>0.46185700000000002</v>
      </c>
      <c r="L321">
        <v>12658</v>
      </c>
      <c r="M321">
        <v>665</v>
      </c>
      <c r="N321">
        <v>719</v>
      </c>
      <c r="O321">
        <v>0.78769500000000003</v>
      </c>
      <c r="P321">
        <v>0.46185700000000002</v>
      </c>
      <c r="Q321">
        <v>0.233182</v>
      </c>
    </row>
    <row r="322" spans="1:17" x14ac:dyDescent="0.25">
      <c r="A322" t="str">
        <f>IF(C322&amp;G322&amp;D322&lt;&gt;'Funnel setup'!$K$3&amp;'Funnel setup'!$K$4&amp;'Funnel setup'!$K$6,".",IF(A321=".",1,A321+1))</f>
        <v>.</v>
      </c>
      <c r="B322" s="244" t="str">
        <f t="shared" ref="B322:B385" si="5">C322&amp;D322&amp;F322&amp;G322</f>
        <v>Hip Replacement PrimaryEnglandEnglandOxford Hip Score</v>
      </c>
      <c r="C322" t="s">
        <v>749</v>
      </c>
      <c r="D322" t="s">
        <v>122</v>
      </c>
      <c r="E322" t="s">
        <v>122</v>
      </c>
      <c r="F322" t="s">
        <v>122</v>
      </c>
      <c r="G322" t="s">
        <v>964</v>
      </c>
      <c r="H322">
        <v>14995</v>
      </c>
      <c r="I322">
        <v>17.084299999999999</v>
      </c>
      <c r="J322">
        <v>39.931699999999999</v>
      </c>
      <c r="K322">
        <v>22.8474</v>
      </c>
      <c r="L322">
        <v>14589</v>
      </c>
      <c r="M322">
        <v>65</v>
      </c>
      <c r="N322">
        <v>341</v>
      </c>
      <c r="O322">
        <v>39.931699999999999</v>
      </c>
      <c r="P322">
        <v>22.8474</v>
      </c>
      <c r="Q322">
        <v>8.15029</v>
      </c>
    </row>
    <row r="323" spans="1:17" x14ac:dyDescent="0.25">
      <c r="A323" t="str">
        <f>IF(C323&amp;G323&amp;D323&lt;&gt;'Funnel setup'!$K$3&amp;'Funnel setup'!$K$4&amp;'Funnel setup'!$K$6,".",IF(A322=".",1,A322+1))</f>
        <v>.</v>
      </c>
      <c r="B323" s="244" t="str">
        <f t="shared" si="5"/>
        <v>Hip Replacement PrimaryProviderSULIS HOSPITAL BATHEQ VAS</v>
      </c>
      <c r="C323" t="s">
        <v>749</v>
      </c>
      <c r="D323" t="s">
        <v>965</v>
      </c>
      <c r="E323" t="s">
        <v>732</v>
      </c>
      <c r="F323" t="s">
        <v>1325</v>
      </c>
      <c r="G323" t="s">
        <v>752</v>
      </c>
      <c r="H323">
        <v>34</v>
      </c>
      <c r="I323">
        <v>57.2059</v>
      </c>
      <c r="J323">
        <v>80.411799999999999</v>
      </c>
      <c r="K323">
        <v>23.2059</v>
      </c>
      <c r="L323">
        <v>30</v>
      </c>
      <c r="M323">
        <v>3</v>
      </c>
      <c r="N323">
        <v>1</v>
      </c>
      <c r="O323">
        <v>80.305700000000002</v>
      </c>
      <c r="P323">
        <v>19.494399999999999</v>
      </c>
      <c r="Q323">
        <v>12.9763</v>
      </c>
    </row>
    <row r="324" spans="1:17" x14ac:dyDescent="0.25">
      <c r="A324" t="str">
        <f>IF(C324&amp;G324&amp;D324&lt;&gt;'Funnel setup'!$K$3&amp;'Funnel setup'!$K$4&amp;'Funnel setup'!$K$6,".",IF(A323=".",1,A323+1))</f>
        <v>.</v>
      </c>
      <c r="B324" s="244" t="str">
        <f t="shared" si="5"/>
        <v>Hip Replacement PrimaryProviderAIREDALE NHS FOUNDATION TRUST (RCF)EQ VAS</v>
      </c>
      <c r="C324" t="s">
        <v>749</v>
      </c>
      <c r="D324" t="s">
        <v>965</v>
      </c>
      <c r="E324" t="s">
        <v>125</v>
      </c>
      <c r="F324" t="s">
        <v>126</v>
      </c>
      <c r="G324" t="s">
        <v>752</v>
      </c>
      <c r="H324">
        <v>33</v>
      </c>
      <c r="I324">
        <v>63.5152</v>
      </c>
      <c r="J324">
        <v>77.697000000000003</v>
      </c>
      <c r="K324">
        <v>14.181800000000001</v>
      </c>
      <c r="L324">
        <v>20</v>
      </c>
      <c r="M324">
        <v>4</v>
      </c>
      <c r="N324">
        <v>9</v>
      </c>
      <c r="O324">
        <v>77.405100000000004</v>
      </c>
      <c r="P324">
        <v>16.593800000000002</v>
      </c>
      <c r="Q324">
        <v>16.656300000000002</v>
      </c>
    </row>
    <row r="325" spans="1:17" x14ac:dyDescent="0.25">
      <c r="A325" t="str">
        <f>IF(C325&amp;G325&amp;D325&lt;&gt;'Funnel setup'!$K$3&amp;'Funnel setup'!$K$4&amp;'Funnel setup'!$K$6,".",IF(A324=".",1,A324+1))</f>
        <v>.</v>
      </c>
      <c r="B325" s="244" t="str">
        <f t="shared" si="5"/>
        <v>Hip Replacement PrimaryProviderALEXANDRA HOSPITAL (NT401)EQ VAS</v>
      </c>
      <c r="C325" t="s">
        <v>749</v>
      </c>
      <c r="D325" t="s">
        <v>965</v>
      </c>
      <c r="E325" t="s">
        <v>130</v>
      </c>
      <c r="F325" t="s">
        <v>131</v>
      </c>
      <c r="G325" t="s">
        <v>752</v>
      </c>
      <c r="H325">
        <v>26</v>
      </c>
      <c r="I325">
        <v>61.807699999999997</v>
      </c>
      <c r="J325">
        <v>78.461500000000001</v>
      </c>
      <c r="K325">
        <v>16.6538</v>
      </c>
      <c r="L325">
        <v>21</v>
      </c>
      <c r="M325">
        <v>3</v>
      </c>
      <c r="N325">
        <v>2</v>
      </c>
      <c r="O325" t="s">
        <v>127</v>
      </c>
      <c r="P325" t="s">
        <v>127</v>
      </c>
      <c r="Q325" t="s">
        <v>127</v>
      </c>
    </row>
    <row r="326" spans="1:17" x14ac:dyDescent="0.25">
      <c r="A326" t="str">
        <f>IF(C326&amp;G326&amp;D326&lt;&gt;'Funnel setup'!$K$3&amp;'Funnel setup'!$K$4&amp;'Funnel setup'!$K$6,".",IF(A325=".",1,A325+1))</f>
        <v>.</v>
      </c>
      <c r="B326" s="244" t="str">
        <f t="shared" si="5"/>
        <v>Hip Replacement PrimaryProviderASHFORD AND ST PETER'S HOSPITALS NHS FOUNDATION TRUST (RTK)EQ VAS</v>
      </c>
      <c r="C326" t="s">
        <v>749</v>
      </c>
      <c r="D326" t="s">
        <v>965</v>
      </c>
      <c r="E326" t="s">
        <v>132</v>
      </c>
      <c r="F326" t="s">
        <v>133</v>
      </c>
      <c r="G326" t="s">
        <v>752</v>
      </c>
      <c r="H326">
        <v>62</v>
      </c>
      <c r="I326">
        <v>71.177400000000006</v>
      </c>
      <c r="J326">
        <v>78.419399999999996</v>
      </c>
      <c r="K326">
        <v>7.2419399999999996</v>
      </c>
      <c r="L326">
        <v>34</v>
      </c>
      <c r="M326">
        <v>11</v>
      </c>
      <c r="N326">
        <v>17</v>
      </c>
      <c r="O326">
        <v>74.8245</v>
      </c>
      <c r="P326">
        <v>14.013199999999999</v>
      </c>
      <c r="Q326">
        <v>14.8627</v>
      </c>
    </row>
    <row r="327" spans="1:17" x14ac:dyDescent="0.25">
      <c r="A327" t="str">
        <f>IF(C327&amp;G327&amp;D327&lt;&gt;'Funnel setup'!$K$3&amp;'Funnel setup'!$K$4&amp;'Funnel setup'!$K$6,".",IF(A326=".",1,A326+1))</f>
        <v>.</v>
      </c>
      <c r="B327" s="244" t="str">
        <f t="shared" si="5"/>
        <v>Hip Replacement PrimaryProviderASHTEAD HOSPITAL (NVC01)EQ VAS</v>
      </c>
      <c r="C327" t="s">
        <v>749</v>
      </c>
      <c r="D327" t="s">
        <v>965</v>
      </c>
      <c r="E327" t="s">
        <v>134</v>
      </c>
      <c r="F327" t="s">
        <v>135</v>
      </c>
      <c r="G327" t="s">
        <v>752</v>
      </c>
      <c r="H327">
        <v>11</v>
      </c>
      <c r="I327">
        <v>65.181799999999996</v>
      </c>
      <c r="J327">
        <v>80.090900000000005</v>
      </c>
      <c r="K327">
        <v>14.9091</v>
      </c>
      <c r="L327">
        <v>8</v>
      </c>
      <c r="M327">
        <v>1</v>
      </c>
      <c r="N327">
        <v>2</v>
      </c>
      <c r="O327" t="s">
        <v>127</v>
      </c>
      <c r="P327" t="s">
        <v>127</v>
      </c>
      <c r="Q327" t="s">
        <v>127</v>
      </c>
    </row>
    <row r="328" spans="1:17" x14ac:dyDescent="0.25">
      <c r="A328" t="str">
        <f>IF(C328&amp;G328&amp;D328&lt;&gt;'Funnel setup'!$K$3&amp;'Funnel setup'!$K$4&amp;'Funnel setup'!$K$6,".",IF(A327=".",1,A327+1))</f>
        <v>.</v>
      </c>
      <c r="B328" s="244" t="str">
        <f t="shared" si="5"/>
        <v>Hip Replacement PrimaryProviderBARKING, HAVERING AND REDBRIDGE UNIVERSITY HOSPITALS NHS TRUST (RF4)EQ VAS</v>
      </c>
      <c r="C328" t="s">
        <v>749</v>
      </c>
      <c r="D328" t="s">
        <v>965</v>
      </c>
      <c r="E328" t="s">
        <v>144</v>
      </c>
      <c r="F328" t="s">
        <v>145</v>
      </c>
      <c r="G328" t="s">
        <v>752</v>
      </c>
      <c r="H328">
        <v>47</v>
      </c>
      <c r="I328">
        <v>52.702100000000002</v>
      </c>
      <c r="J328">
        <v>68.957400000000007</v>
      </c>
      <c r="K328">
        <v>16.255299999999998</v>
      </c>
      <c r="L328">
        <v>29</v>
      </c>
      <c r="M328">
        <v>7</v>
      </c>
      <c r="N328">
        <v>11</v>
      </c>
      <c r="O328">
        <v>71.630200000000002</v>
      </c>
      <c r="P328">
        <v>10.818899999999999</v>
      </c>
      <c r="Q328">
        <v>21.0442</v>
      </c>
    </row>
    <row r="329" spans="1:17" x14ac:dyDescent="0.25">
      <c r="A329" t="str">
        <f>IF(C329&amp;G329&amp;D329&lt;&gt;'Funnel setup'!$K$3&amp;'Funnel setup'!$K$4&amp;'Funnel setup'!$K$6,".",IF(A328=".",1,A328+1))</f>
        <v>.</v>
      </c>
      <c r="B329" s="244" t="str">
        <f t="shared" si="5"/>
        <v>Hip Replacement PrimaryProviderBARNSLEY HOSPITAL NHS FOUNDATION TRUST (RFF)EQ VAS</v>
      </c>
      <c r="C329" t="s">
        <v>749</v>
      </c>
      <c r="D329" t="s">
        <v>965</v>
      </c>
      <c r="E329" t="s">
        <v>146</v>
      </c>
      <c r="F329" t="s">
        <v>147</v>
      </c>
      <c r="G329" t="s">
        <v>752</v>
      </c>
      <c r="H329">
        <v>39</v>
      </c>
      <c r="I329">
        <v>53.307699999999997</v>
      </c>
      <c r="J329">
        <v>71.538499999999999</v>
      </c>
      <c r="K329">
        <v>18.230799999999999</v>
      </c>
      <c r="L329">
        <v>26</v>
      </c>
      <c r="M329">
        <v>3</v>
      </c>
      <c r="N329">
        <v>10</v>
      </c>
      <c r="O329">
        <v>75.8369</v>
      </c>
      <c r="P329">
        <v>15.025600000000001</v>
      </c>
      <c r="Q329">
        <v>16.170500000000001</v>
      </c>
    </row>
    <row r="330" spans="1:17" x14ac:dyDescent="0.25">
      <c r="A330" t="str">
        <f>IF(C330&amp;G330&amp;D330&lt;&gt;'Funnel setup'!$K$3&amp;'Funnel setup'!$K$4&amp;'Funnel setup'!$K$6,".",IF(A329=".",1,A329+1))</f>
        <v>.</v>
      </c>
      <c r="B330" s="244" t="str">
        <f t="shared" si="5"/>
        <v>Hip Replacement PrimaryProviderBARTS HEALTH NHS TRUST (R1H)EQ VAS</v>
      </c>
      <c r="C330" t="s">
        <v>749</v>
      </c>
      <c r="D330" t="s">
        <v>965</v>
      </c>
      <c r="E330" t="s">
        <v>148</v>
      </c>
      <c r="F330" t="s">
        <v>149</v>
      </c>
      <c r="G330" t="s">
        <v>752</v>
      </c>
      <c r="H330">
        <v>40</v>
      </c>
      <c r="I330">
        <v>56.95</v>
      </c>
      <c r="J330">
        <v>77.275000000000006</v>
      </c>
      <c r="K330">
        <v>20.324999999999999</v>
      </c>
      <c r="L330">
        <v>30</v>
      </c>
      <c r="M330">
        <v>4</v>
      </c>
      <c r="N330">
        <v>6</v>
      </c>
      <c r="O330">
        <v>78.981499999999997</v>
      </c>
      <c r="P330">
        <v>18.170200000000001</v>
      </c>
      <c r="Q330">
        <v>16.642900000000001</v>
      </c>
    </row>
    <row r="331" spans="1:17" x14ac:dyDescent="0.25">
      <c r="A331" t="str">
        <f>IF(C331&amp;G331&amp;D331&lt;&gt;'Funnel setup'!$K$3&amp;'Funnel setup'!$K$4&amp;'Funnel setup'!$K$6,".",IF(A330=".",1,A330+1))</f>
        <v>.</v>
      </c>
      <c r="B331" s="244" t="str">
        <f t="shared" si="5"/>
        <v>Hip Replacement PrimaryProviderBATH CLINIC (NT402)EQ VAS</v>
      </c>
      <c r="C331" t="s">
        <v>749</v>
      </c>
      <c r="D331" t="s">
        <v>965</v>
      </c>
      <c r="E331" t="s">
        <v>152</v>
      </c>
      <c r="F331" t="s">
        <v>153</v>
      </c>
      <c r="G331" t="s">
        <v>752</v>
      </c>
      <c r="H331">
        <v>77</v>
      </c>
      <c r="I331">
        <v>71.259699999999995</v>
      </c>
      <c r="J331">
        <v>78.064899999999994</v>
      </c>
      <c r="K331">
        <v>6.8051899999999996</v>
      </c>
      <c r="L331">
        <v>46</v>
      </c>
      <c r="M331">
        <v>5</v>
      </c>
      <c r="N331">
        <v>26</v>
      </c>
      <c r="O331">
        <v>71.911100000000005</v>
      </c>
      <c r="P331">
        <v>11.0999</v>
      </c>
      <c r="Q331">
        <v>18.847000000000001</v>
      </c>
    </row>
    <row r="332" spans="1:17" x14ac:dyDescent="0.25">
      <c r="A332" t="str">
        <f>IF(C332&amp;G332&amp;D332&lt;&gt;'Funnel setup'!$K$3&amp;'Funnel setup'!$K$4&amp;'Funnel setup'!$K$6,".",IF(A331=".",1,A331+1))</f>
        <v>.</v>
      </c>
      <c r="B332" s="244" t="str">
        <f t="shared" si="5"/>
        <v>Hip Replacement PrimaryProviderBEARDWOOD HOSPITAL (NT403)EQ VAS</v>
      </c>
      <c r="C332" t="s">
        <v>749</v>
      </c>
      <c r="D332" t="s">
        <v>965</v>
      </c>
      <c r="E332" t="s">
        <v>154</v>
      </c>
      <c r="F332" t="s">
        <v>155</v>
      </c>
      <c r="G332" t="s">
        <v>752</v>
      </c>
      <c r="H332">
        <v>73</v>
      </c>
      <c r="I332">
        <v>61.9863</v>
      </c>
      <c r="J332">
        <v>79.246600000000001</v>
      </c>
      <c r="K332">
        <v>17.260300000000001</v>
      </c>
      <c r="L332">
        <v>50</v>
      </c>
      <c r="M332">
        <v>6</v>
      </c>
      <c r="N332">
        <v>17</v>
      </c>
      <c r="O332">
        <v>76.565100000000001</v>
      </c>
      <c r="P332">
        <v>15.7539</v>
      </c>
      <c r="Q332">
        <v>14.423500000000001</v>
      </c>
    </row>
    <row r="333" spans="1:17" x14ac:dyDescent="0.25">
      <c r="A333" t="str">
        <f>IF(C333&amp;G333&amp;D333&lt;&gt;'Funnel setup'!$K$3&amp;'Funnel setup'!$K$4&amp;'Funnel setup'!$K$6,".",IF(A332=".",1,A332+1))</f>
        <v>.</v>
      </c>
      <c r="B333" s="244" t="str">
        <f t="shared" si="5"/>
        <v>Hip Replacement PrimaryProviderBEAUMONT HOSPITAL (NT404)EQ VAS</v>
      </c>
      <c r="C333" t="s">
        <v>749</v>
      </c>
      <c r="D333" t="s">
        <v>965</v>
      </c>
      <c r="E333" t="s">
        <v>156</v>
      </c>
      <c r="F333" t="s">
        <v>157</v>
      </c>
      <c r="G333" t="s">
        <v>752</v>
      </c>
      <c r="H333">
        <v>12</v>
      </c>
      <c r="I333">
        <v>65.833299999999994</v>
      </c>
      <c r="J333">
        <v>86.25</v>
      </c>
      <c r="K333">
        <v>20.416699999999999</v>
      </c>
      <c r="L333">
        <v>11</v>
      </c>
      <c r="M333">
        <v>0</v>
      </c>
      <c r="N333">
        <v>1</v>
      </c>
      <c r="O333" t="s">
        <v>127</v>
      </c>
      <c r="P333" t="s">
        <v>127</v>
      </c>
      <c r="Q333" t="s">
        <v>127</v>
      </c>
    </row>
    <row r="334" spans="1:17" x14ac:dyDescent="0.25">
      <c r="A334" t="str">
        <f>IF(C334&amp;G334&amp;D334&lt;&gt;'Funnel setup'!$K$3&amp;'Funnel setup'!$K$4&amp;'Funnel setup'!$K$6,".",IF(A333=".",1,A333+1))</f>
        <v>.</v>
      </c>
      <c r="B334" s="244" t="str">
        <f t="shared" si="5"/>
        <v>Hip Replacement PrimaryProviderBEDFORDSHIRE HOSPITALS NHS FOUNDATION TRUST (RC9)EQ VAS</v>
      </c>
      <c r="C334" t="s">
        <v>749</v>
      </c>
      <c r="D334" t="s">
        <v>965</v>
      </c>
      <c r="E334" t="s">
        <v>158</v>
      </c>
      <c r="F334" t="s">
        <v>159</v>
      </c>
      <c r="G334" t="s">
        <v>752</v>
      </c>
      <c r="H334">
        <v>109</v>
      </c>
      <c r="I334">
        <v>57.229399999999998</v>
      </c>
      <c r="J334">
        <v>70.192700000000002</v>
      </c>
      <c r="K334">
        <v>12.9633</v>
      </c>
      <c r="L334">
        <v>72</v>
      </c>
      <c r="M334">
        <v>11</v>
      </c>
      <c r="N334">
        <v>26</v>
      </c>
      <c r="O334">
        <v>73.663200000000003</v>
      </c>
      <c r="P334">
        <v>12.852</v>
      </c>
      <c r="Q334">
        <v>19.897500000000001</v>
      </c>
    </row>
    <row r="335" spans="1:17" x14ac:dyDescent="0.25">
      <c r="A335" t="str">
        <f>IF(C335&amp;G335&amp;D335&lt;&gt;'Funnel setup'!$K$3&amp;'Funnel setup'!$K$4&amp;'Funnel setup'!$K$6,".",IF(A334=".",1,A334+1))</f>
        <v>.</v>
      </c>
      <c r="B335" s="244" t="str">
        <f t="shared" si="5"/>
        <v>Hip Replacement PrimaryProviderBENENDEN HOSPITAL (NWF01)EQ VAS</v>
      </c>
      <c r="C335" t="s">
        <v>749</v>
      </c>
      <c r="D335" t="s">
        <v>965</v>
      </c>
      <c r="E335" t="s">
        <v>160</v>
      </c>
      <c r="F335" t="s">
        <v>161</v>
      </c>
      <c r="G335" t="s">
        <v>752</v>
      </c>
      <c r="H335">
        <v>18</v>
      </c>
      <c r="I335">
        <v>60.833300000000001</v>
      </c>
      <c r="J335">
        <v>78.111099999999993</v>
      </c>
      <c r="K335">
        <v>17.277799999999999</v>
      </c>
      <c r="L335">
        <v>15</v>
      </c>
      <c r="M335">
        <v>1</v>
      </c>
      <c r="N335">
        <v>2</v>
      </c>
      <c r="O335" t="s">
        <v>127</v>
      </c>
      <c r="P335" t="s">
        <v>127</v>
      </c>
      <c r="Q335" t="s">
        <v>127</v>
      </c>
    </row>
    <row r="336" spans="1:17" x14ac:dyDescent="0.25">
      <c r="A336" t="str">
        <f>IF(C336&amp;G336&amp;D336&lt;&gt;'Funnel setup'!$K$3&amp;'Funnel setup'!$K$4&amp;'Funnel setup'!$K$6,".",IF(A335=".",1,A335+1))</f>
        <v>.</v>
      </c>
      <c r="B336" s="244" t="str">
        <f t="shared" si="5"/>
        <v>Hip Replacement PrimaryProviderBISHOPS WOOD HOSPITAL (NT405)EQ VAS</v>
      </c>
      <c r="C336" t="s">
        <v>749</v>
      </c>
      <c r="D336" t="s">
        <v>965</v>
      </c>
      <c r="E336" t="s">
        <v>166</v>
      </c>
      <c r="F336" t="s">
        <v>167</v>
      </c>
      <c r="G336" t="s">
        <v>752</v>
      </c>
      <c r="H336">
        <v>3</v>
      </c>
      <c r="I336">
        <v>76.666700000000006</v>
      </c>
      <c r="J336">
        <v>85</v>
      </c>
      <c r="K336">
        <v>8.3333300000000001</v>
      </c>
      <c r="L336">
        <v>3</v>
      </c>
      <c r="M336">
        <v>0</v>
      </c>
      <c r="N336">
        <v>0</v>
      </c>
      <c r="O336" t="s">
        <v>127</v>
      </c>
      <c r="P336" t="s">
        <v>127</v>
      </c>
      <c r="Q336" t="s">
        <v>127</v>
      </c>
    </row>
    <row r="337" spans="1:17" x14ac:dyDescent="0.25">
      <c r="A337" t="str">
        <f>IF(C337&amp;G337&amp;D337&lt;&gt;'Funnel setup'!$K$3&amp;'Funnel setup'!$K$4&amp;'Funnel setup'!$K$6,".",IF(A336=".",1,A336+1))</f>
        <v>.</v>
      </c>
      <c r="B337" s="244" t="str">
        <f t="shared" si="5"/>
        <v>Hip Replacement PrimaryProviderBLACKHEATH HOSPITAL (NT406)EQ VAS</v>
      </c>
      <c r="C337" t="s">
        <v>749</v>
      </c>
      <c r="D337" t="s">
        <v>965</v>
      </c>
      <c r="E337" t="s">
        <v>168</v>
      </c>
      <c r="F337" t="s">
        <v>169</v>
      </c>
      <c r="G337" t="s">
        <v>752</v>
      </c>
      <c r="H337">
        <v>13</v>
      </c>
      <c r="I337">
        <v>46.538499999999999</v>
      </c>
      <c r="J337">
        <v>73.461500000000001</v>
      </c>
      <c r="K337">
        <v>26.923100000000002</v>
      </c>
      <c r="L337">
        <v>12</v>
      </c>
      <c r="M337">
        <v>1</v>
      </c>
      <c r="N337">
        <v>0</v>
      </c>
      <c r="O337" t="s">
        <v>127</v>
      </c>
      <c r="P337" t="s">
        <v>127</v>
      </c>
      <c r="Q337" t="s">
        <v>127</v>
      </c>
    </row>
    <row r="338" spans="1:17" x14ac:dyDescent="0.25">
      <c r="A338" t="str">
        <f>IF(C338&amp;G338&amp;D338&lt;&gt;'Funnel setup'!$K$3&amp;'Funnel setup'!$K$4&amp;'Funnel setup'!$K$6,".",IF(A337=".",1,A337+1))</f>
        <v>.</v>
      </c>
      <c r="B338" s="244" t="str">
        <f t="shared" si="5"/>
        <v>Hip Replacement PrimaryProviderBLACKPOOL TEACHING HOSPITALS NHS FOUNDATION TRUST (RXL)EQ VAS</v>
      </c>
      <c r="C338" t="s">
        <v>749</v>
      </c>
      <c r="D338" t="s">
        <v>965</v>
      </c>
      <c r="E338" t="s">
        <v>170</v>
      </c>
      <c r="F338" t="s">
        <v>171</v>
      </c>
      <c r="G338" t="s">
        <v>752</v>
      </c>
      <c r="H338">
        <v>48</v>
      </c>
      <c r="I338">
        <v>61.375</v>
      </c>
      <c r="J338">
        <v>71.770799999999994</v>
      </c>
      <c r="K338">
        <v>10.395799999999999</v>
      </c>
      <c r="L338">
        <v>34</v>
      </c>
      <c r="M338">
        <v>2</v>
      </c>
      <c r="N338">
        <v>12</v>
      </c>
      <c r="O338">
        <v>73.925399999999996</v>
      </c>
      <c r="P338">
        <v>13.114100000000001</v>
      </c>
      <c r="Q338">
        <v>16.7395</v>
      </c>
    </row>
    <row r="339" spans="1:17" x14ac:dyDescent="0.25">
      <c r="A339" t="str">
        <f>IF(C339&amp;G339&amp;D339&lt;&gt;'Funnel setup'!$K$3&amp;'Funnel setup'!$K$4&amp;'Funnel setup'!$K$6,".",IF(A338=".",1,A338+1))</f>
        <v>.</v>
      </c>
      <c r="B339" s="244" t="str">
        <f t="shared" si="5"/>
        <v>Hip Replacement PrimaryProviderBOLTON NHS FOUNDATION TRUST (RMC)EQ VAS</v>
      </c>
      <c r="C339" t="s">
        <v>749</v>
      </c>
      <c r="D339" t="s">
        <v>965</v>
      </c>
      <c r="E339" t="s">
        <v>172</v>
      </c>
      <c r="F339" t="s">
        <v>173</v>
      </c>
      <c r="G339" t="s">
        <v>752</v>
      </c>
      <c r="H339">
        <v>42</v>
      </c>
      <c r="I339">
        <v>64.785700000000006</v>
      </c>
      <c r="J339">
        <v>71.428600000000003</v>
      </c>
      <c r="K339">
        <v>6.6428599999999998</v>
      </c>
      <c r="L339">
        <v>26</v>
      </c>
      <c r="M339">
        <v>4</v>
      </c>
      <c r="N339">
        <v>12</v>
      </c>
      <c r="O339">
        <v>74.492199999999997</v>
      </c>
      <c r="P339">
        <v>13.680899999999999</v>
      </c>
      <c r="Q339">
        <v>19.388999999999999</v>
      </c>
    </row>
    <row r="340" spans="1:17" x14ac:dyDescent="0.25">
      <c r="A340" t="str">
        <f>IF(C340&amp;G340&amp;D340&lt;&gt;'Funnel setup'!$K$3&amp;'Funnel setup'!$K$4&amp;'Funnel setup'!$K$6,".",IF(A339=".",1,A339+1))</f>
        <v>.</v>
      </c>
      <c r="B340" s="244" t="str">
        <f t="shared" si="5"/>
        <v>Hip Replacement PrimaryProviderBRADFORD TEACHING HOSPITALS NHS FOUNDATION TRUST (RAE)EQ VAS</v>
      </c>
      <c r="C340" t="s">
        <v>749</v>
      </c>
      <c r="D340" t="s">
        <v>965</v>
      </c>
      <c r="E340" t="s">
        <v>174</v>
      </c>
      <c r="F340" t="s">
        <v>175</v>
      </c>
      <c r="G340" t="s">
        <v>752</v>
      </c>
      <c r="H340">
        <v>2</v>
      </c>
      <c r="I340">
        <v>37.5</v>
      </c>
      <c r="J340">
        <v>60</v>
      </c>
      <c r="K340">
        <v>22.5</v>
      </c>
      <c r="L340">
        <v>2</v>
      </c>
      <c r="M340">
        <v>0</v>
      </c>
      <c r="N340">
        <v>0</v>
      </c>
      <c r="O340" t="s">
        <v>127</v>
      </c>
      <c r="P340" t="s">
        <v>127</v>
      </c>
      <c r="Q340" t="s">
        <v>127</v>
      </c>
    </row>
    <row r="341" spans="1:17" x14ac:dyDescent="0.25">
      <c r="A341" t="str">
        <f>IF(C341&amp;G341&amp;D341&lt;&gt;'Funnel setup'!$K$3&amp;'Funnel setup'!$K$4&amp;'Funnel setup'!$K$6,".",IF(A340=".",1,A340+1))</f>
        <v>.</v>
      </c>
      <c r="B341" s="244" t="str">
        <f t="shared" si="5"/>
        <v>Hip Replacement PrimaryProviderBUCKINGHAMSHIRE HEALTHCARE NHS TRUST (RXQ)EQ VAS</v>
      </c>
      <c r="C341" t="s">
        <v>749</v>
      </c>
      <c r="D341" t="s">
        <v>965</v>
      </c>
      <c r="E341" t="s">
        <v>178</v>
      </c>
      <c r="F341" t="s">
        <v>179</v>
      </c>
      <c r="G341" t="s">
        <v>752</v>
      </c>
      <c r="H341">
        <v>80</v>
      </c>
      <c r="I341">
        <v>56.15</v>
      </c>
      <c r="J341">
        <v>69.599999999999994</v>
      </c>
      <c r="K341">
        <v>13.45</v>
      </c>
      <c r="L341">
        <v>57</v>
      </c>
      <c r="M341">
        <v>4</v>
      </c>
      <c r="N341">
        <v>19</v>
      </c>
      <c r="O341">
        <v>72.265000000000001</v>
      </c>
      <c r="P341">
        <v>11.453799999999999</v>
      </c>
      <c r="Q341">
        <v>21.517900000000001</v>
      </c>
    </row>
    <row r="342" spans="1:17" x14ac:dyDescent="0.25">
      <c r="A342" t="str">
        <f>IF(C342&amp;G342&amp;D342&lt;&gt;'Funnel setup'!$K$3&amp;'Funnel setup'!$K$4&amp;'Funnel setup'!$K$6,".",IF(A341=".",1,A341+1))</f>
        <v>.</v>
      </c>
      <c r="B342" s="244" t="str">
        <f t="shared" si="5"/>
        <v>Hip Replacement PrimaryProviderCALDERDALE AND HUDDERSFIELD NHS FOUNDATION TRUST (RWY)EQ VAS</v>
      </c>
      <c r="C342" t="s">
        <v>749</v>
      </c>
      <c r="D342" t="s">
        <v>965</v>
      </c>
      <c r="E342" t="s">
        <v>180</v>
      </c>
      <c r="F342" t="s">
        <v>181</v>
      </c>
      <c r="G342" t="s">
        <v>752</v>
      </c>
      <c r="H342">
        <v>82</v>
      </c>
      <c r="I342">
        <v>58.865900000000003</v>
      </c>
      <c r="J342">
        <v>72.4024</v>
      </c>
      <c r="K342">
        <v>13.5366</v>
      </c>
      <c r="L342">
        <v>56</v>
      </c>
      <c r="M342">
        <v>9</v>
      </c>
      <c r="N342">
        <v>17</v>
      </c>
      <c r="O342">
        <v>73.479399999999998</v>
      </c>
      <c r="P342">
        <v>12.668100000000001</v>
      </c>
      <c r="Q342">
        <v>17.752300000000002</v>
      </c>
    </row>
    <row r="343" spans="1:17" x14ac:dyDescent="0.25">
      <c r="A343" t="str">
        <f>IF(C343&amp;G343&amp;D343&lt;&gt;'Funnel setup'!$K$3&amp;'Funnel setup'!$K$4&amp;'Funnel setup'!$K$6,".",IF(A342=".",1,A342+1))</f>
        <v>.</v>
      </c>
      <c r="B343" s="244" t="str">
        <f t="shared" si="5"/>
        <v>Hip Replacement PrimaryProviderCAMBRIDGE UNIVERSITY HOSPITALS NHS FOUNDATION TRUST (RGT)EQ VAS</v>
      </c>
      <c r="C343" t="s">
        <v>749</v>
      </c>
      <c r="D343" t="s">
        <v>965</v>
      </c>
      <c r="E343" t="s">
        <v>182</v>
      </c>
      <c r="F343" t="s">
        <v>183</v>
      </c>
      <c r="G343" t="s">
        <v>752</v>
      </c>
      <c r="H343">
        <v>64</v>
      </c>
      <c r="I343">
        <v>49.765599999999999</v>
      </c>
      <c r="J343">
        <v>69.8125</v>
      </c>
      <c r="K343">
        <v>20.046900000000001</v>
      </c>
      <c r="L343">
        <v>46</v>
      </c>
      <c r="M343">
        <v>2</v>
      </c>
      <c r="N343">
        <v>16</v>
      </c>
      <c r="O343">
        <v>73.342100000000002</v>
      </c>
      <c r="P343">
        <v>12.530799999999999</v>
      </c>
      <c r="Q343">
        <v>18.867699999999999</v>
      </c>
    </row>
    <row r="344" spans="1:17" x14ac:dyDescent="0.25">
      <c r="A344" t="str">
        <f>IF(C344&amp;G344&amp;D344&lt;&gt;'Funnel setup'!$K$3&amp;'Funnel setup'!$K$4&amp;'Funnel setup'!$K$6,".",IF(A343=".",1,A343+1))</f>
        <v>.</v>
      </c>
      <c r="B344" s="244" t="str">
        <f t="shared" si="5"/>
        <v>Hip Replacement PrimaryProviderCAVELL HOSPITAL (NT451)EQ VAS</v>
      </c>
      <c r="C344" t="s">
        <v>749</v>
      </c>
      <c r="D344" t="s">
        <v>965</v>
      </c>
      <c r="E344" t="s">
        <v>184</v>
      </c>
      <c r="F344" t="s">
        <v>185</v>
      </c>
      <c r="G344" t="s">
        <v>752</v>
      </c>
      <c r="H344">
        <v>15</v>
      </c>
      <c r="I344">
        <v>54.533299999999997</v>
      </c>
      <c r="J344">
        <v>74.8</v>
      </c>
      <c r="K344">
        <v>20.2667</v>
      </c>
      <c r="L344">
        <v>11</v>
      </c>
      <c r="M344">
        <v>1</v>
      </c>
      <c r="N344">
        <v>3</v>
      </c>
      <c r="O344" t="s">
        <v>127</v>
      </c>
      <c r="P344" t="s">
        <v>127</v>
      </c>
      <c r="Q344" t="s">
        <v>127</v>
      </c>
    </row>
    <row r="345" spans="1:17" x14ac:dyDescent="0.25">
      <c r="A345" t="str">
        <f>IF(C345&amp;G345&amp;D345&lt;&gt;'Funnel setup'!$K$3&amp;'Funnel setup'!$K$4&amp;'Funnel setup'!$K$6,".",IF(A344=".",1,A344+1))</f>
        <v>.</v>
      </c>
      <c r="B345" s="244" t="str">
        <f t="shared" si="5"/>
        <v>Hip Replacement PrimaryProviderCHAUCER HOSPITAL (NT408)EQ VAS</v>
      </c>
      <c r="C345" t="s">
        <v>749</v>
      </c>
      <c r="D345" t="s">
        <v>965</v>
      </c>
      <c r="E345" t="s">
        <v>186</v>
      </c>
      <c r="F345" t="s">
        <v>187</v>
      </c>
      <c r="G345" t="s">
        <v>752</v>
      </c>
      <c r="H345">
        <v>27</v>
      </c>
      <c r="I345">
        <v>72.481499999999997</v>
      </c>
      <c r="J345">
        <v>74.111099999999993</v>
      </c>
      <c r="K345">
        <v>1.6296299999999999</v>
      </c>
      <c r="L345">
        <v>13</v>
      </c>
      <c r="M345">
        <v>1</v>
      </c>
      <c r="N345">
        <v>13</v>
      </c>
      <c r="O345" t="s">
        <v>127</v>
      </c>
      <c r="P345" t="s">
        <v>127</v>
      </c>
      <c r="Q345" t="s">
        <v>127</v>
      </c>
    </row>
    <row r="346" spans="1:17" x14ac:dyDescent="0.25">
      <c r="A346" t="str">
        <f>IF(C346&amp;G346&amp;D346&lt;&gt;'Funnel setup'!$K$3&amp;'Funnel setup'!$K$4&amp;'Funnel setup'!$K$6,".",IF(A345=".",1,A345+1))</f>
        <v>.</v>
      </c>
      <c r="B346" s="244" t="str">
        <f t="shared" si="5"/>
        <v>Hip Replacement PrimaryProviderCHELSEA AND WESTMINSTER HOSPITAL NHS FOUNDATION TRUST (RQM)EQ VAS</v>
      </c>
      <c r="C346" t="s">
        <v>749</v>
      </c>
      <c r="D346" t="s">
        <v>965</v>
      </c>
      <c r="E346" t="s">
        <v>188</v>
      </c>
      <c r="F346" t="s">
        <v>189</v>
      </c>
      <c r="G346" t="s">
        <v>752</v>
      </c>
      <c r="H346">
        <v>18</v>
      </c>
      <c r="I346">
        <v>57.444400000000002</v>
      </c>
      <c r="J346">
        <v>71.444400000000002</v>
      </c>
      <c r="K346">
        <v>14</v>
      </c>
      <c r="L346">
        <v>12</v>
      </c>
      <c r="M346">
        <v>2</v>
      </c>
      <c r="N346">
        <v>4</v>
      </c>
      <c r="O346" t="s">
        <v>127</v>
      </c>
      <c r="P346" t="s">
        <v>127</v>
      </c>
      <c r="Q346" t="s">
        <v>127</v>
      </c>
    </row>
    <row r="347" spans="1:17" x14ac:dyDescent="0.25">
      <c r="A347" t="str">
        <f>IF(C347&amp;G347&amp;D347&lt;&gt;'Funnel setup'!$K$3&amp;'Funnel setup'!$K$4&amp;'Funnel setup'!$K$6,".",IF(A346=".",1,A346+1))</f>
        <v>.</v>
      </c>
      <c r="B347" s="244" t="str">
        <f t="shared" si="5"/>
        <v>Hip Replacement PrimaryProviderCHELSFIELD PARK HOSPITAL (NT409)EQ VAS</v>
      </c>
      <c r="C347" t="s">
        <v>749</v>
      </c>
      <c r="D347" t="s">
        <v>965</v>
      </c>
      <c r="E347" t="s">
        <v>190</v>
      </c>
      <c r="F347" t="s">
        <v>191</v>
      </c>
      <c r="G347" t="s">
        <v>752</v>
      </c>
      <c r="H347">
        <v>28</v>
      </c>
      <c r="I347">
        <v>65.535700000000006</v>
      </c>
      <c r="J347">
        <v>80.464299999999994</v>
      </c>
      <c r="K347">
        <v>14.928599999999999</v>
      </c>
      <c r="L347">
        <v>18</v>
      </c>
      <c r="M347">
        <v>3</v>
      </c>
      <c r="N347">
        <v>7</v>
      </c>
      <c r="O347" t="s">
        <v>127</v>
      </c>
      <c r="P347" t="s">
        <v>127</v>
      </c>
      <c r="Q347" t="s">
        <v>127</v>
      </c>
    </row>
    <row r="348" spans="1:17" x14ac:dyDescent="0.25">
      <c r="A348" t="str">
        <f>IF(C348&amp;G348&amp;D348&lt;&gt;'Funnel setup'!$K$3&amp;'Funnel setup'!$K$4&amp;'Funnel setup'!$K$6,".",IF(A347=".",1,A347+1))</f>
        <v>.</v>
      </c>
      <c r="B348" s="244" t="str">
        <f t="shared" si="5"/>
        <v>Hip Replacement PrimaryProviderCHESTERFIELD ROYAL HOSPITAL NHS FOUNDATION TRUST (RFS)EQ VAS</v>
      </c>
      <c r="C348" t="s">
        <v>749</v>
      </c>
      <c r="D348" t="s">
        <v>965</v>
      </c>
      <c r="E348" t="s">
        <v>192</v>
      </c>
      <c r="F348" t="s">
        <v>193</v>
      </c>
      <c r="G348" t="s">
        <v>752</v>
      </c>
      <c r="H348">
        <v>58</v>
      </c>
      <c r="I348">
        <v>57.069000000000003</v>
      </c>
      <c r="J348">
        <v>70.982799999999997</v>
      </c>
      <c r="K348">
        <v>13.9138</v>
      </c>
      <c r="L348">
        <v>37</v>
      </c>
      <c r="M348">
        <v>7</v>
      </c>
      <c r="N348">
        <v>14</v>
      </c>
      <c r="O348">
        <v>73.717799999999997</v>
      </c>
      <c r="P348">
        <v>12.906499999999999</v>
      </c>
      <c r="Q348">
        <v>17.7547</v>
      </c>
    </row>
    <row r="349" spans="1:17" x14ac:dyDescent="0.25">
      <c r="A349" t="str">
        <f>IF(C349&amp;G349&amp;D349&lt;&gt;'Funnel setup'!$K$3&amp;'Funnel setup'!$K$4&amp;'Funnel setup'!$K$6,".",IF(A348=".",1,A348+1))</f>
        <v>.</v>
      </c>
      <c r="B349" s="244" t="str">
        <f t="shared" si="5"/>
        <v>Hip Replacement PrimaryProviderCHILTERN HOSPITAL (NT410)EQ VAS</v>
      </c>
      <c r="C349" t="s">
        <v>749</v>
      </c>
      <c r="D349" t="s">
        <v>965</v>
      </c>
      <c r="E349" t="s">
        <v>194</v>
      </c>
      <c r="F349" t="s">
        <v>195</v>
      </c>
      <c r="G349" t="s">
        <v>752</v>
      </c>
      <c r="H349">
        <v>75</v>
      </c>
      <c r="I349">
        <v>66.893299999999996</v>
      </c>
      <c r="J349">
        <v>82.2667</v>
      </c>
      <c r="K349">
        <v>15.3733</v>
      </c>
      <c r="L349">
        <v>55</v>
      </c>
      <c r="M349">
        <v>3</v>
      </c>
      <c r="N349">
        <v>17</v>
      </c>
      <c r="O349">
        <v>78.229399999999998</v>
      </c>
      <c r="P349">
        <v>17.418199999999999</v>
      </c>
      <c r="Q349">
        <v>15.2569</v>
      </c>
    </row>
    <row r="350" spans="1:17" x14ac:dyDescent="0.25">
      <c r="A350" t="str">
        <f>IF(C350&amp;G350&amp;D350&lt;&gt;'Funnel setup'!$K$3&amp;'Funnel setup'!$K$4&amp;'Funnel setup'!$K$6,".",IF(A349=".",1,A349+1))</f>
        <v>.</v>
      </c>
      <c r="B350" s="244" t="str">
        <f t="shared" si="5"/>
        <v>Hip Replacement PrimaryProviderCIRCLE BATH HOSPITAL (NV302)EQ VAS</v>
      </c>
      <c r="C350" t="s">
        <v>749</v>
      </c>
      <c r="D350" t="s">
        <v>965</v>
      </c>
      <c r="E350" t="s">
        <v>196</v>
      </c>
      <c r="F350" t="s">
        <v>197</v>
      </c>
      <c r="G350" t="s">
        <v>752</v>
      </c>
      <c r="H350">
        <v>11</v>
      </c>
      <c r="I350">
        <v>64.818200000000004</v>
      </c>
      <c r="J350">
        <v>83.7273</v>
      </c>
      <c r="K350">
        <v>18.909099999999999</v>
      </c>
      <c r="L350">
        <v>9</v>
      </c>
      <c r="M350">
        <v>1</v>
      </c>
      <c r="N350">
        <v>1</v>
      </c>
      <c r="O350" t="s">
        <v>127</v>
      </c>
      <c r="P350" t="s">
        <v>127</v>
      </c>
      <c r="Q350" t="s">
        <v>127</v>
      </c>
    </row>
    <row r="351" spans="1:17" x14ac:dyDescent="0.25">
      <c r="A351" t="str">
        <f>IF(C351&amp;G351&amp;D351&lt;&gt;'Funnel setup'!$K$3&amp;'Funnel setup'!$K$4&amp;'Funnel setup'!$K$6,".",IF(A350=".",1,A350+1))</f>
        <v>.</v>
      </c>
      <c r="B351" s="244" t="str">
        <f t="shared" si="5"/>
        <v>Hip Replacement PrimaryProviderCIRCLE READING HOSPITAL (NV323)EQ VAS</v>
      </c>
      <c r="C351" t="s">
        <v>749</v>
      </c>
      <c r="D351" t="s">
        <v>965</v>
      </c>
      <c r="E351" t="s">
        <v>198</v>
      </c>
      <c r="F351" t="s">
        <v>199</v>
      </c>
      <c r="G351" t="s">
        <v>752</v>
      </c>
      <c r="H351">
        <v>63</v>
      </c>
      <c r="I351">
        <v>43.904800000000002</v>
      </c>
      <c r="J351">
        <v>79.206299999999999</v>
      </c>
      <c r="K351">
        <v>35.301600000000001</v>
      </c>
      <c r="L351">
        <v>57</v>
      </c>
      <c r="M351">
        <v>1</v>
      </c>
      <c r="N351">
        <v>5</v>
      </c>
      <c r="O351">
        <v>79.529799999999994</v>
      </c>
      <c r="P351">
        <v>18.718599999999999</v>
      </c>
      <c r="Q351">
        <v>16.8249</v>
      </c>
    </row>
    <row r="352" spans="1:17" x14ac:dyDescent="0.25">
      <c r="A352" t="str">
        <f>IF(C352&amp;G352&amp;D352&lt;&gt;'Funnel setup'!$K$3&amp;'Funnel setup'!$K$4&amp;'Funnel setup'!$K$6,".",IF(A351=".",1,A351+1))</f>
        <v>.</v>
      </c>
      <c r="B352" s="244" t="str">
        <f t="shared" si="5"/>
        <v>Hip Replacement PrimaryProviderCLEMENTINE CHURCHILL HOSPITAL (NT411)EQ VAS</v>
      </c>
      <c r="C352" t="s">
        <v>749</v>
      </c>
      <c r="D352" t="s">
        <v>965</v>
      </c>
      <c r="E352" t="s">
        <v>200</v>
      </c>
      <c r="F352" t="s">
        <v>201</v>
      </c>
      <c r="G352" t="s">
        <v>752</v>
      </c>
      <c r="H352">
        <v>21</v>
      </c>
      <c r="I352">
        <v>59.285699999999999</v>
      </c>
      <c r="J352">
        <v>68.666700000000006</v>
      </c>
      <c r="K352">
        <v>9.3809500000000003</v>
      </c>
      <c r="L352">
        <v>13</v>
      </c>
      <c r="M352">
        <v>0</v>
      </c>
      <c r="N352">
        <v>8</v>
      </c>
      <c r="O352" t="s">
        <v>127</v>
      </c>
      <c r="P352" t="s">
        <v>127</v>
      </c>
      <c r="Q352" t="s">
        <v>127</v>
      </c>
    </row>
    <row r="353" spans="1:17" x14ac:dyDescent="0.25">
      <c r="A353" t="str">
        <f>IF(C353&amp;G353&amp;D353&lt;&gt;'Funnel setup'!$K$3&amp;'Funnel setup'!$K$4&amp;'Funnel setup'!$K$6,".",IF(A352=".",1,A352+1))</f>
        <v>.</v>
      </c>
      <c r="B353" s="244" t="str">
        <f t="shared" si="5"/>
        <v>Hip Replacement PrimaryProviderCLIFTON PARK HOSPITAL (NVC28)EQ VAS</v>
      </c>
      <c r="C353" t="s">
        <v>749</v>
      </c>
      <c r="D353" t="s">
        <v>965</v>
      </c>
      <c r="E353" t="s">
        <v>202</v>
      </c>
      <c r="F353" t="s">
        <v>203</v>
      </c>
      <c r="G353" t="s">
        <v>752</v>
      </c>
      <c r="H353">
        <v>38</v>
      </c>
      <c r="I353">
        <v>50.526299999999999</v>
      </c>
      <c r="J353">
        <v>73.631600000000006</v>
      </c>
      <c r="K353">
        <v>23.1053</v>
      </c>
      <c r="L353">
        <v>32</v>
      </c>
      <c r="M353">
        <v>0</v>
      </c>
      <c r="N353">
        <v>6</v>
      </c>
      <c r="O353">
        <v>74.226500000000001</v>
      </c>
      <c r="P353">
        <v>13.4152</v>
      </c>
      <c r="Q353">
        <v>21.702100000000002</v>
      </c>
    </row>
    <row r="354" spans="1:17" x14ac:dyDescent="0.25">
      <c r="A354" t="str">
        <f>IF(C354&amp;G354&amp;D354&lt;&gt;'Funnel setup'!$K$3&amp;'Funnel setup'!$K$4&amp;'Funnel setup'!$K$6,".",IF(A353=".",1,A353+1))</f>
        <v>.</v>
      </c>
      <c r="B354" s="244" t="str">
        <f t="shared" si="5"/>
        <v>Hip Replacement PrimaryProviderCOUNTESS OF CHESTER HOSPITAL NHS FOUNDATION TRUST (RJR)EQ VAS</v>
      </c>
      <c r="C354" t="s">
        <v>749</v>
      </c>
      <c r="D354" t="s">
        <v>965</v>
      </c>
      <c r="E354" t="s">
        <v>204</v>
      </c>
      <c r="F354" t="s">
        <v>205</v>
      </c>
      <c r="G354" t="s">
        <v>752</v>
      </c>
      <c r="H354">
        <v>23</v>
      </c>
      <c r="I354">
        <v>63</v>
      </c>
      <c r="J354">
        <v>77.782600000000002</v>
      </c>
      <c r="K354">
        <v>14.7826</v>
      </c>
      <c r="L354">
        <v>17</v>
      </c>
      <c r="M354">
        <v>0</v>
      </c>
      <c r="N354">
        <v>6</v>
      </c>
      <c r="O354" t="s">
        <v>127</v>
      </c>
      <c r="P354" t="s">
        <v>127</v>
      </c>
      <c r="Q354" t="s">
        <v>127</v>
      </c>
    </row>
    <row r="355" spans="1:17" x14ac:dyDescent="0.25">
      <c r="A355" t="str">
        <f>IF(C355&amp;G355&amp;D355&lt;&gt;'Funnel setup'!$K$3&amp;'Funnel setup'!$K$4&amp;'Funnel setup'!$K$6,".",IF(A354=".",1,A354+1))</f>
        <v>.</v>
      </c>
      <c r="B355" s="244" t="str">
        <f t="shared" si="5"/>
        <v>Hip Replacement PrimaryProviderCOUNTY DURHAM AND DARLINGTON NHS FOUNDATION TRUST (RXP)EQ VAS</v>
      </c>
      <c r="C355" t="s">
        <v>749</v>
      </c>
      <c r="D355" t="s">
        <v>965</v>
      </c>
      <c r="E355" t="s">
        <v>206</v>
      </c>
      <c r="F355" t="s">
        <v>207</v>
      </c>
      <c r="G355" t="s">
        <v>752</v>
      </c>
      <c r="H355">
        <v>147</v>
      </c>
      <c r="I355">
        <v>61.986400000000003</v>
      </c>
      <c r="J355">
        <v>70.5578</v>
      </c>
      <c r="K355">
        <v>8.5714299999999994</v>
      </c>
      <c r="L355">
        <v>82</v>
      </c>
      <c r="M355">
        <v>17</v>
      </c>
      <c r="N355">
        <v>48</v>
      </c>
      <c r="O355">
        <v>71.559299999999993</v>
      </c>
      <c r="P355">
        <v>10.747999999999999</v>
      </c>
      <c r="Q355">
        <v>19.487100000000002</v>
      </c>
    </row>
    <row r="356" spans="1:17" x14ac:dyDescent="0.25">
      <c r="A356" t="str">
        <f>IF(C356&amp;G356&amp;D356&lt;&gt;'Funnel setup'!$K$3&amp;'Funnel setup'!$K$4&amp;'Funnel setup'!$K$6,".",IF(A355=".",1,A355+1))</f>
        <v>.</v>
      </c>
      <c r="B356" s="244" t="str">
        <f t="shared" si="5"/>
        <v>Hip Replacement PrimaryProviderDONCASTER AND BASSETLAW TEACHING HOSPITALS NHS FOUNDATION TRUST (RP5)EQ VAS</v>
      </c>
      <c r="C356" t="s">
        <v>749</v>
      </c>
      <c r="D356" t="s">
        <v>965</v>
      </c>
      <c r="E356" t="s">
        <v>212</v>
      </c>
      <c r="F356" t="s">
        <v>213</v>
      </c>
      <c r="G356" t="s">
        <v>752</v>
      </c>
      <c r="H356">
        <v>57</v>
      </c>
      <c r="I356">
        <v>53.386000000000003</v>
      </c>
      <c r="J356">
        <v>71</v>
      </c>
      <c r="K356">
        <v>17.614000000000001</v>
      </c>
      <c r="L356">
        <v>43</v>
      </c>
      <c r="M356">
        <v>4</v>
      </c>
      <c r="N356">
        <v>10</v>
      </c>
      <c r="O356">
        <v>76.318100000000001</v>
      </c>
      <c r="P356">
        <v>15.5068</v>
      </c>
      <c r="Q356">
        <v>17.0245</v>
      </c>
    </row>
    <row r="357" spans="1:17" x14ac:dyDescent="0.25">
      <c r="A357" t="str">
        <f>IF(C357&amp;G357&amp;D357&lt;&gt;'Funnel setup'!$K$3&amp;'Funnel setup'!$K$4&amp;'Funnel setup'!$K$6,".",IF(A356=".",1,A356+1))</f>
        <v>.</v>
      </c>
      <c r="B357" s="244" t="str">
        <f t="shared" si="5"/>
        <v>Hip Replacement PrimaryProviderDORSET COUNTY HOSPITAL NHS FOUNDATION TRUST (RBD)EQ VAS</v>
      </c>
      <c r="C357" t="s">
        <v>749</v>
      </c>
      <c r="D357" t="s">
        <v>965</v>
      </c>
      <c r="E357" t="s">
        <v>214</v>
      </c>
      <c r="F357" t="s">
        <v>215</v>
      </c>
      <c r="G357" t="s">
        <v>752</v>
      </c>
      <c r="H357">
        <v>11</v>
      </c>
      <c r="I357">
        <v>62</v>
      </c>
      <c r="J357">
        <v>75.909099999999995</v>
      </c>
      <c r="K357">
        <v>13.9091</v>
      </c>
      <c r="L357">
        <v>9</v>
      </c>
      <c r="M357">
        <v>0</v>
      </c>
      <c r="N357">
        <v>2</v>
      </c>
      <c r="O357" t="s">
        <v>127</v>
      </c>
      <c r="P357" t="s">
        <v>127</v>
      </c>
      <c r="Q357" t="s">
        <v>127</v>
      </c>
    </row>
    <row r="358" spans="1:17" x14ac:dyDescent="0.25">
      <c r="A358" t="str">
        <f>IF(C358&amp;G358&amp;D358&lt;&gt;'Funnel setup'!$K$3&amp;'Funnel setup'!$K$4&amp;'Funnel setup'!$K$6,".",IF(A357=".",1,A357+1))</f>
        <v>.</v>
      </c>
      <c r="B358" s="244" t="str">
        <f t="shared" si="5"/>
        <v>Hip Replacement PrimaryProviderDROITWICH SPA HOSPITAL (NT412)EQ VAS</v>
      </c>
      <c r="C358" t="s">
        <v>749</v>
      </c>
      <c r="D358" t="s">
        <v>965</v>
      </c>
      <c r="E358" t="s">
        <v>216</v>
      </c>
      <c r="F358" t="s">
        <v>217</v>
      </c>
      <c r="G358" t="s">
        <v>752</v>
      </c>
      <c r="H358">
        <v>24</v>
      </c>
      <c r="I358">
        <v>56.958300000000001</v>
      </c>
      <c r="J358">
        <v>80.083299999999994</v>
      </c>
      <c r="K358">
        <v>23.125</v>
      </c>
      <c r="L358">
        <v>19</v>
      </c>
      <c r="M358">
        <v>2</v>
      </c>
      <c r="N358">
        <v>3</v>
      </c>
      <c r="O358" t="s">
        <v>127</v>
      </c>
      <c r="P358" t="s">
        <v>127</v>
      </c>
      <c r="Q358" t="s">
        <v>127</v>
      </c>
    </row>
    <row r="359" spans="1:17" x14ac:dyDescent="0.25">
      <c r="A359" t="str">
        <f>IF(C359&amp;G359&amp;D359&lt;&gt;'Funnel setup'!$K$3&amp;'Funnel setup'!$K$4&amp;'Funnel setup'!$K$6,".",IF(A358=".",1,A358+1))</f>
        <v>.</v>
      </c>
      <c r="B359" s="244" t="str">
        <f t="shared" si="5"/>
        <v>Hip Replacement PrimaryProviderDUCHY HOSPITAL (NT447)EQ VAS</v>
      </c>
      <c r="C359" t="s">
        <v>749</v>
      </c>
      <c r="D359" t="s">
        <v>965</v>
      </c>
      <c r="E359" t="s">
        <v>218</v>
      </c>
      <c r="F359" t="s">
        <v>219</v>
      </c>
      <c r="G359" t="s">
        <v>752</v>
      </c>
      <c r="H359">
        <v>27</v>
      </c>
      <c r="I359">
        <v>64.185199999999995</v>
      </c>
      <c r="J359">
        <v>81.074100000000001</v>
      </c>
      <c r="K359">
        <v>16.8889</v>
      </c>
      <c r="L359">
        <v>18</v>
      </c>
      <c r="M359">
        <v>2</v>
      </c>
      <c r="N359">
        <v>7</v>
      </c>
      <c r="O359" t="s">
        <v>127</v>
      </c>
      <c r="P359" t="s">
        <v>127</v>
      </c>
      <c r="Q359" t="s">
        <v>127</v>
      </c>
    </row>
    <row r="360" spans="1:17" x14ac:dyDescent="0.25">
      <c r="A360" t="str">
        <f>IF(C360&amp;G360&amp;D360&lt;&gt;'Funnel setup'!$K$3&amp;'Funnel setup'!$K$4&amp;'Funnel setup'!$K$6,".",IF(A359=".",1,A359+1))</f>
        <v>.</v>
      </c>
      <c r="B360" s="244" t="str">
        <f t="shared" si="5"/>
        <v>Hip Replacement PrimaryProviderDUCHY HOSPITAL (NVC04)EQ VAS</v>
      </c>
      <c r="C360" t="s">
        <v>749</v>
      </c>
      <c r="D360" t="s">
        <v>965</v>
      </c>
      <c r="E360" t="s">
        <v>220</v>
      </c>
      <c r="F360" t="s">
        <v>221</v>
      </c>
      <c r="G360" t="s">
        <v>752</v>
      </c>
      <c r="H360">
        <v>25</v>
      </c>
      <c r="I360">
        <v>50</v>
      </c>
      <c r="J360">
        <v>71.959999999999994</v>
      </c>
      <c r="K360">
        <v>21.96</v>
      </c>
      <c r="L360">
        <v>20</v>
      </c>
      <c r="M360">
        <v>3</v>
      </c>
      <c r="N360">
        <v>2</v>
      </c>
      <c r="O360" t="s">
        <v>127</v>
      </c>
      <c r="P360" t="s">
        <v>127</v>
      </c>
      <c r="Q360" t="s">
        <v>127</v>
      </c>
    </row>
    <row r="361" spans="1:17" x14ac:dyDescent="0.25">
      <c r="A361" t="str">
        <f>IF(C361&amp;G361&amp;D361&lt;&gt;'Funnel setup'!$K$3&amp;'Funnel setup'!$K$4&amp;'Funnel setup'!$K$6,".",IF(A360=".",1,A360+1))</f>
        <v>.</v>
      </c>
      <c r="B361" s="244" t="str">
        <f t="shared" si="5"/>
        <v>Hip Replacement PrimaryProviderEAST AND NORTH HERTFORDSHIRE NHS TRUST (RWH)EQ VAS</v>
      </c>
      <c r="C361" t="s">
        <v>749</v>
      </c>
      <c r="D361" t="s">
        <v>965</v>
      </c>
      <c r="E361" t="s">
        <v>224</v>
      </c>
      <c r="F361" t="s">
        <v>225</v>
      </c>
      <c r="G361" t="s">
        <v>752</v>
      </c>
      <c r="H361">
        <v>31</v>
      </c>
      <c r="I361">
        <v>57.645200000000003</v>
      </c>
      <c r="J361">
        <v>78.064499999999995</v>
      </c>
      <c r="K361">
        <v>20.4194</v>
      </c>
      <c r="L361">
        <v>24</v>
      </c>
      <c r="M361">
        <v>2</v>
      </c>
      <c r="N361">
        <v>5</v>
      </c>
      <c r="O361">
        <v>78.095799999999997</v>
      </c>
      <c r="P361">
        <v>17.284600000000001</v>
      </c>
      <c r="Q361">
        <v>15.711</v>
      </c>
    </row>
    <row r="362" spans="1:17" x14ac:dyDescent="0.25">
      <c r="A362" t="str">
        <f>IF(C362&amp;G362&amp;D362&lt;&gt;'Funnel setup'!$K$3&amp;'Funnel setup'!$K$4&amp;'Funnel setup'!$K$6,".",IF(A361=".",1,A361+1))</f>
        <v>.</v>
      </c>
      <c r="B362" s="244" t="str">
        <f t="shared" si="5"/>
        <v>Hip Replacement PrimaryProviderEAST CHESHIRE NHS TRUST (RJN)EQ VAS</v>
      </c>
      <c r="C362" t="s">
        <v>749</v>
      </c>
      <c r="D362" t="s">
        <v>965</v>
      </c>
      <c r="E362" t="s">
        <v>226</v>
      </c>
      <c r="F362" t="s">
        <v>227</v>
      </c>
      <c r="G362" t="s">
        <v>752</v>
      </c>
      <c r="H362">
        <v>4</v>
      </c>
      <c r="I362">
        <v>72.5</v>
      </c>
      <c r="J362">
        <v>63.75</v>
      </c>
      <c r="K362">
        <v>-8.75</v>
      </c>
      <c r="L362">
        <v>1</v>
      </c>
      <c r="M362">
        <v>1</v>
      </c>
      <c r="N362">
        <v>2</v>
      </c>
      <c r="O362" t="s">
        <v>127</v>
      </c>
      <c r="P362" t="s">
        <v>127</v>
      </c>
      <c r="Q362" t="s">
        <v>127</v>
      </c>
    </row>
    <row r="363" spans="1:17" x14ac:dyDescent="0.25">
      <c r="A363" t="str">
        <f>IF(C363&amp;G363&amp;D363&lt;&gt;'Funnel setup'!$K$3&amp;'Funnel setup'!$K$4&amp;'Funnel setup'!$K$6,".",IF(A362=".",1,A362+1))</f>
        <v>.</v>
      </c>
      <c r="B363" s="244" t="str">
        <f t="shared" si="5"/>
        <v>Hip Replacement PrimaryProviderEAST KENT HOSPITALS UNIVERSITY NHS FOUNDATION TRUST (RVV)EQ VAS</v>
      </c>
      <c r="C363" t="s">
        <v>749</v>
      </c>
      <c r="D363" t="s">
        <v>965</v>
      </c>
      <c r="E363" t="s">
        <v>228</v>
      </c>
      <c r="F363" t="s">
        <v>229</v>
      </c>
      <c r="G363" t="s">
        <v>752</v>
      </c>
      <c r="H363">
        <v>83</v>
      </c>
      <c r="I363">
        <v>59.1205</v>
      </c>
      <c r="J363">
        <v>72.192800000000005</v>
      </c>
      <c r="K363">
        <v>13.0723</v>
      </c>
      <c r="L363">
        <v>57</v>
      </c>
      <c r="M363">
        <v>6</v>
      </c>
      <c r="N363">
        <v>20</v>
      </c>
      <c r="O363">
        <v>74.897499999999994</v>
      </c>
      <c r="P363">
        <v>14.0862</v>
      </c>
      <c r="Q363">
        <v>17.5931</v>
      </c>
    </row>
    <row r="364" spans="1:17" x14ac:dyDescent="0.25">
      <c r="A364" t="str">
        <f>IF(C364&amp;G364&amp;D364&lt;&gt;'Funnel setup'!$K$3&amp;'Funnel setup'!$K$4&amp;'Funnel setup'!$K$6,".",IF(A363=".",1,A363+1))</f>
        <v>.</v>
      </c>
      <c r="B364" s="244" t="str">
        <f t="shared" si="5"/>
        <v>Hip Replacement PrimaryProviderEAST LANCASHIRE HOSPITALS NHS TRUST (RXR)EQ VAS</v>
      </c>
      <c r="C364" t="s">
        <v>749</v>
      </c>
      <c r="D364" t="s">
        <v>965</v>
      </c>
      <c r="E364" t="s">
        <v>230</v>
      </c>
      <c r="F364" t="s">
        <v>231</v>
      </c>
      <c r="G364" t="s">
        <v>752</v>
      </c>
      <c r="H364">
        <v>81</v>
      </c>
      <c r="I364">
        <v>61.320999999999998</v>
      </c>
      <c r="J364">
        <v>73.172799999999995</v>
      </c>
      <c r="K364">
        <v>11.851900000000001</v>
      </c>
      <c r="L364">
        <v>49</v>
      </c>
      <c r="M364">
        <v>6</v>
      </c>
      <c r="N364">
        <v>26</v>
      </c>
      <c r="O364">
        <v>75.066699999999997</v>
      </c>
      <c r="P364">
        <v>14.2554</v>
      </c>
      <c r="Q364">
        <v>15.4247</v>
      </c>
    </row>
    <row r="365" spans="1:17" x14ac:dyDescent="0.25">
      <c r="A365" t="str">
        <f>IF(C365&amp;G365&amp;D365&lt;&gt;'Funnel setup'!$K$3&amp;'Funnel setup'!$K$4&amp;'Funnel setup'!$K$6,".",IF(A364=".",1,A364+1))</f>
        <v>.</v>
      </c>
      <c r="B365" s="244" t="str">
        <f t="shared" si="5"/>
        <v>Hip Replacement PrimaryProviderEAST SUFFOLK AND NORTH ESSEX NHS FOUNDATION TRUST (RDE)EQ VAS</v>
      </c>
      <c r="C365" t="s">
        <v>749</v>
      </c>
      <c r="D365" t="s">
        <v>965</v>
      </c>
      <c r="E365" t="s">
        <v>232</v>
      </c>
      <c r="F365" t="s">
        <v>233</v>
      </c>
      <c r="G365" t="s">
        <v>752</v>
      </c>
      <c r="H365">
        <v>121</v>
      </c>
      <c r="I365">
        <v>56.454500000000003</v>
      </c>
      <c r="J365">
        <v>75.801699999999997</v>
      </c>
      <c r="K365">
        <v>19.347100000000001</v>
      </c>
      <c r="L365">
        <v>92</v>
      </c>
      <c r="M365">
        <v>12</v>
      </c>
      <c r="N365">
        <v>17</v>
      </c>
      <c r="O365">
        <v>77.553299999999993</v>
      </c>
      <c r="P365">
        <v>16.742000000000001</v>
      </c>
      <c r="Q365">
        <v>16.565200000000001</v>
      </c>
    </row>
    <row r="366" spans="1:17" x14ac:dyDescent="0.25">
      <c r="A366" t="str">
        <f>IF(C366&amp;G366&amp;D366&lt;&gt;'Funnel setup'!$K$3&amp;'Funnel setup'!$K$4&amp;'Funnel setup'!$K$6,".",IF(A365=".",1,A365+1))</f>
        <v>.</v>
      </c>
      <c r="B366" s="244" t="str">
        <f t="shared" si="5"/>
        <v>Hip Replacement PrimaryProviderEAST SUSSEX HEALTHCARE NHS TRUST (RXC)EQ VAS</v>
      </c>
      <c r="C366" t="s">
        <v>749</v>
      </c>
      <c r="D366" t="s">
        <v>965</v>
      </c>
      <c r="E366" t="s">
        <v>234</v>
      </c>
      <c r="F366" t="s">
        <v>235</v>
      </c>
      <c r="G366" t="s">
        <v>752</v>
      </c>
      <c r="H366">
        <v>77</v>
      </c>
      <c r="I366">
        <v>63.428600000000003</v>
      </c>
      <c r="J366">
        <v>75.610399999999998</v>
      </c>
      <c r="K366">
        <v>12.181800000000001</v>
      </c>
      <c r="L366">
        <v>49</v>
      </c>
      <c r="M366">
        <v>11</v>
      </c>
      <c r="N366">
        <v>17</v>
      </c>
      <c r="O366">
        <v>75.950199999999995</v>
      </c>
      <c r="P366">
        <v>15.138999999999999</v>
      </c>
      <c r="Q366">
        <v>17.686399999999999</v>
      </c>
    </row>
    <row r="367" spans="1:17" x14ac:dyDescent="0.25">
      <c r="A367" t="str">
        <f>IF(C367&amp;G367&amp;D367&lt;&gt;'Funnel setup'!$K$3&amp;'Funnel setup'!$K$4&amp;'Funnel setup'!$K$6,".",IF(A366=".",1,A366+1))</f>
        <v>.</v>
      </c>
      <c r="B367" s="244" t="str">
        <f t="shared" si="5"/>
        <v>Hip Replacement PrimaryProviderEPSOM AND ST HELIER UNIVERSITY HOSPITALS NHS TRUST (RVR)EQ VAS</v>
      </c>
      <c r="C367" t="s">
        <v>749</v>
      </c>
      <c r="D367" t="s">
        <v>965</v>
      </c>
      <c r="E367" t="s">
        <v>238</v>
      </c>
      <c r="F367" t="s">
        <v>239</v>
      </c>
      <c r="G367" t="s">
        <v>752</v>
      </c>
      <c r="H367">
        <v>494</v>
      </c>
      <c r="I367">
        <v>59.832000000000001</v>
      </c>
      <c r="J367">
        <v>76.595100000000002</v>
      </c>
      <c r="K367">
        <v>16.763200000000001</v>
      </c>
      <c r="L367">
        <v>369</v>
      </c>
      <c r="M367">
        <v>54</v>
      </c>
      <c r="N367">
        <v>71</v>
      </c>
      <c r="O367">
        <v>76.868099999999998</v>
      </c>
      <c r="P367">
        <v>16.056899999999999</v>
      </c>
      <c r="Q367">
        <v>15.7697</v>
      </c>
    </row>
    <row r="368" spans="1:17" x14ac:dyDescent="0.25">
      <c r="A368" t="str">
        <f>IF(C368&amp;G368&amp;D368&lt;&gt;'Funnel setup'!$K$3&amp;'Funnel setup'!$K$4&amp;'Funnel setup'!$K$6,".",IF(A367=".",1,A367+1))</f>
        <v>.</v>
      </c>
      <c r="B368" s="244" t="str">
        <f t="shared" si="5"/>
        <v>Hip Replacement PrimaryProviderEUXTON HALL HOSPITAL (NVC05)EQ VAS</v>
      </c>
      <c r="C368" t="s">
        <v>749</v>
      </c>
      <c r="D368" t="s">
        <v>965</v>
      </c>
      <c r="E368" t="s">
        <v>240</v>
      </c>
      <c r="F368" t="s">
        <v>241</v>
      </c>
      <c r="G368" t="s">
        <v>752</v>
      </c>
      <c r="H368">
        <v>52</v>
      </c>
      <c r="I368">
        <v>62.076900000000002</v>
      </c>
      <c r="J368">
        <v>78.615399999999994</v>
      </c>
      <c r="K368">
        <v>16.538499999999999</v>
      </c>
      <c r="L368">
        <v>43</v>
      </c>
      <c r="M368">
        <v>4</v>
      </c>
      <c r="N368">
        <v>5</v>
      </c>
      <c r="O368">
        <v>78.283799999999999</v>
      </c>
      <c r="P368">
        <v>17.4725</v>
      </c>
      <c r="Q368">
        <v>16.203800000000001</v>
      </c>
    </row>
    <row r="369" spans="1:17" x14ac:dyDescent="0.25">
      <c r="A369" t="str">
        <f>IF(C369&amp;G369&amp;D369&lt;&gt;'Funnel setup'!$K$3&amp;'Funnel setup'!$K$4&amp;'Funnel setup'!$K$6,".",IF(A368=".",1,A368+1))</f>
        <v>.</v>
      </c>
      <c r="B369" s="244" t="str">
        <f t="shared" si="5"/>
        <v>Hip Replacement PrimaryProviderFAIRFIELD HOSPITAL (NVG01)EQ VAS</v>
      </c>
      <c r="C369" t="s">
        <v>749</v>
      </c>
      <c r="D369" t="s">
        <v>965</v>
      </c>
      <c r="E369" t="s">
        <v>242</v>
      </c>
      <c r="F369" t="s">
        <v>243</v>
      </c>
      <c r="G369" t="s">
        <v>752</v>
      </c>
      <c r="H369">
        <v>40</v>
      </c>
      <c r="I369">
        <v>61.424999999999997</v>
      </c>
      <c r="J369">
        <v>68.674999999999997</v>
      </c>
      <c r="K369">
        <v>7.25</v>
      </c>
      <c r="L369">
        <v>25</v>
      </c>
      <c r="M369">
        <v>2</v>
      </c>
      <c r="N369">
        <v>13</v>
      </c>
      <c r="O369">
        <v>68.516999999999996</v>
      </c>
      <c r="P369">
        <v>7.7057000000000002</v>
      </c>
      <c r="Q369">
        <v>19.087800000000001</v>
      </c>
    </row>
    <row r="370" spans="1:17" x14ac:dyDescent="0.25">
      <c r="A370" t="str">
        <f>IF(C370&amp;G370&amp;D370&lt;&gt;'Funnel setup'!$K$3&amp;'Funnel setup'!$K$4&amp;'Funnel setup'!$K$6,".",IF(A369=".",1,A369+1))</f>
        <v>.</v>
      </c>
      <c r="B370" s="244" t="str">
        <f t="shared" si="5"/>
        <v>Hip Replacement PrimaryProviderFITZWILLIAM HOSPITAL (NVC06)EQ VAS</v>
      </c>
      <c r="C370" t="s">
        <v>749</v>
      </c>
      <c r="D370" t="s">
        <v>965</v>
      </c>
      <c r="E370" t="s">
        <v>244</v>
      </c>
      <c r="F370" t="s">
        <v>245</v>
      </c>
      <c r="G370" t="s">
        <v>752</v>
      </c>
      <c r="H370">
        <v>52</v>
      </c>
      <c r="I370">
        <v>63.711500000000001</v>
      </c>
      <c r="J370">
        <v>76.230800000000002</v>
      </c>
      <c r="K370">
        <v>12.5192</v>
      </c>
      <c r="L370">
        <v>38</v>
      </c>
      <c r="M370">
        <v>2</v>
      </c>
      <c r="N370">
        <v>12</v>
      </c>
      <c r="O370">
        <v>75.763199999999998</v>
      </c>
      <c r="P370">
        <v>14.9519</v>
      </c>
      <c r="Q370">
        <v>15.3489</v>
      </c>
    </row>
    <row r="371" spans="1:17" x14ac:dyDescent="0.25">
      <c r="A371" t="str">
        <f>IF(C371&amp;G371&amp;D371&lt;&gt;'Funnel setup'!$K$3&amp;'Funnel setup'!$K$4&amp;'Funnel setup'!$K$6,".",IF(A370=".",1,A370+1))</f>
        <v>.</v>
      </c>
      <c r="B371" s="244" t="str">
        <f t="shared" si="5"/>
        <v>Hip Replacement PrimaryProviderFRIMLEY HEALTH NHS FOUNDATION TRUST (RDU)EQ VAS</v>
      </c>
      <c r="C371" t="s">
        <v>749</v>
      </c>
      <c r="D371" t="s">
        <v>965</v>
      </c>
      <c r="E371" t="s">
        <v>248</v>
      </c>
      <c r="F371" t="s">
        <v>249</v>
      </c>
      <c r="G371" t="s">
        <v>752</v>
      </c>
      <c r="H371">
        <v>149</v>
      </c>
      <c r="I371">
        <v>63.369100000000003</v>
      </c>
      <c r="J371">
        <v>75.825500000000005</v>
      </c>
      <c r="K371">
        <v>12.4564</v>
      </c>
      <c r="L371">
        <v>104</v>
      </c>
      <c r="M371">
        <v>12</v>
      </c>
      <c r="N371">
        <v>33</v>
      </c>
      <c r="O371">
        <v>74.790300000000002</v>
      </c>
      <c r="P371">
        <v>13.978999999999999</v>
      </c>
      <c r="Q371">
        <v>16.940100000000001</v>
      </c>
    </row>
    <row r="372" spans="1:17" x14ac:dyDescent="0.25">
      <c r="A372" t="str">
        <f>IF(C372&amp;G372&amp;D372&lt;&gt;'Funnel setup'!$K$3&amp;'Funnel setup'!$K$4&amp;'Funnel setup'!$K$6,".",IF(A371=".",1,A371+1))</f>
        <v>.</v>
      </c>
      <c r="B372" s="244" t="str">
        <f t="shared" si="5"/>
        <v>Hip Replacement PrimaryProviderFULWOOD HALL HOSPITAL (NVC07)EQ VAS</v>
      </c>
      <c r="C372" t="s">
        <v>749</v>
      </c>
      <c r="D372" t="s">
        <v>965</v>
      </c>
      <c r="E372" t="s">
        <v>250</v>
      </c>
      <c r="F372" t="s">
        <v>251</v>
      </c>
      <c r="G372" t="s">
        <v>752</v>
      </c>
      <c r="H372">
        <v>67</v>
      </c>
      <c r="I372">
        <v>70.059700000000007</v>
      </c>
      <c r="J372">
        <v>80.089600000000004</v>
      </c>
      <c r="K372">
        <v>10.0299</v>
      </c>
      <c r="L372">
        <v>48</v>
      </c>
      <c r="M372">
        <v>3</v>
      </c>
      <c r="N372">
        <v>16</v>
      </c>
      <c r="O372">
        <v>76.533500000000004</v>
      </c>
      <c r="P372">
        <v>15.722200000000001</v>
      </c>
      <c r="Q372">
        <v>12.4223</v>
      </c>
    </row>
    <row r="373" spans="1:17" x14ac:dyDescent="0.25">
      <c r="A373" t="str">
        <f>IF(C373&amp;G373&amp;D373&lt;&gt;'Funnel setup'!$K$3&amp;'Funnel setup'!$K$4&amp;'Funnel setup'!$K$6,".",IF(A372=".",1,A372+1))</f>
        <v>.</v>
      </c>
      <c r="B373" s="244" t="str">
        <f t="shared" si="5"/>
        <v>Hip Replacement PrimaryProviderGATESHEAD HEALTH NHS FOUNDATION TRUST (RR7)EQ VAS</v>
      </c>
      <c r="C373" t="s">
        <v>749</v>
      </c>
      <c r="D373" t="s">
        <v>965</v>
      </c>
      <c r="E373" t="s">
        <v>252</v>
      </c>
      <c r="F373" t="s">
        <v>253</v>
      </c>
      <c r="G373" t="s">
        <v>752</v>
      </c>
      <c r="H373">
        <v>52</v>
      </c>
      <c r="I373">
        <v>51.423099999999998</v>
      </c>
      <c r="J373">
        <v>74.269199999999998</v>
      </c>
      <c r="K373">
        <v>22.8462</v>
      </c>
      <c r="L373">
        <v>39</v>
      </c>
      <c r="M373">
        <v>5</v>
      </c>
      <c r="N373">
        <v>8</v>
      </c>
      <c r="O373">
        <v>78.613399999999999</v>
      </c>
      <c r="P373">
        <v>17.802099999999999</v>
      </c>
      <c r="Q373">
        <v>19.121300000000002</v>
      </c>
    </row>
    <row r="374" spans="1:17" x14ac:dyDescent="0.25">
      <c r="A374" t="str">
        <f>IF(C374&amp;G374&amp;D374&lt;&gt;'Funnel setup'!$K$3&amp;'Funnel setup'!$K$4&amp;'Funnel setup'!$K$6,".",IF(A373=".",1,A373+1))</f>
        <v>.</v>
      </c>
      <c r="B374" s="244" t="str">
        <f t="shared" si="5"/>
        <v>Hip Replacement PrimaryProviderGLOUCESTERSHIRE HOSPITALS NHS FOUNDATION TRUST (RTE)EQ VAS</v>
      </c>
      <c r="C374" t="s">
        <v>749</v>
      </c>
      <c r="D374" t="s">
        <v>965</v>
      </c>
      <c r="E374" t="s">
        <v>256</v>
      </c>
      <c r="F374" t="s">
        <v>257</v>
      </c>
      <c r="G374" t="s">
        <v>752</v>
      </c>
      <c r="H374">
        <v>66</v>
      </c>
      <c r="I374">
        <v>49.802999999999997</v>
      </c>
      <c r="J374">
        <v>71.515199999999993</v>
      </c>
      <c r="K374">
        <v>21.7121</v>
      </c>
      <c r="L374">
        <v>50</v>
      </c>
      <c r="M374">
        <v>3</v>
      </c>
      <c r="N374">
        <v>13</v>
      </c>
      <c r="O374">
        <v>74.235600000000005</v>
      </c>
      <c r="P374">
        <v>13.424300000000001</v>
      </c>
      <c r="Q374">
        <v>18.236999999999998</v>
      </c>
    </row>
    <row r="375" spans="1:17" x14ac:dyDescent="0.25">
      <c r="A375" t="str">
        <f>IF(C375&amp;G375&amp;D375&lt;&gt;'Funnel setup'!$K$3&amp;'Funnel setup'!$K$4&amp;'Funnel setup'!$K$6,".",IF(A374=".",1,A374+1))</f>
        <v>.</v>
      </c>
      <c r="B375" s="244" t="str">
        <f t="shared" si="5"/>
        <v>Hip Replacement PrimaryProviderGORING HALL HOSPITAL (NT417)EQ VAS</v>
      </c>
      <c r="C375" t="s">
        <v>749</v>
      </c>
      <c r="D375" t="s">
        <v>965</v>
      </c>
      <c r="E375" t="s">
        <v>258</v>
      </c>
      <c r="F375" t="s">
        <v>259</v>
      </c>
      <c r="G375" t="s">
        <v>752</v>
      </c>
      <c r="H375">
        <v>22</v>
      </c>
      <c r="I375">
        <v>64.590900000000005</v>
      </c>
      <c r="J375">
        <v>76.136399999999995</v>
      </c>
      <c r="K375">
        <v>11.545500000000001</v>
      </c>
      <c r="L375">
        <v>14</v>
      </c>
      <c r="M375">
        <v>2</v>
      </c>
      <c r="N375">
        <v>6</v>
      </c>
      <c r="O375" t="s">
        <v>127</v>
      </c>
      <c r="P375" t="s">
        <v>127</v>
      </c>
      <c r="Q375" t="s">
        <v>127</v>
      </c>
    </row>
    <row r="376" spans="1:17" x14ac:dyDescent="0.25">
      <c r="A376" t="str">
        <f>IF(C376&amp;G376&amp;D376&lt;&gt;'Funnel setup'!$K$3&amp;'Funnel setup'!$K$4&amp;'Funnel setup'!$K$6,".",IF(A375=".",1,A375+1))</f>
        <v>.</v>
      </c>
      <c r="B376" s="244" t="str">
        <f t="shared" si="5"/>
        <v>Hip Replacement PrimaryProviderGUY'S AND ST THOMAS' NHS FOUNDATION TRUST (RJ1)EQ VAS</v>
      </c>
      <c r="C376" t="s">
        <v>749</v>
      </c>
      <c r="D376" t="s">
        <v>965</v>
      </c>
      <c r="E376" t="s">
        <v>262</v>
      </c>
      <c r="F376" t="s">
        <v>263</v>
      </c>
      <c r="G376" t="s">
        <v>752</v>
      </c>
      <c r="H376">
        <v>71</v>
      </c>
      <c r="I376">
        <v>55.563400000000001</v>
      </c>
      <c r="J376">
        <v>71.521100000000004</v>
      </c>
      <c r="K376">
        <v>15.957700000000001</v>
      </c>
      <c r="L376">
        <v>58</v>
      </c>
      <c r="M376">
        <v>4</v>
      </c>
      <c r="N376">
        <v>9</v>
      </c>
      <c r="O376">
        <v>72.097899999999996</v>
      </c>
      <c r="P376">
        <v>11.2867</v>
      </c>
      <c r="Q376">
        <v>14.835800000000001</v>
      </c>
    </row>
    <row r="377" spans="1:17" x14ac:dyDescent="0.25">
      <c r="A377" t="str">
        <f>IF(C377&amp;G377&amp;D377&lt;&gt;'Funnel setup'!$K$3&amp;'Funnel setup'!$K$4&amp;'Funnel setup'!$K$6,".",IF(A376=".",1,A376+1))</f>
        <v>.</v>
      </c>
      <c r="B377" s="244" t="str">
        <f t="shared" si="5"/>
        <v>Hip Replacement PrimaryProviderHAMPSHIRE CLINIC (NT418)EQ VAS</v>
      </c>
      <c r="C377" t="s">
        <v>749</v>
      </c>
      <c r="D377" t="s">
        <v>965</v>
      </c>
      <c r="E377" t="s">
        <v>264</v>
      </c>
      <c r="F377" t="s">
        <v>265</v>
      </c>
      <c r="G377" t="s">
        <v>752</v>
      </c>
      <c r="H377">
        <v>25</v>
      </c>
      <c r="I377">
        <v>67.040000000000006</v>
      </c>
      <c r="J377">
        <v>81.64</v>
      </c>
      <c r="K377">
        <v>14.6</v>
      </c>
      <c r="L377">
        <v>18</v>
      </c>
      <c r="M377">
        <v>3</v>
      </c>
      <c r="N377">
        <v>4</v>
      </c>
      <c r="O377" t="s">
        <v>127</v>
      </c>
      <c r="P377" t="s">
        <v>127</v>
      </c>
      <c r="Q377" t="s">
        <v>127</v>
      </c>
    </row>
    <row r="378" spans="1:17" x14ac:dyDescent="0.25">
      <c r="A378" t="str">
        <f>IF(C378&amp;G378&amp;D378&lt;&gt;'Funnel setup'!$K$3&amp;'Funnel setup'!$K$4&amp;'Funnel setup'!$K$6,".",IF(A377=".",1,A377+1))</f>
        <v>.</v>
      </c>
      <c r="B378" s="244" t="str">
        <f t="shared" si="5"/>
        <v>Hip Replacement PrimaryProviderHAMPSHIRE HOSPITALS NHS FOUNDATION TRUST (RN5)EQ VAS</v>
      </c>
      <c r="C378" t="s">
        <v>749</v>
      </c>
      <c r="D378" t="s">
        <v>965</v>
      </c>
      <c r="E378" t="s">
        <v>266</v>
      </c>
      <c r="F378" t="s">
        <v>267</v>
      </c>
      <c r="G378" t="s">
        <v>752</v>
      </c>
      <c r="H378">
        <v>33</v>
      </c>
      <c r="I378">
        <v>54.697000000000003</v>
      </c>
      <c r="J378">
        <v>73.575800000000001</v>
      </c>
      <c r="K378">
        <v>18.878799999999998</v>
      </c>
      <c r="L378">
        <v>23</v>
      </c>
      <c r="M378">
        <v>4</v>
      </c>
      <c r="N378">
        <v>6</v>
      </c>
      <c r="O378">
        <v>75.861900000000006</v>
      </c>
      <c r="P378">
        <v>15.050599999999999</v>
      </c>
      <c r="Q378">
        <v>18.8291</v>
      </c>
    </row>
    <row r="379" spans="1:17" x14ac:dyDescent="0.25">
      <c r="A379" t="str">
        <f>IF(C379&amp;G379&amp;D379&lt;&gt;'Funnel setup'!$K$3&amp;'Funnel setup'!$K$4&amp;'Funnel setup'!$K$6,".",IF(A378=".",1,A378+1))</f>
        <v>.</v>
      </c>
      <c r="B379" s="244" t="str">
        <f t="shared" si="5"/>
        <v>Hip Replacement PrimaryProviderHARBOUR HOSPITAL (NT419)EQ VAS</v>
      </c>
      <c r="C379" t="s">
        <v>749</v>
      </c>
      <c r="D379" t="s">
        <v>965</v>
      </c>
      <c r="E379" t="s">
        <v>268</v>
      </c>
      <c r="F379" t="s">
        <v>269</v>
      </c>
      <c r="G379" t="s">
        <v>752</v>
      </c>
      <c r="H379">
        <v>10</v>
      </c>
      <c r="I379">
        <v>63</v>
      </c>
      <c r="J379">
        <v>84.2</v>
      </c>
      <c r="K379">
        <v>21.2</v>
      </c>
      <c r="L379">
        <v>9</v>
      </c>
      <c r="M379">
        <v>1</v>
      </c>
      <c r="N379">
        <v>0</v>
      </c>
      <c r="O379" t="s">
        <v>127</v>
      </c>
      <c r="P379" t="s">
        <v>127</v>
      </c>
      <c r="Q379" t="s">
        <v>127</v>
      </c>
    </row>
    <row r="380" spans="1:17" x14ac:dyDescent="0.25">
      <c r="A380" t="str">
        <f>IF(C380&amp;G380&amp;D380&lt;&gt;'Funnel setup'!$K$3&amp;'Funnel setup'!$K$4&amp;'Funnel setup'!$K$6,".",IF(A379=".",1,A379+1))</f>
        <v>.</v>
      </c>
      <c r="B380" s="244" t="str">
        <f t="shared" si="5"/>
        <v>Hip Replacement PrimaryProviderHARROGATE AND DISTRICT NHS FOUNDATION TRUST (RCD)EQ VAS</v>
      </c>
      <c r="C380" t="s">
        <v>749</v>
      </c>
      <c r="D380" t="s">
        <v>965</v>
      </c>
      <c r="E380" t="s">
        <v>270</v>
      </c>
      <c r="F380" t="s">
        <v>271</v>
      </c>
      <c r="G380" t="s">
        <v>752</v>
      </c>
      <c r="H380">
        <v>68</v>
      </c>
      <c r="I380">
        <v>60.632399999999997</v>
      </c>
      <c r="J380">
        <v>77.426500000000004</v>
      </c>
      <c r="K380">
        <v>16.7941</v>
      </c>
      <c r="L380">
        <v>46</v>
      </c>
      <c r="M380">
        <v>7</v>
      </c>
      <c r="N380">
        <v>15</v>
      </c>
      <c r="O380">
        <v>78.238</v>
      </c>
      <c r="P380">
        <v>17.4267</v>
      </c>
      <c r="Q380">
        <v>16.5898</v>
      </c>
    </row>
    <row r="381" spans="1:17" x14ac:dyDescent="0.25">
      <c r="A381" t="str">
        <f>IF(C381&amp;G381&amp;D381&lt;&gt;'Funnel setup'!$K$3&amp;'Funnel setup'!$K$4&amp;'Funnel setup'!$K$6,".",IF(A380=".",1,A380+1))</f>
        <v>.</v>
      </c>
      <c r="B381" s="244" t="str">
        <f t="shared" si="5"/>
        <v>Hip Replacement PrimaryProviderHIGHFIELD HOSPITAL (NT420)EQ VAS</v>
      </c>
      <c r="C381" t="s">
        <v>749</v>
      </c>
      <c r="D381" t="s">
        <v>965</v>
      </c>
      <c r="E381" t="s">
        <v>272</v>
      </c>
      <c r="F381" t="s">
        <v>273</v>
      </c>
      <c r="G381" t="s">
        <v>752</v>
      </c>
      <c r="H381">
        <v>137</v>
      </c>
      <c r="I381">
        <v>62.313899999999997</v>
      </c>
      <c r="J381">
        <v>78.503600000000006</v>
      </c>
      <c r="K381">
        <v>16.189800000000002</v>
      </c>
      <c r="L381">
        <v>101</v>
      </c>
      <c r="M381">
        <v>8</v>
      </c>
      <c r="N381">
        <v>28</v>
      </c>
      <c r="O381">
        <v>77.6434</v>
      </c>
      <c r="P381">
        <v>16.8322</v>
      </c>
      <c r="Q381">
        <v>14.869899999999999</v>
      </c>
    </row>
    <row r="382" spans="1:17" x14ac:dyDescent="0.25">
      <c r="A382" t="str">
        <f>IF(C382&amp;G382&amp;D382&lt;&gt;'Funnel setup'!$K$3&amp;'Funnel setup'!$K$4&amp;'Funnel setup'!$K$6,".",IF(A381=".",1,A381+1))</f>
        <v>.</v>
      </c>
      <c r="B382" s="244" t="str">
        <f t="shared" si="5"/>
        <v>Hip Replacement PrimaryProviderHOMERTON HEALTHCARE NHS FOUNDATION TRUST (RQX)EQ VAS</v>
      </c>
      <c r="C382" t="s">
        <v>749</v>
      </c>
      <c r="D382" t="s">
        <v>965</v>
      </c>
      <c r="E382" t="s">
        <v>274</v>
      </c>
      <c r="F382" t="s">
        <v>275</v>
      </c>
      <c r="G382" t="s">
        <v>752</v>
      </c>
      <c r="H382">
        <v>4</v>
      </c>
      <c r="I382">
        <v>52.75</v>
      </c>
      <c r="J382">
        <v>65</v>
      </c>
      <c r="K382">
        <v>12.25</v>
      </c>
      <c r="L382">
        <v>4</v>
      </c>
      <c r="M382">
        <v>0</v>
      </c>
      <c r="N382">
        <v>0</v>
      </c>
      <c r="O382" t="s">
        <v>127</v>
      </c>
      <c r="P382" t="s">
        <v>127</v>
      </c>
      <c r="Q382" t="s">
        <v>127</v>
      </c>
    </row>
    <row r="383" spans="1:17" x14ac:dyDescent="0.25">
      <c r="A383" t="str">
        <f>IF(C383&amp;G383&amp;D383&lt;&gt;'Funnel setup'!$K$3&amp;'Funnel setup'!$K$4&amp;'Funnel setup'!$K$6,".",IF(A382=".",1,A382+1))</f>
        <v>.</v>
      </c>
      <c r="B383" s="244" t="str">
        <f t="shared" si="5"/>
        <v>Hip Replacement PrimaryProviderHUDDERSFIELD HOSPITAL (NT448)EQ VAS</v>
      </c>
      <c r="C383" t="s">
        <v>749</v>
      </c>
      <c r="D383" t="s">
        <v>965</v>
      </c>
      <c r="E383" t="s">
        <v>276</v>
      </c>
      <c r="F383" t="s">
        <v>277</v>
      </c>
      <c r="G383" t="s">
        <v>752</v>
      </c>
      <c r="H383">
        <v>8</v>
      </c>
      <c r="I383">
        <v>57.375</v>
      </c>
      <c r="J383">
        <v>80.625</v>
      </c>
      <c r="K383">
        <v>23.25</v>
      </c>
      <c r="L383">
        <v>6</v>
      </c>
      <c r="M383">
        <v>1</v>
      </c>
      <c r="N383">
        <v>1</v>
      </c>
      <c r="O383" t="s">
        <v>127</v>
      </c>
      <c r="P383" t="s">
        <v>127</v>
      </c>
      <c r="Q383" t="s">
        <v>127</v>
      </c>
    </row>
    <row r="384" spans="1:17" x14ac:dyDescent="0.25">
      <c r="A384" t="str">
        <f>IF(C384&amp;G384&amp;D384&lt;&gt;'Funnel setup'!$K$3&amp;'Funnel setup'!$K$4&amp;'Funnel setup'!$K$6,".",IF(A383=".",1,A383+1))</f>
        <v>.</v>
      </c>
      <c r="B384" s="244" t="str">
        <f t="shared" si="5"/>
        <v>Hip Replacement PrimaryProviderHULL UNIVERSITY TEACHING HOSPITALS NHS TRUST (RWA)EQ VAS</v>
      </c>
      <c r="C384" t="s">
        <v>749</v>
      </c>
      <c r="D384" t="s">
        <v>965</v>
      </c>
      <c r="E384" t="s">
        <v>278</v>
      </c>
      <c r="F384" t="s">
        <v>279</v>
      </c>
      <c r="G384" t="s">
        <v>752</v>
      </c>
      <c r="H384">
        <v>27</v>
      </c>
      <c r="I384">
        <v>55.777799999999999</v>
      </c>
      <c r="J384">
        <v>64.925899999999999</v>
      </c>
      <c r="K384">
        <v>9.1481499999999993</v>
      </c>
      <c r="L384">
        <v>17</v>
      </c>
      <c r="M384">
        <v>3</v>
      </c>
      <c r="N384">
        <v>7</v>
      </c>
      <c r="O384" t="s">
        <v>127</v>
      </c>
      <c r="P384" t="s">
        <v>127</v>
      </c>
      <c r="Q384" t="s">
        <v>127</v>
      </c>
    </row>
    <row r="385" spans="1:17" x14ac:dyDescent="0.25">
      <c r="A385" t="str">
        <f>IF(C385&amp;G385&amp;D385&lt;&gt;'Funnel setup'!$K$3&amp;'Funnel setup'!$K$4&amp;'Funnel setup'!$K$6,".",IF(A384=".",1,A384+1))</f>
        <v>.</v>
      </c>
      <c r="B385" s="244" t="str">
        <f t="shared" si="5"/>
        <v>Hip Replacement PrimaryProviderIMPERIAL COLLEGE HEALTHCARE NHS TRUST (RYJ)EQ VAS</v>
      </c>
      <c r="C385" t="s">
        <v>749</v>
      </c>
      <c r="D385" t="s">
        <v>965</v>
      </c>
      <c r="E385" t="s">
        <v>280</v>
      </c>
      <c r="F385" t="s">
        <v>281</v>
      </c>
      <c r="G385" t="s">
        <v>752</v>
      </c>
      <c r="H385">
        <v>21</v>
      </c>
      <c r="I385">
        <v>62.047600000000003</v>
      </c>
      <c r="J385">
        <v>68.285700000000006</v>
      </c>
      <c r="K385">
        <v>6.2381000000000002</v>
      </c>
      <c r="L385">
        <v>12</v>
      </c>
      <c r="M385">
        <v>3</v>
      </c>
      <c r="N385">
        <v>6</v>
      </c>
      <c r="O385" t="s">
        <v>127</v>
      </c>
      <c r="P385" t="s">
        <v>127</v>
      </c>
      <c r="Q385" t="s">
        <v>127</v>
      </c>
    </row>
    <row r="386" spans="1:17" x14ac:dyDescent="0.25">
      <c r="A386" t="str">
        <f>IF(C386&amp;G386&amp;D386&lt;&gt;'Funnel setup'!$K$3&amp;'Funnel setup'!$K$4&amp;'Funnel setup'!$K$6,".",IF(A385=".",1,A385+1))</f>
        <v>.</v>
      </c>
      <c r="B386" s="244" t="str">
        <f t="shared" ref="B386:B449" si="6">C386&amp;D386&amp;F386&amp;G386</f>
        <v>Hip Replacement PrimaryProviderISLE OF WIGHT NHS TRUST (R1F)EQ VAS</v>
      </c>
      <c r="C386" t="s">
        <v>749</v>
      </c>
      <c r="D386" t="s">
        <v>965</v>
      </c>
      <c r="E386" t="s">
        <v>282</v>
      </c>
      <c r="F386" t="s">
        <v>283</v>
      </c>
      <c r="G386" t="s">
        <v>752</v>
      </c>
      <c r="H386">
        <v>1</v>
      </c>
      <c r="I386">
        <v>95</v>
      </c>
      <c r="J386">
        <v>81</v>
      </c>
      <c r="K386">
        <v>-14</v>
      </c>
      <c r="L386">
        <v>0</v>
      </c>
      <c r="M386">
        <v>0</v>
      </c>
      <c r="N386">
        <v>1</v>
      </c>
      <c r="O386" t="s">
        <v>127</v>
      </c>
      <c r="P386" t="s">
        <v>127</v>
      </c>
      <c r="Q386" t="s">
        <v>127</v>
      </c>
    </row>
    <row r="387" spans="1:17" x14ac:dyDescent="0.25">
      <c r="A387" t="str">
        <f>IF(C387&amp;G387&amp;D387&lt;&gt;'Funnel setup'!$K$3&amp;'Funnel setup'!$K$4&amp;'Funnel setup'!$K$6,".",IF(A386=".",1,A386+1))</f>
        <v>.</v>
      </c>
      <c r="B387" s="244" t="str">
        <f t="shared" si="6"/>
        <v>Hip Replacement PrimaryProviderJAMES PAGET UNIVERSITY HOSPITALS NHS FOUNDATION TRUST (RGP)EQ VAS</v>
      </c>
      <c r="C387" t="s">
        <v>749</v>
      </c>
      <c r="D387" t="s">
        <v>965</v>
      </c>
      <c r="E387" t="s">
        <v>284</v>
      </c>
      <c r="F387" t="s">
        <v>285</v>
      </c>
      <c r="G387" t="s">
        <v>752</v>
      </c>
      <c r="H387">
        <v>62</v>
      </c>
      <c r="I387">
        <v>61.838700000000003</v>
      </c>
      <c r="J387">
        <v>79.032300000000006</v>
      </c>
      <c r="K387">
        <v>17.1935</v>
      </c>
      <c r="L387">
        <v>42</v>
      </c>
      <c r="M387">
        <v>5</v>
      </c>
      <c r="N387">
        <v>15</v>
      </c>
      <c r="O387">
        <v>78.884</v>
      </c>
      <c r="P387">
        <v>18.072700000000001</v>
      </c>
      <c r="Q387">
        <v>17.6937</v>
      </c>
    </row>
    <row r="388" spans="1:17" x14ac:dyDescent="0.25">
      <c r="A388" t="str">
        <f>IF(C388&amp;G388&amp;D388&lt;&gt;'Funnel setup'!$K$3&amp;'Funnel setup'!$K$4&amp;'Funnel setup'!$K$6,".",IF(A387=".",1,A387+1))</f>
        <v>.</v>
      </c>
      <c r="B388" s="244" t="str">
        <f t="shared" si="6"/>
        <v>Hip Replacement PrimaryProviderKETTERING GENERAL HOSPITAL NHS FOUNDATION TRUST (RNQ)EQ VAS</v>
      </c>
      <c r="C388" t="s">
        <v>749</v>
      </c>
      <c r="D388" t="s">
        <v>965</v>
      </c>
      <c r="E388" t="s">
        <v>286</v>
      </c>
      <c r="F388" t="s">
        <v>287</v>
      </c>
      <c r="G388" t="s">
        <v>752</v>
      </c>
      <c r="H388">
        <v>27</v>
      </c>
      <c r="I388">
        <v>34.444400000000002</v>
      </c>
      <c r="J388">
        <v>76.185199999999995</v>
      </c>
      <c r="K388">
        <v>41.740699999999997</v>
      </c>
      <c r="L388">
        <v>25</v>
      </c>
      <c r="M388">
        <v>0</v>
      </c>
      <c r="N388">
        <v>2</v>
      </c>
      <c r="O388" t="s">
        <v>127</v>
      </c>
      <c r="P388" t="s">
        <v>127</v>
      </c>
      <c r="Q388" t="s">
        <v>127</v>
      </c>
    </row>
    <row r="389" spans="1:17" x14ac:dyDescent="0.25">
      <c r="A389" t="str">
        <f>IF(C389&amp;G389&amp;D389&lt;&gt;'Funnel setup'!$K$3&amp;'Funnel setup'!$K$4&amp;'Funnel setup'!$K$6,".",IF(A388=".",1,A388+1))</f>
        <v>.</v>
      </c>
      <c r="B389" s="244" t="str">
        <f t="shared" si="6"/>
        <v>Hip Replacement PrimaryProviderKIMS HOSPITAL (NEWNHAM COURT) (ADP02)EQ VAS</v>
      </c>
      <c r="C389" t="s">
        <v>749</v>
      </c>
      <c r="D389" t="s">
        <v>965</v>
      </c>
      <c r="E389" t="s">
        <v>288</v>
      </c>
      <c r="F389" t="s">
        <v>289</v>
      </c>
      <c r="G389" t="s">
        <v>752</v>
      </c>
      <c r="H389">
        <v>93</v>
      </c>
      <c r="I389">
        <v>66.516099999999994</v>
      </c>
      <c r="J389">
        <v>79.1828</v>
      </c>
      <c r="K389">
        <v>12.666700000000001</v>
      </c>
      <c r="L389">
        <v>70</v>
      </c>
      <c r="M389">
        <v>5</v>
      </c>
      <c r="N389">
        <v>18</v>
      </c>
      <c r="O389">
        <v>76.456199999999995</v>
      </c>
      <c r="P389">
        <v>15.6449</v>
      </c>
      <c r="Q389">
        <v>14.6966</v>
      </c>
    </row>
    <row r="390" spans="1:17" x14ac:dyDescent="0.25">
      <c r="A390" t="str">
        <f>IF(C390&amp;G390&amp;D390&lt;&gt;'Funnel setup'!$K$3&amp;'Funnel setup'!$K$4&amp;'Funnel setup'!$K$6,".",IF(A389=".",1,A389+1))</f>
        <v>.</v>
      </c>
      <c r="B390" s="244" t="str">
        <f t="shared" si="6"/>
        <v>Hip Replacement PrimaryProviderKING'S COLLEGE HOSPITAL NHS FOUNDATION TRUST (RJZ)EQ VAS</v>
      </c>
      <c r="C390" t="s">
        <v>749</v>
      </c>
      <c r="D390" t="s">
        <v>965</v>
      </c>
      <c r="E390" t="s">
        <v>290</v>
      </c>
      <c r="F390" t="s">
        <v>291</v>
      </c>
      <c r="G390" t="s">
        <v>752</v>
      </c>
      <c r="H390">
        <v>14</v>
      </c>
      <c r="I390">
        <v>56</v>
      </c>
      <c r="J390">
        <v>69.571399999999997</v>
      </c>
      <c r="K390">
        <v>13.571400000000001</v>
      </c>
      <c r="L390">
        <v>13</v>
      </c>
      <c r="M390">
        <v>0</v>
      </c>
      <c r="N390">
        <v>1</v>
      </c>
      <c r="O390" t="s">
        <v>127</v>
      </c>
      <c r="P390" t="s">
        <v>127</v>
      </c>
      <c r="Q390" t="s">
        <v>127</v>
      </c>
    </row>
    <row r="391" spans="1:17" x14ac:dyDescent="0.25">
      <c r="A391" t="str">
        <f>IF(C391&amp;G391&amp;D391&lt;&gt;'Funnel setup'!$K$3&amp;'Funnel setup'!$K$4&amp;'Funnel setup'!$K$6,".",IF(A390=".",1,A390+1))</f>
        <v>.</v>
      </c>
      <c r="B391" s="244" t="str">
        <f t="shared" si="6"/>
        <v>Hip Replacement PrimaryProviderKINGS OAK HOSPITAL (NT421)EQ VAS</v>
      </c>
      <c r="C391" t="s">
        <v>749</v>
      </c>
      <c r="D391" t="s">
        <v>965</v>
      </c>
      <c r="E391" t="s">
        <v>292</v>
      </c>
      <c r="F391" t="s">
        <v>293</v>
      </c>
      <c r="G391" t="s">
        <v>752</v>
      </c>
      <c r="H391">
        <v>15</v>
      </c>
      <c r="I391">
        <v>67.066699999999997</v>
      </c>
      <c r="J391">
        <v>78.933300000000003</v>
      </c>
      <c r="K391">
        <v>11.8667</v>
      </c>
      <c r="L391">
        <v>11</v>
      </c>
      <c r="M391">
        <v>1</v>
      </c>
      <c r="N391">
        <v>3</v>
      </c>
      <c r="O391" t="s">
        <v>127</v>
      </c>
      <c r="P391" t="s">
        <v>127</v>
      </c>
      <c r="Q391" t="s">
        <v>127</v>
      </c>
    </row>
    <row r="392" spans="1:17" x14ac:dyDescent="0.25">
      <c r="A392" t="str">
        <f>IF(C392&amp;G392&amp;D392&lt;&gt;'Funnel setup'!$K$3&amp;'Funnel setup'!$K$4&amp;'Funnel setup'!$K$6,".",IF(A391=".",1,A391+1))</f>
        <v>.</v>
      </c>
      <c r="B392" s="244" t="str">
        <f t="shared" si="6"/>
        <v>Hip Replacement PrimaryProviderLANCASHIRE TEACHING HOSPITALS NHS FOUNDATION TRUST (RXN)EQ VAS</v>
      </c>
      <c r="C392" t="s">
        <v>749</v>
      </c>
      <c r="D392" t="s">
        <v>965</v>
      </c>
      <c r="E392" t="s">
        <v>296</v>
      </c>
      <c r="F392" t="s">
        <v>297</v>
      </c>
      <c r="G392" t="s">
        <v>752</v>
      </c>
      <c r="H392">
        <v>26</v>
      </c>
      <c r="I392">
        <v>66.884600000000006</v>
      </c>
      <c r="J392">
        <v>70.884600000000006</v>
      </c>
      <c r="K392">
        <v>4</v>
      </c>
      <c r="L392">
        <v>13</v>
      </c>
      <c r="M392">
        <v>5</v>
      </c>
      <c r="N392">
        <v>8</v>
      </c>
      <c r="O392" t="s">
        <v>127</v>
      </c>
      <c r="P392" t="s">
        <v>127</v>
      </c>
      <c r="Q392" t="s">
        <v>127</v>
      </c>
    </row>
    <row r="393" spans="1:17" x14ac:dyDescent="0.25">
      <c r="A393" t="str">
        <f>IF(C393&amp;G393&amp;D393&lt;&gt;'Funnel setup'!$K$3&amp;'Funnel setup'!$K$4&amp;'Funnel setup'!$K$6,".",IF(A392=".",1,A392+1))</f>
        <v>.</v>
      </c>
      <c r="B393" s="244" t="str">
        <f t="shared" si="6"/>
        <v>Hip Replacement PrimaryProviderLANCASTER HOSPITAL (NT449)EQ VAS</v>
      </c>
      <c r="C393" t="s">
        <v>749</v>
      </c>
      <c r="D393" t="s">
        <v>965</v>
      </c>
      <c r="E393" t="s">
        <v>298</v>
      </c>
      <c r="F393" t="s">
        <v>299</v>
      </c>
      <c r="G393" t="s">
        <v>752</v>
      </c>
      <c r="H393">
        <v>20</v>
      </c>
      <c r="I393">
        <v>65.75</v>
      </c>
      <c r="J393">
        <v>80.7</v>
      </c>
      <c r="K393">
        <v>14.95</v>
      </c>
      <c r="L393">
        <v>16</v>
      </c>
      <c r="M393">
        <v>1</v>
      </c>
      <c r="N393">
        <v>3</v>
      </c>
      <c r="O393" t="s">
        <v>127</v>
      </c>
      <c r="P393" t="s">
        <v>127</v>
      </c>
      <c r="Q393" t="s">
        <v>127</v>
      </c>
    </row>
    <row r="394" spans="1:17" x14ac:dyDescent="0.25">
      <c r="A394" t="str">
        <f>IF(C394&amp;G394&amp;D394&lt;&gt;'Funnel setup'!$K$3&amp;'Funnel setup'!$K$4&amp;'Funnel setup'!$K$6,".",IF(A393=".",1,A393+1))</f>
        <v>.</v>
      </c>
      <c r="B394" s="244" t="str">
        <f t="shared" si="6"/>
        <v>Hip Replacement PrimaryProviderLEEDS TEACHING HOSPITALS NHS TRUST (RR8)EQ VAS</v>
      </c>
      <c r="C394" t="s">
        <v>749</v>
      </c>
      <c r="D394" t="s">
        <v>965</v>
      </c>
      <c r="E394" t="s">
        <v>300</v>
      </c>
      <c r="F394" t="s">
        <v>301</v>
      </c>
      <c r="G394" t="s">
        <v>752</v>
      </c>
      <c r="H394">
        <v>94</v>
      </c>
      <c r="I394">
        <v>59.329799999999999</v>
      </c>
      <c r="J394">
        <v>71.223399999999998</v>
      </c>
      <c r="K394">
        <v>11.893599999999999</v>
      </c>
      <c r="L394">
        <v>63</v>
      </c>
      <c r="M394">
        <v>9</v>
      </c>
      <c r="N394">
        <v>22</v>
      </c>
      <c r="O394">
        <v>71.463999999999999</v>
      </c>
      <c r="P394">
        <v>10.652699999999999</v>
      </c>
      <c r="Q394">
        <v>18.1767</v>
      </c>
    </row>
    <row r="395" spans="1:17" x14ac:dyDescent="0.25">
      <c r="A395" t="str">
        <f>IF(C395&amp;G395&amp;D395&lt;&gt;'Funnel setup'!$K$3&amp;'Funnel setup'!$K$4&amp;'Funnel setup'!$K$6,".",IF(A394=".",1,A394+1))</f>
        <v>.</v>
      </c>
      <c r="B395" s="244" t="str">
        <f t="shared" si="6"/>
        <v>Hip Replacement PrimaryProviderLEWISHAM AND GREENWICH NHS TRUST (RJ2)EQ VAS</v>
      </c>
      <c r="C395" t="s">
        <v>749</v>
      </c>
      <c r="D395" t="s">
        <v>965</v>
      </c>
      <c r="E395" t="s">
        <v>302</v>
      </c>
      <c r="F395" t="s">
        <v>303</v>
      </c>
      <c r="G395" t="s">
        <v>752</v>
      </c>
      <c r="H395">
        <v>2</v>
      </c>
      <c r="I395">
        <v>71</v>
      </c>
      <c r="J395">
        <v>86</v>
      </c>
      <c r="K395">
        <v>15</v>
      </c>
      <c r="L395">
        <v>2</v>
      </c>
      <c r="M395">
        <v>0</v>
      </c>
      <c r="N395">
        <v>0</v>
      </c>
      <c r="O395" t="s">
        <v>127</v>
      </c>
      <c r="P395" t="s">
        <v>127</v>
      </c>
      <c r="Q395" t="s">
        <v>127</v>
      </c>
    </row>
    <row r="396" spans="1:17" x14ac:dyDescent="0.25">
      <c r="A396" t="str">
        <f>IF(C396&amp;G396&amp;D396&lt;&gt;'Funnel setup'!$K$3&amp;'Funnel setup'!$K$4&amp;'Funnel setup'!$K$6,".",IF(A395=".",1,A395+1))</f>
        <v>.</v>
      </c>
      <c r="B396" s="244" t="str">
        <f t="shared" si="6"/>
        <v>Hip Replacement PrimaryProviderLINCOLN HOSPITAL (NT450)EQ VAS</v>
      </c>
      <c r="C396" t="s">
        <v>749</v>
      </c>
      <c r="D396" t="s">
        <v>965</v>
      </c>
      <c r="E396" t="s">
        <v>304</v>
      </c>
      <c r="F396" t="s">
        <v>305</v>
      </c>
      <c r="G396" t="s">
        <v>752</v>
      </c>
      <c r="H396">
        <v>66</v>
      </c>
      <c r="I396">
        <v>66.197000000000003</v>
      </c>
      <c r="J396">
        <v>76.212100000000007</v>
      </c>
      <c r="K396">
        <v>10.0152</v>
      </c>
      <c r="L396">
        <v>43</v>
      </c>
      <c r="M396">
        <v>8</v>
      </c>
      <c r="N396">
        <v>15</v>
      </c>
      <c r="O396">
        <v>75.420500000000004</v>
      </c>
      <c r="P396">
        <v>14.609299999999999</v>
      </c>
      <c r="Q396">
        <v>18.2789</v>
      </c>
    </row>
    <row r="397" spans="1:17" x14ac:dyDescent="0.25">
      <c r="A397" t="str">
        <f>IF(C397&amp;G397&amp;D397&lt;&gt;'Funnel setup'!$K$3&amp;'Funnel setup'!$K$4&amp;'Funnel setup'!$K$6,".",IF(A396=".",1,A396+1))</f>
        <v>.</v>
      </c>
      <c r="B397" s="244" t="str">
        <f t="shared" si="6"/>
        <v>Hip Replacement PrimaryProviderLIVERPOOL UNIVERSITY HOSPITALS NHS FOUNDATION TRUST (REM)EQ VAS</v>
      </c>
      <c r="C397" t="s">
        <v>749</v>
      </c>
      <c r="D397" t="s">
        <v>965</v>
      </c>
      <c r="E397" t="s">
        <v>306</v>
      </c>
      <c r="F397" t="s">
        <v>307</v>
      </c>
      <c r="G397" t="s">
        <v>752</v>
      </c>
      <c r="H397">
        <v>78</v>
      </c>
      <c r="I397">
        <v>52.320500000000003</v>
      </c>
      <c r="J397">
        <v>72.846199999999996</v>
      </c>
      <c r="K397">
        <v>20.525600000000001</v>
      </c>
      <c r="L397">
        <v>59</v>
      </c>
      <c r="M397">
        <v>5</v>
      </c>
      <c r="N397">
        <v>14</v>
      </c>
      <c r="O397">
        <v>79.965599999999995</v>
      </c>
      <c r="P397">
        <v>19.154299999999999</v>
      </c>
      <c r="Q397">
        <v>17.014700000000001</v>
      </c>
    </row>
    <row r="398" spans="1:17" x14ac:dyDescent="0.25">
      <c r="A398" t="str">
        <f>IF(C398&amp;G398&amp;D398&lt;&gt;'Funnel setup'!$K$3&amp;'Funnel setup'!$K$4&amp;'Funnel setup'!$K$6,".",IF(A397=".",1,A397+1))</f>
        <v>.</v>
      </c>
      <c r="B398" s="244" t="str">
        <f t="shared" si="6"/>
        <v>Hip Replacement PrimaryProviderLONDON INDEPENDENT HOSPITAL (NT422)EQ VAS</v>
      </c>
      <c r="C398" t="s">
        <v>749</v>
      </c>
      <c r="D398" t="s">
        <v>965</v>
      </c>
      <c r="E398" t="s">
        <v>308</v>
      </c>
      <c r="F398" t="s">
        <v>309</v>
      </c>
      <c r="G398" t="s">
        <v>752</v>
      </c>
      <c r="H398">
        <v>8</v>
      </c>
      <c r="I398">
        <v>66.25</v>
      </c>
      <c r="J398">
        <v>70</v>
      </c>
      <c r="K398">
        <v>3.75</v>
      </c>
      <c r="L398">
        <v>3</v>
      </c>
      <c r="M398">
        <v>0</v>
      </c>
      <c r="N398">
        <v>5</v>
      </c>
      <c r="O398" t="s">
        <v>127</v>
      </c>
      <c r="P398" t="s">
        <v>127</v>
      </c>
      <c r="Q398" t="s">
        <v>127</v>
      </c>
    </row>
    <row r="399" spans="1:17" x14ac:dyDescent="0.25">
      <c r="A399" t="str">
        <f>IF(C399&amp;G399&amp;D399&lt;&gt;'Funnel setup'!$K$3&amp;'Funnel setup'!$K$4&amp;'Funnel setup'!$K$6,".",IF(A398=".",1,A398+1))</f>
        <v>.</v>
      </c>
      <c r="B399" s="244" t="str">
        <f t="shared" si="6"/>
        <v>Hip Replacement PrimaryProviderMAIDSTONE AND TUNBRIDGE WELLS NHS TRUST (RWF)EQ VAS</v>
      </c>
      <c r="C399" t="s">
        <v>749</v>
      </c>
      <c r="D399" t="s">
        <v>965</v>
      </c>
      <c r="E399" t="s">
        <v>312</v>
      </c>
      <c r="F399" t="s">
        <v>313</v>
      </c>
      <c r="G399" t="s">
        <v>752</v>
      </c>
      <c r="H399">
        <v>105</v>
      </c>
      <c r="I399">
        <v>61.761899999999997</v>
      </c>
      <c r="J399">
        <v>77.333299999999994</v>
      </c>
      <c r="K399">
        <v>15.571400000000001</v>
      </c>
      <c r="L399">
        <v>79</v>
      </c>
      <c r="M399">
        <v>7</v>
      </c>
      <c r="N399">
        <v>19</v>
      </c>
      <c r="O399">
        <v>75.647599999999997</v>
      </c>
      <c r="P399">
        <v>14.8363</v>
      </c>
      <c r="Q399">
        <v>17.622399999999999</v>
      </c>
    </row>
    <row r="400" spans="1:17" x14ac:dyDescent="0.25">
      <c r="A400" t="str">
        <f>IF(C400&amp;G400&amp;D400&lt;&gt;'Funnel setup'!$K$3&amp;'Funnel setup'!$K$4&amp;'Funnel setup'!$K$6,".",IF(A399=".",1,A399+1))</f>
        <v>.</v>
      </c>
      <c r="B400" s="244" t="str">
        <f t="shared" si="6"/>
        <v>Hip Replacement PrimaryProviderMANCHESTER UNIVERSITY NHS FOUNDATION TRUST (R0A)EQ VAS</v>
      </c>
      <c r="C400" t="s">
        <v>749</v>
      </c>
      <c r="D400" t="s">
        <v>965</v>
      </c>
      <c r="E400" t="s">
        <v>316</v>
      </c>
      <c r="F400" t="s">
        <v>317</v>
      </c>
      <c r="G400" t="s">
        <v>752</v>
      </c>
      <c r="H400">
        <v>87</v>
      </c>
      <c r="I400">
        <v>55.252899999999997</v>
      </c>
      <c r="J400">
        <v>68.517200000000003</v>
      </c>
      <c r="K400">
        <v>13.2644</v>
      </c>
      <c r="L400">
        <v>58</v>
      </c>
      <c r="M400">
        <v>3</v>
      </c>
      <c r="N400">
        <v>26</v>
      </c>
      <c r="O400">
        <v>71.367500000000007</v>
      </c>
      <c r="P400">
        <v>10.5562</v>
      </c>
      <c r="Q400">
        <v>21.4711</v>
      </c>
    </row>
    <row r="401" spans="1:17" x14ac:dyDescent="0.25">
      <c r="A401" t="str">
        <f>IF(C401&amp;G401&amp;D401&lt;&gt;'Funnel setup'!$K$3&amp;'Funnel setup'!$K$4&amp;'Funnel setup'!$K$6,".",IF(A400=".",1,A400+1))</f>
        <v>.</v>
      </c>
      <c r="B401" s="244" t="str">
        <f t="shared" si="6"/>
        <v>Hip Replacement PrimaryProviderMANOR HOSPITAL (NT423)EQ VAS</v>
      </c>
      <c r="C401" t="s">
        <v>749</v>
      </c>
      <c r="D401" t="s">
        <v>965</v>
      </c>
      <c r="E401" t="s">
        <v>318</v>
      </c>
      <c r="F401" t="s">
        <v>319</v>
      </c>
      <c r="G401" t="s">
        <v>752</v>
      </c>
      <c r="H401">
        <v>14</v>
      </c>
      <c r="I401">
        <v>67.071399999999997</v>
      </c>
      <c r="J401">
        <v>82.5</v>
      </c>
      <c r="K401">
        <v>15.428599999999999</v>
      </c>
      <c r="L401">
        <v>9</v>
      </c>
      <c r="M401">
        <v>2</v>
      </c>
      <c r="N401">
        <v>3</v>
      </c>
      <c r="O401" t="s">
        <v>127</v>
      </c>
      <c r="P401" t="s">
        <v>127</v>
      </c>
      <c r="Q401" t="s">
        <v>127</v>
      </c>
    </row>
    <row r="402" spans="1:17" x14ac:dyDescent="0.25">
      <c r="A402" t="str">
        <f>IF(C402&amp;G402&amp;D402&lt;&gt;'Funnel setup'!$K$3&amp;'Funnel setup'!$K$4&amp;'Funnel setup'!$K$6,".",IF(A401=".",1,A401+1))</f>
        <v>.</v>
      </c>
      <c r="B402" s="244" t="str">
        <f t="shared" si="6"/>
        <v>Hip Replacement PrimaryProviderMEDWAY NHS FOUNDATION TRUST (RPA)EQ VAS</v>
      </c>
      <c r="C402" t="s">
        <v>749</v>
      </c>
      <c r="D402" t="s">
        <v>965</v>
      </c>
      <c r="E402" t="s">
        <v>320</v>
      </c>
      <c r="F402" t="s">
        <v>321</v>
      </c>
      <c r="G402" t="s">
        <v>752</v>
      </c>
      <c r="H402">
        <v>41</v>
      </c>
      <c r="I402">
        <v>58.9268</v>
      </c>
      <c r="J402">
        <v>74.0488</v>
      </c>
      <c r="K402">
        <v>15.122</v>
      </c>
      <c r="L402">
        <v>28</v>
      </c>
      <c r="M402">
        <v>1</v>
      </c>
      <c r="N402">
        <v>12</v>
      </c>
      <c r="O402">
        <v>77.922499999999999</v>
      </c>
      <c r="P402">
        <v>17.1112</v>
      </c>
      <c r="Q402">
        <v>16.2317</v>
      </c>
    </row>
    <row r="403" spans="1:17" x14ac:dyDescent="0.25">
      <c r="A403" t="str">
        <f>IF(C403&amp;G403&amp;D403&lt;&gt;'Funnel setup'!$K$3&amp;'Funnel setup'!$K$4&amp;'Funnel setup'!$K$6,".",IF(A402=".",1,A402+1))</f>
        <v>.</v>
      </c>
      <c r="B403" s="244" t="str">
        <f t="shared" si="6"/>
        <v>Hip Replacement PrimaryProviderMERIDEN HOSPITAL (NT424)EQ VAS</v>
      </c>
      <c r="C403" t="s">
        <v>749</v>
      </c>
      <c r="D403" t="s">
        <v>965</v>
      </c>
      <c r="E403" t="s">
        <v>322</v>
      </c>
      <c r="F403" t="s">
        <v>323</v>
      </c>
      <c r="G403" t="s">
        <v>752</v>
      </c>
      <c r="H403">
        <v>6</v>
      </c>
      <c r="I403">
        <v>59.666699999999999</v>
      </c>
      <c r="J403">
        <v>72.833299999999994</v>
      </c>
      <c r="K403">
        <v>13.166700000000001</v>
      </c>
      <c r="L403">
        <v>4</v>
      </c>
      <c r="M403">
        <v>1</v>
      </c>
      <c r="N403">
        <v>1</v>
      </c>
      <c r="O403" t="s">
        <v>127</v>
      </c>
      <c r="P403" t="s">
        <v>127</v>
      </c>
      <c r="Q403" t="s">
        <v>127</v>
      </c>
    </row>
    <row r="404" spans="1:17" x14ac:dyDescent="0.25">
      <c r="A404" t="str">
        <f>IF(C404&amp;G404&amp;D404&lt;&gt;'Funnel setup'!$K$3&amp;'Funnel setup'!$K$4&amp;'Funnel setup'!$K$6,".",IF(A403=".",1,A403+1))</f>
        <v>.</v>
      </c>
      <c r="B404" s="244" t="str">
        <f t="shared" si="6"/>
        <v>Hip Replacement PrimaryProviderMID AND SOUTH ESSEX NHS FOUNDATION TRUST (RAJ)EQ VAS</v>
      </c>
      <c r="C404" t="s">
        <v>749</v>
      </c>
      <c r="D404" t="s">
        <v>965</v>
      </c>
      <c r="E404" t="s">
        <v>324</v>
      </c>
      <c r="F404" t="s">
        <v>325</v>
      </c>
      <c r="G404" t="s">
        <v>752</v>
      </c>
      <c r="H404">
        <v>109</v>
      </c>
      <c r="I404">
        <v>52</v>
      </c>
      <c r="J404">
        <v>70.156000000000006</v>
      </c>
      <c r="K404">
        <v>18.155999999999999</v>
      </c>
      <c r="L404">
        <v>80</v>
      </c>
      <c r="M404">
        <v>7</v>
      </c>
      <c r="N404">
        <v>22</v>
      </c>
      <c r="O404">
        <v>74.242800000000003</v>
      </c>
      <c r="P404">
        <v>13.4315</v>
      </c>
      <c r="Q404">
        <v>18.368500000000001</v>
      </c>
    </row>
    <row r="405" spans="1:17" x14ac:dyDescent="0.25">
      <c r="A405" t="str">
        <f>IF(C405&amp;G405&amp;D405&lt;&gt;'Funnel setup'!$K$3&amp;'Funnel setup'!$K$4&amp;'Funnel setup'!$K$6,".",IF(A404=".",1,A404+1))</f>
        <v>.</v>
      </c>
      <c r="B405" s="244" t="str">
        <f t="shared" si="6"/>
        <v>Hip Replacement PrimaryProviderMID CHESHIRE HOSPITALS NHS FOUNDATION TRUST (RBT)EQ VAS</v>
      </c>
      <c r="C405" t="s">
        <v>749</v>
      </c>
      <c r="D405" t="s">
        <v>965</v>
      </c>
      <c r="E405" t="s">
        <v>326</v>
      </c>
      <c r="F405" t="s">
        <v>327</v>
      </c>
      <c r="G405" t="s">
        <v>752</v>
      </c>
      <c r="H405">
        <v>88</v>
      </c>
      <c r="I405">
        <v>56.659100000000002</v>
      </c>
      <c r="J405">
        <v>75.7727</v>
      </c>
      <c r="K405">
        <v>19.113600000000002</v>
      </c>
      <c r="L405">
        <v>66</v>
      </c>
      <c r="M405">
        <v>7</v>
      </c>
      <c r="N405">
        <v>15</v>
      </c>
      <c r="O405">
        <v>75.816199999999995</v>
      </c>
      <c r="P405">
        <v>15.004899999999999</v>
      </c>
      <c r="Q405">
        <v>16.247699999999998</v>
      </c>
    </row>
    <row r="406" spans="1:17" x14ac:dyDescent="0.25">
      <c r="A406" t="str">
        <f>IF(C406&amp;G406&amp;D406&lt;&gt;'Funnel setup'!$K$3&amp;'Funnel setup'!$K$4&amp;'Funnel setup'!$K$6,".",IF(A405=".",1,A405+1))</f>
        <v>.</v>
      </c>
      <c r="B406" s="244" t="str">
        <f t="shared" si="6"/>
        <v>Hip Replacement PrimaryProviderMID YORKSHIRE TEACHING NHS TRUST (RXF)EQ VAS</v>
      </c>
      <c r="C406" t="s">
        <v>749</v>
      </c>
      <c r="D406" t="s">
        <v>965</v>
      </c>
      <c r="E406" t="s">
        <v>330</v>
      </c>
      <c r="F406" t="s">
        <v>331</v>
      </c>
      <c r="G406" t="s">
        <v>752</v>
      </c>
      <c r="H406">
        <v>156</v>
      </c>
      <c r="I406">
        <v>57.564100000000003</v>
      </c>
      <c r="J406">
        <v>74.506399999999999</v>
      </c>
      <c r="K406">
        <v>16.942299999999999</v>
      </c>
      <c r="L406">
        <v>112</v>
      </c>
      <c r="M406">
        <v>10</v>
      </c>
      <c r="N406">
        <v>34</v>
      </c>
      <c r="O406">
        <v>77.131100000000004</v>
      </c>
      <c r="P406">
        <v>16.319800000000001</v>
      </c>
      <c r="Q406">
        <v>17.361899999999999</v>
      </c>
    </row>
    <row r="407" spans="1:17" x14ac:dyDescent="0.25">
      <c r="A407" t="str">
        <f>IF(C407&amp;G407&amp;D407&lt;&gt;'Funnel setup'!$K$3&amp;'Funnel setup'!$K$4&amp;'Funnel setup'!$K$6,".",IF(A406=".",1,A406+1))</f>
        <v>.</v>
      </c>
      <c r="B407" s="244" t="str">
        <f t="shared" si="6"/>
        <v>Hip Replacement PrimaryProviderMILTON KEYNES UNIVERSITY HOSPITAL NHS FOUNDATION TRUST (RD8)EQ VAS</v>
      </c>
      <c r="C407" t="s">
        <v>749</v>
      </c>
      <c r="D407" t="s">
        <v>965</v>
      </c>
      <c r="E407" t="s">
        <v>332</v>
      </c>
      <c r="F407" t="s">
        <v>333</v>
      </c>
      <c r="G407" t="s">
        <v>752</v>
      </c>
      <c r="H407">
        <v>36</v>
      </c>
      <c r="I407">
        <v>52.25</v>
      </c>
      <c r="J407">
        <v>74.722200000000001</v>
      </c>
      <c r="K407">
        <v>22.472200000000001</v>
      </c>
      <c r="L407">
        <v>28</v>
      </c>
      <c r="M407">
        <v>2</v>
      </c>
      <c r="N407">
        <v>6</v>
      </c>
      <c r="O407">
        <v>78.182299999999998</v>
      </c>
      <c r="P407">
        <v>17.370999999999999</v>
      </c>
      <c r="Q407">
        <v>20.846399999999999</v>
      </c>
    </row>
    <row r="408" spans="1:17" x14ac:dyDescent="0.25">
      <c r="A408" t="str">
        <f>IF(C408&amp;G408&amp;D408&lt;&gt;'Funnel setup'!$K$3&amp;'Funnel setup'!$K$4&amp;'Funnel setup'!$K$6,".",IF(A407=".",1,A407+1))</f>
        <v>.</v>
      </c>
      <c r="B408" s="244" t="str">
        <f t="shared" si="6"/>
        <v>Hip Replacement PrimaryProviderMOUNT ALVERNIA HOSPITAL (NT455)EQ VAS</v>
      </c>
      <c r="C408" t="s">
        <v>749</v>
      </c>
      <c r="D408" t="s">
        <v>965</v>
      </c>
      <c r="E408" t="s">
        <v>334</v>
      </c>
      <c r="F408" t="s">
        <v>335</v>
      </c>
      <c r="G408" t="s">
        <v>752</v>
      </c>
      <c r="H408">
        <v>7</v>
      </c>
      <c r="I408">
        <v>61.285699999999999</v>
      </c>
      <c r="J408">
        <v>72.428600000000003</v>
      </c>
      <c r="K408">
        <v>11.142899999999999</v>
      </c>
      <c r="L408">
        <v>4</v>
      </c>
      <c r="M408">
        <v>0</v>
      </c>
      <c r="N408">
        <v>3</v>
      </c>
      <c r="O408" t="s">
        <v>127</v>
      </c>
      <c r="P408" t="s">
        <v>127</v>
      </c>
      <c r="Q408" t="s">
        <v>127</v>
      </c>
    </row>
    <row r="409" spans="1:17" x14ac:dyDescent="0.25">
      <c r="A409" t="str">
        <f>IF(C409&amp;G409&amp;D409&lt;&gt;'Funnel setup'!$K$3&amp;'Funnel setup'!$K$4&amp;'Funnel setup'!$K$6,".",IF(A408=".",1,A408+1))</f>
        <v>.</v>
      </c>
      <c r="B409" s="244" t="str">
        <f t="shared" si="6"/>
        <v>Hip Replacement PrimaryProviderMOUNT STUART HOSPITAL (NVC08)EQ VAS</v>
      </c>
      <c r="C409" t="s">
        <v>749</v>
      </c>
      <c r="D409" t="s">
        <v>965</v>
      </c>
      <c r="E409" t="s">
        <v>336</v>
      </c>
      <c r="F409" t="s">
        <v>337</v>
      </c>
      <c r="G409" t="s">
        <v>752</v>
      </c>
      <c r="H409">
        <v>85</v>
      </c>
      <c r="I409">
        <v>71.741200000000006</v>
      </c>
      <c r="J409">
        <v>75.682400000000001</v>
      </c>
      <c r="K409">
        <v>3.9411800000000001</v>
      </c>
      <c r="L409">
        <v>45</v>
      </c>
      <c r="M409">
        <v>7</v>
      </c>
      <c r="N409">
        <v>33</v>
      </c>
      <c r="O409">
        <v>73.276499999999999</v>
      </c>
      <c r="P409">
        <v>12.465199999999999</v>
      </c>
      <c r="Q409">
        <v>18.964700000000001</v>
      </c>
    </row>
    <row r="410" spans="1:17" x14ac:dyDescent="0.25">
      <c r="A410" t="str">
        <f>IF(C410&amp;G410&amp;D410&lt;&gt;'Funnel setup'!$K$3&amp;'Funnel setup'!$K$4&amp;'Funnel setup'!$K$6,".",IF(A409=".",1,A409+1))</f>
        <v>.</v>
      </c>
      <c r="B410" s="244" t="str">
        <f t="shared" si="6"/>
        <v>Hip Replacement PrimaryProviderNEW HALL HOSPITAL (NVC09)EQ VAS</v>
      </c>
      <c r="C410" t="s">
        <v>749</v>
      </c>
      <c r="D410" t="s">
        <v>965</v>
      </c>
      <c r="E410" t="s">
        <v>338</v>
      </c>
      <c r="F410" t="s">
        <v>339</v>
      </c>
      <c r="G410" t="s">
        <v>752</v>
      </c>
      <c r="H410">
        <v>82</v>
      </c>
      <c r="I410">
        <v>61.0366</v>
      </c>
      <c r="J410">
        <v>80.0976</v>
      </c>
      <c r="K410">
        <v>19.061</v>
      </c>
      <c r="L410">
        <v>62</v>
      </c>
      <c r="M410">
        <v>7</v>
      </c>
      <c r="N410">
        <v>13</v>
      </c>
      <c r="O410">
        <v>77.603700000000003</v>
      </c>
      <c r="P410">
        <v>16.7925</v>
      </c>
      <c r="Q410">
        <v>14.606400000000001</v>
      </c>
    </row>
    <row r="411" spans="1:17" x14ac:dyDescent="0.25">
      <c r="A411" t="str">
        <f>IF(C411&amp;G411&amp;D411&lt;&gt;'Funnel setup'!$K$3&amp;'Funnel setup'!$K$4&amp;'Funnel setup'!$K$6,".",IF(A410=".",1,A410+1))</f>
        <v>.</v>
      </c>
      <c r="B411" s="244" t="str">
        <f t="shared" si="6"/>
        <v>Hip Replacement PrimaryProviderNORFOLK AND NORWICH UNIVERSITY HOSPITALS NHS FOUNDATION TRUST (RM1)EQ VAS</v>
      </c>
      <c r="C411" t="s">
        <v>749</v>
      </c>
      <c r="D411" t="s">
        <v>965</v>
      </c>
      <c r="E411" t="s">
        <v>340</v>
      </c>
      <c r="F411" t="s">
        <v>341</v>
      </c>
      <c r="G411" t="s">
        <v>752</v>
      </c>
      <c r="H411">
        <v>175</v>
      </c>
      <c r="I411">
        <v>54.188600000000001</v>
      </c>
      <c r="J411">
        <v>71.177099999999996</v>
      </c>
      <c r="K411">
        <v>16.988600000000002</v>
      </c>
      <c r="L411">
        <v>120</v>
      </c>
      <c r="M411">
        <v>9</v>
      </c>
      <c r="N411">
        <v>46</v>
      </c>
      <c r="O411">
        <v>74.559700000000007</v>
      </c>
      <c r="P411">
        <v>13.7484</v>
      </c>
      <c r="Q411">
        <v>18.5593</v>
      </c>
    </row>
    <row r="412" spans="1:17" x14ac:dyDescent="0.25">
      <c r="A412" t="str">
        <f>IF(C412&amp;G412&amp;D412&lt;&gt;'Funnel setup'!$K$3&amp;'Funnel setup'!$K$4&amp;'Funnel setup'!$K$6,".",IF(A411=".",1,A411+1))</f>
        <v>.</v>
      </c>
      <c r="B412" s="244" t="str">
        <f t="shared" si="6"/>
        <v>Hip Replacement PrimaryProviderNORTH BRISTOL NHS TRUST (RVJ)EQ VAS</v>
      </c>
      <c r="C412" t="s">
        <v>749</v>
      </c>
      <c r="D412" t="s">
        <v>965</v>
      </c>
      <c r="E412" t="s">
        <v>342</v>
      </c>
      <c r="F412" t="s">
        <v>343</v>
      </c>
      <c r="G412" t="s">
        <v>752</v>
      </c>
      <c r="H412">
        <v>6</v>
      </c>
      <c r="I412">
        <v>49</v>
      </c>
      <c r="J412">
        <v>71.666700000000006</v>
      </c>
      <c r="K412">
        <v>22.666699999999999</v>
      </c>
      <c r="L412">
        <v>4</v>
      </c>
      <c r="M412">
        <v>0</v>
      </c>
      <c r="N412">
        <v>2</v>
      </c>
      <c r="O412" t="s">
        <v>127</v>
      </c>
      <c r="P412" t="s">
        <v>127</v>
      </c>
      <c r="Q412" t="s">
        <v>127</v>
      </c>
    </row>
    <row r="413" spans="1:17" x14ac:dyDescent="0.25">
      <c r="A413" t="str">
        <f>IF(C413&amp;G413&amp;D413&lt;&gt;'Funnel setup'!$K$3&amp;'Funnel setup'!$K$4&amp;'Funnel setup'!$K$6,".",IF(A412=".",1,A412+1))</f>
        <v>.</v>
      </c>
      <c r="B413" s="244" t="str">
        <f t="shared" si="6"/>
        <v>Hip Replacement PrimaryProviderNORTH CUMBRIA INTEGRATED CARE NHS FOUNDATION TRUST (RNN)EQ VAS</v>
      </c>
      <c r="C413" t="s">
        <v>749</v>
      </c>
      <c r="D413" t="s">
        <v>965</v>
      </c>
      <c r="E413" t="s">
        <v>344</v>
      </c>
      <c r="F413" t="s">
        <v>345</v>
      </c>
      <c r="G413" t="s">
        <v>752</v>
      </c>
      <c r="H413">
        <v>76</v>
      </c>
      <c r="I413">
        <v>59.710500000000003</v>
      </c>
      <c r="J413">
        <v>76.539500000000004</v>
      </c>
      <c r="K413">
        <v>16.828900000000001</v>
      </c>
      <c r="L413">
        <v>49</v>
      </c>
      <c r="M413">
        <v>9</v>
      </c>
      <c r="N413">
        <v>18</v>
      </c>
      <c r="O413">
        <v>77.632400000000004</v>
      </c>
      <c r="P413">
        <v>16.821100000000001</v>
      </c>
      <c r="Q413">
        <v>15.8507</v>
      </c>
    </row>
    <row r="414" spans="1:17" x14ac:dyDescent="0.25">
      <c r="A414" t="str">
        <f>IF(C414&amp;G414&amp;D414&lt;&gt;'Funnel setup'!$K$3&amp;'Funnel setup'!$K$4&amp;'Funnel setup'!$K$6,".",IF(A413=".",1,A413+1))</f>
        <v>.</v>
      </c>
      <c r="B414" s="244" t="str">
        <f t="shared" si="6"/>
        <v>Hip Replacement PrimaryProviderNORTH DOWNS HOSPITAL (NVC11)EQ VAS</v>
      </c>
      <c r="C414" t="s">
        <v>749</v>
      </c>
      <c r="D414" t="s">
        <v>965</v>
      </c>
      <c r="E414" t="s">
        <v>348</v>
      </c>
      <c r="F414" t="s">
        <v>349</v>
      </c>
      <c r="G414" t="s">
        <v>752</v>
      </c>
      <c r="H414">
        <v>53</v>
      </c>
      <c r="I414">
        <v>68.150899999999993</v>
      </c>
      <c r="J414">
        <v>79.962299999999999</v>
      </c>
      <c r="K414">
        <v>11.811299999999999</v>
      </c>
      <c r="L414">
        <v>34</v>
      </c>
      <c r="M414">
        <v>7</v>
      </c>
      <c r="N414">
        <v>12</v>
      </c>
      <c r="O414">
        <v>76.030699999999996</v>
      </c>
      <c r="P414">
        <v>15.2194</v>
      </c>
      <c r="Q414">
        <v>14.422800000000001</v>
      </c>
    </row>
    <row r="415" spans="1:17" x14ac:dyDescent="0.25">
      <c r="A415" t="str">
        <f>IF(C415&amp;G415&amp;D415&lt;&gt;'Funnel setup'!$K$3&amp;'Funnel setup'!$K$4&amp;'Funnel setup'!$K$6,".",IF(A414=".",1,A414+1))</f>
        <v>.</v>
      </c>
      <c r="B415" s="244" t="str">
        <f t="shared" si="6"/>
        <v>Hip Replacement PrimaryProviderNORTH MIDDLESEX UNIVERSITY HOSPITAL NHS TRUST (RAP)EQ VAS</v>
      </c>
      <c r="C415" t="s">
        <v>749</v>
      </c>
      <c r="D415" t="s">
        <v>965</v>
      </c>
      <c r="E415" t="s">
        <v>350</v>
      </c>
      <c r="F415" t="s">
        <v>351</v>
      </c>
      <c r="G415" t="s">
        <v>752</v>
      </c>
      <c r="H415">
        <v>5</v>
      </c>
      <c r="I415">
        <v>48</v>
      </c>
      <c r="J415">
        <v>59</v>
      </c>
      <c r="K415">
        <v>11</v>
      </c>
      <c r="L415">
        <v>3</v>
      </c>
      <c r="M415">
        <v>1</v>
      </c>
      <c r="N415">
        <v>1</v>
      </c>
      <c r="O415" t="s">
        <v>127</v>
      </c>
      <c r="P415" t="s">
        <v>127</v>
      </c>
      <c r="Q415" t="s">
        <v>127</v>
      </c>
    </row>
    <row r="416" spans="1:17" x14ac:dyDescent="0.25">
      <c r="A416" t="str">
        <f>IF(C416&amp;G416&amp;D416&lt;&gt;'Funnel setup'!$K$3&amp;'Funnel setup'!$K$4&amp;'Funnel setup'!$K$6,".",IF(A415=".",1,A415+1))</f>
        <v>.</v>
      </c>
      <c r="B416" s="244" t="str">
        <f t="shared" si="6"/>
        <v>Hip Replacement PrimaryProviderNORTH TEES AND HARTLEPOOL NHS FOUNDATION TRUST (RVW)EQ VAS</v>
      </c>
      <c r="C416" t="s">
        <v>749</v>
      </c>
      <c r="D416" t="s">
        <v>965</v>
      </c>
      <c r="E416" t="s">
        <v>352</v>
      </c>
      <c r="F416" t="s">
        <v>353</v>
      </c>
      <c r="G416" t="s">
        <v>752</v>
      </c>
      <c r="H416">
        <v>99</v>
      </c>
      <c r="I416">
        <v>67.030299999999997</v>
      </c>
      <c r="J416">
        <v>70.636399999999995</v>
      </c>
      <c r="K416">
        <v>3.6060599999999998</v>
      </c>
      <c r="L416">
        <v>50</v>
      </c>
      <c r="M416">
        <v>10</v>
      </c>
      <c r="N416">
        <v>39</v>
      </c>
      <c r="O416">
        <v>73.862899999999996</v>
      </c>
      <c r="P416">
        <v>13.051600000000001</v>
      </c>
      <c r="Q416">
        <v>17.529</v>
      </c>
    </row>
    <row r="417" spans="1:17" x14ac:dyDescent="0.25">
      <c r="A417" t="str">
        <f>IF(C417&amp;G417&amp;D417&lt;&gt;'Funnel setup'!$K$3&amp;'Funnel setup'!$K$4&amp;'Funnel setup'!$K$6,".",IF(A416=".",1,A416+1))</f>
        <v>.</v>
      </c>
      <c r="B417" s="244" t="str">
        <f t="shared" si="6"/>
        <v>Hip Replacement PrimaryProviderNORTH WEST ANGLIA NHS FOUNDATION TRUST (RGN)EQ VAS</v>
      </c>
      <c r="C417" t="s">
        <v>749</v>
      </c>
      <c r="D417" t="s">
        <v>965</v>
      </c>
      <c r="E417" t="s">
        <v>354</v>
      </c>
      <c r="F417" t="s">
        <v>355</v>
      </c>
      <c r="G417" t="s">
        <v>752</v>
      </c>
      <c r="H417">
        <v>158</v>
      </c>
      <c r="I417">
        <v>58.259500000000003</v>
      </c>
      <c r="J417">
        <v>73.170900000000003</v>
      </c>
      <c r="K417">
        <v>14.9114</v>
      </c>
      <c r="L417">
        <v>107</v>
      </c>
      <c r="M417">
        <v>11</v>
      </c>
      <c r="N417">
        <v>40</v>
      </c>
      <c r="O417">
        <v>75.0501</v>
      </c>
      <c r="P417">
        <v>14.238799999999999</v>
      </c>
      <c r="Q417">
        <v>18.951599999999999</v>
      </c>
    </row>
    <row r="418" spans="1:17" x14ac:dyDescent="0.25">
      <c r="A418" t="str">
        <f>IF(C418&amp;G418&amp;D418&lt;&gt;'Funnel setup'!$K$3&amp;'Funnel setup'!$K$4&amp;'Funnel setup'!$K$6,".",IF(A417=".",1,A417+1))</f>
        <v>.</v>
      </c>
      <c r="B418" s="244" t="str">
        <f t="shared" si="6"/>
        <v>Hip Replacement PrimaryProviderNORTHAMPTON GENERAL HOSPITAL NHS TRUST (RNS)EQ VAS</v>
      </c>
      <c r="C418" t="s">
        <v>749</v>
      </c>
      <c r="D418" t="s">
        <v>965</v>
      </c>
      <c r="E418" t="s">
        <v>356</v>
      </c>
      <c r="F418" t="s">
        <v>357</v>
      </c>
      <c r="G418" t="s">
        <v>752</v>
      </c>
      <c r="H418">
        <v>38</v>
      </c>
      <c r="I418">
        <v>62.973700000000001</v>
      </c>
      <c r="J418">
        <v>71</v>
      </c>
      <c r="K418">
        <v>8.0263200000000001</v>
      </c>
      <c r="L418">
        <v>19</v>
      </c>
      <c r="M418">
        <v>6</v>
      </c>
      <c r="N418">
        <v>13</v>
      </c>
      <c r="O418">
        <v>72.682400000000001</v>
      </c>
      <c r="P418">
        <v>11.8711</v>
      </c>
      <c r="Q418">
        <v>15.713200000000001</v>
      </c>
    </row>
    <row r="419" spans="1:17" x14ac:dyDescent="0.25">
      <c r="A419" t="str">
        <f>IF(C419&amp;G419&amp;D419&lt;&gt;'Funnel setup'!$K$3&amp;'Funnel setup'!$K$4&amp;'Funnel setup'!$K$6,".",IF(A418=".",1,A418+1))</f>
        <v>.</v>
      </c>
      <c r="B419" s="244" t="str">
        <f t="shared" si="6"/>
        <v>Hip Replacement PrimaryProviderNORTHERN CARE ALLIANCE NHS FOUNDATION TRUST (RM3)EQ VAS</v>
      </c>
      <c r="C419" t="s">
        <v>749</v>
      </c>
      <c r="D419" t="s">
        <v>965</v>
      </c>
      <c r="E419" t="s">
        <v>358</v>
      </c>
      <c r="F419" t="s">
        <v>359</v>
      </c>
      <c r="G419" t="s">
        <v>752</v>
      </c>
      <c r="H419">
        <v>3</v>
      </c>
      <c r="I419">
        <v>30</v>
      </c>
      <c r="J419">
        <v>79</v>
      </c>
      <c r="K419">
        <v>49</v>
      </c>
      <c r="L419">
        <v>2</v>
      </c>
      <c r="M419">
        <v>0</v>
      </c>
      <c r="N419">
        <v>1</v>
      </c>
      <c r="O419" t="s">
        <v>127</v>
      </c>
      <c r="P419" t="s">
        <v>127</v>
      </c>
      <c r="Q419" t="s">
        <v>127</v>
      </c>
    </row>
    <row r="420" spans="1:17" x14ac:dyDescent="0.25">
      <c r="A420" t="str">
        <f>IF(C420&amp;G420&amp;D420&lt;&gt;'Funnel setup'!$K$3&amp;'Funnel setup'!$K$4&amp;'Funnel setup'!$K$6,".",IF(A419=".",1,A419+1))</f>
        <v>.</v>
      </c>
      <c r="B420" s="244" t="str">
        <f t="shared" si="6"/>
        <v>Hip Replacement PrimaryProviderNORTHERN DEVON HEALTHCARE NHS TRUST (RBZ)EQ VAS</v>
      </c>
      <c r="C420" t="s">
        <v>749</v>
      </c>
      <c r="D420" t="s">
        <v>965</v>
      </c>
      <c r="E420" t="s">
        <v>360</v>
      </c>
      <c r="F420" t="s">
        <v>361</v>
      </c>
      <c r="G420" t="s">
        <v>752</v>
      </c>
      <c r="H420">
        <v>25</v>
      </c>
      <c r="I420">
        <v>48.72</v>
      </c>
      <c r="J420">
        <v>76</v>
      </c>
      <c r="K420">
        <v>27.28</v>
      </c>
      <c r="L420">
        <v>21</v>
      </c>
      <c r="M420">
        <v>2</v>
      </c>
      <c r="N420">
        <v>2</v>
      </c>
      <c r="O420" t="s">
        <v>127</v>
      </c>
      <c r="P420" t="s">
        <v>127</v>
      </c>
      <c r="Q420" t="s">
        <v>127</v>
      </c>
    </row>
    <row r="421" spans="1:17" x14ac:dyDescent="0.25">
      <c r="A421" t="str">
        <f>IF(C421&amp;G421&amp;D421&lt;&gt;'Funnel setup'!$K$3&amp;'Funnel setup'!$K$4&amp;'Funnel setup'!$K$6,".",IF(A420=".",1,A420+1))</f>
        <v>.</v>
      </c>
      <c r="B421" s="244" t="str">
        <f t="shared" si="6"/>
        <v>Hip Replacement PrimaryProviderNORTHERN LINCOLNSHIRE AND GOOLE NHS FOUNDATION TRUST (RJL)EQ VAS</v>
      </c>
      <c r="C421" t="s">
        <v>749</v>
      </c>
      <c r="D421" t="s">
        <v>965</v>
      </c>
      <c r="E421" t="s">
        <v>362</v>
      </c>
      <c r="F421" t="s">
        <v>363</v>
      </c>
      <c r="G421" t="s">
        <v>752</v>
      </c>
      <c r="H421">
        <v>84</v>
      </c>
      <c r="I421">
        <v>59.1905</v>
      </c>
      <c r="J421">
        <v>74.607100000000003</v>
      </c>
      <c r="K421">
        <v>15.416700000000001</v>
      </c>
      <c r="L421">
        <v>54</v>
      </c>
      <c r="M421">
        <v>11</v>
      </c>
      <c r="N421">
        <v>19</v>
      </c>
      <c r="O421">
        <v>75.750399999999999</v>
      </c>
      <c r="P421">
        <v>14.9392</v>
      </c>
      <c r="Q421">
        <v>18.516300000000001</v>
      </c>
    </row>
    <row r="422" spans="1:17" x14ac:dyDescent="0.25">
      <c r="A422" t="str">
        <f>IF(C422&amp;G422&amp;D422&lt;&gt;'Funnel setup'!$K$3&amp;'Funnel setup'!$K$4&amp;'Funnel setup'!$K$6,".",IF(A421=".",1,A421+1))</f>
        <v>.</v>
      </c>
      <c r="B422" s="244" t="str">
        <f t="shared" si="6"/>
        <v>Hip Replacement PrimaryProviderNORTHUMBRIA HEALTHCARE NHS FOUNDATION TRUST (RTF)EQ VAS</v>
      </c>
      <c r="C422" t="s">
        <v>749</v>
      </c>
      <c r="D422" t="s">
        <v>965</v>
      </c>
      <c r="E422" t="s">
        <v>364</v>
      </c>
      <c r="F422" t="s">
        <v>365</v>
      </c>
      <c r="G422" t="s">
        <v>752</v>
      </c>
      <c r="H422">
        <v>271</v>
      </c>
      <c r="I422">
        <v>58.0959</v>
      </c>
      <c r="J422">
        <v>76.479699999999994</v>
      </c>
      <c r="K422">
        <v>18.383800000000001</v>
      </c>
      <c r="L422">
        <v>206</v>
      </c>
      <c r="M422">
        <v>20</v>
      </c>
      <c r="N422">
        <v>45</v>
      </c>
      <c r="O422">
        <v>77.347800000000007</v>
      </c>
      <c r="P422">
        <v>16.5366</v>
      </c>
      <c r="Q422">
        <v>16.877800000000001</v>
      </c>
    </row>
    <row r="423" spans="1:17" x14ac:dyDescent="0.25">
      <c r="A423" t="str">
        <f>IF(C423&amp;G423&amp;D423&lt;&gt;'Funnel setup'!$K$3&amp;'Funnel setup'!$K$4&amp;'Funnel setup'!$K$6,".",IF(A422=".",1,A422+1))</f>
        <v>.</v>
      </c>
      <c r="B423" s="244" t="str">
        <f t="shared" si="6"/>
        <v>Hip Replacement PrimaryProviderNOTTINGHAM UNIVERSITY HOSPITALS NHS TRUST (RX1)EQ VAS</v>
      </c>
      <c r="C423" t="s">
        <v>749</v>
      </c>
      <c r="D423" t="s">
        <v>965</v>
      </c>
      <c r="E423" t="s">
        <v>366</v>
      </c>
      <c r="F423" t="s">
        <v>367</v>
      </c>
      <c r="G423" t="s">
        <v>752</v>
      </c>
      <c r="H423">
        <v>3</v>
      </c>
      <c r="I423">
        <v>53.333300000000001</v>
      </c>
      <c r="J423">
        <v>77.666700000000006</v>
      </c>
      <c r="K423">
        <v>24.333300000000001</v>
      </c>
      <c r="L423">
        <v>2</v>
      </c>
      <c r="M423">
        <v>0</v>
      </c>
      <c r="N423">
        <v>1</v>
      </c>
      <c r="O423" t="s">
        <v>127</v>
      </c>
      <c r="P423" t="s">
        <v>127</v>
      </c>
      <c r="Q423" t="s">
        <v>127</v>
      </c>
    </row>
    <row r="424" spans="1:17" x14ac:dyDescent="0.25">
      <c r="A424" t="str">
        <f>IF(C424&amp;G424&amp;D424&lt;&gt;'Funnel setup'!$K$3&amp;'Funnel setup'!$K$4&amp;'Funnel setup'!$K$6,".",IF(A423=".",1,A423+1))</f>
        <v>.</v>
      </c>
      <c r="B424" s="244" t="str">
        <f t="shared" si="6"/>
        <v>Hip Replacement PrimaryProviderNUFFIELD HEALTH, BOURNEMOUTH HOSPITAL (NT202)EQ VAS</v>
      </c>
      <c r="C424" t="s">
        <v>749</v>
      </c>
      <c r="D424" t="s">
        <v>965</v>
      </c>
      <c r="E424" t="s">
        <v>368</v>
      </c>
      <c r="F424" t="s">
        <v>369</v>
      </c>
      <c r="G424" t="s">
        <v>752</v>
      </c>
      <c r="H424">
        <v>11</v>
      </c>
      <c r="I424">
        <v>64.2727</v>
      </c>
      <c r="J424">
        <v>76.636399999999995</v>
      </c>
      <c r="K424">
        <v>12.3636</v>
      </c>
      <c r="L424">
        <v>6</v>
      </c>
      <c r="M424">
        <v>2</v>
      </c>
      <c r="N424">
        <v>3</v>
      </c>
      <c r="O424" t="s">
        <v>127</v>
      </c>
      <c r="P424" t="s">
        <v>127</v>
      </c>
      <c r="Q424" t="s">
        <v>127</v>
      </c>
    </row>
    <row r="425" spans="1:17" x14ac:dyDescent="0.25">
      <c r="A425" t="str">
        <f>IF(C425&amp;G425&amp;D425&lt;&gt;'Funnel setup'!$K$3&amp;'Funnel setup'!$K$4&amp;'Funnel setup'!$K$6,".",IF(A424=".",1,A424+1))</f>
        <v>.</v>
      </c>
      <c r="B425" s="244" t="str">
        <f t="shared" si="6"/>
        <v>Hip Replacement PrimaryProviderNUFFIELD HEALTH, BRENTWOOD HOSPITAL (NT204)EQ VAS</v>
      </c>
      <c r="C425" t="s">
        <v>749</v>
      </c>
      <c r="D425" t="s">
        <v>965</v>
      </c>
      <c r="E425" t="s">
        <v>370</v>
      </c>
      <c r="F425" t="s">
        <v>371</v>
      </c>
      <c r="G425" t="s">
        <v>752</v>
      </c>
      <c r="H425">
        <v>15</v>
      </c>
      <c r="I425">
        <v>70.599999999999994</v>
      </c>
      <c r="J425">
        <v>76.666700000000006</v>
      </c>
      <c r="K425">
        <v>6.0666700000000002</v>
      </c>
      <c r="L425">
        <v>9</v>
      </c>
      <c r="M425">
        <v>0</v>
      </c>
      <c r="N425">
        <v>6</v>
      </c>
      <c r="O425" t="s">
        <v>127</v>
      </c>
      <c r="P425" t="s">
        <v>127</v>
      </c>
      <c r="Q425" t="s">
        <v>127</v>
      </c>
    </row>
    <row r="426" spans="1:17" x14ac:dyDescent="0.25">
      <c r="A426" t="str">
        <f>IF(C426&amp;G426&amp;D426&lt;&gt;'Funnel setup'!$K$3&amp;'Funnel setup'!$K$4&amp;'Funnel setup'!$K$6,".",IF(A425=".",1,A425+1))</f>
        <v>.</v>
      </c>
      <c r="B426" s="244" t="str">
        <f t="shared" si="6"/>
        <v>Hip Replacement PrimaryProviderNUFFIELD HEALTH, BRIGHTON HOSPITAL (NT205)EQ VAS</v>
      </c>
      <c r="C426" t="s">
        <v>749</v>
      </c>
      <c r="D426" t="s">
        <v>965</v>
      </c>
      <c r="E426" t="s">
        <v>372</v>
      </c>
      <c r="F426" t="s">
        <v>373</v>
      </c>
      <c r="G426" t="s">
        <v>752</v>
      </c>
      <c r="H426">
        <v>3</v>
      </c>
      <c r="I426">
        <v>50</v>
      </c>
      <c r="J426">
        <v>68.333299999999994</v>
      </c>
      <c r="K426">
        <v>18.333300000000001</v>
      </c>
      <c r="L426">
        <v>3</v>
      </c>
      <c r="M426">
        <v>0</v>
      </c>
      <c r="N426">
        <v>0</v>
      </c>
      <c r="O426" t="s">
        <v>127</v>
      </c>
      <c r="P426" t="s">
        <v>127</v>
      </c>
      <c r="Q426" t="s">
        <v>127</v>
      </c>
    </row>
    <row r="427" spans="1:17" x14ac:dyDescent="0.25">
      <c r="A427" t="str">
        <f>IF(C427&amp;G427&amp;D427&lt;&gt;'Funnel setup'!$K$3&amp;'Funnel setup'!$K$4&amp;'Funnel setup'!$K$6,".",IF(A426=".",1,A426+1))</f>
        <v>.</v>
      </c>
      <c r="B427" s="244" t="str">
        <f t="shared" si="6"/>
        <v>Hip Replacement PrimaryProviderNUFFIELD HEALTH, BRISTOL HOSPITAL (CHESTERFIELD) (NT206)EQ VAS</v>
      </c>
      <c r="C427" t="s">
        <v>749</v>
      </c>
      <c r="D427" t="s">
        <v>965</v>
      </c>
      <c r="E427" t="s">
        <v>374</v>
      </c>
      <c r="F427" t="s">
        <v>375</v>
      </c>
      <c r="G427" t="s">
        <v>752</v>
      </c>
      <c r="H427">
        <v>40</v>
      </c>
      <c r="I427">
        <v>66.099999999999994</v>
      </c>
      <c r="J427">
        <v>80.45</v>
      </c>
      <c r="K427">
        <v>14.35</v>
      </c>
      <c r="L427">
        <v>31</v>
      </c>
      <c r="M427">
        <v>5</v>
      </c>
      <c r="N427">
        <v>4</v>
      </c>
      <c r="O427">
        <v>77.7577</v>
      </c>
      <c r="P427">
        <v>16.9465</v>
      </c>
      <c r="Q427">
        <v>12.6868</v>
      </c>
    </row>
    <row r="428" spans="1:17" x14ac:dyDescent="0.25">
      <c r="A428" t="str">
        <f>IF(C428&amp;G428&amp;D428&lt;&gt;'Funnel setup'!$K$3&amp;'Funnel setup'!$K$4&amp;'Funnel setup'!$K$6,".",IF(A427=".",1,A427+1))</f>
        <v>.</v>
      </c>
      <c r="B428" s="244" t="str">
        <f t="shared" si="6"/>
        <v>Hip Replacement PrimaryProviderNUFFIELD HEALTH, CAMBRIDGE HOSPITAL (NT209)EQ VAS</v>
      </c>
      <c r="C428" t="s">
        <v>749</v>
      </c>
      <c r="D428" t="s">
        <v>965</v>
      </c>
      <c r="E428" t="s">
        <v>376</v>
      </c>
      <c r="F428" t="s">
        <v>377</v>
      </c>
      <c r="G428" t="s">
        <v>752</v>
      </c>
      <c r="H428">
        <v>21</v>
      </c>
      <c r="I428">
        <v>66.761899999999997</v>
      </c>
      <c r="J428">
        <v>80.857100000000003</v>
      </c>
      <c r="K428">
        <v>14.0952</v>
      </c>
      <c r="L428">
        <v>13</v>
      </c>
      <c r="M428">
        <v>3</v>
      </c>
      <c r="N428">
        <v>5</v>
      </c>
      <c r="O428" t="s">
        <v>127</v>
      </c>
      <c r="P428" t="s">
        <v>127</v>
      </c>
      <c r="Q428" t="s">
        <v>127</v>
      </c>
    </row>
    <row r="429" spans="1:17" x14ac:dyDescent="0.25">
      <c r="A429" t="str">
        <f>IF(C429&amp;G429&amp;D429&lt;&gt;'Funnel setup'!$K$3&amp;'Funnel setup'!$K$4&amp;'Funnel setup'!$K$6,".",IF(A428=".",1,A428+1))</f>
        <v>.</v>
      </c>
      <c r="B429" s="244" t="str">
        <f t="shared" si="6"/>
        <v>Hip Replacement PrimaryProviderNUFFIELD HEALTH, CHELTENHAM HOSPITAL (NT211)EQ VAS</v>
      </c>
      <c r="C429" t="s">
        <v>749</v>
      </c>
      <c r="D429" t="s">
        <v>965</v>
      </c>
      <c r="E429" t="s">
        <v>378</v>
      </c>
      <c r="F429" t="s">
        <v>379</v>
      </c>
      <c r="G429" t="s">
        <v>752</v>
      </c>
      <c r="H429">
        <v>1</v>
      </c>
      <c r="I429">
        <v>73</v>
      </c>
      <c r="J429">
        <v>70</v>
      </c>
      <c r="K429">
        <v>-3</v>
      </c>
      <c r="L429">
        <v>0</v>
      </c>
      <c r="M429">
        <v>0</v>
      </c>
      <c r="N429">
        <v>1</v>
      </c>
      <c r="O429" t="s">
        <v>127</v>
      </c>
      <c r="P429" t="s">
        <v>127</v>
      </c>
      <c r="Q429" t="s">
        <v>127</v>
      </c>
    </row>
    <row r="430" spans="1:17" x14ac:dyDescent="0.25">
      <c r="A430" t="str">
        <f>IF(C430&amp;G430&amp;D430&lt;&gt;'Funnel setup'!$K$3&amp;'Funnel setup'!$K$4&amp;'Funnel setup'!$K$6,".",IF(A429=".",1,A429+1))</f>
        <v>.</v>
      </c>
      <c r="B430" s="244" t="str">
        <f t="shared" si="6"/>
        <v>Hip Replacement PrimaryProviderNUFFIELD HEALTH, CHICHESTER HOSPITAL (NT212)EQ VAS</v>
      </c>
      <c r="C430" t="s">
        <v>749</v>
      </c>
      <c r="D430" t="s">
        <v>965</v>
      </c>
      <c r="E430" t="s">
        <v>380</v>
      </c>
      <c r="F430" t="s">
        <v>381</v>
      </c>
      <c r="G430" t="s">
        <v>752</v>
      </c>
      <c r="H430">
        <v>15</v>
      </c>
      <c r="I430">
        <v>50.4</v>
      </c>
      <c r="J430">
        <v>73.2667</v>
      </c>
      <c r="K430">
        <v>22.866700000000002</v>
      </c>
      <c r="L430">
        <v>11</v>
      </c>
      <c r="M430">
        <v>1</v>
      </c>
      <c r="N430">
        <v>3</v>
      </c>
      <c r="O430" t="s">
        <v>127</v>
      </c>
      <c r="P430" t="s">
        <v>127</v>
      </c>
      <c r="Q430" t="s">
        <v>127</v>
      </c>
    </row>
    <row r="431" spans="1:17" x14ac:dyDescent="0.25">
      <c r="A431" t="str">
        <f>IF(C431&amp;G431&amp;D431&lt;&gt;'Funnel setup'!$K$3&amp;'Funnel setup'!$K$4&amp;'Funnel setup'!$K$6,".",IF(A430=".",1,A430+1))</f>
        <v>.</v>
      </c>
      <c r="B431" s="244" t="str">
        <f t="shared" si="6"/>
        <v>Hip Replacement PrimaryProviderNUFFIELD HEALTH, DERBY HOSPITAL (NT213)EQ VAS</v>
      </c>
      <c r="C431" t="s">
        <v>749</v>
      </c>
      <c r="D431" t="s">
        <v>965</v>
      </c>
      <c r="E431" t="s">
        <v>382</v>
      </c>
      <c r="F431" t="s">
        <v>383</v>
      </c>
      <c r="G431" t="s">
        <v>752</v>
      </c>
      <c r="H431">
        <v>49</v>
      </c>
      <c r="I431">
        <v>62.877600000000001</v>
      </c>
      <c r="J431">
        <v>80.959199999999996</v>
      </c>
      <c r="K431">
        <v>18.081600000000002</v>
      </c>
      <c r="L431">
        <v>37</v>
      </c>
      <c r="M431">
        <v>7</v>
      </c>
      <c r="N431">
        <v>5</v>
      </c>
      <c r="O431">
        <v>79.828800000000001</v>
      </c>
      <c r="P431">
        <v>19.017499999999998</v>
      </c>
      <c r="Q431">
        <v>12.3306</v>
      </c>
    </row>
    <row r="432" spans="1:17" x14ac:dyDescent="0.25">
      <c r="A432" t="str">
        <f>IF(C432&amp;G432&amp;D432&lt;&gt;'Funnel setup'!$K$3&amp;'Funnel setup'!$K$4&amp;'Funnel setup'!$K$6,".",IF(A431=".",1,A431+1))</f>
        <v>.</v>
      </c>
      <c r="B432" s="244" t="str">
        <f t="shared" si="6"/>
        <v>Hip Replacement PrimaryProviderNUFFIELD HEALTH, EXETER HOSPITAL (NT215)EQ VAS</v>
      </c>
      <c r="C432" t="s">
        <v>749</v>
      </c>
      <c r="D432" t="s">
        <v>965</v>
      </c>
      <c r="E432" t="s">
        <v>384</v>
      </c>
      <c r="F432" t="s">
        <v>385</v>
      </c>
      <c r="G432" t="s">
        <v>752</v>
      </c>
      <c r="H432">
        <v>2</v>
      </c>
      <c r="I432">
        <v>67.5</v>
      </c>
      <c r="J432">
        <v>92.5</v>
      </c>
      <c r="K432">
        <v>25</v>
      </c>
      <c r="L432">
        <v>2</v>
      </c>
      <c r="M432">
        <v>0</v>
      </c>
      <c r="N432">
        <v>0</v>
      </c>
      <c r="O432" t="s">
        <v>127</v>
      </c>
      <c r="P432" t="s">
        <v>127</v>
      </c>
      <c r="Q432" t="s">
        <v>127</v>
      </c>
    </row>
    <row r="433" spans="1:17" x14ac:dyDescent="0.25">
      <c r="A433" t="str">
        <f>IF(C433&amp;G433&amp;D433&lt;&gt;'Funnel setup'!$K$3&amp;'Funnel setup'!$K$4&amp;'Funnel setup'!$K$6,".",IF(A432=".",1,A432+1))</f>
        <v>.</v>
      </c>
      <c r="B433" s="244" t="str">
        <f t="shared" si="6"/>
        <v>Hip Replacement PrimaryProviderNUFFIELD HEALTH, HAYWARDS HEATH HOSPITAL (NT218)EQ VAS</v>
      </c>
      <c r="C433" t="s">
        <v>749</v>
      </c>
      <c r="D433" t="s">
        <v>965</v>
      </c>
      <c r="E433" t="s">
        <v>386</v>
      </c>
      <c r="F433" t="s">
        <v>387</v>
      </c>
      <c r="G433" t="s">
        <v>752</v>
      </c>
      <c r="H433">
        <v>18</v>
      </c>
      <c r="I433">
        <v>63.666699999999999</v>
      </c>
      <c r="J433">
        <v>84.611099999999993</v>
      </c>
      <c r="K433">
        <v>20.944400000000002</v>
      </c>
      <c r="L433">
        <v>15</v>
      </c>
      <c r="M433">
        <v>0</v>
      </c>
      <c r="N433">
        <v>3</v>
      </c>
      <c r="O433" t="s">
        <v>127</v>
      </c>
      <c r="P433" t="s">
        <v>127</v>
      </c>
      <c r="Q433" t="s">
        <v>127</v>
      </c>
    </row>
    <row r="434" spans="1:17" x14ac:dyDescent="0.25">
      <c r="A434" t="str">
        <f>IF(C434&amp;G434&amp;D434&lt;&gt;'Funnel setup'!$K$3&amp;'Funnel setup'!$K$4&amp;'Funnel setup'!$K$6,".",IF(A433=".",1,A433+1))</f>
        <v>.</v>
      </c>
      <c r="B434" s="244" t="str">
        <f t="shared" si="6"/>
        <v>Hip Replacement PrimaryProviderNUFFIELD HEALTH, HEREFORD HOSPITAL (NT219)EQ VAS</v>
      </c>
      <c r="C434" t="s">
        <v>749</v>
      </c>
      <c r="D434" t="s">
        <v>965</v>
      </c>
      <c r="E434" t="s">
        <v>388</v>
      </c>
      <c r="F434" t="s">
        <v>389</v>
      </c>
      <c r="G434" t="s">
        <v>752</v>
      </c>
      <c r="H434">
        <v>6</v>
      </c>
      <c r="I434">
        <v>59.166699999999999</v>
      </c>
      <c r="J434">
        <v>74.166700000000006</v>
      </c>
      <c r="K434">
        <v>15</v>
      </c>
      <c r="L434">
        <v>4</v>
      </c>
      <c r="M434">
        <v>2</v>
      </c>
      <c r="N434">
        <v>0</v>
      </c>
      <c r="O434" t="s">
        <v>127</v>
      </c>
      <c r="P434" t="s">
        <v>127</v>
      </c>
      <c r="Q434" t="s">
        <v>127</v>
      </c>
    </row>
    <row r="435" spans="1:17" x14ac:dyDescent="0.25">
      <c r="A435" t="str">
        <f>IF(C435&amp;G435&amp;D435&lt;&gt;'Funnel setup'!$K$3&amp;'Funnel setup'!$K$4&amp;'Funnel setup'!$K$6,".",IF(A434=".",1,A434+1))</f>
        <v>.</v>
      </c>
      <c r="B435" s="244" t="str">
        <f t="shared" si="6"/>
        <v>Hip Replacement PrimaryProviderNUFFIELD HEALTH, IPSWICH HOSPITAL (NT222)EQ VAS</v>
      </c>
      <c r="C435" t="s">
        <v>749</v>
      </c>
      <c r="D435" t="s">
        <v>965</v>
      </c>
      <c r="E435" t="s">
        <v>390</v>
      </c>
      <c r="F435" t="s">
        <v>391</v>
      </c>
      <c r="G435" t="s">
        <v>752</v>
      </c>
      <c r="H435">
        <v>7</v>
      </c>
      <c r="I435">
        <v>68.571399999999997</v>
      </c>
      <c r="J435">
        <v>76.142899999999997</v>
      </c>
      <c r="K435">
        <v>7.5714300000000003</v>
      </c>
      <c r="L435">
        <v>5</v>
      </c>
      <c r="M435">
        <v>0</v>
      </c>
      <c r="N435">
        <v>2</v>
      </c>
      <c r="O435" t="s">
        <v>127</v>
      </c>
      <c r="P435" t="s">
        <v>127</v>
      </c>
      <c r="Q435" t="s">
        <v>127</v>
      </c>
    </row>
    <row r="436" spans="1:17" x14ac:dyDescent="0.25">
      <c r="A436" t="str">
        <f>IF(C436&amp;G436&amp;D436&lt;&gt;'Funnel setup'!$K$3&amp;'Funnel setup'!$K$4&amp;'Funnel setup'!$K$6,".",IF(A435=".",1,A435+1))</f>
        <v>.</v>
      </c>
      <c r="B436" s="244" t="str">
        <f t="shared" si="6"/>
        <v>Hip Replacement PrimaryProviderNUFFIELD HEALTH, LEEDS HOSPITAL (NT225)EQ VAS</v>
      </c>
      <c r="C436" t="s">
        <v>749</v>
      </c>
      <c r="D436" t="s">
        <v>965</v>
      </c>
      <c r="E436" t="s">
        <v>392</v>
      </c>
      <c r="F436" t="s">
        <v>393</v>
      </c>
      <c r="G436" t="s">
        <v>752</v>
      </c>
      <c r="H436">
        <v>105</v>
      </c>
      <c r="I436">
        <v>64</v>
      </c>
      <c r="J436">
        <v>77.047600000000003</v>
      </c>
      <c r="K436">
        <v>13.047599999999999</v>
      </c>
      <c r="L436">
        <v>67</v>
      </c>
      <c r="M436">
        <v>13</v>
      </c>
      <c r="N436">
        <v>25</v>
      </c>
      <c r="O436">
        <v>74.982500000000002</v>
      </c>
      <c r="P436">
        <v>14.171200000000001</v>
      </c>
      <c r="Q436">
        <v>15.033799999999999</v>
      </c>
    </row>
    <row r="437" spans="1:17" x14ac:dyDescent="0.25">
      <c r="A437" t="str">
        <f>IF(C437&amp;G437&amp;D437&lt;&gt;'Funnel setup'!$K$3&amp;'Funnel setup'!$K$4&amp;'Funnel setup'!$K$6,".",IF(A436=".",1,A436+1))</f>
        <v>.</v>
      </c>
      <c r="B437" s="244" t="str">
        <f t="shared" si="6"/>
        <v>Hip Replacement PrimaryProviderNUFFIELD HEALTH, LEICESTER HOSPITAL (NT226)EQ VAS</v>
      </c>
      <c r="C437" t="s">
        <v>749</v>
      </c>
      <c r="D437" t="s">
        <v>965</v>
      </c>
      <c r="E437" t="s">
        <v>394</v>
      </c>
      <c r="F437" t="s">
        <v>395</v>
      </c>
      <c r="G437" t="s">
        <v>752</v>
      </c>
      <c r="H437">
        <v>29</v>
      </c>
      <c r="I437">
        <v>65.965500000000006</v>
      </c>
      <c r="J437">
        <v>77.930999999999997</v>
      </c>
      <c r="K437">
        <v>11.9655</v>
      </c>
      <c r="L437">
        <v>24</v>
      </c>
      <c r="M437">
        <v>2</v>
      </c>
      <c r="N437">
        <v>3</v>
      </c>
      <c r="O437" t="s">
        <v>127</v>
      </c>
      <c r="P437" t="s">
        <v>127</v>
      </c>
      <c r="Q437" t="s">
        <v>127</v>
      </c>
    </row>
    <row r="438" spans="1:17" x14ac:dyDescent="0.25">
      <c r="A438" t="str">
        <f>IF(C438&amp;G438&amp;D438&lt;&gt;'Funnel setup'!$K$3&amp;'Funnel setup'!$K$4&amp;'Funnel setup'!$K$6,".",IF(A437=".",1,A437+1))</f>
        <v>.</v>
      </c>
      <c r="B438" s="244" t="str">
        <f t="shared" si="6"/>
        <v>Hip Replacement PrimaryProviderNUFFIELD HEALTH, NEWCASTLE UPON TYNE HOSPITAL (NT229)EQ VAS</v>
      </c>
      <c r="C438" t="s">
        <v>749</v>
      </c>
      <c r="D438" t="s">
        <v>965</v>
      </c>
      <c r="E438" t="s">
        <v>396</v>
      </c>
      <c r="F438" t="s">
        <v>397</v>
      </c>
      <c r="G438" t="s">
        <v>752</v>
      </c>
      <c r="H438">
        <v>45</v>
      </c>
      <c r="I438">
        <v>58.488900000000001</v>
      </c>
      <c r="J438">
        <v>76.866699999999994</v>
      </c>
      <c r="K438">
        <v>18.377800000000001</v>
      </c>
      <c r="L438">
        <v>31</v>
      </c>
      <c r="M438">
        <v>7</v>
      </c>
      <c r="N438">
        <v>7</v>
      </c>
      <c r="O438">
        <v>76.386399999999995</v>
      </c>
      <c r="P438">
        <v>15.575100000000001</v>
      </c>
      <c r="Q438">
        <v>16.0565</v>
      </c>
    </row>
    <row r="439" spans="1:17" x14ac:dyDescent="0.25">
      <c r="A439" t="str">
        <f>IF(C439&amp;G439&amp;D439&lt;&gt;'Funnel setup'!$K$3&amp;'Funnel setup'!$K$4&amp;'Funnel setup'!$K$6,".",IF(A438=".",1,A438+1))</f>
        <v>.</v>
      </c>
      <c r="B439" s="244" t="str">
        <f t="shared" si="6"/>
        <v>Hip Replacement PrimaryProviderNUFFIELD HEALTH, NORTH STAFFORDSHIRE HOSPITAL (NT230)EQ VAS</v>
      </c>
      <c r="C439" t="s">
        <v>749</v>
      </c>
      <c r="D439" t="s">
        <v>965</v>
      </c>
      <c r="E439" t="s">
        <v>398</v>
      </c>
      <c r="F439" t="s">
        <v>399</v>
      </c>
      <c r="G439" t="s">
        <v>752</v>
      </c>
      <c r="H439">
        <v>34</v>
      </c>
      <c r="I439">
        <v>64.7059</v>
      </c>
      <c r="J439">
        <v>77.2059</v>
      </c>
      <c r="K439">
        <v>12.5</v>
      </c>
      <c r="L439">
        <v>22</v>
      </c>
      <c r="M439">
        <v>3</v>
      </c>
      <c r="N439">
        <v>9</v>
      </c>
      <c r="O439">
        <v>76.801299999999998</v>
      </c>
      <c r="P439">
        <v>15.99</v>
      </c>
      <c r="Q439">
        <v>21.468800000000002</v>
      </c>
    </row>
    <row r="440" spans="1:17" x14ac:dyDescent="0.25">
      <c r="A440" t="str">
        <f>IF(C440&amp;G440&amp;D440&lt;&gt;'Funnel setup'!$K$3&amp;'Funnel setup'!$K$4&amp;'Funnel setup'!$K$6,".",IF(A439=".",1,A439+1))</f>
        <v>.</v>
      </c>
      <c r="B440" s="244" t="str">
        <f t="shared" si="6"/>
        <v>Hip Replacement PrimaryProviderNUFFIELD HEALTH, PLYMOUTH HOSPITAL (NT233)EQ VAS</v>
      </c>
      <c r="C440" t="s">
        <v>749</v>
      </c>
      <c r="D440" t="s">
        <v>965</v>
      </c>
      <c r="E440" t="s">
        <v>400</v>
      </c>
      <c r="F440" t="s">
        <v>401</v>
      </c>
      <c r="G440" t="s">
        <v>752</v>
      </c>
      <c r="H440">
        <v>60</v>
      </c>
      <c r="I440">
        <v>64.966700000000003</v>
      </c>
      <c r="J440">
        <v>80.433300000000003</v>
      </c>
      <c r="K440">
        <v>15.466699999999999</v>
      </c>
      <c r="L440">
        <v>46</v>
      </c>
      <c r="M440">
        <v>4</v>
      </c>
      <c r="N440">
        <v>10</v>
      </c>
      <c r="O440">
        <v>77.9238</v>
      </c>
      <c r="P440">
        <v>17.1126</v>
      </c>
      <c r="Q440">
        <v>13.085599999999999</v>
      </c>
    </row>
    <row r="441" spans="1:17" x14ac:dyDescent="0.25">
      <c r="A441" t="str">
        <f>IF(C441&amp;G441&amp;D441&lt;&gt;'Funnel setup'!$K$3&amp;'Funnel setup'!$K$4&amp;'Funnel setup'!$K$6,".",IF(A440=".",1,A440+1))</f>
        <v>.</v>
      </c>
      <c r="B441" s="244" t="str">
        <f t="shared" si="6"/>
        <v>Hip Replacement PrimaryProviderNUFFIELD HEALTH, SHREWSBURY HOSPITAL (NT235)EQ VAS</v>
      </c>
      <c r="C441" t="s">
        <v>749</v>
      </c>
      <c r="D441" t="s">
        <v>965</v>
      </c>
      <c r="E441" t="s">
        <v>402</v>
      </c>
      <c r="F441" t="s">
        <v>403</v>
      </c>
      <c r="G441" t="s">
        <v>752</v>
      </c>
      <c r="H441">
        <v>8</v>
      </c>
      <c r="I441">
        <v>54.75</v>
      </c>
      <c r="J441">
        <v>74</v>
      </c>
      <c r="K441">
        <v>19.25</v>
      </c>
      <c r="L441">
        <v>6</v>
      </c>
      <c r="M441">
        <v>0</v>
      </c>
      <c r="N441">
        <v>2</v>
      </c>
      <c r="O441" t="s">
        <v>127</v>
      </c>
      <c r="P441" t="s">
        <v>127</v>
      </c>
      <c r="Q441" t="s">
        <v>127</v>
      </c>
    </row>
    <row r="442" spans="1:17" x14ac:dyDescent="0.25">
      <c r="A442" t="str">
        <f>IF(C442&amp;G442&amp;D442&lt;&gt;'Funnel setup'!$K$3&amp;'Funnel setup'!$K$4&amp;'Funnel setup'!$K$6,".",IF(A441=".",1,A441+1))</f>
        <v>.</v>
      </c>
      <c r="B442" s="244" t="str">
        <f t="shared" si="6"/>
        <v>Hip Replacement PrimaryProviderNUFFIELD HEALTH, TAUNTON HOSPITAL (NT238)EQ VAS</v>
      </c>
      <c r="C442" t="s">
        <v>749</v>
      </c>
      <c r="D442" t="s">
        <v>965</v>
      </c>
      <c r="E442" t="s">
        <v>404</v>
      </c>
      <c r="F442" t="s">
        <v>405</v>
      </c>
      <c r="G442" t="s">
        <v>752</v>
      </c>
      <c r="H442">
        <v>22</v>
      </c>
      <c r="I442">
        <v>61.5</v>
      </c>
      <c r="J442">
        <v>75.7273</v>
      </c>
      <c r="K442">
        <v>14.2273</v>
      </c>
      <c r="L442">
        <v>16</v>
      </c>
      <c r="M442">
        <v>3</v>
      </c>
      <c r="N442">
        <v>3</v>
      </c>
      <c r="O442" t="s">
        <v>127</v>
      </c>
      <c r="P442" t="s">
        <v>127</v>
      </c>
      <c r="Q442" t="s">
        <v>127</v>
      </c>
    </row>
    <row r="443" spans="1:17" x14ac:dyDescent="0.25">
      <c r="A443" t="str">
        <f>IF(C443&amp;G443&amp;D443&lt;&gt;'Funnel setup'!$K$3&amp;'Funnel setup'!$K$4&amp;'Funnel setup'!$K$6,".",IF(A442=".",1,A442+1))</f>
        <v>.</v>
      </c>
      <c r="B443" s="244" t="str">
        <f t="shared" si="6"/>
        <v>Hip Replacement PrimaryProviderNUFFIELD HEALTH, TEES HOSPITAL (NT237)EQ VAS</v>
      </c>
      <c r="C443" t="s">
        <v>749</v>
      </c>
      <c r="D443" t="s">
        <v>965</v>
      </c>
      <c r="E443" t="s">
        <v>406</v>
      </c>
      <c r="F443" t="s">
        <v>407</v>
      </c>
      <c r="G443" t="s">
        <v>752</v>
      </c>
      <c r="H443">
        <v>143</v>
      </c>
      <c r="I443">
        <v>71.230800000000002</v>
      </c>
      <c r="J443">
        <v>79.552400000000006</v>
      </c>
      <c r="K443">
        <v>8.3216800000000006</v>
      </c>
      <c r="L443">
        <v>86</v>
      </c>
      <c r="M443">
        <v>17</v>
      </c>
      <c r="N443">
        <v>40</v>
      </c>
      <c r="O443">
        <v>75.929699999999997</v>
      </c>
      <c r="P443">
        <v>15.118499999999999</v>
      </c>
      <c r="Q443">
        <v>13.9498</v>
      </c>
    </row>
    <row r="444" spans="1:17" x14ac:dyDescent="0.25">
      <c r="A444" t="str">
        <f>IF(C444&amp;G444&amp;D444&lt;&gt;'Funnel setup'!$K$3&amp;'Funnel setup'!$K$4&amp;'Funnel setup'!$K$6,".",IF(A443=".",1,A443+1))</f>
        <v>.</v>
      </c>
      <c r="B444" s="244" t="str">
        <f t="shared" si="6"/>
        <v>Hip Replacement PrimaryProviderNUFFIELD HEALTH, THE GROSVENOR HOSPITAL, CHESTER (NT210)EQ VAS</v>
      </c>
      <c r="C444" t="s">
        <v>749</v>
      </c>
      <c r="D444" t="s">
        <v>965</v>
      </c>
      <c r="E444" t="s">
        <v>408</v>
      </c>
      <c r="F444" t="s">
        <v>409</v>
      </c>
      <c r="G444" t="s">
        <v>752</v>
      </c>
      <c r="H444">
        <v>14</v>
      </c>
      <c r="I444">
        <v>73.214299999999994</v>
      </c>
      <c r="J444">
        <v>82.071399999999997</v>
      </c>
      <c r="K444">
        <v>8.8571399999999993</v>
      </c>
      <c r="L444">
        <v>8</v>
      </c>
      <c r="M444">
        <v>2</v>
      </c>
      <c r="N444">
        <v>4</v>
      </c>
      <c r="O444" t="s">
        <v>127</v>
      </c>
      <c r="P444" t="s">
        <v>127</v>
      </c>
      <c r="Q444" t="s">
        <v>127</v>
      </c>
    </row>
    <row r="445" spans="1:17" x14ac:dyDescent="0.25">
      <c r="A445" t="str">
        <f>IF(C445&amp;G445&amp;D445&lt;&gt;'Funnel setup'!$K$3&amp;'Funnel setup'!$K$4&amp;'Funnel setup'!$K$6,".",IF(A444=".",1,A444+1))</f>
        <v>.</v>
      </c>
      <c r="B445" s="244" t="str">
        <f t="shared" si="6"/>
        <v>Hip Replacement PrimaryProviderNUFFIELD HEALTH, TUNBRIDGE WELLS HOSPITAL (NT239)EQ VAS</v>
      </c>
      <c r="C445" t="s">
        <v>749</v>
      </c>
      <c r="D445" t="s">
        <v>965</v>
      </c>
      <c r="E445" t="s">
        <v>410</v>
      </c>
      <c r="F445" t="s">
        <v>411</v>
      </c>
      <c r="G445" t="s">
        <v>752</v>
      </c>
      <c r="H445">
        <v>6</v>
      </c>
      <c r="I445">
        <v>74.166700000000006</v>
      </c>
      <c r="J445">
        <v>75.833299999999994</v>
      </c>
      <c r="K445">
        <v>1.6666700000000001</v>
      </c>
      <c r="L445">
        <v>3</v>
      </c>
      <c r="M445">
        <v>0</v>
      </c>
      <c r="N445">
        <v>3</v>
      </c>
      <c r="O445" t="s">
        <v>127</v>
      </c>
      <c r="P445" t="s">
        <v>127</v>
      </c>
      <c r="Q445" t="s">
        <v>127</v>
      </c>
    </row>
    <row r="446" spans="1:17" x14ac:dyDescent="0.25">
      <c r="A446" t="str">
        <f>IF(C446&amp;G446&amp;D446&lt;&gt;'Funnel setup'!$K$3&amp;'Funnel setup'!$K$4&amp;'Funnel setup'!$K$6,".",IF(A445=".",1,A445+1))</f>
        <v>.</v>
      </c>
      <c r="B446" s="244" t="str">
        <f t="shared" si="6"/>
        <v>Hip Replacement PrimaryProviderNUFFIELD HEALTH, WARWICKSHIRE HOSPITAL (NT224)EQ VAS</v>
      </c>
      <c r="C446" t="s">
        <v>749</v>
      </c>
      <c r="D446" t="s">
        <v>965</v>
      </c>
      <c r="E446" t="s">
        <v>412</v>
      </c>
      <c r="F446" t="s">
        <v>413</v>
      </c>
      <c r="G446" t="s">
        <v>752</v>
      </c>
      <c r="H446">
        <v>17</v>
      </c>
      <c r="I446">
        <v>64.470600000000005</v>
      </c>
      <c r="J446">
        <v>81.2941</v>
      </c>
      <c r="K446">
        <v>16.823499999999999</v>
      </c>
      <c r="L446">
        <v>13</v>
      </c>
      <c r="M446">
        <v>1</v>
      </c>
      <c r="N446">
        <v>3</v>
      </c>
      <c r="O446" t="s">
        <v>127</v>
      </c>
      <c r="P446" t="s">
        <v>127</v>
      </c>
      <c r="Q446" t="s">
        <v>127</v>
      </c>
    </row>
    <row r="447" spans="1:17" x14ac:dyDescent="0.25">
      <c r="A447" t="str">
        <f>IF(C447&amp;G447&amp;D447&lt;&gt;'Funnel setup'!$K$3&amp;'Funnel setup'!$K$4&amp;'Funnel setup'!$K$6,".",IF(A446=".",1,A446+1))</f>
        <v>.</v>
      </c>
      <c r="B447" s="244" t="str">
        <f t="shared" si="6"/>
        <v>Hip Replacement PrimaryProviderNUFFIELD HEALTH, WESSEX HOSPITAL (NT214)EQ VAS</v>
      </c>
      <c r="C447" t="s">
        <v>749</v>
      </c>
      <c r="D447" t="s">
        <v>965</v>
      </c>
      <c r="E447" t="s">
        <v>414</v>
      </c>
      <c r="F447" t="s">
        <v>415</v>
      </c>
      <c r="G447" t="s">
        <v>752</v>
      </c>
      <c r="H447">
        <v>32</v>
      </c>
      <c r="I447">
        <v>61.593800000000002</v>
      </c>
      <c r="J447">
        <v>77.718800000000002</v>
      </c>
      <c r="K447">
        <v>16.125</v>
      </c>
      <c r="L447">
        <v>25</v>
      </c>
      <c r="M447">
        <v>2</v>
      </c>
      <c r="N447">
        <v>5</v>
      </c>
      <c r="O447">
        <v>75.902699999999996</v>
      </c>
      <c r="P447">
        <v>15.0914</v>
      </c>
      <c r="Q447">
        <v>11.960699999999999</v>
      </c>
    </row>
    <row r="448" spans="1:17" x14ac:dyDescent="0.25">
      <c r="A448" t="str">
        <f>IF(C448&amp;G448&amp;D448&lt;&gt;'Funnel setup'!$K$3&amp;'Funnel setup'!$K$4&amp;'Funnel setup'!$K$6,".",IF(A447=".",1,A447+1))</f>
        <v>.</v>
      </c>
      <c r="B448" s="244" t="str">
        <f t="shared" si="6"/>
        <v>Hip Replacement PrimaryProviderNUFFIELD HEALTH, WOLVERHAMPTON HOSPITAL (NT242)EQ VAS</v>
      </c>
      <c r="C448" t="s">
        <v>749</v>
      </c>
      <c r="D448" t="s">
        <v>965</v>
      </c>
      <c r="E448" t="s">
        <v>418</v>
      </c>
      <c r="F448" t="s">
        <v>419</v>
      </c>
      <c r="G448" t="s">
        <v>752</v>
      </c>
      <c r="H448">
        <v>4</v>
      </c>
      <c r="I448">
        <v>59.25</v>
      </c>
      <c r="J448">
        <v>71.25</v>
      </c>
      <c r="K448">
        <v>12</v>
      </c>
      <c r="L448">
        <v>3</v>
      </c>
      <c r="M448">
        <v>1</v>
      </c>
      <c r="N448">
        <v>0</v>
      </c>
      <c r="O448" t="s">
        <v>127</v>
      </c>
      <c r="P448" t="s">
        <v>127</v>
      </c>
      <c r="Q448" t="s">
        <v>127</v>
      </c>
    </row>
    <row r="449" spans="1:17" x14ac:dyDescent="0.25">
      <c r="A449" t="str">
        <f>IF(C449&amp;G449&amp;D449&lt;&gt;'Funnel setup'!$K$3&amp;'Funnel setup'!$K$4&amp;'Funnel setup'!$K$6,".",IF(A448=".",1,A448+1))</f>
        <v>.</v>
      </c>
      <c r="B449" s="244" t="str">
        <f t="shared" si="6"/>
        <v>Hip Replacement PrimaryProviderNUFFIELD HEALTH, YORK HOSPITAL (NT245)EQ VAS</v>
      </c>
      <c r="C449" t="s">
        <v>749</v>
      </c>
      <c r="D449" t="s">
        <v>965</v>
      </c>
      <c r="E449" t="s">
        <v>420</v>
      </c>
      <c r="F449" t="s">
        <v>421</v>
      </c>
      <c r="G449" t="s">
        <v>752</v>
      </c>
      <c r="H449">
        <v>73</v>
      </c>
      <c r="I449">
        <v>63.616399999999999</v>
      </c>
      <c r="J449">
        <v>79.465800000000002</v>
      </c>
      <c r="K449">
        <v>15.849299999999999</v>
      </c>
      <c r="L449">
        <v>57</v>
      </c>
      <c r="M449">
        <v>4</v>
      </c>
      <c r="N449">
        <v>12</v>
      </c>
      <c r="O449">
        <v>78.334199999999996</v>
      </c>
      <c r="P449">
        <v>17.5229</v>
      </c>
      <c r="Q449">
        <v>15.9679</v>
      </c>
    </row>
    <row r="450" spans="1:17" x14ac:dyDescent="0.25">
      <c r="A450" t="str">
        <f>IF(C450&amp;G450&amp;D450&lt;&gt;'Funnel setup'!$K$3&amp;'Funnel setup'!$K$4&amp;'Funnel setup'!$K$6,".",IF(A449=".",1,A449+1))</f>
        <v>.</v>
      </c>
      <c r="B450" s="244" t="str">
        <f t="shared" ref="B450:B513" si="7">C450&amp;D450&amp;F450&amp;G450</f>
        <v>Hip Replacement PrimaryProviderOAKLANDS HOSPITAL (NVC12)EQ VAS</v>
      </c>
      <c r="C450" t="s">
        <v>749</v>
      </c>
      <c r="D450" t="s">
        <v>965</v>
      </c>
      <c r="E450" t="s">
        <v>424</v>
      </c>
      <c r="F450" t="s">
        <v>425</v>
      </c>
      <c r="G450" t="s">
        <v>752</v>
      </c>
      <c r="H450">
        <v>58</v>
      </c>
      <c r="I450">
        <v>66.620699999999999</v>
      </c>
      <c r="J450">
        <v>71.930999999999997</v>
      </c>
      <c r="K450">
        <v>5.3103400000000001</v>
      </c>
      <c r="L450">
        <v>32</v>
      </c>
      <c r="M450">
        <v>10</v>
      </c>
      <c r="N450">
        <v>16</v>
      </c>
      <c r="O450">
        <v>71.965599999999995</v>
      </c>
      <c r="P450">
        <v>11.154400000000001</v>
      </c>
      <c r="Q450">
        <v>20.0623</v>
      </c>
    </row>
    <row r="451" spans="1:17" x14ac:dyDescent="0.25">
      <c r="A451" t="str">
        <f>IF(C451&amp;G451&amp;D451&lt;&gt;'Funnel setup'!$K$3&amp;'Funnel setup'!$K$4&amp;'Funnel setup'!$K$6,".",IF(A450=".",1,A450+1))</f>
        <v>.</v>
      </c>
      <c r="B451" s="244" t="str">
        <f t="shared" si="7"/>
        <v>Hip Replacement PrimaryProviderOAKS HOSPITAL (NVC13)EQ VAS</v>
      </c>
      <c r="C451" t="s">
        <v>749</v>
      </c>
      <c r="D451" t="s">
        <v>965</v>
      </c>
      <c r="E451" t="s">
        <v>426</v>
      </c>
      <c r="F451" t="s">
        <v>427</v>
      </c>
      <c r="G451" t="s">
        <v>752</v>
      </c>
      <c r="H451">
        <v>6</v>
      </c>
      <c r="I451">
        <v>76.666700000000006</v>
      </c>
      <c r="J451">
        <v>73.5</v>
      </c>
      <c r="K451">
        <v>-3.1666699999999999</v>
      </c>
      <c r="L451">
        <v>2</v>
      </c>
      <c r="M451">
        <v>1</v>
      </c>
      <c r="N451">
        <v>3</v>
      </c>
      <c r="O451" t="s">
        <v>127</v>
      </c>
      <c r="P451" t="s">
        <v>127</v>
      </c>
      <c r="Q451" t="s">
        <v>127</v>
      </c>
    </row>
    <row r="452" spans="1:17" x14ac:dyDescent="0.25">
      <c r="A452" t="str">
        <f>IF(C452&amp;G452&amp;D452&lt;&gt;'Funnel setup'!$K$3&amp;'Funnel setup'!$K$4&amp;'Funnel setup'!$K$6,".",IF(A451=".",1,A451+1))</f>
        <v>.</v>
      </c>
      <c r="B452" s="244" t="str">
        <f t="shared" si="7"/>
        <v>Hip Replacement PrimaryProviderONE HEALTHCARE (AVQ)EQ VAS</v>
      </c>
      <c r="C452" t="s">
        <v>749</v>
      </c>
      <c r="D452" t="s">
        <v>965</v>
      </c>
      <c r="E452" t="s">
        <v>434</v>
      </c>
      <c r="F452" t="s">
        <v>435</v>
      </c>
      <c r="G452" t="s">
        <v>752</v>
      </c>
      <c r="H452">
        <v>51</v>
      </c>
      <c r="I452">
        <v>61.2941</v>
      </c>
      <c r="J452">
        <v>79</v>
      </c>
      <c r="K452">
        <v>17.7059</v>
      </c>
      <c r="L452">
        <v>38</v>
      </c>
      <c r="M452">
        <v>4</v>
      </c>
      <c r="N452">
        <v>9</v>
      </c>
      <c r="O452">
        <v>77.603200000000001</v>
      </c>
      <c r="P452">
        <v>16.791899999999998</v>
      </c>
      <c r="Q452">
        <v>15.972799999999999</v>
      </c>
    </row>
    <row r="453" spans="1:17" x14ac:dyDescent="0.25">
      <c r="A453" t="str">
        <f>IF(C453&amp;G453&amp;D453&lt;&gt;'Funnel setup'!$K$3&amp;'Funnel setup'!$K$4&amp;'Funnel setup'!$K$6,".",IF(A452=".",1,A452+1))</f>
        <v>.</v>
      </c>
      <c r="B453" s="244" t="str">
        <f t="shared" si="7"/>
        <v>Hip Replacement PrimaryProviderORTHOPAEDICS &amp; SPINE SPECIALIST HOSPITAL SITE (NQM01)EQ VAS</v>
      </c>
      <c r="C453" t="s">
        <v>749</v>
      </c>
      <c r="D453" t="s">
        <v>965</v>
      </c>
      <c r="E453" t="s">
        <v>436</v>
      </c>
      <c r="F453" t="s">
        <v>437</v>
      </c>
      <c r="G453" t="s">
        <v>752</v>
      </c>
      <c r="H453">
        <v>7</v>
      </c>
      <c r="I453">
        <v>77.142899999999997</v>
      </c>
      <c r="J453">
        <v>80.714299999999994</v>
      </c>
      <c r="K453">
        <v>3.5714299999999999</v>
      </c>
      <c r="L453">
        <v>5</v>
      </c>
      <c r="M453">
        <v>0</v>
      </c>
      <c r="N453">
        <v>2</v>
      </c>
      <c r="O453" t="s">
        <v>127</v>
      </c>
      <c r="P453" t="s">
        <v>127</v>
      </c>
      <c r="Q453" t="s">
        <v>127</v>
      </c>
    </row>
    <row r="454" spans="1:17" x14ac:dyDescent="0.25">
      <c r="A454" t="str">
        <f>IF(C454&amp;G454&amp;D454&lt;&gt;'Funnel setup'!$K$3&amp;'Funnel setup'!$K$4&amp;'Funnel setup'!$K$6,".",IF(A453=".",1,A453+1))</f>
        <v>.</v>
      </c>
      <c r="B454" s="244" t="str">
        <f t="shared" si="7"/>
        <v>Hip Replacement PrimaryProviderOXFORD UNIVERSITY HOSPITALS NHS FOUNDATION TRUST (RTH)EQ VAS</v>
      </c>
      <c r="C454" t="s">
        <v>749</v>
      </c>
      <c r="D454" t="s">
        <v>965</v>
      </c>
      <c r="E454" t="s">
        <v>438</v>
      </c>
      <c r="F454" t="s">
        <v>439</v>
      </c>
      <c r="G454" t="s">
        <v>752</v>
      </c>
      <c r="H454">
        <v>270</v>
      </c>
      <c r="I454">
        <v>62.281500000000001</v>
      </c>
      <c r="J454">
        <v>75.377799999999993</v>
      </c>
      <c r="K454">
        <v>13.096299999999999</v>
      </c>
      <c r="L454">
        <v>193</v>
      </c>
      <c r="M454">
        <v>22</v>
      </c>
      <c r="N454">
        <v>55</v>
      </c>
      <c r="O454">
        <v>74.477000000000004</v>
      </c>
      <c r="P454">
        <v>13.665800000000001</v>
      </c>
      <c r="Q454">
        <v>16.201799999999999</v>
      </c>
    </row>
    <row r="455" spans="1:17" x14ac:dyDescent="0.25">
      <c r="A455" t="str">
        <f>IF(C455&amp;G455&amp;D455&lt;&gt;'Funnel setup'!$K$3&amp;'Funnel setup'!$K$4&amp;'Funnel setup'!$K$6,".",IF(A454=".",1,A454+1))</f>
        <v>.</v>
      </c>
      <c r="B455" s="244" t="str">
        <f t="shared" si="7"/>
        <v>Hip Replacement PrimaryProviderPARK HILL HOSPITAL (NVC14)EQ VAS</v>
      </c>
      <c r="C455" t="s">
        <v>749</v>
      </c>
      <c r="D455" t="s">
        <v>965</v>
      </c>
      <c r="E455" t="s">
        <v>440</v>
      </c>
      <c r="F455" t="s">
        <v>441</v>
      </c>
      <c r="G455" t="s">
        <v>752</v>
      </c>
      <c r="H455">
        <v>51</v>
      </c>
      <c r="I455">
        <v>57.2941</v>
      </c>
      <c r="J455">
        <v>74.862700000000004</v>
      </c>
      <c r="K455">
        <v>17.5686</v>
      </c>
      <c r="L455">
        <v>38</v>
      </c>
      <c r="M455">
        <v>3</v>
      </c>
      <c r="N455">
        <v>10</v>
      </c>
      <c r="O455">
        <v>74.934100000000001</v>
      </c>
      <c r="P455">
        <v>14.1229</v>
      </c>
      <c r="Q455">
        <v>19.406300000000002</v>
      </c>
    </row>
    <row r="456" spans="1:17" x14ac:dyDescent="0.25">
      <c r="A456" t="str">
        <f>IF(C456&amp;G456&amp;D456&lt;&gt;'Funnel setup'!$K$3&amp;'Funnel setup'!$K$4&amp;'Funnel setup'!$K$6,".",IF(A455=".",1,A455+1))</f>
        <v>.</v>
      </c>
      <c r="B456" s="244" t="str">
        <f t="shared" si="7"/>
        <v>Hip Replacement PrimaryProviderPARK HOSPITAL (NT427)EQ VAS</v>
      </c>
      <c r="C456" t="s">
        <v>749</v>
      </c>
      <c r="D456" t="s">
        <v>965</v>
      </c>
      <c r="E456" t="s">
        <v>442</v>
      </c>
      <c r="F456" t="s">
        <v>443</v>
      </c>
      <c r="G456" t="s">
        <v>752</v>
      </c>
      <c r="H456">
        <v>20</v>
      </c>
      <c r="I456">
        <v>57.9</v>
      </c>
      <c r="J456">
        <v>71.5</v>
      </c>
      <c r="K456">
        <v>13.6</v>
      </c>
      <c r="L456">
        <v>12</v>
      </c>
      <c r="M456">
        <v>4</v>
      </c>
      <c r="N456">
        <v>4</v>
      </c>
      <c r="O456" t="s">
        <v>127</v>
      </c>
      <c r="P456" t="s">
        <v>127</v>
      </c>
      <c r="Q456" t="s">
        <v>127</v>
      </c>
    </row>
    <row r="457" spans="1:17" x14ac:dyDescent="0.25">
      <c r="A457" t="str">
        <f>IF(C457&amp;G457&amp;D457&lt;&gt;'Funnel setup'!$K$3&amp;'Funnel setup'!$K$4&amp;'Funnel setup'!$K$6,".",IF(A456=".",1,A456+1))</f>
        <v>.</v>
      </c>
      <c r="B457" s="244" t="str">
        <f t="shared" si="7"/>
        <v>Hip Replacement PrimaryProviderPENNINE ACUTE HOSPITALS NHS TRUST (RW6)EQ VAS</v>
      </c>
      <c r="C457" t="s">
        <v>749</v>
      </c>
      <c r="D457" t="s">
        <v>965</v>
      </c>
      <c r="E457" t="s">
        <v>444</v>
      </c>
      <c r="F457" t="s">
        <v>445</v>
      </c>
      <c r="G457" t="s">
        <v>752</v>
      </c>
      <c r="H457">
        <v>1</v>
      </c>
      <c r="I457">
        <v>67</v>
      </c>
      <c r="J457">
        <v>75</v>
      </c>
      <c r="K457">
        <v>8</v>
      </c>
      <c r="L457">
        <v>1</v>
      </c>
      <c r="M457">
        <v>0</v>
      </c>
      <c r="N457">
        <v>0</v>
      </c>
      <c r="O457" t="s">
        <v>127</v>
      </c>
      <c r="P457" t="s">
        <v>127</v>
      </c>
      <c r="Q457" t="s">
        <v>127</v>
      </c>
    </row>
    <row r="458" spans="1:17" x14ac:dyDescent="0.25">
      <c r="A458" t="str">
        <f>IF(C458&amp;G458&amp;D458&lt;&gt;'Funnel setup'!$K$3&amp;'Funnel setup'!$K$4&amp;'Funnel setup'!$K$6,".",IF(A457=".",1,A457+1))</f>
        <v>.</v>
      </c>
      <c r="B458" s="244" t="str">
        <f t="shared" si="7"/>
        <v>Hip Replacement PrimaryProviderPINEHILL HOSPITAL (NVC15)EQ VAS</v>
      </c>
      <c r="C458" t="s">
        <v>749</v>
      </c>
      <c r="D458" t="s">
        <v>965</v>
      </c>
      <c r="E458" t="s">
        <v>448</v>
      </c>
      <c r="F458" t="s">
        <v>449</v>
      </c>
      <c r="G458" t="s">
        <v>752</v>
      </c>
      <c r="H458">
        <v>12</v>
      </c>
      <c r="I458">
        <v>59.916699999999999</v>
      </c>
      <c r="J458">
        <v>75.75</v>
      </c>
      <c r="K458">
        <v>15.833299999999999</v>
      </c>
      <c r="L458">
        <v>9</v>
      </c>
      <c r="M458">
        <v>0</v>
      </c>
      <c r="N458">
        <v>3</v>
      </c>
      <c r="O458" t="s">
        <v>127</v>
      </c>
      <c r="P458" t="s">
        <v>127</v>
      </c>
      <c r="Q458" t="s">
        <v>127</v>
      </c>
    </row>
    <row r="459" spans="1:17" x14ac:dyDescent="0.25">
      <c r="A459" t="str">
        <f>IF(C459&amp;G459&amp;D459&lt;&gt;'Funnel setup'!$K$3&amp;'Funnel setup'!$K$4&amp;'Funnel setup'!$K$6,".",IF(A458=".",1,A458+1))</f>
        <v>.</v>
      </c>
      <c r="B459" s="244" t="str">
        <f t="shared" si="7"/>
        <v>Hip Replacement PrimaryProviderPORTSMOUTH HOSPITALS UNIVERSITY NATIONAL HEALTH SERVICE TRUST (RHU)EQ VAS</v>
      </c>
      <c r="C459" t="s">
        <v>749</v>
      </c>
      <c r="D459" t="s">
        <v>965</v>
      </c>
      <c r="E459" t="s">
        <v>450</v>
      </c>
      <c r="F459" t="s">
        <v>451</v>
      </c>
      <c r="G459" t="s">
        <v>752</v>
      </c>
      <c r="H459">
        <v>15</v>
      </c>
      <c r="I459">
        <v>48.066699999999997</v>
      </c>
      <c r="J459">
        <v>68</v>
      </c>
      <c r="K459">
        <v>19.933299999999999</v>
      </c>
      <c r="L459">
        <v>10</v>
      </c>
      <c r="M459">
        <v>2</v>
      </c>
      <c r="N459">
        <v>3</v>
      </c>
      <c r="O459" t="s">
        <v>127</v>
      </c>
      <c r="P459" t="s">
        <v>127</v>
      </c>
      <c r="Q459" t="s">
        <v>127</v>
      </c>
    </row>
    <row r="460" spans="1:17" x14ac:dyDescent="0.25">
      <c r="A460" t="str">
        <f>IF(C460&amp;G460&amp;D460&lt;&gt;'Funnel setup'!$K$3&amp;'Funnel setup'!$K$4&amp;'Funnel setup'!$K$6,".",IF(A459=".",1,A459+1))</f>
        <v>.</v>
      </c>
      <c r="B460" s="244" t="str">
        <f t="shared" si="7"/>
        <v>Hip Replacement PrimaryProviderPRACTICE PLUS GROUP HOSPITAL - BARLBOROUGH (NTP13)EQ VAS</v>
      </c>
      <c r="C460" t="s">
        <v>749</v>
      </c>
      <c r="D460" t="s">
        <v>965</v>
      </c>
      <c r="E460" t="s">
        <v>452</v>
      </c>
      <c r="F460" t="s">
        <v>453</v>
      </c>
      <c r="G460" t="s">
        <v>752</v>
      </c>
      <c r="H460">
        <v>167</v>
      </c>
      <c r="I460">
        <v>67.844300000000004</v>
      </c>
      <c r="J460">
        <v>76.365300000000005</v>
      </c>
      <c r="K460">
        <v>8.5209600000000005</v>
      </c>
      <c r="L460">
        <v>104</v>
      </c>
      <c r="M460">
        <v>14</v>
      </c>
      <c r="N460">
        <v>49</v>
      </c>
      <c r="O460">
        <v>74.206699999999998</v>
      </c>
      <c r="P460">
        <v>13.3954</v>
      </c>
      <c r="Q460">
        <v>16.583300000000001</v>
      </c>
    </row>
    <row r="461" spans="1:17" x14ac:dyDescent="0.25">
      <c r="A461" t="str">
        <f>IF(C461&amp;G461&amp;D461&lt;&gt;'Funnel setup'!$K$3&amp;'Funnel setup'!$K$4&amp;'Funnel setup'!$K$6,".",IF(A460=".",1,A460+1))</f>
        <v>.</v>
      </c>
      <c r="B461" s="244" t="str">
        <f t="shared" si="7"/>
        <v>Hip Replacement PrimaryProviderPRACTICE PLUS GROUP HOSPITAL - EMERSONS GREEN (NTPH2)EQ VAS</v>
      </c>
      <c r="C461" t="s">
        <v>749</v>
      </c>
      <c r="D461" t="s">
        <v>965</v>
      </c>
      <c r="E461" t="s">
        <v>454</v>
      </c>
      <c r="F461" t="s">
        <v>455</v>
      </c>
      <c r="G461" t="s">
        <v>752</v>
      </c>
      <c r="H461">
        <v>141</v>
      </c>
      <c r="I461">
        <v>57.383000000000003</v>
      </c>
      <c r="J461">
        <v>80.758899999999997</v>
      </c>
      <c r="K461">
        <v>23.375900000000001</v>
      </c>
      <c r="L461">
        <v>111</v>
      </c>
      <c r="M461">
        <v>10</v>
      </c>
      <c r="N461">
        <v>20</v>
      </c>
      <c r="O461">
        <v>80.026499999999999</v>
      </c>
      <c r="P461">
        <v>19.215299999999999</v>
      </c>
      <c r="Q461">
        <v>15.184200000000001</v>
      </c>
    </row>
    <row r="462" spans="1:17" x14ac:dyDescent="0.25">
      <c r="A462" t="str">
        <f>IF(C462&amp;G462&amp;D462&lt;&gt;'Funnel setup'!$K$3&amp;'Funnel setup'!$K$4&amp;'Funnel setup'!$K$6,".",IF(A461=".",1,A461+1))</f>
        <v>.</v>
      </c>
      <c r="B462" s="244" t="str">
        <f t="shared" si="7"/>
        <v>Hip Replacement PrimaryProviderPRACTICE PLUS GROUP HOSPITAL - ILFORD (NTP15)EQ VAS</v>
      </c>
      <c r="C462" t="s">
        <v>749</v>
      </c>
      <c r="D462" t="s">
        <v>965</v>
      </c>
      <c r="E462" t="s">
        <v>456</v>
      </c>
      <c r="F462" t="s">
        <v>457</v>
      </c>
      <c r="G462" t="s">
        <v>752</v>
      </c>
      <c r="H462">
        <v>49</v>
      </c>
      <c r="I462">
        <v>70.959199999999996</v>
      </c>
      <c r="J462">
        <v>79.959199999999996</v>
      </c>
      <c r="K462">
        <v>9</v>
      </c>
      <c r="L462">
        <v>29</v>
      </c>
      <c r="M462">
        <v>8</v>
      </c>
      <c r="N462">
        <v>12</v>
      </c>
      <c r="O462">
        <v>76.9636</v>
      </c>
      <c r="P462">
        <v>16.1523</v>
      </c>
      <c r="Q462">
        <v>15.9475</v>
      </c>
    </row>
    <row r="463" spans="1:17" x14ac:dyDescent="0.25">
      <c r="A463" t="str">
        <f>IF(C463&amp;G463&amp;D463&lt;&gt;'Funnel setup'!$K$3&amp;'Funnel setup'!$K$4&amp;'Funnel setup'!$K$6,".",IF(A462=".",1,A462+1))</f>
        <v>.</v>
      </c>
      <c r="B463" s="244" t="str">
        <f t="shared" si="7"/>
        <v>Hip Replacement PrimaryProviderPRACTICE PLUS GROUP HOSPITAL - PLYMOUTH (NTPH5)EQ VAS</v>
      </c>
      <c r="C463" t="s">
        <v>749</v>
      </c>
      <c r="D463" t="s">
        <v>965</v>
      </c>
      <c r="E463" t="s">
        <v>458</v>
      </c>
      <c r="F463" t="s">
        <v>459</v>
      </c>
      <c r="G463" t="s">
        <v>752</v>
      </c>
      <c r="H463">
        <v>167</v>
      </c>
      <c r="I463">
        <v>64.904200000000003</v>
      </c>
      <c r="J463">
        <v>76.089799999999997</v>
      </c>
      <c r="K463">
        <v>11.185600000000001</v>
      </c>
      <c r="L463">
        <v>112</v>
      </c>
      <c r="M463">
        <v>15</v>
      </c>
      <c r="N463">
        <v>40</v>
      </c>
      <c r="O463">
        <v>75.366799999999998</v>
      </c>
      <c r="P463">
        <v>14.5555</v>
      </c>
      <c r="Q463">
        <v>15.268700000000001</v>
      </c>
    </row>
    <row r="464" spans="1:17" x14ac:dyDescent="0.25">
      <c r="A464" t="str">
        <f>IF(C464&amp;G464&amp;D464&lt;&gt;'Funnel setup'!$K$3&amp;'Funnel setup'!$K$4&amp;'Funnel setup'!$K$6,".",IF(A463=".",1,A463+1))</f>
        <v>.</v>
      </c>
      <c r="B464" s="244" t="str">
        <f t="shared" si="7"/>
        <v>Hip Replacement PrimaryProviderPRACTICE PLUS GROUP HOSPITAL - SHEPTON MALLET (NTPH1)EQ VAS</v>
      </c>
      <c r="C464" t="s">
        <v>749</v>
      </c>
      <c r="D464" t="s">
        <v>965</v>
      </c>
      <c r="E464" t="s">
        <v>460</v>
      </c>
      <c r="F464" t="s">
        <v>461</v>
      </c>
      <c r="G464" t="s">
        <v>752</v>
      </c>
      <c r="H464">
        <v>259</v>
      </c>
      <c r="I464">
        <v>65.154399999999995</v>
      </c>
      <c r="J464">
        <v>81.748999999999995</v>
      </c>
      <c r="K464">
        <v>16.5946</v>
      </c>
      <c r="L464">
        <v>194</v>
      </c>
      <c r="M464">
        <v>22</v>
      </c>
      <c r="N464">
        <v>43</v>
      </c>
      <c r="O464">
        <v>79.284099999999995</v>
      </c>
      <c r="P464">
        <v>18.472899999999999</v>
      </c>
      <c r="Q464">
        <v>12.6953</v>
      </c>
    </row>
    <row r="465" spans="1:17" x14ac:dyDescent="0.25">
      <c r="A465" t="str">
        <f>IF(C465&amp;G465&amp;D465&lt;&gt;'Funnel setup'!$K$3&amp;'Funnel setup'!$K$4&amp;'Funnel setup'!$K$6,".",IF(A464=".",1,A464+1))</f>
        <v>.</v>
      </c>
      <c r="B465" s="244" t="str">
        <f t="shared" si="7"/>
        <v>Hip Replacement PrimaryProviderPRACTICE PLUS GROUP HOSPITAL - SOUTHAMPTON (NTP11)EQ VAS</v>
      </c>
      <c r="C465" t="s">
        <v>749</v>
      </c>
      <c r="D465" t="s">
        <v>965</v>
      </c>
      <c r="E465" t="s">
        <v>462</v>
      </c>
      <c r="F465" t="s">
        <v>463</v>
      </c>
      <c r="G465" t="s">
        <v>752</v>
      </c>
      <c r="H465">
        <v>61</v>
      </c>
      <c r="I465">
        <v>65.459000000000003</v>
      </c>
      <c r="J465">
        <v>79.442599999999999</v>
      </c>
      <c r="K465">
        <v>13.983599999999999</v>
      </c>
      <c r="L465">
        <v>42</v>
      </c>
      <c r="M465">
        <v>7</v>
      </c>
      <c r="N465">
        <v>12</v>
      </c>
      <c r="O465">
        <v>76.735500000000002</v>
      </c>
      <c r="P465">
        <v>15.924300000000001</v>
      </c>
      <c r="Q465">
        <v>18.020700000000001</v>
      </c>
    </row>
    <row r="466" spans="1:17" x14ac:dyDescent="0.25">
      <c r="A466" t="str">
        <f>IF(C466&amp;G466&amp;D466&lt;&gt;'Funnel setup'!$K$3&amp;'Funnel setup'!$K$4&amp;'Funnel setup'!$K$6,".",IF(A465=".",1,A465+1))</f>
        <v>.</v>
      </c>
      <c r="B466" s="244" t="str">
        <f t="shared" si="7"/>
        <v>Hip Replacement PrimaryProviderPRINCESS MARGARET HOSPITAL (NT428)EQ VAS</v>
      </c>
      <c r="C466" t="s">
        <v>749</v>
      </c>
      <c r="D466" t="s">
        <v>965</v>
      </c>
      <c r="E466" t="s">
        <v>464</v>
      </c>
      <c r="F466" t="s">
        <v>465</v>
      </c>
      <c r="G466" t="s">
        <v>752</v>
      </c>
      <c r="H466" t="s">
        <v>127</v>
      </c>
      <c r="I466" t="s">
        <v>127</v>
      </c>
      <c r="J466" t="s">
        <v>127</v>
      </c>
      <c r="K466" t="s">
        <v>127</v>
      </c>
      <c r="L466" t="s">
        <v>127</v>
      </c>
      <c r="M466" t="s">
        <v>127</v>
      </c>
      <c r="N466" t="s">
        <v>127</v>
      </c>
      <c r="O466" t="s">
        <v>127</v>
      </c>
      <c r="P466" t="s">
        <v>127</v>
      </c>
      <c r="Q466" t="s">
        <v>127</v>
      </c>
    </row>
    <row r="467" spans="1:17" x14ac:dyDescent="0.25">
      <c r="A467" t="str">
        <f>IF(C467&amp;G467&amp;D467&lt;&gt;'Funnel setup'!$K$3&amp;'Funnel setup'!$K$4&amp;'Funnel setup'!$K$6,".",IF(A466=".",1,A466+1))</f>
        <v>.</v>
      </c>
      <c r="B467" s="244" t="str">
        <f t="shared" si="7"/>
        <v>Hip Replacement PrimaryProviderPRIORY HOSPITAL (NT429)EQ VAS</v>
      </c>
      <c r="C467" t="s">
        <v>749</v>
      </c>
      <c r="D467" t="s">
        <v>965</v>
      </c>
      <c r="E467" t="s">
        <v>466</v>
      </c>
      <c r="F467" t="s">
        <v>467</v>
      </c>
      <c r="G467" t="s">
        <v>752</v>
      </c>
      <c r="H467">
        <v>10</v>
      </c>
      <c r="I467">
        <v>57.9</v>
      </c>
      <c r="J467">
        <v>75</v>
      </c>
      <c r="K467">
        <v>17.100000000000001</v>
      </c>
      <c r="L467">
        <v>7</v>
      </c>
      <c r="M467">
        <v>1</v>
      </c>
      <c r="N467">
        <v>2</v>
      </c>
      <c r="O467" t="s">
        <v>127</v>
      </c>
      <c r="P467" t="s">
        <v>127</v>
      </c>
      <c r="Q467" t="s">
        <v>127</v>
      </c>
    </row>
    <row r="468" spans="1:17" x14ac:dyDescent="0.25">
      <c r="A468" t="str">
        <f>IF(C468&amp;G468&amp;D468&lt;&gt;'Funnel setup'!$K$3&amp;'Funnel setup'!$K$4&amp;'Funnel setup'!$K$6,".",IF(A467=".",1,A467+1))</f>
        <v>.</v>
      </c>
      <c r="B468" s="244" t="str">
        <f t="shared" si="7"/>
        <v>Hip Replacement PrimaryProviderRENACRES HOSPITAL (NVC16)EQ VAS</v>
      </c>
      <c r="C468" t="s">
        <v>749</v>
      </c>
      <c r="D468" t="s">
        <v>965</v>
      </c>
      <c r="E468" t="s">
        <v>470</v>
      </c>
      <c r="F468" t="s">
        <v>471</v>
      </c>
      <c r="G468" t="s">
        <v>752</v>
      </c>
      <c r="H468">
        <v>78</v>
      </c>
      <c r="I468">
        <v>59.807699999999997</v>
      </c>
      <c r="J468">
        <v>78.2821</v>
      </c>
      <c r="K468">
        <v>18.474399999999999</v>
      </c>
      <c r="L468">
        <v>59</v>
      </c>
      <c r="M468">
        <v>10</v>
      </c>
      <c r="N468">
        <v>9</v>
      </c>
      <c r="O468">
        <v>77.530500000000004</v>
      </c>
      <c r="P468">
        <v>16.719200000000001</v>
      </c>
      <c r="Q468">
        <v>16.740200000000002</v>
      </c>
    </row>
    <row r="469" spans="1:17" x14ac:dyDescent="0.25">
      <c r="A469" t="str">
        <f>IF(C469&amp;G469&amp;D469&lt;&gt;'Funnel setup'!$K$3&amp;'Funnel setup'!$K$4&amp;'Funnel setup'!$K$6,".",IF(A468=".",1,A468+1))</f>
        <v>.</v>
      </c>
      <c r="B469" s="244" t="str">
        <f t="shared" si="7"/>
        <v>Hip Replacement PrimaryProviderRIDGEWAY HOSPITAL (NT430)EQ VAS</v>
      </c>
      <c r="C469" t="s">
        <v>749</v>
      </c>
      <c r="D469" t="s">
        <v>965</v>
      </c>
      <c r="E469" t="s">
        <v>472</v>
      </c>
      <c r="F469" t="s">
        <v>473</v>
      </c>
      <c r="G469" t="s">
        <v>752</v>
      </c>
      <c r="H469">
        <v>4</v>
      </c>
      <c r="I469">
        <v>78.75</v>
      </c>
      <c r="J469">
        <v>84.5</v>
      </c>
      <c r="K469">
        <v>5.75</v>
      </c>
      <c r="L469">
        <v>2</v>
      </c>
      <c r="M469">
        <v>0</v>
      </c>
      <c r="N469">
        <v>2</v>
      </c>
      <c r="O469" t="s">
        <v>127</v>
      </c>
      <c r="P469" t="s">
        <v>127</v>
      </c>
      <c r="Q469" t="s">
        <v>127</v>
      </c>
    </row>
    <row r="470" spans="1:17" x14ac:dyDescent="0.25">
      <c r="A470" t="str">
        <f>IF(C470&amp;G470&amp;D470&lt;&gt;'Funnel setup'!$K$3&amp;'Funnel setup'!$K$4&amp;'Funnel setup'!$K$6,".",IF(A469=".",1,A469+1))</f>
        <v>.</v>
      </c>
      <c r="B470" s="244" t="str">
        <f t="shared" si="7"/>
        <v>Hip Replacement PrimaryProviderRIVERS HOSPITAL (NVC19)EQ VAS</v>
      </c>
      <c r="C470" t="s">
        <v>749</v>
      </c>
      <c r="D470" t="s">
        <v>965</v>
      </c>
      <c r="E470" t="s">
        <v>474</v>
      </c>
      <c r="F470" t="s">
        <v>475</v>
      </c>
      <c r="G470" t="s">
        <v>752</v>
      </c>
      <c r="H470">
        <v>54</v>
      </c>
      <c r="I470">
        <v>66.370400000000004</v>
      </c>
      <c r="J470">
        <v>75.925899999999999</v>
      </c>
      <c r="K470">
        <v>9.5555599999999998</v>
      </c>
      <c r="L470">
        <v>35</v>
      </c>
      <c r="M470">
        <v>8</v>
      </c>
      <c r="N470">
        <v>11</v>
      </c>
      <c r="O470">
        <v>73.030900000000003</v>
      </c>
      <c r="P470">
        <v>12.2196</v>
      </c>
      <c r="Q470">
        <v>18.670200000000001</v>
      </c>
    </row>
    <row r="471" spans="1:17" x14ac:dyDescent="0.25">
      <c r="A471" t="str">
        <f>IF(C471&amp;G471&amp;D471&lt;&gt;'Funnel setup'!$K$3&amp;'Funnel setup'!$K$4&amp;'Funnel setup'!$K$6,".",IF(A470=".",1,A470+1))</f>
        <v>.</v>
      </c>
      <c r="B471" s="244" t="str">
        <f t="shared" si="7"/>
        <v>Hip Replacement PrimaryProviderROWLEY HALL HOSPITAL (NVC17)EQ VAS</v>
      </c>
      <c r="C471" t="s">
        <v>749</v>
      </c>
      <c r="D471" t="s">
        <v>965</v>
      </c>
      <c r="E471" t="s">
        <v>476</v>
      </c>
      <c r="F471" t="s">
        <v>477</v>
      </c>
      <c r="G471" t="s">
        <v>752</v>
      </c>
      <c r="H471">
        <v>49</v>
      </c>
      <c r="I471">
        <v>62.306100000000001</v>
      </c>
      <c r="J471">
        <v>77.122399999999999</v>
      </c>
      <c r="K471">
        <v>14.8163</v>
      </c>
      <c r="L471">
        <v>33</v>
      </c>
      <c r="M471">
        <v>6</v>
      </c>
      <c r="N471">
        <v>10</v>
      </c>
      <c r="O471">
        <v>76.860299999999995</v>
      </c>
      <c r="P471">
        <v>16.048999999999999</v>
      </c>
      <c r="Q471">
        <v>12.0236</v>
      </c>
    </row>
    <row r="472" spans="1:17" x14ac:dyDescent="0.25">
      <c r="A472" t="str">
        <f>IF(C472&amp;G472&amp;D472&lt;&gt;'Funnel setup'!$K$3&amp;'Funnel setup'!$K$4&amp;'Funnel setup'!$K$6,".",IF(A471=".",1,A471+1))</f>
        <v>.</v>
      </c>
      <c r="B472" s="244" t="str">
        <f t="shared" si="7"/>
        <v>Hip Replacement PrimaryProviderROYAL BERKSHIRE NHS FOUNDATION TRUST (RHW)EQ VAS</v>
      </c>
      <c r="C472" t="s">
        <v>749</v>
      </c>
      <c r="D472" t="s">
        <v>965</v>
      </c>
      <c r="E472" t="s">
        <v>478</v>
      </c>
      <c r="F472" t="s">
        <v>479</v>
      </c>
      <c r="G472" t="s">
        <v>752</v>
      </c>
      <c r="H472">
        <v>3</v>
      </c>
      <c r="I472">
        <v>26.333300000000001</v>
      </c>
      <c r="J472">
        <v>43.333300000000001</v>
      </c>
      <c r="K472">
        <v>17</v>
      </c>
      <c r="L472">
        <v>3</v>
      </c>
      <c r="M472">
        <v>0</v>
      </c>
      <c r="N472">
        <v>0</v>
      </c>
      <c r="O472" t="s">
        <v>127</v>
      </c>
      <c r="P472" t="s">
        <v>127</v>
      </c>
      <c r="Q472" t="s">
        <v>127</v>
      </c>
    </row>
    <row r="473" spans="1:17" x14ac:dyDescent="0.25">
      <c r="A473" t="str">
        <f>IF(C473&amp;G473&amp;D473&lt;&gt;'Funnel setup'!$K$3&amp;'Funnel setup'!$K$4&amp;'Funnel setup'!$K$6,".",IF(A472=".",1,A472+1))</f>
        <v>.</v>
      </c>
      <c r="B473" s="244" t="str">
        <f t="shared" si="7"/>
        <v>Hip Replacement PrimaryProviderROYAL CORNWALL HOSPITALS NHS TRUST (REF)EQ VAS</v>
      </c>
      <c r="C473" t="s">
        <v>749</v>
      </c>
      <c r="D473" t="s">
        <v>965</v>
      </c>
      <c r="E473" t="s">
        <v>480</v>
      </c>
      <c r="F473" t="s">
        <v>481</v>
      </c>
      <c r="G473" t="s">
        <v>752</v>
      </c>
      <c r="H473">
        <v>47</v>
      </c>
      <c r="I473">
        <v>68.766000000000005</v>
      </c>
      <c r="J473">
        <v>80.148899999999998</v>
      </c>
      <c r="K473">
        <v>11.382999999999999</v>
      </c>
      <c r="L473">
        <v>34</v>
      </c>
      <c r="M473">
        <v>3</v>
      </c>
      <c r="N473">
        <v>10</v>
      </c>
      <c r="O473">
        <v>77.365200000000002</v>
      </c>
      <c r="P473">
        <v>16.553899999999999</v>
      </c>
      <c r="Q473">
        <v>15.472099999999999</v>
      </c>
    </row>
    <row r="474" spans="1:17" x14ac:dyDescent="0.25">
      <c r="A474" t="str">
        <f>IF(C474&amp;G474&amp;D474&lt;&gt;'Funnel setup'!$K$3&amp;'Funnel setup'!$K$4&amp;'Funnel setup'!$K$6,".",IF(A473=".",1,A473+1))</f>
        <v>.</v>
      </c>
      <c r="B474" s="244" t="str">
        <f t="shared" si="7"/>
        <v>Hip Replacement PrimaryProviderROYAL DEVON UNIVERSITY HEALTHCARE NHS FOUNDATION TRUST (RH8)EQ VAS</v>
      </c>
      <c r="C474" t="s">
        <v>749</v>
      </c>
      <c r="D474" t="s">
        <v>965</v>
      </c>
      <c r="E474" t="s">
        <v>482</v>
      </c>
      <c r="F474" t="s">
        <v>483</v>
      </c>
      <c r="G474" t="s">
        <v>752</v>
      </c>
      <c r="H474">
        <v>2</v>
      </c>
      <c r="I474">
        <v>62.5</v>
      </c>
      <c r="J474">
        <v>70</v>
      </c>
      <c r="K474">
        <v>7.5</v>
      </c>
      <c r="L474">
        <v>1</v>
      </c>
      <c r="M474">
        <v>0</v>
      </c>
      <c r="N474">
        <v>1</v>
      </c>
      <c r="O474" t="s">
        <v>127</v>
      </c>
      <c r="P474" t="s">
        <v>127</v>
      </c>
      <c r="Q474" t="s">
        <v>127</v>
      </c>
    </row>
    <row r="475" spans="1:17" x14ac:dyDescent="0.25">
      <c r="A475" t="str">
        <f>IF(C475&amp;G475&amp;D475&lt;&gt;'Funnel setup'!$K$3&amp;'Funnel setup'!$K$4&amp;'Funnel setup'!$K$6,".",IF(A474=".",1,A474+1))</f>
        <v>.</v>
      </c>
      <c r="B475" s="244" t="str">
        <f t="shared" si="7"/>
        <v>Hip Replacement PrimaryProviderROYAL NATIONAL ORTHOPAEDIC HOSPITAL NHS TRUST (RAN)EQ VAS</v>
      </c>
      <c r="C475" t="s">
        <v>749</v>
      </c>
      <c r="D475" t="s">
        <v>965</v>
      </c>
      <c r="E475" t="s">
        <v>486</v>
      </c>
      <c r="F475" t="s">
        <v>487</v>
      </c>
      <c r="G475" t="s">
        <v>752</v>
      </c>
      <c r="H475">
        <v>67</v>
      </c>
      <c r="I475">
        <v>56.059699999999999</v>
      </c>
      <c r="J475">
        <v>64.925399999999996</v>
      </c>
      <c r="K475">
        <v>8.8656699999999997</v>
      </c>
      <c r="L475">
        <v>38</v>
      </c>
      <c r="M475">
        <v>9</v>
      </c>
      <c r="N475">
        <v>20</v>
      </c>
      <c r="O475">
        <v>69.158000000000001</v>
      </c>
      <c r="P475">
        <v>8.3467800000000008</v>
      </c>
      <c r="Q475">
        <v>17.9497</v>
      </c>
    </row>
    <row r="476" spans="1:17" x14ac:dyDescent="0.25">
      <c r="A476" t="str">
        <f>IF(C476&amp;G476&amp;D476&lt;&gt;'Funnel setup'!$K$3&amp;'Funnel setup'!$K$4&amp;'Funnel setup'!$K$6,".",IF(A475=".",1,A475+1))</f>
        <v>.</v>
      </c>
      <c r="B476" s="244" t="str">
        <f t="shared" si="7"/>
        <v>Hip Replacement PrimaryProviderROYAL SURREY COUNTY HOSPITAL NHS FOUNDATION TRUST (RA2)EQ VAS</v>
      </c>
      <c r="C476" t="s">
        <v>749</v>
      </c>
      <c r="D476" t="s">
        <v>965</v>
      </c>
      <c r="E476" t="s">
        <v>488</v>
      </c>
      <c r="F476" t="s">
        <v>489</v>
      </c>
      <c r="G476" t="s">
        <v>752</v>
      </c>
      <c r="H476">
        <v>73</v>
      </c>
      <c r="I476">
        <v>66.274000000000001</v>
      </c>
      <c r="J476">
        <v>76.178100000000001</v>
      </c>
      <c r="K476">
        <v>9.9041099999999993</v>
      </c>
      <c r="L476">
        <v>44</v>
      </c>
      <c r="M476">
        <v>6</v>
      </c>
      <c r="N476">
        <v>23</v>
      </c>
      <c r="O476">
        <v>74.841399999999993</v>
      </c>
      <c r="P476">
        <v>14.030099999999999</v>
      </c>
      <c r="Q476">
        <v>16.624700000000001</v>
      </c>
    </row>
    <row r="477" spans="1:17" x14ac:dyDescent="0.25">
      <c r="A477" t="str">
        <f>IF(C477&amp;G477&amp;D477&lt;&gt;'Funnel setup'!$K$3&amp;'Funnel setup'!$K$4&amp;'Funnel setup'!$K$6,".",IF(A476=".",1,A476+1))</f>
        <v>.</v>
      </c>
      <c r="B477" s="244" t="str">
        <f t="shared" si="7"/>
        <v>Hip Replacement PrimaryProviderROYAL UNITED HOSPITALS BATH NHS FOUNDATION TRUST (RD1)EQ VAS</v>
      </c>
      <c r="C477" t="s">
        <v>749</v>
      </c>
      <c r="D477" t="s">
        <v>965</v>
      </c>
      <c r="E477" t="s">
        <v>490</v>
      </c>
      <c r="F477" t="s">
        <v>491</v>
      </c>
      <c r="G477" t="s">
        <v>752</v>
      </c>
      <c r="H477">
        <v>7</v>
      </c>
      <c r="I477">
        <v>47.142899999999997</v>
      </c>
      <c r="J477">
        <v>63.285699999999999</v>
      </c>
      <c r="K477">
        <v>16.142900000000001</v>
      </c>
      <c r="L477">
        <v>4</v>
      </c>
      <c r="M477">
        <v>2</v>
      </c>
      <c r="N477">
        <v>1</v>
      </c>
      <c r="O477" t="s">
        <v>127</v>
      </c>
      <c r="P477" t="s">
        <v>127</v>
      </c>
      <c r="Q477" t="s">
        <v>127</v>
      </c>
    </row>
    <row r="478" spans="1:17" x14ac:dyDescent="0.25">
      <c r="A478" t="str">
        <f>IF(C478&amp;G478&amp;D478&lt;&gt;'Funnel setup'!$K$3&amp;'Funnel setup'!$K$4&amp;'Funnel setup'!$K$6,".",IF(A477=".",1,A477+1))</f>
        <v>.</v>
      </c>
      <c r="B478" s="244" t="str">
        <f t="shared" si="7"/>
        <v>Hip Replacement PrimaryProviderRUNNYMEDE HOSPITAL (NT431)EQ VAS</v>
      </c>
      <c r="C478" t="s">
        <v>749</v>
      </c>
      <c r="D478" t="s">
        <v>965</v>
      </c>
      <c r="E478" t="s">
        <v>492</v>
      </c>
      <c r="F478" t="s">
        <v>493</v>
      </c>
      <c r="G478" t="s">
        <v>752</v>
      </c>
      <c r="H478">
        <v>4</v>
      </c>
      <c r="I478">
        <v>71.25</v>
      </c>
      <c r="J478">
        <v>80</v>
      </c>
      <c r="K478">
        <v>8.75</v>
      </c>
      <c r="L478">
        <v>2</v>
      </c>
      <c r="M478">
        <v>1</v>
      </c>
      <c r="N478">
        <v>1</v>
      </c>
      <c r="O478" t="s">
        <v>127</v>
      </c>
      <c r="P478" t="s">
        <v>127</v>
      </c>
      <c r="Q478" t="s">
        <v>127</v>
      </c>
    </row>
    <row r="479" spans="1:17" x14ac:dyDescent="0.25">
      <c r="A479" t="str">
        <f>IF(C479&amp;G479&amp;D479&lt;&gt;'Funnel setup'!$K$3&amp;'Funnel setup'!$K$4&amp;'Funnel setup'!$K$6,".",IF(A478=".",1,A478+1))</f>
        <v>.</v>
      </c>
      <c r="B479" s="244" t="str">
        <f t="shared" si="7"/>
        <v>Hip Replacement PrimaryProviderSALISBURY NHS FOUNDATION TRUST (RNZ)EQ VAS</v>
      </c>
      <c r="C479" t="s">
        <v>749</v>
      </c>
      <c r="D479" t="s">
        <v>965</v>
      </c>
      <c r="E479" t="s">
        <v>494</v>
      </c>
      <c r="F479" t="s">
        <v>495</v>
      </c>
      <c r="G479" t="s">
        <v>752</v>
      </c>
      <c r="H479">
        <v>3</v>
      </c>
      <c r="I479">
        <v>48.333300000000001</v>
      </c>
      <c r="J479">
        <v>74.666700000000006</v>
      </c>
      <c r="K479">
        <v>26.333300000000001</v>
      </c>
      <c r="L479">
        <v>3</v>
      </c>
      <c r="M479">
        <v>0</v>
      </c>
      <c r="N479">
        <v>0</v>
      </c>
      <c r="O479" t="s">
        <v>127</v>
      </c>
      <c r="P479" t="s">
        <v>127</v>
      </c>
      <c r="Q479" t="s">
        <v>127</v>
      </c>
    </row>
    <row r="480" spans="1:17" x14ac:dyDescent="0.25">
      <c r="A480" t="str">
        <f>IF(C480&amp;G480&amp;D480&lt;&gt;'Funnel setup'!$K$3&amp;'Funnel setup'!$K$4&amp;'Funnel setup'!$K$6,".",IF(A479=".",1,A479+1))</f>
        <v>.</v>
      </c>
      <c r="B480" s="244" t="str">
        <f t="shared" si="7"/>
        <v>Hip Replacement PrimaryProviderSANDWELL AND WEST BIRMINGHAM HOSPITALS NHS TRUST (RXK)EQ VAS</v>
      </c>
      <c r="C480" t="s">
        <v>749</v>
      </c>
      <c r="D480" t="s">
        <v>965</v>
      </c>
      <c r="E480" t="s">
        <v>496</v>
      </c>
      <c r="F480" t="s">
        <v>497</v>
      </c>
      <c r="G480" t="s">
        <v>752</v>
      </c>
      <c r="H480">
        <v>39</v>
      </c>
      <c r="I480">
        <v>63.179499999999997</v>
      </c>
      <c r="J480">
        <v>71.307699999999997</v>
      </c>
      <c r="K480">
        <v>8.1282099999999993</v>
      </c>
      <c r="L480">
        <v>24</v>
      </c>
      <c r="M480">
        <v>3</v>
      </c>
      <c r="N480">
        <v>12</v>
      </c>
      <c r="O480">
        <v>75.377200000000002</v>
      </c>
      <c r="P480">
        <v>14.565899999999999</v>
      </c>
      <c r="Q480">
        <v>16.958100000000002</v>
      </c>
    </row>
    <row r="481" spans="1:17" x14ac:dyDescent="0.25">
      <c r="A481" t="str">
        <f>IF(C481&amp;G481&amp;D481&lt;&gt;'Funnel setup'!$K$3&amp;'Funnel setup'!$K$4&amp;'Funnel setup'!$K$6,".",IF(A480=".",1,A480+1))</f>
        <v>.</v>
      </c>
      <c r="B481" s="244" t="str">
        <f t="shared" si="7"/>
        <v>Hip Replacement PrimaryProviderSARUM ROAD HOSPITAL (NT433)EQ VAS</v>
      </c>
      <c r="C481" t="s">
        <v>749</v>
      </c>
      <c r="D481" t="s">
        <v>965</v>
      </c>
      <c r="E481" t="s">
        <v>498</v>
      </c>
      <c r="F481" t="s">
        <v>499</v>
      </c>
      <c r="G481" t="s">
        <v>752</v>
      </c>
      <c r="H481">
        <v>31</v>
      </c>
      <c r="I481">
        <v>63.967700000000001</v>
      </c>
      <c r="J481">
        <v>82.935500000000005</v>
      </c>
      <c r="K481">
        <v>18.967700000000001</v>
      </c>
      <c r="L481">
        <v>25</v>
      </c>
      <c r="M481">
        <v>1</v>
      </c>
      <c r="N481">
        <v>5</v>
      </c>
      <c r="O481">
        <v>80.301900000000003</v>
      </c>
      <c r="P481">
        <v>19.4907</v>
      </c>
      <c r="Q481">
        <v>9.5810200000000005</v>
      </c>
    </row>
    <row r="482" spans="1:17" x14ac:dyDescent="0.25">
      <c r="A482" t="str">
        <f>IF(C482&amp;G482&amp;D482&lt;&gt;'Funnel setup'!$K$3&amp;'Funnel setup'!$K$4&amp;'Funnel setup'!$K$6,".",IF(A481=".",1,A481+1))</f>
        <v>.</v>
      </c>
      <c r="B482" s="244" t="str">
        <f t="shared" si="7"/>
        <v>Hip Replacement PrimaryProviderSAXON CLINIC (NT434)EQ VAS</v>
      </c>
      <c r="C482" t="s">
        <v>749</v>
      </c>
      <c r="D482" t="s">
        <v>965</v>
      </c>
      <c r="E482" t="s">
        <v>500</v>
      </c>
      <c r="F482" t="s">
        <v>501</v>
      </c>
      <c r="G482" t="s">
        <v>752</v>
      </c>
      <c r="H482">
        <v>13</v>
      </c>
      <c r="I482">
        <v>54.153799999999997</v>
      </c>
      <c r="J482">
        <v>85.461500000000001</v>
      </c>
      <c r="K482">
        <v>31.307700000000001</v>
      </c>
      <c r="L482">
        <v>12</v>
      </c>
      <c r="M482">
        <v>0</v>
      </c>
      <c r="N482">
        <v>1</v>
      </c>
      <c r="O482" t="s">
        <v>127</v>
      </c>
      <c r="P482" t="s">
        <v>127</v>
      </c>
      <c r="Q482" t="s">
        <v>127</v>
      </c>
    </row>
    <row r="483" spans="1:17" x14ac:dyDescent="0.25">
      <c r="A483" t="str">
        <f>IF(C483&amp;G483&amp;D483&lt;&gt;'Funnel setup'!$K$3&amp;'Funnel setup'!$K$4&amp;'Funnel setup'!$K$6,".",IF(A482=".",1,A482+1))</f>
        <v>.</v>
      </c>
      <c r="B483" s="244" t="str">
        <f t="shared" si="7"/>
        <v>Hip Replacement PrimaryProviderSHEFFIELD TEACHING HOSPITALS NHS FOUNDATION TRUST (RHQ)EQ VAS</v>
      </c>
      <c r="C483" t="s">
        <v>749</v>
      </c>
      <c r="D483" t="s">
        <v>965</v>
      </c>
      <c r="E483" t="s">
        <v>506</v>
      </c>
      <c r="F483" t="s">
        <v>507</v>
      </c>
      <c r="G483" t="s">
        <v>752</v>
      </c>
      <c r="H483">
        <v>30</v>
      </c>
      <c r="I483">
        <v>61.2667</v>
      </c>
      <c r="J483">
        <v>75.5</v>
      </c>
      <c r="K483">
        <v>14.2333</v>
      </c>
      <c r="L483">
        <v>22</v>
      </c>
      <c r="M483">
        <v>1</v>
      </c>
      <c r="N483">
        <v>7</v>
      </c>
      <c r="O483">
        <v>74.3292</v>
      </c>
      <c r="P483">
        <v>13.517899999999999</v>
      </c>
      <c r="Q483">
        <v>16.096399999999999</v>
      </c>
    </row>
    <row r="484" spans="1:17" x14ac:dyDescent="0.25">
      <c r="A484" t="str">
        <f>IF(C484&amp;G484&amp;D484&lt;&gt;'Funnel setup'!$K$3&amp;'Funnel setup'!$K$4&amp;'Funnel setup'!$K$6,".",IF(A483=".",1,A483+1))</f>
        <v>.</v>
      </c>
      <c r="B484" s="244" t="str">
        <f t="shared" si="7"/>
        <v>Hip Replacement PrimaryProviderSHERWOOD FOREST HOSPITALS NHS FOUNDATION TRUST (RK5)EQ VAS</v>
      </c>
      <c r="C484" t="s">
        <v>749</v>
      </c>
      <c r="D484" t="s">
        <v>965</v>
      </c>
      <c r="E484" t="s">
        <v>508</v>
      </c>
      <c r="F484" t="s">
        <v>509</v>
      </c>
      <c r="G484" t="s">
        <v>752</v>
      </c>
      <c r="H484">
        <v>70</v>
      </c>
      <c r="I484">
        <v>52.285699999999999</v>
      </c>
      <c r="J484">
        <v>75.314300000000003</v>
      </c>
      <c r="K484">
        <v>23.028600000000001</v>
      </c>
      <c r="L484">
        <v>54</v>
      </c>
      <c r="M484">
        <v>6</v>
      </c>
      <c r="N484">
        <v>10</v>
      </c>
      <c r="O484">
        <v>77.9709</v>
      </c>
      <c r="P484">
        <v>17.159700000000001</v>
      </c>
      <c r="Q484">
        <v>16.6281</v>
      </c>
    </row>
    <row r="485" spans="1:17" x14ac:dyDescent="0.25">
      <c r="A485" t="str">
        <f>IF(C485&amp;G485&amp;D485&lt;&gt;'Funnel setup'!$K$3&amp;'Funnel setup'!$K$4&amp;'Funnel setup'!$K$6,".",IF(A484=".",1,A484+1))</f>
        <v>.</v>
      </c>
      <c r="B485" s="244" t="str">
        <f t="shared" si="7"/>
        <v>Hip Replacement PrimaryProviderSHIRLEY OAKS HOSPITAL (NT436)EQ VAS</v>
      </c>
      <c r="C485" t="s">
        <v>749</v>
      </c>
      <c r="D485" t="s">
        <v>965</v>
      </c>
      <c r="E485" t="s">
        <v>510</v>
      </c>
      <c r="F485" t="s">
        <v>511</v>
      </c>
      <c r="G485" t="s">
        <v>752</v>
      </c>
      <c r="H485">
        <v>2</v>
      </c>
      <c r="I485">
        <v>67.5</v>
      </c>
      <c r="J485">
        <v>75</v>
      </c>
      <c r="K485">
        <v>7.5</v>
      </c>
      <c r="L485">
        <v>1</v>
      </c>
      <c r="M485">
        <v>0</v>
      </c>
      <c r="N485">
        <v>1</v>
      </c>
      <c r="O485" t="s">
        <v>127</v>
      </c>
      <c r="P485" t="s">
        <v>127</v>
      </c>
      <c r="Q485" t="s">
        <v>127</v>
      </c>
    </row>
    <row r="486" spans="1:17" x14ac:dyDescent="0.25">
      <c r="A486" t="str">
        <f>IF(C486&amp;G486&amp;D486&lt;&gt;'Funnel setup'!$K$3&amp;'Funnel setup'!$K$4&amp;'Funnel setup'!$K$6,".",IF(A485=".",1,A485+1))</f>
        <v>.</v>
      </c>
      <c r="B486" s="244" t="str">
        <f t="shared" si="7"/>
        <v>Hip Replacement PrimaryProviderSLOANE HOSPITAL (NT437)EQ VAS</v>
      </c>
      <c r="C486" t="s">
        <v>749</v>
      </c>
      <c r="D486" t="s">
        <v>965</v>
      </c>
      <c r="E486" t="s">
        <v>512</v>
      </c>
      <c r="F486" t="s">
        <v>513</v>
      </c>
      <c r="G486" t="s">
        <v>752</v>
      </c>
      <c r="H486">
        <v>2</v>
      </c>
      <c r="I486">
        <v>49.5</v>
      </c>
      <c r="J486">
        <v>93</v>
      </c>
      <c r="K486">
        <v>43.5</v>
      </c>
      <c r="L486">
        <v>2</v>
      </c>
      <c r="M486">
        <v>0</v>
      </c>
      <c r="N486">
        <v>0</v>
      </c>
      <c r="O486" t="s">
        <v>127</v>
      </c>
      <c r="P486" t="s">
        <v>127</v>
      </c>
      <c r="Q486" t="s">
        <v>127</v>
      </c>
    </row>
    <row r="487" spans="1:17" x14ac:dyDescent="0.25">
      <c r="A487" t="str">
        <f>IF(C487&amp;G487&amp;D487&lt;&gt;'Funnel setup'!$K$3&amp;'Funnel setup'!$K$4&amp;'Funnel setup'!$K$6,".",IF(A486=".",1,A486+1))</f>
        <v>.</v>
      </c>
      <c r="B487" s="244" t="str">
        <f t="shared" si="7"/>
        <v>Hip Replacement PrimaryProviderSOUTH TEES HOSPITALS NHS FOUNDATION TRUST (RTR)EQ VAS</v>
      </c>
      <c r="C487" t="s">
        <v>749</v>
      </c>
      <c r="D487" t="s">
        <v>965</v>
      </c>
      <c r="E487" t="s">
        <v>516</v>
      </c>
      <c r="F487" t="s">
        <v>517</v>
      </c>
      <c r="G487" t="s">
        <v>752</v>
      </c>
      <c r="H487">
        <v>161</v>
      </c>
      <c r="I487">
        <v>58.465800000000002</v>
      </c>
      <c r="J487">
        <v>75.471999999999994</v>
      </c>
      <c r="K487">
        <v>17.0062</v>
      </c>
      <c r="L487">
        <v>116</v>
      </c>
      <c r="M487">
        <v>9</v>
      </c>
      <c r="N487">
        <v>36</v>
      </c>
      <c r="O487">
        <v>79.3322</v>
      </c>
      <c r="P487">
        <v>18.521000000000001</v>
      </c>
      <c r="Q487">
        <v>17.977900000000002</v>
      </c>
    </row>
    <row r="488" spans="1:17" x14ac:dyDescent="0.25">
      <c r="A488" t="str">
        <f>IF(C488&amp;G488&amp;D488&lt;&gt;'Funnel setup'!$K$3&amp;'Funnel setup'!$K$4&amp;'Funnel setup'!$K$6,".",IF(A487=".",1,A487+1))</f>
        <v>.</v>
      </c>
      <c r="B488" s="244" t="str">
        <f t="shared" si="7"/>
        <v>Hip Replacement PrimaryProviderSOUTH TYNESIDE AND SUNDERLAND NHS FOUNDATION TRUST (R0B)EQ VAS</v>
      </c>
      <c r="C488" t="s">
        <v>749</v>
      </c>
      <c r="D488" t="s">
        <v>965</v>
      </c>
      <c r="E488" t="s">
        <v>518</v>
      </c>
      <c r="F488" t="s">
        <v>519</v>
      </c>
      <c r="G488" t="s">
        <v>752</v>
      </c>
      <c r="H488">
        <v>22</v>
      </c>
      <c r="I488">
        <v>46.5</v>
      </c>
      <c r="J488">
        <v>63</v>
      </c>
      <c r="K488">
        <v>16.5</v>
      </c>
      <c r="L488">
        <v>16</v>
      </c>
      <c r="M488">
        <v>1</v>
      </c>
      <c r="N488">
        <v>5</v>
      </c>
      <c r="O488" t="s">
        <v>127</v>
      </c>
      <c r="P488" t="s">
        <v>127</v>
      </c>
      <c r="Q488" t="s">
        <v>127</v>
      </c>
    </row>
    <row r="489" spans="1:17" x14ac:dyDescent="0.25">
      <c r="A489" t="str">
        <f>IF(C489&amp;G489&amp;D489&lt;&gt;'Funnel setup'!$K$3&amp;'Funnel setup'!$K$4&amp;'Funnel setup'!$K$6,".",IF(A488=".",1,A488+1))</f>
        <v>.</v>
      </c>
      <c r="B489" s="244" t="str">
        <f t="shared" si="7"/>
        <v>Hip Replacement PrimaryProviderSOUTH WARWICKSHIRE UNIVERSITY NHS FOUNDATION TRUST (RJC)EQ VAS</v>
      </c>
      <c r="C489" t="s">
        <v>749</v>
      </c>
      <c r="D489" t="s">
        <v>965</v>
      </c>
      <c r="E489" t="s">
        <v>520</v>
      </c>
      <c r="F489" t="s">
        <v>521</v>
      </c>
      <c r="G489" t="s">
        <v>752</v>
      </c>
      <c r="H489">
        <v>177</v>
      </c>
      <c r="I489">
        <v>64.853099999999998</v>
      </c>
      <c r="J489">
        <v>78.807900000000004</v>
      </c>
      <c r="K489">
        <v>13.954800000000001</v>
      </c>
      <c r="L489">
        <v>116</v>
      </c>
      <c r="M489">
        <v>23</v>
      </c>
      <c r="N489">
        <v>38</v>
      </c>
      <c r="O489">
        <v>76.595799999999997</v>
      </c>
      <c r="P489">
        <v>15.7845</v>
      </c>
      <c r="Q489">
        <v>14.537699999999999</v>
      </c>
    </row>
    <row r="490" spans="1:17" x14ac:dyDescent="0.25">
      <c r="A490" t="str">
        <f>IF(C490&amp;G490&amp;D490&lt;&gt;'Funnel setup'!$K$3&amp;'Funnel setup'!$K$4&amp;'Funnel setup'!$K$6,".",IF(A489=".",1,A489+1))</f>
        <v>.</v>
      </c>
      <c r="B490" s="244" t="str">
        <f t="shared" si="7"/>
        <v>Hip Replacement PrimaryProviderSOUTHPORT AND ORMSKIRK HOSPITAL NHS TRUST (RVY)EQ VAS</v>
      </c>
      <c r="C490" t="s">
        <v>749</v>
      </c>
      <c r="D490" t="s">
        <v>965</v>
      </c>
      <c r="E490" t="s">
        <v>522</v>
      </c>
      <c r="F490" t="s">
        <v>523</v>
      </c>
      <c r="G490" t="s">
        <v>752</v>
      </c>
      <c r="H490">
        <v>9</v>
      </c>
      <c r="I490">
        <v>62</v>
      </c>
      <c r="J490">
        <v>74.666700000000006</v>
      </c>
      <c r="K490">
        <v>12.666700000000001</v>
      </c>
      <c r="L490">
        <v>7</v>
      </c>
      <c r="M490">
        <v>0</v>
      </c>
      <c r="N490">
        <v>2</v>
      </c>
      <c r="O490" t="s">
        <v>127</v>
      </c>
      <c r="P490" t="s">
        <v>127</v>
      </c>
      <c r="Q490" t="s">
        <v>127</v>
      </c>
    </row>
    <row r="491" spans="1:17" x14ac:dyDescent="0.25">
      <c r="A491" t="str">
        <f>IF(C491&amp;G491&amp;D491&lt;&gt;'Funnel setup'!$K$3&amp;'Funnel setup'!$K$4&amp;'Funnel setup'!$K$6,".",IF(A490=".",1,A490+1))</f>
        <v>.</v>
      </c>
      <c r="B491" s="244" t="str">
        <f t="shared" si="7"/>
        <v>Hip Replacement PrimaryProviderSPENCER PRIVATE HOSPITALS - MARGATE (NN801)EQ VAS</v>
      </c>
      <c r="C491" t="s">
        <v>749</v>
      </c>
      <c r="D491" t="s">
        <v>965</v>
      </c>
      <c r="E491" t="s">
        <v>526</v>
      </c>
      <c r="F491" t="s">
        <v>527</v>
      </c>
      <c r="G491" t="s">
        <v>752</v>
      </c>
      <c r="H491">
        <v>17</v>
      </c>
      <c r="I491">
        <v>59.411799999999999</v>
      </c>
      <c r="J491">
        <v>76.176500000000004</v>
      </c>
      <c r="K491">
        <v>16.764700000000001</v>
      </c>
      <c r="L491">
        <v>12</v>
      </c>
      <c r="M491">
        <v>5</v>
      </c>
      <c r="N491">
        <v>0</v>
      </c>
      <c r="O491" t="s">
        <v>127</v>
      </c>
      <c r="P491" t="s">
        <v>127</v>
      </c>
      <c r="Q491" t="s">
        <v>127</v>
      </c>
    </row>
    <row r="492" spans="1:17" x14ac:dyDescent="0.25">
      <c r="A492" t="str">
        <f>IF(C492&amp;G492&amp;D492&lt;&gt;'Funnel setup'!$K$3&amp;'Funnel setup'!$K$4&amp;'Funnel setup'!$K$6,".",IF(A491=".",1,A491+1))</f>
        <v>.</v>
      </c>
      <c r="B492" s="244" t="str">
        <f t="shared" si="7"/>
        <v>Hip Replacement PrimaryProviderSPIRE ALEXANDRA HOSPITAL (NT312)EQ VAS</v>
      </c>
      <c r="C492" t="s">
        <v>749</v>
      </c>
      <c r="D492" t="s">
        <v>965</v>
      </c>
      <c r="E492" t="s">
        <v>528</v>
      </c>
      <c r="F492" t="s">
        <v>529</v>
      </c>
      <c r="G492" t="s">
        <v>752</v>
      </c>
      <c r="H492">
        <v>13</v>
      </c>
      <c r="I492">
        <v>70.076899999999995</v>
      </c>
      <c r="J492">
        <v>83.846199999999996</v>
      </c>
      <c r="K492">
        <v>13.7692</v>
      </c>
      <c r="L492">
        <v>10</v>
      </c>
      <c r="M492">
        <v>1</v>
      </c>
      <c r="N492">
        <v>2</v>
      </c>
      <c r="O492" t="s">
        <v>127</v>
      </c>
      <c r="P492" t="s">
        <v>127</v>
      </c>
      <c r="Q492" t="s">
        <v>127</v>
      </c>
    </row>
    <row r="493" spans="1:17" x14ac:dyDescent="0.25">
      <c r="A493" t="str">
        <f>IF(C493&amp;G493&amp;D493&lt;&gt;'Funnel setup'!$K$3&amp;'Funnel setup'!$K$4&amp;'Funnel setup'!$K$6,".",IF(A492=".",1,A492+1))</f>
        <v>.</v>
      </c>
      <c r="B493" s="244" t="str">
        <f t="shared" si="7"/>
        <v>Hip Replacement PrimaryProviderSPIRE BRISTOL HOSPITAL (NT302)EQ VAS</v>
      </c>
      <c r="C493" t="s">
        <v>749</v>
      </c>
      <c r="D493" t="s">
        <v>965</v>
      </c>
      <c r="E493" t="s">
        <v>530</v>
      </c>
      <c r="F493" t="s">
        <v>531</v>
      </c>
      <c r="G493" t="s">
        <v>752</v>
      </c>
      <c r="H493">
        <v>56</v>
      </c>
      <c r="I493">
        <v>66.285700000000006</v>
      </c>
      <c r="J493">
        <v>76.910700000000006</v>
      </c>
      <c r="K493">
        <v>10.625</v>
      </c>
      <c r="L493">
        <v>41</v>
      </c>
      <c r="M493">
        <v>4</v>
      </c>
      <c r="N493">
        <v>11</v>
      </c>
      <c r="O493">
        <v>73.1327</v>
      </c>
      <c r="P493">
        <v>12.321400000000001</v>
      </c>
      <c r="Q493">
        <v>19.7257</v>
      </c>
    </row>
    <row r="494" spans="1:17" x14ac:dyDescent="0.25">
      <c r="A494" t="str">
        <f>IF(C494&amp;G494&amp;D494&lt;&gt;'Funnel setup'!$K$3&amp;'Funnel setup'!$K$4&amp;'Funnel setup'!$K$6,".",IF(A493=".",1,A493+1))</f>
        <v>.</v>
      </c>
      <c r="B494" s="244" t="str">
        <f t="shared" si="7"/>
        <v>Hip Replacement PrimaryProviderSPIRE BUSHEY HOSPITAL (NT315)EQ VAS</v>
      </c>
      <c r="C494" t="s">
        <v>749</v>
      </c>
      <c r="D494" t="s">
        <v>965</v>
      </c>
      <c r="E494" t="s">
        <v>532</v>
      </c>
      <c r="F494" t="s">
        <v>533</v>
      </c>
      <c r="G494" t="s">
        <v>752</v>
      </c>
      <c r="H494">
        <v>1</v>
      </c>
      <c r="I494">
        <v>90</v>
      </c>
      <c r="J494">
        <v>100</v>
      </c>
      <c r="K494">
        <v>10</v>
      </c>
      <c r="L494">
        <v>1</v>
      </c>
      <c r="M494">
        <v>0</v>
      </c>
      <c r="N494">
        <v>0</v>
      </c>
      <c r="O494" t="s">
        <v>127</v>
      </c>
      <c r="P494" t="s">
        <v>127</v>
      </c>
      <c r="Q494" t="s">
        <v>127</v>
      </c>
    </row>
    <row r="495" spans="1:17" x14ac:dyDescent="0.25">
      <c r="A495" t="str">
        <f>IF(C495&amp;G495&amp;D495&lt;&gt;'Funnel setup'!$K$3&amp;'Funnel setup'!$K$4&amp;'Funnel setup'!$K$6,".",IF(A494=".",1,A494+1))</f>
        <v>.</v>
      </c>
      <c r="B495" s="244" t="str">
        <f t="shared" si="7"/>
        <v>Hip Replacement PrimaryProviderSPIRE CAMBRIDGE LEA HOSPITAL (NT317)EQ VAS</v>
      </c>
      <c r="C495" t="s">
        <v>749</v>
      </c>
      <c r="D495" t="s">
        <v>965</v>
      </c>
      <c r="E495" t="s">
        <v>534</v>
      </c>
      <c r="F495" t="s">
        <v>535</v>
      </c>
      <c r="G495" t="s">
        <v>752</v>
      </c>
      <c r="H495">
        <v>33</v>
      </c>
      <c r="I495">
        <v>70.333299999999994</v>
      </c>
      <c r="J495">
        <v>81.697000000000003</v>
      </c>
      <c r="K495">
        <v>11.3636</v>
      </c>
      <c r="L495">
        <v>21</v>
      </c>
      <c r="M495">
        <v>4</v>
      </c>
      <c r="N495">
        <v>8</v>
      </c>
      <c r="O495">
        <v>77.114400000000003</v>
      </c>
      <c r="P495">
        <v>16.3032</v>
      </c>
      <c r="Q495">
        <v>14.480700000000001</v>
      </c>
    </row>
    <row r="496" spans="1:17" x14ac:dyDescent="0.25">
      <c r="A496" t="str">
        <f>IF(C496&amp;G496&amp;D496&lt;&gt;'Funnel setup'!$K$3&amp;'Funnel setup'!$K$4&amp;'Funnel setup'!$K$6,".",IF(A495=".",1,A495+1))</f>
        <v>.</v>
      </c>
      <c r="B496" s="244" t="str">
        <f t="shared" si="7"/>
        <v>Hip Replacement PrimaryProviderSPIRE CHESHIRE HOSPITAL (NT324)EQ VAS</v>
      </c>
      <c r="C496" t="s">
        <v>749</v>
      </c>
      <c r="D496" t="s">
        <v>965</v>
      </c>
      <c r="E496" t="s">
        <v>536</v>
      </c>
      <c r="F496" t="s">
        <v>537</v>
      </c>
      <c r="G496" t="s">
        <v>752</v>
      </c>
      <c r="H496">
        <v>23</v>
      </c>
      <c r="I496">
        <v>62.391300000000001</v>
      </c>
      <c r="J496">
        <v>76.434799999999996</v>
      </c>
      <c r="K496">
        <v>14.0435</v>
      </c>
      <c r="L496">
        <v>17</v>
      </c>
      <c r="M496">
        <v>2</v>
      </c>
      <c r="N496">
        <v>4</v>
      </c>
      <c r="O496" t="s">
        <v>127</v>
      </c>
      <c r="P496" t="s">
        <v>127</v>
      </c>
      <c r="Q496" t="s">
        <v>127</v>
      </c>
    </row>
    <row r="497" spans="1:17" x14ac:dyDescent="0.25">
      <c r="A497" t="str">
        <f>IF(C497&amp;G497&amp;D497&lt;&gt;'Funnel setup'!$K$3&amp;'Funnel setup'!$K$4&amp;'Funnel setup'!$K$6,".",IF(A496=".",1,A496+1))</f>
        <v>.</v>
      </c>
      <c r="B497" s="244" t="str">
        <f t="shared" si="7"/>
        <v>Hip Replacement PrimaryProviderSPIRE CLARE PARK HOSPITAL (NT345)EQ VAS</v>
      </c>
      <c r="C497" t="s">
        <v>749</v>
      </c>
      <c r="D497" t="s">
        <v>965</v>
      </c>
      <c r="E497" t="s">
        <v>538</v>
      </c>
      <c r="F497" t="s">
        <v>539</v>
      </c>
      <c r="G497" t="s">
        <v>752</v>
      </c>
      <c r="H497">
        <v>13</v>
      </c>
      <c r="I497">
        <v>63.846200000000003</v>
      </c>
      <c r="J497">
        <v>71.846199999999996</v>
      </c>
      <c r="K497">
        <v>8</v>
      </c>
      <c r="L497">
        <v>7</v>
      </c>
      <c r="M497">
        <v>0</v>
      </c>
      <c r="N497">
        <v>6</v>
      </c>
      <c r="O497" t="s">
        <v>127</v>
      </c>
      <c r="P497" t="s">
        <v>127</v>
      </c>
      <c r="Q497" t="s">
        <v>127</v>
      </c>
    </row>
    <row r="498" spans="1:17" x14ac:dyDescent="0.25">
      <c r="A498" t="str">
        <f>IF(C498&amp;G498&amp;D498&lt;&gt;'Funnel setup'!$K$3&amp;'Funnel setup'!$K$4&amp;'Funnel setup'!$K$6,".",IF(A497=".",1,A497+1))</f>
        <v>.</v>
      </c>
      <c r="B498" s="244" t="str">
        <f t="shared" si="7"/>
        <v>Hip Replacement PrimaryProviderSPIRE DUNEDIN HOSPITAL (NT344)EQ VAS</v>
      </c>
      <c r="C498" t="s">
        <v>749</v>
      </c>
      <c r="D498" t="s">
        <v>965</v>
      </c>
      <c r="E498" t="s">
        <v>540</v>
      </c>
      <c r="F498" t="s">
        <v>541</v>
      </c>
      <c r="G498" t="s">
        <v>752</v>
      </c>
      <c r="H498">
        <v>1</v>
      </c>
      <c r="I498">
        <v>50</v>
      </c>
      <c r="J498">
        <v>60</v>
      </c>
      <c r="K498">
        <v>10</v>
      </c>
      <c r="L498">
        <v>1</v>
      </c>
      <c r="M498">
        <v>0</v>
      </c>
      <c r="N498">
        <v>0</v>
      </c>
      <c r="O498" t="s">
        <v>127</v>
      </c>
      <c r="P498" t="s">
        <v>127</v>
      </c>
      <c r="Q498" t="s">
        <v>127</v>
      </c>
    </row>
    <row r="499" spans="1:17" x14ac:dyDescent="0.25">
      <c r="A499" t="str">
        <f>IF(C499&amp;G499&amp;D499&lt;&gt;'Funnel setup'!$K$3&amp;'Funnel setup'!$K$4&amp;'Funnel setup'!$K$6,".",IF(A498=".",1,A498+1))</f>
        <v>.</v>
      </c>
      <c r="B499" s="244" t="str">
        <f t="shared" si="7"/>
        <v>Hip Replacement PrimaryProviderSPIRE ELLAND HOSPITAL (NT348)EQ VAS</v>
      </c>
      <c r="C499" t="s">
        <v>749</v>
      </c>
      <c r="D499" t="s">
        <v>965</v>
      </c>
      <c r="E499" t="s">
        <v>542</v>
      </c>
      <c r="F499" t="s">
        <v>543</v>
      </c>
      <c r="G499" t="s">
        <v>752</v>
      </c>
      <c r="H499">
        <v>14</v>
      </c>
      <c r="I499">
        <v>65.357100000000003</v>
      </c>
      <c r="J499">
        <v>76.357100000000003</v>
      </c>
      <c r="K499">
        <v>11</v>
      </c>
      <c r="L499">
        <v>11</v>
      </c>
      <c r="M499">
        <v>0</v>
      </c>
      <c r="N499">
        <v>3</v>
      </c>
      <c r="O499" t="s">
        <v>127</v>
      </c>
      <c r="P499" t="s">
        <v>127</v>
      </c>
      <c r="Q499" t="s">
        <v>127</v>
      </c>
    </row>
    <row r="500" spans="1:17" x14ac:dyDescent="0.25">
      <c r="A500" t="str">
        <f>IF(C500&amp;G500&amp;D500&lt;&gt;'Funnel setup'!$K$3&amp;'Funnel setup'!$K$4&amp;'Funnel setup'!$K$6,".",IF(A499=".",1,A499+1))</f>
        <v>.</v>
      </c>
      <c r="B500" s="244" t="str">
        <f t="shared" si="7"/>
        <v>Hip Replacement PrimaryProviderSPIRE FYLDE COAST HOSPITAL (NT347)EQ VAS</v>
      </c>
      <c r="C500" t="s">
        <v>749</v>
      </c>
      <c r="D500" t="s">
        <v>965</v>
      </c>
      <c r="E500" t="s">
        <v>544</v>
      </c>
      <c r="F500" t="s">
        <v>545</v>
      </c>
      <c r="G500" t="s">
        <v>752</v>
      </c>
      <c r="H500">
        <v>29</v>
      </c>
      <c r="I500">
        <v>70.172399999999996</v>
      </c>
      <c r="J500">
        <v>80.551699999999997</v>
      </c>
      <c r="K500">
        <v>10.379300000000001</v>
      </c>
      <c r="L500">
        <v>20</v>
      </c>
      <c r="M500">
        <v>3</v>
      </c>
      <c r="N500">
        <v>6</v>
      </c>
      <c r="O500" t="s">
        <v>127</v>
      </c>
      <c r="P500" t="s">
        <v>127</v>
      </c>
      <c r="Q500" t="s">
        <v>127</v>
      </c>
    </row>
    <row r="501" spans="1:17" x14ac:dyDescent="0.25">
      <c r="A501" t="str">
        <f>IF(C501&amp;G501&amp;D501&lt;&gt;'Funnel setup'!$K$3&amp;'Funnel setup'!$K$4&amp;'Funnel setup'!$K$6,".",IF(A500=".",1,A500+1))</f>
        <v>.</v>
      </c>
      <c r="B501" s="244" t="str">
        <f t="shared" si="7"/>
        <v>Hip Replacement PrimaryProviderSPIRE GATWICK PARK HOSPITAL (NT308)EQ VAS</v>
      </c>
      <c r="C501" t="s">
        <v>749</v>
      </c>
      <c r="D501" t="s">
        <v>965</v>
      </c>
      <c r="E501" t="s">
        <v>546</v>
      </c>
      <c r="F501" t="s">
        <v>547</v>
      </c>
      <c r="G501" t="s">
        <v>752</v>
      </c>
      <c r="H501">
        <v>8</v>
      </c>
      <c r="I501">
        <v>66.125</v>
      </c>
      <c r="J501">
        <v>83</v>
      </c>
      <c r="K501">
        <v>16.875</v>
      </c>
      <c r="L501">
        <v>6</v>
      </c>
      <c r="M501">
        <v>1</v>
      </c>
      <c r="N501">
        <v>1</v>
      </c>
      <c r="O501" t="s">
        <v>127</v>
      </c>
      <c r="P501" t="s">
        <v>127</v>
      </c>
      <c r="Q501" t="s">
        <v>127</v>
      </c>
    </row>
    <row r="502" spans="1:17" x14ac:dyDescent="0.25">
      <c r="A502" t="str">
        <f>IF(C502&amp;G502&amp;D502&lt;&gt;'Funnel setup'!$K$3&amp;'Funnel setup'!$K$4&amp;'Funnel setup'!$K$6,".",IF(A501=".",1,A501+1))</f>
        <v>.</v>
      </c>
      <c r="B502" s="244" t="str">
        <f t="shared" si="7"/>
        <v>Hip Replacement PrimaryProviderSPIRE HARPENDEN HOSPITAL (NT316)EQ VAS</v>
      </c>
      <c r="C502" t="s">
        <v>749</v>
      </c>
      <c r="D502" t="s">
        <v>965</v>
      </c>
      <c r="E502" t="s">
        <v>548</v>
      </c>
      <c r="F502" t="s">
        <v>549</v>
      </c>
      <c r="G502" t="s">
        <v>752</v>
      </c>
      <c r="H502">
        <v>32</v>
      </c>
      <c r="I502">
        <v>62.8125</v>
      </c>
      <c r="J502">
        <v>74.343800000000002</v>
      </c>
      <c r="K502">
        <v>11.5313</v>
      </c>
      <c r="L502">
        <v>23</v>
      </c>
      <c r="M502">
        <v>2</v>
      </c>
      <c r="N502">
        <v>7</v>
      </c>
      <c r="O502">
        <v>72.148600000000002</v>
      </c>
      <c r="P502">
        <v>11.337300000000001</v>
      </c>
      <c r="Q502">
        <v>18.473199999999999</v>
      </c>
    </row>
    <row r="503" spans="1:17" x14ac:dyDescent="0.25">
      <c r="A503" t="str">
        <f>IF(C503&amp;G503&amp;D503&lt;&gt;'Funnel setup'!$K$3&amp;'Funnel setup'!$K$4&amp;'Funnel setup'!$K$6,".",IF(A502=".",1,A502+1))</f>
        <v>.</v>
      </c>
      <c r="B503" s="244" t="str">
        <f t="shared" si="7"/>
        <v>Hip Replacement PrimaryProviderSPIRE HARTSWOOD HOSPITAL (NT319)EQ VAS</v>
      </c>
      <c r="C503" t="s">
        <v>749</v>
      </c>
      <c r="D503" t="s">
        <v>965</v>
      </c>
      <c r="E503" t="s">
        <v>550</v>
      </c>
      <c r="F503" t="s">
        <v>551</v>
      </c>
      <c r="G503" t="s">
        <v>752</v>
      </c>
      <c r="H503">
        <v>12</v>
      </c>
      <c r="I503">
        <v>58</v>
      </c>
      <c r="J503">
        <v>79.666700000000006</v>
      </c>
      <c r="K503">
        <v>21.666699999999999</v>
      </c>
      <c r="L503">
        <v>10</v>
      </c>
      <c r="M503">
        <v>1</v>
      </c>
      <c r="N503">
        <v>1</v>
      </c>
      <c r="O503" t="s">
        <v>127</v>
      </c>
      <c r="P503" t="s">
        <v>127</v>
      </c>
      <c r="Q503" t="s">
        <v>127</v>
      </c>
    </row>
    <row r="504" spans="1:17" x14ac:dyDescent="0.25">
      <c r="A504" t="str">
        <f>IF(C504&amp;G504&amp;D504&lt;&gt;'Funnel setup'!$K$3&amp;'Funnel setup'!$K$4&amp;'Funnel setup'!$K$6,".",IF(A503=".",1,A503+1))</f>
        <v>.</v>
      </c>
      <c r="B504" s="244" t="str">
        <f t="shared" si="7"/>
        <v>Hip Replacement PrimaryProviderSPIRE HULL AND EAST RIDING HOSPITAL (NT351)EQ VAS</v>
      </c>
      <c r="C504" t="s">
        <v>749</v>
      </c>
      <c r="D504" t="s">
        <v>965</v>
      </c>
      <c r="E504" t="s">
        <v>554</v>
      </c>
      <c r="F504" t="s">
        <v>555</v>
      </c>
      <c r="G504" t="s">
        <v>752</v>
      </c>
      <c r="H504">
        <v>37</v>
      </c>
      <c r="I504">
        <v>63.621600000000001</v>
      </c>
      <c r="J504">
        <v>74.162199999999999</v>
      </c>
      <c r="K504">
        <v>10.5405</v>
      </c>
      <c r="L504">
        <v>27</v>
      </c>
      <c r="M504">
        <v>1</v>
      </c>
      <c r="N504">
        <v>9</v>
      </c>
      <c r="O504">
        <v>73.655299999999997</v>
      </c>
      <c r="P504">
        <v>12.843999999999999</v>
      </c>
      <c r="Q504">
        <v>21.182099999999998</v>
      </c>
    </row>
    <row r="505" spans="1:17" x14ac:dyDescent="0.25">
      <c r="A505" t="str">
        <f>IF(C505&amp;G505&amp;D505&lt;&gt;'Funnel setup'!$K$3&amp;'Funnel setup'!$K$4&amp;'Funnel setup'!$K$6,".",IF(A504=".",1,A504+1))</f>
        <v>.</v>
      </c>
      <c r="B505" s="244" t="str">
        <f t="shared" si="7"/>
        <v>Hip Replacement PrimaryProviderSPIRE LEEDS HOSPITAL (NT332)EQ VAS</v>
      </c>
      <c r="C505" t="s">
        <v>749</v>
      </c>
      <c r="D505" t="s">
        <v>965</v>
      </c>
      <c r="E505" t="s">
        <v>556</v>
      </c>
      <c r="F505" t="s">
        <v>557</v>
      </c>
      <c r="G505" t="s">
        <v>752</v>
      </c>
      <c r="H505">
        <v>14</v>
      </c>
      <c r="I505">
        <v>66.642899999999997</v>
      </c>
      <c r="J505">
        <v>80.642899999999997</v>
      </c>
      <c r="K505">
        <v>14</v>
      </c>
      <c r="L505">
        <v>11</v>
      </c>
      <c r="M505">
        <v>1</v>
      </c>
      <c r="N505">
        <v>2</v>
      </c>
      <c r="O505" t="s">
        <v>127</v>
      </c>
      <c r="P505" t="s">
        <v>127</v>
      </c>
      <c r="Q505" t="s">
        <v>127</v>
      </c>
    </row>
    <row r="506" spans="1:17" x14ac:dyDescent="0.25">
      <c r="A506" t="str">
        <f>IF(C506&amp;G506&amp;D506&lt;&gt;'Funnel setup'!$K$3&amp;'Funnel setup'!$K$4&amp;'Funnel setup'!$K$6,".",IF(A505=".",1,A505+1))</f>
        <v>.</v>
      </c>
      <c r="B506" s="244" t="str">
        <f t="shared" si="7"/>
        <v>Hip Replacement PrimaryProviderSPIRE LEICESTER HOSPITAL (NT322)EQ VAS</v>
      </c>
      <c r="C506" t="s">
        <v>749</v>
      </c>
      <c r="D506" t="s">
        <v>965</v>
      </c>
      <c r="E506" t="s">
        <v>558</v>
      </c>
      <c r="F506" t="s">
        <v>559</v>
      </c>
      <c r="G506" t="s">
        <v>752</v>
      </c>
      <c r="H506">
        <v>32</v>
      </c>
      <c r="I506">
        <v>65.218800000000002</v>
      </c>
      <c r="J506">
        <v>74.593800000000002</v>
      </c>
      <c r="K506">
        <v>9.375</v>
      </c>
      <c r="L506">
        <v>23</v>
      </c>
      <c r="M506">
        <v>1</v>
      </c>
      <c r="N506">
        <v>8</v>
      </c>
      <c r="O506">
        <v>73.135300000000001</v>
      </c>
      <c r="P506">
        <v>12.324</v>
      </c>
      <c r="Q506">
        <v>17.87</v>
      </c>
    </row>
    <row r="507" spans="1:17" x14ac:dyDescent="0.25">
      <c r="A507" t="str">
        <f>IF(C507&amp;G507&amp;D507&lt;&gt;'Funnel setup'!$K$3&amp;'Funnel setup'!$K$4&amp;'Funnel setup'!$K$6,".",IF(A506=".",1,A506+1))</f>
        <v>.</v>
      </c>
      <c r="B507" s="244" t="str">
        <f t="shared" si="7"/>
        <v>Hip Replacement PrimaryProviderSPIRE LITTLE ASTON HOSPITAL (NT321)EQ VAS</v>
      </c>
      <c r="C507" t="s">
        <v>749</v>
      </c>
      <c r="D507" t="s">
        <v>965</v>
      </c>
      <c r="E507" t="s">
        <v>560</v>
      </c>
      <c r="F507" t="s">
        <v>561</v>
      </c>
      <c r="G507" t="s">
        <v>752</v>
      </c>
      <c r="H507">
        <v>30</v>
      </c>
      <c r="I507">
        <v>66.966700000000003</v>
      </c>
      <c r="J507">
        <v>75.400000000000006</v>
      </c>
      <c r="K507">
        <v>8.4333299999999998</v>
      </c>
      <c r="L507">
        <v>23</v>
      </c>
      <c r="M507">
        <v>1</v>
      </c>
      <c r="N507">
        <v>6</v>
      </c>
      <c r="O507">
        <v>72.650700000000001</v>
      </c>
      <c r="P507">
        <v>11.839499999999999</v>
      </c>
      <c r="Q507">
        <v>14.1769</v>
      </c>
    </row>
    <row r="508" spans="1:17" x14ac:dyDescent="0.25">
      <c r="A508" t="str">
        <f>IF(C508&amp;G508&amp;D508&lt;&gt;'Funnel setup'!$K$3&amp;'Funnel setup'!$K$4&amp;'Funnel setup'!$K$6,".",IF(A507=".",1,A507+1))</f>
        <v>.</v>
      </c>
      <c r="B508" s="244" t="str">
        <f t="shared" si="7"/>
        <v>Hip Replacement PrimaryProviderSPIRE LIVERPOOL HOSPITAL (NT337)EQ VAS</v>
      </c>
      <c r="C508" t="s">
        <v>749</v>
      </c>
      <c r="D508" t="s">
        <v>965</v>
      </c>
      <c r="E508" t="s">
        <v>562</v>
      </c>
      <c r="F508" t="s">
        <v>563</v>
      </c>
      <c r="G508" t="s">
        <v>752</v>
      </c>
      <c r="H508">
        <v>9</v>
      </c>
      <c r="I508">
        <v>54.777799999999999</v>
      </c>
      <c r="J508">
        <v>78</v>
      </c>
      <c r="K508">
        <v>23.222200000000001</v>
      </c>
      <c r="L508">
        <v>7</v>
      </c>
      <c r="M508">
        <v>2</v>
      </c>
      <c r="N508">
        <v>0</v>
      </c>
      <c r="O508" t="s">
        <v>127</v>
      </c>
      <c r="P508" t="s">
        <v>127</v>
      </c>
      <c r="Q508" t="s">
        <v>127</v>
      </c>
    </row>
    <row r="509" spans="1:17" x14ac:dyDescent="0.25">
      <c r="A509" t="str">
        <f>IF(C509&amp;G509&amp;D509&lt;&gt;'Funnel setup'!$K$3&amp;'Funnel setup'!$K$4&amp;'Funnel setup'!$K$6,".",IF(A508=".",1,A508+1))</f>
        <v>.</v>
      </c>
      <c r="B509" s="244" t="str">
        <f t="shared" si="7"/>
        <v>Hip Replacement PrimaryProviderSPIRE MANCHESTER HOSPITAL (NT327)EQ VAS</v>
      </c>
      <c r="C509" t="s">
        <v>749</v>
      </c>
      <c r="D509" t="s">
        <v>965</v>
      </c>
      <c r="E509" t="s">
        <v>566</v>
      </c>
      <c r="F509" t="s">
        <v>567</v>
      </c>
      <c r="G509" t="s">
        <v>752</v>
      </c>
      <c r="H509">
        <v>31</v>
      </c>
      <c r="I509">
        <v>64.903199999999998</v>
      </c>
      <c r="J509">
        <v>81.387100000000004</v>
      </c>
      <c r="K509">
        <v>16.483899999999998</v>
      </c>
      <c r="L509">
        <v>26</v>
      </c>
      <c r="M509">
        <v>0</v>
      </c>
      <c r="N509">
        <v>5</v>
      </c>
      <c r="O509">
        <v>77.317999999999998</v>
      </c>
      <c r="P509">
        <v>16.506699999999999</v>
      </c>
      <c r="Q509">
        <v>15.0367</v>
      </c>
    </row>
    <row r="510" spans="1:17" x14ac:dyDescent="0.25">
      <c r="A510" t="str">
        <f>IF(C510&amp;G510&amp;D510&lt;&gt;'Funnel setup'!$K$3&amp;'Funnel setup'!$K$4&amp;'Funnel setup'!$K$6,".",IF(A509=".",1,A509+1))</f>
        <v>.</v>
      </c>
      <c r="B510" s="244" t="str">
        <f t="shared" si="7"/>
        <v>Hip Replacement PrimaryProviderSPIRE METHLEY PARK HOSPITAL (NT350)EQ VAS</v>
      </c>
      <c r="C510" t="s">
        <v>749</v>
      </c>
      <c r="D510" t="s">
        <v>965</v>
      </c>
      <c r="E510" t="s">
        <v>568</v>
      </c>
      <c r="F510" t="s">
        <v>569</v>
      </c>
      <c r="G510" t="s">
        <v>752</v>
      </c>
      <c r="H510">
        <v>28</v>
      </c>
      <c r="I510">
        <v>62.464300000000001</v>
      </c>
      <c r="J510">
        <v>73.035700000000006</v>
      </c>
      <c r="K510">
        <v>10.571400000000001</v>
      </c>
      <c r="L510">
        <v>20</v>
      </c>
      <c r="M510">
        <v>1</v>
      </c>
      <c r="N510">
        <v>7</v>
      </c>
      <c r="O510" t="s">
        <v>127</v>
      </c>
      <c r="P510" t="s">
        <v>127</v>
      </c>
      <c r="Q510" t="s">
        <v>127</v>
      </c>
    </row>
    <row r="511" spans="1:17" x14ac:dyDescent="0.25">
      <c r="A511" t="str">
        <f>IF(C511&amp;G511&amp;D511&lt;&gt;'Funnel setup'!$K$3&amp;'Funnel setup'!$K$4&amp;'Funnel setup'!$K$6,".",IF(A510=".",1,A510+1))</f>
        <v>.</v>
      </c>
      <c r="B511" s="244" t="str">
        <f t="shared" si="7"/>
        <v>Hip Replacement PrimaryProviderSPIRE MONTEFIORE HOSPITAL (NT364)EQ VAS</v>
      </c>
      <c r="C511" t="s">
        <v>749</v>
      </c>
      <c r="D511" t="s">
        <v>965</v>
      </c>
      <c r="E511" t="s">
        <v>570</v>
      </c>
      <c r="F511" t="s">
        <v>571</v>
      </c>
      <c r="G511" t="s">
        <v>752</v>
      </c>
      <c r="H511">
        <v>3</v>
      </c>
      <c r="I511">
        <v>61.666699999999999</v>
      </c>
      <c r="J511">
        <v>79.333299999999994</v>
      </c>
      <c r="K511">
        <v>17.666699999999999</v>
      </c>
      <c r="L511">
        <v>2</v>
      </c>
      <c r="M511">
        <v>0</v>
      </c>
      <c r="N511">
        <v>1</v>
      </c>
      <c r="O511" t="s">
        <v>127</v>
      </c>
      <c r="P511" t="s">
        <v>127</v>
      </c>
      <c r="Q511" t="s">
        <v>127</v>
      </c>
    </row>
    <row r="512" spans="1:17" x14ac:dyDescent="0.25">
      <c r="A512" t="str">
        <f>IF(C512&amp;G512&amp;D512&lt;&gt;'Funnel setup'!$K$3&amp;'Funnel setup'!$K$4&amp;'Funnel setup'!$K$6,".",IF(A511=".",1,A511+1))</f>
        <v>.</v>
      </c>
      <c r="B512" s="244" t="str">
        <f t="shared" si="7"/>
        <v>Hip Replacement PrimaryProviderSPIRE MURRAYFIELD HOSPITAL (NT325)EQ VAS</v>
      </c>
      <c r="C512" t="s">
        <v>749</v>
      </c>
      <c r="D512" t="s">
        <v>965</v>
      </c>
      <c r="E512" t="s">
        <v>572</v>
      </c>
      <c r="F512" t="s">
        <v>573</v>
      </c>
      <c r="G512" t="s">
        <v>752</v>
      </c>
      <c r="H512">
        <v>5</v>
      </c>
      <c r="I512">
        <v>68.400000000000006</v>
      </c>
      <c r="J512">
        <v>90.4</v>
      </c>
      <c r="K512">
        <v>22</v>
      </c>
      <c r="L512">
        <v>5</v>
      </c>
      <c r="M512">
        <v>0</v>
      </c>
      <c r="N512">
        <v>0</v>
      </c>
      <c r="O512" t="s">
        <v>127</v>
      </c>
      <c r="P512" t="s">
        <v>127</v>
      </c>
      <c r="Q512" t="s">
        <v>127</v>
      </c>
    </row>
    <row r="513" spans="1:17" x14ac:dyDescent="0.25">
      <c r="A513" t="str">
        <f>IF(C513&amp;G513&amp;D513&lt;&gt;'Funnel setup'!$K$3&amp;'Funnel setup'!$K$4&amp;'Funnel setup'!$K$6,".",IF(A512=".",1,A512+1))</f>
        <v>.</v>
      </c>
      <c r="B513" s="244" t="str">
        <f t="shared" si="7"/>
        <v>Hip Replacement PrimaryProviderSPIRE NOTTINGHAM HOSPITAL (NT30A)EQ VAS</v>
      </c>
      <c r="C513" t="s">
        <v>749</v>
      </c>
      <c r="D513" t="s">
        <v>965</v>
      </c>
      <c r="E513" t="s">
        <v>576</v>
      </c>
      <c r="F513" t="s">
        <v>577</v>
      </c>
      <c r="G513" t="s">
        <v>752</v>
      </c>
      <c r="H513">
        <v>1</v>
      </c>
      <c r="I513">
        <v>40</v>
      </c>
      <c r="J513">
        <v>70</v>
      </c>
      <c r="K513">
        <v>30</v>
      </c>
      <c r="L513">
        <v>1</v>
      </c>
      <c r="M513">
        <v>0</v>
      </c>
      <c r="N513">
        <v>0</v>
      </c>
      <c r="O513" t="s">
        <v>127</v>
      </c>
      <c r="P513" t="s">
        <v>127</v>
      </c>
      <c r="Q513" t="s">
        <v>127</v>
      </c>
    </row>
    <row r="514" spans="1:17" x14ac:dyDescent="0.25">
      <c r="A514" t="str">
        <f>IF(C514&amp;G514&amp;D514&lt;&gt;'Funnel setup'!$K$3&amp;'Funnel setup'!$K$4&amp;'Funnel setup'!$K$6,".",IF(A513=".",1,A513+1))</f>
        <v>.</v>
      </c>
      <c r="B514" s="244" t="str">
        <f t="shared" ref="B514:B577" si="8">C514&amp;D514&amp;F514&amp;G514</f>
        <v>Hip Replacement PrimaryProviderSPIRE PARKWAY HOSPITAL (NT320)EQ VAS</v>
      </c>
      <c r="C514" t="s">
        <v>749</v>
      </c>
      <c r="D514" t="s">
        <v>965</v>
      </c>
      <c r="E514" t="s">
        <v>578</v>
      </c>
      <c r="F514" t="s">
        <v>579</v>
      </c>
      <c r="G514" t="s">
        <v>752</v>
      </c>
      <c r="H514">
        <v>19</v>
      </c>
      <c r="I514">
        <v>60.1053</v>
      </c>
      <c r="J514">
        <v>69.526300000000006</v>
      </c>
      <c r="K514">
        <v>9.4210499999999993</v>
      </c>
      <c r="L514">
        <v>11</v>
      </c>
      <c r="M514">
        <v>2</v>
      </c>
      <c r="N514">
        <v>6</v>
      </c>
      <c r="O514" t="s">
        <v>127</v>
      </c>
      <c r="P514" t="s">
        <v>127</v>
      </c>
      <c r="Q514" t="s">
        <v>127</v>
      </c>
    </row>
    <row r="515" spans="1:17" x14ac:dyDescent="0.25">
      <c r="A515" t="str">
        <f>IF(C515&amp;G515&amp;D515&lt;&gt;'Funnel setup'!$K$3&amp;'Funnel setup'!$K$4&amp;'Funnel setup'!$K$6,".",IF(A514=".",1,A514+1))</f>
        <v>.</v>
      </c>
      <c r="B515" s="244" t="str">
        <f t="shared" si="8"/>
        <v>Hip Replacement PrimaryProviderSPIRE PORTSMOUTH HOSPITAL (NT305)EQ VAS</v>
      </c>
      <c r="C515" t="s">
        <v>749</v>
      </c>
      <c r="D515" t="s">
        <v>965</v>
      </c>
      <c r="E515" t="s">
        <v>580</v>
      </c>
      <c r="F515" t="s">
        <v>581</v>
      </c>
      <c r="G515" t="s">
        <v>752</v>
      </c>
      <c r="H515">
        <v>12</v>
      </c>
      <c r="I515">
        <v>66.583299999999994</v>
      </c>
      <c r="J515">
        <v>78.25</v>
      </c>
      <c r="K515">
        <v>11.666700000000001</v>
      </c>
      <c r="L515">
        <v>9</v>
      </c>
      <c r="M515">
        <v>0</v>
      </c>
      <c r="N515">
        <v>3</v>
      </c>
      <c r="O515" t="s">
        <v>127</v>
      </c>
      <c r="P515" t="s">
        <v>127</v>
      </c>
      <c r="Q515" t="s">
        <v>127</v>
      </c>
    </row>
    <row r="516" spans="1:17" x14ac:dyDescent="0.25">
      <c r="A516" t="str">
        <f>IF(C516&amp;G516&amp;D516&lt;&gt;'Funnel setup'!$K$3&amp;'Funnel setup'!$K$4&amp;'Funnel setup'!$K$6,".",IF(A515=".",1,A515+1))</f>
        <v>.</v>
      </c>
      <c r="B516" s="244" t="str">
        <f t="shared" si="8"/>
        <v>Hip Replacement PrimaryProviderSPIRE REGENCY HOSPITAL (NT339)EQ VAS</v>
      </c>
      <c r="C516" t="s">
        <v>749</v>
      </c>
      <c r="D516" t="s">
        <v>965</v>
      </c>
      <c r="E516" t="s">
        <v>582</v>
      </c>
      <c r="F516" t="s">
        <v>583</v>
      </c>
      <c r="G516" t="s">
        <v>752</v>
      </c>
      <c r="H516">
        <v>32</v>
      </c>
      <c r="I516">
        <v>68.468800000000002</v>
      </c>
      <c r="J516">
        <v>79.093800000000002</v>
      </c>
      <c r="K516">
        <v>10.625</v>
      </c>
      <c r="L516">
        <v>24</v>
      </c>
      <c r="M516">
        <v>2</v>
      </c>
      <c r="N516">
        <v>6</v>
      </c>
      <c r="O516">
        <v>75.947999999999993</v>
      </c>
      <c r="P516">
        <v>15.136699999999999</v>
      </c>
      <c r="Q516">
        <v>14.8887</v>
      </c>
    </row>
    <row r="517" spans="1:17" x14ac:dyDescent="0.25">
      <c r="A517" t="str">
        <f>IF(C517&amp;G517&amp;D517&lt;&gt;'Funnel setup'!$K$3&amp;'Funnel setup'!$K$4&amp;'Funnel setup'!$K$6,".",IF(A516=".",1,A516+1))</f>
        <v>.</v>
      </c>
      <c r="B517" s="244" t="str">
        <f t="shared" si="8"/>
        <v>Hip Replacement PrimaryProviderSPIRE SOUTHAMPTON HOSPITAL (NT304)EQ VAS</v>
      </c>
      <c r="C517" t="s">
        <v>749</v>
      </c>
      <c r="D517" t="s">
        <v>965</v>
      </c>
      <c r="E517" t="s">
        <v>586</v>
      </c>
      <c r="F517" t="s">
        <v>587</v>
      </c>
      <c r="G517" t="s">
        <v>752</v>
      </c>
      <c r="H517">
        <v>44</v>
      </c>
      <c r="I517">
        <v>71.204499999999996</v>
      </c>
      <c r="J517">
        <v>84.545500000000004</v>
      </c>
      <c r="K517">
        <v>13.3409</v>
      </c>
      <c r="L517">
        <v>34</v>
      </c>
      <c r="M517">
        <v>3</v>
      </c>
      <c r="N517">
        <v>7</v>
      </c>
      <c r="O517">
        <v>78.975800000000007</v>
      </c>
      <c r="P517">
        <v>18.1645</v>
      </c>
      <c r="Q517">
        <v>12.693199999999999</v>
      </c>
    </row>
    <row r="518" spans="1:17" x14ac:dyDescent="0.25">
      <c r="A518" t="str">
        <f>IF(C518&amp;G518&amp;D518&lt;&gt;'Funnel setup'!$K$3&amp;'Funnel setup'!$K$4&amp;'Funnel setup'!$K$6,".",IF(A517=".",1,A517+1))</f>
        <v>.</v>
      </c>
      <c r="B518" s="244" t="str">
        <f t="shared" si="8"/>
        <v>Hip Replacement PrimaryProviderSPIRE ST ANTHONY'S HOSPITAL (NT3X3)EQ VAS</v>
      </c>
      <c r="C518" t="s">
        <v>749</v>
      </c>
      <c r="D518" t="s">
        <v>965</v>
      </c>
      <c r="E518" t="s">
        <v>588</v>
      </c>
      <c r="F518" t="s">
        <v>589</v>
      </c>
      <c r="G518" t="s">
        <v>752</v>
      </c>
      <c r="H518">
        <v>3</v>
      </c>
      <c r="I518">
        <v>56.666699999999999</v>
      </c>
      <c r="J518">
        <v>78.333299999999994</v>
      </c>
      <c r="K518">
        <v>21.666699999999999</v>
      </c>
      <c r="L518">
        <v>3</v>
      </c>
      <c r="M518">
        <v>0</v>
      </c>
      <c r="N518">
        <v>0</v>
      </c>
      <c r="O518" t="s">
        <v>127</v>
      </c>
      <c r="P518" t="s">
        <v>127</v>
      </c>
      <c r="Q518" t="s">
        <v>127</v>
      </c>
    </row>
    <row r="519" spans="1:17" x14ac:dyDescent="0.25">
      <c r="A519" t="str">
        <f>IF(C519&amp;G519&amp;D519&lt;&gt;'Funnel setup'!$K$3&amp;'Funnel setup'!$K$4&amp;'Funnel setup'!$K$6,".",IF(A518=".",1,A518+1))</f>
        <v>.</v>
      </c>
      <c r="B519" s="244" t="str">
        <f t="shared" si="8"/>
        <v>Hip Replacement PrimaryProviderSPIRE SUSSEX HOSPITAL (NT309)EQ VAS</v>
      </c>
      <c r="C519" t="s">
        <v>749</v>
      </c>
      <c r="D519" t="s">
        <v>965</v>
      </c>
      <c r="E519" t="s">
        <v>590</v>
      </c>
      <c r="F519" t="s">
        <v>591</v>
      </c>
      <c r="G519" t="s">
        <v>752</v>
      </c>
      <c r="H519">
        <v>7</v>
      </c>
      <c r="I519">
        <v>61.428600000000003</v>
      </c>
      <c r="J519">
        <v>76.285700000000006</v>
      </c>
      <c r="K519">
        <v>14.857100000000001</v>
      </c>
      <c r="L519">
        <v>6</v>
      </c>
      <c r="M519">
        <v>0</v>
      </c>
      <c r="N519">
        <v>1</v>
      </c>
      <c r="O519" t="s">
        <v>127</v>
      </c>
      <c r="P519" t="s">
        <v>127</v>
      </c>
      <c r="Q519" t="s">
        <v>127</v>
      </c>
    </row>
    <row r="520" spans="1:17" x14ac:dyDescent="0.25">
      <c r="A520" t="str">
        <f>IF(C520&amp;G520&amp;D520&lt;&gt;'Funnel setup'!$K$3&amp;'Funnel setup'!$K$4&amp;'Funnel setup'!$K$6,".",IF(A519=".",1,A519+1))</f>
        <v>.</v>
      </c>
      <c r="B520" s="244" t="str">
        <f t="shared" si="8"/>
        <v>Hip Replacement PrimaryProviderSPIRE THAMES VALLEY HOSPITAL (NT343)EQ VAS</v>
      </c>
      <c r="C520" t="s">
        <v>749</v>
      </c>
      <c r="D520" t="s">
        <v>965</v>
      </c>
      <c r="E520" t="s">
        <v>592</v>
      </c>
      <c r="F520" t="s">
        <v>593</v>
      </c>
      <c r="G520" t="s">
        <v>752</v>
      </c>
      <c r="H520">
        <v>7</v>
      </c>
      <c r="I520">
        <v>68.571399999999997</v>
      </c>
      <c r="J520">
        <v>87.285700000000006</v>
      </c>
      <c r="K520">
        <v>18.714300000000001</v>
      </c>
      <c r="L520">
        <v>5</v>
      </c>
      <c r="M520">
        <v>1</v>
      </c>
      <c r="N520">
        <v>1</v>
      </c>
      <c r="O520" t="s">
        <v>127</v>
      </c>
      <c r="P520" t="s">
        <v>127</v>
      </c>
      <c r="Q520" t="s">
        <v>127</v>
      </c>
    </row>
    <row r="521" spans="1:17" x14ac:dyDescent="0.25">
      <c r="A521" t="str">
        <f>IF(C521&amp;G521&amp;D521&lt;&gt;'Funnel setup'!$K$3&amp;'Funnel setup'!$K$4&amp;'Funnel setup'!$K$6,".",IF(A520=".",1,A520+1))</f>
        <v>.</v>
      </c>
      <c r="B521" s="244" t="str">
        <f t="shared" si="8"/>
        <v>Hip Replacement PrimaryProviderSPIRE TUNBRIDGE WELLS HOSPITAL (NT310)EQ VAS</v>
      </c>
      <c r="C521" t="s">
        <v>749</v>
      </c>
      <c r="D521" t="s">
        <v>965</v>
      </c>
      <c r="E521" t="s">
        <v>594</v>
      </c>
      <c r="F521" t="s">
        <v>595</v>
      </c>
      <c r="G521" t="s">
        <v>752</v>
      </c>
      <c r="H521">
        <v>7</v>
      </c>
      <c r="I521">
        <v>62.285699999999999</v>
      </c>
      <c r="J521">
        <v>75.428600000000003</v>
      </c>
      <c r="K521">
        <v>13.142899999999999</v>
      </c>
      <c r="L521">
        <v>5</v>
      </c>
      <c r="M521">
        <v>1</v>
      </c>
      <c r="N521">
        <v>1</v>
      </c>
      <c r="O521" t="s">
        <v>127</v>
      </c>
      <c r="P521" t="s">
        <v>127</v>
      </c>
      <c r="Q521" t="s">
        <v>127</v>
      </c>
    </row>
    <row r="522" spans="1:17" x14ac:dyDescent="0.25">
      <c r="A522" t="str">
        <f>IF(C522&amp;G522&amp;D522&lt;&gt;'Funnel setup'!$K$3&amp;'Funnel setup'!$K$4&amp;'Funnel setup'!$K$6,".",IF(A521=".",1,A521+1))</f>
        <v>.</v>
      </c>
      <c r="B522" s="244" t="str">
        <f t="shared" si="8"/>
        <v>Hip Replacement PrimaryProviderSPIRE WASHINGTON HOSPITAL (NT333)EQ VAS</v>
      </c>
      <c r="C522" t="s">
        <v>749</v>
      </c>
      <c r="D522" t="s">
        <v>965</v>
      </c>
      <c r="E522" t="s">
        <v>596</v>
      </c>
      <c r="F522" t="s">
        <v>597</v>
      </c>
      <c r="G522" t="s">
        <v>752</v>
      </c>
      <c r="H522">
        <v>64</v>
      </c>
      <c r="I522">
        <v>62.5</v>
      </c>
      <c r="J522">
        <v>76.359399999999994</v>
      </c>
      <c r="K522">
        <v>13.859400000000001</v>
      </c>
      <c r="L522">
        <v>49</v>
      </c>
      <c r="M522">
        <v>3</v>
      </c>
      <c r="N522">
        <v>12</v>
      </c>
      <c r="O522">
        <v>75.949200000000005</v>
      </c>
      <c r="P522">
        <v>15.138</v>
      </c>
      <c r="Q522">
        <v>14.7659</v>
      </c>
    </row>
    <row r="523" spans="1:17" x14ac:dyDescent="0.25">
      <c r="A523" t="str">
        <f>IF(C523&amp;G523&amp;D523&lt;&gt;'Funnel setup'!$K$3&amp;'Funnel setup'!$K$4&amp;'Funnel setup'!$K$6,".",IF(A522=".",1,A522+1))</f>
        <v>.</v>
      </c>
      <c r="B523" s="244" t="str">
        <f t="shared" si="8"/>
        <v>Hip Replacement PrimaryProviderSPRINGFIELD HOSPITAL (NVC18)EQ VAS</v>
      </c>
      <c r="C523" t="s">
        <v>749</v>
      </c>
      <c r="D523" t="s">
        <v>965</v>
      </c>
      <c r="E523" t="s">
        <v>602</v>
      </c>
      <c r="F523" t="s">
        <v>603</v>
      </c>
      <c r="G523" t="s">
        <v>752</v>
      </c>
      <c r="H523">
        <v>75</v>
      </c>
      <c r="I523">
        <v>62.88</v>
      </c>
      <c r="J523">
        <v>79.2667</v>
      </c>
      <c r="K523">
        <v>16.386700000000001</v>
      </c>
      <c r="L523">
        <v>54</v>
      </c>
      <c r="M523">
        <v>5</v>
      </c>
      <c r="N523">
        <v>16</v>
      </c>
      <c r="O523">
        <v>77.337400000000002</v>
      </c>
      <c r="P523">
        <v>16.526199999999999</v>
      </c>
      <c r="Q523">
        <v>17.9727</v>
      </c>
    </row>
    <row r="524" spans="1:17" x14ac:dyDescent="0.25">
      <c r="A524" t="str">
        <f>IF(C524&amp;G524&amp;D524&lt;&gt;'Funnel setup'!$K$3&amp;'Funnel setup'!$K$4&amp;'Funnel setup'!$K$6,".",IF(A523=".",1,A523+1))</f>
        <v>.</v>
      </c>
      <c r="B524" s="244" t="str">
        <f t="shared" si="8"/>
        <v>Hip Replacement PrimaryProviderST EDMUNDS HOSPITAL (NT446)EQ VAS</v>
      </c>
      <c r="C524" t="s">
        <v>749</v>
      </c>
      <c r="D524" t="s">
        <v>965</v>
      </c>
      <c r="E524" t="s">
        <v>604</v>
      </c>
      <c r="F524" t="s">
        <v>605</v>
      </c>
      <c r="G524" t="s">
        <v>752</v>
      </c>
      <c r="H524">
        <v>54</v>
      </c>
      <c r="I524">
        <v>63.055599999999998</v>
      </c>
      <c r="J524">
        <v>80.333299999999994</v>
      </c>
      <c r="K524">
        <v>17.277799999999999</v>
      </c>
      <c r="L524">
        <v>39</v>
      </c>
      <c r="M524">
        <v>7</v>
      </c>
      <c r="N524">
        <v>8</v>
      </c>
      <c r="O524">
        <v>78.0518</v>
      </c>
      <c r="P524">
        <v>17.240600000000001</v>
      </c>
      <c r="Q524">
        <v>13.824400000000001</v>
      </c>
    </row>
    <row r="525" spans="1:17" x14ac:dyDescent="0.25">
      <c r="A525" t="str">
        <f>IF(C525&amp;G525&amp;D525&lt;&gt;'Funnel setup'!$K$3&amp;'Funnel setup'!$K$4&amp;'Funnel setup'!$K$6,".",IF(A524=".",1,A524+1))</f>
        <v>.</v>
      </c>
      <c r="B525" s="244" t="str">
        <f t="shared" si="8"/>
        <v>Hip Replacement PrimaryProviderST HELENS AND KNOWSLEY TEACHING HOSPITALS NHS TRUST (RBN)EQ VAS</v>
      </c>
      <c r="C525" t="s">
        <v>749</v>
      </c>
      <c r="D525" t="s">
        <v>965</v>
      </c>
      <c r="E525" t="s">
        <v>608</v>
      </c>
      <c r="F525" t="s">
        <v>609</v>
      </c>
      <c r="G525" t="s">
        <v>752</v>
      </c>
      <c r="H525">
        <v>64</v>
      </c>
      <c r="I525">
        <v>53.968800000000002</v>
      </c>
      <c r="J525">
        <v>70.546899999999994</v>
      </c>
      <c r="K525">
        <v>16.578099999999999</v>
      </c>
      <c r="L525">
        <v>45</v>
      </c>
      <c r="M525">
        <v>3</v>
      </c>
      <c r="N525">
        <v>16</v>
      </c>
      <c r="O525">
        <v>74.174499999999995</v>
      </c>
      <c r="P525">
        <v>13.363300000000001</v>
      </c>
      <c r="Q525">
        <v>19.194500000000001</v>
      </c>
    </row>
    <row r="526" spans="1:17" x14ac:dyDescent="0.25">
      <c r="A526" t="str">
        <f>IF(C526&amp;G526&amp;D526&lt;&gt;'Funnel setup'!$K$3&amp;'Funnel setup'!$K$4&amp;'Funnel setup'!$K$6,".",IF(A525=".",1,A525+1))</f>
        <v>.</v>
      </c>
      <c r="B526" s="244" t="str">
        <f t="shared" si="8"/>
        <v>Hip Replacement PrimaryProviderST HUGH'S HOSPITAL (NTE02)EQ VAS</v>
      </c>
      <c r="C526" t="s">
        <v>749</v>
      </c>
      <c r="D526" t="s">
        <v>965</v>
      </c>
      <c r="E526" t="s">
        <v>610</v>
      </c>
      <c r="F526" t="s">
        <v>611</v>
      </c>
      <c r="G526" t="s">
        <v>752</v>
      </c>
      <c r="H526">
        <v>90</v>
      </c>
      <c r="I526">
        <v>65.611099999999993</v>
      </c>
      <c r="J526">
        <v>74.033299999999997</v>
      </c>
      <c r="K526">
        <v>8.4222199999999994</v>
      </c>
      <c r="L526">
        <v>50</v>
      </c>
      <c r="M526">
        <v>10</v>
      </c>
      <c r="N526">
        <v>30</v>
      </c>
      <c r="O526">
        <v>71.811800000000005</v>
      </c>
      <c r="P526">
        <v>11.0006</v>
      </c>
      <c r="Q526">
        <v>17.425899999999999</v>
      </c>
    </row>
    <row r="527" spans="1:17" x14ac:dyDescent="0.25">
      <c r="A527" t="str">
        <f>IF(C527&amp;G527&amp;D527&lt;&gt;'Funnel setup'!$K$3&amp;'Funnel setup'!$K$4&amp;'Funnel setup'!$K$6,".",IF(A526=".",1,A526+1))</f>
        <v>.</v>
      </c>
      <c r="B527" s="244" t="str">
        <f t="shared" si="8"/>
        <v>Hip Replacement PrimaryProviderSTOCKPORT NHS FOUNDATION TRUST (RWJ)EQ VAS</v>
      </c>
      <c r="C527" t="s">
        <v>749</v>
      </c>
      <c r="D527" t="s">
        <v>965</v>
      </c>
      <c r="E527" t="s">
        <v>614</v>
      </c>
      <c r="F527" t="s">
        <v>615</v>
      </c>
      <c r="G527" t="s">
        <v>752</v>
      </c>
      <c r="H527">
        <v>48</v>
      </c>
      <c r="I527">
        <v>53.4375</v>
      </c>
      <c r="J527">
        <v>73.25</v>
      </c>
      <c r="K527">
        <v>19.8125</v>
      </c>
      <c r="L527">
        <v>33</v>
      </c>
      <c r="M527">
        <v>6</v>
      </c>
      <c r="N527">
        <v>9</v>
      </c>
      <c r="O527">
        <v>75.611000000000004</v>
      </c>
      <c r="P527">
        <v>14.7997</v>
      </c>
      <c r="Q527">
        <v>18.591799999999999</v>
      </c>
    </row>
    <row r="528" spans="1:17" x14ac:dyDescent="0.25">
      <c r="A528" t="str">
        <f>IF(C528&amp;G528&amp;D528&lt;&gt;'Funnel setup'!$K$3&amp;'Funnel setup'!$K$4&amp;'Funnel setup'!$K$6,".",IF(A527=".",1,A527+1))</f>
        <v>.</v>
      </c>
      <c r="B528" s="244" t="str">
        <f t="shared" si="8"/>
        <v>Hip Replacement PrimaryProviderSURREY AND SUSSEX HEALTHCARE NHS TRUST (RTP)EQ VAS</v>
      </c>
      <c r="C528" t="s">
        <v>749</v>
      </c>
      <c r="D528" t="s">
        <v>965</v>
      </c>
      <c r="E528" t="s">
        <v>618</v>
      </c>
      <c r="F528" t="s">
        <v>619</v>
      </c>
      <c r="G528" t="s">
        <v>752</v>
      </c>
      <c r="H528">
        <v>42</v>
      </c>
      <c r="I528">
        <v>61.404800000000002</v>
      </c>
      <c r="J528">
        <v>70.738100000000003</v>
      </c>
      <c r="K528">
        <v>9.3333300000000001</v>
      </c>
      <c r="L528">
        <v>31</v>
      </c>
      <c r="M528">
        <v>2</v>
      </c>
      <c r="N528">
        <v>9</v>
      </c>
      <c r="O528">
        <v>71.406700000000001</v>
      </c>
      <c r="P528">
        <v>10.5954</v>
      </c>
      <c r="Q528">
        <v>20.460799999999999</v>
      </c>
    </row>
    <row r="529" spans="1:17" x14ac:dyDescent="0.25">
      <c r="A529" t="str">
        <f>IF(C529&amp;G529&amp;D529&lt;&gt;'Funnel setup'!$K$3&amp;'Funnel setup'!$K$4&amp;'Funnel setup'!$K$6,".",IF(A528=".",1,A528+1))</f>
        <v>.</v>
      </c>
      <c r="B529" s="244" t="str">
        <f t="shared" si="8"/>
        <v>Hip Replacement PrimaryProviderTAMESIDE AND GLOSSOP INTEGRATED CARE NHS FOUNDATION TRUST (RMP)EQ VAS</v>
      </c>
      <c r="C529" t="s">
        <v>749</v>
      </c>
      <c r="D529" t="s">
        <v>965</v>
      </c>
      <c r="E529" t="s">
        <v>620</v>
      </c>
      <c r="F529" t="s">
        <v>621</v>
      </c>
      <c r="G529" t="s">
        <v>752</v>
      </c>
      <c r="H529">
        <v>2</v>
      </c>
      <c r="I529">
        <v>55</v>
      </c>
      <c r="J529">
        <v>15</v>
      </c>
      <c r="K529">
        <v>-40</v>
      </c>
      <c r="L529">
        <v>0</v>
      </c>
      <c r="M529">
        <v>0</v>
      </c>
      <c r="N529">
        <v>2</v>
      </c>
      <c r="O529" t="s">
        <v>127</v>
      </c>
      <c r="P529" t="s">
        <v>127</v>
      </c>
      <c r="Q529" t="s">
        <v>127</v>
      </c>
    </row>
    <row r="530" spans="1:17" x14ac:dyDescent="0.25">
      <c r="A530" t="str">
        <f>IF(C530&amp;G530&amp;D530&lt;&gt;'Funnel setup'!$K$3&amp;'Funnel setup'!$K$4&amp;'Funnel setup'!$K$6,".",IF(A529=".",1,A529+1))</f>
        <v>.</v>
      </c>
      <c r="B530" s="244" t="str">
        <f t="shared" si="8"/>
        <v>Hip Replacement PrimaryProviderTEES VALLEY HOSPITAL (NVC0R)EQ VAS</v>
      </c>
      <c r="C530" t="s">
        <v>749</v>
      </c>
      <c r="D530" t="s">
        <v>965</v>
      </c>
      <c r="E530" t="s">
        <v>624</v>
      </c>
      <c r="F530" t="s">
        <v>625</v>
      </c>
      <c r="G530" t="s">
        <v>752</v>
      </c>
      <c r="H530">
        <v>43</v>
      </c>
      <c r="I530">
        <v>67.883700000000005</v>
      </c>
      <c r="J530">
        <v>77.372100000000003</v>
      </c>
      <c r="K530">
        <v>9.4883699999999997</v>
      </c>
      <c r="L530">
        <v>26</v>
      </c>
      <c r="M530">
        <v>4</v>
      </c>
      <c r="N530">
        <v>13</v>
      </c>
      <c r="O530">
        <v>75.6648</v>
      </c>
      <c r="P530">
        <v>14.8535</v>
      </c>
      <c r="Q530">
        <v>14.6027</v>
      </c>
    </row>
    <row r="531" spans="1:17" x14ac:dyDescent="0.25">
      <c r="A531" t="str">
        <f>IF(C531&amp;G531&amp;D531&lt;&gt;'Funnel setup'!$K$3&amp;'Funnel setup'!$K$4&amp;'Funnel setup'!$K$6,".",IF(A530=".",1,A530+1))</f>
        <v>.</v>
      </c>
      <c r="B531" s="244" t="str">
        <f t="shared" si="8"/>
        <v>Hip Replacement PrimaryProviderTHE BERKSHIRE INDEPENDENT HOSPITAL (NVC02)EQ VAS</v>
      </c>
      <c r="C531" t="s">
        <v>749</v>
      </c>
      <c r="D531" t="s">
        <v>965</v>
      </c>
      <c r="E531" t="s">
        <v>626</v>
      </c>
      <c r="F531" t="s">
        <v>627</v>
      </c>
      <c r="G531" t="s">
        <v>752</v>
      </c>
      <c r="H531">
        <v>10</v>
      </c>
      <c r="I531">
        <v>70</v>
      </c>
      <c r="J531">
        <v>82</v>
      </c>
      <c r="K531">
        <v>12</v>
      </c>
      <c r="L531">
        <v>7</v>
      </c>
      <c r="M531">
        <v>0</v>
      </c>
      <c r="N531">
        <v>3</v>
      </c>
      <c r="O531" t="s">
        <v>127</v>
      </c>
      <c r="P531" t="s">
        <v>127</v>
      </c>
      <c r="Q531" t="s">
        <v>127</v>
      </c>
    </row>
    <row r="532" spans="1:17" x14ac:dyDescent="0.25">
      <c r="A532" t="str">
        <f>IF(C532&amp;G532&amp;D532&lt;&gt;'Funnel setup'!$K$3&amp;'Funnel setup'!$K$4&amp;'Funnel setup'!$K$6,".",IF(A531=".",1,A531+1))</f>
        <v>.</v>
      </c>
      <c r="B532" s="244" t="str">
        <f t="shared" si="8"/>
        <v>Hip Replacement PrimaryProviderTHE CHERWELL HOSPITAL (NVC25)EQ VAS</v>
      </c>
      <c r="C532" t="s">
        <v>749</v>
      </c>
      <c r="D532" t="s">
        <v>965</v>
      </c>
      <c r="E532" t="s">
        <v>628</v>
      </c>
      <c r="F532" t="s">
        <v>629</v>
      </c>
      <c r="G532" t="s">
        <v>752</v>
      </c>
      <c r="H532">
        <v>199</v>
      </c>
      <c r="I532">
        <v>66.412099999999995</v>
      </c>
      <c r="J532">
        <v>79.185900000000004</v>
      </c>
      <c r="K532">
        <v>12.773899999999999</v>
      </c>
      <c r="L532">
        <v>135</v>
      </c>
      <c r="M532">
        <v>24</v>
      </c>
      <c r="N532">
        <v>40</v>
      </c>
      <c r="O532">
        <v>75.999399999999994</v>
      </c>
      <c r="P532">
        <v>15.1881</v>
      </c>
      <c r="Q532">
        <v>15.3935</v>
      </c>
    </row>
    <row r="533" spans="1:17" x14ac:dyDescent="0.25">
      <c r="A533" t="str">
        <f>IF(C533&amp;G533&amp;D533&lt;&gt;'Funnel setup'!$K$3&amp;'Funnel setup'!$K$4&amp;'Funnel setup'!$K$6,".",IF(A532=".",1,A532+1))</f>
        <v>.</v>
      </c>
      <c r="B533" s="244" t="str">
        <f t="shared" si="8"/>
        <v>Hip Replacement PrimaryProviderTHE DUDLEY GROUP NHS FOUNDATION TRUST (RNA)EQ VAS</v>
      </c>
      <c r="C533" t="s">
        <v>749</v>
      </c>
      <c r="D533" t="s">
        <v>965</v>
      </c>
      <c r="E533" t="s">
        <v>630</v>
      </c>
      <c r="F533" t="s">
        <v>631</v>
      </c>
      <c r="G533" t="s">
        <v>752</v>
      </c>
      <c r="H533">
        <v>1</v>
      </c>
      <c r="I533">
        <v>90</v>
      </c>
      <c r="J533">
        <v>100</v>
      </c>
      <c r="K533">
        <v>10</v>
      </c>
      <c r="L533">
        <v>1</v>
      </c>
      <c r="M533">
        <v>0</v>
      </c>
      <c r="N533">
        <v>0</v>
      </c>
      <c r="O533" t="s">
        <v>127</v>
      </c>
      <c r="P533" t="s">
        <v>127</v>
      </c>
      <c r="Q533" t="s">
        <v>127</v>
      </c>
    </row>
    <row r="534" spans="1:17" x14ac:dyDescent="0.25">
      <c r="A534" t="str">
        <f>IF(C534&amp;G534&amp;D534&lt;&gt;'Funnel setup'!$K$3&amp;'Funnel setup'!$K$4&amp;'Funnel setup'!$K$6,".",IF(A533=".",1,A533+1))</f>
        <v>.</v>
      </c>
      <c r="B534" s="244" t="str">
        <f t="shared" si="8"/>
        <v>Hip Replacement PrimaryProviderTHE HILLINGDON HOSPITALS NHS FOUNDATION TRUST (RAS)EQ VAS</v>
      </c>
      <c r="C534" t="s">
        <v>749</v>
      </c>
      <c r="D534" t="s">
        <v>965</v>
      </c>
      <c r="E534" t="s">
        <v>632</v>
      </c>
      <c r="F534" t="s">
        <v>633</v>
      </c>
      <c r="G534" t="s">
        <v>752</v>
      </c>
      <c r="H534">
        <v>65</v>
      </c>
      <c r="I534">
        <v>64.907700000000006</v>
      </c>
      <c r="J534">
        <v>74.584599999999995</v>
      </c>
      <c r="K534">
        <v>9.6769200000000009</v>
      </c>
      <c r="L534">
        <v>41</v>
      </c>
      <c r="M534">
        <v>10</v>
      </c>
      <c r="N534">
        <v>14</v>
      </c>
      <c r="O534">
        <v>73.952699999999993</v>
      </c>
      <c r="P534">
        <v>13.141400000000001</v>
      </c>
      <c r="Q534">
        <v>18.908300000000001</v>
      </c>
    </row>
    <row r="535" spans="1:17" x14ac:dyDescent="0.25">
      <c r="A535" t="str">
        <f>IF(C535&amp;G535&amp;D535&lt;&gt;'Funnel setup'!$K$3&amp;'Funnel setup'!$K$4&amp;'Funnel setup'!$K$6,".",IF(A534=".",1,A534+1))</f>
        <v>.</v>
      </c>
      <c r="B535" s="244" t="str">
        <f t="shared" si="8"/>
        <v>Hip Replacement PrimaryProviderTHE HORDER CENTRE - ST JOHNS ROAD (NXM01)EQ VAS</v>
      </c>
      <c r="C535" t="s">
        <v>749</v>
      </c>
      <c r="D535" t="s">
        <v>965</v>
      </c>
      <c r="E535" t="s">
        <v>634</v>
      </c>
      <c r="F535" t="s">
        <v>635</v>
      </c>
      <c r="G535" t="s">
        <v>752</v>
      </c>
      <c r="H535">
        <v>237</v>
      </c>
      <c r="I535">
        <v>66.164599999999993</v>
      </c>
      <c r="J535">
        <v>78.949399999999997</v>
      </c>
      <c r="K535">
        <v>12.784800000000001</v>
      </c>
      <c r="L535">
        <v>157</v>
      </c>
      <c r="M535">
        <v>23</v>
      </c>
      <c r="N535">
        <v>57</v>
      </c>
      <c r="O535">
        <v>76.3626</v>
      </c>
      <c r="P535">
        <v>15.551299999999999</v>
      </c>
      <c r="Q535">
        <v>15.7912</v>
      </c>
    </row>
    <row r="536" spans="1:17" x14ac:dyDescent="0.25">
      <c r="A536" t="str">
        <f>IF(C536&amp;G536&amp;D536&lt;&gt;'Funnel setup'!$K$3&amp;'Funnel setup'!$K$4&amp;'Funnel setup'!$K$6,".",IF(A535=".",1,A535+1))</f>
        <v>.</v>
      </c>
      <c r="B536" s="244" t="str">
        <f t="shared" si="8"/>
        <v>Hip Replacement PrimaryProviderTHE NEWCASTLE UPON TYNE HOSPITALS NHS FOUNDATION TRUST (RTD)EQ VAS</v>
      </c>
      <c r="C536" t="s">
        <v>749</v>
      </c>
      <c r="D536" t="s">
        <v>965</v>
      </c>
      <c r="E536" t="s">
        <v>638</v>
      </c>
      <c r="F536" t="s">
        <v>639</v>
      </c>
      <c r="G536" t="s">
        <v>752</v>
      </c>
      <c r="H536">
        <v>34</v>
      </c>
      <c r="I536">
        <v>59.088200000000001</v>
      </c>
      <c r="J536">
        <v>71.441199999999995</v>
      </c>
      <c r="K536">
        <v>12.3529</v>
      </c>
      <c r="L536">
        <v>22</v>
      </c>
      <c r="M536">
        <v>4</v>
      </c>
      <c r="N536">
        <v>8</v>
      </c>
      <c r="O536">
        <v>74.434899999999999</v>
      </c>
      <c r="P536">
        <v>13.623699999999999</v>
      </c>
      <c r="Q536">
        <v>13.3324</v>
      </c>
    </row>
    <row r="537" spans="1:17" x14ac:dyDescent="0.25">
      <c r="A537" t="str">
        <f>IF(C537&amp;G537&amp;D537&lt;&gt;'Funnel setup'!$K$3&amp;'Funnel setup'!$K$4&amp;'Funnel setup'!$K$6,".",IF(A536=".",1,A536+1))</f>
        <v>.</v>
      </c>
      <c r="B537" s="244" t="str">
        <f t="shared" si="8"/>
        <v>Hip Replacement PrimaryProviderTHE PRINCESS ALEXANDRA HOSPITAL NHS TRUST (RQW)EQ VAS</v>
      </c>
      <c r="C537" t="s">
        <v>749</v>
      </c>
      <c r="D537" t="s">
        <v>965</v>
      </c>
      <c r="E537" t="s">
        <v>640</v>
      </c>
      <c r="F537" t="s">
        <v>641</v>
      </c>
      <c r="G537" t="s">
        <v>752</v>
      </c>
      <c r="H537">
        <v>21</v>
      </c>
      <c r="I537">
        <v>53.238100000000003</v>
      </c>
      <c r="J537">
        <v>67.952399999999997</v>
      </c>
      <c r="K537">
        <v>14.7143</v>
      </c>
      <c r="L537">
        <v>14</v>
      </c>
      <c r="M537">
        <v>0</v>
      </c>
      <c r="N537">
        <v>7</v>
      </c>
      <c r="O537" t="s">
        <v>127</v>
      </c>
      <c r="P537" t="s">
        <v>127</v>
      </c>
      <c r="Q537" t="s">
        <v>127</v>
      </c>
    </row>
    <row r="538" spans="1:17" x14ac:dyDescent="0.25">
      <c r="A538" t="str">
        <f>IF(C538&amp;G538&amp;D538&lt;&gt;'Funnel setup'!$K$3&amp;'Funnel setup'!$K$4&amp;'Funnel setup'!$K$6,".",IF(A537=".",1,A537+1))</f>
        <v>.</v>
      </c>
      <c r="B538" s="244" t="str">
        <f t="shared" si="8"/>
        <v>Hip Replacement PrimaryProviderTHE QUEEN ELIZABETH HOSPITAL, KING'S LYNN, NHS FOUNDATION TRUST (RCX)EQ VAS</v>
      </c>
      <c r="C538" t="s">
        <v>749</v>
      </c>
      <c r="D538" t="s">
        <v>965</v>
      </c>
      <c r="E538" t="s">
        <v>644</v>
      </c>
      <c r="F538" t="s">
        <v>645</v>
      </c>
      <c r="G538" t="s">
        <v>752</v>
      </c>
      <c r="H538">
        <v>63</v>
      </c>
      <c r="I538">
        <v>57.777799999999999</v>
      </c>
      <c r="J538">
        <v>76.396799999999999</v>
      </c>
      <c r="K538">
        <v>18.619</v>
      </c>
      <c r="L538">
        <v>48</v>
      </c>
      <c r="M538">
        <v>3</v>
      </c>
      <c r="N538">
        <v>12</v>
      </c>
      <c r="O538">
        <v>78.304199999999994</v>
      </c>
      <c r="P538">
        <v>17.492899999999999</v>
      </c>
      <c r="Q538">
        <v>16.3918</v>
      </c>
    </row>
    <row r="539" spans="1:17" x14ac:dyDescent="0.25">
      <c r="A539" t="str">
        <f>IF(C539&amp;G539&amp;D539&lt;&gt;'Funnel setup'!$K$3&amp;'Funnel setup'!$K$4&amp;'Funnel setup'!$K$6,".",IF(A538=".",1,A538+1))</f>
        <v>.</v>
      </c>
      <c r="B539" s="244" t="str">
        <f t="shared" si="8"/>
        <v>Hip Replacement PrimaryProviderTHE ROBERT JONES AND AGNES HUNT ORTHOPAEDIC HOSPITAL NHS FOUNDATION TRUST (RL1)EQ VAS</v>
      </c>
      <c r="C539" t="s">
        <v>749</v>
      </c>
      <c r="D539" t="s">
        <v>965</v>
      </c>
      <c r="E539" t="s">
        <v>646</v>
      </c>
      <c r="F539" t="s">
        <v>647</v>
      </c>
      <c r="G539" t="s">
        <v>752</v>
      </c>
      <c r="H539">
        <v>326</v>
      </c>
      <c r="I539">
        <v>54.4908</v>
      </c>
      <c r="J539">
        <v>77.457099999999997</v>
      </c>
      <c r="K539">
        <v>22.9663</v>
      </c>
      <c r="L539">
        <v>253</v>
      </c>
      <c r="M539">
        <v>29</v>
      </c>
      <c r="N539">
        <v>44</v>
      </c>
      <c r="O539">
        <v>79.399500000000003</v>
      </c>
      <c r="P539">
        <v>18.588200000000001</v>
      </c>
      <c r="Q539">
        <v>15.2798</v>
      </c>
    </row>
    <row r="540" spans="1:17" x14ac:dyDescent="0.25">
      <c r="A540" t="str">
        <f>IF(C540&amp;G540&amp;D540&lt;&gt;'Funnel setup'!$K$3&amp;'Funnel setup'!$K$4&amp;'Funnel setup'!$K$6,".",IF(A539=".",1,A539+1))</f>
        <v>.</v>
      </c>
      <c r="B540" s="244" t="str">
        <f t="shared" si="8"/>
        <v>Hip Replacement PrimaryProviderTHE ROTHERHAM NHS FOUNDATION TRUST (RFR)EQ VAS</v>
      </c>
      <c r="C540" t="s">
        <v>749</v>
      </c>
      <c r="D540" t="s">
        <v>965</v>
      </c>
      <c r="E540" t="s">
        <v>648</v>
      </c>
      <c r="F540" t="s">
        <v>649</v>
      </c>
      <c r="G540" t="s">
        <v>752</v>
      </c>
      <c r="H540">
        <v>17</v>
      </c>
      <c r="I540">
        <v>51.2941</v>
      </c>
      <c r="J540">
        <v>74.176500000000004</v>
      </c>
      <c r="K540">
        <v>22.882400000000001</v>
      </c>
      <c r="L540">
        <v>13</v>
      </c>
      <c r="M540">
        <v>0</v>
      </c>
      <c r="N540">
        <v>4</v>
      </c>
      <c r="O540" t="s">
        <v>127</v>
      </c>
      <c r="P540" t="s">
        <v>127</v>
      </c>
      <c r="Q540" t="s">
        <v>127</v>
      </c>
    </row>
    <row r="541" spans="1:17" x14ac:dyDescent="0.25">
      <c r="A541" t="str">
        <f>IF(C541&amp;G541&amp;D541&lt;&gt;'Funnel setup'!$K$3&amp;'Funnel setup'!$K$4&amp;'Funnel setup'!$K$6,".",IF(A540=".",1,A540+1))</f>
        <v>.</v>
      </c>
      <c r="B541" s="244" t="str">
        <f t="shared" si="8"/>
        <v>Hip Replacement PrimaryProviderTHE ROYAL ORTHOPAEDIC HOSPITAL NHS FOUNDATION TRUST (RRJ)EQ VAS</v>
      </c>
      <c r="C541" t="s">
        <v>749</v>
      </c>
      <c r="D541" t="s">
        <v>965</v>
      </c>
      <c r="E541" t="s">
        <v>652</v>
      </c>
      <c r="F541" t="s">
        <v>653</v>
      </c>
      <c r="G541" t="s">
        <v>752</v>
      </c>
      <c r="H541">
        <v>544</v>
      </c>
      <c r="I541">
        <v>62.735300000000002</v>
      </c>
      <c r="J541">
        <v>75.900700000000001</v>
      </c>
      <c r="K541">
        <v>13.1654</v>
      </c>
      <c r="L541">
        <v>377</v>
      </c>
      <c r="M541">
        <v>45</v>
      </c>
      <c r="N541">
        <v>122</v>
      </c>
      <c r="O541">
        <v>75.086699999999993</v>
      </c>
      <c r="P541">
        <v>14.275399999999999</v>
      </c>
      <c r="Q541">
        <v>17.822800000000001</v>
      </c>
    </row>
    <row r="542" spans="1:17" x14ac:dyDescent="0.25">
      <c r="A542" t="str">
        <f>IF(C542&amp;G542&amp;D542&lt;&gt;'Funnel setup'!$K$3&amp;'Funnel setup'!$K$4&amp;'Funnel setup'!$K$6,".",IF(A541=".",1,A541+1))</f>
        <v>.</v>
      </c>
      <c r="B542" s="244" t="str">
        <f t="shared" si="8"/>
        <v>Hip Replacement PrimaryProviderTHE ROYAL WOLVERHAMPTON NHS TRUST (RL4)EQ VAS</v>
      </c>
      <c r="C542" t="s">
        <v>749</v>
      </c>
      <c r="D542" t="s">
        <v>965</v>
      </c>
      <c r="E542" t="s">
        <v>654</v>
      </c>
      <c r="F542" t="s">
        <v>655</v>
      </c>
      <c r="G542" t="s">
        <v>752</v>
      </c>
      <c r="H542">
        <v>16</v>
      </c>
      <c r="I542">
        <v>58.4375</v>
      </c>
      <c r="J542">
        <v>77.4375</v>
      </c>
      <c r="K542">
        <v>19</v>
      </c>
      <c r="L542">
        <v>12</v>
      </c>
      <c r="M542">
        <v>1</v>
      </c>
      <c r="N542">
        <v>3</v>
      </c>
      <c r="O542" t="s">
        <v>127</v>
      </c>
      <c r="P542" t="s">
        <v>127</v>
      </c>
      <c r="Q542" t="s">
        <v>127</v>
      </c>
    </row>
    <row r="543" spans="1:17" x14ac:dyDescent="0.25">
      <c r="A543" t="str">
        <f>IF(C543&amp;G543&amp;D543&lt;&gt;'Funnel setup'!$K$3&amp;'Funnel setup'!$K$4&amp;'Funnel setup'!$K$6,".",IF(A542=".",1,A542+1))</f>
        <v>.</v>
      </c>
      <c r="B543" s="244" t="str">
        <f t="shared" si="8"/>
        <v>Hip Replacement PrimaryProviderTHE SHREWSBURY AND TELFORD HOSPITAL NHS TRUST (RXW)EQ VAS</v>
      </c>
      <c r="C543" t="s">
        <v>749</v>
      </c>
      <c r="D543" t="s">
        <v>965</v>
      </c>
      <c r="E543" t="s">
        <v>656</v>
      </c>
      <c r="F543" t="s">
        <v>657</v>
      </c>
      <c r="G543" t="s">
        <v>752</v>
      </c>
      <c r="H543">
        <v>16</v>
      </c>
      <c r="I543">
        <v>55.5</v>
      </c>
      <c r="J543">
        <v>71.5</v>
      </c>
      <c r="K543">
        <v>16</v>
      </c>
      <c r="L543">
        <v>9</v>
      </c>
      <c r="M543">
        <v>1</v>
      </c>
      <c r="N543">
        <v>6</v>
      </c>
      <c r="O543" t="s">
        <v>127</v>
      </c>
      <c r="P543" t="s">
        <v>127</v>
      </c>
      <c r="Q543" t="s">
        <v>127</v>
      </c>
    </row>
    <row r="544" spans="1:17" x14ac:dyDescent="0.25">
      <c r="A544" t="str">
        <f>IF(C544&amp;G544&amp;D544&lt;&gt;'Funnel setup'!$K$3&amp;'Funnel setup'!$K$4&amp;'Funnel setup'!$K$6,".",IF(A543=".",1,A543+1))</f>
        <v>.</v>
      </c>
      <c r="B544" s="244" t="str">
        <f t="shared" si="8"/>
        <v>Hip Replacement PrimaryProviderTHE YORKSHIRE CLINIC (NVC20)EQ VAS</v>
      </c>
      <c r="C544" t="s">
        <v>749</v>
      </c>
      <c r="D544" t="s">
        <v>965</v>
      </c>
      <c r="E544" t="s">
        <v>662</v>
      </c>
      <c r="F544" t="s">
        <v>663</v>
      </c>
      <c r="G544" t="s">
        <v>752</v>
      </c>
      <c r="H544">
        <v>64</v>
      </c>
      <c r="I544">
        <v>59.734400000000001</v>
      </c>
      <c r="J544">
        <v>79.5625</v>
      </c>
      <c r="K544">
        <v>19.828099999999999</v>
      </c>
      <c r="L544">
        <v>51</v>
      </c>
      <c r="M544">
        <v>2</v>
      </c>
      <c r="N544">
        <v>11</v>
      </c>
      <c r="O544">
        <v>79.377600000000001</v>
      </c>
      <c r="P544">
        <v>18.566299999999998</v>
      </c>
      <c r="Q544">
        <v>16.0473</v>
      </c>
    </row>
    <row r="545" spans="1:17" x14ac:dyDescent="0.25">
      <c r="A545" t="str">
        <f>IF(C545&amp;G545&amp;D545&lt;&gt;'Funnel setup'!$K$3&amp;'Funnel setup'!$K$4&amp;'Funnel setup'!$K$6,".",IF(A544=".",1,A544+1))</f>
        <v>.</v>
      </c>
      <c r="B545" s="244" t="str">
        <f t="shared" si="8"/>
        <v>Hip Replacement PrimaryProviderTHORNBURY HOSPITAL (NT440)EQ VAS</v>
      </c>
      <c r="C545" t="s">
        <v>749</v>
      </c>
      <c r="D545" t="s">
        <v>965</v>
      </c>
      <c r="E545" t="s">
        <v>664</v>
      </c>
      <c r="F545" t="s">
        <v>665</v>
      </c>
      <c r="G545" t="s">
        <v>752</v>
      </c>
      <c r="H545">
        <v>3</v>
      </c>
      <c r="I545">
        <v>56.666699999999999</v>
      </c>
      <c r="J545">
        <v>72</v>
      </c>
      <c r="K545">
        <v>15.333299999999999</v>
      </c>
      <c r="L545">
        <v>2</v>
      </c>
      <c r="M545">
        <v>0</v>
      </c>
      <c r="N545">
        <v>1</v>
      </c>
      <c r="O545" t="s">
        <v>127</v>
      </c>
      <c r="P545" t="s">
        <v>127</v>
      </c>
      <c r="Q545" t="s">
        <v>127</v>
      </c>
    </row>
    <row r="546" spans="1:17" x14ac:dyDescent="0.25">
      <c r="A546" t="str">
        <f>IF(C546&amp;G546&amp;D546&lt;&gt;'Funnel setup'!$K$3&amp;'Funnel setup'!$K$4&amp;'Funnel setup'!$K$6,".",IF(A545=".",1,A545+1))</f>
        <v>.</v>
      </c>
      <c r="B546" s="244" t="str">
        <f t="shared" si="8"/>
        <v>Hip Replacement PrimaryProviderTHREE SHIRES HOSPITAL (NT441)EQ VAS</v>
      </c>
      <c r="C546" t="s">
        <v>749</v>
      </c>
      <c r="D546" t="s">
        <v>965</v>
      </c>
      <c r="E546" t="s">
        <v>666</v>
      </c>
      <c r="F546" t="s">
        <v>667</v>
      </c>
      <c r="G546" t="s">
        <v>752</v>
      </c>
      <c r="H546">
        <v>55</v>
      </c>
      <c r="I546">
        <v>66.7273</v>
      </c>
      <c r="J546">
        <v>83.290899999999993</v>
      </c>
      <c r="K546">
        <v>16.563600000000001</v>
      </c>
      <c r="L546">
        <v>42</v>
      </c>
      <c r="M546">
        <v>2</v>
      </c>
      <c r="N546">
        <v>11</v>
      </c>
      <c r="O546">
        <v>78.636600000000001</v>
      </c>
      <c r="P546">
        <v>17.825399999999998</v>
      </c>
      <c r="Q546">
        <v>10.956099999999999</v>
      </c>
    </row>
    <row r="547" spans="1:17" x14ac:dyDescent="0.25">
      <c r="A547" t="str">
        <f>IF(C547&amp;G547&amp;D547&lt;&gt;'Funnel setup'!$K$3&amp;'Funnel setup'!$K$4&amp;'Funnel setup'!$K$6,".",IF(A546=".",1,A546+1))</f>
        <v>.</v>
      </c>
      <c r="B547" s="244" t="str">
        <f t="shared" si="8"/>
        <v>Hip Replacement PrimaryProviderTORBAY AND SOUTH DEVON NHS FOUNDATION TRUST (RA9)EQ VAS</v>
      </c>
      <c r="C547" t="s">
        <v>749</v>
      </c>
      <c r="D547" t="s">
        <v>965</v>
      </c>
      <c r="E547" t="s">
        <v>668</v>
      </c>
      <c r="F547" t="s">
        <v>669</v>
      </c>
      <c r="G547" t="s">
        <v>752</v>
      </c>
      <c r="H547">
        <v>8</v>
      </c>
      <c r="I547">
        <v>50.625</v>
      </c>
      <c r="J547">
        <v>74.25</v>
      </c>
      <c r="K547">
        <v>23.625</v>
      </c>
      <c r="L547">
        <v>6</v>
      </c>
      <c r="M547">
        <v>1</v>
      </c>
      <c r="N547">
        <v>1</v>
      </c>
      <c r="O547" t="s">
        <v>127</v>
      </c>
      <c r="P547" t="s">
        <v>127</v>
      </c>
      <c r="Q547" t="s">
        <v>127</v>
      </c>
    </row>
    <row r="548" spans="1:17" x14ac:dyDescent="0.25">
      <c r="A548" t="str">
        <f>IF(C548&amp;G548&amp;D548&lt;&gt;'Funnel setup'!$K$3&amp;'Funnel setup'!$K$4&amp;'Funnel setup'!$K$6,".",IF(A547=".",1,A547+1))</f>
        <v>.</v>
      </c>
      <c r="B548" s="244" t="str">
        <f t="shared" si="8"/>
        <v>Hip Replacement PrimaryProviderUNITED LINCOLNSHIRE HOSPITALS NHS TRUST (RWD)EQ VAS</v>
      </c>
      <c r="C548" t="s">
        <v>749</v>
      </c>
      <c r="D548" t="s">
        <v>965</v>
      </c>
      <c r="E548" t="s">
        <v>672</v>
      </c>
      <c r="F548" t="s">
        <v>673</v>
      </c>
      <c r="G548" t="s">
        <v>752</v>
      </c>
      <c r="H548">
        <v>20</v>
      </c>
      <c r="I548">
        <v>58.95</v>
      </c>
      <c r="J548">
        <v>75.05</v>
      </c>
      <c r="K548">
        <v>16.100000000000001</v>
      </c>
      <c r="L548">
        <v>13</v>
      </c>
      <c r="M548">
        <v>0</v>
      </c>
      <c r="N548">
        <v>7</v>
      </c>
      <c r="O548" t="s">
        <v>127</v>
      </c>
      <c r="P548" t="s">
        <v>127</v>
      </c>
      <c r="Q548" t="s">
        <v>127</v>
      </c>
    </row>
    <row r="549" spans="1:17" x14ac:dyDescent="0.25">
      <c r="A549" t="str">
        <f>IF(C549&amp;G549&amp;D549&lt;&gt;'Funnel setup'!$K$3&amp;'Funnel setup'!$K$4&amp;'Funnel setup'!$K$6,".",IF(A548=".",1,A548+1))</f>
        <v>.</v>
      </c>
      <c r="B549" s="244" t="str">
        <f t="shared" si="8"/>
        <v>Hip Replacement PrimaryProviderUNIVERSITY COLLEGE LONDON HOSPITALS NHS FOUNDATION TRUST (RRV)EQ VAS</v>
      </c>
      <c r="C549" t="s">
        <v>749</v>
      </c>
      <c r="D549" t="s">
        <v>965</v>
      </c>
      <c r="E549" t="s">
        <v>674</v>
      </c>
      <c r="F549" t="s">
        <v>675</v>
      </c>
      <c r="G549" t="s">
        <v>752</v>
      </c>
      <c r="H549">
        <v>137</v>
      </c>
      <c r="I549">
        <v>63.036499999999997</v>
      </c>
      <c r="J549">
        <v>76.372299999999996</v>
      </c>
      <c r="K549">
        <v>13.335800000000001</v>
      </c>
      <c r="L549">
        <v>97</v>
      </c>
      <c r="M549">
        <v>14</v>
      </c>
      <c r="N549">
        <v>26</v>
      </c>
      <c r="O549">
        <v>75.601299999999995</v>
      </c>
      <c r="P549">
        <v>14.79</v>
      </c>
      <c r="Q549">
        <v>15.319599999999999</v>
      </c>
    </row>
    <row r="550" spans="1:17" x14ac:dyDescent="0.25">
      <c r="A550" t="str">
        <f>IF(C550&amp;G550&amp;D550&lt;&gt;'Funnel setup'!$K$3&amp;'Funnel setup'!$K$4&amp;'Funnel setup'!$K$6,".",IF(A549=".",1,A549+1))</f>
        <v>.</v>
      </c>
      <c r="B550" s="244" t="str">
        <f t="shared" si="8"/>
        <v>Hip Replacement PrimaryProviderUNIVERSITY HOSPITAL SOUTHAMPTON NHS FOUNDATION TRUST (RHM)EQ VAS</v>
      </c>
      <c r="C550" t="s">
        <v>749</v>
      </c>
      <c r="D550" t="s">
        <v>965</v>
      </c>
      <c r="E550" t="s">
        <v>676</v>
      </c>
      <c r="F550" t="s">
        <v>677</v>
      </c>
      <c r="G550" t="s">
        <v>752</v>
      </c>
      <c r="H550">
        <v>95</v>
      </c>
      <c r="I550">
        <v>57.442100000000003</v>
      </c>
      <c r="J550">
        <v>70.178899999999999</v>
      </c>
      <c r="K550">
        <v>12.736800000000001</v>
      </c>
      <c r="L550">
        <v>62</v>
      </c>
      <c r="M550">
        <v>8</v>
      </c>
      <c r="N550">
        <v>25</v>
      </c>
      <c r="O550">
        <v>72.299599999999998</v>
      </c>
      <c r="P550">
        <v>11.488300000000001</v>
      </c>
      <c r="Q550">
        <v>18.118400000000001</v>
      </c>
    </row>
    <row r="551" spans="1:17" x14ac:dyDescent="0.25">
      <c r="A551" t="str">
        <f>IF(C551&amp;G551&amp;D551&lt;&gt;'Funnel setup'!$K$3&amp;'Funnel setup'!$K$4&amp;'Funnel setup'!$K$6,".",IF(A550=".",1,A550+1))</f>
        <v>.</v>
      </c>
      <c r="B551" s="244" t="str">
        <f t="shared" si="8"/>
        <v>Hip Replacement PrimaryProviderUNIVERSITY HOSPITALS BRISTOL AND WESTON NHS FOUNDATION TRUST (RA7)EQ VAS</v>
      </c>
      <c r="C551" t="s">
        <v>749</v>
      </c>
      <c r="D551" t="s">
        <v>965</v>
      </c>
      <c r="E551" t="s">
        <v>680</v>
      </c>
      <c r="F551" t="s">
        <v>681</v>
      </c>
      <c r="G551" t="s">
        <v>752</v>
      </c>
      <c r="H551">
        <v>17</v>
      </c>
      <c r="I551">
        <v>48.176499999999997</v>
      </c>
      <c r="J551">
        <v>68.352900000000005</v>
      </c>
      <c r="K551">
        <v>20.176500000000001</v>
      </c>
      <c r="L551">
        <v>12</v>
      </c>
      <c r="M551">
        <v>3</v>
      </c>
      <c r="N551">
        <v>2</v>
      </c>
      <c r="O551" t="s">
        <v>127</v>
      </c>
      <c r="P551" t="s">
        <v>127</v>
      </c>
      <c r="Q551" t="s">
        <v>127</v>
      </c>
    </row>
    <row r="552" spans="1:17" x14ac:dyDescent="0.25">
      <c r="A552" t="str">
        <f>IF(C552&amp;G552&amp;D552&lt;&gt;'Funnel setup'!$K$3&amp;'Funnel setup'!$K$4&amp;'Funnel setup'!$K$6,".",IF(A551=".",1,A551+1))</f>
        <v>.</v>
      </c>
      <c r="B552" s="244" t="str">
        <f t="shared" si="8"/>
        <v>Hip Replacement PrimaryProviderUNIVERSITY HOSPITALS COVENTRY AND WARWICKSHIRE NHS TRUST (RKB)EQ VAS</v>
      </c>
      <c r="C552" t="s">
        <v>749</v>
      </c>
      <c r="D552" t="s">
        <v>965</v>
      </c>
      <c r="E552" t="s">
        <v>682</v>
      </c>
      <c r="F552" t="s">
        <v>683</v>
      </c>
      <c r="G552" t="s">
        <v>752</v>
      </c>
      <c r="H552">
        <v>24</v>
      </c>
      <c r="I552">
        <v>64.75</v>
      </c>
      <c r="J552">
        <v>78.375</v>
      </c>
      <c r="K552">
        <v>13.625</v>
      </c>
      <c r="L552">
        <v>20</v>
      </c>
      <c r="M552">
        <v>0</v>
      </c>
      <c r="N552">
        <v>4</v>
      </c>
      <c r="O552" t="s">
        <v>127</v>
      </c>
      <c r="P552" t="s">
        <v>127</v>
      </c>
      <c r="Q552" t="s">
        <v>127</v>
      </c>
    </row>
    <row r="553" spans="1:17" x14ac:dyDescent="0.25">
      <c r="A553" t="str">
        <f>IF(C553&amp;G553&amp;D553&lt;&gt;'Funnel setup'!$K$3&amp;'Funnel setup'!$K$4&amp;'Funnel setup'!$K$6,".",IF(A552=".",1,A552+1))</f>
        <v>.</v>
      </c>
      <c r="B553" s="244" t="str">
        <f t="shared" si="8"/>
        <v>Hip Replacement PrimaryProviderUNIVERSITY HOSPITAL DORSET NHS FUNDATION TRUST (R0D)EQ VAS</v>
      </c>
      <c r="C553" t="s">
        <v>749</v>
      </c>
      <c r="D553" t="s">
        <v>965</v>
      </c>
      <c r="E553" t="s">
        <v>684</v>
      </c>
      <c r="F553" t="s">
        <v>966</v>
      </c>
      <c r="G553" t="s">
        <v>752</v>
      </c>
      <c r="H553">
        <v>207</v>
      </c>
      <c r="I553">
        <v>65.569999999999993</v>
      </c>
      <c r="J553">
        <v>76.893699999999995</v>
      </c>
      <c r="K553">
        <v>11.323700000000001</v>
      </c>
      <c r="L553">
        <v>147</v>
      </c>
      <c r="M553">
        <v>18</v>
      </c>
      <c r="N553">
        <v>42</v>
      </c>
      <c r="O553">
        <v>75.422799999999995</v>
      </c>
      <c r="P553">
        <v>14.611499999999999</v>
      </c>
      <c r="Q553">
        <v>15.514099999999999</v>
      </c>
    </row>
    <row r="554" spans="1:17" x14ac:dyDescent="0.25">
      <c r="A554" t="str">
        <f>IF(C554&amp;G554&amp;D554&lt;&gt;'Funnel setup'!$K$3&amp;'Funnel setup'!$K$4&amp;'Funnel setup'!$K$6,".",IF(A553=".",1,A553+1))</f>
        <v>.</v>
      </c>
      <c r="B554" s="244" t="str">
        <f t="shared" si="8"/>
        <v>Hip Replacement PrimaryProviderUNIVERSITY HOSPITALS OF DERBY AND BURTON NHS FOUNDATION TRUST (RTG)EQ VAS</v>
      </c>
      <c r="C554" t="s">
        <v>749</v>
      </c>
      <c r="D554" t="s">
        <v>965</v>
      </c>
      <c r="E554" t="s">
        <v>686</v>
      </c>
      <c r="F554" t="s">
        <v>687</v>
      </c>
      <c r="G554" t="s">
        <v>752</v>
      </c>
      <c r="H554">
        <v>318</v>
      </c>
      <c r="I554">
        <v>54.660400000000003</v>
      </c>
      <c r="J554">
        <v>73.550299999999993</v>
      </c>
      <c r="K554">
        <v>18.889900000000001</v>
      </c>
      <c r="L554">
        <v>224</v>
      </c>
      <c r="M554">
        <v>27</v>
      </c>
      <c r="N554">
        <v>67</v>
      </c>
      <c r="O554">
        <v>75.472899999999996</v>
      </c>
      <c r="P554">
        <v>14.6617</v>
      </c>
      <c r="Q554">
        <v>16.930599999999998</v>
      </c>
    </row>
    <row r="555" spans="1:17" x14ac:dyDescent="0.25">
      <c r="A555" t="str">
        <f>IF(C555&amp;G555&amp;D555&lt;&gt;'Funnel setup'!$K$3&amp;'Funnel setup'!$K$4&amp;'Funnel setup'!$K$6,".",IF(A554=".",1,A554+1))</f>
        <v>.</v>
      </c>
      <c r="B555" s="244" t="str">
        <f t="shared" si="8"/>
        <v>Hip Replacement PrimaryProviderUNIVERSITY HOSPITALS OF LEICESTER NHS TRUST (RWE)EQ VAS</v>
      </c>
      <c r="C555" t="s">
        <v>749</v>
      </c>
      <c r="D555" t="s">
        <v>965</v>
      </c>
      <c r="E555" t="s">
        <v>688</v>
      </c>
      <c r="F555" t="s">
        <v>689</v>
      </c>
      <c r="G555" t="s">
        <v>752</v>
      </c>
      <c r="H555">
        <v>101</v>
      </c>
      <c r="I555">
        <v>53.663400000000003</v>
      </c>
      <c r="J555">
        <v>70.445499999999996</v>
      </c>
      <c r="K555">
        <v>16.7822</v>
      </c>
      <c r="L555">
        <v>77</v>
      </c>
      <c r="M555">
        <v>3</v>
      </c>
      <c r="N555">
        <v>21</v>
      </c>
      <c r="O555">
        <v>73.596000000000004</v>
      </c>
      <c r="P555">
        <v>12.784700000000001</v>
      </c>
      <c r="Q555">
        <v>15.288500000000001</v>
      </c>
    </row>
    <row r="556" spans="1:17" x14ac:dyDescent="0.25">
      <c r="A556" t="str">
        <f>IF(C556&amp;G556&amp;D556&lt;&gt;'Funnel setup'!$K$3&amp;'Funnel setup'!$K$4&amp;'Funnel setup'!$K$6,".",IF(A555=".",1,A555+1))</f>
        <v>.</v>
      </c>
      <c r="B556" s="244" t="str">
        <f t="shared" si="8"/>
        <v>Hip Replacement PrimaryProviderUNIVERSITY HOSPITALS OF MORECAMBE BAY NHS FOUNDATION TRUST (RTX)EQ VAS</v>
      </c>
      <c r="C556" t="s">
        <v>749</v>
      </c>
      <c r="D556" t="s">
        <v>965</v>
      </c>
      <c r="E556" t="s">
        <v>690</v>
      </c>
      <c r="F556" t="s">
        <v>691</v>
      </c>
      <c r="G556" t="s">
        <v>752</v>
      </c>
      <c r="H556">
        <v>165</v>
      </c>
      <c r="I556">
        <v>59.157600000000002</v>
      </c>
      <c r="J556">
        <v>75.084800000000001</v>
      </c>
      <c r="K556">
        <v>15.927300000000001</v>
      </c>
      <c r="L556">
        <v>113</v>
      </c>
      <c r="M556">
        <v>13</v>
      </c>
      <c r="N556">
        <v>39</v>
      </c>
      <c r="O556">
        <v>75.571899999999999</v>
      </c>
      <c r="P556">
        <v>14.7606</v>
      </c>
      <c r="Q556">
        <v>16.192699999999999</v>
      </c>
    </row>
    <row r="557" spans="1:17" x14ac:dyDescent="0.25">
      <c r="A557" t="str">
        <f>IF(C557&amp;G557&amp;D557&lt;&gt;'Funnel setup'!$K$3&amp;'Funnel setup'!$K$4&amp;'Funnel setup'!$K$6,".",IF(A556=".",1,A556+1))</f>
        <v>.</v>
      </c>
      <c r="B557" s="244" t="str">
        <f t="shared" si="8"/>
        <v>Hip Replacement PrimaryProviderUNIVERSITY HOSPITALS OF NORTH MIDLANDS NHS TRUST (RJE)EQ VAS</v>
      </c>
      <c r="C557" t="s">
        <v>749</v>
      </c>
      <c r="D557" t="s">
        <v>965</v>
      </c>
      <c r="E557" t="s">
        <v>692</v>
      </c>
      <c r="F557" t="s">
        <v>693</v>
      </c>
      <c r="G557" t="s">
        <v>752</v>
      </c>
      <c r="H557">
        <v>28</v>
      </c>
      <c r="I557">
        <v>58.428600000000003</v>
      </c>
      <c r="J557">
        <v>77.607100000000003</v>
      </c>
      <c r="K557">
        <v>19.178599999999999</v>
      </c>
      <c r="L557">
        <v>22</v>
      </c>
      <c r="M557">
        <v>2</v>
      </c>
      <c r="N557">
        <v>4</v>
      </c>
      <c r="O557" t="s">
        <v>127</v>
      </c>
      <c r="P557" t="s">
        <v>127</v>
      </c>
      <c r="Q557" t="s">
        <v>127</v>
      </c>
    </row>
    <row r="558" spans="1:17" x14ac:dyDescent="0.25">
      <c r="A558" t="str">
        <f>IF(C558&amp;G558&amp;D558&lt;&gt;'Funnel setup'!$K$3&amp;'Funnel setup'!$K$4&amp;'Funnel setup'!$K$6,".",IF(A557=".",1,A557+1))</f>
        <v>.</v>
      </c>
      <c r="B558" s="244" t="str">
        <f t="shared" si="8"/>
        <v>Hip Replacement PrimaryProviderUNIVERSITY HOSPITALS PLYMOUTH NHS TRUST (RK9)EQ VAS</v>
      </c>
      <c r="C558" t="s">
        <v>749</v>
      </c>
      <c r="D558" t="s">
        <v>965</v>
      </c>
      <c r="E558" t="s">
        <v>694</v>
      </c>
      <c r="F558" t="s">
        <v>695</v>
      </c>
      <c r="G558" t="s">
        <v>752</v>
      </c>
      <c r="H558">
        <v>5</v>
      </c>
      <c r="I558">
        <v>52</v>
      </c>
      <c r="J558">
        <v>67.2</v>
      </c>
      <c r="K558">
        <v>15.2</v>
      </c>
      <c r="L558">
        <v>2</v>
      </c>
      <c r="M558">
        <v>2</v>
      </c>
      <c r="N558">
        <v>1</v>
      </c>
      <c r="O558" t="s">
        <v>127</v>
      </c>
      <c r="P558" t="s">
        <v>127</v>
      </c>
      <c r="Q558" t="s">
        <v>127</v>
      </c>
    </row>
    <row r="559" spans="1:17" x14ac:dyDescent="0.25">
      <c r="A559" t="str">
        <f>IF(C559&amp;G559&amp;D559&lt;&gt;'Funnel setup'!$K$3&amp;'Funnel setup'!$K$4&amp;'Funnel setup'!$K$6,".",IF(A558=".",1,A558+1))</f>
        <v>.</v>
      </c>
      <c r="B559" s="244" t="str">
        <f t="shared" si="8"/>
        <v>Hip Replacement PrimaryProviderUNIVERSITY HOSPITALS SUSSEX NHS FOUNDATION TRUST (RYR)EQ VAS</v>
      </c>
      <c r="C559" t="s">
        <v>749</v>
      </c>
      <c r="D559" t="s">
        <v>965</v>
      </c>
      <c r="E559" t="s">
        <v>696</v>
      </c>
      <c r="F559" t="s">
        <v>697</v>
      </c>
      <c r="G559" t="s">
        <v>752</v>
      </c>
      <c r="H559">
        <v>130</v>
      </c>
      <c r="I559">
        <v>60.6462</v>
      </c>
      <c r="J559">
        <v>71.107699999999994</v>
      </c>
      <c r="K559">
        <v>10.461499999999999</v>
      </c>
      <c r="L559">
        <v>79</v>
      </c>
      <c r="M559">
        <v>12</v>
      </c>
      <c r="N559">
        <v>39</v>
      </c>
      <c r="O559">
        <v>71.595200000000006</v>
      </c>
      <c r="P559">
        <v>10.783899999999999</v>
      </c>
      <c r="Q559">
        <v>18.866399999999999</v>
      </c>
    </row>
    <row r="560" spans="1:17" x14ac:dyDescent="0.25">
      <c r="A560" t="str">
        <f>IF(C560&amp;G560&amp;D560&lt;&gt;'Funnel setup'!$K$3&amp;'Funnel setup'!$K$4&amp;'Funnel setup'!$K$6,".",IF(A559=".",1,A559+1))</f>
        <v>.</v>
      </c>
      <c r="B560" s="244" t="str">
        <f t="shared" si="8"/>
        <v>Hip Replacement PrimaryProviderWALSALL HEALTHCARE NHS TRUST (RBK)EQ VAS</v>
      </c>
      <c r="C560" t="s">
        <v>749</v>
      </c>
      <c r="D560" t="s">
        <v>965</v>
      </c>
      <c r="E560" t="s">
        <v>698</v>
      </c>
      <c r="F560" t="s">
        <v>699</v>
      </c>
      <c r="G560" t="s">
        <v>752</v>
      </c>
      <c r="H560">
        <v>13</v>
      </c>
      <c r="I560">
        <v>64.923100000000005</v>
      </c>
      <c r="J560">
        <v>66.615399999999994</v>
      </c>
      <c r="K560">
        <v>1.69231</v>
      </c>
      <c r="L560">
        <v>8</v>
      </c>
      <c r="M560">
        <v>0</v>
      </c>
      <c r="N560">
        <v>5</v>
      </c>
      <c r="O560" t="s">
        <v>127</v>
      </c>
      <c r="P560" t="s">
        <v>127</v>
      </c>
      <c r="Q560" t="s">
        <v>127</v>
      </c>
    </row>
    <row r="561" spans="1:17" x14ac:dyDescent="0.25">
      <c r="A561" t="str">
        <f>IF(C561&amp;G561&amp;D561&lt;&gt;'Funnel setup'!$K$3&amp;'Funnel setup'!$K$4&amp;'Funnel setup'!$K$6,".",IF(A560=".",1,A560+1))</f>
        <v>.</v>
      </c>
      <c r="B561" s="244" t="str">
        <f t="shared" si="8"/>
        <v>Hip Replacement PrimaryProviderWARRINGTON AND HALTON TEACHING HOSPITALS NHS FOUNDATION TRUST (RWW)EQ VAS</v>
      </c>
      <c r="C561" t="s">
        <v>749</v>
      </c>
      <c r="D561" t="s">
        <v>965</v>
      </c>
      <c r="E561" t="s">
        <v>700</v>
      </c>
      <c r="F561" t="s">
        <v>701</v>
      </c>
      <c r="G561" t="s">
        <v>752</v>
      </c>
      <c r="H561">
        <v>28</v>
      </c>
      <c r="I561">
        <v>55.428600000000003</v>
      </c>
      <c r="J561">
        <v>76.428600000000003</v>
      </c>
      <c r="K561">
        <v>21</v>
      </c>
      <c r="L561">
        <v>21</v>
      </c>
      <c r="M561">
        <v>1</v>
      </c>
      <c r="N561">
        <v>6</v>
      </c>
      <c r="O561" t="s">
        <v>127</v>
      </c>
      <c r="P561" t="s">
        <v>127</v>
      </c>
      <c r="Q561" t="s">
        <v>127</v>
      </c>
    </row>
    <row r="562" spans="1:17" x14ac:dyDescent="0.25">
      <c r="A562" t="str">
        <f>IF(C562&amp;G562&amp;D562&lt;&gt;'Funnel setup'!$K$3&amp;'Funnel setup'!$K$4&amp;'Funnel setup'!$K$6,".",IF(A561=".",1,A561+1))</f>
        <v>.</v>
      </c>
      <c r="B562" s="244" t="str">
        <f t="shared" si="8"/>
        <v>Hip Replacement PrimaryProviderWEST HERTFORDSHIRE TEACHING HOSPITALS NHS TRUST (RWG)EQ VAS</v>
      </c>
      <c r="C562" t="s">
        <v>749</v>
      </c>
      <c r="D562" t="s">
        <v>965</v>
      </c>
      <c r="E562" t="s">
        <v>702</v>
      </c>
      <c r="F562" t="s">
        <v>703</v>
      </c>
      <c r="G562" t="s">
        <v>752</v>
      </c>
      <c r="H562">
        <v>79</v>
      </c>
      <c r="I562">
        <v>57.151899999999998</v>
      </c>
      <c r="J562">
        <v>75.531599999999997</v>
      </c>
      <c r="K562">
        <v>18.3797</v>
      </c>
      <c r="L562">
        <v>61</v>
      </c>
      <c r="M562">
        <v>3</v>
      </c>
      <c r="N562">
        <v>15</v>
      </c>
      <c r="O562">
        <v>76.049800000000005</v>
      </c>
      <c r="P562">
        <v>15.2385</v>
      </c>
      <c r="Q562">
        <v>18.895499999999998</v>
      </c>
    </row>
    <row r="563" spans="1:17" x14ac:dyDescent="0.25">
      <c r="A563" t="str">
        <f>IF(C563&amp;G563&amp;D563&lt;&gt;'Funnel setup'!$K$3&amp;'Funnel setup'!$K$4&amp;'Funnel setup'!$K$6,".",IF(A562=".",1,A562+1))</f>
        <v>.</v>
      </c>
      <c r="B563" s="244" t="str">
        <f t="shared" si="8"/>
        <v>Hip Replacement PrimaryProviderWEST MIDLANDS HOSPITAL (NVC21)EQ VAS</v>
      </c>
      <c r="C563" t="s">
        <v>749</v>
      </c>
      <c r="D563" t="s">
        <v>965</v>
      </c>
      <c r="E563" t="s">
        <v>704</v>
      </c>
      <c r="F563" t="s">
        <v>705</v>
      </c>
      <c r="G563" t="s">
        <v>752</v>
      </c>
      <c r="H563">
        <v>77</v>
      </c>
      <c r="I563">
        <v>60.584400000000002</v>
      </c>
      <c r="J563">
        <v>78.480500000000006</v>
      </c>
      <c r="K563">
        <v>17.896100000000001</v>
      </c>
      <c r="L563">
        <v>62</v>
      </c>
      <c r="M563">
        <v>4</v>
      </c>
      <c r="N563">
        <v>11</v>
      </c>
      <c r="O563">
        <v>79.322500000000005</v>
      </c>
      <c r="P563">
        <v>18.511199999999999</v>
      </c>
      <c r="Q563">
        <v>14.240399999999999</v>
      </c>
    </row>
    <row r="564" spans="1:17" x14ac:dyDescent="0.25">
      <c r="A564" t="str">
        <f>IF(C564&amp;G564&amp;D564&lt;&gt;'Funnel setup'!$K$3&amp;'Funnel setup'!$K$4&amp;'Funnel setup'!$K$6,".",IF(A563=".",1,A563+1))</f>
        <v>.</v>
      </c>
      <c r="B564" s="244" t="str">
        <f t="shared" si="8"/>
        <v>Hip Replacement PrimaryProviderWEST SUFFOLK NHS FOUNDATION TRUST (RGR)EQ VAS</v>
      </c>
      <c r="C564" t="s">
        <v>749</v>
      </c>
      <c r="D564" t="s">
        <v>965</v>
      </c>
      <c r="E564" t="s">
        <v>706</v>
      </c>
      <c r="F564" t="s">
        <v>707</v>
      </c>
      <c r="G564" t="s">
        <v>752</v>
      </c>
      <c r="H564">
        <v>115</v>
      </c>
      <c r="I564">
        <v>54.939100000000003</v>
      </c>
      <c r="J564">
        <v>72.643500000000003</v>
      </c>
      <c r="K564">
        <v>17.7043</v>
      </c>
      <c r="L564">
        <v>74</v>
      </c>
      <c r="M564">
        <v>11</v>
      </c>
      <c r="N564">
        <v>30</v>
      </c>
      <c r="O564">
        <v>72.461399999999998</v>
      </c>
      <c r="P564">
        <v>11.6501</v>
      </c>
      <c r="Q564">
        <v>18.992699999999999</v>
      </c>
    </row>
    <row r="565" spans="1:17" x14ac:dyDescent="0.25">
      <c r="A565" t="str">
        <f>IF(C565&amp;G565&amp;D565&lt;&gt;'Funnel setup'!$K$3&amp;'Funnel setup'!$K$4&amp;'Funnel setup'!$K$6,".",IF(A564=".",1,A564+1))</f>
        <v>.</v>
      </c>
      <c r="B565" s="244" t="str">
        <f t="shared" si="8"/>
        <v>Hip Replacement PrimaryProviderWINFIELD HOSPITAL (NVC22)EQ VAS</v>
      </c>
      <c r="C565" t="s">
        <v>749</v>
      </c>
      <c r="D565" t="s">
        <v>965</v>
      </c>
      <c r="E565" t="s">
        <v>710</v>
      </c>
      <c r="F565" t="s">
        <v>711</v>
      </c>
      <c r="G565" t="s">
        <v>752</v>
      </c>
      <c r="H565">
        <v>45</v>
      </c>
      <c r="I565">
        <v>56.444400000000002</v>
      </c>
      <c r="J565">
        <v>76.755600000000001</v>
      </c>
      <c r="K565">
        <v>20.3111</v>
      </c>
      <c r="L565">
        <v>35</v>
      </c>
      <c r="M565">
        <v>7</v>
      </c>
      <c r="N565">
        <v>3</v>
      </c>
      <c r="O565">
        <v>77.072100000000006</v>
      </c>
      <c r="P565">
        <v>16.2608</v>
      </c>
      <c r="Q565">
        <v>14.6035</v>
      </c>
    </row>
    <row r="566" spans="1:17" x14ac:dyDescent="0.25">
      <c r="A566" t="str">
        <f>IF(C566&amp;G566&amp;D566&lt;&gt;'Funnel setup'!$K$3&amp;'Funnel setup'!$K$4&amp;'Funnel setup'!$K$6,".",IF(A565=".",1,A565+1))</f>
        <v>.</v>
      </c>
      <c r="B566" s="244" t="str">
        <f t="shared" si="8"/>
        <v>Hip Replacement PrimaryProviderWINTERBOURNE HOSPITAL (NT443)EQ VAS</v>
      </c>
      <c r="C566" t="s">
        <v>749</v>
      </c>
      <c r="D566" t="s">
        <v>965</v>
      </c>
      <c r="E566" t="s">
        <v>712</v>
      </c>
      <c r="F566" t="s">
        <v>713</v>
      </c>
      <c r="G566" t="s">
        <v>752</v>
      </c>
      <c r="H566">
        <v>46</v>
      </c>
      <c r="I566">
        <v>63.912999999999997</v>
      </c>
      <c r="J566">
        <v>81.347800000000007</v>
      </c>
      <c r="K566">
        <v>17.434799999999999</v>
      </c>
      <c r="L566">
        <v>36</v>
      </c>
      <c r="M566">
        <v>4</v>
      </c>
      <c r="N566">
        <v>6</v>
      </c>
      <c r="O566">
        <v>78.988100000000003</v>
      </c>
      <c r="P566">
        <v>18.1769</v>
      </c>
      <c r="Q566">
        <v>15.7525</v>
      </c>
    </row>
    <row r="567" spans="1:17" x14ac:dyDescent="0.25">
      <c r="A567" t="str">
        <f>IF(C567&amp;G567&amp;D567&lt;&gt;'Funnel setup'!$K$3&amp;'Funnel setup'!$K$4&amp;'Funnel setup'!$K$6,".",IF(A566=".",1,A566+1))</f>
        <v>.</v>
      </c>
      <c r="B567" s="244" t="str">
        <f t="shared" si="8"/>
        <v>Hip Replacement PrimaryProviderWIRRAL UNIVERSITY TEACHING HOSPITAL NHS FOUNDATION TRUST (RBL)EQ VAS</v>
      </c>
      <c r="C567" t="s">
        <v>749</v>
      </c>
      <c r="D567" t="s">
        <v>965</v>
      </c>
      <c r="E567" t="s">
        <v>714</v>
      </c>
      <c r="F567" t="s">
        <v>715</v>
      </c>
      <c r="G567" t="s">
        <v>752</v>
      </c>
      <c r="H567">
        <v>97</v>
      </c>
      <c r="I567">
        <v>59.340200000000003</v>
      </c>
      <c r="J567">
        <v>76.030900000000003</v>
      </c>
      <c r="K567">
        <v>16.6907</v>
      </c>
      <c r="L567">
        <v>69</v>
      </c>
      <c r="M567">
        <v>8</v>
      </c>
      <c r="N567">
        <v>20</v>
      </c>
      <c r="O567">
        <v>76.328999999999994</v>
      </c>
      <c r="P567">
        <v>15.5177</v>
      </c>
      <c r="Q567">
        <v>15.4998</v>
      </c>
    </row>
    <row r="568" spans="1:17" x14ac:dyDescent="0.25">
      <c r="A568" t="str">
        <f>IF(C568&amp;G568&amp;D568&lt;&gt;'Funnel setup'!$K$3&amp;'Funnel setup'!$K$4&amp;'Funnel setup'!$K$6,".",IF(A567=".",1,A567+1))</f>
        <v>.</v>
      </c>
      <c r="B568" s="244" t="str">
        <f t="shared" si="8"/>
        <v>Hip Replacement PrimaryProviderWOODLAND HOSPITAL (NVC23)EQ VAS</v>
      </c>
      <c r="C568" t="s">
        <v>749</v>
      </c>
      <c r="D568" t="s">
        <v>965</v>
      </c>
      <c r="E568" t="s">
        <v>716</v>
      </c>
      <c r="F568" t="s">
        <v>717</v>
      </c>
      <c r="G568" t="s">
        <v>752</v>
      </c>
      <c r="H568">
        <v>75</v>
      </c>
      <c r="I568">
        <v>57.293300000000002</v>
      </c>
      <c r="J568">
        <v>74.56</v>
      </c>
      <c r="K568">
        <v>17.2667</v>
      </c>
      <c r="L568">
        <v>55</v>
      </c>
      <c r="M568">
        <v>7</v>
      </c>
      <c r="N568">
        <v>13</v>
      </c>
      <c r="O568">
        <v>74.287000000000006</v>
      </c>
      <c r="P568">
        <v>13.4757</v>
      </c>
      <c r="Q568">
        <v>15.603899999999999</v>
      </c>
    </row>
    <row r="569" spans="1:17" x14ac:dyDescent="0.25">
      <c r="A569" t="str">
        <f>IF(C569&amp;G569&amp;D569&lt;&gt;'Funnel setup'!$K$3&amp;'Funnel setup'!$K$4&amp;'Funnel setup'!$K$6,".",IF(A568=".",1,A568+1))</f>
        <v>.</v>
      </c>
      <c r="B569" s="244" t="str">
        <f t="shared" si="8"/>
        <v>Hip Replacement PrimaryProviderWOODLANDS HOSPITAL (NT457)EQ VAS</v>
      </c>
      <c r="C569" t="s">
        <v>749</v>
      </c>
      <c r="D569" t="s">
        <v>965</v>
      </c>
      <c r="E569" t="s">
        <v>718</v>
      </c>
      <c r="F569" t="s">
        <v>719</v>
      </c>
      <c r="G569" t="s">
        <v>752</v>
      </c>
      <c r="H569">
        <v>66</v>
      </c>
      <c r="I569">
        <v>63.530299999999997</v>
      </c>
      <c r="J569">
        <v>78.833299999999994</v>
      </c>
      <c r="K569">
        <v>15.303000000000001</v>
      </c>
      <c r="L569">
        <v>43</v>
      </c>
      <c r="M569">
        <v>10</v>
      </c>
      <c r="N569">
        <v>13</v>
      </c>
      <c r="O569">
        <v>74.843699999999998</v>
      </c>
      <c r="P569">
        <v>14.032400000000001</v>
      </c>
      <c r="Q569">
        <v>16.0227</v>
      </c>
    </row>
    <row r="570" spans="1:17" x14ac:dyDescent="0.25">
      <c r="A570" t="str">
        <f>IF(C570&amp;G570&amp;D570&lt;&gt;'Funnel setup'!$K$3&amp;'Funnel setup'!$K$4&amp;'Funnel setup'!$K$6,".",IF(A569=".",1,A569+1))</f>
        <v>.</v>
      </c>
      <c r="B570" s="244" t="str">
        <f t="shared" si="8"/>
        <v>Hip Replacement PrimaryProviderWOODTHORPE HOSPITAL (NVC40)EQ VAS</v>
      </c>
      <c r="C570" t="s">
        <v>749</v>
      </c>
      <c r="D570" t="s">
        <v>965</v>
      </c>
      <c r="E570" t="s">
        <v>720</v>
      </c>
      <c r="F570" t="s">
        <v>721</v>
      </c>
      <c r="G570" t="s">
        <v>752</v>
      </c>
      <c r="H570">
        <v>87</v>
      </c>
      <c r="I570">
        <v>57.264400000000002</v>
      </c>
      <c r="J570">
        <v>74.206900000000005</v>
      </c>
      <c r="K570">
        <v>16.942499999999999</v>
      </c>
      <c r="L570">
        <v>65</v>
      </c>
      <c r="M570">
        <v>8</v>
      </c>
      <c r="N570">
        <v>14</v>
      </c>
      <c r="O570">
        <v>73.478200000000001</v>
      </c>
      <c r="P570">
        <v>12.6669</v>
      </c>
      <c r="Q570">
        <v>15.773099999999999</v>
      </c>
    </row>
    <row r="571" spans="1:17" x14ac:dyDescent="0.25">
      <c r="A571" t="str">
        <f>IF(C571&amp;G571&amp;D571&lt;&gt;'Funnel setup'!$K$3&amp;'Funnel setup'!$K$4&amp;'Funnel setup'!$K$6,".",IF(A570=".",1,A570+1))</f>
        <v>.</v>
      </c>
      <c r="B571" s="244" t="str">
        <f t="shared" si="8"/>
        <v>Hip Replacement PrimaryProviderWORCESTERSHIRE ACUTE HOSPITALS NHS TRUST (RWP)EQ VAS</v>
      </c>
      <c r="C571" t="s">
        <v>749</v>
      </c>
      <c r="D571" t="s">
        <v>965</v>
      </c>
      <c r="E571" t="s">
        <v>722</v>
      </c>
      <c r="F571" t="s">
        <v>723</v>
      </c>
      <c r="G571" t="s">
        <v>752</v>
      </c>
      <c r="H571">
        <v>51</v>
      </c>
      <c r="I571">
        <v>55.097999999999999</v>
      </c>
      <c r="J571">
        <v>71.274500000000003</v>
      </c>
      <c r="K571">
        <v>16.176500000000001</v>
      </c>
      <c r="L571">
        <v>36</v>
      </c>
      <c r="M571">
        <v>5</v>
      </c>
      <c r="N571">
        <v>10</v>
      </c>
      <c r="O571">
        <v>76.068799999999996</v>
      </c>
      <c r="P571">
        <v>15.2576</v>
      </c>
      <c r="Q571">
        <v>15.611499999999999</v>
      </c>
    </row>
    <row r="572" spans="1:17" x14ac:dyDescent="0.25">
      <c r="A572" t="str">
        <f>IF(C572&amp;G572&amp;D572&lt;&gt;'Funnel setup'!$K$3&amp;'Funnel setup'!$K$4&amp;'Funnel setup'!$K$6,".",IF(A571=".",1,A571+1))</f>
        <v>.</v>
      </c>
      <c r="B572" s="244" t="str">
        <f t="shared" si="8"/>
        <v>Hip Replacement PrimaryProviderWRIGHTINGTON, WIGAN AND LEIGH NHS FOUNDATION TRUST (RRF)EQ VAS</v>
      </c>
      <c r="C572" t="s">
        <v>749</v>
      </c>
      <c r="D572" t="s">
        <v>965</v>
      </c>
      <c r="E572" t="s">
        <v>724</v>
      </c>
      <c r="F572" t="s">
        <v>725</v>
      </c>
      <c r="G572" t="s">
        <v>752</v>
      </c>
      <c r="H572">
        <v>9</v>
      </c>
      <c r="I572">
        <v>58.222200000000001</v>
      </c>
      <c r="J572">
        <v>83.111099999999993</v>
      </c>
      <c r="K572">
        <v>24.8889</v>
      </c>
      <c r="L572">
        <v>6</v>
      </c>
      <c r="M572">
        <v>1</v>
      </c>
      <c r="N572">
        <v>2</v>
      </c>
      <c r="O572" t="s">
        <v>127</v>
      </c>
      <c r="P572" t="s">
        <v>127</v>
      </c>
      <c r="Q572" t="s">
        <v>127</v>
      </c>
    </row>
    <row r="573" spans="1:17" x14ac:dyDescent="0.25">
      <c r="A573" t="str">
        <f>IF(C573&amp;G573&amp;D573&lt;&gt;'Funnel setup'!$K$3&amp;'Funnel setup'!$K$4&amp;'Funnel setup'!$K$6,".",IF(A572=".",1,A572+1))</f>
        <v>.</v>
      </c>
      <c r="B573" s="244" t="str">
        <f t="shared" si="8"/>
        <v>Hip Replacement PrimaryProviderWYE VALLEY NHS TRUST (RLQ)EQ VAS</v>
      </c>
      <c r="C573" t="s">
        <v>749</v>
      </c>
      <c r="D573" t="s">
        <v>965</v>
      </c>
      <c r="E573" t="s">
        <v>726</v>
      </c>
      <c r="F573" t="s">
        <v>727</v>
      </c>
      <c r="G573" t="s">
        <v>752</v>
      </c>
      <c r="H573">
        <v>20</v>
      </c>
      <c r="I573">
        <v>54.45</v>
      </c>
      <c r="J573">
        <v>76.8</v>
      </c>
      <c r="K573">
        <v>22.35</v>
      </c>
      <c r="L573">
        <v>17</v>
      </c>
      <c r="M573">
        <v>3</v>
      </c>
      <c r="N573">
        <v>0</v>
      </c>
      <c r="O573" t="s">
        <v>127</v>
      </c>
      <c r="P573" t="s">
        <v>127</v>
      </c>
      <c r="Q573" t="s">
        <v>127</v>
      </c>
    </row>
    <row r="574" spans="1:17" x14ac:dyDescent="0.25">
      <c r="A574" t="str">
        <f>IF(C574&amp;G574&amp;D574&lt;&gt;'Funnel setup'!$K$3&amp;'Funnel setup'!$K$4&amp;'Funnel setup'!$K$6,".",IF(A573=".",1,A573+1))</f>
        <v>.</v>
      </c>
      <c r="B574" s="244" t="str">
        <f t="shared" si="8"/>
        <v>Hip Replacement PrimaryProviderYORK AND SCARBOROUGH TEACHING HOSPITALS NHS FOUNDATION TRUST (RCB)EQ VAS</v>
      </c>
      <c r="C574" t="s">
        <v>749</v>
      </c>
      <c r="D574" t="s">
        <v>965</v>
      </c>
      <c r="E574" t="s">
        <v>730</v>
      </c>
      <c r="F574" t="s">
        <v>731</v>
      </c>
      <c r="G574" t="s">
        <v>752</v>
      </c>
      <c r="H574">
        <v>1</v>
      </c>
      <c r="I574">
        <v>70</v>
      </c>
      <c r="J574">
        <v>70</v>
      </c>
      <c r="K574">
        <v>0</v>
      </c>
      <c r="L574">
        <v>0</v>
      </c>
      <c r="M574">
        <v>1</v>
      </c>
      <c r="N574">
        <v>0</v>
      </c>
      <c r="O574" t="s">
        <v>127</v>
      </c>
      <c r="P574" t="s">
        <v>127</v>
      </c>
      <c r="Q574" t="s">
        <v>127</v>
      </c>
    </row>
    <row r="575" spans="1:17" x14ac:dyDescent="0.25">
      <c r="A575" t="str">
        <f>IF(C575&amp;G575&amp;D575&lt;&gt;'Funnel setup'!$K$3&amp;'Funnel setup'!$K$4&amp;'Funnel setup'!$K$6,".",IF(A574=".",1,A574+1))</f>
        <v>.</v>
      </c>
      <c r="B575" s="244" t="str">
        <f t="shared" si="8"/>
        <v>Hip Replacement PrimaryProviderSULIS HOSPITAL BATHEQ-5D Index</v>
      </c>
      <c r="C575" t="s">
        <v>749</v>
      </c>
      <c r="D575" t="s">
        <v>965</v>
      </c>
      <c r="E575" t="s">
        <v>732</v>
      </c>
      <c r="F575" t="s">
        <v>1325</v>
      </c>
      <c r="G575" t="s">
        <v>963</v>
      </c>
      <c r="H575">
        <v>36</v>
      </c>
      <c r="I575">
        <v>0.34949999999999998</v>
      </c>
      <c r="J575">
        <v>0.83625000000000005</v>
      </c>
      <c r="K575">
        <v>0.48675000000000002</v>
      </c>
      <c r="L575">
        <v>33</v>
      </c>
      <c r="M575">
        <v>2</v>
      </c>
      <c r="N575">
        <v>1</v>
      </c>
      <c r="O575">
        <v>0.82307799999999998</v>
      </c>
      <c r="P575">
        <v>0.49724000000000002</v>
      </c>
      <c r="Q575">
        <v>0.21415699999999999</v>
      </c>
    </row>
    <row r="576" spans="1:17" x14ac:dyDescent="0.25">
      <c r="A576" t="str">
        <f>IF(C576&amp;G576&amp;D576&lt;&gt;'Funnel setup'!$K$3&amp;'Funnel setup'!$K$4&amp;'Funnel setup'!$K$6,".",IF(A575=".",1,A575+1))</f>
        <v>.</v>
      </c>
      <c r="B576" s="244" t="str">
        <f t="shared" si="8"/>
        <v>Hip Replacement PrimaryProviderAIREDALE NHS FOUNDATION TRUST (RCF)EQ-5D Index</v>
      </c>
      <c r="C576" t="s">
        <v>749</v>
      </c>
      <c r="D576" t="s">
        <v>965</v>
      </c>
      <c r="E576" t="s">
        <v>125</v>
      </c>
      <c r="F576" t="s">
        <v>126</v>
      </c>
      <c r="G576" t="s">
        <v>963</v>
      </c>
      <c r="H576">
        <v>40</v>
      </c>
      <c r="I576">
        <v>0.32487500000000002</v>
      </c>
      <c r="J576">
        <v>0.83774999999999999</v>
      </c>
      <c r="K576">
        <v>0.51287499999999997</v>
      </c>
      <c r="L576">
        <v>38</v>
      </c>
      <c r="M576">
        <v>1</v>
      </c>
      <c r="N576">
        <v>1</v>
      </c>
      <c r="O576">
        <v>0.83130400000000004</v>
      </c>
      <c r="P576">
        <v>0.50546599999999997</v>
      </c>
      <c r="Q576">
        <v>0.17096</v>
      </c>
    </row>
    <row r="577" spans="1:17" x14ac:dyDescent="0.25">
      <c r="A577" t="str">
        <f>IF(C577&amp;G577&amp;D577&lt;&gt;'Funnel setup'!$K$3&amp;'Funnel setup'!$K$4&amp;'Funnel setup'!$K$6,".",IF(A576=".",1,A576+1))</f>
        <v>.</v>
      </c>
      <c r="B577" s="244" t="str">
        <f t="shared" si="8"/>
        <v>Hip Replacement PrimaryProviderALEXANDRA HOSPITAL (NT401)EQ-5D Index</v>
      </c>
      <c r="C577" t="s">
        <v>749</v>
      </c>
      <c r="D577" t="s">
        <v>965</v>
      </c>
      <c r="E577" t="s">
        <v>130</v>
      </c>
      <c r="F577" t="s">
        <v>131</v>
      </c>
      <c r="G577" t="s">
        <v>963</v>
      </c>
      <c r="H577">
        <v>30</v>
      </c>
      <c r="I577">
        <v>0.37283300000000003</v>
      </c>
      <c r="J577">
        <v>0.79490000000000005</v>
      </c>
      <c r="K577">
        <v>0.42206700000000003</v>
      </c>
      <c r="L577">
        <v>28</v>
      </c>
      <c r="M577">
        <v>1</v>
      </c>
      <c r="N577">
        <v>1</v>
      </c>
      <c r="O577">
        <v>0.77164500000000003</v>
      </c>
      <c r="P577">
        <v>0.44580599999999998</v>
      </c>
      <c r="Q577">
        <v>0.216581</v>
      </c>
    </row>
    <row r="578" spans="1:17" x14ac:dyDescent="0.25">
      <c r="A578" t="str">
        <f>IF(C578&amp;G578&amp;D578&lt;&gt;'Funnel setup'!$K$3&amp;'Funnel setup'!$K$4&amp;'Funnel setup'!$K$6,".",IF(A577=".",1,A577+1))</f>
        <v>.</v>
      </c>
      <c r="B578" s="244" t="str">
        <f t="shared" ref="B578:B641" si="9">C578&amp;D578&amp;F578&amp;G578</f>
        <v>Hip Replacement PrimaryProviderASHFORD AND ST PETER'S HOSPITALS NHS FOUNDATION TRUST (RTK)EQ-5D Index</v>
      </c>
      <c r="C578" t="s">
        <v>749</v>
      </c>
      <c r="D578" t="s">
        <v>965</v>
      </c>
      <c r="E578" t="s">
        <v>132</v>
      </c>
      <c r="F578" t="s">
        <v>133</v>
      </c>
      <c r="G578" t="s">
        <v>963</v>
      </c>
      <c r="H578">
        <v>62</v>
      </c>
      <c r="I578">
        <v>0.37637100000000001</v>
      </c>
      <c r="J578">
        <v>0.82804800000000001</v>
      </c>
      <c r="K578">
        <v>0.451677</v>
      </c>
      <c r="L578">
        <v>55</v>
      </c>
      <c r="M578">
        <v>2</v>
      </c>
      <c r="N578">
        <v>5</v>
      </c>
      <c r="O578">
        <v>0.79738900000000001</v>
      </c>
      <c r="P578">
        <v>0.47155000000000002</v>
      </c>
      <c r="Q578">
        <v>0.187029</v>
      </c>
    </row>
    <row r="579" spans="1:17" x14ac:dyDescent="0.25">
      <c r="A579" t="str">
        <f>IF(C579&amp;G579&amp;D579&lt;&gt;'Funnel setup'!$K$3&amp;'Funnel setup'!$K$4&amp;'Funnel setup'!$K$6,".",IF(A578=".",1,A578+1))</f>
        <v>.</v>
      </c>
      <c r="B579" s="244" t="str">
        <f t="shared" si="9"/>
        <v>Hip Replacement PrimaryProviderASHTEAD HOSPITAL (NVC01)EQ-5D Index</v>
      </c>
      <c r="C579" t="s">
        <v>749</v>
      </c>
      <c r="D579" t="s">
        <v>965</v>
      </c>
      <c r="E579" t="s">
        <v>134</v>
      </c>
      <c r="F579" t="s">
        <v>135</v>
      </c>
      <c r="G579" t="s">
        <v>963</v>
      </c>
      <c r="H579">
        <v>12</v>
      </c>
      <c r="I579">
        <v>0.32574999999999998</v>
      </c>
      <c r="J579">
        <v>0.89866699999999999</v>
      </c>
      <c r="K579">
        <v>0.57291700000000001</v>
      </c>
      <c r="L579">
        <v>12</v>
      </c>
      <c r="M579">
        <v>0</v>
      </c>
      <c r="N579">
        <v>0</v>
      </c>
      <c r="O579" t="s">
        <v>127</v>
      </c>
      <c r="P579" t="s">
        <v>127</v>
      </c>
      <c r="Q579" t="s">
        <v>127</v>
      </c>
    </row>
    <row r="580" spans="1:17" x14ac:dyDescent="0.25">
      <c r="A580" t="str">
        <f>IF(C580&amp;G580&amp;D580&lt;&gt;'Funnel setup'!$K$3&amp;'Funnel setup'!$K$4&amp;'Funnel setup'!$K$6,".",IF(A579=".",1,A579+1))</f>
        <v>.</v>
      </c>
      <c r="B580" s="244" t="str">
        <f t="shared" si="9"/>
        <v>Hip Replacement PrimaryProviderBARKING, HAVERING AND REDBRIDGE UNIVERSITY HOSPITALS NHS TRUST (RF4)EQ-5D Index</v>
      </c>
      <c r="C580" t="s">
        <v>749</v>
      </c>
      <c r="D580" t="s">
        <v>965</v>
      </c>
      <c r="E580" t="s">
        <v>144</v>
      </c>
      <c r="F580" t="s">
        <v>145</v>
      </c>
      <c r="G580" t="s">
        <v>963</v>
      </c>
      <c r="H580">
        <v>49</v>
      </c>
      <c r="I580">
        <v>0.207367</v>
      </c>
      <c r="J580">
        <v>0.68844899999999998</v>
      </c>
      <c r="K580">
        <v>0.48108200000000001</v>
      </c>
      <c r="L580">
        <v>43</v>
      </c>
      <c r="M580">
        <v>4</v>
      </c>
      <c r="N580">
        <v>2</v>
      </c>
      <c r="O580">
        <v>0.73048999999999997</v>
      </c>
      <c r="P580">
        <v>0.40465099999999998</v>
      </c>
      <c r="Q580">
        <v>0.28077099999999999</v>
      </c>
    </row>
    <row r="581" spans="1:17" x14ac:dyDescent="0.25">
      <c r="A581" t="str">
        <f>IF(C581&amp;G581&amp;D581&lt;&gt;'Funnel setup'!$K$3&amp;'Funnel setup'!$K$4&amp;'Funnel setup'!$K$6,".",IF(A580=".",1,A580+1))</f>
        <v>.</v>
      </c>
      <c r="B581" s="244" t="str">
        <f t="shared" si="9"/>
        <v>Hip Replacement PrimaryProviderBARNSLEY HOSPITAL NHS FOUNDATION TRUST (RFF)EQ-5D Index</v>
      </c>
      <c r="C581" t="s">
        <v>749</v>
      </c>
      <c r="D581" t="s">
        <v>965</v>
      </c>
      <c r="E581" t="s">
        <v>146</v>
      </c>
      <c r="F581" t="s">
        <v>147</v>
      </c>
      <c r="G581" t="s">
        <v>963</v>
      </c>
      <c r="H581">
        <v>41</v>
      </c>
      <c r="I581">
        <v>0.237293</v>
      </c>
      <c r="J581">
        <v>0.71826800000000002</v>
      </c>
      <c r="K581">
        <v>0.48097600000000001</v>
      </c>
      <c r="L581">
        <v>38</v>
      </c>
      <c r="M581">
        <v>1</v>
      </c>
      <c r="N581">
        <v>2</v>
      </c>
      <c r="O581">
        <v>0.75911700000000004</v>
      </c>
      <c r="P581">
        <v>0.43327900000000003</v>
      </c>
      <c r="Q581">
        <v>0.155137</v>
      </c>
    </row>
    <row r="582" spans="1:17" x14ac:dyDescent="0.25">
      <c r="A582" t="str">
        <f>IF(C582&amp;G582&amp;D582&lt;&gt;'Funnel setup'!$K$3&amp;'Funnel setup'!$K$4&amp;'Funnel setup'!$K$6,".",IF(A581=".",1,A581+1))</f>
        <v>.</v>
      </c>
      <c r="B582" s="244" t="str">
        <f t="shared" si="9"/>
        <v>Hip Replacement PrimaryProviderBARTS HEALTH NHS TRUST (R1H)EQ-5D Index</v>
      </c>
      <c r="C582" t="s">
        <v>749</v>
      </c>
      <c r="D582" t="s">
        <v>965</v>
      </c>
      <c r="E582" t="s">
        <v>148</v>
      </c>
      <c r="F582" t="s">
        <v>149</v>
      </c>
      <c r="G582" t="s">
        <v>963</v>
      </c>
      <c r="H582">
        <v>38</v>
      </c>
      <c r="I582">
        <v>0.33494699999999999</v>
      </c>
      <c r="J582">
        <v>0.77871100000000004</v>
      </c>
      <c r="K582">
        <v>0.44376300000000002</v>
      </c>
      <c r="L582">
        <v>34</v>
      </c>
      <c r="M582">
        <v>2</v>
      </c>
      <c r="N582">
        <v>2</v>
      </c>
      <c r="O582">
        <v>0.78778599999999999</v>
      </c>
      <c r="P582">
        <v>0.46194800000000003</v>
      </c>
      <c r="Q582">
        <v>0.226906</v>
      </c>
    </row>
    <row r="583" spans="1:17" x14ac:dyDescent="0.25">
      <c r="A583" t="str">
        <f>IF(C583&amp;G583&amp;D583&lt;&gt;'Funnel setup'!$K$3&amp;'Funnel setup'!$K$4&amp;'Funnel setup'!$K$6,".",IF(A582=".",1,A582+1))</f>
        <v>.</v>
      </c>
      <c r="B583" s="244" t="str">
        <f t="shared" si="9"/>
        <v>Hip Replacement PrimaryProviderBATH CLINIC (NT402)EQ-5D Index</v>
      </c>
      <c r="C583" t="s">
        <v>749</v>
      </c>
      <c r="D583" t="s">
        <v>965</v>
      </c>
      <c r="E583" t="s">
        <v>152</v>
      </c>
      <c r="F583" t="s">
        <v>153</v>
      </c>
      <c r="G583" t="s">
        <v>963</v>
      </c>
      <c r="H583">
        <v>76</v>
      </c>
      <c r="I583">
        <v>0.47964499999999999</v>
      </c>
      <c r="J583">
        <v>0.83648699999999998</v>
      </c>
      <c r="K583">
        <v>0.35684199999999999</v>
      </c>
      <c r="L583">
        <v>67</v>
      </c>
      <c r="M583">
        <v>4</v>
      </c>
      <c r="N583">
        <v>5</v>
      </c>
      <c r="O583">
        <v>0.76510100000000003</v>
      </c>
      <c r="P583">
        <v>0.43926300000000001</v>
      </c>
      <c r="Q583">
        <v>0.18875600000000001</v>
      </c>
    </row>
    <row r="584" spans="1:17" x14ac:dyDescent="0.25">
      <c r="A584" t="str">
        <f>IF(C584&amp;G584&amp;D584&lt;&gt;'Funnel setup'!$K$3&amp;'Funnel setup'!$K$4&amp;'Funnel setup'!$K$6,".",IF(A583=".",1,A583+1))</f>
        <v>.</v>
      </c>
      <c r="B584" s="244" t="str">
        <f t="shared" si="9"/>
        <v>Hip Replacement PrimaryProviderBEARDWOOD HOSPITAL (NT403)EQ-5D Index</v>
      </c>
      <c r="C584" t="s">
        <v>749</v>
      </c>
      <c r="D584" t="s">
        <v>965</v>
      </c>
      <c r="E584" t="s">
        <v>154</v>
      </c>
      <c r="F584" t="s">
        <v>155</v>
      </c>
      <c r="G584" t="s">
        <v>963</v>
      </c>
      <c r="H584">
        <v>79</v>
      </c>
      <c r="I584">
        <v>0.42408899999999999</v>
      </c>
      <c r="J584">
        <v>0.83927799999999997</v>
      </c>
      <c r="K584">
        <v>0.41519</v>
      </c>
      <c r="L584">
        <v>75</v>
      </c>
      <c r="M584">
        <v>0</v>
      </c>
      <c r="N584">
        <v>4</v>
      </c>
      <c r="O584">
        <v>0.80413299999999999</v>
      </c>
      <c r="P584">
        <v>0.47829500000000003</v>
      </c>
      <c r="Q584">
        <v>0.20421700000000001</v>
      </c>
    </row>
    <row r="585" spans="1:17" x14ac:dyDescent="0.25">
      <c r="A585" t="str">
        <f>IF(C585&amp;G585&amp;D585&lt;&gt;'Funnel setup'!$K$3&amp;'Funnel setup'!$K$4&amp;'Funnel setup'!$K$6,".",IF(A584=".",1,A584+1))</f>
        <v>.</v>
      </c>
      <c r="B585" s="244" t="str">
        <f t="shared" si="9"/>
        <v>Hip Replacement PrimaryProviderBEAUMONT HOSPITAL (NT404)EQ-5D Index</v>
      </c>
      <c r="C585" t="s">
        <v>749</v>
      </c>
      <c r="D585" t="s">
        <v>965</v>
      </c>
      <c r="E585" t="s">
        <v>156</v>
      </c>
      <c r="F585" t="s">
        <v>157</v>
      </c>
      <c r="G585" t="s">
        <v>963</v>
      </c>
      <c r="H585">
        <v>13</v>
      </c>
      <c r="I585">
        <v>0.47353800000000001</v>
      </c>
      <c r="J585">
        <v>0.89238499999999998</v>
      </c>
      <c r="K585">
        <v>0.418846</v>
      </c>
      <c r="L585">
        <v>13</v>
      </c>
      <c r="M585">
        <v>0</v>
      </c>
      <c r="N585">
        <v>0</v>
      </c>
      <c r="O585" t="s">
        <v>127</v>
      </c>
      <c r="P585" t="s">
        <v>127</v>
      </c>
      <c r="Q585" t="s">
        <v>127</v>
      </c>
    </row>
    <row r="586" spans="1:17" x14ac:dyDescent="0.25">
      <c r="A586" t="str">
        <f>IF(C586&amp;G586&amp;D586&lt;&gt;'Funnel setup'!$K$3&amp;'Funnel setup'!$K$4&amp;'Funnel setup'!$K$6,".",IF(A585=".",1,A585+1))</f>
        <v>.</v>
      </c>
      <c r="B586" s="244" t="str">
        <f t="shared" si="9"/>
        <v>Hip Replacement PrimaryProviderBEDFORDSHIRE HOSPITALS NHS FOUNDATION TRUST (RC9)EQ-5D Index</v>
      </c>
      <c r="C586" t="s">
        <v>749</v>
      </c>
      <c r="D586" t="s">
        <v>965</v>
      </c>
      <c r="E586" t="s">
        <v>158</v>
      </c>
      <c r="F586" t="s">
        <v>159</v>
      </c>
      <c r="G586" t="s">
        <v>963</v>
      </c>
      <c r="H586">
        <v>121</v>
      </c>
      <c r="I586">
        <v>0.23852899999999999</v>
      </c>
      <c r="J586">
        <v>0.70176000000000005</v>
      </c>
      <c r="K586">
        <v>0.463231</v>
      </c>
      <c r="L586">
        <v>106</v>
      </c>
      <c r="M586">
        <v>8</v>
      </c>
      <c r="N586">
        <v>7</v>
      </c>
      <c r="O586">
        <v>0.73823399999999995</v>
      </c>
      <c r="P586">
        <v>0.41239500000000001</v>
      </c>
      <c r="Q586">
        <v>0.26423999999999997</v>
      </c>
    </row>
    <row r="587" spans="1:17" x14ac:dyDescent="0.25">
      <c r="A587" t="str">
        <f>IF(C587&amp;G587&amp;D587&lt;&gt;'Funnel setup'!$K$3&amp;'Funnel setup'!$K$4&amp;'Funnel setup'!$K$6,".",IF(A586=".",1,A586+1))</f>
        <v>.</v>
      </c>
      <c r="B587" s="244" t="str">
        <f t="shared" si="9"/>
        <v>Hip Replacement PrimaryProviderBENENDEN HOSPITAL (NWF01)EQ-5D Index</v>
      </c>
      <c r="C587" t="s">
        <v>749</v>
      </c>
      <c r="D587" t="s">
        <v>965</v>
      </c>
      <c r="E587" t="s">
        <v>160</v>
      </c>
      <c r="F587" t="s">
        <v>161</v>
      </c>
      <c r="G587" t="s">
        <v>963</v>
      </c>
      <c r="H587">
        <v>20</v>
      </c>
      <c r="I587">
        <v>0.36704999999999999</v>
      </c>
      <c r="J587">
        <v>0.74209999999999998</v>
      </c>
      <c r="K587">
        <v>0.37504999999999999</v>
      </c>
      <c r="L587">
        <v>19</v>
      </c>
      <c r="M587">
        <v>0</v>
      </c>
      <c r="N587">
        <v>1</v>
      </c>
      <c r="O587" t="s">
        <v>127</v>
      </c>
      <c r="P587" t="s">
        <v>127</v>
      </c>
      <c r="Q587" t="s">
        <v>127</v>
      </c>
    </row>
    <row r="588" spans="1:17" x14ac:dyDescent="0.25">
      <c r="A588" t="str">
        <f>IF(C588&amp;G588&amp;D588&lt;&gt;'Funnel setup'!$K$3&amp;'Funnel setup'!$K$4&amp;'Funnel setup'!$K$6,".",IF(A587=".",1,A587+1))</f>
        <v>.</v>
      </c>
      <c r="B588" s="244" t="str">
        <f t="shared" si="9"/>
        <v>Hip Replacement PrimaryProviderBISHOPS WOOD HOSPITAL (NT405)EQ-5D Index</v>
      </c>
      <c r="C588" t="s">
        <v>749</v>
      </c>
      <c r="D588" t="s">
        <v>965</v>
      </c>
      <c r="E588" t="s">
        <v>166</v>
      </c>
      <c r="F588" t="s">
        <v>167</v>
      </c>
      <c r="G588" t="s">
        <v>963</v>
      </c>
      <c r="H588">
        <v>3</v>
      </c>
      <c r="I588">
        <v>0.71399999999999997</v>
      </c>
      <c r="J588">
        <v>1</v>
      </c>
      <c r="K588">
        <v>0.28599999999999998</v>
      </c>
      <c r="L588">
        <v>3</v>
      </c>
      <c r="M588">
        <v>0</v>
      </c>
      <c r="N588">
        <v>0</v>
      </c>
      <c r="O588" t="s">
        <v>127</v>
      </c>
      <c r="P588" t="s">
        <v>127</v>
      </c>
      <c r="Q588" t="s">
        <v>127</v>
      </c>
    </row>
    <row r="589" spans="1:17" x14ac:dyDescent="0.25">
      <c r="A589" t="str">
        <f>IF(C589&amp;G589&amp;D589&lt;&gt;'Funnel setup'!$K$3&amp;'Funnel setup'!$K$4&amp;'Funnel setup'!$K$6,".",IF(A588=".",1,A588+1))</f>
        <v>.</v>
      </c>
      <c r="B589" s="244" t="str">
        <f t="shared" si="9"/>
        <v>Hip Replacement PrimaryProviderBLACKHEATH HOSPITAL (NT406)EQ-5D Index</v>
      </c>
      <c r="C589" t="s">
        <v>749</v>
      </c>
      <c r="D589" t="s">
        <v>965</v>
      </c>
      <c r="E589" t="s">
        <v>168</v>
      </c>
      <c r="F589" t="s">
        <v>169</v>
      </c>
      <c r="G589" t="s">
        <v>963</v>
      </c>
      <c r="H589">
        <v>13</v>
      </c>
      <c r="I589">
        <v>0.32938499999999998</v>
      </c>
      <c r="J589">
        <v>0.856846</v>
      </c>
      <c r="K589">
        <v>0.52746199999999999</v>
      </c>
      <c r="L589">
        <v>11</v>
      </c>
      <c r="M589">
        <v>2</v>
      </c>
      <c r="N589">
        <v>0</v>
      </c>
      <c r="O589" t="s">
        <v>127</v>
      </c>
      <c r="P589" t="s">
        <v>127</v>
      </c>
      <c r="Q589" t="s">
        <v>127</v>
      </c>
    </row>
    <row r="590" spans="1:17" x14ac:dyDescent="0.25">
      <c r="A590" t="str">
        <f>IF(C590&amp;G590&amp;D590&lt;&gt;'Funnel setup'!$K$3&amp;'Funnel setup'!$K$4&amp;'Funnel setup'!$K$6,".",IF(A589=".",1,A589+1))</f>
        <v>.</v>
      </c>
      <c r="B590" s="244" t="str">
        <f t="shared" si="9"/>
        <v>Hip Replacement PrimaryProviderBLACKPOOL TEACHING HOSPITALS NHS FOUNDATION TRUST (RXL)EQ-5D Index</v>
      </c>
      <c r="C590" t="s">
        <v>749</v>
      </c>
      <c r="D590" t="s">
        <v>965</v>
      </c>
      <c r="E590" t="s">
        <v>170</v>
      </c>
      <c r="F590" t="s">
        <v>171</v>
      </c>
      <c r="G590" t="s">
        <v>963</v>
      </c>
      <c r="H590">
        <v>55</v>
      </c>
      <c r="I590">
        <v>0.40500000000000003</v>
      </c>
      <c r="J590">
        <v>0.72774499999999998</v>
      </c>
      <c r="K590">
        <v>0.322745</v>
      </c>
      <c r="L590">
        <v>46</v>
      </c>
      <c r="M590">
        <v>3</v>
      </c>
      <c r="N590">
        <v>6</v>
      </c>
      <c r="O590">
        <v>0.74227100000000001</v>
      </c>
      <c r="P590">
        <v>0.416433</v>
      </c>
      <c r="Q590">
        <v>0.23838000000000001</v>
      </c>
    </row>
    <row r="591" spans="1:17" x14ac:dyDescent="0.25">
      <c r="A591" t="str">
        <f>IF(C591&amp;G591&amp;D591&lt;&gt;'Funnel setup'!$K$3&amp;'Funnel setup'!$K$4&amp;'Funnel setup'!$K$6,".",IF(A590=".",1,A590+1))</f>
        <v>.</v>
      </c>
      <c r="B591" s="244" t="str">
        <f t="shared" si="9"/>
        <v>Hip Replacement PrimaryProviderBOLTON NHS FOUNDATION TRUST (RMC)EQ-5D Index</v>
      </c>
      <c r="C591" t="s">
        <v>749</v>
      </c>
      <c r="D591" t="s">
        <v>965</v>
      </c>
      <c r="E591" t="s">
        <v>172</v>
      </c>
      <c r="F591" t="s">
        <v>173</v>
      </c>
      <c r="G591" t="s">
        <v>963</v>
      </c>
      <c r="H591">
        <v>40</v>
      </c>
      <c r="I591">
        <v>0.18429999999999999</v>
      </c>
      <c r="J591">
        <v>0.70427499999999998</v>
      </c>
      <c r="K591">
        <v>0.51997499999999997</v>
      </c>
      <c r="L591">
        <v>35</v>
      </c>
      <c r="M591">
        <v>1</v>
      </c>
      <c r="N591">
        <v>4</v>
      </c>
      <c r="O591">
        <v>0.76200000000000001</v>
      </c>
      <c r="P591">
        <v>0.43616199999999999</v>
      </c>
      <c r="Q591">
        <v>0.27329900000000001</v>
      </c>
    </row>
    <row r="592" spans="1:17" x14ac:dyDescent="0.25">
      <c r="A592" t="str">
        <f>IF(C592&amp;G592&amp;D592&lt;&gt;'Funnel setup'!$K$3&amp;'Funnel setup'!$K$4&amp;'Funnel setup'!$K$6,".",IF(A591=".",1,A591+1))</f>
        <v>.</v>
      </c>
      <c r="B592" s="244" t="str">
        <f t="shared" si="9"/>
        <v>Hip Replacement PrimaryProviderBRADFORD TEACHING HOSPITALS NHS FOUNDATION TRUST (RAE)EQ-5D Index</v>
      </c>
      <c r="C592" t="s">
        <v>749</v>
      </c>
      <c r="D592" t="s">
        <v>965</v>
      </c>
      <c r="E592" t="s">
        <v>174</v>
      </c>
      <c r="F592" t="s">
        <v>175</v>
      </c>
      <c r="G592" t="s">
        <v>963</v>
      </c>
      <c r="H592">
        <v>2</v>
      </c>
      <c r="I592">
        <v>-1.55E-2</v>
      </c>
      <c r="J592">
        <v>0.75800000000000001</v>
      </c>
      <c r="K592">
        <v>0.77349999999999997</v>
      </c>
      <c r="L592">
        <v>2</v>
      </c>
      <c r="M592">
        <v>0</v>
      </c>
      <c r="N592">
        <v>0</v>
      </c>
      <c r="O592" t="s">
        <v>127</v>
      </c>
      <c r="P592" t="s">
        <v>127</v>
      </c>
      <c r="Q592" t="s">
        <v>127</v>
      </c>
    </row>
    <row r="593" spans="1:17" x14ac:dyDescent="0.25">
      <c r="A593" t="str">
        <f>IF(C593&amp;G593&amp;D593&lt;&gt;'Funnel setup'!$K$3&amp;'Funnel setup'!$K$4&amp;'Funnel setup'!$K$6,".",IF(A592=".",1,A592+1))</f>
        <v>.</v>
      </c>
      <c r="B593" s="244" t="str">
        <f t="shared" si="9"/>
        <v>Hip Replacement PrimaryProviderBUCKINGHAMSHIRE HEALTHCARE NHS TRUST (RXQ)EQ-5D Index</v>
      </c>
      <c r="C593" t="s">
        <v>749</v>
      </c>
      <c r="D593" t="s">
        <v>965</v>
      </c>
      <c r="E593" t="s">
        <v>178</v>
      </c>
      <c r="F593" t="s">
        <v>179</v>
      </c>
      <c r="G593" t="s">
        <v>963</v>
      </c>
      <c r="H593">
        <v>84</v>
      </c>
      <c r="I593">
        <v>0.27804800000000002</v>
      </c>
      <c r="J593">
        <v>0.68247599999999997</v>
      </c>
      <c r="K593">
        <v>0.40442899999999998</v>
      </c>
      <c r="L593">
        <v>70</v>
      </c>
      <c r="M593">
        <v>7</v>
      </c>
      <c r="N593">
        <v>7</v>
      </c>
      <c r="O593">
        <v>0.707256</v>
      </c>
      <c r="P593">
        <v>0.38141799999999998</v>
      </c>
      <c r="Q593">
        <v>0.30487500000000001</v>
      </c>
    </row>
    <row r="594" spans="1:17" x14ac:dyDescent="0.25">
      <c r="A594" t="str">
        <f>IF(C594&amp;G594&amp;D594&lt;&gt;'Funnel setup'!$K$3&amp;'Funnel setup'!$K$4&amp;'Funnel setup'!$K$6,".",IF(A593=".",1,A593+1))</f>
        <v>.</v>
      </c>
      <c r="B594" s="244" t="str">
        <f t="shared" si="9"/>
        <v>Hip Replacement PrimaryProviderCALDERDALE AND HUDDERSFIELD NHS FOUNDATION TRUST (RWY)EQ-5D Index</v>
      </c>
      <c r="C594" t="s">
        <v>749</v>
      </c>
      <c r="D594" t="s">
        <v>965</v>
      </c>
      <c r="E594" t="s">
        <v>180</v>
      </c>
      <c r="F594" t="s">
        <v>181</v>
      </c>
      <c r="G594" t="s">
        <v>963</v>
      </c>
      <c r="H594">
        <v>92</v>
      </c>
      <c r="I594">
        <v>0.33248899999999998</v>
      </c>
      <c r="J594">
        <v>0.79829300000000003</v>
      </c>
      <c r="K594">
        <v>0.465804</v>
      </c>
      <c r="L594">
        <v>83</v>
      </c>
      <c r="M594">
        <v>3</v>
      </c>
      <c r="N594">
        <v>6</v>
      </c>
      <c r="O594">
        <v>0.80230699999999999</v>
      </c>
      <c r="P594">
        <v>0.47646899999999998</v>
      </c>
      <c r="Q594">
        <v>0.22472500000000001</v>
      </c>
    </row>
    <row r="595" spans="1:17" x14ac:dyDescent="0.25">
      <c r="A595" t="str">
        <f>IF(C595&amp;G595&amp;D595&lt;&gt;'Funnel setup'!$K$3&amp;'Funnel setup'!$K$4&amp;'Funnel setup'!$K$6,".",IF(A594=".",1,A594+1))</f>
        <v>.</v>
      </c>
      <c r="B595" s="244" t="str">
        <f t="shared" si="9"/>
        <v>Hip Replacement PrimaryProviderCAMBRIDGE UNIVERSITY HOSPITALS NHS FOUNDATION TRUST (RGT)EQ-5D Index</v>
      </c>
      <c r="C595" t="s">
        <v>749</v>
      </c>
      <c r="D595" t="s">
        <v>965</v>
      </c>
      <c r="E595" t="s">
        <v>182</v>
      </c>
      <c r="F595" t="s">
        <v>183</v>
      </c>
      <c r="G595" t="s">
        <v>963</v>
      </c>
      <c r="H595">
        <v>65</v>
      </c>
      <c r="I595">
        <v>0.154415</v>
      </c>
      <c r="J595">
        <v>0.69287699999999997</v>
      </c>
      <c r="K595">
        <v>0.538462</v>
      </c>
      <c r="L595">
        <v>56</v>
      </c>
      <c r="M595">
        <v>4</v>
      </c>
      <c r="N595">
        <v>5</v>
      </c>
      <c r="O595">
        <v>0.739093</v>
      </c>
      <c r="P595">
        <v>0.41325499999999998</v>
      </c>
      <c r="Q595">
        <v>0.258992</v>
      </c>
    </row>
    <row r="596" spans="1:17" x14ac:dyDescent="0.25">
      <c r="A596" t="str">
        <f>IF(C596&amp;G596&amp;D596&lt;&gt;'Funnel setup'!$K$3&amp;'Funnel setup'!$K$4&amp;'Funnel setup'!$K$6,".",IF(A595=".",1,A595+1))</f>
        <v>.</v>
      </c>
      <c r="B596" s="244" t="str">
        <f t="shared" si="9"/>
        <v>Hip Replacement PrimaryProviderCAVELL HOSPITAL (NT451)EQ-5D Index</v>
      </c>
      <c r="C596" t="s">
        <v>749</v>
      </c>
      <c r="D596" t="s">
        <v>965</v>
      </c>
      <c r="E596" t="s">
        <v>184</v>
      </c>
      <c r="F596" t="s">
        <v>185</v>
      </c>
      <c r="G596" t="s">
        <v>963</v>
      </c>
      <c r="H596">
        <v>17</v>
      </c>
      <c r="I596">
        <v>0.36535299999999998</v>
      </c>
      <c r="J596">
        <v>0.84629399999999999</v>
      </c>
      <c r="K596">
        <v>0.48094100000000001</v>
      </c>
      <c r="L596">
        <v>15</v>
      </c>
      <c r="M596">
        <v>1</v>
      </c>
      <c r="N596">
        <v>1</v>
      </c>
      <c r="O596" t="s">
        <v>127</v>
      </c>
      <c r="P596" t="s">
        <v>127</v>
      </c>
      <c r="Q596" t="s">
        <v>127</v>
      </c>
    </row>
    <row r="597" spans="1:17" x14ac:dyDescent="0.25">
      <c r="A597" t="str">
        <f>IF(C597&amp;G597&amp;D597&lt;&gt;'Funnel setup'!$K$3&amp;'Funnel setup'!$K$4&amp;'Funnel setup'!$K$6,".",IF(A596=".",1,A596+1))</f>
        <v>.</v>
      </c>
      <c r="B597" s="244" t="str">
        <f t="shared" si="9"/>
        <v>Hip Replacement PrimaryProviderCHAUCER HOSPITAL (NT408)EQ-5D Index</v>
      </c>
      <c r="C597" t="s">
        <v>749</v>
      </c>
      <c r="D597" t="s">
        <v>965</v>
      </c>
      <c r="E597" t="s">
        <v>186</v>
      </c>
      <c r="F597" t="s">
        <v>187</v>
      </c>
      <c r="G597" t="s">
        <v>963</v>
      </c>
      <c r="H597">
        <v>29</v>
      </c>
      <c r="I597">
        <v>0.41903400000000002</v>
      </c>
      <c r="J597">
        <v>0.772621</v>
      </c>
      <c r="K597">
        <v>0.35358600000000001</v>
      </c>
      <c r="L597">
        <v>25</v>
      </c>
      <c r="M597">
        <v>2</v>
      </c>
      <c r="N597">
        <v>2</v>
      </c>
      <c r="O597" t="s">
        <v>127</v>
      </c>
      <c r="P597" t="s">
        <v>127</v>
      </c>
      <c r="Q597" t="s">
        <v>127</v>
      </c>
    </row>
    <row r="598" spans="1:17" x14ac:dyDescent="0.25">
      <c r="A598" t="str">
        <f>IF(C598&amp;G598&amp;D598&lt;&gt;'Funnel setup'!$K$3&amp;'Funnel setup'!$K$4&amp;'Funnel setup'!$K$6,".",IF(A597=".",1,A597+1))</f>
        <v>.</v>
      </c>
      <c r="B598" s="244" t="str">
        <f t="shared" si="9"/>
        <v>Hip Replacement PrimaryProviderCHELSEA AND WESTMINSTER HOSPITAL NHS FOUNDATION TRUST (RQM)EQ-5D Index</v>
      </c>
      <c r="C598" t="s">
        <v>749</v>
      </c>
      <c r="D598" t="s">
        <v>965</v>
      </c>
      <c r="E598" t="s">
        <v>188</v>
      </c>
      <c r="F598" t="s">
        <v>189</v>
      </c>
      <c r="G598" t="s">
        <v>963</v>
      </c>
      <c r="H598">
        <v>18</v>
      </c>
      <c r="I598">
        <v>0.27411099999999999</v>
      </c>
      <c r="J598">
        <v>0.80466700000000002</v>
      </c>
      <c r="K598">
        <v>0.53055600000000003</v>
      </c>
      <c r="L598">
        <v>17</v>
      </c>
      <c r="M598">
        <v>1</v>
      </c>
      <c r="N598">
        <v>0</v>
      </c>
      <c r="O598" t="s">
        <v>127</v>
      </c>
      <c r="P598" t="s">
        <v>127</v>
      </c>
      <c r="Q598" t="s">
        <v>127</v>
      </c>
    </row>
    <row r="599" spans="1:17" x14ac:dyDescent="0.25">
      <c r="A599" t="str">
        <f>IF(C599&amp;G599&amp;D599&lt;&gt;'Funnel setup'!$K$3&amp;'Funnel setup'!$K$4&amp;'Funnel setup'!$K$6,".",IF(A598=".",1,A598+1))</f>
        <v>.</v>
      </c>
      <c r="B599" s="244" t="str">
        <f t="shared" si="9"/>
        <v>Hip Replacement PrimaryProviderCHELSFIELD PARK HOSPITAL (NT409)EQ-5D Index</v>
      </c>
      <c r="C599" t="s">
        <v>749</v>
      </c>
      <c r="D599" t="s">
        <v>965</v>
      </c>
      <c r="E599" t="s">
        <v>190</v>
      </c>
      <c r="F599" t="s">
        <v>191</v>
      </c>
      <c r="G599" t="s">
        <v>963</v>
      </c>
      <c r="H599">
        <v>30</v>
      </c>
      <c r="I599">
        <v>0.47836699999999999</v>
      </c>
      <c r="J599">
        <v>0.86699999999999999</v>
      </c>
      <c r="K599">
        <v>0.38863300000000001</v>
      </c>
      <c r="L599">
        <v>26</v>
      </c>
      <c r="M599">
        <v>2</v>
      </c>
      <c r="N599">
        <v>2</v>
      </c>
      <c r="O599">
        <v>0.80386899999999994</v>
      </c>
      <c r="P599">
        <v>0.47803000000000001</v>
      </c>
      <c r="Q599">
        <v>0.18375</v>
      </c>
    </row>
    <row r="600" spans="1:17" x14ac:dyDescent="0.25">
      <c r="A600" t="str">
        <f>IF(C600&amp;G600&amp;D600&lt;&gt;'Funnel setup'!$K$3&amp;'Funnel setup'!$K$4&amp;'Funnel setup'!$K$6,".",IF(A599=".",1,A599+1))</f>
        <v>.</v>
      </c>
      <c r="B600" s="244" t="str">
        <f t="shared" si="9"/>
        <v>Hip Replacement PrimaryProviderCHESTERFIELD ROYAL HOSPITAL NHS FOUNDATION TRUST (RFS)EQ-5D Index</v>
      </c>
      <c r="C600" t="s">
        <v>749</v>
      </c>
      <c r="D600" t="s">
        <v>965</v>
      </c>
      <c r="E600" t="s">
        <v>192</v>
      </c>
      <c r="F600" t="s">
        <v>193</v>
      </c>
      <c r="G600" t="s">
        <v>963</v>
      </c>
      <c r="H600">
        <v>59</v>
      </c>
      <c r="I600">
        <v>0.27169500000000002</v>
      </c>
      <c r="J600">
        <v>0.675373</v>
      </c>
      <c r="K600">
        <v>0.40367799999999998</v>
      </c>
      <c r="L600">
        <v>49</v>
      </c>
      <c r="M600">
        <v>1</v>
      </c>
      <c r="N600">
        <v>9</v>
      </c>
      <c r="O600">
        <v>0.71188399999999996</v>
      </c>
      <c r="P600">
        <v>0.386046</v>
      </c>
      <c r="Q600">
        <v>0.29362300000000002</v>
      </c>
    </row>
    <row r="601" spans="1:17" x14ac:dyDescent="0.25">
      <c r="A601" t="str">
        <f>IF(C601&amp;G601&amp;D601&lt;&gt;'Funnel setup'!$K$3&amp;'Funnel setup'!$K$4&amp;'Funnel setup'!$K$6,".",IF(A600=".",1,A600+1))</f>
        <v>.</v>
      </c>
      <c r="B601" s="244" t="str">
        <f t="shared" si="9"/>
        <v>Hip Replacement PrimaryProviderCHILTERN HOSPITAL (NT410)EQ-5D Index</v>
      </c>
      <c r="C601" t="s">
        <v>749</v>
      </c>
      <c r="D601" t="s">
        <v>965</v>
      </c>
      <c r="E601" t="s">
        <v>194</v>
      </c>
      <c r="F601" t="s">
        <v>195</v>
      </c>
      <c r="G601" t="s">
        <v>963</v>
      </c>
      <c r="H601">
        <v>74</v>
      </c>
      <c r="I601">
        <v>0.38620300000000002</v>
      </c>
      <c r="J601">
        <v>0.84375699999999998</v>
      </c>
      <c r="K601">
        <v>0.45755400000000002</v>
      </c>
      <c r="L601">
        <v>68</v>
      </c>
      <c r="M601">
        <v>2</v>
      </c>
      <c r="N601">
        <v>4</v>
      </c>
      <c r="O601">
        <v>0.79892099999999999</v>
      </c>
      <c r="P601">
        <v>0.47308299999999998</v>
      </c>
      <c r="Q601">
        <v>0.22478500000000001</v>
      </c>
    </row>
    <row r="602" spans="1:17" x14ac:dyDescent="0.25">
      <c r="A602" t="str">
        <f>IF(C602&amp;G602&amp;D602&lt;&gt;'Funnel setup'!$K$3&amp;'Funnel setup'!$K$4&amp;'Funnel setup'!$K$6,".",IF(A601=".",1,A601+1))</f>
        <v>.</v>
      </c>
      <c r="B602" s="244" t="str">
        <f t="shared" si="9"/>
        <v>Hip Replacement PrimaryProviderCIRCLE BATH HOSPITAL (NV302)EQ-5D Index</v>
      </c>
      <c r="C602" t="s">
        <v>749</v>
      </c>
      <c r="D602" t="s">
        <v>965</v>
      </c>
      <c r="E602" t="s">
        <v>196</v>
      </c>
      <c r="F602" t="s">
        <v>197</v>
      </c>
      <c r="G602" t="s">
        <v>963</v>
      </c>
      <c r="H602">
        <v>12</v>
      </c>
      <c r="I602">
        <v>0.57091700000000001</v>
      </c>
      <c r="J602">
        <v>0.93433299999999997</v>
      </c>
      <c r="K602">
        <v>0.36341699999999999</v>
      </c>
      <c r="L602">
        <v>11</v>
      </c>
      <c r="M602">
        <v>1</v>
      </c>
      <c r="N602">
        <v>0</v>
      </c>
      <c r="O602" t="s">
        <v>127</v>
      </c>
      <c r="P602" t="s">
        <v>127</v>
      </c>
      <c r="Q602" t="s">
        <v>127</v>
      </c>
    </row>
    <row r="603" spans="1:17" x14ac:dyDescent="0.25">
      <c r="A603" t="str">
        <f>IF(C603&amp;G603&amp;D603&lt;&gt;'Funnel setup'!$K$3&amp;'Funnel setup'!$K$4&amp;'Funnel setup'!$K$6,".",IF(A602=".",1,A602+1))</f>
        <v>.</v>
      </c>
      <c r="B603" s="244" t="str">
        <f t="shared" si="9"/>
        <v>Hip Replacement PrimaryProviderCIRCLE READING HOSPITAL (NV323)EQ-5D Index</v>
      </c>
      <c r="C603" t="s">
        <v>749</v>
      </c>
      <c r="D603" t="s">
        <v>965</v>
      </c>
      <c r="E603" t="s">
        <v>198</v>
      </c>
      <c r="F603" t="s">
        <v>199</v>
      </c>
      <c r="G603" t="s">
        <v>963</v>
      </c>
      <c r="H603">
        <v>60</v>
      </c>
      <c r="I603">
        <v>0.373367</v>
      </c>
      <c r="J603">
        <v>0.87773299999999999</v>
      </c>
      <c r="K603">
        <v>0.50436700000000001</v>
      </c>
      <c r="L603">
        <v>57</v>
      </c>
      <c r="M603">
        <v>3</v>
      </c>
      <c r="N603">
        <v>0</v>
      </c>
      <c r="O603">
        <v>0.84174300000000002</v>
      </c>
      <c r="P603">
        <v>0.51590400000000003</v>
      </c>
      <c r="Q603">
        <v>0.20227500000000001</v>
      </c>
    </row>
    <row r="604" spans="1:17" x14ac:dyDescent="0.25">
      <c r="A604" t="str">
        <f>IF(C604&amp;G604&amp;D604&lt;&gt;'Funnel setup'!$K$3&amp;'Funnel setup'!$K$4&amp;'Funnel setup'!$K$6,".",IF(A603=".",1,A603+1))</f>
        <v>.</v>
      </c>
      <c r="B604" s="244" t="str">
        <f t="shared" si="9"/>
        <v>Hip Replacement PrimaryProviderCLEMENTINE CHURCHILL HOSPITAL (NT411)EQ-5D Index</v>
      </c>
      <c r="C604" t="s">
        <v>749</v>
      </c>
      <c r="D604" t="s">
        <v>965</v>
      </c>
      <c r="E604" t="s">
        <v>200</v>
      </c>
      <c r="F604" t="s">
        <v>201</v>
      </c>
      <c r="G604" t="s">
        <v>963</v>
      </c>
      <c r="H604">
        <v>23</v>
      </c>
      <c r="I604">
        <v>0.476435</v>
      </c>
      <c r="J604">
        <v>0.77130399999999999</v>
      </c>
      <c r="K604">
        <v>0.29487000000000002</v>
      </c>
      <c r="L604">
        <v>19</v>
      </c>
      <c r="M604">
        <v>2</v>
      </c>
      <c r="N604">
        <v>2</v>
      </c>
      <c r="O604" t="s">
        <v>127</v>
      </c>
      <c r="P604" t="s">
        <v>127</v>
      </c>
      <c r="Q604" t="s">
        <v>127</v>
      </c>
    </row>
    <row r="605" spans="1:17" x14ac:dyDescent="0.25">
      <c r="A605" t="str">
        <f>IF(C605&amp;G605&amp;D605&lt;&gt;'Funnel setup'!$K$3&amp;'Funnel setup'!$K$4&amp;'Funnel setup'!$K$6,".",IF(A604=".",1,A604+1))</f>
        <v>.</v>
      </c>
      <c r="B605" s="244" t="str">
        <f t="shared" si="9"/>
        <v>Hip Replacement PrimaryProviderCLIFTON PARK HOSPITAL (NVC28)EQ-5D Index</v>
      </c>
      <c r="C605" t="s">
        <v>749</v>
      </c>
      <c r="D605" t="s">
        <v>965</v>
      </c>
      <c r="E605" t="s">
        <v>202</v>
      </c>
      <c r="F605" t="s">
        <v>203</v>
      </c>
      <c r="G605" t="s">
        <v>963</v>
      </c>
      <c r="H605">
        <v>38</v>
      </c>
      <c r="I605">
        <v>0.30652600000000002</v>
      </c>
      <c r="J605">
        <v>0.769868</v>
      </c>
      <c r="K605">
        <v>0.46334199999999998</v>
      </c>
      <c r="L605">
        <v>32</v>
      </c>
      <c r="M605">
        <v>3</v>
      </c>
      <c r="N605">
        <v>3</v>
      </c>
      <c r="O605">
        <v>0.77099600000000001</v>
      </c>
      <c r="P605">
        <v>0.445158</v>
      </c>
      <c r="Q605">
        <v>0.245922</v>
      </c>
    </row>
    <row r="606" spans="1:17" x14ac:dyDescent="0.25">
      <c r="A606" t="str">
        <f>IF(C606&amp;G606&amp;D606&lt;&gt;'Funnel setup'!$K$3&amp;'Funnel setup'!$K$4&amp;'Funnel setup'!$K$6,".",IF(A605=".",1,A605+1))</f>
        <v>.</v>
      </c>
      <c r="B606" s="244" t="str">
        <f t="shared" si="9"/>
        <v>Hip Replacement PrimaryProviderCOUNTESS OF CHESTER HOSPITAL NHS FOUNDATION TRUST (RJR)EQ-5D Index</v>
      </c>
      <c r="C606" t="s">
        <v>749</v>
      </c>
      <c r="D606" t="s">
        <v>965</v>
      </c>
      <c r="E606" t="s">
        <v>204</v>
      </c>
      <c r="F606" t="s">
        <v>205</v>
      </c>
      <c r="G606" t="s">
        <v>963</v>
      </c>
      <c r="H606">
        <v>25</v>
      </c>
      <c r="I606">
        <v>0.29948000000000002</v>
      </c>
      <c r="J606">
        <v>0.73675999999999997</v>
      </c>
      <c r="K606">
        <v>0.43728</v>
      </c>
      <c r="L606">
        <v>22</v>
      </c>
      <c r="M606">
        <v>1</v>
      </c>
      <c r="N606">
        <v>2</v>
      </c>
      <c r="O606" t="s">
        <v>127</v>
      </c>
      <c r="P606" t="s">
        <v>127</v>
      </c>
      <c r="Q606" t="s">
        <v>127</v>
      </c>
    </row>
    <row r="607" spans="1:17" x14ac:dyDescent="0.25">
      <c r="A607" t="str">
        <f>IF(C607&amp;G607&amp;D607&lt;&gt;'Funnel setup'!$K$3&amp;'Funnel setup'!$K$4&amp;'Funnel setup'!$K$6,".",IF(A606=".",1,A606+1))</f>
        <v>.</v>
      </c>
      <c r="B607" s="244" t="str">
        <f t="shared" si="9"/>
        <v>Hip Replacement PrimaryProviderCOUNTY DURHAM AND DARLINGTON NHS FOUNDATION TRUST (RXP)EQ-5D Index</v>
      </c>
      <c r="C607" t="s">
        <v>749</v>
      </c>
      <c r="D607" t="s">
        <v>965</v>
      </c>
      <c r="E607" t="s">
        <v>206</v>
      </c>
      <c r="F607" t="s">
        <v>207</v>
      </c>
      <c r="G607" t="s">
        <v>963</v>
      </c>
      <c r="H607">
        <v>159</v>
      </c>
      <c r="I607">
        <v>0.31635799999999997</v>
      </c>
      <c r="J607">
        <v>0.73221400000000003</v>
      </c>
      <c r="K607">
        <v>0.41585499999999997</v>
      </c>
      <c r="L607">
        <v>142</v>
      </c>
      <c r="M607">
        <v>8</v>
      </c>
      <c r="N607">
        <v>9</v>
      </c>
      <c r="O607">
        <v>0.75220699999999996</v>
      </c>
      <c r="P607">
        <v>0.426369</v>
      </c>
      <c r="Q607">
        <v>0.225073</v>
      </c>
    </row>
    <row r="608" spans="1:17" x14ac:dyDescent="0.25">
      <c r="A608" t="str">
        <f>IF(C608&amp;G608&amp;D608&lt;&gt;'Funnel setup'!$K$3&amp;'Funnel setup'!$K$4&amp;'Funnel setup'!$K$6,".",IF(A607=".",1,A607+1))</f>
        <v>.</v>
      </c>
      <c r="B608" s="244" t="str">
        <f t="shared" si="9"/>
        <v>Hip Replacement PrimaryProviderDONCASTER AND BASSETLAW TEACHING HOSPITALS NHS FOUNDATION TRUST (RP5)EQ-5D Index</v>
      </c>
      <c r="C608" t="s">
        <v>749</v>
      </c>
      <c r="D608" t="s">
        <v>965</v>
      </c>
      <c r="E608" t="s">
        <v>212</v>
      </c>
      <c r="F608" t="s">
        <v>213</v>
      </c>
      <c r="G608" t="s">
        <v>963</v>
      </c>
      <c r="H608">
        <v>56</v>
      </c>
      <c r="I608">
        <v>0.20069600000000001</v>
      </c>
      <c r="J608">
        <v>0.71101800000000004</v>
      </c>
      <c r="K608">
        <v>0.51032100000000002</v>
      </c>
      <c r="L608">
        <v>51</v>
      </c>
      <c r="M608">
        <v>1</v>
      </c>
      <c r="N608">
        <v>4</v>
      </c>
      <c r="O608">
        <v>0.76941400000000004</v>
      </c>
      <c r="P608">
        <v>0.44357600000000003</v>
      </c>
      <c r="Q608">
        <v>0.29167199999999999</v>
      </c>
    </row>
    <row r="609" spans="1:17" x14ac:dyDescent="0.25">
      <c r="A609" t="str">
        <f>IF(C609&amp;G609&amp;D609&lt;&gt;'Funnel setup'!$K$3&amp;'Funnel setup'!$K$4&amp;'Funnel setup'!$K$6,".",IF(A608=".",1,A608+1))</f>
        <v>.</v>
      </c>
      <c r="B609" s="244" t="str">
        <f t="shared" si="9"/>
        <v>Hip Replacement PrimaryProviderDORSET COUNTY HOSPITAL NHS FOUNDATION TRUST (RBD)EQ-5D Index</v>
      </c>
      <c r="C609" t="s">
        <v>749</v>
      </c>
      <c r="D609" t="s">
        <v>965</v>
      </c>
      <c r="E609" t="s">
        <v>214</v>
      </c>
      <c r="F609" t="s">
        <v>215</v>
      </c>
      <c r="G609" t="s">
        <v>963</v>
      </c>
      <c r="H609">
        <v>12</v>
      </c>
      <c r="I609">
        <v>0.30649999999999999</v>
      </c>
      <c r="J609">
        <v>0.79341700000000004</v>
      </c>
      <c r="K609">
        <v>0.48691699999999999</v>
      </c>
      <c r="L609">
        <v>11</v>
      </c>
      <c r="M609">
        <v>0</v>
      </c>
      <c r="N609">
        <v>1</v>
      </c>
      <c r="O609" t="s">
        <v>127</v>
      </c>
      <c r="P609" t="s">
        <v>127</v>
      </c>
      <c r="Q609" t="s">
        <v>127</v>
      </c>
    </row>
    <row r="610" spans="1:17" x14ac:dyDescent="0.25">
      <c r="A610" t="str">
        <f>IF(C610&amp;G610&amp;D610&lt;&gt;'Funnel setup'!$K$3&amp;'Funnel setup'!$K$4&amp;'Funnel setup'!$K$6,".",IF(A609=".",1,A609+1))</f>
        <v>.</v>
      </c>
      <c r="B610" s="244" t="str">
        <f t="shared" si="9"/>
        <v>Hip Replacement PrimaryProviderDROITWICH SPA HOSPITAL (NT412)EQ-5D Index</v>
      </c>
      <c r="C610" t="s">
        <v>749</v>
      </c>
      <c r="D610" t="s">
        <v>965</v>
      </c>
      <c r="E610" t="s">
        <v>216</v>
      </c>
      <c r="F610" t="s">
        <v>217</v>
      </c>
      <c r="G610" t="s">
        <v>963</v>
      </c>
      <c r="H610">
        <v>27</v>
      </c>
      <c r="I610">
        <v>0.31474099999999999</v>
      </c>
      <c r="J610">
        <v>0.825963</v>
      </c>
      <c r="K610">
        <v>0.51122199999999995</v>
      </c>
      <c r="L610">
        <v>27</v>
      </c>
      <c r="M610">
        <v>0</v>
      </c>
      <c r="N610">
        <v>0</v>
      </c>
      <c r="O610" t="s">
        <v>127</v>
      </c>
      <c r="P610" t="s">
        <v>127</v>
      </c>
      <c r="Q610" t="s">
        <v>127</v>
      </c>
    </row>
    <row r="611" spans="1:17" x14ac:dyDescent="0.25">
      <c r="A611" t="str">
        <f>IF(C611&amp;G611&amp;D611&lt;&gt;'Funnel setup'!$K$3&amp;'Funnel setup'!$K$4&amp;'Funnel setup'!$K$6,".",IF(A610=".",1,A610+1))</f>
        <v>.</v>
      </c>
      <c r="B611" s="244" t="str">
        <f t="shared" si="9"/>
        <v>Hip Replacement PrimaryProviderDUCHY HOSPITAL (NT447)EQ-5D Index</v>
      </c>
      <c r="C611" t="s">
        <v>749</v>
      </c>
      <c r="D611" t="s">
        <v>965</v>
      </c>
      <c r="E611" t="s">
        <v>218</v>
      </c>
      <c r="F611" t="s">
        <v>219</v>
      </c>
      <c r="G611" t="s">
        <v>963</v>
      </c>
      <c r="H611">
        <v>27</v>
      </c>
      <c r="I611">
        <v>0.40403699999999998</v>
      </c>
      <c r="J611">
        <v>0.82207399999999997</v>
      </c>
      <c r="K611">
        <v>0.41803699999999999</v>
      </c>
      <c r="L611">
        <v>25</v>
      </c>
      <c r="M611">
        <v>0</v>
      </c>
      <c r="N611">
        <v>2</v>
      </c>
      <c r="O611" t="s">
        <v>127</v>
      </c>
      <c r="P611" t="s">
        <v>127</v>
      </c>
      <c r="Q611" t="s">
        <v>127</v>
      </c>
    </row>
    <row r="612" spans="1:17" x14ac:dyDescent="0.25">
      <c r="A612" t="str">
        <f>IF(C612&amp;G612&amp;D612&lt;&gt;'Funnel setup'!$K$3&amp;'Funnel setup'!$K$4&amp;'Funnel setup'!$K$6,".",IF(A611=".",1,A611+1))</f>
        <v>.</v>
      </c>
      <c r="B612" s="244" t="str">
        <f t="shared" si="9"/>
        <v>Hip Replacement PrimaryProviderDUCHY HOSPITAL (NVC04)EQ-5D Index</v>
      </c>
      <c r="C612" t="s">
        <v>749</v>
      </c>
      <c r="D612" t="s">
        <v>965</v>
      </c>
      <c r="E612" t="s">
        <v>220</v>
      </c>
      <c r="F612" t="s">
        <v>221</v>
      </c>
      <c r="G612" t="s">
        <v>963</v>
      </c>
      <c r="H612">
        <v>25</v>
      </c>
      <c r="I612">
        <v>0.31584000000000001</v>
      </c>
      <c r="J612">
        <v>0.88448000000000004</v>
      </c>
      <c r="K612">
        <v>0.56864000000000003</v>
      </c>
      <c r="L612">
        <v>23</v>
      </c>
      <c r="M612">
        <v>2</v>
      </c>
      <c r="N612">
        <v>0</v>
      </c>
      <c r="O612" t="s">
        <v>127</v>
      </c>
      <c r="P612" t="s">
        <v>127</v>
      </c>
      <c r="Q612" t="s">
        <v>127</v>
      </c>
    </row>
    <row r="613" spans="1:17" x14ac:dyDescent="0.25">
      <c r="A613" t="str">
        <f>IF(C613&amp;G613&amp;D613&lt;&gt;'Funnel setup'!$K$3&amp;'Funnel setup'!$K$4&amp;'Funnel setup'!$K$6,".",IF(A612=".",1,A612+1))</f>
        <v>.</v>
      </c>
      <c r="B613" s="244" t="str">
        <f t="shared" si="9"/>
        <v>Hip Replacement PrimaryProviderEAST AND NORTH HERTFORDSHIRE NHS TRUST (RWH)EQ-5D Index</v>
      </c>
      <c r="C613" t="s">
        <v>749</v>
      </c>
      <c r="D613" t="s">
        <v>965</v>
      </c>
      <c r="E613" t="s">
        <v>224</v>
      </c>
      <c r="F613" t="s">
        <v>225</v>
      </c>
      <c r="G613" t="s">
        <v>963</v>
      </c>
      <c r="H613">
        <v>30</v>
      </c>
      <c r="I613">
        <v>0.31716699999999998</v>
      </c>
      <c r="J613">
        <v>0.77906699999999995</v>
      </c>
      <c r="K613">
        <v>0.46189999999999998</v>
      </c>
      <c r="L613">
        <v>28</v>
      </c>
      <c r="M613">
        <v>0</v>
      </c>
      <c r="N613">
        <v>2</v>
      </c>
      <c r="O613">
        <v>0.76490499999999995</v>
      </c>
      <c r="P613">
        <v>0.43906699999999999</v>
      </c>
      <c r="Q613">
        <v>0.259218</v>
      </c>
    </row>
    <row r="614" spans="1:17" x14ac:dyDescent="0.25">
      <c r="A614" t="str">
        <f>IF(C614&amp;G614&amp;D614&lt;&gt;'Funnel setup'!$K$3&amp;'Funnel setup'!$K$4&amp;'Funnel setup'!$K$6,".",IF(A613=".",1,A613+1))</f>
        <v>.</v>
      </c>
      <c r="B614" s="244" t="str">
        <f t="shared" si="9"/>
        <v>Hip Replacement PrimaryProviderEAST CHESHIRE NHS TRUST (RJN)EQ-5D Index</v>
      </c>
      <c r="C614" t="s">
        <v>749</v>
      </c>
      <c r="D614" t="s">
        <v>965</v>
      </c>
      <c r="E614" t="s">
        <v>226</v>
      </c>
      <c r="F614" t="s">
        <v>227</v>
      </c>
      <c r="G614" t="s">
        <v>963</v>
      </c>
      <c r="H614">
        <v>4</v>
      </c>
      <c r="I614">
        <v>0.49099999999999999</v>
      </c>
      <c r="J614">
        <v>0.79449999999999998</v>
      </c>
      <c r="K614">
        <v>0.30349999999999999</v>
      </c>
      <c r="L614">
        <v>4</v>
      </c>
      <c r="M614">
        <v>0</v>
      </c>
      <c r="N614">
        <v>0</v>
      </c>
      <c r="O614" t="s">
        <v>127</v>
      </c>
      <c r="P614" t="s">
        <v>127</v>
      </c>
      <c r="Q614" t="s">
        <v>127</v>
      </c>
    </row>
    <row r="615" spans="1:17" x14ac:dyDescent="0.25">
      <c r="A615" t="str">
        <f>IF(C615&amp;G615&amp;D615&lt;&gt;'Funnel setup'!$K$3&amp;'Funnel setup'!$K$4&amp;'Funnel setup'!$K$6,".",IF(A614=".",1,A614+1))</f>
        <v>.</v>
      </c>
      <c r="B615" s="244" t="str">
        <f t="shared" si="9"/>
        <v>Hip Replacement PrimaryProviderEAST KENT HOSPITALS UNIVERSITY NHS FOUNDATION TRUST (RVV)EQ-5D Index</v>
      </c>
      <c r="C615" t="s">
        <v>749</v>
      </c>
      <c r="D615" t="s">
        <v>965</v>
      </c>
      <c r="E615" t="s">
        <v>228</v>
      </c>
      <c r="F615" t="s">
        <v>229</v>
      </c>
      <c r="G615" t="s">
        <v>963</v>
      </c>
      <c r="H615">
        <v>87</v>
      </c>
      <c r="I615">
        <v>0.23339099999999999</v>
      </c>
      <c r="J615">
        <v>0.71423000000000003</v>
      </c>
      <c r="K615">
        <v>0.48083900000000002</v>
      </c>
      <c r="L615">
        <v>76</v>
      </c>
      <c r="M615">
        <v>7</v>
      </c>
      <c r="N615">
        <v>4</v>
      </c>
      <c r="O615">
        <v>0.75616499999999998</v>
      </c>
      <c r="P615">
        <v>0.43032700000000002</v>
      </c>
      <c r="Q615">
        <v>0.25533800000000001</v>
      </c>
    </row>
    <row r="616" spans="1:17" x14ac:dyDescent="0.25">
      <c r="A616" t="str">
        <f>IF(C616&amp;G616&amp;D616&lt;&gt;'Funnel setup'!$K$3&amp;'Funnel setup'!$K$4&amp;'Funnel setup'!$K$6,".",IF(A615=".",1,A615+1))</f>
        <v>.</v>
      </c>
      <c r="B616" s="244" t="str">
        <f t="shared" si="9"/>
        <v>Hip Replacement PrimaryProviderEAST LANCASHIRE HOSPITALS NHS TRUST (RXR)EQ-5D Index</v>
      </c>
      <c r="C616" t="s">
        <v>749</v>
      </c>
      <c r="D616" t="s">
        <v>965</v>
      </c>
      <c r="E616" t="s">
        <v>230</v>
      </c>
      <c r="F616" t="s">
        <v>231</v>
      </c>
      <c r="G616" t="s">
        <v>963</v>
      </c>
      <c r="H616">
        <v>86</v>
      </c>
      <c r="I616">
        <v>0.26237199999999999</v>
      </c>
      <c r="J616">
        <v>0.73350000000000004</v>
      </c>
      <c r="K616">
        <v>0.47112799999999999</v>
      </c>
      <c r="L616">
        <v>76</v>
      </c>
      <c r="M616">
        <v>2</v>
      </c>
      <c r="N616">
        <v>8</v>
      </c>
      <c r="O616">
        <v>0.77184900000000001</v>
      </c>
      <c r="P616">
        <v>0.44601000000000002</v>
      </c>
      <c r="Q616">
        <v>0.27454000000000001</v>
      </c>
    </row>
    <row r="617" spans="1:17" x14ac:dyDescent="0.25">
      <c r="A617" t="str">
        <f>IF(C617&amp;G617&amp;D617&lt;&gt;'Funnel setup'!$K$3&amp;'Funnel setup'!$K$4&amp;'Funnel setup'!$K$6,".",IF(A616=".",1,A616+1))</f>
        <v>.</v>
      </c>
      <c r="B617" s="244" t="str">
        <f t="shared" si="9"/>
        <v>Hip Replacement PrimaryProviderEAST SUFFOLK AND NORTH ESSEX NHS FOUNDATION TRUST (RDE)EQ-5D Index</v>
      </c>
      <c r="C617" t="s">
        <v>749</v>
      </c>
      <c r="D617" t="s">
        <v>965</v>
      </c>
      <c r="E617" t="s">
        <v>232</v>
      </c>
      <c r="F617" t="s">
        <v>233</v>
      </c>
      <c r="G617" t="s">
        <v>963</v>
      </c>
      <c r="H617">
        <v>131</v>
      </c>
      <c r="I617">
        <v>0.26490799999999998</v>
      </c>
      <c r="J617">
        <v>0.75723700000000005</v>
      </c>
      <c r="K617">
        <v>0.49232799999999999</v>
      </c>
      <c r="L617">
        <v>122</v>
      </c>
      <c r="M617">
        <v>6</v>
      </c>
      <c r="N617">
        <v>3</v>
      </c>
      <c r="O617">
        <v>0.78127599999999997</v>
      </c>
      <c r="P617">
        <v>0.45543699999999998</v>
      </c>
      <c r="Q617">
        <v>0.25284600000000002</v>
      </c>
    </row>
    <row r="618" spans="1:17" x14ac:dyDescent="0.25">
      <c r="A618" t="str">
        <f>IF(C618&amp;G618&amp;D618&lt;&gt;'Funnel setup'!$K$3&amp;'Funnel setup'!$K$4&amp;'Funnel setup'!$K$6,".",IF(A617=".",1,A617+1))</f>
        <v>.</v>
      </c>
      <c r="B618" s="244" t="str">
        <f t="shared" si="9"/>
        <v>Hip Replacement PrimaryProviderEAST SUSSEX HEALTHCARE NHS TRUST (RXC)EQ-5D Index</v>
      </c>
      <c r="C618" t="s">
        <v>749</v>
      </c>
      <c r="D618" t="s">
        <v>965</v>
      </c>
      <c r="E618" t="s">
        <v>234</v>
      </c>
      <c r="F618" t="s">
        <v>235</v>
      </c>
      <c r="G618" t="s">
        <v>963</v>
      </c>
      <c r="H618">
        <v>89</v>
      </c>
      <c r="I618">
        <v>0.32104500000000002</v>
      </c>
      <c r="J618">
        <v>0.76273000000000002</v>
      </c>
      <c r="K618">
        <v>0.44168499999999999</v>
      </c>
      <c r="L618">
        <v>77</v>
      </c>
      <c r="M618">
        <v>6</v>
      </c>
      <c r="N618">
        <v>6</v>
      </c>
      <c r="O618">
        <v>0.78176900000000005</v>
      </c>
      <c r="P618">
        <v>0.45593099999999998</v>
      </c>
      <c r="Q618">
        <v>0.285966</v>
      </c>
    </row>
    <row r="619" spans="1:17" x14ac:dyDescent="0.25">
      <c r="A619" t="str">
        <f>IF(C619&amp;G619&amp;D619&lt;&gt;'Funnel setup'!$K$3&amp;'Funnel setup'!$K$4&amp;'Funnel setup'!$K$6,".",IF(A618=".",1,A618+1))</f>
        <v>.</v>
      </c>
      <c r="B619" s="244" t="str">
        <f t="shared" si="9"/>
        <v>Hip Replacement PrimaryProviderEPSOM AND ST HELIER UNIVERSITY HOSPITALS NHS TRUST (RVR)EQ-5D Index</v>
      </c>
      <c r="C619" t="s">
        <v>749</v>
      </c>
      <c r="D619" t="s">
        <v>965</v>
      </c>
      <c r="E619" t="s">
        <v>238</v>
      </c>
      <c r="F619" t="s">
        <v>239</v>
      </c>
      <c r="G619" t="s">
        <v>963</v>
      </c>
      <c r="H619">
        <v>507</v>
      </c>
      <c r="I619">
        <v>0.38268400000000002</v>
      </c>
      <c r="J619">
        <v>0.80723299999999998</v>
      </c>
      <c r="K619">
        <v>0.42454799999999998</v>
      </c>
      <c r="L619">
        <v>467</v>
      </c>
      <c r="M619">
        <v>21</v>
      </c>
      <c r="N619">
        <v>19</v>
      </c>
      <c r="O619">
        <v>0.79391500000000004</v>
      </c>
      <c r="P619">
        <v>0.46807599999999999</v>
      </c>
      <c r="Q619">
        <v>0.206071</v>
      </c>
    </row>
    <row r="620" spans="1:17" x14ac:dyDescent="0.25">
      <c r="A620" t="str">
        <f>IF(C620&amp;G620&amp;D620&lt;&gt;'Funnel setup'!$K$3&amp;'Funnel setup'!$K$4&amp;'Funnel setup'!$K$6,".",IF(A619=".",1,A619+1))</f>
        <v>.</v>
      </c>
      <c r="B620" s="244" t="str">
        <f t="shared" si="9"/>
        <v>Hip Replacement PrimaryProviderEUXTON HALL HOSPITAL (NVC05)EQ-5D Index</v>
      </c>
      <c r="C620" t="s">
        <v>749</v>
      </c>
      <c r="D620" t="s">
        <v>965</v>
      </c>
      <c r="E620" t="s">
        <v>240</v>
      </c>
      <c r="F620" t="s">
        <v>241</v>
      </c>
      <c r="G620" t="s">
        <v>963</v>
      </c>
      <c r="H620">
        <v>56</v>
      </c>
      <c r="I620">
        <v>0.29519600000000001</v>
      </c>
      <c r="J620">
        <v>0.83523199999999997</v>
      </c>
      <c r="K620">
        <v>0.54003599999999996</v>
      </c>
      <c r="L620">
        <v>54</v>
      </c>
      <c r="M620">
        <v>2</v>
      </c>
      <c r="N620">
        <v>0</v>
      </c>
      <c r="O620">
        <v>0.83407900000000001</v>
      </c>
      <c r="P620">
        <v>0.50824100000000005</v>
      </c>
      <c r="Q620">
        <v>0.17192199999999999</v>
      </c>
    </row>
    <row r="621" spans="1:17" x14ac:dyDescent="0.25">
      <c r="A621" t="str">
        <f>IF(C621&amp;G621&amp;D621&lt;&gt;'Funnel setup'!$K$3&amp;'Funnel setup'!$K$4&amp;'Funnel setup'!$K$6,".",IF(A620=".",1,A620+1))</f>
        <v>.</v>
      </c>
      <c r="B621" s="244" t="str">
        <f t="shared" si="9"/>
        <v>Hip Replacement PrimaryProviderFAIRFIELD HOSPITAL (NVG01)EQ-5D Index</v>
      </c>
      <c r="C621" t="s">
        <v>749</v>
      </c>
      <c r="D621" t="s">
        <v>965</v>
      </c>
      <c r="E621" t="s">
        <v>242</v>
      </c>
      <c r="F621" t="s">
        <v>243</v>
      </c>
      <c r="G621" t="s">
        <v>963</v>
      </c>
      <c r="H621">
        <v>41</v>
      </c>
      <c r="I621">
        <v>0.320878</v>
      </c>
      <c r="J621">
        <v>0.70821999999999996</v>
      </c>
      <c r="K621">
        <v>0.38734099999999999</v>
      </c>
      <c r="L621">
        <v>36</v>
      </c>
      <c r="M621">
        <v>1</v>
      </c>
      <c r="N621">
        <v>4</v>
      </c>
      <c r="O621">
        <v>0.70402900000000002</v>
      </c>
      <c r="P621">
        <v>0.378191</v>
      </c>
      <c r="Q621">
        <v>0.273509</v>
      </c>
    </row>
    <row r="622" spans="1:17" x14ac:dyDescent="0.25">
      <c r="A622" t="str">
        <f>IF(C622&amp;G622&amp;D622&lt;&gt;'Funnel setup'!$K$3&amp;'Funnel setup'!$K$4&amp;'Funnel setup'!$K$6,".",IF(A621=".",1,A621+1))</f>
        <v>.</v>
      </c>
      <c r="B622" s="244" t="str">
        <f t="shared" si="9"/>
        <v>Hip Replacement PrimaryProviderFITZWILLIAM HOSPITAL (NVC06)EQ-5D Index</v>
      </c>
      <c r="C622" t="s">
        <v>749</v>
      </c>
      <c r="D622" t="s">
        <v>965</v>
      </c>
      <c r="E622" t="s">
        <v>244</v>
      </c>
      <c r="F622" t="s">
        <v>245</v>
      </c>
      <c r="G622" t="s">
        <v>963</v>
      </c>
      <c r="H622">
        <v>58</v>
      </c>
      <c r="I622">
        <v>0.35336200000000001</v>
      </c>
      <c r="J622">
        <v>0.80622400000000005</v>
      </c>
      <c r="K622">
        <v>0.45286199999999999</v>
      </c>
      <c r="L622">
        <v>53</v>
      </c>
      <c r="M622">
        <v>3</v>
      </c>
      <c r="N622">
        <v>2</v>
      </c>
      <c r="O622">
        <v>0.80471099999999995</v>
      </c>
      <c r="P622">
        <v>0.47887200000000002</v>
      </c>
      <c r="Q622">
        <v>0.20333799999999999</v>
      </c>
    </row>
    <row r="623" spans="1:17" x14ac:dyDescent="0.25">
      <c r="A623" t="str">
        <f>IF(C623&amp;G623&amp;D623&lt;&gt;'Funnel setup'!$K$3&amp;'Funnel setup'!$K$4&amp;'Funnel setup'!$K$6,".",IF(A622=".",1,A622+1))</f>
        <v>.</v>
      </c>
      <c r="B623" s="244" t="str">
        <f t="shared" si="9"/>
        <v>Hip Replacement PrimaryProviderFRIMLEY HEALTH NHS FOUNDATION TRUST (RDU)EQ-5D Index</v>
      </c>
      <c r="C623" t="s">
        <v>749</v>
      </c>
      <c r="D623" t="s">
        <v>965</v>
      </c>
      <c r="E623" t="s">
        <v>248</v>
      </c>
      <c r="F623" t="s">
        <v>249</v>
      </c>
      <c r="G623" t="s">
        <v>963</v>
      </c>
      <c r="H623">
        <v>165</v>
      </c>
      <c r="I623">
        <v>0.36064200000000002</v>
      </c>
      <c r="J623">
        <v>0.80653300000000006</v>
      </c>
      <c r="K623">
        <v>0.44589099999999998</v>
      </c>
      <c r="L623">
        <v>151</v>
      </c>
      <c r="M623">
        <v>7</v>
      </c>
      <c r="N623">
        <v>7</v>
      </c>
      <c r="O623">
        <v>0.78877699999999995</v>
      </c>
      <c r="P623">
        <v>0.46293899999999999</v>
      </c>
      <c r="Q623">
        <v>0.20374100000000001</v>
      </c>
    </row>
    <row r="624" spans="1:17" x14ac:dyDescent="0.25">
      <c r="A624" t="str">
        <f>IF(C624&amp;G624&amp;D624&lt;&gt;'Funnel setup'!$K$3&amp;'Funnel setup'!$K$4&amp;'Funnel setup'!$K$6,".",IF(A623=".",1,A623+1))</f>
        <v>.</v>
      </c>
      <c r="B624" s="244" t="str">
        <f t="shared" si="9"/>
        <v>Hip Replacement PrimaryProviderFULWOOD HALL HOSPITAL (NVC07)EQ-5D Index</v>
      </c>
      <c r="C624" t="s">
        <v>749</v>
      </c>
      <c r="D624" t="s">
        <v>965</v>
      </c>
      <c r="E624" t="s">
        <v>250</v>
      </c>
      <c r="F624" t="s">
        <v>251</v>
      </c>
      <c r="G624" t="s">
        <v>963</v>
      </c>
      <c r="H624">
        <v>65</v>
      </c>
      <c r="I624">
        <v>0.48353800000000002</v>
      </c>
      <c r="J624">
        <v>0.86980000000000002</v>
      </c>
      <c r="K624">
        <v>0.38626199999999999</v>
      </c>
      <c r="L624">
        <v>59</v>
      </c>
      <c r="M624">
        <v>3</v>
      </c>
      <c r="N624">
        <v>3</v>
      </c>
      <c r="O624">
        <v>0.81549000000000005</v>
      </c>
      <c r="P624">
        <v>0.489651</v>
      </c>
      <c r="Q624">
        <v>0.15998899999999999</v>
      </c>
    </row>
    <row r="625" spans="1:17" x14ac:dyDescent="0.25">
      <c r="A625" t="str">
        <f>IF(C625&amp;G625&amp;D625&lt;&gt;'Funnel setup'!$K$3&amp;'Funnel setup'!$K$4&amp;'Funnel setup'!$K$6,".",IF(A624=".",1,A624+1))</f>
        <v>.</v>
      </c>
      <c r="B625" s="244" t="str">
        <f t="shared" si="9"/>
        <v>Hip Replacement PrimaryProviderGATESHEAD HEALTH NHS FOUNDATION TRUST (RR7)EQ-5D Index</v>
      </c>
      <c r="C625" t="s">
        <v>749</v>
      </c>
      <c r="D625" t="s">
        <v>965</v>
      </c>
      <c r="E625" t="s">
        <v>252</v>
      </c>
      <c r="F625" t="s">
        <v>253</v>
      </c>
      <c r="G625" t="s">
        <v>963</v>
      </c>
      <c r="H625">
        <v>48</v>
      </c>
      <c r="I625">
        <v>0.18162500000000001</v>
      </c>
      <c r="J625">
        <v>0.75387499999999996</v>
      </c>
      <c r="K625">
        <v>0.57225000000000004</v>
      </c>
      <c r="L625">
        <v>46</v>
      </c>
      <c r="M625">
        <v>2</v>
      </c>
      <c r="N625">
        <v>0</v>
      </c>
      <c r="O625">
        <v>0.80702499999999999</v>
      </c>
      <c r="P625">
        <v>0.481186</v>
      </c>
      <c r="Q625">
        <v>0.243671</v>
      </c>
    </row>
    <row r="626" spans="1:17" x14ac:dyDescent="0.25">
      <c r="A626" t="str">
        <f>IF(C626&amp;G626&amp;D626&lt;&gt;'Funnel setup'!$K$3&amp;'Funnel setup'!$K$4&amp;'Funnel setup'!$K$6,".",IF(A625=".",1,A625+1))</f>
        <v>.</v>
      </c>
      <c r="B626" s="244" t="str">
        <f t="shared" si="9"/>
        <v>Hip Replacement PrimaryProviderGLOUCESTERSHIRE HOSPITALS NHS FOUNDATION TRUST (RTE)EQ-5D Index</v>
      </c>
      <c r="C626" t="s">
        <v>749</v>
      </c>
      <c r="D626" t="s">
        <v>965</v>
      </c>
      <c r="E626" t="s">
        <v>256</v>
      </c>
      <c r="F626" t="s">
        <v>257</v>
      </c>
      <c r="G626" t="s">
        <v>963</v>
      </c>
      <c r="H626">
        <v>68</v>
      </c>
      <c r="I626">
        <v>0.23935300000000001</v>
      </c>
      <c r="J626">
        <v>0.75279399999999996</v>
      </c>
      <c r="K626">
        <v>0.51344100000000004</v>
      </c>
      <c r="L626">
        <v>59</v>
      </c>
      <c r="M626">
        <v>5</v>
      </c>
      <c r="N626">
        <v>4</v>
      </c>
      <c r="O626">
        <v>0.77205299999999999</v>
      </c>
      <c r="P626">
        <v>0.446214</v>
      </c>
      <c r="Q626">
        <v>0.236563</v>
      </c>
    </row>
    <row r="627" spans="1:17" x14ac:dyDescent="0.25">
      <c r="A627" t="str">
        <f>IF(C627&amp;G627&amp;D627&lt;&gt;'Funnel setup'!$K$3&amp;'Funnel setup'!$K$4&amp;'Funnel setup'!$K$6,".",IF(A626=".",1,A626+1))</f>
        <v>.</v>
      </c>
      <c r="B627" s="244" t="str">
        <f t="shared" si="9"/>
        <v>Hip Replacement PrimaryProviderGORING HALL HOSPITAL (NT417)EQ-5D Index</v>
      </c>
      <c r="C627" t="s">
        <v>749</v>
      </c>
      <c r="D627" t="s">
        <v>965</v>
      </c>
      <c r="E627" t="s">
        <v>258</v>
      </c>
      <c r="F627" t="s">
        <v>259</v>
      </c>
      <c r="G627" t="s">
        <v>963</v>
      </c>
      <c r="H627">
        <v>24</v>
      </c>
      <c r="I627">
        <v>0.37237500000000001</v>
      </c>
      <c r="J627">
        <v>0.87620799999999999</v>
      </c>
      <c r="K627">
        <v>0.50383299999999998</v>
      </c>
      <c r="L627">
        <v>21</v>
      </c>
      <c r="M627">
        <v>2</v>
      </c>
      <c r="N627">
        <v>1</v>
      </c>
      <c r="O627" t="s">
        <v>127</v>
      </c>
      <c r="P627" t="s">
        <v>127</v>
      </c>
      <c r="Q627" t="s">
        <v>127</v>
      </c>
    </row>
    <row r="628" spans="1:17" x14ac:dyDescent="0.25">
      <c r="A628" t="str">
        <f>IF(C628&amp;G628&amp;D628&lt;&gt;'Funnel setup'!$K$3&amp;'Funnel setup'!$K$4&amp;'Funnel setup'!$K$6,".",IF(A627=".",1,A627+1))</f>
        <v>.</v>
      </c>
      <c r="B628" s="244" t="str">
        <f t="shared" si="9"/>
        <v>Hip Replacement PrimaryProviderGUY'S AND ST THOMAS' NHS FOUNDATION TRUST (RJ1)EQ-5D Index</v>
      </c>
      <c r="C628" t="s">
        <v>749</v>
      </c>
      <c r="D628" t="s">
        <v>965</v>
      </c>
      <c r="E628" t="s">
        <v>262</v>
      </c>
      <c r="F628" t="s">
        <v>263</v>
      </c>
      <c r="G628" t="s">
        <v>963</v>
      </c>
      <c r="H628">
        <v>70</v>
      </c>
      <c r="I628">
        <v>0.34324300000000002</v>
      </c>
      <c r="J628">
        <v>0.69789999999999996</v>
      </c>
      <c r="K628">
        <v>0.354657</v>
      </c>
      <c r="L628">
        <v>60</v>
      </c>
      <c r="M628">
        <v>3</v>
      </c>
      <c r="N628">
        <v>7</v>
      </c>
      <c r="O628">
        <v>0.70135899999999995</v>
      </c>
      <c r="P628">
        <v>0.37552099999999999</v>
      </c>
      <c r="Q628">
        <v>0.29420600000000002</v>
      </c>
    </row>
    <row r="629" spans="1:17" x14ac:dyDescent="0.25">
      <c r="A629" t="str">
        <f>IF(C629&amp;G629&amp;D629&lt;&gt;'Funnel setup'!$K$3&amp;'Funnel setup'!$K$4&amp;'Funnel setup'!$K$6,".",IF(A628=".",1,A628+1))</f>
        <v>.</v>
      </c>
      <c r="B629" s="244" t="str">
        <f t="shared" si="9"/>
        <v>Hip Replacement PrimaryProviderHAMPSHIRE CLINIC (NT418)EQ-5D Index</v>
      </c>
      <c r="C629" t="s">
        <v>749</v>
      </c>
      <c r="D629" t="s">
        <v>965</v>
      </c>
      <c r="E629" t="s">
        <v>264</v>
      </c>
      <c r="F629" t="s">
        <v>265</v>
      </c>
      <c r="G629" t="s">
        <v>963</v>
      </c>
      <c r="H629">
        <v>27</v>
      </c>
      <c r="I629">
        <v>0.52533300000000005</v>
      </c>
      <c r="J629">
        <v>0.85003700000000004</v>
      </c>
      <c r="K629">
        <v>0.32470399999999999</v>
      </c>
      <c r="L629">
        <v>22</v>
      </c>
      <c r="M629">
        <v>4</v>
      </c>
      <c r="N629">
        <v>1</v>
      </c>
      <c r="O629" t="s">
        <v>127</v>
      </c>
      <c r="P629" t="s">
        <v>127</v>
      </c>
      <c r="Q629" t="s">
        <v>127</v>
      </c>
    </row>
    <row r="630" spans="1:17" x14ac:dyDescent="0.25">
      <c r="A630" t="str">
        <f>IF(C630&amp;G630&amp;D630&lt;&gt;'Funnel setup'!$K$3&amp;'Funnel setup'!$K$4&amp;'Funnel setup'!$K$6,".",IF(A629=".",1,A629+1))</f>
        <v>.</v>
      </c>
      <c r="B630" s="244" t="str">
        <f t="shared" si="9"/>
        <v>Hip Replacement PrimaryProviderHAMPSHIRE HOSPITALS NHS FOUNDATION TRUST (RN5)EQ-5D Index</v>
      </c>
      <c r="C630" t="s">
        <v>749</v>
      </c>
      <c r="D630" t="s">
        <v>965</v>
      </c>
      <c r="E630" t="s">
        <v>266</v>
      </c>
      <c r="F630" t="s">
        <v>267</v>
      </c>
      <c r="G630" t="s">
        <v>963</v>
      </c>
      <c r="H630">
        <v>32</v>
      </c>
      <c r="I630">
        <v>0.25828099999999998</v>
      </c>
      <c r="J630">
        <v>0.78065600000000002</v>
      </c>
      <c r="K630">
        <v>0.52237500000000003</v>
      </c>
      <c r="L630">
        <v>30</v>
      </c>
      <c r="M630">
        <v>2</v>
      </c>
      <c r="N630">
        <v>0</v>
      </c>
      <c r="O630">
        <v>0.80086999999999997</v>
      </c>
      <c r="P630">
        <v>0.47503200000000001</v>
      </c>
      <c r="Q630">
        <v>0.22821900000000001</v>
      </c>
    </row>
    <row r="631" spans="1:17" x14ac:dyDescent="0.25">
      <c r="A631" t="str">
        <f>IF(C631&amp;G631&amp;D631&lt;&gt;'Funnel setup'!$K$3&amp;'Funnel setup'!$K$4&amp;'Funnel setup'!$K$6,".",IF(A630=".",1,A630+1))</f>
        <v>.</v>
      </c>
      <c r="B631" s="244" t="str">
        <f t="shared" si="9"/>
        <v>Hip Replacement PrimaryProviderHARBOUR HOSPITAL (NT419)EQ-5D Index</v>
      </c>
      <c r="C631" t="s">
        <v>749</v>
      </c>
      <c r="D631" t="s">
        <v>965</v>
      </c>
      <c r="E631" t="s">
        <v>268</v>
      </c>
      <c r="F631" t="s">
        <v>269</v>
      </c>
      <c r="G631" t="s">
        <v>963</v>
      </c>
      <c r="H631">
        <v>10</v>
      </c>
      <c r="I631">
        <v>0.46539999999999998</v>
      </c>
      <c r="J631">
        <v>0.88749999999999996</v>
      </c>
      <c r="K631">
        <v>0.42209999999999998</v>
      </c>
      <c r="L631">
        <v>9</v>
      </c>
      <c r="M631">
        <v>1</v>
      </c>
      <c r="N631">
        <v>0</v>
      </c>
      <c r="O631" t="s">
        <v>127</v>
      </c>
      <c r="P631" t="s">
        <v>127</v>
      </c>
      <c r="Q631" t="s">
        <v>127</v>
      </c>
    </row>
    <row r="632" spans="1:17" x14ac:dyDescent="0.25">
      <c r="A632" t="str">
        <f>IF(C632&amp;G632&amp;D632&lt;&gt;'Funnel setup'!$K$3&amp;'Funnel setup'!$K$4&amp;'Funnel setup'!$K$6,".",IF(A631=".",1,A631+1))</f>
        <v>.</v>
      </c>
      <c r="B632" s="244" t="str">
        <f t="shared" si="9"/>
        <v>Hip Replacement PrimaryProviderHARROGATE AND DISTRICT NHS FOUNDATION TRUST (RCD)EQ-5D Index</v>
      </c>
      <c r="C632" t="s">
        <v>749</v>
      </c>
      <c r="D632" t="s">
        <v>965</v>
      </c>
      <c r="E632" t="s">
        <v>270</v>
      </c>
      <c r="F632" t="s">
        <v>271</v>
      </c>
      <c r="G632" t="s">
        <v>963</v>
      </c>
      <c r="H632">
        <v>74</v>
      </c>
      <c r="I632">
        <v>0.30920300000000001</v>
      </c>
      <c r="J632">
        <v>0.81694599999999995</v>
      </c>
      <c r="K632">
        <v>0.50774300000000006</v>
      </c>
      <c r="L632">
        <v>69</v>
      </c>
      <c r="M632">
        <v>3</v>
      </c>
      <c r="N632">
        <v>2</v>
      </c>
      <c r="O632">
        <v>0.82997900000000002</v>
      </c>
      <c r="P632">
        <v>0.50414099999999995</v>
      </c>
      <c r="Q632">
        <v>0.220475</v>
      </c>
    </row>
    <row r="633" spans="1:17" x14ac:dyDescent="0.25">
      <c r="A633" t="str">
        <f>IF(C633&amp;G633&amp;D633&lt;&gt;'Funnel setup'!$K$3&amp;'Funnel setup'!$K$4&amp;'Funnel setup'!$K$6,".",IF(A632=".",1,A632+1))</f>
        <v>.</v>
      </c>
      <c r="B633" s="244" t="str">
        <f t="shared" si="9"/>
        <v>Hip Replacement PrimaryProviderHIGHFIELD HOSPITAL (NT420)EQ-5D Index</v>
      </c>
      <c r="C633" t="s">
        <v>749</v>
      </c>
      <c r="D633" t="s">
        <v>965</v>
      </c>
      <c r="E633" t="s">
        <v>272</v>
      </c>
      <c r="F633" t="s">
        <v>273</v>
      </c>
      <c r="G633" t="s">
        <v>963</v>
      </c>
      <c r="H633">
        <v>141</v>
      </c>
      <c r="I633">
        <v>0.37060300000000002</v>
      </c>
      <c r="J633">
        <v>0.84458900000000003</v>
      </c>
      <c r="K633">
        <v>0.47398600000000002</v>
      </c>
      <c r="L633">
        <v>132</v>
      </c>
      <c r="M633">
        <v>5</v>
      </c>
      <c r="N633">
        <v>4</v>
      </c>
      <c r="O633">
        <v>0.83455299999999999</v>
      </c>
      <c r="P633">
        <v>0.50871500000000003</v>
      </c>
      <c r="Q633">
        <v>0.19606399999999999</v>
      </c>
    </row>
    <row r="634" spans="1:17" x14ac:dyDescent="0.25">
      <c r="A634" t="str">
        <f>IF(C634&amp;G634&amp;D634&lt;&gt;'Funnel setup'!$K$3&amp;'Funnel setup'!$K$4&amp;'Funnel setup'!$K$6,".",IF(A633=".",1,A633+1))</f>
        <v>.</v>
      </c>
      <c r="B634" s="244" t="str">
        <f t="shared" si="9"/>
        <v>Hip Replacement PrimaryProviderHOMERTON HEALTHCARE NHS FOUNDATION TRUST (RQX)EQ-5D Index</v>
      </c>
      <c r="C634" t="s">
        <v>749</v>
      </c>
      <c r="D634" t="s">
        <v>965</v>
      </c>
      <c r="E634" t="s">
        <v>274</v>
      </c>
      <c r="F634" t="s">
        <v>275</v>
      </c>
      <c r="G634" t="s">
        <v>963</v>
      </c>
      <c r="H634">
        <v>4</v>
      </c>
      <c r="I634">
        <v>0.18124999999999999</v>
      </c>
      <c r="J634">
        <v>0.72399999999999998</v>
      </c>
      <c r="K634">
        <v>0.54274999999999995</v>
      </c>
      <c r="L634">
        <v>4</v>
      </c>
      <c r="M634">
        <v>0</v>
      </c>
      <c r="N634">
        <v>0</v>
      </c>
      <c r="O634" t="s">
        <v>127</v>
      </c>
      <c r="P634" t="s">
        <v>127</v>
      </c>
      <c r="Q634" t="s">
        <v>127</v>
      </c>
    </row>
    <row r="635" spans="1:17" x14ac:dyDescent="0.25">
      <c r="A635" t="str">
        <f>IF(C635&amp;G635&amp;D635&lt;&gt;'Funnel setup'!$K$3&amp;'Funnel setup'!$K$4&amp;'Funnel setup'!$K$6,".",IF(A634=".",1,A634+1))</f>
        <v>.</v>
      </c>
      <c r="B635" s="244" t="str">
        <f t="shared" si="9"/>
        <v>Hip Replacement PrimaryProviderHUDDERSFIELD HOSPITAL (NT448)EQ-5D Index</v>
      </c>
      <c r="C635" t="s">
        <v>749</v>
      </c>
      <c r="D635" t="s">
        <v>965</v>
      </c>
      <c r="E635" t="s">
        <v>276</v>
      </c>
      <c r="F635" t="s">
        <v>277</v>
      </c>
      <c r="G635" t="s">
        <v>963</v>
      </c>
      <c r="H635">
        <v>8</v>
      </c>
      <c r="I635">
        <v>0.40737499999999999</v>
      </c>
      <c r="J635">
        <v>0.84775</v>
      </c>
      <c r="K635">
        <v>0.44037500000000002</v>
      </c>
      <c r="L635">
        <v>8</v>
      </c>
      <c r="M635">
        <v>0</v>
      </c>
      <c r="N635">
        <v>0</v>
      </c>
      <c r="O635" t="s">
        <v>127</v>
      </c>
      <c r="P635" t="s">
        <v>127</v>
      </c>
      <c r="Q635" t="s">
        <v>127</v>
      </c>
    </row>
    <row r="636" spans="1:17" x14ac:dyDescent="0.25">
      <c r="A636" t="str">
        <f>IF(C636&amp;G636&amp;D636&lt;&gt;'Funnel setup'!$K$3&amp;'Funnel setup'!$K$4&amp;'Funnel setup'!$K$6,".",IF(A635=".",1,A635+1))</f>
        <v>.</v>
      </c>
      <c r="B636" s="244" t="str">
        <f t="shared" si="9"/>
        <v>Hip Replacement PrimaryProviderHULL UNIVERSITY TEACHING HOSPITALS NHS TRUST (RWA)EQ-5D Index</v>
      </c>
      <c r="C636" t="s">
        <v>749</v>
      </c>
      <c r="D636" t="s">
        <v>965</v>
      </c>
      <c r="E636" t="s">
        <v>278</v>
      </c>
      <c r="F636" t="s">
        <v>279</v>
      </c>
      <c r="G636" t="s">
        <v>963</v>
      </c>
      <c r="H636">
        <v>31</v>
      </c>
      <c r="I636">
        <v>0.20141899999999999</v>
      </c>
      <c r="J636">
        <v>0.64480599999999999</v>
      </c>
      <c r="K636">
        <v>0.44338699999999998</v>
      </c>
      <c r="L636">
        <v>26</v>
      </c>
      <c r="M636">
        <v>3</v>
      </c>
      <c r="N636">
        <v>2</v>
      </c>
      <c r="O636">
        <v>0.70379400000000003</v>
      </c>
      <c r="P636">
        <v>0.37795499999999999</v>
      </c>
      <c r="Q636">
        <v>0.33234900000000001</v>
      </c>
    </row>
    <row r="637" spans="1:17" x14ac:dyDescent="0.25">
      <c r="A637" t="str">
        <f>IF(C637&amp;G637&amp;D637&lt;&gt;'Funnel setup'!$K$3&amp;'Funnel setup'!$K$4&amp;'Funnel setup'!$K$6,".",IF(A636=".",1,A636+1))</f>
        <v>.</v>
      </c>
      <c r="B637" s="244" t="str">
        <f t="shared" si="9"/>
        <v>Hip Replacement PrimaryProviderIMPERIAL COLLEGE HEALTHCARE NHS TRUST (RYJ)EQ-5D Index</v>
      </c>
      <c r="C637" t="s">
        <v>749</v>
      </c>
      <c r="D637" t="s">
        <v>965</v>
      </c>
      <c r="E637" t="s">
        <v>280</v>
      </c>
      <c r="F637" t="s">
        <v>281</v>
      </c>
      <c r="G637" t="s">
        <v>963</v>
      </c>
      <c r="H637">
        <v>21</v>
      </c>
      <c r="I637">
        <v>0.197238</v>
      </c>
      <c r="J637">
        <v>0.86180999999999996</v>
      </c>
      <c r="K637">
        <v>0.66457100000000002</v>
      </c>
      <c r="L637">
        <v>21</v>
      </c>
      <c r="M637">
        <v>0</v>
      </c>
      <c r="N637">
        <v>0</v>
      </c>
      <c r="O637" t="s">
        <v>127</v>
      </c>
      <c r="P637" t="s">
        <v>127</v>
      </c>
      <c r="Q637" t="s">
        <v>127</v>
      </c>
    </row>
    <row r="638" spans="1:17" x14ac:dyDescent="0.25">
      <c r="A638" t="str">
        <f>IF(C638&amp;G638&amp;D638&lt;&gt;'Funnel setup'!$K$3&amp;'Funnel setup'!$K$4&amp;'Funnel setup'!$K$6,".",IF(A637=".",1,A637+1))</f>
        <v>.</v>
      </c>
      <c r="B638" s="244" t="str">
        <f t="shared" si="9"/>
        <v>Hip Replacement PrimaryProviderISLE OF WIGHT NHS TRUST (R1F)EQ-5D Index</v>
      </c>
      <c r="C638" t="s">
        <v>749</v>
      </c>
      <c r="D638" t="s">
        <v>965</v>
      </c>
      <c r="E638" t="s">
        <v>282</v>
      </c>
      <c r="F638" t="s">
        <v>283</v>
      </c>
      <c r="G638" t="s">
        <v>963</v>
      </c>
      <c r="H638">
        <v>2</v>
      </c>
      <c r="I638">
        <v>0.38950000000000001</v>
      </c>
      <c r="J638">
        <v>0.85499999999999998</v>
      </c>
      <c r="K638">
        <v>0.46550000000000002</v>
      </c>
      <c r="L638">
        <v>2</v>
      </c>
      <c r="M638">
        <v>0</v>
      </c>
      <c r="N638">
        <v>0</v>
      </c>
      <c r="O638" t="s">
        <v>127</v>
      </c>
      <c r="P638" t="s">
        <v>127</v>
      </c>
      <c r="Q638" t="s">
        <v>127</v>
      </c>
    </row>
    <row r="639" spans="1:17" x14ac:dyDescent="0.25">
      <c r="A639" t="str">
        <f>IF(C639&amp;G639&amp;D639&lt;&gt;'Funnel setup'!$K$3&amp;'Funnel setup'!$K$4&amp;'Funnel setup'!$K$6,".",IF(A638=".",1,A638+1))</f>
        <v>.</v>
      </c>
      <c r="B639" s="244" t="str">
        <f t="shared" si="9"/>
        <v>Hip Replacement PrimaryProviderJAMES PAGET UNIVERSITY HOSPITALS NHS FOUNDATION TRUST (RGP)EQ-5D Index</v>
      </c>
      <c r="C639" t="s">
        <v>749</v>
      </c>
      <c r="D639" t="s">
        <v>965</v>
      </c>
      <c r="E639" t="s">
        <v>284</v>
      </c>
      <c r="F639" t="s">
        <v>285</v>
      </c>
      <c r="G639" t="s">
        <v>963</v>
      </c>
      <c r="H639">
        <v>66</v>
      </c>
      <c r="I639">
        <v>0.240788</v>
      </c>
      <c r="J639">
        <v>0.74609099999999995</v>
      </c>
      <c r="K639">
        <v>0.50530299999999995</v>
      </c>
      <c r="L639">
        <v>60</v>
      </c>
      <c r="M639">
        <v>3</v>
      </c>
      <c r="N639">
        <v>3</v>
      </c>
      <c r="O639">
        <v>0.76606300000000005</v>
      </c>
      <c r="P639">
        <v>0.440224</v>
      </c>
      <c r="Q639">
        <v>0.29730400000000001</v>
      </c>
    </row>
    <row r="640" spans="1:17" x14ac:dyDescent="0.25">
      <c r="A640" t="str">
        <f>IF(C640&amp;G640&amp;D640&lt;&gt;'Funnel setup'!$K$3&amp;'Funnel setup'!$K$4&amp;'Funnel setup'!$K$6,".",IF(A639=".",1,A639+1))</f>
        <v>.</v>
      </c>
      <c r="B640" s="244" t="str">
        <f t="shared" si="9"/>
        <v>Hip Replacement PrimaryProviderKETTERING GENERAL HOSPITAL NHS FOUNDATION TRUST (RNQ)EQ-5D Index</v>
      </c>
      <c r="C640" t="s">
        <v>749</v>
      </c>
      <c r="D640" t="s">
        <v>965</v>
      </c>
      <c r="E640" t="s">
        <v>286</v>
      </c>
      <c r="F640" t="s">
        <v>287</v>
      </c>
      <c r="G640" t="s">
        <v>963</v>
      </c>
      <c r="H640">
        <v>27</v>
      </c>
      <c r="I640">
        <v>0.189667</v>
      </c>
      <c r="J640">
        <v>0.722889</v>
      </c>
      <c r="K640">
        <v>0.53322199999999997</v>
      </c>
      <c r="L640">
        <v>24</v>
      </c>
      <c r="M640">
        <v>1</v>
      </c>
      <c r="N640">
        <v>2</v>
      </c>
      <c r="O640" t="s">
        <v>127</v>
      </c>
      <c r="P640" t="s">
        <v>127</v>
      </c>
      <c r="Q640" t="s">
        <v>127</v>
      </c>
    </row>
    <row r="641" spans="1:17" x14ac:dyDescent="0.25">
      <c r="A641" t="str">
        <f>IF(C641&amp;G641&amp;D641&lt;&gt;'Funnel setup'!$K$3&amp;'Funnel setup'!$K$4&amp;'Funnel setup'!$K$6,".",IF(A640=".",1,A640+1))</f>
        <v>.</v>
      </c>
      <c r="B641" s="244" t="str">
        <f t="shared" si="9"/>
        <v>Hip Replacement PrimaryProviderKIMS HOSPITAL (NEWNHAM COURT) (ADP02)EQ-5D Index</v>
      </c>
      <c r="C641" t="s">
        <v>749</v>
      </c>
      <c r="D641" t="s">
        <v>965</v>
      </c>
      <c r="E641" t="s">
        <v>288</v>
      </c>
      <c r="F641" t="s">
        <v>289</v>
      </c>
      <c r="G641" t="s">
        <v>963</v>
      </c>
      <c r="H641">
        <v>102</v>
      </c>
      <c r="I641">
        <v>0.41298000000000001</v>
      </c>
      <c r="J641">
        <v>0.82252899999999995</v>
      </c>
      <c r="K641">
        <v>0.409549</v>
      </c>
      <c r="L641">
        <v>95</v>
      </c>
      <c r="M641">
        <v>4</v>
      </c>
      <c r="N641">
        <v>3</v>
      </c>
      <c r="O641">
        <v>0.78957999999999995</v>
      </c>
      <c r="P641">
        <v>0.46374100000000001</v>
      </c>
      <c r="Q641">
        <v>0.195356</v>
      </c>
    </row>
    <row r="642" spans="1:17" x14ac:dyDescent="0.25">
      <c r="A642" t="str">
        <f>IF(C642&amp;G642&amp;D642&lt;&gt;'Funnel setup'!$K$3&amp;'Funnel setup'!$K$4&amp;'Funnel setup'!$K$6,".",IF(A641=".",1,A641+1))</f>
        <v>.</v>
      </c>
      <c r="B642" s="244" t="str">
        <f t="shared" ref="B642:B705" si="10">C642&amp;D642&amp;F642&amp;G642</f>
        <v>Hip Replacement PrimaryProviderKING'S COLLEGE HOSPITAL NHS FOUNDATION TRUST (RJZ)EQ-5D Index</v>
      </c>
      <c r="C642" t="s">
        <v>749</v>
      </c>
      <c r="D642" t="s">
        <v>965</v>
      </c>
      <c r="E642" t="s">
        <v>290</v>
      </c>
      <c r="F642" t="s">
        <v>291</v>
      </c>
      <c r="G642" t="s">
        <v>963</v>
      </c>
      <c r="H642">
        <v>14</v>
      </c>
      <c r="I642">
        <v>0.39607100000000001</v>
      </c>
      <c r="J642">
        <v>0.59642899999999999</v>
      </c>
      <c r="K642">
        <v>0.20035700000000001</v>
      </c>
      <c r="L642">
        <v>8</v>
      </c>
      <c r="M642">
        <v>4</v>
      </c>
      <c r="N642">
        <v>2</v>
      </c>
      <c r="O642" t="s">
        <v>127</v>
      </c>
      <c r="P642" t="s">
        <v>127</v>
      </c>
      <c r="Q642" t="s">
        <v>127</v>
      </c>
    </row>
    <row r="643" spans="1:17" x14ac:dyDescent="0.25">
      <c r="A643" t="str">
        <f>IF(C643&amp;G643&amp;D643&lt;&gt;'Funnel setup'!$K$3&amp;'Funnel setup'!$K$4&amp;'Funnel setup'!$K$6,".",IF(A642=".",1,A642+1))</f>
        <v>.</v>
      </c>
      <c r="B643" s="244" t="str">
        <f t="shared" si="10"/>
        <v>Hip Replacement PrimaryProviderKINGS OAK HOSPITAL (NT421)EQ-5D Index</v>
      </c>
      <c r="C643" t="s">
        <v>749</v>
      </c>
      <c r="D643" t="s">
        <v>965</v>
      </c>
      <c r="E643" t="s">
        <v>292</v>
      </c>
      <c r="F643" t="s">
        <v>293</v>
      </c>
      <c r="G643" t="s">
        <v>963</v>
      </c>
      <c r="H643">
        <v>15</v>
      </c>
      <c r="I643">
        <v>0.32553300000000002</v>
      </c>
      <c r="J643">
        <v>0.849333</v>
      </c>
      <c r="K643">
        <v>0.52380000000000004</v>
      </c>
      <c r="L643">
        <v>14</v>
      </c>
      <c r="M643">
        <v>0</v>
      </c>
      <c r="N643">
        <v>1</v>
      </c>
      <c r="O643" t="s">
        <v>127</v>
      </c>
      <c r="P643" t="s">
        <v>127</v>
      </c>
      <c r="Q643" t="s">
        <v>127</v>
      </c>
    </row>
    <row r="644" spans="1:17" x14ac:dyDescent="0.25">
      <c r="A644" t="str">
        <f>IF(C644&amp;G644&amp;D644&lt;&gt;'Funnel setup'!$K$3&amp;'Funnel setup'!$K$4&amp;'Funnel setup'!$K$6,".",IF(A643=".",1,A643+1))</f>
        <v>.</v>
      </c>
      <c r="B644" s="244" t="str">
        <f t="shared" si="10"/>
        <v>Hip Replacement PrimaryProviderLANCASHIRE TEACHING HOSPITALS NHS FOUNDATION TRUST (RXN)EQ-5D Index</v>
      </c>
      <c r="C644" t="s">
        <v>749</v>
      </c>
      <c r="D644" t="s">
        <v>965</v>
      </c>
      <c r="E644" t="s">
        <v>296</v>
      </c>
      <c r="F644" t="s">
        <v>297</v>
      </c>
      <c r="G644" t="s">
        <v>963</v>
      </c>
      <c r="H644">
        <v>29</v>
      </c>
      <c r="I644">
        <v>0.21875900000000001</v>
      </c>
      <c r="J644">
        <v>0.66237900000000005</v>
      </c>
      <c r="K644">
        <v>0.44362099999999999</v>
      </c>
      <c r="L644">
        <v>24</v>
      </c>
      <c r="M644">
        <v>2</v>
      </c>
      <c r="N644">
        <v>3</v>
      </c>
      <c r="O644" t="s">
        <v>127</v>
      </c>
      <c r="P644" t="s">
        <v>127</v>
      </c>
      <c r="Q644" t="s">
        <v>127</v>
      </c>
    </row>
    <row r="645" spans="1:17" x14ac:dyDescent="0.25">
      <c r="A645" t="str">
        <f>IF(C645&amp;G645&amp;D645&lt;&gt;'Funnel setup'!$K$3&amp;'Funnel setup'!$K$4&amp;'Funnel setup'!$K$6,".",IF(A644=".",1,A644+1))</f>
        <v>.</v>
      </c>
      <c r="B645" s="244" t="str">
        <f t="shared" si="10"/>
        <v>Hip Replacement PrimaryProviderLANCASTER HOSPITAL (NT449)EQ-5D Index</v>
      </c>
      <c r="C645" t="s">
        <v>749</v>
      </c>
      <c r="D645" t="s">
        <v>965</v>
      </c>
      <c r="E645" t="s">
        <v>298</v>
      </c>
      <c r="F645" t="s">
        <v>299</v>
      </c>
      <c r="G645" t="s">
        <v>963</v>
      </c>
      <c r="H645">
        <v>22</v>
      </c>
      <c r="I645">
        <v>0.43490899999999999</v>
      </c>
      <c r="J645">
        <v>0.90104499999999998</v>
      </c>
      <c r="K645">
        <v>0.46613599999999999</v>
      </c>
      <c r="L645">
        <v>21</v>
      </c>
      <c r="M645">
        <v>1</v>
      </c>
      <c r="N645">
        <v>0</v>
      </c>
      <c r="O645" t="s">
        <v>127</v>
      </c>
      <c r="P645" t="s">
        <v>127</v>
      </c>
      <c r="Q645" t="s">
        <v>127</v>
      </c>
    </row>
    <row r="646" spans="1:17" x14ac:dyDescent="0.25">
      <c r="A646" t="str">
        <f>IF(C646&amp;G646&amp;D646&lt;&gt;'Funnel setup'!$K$3&amp;'Funnel setup'!$K$4&amp;'Funnel setup'!$K$6,".",IF(A645=".",1,A645+1))</f>
        <v>.</v>
      </c>
      <c r="B646" s="244" t="str">
        <f t="shared" si="10"/>
        <v>Hip Replacement PrimaryProviderLEEDS TEACHING HOSPITALS NHS TRUST (RR8)EQ-5D Index</v>
      </c>
      <c r="C646" t="s">
        <v>749</v>
      </c>
      <c r="D646" t="s">
        <v>965</v>
      </c>
      <c r="E646" t="s">
        <v>300</v>
      </c>
      <c r="F646" t="s">
        <v>301</v>
      </c>
      <c r="G646" t="s">
        <v>963</v>
      </c>
      <c r="H646">
        <v>98</v>
      </c>
      <c r="I646">
        <v>0.33719399999999999</v>
      </c>
      <c r="J646">
        <v>0.75557099999999999</v>
      </c>
      <c r="K646">
        <v>0.41837800000000003</v>
      </c>
      <c r="L646">
        <v>79</v>
      </c>
      <c r="M646">
        <v>7</v>
      </c>
      <c r="N646">
        <v>12</v>
      </c>
      <c r="O646">
        <v>0.76107400000000003</v>
      </c>
      <c r="P646">
        <v>0.43523600000000001</v>
      </c>
      <c r="Q646">
        <v>0.21798500000000001</v>
      </c>
    </row>
    <row r="647" spans="1:17" x14ac:dyDescent="0.25">
      <c r="A647" t="str">
        <f>IF(C647&amp;G647&amp;D647&lt;&gt;'Funnel setup'!$K$3&amp;'Funnel setup'!$K$4&amp;'Funnel setup'!$K$6,".",IF(A646=".",1,A646+1))</f>
        <v>.</v>
      </c>
      <c r="B647" s="244" t="str">
        <f t="shared" si="10"/>
        <v>Hip Replacement PrimaryProviderLEWISHAM AND GREENWICH NHS TRUST (RJ2)EQ-5D Index</v>
      </c>
      <c r="C647" t="s">
        <v>749</v>
      </c>
      <c r="D647" t="s">
        <v>965</v>
      </c>
      <c r="E647" t="s">
        <v>302</v>
      </c>
      <c r="F647" t="s">
        <v>303</v>
      </c>
      <c r="G647" t="s">
        <v>963</v>
      </c>
      <c r="H647">
        <v>2</v>
      </c>
      <c r="I647">
        <v>0.69</v>
      </c>
      <c r="J647">
        <v>1</v>
      </c>
      <c r="K647">
        <v>0.31</v>
      </c>
      <c r="L647">
        <v>2</v>
      </c>
      <c r="M647">
        <v>0</v>
      </c>
      <c r="N647">
        <v>0</v>
      </c>
      <c r="O647" t="s">
        <v>127</v>
      </c>
      <c r="P647" t="s">
        <v>127</v>
      </c>
      <c r="Q647" t="s">
        <v>127</v>
      </c>
    </row>
    <row r="648" spans="1:17" x14ac:dyDescent="0.25">
      <c r="A648" t="str">
        <f>IF(C648&amp;G648&amp;D648&lt;&gt;'Funnel setup'!$K$3&amp;'Funnel setup'!$K$4&amp;'Funnel setup'!$K$6,".",IF(A647=".",1,A647+1))</f>
        <v>.</v>
      </c>
      <c r="B648" s="244" t="str">
        <f t="shared" si="10"/>
        <v>Hip Replacement PrimaryProviderLINCOLN HOSPITAL (NT450)EQ-5D Index</v>
      </c>
      <c r="C648" t="s">
        <v>749</v>
      </c>
      <c r="D648" t="s">
        <v>965</v>
      </c>
      <c r="E648" t="s">
        <v>304</v>
      </c>
      <c r="F648" t="s">
        <v>305</v>
      </c>
      <c r="G648" t="s">
        <v>963</v>
      </c>
      <c r="H648">
        <v>67</v>
      </c>
      <c r="I648">
        <v>0.38647799999999999</v>
      </c>
      <c r="J648">
        <v>0.816299</v>
      </c>
      <c r="K648">
        <v>0.42982100000000001</v>
      </c>
      <c r="L648">
        <v>57</v>
      </c>
      <c r="M648">
        <v>5</v>
      </c>
      <c r="N648">
        <v>5</v>
      </c>
      <c r="O648">
        <v>0.80369400000000002</v>
      </c>
      <c r="P648">
        <v>0.47785499999999997</v>
      </c>
      <c r="Q648">
        <v>0.26884200000000003</v>
      </c>
    </row>
    <row r="649" spans="1:17" x14ac:dyDescent="0.25">
      <c r="A649" t="str">
        <f>IF(C649&amp;G649&amp;D649&lt;&gt;'Funnel setup'!$K$3&amp;'Funnel setup'!$K$4&amp;'Funnel setup'!$K$6,".",IF(A648=".",1,A648+1))</f>
        <v>.</v>
      </c>
      <c r="B649" s="244" t="str">
        <f t="shared" si="10"/>
        <v>Hip Replacement PrimaryProviderLIVERPOOL UNIVERSITY HOSPITALS NHS FOUNDATION TRUST (REM)EQ-5D Index</v>
      </c>
      <c r="C649" t="s">
        <v>749</v>
      </c>
      <c r="D649" t="s">
        <v>965</v>
      </c>
      <c r="E649" t="s">
        <v>306</v>
      </c>
      <c r="F649" t="s">
        <v>307</v>
      </c>
      <c r="G649" t="s">
        <v>963</v>
      </c>
      <c r="H649">
        <v>83</v>
      </c>
      <c r="I649">
        <v>0.146735</v>
      </c>
      <c r="J649">
        <v>0.70191599999999998</v>
      </c>
      <c r="K649">
        <v>0.55518100000000004</v>
      </c>
      <c r="L649">
        <v>77</v>
      </c>
      <c r="M649">
        <v>4</v>
      </c>
      <c r="N649">
        <v>2</v>
      </c>
      <c r="O649">
        <v>0.79164900000000005</v>
      </c>
      <c r="P649">
        <v>0.46581099999999998</v>
      </c>
      <c r="Q649">
        <v>0.27501399999999998</v>
      </c>
    </row>
    <row r="650" spans="1:17" x14ac:dyDescent="0.25">
      <c r="A650" t="str">
        <f>IF(C650&amp;G650&amp;D650&lt;&gt;'Funnel setup'!$K$3&amp;'Funnel setup'!$K$4&amp;'Funnel setup'!$K$6,".",IF(A649=".",1,A649+1))</f>
        <v>.</v>
      </c>
      <c r="B650" s="244" t="str">
        <f t="shared" si="10"/>
        <v>Hip Replacement PrimaryProviderLONDON INDEPENDENT HOSPITAL (NT422)EQ-5D Index</v>
      </c>
      <c r="C650" t="s">
        <v>749</v>
      </c>
      <c r="D650" t="s">
        <v>965</v>
      </c>
      <c r="E650" t="s">
        <v>308</v>
      </c>
      <c r="F650" t="s">
        <v>309</v>
      </c>
      <c r="G650" t="s">
        <v>963</v>
      </c>
      <c r="H650">
        <v>8</v>
      </c>
      <c r="I650">
        <v>0.23874999999999999</v>
      </c>
      <c r="J650">
        <v>0.82887500000000003</v>
      </c>
      <c r="K650">
        <v>0.59012500000000001</v>
      </c>
      <c r="L650">
        <v>8</v>
      </c>
      <c r="M650">
        <v>0</v>
      </c>
      <c r="N650">
        <v>0</v>
      </c>
      <c r="O650" t="s">
        <v>127</v>
      </c>
      <c r="P650" t="s">
        <v>127</v>
      </c>
      <c r="Q650" t="s">
        <v>127</v>
      </c>
    </row>
    <row r="651" spans="1:17" x14ac:dyDescent="0.25">
      <c r="A651" t="str">
        <f>IF(C651&amp;G651&amp;D651&lt;&gt;'Funnel setup'!$K$3&amp;'Funnel setup'!$K$4&amp;'Funnel setup'!$K$6,".",IF(A650=".",1,A650+1))</f>
        <v>.</v>
      </c>
      <c r="B651" s="244" t="str">
        <f t="shared" si="10"/>
        <v>Hip Replacement PrimaryProviderMAIDSTONE AND TUNBRIDGE WELLS NHS TRUST (RWF)EQ-5D Index</v>
      </c>
      <c r="C651" t="s">
        <v>749</v>
      </c>
      <c r="D651" t="s">
        <v>965</v>
      </c>
      <c r="E651" t="s">
        <v>312</v>
      </c>
      <c r="F651" t="s">
        <v>313</v>
      </c>
      <c r="G651" t="s">
        <v>963</v>
      </c>
      <c r="H651">
        <v>115</v>
      </c>
      <c r="I651">
        <v>0.42087799999999997</v>
      </c>
      <c r="J651">
        <v>0.83681700000000003</v>
      </c>
      <c r="K651">
        <v>0.415939</v>
      </c>
      <c r="L651">
        <v>107</v>
      </c>
      <c r="M651">
        <v>5</v>
      </c>
      <c r="N651">
        <v>3</v>
      </c>
      <c r="O651">
        <v>0.80535800000000002</v>
      </c>
      <c r="P651">
        <v>0.47952</v>
      </c>
      <c r="Q651">
        <v>0.17760699999999999</v>
      </c>
    </row>
    <row r="652" spans="1:17" x14ac:dyDescent="0.25">
      <c r="A652" t="str">
        <f>IF(C652&amp;G652&amp;D652&lt;&gt;'Funnel setup'!$K$3&amp;'Funnel setup'!$K$4&amp;'Funnel setup'!$K$6,".",IF(A651=".",1,A651+1))</f>
        <v>.</v>
      </c>
      <c r="B652" s="244" t="str">
        <f t="shared" si="10"/>
        <v>Hip Replacement PrimaryProviderMANCHESTER UNIVERSITY NHS FOUNDATION TRUST (R0A)EQ-5D Index</v>
      </c>
      <c r="C652" t="s">
        <v>749</v>
      </c>
      <c r="D652" t="s">
        <v>965</v>
      </c>
      <c r="E652" t="s">
        <v>316</v>
      </c>
      <c r="F652" t="s">
        <v>317</v>
      </c>
      <c r="G652" t="s">
        <v>963</v>
      </c>
      <c r="H652">
        <v>97</v>
      </c>
      <c r="I652">
        <v>0.26661899999999999</v>
      </c>
      <c r="J652">
        <v>0.72985599999999995</v>
      </c>
      <c r="K652">
        <v>0.46323700000000001</v>
      </c>
      <c r="L652">
        <v>86</v>
      </c>
      <c r="M652">
        <v>4</v>
      </c>
      <c r="N652">
        <v>7</v>
      </c>
      <c r="O652">
        <v>0.76115999999999995</v>
      </c>
      <c r="P652">
        <v>0.43532199999999999</v>
      </c>
      <c r="Q652">
        <v>0.26441700000000001</v>
      </c>
    </row>
    <row r="653" spans="1:17" x14ac:dyDescent="0.25">
      <c r="A653" t="str">
        <f>IF(C653&amp;G653&amp;D653&lt;&gt;'Funnel setup'!$K$3&amp;'Funnel setup'!$K$4&amp;'Funnel setup'!$K$6,".",IF(A652=".",1,A652+1))</f>
        <v>.</v>
      </c>
      <c r="B653" s="244" t="str">
        <f t="shared" si="10"/>
        <v>Hip Replacement PrimaryProviderMANOR HOSPITAL (NT423)EQ-5D Index</v>
      </c>
      <c r="C653" t="s">
        <v>749</v>
      </c>
      <c r="D653" t="s">
        <v>965</v>
      </c>
      <c r="E653" t="s">
        <v>318</v>
      </c>
      <c r="F653" t="s">
        <v>319</v>
      </c>
      <c r="G653" t="s">
        <v>963</v>
      </c>
      <c r="H653">
        <v>16</v>
      </c>
      <c r="I653">
        <v>0.34549999999999997</v>
      </c>
      <c r="J653">
        <v>0.85006300000000001</v>
      </c>
      <c r="K653">
        <v>0.50456299999999998</v>
      </c>
      <c r="L653">
        <v>16</v>
      </c>
      <c r="M653">
        <v>0</v>
      </c>
      <c r="N653">
        <v>0</v>
      </c>
      <c r="O653" t="s">
        <v>127</v>
      </c>
      <c r="P653" t="s">
        <v>127</v>
      </c>
      <c r="Q653" t="s">
        <v>127</v>
      </c>
    </row>
    <row r="654" spans="1:17" x14ac:dyDescent="0.25">
      <c r="A654" t="str">
        <f>IF(C654&amp;G654&amp;D654&lt;&gt;'Funnel setup'!$K$3&amp;'Funnel setup'!$K$4&amp;'Funnel setup'!$K$6,".",IF(A653=".",1,A653+1))</f>
        <v>.</v>
      </c>
      <c r="B654" s="244" t="str">
        <f t="shared" si="10"/>
        <v>Hip Replacement PrimaryProviderMEDWAY NHS FOUNDATION TRUST (RPA)EQ-5D Index</v>
      </c>
      <c r="C654" t="s">
        <v>749</v>
      </c>
      <c r="D654" t="s">
        <v>965</v>
      </c>
      <c r="E654" t="s">
        <v>320</v>
      </c>
      <c r="F654" t="s">
        <v>321</v>
      </c>
      <c r="G654" t="s">
        <v>963</v>
      </c>
      <c r="H654">
        <v>40</v>
      </c>
      <c r="I654">
        <v>0.212225</v>
      </c>
      <c r="J654">
        <v>0.76312500000000005</v>
      </c>
      <c r="K654">
        <v>0.55089999999999995</v>
      </c>
      <c r="L654">
        <v>38</v>
      </c>
      <c r="M654">
        <v>1</v>
      </c>
      <c r="N654">
        <v>1</v>
      </c>
      <c r="O654">
        <v>0.80586199999999997</v>
      </c>
      <c r="P654">
        <v>0.48002400000000001</v>
      </c>
      <c r="Q654">
        <v>0.23216500000000001</v>
      </c>
    </row>
    <row r="655" spans="1:17" x14ac:dyDescent="0.25">
      <c r="A655" t="str">
        <f>IF(C655&amp;G655&amp;D655&lt;&gt;'Funnel setup'!$K$3&amp;'Funnel setup'!$K$4&amp;'Funnel setup'!$K$6,".",IF(A654=".",1,A654+1))</f>
        <v>.</v>
      </c>
      <c r="B655" s="244" t="str">
        <f t="shared" si="10"/>
        <v>Hip Replacement PrimaryProviderMERIDEN HOSPITAL (NT424)EQ-5D Index</v>
      </c>
      <c r="C655" t="s">
        <v>749</v>
      </c>
      <c r="D655" t="s">
        <v>965</v>
      </c>
      <c r="E655" t="s">
        <v>322</v>
      </c>
      <c r="F655" t="s">
        <v>323</v>
      </c>
      <c r="G655" t="s">
        <v>963</v>
      </c>
      <c r="H655">
        <v>5</v>
      </c>
      <c r="I655">
        <v>0.26</v>
      </c>
      <c r="J655">
        <v>0.92400000000000004</v>
      </c>
      <c r="K655">
        <v>0.66400000000000003</v>
      </c>
      <c r="L655">
        <v>5</v>
      </c>
      <c r="M655">
        <v>0</v>
      </c>
      <c r="N655">
        <v>0</v>
      </c>
      <c r="O655" t="s">
        <v>127</v>
      </c>
      <c r="P655" t="s">
        <v>127</v>
      </c>
      <c r="Q655" t="s">
        <v>127</v>
      </c>
    </row>
    <row r="656" spans="1:17" x14ac:dyDescent="0.25">
      <c r="A656" t="str">
        <f>IF(C656&amp;G656&amp;D656&lt;&gt;'Funnel setup'!$K$3&amp;'Funnel setup'!$K$4&amp;'Funnel setup'!$K$6,".",IF(A655=".",1,A655+1))</f>
        <v>.</v>
      </c>
      <c r="B656" s="244" t="str">
        <f t="shared" si="10"/>
        <v>Hip Replacement PrimaryProviderMID AND SOUTH ESSEX NHS FOUNDATION TRUST (RAJ)EQ-5D Index</v>
      </c>
      <c r="C656" t="s">
        <v>749</v>
      </c>
      <c r="D656" t="s">
        <v>965</v>
      </c>
      <c r="E656" t="s">
        <v>324</v>
      </c>
      <c r="F656" t="s">
        <v>325</v>
      </c>
      <c r="G656" t="s">
        <v>963</v>
      </c>
      <c r="H656">
        <v>110</v>
      </c>
      <c r="I656">
        <v>0.23341799999999999</v>
      </c>
      <c r="J656">
        <v>0.73757300000000003</v>
      </c>
      <c r="K656">
        <v>0.50415500000000002</v>
      </c>
      <c r="L656">
        <v>102</v>
      </c>
      <c r="M656">
        <v>1</v>
      </c>
      <c r="N656">
        <v>7</v>
      </c>
      <c r="O656">
        <v>0.78074399999999999</v>
      </c>
      <c r="P656">
        <v>0.45490599999999998</v>
      </c>
      <c r="Q656">
        <v>0.24815100000000001</v>
      </c>
    </row>
    <row r="657" spans="1:17" x14ac:dyDescent="0.25">
      <c r="A657" t="str">
        <f>IF(C657&amp;G657&amp;D657&lt;&gt;'Funnel setup'!$K$3&amp;'Funnel setup'!$K$4&amp;'Funnel setup'!$K$6,".",IF(A656=".",1,A656+1))</f>
        <v>.</v>
      </c>
      <c r="B657" s="244" t="str">
        <f t="shared" si="10"/>
        <v>Hip Replacement PrimaryProviderMID CHESHIRE HOSPITALS NHS FOUNDATION TRUST (RBT)EQ-5D Index</v>
      </c>
      <c r="C657" t="s">
        <v>749</v>
      </c>
      <c r="D657" t="s">
        <v>965</v>
      </c>
      <c r="E657" t="s">
        <v>326</v>
      </c>
      <c r="F657" t="s">
        <v>327</v>
      </c>
      <c r="G657" t="s">
        <v>963</v>
      </c>
      <c r="H657">
        <v>95</v>
      </c>
      <c r="I657">
        <v>0.30278899999999997</v>
      </c>
      <c r="J657">
        <v>0.807168</v>
      </c>
      <c r="K657">
        <v>0.50437900000000002</v>
      </c>
      <c r="L657">
        <v>86</v>
      </c>
      <c r="M657">
        <v>6</v>
      </c>
      <c r="N657">
        <v>3</v>
      </c>
      <c r="O657">
        <v>0.79959899999999995</v>
      </c>
      <c r="P657">
        <v>0.47376000000000001</v>
      </c>
      <c r="Q657">
        <v>0.18621399999999999</v>
      </c>
    </row>
    <row r="658" spans="1:17" x14ac:dyDescent="0.25">
      <c r="A658" t="str">
        <f>IF(C658&amp;G658&amp;D658&lt;&gt;'Funnel setup'!$K$3&amp;'Funnel setup'!$K$4&amp;'Funnel setup'!$K$6,".",IF(A657=".",1,A657+1))</f>
        <v>.</v>
      </c>
      <c r="B658" s="244" t="str">
        <f t="shared" si="10"/>
        <v>Hip Replacement PrimaryProviderMID YORKSHIRE TEACHING NHS TRUST (RXF)EQ-5D Index</v>
      </c>
      <c r="C658" t="s">
        <v>749</v>
      </c>
      <c r="D658" t="s">
        <v>965</v>
      </c>
      <c r="E658" t="s">
        <v>330</v>
      </c>
      <c r="F658" t="s">
        <v>331</v>
      </c>
      <c r="G658" t="s">
        <v>963</v>
      </c>
      <c r="H658">
        <v>167</v>
      </c>
      <c r="I658">
        <v>0.27800599999999998</v>
      </c>
      <c r="J658">
        <v>0.71397600000000006</v>
      </c>
      <c r="K658">
        <v>0.43597000000000002</v>
      </c>
      <c r="L658">
        <v>147</v>
      </c>
      <c r="M658">
        <v>7</v>
      </c>
      <c r="N658">
        <v>13</v>
      </c>
      <c r="O658">
        <v>0.74076299999999995</v>
      </c>
      <c r="P658">
        <v>0.41492400000000002</v>
      </c>
      <c r="Q658">
        <v>0.28178399999999998</v>
      </c>
    </row>
    <row r="659" spans="1:17" x14ac:dyDescent="0.25">
      <c r="A659" t="str">
        <f>IF(C659&amp;G659&amp;D659&lt;&gt;'Funnel setup'!$K$3&amp;'Funnel setup'!$K$4&amp;'Funnel setup'!$K$6,".",IF(A658=".",1,A658+1))</f>
        <v>.</v>
      </c>
      <c r="B659" s="244" t="str">
        <f t="shared" si="10"/>
        <v>Hip Replacement PrimaryProviderMILTON KEYNES UNIVERSITY HOSPITAL NHS FOUNDATION TRUST (RD8)EQ-5D Index</v>
      </c>
      <c r="C659" t="s">
        <v>749</v>
      </c>
      <c r="D659" t="s">
        <v>965</v>
      </c>
      <c r="E659" t="s">
        <v>332</v>
      </c>
      <c r="F659" t="s">
        <v>333</v>
      </c>
      <c r="G659" t="s">
        <v>963</v>
      </c>
      <c r="H659">
        <v>33</v>
      </c>
      <c r="I659">
        <v>0.22269700000000001</v>
      </c>
      <c r="J659">
        <v>0.80887900000000001</v>
      </c>
      <c r="K659">
        <v>0.58618199999999998</v>
      </c>
      <c r="L659">
        <v>32</v>
      </c>
      <c r="M659">
        <v>0</v>
      </c>
      <c r="N659">
        <v>1</v>
      </c>
      <c r="O659">
        <v>0.85999800000000004</v>
      </c>
      <c r="P659">
        <v>0.53415999999999997</v>
      </c>
      <c r="Q659">
        <v>0.25447399999999998</v>
      </c>
    </row>
    <row r="660" spans="1:17" x14ac:dyDescent="0.25">
      <c r="A660" t="str">
        <f>IF(C660&amp;G660&amp;D660&lt;&gt;'Funnel setup'!$K$3&amp;'Funnel setup'!$K$4&amp;'Funnel setup'!$K$6,".",IF(A659=".",1,A659+1))</f>
        <v>.</v>
      </c>
      <c r="B660" s="244" t="str">
        <f t="shared" si="10"/>
        <v>Hip Replacement PrimaryProviderMOUNT ALVERNIA HOSPITAL (NT455)EQ-5D Index</v>
      </c>
      <c r="C660" t="s">
        <v>749</v>
      </c>
      <c r="D660" t="s">
        <v>965</v>
      </c>
      <c r="E660" t="s">
        <v>334</v>
      </c>
      <c r="F660" t="s">
        <v>335</v>
      </c>
      <c r="G660" t="s">
        <v>963</v>
      </c>
      <c r="H660">
        <v>8</v>
      </c>
      <c r="I660">
        <v>0.51424999999999998</v>
      </c>
      <c r="J660">
        <v>0.89575000000000005</v>
      </c>
      <c r="K660">
        <v>0.38150000000000001</v>
      </c>
      <c r="L660">
        <v>8</v>
      </c>
      <c r="M660">
        <v>0</v>
      </c>
      <c r="N660">
        <v>0</v>
      </c>
      <c r="O660" t="s">
        <v>127</v>
      </c>
      <c r="P660" t="s">
        <v>127</v>
      </c>
      <c r="Q660" t="s">
        <v>127</v>
      </c>
    </row>
    <row r="661" spans="1:17" x14ac:dyDescent="0.25">
      <c r="A661" t="str">
        <f>IF(C661&amp;G661&amp;D661&lt;&gt;'Funnel setup'!$K$3&amp;'Funnel setup'!$K$4&amp;'Funnel setup'!$K$6,".",IF(A660=".",1,A660+1))</f>
        <v>.</v>
      </c>
      <c r="B661" s="244" t="str">
        <f t="shared" si="10"/>
        <v>Hip Replacement PrimaryProviderMOUNT STUART HOSPITAL (NVC08)EQ-5D Index</v>
      </c>
      <c r="C661" t="s">
        <v>749</v>
      </c>
      <c r="D661" t="s">
        <v>965</v>
      </c>
      <c r="E661" t="s">
        <v>336</v>
      </c>
      <c r="F661" t="s">
        <v>337</v>
      </c>
      <c r="G661" t="s">
        <v>963</v>
      </c>
      <c r="H661">
        <v>84</v>
      </c>
      <c r="I661">
        <v>0.26645200000000002</v>
      </c>
      <c r="J661">
        <v>0.81183300000000003</v>
      </c>
      <c r="K661">
        <v>0.545381</v>
      </c>
      <c r="L661">
        <v>79</v>
      </c>
      <c r="M661">
        <v>2</v>
      </c>
      <c r="N661">
        <v>3</v>
      </c>
      <c r="O661">
        <v>0.83147300000000002</v>
      </c>
      <c r="P661">
        <v>0.50563499999999995</v>
      </c>
      <c r="Q661">
        <v>0.20719299999999999</v>
      </c>
    </row>
    <row r="662" spans="1:17" x14ac:dyDescent="0.25">
      <c r="A662" t="str">
        <f>IF(C662&amp;G662&amp;D662&lt;&gt;'Funnel setup'!$K$3&amp;'Funnel setup'!$K$4&amp;'Funnel setup'!$K$6,".",IF(A661=".",1,A661+1))</f>
        <v>.</v>
      </c>
      <c r="B662" s="244" t="str">
        <f t="shared" si="10"/>
        <v>Hip Replacement PrimaryProviderNEW HALL HOSPITAL (NVC09)EQ-5D Index</v>
      </c>
      <c r="C662" t="s">
        <v>749</v>
      </c>
      <c r="D662" t="s">
        <v>965</v>
      </c>
      <c r="E662" t="s">
        <v>338</v>
      </c>
      <c r="F662" t="s">
        <v>339</v>
      </c>
      <c r="G662" t="s">
        <v>963</v>
      </c>
      <c r="H662">
        <v>82</v>
      </c>
      <c r="I662">
        <v>0.39526800000000001</v>
      </c>
      <c r="J662">
        <v>0.82972000000000001</v>
      </c>
      <c r="K662">
        <v>0.43445099999999998</v>
      </c>
      <c r="L662">
        <v>74</v>
      </c>
      <c r="M662">
        <v>6</v>
      </c>
      <c r="N662">
        <v>2</v>
      </c>
      <c r="O662">
        <v>0.78792499999999999</v>
      </c>
      <c r="P662">
        <v>0.46208700000000003</v>
      </c>
      <c r="Q662">
        <v>0.231902</v>
      </c>
    </row>
    <row r="663" spans="1:17" x14ac:dyDescent="0.25">
      <c r="A663" t="str">
        <f>IF(C663&amp;G663&amp;D663&lt;&gt;'Funnel setup'!$K$3&amp;'Funnel setup'!$K$4&amp;'Funnel setup'!$K$6,".",IF(A662=".",1,A662+1))</f>
        <v>.</v>
      </c>
      <c r="B663" s="244" t="str">
        <f t="shared" si="10"/>
        <v>Hip Replacement PrimaryProviderNORFOLK AND NORWICH UNIVERSITY HOSPITALS NHS FOUNDATION TRUST (RM1)EQ-5D Index</v>
      </c>
      <c r="C663" t="s">
        <v>749</v>
      </c>
      <c r="D663" t="s">
        <v>965</v>
      </c>
      <c r="E663" t="s">
        <v>340</v>
      </c>
      <c r="F663" t="s">
        <v>341</v>
      </c>
      <c r="G663" t="s">
        <v>963</v>
      </c>
      <c r="H663">
        <v>174</v>
      </c>
      <c r="I663">
        <v>0.26803399999999999</v>
      </c>
      <c r="J663">
        <v>0.71962099999999996</v>
      </c>
      <c r="K663">
        <v>0.45158599999999999</v>
      </c>
      <c r="L663">
        <v>150</v>
      </c>
      <c r="M663">
        <v>14</v>
      </c>
      <c r="N663">
        <v>10</v>
      </c>
      <c r="O663">
        <v>0.75250499999999998</v>
      </c>
      <c r="P663">
        <v>0.42666700000000002</v>
      </c>
      <c r="Q663">
        <v>0.29348600000000002</v>
      </c>
    </row>
    <row r="664" spans="1:17" x14ac:dyDescent="0.25">
      <c r="A664" t="str">
        <f>IF(C664&amp;G664&amp;D664&lt;&gt;'Funnel setup'!$K$3&amp;'Funnel setup'!$K$4&amp;'Funnel setup'!$K$6,".",IF(A663=".",1,A663+1))</f>
        <v>.</v>
      </c>
      <c r="B664" s="244" t="str">
        <f t="shared" si="10"/>
        <v>Hip Replacement PrimaryProviderNORTH BRISTOL NHS TRUST (RVJ)EQ-5D Index</v>
      </c>
      <c r="C664" t="s">
        <v>749</v>
      </c>
      <c r="D664" t="s">
        <v>965</v>
      </c>
      <c r="E664" t="s">
        <v>342</v>
      </c>
      <c r="F664" t="s">
        <v>343</v>
      </c>
      <c r="G664" t="s">
        <v>963</v>
      </c>
      <c r="H664">
        <v>6</v>
      </c>
      <c r="I664">
        <v>2.23333E-2</v>
      </c>
      <c r="J664">
        <v>0.71283300000000005</v>
      </c>
      <c r="K664">
        <v>0.6905</v>
      </c>
      <c r="L664">
        <v>6</v>
      </c>
      <c r="M664">
        <v>0</v>
      </c>
      <c r="N664">
        <v>0</v>
      </c>
      <c r="O664" t="s">
        <v>127</v>
      </c>
      <c r="P664" t="s">
        <v>127</v>
      </c>
      <c r="Q664" t="s">
        <v>127</v>
      </c>
    </row>
    <row r="665" spans="1:17" x14ac:dyDescent="0.25">
      <c r="A665" t="str">
        <f>IF(C665&amp;G665&amp;D665&lt;&gt;'Funnel setup'!$K$3&amp;'Funnel setup'!$K$4&amp;'Funnel setup'!$K$6,".",IF(A664=".",1,A664+1))</f>
        <v>.</v>
      </c>
      <c r="B665" s="244" t="str">
        <f t="shared" si="10"/>
        <v>Hip Replacement PrimaryProviderNORTH CUMBRIA INTEGRATED CARE NHS FOUNDATION TRUST (RNN)EQ-5D Index</v>
      </c>
      <c r="C665" t="s">
        <v>749</v>
      </c>
      <c r="D665" t="s">
        <v>965</v>
      </c>
      <c r="E665" t="s">
        <v>344</v>
      </c>
      <c r="F665" t="s">
        <v>345</v>
      </c>
      <c r="G665" t="s">
        <v>963</v>
      </c>
      <c r="H665">
        <v>77</v>
      </c>
      <c r="I665">
        <v>0.19228600000000001</v>
      </c>
      <c r="J665">
        <v>0.77194799999999997</v>
      </c>
      <c r="K665">
        <v>0.57966200000000001</v>
      </c>
      <c r="L665">
        <v>73</v>
      </c>
      <c r="M665">
        <v>2</v>
      </c>
      <c r="N665">
        <v>2</v>
      </c>
      <c r="O665">
        <v>0.80430299999999999</v>
      </c>
      <c r="P665">
        <v>0.47846499999999997</v>
      </c>
      <c r="Q665">
        <v>0.239368</v>
      </c>
    </row>
    <row r="666" spans="1:17" x14ac:dyDescent="0.25">
      <c r="A666" t="str">
        <f>IF(C666&amp;G666&amp;D666&lt;&gt;'Funnel setup'!$K$3&amp;'Funnel setup'!$K$4&amp;'Funnel setup'!$K$6,".",IF(A665=".",1,A665+1))</f>
        <v>.</v>
      </c>
      <c r="B666" s="244" t="str">
        <f t="shared" si="10"/>
        <v>Hip Replacement PrimaryProviderNORTH DOWNS HOSPITAL (NVC11)EQ-5D Index</v>
      </c>
      <c r="C666" t="s">
        <v>749</v>
      </c>
      <c r="D666" t="s">
        <v>965</v>
      </c>
      <c r="E666" t="s">
        <v>348</v>
      </c>
      <c r="F666" t="s">
        <v>349</v>
      </c>
      <c r="G666" t="s">
        <v>963</v>
      </c>
      <c r="H666">
        <v>55</v>
      </c>
      <c r="I666">
        <v>0.43236400000000003</v>
      </c>
      <c r="J666">
        <v>0.84658199999999995</v>
      </c>
      <c r="K666">
        <v>0.41421799999999998</v>
      </c>
      <c r="L666">
        <v>51</v>
      </c>
      <c r="M666">
        <v>1</v>
      </c>
      <c r="N666">
        <v>3</v>
      </c>
      <c r="O666">
        <v>0.79141700000000004</v>
      </c>
      <c r="P666">
        <v>0.46557900000000002</v>
      </c>
      <c r="Q666">
        <v>0.20095099999999999</v>
      </c>
    </row>
    <row r="667" spans="1:17" x14ac:dyDescent="0.25">
      <c r="A667" t="str">
        <f>IF(C667&amp;G667&amp;D667&lt;&gt;'Funnel setup'!$K$3&amp;'Funnel setup'!$K$4&amp;'Funnel setup'!$K$6,".",IF(A666=".",1,A666+1))</f>
        <v>.</v>
      </c>
      <c r="B667" s="244" t="str">
        <f t="shared" si="10"/>
        <v>Hip Replacement PrimaryProviderNORTH MIDDLESEX UNIVERSITY HOSPITAL NHS TRUST (RAP)EQ-5D Index</v>
      </c>
      <c r="C667" t="s">
        <v>749</v>
      </c>
      <c r="D667" t="s">
        <v>965</v>
      </c>
      <c r="E667" t="s">
        <v>350</v>
      </c>
      <c r="F667" t="s">
        <v>351</v>
      </c>
      <c r="G667" t="s">
        <v>963</v>
      </c>
      <c r="H667">
        <v>7</v>
      </c>
      <c r="I667">
        <v>0.223714</v>
      </c>
      <c r="J667">
        <v>0.623</v>
      </c>
      <c r="K667">
        <v>0.39928599999999997</v>
      </c>
      <c r="L667">
        <v>6</v>
      </c>
      <c r="M667">
        <v>0</v>
      </c>
      <c r="N667">
        <v>1</v>
      </c>
      <c r="O667" t="s">
        <v>127</v>
      </c>
      <c r="P667" t="s">
        <v>127</v>
      </c>
      <c r="Q667" t="s">
        <v>127</v>
      </c>
    </row>
    <row r="668" spans="1:17" x14ac:dyDescent="0.25">
      <c r="A668" t="str">
        <f>IF(C668&amp;G668&amp;D668&lt;&gt;'Funnel setup'!$K$3&amp;'Funnel setup'!$K$4&amp;'Funnel setup'!$K$6,".",IF(A667=".",1,A667+1))</f>
        <v>.</v>
      </c>
      <c r="B668" s="244" t="str">
        <f t="shared" si="10"/>
        <v>Hip Replacement PrimaryProviderNORTH TEES AND HARTLEPOOL NHS FOUNDATION TRUST (RVW)EQ-5D Index</v>
      </c>
      <c r="C668" t="s">
        <v>749</v>
      </c>
      <c r="D668" t="s">
        <v>965</v>
      </c>
      <c r="E668" t="s">
        <v>352</v>
      </c>
      <c r="F668" t="s">
        <v>353</v>
      </c>
      <c r="G668" t="s">
        <v>963</v>
      </c>
      <c r="H668">
        <v>98</v>
      </c>
      <c r="I668">
        <v>0.185776</v>
      </c>
      <c r="J668">
        <v>0.71505099999999999</v>
      </c>
      <c r="K668">
        <v>0.52927599999999997</v>
      </c>
      <c r="L668">
        <v>87</v>
      </c>
      <c r="M668">
        <v>4</v>
      </c>
      <c r="N668">
        <v>7</v>
      </c>
      <c r="O668">
        <v>0.77445200000000003</v>
      </c>
      <c r="P668">
        <v>0.44861400000000001</v>
      </c>
      <c r="Q668">
        <v>0.280443</v>
      </c>
    </row>
    <row r="669" spans="1:17" x14ac:dyDescent="0.25">
      <c r="A669" t="str">
        <f>IF(C669&amp;G669&amp;D669&lt;&gt;'Funnel setup'!$K$3&amp;'Funnel setup'!$K$4&amp;'Funnel setup'!$K$6,".",IF(A668=".",1,A668+1))</f>
        <v>.</v>
      </c>
      <c r="B669" s="244" t="str">
        <f t="shared" si="10"/>
        <v>Hip Replacement PrimaryProviderNORTH WEST ANGLIA NHS FOUNDATION TRUST (RGN)EQ-5D Index</v>
      </c>
      <c r="C669" t="s">
        <v>749</v>
      </c>
      <c r="D669" t="s">
        <v>965</v>
      </c>
      <c r="E669" t="s">
        <v>354</v>
      </c>
      <c r="F669" t="s">
        <v>355</v>
      </c>
      <c r="G669" t="s">
        <v>963</v>
      </c>
      <c r="H669">
        <v>166</v>
      </c>
      <c r="I669">
        <v>0.23383100000000001</v>
      </c>
      <c r="J669">
        <v>0.75046400000000002</v>
      </c>
      <c r="K669">
        <v>0.51663300000000001</v>
      </c>
      <c r="L669">
        <v>145</v>
      </c>
      <c r="M669">
        <v>13</v>
      </c>
      <c r="N669">
        <v>8</v>
      </c>
      <c r="O669">
        <v>0.78061199999999997</v>
      </c>
      <c r="P669">
        <v>0.45477400000000001</v>
      </c>
      <c r="Q669">
        <v>0.25435000000000002</v>
      </c>
    </row>
    <row r="670" spans="1:17" x14ac:dyDescent="0.25">
      <c r="A670" t="str">
        <f>IF(C670&amp;G670&amp;D670&lt;&gt;'Funnel setup'!$K$3&amp;'Funnel setup'!$K$4&amp;'Funnel setup'!$K$6,".",IF(A669=".",1,A669+1))</f>
        <v>.</v>
      </c>
      <c r="B670" s="244" t="str">
        <f t="shared" si="10"/>
        <v>Hip Replacement PrimaryProviderNORTHAMPTON GENERAL HOSPITAL NHS TRUST (RNS)EQ-5D Index</v>
      </c>
      <c r="C670" t="s">
        <v>749</v>
      </c>
      <c r="D670" t="s">
        <v>965</v>
      </c>
      <c r="E670" t="s">
        <v>356</v>
      </c>
      <c r="F670" t="s">
        <v>357</v>
      </c>
      <c r="G670" t="s">
        <v>963</v>
      </c>
      <c r="H670">
        <v>39</v>
      </c>
      <c r="I670">
        <v>0.21346200000000001</v>
      </c>
      <c r="J670">
        <v>0.79484600000000005</v>
      </c>
      <c r="K670">
        <v>0.58138500000000004</v>
      </c>
      <c r="L670">
        <v>35</v>
      </c>
      <c r="M670">
        <v>3</v>
      </c>
      <c r="N670">
        <v>1</v>
      </c>
      <c r="O670">
        <v>0.84517100000000001</v>
      </c>
      <c r="P670">
        <v>0.51933300000000004</v>
      </c>
      <c r="Q670">
        <v>0.25428400000000001</v>
      </c>
    </row>
    <row r="671" spans="1:17" x14ac:dyDescent="0.25">
      <c r="A671" t="str">
        <f>IF(C671&amp;G671&amp;D671&lt;&gt;'Funnel setup'!$K$3&amp;'Funnel setup'!$K$4&amp;'Funnel setup'!$K$6,".",IF(A670=".",1,A670+1))</f>
        <v>.</v>
      </c>
      <c r="B671" s="244" t="str">
        <f t="shared" si="10"/>
        <v>Hip Replacement PrimaryProviderNORTHERN CARE ALLIANCE NHS FOUNDATION TRUST (RM3)EQ-5D Index</v>
      </c>
      <c r="C671" t="s">
        <v>749</v>
      </c>
      <c r="D671" t="s">
        <v>965</v>
      </c>
      <c r="E671" t="s">
        <v>358</v>
      </c>
      <c r="F671" t="s">
        <v>359</v>
      </c>
      <c r="G671" t="s">
        <v>963</v>
      </c>
      <c r="H671">
        <v>3</v>
      </c>
      <c r="I671">
        <v>0.06</v>
      </c>
      <c r="J671">
        <v>0.83866700000000005</v>
      </c>
      <c r="K671">
        <v>0.778667</v>
      </c>
      <c r="L671">
        <v>3</v>
      </c>
      <c r="M671">
        <v>0</v>
      </c>
      <c r="N671">
        <v>0</v>
      </c>
      <c r="O671" t="s">
        <v>127</v>
      </c>
      <c r="P671" t="s">
        <v>127</v>
      </c>
      <c r="Q671" t="s">
        <v>127</v>
      </c>
    </row>
    <row r="672" spans="1:17" x14ac:dyDescent="0.25">
      <c r="A672" t="str">
        <f>IF(C672&amp;G672&amp;D672&lt;&gt;'Funnel setup'!$K$3&amp;'Funnel setup'!$K$4&amp;'Funnel setup'!$K$6,".",IF(A671=".",1,A671+1))</f>
        <v>.</v>
      </c>
      <c r="B672" s="244" t="str">
        <f t="shared" si="10"/>
        <v>Hip Replacement PrimaryProviderNORTHERN DEVON HEALTHCARE NHS TRUST (RBZ)EQ-5D Index</v>
      </c>
      <c r="C672" t="s">
        <v>749</v>
      </c>
      <c r="D672" t="s">
        <v>965</v>
      </c>
      <c r="E672" t="s">
        <v>360</v>
      </c>
      <c r="F672" t="s">
        <v>361</v>
      </c>
      <c r="G672" t="s">
        <v>963</v>
      </c>
      <c r="H672">
        <v>28</v>
      </c>
      <c r="I672">
        <v>0.21721399999999999</v>
      </c>
      <c r="J672">
        <v>0.75460700000000003</v>
      </c>
      <c r="K672">
        <v>0.53739300000000001</v>
      </c>
      <c r="L672">
        <v>26</v>
      </c>
      <c r="M672">
        <v>0</v>
      </c>
      <c r="N672">
        <v>2</v>
      </c>
      <c r="O672" t="s">
        <v>127</v>
      </c>
      <c r="P672" t="s">
        <v>127</v>
      </c>
      <c r="Q672" t="s">
        <v>127</v>
      </c>
    </row>
    <row r="673" spans="1:17" x14ac:dyDescent="0.25">
      <c r="A673" t="str">
        <f>IF(C673&amp;G673&amp;D673&lt;&gt;'Funnel setup'!$K$3&amp;'Funnel setup'!$K$4&amp;'Funnel setup'!$K$6,".",IF(A672=".",1,A672+1))</f>
        <v>.</v>
      </c>
      <c r="B673" s="244" t="str">
        <f t="shared" si="10"/>
        <v>Hip Replacement PrimaryProviderNORTHERN LINCOLNSHIRE AND GOOLE NHS FOUNDATION TRUST (RJL)EQ-5D Index</v>
      </c>
      <c r="C673" t="s">
        <v>749</v>
      </c>
      <c r="D673" t="s">
        <v>965</v>
      </c>
      <c r="E673" t="s">
        <v>362</v>
      </c>
      <c r="F673" t="s">
        <v>363</v>
      </c>
      <c r="G673" t="s">
        <v>963</v>
      </c>
      <c r="H673">
        <v>89</v>
      </c>
      <c r="I673">
        <v>0.26122499999999998</v>
      </c>
      <c r="J673">
        <v>0.77040399999999998</v>
      </c>
      <c r="K673">
        <v>0.50917999999999997</v>
      </c>
      <c r="L673">
        <v>79</v>
      </c>
      <c r="M673">
        <v>7</v>
      </c>
      <c r="N673">
        <v>3</v>
      </c>
      <c r="O673">
        <v>0.79105700000000001</v>
      </c>
      <c r="P673">
        <v>0.46521899999999999</v>
      </c>
      <c r="Q673">
        <v>0.23514599999999999</v>
      </c>
    </row>
    <row r="674" spans="1:17" x14ac:dyDescent="0.25">
      <c r="A674" t="str">
        <f>IF(C674&amp;G674&amp;D674&lt;&gt;'Funnel setup'!$K$3&amp;'Funnel setup'!$K$4&amp;'Funnel setup'!$K$6,".",IF(A673=".",1,A673+1))</f>
        <v>.</v>
      </c>
      <c r="B674" s="244" t="str">
        <f t="shared" si="10"/>
        <v>Hip Replacement PrimaryProviderNORTHUMBRIA HEALTHCARE NHS FOUNDATION TRUST (RTF)EQ-5D Index</v>
      </c>
      <c r="C674" t="s">
        <v>749</v>
      </c>
      <c r="D674" t="s">
        <v>965</v>
      </c>
      <c r="E674" t="s">
        <v>364</v>
      </c>
      <c r="F674" t="s">
        <v>365</v>
      </c>
      <c r="G674" t="s">
        <v>963</v>
      </c>
      <c r="H674">
        <v>285</v>
      </c>
      <c r="I674">
        <v>0.30166700000000002</v>
      </c>
      <c r="J674">
        <v>0.79820400000000002</v>
      </c>
      <c r="K674">
        <v>0.49653700000000001</v>
      </c>
      <c r="L674">
        <v>262</v>
      </c>
      <c r="M674">
        <v>10</v>
      </c>
      <c r="N674">
        <v>13</v>
      </c>
      <c r="O674">
        <v>0.80234300000000003</v>
      </c>
      <c r="P674">
        <v>0.47650500000000001</v>
      </c>
      <c r="Q674">
        <v>0.23935300000000001</v>
      </c>
    </row>
    <row r="675" spans="1:17" x14ac:dyDescent="0.25">
      <c r="A675" t="str">
        <f>IF(C675&amp;G675&amp;D675&lt;&gt;'Funnel setup'!$K$3&amp;'Funnel setup'!$K$4&amp;'Funnel setup'!$K$6,".",IF(A674=".",1,A674+1))</f>
        <v>.</v>
      </c>
      <c r="B675" s="244" t="str">
        <f t="shared" si="10"/>
        <v>Hip Replacement PrimaryProviderNOTTINGHAM UNIVERSITY HOSPITALS NHS TRUST (RX1)EQ-5D Index</v>
      </c>
      <c r="C675" t="s">
        <v>749</v>
      </c>
      <c r="D675" t="s">
        <v>965</v>
      </c>
      <c r="E675" t="s">
        <v>366</v>
      </c>
      <c r="F675" t="s">
        <v>367</v>
      </c>
      <c r="G675" t="s">
        <v>963</v>
      </c>
      <c r="H675">
        <v>3</v>
      </c>
      <c r="I675">
        <v>0.42066700000000001</v>
      </c>
      <c r="J675">
        <v>0.73566699999999996</v>
      </c>
      <c r="K675">
        <v>0.315</v>
      </c>
      <c r="L675">
        <v>2</v>
      </c>
      <c r="M675">
        <v>1</v>
      </c>
      <c r="N675">
        <v>0</v>
      </c>
      <c r="O675" t="s">
        <v>127</v>
      </c>
      <c r="P675" t="s">
        <v>127</v>
      </c>
      <c r="Q675" t="s">
        <v>127</v>
      </c>
    </row>
    <row r="676" spans="1:17" x14ac:dyDescent="0.25">
      <c r="A676" t="str">
        <f>IF(C676&amp;G676&amp;D676&lt;&gt;'Funnel setup'!$K$3&amp;'Funnel setup'!$K$4&amp;'Funnel setup'!$K$6,".",IF(A675=".",1,A675+1))</f>
        <v>.</v>
      </c>
      <c r="B676" s="244" t="str">
        <f t="shared" si="10"/>
        <v>Hip Replacement PrimaryProviderNUFFIELD HEALTH, BOURNEMOUTH HOSPITAL (NT202)EQ-5D Index</v>
      </c>
      <c r="C676" t="s">
        <v>749</v>
      </c>
      <c r="D676" t="s">
        <v>965</v>
      </c>
      <c r="E676" t="s">
        <v>368</v>
      </c>
      <c r="F676" t="s">
        <v>369</v>
      </c>
      <c r="G676" t="s">
        <v>963</v>
      </c>
      <c r="H676">
        <v>12</v>
      </c>
      <c r="I676">
        <v>0.36375000000000002</v>
      </c>
      <c r="J676">
        <v>0.89175000000000004</v>
      </c>
      <c r="K676">
        <v>0.52800000000000002</v>
      </c>
      <c r="L676">
        <v>12</v>
      </c>
      <c r="M676">
        <v>0</v>
      </c>
      <c r="N676">
        <v>0</v>
      </c>
      <c r="O676" t="s">
        <v>127</v>
      </c>
      <c r="P676" t="s">
        <v>127</v>
      </c>
      <c r="Q676" t="s">
        <v>127</v>
      </c>
    </row>
    <row r="677" spans="1:17" x14ac:dyDescent="0.25">
      <c r="A677" t="str">
        <f>IF(C677&amp;G677&amp;D677&lt;&gt;'Funnel setup'!$K$3&amp;'Funnel setup'!$K$4&amp;'Funnel setup'!$K$6,".",IF(A676=".",1,A676+1))</f>
        <v>.</v>
      </c>
      <c r="B677" s="244" t="str">
        <f t="shared" si="10"/>
        <v>Hip Replacement PrimaryProviderNUFFIELD HEALTH, BRENTWOOD HOSPITAL (NT204)EQ-5D Index</v>
      </c>
      <c r="C677" t="s">
        <v>749</v>
      </c>
      <c r="D677" t="s">
        <v>965</v>
      </c>
      <c r="E677" t="s">
        <v>370</v>
      </c>
      <c r="F677" t="s">
        <v>371</v>
      </c>
      <c r="G677" t="s">
        <v>963</v>
      </c>
      <c r="H677">
        <v>16</v>
      </c>
      <c r="I677">
        <v>0.19931299999999999</v>
      </c>
      <c r="J677">
        <v>0.74737500000000001</v>
      </c>
      <c r="K677">
        <v>0.54806299999999997</v>
      </c>
      <c r="L677">
        <v>14</v>
      </c>
      <c r="M677">
        <v>1</v>
      </c>
      <c r="N677">
        <v>1</v>
      </c>
      <c r="O677" t="s">
        <v>127</v>
      </c>
      <c r="P677" t="s">
        <v>127</v>
      </c>
      <c r="Q677" t="s">
        <v>127</v>
      </c>
    </row>
    <row r="678" spans="1:17" x14ac:dyDescent="0.25">
      <c r="A678" t="str">
        <f>IF(C678&amp;G678&amp;D678&lt;&gt;'Funnel setup'!$K$3&amp;'Funnel setup'!$K$4&amp;'Funnel setup'!$K$6,".",IF(A677=".",1,A677+1))</f>
        <v>.</v>
      </c>
      <c r="B678" s="244" t="str">
        <f t="shared" si="10"/>
        <v>Hip Replacement PrimaryProviderNUFFIELD HEALTH, BRIGHTON HOSPITAL (NT205)EQ-5D Index</v>
      </c>
      <c r="C678" t="s">
        <v>749</v>
      </c>
      <c r="D678" t="s">
        <v>965</v>
      </c>
      <c r="E678" t="s">
        <v>372</v>
      </c>
      <c r="F678" t="s">
        <v>373</v>
      </c>
      <c r="G678" t="s">
        <v>963</v>
      </c>
      <c r="H678">
        <v>3</v>
      </c>
      <c r="I678">
        <v>0.110667</v>
      </c>
      <c r="J678">
        <v>0.69399999999999995</v>
      </c>
      <c r="K678">
        <v>0.58333299999999999</v>
      </c>
      <c r="L678">
        <v>3</v>
      </c>
      <c r="M678">
        <v>0</v>
      </c>
      <c r="N678">
        <v>0</v>
      </c>
      <c r="O678" t="s">
        <v>127</v>
      </c>
      <c r="P678" t="s">
        <v>127</v>
      </c>
      <c r="Q678" t="s">
        <v>127</v>
      </c>
    </row>
    <row r="679" spans="1:17" x14ac:dyDescent="0.25">
      <c r="A679" t="str">
        <f>IF(C679&amp;G679&amp;D679&lt;&gt;'Funnel setup'!$K$3&amp;'Funnel setup'!$K$4&amp;'Funnel setup'!$K$6,".",IF(A678=".",1,A678+1))</f>
        <v>.</v>
      </c>
      <c r="B679" s="244" t="str">
        <f t="shared" si="10"/>
        <v>Hip Replacement PrimaryProviderNUFFIELD HEALTH, BRISTOL HOSPITAL (CHESTERFIELD) (NT206)EQ-5D Index</v>
      </c>
      <c r="C679" t="s">
        <v>749</v>
      </c>
      <c r="D679" t="s">
        <v>965</v>
      </c>
      <c r="E679" t="s">
        <v>374</v>
      </c>
      <c r="F679" t="s">
        <v>375</v>
      </c>
      <c r="G679" t="s">
        <v>963</v>
      </c>
      <c r="H679">
        <v>49</v>
      </c>
      <c r="I679">
        <v>0.41602</v>
      </c>
      <c r="J679">
        <v>0.84387800000000002</v>
      </c>
      <c r="K679">
        <v>0.42785699999999999</v>
      </c>
      <c r="L679">
        <v>45</v>
      </c>
      <c r="M679">
        <v>2</v>
      </c>
      <c r="N679">
        <v>2</v>
      </c>
      <c r="O679">
        <v>0.81360299999999997</v>
      </c>
      <c r="P679">
        <v>0.487765</v>
      </c>
      <c r="Q679">
        <v>0.20136799999999999</v>
      </c>
    </row>
    <row r="680" spans="1:17" x14ac:dyDescent="0.25">
      <c r="A680" t="str">
        <f>IF(C680&amp;G680&amp;D680&lt;&gt;'Funnel setup'!$K$3&amp;'Funnel setup'!$K$4&amp;'Funnel setup'!$K$6,".",IF(A679=".",1,A679+1))</f>
        <v>.</v>
      </c>
      <c r="B680" s="244" t="str">
        <f t="shared" si="10"/>
        <v>Hip Replacement PrimaryProviderNUFFIELD HEALTH, CAMBRIDGE HOSPITAL (NT209)EQ-5D Index</v>
      </c>
      <c r="C680" t="s">
        <v>749</v>
      </c>
      <c r="D680" t="s">
        <v>965</v>
      </c>
      <c r="E680" t="s">
        <v>376</v>
      </c>
      <c r="F680" t="s">
        <v>377</v>
      </c>
      <c r="G680" t="s">
        <v>963</v>
      </c>
      <c r="H680">
        <v>19</v>
      </c>
      <c r="I680">
        <v>0.28010499999999999</v>
      </c>
      <c r="J680">
        <v>0.89742100000000002</v>
      </c>
      <c r="K680">
        <v>0.61731599999999998</v>
      </c>
      <c r="L680">
        <v>18</v>
      </c>
      <c r="M680">
        <v>0</v>
      </c>
      <c r="N680">
        <v>1</v>
      </c>
      <c r="O680" t="s">
        <v>127</v>
      </c>
      <c r="P680" t="s">
        <v>127</v>
      </c>
      <c r="Q680" t="s">
        <v>127</v>
      </c>
    </row>
    <row r="681" spans="1:17" x14ac:dyDescent="0.25">
      <c r="A681" t="str">
        <f>IF(C681&amp;G681&amp;D681&lt;&gt;'Funnel setup'!$K$3&amp;'Funnel setup'!$K$4&amp;'Funnel setup'!$K$6,".",IF(A680=".",1,A680+1))</f>
        <v>.</v>
      </c>
      <c r="B681" s="244" t="str">
        <f t="shared" si="10"/>
        <v>Hip Replacement PrimaryProviderNUFFIELD HEALTH, CHELTENHAM HOSPITAL (NT211)EQ-5D Index</v>
      </c>
      <c r="C681" t="s">
        <v>749</v>
      </c>
      <c r="D681" t="s">
        <v>965</v>
      </c>
      <c r="E681" t="s">
        <v>378</v>
      </c>
      <c r="F681" t="s">
        <v>379</v>
      </c>
      <c r="G681" t="s">
        <v>963</v>
      </c>
      <c r="H681">
        <v>1</v>
      </c>
      <c r="I681">
        <v>0.58699999999999997</v>
      </c>
      <c r="J681">
        <v>1</v>
      </c>
      <c r="K681">
        <v>0.41299999999999998</v>
      </c>
      <c r="L681">
        <v>1</v>
      </c>
      <c r="M681">
        <v>0</v>
      </c>
      <c r="N681">
        <v>0</v>
      </c>
      <c r="O681" t="s">
        <v>127</v>
      </c>
      <c r="P681" t="s">
        <v>127</v>
      </c>
      <c r="Q681" t="s">
        <v>127</v>
      </c>
    </row>
    <row r="682" spans="1:17" x14ac:dyDescent="0.25">
      <c r="A682" t="str">
        <f>IF(C682&amp;G682&amp;D682&lt;&gt;'Funnel setup'!$K$3&amp;'Funnel setup'!$K$4&amp;'Funnel setup'!$K$6,".",IF(A681=".",1,A681+1))</f>
        <v>.</v>
      </c>
      <c r="B682" s="244" t="str">
        <f t="shared" si="10"/>
        <v>Hip Replacement PrimaryProviderNUFFIELD HEALTH, CHICHESTER HOSPITAL (NT212)EQ-5D Index</v>
      </c>
      <c r="C682" t="s">
        <v>749</v>
      </c>
      <c r="D682" t="s">
        <v>965</v>
      </c>
      <c r="E682" t="s">
        <v>380</v>
      </c>
      <c r="F682" t="s">
        <v>381</v>
      </c>
      <c r="G682" t="s">
        <v>963</v>
      </c>
      <c r="H682">
        <v>17</v>
      </c>
      <c r="I682">
        <v>0.39229399999999998</v>
      </c>
      <c r="J682">
        <v>0.80341200000000002</v>
      </c>
      <c r="K682">
        <v>0.41111799999999998</v>
      </c>
      <c r="L682">
        <v>14</v>
      </c>
      <c r="M682">
        <v>1</v>
      </c>
      <c r="N682">
        <v>2</v>
      </c>
      <c r="O682" t="s">
        <v>127</v>
      </c>
      <c r="P682" t="s">
        <v>127</v>
      </c>
      <c r="Q682" t="s">
        <v>127</v>
      </c>
    </row>
    <row r="683" spans="1:17" x14ac:dyDescent="0.25">
      <c r="A683" t="str">
        <f>IF(C683&amp;G683&amp;D683&lt;&gt;'Funnel setup'!$K$3&amp;'Funnel setup'!$K$4&amp;'Funnel setup'!$K$6,".",IF(A682=".",1,A682+1))</f>
        <v>.</v>
      </c>
      <c r="B683" s="244" t="str">
        <f t="shared" si="10"/>
        <v>Hip Replacement PrimaryProviderNUFFIELD HEALTH, DERBY HOSPITAL (NT213)EQ-5D Index</v>
      </c>
      <c r="C683" t="s">
        <v>749</v>
      </c>
      <c r="D683" t="s">
        <v>965</v>
      </c>
      <c r="E683" t="s">
        <v>382</v>
      </c>
      <c r="F683" t="s">
        <v>383</v>
      </c>
      <c r="G683" t="s">
        <v>963</v>
      </c>
      <c r="H683">
        <v>53</v>
      </c>
      <c r="I683">
        <v>0.46090599999999998</v>
      </c>
      <c r="J683">
        <v>0.85577400000000003</v>
      </c>
      <c r="K683">
        <v>0.394868</v>
      </c>
      <c r="L683">
        <v>47</v>
      </c>
      <c r="M683">
        <v>4</v>
      </c>
      <c r="N683">
        <v>2</v>
      </c>
      <c r="O683">
        <v>0.827766</v>
      </c>
      <c r="P683">
        <v>0.50192800000000004</v>
      </c>
      <c r="Q683">
        <v>0.20078799999999999</v>
      </c>
    </row>
    <row r="684" spans="1:17" x14ac:dyDescent="0.25">
      <c r="A684" t="str">
        <f>IF(C684&amp;G684&amp;D684&lt;&gt;'Funnel setup'!$K$3&amp;'Funnel setup'!$K$4&amp;'Funnel setup'!$K$6,".",IF(A683=".",1,A683+1))</f>
        <v>.</v>
      </c>
      <c r="B684" s="244" t="str">
        <f t="shared" si="10"/>
        <v>Hip Replacement PrimaryProviderNUFFIELD HEALTH, EXETER HOSPITAL (NT215)EQ-5D Index</v>
      </c>
      <c r="C684" t="s">
        <v>749</v>
      </c>
      <c r="D684" t="s">
        <v>965</v>
      </c>
      <c r="E684" t="s">
        <v>384</v>
      </c>
      <c r="F684" t="s">
        <v>385</v>
      </c>
      <c r="G684" t="s">
        <v>963</v>
      </c>
      <c r="H684">
        <v>3</v>
      </c>
      <c r="I684">
        <v>0.23233300000000001</v>
      </c>
      <c r="J684">
        <v>1</v>
      </c>
      <c r="K684">
        <v>0.76766699999999999</v>
      </c>
      <c r="L684">
        <v>3</v>
      </c>
      <c r="M684">
        <v>0</v>
      </c>
      <c r="N684">
        <v>0</v>
      </c>
      <c r="O684" t="s">
        <v>127</v>
      </c>
      <c r="P684" t="s">
        <v>127</v>
      </c>
      <c r="Q684" t="s">
        <v>127</v>
      </c>
    </row>
    <row r="685" spans="1:17" x14ac:dyDescent="0.25">
      <c r="A685" t="str">
        <f>IF(C685&amp;G685&amp;D685&lt;&gt;'Funnel setup'!$K$3&amp;'Funnel setup'!$K$4&amp;'Funnel setup'!$K$6,".",IF(A684=".",1,A684+1))</f>
        <v>.</v>
      </c>
      <c r="B685" s="244" t="str">
        <f t="shared" si="10"/>
        <v>Hip Replacement PrimaryProviderNUFFIELD HEALTH, HAYWARDS HEATH HOSPITAL (NT218)EQ-5D Index</v>
      </c>
      <c r="C685" t="s">
        <v>749</v>
      </c>
      <c r="D685" t="s">
        <v>965</v>
      </c>
      <c r="E685" t="s">
        <v>386</v>
      </c>
      <c r="F685" t="s">
        <v>387</v>
      </c>
      <c r="G685" t="s">
        <v>963</v>
      </c>
      <c r="H685">
        <v>18</v>
      </c>
      <c r="I685">
        <v>0.41955599999999998</v>
      </c>
      <c r="J685">
        <v>0.92255600000000004</v>
      </c>
      <c r="K685">
        <v>0.503</v>
      </c>
      <c r="L685">
        <v>18</v>
      </c>
      <c r="M685">
        <v>0</v>
      </c>
      <c r="N685">
        <v>0</v>
      </c>
      <c r="O685" t="s">
        <v>127</v>
      </c>
      <c r="P685" t="s">
        <v>127</v>
      </c>
      <c r="Q685" t="s">
        <v>127</v>
      </c>
    </row>
    <row r="686" spans="1:17" x14ac:dyDescent="0.25">
      <c r="A686" t="str">
        <f>IF(C686&amp;G686&amp;D686&lt;&gt;'Funnel setup'!$K$3&amp;'Funnel setup'!$K$4&amp;'Funnel setup'!$K$6,".",IF(A685=".",1,A685+1))</f>
        <v>.</v>
      </c>
      <c r="B686" s="244" t="str">
        <f t="shared" si="10"/>
        <v>Hip Replacement PrimaryProviderNUFFIELD HEALTH, HEREFORD HOSPITAL (NT219)EQ-5D Index</v>
      </c>
      <c r="C686" t="s">
        <v>749</v>
      </c>
      <c r="D686" t="s">
        <v>965</v>
      </c>
      <c r="E686" t="s">
        <v>388</v>
      </c>
      <c r="F686" t="s">
        <v>389</v>
      </c>
      <c r="G686" t="s">
        <v>963</v>
      </c>
      <c r="H686">
        <v>7</v>
      </c>
      <c r="I686">
        <v>0.35471399999999997</v>
      </c>
      <c r="J686">
        <v>0.83671399999999996</v>
      </c>
      <c r="K686">
        <v>0.48199999999999998</v>
      </c>
      <c r="L686">
        <v>7</v>
      </c>
      <c r="M686">
        <v>0</v>
      </c>
      <c r="N686">
        <v>0</v>
      </c>
      <c r="O686" t="s">
        <v>127</v>
      </c>
      <c r="P686" t="s">
        <v>127</v>
      </c>
      <c r="Q686" t="s">
        <v>127</v>
      </c>
    </row>
    <row r="687" spans="1:17" x14ac:dyDescent="0.25">
      <c r="A687" t="str">
        <f>IF(C687&amp;G687&amp;D687&lt;&gt;'Funnel setup'!$K$3&amp;'Funnel setup'!$K$4&amp;'Funnel setup'!$K$6,".",IF(A686=".",1,A686+1))</f>
        <v>.</v>
      </c>
      <c r="B687" s="244" t="str">
        <f t="shared" si="10"/>
        <v>Hip Replacement PrimaryProviderNUFFIELD HEALTH, IPSWICH HOSPITAL (NT222)EQ-5D Index</v>
      </c>
      <c r="C687" t="s">
        <v>749</v>
      </c>
      <c r="D687" t="s">
        <v>965</v>
      </c>
      <c r="E687" t="s">
        <v>390</v>
      </c>
      <c r="F687" t="s">
        <v>391</v>
      </c>
      <c r="G687" t="s">
        <v>963</v>
      </c>
      <c r="H687">
        <v>7</v>
      </c>
      <c r="I687">
        <v>0.331571</v>
      </c>
      <c r="J687">
        <v>0.86057099999999997</v>
      </c>
      <c r="K687">
        <v>0.52900000000000003</v>
      </c>
      <c r="L687">
        <v>7</v>
      </c>
      <c r="M687">
        <v>0</v>
      </c>
      <c r="N687">
        <v>0</v>
      </c>
      <c r="O687" t="s">
        <v>127</v>
      </c>
      <c r="P687" t="s">
        <v>127</v>
      </c>
      <c r="Q687" t="s">
        <v>127</v>
      </c>
    </row>
    <row r="688" spans="1:17" x14ac:dyDescent="0.25">
      <c r="A688" t="str">
        <f>IF(C688&amp;G688&amp;D688&lt;&gt;'Funnel setup'!$K$3&amp;'Funnel setup'!$K$4&amp;'Funnel setup'!$K$6,".",IF(A687=".",1,A687+1))</f>
        <v>.</v>
      </c>
      <c r="B688" s="244" t="str">
        <f t="shared" si="10"/>
        <v>Hip Replacement PrimaryProviderNUFFIELD HEALTH, LEEDS HOSPITAL (NT225)EQ-5D Index</v>
      </c>
      <c r="C688" t="s">
        <v>749</v>
      </c>
      <c r="D688" t="s">
        <v>965</v>
      </c>
      <c r="E688" t="s">
        <v>392</v>
      </c>
      <c r="F688" t="s">
        <v>393</v>
      </c>
      <c r="G688" t="s">
        <v>963</v>
      </c>
      <c r="H688">
        <v>115</v>
      </c>
      <c r="I688">
        <v>0.36487000000000003</v>
      </c>
      <c r="J688">
        <v>0.79802600000000001</v>
      </c>
      <c r="K688">
        <v>0.43315700000000001</v>
      </c>
      <c r="L688">
        <v>106</v>
      </c>
      <c r="M688">
        <v>4</v>
      </c>
      <c r="N688">
        <v>5</v>
      </c>
      <c r="O688">
        <v>0.78012599999999999</v>
      </c>
      <c r="P688">
        <v>0.454287</v>
      </c>
      <c r="Q688">
        <v>0.22633700000000001</v>
      </c>
    </row>
    <row r="689" spans="1:17" x14ac:dyDescent="0.25">
      <c r="A689" t="str">
        <f>IF(C689&amp;G689&amp;D689&lt;&gt;'Funnel setup'!$K$3&amp;'Funnel setup'!$K$4&amp;'Funnel setup'!$K$6,".",IF(A688=".",1,A688+1))</f>
        <v>.</v>
      </c>
      <c r="B689" s="244" t="str">
        <f t="shared" si="10"/>
        <v>Hip Replacement PrimaryProviderNUFFIELD HEALTH, LEICESTER HOSPITAL (NT226)EQ-5D Index</v>
      </c>
      <c r="C689" t="s">
        <v>749</v>
      </c>
      <c r="D689" t="s">
        <v>965</v>
      </c>
      <c r="E689" t="s">
        <v>394</v>
      </c>
      <c r="F689" t="s">
        <v>395</v>
      </c>
      <c r="G689" t="s">
        <v>963</v>
      </c>
      <c r="H689">
        <v>31</v>
      </c>
      <c r="I689">
        <v>0.37683899999999998</v>
      </c>
      <c r="J689">
        <v>0.83851600000000004</v>
      </c>
      <c r="K689">
        <v>0.461677</v>
      </c>
      <c r="L689">
        <v>28</v>
      </c>
      <c r="M689">
        <v>0</v>
      </c>
      <c r="N689">
        <v>3</v>
      </c>
      <c r="O689">
        <v>0.81430599999999997</v>
      </c>
      <c r="P689">
        <v>0.48846800000000001</v>
      </c>
      <c r="Q689">
        <v>0.21420700000000001</v>
      </c>
    </row>
    <row r="690" spans="1:17" x14ac:dyDescent="0.25">
      <c r="A690" t="str">
        <f>IF(C690&amp;G690&amp;D690&lt;&gt;'Funnel setup'!$K$3&amp;'Funnel setup'!$K$4&amp;'Funnel setup'!$K$6,".",IF(A689=".",1,A689+1))</f>
        <v>.</v>
      </c>
      <c r="B690" s="244" t="str">
        <f t="shared" si="10"/>
        <v>Hip Replacement PrimaryProviderNUFFIELD HEALTH, NEWCASTLE UPON TYNE HOSPITAL (NT229)EQ-5D Index</v>
      </c>
      <c r="C690" t="s">
        <v>749</v>
      </c>
      <c r="D690" t="s">
        <v>965</v>
      </c>
      <c r="E690" t="s">
        <v>396</v>
      </c>
      <c r="F690" t="s">
        <v>397</v>
      </c>
      <c r="G690" t="s">
        <v>963</v>
      </c>
      <c r="H690">
        <v>45</v>
      </c>
      <c r="I690">
        <v>0.30962200000000001</v>
      </c>
      <c r="J690">
        <v>0.79528900000000002</v>
      </c>
      <c r="K690">
        <v>0.48566700000000002</v>
      </c>
      <c r="L690">
        <v>42</v>
      </c>
      <c r="M690">
        <v>1</v>
      </c>
      <c r="N690">
        <v>2</v>
      </c>
      <c r="O690">
        <v>0.78718200000000005</v>
      </c>
      <c r="P690">
        <v>0.46134399999999998</v>
      </c>
      <c r="Q690">
        <v>0.26531199999999999</v>
      </c>
    </row>
    <row r="691" spans="1:17" x14ac:dyDescent="0.25">
      <c r="A691" t="str">
        <f>IF(C691&amp;G691&amp;D691&lt;&gt;'Funnel setup'!$K$3&amp;'Funnel setup'!$K$4&amp;'Funnel setup'!$K$6,".",IF(A690=".",1,A690+1))</f>
        <v>.</v>
      </c>
      <c r="B691" s="244" t="str">
        <f t="shared" si="10"/>
        <v>Hip Replacement PrimaryProviderNUFFIELD HEALTH, NORTH STAFFORDSHIRE HOSPITAL (NT230)EQ-5D Index</v>
      </c>
      <c r="C691" t="s">
        <v>749</v>
      </c>
      <c r="D691" t="s">
        <v>965</v>
      </c>
      <c r="E691" t="s">
        <v>398</v>
      </c>
      <c r="F691" t="s">
        <v>399</v>
      </c>
      <c r="G691" t="s">
        <v>963</v>
      </c>
      <c r="H691">
        <v>31</v>
      </c>
      <c r="I691">
        <v>0.29345199999999999</v>
      </c>
      <c r="J691">
        <v>0.73038700000000001</v>
      </c>
      <c r="K691">
        <v>0.43693500000000002</v>
      </c>
      <c r="L691">
        <v>26</v>
      </c>
      <c r="M691">
        <v>1</v>
      </c>
      <c r="N691">
        <v>4</v>
      </c>
      <c r="O691">
        <v>0.74085199999999996</v>
      </c>
      <c r="P691">
        <v>0.41501399999999999</v>
      </c>
      <c r="Q691">
        <v>0.31656400000000001</v>
      </c>
    </row>
    <row r="692" spans="1:17" x14ac:dyDescent="0.25">
      <c r="A692" t="str">
        <f>IF(C692&amp;G692&amp;D692&lt;&gt;'Funnel setup'!$K$3&amp;'Funnel setup'!$K$4&amp;'Funnel setup'!$K$6,".",IF(A691=".",1,A691+1))</f>
        <v>.</v>
      </c>
      <c r="B692" s="244" t="str">
        <f t="shared" si="10"/>
        <v>Hip Replacement PrimaryProviderNUFFIELD HEALTH, PLYMOUTH HOSPITAL (NT233)EQ-5D Index</v>
      </c>
      <c r="C692" t="s">
        <v>749</v>
      </c>
      <c r="D692" t="s">
        <v>965</v>
      </c>
      <c r="E692" t="s">
        <v>400</v>
      </c>
      <c r="F692" t="s">
        <v>401</v>
      </c>
      <c r="G692" t="s">
        <v>963</v>
      </c>
      <c r="H692">
        <v>61</v>
      </c>
      <c r="I692">
        <v>0.37850800000000001</v>
      </c>
      <c r="J692">
        <v>0.82924600000000004</v>
      </c>
      <c r="K692">
        <v>0.45073800000000003</v>
      </c>
      <c r="L692">
        <v>56</v>
      </c>
      <c r="M692">
        <v>1</v>
      </c>
      <c r="N692">
        <v>4</v>
      </c>
      <c r="O692">
        <v>0.80317899999999998</v>
      </c>
      <c r="P692">
        <v>0.47734100000000002</v>
      </c>
      <c r="Q692">
        <v>0.243285</v>
      </c>
    </row>
    <row r="693" spans="1:17" x14ac:dyDescent="0.25">
      <c r="A693" t="str">
        <f>IF(C693&amp;G693&amp;D693&lt;&gt;'Funnel setup'!$K$3&amp;'Funnel setup'!$K$4&amp;'Funnel setup'!$K$6,".",IF(A692=".",1,A692+1))</f>
        <v>.</v>
      </c>
      <c r="B693" s="244" t="str">
        <f t="shared" si="10"/>
        <v>Hip Replacement PrimaryProviderNUFFIELD HEALTH, SHREWSBURY HOSPITAL (NT235)EQ-5D Index</v>
      </c>
      <c r="C693" t="s">
        <v>749</v>
      </c>
      <c r="D693" t="s">
        <v>965</v>
      </c>
      <c r="E693" t="s">
        <v>402</v>
      </c>
      <c r="F693" t="s">
        <v>403</v>
      </c>
      <c r="G693" t="s">
        <v>963</v>
      </c>
      <c r="H693">
        <v>6</v>
      </c>
      <c r="I693">
        <v>0.22</v>
      </c>
      <c r="J693">
        <v>0.82599999999999996</v>
      </c>
      <c r="K693">
        <v>0.60599999999999998</v>
      </c>
      <c r="L693">
        <v>6</v>
      </c>
      <c r="M693">
        <v>0</v>
      </c>
      <c r="N693">
        <v>0</v>
      </c>
      <c r="O693" t="s">
        <v>127</v>
      </c>
      <c r="P693" t="s">
        <v>127</v>
      </c>
      <c r="Q693" t="s">
        <v>127</v>
      </c>
    </row>
    <row r="694" spans="1:17" x14ac:dyDescent="0.25">
      <c r="A694" t="str">
        <f>IF(C694&amp;G694&amp;D694&lt;&gt;'Funnel setup'!$K$3&amp;'Funnel setup'!$K$4&amp;'Funnel setup'!$K$6,".",IF(A693=".",1,A693+1))</f>
        <v>.</v>
      </c>
      <c r="B694" s="244" t="str">
        <f t="shared" si="10"/>
        <v>Hip Replacement PrimaryProviderNUFFIELD HEALTH, TAUNTON HOSPITAL (NT238)EQ-5D Index</v>
      </c>
      <c r="C694" t="s">
        <v>749</v>
      </c>
      <c r="D694" t="s">
        <v>965</v>
      </c>
      <c r="E694" t="s">
        <v>404</v>
      </c>
      <c r="F694" t="s">
        <v>405</v>
      </c>
      <c r="G694" t="s">
        <v>963</v>
      </c>
      <c r="H694">
        <v>22</v>
      </c>
      <c r="I694">
        <v>0.36386400000000002</v>
      </c>
      <c r="J694">
        <v>0.83377299999999999</v>
      </c>
      <c r="K694">
        <v>0.46990900000000002</v>
      </c>
      <c r="L694">
        <v>21</v>
      </c>
      <c r="M694">
        <v>1</v>
      </c>
      <c r="N694">
        <v>0</v>
      </c>
      <c r="O694" t="s">
        <v>127</v>
      </c>
      <c r="P694" t="s">
        <v>127</v>
      </c>
      <c r="Q694" t="s">
        <v>127</v>
      </c>
    </row>
    <row r="695" spans="1:17" x14ac:dyDescent="0.25">
      <c r="A695" t="str">
        <f>IF(C695&amp;G695&amp;D695&lt;&gt;'Funnel setup'!$K$3&amp;'Funnel setup'!$K$4&amp;'Funnel setup'!$K$6,".",IF(A694=".",1,A694+1))</f>
        <v>.</v>
      </c>
      <c r="B695" s="244" t="str">
        <f t="shared" si="10"/>
        <v>Hip Replacement PrimaryProviderNUFFIELD HEALTH, TEES HOSPITAL (NT237)EQ-5D Index</v>
      </c>
      <c r="C695" t="s">
        <v>749</v>
      </c>
      <c r="D695" t="s">
        <v>965</v>
      </c>
      <c r="E695" t="s">
        <v>406</v>
      </c>
      <c r="F695" t="s">
        <v>407</v>
      </c>
      <c r="G695" t="s">
        <v>963</v>
      </c>
      <c r="H695">
        <v>144</v>
      </c>
      <c r="I695">
        <v>0.46654200000000001</v>
      </c>
      <c r="J695">
        <v>0.82368799999999998</v>
      </c>
      <c r="K695">
        <v>0.35714600000000002</v>
      </c>
      <c r="L695">
        <v>125</v>
      </c>
      <c r="M695">
        <v>8</v>
      </c>
      <c r="N695">
        <v>11</v>
      </c>
      <c r="O695">
        <v>0.78324300000000002</v>
      </c>
      <c r="P695">
        <v>0.45740500000000001</v>
      </c>
      <c r="Q695">
        <v>0.23408300000000001</v>
      </c>
    </row>
    <row r="696" spans="1:17" x14ac:dyDescent="0.25">
      <c r="A696" t="str">
        <f>IF(C696&amp;G696&amp;D696&lt;&gt;'Funnel setup'!$K$3&amp;'Funnel setup'!$K$4&amp;'Funnel setup'!$K$6,".",IF(A695=".",1,A695+1))</f>
        <v>.</v>
      </c>
      <c r="B696" s="244" t="str">
        <f t="shared" si="10"/>
        <v>Hip Replacement PrimaryProviderNUFFIELD HEALTH, THE GROSVENOR HOSPITAL, CHESTER (NT210)EQ-5D Index</v>
      </c>
      <c r="C696" t="s">
        <v>749</v>
      </c>
      <c r="D696" t="s">
        <v>965</v>
      </c>
      <c r="E696" t="s">
        <v>408</v>
      </c>
      <c r="F696" t="s">
        <v>409</v>
      </c>
      <c r="G696" t="s">
        <v>963</v>
      </c>
      <c r="H696">
        <v>13</v>
      </c>
      <c r="I696">
        <v>0.346692</v>
      </c>
      <c r="J696">
        <v>0.872</v>
      </c>
      <c r="K696">
        <v>0.525308</v>
      </c>
      <c r="L696">
        <v>12</v>
      </c>
      <c r="M696">
        <v>0</v>
      </c>
      <c r="N696">
        <v>1</v>
      </c>
      <c r="O696" t="s">
        <v>127</v>
      </c>
      <c r="P696" t="s">
        <v>127</v>
      </c>
      <c r="Q696" t="s">
        <v>127</v>
      </c>
    </row>
    <row r="697" spans="1:17" x14ac:dyDescent="0.25">
      <c r="A697" t="str">
        <f>IF(C697&amp;G697&amp;D697&lt;&gt;'Funnel setup'!$K$3&amp;'Funnel setup'!$K$4&amp;'Funnel setup'!$K$6,".",IF(A696=".",1,A696+1))</f>
        <v>.</v>
      </c>
      <c r="B697" s="244" t="str">
        <f t="shared" si="10"/>
        <v>Hip Replacement PrimaryProviderNUFFIELD HEALTH, TUNBRIDGE WELLS HOSPITAL (NT239)EQ-5D Index</v>
      </c>
      <c r="C697" t="s">
        <v>749</v>
      </c>
      <c r="D697" t="s">
        <v>965</v>
      </c>
      <c r="E697" t="s">
        <v>410</v>
      </c>
      <c r="F697" t="s">
        <v>411</v>
      </c>
      <c r="G697" t="s">
        <v>963</v>
      </c>
      <c r="H697">
        <v>6</v>
      </c>
      <c r="I697">
        <v>0.20799999999999999</v>
      </c>
      <c r="J697">
        <v>0.79649999999999999</v>
      </c>
      <c r="K697">
        <v>0.58850000000000002</v>
      </c>
      <c r="L697">
        <v>6</v>
      </c>
      <c r="M697">
        <v>0</v>
      </c>
      <c r="N697">
        <v>0</v>
      </c>
      <c r="O697" t="s">
        <v>127</v>
      </c>
      <c r="P697" t="s">
        <v>127</v>
      </c>
      <c r="Q697" t="s">
        <v>127</v>
      </c>
    </row>
    <row r="698" spans="1:17" x14ac:dyDescent="0.25">
      <c r="A698" t="str">
        <f>IF(C698&amp;G698&amp;D698&lt;&gt;'Funnel setup'!$K$3&amp;'Funnel setup'!$K$4&amp;'Funnel setup'!$K$6,".",IF(A697=".",1,A697+1))</f>
        <v>.</v>
      </c>
      <c r="B698" s="244" t="str">
        <f t="shared" si="10"/>
        <v>Hip Replacement PrimaryProviderNUFFIELD HEALTH, WARWICKSHIRE HOSPITAL (NT224)EQ-5D Index</v>
      </c>
      <c r="C698" t="s">
        <v>749</v>
      </c>
      <c r="D698" t="s">
        <v>965</v>
      </c>
      <c r="E698" t="s">
        <v>412</v>
      </c>
      <c r="F698" t="s">
        <v>413</v>
      </c>
      <c r="G698" t="s">
        <v>963</v>
      </c>
      <c r="H698">
        <v>18</v>
      </c>
      <c r="I698">
        <v>0.34427799999999997</v>
      </c>
      <c r="J698">
        <v>0.845889</v>
      </c>
      <c r="K698">
        <v>0.50161100000000003</v>
      </c>
      <c r="L698">
        <v>18</v>
      </c>
      <c r="M698">
        <v>0</v>
      </c>
      <c r="N698">
        <v>0</v>
      </c>
      <c r="O698" t="s">
        <v>127</v>
      </c>
      <c r="P698" t="s">
        <v>127</v>
      </c>
      <c r="Q698" t="s">
        <v>127</v>
      </c>
    </row>
    <row r="699" spans="1:17" x14ac:dyDescent="0.25">
      <c r="A699" t="str">
        <f>IF(C699&amp;G699&amp;D699&lt;&gt;'Funnel setup'!$K$3&amp;'Funnel setup'!$K$4&amp;'Funnel setup'!$K$6,".",IF(A698=".",1,A698+1))</f>
        <v>.</v>
      </c>
      <c r="B699" s="244" t="str">
        <f t="shared" si="10"/>
        <v>Hip Replacement PrimaryProviderNUFFIELD HEALTH, WESSEX HOSPITAL (NT214)EQ-5D Index</v>
      </c>
      <c r="C699" t="s">
        <v>749</v>
      </c>
      <c r="D699" t="s">
        <v>965</v>
      </c>
      <c r="E699" t="s">
        <v>414</v>
      </c>
      <c r="F699" t="s">
        <v>415</v>
      </c>
      <c r="G699" t="s">
        <v>963</v>
      </c>
      <c r="H699">
        <v>33</v>
      </c>
      <c r="I699">
        <v>0.43233300000000002</v>
      </c>
      <c r="J699">
        <v>0.82924200000000003</v>
      </c>
      <c r="K699">
        <v>0.39690900000000001</v>
      </c>
      <c r="L699">
        <v>28</v>
      </c>
      <c r="M699">
        <v>3</v>
      </c>
      <c r="N699">
        <v>2</v>
      </c>
      <c r="O699">
        <v>0.78885700000000003</v>
      </c>
      <c r="P699">
        <v>0.46301900000000001</v>
      </c>
      <c r="Q699">
        <v>0.200935</v>
      </c>
    </row>
    <row r="700" spans="1:17" x14ac:dyDescent="0.25">
      <c r="A700" t="str">
        <f>IF(C700&amp;G700&amp;D700&lt;&gt;'Funnel setup'!$K$3&amp;'Funnel setup'!$K$4&amp;'Funnel setup'!$K$6,".",IF(A699=".",1,A699+1))</f>
        <v>.</v>
      </c>
      <c r="B700" s="244" t="str">
        <f t="shared" si="10"/>
        <v>Hip Replacement PrimaryProviderNUFFIELD HEALTH, WOLVERHAMPTON HOSPITAL (NT242)EQ-5D Index</v>
      </c>
      <c r="C700" t="s">
        <v>749</v>
      </c>
      <c r="D700" t="s">
        <v>965</v>
      </c>
      <c r="E700" t="s">
        <v>418</v>
      </c>
      <c r="F700" t="s">
        <v>419</v>
      </c>
      <c r="G700" t="s">
        <v>963</v>
      </c>
      <c r="H700">
        <v>4</v>
      </c>
      <c r="I700">
        <v>0.63924999999999998</v>
      </c>
      <c r="J700">
        <v>0.84575</v>
      </c>
      <c r="K700">
        <v>0.20649999999999999</v>
      </c>
      <c r="L700">
        <v>3</v>
      </c>
      <c r="M700">
        <v>1</v>
      </c>
      <c r="N700">
        <v>0</v>
      </c>
      <c r="O700" t="s">
        <v>127</v>
      </c>
      <c r="P700" t="s">
        <v>127</v>
      </c>
      <c r="Q700" t="s">
        <v>127</v>
      </c>
    </row>
    <row r="701" spans="1:17" x14ac:dyDescent="0.25">
      <c r="A701" t="str">
        <f>IF(C701&amp;G701&amp;D701&lt;&gt;'Funnel setup'!$K$3&amp;'Funnel setup'!$K$4&amp;'Funnel setup'!$K$6,".",IF(A700=".",1,A700+1))</f>
        <v>.</v>
      </c>
      <c r="B701" s="244" t="str">
        <f t="shared" si="10"/>
        <v>Hip Replacement PrimaryProviderNUFFIELD HEALTH, YORK HOSPITAL (NT245)EQ-5D Index</v>
      </c>
      <c r="C701" t="s">
        <v>749</v>
      </c>
      <c r="D701" t="s">
        <v>965</v>
      </c>
      <c r="E701" t="s">
        <v>420</v>
      </c>
      <c r="F701" t="s">
        <v>421</v>
      </c>
      <c r="G701" t="s">
        <v>963</v>
      </c>
      <c r="H701">
        <v>75</v>
      </c>
      <c r="I701">
        <v>0.363147</v>
      </c>
      <c r="J701">
        <v>0.84769300000000003</v>
      </c>
      <c r="K701">
        <v>0.48454700000000001</v>
      </c>
      <c r="L701">
        <v>70</v>
      </c>
      <c r="M701">
        <v>4</v>
      </c>
      <c r="N701">
        <v>1</v>
      </c>
      <c r="O701">
        <v>0.83563600000000005</v>
      </c>
      <c r="P701">
        <v>0.50979799999999997</v>
      </c>
      <c r="Q701">
        <v>0.19922899999999999</v>
      </c>
    </row>
    <row r="702" spans="1:17" x14ac:dyDescent="0.25">
      <c r="A702" t="str">
        <f>IF(C702&amp;G702&amp;D702&lt;&gt;'Funnel setup'!$K$3&amp;'Funnel setup'!$K$4&amp;'Funnel setup'!$K$6,".",IF(A701=".",1,A701+1))</f>
        <v>.</v>
      </c>
      <c r="B702" s="244" t="str">
        <f t="shared" si="10"/>
        <v>Hip Replacement PrimaryProviderOAKLANDS HOSPITAL (NVC12)EQ-5D Index</v>
      </c>
      <c r="C702" t="s">
        <v>749</v>
      </c>
      <c r="D702" t="s">
        <v>965</v>
      </c>
      <c r="E702" t="s">
        <v>424</v>
      </c>
      <c r="F702" t="s">
        <v>425</v>
      </c>
      <c r="G702" t="s">
        <v>963</v>
      </c>
      <c r="H702">
        <v>63</v>
      </c>
      <c r="I702">
        <v>0.36803200000000003</v>
      </c>
      <c r="J702">
        <v>0.75103200000000003</v>
      </c>
      <c r="K702">
        <v>0.38300000000000001</v>
      </c>
      <c r="L702">
        <v>50</v>
      </c>
      <c r="M702">
        <v>6</v>
      </c>
      <c r="N702">
        <v>7</v>
      </c>
      <c r="O702">
        <v>0.75827699999999998</v>
      </c>
      <c r="P702">
        <v>0.43243799999999999</v>
      </c>
      <c r="Q702">
        <v>0.26783600000000002</v>
      </c>
    </row>
    <row r="703" spans="1:17" x14ac:dyDescent="0.25">
      <c r="A703" t="str">
        <f>IF(C703&amp;G703&amp;D703&lt;&gt;'Funnel setup'!$K$3&amp;'Funnel setup'!$K$4&amp;'Funnel setup'!$K$6,".",IF(A702=".",1,A702+1))</f>
        <v>.</v>
      </c>
      <c r="B703" s="244" t="str">
        <f t="shared" si="10"/>
        <v>Hip Replacement PrimaryProviderOAKS HOSPITAL (NVC13)EQ-5D Index</v>
      </c>
      <c r="C703" t="s">
        <v>749</v>
      </c>
      <c r="D703" t="s">
        <v>965</v>
      </c>
      <c r="E703" t="s">
        <v>426</v>
      </c>
      <c r="F703" t="s">
        <v>427</v>
      </c>
      <c r="G703" t="s">
        <v>963</v>
      </c>
      <c r="H703">
        <v>7</v>
      </c>
      <c r="I703">
        <v>0.51871400000000001</v>
      </c>
      <c r="J703">
        <v>0.741429</v>
      </c>
      <c r="K703">
        <v>0.222714</v>
      </c>
      <c r="L703">
        <v>6</v>
      </c>
      <c r="M703">
        <v>1</v>
      </c>
      <c r="N703">
        <v>0</v>
      </c>
      <c r="O703" t="s">
        <v>127</v>
      </c>
      <c r="P703" t="s">
        <v>127</v>
      </c>
      <c r="Q703" t="s">
        <v>127</v>
      </c>
    </row>
    <row r="704" spans="1:17" x14ac:dyDescent="0.25">
      <c r="A704" t="str">
        <f>IF(C704&amp;G704&amp;D704&lt;&gt;'Funnel setup'!$K$3&amp;'Funnel setup'!$K$4&amp;'Funnel setup'!$K$6,".",IF(A703=".",1,A703+1))</f>
        <v>.</v>
      </c>
      <c r="B704" s="244" t="str">
        <f t="shared" si="10"/>
        <v>Hip Replacement PrimaryProviderONE HEALTHCARE (AVQ)EQ-5D Index</v>
      </c>
      <c r="C704" t="s">
        <v>749</v>
      </c>
      <c r="D704" t="s">
        <v>965</v>
      </c>
      <c r="E704" t="s">
        <v>434</v>
      </c>
      <c r="F704" t="s">
        <v>435</v>
      </c>
      <c r="G704" t="s">
        <v>963</v>
      </c>
      <c r="H704">
        <v>51</v>
      </c>
      <c r="I704">
        <v>0.36213699999999999</v>
      </c>
      <c r="J704">
        <v>0.85878399999999999</v>
      </c>
      <c r="K704">
        <v>0.49664700000000001</v>
      </c>
      <c r="L704">
        <v>46</v>
      </c>
      <c r="M704">
        <v>3</v>
      </c>
      <c r="N704">
        <v>2</v>
      </c>
      <c r="O704">
        <v>0.84187800000000002</v>
      </c>
      <c r="P704">
        <v>0.51604000000000005</v>
      </c>
      <c r="Q704">
        <v>0.198763</v>
      </c>
    </row>
    <row r="705" spans="1:17" x14ac:dyDescent="0.25">
      <c r="A705" t="str">
        <f>IF(C705&amp;G705&amp;D705&lt;&gt;'Funnel setup'!$K$3&amp;'Funnel setup'!$K$4&amp;'Funnel setup'!$K$6,".",IF(A704=".",1,A704+1))</f>
        <v>.</v>
      </c>
      <c r="B705" s="244" t="str">
        <f t="shared" si="10"/>
        <v>Hip Replacement PrimaryProviderORTHOPAEDICS &amp; SPINE SPECIALIST HOSPITAL SITE (NQM01)EQ-5D Index</v>
      </c>
      <c r="C705" t="s">
        <v>749</v>
      </c>
      <c r="D705" t="s">
        <v>965</v>
      </c>
      <c r="E705" t="s">
        <v>436</v>
      </c>
      <c r="F705" t="s">
        <v>437</v>
      </c>
      <c r="G705" t="s">
        <v>963</v>
      </c>
      <c r="H705">
        <v>7</v>
      </c>
      <c r="I705">
        <v>0.47928599999999999</v>
      </c>
      <c r="J705">
        <v>0.79671400000000003</v>
      </c>
      <c r="K705">
        <v>0.31742900000000002</v>
      </c>
      <c r="L705">
        <v>6</v>
      </c>
      <c r="M705">
        <v>0</v>
      </c>
      <c r="N705">
        <v>1</v>
      </c>
      <c r="O705" t="s">
        <v>127</v>
      </c>
      <c r="P705" t="s">
        <v>127</v>
      </c>
      <c r="Q705" t="s">
        <v>127</v>
      </c>
    </row>
    <row r="706" spans="1:17" x14ac:dyDescent="0.25">
      <c r="A706" t="str">
        <f>IF(C706&amp;G706&amp;D706&lt;&gt;'Funnel setup'!$K$3&amp;'Funnel setup'!$K$4&amp;'Funnel setup'!$K$6,".",IF(A705=".",1,A705+1))</f>
        <v>.</v>
      </c>
      <c r="B706" s="244" t="str">
        <f t="shared" ref="B706:B769" si="11">C706&amp;D706&amp;F706&amp;G706</f>
        <v>Hip Replacement PrimaryProviderOXFORD UNIVERSITY HOSPITALS NHS FOUNDATION TRUST (RTH)EQ-5D Index</v>
      </c>
      <c r="C706" t="s">
        <v>749</v>
      </c>
      <c r="D706" t="s">
        <v>965</v>
      </c>
      <c r="E706" t="s">
        <v>438</v>
      </c>
      <c r="F706" t="s">
        <v>439</v>
      </c>
      <c r="G706" t="s">
        <v>963</v>
      </c>
      <c r="H706">
        <v>273</v>
      </c>
      <c r="I706">
        <v>0.31304399999999999</v>
      </c>
      <c r="J706">
        <v>0.76671400000000001</v>
      </c>
      <c r="K706">
        <v>0.45367000000000002</v>
      </c>
      <c r="L706">
        <v>249</v>
      </c>
      <c r="M706">
        <v>12</v>
      </c>
      <c r="N706">
        <v>12</v>
      </c>
      <c r="O706">
        <v>0.76155399999999995</v>
      </c>
      <c r="P706">
        <v>0.43571500000000002</v>
      </c>
      <c r="Q706">
        <v>0.26794800000000002</v>
      </c>
    </row>
    <row r="707" spans="1:17" x14ac:dyDescent="0.25">
      <c r="A707" t="str">
        <f>IF(C707&amp;G707&amp;D707&lt;&gt;'Funnel setup'!$K$3&amp;'Funnel setup'!$K$4&amp;'Funnel setup'!$K$6,".",IF(A706=".",1,A706+1))</f>
        <v>.</v>
      </c>
      <c r="B707" s="244" t="str">
        <f t="shared" si="11"/>
        <v>Hip Replacement PrimaryProviderPARK HILL HOSPITAL (NVC14)EQ-5D Index</v>
      </c>
      <c r="C707" t="s">
        <v>749</v>
      </c>
      <c r="D707" t="s">
        <v>965</v>
      </c>
      <c r="E707" t="s">
        <v>440</v>
      </c>
      <c r="F707" t="s">
        <v>441</v>
      </c>
      <c r="G707" t="s">
        <v>963</v>
      </c>
      <c r="H707">
        <v>51</v>
      </c>
      <c r="I707">
        <v>0.274451</v>
      </c>
      <c r="J707">
        <v>0.77337299999999998</v>
      </c>
      <c r="K707">
        <v>0.49892199999999998</v>
      </c>
      <c r="L707">
        <v>45</v>
      </c>
      <c r="M707">
        <v>1</v>
      </c>
      <c r="N707">
        <v>5</v>
      </c>
      <c r="O707">
        <v>0.77969200000000005</v>
      </c>
      <c r="P707">
        <v>0.45385399999999998</v>
      </c>
      <c r="Q707">
        <v>0.27519199999999999</v>
      </c>
    </row>
    <row r="708" spans="1:17" x14ac:dyDescent="0.25">
      <c r="A708" t="str">
        <f>IF(C708&amp;G708&amp;D708&lt;&gt;'Funnel setup'!$K$3&amp;'Funnel setup'!$K$4&amp;'Funnel setup'!$K$6,".",IF(A707=".",1,A707+1))</f>
        <v>.</v>
      </c>
      <c r="B708" s="244" t="str">
        <f t="shared" si="11"/>
        <v>Hip Replacement PrimaryProviderPARK HOSPITAL (NT427)EQ-5D Index</v>
      </c>
      <c r="C708" t="s">
        <v>749</v>
      </c>
      <c r="D708" t="s">
        <v>965</v>
      </c>
      <c r="E708" t="s">
        <v>442</v>
      </c>
      <c r="F708" t="s">
        <v>443</v>
      </c>
      <c r="G708" t="s">
        <v>963</v>
      </c>
      <c r="H708">
        <v>23</v>
      </c>
      <c r="I708">
        <v>0.34787000000000001</v>
      </c>
      <c r="J708">
        <v>0.74195699999999998</v>
      </c>
      <c r="K708">
        <v>0.39408700000000002</v>
      </c>
      <c r="L708">
        <v>19</v>
      </c>
      <c r="M708">
        <v>1</v>
      </c>
      <c r="N708">
        <v>3</v>
      </c>
      <c r="O708" t="s">
        <v>127</v>
      </c>
      <c r="P708" t="s">
        <v>127</v>
      </c>
      <c r="Q708" t="s">
        <v>127</v>
      </c>
    </row>
    <row r="709" spans="1:17" x14ac:dyDescent="0.25">
      <c r="A709" t="str">
        <f>IF(C709&amp;G709&amp;D709&lt;&gt;'Funnel setup'!$K$3&amp;'Funnel setup'!$K$4&amp;'Funnel setup'!$K$6,".",IF(A708=".",1,A708+1))</f>
        <v>.</v>
      </c>
      <c r="B709" s="244" t="str">
        <f t="shared" si="11"/>
        <v>Hip Replacement PrimaryProviderPENNINE ACUTE HOSPITALS NHS TRUST (RW6)EQ-5D Index</v>
      </c>
      <c r="C709" t="s">
        <v>749</v>
      </c>
      <c r="D709" t="s">
        <v>965</v>
      </c>
      <c r="E709" t="s">
        <v>444</v>
      </c>
      <c r="F709" t="s">
        <v>445</v>
      </c>
      <c r="G709" t="s">
        <v>963</v>
      </c>
      <c r="H709">
        <v>2</v>
      </c>
      <c r="I709">
        <v>0.1905</v>
      </c>
      <c r="J709">
        <v>0.38650000000000001</v>
      </c>
      <c r="K709">
        <v>0.19600000000000001</v>
      </c>
      <c r="L709">
        <v>2</v>
      </c>
      <c r="M709">
        <v>0</v>
      </c>
      <c r="N709">
        <v>0</v>
      </c>
      <c r="O709" t="s">
        <v>127</v>
      </c>
      <c r="P709" t="s">
        <v>127</v>
      </c>
      <c r="Q709" t="s">
        <v>127</v>
      </c>
    </row>
    <row r="710" spans="1:17" x14ac:dyDescent="0.25">
      <c r="A710" t="str">
        <f>IF(C710&amp;G710&amp;D710&lt;&gt;'Funnel setup'!$K$3&amp;'Funnel setup'!$K$4&amp;'Funnel setup'!$K$6,".",IF(A709=".",1,A709+1))</f>
        <v>.</v>
      </c>
      <c r="B710" s="244" t="str">
        <f t="shared" si="11"/>
        <v>Hip Replacement PrimaryProviderPINEHILL HOSPITAL (NVC15)EQ-5D Index</v>
      </c>
      <c r="C710" t="s">
        <v>749</v>
      </c>
      <c r="D710" t="s">
        <v>965</v>
      </c>
      <c r="E710" t="s">
        <v>448</v>
      </c>
      <c r="F710" t="s">
        <v>449</v>
      </c>
      <c r="G710" t="s">
        <v>963</v>
      </c>
      <c r="H710">
        <v>12</v>
      </c>
      <c r="I710">
        <v>0.48775000000000002</v>
      </c>
      <c r="J710">
        <v>0.87350000000000005</v>
      </c>
      <c r="K710">
        <v>0.38574999999999998</v>
      </c>
      <c r="L710">
        <v>12</v>
      </c>
      <c r="M710">
        <v>0</v>
      </c>
      <c r="N710">
        <v>0</v>
      </c>
      <c r="O710" t="s">
        <v>127</v>
      </c>
      <c r="P710" t="s">
        <v>127</v>
      </c>
      <c r="Q710" t="s">
        <v>127</v>
      </c>
    </row>
    <row r="711" spans="1:17" x14ac:dyDescent="0.25">
      <c r="A711" t="str">
        <f>IF(C711&amp;G711&amp;D711&lt;&gt;'Funnel setup'!$K$3&amp;'Funnel setup'!$K$4&amp;'Funnel setup'!$K$6,".",IF(A710=".",1,A710+1))</f>
        <v>.</v>
      </c>
      <c r="B711" s="244" t="str">
        <f t="shared" si="11"/>
        <v>Hip Replacement PrimaryProviderPORTSMOUTH HOSPITALS UNIVERSITY NATIONAL HEALTH SERVICE TRUST (RHU)EQ-5D Index</v>
      </c>
      <c r="C711" t="s">
        <v>749</v>
      </c>
      <c r="D711" t="s">
        <v>965</v>
      </c>
      <c r="E711" t="s">
        <v>450</v>
      </c>
      <c r="F711" t="s">
        <v>451</v>
      </c>
      <c r="G711" t="s">
        <v>963</v>
      </c>
      <c r="H711">
        <v>14</v>
      </c>
      <c r="I711">
        <v>8.5142899999999994E-2</v>
      </c>
      <c r="J711">
        <v>0.614286</v>
      </c>
      <c r="K711">
        <v>0.52914300000000003</v>
      </c>
      <c r="L711">
        <v>12</v>
      </c>
      <c r="M711">
        <v>0</v>
      </c>
      <c r="N711">
        <v>2</v>
      </c>
      <c r="O711" t="s">
        <v>127</v>
      </c>
      <c r="P711" t="s">
        <v>127</v>
      </c>
      <c r="Q711" t="s">
        <v>127</v>
      </c>
    </row>
    <row r="712" spans="1:17" x14ac:dyDescent="0.25">
      <c r="A712" t="str">
        <f>IF(C712&amp;G712&amp;D712&lt;&gt;'Funnel setup'!$K$3&amp;'Funnel setup'!$K$4&amp;'Funnel setup'!$K$6,".",IF(A711=".",1,A711+1))</f>
        <v>.</v>
      </c>
      <c r="B712" s="244" t="str">
        <f t="shared" si="11"/>
        <v>Hip Replacement PrimaryProviderPRACTICE PLUS GROUP HOSPITAL - BARLBOROUGH (NTP13)EQ-5D Index</v>
      </c>
      <c r="C712" t="s">
        <v>749</v>
      </c>
      <c r="D712" t="s">
        <v>965</v>
      </c>
      <c r="E712" t="s">
        <v>452</v>
      </c>
      <c r="F712" t="s">
        <v>453</v>
      </c>
      <c r="G712" t="s">
        <v>963</v>
      </c>
      <c r="H712">
        <v>174</v>
      </c>
      <c r="I712">
        <v>0.33575899999999997</v>
      </c>
      <c r="J712">
        <v>0.80029899999999998</v>
      </c>
      <c r="K712">
        <v>0.46454000000000001</v>
      </c>
      <c r="L712">
        <v>157</v>
      </c>
      <c r="M712">
        <v>8</v>
      </c>
      <c r="N712">
        <v>9</v>
      </c>
      <c r="O712">
        <v>0.79171199999999997</v>
      </c>
      <c r="P712">
        <v>0.46587400000000001</v>
      </c>
      <c r="Q712">
        <v>0.23407900000000001</v>
      </c>
    </row>
    <row r="713" spans="1:17" x14ac:dyDescent="0.25">
      <c r="A713" t="str">
        <f>IF(C713&amp;G713&amp;D713&lt;&gt;'Funnel setup'!$K$3&amp;'Funnel setup'!$K$4&amp;'Funnel setup'!$K$6,".",IF(A712=".",1,A712+1))</f>
        <v>.</v>
      </c>
      <c r="B713" s="244" t="str">
        <f t="shared" si="11"/>
        <v>Hip Replacement PrimaryProviderPRACTICE PLUS GROUP HOSPITAL - EMERSONS GREEN (NTPH2)EQ-5D Index</v>
      </c>
      <c r="C713" t="s">
        <v>749</v>
      </c>
      <c r="D713" t="s">
        <v>965</v>
      </c>
      <c r="E713" t="s">
        <v>454</v>
      </c>
      <c r="F713" t="s">
        <v>455</v>
      </c>
      <c r="G713" t="s">
        <v>963</v>
      </c>
      <c r="H713">
        <v>142</v>
      </c>
      <c r="I713">
        <v>0.39661999999999997</v>
      </c>
      <c r="J713">
        <v>0.85040099999999996</v>
      </c>
      <c r="K713">
        <v>0.45378200000000002</v>
      </c>
      <c r="L713">
        <v>130</v>
      </c>
      <c r="M713">
        <v>7</v>
      </c>
      <c r="N713">
        <v>5</v>
      </c>
      <c r="O713">
        <v>0.81241200000000002</v>
      </c>
      <c r="P713">
        <v>0.48657400000000001</v>
      </c>
      <c r="Q713">
        <v>0.179395</v>
      </c>
    </row>
    <row r="714" spans="1:17" x14ac:dyDescent="0.25">
      <c r="A714" t="str">
        <f>IF(C714&amp;G714&amp;D714&lt;&gt;'Funnel setup'!$K$3&amp;'Funnel setup'!$K$4&amp;'Funnel setup'!$K$6,".",IF(A713=".",1,A713+1))</f>
        <v>.</v>
      </c>
      <c r="B714" s="244" t="str">
        <f t="shared" si="11"/>
        <v>Hip Replacement PrimaryProviderPRACTICE PLUS GROUP HOSPITAL - ILFORD (NTP15)EQ-5D Index</v>
      </c>
      <c r="C714" t="s">
        <v>749</v>
      </c>
      <c r="D714" t="s">
        <v>965</v>
      </c>
      <c r="E714" t="s">
        <v>456</v>
      </c>
      <c r="F714" t="s">
        <v>457</v>
      </c>
      <c r="G714" t="s">
        <v>963</v>
      </c>
      <c r="H714">
        <v>54</v>
      </c>
      <c r="I714">
        <v>0.35437000000000002</v>
      </c>
      <c r="J714">
        <v>0.80688899999999997</v>
      </c>
      <c r="K714">
        <v>0.452519</v>
      </c>
      <c r="L714">
        <v>51</v>
      </c>
      <c r="M714">
        <v>1</v>
      </c>
      <c r="N714">
        <v>2</v>
      </c>
      <c r="O714">
        <v>0.79754700000000001</v>
      </c>
      <c r="P714">
        <v>0.47170800000000002</v>
      </c>
      <c r="Q714">
        <v>0.207394</v>
      </c>
    </row>
    <row r="715" spans="1:17" x14ac:dyDescent="0.25">
      <c r="A715" t="str">
        <f>IF(C715&amp;G715&amp;D715&lt;&gt;'Funnel setup'!$K$3&amp;'Funnel setup'!$K$4&amp;'Funnel setup'!$K$6,".",IF(A714=".",1,A714+1))</f>
        <v>.</v>
      </c>
      <c r="B715" s="244" t="str">
        <f t="shared" si="11"/>
        <v>Hip Replacement PrimaryProviderPRACTICE PLUS GROUP HOSPITAL - PLYMOUTH (NTPH5)EQ-5D Index</v>
      </c>
      <c r="C715" t="s">
        <v>749</v>
      </c>
      <c r="D715" t="s">
        <v>965</v>
      </c>
      <c r="E715" t="s">
        <v>458</v>
      </c>
      <c r="F715" t="s">
        <v>459</v>
      </c>
      <c r="G715" t="s">
        <v>963</v>
      </c>
      <c r="H715">
        <v>182</v>
      </c>
      <c r="I715">
        <v>0.37339600000000001</v>
      </c>
      <c r="J715">
        <v>0.82940100000000005</v>
      </c>
      <c r="K715">
        <v>0.45600499999999999</v>
      </c>
      <c r="L715">
        <v>164</v>
      </c>
      <c r="M715">
        <v>9</v>
      </c>
      <c r="N715">
        <v>9</v>
      </c>
      <c r="O715">
        <v>0.82998400000000006</v>
      </c>
      <c r="P715">
        <v>0.50414499999999995</v>
      </c>
      <c r="Q715">
        <v>0.221358</v>
      </c>
    </row>
    <row r="716" spans="1:17" x14ac:dyDescent="0.25">
      <c r="A716" t="str">
        <f>IF(C716&amp;G716&amp;D716&lt;&gt;'Funnel setup'!$K$3&amp;'Funnel setup'!$K$4&amp;'Funnel setup'!$K$6,".",IF(A715=".",1,A715+1))</f>
        <v>.</v>
      </c>
      <c r="B716" s="244" t="str">
        <f t="shared" si="11"/>
        <v>Hip Replacement PrimaryProviderPRACTICE PLUS GROUP HOSPITAL - SHEPTON MALLET (NTPH1)EQ-5D Index</v>
      </c>
      <c r="C716" t="s">
        <v>749</v>
      </c>
      <c r="D716" t="s">
        <v>965</v>
      </c>
      <c r="E716" t="s">
        <v>460</v>
      </c>
      <c r="F716" t="s">
        <v>461</v>
      </c>
      <c r="G716" t="s">
        <v>963</v>
      </c>
      <c r="H716">
        <v>268</v>
      </c>
      <c r="I716">
        <v>0.41798099999999999</v>
      </c>
      <c r="J716">
        <v>0.860321</v>
      </c>
      <c r="K716">
        <v>0.44234000000000001</v>
      </c>
      <c r="L716">
        <v>245</v>
      </c>
      <c r="M716">
        <v>10</v>
      </c>
      <c r="N716">
        <v>13</v>
      </c>
      <c r="O716">
        <v>0.82399699999999998</v>
      </c>
      <c r="P716">
        <v>0.49815900000000002</v>
      </c>
      <c r="Q716">
        <v>0.17995</v>
      </c>
    </row>
    <row r="717" spans="1:17" x14ac:dyDescent="0.25">
      <c r="A717" t="str">
        <f>IF(C717&amp;G717&amp;D717&lt;&gt;'Funnel setup'!$K$3&amp;'Funnel setup'!$K$4&amp;'Funnel setup'!$K$6,".",IF(A716=".",1,A716+1))</f>
        <v>.</v>
      </c>
      <c r="B717" s="244" t="str">
        <f t="shared" si="11"/>
        <v>Hip Replacement PrimaryProviderPRACTICE PLUS GROUP HOSPITAL - SOUTHAMPTON (NTP11)EQ-5D Index</v>
      </c>
      <c r="C717" t="s">
        <v>749</v>
      </c>
      <c r="D717" t="s">
        <v>965</v>
      </c>
      <c r="E717" t="s">
        <v>462</v>
      </c>
      <c r="F717" t="s">
        <v>463</v>
      </c>
      <c r="G717" t="s">
        <v>963</v>
      </c>
      <c r="H717">
        <v>70</v>
      </c>
      <c r="I717">
        <v>0.36872899999999997</v>
      </c>
      <c r="J717">
        <v>0.84181399999999995</v>
      </c>
      <c r="K717">
        <v>0.47308600000000001</v>
      </c>
      <c r="L717">
        <v>63</v>
      </c>
      <c r="M717">
        <v>3</v>
      </c>
      <c r="N717">
        <v>4</v>
      </c>
      <c r="O717">
        <v>0.82058500000000001</v>
      </c>
      <c r="P717">
        <v>0.49474699999999999</v>
      </c>
      <c r="Q717">
        <v>0.21359300000000001</v>
      </c>
    </row>
    <row r="718" spans="1:17" x14ac:dyDescent="0.25">
      <c r="A718" t="str">
        <f>IF(C718&amp;G718&amp;D718&lt;&gt;'Funnel setup'!$K$3&amp;'Funnel setup'!$K$4&amp;'Funnel setup'!$K$6,".",IF(A717=".",1,A717+1))</f>
        <v>.</v>
      </c>
      <c r="B718" s="244" t="str">
        <f t="shared" si="11"/>
        <v>Hip Replacement PrimaryProviderPRINCESS MARGARET HOSPITAL (NT428)EQ-5D Index</v>
      </c>
      <c r="C718" t="s">
        <v>749</v>
      </c>
      <c r="D718" t="s">
        <v>965</v>
      </c>
      <c r="E718" t="s">
        <v>464</v>
      </c>
      <c r="F718" t="s">
        <v>465</v>
      </c>
      <c r="G718" t="s">
        <v>963</v>
      </c>
      <c r="H718" t="s">
        <v>127</v>
      </c>
      <c r="I718" t="s">
        <v>127</v>
      </c>
      <c r="J718" t="s">
        <v>127</v>
      </c>
      <c r="K718" t="s">
        <v>127</v>
      </c>
      <c r="L718" t="s">
        <v>127</v>
      </c>
      <c r="M718" t="s">
        <v>127</v>
      </c>
      <c r="N718" t="s">
        <v>127</v>
      </c>
      <c r="O718" t="s">
        <v>127</v>
      </c>
      <c r="P718" t="s">
        <v>127</v>
      </c>
      <c r="Q718" t="s">
        <v>127</v>
      </c>
    </row>
    <row r="719" spans="1:17" x14ac:dyDescent="0.25">
      <c r="A719" t="str">
        <f>IF(C719&amp;G719&amp;D719&lt;&gt;'Funnel setup'!$K$3&amp;'Funnel setup'!$K$4&amp;'Funnel setup'!$K$6,".",IF(A718=".",1,A718+1))</f>
        <v>.</v>
      </c>
      <c r="B719" s="244" t="str">
        <f t="shared" si="11"/>
        <v>Hip Replacement PrimaryProviderPRIORY HOSPITAL (NT429)EQ-5D Index</v>
      </c>
      <c r="C719" t="s">
        <v>749</v>
      </c>
      <c r="D719" t="s">
        <v>965</v>
      </c>
      <c r="E719" t="s">
        <v>466</v>
      </c>
      <c r="F719" t="s">
        <v>467</v>
      </c>
      <c r="G719" t="s">
        <v>963</v>
      </c>
      <c r="H719">
        <v>10</v>
      </c>
      <c r="I719">
        <v>0.33289999999999997</v>
      </c>
      <c r="J719">
        <v>0.83020000000000005</v>
      </c>
      <c r="K719">
        <v>0.49730000000000002</v>
      </c>
      <c r="L719">
        <v>9</v>
      </c>
      <c r="M719">
        <v>0</v>
      </c>
      <c r="N719">
        <v>1</v>
      </c>
      <c r="O719" t="s">
        <v>127</v>
      </c>
      <c r="P719" t="s">
        <v>127</v>
      </c>
      <c r="Q719" t="s">
        <v>127</v>
      </c>
    </row>
    <row r="720" spans="1:17" x14ac:dyDescent="0.25">
      <c r="A720" t="str">
        <f>IF(C720&amp;G720&amp;D720&lt;&gt;'Funnel setup'!$K$3&amp;'Funnel setup'!$K$4&amp;'Funnel setup'!$K$6,".",IF(A719=".",1,A719+1))</f>
        <v>.</v>
      </c>
      <c r="B720" s="244" t="str">
        <f t="shared" si="11"/>
        <v>Hip Replacement PrimaryProviderRENACRES HOSPITAL (NVC16)EQ-5D Index</v>
      </c>
      <c r="C720" t="s">
        <v>749</v>
      </c>
      <c r="D720" t="s">
        <v>965</v>
      </c>
      <c r="E720" t="s">
        <v>470</v>
      </c>
      <c r="F720" t="s">
        <v>471</v>
      </c>
      <c r="G720" t="s">
        <v>963</v>
      </c>
      <c r="H720">
        <v>79</v>
      </c>
      <c r="I720">
        <v>0.32577200000000001</v>
      </c>
      <c r="J720">
        <v>0.81430400000000003</v>
      </c>
      <c r="K720">
        <v>0.48853200000000002</v>
      </c>
      <c r="L720">
        <v>74</v>
      </c>
      <c r="M720">
        <v>2</v>
      </c>
      <c r="N720">
        <v>3</v>
      </c>
      <c r="O720">
        <v>0.80099799999999999</v>
      </c>
      <c r="P720">
        <v>0.475159</v>
      </c>
      <c r="Q720">
        <v>0.24049300000000001</v>
      </c>
    </row>
    <row r="721" spans="1:17" x14ac:dyDescent="0.25">
      <c r="A721" t="str">
        <f>IF(C721&amp;G721&amp;D721&lt;&gt;'Funnel setup'!$K$3&amp;'Funnel setup'!$K$4&amp;'Funnel setup'!$K$6,".",IF(A720=".",1,A720+1))</f>
        <v>.</v>
      </c>
      <c r="B721" s="244" t="str">
        <f t="shared" si="11"/>
        <v>Hip Replacement PrimaryProviderRIDGEWAY HOSPITAL (NT430)EQ-5D Index</v>
      </c>
      <c r="C721" t="s">
        <v>749</v>
      </c>
      <c r="D721" t="s">
        <v>965</v>
      </c>
      <c r="E721" t="s">
        <v>472</v>
      </c>
      <c r="F721" t="s">
        <v>473</v>
      </c>
      <c r="G721" t="s">
        <v>963</v>
      </c>
      <c r="H721">
        <v>4</v>
      </c>
      <c r="I721">
        <v>0.58299999999999996</v>
      </c>
      <c r="J721">
        <v>0.64400000000000002</v>
      </c>
      <c r="K721">
        <v>6.0999999999999999E-2</v>
      </c>
      <c r="L721">
        <v>2</v>
      </c>
      <c r="M721">
        <v>0</v>
      </c>
      <c r="N721">
        <v>2</v>
      </c>
      <c r="O721" t="s">
        <v>127</v>
      </c>
      <c r="P721" t="s">
        <v>127</v>
      </c>
      <c r="Q721" t="s">
        <v>127</v>
      </c>
    </row>
    <row r="722" spans="1:17" x14ac:dyDescent="0.25">
      <c r="A722" t="str">
        <f>IF(C722&amp;G722&amp;D722&lt;&gt;'Funnel setup'!$K$3&amp;'Funnel setup'!$K$4&amp;'Funnel setup'!$K$6,".",IF(A721=".",1,A721+1))</f>
        <v>.</v>
      </c>
      <c r="B722" s="244" t="str">
        <f t="shared" si="11"/>
        <v>Hip Replacement PrimaryProviderRIVERS HOSPITAL (NVC19)EQ-5D Index</v>
      </c>
      <c r="C722" t="s">
        <v>749</v>
      </c>
      <c r="D722" t="s">
        <v>965</v>
      </c>
      <c r="E722" t="s">
        <v>474</v>
      </c>
      <c r="F722" t="s">
        <v>475</v>
      </c>
      <c r="G722" t="s">
        <v>963</v>
      </c>
      <c r="H722">
        <v>56</v>
      </c>
      <c r="I722">
        <v>0.39464300000000002</v>
      </c>
      <c r="J722">
        <v>0.76991100000000001</v>
      </c>
      <c r="K722">
        <v>0.37526799999999999</v>
      </c>
      <c r="L722">
        <v>52</v>
      </c>
      <c r="M722">
        <v>2</v>
      </c>
      <c r="N722">
        <v>2</v>
      </c>
      <c r="O722">
        <v>0.73835099999999998</v>
      </c>
      <c r="P722">
        <v>0.41251300000000002</v>
      </c>
      <c r="Q722">
        <v>0.259052</v>
      </c>
    </row>
    <row r="723" spans="1:17" x14ac:dyDescent="0.25">
      <c r="A723" t="str">
        <f>IF(C723&amp;G723&amp;D723&lt;&gt;'Funnel setup'!$K$3&amp;'Funnel setup'!$K$4&amp;'Funnel setup'!$K$6,".",IF(A722=".",1,A722+1))</f>
        <v>.</v>
      </c>
      <c r="B723" s="244" t="str">
        <f t="shared" si="11"/>
        <v>Hip Replacement PrimaryProviderROWLEY HALL HOSPITAL (NVC17)EQ-5D Index</v>
      </c>
      <c r="C723" t="s">
        <v>749</v>
      </c>
      <c r="D723" t="s">
        <v>965</v>
      </c>
      <c r="E723" t="s">
        <v>476</v>
      </c>
      <c r="F723" t="s">
        <v>477</v>
      </c>
      <c r="G723" t="s">
        <v>963</v>
      </c>
      <c r="H723">
        <v>52</v>
      </c>
      <c r="I723">
        <v>0.398115</v>
      </c>
      <c r="J723">
        <v>0.79830800000000002</v>
      </c>
      <c r="K723">
        <v>0.40019199999999999</v>
      </c>
      <c r="L723">
        <v>45</v>
      </c>
      <c r="M723">
        <v>4</v>
      </c>
      <c r="N723">
        <v>3</v>
      </c>
      <c r="O723">
        <v>0.78387799999999996</v>
      </c>
      <c r="P723">
        <v>0.45804</v>
      </c>
      <c r="Q723">
        <v>0.19914200000000001</v>
      </c>
    </row>
    <row r="724" spans="1:17" x14ac:dyDescent="0.25">
      <c r="A724" t="str">
        <f>IF(C724&amp;G724&amp;D724&lt;&gt;'Funnel setup'!$K$3&amp;'Funnel setup'!$K$4&amp;'Funnel setup'!$K$6,".",IF(A723=".",1,A723+1))</f>
        <v>.</v>
      </c>
      <c r="B724" s="244" t="str">
        <f t="shared" si="11"/>
        <v>Hip Replacement PrimaryProviderROYAL BERKSHIRE NHS FOUNDATION TRUST (RHW)EQ-5D Index</v>
      </c>
      <c r="C724" t="s">
        <v>749</v>
      </c>
      <c r="D724" t="s">
        <v>965</v>
      </c>
      <c r="E724" t="s">
        <v>478</v>
      </c>
      <c r="F724" t="s">
        <v>479</v>
      </c>
      <c r="G724" t="s">
        <v>963</v>
      </c>
      <c r="H724">
        <v>3</v>
      </c>
      <c r="I724">
        <v>5.4666699999999999E-2</v>
      </c>
      <c r="J724">
        <v>0.37366700000000003</v>
      </c>
      <c r="K724">
        <v>0.31900000000000001</v>
      </c>
      <c r="L724">
        <v>2</v>
      </c>
      <c r="M724">
        <v>0</v>
      </c>
      <c r="N724">
        <v>1</v>
      </c>
      <c r="O724" t="s">
        <v>127</v>
      </c>
      <c r="P724" t="s">
        <v>127</v>
      </c>
      <c r="Q724" t="s">
        <v>127</v>
      </c>
    </row>
    <row r="725" spans="1:17" x14ac:dyDescent="0.25">
      <c r="A725" t="str">
        <f>IF(C725&amp;G725&amp;D725&lt;&gt;'Funnel setup'!$K$3&amp;'Funnel setup'!$K$4&amp;'Funnel setup'!$K$6,".",IF(A724=".",1,A724+1))</f>
        <v>.</v>
      </c>
      <c r="B725" s="244" t="str">
        <f t="shared" si="11"/>
        <v>Hip Replacement PrimaryProviderROYAL CORNWALL HOSPITALS NHS TRUST (REF)EQ-5D Index</v>
      </c>
      <c r="C725" t="s">
        <v>749</v>
      </c>
      <c r="D725" t="s">
        <v>965</v>
      </c>
      <c r="E725" t="s">
        <v>480</v>
      </c>
      <c r="F725" t="s">
        <v>481</v>
      </c>
      <c r="G725" t="s">
        <v>963</v>
      </c>
      <c r="H725">
        <v>48</v>
      </c>
      <c r="I725">
        <v>0.42347899999999999</v>
      </c>
      <c r="J725">
        <v>0.78704200000000002</v>
      </c>
      <c r="K725">
        <v>0.363562</v>
      </c>
      <c r="L725">
        <v>42</v>
      </c>
      <c r="M725">
        <v>2</v>
      </c>
      <c r="N725">
        <v>4</v>
      </c>
      <c r="O725">
        <v>0.75740200000000002</v>
      </c>
      <c r="P725">
        <v>0.43156299999999997</v>
      </c>
      <c r="Q725">
        <v>0.29138700000000001</v>
      </c>
    </row>
    <row r="726" spans="1:17" x14ac:dyDescent="0.25">
      <c r="A726" t="str">
        <f>IF(C726&amp;G726&amp;D726&lt;&gt;'Funnel setup'!$K$3&amp;'Funnel setup'!$K$4&amp;'Funnel setup'!$K$6,".",IF(A725=".",1,A725+1))</f>
        <v>.</v>
      </c>
      <c r="B726" s="244" t="str">
        <f t="shared" si="11"/>
        <v>Hip Replacement PrimaryProviderROYAL DEVON UNIVERSITY HEALTHCARE NHS FOUNDATION TRUST (RH8)EQ-5D Index</v>
      </c>
      <c r="C726" t="s">
        <v>749</v>
      </c>
      <c r="D726" t="s">
        <v>965</v>
      </c>
      <c r="E726" t="s">
        <v>482</v>
      </c>
      <c r="F726" t="s">
        <v>483</v>
      </c>
      <c r="G726" t="s">
        <v>963</v>
      </c>
      <c r="H726">
        <v>3</v>
      </c>
      <c r="I726">
        <v>0.42066700000000001</v>
      </c>
      <c r="J726">
        <v>0.82899999999999996</v>
      </c>
      <c r="K726">
        <v>0.408333</v>
      </c>
      <c r="L726">
        <v>2</v>
      </c>
      <c r="M726">
        <v>1</v>
      </c>
      <c r="N726">
        <v>0</v>
      </c>
      <c r="O726" t="s">
        <v>127</v>
      </c>
      <c r="P726" t="s">
        <v>127</v>
      </c>
      <c r="Q726" t="s">
        <v>127</v>
      </c>
    </row>
    <row r="727" spans="1:17" x14ac:dyDescent="0.25">
      <c r="A727" t="str">
        <f>IF(C727&amp;G727&amp;D727&lt;&gt;'Funnel setup'!$K$3&amp;'Funnel setup'!$K$4&amp;'Funnel setup'!$K$6,".",IF(A726=".",1,A726+1))</f>
        <v>.</v>
      </c>
      <c r="B727" s="244" t="str">
        <f t="shared" si="11"/>
        <v>Hip Replacement PrimaryProviderROYAL NATIONAL ORTHOPAEDIC HOSPITAL NHS TRUST (RAN)EQ-5D Index</v>
      </c>
      <c r="C727" t="s">
        <v>749</v>
      </c>
      <c r="D727" t="s">
        <v>965</v>
      </c>
      <c r="E727" t="s">
        <v>486</v>
      </c>
      <c r="F727" t="s">
        <v>487</v>
      </c>
      <c r="G727" t="s">
        <v>963</v>
      </c>
      <c r="H727">
        <v>67</v>
      </c>
      <c r="I727">
        <v>0.283194</v>
      </c>
      <c r="J727">
        <v>0.66228399999999998</v>
      </c>
      <c r="K727">
        <v>0.37908999999999998</v>
      </c>
      <c r="L727">
        <v>55</v>
      </c>
      <c r="M727">
        <v>4</v>
      </c>
      <c r="N727">
        <v>8</v>
      </c>
      <c r="O727">
        <v>0.71192599999999995</v>
      </c>
      <c r="P727">
        <v>0.38608799999999999</v>
      </c>
      <c r="Q727">
        <v>0.29488900000000001</v>
      </c>
    </row>
    <row r="728" spans="1:17" x14ac:dyDescent="0.25">
      <c r="A728" t="str">
        <f>IF(C728&amp;G728&amp;D728&lt;&gt;'Funnel setup'!$K$3&amp;'Funnel setup'!$K$4&amp;'Funnel setup'!$K$6,".",IF(A727=".",1,A727+1))</f>
        <v>.</v>
      </c>
      <c r="B728" s="244" t="str">
        <f t="shared" si="11"/>
        <v>Hip Replacement PrimaryProviderROYAL SURREY COUNTY HOSPITAL NHS FOUNDATION TRUST (RA2)EQ-5D Index</v>
      </c>
      <c r="C728" t="s">
        <v>749</v>
      </c>
      <c r="D728" t="s">
        <v>965</v>
      </c>
      <c r="E728" t="s">
        <v>488</v>
      </c>
      <c r="F728" t="s">
        <v>489</v>
      </c>
      <c r="G728" t="s">
        <v>963</v>
      </c>
      <c r="H728">
        <v>71</v>
      </c>
      <c r="I728">
        <v>0.41156300000000001</v>
      </c>
      <c r="J728">
        <v>0.81040800000000002</v>
      </c>
      <c r="K728">
        <v>0.39884500000000001</v>
      </c>
      <c r="L728">
        <v>63</v>
      </c>
      <c r="M728">
        <v>5</v>
      </c>
      <c r="N728">
        <v>3</v>
      </c>
      <c r="O728">
        <v>0.78475300000000003</v>
      </c>
      <c r="P728">
        <v>0.45891500000000002</v>
      </c>
      <c r="Q728">
        <v>0.16148499999999999</v>
      </c>
    </row>
    <row r="729" spans="1:17" x14ac:dyDescent="0.25">
      <c r="A729" t="str">
        <f>IF(C729&amp;G729&amp;D729&lt;&gt;'Funnel setup'!$K$3&amp;'Funnel setup'!$K$4&amp;'Funnel setup'!$K$6,".",IF(A728=".",1,A728+1))</f>
        <v>.</v>
      </c>
      <c r="B729" s="244" t="str">
        <f t="shared" si="11"/>
        <v>Hip Replacement PrimaryProviderROYAL UNITED HOSPITALS BATH NHS FOUNDATION TRUST (RD1)EQ-5D Index</v>
      </c>
      <c r="C729" t="s">
        <v>749</v>
      </c>
      <c r="D729" t="s">
        <v>965</v>
      </c>
      <c r="E729" t="s">
        <v>490</v>
      </c>
      <c r="F729" t="s">
        <v>491</v>
      </c>
      <c r="G729" t="s">
        <v>963</v>
      </c>
      <c r="H729">
        <v>7</v>
      </c>
      <c r="I729">
        <v>0.35</v>
      </c>
      <c r="J729">
        <v>0.498143</v>
      </c>
      <c r="K729">
        <v>0.148143</v>
      </c>
      <c r="L729">
        <v>6</v>
      </c>
      <c r="M729">
        <v>0</v>
      </c>
      <c r="N729">
        <v>1</v>
      </c>
      <c r="O729" t="s">
        <v>127</v>
      </c>
      <c r="P729" t="s">
        <v>127</v>
      </c>
      <c r="Q729" t="s">
        <v>127</v>
      </c>
    </row>
    <row r="730" spans="1:17" x14ac:dyDescent="0.25">
      <c r="A730" t="str">
        <f>IF(C730&amp;G730&amp;D730&lt;&gt;'Funnel setup'!$K$3&amp;'Funnel setup'!$K$4&amp;'Funnel setup'!$K$6,".",IF(A729=".",1,A729+1))</f>
        <v>.</v>
      </c>
      <c r="B730" s="244" t="str">
        <f t="shared" si="11"/>
        <v>Hip Replacement PrimaryProviderRUNNYMEDE HOSPITAL (NT431)EQ-5D Index</v>
      </c>
      <c r="C730" t="s">
        <v>749</v>
      </c>
      <c r="D730" t="s">
        <v>965</v>
      </c>
      <c r="E730" t="s">
        <v>492</v>
      </c>
      <c r="F730" t="s">
        <v>493</v>
      </c>
      <c r="G730" t="s">
        <v>963</v>
      </c>
      <c r="H730">
        <v>5</v>
      </c>
      <c r="I730">
        <v>0.45700000000000002</v>
      </c>
      <c r="J730">
        <v>0.85360000000000003</v>
      </c>
      <c r="K730">
        <v>0.39660000000000001</v>
      </c>
      <c r="L730">
        <v>4</v>
      </c>
      <c r="M730">
        <v>1</v>
      </c>
      <c r="N730">
        <v>0</v>
      </c>
      <c r="O730" t="s">
        <v>127</v>
      </c>
      <c r="P730" t="s">
        <v>127</v>
      </c>
      <c r="Q730" t="s">
        <v>127</v>
      </c>
    </row>
    <row r="731" spans="1:17" x14ac:dyDescent="0.25">
      <c r="A731" t="str">
        <f>IF(C731&amp;G731&amp;D731&lt;&gt;'Funnel setup'!$K$3&amp;'Funnel setup'!$K$4&amp;'Funnel setup'!$K$6,".",IF(A730=".",1,A730+1))</f>
        <v>.</v>
      </c>
      <c r="B731" s="244" t="str">
        <f t="shared" si="11"/>
        <v>Hip Replacement PrimaryProviderSALISBURY NHS FOUNDATION TRUST (RNZ)EQ-5D Index</v>
      </c>
      <c r="C731" t="s">
        <v>749</v>
      </c>
      <c r="D731" t="s">
        <v>965</v>
      </c>
      <c r="E731" t="s">
        <v>494</v>
      </c>
      <c r="F731" t="s">
        <v>495</v>
      </c>
      <c r="G731" t="s">
        <v>963</v>
      </c>
      <c r="H731">
        <v>3</v>
      </c>
      <c r="I731">
        <v>0.16566700000000001</v>
      </c>
      <c r="J731">
        <v>0.93200000000000005</v>
      </c>
      <c r="K731">
        <v>0.76633300000000004</v>
      </c>
      <c r="L731">
        <v>3</v>
      </c>
      <c r="M731">
        <v>0</v>
      </c>
      <c r="N731">
        <v>0</v>
      </c>
      <c r="O731" t="s">
        <v>127</v>
      </c>
      <c r="P731" t="s">
        <v>127</v>
      </c>
      <c r="Q731" t="s">
        <v>127</v>
      </c>
    </row>
    <row r="732" spans="1:17" x14ac:dyDescent="0.25">
      <c r="A732" t="str">
        <f>IF(C732&amp;G732&amp;D732&lt;&gt;'Funnel setup'!$K$3&amp;'Funnel setup'!$K$4&amp;'Funnel setup'!$K$6,".",IF(A731=".",1,A731+1))</f>
        <v>.</v>
      </c>
      <c r="B732" s="244" t="str">
        <f t="shared" si="11"/>
        <v>Hip Replacement PrimaryProviderSANDWELL AND WEST BIRMINGHAM HOSPITALS NHS TRUST (RXK)EQ-5D Index</v>
      </c>
      <c r="C732" t="s">
        <v>749</v>
      </c>
      <c r="D732" t="s">
        <v>965</v>
      </c>
      <c r="E732" t="s">
        <v>496</v>
      </c>
      <c r="F732" t="s">
        <v>497</v>
      </c>
      <c r="G732" t="s">
        <v>963</v>
      </c>
      <c r="H732">
        <v>40</v>
      </c>
      <c r="I732">
        <v>0.19872500000000001</v>
      </c>
      <c r="J732">
        <v>0.70482500000000003</v>
      </c>
      <c r="K732">
        <v>0.50609999999999999</v>
      </c>
      <c r="L732">
        <v>36</v>
      </c>
      <c r="M732">
        <v>3</v>
      </c>
      <c r="N732">
        <v>1</v>
      </c>
      <c r="O732">
        <v>0.78620500000000004</v>
      </c>
      <c r="P732">
        <v>0.460366</v>
      </c>
      <c r="Q732">
        <v>0.25128499999999998</v>
      </c>
    </row>
    <row r="733" spans="1:17" x14ac:dyDescent="0.25">
      <c r="A733" t="str">
        <f>IF(C733&amp;G733&amp;D733&lt;&gt;'Funnel setup'!$K$3&amp;'Funnel setup'!$K$4&amp;'Funnel setup'!$K$6,".",IF(A732=".",1,A732+1))</f>
        <v>.</v>
      </c>
      <c r="B733" s="244" t="str">
        <f t="shared" si="11"/>
        <v>Hip Replacement PrimaryProviderSARUM ROAD HOSPITAL (NT433)EQ-5D Index</v>
      </c>
      <c r="C733" t="s">
        <v>749</v>
      </c>
      <c r="D733" t="s">
        <v>965</v>
      </c>
      <c r="E733" t="s">
        <v>498</v>
      </c>
      <c r="F733" t="s">
        <v>499</v>
      </c>
      <c r="G733" t="s">
        <v>963</v>
      </c>
      <c r="H733">
        <v>35</v>
      </c>
      <c r="I733">
        <v>0.48771399999999998</v>
      </c>
      <c r="J733">
        <v>0.85185699999999998</v>
      </c>
      <c r="K733">
        <v>0.36414299999999999</v>
      </c>
      <c r="L733">
        <v>31</v>
      </c>
      <c r="M733">
        <v>1</v>
      </c>
      <c r="N733">
        <v>3</v>
      </c>
      <c r="O733">
        <v>0.79633900000000002</v>
      </c>
      <c r="P733">
        <v>0.470501</v>
      </c>
      <c r="Q733">
        <v>0.17713400000000001</v>
      </c>
    </row>
    <row r="734" spans="1:17" x14ac:dyDescent="0.25">
      <c r="A734" t="str">
        <f>IF(C734&amp;G734&amp;D734&lt;&gt;'Funnel setup'!$K$3&amp;'Funnel setup'!$K$4&amp;'Funnel setup'!$K$6,".",IF(A733=".",1,A733+1))</f>
        <v>.</v>
      </c>
      <c r="B734" s="244" t="str">
        <f t="shared" si="11"/>
        <v>Hip Replacement PrimaryProviderSAXON CLINIC (NT434)EQ-5D Index</v>
      </c>
      <c r="C734" t="s">
        <v>749</v>
      </c>
      <c r="D734" t="s">
        <v>965</v>
      </c>
      <c r="E734" t="s">
        <v>500</v>
      </c>
      <c r="F734" t="s">
        <v>501</v>
      </c>
      <c r="G734" t="s">
        <v>963</v>
      </c>
      <c r="H734">
        <v>16</v>
      </c>
      <c r="I734">
        <v>0.378</v>
      </c>
      <c r="J734">
        <v>0.89606200000000003</v>
      </c>
      <c r="K734">
        <v>0.51806300000000005</v>
      </c>
      <c r="L734">
        <v>15</v>
      </c>
      <c r="M734">
        <v>0</v>
      </c>
      <c r="N734">
        <v>1</v>
      </c>
      <c r="O734" t="s">
        <v>127</v>
      </c>
      <c r="P734" t="s">
        <v>127</v>
      </c>
      <c r="Q734" t="s">
        <v>127</v>
      </c>
    </row>
    <row r="735" spans="1:17" x14ac:dyDescent="0.25">
      <c r="A735" t="str">
        <f>IF(C735&amp;G735&amp;D735&lt;&gt;'Funnel setup'!$K$3&amp;'Funnel setup'!$K$4&amp;'Funnel setup'!$K$6,".",IF(A734=".",1,A734+1))</f>
        <v>.</v>
      </c>
      <c r="B735" s="244" t="str">
        <f t="shared" si="11"/>
        <v>Hip Replacement PrimaryProviderSHEFFIELD TEACHING HOSPITALS NHS FOUNDATION TRUST (RHQ)EQ-5D Index</v>
      </c>
      <c r="C735" t="s">
        <v>749</v>
      </c>
      <c r="D735" t="s">
        <v>965</v>
      </c>
      <c r="E735" t="s">
        <v>506</v>
      </c>
      <c r="F735" t="s">
        <v>507</v>
      </c>
      <c r="G735" t="s">
        <v>963</v>
      </c>
      <c r="H735">
        <v>31</v>
      </c>
      <c r="I735">
        <v>0.38751600000000003</v>
      </c>
      <c r="J735">
        <v>0.77693500000000004</v>
      </c>
      <c r="K735">
        <v>0.38941900000000002</v>
      </c>
      <c r="L735">
        <v>27</v>
      </c>
      <c r="M735">
        <v>1</v>
      </c>
      <c r="N735">
        <v>3</v>
      </c>
      <c r="O735">
        <v>0.756772</v>
      </c>
      <c r="P735">
        <v>0.43093300000000001</v>
      </c>
      <c r="Q735">
        <v>0.30249500000000001</v>
      </c>
    </row>
    <row r="736" spans="1:17" x14ac:dyDescent="0.25">
      <c r="A736" t="str">
        <f>IF(C736&amp;G736&amp;D736&lt;&gt;'Funnel setup'!$K$3&amp;'Funnel setup'!$K$4&amp;'Funnel setup'!$K$6,".",IF(A735=".",1,A735+1))</f>
        <v>.</v>
      </c>
      <c r="B736" s="244" t="str">
        <f t="shared" si="11"/>
        <v>Hip Replacement PrimaryProviderSHERWOOD FOREST HOSPITALS NHS FOUNDATION TRUST (RK5)EQ-5D Index</v>
      </c>
      <c r="C736" t="s">
        <v>749</v>
      </c>
      <c r="D736" t="s">
        <v>965</v>
      </c>
      <c r="E736" t="s">
        <v>508</v>
      </c>
      <c r="F736" t="s">
        <v>509</v>
      </c>
      <c r="G736" t="s">
        <v>963</v>
      </c>
      <c r="H736">
        <v>71</v>
      </c>
      <c r="I736">
        <v>0.24595800000000001</v>
      </c>
      <c r="J736">
        <v>0.75922500000000004</v>
      </c>
      <c r="K736">
        <v>0.51326799999999995</v>
      </c>
      <c r="L736">
        <v>66</v>
      </c>
      <c r="M736">
        <v>3</v>
      </c>
      <c r="N736">
        <v>2</v>
      </c>
      <c r="O736">
        <v>0.78734400000000004</v>
      </c>
      <c r="P736">
        <v>0.46150600000000003</v>
      </c>
      <c r="Q736">
        <v>0.19947899999999999</v>
      </c>
    </row>
    <row r="737" spans="1:17" x14ac:dyDescent="0.25">
      <c r="A737" t="str">
        <f>IF(C737&amp;G737&amp;D737&lt;&gt;'Funnel setup'!$K$3&amp;'Funnel setup'!$K$4&amp;'Funnel setup'!$K$6,".",IF(A736=".",1,A736+1))</f>
        <v>.</v>
      </c>
      <c r="B737" s="244" t="str">
        <f t="shared" si="11"/>
        <v>Hip Replacement PrimaryProviderSHIRLEY OAKS HOSPITAL (NT436)EQ-5D Index</v>
      </c>
      <c r="C737" t="s">
        <v>749</v>
      </c>
      <c r="D737" t="s">
        <v>965</v>
      </c>
      <c r="E737" t="s">
        <v>510</v>
      </c>
      <c r="F737" t="s">
        <v>511</v>
      </c>
      <c r="G737" t="s">
        <v>963</v>
      </c>
      <c r="H737">
        <v>2</v>
      </c>
      <c r="I737">
        <v>0.60350000000000004</v>
      </c>
      <c r="J737">
        <v>0.56850000000000001</v>
      </c>
      <c r="K737">
        <v>-3.5000000000000003E-2</v>
      </c>
      <c r="L737">
        <v>1</v>
      </c>
      <c r="M737">
        <v>0</v>
      </c>
      <c r="N737">
        <v>1</v>
      </c>
      <c r="O737" t="s">
        <v>127</v>
      </c>
      <c r="P737" t="s">
        <v>127</v>
      </c>
      <c r="Q737" t="s">
        <v>127</v>
      </c>
    </row>
    <row r="738" spans="1:17" x14ac:dyDescent="0.25">
      <c r="A738" t="str">
        <f>IF(C738&amp;G738&amp;D738&lt;&gt;'Funnel setup'!$K$3&amp;'Funnel setup'!$K$4&amp;'Funnel setup'!$K$6,".",IF(A737=".",1,A737+1))</f>
        <v>.</v>
      </c>
      <c r="B738" s="244" t="str">
        <f t="shared" si="11"/>
        <v>Hip Replacement PrimaryProviderSLOANE HOSPITAL (NT437)EQ-5D Index</v>
      </c>
      <c r="C738" t="s">
        <v>749</v>
      </c>
      <c r="D738" t="s">
        <v>965</v>
      </c>
      <c r="E738" t="s">
        <v>512</v>
      </c>
      <c r="F738" t="s">
        <v>513</v>
      </c>
      <c r="G738" t="s">
        <v>963</v>
      </c>
      <c r="H738">
        <v>2</v>
      </c>
      <c r="I738">
        <v>0.28549999999999998</v>
      </c>
      <c r="J738">
        <v>1</v>
      </c>
      <c r="K738">
        <v>0.71450000000000002</v>
      </c>
      <c r="L738">
        <v>2</v>
      </c>
      <c r="M738">
        <v>0</v>
      </c>
      <c r="N738">
        <v>0</v>
      </c>
      <c r="O738" t="s">
        <v>127</v>
      </c>
      <c r="P738" t="s">
        <v>127</v>
      </c>
      <c r="Q738" t="s">
        <v>127</v>
      </c>
    </row>
    <row r="739" spans="1:17" x14ac:dyDescent="0.25">
      <c r="A739" t="str">
        <f>IF(C739&amp;G739&amp;D739&lt;&gt;'Funnel setup'!$K$3&amp;'Funnel setup'!$K$4&amp;'Funnel setup'!$K$6,".",IF(A738=".",1,A738+1))</f>
        <v>.</v>
      </c>
      <c r="B739" s="244" t="str">
        <f t="shared" si="11"/>
        <v>Hip Replacement PrimaryProviderSOUTH TEES HOSPITALS NHS FOUNDATION TRUST (RTR)EQ-5D Index</v>
      </c>
      <c r="C739" t="s">
        <v>749</v>
      </c>
      <c r="D739" t="s">
        <v>965</v>
      </c>
      <c r="E739" t="s">
        <v>516</v>
      </c>
      <c r="F739" t="s">
        <v>517</v>
      </c>
      <c r="G739" t="s">
        <v>963</v>
      </c>
      <c r="H739">
        <v>162</v>
      </c>
      <c r="I739">
        <v>0.18909300000000001</v>
      </c>
      <c r="J739">
        <v>0.75474699999999995</v>
      </c>
      <c r="K739">
        <v>0.56565399999999999</v>
      </c>
      <c r="L739">
        <v>151</v>
      </c>
      <c r="M739">
        <v>2</v>
      </c>
      <c r="N739">
        <v>9</v>
      </c>
      <c r="O739">
        <v>0.80902399999999997</v>
      </c>
      <c r="P739">
        <v>0.48318499999999998</v>
      </c>
      <c r="Q739">
        <v>0.24907399999999999</v>
      </c>
    </row>
    <row r="740" spans="1:17" x14ac:dyDescent="0.25">
      <c r="A740" t="str">
        <f>IF(C740&amp;G740&amp;D740&lt;&gt;'Funnel setup'!$K$3&amp;'Funnel setup'!$K$4&amp;'Funnel setup'!$K$6,".",IF(A739=".",1,A739+1))</f>
        <v>.</v>
      </c>
      <c r="B740" s="244" t="str">
        <f t="shared" si="11"/>
        <v>Hip Replacement PrimaryProviderSOUTH TYNESIDE AND SUNDERLAND NHS FOUNDATION TRUST (R0B)EQ-5D Index</v>
      </c>
      <c r="C740" t="s">
        <v>749</v>
      </c>
      <c r="D740" t="s">
        <v>965</v>
      </c>
      <c r="E740" t="s">
        <v>518</v>
      </c>
      <c r="F740" t="s">
        <v>519</v>
      </c>
      <c r="G740" t="s">
        <v>963</v>
      </c>
      <c r="H740">
        <v>22</v>
      </c>
      <c r="I740">
        <v>9.5681799999999997E-2</v>
      </c>
      <c r="J740">
        <v>0.53304499999999999</v>
      </c>
      <c r="K740">
        <v>0.43736399999999998</v>
      </c>
      <c r="L740">
        <v>17</v>
      </c>
      <c r="M740">
        <v>1</v>
      </c>
      <c r="N740">
        <v>4</v>
      </c>
      <c r="O740" t="s">
        <v>127</v>
      </c>
      <c r="P740" t="s">
        <v>127</v>
      </c>
      <c r="Q740" t="s">
        <v>127</v>
      </c>
    </row>
    <row r="741" spans="1:17" x14ac:dyDescent="0.25">
      <c r="A741" t="str">
        <f>IF(C741&amp;G741&amp;D741&lt;&gt;'Funnel setup'!$K$3&amp;'Funnel setup'!$K$4&amp;'Funnel setup'!$K$6,".",IF(A740=".",1,A740+1))</f>
        <v>.</v>
      </c>
      <c r="B741" s="244" t="str">
        <f t="shared" si="11"/>
        <v>Hip Replacement PrimaryProviderSOUTH WARWICKSHIRE UNIVERSITY NHS FOUNDATION TRUST (RJC)EQ-5D Index</v>
      </c>
      <c r="C741" t="s">
        <v>749</v>
      </c>
      <c r="D741" t="s">
        <v>965</v>
      </c>
      <c r="E741" t="s">
        <v>520</v>
      </c>
      <c r="F741" t="s">
        <v>521</v>
      </c>
      <c r="G741" t="s">
        <v>963</v>
      </c>
      <c r="H741">
        <v>181</v>
      </c>
      <c r="I741">
        <v>0.439635</v>
      </c>
      <c r="J741">
        <v>0.83848100000000003</v>
      </c>
      <c r="K741">
        <v>0.39884500000000001</v>
      </c>
      <c r="L741">
        <v>158</v>
      </c>
      <c r="M741">
        <v>12</v>
      </c>
      <c r="N741">
        <v>11</v>
      </c>
      <c r="O741">
        <v>0.79617800000000005</v>
      </c>
      <c r="P741">
        <v>0.47033999999999998</v>
      </c>
      <c r="Q741">
        <v>0.21604100000000001</v>
      </c>
    </row>
    <row r="742" spans="1:17" x14ac:dyDescent="0.25">
      <c r="A742" t="str">
        <f>IF(C742&amp;G742&amp;D742&lt;&gt;'Funnel setup'!$K$3&amp;'Funnel setup'!$K$4&amp;'Funnel setup'!$K$6,".",IF(A741=".",1,A741+1))</f>
        <v>.</v>
      </c>
      <c r="B742" s="244" t="str">
        <f t="shared" si="11"/>
        <v>Hip Replacement PrimaryProviderSOUTHPORT AND ORMSKIRK HOSPITAL NHS TRUST (RVY)EQ-5D Index</v>
      </c>
      <c r="C742" t="s">
        <v>749</v>
      </c>
      <c r="D742" t="s">
        <v>965</v>
      </c>
      <c r="E742" t="s">
        <v>522</v>
      </c>
      <c r="F742" t="s">
        <v>523</v>
      </c>
      <c r="G742" t="s">
        <v>963</v>
      </c>
      <c r="H742">
        <v>10</v>
      </c>
      <c r="I742">
        <v>0.30359999999999998</v>
      </c>
      <c r="J742">
        <v>0.83550000000000002</v>
      </c>
      <c r="K742">
        <v>0.53190000000000004</v>
      </c>
      <c r="L742">
        <v>10</v>
      </c>
      <c r="M742">
        <v>0</v>
      </c>
      <c r="N742">
        <v>0</v>
      </c>
      <c r="O742" t="s">
        <v>127</v>
      </c>
      <c r="P742" t="s">
        <v>127</v>
      </c>
      <c r="Q742" t="s">
        <v>127</v>
      </c>
    </row>
    <row r="743" spans="1:17" x14ac:dyDescent="0.25">
      <c r="A743" t="str">
        <f>IF(C743&amp;G743&amp;D743&lt;&gt;'Funnel setup'!$K$3&amp;'Funnel setup'!$K$4&amp;'Funnel setup'!$K$6,".",IF(A742=".",1,A742+1))</f>
        <v>.</v>
      </c>
      <c r="B743" s="244" t="str">
        <f t="shared" si="11"/>
        <v>Hip Replacement PrimaryProviderSPENCER PRIVATE HOSPITALS - MARGATE (NN801)EQ-5D Index</v>
      </c>
      <c r="C743" t="s">
        <v>749</v>
      </c>
      <c r="D743" t="s">
        <v>965</v>
      </c>
      <c r="E743" t="s">
        <v>526</v>
      </c>
      <c r="F743" t="s">
        <v>527</v>
      </c>
      <c r="G743" t="s">
        <v>963</v>
      </c>
      <c r="H743">
        <v>18</v>
      </c>
      <c r="I743">
        <v>0.28177799999999997</v>
      </c>
      <c r="J743">
        <v>0.88211099999999998</v>
      </c>
      <c r="K743">
        <v>0.60033300000000001</v>
      </c>
      <c r="L743">
        <v>17</v>
      </c>
      <c r="M743">
        <v>1</v>
      </c>
      <c r="N743">
        <v>0</v>
      </c>
      <c r="O743" t="s">
        <v>127</v>
      </c>
      <c r="P743" t="s">
        <v>127</v>
      </c>
      <c r="Q743" t="s">
        <v>127</v>
      </c>
    </row>
    <row r="744" spans="1:17" x14ac:dyDescent="0.25">
      <c r="A744" t="str">
        <f>IF(C744&amp;G744&amp;D744&lt;&gt;'Funnel setup'!$K$3&amp;'Funnel setup'!$K$4&amp;'Funnel setup'!$K$6,".",IF(A743=".",1,A743+1))</f>
        <v>.</v>
      </c>
      <c r="B744" s="244" t="str">
        <f t="shared" si="11"/>
        <v>Hip Replacement PrimaryProviderSPIRE ALEXANDRA HOSPITAL (NT312)EQ-5D Index</v>
      </c>
      <c r="C744" t="s">
        <v>749</v>
      </c>
      <c r="D744" t="s">
        <v>965</v>
      </c>
      <c r="E744" t="s">
        <v>528</v>
      </c>
      <c r="F744" t="s">
        <v>529</v>
      </c>
      <c r="G744" t="s">
        <v>963</v>
      </c>
      <c r="H744">
        <v>13</v>
      </c>
      <c r="I744">
        <v>0.27100000000000002</v>
      </c>
      <c r="J744">
        <v>0.68815400000000004</v>
      </c>
      <c r="K744">
        <v>0.41715400000000002</v>
      </c>
      <c r="L744">
        <v>11</v>
      </c>
      <c r="M744">
        <v>2</v>
      </c>
      <c r="N744">
        <v>0</v>
      </c>
      <c r="O744" t="s">
        <v>127</v>
      </c>
      <c r="P744" t="s">
        <v>127</v>
      </c>
      <c r="Q744" t="s">
        <v>127</v>
      </c>
    </row>
    <row r="745" spans="1:17" x14ac:dyDescent="0.25">
      <c r="A745" t="str">
        <f>IF(C745&amp;G745&amp;D745&lt;&gt;'Funnel setup'!$K$3&amp;'Funnel setup'!$K$4&amp;'Funnel setup'!$K$6,".",IF(A744=".",1,A744+1))</f>
        <v>.</v>
      </c>
      <c r="B745" s="244" t="str">
        <f t="shared" si="11"/>
        <v>Hip Replacement PrimaryProviderSPIRE BRISTOL HOSPITAL (NT302)EQ-5D Index</v>
      </c>
      <c r="C745" t="s">
        <v>749</v>
      </c>
      <c r="D745" t="s">
        <v>965</v>
      </c>
      <c r="E745" t="s">
        <v>530</v>
      </c>
      <c r="F745" t="s">
        <v>531</v>
      </c>
      <c r="G745" t="s">
        <v>963</v>
      </c>
      <c r="H745">
        <v>56</v>
      </c>
      <c r="I745">
        <v>0.43325000000000002</v>
      </c>
      <c r="J745">
        <v>0.80682100000000001</v>
      </c>
      <c r="K745">
        <v>0.37357099999999999</v>
      </c>
      <c r="L745">
        <v>51</v>
      </c>
      <c r="M745">
        <v>3</v>
      </c>
      <c r="N745">
        <v>2</v>
      </c>
      <c r="O745">
        <v>0.75372499999999998</v>
      </c>
      <c r="P745">
        <v>0.42788700000000002</v>
      </c>
      <c r="Q745">
        <v>0.26263999999999998</v>
      </c>
    </row>
    <row r="746" spans="1:17" x14ac:dyDescent="0.25">
      <c r="A746" t="str">
        <f>IF(C746&amp;G746&amp;D746&lt;&gt;'Funnel setup'!$K$3&amp;'Funnel setup'!$K$4&amp;'Funnel setup'!$K$6,".",IF(A745=".",1,A745+1))</f>
        <v>.</v>
      </c>
      <c r="B746" s="244" t="str">
        <f t="shared" si="11"/>
        <v>Hip Replacement PrimaryProviderSPIRE BUSHEY HOSPITAL (NT315)EQ-5D Index</v>
      </c>
      <c r="C746" t="s">
        <v>749</v>
      </c>
      <c r="D746" t="s">
        <v>965</v>
      </c>
      <c r="E746" t="s">
        <v>532</v>
      </c>
      <c r="F746" t="s">
        <v>533</v>
      </c>
      <c r="G746" t="s">
        <v>963</v>
      </c>
      <c r="H746">
        <v>1</v>
      </c>
      <c r="I746">
        <v>0.72699999999999998</v>
      </c>
      <c r="J746">
        <v>1</v>
      </c>
      <c r="K746">
        <v>0.27300000000000002</v>
      </c>
      <c r="L746">
        <v>1</v>
      </c>
      <c r="M746">
        <v>0</v>
      </c>
      <c r="N746">
        <v>0</v>
      </c>
      <c r="O746" t="s">
        <v>127</v>
      </c>
      <c r="P746" t="s">
        <v>127</v>
      </c>
      <c r="Q746" t="s">
        <v>127</v>
      </c>
    </row>
    <row r="747" spans="1:17" x14ac:dyDescent="0.25">
      <c r="A747" t="str">
        <f>IF(C747&amp;G747&amp;D747&lt;&gt;'Funnel setup'!$K$3&amp;'Funnel setup'!$K$4&amp;'Funnel setup'!$K$6,".",IF(A746=".",1,A746+1))</f>
        <v>.</v>
      </c>
      <c r="B747" s="244" t="str">
        <f t="shared" si="11"/>
        <v>Hip Replacement PrimaryProviderSPIRE CAMBRIDGE LEA HOSPITAL (NT317)EQ-5D Index</v>
      </c>
      <c r="C747" t="s">
        <v>749</v>
      </c>
      <c r="D747" t="s">
        <v>965</v>
      </c>
      <c r="E747" t="s">
        <v>534</v>
      </c>
      <c r="F747" t="s">
        <v>535</v>
      </c>
      <c r="G747" t="s">
        <v>963</v>
      </c>
      <c r="H747">
        <v>33</v>
      </c>
      <c r="I747">
        <v>0.42099999999999999</v>
      </c>
      <c r="J747">
        <v>0.84499999999999997</v>
      </c>
      <c r="K747">
        <v>0.42399999999999999</v>
      </c>
      <c r="L747">
        <v>31</v>
      </c>
      <c r="M747">
        <v>2</v>
      </c>
      <c r="N747">
        <v>0</v>
      </c>
      <c r="O747">
        <v>0.81161399999999995</v>
      </c>
      <c r="P747">
        <v>0.48577599999999999</v>
      </c>
      <c r="Q747">
        <v>0.207729</v>
      </c>
    </row>
    <row r="748" spans="1:17" x14ac:dyDescent="0.25">
      <c r="A748" t="str">
        <f>IF(C748&amp;G748&amp;D748&lt;&gt;'Funnel setup'!$K$3&amp;'Funnel setup'!$K$4&amp;'Funnel setup'!$K$6,".",IF(A747=".",1,A747+1))</f>
        <v>.</v>
      </c>
      <c r="B748" s="244" t="str">
        <f t="shared" si="11"/>
        <v>Hip Replacement PrimaryProviderSPIRE CHESHIRE HOSPITAL (NT324)EQ-5D Index</v>
      </c>
      <c r="C748" t="s">
        <v>749</v>
      </c>
      <c r="D748" t="s">
        <v>965</v>
      </c>
      <c r="E748" t="s">
        <v>536</v>
      </c>
      <c r="F748" t="s">
        <v>537</v>
      </c>
      <c r="G748" t="s">
        <v>963</v>
      </c>
      <c r="H748">
        <v>23</v>
      </c>
      <c r="I748">
        <v>0.25286999999999998</v>
      </c>
      <c r="J748">
        <v>0.73373900000000003</v>
      </c>
      <c r="K748">
        <v>0.48087000000000002</v>
      </c>
      <c r="L748">
        <v>22</v>
      </c>
      <c r="M748">
        <v>0</v>
      </c>
      <c r="N748">
        <v>1</v>
      </c>
      <c r="O748" t="s">
        <v>127</v>
      </c>
      <c r="P748" t="s">
        <v>127</v>
      </c>
      <c r="Q748" t="s">
        <v>127</v>
      </c>
    </row>
    <row r="749" spans="1:17" x14ac:dyDescent="0.25">
      <c r="A749" t="str">
        <f>IF(C749&amp;G749&amp;D749&lt;&gt;'Funnel setup'!$K$3&amp;'Funnel setup'!$K$4&amp;'Funnel setup'!$K$6,".",IF(A748=".",1,A748+1))</f>
        <v>.</v>
      </c>
      <c r="B749" s="244" t="str">
        <f t="shared" si="11"/>
        <v>Hip Replacement PrimaryProviderSPIRE CLARE PARK HOSPITAL (NT345)EQ-5D Index</v>
      </c>
      <c r="C749" t="s">
        <v>749</v>
      </c>
      <c r="D749" t="s">
        <v>965</v>
      </c>
      <c r="E749" t="s">
        <v>538</v>
      </c>
      <c r="F749" t="s">
        <v>539</v>
      </c>
      <c r="G749" t="s">
        <v>963</v>
      </c>
      <c r="H749">
        <v>13</v>
      </c>
      <c r="I749">
        <v>0.48707699999999998</v>
      </c>
      <c r="J749">
        <v>0.79192300000000004</v>
      </c>
      <c r="K749">
        <v>0.30484600000000001</v>
      </c>
      <c r="L749">
        <v>10</v>
      </c>
      <c r="M749">
        <v>3</v>
      </c>
      <c r="N749">
        <v>0</v>
      </c>
      <c r="O749" t="s">
        <v>127</v>
      </c>
      <c r="P749" t="s">
        <v>127</v>
      </c>
      <c r="Q749" t="s">
        <v>127</v>
      </c>
    </row>
    <row r="750" spans="1:17" x14ac:dyDescent="0.25">
      <c r="A750" t="str">
        <f>IF(C750&amp;G750&amp;D750&lt;&gt;'Funnel setup'!$K$3&amp;'Funnel setup'!$K$4&amp;'Funnel setup'!$K$6,".",IF(A749=".",1,A749+1))</f>
        <v>.</v>
      </c>
      <c r="B750" s="244" t="str">
        <f t="shared" si="11"/>
        <v>Hip Replacement PrimaryProviderSPIRE DUNEDIN HOSPITAL (NT344)EQ-5D Index</v>
      </c>
      <c r="C750" t="s">
        <v>749</v>
      </c>
      <c r="D750" t="s">
        <v>965</v>
      </c>
      <c r="E750" t="s">
        <v>540</v>
      </c>
      <c r="F750" t="s">
        <v>541</v>
      </c>
      <c r="G750" t="s">
        <v>963</v>
      </c>
      <c r="H750">
        <v>1</v>
      </c>
      <c r="I750">
        <v>0.62</v>
      </c>
      <c r="J750">
        <v>0.74299999999999999</v>
      </c>
      <c r="K750">
        <v>0.123</v>
      </c>
      <c r="L750">
        <v>1</v>
      </c>
      <c r="M750">
        <v>0</v>
      </c>
      <c r="N750">
        <v>0</v>
      </c>
      <c r="O750" t="s">
        <v>127</v>
      </c>
      <c r="P750" t="s">
        <v>127</v>
      </c>
      <c r="Q750" t="s">
        <v>127</v>
      </c>
    </row>
    <row r="751" spans="1:17" x14ac:dyDescent="0.25">
      <c r="A751" t="str">
        <f>IF(C751&amp;G751&amp;D751&lt;&gt;'Funnel setup'!$K$3&amp;'Funnel setup'!$K$4&amp;'Funnel setup'!$K$6,".",IF(A750=".",1,A750+1))</f>
        <v>.</v>
      </c>
      <c r="B751" s="244" t="str">
        <f t="shared" si="11"/>
        <v>Hip Replacement PrimaryProviderSPIRE ELLAND HOSPITAL (NT348)EQ-5D Index</v>
      </c>
      <c r="C751" t="s">
        <v>749</v>
      </c>
      <c r="D751" t="s">
        <v>965</v>
      </c>
      <c r="E751" t="s">
        <v>542</v>
      </c>
      <c r="F751" t="s">
        <v>543</v>
      </c>
      <c r="G751" t="s">
        <v>963</v>
      </c>
      <c r="H751">
        <v>14</v>
      </c>
      <c r="I751">
        <v>0.40607100000000002</v>
      </c>
      <c r="J751">
        <v>0.71157099999999995</v>
      </c>
      <c r="K751">
        <v>0.30549999999999999</v>
      </c>
      <c r="L751">
        <v>13</v>
      </c>
      <c r="M751">
        <v>0</v>
      </c>
      <c r="N751">
        <v>1</v>
      </c>
      <c r="O751" t="s">
        <v>127</v>
      </c>
      <c r="P751" t="s">
        <v>127</v>
      </c>
      <c r="Q751" t="s">
        <v>127</v>
      </c>
    </row>
    <row r="752" spans="1:17" x14ac:dyDescent="0.25">
      <c r="A752" t="str">
        <f>IF(C752&amp;G752&amp;D752&lt;&gt;'Funnel setup'!$K$3&amp;'Funnel setup'!$K$4&amp;'Funnel setup'!$K$6,".",IF(A751=".",1,A751+1))</f>
        <v>.</v>
      </c>
      <c r="B752" s="244" t="str">
        <f t="shared" si="11"/>
        <v>Hip Replacement PrimaryProviderSPIRE FYLDE COAST HOSPITAL (NT347)EQ-5D Index</v>
      </c>
      <c r="C752" t="s">
        <v>749</v>
      </c>
      <c r="D752" t="s">
        <v>965</v>
      </c>
      <c r="E752" t="s">
        <v>544</v>
      </c>
      <c r="F752" t="s">
        <v>545</v>
      </c>
      <c r="G752" t="s">
        <v>963</v>
      </c>
      <c r="H752">
        <v>29</v>
      </c>
      <c r="I752">
        <v>0.39658599999999999</v>
      </c>
      <c r="J752">
        <v>0.87037900000000001</v>
      </c>
      <c r="K752">
        <v>0.47379300000000002</v>
      </c>
      <c r="L752">
        <v>28</v>
      </c>
      <c r="M752">
        <v>0</v>
      </c>
      <c r="N752">
        <v>1</v>
      </c>
      <c r="O752" t="s">
        <v>127</v>
      </c>
      <c r="P752" t="s">
        <v>127</v>
      </c>
      <c r="Q752" t="s">
        <v>127</v>
      </c>
    </row>
    <row r="753" spans="1:17" x14ac:dyDescent="0.25">
      <c r="A753" t="str">
        <f>IF(C753&amp;G753&amp;D753&lt;&gt;'Funnel setup'!$K$3&amp;'Funnel setup'!$K$4&amp;'Funnel setup'!$K$6,".",IF(A752=".",1,A752+1))</f>
        <v>.</v>
      </c>
      <c r="B753" s="244" t="str">
        <f t="shared" si="11"/>
        <v>Hip Replacement PrimaryProviderSPIRE GATWICK PARK HOSPITAL (NT308)EQ-5D Index</v>
      </c>
      <c r="C753" t="s">
        <v>749</v>
      </c>
      <c r="D753" t="s">
        <v>965</v>
      </c>
      <c r="E753" t="s">
        <v>546</v>
      </c>
      <c r="F753" t="s">
        <v>547</v>
      </c>
      <c r="G753" t="s">
        <v>963</v>
      </c>
      <c r="H753">
        <v>8</v>
      </c>
      <c r="I753">
        <v>0.44324999999999998</v>
      </c>
      <c r="J753">
        <v>0.86499999999999999</v>
      </c>
      <c r="K753">
        <v>0.42175000000000001</v>
      </c>
      <c r="L753">
        <v>8</v>
      </c>
      <c r="M753">
        <v>0</v>
      </c>
      <c r="N753">
        <v>0</v>
      </c>
      <c r="O753" t="s">
        <v>127</v>
      </c>
      <c r="P753" t="s">
        <v>127</v>
      </c>
      <c r="Q753" t="s">
        <v>127</v>
      </c>
    </row>
    <row r="754" spans="1:17" x14ac:dyDescent="0.25">
      <c r="A754" t="str">
        <f>IF(C754&amp;G754&amp;D754&lt;&gt;'Funnel setup'!$K$3&amp;'Funnel setup'!$K$4&amp;'Funnel setup'!$K$6,".",IF(A753=".",1,A753+1))</f>
        <v>.</v>
      </c>
      <c r="B754" s="244" t="str">
        <f t="shared" si="11"/>
        <v>Hip Replacement PrimaryProviderSPIRE HARPENDEN HOSPITAL (NT316)EQ-5D Index</v>
      </c>
      <c r="C754" t="s">
        <v>749</v>
      </c>
      <c r="D754" t="s">
        <v>965</v>
      </c>
      <c r="E754" t="s">
        <v>548</v>
      </c>
      <c r="F754" t="s">
        <v>549</v>
      </c>
      <c r="G754" t="s">
        <v>963</v>
      </c>
      <c r="H754">
        <v>32</v>
      </c>
      <c r="I754">
        <v>0.33446900000000002</v>
      </c>
      <c r="J754">
        <v>0.73968800000000001</v>
      </c>
      <c r="K754">
        <v>0.405219</v>
      </c>
      <c r="L754">
        <v>29</v>
      </c>
      <c r="M754">
        <v>1</v>
      </c>
      <c r="N754">
        <v>2</v>
      </c>
      <c r="O754">
        <v>0.71839699999999995</v>
      </c>
      <c r="P754">
        <v>0.39255899999999999</v>
      </c>
      <c r="Q754">
        <v>0.25817000000000001</v>
      </c>
    </row>
    <row r="755" spans="1:17" x14ac:dyDescent="0.25">
      <c r="A755" t="str">
        <f>IF(C755&amp;G755&amp;D755&lt;&gt;'Funnel setup'!$K$3&amp;'Funnel setup'!$K$4&amp;'Funnel setup'!$K$6,".",IF(A754=".",1,A754+1))</f>
        <v>.</v>
      </c>
      <c r="B755" s="244" t="str">
        <f t="shared" si="11"/>
        <v>Hip Replacement PrimaryProviderSPIRE HARTSWOOD HOSPITAL (NT319)EQ-5D Index</v>
      </c>
      <c r="C755" t="s">
        <v>749</v>
      </c>
      <c r="D755" t="s">
        <v>965</v>
      </c>
      <c r="E755" t="s">
        <v>550</v>
      </c>
      <c r="F755" t="s">
        <v>551</v>
      </c>
      <c r="G755" t="s">
        <v>963</v>
      </c>
      <c r="H755">
        <v>12</v>
      </c>
      <c r="I755">
        <v>0.32066699999999998</v>
      </c>
      <c r="J755">
        <v>0.82958299999999996</v>
      </c>
      <c r="K755">
        <v>0.50891699999999995</v>
      </c>
      <c r="L755">
        <v>12</v>
      </c>
      <c r="M755">
        <v>0</v>
      </c>
      <c r="N755">
        <v>0</v>
      </c>
      <c r="O755" t="s">
        <v>127</v>
      </c>
      <c r="P755" t="s">
        <v>127</v>
      </c>
      <c r="Q755" t="s">
        <v>127</v>
      </c>
    </row>
    <row r="756" spans="1:17" x14ac:dyDescent="0.25">
      <c r="A756" t="str">
        <f>IF(C756&amp;G756&amp;D756&lt;&gt;'Funnel setup'!$K$3&amp;'Funnel setup'!$K$4&amp;'Funnel setup'!$K$6,".",IF(A755=".",1,A755+1))</f>
        <v>.</v>
      </c>
      <c r="B756" s="244" t="str">
        <f t="shared" si="11"/>
        <v>Hip Replacement PrimaryProviderSPIRE HULL AND EAST RIDING HOSPITAL (NT351)EQ-5D Index</v>
      </c>
      <c r="C756" t="s">
        <v>749</v>
      </c>
      <c r="D756" t="s">
        <v>965</v>
      </c>
      <c r="E756" t="s">
        <v>554</v>
      </c>
      <c r="F756" t="s">
        <v>555</v>
      </c>
      <c r="G756" t="s">
        <v>963</v>
      </c>
      <c r="H756">
        <v>37</v>
      </c>
      <c r="I756">
        <v>0.304811</v>
      </c>
      <c r="J756">
        <v>0.77689200000000003</v>
      </c>
      <c r="K756">
        <v>0.47208099999999997</v>
      </c>
      <c r="L756">
        <v>35</v>
      </c>
      <c r="M756">
        <v>0</v>
      </c>
      <c r="N756">
        <v>2</v>
      </c>
      <c r="O756">
        <v>0.78624799999999995</v>
      </c>
      <c r="P756">
        <v>0.46040900000000001</v>
      </c>
      <c r="Q756">
        <v>0.24241799999999999</v>
      </c>
    </row>
    <row r="757" spans="1:17" x14ac:dyDescent="0.25">
      <c r="A757" t="str">
        <f>IF(C757&amp;G757&amp;D757&lt;&gt;'Funnel setup'!$K$3&amp;'Funnel setup'!$K$4&amp;'Funnel setup'!$K$6,".",IF(A756=".",1,A756+1))</f>
        <v>.</v>
      </c>
      <c r="B757" s="244" t="str">
        <f t="shared" si="11"/>
        <v>Hip Replacement PrimaryProviderSPIRE LEEDS HOSPITAL (NT332)EQ-5D Index</v>
      </c>
      <c r="C757" t="s">
        <v>749</v>
      </c>
      <c r="D757" t="s">
        <v>965</v>
      </c>
      <c r="E757" t="s">
        <v>556</v>
      </c>
      <c r="F757" t="s">
        <v>557</v>
      </c>
      <c r="G757" t="s">
        <v>963</v>
      </c>
      <c r="H757">
        <v>14</v>
      </c>
      <c r="I757">
        <v>0.27400000000000002</v>
      </c>
      <c r="J757">
        <v>0.85221400000000003</v>
      </c>
      <c r="K757">
        <v>0.57821400000000001</v>
      </c>
      <c r="L757">
        <v>14</v>
      </c>
      <c r="M757">
        <v>0</v>
      </c>
      <c r="N757">
        <v>0</v>
      </c>
      <c r="O757" t="s">
        <v>127</v>
      </c>
      <c r="P757" t="s">
        <v>127</v>
      </c>
      <c r="Q757" t="s">
        <v>127</v>
      </c>
    </row>
    <row r="758" spans="1:17" x14ac:dyDescent="0.25">
      <c r="A758" t="str">
        <f>IF(C758&amp;G758&amp;D758&lt;&gt;'Funnel setup'!$K$3&amp;'Funnel setup'!$K$4&amp;'Funnel setup'!$K$6,".",IF(A757=".",1,A757+1))</f>
        <v>.</v>
      </c>
      <c r="B758" s="244" t="str">
        <f t="shared" si="11"/>
        <v>Hip Replacement PrimaryProviderSPIRE LEICESTER HOSPITAL (NT322)EQ-5D Index</v>
      </c>
      <c r="C758" t="s">
        <v>749</v>
      </c>
      <c r="D758" t="s">
        <v>965</v>
      </c>
      <c r="E758" t="s">
        <v>558</v>
      </c>
      <c r="F758" t="s">
        <v>559</v>
      </c>
      <c r="G758" t="s">
        <v>963</v>
      </c>
      <c r="H758">
        <v>32</v>
      </c>
      <c r="I758">
        <v>0.41049999999999998</v>
      </c>
      <c r="J758">
        <v>0.77393699999999999</v>
      </c>
      <c r="K758">
        <v>0.36343700000000001</v>
      </c>
      <c r="L758">
        <v>28</v>
      </c>
      <c r="M758">
        <v>2</v>
      </c>
      <c r="N758">
        <v>2</v>
      </c>
      <c r="O758">
        <v>0.76233700000000004</v>
      </c>
      <c r="P758">
        <v>0.43649900000000003</v>
      </c>
      <c r="Q758">
        <v>0.25741799999999998</v>
      </c>
    </row>
    <row r="759" spans="1:17" x14ac:dyDescent="0.25">
      <c r="A759" t="str">
        <f>IF(C759&amp;G759&amp;D759&lt;&gt;'Funnel setup'!$K$3&amp;'Funnel setup'!$K$4&amp;'Funnel setup'!$K$6,".",IF(A758=".",1,A758+1))</f>
        <v>.</v>
      </c>
      <c r="B759" s="244" t="str">
        <f t="shared" si="11"/>
        <v>Hip Replacement PrimaryProviderSPIRE LITTLE ASTON HOSPITAL (NT321)EQ-5D Index</v>
      </c>
      <c r="C759" t="s">
        <v>749</v>
      </c>
      <c r="D759" t="s">
        <v>965</v>
      </c>
      <c r="E759" t="s">
        <v>560</v>
      </c>
      <c r="F759" t="s">
        <v>561</v>
      </c>
      <c r="G759" t="s">
        <v>963</v>
      </c>
      <c r="H759">
        <v>30</v>
      </c>
      <c r="I759">
        <v>0.39279999999999998</v>
      </c>
      <c r="J759">
        <v>0.72819999999999996</v>
      </c>
      <c r="K759">
        <v>0.33539999999999998</v>
      </c>
      <c r="L759">
        <v>27</v>
      </c>
      <c r="M759">
        <v>2</v>
      </c>
      <c r="N759">
        <v>1</v>
      </c>
      <c r="O759">
        <v>0.69842800000000005</v>
      </c>
      <c r="P759">
        <v>0.37258999999999998</v>
      </c>
      <c r="Q759">
        <v>0.222743</v>
      </c>
    </row>
    <row r="760" spans="1:17" x14ac:dyDescent="0.25">
      <c r="A760" t="str">
        <f>IF(C760&amp;G760&amp;D760&lt;&gt;'Funnel setup'!$K$3&amp;'Funnel setup'!$K$4&amp;'Funnel setup'!$K$6,".",IF(A759=".",1,A759+1))</f>
        <v>.</v>
      </c>
      <c r="B760" s="244" t="str">
        <f t="shared" si="11"/>
        <v>Hip Replacement PrimaryProviderSPIRE LIVERPOOL HOSPITAL (NT337)EQ-5D Index</v>
      </c>
      <c r="C760" t="s">
        <v>749</v>
      </c>
      <c r="D760" t="s">
        <v>965</v>
      </c>
      <c r="E760" t="s">
        <v>562</v>
      </c>
      <c r="F760" t="s">
        <v>563</v>
      </c>
      <c r="G760" t="s">
        <v>963</v>
      </c>
      <c r="H760">
        <v>9</v>
      </c>
      <c r="I760">
        <v>0.13611100000000001</v>
      </c>
      <c r="J760">
        <v>0.75111099999999997</v>
      </c>
      <c r="K760">
        <v>0.61499999999999999</v>
      </c>
      <c r="L760">
        <v>9</v>
      </c>
      <c r="M760">
        <v>0</v>
      </c>
      <c r="N760">
        <v>0</v>
      </c>
      <c r="O760" t="s">
        <v>127</v>
      </c>
      <c r="P760" t="s">
        <v>127</v>
      </c>
      <c r="Q760" t="s">
        <v>127</v>
      </c>
    </row>
    <row r="761" spans="1:17" x14ac:dyDescent="0.25">
      <c r="A761" t="str">
        <f>IF(C761&amp;G761&amp;D761&lt;&gt;'Funnel setup'!$K$3&amp;'Funnel setup'!$K$4&amp;'Funnel setup'!$K$6,".",IF(A760=".",1,A760+1))</f>
        <v>.</v>
      </c>
      <c r="B761" s="244" t="str">
        <f t="shared" si="11"/>
        <v>Hip Replacement PrimaryProviderSPIRE MANCHESTER HOSPITAL (NT327)EQ-5D Index</v>
      </c>
      <c r="C761" t="s">
        <v>749</v>
      </c>
      <c r="D761" t="s">
        <v>965</v>
      </c>
      <c r="E761" t="s">
        <v>566</v>
      </c>
      <c r="F761" t="s">
        <v>567</v>
      </c>
      <c r="G761" t="s">
        <v>963</v>
      </c>
      <c r="H761">
        <v>31</v>
      </c>
      <c r="I761">
        <v>0.43412899999999999</v>
      </c>
      <c r="J761">
        <v>0.80900000000000005</v>
      </c>
      <c r="K761">
        <v>0.37487100000000001</v>
      </c>
      <c r="L761">
        <v>27</v>
      </c>
      <c r="M761">
        <v>1</v>
      </c>
      <c r="N761">
        <v>3</v>
      </c>
      <c r="O761">
        <v>0.75409499999999996</v>
      </c>
      <c r="P761">
        <v>0.42825600000000003</v>
      </c>
      <c r="Q761">
        <v>0.17365800000000001</v>
      </c>
    </row>
    <row r="762" spans="1:17" x14ac:dyDescent="0.25">
      <c r="A762" t="str">
        <f>IF(C762&amp;G762&amp;D762&lt;&gt;'Funnel setup'!$K$3&amp;'Funnel setup'!$K$4&amp;'Funnel setup'!$K$6,".",IF(A761=".",1,A761+1))</f>
        <v>.</v>
      </c>
      <c r="B762" s="244" t="str">
        <f t="shared" si="11"/>
        <v>Hip Replacement PrimaryProviderSPIRE METHLEY PARK HOSPITAL (NT350)EQ-5D Index</v>
      </c>
      <c r="C762" t="s">
        <v>749</v>
      </c>
      <c r="D762" t="s">
        <v>965</v>
      </c>
      <c r="E762" t="s">
        <v>568</v>
      </c>
      <c r="F762" t="s">
        <v>569</v>
      </c>
      <c r="G762" t="s">
        <v>963</v>
      </c>
      <c r="H762">
        <v>28</v>
      </c>
      <c r="I762">
        <v>0.280607</v>
      </c>
      <c r="J762">
        <v>0.75289300000000003</v>
      </c>
      <c r="K762">
        <v>0.47228599999999998</v>
      </c>
      <c r="L762">
        <v>25</v>
      </c>
      <c r="M762">
        <v>2</v>
      </c>
      <c r="N762">
        <v>1</v>
      </c>
      <c r="O762" t="s">
        <v>127</v>
      </c>
      <c r="P762" t="s">
        <v>127</v>
      </c>
      <c r="Q762" t="s">
        <v>127</v>
      </c>
    </row>
    <row r="763" spans="1:17" x14ac:dyDescent="0.25">
      <c r="A763" t="str">
        <f>IF(C763&amp;G763&amp;D763&lt;&gt;'Funnel setup'!$K$3&amp;'Funnel setup'!$K$4&amp;'Funnel setup'!$K$6,".",IF(A762=".",1,A762+1))</f>
        <v>.</v>
      </c>
      <c r="B763" s="244" t="str">
        <f t="shared" si="11"/>
        <v>Hip Replacement PrimaryProviderSPIRE MONTEFIORE HOSPITAL (NT364)EQ-5D Index</v>
      </c>
      <c r="C763" t="s">
        <v>749</v>
      </c>
      <c r="D763" t="s">
        <v>965</v>
      </c>
      <c r="E763" t="s">
        <v>570</v>
      </c>
      <c r="F763" t="s">
        <v>571</v>
      </c>
      <c r="G763" t="s">
        <v>963</v>
      </c>
      <c r="H763">
        <v>3</v>
      </c>
      <c r="I763">
        <v>0.30099999999999999</v>
      </c>
      <c r="J763">
        <v>0.89866699999999999</v>
      </c>
      <c r="K763">
        <v>0.59766699999999995</v>
      </c>
      <c r="L763">
        <v>3</v>
      </c>
      <c r="M763">
        <v>0</v>
      </c>
      <c r="N763">
        <v>0</v>
      </c>
      <c r="O763" t="s">
        <v>127</v>
      </c>
      <c r="P763" t="s">
        <v>127</v>
      </c>
      <c r="Q763" t="s">
        <v>127</v>
      </c>
    </row>
    <row r="764" spans="1:17" x14ac:dyDescent="0.25">
      <c r="A764" t="str">
        <f>IF(C764&amp;G764&amp;D764&lt;&gt;'Funnel setup'!$K$3&amp;'Funnel setup'!$K$4&amp;'Funnel setup'!$K$6,".",IF(A763=".",1,A763+1))</f>
        <v>.</v>
      </c>
      <c r="B764" s="244" t="str">
        <f t="shared" si="11"/>
        <v>Hip Replacement PrimaryProviderSPIRE MURRAYFIELD HOSPITAL (NT325)EQ-5D Index</v>
      </c>
      <c r="C764" t="s">
        <v>749</v>
      </c>
      <c r="D764" t="s">
        <v>965</v>
      </c>
      <c r="E764" t="s">
        <v>572</v>
      </c>
      <c r="F764" t="s">
        <v>573</v>
      </c>
      <c r="G764" t="s">
        <v>963</v>
      </c>
      <c r="H764">
        <v>5</v>
      </c>
      <c r="I764">
        <v>0.55640000000000001</v>
      </c>
      <c r="J764">
        <v>0.88380000000000003</v>
      </c>
      <c r="K764">
        <v>0.32740000000000002</v>
      </c>
      <c r="L764">
        <v>4</v>
      </c>
      <c r="M764">
        <v>0</v>
      </c>
      <c r="N764">
        <v>1</v>
      </c>
      <c r="O764" t="s">
        <v>127</v>
      </c>
      <c r="P764" t="s">
        <v>127</v>
      </c>
      <c r="Q764" t="s">
        <v>127</v>
      </c>
    </row>
    <row r="765" spans="1:17" x14ac:dyDescent="0.25">
      <c r="A765" t="str">
        <f>IF(C765&amp;G765&amp;D765&lt;&gt;'Funnel setup'!$K$3&amp;'Funnel setup'!$K$4&amp;'Funnel setup'!$K$6,".",IF(A764=".",1,A764+1))</f>
        <v>.</v>
      </c>
      <c r="B765" s="244" t="str">
        <f t="shared" si="11"/>
        <v>Hip Replacement PrimaryProviderSPIRE NOTTINGHAM HOSPITAL (NT30A)EQ-5D Index</v>
      </c>
      <c r="C765" t="s">
        <v>749</v>
      </c>
      <c r="D765" t="s">
        <v>965</v>
      </c>
      <c r="E765" t="s">
        <v>576</v>
      </c>
      <c r="F765" t="s">
        <v>577</v>
      </c>
      <c r="G765" t="s">
        <v>963</v>
      </c>
      <c r="H765">
        <v>1</v>
      </c>
      <c r="I765">
        <v>-1.6E-2</v>
      </c>
      <c r="J765">
        <v>0.69099999999999995</v>
      </c>
      <c r="K765">
        <v>0.70699999999999996</v>
      </c>
      <c r="L765">
        <v>1</v>
      </c>
      <c r="M765">
        <v>0</v>
      </c>
      <c r="N765">
        <v>0</v>
      </c>
      <c r="O765" t="s">
        <v>127</v>
      </c>
      <c r="P765" t="s">
        <v>127</v>
      </c>
      <c r="Q765" t="s">
        <v>127</v>
      </c>
    </row>
    <row r="766" spans="1:17" x14ac:dyDescent="0.25">
      <c r="A766" t="str">
        <f>IF(C766&amp;G766&amp;D766&lt;&gt;'Funnel setup'!$K$3&amp;'Funnel setup'!$K$4&amp;'Funnel setup'!$K$6,".",IF(A765=".",1,A765+1))</f>
        <v>.</v>
      </c>
      <c r="B766" s="244" t="str">
        <f t="shared" si="11"/>
        <v>Hip Replacement PrimaryProviderSPIRE PARKWAY HOSPITAL (NT320)EQ-5D Index</v>
      </c>
      <c r="C766" t="s">
        <v>749</v>
      </c>
      <c r="D766" t="s">
        <v>965</v>
      </c>
      <c r="E766" t="s">
        <v>578</v>
      </c>
      <c r="F766" t="s">
        <v>579</v>
      </c>
      <c r="G766" t="s">
        <v>963</v>
      </c>
      <c r="H766">
        <v>19</v>
      </c>
      <c r="I766">
        <v>0.34778900000000001</v>
      </c>
      <c r="J766">
        <v>0.69052599999999997</v>
      </c>
      <c r="K766">
        <v>0.34273700000000001</v>
      </c>
      <c r="L766">
        <v>17</v>
      </c>
      <c r="M766">
        <v>1</v>
      </c>
      <c r="N766">
        <v>1</v>
      </c>
      <c r="O766" t="s">
        <v>127</v>
      </c>
      <c r="P766" t="s">
        <v>127</v>
      </c>
      <c r="Q766" t="s">
        <v>127</v>
      </c>
    </row>
    <row r="767" spans="1:17" x14ac:dyDescent="0.25">
      <c r="A767" t="str">
        <f>IF(C767&amp;G767&amp;D767&lt;&gt;'Funnel setup'!$K$3&amp;'Funnel setup'!$K$4&amp;'Funnel setup'!$K$6,".",IF(A766=".",1,A766+1))</f>
        <v>.</v>
      </c>
      <c r="B767" s="244" t="str">
        <f t="shared" si="11"/>
        <v>Hip Replacement PrimaryProviderSPIRE PORTSMOUTH HOSPITAL (NT305)EQ-5D Index</v>
      </c>
      <c r="C767" t="s">
        <v>749</v>
      </c>
      <c r="D767" t="s">
        <v>965</v>
      </c>
      <c r="E767" t="s">
        <v>580</v>
      </c>
      <c r="F767" t="s">
        <v>581</v>
      </c>
      <c r="G767" t="s">
        <v>963</v>
      </c>
      <c r="H767">
        <v>12</v>
      </c>
      <c r="I767">
        <v>0.310083</v>
      </c>
      <c r="J767">
        <v>0.68700000000000006</v>
      </c>
      <c r="K767">
        <v>0.376917</v>
      </c>
      <c r="L767">
        <v>11</v>
      </c>
      <c r="M767">
        <v>1</v>
      </c>
      <c r="N767">
        <v>0</v>
      </c>
      <c r="O767" t="s">
        <v>127</v>
      </c>
      <c r="P767" t="s">
        <v>127</v>
      </c>
      <c r="Q767" t="s">
        <v>127</v>
      </c>
    </row>
    <row r="768" spans="1:17" x14ac:dyDescent="0.25">
      <c r="A768" t="str">
        <f>IF(C768&amp;G768&amp;D768&lt;&gt;'Funnel setup'!$K$3&amp;'Funnel setup'!$K$4&amp;'Funnel setup'!$K$6,".",IF(A767=".",1,A767+1))</f>
        <v>.</v>
      </c>
      <c r="B768" s="244" t="str">
        <f t="shared" si="11"/>
        <v>Hip Replacement PrimaryProviderSPIRE REGENCY HOSPITAL (NT339)EQ-5D Index</v>
      </c>
      <c r="C768" t="s">
        <v>749</v>
      </c>
      <c r="D768" t="s">
        <v>965</v>
      </c>
      <c r="E768" t="s">
        <v>582</v>
      </c>
      <c r="F768" t="s">
        <v>583</v>
      </c>
      <c r="G768" t="s">
        <v>963</v>
      </c>
      <c r="H768">
        <v>32</v>
      </c>
      <c r="I768">
        <v>0.45678099999999999</v>
      </c>
      <c r="J768">
        <v>0.79015599999999997</v>
      </c>
      <c r="K768">
        <v>0.33337499999999998</v>
      </c>
      <c r="L768">
        <v>30</v>
      </c>
      <c r="M768">
        <v>0</v>
      </c>
      <c r="N768">
        <v>2</v>
      </c>
      <c r="O768">
        <v>0.74837699999999996</v>
      </c>
      <c r="P768">
        <v>0.422539</v>
      </c>
      <c r="Q768">
        <v>0.174848</v>
      </c>
    </row>
    <row r="769" spans="1:17" x14ac:dyDescent="0.25">
      <c r="A769" t="str">
        <f>IF(C769&amp;G769&amp;D769&lt;&gt;'Funnel setup'!$K$3&amp;'Funnel setup'!$K$4&amp;'Funnel setup'!$K$6,".",IF(A768=".",1,A768+1))</f>
        <v>.</v>
      </c>
      <c r="B769" s="244" t="str">
        <f t="shared" si="11"/>
        <v>Hip Replacement PrimaryProviderSPIRE SOUTHAMPTON HOSPITAL (NT304)EQ-5D Index</v>
      </c>
      <c r="C769" t="s">
        <v>749</v>
      </c>
      <c r="D769" t="s">
        <v>965</v>
      </c>
      <c r="E769" t="s">
        <v>586</v>
      </c>
      <c r="F769" t="s">
        <v>587</v>
      </c>
      <c r="G769" t="s">
        <v>963</v>
      </c>
      <c r="H769">
        <v>44</v>
      </c>
      <c r="I769">
        <v>0.49784099999999998</v>
      </c>
      <c r="J769">
        <v>0.82313599999999998</v>
      </c>
      <c r="K769">
        <v>0.325295</v>
      </c>
      <c r="L769">
        <v>34</v>
      </c>
      <c r="M769">
        <v>8</v>
      </c>
      <c r="N769">
        <v>2</v>
      </c>
      <c r="O769">
        <v>0.75107299999999999</v>
      </c>
      <c r="P769">
        <v>0.42523499999999997</v>
      </c>
      <c r="Q769">
        <v>0.195912</v>
      </c>
    </row>
    <row r="770" spans="1:17" x14ac:dyDescent="0.25">
      <c r="A770" t="str">
        <f>IF(C770&amp;G770&amp;D770&lt;&gt;'Funnel setup'!$K$3&amp;'Funnel setup'!$K$4&amp;'Funnel setup'!$K$6,".",IF(A769=".",1,A769+1))</f>
        <v>.</v>
      </c>
      <c r="B770" s="244" t="str">
        <f t="shared" ref="B770:B833" si="12">C770&amp;D770&amp;F770&amp;G770</f>
        <v>Hip Replacement PrimaryProviderSPIRE ST ANTHONY'S HOSPITAL (NT3X3)EQ-5D Index</v>
      </c>
      <c r="C770" t="s">
        <v>749</v>
      </c>
      <c r="D770" t="s">
        <v>965</v>
      </c>
      <c r="E770" t="s">
        <v>588</v>
      </c>
      <c r="F770" t="s">
        <v>589</v>
      </c>
      <c r="G770" t="s">
        <v>963</v>
      </c>
      <c r="H770">
        <v>3</v>
      </c>
      <c r="I770">
        <v>0.21299999999999999</v>
      </c>
      <c r="J770">
        <v>0.82899999999999996</v>
      </c>
      <c r="K770">
        <v>0.61599999999999999</v>
      </c>
      <c r="L770">
        <v>3</v>
      </c>
      <c r="M770">
        <v>0</v>
      </c>
      <c r="N770">
        <v>0</v>
      </c>
      <c r="O770" t="s">
        <v>127</v>
      </c>
      <c r="P770" t="s">
        <v>127</v>
      </c>
      <c r="Q770" t="s">
        <v>127</v>
      </c>
    </row>
    <row r="771" spans="1:17" x14ac:dyDescent="0.25">
      <c r="A771" t="str">
        <f>IF(C771&amp;G771&amp;D771&lt;&gt;'Funnel setup'!$K$3&amp;'Funnel setup'!$K$4&amp;'Funnel setup'!$K$6,".",IF(A770=".",1,A770+1))</f>
        <v>.</v>
      </c>
      <c r="B771" s="244" t="str">
        <f t="shared" si="12"/>
        <v>Hip Replacement PrimaryProviderSPIRE SUSSEX HOSPITAL (NT309)EQ-5D Index</v>
      </c>
      <c r="C771" t="s">
        <v>749</v>
      </c>
      <c r="D771" t="s">
        <v>965</v>
      </c>
      <c r="E771" t="s">
        <v>590</v>
      </c>
      <c r="F771" t="s">
        <v>591</v>
      </c>
      <c r="G771" t="s">
        <v>963</v>
      </c>
      <c r="H771">
        <v>7</v>
      </c>
      <c r="I771">
        <v>0.50557099999999999</v>
      </c>
      <c r="J771">
        <v>0.87542900000000001</v>
      </c>
      <c r="K771">
        <v>0.36985699999999999</v>
      </c>
      <c r="L771">
        <v>6</v>
      </c>
      <c r="M771">
        <v>0</v>
      </c>
      <c r="N771">
        <v>1</v>
      </c>
      <c r="O771" t="s">
        <v>127</v>
      </c>
      <c r="P771" t="s">
        <v>127</v>
      </c>
      <c r="Q771" t="s">
        <v>127</v>
      </c>
    </row>
    <row r="772" spans="1:17" x14ac:dyDescent="0.25">
      <c r="A772" t="str">
        <f>IF(C772&amp;G772&amp;D772&lt;&gt;'Funnel setup'!$K$3&amp;'Funnel setup'!$K$4&amp;'Funnel setup'!$K$6,".",IF(A771=".",1,A771+1))</f>
        <v>.</v>
      </c>
      <c r="B772" s="244" t="str">
        <f t="shared" si="12"/>
        <v>Hip Replacement PrimaryProviderSPIRE THAMES VALLEY HOSPITAL (NT343)EQ-5D Index</v>
      </c>
      <c r="C772" t="s">
        <v>749</v>
      </c>
      <c r="D772" t="s">
        <v>965</v>
      </c>
      <c r="E772" t="s">
        <v>592</v>
      </c>
      <c r="F772" t="s">
        <v>593</v>
      </c>
      <c r="G772" t="s">
        <v>963</v>
      </c>
      <c r="H772">
        <v>7</v>
      </c>
      <c r="I772">
        <v>0.60771399999999998</v>
      </c>
      <c r="J772">
        <v>0.70814299999999997</v>
      </c>
      <c r="K772">
        <v>0.100429</v>
      </c>
      <c r="L772">
        <v>6</v>
      </c>
      <c r="M772">
        <v>0</v>
      </c>
      <c r="N772">
        <v>1</v>
      </c>
      <c r="O772" t="s">
        <v>127</v>
      </c>
      <c r="P772" t="s">
        <v>127</v>
      </c>
      <c r="Q772" t="s">
        <v>127</v>
      </c>
    </row>
    <row r="773" spans="1:17" x14ac:dyDescent="0.25">
      <c r="A773" t="str">
        <f>IF(C773&amp;G773&amp;D773&lt;&gt;'Funnel setup'!$K$3&amp;'Funnel setup'!$K$4&amp;'Funnel setup'!$K$6,".",IF(A772=".",1,A772+1))</f>
        <v>.</v>
      </c>
      <c r="B773" s="244" t="str">
        <f t="shared" si="12"/>
        <v>Hip Replacement PrimaryProviderSPIRE TUNBRIDGE WELLS HOSPITAL (NT310)EQ-5D Index</v>
      </c>
      <c r="C773" t="s">
        <v>749</v>
      </c>
      <c r="D773" t="s">
        <v>965</v>
      </c>
      <c r="E773" t="s">
        <v>594</v>
      </c>
      <c r="F773" t="s">
        <v>595</v>
      </c>
      <c r="G773" t="s">
        <v>963</v>
      </c>
      <c r="H773">
        <v>7</v>
      </c>
      <c r="I773">
        <v>0.13328599999999999</v>
      </c>
      <c r="J773">
        <v>0.65528600000000004</v>
      </c>
      <c r="K773">
        <v>0.52200000000000002</v>
      </c>
      <c r="L773">
        <v>6</v>
      </c>
      <c r="M773">
        <v>0</v>
      </c>
      <c r="N773">
        <v>1</v>
      </c>
      <c r="O773" t="s">
        <v>127</v>
      </c>
      <c r="P773" t="s">
        <v>127</v>
      </c>
      <c r="Q773" t="s">
        <v>127</v>
      </c>
    </row>
    <row r="774" spans="1:17" x14ac:dyDescent="0.25">
      <c r="A774" t="str">
        <f>IF(C774&amp;G774&amp;D774&lt;&gt;'Funnel setup'!$K$3&amp;'Funnel setup'!$K$4&amp;'Funnel setup'!$K$6,".",IF(A773=".",1,A773+1))</f>
        <v>.</v>
      </c>
      <c r="B774" s="244" t="str">
        <f t="shared" si="12"/>
        <v>Hip Replacement PrimaryProviderSPIRE WASHINGTON HOSPITAL (NT333)EQ-5D Index</v>
      </c>
      <c r="C774" t="s">
        <v>749</v>
      </c>
      <c r="D774" t="s">
        <v>965</v>
      </c>
      <c r="E774" t="s">
        <v>596</v>
      </c>
      <c r="F774" t="s">
        <v>597</v>
      </c>
      <c r="G774" t="s">
        <v>963</v>
      </c>
      <c r="H774">
        <v>64</v>
      </c>
      <c r="I774">
        <v>0.32942199999999999</v>
      </c>
      <c r="J774">
        <v>0.81517200000000001</v>
      </c>
      <c r="K774">
        <v>0.48575000000000002</v>
      </c>
      <c r="L774">
        <v>54</v>
      </c>
      <c r="M774">
        <v>6</v>
      </c>
      <c r="N774">
        <v>4</v>
      </c>
      <c r="O774">
        <v>0.81109699999999996</v>
      </c>
      <c r="P774">
        <v>0.485259</v>
      </c>
      <c r="Q774">
        <v>0.20768</v>
      </c>
    </row>
    <row r="775" spans="1:17" x14ac:dyDescent="0.25">
      <c r="A775" t="str">
        <f>IF(C775&amp;G775&amp;D775&lt;&gt;'Funnel setup'!$K$3&amp;'Funnel setup'!$K$4&amp;'Funnel setup'!$K$6,".",IF(A774=".",1,A774+1))</f>
        <v>.</v>
      </c>
      <c r="B775" s="244" t="str">
        <f t="shared" si="12"/>
        <v>Hip Replacement PrimaryProviderSPRINGFIELD HOSPITAL (NVC18)EQ-5D Index</v>
      </c>
      <c r="C775" t="s">
        <v>749</v>
      </c>
      <c r="D775" t="s">
        <v>965</v>
      </c>
      <c r="E775" t="s">
        <v>602</v>
      </c>
      <c r="F775" t="s">
        <v>603</v>
      </c>
      <c r="G775" t="s">
        <v>963</v>
      </c>
      <c r="H775">
        <v>79</v>
      </c>
      <c r="I775">
        <v>0.306228</v>
      </c>
      <c r="J775">
        <v>0.83887299999999998</v>
      </c>
      <c r="K775">
        <v>0.53264599999999995</v>
      </c>
      <c r="L775">
        <v>75</v>
      </c>
      <c r="M775">
        <v>2</v>
      </c>
      <c r="N775">
        <v>2</v>
      </c>
      <c r="O775">
        <v>0.82903000000000004</v>
      </c>
      <c r="P775">
        <v>0.50319199999999997</v>
      </c>
      <c r="Q775">
        <v>0.237487</v>
      </c>
    </row>
    <row r="776" spans="1:17" x14ac:dyDescent="0.25">
      <c r="A776" t="str">
        <f>IF(C776&amp;G776&amp;D776&lt;&gt;'Funnel setup'!$K$3&amp;'Funnel setup'!$K$4&amp;'Funnel setup'!$K$6,".",IF(A775=".",1,A775+1))</f>
        <v>.</v>
      </c>
      <c r="B776" s="244" t="str">
        <f t="shared" si="12"/>
        <v>Hip Replacement PrimaryProviderST EDMUNDS HOSPITAL (NT446)EQ-5D Index</v>
      </c>
      <c r="C776" t="s">
        <v>749</v>
      </c>
      <c r="D776" t="s">
        <v>965</v>
      </c>
      <c r="E776" t="s">
        <v>604</v>
      </c>
      <c r="F776" t="s">
        <v>605</v>
      </c>
      <c r="G776" t="s">
        <v>963</v>
      </c>
      <c r="H776">
        <v>53</v>
      </c>
      <c r="I776">
        <v>0.36050900000000002</v>
      </c>
      <c r="J776">
        <v>0.84937700000000005</v>
      </c>
      <c r="K776">
        <v>0.48886800000000002</v>
      </c>
      <c r="L776">
        <v>47</v>
      </c>
      <c r="M776">
        <v>3</v>
      </c>
      <c r="N776">
        <v>3</v>
      </c>
      <c r="O776">
        <v>0.81850900000000004</v>
      </c>
      <c r="P776">
        <v>0.49267100000000003</v>
      </c>
      <c r="Q776">
        <v>0.20515700000000001</v>
      </c>
    </row>
    <row r="777" spans="1:17" x14ac:dyDescent="0.25">
      <c r="A777" t="str">
        <f>IF(C777&amp;G777&amp;D777&lt;&gt;'Funnel setup'!$K$3&amp;'Funnel setup'!$K$4&amp;'Funnel setup'!$K$6,".",IF(A776=".",1,A776+1))</f>
        <v>.</v>
      </c>
      <c r="B777" s="244" t="str">
        <f t="shared" si="12"/>
        <v>Hip Replacement PrimaryProviderST HELENS AND KNOWSLEY TEACHING HOSPITALS NHS TRUST (RBN)EQ-5D Index</v>
      </c>
      <c r="C777" t="s">
        <v>749</v>
      </c>
      <c r="D777" t="s">
        <v>965</v>
      </c>
      <c r="E777" t="s">
        <v>608</v>
      </c>
      <c r="F777" t="s">
        <v>609</v>
      </c>
      <c r="G777" t="s">
        <v>963</v>
      </c>
      <c r="H777">
        <v>70</v>
      </c>
      <c r="I777">
        <v>0.22442899999999999</v>
      </c>
      <c r="J777">
        <v>0.671157</v>
      </c>
      <c r="K777">
        <v>0.44672899999999999</v>
      </c>
      <c r="L777">
        <v>58</v>
      </c>
      <c r="M777">
        <v>7</v>
      </c>
      <c r="N777">
        <v>5</v>
      </c>
      <c r="O777">
        <v>0.72136800000000001</v>
      </c>
      <c r="P777">
        <v>0.39552999999999999</v>
      </c>
      <c r="Q777">
        <v>0.27633600000000003</v>
      </c>
    </row>
    <row r="778" spans="1:17" x14ac:dyDescent="0.25">
      <c r="A778" t="str">
        <f>IF(C778&amp;G778&amp;D778&lt;&gt;'Funnel setup'!$K$3&amp;'Funnel setup'!$K$4&amp;'Funnel setup'!$K$6,".",IF(A777=".",1,A777+1))</f>
        <v>.</v>
      </c>
      <c r="B778" s="244" t="str">
        <f t="shared" si="12"/>
        <v>Hip Replacement PrimaryProviderST HUGH'S HOSPITAL (NTE02)EQ-5D Index</v>
      </c>
      <c r="C778" t="s">
        <v>749</v>
      </c>
      <c r="D778" t="s">
        <v>965</v>
      </c>
      <c r="E778" t="s">
        <v>610</v>
      </c>
      <c r="F778" t="s">
        <v>611</v>
      </c>
      <c r="G778" t="s">
        <v>963</v>
      </c>
      <c r="H778">
        <v>94</v>
      </c>
      <c r="I778">
        <v>0.36860599999999999</v>
      </c>
      <c r="J778">
        <v>0.78854299999999999</v>
      </c>
      <c r="K778">
        <v>0.41993599999999998</v>
      </c>
      <c r="L778">
        <v>84</v>
      </c>
      <c r="M778">
        <v>5</v>
      </c>
      <c r="N778">
        <v>5</v>
      </c>
      <c r="O778">
        <v>0.77308100000000002</v>
      </c>
      <c r="P778">
        <v>0.447243</v>
      </c>
      <c r="Q778">
        <v>0.20799999999999999</v>
      </c>
    </row>
    <row r="779" spans="1:17" x14ac:dyDescent="0.25">
      <c r="A779" t="str">
        <f>IF(C779&amp;G779&amp;D779&lt;&gt;'Funnel setup'!$K$3&amp;'Funnel setup'!$K$4&amp;'Funnel setup'!$K$6,".",IF(A778=".",1,A778+1))</f>
        <v>.</v>
      </c>
      <c r="B779" s="244" t="str">
        <f t="shared" si="12"/>
        <v>Hip Replacement PrimaryProviderSTOCKPORT NHS FOUNDATION TRUST (RWJ)EQ-5D Index</v>
      </c>
      <c r="C779" t="s">
        <v>749</v>
      </c>
      <c r="D779" t="s">
        <v>965</v>
      </c>
      <c r="E779" t="s">
        <v>614</v>
      </c>
      <c r="F779" t="s">
        <v>615</v>
      </c>
      <c r="G779" t="s">
        <v>963</v>
      </c>
      <c r="H779">
        <v>49</v>
      </c>
      <c r="I779">
        <v>0.21528600000000001</v>
      </c>
      <c r="J779">
        <v>0.75920399999999999</v>
      </c>
      <c r="K779">
        <v>0.54391800000000001</v>
      </c>
      <c r="L779">
        <v>44</v>
      </c>
      <c r="M779">
        <v>3</v>
      </c>
      <c r="N779">
        <v>2</v>
      </c>
      <c r="O779">
        <v>0.79619099999999998</v>
      </c>
      <c r="P779">
        <v>0.47035300000000002</v>
      </c>
      <c r="Q779">
        <v>0.22237899999999999</v>
      </c>
    </row>
    <row r="780" spans="1:17" x14ac:dyDescent="0.25">
      <c r="A780" t="str">
        <f>IF(C780&amp;G780&amp;D780&lt;&gt;'Funnel setup'!$K$3&amp;'Funnel setup'!$K$4&amp;'Funnel setup'!$K$6,".",IF(A779=".",1,A779+1))</f>
        <v>.</v>
      </c>
      <c r="B780" s="244" t="str">
        <f t="shared" si="12"/>
        <v>Hip Replacement PrimaryProviderSURREY AND SUSSEX HEALTHCARE NHS TRUST (RTP)EQ-5D Index</v>
      </c>
      <c r="C780" t="s">
        <v>749</v>
      </c>
      <c r="D780" t="s">
        <v>965</v>
      </c>
      <c r="E780" t="s">
        <v>618</v>
      </c>
      <c r="F780" t="s">
        <v>619</v>
      </c>
      <c r="G780" t="s">
        <v>963</v>
      </c>
      <c r="H780">
        <v>47</v>
      </c>
      <c r="I780">
        <v>0.28306399999999998</v>
      </c>
      <c r="J780">
        <v>0.70163799999999998</v>
      </c>
      <c r="K780">
        <v>0.418574</v>
      </c>
      <c r="L780">
        <v>41</v>
      </c>
      <c r="M780">
        <v>3</v>
      </c>
      <c r="N780">
        <v>3</v>
      </c>
      <c r="O780">
        <v>0.71185799999999999</v>
      </c>
      <c r="P780">
        <v>0.38601999999999997</v>
      </c>
      <c r="Q780">
        <v>0.25417200000000001</v>
      </c>
    </row>
    <row r="781" spans="1:17" x14ac:dyDescent="0.25">
      <c r="A781" t="str">
        <f>IF(C781&amp;G781&amp;D781&lt;&gt;'Funnel setup'!$K$3&amp;'Funnel setup'!$K$4&amp;'Funnel setup'!$K$6,".",IF(A780=".",1,A780+1))</f>
        <v>.</v>
      </c>
      <c r="B781" s="244" t="str">
        <f t="shared" si="12"/>
        <v>Hip Replacement PrimaryProviderTAMESIDE AND GLOSSOP INTEGRATED CARE NHS FOUNDATION TRUST (RMP)EQ-5D Index</v>
      </c>
      <c r="C781" t="s">
        <v>749</v>
      </c>
      <c r="D781" t="s">
        <v>965</v>
      </c>
      <c r="E781" t="s">
        <v>620</v>
      </c>
      <c r="F781" t="s">
        <v>621</v>
      </c>
      <c r="G781" t="s">
        <v>963</v>
      </c>
      <c r="H781">
        <v>3</v>
      </c>
      <c r="I781">
        <v>0.115</v>
      </c>
      <c r="J781">
        <v>0.51733300000000004</v>
      </c>
      <c r="K781">
        <v>0.402333</v>
      </c>
      <c r="L781">
        <v>3</v>
      </c>
      <c r="M781">
        <v>0</v>
      </c>
      <c r="N781">
        <v>0</v>
      </c>
      <c r="O781" t="s">
        <v>127</v>
      </c>
      <c r="P781" t="s">
        <v>127</v>
      </c>
      <c r="Q781" t="s">
        <v>127</v>
      </c>
    </row>
    <row r="782" spans="1:17" x14ac:dyDescent="0.25">
      <c r="A782" t="str">
        <f>IF(C782&amp;G782&amp;D782&lt;&gt;'Funnel setup'!$K$3&amp;'Funnel setup'!$K$4&amp;'Funnel setup'!$K$6,".",IF(A781=".",1,A781+1))</f>
        <v>.</v>
      </c>
      <c r="B782" s="244" t="str">
        <f t="shared" si="12"/>
        <v>Hip Replacement PrimaryProviderTEES VALLEY HOSPITAL (NVC0R)EQ-5D Index</v>
      </c>
      <c r="C782" t="s">
        <v>749</v>
      </c>
      <c r="D782" t="s">
        <v>965</v>
      </c>
      <c r="E782" t="s">
        <v>624</v>
      </c>
      <c r="F782" t="s">
        <v>625</v>
      </c>
      <c r="G782" t="s">
        <v>963</v>
      </c>
      <c r="H782">
        <v>43</v>
      </c>
      <c r="I782">
        <v>0.44453500000000001</v>
      </c>
      <c r="J782">
        <v>0.76407000000000003</v>
      </c>
      <c r="K782">
        <v>0.31953500000000001</v>
      </c>
      <c r="L782">
        <v>40</v>
      </c>
      <c r="M782">
        <v>0</v>
      </c>
      <c r="N782">
        <v>3</v>
      </c>
      <c r="O782">
        <v>0.74451599999999996</v>
      </c>
      <c r="P782">
        <v>0.41867700000000002</v>
      </c>
      <c r="Q782">
        <v>0.22250400000000001</v>
      </c>
    </row>
    <row r="783" spans="1:17" x14ac:dyDescent="0.25">
      <c r="A783" t="str">
        <f>IF(C783&amp;G783&amp;D783&lt;&gt;'Funnel setup'!$K$3&amp;'Funnel setup'!$K$4&amp;'Funnel setup'!$K$6,".",IF(A782=".",1,A782+1))</f>
        <v>.</v>
      </c>
      <c r="B783" s="244" t="str">
        <f t="shared" si="12"/>
        <v>Hip Replacement PrimaryProviderTHE BERKSHIRE INDEPENDENT HOSPITAL (NVC02)EQ-5D Index</v>
      </c>
      <c r="C783" t="s">
        <v>749</v>
      </c>
      <c r="D783" t="s">
        <v>965</v>
      </c>
      <c r="E783" t="s">
        <v>626</v>
      </c>
      <c r="F783" t="s">
        <v>627</v>
      </c>
      <c r="G783" t="s">
        <v>963</v>
      </c>
      <c r="H783">
        <v>12</v>
      </c>
      <c r="I783">
        <v>0.35516700000000001</v>
      </c>
      <c r="J783">
        <v>0.875583</v>
      </c>
      <c r="K783">
        <v>0.52041700000000002</v>
      </c>
      <c r="L783">
        <v>10</v>
      </c>
      <c r="M783">
        <v>2</v>
      </c>
      <c r="N783">
        <v>0</v>
      </c>
      <c r="O783" t="s">
        <v>127</v>
      </c>
      <c r="P783" t="s">
        <v>127</v>
      </c>
      <c r="Q783" t="s">
        <v>127</v>
      </c>
    </row>
    <row r="784" spans="1:17" x14ac:dyDescent="0.25">
      <c r="A784" t="str">
        <f>IF(C784&amp;G784&amp;D784&lt;&gt;'Funnel setup'!$K$3&amp;'Funnel setup'!$K$4&amp;'Funnel setup'!$K$6,".",IF(A783=".",1,A783+1))</f>
        <v>.</v>
      </c>
      <c r="B784" s="244" t="str">
        <f t="shared" si="12"/>
        <v>Hip Replacement PrimaryProviderTHE CHERWELL HOSPITAL (NVC25)EQ-5D Index</v>
      </c>
      <c r="C784" t="s">
        <v>749</v>
      </c>
      <c r="D784" t="s">
        <v>965</v>
      </c>
      <c r="E784" t="s">
        <v>628</v>
      </c>
      <c r="F784" t="s">
        <v>629</v>
      </c>
      <c r="G784" t="s">
        <v>963</v>
      </c>
      <c r="H784">
        <v>207</v>
      </c>
      <c r="I784">
        <v>0.43490800000000002</v>
      </c>
      <c r="J784">
        <v>0.83384100000000005</v>
      </c>
      <c r="K784">
        <v>0.39893200000000001</v>
      </c>
      <c r="L784">
        <v>186</v>
      </c>
      <c r="M784">
        <v>11</v>
      </c>
      <c r="N784">
        <v>10</v>
      </c>
      <c r="O784">
        <v>0.78848799999999997</v>
      </c>
      <c r="P784">
        <v>0.46264899999999998</v>
      </c>
      <c r="Q784">
        <v>0.21798000000000001</v>
      </c>
    </row>
    <row r="785" spans="1:17" x14ac:dyDescent="0.25">
      <c r="A785" t="str">
        <f>IF(C785&amp;G785&amp;D785&lt;&gt;'Funnel setup'!$K$3&amp;'Funnel setup'!$K$4&amp;'Funnel setup'!$K$6,".",IF(A784=".",1,A784+1))</f>
        <v>.</v>
      </c>
      <c r="B785" s="244" t="str">
        <f t="shared" si="12"/>
        <v>Hip Replacement PrimaryProviderTHE DUDLEY GROUP NHS FOUNDATION TRUST (RNA)EQ-5D Index</v>
      </c>
      <c r="C785" t="s">
        <v>749</v>
      </c>
      <c r="D785" t="s">
        <v>965</v>
      </c>
      <c r="E785" t="s">
        <v>630</v>
      </c>
      <c r="F785" t="s">
        <v>631</v>
      </c>
      <c r="G785" t="s">
        <v>963</v>
      </c>
      <c r="H785">
        <v>1</v>
      </c>
      <c r="I785">
        <v>0.186</v>
      </c>
      <c r="J785">
        <v>0.79600000000000004</v>
      </c>
      <c r="K785">
        <v>0.61</v>
      </c>
      <c r="L785">
        <v>1</v>
      </c>
      <c r="M785">
        <v>0</v>
      </c>
      <c r="N785">
        <v>0</v>
      </c>
      <c r="O785" t="s">
        <v>127</v>
      </c>
      <c r="P785" t="s">
        <v>127</v>
      </c>
      <c r="Q785" t="s">
        <v>127</v>
      </c>
    </row>
    <row r="786" spans="1:17" x14ac:dyDescent="0.25">
      <c r="A786" t="str">
        <f>IF(C786&amp;G786&amp;D786&lt;&gt;'Funnel setup'!$K$3&amp;'Funnel setup'!$K$4&amp;'Funnel setup'!$K$6,".",IF(A785=".",1,A785+1))</f>
        <v>.</v>
      </c>
      <c r="B786" s="244" t="str">
        <f t="shared" si="12"/>
        <v>Hip Replacement PrimaryProviderTHE HILLINGDON HOSPITALS NHS FOUNDATION TRUST (RAS)EQ-5D Index</v>
      </c>
      <c r="C786" t="s">
        <v>749</v>
      </c>
      <c r="D786" t="s">
        <v>965</v>
      </c>
      <c r="E786" t="s">
        <v>632</v>
      </c>
      <c r="F786" t="s">
        <v>633</v>
      </c>
      <c r="G786" t="s">
        <v>963</v>
      </c>
      <c r="H786">
        <v>68</v>
      </c>
      <c r="I786">
        <v>0.43810300000000002</v>
      </c>
      <c r="J786">
        <v>0.79335299999999997</v>
      </c>
      <c r="K786">
        <v>0.35525000000000001</v>
      </c>
      <c r="L786">
        <v>59</v>
      </c>
      <c r="M786">
        <v>4</v>
      </c>
      <c r="N786">
        <v>5</v>
      </c>
      <c r="O786">
        <v>0.76900500000000005</v>
      </c>
      <c r="P786">
        <v>0.44316699999999998</v>
      </c>
      <c r="Q786">
        <v>0.23602200000000001</v>
      </c>
    </row>
    <row r="787" spans="1:17" x14ac:dyDescent="0.25">
      <c r="A787" t="str">
        <f>IF(C787&amp;G787&amp;D787&lt;&gt;'Funnel setup'!$K$3&amp;'Funnel setup'!$K$4&amp;'Funnel setup'!$K$6,".",IF(A786=".",1,A786+1))</f>
        <v>.</v>
      </c>
      <c r="B787" s="244" t="str">
        <f t="shared" si="12"/>
        <v>Hip Replacement PrimaryProviderTHE HORDER CENTRE - ST JOHNS ROAD (NXM01)EQ-5D Index</v>
      </c>
      <c r="C787" t="s">
        <v>749</v>
      </c>
      <c r="D787" t="s">
        <v>965</v>
      </c>
      <c r="E787" t="s">
        <v>634</v>
      </c>
      <c r="F787" t="s">
        <v>635</v>
      </c>
      <c r="G787" t="s">
        <v>963</v>
      </c>
      <c r="H787">
        <v>236</v>
      </c>
      <c r="I787">
        <v>0.42025400000000002</v>
      </c>
      <c r="J787">
        <v>0.83712699999999995</v>
      </c>
      <c r="K787">
        <v>0.41687299999999999</v>
      </c>
      <c r="L787">
        <v>213</v>
      </c>
      <c r="M787">
        <v>11</v>
      </c>
      <c r="N787">
        <v>12</v>
      </c>
      <c r="O787">
        <v>0.80509900000000001</v>
      </c>
      <c r="P787">
        <v>0.47926099999999999</v>
      </c>
      <c r="Q787">
        <v>0.24152399999999999</v>
      </c>
    </row>
    <row r="788" spans="1:17" x14ac:dyDescent="0.25">
      <c r="A788" t="str">
        <f>IF(C788&amp;G788&amp;D788&lt;&gt;'Funnel setup'!$K$3&amp;'Funnel setup'!$K$4&amp;'Funnel setup'!$K$6,".",IF(A787=".",1,A787+1))</f>
        <v>.</v>
      </c>
      <c r="B788" s="244" t="str">
        <f t="shared" si="12"/>
        <v>Hip Replacement PrimaryProviderTHE NEWCASTLE UPON TYNE HOSPITALS NHS FOUNDATION TRUST (RTD)EQ-5D Index</v>
      </c>
      <c r="C788" t="s">
        <v>749</v>
      </c>
      <c r="D788" t="s">
        <v>965</v>
      </c>
      <c r="E788" t="s">
        <v>638</v>
      </c>
      <c r="F788" t="s">
        <v>639</v>
      </c>
      <c r="G788" t="s">
        <v>963</v>
      </c>
      <c r="H788">
        <v>33</v>
      </c>
      <c r="I788">
        <v>0.25887900000000003</v>
      </c>
      <c r="J788">
        <v>0.75627299999999997</v>
      </c>
      <c r="K788">
        <v>0.497394</v>
      </c>
      <c r="L788">
        <v>31</v>
      </c>
      <c r="M788">
        <v>1</v>
      </c>
      <c r="N788">
        <v>1</v>
      </c>
      <c r="O788">
        <v>0.79076299999999999</v>
      </c>
      <c r="P788">
        <v>0.46492499999999998</v>
      </c>
      <c r="Q788">
        <v>0.21878500000000001</v>
      </c>
    </row>
    <row r="789" spans="1:17" x14ac:dyDescent="0.25">
      <c r="A789" t="str">
        <f>IF(C789&amp;G789&amp;D789&lt;&gt;'Funnel setup'!$K$3&amp;'Funnel setup'!$K$4&amp;'Funnel setup'!$K$6,".",IF(A788=".",1,A788+1))</f>
        <v>.</v>
      </c>
      <c r="B789" s="244" t="str">
        <f t="shared" si="12"/>
        <v>Hip Replacement PrimaryProviderTHE PRINCESS ALEXANDRA HOSPITAL NHS TRUST (RQW)EQ-5D Index</v>
      </c>
      <c r="C789" t="s">
        <v>749</v>
      </c>
      <c r="D789" t="s">
        <v>965</v>
      </c>
      <c r="E789" t="s">
        <v>640</v>
      </c>
      <c r="F789" t="s">
        <v>641</v>
      </c>
      <c r="G789" t="s">
        <v>963</v>
      </c>
      <c r="H789">
        <v>26</v>
      </c>
      <c r="I789">
        <v>0.14984600000000001</v>
      </c>
      <c r="J789">
        <v>0.66276900000000005</v>
      </c>
      <c r="K789">
        <v>0.51292300000000002</v>
      </c>
      <c r="L789">
        <v>26</v>
      </c>
      <c r="M789">
        <v>0</v>
      </c>
      <c r="N789">
        <v>0</v>
      </c>
      <c r="O789" t="s">
        <v>127</v>
      </c>
      <c r="P789" t="s">
        <v>127</v>
      </c>
      <c r="Q789" t="s">
        <v>127</v>
      </c>
    </row>
    <row r="790" spans="1:17" x14ac:dyDescent="0.25">
      <c r="A790" t="str">
        <f>IF(C790&amp;G790&amp;D790&lt;&gt;'Funnel setup'!$K$3&amp;'Funnel setup'!$K$4&amp;'Funnel setup'!$K$6,".",IF(A789=".",1,A789+1))</f>
        <v>.</v>
      </c>
      <c r="B790" s="244" t="str">
        <f t="shared" si="12"/>
        <v>Hip Replacement PrimaryProviderTHE QUEEN ELIZABETH HOSPITAL, KING'S LYNN, NHS FOUNDATION TRUST (RCX)EQ-5D Index</v>
      </c>
      <c r="C790" t="s">
        <v>749</v>
      </c>
      <c r="D790" t="s">
        <v>965</v>
      </c>
      <c r="E790" t="s">
        <v>644</v>
      </c>
      <c r="F790" t="s">
        <v>645</v>
      </c>
      <c r="G790" t="s">
        <v>963</v>
      </c>
      <c r="H790">
        <v>63</v>
      </c>
      <c r="I790">
        <v>0.315857</v>
      </c>
      <c r="J790">
        <v>0.75831700000000002</v>
      </c>
      <c r="K790">
        <v>0.44246000000000002</v>
      </c>
      <c r="L790">
        <v>56</v>
      </c>
      <c r="M790">
        <v>4</v>
      </c>
      <c r="N790">
        <v>3</v>
      </c>
      <c r="O790">
        <v>0.776393</v>
      </c>
      <c r="P790">
        <v>0.45055499999999998</v>
      </c>
      <c r="Q790">
        <v>0.20732900000000001</v>
      </c>
    </row>
    <row r="791" spans="1:17" x14ac:dyDescent="0.25">
      <c r="A791" t="str">
        <f>IF(C791&amp;G791&amp;D791&lt;&gt;'Funnel setup'!$K$3&amp;'Funnel setup'!$K$4&amp;'Funnel setup'!$K$6,".",IF(A790=".",1,A790+1))</f>
        <v>.</v>
      </c>
      <c r="B791" s="244" t="str">
        <f t="shared" si="12"/>
        <v>Hip Replacement PrimaryProviderTHE ROBERT JONES AND AGNES HUNT ORTHOPAEDIC HOSPITAL NHS FOUNDATION TRUST (RL1)EQ-5D Index</v>
      </c>
      <c r="C791" t="s">
        <v>749</v>
      </c>
      <c r="D791" t="s">
        <v>965</v>
      </c>
      <c r="E791" t="s">
        <v>646</v>
      </c>
      <c r="F791" t="s">
        <v>647</v>
      </c>
      <c r="G791" t="s">
        <v>963</v>
      </c>
      <c r="H791">
        <v>323</v>
      </c>
      <c r="I791">
        <v>0.20930299999999999</v>
      </c>
      <c r="J791">
        <v>0.82216999999999996</v>
      </c>
      <c r="K791">
        <v>0.61286700000000005</v>
      </c>
      <c r="L791">
        <v>305</v>
      </c>
      <c r="M791">
        <v>11</v>
      </c>
      <c r="N791">
        <v>7</v>
      </c>
      <c r="O791">
        <v>0.84736699999999998</v>
      </c>
      <c r="P791">
        <v>0.52152900000000002</v>
      </c>
      <c r="Q791">
        <v>0.19974700000000001</v>
      </c>
    </row>
    <row r="792" spans="1:17" x14ac:dyDescent="0.25">
      <c r="A792" t="str">
        <f>IF(C792&amp;G792&amp;D792&lt;&gt;'Funnel setup'!$K$3&amp;'Funnel setup'!$K$4&amp;'Funnel setup'!$K$6,".",IF(A791=".",1,A791+1))</f>
        <v>.</v>
      </c>
      <c r="B792" s="244" t="str">
        <f t="shared" si="12"/>
        <v>Hip Replacement PrimaryProviderTHE ROTHERHAM NHS FOUNDATION TRUST (RFR)EQ-5D Index</v>
      </c>
      <c r="C792" t="s">
        <v>749</v>
      </c>
      <c r="D792" t="s">
        <v>965</v>
      </c>
      <c r="E792" t="s">
        <v>648</v>
      </c>
      <c r="F792" t="s">
        <v>649</v>
      </c>
      <c r="G792" t="s">
        <v>963</v>
      </c>
      <c r="H792">
        <v>18</v>
      </c>
      <c r="I792">
        <v>0.31866699999999998</v>
      </c>
      <c r="J792">
        <v>0.82099999999999995</v>
      </c>
      <c r="K792">
        <v>0.50233300000000003</v>
      </c>
      <c r="L792">
        <v>15</v>
      </c>
      <c r="M792">
        <v>3</v>
      </c>
      <c r="N792">
        <v>0</v>
      </c>
      <c r="O792" t="s">
        <v>127</v>
      </c>
      <c r="P792" t="s">
        <v>127</v>
      </c>
      <c r="Q792" t="s">
        <v>127</v>
      </c>
    </row>
    <row r="793" spans="1:17" x14ac:dyDescent="0.25">
      <c r="A793" t="str">
        <f>IF(C793&amp;G793&amp;D793&lt;&gt;'Funnel setup'!$K$3&amp;'Funnel setup'!$K$4&amp;'Funnel setup'!$K$6,".",IF(A792=".",1,A792+1))</f>
        <v>.</v>
      </c>
      <c r="B793" s="244" t="str">
        <f t="shared" si="12"/>
        <v>Hip Replacement PrimaryProviderTHE ROYAL ORTHOPAEDIC HOSPITAL NHS FOUNDATION TRUST (RRJ)EQ-5D Index</v>
      </c>
      <c r="C793" t="s">
        <v>749</v>
      </c>
      <c r="D793" t="s">
        <v>965</v>
      </c>
      <c r="E793" t="s">
        <v>652</v>
      </c>
      <c r="F793" t="s">
        <v>653</v>
      </c>
      <c r="G793" t="s">
        <v>963</v>
      </c>
      <c r="H793">
        <v>550</v>
      </c>
      <c r="I793">
        <v>0.29666199999999998</v>
      </c>
      <c r="J793">
        <v>0.81481999999999999</v>
      </c>
      <c r="K793">
        <v>0.51815800000000001</v>
      </c>
      <c r="L793">
        <v>510</v>
      </c>
      <c r="M793">
        <v>11</v>
      </c>
      <c r="N793">
        <v>29</v>
      </c>
      <c r="O793">
        <v>0.81747400000000003</v>
      </c>
      <c r="P793">
        <v>0.49163600000000002</v>
      </c>
      <c r="Q793">
        <v>0.22203300000000001</v>
      </c>
    </row>
    <row r="794" spans="1:17" x14ac:dyDescent="0.25">
      <c r="A794" t="str">
        <f>IF(C794&amp;G794&amp;D794&lt;&gt;'Funnel setup'!$K$3&amp;'Funnel setup'!$K$4&amp;'Funnel setup'!$K$6,".",IF(A793=".",1,A793+1))</f>
        <v>.</v>
      </c>
      <c r="B794" s="244" t="str">
        <f t="shared" si="12"/>
        <v>Hip Replacement PrimaryProviderTHE ROYAL WOLVERHAMPTON NHS TRUST (RL4)EQ-5D Index</v>
      </c>
      <c r="C794" t="s">
        <v>749</v>
      </c>
      <c r="D794" t="s">
        <v>965</v>
      </c>
      <c r="E794" t="s">
        <v>654</v>
      </c>
      <c r="F794" t="s">
        <v>655</v>
      </c>
      <c r="G794" t="s">
        <v>963</v>
      </c>
      <c r="H794">
        <v>16</v>
      </c>
      <c r="I794">
        <v>0.30581199999999997</v>
      </c>
      <c r="J794">
        <v>0.88649999999999995</v>
      </c>
      <c r="K794">
        <v>0.58068699999999995</v>
      </c>
      <c r="L794">
        <v>15</v>
      </c>
      <c r="M794">
        <v>1</v>
      </c>
      <c r="N794">
        <v>0</v>
      </c>
      <c r="O794" t="s">
        <v>127</v>
      </c>
      <c r="P794" t="s">
        <v>127</v>
      </c>
      <c r="Q794" t="s">
        <v>127</v>
      </c>
    </row>
    <row r="795" spans="1:17" x14ac:dyDescent="0.25">
      <c r="A795" t="str">
        <f>IF(C795&amp;G795&amp;D795&lt;&gt;'Funnel setup'!$K$3&amp;'Funnel setup'!$K$4&amp;'Funnel setup'!$K$6,".",IF(A794=".",1,A794+1))</f>
        <v>.</v>
      </c>
      <c r="B795" s="244" t="str">
        <f t="shared" si="12"/>
        <v>Hip Replacement PrimaryProviderTHE SHREWSBURY AND TELFORD HOSPITAL NHS TRUST (RXW)EQ-5D Index</v>
      </c>
      <c r="C795" t="s">
        <v>749</v>
      </c>
      <c r="D795" t="s">
        <v>965</v>
      </c>
      <c r="E795" t="s">
        <v>656</v>
      </c>
      <c r="F795" t="s">
        <v>657</v>
      </c>
      <c r="G795" t="s">
        <v>963</v>
      </c>
      <c r="H795">
        <v>17</v>
      </c>
      <c r="I795">
        <v>3.8176500000000002E-2</v>
      </c>
      <c r="J795">
        <v>0.75770599999999999</v>
      </c>
      <c r="K795">
        <v>0.71952899999999997</v>
      </c>
      <c r="L795">
        <v>16</v>
      </c>
      <c r="M795">
        <v>0</v>
      </c>
      <c r="N795">
        <v>1</v>
      </c>
      <c r="O795" t="s">
        <v>127</v>
      </c>
      <c r="P795" t="s">
        <v>127</v>
      </c>
      <c r="Q795" t="s">
        <v>127</v>
      </c>
    </row>
    <row r="796" spans="1:17" x14ac:dyDescent="0.25">
      <c r="A796" t="str">
        <f>IF(C796&amp;G796&amp;D796&lt;&gt;'Funnel setup'!$K$3&amp;'Funnel setup'!$K$4&amp;'Funnel setup'!$K$6,".",IF(A795=".",1,A795+1))</f>
        <v>.</v>
      </c>
      <c r="B796" s="244" t="str">
        <f t="shared" si="12"/>
        <v>Hip Replacement PrimaryProviderTHE YORKSHIRE CLINIC (NVC20)EQ-5D Index</v>
      </c>
      <c r="C796" t="s">
        <v>749</v>
      </c>
      <c r="D796" t="s">
        <v>965</v>
      </c>
      <c r="E796" t="s">
        <v>662</v>
      </c>
      <c r="F796" t="s">
        <v>663</v>
      </c>
      <c r="G796" t="s">
        <v>963</v>
      </c>
      <c r="H796">
        <v>63</v>
      </c>
      <c r="I796">
        <v>0.33745999999999998</v>
      </c>
      <c r="J796">
        <v>0.85593699999999995</v>
      </c>
      <c r="K796">
        <v>0.51847600000000005</v>
      </c>
      <c r="L796">
        <v>57</v>
      </c>
      <c r="M796">
        <v>6</v>
      </c>
      <c r="N796">
        <v>0</v>
      </c>
      <c r="O796">
        <v>0.85998699999999995</v>
      </c>
      <c r="P796">
        <v>0.53414899999999998</v>
      </c>
      <c r="Q796">
        <v>0.185923</v>
      </c>
    </row>
    <row r="797" spans="1:17" x14ac:dyDescent="0.25">
      <c r="A797" t="str">
        <f>IF(C797&amp;G797&amp;D797&lt;&gt;'Funnel setup'!$K$3&amp;'Funnel setup'!$K$4&amp;'Funnel setup'!$K$6,".",IF(A796=".",1,A796+1))</f>
        <v>.</v>
      </c>
      <c r="B797" s="244" t="str">
        <f t="shared" si="12"/>
        <v>Hip Replacement PrimaryProviderTHORNBURY HOSPITAL (NT440)EQ-5D Index</v>
      </c>
      <c r="C797" t="s">
        <v>749</v>
      </c>
      <c r="D797" t="s">
        <v>965</v>
      </c>
      <c r="E797" t="s">
        <v>664</v>
      </c>
      <c r="F797" t="s">
        <v>665</v>
      </c>
      <c r="G797" t="s">
        <v>963</v>
      </c>
      <c r="H797">
        <v>2</v>
      </c>
      <c r="I797">
        <v>0.25</v>
      </c>
      <c r="J797">
        <v>0.35099999999999998</v>
      </c>
      <c r="K797">
        <v>0.10100000000000001</v>
      </c>
      <c r="L797">
        <v>2</v>
      </c>
      <c r="M797">
        <v>0</v>
      </c>
      <c r="N797">
        <v>0</v>
      </c>
      <c r="O797" t="s">
        <v>127</v>
      </c>
      <c r="P797" t="s">
        <v>127</v>
      </c>
      <c r="Q797" t="s">
        <v>127</v>
      </c>
    </row>
    <row r="798" spans="1:17" x14ac:dyDescent="0.25">
      <c r="A798" t="str">
        <f>IF(C798&amp;G798&amp;D798&lt;&gt;'Funnel setup'!$K$3&amp;'Funnel setup'!$K$4&amp;'Funnel setup'!$K$6,".",IF(A797=".",1,A797+1))</f>
        <v>.</v>
      </c>
      <c r="B798" s="244" t="str">
        <f t="shared" si="12"/>
        <v>Hip Replacement PrimaryProviderTHREE SHIRES HOSPITAL (NT441)EQ-5D Index</v>
      </c>
      <c r="C798" t="s">
        <v>749</v>
      </c>
      <c r="D798" t="s">
        <v>965</v>
      </c>
      <c r="E798" t="s">
        <v>666</v>
      </c>
      <c r="F798" t="s">
        <v>667</v>
      </c>
      <c r="G798" t="s">
        <v>963</v>
      </c>
      <c r="H798">
        <v>63</v>
      </c>
      <c r="I798">
        <v>0.43349199999999999</v>
      </c>
      <c r="J798">
        <v>0.88460300000000003</v>
      </c>
      <c r="K798">
        <v>0.45111099999999998</v>
      </c>
      <c r="L798">
        <v>58</v>
      </c>
      <c r="M798">
        <v>4</v>
      </c>
      <c r="N798">
        <v>1</v>
      </c>
      <c r="O798">
        <v>0.82813999999999999</v>
      </c>
      <c r="P798">
        <v>0.502301</v>
      </c>
      <c r="Q798">
        <v>0.150778</v>
      </c>
    </row>
    <row r="799" spans="1:17" x14ac:dyDescent="0.25">
      <c r="A799" t="str">
        <f>IF(C799&amp;G799&amp;D799&lt;&gt;'Funnel setup'!$K$3&amp;'Funnel setup'!$K$4&amp;'Funnel setup'!$K$6,".",IF(A798=".",1,A798+1))</f>
        <v>.</v>
      </c>
      <c r="B799" s="244" t="str">
        <f t="shared" si="12"/>
        <v>Hip Replacement PrimaryProviderTORBAY AND SOUTH DEVON NHS FOUNDATION TRUST (RA9)EQ-5D Index</v>
      </c>
      <c r="C799" t="s">
        <v>749</v>
      </c>
      <c r="D799" t="s">
        <v>965</v>
      </c>
      <c r="E799" t="s">
        <v>668</v>
      </c>
      <c r="F799" t="s">
        <v>669</v>
      </c>
      <c r="G799" t="s">
        <v>963</v>
      </c>
      <c r="H799">
        <v>9</v>
      </c>
      <c r="I799">
        <v>8.0666699999999994E-2</v>
      </c>
      <c r="J799">
        <v>0.76800000000000002</v>
      </c>
      <c r="K799">
        <v>0.68733299999999997</v>
      </c>
      <c r="L799">
        <v>9</v>
      </c>
      <c r="M799">
        <v>0</v>
      </c>
      <c r="N799">
        <v>0</v>
      </c>
      <c r="O799" t="s">
        <v>127</v>
      </c>
      <c r="P799" t="s">
        <v>127</v>
      </c>
      <c r="Q799" t="s">
        <v>127</v>
      </c>
    </row>
    <row r="800" spans="1:17" x14ac:dyDescent="0.25">
      <c r="A800" t="str">
        <f>IF(C800&amp;G800&amp;D800&lt;&gt;'Funnel setup'!$K$3&amp;'Funnel setup'!$K$4&amp;'Funnel setup'!$K$6,".",IF(A799=".",1,A799+1))</f>
        <v>.</v>
      </c>
      <c r="B800" s="244" t="str">
        <f t="shared" si="12"/>
        <v>Hip Replacement PrimaryProviderUNITED LINCOLNSHIRE HOSPITALS NHS TRUST (RWD)EQ-5D Index</v>
      </c>
      <c r="C800" t="s">
        <v>749</v>
      </c>
      <c r="D800" t="s">
        <v>965</v>
      </c>
      <c r="E800" t="s">
        <v>672</v>
      </c>
      <c r="F800" t="s">
        <v>673</v>
      </c>
      <c r="G800" t="s">
        <v>963</v>
      </c>
      <c r="H800">
        <v>22</v>
      </c>
      <c r="I800">
        <v>0.212227</v>
      </c>
      <c r="J800">
        <v>0.75781799999999999</v>
      </c>
      <c r="K800">
        <v>0.54559100000000005</v>
      </c>
      <c r="L800">
        <v>19</v>
      </c>
      <c r="M800">
        <v>2</v>
      </c>
      <c r="N800">
        <v>1</v>
      </c>
      <c r="O800" t="s">
        <v>127</v>
      </c>
      <c r="P800" t="s">
        <v>127</v>
      </c>
      <c r="Q800" t="s">
        <v>127</v>
      </c>
    </row>
    <row r="801" spans="1:17" x14ac:dyDescent="0.25">
      <c r="A801" t="str">
        <f>IF(C801&amp;G801&amp;D801&lt;&gt;'Funnel setup'!$K$3&amp;'Funnel setup'!$K$4&amp;'Funnel setup'!$K$6,".",IF(A800=".",1,A800+1))</f>
        <v>.</v>
      </c>
      <c r="B801" s="244" t="str">
        <f t="shared" si="12"/>
        <v>Hip Replacement PrimaryProviderUNIVERSITY COLLEGE LONDON HOSPITALS NHS FOUNDATION TRUST (RRV)EQ-5D Index</v>
      </c>
      <c r="C801" t="s">
        <v>749</v>
      </c>
      <c r="D801" t="s">
        <v>965</v>
      </c>
      <c r="E801" t="s">
        <v>674</v>
      </c>
      <c r="F801" t="s">
        <v>675</v>
      </c>
      <c r="G801" t="s">
        <v>963</v>
      </c>
      <c r="H801">
        <v>138</v>
      </c>
      <c r="I801">
        <v>0.40287699999999999</v>
      </c>
      <c r="J801">
        <v>0.78923900000000002</v>
      </c>
      <c r="K801">
        <v>0.38636199999999998</v>
      </c>
      <c r="L801">
        <v>119</v>
      </c>
      <c r="M801">
        <v>12</v>
      </c>
      <c r="N801">
        <v>7</v>
      </c>
      <c r="O801">
        <v>0.78007300000000002</v>
      </c>
      <c r="P801">
        <v>0.454235</v>
      </c>
      <c r="Q801">
        <v>0.236232</v>
      </c>
    </row>
    <row r="802" spans="1:17" x14ac:dyDescent="0.25">
      <c r="A802" t="str">
        <f>IF(C802&amp;G802&amp;D802&lt;&gt;'Funnel setup'!$K$3&amp;'Funnel setup'!$K$4&amp;'Funnel setup'!$K$6,".",IF(A801=".",1,A801+1))</f>
        <v>.</v>
      </c>
      <c r="B802" s="244" t="str">
        <f t="shared" si="12"/>
        <v>Hip Replacement PrimaryProviderUNIVERSITY HOSPITAL SOUTHAMPTON NHS FOUNDATION TRUST (RHM)EQ-5D Index</v>
      </c>
      <c r="C802" t="s">
        <v>749</v>
      </c>
      <c r="D802" t="s">
        <v>965</v>
      </c>
      <c r="E802" t="s">
        <v>676</v>
      </c>
      <c r="F802" t="s">
        <v>677</v>
      </c>
      <c r="G802" t="s">
        <v>963</v>
      </c>
      <c r="H802">
        <v>97</v>
      </c>
      <c r="I802">
        <v>0.31970100000000001</v>
      </c>
      <c r="J802">
        <v>0.75620600000000004</v>
      </c>
      <c r="K802">
        <v>0.43650499999999998</v>
      </c>
      <c r="L802">
        <v>82</v>
      </c>
      <c r="M802">
        <v>8</v>
      </c>
      <c r="N802">
        <v>7</v>
      </c>
      <c r="O802">
        <v>0.76646899999999996</v>
      </c>
      <c r="P802">
        <v>0.44063099999999999</v>
      </c>
      <c r="Q802">
        <v>0.23930799999999999</v>
      </c>
    </row>
    <row r="803" spans="1:17" x14ac:dyDescent="0.25">
      <c r="A803" t="str">
        <f>IF(C803&amp;G803&amp;D803&lt;&gt;'Funnel setup'!$K$3&amp;'Funnel setup'!$K$4&amp;'Funnel setup'!$K$6,".",IF(A802=".",1,A802+1))</f>
        <v>.</v>
      </c>
      <c r="B803" s="244" t="str">
        <f t="shared" si="12"/>
        <v>Hip Replacement PrimaryProviderUNIVERSITY HOSPITALS BRISTOL AND WESTON NHS FOUNDATION TRUST (RA7)EQ-5D Index</v>
      </c>
      <c r="C803" t="s">
        <v>749</v>
      </c>
      <c r="D803" t="s">
        <v>965</v>
      </c>
      <c r="E803" t="s">
        <v>680</v>
      </c>
      <c r="F803" t="s">
        <v>681</v>
      </c>
      <c r="G803" t="s">
        <v>963</v>
      </c>
      <c r="H803">
        <v>15</v>
      </c>
      <c r="I803">
        <v>0.201067</v>
      </c>
      <c r="J803">
        <v>0.77686699999999997</v>
      </c>
      <c r="K803">
        <v>0.57579999999999998</v>
      </c>
      <c r="L803">
        <v>15</v>
      </c>
      <c r="M803">
        <v>0</v>
      </c>
      <c r="N803">
        <v>0</v>
      </c>
      <c r="O803" t="s">
        <v>127</v>
      </c>
      <c r="P803" t="s">
        <v>127</v>
      </c>
      <c r="Q803" t="s">
        <v>127</v>
      </c>
    </row>
    <row r="804" spans="1:17" x14ac:dyDescent="0.25">
      <c r="A804" t="str">
        <f>IF(C804&amp;G804&amp;D804&lt;&gt;'Funnel setup'!$K$3&amp;'Funnel setup'!$K$4&amp;'Funnel setup'!$K$6,".",IF(A803=".",1,A803+1))</f>
        <v>.</v>
      </c>
      <c r="B804" s="244" t="str">
        <f t="shared" si="12"/>
        <v>Hip Replacement PrimaryProviderUNIVERSITY HOSPITALS COVENTRY AND WARWICKSHIRE NHS TRUST (RKB)EQ-5D Index</v>
      </c>
      <c r="C804" t="s">
        <v>749</v>
      </c>
      <c r="D804" t="s">
        <v>965</v>
      </c>
      <c r="E804" t="s">
        <v>682</v>
      </c>
      <c r="F804" t="s">
        <v>683</v>
      </c>
      <c r="G804" t="s">
        <v>963</v>
      </c>
      <c r="H804">
        <v>23</v>
      </c>
      <c r="I804">
        <v>0.339478</v>
      </c>
      <c r="J804">
        <v>0.78212999999999999</v>
      </c>
      <c r="K804">
        <v>0.44265199999999999</v>
      </c>
      <c r="L804">
        <v>19</v>
      </c>
      <c r="M804">
        <v>3</v>
      </c>
      <c r="N804">
        <v>1</v>
      </c>
      <c r="O804" t="s">
        <v>127</v>
      </c>
      <c r="P804" t="s">
        <v>127</v>
      </c>
      <c r="Q804" t="s">
        <v>127</v>
      </c>
    </row>
    <row r="805" spans="1:17" x14ac:dyDescent="0.25">
      <c r="A805" t="str">
        <f>IF(C805&amp;G805&amp;D805&lt;&gt;'Funnel setup'!$K$3&amp;'Funnel setup'!$K$4&amp;'Funnel setup'!$K$6,".",IF(A804=".",1,A804+1))</f>
        <v>.</v>
      </c>
      <c r="B805" s="244" t="str">
        <f t="shared" si="12"/>
        <v>Hip Replacement PrimaryProviderUNIVERSITY HOSPITAL DORSET NHS FUNDATION TRUST (R0D)EQ-5D Index</v>
      </c>
      <c r="C805" t="s">
        <v>749</v>
      </c>
      <c r="D805" t="s">
        <v>965</v>
      </c>
      <c r="E805" t="s">
        <v>684</v>
      </c>
      <c r="F805" t="s">
        <v>966</v>
      </c>
      <c r="G805" t="s">
        <v>963</v>
      </c>
      <c r="H805">
        <v>206</v>
      </c>
      <c r="I805">
        <v>0.35292200000000001</v>
      </c>
      <c r="J805">
        <v>0.81336399999999998</v>
      </c>
      <c r="K805">
        <v>0.46044200000000002</v>
      </c>
      <c r="L805">
        <v>188</v>
      </c>
      <c r="M805">
        <v>10</v>
      </c>
      <c r="N805">
        <v>8</v>
      </c>
      <c r="O805">
        <v>0.80276400000000003</v>
      </c>
      <c r="P805">
        <v>0.47692499999999999</v>
      </c>
      <c r="Q805">
        <v>0.22611800000000001</v>
      </c>
    </row>
    <row r="806" spans="1:17" x14ac:dyDescent="0.25">
      <c r="A806" t="str">
        <f>IF(C806&amp;G806&amp;D806&lt;&gt;'Funnel setup'!$K$3&amp;'Funnel setup'!$K$4&amp;'Funnel setup'!$K$6,".",IF(A805=".",1,A805+1))</f>
        <v>.</v>
      </c>
      <c r="B806" s="244" t="str">
        <f t="shared" si="12"/>
        <v>Hip Replacement PrimaryProviderUNIVERSITY HOSPITALS OF DERBY AND BURTON NHS FOUNDATION TRUST (RTG)EQ-5D Index</v>
      </c>
      <c r="C806" t="s">
        <v>749</v>
      </c>
      <c r="D806" t="s">
        <v>965</v>
      </c>
      <c r="E806" t="s">
        <v>686</v>
      </c>
      <c r="F806" t="s">
        <v>687</v>
      </c>
      <c r="G806" t="s">
        <v>963</v>
      </c>
      <c r="H806">
        <v>332</v>
      </c>
      <c r="I806">
        <v>0.26205099999999998</v>
      </c>
      <c r="J806">
        <v>0.75373199999999996</v>
      </c>
      <c r="K806">
        <v>0.49168099999999998</v>
      </c>
      <c r="L806">
        <v>298</v>
      </c>
      <c r="M806">
        <v>19</v>
      </c>
      <c r="N806">
        <v>15</v>
      </c>
      <c r="O806">
        <v>0.77560600000000002</v>
      </c>
      <c r="P806">
        <v>0.449768</v>
      </c>
      <c r="Q806">
        <v>0.224634</v>
      </c>
    </row>
    <row r="807" spans="1:17" x14ac:dyDescent="0.25">
      <c r="A807" t="str">
        <f>IF(C807&amp;G807&amp;D807&lt;&gt;'Funnel setup'!$K$3&amp;'Funnel setup'!$K$4&amp;'Funnel setup'!$K$6,".",IF(A806=".",1,A806+1))</f>
        <v>.</v>
      </c>
      <c r="B807" s="244" t="str">
        <f t="shared" si="12"/>
        <v>Hip Replacement PrimaryProviderUNIVERSITY HOSPITALS OF LEICESTER NHS TRUST (RWE)EQ-5D Index</v>
      </c>
      <c r="C807" t="s">
        <v>749</v>
      </c>
      <c r="D807" t="s">
        <v>965</v>
      </c>
      <c r="E807" t="s">
        <v>688</v>
      </c>
      <c r="F807" t="s">
        <v>689</v>
      </c>
      <c r="G807" t="s">
        <v>963</v>
      </c>
      <c r="H807">
        <v>97</v>
      </c>
      <c r="I807">
        <v>0.22348499999999999</v>
      </c>
      <c r="J807">
        <v>0.73376300000000005</v>
      </c>
      <c r="K807">
        <v>0.51027800000000001</v>
      </c>
      <c r="L807">
        <v>86</v>
      </c>
      <c r="M807">
        <v>6</v>
      </c>
      <c r="N807">
        <v>5</v>
      </c>
      <c r="O807">
        <v>0.76331199999999999</v>
      </c>
      <c r="P807">
        <v>0.43747399999999997</v>
      </c>
      <c r="Q807">
        <v>0.244865</v>
      </c>
    </row>
    <row r="808" spans="1:17" x14ac:dyDescent="0.25">
      <c r="A808" t="str">
        <f>IF(C808&amp;G808&amp;D808&lt;&gt;'Funnel setup'!$K$3&amp;'Funnel setup'!$K$4&amp;'Funnel setup'!$K$6,".",IF(A807=".",1,A807+1))</f>
        <v>.</v>
      </c>
      <c r="B808" s="244" t="str">
        <f t="shared" si="12"/>
        <v>Hip Replacement PrimaryProviderUNIVERSITY HOSPITALS OF MORECAMBE BAY NHS FOUNDATION TRUST (RTX)EQ-5D Index</v>
      </c>
      <c r="C808" t="s">
        <v>749</v>
      </c>
      <c r="D808" t="s">
        <v>965</v>
      </c>
      <c r="E808" t="s">
        <v>690</v>
      </c>
      <c r="F808" t="s">
        <v>691</v>
      </c>
      <c r="G808" t="s">
        <v>963</v>
      </c>
      <c r="H808">
        <v>171</v>
      </c>
      <c r="I808">
        <v>0.31328699999999998</v>
      </c>
      <c r="J808">
        <v>0.79124000000000005</v>
      </c>
      <c r="K808">
        <v>0.47795300000000002</v>
      </c>
      <c r="L808">
        <v>158</v>
      </c>
      <c r="M808">
        <v>6</v>
      </c>
      <c r="N808">
        <v>7</v>
      </c>
      <c r="O808">
        <v>0.79582699999999995</v>
      </c>
      <c r="P808">
        <v>0.46998899999999999</v>
      </c>
      <c r="Q808">
        <v>0.21037600000000001</v>
      </c>
    </row>
    <row r="809" spans="1:17" x14ac:dyDescent="0.25">
      <c r="A809" t="str">
        <f>IF(C809&amp;G809&amp;D809&lt;&gt;'Funnel setup'!$K$3&amp;'Funnel setup'!$K$4&amp;'Funnel setup'!$K$6,".",IF(A808=".",1,A808+1))</f>
        <v>.</v>
      </c>
      <c r="B809" s="244" t="str">
        <f t="shared" si="12"/>
        <v>Hip Replacement PrimaryProviderUNIVERSITY HOSPITALS OF NORTH MIDLANDS NHS TRUST (RJE)EQ-5D Index</v>
      </c>
      <c r="C809" t="s">
        <v>749</v>
      </c>
      <c r="D809" t="s">
        <v>965</v>
      </c>
      <c r="E809" t="s">
        <v>692</v>
      </c>
      <c r="F809" t="s">
        <v>693</v>
      </c>
      <c r="G809" t="s">
        <v>963</v>
      </c>
      <c r="H809">
        <v>31</v>
      </c>
      <c r="I809">
        <v>0.220806</v>
      </c>
      <c r="J809">
        <v>0.75896799999999998</v>
      </c>
      <c r="K809">
        <v>0.538161</v>
      </c>
      <c r="L809">
        <v>29</v>
      </c>
      <c r="M809">
        <v>2</v>
      </c>
      <c r="N809">
        <v>0</v>
      </c>
      <c r="O809">
        <v>0.80042400000000002</v>
      </c>
      <c r="P809">
        <v>0.47458600000000001</v>
      </c>
      <c r="Q809">
        <v>0.241368</v>
      </c>
    </row>
    <row r="810" spans="1:17" x14ac:dyDescent="0.25">
      <c r="A810" t="str">
        <f>IF(C810&amp;G810&amp;D810&lt;&gt;'Funnel setup'!$K$3&amp;'Funnel setup'!$K$4&amp;'Funnel setup'!$K$6,".",IF(A809=".",1,A809+1))</f>
        <v>.</v>
      </c>
      <c r="B810" s="244" t="str">
        <f t="shared" si="12"/>
        <v>Hip Replacement PrimaryProviderUNIVERSITY HOSPITALS PLYMOUTH NHS TRUST (RK9)EQ-5D Index</v>
      </c>
      <c r="C810" t="s">
        <v>749</v>
      </c>
      <c r="D810" t="s">
        <v>965</v>
      </c>
      <c r="E810" t="s">
        <v>694</v>
      </c>
      <c r="F810" t="s">
        <v>695</v>
      </c>
      <c r="G810" t="s">
        <v>963</v>
      </c>
      <c r="H810">
        <v>5</v>
      </c>
      <c r="I810">
        <v>-6.9599999999999995E-2</v>
      </c>
      <c r="J810">
        <v>0.62919999999999998</v>
      </c>
      <c r="K810">
        <v>0.69879999999999998</v>
      </c>
      <c r="L810">
        <v>5</v>
      </c>
      <c r="M810">
        <v>0</v>
      </c>
      <c r="N810">
        <v>0</v>
      </c>
      <c r="O810" t="s">
        <v>127</v>
      </c>
      <c r="P810" t="s">
        <v>127</v>
      </c>
      <c r="Q810" t="s">
        <v>127</v>
      </c>
    </row>
    <row r="811" spans="1:17" x14ac:dyDescent="0.25">
      <c r="A811" t="str">
        <f>IF(C811&amp;G811&amp;D811&lt;&gt;'Funnel setup'!$K$3&amp;'Funnel setup'!$K$4&amp;'Funnel setup'!$K$6,".",IF(A810=".",1,A810+1))</f>
        <v>.</v>
      </c>
      <c r="B811" s="244" t="str">
        <f t="shared" si="12"/>
        <v>Hip Replacement PrimaryProviderUNIVERSITY HOSPITALS SUSSEX NHS FOUNDATION TRUST (RYR)EQ-5D Index</v>
      </c>
      <c r="C811" t="s">
        <v>749</v>
      </c>
      <c r="D811" t="s">
        <v>965</v>
      </c>
      <c r="E811" t="s">
        <v>696</v>
      </c>
      <c r="F811" t="s">
        <v>697</v>
      </c>
      <c r="G811" t="s">
        <v>963</v>
      </c>
      <c r="H811">
        <v>133</v>
      </c>
      <c r="I811">
        <v>0.31962400000000002</v>
      </c>
      <c r="J811">
        <v>0.700797</v>
      </c>
      <c r="K811">
        <v>0.38117299999999998</v>
      </c>
      <c r="L811">
        <v>110</v>
      </c>
      <c r="M811">
        <v>6</v>
      </c>
      <c r="N811">
        <v>17</v>
      </c>
      <c r="O811">
        <v>0.71074999999999999</v>
      </c>
      <c r="P811">
        <v>0.38491199999999998</v>
      </c>
      <c r="Q811">
        <v>0.284271</v>
      </c>
    </row>
    <row r="812" spans="1:17" x14ac:dyDescent="0.25">
      <c r="A812" t="str">
        <f>IF(C812&amp;G812&amp;D812&lt;&gt;'Funnel setup'!$K$3&amp;'Funnel setup'!$K$4&amp;'Funnel setup'!$K$6,".",IF(A811=".",1,A811+1))</f>
        <v>.</v>
      </c>
      <c r="B812" s="244" t="str">
        <f t="shared" si="12"/>
        <v>Hip Replacement PrimaryProviderWALSALL HEALTHCARE NHS TRUST (RBK)EQ-5D Index</v>
      </c>
      <c r="C812" t="s">
        <v>749</v>
      </c>
      <c r="D812" t="s">
        <v>965</v>
      </c>
      <c r="E812" t="s">
        <v>698</v>
      </c>
      <c r="F812" t="s">
        <v>699</v>
      </c>
      <c r="G812" t="s">
        <v>963</v>
      </c>
      <c r="H812">
        <v>14</v>
      </c>
      <c r="I812">
        <v>0.27900000000000003</v>
      </c>
      <c r="J812">
        <v>0.62107100000000004</v>
      </c>
      <c r="K812">
        <v>0.34207100000000001</v>
      </c>
      <c r="L812">
        <v>11</v>
      </c>
      <c r="M812">
        <v>2</v>
      </c>
      <c r="N812">
        <v>1</v>
      </c>
      <c r="O812" t="s">
        <v>127</v>
      </c>
      <c r="P812" t="s">
        <v>127</v>
      </c>
      <c r="Q812" t="s">
        <v>127</v>
      </c>
    </row>
    <row r="813" spans="1:17" x14ac:dyDescent="0.25">
      <c r="A813" t="str">
        <f>IF(C813&amp;G813&amp;D813&lt;&gt;'Funnel setup'!$K$3&amp;'Funnel setup'!$K$4&amp;'Funnel setup'!$K$6,".",IF(A812=".",1,A812+1))</f>
        <v>.</v>
      </c>
      <c r="B813" s="244" t="str">
        <f t="shared" si="12"/>
        <v>Hip Replacement PrimaryProviderWARRINGTON AND HALTON TEACHING HOSPITALS NHS FOUNDATION TRUST (RWW)EQ-5D Index</v>
      </c>
      <c r="C813" t="s">
        <v>749</v>
      </c>
      <c r="D813" t="s">
        <v>965</v>
      </c>
      <c r="E813" t="s">
        <v>700</v>
      </c>
      <c r="F813" t="s">
        <v>701</v>
      </c>
      <c r="G813" t="s">
        <v>963</v>
      </c>
      <c r="H813">
        <v>31</v>
      </c>
      <c r="I813">
        <v>0.307645</v>
      </c>
      <c r="J813">
        <v>0.73129</v>
      </c>
      <c r="K813">
        <v>0.42364499999999999</v>
      </c>
      <c r="L813">
        <v>28</v>
      </c>
      <c r="M813">
        <v>1</v>
      </c>
      <c r="N813">
        <v>2</v>
      </c>
      <c r="O813">
        <v>0.74590500000000004</v>
      </c>
      <c r="P813">
        <v>0.42006599999999999</v>
      </c>
      <c r="Q813">
        <v>0.239202</v>
      </c>
    </row>
    <row r="814" spans="1:17" x14ac:dyDescent="0.25">
      <c r="A814" t="str">
        <f>IF(C814&amp;G814&amp;D814&lt;&gt;'Funnel setup'!$K$3&amp;'Funnel setup'!$K$4&amp;'Funnel setup'!$K$6,".",IF(A813=".",1,A813+1))</f>
        <v>.</v>
      </c>
      <c r="B814" s="244" t="str">
        <f t="shared" si="12"/>
        <v>Hip Replacement PrimaryProviderWEST HERTFORDSHIRE TEACHING HOSPITALS NHS TRUST (RWG)EQ-5D Index</v>
      </c>
      <c r="C814" t="s">
        <v>749</v>
      </c>
      <c r="D814" t="s">
        <v>965</v>
      </c>
      <c r="E814" t="s">
        <v>702</v>
      </c>
      <c r="F814" t="s">
        <v>703</v>
      </c>
      <c r="G814" t="s">
        <v>963</v>
      </c>
      <c r="H814">
        <v>84</v>
      </c>
      <c r="I814">
        <v>0.28811900000000001</v>
      </c>
      <c r="J814">
        <v>0.76488100000000003</v>
      </c>
      <c r="K814">
        <v>0.47676200000000002</v>
      </c>
      <c r="L814">
        <v>73</v>
      </c>
      <c r="M814">
        <v>4</v>
      </c>
      <c r="N814">
        <v>7</v>
      </c>
      <c r="O814">
        <v>0.76837299999999997</v>
      </c>
      <c r="P814">
        <v>0.44253500000000001</v>
      </c>
      <c r="Q814">
        <v>0.25179099999999999</v>
      </c>
    </row>
    <row r="815" spans="1:17" x14ac:dyDescent="0.25">
      <c r="A815" t="str">
        <f>IF(C815&amp;G815&amp;D815&lt;&gt;'Funnel setup'!$K$3&amp;'Funnel setup'!$K$4&amp;'Funnel setup'!$K$6,".",IF(A814=".",1,A814+1))</f>
        <v>.</v>
      </c>
      <c r="B815" s="244" t="str">
        <f t="shared" si="12"/>
        <v>Hip Replacement PrimaryProviderWEST MIDLANDS HOSPITAL (NVC21)EQ-5D Index</v>
      </c>
      <c r="C815" t="s">
        <v>749</v>
      </c>
      <c r="D815" t="s">
        <v>965</v>
      </c>
      <c r="E815" t="s">
        <v>704</v>
      </c>
      <c r="F815" t="s">
        <v>705</v>
      </c>
      <c r="G815" t="s">
        <v>963</v>
      </c>
      <c r="H815">
        <v>79</v>
      </c>
      <c r="I815">
        <v>0.34810099999999999</v>
      </c>
      <c r="J815">
        <v>0.80641799999999997</v>
      </c>
      <c r="K815">
        <v>0.458316</v>
      </c>
      <c r="L815">
        <v>71</v>
      </c>
      <c r="M815">
        <v>2</v>
      </c>
      <c r="N815">
        <v>6</v>
      </c>
      <c r="O815">
        <v>0.80513599999999996</v>
      </c>
      <c r="P815">
        <v>0.479298</v>
      </c>
      <c r="Q815">
        <v>0.21868000000000001</v>
      </c>
    </row>
    <row r="816" spans="1:17" x14ac:dyDescent="0.25">
      <c r="A816" t="str">
        <f>IF(C816&amp;G816&amp;D816&lt;&gt;'Funnel setup'!$K$3&amp;'Funnel setup'!$K$4&amp;'Funnel setup'!$K$6,".",IF(A815=".",1,A815+1))</f>
        <v>.</v>
      </c>
      <c r="B816" s="244" t="str">
        <f t="shared" si="12"/>
        <v>Hip Replacement PrimaryProviderWEST SUFFOLK NHS FOUNDATION TRUST (RGR)EQ-5D Index</v>
      </c>
      <c r="C816" t="s">
        <v>749</v>
      </c>
      <c r="D816" t="s">
        <v>965</v>
      </c>
      <c r="E816" t="s">
        <v>706</v>
      </c>
      <c r="F816" t="s">
        <v>707</v>
      </c>
      <c r="G816" t="s">
        <v>963</v>
      </c>
      <c r="H816">
        <v>115</v>
      </c>
      <c r="I816">
        <v>0.22514799999999999</v>
      </c>
      <c r="J816">
        <v>0.76102599999999998</v>
      </c>
      <c r="K816">
        <v>0.53587799999999997</v>
      </c>
      <c r="L816">
        <v>99</v>
      </c>
      <c r="M816">
        <v>8</v>
      </c>
      <c r="N816">
        <v>8</v>
      </c>
      <c r="O816">
        <v>0.75715200000000005</v>
      </c>
      <c r="P816">
        <v>0.431313</v>
      </c>
      <c r="Q816">
        <v>0.24789</v>
      </c>
    </row>
    <row r="817" spans="1:17" x14ac:dyDescent="0.25">
      <c r="A817" t="str">
        <f>IF(C817&amp;G817&amp;D817&lt;&gt;'Funnel setup'!$K$3&amp;'Funnel setup'!$K$4&amp;'Funnel setup'!$K$6,".",IF(A816=".",1,A816+1))</f>
        <v>.</v>
      </c>
      <c r="B817" s="244" t="str">
        <f t="shared" si="12"/>
        <v>Hip Replacement PrimaryProviderWINFIELD HOSPITAL (NVC22)EQ-5D Index</v>
      </c>
      <c r="C817" t="s">
        <v>749</v>
      </c>
      <c r="D817" t="s">
        <v>965</v>
      </c>
      <c r="E817" t="s">
        <v>710</v>
      </c>
      <c r="F817" t="s">
        <v>711</v>
      </c>
      <c r="G817" t="s">
        <v>963</v>
      </c>
      <c r="H817">
        <v>46</v>
      </c>
      <c r="I817">
        <v>0.33534799999999998</v>
      </c>
      <c r="J817">
        <v>0.79056499999999996</v>
      </c>
      <c r="K817">
        <v>0.45521699999999998</v>
      </c>
      <c r="L817">
        <v>44</v>
      </c>
      <c r="M817">
        <v>0</v>
      </c>
      <c r="N817">
        <v>2</v>
      </c>
      <c r="O817">
        <v>0.77484600000000003</v>
      </c>
      <c r="P817">
        <v>0.44900699999999999</v>
      </c>
      <c r="Q817">
        <v>0.22722000000000001</v>
      </c>
    </row>
    <row r="818" spans="1:17" x14ac:dyDescent="0.25">
      <c r="A818" t="str">
        <f>IF(C818&amp;G818&amp;D818&lt;&gt;'Funnel setup'!$K$3&amp;'Funnel setup'!$K$4&amp;'Funnel setup'!$K$6,".",IF(A817=".",1,A817+1))</f>
        <v>.</v>
      </c>
      <c r="B818" s="244" t="str">
        <f t="shared" si="12"/>
        <v>Hip Replacement PrimaryProviderWINTERBOURNE HOSPITAL (NT443)EQ-5D Index</v>
      </c>
      <c r="C818" t="s">
        <v>749</v>
      </c>
      <c r="D818" t="s">
        <v>965</v>
      </c>
      <c r="E818" t="s">
        <v>712</v>
      </c>
      <c r="F818" t="s">
        <v>713</v>
      </c>
      <c r="G818" t="s">
        <v>963</v>
      </c>
      <c r="H818">
        <v>50</v>
      </c>
      <c r="I818">
        <v>0.48409999999999997</v>
      </c>
      <c r="J818">
        <v>0.83486000000000005</v>
      </c>
      <c r="K818">
        <v>0.35076000000000002</v>
      </c>
      <c r="L818">
        <v>42</v>
      </c>
      <c r="M818">
        <v>3</v>
      </c>
      <c r="N818">
        <v>5</v>
      </c>
      <c r="O818">
        <v>0.79216699999999995</v>
      </c>
      <c r="P818">
        <v>0.46632800000000002</v>
      </c>
      <c r="Q818">
        <v>0.24801200000000001</v>
      </c>
    </row>
    <row r="819" spans="1:17" x14ac:dyDescent="0.25">
      <c r="A819" t="str">
        <f>IF(C819&amp;G819&amp;D819&lt;&gt;'Funnel setup'!$K$3&amp;'Funnel setup'!$K$4&amp;'Funnel setup'!$K$6,".",IF(A818=".",1,A818+1))</f>
        <v>.</v>
      </c>
      <c r="B819" s="244" t="str">
        <f t="shared" si="12"/>
        <v>Hip Replacement PrimaryProviderWIRRAL UNIVERSITY TEACHING HOSPITAL NHS FOUNDATION TRUST (RBL)EQ-5D Index</v>
      </c>
      <c r="C819" t="s">
        <v>749</v>
      </c>
      <c r="D819" t="s">
        <v>965</v>
      </c>
      <c r="E819" t="s">
        <v>714</v>
      </c>
      <c r="F819" t="s">
        <v>715</v>
      </c>
      <c r="G819" t="s">
        <v>963</v>
      </c>
      <c r="H819">
        <v>97</v>
      </c>
      <c r="I819">
        <v>0.33729900000000002</v>
      </c>
      <c r="J819">
        <v>0.760598</v>
      </c>
      <c r="K819">
        <v>0.42329899999999998</v>
      </c>
      <c r="L819">
        <v>84</v>
      </c>
      <c r="M819">
        <v>11</v>
      </c>
      <c r="N819">
        <v>2</v>
      </c>
      <c r="O819">
        <v>0.75454399999999999</v>
      </c>
      <c r="P819">
        <v>0.42870599999999998</v>
      </c>
      <c r="Q819">
        <v>0.23582500000000001</v>
      </c>
    </row>
    <row r="820" spans="1:17" x14ac:dyDescent="0.25">
      <c r="A820" t="str">
        <f>IF(C820&amp;G820&amp;D820&lt;&gt;'Funnel setup'!$K$3&amp;'Funnel setup'!$K$4&amp;'Funnel setup'!$K$6,".",IF(A819=".",1,A819+1))</f>
        <v>.</v>
      </c>
      <c r="B820" s="244" t="str">
        <f t="shared" si="12"/>
        <v>Hip Replacement PrimaryProviderWOODLAND HOSPITAL (NVC23)EQ-5D Index</v>
      </c>
      <c r="C820" t="s">
        <v>749</v>
      </c>
      <c r="D820" t="s">
        <v>965</v>
      </c>
      <c r="E820" t="s">
        <v>716</v>
      </c>
      <c r="F820" t="s">
        <v>717</v>
      </c>
      <c r="G820" t="s">
        <v>963</v>
      </c>
      <c r="H820">
        <v>78</v>
      </c>
      <c r="I820">
        <v>0.28267900000000001</v>
      </c>
      <c r="J820">
        <v>0.74207699999999999</v>
      </c>
      <c r="K820">
        <v>0.459397</v>
      </c>
      <c r="L820">
        <v>70</v>
      </c>
      <c r="M820">
        <v>3</v>
      </c>
      <c r="N820">
        <v>5</v>
      </c>
      <c r="O820">
        <v>0.73812999999999995</v>
      </c>
      <c r="P820">
        <v>0.41229199999999999</v>
      </c>
      <c r="Q820">
        <v>0.227576</v>
      </c>
    </row>
    <row r="821" spans="1:17" x14ac:dyDescent="0.25">
      <c r="A821" t="str">
        <f>IF(C821&amp;G821&amp;D821&lt;&gt;'Funnel setup'!$K$3&amp;'Funnel setup'!$K$4&amp;'Funnel setup'!$K$6,".",IF(A820=".",1,A820+1))</f>
        <v>.</v>
      </c>
      <c r="B821" s="244" t="str">
        <f t="shared" si="12"/>
        <v>Hip Replacement PrimaryProviderWOODLANDS HOSPITAL (NT457)EQ-5D Index</v>
      </c>
      <c r="C821" t="s">
        <v>749</v>
      </c>
      <c r="D821" t="s">
        <v>965</v>
      </c>
      <c r="E821" t="s">
        <v>718</v>
      </c>
      <c r="F821" t="s">
        <v>719</v>
      </c>
      <c r="G821" t="s">
        <v>963</v>
      </c>
      <c r="H821">
        <v>70</v>
      </c>
      <c r="I821">
        <v>0.460314</v>
      </c>
      <c r="J821">
        <v>0.85548599999999997</v>
      </c>
      <c r="K821">
        <v>0.39517099999999999</v>
      </c>
      <c r="L821">
        <v>64</v>
      </c>
      <c r="M821">
        <v>4</v>
      </c>
      <c r="N821">
        <v>2</v>
      </c>
      <c r="O821">
        <v>0.79954700000000001</v>
      </c>
      <c r="P821">
        <v>0.47370800000000002</v>
      </c>
      <c r="Q821">
        <v>0.19983100000000001</v>
      </c>
    </row>
    <row r="822" spans="1:17" x14ac:dyDescent="0.25">
      <c r="A822" t="str">
        <f>IF(C822&amp;G822&amp;D822&lt;&gt;'Funnel setup'!$K$3&amp;'Funnel setup'!$K$4&amp;'Funnel setup'!$K$6,".",IF(A821=".",1,A821+1))</f>
        <v>.</v>
      </c>
      <c r="B822" s="244" t="str">
        <f t="shared" si="12"/>
        <v>Hip Replacement PrimaryProviderWOODTHORPE HOSPITAL (NVC40)EQ-5D Index</v>
      </c>
      <c r="C822" t="s">
        <v>749</v>
      </c>
      <c r="D822" t="s">
        <v>965</v>
      </c>
      <c r="E822" t="s">
        <v>720</v>
      </c>
      <c r="F822" t="s">
        <v>721</v>
      </c>
      <c r="G822" t="s">
        <v>963</v>
      </c>
      <c r="H822">
        <v>91</v>
      </c>
      <c r="I822">
        <v>0.32559300000000002</v>
      </c>
      <c r="J822">
        <v>0.78248399999999996</v>
      </c>
      <c r="K822">
        <v>0.45689000000000002</v>
      </c>
      <c r="L822">
        <v>82</v>
      </c>
      <c r="M822">
        <v>4</v>
      </c>
      <c r="N822">
        <v>5</v>
      </c>
      <c r="O822">
        <v>0.77642199999999995</v>
      </c>
      <c r="P822">
        <v>0.45058300000000001</v>
      </c>
      <c r="Q822">
        <v>0.210176</v>
      </c>
    </row>
    <row r="823" spans="1:17" x14ac:dyDescent="0.25">
      <c r="A823" t="str">
        <f>IF(C823&amp;G823&amp;D823&lt;&gt;'Funnel setup'!$K$3&amp;'Funnel setup'!$K$4&amp;'Funnel setup'!$K$6,".",IF(A822=".",1,A822+1))</f>
        <v>.</v>
      </c>
      <c r="B823" s="244" t="str">
        <f t="shared" si="12"/>
        <v>Hip Replacement PrimaryProviderWORCESTERSHIRE ACUTE HOSPITALS NHS TRUST (RWP)EQ-5D Index</v>
      </c>
      <c r="C823" t="s">
        <v>749</v>
      </c>
      <c r="D823" t="s">
        <v>965</v>
      </c>
      <c r="E823" t="s">
        <v>722</v>
      </c>
      <c r="F823" t="s">
        <v>723</v>
      </c>
      <c r="G823" t="s">
        <v>963</v>
      </c>
      <c r="H823">
        <v>57</v>
      </c>
      <c r="I823">
        <v>0.170789</v>
      </c>
      <c r="J823">
        <v>0.71757899999999997</v>
      </c>
      <c r="K823">
        <v>0.54678899999999997</v>
      </c>
      <c r="L823">
        <v>50</v>
      </c>
      <c r="M823">
        <v>2</v>
      </c>
      <c r="N823">
        <v>5</v>
      </c>
      <c r="O823">
        <v>0.78026499999999999</v>
      </c>
      <c r="P823">
        <v>0.45442700000000003</v>
      </c>
      <c r="Q823">
        <v>0.251031</v>
      </c>
    </row>
    <row r="824" spans="1:17" x14ac:dyDescent="0.25">
      <c r="A824" t="str">
        <f>IF(C824&amp;G824&amp;D824&lt;&gt;'Funnel setup'!$K$3&amp;'Funnel setup'!$K$4&amp;'Funnel setup'!$K$6,".",IF(A823=".",1,A823+1))</f>
        <v>.</v>
      </c>
      <c r="B824" s="244" t="str">
        <f t="shared" si="12"/>
        <v>Hip Replacement PrimaryProviderWRIGHTINGTON, WIGAN AND LEIGH NHS FOUNDATION TRUST (RRF)EQ-5D Index</v>
      </c>
      <c r="C824" t="s">
        <v>749</v>
      </c>
      <c r="D824" t="s">
        <v>965</v>
      </c>
      <c r="E824" t="s">
        <v>724</v>
      </c>
      <c r="F824" t="s">
        <v>725</v>
      </c>
      <c r="G824" t="s">
        <v>963</v>
      </c>
      <c r="H824">
        <v>15</v>
      </c>
      <c r="I824">
        <v>0.242867</v>
      </c>
      <c r="J824">
        <v>0.94466700000000003</v>
      </c>
      <c r="K824">
        <v>0.70179999999999998</v>
      </c>
      <c r="L824">
        <v>15</v>
      </c>
      <c r="M824">
        <v>0</v>
      </c>
      <c r="N824">
        <v>0</v>
      </c>
      <c r="O824" t="s">
        <v>127</v>
      </c>
      <c r="P824" t="s">
        <v>127</v>
      </c>
      <c r="Q824" t="s">
        <v>127</v>
      </c>
    </row>
    <row r="825" spans="1:17" x14ac:dyDescent="0.25">
      <c r="A825" t="str">
        <f>IF(C825&amp;G825&amp;D825&lt;&gt;'Funnel setup'!$K$3&amp;'Funnel setup'!$K$4&amp;'Funnel setup'!$K$6,".",IF(A824=".",1,A824+1))</f>
        <v>.</v>
      </c>
      <c r="B825" s="244" t="str">
        <f t="shared" si="12"/>
        <v>Hip Replacement PrimaryProviderWYE VALLEY NHS TRUST (RLQ)EQ-5D Index</v>
      </c>
      <c r="C825" t="s">
        <v>749</v>
      </c>
      <c r="D825" t="s">
        <v>965</v>
      </c>
      <c r="E825" t="s">
        <v>726</v>
      </c>
      <c r="F825" t="s">
        <v>727</v>
      </c>
      <c r="G825" t="s">
        <v>963</v>
      </c>
      <c r="H825">
        <v>22</v>
      </c>
      <c r="I825">
        <v>0.14699999999999999</v>
      </c>
      <c r="J825">
        <v>0.75486399999999998</v>
      </c>
      <c r="K825">
        <v>0.60786399999999996</v>
      </c>
      <c r="L825">
        <v>21</v>
      </c>
      <c r="M825">
        <v>1</v>
      </c>
      <c r="N825">
        <v>0</v>
      </c>
      <c r="O825" t="s">
        <v>127</v>
      </c>
      <c r="P825" t="s">
        <v>127</v>
      </c>
      <c r="Q825" t="s">
        <v>127</v>
      </c>
    </row>
    <row r="826" spans="1:17" x14ac:dyDescent="0.25">
      <c r="A826" t="str">
        <f>IF(C826&amp;G826&amp;D826&lt;&gt;'Funnel setup'!$K$3&amp;'Funnel setup'!$K$4&amp;'Funnel setup'!$K$6,".",IF(A825=".",1,A825+1))</f>
        <v>.</v>
      </c>
      <c r="B826" s="244" t="str">
        <f t="shared" si="12"/>
        <v>Hip Replacement PrimaryProviderYORK AND SCARBOROUGH TEACHING HOSPITALS NHS FOUNDATION TRUST (RCB)EQ-5D Index</v>
      </c>
      <c r="C826" t="s">
        <v>749</v>
      </c>
      <c r="D826" t="s">
        <v>965</v>
      </c>
      <c r="E826" t="s">
        <v>730</v>
      </c>
      <c r="F826" t="s">
        <v>731</v>
      </c>
      <c r="G826" t="s">
        <v>963</v>
      </c>
      <c r="H826">
        <v>1</v>
      </c>
      <c r="I826">
        <v>-1.6E-2</v>
      </c>
      <c r="J826">
        <v>0.62</v>
      </c>
      <c r="K826">
        <v>0.63600000000000001</v>
      </c>
      <c r="L826">
        <v>1</v>
      </c>
      <c r="M826">
        <v>0</v>
      </c>
      <c r="N826">
        <v>0</v>
      </c>
      <c r="O826" t="s">
        <v>127</v>
      </c>
      <c r="P826" t="s">
        <v>127</v>
      </c>
      <c r="Q826" t="s">
        <v>127</v>
      </c>
    </row>
    <row r="827" spans="1:17" x14ac:dyDescent="0.25">
      <c r="A827" t="str">
        <f>IF(C827&amp;G827&amp;D827&lt;&gt;'Funnel setup'!$K$3&amp;'Funnel setup'!$K$4&amp;'Funnel setup'!$K$6,".",IF(A826=".",1,A826+1))</f>
        <v>.</v>
      </c>
      <c r="B827" s="244" t="str">
        <f t="shared" si="12"/>
        <v>Hip Replacement PrimaryProviderSULIS HOSPITAL BATHOxford Hip Score</v>
      </c>
      <c r="C827" t="s">
        <v>749</v>
      </c>
      <c r="D827" t="s">
        <v>965</v>
      </c>
      <c r="E827" t="s">
        <v>732</v>
      </c>
      <c r="F827" t="s">
        <v>1325</v>
      </c>
      <c r="G827" t="s">
        <v>964</v>
      </c>
      <c r="H827">
        <v>37</v>
      </c>
      <c r="I827">
        <v>17.216200000000001</v>
      </c>
      <c r="J827">
        <v>41.378399999999999</v>
      </c>
      <c r="K827">
        <v>24.162199999999999</v>
      </c>
      <c r="L827">
        <v>37</v>
      </c>
      <c r="M827">
        <v>0</v>
      </c>
      <c r="N827">
        <v>0</v>
      </c>
      <c r="O827">
        <v>40.856200000000001</v>
      </c>
      <c r="P827">
        <v>23.771899999999999</v>
      </c>
      <c r="Q827">
        <v>7.8200200000000004</v>
      </c>
    </row>
    <row r="828" spans="1:17" x14ac:dyDescent="0.25">
      <c r="A828" t="str">
        <f>IF(C828&amp;G828&amp;D828&lt;&gt;'Funnel setup'!$K$3&amp;'Funnel setup'!$K$4&amp;'Funnel setup'!$K$6,".",IF(A827=".",1,A827+1))</f>
        <v>.</v>
      </c>
      <c r="B828" s="244" t="str">
        <f t="shared" si="12"/>
        <v>Hip Replacement PrimaryProviderAIREDALE NHS FOUNDATION TRUST (RCF)Oxford Hip Score</v>
      </c>
      <c r="C828" t="s">
        <v>749</v>
      </c>
      <c r="D828" t="s">
        <v>965</v>
      </c>
      <c r="E828" t="s">
        <v>125</v>
      </c>
      <c r="F828" t="s">
        <v>126</v>
      </c>
      <c r="G828" t="s">
        <v>964</v>
      </c>
      <c r="H828">
        <v>42</v>
      </c>
      <c r="I828">
        <v>16.619</v>
      </c>
      <c r="J828">
        <v>39.381</v>
      </c>
      <c r="K828">
        <v>22.761900000000001</v>
      </c>
      <c r="L828">
        <v>40</v>
      </c>
      <c r="M828">
        <v>0</v>
      </c>
      <c r="N828">
        <v>2</v>
      </c>
      <c r="O828">
        <v>39.539900000000003</v>
      </c>
      <c r="P828">
        <v>22.4556</v>
      </c>
      <c r="Q828">
        <v>8.77698</v>
      </c>
    </row>
    <row r="829" spans="1:17" x14ac:dyDescent="0.25">
      <c r="A829" t="str">
        <f>IF(C829&amp;G829&amp;D829&lt;&gt;'Funnel setup'!$K$3&amp;'Funnel setup'!$K$4&amp;'Funnel setup'!$K$6,".",IF(A828=".",1,A828+1))</f>
        <v>.</v>
      </c>
      <c r="B829" s="244" t="str">
        <f t="shared" si="12"/>
        <v>Hip Replacement PrimaryProviderALEXANDRA HOSPITAL (NT401)Oxford Hip Score</v>
      </c>
      <c r="C829" t="s">
        <v>749</v>
      </c>
      <c r="D829" t="s">
        <v>965</v>
      </c>
      <c r="E829" t="s">
        <v>130</v>
      </c>
      <c r="F829" t="s">
        <v>131</v>
      </c>
      <c r="G829" t="s">
        <v>964</v>
      </c>
      <c r="H829">
        <v>30</v>
      </c>
      <c r="I829">
        <v>18.7</v>
      </c>
      <c r="J829">
        <v>42.133299999999998</v>
      </c>
      <c r="K829">
        <v>23.433299999999999</v>
      </c>
      <c r="L829">
        <v>30</v>
      </c>
      <c r="M829">
        <v>0</v>
      </c>
      <c r="N829">
        <v>0</v>
      </c>
      <c r="O829">
        <v>41.153199999999998</v>
      </c>
      <c r="P829">
        <v>24.068899999999999</v>
      </c>
      <c r="Q829">
        <v>6.4257799999999996</v>
      </c>
    </row>
    <row r="830" spans="1:17" x14ac:dyDescent="0.25">
      <c r="A830" t="str">
        <f>IF(C830&amp;G830&amp;D830&lt;&gt;'Funnel setup'!$K$3&amp;'Funnel setup'!$K$4&amp;'Funnel setup'!$K$6,".",IF(A829=".",1,A829+1))</f>
        <v>.</v>
      </c>
      <c r="B830" s="244" t="str">
        <f t="shared" si="12"/>
        <v>Hip Replacement PrimaryProviderASHFORD AND ST PETER'S HOSPITALS NHS FOUNDATION TRUST (RTK)Oxford Hip Score</v>
      </c>
      <c r="C830" t="s">
        <v>749</v>
      </c>
      <c r="D830" t="s">
        <v>965</v>
      </c>
      <c r="E830" t="s">
        <v>132</v>
      </c>
      <c r="F830" t="s">
        <v>133</v>
      </c>
      <c r="G830" t="s">
        <v>964</v>
      </c>
      <c r="H830">
        <v>66</v>
      </c>
      <c r="I830">
        <v>18.863600000000002</v>
      </c>
      <c r="J830">
        <v>42.030299999999997</v>
      </c>
      <c r="K830">
        <v>23.166699999999999</v>
      </c>
      <c r="L830">
        <v>65</v>
      </c>
      <c r="M830">
        <v>1</v>
      </c>
      <c r="N830">
        <v>0</v>
      </c>
      <c r="O830">
        <v>40.6678</v>
      </c>
      <c r="P830">
        <v>23.583500000000001</v>
      </c>
      <c r="Q830">
        <v>5.9609300000000003</v>
      </c>
    </row>
    <row r="831" spans="1:17" x14ac:dyDescent="0.25">
      <c r="A831" t="str">
        <f>IF(C831&amp;G831&amp;D831&lt;&gt;'Funnel setup'!$K$3&amp;'Funnel setup'!$K$4&amp;'Funnel setup'!$K$6,".",IF(A830=".",1,A830+1))</f>
        <v>.</v>
      </c>
      <c r="B831" s="244" t="str">
        <f t="shared" si="12"/>
        <v>Hip Replacement PrimaryProviderASHTEAD HOSPITAL (NVC01)Oxford Hip Score</v>
      </c>
      <c r="C831" t="s">
        <v>749</v>
      </c>
      <c r="D831" t="s">
        <v>965</v>
      </c>
      <c r="E831" t="s">
        <v>134</v>
      </c>
      <c r="F831" t="s">
        <v>135</v>
      </c>
      <c r="G831" t="s">
        <v>964</v>
      </c>
      <c r="H831">
        <v>12</v>
      </c>
      <c r="I831">
        <v>20.083300000000001</v>
      </c>
      <c r="J831">
        <v>44.333300000000001</v>
      </c>
      <c r="K831">
        <v>24.25</v>
      </c>
      <c r="L831">
        <v>12</v>
      </c>
      <c r="M831">
        <v>0</v>
      </c>
      <c r="N831">
        <v>0</v>
      </c>
      <c r="O831" t="s">
        <v>127</v>
      </c>
      <c r="P831" t="s">
        <v>127</v>
      </c>
      <c r="Q831" t="s">
        <v>127</v>
      </c>
    </row>
    <row r="832" spans="1:17" x14ac:dyDescent="0.25">
      <c r="A832" t="str">
        <f>IF(C832&amp;G832&amp;D832&lt;&gt;'Funnel setup'!$K$3&amp;'Funnel setup'!$K$4&amp;'Funnel setup'!$K$6,".",IF(A831=".",1,A831+1))</f>
        <v>.</v>
      </c>
      <c r="B832" s="244" t="str">
        <f t="shared" si="12"/>
        <v>Hip Replacement PrimaryProviderBARKING, HAVERING AND REDBRIDGE UNIVERSITY HOSPITALS NHS TRUST (RF4)Oxford Hip Score</v>
      </c>
      <c r="C832" t="s">
        <v>749</v>
      </c>
      <c r="D832" t="s">
        <v>965</v>
      </c>
      <c r="E832" t="s">
        <v>144</v>
      </c>
      <c r="F832" t="s">
        <v>145</v>
      </c>
      <c r="G832" t="s">
        <v>964</v>
      </c>
      <c r="H832">
        <v>54</v>
      </c>
      <c r="I832">
        <v>12.8148</v>
      </c>
      <c r="J832">
        <v>33.851900000000001</v>
      </c>
      <c r="K832">
        <v>21.036999999999999</v>
      </c>
      <c r="L832">
        <v>54</v>
      </c>
      <c r="M832">
        <v>0</v>
      </c>
      <c r="N832">
        <v>0</v>
      </c>
      <c r="O832">
        <v>36.267800000000001</v>
      </c>
      <c r="P832">
        <v>19.183499999999999</v>
      </c>
      <c r="Q832">
        <v>9.6210100000000001</v>
      </c>
    </row>
    <row r="833" spans="1:17" x14ac:dyDescent="0.25">
      <c r="A833" t="str">
        <f>IF(C833&amp;G833&amp;D833&lt;&gt;'Funnel setup'!$K$3&amp;'Funnel setup'!$K$4&amp;'Funnel setup'!$K$6,".",IF(A832=".",1,A832+1))</f>
        <v>.</v>
      </c>
      <c r="B833" s="244" t="str">
        <f t="shared" si="12"/>
        <v>Hip Replacement PrimaryProviderBARNSLEY HOSPITAL NHS FOUNDATION TRUST (RFF)Oxford Hip Score</v>
      </c>
      <c r="C833" t="s">
        <v>749</v>
      </c>
      <c r="D833" t="s">
        <v>965</v>
      </c>
      <c r="E833" t="s">
        <v>146</v>
      </c>
      <c r="F833" t="s">
        <v>147</v>
      </c>
      <c r="G833" t="s">
        <v>964</v>
      </c>
      <c r="H833">
        <v>45</v>
      </c>
      <c r="I833">
        <v>14.3111</v>
      </c>
      <c r="J833">
        <v>35.977800000000002</v>
      </c>
      <c r="K833">
        <v>21.666699999999999</v>
      </c>
      <c r="L833">
        <v>43</v>
      </c>
      <c r="M833">
        <v>0</v>
      </c>
      <c r="N833">
        <v>2</v>
      </c>
      <c r="O833">
        <v>38.250799999999998</v>
      </c>
      <c r="P833">
        <v>21.166499999999999</v>
      </c>
      <c r="Q833">
        <v>8.8255300000000005</v>
      </c>
    </row>
    <row r="834" spans="1:17" x14ac:dyDescent="0.25">
      <c r="A834" t="str">
        <f>IF(C834&amp;G834&amp;D834&lt;&gt;'Funnel setup'!$K$3&amp;'Funnel setup'!$K$4&amp;'Funnel setup'!$K$6,".",IF(A833=".",1,A833+1))</f>
        <v>.</v>
      </c>
      <c r="B834" s="244" t="str">
        <f t="shared" ref="B834:B897" si="13">C834&amp;D834&amp;F834&amp;G834</f>
        <v>Hip Replacement PrimaryProviderBARTS HEALTH NHS TRUST (R1H)Oxford Hip Score</v>
      </c>
      <c r="C834" t="s">
        <v>749</v>
      </c>
      <c r="D834" t="s">
        <v>965</v>
      </c>
      <c r="E834" t="s">
        <v>148</v>
      </c>
      <c r="F834" t="s">
        <v>149</v>
      </c>
      <c r="G834" t="s">
        <v>964</v>
      </c>
      <c r="H834">
        <v>39</v>
      </c>
      <c r="I834">
        <v>18.4359</v>
      </c>
      <c r="J834">
        <v>38.512799999999999</v>
      </c>
      <c r="K834">
        <v>20.076899999999998</v>
      </c>
      <c r="L834">
        <v>38</v>
      </c>
      <c r="M834">
        <v>0</v>
      </c>
      <c r="N834">
        <v>1</v>
      </c>
      <c r="O834">
        <v>39.067399999999999</v>
      </c>
      <c r="P834">
        <v>21.9831</v>
      </c>
      <c r="Q834">
        <v>8.1764299999999999</v>
      </c>
    </row>
    <row r="835" spans="1:17" x14ac:dyDescent="0.25">
      <c r="A835" t="str">
        <f>IF(C835&amp;G835&amp;D835&lt;&gt;'Funnel setup'!$K$3&amp;'Funnel setup'!$K$4&amp;'Funnel setup'!$K$6,".",IF(A834=".",1,A834+1))</f>
        <v>.</v>
      </c>
      <c r="B835" s="244" t="str">
        <f t="shared" si="13"/>
        <v>Hip Replacement PrimaryProviderBATH CLINIC (NT402)Oxford Hip Score</v>
      </c>
      <c r="C835" t="s">
        <v>749</v>
      </c>
      <c r="D835" t="s">
        <v>965</v>
      </c>
      <c r="E835" t="s">
        <v>152</v>
      </c>
      <c r="F835" t="s">
        <v>153</v>
      </c>
      <c r="G835" t="s">
        <v>964</v>
      </c>
      <c r="H835">
        <v>79</v>
      </c>
      <c r="I835">
        <v>17.518999999999998</v>
      </c>
      <c r="J835">
        <v>42.113900000000001</v>
      </c>
      <c r="K835">
        <v>24.594899999999999</v>
      </c>
      <c r="L835">
        <v>78</v>
      </c>
      <c r="M835">
        <v>0</v>
      </c>
      <c r="N835">
        <v>1</v>
      </c>
      <c r="O835">
        <v>39.917200000000001</v>
      </c>
      <c r="P835">
        <v>22.832899999999999</v>
      </c>
      <c r="Q835">
        <v>7.5853299999999999</v>
      </c>
    </row>
    <row r="836" spans="1:17" x14ac:dyDescent="0.25">
      <c r="A836" t="str">
        <f>IF(C836&amp;G836&amp;D836&lt;&gt;'Funnel setup'!$K$3&amp;'Funnel setup'!$K$4&amp;'Funnel setup'!$K$6,".",IF(A835=".",1,A835+1))</f>
        <v>.</v>
      </c>
      <c r="B836" s="244" t="str">
        <f t="shared" si="13"/>
        <v>Hip Replacement PrimaryProviderBEARDWOOD HOSPITAL (NT403)Oxford Hip Score</v>
      </c>
      <c r="C836" t="s">
        <v>749</v>
      </c>
      <c r="D836" t="s">
        <v>965</v>
      </c>
      <c r="E836" t="s">
        <v>154</v>
      </c>
      <c r="F836" t="s">
        <v>155</v>
      </c>
      <c r="G836" t="s">
        <v>964</v>
      </c>
      <c r="H836">
        <v>86</v>
      </c>
      <c r="I836">
        <v>19.2791</v>
      </c>
      <c r="J836">
        <v>41.7791</v>
      </c>
      <c r="K836">
        <v>22.5</v>
      </c>
      <c r="L836">
        <v>83</v>
      </c>
      <c r="M836">
        <v>1</v>
      </c>
      <c r="N836">
        <v>2</v>
      </c>
      <c r="O836">
        <v>40.5976</v>
      </c>
      <c r="P836">
        <v>23.513300000000001</v>
      </c>
      <c r="Q836">
        <v>6.9363900000000003</v>
      </c>
    </row>
    <row r="837" spans="1:17" x14ac:dyDescent="0.25">
      <c r="A837" t="str">
        <f>IF(C837&amp;G837&amp;D837&lt;&gt;'Funnel setup'!$K$3&amp;'Funnel setup'!$K$4&amp;'Funnel setup'!$K$6,".",IF(A836=".",1,A836+1))</f>
        <v>.</v>
      </c>
      <c r="B837" s="244" t="str">
        <f t="shared" si="13"/>
        <v>Hip Replacement PrimaryProviderBEAUMONT HOSPITAL (NT404)Oxford Hip Score</v>
      </c>
      <c r="C837" t="s">
        <v>749</v>
      </c>
      <c r="D837" t="s">
        <v>965</v>
      </c>
      <c r="E837" t="s">
        <v>156</v>
      </c>
      <c r="F837" t="s">
        <v>157</v>
      </c>
      <c r="G837" t="s">
        <v>964</v>
      </c>
      <c r="H837">
        <v>15</v>
      </c>
      <c r="I837">
        <v>19.866700000000002</v>
      </c>
      <c r="J837">
        <v>43.2</v>
      </c>
      <c r="K837">
        <v>23.333300000000001</v>
      </c>
      <c r="L837">
        <v>15</v>
      </c>
      <c r="M837">
        <v>0</v>
      </c>
      <c r="N837">
        <v>0</v>
      </c>
      <c r="O837" t="s">
        <v>127</v>
      </c>
      <c r="P837" t="s">
        <v>127</v>
      </c>
      <c r="Q837" t="s">
        <v>127</v>
      </c>
    </row>
    <row r="838" spans="1:17" x14ac:dyDescent="0.25">
      <c r="A838" t="str">
        <f>IF(C838&amp;G838&amp;D838&lt;&gt;'Funnel setup'!$K$3&amp;'Funnel setup'!$K$4&amp;'Funnel setup'!$K$6,".",IF(A837=".",1,A837+1))</f>
        <v>.</v>
      </c>
      <c r="B838" s="244" t="str">
        <f t="shared" si="13"/>
        <v>Hip Replacement PrimaryProviderBEDFORDSHIRE HOSPITALS NHS FOUNDATION TRUST (RC9)Oxford Hip Score</v>
      </c>
      <c r="C838" t="s">
        <v>749</v>
      </c>
      <c r="D838" t="s">
        <v>965</v>
      </c>
      <c r="E838" t="s">
        <v>158</v>
      </c>
      <c r="F838" t="s">
        <v>159</v>
      </c>
      <c r="G838" t="s">
        <v>964</v>
      </c>
      <c r="H838">
        <v>128</v>
      </c>
      <c r="I838">
        <v>15.609400000000001</v>
      </c>
      <c r="J838">
        <v>37.109400000000001</v>
      </c>
      <c r="K838">
        <v>21.5</v>
      </c>
      <c r="L838">
        <v>123</v>
      </c>
      <c r="M838">
        <v>0</v>
      </c>
      <c r="N838">
        <v>5</v>
      </c>
      <c r="O838">
        <v>38.282400000000003</v>
      </c>
      <c r="P838">
        <v>21.1981</v>
      </c>
      <c r="Q838">
        <v>9.4450599999999998</v>
      </c>
    </row>
    <row r="839" spans="1:17" x14ac:dyDescent="0.25">
      <c r="A839" t="str">
        <f>IF(C839&amp;G839&amp;D839&lt;&gt;'Funnel setup'!$K$3&amp;'Funnel setup'!$K$4&amp;'Funnel setup'!$K$6,".",IF(A838=".",1,A838+1))</f>
        <v>.</v>
      </c>
      <c r="B839" s="244" t="str">
        <f t="shared" si="13"/>
        <v>Hip Replacement PrimaryProviderBENENDEN HOSPITAL (NWF01)Oxford Hip Score</v>
      </c>
      <c r="C839" t="s">
        <v>749</v>
      </c>
      <c r="D839" t="s">
        <v>965</v>
      </c>
      <c r="E839" t="s">
        <v>160</v>
      </c>
      <c r="F839" t="s">
        <v>161</v>
      </c>
      <c r="G839" t="s">
        <v>964</v>
      </c>
      <c r="H839">
        <v>20</v>
      </c>
      <c r="I839">
        <v>19.149999999999999</v>
      </c>
      <c r="J839">
        <v>39.299999999999997</v>
      </c>
      <c r="K839">
        <v>20.149999999999999</v>
      </c>
      <c r="L839">
        <v>20</v>
      </c>
      <c r="M839">
        <v>0</v>
      </c>
      <c r="N839">
        <v>0</v>
      </c>
      <c r="O839" t="s">
        <v>127</v>
      </c>
      <c r="P839" t="s">
        <v>127</v>
      </c>
      <c r="Q839" t="s">
        <v>127</v>
      </c>
    </row>
    <row r="840" spans="1:17" x14ac:dyDescent="0.25">
      <c r="A840" t="str">
        <f>IF(C840&amp;G840&amp;D840&lt;&gt;'Funnel setup'!$K$3&amp;'Funnel setup'!$K$4&amp;'Funnel setup'!$K$6,".",IF(A839=".",1,A839+1))</f>
        <v>.</v>
      </c>
      <c r="B840" s="244" t="str">
        <f t="shared" si="13"/>
        <v>Hip Replacement PrimaryProviderBISHOPS WOOD HOSPITAL (NT405)Oxford Hip Score</v>
      </c>
      <c r="C840" t="s">
        <v>749</v>
      </c>
      <c r="D840" t="s">
        <v>965</v>
      </c>
      <c r="E840" t="s">
        <v>166</v>
      </c>
      <c r="F840" t="s">
        <v>167</v>
      </c>
      <c r="G840" t="s">
        <v>964</v>
      </c>
      <c r="H840">
        <v>4</v>
      </c>
      <c r="I840">
        <v>23.25</v>
      </c>
      <c r="J840">
        <v>39.75</v>
      </c>
      <c r="K840">
        <v>16.5</v>
      </c>
      <c r="L840">
        <v>4</v>
      </c>
      <c r="M840">
        <v>0</v>
      </c>
      <c r="N840">
        <v>0</v>
      </c>
      <c r="O840" t="s">
        <v>127</v>
      </c>
      <c r="P840" t="s">
        <v>127</v>
      </c>
      <c r="Q840" t="s">
        <v>127</v>
      </c>
    </row>
    <row r="841" spans="1:17" x14ac:dyDescent="0.25">
      <c r="A841" t="str">
        <f>IF(C841&amp;G841&amp;D841&lt;&gt;'Funnel setup'!$K$3&amp;'Funnel setup'!$K$4&amp;'Funnel setup'!$K$6,".",IF(A840=".",1,A840+1))</f>
        <v>.</v>
      </c>
      <c r="B841" s="244" t="str">
        <f t="shared" si="13"/>
        <v>Hip Replacement PrimaryProviderBLACKHEATH HOSPITAL (NT406)Oxford Hip Score</v>
      </c>
      <c r="C841" t="s">
        <v>749</v>
      </c>
      <c r="D841" t="s">
        <v>965</v>
      </c>
      <c r="E841" t="s">
        <v>168</v>
      </c>
      <c r="F841" t="s">
        <v>169</v>
      </c>
      <c r="G841" t="s">
        <v>964</v>
      </c>
      <c r="H841">
        <v>14</v>
      </c>
      <c r="I841">
        <v>17.214300000000001</v>
      </c>
      <c r="J841">
        <v>40.642899999999997</v>
      </c>
      <c r="K841">
        <v>23.428599999999999</v>
      </c>
      <c r="L841">
        <v>13</v>
      </c>
      <c r="M841">
        <v>0</v>
      </c>
      <c r="N841">
        <v>1</v>
      </c>
      <c r="O841" t="s">
        <v>127</v>
      </c>
      <c r="P841" t="s">
        <v>127</v>
      </c>
      <c r="Q841" t="s">
        <v>127</v>
      </c>
    </row>
    <row r="842" spans="1:17" x14ac:dyDescent="0.25">
      <c r="A842" t="str">
        <f>IF(C842&amp;G842&amp;D842&lt;&gt;'Funnel setup'!$K$3&amp;'Funnel setup'!$K$4&amp;'Funnel setup'!$K$6,".",IF(A841=".",1,A841+1))</f>
        <v>.</v>
      </c>
      <c r="B842" s="244" t="str">
        <f t="shared" si="13"/>
        <v>Hip Replacement PrimaryProviderBLACKPOOL TEACHING HOSPITALS NHS FOUNDATION TRUST (RXL)Oxford Hip Score</v>
      </c>
      <c r="C842" t="s">
        <v>749</v>
      </c>
      <c r="D842" t="s">
        <v>965</v>
      </c>
      <c r="E842" t="s">
        <v>170</v>
      </c>
      <c r="F842" t="s">
        <v>171</v>
      </c>
      <c r="G842" t="s">
        <v>964</v>
      </c>
      <c r="H842">
        <v>55</v>
      </c>
      <c r="I842">
        <v>19.2364</v>
      </c>
      <c r="J842">
        <v>36.2545</v>
      </c>
      <c r="K842">
        <v>17.0182</v>
      </c>
      <c r="L842">
        <v>52</v>
      </c>
      <c r="M842">
        <v>0</v>
      </c>
      <c r="N842">
        <v>3</v>
      </c>
      <c r="O842">
        <v>36.982399999999998</v>
      </c>
      <c r="P842">
        <v>19.898099999999999</v>
      </c>
      <c r="Q842">
        <v>8.4859100000000005</v>
      </c>
    </row>
    <row r="843" spans="1:17" x14ac:dyDescent="0.25">
      <c r="A843" t="str">
        <f>IF(C843&amp;G843&amp;D843&lt;&gt;'Funnel setup'!$K$3&amp;'Funnel setup'!$K$4&amp;'Funnel setup'!$K$6,".",IF(A842=".",1,A842+1))</f>
        <v>.</v>
      </c>
      <c r="B843" s="244" t="str">
        <f t="shared" si="13"/>
        <v>Hip Replacement PrimaryProviderBOLTON NHS FOUNDATION TRUST (RMC)Oxford Hip Score</v>
      </c>
      <c r="C843" t="s">
        <v>749</v>
      </c>
      <c r="D843" t="s">
        <v>965</v>
      </c>
      <c r="E843" t="s">
        <v>172</v>
      </c>
      <c r="F843" t="s">
        <v>173</v>
      </c>
      <c r="G843" t="s">
        <v>964</v>
      </c>
      <c r="H843">
        <v>44</v>
      </c>
      <c r="I843">
        <v>15.931800000000001</v>
      </c>
      <c r="J843">
        <v>37.181800000000003</v>
      </c>
      <c r="K843">
        <v>21.25</v>
      </c>
      <c r="L843">
        <v>44</v>
      </c>
      <c r="M843">
        <v>0</v>
      </c>
      <c r="N843">
        <v>0</v>
      </c>
      <c r="O843">
        <v>38.947200000000002</v>
      </c>
      <c r="P843">
        <v>21.8629</v>
      </c>
      <c r="Q843">
        <v>8.6993399999999994</v>
      </c>
    </row>
    <row r="844" spans="1:17" x14ac:dyDescent="0.25">
      <c r="A844" t="str">
        <f>IF(C844&amp;G844&amp;D844&lt;&gt;'Funnel setup'!$K$3&amp;'Funnel setup'!$K$4&amp;'Funnel setup'!$K$6,".",IF(A843=".",1,A843+1))</f>
        <v>.</v>
      </c>
      <c r="B844" s="244" t="str">
        <f t="shared" si="13"/>
        <v>Hip Replacement PrimaryProviderBRADFORD TEACHING HOSPITALS NHS FOUNDATION TRUST (RAE)Oxford Hip Score</v>
      </c>
      <c r="C844" t="s">
        <v>749</v>
      </c>
      <c r="D844" t="s">
        <v>965</v>
      </c>
      <c r="E844" t="s">
        <v>174</v>
      </c>
      <c r="F844" t="s">
        <v>175</v>
      </c>
      <c r="G844" t="s">
        <v>964</v>
      </c>
      <c r="H844">
        <v>2</v>
      </c>
      <c r="I844">
        <v>8.5</v>
      </c>
      <c r="J844">
        <v>35</v>
      </c>
      <c r="K844">
        <v>26.5</v>
      </c>
      <c r="L844">
        <v>2</v>
      </c>
      <c r="M844">
        <v>0</v>
      </c>
      <c r="N844">
        <v>0</v>
      </c>
      <c r="O844" t="s">
        <v>127</v>
      </c>
      <c r="P844" t="s">
        <v>127</v>
      </c>
      <c r="Q844" t="s">
        <v>127</v>
      </c>
    </row>
    <row r="845" spans="1:17" x14ac:dyDescent="0.25">
      <c r="A845" t="str">
        <f>IF(C845&amp;G845&amp;D845&lt;&gt;'Funnel setup'!$K$3&amp;'Funnel setup'!$K$4&amp;'Funnel setup'!$K$6,".",IF(A844=".",1,A844+1))</f>
        <v>.</v>
      </c>
      <c r="B845" s="244" t="str">
        <f t="shared" si="13"/>
        <v>Hip Replacement PrimaryProviderBUCKINGHAMSHIRE HEALTHCARE NHS TRUST (RXQ)Oxford Hip Score</v>
      </c>
      <c r="C845" t="s">
        <v>749</v>
      </c>
      <c r="D845" t="s">
        <v>965</v>
      </c>
      <c r="E845" t="s">
        <v>178</v>
      </c>
      <c r="F845" t="s">
        <v>179</v>
      </c>
      <c r="G845" t="s">
        <v>964</v>
      </c>
      <c r="H845">
        <v>89</v>
      </c>
      <c r="I845">
        <v>15.9438</v>
      </c>
      <c r="J845">
        <v>37.056199999999997</v>
      </c>
      <c r="K845">
        <v>21.112400000000001</v>
      </c>
      <c r="L845">
        <v>83</v>
      </c>
      <c r="M845">
        <v>0</v>
      </c>
      <c r="N845">
        <v>6</v>
      </c>
      <c r="O845">
        <v>37.949300000000001</v>
      </c>
      <c r="P845">
        <v>20.864999999999998</v>
      </c>
      <c r="Q845">
        <v>10.498900000000001</v>
      </c>
    </row>
    <row r="846" spans="1:17" x14ac:dyDescent="0.25">
      <c r="A846" t="str">
        <f>IF(C846&amp;G846&amp;D846&lt;&gt;'Funnel setup'!$K$3&amp;'Funnel setup'!$K$4&amp;'Funnel setup'!$K$6,".",IF(A845=".",1,A845+1))</f>
        <v>.</v>
      </c>
      <c r="B846" s="244" t="str">
        <f t="shared" si="13"/>
        <v>Hip Replacement PrimaryProviderCALDERDALE AND HUDDERSFIELD NHS FOUNDATION TRUST (RWY)Oxford Hip Score</v>
      </c>
      <c r="C846" t="s">
        <v>749</v>
      </c>
      <c r="D846" t="s">
        <v>965</v>
      </c>
      <c r="E846" t="s">
        <v>180</v>
      </c>
      <c r="F846" t="s">
        <v>181</v>
      </c>
      <c r="G846" t="s">
        <v>964</v>
      </c>
      <c r="H846">
        <v>100</v>
      </c>
      <c r="I846">
        <v>17.809999999999999</v>
      </c>
      <c r="J846">
        <v>40.520000000000003</v>
      </c>
      <c r="K846">
        <v>22.71</v>
      </c>
      <c r="L846">
        <v>98</v>
      </c>
      <c r="M846">
        <v>2</v>
      </c>
      <c r="N846">
        <v>0</v>
      </c>
      <c r="O846">
        <v>40.636200000000002</v>
      </c>
      <c r="P846">
        <v>23.5519</v>
      </c>
      <c r="Q846">
        <v>7.4329999999999998</v>
      </c>
    </row>
    <row r="847" spans="1:17" x14ac:dyDescent="0.25">
      <c r="A847" t="str">
        <f>IF(C847&amp;G847&amp;D847&lt;&gt;'Funnel setup'!$K$3&amp;'Funnel setup'!$K$4&amp;'Funnel setup'!$K$6,".",IF(A846=".",1,A846+1))</f>
        <v>.</v>
      </c>
      <c r="B847" s="244" t="str">
        <f t="shared" si="13"/>
        <v>Hip Replacement PrimaryProviderCAMBRIDGE UNIVERSITY HOSPITALS NHS FOUNDATION TRUST (RGT)Oxford Hip Score</v>
      </c>
      <c r="C847" t="s">
        <v>749</v>
      </c>
      <c r="D847" t="s">
        <v>965</v>
      </c>
      <c r="E847" t="s">
        <v>182</v>
      </c>
      <c r="F847" t="s">
        <v>183</v>
      </c>
      <c r="G847" t="s">
        <v>964</v>
      </c>
      <c r="H847">
        <v>68</v>
      </c>
      <c r="I847">
        <v>13.3971</v>
      </c>
      <c r="J847">
        <v>38.985300000000002</v>
      </c>
      <c r="K847">
        <v>25.588200000000001</v>
      </c>
      <c r="L847">
        <v>67</v>
      </c>
      <c r="M847">
        <v>1</v>
      </c>
      <c r="N847">
        <v>0</v>
      </c>
      <c r="O847">
        <v>40.673200000000001</v>
      </c>
      <c r="P847">
        <v>23.588899999999999</v>
      </c>
      <c r="Q847">
        <v>7.4754800000000001</v>
      </c>
    </row>
    <row r="848" spans="1:17" x14ac:dyDescent="0.25">
      <c r="A848" t="str">
        <f>IF(C848&amp;G848&amp;D848&lt;&gt;'Funnel setup'!$K$3&amp;'Funnel setup'!$K$4&amp;'Funnel setup'!$K$6,".",IF(A847=".",1,A847+1))</f>
        <v>.</v>
      </c>
      <c r="B848" s="244" t="str">
        <f t="shared" si="13"/>
        <v>Hip Replacement PrimaryProviderCAVELL HOSPITAL (NT451)Oxford Hip Score</v>
      </c>
      <c r="C848" t="s">
        <v>749</v>
      </c>
      <c r="D848" t="s">
        <v>965</v>
      </c>
      <c r="E848" t="s">
        <v>184</v>
      </c>
      <c r="F848" t="s">
        <v>185</v>
      </c>
      <c r="G848" t="s">
        <v>964</v>
      </c>
      <c r="H848">
        <v>17</v>
      </c>
      <c r="I848">
        <v>17.588200000000001</v>
      </c>
      <c r="J848">
        <v>41.411799999999999</v>
      </c>
      <c r="K848">
        <v>23.823499999999999</v>
      </c>
      <c r="L848">
        <v>17</v>
      </c>
      <c r="M848">
        <v>0</v>
      </c>
      <c r="N848">
        <v>0</v>
      </c>
      <c r="O848" t="s">
        <v>127</v>
      </c>
      <c r="P848" t="s">
        <v>127</v>
      </c>
      <c r="Q848" t="s">
        <v>127</v>
      </c>
    </row>
    <row r="849" spans="1:17" x14ac:dyDescent="0.25">
      <c r="A849" t="str">
        <f>IF(C849&amp;G849&amp;D849&lt;&gt;'Funnel setup'!$K$3&amp;'Funnel setup'!$K$4&amp;'Funnel setup'!$K$6,".",IF(A848=".",1,A848+1))</f>
        <v>.</v>
      </c>
      <c r="B849" s="244" t="str">
        <f t="shared" si="13"/>
        <v>Hip Replacement PrimaryProviderCHAUCER HOSPITAL (NT408)Oxford Hip Score</v>
      </c>
      <c r="C849" t="s">
        <v>749</v>
      </c>
      <c r="D849" t="s">
        <v>965</v>
      </c>
      <c r="E849" t="s">
        <v>186</v>
      </c>
      <c r="F849" t="s">
        <v>187</v>
      </c>
      <c r="G849" t="s">
        <v>964</v>
      </c>
      <c r="H849">
        <v>31</v>
      </c>
      <c r="I849">
        <v>18.645199999999999</v>
      </c>
      <c r="J849">
        <v>42.258099999999999</v>
      </c>
      <c r="K849">
        <v>23.6129</v>
      </c>
      <c r="L849">
        <v>30</v>
      </c>
      <c r="M849">
        <v>1</v>
      </c>
      <c r="N849">
        <v>0</v>
      </c>
      <c r="O849">
        <v>41.256399999999999</v>
      </c>
      <c r="P849">
        <v>24.1721</v>
      </c>
      <c r="Q849">
        <v>6.5385999999999997</v>
      </c>
    </row>
    <row r="850" spans="1:17" x14ac:dyDescent="0.25">
      <c r="A850" t="str">
        <f>IF(C850&amp;G850&amp;D850&lt;&gt;'Funnel setup'!$K$3&amp;'Funnel setup'!$K$4&amp;'Funnel setup'!$K$6,".",IF(A849=".",1,A849+1))</f>
        <v>.</v>
      </c>
      <c r="B850" s="244" t="str">
        <f t="shared" si="13"/>
        <v>Hip Replacement PrimaryProviderCHELSEA AND WESTMINSTER HOSPITAL NHS FOUNDATION TRUST (RQM)Oxford Hip Score</v>
      </c>
      <c r="C850" t="s">
        <v>749</v>
      </c>
      <c r="D850" t="s">
        <v>965</v>
      </c>
      <c r="E850" t="s">
        <v>188</v>
      </c>
      <c r="F850" t="s">
        <v>189</v>
      </c>
      <c r="G850" t="s">
        <v>964</v>
      </c>
      <c r="H850">
        <v>19</v>
      </c>
      <c r="I850">
        <v>15</v>
      </c>
      <c r="J850">
        <v>40.421100000000003</v>
      </c>
      <c r="K850">
        <v>25.421099999999999</v>
      </c>
      <c r="L850">
        <v>19</v>
      </c>
      <c r="M850">
        <v>0</v>
      </c>
      <c r="N850">
        <v>0</v>
      </c>
      <c r="O850" t="s">
        <v>127</v>
      </c>
      <c r="P850" t="s">
        <v>127</v>
      </c>
      <c r="Q850" t="s">
        <v>127</v>
      </c>
    </row>
    <row r="851" spans="1:17" x14ac:dyDescent="0.25">
      <c r="A851" t="str">
        <f>IF(C851&amp;G851&amp;D851&lt;&gt;'Funnel setup'!$K$3&amp;'Funnel setup'!$K$4&amp;'Funnel setup'!$K$6,".",IF(A850=".",1,A850+1))</f>
        <v>.</v>
      </c>
      <c r="B851" s="244" t="str">
        <f t="shared" si="13"/>
        <v>Hip Replacement PrimaryProviderCHELSFIELD PARK HOSPITAL (NT409)Oxford Hip Score</v>
      </c>
      <c r="C851" t="s">
        <v>749</v>
      </c>
      <c r="D851" t="s">
        <v>965</v>
      </c>
      <c r="E851" t="s">
        <v>190</v>
      </c>
      <c r="F851" t="s">
        <v>191</v>
      </c>
      <c r="G851" t="s">
        <v>964</v>
      </c>
      <c r="H851">
        <v>34</v>
      </c>
      <c r="I851">
        <v>21.176500000000001</v>
      </c>
      <c r="J851">
        <v>42.529400000000003</v>
      </c>
      <c r="K851">
        <v>21.352900000000002</v>
      </c>
      <c r="L851">
        <v>34</v>
      </c>
      <c r="M851">
        <v>0</v>
      </c>
      <c r="N851">
        <v>0</v>
      </c>
      <c r="O851">
        <v>40.146299999999997</v>
      </c>
      <c r="P851">
        <v>23.062000000000001</v>
      </c>
      <c r="Q851">
        <v>7.68126</v>
      </c>
    </row>
    <row r="852" spans="1:17" x14ac:dyDescent="0.25">
      <c r="A852" t="str">
        <f>IF(C852&amp;G852&amp;D852&lt;&gt;'Funnel setup'!$K$3&amp;'Funnel setup'!$K$4&amp;'Funnel setup'!$K$6,".",IF(A851=".",1,A851+1))</f>
        <v>.</v>
      </c>
      <c r="B852" s="244" t="str">
        <f t="shared" si="13"/>
        <v>Hip Replacement PrimaryProviderCHESTERFIELD ROYAL HOSPITAL NHS FOUNDATION TRUST (RFS)Oxford Hip Score</v>
      </c>
      <c r="C852" t="s">
        <v>749</v>
      </c>
      <c r="D852" t="s">
        <v>965</v>
      </c>
      <c r="E852" t="s">
        <v>192</v>
      </c>
      <c r="F852" t="s">
        <v>193</v>
      </c>
      <c r="G852" t="s">
        <v>964</v>
      </c>
      <c r="H852">
        <v>61</v>
      </c>
      <c r="I852">
        <v>14.311500000000001</v>
      </c>
      <c r="J852">
        <v>36.557400000000001</v>
      </c>
      <c r="K852">
        <v>22.245899999999999</v>
      </c>
      <c r="L852">
        <v>59</v>
      </c>
      <c r="M852">
        <v>0</v>
      </c>
      <c r="N852">
        <v>2</v>
      </c>
      <c r="O852">
        <v>38.326999999999998</v>
      </c>
      <c r="P852">
        <v>21.242699999999999</v>
      </c>
      <c r="Q852">
        <v>9.6940299999999997</v>
      </c>
    </row>
    <row r="853" spans="1:17" x14ac:dyDescent="0.25">
      <c r="A853" t="str">
        <f>IF(C853&amp;G853&amp;D853&lt;&gt;'Funnel setup'!$K$3&amp;'Funnel setup'!$K$4&amp;'Funnel setup'!$K$6,".",IF(A852=".",1,A852+1))</f>
        <v>.</v>
      </c>
      <c r="B853" s="244" t="str">
        <f t="shared" si="13"/>
        <v>Hip Replacement PrimaryProviderCHILTERN HOSPITAL (NT410)Oxford Hip Score</v>
      </c>
      <c r="C853" t="s">
        <v>749</v>
      </c>
      <c r="D853" t="s">
        <v>965</v>
      </c>
      <c r="E853" t="s">
        <v>194</v>
      </c>
      <c r="F853" t="s">
        <v>195</v>
      </c>
      <c r="G853" t="s">
        <v>964</v>
      </c>
      <c r="H853">
        <v>78</v>
      </c>
      <c r="I853">
        <v>19.359000000000002</v>
      </c>
      <c r="J853">
        <v>41.538499999999999</v>
      </c>
      <c r="K853">
        <v>22.179500000000001</v>
      </c>
      <c r="L853">
        <v>76</v>
      </c>
      <c r="M853">
        <v>1</v>
      </c>
      <c r="N853">
        <v>1</v>
      </c>
      <c r="O853">
        <v>39.667999999999999</v>
      </c>
      <c r="P853">
        <v>22.5837</v>
      </c>
      <c r="Q853">
        <v>6.5908800000000003</v>
      </c>
    </row>
    <row r="854" spans="1:17" x14ac:dyDescent="0.25">
      <c r="A854" t="str">
        <f>IF(C854&amp;G854&amp;D854&lt;&gt;'Funnel setup'!$K$3&amp;'Funnel setup'!$K$4&amp;'Funnel setup'!$K$6,".",IF(A853=".",1,A853+1))</f>
        <v>.</v>
      </c>
      <c r="B854" s="244" t="str">
        <f t="shared" si="13"/>
        <v>Hip Replacement PrimaryProviderCIRCLE BATH HOSPITAL (NV302)Oxford Hip Score</v>
      </c>
      <c r="C854" t="s">
        <v>749</v>
      </c>
      <c r="D854" t="s">
        <v>965</v>
      </c>
      <c r="E854" t="s">
        <v>196</v>
      </c>
      <c r="F854" t="s">
        <v>197</v>
      </c>
      <c r="G854" t="s">
        <v>964</v>
      </c>
      <c r="H854">
        <v>12</v>
      </c>
      <c r="I854">
        <v>23.583300000000001</v>
      </c>
      <c r="J854">
        <v>45.166699999999999</v>
      </c>
      <c r="K854">
        <v>21.583300000000001</v>
      </c>
      <c r="L854">
        <v>12</v>
      </c>
      <c r="M854">
        <v>0</v>
      </c>
      <c r="N854">
        <v>0</v>
      </c>
      <c r="O854" t="s">
        <v>127</v>
      </c>
      <c r="P854" t="s">
        <v>127</v>
      </c>
      <c r="Q854" t="s">
        <v>127</v>
      </c>
    </row>
    <row r="855" spans="1:17" x14ac:dyDescent="0.25">
      <c r="A855" t="str">
        <f>IF(C855&amp;G855&amp;D855&lt;&gt;'Funnel setup'!$K$3&amp;'Funnel setup'!$K$4&amp;'Funnel setup'!$K$6,".",IF(A854=".",1,A854+1))</f>
        <v>.</v>
      </c>
      <c r="B855" s="244" t="str">
        <f t="shared" si="13"/>
        <v>Hip Replacement PrimaryProviderCIRCLE READING HOSPITAL (NV323)Oxford Hip Score</v>
      </c>
      <c r="C855" t="s">
        <v>749</v>
      </c>
      <c r="D855" t="s">
        <v>965</v>
      </c>
      <c r="E855" t="s">
        <v>198</v>
      </c>
      <c r="F855" t="s">
        <v>199</v>
      </c>
      <c r="G855" t="s">
        <v>964</v>
      </c>
      <c r="H855">
        <v>74</v>
      </c>
      <c r="I855">
        <v>20.824300000000001</v>
      </c>
      <c r="J855">
        <v>43.027000000000001</v>
      </c>
      <c r="K855">
        <v>22.2027</v>
      </c>
      <c r="L855">
        <v>71</v>
      </c>
      <c r="M855">
        <v>0</v>
      </c>
      <c r="N855">
        <v>3</v>
      </c>
      <c r="O855">
        <v>40.843800000000002</v>
      </c>
      <c r="P855">
        <v>23.759499999999999</v>
      </c>
      <c r="Q855">
        <v>7.5219399999999998</v>
      </c>
    </row>
    <row r="856" spans="1:17" x14ac:dyDescent="0.25">
      <c r="A856" t="str">
        <f>IF(C856&amp;G856&amp;D856&lt;&gt;'Funnel setup'!$K$3&amp;'Funnel setup'!$K$4&amp;'Funnel setup'!$K$6,".",IF(A855=".",1,A855+1))</f>
        <v>.</v>
      </c>
      <c r="B856" s="244" t="str">
        <f t="shared" si="13"/>
        <v>Hip Replacement PrimaryProviderCLEMENTINE CHURCHILL HOSPITAL (NT411)Oxford Hip Score</v>
      </c>
      <c r="C856" t="s">
        <v>749</v>
      </c>
      <c r="D856" t="s">
        <v>965</v>
      </c>
      <c r="E856" t="s">
        <v>200</v>
      </c>
      <c r="F856" t="s">
        <v>201</v>
      </c>
      <c r="G856" t="s">
        <v>964</v>
      </c>
      <c r="H856">
        <v>25</v>
      </c>
      <c r="I856">
        <v>21.68</v>
      </c>
      <c r="J856">
        <v>40.56</v>
      </c>
      <c r="K856">
        <v>18.88</v>
      </c>
      <c r="L856">
        <v>24</v>
      </c>
      <c r="M856">
        <v>0</v>
      </c>
      <c r="N856">
        <v>1</v>
      </c>
      <c r="O856" t="s">
        <v>127</v>
      </c>
      <c r="P856" t="s">
        <v>127</v>
      </c>
      <c r="Q856" t="s">
        <v>127</v>
      </c>
    </row>
    <row r="857" spans="1:17" x14ac:dyDescent="0.25">
      <c r="A857" t="str">
        <f>IF(C857&amp;G857&amp;D857&lt;&gt;'Funnel setup'!$K$3&amp;'Funnel setup'!$K$4&amp;'Funnel setup'!$K$6,".",IF(A856=".",1,A856+1))</f>
        <v>.</v>
      </c>
      <c r="B857" s="244" t="str">
        <f t="shared" si="13"/>
        <v>Hip Replacement PrimaryProviderCLIFTON PARK HOSPITAL (NVC28)Oxford Hip Score</v>
      </c>
      <c r="C857" t="s">
        <v>749</v>
      </c>
      <c r="D857" t="s">
        <v>965</v>
      </c>
      <c r="E857" t="s">
        <v>202</v>
      </c>
      <c r="F857" t="s">
        <v>203</v>
      </c>
      <c r="G857" t="s">
        <v>964</v>
      </c>
      <c r="H857">
        <v>41</v>
      </c>
      <c r="I857">
        <v>24.2439</v>
      </c>
      <c r="J857">
        <v>29.1707</v>
      </c>
      <c r="K857">
        <v>4.9268299999999998</v>
      </c>
      <c r="L857">
        <v>23</v>
      </c>
      <c r="M857">
        <v>4</v>
      </c>
      <c r="N857">
        <v>14</v>
      </c>
      <c r="O857">
        <v>26.891400000000001</v>
      </c>
      <c r="P857">
        <v>9.8071099999999998</v>
      </c>
      <c r="Q857">
        <v>8.5294100000000004</v>
      </c>
    </row>
    <row r="858" spans="1:17" x14ac:dyDescent="0.25">
      <c r="A858" t="str">
        <f>IF(C858&amp;G858&amp;D858&lt;&gt;'Funnel setup'!$K$3&amp;'Funnel setup'!$K$4&amp;'Funnel setup'!$K$6,".",IF(A857=".",1,A857+1))</f>
        <v>.</v>
      </c>
      <c r="B858" s="244" t="str">
        <f t="shared" si="13"/>
        <v>Hip Replacement PrimaryProviderCOUNTESS OF CHESTER HOSPITAL NHS FOUNDATION TRUST (RJR)Oxford Hip Score</v>
      </c>
      <c r="C858" t="s">
        <v>749</v>
      </c>
      <c r="D858" t="s">
        <v>965</v>
      </c>
      <c r="E858" t="s">
        <v>204</v>
      </c>
      <c r="F858" t="s">
        <v>205</v>
      </c>
      <c r="G858" t="s">
        <v>964</v>
      </c>
      <c r="H858">
        <v>29</v>
      </c>
      <c r="I858">
        <v>15.4483</v>
      </c>
      <c r="J858">
        <v>39.827599999999997</v>
      </c>
      <c r="K858">
        <v>24.379300000000001</v>
      </c>
      <c r="L858">
        <v>29</v>
      </c>
      <c r="M858">
        <v>0</v>
      </c>
      <c r="N858">
        <v>0</v>
      </c>
      <c r="O858" t="s">
        <v>127</v>
      </c>
      <c r="P858" t="s">
        <v>127</v>
      </c>
      <c r="Q858" t="s">
        <v>127</v>
      </c>
    </row>
    <row r="859" spans="1:17" x14ac:dyDescent="0.25">
      <c r="A859" t="str">
        <f>IF(C859&amp;G859&amp;D859&lt;&gt;'Funnel setup'!$K$3&amp;'Funnel setup'!$K$4&amp;'Funnel setup'!$K$6,".",IF(A858=".",1,A858+1))</f>
        <v>.</v>
      </c>
      <c r="B859" s="244" t="str">
        <f t="shared" si="13"/>
        <v>Hip Replacement PrimaryProviderCOUNTY DURHAM AND DARLINGTON NHS FOUNDATION TRUST (RXP)Oxford Hip Score</v>
      </c>
      <c r="C859" t="s">
        <v>749</v>
      </c>
      <c r="D859" t="s">
        <v>965</v>
      </c>
      <c r="E859" t="s">
        <v>206</v>
      </c>
      <c r="F859" t="s">
        <v>207</v>
      </c>
      <c r="G859" t="s">
        <v>964</v>
      </c>
      <c r="H859">
        <v>173</v>
      </c>
      <c r="I859">
        <v>16.7746</v>
      </c>
      <c r="J859">
        <v>37.884399999999999</v>
      </c>
      <c r="K859">
        <v>21.1098</v>
      </c>
      <c r="L859">
        <v>165</v>
      </c>
      <c r="M859">
        <v>0</v>
      </c>
      <c r="N859">
        <v>8</v>
      </c>
      <c r="O859">
        <v>38.568399999999997</v>
      </c>
      <c r="P859">
        <v>21.484100000000002</v>
      </c>
      <c r="Q859">
        <v>9.3307699999999993</v>
      </c>
    </row>
    <row r="860" spans="1:17" x14ac:dyDescent="0.25">
      <c r="A860" t="str">
        <f>IF(C860&amp;G860&amp;D860&lt;&gt;'Funnel setup'!$K$3&amp;'Funnel setup'!$K$4&amp;'Funnel setup'!$K$6,".",IF(A859=".",1,A859+1))</f>
        <v>.</v>
      </c>
      <c r="B860" s="244" t="str">
        <f t="shared" si="13"/>
        <v>Hip Replacement PrimaryProviderDONCASTER AND BASSETLAW TEACHING HOSPITALS NHS FOUNDATION TRUST (RP5)Oxford Hip Score</v>
      </c>
      <c r="C860" t="s">
        <v>749</v>
      </c>
      <c r="D860" t="s">
        <v>965</v>
      </c>
      <c r="E860" t="s">
        <v>212</v>
      </c>
      <c r="F860" t="s">
        <v>213</v>
      </c>
      <c r="G860" t="s">
        <v>964</v>
      </c>
      <c r="H860">
        <v>60</v>
      </c>
      <c r="I860">
        <v>13.533300000000001</v>
      </c>
      <c r="J860">
        <v>34.15</v>
      </c>
      <c r="K860">
        <v>20.616700000000002</v>
      </c>
      <c r="L860">
        <v>54</v>
      </c>
      <c r="M860">
        <v>0</v>
      </c>
      <c r="N860">
        <v>6</v>
      </c>
      <c r="O860">
        <v>36.717100000000002</v>
      </c>
      <c r="P860">
        <v>19.6328</v>
      </c>
      <c r="Q860">
        <v>10.766</v>
      </c>
    </row>
    <row r="861" spans="1:17" x14ac:dyDescent="0.25">
      <c r="A861" t="str">
        <f>IF(C861&amp;G861&amp;D861&lt;&gt;'Funnel setup'!$K$3&amp;'Funnel setup'!$K$4&amp;'Funnel setup'!$K$6,".",IF(A860=".",1,A860+1))</f>
        <v>.</v>
      </c>
      <c r="B861" s="244" t="str">
        <f t="shared" si="13"/>
        <v>Hip Replacement PrimaryProviderDORSET COUNTY HOSPITAL NHS FOUNDATION TRUST (RBD)Oxford Hip Score</v>
      </c>
      <c r="C861" t="s">
        <v>749</v>
      </c>
      <c r="D861" t="s">
        <v>965</v>
      </c>
      <c r="E861" t="s">
        <v>214</v>
      </c>
      <c r="F861" t="s">
        <v>215</v>
      </c>
      <c r="G861" t="s">
        <v>964</v>
      </c>
      <c r="H861">
        <v>13</v>
      </c>
      <c r="I861">
        <v>15.1538</v>
      </c>
      <c r="J861">
        <v>40.230800000000002</v>
      </c>
      <c r="K861">
        <v>25.076899999999998</v>
      </c>
      <c r="L861">
        <v>13</v>
      </c>
      <c r="M861">
        <v>0</v>
      </c>
      <c r="N861">
        <v>0</v>
      </c>
      <c r="O861" t="s">
        <v>127</v>
      </c>
      <c r="P861" t="s">
        <v>127</v>
      </c>
      <c r="Q861" t="s">
        <v>127</v>
      </c>
    </row>
    <row r="862" spans="1:17" x14ac:dyDescent="0.25">
      <c r="A862" t="str">
        <f>IF(C862&amp;G862&amp;D862&lt;&gt;'Funnel setup'!$K$3&amp;'Funnel setup'!$K$4&amp;'Funnel setup'!$K$6,".",IF(A861=".",1,A861+1))</f>
        <v>.</v>
      </c>
      <c r="B862" s="244" t="str">
        <f t="shared" si="13"/>
        <v>Hip Replacement PrimaryProviderDROITWICH SPA HOSPITAL (NT412)Oxford Hip Score</v>
      </c>
      <c r="C862" t="s">
        <v>749</v>
      </c>
      <c r="D862" t="s">
        <v>965</v>
      </c>
      <c r="E862" t="s">
        <v>216</v>
      </c>
      <c r="F862" t="s">
        <v>217</v>
      </c>
      <c r="G862" t="s">
        <v>964</v>
      </c>
      <c r="H862">
        <v>25</v>
      </c>
      <c r="I862">
        <v>16.48</v>
      </c>
      <c r="J862">
        <v>42.32</v>
      </c>
      <c r="K862">
        <v>25.84</v>
      </c>
      <c r="L862">
        <v>25</v>
      </c>
      <c r="M862">
        <v>0</v>
      </c>
      <c r="N862">
        <v>0</v>
      </c>
      <c r="O862" t="s">
        <v>127</v>
      </c>
      <c r="P862" t="s">
        <v>127</v>
      </c>
      <c r="Q862" t="s">
        <v>127</v>
      </c>
    </row>
    <row r="863" spans="1:17" x14ac:dyDescent="0.25">
      <c r="A863" t="str">
        <f>IF(C863&amp;G863&amp;D863&lt;&gt;'Funnel setup'!$K$3&amp;'Funnel setup'!$K$4&amp;'Funnel setup'!$K$6,".",IF(A862=".",1,A862+1))</f>
        <v>.</v>
      </c>
      <c r="B863" s="244" t="str">
        <f t="shared" si="13"/>
        <v>Hip Replacement PrimaryProviderDUCHY HOSPITAL (NT447)Oxford Hip Score</v>
      </c>
      <c r="C863" t="s">
        <v>749</v>
      </c>
      <c r="D863" t="s">
        <v>965</v>
      </c>
      <c r="E863" t="s">
        <v>218</v>
      </c>
      <c r="F863" t="s">
        <v>219</v>
      </c>
      <c r="G863" t="s">
        <v>964</v>
      </c>
      <c r="H863">
        <v>29</v>
      </c>
      <c r="I863">
        <v>19.896599999999999</v>
      </c>
      <c r="J863">
        <v>42.586199999999998</v>
      </c>
      <c r="K863">
        <v>22.689699999999998</v>
      </c>
      <c r="L863">
        <v>29</v>
      </c>
      <c r="M863">
        <v>0</v>
      </c>
      <c r="N863">
        <v>0</v>
      </c>
      <c r="O863" t="s">
        <v>127</v>
      </c>
      <c r="P863" t="s">
        <v>127</v>
      </c>
      <c r="Q863" t="s">
        <v>127</v>
      </c>
    </row>
    <row r="864" spans="1:17" x14ac:dyDescent="0.25">
      <c r="A864" t="str">
        <f>IF(C864&amp;G864&amp;D864&lt;&gt;'Funnel setup'!$K$3&amp;'Funnel setup'!$K$4&amp;'Funnel setup'!$K$6,".",IF(A863=".",1,A863+1))</f>
        <v>.</v>
      </c>
      <c r="B864" s="244" t="str">
        <f t="shared" si="13"/>
        <v>Hip Replacement PrimaryProviderDUCHY HOSPITAL (NVC04)Oxford Hip Score</v>
      </c>
      <c r="C864" t="s">
        <v>749</v>
      </c>
      <c r="D864" t="s">
        <v>965</v>
      </c>
      <c r="E864" t="s">
        <v>220</v>
      </c>
      <c r="F864" t="s">
        <v>221</v>
      </c>
      <c r="G864" t="s">
        <v>964</v>
      </c>
      <c r="H864">
        <v>25</v>
      </c>
      <c r="I864">
        <v>26.4</v>
      </c>
      <c r="J864">
        <v>27.36</v>
      </c>
      <c r="K864">
        <v>0.96</v>
      </c>
      <c r="L864">
        <v>15</v>
      </c>
      <c r="M864">
        <v>1</v>
      </c>
      <c r="N864">
        <v>9</v>
      </c>
      <c r="O864" t="s">
        <v>127</v>
      </c>
      <c r="P864" t="s">
        <v>127</v>
      </c>
      <c r="Q864" t="s">
        <v>127</v>
      </c>
    </row>
    <row r="865" spans="1:17" x14ac:dyDescent="0.25">
      <c r="A865" t="str">
        <f>IF(C865&amp;G865&amp;D865&lt;&gt;'Funnel setup'!$K$3&amp;'Funnel setup'!$K$4&amp;'Funnel setup'!$K$6,".",IF(A864=".",1,A864+1))</f>
        <v>.</v>
      </c>
      <c r="B865" s="244" t="str">
        <f t="shared" si="13"/>
        <v>Hip Replacement PrimaryProviderEAST AND NORTH HERTFORDSHIRE NHS TRUST (RWH)Oxford Hip Score</v>
      </c>
      <c r="C865" t="s">
        <v>749</v>
      </c>
      <c r="D865" t="s">
        <v>965</v>
      </c>
      <c r="E865" t="s">
        <v>224</v>
      </c>
      <c r="F865" t="s">
        <v>225</v>
      </c>
      <c r="G865" t="s">
        <v>964</v>
      </c>
      <c r="H865">
        <v>34</v>
      </c>
      <c r="I865">
        <v>16.029399999999999</v>
      </c>
      <c r="J865">
        <v>40.176499999999997</v>
      </c>
      <c r="K865">
        <v>24.147099999999998</v>
      </c>
      <c r="L865">
        <v>33</v>
      </c>
      <c r="M865">
        <v>0</v>
      </c>
      <c r="N865">
        <v>1</v>
      </c>
      <c r="O865">
        <v>40.2624</v>
      </c>
      <c r="P865">
        <v>23.178100000000001</v>
      </c>
      <c r="Q865">
        <v>8.0730799999999991</v>
      </c>
    </row>
    <row r="866" spans="1:17" x14ac:dyDescent="0.25">
      <c r="A866" t="str">
        <f>IF(C866&amp;G866&amp;D866&lt;&gt;'Funnel setup'!$K$3&amp;'Funnel setup'!$K$4&amp;'Funnel setup'!$K$6,".",IF(A865=".",1,A865+1))</f>
        <v>.</v>
      </c>
      <c r="B866" s="244" t="str">
        <f t="shared" si="13"/>
        <v>Hip Replacement PrimaryProviderEAST CHESHIRE NHS TRUST (RJN)Oxford Hip Score</v>
      </c>
      <c r="C866" t="s">
        <v>749</v>
      </c>
      <c r="D866" t="s">
        <v>965</v>
      </c>
      <c r="E866" t="s">
        <v>226</v>
      </c>
      <c r="F866" t="s">
        <v>227</v>
      </c>
      <c r="G866" t="s">
        <v>964</v>
      </c>
      <c r="H866">
        <v>5</v>
      </c>
      <c r="I866">
        <v>19</v>
      </c>
      <c r="J866">
        <v>37.4</v>
      </c>
      <c r="K866">
        <v>18.399999999999999</v>
      </c>
      <c r="L866">
        <v>5</v>
      </c>
      <c r="M866">
        <v>0</v>
      </c>
      <c r="N866">
        <v>0</v>
      </c>
      <c r="O866" t="s">
        <v>127</v>
      </c>
      <c r="P866" t="s">
        <v>127</v>
      </c>
      <c r="Q866" t="s">
        <v>127</v>
      </c>
    </row>
    <row r="867" spans="1:17" x14ac:dyDescent="0.25">
      <c r="A867" t="str">
        <f>IF(C867&amp;G867&amp;D867&lt;&gt;'Funnel setup'!$K$3&amp;'Funnel setup'!$K$4&amp;'Funnel setup'!$K$6,".",IF(A866=".",1,A866+1))</f>
        <v>.</v>
      </c>
      <c r="B867" s="244" t="str">
        <f t="shared" si="13"/>
        <v>Hip Replacement PrimaryProviderEAST KENT HOSPITALS UNIVERSITY NHS FOUNDATION TRUST (RVV)Oxford Hip Score</v>
      </c>
      <c r="C867" t="s">
        <v>749</v>
      </c>
      <c r="D867" t="s">
        <v>965</v>
      </c>
      <c r="E867" t="s">
        <v>228</v>
      </c>
      <c r="F867" t="s">
        <v>229</v>
      </c>
      <c r="G867" t="s">
        <v>964</v>
      </c>
      <c r="H867">
        <v>94</v>
      </c>
      <c r="I867">
        <v>15.2766</v>
      </c>
      <c r="J867">
        <v>39.4574</v>
      </c>
      <c r="K867">
        <v>24.180900000000001</v>
      </c>
      <c r="L867">
        <v>92</v>
      </c>
      <c r="M867">
        <v>0</v>
      </c>
      <c r="N867">
        <v>2</v>
      </c>
      <c r="O867">
        <v>41.071100000000001</v>
      </c>
      <c r="P867">
        <v>23.986799999999999</v>
      </c>
      <c r="Q867">
        <v>7.4431000000000003</v>
      </c>
    </row>
    <row r="868" spans="1:17" x14ac:dyDescent="0.25">
      <c r="A868" t="str">
        <f>IF(C868&amp;G868&amp;D868&lt;&gt;'Funnel setup'!$K$3&amp;'Funnel setup'!$K$4&amp;'Funnel setup'!$K$6,".",IF(A867=".",1,A867+1))</f>
        <v>.</v>
      </c>
      <c r="B868" s="244" t="str">
        <f t="shared" si="13"/>
        <v>Hip Replacement PrimaryProviderEAST LANCASHIRE HOSPITALS NHS TRUST (RXR)Oxford Hip Score</v>
      </c>
      <c r="C868" t="s">
        <v>749</v>
      </c>
      <c r="D868" t="s">
        <v>965</v>
      </c>
      <c r="E868" t="s">
        <v>230</v>
      </c>
      <c r="F868" t="s">
        <v>231</v>
      </c>
      <c r="G868" t="s">
        <v>964</v>
      </c>
      <c r="H868">
        <v>96</v>
      </c>
      <c r="I868">
        <v>14.833299999999999</v>
      </c>
      <c r="J868">
        <v>39.666699999999999</v>
      </c>
      <c r="K868">
        <v>24.833300000000001</v>
      </c>
      <c r="L868">
        <v>94</v>
      </c>
      <c r="M868">
        <v>1</v>
      </c>
      <c r="N868">
        <v>1</v>
      </c>
      <c r="O868">
        <v>41.670099999999998</v>
      </c>
      <c r="P868">
        <v>24.585799999999999</v>
      </c>
      <c r="Q868">
        <v>6.8618300000000003</v>
      </c>
    </row>
    <row r="869" spans="1:17" x14ac:dyDescent="0.25">
      <c r="A869" t="str">
        <f>IF(C869&amp;G869&amp;D869&lt;&gt;'Funnel setup'!$K$3&amp;'Funnel setup'!$K$4&amp;'Funnel setup'!$K$6,".",IF(A868=".",1,A868+1))</f>
        <v>.</v>
      </c>
      <c r="B869" s="244" t="str">
        <f t="shared" si="13"/>
        <v>Hip Replacement PrimaryProviderEAST SUFFOLK AND NORTH ESSEX NHS FOUNDATION TRUST (RDE)Oxford Hip Score</v>
      </c>
      <c r="C869" t="s">
        <v>749</v>
      </c>
      <c r="D869" t="s">
        <v>965</v>
      </c>
      <c r="E869" t="s">
        <v>232</v>
      </c>
      <c r="F869" t="s">
        <v>233</v>
      </c>
      <c r="G869" t="s">
        <v>964</v>
      </c>
      <c r="H869">
        <v>141</v>
      </c>
      <c r="I869">
        <v>15</v>
      </c>
      <c r="J869">
        <v>39.4255</v>
      </c>
      <c r="K869">
        <v>24.4255</v>
      </c>
      <c r="L869">
        <v>140</v>
      </c>
      <c r="M869">
        <v>0</v>
      </c>
      <c r="N869">
        <v>1</v>
      </c>
      <c r="O869">
        <v>40.310400000000001</v>
      </c>
      <c r="P869">
        <v>23.226099999999999</v>
      </c>
      <c r="Q869">
        <v>7.6869699999999996</v>
      </c>
    </row>
    <row r="870" spans="1:17" x14ac:dyDescent="0.25">
      <c r="A870" t="str">
        <f>IF(C870&amp;G870&amp;D870&lt;&gt;'Funnel setup'!$K$3&amp;'Funnel setup'!$K$4&amp;'Funnel setup'!$K$6,".",IF(A869=".",1,A869+1))</f>
        <v>.</v>
      </c>
      <c r="B870" s="244" t="str">
        <f t="shared" si="13"/>
        <v>Hip Replacement PrimaryProviderEAST SUSSEX HEALTHCARE NHS TRUST (RXC)Oxford Hip Score</v>
      </c>
      <c r="C870" t="s">
        <v>749</v>
      </c>
      <c r="D870" t="s">
        <v>965</v>
      </c>
      <c r="E870" t="s">
        <v>234</v>
      </c>
      <c r="F870" t="s">
        <v>235</v>
      </c>
      <c r="G870" t="s">
        <v>964</v>
      </c>
      <c r="H870">
        <v>92</v>
      </c>
      <c r="I870">
        <v>17.380400000000002</v>
      </c>
      <c r="J870">
        <v>40.532600000000002</v>
      </c>
      <c r="K870">
        <v>23.152200000000001</v>
      </c>
      <c r="L870">
        <v>88</v>
      </c>
      <c r="M870">
        <v>1</v>
      </c>
      <c r="N870">
        <v>3</v>
      </c>
      <c r="O870">
        <v>41.134500000000003</v>
      </c>
      <c r="P870">
        <v>24.0502</v>
      </c>
      <c r="Q870">
        <v>8.3513199999999994</v>
      </c>
    </row>
    <row r="871" spans="1:17" x14ac:dyDescent="0.25">
      <c r="A871" t="str">
        <f>IF(C871&amp;G871&amp;D871&lt;&gt;'Funnel setup'!$K$3&amp;'Funnel setup'!$K$4&amp;'Funnel setup'!$K$6,".",IF(A870=".",1,A870+1))</f>
        <v>.</v>
      </c>
      <c r="B871" s="244" t="str">
        <f t="shared" si="13"/>
        <v>Hip Replacement PrimaryProviderEPSOM AND ST HELIER UNIVERSITY HOSPITALS NHS TRUST (RVR)Oxford Hip Score</v>
      </c>
      <c r="C871" t="s">
        <v>749</v>
      </c>
      <c r="D871" t="s">
        <v>965</v>
      </c>
      <c r="E871" t="s">
        <v>238</v>
      </c>
      <c r="F871" t="s">
        <v>239</v>
      </c>
      <c r="G871" t="s">
        <v>964</v>
      </c>
      <c r="H871">
        <v>533</v>
      </c>
      <c r="I871">
        <v>19.168900000000001</v>
      </c>
      <c r="J871">
        <v>40.591000000000001</v>
      </c>
      <c r="K871">
        <v>21.4221</v>
      </c>
      <c r="L871">
        <v>522</v>
      </c>
      <c r="M871">
        <v>1</v>
      </c>
      <c r="N871">
        <v>10</v>
      </c>
      <c r="O871">
        <v>39.900700000000001</v>
      </c>
      <c r="P871">
        <v>22.816400000000002</v>
      </c>
      <c r="Q871">
        <v>7.2471699999999997</v>
      </c>
    </row>
    <row r="872" spans="1:17" x14ac:dyDescent="0.25">
      <c r="A872" t="str">
        <f>IF(C872&amp;G872&amp;D872&lt;&gt;'Funnel setup'!$K$3&amp;'Funnel setup'!$K$4&amp;'Funnel setup'!$K$6,".",IF(A871=".",1,A871+1))</f>
        <v>.</v>
      </c>
      <c r="B872" s="244" t="str">
        <f t="shared" si="13"/>
        <v>Hip Replacement PrimaryProviderEUXTON HALL HOSPITAL (NVC05)Oxford Hip Score</v>
      </c>
      <c r="C872" t="s">
        <v>749</v>
      </c>
      <c r="D872" t="s">
        <v>965</v>
      </c>
      <c r="E872" t="s">
        <v>240</v>
      </c>
      <c r="F872" t="s">
        <v>241</v>
      </c>
      <c r="G872" t="s">
        <v>964</v>
      </c>
      <c r="H872">
        <v>59</v>
      </c>
      <c r="I872">
        <v>16.1525</v>
      </c>
      <c r="J872">
        <v>40.9831</v>
      </c>
      <c r="K872">
        <v>24.830500000000001</v>
      </c>
      <c r="L872">
        <v>58</v>
      </c>
      <c r="M872">
        <v>0</v>
      </c>
      <c r="N872">
        <v>1</v>
      </c>
      <c r="O872">
        <v>41.232799999999997</v>
      </c>
      <c r="P872">
        <v>24.148499999999999</v>
      </c>
      <c r="Q872">
        <v>8.1521399999999993</v>
      </c>
    </row>
    <row r="873" spans="1:17" x14ac:dyDescent="0.25">
      <c r="A873" t="str">
        <f>IF(C873&amp;G873&amp;D873&lt;&gt;'Funnel setup'!$K$3&amp;'Funnel setup'!$K$4&amp;'Funnel setup'!$K$6,".",IF(A872=".",1,A872+1))</f>
        <v>.</v>
      </c>
      <c r="B873" s="244" t="str">
        <f t="shared" si="13"/>
        <v>Hip Replacement PrimaryProviderFAIRFIELD HOSPITAL (NVG01)Oxford Hip Score</v>
      </c>
      <c r="C873" t="s">
        <v>749</v>
      </c>
      <c r="D873" t="s">
        <v>965</v>
      </c>
      <c r="E873" t="s">
        <v>242</v>
      </c>
      <c r="F873" t="s">
        <v>243</v>
      </c>
      <c r="G873" t="s">
        <v>964</v>
      </c>
      <c r="H873">
        <v>42</v>
      </c>
      <c r="I873">
        <v>17.119</v>
      </c>
      <c r="J873">
        <v>37.6905</v>
      </c>
      <c r="K873">
        <v>20.571400000000001</v>
      </c>
      <c r="L873">
        <v>40</v>
      </c>
      <c r="M873">
        <v>0</v>
      </c>
      <c r="N873">
        <v>2</v>
      </c>
      <c r="O873">
        <v>37.360999999999997</v>
      </c>
      <c r="P873">
        <v>20.276700000000002</v>
      </c>
      <c r="Q873">
        <v>10.017300000000001</v>
      </c>
    </row>
    <row r="874" spans="1:17" x14ac:dyDescent="0.25">
      <c r="A874" t="str">
        <f>IF(C874&amp;G874&amp;D874&lt;&gt;'Funnel setup'!$K$3&amp;'Funnel setup'!$K$4&amp;'Funnel setup'!$K$6,".",IF(A873=".",1,A873+1))</f>
        <v>.</v>
      </c>
      <c r="B874" s="244" t="str">
        <f t="shared" si="13"/>
        <v>Hip Replacement PrimaryProviderFITZWILLIAM HOSPITAL (NVC06)Oxford Hip Score</v>
      </c>
      <c r="C874" t="s">
        <v>749</v>
      </c>
      <c r="D874" t="s">
        <v>965</v>
      </c>
      <c r="E874" t="s">
        <v>244</v>
      </c>
      <c r="F874" t="s">
        <v>245</v>
      </c>
      <c r="G874" t="s">
        <v>964</v>
      </c>
      <c r="H874">
        <v>60</v>
      </c>
      <c r="I874">
        <v>17.333300000000001</v>
      </c>
      <c r="J874">
        <v>40.716700000000003</v>
      </c>
      <c r="K874">
        <v>23.383299999999998</v>
      </c>
      <c r="L874">
        <v>59</v>
      </c>
      <c r="M874">
        <v>0</v>
      </c>
      <c r="N874">
        <v>1</v>
      </c>
      <c r="O874">
        <v>40.679600000000001</v>
      </c>
      <c r="P874">
        <v>23.595300000000002</v>
      </c>
      <c r="Q874">
        <v>6.6843500000000002</v>
      </c>
    </row>
    <row r="875" spans="1:17" x14ac:dyDescent="0.25">
      <c r="A875" t="str">
        <f>IF(C875&amp;G875&amp;D875&lt;&gt;'Funnel setup'!$K$3&amp;'Funnel setup'!$K$4&amp;'Funnel setup'!$K$6,".",IF(A874=".",1,A874+1))</f>
        <v>.</v>
      </c>
      <c r="B875" s="244" t="str">
        <f t="shared" si="13"/>
        <v>Hip Replacement PrimaryProviderFRIMLEY HEALTH NHS FOUNDATION TRUST (RDU)Oxford Hip Score</v>
      </c>
      <c r="C875" t="s">
        <v>749</v>
      </c>
      <c r="D875" t="s">
        <v>965</v>
      </c>
      <c r="E875" t="s">
        <v>248</v>
      </c>
      <c r="F875" t="s">
        <v>249</v>
      </c>
      <c r="G875" t="s">
        <v>964</v>
      </c>
      <c r="H875">
        <v>176</v>
      </c>
      <c r="I875">
        <v>18.198899999999998</v>
      </c>
      <c r="J875">
        <v>40.75</v>
      </c>
      <c r="K875">
        <v>22.551100000000002</v>
      </c>
      <c r="L875">
        <v>172</v>
      </c>
      <c r="M875">
        <v>2</v>
      </c>
      <c r="N875">
        <v>2</v>
      </c>
      <c r="O875">
        <v>40.073900000000002</v>
      </c>
      <c r="P875">
        <v>22.989599999999999</v>
      </c>
      <c r="Q875">
        <v>7.9315699999999998</v>
      </c>
    </row>
    <row r="876" spans="1:17" x14ac:dyDescent="0.25">
      <c r="A876" t="str">
        <f>IF(C876&amp;G876&amp;D876&lt;&gt;'Funnel setup'!$K$3&amp;'Funnel setup'!$K$4&amp;'Funnel setup'!$K$6,".",IF(A875=".",1,A875+1))</f>
        <v>.</v>
      </c>
      <c r="B876" s="244" t="str">
        <f t="shared" si="13"/>
        <v>Hip Replacement PrimaryProviderFULWOOD HALL HOSPITAL (NVC07)Oxford Hip Score</v>
      </c>
      <c r="C876" t="s">
        <v>749</v>
      </c>
      <c r="D876" t="s">
        <v>965</v>
      </c>
      <c r="E876" t="s">
        <v>250</v>
      </c>
      <c r="F876" t="s">
        <v>251</v>
      </c>
      <c r="G876" t="s">
        <v>964</v>
      </c>
      <c r="H876">
        <v>72</v>
      </c>
      <c r="I876">
        <v>21.166699999999999</v>
      </c>
      <c r="J876">
        <v>42.3889</v>
      </c>
      <c r="K876">
        <v>21.222200000000001</v>
      </c>
      <c r="L876">
        <v>72</v>
      </c>
      <c r="M876">
        <v>0</v>
      </c>
      <c r="N876">
        <v>0</v>
      </c>
      <c r="O876">
        <v>40.582099999999997</v>
      </c>
      <c r="P876">
        <v>23.497800000000002</v>
      </c>
      <c r="Q876">
        <v>6.1728300000000003</v>
      </c>
    </row>
    <row r="877" spans="1:17" x14ac:dyDescent="0.25">
      <c r="A877" t="str">
        <f>IF(C877&amp;G877&amp;D877&lt;&gt;'Funnel setup'!$K$3&amp;'Funnel setup'!$K$4&amp;'Funnel setup'!$K$6,".",IF(A876=".",1,A876+1))</f>
        <v>.</v>
      </c>
      <c r="B877" s="244" t="str">
        <f t="shared" si="13"/>
        <v>Hip Replacement PrimaryProviderGATESHEAD HEALTH NHS FOUNDATION TRUST (RR7)Oxford Hip Score</v>
      </c>
      <c r="C877" t="s">
        <v>749</v>
      </c>
      <c r="D877" t="s">
        <v>965</v>
      </c>
      <c r="E877" t="s">
        <v>252</v>
      </c>
      <c r="F877" t="s">
        <v>253</v>
      </c>
      <c r="G877" t="s">
        <v>964</v>
      </c>
      <c r="H877">
        <v>48</v>
      </c>
      <c r="I877">
        <v>13.833299999999999</v>
      </c>
      <c r="J877">
        <v>40.145800000000001</v>
      </c>
      <c r="K877">
        <v>26.3125</v>
      </c>
      <c r="L877">
        <v>48</v>
      </c>
      <c r="M877">
        <v>0</v>
      </c>
      <c r="N877">
        <v>0</v>
      </c>
      <c r="O877">
        <v>41.968299999999999</v>
      </c>
      <c r="P877">
        <v>24.884</v>
      </c>
      <c r="Q877">
        <v>8.4927200000000003</v>
      </c>
    </row>
    <row r="878" spans="1:17" x14ac:dyDescent="0.25">
      <c r="A878" t="str">
        <f>IF(C878&amp;G878&amp;D878&lt;&gt;'Funnel setup'!$K$3&amp;'Funnel setup'!$K$4&amp;'Funnel setup'!$K$6,".",IF(A877=".",1,A877+1))</f>
        <v>.</v>
      </c>
      <c r="B878" s="244" t="str">
        <f t="shared" si="13"/>
        <v>Hip Replacement PrimaryProviderGLOUCESTERSHIRE HOSPITALS NHS FOUNDATION TRUST (RTE)Oxford Hip Score</v>
      </c>
      <c r="C878" t="s">
        <v>749</v>
      </c>
      <c r="D878" t="s">
        <v>965</v>
      </c>
      <c r="E878" t="s">
        <v>256</v>
      </c>
      <c r="F878" t="s">
        <v>257</v>
      </c>
      <c r="G878" t="s">
        <v>964</v>
      </c>
      <c r="H878">
        <v>76</v>
      </c>
      <c r="I878">
        <v>14.8026</v>
      </c>
      <c r="J878">
        <v>38.407899999999998</v>
      </c>
      <c r="K878">
        <v>23.6053</v>
      </c>
      <c r="L878">
        <v>76</v>
      </c>
      <c r="M878">
        <v>0</v>
      </c>
      <c r="N878">
        <v>0</v>
      </c>
      <c r="O878">
        <v>39.216900000000003</v>
      </c>
      <c r="P878">
        <v>22.1326</v>
      </c>
      <c r="Q878">
        <v>8.4476899999999997</v>
      </c>
    </row>
    <row r="879" spans="1:17" x14ac:dyDescent="0.25">
      <c r="A879" t="str">
        <f>IF(C879&amp;G879&amp;D879&lt;&gt;'Funnel setup'!$K$3&amp;'Funnel setup'!$K$4&amp;'Funnel setup'!$K$6,".",IF(A878=".",1,A878+1))</f>
        <v>.</v>
      </c>
      <c r="B879" s="244" t="str">
        <f t="shared" si="13"/>
        <v>Hip Replacement PrimaryProviderGORING HALL HOSPITAL (NT417)Oxford Hip Score</v>
      </c>
      <c r="C879" t="s">
        <v>749</v>
      </c>
      <c r="D879" t="s">
        <v>965</v>
      </c>
      <c r="E879" t="s">
        <v>258</v>
      </c>
      <c r="F879" t="s">
        <v>259</v>
      </c>
      <c r="G879" t="s">
        <v>964</v>
      </c>
      <c r="H879">
        <v>26</v>
      </c>
      <c r="I879">
        <v>19.307700000000001</v>
      </c>
      <c r="J879">
        <v>40.730800000000002</v>
      </c>
      <c r="K879">
        <v>21.423100000000002</v>
      </c>
      <c r="L879">
        <v>24</v>
      </c>
      <c r="M879">
        <v>0</v>
      </c>
      <c r="N879">
        <v>2</v>
      </c>
      <c r="O879" t="s">
        <v>127</v>
      </c>
      <c r="P879" t="s">
        <v>127</v>
      </c>
      <c r="Q879" t="s">
        <v>127</v>
      </c>
    </row>
    <row r="880" spans="1:17" x14ac:dyDescent="0.25">
      <c r="A880" t="str">
        <f>IF(C880&amp;G880&amp;D880&lt;&gt;'Funnel setup'!$K$3&amp;'Funnel setup'!$K$4&amp;'Funnel setup'!$K$6,".",IF(A879=".",1,A879+1))</f>
        <v>.</v>
      </c>
      <c r="B880" s="244" t="str">
        <f t="shared" si="13"/>
        <v>Hip Replacement PrimaryProviderGUY'S AND ST THOMAS' NHS FOUNDATION TRUST (RJ1)Oxford Hip Score</v>
      </c>
      <c r="C880" t="s">
        <v>749</v>
      </c>
      <c r="D880" t="s">
        <v>965</v>
      </c>
      <c r="E880" t="s">
        <v>262</v>
      </c>
      <c r="F880" t="s">
        <v>263</v>
      </c>
      <c r="G880" t="s">
        <v>964</v>
      </c>
      <c r="H880">
        <v>69</v>
      </c>
      <c r="I880">
        <v>17.6812</v>
      </c>
      <c r="J880">
        <v>38.1449</v>
      </c>
      <c r="K880">
        <v>20.463799999999999</v>
      </c>
      <c r="L880">
        <v>67</v>
      </c>
      <c r="M880">
        <v>0</v>
      </c>
      <c r="N880">
        <v>2</v>
      </c>
      <c r="O880">
        <v>38.245899999999999</v>
      </c>
      <c r="P880">
        <v>21.1616</v>
      </c>
      <c r="Q880">
        <v>9.3093400000000006</v>
      </c>
    </row>
    <row r="881" spans="1:17" x14ac:dyDescent="0.25">
      <c r="A881" t="str">
        <f>IF(C881&amp;G881&amp;D881&lt;&gt;'Funnel setup'!$K$3&amp;'Funnel setup'!$K$4&amp;'Funnel setup'!$K$6,".",IF(A880=".",1,A880+1))</f>
        <v>.</v>
      </c>
      <c r="B881" s="244" t="str">
        <f t="shared" si="13"/>
        <v>Hip Replacement PrimaryProviderHAMPSHIRE CLINIC (NT418)Oxford Hip Score</v>
      </c>
      <c r="C881" t="s">
        <v>749</v>
      </c>
      <c r="D881" t="s">
        <v>965</v>
      </c>
      <c r="E881" t="s">
        <v>264</v>
      </c>
      <c r="F881" t="s">
        <v>265</v>
      </c>
      <c r="G881" t="s">
        <v>964</v>
      </c>
      <c r="H881">
        <v>28</v>
      </c>
      <c r="I881">
        <v>21.607099999999999</v>
      </c>
      <c r="J881">
        <v>41.892899999999997</v>
      </c>
      <c r="K881">
        <v>20.285699999999999</v>
      </c>
      <c r="L881">
        <v>28</v>
      </c>
      <c r="M881">
        <v>0</v>
      </c>
      <c r="N881">
        <v>0</v>
      </c>
      <c r="O881" t="s">
        <v>127</v>
      </c>
      <c r="P881" t="s">
        <v>127</v>
      </c>
      <c r="Q881" t="s">
        <v>127</v>
      </c>
    </row>
    <row r="882" spans="1:17" x14ac:dyDescent="0.25">
      <c r="A882" t="str">
        <f>IF(C882&amp;G882&amp;D882&lt;&gt;'Funnel setup'!$K$3&amp;'Funnel setup'!$K$4&amp;'Funnel setup'!$K$6,".",IF(A881=".",1,A881+1))</f>
        <v>.</v>
      </c>
      <c r="B882" s="244" t="str">
        <f t="shared" si="13"/>
        <v>Hip Replacement PrimaryProviderHAMPSHIRE HOSPITALS NHS FOUNDATION TRUST (RN5)Oxford Hip Score</v>
      </c>
      <c r="C882" t="s">
        <v>749</v>
      </c>
      <c r="D882" t="s">
        <v>965</v>
      </c>
      <c r="E882" t="s">
        <v>266</v>
      </c>
      <c r="F882" t="s">
        <v>267</v>
      </c>
      <c r="G882" t="s">
        <v>964</v>
      </c>
      <c r="H882">
        <v>37</v>
      </c>
      <c r="I882">
        <v>15.783799999999999</v>
      </c>
      <c r="J882">
        <v>39.783799999999999</v>
      </c>
      <c r="K882">
        <v>24</v>
      </c>
      <c r="L882">
        <v>36</v>
      </c>
      <c r="M882">
        <v>0</v>
      </c>
      <c r="N882">
        <v>1</v>
      </c>
      <c r="O882">
        <v>40.383499999999998</v>
      </c>
      <c r="P882">
        <v>23.299199999999999</v>
      </c>
      <c r="Q882">
        <v>7.8026099999999996</v>
      </c>
    </row>
    <row r="883" spans="1:17" x14ac:dyDescent="0.25">
      <c r="A883" t="str">
        <f>IF(C883&amp;G883&amp;D883&lt;&gt;'Funnel setup'!$K$3&amp;'Funnel setup'!$K$4&amp;'Funnel setup'!$K$6,".",IF(A882=".",1,A882+1))</f>
        <v>.</v>
      </c>
      <c r="B883" s="244" t="str">
        <f t="shared" si="13"/>
        <v>Hip Replacement PrimaryProviderHARBOUR HOSPITAL (NT419)Oxford Hip Score</v>
      </c>
      <c r="C883" t="s">
        <v>749</v>
      </c>
      <c r="D883" t="s">
        <v>965</v>
      </c>
      <c r="E883" t="s">
        <v>268</v>
      </c>
      <c r="F883" t="s">
        <v>269</v>
      </c>
      <c r="G883" t="s">
        <v>964</v>
      </c>
      <c r="H883">
        <v>10</v>
      </c>
      <c r="I883">
        <v>19</v>
      </c>
      <c r="J883">
        <v>42.8</v>
      </c>
      <c r="K883">
        <v>23.8</v>
      </c>
      <c r="L883">
        <v>10</v>
      </c>
      <c r="M883">
        <v>0</v>
      </c>
      <c r="N883">
        <v>0</v>
      </c>
      <c r="O883" t="s">
        <v>127</v>
      </c>
      <c r="P883" t="s">
        <v>127</v>
      </c>
      <c r="Q883" t="s">
        <v>127</v>
      </c>
    </row>
    <row r="884" spans="1:17" x14ac:dyDescent="0.25">
      <c r="A884" t="str">
        <f>IF(C884&amp;G884&amp;D884&lt;&gt;'Funnel setup'!$K$3&amp;'Funnel setup'!$K$4&amp;'Funnel setup'!$K$6,".",IF(A883=".",1,A883+1))</f>
        <v>.</v>
      </c>
      <c r="B884" s="244" t="str">
        <f t="shared" si="13"/>
        <v>Hip Replacement PrimaryProviderHARROGATE AND DISTRICT NHS FOUNDATION TRUST (RCD)Oxford Hip Score</v>
      </c>
      <c r="C884" t="s">
        <v>749</v>
      </c>
      <c r="D884" t="s">
        <v>965</v>
      </c>
      <c r="E884" t="s">
        <v>270</v>
      </c>
      <c r="F884" t="s">
        <v>271</v>
      </c>
      <c r="G884" t="s">
        <v>964</v>
      </c>
      <c r="H884">
        <v>83</v>
      </c>
      <c r="I884">
        <v>17.1205</v>
      </c>
      <c r="J884">
        <v>39.903599999999997</v>
      </c>
      <c r="K884">
        <v>22.783100000000001</v>
      </c>
      <c r="L884">
        <v>80</v>
      </c>
      <c r="M884">
        <v>0</v>
      </c>
      <c r="N884">
        <v>3</v>
      </c>
      <c r="O884">
        <v>40.204799999999999</v>
      </c>
      <c r="P884">
        <v>23.1205</v>
      </c>
      <c r="Q884">
        <v>8.2940699999999996</v>
      </c>
    </row>
    <row r="885" spans="1:17" x14ac:dyDescent="0.25">
      <c r="A885" t="str">
        <f>IF(C885&amp;G885&amp;D885&lt;&gt;'Funnel setup'!$K$3&amp;'Funnel setup'!$K$4&amp;'Funnel setup'!$K$6,".",IF(A884=".",1,A884+1))</f>
        <v>.</v>
      </c>
      <c r="B885" s="244" t="str">
        <f t="shared" si="13"/>
        <v>Hip Replacement PrimaryProviderHIGHFIELD HOSPITAL (NT420)Oxford Hip Score</v>
      </c>
      <c r="C885" t="s">
        <v>749</v>
      </c>
      <c r="D885" t="s">
        <v>965</v>
      </c>
      <c r="E885" t="s">
        <v>272</v>
      </c>
      <c r="F885" t="s">
        <v>273</v>
      </c>
      <c r="G885" t="s">
        <v>964</v>
      </c>
      <c r="H885">
        <v>143</v>
      </c>
      <c r="I885">
        <v>18.601400000000002</v>
      </c>
      <c r="J885">
        <v>41.349699999999999</v>
      </c>
      <c r="K885">
        <v>22.7483</v>
      </c>
      <c r="L885">
        <v>139</v>
      </c>
      <c r="M885">
        <v>3</v>
      </c>
      <c r="N885">
        <v>1</v>
      </c>
      <c r="O885">
        <v>40.692100000000003</v>
      </c>
      <c r="P885">
        <v>23.607800000000001</v>
      </c>
      <c r="Q885">
        <v>7.3323799999999997</v>
      </c>
    </row>
    <row r="886" spans="1:17" x14ac:dyDescent="0.25">
      <c r="A886" t="str">
        <f>IF(C886&amp;G886&amp;D886&lt;&gt;'Funnel setup'!$K$3&amp;'Funnel setup'!$K$4&amp;'Funnel setup'!$K$6,".",IF(A885=".",1,A885+1))</f>
        <v>.</v>
      </c>
      <c r="B886" s="244" t="str">
        <f t="shared" si="13"/>
        <v>Hip Replacement PrimaryProviderHOMERTON HEALTHCARE NHS FOUNDATION TRUST (RQX)Oxford Hip Score</v>
      </c>
      <c r="C886" t="s">
        <v>749</v>
      </c>
      <c r="D886" t="s">
        <v>965</v>
      </c>
      <c r="E886" t="s">
        <v>274</v>
      </c>
      <c r="F886" t="s">
        <v>275</v>
      </c>
      <c r="G886" t="s">
        <v>964</v>
      </c>
      <c r="H886">
        <v>5</v>
      </c>
      <c r="I886">
        <v>15.2</v>
      </c>
      <c r="J886">
        <v>34.4</v>
      </c>
      <c r="K886">
        <v>19.2</v>
      </c>
      <c r="L886">
        <v>5</v>
      </c>
      <c r="M886">
        <v>0</v>
      </c>
      <c r="N886">
        <v>0</v>
      </c>
      <c r="O886" t="s">
        <v>127</v>
      </c>
      <c r="P886" t="s">
        <v>127</v>
      </c>
      <c r="Q886" t="s">
        <v>127</v>
      </c>
    </row>
    <row r="887" spans="1:17" x14ac:dyDescent="0.25">
      <c r="A887" t="str">
        <f>IF(C887&amp;G887&amp;D887&lt;&gt;'Funnel setup'!$K$3&amp;'Funnel setup'!$K$4&amp;'Funnel setup'!$K$6,".",IF(A886=".",1,A886+1))</f>
        <v>.</v>
      </c>
      <c r="B887" s="244" t="str">
        <f t="shared" si="13"/>
        <v>Hip Replacement PrimaryProviderHUDDERSFIELD HOSPITAL (NT448)Oxford Hip Score</v>
      </c>
      <c r="C887" t="s">
        <v>749</v>
      </c>
      <c r="D887" t="s">
        <v>965</v>
      </c>
      <c r="E887" t="s">
        <v>276</v>
      </c>
      <c r="F887" t="s">
        <v>277</v>
      </c>
      <c r="G887" t="s">
        <v>964</v>
      </c>
      <c r="H887">
        <v>8</v>
      </c>
      <c r="I887">
        <v>20.375</v>
      </c>
      <c r="J887">
        <v>42</v>
      </c>
      <c r="K887">
        <v>21.625</v>
      </c>
      <c r="L887">
        <v>8</v>
      </c>
      <c r="M887">
        <v>0</v>
      </c>
      <c r="N887">
        <v>0</v>
      </c>
      <c r="O887" t="s">
        <v>127</v>
      </c>
      <c r="P887" t="s">
        <v>127</v>
      </c>
      <c r="Q887" t="s">
        <v>127</v>
      </c>
    </row>
    <row r="888" spans="1:17" x14ac:dyDescent="0.25">
      <c r="A888" t="str">
        <f>IF(C888&amp;G888&amp;D888&lt;&gt;'Funnel setup'!$K$3&amp;'Funnel setup'!$K$4&amp;'Funnel setup'!$K$6,".",IF(A887=".",1,A887+1))</f>
        <v>.</v>
      </c>
      <c r="B888" s="244" t="str">
        <f t="shared" si="13"/>
        <v>Hip Replacement PrimaryProviderHULL UNIVERSITY TEACHING HOSPITALS NHS TRUST (RWA)Oxford Hip Score</v>
      </c>
      <c r="C888" t="s">
        <v>749</v>
      </c>
      <c r="D888" t="s">
        <v>965</v>
      </c>
      <c r="E888" t="s">
        <v>278</v>
      </c>
      <c r="F888" t="s">
        <v>279</v>
      </c>
      <c r="G888" t="s">
        <v>964</v>
      </c>
      <c r="H888">
        <v>35</v>
      </c>
      <c r="I888">
        <v>13.857100000000001</v>
      </c>
      <c r="J888">
        <v>35.6571</v>
      </c>
      <c r="K888">
        <v>21.8</v>
      </c>
      <c r="L888">
        <v>35</v>
      </c>
      <c r="M888">
        <v>0</v>
      </c>
      <c r="N888">
        <v>0</v>
      </c>
      <c r="O888">
        <v>38.386899999999997</v>
      </c>
      <c r="P888">
        <v>21.302600000000002</v>
      </c>
      <c r="Q888">
        <v>9.5728799999999996</v>
      </c>
    </row>
    <row r="889" spans="1:17" x14ac:dyDescent="0.25">
      <c r="A889" t="str">
        <f>IF(C889&amp;G889&amp;D889&lt;&gt;'Funnel setup'!$K$3&amp;'Funnel setup'!$K$4&amp;'Funnel setup'!$K$6,".",IF(A888=".",1,A888+1))</f>
        <v>.</v>
      </c>
      <c r="B889" s="244" t="str">
        <f t="shared" si="13"/>
        <v>Hip Replacement PrimaryProviderIMPERIAL COLLEGE HEALTHCARE NHS TRUST (RYJ)Oxford Hip Score</v>
      </c>
      <c r="C889" t="s">
        <v>749</v>
      </c>
      <c r="D889" t="s">
        <v>965</v>
      </c>
      <c r="E889" t="s">
        <v>280</v>
      </c>
      <c r="F889" t="s">
        <v>281</v>
      </c>
      <c r="G889" t="s">
        <v>964</v>
      </c>
      <c r="H889">
        <v>21</v>
      </c>
      <c r="I889">
        <v>15.7143</v>
      </c>
      <c r="J889">
        <v>43.095199999999998</v>
      </c>
      <c r="K889">
        <v>27.381</v>
      </c>
      <c r="L889">
        <v>21</v>
      </c>
      <c r="M889">
        <v>0</v>
      </c>
      <c r="N889">
        <v>0</v>
      </c>
      <c r="O889" t="s">
        <v>127</v>
      </c>
      <c r="P889" t="s">
        <v>127</v>
      </c>
      <c r="Q889" t="s">
        <v>127</v>
      </c>
    </row>
    <row r="890" spans="1:17" x14ac:dyDescent="0.25">
      <c r="A890" t="str">
        <f>IF(C890&amp;G890&amp;D890&lt;&gt;'Funnel setup'!$K$3&amp;'Funnel setup'!$K$4&amp;'Funnel setup'!$K$6,".",IF(A889=".",1,A889+1))</f>
        <v>.</v>
      </c>
      <c r="B890" s="244" t="str">
        <f t="shared" si="13"/>
        <v>Hip Replacement PrimaryProviderISLE OF WIGHT NHS TRUST (R1F)Oxford Hip Score</v>
      </c>
      <c r="C890" t="s">
        <v>749</v>
      </c>
      <c r="D890" t="s">
        <v>965</v>
      </c>
      <c r="E890" t="s">
        <v>282</v>
      </c>
      <c r="F890" t="s">
        <v>283</v>
      </c>
      <c r="G890" t="s">
        <v>964</v>
      </c>
      <c r="H890">
        <v>2</v>
      </c>
      <c r="I890">
        <v>17.5</v>
      </c>
      <c r="J890">
        <v>45</v>
      </c>
      <c r="K890">
        <v>27.5</v>
      </c>
      <c r="L890">
        <v>2</v>
      </c>
      <c r="M890">
        <v>0</v>
      </c>
      <c r="N890">
        <v>0</v>
      </c>
      <c r="O890" t="s">
        <v>127</v>
      </c>
      <c r="P890" t="s">
        <v>127</v>
      </c>
      <c r="Q890" t="s">
        <v>127</v>
      </c>
    </row>
    <row r="891" spans="1:17" x14ac:dyDescent="0.25">
      <c r="A891" t="str">
        <f>IF(C891&amp;G891&amp;D891&lt;&gt;'Funnel setup'!$K$3&amp;'Funnel setup'!$K$4&amp;'Funnel setup'!$K$6,".",IF(A890=".",1,A890+1))</f>
        <v>.</v>
      </c>
      <c r="B891" s="244" t="str">
        <f t="shared" si="13"/>
        <v>Hip Replacement PrimaryProviderJAMES PAGET UNIVERSITY HOSPITALS NHS FOUNDATION TRUST (RGP)Oxford Hip Score</v>
      </c>
      <c r="C891" t="s">
        <v>749</v>
      </c>
      <c r="D891" t="s">
        <v>965</v>
      </c>
      <c r="E891" t="s">
        <v>284</v>
      </c>
      <c r="F891" t="s">
        <v>285</v>
      </c>
      <c r="G891" t="s">
        <v>964</v>
      </c>
      <c r="H891">
        <v>68</v>
      </c>
      <c r="I891">
        <v>13.882400000000001</v>
      </c>
      <c r="J891">
        <v>39.058799999999998</v>
      </c>
      <c r="K891">
        <v>25.176500000000001</v>
      </c>
      <c r="L891">
        <v>67</v>
      </c>
      <c r="M891">
        <v>0</v>
      </c>
      <c r="N891">
        <v>1</v>
      </c>
      <c r="O891">
        <v>40.107100000000003</v>
      </c>
      <c r="P891">
        <v>23.0228</v>
      </c>
      <c r="Q891">
        <v>9.5636799999999997</v>
      </c>
    </row>
    <row r="892" spans="1:17" x14ac:dyDescent="0.25">
      <c r="A892" t="str">
        <f>IF(C892&amp;G892&amp;D892&lt;&gt;'Funnel setup'!$K$3&amp;'Funnel setup'!$K$4&amp;'Funnel setup'!$K$6,".",IF(A891=".",1,A891+1))</f>
        <v>.</v>
      </c>
      <c r="B892" s="244" t="str">
        <f t="shared" si="13"/>
        <v>Hip Replacement PrimaryProviderKETTERING GENERAL HOSPITAL NHS FOUNDATION TRUST (RNQ)Oxford Hip Score</v>
      </c>
      <c r="C892" t="s">
        <v>749</v>
      </c>
      <c r="D892" t="s">
        <v>965</v>
      </c>
      <c r="E892" t="s">
        <v>286</v>
      </c>
      <c r="F892" t="s">
        <v>287</v>
      </c>
      <c r="G892" t="s">
        <v>964</v>
      </c>
      <c r="H892">
        <v>28</v>
      </c>
      <c r="I892">
        <v>12.821400000000001</v>
      </c>
      <c r="J892">
        <v>38.428600000000003</v>
      </c>
      <c r="K892">
        <v>25.607099999999999</v>
      </c>
      <c r="L892">
        <v>27</v>
      </c>
      <c r="M892">
        <v>0</v>
      </c>
      <c r="N892">
        <v>1</v>
      </c>
      <c r="O892" t="s">
        <v>127</v>
      </c>
      <c r="P892" t="s">
        <v>127</v>
      </c>
      <c r="Q892" t="s">
        <v>127</v>
      </c>
    </row>
    <row r="893" spans="1:17" x14ac:dyDescent="0.25">
      <c r="A893" t="str">
        <f>IF(C893&amp;G893&amp;D893&lt;&gt;'Funnel setup'!$K$3&amp;'Funnel setup'!$K$4&amp;'Funnel setup'!$K$6,".",IF(A892=".",1,A892+1))</f>
        <v>.</v>
      </c>
      <c r="B893" s="244" t="str">
        <f t="shared" si="13"/>
        <v>Hip Replacement PrimaryProviderKIMS HOSPITAL (NEWNHAM COURT) (ADP02)Oxford Hip Score</v>
      </c>
      <c r="C893" t="s">
        <v>749</v>
      </c>
      <c r="D893" t="s">
        <v>965</v>
      </c>
      <c r="E893" t="s">
        <v>288</v>
      </c>
      <c r="F893" t="s">
        <v>289</v>
      </c>
      <c r="G893" t="s">
        <v>964</v>
      </c>
      <c r="H893">
        <v>108</v>
      </c>
      <c r="I893">
        <v>18.8704</v>
      </c>
      <c r="J893">
        <v>42.351900000000001</v>
      </c>
      <c r="K893">
        <v>23.4815</v>
      </c>
      <c r="L893">
        <v>107</v>
      </c>
      <c r="M893">
        <v>1</v>
      </c>
      <c r="N893">
        <v>0</v>
      </c>
      <c r="O893">
        <v>41.237699999999997</v>
      </c>
      <c r="P893">
        <v>24.153400000000001</v>
      </c>
      <c r="Q893">
        <v>7.1902900000000001</v>
      </c>
    </row>
    <row r="894" spans="1:17" x14ac:dyDescent="0.25">
      <c r="A894" t="str">
        <f>IF(C894&amp;G894&amp;D894&lt;&gt;'Funnel setup'!$K$3&amp;'Funnel setup'!$K$4&amp;'Funnel setup'!$K$6,".",IF(A893=".",1,A893+1))</f>
        <v>.</v>
      </c>
      <c r="B894" s="244" t="str">
        <f t="shared" si="13"/>
        <v>Hip Replacement PrimaryProviderKING'S COLLEGE HOSPITAL NHS FOUNDATION TRUST (RJZ)Oxford Hip Score</v>
      </c>
      <c r="C894" t="s">
        <v>749</v>
      </c>
      <c r="D894" t="s">
        <v>965</v>
      </c>
      <c r="E894" t="s">
        <v>290</v>
      </c>
      <c r="F894" t="s">
        <v>291</v>
      </c>
      <c r="G894" t="s">
        <v>964</v>
      </c>
      <c r="H894">
        <v>14</v>
      </c>
      <c r="I894">
        <v>17.928599999999999</v>
      </c>
      <c r="J894">
        <v>37.428600000000003</v>
      </c>
      <c r="K894">
        <v>19.5</v>
      </c>
      <c r="L894">
        <v>14</v>
      </c>
      <c r="M894">
        <v>0</v>
      </c>
      <c r="N894">
        <v>0</v>
      </c>
      <c r="O894" t="s">
        <v>127</v>
      </c>
      <c r="P894" t="s">
        <v>127</v>
      </c>
      <c r="Q894" t="s">
        <v>127</v>
      </c>
    </row>
    <row r="895" spans="1:17" x14ac:dyDescent="0.25">
      <c r="A895" t="str">
        <f>IF(C895&amp;G895&amp;D895&lt;&gt;'Funnel setup'!$K$3&amp;'Funnel setup'!$K$4&amp;'Funnel setup'!$K$6,".",IF(A894=".",1,A894+1))</f>
        <v>.</v>
      </c>
      <c r="B895" s="244" t="str">
        <f t="shared" si="13"/>
        <v>Hip Replacement PrimaryProviderKINGS OAK HOSPITAL (NT421)Oxford Hip Score</v>
      </c>
      <c r="C895" t="s">
        <v>749</v>
      </c>
      <c r="D895" t="s">
        <v>965</v>
      </c>
      <c r="E895" t="s">
        <v>292</v>
      </c>
      <c r="F895" t="s">
        <v>293</v>
      </c>
      <c r="G895" t="s">
        <v>964</v>
      </c>
      <c r="H895">
        <v>14</v>
      </c>
      <c r="I895">
        <v>19.785699999999999</v>
      </c>
      <c r="J895">
        <v>41.357100000000003</v>
      </c>
      <c r="K895">
        <v>21.571400000000001</v>
      </c>
      <c r="L895">
        <v>14</v>
      </c>
      <c r="M895">
        <v>0</v>
      </c>
      <c r="N895">
        <v>0</v>
      </c>
      <c r="O895" t="s">
        <v>127</v>
      </c>
      <c r="P895" t="s">
        <v>127</v>
      </c>
      <c r="Q895" t="s">
        <v>127</v>
      </c>
    </row>
    <row r="896" spans="1:17" x14ac:dyDescent="0.25">
      <c r="A896" t="str">
        <f>IF(C896&amp;G896&amp;D896&lt;&gt;'Funnel setup'!$K$3&amp;'Funnel setup'!$K$4&amp;'Funnel setup'!$K$6,".",IF(A895=".",1,A895+1))</f>
        <v>.</v>
      </c>
      <c r="B896" s="244" t="str">
        <f t="shared" si="13"/>
        <v>Hip Replacement PrimaryProviderLANCASHIRE TEACHING HOSPITALS NHS FOUNDATION TRUST (RXN)Oxford Hip Score</v>
      </c>
      <c r="C896" t="s">
        <v>749</v>
      </c>
      <c r="D896" t="s">
        <v>965</v>
      </c>
      <c r="E896" t="s">
        <v>296</v>
      </c>
      <c r="F896" t="s">
        <v>297</v>
      </c>
      <c r="G896" t="s">
        <v>964</v>
      </c>
      <c r="H896">
        <v>31</v>
      </c>
      <c r="I896">
        <v>17.548400000000001</v>
      </c>
      <c r="J896">
        <v>35.096800000000002</v>
      </c>
      <c r="K896">
        <v>17.548400000000001</v>
      </c>
      <c r="L896">
        <v>30</v>
      </c>
      <c r="M896">
        <v>0</v>
      </c>
      <c r="N896">
        <v>1</v>
      </c>
      <c r="O896">
        <v>36.896700000000003</v>
      </c>
      <c r="P896">
        <v>19.8125</v>
      </c>
      <c r="Q896">
        <v>10.5146</v>
      </c>
    </row>
    <row r="897" spans="1:17" x14ac:dyDescent="0.25">
      <c r="A897" t="str">
        <f>IF(C897&amp;G897&amp;D897&lt;&gt;'Funnel setup'!$K$3&amp;'Funnel setup'!$K$4&amp;'Funnel setup'!$K$6,".",IF(A896=".",1,A896+1))</f>
        <v>.</v>
      </c>
      <c r="B897" s="244" t="str">
        <f t="shared" si="13"/>
        <v>Hip Replacement PrimaryProviderLANCASTER HOSPITAL (NT449)Oxford Hip Score</v>
      </c>
      <c r="C897" t="s">
        <v>749</v>
      </c>
      <c r="D897" t="s">
        <v>965</v>
      </c>
      <c r="E897" t="s">
        <v>298</v>
      </c>
      <c r="F897" t="s">
        <v>299</v>
      </c>
      <c r="G897" t="s">
        <v>964</v>
      </c>
      <c r="H897">
        <v>23</v>
      </c>
      <c r="I897">
        <v>21.391300000000001</v>
      </c>
      <c r="J897">
        <v>42.565199999999997</v>
      </c>
      <c r="K897">
        <v>21.1739</v>
      </c>
      <c r="L897">
        <v>22</v>
      </c>
      <c r="M897">
        <v>0</v>
      </c>
      <c r="N897">
        <v>1</v>
      </c>
      <c r="O897" t="s">
        <v>127</v>
      </c>
      <c r="P897" t="s">
        <v>127</v>
      </c>
      <c r="Q897" t="s">
        <v>127</v>
      </c>
    </row>
    <row r="898" spans="1:17" x14ac:dyDescent="0.25">
      <c r="A898" t="str">
        <f>IF(C898&amp;G898&amp;D898&lt;&gt;'Funnel setup'!$K$3&amp;'Funnel setup'!$K$4&amp;'Funnel setup'!$K$6,".",IF(A897=".",1,A897+1))</f>
        <v>.</v>
      </c>
      <c r="B898" s="244" t="str">
        <f t="shared" ref="B898:B961" si="14">C898&amp;D898&amp;F898&amp;G898</f>
        <v>Hip Replacement PrimaryProviderLEEDS TEACHING HOSPITALS NHS TRUST (RR8)Oxford Hip Score</v>
      </c>
      <c r="C898" t="s">
        <v>749</v>
      </c>
      <c r="D898" t="s">
        <v>965</v>
      </c>
      <c r="E898" t="s">
        <v>300</v>
      </c>
      <c r="F898" t="s">
        <v>301</v>
      </c>
      <c r="G898" t="s">
        <v>964</v>
      </c>
      <c r="H898">
        <v>107</v>
      </c>
      <c r="I898">
        <v>17.822399999999998</v>
      </c>
      <c r="J898">
        <v>38.299100000000003</v>
      </c>
      <c r="K898">
        <v>20.476600000000001</v>
      </c>
      <c r="L898">
        <v>99</v>
      </c>
      <c r="M898">
        <v>0</v>
      </c>
      <c r="N898">
        <v>8</v>
      </c>
      <c r="O898">
        <v>38.393500000000003</v>
      </c>
      <c r="P898">
        <v>21.309200000000001</v>
      </c>
      <c r="Q898">
        <v>8.3779199999999996</v>
      </c>
    </row>
    <row r="899" spans="1:17" x14ac:dyDescent="0.25">
      <c r="A899" t="str">
        <f>IF(C899&amp;G899&amp;D899&lt;&gt;'Funnel setup'!$K$3&amp;'Funnel setup'!$K$4&amp;'Funnel setup'!$K$6,".",IF(A898=".",1,A898+1))</f>
        <v>.</v>
      </c>
      <c r="B899" s="244" t="str">
        <f t="shared" si="14"/>
        <v>Hip Replacement PrimaryProviderLEWISHAM AND GREENWICH NHS TRUST (RJ2)Oxford Hip Score</v>
      </c>
      <c r="C899" t="s">
        <v>749</v>
      </c>
      <c r="D899" t="s">
        <v>965</v>
      </c>
      <c r="E899" t="s">
        <v>302</v>
      </c>
      <c r="F899" t="s">
        <v>303</v>
      </c>
      <c r="G899" t="s">
        <v>964</v>
      </c>
      <c r="H899">
        <v>2</v>
      </c>
      <c r="I899">
        <v>23.5</v>
      </c>
      <c r="J899">
        <v>46.5</v>
      </c>
      <c r="K899">
        <v>23</v>
      </c>
      <c r="L899">
        <v>2</v>
      </c>
      <c r="M899">
        <v>0</v>
      </c>
      <c r="N899">
        <v>0</v>
      </c>
      <c r="O899" t="s">
        <v>127</v>
      </c>
      <c r="P899" t="s">
        <v>127</v>
      </c>
      <c r="Q899" t="s">
        <v>127</v>
      </c>
    </row>
    <row r="900" spans="1:17" x14ac:dyDescent="0.25">
      <c r="A900" t="str">
        <f>IF(C900&amp;G900&amp;D900&lt;&gt;'Funnel setup'!$K$3&amp;'Funnel setup'!$K$4&amp;'Funnel setup'!$K$6,".",IF(A899=".",1,A899+1))</f>
        <v>.</v>
      </c>
      <c r="B900" s="244" t="str">
        <f t="shared" si="14"/>
        <v>Hip Replacement PrimaryProviderLINCOLN HOSPITAL (NT450)Oxford Hip Score</v>
      </c>
      <c r="C900" t="s">
        <v>749</v>
      </c>
      <c r="D900" t="s">
        <v>965</v>
      </c>
      <c r="E900" t="s">
        <v>304</v>
      </c>
      <c r="F900" t="s">
        <v>305</v>
      </c>
      <c r="G900" t="s">
        <v>964</v>
      </c>
      <c r="H900">
        <v>67</v>
      </c>
      <c r="I900">
        <v>18.791</v>
      </c>
      <c r="J900">
        <v>42.731299999999997</v>
      </c>
      <c r="K900">
        <v>23.940300000000001</v>
      </c>
      <c r="L900">
        <v>65</v>
      </c>
      <c r="M900">
        <v>1</v>
      </c>
      <c r="N900">
        <v>1</v>
      </c>
      <c r="O900">
        <v>42.250799999999998</v>
      </c>
      <c r="P900">
        <v>25.166499999999999</v>
      </c>
      <c r="Q900">
        <v>6.4637000000000002</v>
      </c>
    </row>
    <row r="901" spans="1:17" x14ac:dyDescent="0.25">
      <c r="A901" t="str">
        <f>IF(C901&amp;G901&amp;D901&lt;&gt;'Funnel setup'!$K$3&amp;'Funnel setup'!$K$4&amp;'Funnel setup'!$K$6,".",IF(A900=".",1,A900+1))</f>
        <v>.</v>
      </c>
      <c r="B901" s="244" t="str">
        <f t="shared" si="14"/>
        <v>Hip Replacement PrimaryProviderLIVERPOOL UNIVERSITY HOSPITALS NHS FOUNDATION TRUST (REM)Oxford Hip Score</v>
      </c>
      <c r="C901" t="s">
        <v>749</v>
      </c>
      <c r="D901" t="s">
        <v>965</v>
      </c>
      <c r="E901" t="s">
        <v>306</v>
      </c>
      <c r="F901" t="s">
        <v>307</v>
      </c>
      <c r="G901" t="s">
        <v>964</v>
      </c>
      <c r="H901">
        <v>89</v>
      </c>
      <c r="I901">
        <v>13.101100000000001</v>
      </c>
      <c r="J901">
        <v>36</v>
      </c>
      <c r="K901">
        <v>22.898900000000001</v>
      </c>
      <c r="L901">
        <v>86</v>
      </c>
      <c r="M901">
        <v>0</v>
      </c>
      <c r="N901">
        <v>3</v>
      </c>
      <c r="O901">
        <v>39.621499999999997</v>
      </c>
      <c r="P901">
        <v>22.537199999999999</v>
      </c>
      <c r="Q901">
        <v>9.3221900000000009</v>
      </c>
    </row>
    <row r="902" spans="1:17" x14ac:dyDescent="0.25">
      <c r="A902" t="str">
        <f>IF(C902&amp;G902&amp;D902&lt;&gt;'Funnel setup'!$K$3&amp;'Funnel setup'!$K$4&amp;'Funnel setup'!$K$6,".",IF(A901=".",1,A901+1))</f>
        <v>.</v>
      </c>
      <c r="B902" s="244" t="str">
        <f t="shared" si="14"/>
        <v>Hip Replacement PrimaryProviderLONDON INDEPENDENT HOSPITAL (NT422)Oxford Hip Score</v>
      </c>
      <c r="C902" t="s">
        <v>749</v>
      </c>
      <c r="D902" t="s">
        <v>965</v>
      </c>
      <c r="E902" t="s">
        <v>308</v>
      </c>
      <c r="F902" t="s">
        <v>309</v>
      </c>
      <c r="G902" t="s">
        <v>964</v>
      </c>
      <c r="H902">
        <v>8</v>
      </c>
      <c r="I902">
        <v>16.5</v>
      </c>
      <c r="J902">
        <v>38.125</v>
      </c>
      <c r="K902">
        <v>21.625</v>
      </c>
      <c r="L902">
        <v>8</v>
      </c>
      <c r="M902">
        <v>0</v>
      </c>
      <c r="N902">
        <v>0</v>
      </c>
      <c r="O902" t="s">
        <v>127</v>
      </c>
      <c r="P902" t="s">
        <v>127</v>
      </c>
      <c r="Q902" t="s">
        <v>127</v>
      </c>
    </row>
    <row r="903" spans="1:17" x14ac:dyDescent="0.25">
      <c r="A903" t="str">
        <f>IF(C903&amp;G903&amp;D903&lt;&gt;'Funnel setup'!$K$3&amp;'Funnel setup'!$K$4&amp;'Funnel setup'!$K$6,".",IF(A902=".",1,A902+1))</f>
        <v>.</v>
      </c>
      <c r="B903" s="244" t="str">
        <f t="shared" si="14"/>
        <v>Hip Replacement PrimaryProviderMAIDSTONE AND TUNBRIDGE WELLS NHS TRUST (RWF)Oxford Hip Score</v>
      </c>
      <c r="C903" t="s">
        <v>749</v>
      </c>
      <c r="D903" t="s">
        <v>965</v>
      </c>
      <c r="E903" t="s">
        <v>312</v>
      </c>
      <c r="F903" t="s">
        <v>313</v>
      </c>
      <c r="G903" t="s">
        <v>964</v>
      </c>
      <c r="H903">
        <v>118</v>
      </c>
      <c r="I903">
        <v>18.949200000000001</v>
      </c>
      <c r="J903">
        <v>40.813600000000001</v>
      </c>
      <c r="K903">
        <v>21.8644</v>
      </c>
      <c r="L903">
        <v>115</v>
      </c>
      <c r="M903">
        <v>0</v>
      </c>
      <c r="N903">
        <v>3</v>
      </c>
      <c r="O903">
        <v>39.707299999999996</v>
      </c>
      <c r="P903">
        <v>22.623000000000001</v>
      </c>
      <c r="Q903">
        <v>7.4618500000000001</v>
      </c>
    </row>
    <row r="904" spans="1:17" x14ac:dyDescent="0.25">
      <c r="A904" t="str">
        <f>IF(C904&amp;G904&amp;D904&lt;&gt;'Funnel setup'!$K$3&amp;'Funnel setup'!$K$4&amp;'Funnel setup'!$K$6,".",IF(A903=".",1,A903+1))</f>
        <v>.</v>
      </c>
      <c r="B904" s="244" t="str">
        <f t="shared" si="14"/>
        <v>Hip Replacement PrimaryProviderMANCHESTER UNIVERSITY NHS FOUNDATION TRUST (R0A)Oxford Hip Score</v>
      </c>
      <c r="C904" t="s">
        <v>749</v>
      </c>
      <c r="D904" t="s">
        <v>965</v>
      </c>
      <c r="E904" t="s">
        <v>316</v>
      </c>
      <c r="F904" t="s">
        <v>317</v>
      </c>
      <c r="G904" t="s">
        <v>964</v>
      </c>
      <c r="H904">
        <v>100</v>
      </c>
      <c r="I904">
        <v>17.059999999999999</v>
      </c>
      <c r="J904">
        <v>37.72</v>
      </c>
      <c r="K904">
        <v>20.66</v>
      </c>
      <c r="L904">
        <v>95</v>
      </c>
      <c r="M904">
        <v>0</v>
      </c>
      <c r="N904">
        <v>5</v>
      </c>
      <c r="O904">
        <v>38.491599999999998</v>
      </c>
      <c r="P904">
        <v>21.407299999999999</v>
      </c>
      <c r="Q904">
        <v>9.6155500000000007</v>
      </c>
    </row>
    <row r="905" spans="1:17" x14ac:dyDescent="0.25">
      <c r="A905" t="str">
        <f>IF(C905&amp;G905&amp;D905&lt;&gt;'Funnel setup'!$K$3&amp;'Funnel setup'!$K$4&amp;'Funnel setup'!$K$6,".",IF(A904=".",1,A904+1))</f>
        <v>.</v>
      </c>
      <c r="B905" s="244" t="str">
        <f t="shared" si="14"/>
        <v>Hip Replacement PrimaryProviderMANOR HOSPITAL (NT423)Oxford Hip Score</v>
      </c>
      <c r="C905" t="s">
        <v>749</v>
      </c>
      <c r="D905" t="s">
        <v>965</v>
      </c>
      <c r="E905" t="s">
        <v>318</v>
      </c>
      <c r="F905" t="s">
        <v>319</v>
      </c>
      <c r="G905" t="s">
        <v>964</v>
      </c>
      <c r="H905">
        <v>17</v>
      </c>
      <c r="I905">
        <v>20.235299999999999</v>
      </c>
      <c r="J905">
        <v>41.941200000000002</v>
      </c>
      <c r="K905">
        <v>21.7059</v>
      </c>
      <c r="L905">
        <v>16</v>
      </c>
      <c r="M905">
        <v>0</v>
      </c>
      <c r="N905">
        <v>1</v>
      </c>
      <c r="O905" t="s">
        <v>127</v>
      </c>
      <c r="P905" t="s">
        <v>127</v>
      </c>
      <c r="Q905" t="s">
        <v>127</v>
      </c>
    </row>
    <row r="906" spans="1:17" x14ac:dyDescent="0.25">
      <c r="A906" t="str">
        <f>IF(C906&amp;G906&amp;D906&lt;&gt;'Funnel setup'!$K$3&amp;'Funnel setup'!$K$4&amp;'Funnel setup'!$K$6,".",IF(A905=".",1,A905+1))</f>
        <v>.</v>
      </c>
      <c r="B906" s="244" t="str">
        <f t="shared" si="14"/>
        <v>Hip Replacement PrimaryProviderMEDWAY NHS FOUNDATION TRUST (RPA)Oxford Hip Score</v>
      </c>
      <c r="C906" t="s">
        <v>749</v>
      </c>
      <c r="D906" t="s">
        <v>965</v>
      </c>
      <c r="E906" t="s">
        <v>320</v>
      </c>
      <c r="F906" t="s">
        <v>321</v>
      </c>
      <c r="G906" t="s">
        <v>964</v>
      </c>
      <c r="H906">
        <v>47</v>
      </c>
      <c r="I906">
        <v>13.8085</v>
      </c>
      <c r="J906">
        <v>37.638300000000001</v>
      </c>
      <c r="K906">
        <v>23.829799999999999</v>
      </c>
      <c r="L906">
        <v>47</v>
      </c>
      <c r="M906">
        <v>0</v>
      </c>
      <c r="N906">
        <v>0</v>
      </c>
      <c r="O906">
        <v>39.549500000000002</v>
      </c>
      <c r="P906">
        <v>22.465199999999999</v>
      </c>
      <c r="Q906">
        <v>8.2728999999999999</v>
      </c>
    </row>
    <row r="907" spans="1:17" x14ac:dyDescent="0.25">
      <c r="A907" t="str">
        <f>IF(C907&amp;G907&amp;D907&lt;&gt;'Funnel setup'!$K$3&amp;'Funnel setup'!$K$4&amp;'Funnel setup'!$K$6,".",IF(A906=".",1,A906+1))</f>
        <v>.</v>
      </c>
      <c r="B907" s="244" t="str">
        <f t="shared" si="14"/>
        <v>Hip Replacement PrimaryProviderMERIDEN HOSPITAL (NT424)Oxford Hip Score</v>
      </c>
      <c r="C907" t="s">
        <v>749</v>
      </c>
      <c r="D907" t="s">
        <v>965</v>
      </c>
      <c r="E907" t="s">
        <v>322</v>
      </c>
      <c r="F907" t="s">
        <v>323</v>
      </c>
      <c r="G907" t="s">
        <v>964</v>
      </c>
      <c r="H907">
        <v>6</v>
      </c>
      <c r="I907">
        <v>15.333299999999999</v>
      </c>
      <c r="J907">
        <v>43.833300000000001</v>
      </c>
      <c r="K907">
        <v>28.5</v>
      </c>
      <c r="L907">
        <v>6</v>
      </c>
      <c r="M907">
        <v>0</v>
      </c>
      <c r="N907">
        <v>0</v>
      </c>
      <c r="O907" t="s">
        <v>127</v>
      </c>
      <c r="P907" t="s">
        <v>127</v>
      </c>
      <c r="Q907" t="s">
        <v>127</v>
      </c>
    </row>
    <row r="908" spans="1:17" x14ac:dyDescent="0.25">
      <c r="A908" t="str">
        <f>IF(C908&amp;G908&amp;D908&lt;&gt;'Funnel setup'!$K$3&amp;'Funnel setup'!$K$4&amp;'Funnel setup'!$K$6,".",IF(A907=".",1,A907+1))</f>
        <v>.</v>
      </c>
      <c r="B908" s="244" t="str">
        <f t="shared" si="14"/>
        <v>Hip Replacement PrimaryProviderMID AND SOUTH ESSEX NHS FOUNDATION TRUST (RAJ)Oxford Hip Score</v>
      </c>
      <c r="C908" t="s">
        <v>749</v>
      </c>
      <c r="D908" t="s">
        <v>965</v>
      </c>
      <c r="E908" t="s">
        <v>324</v>
      </c>
      <c r="F908" t="s">
        <v>325</v>
      </c>
      <c r="G908" t="s">
        <v>964</v>
      </c>
      <c r="H908">
        <v>123</v>
      </c>
      <c r="I908">
        <v>14.032500000000001</v>
      </c>
      <c r="J908">
        <v>39.195099999999996</v>
      </c>
      <c r="K908">
        <v>25.162600000000001</v>
      </c>
      <c r="L908">
        <v>122</v>
      </c>
      <c r="M908">
        <v>0</v>
      </c>
      <c r="N908">
        <v>1</v>
      </c>
      <c r="O908">
        <v>40.8431</v>
      </c>
      <c r="P908">
        <v>23.758800000000001</v>
      </c>
      <c r="Q908">
        <v>7.4924799999999996</v>
      </c>
    </row>
    <row r="909" spans="1:17" x14ac:dyDescent="0.25">
      <c r="A909" t="str">
        <f>IF(C909&amp;G909&amp;D909&lt;&gt;'Funnel setup'!$K$3&amp;'Funnel setup'!$K$4&amp;'Funnel setup'!$K$6,".",IF(A908=".",1,A908+1))</f>
        <v>.</v>
      </c>
      <c r="B909" s="244" t="str">
        <f t="shared" si="14"/>
        <v>Hip Replacement PrimaryProviderMID CHESHIRE HOSPITALS NHS FOUNDATION TRUST (RBT)Oxford Hip Score</v>
      </c>
      <c r="C909" t="s">
        <v>749</v>
      </c>
      <c r="D909" t="s">
        <v>965</v>
      </c>
      <c r="E909" t="s">
        <v>326</v>
      </c>
      <c r="F909" t="s">
        <v>327</v>
      </c>
      <c r="G909" t="s">
        <v>964</v>
      </c>
      <c r="H909">
        <v>108</v>
      </c>
      <c r="I909">
        <v>16.444400000000002</v>
      </c>
      <c r="J909">
        <v>41.148099999999999</v>
      </c>
      <c r="K909">
        <v>24.703700000000001</v>
      </c>
      <c r="L909">
        <v>107</v>
      </c>
      <c r="M909">
        <v>1</v>
      </c>
      <c r="N909">
        <v>0</v>
      </c>
      <c r="O909">
        <v>41.149000000000001</v>
      </c>
      <c r="P909">
        <v>24.064699999999998</v>
      </c>
      <c r="Q909">
        <v>7.2168599999999996</v>
      </c>
    </row>
    <row r="910" spans="1:17" x14ac:dyDescent="0.25">
      <c r="A910" t="str">
        <f>IF(C910&amp;G910&amp;D910&lt;&gt;'Funnel setup'!$K$3&amp;'Funnel setup'!$K$4&amp;'Funnel setup'!$K$6,".",IF(A909=".",1,A909+1))</f>
        <v>.</v>
      </c>
      <c r="B910" s="244" t="str">
        <f t="shared" si="14"/>
        <v>Hip Replacement PrimaryProviderMID YORKSHIRE TEACHING NHS TRUST (RXF)Oxford Hip Score</v>
      </c>
      <c r="C910" t="s">
        <v>749</v>
      </c>
      <c r="D910" t="s">
        <v>965</v>
      </c>
      <c r="E910" t="s">
        <v>330</v>
      </c>
      <c r="F910" t="s">
        <v>331</v>
      </c>
      <c r="G910" t="s">
        <v>964</v>
      </c>
      <c r="H910">
        <v>172</v>
      </c>
      <c r="I910">
        <v>16.517399999999999</v>
      </c>
      <c r="J910">
        <v>38.325600000000001</v>
      </c>
      <c r="K910">
        <v>21.8081</v>
      </c>
      <c r="L910">
        <v>168</v>
      </c>
      <c r="M910">
        <v>0</v>
      </c>
      <c r="N910">
        <v>4</v>
      </c>
      <c r="O910">
        <v>39.148400000000002</v>
      </c>
      <c r="P910">
        <v>22.0641</v>
      </c>
      <c r="Q910">
        <v>9.43736</v>
      </c>
    </row>
    <row r="911" spans="1:17" x14ac:dyDescent="0.25">
      <c r="A911" t="str">
        <f>IF(C911&amp;G911&amp;D911&lt;&gt;'Funnel setup'!$K$3&amp;'Funnel setup'!$K$4&amp;'Funnel setup'!$K$6,".",IF(A910=".",1,A910+1))</f>
        <v>.</v>
      </c>
      <c r="B911" s="244" t="str">
        <f t="shared" si="14"/>
        <v>Hip Replacement PrimaryProviderMILTON KEYNES UNIVERSITY HOSPITAL NHS FOUNDATION TRUST (RD8)Oxford Hip Score</v>
      </c>
      <c r="C911" t="s">
        <v>749</v>
      </c>
      <c r="D911" t="s">
        <v>965</v>
      </c>
      <c r="E911" t="s">
        <v>332</v>
      </c>
      <c r="F911" t="s">
        <v>333</v>
      </c>
      <c r="G911" t="s">
        <v>964</v>
      </c>
      <c r="H911">
        <v>39</v>
      </c>
      <c r="I911">
        <v>12.333299999999999</v>
      </c>
      <c r="J911">
        <v>39.1282</v>
      </c>
      <c r="K911">
        <v>26.794899999999998</v>
      </c>
      <c r="L911">
        <v>39</v>
      </c>
      <c r="M911">
        <v>0</v>
      </c>
      <c r="N911">
        <v>0</v>
      </c>
      <c r="O911">
        <v>41.694200000000002</v>
      </c>
      <c r="P911">
        <v>24.6099</v>
      </c>
      <c r="Q911">
        <v>8.9549199999999995</v>
      </c>
    </row>
    <row r="912" spans="1:17" x14ac:dyDescent="0.25">
      <c r="A912" t="str">
        <f>IF(C912&amp;G912&amp;D912&lt;&gt;'Funnel setup'!$K$3&amp;'Funnel setup'!$K$4&amp;'Funnel setup'!$K$6,".",IF(A911=".",1,A911+1))</f>
        <v>.</v>
      </c>
      <c r="B912" s="244" t="str">
        <f t="shared" si="14"/>
        <v>Hip Replacement PrimaryProviderMOUNT ALVERNIA HOSPITAL (NT455)Oxford Hip Score</v>
      </c>
      <c r="C912" t="s">
        <v>749</v>
      </c>
      <c r="D912" t="s">
        <v>965</v>
      </c>
      <c r="E912" t="s">
        <v>334</v>
      </c>
      <c r="F912" t="s">
        <v>335</v>
      </c>
      <c r="G912" t="s">
        <v>964</v>
      </c>
      <c r="H912">
        <v>8</v>
      </c>
      <c r="I912">
        <v>23.25</v>
      </c>
      <c r="J912">
        <v>46.25</v>
      </c>
      <c r="K912">
        <v>23</v>
      </c>
      <c r="L912">
        <v>8</v>
      </c>
      <c r="M912">
        <v>0</v>
      </c>
      <c r="N912">
        <v>0</v>
      </c>
      <c r="O912" t="s">
        <v>127</v>
      </c>
      <c r="P912" t="s">
        <v>127</v>
      </c>
      <c r="Q912" t="s">
        <v>127</v>
      </c>
    </row>
    <row r="913" spans="1:17" x14ac:dyDescent="0.25">
      <c r="A913" t="str">
        <f>IF(C913&amp;G913&amp;D913&lt;&gt;'Funnel setup'!$K$3&amp;'Funnel setup'!$K$4&amp;'Funnel setup'!$K$6,".",IF(A912=".",1,A912+1))</f>
        <v>.</v>
      </c>
      <c r="B913" s="244" t="str">
        <f t="shared" si="14"/>
        <v>Hip Replacement PrimaryProviderMOUNT STUART HOSPITAL (NVC08)Oxford Hip Score</v>
      </c>
      <c r="C913" t="s">
        <v>749</v>
      </c>
      <c r="D913" t="s">
        <v>965</v>
      </c>
      <c r="E913" t="s">
        <v>336</v>
      </c>
      <c r="F913" t="s">
        <v>337</v>
      </c>
      <c r="G913" t="s">
        <v>964</v>
      </c>
      <c r="H913">
        <v>88</v>
      </c>
      <c r="I913">
        <v>16.329499999999999</v>
      </c>
      <c r="J913">
        <v>40.8977</v>
      </c>
      <c r="K913">
        <v>24.568200000000001</v>
      </c>
      <c r="L913">
        <v>87</v>
      </c>
      <c r="M913">
        <v>0</v>
      </c>
      <c r="N913">
        <v>1</v>
      </c>
      <c r="O913">
        <v>41.171599999999998</v>
      </c>
      <c r="P913">
        <v>24.087299999999999</v>
      </c>
      <c r="Q913">
        <v>7.6870200000000004</v>
      </c>
    </row>
    <row r="914" spans="1:17" x14ac:dyDescent="0.25">
      <c r="A914" t="str">
        <f>IF(C914&amp;G914&amp;D914&lt;&gt;'Funnel setup'!$K$3&amp;'Funnel setup'!$K$4&amp;'Funnel setup'!$K$6,".",IF(A913=".",1,A913+1))</f>
        <v>.</v>
      </c>
      <c r="B914" s="244" t="str">
        <f t="shared" si="14"/>
        <v>Hip Replacement PrimaryProviderNEW HALL HOSPITAL (NVC09)Oxford Hip Score</v>
      </c>
      <c r="C914" t="s">
        <v>749</v>
      </c>
      <c r="D914" t="s">
        <v>965</v>
      </c>
      <c r="E914" t="s">
        <v>338</v>
      </c>
      <c r="F914" t="s">
        <v>339</v>
      </c>
      <c r="G914" t="s">
        <v>964</v>
      </c>
      <c r="H914">
        <v>94</v>
      </c>
      <c r="I914">
        <v>18.170200000000001</v>
      </c>
      <c r="J914">
        <v>41.659599999999998</v>
      </c>
      <c r="K914">
        <v>23.4894</v>
      </c>
      <c r="L914">
        <v>94</v>
      </c>
      <c r="M914">
        <v>0</v>
      </c>
      <c r="N914">
        <v>0</v>
      </c>
      <c r="O914">
        <v>40.030900000000003</v>
      </c>
      <c r="P914">
        <v>22.9466</v>
      </c>
      <c r="Q914">
        <v>7.3256300000000003</v>
      </c>
    </row>
    <row r="915" spans="1:17" x14ac:dyDescent="0.25">
      <c r="A915" t="str">
        <f>IF(C915&amp;G915&amp;D915&lt;&gt;'Funnel setup'!$K$3&amp;'Funnel setup'!$K$4&amp;'Funnel setup'!$K$6,".",IF(A914=".",1,A914+1))</f>
        <v>.</v>
      </c>
      <c r="B915" s="244" t="str">
        <f t="shared" si="14"/>
        <v>Hip Replacement PrimaryProviderNORFOLK AND NORWICH UNIVERSITY HOSPITALS NHS FOUNDATION TRUST (RM1)Oxford Hip Score</v>
      </c>
      <c r="C915" t="s">
        <v>749</v>
      </c>
      <c r="D915" t="s">
        <v>965</v>
      </c>
      <c r="E915" t="s">
        <v>340</v>
      </c>
      <c r="F915" t="s">
        <v>341</v>
      </c>
      <c r="G915" t="s">
        <v>964</v>
      </c>
      <c r="H915">
        <v>183</v>
      </c>
      <c r="I915">
        <v>14.0219</v>
      </c>
      <c r="J915">
        <v>37.868899999999996</v>
      </c>
      <c r="K915">
        <v>23.847000000000001</v>
      </c>
      <c r="L915">
        <v>178</v>
      </c>
      <c r="M915">
        <v>0</v>
      </c>
      <c r="N915">
        <v>5</v>
      </c>
      <c r="O915">
        <v>39.548200000000001</v>
      </c>
      <c r="P915">
        <v>22.463899999999999</v>
      </c>
      <c r="Q915">
        <v>9.4013000000000009</v>
      </c>
    </row>
    <row r="916" spans="1:17" x14ac:dyDescent="0.25">
      <c r="A916" t="str">
        <f>IF(C916&amp;G916&amp;D916&lt;&gt;'Funnel setup'!$K$3&amp;'Funnel setup'!$K$4&amp;'Funnel setup'!$K$6,".",IF(A915=".",1,A915+1))</f>
        <v>.</v>
      </c>
      <c r="B916" s="244" t="str">
        <f t="shared" si="14"/>
        <v>Hip Replacement PrimaryProviderNORTH BRISTOL NHS TRUST (RVJ)Oxford Hip Score</v>
      </c>
      <c r="C916" t="s">
        <v>749</v>
      </c>
      <c r="D916" t="s">
        <v>965</v>
      </c>
      <c r="E916" t="s">
        <v>342</v>
      </c>
      <c r="F916" t="s">
        <v>343</v>
      </c>
      <c r="G916" t="s">
        <v>964</v>
      </c>
      <c r="H916">
        <v>6</v>
      </c>
      <c r="I916">
        <v>8.8333300000000001</v>
      </c>
      <c r="J916">
        <v>37.666699999999999</v>
      </c>
      <c r="K916">
        <v>28.833300000000001</v>
      </c>
      <c r="L916">
        <v>6</v>
      </c>
      <c r="M916">
        <v>0</v>
      </c>
      <c r="N916">
        <v>0</v>
      </c>
      <c r="O916" t="s">
        <v>127</v>
      </c>
      <c r="P916" t="s">
        <v>127</v>
      </c>
      <c r="Q916" t="s">
        <v>127</v>
      </c>
    </row>
    <row r="917" spans="1:17" x14ac:dyDescent="0.25">
      <c r="A917" t="str">
        <f>IF(C917&amp;G917&amp;D917&lt;&gt;'Funnel setup'!$K$3&amp;'Funnel setup'!$K$4&amp;'Funnel setup'!$K$6,".",IF(A916=".",1,A916+1))</f>
        <v>.</v>
      </c>
      <c r="B917" s="244" t="str">
        <f t="shared" si="14"/>
        <v>Hip Replacement PrimaryProviderNORTH CUMBRIA INTEGRATED CARE NHS FOUNDATION TRUST (RNN)Oxford Hip Score</v>
      </c>
      <c r="C917" t="s">
        <v>749</v>
      </c>
      <c r="D917" t="s">
        <v>965</v>
      </c>
      <c r="E917" t="s">
        <v>344</v>
      </c>
      <c r="F917" t="s">
        <v>345</v>
      </c>
      <c r="G917" t="s">
        <v>964</v>
      </c>
      <c r="H917">
        <v>82</v>
      </c>
      <c r="I917">
        <v>11.7561</v>
      </c>
      <c r="J917">
        <v>38.646299999999997</v>
      </c>
      <c r="K917">
        <v>26.8902</v>
      </c>
      <c r="L917">
        <v>82</v>
      </c>
      <c r="M917">
        <v>0</v>
      </c>
      <c r="N917">
        <v>0</v>
      </c>
      <c r="O917">
        <v>40.856400000000001</v>
      </c>
      <c r="P917">
        <v>23.772099999999998</v>
      </c>
      <c r="Q917">
        <v>8.3369400000000002</v>
      </c>
    </row>
    <row r="918" spans="1:17" x14ac:dyDescent="0.25">
      <c r="A918" t="str">
        <f>IF(C918&amp;G918&amp;D918&lt;&gt;'Funnel setup'!$K$3&amp;'Funnel setup'!$K$4&amp;'Funnel setup'!$K$6,".",IF(A917=".",1,A917+1))</f>
        <v>.</v>
      </c>
      <c r="B918" s="244" t="str">
        <f t="shared" si="14"/>
        <v>Hip Replacement PrimaryProviderNORTH DOWNS HOSPITAL (NVC11)Oxford Hip Score</v>
      </c>
      <c r="C918" t="s">
        <v>749</v>
      </c>
      <c r="D918" t="s">
        <v>965</v>
      </c>
      <c r="E918" t="s">
        <v>348</v>
      </c>
      <c r="F918" t="s">
        <v>349</v>
      </c>
      <c r="G918" t="s">
        <v>964</v>
      </c>
      <c r="H918">
        <v>60</v>
      </c>
      <c r="I918">
        <v>20.066700000000001</v>
      </c>
      <c r="J918">
        <v>43.366700000000002</v>
      </c>
      <c r="K918">
        <v>23.3</v>
      </c>
      <c r="L918">
        <v>59</v>
      </c>
      <c r="M918">
        <v>0</v>
      </c>
      <c r="N918">
        <v>1</v>
      </c>
      <c r="O918">
        <v>41.273000000000003</v>
      </c>
      <c r="P918">
        <v>24.188700000000001</v>
      </c>
      <c r="Q918">
        <v>6.0577399999999999</v>
      </c>
    </row>
    <row r="919" spans="1:17" x14ac:dyDescent="0.25">
      <c r="A919" t="str">
        <f>IF(C919&amp;G919&amp;D919&lt;&gt;'Funnel setup'!$K$3&amp;'Funnel setup'!$K$4&amp;'Funnel setup'!$K$6,".",IF(A918=".",1,A918+1))</f>
        <v>.</v>
      </c>
      <c r="B919" s="244" t="str">
        <f t="shared" si="14"/>
        <v>Hip Replacement PrimaryProviderNORTH MIDDLESEX UNIVERSITY HOSPITAL NHS TRUST (RAP)Oxford Hip Score</v>
      </c>
      <c r="C919" t="s">
        <v>749</v>
      </c>
      <c r="D919" t="s">
        <v>965</v>
      </c>
      <c r="E919" t="s">
        <v>350</v>
      </c>
      <c r="F919" t="s">
        <v>351</v>
      </c>
      <c r="G919" t="s">
        <v>964</v>
      </c>
      <c r="H919">
        <v>8</v>
      </c>
      <c r="I919">
        <v>12.5</v>
      </c>
      <c r="J919">
        <v>26.25</v>
      </c>
      <c r="K919">
        <v>13.75</v>
      </c>
      <c r="L919">
        <v>6</v>
      </c>
      <c r="M919">
        <v>1</v>
      </c>
      <c r="N919">
        <v>1</v>
      </c>
      <c r="O919" t="s">
        <v>127</v>
      </c>
      <c r="P919" t="s">
        <v>127</v>
      </c>
      <c r="Q919" t="s">
        <v>127</v>
      </c>
    </row>
    <row r="920" spans="1:17" x14ac:dyDescent="0.25">
      <c r="A920" t="str">
        <f>IF(C920&amp;G920&amp;D920&lt;&gt;'Funnel setup'!$K$3&amp;'Funnel setup'!$K$4&amp;'Funnel setup'!$K$6,".",IF(A919=".",1,A919+1))</f>
        <v>.</v>
      </c>
      <c r="B920" s="244" t="str">
        <f t="shared" si="14"/>
        <v>Hip Replacement PrimaryProviderNORTH TEES AND HARTLEPOOL NHS FOUNDATION TRUST (RVW)Oxford Hip Score</v>
      </c>
      <c r="C920" t="s">
        <v>749</v>
      </c>
      <c r="D920" t="s">
        <v>965</v>
      </c>
      <c r="E920" t="s">
        <v>352</v>
      </c>
      <c r="F920" t="s">
        <v>353</v>
      </c>
      <c r="G920" t="s">
        <v>964</v>
      </c>
      <c r="H920">
        <v>107</v>
      </c>
      <c r="I920">
        <v>14.018700000000001</v>
      </c>
      <c r="J920">
        <v>37.626199999999997</v>
      </c>
      <c r="K920">
        <v>23.607500000000002</v>
      </c>
      <c r="L920">
        <v>106</v>
      </c>
      <c r="M920">
        <v>0</v>
      </c>
      <c r="N920">
        <v>1</v>
      </c>
      <c r="O920">
        <v>39.799399999999999</v>
      </c>
      <c r="P920">
        <v>22.7151</v>
      </c>
      <c r="Q920">
        <v>9.0048399999999997</v>
      </c>
    </row>
    <row r="921" spans="1:17" x14ac:dyDescent="0.25">
      <c r="A921" t="str">
        <f>IF(C921&amp;G921&amp;D921&lt;&gt;'Funnel setup'!$K$3&amp;'Funnel setup'!$K$4&amp;'Funnel setup'!$K$6,".",IF(A920=".",1,A920+1))</f>
        <v>.</v>
      </c>
      <c r="B921" s="244" t="str">
        <f t="shared" si="14"/>
        <v>Hip Replacement PrimaryProviderNORTH WEST ANGLIA NHS FOUNDATION TRUST (RGN)Oxford Hip Score</v>
      </c>
      <c r="C921" t="s">
        <v>749</v>
      </c>
      <c r="D921" t="s">
        <v>965</v>
      </c>
      <c r="E921" t="s">
        <v>354</v>
      </c>
      <c r="F921" t="s">
        <v>355</v>
      </c>
      <c r="G921" t="s">
        <v>964</v>
      </c>
      <c r="H921">
        <v>172</v>
      </c>
      <c r="I921">
        <v>13.6744</v>
      </c>
      <c r="J921">
        <v>38.691899999999997</v>
      </c>
      <c r="K921">
        <v>25.017399999999999</v>
      </c>
      <c r="L921">
        <v>169</v>
      </c>
      <c r="M921">
        <v>0</v>
      </c>
      <c r="N921">
        <v>3</v>
      </c>
      <c r="O921">
        <v>40.318800000000003</v>
      </c>
      <c r="P921">
        <v>23.234500000000001</v>
      </c>
      <c r="Q921">
        <v>8.7276000000000007</v>
      </c>
    </row>
    <row r="922" spans="1:17" x14ac:dyDescent="0.25">
      <c r="A922" t="str">
        <f>IF(C922&amp;G922&amp;D922&lt;&gt;'Funnel setup'!$K$3&amp;'Funnel setup'!$K$4&amp;'Funnel setup'!$K$6,".",IF(A921=".",1,A921+1))</f>
        <v>.</v>
      </c>
      <c r="B922" s="244" t="str">
        <f t="shared" si="14"/>
        <v>Hip Replacement PrimaryProviderNORTHAMPTON GENERAL HOSPITAL NHS TRUST (RNS)Oxford Hip Score</v>
      </c>
      <c r="C922" t="s">
        <v>749</v>
      </c>
      <c r="D922" t="s">
        <v>965</v>
      </c>
      <c r="E922" t="s">
        <v>356</v>
      </c>
      <c r="F922" t="s">
        <v>357</v>
      </c>
      <c r="G922" t="s">
        <v>964</v>
      </c>
      <c r="H922">
        <v>40</v>
      </c>
      <c r="I922">
        <v>13.35</v>
      </c>
      <c r="J922">
        <v>38.524999999999999</v>
      </c>
      <c r="K922">
        <v>25.175000000000001</v>
      </c>
      <c r="L922">
        <v>40</v>
      </c>
      <c r="M922">
        <v>0</v>
      </c>
      <c r="N922">
        <v>0</v>
      </c>
      <c r="O922">
        <v>40.934399999999997</v>
      </c>
      <c r="P922">
        <v>23.850100000000001</v>
      </c>
      <c r="Q922">
        <v>8.5278799999999997</v>
      </c>
    </row>
    <row r="923" spans="1:17" x14ac:dyDescent="0.25">
      <c r="A923" t="str">
        <f>IF(C923&amp;G923&amp;D923&lt;&gt;'Funnel setup'!$K$3&amp;'Funnel setup'!$K$4&amp;'Funnel setup'!$K$6,".",IF(A922=".",1,A922+1))</f>
        <v>.</v>
      </c>
      <c r="B923" s="244" t="str">
        <f t="shared" si="14"/>
        <v>Hip Replacement PrimaryProviderNORTHERN CARE ALLIANCE NHS FOUNDATION TRUST (RM3)Oxford Hip Score</v>
      </c>
      <c r="C923" t="s">
        <v>749</v>
      </c>
      <c r="D923" t="s">
        <v>965</v>
      </c>
      <c r="E923" t="s">
        <v>358</v>
      </c>
      <c r="F923" t="s">
        <v>359</v>
      </c>
      <c r="G923" t="s">
        <v>964</v>
      </c>
      <c r="H923">
        <v>5</v>
      </c>
      <c r="I923">
        <v>11.2</v>
      </c>
      <c r="J923">
        <v>43.4</v>
      </c>
      <c r="K923">
        <v>32.200000000000003</v>
      </c>
      <c r="L923">
        <v>5</v>
      </c>
      <c r="M923">
        <v>0</v>
      </c>
      <c r="N923">
        <v>0</v>
      </c>
      <c r="O923" t="s">
        <v>127</v>
      </c>
      <c r="P923" t="s">
        <v>127</v>
      </c>
      <c r="Q923" t="s">
        <v>127</v>
      </c>
    </row>
    <row r="924" spans="1:17" x14ac:dyDescent="0.25">
      <c r="A924" t="str">
        <f>IF(C924&amp;G924&amp;D924&lt;&gt;'Funnel setup'!$K$3&amp;'Funnel setup'!$K$4&amp;'Funnel setup'!$K$6,".",IF(A923=".",1,A923+1))</f>
        <v>.</v>
      </c>
      <c r="B924" s="244" t="str">
        <f t="shared" si="14"/>
        <v>Hip Replacement PrimaryProviderNORTHERN DEVON HEALTHCARE NHS TRUST (RBZ)Oxford Hip Score</v>
      </c>
      <c r="C924" t="s">
        <v>749</v>
      </c>
      <c r="D924" t="s">
        <v>965</v>
      </c>
      <c r="E924" t="s">
        <v>360</v>
      </c>
      <c r="F924" t="s">
        <v>361</v>
      </c>
      <c r="G924" t="s">
        <v>964</v>
      </c>
      <c r="H924">
        <v>32</v>
      </c>
      <c r="I924">
        <v>15.0313</v>
      </c>
      <c r="J924">
        <v>40.5</v>
      </c>
      <c r="K924">
        <v>25.468800000000002</v>
      </c>
      <c r="L924">
        <v>32</v>
      </c>
      <c r="M924">
        <v>0</v>
      </c>
      <c r="N924">
        <v>0</v>
      </c>
      <c r="O924">
        <v>42.001399999999997</v>
      </c>
      <c r="P924">
        <v>24.917100000000001</v>
      </c>
      <c r="Q924">
        <v>6.37887</v>
      </c>
    </row>
    <row r="925" spans="1:17" x14ac:dyDescent="0.25">
      <c r="A925" t="str">
        <f>IF(C925&amp;G925&amp;D925&lt;&gt;'Funnel setup'!$K$3&amp;'Funnel setup'!$K$4&amp;'Funnel setup'!$K$6,".",IF(A924=".",1,A924+1))</f>
        <v>.</v>
      </c>
      <c r="B925" s="244" t="str">
        <f t="shared" si="14"/>
        <v>Hip Replacement PrimaryProviderNORTHERN LINCOLNSHIRE AND GOOLE NHS FOUNDATION TRUST (RJL)Oxford Hip Score</v>
      </c>
      <c r="C925" t="s">
        <v>749</v>
      </c>
      <c r="D925" t="s">
        <v>965</v>
      </c>
      <c r="E925" t="s">
        <v>362</v>
      </c>
      <c r="F925" t="s">
        <v>363</v>
      </c>
      <c r="G925" t="s">
        <v>964</v>
      </c>
      <c r="H925">
        <v>95</v>
      </c>
      <c r="I925">
        <v>14.4316</v>
      </c>
      <c r="J925">
        <v>38.2211</v>
      </c>
      <c r="K925">
        <v>23.7895</v>
      </c>
      <c r="L925">
        <v>91</v>
      </c>
      <c r="M925">
        <v>1</v>
      </c>
      <c r="N925">
        <v>3</v>
      </c>
      <c r="O925">
        <v>39.566499999999998</v>
      </c>
      <c r="P925">
        <v>22.482199999999999</v>
      </c>
      <c r="Q925">
        <v>9.1414500000000007</v>
      </c>
    </row>
    <row r="926" spans="1:17" x14ac:dyDescent="0.25">
      <c r="A926" t="str">
        <f>IF(C926&amp;G926&amp;D926&lt;&gt;'Funnel setup'!$K$3&amp;'Funnel setup'!$K$4&amp;'Funnel setup'!$K$6,".",IF(A925=".",1,A925+1))</f>
        <v>.</v>
      </c>
      <c r="B926" s="244" t="str">
        <f t="shared" si="14"/>
        <v>Hip Replacement PrimaryProviderNORTHUMBRIA HEALTHCARE NHS FOUNDATION TRUST (RTF)Oxford Hip Score</v>
      </c>
      <c r="C926" t="s">
        <v>749</v>
      </c>
      <c r="D926" t="s">
        <v>965</v>
      </c>
      <c r="E926" t="s">
        <v>364</v>
      </c>
      <c r="F926" t="s">
        <v>365</v>
      </c>
      <c r="G926" t="s">
        <v>964</v>
      </c>
      <c r="H926">
        <v>301</v>
      </c>
      <c r="I926">
        <v>15.986700000000001</v>
      </c>
      <c r="J926">
        <v>40.661099999999998</v>
      </c>
      <c r="K926">
        <v>24.674399999999999</v>
      </c>
      <c r="L926">
        <v>297</v>
      </c>
      <c r="M926">
        <v>0</v>
      </c>
      <c r="N926">
        <v>4</v>
      </c>
      <c r="O926">
        <v>41.030799999999999</v>
      </c>
      <c r="P926">
        <v>23.9465</v>
      </c>
      <c r="Q926">
        <v>8.1289300000000004</v>
      </c>
    </row>
    <row r="927" spans="1:17" x14ac:dyDescent="0.25">
      <c r="A927" t="str">
        <f>IF(C927&amp;G927&amp;D927&lt;&gt;'Funnel setup'!$K$3&amp;'Funnel setup'!$K$4&amp;'Funnel setup'!$K$6,".",IF(A926=".",1,A926+1))</f>
        <v>.</v>
      </c>
      <c r="B927" s="244" t="str">
        <f t="shared" si="14"/>
        <v>Hip Replacement PrimaryProviderNOTTINGHAM UNIVERSITY HOSPITALS NHS TRUST (RX1)Oxford Hip Score</v>
      </c>
      <c r="C927" t="s">
        <v>749</v>
      </c>
      <c r="D927" t="s">
        <v>965</v>
      </c>
      <c r="E927" t="s">
        <v>366</v>
      </c>
      <c r="F927" t="s">
        <v>367</v>
      </c>
      <c r="G927" t="s">
        <v>964</v>
      </c>
      <c r="H927">
        <v>3</v>
      </c>
      <c r="I927">
        <v>17.666699999999999</v>
      </c>
      <c r="J927">
        <v>38.666699999999999</v>
      </c>
      <c r="K927">
        <v>21</v>
      </c>
      <c r="L927">
        <v>3</v>
      </c>
      <c r="M927">
        <v>0</v>
      </c>
      <c r="N927">
        <v>0</v>
      </c>
      <c r="O927" t="s">
        <v>127</v>
      </c>
      <c r="P927" t="s">
        <v>127</v>
      </c>
      <c r="Q927" t="s">
        <v>127</v>
      </c>
    </row>
    <row r="928" spans="1:17" x14ac:dyDescent="0.25">
      <c r="A928" t="str">
        <f>IF(C928&amp;G928&amp;D928&lt;&gt;'Funnel setup'!$K$3&amp;'Funnel setup'!$K$4&amp;'Funnel setup'!$K$6,".",IF(A927=".",1,A927+1))</f>
        <v>.</v>
      </c>
      <c r="B928" s="244" t="str">
        <f t="shared" si="14"/>
        <v>Hip Replacement PrimaryProviderNUFFIELD HEALTH, BOURNEMOUTH HOSPITAL (NT202)Oxford Hip Score</v>
      </c>
      <c r="C928" t="s">
        <v>749</v>
      </c>
      <c r="D928" t="s">
        <v>965</v>
      </c>
      <c r="E928" t="s">
        <v>368</v>
      </c>
      <c r="F928" t="s">
        <v>369</v>
      </c>
      <c r="G928" t="s">
        <v>964</v>
      </c>
      <c r="H928">
        <v>14</v>
      </c>
      <c r="I928">
        <v>16.357099999999999</v>
      </c>
      <c r="J928">
        <v>43.285699999999999</v>
      </c>
      <c r="K928">
        <v>26.928599999999999</v>
      </c>
      <c r="L928">
        <v>14</v>
      </c>
      <c r="M928">
        <v>0</v>
      </c>
      <c r="N928">
        <v>0</v>
      </c>
      <c r="O928" t="s">
        <v>127</v>
      </c>
      <c r="P928" t="s">
        <v>127</v>
      </c>
      <c r="Q928" t="s">
        <v>127</v>
      </c>
    </row>
    <row r="929" spans="1:17" x14ac:dyDescent="0.25">
      <c r="A929" t="str">
        <f>IF(C929&amp;G929&amp;D929&lt;&gt;'Funnel setup'!$K$3&amp;'Funnel setup'!$K$4&amp;'Funnel setup'!$K$6,".",IF(A928=".",1,A928+1))</f>
        <v>.</v>
      </c>
      <c r="B929" s="244" t="str">
        <f t="shared" si="14"/>
        <v>Hip Replacement PrimaryProviderNUFFIELD HEALTH, BRENTWOOD HOSPITAL (NT204)Oxford Hip Score</v>
      </c>
      <c r="C929" t="s">
        <v>749</v>
      </c>
      <c r="D929" t="s">
        <v>965</v>
      </c>
      <c r="E929" t="s">
        <v>370</v>
      </c>
      <c r="F929" t="s">
        <v>371</v>
      </c>
      <c r="G929" t="s">
        <v>964</v>
      </c>
      <c r="H929">
        <v>16</v>
      </c>
      <c r="I929">
        <v>14.375</v>
      </c>
      <c r="J929">
        <v>42.875</v>
      </c>
      <c r="K929">
        <v>28.5</v>
      </c>
      <c r="L929">
        <v>16</v>
      </c>
      <c r="M929">
        <v>0</v>
      </c>
      <c r="N929">
        <v>0</v>
      </c>
      <c r="O929" t="s">
        <v>127</v>
      </c>
      <c r="P929" t="s">
        <v>127</v>
      </c>
      <c r="Q929" t="s">
        <v>127</v>
      </c>
    </row>
    <row r="930" spans="1:17" x14ac:dyDescent="0.25">
      <c r="A930" t="str">
        <f>IF(C930&amp;G930&amp;D930&lt;&gt;'Funnel setup'!$K$3&amp;'Funnel setup'!$K$4&amp;'Funnel setup'!$K$6,".",IF(A929=".",1,A929+1))</f>
        <v>.</v>
      </c>
      <c r="B930" s="244" t="str">
        <f t="shared" si="14"/>
        <v>Hip Replacement PrimaryProviderNUFFIELD HEALTH, BRIGHTON HOSPITAL (NT205)Oxford Hip Score</v>
      </c>
      <c r="C930" t="s">
        <v>749</v>
      </c>
      <c r="D930" t="s">
        <v>965</v>
      </c>
      <c r="E930" t="s">
        <v>372</v>
      </c>
      <c r="F930" t="s">
        <v>373</v>
      </c>
      <c r="G930" t="s">
        <v>964</v>
      </c>
      <c r="H930">
        <v>3</v>
      </c>
      <c r="I930">
        <v>12.333299999999999</v>
      </c>
      <c r="J930">
        <v>37</v>
      </c>
      <c r="K930">
        <v>24.666699999999999</v>
      </c>
      <c r="L930">
        <v>3</v>
      </c>
      <c r="M930">
        <v>0</v>
      </c>
      <c r="N930">
        <v>0</v>
      </c>
      <c r="O930" t="s">
        <v>127</v>
      </c>
      <c r="P930" t="s">
        <v>127</v>
      </c>
      <c r="Q930" t="s">
        <v>127</v>
      </c>
    </row>
    <row r="931" spans="1:17" x14ac:dyDescent="0.25">
      <c r="A931" t="str">
        <f>IF(C931&amp;G931&amp;D931&lt;&gt;'Funnel setup'!$K$3&amp;'Funnel setup'!$K$4&amp;'Funnel setup'!$K$6,".",IF(A930=".",1,A930+1))</f>
        <v>.</v>
      </c>
      <c r="B931" s="244" t="str">
        <f t="shared" si="14"/>
        <v>Hip Replacement PrimaryProviderNUFFIELD HEALTH, BRISTOL HOSPITAL (CHESTERFIELD) (NT206)Oxford Hip Score</v>
      </c>
      <c r="C931" t="s">
        <v>749</v>
      </c>
      <c r="D931" t="s">
        <v>965</v>
      </c>
      <c r="E931" t="s">
        <v>374</v>
      </c>
      <c r="F931" t="s">
        <v>375</v>
      </c>
      <c r="G931" t="s">
        <v>964</v>
      </c>
      <c r="H931">
        <v>53</v>
      </c>
      <c r="I931">
        <v>17.735800000000001</v>
      </c>
      <c r="J931">
        <v>43.867899999999999</v>
      </c>
      <c r="K931">
        <v>26.132100000000001</v>
      </c>
      <c r="L931">
        <v>53</v>
      </c>
      <c r="M931">
        <v>0</v>
      </c>
      <c r="N931">
        <v>0</v>
      </c>
      <c r="O931">
        <v>42.7883</v>
      </c>
      <c r="P931">
        <v>25.7041</v>
      </c>
      <c r="Q931">
        <v>5.3597599999999996</v>
      </c>
    </row>
    <row r="932" spans="1:17" x14ac:dyDescent="0.25">
      <c r="A932" t="str">
        <f>IF(C932&amp;G932&amp;D932&lt;&gt;'Funnel setup'!$K$3&amp;'Funnel setup'!$K$4&amp;'Funnel setup'!$K$6,".",IF(A931=".",1,A931+1))</f>
        <v>.</v>
      </c>
      <c r="B932" s="244" t="str">
        <f t="shared" si="14"/>
        <v>Hip Replacement PrimaryProviderNUFFIELD HEALTH, CAMBRIDGE HOSPITAL (NT209)Oxford Hip Score</v>
      </c>
      <c r="C932" t="s">
        <v>749</v>
      </c>
      <c r="D932" t="s">
        <v>965</v>
      </c>
      <c r="E932" t="s">
        <v>376</v>
      </c>
      <c r="F932" t="s">
        <v>377</v>
      </c>
      <c r="G932" t="s">
        <v>964</v>
      </c>
      <c r="H932">
        <v>22</v>
      </c>
      <c r="I932">
        <v>17</v>
      </c>
      <c r="J932">
        <v>42.909100000000002</v>
      </c>
      <c r="K932">
        <v>25.909099999999999</v>
      </c>
      <c r="L932">
        <v>22</v>
      </c>
      <c r="M932">
        <v>0</v>
      </c>
      <c r="N932">
        <v>0</v>
      </c>
      <c r="O932" t="s">
        <v>127</v>
      </c>
      <c r="P932" t="s">
        <v>127</v>
      </c>
      <c r="Q932" t="s">
        <v>127</v>
      </c>
    </row>
    <row r="933" spans="1:17" x14ac:dyDescent="0.25">
      <c r="A933" t="str">
        <f>IF(C933&amp;G933&amp;D933&lt;&gt;'Funnel setup'!$K$3&amp;'Funnel setup'!$K$4&amp;'Funnel setup'!$K$6,".",IF(A932=".",1,A932+1))</f>
        <v>.</v>
      </c>
      <c r="B933" s="244" t="str">
        <f t="shared" si="14"/>
        <v>Hip Replacement PrimaryProviderNUFFIELD HEALTH, CHELTENHAM HOSPITAL (NT211)Oxford Hip Score</v>
      </c>
      <c r="C933" t="s">
        <v>749</v>
      </c>
      <c r="D933" t="s">
        <v>965</v>
      </c>
      <c r="E933" t="s">
        <v>378</v>
      </c>
      <c r="F933" t="s">
        <v>379</v>
      </c>
      <c r="G933" t="s">
        <v>964</v>
      </c>
      <c r="H933">
        <v>1</v>
      </c>
      <c r="I933">
        <v>18</v>
      </c>
      <c r="J933">
        <v>46</v>
      </c>
      <c r="K933">
        <v>28</v>
      </c>
      <c r="L933">
        <v>1</v>
      </c>
      <c r="M933">
        <v>0</v>
      </c>
      <c r="N933">
        <v>0</v>
      </c>
      <c r="O933" t="s">
        <v>127</v>
      </c>
      <c r="P933" t="s">
        <v>127</v>
      </c>
      <c r="Q933" t="s">
        <v>127</v>
      </c>
    </row>
    <row r="934" spans="1:17" x14ac:dyDescent="0.25">
      <c r="A934" t="str">
        <f>IF(C934&amp;G934&amp;D934&lt;&gt;'Funnel setup'!$K$3&amp;'Funnel setup'!$K$4&amp;'Funnel setup'!$K$6,".",IF(A933=".",1,A933+1))</f>
        <v>.</v>
      </c>
      <c r="B934" s="244" t="str">
        <f t="shared" si="14"/>
        <v>Hip Replacement PrimaryProviderNUFFIELD HEALTH, CHICHESTER HOSPITAL (NT212)Oxford Hip Score</v>
      </c>
      <c r="C934" t="s">
        <v>749</v>
      </c>
      <c r="D934" t="s">
        <v>965</v>
      </c>
      <c r="E934" t="s">
        <v>380</v>
      </c>
      <c r="F934" t="s">
        <v>381</v>
      </c>
      <c r="G934" t="s">
        <v>964</v>
      </c>
      <c r="H934">
        <v>20</v>
      </c>
      <c r="I934">
        <v>16.95</v>
      </c>
      <c r="J934">
        <v>39.5</v>
      </c>
      <c r="K934">
        <v>22.55</v>
      </c>
      <c r="L934">
        <v>20</v>
      </c>
      <c r="M934">
        <v>0</v>
      </c>
      <c r="N934">
        <v>0</v>
      </c>
      <c r="O934" t="s">
        <v>127</v>
      </c>
      <c r="P934" t="s">
        <v>127</v>
      </c>
      <c r="Q934" t="s">
        <v>127</v>
      </c>
    </row>
    <row r="935" spans="1:17" x14ac:dyDescent="0.25">
      <c r="A935" t="str">
        <f>IF(C935&amp;G935&amp;D935&lt;&gt;'Funnel setup'!$K$3&amp;'Funnel setup'!$K$4&amp;'Funnel setup'!$K$6,".",IF(A934=".",1,A934+1))</f>
        <v>.</v>
      </c>
      <c r="B935" s="244" t="str">
        <f t="shared" si="14"/>
        <v>Hip Replacement PrimaryProviderNUFFIELD HEALTH, DERBY HOSPITAL (NT213)Oxford Hip Score</v>
      </c>
      <c r="C935" t="s">
        <v>749</v>
      </c>
      <c r="D935" t="s">
        <v>965</v>
      </c>
      <c r="E935" t="s">
        <v>382</v>
      </c>
      <c r="F935" t="s">
        <v>383</v>
      </c>
      <c r="G935" t="s">
        <v>964</v>
      </c>
      <c r="H935">
        <v>53</v>
      </c>
      <c r="I935">
        <v>19.113199999999999</v>
      </c>
      <c r="J935">
        <v>42.320799999999998</v>
      </c>
      <c r="K935">
        <v>23.2075</v>
      </c>
      <c r="L935">
        <v>53</v>
      </c>
      <c r="M935">
        <v>0</v>
      </c>
      <c r="N935">
        <v>0</v>
      </c>
      <c r="O935">
        <v>41.182400000000001</v>
      </c>
      <c r="P935">
        <v>24.098099999999999</v>
      </c>
      <c r="Q935">
        <v>6.2285300000000001</v>
      </c>
    </row>
    <row r="936" spans="1:17" x14ac:dyDescent="0.25">
      <c r="A936" t="str">
        <f>IF(C936&amp;G936&amp;D936&lt;&gt;'Funnel setup'!$K$3&amp;'Funnel setup'!$K$4&amp;'Funnel setup'!$K$6,".",IF(A935=".",1,A935+1))</f>
        <v>.</v>
      </c>
      <c r="B936" s="244" t="str">
        <f t="shared" si="14"/>
        <v>Hip Replacement PrimaryProviderNUFFIELD HEALTH, EXETER HOSPITAL (NT215)Oxford Hip Score</v>
      </c>
      <c r="C936" t="s">
        <v>749</v>
      </c>
      <c r="D936" t="s">
        <v>965</v>
      </c>
      <c r="E936" t="s">
        <v>384</v>
      </c>
      <c r="F936" t="s">
        <v>385</v>
      </c>
      <c r="G936" t="s">
        <v>964</v>
      </c>
      <c r="H936">
        <v>3</v>
      </c>
      <c r="I936">
        <v>15</v>
      </c>
      <c r="J936">
        <v>47</v>
      </c>
      <c r="K936">
        <v>32</v>
      </c>
      <c r="L936">
        <v>3</v>
      </c>
      <c r="M936">
        <v>0</v>
      </c>
      <c r="N936">
        <v>0</v>
      </c>
      <c r="O936" t="s">
        <v>127</v>
      </c>
      <c r="P936" t="s">
        <v>127</v>
      </c>
      <c r="Q936" t="s">
        <v>127</v>
      </c>
    </row>
    <row r="937" spans="1:17" x14ac:dyDescent="0.25">
      <c r="A937" t="str">
        <f>IF(C937&amp;G937&amp;D937&lt;&gt;'Funnel setup'!$K$3&amp;'Funnel setup'!$K$4&amp;'Funnel setup'!$K$6,".",IF(A936=".",1,A936+1))</f>
        <v>.</v>
      </c>
      <c r="B937" s="244" t="str">
        <f t="shared" si="14"/>
        <v>Hip Replacement PrimaryProviderNUFFIELD HEALTH, HAYWARDS HEATH HOSPITAL (NT218)Oxford Hip Score</v>
      </c>
      <c r="C937" t="s">
        <v>749</v>
      </c>
      <c r="D937" t="s">
        <v>965</v>
      </c>
      <c r="E937" t="s">
        <v>386</v>
      </c>
      <c r="F937" t="s">
        <v>387</v>
      </c>
      <c r="G937" t="s">
        <v>964</v>
      </c>
      <c r="H937">
        <v>21</v>
      </c>
      <c r="I937">
        <v>17.8095</v>
      </c>
      <c r="J937">
        <v>44.285699999999999</v>
      </c>
      <c r="K937">
        <v>26.476199999999999</v>
      </c>
      <c r="L937">
        <v>21</v>
      </c>
      <c r="M937">
        <v>0</v>
      </c>
      <c r="N937">
        <v>0</v>
      </c>
      <c r="O937" t="s">
        <v>127</v>
      </c>
      <c r="P937" t="s">
        <v>127</v>
      </c>
      <c r="Q937" t="s">
        <v>127</v>
      </c>
    </row>
    <row r="938" spans="1:17" x14ac:dyDescent="0.25">
      <c r="A938" t="str">
        <f>IF(C938&amp;G938&amp;D938&lt;&gt;'Funnel setup'!$K$3&amp;'Funnel setup'!$K$4&amp;'Funnel setup'!$K$6,".",IF(A937=".",1,A937+1))</f>
        <v>.</v>
      </c>
      <c r="B938" s="244" t="str">
        <f t="shared" si="14"/>
        <v>Hip Replacement PrimaryProviderNUFFIELD HEALTH, HEREFORD HOSPITAL (NT219)Oxford Hip Score</v>
      </c>
      <c r="C938" t="s">
        <v>749</v>
      </c>
      <c r="D938" t="s">
        <v>965</v>
      </c>
      <c r="E938" t="s">
        <v>388</v>
      </c>
      <c r="F938" t="s">
        <v>389</v>
      </c>
      <c r="G938" t="s">
        <v>964</v>
      </c>
      <c r="H938">
        <v>8</v>
      </c>
      <c r="I938">
        <v>18.625</v>
      </c>
      <c r="J938">
        <v>41.375</v>
      </c>
      <c r="K938">
        <v>22.75</v>
      </c>
      <c r="L938">
        <v>8</v>
      </c>
      <c r="M938">
        <v>0</v>
      </c>
      <c r="N938">
        <v>0</v>
      </c>
      <c r="O938" t="s">
        <v>127</v>
      </c>
      <c r="P938" t="s">
        <v>127</v>
      </c>
      <c r="Q938" t="s">
        <v>127</v>
      </c>
    </row>
    <row r="939" spans="1:17" x14ac:dyDescent="0.25">
      <c r="A939" t="str">
        <f>IF(C939&amp;G939&amp;D939&lt;&gt;'Funnel setup'!$K$3&amp;'Funnel setup'!$K$4&amp;'Funnel setup'!$K$6,".",IF(A938=".",1,A938+1))</f>
        <v>.</v>
      </c>
      <c r="B939" s="244" t="str">
        <f t="shared" si="14"/>
        <v>Hip Replacement PrimaryProviderNUFFIELD HEALTH, IPSWICH HOSPITAL (NT222)Oxford Hip Score</v>
      </c>
      <c r="C939" t="s">
        <v>749</v>
      </c>
      <c r="D939" t="s">
        <v>965</v>
      </c>
      <c r="E939" t="s">
        <v>390</v>
      </c>
      <c r="F939" t="s">
        <v>391</v>
      </c>
      <c r="G939" t="s">
        <v>964</v>
      </c>
      <c r="H939">
        <v>8</v>
      </c>
      <c r="I939">
        <v>17.375</v>
      </c>
      <c r="J939">
        <v>41.875</v>
      </c>
      <c r="K939">
        <v>24.5</v>
      </c>
      <c r="L939">
        <v>8</v>
      </c>
      <c r="M939">
        <v>0</v>
      </c>
      <c r="N939">
        <v>0</v>
      </c>
      <c r="O939" t="s">
        <v>127</v>
      </c>
      <c r="P939" t="s">
        <v>127</v>
      </c>
      <c r="Q939" t="s">
        <v>127</v>
      </c>
    </row>
    <row r="940" spans="1:17" x14ac:dyDescent="0.25">
      <c r="A940" t="str">
        <f>IF(C940&amp;G940&amp;D940&lt;&gt;'Funnel setup'!$K$3&amp;'Funnel setup'!$K$4&amp;'Funnel setup'!$K$6,".",IF(A939=".",1,A939+1))</f>
        <v>.</v>
      </c>
      <c r="B940" s="244" t="str">
        <f t="shared" si="14"/>
        <v>Hip Replacement PrimaryProviderNUFFIELD HEALTH, LEEDS HOSPITAL (NT225)Oxford Hip Score</v>
      </c>
      <c r="C940" t="s">
        <v>749</v>
      </c>
      <c r="D940" t="s">
        <v>965</v>
      </c>
      <c r="E940" t="s">
        <v>392</v>
      </c>
      <c r="F940" t="s">
        <v>393</v>
      </c>
      <c r="G940" t="s">
        <v>964</v>
      </c>
      <c r="H940">
        <v>118</v>
      </c>
      <c r="I940">
        <v>18.050799999999999</v>
      </c>
      <c r="J940">
        <v>41.254199999999997</v>
      </c>
      <c r="K940">
        <v>23.203399999999998</v>
      </c>
      <c r="L940">
        <v>117</v>
      </c>
      <c r="M940">
        <v>0</v>
      </c>
      <c r="N940">
        <v>1</v>
      </c>
      <c r="O940">
        <v>40.323399999999999</v>
      </c>
      <c r="P940">
        <v>23.239100000000001</v>
      </c>
      <c r="Q940">
        <v>7.4010699999999998</v>
      </c>
    </row>
    <row r="941" spans="1:17" x14ac:dyDescent="0.25">
      <c r="A941" t="str">
        <f>IF(C941&amp;G941&amp;D941&lt;&gt;'Funnel setup'!$K$3&amp;'Funnel setup'!$K$4&amp;'Funnel setup'!$K$6,".",IF(A940=".",1,A940+1))</f>
        <v>.</v>
      </c>
      <c r="B941" s="244" t="str">
        <f t="shared" si="14"/>
        <v>Hip Replacement PrimaryProviderNUFFIELD HEALTH, LEICESTER HOSPITAL (NT226)Oxford Hip Score</v>
      </c>
      <c r="C941" t="s">
        <v>749</v>
      </c>
      <c r="D941" t="s">
        <v>965</v>
      </c>
      <c r="E941" t="s">
        <v>394</v>
      </c>
      <c r="F941" t="s">
        <v>395</v>
      </c>
      <c r="G941" t="s">
        <v>964</v>
      </c>
      <c r="H941">
        <v>34</v>
      </c>
      <c r="I941">
        <v>17.735299999999999</v>
      </c>
      <c r="J941">
        <v>40.588200000000001</v>
      </c>
      <c r="K941">
        <v>22.852900000000002</v>
      </c>
      <c r="L941">
        <v>32</v>
      </c>
      <c r="M941">
        <v>0</v>
      </c>
      <c r="N941">
        <v>2</v>
      </c>
      <c r="O941">
        <v>40.037300000000002</v>
      </c>
      <c r="P941">
        <v>22.952999999999999</v>
      </c>
      <c r="Q941">
        <v>8.5119799999999994</v>
      </c>
    </row>
    <row r="942" spans="1:17" x14ac:dyDescent="0.25">
      <c r="A942" t="str">
        <f>IF(C942&amp;G942&amp;D942&lt;&gt;'Funnel setup'!$K$3&amp;'Funnel setup'!$K$4&amp;'Funnel setup'!$K$6,".",IF(A941=".",1,A941+1))</f>
        <v>.</v>
      </c>
      <c r="B942" s="244" t="str">
        <f t="shared" si="14"/>
        <v>Hip Replacement PrimaryProviderNUFFIELD HEALTH, NEWCASTLE UPON TYNE HOSPITAL (NT229)Oxford Hip Score</v>
      </c>
      <c r="C942" t="s">
        <v>749</v>
      </c>
      <c r="D942" t="s">
        <v>965</v>
      </c>
      <c r="E942" t="s">
        <v>396</v>
      </c>
      <c r="F942" t="s">
        <v>397</v>
      </c>
      <c r="G942" t="s">
        <v>964</v>
      </c>
      <c r="H942">
        <v>50</v>
      </c>
      <c r="I942">
        <v>17.899999999999999</v>
      </c>
      <c r="J942">
        <v>40.880000000000003</v>
      </c>
      <c r="K942">
        <v>22.98</v>
      </c>
      <c r="L942">
        <v>50</v>
      </c>
      <c r="M942">
        <v>0</v>
      </c>
      <c r="N942">
        <v>0</v>
      </c>
      <c r="O942">
        <v>40.196199999999997</v>
      </c>
      <c r="P942">
        <v>23.111899999999999</v>
      </c>
      <c r="Q942">
        <v>7.2707199999999998</v>
      </c>
    </row>
    <row r="943" spans="1:17" x14ac:dyDescent="0.25">
      <c r="A943" t="str">
        <f>IF(C943&amp;G943&amp;D943&lt;&gt;'Funnel setup'!$K$3&amp;'Funnel setup'!$K$4&amp;'Funnel setup'!$K$6,".",IF(A942=".",1,A942+1))</f>
        <v>.</v>
      </c>
      <c r="B943" s="244" t="str">
        <f t="shared" si="14"/>
        <v>Hip Replacement PrimaryProviderNUFFIELD HEALTH, NORTH STAFFORDSHIRE HOSPITAL (NT230)Oxford Hip Score</v>
      </c>
      <c r="C943" t="s">
        <v>749</v>
      </c>
      <c r="D943" t="s">
        <v>965</v>
      </c>
      <c r="E943" t="s">
        <v>398</v>
      </c>
      <c r="F943" t="s">
        <v>399</v>
      </c>
      <c r="G943" t="s">
        <v>964</v>
      </c>
      <c r="H943">
        <v>35</v>
      </c>
      <c r="I943">
        <v>16.857099999999999</v>
      </c>
      <c r="J943">
        <v>39.4</v>
      </c>
      <c r="K943">
        <v>22.542899999999999</v>
      </c>
      <c r="L943">
        <v>34</v>
      </c>
      <c r="M943">
        <v>0</v>
      </c>
      <c r="N943">
        <v>1</v>
      </c>
      <c r="O943">
        <v>39.202399999999997</v>
      </c>
      <c r="P943">
        <v>22.118200000000002</v>
      </c>
      <c r="Q943">
        <v>9.5856899999999996</v>
      </c>
    </row>
    <row r="944" spans="1:17" x14ac:dyDescent="0.25">
      <c r="A944" t="str">
        <f>IF(C944&amp;G944&amp;D944&lt;&gt;'Funnel setup'!$K$3&amp;'Funnel setup'!$K$4&amp;'Funnel setup'!$K$6,".",IF(A943=".",1,A943+1))</f>
        <v>.</v>
      </c>
      <c r="B944" s="244" t="str">
        <f t="shared" si="14"/>
        <v>Hip Replacement PrimaryProviderNUFFIELD HEALTH, PLYMOUTH HOSPITAL (NT233)Oxford Hip Score</v>
      </c>
      <c r="C944" t="s">
        <v>749</v>
      </c>
      <c r="D944" t="s">
        <v>965</v>
      </c>
      <c r="E944" t="s">
        <v>400</v>
      </c>
      <c r="F944" t="s">
        <v>401</v>
      </c>
      <c r="G944" t="s">
        <v>964</v>
      </c>
      <c r="H944">
        <v>66</v>
      </c>
      <c r="I944">
        <v>17.2273</v>
      </c>
      <c r="J944">
        <v>42.060600000000001</v>
      </c>
      <c r="K944">
        <v>24.833300000000001</v>
      </c>
      <c r="L944">
        <v>66</v>
      </c>
      <c r="M944">
        <v>0</v>
      </c>
      <c r="N944">
        <v>0</v>
      </c>
      <c r="O944">
        <v>41.191899999999997</v>
      </c>
      <c r="P944">
        <v>24.107600000000001</v>
      </c>
      <c r="Q944">
        <v>7.4642600000000003</v>
      </c>
    </row>
    <row r="945" spans="1:17" x14ac:dyDescent="0.25">
      <c r="A945" t="str">
        <f>IF(C945&amp;G945&amp;D945&lt;&gt;'Funnel setup'!$K$3&amp;'Funnel setup'!$K$4&amp;'Funnel setup'!$K$6,".",IF(A944=".",1,A944+1))</f>
        <v>.</v>
      </c>
      <c r="B945" s="244" t="str">
        <f t="shared" si="14"/>
        <v>Hip Replacement PrimaryProviderNUFFIELD HEALTH, SHREWSBURY HOSPITAL (NT235)Oxford Hip Score</v>
      </c>
      <c r="C945" t="s">
        <v>749</v>
      </c>
      <c r="D945" t="s">
        <v>965</v>
      </c>
      <c r="E945" t="s">
        <v>402</v>
      </c>
      <c r="F945" t="s">
        <v>403</v>
      </c>
      <c r="G945" t="s">
        <v>964</v>
      </c>
      <c r="H945">
        <v>8</v>
      </c>
      <c r="I945">
        <v>13.75</v>
      </c>
      <c r="J945">
        <v>41.75</v>
      </c>
      <c r="K945">
        <v>28</v>
      </c>
      <c r="L945">
        <v>8</v>
      </c>
      <c r="M945">
        <v>0</v>
      </c>
      <c r="N945">
        <v>0</v>
      </c>
      <c r="O945" t="s">
        <v>127</v>
      </c>
      <c r="P945" t="s">
        <v>127</v>
      </c>
      <c r="Q945" t="s">
        <v>127</v>
      </c>
    </row>
    <row r="946" spans="1:17" x14ac:dyDescent="0.25">
      <c r="A946" t="str">
        <f>IF(C946&amp;G946&amp;D946&lt;&gt;'Funnel setup'!$K$3&amp;'Funnel setup'!$K$4&amp;'Funnel setup'!$K$6,".",IF(A945=".",1,A945+1))</f>
        <v>.</v>
      </c>
      <c r="B946" s="244" t="str">
        <f t="shared" si="14"/>
        <v>Hip Replacement PrimaryProviderNUFFIELD HEALTH, TAUNTON HOSPITAL (NT238)Oxford Hip Score</v>
      </c>
      <c r="C946" t="s">
        <v>749</v>
      </c>
      <c r="D946" t="s">
        <v>965</v>
      </c>
      <c r="E946" t="s">
        <v>404</v>
      </c>
      <c r="F946" t="s">
        <v>405</v>
      </c>
      <c r="G946" t="s">
        <v>964</v>
      </c>
      <c r="H946">
        <v>22</v>
      </c>
      <c r="I946">
        <v>17.2727</v>
      </c>
      <c r="J946">
        <v>42.863599999999998</v>
      </c>
      <c r="K946">
        <v>25.590900000000001</v>
      </c>
      <c r="L946">
        <v>22</v>
      </c>
      <c r="M946">
        <v>0</v>
      </c>
      <c r="N946">
        <v>0</v>
      </c>
      <c r="O946" t="s">
        <v>127</v>
      </c>
      <c r="P946" t="s">
        <v>127</v>
      </c>
      <c r="Q946" t="s">
        <v>127</v>
      </c>
    </row>
    <row r="947" spans="1:17" x14ac:dyDescent="0.25">
      <c r="A947" t="str">
        <f>IF(C947&amp;G947&amp;D947&lt;&gt;'Funnel setup'!$K$3&amp;'Funnel setup'!$K$4&amp;'Funnel setup'!$K$6,".",IF(A946=".",1,A946+1))</f>
        <v>.</v>
      </c>
      <c r="B947" s="244" t="str">
        <f t="shared" si="14"/>
        <v>Hip Replacement PrimaryProviderNUFFIELD HEALTH, TEES HOSPITAL (NT237)Oxford Hip Score</v>
      </c>
      <c r="C947" t="s">
        <v>749</v>
      </c>
      <c r="D947" t="s">
        <v>965</v>
      </c>
      <c r="E947" t="s">
        <v>406</v>
      </c>
      <c r="F947" t="s">
        <v>407</v>
      </c>
      <c r="G947" t="s">
        <v>964</v>
      </c>
      <c r="H947">
        <v>146</v>
      </c>
      <c r="I947">
        <v>18.5274</v>
      </c>
      <c r="J947">
        <v>41.212299999999999</v>
      </c>
      <c r="K947">
        <v>22.684899999999999</v>
      </c>
      <c r="L947">
        <v>142</v>
      </c>
      <c r="M947">
        <v>2</v>
      </c>
      <c r="N947">
        <v>2</v>
      </c>
      <c r="O947">
        <v>39.945900000000002</v>
      </c>
      <c r="P947">
        <v>22.861599999999999</v>
      </c>
      <c r="Q947">
        <v>7.6624499999999998</v>
      </c>
    </row>
    <row r="948" spans="1:17" x14ac:dyDescent="0.25">
      <c r="A948" t="str">
        <f>IF(C948&amp;G948&amp;D948&lt;&gt;'Funnel setup'!$K$3&amp;'Funnel setup'!$K$4&amp;'Funnel setup'!$K$6,".",IF(A947=".",1,A947+1))</f>
        <v>.</v>
      </c>
      <c r="B948" s="244" t="str">
        <f t="shared" si="14"/>
        <v>Hip Replacement PrimaryProviderNUFFIELD HEALTH, THE GROSVENOR HOSPITAL, CHESTER (NT210)Oxford Hip Score</v>
      </c>
      <c r="C948" t="s">
        <v>749</v>
      </c>
      <c r="D948" t="s">
        <v>965</v>
      </c>
      <c r="E948" t="s">
        <v>408</v>
      </c>
      <c r="F948" t="s">
        <v>409</v>
      </c>
      <c r="G948" t="s">
        <v>964</v>
      </c>
      <c r="H948">
        <v>14</v>
      </c>
      <c r="I948">
        <v>16.642900000000001</v>
      </c>
      <c r="J948">
        <v>41.785699999999999</v>
      </c>
      <c r="K948">
        <v>25.142900000000001</v>
      </c>
      <c r="L948">
        <v>14</v>
      </c>
      <c r="M948">
        <v>0</v>
      </c>
      <c r="N948">
        <v>0</v>
      </c>
      <c r="O948" t="s">
        <v>127</v>
      </c>
      <c r="P948" t="s">
        <v>127</v>
      </c>
      <c r="Q948" t="s">
        <v>127</v>
      </c>
    </row>
    <row r="949" spans="1:17" x14ac:dyDescent="0.25">
      <c r="A949" t="str">
        <f>IF(C949&amp;G949&amp;D949&lt;&gt;'Funnel setup'!$K$3&amp;'Funnel setup'!$K$4&amp;'Funnel setup'!$K$6,".",IF(A948=".",1,A948+1))</f>
        <v>.</v>
      </c>
      <c r="B949" s="244" t="str">
        <f t="shared" si="14"/>
        <v>Hip Replacement PrimaryProviderNUFFIELD HEALTH, TUNBRIDGE WELLS HOSPITAL (NT239)Oxford Hip Score</v>
      </c>
      <c r="C949" t="s">
        <v>749</v>
      </c>
      <c r="D949" t="s">
        <v>965</v>
      </c>
      <c r="E949" t="s">
        <v>410</v>
      </c>
      <c r="F949" t="s">
        <v>411</v>
      </c>
      <c r="G949" t="s">
        <v>964</v>
      </c>
      <c r="H949">
        <v>6</v>
      </c>
      <c r="I949">
        <v>18.833300000000001</v>
      </c>
      <c r="J949">
        <v>37.166699999999999</v>
      </c>
      <c r="K949">
        <v>18.333300000000001</v>
      </c>
      <c r="L949">
        <v>6</v>
      </c>
      <c r="M949">
        <v>0</v>
      </c>
      <c r="N949">
        <v>0</v>
      </c>
      <c r="O949" t="s">
        <v>127</v>
      </c>
      <c r="P949" t="s">
        <v>127</v>
      </c>
      <c r="Q949" t="s">
        <v>127</v>
      </c>
    </row>
    <row r="950" spans="1:17" x14ac:dyDescent="0.25">
      <c r="A950" t="str">
        <f>IF(C950&amp;G950&amp;D950&lt;&gt;'Funnel setup'!$K$3&amp;'Funnel setup'!$K$4&amp;'Funnel setup'!$K$6,".",IF(A949=".",1,A949+1))</f>
        <v>.</v>
      </c>
      <c r="B950" s="244" t="str">
        <f t="shared" si="14"/>
        <v>Hip Replacement PrimaryProviderNUFFIELD HEALTH, WARWICKSHIRE HOSPITAL (NT224)Oxford Hip Score</v>
      </c>
      <c r="C950" t="s">
        <v>749</v>
      </c>
      <c r="D950" t="s">
        <v>965</v>
      </c>
      <c r="E950" t="s">
        <v>412</v>
      </c>
      <c r="F950" t="s">
        <v>413</v>
      </c>
      <c r="G950" t="s">
        <v>964</v>
      </c>
      <c r="H950">
        <v>19</v>
      </c>
      <c r="I950">
        <v>21.684200000000001</v>
      </c>
      <c r="J950">
        <v>41.684199999999997</v>
      </c>
      <c r="K950">
        <v>20</v>
      </c>
      <c r="L950">
        <v>18</v>
      </c>
      <c r="M950">
        <v>0</v>
      </c>
      <c r="N950">
        <v>1</v>
      </c>
      <c r="O950" t="s">
        <v>127</v>
      </c>
      <c r="P950" t="s">
        <v>127</v>
      </c>
      <c r="Q950" t="s">
        <v>127</v>
      </c>
    </row>
    <row r="951" spans="1:17" x14ac:dyDescent="0.25">
      <c r="A951" t="str">
        <f>IF(C951&amp;G951&amp;D951&lt;&gt;'Funnel setup'!$K$3&amp;'Funnel setup'!$K$4&amp;'Funnel setup'!$K$6,".",IF(A950=".",1,A950+1))</f>
        <v>.</v>
      </c>
      <c r="B951" s="244" t="str">
        <f t="shared" si="14"/>
        <v>Hip Replacement PrimaryProviderNUFFIELD HEALTH, WESSEX HOSPITAL (NT214)Oxford Hip Score</v>
      </c>
      <c r="C951" t="s">
        <v>749</v>
      </c>
      <c r="D951" t="s">
        <v>965</v>
      </c>
      <c r="E951" t="s">
        <v>414</v>
      </c>
      <c r="F951" t="s">
        <v>415</v>
      </c>
      <c r="G951" t="s">
        <v>964</v>
      </c>
      <c r="H951">
        <v>35</v>
      </c>
      <c r="I951">
        <v>20.485700000000001</v>
      </c>
      <c r="J951">
        <v>41.6571</v>
      </c>
      <c r="K951">
        <v>21.171399999999998</v>
      </c>
      <c r="L951">
        <v>35</v>
      </c>
      <c r="M951">
        <v>0</v>
      </c>
      <c r="N951">
        <v>0</v>
      </c>
      <c r="O951">
        <v>39.778599999999997</v>
      </c>
      <c r="P951">
        <v>22.694299999999998</v>
      </c>
      <c r="Q951">
        <v>5.9701000000000004</v>
      </c>
    </row>
    <row r="952" spans="1:17" x14ac:dyDescent="0.25">
      <c r="A952" t="str">
        <f>IF(C952&amp;G952&amp;D952&lt;&gt;'Funnel setup'!$K$3&amp;'Funnel setup'!$K$4&amp;'Funnel setup'!$K$6,".",IF(A951=".",1,A951+1))</f>
        <v>.</v>
      </c>
      <c r="B952" s="244" t="str">
        <f t="shared" si="14"/>
        <v>Hip Replacement PrimaryProviderNUFFIELD HEALTH, WOLVERHAMPTON HOSPITAL (NT242)Oxford Hip Score</v>
      </c>
      <c r="C952" t="s">
        <v>749</v>
      </c>
      <c r="D952" t="s">
        <v>965</v>
      </c>
      <c r="E952" t="s">
        <v>418</v>
      </c>
      <c r="F952" t="s">
        <v>419</v>
      </c>
      <c r="G952" t="s">
        <v>964</v>
      </c>
      <c r="H952">
        <v>4</v>
      </c>
      <c r="I952">
        <v>22.75</v>
      </c>
      <c r="J952">
        <v>40.75</v>
      </c>
      <c r="K952">
        <v>18</v>
      </c>
      <c r="L952">
        <v>4</v>
      </c>
      <c r="M952">
        <v>0</v>
      </c>
      <c r="N952">
        <v>0</v>
      </c>
      <c r="O952" t="s">
        <v>127</v>
      </c>
      <c r="P952" t="s">
        <v>127</v>
      </c>
      <c r="Q952" t="s">
        <v>127</v>
      </c>
    </row>
    <row r="953" spans="1:17" x14ac:dyDescent="0.25">
      <c r="A953" t="str">
        <f>IF(C953&amp;G953&amp;D953&lt;&gt;'Funnel setup'!$K$3&amp;'Funnel setup'!$K$4&amp;'Funnel setup'!$K$6,".",IF(A952=".",1,A952+1))</f>
        <v>.</v>
      </c>
      <c r="B953" s="244" t="str">
        <f t="shared" si="14"/>
        <v>Hip Replacement PrimaryProviderNUFFIELD HEALTH, YORK HOSPITAL (NT245)Oxford Hip Score</v>
      </c>
      <c r="C953" t="s">
        <v>749</v>
      </c>
      <c r="D953" t="s">
        <v>965</v>
      </c>
      <c r="E953" t="s">
        <v>420</v>
      </c>
      <c r="F953" t="s">
        <v>421</v>
      </c>
      <c r="G953" t="s">
        <v>964</v>
      </c>
      <c r="H953">
        <v>80</v>
      </c>
      <c r="I953">
        <v>17.012499999999999</v>
      </c>
      <c r="J953">
        <v>42.05</v>
      </c>
      <c r="K953">
        <v>25.037500000000001</v>
      </c>
      <c r="L953">
        <v>79</v>
      </c>
      <c r="M953">
        <v>0</v>
      </c>
      <c r="N953">
        <v>1</v>
      </c>
      <c r="O953">
        <v>41.880800000000001</v>
      </c>
      <c r="P953">
        <v>24.796500000000002</v>
      </c>
      <c r="Q953">
        <v>7.3975400000000002</v>
      </c>
    </row>
    <row r="954" spans="1:17" x14ac:dyDescent="0.25">
      <c r="A954" t="str">
        <f>IF(C954&amp;G954&amp;D954&lt;&gt;'Funnel setup'!$K$3&amp;'Funnel setup'!$K$4&amp;'Funnel setup'!$K$6,".",IF(A953=".",1,A953+1))</f>
        <v>.</v>
      </c>
      <c r="B954" s="244" t="str">
        <f t="shared" si="14"/>
        <v>Hip Replacement PrimaryProviderOAKLANDS HOSPITAL (NVC12)Oxford Hip Score</v>
      </c>
      <c r="C954" t="s">
        <v>749</v>
      </c>
      <c r="D954" t="s">
        <v>965</v>
      </c>
      <c r="E954" t="s">
        <v>424</v>
      </c>
      <c r="F954" t="s">
        <v>425</v>
      </c>
      <c r="G954" t="s">
        <v>964</v>
      </c>
      <c r="H954">
        <v>65</v>
      </c>
      <c r="I954">
        <v>15.9846</v>
      </c>
      <c r="J954">
        <v>37.830800000000004</v>
      </c>
      <c r="K954">
        <v>21.8462</v>
      </c>
      <c r="L954">
        <v>62</v>
      </c>
      <c r="M954">
        <v>0</v>
      </c>
      <c r="N954">
        <v>3</v>
      </c>
      <c r="O954">
        <v>38.185400000000001</v>
      </c>
      <c r="P954">
        <v>21.101099999999999</v>
      </c>
      <c r="Q954">
        <v>9.2427700000000002</v>
      </c>
    </row>
    <row r="955" spans="1:17" x14ac:dyDescent="0.25">
      <c r="A955" t="str">
        <f>IF(C955&amp;G955&amp;D955&lt;&gt;'Funnel setup'!$K$3&amp;'Funnel setup'!$K$4&amp;'Funnel setup'!$K$6,".",IF(A954=".",1,A954+1))</f>
        <v>.</v>
      </c>
      <c r="B955" s="244" t="str">
        <f t="shared" si="14"/>
        <v>Hip Replacement PrimaryProviderOAKS HOSPITAL (NVC13)Oxford Hip Score</v>
      </c>
      <c r="C955" t="s">
        <v>749</v>
      </c>
      <c r="D955" t="s">
        <v>965</v>
      </c>
      <c r="E955" t="s">
        <v>426</v>
      </c>
      <c r="F955" t="s">
        <v>427</v>
      </c>
      <c r="G955" t="s">
        <v>964</v>
      </c>
      <c r="H955">
        <v>7</v>
      </c>
      <c r="I955">
        <v>21.142900000000001</v>
      </c>
      <c r="J955">
        <v>42.285699999999999</v>
      </c>
      <c r="K955">
        <v>21.142900000000001</v>
      </c>
      <c r="L955">
        <v>7</v>
      </c>
      <c r="M955">
        <v>0</v>
      </c>
      <c r="N955">
        <v>0</v>
      </c>
      <c r="O955" t="s">
        <v>127</v>
      </c>
      <c r="P955" t="s">
        <v>127</v>
      </c>
      <c r="Q955" t="s">
        <v>127</v>
      </c>
    </row>
    <row r="956" spans="1:17" x14ac:dyDescent="0.25">
      <c r="A956" t="str">
        <f>IF(C956&amp;G956&amp;D956&lt;&gt;'Funnel setup'!$K$3&amp;'Funnel setup'!$K$4&amp;'Funnel setup'!$K$6,".",IF(A955=".",1,A955+1))</f>
        <v>.</v>
      </c>
      <c r="B956" s="244" t="str">
        <f t="shared" si="14"/>
        <v>Hip Replacement PrimaryProviderONE HEALTHCARE (AVQ)Oxford Hip Score</v>
      </c>
      <c r="C956" t="s">
        <v>749</v>
      </c>
      <c r="D956" t="s">
        <v>965</v>
      </c>
      <c r="E956" t="s">
        <v>434</v>
      </c>
      <c r="F956" t="s">
        <v>435</v>
      </c>
      <c r="G956" t="s">
        <v>964</v>
      </c>
      <c r="H956">
        <v>53</v>
      </c>
      <c r="I956">
        <v>18.132100000000001</v>
      </c>
      <c r="J956">
        <v>42.660400000000003</v>
      </c>
      <c r="K956">
        <v>24.528300000000002</v>
      </c>
      <c r="L956">
        <v>51</v>
      </c>
      <c r="M956">
        <v>1</v>
      </c>
      <c r="N956">
        <v>1</v>
      </c>
      <c r="O956">
        <v>41.761299999999999</v>
      </c>
      <c r="P956">
        <v>24.677</v>
      </c>
      <c r="Q956">
        <v>7.7155800000000001</v>
      </c>
    </row>
    <row r="957" spans="1:17" x14ac:dyDescent="0.25">
      <c r="A957" t="str">
        <f>IF(C957&amp;G957&amp;D957&lt;&gt;'Funnel setup'!$K$3&amp;'Funnel setup'!$K$4&amp;'Funnel setup'!$K$6,".",IF(A956=".",1,A956+1))</f>
        <v>.</v>
      </c>
      <c r="B957" s="244" t="str">
        <f t="shared" si="14"/>
        <v>Hip Replacement PrimaryProviderORTHOPAEDICS &amp; SPINE SPECIALIST HOSPITAL SITE (NQM01)Oxford Hip Score</v>
      </c>
      <c r="C957" t="s">
        <v>749</v>
      </c>
      <c r="D957" t="s">
        <v>965</v>
      </c>
      <c r="E957" t="s">
        <v>436</v>
      </c>
      <c r="F957" t="s">
        <v>437</v>
      </c>
      <c r="G957" t="s">
        <v>964</v>
      </c>
      <c r="H957">
        <v>7</v>
      </c>
      <c r="I957">
        <v>21.857099999999999</v>
      </c>
      <c r="J957">
        <v>41.571399999999997</v>
      </c>
      <c r="K957">
        <v>19.714300000000001</v>
      </c>
      <c r="L957">
        <v>7</v>
      </c>
      <c r="M957">
        <v>0</v>
      </c>
      <c r="N957">
        <v>0</v>
      </c>
      <c r="O957" t="s">
        <v>127</v>
      </c>
      <c r="P957" t="s">
        <v>127</v>
      </c>
      <c r="Q957" t="s">
        <v>127</v>
      </c>
    </row>
    <row r="958" spans="1:17" x14ac:dyDescent="0.25">
      <c r="A958" t="str">
        <f>IF(C958&amp;G958&amp;D958&lt;&gt;'Funnel setup'!$K$3&amp;'Funnel setup'!$K$4&amp;'Funnel setup'!$K$6,".",IF(A957=".",1,A957+1))</f>
        <v>.</v>
      </c>
      <c r="B958" s="244" t="str">
        <f t="shared" si="14"/>
        <v>Hip Replacement PrimaryProviderOXFORD UNIVERSITY HOSPITALS NHS FOUNDATION TRUST (RTH)Oxford Hip Score</v>
      </c>
      <c r="C958" t="s">
        <v>749</v>
      </c>
      <c r="D958" t="s">
        <v>965</v>
      </c>
      <c r="E958" t="s">
        <v>438</v>
      </c>
      <c r="F958" t="s">
        <v>439</v>
      </c>
      <c r="G958" t="s">
        <v>964</v>
      </c>
      <c r="H958">
        <v>289</v>
      </c>
      <c r="I958">
        <v>17.0657</v>
      </c>
      <c r="J958">
        <v>40.339100000000002</v>
      </c>
      <c r="K958">
        <v>23.273399999999999</v>
      </c>
      <c r="L958">
        <v>281</v>
      </c>
      <c r="M958">
        <v>1</v>
      </c>
      <c r="N958">
        <v>7</v>
      </c>
      <c r="O958">
        <v>39.965699999999998</v>
      </c>
      <c r="P958">
        <v>22.881399999999999</v>
      </c>
      <c r="Q958">
        <v>8.3532200000000003</v>
      </c>
    </row>
    <row r="959" spans="1:17" x14ac:dyDescent="0.25">
      <c r="A959" t="str">
        <f>IF(C959&amp;G959&amp;D959&lt;&gt;'Funnel setup'!$K$3&amp;'Funnel setup'!$K$4&amp;'Funnel setup'!$K$6,".",IF(A958=".",1,A958+1))</f>
        <v>.</v>
      </c>
      <c r="B959" s="244" t="str">
        <f t="shared" si="14"/>
        <v>Hip Replacement PrimaryProviderPARK HILL HOSPITAL (NVC14)Oxford Hip Score</v>
      </c>
      <c r="C959" t="s">
        <v>749</v>
      </c>
      <c r="D959" t="s">
        <v>965</v>
      </c>
      <c r="E959" t="s">
        <v>440</v>
      </c>
      <c r="F959" t="s">
        <v>441</v>
      </c>
      <c r="G959" t="s">
        <v>964</v>
      </c>
      <c r="H959">
        <v>59</v>
      </c>
      <c r="I959">
        <v>14.4068</v>
      </c>
      <c r="J959">
        <v>39.220300000000002</v>
      </c>
      <c r="K959">
        <v>24.813600000000001</v>
      </c>
      <c r="L959">
        <v>57</v>
      </c>
      <c r="M959">
        <v>0</v>
      </c>
      <c r="N959">
        <v>2</v>
      </c>
      <c r="O959">
        <v>39.755699999999997</v>
      </c>
      <c r="P959">
        <v>22.671399999999998</v>
      </c>
      <c r="Q959">
        <v>8.5290900000000001</v>
      </c>
    </row>
    <row r="960" spans="1:17" x14ac:dyDescent="0.25">
      <c r="A960" t="str">
        <f>IF(C960&amp;G960&amp;D960&lt;&gt;'Funnel setup'!$K$3&amp;'Funnel setup'!$K$4&amp;'Funnel setup'!$K$6,".",IF(A959=".",1,A959+1))</f>
        <v>.</v>
      </c>
      <c r="B960" s="244" t="str">
        <f t="shared" si="14"/>
        <v>Hip Replacement PrimaryProviderPARK HOSPITAL (NT427)Oxford Hip Score</v>
      </c>
      <c r="C960" t="s">
        <v>749</v>
      </c>
      <c r="D960" t="s">
        <v>965</v>
      </c>
      <c r="E960" t="s">
        <v>442</v>
      </c>
      <c r="F960" t="s">
        <v>443</v>
      </c>
      <c r="G960" t="s">
        <v>964</v>
      </c>
      <c r="H960">
        <v>25</v>
      </c>
      <c r="I960">
        <v>14.72</v>
      </c>
      <c r="J960">
        <v>38</v>
      </c>
      <c r="K960">
        <v>23.28</v>
      </c>
      <c r="L960">
        <v>24</v>
      </c>
      <c r="M960">
        <v>1</v>
      </c>
      <c r="N960">
        <v>0</v>
      </c>
      <c r="O960" t="s">
        <v>127</v>
      </c>
      <c r="P960" t="s">
        <v>127</v>
      </c>
      <c r="Q960" t="s">
        <v>127</v>
      </c>
    </row>
    <row r="961" spans="1:17" x14ac:dyDescent="0.25">
      <c r="A961" t="str">
        <f>IF(C961&amp;G961&amp;D961&lt;&gt;'Funnel setup'!$K$3&amp;'Funnel setup'!$K$4&amp;'Funnel setup'!$K$6,".",IF(A960=".",1,A960+1))</f>
        <v>.</v>
      </c>
      <c r="B961" s="244" t="str">
        <f t="shared" si="14"/>
        <v>Hip Replacement PrimaryProviderPENNINE ACUTE HOSPITALS NHS TRUST (RW6)Oxford Hip Score</v>
      </c>
      <c r="C961" t="s">
        <v>749</v>
      </c>
      <c r="D961" t="s">
        <v>965</v>
      </c>
      <c r="E961" t="s">
        <v>444</v>
      </c>
      <c r="F961" t="s">
        <v>445</v>
      </c>
      <c r="G961" t="s">
        <v>964</v>
      </c>
      <c r="H961">
        <v>3</v>
      </c>
      <c r="I961">
        <v>11</v>
      </c>
      <c r="J961">
        <v>29</v>
      </c>
      <c r="K961">
        <v>18</v>
      </c>
      <c r="L961">
        <v>3</v>
      </c>
      <c r="M961">
        <v>0</v>
      </c>
      <c r="N961">
        <v>0</v>
      </c>
      <c r="O961" t="s">
        <v>127</v>
      </c>
      <c r="P961" t="s">
        <v>127</v>
      </c>
      <c r="Q961" t="s">
        <v>127</v>
      </c>
    </row>
    <row r="962" spans="1:17" x14ac:dyDescent="0.25">
      <c r="A962" t="str">
        <f>IF(C962&amp;G962&amp;D962&lt;&gt;'Funnel setup'!$K$3&amp;'Funnel setup'!$K$4&amp;'Funnel setup'!$K$6,".",IF(A961=".",1,A961+1))</f>
        <v>.</v>
      </c>
      <c r="B962" s="244" t="str">
        <f t="shared" ref="B962:B1025" si="15">C962&amp;D962&amp;F962&amp;G962</f>
        <v>Hip Replacement PrimaryProviderPINEHILL HOSPITAL (NVC15)Oxford Hip Score</v>
      </c>
      <c r="C962" t="s">
        <v>749</v>
      </c>
      <c r="D962" t="s">
        <v>965</v>
      </c>
      <c r="E962" t="s">
        <v>448</v>
      </c>
      <c r="F962" t="s">
        <v>449</v>
      </c>
      <c r="G962" t="s">
        <v>964</v>
      </c>
      <c r="H962">
        <v>12</v>
      </c>
      <c r="I962">
        <v>27.416699999999999</v>
      </c>
      <c r="J962">
        <v>28.5</v>
      </c>
      <c r="K962">
        <v>1.0833299999999999</v>
      </c>
      <c r="L962">
        <v>7</v>
      </c>
      <c r="M962">
        <v>2</v>
      </c>
      <c r="N962">
        <v>3</v>
      </c>
      <c r="O962" t="s">
        <v>127</v>
      </c>
      <c r="P962" t="s">
        <v>127</v>
      </c>
      <c r="Q962" t="s">
        <v>127</v>
      </c>
    </row>
    <row r="963" spans="1:17" x14ac:dyDescent="0.25">
      <c r="A963" t="str">
        <f>IF(C963&amp;G963&amp;D963&lt;&gt;'Funnel setup'!$K$3&amp;'Funnel setup'!$K$4&amp;'Funnel setup'!$K$6,".",IF(A962=".",1,A962+1))</f>
        <v>.</v>
      </c>
      <c r="B963" s="244" t="str">
        <f t="shared" si="15"/>
        <v>Hip Replacement PrimaryProviderPORTSMOUTH HOSPITALS UNIVERSITY NATIONAL HEALTH SERVICE TRUST (RHU)Oxford Hip Score</v>
      </c>
      <c r="C963" t="s">
        <v>749</v>
      </c>
      <c r="D963" t="s">
        <v>965</v>
      </c>
      <c r="E963" t="s">
        <v>450</v>
      </c>
      <c r="F963" t="s">
        <v>451</v>
      </c>
      <c r="G963" t="s">
        <v>964</v>
      </c>
      <c r="H963">
        <v>14</v>
      </c>
      <c r="I963">
        <v>12</v>
      </c>
      <c r="J963">
        <v>37.571399999999997</v>
      </c>
      <c r="K963">
        <v>25.571400000000001</v>
      </c>
      <c r="L963">
        <v>14</v>
      </c>
      <c r="M963">
        <v>0</v>
      </c>
      <c r="N963">
        <v>0</v>
      </c>
      <c r="O963" t="s">
        <v>127</v>
      </c>
      <c r="P963" t="s">
        <v>127</v>
      </c>
      <c r="Q963" t="s">
        <v>127</v>
      </c>
    </row>
    <row r="964" spans="1:17" x14ac:dyDescent="0.25">
      <c r="A964" t="str">
        <f>IF(C964&amp;G964&amp;D964&lt;&gt;'Funnel setup'!$K$3&amp;'Funnel setup'!$K$4&amp;'Funnel setup'!$K$6,".",IF(A963=".",1,A963+1))</f>
        <v>.</v>
      </c>
      <c r="B964" s="244" t="str">
        <f t="shared" si="15"/>
        <v>Hip Replacement PrimaryProviderPRACTICE PLUS GROUP HOSPITAL - BARLBOROUGH (NTP13)Oxford Hip Score</v>
      </c>
      <c r="C964" t="s">
        <v>749</v>
      </c>
      <c r="D964" t="s">
        <v>965</v>
      </c>
      <c r="E964" t="s">
        <v>452</v>
      </c>
      <c r="F964" t="s">
        <v>453</v>
      </c>
      <c r="G964" t="s">
        <v>964</v>
      </c>
      <c r="H964">
        <v>178</v>
      </c>
      <c r="I964">
        <v>17.629200000000001</v>
      </c>
      <c r="J964">
        <v>40.848300000000002</v>
      </c>
      <c r="K964">
        <v>23.219100000000001</v>
      </c>
      <c r="L964">
        <v>173</v>
      </c>
      <c r="M964">
        <v>1</v>
      </c>
      <c r="N964">
        <v>4</v>
      </c>
      <c r="O964">
        <v>40.202500000000001</v>
      </c>
      <c r="P964">
        <v>23.118200000000002</v>
      </c>
      <c r="Q964">
        <v>7.9901200000000001</v>
      </c>
    </row>
    <row r="965" spans="1:17" x14ac:dyDescent="0.25">
      <c r="A965" t="str">
        <f>IF(C965&amp;G965&amp;D965&lt;&gt;'Funnel setup'!$K$3&amp;'Funnel setup'!$K$4&amp;'Funnel setup'!$K$6,".",IF(A964=".",1,A964+1))</f>
        <v>.</v>
      </c>
      <c r="B965" s="244" t="str">
        <f t="shared" si="15"/>
        <v>Hip Replacement PrimaryProviderPRACTICE PLUS GROUP HOSPITAL - EMERSONS GREEN (NTPH2)Oxford Hip Score</v>
      </c>
      <c r="C965" t="s">
        <v>749</v>
      </c>
      <c r="D965" t="s">
        <v>965</v>
      </c>
      <c r="E965" t="s">
        <v>454</v>
      </c>
      <c r="F965" t="s">
        <v>455</v>
      </c>
      <c r="G965" t="s">
        <v>964</v>
      </c>
      <c r="H965">
        <v>145</v>
      </c>
      <c r="I965">
        <v>18.034500000000001</v>
      </c>
      <c r="J965">
        <v>42.496600000000001</v>
      </c>
      <c r="K965">
        <v>24.4621</v>
      </c>
      <c r="L965">
        <v>145</v>
      </c>
      <c r="M965">
        <v>0</v>
      </c>
      <c r="N965">
        <v>0</v>
      </c>
      <c r="O965">
        <v>41.4465</v>
      </c>
      <c r="P965">
        <v>24.362200000000001</v>
      </c>
      <c r="Q965">
        <v>6.3110099999999996</v>
      </c>
    </row>
    <row r="966" spans="1:17" x14ac:dyDescent="0.25">
      <c r="A966" t="str">
        <f>IF(C966&amp;G966&amp;D966&lt;&gt;'Funnel setup'!$K$3&amp;'Funnel setup'!$K$4&amp;'Funnel setup'!$K$6,".",IF(A965=".",1,A965+1))</f>
        <v>.</v>
      </c>
      <c r="B966" s="244" t="str">
        <f t="shared" si="15"/>
        <v>Hip Replacement PrimaryProviderPRACTICE PLUS GROUP HOSPITAL - ILFORD (NTP15)Oxford Hip Score</v>
      </c>
      <c r="C966" t="s">
        <v>749</v>
      </c>
      <c r="D966" t="s">
        <v>965</v>
      </c>
      <c r="E966" t="s">
        <v>456</v>
      </c>
      <c r="F966" t="s">
        <v>457</v>
      </c>
      <c r="G966" t="s">
        <v>964</v>
      </c>
      <c r="H966">
        <v>61</v>
      </c>
      <c r="I966">
        <v>17.180299999999999</v>
      </c>
      <c r="J966">
        <v>40.147500000000001</v>
      </c>
      <c r="K966">
        <v>22.967199999999998</v>
      </c>
      <c r="L966">
        <v>58</v>
      </c>
      <c r="M966">
        <v>0</v>
      </c>
      <c r="N966">
        <v>3</v>
      </c>
      <c r="O966">
        <v>40.109299999999998</v>
      </c>
      <c r="P966">
        <v>23.024999999999999</v>
      </c>
      <c r="Q966">
        <v>7.5982799999999999</v>
      </c>
    </row>
    <row r="967" spans="1:17" x14ac:dyDescent="0.25">
      <c r="A967" t="str">
        <f>IF(C967&amp;G967&amp;D967&lt;&gt;'Funnel setup'!$K$3&amp;'Funnel setup'!$K$4&amp;'Funnel setup'!$K$6,".",IF(A966=".",1,A966+1))</f>
        <v>.</v>
      </c>
      <c r="B967" s="244" t="str">
        <f t="shared" si="15"/>
        <v>Hip Replacement PrimaryProviderPRACTICE PLUS GROUP HOSPITAL - PLYMOUTH (NTPH5)Oxford Hip Score</v>
      </c>
      <c r="C967" t="s">
        <v>749</v>
      </c>
      <c r="D967" t="s">
        <v>965</v>
      </c>
      <c r="E967" t="s">
        <v>458</v>
      </c>
      <c r="F967" t="s">
        <v>459</v>
      </c>
      <c r="G967" t="s">
        <v>964</v>
      </c>
      <c r="H967">
        <v>189</v>
      </c>
      <c r="I967">
        <v>17.941800000000001</v>
      </c>
      <c r="J967">
        <v>41.5503</v>
      </c>
      <c r="K967">
        <v>23.608499999999999</v>
      </c>
      <c r="L967">
        <v>181</v>
      </c>
      <c r="M967">
        <v>1</v>
      </c>
      <c r="N967">
        <v>7</v>
      </c>
      <c r="O967">
        <v>41.313600000000001</v>
      </c>
      <c r="P967">
        <v>24.229299999999999</v>
      </c>
      <c r="Q967">
        <v>7.7900799999999997</v>
      </c>
    </row>
    <row r="968" spans="1:17" x14ac:dyDescent="0.25">
      <c r="A968" t="str">
        <f>IF(C968&amp;G968&amp;D968&lt;&gt;'Funnel setup'!$K$3&amp;'Funnel setup'!$K$4&amp;'Funnel setup'!$K$6,".",IF(A967=".",1,A967+1))</f>
        <v>.</v>
      </c>
      <c r="B968" s="244" t="str">
        <f t="shared" si="15"/>
        <v>Hip Replacement PrimaryProviderPRACTICE PLUS GROUP HOSPITAL - SHEPTON MALLET (NTPH1)Oxford Hip Score</v>
      </c>
      <c r="C968" t="s">
        <v>749</v>
      </c>
      <c r="D968" t="s">
        <v>965</v>
      </c>
      <c r="E968" t="s">
        <v>460</v>
      </c>
      <c r="F968" t="s">
        <v>461</v>
      </c>
      <c r="G968" t="s">
        <v>964</v>
      </c>
      <c r="H968">
        <v>295</v>
      </c>
      <c r="I968">
        <v>17.874600000000001</v>
      </c>
      <c r="J968">
        <v>42.291499999999999</v>
      </c>
      <c r="K968">
        <v>24.416899999999998</v>
      </c>
      <c r="L968">
        <v>293</v>
      </c>
      <c r="M968">
        <v>0</v>
      </c>
      <c r="N968">
        <v>2</v>
      </c>
      <c r="O968">
        <v>41.3369</v>
      </c>
      <c r="P968">
        <v>24.252600000000001</v>
      </c>
      <c r="Q968">
        <v>6.9738800000000003</v>
      </c>
    </row>
    <row r="969" spans="1:17" x14ac:dyDescent="0.25">
      <c r="A969" t="str">
        <f>IF(C969&amp;G969&amp;D969&lt;&gt;'Funnel setup'!$K$3&amp;'Funnel setup'!$K$4&amp;'Funnel setup'!$K$6,".",IF(A968=".",1,A968+1))</f>
        <v>.</v>
      </c>
      <c r="B969" s="244" t="str">
        <f t="shared" si="15"/>
        <v>Hip Replacement PrimaryProviderPRACTICE PLUS GROUP HOSPITAL - SOUTHAMPTON (NTP11)Oxford Hip Score</v>
      </c>
      <c r="C969" t="s">
        <v>749</v>
      </c>
      <c r="D969" t="s">
        <v>965</v>
      </c>
      <c r="E969" t="s">
        <v>462</v>
      </c>
      <c r="F969" t="s">
        <v>463</v>
      </c>
      <c r="G969" t="s">
        <v>964</v>
      </c>
      <c r="H969">
        <v>79</v>
      </c>
      <c r="I969">
        <v>17.4177</v>
      </c>
      <c r="J969">
        <v>40.037999999999997</v>
      </c>
      <c r="K969">
        <v>22.6203</v>
      </c>
      <c r="L969">
        <v>74</v>
      </c>
      <c r="M969">
        <v>0</v>
      </c>
      <c r="N969">
        <v>5</v>
      </c>
      <c r="O969">
        <v>39.399000000000001</v>
      </c>
      <c r="P969">
        <v>22.314699999999998</v>
      </c>
      <c r="Q969">
        <v>9.4876900000000006</v>
      </c>
    </row>
    <row r="970" spans="1:17" x14ac:dyDescent="0.25">
      <c r="A970" t="str">
        <f>IF(C970&amp;G970&amp;D970&lt;&gt;'Funnel setup'!$K$3&amp;'Funnel setup'!$K$4&amp;'Funnel setup'!$K$6,".",IF(A969=".",1,A969+1))</f>
        <v>.</v>
      </c>
      <c r="B970" s="244" t="str">
        <f t="shared" si="15"/>
        <v>Hip Replacement PrimaryProviderPRINCESS MARGARET HOSPITAL (NT428)Oxford Hip Score</v>
      </c>
      <c r="C970" t="s">
        <v>749</v>
      </c>
      <c r="D970" t="s">
        <v>965</v>
      </c>
      <c r="E970" t="s">
        <v>464</v>
      </c>
      <c r="F970" t="s">
        <v>465</v>
      </c>
      <c r="G970" t="s">
        <v>964</v>
      </c>
      <c r="H970" t="s">
        <v>127</v>
      </c>
      <c r="I970" t="s">
        <v>127</v>
      </c>
      <c r="J970" t="s">
        <v>127</v>
      </c>
      <c r="K970" t="s">
        <v>127</v>
      </c>
      <c r="L970" t="s">
        <v>127</v>
      </c>
      <c r="M970" t="s">
        <v>127</v>
      </c>
      <c r="N970" t="s">
        <v>127</v>
      </c>
      <c r="O970" t="s">
        <v>127</v>
      </c>
      <c r="P970" t="s">
        <v>127</v>
      </c>
      <c r="Q970" t="s">
        <v>127</v>
      </c>
    </row>
    <row r="971" spans="1:17" x14ac:dyDescent="0.25">
      <c r="A971" t="str">
        <f>IF(C971&amp;G971&amp;D971&lt;&gt;'Funnel setup'!$K$3&amp;'Funnel setup'!$K$4&amp;'Funnel setup'!$K$6,".",IF(A970=".",1,A970+1))</f>
        <v>.</v>
      </c>
      <c r="B971" s="244" t="str">
        <f t="shared" si="15"/>
        <v>Hip Replacement PrimaryProviderPRIORY HOSPITAL (NT429)Oxford Hip Score</v>
      </c>
      <c r="C971" t="s">
        <v>749</v>
      </c>
      <c r="D971" t="s">
        <v>965</v>
      </c>
      <c r="E971" t="s">
        <v>466</v>
      </c>
      <c r="F971" t="s">
        <v>467</v>
      </c>
      <c r="G971" t="s">
        <v>964</v>
      </c>
      <c r="H971">
        <v>11</v>
      </c>
      <c r="I971">
        <v>16</v>
      </c>
      <c r="J971">
        <v>42.7273</v>
      </c>
      <c r="K971">
        <v>26.7273</v>
      </c>
      <c r="L971">
        <v>10</v>
      </c>
      <c r="M971">
        <v>0</v>
      </c>
      <c r="N971">
        <v>1</v>
      </c>
      <c r="O971" t="s">
        <v>127</v>
      </c>
      <c r="P971" t="s">
        <v>127</v>
      </c>
      <c r="Q971" t="s">
        <v>127</v>
      </c>
    </row>
    <row r="972" spans="1:17" x14ac:dyDescent="0.25">
      <c r="A972" t="str">
        <f>IF(C972&amp;G972&amp;D972&lt;&gt;'Funnel setup'!$K$3&amp;'Funnel setup'!$K$4&amp;'Funnel setup'!$K$6,".",IF(A971=".",1,A971+1))</f>
        <v>.</v>
      </c>
      <c r="B972" s="244" t="str">
        <f t="shared" si="15"/>
        <v>Hip Replacement PrimaryProviderRENACRES HOSPITAL (NVC16)Oxford Hip Score</v>
      </c>
      <c r="C972" t="s">
        <v>749</v>
      </c>
      <c r="D972" t="s">
        <v>965</v>
      </c>
      <c r="E972" t="s">
        <v>470</v>
      </c>
      <c r="F972" t="s">
        <v>471</v>
      </c>
      <c r="G972" t="s">
        <v>964</v>
      </c>
      <c r="H972">
        <v>83</v>
      </c>
      <c r="I972">
        <v>17.2651</v>
      </c>
      <c r="J972">
        <v>40.530099999999997</v>
      </c>
      <c r="K972">
        <v>23.2651</v>
      </c>
      <c r="L972">
        <v>82</v>
      </c>
      <c r="M972">
        <v>0</v>
      </c>
      <c r="N972">
        <v>1</v>
      </c>
      <c r="O972">
        <v>39.993400000000001</v>
      </c>
      <c r="P972">
        <v>22.909099999999999</v>
      </c>
      <c r="Q972">
        <v>8.5720799999999997</v>
      </c>
    </row>
    <row r="973" spans="1:17" x14ac:dyDescent="0.25">
      <c r="A973" t="str">
        <f>IF(C973&amp;G973&amp;D973&lt;&gt;'Funnel setup'!$K$3&amp;'Funnel setup'!$K$4&amp;'Funnel setup'!$K$6,".",IF(A972=".",1,A972+1))</f>
        <v>.</v>
      </c>
      <c r="B973" s="244" t="str">
        <f t="shared" si="15"/>
        <v>Hip Replacement PrimaryProviderRIDGEWAY HOSPITAL (NT430)Oxford Hip Score</v>
      </c>
      <c r="C973" t="s">
        <v>749</v>
      </c>
      <c r="D973" t="s">
        <v>965</v>
      </c>
      <c r="E973" t="s">
        <v>472</v>
      </c>
      <c r="F973" t="s">
        <v>473</v>
      </c>
      <c r="G973" t="s">
        <v>964</v>
      </c>
      <c r="H973">
        <v>5</v>
      </c>
      <c r="I973">
        <v>23.2</v>
      </c>
      <c r="J973">
        <v>43.8</v>
      </c>
      <c r="K973">
        <v>20.6</v>
      </c>
      <c r="L973">
        <v>5</v>
      </c>
      <c r="M973">
        <v>0</v>
      </c>
      <c r="N973">
        <v>0</v>
      </c>
      <c r="O973" t="s">
        <v>127</v>
      </c>
      <c r="P973" t="s">
        <v>127</v>
      </c>
      <c r="Q973" t="s">
        <v>127</v>
      </c>
    </row>
    <row r="974" spans="1:17" x14ac:dyDescent="0.25">
      <c r="A974" t="str">
        <f>IF(C974&amp;G974&amp;D974&lt;&gt;'Funnel setup'!$K$3&amp;'Funnel setup'!$K$4&amp;'Funnel setup'!$K$6,".",IF(A973=".",1,A973+1))</f>
        <v>.</v>
      </c>
      <c r="B974" s="244" t="str">
        <f t="shared" si="15"/>
        <v>Hip Replacement PrimaryProviderRIVERS HOSPITAL (NVC19)Oxford Hip Score</v>
      </c>
      <c r="C974" t="s">
        <v>749</v>
      </c>
      <c r="D974" t="s">
        <v>965</v>
      </c>
      <c r="E974" t="s">
        <v>474</v>
      </c>
      <c r="F974" t="s">
        <v>475</v>
      </c>
      <c r="G974" t="s">
        <v>964</v>
      </c>
      <c r="H974">
        <v>58</v>
      </c>
      <c r="I974">
        <v>18.741399999999999</v>
      </c>
      <c r="J974">
        <v>42.051699999999997</v>
      </c>
      <c r="K974">
        <v>23.310300000000002</v>
      </c>
      <c r="L974">
        <v>57</v>
      </c>
      <c r="M974">
        <v>0</v>
      </c>
      <c r="N974">
        <v>1</v>
      </c>
      <c r="O974">
        <v>40.565899999999999</v>
      </c>
      <c r="P974">
        <v>23.4816</v>
      </c>
      <c r="Q974">
        <v>7.32498</v>
      </c>
    </row>
    <row r="975" spans="1:17" x14ac:dyDescent="0.25">
      <c r="A975" t="str">
        <f>IF(C975&amp;G975&amp;D975&lt;&gt;'Funnel setup'!$K$3&amp;'Funnel setup'!$K$4&amp;'Funnel setup'!$K$6,".",IF(A974=".",1,A974+1))</f>
        <v>.</v>
      </c>
      <c r="B975" s="244" t="str">
        <f t="shared" si="15"/>
        <v>Hip Replacement PrimaryProviderROWLEY HALL HOSPITAL (NVC17)Oxford Hip Score</v>
      </c>
      <c r="C975" t="s">
        <v>749</v>
      </c>
      <c r="D975" t="s">
        <v>965</v>
      </c>
      <c r="E975" t="s">
        <v>476</v>
      </c>
      <c r="F975" t="s">
        <v>477</v>
      </c>
      <c r="G975" t="s">
        <v>964</v>
      </c>
      <c r="H975">
        <v>56</v>
      </c>
      <c r="I975">
        <v>17.589300000000001</v>
      </c>
      <c r="J975">
        <v>41.107100000000003</v>
      </c>
      <c r="K975">
        <v>23.517900000000001</v>
      </c>
      <c r="L975">
        <v>56</v>
      </c>
      <c r="M975">
        <v>0</v>
      </c>
      <c r="N975">
        <v>0</v>
      </c>
      <c r="O975">
        <v>40.652500000000003</v>
      </c>
      <c r="P975">
        <v>23.568200000000001</v>
      </c>
      <c r="Q975">
        <v>6.9579000000000004</v>
      </c>
    </row>
    <row r="976" spans="1:17" x14ac:dyDescent="0.25">
      <c r="A976" t="str">
        <f>IF(C976&amp;G976&amp;D976&lt;&gt;'Funnel setup'!$K$3&amp;'Funnel setup'!$K$4&amp;'Funnel setup'!$K$6,".",IF(A975=".",1,A975+1))</f>
        <v>.</v>
      </c>
      <c r="B976" s="244" t="str">
        <f t="shared" si="15"/>
        <v>Hip Replacement PrimaryProviderROYAL BERKSHIRE NHS FOUNDATION TRUST (RHW)Oxford Hip Score</v>
      </c>
      <c r="C976" t="s">
        <v>749</v>
      </c>
      <c r="D976" t="s">
        <v>965</v>
      </c>
      <c r="E976" t="s">
        <v>478</v>
      </c>
      <c r="F976" t="s">
        <v>479</v>
      </c>
      <c r="G976" t="s">
        <v>964</v>
      </c>
      <c r="H976">
        <v>3</v>
      </c>
      <c r="I976">
        <v>8.3333300000000001</v>
      </c>
      <c r="J976">
        <v>31.333300000000001</v>
      </c>
      <c r="K976">
        <v>23</v>
      </c>
      <c r="L976">
        <v>3</v>
      </c>
      <c r="M976">
        <v>0</v>
      </c>
      <c r="N976">
        <v>0</v>
      </c>
      <c r="O976" t="s">
        <v>127</v>
      </c>
      <c r="P976" t="s">
        <v>127</v>
      </c>
      <c r="Q976" t="s">
        <v>127</v>
      </c>
    </row>
    <row r="977" spans="1:17" x14ac:dyDescent="0.25">
      <c r="A977" t="str">
        <f>IF(C977&amp;G977&amp;D977&lt;&gt;'Funnel setup'!$K$3&amp;'Funnel setup'!$K$4&amp;'Funnel setup'!$K$6,".",IF(A976=".",1,A976+1))</f>
        <v>.</v>
      </c>
      <c r="B977" s="244" t="str">
        <f t="shared" si="15"/>
        <v>Hip Replacement PrimaryProviderROYAL CORNWALL HOSPITALS NHS TRUST (REF)Oxford Hip Score</v>
      </c>
      <c r="C977" t="s">
        <v>749</v>
      </c>
      <c r="D977" t="s">
        <v>965</v>
      </c>
      <c r="E977" t="s">
        <v>480</v>
      </c>
      <c r="F977" t="s">
        <v>481</v>
      </c>
      <c r="G977" t="s">
        <v>964</v>
      </c>
      <c r="H977">
        <v>52</v>
      </c>
      <c r="I977">
        <v>20.192299999999999</v>
      </c>
      <c r="J977">
        <v>41.076900000000002</v>
      </c>
      <c r="K977">
        <v>20.884599999999999</v>
      </c>
      <c r="L977">
        <v>50</v>
      </c>
      <c r="M977">
        <v>0</v>
      </c>
      <c r="N977">
        <v>2</v>
      </c>
      <c r="O977">
        <v>39.902099999999997</v>
      </c>
      <c r="P977">
        <v>22.817799999999998</v>
      </c>
      <c r="Q977">
        <v>7.4881700000000002</v>
      </c>
    </row>
    <row r="978" spans="1:17" x14ac:dyDescent="0.25">
      <c r="A978" t="str">
        <f>IF(C978&amp;G978&amp;D978&lt;&gt;'Funnel setup'!$K$3&amp;'Funnel setup'!$K$4&amp;'Funnel setup'!$K$6,".",IF(A977=".",1,A977+1))</f>
        <v>.</v>
      </c>
      <c r="B978" s="244" t="str">
        <f t="shared" si="15"/>
        <v>Hip Replacement PrimaryProviderROYAL DEVON UNIVERSITY HEALTHCARE NHS FOUNDATION TRUST (RH8)Oxford Hip Score</v>
      </c>
      <c r="C978" t="s">
        <v>749</v>
      </c>
      <c r="D978" t="s">
        <v>965</v>
      </c>
      <c r="E978" t="s">
        <v>482</v>
      </c>
      <c r="F978" t="s">
        <v>483</v>
      </c>
      <c r="G978" t="s">
        <v>964</v>
      </c>
      <c r="H978">
        <v>4</v>
      </c>
      <c r="I978">
        <v>15.25</v>
      </c>
      <c r="J978">
        <v>46.5</v>
      </c>
      <c r="K978">
        <v>31.25</v>
      </c>
      <c r="L978">
        <v>4</v>
      </c>
      <c r="M978">
        <v>0</v>
      </c>
      <c r="N978">
        <v>0</v>
      </c>
      <c r="O978" t="s">
        <v>127</v>
      </c>
      <c r="P978" t="s">
        <v>127</v>
      </c>
      <c r="Q978" t="s">
        <v>127</v>
      </c>
    </row>
    <row r="979" spans="1:17" x14ac:dyDescent="0.25">
      <c r="A979" t="str">
        <f>IF(C979&amp;G979&amp;D979&lt;&gt;'Funnel setup'!$K$3&amp;'Funnel setup'!$K$4&amp;'Funnel setup'!$K$6,".",IF(A978=".",1,A978+1))</f>
        <v>.</v>
      </c>
      <c r="B979" s="244" t="str">
        <f t="shared" si="15"/>
        <v>Hip Replacement PrimaryProviderROYAL NATIONAL ORTHOPAEDIC HOSPITAL NHS TRUST (RAN)Oxford Hip Score</v>
      </c>
      <c r="C979" t="s">
        <v>749</v>
      </c>
      <c r="D979" t="s">
        <v>965</v>
      </c>
      <c r="E979" t="s">
        <v>486</v>
      </c>
      <c r="F979" t="s">
        <v>487</v>
      </c>
      <c r="G979" t="s">
        <v>964</v>
      </c>
      <c r="H979">
        <v>70</v>
      </c>
      <c r="I979">
        <v>17.257100000000001</v>
      </c>
      <c r="J979">
        <v>37.185699999999997</v>
      </c>
      <c r="K979">
        <v>19.928599999999999</v>
      </c>
      <c r="L979">
        <v>67</v>
      </c>
      <c r="M979">
        <v>0</v>
      </c>
      <c r="N979">
        <v>3</v>
      </c>
      <c r="O979">
        <v>38.666699999999999</v>
      </c>
      <c r="P979">
        <v>21.5824</v>
      </c>
      <c r="Q979">
        <v>9.8919499999999996</v>
      </c>
    </row>
    <row r="980" spans="1:17" x14ac:dyDescent="0.25">
      <c r="A980" t="str">
        <f>IF(C980&amp;G980&amp;D980&lt;&gt;'Funnel setup'!$K$3&amp;'Funnel setup'!$K$4&amp;'Funnel setup'!$K$6,".",IF(A979=".",1,A979+1))</f>
        <v>.</v>
      </c>
      <c r="B980" s="244" t="str">
        <f t="shared" si="15"/>
        <v>Hip Replacement PrimaryProviderROYAL SURREY COUNTY HOSPITAL NHS FOUNDATION TRUST (RA2)Oxford Hip Score</v>
      </c>
      <c r="C980" t="s">
        <v>749</v>
      </c>
      <c r="D980" t="s">
        <v>965</v>
      </c>
      <c r="E980" t="s">
        <v>488</v>
      </c>
      <c r="F980" t="s">
        <v>489</v>
      </c>
      <c r="G980" t="s">
        <v>964</v>
      </c>
      <c r="H980">
        <v>80</v>
      </c>
      <c r="I980">
        <v>20.612500000000001</v>
      </c>
      <c r="J980">
        <v>40.012500000000003</v>
      </c>
      <c r="K980">
        <v>19.399999999999999</v>
      </c>
      <c r="L980">
        <v>73</v>
      </c>
      <c r="M980">
        <v>1</v>
      </c>
      <c r="N980">
        <v>6</v>
      </c>
      <c r="O980">
        <v>38.956400000000002</v>
      </c>
      <c r="P980">
        <v>21.8721</v>
      </c>
      <c r="Q980">
        <v>8.2455099999999995</v>
      </c>
    </row>
    <row r="981" spans="1:17" x14ac:dyDescent="0.25">
      <c r="A981" t="str">
        <f>IF(C981&amp;G981&amp;D981&lt;&gt;'Funnel setup'!$K$3&amp;'Funnel setup'!$K$4&amp;'Funnel setup'!$K$6,".",IF(A980=".",1,A980+1))</f>
        <v>.</v>
      </c>
      <c r="B981" s="244" t="str">
        <f t="shared" si="15"/>
        <v>Hip Replacement PrimaryProviderROYAL UNITED HOSPITALS BATH NHS FOUNDATION TRUST (RD1)Oxford Hip Score</v>
      </c>
      <c r="C981" t="s">
        <v>749</v>
      </c>
      <c r="D981" t="s">
        <v>965</v>
      </c>
      <c r="E981" t="s">
        <v>490</v>
      </c>
      <c r="F981" t="s">
        <v>491</v>
      </c>
      <c r="G981" t="s">
        <v>964</v>
      </c>
      <c r="H981">
        <v>8</v>
      </c>
      <c r="I981">
        <v>16.125</v>
      </c>
      <c r="J981">
        <v>32.25</v>
      </c>
      <c r="K981">
        <v>16.125</v>
      </c>
      <c r="L981">
        <v>7</v>
      </c>
      <c r="M981">
        <v>0</v>
      </c>
      <c r="N981">
        <v>1</v>
      </c>
      <c r="O981" t="s">
        <v>127</v>
      </c>
      <c r="P981" t="s">
        <v>127</v>
      </c>
      <c r="Q981" t="s">
        <v>127</v>
      </c>
    </row>
    <row r="982" spans="1:17" ht="20.25" customHeight="1" x14ac:dyDescent="0.25">
      <c r="A982" t="str">
        <f>IF(C982&amp;G982&amp;D982&lt;&gt;'Funnel setup'!$K$3&amp;'Funnel setup'!$K$4&amp;'Funnel setup'!$K$6,".",IF(A981=".",1,A981+1))</f>
        <v>.</v>
      </c>
      <c r="B982" s="244" t="str">
        <f t="shared" si="15"/>
        <v>Hip Replacement PrimaryProviderRUNNYMEDE HOSPITAL (NT431)Oxford Hip Score</v>
      </c>
      <c r="C982" t="s">
        <v>749</v>
      </c>
      <c r="D982" t="s">
        <v>965</v>
      </c>
      <c r="E982" t="s">
        <v>492</v>
      </c>
      <c r="F982" t="s">
        <v>493</v>
      </c>
      <c r="G982" t="s">
        <v>964</v>
      </c>
      <c r="H982">
        <v>6</v>
      </c>
      <c r="I982">
        <v>21.333300000000001</v>
      </c>
      <c r="J982">
        <v>46.5</v>
      </c>
      <c r="K982">
        <v>25.166699999999999</v>
      </c>
      <c r="L982">
        <v>6</v>
      </c>
      <c r="M982">
        <v>0</v>
      </c>
      <c r="N982">
        <v>0</v>
      </c>
      <c r="O982" t="s">
        <v>127</v>
      </c>
      <c r="P982" t="s">
        <v>127</v>
      </c>
      <c r="Q982" t="s">
        <v>127</v>
      </c>
    </row>
    <row r="983" spans="1:17" ht="21" customHeight="1" x14ac:dyDescent="0.25">
      <c r="A983" t="str">
        <f>IF(C983&amp;G983&amp;D983&lt;&gt;'Funnel setup'!$K$3&amp;'Funnel setup'!$K$4&amp;'Funnel setup'!$K$6,".",IF(A982=".",1,A982+1))</f>
        <v>.</v>
      </c>
      <c r="B983" s="244" t="str">
        <f t="shared" si="15"/>
        <v>Hip Replacement PrimaryProviderSALISBURY NHS FOUNDATION TRUST (RNZ)Oxford Hip Score</v>
      </c>
      <c r="C983" t="s">
        <v>749</v>
      </c>
      <c r="D983" t="s">
        <v>965</v>
      </c>
      <c r="E983" t="s">
        <v>494</v>
      </c>
      <c r="F983" t="s">
        <v>495</v>
      </c>
      <c r="G983" t="s">
        <v>964</v>
      </c>
      <c r="H983">
        <v>3</v>
      </c>
      <c r="I983">
        <v>12.333299999999999</v>
      </c>
      <c r="J983">
        <v>42.333300000000001</v>
      </c>
      <c r="K983">
        <v>30</v>
      </c>
      <c r="L983">
        <v>3</v>
      </c>
      <c r="M983">
        <v>0</v>
      </c>
      <c r="N983">
        <v>0</v>
      </c>
      <c r="O983" t="s">
        <v>127</v>
      </c>
      <c r="P983" t="s">
        <v>127</v>
      </c>
      <c r="Q983" t="s">
        <v>127</v>
      </c>
    </row>
    <row r="984" spans="1:17" ht="18.75" customHeight="1" x14ac:dyDescent="0.25">
      <c r="A984" t="str">
        <f>IF(C984&amp;G984&amp;D984&lt;&gt;'Funnel setup'!$K$3&amp;'Funnel setup'!$K$4&amp;'Funnel setup'!$K$6,".",IF(A983=".",1,A983+1))</f>
        <v>.</v>
      </c>
      <c r="B984" s="244" t="str">
        <f t="shared" si="15"/>
        <v>Hip Replacement PrimaryProviderSANDWELL AND WEST BIRMINGHAM HOSPITALS NHS TRUST (RXK)Oxford Hip Score</v>
      </c>
      <c r="C984" t="s">
        <v>749</v>
      </c>
      <c r="D984" t="s">
        <v>965</v>
      </c>
      <c r="E984" t="s">
        <v>496</v>
      </c>
      <c r="F984" t="s">
        <v>497</v>
      </c>
      <c r="G984" t="s">
        <v>964</v>
      </c>
      <c r="H984">
        <v>43</v>
      </c>
      <c r="I984">
        <v>12.395300000000001</v>
      </c>
      <c r="J984">
        <v>37.139499999999998</v>
      </c>
      <c r="K984">
        <v>24.744199999999999</v>
      </c>
      <c r="L984">
        <v>43</v>
      </c>
      <c r="M984">
        <v>0</v>
      </c>
      <c r="N984">
        <v>0</v>
      </c>
      <c r="O984">
        <v>41.105499999999999</v>
      </c>
      <c r="P984">
        <v>24.0212</v>
      </c>
      <c r="Q984">
        <v>8.5602199999999993</v>
      </c>
    </row>
    <row r="985" spans="1:17" ht="16.5" customHeight="1" x14ac:dyDescent="0.25">
      <c r="A985" t="str">
        <f>IF(C985&amp;G985&amp;D985&lt;&gt;'Funnel setup'!$K$3&amp;'Funnel setup'!$K$4&amp;'Funnel setup'!$K$6,".",IF(A984=".",1,A984+1))</f>
        <v>.</v>
      </c>
      <c r="B985" s="244" t="str">
        <f t="shared" si="15"/>
        <v>Hip Replacement PrimaryProviderSARUM ROAD HOSPITAL (NT433)Oxford Hip Score</v>
      </c>
      <c r="C985" t="s">
        <v>749</v>
      </c>
      <c r="D985" t="s">
        <v>965</v>
      </c>
      <c r="E985" t="s">
        <v>498</v>
      </c>
      <c r="F985" t="s">
        <v>499</v>
      </c>
      <c r="G985" t="s">
        <v>964</v>
      </c>
      <c r="H985">
        <v>36</v>
      </c>
      <c r="I985">
        <v>21.416699999999999</v>
      </c>
      <c r="J985">
        <v>43</v>
      </c>
      <c r="K985">
        <v>21.583300000000001</v>
      </c>
      <c r="L985">
        <v>36</v>
      </c>
      <c r="M985">
        <v>0</v>
      </c>
      <c r="N985">
        <v>0</v>
      </c>
      <c r="O985">
        <v>40.422899999999998</v>
      </c>
      <c r="P985">
        <v>23.3386</v>
      </c>
      <c r="Q985">
        <v>4.8911600000000002</v>
      </c>
    </row>
    <row r="986" spans="1:17" ht="19.5" customHeight="1" x14ac:dyDescent="0.25">
      <c r="A986" t="str">
        <f>IF(C986&amp;G986&amp;D986&lt;&gt;'Funnel setup'!$K$3&amp;'Funnel setup'!$K$4&amp;'Funnel setup'!$K$6,".",IF(A985=".",1,A985+1))</f>
        <v>.</v>
      </c>
      <c r="B986" s="244" t="str">
        <f t="shared" si="15"/>
        <v>Hip Replacement PrimaryProviderSAXON CLINIC (NT434)Oxford Hip Score</v>
      </c>
      <c r="C986" t="s">
        <v>749</v>
      </c>
      <c r="D986" t="s">
        <v>965</v>
      </c>
      <c r="E986" t="s">
        <v>500</v>
      </c>
      <c r="F986" t="s">
        <v>501</v>
      </c>
      <c r="G986" t="s">
        <v>964</v>
      </c>
      <c r="H986">
        <v>19</v>
      </c>
      <c r="I986">
        <v>16.947399999999998</v>
      </c>
      <c r="J986">
        <v>43.736800000000002</v>
      </c>
      <c r="K986">
        <v>26.7895</v>
      </c>
      <c r="L986">
        <v>19</v>
      </c>
      <c r="M986">
        <v>0</v>
      </c>
      <c r="N986">
        <v>0</v>
      </c>
      <c r="O986" t="s">
        <v>127</v>
      </c>
      <c r="P986" t="s">
        <v>127</v>
      </c>
      <c r="Q986" t="s">
        <v>127</v>
      </c>
    </row>
    <row r="987" spans="1:17" ht="18" customHeight="1" x14ac:dyDescent="0.25">
      <c r="A987" t="str">
        <f>IF(C987&amp;G987&amp;D987&lt;&gt;'Funnel setup'!$K$3&amp;'Funnel setup'!$K$4&amp;'Funnel setup'!$K$6,".",IF(A986=".",1,A986+1))</f>
        <v>.</v>
      </c>
      <c r="B987" s="244" t="str">
        <f t="shared" si="15"/>
        <v>Hip Replacement PrimaryProviderSHEFFIELD TEACHING HOSPITALS NHS FOUNDATION TRUST (RHQ)Oxford Hip Score</v>
      </c>
      <c r="C987" t="s">
        <v>749</v>
      </c>
      <c r="D987" t="s">
        <v>965</v>
      </c>
      <c r="E987" t="s">
        <v>506</v>
      </c>
      <c r="F987" t="s">
        <v>507</v>
      </c>
      <c r="G987" t="s">
        <v>964</v>
      </c>
      <c r="H987">
        <v>33</v>
      </c>
      <c r="I987">
        <v>17.939399999999999</v>
      </c>
      <c r="J987">
        <v>40.181800000000003</v>
      </c>
      <c r="K987">
        <v>22.2424</v>
      </c>
      <c r="L987">
        <v>32</v>
      </c>
      <c r="M987">
        <v>0</v>
      </c>
      <c r="N987">
        <v>1</v>
      </c>
      <c r="O987">
        <v>39.352699999999999</v>
      </c>
      <c r="P987">
        <v>22.2684</v>
      </c>
      <c r="Q987">
        <v>9.0451200000000007</v>
      </c>
    </row>
    <row r="988" spans="1:17" ht="16.5" customHeight="1" x14ac:dyDescent="0.25">
      <c r="A988" t="str">
        <f>IF(C988&amp;G988&amp;D988&lt;&gt;'Funnel setup'!$K$3&amp;'Funnel setup'!$K$4&amp;'Funnel setup'!$K$6,".",IF(A987=".",1,A987+1))</f>
        <v>.</v>
      </c>
      <c r="B988" s="244" t="str">
        <f t="shared" si="15"/>
        <v>Hip Replacement PrimaryProviderSHERWOOD FOREST HOSPITALS NHS FOUNDATION TRUST (RK5)Oxford Hip Score</v>
      </c>
      <c r="C988" t="s">
        <v>749</v>
      </c>
      <c r="D988" t="s">
        <v>965</v>
      </c>
      <c r="E988" t="s">
        <v>508</v>
      </c>
      <c r="F988" t="s">
        <v>509</v>
      </c>
      <c r="G988" t="s">
        <v>964</v>
      </c>
      <c r="H988">
        <v>77</v>
      </c>
      <c r="I988">
        <v>14.7662</v>
      </c>
      <c r="J988">
        <v>39.207799999999999</v>
      </c>
      <c r="K988">
        <v>24.441600000000001</v>
      </c>
      <c r="L988">
        <v>76</v>
      </c>
      <c r="M988">
        <v>1</v>
      </c>
      <c r="N988">
        <v>0</v>
      </c>
      <c r="O988">
        <v>40.444299999999998</v>
      </c>
      <c r="P988">
        <v>23.36</v>
      </c>
      <c r="Q988">
        <v>7.7654699999999997</v>
      </c>
    </row>
    <row r="989" spans="1:17" ht="18.75" customHeight="1" x14ac:dyDescent="0.25">
      <c r="A989" t="str">
        <f>IF(C989&amp;G989&amp;D989&lt;&gt;'Funnel setup'!$K$3&amp;'Funnel setup'!$K$4&amp;'Funnel setup'!$K$6,".",IF(A988=".",1,A988+1))</f>
        <v>.</v>
      </c>
      <c r="B989" s="244" t="str">
        <f t="shared" si="15"/>
        <v>Hip Replacement PrimaryProviderSHIRLEY OAKS HOSPITAL (NT436)Oxford Hip Score</v>
      </c>
      <c r="C989" t="s">
        <v>749</v>
      </c>
      <c r="D989" t="s">
        <v>965</v>
      </c>
      <c r="E989" t="s">
        <v>510</v>
      </c>
      <c r="F989" t="s">
        <v>511</v>
      </c>
      <c r="G989" t="s">
        <v>964</v>
      </c>
      <c r="H989">
        <v>2</v>
      </c>
      <c r="I989">
        <v>24.5</v>
      </c>
      <c r="J989">
        <v>25</v>
      </c>
      <c r="K989">
        <v>0.5</v>
      </c>
      <c r="L989">
        <v>1</v>
      </c>
      <c r="M989">
        <v>0</v>
      </c>
      <c r="N989">
        <v>1</v>
      </c>
      <c r="O989" t="s">
        <v>127</v>
      </c>
      <c r="P989" t="s">
        <v>127</v>
      </c>
      <c r="Q989" t="s">
        <v>127</v>
      </c>
    </row>
    <row r="990" spans="1:17" ht="20.25" customHeight="1" x14ac:dyDescent="0.25">
      <c r="A990" t="str">
        <f>IF(C990&amp;G990&amp;D990&lt;&gt;'Funnel setup'!$K$3&amp;'Funnel setup'!$K$4&amp;'Funnel setup'!$K$6,".",IF(A989=".",1,A989+1))</f>
        <v>.</v>
      </c>
      <c r="B990" s="244" t="str">
        <f t="shared" si="15"/>
        <v>Hip Replacement PrimaryProviderSLOANE HOSPITAL (NT437)Oxford Hip Score</v>
      </c>
      <c r="C990" t="s">
        <v>749</v>
      </c>
      <c r="D990" t="s">
        <v>965</v>
      </c>
      <c r="E990" t="s">
        <v>512</v>
      </c>
      <c r="F990" t="s">
        <v>513</v>
      </c>
      <c r="G990" t="s">
        <v>964</v>
      </c>
      <c r="H990">
        <v>2</v>
      </c>
      <c r="I990">
        <v>12</v>
      </c>
      <c r="J990">
        <v>46</v>
      </c>
      <c r="K990">
        <v>34</v>
      </c>
      <c r="L990">
        <v>2</v>
      </c>
      <c r="M990">
        <v>0</v>
      </c>
      <c r="N990">
        <v>0</v>
      </c>
      <c r="O990" t="s">
        <v>127</v>
      </c>
      <c r="P990" t="s">
        <v>127</v>
      </c>
      <c r="Q990" t="s">
        <v>127</v>
      </c>
    </row>
    <row r="991" spans="1:17" ht="15" customHeight="1" x14ac:dyDescent="0.25">
      <c r="A991" t="str">
        <f>IF(C991&amp;G991&amp;D991&lt;&gt;'Funnel setup'!$K$3&amp;'Funnel setup'!$K$4&amp;'Funnel setup'!$K$6,".",IF(A990=".",1,A990+1))</f>
        <v>.</v>
      </c>
      <c r="B991" s="244" t="str">
        <f t="shared" si="15"/>
        <v>Hip Replacement PrimaryProviderSOUTH TEES HOSPITALS NHS FOUNDATION TRUST (RTR)Oxford Hip Score</v>
      </c>
      <c r="C991" t="s">
        <v>749</v>
      </c>
      <c r="D991" t="s">
        <v>965</v>
      </c>
      <c r="E991" t="s">
        <v>516</v>
      </c>
      <c r="F991" t="s">
        <v>517</v>
      </c>
      <c r="G991" t="s">
        <v>964</v>
      </c>
      <c r="H991">
        <v>182</v>
      </c>
      <c r="I991">
        <v>13.725300000000001</v>
      </c>
      <c r="J991">
        <v>38.714300000000001</v>
      </c>
      <c r="K991">
        <v>24.989000000000001</v>
      </c>
      <c r="L991">
        <v>179</v>
      </c>
      <c r="M991">
        <v>0</v>
      </c>
      <c r="N991">
        <v>3</v>
      </c>
      <c r="O991">
        <v>40.632399999999997</v>
      </c>
      <c r="P991">
        <v>23.548100000000002</v>
      </c>
      <c r="Q991">
        <v>8.8359799999999993</v>
      </c>
    </row>
    <row r="992" spans="1:17" ht="21" customHeight="1" x14ac:dyDescent="0.25">
      <c r="A992" t="str">
        <f>IF(C992&amp;G992&amp;D992&lt;&gt;'Funnel setup'!$K$3&amp;'Funnel setup'!$K$4&amp;'Funnel setup'!$K$6,".",IF(A991=".",1,A991+1))</f>
        <v>.</v>
      </c>
      <c r="B992" s="244" t="str">
        <f t="shared" si="15"/>
        <v>Hip Replacement PrimaryProviderSOUTH TYNESIDE AND SUNDERLAND NHS FOUNDATION TRUST (R0B)Oxford Hip Score</v>
      </c>
      <c r="C992" t="s">
        <v>749</v>
      </c>
      <c r="D992" t="s">
        <v>965</v>
      </c>
      <c r="E992" t="s">
        <v>518</v>
      </c>
      <c r="F992" t="s">
        <v>519</v>
      </c>
      <c r="G992" t="s">
        <v>964</v>
      </c>
      <c r="H992">
        <v>27</v>
      </c>
      <c r="I992">
        <v>11.8148</v>
      </c>
      <c r="J992">
        <v>33.814799999999998</v>
      </c>
      <c r="K992">
        <v>22</v>
      </c>
      <c r="L992">
        <v>25</v>
      </c>
      <c r="M992">
        <v>0</v>
      </c>
      <c r="N992">
        <v>2</v>
      </c>
      <c r="O992" t="s">
        <v>127</v>
      </c>
      <c r="P992" t="s">
        <v>127</v>
      </c>
      <c r="Q992" t="s">
        <v>127</v>
      </c>
    </row>
    <row r="993" spans="1:17" ht="20.25" customHeight="1" x14ac:dyDescent="0.25">
      <c r="A993" t="str">
        <f>IF(C993&amp;G993&amp;D993&lt;&gt;'Funnel setup'!$K$3&amp;'Funnel setup'!$K$4&amp;'Funnel setup'!$K$6,".",IF(A992=".",1,A992+1))</f>
        <v>.</v>
      </c>
      <c r="B993" s="244" t="str">
        <f t="shared" si="15"/>
        <v>Hip Replacement PrimaryProviderSOUTH WARWICKSHIRE UNIVERSITY NHS FOUNDATION TRUST (RJC)Oxford Hip Score</v>
      </c>
      <c r="C993" t="s">
        <v>749</v>
      </c>
      <c r="D993" t="s">
        <v>965</v>
      </c>
      <c r="E993" t="s">
        <v>520</v>
      </c>
      <c r="F993" t="s">
        <v>521</v>
      </c>
      <c r="G993" t="s">
        <v>964</v>
      </c>
      <c r="H993">
        <v>193</v>
      </c>
      <c r="I993">
        <v>20.694299999999998</v>
      </c>
      <c r="J993">
        <v>41.585500000000003</v>
      </c>
      <c r="K993">
        <v>20.891200000000001</v>
      </c>
      <c r="L993">
        <v>187</v>
      </c>
      <c r="M993">
        <v>2</v>
      </c>
      <c r="N993">
        <v>4</v>
      </c>
      <c r="O993">
        <v>39.892099999999999</v>
      </c>
      <c r="P993">
        <v>22.8078</v>
      </c>
      <c r="Q993">
        <v>7.6418299999999997</v>
      </c>
    </row>
    <row r="994" spans="1:17" ht="24.75" customHeight="1" x14ac:dyDescent="0.25">
      <c r="A994" t="str">
        <f>IF(C994&amp;G994&amp;D994&lt;&gt;'Funnel setup'!$K$3&amp;'Funnel setup'!$K$4&amp;'Funnel setup'!$K$6,".",IF(A993=".",1,A993+1))</f>
        <v>.</v>
      </c>
      <c r="B994" s="244" t="str">
        <f t="shared" si="15"/>
        <v>Hip Replacement PrimaryProviderSOUTHPORT AND ORMSKIRK HOSPITAL NHS TRUST (RVY)Oxford Hip Score</v>
      </c>
      <c r="C994" t="s">
        <v>749</v>
      </c>
      <c r="D994" t="s">
        <v>965</v>
      </c>
      <c r="E994" t="s">
        <v>522</v>
      </c>
      <c r="F994" t="s">
        <v>523</v>
      </c>
      <c r="G994" t="s">
        <v>964</v>
      </c>
      <c r="H994">
        <v>10</v>
      </c>
      <c r="I994">
        <v>16.600000000000001</v>
      </c>
      <c r="J994">
        <v>36.9</v>
      </c>
      <c r="K994">
        <v>20.3</v>
      </c>
      <c r="L994">
        <v>10</v>
      </c>
      <c r="M994">
        <v>0</v>
      </c>
      <c r="N994">
        <v>0</v>
      </c>
      <c r="O994" t="s">
        <v>127</v>
      </c>
      <c r="P994" t="s">
        <v>127</v>
      </c>
      <c r="Q994" t="s">
        <v>127</v>
      </c>
    </row>
    <row r="995" spans="1:17" ht="21.75" customHeight="1" x14ac:dyDescent="0.25">
      <c r="A995" t="str">
        <f>IF(C995&amp;G995&amp;D995&lt;&gt;'Funnel setup'!$K$3&amp;'Funnel setup'!$K$4&amp;'Funnel setup'!$K$6,".",IF(A994=".",1,A994+1))</f>
        <v>.</v>
      </c>
      <c r="B995" s="244" t="str">
        <f t="shared" si="15"/>
        <v>Hip Replacement PrimaryProviderSPENCER PRIVATE HOSPITALS - MARGATE (NN801)Oxford Hip Score</v>
      </c>
      <c r="C995" t="s">
        <v>749</v>
      </c>
      <c r="D995" t="s">
        <v>965</v>
      </c>
      <c r="E995" t="s">
        <v>526</v>
      </c>
      <c r="F995" t="s">
        <v>527</v>
      </c>
      <c r="G995" t="s">
        <v>964</v>
      </c>
      <c r="H995">
        <v>19</v>
      </c>
      <c r="I995">
        <v>18.052600000000002</v>
      </c>
      <c r="J995">
        <v>42.789499999999997</v>
      </c>
      <c r="K995">
        <v>24.736799999999999</v>
      </c>
      <c r="L995">
        <v>19</v>
      </c>
      <c r="M995">
        <v>0</v>
      </c>
      <c r="N995">
        <v>0</v>
      </c>
      <c r="O995" t="s">
        <v>127</v>
      </c>
      <c r="P995" t="s">
        <v>127</v>
      </c>
      <c r="Q995" t="s">
        <v>127</v>
      </c>
    </row>
    <row r="996" spans="1:17" ht="18" customHeight="1" x14ac:dyDescent="0.25">
      <c r="A996" t="str">
        <f>IF(C996&amp;G996&amp;D996&lt;&gt;'Funnel setup'!$K$3&amp;'Funnel setup'!$K$4&amp;'Funnel setup'!$K$6,".",IF(A995=".",1,A995+1))</f>
        <v>.</v>
      </c>
      <c r="B996" s="244" t="str">
        <f t="shared" si="15"/>
        <v>Hip Replacement PrimaryProviderSPIRE ALEXANDRA HOSPITAL (NT312)Oxford Hip Score</v>
      </c>
      <c r="C996" t="s">
        <v>749</v>
      </c>
      <c r="D996" t="s">
        <v>965</v>
      </c>
      <c r="E996" t="s">
        <v>528</v>
      </c>
      <c r="F996" t="s">
        <v>529</v>
      </c>
      <c r="G996" t="s">
        <v>964</v>
      </c>
      <c r="H996">
        <v>13</v>
      </c>
      <c r="I996">
        <v>16</v>
      </c>
      <c r="J996">
        <v>41</v>
      </c>
      <c r="K996">
        <v>25</v>
      </c>
      <c r="L996">
        <v>13</v>
      </c>
      <c r="M996">
        <v>0</v>
      </c>
      <c r="N996">
        <v>0</v>
      </c>
      <c r="O996" t="s">
        <v>127</v>
      </c>
      <c r="P996" t="s">
        <v>127</v>
      </c>
      <c r="Q996" t="s">
        <v>127</v>
      </c>
    </row>
    <row r="997" spans="1:17" ht="24" customHeight="1" x14ac:dyDescent="0.25">
      <c r="A997" t="str">
        <f>IF(C997&amp;G997&amp;D997&lt;&gt;'Funnel setup'!$K$3&amp;'Funnel setup'!$K$4&amp;'Funnel setup'!$K$6,".",IF(A996=".",1,A996+1))</f>
        <v>.</v>
      </c>
      <c r="B997" s="244" t="str">
        <f t="shared" si="15"/>
        <v>Hip Replacement PrimaryProviderSPIRE BRISTOL HOSPITAL (NT302)Oxford Hip Score</v>
      </c>
      <c r="C997" t="s">
        <v>749</v>
      </c>
      <c r="D997" t="s">
        <v>965</v>
      </c>
      <c r="E997" t="s">
        <v>530</v>
      </c>
      <c r="F997" t="s">
        <v>531</v>
      </c>
      <c r="G997" t="s">
        <v>964</v>
      </c>
      <c r="H997">
        <v>56</v>
      </c>
      <c r="I997">
        <v>18.660699999999999</v>
      </c>
      <c r="J997">
        <v>42.607100000000003</v>
      </c>
      <c r="K997">
        <v>23.946400000000001</v>
      </c>
      <c r="L997">
        <v>54</v>
      </c>
      <c r="M997">
        <v>1</v>
      </c>
      <c r="N997">
        <v>1</v>
      </c>
      <c r="O997">
        <v>40.833100000000002</v>
      </c>
      <c r="P997">
        <v>23.748799999999999</v>
      </c>
      <c r="Q997">
        <v>7.71929</v>
      </c>
    </row>
    <row r="998" spans="1:17" ht="19.5" customHeight="1" x14ac:dyDescent="0.25">
      <c r="A998" t="str">
        <f>IF(C998&amp;G998&amp;D998&lt;&gt;'Funnel setup'!$K$3&amp;'Funnel setup'!$K$4&amp;'Funnel setup'!$K$6,".",IF(A997=".",1,A997+1))</f>
        <v>.</v>
      </c>
      <c r="B998" s="244" t="str">
        <f t="shared" si="15"/>
        <v>Hip Replacement PrimaryProviderSPIRE BUSHEY HOSPITAL (NT315)Oxford Hip Score</v>
      </c>
      <c r="C998" t="s">
        <v>749</v>
      </c>
      <c r="D998" t="s">
        <v>965</v>
      </c>
      <c r="E998" t="s">
        <v>532</v>
      </c>
      <c r="F998" t="s">
        <v>533</v>
      </c>
      <c r="G998" t="s">
        <v>964</v>
      </c>
      <c r="H998">
        <v>1</v>
      </c>
      <c r="I998">
        <v>21</v>
      </c>
      <c r="J998">
        <v>44</v>
      </c>
      <c r="K998">
        <v>23</v>
      </c>
      <c r="L998">
        <v>1</v>
      </c>
      <c r="M998">
        <v>0</v>
      </c>
      <c r="N998">
        <v>0</v>
      </c>
      <c r="O998" t="s">
        <v>127</v>
      </c>
      <c r="P998" t="s">
        <v>127</v>
      </c>
      <c r="Q998" t="s">
        <v>127</v>
      </c>
    </row>
    <row r="999" spans="1:17" ht="19.5" customHeight="1" x14ac:dyDescent="0.25">
      <c r="A999" t="str">
        <f>IF(C999&amp;G999&amp;D999&lt;&gt;'Funnel setup'!$K$3&amp;'Funnel setup'!$K$4&amp;'Funnel setup'!$K$6,".",IF(A998=".",1,A998+1))</f>
        <v>.</v>
      </c>
      <c r="B999" s="244" t="str">
        <f t="shared" si="15"/>
        <v>Hip Replacement PrimaryProviderSPIRE CAMBRIDGE LEA HOSPITAL (NT317)Oxford Hip Score</v>
      </c>
      <c r="C999" t="s">
        <v>749</v>
      </c>
      <c r="D999" t="s">
        <v>965</v>
      </c>
      <c r="E999" t="s">
        <v>534</v>
      </c>
      <c r="F999" t="s">
        <v>535</v>
      </c>
      <c r="G999" t="s">
        <v>964</v>
      </c>
      <c r="H999">
        <v>33</v>
      </c>
      <c r="I999">
        <v>18.454499999999999</v>
      </c>
      <c r="J999">
        <v>42.939399999999999</v>
      </c>
      <c r="K999">
        <v>24.4848</v>
      </c>
      <c r="L999">
        <v>32</v>
      </c>
      <c r="M999">
        <v>0</v>
      </c>
      <c r="N999">
        <v>1</v>
      </c>
      <c r="O999">
        <v>41.799100000000003</v>
      </c>
      <c r="P999">
        <v>24.7148</v>
      </c>
      <c r="Q999">
        <v>5.8989399999999996</v>
      </c>
    </row>
    <row r="1000" spans="1:17" ht="21.75" customHeight="1" x14ac:dyDescent="0.25">
      <c r="A1000" t="str">
        <f>IF(C1000&amp;G1000&amp;D1000&lt;&gt;'Funnel setup'!$K$3&amp;'Funnel setup'!$K$4&amp;'Funnel setup'!$K$6,".",IF(A999=".",1,A999+1))</f>
        <v>.</v>
      </c>
      <c r="B1000" s="244" t="str">
        <f t="shared" si="15"/>
        <v>Hip Replacement PrimaryProviderSPIRE CHESHIRE HOSPITAL (NT324)Oxford Hip Score</v>
      </c>
      <c r="C1000" t="s">
        <v>749</v>
      </c>
      <c r="D1000" t="s">
        <v>965</v>
      </c>
      <c r="E1000" t="s">
        <v>536</v>
      </c>
      <c r="F1000" t="s">
        <v>537</v>
      </c>
      <c r="G1000" t="s">
        <v>964</v>
      </c>
      <c r="H1000">
        <v>23</v>
      </c>
      <c r="I1000">
        <v>15.608700000000001</v>
      </c>
      <c r="J1000">
        <v>38.260899999999999</v>
      </c>
      <c r="K1000">
        <v>22.652200000000001</v>
      </c>
      <c r="L1000">
        <v>22</v>
      </c>
      <c r="M1000">
        <v>0</v>
      </c>
      <c r="N1000">
        <v>1</v>
      </c>
      <c r="O1000" t="s">
        <v>127</v>
      </c>
      <c r="P1000" t="s">
        <v>127</v>
      </c>
      <c r="Q1000" t="s">
        <v>127</v>
      </c>
    </row>
    <row r="1001" spans="1:17" ht="16.5" customHeight="1" x14ac:dyDescent="0.25">
      <c r="A1001" t="str">
        <f>IF(C1001&amp;G1001&amp;D1001&lt;&gt;'Funnel setup'!$K$3&amp;'Funnel setup'!$K$4&amp;'Funnel setup'!$K$6,".",IF(A1000=".",1,A1000+1))</f>
        <v>.</v>
      </c>
      <c r="B1001" s="244" t="str">
        <f t="shared" si="15"/>
        <v>Hip Replacement PrimaryProviderSPIRE CLARE PARK HOSPITAL (NT345)Oxford Hip Score</v>
      </c>
      <c r="C1001" t="s">
        <v>749</v>
      </c>
      <c r="D1001" t="s">
        <v>965</v>
      </c>
      <c r="E1001" t="s">
        <v>538</v>
      </c>
      <c r="F1001" t="s">
        <v>539</v>
      </c>
      <c r="G1001" t="s">
        <v>964</v>
      </c>
      <c r="H1001">
        <v>13</v>
      </c>
      <c r="I1001">
        <v>22.1538</v>
      </c>
      <c r="J1001">
        <v>40.846200000000003</v>
      </c>
      <c r="K1001">
        <v>18.692299999999999</v>
      </c>
      <c r="L1001">
        <v>13</v>
      </c>
      <c r="M1001">
        <v>0</v>
      </c>
      <c r="N1001">
        <v>0</v>
      </c>
      <c r="O1001" t="s">
        <v>127</v>
      </c>
      <c r="P1001" t="s">
        <v>127</v>
      </c>
      <c r="Q1001" t="s">
        <v>127</v>
      </c>
    </row>
    <row r="1002" spans="1:17" ht="15.75" customHeight="1" x14ac:dyDescent="0.25">
      <c r="A1002" t="str">
        <f>IF(C1002&amp;G1002&amp;D1002&lt;&gt;'Funnel setup'!$K$3&amp;'Funnel setup'!$K$4&amp;'Funnel setup'!$K$6,".",IF(A1001=".",1,A1001+1))</f>
        <v>.</v>
      </c>
      <c r="B1002" s="244" t="str">
        <f t="shared" si="15"/>
        <v>Hip Replacement PrimaryProviderSPIRE DUNEDIN HOSPITAL (NT344)Oxford Hip Score</v>
      </c>
      <c r="C1002" t="s">
        <v>749</v>
      </c>
      <c r="D1002" t="s">
        <v>965</v>
      </c>
      <c r="E1002" t="s">
        <v>540</v>
      </c>
      <c r="F1002" t="s">
        <v>541</v>
      </c>
      <c r="G1002" t="s">
        <v>964</v>
      </c>
      <c r="H1002">
        <v>1</v>
      </c>
      <c r="I1002">
        <v>33</v>
      </c>
      <c r="J1002">
        <v>35</v>
      </c>
      <c r="K1002">
        <v>2</v>
      </c>
      <c r="L1002">
        <v>1</v>
      </c>
      <c r="M1002">
        <v>0</v>
      </c>
      <c r="N1002">
        <v>0</v>
      </c>
      <c r="O1002" t="s">
        <v>127</v>
      </c>
      <c r="P1002" t="s">
        <v>127</v>
      </c>
      <c r="Q1002" t="s">
        <v>127</v>
      </c>
    </row>
    <row r="1003" spans="1:17" ht="20.25" customHeight="1" x14ac:dyDescent="0.25">
      <c r="A1003" t="str">
        <f>IF(C1003&amp;G1003&amp;D1003&lt;&gt;'Funnel setup'!$K$3&amp;'Funnel setup'!$K$4&amp;'Funnel setup'!$K$6,".",IF(A1002=".",1,A1002+1))</f>
        <v>.</v>
      </c>
      <c r="B1003" s="244" t="str">
        <f t="shared" si="15"/>
        <v>Hip Replacement PrimaryProviderSPIRE ELLAND HOSPITAL (NT348)Oxford Hip Score</v>
      </c>
      <c r="C1003" t="s">
        <v>749</v>
      </c>
      <c r="D1003" t="s">
        <v>965</v>
      </c>
      <c r="E1003" t="s">
        <v>542</v>
      </c>
      <c r="F1003" t="s">
        <v>543</v>
      </c>
      <c r="G1003" t="s">
        <v>964</v>
      </c>
      <c r="H1003">
        <v>14</v>
      </c>
      <c r="I1003">
        <v>16.928599999999999</v>
      </c>
      <c r="J1003">
        <v>38.571399999999997</v>
      </c>
      <c r="K1003">
        <v>21.642900000000001</v>
      </c>
      <c r="L1003">
        <v>14</v>
      </c>
      <c r="M1003">
        <v>0</v>
      </c>
      <c r="N1003">
        <v>0</v>
      </c>
      <c r="O1003" t="s">
        <v>127</v>
      </c>
      <c r="P1003" t="s">
        <v>127</v>
      </c>
      <c r="Q1003" t="s">
        <v>127</v>
      </c>
    </row>
    <row r="1004" spans="1:17" ht="18" customHeight="1" x14ac:dyDescent="0.25">
      <c r="A1004" t="str">
        <f>IF(C1004&amp;G1004&amp;D1004&lt;&gt;'Funnel setup'!$K$3&amp;'Funnel setup'!$K$4&amp;'Funnel setup'!$K$6,".",IF(A1003=".",1,A1003+1))</f>
        <v>.</v>
      </c>
      <c r="B1004" s="244" t="str">
        <f t="shared" si="15"/>
        <v>Hip Replacement PrimaryProviderSPIRE FYLDE COAST HOSPITAL (NT347)Oxford Hip Score</v>
      </c>
      <c r="C1004" t="s">
        <v>749</v>
      </c>
      <c r="D1004" t="s">
        <v>965</v>
      </c>
      <c r="E1004" t="s">
        <v>544</v>
      </c>
      <c r="F1004" t="s">
        <v>545</v>
      </c>
      <c r="G1004" t="s">
        <v>964</v>
      </c>
      <c r="H1004">
        <v>29</v>
      </c>
      <c r="I1004">
        <v>19.862100000000002</v>
      </c>
      <c r="J1004">
        <v>41.413800000000002</v>
      </c>
      <c r="K1004">
        <v>21.5517</v>
      </c>
      <c r="L1004">
        <v>28</v>
      </c>
      <c r="M1004">
        <v>0</v>
      </c>
      <c r="N1004">
        <v>1</v>
      </c>
      <c r="O1004" t="s">
        <v>127</v>
      </c>
      <c r="P1004" t="s">
        <v>127</v>
      </c>
      <c r="Q1004" t="s">
        <v>127</v>
      </c>
    </row>
    <row r="1005" spans="1:17" ht="16.5" customHeight="1" x14ac:dyDescent="0.25">
      <c r="A1005" t="str">
        <f>IF(C1005&amp;G1005&amp;D1005&lt;&gt;'Funnel setup'!$K$3&amp;'Funnel setup'!$K$4&amp;'Funnel setup'!$K$6,".",IF(A1004=".",1,A1004+1))</f>
        <v>.</v>
      </c>
      <c r="B1005" s="244" t="str">
        <f t="shared" si="15"/>
        <v>Hip Replacement PrimaryProviderSPIRE GATWICK PARK HOSPITAL (NT308)Oxford Hip Score</v>
      </c>
      <c r="C1005" t="s">
        <v>749</v>
      </c>
      <c r="D1005" t="s">
        <v>965</v>
      </c>
      <c r="E1005" t="s">
        <v>546</v>
      </c>
      <c r="F1005" t="s">
        <v>547</v>
      </c>
      <c r="G1005" t="s">
        <v>964</v>
      </c>
      <c r="H1005">
        <v>8</v>
      </c>
      <c r="I1005">
        <v>18.5</v>
      </c>
      <c r="J1005">
        <v>42.875</v>
      </c>
      <c r="K1005">
        <v>24.375</v>
      </c>
      <c r="L1005">
        <v>8</v>
      </c>
      <c r="M1005">
        <v>0</v>
      </c>
      <c r="N1005">
        <v>0</v>
      </c>
      <c r="O1005" t="s">
        <v>127</v>
      </c>
      <c r="P1005" t="s">
        <v>127</v>
      </c>
      <c r="Q1005" t="s">
        <v>127</v>
      </c>
    </row>
    <row r="1006" spans="1:17" ht="15" customHeight="1" x14ac:dyDescent="0.25">
      <c r="A1006" t="str">
        <f>IF(C1006&amp;G1006&amp;D1006&lt;&gt;'Funnel setup'!$K$3&amp;'Funnel setup'!$K$4&amp;'Funnel setup'!$K$6,".",IF(A1005=".",1,A1005+1))</f>
        <v>.</v>
      </c>
      <c r="B1006" s="244" t="str">
        <f t="shared" si="15"/>
        <v>Hip Replacement PrimaryProviderSPIRE HARPENDEN HOSPITAL (NT316)Oxford Hip Score</v>
      </c>
      <c r="C1006" t="s">
        <v>749</v>
      </c>
      <c r="D1006" t="s">
        <v>965</v>
      </c>
      <c r="E1006" t="s">
        <v>548</v>
      </c>
      <c r="F1006" t="s">
        <v>549</v>
      </c>
      <c r="G1006" t="s">
        <v>964</v>
      </c>
      <c r="H1006">
        <v>32</v>
      </c>
      <c r="I1006">
        <v>16.281300000000002</v>
      </c>
      <c r="J1006">
        <v>40.843800000000002</v>
      </c>
      <c r="K1006">
        <v>24.5625</v>
      </c>
      <c r="L1006">
        <v>32</v>
      </c>
      <c r="M1006">
        <v>0</v>
      </c>
      <c r="N1006">
        <v>0</v>
      </c>
      <c r="O1006">
        <v>40.139699999999998</v>
      </c>
      <c r="P1006">
        <v>23.055499999999999</v>
      </c>
      <c r="Q1006">
        <v>6.1292999999999997</v>
      </c>
    </row>
    <row r="1007" spans="1:17" ht="15" customHeight="1" x14ac:dyDescent="0.25">
      <c r="A1007" t="str">
        <f>IF(C1007&amp;G1007&amp;D1007&lt;&gt;'Funnel setup'!$K$3&amp;'Funnel setup'!$K$4&amp;'Funnel setup'!$K$6,".",IF(A1006=".",1,A1006+1))</f>
        <v>.</v>
      </c>
      <c r="B1007" s="244" t="str">
        <f t="shared" si="15"/>
        <v>Hip Replacement PrimaryProviderSPIRE HARTSWOOD HOSPITAL (NT319)Oxford Hip Score</v>
      </c>
      <c r="C1007" t="s">
        <v>749</v>
      </c>
      <c r="D1007" t="s">
        <v>965</v>
      </c>
      <c r="E1007" t="s">
        <v>550</v>
      </c>
      <c r="F1007" t="s">
        <v>551</v>
      </c>
      <c r="G1007" t="s">
        <v>964</v>
      </c>
      <c r="H1007">
        <v>12</v>
      </c>
      <c r="I1007">
        <v>15.083299999999999</v>
      </c>
      <c r="J1007">
        <v>42.333300000000001</v>
      </c>
      <c r="K1007">
        <v>27.25</v>
      </c>
      <c r="L1007">
        <v>12</v>
      </c>
      <c r="M1007">
        <v>0</v>
      </c>
      <c r="N1007">
        <v>0</v>
      </c>
      <c r="O1007" t="s">
        <v>127</v>
      </c>
      <c r="P1007" t="s">
        <v>127</v>
      </c>
      <c r="Q1007" t="s">
        <v>127</v>
      </c>
    </row>
    <row r="1008" spans="1:17" ht="15" customHeight="1" x14ac:dyDescent="0.25">
      <c r="A1008" t="str">
        <f>IF(C1008&amp;G1008&amp;D1008&lt;&gt;'Funnel setup'!$K$3&amp;'Funnel setup'!$K$4&amp;'Funnel setup'!$K$6,".",IF(A1007=".",1,A1007+1))</f>
        <v>.</v>
      </c>
      <c r="B1008" s="244" t="str">
        <f t="shared" si="15"/>
        <v>Hip Replacement PrimaryProviderSPIRE HULL AND EAST RIDING HOSPITAL (NT351)Oxford Hip Score</v>
      </c>
      <c r="C1008" t="s">
        <v>749</v>
      </c>
      <c r="D1008" t="s">
        <v>965</v>
      </c>
      <c r="E1008" t="s">
        <v>554</v>
      </c>
      <c r="F1008" t="s">
        <v>555</v>
      </c>
      <c r="G1008" t="s">
        <v>964</v>
      </c>
      <c r="H1008">
        <v>37</v>
      </c>
      <c r="I1008">
        <v>16.270299999999999</v>
      </c>
      <c r="J1008">
        <v>40.216200000000001</v>
      </c>
      <c r="K1008">
        <v>23.945900000000002</v>
      </c>
      <c r="L1008">
        <v>37</v>
      </c>
      <c r="M1008">
        <v>0</v>
      </c>
      <c r="N1008">
        <v>0</v>
      </c>
      <c r="O1008">
        <v>40.909799999999997</v>
      </c>
      <c r="P1008">
        <v>23.825500000000002</v>
      </c>
      <c r="Q1008">
        <v>7.0540500000000002</v>
      </c>
    </row>
    <row r="1009" spans="1:17" ht="15" customHeight="1" x14ac:dyDescent="0.25">
      <c r="A1009" t="str">
        <f>IF(C1009&amp;G1009&amp;D1009&lt;&gt;'Funnel setup'!$K$3&amp;'Funnel setup'!$K$4&amp;'Funnel setup'!$K$6,".",IF(A1008=".",1,A1008+1))</f>
        <v>.</v>
      </c>
      <c r="B1009" s="244" t="str">
        <f t="shared" si="15"/>
        <v>Hip Replacement PrimaryProviderSPIRE LEEDS HOSPITAL (NT332)Oxford Hip Score</v>
      </c>
      <c r="C1009" t="s">
        <v>749</v>
      </c>
      <c r="D1009" t="s">
        <v>965</v>
      </c>
      <c r="E1009" t="s">
        <v>556</v>
      </c>
      <c r="F1009" t="s">
        <v>557</v>
      </c>
      <c r="G1009" t="s">
        <v>964</v>
      </c>
      <c r="H1009">
        <v>14</v>
      </c>
      <c r="I1009">
        <v>18.071400000000001</v>
      </c>
      <c r="J1009">
        <v>42.785699999999999</v>
      </c>
      <c r="K1009">
        <v>24.714300000000001</v>
      </c>
      <c r="L1009">
        <v>13</v>
      </c>
      <c r="M1009">
        <v>0</v>
      </c>
      <c r="N1009">
        <v>1</v>
      </c>
      <c r="O1009" t="s">
        <v>127</v>
      </c>
      <c r="P1009" t="s">
        <v>127</v>
      </c>
      <c r="Q1009" t="s">
        <v>127</v>
      </c>
    </row>
    <row r="1010" spans="1:17" ht="15" customHeight="1" x14ac:dyDescent="0.25">
      <c r="A1010" t="str">
        <f>IF(C1010&amp;G1010&amp;D1010&lt;&gt;'Funnel setup'!$K$3&amp;'Funnel setup'!$K$4&amp;'Funnel setup'!$K$6,".",IF(A1009=".",1,A1009+1))</f>
        <v>.</v>
      </c>
      <c r="B1010" s="244" t="str">
        <f t="shared" si="15"/>
        <v>Hip Replacement PrimaryProviderSPIRE LEICESTER HOSPITAL (NT322)Oxford Hip Score</v>
      </c>
      <c r="C1010" t="s">
        <v>749</v>
      </c>
      <c r="D1010" t="s">
        <v>965</v>
      </c>
      <c r="E1010" t="s">
        <v>558</v>
      </c>
      <c r="F1010" t="s">
        <v>559</v>
      </c>
      <c r="G1010" t="s">
        <v>964</v>
      </c>
      <c r="H1010">
        <v>32</v>
      </c>
      <c r="I1010">
        <v>18</v>
      </c>
      <c r="J1010">
        <v>41.5</v>
      </c>
      <c r="K1010">
        <v>23.5</v>
      </c>
      <c r="L1010">
        <v>31</v>
      </c>
      <c r="M1010">
        <v>0</v>
      </c>
      <c r="N1010">
        <v>1</v>
      </c>
      <c r="O1010">
        <v>40.601199999999999</v>
      </c>
      <c r="P1010">
        <v>23.5169</v>
      </c>
      <c r="Q1010">
        <v>7.4736399999999996</v>
      </c>
    </row>
    <row r="1011" spans="1:17" ht="15" customHeight="1" x14ac:dyDescent="0.25">
      <c r="A1011" t="str">
        <f>IF(C1011&amp;G1011&amp;D1011&lt;&gt;'Funnel setup'!$K$3&amp;'Funnel setup'!$K$4&amp;'Funnel setup'!$K$6,".",IF(A1010=".",1,A1010+1))</f>
        <v>.</v>
      </c>
      <c r="B1011" s="244" t="str">
        <f t="shared" si="15"/>
        <v>Hip Replacement PrimaryProviderSPIRE LITTLE ASTON HOSPITAL (NT321)Oxford Hip Score</v>
      </c>
      <c r="C1011" t="s">
        <v>749</v>
      </c>
      <c r="D1011" t="s">
        <v>965</v>
      </c>
      <c r="E1011" t="s">
        <v>560</v>
      </c>
      <c r="F1011" t="s">
        <v>561</v>
      </c>
      <c r="G1011" t="s">
        <v>964</v>
      </c>
      <c r="H1011">
        <v>30</v>
      </c>
      <c r="I1011">
        <v>18.7</v>
      </c>
      <c r="J1011">
        <v>37</v>
      </c>
      <c r="K1011">
        <v>18.3</v>
      </c>
      <c r="L1011">
        <v>30</v>
      </c>
      <c r="M1011">
        <v>0</v>
      </c>
      <c r="N1011">
        <v>0</v>
      </c>
      <c r="O1011">
        <v>35.937899999999999</v>
      </c>
      <c r="P1011">
        <v>18.8536</v>
      </c>
      <c r="Q1011">
        <v>7.3136400000000004</v>
      </c>
    </row>
    <row r="1012" spans="1:17" ht="15" customHeight="1" x14ac:dyDescent="0.25">
      <c r="A1012" t="str">
        <f>IF(C1012&amp;G1012&amp;D1012&lt;&gt;'Funnel setup'!$K$3&amp;'Funnel setup'!$K$4&amp;'Funnel setup'!$K$6,".",IF(A1011=".",1,A1011+1))</f>
        <v>.</v>
      </c>
      <c r="B1012" s="244" t="str">
        <f t="shared" si="15"/>
        <v>Hip Replacement PrimaryProviderSPIRE LIVERPOOL HOSPITAL (NT337)Oxford Hip Score</v>
      </c>
      <c r="C1012" t="s">
        <v>749</v>
      </c>
      <c r="D1012" t="s">
        <v>965</v>
      </c>
      <c r="E1012" t="s">
        <v>562</v>
      </c>
      <c r="F1012" t="s">
        <v>563</v>
      </c>
      <c r="G1012" t="s">
        <v>964</v>
      </c>
      <c r="H1012">
        <v>9</v>
      </c>
      <c r="I1012">
        <v>14.1111</v>
      </c>
      <c r="J1012">
        <v>43</v>
      </c>
      <c r="K1012">
        <v>28.8889</v>
      </c>
      <c r="L1012">
        <v>9</v>
      </c>
      <c r="M1012">
        <v>0</v>
      </c>
      <c r="N1012">
        <v>0</v>
      </c>
      <c r="O1012" t="s">
        <v>127</v>
      </c>
      <c r="P1012" t="s">
        <v>127</v>
      </c>
      <c r="Q1012" t="s">
        <v>127</v>
      </c>
    </row>
    <row r="1013" spans="1:17" ht="15" customHeight="1" x14ac:dyDescent="0.25">
      <c r="A1013" t="str">
        <f>IF(C1013&amp;G1013&amp;D1013&lt;&gt;'Funnel setup'!$K$3&amp;'Funnel setup'!$K$4&amp;'Funnel setup'!$K$6,".",IF(A1012=".",1,A1012+1))</f>
        <v>.</v>
      </c>
      <c r="B1013" s="244" t="str">
        <f t="shared" si="15"/>
        <v>Hip Replacement PrimaryProviderSPIRE MANCHESTER HOSPITAL (NT327)Oxford Hip Score</v>
      </c>
      <c r="C1013" t="s">
        <v>749</v>
      </c>
      <c r="D1013" t="s">
        <v>965</v>
      </c>
      <c r="E1013" t="s">
        <v>566</v>
      </c>
      <c r="F1013" t="s">
        <v>567</v>
      </c>
      <c r="G1013" t="s">
        <v>964</v>
      </c>
      <c r="H1013">
        <v>31</v>
      </c>
      <c r="I1013">
        <v>18.709700000000002</v>
      </c>
      <c r="J1013">
        <v>40.451599999999999</v>
      </c>
      <c r="K1013">
        <v>21.741900000000001</v>
      </c>
      <c r="L1013">
        <v>31</v>
      </c>
      <c r="M1013">
        <v>0</v>
      </c>
      <c r="N1013">
        <v>0</v>
      </c>
      <c r="O1013">
        <v>38.455399999999997</v>
      </c>
      <c r="P1013">
        <v>21.371099999999998</v>
      </c>
      <c r="Q1013">
        <v>7.8364900000000004</v>
      </c>
    </row>
    <row r="1014" spans="1:17" ht="15" customHeight="1" x14ac:dyDescent="0.25">
      <c r="A1014" t="str">
        <f>IF(C1014&amp;G1014&amp;D1014&lt;&gt;'Funnel setup'!$K$3&amp;'Funnel setup'!$K$4&amp;'Funnel setup'!$K$6,".",IF(A1013=".",1,A1013+1))</f>
        <v>.</v>
      </c>
      <c r="B1014" s="244" t="str">
        <f t="shared" si="15"/>
        <v>Hip Replacement PrimaryProviderSPIRE METHLEY PARK HOSPITAL (NT350)Oxford Hip Score</v>
      </c>
      <c r="C1014" t="s">
        <v>749</v>
      </c>
      <c r="D1014" t="s">
        <v>965</v>
      </c>
      <c r="E1014" t="s">
        <v>568</v>
      </c>
      <c r="F1014" t="s">
        <v>569</v>
      </c>
      <c r="G1014" t="s">
        <v>964</v>
      </c>
      <c r="H1014">
        <v>28</v>
      </c>
      <c r="I1014">
        <v>16.392900000000001</v>
      </c>
      <c r="J1014">
        <v>39.928600000000003</v>
      </c>
      <c r="K1014">
        <v>23.535699999999999</v>
      </c>
      <c r="L1014">
        <v>28</v>
      </c>
      <c r="M1014">
        <v>0</v>
      </c>
      <c r="N1014">
        <v>0</v>
      </c>
      <c r="O1014" t="s">
        <v>127</v>
      </c>
      <c r="P1014" t="s">
        <v>127</v>
      </c>
      <c r="Q1014" t="s">
        <v>127</v>
      </c>
    </row>
    <row r="1015" spans="1:17" ht="15" customHeight="1" x14ac:dyDescent="0.25">
      <c r="A1015" t="str">
        <f>IF(C1015&amp;G1015&amp;D1015&lt;&gt;'Funnel setup'!$K$3&amp;'Funnel setup'!$K$4&amp;'Funnel setup'!$K$6,".",IF(A1014=".",1,A1014+1))</f>
        <v>.</v>
      </c>
      <c r="B1015" s="244" t="str">
        <f t="shared" si="15"/>
        <v>Hip Replacement PrimaryProviderSPIRE MONTEFIORE HOSPITAL (NT364)Oxford Hip Score</v>
      </c>
      <c r="C1015" t="s">
        <v>749</v>
      </c>
      <c r="D1015" t="s">
        <v>965</v>
      </c>
      <c r="E1015" t="s">
        <v>570</v>
      </c>
      <c r="F1015" t="s">
        <v>571</v>
      </c>
      <c r="G1015" t="s">
        <v>964</v>
      </c>
      <c r="H1015">
        <v>3</v>
      </c>
      <c r="I1015">
        <v>20.333300000000001</v>
      </c>
      <c r="J1015">
        <v>48</v>
      </c>
      <c r="K1015">
        <v>27.666699999999999</v>
      </c>
      <c r="L1015">
        <v>3</v>
      </c>
      <c r="M1015">
        <v>0</v>
      </c>
      <c r="N1015">
        <v>0</v>
      </c>
      <c r="O1015" t="s">
        <v>127</v>
      </c>
      <c r="P1015" t="s">
        <v>127</v>
      </c>
      <c r="Q1015" t="s">
        <v>127</v>
      </c>
    </row>
    <row r="1016" spans="1:17" ht="15" customHeight="1" x14ac:dyDescent="0.25">
      <c r="A1016" t="str">
        <f>IF(C1016&amp;G1016&amp;D1016&lt;&gt;'Funnel setup'!$K$3&amp;'Funnel setup'!$K$4&amp;'Funnel setup'!$K$6,".",IF(A1015=".",1,A1015+1))</f>
        <v>.</v>
      </c>
      <c r="B1016" s="244" t="str">
        <f t="shared" si="15"/>
        <v>Hip Replacement PrimaryProviderSPIRE MURRAYFIELD HOSPITAL (NT325)Oxford Hip Score</v>
      </c>
      <c r="C1016" t="s">
        <v>749</v>
      </c>
      <c r="D1016" t="s">
        <v>965</v>
      </c>
      <c r="E1016" t="s">
        <v>572</v>
      </c>
      <c r="F1016" t="s">
        <v>573</v>
      </c>
      <c r="G1016" t="s">
        <v>964</v>
      </c>
      <c r="H1016">
        <v>5</v>
      </c>
      <c r="I1016">
        <v>23</v>
      </c>
      <c r="J1016">
        <v>43</v>
      </c>
      <c r="K1016">
        <v>20</v>
      </c>
      <c r="L1016">
        <v>5</v>
      </c>
      <c r="M1016">
        <v>0</v>
      </c>
      <c r="N1016">
        <v>0</v>
      </c>
      <c r="O1016" t="s">
        <v>127</v>
      </c>
      <c r="P1016" t="s">
        <v>127</v>
      </c>
      <c r="Q1016" t="s">
        <v>127</v>
      </c>
    </row>
    <row r="1017" spans="1:17" ht="15" customHeight="1" x14ac:dyDescent="0.25">
      <c r="A1017" t="str">
        <f>IF(C1017&amp;G1017&amp;D1017&lt;&gt;'Funnel setup'!$K$3&amp;'Funnel setup'!$K$4&amp;'Funnel setup'!$K$6,".",IF(A1016=".",1,A1016+1))</f>
        <v>.</v>
      </c>
      <c r="B1017" s="244" t="str">
        <f t="shared" si="15"/>
        <v>Hip Replacement PrimaryProviderSPIRE NOTTINGHAM HOSPITAL (NT30A)Oxford Hip Score</v>
      </c>
      <c r="C1017" t="s">
        <v>749</v>
      </c>
      <c r="D1017" t="s">
        <v>965</v>
      </c>
      <c r="E1017" t="s">
        <v>576</v>
      </c>
      <c r="F1017" t="s">
        <v>577</v>
      </c>
      <c r="G1017" t="s">
        <v>964</v>
      </c>
      <c r="H1017">
        <v>1</v>
      </c>
      <c r="I1017">
        <v>17</v>
      </c>
      <c r="J1017">
        <v>38</v>
      </c>
      <c r="K1017">
        <v>21</v>
      </c>
      <c r="L1017">
        <v>1</v>
      </c>
      <c r="M1017">
        <v>0</v>
      </c>
      <c r="N1017">
        <v>0</v>
      </c>
      <c r="O1017" t="s">
        <v>127</v>
      </c>
      <c r="P1017" t="s">
        <v>127</v>
      </c>
      <c r="Q1017" t="s">
        <v>127</v>
      </c>
    </row>
    <row r="1018" spans="1:17" ht="15" customHeight="1" x14ac:dyDescent="0.25">
      <c r="A1018" t="str">
        <f>IF(C1018&amp;G1018&amp;D1018&lt;&gt;'Funnel setup'!$K$3&amp;'Funnel setup'!$K$4&amp;'Funnel setup'!$K$6,".",IF(A1017=".",1,A1017+1))</f>
        <v>.</v>
      </c>
      <c r="B1018" s="244" t="str">
        <f t="shared" si="15"/>
        <v>Hip Replacement PrimaryProviderSPIRE PARKWAY HOSPITAL (NT320)Oxford Hip Score</v>
      </c>
      <c r="C1018" t="s">
        <v>749</v>
      </c>
      <c r="D1018" t="s">
        <v>965</v>
      </c>
      <c r="E1018" t="s">
        <v>578</v>
      </c>
      <c r="F1018" t="s">
        <v>579</v>
      </c>
      <c r="G1018" t="s">
        <v>964</v>
      </c>
      <c r="H1018">
        <v>19</v>
      </c>
      <c r="I1018">
        <v>18.842099999999999</v>
      </c>
      <c r="J1018">
        <v>39.263199999999998</v>
      </c>
      <c r="K1018">
        <v>20.421099999999999</v>
      </c>
      <c r="L1018">
        <v>17</v>
      </c>
      <c r="M1018">
        <v>0</v>
      </c>
      <c r="N1018">
        <v>2</v>
      </c>
      <c r="O1018" t="s">
        <v>127</v>
      </c>
      <c r="P1018" t="s">
        <v>127</v>
      </c>
      <c r="Q1018" t="s">
        <v>127</v>
      </c>
    </row>
    <row r="1019" spans="1:17" ht="15" customHeight="1" x14ac:dyDescent="0.25">
      <c r="A1019" t="str">
        <f>IF(C1019&amp;G1019&amp;D1019&lt;&gt;'Funnel setup'!$K$3&amp;'Funnel setup'!$K$4&amp;'Funnel setup'!$K$6,".",IF(A1018=".",1,A1018+1))</f>
        <v>.</v>
      </c>
      <c r="B1019" s="244" t="str">
        <f t="shared" si="15"/>
        <v>Hip Replacement PrimaryProviderSPIRE PORTSMOUTH HOSPITAL (NT305)Oxford Hip Score</v>
      </c>
      <c r="C1019" t="s">
        <v>749</v>
      </c>
      <c r="D1019" t="s">
        <v>965</v>
      </c>
      <c r="E1019" t="s">
        <v>580</v>
      </c>
      <c r="F1019" t="s">
        <v>581</v>
      </c>
      <c r="G1019" t="s">
        <v>964</v>
      </c>
      <c r="H1019">
        <v>12</v>
      </c>
      <c r="I1019">
        <v>18.5</v>
      </c>
      <c r="J1019">
        <v>36.333300000000001</v>
      </c>
      <c r="K1019">
        <v>17.833300000000001</v>
      </c>
      <c r="L1019">
        <v>11</v>
      </c>
      <c r="M1019">
        <v>0</v>
      </c>
      <c r="N1019">
        <v>1</v>
      </c>
      <c r="O1019" t="s">
        <v>127</v>
      </c>
      <c r="P1019" t="s">
        <v>127</v>
      </c>
      <c r="Q1019" t="s">
        <v>127</v>
      </c>
    </row>
    <row r="1020" spans="1:17" x14ac:dyDescent="0.25">
      <c r="A1020" t="str">
        <f>IF(C1020&amp;G1020&amp;D1020&lt;&gt;'Funnel setup'!$K$3&amp;'Funnel setup'!$K$4&amp;'Funnel setup'!$K$6,".",IF(A1019=".",1,A1019+1))</f>
        <v>.</v>
      </c>
      <c r="B1020" s="244" t="str">
        <f t="shared" si="15"/>
        <v>Hip Replacement PrimaryProviderSPIRE REGENCY HOSPITAL (NT339)Oxford Hip Score</v>
      </c>
      <c r="C1020" t="s">
        <v>749</v>
      </c>
      <c r="D1020" t="s">
        <v>965</v>
      </c>
      <c r="E1020" t="s">
        <v>582</v>
      </c>
      <c r="F1020" t="s">
        <v>583</v>
      </c>
      <c r="G1020" t="s">
        <v>964</v>
      </c>
      <c r="H1020">
        <v>32</v>
      </c>
      <c r="I1020">
        <v>20.468800000000002</v>
      </c>
      <c r="J1020">
        <v>39.8125</v>
      </c>
      <c r="K1020">
        <v>19.343800000000002</v>
      </c>
      <c r="L1020">
        <v>31</v>
      </c>
      <c r="M1020">
        <v>0</v>
      </c>
      <c r="N1020">
        <v>1</v>
      </c>
      <c r="O1020">
        <v>38.397199999999998</v>
      </c>
      <c r="P1020">
        <v>21.312899999999999</v>
      </c>
      <c r="Q1020">
        <v>7.96821</v>
      </c>
    </row>
    <row r="1021" spans="1:17" x14ac:dyDescent="0.25">
      <c r="A1021" t="str">
        <f>IF(C1021&amp;G1021&amp;D1021&lt;&gt;'Funnel setup'!$K$3&amp;'Funnel setup'!$K$4&amp;'Funnel setup'!$K$6,".",IF(A1020=".",1,A1020+1))</f>
        <v>.</v>
      </c>
      <c r="B1021" s="244" t="str">
        <f t="shared" si="15"/>
        <v>Hip Replacement PrimaryProviderSPIRE SOUTHAMPTON HOSPITAL (NT304)Oxford Hip Score</v>
      </c>
      <c r="C1021" t="s">
        <v>749</v>
      </c>
      <c r="D1021" t="s">
        <v>965</v>
      </c>
      <c r="E1021" t="s">
        <v>586</v>
      </c>
      <c r="F1021" t="s">
        <v>587</v>
      </c>
      <c r="G1021" t="s">
        <v>964</v>
      </c>
      <c r="H1021">
        <v>44</v>
      </c>
      <c r="I1021">
        <v>20.818200000000001</v>
      </c>
      <c r="J1021">
        <v>42.704500000000003</v>
      </c>
      <c r="K1021">
        <v>21.886399999999998</v>
      </c>
      <c r="L1021">
        <v>43</v>
      </c>
      <c r="M1021">
        <v>0</v>
      </c>
      <c r="N1021">
        <v>1</v>
      </c>
      <c r="O1021">
        <v>40.002899999999997</v>
      </c>
      <c r="P1021">
        <v>22.918600000000001</v>
      </c>
      <c r="Q1021">
        <v>5.8910799999999997</v>
      </c>
    </row>
    <row r="1022" spans="1:17" x14ac:dyDescent="0.25">
      <c r="A1022" t="str">
        <f>IF(C1022&amp;G1022&amp;D1022&lt;&gt;'Funnel setup'!$K$3&amp;'Funnel setup'!$K$4&amp;'Funnel setup'!$K$6,".",IF(A1021=".",1,A1021+1))</f>
        <v>.</v>
      </c>
      <c r="B1022" s="244" t="str">
        <f t="shared" si="15"/>
        <v>Hip Replacement PrimaryProviderSPIRE ST ANTHONY'S HOSPITAL (NT3X3)Oxford Hip Score</v>
      </c>
      <c r="C1022" t="s">
        <v>749</v>
      </c>
      <c r="D1022" t="s">
        <v>965</v>
      </c>
      <c r="E1022" t="s">
        <v>588</v>
      </c>
      <c r="F1022" t="s">
        <v>589</v>
      </c>
      <c r="G1022" t="s">
        <v>964</v>
      </c>
      <c r="H1022">
        <v>3</v>
      </c>
      <c r="I1022">
        <v>14</v>
      </c>
      <c r="J1022">
        <v>35.666699999999999</v>
      </c>
      <c r="K1022">
        <v>21.666699999999999</v>
      </c>
      <c r="L1022">
        <v>3</v>
      </c>
      <c r="M1022">
        <v>0</v>
      </c>
      <c r="N1022">
        <v>0</v>
      </c>
      <c r="O1022" t="s">
        <v>127</v>
      </c>
      <c r="P1022" t="s">
        <v>127</v>
      </c>
      <c r="Q1022" t="s">
        <v>127</v>
      </c>
    </row>
    <row r="1023" spans="1:17" x14ac:dyDescent="0.25">
      <c r="A1023" t="str">
        <f>IF(C1023&amp;G1023&amp;D1023&lt;&gt;'Funnel setup'!$K$3&amp;'Funnel setup'!$K$4&amp;'Funnel setup'!$K$6,".",IF(A1022=".",1,A1022+1))</f>
        <v>.</v>
      </c>
      <c r="B1023" s="244" t="str">
        <f t="shared" si="15"/>
        <v>Hip Replacement PrimaryProviderSPIRE SUSSEX HOSPITAL (NT309)Oxford Hip Score</v>
      </c>
      <c r="C1023" t="s">
        <v>749</v>
      </c>
      <c r="D1023" t="s">
        <v>965</v>
      </c>
      <c r="E1023" t="s">
        <v>590</v>
      </c>
      <c r="F1023" t="s">
        <v>591</v>
      </c>
      <c r="G1023" t="s">
        <v>964</v>
      </c>
      <c r="H1023">
        <v>7</v>
      </c>
      <c r="I1023">
        <v>21.428599999999999</v>
      </c>
      <c r="J1023">
        <v>42</v>
      </c>
      <c r="K1023">
        <v>20.571400000000001</v>
      </c>
      <c r="L1023">
        <v>7</v>
      </c>
      <c r="M1023">
        <v>0</v>
      </c>
      <c r="N1023">
        <v>0</v>
      </c>
      <c r="O1023" t="s">
        <v>127</v>
      </c>
      <c r="P1023" t="s">
        <v>127</v>
      </c>
      <c r="Q1023" t="s">
        <v>127</v>
      </c>
    </row>
    <row r="1024" spans="1:17" x14ac:dyDescent="0.25">
      <c r="A1024" t="str">
        <f>IF(C1024&amp;G1024&amp;D1024&lt;&gt;'Funnel setup'!$K$3&amp;'Funnel setup'!$K$4&amp;'Funnel setup'!$K$6,".",IF(A1023=".",1,A1023+1))</f>
        <v>.</v>
      </c>
      <c r="B1024" s="244" t="str">
        <f t="shared" si="15"/>
        <v>Hip Replacement PrimaryProviderSPIRE THAMES VALLEY HOSPITAL (NT343)Oxford Hip Score</v>
      </c>
      <c r="C1024" t="s">
        <v>749</v>
      </c>
      <c r="D1024" t="s">
        <v>965</v>
      </c>
      <c r="E1024" t="s">
        <v>592</v>
      </c>
      <c r="F1024" t="s">
        <v>593</v>
      </c>
      <c r="G1024" t="s">
        <v>964</v>
      </c>
      <c r="H1024">
        <v>7</v>
      </c>
      <c r="I1024">
        <v>20</v>
      </c>
      <c r="J1024">
        <v>44.571399999999997</v>
      </c>
      <c r="K1024">
        <v>24.571400000000001</v>
      </c>
      <c r="L1024">
        <v>7</v>
      </c>
      <c r="M1024">
        <v>0</v>
      </c>
      <c r="N1024">
        <v>0</v>
      </c>
      <c r="O1024" t="s">
        <v>127</v>
      </c>
      <c r="P1024" t="s">
        <v>127</v>
      </c>
      <c r="Q1024" t="s">
        <v>127</v>
      </c>
    </row>
    <row r="1025" spans="1:17" x14ac:dyDescent="0.25">
      <c r="A1025" t="str">
        <f>IF(C1025&amp;G1025&amp;D1025&lt;&gt;'Funnel setup'!$K$3&amp;'Funnel setup'!$K$4&amp;'Funnel setup'!$K$6,".",IF(A1024=".",1,A1024+1))</f>
        <v>.</v>
      </c>
      <c r="B1025" s="244" t="str">
        <f t="shared" si="15"/>
        <v>Hip Replacement PrimaryProviderSPIRE TUNBRIDGE WELLS HOSPITAL (NT310)Oxford Hip Score</v>
      </c>
      <c r="C1025" t="s">
        <v>749</v>
      </c>
      <c r="D1025" t="s">
        <v>965</v>
      </c>
      <c r="E1025" t="s">
        <v>594</v>
      </c>
      <c r="F1025" t="s">
        <v>595</v>
      </c>
      <c r="G1025" t="s">
        <v>964</v>
      </c>
      <c r="H1025">
        <v>7</v>
      </c>
      <c r="I1025">
        <v>12.857100000000001</v>
      </c>
      <c r="J1025">
        <v>36.142899999999997</v>
      </c>
      <c r="K1025">
        <v>23.285699999999999</v>
      </c>
      <c r="L1025">
        <v>7</v>
      </c>
      <c r="M1025">
        <v>0</v>
      </c>
      <c r="N1025">
        <v>0</v>
      </c>
      <c r="O1025" t="s">
        <v>127</v>
      </c>
      <c r="P1025" t="s">
        <v>127</v>
      </c>
      <c r="Q1025" t="s">
        <v>127</v>
      </c>
    </row>
    <row r="1026" spans="1:17" x14ac:dyDescent="0.25">
      <c r="A1026" t="str">
        <f>IF(C1026&amp;G1026&amp;D1026&lt;&gt;'Funnel setup'!$K$3&amp;'Funnel setup'!$K$4&amp;'Funnel setup'!$K$6,".",IF(A1025=".",1,A1025+1))</f>
        <v>.</v>
      </c>
      <c r="B1026" s="244" t="str">
        <f t="shared" ref="B1026:B1089" si="16">C1026&amp;D1026&amp;F1026&amp;G1026</f>
        <v>Hip Replacement PrimaryProviderSPIRE WASHINGTON HOSPITAL (NT333)Oxford Hip Score</v>
      </c>
      <c r="C1026" t="s">
        <v>749</v>
      </c>
      <c r="D1026" t="s">
        <v>965</v>
      </c>
      <c r="E1026" t="s">
        <v>596</v>
      </c>
      <c r="F1026" t="s">
        <v>597</v>
      </c>
      <c r="G1026" t="s">
        <v>964</v>
      </c>
      <c r="H1026">
        <v>64</v>
      </c>
      <c r="I1026">
        <v>16.265599999999999</v>
      </c>
      <c r="J1026">
        <v>42.875</v>
      </c>
      <c r="K1026">
        <v>26.609400000000001</v>
      </c>
      <c r="L1026">
        <v>64</v>
      </c>
      <c r="M1026">
        <v>0</v>
      </c>
      <c r="N1026">
        <v>0</v>
      </c>
      <c r="O1026">
        <v>43.088500000000003</v>
      </c>
      <c r="P1026">
        <v>26.004200000000001</v>
      </c>
      <c r="Q1026">
        <v>6.2926399999999996</v>
      </c>
    </row>
    <row r="1027" spans="1:17" x14ac:dyDescent="0.25">
      <c r="A1027" t="str">
        <f>IF(C1027&amp;G1027&amp;D1027&lt;&gt;'Funnel setup'!$K$3&amp;'Funnel setup'!$K$4&amp;'Funnel setup'!$K$6,".",IF(A1026=".",1,A1026+1))</f>
        <v>.</v>
      </c>
      <c r="B1027" s="244" t="str">
        <f t="shared" si="16"/>
        <v>Hip Replacement PrimaryProviderSPRINGFIELD HOSPITAL (NVC18)Oxford Hip Score</v>
      </c>
      <c r="C1027" t="s">
        <v>749</v>
      </c>
      <c r="D1027" t="s">
        <v>965</v>
      </c>
      <c r="E1027" t="s">
        <v>602</v>
      </c>
      <c r="F1027" t="s">
        <v>603</v>
      </c>
      <c r="G1027" t="s">
        <v>964</v>
      </c>
      <c r="H1027">
        <v>81</v>
      </c>
      <c r="I1027">
        <v>15.592599999999999</v>
      </c>
      <c r="J1027">
        <v>42.1111</v>
      </c>
      <c r="K1027">
        <v>26.5185</v>
      </c>
      <c r="L1027">
        <v>79</v>
      </c>
      <c r="M1027">
        <v>1</v>
      </c>
      <c r="N1027">
        <v>1</v>
      </c>
      <c r="O1027">
        <v>42.113500000000002</v>
      </c>
      <c r="P1027">
        <v>25.029299999999999</v>
      </c>
      <c r="Q1027">
        <v>6.8782199999999998</v>
      </c>
    </row>
    <row r="1028" spans="1:17" x14ac:dyDescent="0.25">
      <c r="A1028" t="str">
        <f>IF(C1028&amp;G1028&amp;D1028&lt;&gt;'Funnel setup'!$K$3&amp;'Funnel setup'!$K$4&amp;'Funnel setup'!$K$6,".",IF(A1027=".",1,A1027+1))</f>
        <v>.</v>
      </c>
      <c r="B1028" s="244" t="str">
        <f t="shared" si="16"/>
        <v>Hip Replacement PrimaryProviderST EDMUNDS HOSPITAL (NT446)Oxford Hip Score</v>
      </c>
      <c r="C1028" t="s">
        <v>749</v>
      </c>
      <c r="D1028" t="s">
        <v>965</v>
      </c>
      <c r="E1028" t="s">
        <v>604</v>
      </c>
      <c r="F1028" t="s">
        <v>605</v>
      </c>
      <c r="G1028" t="s">
        <v>964</v>
      </c>
      <c r="H1028">
        <v>55</v>
      </c>
      <c r="I1028">
        <v>17.672699999999999</v>
      </c>
      <c r="J1028">
        <v>42.854500000000002</v>
      </c>
      <c r="K1028">
        <v>25.181799999999999</v>
      </c>
      <c r="L1028">
        <v>55</v>
      </c>
      <c r="M1028">
        <v>0</v>
      </c>
      <c r="N1028">
        <v>0</v>
      </c>
      <c r="O1028">
        <v>41.507100000000001</v>
      </c>
      <c r="P1028">
        <v>24.422799999999999</v>
      </c>
      <c r="Q1028">
        <v>6.6934500000000003</v>
      </c>
    </row>
    <row r="1029" spans="1:17" x14ac:dyDescent="0.25">
      <c r="A1029" t="str">
        <f>IF(C1029&amp;G1029&amp;D1029&lt;&gt;'Funnel setup'!$K$3&amp;'Funnel setup'!$K$4&amp;'Funnel setup'!$K$6,".",IF(A1028=".",1,A1028+1))</f>
        <v>.</v>
      </c>
      <c r="B1029" s="244" t="str">
        <f t="shared" si="16"/>
        <v>Hip Replacement PrimaryProviderST HELENS AND KNOWSLEY TEACHING HOSPITALS NHS TRUST (RBN)Oxford Hip Score</v>
      </c>
      <c r="C1029" t="s">
        <v>749</v>
      </c>
      <c r="D1029" t="s">
        <v>965</v>
      </c>
      <c r="E1029" t="s">
        <v>608</v>
      </c>
      <c r="F1029" t="s">
        <v>609</v>
      </c>
      <c r="G1029" t="s">
        <v>964</v>
      </c>
      <c r="H1029">
        <v>76</v>
      </c>
      <c r="I1029">
        <v>15.026300000000001</v>
      </c>
      <c r="J1029">
        <v>36.342100000000002</v>
      </c>
      <c r="K1029">
        <v>21.315799999999999</v>
      </c>
      <c r="L1029">
        <v>72</v>
      </c>
      <c r="M1029">
        <v>2</v>
      </c>
      <c r="N1029">
        <v>2</v>
      </c>
      <c r="O1029">
        <v>38.1599</v>
      </c>
      <c r="P1029">
        <v>21.075600000000001</v>
      </c>
      <c r="Q1029">
        <v>9.5100099999999994</v>
      </c>
    </row>
    <row r="1030" spans="1:17" x14ac:dyDescent="0.25">
      <c r="A1030" t="str">
        <f>IF(C1030&amp;G1030&amp;D1030&lt;&gt;'Funnel setup'!$K$3&amp;'Funnel setup'!$K$4&amp;'Funnel setup'!$K$6,".",IF(A1029=".",1,A1029+1))</f>
        <v>.</v>
      </c>
      <c r="B1030" s="244" t="str">
        <f t="shared" si="16"/>
        <v>Hip Replacement PrimaryProviderST HUGH'S HOSPITAL (NTE02)Oxford Hip Score</v>
      </c>
      <c r="C1030" t="s">
        <v>749</v>
      </c>
      <c r="D1030" t="s">
        <v>965</v>
      </c>
      <c r="E1030" t="s">
        <v>610</v>
      </c>
      <c r="F1030" t="s">
        <v>611</v>
      </c>
      <c r="G1030" t="s">
        <v>964</v>
      </c>
      <c r="H1030">
        <v>99</v>
      </c>
      <c r="I1030">
        <v>18.979800000000001</v>
      </c>
      <c r="J1030">
        <v>40.525300000000001</v>
      </c>
      <c r="K1030">
        <v>21.545500000000001</v>
      </c>
      <c r="L1030">
        <v>96</v>
      </c>
      <c r="M1030">
        <v>0</v>
      </c>
      <c r="N1030">
        <v>3</v>
      </c>
      <c r="O1030">
        <v>39.759700000000002</v>
      </c>
      <c r="P1030">
        <v>22.6754</v>
      </c>
      <c r="Q1030">
        <v>7.6558400000000004</v>
      </c>
    </row>
    <row r="1031" spans="1:17" x14ac:dyDescent="0.25">
      <c r="A1031" t="str">
        <f>IF(C1031&amp;G1031&amp;D1031&lt;&gt;'Funnel setup'!$K$3&amp;'Funnel setup'!$K$4&amp;'Funnel setup'!$K$6,".",IF(A1030=".",1,A1030+1))</f>
        <v>.</v>
      </c>
      <c r="B1031" s="244" t="str">
        <f t="shared" si="16"/>
        <v>Hip Replacement PrimaryProviderSTOCKPORT NHS FOUNDATION TRUST (RWJ)Oxford Hip Score</v>
      </c>
      <c r="C1031" t="s">
        <v>749</v>
      </c>
      <c r="D1031" t="s">
        <v>965</v>
      </c>
      <c r="E1031" t="s">
        <v>614</v>
      </c>
      <c r="F1031" t="s">
        <v>615</v>
      </c>
      <c r="G1031" t="s">
        <v>964</v>
      </c>
      <c r="H1031">
        <v>53</v>
      </c>
      <c r="I1031">
        <v>14.641500000000001</v>
      </c>
      <c r="J1031">
        <v>39.547199999999997</v>
      </c>
      <c r="K1031">
        <v>24.9057</v>
      </c>
      <c r="L1031">
        <v>52</v>
      </c>
      <c r="M1031">
        <v>0</v>
      </c>
      <c r="N1031">
        <v>1</v>
      </c>
      <c r="O1031">
        <v>41.1509</v>
      </c>
      <c r="P1031">
        <v>24.066600000000001</v>
      </c>
      <c r="Q1031">
        <v>8.0941500000000008</v>
      </c>
    </row>
    <row r="1032" spans="1:17" x14ac:dyDescent="0.25">
      <c r="A1032" t="str">
        <f>IF(C1032&amp;G1032&amp;D1032&lt;&gt;'Funnel setup'!$K$3&amp;'Funnel setup'!$K$4&amp;'Funnel setup'!$K$6,".",IF(A1031=".",1,A1031+1))</f>
        <v>.</v>
      </c>
      <c r="B1032" s="244" t="str">
        <f t="shared" si="16"/>
        <v>Hip Replacement PrimaryProviderSURREY AND SUSSEX HEALTHCARE NHS TRUST (RTP)Oxford Hip Score</v>
      </c>
      <c r="C1032" t="s">
        <v>749</v>
      </c>
      <c r="D1032" t="s">
        <v>965</v>
      </c>
      <c r="E1032" t="s">
        <v>618</v>
      </c>
      <c r="F1032" t="s">
        <v>619</v>
      </c>
      <c r="G1032" t="s">
        <v>964</v>
      </c>
      <c r="H1032">
        <v>50</v>
      </c>
      <c r="I1032">
        <v>14.9</v>
      </c>
      <c r="J1032">
        <v>38.159999999999997</v>
      </c>
      <c r="K1032">
        <v>23.26</v>
      </c>
      <c r="L1032">
        <v>49</v>
      </c>
      <c r="M1032">
        <v>0</v>
      </c>
      <c r="N1032">
        <v>1</v>
      </c>
      <c r="O1032">
        <v>39.029899999999998</v>
      </c>
      <c r="P1032">
        <v>21.945599999999999</v>
      </c>
      <c r="Q1032">
        <v>8.6019799999999993</v>
      </c>
    </row>
    <row r="1033" spans="1:17" x14ac:dyDescent="0.25">
      <c r="A1033" t="str">
        <f>IF(C1033&amp;G1033&amp;D1033&lt;&gt;'Funnel setup'!$K$3&amp;'Funnel setup'!$K$4&amp;'Funnel setup'!$K$6,".",IF(A1032=".",1,A1032+1))</f>
        <v>.</v>
      </c>
      <c r="B1033" s="244" t="str">
        <f t="shared" si="16"/>
        <v>Hip Replacement PrimaryProviderTAMESIDE AND GLOSSOP INTEGRATED CARE NHS FOUNDATION TRUST (RMP)Oxford Hip Score</v>
      </c>
      <c r="C1033" t="s">
        <v>749</v>
      </c>
      <c r="D1033" t="s">
        <v>965</v>
      </c>
      <c r="E1033" t="s">
        <v>620</v>
      </c>
      <c r="F1033" t="s">
        <v>621</v>
      </c>
      <c r="G1033" t="s">
        <v>964</v>
      </c>
      <c r="H1033">
        <v>3</v>
      </c>
      <c r="I1033">
        <v>10.666700000000001</v>
      </c>
      <c r="J1033">
        <v>39.333300000000001</v>
      </c>
      <c r="K1033">
        <v>28.666699999999999</v>
      </c>
      <c r="L1033">
        <v>3</v>
      </c>
      <c r="M1033">
        <v>0</v>
      </c>
      <c r="N1033">
        <v>0</v>
      </c>
      <c r="O1033" t="s">
        <v>127</v>
      </c>
      <c r="P1033" t="s">
        <v>127</v>
      </c>
      <c r="Q1033" t="s">
        <v>127</v>
      </c>
    </row>
    <row r="1034" spans="1:17" x14ac:dyDescent="0.25">
      <c r="A1034" t="str">
        <f>IF(C1034&amp;G1034&amp;D1034&lt;&gt;'Funnel setup'!$K$3&amp;'Funnel setup'!$K$4&amp;'Funnel setup'!$K$6,".",IF(A1033=".",1,A1033+1))</f>
        <v>.</v>
      </c>
      <c r="B1034" s="244" t="str">
        <f t="shared" si="16"/>
        <v>Hip Replacement PrimaryProviderTEES VALLEY HOSPITAL (NVC0R)Oxford Hip Score</v>
      </c>
      <c r="C1034" t="s">
        <v>749</v>
      </c>
      <c r="D1034" t="s">
        <v>965</v>
      </c>
      <c r="E1034" t="s">
        <v>624</v>
      </c>
      <c r="F1034" t="s">
        <v>625</v>
      </c>
      <c r="G1034" t="s">
        <v>964</v>
      </c>
      <c r="H1034">
        <v>47</v>
      </c>
      <c r="I1034">
        <v>19.148900000000001</v>
      </c>
      <c r="J1034">
        <v>40.255299999999998</v>
      </c>
      <c r="K1034">
        <v>21.106400000000001</v>
      </c>
      <c r="L1034">
        <v>46</v>
      </c>
      <c r="M1034">
        <v>0</v>
      </c>
      <c r="N1034">
        <v>1</v>
      </c>
      <c r="O1034">
        <v>39.272100000000002</v>
      </c>
      <c r="P1034">
        <v>22.187799999999999</v>
      </c>
      <c r="Q1034">
        <v>8.3022100000000005</v>
      </c>
    </row>
    <row r="1035" spans="1:17" x14ac:dyDescent="0.25">
      <c r="A1035" t="str">
        <f>IF(C1035&amp;G1035&amp;D1035&lt;&gt;'Funnel setup'!$K$3&amp;'Funnel setup'!$K$4&amp;'Funnel setup'!$K$6,".",IF(A1034=".",1,A1034+1))</f>
        <v>.</v>
      </c>
      <c r="B1035" s="244" t="str">
        <f t="shared" si="16"/>
        <v>Hip Replacement PrimaryProviderTHE BERKSHIRE INDEPENDENT HOSPITAL (NVC02)Oxford Hip Score</v>
      </c>
      <c r="C1035" t="s">
        <v>749</v>
      </c>
      <c r="D1035" t="s">
        <v>965</v>
      </c>
      <c r="E1035" t="s">
        <v>626</v>
      </c>
      <c r="F1035" t="s">
        <v>627</v>
      </c>
      <c r="G1035" t="s">
        <v>964</v>
      </c>
      <c r="H1035">
        <v>11</v>
      </c>
      <c r="I1035">
        <v>20</v>
      </c>
      <c r="J1035">
        <v>43.181800000000003</v>
      </c>
      <c r="K1035">
        <v>23.181799999999999</v>
      </c>
      <c r="L1035">
        <v>10</v>
      </c>
      <c r="M1035">
        <v>0</v>
      </c>
      <c r="N1035">
        <v>1</v>
      </c>
      <c r="O1035" t="s">
        <v>127</v>
      </c>
      <c r="P1035" t="s">
        <v>127</v>
      </c>
      <c r="Q1035" t="s">
        <v>127</v>
      </c>
    </row>
    <row r="1036" spans="1:17" x14ac:dyDescent="0.25">
      <c r="A1036" t="str">
        <f>IF(C1036&amp;G1036&amp;D1036&lt;&gt;'Funnel setup'!$K$3&amp;'Funnel setup'!$K$4&amp;'Funnel setup'!$K$6,".",IF(A1035=".",1,A1035+1))</f>
        <v>.</v>
      </c>
      <c r="B1036" s="244" t="str">
        <f t="shared" si="16"/>
        <v>Hip Replacement PrimaryProviderTHE CHERWELL HOSPITAL (NVC25)Oxford Hip Score</v>
      </c>
      <c r="C1036" t="s">
        <v>749</v>
      </c>
      <c r="D1036" t="s">
        <v>965</v>
      </c>
      <c r="E1036" t="s">
        <v>628</v>
      </c>
      <c r="F1036" t="s">
        <v>629</v>
      </c>
      <c r="G1036" t="s">
        <v>964</v>
      </c>
      <c r="H1036">
        <v>226</v>
      </c>
      <c r="I1036">
        <v>19.977900000000002</v>
      </c>
      <c r="J1036">
        <v>41.6327</v>
      </c>
      <c r="K1036">
        <v>21.654900000000001</v>
      </c>
      <c r="L1036">
        <v>220</v>
      </c>
      <c r="M1036">
        <v>1</v>
      </c>
      <c r="N1036">
        <v>5</v>
      </c>
      <c r="O1036">
        <v>39.775300000000001</v>
      </c>
      <c r="P1036">
        <v>22.690999999999999</v>
      </c>
      <c r="Q1036">
        <v>7.5560799999999997</v>
      </c>
    </row>
    <row r="1037" spans="1:17" x14ac:dyDescent="0.25">
      <c r="A1037" t="str">
        <f>IF(C1037&amp;G1037&amp;D1037&lt;&gt;'Funnel setup'!$K$3&amp;'Funnel setup'!$K$4&amp;'Funnel setup'!$K$6,".",IF(A1036=".",1,A1036+1))</f>
        <v>.</v>
      </c>
      <c r="B1037" s="244" t="str">
        <f t="shared" si="16"/>
        <v>Hip Replacement PrimaryProviderTHE DUDLEY GROUP NHS FOUNDATION TRUST (RNA)Oxford Hip Score</v>
      </c>
      <c r="C1037" t="s">
        <v>749</v>
      </c>
      <c r="D1037" t="s">
        <v>965</v>
      </c>
      <c r="E1037" t="s">
        <v>630</v>
      </c>
      <c r="F1037" t="s">
        <v>631</v>
      </c>
      <c r="G1037" t="s">
        <v>964</v>
      </c>
      <c r="H1037">
        <v>1</v>
      </c>
      <c r="I1037">
        <v>16</v>
      </c>
      <c r="J1037">
        <v>46</v>
      </c>
      <c r="K1037">
        <v>30</v>
      </c>
      <c r="L1037">
        <v>1</v>
      </c>
      <c r="M1037">
        <v>0</v>
      </c>
      <c r="N1037">
        <v>0</v>
      </c>
      <c r="O1037" t="s">
        <v>127</v>
      </c>
      <c r="P1037" t="s">
        <v>127</v>
      </c>
      <c r="Q1037" t="s">
        <v>127</v>
      </c>
    </row>
    <row r="1038" spans="1:17" x14ac:dyDescent="0.25">
      <c r="A1038" t="str">
        <f>IF(C1038&amp;G1038&amp;D1038&lt;&gt;'Funnel setup'!$K$3&amp;'Funnel setup'!$K$4&amp;'Funnel setup'!$K$6,".",IF(A1037=".",1,A1037+1))</f>
        <v>.</v>
      </c>
      <c r="B1038" s="244" t="str">
        <f t="shared" si="16"/>
        <v>Hip Replacement PrimaryProviderTHE HILLINGDON HOSPITALS NHS FOUNDATION TRUST (RAS)Oxford Hip Score</v>
      </c>
      <c r="C1038" t="s">
        <v>749</v>
      </c>
      <c r="D1038" t="s">
        <v>965</v>
      </c>
      <c r="E1038" t="s">
        <v>632</v>
      </c>
      <c r="F1038" t="s">
        <v>633</v>
      </c>
      <c r="G1038" t="s">
        <v>964</v>
      </c>
      <c r="H1038">
        <v>72</v>
      </c>
      <c r="I1038">
        <v>19.2361</v>
      </c>
      <c r="J1038">
        <v>40.069400000000002</v>
      </c>
      <c r="K1038">
        <v>20.833300000000001</v>
      </c>
      <c r="L1038">
        <v>69</v>
      </c>
      <c r="M1038">
        <v>0</v>
      </c>
      <c r="N1038">
        <v>3</v>
      </c>
      <c r="O1038">
        <v>39.301900000000003</v>
      </c>
      <c r="P1038">
        <v>22.217600000000001</v>
      </c>
      <c r="Q1038">
        <v>7.3892899999999999</v>
      </c>
    </row>
    <row r="1039" spans="1:17" x14ac:dyDescent="0.25">
      <c r="A1039" t="str">
        <f>IF(C1039&amp;G1039&amp;D1039&lt;&gt;'Funnel setup'!$K$3&amp;'Funnel setup'!$K$4&amp;'Funnel setup'!$K$6,".",IF(A1038=".",1,A1038+1))</f>
        <v>.</v>
      </c>
      <c r="B1039" s="244" t="str">
        <f t="shared" si="16"/>
        <v>Hip Replacement PrimaryProviderTHE HORDER CENTRE - ST JOHNS ROAD (NXM01)Oxford Hip Score</v>
      </c>
      <c r="C1039" t="s">
        <v>749</v>
      </c>
      <c r="D1039" t="s">
        <v>965</v>
      </c>
      <c r="E1039" t="s">
        <v>634</v>
      </c>
      <c r="F1039" t="s">
        <v>635</v>
      </c>
      <c r="G1039" t="s">
        <v>964</v>
      </c>
      <c r="H1039">
        <v>265</v>
      </c>
      <c r="I1039">
        <v>20.630199999999999</v>
      </c>
      <c r="J1039">
        <v>42.592500000000001</v>
      </c>
      <c r="K1039">
        <v>21.962299999999999</v>
      </c>
      <c r="L1039">
        <v>256</v>
      </c>
      <c r="M1039">
        <v>3</v>
      </c>
      <c r="N1039">
        <v>6</v>
      </c>
      <c r="O1039">
        <v>41.014000000000003</v>
      </c>
      <c r="P1039">
        <v>23.9297</v>
      </c>
      <c r="Q1039">
        <v>7.4276099999999996</v>
      </c>
    </row>
    <row r="1040" spans="1:17" x14ac:dyDescent="0.25">
      <c r="A1040" t="str">
        <f>IF(C1040&amp;G1040&amp;D1040&lt;&gt;'Funnel setup'!$K$3&amp;'Funnel setup'!$K$4&amp;'Funnel setup'!$K$6,".",IF(A1039=".",1,A1039+1))</f>
        <v>.</v>
      </c>
      <c r="B1040" s="244" t="str">
        <f t="shared" si="16"/>
        <v>Hip Replacement PrimaryProviderTHE NEWCASTLE UPON TYNE HOSPITALS NHS FOUNDATION TRUST (RTD)Oxford Hip Score</v>
      </c>
      <c r="C1040" t="s">
        <v>749</v>
      </c>
      <c r="D1040" t="s">
        <v>965</v>
      </c>
      <c r="E1040" t="s">
        <v>638</v>
      </c>
      <c r="F1040" t="s">
        <v>639</v>
      </c>
      <c r="G1040" t="s">
        <v>964</v>
      </c>
      <c r="H1040">
        <v>36</v>
      </c>
      <c r="I1040">
        <v>14.972200000000001</v>
      </c>
      <c r="J1040">
        <v>35.527799999999999</v>
      </c>
      <c r="K1040">
        <v>20.555599999999998</v>
      </c>
      <c r="L1040">
        <v>34</v>
      </c>
      <c r="M1040">
        <v>0</v>
      </c>
      <c r="N1040">
        <v>2</v>
      </c>
      <c r="O1040">
        <v>37.494100000000003</v>
      </c>
      <c r="P1040">
        <v>20.409800000000001</v>
      </c>
      <c r="Q1040">
        <v>9.2546999999999997</v>
      </c>
    </row>
    <row r="1041" spans="1:17" x14ac:dyDescent="0.25">
      <c r="A1041" t="str">
        <f>IF(C1041&amp;G1041&amp;D1041&lt;&gt;'Funnel setup'!$K$3&amp;'Funnel setup'!$K$4&amp;'Funnel setup'!$K$6,".",IF(A1040=".",1,A1040+1))</f>
        <v>.</v>
      </c>
      <c r="B1041" s="244" t="str">
        <f t="shared" si="16"/>
        <v>Hip Replacement PrimaryProviderTHE PRINCESS ALEXANDRA HOSPITAL NHS TRUST (RQW)Oxford Hip Score</v>
      </c>
      <c r="C1041" t="s">
        <v>749</v>
      </c>
      <c r="D1041" t="s">
        <v>965</v>
      </c>
      <c r="E1041" t="s">
        <v>640</v>
      </c>
      <c r="F1041" t="s">
        <v>641</v>
      </c>
      <c r="G1041" t="s">
        <v>964</v>
      </c>
      <c r="H1041">
        <v>26</v>
      </c>
      <c r="I1041">
        <v>11.538500000000001</v>
      </c>
      <c r="J1041">
        <v>35.384599999999999</v>
      </c>
      <c r="K1041">
        <v>23.8462</v>
      </c>
      <c r="L1041">
        <v>26</v>
      </c>
      <c r="M1041">
        <v>0</v>
      </c>
      <c r="N1041">
        <v>0</v>
      </c>
      <c r="O1041" t="s">
        <v>127</v>
      </c>
      <c r="P1041" t="s">
        <v>127</v>
      </c>
      <c r="Q1041" t="s">
        <v>127</v>
      </c>
    </row>
    <row r="1042" spans="1:17" x14ac:dyDescent="0.25">
      <c r="A1042" t="str">
        <f>IF(C1042&amp;G1042&amp;D1042&lt;&gt;'Funnel setup'!$K$3&amp;'Funnel setup'!$K$4&amp;'Funnel setup'!$K$6,".",IF(A1041=".",1,A1041+1))</f>
        <v>.</v>
      </c>
      <c r="B1042" s="244" t="str">
        <f t="shared" si="16"/>
        <v>Hip Replacement PrimaryProviderTHE QUEEN ELIZABETH HOSPITAL, KING'S LYNN, NHS FOUNDATION TRUST (RCX)Oxford Hip Score</v>
      </c>
      <c r="C1042" t="s">
        <v>749</v>
      </c>
      <c r="D1042" t="s">
        <v>965</v>
      </c>
      <c r="E1042" t="s">
        <v>644</v>
      </c>
      <c r="F1042" t="s">
        <v>645</v>
      </c>
      <c r="G1042" t="s">
        <v>964</v>
      </c>
      <c r="H1042">
        <v>70</v>
      </c>
      <c r="I1042">
        <v>16.085699999999999</v>
      </c>
      <c r="J1042">
        <v>39.671399999999998</v>
      </c>
      <c r="K1042">
        <v>23.585699999999999</v>
      </c>
      <c r="L1042">
        <v>68</v>
      </c>
      <c r="M1042">
        <v>1</v>
      </c>
      <c r="N1042">
        <v>1</v>
      </c>
      <c r="O1042">
        <v>40.509799999999998</v>
      </c>
      <c r="P1042">
        <v>23.4255</v>
      </c>
      <c r="Q1042">
        <v>6.7435099999999997</v>
      </c>
    </row>
    <row r="1043" spans="1:17" x14ac:dyDescent="0.25">
      <c r="A1043" t="str">
        <f>IF(C1043&amp;G1043&amp;D1043&lt;&gt;'Funnel setup'!$K$3&amp;'Funnel setup'!$K$4&amp;'Funnel setup'!$K$6,".",IF(A1042=".",1,A1042+1))</f>
        <v>.</v>
      </c>
      <c r="B1043" s="244" t="str">
        <f t="shared" si="16"/>
        <v>Hip Replacement PrimaryProviderTHE ROBERT JONES AND AGNES HUNT ORTHOPAEDIC HOSPITAL NHS FOUNDATION TRUST (RL1)Oxford Hip Score</v>
      </c>
      <c r="C1043" t="s">
        <v>749</v>
      </c>
      <c r="D1043" t="s">
        <v>965</v>
      </c>
      <c r="E1043" t="s">
        <v>646</v>
      </c>
      <c r="F1043" t="s">
        <v>647</v>
      </c>
      <c r="G1043" t="s">
        <v>964</v>
      </c>
      <c r="H1043">
        <v>347</v>
      </c>
      <c r="I1043">
        <v>13.573499999999999</v>
      </c>
      <c r="J1043">
        <v>40.783900000000003</v>
      </c>
      <c r="K1043">
        <v>27.2104</v>
      </c>
      <c r="L1043">
        <v>346</v>
      </c>
      <c r="M1043">
        <v>0</v>
      </c>
      <c r="N1043">
        <v>1</v>
      </c>
      <c r="O1043">
        <v>42.017600000000002</v>
      </c>
      <c r="P1043">
        <v>24.933299999999999</v>
      </c>
      <c r="Q1043">
        <v>7.6571800000000003</v>
      </c>
    </row>
    <row r="1044" spans="1:17" x14ac:dyDescent="0.25">
      <c r="A1044" t="str">
        <f>IF(C1044&amp;G1044&amp;D1044&lt;&gt;'Funnel setup'!$K$3&amp;'Funnel setup'!$K$4&amp;'Funnel setup'!$K$6,".",IF(A1043=".",1,A1043+1))</f>
        <v>.</v>
      </c>
      <c r="B1044" s="244" t="str">
        <f t="shared" si="16"/>
        <v>Hip Replacement PrimaryProviderTHE ROTHERHAM NHS FOUNDATION TRUST (RFR)Oxford Hip Score</v>
      </c>
      <c r="C1044" t="s">
        <v>749</v>
      </c>
      <c r="D1044" t="s">
        <v>965</v>
      </c>
      <c r="E1044" t="s">
        <v>648</v>
      </c>
      <c r="F1044" t="s">
        <v>649</v>
      </c>
      <c r="G1044" t="s">
        <v>964</v>
      </c>
      <c r="H1044">
        <v>18</v>
      </c>
      <c r="I1044">
        <v>14.9444</v>
      </c>
      <c r="J1044">
        <v>38.1111</v>
      </c>
      <c r="K1044">
        <v>23.166699999999999</v>
      </c>
      <c r="L1044">
        <v>18</v>
      </c>
      <c r="M1044">
        <v>0</v>
      </c>
      <c r="N1044">
        <v>0</v>
      </c>
      <c r="O1044" t="s">
        <v>127</v>
      </c>
      <c r="P1044" t="s">
        <v>127</v>
      </c>
      <c r="Q1044" t="s">
        <v>127</v>
      </c>
    </row>
    <row r="1045" spans="1:17" x14ac:dyDescent="0.25">
      <c r="A1045" t="str">
        <f>IF(C1045&amp;G1045&amp;D1045&lt;&gt;'Funnel setup'!$K$3&amp;'Funnel setup'!$K$4&amp;'Funnel setup'!$K$6,".",IF(A1044=".",1,A1044+1))</f>
        <v>.</v>
      </c>
      <c r="B1045" s="244" t="str">
        <f t="shared" si="16"/>
        <v>Hip Replacement PrimaryProviderTHE ROYAL ORTHOPAEDIC HOSPITAL NHS FOUNDATION TRUST (RRJ)Oxford Hip Score</v>
      </c>
      <c r="C1045" t="s">
        <v>749</v>
      </c>
      <c r="D1045" t="s">
        <v>965</v>
      </c>
      <c r="E1045" t="s">
        <v>652</v>
      </c>
      <c r="F1045" t="s">
        <v>653</v>
      </c>
      <c r="G1045" t="s">
        <v>964</v>
      </c>
      <c r="H1045">
        <v>598</v>
      </c>
      <c r="I1045">
        <v>17.749199999999998</v>
      </c>
      <c r="J1045">
        <v>40.265900000000002</v>
      </c>
      <c r="K1045">
        <v>22.5167</v>
      </c>
      <c r="L1045">
        <v>589</v>
      </c>
      <c r="M1045">
        <v>1</v>
      </c>
      <c r="N1045">
        <v>8</v>
      </c>
      <c r="O1045">
        <v>39.853700000000003</v>
      </c>
      <c r="P1045">
        <v>22.769400000000001</v>
      </c>
      <c r="Q1045">
        <v>8.0142399999999991</v>
      </c>
    </row>
    <row r="1046" spans="1:17" x14ac:dyDescent="0.25">
      <c r="A1046" t="str">
        <f>IF(C1046&amp;G1046&amp;D1046&lt;&gt;'Funnel setup'!$K$3&amp;'Funnel setup'!$K$4&amp;'Funnel setup'!$K$6,".",IF(A1045=".",1,A1045+1))</f>
        <v>.</v>
      </c>
      <c r="B1046" s="244" t="str">
        <f t="shared" si="16"/>
        <v>Hip Replacement PrimaryProviderTHE ROYAL WOLVERHAMPTON NHS TRUST (RL4)Oxford Hip Score</v>
      </c>
      <c r="C1046" t="s">
        <v>749</v>
      </c>
      <c r="D1046" t="s">
        <v>965</v>
      </c>
      <c r="E1046" t="s">
        <v>654</v>
      </c>
      <c r="F1046" t="s">
        <v>655</v>
      </c>
      <c r="G1046" t="s">
        <v>964</v>
      </c>
      <c r="H1046">
        <v>17</v>
      </c>
      <c r="I1046">
        <v>15.764699999999999</v>
      </c>
      <c r="J1046">
        <v>42.764699999999998</v>
      </c>
      <c r="K1046">
        <v>27</v>
      </c>
      <c r="L1046">
        <v>17</v>
      </c>
      <c r="M1046">
        <v>0</v>
      </c>
      <c r="N1046">
        <v>0</v>
      </c>
      <c r="O1046" t="s">
        <v>127</v>
      </c>
      <c r="P1046" t="s">
        <v>127</v>
      </c>
      <c r="Q1046" t="s">
        <v>127</v>
      </c>
    </row>
    <row r="1047" spans="1:17" x14ac:dyDescent="0.25">
      <c r="A1047" t="str">
        <f>IF(C1047&amp;G1047&amp;D1047&lt;&gt;'Funnel setup'!$K$3&amp;'Funnel setup'!$K$4&amp;'Funnel setup'!$K$6,".",IF(A1046=".",1,A1046+1))</f>
        <v>.</v>
      </c>
      <c r="B1047" s="244" t="str">
        <f t="shared" si="16"/>
        <v>Hip Replacement PrimaryProviderTHE SHREWSBURY AND TELFORD HOSPITAL NHS TRUST (RXW)Oxford Hip Score</v>
      </c>
      <c r="C1047" t="s">
        <v>749</v>
      </c>
      <c r="D1047" t="s">
        <v>965</v>
      </c>
      <c r="E1047" t="s">
        <v>656</v>
      </c>
      <c r="F1047" t="s">
        <v>657</v>
      </c>
      <c r="G1047" t="s">
        <v>964</v>
      </c>
      <c r="H1047">
        <v>20</v>
      </c>
      <c r="I1047">
        <v>8.85</v>
      </c>
      <c r="J1047">
        <v>35.35</v>
      </c>
      <c r="K1047">
        <v>26.5</v>
      </c>
      <c r="L1047">
        <v>20</v>
      </c>
      <c r="M1047">
        <v>0</v>
      </c>
      <c r="N1047">
        <v>0</v>
      </c>
      <c r="O1047" t="s">
        <v>127</v>
      </c>
      <c r="P1047" t="s">
        <v>127</v>
      </c>
      <c r="Q1047" t="s">
        <v>127</v>
      </c>
    </row>
    <row r="1048" spans="1:17" x14ac:dyDescent="0.25">
      <c r="A1048" t="str">
        <f>IF(C1048&amp;G1048&amp;D1048&lt;&gt;'Funnel setup'!$K$3&amp;'Funnel setup'!$K$4&amp;'Funnel setup'!$K$6,".",IF(A1047=".",1,A1047+1))</f>
        <v>.</v>
      </c>
      <c r="B1048" s="244" t="str">
        <f t="shared" si="16"/>
        <v>Hip Replacement PrimaryProviderTHE YORKSHIRE CLINIC (NVC20)Oxford Hip Score</v>
      </c>
      <c r="C1048" t="s">
        <v>749</v>
      </c>
      <c r="D1048" t="s">
        <v>965</v>
      </c>
      <c r="E1048" t="s">
        <v>662</v>
      </c>
      <c r="F1048" t="s">
        <v>663</v>
      </c>
      <c r="G1048" t="s">
        <v>964</v>
      </c>
      <c r="H1048">
        <v>65</v>
      </c>
      <c r="I1048">
        <v>25.692299999999999</v>
      </c>
      <c r="J1048">
        <v>26.784600000000001</v>
      </c>
      <c r="K1048">
        <v>1.0923099999999999</v>
      </c>
      <c r="L1048">
        <v>39</v>
      </c>
      <c r="M1048">
        <v>9</v>
      </c>
      <c r="N1048">
        <v>17</v>
      </c>
      <c r="O1048">
        <v>24.394400000000001</v>
      </c>
      <c r="P1048">
        <v>7.3101099999999999</v>
      </c>
      <c r="Q1048">
        <v>3.2909099999999998</v>
      </c>
    </row>
    <row r="1049" spans="1:17" x14ac:dyDescent="0.25">
      <c r="A1049" t="str">
        <f>IF(C1049&amp;G1049&amp;D1049&lt;&gt;'Funnel setup'!$K$3&amp;'Funnel setup'!$K$4&amp;'Funnel setup'!$K$6,".",IF(A1048=".",1,A1048+1))</f>
        <v>.</v>
      </c>
      <c r="B1049" s="244" t="str">
        <f t="shared" si="16"/>
        <v>Hip Replacement PrimaryProviderTHORNBURY HOSPITAL (NT440)Oxford Hip Score</v>
      </c>
      <c r="C1049" t="s">
        <v>749</v>
      </c>
      <c r="D1049" t="s">
        <v>965</v>
      </c>
      <c r="E1049" t="s">
        <v>664</v>
      </c>
      <c r="F1049" t="s">
        <v>665</v>
      </c>
      <c r="G1049" t="s">
        <v>964</v>
      </c>
      <c r="H1049">
        <v>3</v>
      </c>
      <c r="I1049">
        <v>14.333299999999999</v>
      </c>
      <c r="J1049">
        <v>40.333300000000001</v>
      </c>
      <c r="K1049">
        <v>26</v>
      </c>
      <c r="L1049">
        <v>3</v>
      </c>
      <c r="M1049">
        <v>0</v>
      </c>
      <c r="N1049">
        <v>0</v>
      </c>
      <c r="O1049" t="s">
        <v>127</v>
      </c>
      <c r="P1049" t="s">
        <v>127</v>
      </c>
      <c r="Q1049" t="s">
        <v>127</v>
      </c>
    </row>
    <row r="1050" spans="1:17" x14ac:dyDescent="0.25">
      <c r="A1050" t="str">
        <f>IF(C1050&amp;G1050&amp;D1050&lt;&gt;'Funnel setup'!$K$3&amp;'Funnel setup'!$K$4&amp;'Funnel setup'!$K$6,".",IF(A1049=".",1,A1049+1))</f>
        <v>.</v>
      </c>
      <c r="B1050" s="244" t="str">
        <f t="shared" si="16"/>
        <v>Hip Replacement PrimaryProviderTHREE SHIRES HOSPITAL (NT441)Oxford Hip Score</v>
      </c>
      <c r="C1050" t="s">
        <v>749</v>
      </c>
      <c r="D1050" t="s">
        <v>965</v>
      </c>
      <c r="E1050" t="s">
        <v>666</v>
      </c>
      <c r="F1050" t="s">
        <v>667</v>
      </c>
      <c r="G1050" t="s">
        <v>964</v>
      </c>
      <c r="H1050">
        <v>67</v>
      </c>
      <c r="I1050">
        <v>18.4328</v>
      </c>
      <c r="J1050">
        <v>42.134300000000003</v>
      </c>
      <c r="K1050">
        <v>23.701499999999999</v>
      </c>
      <c r="L1050">
        <v>65</v>
      </c>
      <c r="M1050">
        <v>0</v>
      </c>
      <c r="N1050">
        <v>2</v>
      </c>
      <c r="O1050">
        <v>40.258000000000003</v>
      </c>
      <c r="P1050">
        <v>23.1737</v>
      </c>
      <c r="Q1050">
        <v>8.0873799999999996</v>
      </c>
    </row>
    <row r="1051" spans="1:17" x14ac:dyDescent="0.25">
      <c r="A1051" t="str">
        <f>IF(C1051&amp;G1051&amp;D1051&lt;&gt;'Funnel setup'!$K$3&amp;'Funnel setup'!$K$4&amp;'Funnel setup'!$K$6,".",IF(A1050=".",1,A1050+1))</f>
        <v>.</v>
      </c>
      <c r="B1051" s="244" t="str">
        <f t="shared" si="16"/>
        <v>Hip Replacement PrimaryProviderTORBAY AND SOUTH DEVON NHS FOUNDATION TRUST (RA9)Oxford Hip Score</v>
      </c>
      <c r="C1051" t="s">
        <v>749</v>
      </c>
      <c r="D1051" t="s">
        <v>965</v>
      </c>
      <c r="E1051" t="s">
        <v>668</v>
      </c>
      <c r="F1051" t="s">
        <v>669</v>
      </c>
      <c r="G1051" t="s">
        <v>964</v>
      </c>
      <c r="H1051">
        <v>9</v>
      </c>
      <c r="I1051">
        <v>9.6666699999999999</v>
      </c>
      <c r="J1051">
        <v>37.555599999999998</v>
      </c>
      <c r="K1051">
        <v>27.8889</v>
      </c>
      <c r="L1051">
        <v>9</v>
      </c>
      <c r="M1051">
        <v>0</v>
      </c>
      <c r="N1051">
        <v>0</v>
      </c>
      <c r="O1051" t="s">
        <v>127</v>
      </c>
      <c r="P1051" t="s">
        <v>127</v>
      </c>
      <c r="Q1051" t="s">
        <v>127</v>
      </c>
    </row>
    <row r="1052" spans="1:17" x14ac:dyDescent="0.25">
      <c r="A1052" t="str">
        <f>IF(C1052&amp;G1052&amp;D1052&lt;&gt;'Funnel setup'!$K$3&amp;'Funnel setup'!$K$4&amp;'Funnel setup'!$K$6,".",IF(A1051=".",1,A1051+1))</f>
        <v>.</v>
      </c>
      <c r="B1052" s="244" t="str">
        <f t="shared" si="16"/>
        <v>Hip Replacement PrimaryProviderUNITED LINCOLNSHIRE HOSPITALS NHS TRUST (RWD)Oxford Hip Score</v>
      </c>
      <c r="C1052" t="s">
        <v>749</v>
      </c>
      <c r="D1052" t="s">
        <v>965</v>
      </c>
      <c r="E1052" t="s">
        <v>672</v>
      </c>
      <c r="F1052" t="s">
        <v>673</v>
      </c>
      <c r="G1052" t="s">
        <v>964</v>
      </c>
      <c r="H1052">
        <v>26</v>
      </c>
      <c r="I1052">
        <v>14.384600000000001</v>
      </c>
      <c r="J1052">
        <v>37.884599999999999</v>
      </c>
      <c r="K1052">
        <v>23.5</v>
      </c>
      <c r="L1052">
        <v>25</v>
      </c>
      <c r="M1052">
        <v>1</v>
      </c>
      <c r="N1052">
        <v>0</v>
      </c>
      <c r="O1052" t="s">
        <v>127</v>
      </c>
      <c r="P1052" t="s">
        <v>127</v>
      </c>
      <c r="Q1052" t="s">
        <v>127</v>
      </c>
    </row>
    <row r="1053" spans="1:17" x14ac:dyDescent="0.25">
      <c r="A1053" t="str">
        <f>IF(C1053&amp;G1053&amp;D1053&lt;&gt;'Funnel setup'!$K$3&amp;'Funnel setup'!$K$4&amp;'Funnel setup'!$K$6,".",IF(A1052=".",1,A1052+1))</f>
        <v>.</v>
      </c>
      <c r="B1053" s="244" t="str">
        <f t="shared" si="16"/>
        <v>Hip Replacement PrimaryProviderUNIVERSITY COLLEGE LONDON HOSPITALS NHS FOUNDATION TRUST (RRV)Oxford Hip Score</v>
      </c>
      <c r="C1053" t="s">
        <v>749</v>
      </c>
      <c r="D1053" t="s">
        <v>965</v>
      </c>
      <c r="E1053" t="s">
        <v>674</v>
      </c>
      <c r="F1053" t="s">
        <v>675</v>
      </c>
      <c r="G1053" t="s">
        <v>964</v>
      </c>
      <c r="H1053">
        <v>166</v>
      </c>
      <c r="I1053">
        <v>19.674700000000001</v>
      </c>
      <c r="J1053">
        <v>40.325299999999999</v>
      </c>
      <c r="K1053">
        <v>20.650600000000001</v>
      </c>
      <c r="L1053">
        <v>160</v>
      </c>
      <c r="M1053">
        <v>0</v>
      </c>
      <c r="N1053">
        <v>6</v>
      </c>
      <c r="O1053">
        <v>40.148299999999999</v>
      </c>
      <c r="P1053">
        <v>23.064</v>
      </c>
      <c r="Q1053">
        <v>7.8692900000000003</v>
      </c>
    </row>
    <row r="1054" spans="1:17" x14ac:dyDescent="0.25">
      <c r="A1054" t="str">
        <f>IF(C1054&amp;G1054&amp;D1054&lt;&gt;'Funnel setup'!$K$3&amp;'Funnel setup'!$K$4&amp;'Funnel setup'!$K$6,".",IF(A1053=".",1,A1053+1))</f>
        <v>.</v>
      </c>
      <c r="B1054" s="244" t="str">
        <f t="shared" si="16"/>
        <v>Hip Replacement PrimaryProviderUNIVERSITY HOSPITAL SOUTHAMPTON NHS FOUNDATION TRUST (RHM)Oxford Hip Score</v>
      </c>
      <c r="C1054" t="s">
        <v>749</v>
      </c>
      <c r="D1054" t="s">
        <v>965</v>
      </c>
      <c r="E1054" t="s">
        <v>676</v>
      </c>
      <c r="F1054" t="s">
        <v>677</v>
      </c>
      <c r="G1054" t="s">
        <v>964</v>
      </c>
      <c r="H1054">
        <v>111</v>
      </c>
      <c r="I1054">
        <v>17.126100000000001</v>
      </c>
      <c r="J1054">
        <v>38.837800000000001</v>
      </c>
      <c r="K1054">
        <v>21.7117</v>
      </c>
      <c r="L1054">
        <v>107</v>
      </c>
      <c r="M1054">
        <v>0</v>
      </c>
      <c r="N1054">
        <v>4</v>
      </c>
      <c r="O1054">
        <v>39.445999999999998</v>
      </c>
      <c r="P1054">
        <v>22.361699999999999</v>
      </c>
      <c r="Q1054">
        <v>8.5980799999999995</v>
      </c>
    </row>
    <row r="1055" spans="1:17" x14ac:dyDescent="0.25">
      <c r="A1055" t="str">
        <f>IF(C1055&amp;G1055&amp;D1055&lt;&gt;'Funnel setup'!$K$3&amp;'Funnel setup'!$K$4&amp;'Funnel setup'!$K$6,".",IF(A1054=".",1,A1054+1))</f>
        <v>.</v>
      </c>
      <c r="B1055" s="244" t="str">
        <f t="shared" si="16"/>
        <v>Hip Replacement PrimaryProviderUNIVERSITY HOSPITALS BRISTOL AND WESTON NHS FOUNDATION TRUST (RA7)Oxford Hip Score</v>
      </c>
      <c r="C1055" t="s">
        <v>749</v>
      </c>
      <c r="D1055" t="s">
        <v>965</v>
      </c>
      <c r="E1055" t="s">
        <v>680</v>
      </c>
      <c r="F1055" t="s">
        <v>681</v>
      </c>
      <c r="G1055" t="s">
        <v>964</v>
      </c>
      <c r="H1055">
        <v>17</v>
      </c>
      <c r="I1055">
        <v>12.9412</v>
      </c>
      <c r="J1055">
        <v>38.176499999999997</v>
      </c>
      <c r="K1055">
        <v>25.235299999999999</v>
      </c>
      <c r="L1055">
        <v>17</v>
      </c>
      <c r="M1055">
        <v>0</v>
      </c>
      <c r="N1055">
        <v>0</v>
      </c>
      <c r="O1055" t="s">
        <v>127</v>
      </c>
      <c r="P1055" t="s">
        <v>127</v>
      </c>
      <c r="Q1055" t="s">
        <v>127</v>
      </c>
    </row>
    <row r="1056" spans="1:17" x14ac:dyDescent="0.25">
      <c r="A1056" t="str">
        <f>IF(C1056&amp;G1056&amp;D1056&lt;&gt;'Funnel setup'!$K$3&amp;'Funnel setup'!$K$4&amp;'Funnel setup'!$K$6,".",IF(A1055=".",1,A1055+1))</f>
        <v>.</v>
      </c>
      <c r="B1056" s="244" t="str">
        <f t="shared" si="16"/>
        <v>Hip Replacement PrimaryProviderUNIVERSITY HOSPITALS COVENTRY AND WARWICKSHIRE NHS TRUST (RKB)Oxford Hip Score</v>
      </c>
      <c r="C1056" t="s">
        <v>749</v>
      </c>
      <c r="D1056" t="s">
        <v>965</v>
      </c>
      <c r="E1056" t="s">
        <v>682</v>
      </c>
      <c r="F1056" t="s">
        <v>683</v>
      </c>
      <c r="G1056" t="s">
        <v>964</v>
      </c>
      <c r="H1056">
        <v>28</v>
      </c>
      <c r="I1056">
        <v>19.642900000000001</v>
      </c>
      <c r="J1056">
        <v>41.214300000000001</v>
      </c>
      <c r="K1056">
        <v>21.571400000000001</v>
      </c>
      <c r="L1056">
        <v>27</v>
      </c>
      <c r="M1056">
        <v>0</v>
      </c>
      <c r="N1056">
        <v>1</v>
      </c>
      <c r="O1056" t="s">
        <v>127</v>
      </c>
      <c r="P1056" t="s">
        <v>127</v>
      </c>
      <c r="Q1056" t="s">
        <v>127</v>
      </c>
    </row>
    <row r="1057" spans="1:17" x14ac:dyDescent="0.25">
      <c r="A1057" t="str">
        <f>IF(C1057&amp;G1057&amp;D1057&lt;&gt;'Funnel setup'!$K$3&amp;'Funnel setup'!$K$4&amp;'Funnel setup'!$K$6,".",IF(A1056=".",1,A1056+1))</f>
        <v>.</v>
      </c>
      <c r="B1057" s="244" t="str">
        <f t="shared" si="16"/>
        <v>Hip Replacement PrimaryProviderUNIVERSITY HOSPITAL DORSET NHS FUNDATION TRUST (R0D)Oxford Hip Score</v>
      </c>
      <c r="C1057" t="s">
        <v>749</v>
      </c>
      <c r="D1057" t="s">
        <v>965</v>
      </c>
      <c r="E1057" t="s">
        <v>684</v>
      </c>
      <c r="F1057" t="s">
        <v>966</v>
      </c>
      <c r="G1057" t="s">
        <v>964</v>
      </c>
      <c r="H1057">
        <v>230</v>
      </c>
      <c r="I1057">
        <v>16.917400000000001</v>
      </c>
      <c r="J1057">
        <v>39.930399999999999</v>
      </c>
      <c r="K1057">
        <v>23.013000000000002</v>
      </c>
      <c r="L1057">
        <v>226</v>
      </c>
      <c r="M1057">
        <v>0</v>
      </c>
      <c r="N1057">
        <v>4</v>
      </c>
      <c r="O1057">
        <v>39.796500000000002</v>
      </c>
      <c r="P1057">
        <v>22.712199999999999</v>
      </c>
      <c r="Q1057">
        <v>7.9881000000000002</v>
      </c>
    </row>
    <row r="1058" spans="1:17" x14ac:dyDescent="0.25">
      <c r="A1058" t="str">
        <f>IF(C1058&amp;G1058&amp;D1058&lt;&gt;'Funnel setup'!$K$3&amp;'Funnel setup'!$K$4&amp;'Funnel setup'!$K$6,".",IF(A1057=".",1,A1057+1))</f>
        <v>.</v>
      </c>
      <c r="B1058" s="244" t="str">
        <f t="shared" si="16"/>
        <v>Hip Replacement PrimaryProviderUNIVERSITY HOSPITALS OF DERBY AND BURTON NHS FOUNDATION TRUST (RTG)Oxford Hip Score</v>
      </c>
      <c r="C1058" t="s">
        <v>749</v>
      </c>
      <c r="D1058" t="s">
        <v>965</v>
      </c>
      <c r="E1058" t="s">
        <v>686</v>
      </c>
      <c r="F1058" t="s">
        <v>687</v>
      </c>
      <c r="G1058" t="s">
        <v>964</v>
      </c>
      <c r="H1058">
        <v>343</v>
      </c>
      <c r="I1058">
        <v>15.9854</v>
      </c>
      <c r="J1058">
        <v>38.4985</v>
      </c>
      <c r="K1058">
        <v>22.513100000000001</v>
      </c>
      <c r="L1058">
        <v>332</v>
      </c>
      <c r="M1058">
        <v>0</v>
      </c>
      <c r="N1058">
        <v>11</v>
      </c>
      <c r="O1058">
        <v>39.170299999999997</v>
      </c>
      <c r="P1058">
        <v>22.085999999999999</v>
      </c>
      <c r="Q1058">
        <v>8.1613699999999998</v>
      </c>
    </row>
    <row r="1059" spans="1:17" x14ac:dyDescent="0.25">
      <c r="A1059" t="str">
        <f>IF(C1059&amp;G1059&amp;D1059&lt;&gt;'Funnel setup'!$K$3&amp;'Funnel setup'!$K$4&amp;'Funnel setup'!$K$6,".",IF(A1058=".",1,A1058+1))</f>
        <v>.</v>
      </c>
      <c r="B1059" s="244" t="str">
        <f t="shared" si="16"/>
        <v>Hip Replacement PrimaryProviderUNIVERSITY HOSPITALS OF LEICESTER NHS TRUST (RWE)Oxford Hip Score</v>
      </c>
      <c r="C1059" t="s">
        <v>749</v>
      </c>
      <c r="D1059" t="s">
        <v>965</v>
      </c>
      <c r="E1059" t="s">
        <v>688</v>
      </c>
      <c r="F1059" t="s">
        <v>689</v>
      </c>
      <c r="G1059" t="s">
        <v>964</v>
      </c>
      <c r="H1059">
        <v>107</v>
      </c>
      <c r="I1059">
        <v>13.915900000000001</v>
      </c>
      <c r="J1059">
        <v>38.065399999999997</v>
      </c>
      <c r="K1059">
        <v>24.1495</v>
      </c>
      <c r="L1059">
        <v>106</v>
      </c>
      <c r="M1059">
        <v>0</v>
      </c>
      <c r="N1059">
        <v>1</v>
      </c>
      <c r="O1059">
        <v>39.6907</v>
      </c>
      <c r="P1059">
        <v>22.606400000000001</v>
      </c>
      <c r="Q1059">
        <v>8.7989700000000006</v>
      </c>
    </row>
    <row r="1060" spans="1:17" x14ac:dyDescent="0.25">
      <c r="A1060" t="str">
        <f>IF(C1060&amp;G1060&amp;D1060&lt;&gt;'Funnel setup'!$K$3&amp;'Funnel setup'!$K$4&amp;'Funnel setup'!$K$6,".",IF(A1059=".",1,A1059+1))</f>
        <v>.</v>
      </c>
      <c r="B1060" s="244" t="str">
        <f t="shared" si="16"/>
        <v>Hip Replacement PrimaryProviderUNIVERSITY HOSPITALS OF MORECAMBE BAY NHS FOUNDATION TRUST (RTX)Oxford Hip Score</v>
      </c>
      <c r="C1060" t="s">
        <v>749</v>
      </c>
      <c r="D1060" t="s">
        <v>965</v>
      </c>
      <c r="E1060" t="s">
        <v>690</v>
      </c>
      <c r="F1060" t="s">
        <v>691</v>
      </c>
      <c r="G1060" t="s">
        <v>964</v>
      </c>
      <c r="H1060">
        <v>187</v>
      </c>
      <c r="I1060">
        <v>17.208600000000001</v>
      </c>
      <c r="J1060">
        <v>40.310200000000002</v>
      </c>
      <c r="K1060">
        <v>23.101600000000001</v>
      </c>
      <c r="L1060">
        <v>185</v>
      </c>
      <c r="M1060">
        <v>1</v>
      </c>
      <c r="N1060">
        <v>1</v>
      </c>
      <c r="O1060">
        <v>40.376399999999997</v>
      </c>
      <c r="P1060">
        <v>23.292100000000001</v>
      </c>
      <c r="Q1060">
        <v>7.27128</v>
      </c>
    </row>
    <row r="1061" spans="1:17" x14ac:dyDescent="0.25">
      <c r="A1061" t="str">
        <f>IF(C1061&amp;G1061&amp;D1061&lt;&gt;'Funnel setup'!$K$3&amp;'Funnel setup'!$K$4&amp;'Funnel setup'!$K$6,".",IF(A1060=".",1,A1060+1))</f>
        <v>.</v>
      </c>
      <c r="B1061" s="244" t="str">
        <f t="shared" si="16"/>
        <v>Hip Replacement PrimaryProviderUNIVERSITY HOSPITALS OF NORTH MIDLANDS NHS TRUST (RJE)Oxford Hip Score</v>
      </c>
      <c r="C1061" t="s">
        <v>749</v>
      </c>
      <c r="D1061" t="s">
        <v>965</v>
      </c>
      <c r="E1061" t="s">
        <v>692</v>
      </c>
      <c r="F1061" t="s">
        <v>693</v>
      </c>
      <c r="G1061" t="s">
        <v>964</v>
      </c>
      <c r="H1061">
        <v>34</v>
      </c>
      <c r="I1061">
        <v>14.235300000000001</v>
      </c>
      <c r="J1061">
        <v>40.5</v>
      </c>
      <c r="K1061">
        <v>26.264700000000001</v>
      </c>
      <c r="L1061">
        <v>34</v>
      </c>
      <c r="M1061">
        <v>0</v>
      </c>
      <c r="N1061">
        <v>0</v>
      </c>
      <c r="O1061">
        <v>41.864600000000003</v>
      </c>
      <c r="P1061">
        <v>24.7803</v>
      </c>
      <c r="Q1061">
        <v>5.9536899999999999</v>
      </c>
    </row>
    <row r="1062" spans="1:17" x14ac:dyDescent="0.25">
      <c r="A1062" t="str">
        <f>IF(C1062&amp;G1062&amp;D1062&lt;&gt;'Funnel setup'!$K$3&amp;'Funnel setup'!$K$4&amp;'Funnel setup'!$K$6,".",IF(A1061=".",1,A1061+1))</f>
        <v>.</v>
      </c>
      <c r="B1062" s="244" t="str">
        <f t="shared" si="16"/>
        <v>Hip Replacement PrimaryProviderUNIVERSITY HOSPITALS PLYMOUTH NHS TRUST (RK9)Oxford Hip Score</v>
      </c>
      <c r="C1062" t="s">
        <v>749</v>
      </c>
      <c r="D1062" t="s">
        <v>965</v>
      </c>
      <c r="E1062" t="s">
        <v>694</v>
      </c>
      <c r="F1062" t="s">
        <v>695</v>
      </c>
      <c r="G1062" t="s">
        <v>964</v>
      </c>
      <c r="H1062">
        <v>5</v>
      </c>
      <c r="I1062">
        <v>9.6</v>
      </c>
      <c r="J1062">
        <v>40.200000000000003</v>
      </c>
      <c r="K1062">
        <v>30.6</v>
      </c>
      <c r="L1062">
        <v>5</v>
      </c>
      <c r="M1062">
        <v>0</v>
      </c>
      <c r="N1062">
        <v>0</v>
      </c>
      <c r="O1062" t="s">
        <v>127</v>
      </c>
      <c r="P1062" t="s">
        <v>127</v>
      </c>
      <c r="Q1062" t="s">
        <v>127</v>
      </c>
    </row>
    <row r="1063" spans="1:17" x14ac:dyDescent="0.25">
      <c r="A1063" t="str">
        <f>IF(C1063&amp;G1063&amp;D1063&lt;&gt;'Funnel setup'!$K$3&amp;'Funnel setup'!$K$4&amp;'Funnel setup'!$K$6,".",IF(A1062=".",1,A1062+1))</f>
        <v>.</v>
      </c>
      <c r="B1063" s="244" t="str">
        <f t="shared" si="16"/>
        <v>Hip Replacement PrimaryProviderUNIVERSITY HOSPITALS SUSSEX NHS FOUNDATION TRUST (RYR)Oxford Hip Score</v>
      </c>
      <c r="C1063" t="s">
        <v>749</v>
      </c>
      <c r="D1063" t="s">
        <v>965</v>
      </c>
      <c r="E1063" t="s">
        <v>696</v>
      </c>
      <c r="F1063" t="s">
        <v>697</v>
      </c>
      <c r="G1063" t="s">
        <v>964</v>
      </c>
      <c r="H1063">
        <v>137</v>
      </c>
      <c r="I1063">
        <v>15.4672</v>
      </c>
      <c r="J1063">
        <v>36.2774</v>
      </c>
      <c r="K1063">
        <v>20.810199999999998</v>
      </c>
      <c r="L1063">
        <v>132</v>
      </c>
      <c r="M1063">
        <v>0</v>
      </c>
      <c r="N1063">
        <v>5</v>
      </c>
      <c r="O1063">
        <v>37.122799999999998</v>
      </c>
      <c r="P1063">
        <v>20.038499999999999</v>
      </c>
      <c r="Q1063">
        <v>9.6628799999999995</v>
      </c>
    </row>
    <row r="1064" spans="1:17" x14ac:dyDescent="0.25">
      <c r="A1064" t="str">
        <f>IF(C1064&amp;G1064&amp;D1064&lt;&gt;'Funnel setup'!$K$3&amp;'Funnel setup'!$K$4&amp;'Funnel setup'!$K$6,".",IF(A1063=".",1,A1063+1))</f>
        <v>.</v>
      </c>
      <c r="B1064" s="244" t="str">
        <f t="shared" si="16"/>
        <v>Hip Replacement PrimaryProviderWALSALL HEALTHCARE NHS TRUST (RBK)Oxford Hip Score</v>
      </c>
      <c r="C1064" t="s">
        <v>749</v>
      </c>
      <c r="D1064" t="s">
        <v>965</v>
      </c>
      <c r="E1064" t="s">
        <v>698</v>
      </c>
      <c r="F1064" t="s">
        <v>699</v>
      </c>
      <c r="G1064" t="s">
        <v>964</v>
      </c>
      <c r="H1064">
        <v>14</v>
      </c>
      <c r="I1064">
        <v>15.857100000000001</v>
      </c>
      <c r="J1064">
        <v>34.5</v>
      </c>
      <c r="K1064">
        <v>18.642900000000001</v>
      </c>
      <c r="L1064">
        <v>12</v>
      </c>
      <c r="M1064">
        <v>1</v>
      </c>
      <c r="N1064">
        <v>1</v>
      </c>
      <c r="O1064" t="s">
        <v>127</v>
      </c>
      <c r="P1064" t="s">
        <v>127</v>
      </c>
      <c r="Q1064" t="s">
        <v>127</v>
      </c>
    </row>
    <row r="1065" spans="1:17" x14ac:dyDescent="0.25">
      <c r="A1065" t="str">
        <f>IF(C1065&amp;G1065&amp;D1065&lt;&gt;'Funnel setup'!$K$3&amp;'Funnel setup'!$K$4&amp;'Funnel setup'!$K$6,".",IF(A1064=".",1,A1064+1))</f>
        <v>.</v>
      </c>
      <c r="B1065" s="244" t="str">
        <f t="shared" si="16"/>
        <v>Hip Replacement PrimaryProviderWARRINGTON AND HALTON TEACHING HOSPITALS NHS FOUNDATION TRUST (RWW)Oxford Hip Score</v>
      </c>
      <c r="C1065" t="s">
        <v>749</v>
      </c>
      <c r="D1065" t="s">
        <v>965</v>
      </c>
      <c r="E1065" t="s">
        <v>700</v>
      </c>
      <c r="F1065" t="s">
        <v>701</v>
      </c>
      <c r="G1065" t="s">
        <v>964</v>
      </c>
      <c r="H1065">
        <v>33</v>
      </c>
      <c r="I1065">
        <v>15.939399999999999</v>
      </c>
      <c r="J1065">
        <v>38.666699999999999</v>
      </c>
      <c r="K1065">
        <v>22.7273</v>
      </c>
      <c r="L1065">
        <v>32</v>
      </c>
      <c r="M1065">
        <v>0</v>
      </c>
      <c r="N1065">
        <v>1</v>
      </c>
      <c r="O1065">
        <v>39.639299999999999</v>
      </c>
      <c r="P1065">
        <v>22.555</v>
      </c>
      <c r="Q1065">
        <v>7.7619199999999999</v>
      </c>
    </row>
    <row r="1066" spans="1:17" x14ac:dyDescent="0.25">
      <c r="A1066" t="str">
        <f>IF(C1066&amp;G1066&amp;D1066&lt;&gt;'Funnel setup'!$K$3&amp;'Funnel setup'!$K$4&amp;'Funnel setup'!$K$6,".",IF(A1065=".",1,A1065+1))</f>
        <v>.</v>
      </c>
      <c r="B1066" s="244" t="str">
        <f t="shared" si="16"/>
        <v>Hip Replacement PrimaryProviderWEST HERTFORDSHIRE TEACHING HOSPITALS NHS TRUST (RWG)Oxford Hip Score</v>
      </c>
      <c r="C1066" t="s">
        <v>749</v>
      </c>
      <c r="D1066" t="s">
        <v>965</v>
      </c>
      <c r="E1066" t="s">
        <v>702</v>
      </c>
      <c r="F1066" t="s">
        <v>703</v>
      </c>
      <c r="G1066" t="s">
        <v>964</v>
      </c>
      <c r="H1066">
        <v>92</v>
      </c>
      <c r="I1066">
        <v>17.782599999999999</v>
      </c>
      <c r="J1066">
        <v>39.945700000000002</v>
      </c>
      <c r="K1066">
        <v>22.163</v>
      </c>
      <c r="L1066">
        <v>87</v>
      </c>
      <c r="M1066">
        <v>1</v>
      </c>
      <c r="N1066">
        <v>4</v>
      </c>
      <c r="O1066">
        <v>39.704799999999999</v>
      </c>
      <c r="P1066">
        <v>22.6205</v>
      </c>
      <c r="Q1066">
        <v>9.0509500000000003</v>
      </c>
    </row>
    <row r="1067" spans="1:17" x14ac:dyDescent="0.25">
      <c r="A1067" t="str">
        <f>IF(C1067&amp;G1067&amp;D1067&lt;&gt;'Funnel setup'!$K$3&amp;'Funnel setup'!$K$4&amp;'Funnel setup'!$K$6,".",IF(A1066=".",1,A1066+1))</f>
        <v>.</v>
      </c>
      <c r="B1067" s="244" t="str">
        <f t="shared" si="16"/>
        <v>Hip Replacement PrimaryProviderWEST MIDLANDS HOSPITAL (NVC21)Oxford Hip Score</v>
      </c>
      <c r="C1067" t="s">
        <v>749</v>
      </c>
      <c r="D1067" t="s">
        <v>965</v>
      </c>
      <c r="E1067" t="s">
        <v>704</v>
      </c>
      <c r="F1067" t="s">
        <v>705</v>
      </c>
      <c r="G1067" t="s">
        <v>964</v>
      </c>
      <c r="H1067">
        <v>85</v>
      </c>
      <c r="I1067">
        <v>17.423500000000001</v>
      </c>
      <c r="J1067">
        <v>40.6706</v>
      </c>
      <c r="K1067">
        <v>23.2471</v>
      </c>
      <c r="L1067">
        <v>84</v>
      </c>
      <c r="M1067">
        <v>0</v>
      </c>
      <c r="N1067">
        <v>1</v>
      </c>
      <c r="O1067">
        <v>40.671100000000003</v>
      </c>
      <c r="P1067">
        <v>23.5868</v>
      </c>
      <c r="Q1067">
        <v>6.6974299999999998</v>
      </c>
    </row>
    <row r="1068" spans="1:17" x14ac:dyDescent="0.25">
      <c r="A1068" t="str">
        <f>IF(C1068&amp;G1068&amp;D1068&lt;&gt;'Funnel setup'!$K$3&amp;'Funnel setup'!$K$4&amp;'Funnel setup'!$K$6,".",IF(A1067=".",1,A1067+1))</f>
        <v>.</v>
      </c>
      <c r="B1068" s="244" t="str">
        <f t="shared" si="16"/>
        <v>Hip Replacement PrimaryProviderWEST SUFFOLK NHS FOUNDATION TRUST (RGR)Oxford Hip Score</v>
      </c>
      <c r="C1068" t="s">
        <v>749</v>
      </c>
      <c r="D1068" t="s">
        <v>965</v>
      </c>
      <c r="E1068" t="s">
        <v>706</v>
      </c>
      <c r="F1068" t="s">
        <v>707</v>
      </c>
      <c r="G1068" t="s">
        <v>964</v>
      </c>
      <c r="H1068">
        <v>111</v>
      </c>
      <c r="I1068">
        <v>14.4414</v>
      </c>
      <c r="J1068">
        <v>37.585599999999999</v>
      </c>
      <c r="K1068">
        <v>23.144100000000002</v>
      </c>
      <c r="L1068">
        <v>106</v>
      </c>
      <c r="M1068">
        <v>1</v>
      </c>
      <c r="N1068">
        <v>4</v>
      </c>
      <c r="O1068">
        <v>37.914999999999999</v>
      </c>
      <c r="P1068">
        <v>20.8307</v>
      </c>
      <c r="Q1068">
        <v>9.7165199999999992</v>
      </c>
    </row>
    <row r="1069" spans="1:17" x14ac:dyDescent="0.25">
      <c r="A1069" t="str">
        <f>IF(C1069&amp;G1069&amp;D1069&lt;&gt;'Funnel setup'!$K$3&amp;'Funnel setup'!$K$4&amp;'Funnel setup'!$K$6,".",IF(A1068=".",1,A1068+1))</f>
        <v>.</v>
      </c>
      <c r="B1069" s="244" t="str">
        <f t="shared" si="16"/>
        <v>Hip Replacement PrimaryProviderWINFIELD HOSPITAL (NVC22)Oxford Hip Score</v>
      </c>
      <c r="C1069" t="s">
        <v>749</v>
      </c>
      <c r="D1069" t="s">
        <v>965</v>
      </c>
      <c r="E1069" t="s">
        <v>710</v>
      </c>
      <c r="F1069" t="s">
        <v>711</v>
      </c>
      <c r="G1069" t="s">
        <v>964</v>
      </c>
      <c r="H1069">
        <v>49</v>
      </c>
      <c r="I1069">
        <v>16.510200000000001</v>
      </c>
      <c r="J1069">
        <v>41</v>
      </c>
      <c r="K1069">
        <v>24.489799999999999</v>
      </c>
      <c r="L1069">
        <v>49</v>
      </c>
      <c r="M1069">
        <v>0</v>
      </c>
      <c r="N1069">
        <v>0</v>
      </c>
      <c r="O1069">
        <v>40.577100000000002</v>
      </c>
      <c r="P1069">
        <v>23.492799999999999</v>
      </c>
      <c r="Q1069">
        <v>7.8226199999999997</v>
      </c>
    </row>
    <row r="1070" spans="1:17" x14ac:dyDescent="0.25">
      <c r="A1070" t="str">
        <f>IF(C1070&amp;G1070&amp;D1070&lt;&gt;'Funnel setup'!$K$3&amp;'Funnel setup'!$K$4&amp;'Funnel setup'!$K$6,".",IF(A1069=".",1,A1069+1))</f>
        <v>.</v>
      </c>
      <c r="B1070" s="244" t="str">
        <f t="shared" si="16"/>
        <v>Hip Replacement PrimaryProviderWINTERBOURNE HOSPITAL (NT443)Oxford Hip Score</v>
      </c>
      <c r="C1070" t="s">
        <v>749</v>
      </c>
      <c r="D1070" t="s">
        <v>965</v>
      </c>
      <c r="E1070" t="s">
        <v>712</v>
      </c>
      <c r="F1070" t="s">
        <v>713</v>
      </c>
      <c r="G1070" t="s">
        <v>964</v>
      </c>
      <c r="H1070">
        <v>53</v>
      </c>
      <c r="I1070">
        <v>21.434000000000001</v>
      </c>
      <c r="J1070">
        <v>43.169800000000002</v>
      </c>
      <c r="K1070">
        <v>21.735800000000001</v>
      </c>
      <c r="L1070">
        <v>53</v>
      </c>
      <c r="M1070">
        <v>0</v>
      </c>
      <c r="N1070">
        <v>0</v>
      </c>
      <c r="O1070">
        <v>41.234200000000001</v>
      </c>
      <c r="P1070">
        <v>24.15</v>
      </c>
      <c r="Q1070">
        <v>6.8892499999999997</v>
      </c>
    </row>
    <row r="1071" spans="1:17" x14ac:dyDescent="0.25">
      <c r="A1071" t="str">
        <f>IF(C1071&amp;G1071&amp;D1071&lt;&gt;'Funnel setup'!$K$3&amp;'Funnel setup'!$K$4&amp;'Funnel setup'!$K$6,".",IF(A1070=".",1,A1070+1))</f>
        <v>.</v>
      </c>
      <c r="B1071" s="244" t="str">
        <f t="shared" si="16"/>
        <v>Hip Replacement PrimaryProviderWIRRAL UNIVERSITY TEACHING HOSPITAL NHS FOUNDATION TRUST (RBL)Oxford Hip Score</v>
      </c>
      <c r="C1071" t="s">
        <v>749</v>
      </c>
      <c r="D1071" t="s">
        <v>965</v>
      </c>
      <c r="E1071" t="s">
        <v>714</v>
      </c>
      <c r="F1071" t="s">
        <v>715</v>
      </c>
      <c r="G1071" t="s">
        <v>964</v>
      </c>
      <c r="H1071">
        <v>110</v>
      </c>
      <c r="I1071">
        <v>15.9727</v>
      </c>
      <c r="J1071">
        <v>37.836399999999998</v>
      </c>
      <c r="K1071">
        <v>21.863600000000002</v>
      </c>
      <c r="L1071">
        <v>108</v>
      </c>
      <c r="M1071">
        <v>0</v>
      </c>
      <c r="N1071">
        <v>2</v>
      </c>
      <c r="O1071">
        <v>38.241300000000003</v>
      </c>
      <c r="P1071">
        <v>21.157</v>
      </c>
      <c r="Q1071">
        <v>8.2072800000000008</v>
      </c>
    </row>
    <row r="1072" spans="1:17" x14ac:dyDescent="0.25">
      <c r="A1072" t="str">
        <f>IF(C1072&amp;G1072&amp;D1072&lt;&gt;'Funnel setup'!$K$3&amp;'Funnel setup'!$K$4&amp;'Funnel setup'!$K$6,".",IF(A1071=".",1,A1071+1))</f>
        <v>.</v>
      </c>
      <c r="B1072" s="244" t="str">
        <f t="shared" si="16"/>
        <v>Hip Replacement PrimaryProviderWOODLAND HOSPITAL (NVC23)Oxford Hip Score</v>
      </c>
      <c r="C1072" t="s">
        <v>749</v>
      </c>
      <c r="D1072" t="s">
        <v>965</v>
      </c>
      <c r="E1072" t="s">
        <v>716</v>
      </c>
      <c r="F1072" t="s">
        <v>717</v>
      </c>
      <c r="G1072" t="s">
        <v>964</v>
      </c>
      <c r="H1072">
        <v>85</v>
      </c>
      <c r="I1072">
        <v>15.4588</v>
      </c>
      <c r="J1072">
        <v>36.847099999999998</v>
      </c>
      <c r="K1072">
        <v>21.388200000000001</v>
      </c>
      <c r="L1072">
        <v>81</v>
      </c>
      <c r="M1072">
        <v>0</v>
      </c>
      <c r="N1072">
        <v>4</v>
      </c>
      <c r="O1072">
        <v>36.5565</v>
      </c>
      <c r="P1072">
        <v>19.472200000000001</v>
      </c>
      <c r="Q1072">
        <v>8.7586300000000001</v>
      </c>
    </row>
    <row r="1073" spans="1:17" x14ac:dyDescent="0.25">
      <c r="A1073" t="str">
        <f>IF(C1073&amp;G1073&amp;D1073&lt;&gt;'Funnel setup'!$K$3&amp;'Funnel setup'!$K$4&amp;'Funnel setup'!$K$6,".",IF(A1072=".",1,A1072+1))</f>
        <v>.</v>
      </c>
      <c r="B1073" s="244" t="str">
        <f t="shared" si="16"/>
        <v>Hip Replacement PrimaryProviderWOODLANDS HOSPITAL (NT457)Oxford Hip Score</v>
      </c>
      <c r="C1073" t="s">
        <v>749</v>
      </c>
      <c r="D1073" t="s">
        <v>965</v>
      </c>
      <c r="E1073" t="s">
        <v>718</v>
      </c>
      <c r="F1073" t="s">
        <v>719</v>
      </c>
      <c r="G1073" t="s">
        <v>964</v>
      </c>
      <c r="H1073">
        <v>74</v>
      </c>
      <c r="I1073">
        <v>20.972999999999999</v>
      </c>
      <c r="J1073">
        <v>42.445900000000002</v>
      </c>
      <c r="K1073">
        <v>21.472999999999999</v>
      </c>
      <c r="L1073">
        <v>71</v>
      </c>
      <c r="M1073">
        <v>1</v>
      </c>
      <c r="N1073">
        <v>2</v>
      </c>
      <c r="O1073">
        <v>39.929000000000002</v>
      </c>
      <c r="P1073">
        <v>22.8447</v>
      </c>
      <c r="Q1073">
        <v>7.0077999999999996</v>
      </c>
    </row>
    <row r="1074" spans="1:17" x14ac:dyDescent="0.25">
      <c r="A1074" t="str">
        <f>IF(C1074&amp;G1074&amp;D1074&lt;&gt;'Funnel setup'!$K$3&amp;'Funnel setup'!$K$4&amp;'Funnel setup'!$K$6,".",IF(A1073=".",1,A1073+1))</f>
        <v>.</v>
      </c>
      <c r="B1074" s="244" t="str">
        <f t="shared" si="16"/>
        <v>Hip Replacement PrimaryProviderWOODTHORPE HOSPITAL (NVC40)Oxford Hip Score</v>
      </c>
      <c r="C1074" t="s">
        <v>749</v>
      </c>
      <c r="D1074" t="s">
        <v>965</v>
      </c>
      <c r="E1074" t="s">
        <v>720</v>
      </c>
      <c r="F1074" t="s">
        <v>721</v>
      </c>
      <c r="G1074" t="s">
        <v>964</v>
      </c>
      <c r="H1074">
        <v>98</v>
      </c>
      <c r="I1074">
        <v>16.275500000000001</v>
      </c>
      <c r="J1074">
        <v>38.887799999999999</v>
      </c>
      <c r="K1074">
        <v>22.612200000000001</v>
      </c>
      <c r="L1074">
        <v>95</v>
      </c>
      <c r="M1074">
        <v>1</v>
      </c>
      <c r="N1074">
        <v>2</v>
      </c>
      <c r="O1074">
        <v>38.531799999999997</v>
      </c>
      <c r="P1074">
        <v>21.447500000000002</v>
      </c>
      <c r="Q1074">
        <v>8.4650499999999997</v>
      </c>
    </row>
    <row r="1075" spans="1:17" x14ac:dyDescent="0.25">
      <c r="A1075" t="str">
        <f>IF(C1075&amp;G1075&amp;D1075&lt;&gt;'Funnel setup'!$K$3&amp;'Funnel setup'!$K$4&amp;'Funnel setup'!$K$6,".",IF(A1074=".",1,A1074+1))</f>
        <v>.</v>
      </c>
      <c r="B1075" s="244" t="str">
        <f t="shared" si="16"/>
        <v>Hip Replacement PrimaryProviderWORCESTERSHIRE ACUTE HOSPITALS NHS TRUST (RWP)Oxford Hip Score</v>
      </c>
      <c r="C1075" t="s">
        <v>749</v>
      </c>
      <c r="D1075" t="s">
        <v>965</v>
      </c>
      <c r="E1075" t="s">
        <v>722</v>
      </c>
      <c r="F1075" t="s">
        <v>723</v>
      </c>
      <c r="G1075" t="s">
        <v>964</v>
      </c>
      <c r="H1075">
        <v>58</v>
      </c>
      <c r="I1075">
        <v>13.379300000000001</v>
      </c>
      <c r="J1075">
        <v>36.310299999999998</v>
      </c>
      <c r="K1075">
        <v>22.931000000000001</v>
      </c>
      <c r="L1075">
        <v>56</v>
      </c>
      <c r="M1075">
        <v>1</v>
      </c>
      <c r="N1075">
        <v>1</v>
      </c>
      <c r="O1075">
        <v>38.470999999999997</v>
      </c>
      <c r="P1075">
        <v>21.386700000000001</v>
      </c>
      <c r="Q1075">
        <v>8.5450099999999996</v>
      </c>
    </row>
    <row r="1076" spans="1:17" x14ac:dyDescent="0.25">
      <c r="A1076" t="str">
        <f>IF(C1076&amp;G1076&amp;D1076&lt;&gt;'Funnel setup'!$K$3&amp;'Funnel setup'!$K$4&amp;'Funnel setup'!$K$6,".",IF(A1075=".",1,A1075+1))</f>
        <v>.</v>
      </c>
      <c r="B1076" s="244" t="str">
        <f t="shared" si="16"/>
        <v>Hip Replacement PrimaryProviderWRIGHTINGTON, WIGAN AND LEIGH NHS FOUNDATION TRUST (RRF)Oxford Hip Score</v>
      </c>
      <c r="C1076" t="s">
        <v>749</v>
      </c>
      <c r="D1076" t="s">
        <v>965</v>
      </c>
      <c r="E1076" t="s">
        <v>724</v>
      </c>
      <c r="F1076" t="s">
        <v>725</v>
      </c>
      <c r="G1076" t="s">
        <v>964</v>
      </c>
      <c r="H1076">
        <v>17</v>
      </c>
      <c r="I1076">
        <v>13.764699999999999</v>
      </c>
      <c r="J1076">
        <v>42.117600000000003</v>
      </c>
      <c r="K1076">
        <v>28.352900000000002</v>
      </c>
      <c r="L1076">
        <v>17</v>
      </c>
      <c r="M1076">
        <v>0</v>
      </c>
      <c r="N1076">
        <v>0</v>
      </c>
      <c r="O1076" t="s">
        <v>127</v>
      </c>
      <c r="P1076" t="s">
        <v>127</v>
      </c>
      <c r="Q1076" t="s">
        <v>127</v>
      </c>
    </row>
    <row r="1077" spans="1:17" x14ac:dyDescent="0.25">
      <c r="A1077" t="str">
        <f>IF(C1077&amp;G1077&amp;D1077&lt;&gt;'Funnel setup'!$K$3&amp;'Funnel setup'!$K$4&amp;'Funnel setup'!$K$6,".",IF(A1076=".",1,A1076+1))</f>
        <v>.</v>
      </c>
      <c r="B1077" s="244" t="str">
        <f t="shared" si="16"/>
        <v>Hip Replacement PrimaryProviderWYE VALLEY NHS TRUST (RLQ)Oxford Hip Score</v>
      </c>
      <c r="C1077" t="s">
        <v>749</v>
      </c>
      <c r="D1077" t="s">
        <v>965</v>
      </c>
      <c r="E1077" t="s">
        <v>726</v>
      </c>
      <c r="F1077" t="s">
        <v>727</v>
      </c>
      <c r="G1077" t="s">
        <v>964</v>
      </c>
      <c r="H1077">
        <v>23</v>
      </c>
      <c r="I1077">
        <v>14.347799999999999</v>
      </c>
      <c r="J1077">
        <v>40.173900000000003</v>
      </c>
      <c r="K1077">
        <v>25.8261</v>
      </c>
      <c r="L1077">
        <v>23</v>
      </c>
      <c r="M1077">
        <v>0</v>
      </c>
      <c r="N1077">
        <v>0</v>
      </c>
      <c r="O1077" t="s">
        <v>127</v>
      </c>
      <c r="P1077" t="s">
        <v>127</v>
      </c>
      <c r="Q1077" t="s">
        <v>127</v>
      </c>
    </row>
    <row r="1078" spans="1:17" x14ac:dyDescent="0.25">
      <c r="A1078" t="str">
        <f>IF(C1078&amp;G1078&amp;D1078&lt;&gt;'Funnel setup'!$K$3&amp;'Funnel setup'!$K$4&amp;'Funnel setup'!$K$6,".",IF(A1077=".",1,A1077+1))</f>
        <v>.</v>
      </c>
      <c r="B1078" s="244" t="str">
        <f t="shared" si="16"/>
        <v>Hip Replacement PrimaryProviderYORK AND SCARBOROUGH TEACHING HOSPITALS NHS FOUNDATION TRUST (RCB)Oxford Hip Score</v>
      </c>
      <c r="C1078" t="s">
        <v>749</v>
      </c>
      <c r="D1078" t="s">
        <v>965</v>
      </c>
      <c r="E1078" t="s">
        <v>730</v>
      </c>
      <c r="F1078" t="s">
        <v>731</v>
      </c>
      <c r="G1078" t="s">
        <v>964</v>
      </c>
      <c r="H1078">
        <v>1</v>
      </c>
      <c r="I1078">
        <v>10</v>
      </c>
      <c r="J1078">
        <v>37</v>
      </c>
      <c r="K1078">
        <v>27</v>
      </c>
      <c r="L1078">
        <v>1</v>
      </c>
      <c r="M1078">
        <v>0</v>
      </c>
      <c r="N1078">
        <v>0</v>
      </c>
      <c r="O1078" t="s">
        <v>127</v>
      </c>
      <c r="P1078" t="s">
        <v>127</v>
      </c>
      <c r="Q1078" t="s">
        <v>127</v>
      </c>
    </row>
    <row r="1079" spans="1:17" x14ac:dyDescent="0.25">
      <c r="A1079" t="str">
        <f>IF(C1079&amp;G1079&amp;D1079&lt;&gt;'Funnel setup'!$K$3&amp;'Funnel setup'!$K$4&amp;'Funnel setup'!$K$6,".",IF(A1078=".",1,A1078+1))</f>
        <v>.</v>
      </c>
      <c r="B1079" s="244" t="str">
        <f t="shared" si="16"/>
        <v>Hip Replacement RevisionSub-ICB of GP PracticeNHS BATH AND NORTH EAST SOMERSET, SWINDON AND WILTSHIRE ICB - 92G (92G)EQ VAS</v>
      </c>
      <c r="C1079" t="s">
        <v>967</v>
      </c>
      <c r="D1079" t="s">
        <v>1021</v>
      </c>
      <c r="E1079" t="s">
        <v>750</v>
      </c>
      <c r="F1079" t="s">
        <v>751</v>
      </c>
      <c r="G1079" t="s">
        <v>752</v>
      </c>
      <c r="H1079">
        <v>7</v>
      </c>
      <c r="I1079">
        <v>75.142899999999997</v>
      </c>
      <c r="J1079">
        <v>66.857100000000003</v>
      </c>
      <c r="K1079">
        <v>-8.2857099999999999</v>
      </c>
      <c r="L1079">
        <v>4</v>
      </c>
      <c r="M1079">
        <v>1</v>
      </c>
      <c r="N1079">
        <v>2</v>
      </c>
      <c r="O1079" t="s">
        <v>127</v>
      </c>
      <c r="P1079" t="s">
        <v>127</v>
      </c>
      <c r="Q1079" t="s">
        <v>127</v>
      </c>
    </row>
    <row r="1080" spans="1:17" x14ac:dyDescent="0.25">
      <c r="A1080" t="str">
        <f>IF(C1080&amp;G1080&amp;D1080&lt;&gt;'Funnel setup'!$K$3&amp;'Funnel setup'!$K$4&amp;'Funnel setup'!$K$6,".",IF(A1079=".",1,A1079+1))</f>
        <v>.</v>
      </c>
      <c r="B1080" s="244" t="str">
        <f t="shared" si="16"/>
        <v>Hip Replacement RevisionSub-ICB of GP PracticeNHS BEDFORDSHIRE, LUTON AND MILTON KEYNES ICB - M1J4Y (M1J4Y)EQ VAS</v>
      </c>
      <c r="C1080" t="s">
        <v>967</v>
      </c>
      <c r="D1080" t="s">
        <v>1021</v>
      </c>
      <c r="E1080" t="s">
        <v>753</v>
      </c>
      <c r="F1080" t="s">
        <v>754</v>
      </c>
      <c r="G1080" t="s">
        <v>752</v>
      </c>
      <c r="H1080">
        <v>7</v>
      </c>
      <c r="I1080">
        <v>63.571399999999997</v>
      </c>
      <c r="J1080">
        <v>57.142899999999997</v>
      </c>
      <c r="K1080">
        <v>-6.4285699999999997</v>
      </c>
      <c r="L1080">
        <v>2</v>
      </c>
      <c r="M1080">
        <v>0</v>
      </c>
      <c r="N1080">
        <v>5</v>
      </c>
      <c r="O1080" t="s">
        <v>127</v>
      </c>
      <c r="P1080" t="s">
        <v>127</v>
      </c>
      <c r="Q1080" t="s">
        <v>127</v>
      </c>
    </row>
    <row r="1081" spans="1:17" x14ac:dyDescent="0.25">
      <c r="A1081" t="str">
        <f>IF(C1081&amp;G1081&amp;D1081&lt;&gt;'Funnel setup'!$K$3&amp;'Funnel setup'!$K$4&amp;'Funnel setup'!$K$6,".",IF(A1080=".",1,A1080+1))</f>
        <v>.</v>
      </c>
      <c r="B1081" s="244" t="str">
        <f t="shared" si="16"/>
        <v>Hip Replacement RevisionSub-ICB of GP PracticeNHS BIRMINGHAM AND SOLIHULL ICB - 15E (15E)EQ VAS</v>
      </c>
      <c r="C1081" t="s">
        <v>967</v>
      </c>
      <c r="D1081" t="s">
        <v>1021</v>
      </c>
      <c r="E1081" t="s">
        <v>755</v>
      </c>
      <c r="F1081" t="s">
        <v>756</v>
      </c>
      <c r="G1081" t="s">
        <v>752</v>
      </c>
      <c r="H1081">
        <v>11</v>
      </c>
      <c r="I1081">
        <v>66.636399999999995</v>
      </c>
      <c r="J1081">
        <v>79.2727</v>
      </c>
      <c r="K1081">
        <v>12.6364</v>
      </c>
      <c r="L1081">
        <v>7</v>
      </c>
      <c r="M1081">
        <v>0</v>
      </c>
      <c r="N1081">
        <v>4</v>
      </c>
      <c r="O1081" t="s">
        <v>127</v>
      </c>
      <c r="P1081" t="s">
        <v>127</v>
      </c>
      <c r="Q1081" t="s">
        <v>127</v>
      </c>
    </row>
    <row r="1082" spans="1:17" x14ac:dyDescent="0.25">
      <c r="A1082" t="str">
        <f>IF(C1082&amp;G1082&amp;D1082&lt;&gt;'Funnel setup'!$K$3&amp;'Funnel setup'!$K$4&amp;'Funnel setup'!$K$6,".",IF(A1081=".",1,A1081+1))</f>
        <v>.</v>
      </c>
      <c r="B1082" s="244" t="str">
        <f t="shared" si="16"/>
        <v>Hip Replacement RevisionSub-ICB of GP PracticeNHS BLACK COUNTRY ICB - D2P2L (D2P2L)EQ VAS</v>
      </c>
      <c r="C1082" t="s">
        <v>967</v>
      </c>
      <c r="D1082" t="s">
        <v>1021</v>
      </c>
      <c r="E1082" t="s">
        <v>757</v>
      </c>
      <c r="F1082" t="s">
        <v>758</v>
      </c>
      <c r="G1082" t="s">
        <v>752</v>
      </c>
      <c r="H1082">
        <v>8</v>
      </c>
      <c r="I1082">
        <v>49.625</v>
      </c>
      <c r="J1082">
        <v>74.125</v>
      </c>
      <c r="K1082">
        <v>24.5</v>
      </c>
      <c r="L1082">
        <v>6</v>
      </c>
      <c r="M1082">
        <v>0</v>
      </c>
      <c r="N1082">
        <v>2</v>
      </c>
      <c r="O1082" t="s">
        <v>127</v>
      </c>
      <c r="P1082" t="s">
        <v>127</v>
      </c>
      <c r="Q1082" t="s">
        <v>127</v>
      </c>
    </row>
    <row r="1083" spans="1:17" x14ac:dyDescent="0.25">
      <c r="A1083" t="str">
        <f>IF(C1083&amp;G1083&amp;D1083&lt;&gt;'Funnel setup'!$K$3&amp;'Funnel setup'!$K$4&amp;'Funnel setup'!$K$6,".",IF(A1082=".",1,A1082+1))</f>
        <v>.</v>
      </c>
      <c r="B1083" s="244" t="str">
        <f t="shared" si="16"/>
        <v>Hip Replacement RevisionSub-ICB of GP PracticeNHS BRISTOL, NORTH SOMERSET AND SOUTH GLOUCESTERSHIRE ICB - 15C (15C)EQ VAS</v>
      </c>
      <c r="C1083" t="s">
        <v>967</v>
      </c>
      <c r="D1083" t="s">
        <v>1021</v>
      </c>
      <c r="E1083" t="s">
        <v>759</v>
      </c>
      <c r="F1083" t="s">
        <v>760</v>
      </c>
      <c r="G1083" t="s">
        <v>752</v>
      </c>
      <c r="H1083">
        <v>3</v>
      </c>
      <c r="I1083">
        <v>54.666699999999999</v>
      </c>
      <c r="J1083">
        <v>84</v>
      </c>
      <c r="K1083">
        <v>29.333300000000001</v>
      </c>
      <c r="L1083">
        <v>3</v>
      </c>
      <c r="M1083">
        <v>0</v>
      </c>
      <c r="N1083">
        <v>0</v>
      </c>
      <c r="O1083" t="s">
        <v>127</v>
      </c>
      <c r="P1083" t="s">
        <v>127</v>
      </c>
      <c r="Q1083" t="s">
        <v>127</v>
      </c>
    </row>
    <row r="1084" spans="1:17" x14ac:dyDescent="0.25">
      <c r="A1084" t="str">
        <f>IF(C1084&amp;G1084&amp;D1084&lt;&gt;'Funnel setup'!$K$3&amp;'Funnel setup'!$K$4&amp;'Funnel setup'!$K$6,".",IF(A1083=".",1,A1083+1))</f>
        <v>.</v>
      </c>
      <c r="B1084" s="244" t="str">
        <f t="shared" si="16"/>
        <v>Hip Replacement RevisionSub-ICB of GP PracticeNHS BUCKINGHAMSHIRE, OXFORDSHIRE AND BERKSHIRE WEST ICB - 10Q (10Q)EQ VAS</v>
      </c>
      <c r="C1084" t="s">
        <v>967</v>
      </c>
      <c r="D1084" t="s">
        <v>1021</v>
      </c>
      <c r="E1084" t="s">
        <v>761</v>
      </c>
      <c r="F1084" t="s">
        <v>762</v>
      </c>
      <c r="G1084" t="s">
        <v>752</v>
      </c>
      <c r="H1084">
        <v>14</v>
      </c>
      <c r="I1084">
        <v>65.357100000000003</v>
      </c>
      <c r="J1084">
        <v>73.071399999999997</v>
      </c>
      <c r="K1084">
        <v>7.7142900000000001</v>
      </c>
      <c r="L1084">
        <v>8</v>
      </c>
      <c r="M1084">
        <v>0</v>
      </c>
      <c r="N1084">
        <v>6</v>
      </c>
      <c r="O1084" t="s">
        <v>127</v>
      </c>
      <c r="P1084" t="s">
        <v>127</v>
      </c>
      <c r="Q1084" t="s">
        <v>127</v>
      </c>
    </row>
    <row r="1085" spans="1:17" x14ac:dyDescent="0.25">
      <c r="A1085" t="str">
        <f>IF(C1085&amp;G1085&amp;D1085&lt;&gt;'Funnel setup'!$K$3&amp;'Funnel setup'!$K$4&amp;'Funnel setup'!$K$6,".",IF(A1084=".",1,A1084+1))</f>
        <v>.</v>
      </c>
      <c r="B1085" s="244" t="str">
        <f t="shared" si="16"/>
        <v>Hip Replacement RevisionSub-ICB of GP PracticeNHS BUCKINGHAMSHIRE, OXFORDSHIRE AND BERKSHIRE WEST ICB - 14Y (14Y)EQ VAS</v>
      </c>
      <c r="C1085" t="s">
        <v>967</v>
      </c>
      <c r="D1085" t="s">
        <v>1021</v>
      </c>
      <c r="E1085" t="s">
        <v>763</v>
      </c>
      <c r="F1085" t="s">
        <v>764</v>
      </c>
      <c r="G1085" t="s">
        <v>752</v>
      </c>
      <c r="H1085">
        <v>12</v>
      </c>
      <c r="I1085">
        <v>66.166700000000006</v>
      </c>
      <c r="J1085">
        <v>72.083299999999994</v>
      </c>
      <c r="K1085">
        <v>5.9166699999999999</v>
      </c>
      <c r="L1085">
        <v>7</v>
      </c>
      <c r="M1085">
        <v>0</v>
      </c>
      <c r="N1085">
        <v>5</v>
      </c>
      <c r="O1085" t="s">
        <v>127</v>
      </c>
      <c r="P1085" t="s">
        <v>127</v>
      </c>
      <c r="Q1085" t="s">
        <v>127</v>
      </c>
    </row>
    <row r="1086" spans="1:17" x14ac:dyDescent="0.25">
      <c r="A1086" t="str">
        <f>IF(C1086&amp;G1086&amp;D1086&lt;&gt;'Funnel setup'!$K$3&amp;'Funnel setup'!$K$4&amp;'Funnel setup'!$K$6,".",IF(A1085=".",1,A1085+1))</f>
        <v>.</v>
      </c>
      <c r="B1086" s="244" t="str">
        <f t="shared" si="16"/>
        <v>Hip Replacement RevisionSub-ICB of GP PracticeNHS BUCKINGHAMSHIRE, OXFORDSHIRE AND BERKSHIRE WEST ICB - 15A (15A)EQ VAS</v>
      </c>
      <c r="C1086" t="s">
        <v>967</v>
      </c>
      <c r="D1086" t="s">
        <v>1021</v>
      </c>
      <c r="E1086" t="s">
        <v>765</v>
      </c>
      <c r="F1086" t="s">
        <v>766</v>
      </c>
      <c r="G1086" t="s">
        <v>752</v>
      </c>
      <c r="H1086">
        <v>5</v>
      </c>
      <c r="I1086">
        <v>56.8</v>
      </c>
      <c r="J1086">
        <v>68.2</v>
      </c>
      <c r="K1086">
        <v>11.4</v>
      </c>
      <c r="L1086">
        <v>3</v>
      </c>
      <c r="M1086">
        <v>0</v>
      </c>
      <c r="N1086">
        <v>2</v>
      </c>
      <c r="O1086" t="s">
        <v>127</v>
      </c>
      <c r="P1086" t="s">
        <v>127</v>
      </c>
      <c r="Q1086" t="s">
        <v>127</v>
      </c>
    </row>
    <row r="1087" spans="1:17" x14ac:dyDescent="0.25">
      <c r="A1087" t="str">
        <f>IF(C1087&amp;G1087&amp;D1087&lt;&gt;'Funnel setup'!$K$3&amp;'Funnel setup'!$K$4&amp;'Funnel setup'!$K$6,".",IF(A1086=".",1,A1086+1))</f>
        <v>.</v>
      </c>
      <c r="B1087" s="244" t="str">
        <f t="shared" si="16"/>
        <v>Hip Replacement RevisionSub-ICB of GP PracticeNHS CAMBRIDGESHIRE AND PETERBOROUGH ICB - 06H (06H)EQ VAS</v>
      </c>
      <c r="C1087" t="s">
        <v>967</v>
      </c>
      <c r="D1087" t="s">
        <v>1021</v>
      </c>
      <c r="E1087" t="s">
        <v>767</v>
      </c>
      <c r="F1087" t="s">
        <v>768</v>
      </c>
      <c r="G1087" t="s">
        <v>752</v>
      </c>
      <c r="H1087">
        <v>11</v>
      </c>
      <c r="I1087">
        <v>64.454499999999996</v>
      </c>
      <c r="J1087">
        <v>62</v>
      </c>
      <c r="K1087">
        <v>-2.4545499999999998</v>
      </c>
      <c r="L1087">
        <v>7</v>
      </c>
      <c r="M1087">
        <v>1</v>
      </c>
      <c r="N1087">
        <v>3</v>
      </c>
      <c r="O1087" t="s">
        <v>127</v>
      </c>
      <c r="P1087" t="s">
        <v>127</v>
      </c>
      <c r="Q1087" t="s">
        <v>127</v>
      </c>
    </row>
    <row r="1088" spans="1:17" x14ac:dyDescent="0.25">
      <c r="A1088" t="str">
        <f>IF(C1088&amp;G1088&amp;D1088&lt;&gt;'Funnel setup'!$K$3&amp;'Funnel setup'!$K$4&amp;'Funnel setup'!$K$6,".",IF(A1087=".",1,A1087+1))</f>
        <v>.</v>
      </c>
      <c r="B1088" s="244" t="str">
        <f t="shared" si="16"/>
        <v>Hip Replacement RevisionSub-ICB of GP PracticeNHS CHESHIRE AND MERSEYSIDE ICB - 01F (01F)EQ VAS</v>
      </c>
      <c r="C1088" t="s">
        <v>967</v>
      </c>
      <c r="D1088" t="s">
        <v>1021</v>
      </c>
      <c r="E1088" t="s">
        <v>769</v>
      </c>
      <c r="F1088" t="s">
        <v>770</v>
      </c>
      <c r="G1088" t="s">
        <v>752</v>
      </c>
      <c r="H1088">
        <v>2</v>
      </c>
      <c r="I1088">
        <v>72.5</v>
      </c>
      <c r="J1088">
        <v>80</v>
      </c>
      <c r="K1088">
        <v>7.5</v>
      </c>
      <c r="L1088">
        <v>2</v>
      </c>
      <c r="M1088">
        <v>0</v>
      </c>
      <c r="N1088">
        <v>0</v>
      </c>
      <c r="O1088" t="s">
        <v>127</v>
      </c>
      <c r="P1088" t="s">
        <v>127</v>
      </c>
      <c r="Q1088" t="s">
        <v>127</v>
      </c>
    </row>
    <row r="1089" spans="1:17" x14ac:dyDescent="0.25">
      <c r="A1089" t="str">
        <f>IF(C1089&amp;G1089&amp;D1089&lt;&gt;'Funnel setup'!$K$3&amp;'Funnel setup'!$K$4&amp;'Funnel setup'!$K$6,".",IF(A1088=".",1,A1088+1))</f>
        <v>.</v>
      </c>
      <c r="B1089" s="244" t="str">
        <f t="shared" si="16"/>
        <v>Hip Replacement RevisionSub-ICB of GP PracticeNHS CHESHIRE AND MERSEYSIDE ICB - 01T (01T)EQ VAS</v>
      </c>
      <c r="C1089" t="s">
        <v>967</v>
      </c>
      <c r="D1089" t="s">
        <v>1021</v>
      </c>
      <c r="E1089" t="s">
        <v>773</v>
      </c>
      <c r="F1089" t="s">
        <v>774</v>
      </c>
      <c r="G1089" t="s">
        <v>752</v>
      </c>
      <c r="H1089">
        <v>1</v>
      </c>
      <c r="I1089">
        <v>80</v>
      </c>
      <c r="J1089">
        <v>35</v>
      </c>
      <c r="K1089">
        <v>-45</v>
      </c>
      <c r="L1089">
        <v>0</v>
      </c>
      <c r="M1089">
        <v>0</v>
      </c>
      <c r="N1089">
        <v>1</v>
      </c>
      <c r="O1089" t="s">
        <v>127</v>
      </c>
      <c r="P1089" t="s">
        <v>127</v>
      </c>
      <c r="Q1089" t="s">
        <v>127</v>
      </c>
    </row>
    <row r="1090" spans="1:17" x14ac:dyDescent="0.25">
      <c r="A1090" t="str">
        <f>IF(C1090&amp;G1090&amp;D1090&lt;&gt;'Funnel setup'!$K$3&amp;'Funnel setup'!$K$4&amp;'Funnel setup'!$K$6,".",IF(A1089=".",1,A1089+1))</f>
        <v>.</v>
      </c>
      <c r="B1090" s="244" t="str">
        <f t="shared" ref="B1090:B1153" si="17">C1090&amp;D1090&amp;F1090&amp;G1090</f>
        <v>Hip Replacement RevisionSub-ICB of GP PracticeNHS CHESHIRE AND MERSEYSIDE ICB - 01V (01V)EQ VAS</v>
      </c>
      <c r="C1090" t="s">
        <v>967</v>
      </c>
      <c r="D1090" t="s">
        <v>1021</v>
      </c>
      <c r="E1090" t="s">
        <v>775</v>
      </c>
      <c r="F1090" t="s">
        <v>776</v>
      </c>
      <c r="G1090" t="s">
        <v>752</v>
      </c>
      <c r="H1090">
        <v>1</v>
      </c>
      <c r="I1090">
        <v>50</v>
      </c>
      <c r="J1090">
        <v>50</v>
      </c>
      <c r="K1090">
        <v>0</v>
      </c>
      <c r="L1090">
        <v>0</v>
      </c>
      <c r="M1090">
        <v>1</v>
      </c>
      <c r="N1090">
        <v>0</v>
      </c>
      <c r="O1090" t="s">
        <v>127</v>
      </c>
      <c r="P1090" t="s">
        <v>127</v>
      </c>
      <c r="Q1090" t="s">
        <v>127</v>
      </c>
    </row>
    <row r="1091" spans="1:17" x14ac:dyDescent="0.25">
      <c r="A1091" t="str">
        <f>IF(C1091&amp;G1091&amp;D1091&lt;&gt;'Funnel setup'!$K$3&amp;'Funnel setup'!$K$4&amp;'Funnel setup'!$K$6,".",IF(A1090=".",1,A1090+1))</f>
        <v>.</v>
      </c>
      <c r="B1091" s="244" t="str">
        <f t="shared" si="17"/>
        <v>Hip Replacement RevisionSub-ICB of GP PracticeNHS CHESHIRE AND MERSEYSIDE ICB - 01X (01X)EQ VAS</v>
      </c>
      <c r="C1091" t="s">
        <v>967</v>
      </c>
      <c r="D1091" t="s">
        <v>1021</v>
      </c>
      <c r="E1091" t="s">
        <v>777</v>
      </c>
      <c r="F1091" t="s">
        <v>778</v>
      </c>
      <c r="G1091" t="s">
        <v>752</v>
      </c>
      <c r="H1091">
        <v>2</v>
      </c>
      <c r="I1091">
        <v>80</v>
      </c>
      <c r="J1091">
        <v>62.5</v>
      </c>
      <c r="K1091">
        <v>-17.5</v>
      </c>
      <c r="L1091">
        <v>0</v>
      </c>
      <c r="M1091">
        <v>0</v>
      </c>
      <c r="N1091">
        <v>2</v>
      </c>
      <c r="O1091" t="s">
        <v>127</v>
      </c>
      <c r="P1091" t="s">
        <v>127</v>
      </c>
      <c r="Q1091" t="s">
        <v>127</v>
      </c>
    </row>
    <row r="1092" spans="1:17" x14ac:dyDescent="0.25">
      <c r="A1092" t="str">
        <f>IF(C1092&amp;G1092&amp;D1092&lt;&gt;'Funnel setup'!$K$3&amp;'Funnel setup'!$K$4&amp;'Funnel setup'!$K$6,".",IF(A1091=".",1,A1091+1))</f>
        <v>.</v>
      </c>
      <c r="B1092" s="244" t="str">
        <f t="shared" si="17"/>
        <v>Hip Replacement RevisionSub-ICB of GP PracticeNHS CHESHIRE AND MERSEYSIDE ICB - 12F (12F)EQ VAS</v>
      </c>
      <c r="C1092" t="s">
        <v>967</v>
      </c>
      <c r="D1092" t="s">
        <v>1021</v>
      </c>
      <c r="E1092" t="s">
        <v>781</v>
      </c>
      <c r="F1092" t="s">
        <v>782</v>
      </c>
      <c r="G1092" t="s">
        <v>752</v>
      </c>
      <c r="H1092">
        <v>1</v>
      </c>
      <c r="I1092">
        <v>70</v>
      </c>
      <c r="J1092">
        <v>95</v>
      </c>
      <c r="K1092">
        <v>25</v>
      </c>
      <c r="L1092">
        <v>1</v>
      </c>
      <c r="M1092">
        <v>0</v>
      </c>
      <c r="N1092">
        <v>0</v>
      </c>
      <c r="O1092" t="s">
        <v>127</v>
      </c>
      <c r="P1092" t="s">
        <v>127</v>
      </c>
      <c r="Q1092" t="s">
        <v>127</v>
      </c>
    </row>
    <row r="1093" spans="1:17" x14ac:dyDescent="0.25">
      <c r="A1093" t="str">
        <f>IF(C1093&amp;G1093&amp;D1093&lt;&gt;'Funnel setup'!$K$3&amp;'Funnel setup'!$K$4&amp;'Funnel setup'!$K$6,".",IF(A1092=".",1,A1092+1))</f>
        <v>.</v>
      </c>
      <c r="B1093" s="244" t="str">
        <f t="shared" si="17"/>
        <v>Hip Replacement RevisionSub-ICB of GP PracticeNHS CHESHIRE AND MERSEYSIDE ICB - 27D (27D)EQ VAS</v>
      </c>
      <c r="C1093" t="s">
        <v>967</v>
      </c>
      <c r="D1093" t="s">
        <v>1021</v>
      </c>
      <c r="E1093" t="s">
        <v>783</v>
      </c>
      <c r="F1093" t="s">
        <v>784</v>
      </c>
      <c r="G1093" t="s">
        <v>752</v>
      </c>
      <c r="H1093">
        <v>9</v>
      </c>
      <c r="I1093">
        <v>63.333300000000001</v>
      </c>
      <c r="J1093">
        <v>72.333299999999994</v>
      </c>
      <c r="K1093">
        <v>9</v>
      </c>
      <c r="L1093">
        <v>5</v>
      </c>
      <c r="M1093">
        <v>1</v>
      </c>
      <c r="N1093">
        <v>3</v>
      </c>
      <c r="O1093" t="s">
        <v>127</v>
      </c>
      <c r="P1093" t="s">
        <v>127</v>
      </c>
      <c r="Q1093" t="s">
        <v>127</v>
      </c>
    </row>
    <row r="1094" spans="1:17" x14ac:dyDescent="0.25">
      <c r="A1094" t="str">
        <f>IF(C1094&amp;G1094&amp;D1094&lt;&gt;'Funnel setup'!$K$3&amp;'Funnel setup'!$K$4&amp;'Funnel setup'!$K$6,".",IF(A1093=".",1,A1093+1))</f>
        <v>.</v>
      </c>
      <c r="B1094" s="244" t="str">
        <f t="shared" si="17"/>
        <v>Hip Replacement RevisionSub-ICB of GP PracticeNHS CHESHIRE AND MERSEYSIDE ICB - 99A (99A)EQ VAS</v>
      </c>
      <c r="C1094" t="s">
        <v>967</v>
      </c>
      <c r="D1094" t="s">
        <v>1021</v>
      </c>
      <c r="E1094" t="s">
        <v>785</v>
      </c>
      <c r="F1094" t="s">
        <v>786</v>
      </c>
      <c r="G1094" t="s">
        <v>752</v>
      </c>
      <c r="H1094">
        <v>4</v>
      </c>
      <c r="I1094">
        <v>65</v>
      </c>
      <c r="J1094">
        <v>68</v>
      </c>
      <c r="K1094">
        <v>3</v>
      </c>
      <c r="L1094">
        <v>1</v>
      </c>
      <c r="M1094">
        <v>1</v>
      </c>
      <c r="N1094">
        <v>2</v>
      </c>
      <c r="O1094" t="s">
        <v>127</v>
      </c>
      <c r="P1094" t="s">
        <v>127</v>
      </c>
      <c r="Q1094" t="s">
        <v>127</v>
      </c>
    </row>
    <row r="1095" spans="1:17" x14ac:dyDescent="0.25">
      <c r="A1095" t="str">
        <f>IF(C1095&amp;G1095&amp;D1095&lt;&gt;'Funnel setup'!$K$3&amp;'Funnel setup'!$K$4&amp;'Funnel setup'!$K$6,".",IF(A1094=".",1,A1094+1))</f>
        <v>.</v>
      </c>
      <c r="B1095" s="244" t="str">
        <f t="shared" si="17"/>
        <v>Hip Replacement RevisionSub-ICB of GP PracticeNHS CORNWALL AND THE ISLES OF SCILLY ICB - 11N (11N)EQ VAS</v>
      </c>
      <c r="C1095" t="s">
        <v>967</v>
      </c>
      <c r="D1095" t="s">
        <v>1021</v>
      </c>
      <c r="E1095" t="s">
        <v>787</v>
      </c>
      <c r="F1095" t="s">
        <v>788</v>
      </c>
      <c r="G1095" t="s">
        <v>752</v>
      </c>
      <c r="H1095">
        <v>7</v>
      </c>
      <c r="I1095">
        <v>57.714300000000001</v>
      </c>
      <c r="J1095">
        <v>67.714299999999994</v>
      </c>
      <c r="K1095">
        <v>10</v>
      </c>
      <c r="L1095">
        <v>3</v>
      </c>
      <c r="M1095">
        <v>2</v>
      </c>
      <c r="N1095">
        <v>2</v>
      </c>
      <c r="O1095" t="s">
        <v>127</v>
      </c>
      <c r="P1095" t="s">
        <v>127</v>
      </c>
      <c r="Q1095" t="s">
        <v>127</v>
      </c>
    </row>
    <row r="1096" spans="1:17" x14ac:dyDescent="0.25">
      <c r="A1096" t="str">
        <f>IF(C1096&amp;G1096&amp;D1096&lt;&gt;'Funnel setup'!$K$3&amp;'Funnel setup'!$K$4&amp;'Funnel setup'!$K$6,".",IF(A1095=".",1,A1095+1))</f>
        <v>.</v>
      </c>
      <c r="B1096" s="244" t="str">
        <f t="shared" si="17"/>
        <v>Hip Replacement RevisionSub-ICB of GP PracticeNHS COVENTRY AND WARWICKSHIRE ICB - B2M3M (B2M3M)EQ VAS</v>
      </c>
      <c r="C1096" t="s">
        <v>967</v>
      </c>
      <c r="D1096" t="s">
        <v>1021</v>
      </c>
      <c r="E1096" t="s">
        <v>789</v>
      </c>
      <c r="F1096" t="s">
        <v>790</v>
      </c>
      <c r="G1096" t="s">
        <v>752</v>
      </c>
      <c r="H1096">
        <v>6</v>
      </c>
      <c r="I1096">
        <v>45.666699999999999</v>
      </c>
      <c r="J1096">
        <v>69.833299999999994</v>
      </c>
      <c r="K1096">
        <v>24.166699999999999</v>
      </c>
      <c r="L1096">
        <v>5</v>
      </c>
      <c r="M1096">
        <v>0</v>
      </c>
      <c r="N1096">
        <v>1</v>
      </c>
      <c r="O1096" t="s">
        <v>127</v>
      </c>
      <c r="P1096" t="s">
        <v>127</v>
      </c>
      <c r="Q1096" t="s">
        <v>127</v>
      </c>
    </row>
    <row r="1097" spans="1:17" x14ac:dyDescent="0.25">
      <c r="A1097" t="str">
        <f>IF(C1097&amp;G1097&amp;D1097&lt;&gt;'Funnel setup'!$K$3&amp;'Funnel setup'!$K$4&amp;'Funnel setup'!$K$6,".",IF(A1096=".",1,A1096+1))</f>
        <v>.</v>
      </c>
      <c r="B1097" s="244" t="str">
        <f t="shared" si="17"/>
        <v>Hip Replacement RevisionSub-ICB of GP PracticeNHS DERBY AND DERBYSHIRE ICB - 15M (15M)EQ VAS</v>
      </c>
      <c r="C1097" t="s">
        <v>967</v>
      </c>
      <c r="D1097" t="s">
        <v>1021</v>
      </c>
      <c r="E1097" t="s">
        <v>791</v>
      </c>
      <c r="F1097" t="s">
        <v>792</v>
      </c>
      <c r="G1097" t="s">
        <v>752</v>
      </c>
      <c r="H1097">
        <v>23</v>
      </c>
      <c r="I1097">
        <v>63.043500000000002</v>
      </c>
      <c r="J1097">
        <v>64</v>
      </c>
      <c r="K1097">
        <v>0.95652199999999998</v>
      </c>
      <c r="L1097">
        <v>11</v>
      </c>
      <c r="M1097">
        <v>2</v>
      </c>
      <c r="N1097">
        <v>10</v>
      </c>
      <c r="O1097" t="s">
        <v>127</v>
      </c>
      <c r="P1097" t="s">
        <v>127</v>
      </c>
      <c r="Q1097" t="s">
        <v>127</v>
      </c>
    </row>
    <row r="1098" spans="1:17" x14ac:dyDescent="0.25">
      <c r="A1098" t="str">
        <f>IF(C1098&amp;G1098&amp;D1098&lt;&gt;'Funnel setup'!$K$3&amp;'Funnel setup'!$K$4&amp;'Funnel setup'!$K$6,".",IF(A1097=".",1,A1097+1))</f>
        <v>.</v>
      </c>
      <c r="B1098" s="244" t="str">
        <f t="shared" si="17"/>
        <v>Hip Replacement RevisionSub-ICB of GP PracticeNHS DEVON ICB - 15N (15N)EQ VAS</v>
      </c>
      <c r="C1098" t="s">
        <v>967</v>
      </c>
      <c r="D1098" t="s">
        <v>1021</v>
      </c>
      <c r="E1098" t="s">
        <v>793</v>
      </c>
      <c r="F1098" t="s">
        <v>794</v>
      </c>
      <c r="G1098" t="s">
        <v>752</v>
      </c>
      <c r="H1098">
        <v>6</v>
      </c>
      <c r="I1098">
        <v>73.333299999999994</v>
      </c>
      <c r="J1098">
        <v>84.833299999999994</v>
      </c>
      <c r="K1098">
        <v>11.5</v>
      </c>
      <c r="L1098">
        <v>4</v>
      </c>
      <c r="M1098">
        <v>2</v>
      </c>
      <c r="N1098">
        <v>0</v>
      </c>
      <c r="O1098" t="s">
        <v>127</v>
      </c>
      <c r="P1098" t="s">
        <v>127</v>
      </c>
      <c r="Q1098" t="s">
        <v>127</v>
      </c>
    </row>
    <row r="1099" spans="1:17" x14ac:dyDescent="0.25">
      <c r="A1099" t="str">
        <f>IF(C1099&amp;G1099&amp;D1099&lt;&gt;'Funnel setup'!$K$3&amp;'Funnel setup'!$K$4&amp;'Funnel setup'!$K$6,".",IF(A1098=".",1,A1098+1))</f>
        <v>.</v>
      </c>
      <c r="B1099" s="244" t="str">
        <f t="shared" si="17"/>
        <v>Hip Replacement RevisionSub-ICB of GP PracticeNHS DORSET ICB - 11J (11J)EQ VAS</v>
      </c>
      <c r="C1099" t="s">
        <v>967</v>
      </c>
      <c r="D1099" t="s">
        <v>1021</v>
      </c>
      <c r="E1099" t="s">
        <v>795</v>
      </c>
      <c r="F1099" t="s">
        <v>796</v>
      </c>
      <c r="G1099" t="s">
        <v>752</v>
      </c>
      <c r="H1099">
        <v>7</v>
      </c>
      <c r="I1099">
        <v>79.714299999999994</v>
      </c>
      <c r="J1099">
        <v>85</v>
      </c>
      <c r="K1099">
        <v>5.2857099999999999</v>
      </c>
      <c r="L1099">
        <v>5</v>
      </c>
      <c r="M1099">
        <v>0</v>
      </c>
      <c r="N1099">
        <v>2</v>
      </c>
      <c r="O1099" t="s">
        <v>127</v>
      </c>
      <c r="P1099" t="s">
        <v>127</v>
      </c>
      <c r="Q1099" t="s">
        <v>127</v>
      </c>
    </row>
    <row r="1100" spans="1:17" x14ac:dyDescent="0.25">
      <c r="A1100" t="str">
        <f>IF(C1100&amp;G1100&amp;D1100&lt;&gt;'Funnel setup'!$K$3&amp;'Funnel setup'!$K$4&amp;'Funnel setup'!$K$6,".",IF(A1099=".",1,A1099+1))</f>
        <v>.</v>
      </c>
      <c r="B1100" s="244" t="str">
        <f t="shared" si="17"/>
        <v>Hip Replacement RevisionSub-ICB of GP PracticeNHS FRIMLEY ICB - D4U1Y (D4U1Y)EQ VAS</v>
      </c>
      <c r="C1100" t="s">
        <v>967</v>
      </c>
      <c r="D1100" t="s">
        <v>1021</v>
      </c>
      <c r="E1100" t="s">
        <v>797</v>
      </c>
      <c r="F1100" t="s">
        <v>798</v>
      </c>
      <c r="G1100" t="s">
        <v>752</v>
      </c>
      <c r="H1100">
        <v>11</v>
      </c>
      <c r="I1100">
        <v>64.090900000000005</v>
      </c>
      <c r="J1100">
        <v>69.090900000000005</v>
      </c>
      <c r="K1100">
        <v>5</v>
      </c>
      <c r="L1100">
        <v>5</v>
      </c>
      <c r="M1100">
        <v>2</v>
      </c>
      <c r="N1100">
        <v>4</v>
      </c>
      <c r="O1100" t="s">
        <v>127</v>
      </c>
      <c r="P1100" t="s">
        <v>127</v>
      </c>
      <c r="Q1100" t="s">
        <v>127</v>
      </c>
    </row>
    <row r="1101" spans="1:17" x14ac:dyDescent="0.25">
      <c r="A1101" t="str">
        <f>IF(C1101&amp;G1101&amp;D1101&lt;&gt;'Funnel setup'!$K$3&amp;'Funnel setup'!$K$4&amp;'Funnel setup'!$K$6,".",IF(A1100=".",1,A1100+1))</f>
        <v>.</v>
      </c>
      <c r="B1101" s="244" t="str">
        <f t="shared" si="17"/>
        <v>Hip Replacement RevisionSub-ICB of GP PracticeNHS GLOUCESTERSHIRE ICB - 11M (11M)EQ VAS</v>
      </c>
      <c r="C1101" t="s">
        <v>967</v>
      </c>
      <c r="D1101" t="s">
        <v>1021</v>
      </c>
      <c r="E1101" t="s">
        <v>799</v>
      </c>
      <c r="F1101" t="s">
        <v>800</v>
      </c>
      <c r="G1101" t="s">
        <v>752</v>
      </c>
      <c r="H1101">
        <v>4</v>
      </c>
      <c r="I1101">
        <v>46.25</v>
      </c>
      <c r="J1101">
        <v>81.75</v>
      </c>
      <c r="K1101">
        <v>35.5</v>
      </c>
      <c r="L1101">
        <v>3</v>
      </c>
      <c r="M1101">
        <v>1</v>
      </c>
      <c r="N1101">
        <v>0</v>
      </c>
      <c r="O1101" t="s">
        <v>127</v>
      </c>
      <c r="P1101" t="s">
        <v>127</v>
      </c>
      <c r="Q1101" t="s">
        <v>127</v>
      </c>
    </row>
    <row r="1102" spans="1:17" x14ac:dyDescent="0.25">
      <c r="A1102" t="str">
        <f>IF(C1102&amp;G1102&amp;D1102&lt;&gt;'Funnel setup'!$K$3&amp;'Funnel setup'!$K$4&amp;'Funnel setup'!$K$6,".",IF(A1101=".",1,A1101+1))</f>
        <v>.</v>
      </c>
      <c r="B1102" s="244" t="str">
        <f t="shared" si="17"/>
        <v>Hip Replacement RevisionSub-ICB of GP PracticeNHS GREATER MANCHESTER ICB - 01G (01G)EQ VAS</v>
      </c>
      <c r="C1102" t="s">
        <v>967</v>
      </c>
      <c r="D1102" t="s">
        <v>1021</v>
      </c>
      <c r="E1102" t="s">
        <v>809</v>
      </c>
      <c r="F1102" t="s">
        <v>810</v>
      </c>
      <c r="G1102" t="s">
        <v>752</v>
      </c>
      <c r="H1102">
        <v>1</v>
      </c>
      <c r="I1102">
        <v>78</v>
      </c>
      <c r="J1102">
        <v>86</v>
      </c>
      <c r="K1102">
        <v>8</v>
      </c>
      <c r="L1102">
        <v>1</v>
      </c>
      <c r="M1102">
        <v>0</v>
      </c>
      <c r="N1102">
        <v>0</v>
      </c>
      <c r="O1102" t="s">
        <v>127</v>
      </c>
      <c r="P1102" t="s">
        <v>127</v>
      </c>
      <c r="Q1102" t="s">
        <v>127</v>
      </c>
    </row>
    <row r="1103" spans="1:17" x14ac:dyDescent="0.25">
      <c r="A1103" t="str">
        <f>IF(C1103&amp;G1103&amp;D1103&lt;&gt;'Funnel setup'!$K$3&amp;'Funnel setup'!$K$4&amp;'Funnel setup'!$K$6,".",IF(A1102=".",1,A1102+1))</f>
        <v>.</v>
      </c>
      <c r="B1103" s="244" t="str">
        <f t="shared" si="17"/>
        <v>Hip Replacement RevisionSub-ICB of GP PracticeNHS GREATER MANCHESTER ICB - 01W (01W)EQ VAS</v>
      </c>
      <c r="C1103" t="s">
        <v>967</v>
      </c>
      <c r="D1103" t="s">
        <v>1021</v>
      </c>
      <c r="E1103" t="s">
        <v>811</v>
      </c>
      <c r="F1103" t="s">
        <v>812</v>
      </c>
      <c r="G1103" t="s">
        <v>752</v>
      </c>
      <c r="H1103">
        <v>4</v>
      </c>
      <c r="I1103">
        <v>65.75</v>
      </c>
      <c r="J1103">
        <v>68.75</v>
      </c>
      <c r="K1103">
        <v>3</v>
      </c>
      <c r="L1103">
        <v>2</v>
      </c>
      <c r="M1103">
        <v>1</v>
      </c>
      <c r="N1103">
        <v>1</v>
      </c>
      <c r="O1103" t="s">
        <v>127</v>
      </c>
      <c r="P1103" t="s">
        <v>127</v>
      </c>
      <c r="Q1103" t="s">
        <v>127</v>
      </c>
    </row>
    <row r="1104" spans="1:17" x14ac:dyDescent="0.25">
      <c r="A1104" t="str">
        <f>IF(C1104&amp;G1104&amp;D1104&lt;&gt;'Funnel setup'!$K$3&amp;'Funnel setup'!$K$4&amp;'Funnel setup'!$K$6,".",IF(A1103=".",1,A1103+1))</f>
        <v>.</v>
      </c>
      <c r="B1104" s="244" t="str">
        <f t="shared" si="17"/>
        <v>Hip Replacement RevisionSub-ICB of GP PracticeNHS GREATER MANCHESTER ICB - 14L (14L)EQ VAS</v>
      </c>
      <c r="C1104" t="s">
        <v>967</v>
      </c>
      <c r="D1104" t="s">
        <v>1021</v>
      </c>
      <c r="E1104" t="s">
        <v>819</v>
      </c>
      <c r="F1104" t="s">
        <v>820</v>
      </c>
      <c r="G1104" t="s">
        <v>752</v>
      </c>
      <c r="H1104">
        <v>2</v>
      </c>
      <c r="I1104">
        <v>77.5</v>
      </c>
      <c r="J1104">
        <v>57.5</v>
      </c>
      <c r="K1104">
        <v>-20</v>
      </c>
      <c r="L1104">
        <v>0</v>
      </c>
      <c r="M1104">
        <v>0</v>
      </c>
      <c r="N1104">
        <v>2</v>
      </c>
      <c r="O1104" t="s">
        <v>127</v>
      </c>
      <c r="P1104" t="s">
        <v>127</v>
      </c>
      <c r="Q1104" t="s">
        <v>127</v>
      </c>
    </row>
    <row r="1105" spans="1:17" x14ac:dyDescent="0.25">
      <c r="A1105" t="str">
        <f>IF(C1105&amp;G1105&amp;D1105&lt;&gt;'Funnel setup'!$K$3&amp;'Funnel setup'!$K$4&amp;'Funnel setup'!$K$6,".",IF(A1104=".",1,A1104+1))</f>
        <v>.</v>
      </c>
      <c r="B1105" s="244" t="str">
        <f t="shared" si="17"/>
        <v>Hip Replacement RevisionSub-ICB of GP PracticeNHS HAMPSHIRE AND ISLE OF WIGHT ICB - D9Y0V (D9Y0V)EQ VAS</v>
      </c>
      <c r="C1105" t="s">
        <v>967</v>
      </c>
      <c r="D1105" t="s">
        <v>1021</v>
      </c>
      <c r="E1105" t="s">
        <v>823</v>
      </c>
      <c r="F1105" t="s">
        <v>824</v>
      </c>
      <c r="G1105" t="s">
        <v>752</v>
      </c>
      <c r="H1105">
        <v>13</v>
      </c>
      <c r="I1105">
        <v>58</v>
      </c>
      <c r="J1105">
        <v>76.384600000000006</v>
      </c>
      <c r="K1105">
        <v>18.384599999999999</v>
      </c>
      <c r="L1105">
        <v>7</v>
      </c>
      <c r="M1105">
        <v>4</v>
      </c>
      <c r="N1105">
        <v>2</v>
      </c>
      <c r="O1105" t="s">
        <v>127</v>
      </c>
      <c r="P1105" t="s">
        <v>127</v>
      </c>
      <c r="Q1105" t="s">
        <v>127</v>
      </c>
    </row>
    <row r="1106" spans="1:17" x14ac:dyDescent="0.25">
      <c r="A1106" t="str">
        <f>IF(C1106&amp;G1106&amp;D1106&lt;&gt;'Funnel setup'!$K$3&amp;'Funnel setup'!$K$4&amp;'Funnel setup'!$K$6,".",IF(A1105=".",1,A1105+1))</f>
        <v>.</v>
      </c>
      <c r="B1106" s="244" t="str">
        <f t="shared" si="17"/>
        <v>Hip Replacement RevisionSub-ICB of GP PracticeNHS HEREFORDSHIRE AND WORCESTERSHIRE ICB - 18C (18C)EQ VAS</v>
      </c>
      <c r="C1106" t="s">
        <v>967</v>
      </c>
      <c r="D1106" t="s">
        <v>1021</v>
      </c>
      <c r="E1106" t="s">
        <v>825</v>
      </c>
      <c r="F1106" t="s">
        <v>826</v>
      </c>
      <c r="G1106" t="s">
        <v>752</v>
      </c>
      <c r="H1106">
        <v>16</v>
      </c>
      <c r="I1106">
        <v>65</v>
      </c>
      <c r="J1106">
        <v>66.6875</v>
      </c>
      <c r="K1106">
        <v>1.6875</v>
      </c>
      <c r="L1106">
        <v>8</v>
      </c>
      <c r="M1106">
        <v>1</v>
      </c>
      <c r="N1106">
        <v>7</v>
      </c>
      <c r="O1106" t="s">
        <v>127</v>
      </c>
      <c r="P1106" t="s">
        <v>127</v>
      </c>
      <c r="Q1106" t="s">
        <v>127</v>
      </c>
    </row>
    <row r="1107" spans="1:17" x14ac:dyDescent="0.25">
      <c r="A1107" t="str">
        <f>IF(C1107&amp;G1107&amp;D1107&lt;&gt;'Funnel setup'!$K$3&amp;'Funnel setup'!$K$4&amp;'Funnel setup'!$K$6,".",IF(A1106=".",1,A1106+1))</f>
        <v>.</v>
      </c>
      <c r="B1107" s="244" t="str">
        <f t="shared" si="17"/>
        <v>Hip Replacement RevisionSub-ICB of GP PracticeNHS HERTFORDSHIRE AND WEST ESSEX ICB - 06K (06K)EQ VAS</v>
      </c>
      <c r="C1107" t="s">
        <v>967</v>
      </c>
      <c r="D1107" t="s">
        <v>1021</v>
      </c>
      <c r="E1107" t="s">
        <v>827</v>
      </c>
      <c r="F1107" t="s">
        <v>828</v>
      </c>
      <c r="G1107" t="s">
        <v>752</v>
      </c>
      <c r="H1107">
        <v>14</v>
      </c>
      <c r="I1107">
        <v>56.642899999999997</v>
      </c>
      <c r="J1107">
        <v>74.142899999999997</v>
      </c>
      <c r="K1107">
        <v>17.5</v>
      </c>
      <c r="L1107">
        <v>9</v>
      </c>
      <c r="M1107">
        <v>2</v>
      </c>
      <c r="N1107">
        <v>3</v>
      </c>
      <c r="O1107" t="s">
        <v>127</v>
      </c>
      <c r="P1107" t="s">
        <v>127</v>
      </c>
      <c r="Q1107" t="s">
        <v>127</v>
      </c>
    </row>
    <row r="1108" spans="1:17" x14ac:dyDescent="0.25">
      <c r="A1108" t="str">
        <f>IF(C1108&amp;G1108&amp;D1108&lt;&gt;'Funnel setup'!$K$3&amp;'Funnel setup'!$K$4&amp;'Funnel setup'!$K$6,".",IF(A1107=".",1,A1107+1))</f>
        <v>.</v>
      </c>
      <c r="B1108" s="244" t="str">
        <f t="shared" si="17"/>
        <v>Hip Replacement RevisionSub-ICB of GP PracticeNHS HERTFORDSHIRE AND WEST ESSEX ICB - 06N (06N)EQ VAS</v>
      </c>
      <c r="C1108" t="s">
        <v>967</v>
      </c>
      <c r="D1108" t="s">
        <v>1021</v>
      </c>
      <c r="E1108" t="s">
        <v>829</v>
      </c>
      <c r="F1108" t="s">
        <v>830</v>
      </c>
      <c r="G1108" t="s">
        <v>752</v>
      </c>
      <c r="H1108">
        <v>10</v>
      </c>
      <c r="I1108">
        <v>53.7</v>
      </c>
      <c r="J1108">
        <v>69</v>
      </c>
      <c r="K1108">
        <v>15.3</v>
      </c>
      <c r="L1108">
        <v>7</v>
      </c>
      <c r="M1108">
        <v>0</v>
      </c>
      <c r="N1108">
        <v>3</v>
      </c>
      <c r="O1108" t="s">
        <v>127</v>
      </c>
      <c r="P1108" t="s">
        <v>127</v>
      </c>
      <c r="Q1108" t="s">
        <v>127</v>
      </c>
    </row>
    <row r="1109" spans="1:17" x14ac:dyDescent="0.25">
      <c r="A1109" t="str">
        <f>IF(C1109&amp;G1109&amp;D1109&lt;&gt;'Funnel setup'!$K$3&amp;'Funnel setup'!$K$4&amp;'Funnel setup'!$K$6,".",IF(A1108=".",1,A1108+1))</f>
        <v>.</v>
      </c>
      <c r="B1109" s="244" t="str">
        <f t="shared" si="17"/>
        <v>Hip Replacement RevisionSub-ICB of GP PracticeNHS HERTFORDSHIRE AND WEST ESSEX ICB - 07H (07H)EQ VAS</v>
      </c>
      <c r="C1109" t="s">
        <v>967</v>
      </c>
      <c r="D1109" t="s">
        <v>1021</v>
      </c>
      <c r="E1109" t="s">
        <v>831</v>
      </c>
      <c r="F1109" t="s">
        <v>832</v>
      </c>
      <c r="G1109" t="s">
        <v>752</v>
      </c>
      <c r="H1109">
        <v>2</v>
      </c>
      <c r="I1109">
        <v>50</v>
      </c>
      <c r="J1109">
        <v>70</v>
      </c>
      <c r="K1109">
        <v>20</v>
      </c>
      <c r="L1109">
        <v>1</v>
      </c>
      <c r="M1109">
        <v>1</v>
      </c>
      <c r="N1109">
        <v>0</v>
      </c>
      <c r="O1109" t="s">
        <v>127</v>
      </c>
      <c r="P1109" t="s">
        <v>127</v>
      </c>
      <c r="Q1109" t="s">
        <v>127</v>
      </c>
    </row>
    <row r="1110" spans="1:17" x14ac:dyDescent="0.25">
      <c r="A1110" t="str">
        <f>IF(C1110&amp;G1110&amp;D1110&lt;&gt;'Funnel setup'!$K$3&amp;'Funnel setup'!$K$4&amp;'Funnel setup'!$K$6,".",IF(A1109=".",1,A1109+1))</f>
        <v>.</v>
      </c>
      <c r="B1110" s="244" t="str">
        <f t="shared" si="17"/>
        <v>Hip Replacement RevisionSub-ICB of GP PracticeNHS HUMBER AND NORTH YORKSHIRE ICB - 02Y (02Y)EQ VAS</v>
      </c>
      <c r="C1110" t="s">
        <v>967</v>
      </c>
      <c r="D1110" t="s">
        <v>1021</v>
      </c>
      <c r="E1110" t="s">
        <v>833</v>
      </c>
      <c r="F1110" t="s">
        <v>834</v>
      </c>
      <c r="G1110" t="s">
        <v>752</v>
      </c>
      <c r="H1110">
        <v>2</v>
      </c>
      <c r="I1110">
        <v>55</v>
      </c>
      <c r="J1110">
        <v>90</v>
      </c>
      <c r="K1110">
        <v>35</v>
      </c>
      <c r="L1110">
        <v>2</v>
      </c>
      <c r="M1110">
        <v>0</v>
      </c>
      <c r="N1110">
        <v>0</v>
      </c>
      <c r="O1110" t="s">
        <v>127</v>
      </c>
      <c r="P1110" t="s">
        <v>127</v>
      </c>
      <c r="Q1110" t="s">
        <v>127</v>
      </c>
    </row>
    <row r="1111" spans="1:17" x14ac:dyDescent="0.25">
      <c r="A1111" t="str">
        <f>IF(C1111&amp;G1111&amp;D1111&lt;&gt;'Funnel setup'!$K$3&amp;'Funnel setup'!$K$4&amp;'Funnel setup'!$K$6,".",IF(A1110=".",1,A1110+1))</f>
        <v>.</v>
      </c>
      <c r="B1111" s="244" t="str">
        <f t="shared" si="17"/>
        <v>Hip Replacement RevisionSub-ICB of GP PracticeNHS HUMBER AND NORTH YORKSHIRE ICB - 03F (03F)EQ VAS</v>
      </c>
      <c r="C1111" t="s">
        <v>967</v>
      </c>
      <c r="D1111" t="s">
        <v>1021</v>
      </c>
      <c r="E1111" t="s">
        <v>835</v>
      </c>
      <c r="F1111" t="s">
        <v>836</v>
      </c>
      <c r="G1111" t="s">
        <v>752</v>
      </c>
      <c r="H1111">
        <v>2</v>
      </c>
      <c r="I1111">
        <v>56.5</v>
      </c>
      <c r="J1111">
        <v>50</v>
      </c>
      <c r="K1111">
        <v>-6.5</v>
      </c>
      <c r="L1111">
        <v>1</v>
      </c>
      <c r="M1111">
        <v>0</v>
      </c>
      <c r="N1111">
        <v>1</v>
      </c>
      <c r="O1111" t="s">
        <v>127</v>
      </c>
      <c r="P1111" t="s">
        <v>127</v>
      </c>
      <c r="Q1111" t="s">
        <v>127</v>
      </c>
    </row>
    <row r="1112" spans="1:17" x14ac:dyDescent="0.25">
      <c r="A1112" t="str">
        <f>IF(C1112&amp;G1112&amp;D1112&lt;&gt;'Funnel setup'!$K$3&amp;'Funnel setup'!$K$4&amp;'Funnel setup'!$K$6,".",IF(A1111=".",1,A1111+1))</f>
        <v>.</v>
      </c>
      <c r="B1112" s="244" t="str">
        <f t="shared" si="17"/>
        <v>Hip Replacement RevisionSub-ICB of GP PracticeNHS HUMBER AND NORTH YORKSHIRE ICB - 03Q (03Q)EQ VAS</v>
      </c>
      <c r="C1112" t="s">
        <v>967</v>
      </c>
      <c r="D1112" t="s">
        <v>1021</v>
      </c>
      <c r="E1112" t="s">
        <v>841</v>
      </c>
      <c r="F1112" t="s">
        <v>842</v>
      </c>
      <c r="G1112" t="s">
        <v>752</v>
      </c>
      <c r="H1112">
        <v>5</v>
      </c>
      <c r="I1112">
        <v>49.8</v>
      </c>
      <c r="J1112">
        <v>70.2</v>
      </c>
      <c r="K1112">
        <v>20.399999999999999</v>
      </c>
      <c r="L1112">
        <v>4</v>
      </c>
      <c r="M1112">
        <v>0</v>
      </c>
      <c r="N1112">
        <v>1</v>
      </c>
      <c r="O1112" t="s">
        <v>127</v>
      </c>
      <c r="P1112" t="s">
        <v>127</v>
      </c>
      <c r="Q1112" t="s">
        <v>127</v>
      </c>
    </row>
    <row r="1113" spans="1:17" x14ac:dyDescent="0.25">
      <c r="A1113" t="str">
        <f>IF(C1113&amp;G1113&amp;D1113&lt;&gt;'Funnel setup'!$K$3&amp;'Funnel setup'!$K$4&amp;'Funnel setup'!$K$6,".",IF(A1112=".",1,A1112+1))</f>
        <v>.</v>
      </c>
      <c r="B1113" s="244" t="str">
        <f t="shared" si="17"/>
        <v>Hip Replacement RevisionSub-ICB of GP PracticeNHS HUMBER AND NORTH YORKSHIRE ICB - 42D (42D)EQ VAS</v>
      </c>
      <c r="C1113" t="s">
        <v>967</v>
      </c>
      <c r="D1113" t="s">
        <v>1021</v>
      </c>
      <c r="E1113" t="s">
        <v>843</v>
      </c>
      <c r="F1113" t="s">
        <v>844</v>
      </c>
      <c r="G1113" t="s">
        <v>752</v>
      </c>
      <c r="H1113">
        <v>10</v>
      </c>
      <c r="I1113">
        <v>57.5</v>
      </c>
      <c r="J1113">
        <v>61.7</v>
      </c>
      <c r="K1113">
        <v>4.2</v>
      </c>
      <c r="L1113">
        <v>5</v>
      </c>
      <c r="M1113">
        <v>0</v>
      </c>
      <c r="N1113">
        <v>5</v>
      </c>
      <c r="O1113" t="s">
        <v>127</v>
      </c>
      <c r="P1113" t="s">
        <v>127</v>
      </c>
      <c r="Q1113" t="s">
        <v>127</v>
      </c>
    </row>
    <row r="1114" spans="1:17" x14ac:dyDescent="0.25">
      <c r="A1114" t="str">
        <f>IF(C1114&amp;G1114&amp;D1114&lt;&gt;'Funnel setup'!$K$3&amp;'Funnel setup'!$K$4&amp;'Funnel setup'!$K$6,".",IF(A1113=".",1,A1113+1))</f>
        <v>.</v>
      </c>
      <c r="B1114" s="244" t="str">
        <f t="shared" si="17"/>
        <v>Hip Replacement RevisionSub-ICB of GP PracticeNHS KENT AND MEDWAY ICB - 91Q (91Q)EQ VAS</v>
      </c>
      <c r="C1114" t="s">
        <v>967</v>
      </c>
      <c r="D1114" t="s">
        <v>1021</v>
      </c>
      <c r="E1114" t="s">
        <v>845</v>
      </c>
      <c r="F1114" t="s">
        <v>846</v>
      </c>
      <c r="G1114" t="s">
        <v>752</v>
      </c>
      <c r="H1114">
        <v>23</v>
      </c>
      <c r="I1114">
        <v>57.782600000000002</v>
      </c>
      <c r="J1114">
        <v>70.478300000000004</v>
      </c>
      <c r="K1114">
        <v>12.6957</v>
      </c>
      <c r="L1114">
        <v>16</v>
      </c>
      <c r="M1114">
        <v>1</v>
      </c>
      <c r="N1114">
        <v>6</v>
      </c>
      <c r="O1114" t="s">
        <v>127</v>
      </c>
      <c r="P1114" t="s">
        <v>127</v>
      </c>
      <c r="Q1114" t="s">
        <v>127</v>
      </c>
    </row>
    <row r="1115" spans="1:17" x14ac:dyDescent="0.25">
      <c r="A1115" t="str">
        <f>IF(C1115&amp;G1115&amp;D1115&lt;&gt;'Funnel setup'!$K$3&amp;'Funnel setup'!$K$4&amp;'Funnel setup'!$K$6,".",IF(A1114=".",1,A1114+1))</f>
        <v>.</v>
      </c>
      <c r="B1115" s="244" t="str">
        <f t="shared" si="17"/>
        <v>Hip Replacement RevisionSub-ICB of GP PracticeNHS LANCASHIRE AND SOUTH CUMBRIA ICB - 00Q (00Q)EQ VAS</v>
      </c>
      <c r="C1115" t="s">
        <v>967</v>
      </c>
      <c r="D1115" t="s">
        <v>1021</v>
      </c>
      <c r="E1115" t="s">
        <v>847</v>
      </c>
      <c r="F1115" t="s">
        <v>848</v>
      </c>
      <c r="G1115" t="s">
        <v>752</v>
      </c>
      <c r="H1115">
        <v>1</v>
      </c>
      <c r="I1115">
        <v>90</v>
      </c>
      <c r="J1115">
        <v>83</v>
      </c>
      <c r="K1115">
        <v>-7</v>
      </c>
      <c r="L1115">
        <v>0</v>
      </c>
      <c r="M1115">
        <v>0</v>
      </c>
      <c r="N1115">
        <v>1</v>
      </c>
      <c r="O1115" t="s">
        <v>127</v>
      </c>
      <c r="P1115" t="s">
        <v>127</v>
      </c>
      <c r="Q1115" t="s">
        <v>127</v>
      </c>
    </row>
    <row r="1116" spans="1:17" x14ac:dyDescent="0.25">
      <c r="A1116" t="str">
        <f>IF(C1116&amp;G1116&amp;D1116&lt;&gt;'Funnel setup'!$K$3&amp;'Funnel setup'!$K$4&amp;'Funnel setup'!$K$6,".",IF(A1115=".",1,A1115+1))</f>
        <v>.</v>
      </c>
      <c r="B1116" s="244" t="str">
        <f t="shared" si="17"/>
        <v>Hip Replacement RevisionSub-ICB of GP PracticeNHS LANCASHIRE AND SOUTH CUMBRIA ICB - 01A (01A)EQ VAS</v>
      </c>
      <c r="C1116" t="s">
        <v>967</v>
      </c>
      <c r="D1116" t="s">
        <v>1021</v>
      </c>
      <c r="E1116" t="s">
        <v>853</v>
      </c>
      <c r="F1116" t="s">
        <v>854</v>
      </c>
      <c r="G1116" t="s">
        <v>752</v>
      </c>
      <c r="H1116">
        <v>2</v>
      </c>
      <c r="I1116">
        <v>60</v>
      </c>
      <c r="J1116">
        <v>57.5</v>
      </c>
      <c r="K1116">
        <v>-2.5</v>
      </c>
      <c r="L1116">
        <v>1</v>
      </c>
      <c r="M1116">
        <v>0</v>
      </c>
      <c r="N1116">
        <v>1</v>
      </c>
      <c r="O1116" t="s">
        <v>127</v>
      </c>
      <c r="P1116" t="s">
        <v>127</v>
      </c>
      <c r="Q1116" t="s">
        <v>127</v>
      </c>
    </row>
    <row r="1117" spans="1:17" x14ac:dyDescent="0.25">
      <c r="A1117" t="str">
        <f>IF(C1117&amp;G1117&amp;D1117&lt;&gt;'Funnel setup'!$K$3&amp;'Funnel setup'!$K$4&amp;'Funnel setup'!$K$6,".",IF(A1116=".",1,A1116+1))</f>
        <v>.</v>
      </c>
      <c r="B1117" s="244" t="str">
        <f t="shared" si="17"/>
        <v>Hip Replacement RevisionSub-ICB of GP PracticeNHS LANCASHIRE AND SOUTH CUMBRIA ICB - 01E (01E)EQ VAS</v>
      </c>
      <c r="C1117" t="s">
        <v>967</v>
      </c>
      <c r="D1117" t="s">
        <v>1021</v>
      </c>
      <c r="E1117" t="s">
        <v>855</v>
      </c>
      <c r="F1117" t="s">
        <v>856</v>
      </c>
      <c r="G1117" t="s">
        <v>752</v>
      </c>
      <c r="H1117">
        <v>1</v>
      </c>
      <c r="I1117">
        <v>75</v>
      </c>
      <c r="J1117">
        <v>90</v>
      </c>
      <c r="K1117">
        <v>15</v>
      </c>
      <c r="L1117">
        <v>1</v>
      </c>
      <c r="M1117">
        <v>0</v>
      </c>
      <c r="N1117">
        <v>0</v>
      </c>
      <c r="O1117" t="s">
        <v>127</v>
      </c>
      <c r="P1117" t="s">
        <v>127</v>
      </c>
      <c r="Q1117" t="s">
        <v>127</v>
      </c>
    </row>
    <row r="1118" spans="1:17" x14ac:dyDescent="0.25">
      <c r="A1118" t="str">
        <f>IF(C1118&amp;G1118&amp;D1118&lt;&gt;'Funnel setup'!$K$3&amp;'Funnel setup'!$K$4&amp;'Funnel setup'!$K$6,".",IF(A1117=".",1,A1117+1))</f>
        <v>.</v>
      </c>
      <c r="B1118" s="244" t="str">
        <f t="shared" si="17"/>
        <v>Hip Replacement RevisionSub-ICB of GP PracticeNHS LANCASHIRE AND SOUTH CUMBRIA ICB - 01K (01K)EQ VAS</v>
      </c>
      <c r="C1118" t="s">
        <v>967</v>
      </c>
      <c r="D1118" t="s">
        <v>1021</v>
      </c>
      <c r="E1118" t="s">
        <v>857</v>
      </c>
      <c r="F1118" t="s">
        <v>858</v>
      </c>
      <c r="G1118" t="s">
        <v>752</v>
      </c>
      <c r="H1118">
        <v>8</v>
      </c>
      <c r="I1118">
        <v>59.5</v>
      </c>
      <c r="J1118">
        <v>79.375</v>
      </c>
      <c r="K1118">
        <v>19.875</v>
      </c>
      <c r="L1118">
        <v>6</v>
      </c>
      <c r="M1118">
        <v>0</v>
      </c>
      <c r="N1118">
        <v>2</v>
      </c>
      <c r="O1118" t="s">
        <v>127</v>
      </c>
      <c r="P1118" t="s">
        <v>127</v>
      </c>
      <c r="Q1118" t="s">
        <v>127</v>
      </c>
    </row>
    <row r="1119" spans="1:17" x14ac:dyDescent="0.25">
      <c r="A1119" t="str">
        <f>IF(C1119&amp;G1119&amp;D1119&lt;&gt;'Funnel setup'!$K$3&amp;'Funnel setup'!$K$4&amp;'Funnel setup'!$K$6,".",IF(A1118=".",1,A1118+1))</f>
        <v>.</v>
      </c>
      <c r="B1119" s="244" t="str">
        <f t="shared" si="17"/>
        <v>Hip Replacement RevisionSub-ICB of GP PracticeNHS LANCASHIRE AND SOUTH CUMBRIA ICB - 02G (02G)EQ VAS</v>
      </c>
      <c r="C1119" t="s">
        <v>967</v>
      </c>
      <c r="D1119" t="s">
        <v>1021</v>
      </c>
      <c r="E1119" t="s">
        <v>859</v>
      </c>
      <c r="F1119" t="s">
        <v>860</v>
      </c>
      <c r="G1119" t="s">
        <v>752</v>
      </c>
      <c r="H1119">
        <v>1</v>
      </c>
      <c r="I1119">
        <v>70</v>
      </c>
      <c r="J1119">
        <v>70</v>
      </c>
      <c r="K1119">
        <v>0</v>
      </c>
      <c r="L1119">
        <v>0</v>
      </c>
      <c r="M1119">
        <v>1</v>
      </c>
      <c r="N1119">
        <v>0</v>
      </c>
      <c r="O1119" t="s">
        <v>127</v>
      </c>
      <c r="P1119" t="s">
        <v>127</v>
      </c>
      <c r="Q1119" t="s">
        <v>127</v>
      </c>
    </row>
    <row r="1120" spans="1:17" x14ac:dyDescent="0.25">
      <c r="A1120" t="str">
        <f>IF(C1120&amp;G1120&amp;D1120&lt;&gt;'Funnel setup'!$K$3&amp;'Funnel setup'!$K$4&amp;'Funnel setup'!$K$6,".",IF(A1119=".",1,A1119+1))</f>
        <v>.</v>
      </c>
      <c r="B1120" s="244" t="str">
        <f t="shared" si="17"/>
        <v>Hip Replacement RevisionSub-ICB of GP PracticeNHS LANCASHIRE AND SOUTH CUMBRIA ICB - 02M (02M)EQ VAS</v>
      </c>
      <c r="C1120" t="s">
        <v>967</v>
      </c>
      <c r="D1120" t="s">
        <v>1021</v>
      </c>
      <c r="E1120" t="s">
        <v>861</v>
      </c>
      <c r="F1120" t="s">
        <v>862</v>
      </c>
      <c r="G1120" t="s">
        <v>752</v>
      </c>
      <c r="H1120">
        <v>4</v>
      </c>
      <c r="I1120">
        <v>55</v>
      </c>
      <c r="J1120">
        <v>62.5</v>
      </c>
      <c r="K1120">
        <v>7.5</v>
      </c>
      <c r="L1120">
        <v>3</v>
      </c>
      <c r="M1120">
        <v>0</v>
      </c>
      <c r="N1120">
        <v>1</v>
      </c>
      <c r="O1120" t="s">
        <v>127</v>
      </c>
      <c r="P1120" t="s">
        <v>127</v>
      </c>
      <c r="Q1120" t="s">
        <v>127</v>
      </c>
    </row>
    <row r="1121" spans="1:17" x14ac:dyDescent="0.25">
      <c r="A1121" t="str">
        <f>IF(C1121&amp;G1121&amp;D1121&lt;&gt;'Funnel setup'!$K$3&amp;'Funnel setup'!$K$4&amp;'Funnel setup'!$K$6,".",IF(A1120=".",1,A1120+1))</f>
        <v>.</v>
      </c>
      <c r="B1121" s="244" t="str">
        <f t="shared" si="17"/>
        <v>Hip Replacement RevisionSub-ICB of GP PracticeNHS LEICESTER, LEICESTERSHIRE AND RUTLAND ICB - 03W (03W)EQ VAS</v>
      </c>
      <c r="C1121" t="s">
        <v>967</v>
      </c>
      <c r="D1121" t="s">
        <v>1021</v>
      </c>
      <c r="E1121" t="s">
        <v>863</v>
      </c>
      <c r="F1121" t="s">
        <v>864</v>
      </c>
      <c r="G1121" t="s">
        <v>752</v>
      </c>
      <c r="H1121">
        <v>10</v>
      </c>
      <c r="I1121">
        <v>55.8</v>
      </c>
      <c r="J1121">
        <v>69.099999999999994</v>
      </c>
      <c r="K1121">
        <v>13.3</v>
      </c>
      <c r="L1121">
        <v>6</v>
      </c>
      <c r="M1121">
        <v>1</v>
      </c>
      <c r="N1121">
        <v>3</v>
      </c>
      <c r="O1121" t="s">
        <v>127</v>
      </c>
      <c r="P1121" t="s">
        <v>127</v>
      </c>
      <c r="Q1121" t="s">
        <v>127</v>
      </c>
    </row>
    <row r="1122" spans="1:17" x14ac:dyDescent="0.25">
      <c r="A1122" t="str">
        <f>IF(C1122&amp;G1122&amp;D1122&lt;&gt;'Funnel setup'!$K$3&amp;'Funnel setup'!$K$4&amp;'Funnel setup'!$K$6,".",IF(A1121=".",1,A1121+1))</f>
        <v>.</v>
      </c>
      <c r="B1122" s="244" t="str">
        <f t="shared" si="17"/>
        <v>Hip Replacement RevisionSub-ICB of GP PracticeNHS LEICESTER, LEICESTERSHIRE AND RUTLAND ICB - 04C (04C)EQ VAS</v>
      </c>
      <c r="C1122" t="s">
        <v>967</v>
      </c>
      <c r="D1122" t="s">
        <v>1021</v>
      </c>
      <c r="E1122" t="s">
        <v>865</v>
      </c>
      <c r="F1122" t="s">
        <v>866</v>
      </c>
      <c r="G1122" t="s">
        <v>752</v>
      </c>
      <c r="H1122" t="s">
        <v>127</v>
      </c>
      <c r="I1122" t="s">
        <v>127</v>
      </c>
      <c r="J1122" t="s">
        <v>127</v>
      </c>
      <c r="K1122" t="s">
        <v>127</v>
      </c>
      <c r="L1122" t="s">
        <v>127</v>
      </c>
      <c r="M1122" t="s">
        <v>127</v>
      </c>
      <c r="N1122" t="s">
        <v>127</v>
      </c>
      <c r="O1122" t="s">
        <v>127</v>
      </c>
      <c r="P1122" t="s">
        <v>127</v>
      </c>
      <c r="Q1122" t="s">
        <v>127</v>
      </c>
    </row>
    <row r="1123" spans="1:17" x14ac:dyDescent="0.25">
      <c r="A1123" t="str">
        <f>IF(C1123&amp;G1123&amp;D1123&lt;&gt;'Funnel setup'!$K$3&amp;'Funnel setup'!$K$4&amp;'Funnel setup'!$K$6,".",IF(A1122=".",1,A1122+1))</f>
        <v>.</v>
      </c>
      <c r="B1123" s="244" t="str">
        <f t="shared" si="17"/>
        <v>Hip Replacement RevisionSub-ICB of GP PracticeNHS LEICESTER, LEICESTERSHIRE AND RUTLAND ICB - 04V (04V)EQ VAS</v>
      </c>
      <c r="C1123" t="s">
        <v>967</v>
      </c>
      <c r="D1123" t="s">
        <v>1021</v>
      </c>
      <c r="E1123" t="s">
        <v>867</v>
      </c>
      <c r="F1123" t="s">
        <v>868</v>
      </c>
      <c r="G1123" t="s">
        <v>752</v>
      </c>
      <c r="H1123">
        <v>5</v>
      </c>
      <c r="I1123">
        <v>73</v>
      </c>
      <c r="J1123">
        <v>85</v>
      </c>
      <c r="K1123">
        <v>12</v>
      </c>
      <c r="L1123">
        <v>3</v>
      </c>
      <c r="M1123">
        <v>1</v>
      </c>
      <c r="N1123">
        <v>1</v>
      </c>
      <c r="O1123" t="s">
        <v>127</v>
      </c>
      <c r="P1123" t="s">
        <v>127</v>
      </c>
      <c r="Q1123" t="s">
        <v>127</v>
      </c>
    </row>
    <row r="1124" spans="1:17" x14ac:dyDescent="0.25">
      <c r="A1124" t="str">
        <f>IF(C1124&amp;G1124&amp;D1124&lt;&gt;'Funnel setup'!$K$3&amp;'Funnel setup'!$K$4&amp;'Funnel setup'!$K$6,".",IF(A1123=".",1,A1123+1))</f>
        <v>.</v>
      </c>
      <c r="B1124" s="244" t="str">
        <f t="shared" si="17"/>
        <v>Hip Replacement RevisionSub-ICB of GP PracticeNHS LINCOLNSHIRE ICB - 71E (71E)EQ VAS</v>
      </c>
      <c r="C1124" t="s">
        <v>967</v>
      </c>
      <c r="D1124" t="s">
        <v>1021</v>
      </c>
      <c r="E1124" t="s">
        <v>869</v>
      </c>
      <c r="F1124" t="s">
        <v>870</v>
      </c>
      <c r="G1124" t="s">
        <v>752</v>
      </c>
      <c r="H1124">
        <v>3</v>
      </c>
      <c r="I1124">
        <v>77.666700000000006</v>
      </c>
      <c r="J1124">
        <v>74.333299999999994</v>
      </c>
      <c r="K1124">
        <v>-3.3333300000000001</v>
      </c>
      <c r="L1124">
        <v>1</v>
      </c>
      <c r="M1124">
        <v>1</v>
      </c>
      <c r="N1124">
        <v>1</v>
      </c>
      <c r="O1124" t="s">
        <v>127</v>
      </c>
      <c r="P1124" t="s">
        <v>127</v>
      </c>
      <c r="Q1124" t="s">
        <v>127</v>
      </c>
    </row>
    <row r="1125" spans="1:17" x14ac:dyDescent="0.25">
      <c r="A1125" t="str">
        <f>IF(C1125&amp;G1125&amp;D1125&lt;&gt;'Funnel setup'!$K$3&amp;'Funnel setup'!$K$4&amp;'Funnel setup'!$K$6,".",IF(A1124=".",1,A1124+1))</f>
        <v>.</v>
      </c>
      <c r="B1125" s="244" t="str">
        <f t="shared" si="17"/>
        <v>Hip Replacement RevisionSub-ICB of GP PracticeNHS MID AND SOUTH ESSEX ICB - 06Q (06Q)EQ VAS</v>
      </c>
      <c r="C1125" t="s">
        <v>967</v>
      </c>
      <c r="D1125" t="s">
        <v>1021</v>
      </c>
      <c r="E1125" t="s">
        <v>871</v>
      </c>
      <c r="F1125" t="s">
        <v>872</v>
      </c>
      <c r="G1125" t="s">
        <v>752</v>
      </c>
      <c r="H1125">
        <v>3</v>
      </c>
      <c r="I1125">
        <v>50</v>
      </c>
      <c r="J1125">
        <v>71.666700000000006</v>
      </c>
      <c r="K1125">
        <v>21.666699999999999</v>
      </c>
      <c r="L1125">
        <v>2</v>
      </c>
      <c r="M1125">
        <v>1</v>
      </c>
      <c r="N1125">
        <v>0</v>
      </c>
      <c r="O1125" t="s">
        <v>127</v>
      </c>
      <c r="P1125" t="s">
        <v>127</v>
      </c>
      <c r="Q1125" t="s">
        <v>127</v>
      </c>
    </row>
    <row r="1126" spans="1:17" x14ac:dyDescent="0.25">
      <c r="A1126" t="str">
        <f>IF(C1126&amp;G1126&amp;D1126&lt;&gt;'Funnel setup'!$K$3&amp;'Funnel setup'!$K$4&amp;'Funnel setup'!$K$6,".",IF(A1125=".",1,A1125+1))</f>
        <v>.</v>
      </c>
      <c r="B1126" s="244" t="str">
        <f t="shared" si="17"/>
        <v>Hip Replacement RevisionSub-ICB of GP PracticeNHS MID AND SOUTH ESSEX ICB - 07G (07G)EQ VAS</v>
      </c>
      <c r="C1126" t="s">
        <v>967</v>
      </c>
      <c r="D1126" t="s">
        <v>1021</v>
      </c>
      <c r="E1126" t="s">
        <v>873</v>
      </c>
      <c r="F1126" t="s">
        <v>874</v>
      </c>
      <c r="G1126" t="s">
        <v>752</v>
      </c>
      <c r="H1126">
        <v>1</v>
      </c>
      <c r="I1126">
        <v>40</v>
      </c>
      <c r="J1126">
        <v>80</v>
      </c>
      <c r="K1126">
        <v>40</v>
      </c>
      <c r="L1126">
        <v>1</v>
      </c>
      <c r="M1126">
        <v>0</v>
      </c>
      <c r="N1126">
        <v>0</v>
      </c>
      <c r="O1126" t="s">
        <v>127</v>
      </c>
      <c r="P1126" t="s">
        <v>127</v>
      </c>
      <c r="Q1126" t="s">
        <v>127</v>
      </c>
    </row>
    <row r="1127" spans="1:17" x14ac:dyDescent="0.25">
      <c r="A1127" t="str">
        <f>IF(C1127&amp;G1127&amp;D1127&lt;&gt;'Funnel setup'!$K$3&amp;'Funnel setup'!$K$4&amp;'Funnel setup'!$K$6,".",IF(A1126=".",1,A1126+1))</f>
        <v>.</v>
      </c>
      <c r="B1127" s="244" t="str">
        <f t="shared" si="17"/>
        <v>Hip Replacement RevisionSub-ICB of GP PracticeNHS MID AND SOUTH ESSEX ICB - 99E (99E)EQ VAS</v>
      </c>
      <c r="C1127" t="s">
        <v>967</v>
      </c>
      <c r="D1127" t="s">
        <v>1021</v>
      </c>
      <c r="E1127" t="s">
        <v>875</v>
      </c>
      <c r="F1127" t="s">
        <v>876</v>
      </c>
      <c r="G1127" t="s">
        <v>752</v>
      </c>
      <c r="H1127">
        <v>4</v>
      </c>
      <c r="I1127">
        <v>47.5</v>
      </c>
      <c r="J1127">
        <v>76.25</v>
      </c>
      <c r="K1127">
        <v>28.75</v>
      </c>
      <c r="L1127">
        <v>4</v>
      </c>
      <c r="M1127">
        <v>0</v>
      </c>
      <c r="N1127">
        <v>0</v>
      </c>
      <c r="O1127" t="s">
        <v>127</v>
      </c>
      <c r="P1127" t="s">
        <v>127</v>
      </c>
      <c r="Q1127" t="s">
        <v>127</v>
      </c>
    </row>
    <row r="1128" spans="1:17" x14ac:dyDescent="0.25">
      <c r="A1128" t="str">
        <f>IF(C1128&amp;G1128&amp;D1128&lt;&gt;'Funnel setup'!$K$3&amp;'Funnel setup'!$K$4&amp;'Funnel setup'!$K$6,".",IF(A1127=".",1,A1127+1))</f>
        <v>.</v>
      </c>
      <c r="B1128" s="244" t="str">
        <f t="shared" si="17"/>
        <v>Hip Replacement RevisionSub-ICB of GP PracticeNHS MID AND SOUTH ESSEX ICB - 99F (99F)EQ VAS</v>
      </c>
      <c r="C1128" t="s">
        <v>967</v>
      </c>
      <c r="D1128" t="s">
        <v>1021</v>
      </c>
      <c r="E1128" t="s">
        <v>877</v>
      </c>
      <c r="F1128" t="s">
        <v>878</v>
      </c>
      <c r="G1128" t="s">
        <v>752</v>
      </c>
      <c r="H1128">
        <v>1</v>
      </c>
      <c r="I1128">
        <v>50</v>
      </c>
      <c r="J1128">
        <v>45</v>
      </c>
      <c r="K1128">
        <v>-5</v>
      </c>
      <c r="L1128">
        <v>0</v>
      </c>
      <c r="M1128">
        <v>0</v>
      </c>
      <c r="N1128">
        <v>1</v>
      </c>
      <c r="O1128" t="s">
        <v>127</v>
      </c>
      <c r="P1128" t="s">
        <v>127</v>
      </c>
      <c r="Q1128" t="s">
        <v>127</v>
      </c>
    </row>
    <row r="1129" spans="1:17" x14ac:dyDescent="0.25">
      <c r="A1129" t="str">
        <f>IF(C1129&amp;G1129&amp;D1129&lt;&gt;'Funnel setup'!$K$3&amp;'Funnel setup'!$K$4&amp;'Funnel setup'!$K$6,".",IF(A1128=".",1,A1128+1))</f>
        <v>.</v>
      </c>
      <c r="B1129" s="244" t="str">
        <f t="shared" si="17"/>
        <v>Hip Replacement RevisionSub-ICB of GP PracticeNHS NORFOLK AND WAVENEY ICB - 26A (26A)EQ VAS</v>
      </c>
      <c r="C1129" t="s">
        <v>967</v>
      </c>
      <c r="D1129" t="s">
        <v>1021</v>
      </c>
      <c r="E1129" t="s">
        <v>881</v>
      </c>
      <c r="F1129" t="s">
        <v>882</v>
      </c>
      <c r="G1129" t="s">
        <v>752</v>
      </c>
      <c r="H1129">
        <v>23</v>
      </c>
      <c r="I1129">
        <v>61.869599999999998</v>
      </c>
      <c r="J1129">
        <v>75.695700000000002</v>
      </c>
      <c r="K1129">
        <v>13.8261</v>
      </c>
      <c r="L1129">
        <v>17</v>
      </c>
      <c r="M1129">
        <v>0</v>
      </c>
      <c r="N1129">
        <v>6</v>
      </c>
      <c r="O1129" t="s">
        <v>127</v>
      </c>
      <c r="P1129" t="s">
        <v>127</v>
      </c>
      <c r="Q1129" t="s">
        <v>127</v>
      </c>
    </row>
    <row r="1130" spans="1:17" x14ac:dyDescent="0.25">
      <c r="A1130" t="str">
        <f>IF(C1130&amp;G1130&amp;D1130&lt;&gt;'Funnel setup'!$K$3&amp;'Funnel setup'!$K$4&amp;'Funnel setup'!$K$6,".",IF(A1129=".",1,A1129+1))</f>
        <v>.</v>
      </c>
      <c r="B1130" s="244" t="str">
        <f t="shared" si="17"/>
        <v>Hip Replacement RevisionSub-ICB of GP PracticeNHS NORTH CENTRAL LONDON ICB - 93C (93C)EQ VAS</v>
      </c>
      <c r="C1130" t="s">
        <v>967</v>
      </c>
      <c r="D1130" t="s">
        <v>1021</v>
      </c>
      <c r="E1130" t="s">
        <v>883</v>
      </c>
      <c r="F1130" t="s">
        <v>884</v>
      </c>
      <c r="G1130" t="s">
        <v>752</v>
      </c>
      <c r="H1130">
        <v>5</v>
      </c>
      <c r="I1130">
        <v>72</v>
      </c>
      <c r="J1130">
        <v>58.4</v>
      </c>
      <c r="K1130">
        <v>-13.6</v>
      </c>
      <c r="L1130">
        <v>1</v>
      </c>
      <c r="M1130">
        <v>0</v>
      </c>
      <c r="N1130">
        <v>4</v>
      </c>
      <c r="O1130" t="s">
        <v>127</v>
      </c>
      <c r="P1130" t="s">
        <v>127</v>
      </c>
      <c r="Q1130" t="s">
        <v>127</v>
      </c>
    </row>
    <row r="1131" spans="1:17" x14ac:dyDescent="0.25">
      <c r="A1131" t="str">
        <f>IF(C1131&amp;G1131&amp;D1131&lt;&gt;'Funnel setup'!$K$3&amp;'Funnel setup'!$K$4&amp;'Funnel setup'!$K$6,".",IF(A1130=".",1,A1130+1))</f>
        <v>.</v>
      </c>
      <c r="B1131" s="244" t="str">
        <f t="shared" si="17"/>
        <v>Hip Replacement RevisionSub-ICB of GP PracticeNHS NORTH EAST AND NORTH CUMBRIA ICB - 00L (00L)EQ VAS</v>
      </c>
      <c r="C1131" t="s">
        <v>967</v>
      </c>
      <c r="D1131" t="s">
        <v>1021</v>
      </c>
      <c r="E1131" t="s">
        <v>885</v>
      </c>
      <c r="F1131" t="s">
        <v>886</v>
      </c>
      <c r="G1131" t="s">
        <v>752</v>
      </c>
      <c r="H1131">
        <v>2</v>
      </c>
      <c r="I1131">
        <v>53</v>
      </c>
      <c r="J1131">
        <v>57.5</v>
      </c>
      <c r="K1131">
        <v>4.5</v>
      </c>
      <c r="L1131">
        <v>1</v>
      </c>
      <c r="M1131">
        <v>0</v>
      </c>
      <c r="N1131">
        <v>1</v>
      </c>
      <c r="O1131" t="s">
        <v>127</v>
      </c>
      <c r="P1131" t="s">
        <v>127</v>
      </c>
      <c r="Q1131" t="s">
        <v>127</v>
      </c>
    </row>
    <row r="1132" spans="1:17" x14ac:dyDescent="0.25">
      <c r="A1132" t="str">
        <f>IF(C1132&amp;G1132&amp;D1132&lt;&gt;'Funnel setup'!$K$3&amp;'Funnel setup'!$K$4&amp;'Funnel setup'!$K$6,".",IF(A1131=".",1,A1131+1))</f>
        <v>.</v>
      </c>
      <c r="B1132" s="244" t="str">
        <f t="shared" si="17"/>
        <v>Hip Replacement RevisionSub-ICB of GP PracticeNHS NORTH EAST AND NORTH CUMBRIA ICB - 00N (00N)EQ VAS</v>
      </c>
      <c r="C1132" t="s">
        <v>967</v>
      </c>
      <c r="D1132" t="s">
        <v>1021</v>
      </c>
      <c r="E1132" t="s">
        <v>887</v>
      </c>
      <c r="F1132" t="s">
        <v>888</v>
      </c>
      <c r="G1132" t="s">
        <v>752</v>
      </c>
      <c r="H1132">
        <v>1</v>
      </c>
      <c r="I1132">
        <v>0</v>
      </c>
      <c r="J1132">
        <v>30</v>
      </c>
      <c r="K1132">
        <v>30</v>
      </c>
      <c r="L1132">
        <v>1</v>
      </c>
      <c r="M1132">
        <v>0</v>
      </c>
      <c r="N1132">
        <v>0</v>
      </c>
      <c r="O1132" t="s">
        <v>127</v>
      </c>
      <c r="P1132" t="s">
        <v>127</v>
      </c>
      <c r="Q1132" t="s">
        <v>127</v>
      </c>
    </row>
    <row r="1133" spans="1:17" x14ac:dyDescent="0.25">
      <c r="A1133" t="str">
        <f>IF(C1133&amp;G1133&amp;D1133&lt;&gt;'Funnel setup'!$K$3&amp;'Funnel setup'!$K$4&amp;'Funnel setup'!$K$6,".",IF(A1132=".",1,A1132+1))</f>
        <v>.</v>
      </c>
      <c r="B1133" s="244" t="str">
        <f t="shared" si="17"/>
        <v>Hip Replacement RevisionSub-ICB of GP PracticeNHS NORTH EAST AND NORTH CUMBRIA ICB - 00P (00P)EQ VAS</v>
      </c>
      <c r="C1133" t="s">
        <v>967</v>
      </c>
      <c r="D1133" t="s">
        <v>1021</v>
      </c>
      <c r="E1133" t="s">
        <v>889</v>
      </c>
      <c r="F1133" t="s">
        <v>890</v>
      </c>
      <c r="G1133" t="s">
        <v>752</v>
      </c>
      <c r="H1133">
        <v>2</v>
      </c>
      <c r="I1133">
        <v>49</v>
      </c>
      <c r="J1133">
        <v>75</v>
      </c>
      <c r="K1133">
        <v>26</v>
      </c>
      <c r="L1133">
        <v>2</v>
      </c>
      <c r="M1133">
        <v>0</v>
      </c>
      <c r="N1133">
        <v>0</v>
      </c>
      <c r="O1133" t="s">
        <v>127</v>
      </c>
      <c r="P1133" t="s">
        <v>127</v>
      </c>
      <c r="Q1133" t="s">
        <v>127</v>
      </c>
    </row>
    <row r="1134" spans="1:17" x14ac:dyDescent="0.25">
      <c r="A1134" t="str">
        <f>IF(C1134&amp;G1134&amp;D1134&lt;&gt;'Funnel setup'!$K$3&amp;'Funnel setup'!$K$4&amp;'Funnel setup'!$K$6,".",IF(A1133=".",1,A1133+1))</f>
        <v>.</v>
      </c>
      <c r="B1134" s="244" t="str">
        <f t="shared" si="17"/>
        <v>Hip Replacement RevisionSub-ICB of GP PracticeNHS NORTH EAST AND NORTH CUMBRIA ICB - 01H (01H)EQ VAS</v>
      </c>
      <c r="C1134" t="s">
        <v>967</v>
      </c>
      <c r="D1134" t="s">
        <v>1021</v>
      </c>
      <c r="E1134" t="s">
        <v>891</v>
      </c>
      <c r="F1134" t="s">
        <v>892</v>
      </c>
      <c r="G1134" t="s">
        <v>752</v>
      </c>
      <c r="H1134">
        <v>9</v>
      </c>
      <c r="I1134">
        <v>73.222200000000001</v>
      </c>
      <c r="J1134">
        <v>77.111099999999993</v>
      </c>
      <c r="K1134">
        <v>3.88889</v>
      </c>
      <c r="L1134">
        <v>5</v>
      </c>
      <c r="M1134">
        <v>1</v>
      </c>
      <c r="N1134">
        <v>3</v>
      </c>
      <c r="O1134" t="s">
        <v>127</v>
      </c>
      <c r="P1134" t="s">
        <v>127</v>
      </c>
      <c r="Q1134" t="s">
        <v>127</v>
      </c>
    </row>
    <row r="1135" spans="1:17" x14ac:dyDescent="0.25">
      <c r="A1135" t="str">
        <f>IF(C1135&amp;G1135&amp;D1135&lt;&gt;'Funnel setup'!$K$3&amp;'Funnel setup'!$K$4&amp;'Funnel setup'!$K$6,".",IF(A1134=".",1,A1134+1))</f>
        <v>.</v>
      </c>
      <c r="B1135" s="244" t="str">
        <f t="shared" si="17"/>
        <v>Hip Replacement RevisionSub-ICB of GP PracticeNHS NORTH EAST AND NORTH CUMBRIA ICB - 13T (13T)EQ VAS</v>
      </c>
      <c r="C1135" t="s">
        <v>967</v>
      </c>
      <c r="D1135" t="s">
        <v>1021</v>
      </c>
      <c r="E1135" t="s">
        <v>893</v>
      </c>
      <c r="F1135" t="s">
        <v>894</v>
      </c>
      <c r="G1135" t="s">
        <v>752</v>
      </c>
      <c r="H1135">
        <v>3</v>
      </c>
      <c r="I1135">
        <v>61.666699999999999</v>
      </c>
      <c r="J1135">
        <v>46.666699999999999</v>
      </c>
      <c r="K1135">
        <v>-15</v>
      </c>
      <c r="L1135">
        <v>1</v>
      </c>
      <c r="M1135">
        <v>0</v>
      </c>
      <c r="N1135">
        <v>2</v>
      </c>
      <c r="O1135" t="s">
        <v>127</v>
      </c>
      <c r="P1135" t="s">
        <v>127</v>
      </c>
      <c r="Q1135" t="s">
        <v>127</v>
      </c>
    </row>
    <row r="1136" spans="1:17" x14ac:dyDescent="0.25">
      <c r="A1136" t="str">
        <f>IF(C1136&amp;G1136&amp;D1136&lt;&gt;'Funnel setup'!$K$3&amp;'Funnel setup'!$K$4&amp;'Funnel setup'!$K$6,".",IF(A1135=".",1,A1135+1))</f>
        <v>.</v>
      </c>
      <c r="B1136" s="244" t="str">
        <f t="shared" si="17"/>
        <v>Hip Replacement RevisionSub-ICB of GP PracticeNHS NORTH EAST AND NORTH CUMBRIA ICB - 16C (16C)EQ VAS</v>
      </c>
      <c r="C1136" t="s">
        <v>967</v>
      </c>
      <c r="D1136" t="s">
        <v>1021</v>
      </c>
      <c r="E1136" t="s">
        <v>895</v>
      </c>
      <c r="F1136" t="s">
        <v>896</v>
      </c>
      <c r="G1136" t="s">
        <v>752</v>
      </c>
      <c r="H1136">
        <v>13</v>
      </c>
      <c r="I1136">
        <v>64.076899999999995</v>
      </c>
      <c r="J1136">
        <v>59.153799999999997</v>
      </c>
      <c r="K1136">
        <v>-4.9230799999999997</v>
      </c>
      <c r="L1136">
        <v>5</v>
      </c>
      <c r="M1136">
        <v>1</v>
      </c>
      <c r="N1136">
        <v>7</v>
      </c>
      <c r="O1136" t="s">
        <v>127</v>
      </c>
      <c r="P1136" t="s">
        <v>127</v>
      </c>
      <c r="Q1136" t="s">
        <v>127</v>
      </c>
    </row>
    <row r="1137" spans="1:17" x14ac:dyDescent="0.25">
      <c r="A1137" t="str">
        <f>IF(C1137&amp;G1137&amp;D1137&lt;&gt;'Funnel setup'!$K$3&amp;'Funnel setup'!$K$4&amp;'Funnel setup'!$K$6,".",IF(A1136=".",1,A1136+1))</f>
        <v>.</v>
      </c>
      <c r="B1137" s="244" t="str">
        <f t="shared" si="17"/>
        <v>Hip Replacement RevisionSub-ICB of GP PracticeNHS NORTH EAST AND NORTH CUMBRIA ICB - 84H (84H)EQ VAS</v>
      </c>
      <c r="C1137" t="s">
        <v>967</v>
      </c>
      <c r="D1137" t="s">
        <v>1021</v>
      </c>
      <c r="E1137" t="s">
        <v>897</v>
      </c>
      <c r="F1137" t="s">
        <v>898</v>
      </c>
      <c r="G1137" t="s">
        <v>752</v>
      </c>
      <c r="H1137">
        <v>2</v>
      </c>
      <c r="I1137">
        <v>55</v>
      </c>
      <c r="J1137">
        <v>45</v>
      </c>
      <c r="K1137">
        <v>-10</v>
      </c>
      <c r="L1137">
        <v>1</v>
      </c>
      <c r="M1137">
        <v>0</v>
      </c>
      <c r="N1137">
        <v>1</v>
      </c>
      <c r="O1137" t="s">
        <v>127</v>
      </c>
      <c r="P1137" t="s">
        <v>127</v>
      </c>
      <c r="Q1137" t="s">
        <v>127</v>
      </c>
    </row>
    <row r="1138" spans="1:17" x14ac:dyDescent="0.25">
      <c r="A1138" t="str">
        <f>IF(C1138&amp;G1138&amp;D1138&lt;&gt;'Funnel setup'!$K$3&amp;'Funnel setup'!$K$4&amp;'Funnel setup'!$K$6,".",IF(A1137=".",1,A1137+1))</f>
        <v>.</v>
      </c>
      <c r="B1138" s="244" t="str">
        <f t="shared" si="17"/>
        <v>Hip Replacement RevisionSub-ICB of GP PracticeNHS NORTH EAST AND NORTH CUMBRIA ICB - 99C (99C)EQ VAS</v>
      </c>
      <c r="C1138" t="s">
        <v>967</v>
      </c>
      <c r="D1138" t="s">
        <v>1021</v>
      </c>
      <c r="E1138" t="s">
        <v>899</v>
      </c>
      <c r="F1138" t="s">
        <v>900</v>
      </c>
      <c r="G1138" t="s">
        <v>752</v>
      </c>
      <c r="H1138">
        <v>4</v>
      </c>
      <c r="I1138">
        <v>63.75</v>
      </c>
      <c r="J1138">
        <v>76.25</v>
      </c>
      <c r="K1138">
        <v>12.5</v>
      </c>
      <c r="L1138">
        <v>2</v>
      </c>
      <c r="M1138">
        <v>1</v>
      </c>
      <c r="N1138">
        <v>1</v>
      </c>
      <c r="O1138" t="s">
        <v>127</v>
      </c>
      <c r="P1138" t="s">
        <v>127</v>
      </c>
      <c r="Q1138" t="s">
        <v>127</v>
      </c>
    </row>
    <row r="1139" spans="1:17" x14ac:dyDescent="0.25">
      <c r="A1139" t="str">
        <f>IF(C1139&amp;G1139&amp;D1139&lt;&gt;'Funnel setup'!$K$3&amp;'Funnel setup'!$K$4&amp;'Funnel setup'!$K$6,".",IF(A1138=".",1,A1138+1))</f>
        <v>.</v>
      </c>
      <c r="B1139" s="244" t="str">
        <f t="shared" si="17"/>
        <v>Hip Replacement RevisionSub-ICB of GP PracticeNHS NORTH EAST LONDON ICB - A3A8R (A3A8R)EQ VAS</v>
      </c>
      <c r="C1139" t="s">
        <v>967</v>
      </c>
      <c r="D1139" t="s">
        <v>1021</v>
      </c>
      <c r="E1139" t="s">
        <v>901</v>
      </c>
      <c r="F1139" t="s">
        <v>902</v>
      </c>
      <c r="G1139" t="s">
        <v>752</v>
      </c>
      <c r="H1139">
        <v>7</v>
      </c>
      <c r="I1139">
        <v>59.285699999999999</v>
      </c>
      <c r="J1139">
        <v>68</v>
      </c>
      <c r="K1139">
        <v>8.7142900000000001</v>
      </c>
      <c r="L1139">
        <v>5</v>
      </c>
      <c r="M1139">
        <v>0</v>
      </c>
      <c r="N1139">
        <v>2</v>
      </c>
      <c r="O1139" t="s">
        <v>127</v>
      </c>
      <c r="P1139" t="s">
        <v>127</v>
      </c>
      <c r="Q1139" t="s">
        <v>127</v>
      </c>
    </row>
    <row r="1140" spans="1:17" x14ac:dyDescent="0.25">
      <c r="A1140" t="str">
        <f>IF(C1140&amp;G1140&amp;D1140&lt;&gt;'Funnel setup'!$K$3&amp;'Funnel setup'!$K$4&amp;'Funnel setup'!$K$6,".",IF(A1139=".",1,A1139+1))</f>
        <v>.</v>
      </c>
      <c r="B1140" s="244" t="str">
        <f t="shared" si="17"/>
        <v>Hip Replacement RevisionSub-ICB of GP PracticeNHS NORTH WEST LONDON ICB - W2U3Z (W2U3Z)EQ VAS</v>
      </c>
      <c r="C1140" t="s">
        <v>967</v>
      </c>
      <c r="D1140" t="s">
        <v>1021</v>
      </c>
      <c r="E1140" t="s">
        <v>903</v>
      </c>
      <c r="F1140" t="s">
        <v>904</v>
      </c>
      <c r="G1140" t="s">
        <v>752</v>
      </c>
      <c r="H1140">
        <v>5</v>
      </c>
      <c r="I1140">
        <v>67</v>
      </c>
      <c r="J1140">
        <v>63</v>
      </c>
      <c r="K1140">
        <v>-4</v>
      </c>
      <c r="L1140">
        <v>2</v>
      </c>
      <c r="M1140">
        <v>1</v>
      </c>
      <c r="N1140">
        <v>2</v>
      </c>
      <c r="O1140" t="s">
        <v>127</v>
      </c>
      <c r="P1140" t="s">
        <v>127</v>
      </c>
      <c r="Q1140" t="s">
        <v>127</v>
      </c>
    </row>
    <row r="1141" spans="1:17" x14ac:dyDescent="0.25">
      <c r="A1141" t="str">
        <f>IF(C1141&amp;G1141&amp;D1141&lt;&gt;'Funnel setup'!$K$3&amp;'Funnel setup'!$K$4&amp;'Funnel setup'!$K$6,".",IF(A1140=".",1,A1140+1))</f>
        <v>.</v>
      </c>
      <c r="B1141" s="244" t="str">
        <f t="shared" si="17"/>
        <v>Hip Replacement RevisionSub-ICB of GP PracticeNHS NORTHAMPTONSHIRE ICB - 78H (78H)EQ VAS</v>
      </c>
      <c r="C1141" t="s">
        <v>967</v>
      </c>
      <c r="D1141" t="s">
        <v>1021</v>
      </c>
      <c r="E1141" t="s">
        <v>905</v>
      </c>
      <c r="F1141" t="s">
        <v>906</v>
      </c>
      <c r="G1141" t="s">
        <v>752</v>
      </c>
      <c r="H1141">
        <v>15</v>
      </c>
      <c r="I1141">
        <v>51.933300000000003</v>
      </c>
      <c r="J1141">
        <v>75.666700000000006</v>
      </c>
      <c r="K1141">
        <v>23.7333</v>
      </c>
      <c r="L1141">
        <v>12</v>
      </c>
      <c r="M1141">
        <v>1</v>
      </c>
      <c r="N1141">
        <v>2</v>
      </c>
      <c r="O1141" t="s">
        <v>127</v>
      </c>
      <c r="P1141" t="s">
        <v>127</v>
      </c>
      <c r="Q1141" t="s">
        <v>127</v>
      </c>
    </row>
    <row r="1142" spans="1:17" x14ac:dyDescent="0.25">
      <c r="A1142" t="str">
        <f>IF(C1142&amp;G1142&amp;D1142&lt;&gt;'Funnel setup'!$K$3&amp;'Funnel setup'!$K$4&amp;'Funnel setup'!$K$6,".",IF(A1141=".",1,A1141+1))</f>
        <v>.</v>
      </c>
      <c r="B1142" s="244" t="str">
        <f t="shared" si="17"/>
        <v>Hip Replacement RevisionSub-ICB of GP PracticeNHS NOTTINGHAM AND NOTTINGHAMSHIRE ICB - 02Q (02Q)EQ VAS</v>
      </c>
      <c r="C1142" t="s">
        <v>967</v>
      </c>
      <c r="D1142" t="s">
        <v>1021</v>
      </c>
      <c r="E1142" t="s">
        <v>907</v>
      </c>
      <c r="F1142" t="s">
        <v>908</v>
      </c>
      <c r="G1142" t="s">
        <v>752</v>
      </c>
      <c r="H1142">
        <v>1</v>
      </c>
      <c r="I1142">
        <v>70</v>
      </c>
      <c r="J1142">
        <v>63</v>
      </c>
      <c r="K1142">
        <v>-7</v>
      </c>
      <c r="L1142">
        <v>0</v>
      </c>
      <c r="M1142">
        <v>0</v>
      </c>
      <c r="N1142">
        <v>1</v>
      </c>
      <c r="O1142" t="s">
        <v>127</v>
      </c>
      <c r="P1142" t="s">
        <v>127</v>
      </c>
      <c r="Q1142" t="s">
        <v>127</v>
      </c>
    </row>
    <row r="1143" spans="1:17" x14ac:dyDescent="0.25">
      <c r="A1143" t="str">
        <f>IF(C1143&amp;G1143&amp;D1143&lt;&gt;'Funnel setup'!$K$3&amp;'Funnel setup'!$K$4&amp;'Funnel setup'!$K$6,".",IF(A1142=".",1,A1142+1))</f>
        <v>.</v>
      </c>
      <c r="B1143" s="244" t="str">
        <f t="shared" si="17"/>
        <v>Hip Replacement RevisionSub-ICB of GP PracticeNHS SHROPSHIRE, TELFORD AND WREKIN ICB - M2L0M (M2L0M)EQ VAS</v>
      </c>
      <c r="C1143" t="s">
        <v>967</v>
      </c>
      <c r="D1143" t="s">
        <v>1021</v>
      </c>
      <c r="E1143" t="s">
        <v>911</v>
      </c>
      <c r="F1143" t="s">
        <v>912</v>
      </c>
      <c r="G1143" t="s">
        <v>752</v>
      </c>
      <c r="H1143">
        <v>11</v>
      </c>
      <c r="I1143">
        <v>55</v>
      </c>
      <c r="J1143">
        <v>75</v>
      </c>
      <c r="K1143">
        <v>20</v>
      </c>
      <c r="L1143">
        <v>7</v>
      </c>
      <c r="M1143">
        <v>0</v>
      </c>
      <c r="N1143">
        <v>4</v>
      </c>
      <c r="O1143" t="s">
        <v>127</v>
      </c>
      <c r="P1143" t="s">
        <v>127</v>
      </c>
      <c r="Q1143" t="s">
        <v>127</v>
      </c>
    </row>
    <row r="1144" spans="1:17" x14ac:dyDescent="0.25">
      <c r="A1144" t="str">
        <f>IF(C1144&amp;G1144&amp;D1144&lt;&gt;'Funnel setup'!$K$3&amp;'Funnel setup'!$K$4&amp;'Funnel setup'!$K$6,".",IF(A1143=".",1,A1143+1))</f>
        <v>.</v>
      </c>
      <c r="B1144" s="244" t="str">
        <f t="shared" si="17"/>
        <v>Hip Replacement RevisionSub-ICB of GP PracticeNHS SOMERSET ICB - 11X (11X)EQ VAS</v>
      </c>
      <c r="C1144" t="s">
        <v>967</v>
      </c>
      <c r="D1144" t="s">
        <v>1021</v>
      </c>
      <c r="E1144" t="s">
        <v>913</v>
      </c>
      <c r="F1144" t="s">
        <v>914</v>
      </c>
      <c r="G1144" t="s">
        <v>752</v>
      </c>
      <c r="H1144">
        <v>4</v>
      </c>
      <c r="I1144">
        <v>63</v>
      </c>
      <c r="J1144">
        <v>62.25</v>
      </c>
      <c r="K1144">
        <v>-0.75</v>
      </c>
      <c r="L1144">
        <v>3</v>
      </c>
      <c r="M1144">
        <v>0</v>
      </c>
      <c r="N1144">
        <v>1</v>
      </c>
      <c r="O1144" t="s">
        <v>127</v>
      </c>
      <c r="P1144" t="s">
        <v>127</v>
      </c>
      <c r="Q1144" t="s">
        <v>127</v>
      </c>
    </row>
    <row r="1145" spans="1:17" x14ac:dyDescent="0.25">
      <c r="A1145" t="str">
        <f>IF(C1145&amp;G1145&amp;D1145&lt;&gt;'Funnel setup'!$K$3&amp;'Funnel setup'!$K$4&amp;'Funnel setup'!$K$6,".",IF(A1144=".",1,A1144+1))</f>
        <v>.</v>
      </c>
      <c r="B1145" s="244" t="str">
        <f t="shared" si="17"/>
        <v>Hip Replacement RevisionSub-ICB of GP PracticeNHS SOUTH EAST LONDON ICB - 72Q (72Q)EQ VAS</v>
      </c>
      <c r="C1145" t="s">
        <v>967</v>
      </c>
      <c r="D1145" t="s">
        <v>1021</v>
      </c>
      <c r="E1145" t="s">
        <v>915</v>
      </c>
      <c r="F1145" t="s">
        <v>916</v>
      </c>
      <c r="G1145" t="s">
        <v>752</v>
      </c>
      <c r="H1145">
        <v>9</v>
      </c>
      <c r="I1145">
        <v>60.666699999999999</v>
      </c>
      <c r="J1145">
        <v>56.222200000000001</v>
      </c>
      <c r="K1145">
        <v>-4.4444400000000002</v>
      </c>
      <c r="L1145">
        <v>5</v>
      </c>
      <c r="M1145">
        <v>0</v>
      </c>
      <c r="N1145">
        <v>4</v>
      </c>
      <c r="O1145" t="s">
        <v>127</v>
      </c>
      <c r="P1145" t="s">
        <v>127</v>
      </c>
      <c r="Q1145" t="s">
        <v>127</v>
      </c>
    </row>
    <row r="1146" spans="1:17" x14ac:dyDescent="0.25">
      <c r="A1146" t="str">
        <f>IF(C1146&amp;G1146&amp;D1146&lt;&gt;'Funnel setup'!$K$3&amp;'Funnel setup'!$K$4&amp;'Funnel setup'!$K$6,".",IF(A1145=".",1,A1145+1))</f>
        <v>.</v>
      </c>
      <c r="B1146" s="244" t="str">
        <f t="shared" si="17"/>
        <v>Hip Replacement RevisionSub-ICB of GP PracticeNHS SOUTH WEST LONDON ICB - 36L (36L)EQ VAS</v>
      </c>
      <c r="C1146" t="s">
        <v>967</v>
      </c>
      <c r="D1146" t="s">
        <v>1021</v>
      </c>
      <c r="E1146" t="s">
        <v>917</v>
      </c>
      <c r="F1146" t="s">
        <v>918</v>
      </c>
      <c r="G1146" t="s">
        <v>752</v>
      </c>
      <c r="H1146">
        <v>18</v>
      </c>
      <c r="I1146">
        <v>55.833300000000001</v>
      </c>
      <c r="J1146">
        <v>69.111099999999993</v>
      </c>
      <c r="K1146">
        <v>13.277799999999999</v>
      </c>
      <c r="L1146">
        <v>13</v>
      </c>
      <c r="M1146">
        <v>2</v>
      </c>
      <c r="N1146">
        <v>3</v>
      </c>
      <c r="O1146" t="s">
        <v>127</v>
      </c>
      <c r="P1146" t="s">
        <v>127</v>
      </c>
      <c r="Q1146" t="s">
        <v>127</v>
      </c>
    </row>
    <row r="1147" spans="1:17" x14ac:dyDescent="0.25">
      <c r="A1147" t="str">
        <f>IF(C1147&amp;G1147&amp;D1147&lt;&gt;'Funnel setup'!$K$3&amp;'Funnel setup'!$K$4&amp;'Funnel setup'!$K$6,".",IF(A1146=".",1,A1146+1))</f>
        <v>.</v>
      </c>
      <c r="B1147" s="244" t="str">
        <f t="shared" si="17"/>
        <v>Hip Replacement RevisionSub-ICB of GP PracticeNHS SOUTH YORKSHIRE ICB - 02X (02X)EQ VAS</v>
      </c>
      <c r="C1147" t="s">
        <v>967</v>
      </c>
      <c r="D1147" t="s">
        <v>1021</v>
      </c>
      <c r="E1147" t="s">
        <v>921</v>
      </c>
      <c r="F1147" t="s">
        <v>922</v>
      </c>
      <c r="G1147" t="s">
        <v>752</v>
      </c>
      <c r="H1147">
        <v>3</v>
      </c>
      <c r="I1147">
        <v>41.666699999999999</v>
      </c>
      <c r="J1147">
        <v>45</v>
      </c>
      <c r="K1147">
        <v>3.3333300000000001</v>
      </c>
      <c r="L1147">
        <v>2</v>
      </c>
      <c r="M1147">
        <v>0</v>
      </c>
      <c r="N1147">
        <v>1</v>
      </c>
      <c r="O1147" t="s">
        <v>127</v>
      </c>
      <c r="P1147" t="s">
        <v>127</v>
      </c>
      <c r="Q1147" t="s">
        <v>127</v>
      </c>
    </row>
    <row r="1148" spans="1:17" x14ac:dyDescent="0.25">
      <c r="A1148" t="str">
        <f>IF(C1148&amp;G1148&amp;D1148&lt;&gt;'Funnel setup'!$K$3&amp;'Funnel setup'!$K$4&amp;'Funnel setup'!$K$6,".",IF(A1147=".",1,A1147+1))</f>
        <v>.</v>
      </c>
      <c r="B1148" s="244" t="str">
        <f t="shared" si="17"/>
        <v>Hip Replacement RevisionSub-ICB of GP PracticeNHS SOUTH YORKSHIRE ICB - 03L (03L)EQ VAS</v>
      </c>
      <c r="C1148" t="s">
        <v>967</v>
      </c>
      <c r="D1148" t="s">
        <v>1021</v>
      </c>
      <c r="E1148" t="s">
        <v>923</v>
      </c>
      <c r="F1148" t="s">
        <v>924</v>
      </c>
      <c r="G1148" t="s">
        <v>752</v>
      </c>
      <c r="H1148">
        <v>1</v>
      </c>
      <c r="I1148">
        <v>30</v>
      </c>
      <c r="J1148">
        <v>25</v>
      </c>
      <c r="K1148">
        <v>-5</v>
      </c>
      <c r="L1148">
        <v>0</v>
      </c>
      <c r="M1148">
        <v>0</v>
      </c>
      <c r="N1148">
        <v>1</v>
      </c>
      <c r="O1148" t="s">
        <v>127</v>
      </c>
      <c r="P1148" t="s">
        <v>127</v>
      </c>
      <c r="Q1148" t="s">
        <v>127</v>
      </c>
    </row>
    <row r="1149" spans="1:17" x14ac:dyDescent="0.25">
      <c r="A1149" t="str">
        <f>IF(C1149&amp;G1149&amp;D1149&lt;&gt;'Funnel setup'!$K$3&amp;'Funnel setup'!$K$4&amp;'Funnel setup'!$K$6,".",IF(A1148=".",1,A1148+1))</f>
        <v>.</v>
      </c>
      <c r="B1149" s="244" t="str">
        <f t="shared" si="17"/>
        <v>Hip Replacement RevisionSub-ICB of GP PracticeNHS SOUTH YORKSHIRE ICB - 03N (03N)EQ VAS</v>
      </c>
      <c r="C1149" t="s">
        <v>967</v>
      </c>
      <c r="D1149" t="s">
        <v>1021</v>
      </c>
      <c r="E1149" t="s">
        <v>925</v>
      </c>
      <c r="F1149" t="s">
        <v>926</v>
      </c>
      <c r="G1149" t="s">
        <v>752</v>
      </c>
      <c r="H1149">
        <v>1</v>
      </c>
      <c r="I1149">
        <v>45</v>
      </c>
      <c r="J1149">
        <v>65</v>
      </c>
      <c r="K1149">
        <v>20</v>
      </c>
      <c r="L1149">
        <v>1</v>
      </c>
      <c r="M1149">
        <v>0</v>
      </c>
      <c r="N1149">
        <v>0</v>
      </c>
      <c r="O1149" t="s">
        <v>127</v>
      </c>
      <c r="P1149" t="s">
        <v>127</v>
      </c>
      <c r="Q1149" t="s">
        <v>127</v>
      </c>
    </row>
    <row r="1150" spans="1:17" x14ac:dyDescent="0.25">
      <c r="A1150" t="str">
        <f>IF(C1150&amp;G1150&amp;D1150&lt;&gt;'Funnel setup'!$K$3&amp;'Funnel setup'!$K$4&amp;'Funnel setup'!$K$6,".",IF(A1149=".",1,A1149+1))</f>
        <v>.</v>
      </c>
      <c r="B1150" s="244" t="str">
        <f t="shared" si="17"/>
        <v>Hip Replacement RevisionSub-ICB of GP PracticeNHS STAFFORDSHIRE AND STOKE-ON-TRENT ICB - 04Y (04Y)EQ VAS</v>
      </c>
      <c r="C1150" t="s">
        <v>967</v>
      </c>
      <c r="D1150" t="s">
        <v>1021</v>
      </c>
      <c r="E1150" t="s">
        <v>927</v>
      </c>
      <c r="F1150" t="s">
        <v>928</v>
      </c>
      <c r="G1150" t="s">
        <v>752</v>
      </c>
      <c r="H1150">
        <v>2</v>
      </c>
      <c r="I1150">
        <v>57.5</v>
      </c>
      <c r="J1150">
        <v>81</v>
      </c>
      <c r="K1150">
        <v>23.5</v>
      </c>
      <c r="L1150">
        <v>1</v>
      </c>
      <c r="M1150">
        <v>0</v>
      </c>
      <c r="N1150">
        <v>1</v>
      </c>
      <c r="O1150" t="s">
        <v>127</v>
      </c>
      <c r="P1150" t="s">
        <v>127</v>
      </c>
      <c r="Q1150" t="s">
        <v>127</v>
      </c>
    </row>
    <row r="1151" spans="1:17" x14ac:dyDescent="0.25">
      <c r="A1151" t="str">
        <f>IF(C1151&amp;G1151&amp;D1151&lt;&gt;'Funnel setup'!$K$3&amp;'Funnel setup'!$K$4&amp;'Funnel setup'!$K$6,".",IF(A1150=".",1,A1150+1))</f>
        <v>.</v>
      </c>
      <c r="B1151" s="244" t="str">
        <f t="shared" si="17"/>
        <v>Hip Replacement RevisionSub-ICB of GP PracticeNHS STAFFORDSHIRE AND STOKE-ON-TRENT ICB - 05D (05D)EQ VAS</v>
      </c>
      <c r="C1151" t="s">
        <v>967</v>
      </c>
      <c r="D1151" t="s">
        <v>1021</v>
      </c>
      <c r="E1151" t="s">
        <v>929</v>
      </c>
      <c r="F1151" t="s">
        <v>930</v>
      </c>
      <c r="G1151" t="s">
        <v>752</v>
      </c>
      <c r="H1151" t="s">
        <v>127</v>
      </c>
      <c r="I1151" t="s">
        <v>127</v>
      </c>
      <c r="J1151" t="s">
        <v>127</v>
      </c>
      <c r="K1151" t="s">
        <v>127</v>
      </c>
      <c r="L1151" t="s">
        <v>127</v>
      </c>
      <c r="M1151" t="s">
        <v>127</v>
      </c>
      <c r="N1151" t="s">
        <v>127</v>
      </c>
      <c r="O1151" t="s">
        <v>127</v>
      </c>
      <c r="P1151" t="s">
        <v>127</v>
      </c>
      <c r="Q1151" t="s">
        <v>127</v>
      </c>
    </row>
    <row r="1152" spans="1:17" x14ac:dyDescent="0.25">
      <c r="A1152" t="str">
        <f>IF(C1152&amp;G1152&amp;D1152&lt;&gt;'Funnel setup'!$K$3&amp;'Funnel setup'!$K$4&amp;'Funnel setup'!$K$6,".",IF(A1151=".",1,A1151+1))</f>
        <v>.</v>
      </c>
      <c r="B1152" s="244" t="str">
        <f t="shared" si="17"/>
        <v>Hip Replacement RevisionSub-ICB of GP PracticeNHS STAFFORDSHIRE AND STOKE-ON-TRENT ICB - 05Q (05Q)EQ VAS</v>
      </c>
      <c r="C1152" t="s">
        <v>967</v>
      </c>
      <c r="D1152" t="s">
        <v>1021</v>
      </c>
      <c r="E1152" t="s">
        <v>933</v>
      </c>
      <c r="F1152" t="s">
        <v>934</v>
      </c>
      <c r="G1152" t="s">
        <v>752</v>
      </c>
      <c r="H1152">
        <v>4</v>
      </c>
      <c r="I1152">
        <v>72.5</v>
      </c>
      <c r="J1152">
        <v>73.75</v>
      </c>
      <c r="K1152">
        <v>1.25</v>
      </c>
      <c r="L1152">
        <v>2</v>
      </c>
      <c r="M1152">
        <v>1</v>
      </c>
      <c r="N1152">
        <v>1</v>
      </c>
      <c r="O1152" t="s">
        <v>127</v>
      </c>
      <c r="P1152" t="s">
        <v>127</v>
      </c>
      <c r="Q1152" t="s">
        <v>127</v>
      </c>
    </row>
    <row r="1153" spans="1:17" x14ac:dyDescent="0.25">
      <c r="A1153" t="str">
        <f>IF(C1153&amp;G1153&amp;D1153&lt;&gt;'Funnel setup'!$K$3&amp;'Funnel setup'!$K$4&amp;'Funnel setup'!$K$6,".",IF(A1152=".",1,A1152+1))</f>
        <v>.</v>
      </c>
      <c r="B1153" s="244" t="str">
        <f t="shared" si="17"/>
        <v>Hip Replacement RevisionSub-ICB of GP PracticeNHS STAFFORDSHIRE AND STOKE-ON-TRENT ICB - 05V (05V)EQ VAS</v>
      </c>
      <c r="C1153" t="s">
        <v>967</v>
      </c>
      <c r="D1153" t="s">
        <v>1021</v>
      </c>
      <c r="E1153" t="s">
        <v>935</v>
      </c>
      <c r="F1153" t="s">
        <v>936</v>
      </c>
      <c r="G1153" t="s">
        <v>752</v>
      </c>
      <c r="H1153">
        <v>1</v>
      </c>
      <c r="I1153">
        <v>80</v>
      </c>
      <c r="J1153">
        <v>70</v>
      </c>
      <c r="K1153">
        <v>-10</v>
      </c>
      <c r="L1153">
        <v>0</v>
      </c>
      <c r="M1153">
        <v>0</v>
      </c>
      <c r="N1153">
        <v>1</v>
      </c>
      <c r="O1153" t="s">
        <v>127</v>
      </c>
      <c r="P1153" t="s">
        <v>127</v>
      </c>
      <c r="Q1153" t="s">
        <v>127</v>
      </c>
    </row>
    <row r="1154" spans="1:17" x14ac:dyDescent="0.25">
      <c r="A1154" t="str">
        <f>IF(C1154&amp;G1154&amp;D1154&lt;&gt;'Funnel setup'!$K$3&amp;'Funnel setup'!$K$4&amp;'Funnel setup'!$K$6,".",IF(A1153=".",1,A1153+1))</f>
        <v>.</v>
      </c>
      <c r="B1154" s="244" t="str">
        <f t="shared" ref="B1154:B1217" si="18">C1154&amp;D1154&amp;F1154&amp;G1154</f>
        <v>Hip Replacement RevisionSub-ICB of GP PracticeNHS STAFFORDSHIRE AND STOKE-ON-TRENT ICB - 05W (05W)EQ VAS</v>
      </c>
      <c r="C1154" t="s">
        <v>967</v>
      </c>
      <c r="D1154" t="s">
        <v>1021</v>
      </c>
      <c r="E1154" t="s">
        <v>937</v>
      </c>
      <c r="F1154" t="s">
        <v>938</v>
      </c>
      <c r="G1154" t="s">
        <v>752</v>
      </c>
      <c r="H1154">
        <v>1</v>
      </c>
      <c r="I1154">
        <v>70</v>
      </c>
      <c r="J1154">
        <v>55</v>
      </c>
      <c r="K1154">
        <v>-15</v>
      </c>
      <c r="L1154">
        <v>0</v>
      </c>
      <c r="M1154">
        <v>0</v>
      </c>
      <c r="N1154">
        <v>1</v>
      </c>
      <c r="O1154" t="s">
        <v>127</v>
      </c>
      <c r="P1154" t="s">
        <v>127</v>
      </c>
      <c r="Q1154" t="s">
        <v>127</v>
      </c>
    </row>
    <row r="1155" spans="1:17" x14ac:dyDescent="0.25">
      <c r="A1155" t="str">
        <f>IF(C1155&amp;G1155&amp;D1155&lt;&gt;'Funnel setup'!$K$3&amp;'Funnel setup'!$K$4&amp;'Funnel setup'!$K$6,".",IF(A1154=".",1,A1154+1))</f>
        <v>.</v>
      </c>
      <c r="B1155" s="244" t="str">
        <f t="shared" si="18"/>
        <v>Hip Replacement RevisionSub-ICB of GP PracticeNHS SUFFOLK AND NORTH EAST ESSEX ICB - 06L (06L)EQ VAS</v>
      </c>
      <c r="C1155" t="s">
        <v>967</v>
      </c>
      <c r="D1155" t="s">
        <v>1021</v>
      </c>
      <c r="E1155" t="s">
        <v>939</v>
      </c>
      <c r="F1155" t="s">
        <v>940</v>
      </c>
      <c r="G1155" t="s">
        <v>752</v>
      </c>
      <c r="H1155">
        <v>4</v>
      </c>
      <c r="I1155">
        <v>56.5</v>
      </c>
      <c r="J1155">
        <v>82.5</v>
      </c>
      <c r="K1155">
        <v>26</v>
      </c>
      <c r="L1155">
        <v>4</v>
      </c>
      <c r="M1155">
        <v>0</v>
      </c>
      <c r="N1155">
        <v>0</v>
      </c>
      <c r="O1155" t="s">
        <v>127</v>
      </c>
      <c r="P1155" t="s">
        <v>127</v>
      </c>
      <c r="Q1155" t="s">
        <v>127</v>
      </c>
    </row>
    <row r="1156" spans="1:17" x14ac:dyDescent="0.25">
      <c r="A1156" t="str">
        <f>IF(C1156&amp;G1156&amp;D1156&lt;&gt;'Funnel setup'!$K$3&amp;'Funnel setup'!$K$4&amp;'Funnel setup'!$K$6,".",IF(A1155=".",1,A1155+1))</f>
        <v>.</v>
      </c>
      <c r="B1156" s="244" t="str">
        <f t="shared" si="18"/>
        <v>Hip Replacement RevisionSub-ICB of GP PracticeNHS SUFFOLK AND NORTH EAST ESSEX ICB - 06T (06T)EQ VAS</v>
      </c>
      <c r="C1156" t="s">
        <v>967</v>
      </c>
      <c r="D1156" t="s">
        <v>1021</v>
      </c>
      <c r="E1156" t="s">
        <v>941</v>
      </c>
      <c r="F1156" t="s">
        <v>942</v>
      </c>
      <c r="G1156" t="s">
        <v>752</v>
      </c>
      <c r="H1156">
        <v>1</v>
      </c>
      <c r="I1156">
        <v>80</v>
      </c>
      <c r="J1156">
        <v>80</v>
      </c>
      <c r="K1156">
        <v>0</v>
      </c>
      <c r="L1156">
        <v>0</v>
      </c>
      <c r="M1156">
        <v>1</v>
      </c>
      <c r="N1156">
        <v>0</v>
      </c>
      <c r="O1156" t="s">
        <v>127</v>
      </c>
      <c r="P1156" t="s">
        <v>127</v>
      </c>
      <c r="Q1156" t="s">
        <v>127</v>
      </c>
    </row>
    <row r="1157" spans="1:17" x14ac:dyDescent="0.25">
      <c r="A1157" t="str">
        <f>IF(C1157&amp;G1157&amp;D1157&lt;&gt;'Funnel setup'!$K$3&amp;'Funnel setup'!$K$4&amp;'Funnel setup'!$K$6,".",IF(A1156=".",1,A1156+1))</f>
        <v>.</v>
      </c>
      <c r="B1157" s="244" t="str">
        <f t="shared" si="18"/>
        <v>Hip Replacement RevisionSub-ICB of GP PracticeNHS SUFFOLK AND NORTH EAST ESSEX ICB - 07K (07K)EQ VAS</v>
      </c>
      <c r="C1157" t="s">
        <v>967</v>
      </c>
      <c r="D1157" t="s">
        <v>1021</v>
      </c>
      <c r="E1157" t="s">
        <v>943</v>
      </c>
      <c r="F1157" t="s">
        <v>944</v>
      </c>
      <c r="G1157" t="s">
        <v>752</v>
      </c>
      <c r="H1157">
        <v>8</v>
      </c>
      <c r="I1157">
        <v>56.875</v>
      </c>
      <c r="J1157">
        <v>79.25</v>
      </c>
      <c r="K1157">
        <v>22.375</v>
      </c>
      <c r="L1157">
        <v>7</v>
      </c>
      <c r="M1157">
        <v>0</v>
      </c>
      <c r="N1157">
        <v>1</v>
      </c>
      <c r="O1157" t="s">
        <v>127</v>
      </c>
      <c r="P1157" t="s">
        <v>127</v>
      </c>
      <c r="Q1157" t="s">
        <v>127</v>
      </c>
    </row>
    <row r="1158" spans="1:17" x14ac:dyDescent="0.25">
      <c r="A1158" t="str">
        <f>IF(C1158&amp;G1158&amp;D1158&lt;&gt;'Funnel setup'!$K$3&amp;'Funnel setup'!$K$4&amp;'Funnel setup'!$K$6,".",IF(A1157=".",1,A1157+1))</f>
        <v>.</v>
      </c>
      <c r="B1158" s="244" t="str">
        <f t="shared" si="18"/>
        <v>Hip Replacement RevisionSub-ICB of GP PracticeNHS SURREY HEARTLANDS ICB - 92A (92A)EQ VAS</v>
      </c>
      <c r="C1158" t="s">
        <v>967</v>
      </c>
      <c r="D1158" t="s">
        <v>1021</v>
      </c>
      <c r="E1158" t="s">
        <v>945</v>
      </c>
      <c r="F1158" t="s">
        <v>946</v>
      </c>
      <c r="G1158" t="s">
        <v>752</v>
      </c>
      <c r="H1158">
        <v>21</v>
      </c>
      <c r="I1158">
        <v>62.571399999999997</v>
      </c>
      <c r="J1158">
        <v>67.714299999999994</v>
      </c>
      <c r="K1158">
        <v>5.1428599999999998</v>
      </c>
      <c r="L1158">
        <v>12</v>
      </c>
      <c r="M1158">
        <v>3</v>
      </c>
      <c r="N1158">
        <v>6</v>
      </c>
      <c r="O1158" t="s">
        <v>127</v>
      </c>
      <c r="P1158" t="s">
        <v>127</v>
      </c>
      <c r="Q1158" t="s">
        <v>127</v>
      </c>
    </row>
    <row r="1159" spans="1:17" x14ac:dyDescent="0.25">
      <c r="A1159" t="str">
        <f>IF(C1159&amp;G1159&amp;D1159&lt;&gt;'Funnel setup'!$K$3&amp;'Funnel setup'!$K$4&amp;'Funnel setup'!$K$6,".",IF(A1158=".",1,A1158+1))</f>
        <v>.</v>
      </c>
      <c r="B1159" s="244" t="str">
        <f t="shared" si="18"/>
        <v>Hip Replacement RevisionSub-ICB of GP PracticeNHS SUSSEX ICB - 09D (09D)EQ VAS</v>
      </c>
      <c r="C1159" t="s">
        <v>967</v>
      </c>
      <c r="D1159" t="s">
        <v>1021</v>
      </c>
      <c r="E1159" t="s">
        <v>947</v>
      </c>
      <c r="F1159" t="s">
        <v>948</v>
      </c>
      <c r="G1159" t="s">
        <v>752</v>
      </c>
      <c r="H1159">
        <v>4</v>
      </c>
      <c r="I1159">
        <v>46</v>
      </c>
      <c r="J1159">
        <v>62.25</v>
      </c>
      <c r="K1159">
        <v>16.25</v>
      </c>
      <c r="L1159">
        <v>2</v>
      </c>
      <c r="M1159">
        <v>0</v>
      </c>
      <c r="N1159">
        <v>2</v>
      </c>
      <c r="O1159" t="s">
        <v>127</v>
      </c>
      <c r="P1159" t="s">
        <v>127</v>
      </c>
      <c r="Q1159" t="s">
        <v>127</v>
      </c>
    </row>
    <row r="1160" spans="1:17" x14ac:dyDescent="0.25">
      <c r="A1160" t="str">
        <f>IF(C1160&amp;G1160&amp;D1160&lt;&gt;'Funnel setup'!$K$3&amp;'Funnel setup'!$K$4&amp;'Funnel setup'!$K$6,".",IF(A1159=".",1,A1159+1))</f>
        <v>.</v>
      </c>
      <c r="B1160" s="244" t="str">
        <f t="shared" si="18"/>
        <v>Hip Replacement RevisionSub-ICB of GP PracticeNHS SUSSEX ICB - 70F (70F)EQ VAS</v>
      </c>
      <c r="C1160" t="s">
        <v>967</v>
      </c>
      <c r="D1160" t="s">
        <v>1021</v>
      </c>
      <c r="E1160" t="s">
        <v>949</v>
      </c>
      <c r="F1160" t="s">
        <v>950</v>
      </c>
      <c r="G1160" t="s">
        <v>752</v>
      </c>
      <c r="H1160">
        <v>18</v>
      </c>
      <c r="I1160">
        <v>56.666699999999999</v>
      </c>
      <c r="J1160">
        <v>57.333300000000001</v>
      </c>
      <c r="K1160">
        <v>0.66666700000000001</v>
      </c>
      <c r="L1160">
        <v>10</v>
      </c>
      <c r="M1160">
        <v>3</v>
      </c>
      <c r="N1160">
        <v>5</v>
      </c>
      <c r="O1160" t="s">
        <v>127</v>
      </c>
      <c r="P1160" t="s">
        <v>127</v>
      </c>
      <c r="Q1160" t="s">
        <v>127</v>
      </c>
    </row>
    <row r="1161" spans="1:17" x14ac:dyDescent="0.25">
      <c r="A1161" t="str">
        <f>IF(C1161&amp;G1161&amp;D1161&lt;&gt;'Funnel setup'!$K$3&amp;'Funnel setup'!$K$4&amp;'Funnel setup'!$K$6,".",IF(A1160=".",1,A1160+1))</f>
        <v>.</v>
      </c>
      <c r="B1161" s="244" t="str">
        <f t="shared" si="18"/>
        <v>Hip Replacement RevisionSub-ICB of GP PracticeNHS SUSSEX ICB - 97R (97R)EQ VAS</v>
      </c>
      <c r="C1161" t="s">
        <v>967</v>
      </c>
      <c r="D1161" t="s">
        <v>1021</v>
      </c>
      <c r="E1161" t="s">
        <v>951</v>
      </c>
      <c r="F1161" t="s">
        <v>952</v>
      </c>
      <c r="G1161" t="s">
        <v>752</v>
      </c>
      <c r="H1161">
        <v>13</v>
      </c>
      <c r="I1161">
        <v>68.076899999999995</v>
      </c>
      <c r="J1161">
        <v>67.846199999999996</v>
      </c>
      <c r="K1161">
        <v>-0.230769</v>
      </c>
      <c r="L1161">
        <v>6</v>
      </c>
      <c r="M1161">
        <v>1</v>
      </c>
      <c r="N1161">
        <v>6</v>
      </c>
      <c r="O1161" t="s">
        <v>127</v>
      </c>
      <c r="P1161" t="s">
        <v>127</v>
      </c>
      <c r="Q1161" t="s">
        <v>127</v>
      </c>
    </row>
    <row r="1162" spans="1:17" x14ac:dyDescent="0.25">
      <c r="A1162" t="str">
        <f>IF(C1162&amp;G1162&amp;D1162&lt;&gt;'Funnel setup'!$K$3&amp;'Funnel setup'!$K$4&amp;'Funnel setup'!$K$6,".",IF(A1161=".",1,A1161+1))</f>
        <v>.</v>
      </c>
      <c r="B1162" s="244" t="str">
        <f t="shared" si="18"/>
        <v>Hip Replacement RevisionSub-ICB of GP PracticeNHS WEST YORKSHIRE ICB - 02T (02T)EQ VAS</v>
      </c>
      <c r="C1162" t="s">
        <v>967</v>
      </c>
      <c r="D1162" t="s">
        <v>1021</v>
      </c>
      <c r="E1162" t="s">
        <v>953</v>
      </c>
      <c r="F1162" t="s">
        <v>954</v>
      </c>
      <c r="G1162" t="s">
        <v>752</v>
      </c>
      <c r="H1162">
        <v>2</v>
      </c>
      <c r="I1162">
        <v>40</v>
      </c>
      <c r="J1162">
        <v>42</v>
      </c>
      <c r="K1162">
        <v>2</v>
      </c>
      <c r="L1162">
        <v>1</v>
      </c>
      <c r="M1162">
        <v>0</v>
      </c>
      <c r="N1162">
        <v>1</v>
      </c>
      <c r="O1162" t="s">
        <v>127</v>
      </c>
      <c r="P1162" t="s">
        <v>127</v>
      </c>
      <c r="Q1162" t="s">
        <v>127</v>
      </c>
    </row>
    <row r="1163" spans="1:17" x14ac:dyDescent="0.25">
      <c r="A1163" t="str">
        <f>IF(C1163&amp;G1163&amp;D1163&lt;&gt;'Funnel setup'!$K$3&amp;'Funnel setup'!$K$4&amp;'Funnel setup'!$K$6,".",IF(A1162=".",1,A1162+1))</f>
        <v>.</v>
      </c>
      <c r="B1163" s="244" t="str">
        <f t="shared" si="18"/>
        <v>Hip Replacement RevisionSub-ICB of GP PracticeNHS WEST YORKSHIRE ICB - 03R (03R)EQ VAS</v>
      </c>
      <c r="C1163" t="s">
        <v>967</v>
      </c>
      <c r="D1163" t="s">
        <v>1021</v>
      </c>
      <c r="E1163" t="s">
        <v>955</v>
      </c>
      <c r="F1163" t="s">
        <v>956</v>
      </c>
      <c r="G1163" t="s">
        <v>752</v>
      </c>
      <c r="H1163">
        <v>7</v>
      </c>
      <c r="I1163">
        <v>49.857100000000003</v>
      </c>
      <c r="J1163">
        <v>67.571399999999997</v>
      </c>
      <c r="K1163">
        <v>17.714300000000001</v>
      </c>
      <c r="L1163">
        <v>4</v>
      </c>
      <c r="M1163">
        <v>1</v>
      </c>
      <c r="N1163">
        <v>2</v>
      </c>
      <c r="O1163" t="s">
        <v>127</v>
      </c>
      <c r="P1163" t="s">
        <v>127</v>
      </c>
      <c r="Q1163" t="s">
        <v>127</v>
      </c>
    </row>
    <row r="1164" spans="1:17" x14ac:dyDescent="0.25">
      <c r="A1164" t="str">
        <f>IF(C1164&amp;G1164&amp;D1164&lt;&gt;'Funnel setup'!$K$3&amp;'Funnel setup'!$K$4&amp;'Funnel setup'!$K$6,".",IF(A1163=".",1,A1163+1))</f>
        <v>.</v>
      </c>
      <c r="B1164" s="244" t="str">
        <f t="shared" si="18"/>
        <v>Hip Replacement RevisionSub-ICB of GP PracticeNHS WEST YORKSHIRE ICB - 15F (15F)EQ VAS</v>
      </c>
      <c r="C1164" t="s">
        <v>967</v>
      </c>
      <c r="D1164" t="s">
        <v>1021</v>
      </c>
      <c r="E1164" t="s">
        <v>957</v>
      </c>
      <c r="F1164" t="s">
        <v>958</v>
      </c>
      <c r="G1164" t="s">
        <v>752</v>
      </c>
      <c r="H1164">
        <v>15</v>
      </c>
      <c r="I1164">
        <v>73.533299999999997</v>
      </c>
      <c r="J1164">
        <v>71.333299999999994</v>
      </c>
      <c r="K1164">
        <v>-2.2000000000000002</v>
      </c>
      <c r="L1164">
        <v>9</v>
      </c>
      <c r="M1164">
        <v>1</v>
      </c>
      <c r="N1164">
        <v>5</v>
      </c>
      <c r="O1164" t="s">
        <v>127</v>
      </c>
      <c r="P1164" t="s">
        <v>127</v>
      </c>
      <c r="Q1164" t="s">
        <v>127</v>
      </c>
    </row>
    <row r="1165" spans="1:17" x14ac:dyDescent="0.25">
      <c r="A1165" t="str">
        <f>IF(C1165&amp;G1165&amp;D1165&lt;&gt;'Funnel setup'!$K$3&amp;'Funnel setup'!$K$4&amp;'Funnel setup'!$K$6,".",IF(A1164=".",1,A1164+1))</f>
        <v>.</v>
      </c>
      <c r="B1165" s="244" t="str">
        <f t="shared" si="18"/>
        <v>Hip Replacement RevisionSub-ICB of GP PracticeNHS WEST YORKSHIRE ICB - 36J (36J)EQ VAS</v>
      </c>
      <c r="C1165" t="s">
        <v>967</v>
      </c>
      <c r="D1165" t="s">
        <v>1021</v>
      </c>
      <c r="E1165" t="s">
        <v>959</v>
      </c>
      <c r="F1165" t="s">
        <v>960</v>
      </c>
      <c r="G1165" t="s">
        <v>752</v>
      </c>
      <c r="H1165">
        <v>5</v>
      </c>
      <c r="I1165">
        <v>56.6</v>
      </c>
      <c r="J1165">
        <v>77.599999999999994</v>
      </c>
      <c r="K1165">
        <v>21</v>
      </c>
      <c r="L1165">
        <v>4</v>
      </c>
      <c r="M1165">
        <v>0</v>
      </c>
      <c r="N1165">
        <v>1</v>
      </c>
      <c r="O1165" t="s">
        <v>127</v>
      </c>
      <c r="P1165" t="s">
        <v>127</v>
      </c>
      <c r="Q1165" t="s">
        <v>127</v>
      </c>
    </row>
    <row r="1166" spans="1:17" x14ac:dyDescent="0.25">
      <c r="A1166" t="str">
        <f>IF(C1166&amp;G1166&amp;D1166&lt;&gt;'Funnel setup'!$K$3&amp;'Funnel setup'!$K$4&amp;'Funnel setup'!$K$6,".",IF(A1165=".",1,A1165+1))</f>
        <v>.</v>
      </c>
      <c r="B1166" s="244" t="str">
        <f t="shared" si="18"/>
        <v>Hip Replacement RevisionSub-ICB of GP PracticeNHS WEST YORKSHIRE ICB - X2C4Y (X2C4Y)EQ VAS</v>
      </c>
      <c r="C1166" t="s">
        <v>967</v>
      </c>
      <c r="D1166" t="s">
        <v>1021</v>
      </c>
      <c r="E1166" t="s">
        <v>961</v>
      </c>
      <c r="F1166" t="s">
        <v>962</v>
      </c>
      <c r="G1166" t="s">
        <v>752</v>
      </c>
      <c r="H1166">
        <v>8</v>
      </c>
      <c r="I1166">
        <v>61.125</v>
      </c>
      <c r="J1166">
        <v>65.625</v>
      </c>
      <c r="K1166">
        <v>4.5</v>
      </c>
      <c r="L1166">
        <v>3</v>
      </c>
      <c r="M1166">
        <v>1</v>
      </c>
      <c r="N1166">
        <v>4</v>
      </c>
      <c r="O1166" t="s">
        <v>127</v>
      </c>
      <c r="P1166" t="s">
        <v>127</v>
      </c>
      <c r="Q1166" t="s">
        <v>127</v>
      </c>
    </row>
    <row r="1167" spans="1:17" x14ac:dyDescent="0.25">
      <c r="A1167" t="str">
        <f>IF(C1167&amp;G1167&amp;D1167&lt;&gt;'Funnel setup'!$K$3&amp;'Funnel setup'!$K$4&amp;'Funnel setup'!$K$6,".",IF(A1166=".",1,A1166+1))</f>
        <v>.</v>
      </c>
      <c r="B1167" s="244" t="str">
        <f t="shared" si="18"/>
        <v>Hip Replacement RevisionSub-ICB of GP PracticeNHS BATH AND NORTH EAST SOMERSET, SWINDON AND WILTSHIRE ICB - 92G (92G)EQ-5D Index</v>
      </c>
      <c r="C1167" t="s">
        <v>967</v>
      </c>
      <c r="D1167" t="s">
        <v>1021</v>
      </c>
      <c r="E1167" t="s">
        <v>750</v>
      </c>
      <c r="F1167" t="s">
        <v>751</v>
      </c>
      <c r="G1167" t="s">
        <v>963</v>
      </c>
      <c r="H1167">
        <v>7</v>
      </c>
      <c r="I1167">
        <v>0.48885699999999999</v>
      </c>
      <c r="J1167">
        <v>0.77200000000000002</v>
      </c>
      <c r="K1167">
        <v>0.28314299999999998</v>
      </c>
      <c r="L1167">
        <v>5</v>
      </c>
      <c r="M1167">
        <v>1</v>
      </c>
      <c r="N1167">
        <v>1</v>
      </c>
      <c r="O1167" t="s">
        <v>127</v>
      </c>
      <c r="P1167" t="s">
        <v>127</v>
      </c>
      <c r="Q1167" t="s">
        <v>127</v>
      </c>
    </row>
    <row r="1168" spans="1:17" x14ac:dyDescent="0.25">
      <c r="A1168" t="str">
        <f>IF(C1168&amp;G1168&amp;D1168&lt;&gt;'Funnel setup'!$K$3&amp;'Funnel setup'!$K$4&amp;'Funnel setup'!$K$6,".",IF(A1167=".",1,A1167+1))</f>
        <v>.</v>
      </c>
      <c r="B1168" s="244" t="str">
        <f t="shared" si="18"/>
        <v>Hip Replacement RevisionSub-ICB of GP PracticeNHS BEDFORDSHIRE, LUTON AND MILTON KEYNES ICB - M1J4Y (M1J4Y)EQ-5D Index</v>
      </c>
      <c r="C1168" t="s">
        <v>967</v>
      </c>
      <c r="D1168" t="s">
        <v>1021</v>
      </c>
      <c r="E1168" t="s">
        <v>753</v>
      </c>
      <c r="F1168" t="s">
        <v>754</v>
      </c>
      <c r="G1168" t="s">
        <v>963</v>
      </c>
      <c r="H1168">
        <v>6</v>
      </c>
      <c r="I1168">
        <v>0.29116700000000001</v>
      </c>
      <c r="J1168">
        <v>0.58183300000000004</v>
      </c>
      <c r="K1168">
        <v>0.29066700000000001</v>
      </c>
      <c r="L1168">
        <v>4</v>
      </c>
      <c r="M1168">
        <v>1</v>
      </c>
      <c r="N1168">
        <v>1</v>
      </c>
      <c r="O1168" t="s">
        <v>127</v>
      </c>
      <c r="P1168" t="s">
        <v>127</v>
      </c>
      <c r="Q1168" t="s">
        <v>127</v>
      </c>
    </row>
    <row r="1169" spans="1:17" x14ac:dyDescent="0.25">
      <c r="A1169" t="str">
        <f>IF(C1169&amp;G1169&amp;D1169&lt;&gt;'Funnel setup'!$K$3&amp;'Funnel setup'!$K$4&amp;'Funnel setup'!$K$6,".",IF(A1168=".",1,A1168+1))</f>
        <v>.</v>
      </c>
      <c r="B1169" s="244" t="str">
        <f t="shared" si="18"/>
        <v>Hip Replacement RevisionSub-ICB of GP PracticeNHS BIRMINGHAM AND SOLIHULL ICB - 15E (15E)EQ-5D Index</v>
      </c>
      <c r="C1169" t="s">
        <v>967</v>
      </c>
      <c r="D1169" t="s">
        <v>1021</v>
      </c>
      <c r="E1169" t="s">
        <v>755</v>
      </c>
      <c r="F1169" t="s">
        <v>756</v>
      </c>
      <c r="G1169" t="s">
        <v>963</v>
      </c>
      <c r="H1169">
        <v>14</v>
      </c>
      <c r="I1169">
        <v>0.43121399999999999</v>
      </c>
      <c r="J1169">
        <v>0.69307099999999999</v>
      </c>
      <c r="K1169">
        <v>0.26185700000000001</v>
      </c>
      <c r="L1169">
        <v>11</v>
      </c>
      <c r="M1169">
        <v>1</v>
      </c>
      <c r="N1169">
        <v>2</v>
      </c>
      <c r="O1169" t="s">
        <v>127</v>
      </c>
      <c r="P1169" t="s">
        <v>127</v>
      </c>
      <c r="Q1169" t="s">
        <v>127</v>
      </c>
    </row>
    <row r="1170" spans="1:17" x14ac:dyDescent="0.25">
      <c r="A1170" t="str">
        <f>IF(C1170&amp;G1170&amp;D1170&lt;&gt;'Funnel setup'!$K$3&amp;'Funnel setup'!$K$4&amp;'Funnel setup'!$K$6,".",IF(A1169=".",1,A1169+1))</f>
        <v>.</v>
      </c>
      <c r="B1170" s="244" t="str">
        <f t="shared" si="18"/>
        <v>Hip Replacement RevisionSub-ICB of GP PracticeNHS BLACK COUNTRY ICB - D2P2L (D2P2L)EQ-5D Index</v>
      </c>
      <c r="C1170" t="s">
        <v>967</v>
      </c>
      <c r="D1170" t="s">
        <v>1021</v>
      </c>
      <c r="E1170" t="s">
        <v>757</v>
      </c>
      <c r="F1170" t="s">
        <v>758</v>
      </c>
      <c r="G1170" t="s">
        <v>963</v>
      </c>
      <c r="H1170">
        <v>8</v>
      </c>
      <c r="I1170">
        <v>0.16487499999999999</v>
      </c>
      <c r="J1170">
        <v>0.76387499999999997</v>
      </c>
      <c r="K1170">
        <v>0.59899999999999998</v>
      </c>
      <c r="L1170">
        <v>7</v>
      </c>
      <c r="M1170">
        <v>0</v>
      </c>
      <c r="N1170">
        <v>1</v>
      </c>
      <c r="O1170" t="s">
        <v>127</v>
      </c>
      <c r="P1170" t="s">
        <v>127</v>
      </c>
      <c r="Q1170" t="s">
        <v>127</v>
      </c>
    </row>
    <row r="1171" spans="1:17" x14ac:dyDescent="0.25">
      <c r="A1171" t="str">
        <f>IF(C1171&amp;G1171&amp;D1171&lt;&gt;'Funnel setup'!$K$3&amp;'Funnel setup'!$K$4&amp;'Funnel setup'!$K$6,".",IF(A1170=".",1,A1170+1))</f>
        <v>.</v>
      </c>
      <c r="B1171" s="244" t="str">
        <f t="shared" si="18"/>
        <v>Hip Replacement RevisionSub-ICB of GP PracticeNHS BRISTOL, NORTH SOMERSET AND SOUTH GLOUCESTERSHIRE ICB - 15C (15C)EQ-5D Index</v>
      </c>
      <c r="C1171" t="s">
        <v>967</v>
      </c>
      <c r="D1171" t="s">
        <v>1021</v>
      </c>
      <c r="E1171" t="s">
        <v>759</v>
      </c>
      <c r="F1171" t="s">
        <v>760</v>
      </c>
      <c r="G1171" t="s">
        <v>963</v>
      </c>
      <c r="H1171">
        <v>3</v>
      </c>
      <c r="I1171">
        <v>0.20166700000000001</v>
      </c>
      <c r="J1171">
        <v>0.80533299999999997</v>
      </c>
      <c r="K1171">
        <v>0.60366699999999995</v>
      </c>
      <c r="L1171">
        <v>3</v>
      </c>
      <c r="M1171">
        <v>0</v>
      </c>
      <c r="N1171">
        <v>0</v>
      </c>
      <c r="O1171" t="s">
        <v>127</v>
      </c>
      <c r="P1171" t="s">
        <v>127</v>
      </c>
      <c r="Q1171" t="s">
        <v>127</v>
      </c>
    </row>
    <row r="1172" spans="1:17" x14ac:dyDescent="0.25">
      <c r="A1172" t="str">
        <f>IF(C1172&amp;G1172&amp;D1172&lt;&gt;'Funnel setup'!$K$3&amp;'Funnel setup'!$K$4&amp;'Funnel setup'!$K$6,".",IF(A1171=".",1,A1171+1))</f>
        <v>.</v>
      </c>
      <c r="B1172" s="244" t="str">
        <f t="shared" si="18"/>
        <v>Hip Replacement RevisionSub-ICB of GP PracticeNHS BUCKINGHAMSHIRE, OXFORDSHIRE AND BERKSHIRE WEST ICB - 10Q (10Q)EQ-5D Index</v>
      </c>
      <c r="C1172" t="s">
        <v>967</v>
      </c>
      <c r="D1172" t="s">
        <v>1021</v>
      </c>
      <c r="E1172" t="s">
        <v>761</v>
      </c>
      <c r="F1172" t="s">
        <v>762</v>
      </c>
      <c r="G1172" t="s">
        <v>963</v>
      </c>
      <c r="H1172">
        <v>13</v>
      </c>
      <c r="I1172">
        <v>0.479769</v>
      </c>
      <c r="J1172">
        <v>0.83630800000000005</v>
      </c>
      <c r="K1172">
        <v>0.35653800000000002</v>
      </c>
      <c r="L1172">
        <v>11</v>
      </c>
      <c r="M1172">
        <v>2</v>
      </c>
      <c r="N1172">
        <v>0</v>
      </c>
      <c r="O1172" t="s">
        <v>127</v>
      </c>
      <c r="P1172" t="s">
        <v>127</v>
      </c>
      <c r="Q1172" t="s">
        <v>127</v>
      </c>
    </row>
    <row r="1173" spans="1:17" x14ac:dyDescent="0.25">
      <c r="A1173" t="str">
        <f>IF(C1173&amp;G1173&amp;D1173&lt;&gt;'Funnel setup'!$K$3&amp;'Funnel setup'!$K$4&amp;'Funnel setup'!$K$6,".",IF(A1172=".",1,A1172+1))</f>
        <v>.</v>
      </c>
      <c r="B1173" s="244" t="str">
        <f t="shared" si="18"/>
        <v>Hip Replacement RevisionSub-ICB of GP PracticeNHS BUCKINGHAMSHIRE, OXFORDSHIRE AND BERKSHIRE WEST ICB - 14Y (14Y)EQ-5D Index</v>
      </c>
      <c r="C1173" t="s">
        <v>967</v>
      </c>
      <c r="D1173" t="s">
        <v>1021</v>
      </c>
      <c r="E1173" t="s">
        <v>763</v>
      </c>
      <c r="F1173" t="s">
        <v>764</v>
      </c>
      <c r="G1173" t="s">
        <v>963</v>
      </c>
      <c r="H1173">
        <v>13</v>
      </c>
      <c r="I1173">
        <v>0.22430800000000001</v>
      </c>
      <c r="J1173">
        <v>0.61261500000000002</v>
      </c>
      <c r="K1173">
        <v>0.38830799999999999</v>
      </c>
      <c r="L1173">
        <v>11</v>
      </c>
      <c r="M1173">
        <v>0</v>
      </c>
      <c r="N1173">
        <v>2</v>
      </c>
      <c r="O1173" t="s">
        <v>127</v>
      </c>
      <c r="P1173" t="s">
        <v>127</v>
      </c>
      <c r="Q1173" t="s">
        <v>127</v>
      </c>
    </row>
    <row r="1174" spans="1:17" x14ac:dyDescent="0.25">
      <c r="A1174" t="str">
        <f>IF(C1174&amp;G1174&amp;D1174&lt;&gt;'Funnel setup'!$K$3&amp;'Funnel setup'!$K$4&amp;'Funnel setup'!$K$6,".",IF(A1173=".",1,A1173+1))</f>
        <v>.</v>
      </c>
      <c r="B1174" s="244" t="str">
        <f t="shared" si="18"/>
        <v>Hip Replacement RevisionSub-ICB of GP PracticeNHS BUCKINGHAMSHIRE, OXFORDSHIRE AND BERKSHIRE WEST ICB - 15A (15A)EQ-5D Index</v>
      </c>
      <c r="C1174" t="s">
        <v>967</v>
      </c>
      <c r="D1174" t="s">
        <v>1021</v>
      </c>
      <c r="E1174" t="s">
        <v>765</v>
      </c>
      <c r="F1174" t="s">
        <v>766</v>
      </c>
      <c r="G1174" t="s">
        <v>963</v>
      </c>
      <c r="H1174">
        <v>5</v>
      </c>
      <c r="I1174">
        <v>0.39319999999999999</v>
      </c>
      <c r="J1174">
        <v>0.79139999999999999</v>
      </c>
      <c r="K1174">
        <v>0.3982</v>
      </c>
      <c r="L1174">
        <v>3</v>
      </c>
      <c r="M1174">
        <v>2</v>
      </c>
      <c r="N1174">
        <v>0</v>
      </c>
      <c r="O1174" t="s">
        <v>127</v>
      </c>
      <c r="P1174" t="s">
        <v>127</v>
      </c>
      <c r="Q1174" t="s">
        <v>127</v>
      </c>
    </row>
    <row r="1175" spans="1:17" x14ac:dyDescent="0.25">
      <c r="A1175" t="str">
        <f>IF(C1175&amp;G1175&amp;D1175&lt;&gt;'Funnel setup'!$K$3&amp;'Funnel setup'!$K$4&amp;'Funnel setup'!$K$6,".",IF(A1174=".",1,A1174+1))</f>
        <v>.</v>
      </c>
      <c r="B1175" s="244" t="str">
        <f t="shared" si="18"/>
        <v>Hip Replacement RevisionSub-ICB of GP PracticeNHS CAMBRIDGESHIRE AND PETERBOROUGH ICB - 06H (06H)EQ-5D Index</v>
      </c>
      <c r="C1175" t="s">
        <v>967</v>
      </c>
      <c r="D1175" t="s">
        <v>1021</v>
      </c>
      <c r="E1175" t="s">
        <v>767</v>
      </c>
      <c r="F1175" t="s">
        <v>768</v>
      </c>
      <c r="G1175" t="s">
        <v>963</v>
      </c>
      <c r="H1175">
        <v>10</v>
      </c>
      <c r="I1175">
        <v>0.56610000000000005</v>
      </c>
      <c r="J1175">
        <v>0.64690000000000003</v>
      </c>
      <c r="K1175">
        <v>8.0799999999999997E-2</v>
      </c>
      <c r="L1175">
        <v>3</v>
      </c>
      <c r="M1175">
        <v>5</v>
      </c>
      <c r="N1175">
        <v>2</v>
      </c>
      <c r="O1175" t="s">
        <v>127</v>
      </c>
      <c r="P1175" t="s">
        <v>127</v>
      </c>
      <c r="Q1175" t="s">
        <v>127</v>
      </c>
    </row>
    <row r="1176" spans="1:17" x14ac:dyDescent="0.25">
      <c r="A1176" t="str">
        <f>IF(C1176&amp;G1176&amp;D1176&lt;&gt;'Funnel setup'!$K$3&amp;'Funnel setup'!$K$4&amp;'Funnel setup'!$K$6,".",IF(A1175=".",1,A1175+1))</f>
        <v>.</v>
      </c>
      <c r="B1176" s="244" t="str">
        <f t="shared" si="18"/>
        <v>Hip Replacement RevisionSub-ICB of GP PracticeNHS CHESHIRE AND MERSEYSIDE ICB - 01F (01F)EQ-5D Index</v>
      </c>
      <c r="C1176" t="s">
        <v>967</v>
      </c>
      <c r="D1176" t="s">
        <v>1021</v>
      </c>
      <c r="E1176" t="s">
        <v>769</v>
      </c>
      <c r="F1176" t="s">
        <v>770</v>
      </c>
      <c r="G1176" t="s">
        <v>963</v>
      </c>
      <c r="H1176">
        <v>2</v>
      </c>
      <c r="I1176">
        <v>0.60350000000000004</v>
      </c>
      <c r="J1176">
        <v>0.63900000000000001</v>
      </c>
      <c r="K1176">
        <v>3.5499999999999997E-2</v>
      </c>
      <c r="L1176">
        <v>1</v>
      </c>
      <c r="M1176">
        <v>1</v>
      </c>
      <c r="N1176">
        <v>0</v>
      </c>
      <c r="O1176" t="s">
        <v>127</v>
      </c>
      <c r="P1176" t="s">
        <v>127</v>
      </c>
      <c r="Q1176" t="s">
        <v>127</v>
      </c>
    </row>
    <row r="1177" spans="1:17" x14ac:dyDescent="0.25">
      <c r="A1177" t="str">
        <f>IF(C1177&amp;G1177&amp;D1177&lt;&gt;'Funnel setup'!$K$3&amp;'Funnel setup'!$K$4&amp;'Funnel setup'!$K$6,".",IF(A1176=".",1,A1176+1))</f>
        <v>.</v>
      </c>
      <c r="B1177" s="244" t="str">
        <f t="shared" si="18"/>
        <v>Hip Replacement RevisionSub-ICB of GP PracticeNHS CHESHIRE AND MERSEYSIDE ICB - 01T (01T)EQ-5D Index</v>
      </c>
      <c r="C1177" t="s">
        <v>967</v>
      </c>
      <c r="D1177" t="s">
        <v>1021</v>
      </c>
      <c r="E1177" t="s">
        <v>773</v>
      </c>
      <c r="F1177" t="s">
        <v>774</v>
      </c>
      <c r="G1177" t="s">
        <v>963</v>
      </c>
      <c r="H1177">
        <v>1</v>
      </c>
      <c r="I1177">
        <v>0.58699999999999997</v>
      </c>
      <c r="J1177">
        <v>0.58699999999999997</v>
      </c>
      <c r="K1177">
        <v>0</v>
      </c>
      <c r="L1177">
        <v>0</v>
      </c>
      <c r="M1177">
        <v>1</v>
      </c>
      <c r="N1177">
        <v>0</v>
      </c>
      <c r="O1177" t="s">
        <v>127</v>
      </c>
      <c r="P1177" t="s">
        <v>127</v>
      </c>
      <c r="Q1177" t="s">
        <v>127</v>
      </c>
    </row>
    <row r="1178" spans="1:17" x14ac:dyDescent="0.25">
      <c r="A1178" t="str">
        <f>IF(C1178&amp;G1178&amp;D1178&lt;&gt;'Funnel setup'!$K$3&amp;'Funnel setup'!$K$4&amp;'Funnel setup'!$K$6,".",IF(A1177=".",1,A1177+1))</f>
        <v>.</v>
      </c>
      <c r="B1178" s="244" t="str">
        <f t="shared" si="18"/>
        <v>Hip Replacement RevisionSub-ICB of GP PracticeNHS CHESHIRE AND MERSEYSIDE ICB - 01V (01V)EQ-5D Index</v>
      </c>
      <c r="C1178" t="s">
        <v>967</v>
      </c>
      <c r="D1178" t="s">
        <v>1021</v>
      </c>
      <c r="E1178" t="s">
        <v>775</v>
      </c>
      <c r="F1178" t="s">
        <v>776</v>
      </c>
      <c r="G1178" t="s">
        <v>963</v>
      </c>
      <c r="H1178">
        <v>1</v>
      </c>
      <c r="I1178">
        <v>-0.18099999999999999</v>
      </c>
      <c r="J1178">
        <v>0.51600000000000001</v>
      </c>
      <c r="K1178">
        <v>0.69699999999999995</v>
      </c>
      <c r="L1178">
        <v>1</v>
      </c>
      <c r="M1178">
        <v>0</v>
      </c>
      <c r="N1178">
        <v>0</v>
      </c>
      <c r="O1178" t="s">
        <v>127</v>
      </c>
      <c r="P1178" t="s">
        <v>127</v>
      </c>
      <c r="Q1178" t="s">
        <v>127</v>
      </c>
    </row>
    <row r="1179" spans="1:17" x14ac:dyDescent="0.25">
      <c r="A1179" t="str">
        <f>IF(C1179&amp;G1179&amp;D1179&lt;&gt;'Funnel setup'!$K$3&amp;'Funnel setup'!$K$4&amp;'Funnel setup'!$K$6,".",IF(A1178=".",1,A1178+1))</f>
        <v>.</v>
      </c>
      <c r="B1179" s="244" t="str">
        <f t="shared" si="18"/>
        <v>Hip Replacement RevisionSub-ICB of GP PracticeNHS CHESHIRE AND MERSEYSIDE ICB - 01X (01X)EQ-5D Index</v>
      </c>
      <c r="C1179" t="s">
        <v>967</v>
      </c>
      <c r="D1179" t="s">
        <v>1021</v>
      </c>
      <c r="E1179" t="s">
        <v>777</v>
      </c>
      <c r="F1179" t="s">
        <v>778</v>
      </c>
      <c r="G1179" t="s">
        <v>963</v>
      </c>
      <c r="H1179">
        <v>2</v>
      </c>
      <c r="I1179">
        <v>0.25</v>
      </c>
      <c r="J1179">
        <v>0.66500000000000004</v>
      </c>
      <c r="K1179">
        <v>0.41499999999999998</v>
      </c>
      <c r="L1179">
        <v>1</v>
      </c>
      <c r="M1179">
        <v>1</v>
      </c>
      <c r="N1179">
        <v>0</v>
      </c>
      <c r="O1179" t="s">
        <v>127</v>
      </c>
      <c r="P1179" t="s">
        <v>127</v>
      </c>
      <c r="Q1179" t="s">
        <v>127</v>
      </c>
    </row>
    <row r="1180" spans="1:17" x14ac:dyDescent="0.25">
      <c r="A1180" t="str">
        <f>IF(C1180&amp;G1180&amp;D1180&lt;&gt;'Funnel setup'!$K$3&amp;'Funnel setup'!$K$4&amp;'Funnel setup'!$K$6,".",IF(A1179=".",1,A1179+1))</f>
        <v>.</v>
      </c>
      <c r="B1180" s="244" t="str">
        <f t="shared" si="18"/>
        <v>Hip Replacement RevisionSub-ICB of GP PracticeNHS CHESHIRE AND MERSEYSIDE ICB - 12F (12F)EQ-5D Index</v>
      </c>
      <c r="C1180" t="s">
        <v>967</v>
      </c>
      <c r="D1180" t="s">
        <v>1021</v>
      </c>
      <c r="E1180" t="s">
        <v>781</v>
      </c>
      <c r="F1180" t="s">
        <v>782</v>
      </c>
      <c r="G1180" t="s">
        <v>963</v>
      </c>
      <c r="H1180">
        <v>1</v>
      </c>
      <c r="I1180">
        <v>0.58699999999999997</v>
      </c>
      <c r="J1180">
        <v>0.85</v>
      </c>
      <c r="K1180">
        <v>0.26300000000000001</v>
      </c>
      <c r="L1180">
        <v>1</v>
      </c>
      <c r="M1180">
        <v>0</v>
      </c>
      <c r="N1180">
        <v>0</v>
      </c>
      <c r="O1180" t="s">
        <v>127</v>
      </c>
      <c r="P1180" t="s">
        <v>127</v>
      </c>
      <c r="Q1180" t="s">
        <v>127</v>
      </c>
    </row>
    <row r="1181" spans="1:17" x14ac:dyDescent="0.25">
      <c r="A1181" t="str">
        <f>IF(C1181&amp;G1181&amp;D1181&lt;&gt;'Funnel setup'!$K$3&amp;'Funnel setup'!$K$4&amp;'Funnel setup'!$K$6,".",IF(A1180=".",1,A1180+1))</f>
        <v>.</v>
      </c>
      <c r="B1181" s="244" t="str">
        <f t="shared" si="18"/>
        <v>Hip Replacement RevisionSub-ICB of GP PracticeNHS CHESHIRE AND MERSEYSIDE ICB - 27D (27D)EQ-5D Index</v>
      </c>
      <c r="C1181" t="s">
        <v>967</v>
      </c>
      <c r="D1181" t="s">
        <v>1021</v>
      </c>
      <c r="E1181" t="s">
        <v>783</v>
      </c>
      <c r="F1181" t="s">
        <v>784</v>
      </c>
      <c r="G1181" t="s">
        <v>963</v>
      </c>
      <c r="H1181">
        <v>9</v>
      </c>
      <c r="I1181">
        <v>0.495444</v>
      </c>
      <c r="J1181">
        <v>0.69522200000000001</v>
      </c>
      <c r="K1181">
        <v>0.19977800000000001</v>
      </c>
      <c r="L1181">
        <v>6</v>
      </c>
      <c r="M1181">
        <v>1</v>
      </c>
      <c r="N1181">
        <v>2</v>
      </c>
      <c r="O1181" t="s">
        <v>127</v>
      </c>
      <c r="P1181" t="s">
        <v>127</v>
      </c>
      <c r="Q1181" t="s">
        <v>127</v>
      </c>
    </row>
    <row r="1182" spans="1:17" x14ac:dyDescent="0.25">
      <c r="A1182" t="str">
        <f>IF(C1182&amp;G1182&amp;D1182&lt;&gt;'Funnel setup'!$K$3&amp;'Funnel setup'!$K$4&amp;'Funnel setup'!$K$6,".",IF(A1181=".",1,A1181+1))</f>
        <v>.</v>
      </c>
      <c r="B1182" s="244" t="str">
        <f t="shared" si="18"/>
        <v>Hip Replacement RevisionSub-ICB of GP PracticeNHS CHESHIRE AND MERSEYSIDE ICB - 99A (99A)EQ-5D Index</v>
      </c>
      <c r="C1182" t="s">
        <v>967</v>
      </c>
      <c r="D1182" t="s">
        <v>1021</v>
      </c>
      <c r="E1182" t="s">
        <v>785</v>
      </c>
      <c r="F1182" t="s">
        <v>786</v>
      </c>
      <c r="G1182" t="s">
        <v>963</v>
      </c>
      <c r="H1182">
        <v>4</v>
      </c>
      <c r="I1182">
        <v>0.12025</v>
      </c>
      <c r="J1182">
        <v>0.81074999999999997</v>
      </c>
      <c r="K1182">
        <v>0.6905</v>
      </c>
      <c r="L1182">
        <v>3</v>
      </c>
      <c r="M1182">
        <v>1</v>
      </c>
      <c r="N1182">
        <v>0</v>
      </c>
      <c r="O1182" t="s">
        <v>127</v>
      </c>
      <c r="P1182" t="s">
        <v>127</v>
      </c>
      <c r="Q1182" t="s">
        <v>127</v>
      </c>
    </row>
    <row r="1183" spans="1:17" x14ac:dyDescent="0.25">
      <c r="A1183" t="str">
        <f>IF(C1183&amp;G1183&amp;D1183&lt;&gt;'Funnel setup'!$K$3&amp;'Funnel setup'!$K$4&amp;'Funnel setup'!$K$6,".",IF(A1182=".",1,A1182+1))</f>
        <v>.</v>
      </c>
      <c r="B1183" s="244" t="str">
        <f t="shared" si="18"/>
        <v>Hip Replacement RevisionSub-ICB of GP PracticeNHS CORNWALL AND THE ISLES OF SCILLY ICB - 11N (11N)EQ-5D Index</v>
      </c>
      <c r="C1183" t="s">
        <v>967</v>
      </c>
      <c r="D1183" t="s">
        <v>1021</v>
      </c>
      <c r="E1183" t="s">
        <v>787</v>
      </c>
      <c r="F1183" t="s">
        <v>788</v>
      </c>
      <c r="G1183" t="s">
        <v>963</v>
      </c>
      <c r="H1183">
        <v>7</v>
      </c>
      <c r="I1183">
        <v>0.58928599999999998</v>
      </c>
      <c r="J1183">
        <v>0.69885699999999995</v>
      </c>
      <c r="K1183">
        <v>0.109571</v>
      </c>
      <c r="L1183">
        <v>5</v>
      </c>
      <c r="M1183">
        <v>0</v>
      </c>
      <c r="N1183">
        <v>2</v>
      </c>
      <c r="O1183" t="s">
        <v>127</v>
      </c>
      <c r="P1183" t="s">
        <v>127</v>
      </c>
      <c r="Q1183" t="s">
        <v>127</v>
      </c>
    </row>
    <row r="1184" spans="1:17" x14ac:dyDescent="0.25">
      <c r="A1184" t="str">
        <f>IF(C1184&amp;G1184&amp;D1184&lt;&gt;'Funnel setup'!$K$3&amp;'Funnel setup'!$K$4&amp;'Funnel setup'!$K$6,".",IF(A1183=".",1,A1183+1))</f>
        <v>.</v>
      </c>
      <c r="B1184" s="244" t="str">
        <f t="shared" si="18"/>
        <v>Hip Replacement RevisionSub-ICB of GP PracticeNHS COVENTRY AND WARWICKSHIRE ICB - B2M3M (B2M3M)EQ-5D Index</v>
      </c>
      <c r="C1184" t="s">
        <v>967</v>
      </c>
      <c r="D1184" t="s">
        <v>1021</v>
      </c>
      <c r="E1184" t="s">
        <v>789</v>
      </c>
      <c r="F1184" t="s">
        <v>790</v>
      </c>
      <c r="G1184" t="s">
        <v>963</v>
      </c>
      <c r="H1184">
        <v>6</v>
      </c>
      <c r="I1184">
        <v>0.126</v>
      </c>
      <c r="J1184">
        <v>0.69533299999999998</v>
      </c>
      <c r="K1184">
        <v>0.56933299999999998</v>
      </c>
      <c r="L1184">
        <v>5</v>
      </c>
      <c r="M1184">
        <v>1</v>
      </c>
      <c r="N1184">
        <v>0</v>
      </c>
      <c r="O1184" t="s">
        <v>127</v>
      </c>
      <c r="P1184" t="s">
        <v>127</v>
      </c>
      <c r="Q1184" t="s">
        <v>127</v>
      </c>
    </row>
    <row r="1185" spans="1:17" x14ac:dyDescent="0.25">
      <c r="A1185" t="str">
        <f>IF(C1185&amp;G1185&amp;D1185&lt;&gt;'Funnel setup'!$K$3&amp;'Funnel setup'!$K$4&amp;'Funnel setup'!$K$6,".",IF(A1184=".",1,A1184+1))</f>
        <v>.</v>
      </c>
      <c r="B1185" s="244" t="str">
        <f t="shared" si="18"/>
        <v>Hip Replacement RevisionSub-ICB of GP PracticeNHS DERBY AND DERBYSHIRE ICB - 15M (15M)EQ-5D Index</v>
      </c>
      <c r="C1185" t="s">
        <v>967</v>
      </c>
      <c r="D1185" t="s">
        <v>1021</v>
      </c>
      <c r="E1185" t="s">
        <v>791</v>
      </c>
      <c r="F1185" t="s">
        <v>792</v>
      </c>
      <c r="G1185" t="s">
        <v>963</v>
      </c>
      <c r="H1185">
        <v>22</v>
      </c>
      <c r="I1185">
        <v>0.37163600000000002</v>
      </c>
      <c r="J1185">
        <v>0.62649999999999995</v>
      </c>
      <c r="K1185">
        <v>0.25486399999999998</v>
      </c>
      <c r="L1185">
        <v>14</v>
      </c>
      <c r="M1185">
        <v>1</v>
      </c>
      <c r="N1185">
        <v>7</v>
      </c>
      <c r="O1185" t="s">
        <v>127</v>
      </c>
      <c r="P1185" t="s">
        <v>127</v>
      </c>
      <c r="Q1185" t="s">
        <v>127</v>
      </c>
    </row>
    <row r="1186" spans="1:17" x14ac:dyDescent="0.25">
      <c r="A1186" t="str">
        <f>IF(C1186&amp;G1186&amp;D1186&lt;&gt;'Funnel setup'!$K$3&amp;'Funnel setup'!$K$4&amp;'Funnel setup'!$K$6,".",IF(A1185=".",1,A1185+1))</f>
        <v>.</v>
      </c>
      <c r="B1186" s="244" t="str">
        <f t="shared" si="18"/>
        <v>Hip Replacement RevisionSub-ICB of GP PracticeNHS DEVON ICB - 15N (15N)EQ-5D Index</v>
      </c>
      <c r="C1186" t="s">
        <v>967</v>
      </c>
      <c r="D1186" t="s">
        <v>1021</v>
      </c>
      <c r="E1186" t="s">
        <v>793</v>
      </c>
      <c r="F1186" t="s">
        <v>794</v>
      </c>
      <c r="G1186" t="s">
        <v>963</v>
      </c>
      <c r="H1186">
        <v>8</v>
      </c>
      <c r="I1186">
        <v>0.40749999999999997</v>
      </c>
      <c r="J1186">
        <v>0.74924999999999997</v>
      </c>
      <c r="K1186">
        <v>0.34175</v>
      </c>
      <c r="L1186">
        <v>6</v>
      </c>
      <c r="M1186">
        <v>0</v>
      </c>
      <c r="N1186">
        <v>2</v>
      </c>
      <c r="O1186" t="s">
        <v>127</v>
      </c>
      <c r="P1186" t="s">
        <v>127</v>
      </c>
      <c r="Q1186" t="s">
        <v>127</v>
      </c>
    </row>
    <row r="1187" spans="1:17" x14ac:dyDescent="0.25">
      <c r="A1187" t="str">
        <f>IF(C1187&amp;G1187&amp;D1187&lt;&gt;'Funnel setup'!$K$3&amp;'Funnel setup'!$K$4&amp;'Funnel setup'!$K$6,".",IF(A1186=".",1,A1186+1))</f>
        <v>.</v>
      </c>
      <c r="B1187" s="244" t="str">
        <f t="shared" si="18"/>
        <v>Hip Replacement RevisionSub-ICB of GP PracticeNHS DORSET ICB - 11J (11J)EQ-5D Index</v>
      </c>
      <c r="C1187" t="s">
        <v>967</v>
      </c>
      <c r="D1187" t="s">
        <v>1021</v>
      </c>
      <c r="E1187" t="s">
        <v>795</v>
      </c>
      <c r="F1187" t="s">
        <v>796</v>
      </c>
      <c r="G1187" t="s">
        <v>963</v>
      </c>
      <c r="H1187">
        <v>8</v>
      </c>
      <c r="I1187">
        <v>0.53562500000000002</v>
      </c>
      <c r="J1187">
        <v>0.76149999999999995</v>
      </c>
      <c r="K1187">
        <v>0.22587499999999999</v>
      </c>
      <c r="L1187">
        <v>5</v>
      </c>
      <c r="M1187">
        <v>2</v>
      </c>
      <c r="N1187">
        <v>1</v>
      </c>
      <c r="O1187" t="s">
        <v>127</v>
      </c>
      <c r="P1187" t="s">
        <v>127</v>
      </c>
      <c r="Q1187" t="s">
        <v>127</v>
      </c>
    </row>
    <row r="1188" spans="1:17" x14ac:dyDescent="0.25">
      <c r="A1188" t="str">
        <f>IF(C1188&amp;G1188&amp;D1188&lt;&gt;'Funnel setup'!$K$3&amp;'Funnel setup'!$K$4&amp;'Funnel setup'!$K$6,".",IF(A1187=".",1,A1187+1))</f>
        <v>.</v>
      </c>
      <c r="B1188" s="244" t="str">
        <f t="shared" si="18"/>
        <v>Hip Replacement RevisionSub-ICB of GP PracticeNHS FRIMLEY ICB - D4U1Y (D4U1Y)EQ-5D Index</v>
      </c>
      <c r="C1188" t="s">
        <v>967</v>
      </c>
      <c r="D1188" t="s">
        <v>1021</v>
      </c>
      <c r="E1188" t="s">
        <v>797</v>
      </c>
      <c r="F1188" t="s">
        <v>798</v>
      </c>
      <c r="G1188" t="s">
        <v>963</v>
      </c>
      <c r="H1188">
        <v>12</v>
      </c>
      <c r="I1188">
        <v>0.30258299999999999</v>
      </c>
      <c r="J1188">
        <v>0.84966699999999995</v>
      </c>
      <c r="K1188">
        <v>0.54708299999999999</v>
      </c>
      <c r="L1188">
        <v>11</v>
      </c>
      <c r="M1188">
        <v>0</v>
      </c>
      <c r="N1188">
        <v>1</v>
      </c>
      <c r="O1188" t="s">
        <v>127</v>
      </c>
      <c r="P1188" t="s">
        <v>127</v>
      </c>
      <c r="Q1188" t="s">
        <v>127</v>
      </c>
    </row>
    <row r="1189" spans="1:17" x14ac:dyDescent="0.25">
      <c r="A1189" t="str">
        <f>IF(C1189&amp;G1189&amp;D1189&lt;&gt;'Funnel setup'!$K$3&amp;'Funnel setup'!$K$4&amp;'Funnel setup'!$K$6,".",IF(A1188=".",1,A1188+1))</f>
        <v>.</v>
      </c>
      <c r="B1189" s="244" t="str">
        <f t="shared" si="18"/>
        <v>Hip Replacement RevisionSub-ICB of GP PracticeNHS GLOUCESTERSHIRE ICB - 11M (11M)EQ-5D Index</v>
      </c>
      <c r="C1189" t="s">
        <v>967</v>
      </c>
      <c r="D1189" t="s">
        <v>1021</v>
      </c>
      <c r="E1189" t="s">
        <v>799</v>
      </c>
      <c r="F1189" t="s">
        <v>800</v>
      </c>
      <c r="G1189" t="s">
        <v>963</v>
      </c>
      <c r="H1189">
        <v>5</v>
      </c>
      <c r="I1189">
        <v>0.24179999999999999</v>
      </c>
      <c r="J1189">
        <v>0.79</v>
      </c>
      <c r="K1189">
        <v>0.54820000000000002</v>
      </c>
      <c r="L1189">
        <v>5</v>
      </c>
      <c r="M1189">
        <v>0</v>
      </c>
      <c r="N1189">
        <v>0</v>
      </c>
      <c r="O1189" t="s">
        <v>127</v>
      </c>
      <c r="P1189" t="s">
        <v>127</v>
      </c>
      <c r="Q1189" t="s">
        <v>127</v>
      </c>
    </row>
    <row r="1190" spans="1:17" x14ac:dyDescent="0.25">
      <c r="A1190" t="str">
        <f>IF(C1190&amp;G1190&amp;D1190&lt;&gt;'Funnel setup'!$K$3&amp;'Funnel setup'!$K$4&amp;'Funnel setup'!$K$6,".",IF(A1189=".",1,A1189+1))</f>
        <v>.</v>
      </c>
      <c r="B1190" s="244" t="str">
        <f t="shared" si="18"/>
        <v>Hip Replacement RevisionSub-ICB of GP PracticeNHS GREATER MANCHESTER ICB - 01G (01G)EQ-5D Index</v>
      </c>
      <c r="C1190" t="s">
        <v>967</v>
      </c>
      <c r="D1190" t="s">
        <v>1021</v>
      </c>
      <c r="E1190" t="s">
        <v>809</v>
      </c>
      <c r="F1190" t="s">
        <v>810</v>
      </c>
      <c r="G1190" t="s">
        <v>963</v>
      </c>
      <c r="H1190">
        <v>1</v>
      </c>
      <c r="I1190">
        <v>8.7999999999999995E-2</v>
      </c>
      <c r="J1190">
        <v>1</v>
      </c>
      <c r="K1190">
        <v>0.91200000000000003</v>
      </c>
      <c r="L1190">
        <v>1</v>
      </c>
      <c r="M1190">
        <v>0</v>
      </c>
      <c r="N1190">
        <v>0</v>
      </c>
      <c r="O1190" t="s">
        <v>127</v>
      </c>
      <c r="P1190" t="s">
        <v>127</v>
      </c>
      <c r="Q1190" t="s">
        <v>127</v>
      </c>
    </row>
    <row r="1191" spans="1:17" x14ac:dyDescent="0.25">
      <c r="A1191" t="str">
        <f>IF(C1191&amp;G1191&amp;D1191&lt;&gt;'Funnel setup'!$K$3&amp;'Funnel setup'!$K$4&amp;'Funnel setup'!$K$6,".",IF(A1190=".",1,A1190+1))</f>
        <v>.</v>
      </c>
      <c r="B1191" s="244" t="str">
        <f t="shared" si="18"/>
        <v>Hip Replacement RevisionSub-ICB of GP PracticeNHS GREATER MANCHESTER ICB - 01W (01W)EQ-5D Index</v>
      </c>
      <c r="C1191" t="s">
        <v>967</v>
      </c>
      <c r="D1191" t="s">
        <v>1021</v>
      </c>
      <c r="E1191" t="s">
        <v>811</v>
      </c>
      <c r="F1191" t="s">
        <v>812</v>
      </c>
      <c r="G1191" t="s">
        <v>963</v>
      </c>
      <c r="H1191">
        <v>5</v>
      </c>
      <c r="I1191">
        <v>0.2152</v>
      </c>
      <c r="J1191">
        <v>0.74960000000000004</v>
      </c>
      <c r="K1191">
        <v>0.53439999999999999</v>
      </c>
      <c r="L1191">
        <v>5</v>
      </c>
      <c r="M1191">
        <v>0</v>
      </c>
      <c r="N1191">
        <v>0</v>
      </c>
      <c r="O1191" t="s">
        <v>127</v>
      </c>
      <c r="P1191" t="s">
        <v>127</v>
      </c>
      <c r="Q1191" t="s">
        <v>127</v>
      </c>
    </row>
    <row r="1192" spans="1:17" x14ac:dyDescent="0.25">
      <c r="A1192" t="str">
        <f>IF(C1192&amp;G1192&amp;D1192&lt;&gt;'Funnel setup'!$K$3&amp;'Funnel setup'!$K$4&amp;'Funnel setup'!$K$6,".",IF(A1191=".",1,A1191+1))</f>
        <v>.</v>
      </c>
      <c r="B1192" s="244" t="str">
        <f t="shared" si="18"/>
        <v>Hip Replacement RevisionSub-ICB of GP PracticeNHS GREATER MANCHESTER ICB - 14L (14L)EQ-5D Index</v>
      </c>
      <c r="C1192" t="s">
        <v>967</v>
      </c>
      <c r="D1192" t="s">
        <v>1021</v>
      </c>
      <c r="E1192" t="s">
        <v>819</v>
      </c>
      <c r="F1192" t="s">
        <v>820</v>
      </c>
      <c r="G1192" t="s">
        <v>963</v>
      </c>
      <c r="H1192">
        <v>2</v>
      </c>
      <c r="I1192">
        <v>0.63900000000000001</v>
      </c>
      <c r="J1192">
        <v>0.38650000000000001</v>
      </c>
      <c r="K1192">
        <v>-0.2525</v>
      </c>
      <c r="L1192">
        <v>0</v>
      </c>
      <c r="M1192">
        <v>1</v>
      </c>
      <c r="N1192">
        <v>1</v>
      </c>
      <c r="O1192" t="s">
        <v>127</v>
      </c>
      <c r="P1192" t="s">
        <v>127</v>
      </c>
      <c r="Q1192" t="s">
        <v>127</v>
      </c>
    </row>
    <row r="1193" spans="1:17" x14ac:dyDescent="0.25">
      <c r="A1193" t="str">
        <f>IF(C1193&amp;G1193&amp;D1193&lt;&gt;'Funnel setup'!$K$3&amp;'Funnel setup'!$K$4&amp;'Funnel setup'!$K$6,".",IF(A1192=".",1,A1192+1))</f>
        <v>.</v>
      </c>
      <c r="B1193" s="244" t="str">
        <f t="shared" si="18"/>
        <v>Hip Replacement RevisionSub-ICB of GP PracticeNHS HAMPSHIRE AND ISLE OF WIGHT ICB - D9Y0V (D9Y0V)EQ-5D Index</v>
      </c>
      <c r="C1193" t="s">
        <v>967</v>
      </c>
      <c r="D1193" t="s">
        <v>1021</v>
      </c>
      <c r="E1193" t="s">
        <v>823</v>
      </c>
      <c r="F1193" t="s">
        <v>824</v>
      </c>
      <c r="G1193" t="s">
        <v>963</v>
      </c>
      <c r="H1193">
        <v>14</v>
      </c>
      <c r="I1193">
        <v>0.39642899999999998</v>
      </c>
      <c r="J1193">
        <v>0.70028599999999996</v>
      </c>
      <c r="K1193">
        <v>0.30385699999999999</v>
      </c>
      <c r="L1193">
        <v>10</v>
      </c>
      <c r="M1193">
        <v>1</v>
      </c>
      <c r="N1193">
        <v>3</v>
      </c>
      <c r="O1193" t="s">
        <v>127</v>
      </c>
      <c r="P1193" t="s">
        <v>127</v>
      </c>
      <c r="Q1193" t="s">
        <v>127</v>
      </c>
    </row>
    <row r="1194" spans="1:17" x14ac:dyDescent="0.25">
      <c r="A1194" t="str">
        <f>IF(C1194&amp;G1194&amp;D1194&lt;&gt;'Funnel setup'!$K$3&amp;'Funnel setup'!$K$4&amp;'Funnel setup'!$K$6,".",IF(A1193=".",1,A1193+1))</f>
        <v>.</v>
      </c>
      <c r="B1194" s="244" t="str">
        <f t="shared" si="18"/>
        <v>Hip Replacement RevisionSub-ICB of GP PracticeNHS HEREFORDSHIRE AND WORCESTERSHIRE ICB - 18C (18C)EQ-5D Index</v>
      </c>
      <c r="C1194" t="s">
        <v>967</v>
      </c>
      <c r="D1194" t="s">
        <v>1021</v>
      </c>
      <c r="E1194" t="s">
        <v>825</v>
      </c>
      <c r="F1194" t="s">
        <v>826</v>
      </c>
      <c r="G1194" t="s">
        <v>963</v>
      </c>
      <c r="H1194">
        <v>19</v>
      </c>
      <c r="I1194">
        <v>0.25173699999999999</v>
      </c>
      <c r="J1194">
        <v>0.63521099999999997</v>
      </c>
      <c r="K1194">
        <v>0.38347399999999998</v>
      </c>
      <c r="L1194">
        <v>17</v>
      </c>
      <c r="M1194">
        <v>2</v>
      </c>
      <c r="N1194">
        <v>0</v>
      </c>
      <c r="O1194" t="s">
        <v>127</v>
      </c>
      <c r="P1194" t="s">
        <v>127</v>
      </c>
      <c r="Q1194" t="s">
        <v>127</v>
      </c>
    </row>
    <row r="1195" spans="1:17" x14ac:dyDescent="0.25">
      <c r="A1195" t="str">
        <f>IF(C1195&amp;G1195&amp;D1195&lt;&gt;'Funnel setup'!$K$3&amp;'Funnel setup'!$K$4&amp;'Funnel setup'!$K$6,".",IF(A1194=".",1,A1194+1))</f>
        <v>.</v>
      </c>
      <c r="B1195" s="244" t="str">
        <f t="shared" si="18"/>
        <v>Hip Replacement RevisionSub-ICB of GP PracticeNHS HERTFORDSHIRE AND WEST ESSEX ICB - 06K (06K)EQ-5D Index</v>
      </c>
      <c r="C1195" t="s">
        <v>967</v>
      </c>
      <c r="D1195" t="s">
        <v>1021</v>
      </c>
      <c r="E1195" t="s">
        <v>827</v>
      </c>
      <c r="F1195" t="s">
        <v>828</v>
      </c>
      <c r="G1195" t="s">
        <v>963</v>
      </c>
      <c r="H1195">
        <v>12</v>
      </c>
      <c r="I1195">
        <v>0.45608300000000002</v>
      </c>
      <c r="J1195">
        <v>0.72424999999999995</v>
      </c>
      <c r="K1195">
        <v>0.26816699999999999</v>
      </c>
      <c r="L1195">
        <v>9</v>
      </c>
      <c r="M1195">
        <v>0</v>
      </c>
      <c r="N1195">
        <v>3</v>
      </c>
      <c r="O1195" t="s">
        <v>127</v>
      </c>
      <c r="P1195" t="s">
        <v>127</v>
      </c>
      <c r="Q1195" t="s">
        <v>127</v>
      </c>
    </row>
    <row r="1196" spans="1:17" x14ac:dyDescent="0.25">
      <c r="A1196" t="str">
        <f>IF(C1196&amp;G1196&amp;D1196&lt;&gt;'Funnel setup'!$K$3&amp;'Funnel setup'!$K$4&amp;'Funnel setup'!$K$6,".",IF(A1195=".",1,A1195+1))</f>
        <v>.</v>
      </c>
      <c r="B1196" s="244" t="str">
        <f t="shared" si="18"/>
        <v>Hip Replacement RevisionSub-ICB of GP PracticeNHS HERTFORDSHIRE AND WEST ESSEX ICB - 06N (06N)EQ-5D Index</v>
      </c>
      <c r="C1196" t="s">
        <v>967</v>
      </c>
      <c r="D1196" t="s">
        <v>1021</v>
      </c>
      <c r="E1196" t="s">
        <v>829</v>
      </c>
      <c r="F1196" t="s">
        <v>830</v>
      </c>
      <c r="G1196" t="s">
        <v>963</v>
      </c>
      <c r="H1196">
        <v>10</v>
      </c>
      <c r="I1196">
        <v>0.2273</v>
      </c>
      <c r="J1196">
        <v>0.66900000000000004</v>
      </c>
      <c r="K1196">
        <v>0.44169999999999998</v>
      </c>
      <c r="L1196">
        <v>8</v>
      </c>
      <c r="M1196">
        <v>1</v>
      </c>
      <c r="N1196">
        <v>1</v>
      </c>
      <c r="O1196" t="s">
        <v>127</v>
      </c>
      <c r="P1196" t="s">
        <v>127</v>
      </c>
      <c r="Q1196" t="s">
        <v>127</v>
      </c>
    </row>
    <row r="1197" spans="1:17" x14ac:dyDescent="0.25">
      <c r="A1197" t="str">
        <f>IF(C1197&amp;G1197&amp;D1197&lt;&gt;'Funnel setup'!$K$3&amp;'Funnel setup'!$K$4&amp;'Funnel setup'!$K$6,".",IF(A1196=".",1,A1196+1))</f>
        <v>.</v>
      </c>
      <c r="B1197" s="244" t="str">
        <f t="shared" si="18"/>
        <v>Hip Replacement RevisionSub-ICB of GP PracticeNHS HERTFORDSHIRE AND WEST ESSEX ICB - 07H (07H)EQ-5D Index</v>
      </c>
      <c r="C1197" t="s">
        <v>967</v>
      </c>
      <c r="D1197" t="s">
        <v>1021</v>
      </c>
      <c r="E1197" t="s">
        <v>831</v>
      </c>
      <c r="F1197" t="s">
        <v>832</v>
      </c>
      <c r="G1197" t="s">
        <v>963</v>
      </c>
      <c r="H1197">
        <v>2</v>
      </c>
      <c r="I1197">
        <v>0.56799999999999995</v>
      </c>
      <c r="J1197">
        <v>0.56850000000000001</v>
      </c>
      <c r="K1197">
        <v>5.0000000000000001E-4</v>
      </c>
      <c r="L1197">
        <v>1</v>
      </c>
      <c r="M1197">
        <v>0</v>
      </c>
      <c r="N1197">
        <v>1</v>
      </c>
      <c r="O1197" t="s">
        <v>127</v>
      </c>
      <c r="P1197" t="s">
        <v>127</v>
      </c>
      <c r="Q1197" t="s">
        <v>127</v>
      </c>
    </row>
    <row r="1198" spans="1:17" x14ac:dyDescent="0.25">
      <c r="A1198" t="str">
        <f>IF(C1198&amp;G1198&amp;D1198&lt;&gt;'Funnel setup'!$K$3&amp;'Funnel setup'!$K$4&amp;'Funnel setup'!$K$6,".",IF(A1197=".",1,A1197+1))</f>
        <v>.</v>
      </c>
      <c r="B1198" s="244" t="str">
        <f t="shared" si="18"/>
        <v>Hip Replacement RevisionSub-ICB of GP PracticeNHS HUMBER AND NORTH YORKSHIRE ICB - 02Y (02Y)EQ-5D Index</v>
      </c>
      <c r="C1198" t="s">
        <v>967</v>
      </c>
      <c r="D1198" t="s">
        <v>1021</v>
      </c>
      <c r="E1198" t="s">
        <v>833</v>
      </c>
      <c r="F1198" t="s">
        <v>834</v>
      </c>
      <c r="G1198" t="s">
        <v>963</v>
      </c>
      <c r="H1198">
        <v>2</v>
      </c>
      <c r="I1198">
        <v>0.30199999999999999</v>
      </c>
      <c r="J1198">
        <v>0.75149999999999995</v>
      </c>
      <c r="K1198">
        <v>0.44950000000000001</v>
      </c>
      <c r="L1198">
        <v>2</v>
      </c>
      <c r="M1198">
        <v>0</v>
      </c>
      <c r="N1198">
        <v>0</v>
      </c>
      <c r="O1198" t="s">
        <v>127</v>
      </c>
      <c r="P1198" t="s">
        <v>127</v>
      </c>
      <c r="Q1198" t="s">
        <v>127</v>
      </c>
    </row>
    <row r="1199" spans="1:17" x14ac:dyDescent="0.25">
      <c r="A1199" t="str">
        <f>IF(C1199&amp;G1199&amp;D1199&lt;&gt;'Funnel setup'!$K$3&amp;'Funnel setup'!$K$4&amp;'Funnel setup'!$K$6,".",IF(A1198=".",1,A1198+1))</f>
        <v>.</v>
      </c>
      <c r="B1199" s="244" t="str">
        <f t="shared" si="18"/>
        <v>Hip Replacement RevisionSub-ICB of GP PracticeNHS HUMBER AND NORTH YORKSHIRE ICB - 03F (03F)EQ-5D Index</v>
      </c>
      <c r="C1199" t="s">
        <v>967</v>
      </c>
      <c r="D1199" t="s">
        <v>1021</v>
      </c>
      <c r="E1199" t="s">
        <v>835</v>
      </c>
      <c r="F1199" t="s">
        <v>836</v>
      </c>
      <c r="G1199" t="s">
        <v>963</v>
      </c>
      <c r="H1199">
        <v>2</v>
      </c>
      <c r="I1199">
        <v>-9.4999999999999998E-3</v>
      </c>
      <c r="J1199">
        <v>0.58699999999999997</v>
      </c>
      <c r="K1199">
        <v>0.59650000000000003</v>
      </c>
      <c r="L1199">
        <v>2</v>
      </c>
      <c r="M1199">
        <v>0</v>
      </c>
      <c r="N1199">
        <v>0</v>
      </c>
      <c r="O1199" t="s">
        <v>127</v>
      </c>
      <c r="P1199" t="s">
        <v>127</v>
      </c>
      <c r="Q1199" t="s">
        <v>127</v>
      </c>
    </row>
    <row r="1200" spans="1:17" x14ac:dyDescent="0.25">
      <c r="A1200" t="str">
        <f>IF(C1200&amp;G1200&amp;D1200&lt;&gt;'Funnel setup'!$K$3&amp;'Funnel setup'!$K$4&amp;'Funnel setup'!$K$6,".",IF(A1199=".",1,A1199+1))</f>
        <v>.</v>
      </c>
      <c r="B1200" s="244" t="str">
        <f t="shared" si="18"/>
        <v>Hip Replacement RevisionSub-ICB of GP PracticeNHS HUMBER AND NORTH YORKSHIRE ICB - 03Q (03Q)EQ-5D Index</v>
      </c>
      <c r="C1200" t="s">
        <v>967</v>
      </c>
      <c r="D1200" t="s">
        <v>1021</v>
      </c>
      <c r="E1200" t="s">
        <v>841</v>
      </c>
      <c r="F1200" t="s">
        <v>842</v>
      </c>
      <c r="G1200" t="s">
        <v>963</v>
      </c>
      <c r="H1200">
        <v>4</v>
      </c>
      <c r="I1200">
        <v>0.63400000000000001</v>
      </c>
      <c r="J1200">
        <v>0.83374999999999999</v>
      </c>
      <c r="K1200">
        <v>0.19975000000000001</v>
      </c>
      <c r="L1200">
        <v>3</v>
      </c>
      <c r="M1200">
        <v>1</v>
      </c>
      <c r="N1200">
        <v>0</v>
      </c>
      <c r="O1200" t="s">
        <v>127</v>
      </c>
      <c r="P1200" t="s">
        <v>127</v>
      </c>
      <c r="Q1200" t="s">
        <v>127</v>
      </c>
    </row>
    <row r="1201" spans="1:17" x14ac:dyDescent="0.25">
      <c r="A1201" t="str">
        <f>IF(C1201&amp;G1201&amp;D1201&lt;&gt;'Funnel setup'!$K$3&amp;'Funnel setup'!$K$4&amp;'Funnel setup'!$K$6,".",IF(A1200=".",1,A1200+1))</f>
        <v>.</v>
      </c>
      <c r="B1201" s="244" t="str">
        <f t="shared" si="18"/>
        <v>Hip Replacement RevisionSub-ICB of GP PracticeNHS HUMBER AND NORTH YORKSHIRE ICB - 42D (42D)EQ-5D Index</v>
      </c>
      <c r="C1201" t="s">
        <v>967</v>
      </c>
      <c r="D1201" t="s">
        <v>1021</v>
      </c>
      <c r="E1201" t="s">
        <v>843</v>
      </c>
      <c r="F1201" t="s">
        <v>844</v>
      </c>
      <c r="G1201" t="s">
        <v>963</v>
      </c>
      <c r="H1201">
        <v>12</v>
      </c>
      <c r="I1201">
        <v>0.499</v>
      </c>
      <c r="J1201">
        <v>0.66291699999999998</v>
      </c>
      <c r="K1201">
        <v>0.16391700000000001</v>
      </c>
      <c r="L1201">
        <v>9</v>
      </c>
      <c r="M1201">
        <v>0</v>
      </c>
      <c r="N1201">
        <v>3</v>
      </c>
      <c r="O1201" t="s">
        <v>127</v>
      </c>
      <c r="P1201" t="s">
        <v>127</v>
      </c>
      <c r="Q1201" t="s">
        <v>127</v>
      </c>
    </row>
    <row r="1202" spans="1:17" x14ac:dyDescent="0.25">
      <c r="A1202" t="str">
        <f>IF(C1202&amp;G1202&amp;D1202&lt;&gt;'Funnel setup'!$K$3&amp;'Funnel setup'!$K$4&amp;'Funnel setup'!$K$6,".",IF(A1201=".",1,A1201+1))</f>
        <v>.</v>
      </c>
      <c r="B1202" s="244" t="str">
        <f t="shared" si="18"/>
        <v>Hip Replacement RevisionSub-ICB of GP PracticeNHS KENT AND MEDWAY ICB - 91Q (91Q)EQ-5D Index</v>
      </c>
      <c r="C1202" t="s">
        <v>967</v>
      </c>
      <c r="D1202" t="s">
        <v>1021</v>
      </c>
      <c r="E1202" t="s">
        <v>845</v>
      </c>
      <c r="F1202" t="s">
        <v>846</v>
      </c>
      <c r="G1202" t="s">
        <v>963</v>
      </c>
      <c r="H1202">
        <v>22</v>
      </c>
      <c r="I1202">
        <v>0.39363599999999999</v>
      </c>
      <c r="J1202">
        <v>0.65731799999999996</v>
      </c>
      <c r="K1202">
        <v>0.26368200000000003</v>
      </c>
      <c r="L1202">
        <v>14</v>
      </c>
      <c r="M1202">
        <v>2</v>
      </c>
      <c r="N1202">
        <v>6</v>
      </c>
      <c r="O1202" t="s">
        <v>127</v>
      </c>
      <c r="P1202" t="s">
        <v>127</v>
      </c>
      <c r="Q1202" t="s">
        <v>127</v>
      </c>
    </row>
    <row r="1203" spans="1:17" x14ac:dyDescent="0.25">
      <c r="A1203" t="str">
        <f>IF(C1203&amp;G1203&amp;D1203&lt;&gt;'Funnel setup'!$K$3&amp;'Funnel setup'!$K$4&amp;'Funnel setup'!$K$6,".",IF(A1202=".",1,A1202+1))</f>
        <v>.</v>
      </c>
      <c r="B1203" s="244" t="str">
        <f t="shared" si="18"/>
        <v>Hip Replacement RevisionSub-ICB of GP PracticeNHS LANCASHIRE AND SOUTH CUMBRIA ICB - 00Q (00Q)EQ-5D Index</v>
      </c>
      <c r="C1203" t="s">
        <v>967</v>
      </c>
      <c r="D1203" t="s">
        <v>1021</v>
      </c>
      <c r="E1203" t="s">
        <v>847</v>
      </c>
      <c r="F1203" t="s">
        <v>848</v>
      </c>
      <c r="G1203" t="s">
        <v>963</v>
      </c>
      <c r="H1203">
        <v>1</v>
      </c>
      <c r="I1203">
        <v>0.69099999999999995</v>
      </c>
      <c r="J1203">
        <v>0.81399999999999995</v>
      </c>
      <c r="K1203">
        <v>0.123</v>
      </c>
      <c r="L1203">
        <v>1</v>
      </c>
      <c r="M1203">
        <v>0</v>
      </c>
      <c r="N1203">
        <v>0</v>
      </c>
      <c r="O1203" t="s">
        <v>127</v>
      </c>
      <c r="P1203" t="s">
        <v>127</v>
      </c>
      <c r="Q1203" t="s">
        <v>127</v>
      </c>
    </row>
    <row r="1204" spans="1:17" x14ac:dyDescent="0.25">
      <c r="A1204" t="str">
        <f>IF(C1204&amp;G1204&amp;D1204&lt;&gt;'Funnel setup'!$K$3&amp;'Funnel setup'!$K$4&amp;'Funnel setup'!$K$6,".",IF(A1203=".",1,A1203+1))</f>
        <v>.</v>
      </c>
      <c r="B1204" s="244" t="str">
        <f t="shared" si="18"/>
        <v>Hip Replacement RevisionSub-ICB of GP PracticeNHS LANCASHIRE AND SOUTH CUMBRIA ICB - 01A (01A)EQ-5D Index</v>
      </c>
      <c r="C1204" t="s">
        <v>967</v>
      </c>
      <c r="D1204" t="s">
        <v>1021</v>
      </c>
      <c r="E1204" t="s">
        <v>853</v>
      </c>
      <c r="F1204" t="s">
        <v>854</v>
      </c>
      <c r="G1204" t="s">
        <v>963</v>
      </c>
      <c r="H1204">
        <v>2</v>
      </c>
      <c r="I1204">
        <v>0.37</v>
      </c>
      <c r="J1204">
        <v>0.60350000000000004</v>
      </c>
      <c r="K1204">
        <v>0.23350000000000001</v>
      </c>
      <c r="L1204">
        <v>1</v>
      </c>
      <c r="M1204">
        <v>0</v>
      </c>
      <c r="N1204">
        <v>1</v>
      </c>
      <c r="O1204" t="s">
        <v>127</v>
      </c>
      <c r="P1204" t="s">
        <v>127</v>
      </c>
      <c r="Q1204" t="s">
        <v>127</v>
      </c>
    </row>
    <row r="1205" spans="1:17" x14ac:dyDescent="0.25">
      <c r="A1205" t="str">
        <f>IF(C1205&amp;G1205&amp;D1205&lt;&gt;'Funnel setup'!$K$3&amp;'Funnel setup'!$K$4&amp;'Funnel setup'!$K$6,".",IF(A1204=".",1,A1204+1))</f>
        <v>.</v>
      </c>
      <c r="B1205" s="244" t="str">
        <f t="shared" si="18"/>
        <v>Hip Replacement RevisionSub-ICB of GP PracticeNHS LANCASHIRE AND SOUTH CUMBRIA ICB - 01E (01E)EQ-5D Index</v>
      </c>
      <c r="C1205" t="s">
        <v>967</v>
      </c>
      <c r="D1205" t="s">
        <v>1021</v>
      </c>
      <c r="E1205" t="s">
        <v>855</v>
      </c>
      <c r="F1205" t="s">
        <v>856</v>
      </c>
      <c r="G1205" t="s">
        <v>963</v>
      </c>
      <c r="H1205">
        <v>1</v>
      </c>
      <c r="I1205">
        <v>0.51600000000000001</v>
      </c>
      <c r="J1205">
        <v>1</v>
      </c>
      <c r="K1205">
        <v>0.48399999999999999</v>
      </c>
      <c r="L1205">
        <v>1</v>
      </c>
      <c r="M1205">
        <v>0</v>
      </c>
      <c r="N1205">
        <v>0</v>
      </c>
      <c r="O1205" t="s">
        <v>127</v>
      </c>
      <c r="P1205" t="s">
        <v>127</v>
      </c>
      <c r="Q1205" t="s">
        <v>127</v>
      </c>
    </row>
    <row r="1206" spans="1:17" x14ac:dyDescent="0.25">
      <c r="A1206" t="str">
        <f>IF(C1206&amp;G1206&amp;D1206&lt;&gt;'Funnel setup'!$K$3&amp;'Funnel setup'!$K$4&amp;'Funnel setup'!$K$6,".",IF(A1205=".",1,A1205+1))</f>
        <v>.</v>
      </c>
      <c r="B1206" s="244" t="str">
        <f t="shared" si="18"/>
        <v>Hip Replacement RevisionSub-ICB of GP PracticeNHS LANCASHIRE AND SOUTH CUMBRIA ICB - 01K (01K)EQ-5D Index</v>
      </c>
      <c r="C1206" t="s">
        <v>967</v>
      </c>
      <c r="D1206" t="s">
        <v>1021</v>
      </c>
      <c r="E1206" t="s">
        <v>857</v>
      </c>
      <c r="F1206" t="s">
        <v>858</v>
      </c>
      <c r="G1206" t="s">
        <v>963</v>
      </c>
      <c r="H1206">
        <v>8</v>
      </c>
      <c r="I1206">
        <v>0.28225</v>
      </c>
      <c r="J1206">
        <v>0.67200000000000004</v>
      </c>
      <c r="K1206">
        <v>0.38974999999999999</v>
      </c>
      <c r="L1206">
        <v>8</v>
      </c>
      <c r="M1206">
        <v>0</v>
      </c>
      <c r="N1206">
        <v>0</v>
      </c>
      <c r="O1206" t="s">
        <v>127</v>
      </c>
      <c r="P1206" t="s">
        <v>127</v>
      </c>
      <c r="Q1206" t="s">
        <v>127</v>
      </c>
    </row>
    <row r="1207" spans="1:17" x14ac:dyDescent="0.25">
      <c r="A1207" t="str">
        <f>IF(C1207&amp;G1207&amp;D1207&lt;&gt;'Funnel setup'!$K$3&amp;'Funnel setup'!$K$4&amp;'Funnel setup'!$K$6,".",IF(A1206=".",1,A1206+1))</f>
        <v>.</v>
      </c>
      <c r="B1207" s="244" t="str">
        <f t="shared" si="18"/>
        <v>Hip Replacement RevisionSub-ICB of GP PracticeNHS LANCASHIRE AND SOUTH CUMBRIA ICB - 02G (02G)EQ-5D Index</v>
      </c>
      <c r="C1207" t="s">
        <v>967</v>
      </c>
      <c r="D1207" t="s">
        <v>1021</v>
      </c>
      <c r="E1207" t="s">
        <v>859</v>
      </c>
      <c r="F1207" t="s">
        <v>860</v>
      </c>
      <c r="G1207" t="s">
        <v>963</v>
      </c>
      <c r="H1207">
        <v>1</v>
      </c>
      <c r="I1207">
        <v>0.51600000000000001</v>
      </c>
      <c r="J1207">
        <v>0.51600000000000001</v>
      </c>
      <c r="K1207">
        <v>0</v>
      </c>
      <c r="L1207">
        <v>0</v>
      </c>
      <c r="M1207">
        <v>1</v>
      </c>
      <c r="N1207">
        <v>0</v>
      </c>
      <c r="O1207" t="s">
        <v>127</v>
      </c>
      <c r="P1207" t="s">
        <v>127</v>
      </c>
      <c r="Q1207" t="s">
        <v>127</v>
      </c>
    </row>
    <row r="1208" spans="1:17" x14ac:dyDescent="0.25">
      <c r="A1208" t="str">
        <f>IF(C1208&amp;G1208&amp;D1208&lt;&gt;'Funnel setup'!$K$3&amp;'Funnel setup'!$K$4&amp;'Funnel setup'!$K$6,".",IF(A1207=".",1,A1207+1))</f>
        <v>.</v>
      </c>
      <c r="B1208" s="244" t="str">
        <f t="shared" si="18"/>
        <v>Hip Replacement RevisionSub-ICB of GP PracticeNHS LANCASHIRE AND SOUTH CUMBRIA ICB - 02M (02M)EQ-5D Index</v>
      </c>
      <c r="C1208" t="s">
        <v>967</v>
      </c>
      <c r="D1208" t="s">
        <v>1021</v>
      </c>
      <c r="E1208" t="s">
        <v>861</v>
      </c>
      <c r="F1208" t="s">
        <v>862</v>
      </c>
      <c r="G1208" t="s">
        <v>963</v>
      </c>
      <c r="H1208">
        <v>4</v>
      </c>
      <c r="I1208">
        <v>0.09</v>
      </c>
      <c r="J1208">
        <v>0.53174999999999994</v>
      </c>
      <c r="K1208">
        <v>0.44174999999999998</v>
      </c>
      <c r="L1208">
        <v>4</v>
      </c>
      <c r="M1208">
        <v>0</v>
      </c>
      <c r="N1208">
        <v>0</v>
      </c>
      <c r="O1208" t="s">
        <v>127</v>
      </c>
      <c r="P1208" t="s">
        <v>127</v>
      </c>
      <c r="Q1208" t="s">
        <v>127</v>
      </c>
    </row>
    <row r="1209" spans="1:17" x14ac:dyDescent="0.25">
      <c r="A1209" t="str">
        <f>IF(C1209&amp;G1209&amp;D1209&lt;&gt;'Funnel setup'!$K$3&amp;'Funnel setup'!$K$4&amp;'Funnel setup'!$K$6,".",IF(A1208=".",1,A1208+1))</f>
        <v>.</v>
      </c>
      <c r="B1209" s="244" t="str">
        <f t="shared" si="18"/>
        <v>Hip Replacement RevisionSub-ICB of GP PracticeNHS LEICESTER, LEICESTERSHIRE AND RUTLAND ICB - 03W (03W)EQ-5D Index</v>
      </c>
      <c r="C1209" t="s">
        <v>967</v>
      </c>
      <c r="D1209" t="s">
        <v>1021</v>
      </c>
      <c r="E1209" t="s">
        <v>863</v>
      </c>
      <c r="F1209" t="s">
        <v>864</v>
      </c>
      <c r="G1209" t="s">
        <v>963</v>
      </c>
      <c r="H1209">
        <v>10</v>
      </c>
      <c r="I1209">
        <v>0.23280000000000001</v>
      </c>
      <c r="J1209">
        <v>0.69040000000000001</v>
      </c>
      <c r="K1209">
        <v>0.45760000000000001</v>
      </c>
      <c r="L1209">
        <v>10</v>
      </c>
      <c r="M1209">
        <v>0</v>
      </c>
      <c r="N1209">
        <v>0</v>
      </c>
      <c r="O1209" t="s">
        <v>127</v>
      </c>
      <c r="P1209" t="s">
        <v>127</v>
      </c>
      <c r="Q1209" t="s">
        <v>127</v>
      </c>
    </row>
    <row r="1210" spans="1:17" x14ac:dyDescent="0.25">
      <c r="A1210" t="str">
        <f>IF(C1210&amp;G1210&amp;D1210&lt;&gt;'Funnel setup'!$K$3&amp;'Funnel setup'!$K$4&amp;'Funnel setup'!$K$6,".",IF(A1209=".",1,A1209+1))</f>
        <v>.</v>
      </c>
      <c r="B1210" s="244" t="str">
        <f t="shared" si="18"/>
        <v>Hip Replacement RevisionSub-ICB of GP PracticeNHS LEICESTER, LEICESTERSHIRE AND RUTLAND ICB - 04C (04C)EQ-5D Index</v>
      </c>
      <c r="C1210" t="s">
        <v>967</v>
      </c>
      <c r="D1210" t="s">
        <v>1021</v>
      </c>
      <c r="E1210" t="s">
        <v>865</v>
      </c>
      <c r="F1210" t="s">
        <v>866</v>
      </c>
      <c r="G1210" t="s">
        <v>963</v>
      </c>
      <c r="H1210" t="s">
        <v>127</v>
      </c>
      <c r="I1210" t="s">
        <v>127</v>
      </c>
      <c r="J1210" t="s">
        <v>127</v>
      </c>
      <c r="K1210" t="s">
        <v>127</v>
      </c>
      <c r="L1210" t="s">
        <v>127</v>
      </c>
      <c r="M1210" t="s">
        <v>127</v>
      </c>
      <c r="N1210" t="s">
        <v>127</v>
      </c>
      <c r="O1210" t="s">
        <v>127</v>
      </c>
      <c r="P1210" t="s">
        <v>127</v>
      </c>
      <c r="Q1210" t="s">
        <v>127</v>
      </c>
    </row>
    <row r="1211" spans="1:17" x14ac:dyDescent="0.25">
      <c r="A1211" t="str">
        <f>IF(C1211&amp;G1211&amp;D1211&lt;&gt;'Funnel setup'!$K$3&amp;'Funnel setup'!$K$4&amp;'Funnel setup'!$K$6,".",IF(A1210=".",1,A1210+1))</f>
        <v>.</v>
      </c>
      <c r="B1211" s="244" t="str">
        <f t="shared" si="18"/>
        <v>Hip Replacement RevisionSub-ICB of GP PracticeNHS LEICESTER, LEICESTERSHIRE AND RUTLAND ICB - 04V (04V)EQ-5D Index</v>
      </c>
      <c r="C1211" t="s">
        <v>967</v>
      </c>
      <c r="D1211" t="s">
        <v>1021</v>
      </c>
      <c r="E1211" t="s">
        <v>867</v>
      </c>
      <c r="F1211" t="s">
        <v>868</v>
      </c>
      <c r="G1211" t="s">
        <v>963</v>
      </c>
      <c r="H1211">
        <v>4</v>
      </c>
      <c r="I1211">
        <v>0.37425000000000003</v>
      </c>
      <c r="J1211">
        <v>0.80374999999999996</v>
      </c>
      <c r="K1211">
        <v>0.42949999999999999</v>
      </c>
      <c r="L1211">
        <v>4</v>
      </c>
      <c r="M1211">
        <v>0</v>
      </c>
      <c r="N1211">
        <v>0</v>
      </c>
      <c r="O1211" t="s">
        <v>127</v>
      </c>
      <c r="P1211" t="s">
        <v>127</v>
      </c>
      <c r="Q1211" t="s">
        <v>127</v>
      </c>
    </row>
    <row r="1212" spans="1:17" x14ac:dyDescent="0.25">
      <c r="A1212" t="str">
        <f>IF(C1212&amp;G1212&amp;D1212&lt;&gt;'Funnel setup'!$K$3&amp;'Funnel setup'!$K$4&amp;'Funnel setup'!$K$6,".",IF(A1211=".",1,A1211+1))</f>
        <v>.</v>
      </c>
      <c r="B1212" s="244" t="str">
        <f t="shared" si="18"/>
        <v>Hip Replacement RevisionSub-ICB of GP PracticeNHS LINCOLNSHIRE ICB - 71E (71E)EQ-5D Index</v>
      </c>
      <c r="C1212" t="s">
        <v>967</v>
      </c>
      <c r="D1212" t="s">
        <v>1021</v>
      </c>
      <c r="E1212" t="s">
        <v>869</v>
      </c>
      <c r="F1212" t="s">
        <v>870</v>
      </c>
      <c r="G1212" t="s">
        <v>963</v>
      </c>
      <c r="H1212">
        <v>3</v>
      </c>
      <c r="I1212">
        <v>0.69133299999999998</v>
      </c>
      <c r="J1212">
        <v>0.39500000000000002</v>
      </c>
      <c r="K1212">
        <v>-0.29633300000000001</v>
      </c>
      <c r="L1212">
        <v>2</v>
      </c>
      <c r="M1212">
        <v>0</v>
      </c>
      <c r="N1212">
        <v>1</v>
      </c>
      <c r="O1212" t="s">
        <v>127</v>
      </c>
      <c r="P1212" t="s">
        <v>127</v>
      </c>
      <c r="Q1212" t="s">
        <v>127</v>
      </c>
    </row>
    <row r="1213" spans="1:17" x14ac:dyDescent="0.25">
      <c r="A1213" t="str">
        <f>IF(C1213&amp;G1213&amp;D1213&lt;&gt;'Funnel setup'!$K$3&amp;'Funnel setup'!$K$4&amp;'Funnel setup'!$K$6,".",IF(A1212=".",1,A1212+1))</f>
        <v>.</v>
      </c>
      <c r="B1213" s="244" t="str">
        <f t="shared" si="18"/>
        <v>Hip Replacement RevisionSub-ICB of GP PracticeNHS MID AND SOUTH ESSEX ICB - 06Q (06Q)EQ-5D Index</v>
      </c>
      <c r="C1213" t="s">
        <v>967</v>
      </c>
      <c r="D1213" t="s">
        <v>1021</v>
      </c>
      <c r="E1213" t="s">
        <v>871</v>
      </c>
      <c r="F1213" t="s">
        <v>872</v>
      </c>
      <c r="G1213" t="s">
        <v>963</v>
      </c>
      <c r="H1213">
        <v>3</v>
      </c>
      <c r="I1213">
        <v>0.282333</v>
      </c>
      <c r="J1213">
        <v>0.64633300000000005</v>
      </c>
      <c r="K1213">
        <v>0.36399999999999999</v>
      </c>
      <c r="L1213">
        <v>3</v>
      </c>
      <c r="M1213">
        <v>0</v>
      </c>
      <c r="N1213">
        <v>0</v>
      </c>
      <c r="O1213" t="s">
        <v>127</v>
      </c>
      <c r="P1213" t="s">
        <v>127</v>
      </c>
      <c r="Q1213" t="s">
        <v>127</v>
      </c>
    </row>
    <row r="1214" spans="1:17" x14ac:dyDescent="0.25">
      <c r="A1214" t="str">
        <f>IF(C1214&amp;G1214&amp;D1214&lt;&gt;'Funnel setup'!$K$3&amp;'Funnel setup'!$K$4&amp;'Funnel setup'!$K$6,".",IF(A1213=".",1,A1213+1))</f>
        <v>.</v>
      </c>
      <c r="B1214" s="244" t="str">
        <f t="shared" si="18"/>
        <v>Hip Replacement RevisionSub-ICB of GP PracticeNHS MID AND SOUTH ESSEX ICB - 07G (07G)EQ-5D Index</v>
      </c>
      <c r="C1214" t="s">
        <v>967</v>
      </c>
      <c r="D1214" t="s">
        <v>1021</v>
      </c>
      <c r="E1214" t="s">
        <v>873</v>
      </c>
      <c r="F1214" t="s">
        <v>874</v>
      </c>
      <c r="G1214" t="s">
        <v>963</v>
      </c>
      <c r="H1214">
        <v>1</v>
      </c>
      <c r="I1214">
        <v>0.62</v>
      </c>
      <c r="J1214">
        <v>0.81399999999999995</v>
      </c>
      <c r="K1214">
        <v>0.19400000000000001</v>
      </c>
      <c r="L1214">
        <v>1</v>
      </c>
      <c r="M1214">
        <v>0</v>
      </c>
      <c r="N1214">
        <v>0</v>
      </c>
      <c r="O1214" t="s">
        <v>127</v>
      </c>
      <c r="P1214" t="s">
        <v>127</v>
      </c>
      <c r="Q1214" t="s">
        <v>127</v>
      </c>
    </row>
    <row r="1215" spans="1:17" x14ac:dyDescent="0.25">
      <c r="A1215" t="str">
        <f>IF(C1215&amp;G1215&amp;D1215&lt;&gt;'Funnel setup'!$K$3&amp;'Funnel setup'!$K$4&amp;'Funnel setup'!$K$6,".",IF(A1214=".",1,A1214+1))</f>
        <v>.</v>
      </c>
      <c r="B1215" s="244" t="str">
        <f t="shared" si="18"/>
        <v>Hip Replacement RevisionSub-ICB of GP PracticeNHS MID AND SOUTH ESSEX ICB - 99E (99E)EQ-5D Index</v>
      </c>
      <c r="C1215" t="s">
        <v>967</v>
      </c>
      <c r="D1215" t="s">
        <v>1021</v>
      </c>
      <c r="E1215" t="s">
        <v>875</v>
      </c>
      <c r="F1215" t="s">
        <v>876</v>
      </c>
      <c r="G1215" t="s">
        <v>963</v>
      </c>
      <c r="H1215">
        <v>3</v>
      </c>
      <c r="I1215">
        <v>0.39400000000000002</v>
      </c>
      <c r="J1215">
        <v>0.64233300000000004</v>
      </c>
      <c r="K1215">
        <v>0.248333</v>
      </c>
      <c r="L1215">
        <v>2</v>
      </c>
      <c r="M1215">
        <v>1</v>
      </c>
      <c r="N1215">
        <v>0</v>
      </c>
      <c r="O1215" t="s">
        <v>127</v>
      </c>
      <c r="P1215" t="s">
        <v>127</v>
      </c>
      <c r="Q1215" t="s">
        <v>127</v>
      </c>
    </row>
    <row r="1216" spans="1:17" x14ac:dyDescent="0.25">
      <c r="A1216" t="str">
        <f>IF(C1216&amp;G1216&amp;D1216&lt;&gt;'Funnel setup'!$K$3&amp;'Funnel setup'!$K$4&amp;'Funnel setup'!$K$6,".",IF(A1215=".",1,A1215+1))</f>
        <v>.</v>
      </c>
      <c r="B1216" s="244" t="str">
        <f t="shared" si="18"/>
        <v>Hip Replacement RevisionSub-ICB of GP PracticeNHS MID AND SOUTH ESSEX ICB - 99F (99F)EQ-5D Index</v>
      </c>
      <c r="C1216" t="s">
        <v>967</v>
      </c>
      <c r="D1216" t="s">
        <v>1021</v>
      </c>
      <c r="E1216" t="s">
        <v>877</v>
      </c>
      <c r="F1216" t="s">
        <v>878</v>
      </c>
      <c r="G1216" t="s">
        <v>963</v>
      </c>
      <c r="H1216">
        <v>1</v>
      </c>
      <c r="I1216">
        <v>0.65600000000000003</v>
      </c>
      <c r="J1216">
        <v>0.03</v>
      </c>
      <c r="K1216">
        <v>-0.626</v>
      </c>
      <c r="L1216">
        <v>0</v>
      </c>
      <c r="M1216">
        <v>0</v>
      </c>
      <c r="N1216">
        <v>1</v>
      </c>
      <c r="O1216" t="s">
        <v>127</v>
      </c>
      <c r="P1216" t="s">
        <v>127</v>
      </c>
      <c r="Q1216" t="s">
        <v>127</v>
      </c>
    </row>
    <row r="1217" spans="1:17" x14ac:dyDescent="0.25">
      <c r="A1217" t="str">
        <f>IF(C1217&amp;G1217&amp;D1217&lt;&gt;'Funnel setup'!$K$3&amp;'Funnel setup'!$K$4&amp;'Funnel setup'!$K$6,".",IF(A1216=".",1,A1216+1))</f>
        <v>.</v>
      </c>
      <c r="B1217" s="244" t="str">
        <f t="shared" si="18"/>
        <v>Hip Replacement RevisionSub-ICB of GP PracticeNHS NORFOLK AND WAVENEY ICB - 26A (26A)EQ-5D Index</v>
      </c>
      <c r="C1217" t="s">
        <v>967</v>
      </c>
      <c r="D1217" t="s">
        <v>1021</v>
      </c>
      <c r="E1217" t="s">
        <v>881</v>
      </c>
      <c r="F1217" t="s">
        <v>882</v>
      </c>
      <c r="G1217" t="s">
        <v>963</v>
      </c>
      <c r="H1217">
        <v>22</v>
      </c>
      <c r="I1217">
        <v>0.38709100000000002</v>
      </c>
      <c r="J1217">
        <v>0.82054499999999997</v>
      </c>
      <c r="K1217">
        <v>0.43345499999999998</v>
      </c>
      <c r="L1217">
        <v>19</v>
      </c>
      <c r="M1217">
        <v>2</v>
      </c>
      <c r="N1217">
        <v>1</v>
      </c>
      <c r="O1217" t="s">
        <v>127</v>
      </c>
      <c r="P1217" t="s">
        <v>127</v>
      </c>
      <c r="Q1217" t="s">
        <v>127</v>
      </c>
    </row>
    <row r="1218" spans="1:17" x14ac:dyDescent="0.25">
      <c r="A1218" t="str">
        <f>IF(C1218&amp;G1218&amp;D1218&lt;&gt;'Funnel setup'!$K$3&amp;'Funnel setup'!$K$4&amp;'Funnel setup'!$K$6,".",IF(A1217=".",1,A1217+1))</f>
        <v>.</v>
      </c>
      <c r="B1218" s="244" t="str">
        <f t="shared" ref="B1218:B1281" si="19">C1218&amp;D1218&amp;F1218&amp;G1218</f>
        <v>Hip Replacement RevisionSub-ICB of GP PracticeNHS NORTH CENTRAL LONDON ICB - 93C (93C)EQ-5D Index</v>
      </c>
      <c r="C1218" t="s">
        <v>967</v>
      </c>
      <c r="D1218" t="s">
        <v>1021</v>
      </c>
      <c r="E1218" t="s">
        <v>883</v>
      </c>
      <c r="F1218" t="s">
        <v>884</v>
      </c>
      <c r="G1218" t="s">
        <v>963</v>
      </c>
      <c r="H1218">
        <v>5</v>
      </c>
      <c r="I1218">
        <v>0.67</v>
      </c>
      <c r="J1218">
        <v>0.69479999999999997</v>
      </c>
      <c r="K1218">
        <v>2.4799999999999999E-2</v>
      </c>
      <c r="L1218">
        <v>3</v>
      </c>
      <c r="M1218">
        <v>1</v>
      </c>
      <c r="N1218">
        <v>1</v>
      </c>
      <c r="O1218" t="s">
        <v>127</v>
      </c>
      <c r="P1218" t="s">
        <v>127</v>
      </c>
      <c r="Q1218" t="s">
        <v>127</v>
      </c>
    </row>
    <row r="1219" spans="1:17" x14ac:dyDescent="0.25">
      <c r="A1219" t="str">
        <f>IF(C1219&amp;G1219&amp;D1219&lt;&gt;'Funnel setup'!$K$3&amp;'Funnel setup'!$K$4&amp;'Funnel setup'!$K$6,".",IF(A1218=".",1,A1218+1))</f>
        <v>.</v>
      </c>
      <c r="B1219" s="244" t="str">
        <f t="shared" si="19"/>
        <v>Hip Replacement RevisionSub-ICB of GP PracticeNHS NORTH EAST AND NORTH CUMBRIA ICB - 00L (00L)EQ-5D Index</v>
      </c>
      <c r="C1219" t="s">
        <v>967</v>
      </c>
      <c r="D1219" t="s">
        <v>1021</v>
      </c>
      <c r="E1219" t="s">
        <v>885</v>
      </c>
      <c r="F1219" t="s">
        <v>886</v>
      </c>
      <c r="G1219" t="s">
        <v>963</v>
      </c>
      <c r="H1219">
        <v>3</v>
      </c>
      <c r="I1219">
        <v>0.67733299999999996</v>
      </c>
      <c r="J1219">
        <v>0.79966700000000002</v>
      </c>
      <c r="K1219">
        <v>0.122333</v>
      </c>
      <c r="L1219">
        <v>1</v>
      </c>
      <c r="M1219">
        <v>2</v>
      </c>
      <c r="N1219">
        <v>0</v>
      </c>
      <c r="O1219" t="s">
        <v>127</v>
      </c>
      <c r="P1219" t="s">
        <v>127</v>
      </c>
      <c r="Q1219" t="s">
        <v>127</v>
      </c>
    </row>
    <row r="1220" spans="1:17" x14ac:dyDescent="0.25">
      <c r="A1220" t="str">
        <f>IF(C1220&amp;G1220&amp;D1220&lt;&gt;'Funnel setup'!$K$3&amp;'Funnel setup'!$K$4&amp;'Funnel setup'!$K$6,".",IF(A1219=".",1,A1219+1))</f>
        <v>.</v>
      </c>
      <c r="B1220" s="244" t="str">
        <f t="shared" si="19"/>
        <v>Hip Replacement RevisionSub-ICB of GP PracticeNHS NORTH EAST AND NORTH CUMBRIA ICB - 00N (00N)EQ-5D Index</v>
      </c>
      <c r="C1220" t="s">
        <v>967</v>
      </c>
      <c r="D1220" t="s">
        <v>1021</v>
      </c>
      <c r="E1220" t="s">
        <v>887</v>
      </c>
      <c r="F1220" t="s">
        <v>888</v>
      </c>
      <c r="G1220" t="s">
        <v>963</v>
      </c>
      <c r="H1220">
        <v>1</v>
      </c>
      <c r="I1220">
        <v>-3.0000000000000001E-3</v>
      </c>
      <c r="J1220">
        <v>-0.23899999999999999</v>
      </c>
      <c r="K1220">
        <v>-0.23599999999999999</v>
      </c>
      <c r="L1220">
        <v>0</v>
      </c>
      <c r="M1220">
        <v>0</v>
      </c>
      <c r="N1220">
        <v>1</v>
      </c>
      <c r="O1220" t="s">
        <v>127</v>
      </c>
      <c r="P1220" t="s">
        <v>127</v>
      </c>
      <c r="Q1220" t="s">
        <v>127</v>
      </c>
    </row>
    <row r="1221" spans="1:17" x14ac:dyDescent="0.25">
      <c r="A1221" t="str">
        <f>IF(C1221&amp;G1221&amp;D1221&lt;&gt;'Funnel setup'!$K$3&amp;'Funnel setup'!$K$4&amp;'Funnel setup'!$K$6,".",IF(A1220=".",1,A1220+1))</f>
        <v>.</v>
      </c>
      <c r="B1221" s="244" t="str">
        <f t="shared" si="19"/>
        <v>Hip Replacement RevisionSub-ICB of GP PracticeNHS NORTH EAST AND NORTH CUMBRIA ICB - 00P (00P)EQ-5D Index</v>
      </c>
      <c r="C1221" t="s">
        <v>967</v>
      </c>
      <c r="D1221" t="s">
        <v>1021</v>
      </c>
      <c r="E1221" t="s">
        <v>889</v>
      </c>
      <c r="F1221" t="s">
        <v>890</v>
      </c>
      <c r="G1221" t="s">
        <v>963</v>
      </c>
      <c r="H1221">
        <v>2</v>
      </c>
      <c r="I1221">
        <v>0.67349999999999999</v>
      </c>
      <c r="J1221">
        <v>0.75800000000000001</v>
      </c>
      <c r="K1221">
        <v>8.4500000000000006E-2</v>
      </c>
      <c r="L1221">
        <v>1</v>
      </c>
      <c r="M1221">
        <v>0</v>
      </c>
      <c r="N1221">
        <v>1</v>
      </c>
      <c r="O1221" t="s">
        <v>127</v>
      </c>
      <c r="P1221" t="s">
        <v>127</v>
      </c>
      <c r="Q1221" t="s">
        <v>127</v>
      </c>
    </row>
    <row r="1222" spans="1:17" x14ac:dyDescent="0.25">
      <c r="A1222" t="str">
        <f>IF(C1222&amp;G1222&amp;D1222&lt;&gt;'Funnel setup'!$K$3&amp;'Funnel setup'!$K$4&amp;'Funnel setup'!$K$6,".",IF(A1221=".",1,A1221+1))</f>
        <v>.</v>
      </c>
      <c r="B1222" s="244" t="str">
        <f t="shared" si="19"/>
        <v>Hip Replacement RevisionSub-ICB of GP PracticeNHS NORTH EAST AND NORTH CUMBRIA ICB - 01H (01H)EQ-5D Index</v>
      </c>
      <c r="C1222" t="s">
        <v>967</v>
      </c>
      <c r="D1222" t="s">
        <v>1021</v>
      </c>
      <c r="E1222" t="s">
        <v>891</v>
      </c>
      <c r="F1222" t="s">
        <v>892</v>
      </c>
      <c r="G1222" t="s">
        <v>963</v>
      </c>
      <c r="H1222">
        <v>10</v>
      </c>
      <c r="I1222">
        <v>0.36770000000000003</v>
      </c>
      <c r="J1222">
        <v>0.80459999999999998</v>
      </c>
      <c r="K1222">
        <v>0.43690000000000001</v>
      </c>
      <c r="L1222">
        <v>9</v>
      </c>
      <c r="M1222">
        <v>0</v>
      </c>
      <c r="N1222">
        <v>1</v>
      </c>
      <c r="O1222" t="s">
        <v>127</v>
      </c>
      <c r="P1222" t="s">
        <v>127</v>
      </c>
      <c r="Q1222" t="s">
        <v>127</v>
      </c>
    </row>
    <row r="1223" spans="1:17" x14ac:dyDescent="0.25">
      <c r="A1223" t="str">
        <f>IF(C1223&amp;G1223&amp;D1223&lt;&gt;'Funnel setup'!$K$3&amp;'Funnel setup'!$K$4&amp;'Funnel setup'!$K$6,".",IF(A1222=".",1,A1222+1))</f>
        <v>.</v>
      </c>
      <c r="B1223" s="244" t="str">
        <f t="shared" si="19"/>
        <v>Hip Replacement RevisionSub-ICB of GP PracticeNHS NORTH EAST AND NORTH CUMBRIA ICB - 13T (13T)EQ-5D Index</v>
      </c>
      <c r="C1223" t="s">
        <v>967</v>
      </c>
      <c r="D1223" t="s">
        <v>1021</v>
      </c>
      <c r="E1223" t="s">
        <v>893</v>
      </c>
      <c r="F1223" t="s">
        <v>894</v>
      </c>
      <c r="G1223" t="s">
        <v>963</v>
      </c>
      <c r="H1223">
        <v>2</v>
      </c>
      <c r="I1223">
        <v>0.27300000000000002</v>
      </c>
      <c r="J1223">
        <v>0.30599999999999999</v>
      </c>
      <c r="K1223">
        <v>3.3000000000000002E-2</v>
      </c>
      <c r="L1223">
        <v>1</v>
      </c>
      <c r="M1223">
        <v>0</v>
      </c>
      <c r="N1223">
        <v>1</v>
      </c>
      <c r="O1223" t="s">
        <v>127</v>
      </c>
      <c r="P1223" t="s">
        <v>127</v>
      </c>
      <c r="Q1223" t="s">
        <v>127</v>
      </c>
    </row>
    <row r="1224" spans="1:17" x14ac:dyDescent="0.25">
      <c r="A1224" t="str">
        <f>IF(C1224&amp;G1224&amp;D1224&lt;&gt;'Funnel setup'!$K$3&amp;'Funnel setup'!$K$4&amp;'Funnel setup'!$K$6,".",IF(A1223=".",1,A1223+1))</f>
        <v>.</v>
      </c>
      <c r="B1224" s="244" t="str">
        <f t="shared" si="19"/>
        <v>Hip Replacement RevisionSub-ICB of GP PracticeNHS NORTH EAST AND NORTH CUMBRIA ICB - 16C (16C)EQ-5D Index</v>
      </c>
      <c r="C1224" t="s">
        <v>967</v>
      </c>
      <c r="D1224" t="s">
        <v>1021</v>
      </c>
      <c r="E1224" t="s">
        <v>895</v>
      </c>
      <c r="F1224" t="s">
        <v>896</v>
      </c>
      <c r="G1224" t="s">
        <v>963</v>
      </c>
      <c r="H1224">
        <v>14</v>
      </c>
      <c r="I1224">
        <v>0.26621400000000001</v>
      </c>
      <c r="J1224">
        <v>0.59735700000000003</v>
      </c>
      <c r="K1224">
        <v>0.33114300000000002</v>
      </c>
      <c r="L1224">
        <v>11</v>
      </c>
      <c r="M1224">
        <v>1</v>
      </c>
      <c r="N1224">
        <v>2</v>
      </c>
      <c r="O1224" t="s">
        <v>127</v>
      </c>
      <c r="P1224" t="s">
        <v>127</v>
      </c>
      <c r="Q1224" t="s">
        <v>127</v>
      </c>
    </row>
    <row r="1225" spans="1:17" x14ac:dyDescent="0.25">
      <c r="A1225" t="str">
        <f>IF(C1225&amp;G1225&amp;D1225&lt;&gt;'Funnel setup'!$K$3&amp;'Funnel setup'!$K$4&amp;'Funnel setup'!$K$6,".",IF(A1224=".",1,A1224+1))</f>
        <v>.</v>
      </c>
      <c r="B1225" s="244" t="str">
        <f t="shared" si="19"/>
        <v>Hip Replacement RevisionSub-ICB of GP PracticeNHS NORTH EAST AND NORTH CUMBRIA ICB - 84H (84H)EQ-5D Index</v>
      </c>
      <c r="C1225" t="s">
        <v>967</v>
      </c>
      <c r="D1225" t="s">
        <v>1021</v>
      </c>
      <c r="E1225" t="s">
        <v>897</v>
      </c>
      <c r="F1225" t="s">
        <v>898</v>
      </c>
      <c r="G1225" t="s">
        <v>963</v>
      </c>
      <c r="H1225">
        <v>3</v>
      </c>
      <c r="I1225">
        <v>0.22800000000000001</v>
      </c>
      <c r="J1225">
        <v>0.532667</v>
      </c>
      <c r="K1225">
        <v>0.30466700000000002</v>
      </c>
      <c r="L1225">
        <v>2</v>
      </c>
      <c r="M1225">
        <v>1</v>
      </c>
      <c r="N1225">
        <v>0</v>
      </c>
      <c r="O1225" t="s">
        <v>127</v>
      </c>
      <c r="P1225" t="s">
        <v>127</v>
      </c>
      <c r="Q1225" t="s">
        <v>127</v>
      </c>
    </row>
    <row r="1226" spans="1:17" x14ac:dyDescent="0.25">
      <c r="A1226" t="str">
        <f>IF(C1226&amp;G1226&amp;D1226&lt;&gt;'Funnel setup'!$K$3&amp;'Funnel setup'!$K$4&amp;'Funnel setup'!$K$6,".",IF(A1225=".",1,A1225+1))</f>
        <v>.</v>
      </c>
      <c r="B1226" s="244" t="str">
        <f t="shared" si="19"/>
        <v>Hip Replacement RevisionSub-ICB of GP PracticeNHS NORTH EAST AND NORTH CUMBRIA ICB - 99C (99C)EQ-5D Index</v>
      </c>
      <c r="C1226" t="s">
        <v>967</v>
      </c>
      <c r="D1226" t="s">
        <v>1021</v>
      </c>
      <c r="E1226" t="s">
        <v>899</v>
      </c>
      <c r="F1226" t="s">
        <v>900</v>
      </c>
      <c r="G1226" t="s">
        <v>963</v>
      </c>
      <c r="H1226">
        <v>4</v>
      </c>
      <c r="I1226">
        <v>0.13800000000000001</v>
      </c>
      <c r="J1226">
        <v>0.77300000000000002</v>
      </c>
      <c r="K1226">
        <v>0.63500000000000001</v>
      </c>
      <c r="L1226">
        <v>3</v>
      </c>
      <c r="M1226">
        <v>1</v>
      </c>
      <c r="N1226">
        <v>0</v>
      </c>
      <c r="O1226" t="s">
        <v>127</v>
      </c>
      <c r="P1226" t="s">
        <v>127</v>
      </c>
      <c r="Q1226" t="s">
        <v>127</v>
      </c>
    </row>
    <row r="1227" spans="1:17" x14ac:dyDescent="0.25">
      <c r="A1227" t="str">
        <f>IF(C1227&amp;G1227&amp;D1227&lt;&gt;'Funnel setup'!$K$3&amp;'Funnel setup'!$K$4&amp;'Funnel setup'!$K$6,".",IF(A1226=".",1,A1226+1))</f>
        <v>.</v>
      </c>
      <c r="B1227" s="244" t="str">
        <f t="shared" si="19"/>
        <v>Hip Replacement RevisionSub-ICB of GP PracticeNHS NORTH EAST LONDON ICB - A3A8R (A3A8R)EQ-5D Index</v>
      </c>
      <c r="C1227" t="s">
        <v>967</v>
      </c>
      <c r="D1227" t="s">
        <v>1021</v>
      </c>
      <c r="E1227" t="s">
        <v>901</v>
      </c>
      <c r="F1227" t="s">
        <v>902</v>
      </c>
      <c r="G1227" t="s">
        <v>963</v>
      </c>
      <c r="H1227">
        <v>7</v>
      </c>
      <c r="I1227">
        <v>0.237571</v>
      </c>
      <c r="J1227">
        <v>0.69199999999999995</v>
      </c>
      <c r="K1227">
        <v>0.45442900000000003</v>
      </c>
      <c r="L1227">
        <v>5</v>
      </c>
      <c r="M1227">
        <v>1</v>
      </c>
      <c r="N1227">
        <v>1</v>
      </c>
      <c r="O1227" t="s">
        <v>127</v>
      </c>
      <c r="P1227" t="s">
        <v>127</v>
      </c>
      <c r="Q1227" t="s">
        <v>127</v>
      </c>
    </row>
    <row r="1228" spans="1:17" x14ac:dyDescent="0.25">
      <c r="A1228" t="str">
        <f>IF(C1228&amp;G1228&amp;D1228&lt;&gt;'Funnel setup'!$K$3&amp;'Funnel setup'!$K$4&amp;'Funnel setup'!$K$6,".",IF(A1227=".",1,A1227+1))</f>
        <v>.</v>
      </c>
      <c r="B1228" s="244" t="str">
        <f t="shared" si="19"/>
        <v>Hip Replacement RevisionSub-ICB of GP PracticeNHS NORTH WEST LONDON ICB - W2U3Z (W2U3Z)EQ-5D Index</v>
      </c>
      <c r="C1228" t="s">
        <v>967</v>
      </c>
      <c r="D1228" t="s">
        <v>1021</v>
      </c>
      <c r="E1228" t="s">
        <v>903</v>
      </c>
      <c r="F1228" t="s">
        <v>904</v>
      </c>
      <c r="G1228" t="s">
        <v>963</v>
      </c>
      <c r="H1228">
        <v>6</v>
      </c>
      <c r="I1228">
        <v>0.31166700000000003</v>
      </c>
      <c r="J1228">
        <v>0.62466699999999997</v>
      </c>
      <c r="K1228">
        <v>0.313</v>
      </c>
      <c r="L1228">
        <v>4</v>
      </c>
      <c r="M1228">
        <v>1</v>
      </c>
      <c r="N1228">
        <v>1</v>
      </c>
      <c r="O1228" t="s">
        <v>127</v>
      </c>
      <c r="P1228" t="s">
        <v>127</v>
      </c>
      <c r="Q1228" t="s">
        <v>127</v>
      </c>
    </row>
    <row r="1229" spans="1:17" x14ac:dyDescent="0.25">
      <c r="A1229" t="str">
        <f>IF(C1229&amp;G1229&amp;D1229&lt;&gt;'Funnel setup'!$K$3&amp;'Funnel setup'!$K$4&amp;'Funnel setup'!$K$6,".",IF(A1228=".",1,A1228+1))</f>
        <v>.</v>
      </c>
      <c r="B1229" s="244" t="str">
        <f t="shared" si="19"/>
        <v>Hip Replacement RevisionSub-ICB of GP PracticeNHS NORTHAMPTONSHIRE ICB - 78H (78H)EQ-5D Index</v>
      </c>
      <c r="C1229" t="s">
        <v>967</v>
      </c>
      <c r="D1229" t="s">
        <v>1021</v>
      </c>
      <c r="E1229" t="s">
        <v>905</v>
      </c>
      <c r="F1229" t="s">
        <v>906</v>
      </c>
      <c r="G1229" t="s">
        <v>963</v>
      </c>
      <c r="H1229">
        <v>15</v>
      </c>
      <c r="I1229">
        <v>0.52066699999999999</v>
      </c>
      <c r="J1229">
        <v>0.754467</v>
      </c>
      <c r="K1229">
        <v>0.23380000000000001</v>
      </c>
      <c r="L1229">
        <v>10</v>
      </c>
      <c r="M1229">
        <v>2</v>
      </c>
      <c r="N1229">
        <v>3</v>
      </c>
      <c r="O1229" t="s">
        <v>127</v>
      </c>
      <c r="P1229" t="s">
        <v>127</v>
      </c>
      <c r="Q1229" t="s">
        <v>127</v>
      </c>
    </row>
    <row r="1230" spans="1:17" x14ac:dyDescent="0.25">
      <c r="A1230" t="str">
        <f>IF(C1230&amp;G1230&amp;D1230&lt;&gt;'Funnel setup'!$K$3&amp;'Funnel setup'!$K$4&amp;'Funnel setup'!$K$6,".",IF(A1229=".",1,A1229+1))</f>
        <v>.</v>
      </c>
      <c r="B1230" s="244" t="str">
        <f t="shared" si="19"/>
        <v>Hip Replacement RevisionSub-ICB of GP PracticeNHS NOTTINGHAM AND NOTTINGHAMSHIRE ICB - 02Q (02Q)EQ-5D Index</v>
      </c>
      <c r="C1230" t="s">
        <v>967</v>
      </c>
      <c r="D1230" t="s">
        <v>1021</v>
      </c>
      <c r="E1230" t="s">
        <v>907</v>
      </c>
      <c r="F1230" t="s">
        <v>908</v>
      </c>
      <c r="G1230" t="s">
        <v>963</v>
      </c>
      <c r="H1230">
        <v>1</v>
      </c>
      <c r="I1230">
        <v>0.63900000000000001</v>
      </c>
      <c r="J1230">
        <v>0.51600000000000001</v>
      </c>
      <c r="K1230">
        <v>-0.123</v>
      </c>
      <c r="L1230">
        <v>0</v>
      </c>
      <c r="M1230">
        <v>0</v>
      </c>
      <c r="N1230">
        <v>1</v>
      </c>
      <c r="O1230" t="s">
        <v>127</v>
      </c>
      <c r="P1230" t="s">
        <v>127</v>
      </c>
      <c r="Q1230" t="s">
        <v>127</v>
      </c>
    </row>
    <row r="1231" spans="1:17" x14ac:dyDescent="0.25">
      <c r="A1231" t="str">
        <f>IF(C1231&amp;G1231&amp;D1231&lt;&gt;'Funnel setup'!$K$3&amp;'Funnel setup'!$K$4&amp;'Funnel setup'!$K$6,".",IF(A1230=".",1,A1230+1))</f>
        <v>.</v>
      </c>
      <c r="B1231" s="244" t="str">
        <f t="shared" si="19"/>
        <v>Hip Replacement RevisionSub-ICB of GP PracticeNHS SHROPSHIRE, TELFORD AND WREKIN ICB - M2L0M (M2L0M)EQ-5D Index</v>
      </c>
      <c r="C1231" t="s">
        <v>967</v>
      </c>
      <c r="D1231" t="s">
        <v>1021</v>
      </c>
      <c r="E1231" t="s">
        <v>911</v>
      </c>
      <c r="F1231" t="s">
        <v>912</v>
      </c>
      <c r="G1231" t="s">
        <v>963</v>
      </c>
      <c r="H1231">
        <v>12</v>
      </c>
      <c r="I1231">
        <v>0.19741700000000001</v>
      </c>
      <c r="J1231">
        <v>0.74433300000000002</v>
      </c>
      <c r="K1231">
        <v>0.54691699999999999</v>
      </c>
      <c r="L1231">
        <v>12</v>
      </c>
      <c r="M1231">
        <v>0</v>
      </c>
      <c r="N1231">
        <v>0</v>
      </c>
      <c r="O1231" t="s">
        <v>127</v>
      </c>
      <c r="P1231" t="s">
        <v>127</v>
      </c>
      <c r="Q1231" t="s">
        <v>127</v>
      </c>
    </row>
    <row r="1232" spans="1:17" x14ac:dyDescent="0.25">
      <c r="A1232" t="str">
        <f>IF(C1232&amp;G1232&amp;D1232&lt;&gt;'Funnel setup'!$K$3&amp;'Funnel setup'!$K$4&amp;'Funnel setup'!$K$6,".",IF(A1231=".",1,A1231+1))</f>
        <v>.</v>
      </c>
      <c r="B1232" s="244" t="str">
        <f t="shared" si="19"/>
        <v>Hip Replacement RevisionSub-ICB of GP PracticeNHS SOMERSET ICB - 11X (11X)EQ-5D Index</v>
      </c>
      <c r="C1232" t="s">
        <v>967</v>
      </c>
      <c r="D1232" t="s">
        <v>1021</v>
      </c>
      <c r="E1232" t="s">
        <v>913</v>
      </c>
      <c r="F1232" t="s">
        <v>914</v>
      </c>
      <c r="G1232" t="s">
        <v>963</v>
      </c>
      <c r="H1232">
        <v>4</v>
      </c>
      <c r="I1232">
        <v>0.40925</v>
      </c>
      <c r="J1232">
        <v>0.59624999999999995</v>
      </c>
      <c r="K1232">
        <v>0.187</v>
      </c>
      <c r="L1232">
        <v>2</v>
      </c>
      <c r="M1232">
        <v>0</v>
      </c>
      <c r="N1232">
        <v>2</v>
      </c>
      <c r="O1232" t="s">
        <v>127</v>
      </c>
      <c r="P1232" t="s">
        <v>127</v>
      </c>
      <c r="Q1232" t="s">
        <v>127</v>
      </c>
    </row>
    <row r="1233" spans="1:17" x14ac:dyDescent="0.25">
      <c r="A1233" t="str">
        <f>IF(C1233&amp;G1233&amp;D1233&lt;&gt;'Funnel setup'!$K$3&amp;'Funnel setup'!$K$4&amp;'Funnel setup'!$K$6,".",IF(A1232=".",1,A1232+1))</f>
        <v>.</v>
      </c>
      <c r="B1233" s="244" t="str">
        <f t="shared" si="19"/>
        <v>Hip Replacement RevisionSub-ICB of GP PracticeNHS SOUTH EAST LONDON ICB - 72Q (72Q)EQ-5D Index</v>
      </c>
      <c r="C1233" t="s">
        <v>967</v>
      </c>
      <c r="D1233" t="s">
        <v>1021</v>
      </c>
      <c r="E1233" t="s">
        <v>915</v>
      </c>
      <c r="F1233" t="s">
        <v>916</v>
      </c>
      <c r="G1233" t="s">
        <v>963</v>
      </c>
      <c r="H1233">
        <v>9</v>
      </c>
      <c r="I1233">
        <v>0.34100000000000003</v>
      </c>
      <c r="J1233">
        <v>0.48944399999999999</v>
      </c>
      <c r="K1233">
        <v>0.14844399999999999</v>
      </c>
      <c r="L1233">
        <v>4</v>
      </c>
      <c r="M1233">
        <v>2</v>
      </c>
      <c r="N1233">
        <v>3</v>
      </c>
      <c r="O1233" t="s">
        <v>127</v>
      </c>
      <c r="P1233" t="s">
        <v>127</v>
      </c>
      <c r="Q1233" t="s">
        <v>127</v>
      </c>
    </row>
    <row r="1234" spans="1:17" x14ac:dyDescent="0.25">
      <c r="A1234" t="str">
        <f>IF(C1234&amp;G1234&amp;D1234&lt;&gt;'Funnel setup'!$K$3&amp;'Funnel setup'!$K$4&amp;'Funnel setup'!$K$6,".",IF(A1233=".",1,A1233+1))</f>
        <v>.</v>
      </c>
      <c r="B1234" s="244" t="str">
        <f t="shared" si="19"/>
        <v>Hip Replacement RevisionSub-ICB of GP PracticeNHS SOUTH WEST LONDON ICB - 36L (36L)EQ-5D Index</v>
      </c>
      <c r="C1234" t="s">
        <v>967</v>
      </c>
      <c r="D1234" t="s">
        <v>1021</v>
      </c>
      <c r="E1234" t="s">
        <v>917</v>
      </c>
      <c r="F1234" t="s">
        <v>918</v>
      </c>
      <c r="G1234" t="s">
        <v>963</v>
      </c>
      <c r="H1234">
        <v>18</v>
      </c>
      <c r="I1234">
        <v>0.29761100000000001</v>
      </c>
      <c r="J1234">
        <v>0.76111099999999998</v>
      </c>
      <c r="K1234">
        <v>0.46350000000000002</v>
      </c>
      <c r="L1234">
        <v>16</v>
      </c>
      <c r="M1234">
        <v>0</v>
      </c>
      <c r="N1234">
        <v>2</v>
      </c>
      <c r="O1234" t="s">
        <v>127</v>
      </c>
      <c r="P1234" t="s">
        <v>127</v>
      </c>
      <c r="Q1234" t="s">
        <v>127</v>
      </c>
    </row>
    <row r="1235" spans="1:17" x14ac:dyDescent="0.25">
      <c r="A1235" t="str">
        <f>IF(C1235&amp;G1235&amp;D1235&lt;&gt;'Funnel setup'!$K$3&amp;'Funnel setup'!$K$4&amp;'Funnel setup'!$K$6,".",IF(A1234=".",1,A1234+1))</f>
        <v>.</v>
      </c>
      <c r="B1235" s="244" t="str">
        <f t="shared" si="19"/>
        <v>Hip Replacement RevisionSub-ICB of GP PracticeNHS SOUTH YORKSHIRE ICB - 02X (02X)EQ-5D Index</v>
      </c>
      <c r="C1235" t="s">
        <v>967</v>
      </c>
      <c r="D1235" t="s">
        <v>1021</v>
      </c>
      <c r="E1235" t="s">
        <v>921</v>
      </c>
      <c r="F1235" t="s">
        <v>922</v>
      </c>
      <c r="G1235" t="s">
        <v>963</v>
      </c>
      <c r="H1235">
        <v>3</v>
      </c>
      <c r="I1235">
        <v>0.34300000000000003</v>
      </c>
      <c r="J1235">
        <v>0.29899999999999999</v>
      </c>
      <c r="K1235">
        <v>-4.3999999999999997E-2</v>
      </c>
      <c r="L1235">
        <v>2</v>
      </c>
      <c r="M1235">
        <v>0</v>
      </c>
      <c r="N1235">
        <v>1</v>
      </c>
      <c r="O1235" t="s">
        <v>127</v>
      </c>
      <c r="P1235" t="s">
        <v>127</v>
      </c>
      <c r="Q1235" t="s">
        <v>127</v>
      </c>
    </row>
    <row r="1236" spans="1:17" x14ac:dyDescent="0.25">
      <c r="A1236" t="str">
        <f>IF(C1236&amp;G1236&amp;D1236&lt;&gt;'Funnel setup'!$K$3&amp;'Funnel setup'!$K$4&amp;'Funnel setup'!$K$6,".",IF(A1235=".",1,A1235+1))</f>
        <v>.</v>
      </c>
      <c r="B1236" s="244" t="str">
        <f t="shared" si="19"/>
        <v>Hip Replacement RevisionSub-ICB of GP PracticeNHS SOUTH YORKSHIRE ICB - 03L (03L)EQ-5D Index</v>
      </c>
      <c r="C1236" t="s">
        <v>967</v>
      </c>
      <c r="D1236" t="s">
        <v>1021</v>
      </c>
      <c r="E1236" t="s">
        <v>923</v>
      </c>
      <c r="F1236" t="s">
        <v>924</v>
      </c>
      <c r="G1236" t="s">
        <v>963</v>
      </c>
      <c r="H1236">
        <v>1</v>
      </c>
      <c r="I1236">
        <v>-3.0000000000000001E-3</v>
      </c>
      <c r="J1236">
        <v>-7.3999999999999996E-2</v>
      </c>
      <c r="K1236">
        <v>-7.0999999999999994E-2</v>
      </c>
      <c r="L1236">
        <v>0</v>
      </c>
      <c r="M1236">
        <v>0</v>
      </c>
      <c r="N1236">
        <v>1</v>
      </c>
      <c r="O1236" t="s">
        <v>127</v>
      </c>
      <c r="P1236" t="s">
        <v>127</v>
      </c>
      <c r="Q1236" t="s">
        <v>127</v>
      </c>
    </row>
    <row r="1237" spans="1:17" x14ac:dyDescent="0.25">
      <c r="A1237" t="str">
        <f>IF(C1237&amp;G1237&amp;D1237&lt;&gt;'Funnel setup'!$K$3&amp;'Funnel setup'!$K$4&amp;'Funnel setup'!$K$6,".",IF(A1236=".",1,A1236+1))</f>
        <v>.</v>
      </c>
      <c r="B1237" s="244" t="str">
        <f t="shared" si="19"/>
        <v>Hip Replacement RevisionSub-ICB of GP PracticeNHS SOUTH YORKSHIRE ICB - 03N (03N)EQ-5D Index</v>
      </c>
      <c r="C1237" t="s">
        <v>967</v>
      </c>
      <c r="D1237" t="s">
        <v>1021</v>
      </c>
      <c r="E1237" t="s">
        <v>925</v>
      </c>
      <c r="F1237" t="s">
        <v>926</v>
      </c>
      <c r="G1237" t="s">
        <v>963</v>
      </c>
      <c r="H1237">
        <v>1</v>
      </c>
      <c r="I1237">
        <v>0.55200000000000005</v>
      </c>
      <c r="J1237">
        <v>0.72699999999999998</v>
      </c>
      <c r="K1237">
        <v>0.17499999999999999</v>
      </c>
      <c r="L1237">
        <v>1</v>
      </c>
      <c r="M1237">
        <v>0</v>
      </c>
      <c r="N1237">
        <v>0</v>
      </c>
      <c r="O1237" t="s">
        <v>127</v>
      </c>
      <c r="P1237" t="s">
        <v>127</v>
      </c>
      <c r="Q1237" t="s">
        <v>127</v>
      </c>
    </row>
    <row r="1238" spans="1:17" x14ac:dyDescent="0.25">
      <c r="A1238" t="str">
        <f>IF(C1238&amp;G1238&amp;D1238&lt;&gt;'Funnel setup'!$K$3&amp;'Funnel setup'!$K$4&amp;'Funnel setup'!$K$6,".",IF(A1237=".",1,A1237+1))</f>
        <v>.</v>
      </c>
      <c r="B1238" s="244" t="str">
        <f t="shared" si="19"/>
        <v>Hip Replacement RevisionSub-ICB of GP PracticeNHS STAFFORDSHIRE AND STOKE-ON-TRENT ICB - 04Y (04Y)EQ-5D Index</v>
      </c>
      <c r="C1238" t="s">
        <v>967</v>
      </c>
      <c r="D1238" t="s">
        <v>1021</v>
      </c>
      <c r="E1238" t="s">
        <v>927</v>
      </c>
      <c r="F1238" t="s">
        <v>928</v>
      </c>
      <c r="G1238" t="s">
        <v>963</v>
      </c>
      <c r="H1238">
        <v>2</v>
      </c>
      <c r="I1238">
        <v>-9.4999999999999998E-3</v>
      </c>
      <c r="J1238">
        <v>0.89800000000000002</v>
      </c>
      <c r="K1238">
        <v>0.90749999999999997</v>
      </c>
      <c r="L1238">
        <v>2</v>
      </c>
      <c r="M1238">
        <v>0</v>
      </c>
      <c r="N1238">
        <v>0</v>
      </c>
      <c r="O1238" t="s">
        <v>127</v>
      </c>
      <c r="P1238" t="s">
        <v>127</v>
      </c>
      <c r="Q1238" t="s">
        <v>127</v>
      </c>
    </row>
    <row r="1239" spans="1:17" x14ac:dyDescent="0.25">
      <c r="A1239" t="str">
        <f>IF(C1239&amp;G1239&amp;D1239&lt;&gt;'Funnel setup'!$K$3&amp;'Funnel setup'!$K$4&amp;'Funnel setup'!$K$6,".",IF(A1238=".",1,A1238+1))</f>
        <v>.</v>
      </c>
      <c r="B1239" s="244" t="str">
        <f t="shared" si="19"/>
        <v>Hip Replacement RevisionSub-ICB of GP PracticeNHS STAFFORDSHIRE AND STOKE-ON-TRENT ICB - 05D (05D)EQ-5D Index</v>
      </c>
      <c r="C1239" t="s">
        <v>967</v>
      </c>
      <c r="D1239" t="s">
        <v>1021</v>
      </c>
      <c r="E1239" t="s">
        <v>929</v>
      </c>
      <c r="F1239" t="s">
        <v>930</v>
      </c>
      <c r="G1239" t="s">
        <v>963</v>
      </c>
      <c r="H1239" t="s">
        <v>127</v>
      </c>
      <c r="I1239" t="s">
        <v>127</v>
      </c>
      <c r="J1239" t="s">
        <v>127</v>
      </c>
      <c r="K1239" t="s">
        <v>127</v>
      </c>
      <c r="L1239" t="s">
        <v>127</v>
      </c>
      <c r="M1239" t="s">
        <v>127</v>
      </c>
      <c r="N1239" t="s">
        <v>127</v>
      </c>
      <c r="O1239" t="s">
        <v>127</v>
      </c>
      <c r="P1239" t="s">
        <v>127</v>
      </c>
      <c r="Q1239" t="s">
        <v>127</v>
      </c>
    </row>
    <row r="1240" spans="1:17" x14ac:dyDescent="0.25">
      <c r="A1240" t="str">
        <f>IF(C1240&amp;G1240&amp;D1240&lt;&gt;'Funnel setup'!$K$3&amp;'Funnel setup'!$K$4&amp;'Funnel setup'!$K$6,".",IF(A1239=".",1,A1239+1))</f>
        <v>.</v>
      </c>
      <c r="B1240" s="244" t="str">
        <f t="shared" si="19"/>
        <v>Hip Replacement RevisionSub-ICB of GP PracticeNHS STAFFORDSHIRE AND STOKE-ON-TRENT ICB - 05Q (05Q)EQ-5D Index</v>
      </c>
      <c r="C1240" t="s">
        <v>967</v>
      </c>
      <c r="D1240" t="s">
        <v>1021</v>
      </c>
      <c r="E1240" t="s">
        <v>933</v>
      </c>
      <c r="F1240" t="s">
        <v>934</v>
      </c>
      <c r="G1240" t="s">
        <v>963</v>
      </c>
      <c r="H1240">
        <v>4</v>
      </c>
      <c r="I1240">
        <v>0.47025</v>
      </c>
      <c r="J1240">
        <v>0.75075000000000003</v>
      </c>
      <c r="K1240">
        <v>0.28050000000000003</v>
      </c>
      <c r="L1240">
        <v>2</v>
      </c>
      <c r="M1240">
        <v>1</v>
      </c>
      <c r="N1240">
        <v>1</v>
      </c>
      <c r="O1240" t="s">
        <v>127</v>
      </c>
      <c r="P1240" t="s">
        <v>127</v>
      </c>
      <c r="Q1240" t="s">
        <v>127</v>
      </c>
    </row>
    <row r="1241" spans="1:17" x14ac:dyDescent="0.25">
      <c r="A1241" t="str">
        <f>IF(C1241&amp;G1241&amp;D1241&lt;&gt;'Funnel setup'!$K$3&amp;'Funnel setup'!$K$4&amp;'Funnel setup'!$K$6,".",IF(A1240=".",1,A1240+1))</f>
        <v>.</v>
      </c>
      <c r="B1241" s="244" t="str">
        <f t="shared" si="19"/>
        <v>Hip Replacement RevisionSub-ICB of GP PracticeNHS STAFFORDSHIRE AND STOKE-ON-TRENT ICB - 05V (05V)EQ-5D Index</v>
      </c>
      <c r="C1241" t="s">
        <v>967</v>
      </c>
      <c r="D1241" t="s">
        <v>1021</v>
      </c>
      <c r="E1241" t="s">
        <v>935</v>
      </c>
      <c r="F1241" t="s">
        <v>936</v>
      </c>
      <c r="G1241" t="s">
        <v>963</v>
      </c>
      <c r="H1241">
        <v>1</v>
      </c>
      <c r="I1241">
        <v>-7.3999999999999996E-2</v>
      </c>
      <c r="J1241">
        <v>0.65600000000000003</v>
      </c>
      <c r="K1241">
        <v>0.73</v>
      </c>
      <c r="L1241">
        <v>1</v>
      </c>
      <c r="M1241">
        <v>0</v>
      </c>
      <c r="N1241">
        <v>0</v>
      </c>
      <c r="O1241" t="s">
        <v>127</v>
      </c>
      <c r="P1241" t="s">
        <v>127</v>
      </c>
      <c r="Q1241" t="s">
        <v>127</v>
      </c>
    </row>
    <row r="1242" spans="1:17" x14ac:dyDescent="0.25">
      <c r="A1242" t="str">
        <f>IF(C1242&amp;G1242&amp;D1242&lt;&gt;'Funnel setup'!$K$3&amp;'Funnel setup'!$K$4&amp;'Funnel setup'!$K$6,".",IF(A1241=".",1,A1241+1))</f>
        <v>.</v>
      </c>
      <c r="B1242" s="244" t="str">
        <f t="shared" si="19"/>
        <v>Hip Replacement RevisionSub-ICB of GP PracticeNHS STAFFORDSHIRE AND STOKE-ON-TRENT ICB - 05W (05W)EQ-5D Index</v>
      </c>
      <c r="C1242" t="s">
        <v>967</v>
      </c>
      <c r="D1242" t="s">
        <v>1021</v>
      </c>
      <c r="E1242" t="s">
        <v>937</v>
      </c>
      <c r="F1242" t="s">
        <v>938</v>
      </c>
      <c r="G1242" t="s">
        <v>963</v>
      </c>
      <c r="H1242">
        <v>1</v>
      </c>
      <c r="I1242">
        <v>0.69099999999999995</v>
      </c>
      <c r="J1242">
        <v>0.69099999999999995</v>
      </c>
      <c r="K1242">
        <v>0</v>
      </c>
      <c r="L1242">
        <v>0</v>
      </c>
      <c r="M1242">
        <v>1</v>
      </c>
      <c r="N1242">
        <v>0</v>
      </c>
      <c r="O1242" t="s">
        <v>127</v>
      </c>
      <c r="P1242" t="s">
        <v>127</v>
      </c>
      <c r="Q1242" t="s">
        <v>127</v>
      </c>
    </row>
    <row r="1243" spans="1:17" x14ac:dyDescent="0.25">
      <c r="A1243" t="str">
        <f>IF(C1243&amp;G1243&amp;D1243&lt;&gt;'Funnel setup'!$K$3&amp;'Funnel setup'!$K$4&amp;'Funnel setup'!$K$6,".",IF(A1242=".",1,A1242+1))</f>
        <v>.</v>
      </c>
      <c r="B1243" s="244" t="str">
        <f t="shared" si="19"/>
        <v>Hip Replacement RevisionSub-ICB of GP PracticeNHS SUFFOLK AND NORTH EAST ESSEX ICB - 06L (06L)EQ-5D Index</v>
      </c>
      <c r="C1243" t="s">
        <v>967</v>
      </c>
      <c r="D1243" t="s">
        <v>1021</v>
      </c>
      <c r="E1243" t="s">
        <v>939</v>
      </c>
      <c r="F1243" t="s">
        <v>940</v>
      </c>
      <c r="G1243" t="s">
        <v>963</v>
      </c>
      <c r="H1243">
        <v>4</v>
      </c>
      <c r="I1243">
        <v>0.31524999999999997</v>
      </c>
      <c r="J1243">
        <v>0.8075</v>
      </c>
      <c r="K1243">
        <v>0.49225000000000002</v>
      </c>
      <c r="L1243">
        <v>4</v>
      </c>
      <c r="M1243">
        <v>0</v>
      </c>
      <c r="N1243">
        <v>0</v>
      </c>
      <c r="O1243" t="s">
        <v>127</v>
      </c>
      <c r="P1243" t="s">
        <v>127</v>
      </c>
      <c r="Q1243" t="s">
        <v>127</v>
      </c>
    </row>
    <row r="1244" spans="1:17" x14ac:dyDescent="0.25">
      <c r="A1244" t="str">
        <f>IF(C1244&amp;G1244&amp;D1244&lt;&gt;'Funnel setup'!$K$3&amp;'Funnel setup'!$K$4&amp;'Funnel setup'!$K$6,".",IF(A1243=".",1,A1243+1))</f>
        <v>.</v>
      </c>
      <c r="B1244" s="244" t="str">
        <f t="shared" si="19"/>
        <v>Hip Replacement RevisionSub-ICB of GP PracticeNHS SUFFOLK AND NORTH EAST ESSEX ICB - 06T (06T)EQ-5D Index</v>
      </c>
      <c r="C1244" t="s">
        <v>967</v>
      </c>
      <c r="D1244" t="s">
        <v>1021</v>
      </c>
      <c r="E1244" t="s">
        <v>941</v>
      </c>
      <c r="F1244" t="s">
        <v>942</v>
      </c>
      <c r="G1244" t="s">
        <v>963</v>
      </c>
      <c r="H1244">
        <v>1</v>
      </c>
      <c r="I1244">
        <v>0.79600000000000004</v>
      </c>
      <c r="J1244">
        <v>1</v>
      </c>
      <c r="K1244">
        <v>0.20399999999999999</v>
      </c>
      <c r="L1244">
        <v>1</v>
      </c>
      <c r="M1244">
        <v>0</v>
      </c>
      <c r="N1244">
        <v>0</v>
      </c>
      <c r="O1244" t="s">
        <v>127</v>
      </c>
      <c r="P1244" t="s">
        <v>127</v>
      </c>
      <c r="Q1244" t="s">
        <v>127</v>
      </c>
    </row>
    <row r="1245" spans="1:17" x14ac:dyDescent="0.25">
      <c r="A1245" t="str">
        <f>IF(C1245&amp;G1245&amp;D1245&lt;&gt;'Funnel setup'!$K$3&amp;'Funnel setup'!$K$4&amp;'Funnel setup'!$K$6,".",IF(A1244=".",1,A1244+1))</f>
        <v>.</v>
      </c>
      <c r="B1245" s="244" t="str">
        <f t="shared" si="19"/>
        <v>Hip Replacement RevisionSub-ICB of GP PracticeNHS SUFFOLK AND NORTH EAST ESSEX ICB - 07K (07K)EQ-5D Index</v>
      </c>
      <c r="C1245" t="s">
        <v>967</v>
      </c>
      <c r="D1245" t="s">
        <v>1021</v>
      </c>
      <c r="E1245" t="s">
        <v>943</v>
      </c>
      <c r="F1245" t="s">
        <v>944</v>
      </c>
      <c r="G1245" t="s">
        <v>963</v>
      </c>
      <c r="H1245">
        <v>9</v>
      </c>
      <c r="I1245">
        <v>0.37733299999999997</v>
      </c>
      <c r="J1245">
        <v>0.76577799999999996</v>
      </c>
      <c r="K1245">
        <v>0.38844400000000001</v>
      </c>
      <c r="L1245">
        <v>8</v>
      </c>
      <c r="M1245">
        <v>1</v>
      </c>
      <c r="N1245">
        <v>0</v>
      </c>
      <c r="O1245" t="s">
        <v>127</v>
      </c>
      <c r="P1245" t="s">
        <v>127</v>
      </c>
      <c r="Q1245" t="s">
        <v>127</v>
      </c>
    </row>
    <row r="1246" spans="1:17" x14ac:dyDescent="0.25">
      <c r="A1246" t="str">
        <f>IF(C1246&amp;G1246&amp;D1246&lt;&gt;'Funnel setup'!$K$3&amp;'Funnel setup'!$K$4&amp;'Funnel setup'!$K$6,".",IF(A1245=".",1,A1245+1))</f>
        <v>.</v>
      </c>
      <c r="B1246" s="244" t="str">
        <f t="shared" si="19"/>
        <v>Hip Replacement RevisionSub-ICB of GP PracticeNHS SURREY HEARTLANDS ICB - 92A (92A)EQ-5D Index</v>
      </c>
      <c r="C1246" t="s">
        <v>967</v>
      </c>
      <c r="D1246" t="s">
        <v>1021</v>
      </c>
      <c r="E1246" t="s">
        <v>945</v>
      </c>
      <c r="F1246" t="s">
        <v>946</v>
      </c>
      <c r="G1246" t="s">
        <v>963</v>
      </c>
      <c r="H1246">
        <v>25</v>
      </c>
      <c r="I1246">
        <v>0.48692000000000002</v>
      </c>
      <c r="J1246">
        <v>0.746</v>
      </c>
      <c r="K1246">
        <v>0.25907999999999998</v>
      </c>
      <c r="L1246">
        <v>18</v>
      </c>
      <c r="M1246">
        <v>4</v>
      </c>
      <c r="N1246">
        <v>3</v>
      </c>
      <c r="O1246" t="s">
        <v>127</v>
      </c>
      <c r="P1246" t="s">
        <v>127</v>
      </c>
      <c r="Q1246" t="s">
        <v>127</v>
      </c>
    </row>
    <row r="1247" spans="1:17" x14ac:dyDescent="0.25">
      <c r="A1247" t="str">
        <f>IF(C1247&amp;G1247&amp;D1247&lt;&gt;'Funnel setup'!$K$3&amp;'Funnel setup'!$K$4&amp;'Funnel setup'!$K$6,".",IF(A1246=".",1,A1246+1))</f>
        <v>.</v>
      </c>
      <c r="B1247" s="244" t="str">
        <f t="shared" si="19"/>
        <v>Hip Replacement RevisionSub-ICB of GP PracticeNHS SUSSEX ICB - 09D (09D)EQ-5D Index</v>
      </c>
      <c r="C1247" t="s">
        <v>967</v>
      </c>
      <c r="D1247" t="s">
        <v>1021</v>
      </c>
      <c r="E1247" t="s">
        <v>947</v>
      </c>
      <c r="F1247" t="s">
        <v>948</v>
      </c>
      <c r="G1247" t="s">
        <v>963</v>
      </c>
      <c r="H1247">
        <v>4</v>
      </c>
      <c r="I1247">
        <v>0.48775000000000002</v>
      </c>
      <c r="J1247">
        <v>0.60050000000000003</v>
      </c>
      <c r="K1247">
        <v>0.11275</v>
      </c>
      <c r="L1247">
        <v>2</v>
      </c>
      <c r="M1247">
        <v>2</v>
      </c>
      <c r="N1247">
        <v>0</v>
      </c>
      <c r="O1247" t="s">
        <v>127</v>
      </c>
      <c r="P1247" t="s">
        <v>127</v>
      </c>
      <c r="Q1247" t="s">
        <v>127</v>
      </c>
    </row>
    <row r="1248" spans="1:17" x14ac:dyDescent="0.25">
      <c r="A1248" t="str">
        <f>IF(C1248&amp;G1248&amp;D1248&lt;&gt;'Funnel setup'!$K$3&amp;'Funnel setup'!$K$4&amp;'Funnel setup'!$K$6,".",IF(A1247=".",1,A1247+1))</f>
        <v>.</v>
      </c>
      <c r="B1248" s="244" t="str">
        <f t="shared" si="19"/>
        <v>Hip Replacement RevisionSub-ICB of GP PracticeNHS SUSSEX ICB - 70F (70F)EQ-5D Index</v>
      </c>
      <c r="C1248" t="s">
        <v>967</v>
      </c>
      <c r="D1248" t="s">
        <v>1021</v>
      </c>
      <c r="E1248" t="s">
        <v>949</v>
      </c>
      <c r="F1248" t="s">
        <v>950</v>
      </c>
      <c r="G1248" t="s">
        <v>963</v>
      </c>
      <c r="H1248">
        <v>16</v>
      </c>
      <c r="I1248">
        <v>0.31912499999999999</v>
      </c>
      <c r="J1248">
        <v>0.54081199999999996</v>
      </c>
      <c r="K1248">
        <v>0.221687</v>
      </c>
      <c r="L1248">
        <v>12</v>
      </c>
      <c r="M1248">
        <v>1</v>
      </c>
      <c r="N1248">
        <v>3</v>
      </c>
      <c r="O1248" t="s">
        <v>127</v>
      </c>
      <c r="P1248" t="s">
        <v>127</v>
      </c>
      <c r="Q1248" t="s">
        <v>127</v>
      </c>
    </row>
    <row r="1249" spans="1:17" x14ac:dyDescent="0.25">
      <c r="A1249" t="str">
        <f>IF(C1249&amp;G1249&amp;D1249&lt;&gt;'Funnel setup'!$K$3&amp;'Funnel setup'!$K$4&amp;'Funnel setup'!$K$6,".",IF(A1248=".",1,A1248+1))</f>
        <v>.</v>
      </c>
      <c r="B1249" s="244" t="str">
        <f t="shared" si="19"/>
        <v>Hip Replacement RevisionSub-ICB of GP PracticeNHS SUSSEX ICB - 97R (97R)EQ-5D Index</v>
      </c>
      <c r="C1249" t="s">
        <v>967</v>
      </c>
      <c r="D1249" t="s">
        <v>1021</v>
      </c>
      <c r="E1249" t="s">
        <v>951</v>
      </c>
      <c r="F1249" t="s">
        <v>952</v>
      </c>
      <c r="G1249" t="s">
        <v>963</v>
      </c>
      <c r="H1249">
        <v>12</v>
      </c>
      <c r="I1249">
        <v>0.57141699999999995</v>
      </c>
      <c r="J1249">
        <v>0.60324999999999995</v>
      </c>
      <c r="K1249">
        <v>3.1833300000000002E-2</v>
      </c>
      <c r="L1249">
        <v>6</v>
      </c>
      <c r="M1249">
        <v>2</v>
      </c>
      <c r="N1249">
        <v>4</v>
      </c>
      <c r="O1249" t="s">
        <v>127</v>
      </c>
      <c r="P1249" t="s">
        <v>127</v>
      </c>
      <c r="Q1249" t="s">
        <v>127</v>
      </c>
    </row>
    <row r="1250" spans="1:17" x14ac:dyDescent="0.25">
      <c r="A1250" t="str">
        <f>IF(C1250&amp;G1250&amp;D1250&lt;&gt;'Funnel setup'!$K$3&amp;'Funnel setup'!$K$4&amp;'Funnel setup'!$K$6,".",IF(A1249=".",1,A1249+1))</f>
        <v>.</v>
      </c>
      <c r="B1250" s="244" t="str">
        <f t="shared" si="19"/>
        <v>Hip Replacement RevisionSub-ICB of GP PracticeNHS WEST YORKSHIRE ICB - 02T (02T)EQ-5D Index</v>
      </c>
      <c r="C1250" t="s">
        <v>967</v>
      </c>
      <c r="D1250" t="s">
        <v>1021</v>
      </c>
      <c r="E1250" t="s">
        <v>953</v>
      </c>
      <c r="F1250" t="s">
        <v>954</v>
      </c>
      <c r="G1250" t="s">
        <v>963</v>
      </c>
      <c r="H1250">
        <v>2</v>
      </c>
      <c r="I1250">
        <v>0.25650000000000001</v>
      </c>
      <c r="J1250">
        <v>0.32150000000000001</v>
      </c>
      <c r="K1250">
        <v>6.5000000000000002E-2</v>
      </c>
      <c r="L1250">
        <v>1</v>
      </c>
      <c r="M1250">
        <v>0</v>
      </c>
      <c r="N1250">
        <v>1</v>
      </c>
      <c r="O1250" t="s">
        <v>127</v>
      </c>
      <c r="P1250" t="s">
        <v>127</v>
      </c>
      <c r="Q1250" t="s">
        <v>127</v>
      </c>
    </row>
    <row r="1251" spans="1:17" x14ac:dyDescent="0.25">
      <c r="A1251" t="str">
        <f>IF(C1251&amp;G1251&amp;D1251&lt;&gt;'Funnel setup'!$K$3&amp;'Funnel setup'!$K$4&amp;'Funnel setup'!$K$6,".",IF(A1250=".",1,A1250+1))</f>
        <v>.</v>
      </c>
      <c r="B1251" s="244" t="str">
        <f t="shared" si="19"/>
        <v>Hip Replacement RevisionSub-ICB of GP PracticeNHS WEST YORKSHIRE ICB - 03R (03R)EQ-5D Index</v>
      </c>
      <c r="C1251" t="s">
        <v>967</v>
      </c>
      <c r="D1251" t="s">
        <v>1021</v>
      </c>
      <c r="E1251" t="s">
        <v>955</v>
      </c>
      <c r="F1251" t="s">
        <v>956</v>
      </c>
      <c r="G1251" t="s">
        <v>963</v>
      </c>
      <c r="H1251">
        <v>7</v>
      </c>
      <c r="I1251">
        <v>0.183</v>
      </c>
      <c r="J1251">
        <v>0.44442900000000002</v>
      </c>
      <c r="K1251">
        <v>0.26142900000000002</v>
      </c>
      <c r="L1251">
        <v>4</v>
      </c>
      <c r="M1251">
        <v>1</v>
      </c>
      <c r="N1251">
        <v>2</v>
      </c>
      <c r="O1251" t="s">
        <v>127</v>
      </c>
      <c r="P1251" t="s">
        <v>127</v>
      </c>
      <c r="Q1251" t="s">
        <v>127</v>
      </c>
    </row>
    <row r="1252" spans="1:17" x14ac:dyDescent="0.25">
      <c r="A1252" t="str">
        <f>IF(C1252&amp;G1252&amp;D1252&lt;&gt;'Funnel setup'!$K$3&amp;'Funnel setup'!$K$4&amp;'Funnel setup'!$K$6,".",IF(A1251=".",1,A1251+1))</f>
        <v>.</v>
      </c>
      <c r="B1252" s="244" t="str">
        <f t="shared" si="19"/>
        <v>Hip Replacement RevisionSub-ICB of GP PracticeNHS WEST YORKSHIRE ICB - 15F (15F)EQ-5D Index</v>
      </c>
      <c r="C1252" t="s">
        <v>967</v>
      </c>
      <c r="D1252" t="s">
        <v>1021</v>
      </c>
      <c r="E1252" t="s">
        <v>957</v>
      </c>
      <c r="F1252" t="s">
        <v>958</v>
      </c>
      <c r="G1252" t="s">
        <v>963</v>
      </c>
      <c r="H1252">
        <v>16</v>
      </c>
      <c r="I1252">
        <v>0.41975000000000001</v>
      </c>
      <c r="J1252">
        <v>0.72587500000000005</v>
      </c>
      <c r="K1252">
        <v>0.30612499999999998</v>
      </c>
      <c r="L1252">
        <v>14</v>
      </c>
      <c r="M1252">
        <v>1</v>
      </c>
      <c r="N1252">
        <v>1</v>
      </c>
      <c r="O1252" t="s">
        <v>127</v>
      </c>
      <c r="P1252" t="s">
        <v>127</v>
      </c>
      <c r="Q1252" t="s">
        <v>127</v>
      </c>
    </row>
    <row r="1253" spans="1:17" x14ac:dyDescent="0.25">
      <c r="A1253" t="str">
        <f>IF(C1253&amp;G1253&amp;D1253&lt;&gt;'Funnel setup'!$K$3&amp;'Funnel setup'!$K$4&amp;'Funnel setup'!$K$6,".",IF(A1252=".",1,A1252+1))</f>
        <v>.</v>
      </c>
      <c r="B1253" s="244" t="str">
        <f t="shared" si="19"/>
        <v>Hip Replacement RevisionSub-ICB of GP PracticeNHS WEST YORKSHIRE ICB - 36J (36J)EQ-5D Index</v>
      </c>
      <c r="C1253" t="s">
        <v>967</v>
      </c>
      <c r="D1253" t="s">
        <v>1021</v>
      </c>
      <c r="E1253" t="s">
        <v>959</v>
      </c>
      <c r="F1253" t="s">
        <v>960</v>
      </c>
      <c r="G1253" t="s">
        <v>963</v>
      </c>
      <c r="H1253">
        <v>5</v>
      </c>
      <c r="I1253">
        <v>0.33760000000000001</v>
      </c>
      <c r="J1253">
        <v>0.7006</v>
      </c>
      <c r="K1253">
        <v>0.36299999999999999</v>
      </c>
      <c r="L1253">
        <v>4</v>
      </c>
      <c r="M1253">
        <v>1</v>
      </c>
      <c r="N1253">
        <v>0</v>
      </c>
      <c r="O1253" t="s">
        <v>127</v>
      </c>
      <c r="P1253" t="s">
        <v>127</v>
      </c>
      <c r="Q1253" t="s">
        <v>127</v>
      </c>
    </row>
    <row r="1254" spans="1:17" x14ac:dyDescent="0.25">
      <c r="A1254" t="str">
        <f>IF(C1254&amp;G1254&amp;D1254&lt;&gt;'Funnel setup'!$K$3&amp;'Funnel setup'!$K$4&amp;'Funnel setup'!$K$6,".",IF(A1253=".",1,A1253+1))</f>
        <v>.</v>
      </c>
      <c r="B1254" s="244" t="str">
        <f t="shared" si="19"/>
        <v>Hip Replacement RevisionSub-ICB of GP PracticeNHS WEST YORKSHIRE ICB - X2C4Y (X2C4Y)EQ-5D Index</v>
      </c>
      <c r="C1254" t="s">
        <v>967</v>
      </c>
      <c r="D1254" t="s">
        <v>1021</v>
      </c>
      <c r="E1254" t="s">
        <v>961</v>
      </c>
      <c r="F1254" t="s">
        <v>962</v>
      </c>
      <c r="G1254" t="s">
        <v>963</v>
      </c>
      <c r="H1254">
        <v>7</v>
      </c>
      <c r="I1254">
        <v>0.26785700000000001</v>
      </c>
      <c r="J1254">
        <v>0.60485699999999998</v>
      </c>
      <c r="K1254">
        <v>0.33700000000000002</v>
      </c>
      <c r="L1254">
        <v>5</v>
      </c>
      <c r="M1254">
        <v>1</v>
      </c>
      <c r="N1254">
        <v>1</v>
      </c>
      <c r="O1254" t="s">
        <v>127</v>
      </c>
      <c r="P1254" t="s">
        <v>127</v>
      </c>
      <c r="Q1254" t="s">
        <v>127</v>
      </c>
    </row>
    <row r="1255" spans="1:17" x14ac:dyDescent="0.25">
      <c r="A1255" t="str">
        <f>IF(C1255&amp;G1255&amp;D1255&lt;&gt;'Funnel setup'!$K$3&amp;'Funnel setup'!$K$4&amp;'Funnel setup'!$K$6,".",IF(A1254=".",1,A1254+1))</f>
        <v>.</v>
      </c>
      <c r="B1255" s="244" t="str">
        <f t="shared" si="19"/>
        <v>Hip Replacement RevisionSub-ICB of GP PracticeNHS BATH AND NORTH EAST SOMERSET, SWINDON AND WILTSHIRE ICB - 92G (92G)Oxford Hip Score</v>
      </c>
      <c r="C1255" t="s">
        <v>967</v>
      </c>
      <c r="D1255" t="s">
        <v>1021</v>
      </c>
      <c r="E1255" t="s">
        <v>750</v>
      </c>
      <c r="F1255" t="s">
        <v>751</v>
      </c>
      <c r="G1255" t="s">
        <v>964</v>
      </c>
      <c r="H1255">
        <v>7</v>
      </c>
      <c r="I1255">
        <v>25</v>
      </c>
      <c r="J1255">
        <v>36.142899999999997</v>
      </c>
      <c r="K1255">
        <v>11.142899999999999</v>
      </c>
      <c r="L1255">
        <v>6</v>
      </c>
      <c r="M1255">
        <v>1</v>
      </c>
      <c r="N1255">
        <v>0</v>
      </c>
      <c r="O1255" t="s">
        <v>127</v>
      </c>
      <c r="P1255" t="s">
        <v>127</v>
      </c>
      <c r="Q1255" t="s">
        <v>127</v>
      </c>
    </row>
    <row r="1256" spans="1:17" x14ac:dyDescent="0.25">
      <c r="A1256" t="str">
        <f>IF(C1256&amp;G1256&amp;D1256&lt;&gt;'Funnel setup'!$K$3&amp;'Funnel setup'!$K$4&amp;'Funnel setup'!$K$6,".",IF(A1255=".",1,A1255+1))</f>
        <v>.</v>
      </c>
      <c r="B1256" s="244" t="str">
        <f t="shared" si="19"/>
        <v>Hip Replacement RevisionSub-ICB of GP PracticeNHS BEDFORDSHIRE, LUTON AND MILTON KEYNES ICB - M1J4Y (M1J4Y)Oxford Hip Score</v>
      </c>
      <c r="C1256" t="s">
        <v>967</v>
      </c>
      <c r="D1256" t="s">
        <v>1021</v>
      </c>
      <c r="E1256" t="s">
        <v>753</v>
      </c>
      <c r="F1256" t="s">
        <v>754</v>
      </c>
      <c r="G1256" t="s">
        <v>964</v>
      </c>
      <c r="H1256">
        <v>7</v>
      </c>
      <c r="I1256">
        <v>21.142900000000001</v>
      </c>
      <c r="J1256">
        <v>30.714300000000001</v>
      </c>
      <c r="K1256">
        <v>9.5714299999999994</v>
      </c>
      <c r="L1256">
        <v>6</v>
      </c>
      <c r="M1256">
        <v>0</v>
      </c>
      <c r="N1256">
        <v>1</v>
      </c>
      <c r="O1256" t="s">
        <v>127</v>
      </c>
      <c r="P1256" t="s">
        <v>127</v>
      </c>
      <c r="Q1256" t="s">
        <v>127</v>
      </c>
    </row>
    <row r="1257" spans="1:17" x14ac:dyDescent="0.25">
      <c r="A1257" t="str">
        <f>IF(C1257&amp;G1257&amp;D1257&lt;&gt;'Funnel setup'!$K$3&amp;'Funnel setup'!$K$4&amp;'Funnel setup'!$K$6,".",IF(A1256=".",1,A1256+1))</f>
        <v>.</v>
      </c>
      <c r="B1257" s="244" t="str">
        <f t="shared" si="19"/>
        <v>Hip Replacement RevisionSub-ICB of GP PracticeNHS BIRMINGHAM AND SOLIHULL ICB - 15E (15E)Oxford Hip Score</v>
      </c>
      <c r="C1257" t="s">
        <v>967</v>
      </c>
      <c r="D1257" t="s">
        <v>1021</v>
      </c>
      <c r="E1257" t="s">
        <v>755</v>
      </c>
      <c r="F1257" t="s">
        <v>756</v>
      </c>
      <c r="G1257" t="s">
        <v>964</v>
      </c>
      <c r="H1257">
        <v>16</v>
      </c>
      <c r="I1257">
        <v>21.375</v>
      </c>
      <c r="J1257">
        <v>34.75</v>
      </c>
      <c r="K1257">
        <v>13.375</v>
      </c>
      <c r="L1257">
        <v>13</v>
      </c>
      <c r="M1257">
        <v>0</v>
      </c>
      <c r="N1257">
        <v>3</v>
      </c>
      <c r="O1257" t="s">
        <v>127</v>
      </c>
      <c r="P1257" t="s">
        <v>127</v>
      </c>
      <c r="Q1257" t="s">
        <v>127</v>
      </c>
    </row>
    <row r="1258" spans="1:17" x14ac:dyDescent="0.25">
      <c r="A1258" t="str">
        <f>IF(C1258&amp;G1258&amp;D1258&lt;&gt;'Funnel setup'!$K$3&amp;'Funnel setup'!$K$4&amp;'Funnel setup'!$K$6,".",IF(A1257=".",1,A1257+1))</f>
        <v>.</v>
      </c>
      <c r="B1258" s="244" t="str">
        <f t="shared" si="19"/>
        <v>Hip Replacement RevisionSub-ICB of GP PracticeNHS BLACK COUNTRY ICB - D2P2L (D2P2L)Oxford Hip Score</v>
      </c>
      <c r="C1258" t="s">
        <v>967</v>
      </c>
      <c r="D1258" t="s">
        <v>1021</v>
      </c>
      <c r="E1258" t="s">
        <v>757</v>
      </c>
      <c r="F1258" t="s">
        <v>758</v>
      </c>
      <c r="G1258" t="s">
        <v>964</v>
      </c>
      <c r="H1258">
        <v>11</v>
      </c>
      <c r="I1258">
        <v>13.818199999999999</v>
      </c>
      <c r="J1258">
        <v>32.818199999999997</v>
      </c>
      <c r="K1258">
        <v>19</v>
      </c>
      <c r="L1258">
        <v>10</v>
      </c>
      <c r="M1258">
        <v>0</v>
      </c>
      <c r="N1258">
        <v>1</v>
      </c>
      <c r="O1258" t="s">
        <v>127</v>
      </c>
      <c r="P1258" t="s">
        <v>127</v>
      </c>
      <c r="Q1258" t="s">
        <v>127</v>
      </c>
    </row>
    <row r="1259" spans="1:17" x14ac:dyDescent="0.25">
      <c r="A1259" t="str">
        <f>IF(C1259&amp;G1259&amp;D1259&lt;&gt;'Funnel setup'!$K$3&amp;'Funnel setup'!$K$4&amp;'Funnel setup'!$K$6,".",IF(A1258=".",1,A1258+1))</f>
        <v>.</v>
      </c>
      <c r="B1259" s="244" t="str">
        <f t="shared" si="19"/>
        <v>Hip Replacement RevisionSub-ICB of GP PracticeNHS BRISTOL, NORTH SOMERSET AND SOUTH GLOUCESTERSHIRE ICB - 15C (15C)Oxford Hip Score</v>
      </c>
      <c r="C1259" t="s">
        <v>967</v>
      </c>
      <c r="D1259" t="s">
        <v>1021</v>
      </c>
      <c r="E1259" t="s">
        <v>759</v>
      </c>
      <c r="F1259" t="s">
        <v>760</v>
      </c>
      <c r="G1259" t="s">
        <v>964</v>
      </c>
      <c r="H1259">
        <v>3</v>
      </c>
      <c r="I1259">
        <v>19.333300000000001</v>
      </c>
      <c r="J1259">
        <v>37.666699999999999</v>
      </c>
      <c r="K1259">
        <v>18.333300000000001</v>
      </c>
      <c r="L1259">
        <v>3</v>
      </c>
      <c r="M1259">
        <v>0</v>
      </c>
      <c r="N1259">
        <v>0</v>
      </c>
      <c r="O1259" t="s">
        <v>127</v>
      </c>
      <c r="P1259" t="s">
        <v>127</v>
      </c>
      <c r="Q1259" t="s">
        <v>127</v>
      </c>
    </row>
    <row r="1260" spans="1:17" x14ac:dyDescent="0.25">
      <c r="A1260" t="str">
        <f>IF(C1260&amp;G1260&amp;D1260&lt;&gt;'Funnel setup'!$K$3&amp;'Funnel setup'!$K$4&amp;'Funnel setup'!$K$6,".",IF(A1259=".",1,A1259+1))</f>
        <v>.</v>
      </c>
      <c r="B1260" s="244" t="str">
        <f t="shared" si="19"/>
        <v>Hip Replacement RevisionSub-ICB of GP PracticeNHS BUCKINGHAMSHIRE, OXFORDSHIRE AND BERKSHIRE WEST ICB - 10Q (10Q)Oxford Hip Score</v>
      </c>
      <c r="C1260" t="s">
        <v>967</v>
      </c>
      <c r="D1260" t="s">
        <v>1021</v>
      </c>
      <c r="E1260" t="s">
        <v>761</v>
      </c>
      <c r="F1260" t="s">
        <v>762</v>
      </c>
      <c r="G1260" t="s">
        <v>964</v>
      </c>
      <c r="H1260">
        <v>14</v>
      </c>
      <c r="I1260">
        <v>26.071400000000001</v>
      </c>
      <c r="J1260">
        <v>40.571399999999997</v>
      </c>
      <c r="K1260">
        <v>14.5</v>
      </c>
      <c r="L1260">
        <v>14</v>
      </c>
      <c r="M1260">
        <v>0</v>
      </c>
      <c r="N1260">
        <v>0</v>
      </c>
      <c r="O1260" t="s">
        <v>127</v>
      </c>
      <c r="P1260" t="s">
        <v>127</v>
      </c>
      <c r="Q1260" t="s">
        <v>127</v>
      </c>
    </row>
    <row r="1261" spans="1:17" x14ac:dyDescent="0.25">
      <c r="A1261" t="str">
        <f>IF(C1261&amp;G1261&amp;D1261&lt;&gt;'Funnel setup'!$K$3&amp;'Funnel setup'!$K$4&amp;'Funnel setup'!$K$6,".",IF(A1260=".",1,A1260+1))</f>
        <v>.</v>
      </c>
      <c r="B1261" s="244" t="str">
        <f t="shared" si="19"/>
        <v>Hip Replacement RevisionSub-ICB of GP PracticeNHS BUCKINGHAMSHIRE, OXFORDSHIRE AND BERKSHIRE WEST ICB - 14Y (14Y)Oxford Hip Score</v>
      </c>
      <c r="C1261" t="s">
        <v>967</v>
      </c>
      <c r="D1261" t="s">
        <v>1021</v>
      </c>
      <c r="E1261" t="s">
        <v>763</v>
      </c>
      <c r="F1261" t="s">
        <v>764</v>
      </c>
      <c r="G1261" t="s">
        <v>964</v>
      </c>
      <c r="H1261">
        <v>13</v>
      </c>
      <c r="I1261">
        <v>13.615399999999999</v>
      </c>
      <c r="J1261">
        <v>31.615400000000001</v>
      </c>
      <c r="K1261">
        <v>18</v>
      </c>
      <c r="L1261">
        <v>11</v>
      </c>
      <c r="M1261">
        <v>0</v>
      </c>
      <c r="N1261">
        <v>2</v>
      </c>
      <c r="O1261" t="s">
        <v>127</v>
      </c>
      <c r="P1261" t="s">
        <v>127</v>
      </c>
      <c r="Q1261" t="s">
        <v>127</v>
      </c>
    </row>
    <row r="1262" spans="1:17" x14ac:dyDescent="0.25">
      <c r="A1262" t="str">
        <f>IF(C1262&amp;G1262&amp;D1262&lt;&gt;'Funnel setup'!$K$3&amp;'Funnel setup'!$K$4&amp;'Funnel setup'!$K$6,".",IF(A1261=".",1,A1261+1))</f>
        <v>.</v>
      </c>
      <c r="B1262" s="244" t="str">
        <f t="shared" si="19"/>
        <v>Hip Replacement RevisionSub-ICB of GP PracticeNHS BUCKINGHAMSHIRE, OXFORDSHIRE AND BERKSHIRE WEST ICB - 15A (15A)Oxford Hip Score</v>
      </c>
      <c r="C1262" t="s">
        <v>967</v>
      </c>
      <c r="D1262" t="s">
        <v>1021</v>
      </c>
      <c r="E1262" t="s">
        <v>765</v>
      </c>
      <c r="F1262" t="s">
        <v>766</v>
      </c>
      <c r="G1262" t="s">
        <v>964</v>
      </c>
      <c r="H1262">
        <v>5</v>
      </c>
      <c r="I1262">
        <v>25.4</v>
      </c>
      <c r="J1262">
        <v>37.4</v>
      </c>
      <c r="K1262">
        <v>12</v>
      </c>
      <c r="L1262">
        <v>4</v>
      </c>
      <c r="M1262">
        <v>0</v>
      </c>
      <c r="N1262">
        <v>1</v>
      </c>
      <c r="O1262" t="s">
        <v>127</v>
      </c>
      <c r="P1262" t="s">
        <v>127</v>
      </c>
      <c r="Q1262" t="s">
        <v>127</v>
      </c>
    </row>
    <row r="1263" spans="1:17" x14ac:dyDescent="0.25">
      <c r="A1263" t="str">
        <f>IF(C1263&amp;G1263&amp;D1263&lt;&gt;'Funnel setup'!$K$3&amp;'Funnel setup'!$K$4&amp;'Funnel setup'!$K$6,".",IF(A1262=".",1,A1262+1))</f>
        <v>.</v>
      </c>
      <c r="B1263" s="244" t="str">
        <f t="shared" si="19"/>
        <v>Hip Replacement RevisionSub-ICB of GP PracticeNHS CAMBRIDGESHIRE AND PETERBOROUGH ICB - 06H (06H)Oxford Hip Score</v>
      </c>
      <c r="C1263" t="s">
        <v>967</v>
      </c>
      <c r="D1263" t="s">
        <v>1021</v>
      </c>
      <c r="E1263" t="s">
        <v>767</v>
      </c>
      <c r="F1263" t="s">
        <v>768</v>
      </c>
      <c r="G1263" t="s">
        <v>964</v>
      </c>
      <c r="H1263">
        <v>10</v>
      </c>
      <c r="I1263">
        <v>21.5</v>
      </c>
      <c r="J1263">
        <v>36.700000000000003</v>
      </c>
      <c r="K1263">
        <v>15.2</v>
      </c>
      <c r="L1263">
        <v>9</v>
      </c>
      <c r="M1263">
        <v>1</v>
      </c>
      <c r="N1263">
        <v>0</v>
      </c>
      <c r="O1263" t="s">
        <v>127</v>
      </c>
      <c r="P1263" t="s">
        <v>127</v>
      </c>
      <c r="Q1263" t="s">
        <v>127</v>
      </c>
    </row>
    <row r="1264" spans="1:17" x14ac:dyDescent="0.25">
      <c r="A1264" t="str">
        <f>IF(C1264&amp;G1264&amp;D1264&lt;&gt;'Funnel setup'!$K$3&amp;'Funnel setup'!$K$4&amp;'Funnel setup'!$K$6,".",IF(A1263=".",1,A1263+1))</f>
        <v>.</v>
      </c>
      <c r="B1264" s="244" t="str">
        <f t="shared" si="19"/>
        <v>Hip Replacement RevisionSub-ICB of GP PracticeNHS CHESHIRE AND MERSEYSIDE ICB - 01F (01F)Oxford Hip Score</v>
      </c>
      <c r="C1264" t="s">
        <v>967</v>
      </c>
      <c r="D1264" t="s">
        <v>1021</v>
      </c>
      <c r="E1264" t="s">
        <v>769</v>
      </c>
      <c r="F1264" t="s">
        <v>770</v>
      </c>
      <c r="G1264" t="s">
        <v>964</v>
      </c>
      <c r="H1264">
        <v>2</v>
      </c>
      <c r="I1264">
        <v>13</v>
      </c>
      <c r="J1264">
        <v>26.5</v>
      </c>
      <c r="K1264">
        <v>13.5</v>
      </c>
      <c r="L1264">
        <v>2</v>
      </c>
      <c r="M1264">
        <v>0</v>
      </c>
      <c r="N1264">
        <v>0</v>
      </c>
      <c r="O1264" t="s">
        <v>127</v>
      </c>
      <c r="P1264" t="s">
        <v>127</v>
      </c>
      <c r="Q1264" t="s">
        <v>127</v>
      </c>
    </row>
    <row r="1265" spans="1:17" x14ac:dyDescent="0.25">
      <c r="A1265" t="str">
        <f>IF(C1265&amp;G1265&amp;D1265&lt;&gt;'Funnel setup'!$K$3&amp;'Funnel setup'!$K$4&amp;'Funnel setup'!$K$6,".",IF(A1264=".",1,A1264+1))</f>
        <v>.</v>
      </c>
      <c r="B1265" s="244" t="str">
        <f t="shared" si="19"/>
        <v>Hip Replacement RevisionSub-ICB of GP PracticeNHS CHESHIRE AND MERSEYSIDE ICB - 01T (01T)Oxford Hip Score</v>
      </c>
      <c r="C1265" t="s">
        <v>967</v>
      </c>
      <c r="D1265" t="s">
        <v>1021</v>
      </c>
      <c r="E1265" t="s">
        <v>773</v>
      </c>
      <c r="F1265" t="s">
        <v>774</v>
      </c>
      <c r="G1265" t="s">
        <v>964</v>
      </c>
      <c r="H1265">
        <v>1</v>
      </c>
      <c r="I1265">
        <v>24</v>
      </c>
      <c r="J1265">
        <v>18</v>
      </c>
      <c r="K1265">
        <v>-6</v>
      </c>
      <c r="L1265">
        <v>0</v>
      </c>
      <c r="M1265">
        <v>0</v>
      </c>
      <c r="N1265">
        <v>1</v>
      </c>
      <c r="O1265" t="s">
        <v>127</v>
      </c>
      <c r="P1265" t="s">
        <v>127</v>
      </c>
      <c r="Q1265" t="s">
        <v>127</v>
      </c>
    </row>
    <row r="1266" spans="1:17" x14ac:dyDescent="0.25">
      <c r="A1266" t="str">
        <f>IF(C1266&amp;G1266&amp;D1266&lt;&gt;'Funnel setup'!$K$3&amp;'Funnel setup'!$K$4&amp;'Funnel setup'!$K$6,".",IF(A1265=".",1,A1265+1))</f>
        <v>.</v>
      </c>
      <c r="B1266" s="244" t="str">
        <f t="shared" si="19"/>
        <v>Hip Replacement RevisionSub-ICB of GP PracticeNHS CHESHIRE AND MERSEYSIDE ICB - 01V (01V)Oxford Hip Score</v>
      </c>
      <c r="C1266" t="s">
        <v>967</v>
      </c>
      <c r="D1266" t="s">
        <v>1021</v>
      </c>
      <c r="E1266" t="s">
        <v>775</v>
      </c>
      <c r="F1266" t="s">
        <v>776</v>
      </c>
      <c r="G1266" t="s">
        <v>964</v>
      </c>
      <c r="H1266">
        <v>1</v>
      </c>
      <c r="I1266">
        <v>10</v>
      </c>
      <c r="J1266">
        <v>20</v>
      </c>
      <c r="K1266">
        <v>10</v>
      </c>
      <c r="L1266">
        <v>1</v>
      </c>
      <c r="M1266">
        <v>0</v>
      </c>
      <c r="N1266">
        <v>0</v>
      </c>
      <c r="O1266" t="s">
        <v>127</v>
      </c>
      <c r="P1266" t="s">
        <v>127</v>
      </c>
      <c r="Q1266" t="s">
        <v>127</v>
      </c>
    </row>
    <row r="1267" spans="1:17" x14ac:dyDescent="0.25">
      <c r="A1267" t="str">
        <f>IF(C1267&amp;G1267&amp;D1267&lt;&gt;'Funnel setup'!$K$3&amp;'Funnel setup'!$K$4&amp;'Funnel setup'!$K$6,".",IF(A1266=".",1,A1266+1))</f>
        <v>.</v>
      </c>
      <c r="B1267" s="244" t="str">
        <f t="shared" si="19"/>
        <v>Hip Replacement RevisionSub-ICB of GP PracticeNHS CHESHIRE AND MERSEYSIDE ICB - 01X (01X)Oxford Hip Score</v>
      </c>
      <c r="C1267" t="s">
        <v>967</v>
      </c>
      <c r="D1267" t="s">
        <v>1021</v>
      </c>
      <c r="E1267" t="s">
        <v>777</v>
      </c>
      <c r="F1267" t="s">
        <v>778</v>
      </c>
      <c r="G1267" t="s">
        <v>964</v>
      </c>
      <c r="H1267">
        <v>2</v>
      </c>
      <c r="I1267">
        <v>23.5</v>
      </c>
      <c r="J1267">
        <v>31</v>
      </c>
      <c r="K1267">
        <v>7.5</v>
      </c>
      <c r="L1267">
        <v>1</v>
      </c>
      <c r="M1267">
        <v>0</v>
      </c>
      <c r="N1267">
        <v>1</v>
      </c>
      <c r="O1267" t="s">
        <v>127</v>
      </c>
      <c r="P1267" t="s">
        <v>127</v>
      </c>
      <c r="Q1267" t="s">
        <v>127</v>
      </c>
    </row>
    <row r="1268" spans="1:17" x14ac:dyDescent="0.25">
      <c r="A1268" t="str">
        <f>IF(C1268&amp;G1268&amp;D1268&lt;&gt;'Funnel setup'!$K$3&amp;'Funnel setup'!$K$4&amp;'Funnel setup'!$K$6,".",IF(A1267=".",1,A1267+1))</f>
        <v>.</v>
      </c>
      <c r="B1268" s="244" t="str">
        <f t="shared" si="19"/>
        <v>Hip Replacement RevisionSub-ICB of GP PracticeNHS CHESHIRE AND MERSEYSIDE ICB - 12F (12F)Oxford Hip Score</v>
      </c>
      <c r="C1268" t="s">
        <v>967</v>
      </c>
      <c r="D1268" t="s">
        <v>1021</v>
      </c>
      <c r="E1268" t="s">
        <v>781</v>
      </c>
      <c r="F1268" t="s">
        <v>782</v>
      </c>
      <c r="G1268" t="s">
        <v>964</v>
      </c>
      <c r="H1268">
        <v>1</v>
      </c>
      <c r="I1268">
        <v>13</v>
      </c>
      <c r="J1268">
        <v>43</v>
      </c>
      <c r="K1268">
        <v>30</v>
      </c>
      <c r="L1268">
        <v>1</v>
      </c>
      <c r="M1268">
        <v>0</v>
      </c>
      <c r="N1268">
        <v>0</v>
      </c>
      <c r="O1268" t="s">
        <v>127</v>
      </c>
      <c r="P1268" t="s">
        <v>127</v>
      </c>
      <c r="Q1268" t="s">
        <v>127</v>
      </c>
    </row>
    <row r="1269" spans="1:17" x14ac:dyDescent="0.25">
      <c r="A1269" t="str">
        <f>IF(C1269&amp;G1269&amp;D1269&lt;&gt;'Funnel setup'!$K$3&amp;'Funnel setup'!$K$4&amp;'Funnel setup'!$K$6,".",IF(A1268=".",1,A1268+1))</f>
        <v>.</v>
      </c>
      <c r="B1269" s="244" t="str">
        <f t="shared" si="19"/>
        <v>Hip Replacement RevisionSub-ICB of GP PracticeNHS CHESHIRE AND MERSEYSIDE ICB - 27D (27D)Oxford Hip Score</v>
      </c>
      <c r="C1269" t="s">
        <v>967</v>
      </c>
      <c r="D1269" t="s">
        <v>1021</v>
      </c>
      <c r="E1269" t="s">
        <v>783</v>
      </c>
      <c r="F1269" t="s">
        <v>784</v>
      </c>
      <c r="G1269" t="s">
        <v>964</v>
      </c>
      <c r="H1269">
        <v>10</v>
      </c>
      <c r="I1269">
        <v>22.4</v>
      </c>
      <c r="J1269">
        <v>30.9</v>
      </c>
      <c r="K1269">
        <v>8.5</v>
      </c>
      <c r="L1269">
        <v>8</v>
      </c>
      <c r="M1269">
        <v>0</v>
      </c>
      <c r="N1269">
        <v>2</v>
      </c>
      <c r="O1269" t="s">
        <v>127</v>
      </c>
      <c r="P1269" t="s">
        <v>127</v>
      </c>
      <c r="Q1269" t="s">
        <v>127</v>
      </c>
    </row>
    <row r="1270" spans="1:17" x14ac:dyDescent="0.25">
      <c r="A1270" t="str">
        <f>IF(C1270&amp;G1270&amp;D1270&lt;&gt;'Funnel setup'!$K$3&amp;'Funnel setup'!$K$4&amp;'Funnel setup'!$K$6,".",IF(A1269=".",1,A1269+1))</f>
        <v>.</v>
      </c>
      <c r="B1270" s="244" t="str">
        <f t="shared" si="19"/>
        <v>Hip Replacement RevisionSub-ICB of GP PracticeNHS CHESHIRE AND MERSEYSIDE ICB - 99A (99A)Oxford Hip Score</v>
      </c>
      <c r="C1270" t="s">
        <v>967</v>
      </c>
      <c r="D1270" t="s">
        <v>1021</v>
      </c>
      <c r="E1270" t="s">
        <v>785</v>
      </c>
      <c r="F1270" t="s">
        <v>786</v>
      </c>
      <c r="G1270" t="s">
        <v>964</v>
      </c>
      <c r="H1270">
        <v>4</v>
      </c>
      <c r="I1270">
        <v>9.75</v>
      </c>
      <c r="J1270">
        <v>37.25</v>
      </c>
      <c r="K1270">
        <v>27.5</v>
      </c>
      <c r="L1270">
        <v>3</v>
      </c>
      <c r="M1270">
        <v>0</v>
      </c>
      <c r="N1270">
        <v>1</v>
      </c>
      <c r="O1270" t="s">
        <v>127</v>
      </c>
      <c r="P1270" t="s">
        <v>127</v>
      </c>
      <c r="Q1270" t="s">
        <v>127</v>
      </c>
    </row>
    <row r="1271" spans="1:17" x14ac:dyDescent="0.25">
      <c r="A1271" t="str">
        <f>IF(C1271&amp;G1271&amp;D1271&lt;&gt;'Funnel setup'!$K$3&amp;'Funnel setup'!$K$4&amp;'Funnel setup'!$K$6,".",IF(A1270=".",1,A1270+1))</f>
        <v>.</v>
      </c>
      <c r="B1271" s="244" t="str">
        <f t="shared" si="19"/>
        <v>Hip Replacement RevisionSub-ICB of GP PracticeNHS CORNWALL AND THE ISLES OF SCILLY ICB - 11N (11N)Oxford Hip Score</v>
      </c>
      <c r="C1271" t="s">
        <v>967</v>
      </c>
      <c r="D1271" t="s">
        <v>1021</v>
      </c>
      <c r="E1271" t="s">
        <v>787</v>
      </c>
      <c r="F1271" t="s">
        <v>788</v>
      </c>
      <c r="G1271" t="s">
        <v>964</v>
      </c>
      <c r="H1271">
        <v>7</v>
      </c>
      <c r="I1271">
        <v>22</v>
      </c>
      <c r="J1271">
        <v>34.428600000000003</v>
      </c>
      <c r="K1271">
        <v>12.428599999999999</v>
      </c>
      <c r="L1271">
        <v>6</v>
      </c>
      <c r="M1271">
        <v>0</v>
      </c>
      <c r="N1271">
        <v>1</v>
      </c>
      <c r="O1271" t="s">
        <v>127</v>
      </c>
      <c r="P1271" t="s">
        <v>127</v>
      </c>
      <c r="Q1271" t="s">
        <v>127</v>
      </c>
    </row>
    <row r="1272" spans="1:17" x14ac:dyDescent="0.25">
      <c r="A1272" t="str">
        <f>IF(C1272&amp;G1272&amp;D1272&lt;&gt;'Funnel setup'!$K$3&amp;'Funnel setup'!$K$4&amp;'Funnel setup'!$K$6,".",IF(A1271=".",1,A1271+1))</f>
        <v>.</v>
      </c>
      <c r="B1272" s="244" t="str">
        <f t="shared" si="19"/>
        <v>Hip Replacement RevisionSub-ICB of GP PracticeNHS COVENTRY AND WARWICKSHIRE ICB - B2M3M (B2M3M)Oxford Hip Score</v>
      </c>
      <c r="C1272" t="s">
        <v>967</v>
      </c>
      <c r="D1272" t="s">
        <v>1021</v>
      </c>
      <c r="E1272" t="s">
        <v>789</v>
      </c>
      <c r="F1272" t="s">
        <v>790</v>
      </c>
      <c r="G1272" t="s">
        <v>964</v>
      </c>
      <c r="H1272">
        <v>7</v>
      </c>
      <c r="I1272">
        <v>17</v>
      </c>
      <c r="J1272">
        <v>35.714300000000001</v>
      </c>
      <c r="K1272">
        <v>18.714300000000001</v>
      </c>
      <c r="L1272">
        <v>7</v>
      </c>
      <c r="M1272">
        <v>0</v>
      </c>
      <c r="N1272">
        <v>0</v>
      </c>
      <c r="O1272" t="s">
        <v>127</v>
      </c>
      <c r="P1272" t="s">
        <v>127</v>
      </c>
      <c r="Q1272" t="s">
        <v>127</v>
      </c>
    </row>
    <row r="1273" spans="1:17" x14ac:dyDescent="0.25">
      <c r="A1273" t="str">
        <f>IF(C1273&amp;G1273&amp;D1273&lt;&gt;'Funnel setup'!$K$3&amp;'Funnel setup'!$K$4&amp;'Funnel setup'!$K$6,".",IF(A1272=".",1,A1272+1))</f>
        <v>.</v>
      </c>
      <c r="B1273" s="244" t="str">
        <f t="shared" si="19"/>
        <v>Hip Replacement RevisionSub-ICB of GP PracticeNHS DERBY AND DERBYSHIRE ICB - 15M (15M)Oxford Hip Score</v>
      </c>
      <c r="C1273" t="s">
        <v>967</v>
      </c>
      <c r="D1273" t="s">
        <v>1021</v>
      </c>
      <c r="E1273" t="s">
        <v>791</v>
      </c>
      <c r="F1273" t="s">
        <v>792</v>
      </c>
      <c r="G1273" t="s">
        <v>964</v>
      </c>
      <c r="H1273">
        <v>26</v>
      </c>
      <c r="I1273">
        <v>19.923100000000002</v>
      </c>
      <c r="J1273">
        <v>34.076900000000002</v>
      </c>
      <c r="K1273">
        <v>14.1538</v>
      </c>
      <c r="L1273">
        <v>23</v>
      </c>
      <c r="M1273">
        <v>0</v>
      </c>
      <c r="N1273">
        <v>3</v>
      </c>
      <c r="O1273" t="s">
        <v>127</v>
      </c>
      <c r="P1273" t="s">
        <v>127</v>
      </c>
      <c r="Q1273" t="s">
        <v>127</v>
      </c>
    </row>
    <row r="1274" spans="1:17" x14ac:dyDescent="0.25">
      <c r="A1274" t="str">
        <f>IF(C1274&amp;G1274&amp;D1274&lt;&gt;'Funnel setup'!$K$3&amp;'Funnel setup'!$K$4&amp;'Funnel setup'!$K$6,".",IF(A1273=".",1,A1273+1))</f>
        <v>.</v>
      </c>
      <c r="B1274" s="244" t="str">
        <f t="shared" si="19"/>
        <v>Hip Replacement RevisionSub-ICB of GP PracticeNHS DEVON ICB - 15N (15N)Oxford Hip Score</v>
      </c>
      <c r="C1274" t="s">
        <v>967</v>
      </c>
      <c r="D1274" t="s">
        <v>1021</v>
      </c>
      <c r="E1274" t="s">
        <v>793</v>
      </c>
      <c r="F1274" t="s">
        <v>794</v>
      </c>
      <c r="G1274" t="s">
        <v>964</v>
      </c>
      <c r="H1274">
        <v>8</v>
      </c>
      <c r="I1274">
        <v>19.875</v>
      </c>
      <c r="J1274">
        <v>37.5</v>
      </c>
      <c r="K1274">
        <v>17.625</v>
      </c>
      <c r="L1274">
        <v>8</v>
      </c>
      <c r="M1274">
        <v>0</v>
      </c>
      <c r="N1274">
        <v>0</v>
      </c>
      <c r="O1274" t="s">
        <v>127</v>
      </c>
      <c r="P1274" t="s">
        <v>127</v>
      </c>
      <c r="Q1274" t="s">
        <v>127</v>
      </c>
    </row>
    <row r="1275" spans="1:17" x14ac:dyDescent="0.25">
      <c r="A1275" t="str">
        <f>IF(C1275&amp;G1275&amp;D1275&lt;&gt;'Funnel setup'!$K$3&amp;'Funnel setup'!$K$4&amp;'Funnel setup'!$K$6,".",IF(A1274=".",1,A1274+1))</f>
        <v>.</v>
      </c>
      <c r="B1275" s="244" t="str">
        <f t="shared" si="19"/>
        <v>Hip Replacement RevisionSub-ICB of GP PracticeNHS DORSET ICB - 11J (11J)Oxford Hip Score</v>
      </c>
      <c r="C1275" t="s">
        <v>967</v>
      </c>
      <c r="D1275" t="s">
        <v>1021</v>
      </c>
      <c r="E1275" t="s">
        <v>795</v>
      </c>
      <c r="F1275" t="s">
        <v>796</v>
      </c>
      <c r="G1275" t="s">
        <v>964</v>
      </c>
      <c r="H1275">
        <v>10</v>
      </c>
      <c r="I1275">
        <v>27</v>
      </c>
      <c r="J1275">
        <v>35.799999999999997</v>
      </c>
      <c r="K1275">
        <v>8.8000000000000007</v>
      </c>
      <c r="L1275">
        <v>5</v>
      </c>
      <c r="M1275">
        <v>3</v>
      </c>
      <c r="N1275">
        <v>2</v>
      </c>
      <c r="O1275" t="s">
        <v>127</v>
      </c>
      <c r="P1275" t="s">
        <v>127</v>
      </c>
      <c r="Q1275" t="s">
        <v>127</v>
      </c>
    </row>
    <row r="1276" spans="1:17" x14ac:dyDescent="0.25">
      <c r="A1276" t="str">
        <f>IF(C1276&amp;G1276&amp;D1276&lt;&gt;'Funnel setup'!$K$3&amp;'Funnel setup'!$K$4&amp;'Funnel setup'!$K$6,".",IF(A1275=".",1,A1275+1))</f>
        <v>.</v>
      </c>
      <c r="B1276" s="244" t="str">
        <f t="shared" si="19"/>
        <v>Hip Replacement RevisionSub-ICB of GP PracticeNHS FRIMLEY ICB - D4U1Y (D4U1Y)Oxford Hip Score</v>
      </c>
      <c r="C1276" t="s">
        <v>967</v>
      </c>
      <c r="D1276" t="s">
        <v>1021</v>
      </c>
      <c r="E1276" t="s">
        <v>797</v>
      </c>
      <c r="F1276" t="s">
        <v>798</v>
      </c>
      <c r="G1276" t="s">
        <v>964</v>
      </c>
      <c r="H1276">
        <v>13</v>
      </c>
      <c r="I1276">
        <v>21.307700000000001</v>
      </c>
      <c r="J1276">
        <v>40.076900000000002</v>
      </c>
      <c r="K1276">
        <v>18.769200000000001</v>
      </c>
      <c r="L1276">
        <v>12</v>
      </c>
      <c r="M1276">
        <v>0</v>
      </c>
      <c r="N1276">
        <v>1</v>
      </c>
      <c r="O1276" t="s">
        <v>127</v>
      </c>
      <c r="P1276" t="s">
        <v>127</v>
      </c>
      <c r="Q1276" t="s">
        <v>127</v>
      </c>
    </row>
    <row r="1277" spans="1:17" x14ac:dyDescent="0.25">
      <c r="A1277" t="str">
        <f>IF(C1277&amp;G1277&amp;D1277&lt;&gt;'Funnel setup'!$K$3&amp;'Funnel setup'!$K$4&amp;'Funnel setup'!$K$6,".",IF(A1276=".",1,A1276+1))</f>
        <v>.</v>
      </c>
      <c r="B1277" s="244" t="str">
        <f t="shared" si="19"/>
        <v>Hip Replacement RevisionSub-ICB of GP PracticeNHS GLOUCESTERSHIRE ICB - 11M (11M)Oxford Hip Score</v>
      </c>
      <c r="C1277" t="s">
        <v>967</v>
      </c>
      <c r="D1277" t="s">
        <v>1021</v>
      </c>
      <c r="E1277" t="s">
        <v>799</v>
      </c>
      <c r="F1277" t="s">
        <v>800</v>
      </c>
      <c r="G1277" t="s">
        <v>964</v>
      </c>
      <c r="H1277">
        <v>6</v>
      </c>
      <c r="I1277">
        <v>19.333300000000001</v>
      </c>
      <c r="J1277">
        <v>37</v>
      </c>
      <c r="K1277">
        <v>17.666699999999999</v>
      </c>
      <c r="L1277">
        <v>6</v>
      </c>
      <c r="M1277">
        <v>0</v>
      </c>
      <c r="N1277">
        <v>0</v>
      </c>
      <c r="O1277" t="s">
        <v>127</v>
      </c>
      <c r="P1277" t="s">
        <v>127</v>
      </c>
      <c r="Q1277" t="s">
        <v>127</v>
      </c>
    </row>
    <row r="1278" spans="1:17" x14ac:dyDescent="0.25">
      <c r="A1278" t="str">
        <f>IF(C1278&amp;G1278&amp;D1278&lt;&gt;'Funnel setup'!$K$3&amp;'Funnel setup'!$K$4&amp;'Funnel setup'!$K$6,".",IF(A1277=".",1,A1277+1))</f>
        <v>.</v>
      </c>
      <c r="B1278" s="244" t="str">
        <f t="shared" si="19"/>
        <v>Hip Replacement RevisionSub-ICB of GP PracticeNHS GREATER MANCHESTER ICB - 01G (01G)Oxford Hip Score</v>
      </c>
      <c r="C1278" t="s">
        <v>967</v>
      </c>
      <c r="D1278" t="s">
        <v>1021</v>
      </c>
      <c r="E1278" t="s">
        <v>809</v>
      </c>
      <c r="F1278" t="s">
        <v>810</v>
      </c>
      <c r="G1278" t="s">
        <v>964</v>
      </c>
      <c r="H1278">
        <v>1</v>
      </c>
      <c r="I1278">
        <v>16</v>
      </c>
      <c r="J1278">
        <v>44</v>
      </c>
      <c r="K1278">
        <v>28</v>
      </c>
      <c r="L1278">
        <v>1</v>
      </c>
      <c r="M1278">
        <v>0</v>
      </c>
      <c r="N1278">
        <v>0</v>
      </c>
      <c r="O1278" t="s">
        <v>127</v>
      </c>
      <c r="P1278" t="s">
        <v>127</v>
      </c>
      <c r="Q1278" t="s">
        <v>127</v>
      </c>
    </row>
    <row r="1279" spans="1:17" x14ac:dyDescent="0.25">
      <c r="A1279" t="str">
        <f>IF(C1279&amp;G1279&amp;D1279&lt;&gt;'Funnel setup'!$K$3&amp;'Funnel setup'!$K$4&amp;'Funnel setup'!$K$6,".",IF(A1278=".",1,A1278+1))</f>
        <v>.</v>
      </c>
      <c r="B1279" s="244" t="str">
        <f t="shared" si="19"/>
        <v>Hip Replacement RevisionSub-ICB of GP PracticeNHS GREATER MANCHESTER ICB - 01W (01W)Oxford Hip Score</v>
      </c>
      <c r="C1279" t="s">
        <v>967</v>
      </c>
      <c r="D1279" t="s">
        <v>1021</v>
      </c>
      <c r="E1279" t="s">
        <v>811</v>
      </c>
      <c r="F1279" t="s">
        <v>812</v>
      </c>
      <c r="G1279" t="s">
        <v>964</v>
      </c>
      <c r="H1279">
        <v>5</v>
      </c>
      <c r="I1279">
        <v>26</v>
      </c>
      <c r="J1279">
        <v>35.799999999999997</v>
      </c>
      <c r="K1279">
        <v>9.8000000000000007</v>
      </c>
      <c r="L1279">
        <v>3</v>
      </c>
      <c r="M1279">
        <v>1</v>
      </c>
      <c r="N1279">
        <v>1</v>
      </c>
      <c r="O1279" t="s">
        <v>127</v>
      </c>
      <c r="P1279" t="s">
        <v>127</v>
      </c>
      <c r="Q1279" t="s">
        <v>127</v>
      </c>
    </row>
    <row r="1280" spans="1:17" x14ac:dyDescent="0.25">
      <c r="A1280" t="str">
        <f>IF(C1280&amp;G1280&amp;D1280&lt;&gt;'Funnel setup'!$K$3&amp;'Funnel setup'!$K$4&amp;'Funnel setup'!$K$6,".",IF(A1279=".",1,A1279+1))</f>
        <v>.</v>
      </c>
      <c r="B1280" s="244" t="str">
        <f t="shared" si="19"/>
        <v>Hip Replacement RevisionSub-ICB of GP PracticeNHS GREATER MANCHESTER ICB - 14L (14L)Oxford Hip Score</v>
      </c>
      <c r="C1280" t="s">
        <v>967</v>
      </c>
      <c r="D1280" t="s">
        <v>1021</v>
      </c>
      <c r="E1280" t="s">
        <v>819</v>
      </c>
      <c r="F1280" t="s">
        <v>820</v>
      </c>
      <c r="G1280" t="s">
        <v>964</v>
      </c>
      <c r="H1280">
        <v>2</v>
      </c>
      <c r="I1280">
        <v>21.5</v>
      </c>
      <c r="J1280">
        <v>24.5</v>
      </c>
      <c r="K1280">
        <v>3</v>
      </c>
      <c r="L1280">
        <v>2</v>
      </c>
      <c r="M1280">
        <v>0</v>
      </c>
      <c r="N1280">
        <v>0</v>
      </c>
      <c r="O1280" t="s">
        <v>127</v>
      </c>
      <c r="P1280" t="s">
        <v>127</v>
      </c>
      <c r="Q1280" t="s">
        <v>127</v>
      </c>
    </row>
    <row r="1281" spans="1:17" x14ac:dyDescent="0.25">
      <c r="A1281" t="str">
        <f>IF(C1281&amp;G1281&amp;D1281&lt;&gt;'Funnel setup'!$K$3&amp;'Funnel setup'!$K$4&amp;'Funnel setup'!$K$6,".",IF(A1280=".",1,A1280+1))</f>
        <v>.</v>
      </c>
      <c r="B1281" s="244" t="str">
        <f t="shared" si="19"/>
        <v>Hip Replacement RevisionSub-ICB of GP PracticeNHS HAMPSHIRE AND ISLE OF WIGHT ICB - D9Y0V (D9Y0V)Oxford Hip Score</v>
      </c>
      <c r="C1281" t="s">
        <v>967</v>
      </c>
      <c r="D1281" t="s">
        <v>1021</v>
      </c>
      <c r="E1281" t="s">
        <v>823</v>
      </c>
      <c r="F1281" t="s">
        <v>824</v>
      </c>
      <c r="G1281" t="s">
        <v>964</v>
      </c>
      <c r="H1281">
        <v>14</v>
      </c>
      <c r="I1281">
        <v>21</v>
      </c>
      <c r="J1281">
        <v>38.857100000000003</v>
      </c>
      <c r="K1281">
        <v>17.857099999999999</v>
      </c>
      <c r="L1281">
        <v>12</v>
      </c>
      <c r="M1281">
        <v>0</v>
      </c>
      <c r="N1281">
        <v>2</v>
      </c>
      <c r="O1281" t="s">
        <v>127</v>
      </c>
      <c r="P1281" t="s">
        <v>127</v>
      </c>
      <c r="Q1281" t="s">
        <v>127</v>
      </c>
    </row>
    <row r="1282" spans="1:17" x14ac:dyDescent="0.25">
      <c r="A1282" t="str">
        <f>IF(C1282&amp;G1282&amp;D1282&lt;&gt;'Funnel setup'!$K$3&amp;'Funnel setup'!$K$4&amp;'Funnel setup'!$K$6,".",IF(A1281=".",1,A1281+1))</f>
        <v>.</v>
      </c>
      <c r="B1282" s="244" t="str">
        <f t="shared" ref="B1282:B1345" si="20">C1282&amp;D1282&amp;F1282&amp;G1282</f>
        <v>Hip Replacement RevisionSub-ICB of GP PracticeNHS HEREFORDSHIRE AND WORCESTERSHIRE ICB - 18C (18C)Oxford Hip Score</v>
      </c>
      <c r="C1282" t="s">
        <v>967</v>
      </c>
      <c r="D1282" t="s">
        <v>1021</v>
      </c>
      <c r="E1282" t="s">
        <v>825</v>
      </c>
      <c r="F1282" t="s">
        <v>826</v>
      </c>
      <c r="G1282" t="s">
        <v>964</v>
      </c>
      <c r="H1282">
        <v>19</v>
      </c>
      <c r="I1282">
        <v>15.631600000000001</v>
      </c>
      <c r="J1282">
        <v>32.8947</v>
      </c>
      <c r="K1282">
        <v>17.263200000000001</v>
      </c>
      <c r="L1282">
        <v>18</v>
      </c>
      <c r="M1282">
        <v>1</v>
      </c>
      <c r="N1282">
        <v>0</v>
      </c>
      <c r="O1282" t="s">
        <v>127</v>
      </c>
      <c r="P1282" t="s">
        <v>127</v>
      </c>
      <c r="Q1282" t="s">
        <v>127</v>
      </c>
    </row>
    <row r="1283" spans="1:17" x14ac:dyDescent="0.25">
      <c r="A1283" t="str">
        <f>IF(C1283&amp;G1283&amp;D1283&lt;&gt;'Funnel setup'!$K$3&amp;'Funnel setup'!$K$4&amp;'Funnel setup'!$K$6,".",IF(A1282=".",1,A1282+1))</f>
        <v>.</v>
      </c>
      <c r="B1283" s="244" t="str">
        <f t="shared" si="20"/>
        <v>Hip Replacement RevisionSub-ICB of GP PracticeNHS HERTFORDSHIRE AND WEST ESSEX ICB - 06K (06K)Oxford Hip Score</v>
      </c>
      <c r="C1283" t="s">
        <v>967</v>
      </c>
      <c r="D1283" t="s">
        <v>1021</v>
      </c>
      <c r="E1283" t="s">
        <v>827</v>
      </c>
      <c r="F1283" t="s">
        <v>828</v>
      </c>
      <c r="G1283" t="s">
        <v>964</v>
      </c>
      <c r="H1283">
        <v>14</v>
      </c>
      <c r="I1283">
        <v>22.5</v>
      </c>
      <c r="J1283">
        <v>37.5</v>
      </c>
      <c r="K1283">
        <v>15</v>
      </c>
      <c r="L1283">
        <v>13</v>
      </c>
      <c r="M1283">
        <v>1</v>
      </c>
      <c r="N1283">
        <v>0</v>
      </c>
      <c r="O1283" t="s">
        <v>127</v>
      </c>
      <c r="P1283" t="s">
        <v>127</v>
      </c>
      <c r="Q1283" t="s">
        <v>127</v>
      </c>
    </row>
    <row r="1284" spans="1:17" x14ac:dyDescent="0.25">
      <c r="A1284" t="str">
        <f>IF(C1284&amp;G1284&amp;D1284&lt;&gt;'Funnel setup'!$K$3&amp;'Funnel setup'!$K$4&amp;'Funnel setup'!$K$6,".",IF(A1283=".",1,A1283+1))</f>
        <v>.</v>
      </c>
      <c r="B1284" s="244" t="str">
        <f t="shared" si="20"/>
        <v>Hip Replacement RevisionSub-ICB of GP PracticeNHS HERTFORDSHIRE AND WEST ESSEX ICB - 06N (06N)Oxford Hip Score</v>
      </c>
      <c r="C1284" t="s">
        <v>967</v>
      </c>
      <c r="D1284" t="s">
        <v>1021</v>
      </c>
      <c r="E1284" t="s">
        <v>829</v>
      </c>
      <c r="F1284" t="s">
        <v>830</v>
      </c>
      <c r="G1284" t="s">
        <v>964</v>
      </c>
      <c r="H1284">
        <v>11</v>
      </c>
      <c r="I1284">
        <v>14.2727</v>
      </c>
      <c r="J1284">
        <v>33.454500000000003</v>
      </c>
      <c r="K1284">
        <v>19.181799999999999</v>
      </c>
      <c r="L1284">
        <v>11</v>
      </c>
      <c r="M1284">
        <v>0</v>
      </c>
      <c r="N1284">
        <v>0</v>
      </c>
      <c r="O1284" t="s">
        <v>127</v>
      </c>
      <c r="P1284" t="s">
        <v>127</v>
      </c>
      <c r="Q1284" t="s">
        <v>127</v>
      </c>
    </row>
    <row r="1285" spans="1:17" x14ac:dyDescent="0.25">
      <c r="A1285" t="str">
        <f>IF(C1285&amp;G1285&amp;D1285&lt;&gt;'Funnel setup'!$K$3&amp;'Funnel setup'!$K$4&amp;'Funnel setup'!$K$6,".",IF(A1284=".",1,A1284+1))</f>
        <v>.</v>
      </c>
      <c r="B1285" s="244" t="str">
        <f t="shared" si="20"/>
        <v>Hip Replacement RevisionSub-ICB of GP PracticeNHS HERTFORDSHIRE AND WEST ESSEX ICB - 07H (07H)Oxford Hip Score</v>
      </c>
      <c r="C1285" t="s">
        <v>967</v>
      </c>
      <c r="D1285" t="s">
        <v>1021</v>
      </c>
      <c r="E1285" t="s">
        <v>831</v>
      </c>
      <c r="F1285" t="s">
        <v>832</v>
      </c>
      <c r="G1285" t="s">
        <v>964</v>
      </c>
      <c r="H1285">
        <v>2</v>
      </c>
      <c r="I1285">
        <v>23</v>
      </c>
      <c r="J1285">
        <v>27</v>
      </c>
      <c r="K1285">
        <v>4</v>
      </c>
      <c r="L1285">
        <v>1</v>
      </c>
      <c r="M1285">
        <v>0</v>
      </c>
      <c r="N1285">
        <v>1</v>
      </c>
      <c r="O1285" t="s">
        <v>127</v>
      </c>
      <c r="P1285" t="s">
        <v>127</v>
      </c>
      <c r="Q1285" t="s">
        <v>127</v>
      </c>
    </row>
    <row r="1286" spans="1:17" x14ac:dyDescent="0.25">
      <c r="A1286" t="str">
        <f>IF(C1286&amp;G1286&amp;D1286&lt;&gt;'Funnel setup'!$K$3&amp;'Funnel setup'!$K$4&amp;'Funnel setup'!$K$6,".",IF(A1285=".",1,A1285+1))</f>
        <v>.</v>
      </c>
      <c r="B1286" s="244" t="str">
        <f t="shared" si="20"/>
        <v>Hip Replacement RevisionSub-ICB of GP PracticeNHS HUMBER AND NORTH YORKSHIRE ICB - 02Y (02Y)Oxford Hip Score</v>
      </c>
      <c r="C1286" t="s">
        <v>967</v>
      </c>
      <c r="D1286" t="s">
        <v>1021</v>
      </c>
      <c r="E1286" t="s">
        <v>833</v>
      </c>
      <c r="F1286" t="s">
        <v>834</v>
      </c>
      <c r="G1286" t="s">
        <v>964</v>
      </c>
      <c r="H1286">
        <v>2</v>
      </c>
      <c r="I1286">
        <v>14.5</v>
      </c>
      <c r="J1286">
        <v>37</v>
      </c>
      <c r="K1286">
        <v>22.5</v>
      </c>
      <c r="L1286">
        <v>2</v>
      </c>
      <c r="M1286">
        <v>0</v>
      </c>
      <c r="N1286">
        <v>0</v>
      </c>
      <c r="O1286" t="s">
        <v>127</v>
      </c>
      <c r="P1286" t="s">
        <v>127</v>
      </c>
      <c r="Q1286" t="s">
        <v>127</v>
      </c>
    </row>
    <row r="1287" spans="1:17" x14ac:dyDescent="0.25">
      <c r="A1287" t="str">
        <f>IF(C1287&amp;G1287&amp;D1287&lt;&gt;'Funnel setup'!$K$3&amp;'Funnel setup'!$K$4&amp;'Funnel setup'!$K$6,".",IF(A1286=".",1,A1286+1))</f>
        <v>.</v>
      </c>
      <c r="B1287" s="244" t="str">
        <f t="shared" si="20"/>
        <v>Hip Replacement RevisionSub-ICB of GP PracticeNHS HUMBER AND NORTH YORKSHIRE ICB - 03F (03F)Oxford Hip Score</v>
      </c>
      <c r="C1287" t="s">
        <v>967</v>
      </c>
      <c r="D1287" t="s">
        <v>1021</v>
      </c>
      <c r="E1287" t="s">
        <v>835</v>
      </c>
      <c r="F1287" t="s">
        <v>836</v>
      </c>
      <c r="G1287" t="s">
        <v>964</v>
      </c>
      <c r="H1287">
        <v>3</v>
      </c>
      <c r="I1287">
        <v>16.666699999999999</v>
      </c>
      <c r="J1287">
        <v>31</v>
      </c>
      <c r="K1287">
        <v>14.333299999999999</v>
      </c>
      <c r="L1287">
        <v>3</v>
      </c>
      <c r="M1287">
        <v>0</v>
      </c>
      <c r="N1287">
        <v>0</v>
      </c>
      <c r="O1287" t="s">
        <v>127</v>
      </c>
      <c r="P1287" t="s">
        <v>127</v>
      </c>
      <c r="Q1287" t="s">
        <v>127</v>
      </c>
    </row>
    <row r="1288" spans="1:17" x14ac:dyDescent="0.25">
      <c r="A1288" t="str">
        <f>IF(C1288&amp;G1288&amp;D1288&lt;&gt;'Funnel setup'!$K$3&amp;'Funnel setup'!$K$4&amp;'Funnel setup'!$K$6,".",IF(A1287=".",1,A1287+1))</f>
        <v>.</v>
      </c>
      <c r="B1288" s="244" t="str">
        <f t="shared" si="20"/>
        <v>Hip Replacement RevisionSub-ICB of GP PracticeNHS HUMBER AND NORTH YORKSHIRE ICB - 03Q (03Q)Oxford Hip Score</v>
      </c>
      <c r="C1288" t="s">
        <v>967</v>
      </c>
      <c r="D1288" t="s">
        <v>1021</v>
      </c>
      <c r="E1288" t="s">
        <v>841</v>
      </c>
      <c r="F1288" t="s">
        <v>842</v>
      </c>
      <c r="G1288" t="s">
        <v>964</v>
      </c>
      <c r="H1288">
        <v>5</v>
      </c>
      <c r="I1288">
        <v>21.4</v>
      </c>
      <c r="J1288">
        <v>34.6</v>
      </c>
      <c r="K1288">
        <v>13.2</v>
      </c>
      <c r="L1288">
        <v>5</v>
      </c>
      <c r="M1288">
        <v>0</v>
      </c>
      <c r="N1288">
        <v>0</v>
      </c>
      <c r="O1288" t="s">
        <v>127</v>
      </c>
      <c r="P1288" t="s">
        <v>127</v>
      </c>
      <c r="Q1288" t="s">
        <v>127</v>
      </c>
    </row>
    <row r="1289" spans="1:17" x14ac:dyDescent="0.25">
      <c r="A1289" t="str">
        <f>IF(C1289&amp;G1289&amp;D1289&lt;&gt;'Funnel setup'!$K$3&amp;'Funnel setup'!$K$4&amp;'Funnel setup'!$K$6,".",IF(A1288=".",1,A1288+1))</f>
        <v>.</v>
      </c>
      <c r="B1289" s="244" t="str">
        <f t="shared" si="20"/>
        <v>Hip Replacement RevisionSub-ICB of GP PracticeNHS HUMBER AND NORTH YORKSHIRE ICB - 42D (42D)Oxford Hip Score</v>
      </c>
      <c r="C1289" t="s">
        <v>967</v>
      </c>
      <c r="D1289" t="s">
        <v>1021</v>
      </c>
      <c r="E1289" t="s">
        <v>843</v>
      </c>
      <c r="F1289" t="s">
        <v>844</v>
      </c>
      <c r="G1289" t="s">
        <v>964</v>
      </c>
      <c r="H1289">
        <v>12</v>
      </c>
      <c r="I1289">
        <v>23.916699999999999</v>
      </c>
      <c r="J1289">
        <v>37.75</v>
      </c>
      <c r="K1289">
        <v>13.833299999999999</v>
      </c>
      <c r="L1289">
        <v>11</v>
      </c>
      <c r="M1289">
        <v>0</v>
      </c>
      <c r="N1289">
        <v>1</v>
      </c>
      <c r="O1289" t="s">
        <v>127</v>
      </c>
      <c r="P1289" t="s">
        <v>127</v>
      </c>
      <c r="Q1289" t="s">
        <v>127</v>
      </c>
    </row>
    <row r="1290" spans="1:17" x14ac:dyDescent="0.25">
      <c r="A1290" t="str">
        <f>IF(C1290&amp;G1290&amp;D1290&lt;&gt;'Funnel setup'!$K$3&amp;'Funnel setup'!$K$4&amp;'Funnel setup'!$K$6,".",IF(A1289=".",1,A1289+1))</f>
        <v>.</v>
      </c>
      <c r="B1290" s="244" t="str">
        <f t="shared" si="20"/>
        <v>Hip Replacement RevisionSub-ICB of GP PracticeNHS KENT AND MEDWAY ICB - 91Q (91Q)Oxford Hip Score</v>
      </c>
      <c r="C1290" t="s">
        <v>967</v>
      </c>
      <c r="D1290" t="s">
        <v>1021</v>
      </c>
      <c r="E1290" t="s">
        <v>845</v>
      </c>
      <c r="F1290" t="s">
        <v>846</v>
      </c>
      <c r="G1290" t="s">
        <v>964</v>
      </c>
      <c r="H1290">
        <v>23</v>
      </c>
      <c r="I1290">
        <v>20.043500000000002</v>
      </c>
      <c r="J1290">
        <v>34.304299999999998</v>
      </c>
      <c r="K1290">
        <v>14.260899999999999</v>
      </c>
      <c r="L1290">
        <v>21</v>
      </c>
      <c r="M1290">
        <v>0</v>
      </c>
      <c r="N1290">
        <v>2</v>
      </c>
      <c r="O1290" t="s">
        <v>127</v>
      </c>
      <c r="P1290" t="s">
        <v>127</v>
      </c>
      <c r="Q1290" t="s">
        <v>127</v>
      </c>
    </row>
    <row r="1291" spans="1:17" x14ac:dyDescent="0.25">
      <c r="A1291" t="str">
        <f>IF(C1291&amp;G1291&amp;D1291&lt;&gt;'Funnel setup'!$K$3&amp;'Funnel setup'!$K$4&amp;'Funnel setup'!$K$6,".",IF(A1290=".",1,A1290+1))</f>
        <v>.</v>
      </c>
      <c r="B1291" s="244" t="str">
        <f t="shared" si="20"/>
        <v>Hip Replacement RevisionSub-ICB of GP PracticeNHS LANCASHIRE AND SOUTH CUMBRIA ICB - 00Q (00Q)Oxford Hip Score</v>
      </c>
      <c r="C1291" t="s">
        <v>967</v>
      </c>
      <c r="D1291" t="s">
        <v>1021</v>
      </c>
      <c r="E1291" t="s">
        <v>847</v>
      </c>
      <c r="F1291" t="s">
        <v>848</v>
      </c>
      <c r="G1291" t="s">
        <v>964</v>
      </c>
      <c r="H1291">
        <v>1</v>
      </c>
      <c r="I1291">
        <v>26</v>
      </c>
      <c r="J1291">
        <v>39</v>
      </c>
      <c r="K1291">
        <v>13</v>
      </c>
      <c r="L1291">
        <v>1</v>
      </c>
      <c r="M1291">
        <v>0</v>
      </c>
      <c r="N1291">
        <v>0</v>
      </c>
      <c r="O1291" t="s">
        <v>127</v>
      </c>
      <c r="P1291" t="s">
        <v>127</v>
      </c>
      <c r="Q1291" t="s">
        <v>127</v>
      </c>
    </row>
    <row r="1292" spans="1:17" x14ac:dyDescent="0.25">
      <c r="A1292" t="str">
        <f>IF(C1292&amp;G1292&amp;D1292&lt;&gt;'Funnel setup'!$K$3&amp;'Funnel setup'!$K$4&amp;'Funnel setup'!$K$6,".",IF(A1291=".",1,A1291+1))</f>
        <v>.</v>
      </c>
      <c r="B1292" s="244" t="str">
        <f t="shared" si="20"/>
        <v>Hip Replacement RevisionSub-ICB of GP PracticeNHS LANCASHIRE AND SOUTH CUMBRIA ICB - 01A (01A)Oxford Hip Score</v>
      </c>
      <c r="C1292" t="s">
        <v>967</v>
      </c>
      <c r="D1292" t="s">
        <v>1021</v>
      </c>
      <c r="E1292" t="s">
        <v>853</v>
      </c>
      <c r="F1292" t="s">
        <v>854</v>
      </c>
      <c r="G1292" t="s">
        <v>964</v>
      </c>
      <c r="H1292">
        <v>2</v>
      </c>
      <c r="I1292">
        <v>28.5</v>
      </c>
      <c r="J1292">
        <v>30.5</v>
      </c>
      <c r="K1292">
        <v>2</v>
      </c>
      <c r="L1292">
        <v>1</v>
      </c>
      <c r="M1292">
        <v>0</v>
      </c>
      <c r="N1292">
        <v>1</v>
      </c>
      <c r="O1292" t="s">
        <v>127</v>
      </c>
      <c r="P1292" t="s">
        <v>127</v>
      </c>
      <c r="Q1292" t="s">
        <v>127</v>
      </c>
    </row>
    <row r="1293" spans="1:17" x14ac:dyDescent="0.25">
      <c r="A1293" t="str">
        <f>IF(C1293&amp;G1293&amp;D1293&lt;&gt;'Funnel setup'!$K$3&amp;'Funnel setup'!$K$4&amp;'Funnel setup'!$K$6,".",IF(A1292=".",1,A1292+1))</f>
        <v>.</v>
      </c>
      <c r="B1293" s="244" t="str">
        <f t="shared" si="20"/>
        <v>Hip Replacement RevisionSub-ICB of GP PracticeNHS LANCASHIRE AND SOUTH CUMBRIA ICB - 01E (01E)Oxford Hip Score</v>
      </c>
      <c r="C1293" t="s">
        <v>967</v>
      </c>
      <c r="D1293" t="s">
        <v>1021</v>
      </c>
      <c r="E1293" t="s">
        <v>855</v>
      </c>
      <c r="F1293" t="s">
        <v>856</v>
      </c>
      <c r="G1293" t="s">
        <v>964</v>
      </c>
      <c r="H1293">
        <v>1</v>
      </c>
      <c r="I1293">
        <v>25</v>
      </c>
      <c r="J1293">
        <v>48</v>
      </c>
      <c r="K1293">
        <v>23</v>
      </c>
      <c r="L1293">
        <v>1</v>
      </c>
      <c r="M1293">
        <v>0</v>
      </c>
      <c r="N1293">
        <v>0</v>
      </c>
      <c r="O1293" t="s">
        <v>127</v>
      </c>
      <c r="P1293" t="s">
        <v>127</v>
      </c>
      <c r="Q1293" t="s">
        <v>127</v>
      </c>
    </row>
    <row r="1294" spans="1:17" x14ac:dyDescent="0.25">
      <c r="A1294" t="str">
        <f>IF(C1294&amp;G1294&amp;D1294&lt;&gt;'Funnel setup'!$K$3&amp;'Funnel setup'!$K$4&amp;'Funnel setup'!$K$6,".",IF(A1293=".",1,A1293+1))</f>
        <v>.</v>
      </c>
      <c r="B1294" s="244" t="str">
        <f t="shared" si="20"/>
        <v>Hip Replacement RevisionSub-ICB of GP PracticeNHS LANCASHIRE AND SOUTH CUMBRIA ICB - 01K (01K)Oxford Hip Score</v>
      </c>
      <c r="C1294" t="s">
        <v>967</v>
      </c>
      <c r="D1294" t="s">
        <v>1021</v>
      </c>
      <c r="E1294" t="s">
        <v>857</v>
      </c>
      <c r="F1294" t="s">
        <v>858</v>
      </c>
      <c r="G1294" t="s">
        <v>964</v>
      </c>
      <c r="H1294">
        <v>8</v>
      </c>
      <c r="I1294">
        <v>19</v>
      </c>
      <c r="J1294">
        <v>35</v>
      </c>
      <c r="K1294">
        <v>16</v>
      </c>
      <c r="L1294">
        <v>7</v>
      </c>
      <c r="M1294">
        <v>0</v>
      </c>
      <c r="N1294">
        <v>1</v>
      </c>
      <c r="O1294" t="s">
        <v>127</v>
      </c>
      <c r="P1294" t="s">
        <v>127</v>
      </c>
      <c r="Q1294" t="s">
        <v>127</v>
      </c>
    </row>
    <row r="1295" spans="1:17" x14ac:dyDescent="0.25">
      <c r="A1295" t="str">
        <f>IF(C1295&amp;G1295&amp;D1295&lt;&gt;'Funnel setup'!$K$3&amp;'Funnel setup'!$K$4&amp;'Funnel setup'!$K$6,".",IF(A1294=".",1,A1294+1))</f>
        <v>.</v>
      </c>
      <c r="B1295" s="244" t="str">
        <f t="shared" si="20"/>
        <v>Hip Replacement RevisionSub-ICB of GP PracticeNHS LANCASHIRE AND SOUTH CUMBRIA ICB - 02G (02G)Oxford Hip Score</v>
      </c>
      <c r="C1295" t="s">
        <v>967</v>
      </c>
      <c r="D1295" t="s">
        <v>1021</v>
      </c>
      <c r="E1295" t="s">
        <v>859</v>
      </c>
      <c r="F1295" t="s">
        <v>860</v>
      </c>
      <c r="G1295" t="s">
        <v>964</v>
      </c>
      <c r="H1295">
        <v>1</v>
      </c>
      <c r="I1295">
        <v>27</v>
      </c>
      <c r="J1295">
        <v>36</v>
      </c>
      <c r="K1295">
        <v>9</v>
      </c>
      <c r="L1295">
        <v>1</v>
      </c>
      <c r="M1295">
        <v>0</v>
      </c>
      <c r="N1295">
        <v>0</v>
      </c>
      <c r="O1295" t="s">
        <v>127</v>
      </c>
      <c r="P1295" t="s">
        <v>127</v>
      </c>
      <c r="Q1295" t="s">
        <v>127</v>
      </c>
    </row>
    <row r="1296" spans="1:17" x14ac:dyDescent="0.25">
      <c r="A1296" t="str">
        <f>IF(C1296&amp;G1296&amp;D1296&lt;&gt;'Funnel setup'!$K$3&amp;'Funnel setup'!$K$4&amp;'Funnel setup'!$K$6,".",IF(A1295=".",1,A1295+1))</f>
        <v>.</v>
      </c>
      <c r="B1296" s="244" t="str">
        <f t="shared" si="20"/>
        <v>Hip Replacement RevisionSub-ICB of GP PracticeNHS LANCASHIRE AND SOUTH CUMBRIA ICB - 02M (02M)Oxford Hip Score</v>
      </c>
      <c r="C1296" t="s">
        <v>967</v>
      </c>
      <c r="D1296" t="s">
        <v>1021</v>
      </c>
      <c r="E1296" t="s">
        <v>861</v>
      </c>
      <c r="F1296" t="s">
        <v>862</v>
      </c>
      <c r="G1296" t="s">
        <v>964</v>
      </c>
      <c r="H1296">
        <v>4</v>
      </c>
      <c r="I1296">
        <v>20.25</v>
      </c>
      <c r="J1296">
        <v>28.75</v>
      </c>
      <c r="K1296">
        <v>8.5</v>
      </c>
      <c r="L1296">
        <v>3</v>
      </c>
      <c r="M1296">
        <v>0</v>
      </c>
      <c r="N1296">
        <v>1</v>
      </c>
      <c r="O1296" t="s">
        <v>127</v>
      </c>
      <c r="P1296" t="s">
        <v>127</v>
      </c>
      <c r="Q1296" t="s">
        <v>127</v>
      </c>
    </row>
    <row r="1297" spans="1:17" x14ac:dyDescent="0.25">
      <c r="A1297" t="str">
        <f>IF(C1297&amp;G1297&amp;D1297&lt;&gt;'Funnel setup'!$K$3&amp;'Funnel setup'!$K$4&amp;'Funnel setup'!$K$6,".",IF(A1296=".",1,A1296+1))</f>
        <v>.</v>
      </c>
      <c r="B1297" s="244" t="str">
        <f t="shared" si="20"/>
        <v>Hip Replacement RevisionSub-ICB of GP PracticeNHS LEICESTER, LEICESTERSHIRE AND RUTLAND ICB - 03W (03W)Oxford Hip Score</v>
      </c>
      <c r="C1297" t="s">
        <v>967</v>
      </c>
      <c r="D1297" t="s">
        <v>1021</v>
      </c>
      <c r="E1297" t="s">
        <v>863</v>
      </c>
      <c r="F1297" t="s">
        <v>864</v>
      </c>
      <c r="G1297" t="s">
        <v>964</v>
      </c>
      <c r="H1297">
        <v>12</v>
      </c>
      <c r="I1297">
        <v>20.333300000000001</v>
      </c>
      <c r="J1297">
        <v>31.25</v>
      </c>
      <c r="K1297">
        <v>10.916700000000001</v>
      </c>
      <c r="L1297">
        <v>9</v>
      </c>
      <c r="M1297">
        <v>0</v>
      </c>
      <c r="N1297">
        <v>3</v>
      </c>
      <c r="O1297" t="s">
        <v>127</v>
      </c>
      <c r="P1297" t="s">
        <v>127</v>
      </c>
      <c r="Q1297" t="s">
        <v>127</v>
      </c>
    </row>
    <row r="1298" spans="1:17" x14ac:dyDescent="0.25">
      <c r="A1298" t="str">
        <f>IF(C1298&amp;G1298&amp;D1298&lt;&gt;'Funnel setup'!$K$3&amp;'Funnel setup'!$K$4&amp;'Funnel setup'!$K$6,".",IF(A1297=".",1,A1297+1))</f>
        <v>.</v>
      </c>
      <c r="B1298" s="244" t="str">
        <f t="shared" si="20"/>
        <v>Hip Replacement RevisionSub-ICB of GP PracticeNHS LEICESTER, LEICESTERSHIRE AND RUTLAND ICB - 04C (04C)Oxford Hip Score</v>
      </c>
      <c r="C1298" t="s">
        <v>967</v>
      </c>
      <c r="D1298" t="s">
        <v>1021</v>
      </c>
      <c r="E1298" t="s">
        <v>865</v>
      </c>
      <c r="F1298" t="s">
        <v>866</v>
      </c>
      <c r="G1298" t="s">
        <v>964</v>
      </c>
      <c r="H1298" t="s">
        <v>127</v>
      </c>
      <c r="I1298" t="s">
        <v>127</v>
      </c>
      <c r="J1298" t="s">
        <v>127</v>
      </c>
      <c r="K1298" t="s">
        <v>127</v>
      </c>
      <c r="L1298" t="s">
        <v>127</v>
      </c>
      <c r="M1298" t="s">
        <v>127</v>
      </c>
      <c r="N1298" t="s">
        <v>127</v>
      </c>
      <c r="O1298" t="s">
        <v>127</v>
      </c>
      <c r="P1298" t="s">
        <v>127</v>
      </c>
      <c r="Q1298" t="s">
        <v>127</v>
      </c>
    </row>
    <row r="1299" spans="1:17" x14ac:dyDescent="0.25">
      <c r="A1299" t="str">
        <f>IF(C1299&amp;G1299&amp;D1299&lt;&gt;'Funnel setup'!$K$3&amp;'Funnel setup'!$K$4&amp;'Funnel setup'!$K$6,".",IF(A1298=".",1,A1298+1))</f>
        <v>.</v>
      </c>
      <c r="B1299" s="244" t="str">
        <f t="shared" si="20"/>
        <v>Hip Replacement RevisionSub-ICB of GP PracticeNHS LEICESTER, LEICESTERSHIRE AND RUTLAND ICB - 04V (04V)Oxford Hip Score</v>
      </c>
      <c r="C1299" t="s">
        <v>967</v>
      </c>
      <c r="D1299" t="s">
        <v>1021</v>
      </c>
      <c r="E1299" t="s">
        <v>867</v>
      </c>
      <c r="F1299" t="s">
        <v>868</v>
      </c>
      <c r="G1299" t="s">
        <v>964</v>
      </c>
      <c r="H1299">
        <v>5</v>
      </c>
      <c r="I1299">
        <v>20.399999999999999</v>
      </c>
      <c r="J1299">
        <v>38.6</v>
      </c>
      <c r="K1299">
        <v>18.2</v>
      </c>
      <c r="L1299">
        <v>4</v>
      </c>
      <c r="M1299">
        <v>1</v>
      </c>
      <c r="N1299">
        <v>0</v>
      </c>
      <c r="O1299" t="s">
        <v>127</v>
      </c>
      <c r="P1299" t="s">
        <v>127</v>
      </c>
      <c r="Q1299" t="s">
        <v>127</v>
      </c>
    </row>
    <row r="1300" spans="1:17" x14ac:dyDescent="0.25">
      <c r="A1300" t="str">
        <f>IF(C1300&amp;G1300&amp;D1300&lt;&gt;'Funnel setup'!$K$3&amp;'Funnel setup'!$K$4&amp;'Funnel setup'!$K$6,".",IF(A1299=".",1,A1299+1))</f>
        <v>.</v>
      </c>
      <c r="B1300" s="244" t="str">
        <f t="shared" si="20"/>
        <v>Hip Replacement RevisionSub-ICB of GP PracticeNHS LINCOLNSHIRE ICB - 71E (71E)Oxford Hip Score</v>
      </c>
      <c r="C1300" t="s">
        <v>967</v>
      </c>
      <c r="D1300" t="s">
        <v>1021</v>
      </c>
      <c r="E1300" t="s">
        <v>869</v>
      </c>
      <c r="F1300" t="s">
        <v>870</v>
      </c>
      <c r="G1300" t="s">
        <v>964</v>
      </c>
      <c r="H1300">
        <v>3</v>
      </c>
      <c r="I1300">
        <v>35</v>
      </c>
      <c r="J1300">
        <v>47</v>
      </c>
      <c r="K1300">
        <v>12</v>
      </c>
      <c r="L1300">
        <v>3</v>
      </c>
      <c r="M1300">
        <v>0</v>
      </c>
      <c r="N1300">
        <v>0</v>
      </c>
      <c r="O1300" t="s">
        <v>127</v>
      </c>
      <c r="P1300" t="s">
        <v>127</v>
      </c>
      <c r="Q1300" t="s">
        <v>127</v>
      </c>
    </row>
    <row r="1301" spans="1:17" x14ac:dyDescent="0.25">
      <c r="A1301" t="str">
        <f>IF(C1301&amp;G1301&amp;D1301&lt;&gt;'Funnel setup'!$K$3&amp;'Funnel setup'!$K$4&amp;'Funnel setup'!$K$6,".",IF(A1300=".",1,A1300+1))</f>
        <v>.</v>
      </c>
      <c r="B1301" s="244" t="str">
        <f t="shared" si="20"/>
        <v>Hip Replacement RevisionSub-ICB of GP PracticeNHS MID AND SOUTH ESSEX ICB - 06Q (06Q)Oxford Hip Score</v>
      </c>
      <c r="C1301" t="s">
        <v>967</v>
      </c>
      <c r="D1301" t="s">
        <v>1021</v>
      </c>
      <c r="E1301" t="s">
        <v>871</v>
      </c>
      <c r="F1301" t="s">
        <v>872</v>
      </c>
      <c r="G1301" t="s">
        <v>964</v>
      </c>
      <c r="H1301">
        <v>3</v>
      </c>
      <c r="I1301">
        <v>13.333299999999999</v>
      </c>
      <c r="J1301">
        <v>33</v>
      </c>
      <c r="K1301">
        <v>19.666699999999999</v>
      </c>
      <c r="L1301">
        <v>3</v>
      </c>
      <c r="M1301">
        <v>0</v>
      </c>
      <c r="N1301">
        <v>0</v>
      </c>
      <c r="O1301" t="s">
        <v>127</v>
      </c>
      <c r="P1301" t="s">
        <v>127</v>
      </c>
      <c r="Q1301" t="s">
        <v>127</v>
      </c>
    </row>
    <row r="1302" spans="1:17" x14ac:dyDescent="0.25">
      <c r="A1302" t="str">
        <f>IF(C1302&amp;G1302&amp;D1302&lt;&gt;'Funnel setup'!$K$3&amp;'Funnel setup'!$K$4&amp;'Funnel setup'!$K$6,".",IF(A1301=".",1,A1301+1))</f>
        <v>.</v>
      </c>
      <c r="B1302" s="244" t="str">
        <f t="shared" si="20"/>
        <v>Hip Replacement RevisionSub-ICB of GP PracticeNHS MID AND SOUTH ESSEX ICB - 07G (07G)Oxford Hip Score</v>
      </c>
      <c r="C1302" t="s">
        <v>967</v>
      </c>
      <c r="D1302" t="s">
        <v>1021</v>
      </c>
      <c r="E1302" t="s">
        <v>873</v>
      </c>
      <c r="F1302" t="s">
        <v>874</v>
      </c>
      <c r="G1302" t="s">
        <v>964</v>
      </c>
      <c r="H1302">
        <v>1</v>
      </c>
      <c r="I1302">
        <v>18</v>
      </c>
      <c r="J1302">
        <v>38</v>
      </c>
      <c r="K1302">
        <v>20</v>
      </c>
      <c r="L1302">
        <v>1</v>
      </c>
      <c r="M1302">
        <v>0</v>
      </c>
      <c r="N1302">
        <v>0</v>
      </c>
      <c r="O1302" t="s">
        <v>127</v>
      </c>
      <c r="P1302" t="s">
        <v>127</v>
      </c>
      <c r="Q1302" t="s">
        <v>127</v>
      </c>
    </row>
    <row r="1303" spans="1:17" x14ac:dyDescent="0.25">
      <c r="A1303" t="str">
        <f>IF(C1303&amp;G1303&amp;D1303&lt;&gt;'Funnel setup'!$K$3&amp;'Funnel setup'!$K$4&amp;'Funnel setup'!$K$6,".",IF(A1302=".",1,A1302+1))</f>
        <v>.</v>
      </c>
      <c r="B1303" s="244" t="str">
        <f t="shared" si="20"/>
        <v>Hip Replacement RevisionSub-ICB of GP PracticeNHS MID AND SOUTH ESSEX ICB - 99E (99E)Oxford Hip Score</v>
      </c>
      <c r="C1303" t="s">
        <v>967</v>
      </c>
      <c r="D1303" t="s">
        <v>1021</v>
      </c>
      <c r="E1303" t="s">
        <v>875</v>
      </c>
      <c r="F1303" t="s">
        <v>876</v>
      </c>
      <c r="G1303" t="s">
        <v>964</v>
      </c>
      <c r="H1303">
        <v>5</v>
      </c>
      <c r="I1303">
        <v>20.399999999999999</v>
      </c>
      <c r="J1303">
        <v>41.2</v>
      </c>
      <c r="K1303">
        <v>20.8</v>
      </c>
      <c r="L1303">
        <v>5</v>
      </c>
      <c r="M1303">
        <v>0</v>
      </c>
      <c r="N1303">
        <v>0</v>
      </c>
      <c r="O1303" t="s">
        <v>127</v>
      </c>
      <c r="P1303" t="s">
        <v>127</v>
      </c>
      <c r="Q1303" t="s">
        <v>127</v>
      </c>
    </row>
    <row r="1304" spans="1:17" x14ac:dyDescent="0.25">
      <c r="A1304" t="str">
        <f>IF(C1304&amp;G1304&amp;D1304&lt;&gt;'Funnel setup'!$K$3&amp;'Funnel setup'!$K$4&amp;'Funnel setup'!$K$6,".",IF(A1303=".",1,A1303+1))</f>
        <v>.</v>
      </c>
      <c r="B1304" s="244" t="str">
        <f t="shared" si="20"/>
        <v>Hip Replacement RevisionSub-ICB of GP PracticeNHS MID AND SOUTH ESSEX ICB - 99F (99F)Oxford Hip Score</v>
      </c>
      <c r="C1304" t="s">
        <v>967</v>
      </c>
      <c r="D1304" t="s">
        <v>1021</v>
      </c>
      <c r="E1304" t="s">
        <v>877</v>
      </c>
      <c r="F1304" t="s">
        <v>878</v>
      </c>
      <c r="G1304" t="s">
        <v>964</v>
      </c>
      <c r="H1304">
        <v>1</v>
      </c>
      <c r="I1304">
        <v>29</v>
      </c>
      <c r="J1304">
        <v>18</v>
      </c>
      <c r="K1304">
        <v>-11</v>
      </c>
      <c r="L1304">
        <v>0</v>
      </c>
      <c r="M1304">
        <v>0</v>
      </c>
      <c r="N1304">
        <v>1</v>
      </c>
      <c r="O1304" t="s">
        <v>127</v>
      </c>
      <c r="P1304" t="s">
        <v>127</v>
      </c>
      <c r="Q1304" t="s">
        <v>127</v>
      </c>
    </row>
    <row r="1305" spans="1:17" x14ac:dyDescent="0.25">
      <c r="A1305" t="str">
        <f>IF(C1305&amp;G1305&amp;D1305&lt;&gt;'Funnel setup'!$K$3&amp;'Funnel setup'!$K$4&amp;'Funnel setup'!$K$6,".",IF(A1304=".",1,A1304+1))</f>
        <v>.</v>
      </c>
      <c r="B1305" s="244" t="str">
        <f t="shared" si="20"/>
        <v>Hip Replacement RevisionSub-ICB of GP PracticeNHS NORFOLK AND WAVENEY ICB - 26A (26A)Oxford Hip Score</v>
      </c>
      <c r="C1305" t="s">
        <v>967</v>
      </c>
      <c r="D1305" t="s">
        <v>1021</v>
      </c>
      <c r="E1305" t="s">
        <v>881</v>
      </c>
      <c r="F1305" t="s">
        <v>882</v>
      </c>
      <c r="G1305" t="s">
        <v>964</v>
      </c>
      <c r="H1305">
        <v>23</v>
      </c>
      <c r="I1305">
        <v>20.347799999999999</v>
      </c>
      <c r="J1305">
        <v>37.521700000000003</v>
      </c>
      <c r="K1305">
        <v>17.1739</v>
      </c>
      <c r="L1305">
        <v>20</v>
      </c>
      <c r="M1305">
        <v>1</v>
      </c>
      <c r="N1305">
        <v>2</v>
      </c>
      <c r="O1305" t="s">
        <v>127</v>
      </c>
      <c r="P1305" t="s">
        <v>127</v>
      </c>
      <c r="Q1305" t="s">
        <v>127</v>
      </c>
    </row>
    <row r="1306" spans="1:17" x14ac:dyDescent="0.25">
      <c r="A1306" t="str">
        <f>IF(C1306&amp;G1306&amp;D1306&lt;&gt;'Funnel setup'!$K$3&amp;'Funnel setup'!$K$4&amp;'Funnel setup'!$K$6,".",IF(A1305=".",1,A1305+1))</f>
        <v>.</v>
      </c>
      <c r="B1306" s="244" t="str">
        <f t="shared" si="20"/>
        <v>Hip Replacement RevisionSub-ICB of GP PracticeNHS NORTH CENTRAL LONDON ICB - 93C (93C)Oxford Hip Score</v>
      </c>
      <c r="C1306" t="s">
        <v>967</v>
      </c>
      <c r="D1306" t="s">
        <v>1021</v>
      </c>
      <c r="E1306" t="s">
        <v>883</v>
      </c>
      <c r="F1306" t="s">
        <v>884</v>
      </c>
      <c r="G1306" t="s">
        <v>964</v>
      </c>
      <c r="H1306">
        <v>5</v>
      </c>
      <c r="I1306">
        <v>24.8</v>
      </c>
      <c r="J1306">
        <v>38</v>
      </c>
      <c r="K1306">
        <v>13.2</v>
      </c>
      <c r="L1306">
        <v>4</v>
      </c>
      <c r="M1306">
        <v>1</v>
      </c>
      <c r="N1306">
        <v>0</v>
      </c>
      <c r="O1306" t="s">
        <v>127</v>
      </c>
      <c r="P1306" t="s">
        <v>127</v>
      </c>
      <c r="Q1306" t="s">
        <v>127</v>
      </c>
    </row>
    <row r="1307" spans="1:17" x14ac:dyDescent="0.25">
      <c r="A1307" t="str">
        <f>IF(C1307&amp;G1307&amp;D1307&lt;&gt;'Funnel setup'!$K$3&amp;'Funnel setup'!$K$4&amp;'Funnel setup'!$K$6,".",IF(A1306=".",1,A1306+1))</f>
        <v>.</v>
      </c>
      <c r="B1307" s="244" t="str">
        <f t="shared" si="20"/>
        <v>Hip Replacement RevisionSub-ICB of GP PracticeNHS NORTH EAST AND NORTH CUMBRIA ICB - 00L (00L)Oxford Hip Score</v>
      </c>
      <c r="C1307" t="s">
        <v>967</v>
      </c>
      <c r="D1307" t="s">
        <v>1021</v>
      </c>
      <c r="E1307" t="s">
        <v>885</v>
      </c>
      <c r="F1307" t="s">
        <v>886</v>
      </c>
      <c r="G1307" t="s">
        <v>964</v>
      </c>
      <c r="H1307">
        <v>4</v>
      </c>
      <c r="I1307">
        <v>31.25</v>
      </c>
      <c r="J1307">
        <v>37.75</v>
      </c>
      <c r="K1307">
        <v>6.5</v>
      </c>
      <c r="L1307">
        <v>3</v>
      </c>
      <c r="M1307">
        <v>0</v>
      </c>
      <c r="N1307">
        <v>1</v>
      </c>
      <c r="O1307" t="s">
        <v>127</v>
      </c>
      <c r="P1307" t="s">
        <v>127</v>
      </c>
      <c r="Q1307" t="s">
        <v>127</v>
      </c>
    </row>
    <row r="1308" spans="1:17" x14ac:dyDescent="0.25">
      <c r="A1308" t="str">
        <f>IF(C1308&amp;G1308&amp;D1308&lt;&gt;'Funnel setup'!$K$3&amp;'Funnel setup'!$K$4&amp;'Funnel setup'!$K$6,".",IF(A1307=".",1,A1307+1))</f>
        <v>.</v>
      </c>
      <c r="B1308" s="244" t="str">
        <f t="shared" si="20"/>
        <v>Hip Replacement RevisionSub-ICB of GP PracticeNHS NORTH EAST AND NORTH CUMBRIA ICB - 00N (00N)Oxford Hip Score</v>
      </c>
      <c r="C1308" t="s">
        <v>967</v>
      </c>
      <c r="D1308" t="s">
        <v>1021</v>
      </c>
      <c r="E1308" t="s">
        <v>887</v>
      </c>
      <c r="F1308" t="s">
        <v>888</v>
      </c>
      <c r="G1308" t="s">
        <v>964</v>
      </c>
      <c r="H1308">
        <v>1</v>
      </c>
      <c r="I1308">
        <v>9</v>
      </c>
      <c r="J1308">
        <v>10</v>
      </c>
      <c r="K1308">
        <v>1</v>
      </c>
      <c r="L1308">
        <v>1</v>
      </c>
      <c r="M1308">
        <v>0</v>
      </c>
      <c r="N1308">
        <v>0</v>
      </c>
      <c r="O1308" t="s">
        <v>127</v>
      </c>
      <c r="P1308" t="s">
        <v>127</v>
      </c>
      <c r="Q1308" t="s">
        <v>127</v>
      </c>
    </row>
    <row r="1309" spans="1:17" x14ac:dyDescent="0.25">
      <c r="A1309" t="str">
        <f>IF(C1309&amp;G1309&amp;D1309&lt;&gt;'Funnel setup'!$K$3&amp;'Funnel setup'!$K$4&amp;'Funnel setup'!$K$6,".",IF(A1308=".",1,A1308+1))</f>
        <v>.</v>
      </c>
      <c r="B1309" s="244" t="str">
        <f t="shared" si="20"/>
        <v>Hip Replacement RevisionSub-ICB of GP PracticeNHS NORTH EAST AND NORTH CUMBRIA ICB - 00P (00P)Oxford Hip Score</v>
      </c>
      <c r="C1309" t="s">
        <v>967</v>
      </c>
      <c r="D1309" t="s">
        <v>1021</v>
      </c>
      <c r="E1309" t="s">
        <v>889</v>
      </c>
      <c r="F1309" t="s">
        <v>890</v>
      </c>
      <c r="G1309" t="s">
        <v>964</v>
      </c>
      <c r="H1309">
        <v>2</v>
      </c>
      <c r="I1309">
        <v>31</v>
      </c>
      <c r="J1309">
        <v>40</v>
      </c>
      <c r="K1309">
        <v>9</v>
      </c>
      <c r="L1309">
        <v>1</v>
      </c>
      <c r="M1309">
        <v>0</v>
      </c>
      <c r="N1309">
        <v>1</v>
      </c>
      <c r="O1309" t="s">
        <v>127</v>
      </c>
      <c r="P1309" t="s">
        <v>127</v>
      </c>
      <c r="Q1309" t="s">
        <v>127</v>
      </c>
    </row>
    <row r="1310" spans="1:17" x14ac:dyDescent="0.25">
      <c r="A1310" t="str">
        <f>IF(C1310&amp;G1310&amp;D1310&lt;&gt;'Funnel setup'!$K$3&amp;'Funnel setup'!$K$4&amp;'Funnel setup'!$K$6,".",IF(A1309=".",1,A1309+1))</f>
        <v>.</v>
      </c>
      <c r="B1310" s="244" t="str">
        <f t="shared" si="20"/>
        <v>Hip Replacement RevisionSub-ICB of GP PracticeNHS NORTH EAST AND NORTH CUMBRIA ICB - 01H (01H)Oxford Hip Score</v>
      </c>
      <c r="C1310" t="s">
        <v>967</v>
      </c>
      <c r="D1310" t="s">
        <v>1021</v>
      </c>
      <c r="E1310" t="s">
        <v>891</v>
      </c>
      <c r="F1310" t="s">
        <v>892</v>
      </c>
      <c r="G1310" t="s">
        <v>964</v>
      </c>
      <c r="H1310">
        <v>10</v>
      </c>
      <c r="I1310">
        <v>22.6</v>
      </c>
      <c r="J1310">
        <v>40.9</v>
      </c>
      <c r="K1310">
        <v>18.3</v>
      </c>
      <c r="L1310">
        <v>8</v>
      </c>
      <c r="M1310">
        <v>1</v>
      </c>
      <c r="N1310">
        <v>1</v>
      </c>
      <c r="O1310" t="s">
        <v>127</v>
      </c>
      <c r="P1310" t="s">
        <v>127</v>
      </c>
      <c r="Q1310" t="s">
        <v>127</v>
      </c>
    </row>
    <row r="1311" spans="1:17" x14ac:dyDescent="0.25">
      <c r="A1311" t="str">
        <f>IF(C1311&amp;G1311&amp;D1311&lt;&gt;'Funnel setup'!$K$3&amp;'Funnel setup'!$K$4&amp;'Funnel setup'!$K$6,".",IF(A1310=".",1,A1310+1))</f>
        <v>.</v>
      </c>
      <c r="B1311" s="244" t="str">
        <f t="shared" si="20"/>
        <v>Hip Replacement RevisionSub-ICB of GP PracticeNHS NORTH EAST AND NORTH CUMBRIA ICB - 13T (13T)Oxford Hip Score</v>
      </c>
      <c r="C1311" t="s">
        <v>967</v>
      </c>
      <c r="D1311" t="s">
        <v>1021</v>
      </c>
      <c r="E1311" t="s">
        <v>893</v>
      </c>
      <c r="F1311" t="s">
        <v>894</v>
      </c>
      <c r="G1311" t="s">
        <v>964</v>
      </c>
      <c r="H1311">
        <v>2</v>
      </c>
      <c r="I1311">
        <v>19</v>
      </c>
      <c r="J1311">
        <v>25.5</v>
      </c>
      <c r="K1311">
        <v>6.5</v>
      </c>
      <c r="L1311">
        <v>1</v>
      </c>
      <c r="M1311">
        <v>0</v>
      </c>
      <c r="N1311">
        <v>1</v>
      </c>
      <c r="O1311" t="s">
        <v>127</v>
      </c>
      <c r="P1311" t="s">
        <v>127</v>
      </c>
      <c r="Q1311" t="s">
        <v>127</v>
      </c>
    </row>
    <row r="1312" spans="1:17" x14ac:dyDescent="0.25">
      <c r="A1312" t="str">
        <f>IF(C1312&amp;G1312&amp;D1312&lt;&gt;'Funnel setup'!$K$3&amp;'Funnel setup'!$K$4&amp;'Funnel setup'!$K$6,".",IF(A1311=".",1,A1311+1))</f>
        <v>.</v>
      </c>
      <c r="B1312" s="244" t="str">
        <f t="shared" si="20"/>
        <v>Hip Replacement RevisionSub-ICB of GP PracticeNHS NORTH EAST AND NORTH CUMBRIA ICB - 16C (16C)Oxford Hip Score</v>
      </c>
      <c r="C1312" t="s">
        <v>967</v>
      </c>
      <c r="D1312" t="s">
        <v>1021</v>
      </c>
      <c r="E1312" t="s">
        <v>895</v>
      </c>
      <c r="F1312" t="s">
        <v>896</v>
      </c>
      <c r="G1312" t="s">
        <v>964</v>
      </c>
      <c r="H1312">
        <v>14</v>
      </c>
      <c r="I1312">
        <v>16.928599999999999</v>
      </c>
      <c r="J1312">
        <v>32.214300000000001</v>
      </c>
      <c r="K1312">
        <v>15.2857</v>
      </c>
      <c r="L1312">
        <v>13</v>
      </c>
      <c r="M1312">
        <v>1</v>
      </c>
      <c r="N1312">
        <v>0</v>
      </c>
      <c r="O1312" t="s">
        <v>127</v>
      </c>
      <c r="P1312" t="s">
        <v>127</v>
      </c>
      <c r="Q1312" t="s">
        <v>127</v>
      </c>
    </row>
    <row r="1313" spans="1:17" x14ac:dyDescent="0.25">
      <c r="A1313" t="str">
        <f>IF(C1313&amp;G1313&amp;D1313&lt;&gt;'Funnel setup'!$K$3&amp;'Funnel setup'!$K$4&amp;'Funnel setup'!$K$6,".",IF(A1312=".",1,A1312+1))</f>
        <v>.</v>
      </c>
      <c r="B1313" s="244" t="str">
        <f t="shared" si="20"/>
        <v>Hip Replacement RevisionSub-ICB of GP PracticeNHS NORTH EAST AND NORTH CUMBRIA ICB - 84H (84H)Oxford Hip Score</v>
      </c>
      <c r="C1313" t="s">
        <v>967</v>
      </c>
      <c r="D1313" t="s">
        <v>1021</v>
      </c>
      <c r="E1313" t="s">
        <v>897</v>
      </c>
      <c r="F1313" t="s">
        <v>898</v>
      </c>
      <c r="G1313" t="s">
        <v>964</v>
      </c>
      <c r="H1313">
        <v>3</v>
      </c>
      <c r="I1313">
        <v>16.666699999999999</v>
      </c>
      <c r="J1313">
        <v>31.666699999999999</v>
      </c>
      <c r="K1313">
        <v>15</v>
      </c>
      <c r="L1313">
        <v>3</v>
      </c>
      <c r="M1313">
        <v>0</v>
      </c>
      <c r="N1313">
        <v>0</v>
      </c>
      <c r="O1313" t="s">
        <v>127</v>
      </c>
      <c r="P1313" t="s">
        <v>127</v>
      </c>
      <c r="Q1313" t="s">
        <v>127</v>
      </c>
    </row>
    <row r="1314" spans="1:17" x14ac:dyDescent="0.25">
      <c r="A1314" t="str">
        <f>IF(C1314&amp;G1314&amp;D1314&lt;&gt;'Funnel setup'!$K$3&amp;'Funnel setup'!$K$4&amp;'Funnel setup'!$K$6,".",IF(A1313=".",1,A1313+1))</f>
        <v>.</v>
      </c>
      <c r="B1314" s="244" t="str">
        <f t="shared" si="20"/>
        <v>Hip Replacement RevisionSub-ICB of GP PracticeNHS NORTH EAST AND NORTH CUMBRIA ICB - 99C (99C)Oxford Hip Score</v>
      </c>
      <c r="C1314" t="s">
        <v>967</v>
      </c>
      <c r="D1314" t="s">
        <v>1021</v>
      </c>
      <c r="E1314" t="s">
        <v>899</v>
      </c>
      <c r="F1314" t="s">
        <v>900</v>
      </c>
      <c r="G1314" t="s">
        <v>964</v>
      </c>
      <c r="H1314">
        <v>4</v>
      </c>
      <c r="I1314">
        <v>13</v>
      </c>
      <c r="J1314">
        <v>35.75</v>
      </c>
      <c r="K1314">
        <v>22.75</v>
      </c>
      <c r="L1314">
        <v>4</v>
      </c>
      <c r="M1314">
        <v>0</v>
      </c>
      <c r="N1314">
        <v>0</v>
      </c>
      <c r="O1314" t="s">
        <v>127</v>
      </c>
      <c r="P1314" t="s">
        <v>127</v>
      </c>
      <c r="Q1314" t="s">
        <v>127</v>
      </c>
    </row>
    <row r="1315" spans="1:17" x14ac:dyDescent="0.25">
      <c r="A1315" t="str">
        <f>IF(C1315&amp;G1315&amp;D1315&lt;&gt;'Funnel setup'!$K$3&amp;'Funnel setup'!$K$4&amp;'Funnel setup'!$K$6,".",IF(A1314=".",1,A1314+1))</f>
        <v>.</v>
      </c>
      <c r="B1315" s="244" t="str">
        <f t="shared" si="20"/>
        <v>Hip Replacement RevisionSub-ICB of GP PracticeNHS NORTH EAST LONDON ICB - A3A8R (A3A8R)Oxford Hip Score</v>
      </c>
      <c r="C1315" t="s">
        <v>967</v>
      </c>
      <c r="D1315" t="s">
        <v>1021</v>
      </c>
      <c r="E1315" t="s">
        <v>901</v>
      </c>
      <c r="F1315" t="s">
        <v>902</v>
      </c>
      <c r="G1315" t="s">
        <v>964</v>
      </c>
      <c r="H1315">
        <v>8</v>
      </c>
      <c r="I1315">
        <v>12.75</v>
      </c>
      <c r="J1315">
        <v>33.125</v>
      </c>
      <c r="K1315">
        <v>20.375</v>
      </c>
      <c r="L1315">
        <v>8</v>
      </c>
      <c r="M1315">
        <v>0</v>
      </c>
      <c r="N1315">
        <v>0</v>
      </c>
      <c r="O1315" t="s">
        <v>127</v>
      </c>
      <c r="P1315" t="s">
        <v>127</v>
      </c>
      <c r="Q1315" t="s">
        <v>127</v>
      </c>
    </row>
    <row r="1316" spans="1:17" x14ac:dyDescent="0.25">
      <c r="A1316" t="str">
        <f>IF(C1316&amp;G1316&amp;D1316&lt;&gt;'Funnel setup'!$K$3&amp;'Funnel setup'!$K$4&amp;'Funnel setup'!$K$6,".",IF(A1315=".",1,A1315+1))</f>
        <v>.</v>
      </c>
      <c r="B1316" s="244" t="str">
        <f t="shared" si="20"/>
        <v>Hip Replacement RevisionSub-ICB of GP PracticeNHS NORTH WEST LONDON ICB - W2U3Z (W2U3Z)Oxford Hip Score</v>
      </c>
      <c r="C1316" t="s">
        <v>967</v>
      </c>
      <c r="D1316" t="s">
        <v>1021</v>
      </c>
      <c r="E1316" t="s">
        <v>903</v>
      </c>
      <c r="F1316" t="s">
        <v>904</v>
      </c>
      <c r="G1316" t="s">
        <v>964</v>
      </c>
      <c r="H1316">
        <v>7</v>
      </c>
      <c r="I1316">
        <v>17.857099999999999</v>
      </c>
      <c r="J1316">
        <v>28.142900000000001</v>
      </c>
      <c r="K1316">
        <v>10.2857</v>
      </c>
      <c r="L1316">
        <v>5</v>
      </c>
      <c r="M1316">
        <v>0</v>
      </c>
      <c r="N1316">
        <v>2</v>
      </c>
      <c r="O1316" t="s">
        <v>127</v>
      </c>
      <c r="P1316" t="s">
        <v>127</v>
      </c>
      <c r="Q1316" t="s">
        <v>127</v>
      </c>
    </row>
    <row r="1317" spans="1:17" x14ac:dyDescent="0.25">
      <c r="A1317" t="str">
        <f>IF(C1317&amp;G1317&amp;D1317&lt;&gt;'Funnel setup'!$K$3&amp;'Funnel setup'!$K$4&amp;'Funnel setup'!$K$6,".",IF(A1316=".",1,A1316+1))</f>
        <v>.</v>
      </c>
      <c r="B1317" s="244" t="str">
        <f t="shared" si="20"/>
        <v>Hip Replacement RevisionSub-ICB of GP PracticeNHS NORTHAMPTONSHIRE ICB - 78H (78H)Oxford Hip Score</v>
      </c>
      <c r="C1317" t="s">
        <v>967</v>
      </c>
      <c r="D1317" t="s">
        <v>1021</v>
      </c>
      <c r="E1317" t="s">
        <v>905</v>
      </c>
      <c r="F1317" t="s">
        <v>906</v>
      </c>
      <c r="G1317" t="s">
        <v>964</v>
      </c>
      <c r="H1317">
        <v>16</v>
      </c>
      <c r="I1317">
        <v>20.6875</v>
      </c>
      <c r="J1317">
        <v>35.9375</v>
      </c>
      <c r="K1317">
        <v>15.25</v>
      </c>
      <c r="L1317">
        <v>13</v>
      </c>
      <c r="M1317">
        <v>1</v>
      </c>
      <c r="N1317">
        <v>2</v>
      </c>
      <c r="O1317" t="s">
        <v>127</v>
      </c>
      <c r="P1317" t="s">
        <v>127</v>
      </c>
      <c r="Q1317" t="s">
        <v>127</v>
      </c>
    </row>
    <row r="1318" spans="1:17" x14ac:dyDescent="0.25">
      <c r="A1318" t="str">
        <f>IF(C1318&amp;G1318&amp;D1318&lt;&gt;'Funnel setup'!$K$3&amp;'Funnel setup'!$K$4&amp;'Funnel setup'!$K$6,".",IF(A1317=".",1,A1317+1))</f>
        <v>.</v>
      </c>
      <c r="B1318" s="244" t="str">
        <f t="shared" si="20"/>
        <v>Hip Replacement RevisionSub-ICB of GP PracticeNHS NOTTINGHAM AND NOTTINGHAMSHIRE ICB - 02Q (02Q)Oxford Hip Score</v>
      </c>
      <c r="C1318" t="s">
        <v>967</v>
      </c>
      <c r="D1318" t="s">
        <v>1021</v>
      </c>
      <c r="E1318" t="s">
        <v>907</v>
      </c>
      <c r="F1318" t="s">
        <v>908</v>
      </c>
      <c r="G1318" t="s">
        <v>964</v>
      </c>
      <c r="H1318">
        <v>2</v>
      </c>
      <c r="I1318">
        <v>24.5</v>
      </c>
      <c r="J1318">
        <v>31</v>
      </c>
      <c r="K1318">
        <v>6.5</v>
      </c>
      <c r="L1318">
        <v>1</v>
      </c>
      <c r="M1318">
        <v>0</v>
      </c>
      <c r="N1318">
        <v>1</v>
      </c>
      <c r="O1318" t="s">
        <v>127</v>
      </c>
      <c r="P1318" t="s">
        <v>127</v>
      </c>
      <c r="Q1318" t="s">
        <v>127</v>
      </c>
    </row>
    <row r="1319" spans="1:17" x14ac:dyDescent="0.25">
      <c r="A1319" t="str">
        <f>IF(C1319&amp;G1319&amp;D1319&lt;&gt;'Funnel setup'!$K$3&amp;'Funnel setup'!$K$4&amp;'Funnel setup'!$K$6,".",IF(A1318=".",1,A1318+1))</f>
        <v>.</v>
      </c>
      <c r="B1319" s="244" t="str">
        <f t="shared" si="20"/>
        <v>Hip Replacement RevisionSub-ICB of GP PracticeNHS SHROPSHIRE, TELFORD AND WREKIN ICB - M2L0M (M2L0M)Oxford Hip Score</v>
      </c>
      <c r="C1319" t="s">
        <v>967</v>
      </c>
      <c r="D1319" t="s">
        <v>1021</v>
      </c>
      <c r="E1319" t="s">
        <v>911</v>
      </c>
      <c r="F1319" t="s">
        <v>912</v>
      </c>
      <c r="G1319" t="s">
        <v>964</v>
      </c>
      <c r="H1319">
        <v>13</v>
      </c>
      <c r="I1319">
        <v>17.076899999999998</v>
      </c>
      <c r="J1319">
        <v>39.846200000000003</v>
      </c>
      <c r="K1319">
        <v>22.769200000000001</v>
      </c>
      <c r="L1319">
        <v>13</v>
      </c>
      <c r="M1319">
        <v>0</v>
      </c>
      <c r="N1319">
        <v>0</v>
      </c>
      <c r="O1319" t="s">
        <v>127</v>
      </c>
      <c r="P1319" t="s">
        <v>127</v>
      </c>
      <c r="Q1319" t="s">
        <v>127</v>
      </c>
    </row>
    <row r="1320" spans="1:17" x14ac:dyDescent="0.25">
      <c r="A1320" t="str">
        <f>IF(C1320&amp;G1320&amp;D1320&lt;&gt;'Funnel setup'!$K$3&amp;'Funnel setup'!$K$4&amp;'Funnel setup'!$K$6,".",IF(A1319=".",1,A1319+1))</f>
        <v>.</v>
      </c>
      <c r="B1320" s="244" t="str">
        <f t="shared" si="20"/>
        <v>Hip Replacement RevisionSub-ICB of GP PracticeNHS SOMERSET ICB - 11X (11X)Oxford Hip Score</v>
      </c>
      <c r="C1320" t="s">
        <v>967</v>
      </c>
      <c r="D1320" t="s">
        <v>1021</v>
      </c>
      <c r="E1320" t="s">
        <v>913</v>
      </c>
      <c r="F1320" t="s">
        <v>914</v>
      </c>
      <c r="G1320" t="s">
        <v>964</v>
      </c>
      <c r="H1320">
        <v>4</v>
      </c>
      <c r="I1320">
        <v>17</v>
      </c>
      <c r="J1320">
        <v>29</v>
      </c>
      <c r="K1320">
        <v>12</v>
      </c>
      <c r="L1320">
        <v>3</v>
      </c>
      <c r="M1320">
        <v>0</v>
      </c>
      <c r="N1320">
        <v>1</v>
      </c>
      <c r="O1320" t="s">
        <v>127</v>
      </c>
      <c r="P1320" t="s">
        <v>127</v>
      </c>
      <c r="Q1320" t="s">
        <v>127</v>
      </c>
    </row>
    <row r="1321" spans="1:17" x14ac:dyDescent="0.25">
      <c r="A1321" t="str">
        <f>IF(C1321&amp;G1321&amp;D1321&lt;&gt;'Funnel setup'!$K$3&amp;'Funnel setup'!$K$4&amp;'Funnel setup'!$K$6,".",IF(A1320=".",1,A1320+1))</f>
        <v>.</v>
      </c>
      <c r="B1321" s="244" t="str">
        <f t="shared" si="20"/>
        <v>Hip Replacement RevisionSub-ICB of GP PracticeNHS SOUTH EAST LONDON ICB - 72Q (72Q)Oxford Hip Score</v>
      </c>
      <c r="C1321" t="s">
        <v>967</v>
      </c>
      <c r="D1321" t="s">
        <v>1021</v>
      </c>
      <c r="E1321" t="s">
        <v>915</v>
      </c>
      <c r="F1321" t="s">
        <v>916</v>
      </c>
      <c r="G1321" t="s">
        <v>964</v>
      </c>
      <c r="H1321">
        <v>8</v>
      </c>
      <c r="I1321">
        <v>22</v>
      </c>
      <c r="J1321">
        <v>34.875</v>
      </c>
      <c r="K1321">
        <v>12.875</v>
      </c>
      <c r="L1321">
        <v>7</v>
      </c>
      <c r="M1321">
        <v>0</v>
      </c>
      <c r="N1321">
        <v>1</v>
      </c>
      <c r="O1321" t="s">
        <v>127</v>
      </c>
      <c r="P1321" t="s">
        <v>127</v>
      </c>
      <c r="Q1321" t="s">
        <v>127</v>
      </c>
    </row>
    <row r="1322" spans="1:17" x14ac:dyDescent="0.25">
      <c r="A1322" t="str">
        <f>IF(C1322&amp;G1322&amp;D1322&lt;&gt;'Funnel setup'!$K$3&amp;'Funnel setup'!$K$4&amp;'Funnel setup'!$K$6,".",IF(A1321=".",1,A1321+1))</f>
        <v>.</v>
      </c>
      <c r="B1322" s="244" t="str">
        <f t="shared" si="20"/>
        <v>Hip Replacement RevisionSub-ICB of GP PracticeNHS SOUTH WEST LONDON ICB - 36L (36L)Oxford Hip Score</v>
      </c>
      <c r="C1322" t="s">
        <v>967</v>
      </c>
      <c r="D1322" t="s">
        <v>1021</v>
      </c>
      <c r="E1322" t="s">
        <v>917</v>
      </c>
      <c r="F1322" t="s">
        <v>918</v>
      </c>
      <c r="G1322" t="s">
        <v>964</v>
      </c>
      <c r="H1322">
        <v>18</v>
      </c>
      <c r="I1322">
        <v>15.9444</v>
      </c>
      <c r="J1322">
        <v>36.277799999999999</v>
      </c>
      <c r="K1322">
        <v>20.333300000000001</v>
      </c>
      <c r="L1322">
        <v>17</v>
      </c>
      <c r="M1322">
        <v>1</v>
      </c>
      <c r="N1322">
        <v>0</v>
      </c>
      <c r="O1322" t="s">
        <v>127</v>
      </c>
      <c r="P1322" t="s">
        <v>127</v>
      </c>
      <c r="Q1322" t="s">
        <v>127</v>
      </c>
    </row>
    <row r="1323" spans="1:17" x14ac:dyDescent="0.25">
      <c r="A1323" t="str">
        <f>IF(C1323&amp;G1323&amp;D1323&lt;&gt;'Funnel setup'!$K$3&amp;'Funnel setup'!$K$4&amp;'Funnel setup'!$K$6,".",IF(A1322=".",1,A1322+1))</f>
        <v>.</v>
      </c>
      <c r="B1323" s="244" t="str">
        <f t="shared" si="20"/>
        <v>Hip Replacement RevisionSub-ICB of GP PracticeNHS SOUTH YORKSHIRE ICB - 02X (02X)Oxford Hip Score</v>
      </c>
      <c r="C1323" t="s">
        <v>967</v>
      </c>
      <c r="D1323" t="s">
        <v>1021</v>
      </c>
      <c r="E1323" t="s">
        <v>921</v>
      </c>
      <c r="F1323" t="s">
        <v>922</v>
      </c>
      <c r="G1323" t="s">
        <v>964</v>
      </c>
      <c r="H1323">
        <v>3</v>
      </c>
      <c r="I1323">
        <v>12.666700000000001</v>
      </c>
      <c r="J1323">
        <v>14.666700000000001</v>
      </c>
      <c r="K1323">
        <v>2</v>
      </c>
      <c r="L1323">
        <v>2</v>
      </c>
      <c r="M1323">
        <v>0</v>
      </c>
      <c r="N1323">
        <v>1</v>
      </c>
      <c r="O1323" t="s">
        <v>127</v>
      </c>
      <c r="P1323" t="s">
        <v>127</v>
      </c>
      <c r="Q1323" t="s">
        <v>127</v>
      </c>
    </row>
    <row r="1324" spans="1:17" x14ac:dyDescent="0.25">
      <c r="A1324" t="str">
        <f>IF(C1324&amp;G1324&amp;D1324&lt;&gt;'Funnel setup'!$K$3&amp;'Funnel setup'!$K$4&amp;'Funnel setup'!$K$6,".",IF(A1323=".",1,A1323+1))</f>
        <v>.</v>
      </c>
      <c r="B1324" s="244" t="str">
        <f t="shared" si="20"/>
        <v>Hip Replacement RevisionSub-ICB of GP PracticeNHS SOUTH YORKSHIRE ICB - 03L (03L)Oxford Hip Score</v>
      </c>
      <c r="C1324" t="s">
        <v>967</v>
      </c>
      <c r="D1324" t="s">
        <v>1021</v>
      </c>
      <c r="E1324" t="s">
        <v>923</v>
      </c>
      <c r="F1324" t="s">
        <v>924</v>
      </c>
      <c r="G1324" t="s">
        <v>964</v>
      </c>
      <c r="H1324">
        <v>1</v>
      </c>
      <c r="I1324">
        <v>6</v>
      </c>
      <c r="J1324">
        <v>9</v>
      </c>
      <c r="K1324">
        <v>3</v>
      </c>
      <c r="L1324">
        <v>1</v>
      </c>
      <c r="M1324">
        <v>0</v>
      </c>
      <c r="N1324">
        <v>0</v>
      </c>
      <c r="O1324" t="s">
        <v>127</v>
      </c>
      <c r="P1324" t="s">
        <v>127</v>
      </c>
      <c r="Q1324" t="s">
        <v>127</v>
      </c>
    </row>
    <row r="1325" spans="1:17" x14ac:dyDescent="0.25">
      <c r="A1325" t="str">
        <f>IF(C1325&amp;G1325&amp;D1325&lt;&gt;'Funnel setup'!$K$3&amp;'Funnel setup'!$K$4&amp;'Funnel setup'!$K$6,".",IF(A1324=".",1,A1324+1))</f>
        <v>.</v>
      </c>
      <c r="B1325" s="244" t="str">
        <f t="shared" si="20"/>
        <v>Hip Replacement RevisionSub-ICB of GP PracticeNHS SOUTH YORKSHIRE ICB - 03N (03N)Oxford Hip Score</v>
      </c>
      <c r="C1325" t="s">
        <v>967</v>
      </c>
      <c r="D1325" t="s">
        <v>1021</v>
      </c>
      <c r="E1325" t="s">
        <v>925</v>
      </c>
      <c r="F1325" t="s">
        <v>926</v>
      </c>
      <c r="G1325" t="s">
        <v>964</v>
      </c>
      <c r="H1325">
        <v>1</v>
      </c>
      <c r="I1325">
        <v>28</v>
      </c>
      <c r="J1325">
        <v>33</v>
      </c>
      <c r="K1325">
        <v>5</v>
      </c>
      <c r="L1325">
        <v>1</v>
      </c>
      <c r="M1325">
        <v>0</v>
      </c>
      <c r="N1325">
        <v>0</v>
      </c>
      <c r="O1325" t="s">
        <v>127</v>
      </c>
      <c r="P1325" t="s">
        <v>127</v>
      </c>
      <c r="Q1325" t="s">
        <v>127</v>
      </c>
    </row>
    <row r="1326" spans="1:17" x14ac:dyDescent="0.25">
      <c r="A1326" t="str">
        <f>IF(C1326&amp;G1326&amp;D1326&lt;&gt;'Funnel setup'!$K$3&amp;'Funnel setup'!$K$4&amp;'Funnel setup'!$K$6,".",IF(A1325=".",1,A1325+1))</f>
        <v>.</v>
      </c>
      <c r="B1326" s="244" t="str">
        <f t="shared" si="20"/>
        <v>Hip Replacement RevisionSub-ICB of GP PracticeNHS STAFFORDSHIRE AND STOKE-ON-TRENT ICB - 04Y (04Y)Oxford Hip Score</v>
      </c>
      <c r="C1326" t="s">
        <v>967</v>
      </c>
      <c r="D1326" t="s">
        <v>1021</v>
      </c>
      <c r="E1326" t="s">
        <v>927</v>
      </c>
      <c r="F1326" t="s">
        <v>928</v>
      </c>
      <c r="G1326" t="s">
        <v>964</v>
      </c>
      <c r="H1326">
        <v>2</v>
      </c>
      <c r="I1326">
        <v>15</v>
      </c>
      <c r="J1326">
        <v>46.5</v>
      </c>
      <c r="K1326">
        <v>31.5</v>
      </c>
      <c r="L1326">
        <v>2</v>
      </c>
      <c r="M1326">
        <v>0</v>
      </c>
      <c r="N1326">
        <v>0</v>
      </c>
      <c r="O1326" t="s">
        <v>127</v>
      </c>
      <c r="P1326" t="s">
        <v>127</v>
      </c>
      <c r="Q1326" t="s">
        <v>127</v>
      </c>
    </row>
    <row r="1327" spans="1:17" x14ac:dyDescent="0.25">
      <c r="A1327" t="str">
        <f>IF(C1327&amp;G1327&amp;D1327&lt;&gt;'Funnel setup'!$K$3&amp;'Funnel setup'!$K$4&amp;'Funnel setup'!$K$6,".",IF(A1326=".",1,A1326+1))</f>
        <v>.</v>
      </c>
      <c r="B1327" s="244" t="str">
        <f t="shared" si="20"/>
        <v>Hip Replacement RevisionSub-ICB of GP PracticeNHS STAFFORDSHIRE AND STOKE-ON-TRENT ICB - 05D (05D)Oxford Hip Score</v>
      </c>
      <c r="C1327" t="s">
        <v>967</v>
      </c>
      <c r="D1327" t="s">
        <v>1021</v>
      </c>
      <c r="E1327" t="s">
        <v>929</v>
      </c>
      <c r="F1327" t="s">
        <v>930</v>
      </c>
      <c r="G1327" t="s">
        <v>964</v>
      </c>
      <c r="H1327" t="s">
        <v>127</v>
      </c>
      <c r="I1327" t="s">
        <v>127</v>
      </c>
      <c r="J1327" t="s">
        <v>127</v>
      </c>
      <c r="K1327" t="s">
        <v>127</v>
      </c>
      <c r="L1327" t="s">
        <v>127</v>
      </c>
      <c r="M1327" t="s">
        <v>127</v>
      </c>
      <c r="N1327" t="s">
        <v>127</v>
      </c>
      <c r="O1327" t="s">
        <v>127</v>
      </c>
      <c r="P1327" t="s">
        <v>127</v>
      </c>
      <c r="Q1327" t="s">
        <v>127</v>
      </c>
    </row>
    <row r="1328" spans="1:17" x14ac:dyDescent="0.25">
      <c r="A1328" t="str">
        <f>IF(C1328&amp;G1328&amp;D1328&lt;&gt;'Funnel setup'!$K$3&amp;'Funnel setup'!$K$4&amp;'Funnel setup'!$K$6,".",IF(A1327=".",1,A1327+1))</f>
        <v>.</v>
      </c>
      <c r="B1328" s="244" t="str">
        <f t="shared" si="20"/>
        <v>Hip Replacement RevisionSub-ICB of GP PracticeNHS STAFFORDSHIRE AND STOKE-ON-TRENT ICB - 05Q (05Q)Oxford Hip Score</v>
      </c>
      <c r="C1328" t="s">
        <v>967</v>
      </c>
      <c r="D1328" t="s">
        <v>1021</v>
      </c>
      <c r="E1328" t="s">
        <v>933</v>
      </c>
      <c r="F1328" t="s">
        <v>934</v>
      </c>
      <c r="G1328" t="s">
        <v>964</v>
      </c>
      <c r="H1328">
        <v>4</v>
      </c>
      <c r="I1328">
        <v>26.5</v>
      </c>
      <c r="J1328">
        <v>34.75</v>
      </c>
      <c r="K1328">
        <v>8.25</v>
      </c>
      <c r="L1328">
        <v>3</v>
      </c>
      <c r="M1328">
        <v>1</v>
      </c>
      <c r="N1328">
        <v>0</v>
      </c>
      <c r="O1328" t="s">
        <v>127</v>
      </c>
      <c r="P1328" t="s">
        <v>127</v>
      </c>
      <c r="Q1328" t="s">
        <v>127</v>
      </c>
    </row>
    <row r="1329" spans="1:17" x14ac:dyDescent="0.25">
      <c r="A1329" t="str">
        <f>IF(C1329&amp;G1329&amp;D1329&lt;&gt;'Funnel setup'!$K$3&amp;'Funnel setup'!$K$4&amp;'Funnel setup'!$K$6,".",IF(A1328=".",1,A1328+1))</f>
        <v>.</v>
      </c>
      <c r="B1329" s="244" t="str">
        <f t="shared" si="20"/>
        <v>Hip Replacement RevisionSub-ICB of GP PracticeNHS STAFFORDSHIRE AND STOKE-ON-TRENT ICB - 05V (05V)Oxford Hip Score</v>
      </c>
      <c r="C1329" t="s">
        <v>967</v>
      </c>
      <c r="D1329" t="s">
        <v>1021</v>
      </c>
      <c r="E1329" t="s">
        <v>935</v>
      </c>
      <c r="F1329" t="s">
        <v>936</v>
      </c>
      <c r="G1329" t="s">
        <v>964</v>
      </c>
      <c r="H1329">
        <v>1</v>
      </c>
      <c r="I1329">
        <v>8</v>
      </c>
      <c r="J1329">
        <v>28</v>
      </c>
      <c r="K1329">
        <v>20</v>
      </c>
      <c r="L1329">
        <v>1</v>
      </c>
      <c r="M1329">
        <v>0</v>
      </c>
      <c r="N1329">
        <v>0</v>
      </c>
      <c r="O1329" t="s">
        <v>127</v>
      </c>
      <c r="P1329" t="s">
        <v>127</v>
      </c>
      <c r="Q1329" t="s">
        <v>127</v>
      </c>
    </row>
    <row r="1330" spans="1:17" x14ac:dyDescent="0.25">
      <c r="A1330" t="str">
        <f>IF(C1330&amp;G1330&amp;D1330&lt;&gt;'Funnel setup'!$K$3&amp;'Funnel setup'!$K$4&amp;'Funnel setup'!$K$6,".",IF(A1329=".",1,A1329+1))</f>
        <v>.</v>
      </c>
      <c r="B1330" s="244" t="str">
        <f t="shared" si="20"/>
        <v>Hip Replacement RevisionSub-ICB of GP PracticeNHS STAFFORDSHIRE AND STOKE-ON-TRENT ICB - 05W (05W)Oxford Hip Score</v>
      </c>
      <c r="C1330" t="s">
        <v>967</v>
      </c>
      <c r="D1330" t="s">
        <v>1021</v>
      </c>
      <c r="E1330" t="s">
        <v>937</v>
      </c>
      <c r="F1330" t="s">
        <v>938</v>
      </c>
      <c r="G1330" t="s">
        <v>964</v>
      </c>
      <c r="H1330">
        <v>1</v>
      </c>
      <c r="I1330">
        <v>18</v>
      </c>
      <c r="J1330">
        <v>28</v>
      </c>
      <c r="K1330">
        <v>10</v>
      </c>
      <c r="L1330">
        <v>1</v>
      </c>
      <c r="M1330">
        <v>0</v>
      </c>
      <c r="N1330">
        <v>0</v>
      </c>
      <c r="O1330" t="s">
        <v>127</v>
      </c>
      <c r="P1330" t="s">
        <v>127</v>
      </c>
      <c r="Q1330" t="s">
        <v>127</v>
      </c>
    </row>
    <row r="1331" spans="1:17" x14ac:dyDescent="0.25">
      <c r="A1331" t="str">
        <f>IF(C1331&amp;G1331&amp;D1331&lt;&gt;'Funnel setup'!$K$3&amp;'Funnel setup'!$K$4&amp;'Funnel setup'!$K$6,".",IF(A1330=".",1,A1330+1))</f>
        <v>.</v>
      </c>
      <c r="B1331" s="244" t="str">
        <f t="shared" si="20"/>
        <v>Hip Replacement RevisionSub-ICB of GP PracticeNHS SUFFOLK AND NORTH EAST ESSEX ICB - 06L (06L)Oxford Hip Score</v>
      </c>
      <c r="C1331" t="s">
        <v>967</v>
      </c>
      <c r="D1331" t="s">
        <v>1021</v>
      </c>
      <c r="E1331" t="s">
        <v>939</v>
      </c>
      <c r="F1331" t="s">
        <v>940</v>
      </c>
      <c r="G1331" t="s">
        <v>964</v>
      </c>
      <c r="H1331">
        <v>4</v>
      </c>
      <c r="I1331">
        <v>21</v>
      </c>
      <c r="J1331">
        <v>34.5</v>
      </c>
      <c r="K1331">
        <v>13.5</v>
      </c>
      <c r="L1331">
        <v>4</v>
      </c>
      <c r="M1331">
        <v>0</v>
      </c>
      <c r="N1331">
        <v>0</v>
      </c>
      <c r="O1331" t="s">
        <v>127</v>
      </c>
      <c r="P1331" t="s">
        <v>127</v>
      </c>
      <c r="Q1331" t="s">
        <v>127</v>
      </c>
    </row>
    <row r="1332" spans="1:17" x14ac:dyDescent="0.25">
      <c r="A1332" t="str">
        <f>IF(C1332&amp;G1332&amp;D1332&lt;&gt;'Funnel setup'!$K$3&amp;'Funnel setup'!$K$4&amp;'Funnel setup'!$K$6,".",IF(A1331=".",1,A1331+1))</f>
        <v>.</v>
      </c>
      <c r="B1332" s="244" t="str">
        <f t="shared" si="20"/>
        <v>Hip Replacement RevisionSub-ICB of GP PracticeNHS SUFFOLK AND NORTH EAST ESSEX ICB - 06T (06T)Oxford Hip Score</v>
      </c>
      <c r="C1332" t="s">
        <v>967</v>
      </c>
      <c r="D1332" t="s">
        <v>1021</v>
      </c>
      <c r="E1332" t="s">
        <v>941</v>
      </c>
      <c r="F1332" t="s">
        <v>942</v>
      </c>
      <c r="G1332" t="s">
        <v>964</v>
      </c>
      <c r="H1332">
        <v>1</v>
      </c>
      <c r="I1332">
        <v>44</v>
      </c>
      <c r="J1332">
        <v>47</v>
      </c>
      <c r="K1332">
        <v>3</v>
      </c>
      <c r="L1332">
        <v>1</v>
      </c>
      <c r="M1332">
        <v>0</v>
      </c>
      <c r="N1332">
        <v>0</v>
      </c>
      <c r="O1332" t="s">
        <v>127</v>
      </c>
      <c r="P1332" t="s">
        <v>127</v>
      </c>
      <c r="Q1332" t="s">
        <v>127</v>
      </c>
    </row>
    <row r="1333" spans="1:17" x14ac:dyDescent="0.25">
      <c r="A1333" t="str">
        <f>IF(C1333&amp;G1333&amp;D1333&lt;&gt;'Funnel setup'!$K$3&amp;'Funnel setup'!$K$4&amp;'Funnel setup'!$K$6,".",IF(A1332=".",1,A1332+1))</f>
        <v>.</v>
      </c>
      <c r="B1333" s="244" t="str">
        <f t="shared" si="20"/>
        <v>Hip Replacement RevisionSub-ICB of GP PracticeNHS SUFFOLK AND NORTH EAST ESSEX ICB - 07K (07K)Oxford Hip Score</v>
      </c>
      <c r="C1333" t="s">
        <v>967</v>
      </c>
      <c r="D1333" t="s">
        <v>1021</v>
      </c>
      <c r="E1333" t="s">
        <v>943</v>
      </c>
      <c r="F1333" t="s">
        <v>944</v>
      </c>
      <c r="G1333" t="s">
        <v>964</v>
      </c>
      <c r="H1333">
        <v>8</v>
      </c>
      <c r="I1333">
        <v>18</v>
      </c>
      <c r="J1333">
        <v>34.75</v>
      </c>
      <c r="K1333">
        <v>16.75</v>
      </c>
      <c r="L1333">
        <v>8</v>
      </c>
      <c r="M1333">
        <v>0</v>
      </c>
      <c r="N1333">
        <v>0</v>
      </c>
      <c r="O1333" t="s">
        <v>127</v>
      </c>
      <c r="P1333" t="s">
        <v>127</v>
      </c>
      <c r="Q1333" t="s">
        <v>127</v>
      </c>
    </row>
    <row r="1334" spans="1:17" x14ac:dyDescent="0.25">
      <c r="A1334" t="str">
        <f>IF(C1334&amp;G1334&amp;D1334&lt;&gt;'Funnel setup'!$K$3&amp;'Funnel setup'!$K$4&amp;'Funnel setup'!$K$6,".",IF(A1333=".",1,A1333+1))</f>
        <v>.</v>
      </c>
      <c r="B1334" s="244" t="str">
        <f t="shared" si="20"/>
        <v>Hip Replacement RevisionSub-ICB of GP PracticeNHS SURREY HEARTLANDS ICB - 92A (92A)Oxford Hip Score</v>
      </c>
      <c r="C1334" t="s">
        <v>967</v>
      </c>
      <c r="D1334" t="s">
        <v>1021</v>
      </c>
      <c r="E1334" t="s">
        <v>945</v>
      </c>
      <c r="F1334" t="s">
        <v>946</v>
      </c>
      <c r="G1334" t="s">
        <v>964</v>
      </c>
      <c r="H1334">
        <v>28</v>
      </c>
      <c r="I1334">
        <v>25.535699999999999</v>
      </c>
      <c r="J1334">
        <v>38.107100000000003</v>
      </c>
      <c r="K1334">
        <v>12.571400000000001</v>
      </c>
      <c r="L1334">
        <v>25</v>
      </c>
      <c r="M1334">
        <v>1</v>
      </c>
      <c r="N1334">
        <v>2</v>
      </c>
      <c r="O1334" t="s">
        <v>127</v>
      </c>
      <c r="P1334" t="s">
        <v>127</v>
      </c>
      <c r="Q1334" t="s">
        <v>127</v>
      </c>
    </row>
    <row r="1335" spans="1:17" x14ac:dyDescent="0.25">
      <c r="A1335" t="str">
        <f>IF(C1335&amp;G1335&amp;D1335&lt;&gt;'Funnel setup'!$K$3&amp;'Funnel setup'!$K$4&amp;'Funnel setup'!$K$6,".",IF(A1334=".",1,A1334+1))</f>
        <v>.</v>
      </c>
      <c r="B1335" s="244" t="str">
        <f t="shared" si="20"/>
        <v>Hip Replacement RevisionSub-ICB of GP PracticeNHS SUSSEX ICB - 09D (09D)Oxford Hip Score</v>
      </c>
      <c r="C1335" t="s">
        <v>967</v>
      </c>
      <c r="D1335" t="s">
        <v>1021</v>
      </c>
      <c r="E1335" t="s">
        <v>947</v>
      </c>
      <c r="F1335" t="s">
        <v>948</v>
      </c>
      <c r="G1335" t="s">
        <v>964</v>
      </c>
      <c r="H1335">
        <v>4</v>
      </c>
      <c r="I1335">
        <v>18.75</v>
      </c>
      <c r="J1335">
        <v>30.5</v>
      </c>
      <c r="K1335">
        <v>11.75</v>
      </c>
      <c r="L1335">
        <v>4</v>
      </c>
      <c r="M1335">
        <v>0</v>
      </c>
      <c r="N1335">
        <v>0</v>
      </c>
      <c r="O1335" t="s">
        <v>127</v>
      </c>
      <c r="P1335" t="s">
        <v>127</v>
      </c>
      <c r="Q1335" t="s">
        <v>127</v>
      </c>
    </row>
    <row r="1336" spans="1:17" x14ac:dyDescent="0.25">
      <c r="A1336" t="str">
        <f>IF(C1336&amp;G1336&amp;D1336&lt;&gt;'Funnel setup'!$K$3&amp;'Funnel setup'!$K$4&amp;'Funnel setup'!$K$6,".",IF(A1335=".",1,A1335+1))</f>
        <v>.</v>
      </c>
      <c r="B1336" s="244" t="str">
        <f t="shared" si="20"/>
        <v>Hip Replacement RevisionSub-ICB of GP PracticeNHS SUSSEX ICB - 70F (70F)Oxford Hip Score</v>
      </c>
      <c r="C1336" t="s">
        <v>967</v>
      </c>
      <c r="D1336" t="s">
        <v>1021</v>
      </c>
      <c r="E1336" t="s">
        <v>949</v>
      </c>
      <c r="F1336" t="s">
        <v>950</v>
      </c>
      <c r="G1336" t="s">
        <v>964</v>
      </c>
      <c r="H1336">
        <v>19</v>
      </c>
      <c r="I1336">
        <v>20.1053</v>
      </c>
      <c r="J1336">
        <v>29.7895</v>
      </c>
      <c r="K1336">
        <v>9.6842100000000002</v>
      </c>
      <c r="L1336">
        <v>13</v>
      </c>
      <c r="M1336">
        <v>2</v>
      </c>
      <c r="N1336">
        <v>4</v>
      </c>
      <c r="O1336" t="s">
        <v>127</v>
      </c>
      <c r="P1336" t="s">
        <v>127</v>
      </c>
      <c r="Q1336" t="s">
        <v>127</v>
      </c>
    </row>
    <row r="1337" spans="1:17" x14ac:dyDescent="0.25">
      <c r="A1337" t="str">
        <f>IF(C1337&amp;G1337&amp;D1337&lt;&gt;'Funnel setup'!$K$3&amp;'Funnel setup'!$K$4&amp;'Funnel setup'!$K$6,".",IF(A1336=".",1,A1336+1))</f>
        <v>.</v>
      </c>
      <c r="B1337" s="244" t="str">
        <f t="shared" si="20"/>
        <v>Hip Replacement RevisionSub-ICB of GP PracticeNHS SUSSEX ICB - 97R (97R)Oxford Hip Score</v>
      </c>
      <c r="C1337" t="s">
        <v>967</v>
      </c>
      <c r="D1337" t="s">
        <v>1021</v>
      </c>
      <c r="E1337" t="s">
        <v>951</v>
      </c>
      <c r="F1337" t="s">
        <v>952</v>
      </c>
      <c r="G1337" t="s">
        <v>964</v>
      </c>
      <c r="H1337">
        <v>14</v>
      </c>
      <c r="I1337">
        <v>26</v>
      </c>
      <c r="J1337">
        <v>32.571399999999997</v>
      </c>
      <c r="K1337">
        <v>6.5714300000000003</v>
      </c>
      <c r="L1337">
        <v>9</v>
      </c>
      <c r="M1337">
        <v>0</v>
      </c>
      <c r="N1337">
        <v>5</v>
      </c>
      <c r="O1337" t="s">
        <v>127</v>
      </c>
      <c r="P1337" t="s">
        <v>127</v>
      </c>
      <c r="Q1337" t="s">
        <v>127</v>
      </c>
    </row>
    <row r="1338" spans="1:17" x14ac:dyDescent="0.25">
      <c r="A1338" t="str">
        <f>IF(C1338&amp;G1338&amp;D1338&lt;&gt;'Funnel setup'!$K$3&amp;'Funnel setup'!$K$4&amp;'Funnel setup'!$K$6,".",IF(A1337=".",1,A1337+1))</f>
        <v>.</v>
      </c>
      <c r="B1338" s="244" t="str">
        <f t="shared" si="20"/>
        <v>Hip Replacement RevisionSub-ICB of GP PracticeNHS WEST YORKSHIRE ICB - 02T (02T)Oxford Hip Score</v>
      </c>
      <c r="C1338" t="s">
        <v>967</v>
      </c>
      <c r="D1338" t="s">
        <v>1021</v>
      </c>
      <c r="E1338" t="s">
        <v>953</v>
      </c>
      <c r="F1338" t="s">
        <v>954</v>
      </c>
      <c r="G1338" t="s">
        <v>964</v>
      </c>
      <c r="H1338">
        <v>2</v>
      </c>
      <c r="I1338">
        <v>10</v>
      </c>
      <c r="J1338">
        <v>29.5</v>
      </c>
      <c r="K1338">
        <v>19.5</v>
      </c>
      <c r="L1338">
        <v>2</v>
      </c>
      <c r="M1338">
        <v>0</v>
      </c>
      <c r="N1338">
        <v>0</v>
      </c>
      <c r="O1338" t="s">
        <v>127</v>
      </c>
      <c r="P1338" t="s">
        <v>127</v>
      </c>
      <c r="Q1338" t="s">
        <v>127</v>
      </c>
    </row>
    <row r="1339" spans="1:17" x14ac:dyDescent="0.25">
      <c r="A1339" t="str">
        <f>IF(C1339&amp;G1339&amp;D1339&lt;&gt;'Funnel setup'!$K$3&amp;'Funnel setup'!$K$4&amp;'Funnel setup'!$K$6,".",IF(A1338=".",1,A1338+1))</f>
        <v>.</v>
      </c>
      <c r="B1339" s="244" t="str">
        <f t="shared" si="20"/>
        <v>Hip Replacement RevisionSub-ICB of GP PracticeNHS WEST YORKSHIRE ICB - 03R (03R)Oxford Hip Score</v>
      </c>
      <c r="C1339" t="s">
        <v>967</v>
      </c>
      <c r="D1339" t="s">
        <v>1021</v>
      </c>
      <c r="E1339" t="s">
        <v>955</v>
      </c>
      <c r="F1339" t="s">
        <v>956</v>
      </c>
      <c r="G1339" t="s">
        <v>964</v>
      </c>
      <c r="H1339">
        <v>8</v>
      </c>
      <c r="I1339">
        <v>12</v>
      </c>
      <c r="J1339">
        <v>28.875</v>
      </c>
      <c r="K1339">
        <v>16.875</v>
      </c>
      <c r="L1339">
        <v>8</v>
      </c>
      <c r="M1339">
        <v>0</v>
      </c>
      <c r="N1339">
        <v>0</v>
      </c>
      <c r="O1339" t="s">
        <v>127</v>
      </c>
      <c r="P1339" t="s">
        <v>127</v>
      </c>
      <c r="Q1339" t="s">
        <v>127</v>
      </c>
    </row>
    <row r="1340" spans="1:17" x14ac:dyDescent="0.25">
      <c r="A1340" t="str">
        <f>IF(C1340&amp;G1340&amp;D1340&lt;&gt;'Funnel setup'!$K$3&amp;'Funnel setup'!$K$4&amp;'Funnel setup'!$K$6,".",IF(A1339=".",1,A1339+1))</f>
        <v>.</v>
      </c>
      <c r="B1340" s="244" t="str">
        <f t="shared" si="20"/>
        <v>Hip Replacement RevisionSub-ICB of GP PracticeNHS WEST YORKSHIRE ICB - 15F (15F)Oxford Hip Score</v>
      </c>
      <c r="C1340" t="s">
        <v>967</v>
      </c>
      <c r="D1340" t="s">
        <v>1021</v>
      </c>
      <c r="E1340" t="s">
        <v>957</v>
      </c>
      <c r="F1340" t="s">
        <v>958</v>
      </c>
      <c r="G1340" t="s">
        <v>964</v>
      </c>
      <c r="H1340">
        <v>17</v>
      </c>
      <c r="I1340">
        <v>23.588200000000001</v>
      </c>
      <c r="J1340">
        <v>36.352899999999998</v>
      </c>
      <c r="K1340">
        <v>12.764699999999999</v>
      </c>
      <c r="L1340">
        <v>14</v>
      </c>
      <c r="M1340">
        <v>1</v>
      </c>
      <c r="N1340">
        <v>2</v>
      </c>
      <c r="O1340" t="s">
        <v>127</v>
      </c>
      <c r="P1340" t="s">
        <v>127</v>
      </c>
      <c r="Q1340" t="s">
        <v>127</v>
      </c>
    </row>
    <row r="1341" spans="1:17" x14ac:dyDescent="0.25">
      <c r="A1341" t="str">
        <f>IF(C1341&amp;G1341&amp;D1341&lt;&gt;'Funnel setup'!$K$3&amp;'Funnel setup'!$K$4&amp;'Funnel setup'!$K$6,".",IF(A1340=".",1,A1340+1))</f>
        <v>.</v>
      </c>
      <c r="B1341" s="244" t="str">
        <f t="shared" si="20"/>
        <v>Hip Replacement RevisionSub-ICB of GP PracticeNHS WEST YORKSHIRE ICB - 36J (36J)Oxford Hip Score</v>
      </c>
      <c r="C1341" t="s">
        <v>967</v>
      </c>
      <c r="D1341" t="s">
        <v>1021</v>
      </c>
      <c r="E1341" t="s">
        <v>959</v>
      </c>
      <c r="F1341" t="s">
        <v>960</v>
      </c>
      <c r="G1341" t="s">
        <v>964</v>
      </c>
      <c r="H1341">
        <v>5</v>
      </c>
      <c r="I1341">
        <v>17.8</v>
      </c>
      <c r="J1341">
        <v>39</v>
      </c>
      <c r="K1341">
        <v>21.2</v>
      </c>
      <c r="L1341">
        <v>5</v>
      </c>
      <c r="M1341">
        <v>0</v>
      </c>
      <c r="N1341">
        <v>0</v>
      </c>
      <c r="O1341" t="s">
        <v>127</v>
      </c>
      <c r="P1341" t="s">
        <v>127</v>
      </c>
      <c r="Q1341" t="s">
        <v>127</v>
      </c>
    </row>
    <row r="1342" spans="1:17" x14ac:dyDescent="0.25">
      <c r="A1342" t="str">
        <f>IF(C1342&amp;G1342&amp;D1342&lt;&gt;'Funnel setup'!$K$3&amp;'Funnel setup'!$K$4&amp;'Funnel setup'!$K$6,".",IF(A1341=".",1,A1341+1))</f>
        <v>.</v>
      </c>
      <c r="B1342" s="244" t="str">
        <f t="shared" si="20"/>
        <v>Hip Replacement RevisionSub-ICB of GP PracticeNHS WEST YORKSHIRE ICB - X2C4Y (X2C4Y)Oxford Hip Score</v>
      </c>
      <c r="C1342" t="s">
        <v>967</v>
      </c>
      <c r="D1342" t="s">
        <v>1021</v>
      </c>
      <c r="E1342" t="s">
        <v>961</v>
      </c>
      <c r="F1342" t="s">
        <v>962</v>
      </c>
      <c r="G1342" t="s">
        <v>964</v>
      </c>
      <c r="H1342">
        <v>7</v>
      </c>
      <c r="I1342">
        <v>21.714300000000001</v>
      </c>
      <c r="J1342">
        <v>35.571399999999997</v>
      </c>
      <c r="K1342">
        <v>13.857100000000001</v>
      </c>
      <c r="L1342">
        <v>6</v>
      </c>
      <c r="M1342">
        <v>0</v>
      </c>
      <c r="N1342">
        <v>1</v>
      </c>
      <c r="O1342" t="s">
        <v>127</v>
      </c>
      <c r="P1342" t="s">
        <v>127</v>
      </c>
      <c r="Q1342" t="s">
        <v>127</v>
      </c>
    </row>
    <row r="1343" spans="1:17" x14ac:dyDescent="0.25">
      <c r="A1343" t="str">
        <f>IF(C1343&amp;G1343&amp;D1343&lt;&gt;'Funnel setup'!$K$3&amp;'Funnel setup'!$K$4&amp;'Funnel setup'!$K$6,".",IF(A1342=".",1,A1342+1))</f>
        <v>.</v>
      </c>
      <c r="B1343" s="244" t="str">
        <f t="shared" si="20"/>
        <v>Hip Replacement RevisionEnglandEnglandEQ VAS</v>
      </c>
      <c r="C1343" t="s">
        <v>967</v>
      </c>
      <c r="D1343" t="s">
        <v>122</v>
      </c>
      <c r="E1343" t="s">
        <v>122</v>
      </c>
      <c r="F1343" t="s">
        <v>122</v>
      </c>
      <c r="G1343" t="s">
        <v>752</v>
      </c>
      <c r="H1343">
        <v>574</v>
      </c>
      <c r="I1343">
        <v>60.930300000000003</v>
      </c>
      <c r="J1343">
        <v>69.299700000000001</v>
      </c>
      <c r="K1343">
        <v>8.3693399999999993</v>
      </c>
      <c r="L1343">
        <v>341</v>
      </c>
      <c r="M1343">
        <v>49</v>
      </c>
      <c r="N1343">
        <v>184</v>
      </c>
      <c r="O1343">
        <v>69.299700000000001</v>
      </c>
      <c r="P1343">
        <v>8.3693399999999993</v>
      </c>
      <c r="Q1343">
        <v>19.348800000000001</v>
      </c>
    </row>
    <row r="1344" spans="1:17" x14ac:dyDescent="0.25">
      <c r="A1344" t="str">
        <f>IF(C1344&amp;G1344&amp;D1344&lt;&gt;'Funnel setup'!$K$3&amp;'Funnel setup'!$K$4&amp;'Funnel setup'!$K$6,".",IF(A1343=".",1,A1343+1))</f>
        <v>.</v>
      </c>
      <c r="B1344" s="244" t="str">
        <f t="shared" si="20"/>
        <v>Hip Replacement RevisionEnglandEnglandEQ-5D Index</v>
      </c>
      <c r="C1344" t="s">
        <v>967</v>
      </c>
      <c r="D1344" t="s">
        <v>122</v>
      </c>
      <c r="E1344" t="s">
        <v>122</v>
      </c>
      <c r="F1344" t="s">
        <v>122</v>
      </c>
      <c r="G1344" t="s">
        <v>963</v>
      </c>
      <c r="H1344">
        <v>585</v>
      </c>
      <c r="I1344">
        <v>0.36878100000000003</v>
      </c>
      <c r="J1344">
        <v>0.68567699999999998</v>
      </c>
      <c r="K1344">
        <v>0.31689600000000001</v>
      </c>
      <c r="L1344">
        <v>438</v>
      </c>
      <c r="M1344">
        <v>62</v>
      </c>
      <c r="N1344">
        <v>85</v>
      </c>
      <c r="O1344">
        <v>0.68567699999999998</v>
      </c>
      <c r="P1344">
        <v>0.31689600000000001</v>
      </c>
      <c r="Q1344">
        <v>0.27196500000000001</v>
      </c>
    </row>
    <row r="1345" spans="1:17" x14ac:dyDescent="0.25">
      <c r="A1345" t="str">
        <f>IF(C1345&amp;G1345&amp;D1345&lt;&gt;'Funnel setup'!$K$3&amp;'Funnel setup'!$K$4&amp;'Funnel setup'!$K$6,".",IF(A1344=".",1,A1344+1))</f>
        <v>.</v>
      </c>
      <c r="B1345" s="244" t="str">
        <f t="shared" si="20"/>
        <v>Hip Replacement RevisionEnglandEnglandOxford Hip Score</v>
      </c>
      <c r="C1345" t="s">
        <v>967</v>
      </c>
      <c r="D1345" t="s">
        <v>122</v>
      </c>
      <c r="E1345" t="s">
        <v>122</v>
      </c>
      <c r="F1345" t="s">
        <v>122</v>
      </c>
      <c r="G1345" t="s">
        <v>964</v>
      </c>
      <c r="H1345">
        <v>631</v>
      </c>
      <c r="I1345">
        <v>20.233000000000001</v>
      </c>
      <c r="J1345">
        <v>34.857399999999998</v>
      </c>
      <c r="K1345">
        <v>14.6244</v>
      </c>
      <c r="L1345">
        <v>547</v>
      </c>
      <c r="M1345">
        <v>20</v>
      </c>
      <c r="N1345">
        <v>64</v>
      </c>
      <c r="O1345">
        <v>34.857399999999998</v>
      </c>
      <c r="P1345">
        <v>14.6244</v>
      </c>
      <c r="Q1345">
        <v>9.6847600000000007</v>
      </c>
    </row>
    <row r="1346" spans="1:17" x14ac:dyDescent="0.25">
      <c r="A1346" t="str">
        <f>IF(C1346&amp;G1346&amp;D1346&lt;&gt;'Funnel setup'!$K$3&amp;'Funnel setup'!$K$4&amp;'Funnel setup'!$K$6,".",IF(A1345=".",1,A1345+1))</f>
        <v>.</v>
      </c>
      <c r="B1346" s="244" t="str">
        <f t="shared" ref="B1346:B1409" si="21">C1346&amp;D1346&amp;F1346&amp;G1346</f>
        <v>Hip Replacement RevisionProviderASHFORD AND ST PETER'S HOSPITALS NHS FOUNDATION TRUST (RTK)EQ VAS</v>
      </c>
      <c r="C1346" t="s">
        <v>967</v>
      </c>
      <c r="D1346" t="s">
        <v>965</v>
      </c>
      <c r="E1346" t="s">
        <v>132</v>
      </c>
      <c r="F1346" t="s">
        <v>133</v>
      </c>
      <c r="G1346" t="s">
        <v>752</v>
      </c>
      <c r="H1346">
        <v>1</v>
      </c>
      <c r="I1346">
        <v>80</v>
      </c>
      <c r="J1346">
        <v>80</v>
      </c>
      <c r="K1346">
        <v>0</v>
      </c>
      <c r="L1346">
        <v>0</v>
      </c>
      <c r="M1346">
        <v>1</v>
      </c>
      <c r="N1346">
        <v>0</v>
      </c>
      <c r="O1346" t="s">
        <v>127</v>
      </c>
      <c r="P1346" t="s">
        <v>127</v>
      </c>
      <c r="Q1346" t="s">
        <v>127</v>
      </c>
    </row>
    <row r="1347" spans="1:17" x14ac:dyDescent="0.25">
      <c r="A1347" t="str">
        <f>IF(C1347&amp;G1347&amp;D1347&lt;&gt;'Funnel setup'!$K$3&amp;'Funnel setup'!$K$4&amp;'Funnel setup'!$K$6,".",IF(A1346=".",1,A1346+1))</f>
        <v>.</v>
      </c>
      <c r="B1347" s="244" t="str">
        <f t="shared" si="21"/>
        <v>Hip Replacement RevisionProviderBARKING, HAVERING AND REDBRIDGE UNIVERSITY HOSPITALS NHS TRUST (RF4)EQ VAS</v>
      </c>
      <c r="C1347" t="s">
        <v>967</v>
      </c>
      <c r="D1347" t="s">
        <v>965</v>
      </c>
      <c r="E1347" t="s">
        <v>144</v>
      </c>
      <c r="F1347" t="s">
        <v>145</v>
      </c>
      <c r="G1347" t="s">
        <v>752</v>
      </c>
      <c r="H1347">
        <v>2</v>
      </c>
      <c r="I1347">
        <v>80</v>
      </c>
      <c r="J1347">
        <v>70</v>
      </c>
      <c r="K1347">
        <v>-10</v>
      </c>
      <c r="L1347">
        <v>1</v>
      </c>
      <c r="M1347">
        <v>0</v>
      </c>
      <c r="N1347">
        <v>1</v>
      </c>
      <c r="O1347" t="s">
        <v>127</v>
      </c>
      <c r="P1347" t="s">
        <v>127</v>
      </c>
      <c r="Q1347" t="s">
        <v>127</v>
      </c>
    </row>
    <row r="1348" spans="1:17" x14ac:dyDescent="0.25">
      <c r="A1348" t="str">
        <f>IF(C1348&amp;G1348&amp;D1348&lt;&gt;'Funnel setup'!$K$3&amp;'Funnel setup'!$K$4&amp;'Funnel setup'!$K$6,".",IF(A1347=".",1,A1347+1))</f>
        <v>.</v>
      </c>
      <c r="B1348" s="244" t="str">
        <f t="shared" si="21"/>
        <v>Hip Replacement RevisionProviderBARTS HEALTH NHS TRUST (R1H)EQ VAS</v>
      </c>
      <c r="C1348" t="s">
        <v>967</v>
      </c>
      <c r="D1348" t="s">
        <v>965</v>
      </c>
      <c r="E1348" t="s">
        <v>148</v>
      </c>
      <c r="F1348" t="s">
        <v>149</v>
      </c>
      <c r="G1348" t="s">
        <v>752</v>
      </c>
      <c r="H1348">
        <v>1</v>
      </c>
      <c r="I1348">
        <v>50</v>
      </c>
      <c r="J1348">
        <v>55</v>
      </c>
      <c r="K1348">
        <v>5</v>
      </c>
      <c r="L1348">
        <v>1</v>
      </c>
      <c r="M1348">
        <v>0</v>
      </c>
      <c r="N1348">
        <v>0</v>
      </c>
      <c r="O1348" t="s">
        <v>127</v>
      </c>
      <c r="P1348" t="s">
        <v>127</v>
      </c>
      <c r="Q1348" t="s">
        <v>127</v>
      </c>
    </row>
    <row r="1349" spans="1:17" x14ac:dyDescent="0.25">
      <c r="A1349" t="str">
        <f>IF(C1349&amp;G1349&amp;D1349&lt;&gt;'Funnel setup'!$K$3&amp;'Funnel setup'!$K$4&amp;'Funnel setup'!$K$6,".",IF(A1348=".",1,A1348+1))</f>
        <v>.</v>
      </c>
      <c r="B1349" s="244" t="str">
        <f t="shared" si="21"/>
        <v>Hip Replacement RevisionProviderBEDFORDSHIRE HOSPITALS NHS FOUNDATION TRUST (RC9)EQ VAS</v>
      </c>
      <c r="C1349" t="s">
        <v>967</v>
      </c>
      <c r="D1349" t="s">
        <v>965</v>
      </c>
      <c r="E1349" t="s">
        <v>158</v>
      </c>
      <c r="F1349" t="s">
        <v>159</v>
      </c>
      <c r="G1349" t="s">
        <v>752</v>
      </c>
      <c r="H1349">
        <v>3</v>
      </c>
      <c r="I1349">
        <v>56</v>
      </c>
      <c r="J1349">
        <v>63.333300000000001</v>
      </c>
      <c r="K1349">
        <v>7.3333300000000001</v>
      </c>
      <c r="L1349">
        <v>2</v>
      </c>
      <c r="M1349">
        <v>0</v>
      </c>
      <c r="N1349">
        <v>1</v>
      </c>
      <c r="O1349" t="s">
        <v>127</v>
      </c>
      <c r="P1349" t="s">
        <v>127</v>
      </c>
      <c r="Q1349" t="s">
        <v>127</v>
      </c>
    </row>
    <row r="1350" spans="1:17" x14ac:dyDescent="0.25">
      <c r="A1350" t="str">
        <f>IF(C1350&amp;G1350&amp;D1350&lt;&gt;'Funnel setup'!$K$3&amp;'Funnel setup'!$K$4&amp;'Funnel setup'!$K$6,".",IF(A1349=".",1,A1349+1))</f>
        <v>.</v>
      </c>
      <c r="B1350" s="244" t="str">
        <f t="shared" si="21"/>
        <v>Hip Replacement RevisionProviderBLACKPOOL TEACHING HOSPITALS NHS FOUNDATION TRUST (RXL)EQ VAS</v>
      </c>
      <c r="C1350" t="s">
        <v>967</v>
      </c>
      <c r="D1350" t="s">
        <v>965</v>
      </c>
      <c r="E1350" t="s">
        <v>170</v>
      </c>
      <c r="F1350" t="s">
        <v>171</v>
      </c>
      <c r="G1350" t="s">
        <v>752</v>
      </c>
      <c r="H1350">
        <v>1</v>
      </c>
      <c r="I1350">
        <v>70</v>
      </c>
      <c r="J1350">
        <v>100</v>
      </c>
      <c r="K1350">
        <v>30</v>
      </c>
      <c r="L1350">
        <v>1</v>
      </c>
      <c r="M1350">
        <v>0</v>
      </c>
      <c r="N1350">
        <v>0</v>
      </c>
      <c r="O1350" t="s">
        <v>127</v>
      </c>
      <c r="P1350" t="s">
        <v>127</v>
      </c>
      <c r="Q1350" t="s">
        <v>127</v>
      </c>
    </row>
    <row r="1351" spans="1:17" x14ac:dyDescent="0.25">
      <c r="A1351" t="str">
        <f>IF(C1351&amp;G1351&amp;D1351&lt;&gt;'Funnel setup'!$K$3&amp;'Funnel setup'!$K$4&amp;'Funnel setup'!$K$6,".",IF(A1350=".",1,A1350+1))</f>
        <v>.</v>
      </c>
      <c r="B1351" s="244" t="str">
        <f t="shared" si="21"/>
        <v>Hip Replacement RevisionProviderBRADFORD TEACHING HOSPITALS NHS FOUNDATION TRUST (RAE)EQ VAS</v>
      </c>
      <c r="C1351" t="s">
        <v>967</v>
      </c>
      <c r="D1351" t="s">
        <v>965</v>
      </c>
      <c r="E1351" t="s">
        <v>174</v>
      </c>
      <c r="F1351" t="s">
        <v>175</v>
      </c>
      <c r="G1351" t="s">
        <v>752</v>
      </c>
      <c r="H1351">
        <v>2</v>
      </c>
      <c r="I1351">
        <v>47.5</v>
      </c>
      <c r="J1351">
        <v>89</v>
      </c>
      <c r="K1351">
        <v>41.5</v>
      </c>
      <c r="L1351">
        <v>2</v>
      </c>
      <c r="M1351">
        <v>0</v>
      </c>
      <c r="N1351">
        <v>0</v>
      </c>
      <c r="O1351" t="s">
        <v>127</v>
      </c>
      <c r="P1351" t="s">
        <v>127</v>
      </c>
      <c r="Q1351" t="s">
        <v>127</v>
      </c>
    </row>
    <row r="1352" spans="1:17" x14ac:dyDescent="0.25">
      <c r="A1352" t="str">
        <f>IF(C1352&amp;G1352&amp;D1352&lt;&gt;'Funnel setup'!$K$3&amp;'Funnel setup'!$K$4&amp;'Funnel setup'!$K$6,".",IF(A1351=".",1,A1351+1))</f>
        <v>.</v>
      </c>
      <c r="B1352" s="244" t="str">
        <f t="shared" si="21"/>
        <v>Hip Replacement RevisionProviderBUCKINGHAMSHIRE HEALTHCARE NHS TRUST (RXQ)EQ VAS</v>
      </c>
      <c r="C1352" t="s">
        <v>967</v>
      </c>
      <c r="D1352" t="s">
        <v>965</v>
      </c>
      <c r="E1352" t="s">
        <v>178</v>
      </c>
      <c r="F1352" t="s">
        <v>179</v>
      </c>
      <c r="G1352" t="s">
        <v>752</v>
      </c>
      <c r="H1352">
        <v>8</v>
      </c>
      <c r="I1352">
        <v>73.5</v>
      </c>
      <c r="J1352">
        <v>76.25</v>
      </c>
      <c r="K1352">
        <v>2.75</v>
      </c>
      <c r="L1352">
        <v>4</v>
      </c>
      <c r="M1352">
        <v>0</v>
      </c>
      <c r="N1352">
        <v>4</v>
      </c>
      <c r="O1352" t="s">
        <v>127</v>
      </c>
      <c r="P1352" t="s">
        <v>127</v>
      </c>
      <c r="Q1352" t="s">
        <v>127</v>
      </c>
    </row>
    <row r="1353" spans="1:17" x14ac:dyDescent="0.25">
      <c r="A1353" t="str">
        <f>IF(C1353&amp;G1353&amp;D1353&lt;&gt;'Funnel setup'!$K$3&amp;'Funnel setup'!$K$4&amp;'Funnel setup'!$K$6,".",IF(A1352=".",1,A1352+1))</f>
        <v>.</v>
      </c>
      <c r="B1353" s="244" t="str">
        <f t="shared" si="21"/>
        <v>Hip Replacement RevisionProviderCALDERDALE AND HUDDERSFIELD NHS FOUNDATION TRUST (RWY)EQ VAS</v>
      </c>
      <c r="C1353" t="s">
        <v>967</v>
      </c>
      <c r="D1353" t="s">
        <v>965</v>
      </c>
      <c r="E1353" t="s">
        <v>180</v>
      </c>
      <c r="F1353" t="s">
        <v>181</v>
      </c>
      <c r="G1353" t="s">
        <v>752</v>
      </c>
      <c r="H1353">
        <v>5</v>
      </c>
      <c r="I1353">
        <v>47.6</v>
      </c>
      <c r="J1353">
        <v>51.8</v>
      </c>
      <c r="K1353">
        <v>4.2</v>
      </c>
      <c r="L1353">
        <v>3</v>
      </c>
      <c r="M1353">
        <v>0</v>
      </c>
      <c r="N1353">
        <v>2</v>
      </c>
      <c r="O1353" t="s">
        <v>127</v>
      </c>
      <c r="P1353" t="s">
        <v>127</v>
      </c>
      <c r="Q1353" t="s">
        <v>127</v>
      </c>
    </row>
    <row r="1354" spans="1:17" x14ac:dyDescent="0.25">
      <c r="A1354" t="str">
        <f>IF(C1354&amp;G1354&amp;D1354&lt;&gt;'Funnel setup'!$K$3&amp;'Funnel setup'!$K$4&amp;'Funnel setup'!$K$6,".",IF(A1353=".",1,A1353+1))</f>
        <v>.</v>
      </c>
      <c r="B1354" s="244" t="str">
        <f t="shared" si="21"/>
        <v>Hip Replacement RevisionProviderCAMBRIDGE UNIVERSITY HOSPITALS NHS FOUNDATION TRUST (RGT)EQ VAS</v>
      </c>
      <c r="C1354" t="s">
        <v>967</v>
      </c>
      <c r="D1354" t="s">
        <v>965</v>
      </c>
      <c r="E1354" t="s">
        <v>182</v>
      </c>
      <c r="F1354" t="s">
        <v>183</v>
      </c>
      <c r="G1354" t="s">
        <v>752</v>
      </c>
      <c r="H1354">
        <v>11</v>
      </c>
      <c r="I1354">
        <v>57.909100000000002</v>
      </c>
      <c r="J1354">
        <v>74.2727</v>
      </c>
      <c r="K1354">
        <v>16.363600000000002</v>
      </c>
      <c r="L1354">
        <v>10</v>
      </c>
      <c r="M1354">
        <v>0</v>
      </c>
      <c r="N1354">
        <v>1</v>
      </c>
      <c r="O1354" t="s">
        <v>127</v>
      </c>
      <c r="P1354" t="s">
        <v>127</v>
      </c>
      <c r="Q1354" t="s">
        <v>127</v>
      </c>
    </row>
    <row r="1355" spans="1:17" x14ac:dyDescent="0.25">
      <c r="A1355" t="str">
        <f>IF(C1355&amp;G1355&amp;D1355&lt;&gt;'Funnel setup'!$K$3&amp;'Funnel setup'!$K$4&amp;'Funnel setup'!$K$6,".",IF(A1354=".",1,A1354+1))</f>
        <v>.</v>
      </c>
      <c r="B1355" s="244" t="str">
        <f t="shared" si="21"/>
        <v>Hip Replacement RevisionProviderCHESTERFIELD ROYAL HOSPITAL NHS FOUNDATION TRUST (RFS)EQ VAS</v>
      </c>
      <c r="C1355" t="s">
        <v>967</v>
      </c>
      <c r="D1355" t="s">
        <v>965</v>
      </c>
      <c r="E1355" t="s">
        <v>192</v>
      </c>
      <c r="F1355" t="s">
        <v>193</v>
      </c>
      <c r="G1355" t="s">
        <v>752</v>
      </c>
      <c r="H1355">
        <v>4</v>
      </c>
      <c r="I1355">
        <v>67.25</v>
      </c>
      <c r="J1355">
        <v>45</v>
      </c>
      <c r="K1355">
        <v>-22.25</v>
      </c>
      <c r="L1355">
        <v>1</v>
      </c>
      <c r="M1355">
        <v>0</v>
      </c>
      <c r="N1355">
        <v>3</v>
      </c>
      <c r="O1355" t="s">
        <v>127</v>
      </c>
      <c r="P1355" t="s">
        <v>127</v>
      </c>
      <c r="Q1355" t="s">
        <v>127</v>
      </c>
    </row>
    <row r="1356" spans="1:17" x14ac:dyDescent="0.25">
      <c r="A1356" t="str">
        <f>IF(C1356&amp;G1356&amp;D1356&lt;&gt;'Funnel setup'!$K$3&amp;'Funnel setup'!$K$4&amp;'Funnel setup'!$K$6,".",IF(A1355=".",1,A1355+1))</f>
        <v>.</v>
      </c>
      <c r="B1356" s="244" t="str">
        <f t="shared" si="21"/>
        <v>Hip Replacement RevisionProviderCLIFTON PARK HOSPITAL (NVC28)EQ VAS</v>
      </c>
      <c r="C1356" t="s">
        <v>967</v>
      </c>
      <c r="D1356" t="s">
        <v>965</v>
      </c>
      <c r="E1356" t="s">
        <v>202</v>
      </c>
      <c r="F1356" t="s">
        <v>203</v>
      </c>
      <c r="G1356" t="s">
        <v>752</v>
      </c>
      <c r="H1356">
        <v>1</v>
      </c>
      <c r="I1356">
        <v>95</v>
      </c>
      <c r="J1356">
        <v>87</v>
      </c>
      <c r="K1356">
        <v>-8</v>
      </c>
      <c r="L1356">
        <v>0</v>
      </c>
      <c r="M1356">
        <v>0</v>
      </c>
      <c r="N1356">
        <v>1</v>
      </c>
      <c r="O1356" t="s">
        <v>127</v>
      </c>
      <c r="P1356" t="s">
        <v>127</v>
      </c>
      <c r="Q1356" t="s">
        <v>127</v>
      </c>
    </row>
    <row r="1357" spans="1:17" x14ac:dyDescent="0.25">
      <c r="A1357" t="str">
        <f>IF(C1357&amp;G1357&amp;D1357&lt;&gt;'Funnel setup'!$K$3&amp;'Funnel setup'!$K$4&amp;'Funnel setup'!$K$6,".",IF(A1356=".",1,A1356+1))</f>
        <v>.</v>
      </c>
      <c r="B1357" s="244" t="str">
        <f t="shared" si="21"/>
        <v>Hip Replacement RevisionProviderCOUNTY DURHAM AND DARLINGTON NHS FOUNDATION TRUST (RXP)EQ VAS</v>
      </c>
      <c r="C1357" t="s">
        <v>967</v>
      </c>
      <c r="D1357" t="s">
        <v>965</v>
      </c>
      <c r="E1357" t="s">
        <v>206</v>
      </c>
      <c r="F1357" t="s">
        <v>207</v>
      </c>
      <c r="G1357" t="s">
        <v>752</v>
      </c>
      <c r="H1357">
        <v>1</v>
      </c>
      <c r="I1357">
        <v>60</v>
      </c>
      <c r="J1357">
        <v>70</v>
      </c>
      <c r="K1357">
        <v>10</v>
      </c>
      <c r="L1357">
        <v>1</v>
      </c>
      <c r="M1357">
        <v>0</v>
      </c>
      <c r="N1357">
        <v>0</v>
      </c>
      <c r="O1357" t="s">
        <v>127</v>
      </c>
      <c r="P1357" t="s">
        <v>127</v>
      </c>
      <c r="Q1357" t="s">
        <v>127</v>
      </c>
    </row>
    <row r="1358" spans="1:17" x14ac:dyDescent="0.25">
      <c r="A1358" t="str">
        <f>IF(C1358&amp;G1358&amp;D1358&lt;&gt;'Funnel setup'!$K$3&amp;'Funnel setup'!$K$4&amp;'Funnel setup'!$K$6,".",IF(A1357=".",1,A1357+1))</f>
        <v>.</v>
      </c>
      <c r="B1358" s="244" t="str">
        <f t="shared" si="21"/>
        <v>Hip Replacement RevisionProviderDONCASTER AND BASSETLAW TEACHING HOSPITALS NHS FOUNDATION TRUST (RP5)EQ VAS</v>
      </c>
      <c r="C1358" t="s">
        <v>967</v>
      </c>
      <c r="D1358" t="s">
        <v>965</v>
      </c>
      <c r="E1358" t="s">
        <v>212</v>
      </c>
      <c r="F1358" t="s">
        <v>213</v>
      </c>
      <c r="G1358" t="s">
        <v>752</v>
      </c>
      <c r="H1358">
        <v>3</v>
      </c>
      <c r="I1358">
        <v>45</v>
      </c>
      <c r="J1358">
        <v>44.333300000000001</v>
      </c>
      <c r="K1358">
        <v>-0.66666700000000001</v>
      </c>
      <c r="L1358">
        <v>1</v>
      </c>
      <c r="M1358">
        <v>0</v>
      </c>
      <c r="N1358">
        <v>2</v>
      </c>
      <c r="O1358" t="s">
        <v>127</v>
      </c>
      <c r="P1358" t="s">
        <v>127</v>
      </c>
      <c r="Q1358" t="s">
        <v>127</v>
      </c>
    </row>
    <row r="1359" spans="1:17" x14ac:dyDescent="0.25">
      <c r="A1359" t="str">
        <f>IF(C1359&amp;G1359&amp;D1359&lt;&gt;'Funnel setup'!$K$3&amp;'Funnel setup'!$K$4&amp;'Funnel setup'!$K$6,".",IF(A1358=".",1,A1358+1))</f>
        <v>.</v>
      </c>
      <c r="B1359" s="244" t="str">
        <f t="shared" si="21"/>
        <v>Hip Replacement RevisionProviderDORSET COUNTY HOSPITAL NHS FOUNDATION TRUST (RBD)EQ VAS</v>
      </c>
      <c r="C1359" t="s">
        <v>967</v>
      </c>
      <c r="D1359" t="s">
        <v>965</v>
      </c>
      <c r="E1359" t="s">
        <v>214</v>
      </c>
      <c r="F1359" t="s">
        <v>215</v>
      </c>
      <c r="G1359" t="s">
        <v>752</v>
      </c>
      <c r="H1359">
        <v>1</v>
      </c>
      <c r="I1359">
        <v>70</v>
      </c>
      <c r="J1359">
        <v>90</v>
      </c>
      <c r="K1359">
        <v>20</v>
      </c>
      <c r="L1359">
        <v>1</v>
      </c>
      <c r="M1359">
        <v>0</v>
      </c>
      <c r="N1359">
        <v>0</v>
      </c>
      <c r="O1359" t="s">
        <v>127</v>
      </c>
      <c r="P1359" t="s">
        <v>127</v>
      </c>
      <c r="Q1359" t="s">
        <v>127</v>
      </c>
    </row>
    <row r="1360" spans="1:17" x14ac:dyDescent="0.25">
      <c r="A1360" t="str">
        <f>IF(C1360&amp;G1360&amp;D1360&lt;&gt;'Funnel setup'!$K$3&amp;'Funnel setup'!$K$4&amp;'Funnel setup'!$K$6,".",IF(A1359=".",1,A1359+1))</f>
        <v>.</v>
      </c>
      <c r="B1360" s="244" t="str">
        <f t="shared" si="21"/>
        <v>Hip Replacement RevisionProviderEAST AND NORTH HERTFORDSHIRE NHS TRUST (RWH)EQ VAS</v>
      </c>
      <c r="C1360" t="s">
        <v>967</v>
      </c>
      <c r="D1360" t="s">
        <v>965</v>
      </c>
      <c r="E1360" t="s">
        <v>224</v>
      </c>
      <c r="F1360" t="s">
        <v>225</v>
      </c>
      <c r="G1360" t="s">
        <v>752</v>
      </c>
      <c r="H1360">
        <v>10</v>
      </c>
      <c r="I1360">
        <v>65</v>
      </c>
      <c r="J1360">
        <v>76.5</v>
      </c>
      <c r="K1360">
        <v>11.5</v>
      </c>
      <c r="L1360">
        <v>5</v>
      </c>
      <c r="M1360">
        <v>2</v>
      </c>
      <c r="N1360">
        <v>3</v>
      </c>
      <c r="O1360" t="s">
        <v>127</v>
      </c>
      <c r="P1360" t="s">
        <v>127</v>
      </c>
      <c r="Q1360" t="s">
        <v>127</v>
      </c>
    </row>
    <row r="1361" spans="1:17" x14ac:dyDescent="0.25">
      <c r="A1361" t="str">
        <f>IF(C1361&amp;G1361&amp;D1361&lt;&gt;'Funnel setup'!$K$3&amp;'Funnel setup'!$K$4&amp;'Funnel setup'!$K$6,".",IF(A1360=".",1,A1360+1))</f>
        <v>.</v>
      </c>
      <c r="B1361" s="244" t="str">
        <f t="shared" si="21"/>
        <v>Hip Replacement RevisionProviderEAST KENT HOSPITALS UNIVERSITY NHS FOUNDATION TRUST (RVV)EQ VAS</v>
      </c>
      <c r="C1361" t="s">
        <v>967</v>
      </c>
      <c r="D1361" t="s">
        <v>965</v>
      </c>
      <c r="E1361" t="s">
        <v>228</v>
      </c>
      <c r="F1361" t="s">
        <v>229</v>
      </c>
      <c r="G1361" t="s">
        <v>752</v>
      </c>
      <c r="H1361">
        <v>9</v>
      </c>
      <c r="I1361">
        <v>43.8889</v>
      </c>
      <c r="J1361">
        <v>67.222200000000001</v>
      </c>
      <c r="K1361">
        <v>23.333300000000001</v>
      </c>
      <c r="L1361">
        <v>8</v>
      </c>
      <c r="M1361">
        <v>0</v>
      </c>
      <c r="N1361">
        <v>1</v>
      </c>
      <c r="O1361" t="s">
        <v>127</v>
      </c>
      <c r="P1361" t="s">
        <v>127</v>
      </c>
      <c r="Q1361" t="s">
        <v>127</v>
      </c>
    </row>
    <row r="1362" spans="1:17" x14ac:dyDescent="0.25">
      <c r="A1362" t="str">
        <f>IF(C1362&amp;G1362&amp;D1362&lt;&gt;'Funnel setup'!$K$3&amp;'Funnel setup'!$K$4&amp;'Funnel setup'!$K$6,".",IF(A1361=".",1,A1361+1))</f>
        <v>.</v>
      </c>
      <c r="B1362" s="244" t="str">
        <f t="shared" si="21"/>
        <v>Hip Replacement RevisionProviderEAST SUFFOLK AND NORTH ESSEX NHS FOUNDATION TRUST (RDE)EQ VAS</v>
      </c>
      <c r="C1362" t="s">
        <v>967</v>
      </c>
      <c r="D1362" t="s">
        <v>965</v>
      </c>
      <c r="E1362" t="s">
        <v>232</v>
      </c>
      <c r="F1362" t="s">
        <v>233</v>
      </c>
      <c r="G1362" t="s">
        <v>752</v>
      </c>
      <c r="H1362">
        <v>6</v>
      </c>
      <c r="I1362">
        <v>58.5</v>
      </c>
      <c r="J1362">
        <v>84.166700000000006</v>
      </c>
      <c r="K1362">
        <v>25.666699999999999</v>
      </c>
      <c r="L1362">
        <v>5</v>
      </c>
      <c r="M1362">
        <v>1</v>
      </c>
      <c r="N1362">
        <v>0</v>
      </c>
      <c r="O1362" t="s">
        <v>127</v>
      </c>
      <c r="P1362" t="s">
        <v>127</v>
      </c>
      <c r="Q1362" t="s">
        <v>127</v>
      </c>
    </row>
    <row r="1363" spans="1:17" x14ac:dyDescent="0.25">
      <c r="A1363" t="str">
        <f>IF(C1363&amp;G1363&amp;D1363&lt;&gt;'Funnel setup'!$K$3&amp;'Funnel setup'!$K$4&amp;'Funnel setup'!$K$6,".",IF(A1362=".",1,A1362+1))</f>
        <v>.</v>
      </c>
      <c r="B1363" s="244" t="str">
        <f t="shared" si="21"/>
        <v>Hip Replacement RevisionProviderEAST SUSSEX HEALTHCARE NHS TRUST (RXC)EQ VAS</v>
      </c>
      <c r="C1363" t="s">
        <v>967</v>
      </c>
      <c r="D1363" t="s">
        <v>965</v>
      </c>
      <c r="E1363" t="s">
        <v>234</v>
      </c>
      <c r="F1363" t="s">
        <v>235</v>
      </c>
      <c r="G1363" t="s">
        <v>752</v>
      </c>
      <c r="H1363">
        <v>8</v>
      </c>
      <c r="I1363">
        <v>59.5</v>
      </c>
      <c r="J1363">
        <v>63.75</v>
      </c>
      <c r="K1363">
        <v>4.25</v>
      </c>
      <c r="L1363">
        <v>5</v>
      </c>
      <c r="M1363">
        <v>1</v>
      </c>
      <c r="N1363">
        <v>2</v>
      </c>
      <c r="O1363" t="s">
        <v>127</v>
      </c>
      <c r="P1363" t="s">
        <v>127</v>
      </c>
      <c r="Q1363" t="s">
        <v>127</v>
      </c>
    </row>
    <row r="1364" spans="1:17" x14ac:dyDescent="0.25">
      <c r="A1364" t="str">
        <f>IF(C1364&amp;G1364&amp;D1364&lt;&gt;'Funnel setup'!$K$3&amp;'Funnel setup'!$K$4&amp;'Funnel setup'!$K$6,".",IF(A1363=".",1,A1363+1))</f>
        <v>.</v>
      </c>
      <c r="B1364" s="244" t="str">
        <f t="shared" si="21"/>
        <v>Hip Replacement RevisionProviderEPSOM AND ST HELIER UNIVERSITY HOSPITALS NHS TRUST (RVR)EQ VAS</v>
      </c>
      <c r="C1364" t="s">
        <v>967</v>
      </c>
      <c r="D1364" t="s">
        <v>965</v>
      </c>
      <c r="E1364" t="s">
        <v>238</v>
      </c>
      <c r="F1364" t="s">
        <v>239</v>
      </c>
      <c r="G1364" t="s">
        <v>752</v>
      </c>
      <c r="H1364">
        <v>33</v>
      </c>
      <c r="I1364">
        <v>59.060600000000001</v>
      </c>
      <c r="J1364">
        <v>71.606099999999998</v>
      </c>
      <c r="K1364">
        <v>12.545500000000001</v>
      </c>
      <c r="L1364">
        <v>22</v>
      </c>
      <c r="M1364">
        <v>5</v>
      </c>
      <c r="N1364">
        <v>6</v>
      </c>
      <c r="O1364">
        <v>72.087800000000001</v>
      </c>
      <c r="P1364">
        <v>11.157400000000001</v>
      </c>
      <c r="Q1364">
        <v>15.228300000000001</v>
      </c>
    </row>
    <row r="1365" spans="1:17" x14ac:dyDescent="0.25">
      <c r="A1365" t="str">
        <f>IF(C1365&amp;G1365&amp;D1365&lt;&gt;'Funnel setup'!$K$3&amp;'Funnel setup'!$K$4&amp;'Funnel setup'!$K$6,".",IF(A1364=".",1,A1364+1))</f>
        <v>.</v>
      </c>
      <c r="B1365" s="244" t="str">
        <f t="shared" si="21"/>
        <v>Hip Replacement RevisionProviderFITZWILLIAM HOSPITAL (NVC06)EQ VAS</v>
      </c>
      <c r="C1365" t="s">
        <v>967</v>
      </c>
      <c r="D1365" t="s">
        <v>965</v>
      </c>
      <c r="E1365" t="s">
        <v>244</v>
      </c>
      <c r="F1365" t="s">
        <v>245</v>
      </c>
      <c r="G1365" t="s">
        <v>752</v>
      </c>
      <c r="H1365" t="s">
        <v>127</v>
      </c>
      <c r="I1365" t="s">
        <v>127</v>
      </c>
      <c r="J1365" t="s">
        <v>127</v>
      </c>
      <c r="K1365" t="s">
        <v>127</v>
      </c>
      <c r="L1365" t="s">
        <v>127</v>
      </c>
      <c r="M1365" t="s">
        <v>127</v>
      </c>
      <c r="N1365" t="s">
        <v>127</v>
      </c>
      <c r="O1365" t="s">
        <v>127</v>
      </c>
      <c r="P1365" t="s">
        <v>127</v>
      </c>
      <c r="Q1365" t="s">
        <v>127</v>
      </c>
    </row>
    <row r="1366" spans="1:17" x14ac:dyDescent="0.25">
      <c r="A1366" t="str">
        <f>IF(C1366&amp;G1366&amp;D1366&lt;&gt;'Funnel setup'!$K$3&amp;'Funnel setup'!$K$4&amp;'Funnel setup'!$K$6,".",IF(A1365=".",1,A1365+1))</f>
        <v>.</v>
      </c>
      <c r="B1366" s="244" t="str">
        <f t="shared" si="21"/>
        <v>Hip Replacement RevisionProviderFRIMLEY HEALTH NHS FOUNDATION TRUST (RDU)EQ VAS</v>
      </c>
      <c r="C1366" t="s">
        <v>967</v>
      </c>
      <c r="D1366" t="s">
        <v>965</v>
      </c>
      <c r="E1366" t="s">
        <v>248</v>
      </c>
      <c r="F1366" t="s">
        <v>249</v>
      </c>
      <c r="G1366" t="s">
        <v>752</v>
      </c>
      <c r="H1366">
        <v>12</v>
      </c>
      <c r="I1366">
        <v>68.75</v>
      </c>
      <c r="J1366">
        <v>74.166700000000006</v>
      </c>
      <c r="K1366">
        <v>5.4166699999999999</v>
      </c>
      <c r="L1366">
        <v>6</v>
      </c>
      <c r="M1366">
        <v>2</v>
      </c>
      <c r="N1366">
        <v>4</v>
      </c>
      <c r="O1366" t="s">
        <v>127</v>
      </c>
      <c r="P1366" t="s">
        <v>127</v>
      </c>
      <c r="Q1366" t="s">
        <v>127</v>
      </c>
    </row>
    <row r="1367" spans="1:17" x14ac:dyDescent="0.25">
      <c r="A1367" t="str">
        <f>IF(C1367&amp;G1367&amp;D1367&lt;&gt;'Funnel setup'!$K$3&amp;'Funnel setup'!$K$4&amp;'Funnel setup'!$K$6,".",IF(A1366=".",1,A1366+1))</f>
        <v>.</v>
      </c>
      <c r="B1367" s="244" t="str">
        <f t="shared" si="21"/>
        <v>Hip Replacement RevisionProviderGATESHEAD HEALTH NHS FOUNDATION TRUST (RR7)EQ VAS</v>
      </c>
      <c r="C1367" t="s">
        <v>967</v>
      </c>
      <c r="D1367" t="s">
        <v>965</v>
      </c>
      <c r="E1367" t="s">
        <v>252</v>
      </c>
      <c r="F1367" t="s">
        <v>253</v>
      </c>
      <c r="G1367" t="s">
        <v>752</v>
      </c>
      <c r="H1367">
        <v>3</v>
      </c>
      <c r="I1367">
        <v>36.666699999999999</v>
      </c>
      <c r="J1367">
        <v>43.333300000000001</v>
      </c>
      <c r="K1367">
        <v>6.6666699999999999</v>
      </c>
      <c r="L1367">
        <v>2</v>
      </c>
      <c r="M1367">
        <v>0</v>
      </c>
      <c r="N1367">
        <v>1</v>
      </c>
      <c r="O1367" t="s">
        <v>127</v>
      </c>
      <c r="P1367" t="s">
        <v>127</v>
      </c>
      <c r="Q1367" t="s">
        <v>127</v>
      </c>
    </row>
    <row r="1368" spans="1:17" x14ac:dyDescent="0.25">
      <c r="A1368" t="str">
        <f>IF(C1368&amp;G1368&amp;D1368&lt;&gt;'Funnel setup'!$K$3&amp;'Funnel setup'!$K$4&amp;'Funnel setup'!$K$6,".",IF(A1367=".",1,A1367+1))</f>
        <v>.</v>
      </c>
      <c r="B1368" s="244" t="str">
        <f t="shared" si="21"/>
        <v>Hip Replacement RevisionProviderGLOUCESTERSHIRE HOSPITALS NHS FOUNDATION TRUST (RTE)EQ VAS</v>
      </c>
      <c r="C1368" t="s">
        <v>967</v>
      </c>
      <c r="D1368" t="s">
        <v>965</v>
      </c>
      <c r="E1368" t="s">
        <v>256</v>
      </c>
      <c r="F1368" t="s">
        <v>257</v>
      </c>
      <c r="G1368" t="s">
        <v>752</v>
      </c>
      <c r="H1368">
        <v>1</v>
      </c>
      <c r="I1368">
        <v>40</v>
      </c>
      <c r="J1368">
        <v>80</v>
      </c>
      <c r="K1368">
        <v>40</v>
      </c>
      <c r="L1368">
        <v>1</v>
      </c>
      <c r="M1368">
        <v>0</v>
      </c>
      <c r="N1368">
        <v>0</v>
      </c>
      <c r="O1368" t="s">
        <v>127</v>
      </c>
      <c r="P1368" t="s">
        <v>127</v>
      </c>
      <c r="Q1368" t="s">
        <v>127</v>
      </c>
    </row>
    <row r="1369" spans="1:17" x14ac:dyDescent="0.25">
      <c r="A1369" t="str">
        <f>IF(C1369&amp;G1369&amp;D1369&lt;&gt;'Funnel setup'!$K$3&amp;'Funnel setup'!$K$4&amp;'Funnel setup'!$K$6,".",IF(A1368=".",1,A1368+1))</f>
        <v>.</v>
      </c>
      <c r="B1369" s="244" t="str">
        <f t="shared" si="21"/>
        <v>Hip Replacement RevisionProviderGORING HALL HOSPITAL (NT417)EQ VAS</v>
      </c>
      <c r="C1369" t="s">
        <v>967</v>
      </c>
      <c r="D1369" t="s">
        <v>965</v>
      </c>
      <c r="E1369" t="s">
        <v>258</v>
      </c>
      <c r="F1369" t="s">
        <v>259</v>
      </c>
      <c r="G1369" t="s">
        <v>752</v>
      </c>
      <c r="H1369">
        <v>1</v>
      </c>
      <c r="I1369">
        <v>55</v>
      </c>
      <c r="J1369">
        <v>20</v>
      </c>
      <c r="K1369">
        <v>-35</v>
      </c>
      <c r="L1369">
        <v>0</v>
      </c>
      <c r="M1369">
        <v>0</v>
      </c>
      <c r="N1369">
        <v>1</v>
      </c>
      <c r="O1369" t="s">
        <v>127</v>
      </c>
      <c r="P1369" t="s">
        <v>127</v>
      </c>
      <c r="Q1369" t="s">
        <v>127</v>
      </c>
    </row>
    <row r="1370" spans="1:17" x14ac:dyDescent="0.25">
      <c r="A1370" t="str">
        <f>IF(C1370&amp;G1370&amp;D1370&lt;&gt;'Funnel setup'!$K$3&amp;'Funnel setup'!$K$4&amp;'Funnel setup'!$K$6,".",IF(A1369=".",1,A1369+1))</f>
        <v>.</v>
      </c>
      <c r="B1370" s="244" t="str">
        <f t="shared" si="21"/>
        <v>Hip Replacement RevisionProviderGUY'S AND ST THOMAS' NHS FOUNDATION TRUST (RJ1)EQ VAS</v>
      </c>
      <c r="C1370" t="s">
        <v>967</v>
      </c>
      <c r="D1370" t="s">
        <v>965</v>
      </c>
      <c r="E1370" t="s">
        <v>262</v>
      </c>
      <c r="F1370" t="s">
        <v>263</v>
      </c>
      <c r="G1370" t="s">
        <v>752</v>
      </c>
      <c r="H1370">
        <v>12</v>
      </c>
      <c r="I1370">
        <v>56.75</v>
      </c>
      <c r="J1370">
        <v>53.5</v>
      </c>
      <c r="K1370">
        <v>-3.25</v>
      </c>
      <c r="L1370">
        <v>7</v>
      </c>
      <c r="M1370">
        <v>0</v>
      </c>
      <c r="N1370">
        <v>5</v>
      </c>
      <c r="O1370" t="s">
        <v>127</v>
      </c>
      <c r="P1370" t="s">
        <v>127</v>
      </c>
      <c r="Q1370" t="s">
        <v>127</v>
      </c>
    </row>
    <row r="1371" spans="1:17" x14ac:dyDescent="0.25">
      <c r="A1371" t="str">
        <f>IF(C1371&amp;G1371&amp;D1371&lt;&gt;'Funnel setup'!$K$3&amp;'Funnel setup'!$K$4&amp;'Funnel setup'!$K$6,".",IF(A1370=".",1,A1370+1))</f>
        <v>.</v>
      </c>
      <c r="B1371" s="244" t="str">
        <f t="shared" si="21"/>
        <v>Hip Replacement RevisionProviderHAMPSHIRE HOSPITALS NHS FOUNDATION TRUST (RN5)EQ VAS</v>
      </c>
      <c r="C1371" t="s">
        <v>967</v>
      </c>
      <c r="D1371" t="s">
        <v>965</v>
      </c>
      <c r="E1371" t="s">
        <v>266</v>
      </c>
      <c r="F1371" t="s">
        <v>267</v>
      </c>
      <c r="G1371" t="s">
        <v>752</v>
      </c>
      <c r="H1371">
        <v>1</v>
      </c>
      <c r="I1371">
        <v>50</v>
      </c>
      <c r="J1371">
        <v>50</v>
      </c>
      <c r="K1371">
        <v>0</v>
      </c>
      <c r="L1371">
        <v>0</v>
      </c>
      <c r="M1371">
        <v>1</v>
      </c>
      <c r="N1371">
        <v>0</v>
      </c>
      <c r="O1371" t="s">
        <v>127</v>
      </c>
      <c r="P1371" t="s">
        <v>127</v>
      </c>
      <c r="Q1371" t="s">
        <v>127</v>
      </c>
    </row>
    <row r="1372" spans="1:17" x14ac:dyDescent="0.25">
      <c r="A1372" t="str">
        <f>IF(C1372&amp;G1372&amp;D1372&lt;&gt;'Funnel setup'!$K$3&amp;'Funnel setup'!$K$4&amp;'Funnel setup'!$K$6,".",IF(A1371=".",1,A1371+1))</f>
        <v>.</v>
      </c>
      <c r="B1372" s="244" t="str">
        <f t="shared" si="21"/>
        <v>Hip Replacement RevisionProviderHARROGATE AND DISTRICT NHS FOUNDATION TRUST (RCD)EQ VAS</v>
      </c>
      <c r="C1372" t="s">
        <v>967</v>
      </c>
      <c r="D1372" t="s">
        <v>965</v>
      </c>
      <c r="E1372" t="s">
        <v>270</v>
      </c>
      <c r="F1372" t="s">
        <v>271</v>
      </c>
      <c r="G1372" t="s">
        <v>752</v>
      </c>
      <c r="H1372">
        <v>5</v>
      </c>
      <c r="I1372">
        <v>75</v>
      </c>
      <c r="J1372">
        <v>68</v>
      </c>
      <c r="K1372">
        <v>-7</v>
      </c>
      <c r="L1372">
        <v>1</v>
      </c>
      <c r="M1372">
        <v>1</v>
      </c>
      <c r="N1372">
        <v>3</v>
      </c>
      <c r="O1372" t="s">
        <v>127</v>
      </c>
      <c r="P1372" t="s">
        <v>127</v>
      </c>
      <c r="Q1372" t="s">
        <v>127</v>
      </c>
    </row>
    <row r="1373" spans="1:17" x14ac:dyDescent="0.25">
      <c r="A1373" t="str">
        <f>IF(C1373&amp;G1373&amp;D1373&lt;&gt;'Funnel setup'!$K$3&amp;'Funnel setup'!$K$4&amp;'Funnel setup'!$K$6,".",IF(A1372=".",1,A1372+1))</f>
        <v>.</v>
      </c>
      <c r="B1373" s="244" t="str">
        <f t="shared" si="21"/>
        <v>Hip Replacement RevisionProviderHULL UNIVERSITY TEACHING HOSPITALS NHS TRUST (RWA)EQ VAS</v>
      </c>
      <c r="C1373" t="s">
        <v>967</v>
      </c>
      <c r="D1373" t="s">
        <v>965</v>
      </c>
      <c r="E1373" t="s">
        <v>278</v>
      </c>
      <c r="F1373" t="s">
        <v>279</v>
      </c>
      <c r="G1373" t="s">
        <v>752</v>
      </c>
      <c r="H1373">
        <v>4</v>
      </c>
      <c r="I1373">
        <v>55.75</v>
      </c>
      <c r="J1373">
        <v>70</v>
      </c>
      <c r="K1373">
        <v>14.25</v>
      </c>
      <c r="L1373">
        <v>3</v>
      </c>
      <c r="M1373">
        <v>0</v>
      </c>
      <c r="N1373">
        <v>1</v>
      </c>
      <c r="O1373" t="s">
        <v>127</v>
      </c>
      <c r="P1373" t="s">
        <v>127</v>
      </c>
      <c r="Q1373" t="s">
        <v>127</v>
      </c>
    </row>
    <row r="1374" spans="1:17" x14ac:dyDescent="0.25">
      <c r="A1374" t="str">
        <f>IF(C1374&amp;G1374&amp;D1374&lt;&gt;'Funnel setup'!$K$3&amp;'Funnel setup'!$K$4&amp;'Funnel setup'!$K$6,".",IF(A1373=".",1,A1373+1))</f>
        <v>.</v>
      </c>
      <c r="B1374" s="244" t="str">
        <f t="shared" si="21"/>
        <v>Hip Replacement RevisionProviderIMPERIAL COLLEGE HEALTHCARE NHS TRUST (RYJ)EQ VAS</v>
      </c>
      <c r="C1374" t="s">
        <v>967</v>
      </c>
      <c r="D1374" t="s">
        <v>965</v>
      </c>
      <c r="E1374" t="s">
        <v>280</v>
      </c>
      <c r="F1374" t="s">
        <v>281</v>
      </c>
      <c r="G1374" t="s">
        <v>752</v>
      </c>
      <c r="H1374">
        <v>2</v>
      </c>
      <c r="I1374">
        <v>80</v>
      </c>
      <c r="J1374">
        <v>65</v>
      </c>
      <c r="K1374">
        <v>-15</v>
      </c>
      <c r="L1374">
        <v>0</v>
      </c>
      <c r="M1374">
        <v>1</v>
      </c>
      <c r="N1374">
        <v>1</v>
      </c>
      <c r="O1374" t="s">
        <v>127</v>
      </c>
      <c r="P1374" t="s">
        <v>127</v>
      </c>
      <c r="Q1374" t="s">
        <v>127</v>
      </c>
    </row>
    <row r="1375" spans="1:17" x14ac:dyDescent="0.25">
      <c r="A1375" t="str">
        <f>IF(C1375&amp;G1375&amp;D1375&lt;&gt;'Funnel setup'!$K$3&amp;'Funnel setup'!$K$4&amp;'Funnel setup'!$K$6,".",IF(A1374=".",1,A1374+1))</f>
        <v>.</v>
      </c>
      <c r="B1375" s="244" t="str">
        <f t="shared" si="21"/>
        <v>Hip Replacement RevisionProviderJAMES PAGET UNIVERSITY HOSPITALS NHS FOUNDATION TRUST (RGP)EQ VAS</v>
      </c>
      <c r="C1375" t="s">
        <v>967</v>
      </c>
      <c r="D1375" t="s">
        <v>965</v>
      </c>
      <c r="E1375" t="s">
        <v>284</v>
      </c>
      <c r="F1375" t="s">
        <v>285</v>
      </c>
      <c r="G1375" t="s">
        <v>752</v>
      </c>
      <c r="H1375">
        <v>1</v>
      </c>
      <c r="I1375">
        <v>40</v>
      </c>
      <c r="J1375">
        <v>65</v>
      </c>
      <c r="K1375">
        <v>25</v>
      </c>
      <c r="L1375">
        <v>1</v>
      </c>
      <c r="M1375">
        <v>0</v>
      </c>
      <c r="N1375">
        <v>0</v>
      </c>
      <c r="O1375" t="s">
        <v>127</v>
      </c>
      <c r="P1375" t="s">
        <v>127</v>
      </c>
      <c r="Q1375" t="s">
        <v>127</v>
      </c>
    </row>
    <row r="1376" spans="1:17" x14ac:dyDescent="0.25">
      <c r="A1376" t="str">
        <f>IF(C1376&amp;G1376&amp;D1376&lt;&gt;'Funnel setup'!$K$3&amp;'Funnel setup'!$K$4&amp;'Funnel setup'!$K$6,".",IF(A1375=".",1,A1375+1))</f>
        <v>.</v>
      </c>
      <c r="B1376" s="244" t="str">
        <f t="shared" si="21"/>
        <v>Hip Replacement RevisionProviderKETTERING GENERAL HOSPITAL NHS FOUNDATION TRUST (RNQ)EQ VAS</v>
      </c>
      <c r="C1376" t="s">
        <v>967</v>
      </c>
      <c r="D1376" t="s">
        <v>965</v>
      </c>
      <c r="E1376" t="s">
        <v>286</v>
      </c>
      <c r="F1376" t="s">
        <v>287</v>
      </c>
      <c r="G1376" t="s">
        <v>752</v>
      </c>
      <c r="H1376">
        <v>5</v>
      </c>
      <c r="I1376">
        <v>40.799999999999997</v>
      </c>
      <c r="J1376">
        <v>74</v>
      </c>
      <c r="K1376">
        <v>33.200000000000003</v>
      </c>
      <c r="L1376">
        <v>3</v>
      </c>
      <c r="M1376">
        <v>1</v>
      </c>
      <c r="N1376">
        <v>1</v>
      </c>
      <c r="O1376" t="s">
        <v>127</v>
      </c>
      <c r="P1376" t="s">
        <v>127</v>
      </c>
      <c r="Q1376" t="s">
        <v>127</v>
      </c>
    </row>
    <row r="1377" spans="1:17" x14ac:dyDescent="0.25">
      <c r="A1377" t="str">
        <f>IF(C1377&amp;G1377&amp;D1377&lt;&gt;'Funnel setup'!$K$3&amp;'Funnel setup'!$K$4&amp;'Funnel setup'!$K$6,".",IF(A1376=".",1,A1376+1))</f>
        <v>.</v>
      </c>
      <c r="B1377" s="244" t="str">
        <f t="shared" si="21"/>
        <v>Hip Replacement RevisionProviderKING'S COLLEGE HOSPITAL NHS FOUNDATION TRUST (RJZ)EQ VAS</v>
      </c>
      <c r="C1377" t="s">
        <v>967</v>
      </c>
      <c r="D1377" t="s">
        <v>965</v>
      </c>
      <c r="E1377" t="s">
        <v>290</v>
      </c>
      <c r="F1377" t="s">
        <v>291</v>
      </c>
      <c r="G1377" t="s">
        <v>752</v>
      </c>
      <c r="H1377">
        <v>1</v>
      </c>
      <c r="I1377">
        <v>59</v>
      </c>
      <c r="J1377">
        <v>79</v>
      </c>
      <c r="K1377">
        <v>20</v>
      </c>
      <c r="L1377">
        <v>1</v>
      </c>
      <c r="M1377">
        <v>0</v>
      </c>
      <c r="N1377">
        <v>0</v>
      </c>
      <c r="O1377" t="s">
        <v>127</v>
      </c>
      <c r="P1377" t="s">
        <v>127</v>
      </c>
      <c r="Q1377" t="s">
        <v>127</v>
      </c>
    </row>
    <row r="1378" spans="1:17" x14ac:dyDescent="0.25">
      <c r="A1378" t="str">
        <f>IF(C1378&amp;G1378&amp;D1378&lt;&gt;'Funnel setup'!$K$3&amp;'Funnel setup'!$K$4&amp;'Funnel setup'!$K$6,".",IF(A1377=".",1,A1377+1))</f>
        <v>.</v>
      </c>
      <c r="B1378" s="244" t="str">
        <f t="shared" si="21"/>
        <v>Hip Replacement RevisionProviderLANCASHIRE TEACHING HOSPITALS NHS FOUNDATION TRUST (RXN)EQ VAS</v>
      </c>
      <c r="C1378" t="s">
        <v>967</v>
      </c>
      <c r="D1378" t="s">
        <v>965</v>
      </c>
      <c r="E1378" t="s">
        <v>296</v>
      </c>
      <c r="F1378" t="s">
        <v>297</v>
      </c>
      <c r="G1378" t="s">
        <v>752</v>
      </c>
      <c r="H1378">
        <v>6</v>
      </c>
      <c r="I1378">
        <v>57.5</v>
      </c>
      <c r="J1378">
        <v>59.166699999999999</v>
      </c>
      <c r="K1378">
        <v>1.6666700000000001</v>
      </c>
      <c r="L1378">
        <v>4</v>
      </c>
      <c r="M1378">
        <v>0</v>
      </c>
      <c r="N1378">
        <v>2</v>
      </c>
      <c r="O1378" t="s">
        <v>127</v>
      </c>
      <c r="P1378" t="s">
        <v>127</v>
      </c>
      <c r="Q1378" t="s">
        <v>127</v>
      </c>
    </row>
    <row r="1379" spans="1:17" x14ac:dyDescent="0.25">
      <c r="A1379" t="str">
        <f>IF(C1379&amp;G1379&amp;D1379&lt;&gt;'Funnel setup'!$K$3&amp;'Funnel setup'!$K$4&amp;'Funnel setup'!$K$6,".",IF(A1378=".",1,A1378+1))</f>
        <v>.</v>
      </c>
      <c r="B1379" s="244" t="str">
        <f t="shared" si="21"/>
        <v>Hip Replacement RevisionProviderLEEDS TEACHING HOSPITALS NHS TRUST (RR8)EQ VAS</v>
      </c>
      <c r="C1379" t="s">
        <v>967</v>
      </c>
      <c r="D1379" t="s">
        <v>965</v>
      </c>
      <c r="E1379" t="s">
        <v>300</v>
      </c>
      <c r="F1379" t="s">
        <v>301</v>
      </c>
      <c r="G1379" t="s">
        <v>752</v>
      </c>
      <c r="H1379">
        <v>16</v>
      </c>
      <c r="I1379">
        <v>63</v>
      </c>
      <c r="J1379">
        <v>66.875</v>
      </c>
      <c r="K1379">
        <v>3.875</v>
      </c>
      <c r="L1379">
        <v>13</v>
      </c>
      <c r="M1379">
        <v>0</v>
      </c>
      <c r="N1379">
        <v>3</v>
      </c>
      <c r="O1379" t="s">
        <v>127</v>
      </c>
      <c r="P1379" t="s">
        <v>127</v>
      </c>
      <c r="Q1379" t="s">
        <v>127</v>
      </c>
    </row>
    <row r="1380" spans="1:17" x14ac:dyDescent="0.25">
      <c r="A1380" t="str">
        <f>IF(C1380&amp;G1380&amp;D1380&lt;&gt;'Funnel setup'!$K$3&amp;'Funnel setup'!$K$4&amp;'Funnel setup'!$K$6,".",IF(A1379=".",1,A1379+1))</f>
        <v>.</v>
      </c>
      <c r="B1380" s="244" t="str">
        <f t="shared" si="21"/>
        <v>Hip Replacement RevisionProviderLIVERPOOL UNIVERSITY HOSPITALS NHS FOUNDATION TRUST (REM)EQ VAS</v>
      </c>
      <c r="C1380" t="s">
        <v>967</v>
      </c>
      <c r="D1380" t="s">
        <v>965</v>
      </c>
      <c r="E1380" t="s">
        <v>306</v>
      </c>
      <c r="F1380" t="s">
        <v>307</v>
      </c>
      <c r="G1380" t="s">
        <v>752</v>
      </c>
      <c r="H1380">
        <v>8</v>
      </c>
      <c r="I1380">
        <v>66.25</v>
      </c>
      <c r="J1380">
        <v>62.125</v>
      </c>
      <c r="K1380">
        <v>-4.125</v>
      </c>
      <c r="L1380">
        <v>2</v>
      </c>
      <c r="M1380">
        <v>2</v>
      </c>
      <c r="N1380">
        <v>4</v>
      </c>
      <c r="O1380" t="s">
        <v>127</v>
      </c>
      <c r="P1380" t="s">
        <v>127</v>
      </c>
      <c r="Q1380" t="s">
        <v>127</v>
      </c>
    </row>
    <row r="1381" spans="1:17" x14ac:dyDescent="0.25">
      <c r="A1381" t="str">
        <f>IF(C1381&amp;G1381&amp;D1381&lt;&gt;'Funnel setup'!$K$3&amp;'Funnel setup'!$K$4&amp;'Funnel setup'!$K$6,".",IF(A1380=".",1,A1380+1))</f>
        <v>.</v>
      </c>
      <c r="B1381" s="244" t="str">
        <f t="shared" si="21"/>
        <v>Hip Replacement RevisionProviderMAIDSTONE AND TUNBRIDGE WELLS NHS TRUST (RWF)EQ VAS</v>
      </c>
      <c r="C1381" t="s">
        <v>967</v>
      </c>
      <c r="D1381" t="s">
        <v>965</v>
      </c>
      <c r="E1381" t="s">
        <v>312</v>
      </c>
      <c r="F1381" t="s">
        <v>313</v>
      </c>
      <c r="G1381" t="s">
        <v>752</v>
      </c>
      <c r="H1381">
        <v>4</v>
      </c>
      <c r="I1381">
        <v>53.5</v>
      </c>
      <c r="J1381">
        <v>68</v>
      </c>
      <c r="K1381">
        <v>14.5</v>
      </c>
      <c r="L1381">
        <v>3</v>
      </c>
      <c r="M1381">
        <v>0</v>
      </c>
      <c r="N1381">
        <v>1</v>
      </c>
      <c r="O1381" t="s">
        <v>127</v>
      </c>
      <c r="P1381" t="s">
        <v>127</v>
      </c>
      <c r="Q1381" t="s">
        <v>127</v>
      </c>
    </row>
    <row r="1382" spans="1:17" x14ac:dyDescent="0.25">
      <c r="A1382" t="str">
        <f>IF(C1382&amp;G1382&amp;D1382&lt;&gt;'Funnel setup'!$K$3&amp;'Funnel setup'!$K$4&amp;'Funnel setup'!$K$6,".",IF(A1381=".",1,A1381+1))</f>
        <v>.</v>
      </c>
      <c r="B1382" s="244" t="str">
        <f t="shared" si="21"/>
        <v>Hip Replacement RevisionProviderMANCHESTER UNIVERSITY NHS FOUNDATION TRUST (R0A)EQ VAS</v>
      </c>
      <c r="C1382" t="s">
        <v>967</v>
      </c>
      <c r="D1382" t="s">
        <v>965</v>
      </c>
      <c r="E1382" t="s">
        <v>316</v>
      </c>
      <c r="F1382" t="s">
        <v>317</v>
      </c>
      <c r="G1382" t="s">
        <v>752</v>
      </c>
      <c r="H1382">
        <v>2</v>
      </c>
      <c r="I1382">
        <v>77.5</v>
      </c>
      <c r="J1382">
        <v>57.5</v>
      </c>
      <c r="K1382">
        <v>-20</v>
      </c>
      <c r="L1382">
        <v>0</v>
      </c>
      <c r="M1382">
        <v>0</v>
      </c>
      <c r="N1382">
        <v>2</v>
      </c>
      <c r="O1382" t="s">
        <v>127</v>
      </c>
      <c r="P1382" t="s">
        <v>127</v>
      </c>
      <c r="Q1382" t="s">
        <v>127</v>
      </c>
    </row>
    <row r="1383" spans="1:17" x14ac:dyDescent="0.25">
      <c r="A1383" t="str">
        <f>IF(C1383&amp;G1383&amp;D1383&lt;&gt;'Funnel setup'!$K$3&amp;'Funnel setup'!$K$4&amp;'Funnel setup'!$K$6,".",IF(A1382=".",1,A1382+1))</f>
        <v>.</v>
      </c>
      <c r="B1383" s="244" t="str">
        <f t="shared" si="21"/>
        <v>Hip Replacement RevisionProviderMEDWAY NHS FOUNDATION TRUST (RPA)EQ VAS</v>
      </c>
      <c r="C1383" t="s">
        <v>967</v>
      </c>
      <c r="D1383" t="s">
        <v>965</v>
      </c>
      <c r="E1383" t="s">
        <v>320</v>
      </c>
      <c r="F1383" t="s">
        <v>321</v>
      </c>
      <c r="G1383" t="s">
        <v>752</v>
      </c>
      <c r="H1383">
        <v>1</v>
      </c>
      <c r="I1383">
        <v>90</v>
      </c>
      <c r="J1383">
        <v>90</v>
      </c>
      <c r="K1383">
        <v>0</v>
      </c>
      <c r="L1383">
        <v>0</v>
      </c>
      <c r="M1383">
        <v>1</v>
      </c>
      <c r="N1383">
        <v>0</v>
      </c>
      <c r="O1383" t="s">
        <v>127</v>
      </c>
      <c r="P1383" t="s">
        <v>127</v>
      </c>
      <c r="Q1383" t="s">
        <v>127</v>
      </c>
    </row>
    <row r="1384" spans="1:17" x14ac:dyDescent="0.25">
      <c r="A1384" t="str">
        <f>IF(C1384&amp;G1384&amp;D1384&lt;&gt;'Funnel setup'!$K$3&amp;'Funnel setup'!$K$4&amp;'Funnel setup'!$K$6,".",IF(A1383=".",1,A1383+1))</f>
        <v>.</v>
      </c>
      <c r="B1384" s="244" t="str">
        <f t="shared" si="21"/>
        <v>Hip Replacement RevisionProviderMID AND SOUTH ESSEX NHS FOUNDATION TRUST (RAJ)EQ VAS</v>
      </c>
      <c r="C1384" t="s">
        <v>967</v>
      </c>
      <c r="D1384" t="s">
        <v>965</v>
      </c>
      <c r="E1384" t="s">
        <v>324</v>
      </c>
      <c r="F1384" t="s">
        <v>325</v>
      </c>
      <c r="G1384" t="s">
        <v>752</v>
      </c>
      <c r="H1384">
        <v>4</v>
      </c>
      <c r="I1384">
        <v>38.75</v>
      </c>
      <c r="J1384">
        <v>71.25</v>
      </c>
      <c r="K1384">
        <v>32.5</v>
      </c>
      <c r="L1384">
        <v>4</v>
      </c>
      <c r="M1384">
        <v>0</v>
      </c>
      <c r="N1384">
        <v>0</v>
      </c>
      <c r="O1384" t="s">
        <v>127</v>
      </c>
      <c r="P1384" t="s">
        <v>127</v>
      </c>
      <c r="Q1384" t="s">
        <v>127</v>
      </c>
    </row>
    <row r="1385" spans="1:17" x14ac:dyDescent="0.25">
      <c r="A1385" t="str">
        <f>IF(C1385&amp;G1385&amp;D1385&lt;&gt;'Funnel setup'!$K$3&amp;'Funnel setup'!$K$4&amp;'Funnel setup'!$K$6,".",IF(A1384=".",1,A1384+1))</f>
        <v>.</v>
      </c>
      <c r="B1385" s="244" t="str">
        <f t="shared" si="21"/>
        <v>Hip Replacement RevisionProviderMID CHESHIRE HOSPITALS NHS FOUNDATION TRUST (RBT)EQ VAS</v>
      </c>
      <c r="C1385" t="s">
        <v>967</v>
      </c>
      <c r="D1385" t="s">
        <v>965</v>
      </c>
      <c r="E1385" t="s">
        <v>326</v>
      </c>
      <c r="F1385" t="s">
        <v>327</v>
      </c>
      <c r="G1385" t="s">
        <v>752</v>
      </c>
      <c r="H1385">
        <v>3</v>
      </c>
      <c r="I1385">
        <v>64</v>
      </c>
      <c r="J1385">
        <v>80.333299999999994</v>
      </c>
      <c r="K1385">
        <v>16.333300000000001</v>
      </c>
      <c r="L1385">
        <v>2</v>
      </c>
      <c r="M1385">
        <v>0</v>
      </c>
      <c r="N1385">
        <v>1</v>
      </c>
      <c r="O1385" t="s">
        <v>127</v>
      </c>
      <c r="P1385" t="s">
        <v>127</v>
      </c>
      <c r="Q1385" t="s">
        <v>127</v>
      </c>
    </row>
    <row r="1386" spans="1:17" x14ac:dyDescent="0.25">
      <c r="A1386" t="str">
        <f>IF(C1386&amp;G1386&amp;D1386&lt;&gt;'Funnel setup'!$K$3&amp;'Funnel setup'!$K$4&amp;'Funnel setup'!$K$6,".",IF(A1385=".",1,A1385+1))</f>
        <v>.</v>
      </c>
      <c r="B1386" s="244" t="str">
        <f t="shared" si="21"/>
        <v>Hip Replacement RevisionProviderMID YORKSHIRE TEACHING NHS TRUST (RXF)EQ VAS</v>
      </c>
      <c r="C1386" t="s">
        <v>967</v>
      </c>
      <c r="D1386" t="s">
        <v>965</v>
      </c>
      <c r="E1386" t="s">
        <v>330</v>
      </c>
      <c r="F1386" t="s">
        <v>331</v>
      </c>
      <c r="G1386" t="s">
        <v>752</v>
      </c>
      <c r="H1386">
        <v>14</v>
      </c>
      <c r="I1386">
        <v>55.214300000000001</v>
      </c>
      <c r="J1386">
        <v>69.857100000000003</v>
      </c>
      <c r="K1386">
        <v>14.642899999999999</v>
      </c>
      <c r="L1386">
        <v>7</v>
      </c>
      <c r="M1386">
        <v>2</v>
      </c>
      <c r="N1386">
        <v>5</v>
      </c>
      <c r="O1386" t="s">
        <v>127</v>
      </c>
      <c r="P1386" t="s">
        <v>127</v>
      </c>
      <c r="Q1386" t="s">
        <v>127</v>
      </c>
    </row>
    <row r="1387" spans="1:17" x14ac:dyDescent="0.25">
      <c r="A1387" t="str">
        <f>IF(C1387&amp;G1387&amp;D1387&lt;&gt;'Funnel setup'!$K$3&amp;'Funnel setup'!$K$4&amp;'Funnel setup'!$K$6,".",IF(A1386=".",1,A1386+1))</f>
        <v>.</v>
      </c>
      <c r="B1387" s="244" t="str">
        <f t="shared" si="21"/>
        <v>Hip Replacement RevisionProviderMILTON KEYNES UNIVERSITY HOSPITAL NHS FOUNDATION TRUST (RD8)EQ VAS</v>
      </c>
      <c r="C1387" t="s">
        <v>967</v>
      </c>
      <c r="D1387" t="s">
        <v>965</v>
      </c>
      <c r="E1387" t="s">
        <v>332</v>
      </c>
      <c r="F1387" t="s">
        <v>333</v>
      </c>
      <c r="G1387" t="s">
        <v>752</v>
      </c>
      <c r="H1387" t="s">
        <v>127</v>
      </c>
      <c r="I1387" t="s">
        <v>127</v>
      </c>
      <c r="J1387" t="s">
        <v>127</v>
      </c>
      <c r="K1387" t="s">
        <v>127</v>
      </c>
      <c r="L1387" t="s">
        <v>127</v>
      </c>
      <c r="M1387" t="s">
        <v>127</v>
      </c>
      <c r="N1387" t="s">
        <v>127</v>
      </c>
      <c r="O1387" t="s">
        <v>127</v>
      </c>
      <c r="P1387" t="s">
        <v>127</v>
      </c>
      <c r="Q1387" t="s">
        <v>127</v>
      </c>
    </row>
    <row r="1388" spans="1:17" x14ac:dyDescent="0.25">
      <c r="A1388" t="str">
        <f>IF(C1388&amp;G1388&amp;D1388&lt;&gt;'Funnel setup'!$K$3&amp;'Funnel setup'!$K$4&amp;'Funnel setup'!$K$6,".",IF(A1387=".",1,A1387+1))</f>
        <v>.</v>
      </c>
      <c r="B1388" s="244" t="str">
        <f t="shared" si="21"/>
        <v>Hip Replacement RevisionProviderNEW HALL HOSPITAL (NVC09)EQ VAS</v>
      </c>
      <c r="C1388" t="s">
        <v>967</v>
      </c>
      <c r="D1388" t="s">
        <v>965</v>
      </c>
      <c r="E1388" t="s">
        <v>338</v>
      </c>
      <c r="F1388" t="s">
        <v>339</v>
      </c>
      <c r="G1388" t="s">
        <v>752</v>
      </c>
      <c r="H1388" t="s">
        <v>127</v>
      </c>
      <c r="I1388" t="s">
        <v>127</v>
      </c>
      <c r="J1388" t="s">
        <v>127</v>
      </c>
      <c r="K1388" t="s">
        <v>127</v>
      </c>
      <c r="L1388" t="s">
        <v>127</v>
      </c>
      <c r="M1388" t="s">
        <v>127</v>
      </c>
      <c r="N1388" t="s">
        <v>127</v>
      </c>
      <c r="O1388" t="s">
        <v>127</v>
      </c>
      <c r="P1388" t="s">
        <v>127</v>
      </c>
      <c r="Q1388" t="s">
        <v>127</v>
      </c>
    </row>
    <row r="1389" spans="1:17" x14ac:dyDescent="0.25">
      <c r="A1389" t="str">
        <f>IF(C1389&amp;G1389&amp;D1389&lt;&gt;'Funnel setup'!$K$3&amp;'Funnel setup'!$K$4&amp;'Funnel setup'!$K$6,".",IF(A1388=".",1,A1388+1))</f>
        <v>.</v>
      </c>
      <c r="B1389" s="244" t="str">
        <f t="shared" si="21"/>
        <v>Hip Replacement RevisionProviderNORFOLK AND NORWICH UNIVERSITY HOSPITALS NHS FOUNDATION TRUST (RM1)EQ VAS</v>
      </c>
      <c r="C1389" t="s">
        <v>967</v>
      </c>
      <c r="D1389" t="s">
        <v>965</v>
      </c>
      <c r="E1389" t="s">
        <v>340</v>
      </c>
      <c r="F1389" t="s">
        <v>341</v>
      </c>
      <c r="G1389" t="s">
        <v>752</v>
      </c>
      <c r="H1389">
        <v>19</v>
      </c>
      <c r="I1389">
        <v>62.789499999999997</v>
      </c>
      <c r="J1389">
        <v>75.315799999999996</v>
      </c>
      <c r="K1389">
        <v>12.526300000000001</v>
      </c>
      <c r="L1389">
        <v>13</v>
      </c>
      <c r="M1389">
        <v>0</v>
      </c>
      <c r="N1389">
        <v>6</v>
      </c>
      <c r="O1389" t="s">
        <v>127</v>
      </c>
      <c r="P1389" t="s">
        <v>127</v>
      </c>
      <c r="Q1389" t="s">
        <v>127</v>
      </c>
    </row>
    <row r="1390" spans="1:17" x14ac:dyDescent="0.25">
      <c r="A1390" t="str">
        <f>IF(C1390&amp;G1390&amp;D1390&lt;&gt;'Funnel setup'!$K$3&amp;'Funnel setup'!$K$4&amp;'Funnel setup'!$K$6,".",IF(A1389=".",1,A1389+1))</f>
        <v>.</v>
      </c>
      <c r="B1390" s="244" t="str">
        <f t="shared" si="21"/>
        <v>Hip Replacement RevisionProviderNORTH BRISTOL NHS TRUST (RVJ)EQ VAS</v>
      </c>
      <c r="C1390" t="s">
        <v>967</v>
      </c>
      <c r="D1390" t="s">
        <v>965</v>
      </c>
      <c r="E1390" t="s">
        <v>342</v>
      </c>
      <c r="F1390" t="s">
        <v>343</v>
      </c>
      <c r="G1390" t="s">
        <v>752</v>
      </c>
      <c r="H1390">
        <v>3</v>
      </c>
      <c r="I1390">
        <v>67.666700000000006</v>
      </c>
      <c r="J1390">
        <v>57.333300000000001</v>
      </c>
      <c r="K1390">
        <v>-10.333299999999999</v>
      </c>
      <c r="L1390">
        <v>2</v>
      </c>
      <c r="M1390">
        <v>0</v>
      </c>
      <c r="N1390">
        <v>1</v>
      </c>
      <c r="O1390" t="s">
        <v>127</v>
      </c>
      <c r="P1390" t="s">
        <v>127</v>
      </c>
      <c r="Q1390" t="s">
        <v>127</v>
      </c>
    </row>
    <row r="1391" spans="1:17" x14ac:dyDescent="0.25">
      <c r="A1391" t="str">
        <f>IF(C1391&amp;G1391&amp;D1391&lt;&gt;'Funnel setup'!$K$3&amp;'Funnel setup'!$K$4&amp;'Funnel setup'!$K$6,".",IF(A1390=".",1,A1390+1))</f>
        <v>.</v>
      </c>
      <c r="B1391" s="244" t="str">
        <f t="shared" si="21"/>
        <v>Hip Replacement RevisionProviderNORTH CUMBRIA INTEGRATED CARE NHS FOUNDATION TRUST (RNN)EQ VAS</v>
      </c>
      <c r="C1391" t="s">
        <v>967</v>
      </c>
      <c r="D1391" t="s">
        <v>965</v>
      </c>
      <c r="E1391" t="s">
        <v>344</v>
      </c>
      <c r="F1391" t="s">
        <v>345</v>
      </c>
      <c r="G1391" t="s">
        <v>752</v>
      </c>
      <c r="H1391">
        <v>6</v>
      </c>
      <c r="I1391">
        <v>74.333299999999994</v>
      </c>
      <c r="J1391">
        <v>75.666700000000006</v>
      </c>
      <c r="K1391">
        <v>1.3333299999999999</v>
      </c>
      <c r="L1391">
        <v>3</v>
      </c>
      <c r="M1391">
        <v>0</v>
      </c>
      <c r="N1391">
        <v>3</v>
      </c>
      <c r="O1391" t="s">
        <v>127</v>
      </c>
      <c r="P1391" t="s">
        <v>127</v>
      </c>
      <c r="Q1391" t="s">
        <v>127</v>
      </c>
    </row>
    <row r="1392" spans="1:17" x14ac:dyDescent="0.25">
      <c r="A1392" t="str">
        <f>IF(C1392&amp;G1392&amp;D1392&lt;&gt;'Funnel setup'!$K$3&amp;'Funnel setup'!$K$4&amp;'Funnel setup'!$K$6,".",IF(A1391=".",1,A1391+1))</f>
        <v>.</v>
      </c>
      <c r="B1392" s="244" t="str">
        <f t="shared" si="21"/>
        <v>Hip Replacement RevisionProviderNORTH DOWNS HOSPITAL (NVC11)EQ VAS</v>
      </c>
      <c r="C1392" t="s">
        <v>967</v>
      </c>
      <c r="D1392" t="s">
        <v>965</v>
      </c>
      <c r="E1392" t="s">
        <v>348</v>
      </c>
      <c r="F1392" t="s">
        <v>349</v>
      </c>
      <c r="G1392" t="s">
        <v>752</v>
      </c>
      <c r="H1392" t="s">
        <v>127</v>
      </c>
      <c r="I1392" t="s">
        <v>127</v>
      </c>
      <c r="J1392" t="s">
        <v>127</v>
      </c>
      <c r="K1392" t="s">
        <v>127</v>
      </c>
      <c r="L1392" t="s">
        <v>127</v>
      </c>
      <c r="M1392" t="s">
        <v>127</v>
      </c>
      <c r="N1392" t="s">
        <v>127</v>
      </c>
      <c r="O1392" t="s">
        <v>127</v>
      </c>
      <c r="P1392" t="s">
        <v>127</v>
      </c>
      <c r="Q1392" t="s">
        <v>127</v>
      </c>
    </row>
    <row r="1393" spans="1:17" x14ac:dyDescent="0.25">
      <c r="A1393" t="str">
        <f>IF(C1393&amp;G1393&amp;D1393&lt;&gt;'Funnel setup'!$K$3&amp;'Funnel setup'!$K$4&amp;'Funnel setup'!$K$6,".",IF(A1392=".",1,A1392+1))</f>
        <v>.</v>
      </c>
      <c r="B1393" s="244" t="str">
        <f t="shared" si="21"/>
        <v>Hip Replacement RevisionProviderNORTH TEES AND HARTLEPOOL NHS FOUNDATION TRUST (RVW)EQ VAS</v>
      </c>
      <c r="C1393" t="s">
        <v>967</v>
      </c>
      <c r="D1393" t="s">
        <v>965</v>
      </c>
      <c r="E1393" t="s">
        <v>352</v>
      </c>
      <c r="F1393" t="s">
        <v>353</v>
      </c>
      <c r="G1393" t="s">
        <v>752</v>
      </c>
      <c r="H1393">
        <v>7</v>
      </c>
      <c r="I1393">
        <v>55</v>
      </c>
      <c r="J1393">
        <v>58.142899999999997</v>
      </c>
      <c r="K1393">
        <v>3.1428600000000002</v>
      </c>
      <c r="L1393">
        <v>4</v>
      </c>
      <c r="M1393">
        <v>0</v>
      </c>
      <c r="N1393">
        <v>3</v>
      </c>
      <c r="O1393" t="s">
        <v>127</v>
      </c>
      <c r="P1393" t="s">
        <v>127</v>
      </c>
      <c r="Q1393" t="s">
        <v>127</v>
      </c>
    </row>
    <row r="1394" spans="1:17" x14ac:dyDescent="0.25">
      <c r="A1394" t="str">
        <f>IF(C1394&amp;G1394&amp;D1394&lt;&gt;'Funnel setup'!$K$3&amp;'Funnel setup'!$K$4&amp;'Funnel setup'!$K$6,".",IF(A1393=".",1,A1393+1))</f>
        <v>.</v>
      </c>
      <c r="B1394" s="244" t="str">
        <f t="shared" si="21"/>
        <v>Hip Replacement RevisionProviderNORTH WEST ANGLIA NHS FOUNDATION TRUST (RGN)EQ VAS</v>
      </c>
      <c r="C1394" t="s">
        <v>967</v>
      </c>
      <c r="D1394" t="s">
        <v>965</v>
      </c>
      <c r="E1394" t="s">
        <v>354</v>
      </c>
      <c r="F1394" t="s">
        <v>355</v>
      </c>
      <c r="G1394" t="s">
        <v>752</v>
      </c>
      <c r="H1394">
        <v>2</v>
      </c>
      <c r="I1394">
        <v>65.5</v>
      </c>
      <c r="J1394">
        <v>50</v>
      </c>
      <c r="K1394">
        <v>-15.5</v>
      </c>
      <c r="L1394">
        <v>1</v>
      </c>
      <c r="M1394">
        <v>0</v>
      </c>
      <c r="N1394">
        <v>1</v>
      </c>
      <c r="O1394" t="s">
        <v>127</v>
      </c>
      <c r="P1394" t="s">
        <v>127</v>
      </c>
      <c r="Q1394" t="s">
        <v>127</v>
      </c>
    </row>
    <row r="1395" spans="1:17" x14ac:dyDescent="0.25">
      <c r="A1395" t="str">
        <f>IF(C1395&amp;G1395&amp;D1395&lt;&gt;'Funnel setup'!$K$3&amp;'Funnel setup'!$K$4&amp;'Funnel setup'!$K$6,".",IF(A1394=".",1,A1394+1))</f>
        <v>.</v>
      </c>
      <c r="B1395" s="244" t="str">
        <f t="shared" si="21"/>
        <v>Hip Replacement RevisionProviderNORTHAMPTON GENERAL HOSPITAL NHS TRUST (RNS)EQ VAS</v>
      </c>
      <c r="C1395" t="s">
        <v>967</v>
      </c>
      <c r="D1395" t="s">
        <v>965</v>
      </c>
      <c r="E1395" t="s">
        <v>356</v>
      </c>
      <c r="F1395" t="s">
        <v>357</v>
      </c>
      <c r="G1395" t="s">
        <v>752</v>
      </c>
      <c r="H1395">
        <v>4</v>
      </c>
      <c r="I1395">
        <v>62.5</v>
      </c>
      <c r="J1395">
        <v>82.5</v>
      </c>
      <c r="K1395">
        <v>20</v>
      </c>
      <c r="L1395">
        <v>4</v>
      </c>
      <c r="M1395">
        <v>0</v>
      </c>
      <c r="N1395">
        <v>0</v>
      </c>
      <c r="O1395" t="s">
        <v>127</v>
      </c>
      <c r="P1395" t="s">
        <v>127</v>
      </c>
      <c r="Q1395" t="s">
        <v>127</v>
      </c>
    </row>
    <row r="1396" spans="1:17" x14ac:dyDescent="0.25">
      <c r="A1396" t="str">
        <f>IF(C1396&amp;G1396&amp;D1396&lt;&gt;'Funnel setup'!$K$3&amp;'Funnel setup'!$K$4&amp;'Funnel setup'!$K$6,".",IF(A1395=".",1,A1395+1))</f>
        <v>.</v>
      </c>
      <c r="B1396" s="244" t="str">
        <f t="shared" si="21"/>
        <v>Hip Replacement RevisionProviderNORTHERN DEVON HEALTHCARE NHS TRUST (RBZ)EQ VAS</v>
      </c>
      <c r="C1396" t="s">
        <v>967</v>
      </c>
      <c r="D1396" t="s">
        <v>965</v>
      </c>
      <c r="E1396" t="s">
        <v>360</v>
      </c>
      <c r="F1396" t="s">
        <v>361</v>
      </c>
      <c r="G1396" t="s">
        <v>752</v>
      </c>
      <c r="H1396">
        <v>2</v>
      </c>
      <c r="I1396">
        <v>75</v>
      </c>
      <c r="J1396">
        <v>92.5</v>
      </c>
      <c r="K1396">
        <v>17.5</v>
      </c>
      <c r="L1396">
        <v>2</v>
      </c>
      <c r="M1396">
        <v>0</v>
      </c>
      <c r="N1396">
        <v>0</v>
      </c>
      <c r="O1396" t="s">
        <v>127</v>
      </c>
      <c r="P1396" t="s">
        <v>127</v>
      </c>
      <c r="Q1396" t="s">
        <v>127</v>
      </c>
    </row>
    <row r="1397" spans="1:17" x14ac:dyDescent="0.25">
      <c r="A1397" t="str">
        <f>IF(C1397&amp;G1397&amp;D1397&lt;&gt;'Funnel setup'!$K$3&amp;'Funnel setup'!$K$4&amp;'Funnel setup'!$K$6,".",IF(A1396=".",1,A1396+1))</f>
        <v>.</v>
      </c>
      <c r="B1397" s="244" t="str">
        <f t="shared" si="21"/>
        <v>Hip Replacement RevisionProviderNORTHUMBRIA HEALTHCARE NHS FOUNDATION TRUST (RTF)EQ VAS</v>
      </c>
      <c r="C1397" t="s">
        <v>967</v>
      </c>
      <c r="D1397" t="s">
        <v>965</v>
      </c>
      <c r="E1397" t="s">
        <v>364</v>
      </c>
      <c r="F1397" t="s">
        <v>365</v>
      </c>
      <c r="G1397" t="s">
        <v>752</v>
      </c>
      <c r="H1397">
        <v>7</v>
      </c>
      <c r="I1397">
        <v>65.857100000000003</v>
      </c>
      <c r="J1397">
        <v>74.285700000000006</v>
      </c>
      <c r="K1397">
        <v>8.4285700000000006</v>
      </c>
      <c r="L1397">
        <v>3</v>
      </c>
      <c r="M1397">
        <v>2</v>
      </c>
      <c r="N1397">
        <v>2</v>
      </c>
      <c r="O1397" t="s">
        <v>127</v>
      </c>
      <c r="P1397" t="s">
        <v>127</v>
      </c>
      <c r="Q1397" t="s">
        <v>127</v>
      </c>
    </row>
    <row r="1398" spans="1:17" x14ac:dyDescent="0.25">
      <c r="A1398" t="str">
        <f>IF(C1398&amp;G1398&amp;D1398&lt;&gt;'Funnel setup'!$K$3&amp;'Funnel setup'!$K$4&amp;'Funnel setup'!$K$6,".",IF(A1397=".",1,A1397+1))</f>
        <v>.</v>
      </c>
      <c r="B1398" s="244" t="str">
        <f t="shared" si="21"/>
        <v>Hip Replacement RevisionProviderNUFFIELD HEALTH, PLYMOUTH HOSPITAL (NT233)EQ VAS</v>
      </c>
      <c r="C1398" t="s">
        <v>967</v>
      </c>
      <c r="D1398" t="s">
        <v>965</v>
      </c>
      <c r="E1398" t="s">
        <v>400</v>
      </c>
      <c r="F1398" t="s">
        <v>401</v>
      </c>
      <c r="G1398" t="s">
        <v>752</v>
      </c>
      <c r="H1398" t="s">
        <v>127</v>
      </c>
      <c r="I1398" t="s">
        <v>127</v>
      </c>
      <c r="J1398" t="s">
        <v>127</v>
      </c>
      <c r="K1398" t="s">
        <v>127</v>
      </c>
      <c r="L1398" t="s">
        <v>127</v>
      </c>
      <c r="M1398" t="s">
        <v>127</v>
      </c>
      <c r="N1398" t="s">
        <v>127</v>
      </c>
      <c r="O1398" t="s">
        <v>127</v>
      </c>
      <c r="P1398" t="s">
        <v>127</v>
      </c>
      <c r="Q1398" t="s">
        <v>127</v>
      </c>
    </row>
    <row r="1399" spans="1:17" x14ac:dyDescent="0.25">
      <c r="A1399" t="str">
        <f>IF(C1399&amp;G1399&amp;D1399&lt;&gt;'Funnel setup'!$K$3&amp;'Funnel setup'!$K$4&amp;'Funnel setup'!$K$6,".",IF(A1398=".",1,A1398+1))</f>
        <v>.</v>
      </c>
      <c r="B1399" s="244" t="str">
        <f t="shared" si="21"/>
        <v>Hip Replacement RevisionProviderNUFFIELD HEALTH, TEES HOSPITAL (NT237)EQ VAS</v>
      </c>
      <c r="C1399" t="s">
        <v>967</v>
      </c>
      <c r="D1399" t="s">
        <v>965</v>
      </c>
      <c r="E1399" t="s">
        <v>406</v>
      </c>
      <c r="F1399" t="s">
        <v>407</v>
      </c>
      <c r="G1399" t="s">
        <v>752</v>
      </c>
      <c r="H1399">
        <v>3</v>
      </c>
      <c r="I1399">
        <v>60</v>
      </c>
      <c r="J1399">
        <v>37.666699999999999</v>
      </c>
      <c r="K1399">
        <v>-22.333300000000001</v>
      </c>
      <c r="L1399">
        <v>0</v>
      </c>
      <c r="M1399">
        <v>1</v>
      </c>
      <c r="N1399">
        <v>2</v>
      </c>
      <c r="O1399" t="s">
        <v>127</v>
      </c>
      <c r="P1399" t="s">
        <v>127</v>
      </c>
      <c r="Q1399" t="s">
        <v>127</v>
      </c>
    </row>
    <row r="1400" spans="1:17" x14ac:dyDescent="0.25">
      <c r="A1400" t="str">
        <f>IF(C1400&amp;G1400&amp;D1400&lt;&gt;'Funnel setup'!$K$3&amp;'Funnel setup'!$K$4&amp;'Funnel setup'!$K$6,".",IF(A1399=".",1,A1399+1))</f>
        <v>.</v>
      </c>
      <c r="B1400" s="244" t="str">
        <f t="shared" si="21"/>
        <v>Hip Replacement RevisionProviderNUFFIELD HEALTH, YORK HOSPITAL (NT245)EQ VAS</v>
      </c>
      <c r="C1400" t="s">
        <v>967</v>
      </c>
      <c r="D1400" t="s">
        <v>965</v>
      </c>
      <c r="E1400" t="s">
        <v>420</v>
      </c>
      <c r="F1400" t="s">
        <v>421</v>
      </c>
      <c r="G1400" t="s">
        <v>752</v>
      </c>
      <c r="H1400" t="s">
        <v>127</v>
      </c>
      <c r="I1400" t="s">
        <v>127</v>
      </c>
      <c r="J1400" t="s">
        <v>127</v>
      </c>
      <c r="K1400" t="s">
        <v>127</v>
      </c>
      <c r="L1400" t="s">
        <v>127</v>
      </c>
      <c r="M1400" t="s">
        <v>127</v>
      </c>
      <c r="N1400" t="s">
        <v>127</v>
      </c>
      <c r="O1400" t="s">
        <v>127</v>
      </c>
      <c r="P1400" t="s">
        <v>127</v>
      </c>
      <c r="Q1400" t="s">
        <v>127</v>
      </c>
    </row>
    <row r="1401" spans="1:17" x14ac:dyDescent="0.25">
      <c r="A1401" t="str">
        <f>IF(C1401&amp;G1401&amp;D1401&lt;&gt;'Funnel setup'!$K$3&amp;'Funnel setup'!$K$4&amp;'Funnel setup'!$K$6,".",IF(A1400=".",1,A1400+1))</f>
        <v>.</v>
      </c>
      <c r="B1401" s="244" t="str">
        <f t="shared" si="21"/>
        <v>Hip Replacement RevisionProviderOXFORD UNIVERSITY HOSPITALS NHS FOUNDATION TRUST (RTH)EQ VAS</v>
      </c>
      <c r="C1401" t="s">
        <v>967</v>
      </c>
      <c r="D1401" t="s">
        <v>965</v>
      </c>
      <c r="E1401" t="s">
        <v>438</v>
      </c>
      <c r="F1401" t="s">
        <v>439</v>
      </c>
      <c r="G1401" t="s">
        <v>752</v>
      </c>
      <c r="H1401">
        <v>40</v>
      </c>
      <c r="I1401">
        <v>58.325000000000003</v>
      </c>
      <c r="J1401">
        <v>67.25</v>
      </c>
      <c r="K1401">
        <v>8.9250000000000007</v>
      </c>
      <c r="L1401">
        <v>24</v>
      </c>
      <c r="M1401">
        <v>1</v>
      </c>
      <c r="N1401">
        <v>15</v>
      </c>
      <c r="O1401">
        <v>68.453299999999999</v>
      </c>
      <c r="P1401">
        <v>7.5230300000000003</v>
      </c>
      <c r="Q1401">
        <v>18.210799999999999</v>
      </c>
    </row>
    <row r="1402" spans="1:17" x14ac:dyDescent="0.25">
      <c r="A1402" t="str">
        <f>IF(C1402&amp;G1402&amp;D1402&lt;&gt;'Funnel setup'!$K$3&amp;'Funnel setup'!$K$4&amp;'Funnel setup'!$K$6,".",IF(A1401=".",1,A1401+1))</f>
        <v>.</v>
      </c>
      <c r="B1402" s="244" t="str">
        <f t="shared" si="21"/>
        <v>Hip Replacement RevisionProviderPRACTICE PLUS GROUP HOSPITAL - BARLBOROUGH (NTP13)EQ VAS</v>
      </c>
      <c r="C1402" t="s">
        <v>967</v>
      </c>
      <c r="D1402" t="s">
        <v>965</v>
      </c>
      <c r="E1402" t="s">
        <v>452</v>
      </c>
      <c r="F1402" t="s">
        <v>453</v>
      </c>
      <c r="G1402" t="s">
        <v>752</v>
      </c>
      <c r="H1402">
        <v>5</v>
      </c>
      <c r="I1402">
        <v>64.599999999999994</v>
      </c>
      <c r="J1402">
        <v>62.6</v>
      </c>
      <c r="K1402">
        <v>-2</v>
      </c>
      <c r="L1402">
        <v>2</v>
      </c>
      <c r="M1402">
        <v>1</v>
      </c>
      <c r="N1402">
        <v>2</v>
      </c>
      <c r="O1402" t="s">
        <v>127</v>
      </c>
      <c r="P1402" t="s">
        <v>127</v>
      </c>
      <c r="Q1402" t="s">
        <v>127</v>
      </c>
    </row>
    <row r="1403" spans="1:17" x14ac:dyDescent="0.25">
      <c r="A1403" t="str">
        <f>IF(C1403&amp;G1403&amp;D1403&lt;&gt;'Funnel setup'!$K$3&amp;'Funnel setup'!$K$4&amp;'Funnel setup'!$K$6,".",IF(A1402=".",1,A1402+1))</f>
        <v>.</v>
      </c>
      <c r="B1403" s="244" t="str">
        <f t="shared" si="21"/>
        <v>Hip Replacement RevisionProviderPRACTICE PLUS GROUP HOSPITAL - PLYMOUTH (NTPH5)EQ VAS</v>
      </c>
      <c r="C1403" t="s">
        <v>967</v>
      </c>
      <c r="D1403" t="s">
        <v>965</v>
      </c>
      <c r="E1403" t="s">
        <v>458</v>
      </c>
      <c r="F1403" t="s">
        <v>459</v>
      </c>
      <c r="G1403" t="s">
        <v>752</v>
      </c>
      <c r="H1403">
        <v>1</v>
      </c>
      <c r="I1403">
        <v>85</v>
      </c>
      <c r="J1403">
        <v>94</v>
      </c>
      <c r="K1403">
        <v>9</v>
      </c>
      <c r="L1403">
        <v>1</v>
      </c>
      <c r="M1403">
        <v>0</v>
      </c>
      <c r="N1403">
        <v>0</v>
      </c>
      <c r="O1403" t="s">
        <v>127</v>
      </c>
      <c r="P1403" t="s">
        <v>127</v>
      </c>
      <c r="Q1403" t="s">
        <v>127</v>
      </c>
    </row>
    <row r="1404" spans="1:17" x14ac:dyDescent="0.25">
      <c r="A1404" t="str">
        <f>IF(C1404&amp;G1404&amp;D1404&lt;&gt;'Funnel setup'!$K$3&amp;'Funnel setup'!$K$4&amp;'Funnel setup'!$K$6,".",IF(A1403=".",1,A1403+1))</f>
        <v>.</v>
      </c>
      <c r="B1404" s="244" t="str">
        <f t="shared" si="21"/>
        <v>Hip Replacement RevisionProviderPRACTICE PLUS GROUP HOSPITAL - SHEPTON MALLET (NTPH1)EQ VAS</v>
      </c>
      <c r="C1404" t="s">
        <v>967</v>
      </c>
      <c r="D1404" t="s">
        <v>965</v>
      </c>
      <c r="E1404" t="s">
        <v>460</v>
      </c>
      <c r="F1404" t="s">
        <v>461</v>
      </c>
      <c r="G1404" t="s">
        <v>752</v>
      </c>
      <c r="H1404">
        <v>5</v>
      </c>
      <c r="I1404">
        <v>77</v>
      </c>
      <c r="J1404">
        <v>65.400000000000006</v>
      </c>
      <c r="K1404">
        <v>-11.6</v>
      </c>
      <c r="L1404">
        <v>3</v>
      </c>
      <c r="M1404">
        <v>0</v>
      </c>
      <c r="N1404">
        <v>2</v>
      </c>
      <c r="O1404" t="s">
        <v>127</v>
      </c>
      <c r="P1404" t="s">
        <v>127</v>
      </c>
      <c r="Q1404" t="s">
        <v>127</v>
      </c>
    </row>
    <row r="1405" spans="1:17" x14ac:dyDescent="0.25">
      <c r="A1405" t="str">
        <f>IF(C1405&amp;G1405&amp;D1405&lt;&gt;'Funnel setup'!$K$3&amp;'Funnel setup'!$K$4&amp;'Funnel setup'!$K$6,".",IF(A1404=".",1,A1404+1))</f>
        <v>.</v>
      </c>
      <c r="B1405" s="244" t="str">
        <f t="shared" si="21"/>
        <v>Hip Replacement RevisionProviderRIVERS HOSPITAL (NVC19)EQ VAS</v>
      </c>
      <c r="C1405" t="s">
        <v>967</v>
      </c>
      <c r="D1405" t="s">
        <v>965</v>
      </c>
      <c r="E1405" t="s">
        <v>474</v>
      </c>
      <c r="F1405" t="s">
        <v>475</v>
      </c>
      <c r="G1405" t="s">
        <v>752</v>
      </c>
      <c r="H1405" t="s">
        <v>127</v>
      </c>
      <c r="I1405" t="s">
        <v>127</v>
      </c>
      <c r="J1405" t="s">
        <v>127</v>
      </c>
      <c r="K1405" t="s">
        <v>127</v>
      </c>
      <c r="L1405" t="s">
        <v>127</v>
      </c>
      <c r="M1405" t="s">
        <v>127</v>
      </c>
      <c r="N1405" t="s">
        <v>127</v>
      </c>
      <c r="O1405" t="s">
        <v>127</v>
      </c>
      <c r="P1405" t="s">
        <v>127</v>
      </c>
      <c r="Q1405" t="s">
        <v>127</v>
      </c>
    </row>
    <row r="1406" spans="1:17" x14ac:dyDescent="0.25">
      <c r="A1406" t="str">
        <f>IF(C1406&amp;G1406&amp;D1406&lt;&gt;'Funnel setup'!$K$3&amp;'Funnel setup'!$K$4&amp;'Funnel setup'!$K$6,".",IF(A1405=".",1,A1405+1))</f>
        <v>.</v>
      </c>
      <c r="B1406" s="244" t="str">
        <f t="shared" si="21"/>
        <v>Hip Replacement RevisionProviderROWLEY HALL HOSPITAL (NVC17)EQ VAS</v>
      </c>
      <c r="C1406" t="s">
        <v>967</v>
      </c>
      <c r="D1406" t="s">
        <v>965</v>
      </c>
      <c r="E1406" t="s">
        <v>476</v>
      </c>
      <c r="F1406" t="s">
        <v>477</v>
      </c>
      <c r="G1406" t="s">
        <v>752</v>
      </c>
      <c r="H1406" t="s">
        <v>127</v>
      </c>
      <c r="I1406" t="s">
        <v>127</v>
      </c>
      <c r="J1406" t="s">
        <v>127</v>
      </c>
      <c r="K1406" t="s">
        <v>127</v>
      </c>
      <c r="L1406" t="s">
        <v>127</v>
      </c>
      <c r="M1406" t="s">
        <v>127</v>
      </c>
      <c r="N1406" t="s">
        <v>127</v>
      </c>
      <c r="O1406" t="s">
        <v>127</v>
      </c>
      <c r="P1406" t="s">
        <v>127</v>
      </c>
      <c r="Q1406" t="s">
        <v>127</v>
      </c>
    </row>
    <row r="1407" spans="1:17" x14ac:dyDescent="0.25">
      <c r="A1407" t="str">
        <f>IF(C1407&amp;G1407&amp;D1407&lt;&gt;'Funnel setup'!$K$3&amp;'Funnel setup'!$K$4&amp;'Funnel setup'!$K$6,".",IF(A1406=".",1,A1406+1))</f>
        <v>.</v>
      </c>
      <c r="B1407" s="244" t="str">
        <f t="shared" si="21"/>
        <v>Hip Replacement RevisionProviderROYAL BERKSHIRE NHS FOUNDATION TRUST (RHW)EQ VAS</v>
      </c>
      <c r="C1407" t="s">
        <v>967</v>
      </c>
      <c r="D1407" t="s">
        <v>965</v>
      </c>
      <c r="E1407" t="s">
        <v>478</v>
      </c>
      <c r="F1407" t="s">
        <v>479</v>
      </c>
      <c r="G1407" t="s">
        <v>752</v>
      </c>
      <c r="H1407">
        <v>1</v>
      </c>
      <c r="I1407">
        <v>90</v>
      </c>
      <c r="J1407">
        <v>85</v>
      </c>
      <c r="K1407">
        <v>-5</v>
      </c>
      <c r="L1407">
        <v>0</v>
      </c>
      <c r="M1407">
        <v>0</v>
      </c>
      <c r="N1407">
        <v>1</v>
      </c>
      <c r="O1407" t="s">
        <v>127</v>
      </c>
      <c r="P1407" t="s">
        <v>127</v>
      </c>
      <c r="Q1407" t="s">
        <v>127</v>
      </c>
    </row>
    <row r="1408" spans="1:17" x14ac:dyDescent="0.25">
      <c r="A1408" t="str">
        <f>IF(C1408&amp;G1408&amp;D1408&lt;&gt;'Funnel setup'!$K$3&amp;'Funnel setup'!$K$4&amp;'Funnel setup'!$K$6,".",IF(A1407=".",1,A1407+1))</f>
        <v>.</v>
      </c>
      <c r="B1408" s="244" t="str">
        <f t="shared" si="21"/>
        <v>Hip Replacement RevisionProviderROYAL CORNWALL HOSPITALS NHS TRUST (REF)EQ VAS</v>
      </c>
      <c r="C1408" t="s">
        <v>967</v>
      </c>
      <c r="D1408" t="s">
        <v>965</v>
      </c>
      <c r="E1408" t="s">
        <v>480</v>
      </c>
      <c r="F1408" t="s">
        <v>481</v>
      </c>
      <c r="G1408" t="s">
        <v>752</v>
      </c>
      <c r="H1408">
        <v>5</v>
      </c>
      <c r="I1408">
        <v>63.8</v>
      </c>
      <c r="J1408">
        <v>78</v>
      </c>
      <c r="K1408">
        <v>14.2</v>
      </c>
      <c r="L1408">
        <v>2</v>
      </c>
      <c r="M1408">
        <v>2</v>
      </c>
      <c r="N1408">
        <v>1</v>
      </c>
      <c r="O1408" t="s">
        <v>127</v>
      </c>
      <c r="P1408" t="s">
        <v>127</v>
      </c>
      <c r="Q1408" t="s">
        <v>127</v>
      </c>
    </row>
    <row r="1409" spans="1:17" x14ac:dyDescent="0.25">
      <c r="A1409" t="str">
        <f>IF(C1409&amp;G1409&amp;D1409&lt;&gt;'Funnel setup'!$K$3&amp;'Funnel setup'!$K$4&amp;'Funnel setup'!$K$6,".",IF(A1408=".",1,A1408+1))</f>
        <v>.</v>
      </c>
      <c r="B1409" s="244" t="str">
        <f t="shared" si="21"/>
        <v>Hip Replacement RevisionProviderROYAL NATIONAL ORTHOPAEDIC HOSPITAL NHS TRUST (RAN)EQ VAS</v>
      </c>
      <c r="C1409" t="s">
        <v>967</v>
      </c>
      <c r="D1409" t="s">
        <v>965</v>
      </c>
      <c r="E1409" t="s">
        <v>486</v>
      </c>
      <c r="F1409" t="s">
        <v>487</v>
      </c>
      <c r="G1409" t="s">
        <v>752</v>
      </c>
      <c r="H1409">
        <v>23</v>
      </c>
      <c r="I1409">
        <v>53</v>
      </c>
      <c r="J1409">
        <v>53.912999999999997</v>
      </c>
      <c r="K1409">
        <v>0.91304300000000005</v>
      </c>
      <c r="L1409">
        <v>12</v>
      </c>
      <c r="M1409">
        <v>2</v>
      </c>
      <c r="N1409">
        <v>9</v>
      </c>
      <c r="O1409" t="s">
        <v>127</v>
      </c>
      <c r="P1409" t="s">
        <v>127</v>
      </c>
      <c r="Q1409" t="s">
        <v>127</v>
      </c>
    </row>
    <row r="1410" spans="1:17" x14ac:dyDescent="0.25">
      <c r="A1410" t="str">
        <f>IF(C1410&amp;G1410&amp;D1410&lt;&gt;'Funnel setup'!$K$3&amp;'Funnel setup'!$K$4&amp;'Funnel setup'!$K$6,".",IF(A1409=".",1,A1409+1))</f>
        <v>.</v>
      </c>
      <c r="B1410" s="244" t="str">
        <f t="shared" ref="B1410:B1473" si="22">C1410&amp;D1410&amp;F1410&amp;G1410</f>
        <v>Hip Replacement RevisionProviderSANDWELL AND WEST BIRMINGHAM HOSPITALS NHS TRUST (RXK)EQ VAS</v>
      </c>
      <c r="C1410" t="s">
        <v>967</v>
      </c>
      <c r="D1410" t="s">
        <v>965</v>
      </c>
      <c r="E1410" t="s">
        <v>496</v>
      </c>
      <c r="F1410" t="s">
        <v>497</v>
      </c>
      <c r="G1410" t="s">
        <v>752</v>
      </c>
      <c r="H1410">
        <v>1</v>
      </c>
      <c r="I1410">
        <v>70</v>
      </c>
      <c r="J1410">
        <v>55</v>
      </c>
      <c r="K1410">
        <v>-15</v>
      </c>
      <c r="L1410">
        <v>0</v>
      </c>
      <c r="M1410">
        <v>0</v>
      </c>
      <c r="N1410">
        <v>1</v>
      </c>
      <c r="O1410" t="s">
        <v>127</v>
      </c>
      <c r="P1410" t="s">
        <v>127</v>
      </c>
      <c r="Q1410" t="s">
        <v>127</v>
      </c>
    </row>
    <row r="1411" spans="1:17" x14ac:dyDescent="0.25">
      <c r="A1411" t="str">
        <f>IF(C1411&amp;G1411&amp;D1411&lt;&gt;'Funnel setup'!$K$3&amp;'Funnel setup'!$K$4&amp;'Funnel setup'!$K$6,".",IF(A1410=".",1,A1410+1))</f>
        <v>.</v>
      </c>
      <c r="B1411" s="244" t="str">
        <f t="shared" si="22"/>
        <v>Hip Replacement RevisionProviderSHEFFIELD TEACHING HOSPITALS NHS FOUNDATION TRUST (RHQ)EQ VAS</v>
      </c>
      <c r="C1411" t="s">
        <v>967</v>
      </c>
      <c r="D1411" t="s">
        <v>965</v>
      </c>
      <c r="E1411" t="s">
        <v>506</v>
      </c>
      <c r="F1411" t="s">
        <v>507</v>
      </c>
      <c r="G1411" t="s">
        <v>752</v>
      </c>
      <c r="H1411">
        <v>1</v>
      </c>
      <c r="I1411">
        <v>45</v>
      </c>
      <c r="J1411">
        <v>65</v>
      </c>
      <c r="K1411">
        <v>20</v>
      </c>
      <c r="L1411">
        <v>1</v>
      </c>
      <c r="M1411">
        <v>0</v>
      </c>
      <c r="N1411">
        <v>0</v>
      </c>
      <c r="O1411" t="s">
        <v>127</v>
      </c>
      <c r="P1411" t="s">
        <v>127</v>
      </c>
      <c r="Q1411" t="s">
        <v>127</v>
      </c>
    </row>
    <row r="1412" spans="1:17" x14ac:dyDescent="0.25">
      <c r="A1412" t="str">
        <f>IF(C1412&amp;G1412&amp;D1412&lt;&gt;'Funnel setup'!$K$3&amp;'Funnel setup'!$K$4&amp;'Funnel setup'!$K$6,".",IF(A1411=".",1,A1411+1))</f>
        <v>.</v>
      </c>
      <c r="B1412" s="244" t="str">
        <f t="shared" si="22"/>
        <v>Hip Replacement RevisionProviderSOUTH TEES HOSPITALS NHS FOUNDATION TRUST (RTR)EQ VAS</v>
      </c>
      <c r="C1412" t="s">
        <v>967</v>
      </c>
      <c r="D1412" t="s">
        <v>965</v>
      </c>
      <c r="E1412" t="s">
        <v>516</v>
      </c>
      <c r="F1412" t="s">
        <v>517</v>
      </c>
      <c r="G1412" t="s">
        <v>752</v>
      </c>
      <c r="H1412">
        <v>10</v>
      </c>
      <c r="I1412">
        <v>65.5</v>
      </c>
      <c r="J1412">
        <v>66.2</v>
      </c>
      <c r="K1412">
        <v>0.7</v>
      </c>
      <c r="L1412">
        <v>4</v>
      </c>
      <c r="M1412">
        <v>0</v>
      </c>
      <c r="N1412">
        <v>6</v>
      </c>
      <c r="O1412" t="s">
        <v>127</v>
      </c>
      <c r="P1412" t="s">
        <v>127</v>
      </c>
      <c r="Q1412" t="s">
        <v>127</v>
      </c>
    </row>
    <row r="1413" spans="1:17" x14ac:dyDescent="0.25">
      <c r="A1413" t="str">
        <f>IF(C1413&amp;G1413&amp;D1413&lt;&gt;'Funnel setup'!$K$3&amp;'Funnel setup'!$K$4&amp;'Funnel setup'!$K$6,".",IF(A1412=".",1,A1412+1))</f>
        <v>.</v>
      </c>
      <c r="B1413" s="244" t="str">
        <f t="shared" si="22"/>
        <v>Hip Replacement RevisionProviderSOUTH TYNESIDE AND SUNDERLAND NHS FOUNDATION TRUST (R0B)EQ VAS</v>
      </c>
      <c r="C1413" t="s">
        <v>967</v>
      </c>
      <c r="D1413" t="s">
        <v>965</v>
      </c>
      <c r="E1413" t="s">
        <v>518</v>
      </c>
      <c r="F1413" t="s">
        <v>519</v>
      </c>
      <c r="G1413" t="s">
        <v>752</v>
      </c>
      <c r="H1413">
        <v>1</v>
      </c>
      <c r="I1413">
        <v>48</v>
      </c>
      <c r="J1413">
        <v>90</v>
      </c>
      <c r="K1413">
        <v>42</v>
      </c>
      <c r="L1413">
        <v>1</v>
      </c>
      <c r="M1413">
        <v>0</v>
      </c>
      <c r="N1413">
        <v>0</v>
      </c>
      <c r="O1413" t="s">
        <v>127</v>
      </c>
      <c r="P1413" t="s">
        <v>127</v>
      </c>
      <c r="Q1413" t="s">
        <v>127</v>
      </c>
    </row>
    <row r="1414" spans="1:17" x14ac:dyDescent="0.25">
      <c r="A1414" t="str">
        <f>IF(C1414&amp;G1414&amp;D1414&lt;&gt;'Funnel setup'!$K$3&amp;'Funnel setup'!$K$4&amp;'Funnel setup'!$K$6,".",IF(A1413=".",1,A1413+1))</f>
        <v>.</v>
      </c>
      <c r="B1414" s="244" t="str">
        <f t="shared" si="22"/>
        <v>Hip Replacement RevisionProviderSOUTH WARWICKSHIRE UNIVERSITY NHS FOUNDATION TRUST (RJC)EQ VAS</v>
      </c>
      <c r="C1414" t="s">
        <v>967</v>
      </c>
      <c r="D1414" t="s">
        <v>965</v>
      </c>
      <c r="E1414" t="s">
        <v>520</v>
      </c>
      <c r="F1414" t="s">
        <v>521</v>
      </c>
      <c r="G1414" t="s">
        <v>752</v>
      </c>
      <c r="H1414">
        <v>3</v>
      </c>
      <c r="I1414">
        <v>40.333300000000001</v>
      </c>
      <c r="J1414">
        <v>64.666700000000006</v>
      </c>
      <c r="K1414">
        <v>24.333300000000001</v>
      </c>
      <c r="L1414">
        <v>2</v>
      </c>
      <c r="M1414">
        <v>0</v>
      </c>
      <c r="N1414">
        <v>1</v>
      </c>
      <c r="O1414" t="s">
        <v>127</v>
      </c>
      <c r="P1414" t="s">
        <v>127</v>
      </c>
      <c r="Q1414" t="s">
        <v>127</v>
      </c>
    </row>
    <row r="1415" spans="1:17" x14ac:dyDescent="0.25">
      <c r="A1415" t="str">
        <f>IF(C1415&amp;G1415&amp;D1415&lt;&gt;'Funnel setup'!$K$3&amp;'Funnel setup'!$K$4&amp;'Funnel setup'!$K$6,".",IF(A1414=".",1,A1414+1))</f>
        <v>.</v>
      </c>
      <c r="B1415" s="244" t="str">
        <f t="shared" si="22"/>
        <v>Hip Replacement RevisionProviderSPIRE GATWICK PARK HOSPITAL (NT308)EQ VAS</v>
      </c>
      <c r="C1415" t="s">
        <v>967</v>
      </c>
      <c r="D1415" t="s">
        <v>965</v>
      </c>
      <c r="E1415" t="s">
        <v>546</v>
      </c>
      <c r="F1415" t="s">
        <v>547</v>
      </c>
      <c r="G1415" t="s">
        <v>752</v>
      </c>
      <c r="H1415" t="s">
        <v>127</v>
      </c>
      <c r="I1415" t="s">
        <v>127</v>
      </c>
      <c r="J1415" t="s">
        <v>127</v>
      </c>
      <c r="K1415" t="s">
        <v>127</v>
      </c>
      <c r="L1415" t="s">
        <v>127</v>
      </c>
      <c r="M1415" t="s">
        <v>127</v>
      </c>
      <c r="N1415" t="s">
        <v>127</v>
      </c>
      <c r="O1415" t="s">
        <v>127</v>
      </c>
      <c r="P1415" t="s">
        <v>127</v>
      </c>
      <c r="Q1415" t="s">
        <v>127</v>
      </c>
    </row>
    <row r="1416" spans="1:17" x14ac:dyDescent="0.25">
      <c r="A1416" t="str">
        <f>IF(C1416&amp;G1416&amp;D1416&lt;&gt;'Funnel setup'!$K$3&amp;'Funnel setup'!$K$4&amp;'Funnel setup'!$K$6,".",IF(A1415=".",1,A1415+1))</f>
        <v>.</v>
      </c>
      <c r="B1416" s="244" t="str">
        <f t="shared" si="22"/>
        <v>Hip Replacement RevisionProviderSPRINGFIELD HOSPITAL (NVC18)EQ VAS</v>
      </c>
      <c r="C1416" t="s">
        <v>967</v>
      </c>
      <c r="D1416" t="s">
        <v>965</v>
      </c>
      <c r="E1416" t="s">
        <v>602</v>
      </c>
      <c r="F1416" t="s">
        <v>603</v>
      </c>
      <c r="G1416" t="s">
        <v>752</v>
      </c>
      <c r="H1416" t="s">
        <v>127</v>
      </c>
      <c r="I1416" t="s">
        <v>127</v>
      </c>
      <c r="J1416" t="s">
        <v>127</v>
      </c>
      <c r="K1416" t="s">
        <v>127</v>
      </c>
      <c r="L1416" t="s">
        <v>127</v>
      </c>
      <c r="M1416" t="s">
        <v>127</v>
      </c>
      <c r="N1416" t="s">
        <v>127</v>
      </c>
      <c r="O1416" t="s">
        <v>127</v>
      </c>
      <c r="P1416" t="s">
        <v>127</v>
      </c>
      <c r="Q1416" t="s">
        <v>127</v>
      </c>
    </row>
    <row r="1417" spans="1:17" x14ac:dyDescent="0.25">
      <c r="A1417" t="str">
        <f>IF(C1417&amp;G1417&amp;D1417&lt;&gt;'Funnel setup'!$K$3&amp;'Funnel setup'!$K$4&amp;'Funnel setup'!$K$6,".",IF(A1416=".",1,A1416+1))</f>
        <v>.</v>
      </c>
      <c r="B1417" s="244" t="str">
        <f t="shared" si="22"/>
        <v>Hip Replacement RevisionProviderST HELENS AND KNOWSLEY TEACHING HOSPITALS NHS TRUST (RBN)EQ VAS</v>
      </c>
      <c r="C1417" t="s">
        <v>967</v>
      </c>
      <c r="D1417" t="s">
        <v>965</v>
      </c>
      <c r="E1417" t="s">
        <v>608</v>
      </c>
      <c r="F1417" t="s">
        <v>609</v>
      </c>
      <c r="G1417" t="s">
        <v>752</v>
      </c>
      <c r="H1417">
        <v>2</v>
      </c>
      <c r="I1417">
        <v>80</v>
      </c>
      <c r="J1417">
        <v>70</v>
      </c>
      <c r="K1417">
        <v>-10</v>
      </c>
      <c r="L1417">
        <v>1</v>
      </c>
      <c r="M1417">
        <v>0</v>
      </c>
      <c r="N1417">
        <v>1</v>
      </c>
      <c r="O1417" t="s">
        <v>127</v>
      </c>
      <c r="P1417" t="s">
        <v>127</v>
      </c>
      <c r="Q1417" t="s">
        <v>127</v>
      </c>
    </row>
    <row r="1418" spans="1:17" x14ac:dyDescent="0.25">
      <c r="A1418" t="str">
        <f>IF(C1418&amp;G1418&amp;D1418&lt;&gt;'Funnel setup'!$K$3&amp;'Funnel setup'!$K$4&amp;'Funnel setup'!$K$6,".",IF(A1417=".",1,A1417+1))</f>
        <v>.</v>
      </c>
      <c r="B1418" s="244" t="str">
        <f t="shared" si="22"/>
        <v>Hip Replacement RevisionProviderSTOCKPORT NHS FOUNDATION TRUST (RWJ)EQ VAS</v>
      </c>
      <c r="C1418" t="s">
        <v>967</v>
      </c>
      <c r="D1418" t="s">
        <v>965</v>
      </c>
      <c r="E1418" t="s">
        <v>614</v>
      </c>
      <c r="F1418" t="s">
        <v>615</v>
      </c>
      <c r="G1418" t="s">
        <v>752</v>
      </c>
      <c r="H1418">
        <v>7</v>
      </c>
      <c r="I1418">
        <v>54.714300000000001</v>
      </c>
      <c r="J1418">
        <v>58.571399999999997</v>
      </c>
      <c r="K1418">
        <v>3.8571399999999998</v>
      </c>
      <c r="L1418">
        <v>3</v>
      </c>
      <c r="M1418">
        <v>2</v>
      </c>
      <c r="N1418">
        <v>2</v>
      </c>
      <c r="O1418" t="s">
        <v>127</v>
      </c>
      <c r="P1418" t="s">
        <v>127</v>
      </c>
      <c r="Q1418" t="s">
        <v>127</v>
      </c>
    </row>
    <row r="1419" spans="1:17" x14ac:dyDescent="0.25">
      <c r="A1419" t="str">
        <f>IF(C1419&amp;G1419&amp;D1419&lt;&gt;'Funnel setup'!$K$3&amp;'Funnel setup'!$K$4&amp;'Funnel setup'!$K$6,".",IF(A1418=".",1,A1418+1))</f>
        <v>.</v>
      </c>
      <c r="B1419" s="244" t="str">
        <f t="shared" si="22"/>
        <v>Hip Replacement RevisionProviderSURREY AND SUSSEX HEALTHCARE NHS TRUST (RTP)EQ VAS</v>
      </c>
      <c r="C1419" t="s">
        <v>967</v>
      </c>
      <c r="D1419" t="s">
        <v>965</v>
      </c>
      <c r="E1419" t="s">
        <v>618</v>
      </c>
      <c r="F1419" t="s">
        <v>619</v>
      </c>
      <c r="G1419" t="s">
        <v>752</v>
      </c>
      <c r="H1419">
        <v>4</v>
      </c>
      <c r="I1419">
        <v>47.5</v>
      </c>
      <c r="J1419">
        <v>64.75</v>
      </c>
      <c r="K1419">
        <v>17.25</v>
      </c>
      <c r="L1419">
        <v>3</v>
      </c>
      <c r="M1419">
        <v>1</v>
      </c>
      <c r="N1419">
        <v>0</v>
      </c>
      <c r="O1419" t="s">
        <v>127</v>
      </c>
      <c r="P1419" t="s">
        <v>127</v>
      </c>
      <c r="Q1419" t="s">
        <v>127</v>
      </c>
    </row>
    <row r="1420" spans="1:17" x14ac:dyDescent="0.25">
      <c r="A1420" t="str">
        <f>IF(C1420&amp;G1420&amp;D1420&lt;&gt;'Funnel setup'!$K$3&amp;'Funnel setup'!$K$4&amp;'Funnel setup'!$K$6,".",IF(A1419=".",1,A1419+1))</f>
        <v>.</v>
      </c>
      <c r="B1420" s="244" t="str">
        <f t="shared" si="22"/>
        <v>Hip Replacement RevisionProviderTHE HILLINGDON HOSPITALS NHS FOUNDATION TRUST (RAS)EQ VAS</v>
      </c>
      <c r="C1420" t="s">
        <v>967</v>
      </c>
      <c r="D1420" t="s">
        <v>965</v>
      </c>
      <c r="E1420" t="s">
        <v>632</v>
      </c>
      <c r="F1420" t="s">
        <v>633</v>
      </c>
      <c r="G1420" t="s">
        <v>752</v>
      </c>
      <c r="H1420" t="s">
        <v>968</v>
      </c>
      <c r="I1420" t="s">
        <v>968</v>
      </c>
      <c r="J1420" t="s">
        <v>968</v>
      </c>
      <c r="K1420" t="s">
        <v>968</v>
      </c>
      <c r="L1420" t="s">
        <v>968</v>
      </c>
      <c r="M1420" t="s">
        <v>968</v>
      </c>
      <c r="N1420" t="s">
        <v>968</v>
      </c>
      <c r="O1420" t="s">
        <v>968</v>
      </c>
      <c r="P1420" t="s">
        <v>968</v>
      </c>
      <c r="Q1420" t="s">
        <v>968</v>
      </c>
    </row>
    <row r="1421" spans="1:17" x14ac:dyDescent="0.25">
      <c r="A1421" t="str">
        <f>IF(C1421&amp;G1421&amp;D1421&lt;&gt;'Funnel setup'!$K$3&amp;'Funnel setup'!$K$4&amp;'Funnel setup'!$K$6,".",IF(A1420=".",1,A1420+1))</f>
        <v>.</v>
      </c>
      <c r="B1421" s="244" t="str">
        <f t="shared" si="22"/>
        <v>Hip Replacement RevisionProviderTHE HORDER CENTRE - ST JOHNS ROAD (NXM01)EQ VAS</v>
      </c>
      <c r="C1421" t="s">
        <v>967</v>
      </c>
      <c r="D1421" t="s">
        <v>965</v>
      </c>
      <c r="E1421" t="s">
        <v>634</v>
      </c>
      <c r="F1421" t="s">
        <v>635</v>
      </c>
      <c r="G1421" t="s">
        <v>752</v>
      </c>
      <c r="H1421">
        <v>8</v>
      </c>
      <c r="I1421">
        <v>75.875</v>
      </c>
      <c r="J1421">
        <v>76.125</v>
      </c>
      <c r="K1421">
        <v>0.25</v>
      </c>
      <c r="L1421">
        <v>3</v>
      </c>
      <c r="M1421">
        <v>0</v>
      </c>
      <c r="N1421">
        <v>5</v>
      </c>
      <c r="O1421" t="s">
        <v>127</v>
      </c>
      <c r="P1421" t="s">
        <v>127</v>
      </c>
      <c r="Q1421" t="s">
        <v>127</v>
      </c>
    </row>
    <row r="1422" spans="1:17" x14ac:dyDescent="0.25">
      <c r="A1422" t="str">
        <f>IF(C1422&amp;G1422&amp;D1422&lt;&gt;'Funnel setup'!$K$3&amp;'Funnel setup'!$K$4&amp;'Funnel setup'!$K$6,".",IF(A1421=".",1,A1421+1))</f>
        <v>.</v>
      </c>
      <c r="B1422" s="244" t="str">
        <f t="shared" si="22"/>
        <v>Hip Replacement RevisionProviderTHE NEWCASTLE UPON TYNE HOSPITALS NHS FOUNDATION TRUST (RTD)EQ VAS</v>
      </c>
      <c r="C1422" t="s">
        <v>967</v>
      </c>
      <c r="D1422" t="s">
        <v>965</v>
      </c>
      <c r="E1422" t="s">
        <v>638</v>
      </c>
      <c r="F1422" t="s">
        <v>639</v>
      </c>
      <c r="G1422" t="s">
        <v>752</v>
      </c>
      <c r="H1422">
        <v>5</v>
      </c>
      <c r="I1422">
        <v>53.6</v>
      </c>
      <c r="J1422">
        <v>52</v>
      </c>
      <c r="K1422">
        <v>-1.6</v>
      </c>
      <c r="L1422">
        <v>3</v>
      </c>
      <c r="M1422">
        <v>0</v>
      </c>
      <c r="N1422">
        <v>2</v>
      </c>
      <c r="O1422" t="s">
        <v>127</v>
      </c>
      <c r="P1422" t="s">
        <v>127</v>
      </c>
      <c r="Q1422" t="s">
        <v>127</v>
      </c>
    </row>
    <row r="1423" spans="1:17" x14ac:dyDescent="0.25">
      <c r="A1423" t="str">
        <f>IF(C1423&amp;G1423&amp;D1423&lt;&gt;'Funnel setup'!$K$3&amp;'Funnel setup'!$K$4&amp;'Funnel setup'!$K$6,".",IF(A1422=".",1,A1422+1))</f>
        <v>.</v>
      </c>
      <c r="B1423" s="244" t="str">
        <f t="shared" si="22"/>
        <v>Hip Replacement RevisionProviderTHE PRINCESS ALEXANDRA HOSPITAL NHS TRUST (RQW)EQ VAS</v>
      </c>
      <c r="C1423" t="s">
        <v>967</v>
      </c>
      <c r="D1423" t="s">
        <v>965</v>
      </c>
      <c r="E1423" t="s">
        <v>640</v>
      </c>
      <c r="F1423" t="s">
        <v>641</v>
      </c>
      <c r="G1423" t="s">
        <v>752</v>
      </c>
      <c r="H1423">
        <v>1</v>
      </c>
      <c r="I1423">
        <v>50</v>
      </c>
      <c r="J1423">
        <v>50</v>
      </c>
      <c r="K1423">
        <v>0</v>
      </c>
      <c r="L1423">
        <v>0</v>
      </c>
      <c r="M1423">
        <v>1</v>
      </c>
      <c r="N1423">
        <v>0</v>
      </c>
      <c r="O1423" t="s">
        <v>127</v>
      </c>
      <c r="P1423" t="s">
        <v>127</v>
      </c>
      <c r="Q1423" t="s">
        <v>127</v>
      </c>
    </row>
    <row r="1424" spans="1:17" x14ac:dyDescent="0.25">
      <c r="A1424" t="str">
        <f>IF(C1424&amp;G1424&amp;D1424&lt;&gt;'Funnel setup'!$K$3&amp;'Funnel setup'!$K$4&amp;'Funnel setup'!$K$6,".",IF(A1423=".",1,A1423+1))</f>
        <v>.</v>
      </c>
      <c r="B1424" s="244" t="str">
        <f t="shared" si="22"/>
        <v>Hip Replacement RevisionProviderTHE QUEEN ELIZABETH HOSPITAL, KING'S LYNN, NHS FOUNDATION TRUST (RCX)EQ VAS</v>
      </c>
      <c r="C1424" t="s">
        <v>967</v>
      </c>
      <c r="D1424" t="s">
        <v>965</v>
      </c>
      <c r="E1424" t="s">
        <v>644</v>
      </c>
      <c r="F1424" t="s">
        <v>645</v>
      </c>
      <c r="G1424" t="s">
        <v>752</v>
      </c>
      <c r="H1424">
        <v>2</v>
      </c>
      <c r="I1424">
        <v>70</v>
      </c>
      <c r="J1424">
        <v>80</v>
      </c>
      <c r="K1424">
        <v>10</v>
      </c>
      <c r="L1424">
        <v>1</v>
      </c>
      <c r="M1424">
        <v>1</v>
      </c>
      <c r="N1424">
        <v>0</v>
      </c>
      <c r="O1424" t="s">
        <v>127</v>
      </c>
      <c r="P1424" t="s">
        <v>127</v>
      </c>
      <c r="Q1424" t="s">
        <v>127</v>
      </c>
    </row>
    <row r="1425" spans="1:17" x14ac:dyDescent="0.25">
      <c r="A1425" t="str">
        <f>IF(C1425&amp;G1425&amp;D1425&lt;&gt;'Funnel setup'!$K$3&amp;'Funnel setup'!$K$4&amp;'Funnel setup'!$K$6,".",IF(A1424=".",1,A1424+1))</f>
        <v>.</v>
      </c>
      <c r="B1425" s="244" t="str">
        <f t="shared" si="22"/>
        <v>Hip Replacement RevisionProviderTHE ROBERT JONES AND AGNES HUNT ORTHOPAEDIC HOSPITAL NHS FOUNDATION TRUST (RL1)EQ VAS</v>
      </c>
      <c r="C1425" t="s">
        <v>967</v>
      </c>
      <c r="D1425" t="s">
        <v>965</v>
      </c>
      <c r="E1425" t="s">
        <v>646</v>
      </c>
      <c r="F1425" t="s">
        <v>647</v>
      </c>
      <c r="G1425" t="s">
        <v>752</v>
      </c>
      <c r="H1425">
        <v>23</v>
      </c>
      <c r="I1425">
        <v>59.521700000000003</v>
      </c>
      <c r="J1425">
        <v>74.782600000000002</v>
      </c>
      <c r="K1425">
        <v>15.260899999999999</v>
      </c>
      <c r="L1425">
        <v>15</v>
      </c>
      <c r="M1425">
        <v>1</v>
      </c>
      <c r="N1425">
        <v>7</v>
      </c>
      <c r="O1425" t="s">
        <v>127</v>
      </c>
      <c r="P1425" t="s">
        <v>127</v>
      </c>
      <c r="Q1425" t="s">
        <v>127</v>
      </c>
    </row>
    <row r="1426" spans="1:17" x14ac:dyDescent="0.25">
      <c r="A1426" t="str">
        <f>IF(C1426&amp;G1426&amp;D1426&lt;&gt;'Funnel setup'!$K$3&amp;'Funnel setup'!$K$4&amp;'Funnel setup'!$K$6,".",IF(A1425=".",1,A1425+1))</f>
        <v>.</v>
      </c>
      <c r="B1426" s="244" t="str">
        <f t="shared" si="22"/>
        <v>Hip Replacement RevisionProviderTHE ROYAL ORTHOPAEDIC HOSPITAL NHS FOUNDATION TRUST (RRJ)EQ VAS</v>
      </c>
      <c r="C1426" t="s">
        <v>967</v>
      </c>
      <c r="D1426" t="s">
        <v>965</v>
      </c>
      <c r="E1426" t="s">
        <v>652</v>
      </c>
      <c r="F1426" t="s">
        <v>653</v>
      </c>
      <c r="G1426" t="s">
        <v>752</v>
      </c>
      <c r="H1426">
        <v>35</v>
      </c>
      <c r="I1426">
        <v>63.914299999999997</v>
      </c>
      <c r="J1426">
        <v>75.2</v>
      </c>
      <c r="K1426">
        <v>11.2857</v>
      </c>
      <c r="L1426">
        <v>22</v>
      </c>
      <c r="M1426">
        <v>3</v>
      </c>
      <c r="N1426">
        <v>10</v>
      </c>
      <c r="O1426">
        <v>73.381299999999996</v>
      </c>
      <c r="P1426">
        <v>12.451000000000001</v>
      </c>
      <c r="Q1426">
        <v>18.003699999999998</v>
      </c>
    </row>
    <row r="1427" spans="1:17" x14ac:dyDescent="0.25">
      <c r="A1427" t="str">
        <f>IF(C1427&amp;G1427&amp;D1427&lt;&gt;'Funnel setup'!$K$3&amp;'Funnel setup'!$K$4&amp;'Funnel setup'!$K$6,".",IF(A1426=".",1,A1426+1))</f>
        <v>.</v>
      </c>
      <c r="B1427" s="244" t="str">
        <f t="shared" si="22"/>
        <v>Hip Replacement RevisionProviderTHE ROYAL WOLVERHAMPTON NHS TRUST (RL4)EQ VAS</v>
      </c>
      <c r="C1427" t="s">
        <v>967</v>
      </c>
      <c r="D1427" t="s">
        <v>965</v>
      </c>
      <c r="E1427" t="s">
        <v>654</v>
      </c>
      <c r="F1427" t="s">
        <v>655</v>
      </c>
      <c r="G1427" t="s">
        <v>752</v>
      </c>
      <c r="H1427">
        <v>1</v>
      </c>
      <c r="I1427">
        <v>75</v>
      </c>
      <c r="J1427">
        <v>72</v>
      </c>
      <c r="K1427">
        <v>-3</v>
      </c>
      <c r="L1427">
        <v>0</v>
      </c>
      <c r="M1427">
        <v>0</v>
      </c>
      <c r="N1427">
        <v>1</v>
      </c>
      <c r="O1427" t="s">
        <v>127</v>
      </c>
      <c r="P1427" t="s">
        <v>127</v>
      </c>
      <c r="Q1427" t="s">
        <v>127</v>
      </c>
    </row>
    <row r="1428" spans="1:17" x14ac:dyDescent="0.25">
      <c r="A1428" t="str">
        <f>IF(C1428&amp;G1428&amp;D1428&lt;&gt;'Funnel setup'!$K$3&amp;'Funnel setup'!$K$4&amp;'Funnel setup'!$K$6,".",IF(A1427=".",1,A1427+1))</f>
        <v>.</v>
      </c>
      <c r="B1428" s="244" t="str">
        <f t="shared" si="22"/>
        <v>Hip Replacement RevisionProviderTORBAY AND SOUTH DEVON NHS FOUNDATION TRUST (RA9)EQ VAS</v>
      </c>
      <c r="C1428" t="s">
        <v>967</v>
      </c>
      <c r="D1428" t="s">
        <v>965</v>
      </c>
      <c r="E1428" t="s">
        <v>668</v>
      </c>
      <c r="F1428" t="s">
        <v>669</v>
      </c>
      <c r="G1428" t="s">
        <v>752</v>
      </c>
      <c r="H1428">
        <v>2</v>
      </c>
      <c r="I1428">
        <v>82.5</v>
      </c>
      <c r="J1428">
        <v>82.5</v>
      </c>
      <c r="K1428">
        <v>0</v>
      </c>
      <c r="L1428">
        <v>0</v>
      </c>
      <c r="M1428">
        <v>2</v>
      </c>
      <c r="N1428">
        <v>0</v>
      </c>
      <c r="O1428" t="s">
        <v>127</v>
      </c>
      <c r="P1428" t="s">
        <v>127</v>
      </c>
      <c r="Q1428" t="s">
        <v>127</v>
      </c>
    </row>
    <row r="1429" spans="1:17" x14ac:dyDescent="0.25">
      <c r="A1429" t="str">
        <f>IF(C1429&amp;G1429&amp;D1429&lt;&gt;'Funnel setup'!$K$3&amp;'Funnel setup'!$K$4&amp;'Funnel setup'!$K$6,".",IF(A1428=".",1,A1428+1))</f>
        <v>.</v>
      </c>
      <c r="B1429" s="244" t="str">
        <f t="shared" si="22"/>
        <v>Hip Replacement RevisionProviderUNIVERSITY COLLEGE LONDON HOSPITALS NHS FOUNDATION TRUST (RRV)EQ VAS</v>
      </c>
      <c r="C1429" t="s">
        <v>967</v>
      </c>
      <c r="D1429" t="s">
        <v>965</v>
      </c>
      <c r="E1429" t="s">
        <v>674</v>
      </c>
      <c r="F1429" t="s">
        <v>675</v>
      </c>
      <c r="G1429" t="s">
        <v>752</v>
      </c>
      <c r="H1429">
        <v>9</v>
      </c>
      <c r="I1429">
        <v>80</v>
      </c>
      <c r="J1429">
        <v>84.444400000000002</v>
      </c>
      <c r="K1429">
        <v>4.4444400000000002</v>
      </c>
      <c r="L1429">
        <v>4</v>
      </c>
      <c r="M1429">
        <v>0</v>
      </c>
      <c r="N1429">
        <v>5</v>
      </c>
      <c r="O1429" t="s">
        <v>127</v>
      </c>
      <c r="P1429" t="s">
        <v>127</v>
      </c>
      <c r="Q1429" t="s">
        <v>127</v>
      </c>
    </row>
    <row r="1430" spans="1:17" x14ac:dyDescent="0.25">
      <c r="A1430" t="str">
        <f>IF(C1430&amp;G1430&amp;D1430&lt;&gt;'Funnel setup'!$K$3&amp;'Funnel setup'!$K$4&amp;'Funnel setup'!$K$6,".",IF(A1429=".",1,A1429+1))</f>
        <v>.</v>
      </c>
      <c r="B1430" s="244" t="str">
        <f t="shared" si="22"/>
        <v>Hip Replacement RevisionProviderUNIVERSITY HOSPITAL SOUTHAMPTON NHS FOUNDATION TRUST (RHM)EQ VAS</v>
      </c>
      <c r="C1430" t="s">
        <v>967</v>
      </c>
      <c r="D1430" t="s">
        <v>965</v>
      </c>
      <c r="E1430" t="s">
        <v>676</v>
      </c>
      <c r="F1430" t="s">
        <v>677</v>
      </c>
      <c r="G1430" t="s">
        <v>752</v>
      </c>
      <c r="H1430">
        <v>6</v>
      </c>
      <c r="I1430">
        <v>53.666699999999999</v>
      </c>
      <c r="J1430">
        <v>65.5</v>
      </c>
      <c r="K1430">
        <v>11.833299999999999</v>
      </c>
      <c r="L1430">
        <v>2</v>
      </c>
      <c r="M1430">
        <v>2</v>
      </c>
      <c r="N1430">
        <v>2</v>
      </c>
      <c r="O1430" t="s">
        <v>127</v>
      </c>
      <c r="P1430" t="s">
        <v>127</v>
      </c>
      <c r="Q1430" t="s">
        <v>127</v>
      </c>
    </row>
    <row r="1431" spans="1:17" x14ac:dyDescent="0.25">
      <c r="A1431" t="str">
        <f>IF(C1431&amp;G1431&amp;D1431&lt;&gt;'Funnel setup'!$K$3&amp;'Funnel setup'!$K$4&amp;'Funnel setup'!$K$6,".",IF(A1430=".",1,A1430+1))</f>
        <v>.</v>
      </c>
      <c r="B1431" s="244" t="str">
        <f t="shared" si="22"/>
        <v>Hip Replacement RevisionProviderUNIVERSITY HOSPITALS BRISTOL AND WESTON NHS FOUNDATION TRUST (RA7)EQ VAS</v>
      </c>
      <c r="C1431" t="s">
        <v>967</v>
      </c>
      <c r="D1431" t="s">
        <v>965</v>
      </c>
      <c r="E1431" t="s">
        <v>680</v>
      </c>
      <c r="F1431" t="s">
        <v>681</v>
      </c>
      <c r="G1431" t="s">
        <v>752</v>
      </c>
      <c r="H1431" t="s">
        <v>127</v>
      </c>
      <c r="I1431" t="s">
        <v>127</v>
      </c>
      <c r="J1431" t="s">
        <v>127</v>
      </c>
      <c r="K1431" t="s">
        <v>127</v>
      </c>
      <c r="L1431" t="s">
        <v>127</v>
      </c>
      <c r="M1431" t="s">
        <v>127</v>
      </c>
      <c r="N1431" t="s">
        <v>127</v>
      </c>
      <c r="O1431" t="s">
        <v>127</v>
      </c>
      <c r="P1431" t="s">
        <v>127</v>
      </c>
      <c r="Q1431" t="s">
        <v>127</v>
      </c>
    </row>
    <row r="1432" spans="1:17" x14ac:dyDescent="0.25">
      <c r="A1432" t="str">
        <f>IF(C1432&amp;G1432&amp;D1432&lt;&gt;'Funnel setup'!$K$3&amp;'Funnel setup'!$K$4&amp;'Funnel setup'!$K$6,".",IF(A1431=".",1,A1431+1))</f>
        <v>.</v>
      </c>
      <c r="B1432" s="244" t="str">
        <f t="shared" si="22"/>
        <v>Hip Replacement RevisionProviderUNIVERSITY HOSPITALS COVENTRY AND WARWICKSHIRE NHS TRUST (RKB)EQ VAS</v>
      </c>
      <c r="C1432" t="s">
        <v>967</v>
      </c>
      <c r="D1432" t="s">
        <v>965</v>
      </c>
      <c r="E1432" t="s">
        <v>682</v>
      </c>
      <c r="F1432" t="s">
        <v>683</v>
      </c>
      <c r="G1432" t="s">
        <v>752</v>
      </c>
      <c r="H1432">
        <v>2</v>
      </c>
      <c r="I1432">
        <v>43.5</v>
      </c>
      <c r="J1432">
        <v>55</v>
      </c>
      <c r="K1432">
        <v>11.5</v>
      </c>
      <c r="L1432">
        <v>1</v>
      </c>
      <c r="M1432">
        <v>0</v>
      </c>
      <c r="N1432">
        <v>1</v>
      </c>
      <c r="O1432" t="s">
        <v>127</v>
      </c>
      <c r="P1432" t="s">
        <v>127</v>
      </c>
      <c r="Q1432" t="s">
        <v>127</v>
      </c>
    </row>
    <row r="1433" spans="1:17" x14ac:dyDescent="0.25">
      <c r="A1433" t="str">
        <f>IF(C1433&amp;G1433&amp;D1433&lt;&gt;'Funnel setup'!$K$3&amp;'Funnel setup'!$K$4&amp;'Funnel setup'!$K$6,".",IF(A1432=".",1,A1432+1))</f>
        <v>.</v>
      </c>
      <c r="B1433" s="244" t="str">
        <f t="shared" si="22"/>
        <v>Hip Replacement RevisionProviderUNIVERSITY HOSPITAL DORSET NHS FUNDATION TRUST (R0D)EQ VAS</v>
      </c>
      <c r="C1433" t="s">
        <v>967</v>
      </c>
      <c r="D1433" t="s">
        <v>965</v>
      </c>
      <c r="E1433" t="s">
        <v>684</v>
      </c>
      <c r="F1433" t="s">
        <v>966</v>
      </c>
      <c r="G1433" t="s">
        <v>752</v>
      </c>
      <c r="H1433">
        <v>9</v>
      </c>
      <c r="I1433">
        <v>69.444400000000002</v>
      </c>
      <c r="J1433">
        <v>86.111099999999993</v>
      </c>
      <c r="K1433">
        <v>16.666699999999999</v>
      </c>
      <c r="L1433">
        <v>7</v>
      </c>
      <c r="M1433">
        <v>0</v>
      </c>
      <c r="N1433">
        <v>2</v>
      </c>
      <c r="O1433" t="s">
        <v>127</v>
      </c>
      <c r="P1433" t="s">
        <v>127</v>
      </c>
      <c r="Q1433" t="s">
        <v>127</v>
      </c>
    </row>
    <row r="1434" spans="1:17" x14ac:dyDescent="0.25">
      <c r="A1434" t="str">
        <f>IF(C1434&amp;G1434&amp;D1434&lt;&gt;'Funnel setup'!$K$3&amp;'Funnel setup'!$K$4&amp;'Funnel setup'!$K$6,".",IF(A1433=".",1,A1433+1))</f>
        <v>.</v>
      </c>
      <c r="B1434" s="244" t="str">
        <f t="shared" si="22"/>
        <v>Hip Replacement RevisionProviderUNIVERSITY HOSPITALS OF DERBY AND BURTON NHS FOUNDATION TRUST (RTG)EQ VAS</v>
      </c>
      <c r="C1434" t="s">
        <v>967</v>
      </c>
      <c r="D1434" t="s">
        <v>965</v>
      </c>
      <c r="E1434" t="s">
        <v>686</v>
      </c>
      <c r="F1434" t="s">
        <v>687</v>
      </c>
      <c r="G1434" t="s">
        <v>752</v>
      </c>
      <c r="H1434">
        <v>18</v>
      </c>
      <c r="I1434">
        <v>64.388900000000007</v>
      </c>
      <c r="J1434">
        <v>67.333299999999994</v>
      </c>
      <c r="K1434">
        <v>2.9444400000000002</v>
      </c>
      <c r="L1434">
        <v>9</v>
      </c>
      <c r="M1434">
        <v>1</v>
      </c>
      <c r="N1434">
        <v>8</v>
      </c>
      <c r="O1434" t="s">
        <v>127</v>
      </c>
      <c r="P1434" t="s">
        <v>127</v>
      </c>
      <c r="Q1434" t="s">
        <v>127</v>
      </c>
    </row>
    <row r="1435" spans="1:17" x14ac:dyDescent="0.25">
      <c r="A1435" t="str">
        <f>IF(C1435&amp;G1435&amp;D1435&lt;&gt;'Funnel setup'!$K$3&amp;'Funnel setup'!$K$4&amp;'Funnel setup'!$K$6,".",IF(A1434=".",1,A1434+1))</f>
        <v>.</v>
      </c>
      <c r="B1435" s="244" t="str">
        <f t="shared" si="22"/>
        <v>Hip Replacement RevisionProviderUNIVERSITY HOSPITALS OF LEICESTER NHS TRUST (RWE)EQ VAS</v>
      </c>
      <c r="C1435" t="s">
        <v>967</v>
      </c>
      <c r="D1435" t="s">
        <v>965</v>
      </c>
      <c r="E1435" t="s">
        <v>688</v>
      </c>
      <c r="F1435" t="s">
        <v>689</v>
      </c>
      <c r="G1435" t="s">
        <v>752</v>
      </c>
      <c r="H1435">
        <v>15</v>
      </c>
      <c r="I1435">
        <v>60.7333</v>
      </c>
      <c r="J1435">
        <v>73.7333</v>
      </c>
      <c r="K1435">
        <v>13</v>
      </c>
      <c r="L1435">
        <v>9</v>
      </c>
      <c r="M1435">
        <v>2</v>
      </c>
      <c r="N1435">
        <v>4</v>
      </c>
      <c r="O1435" t="s">
        <v>127</v>
      </c>
      <c r="P1435" t="s">
        <v>127</v>
      </c>
      <c r="Q1435" t="s">
        <v>127</v>
      </c>
    </row>
    <row r="1436" spans="1:17" x14ac:dyDescent="0.25">
      <c r="A1436" t="str">
        <f>IF(C1436&amp;G1436&amp;D1436&lt;&gt;'Funnel setup'!$K$3&amp;'Funnel setup'!$K$4&amp;'Funnel setup'!$K$6,".",IF(A1435=".",1,A1435+1))</f>
        <v>.</v>
      </c>
      <c r="B1436" s="244" t="str">
        <f t="shared" si="22"/>
        <v>Hip Replacement RevisionProviderUNIVERSITY HOSPITALS OF MORECAMBE BAY NHS FOUNDATION TRUST (RTX)EQ VAS</v>
      </c>
      <c r="C1436" t="s">
        <v>967</v>
      </c>
      <c r="D1436" t="s">
        <v>965</v>
      </c>
      <c r="E1436" t="s">
        <v>690</v>
      </c>
      <c r="F1436" t="s">
        <v>691</v>
      </c>
      <c r="G1436" t="s">
        <v>752</v>
      </c>
      <c r="H1436">
        <v>8</v>
      </c>
      <c r="I1436">
        <v>59.5</v>
      </c>
      <c r="J1436">
        <v>79.375</v>
      </c>
      <c r="K1436">
        <v>19.875</v>
      </c>
      <c r="L1436">
        <v>6</v>
      </c>
      <c r="M1436">
        <v>0</v>
      </c>
      <c r="N1436">
        <v>2</v>
      </c>
      <c r="O1436" t="s">
        <v>127</v>
      </c>
      <c r="P1436" t="s">
        <v>127</v>
      </c>
      <c r="Q1436" t="s">
        <v>127</v>
      </c>
    </row>
    <row r="1437" spans="1:17" x14ac:dyDescent="0.25">
      <c r="A1437" t="str">
        <f>IF(C1437&amp;G1437&amp;D1437&lt;&gt;'Funnel setup'!$K$3&amp;'Funnel setup'!$K$4&amp;'Funnel setup'!$K$6,".",IF(A1436=".",1,A1436+1))</f>
        <v>.</v>
      </c>
      <c r="B1437" s="244" t="str">
        <f t="shared" si="22"/>
        <v>Hip Replacement RevisionProviderUNIVERSITY HOSPITALS PLYMOUTH NHS TRUST (RK9)EQ VAS</v>
      </c>
      <c r="C1437" t="s">
        <v>967</v>
      </c>
      <c r="D1437" t="s">
        <v>965</v>
      </c>
      <c r="E1437" t="s">
        <v>694</v>
      </c>
      <c r="F1437" t="s">
        <v>695</v>
      </c>
      <c r="G1437" t="s">
        <v>752</v>
      </c>
      <c r="H1437">
        <v>1</v>
      </c>
      <c r="I1437">
        <v>25</v>
      </c>
      <c r="J1437">
        <v>5</v>
      </c>
      <c r="K1437">
        <v>-20</v>
      </c>
      <c r="L1437">
        <v>0</v>
      </c>
      <c r="M1437">
        <v>0</v>
      </c>
      <c r="N1437">
        <v>1</v>
      </c>
      <c r="O1437" t="s">
        <v>127</v>
      </c>
      <c r="P1437" t="s">
        <v>127</v>
      </c>
      <c r="Q1437" t="s">
        <v>127</v>
      </c>
    </row>
    <row r="1438" spans="1:17" x14ac:dyDescent="0.25">
      <c r="A1438" t="str">
        <f>IF(C1438&amp;G1438&amp;D1438&lt;&gt;'Funnel setup'!$K$3&amp;'Funnel setup'!$K$4&amp;'Funnel setup'!$K$6,".",IF(A1437=".",1,A1437+1))</f>
        <v>.</v>
      </c>
      <c r="B1438" s="244" t="str">
        <f t="shared" si="22"/>
        <v>Hip Replacement RevisionProviderUNIVERSITY HOSPITALS SUSSEX NHS FOUNDATION TRUST (RYR)EQ VAS</v>
      </c>
      <c r="C1438" t="s">
        <v>967</v>
      </c>
      <c r="D1438" t="s">
        <v>965</v>
      </c>
      <c r="E1438" t="s">
        <v>696</v>
      </c>
      <c r="F1438" t="s">
        <v>697</v>
      </c>
      <c r="G1438" t="s">
        <v>752</v>
      </c>
      <c r="H1438">
        <v>14</v>
      </c>
      <c r="I1438">
        <v>56.928600000000003</v>
      </c>
      <c r="J1438">
        <v>60.714300000000001</v>
      </c>
      <c r="K1438">
        <v>3.7857099999999999</v>
      </c>
      <c r="L1438">
        <v>8</v>
      </c>
      <c r="M1438">
        <v>2</v>
      </c>
      <c r="N1438">
        <v>4</v>
      </c>
      <c r="O1438" t="s">
        <v>127</v>
      </c>
      <c r="P1438" t="s">
        <v>127</v>
      </c>
      <c r="Q1438" t="s">
        <v>127</v>
      </c>
    </row>
    <row r="1439" spans="1:17" x14ac:dyDescent="0.25">
      <c r="A1439" t="str">
        <f>IF(C1439&amp;G1439&amp;D1439&lt;&gt;'Funnel setup'!$K$3&amp;'Funnel setup'!$K$4&amp;'Funnel setup'!$K$6,".",IF(A1438=".",1,A1438+1))</f>
        <v>.</v>
      </c>
      <c r="B1439" s="244" t="str">
        <f t="shared" si="22"/>
        <v>Hip Replacement RevisionProviderWARRINGTON AND HALTON TEACHING HOSPITALS NHS FOUNDATION TRUST (RWW)EQ VAS</v>
      </c>
      <c r="C1439" t="s">
        <v>967</v>
      </c>
      <c r="D1439" t="s">
        <v>965</v>
      </c>
      <c r="E1439" t="s">
        <v>700</v>
      </c>
      <c r="F1439" t="s">
        <v>701</v>
      </c>
      <c r="G1439" t="s">
        <v>752</v>
      </c>
      <c r="H1439">
        <v>1</v>
      </c>
      <c r="I1439">
        <v>75</v>
      </c>
      <c r="J1439">
        <v>80</v>
      </c>
      <c r="K1439">
        <v>5</v>
      </c>
      <c r="L1439">
        <v>1</v>
      </c>
      <c r="M1439">
        <v>0</v>
      </c>
      <c r="N1439">
        <v>0</v>
      </c>
      <c r="O1439" t="s">
        <v>127</v>
      </c>
      <c r="P1439" t="s">
        <v>127</v>
      </c>
      <c r="Q1439" t="s">
        <v>127</v>
      </c>
    </row>
    <row r="1440" spans="1:17" x14ac:dyDescent="0.25">
      <c r="A1440" t="str">
        <f>IF(C1440&amp;G1440&amp;D1440&lt;&gt;'Funnel setup'!$K$3&amp;'Funnel setup'!$K$4&amp;'Funnel setup'!$K$6,".",IF(A1439=".",1,A1439+1))</f>
        <v>.</v>
      </c>
      <c r="B1440" s="244" t="str">
        <f t="shared" si="22"/>
        <v>Hip Replacement RevisionProviderWEST HERTFORDSHIRE TEACHING HOSPITALS NHS TRUST (RWG)EQ VAS</v>
      </c>
      <c r="C1440" t="s">
        <v>967</v>
      </c>
      <c r="D1440" t="s">
        <v>965</v>
      </c>
      <c r="E1440" t="s">
        <v>702</v>
      </c>
      <c r="F1440" t="s">
        <v>703</v>
      </c>
      <c r="G1440" t="s">
        <v>752</v>
      </c>
      <c r="H1440">
        <v>6</v>
      </c>
      <c r="I1440">
        <v>52</v>
      </c>
      <c r="J1440">
        <v>68.333299999999994</v>
      </c>
      <c r="K1440">
        <v>16.333300000000001</v>
      </c>
      <c r="L1440">
        <v>5</v>
      </c>
      <c r="M1440">
        <v>0</v>
      </c>
      <c r="N1440">
        <v>1</v>
      </c>
      <c r="O1440" t="s">
        <v>127</v>
      </c>
      <c r="P1440" t="s">
        <v>127</v>
      </c>
      <c r="Q1440" t="s">
        <v>127</v>
      </c>
    </row>
    <row r="1441" spans="1:17" x14ac:dyDescent="0.25">
      <c r="A1441" t="str">
        <f>IF(C1441&amp;G1441&amp;D1441&lt;&gt;'Funnel setup'!$K$3&amp;'Funnel setup'!$K$4&amp;'Funnel setup'!$K$6,".",IF(A1440=".",1,A1440+1))</f>
        <v>.</v>
      </c>
      <c r="B1441" s="244" t="str">
        <f t="shared" si="22"/>
        <v>Hip Replacement RevisionProviderWEST SUFFOLK NHS FOUNDATION TRUST (RGR)EQ VAS</v>
      </c>
      <c r="C1441" t="s">
        <v>967</v>
      </c>
      <c r="D1441" t="s">
        <v>965</v>
      </c>
      <c r="E1441" t="s">
        <v>706</v>
      </c>
      <c r="F1441" t="s">
        <v>707</v>
      </c>
      <c r="G1441" t="s">
        <v>752</v>
      </c>
      <c r="H1441">
        <v>6</v>
      </c>
      <c r="I1441">
        <v>65.333299999999994</v>
      </c>
      <c r="J1441">
        <v>82.333299999999994</v>
      </c>
      <c r="K1441">
        <v>17</v>
      </c>
      <c r="L1441">
        <v>5</v>
      </c>
      <c r="M1441">
        <v>0</v>
      </c>
      <c r="N1441">
        <v>1</v>
      </c>
      <c r="O1441" t="s">
        <v>127</v>
      </c>
      <c r="P1441" t="s">
        <v>127</v>
      </c>
      <c r="Q1441" t="s">
        <v>127</v>
      </c>
    </row>
    <row r="1442" spans="1:17" x14ac:dyDescent="0.25">
      <c r="A1442" t="str">
        <f>IF(C1442&amp;G1442&amp;D1442&lt;&gt;'Funnel setup'!$K$3&amp;'Funnel setup'!$K$4&amp;'Funnel setup'!$K$6,".",IF(A1441=".",1,A1441+1))</f>
        <v>.</v>
      </c>
      <c r="B1442" s="244" t="str">
        <f t="shared" si="22"/>
        <v>Hip Replacement RevisionProviderWIRRAL UNIVERSITY TEACHING HOSPITAL NHS FOUNDATION TRUST (RBL)EQ VAS</v>
      </c>
      <c r="C1442" t="s">
        <v>967</v>
      </c>
      <c r="D1442" t="s">
        <v>965</v>
      </c>
      <c r="E1442" t="s">
        <v>714</v>
      </c>
      <c r="F1442" t="s">
        <v>715</v>
      </c>
      <c r="G1442" t="s">
        <v>752</v>
      </c>
      <c r="H1442">
        <v>1</v>
      </c>
      <c r="I1442">
        <v>70</v>
      </c>
      <c r="J1442">
        <v>95</v>
      </c>
      <c r="K1442">
        <v>25</v>
      </c>
      <c r="L1442">
        <v>1</v>
      </c>
      <c r="M1442">
        <v>0</v>
      </c>
      <c r="N1442">
        <v>0</v>
      </c>
      <c r="O1442" t="s">
        <v>127</v>
      </c>
      <c r="P1442" t="s">
        <v>127</v>
      </c>
      <c r="Q1442" t="s">
        <v>127</v>
      </c>
    </row>
    <row r="1443" spans="1:17" x14ac:dyDescent="0.25">
      <c r="A1443" t="str">
        <f>IF(C1443&amp;G1443&amp;D1443&lt;&gt;'Funnel setup'!$K$3&amp;'Funnel setup'!$K$4&amp;'Funnel setup'!$K$6,".",IF(A1442=".",1,A1442+1))</f>
        <v>.</v>
      </c>
      <c r="B1443" s="244" t="str">
        <f t="shared" si="22"/>
        <v>Hip Replacement RevisionProviderWOODLAND HOSPITAL (NVC23)EQ VAS</v>
      </c>
      <c r="C1443" t="s">
        <v>967</v>
      </c>
      <c r="D1443" t="s">
        <v>965</v>
      </c>
      <c r="E1443" t="s">
        <v>716</v>
      </c>
      <c r="F1443" t="s">
        <v>717</v>
      </c>
      <c r="G1443" t="s">
        <v>752</v>
      </c>
      <c r="H1443" t="s">
        <v>127</v>
      </c>
      <c r="I1443" t="s">
        <v>127</v>
      </c>
      <c r="J1443" t="s">
        <v>127</v>
      </c>
      <c r="K1443" t="s">
        <v>127</v>
      </c>
      <c r="L1443" t="s">
        <v>127</v>
      </c>
      <c r="M1443" t="s">
        <v>127</v>
      </c>
      <c r="N1443" t="s">
        <v>127</v>
      </c>
      <c r="O1443" t="s">
        <v>127</v>
      </c>
      <c r="P1443" t="s">
        <v>127</v>
      </c>
      <c r="Q1443" t="s">
        <v>127</v>
      </c>
    </row>
    <row r="1444" spans="1:17" x14ac:dyDescent="0.25">
      <c r="A1444" t="str">
        <f>IF(C1444&amp;G1444&amp;D1444&lt;&gt;'Funnel setup'!$K$3&amp;'Funnel setup'!$K$4&amp;'Funnel setup'!$K$6,".",IF(A1443=".",1,A1443+1))</f>
        <v>.</v>
      </c>
      <c r="B1444" s="244" t="str">
        <f t="shared" si="22"/>
        <v>Hip Replacement RevisionProviderWOODLANDS HOSPITAL (NT457)EQ VAS</v>
      </c>
      <c r="C1444" t="s">
        <v>967</v>
      </c>
      <c r="D1444" t="s">
        <v>965</v>
      </c>
      <c r="E1444" t="s">
        <v>718</v>
      </c>
      <c r="F1444" t="s">
        <v>719</v>
      </c>
      <c r="G1444" t="s">
        <v>752</v>
      </c>
      <c r="H1444" t="s">
        <v>127</v>
      </c>
      <c r="I1444" t="s">
        <v>127</v>
      </c>
      <c r="J1444" t="s">
        <v>127</v>
      </c>
      <c r="K1444" t="s">
        <v>127</v>
      </c>
      <c r="L1444" t="s">
        <v>127</v>
      </c>
      <c r="M1444" t="s">
        <v>127</v>
      </c>
      <c r="N1444" t="s">
        <v>127</v>
      </c>
      <c r="O1444" t="s">
        <v>127</v>
      </c>
      <c r="P1444" t="s">
        <v>127</v>
      </c>
      <c r="Q1444" t="s">
        <v>127</v>
      </c>
    </row>
    <row r="1445" spans="1:17" x14ac:dyDescent="0.25">
      <c r="A1445" t="str">
        <f>IF(C1445&amp;G1445&amp;D1445&lt;&gt;'Funnel setup'!$K$3&amp;'Funnel setup'!$K$4&amp;'Funnel setup'!$K$6,".",IF(A1444=".",1,A1444+1))</f>
        <v>.</v>
      </c>
      <c r="B1445" s="244" t="str">
        <f t="shared" si="22"/>
        <v>Hip Replacement RevisionProviderWORCESTERSHIRE ACUTE HOSPITALS NHS TRUST (RWP)EQ VAS</v>
      </c>
      <c r="C1445" t="s">
        <v>967</v>
      </c>
      <c r="D1445" t="s">
        <v>965</v>
      </c>
      <c r="E1445" t="s">
        <v>722</v>
      </c>
      <c r="F1445" t="s">
        <v>723</v>
      </c>
      <c r="G1445" t="s">
        <v>752</v>
      </c>
      <c r="H1445">
        <v>5</v>
      </c>
      <c r="I1445">
        <v>66</v>
      </c>
      <c r="J1445">
        <v>66</v>
      </c>
      <c r="K1445">
        <v>0</v>
      </c>
      <c r="L1445">
        <v>2</v>
      </c>
      <c r="M1445">
        <v>0</v>
      </c>
      <c r="N1445">
        <v>3</v>
      </c>
      <c r="O1445" t="s">
        <v>127</v>
      </c>
      <c r="P1445" t="s">
        <v>127</v>
      </c>
      <c r="Q1445" t="s">
        <v>127</v>
      </c>
    </row>
    <row r="1446" spans="1:17" x14ac:dyDescent="0.25">
      <c r="A1446" t="str">
        <f>IF(C1446&amp;G1446&amp;D1446&lt;&gt;'Funnel setup'!$K$3&amp;'Funnel setup'!$K$4&amp;'Funnel setup'!$K$6,".",IF(A1445=".",1,A1445+1))</f>
        <v>.</v>
      </c>
      <c r="B1446" s="244" t="str">
        <f t="shared" si="22"/>
        <v>Hip Replacement RevisionProviderWRIGHTINGTON, WIGAN AND LEIGH NHS FOUNDATION TRUST (RRF)EQ VAS</v>
      </c>
      <c r="C1446" t="s">
        <v>967</v>
      </c>
      <c r="D1446" t="s">
        <v>965</v>
      </c>
      <c r="E1446" t="s">
        <v>724</v>
      </c>
      <c r="F1446" t="s">
        <v>725</v>
      </c>
      <c r="G1446" t="s">
        <v>752</v>
      </c>
      <c r="H1446">
        <v>2</v>
      </c>
      <c r="I1446">
        <v>84</v>
      </c>
      <c r="J1446">
        <v>84.5</v>
      </c>
      <c r="K1446">
        <v>0.5</v>
      </c>
      <c r="L1446">
        <v>1</v>
      </c>
      <c r="M1446">
        <v>0</v>
      </c>
      <c r="N1446">
        <v>1</v>
      </c>
      <c r="O1446" t="s">
        <v>127</v>
      </c>
      <c r="P1446" t="s">
        <v>127</v>
      </c>
      <c r="Q1446" t="s">
        <v>127</v>
      </c>
    </row>
    <row r="1447" spans="1:17" x14ac:dyDescent="0.25">
      <c r="A1447" t="str">
        <f>IF(C1447&amp;G1447&amp;D1447&lt;&gt;'Funnel setup'!$K$3&amp;'Funnel setup'!$K$4&amp;'Funnel setup'!$K$6,".",IF(A1446=".",1,A1446+1))</f>
        <v>.</v>
      </c>
      <c r="B1447" s="244" t="str">
        <f t="shared" si="22"/>
        <v>Hip Replacement RevisionProviderWYE VALLEY NHS TRUST (RLQ)EQ VAS</v>
      </c>
      <c r="C1447" t="s">
        <v>967</v>
      </c>
      <c r="D1447" t="s">
        <v>965</v>
      </c>
      <c r="E1447" t="s">
        <v>726</v>
      </c>
      <c r="F1447" t="s">
        <v>727</v>
      </c>
      <c r="G1447" t="s">
        <v>752</v>
      </c>
      <c r="H1447" t="s">
        <v>968</v>
      </c>
      <c r="I1447" t="s">
        <v>968</v>
      </c>
      <c r="J1447" t="s">
        <v>968</v>
      </c>
      <c r="K1447" t="s">
        <v>968</v>
      </c>
      <c r="L1447" t="s">
        <v>968</v>
      </c>
      <c r="M1447" t="s">
        <v>968</v>
      </c>
      <c r="N1447" t="s">
        <v>968</v>
      </c>
      <c r="O1447" t="s">
        <v>968</v>
      </c>
      <c r="P1447" t="s">
        <v>968</v>
      </c>
      <c r="Q1447" t="s">
        <v>968</v>
      </c>
    </row>
    <row r="1448" spans="1:17" x14ac:dyDescent="0.25">
      <c r="A1448" t="str">
        <f>IF(C1448&amp;G1448&amp;D1448&lt;&gt;'Funnel setup'!$K$3&amp;'Funnel setup'!$K$4&amp;'Funnel setup'!$K$6,".",IF(A1447=".",1,A1447+1))</f>
        <v>.</v>
      </c>
      <c r="B1448" s="244" t="str">
        <f t="shared" si="22"/>
        <v>Hip Replacement RevisionProviderASHFORD AND ST PETER'S HOSPITALS NHS FOUNDATION TRUST (RTK)EQ-5D Index</v>
      </c>
      <c r="C1448" t="s">
        <v>967</v>
      </c>
      <c r="D1448" t="s">
        <v>965</v>
      </c>
      <c r="E1448" t="s">
        <v>132</v>
      </c>
      <c r="F1448" t="s">
        <v>133</v>
      </c>
      <c r="G1448" t="s">
        <v>963</v>
      </c>
      <c r="H1448">
        <v>1</v>
      </c>
      <c r="I1448">
        <v>-7.3999999999999996E-2</v>
      </c>
      <c r="J1448">
        <v>0.51600000000000001</v>
      </c>
      <c r="K1448">
        <v>0.59</v>
      </c>
      <c r="L1448">
        <v>1</v>
      </c>
      <c r="M1448">
        <v>0</v>
      </c>
      <c r="N1448">
        <v>0</v>
      </c>
      <c r="O1448" t="s">
        <v>127</v>
      </c>
      <c r="P1448" t="s">
        <v>127</v>
      </c>
      <c r="Q1448" t="s">
        <v>127</v>
      </c>
    </row>
    <row r="1449" spans="1:17" x14ac:dyDescent="0.25">
      <c r="A1449" t="str">
        <f>IF(C1449&amp;G1449&amp;D1449&lt;&gt;'Funnel setup'!$K$3&amp;'Funnel setup'!$K$4&amp;'Funnel setup'!$K$6,".",IF(A1448=".",1,A1448+1))</f>
        <v>.</v>
      </c>
      <c r="B1449" s="244" t="str">
        <f t="shared" si="22"/>
        <v>Hip Replacement RevisionProviderBARKING, HAVERING AND REDBRIDGE UNIVERSITY HOSPITALS NHS TRUST (RF4)EQ-5D Index</v>
      </c>
      <c r="C1449" t="s">
        <v>967</v>
      </c>
      <c r="D1449" t="s">
        <v>965</v>
      </c>
      <c r="E1449" t="s">
        <v>144</v>
      </c>
      <c r="F1449" t="s">
        <v>145</v>
      </c>
      <c r="G1449" t="s">
        <v>963</v>
      </c>
      <c r="H1449">
        <v>2</v>
      </c>
      <c r="I1449">
        <v>-7.3999999999999996E-2</v>
      </c>
      <c r="J1449">
        <v>0.87150000000000005</v>
      </c>
      <c r="K1449">
        <v>0.94550000000000001</v>
      </c>
      <c r="L1449">
        <v>2</v>
      </c>
      <c r="M1449">
        <v>0</v>
      </c>
      <c r="N1449">
        <v>0</v>
      </c>
      <c r="O1449" t="s">
        <v>127</v>
      </c>
      <c r="P1449" t="s">
        <v>127</v>
      </c>
      <c r="Q1449" t="s">
        <v>127</v>
      </c>
    </row>
    <row r="1450" spans="1:17" x14ac:dyDescent="0.25">
      <c r="A1450" t="str">
        <f>IF(C1450&amp;G1450&amp;D1450&lt;&gt;'Funnel setup'!$K$3&amp;'Funnel setup'!$K$4&amp;'Funnel setup'!$K$6,".",IF(A1449=".",1,A1449+1))</f>
        <v>.</v>
      </c>
      <c r="B1450" s="244" t="str">
        <f t="shared" si="22"/>
        <v>Hip Replacement RevisionProviderBARTS HEALTH NHS TRUST (R1H)EQ-5D Index</v>
      </c>
      <c r="C1450" t="s">
        <v>967</v>
      </c>
      <c r="D1450" t="s">
        <v>965</v>
      </c>
      <c r="E1450" t="s">
        <v>148</v>
      </c>
      <c r="F1450" t="s">
        <v>149</v>
      </c>
      <c r="G1450" t="s">
        <v>963</v>
      </c>
      <c r="H1450">
        <v>1</v>
      </c>
      <c r="I1450">
        <v>0.51600000000000001</v>
      </c>
      <c r="J1450">
        <v>8.2000000000000003E-2</v>
      </c>
      <c r="K1450">
        <v>-0.434</v>
      </c>
      <c r="L1450">
        <v>0</v>
      </c>
      <c r="M1450">
        <v>0</v>
      </c>
      <c r="N1450">
        <v>1</v>
      </c>
      <c r="O1450" t="s">
        <v>127</v>
      </c>
      <c r="P1450" t="s">
        <v>127</v>
      </c>
      <c r="Q1450" t="s">
        <v>127</v>
      </c>
    </row>
    <row r="1451" spans="1:17" x14ac:dyDescent="0.25">
      <c r="A1451" t="str">
        <f>IF(C1451&amp;G1451&amp;D1451&lt;&gt;'Funnel setup'!$K$3&amp;'Funnel setup'!$K$4&amp;'Funnel setup'!$K$6,".",IF(A1450=".",1,A1450+1))</f>
        <v>.</v>
      </c>
      <c r="B1451" s="244" t="str">
        <f t="shared" si="22"/>
        <v>Hip Replacement RevisionProviderBEDFORDSHIRE HOSPITALS NHS FOUNDATION TRUST (RC9)EQ-5D Index</v>
      </c>
      <c r="C1451" t="s">
        <v>967</v>
      </c>
      <c r="D1451" t="s">
        <v>965</v>
      </c>
      <c r="E1451" t="s">
        <v>158</v>
      </c>
      <c r="F1451" t="s">
        <v>159</v>
      </c>
      <c r="G1451" t="s">
        <v>963</v>
      </c>
      <c r="H1451">
        <v>3</v>
      </c>
      <c r="I1451">
        <v>0.224</v>
      </c>
      <c r="J1451">
        <v>0.69099999999999995</v>
      </c>
      <c r="K1451">
        <v>0.46700000000000003</v>
      </c>
      <c r="L1451">
        <v>2</v>
      </c>
      <c r="M1451">
        <v>1</v>
      </c>
      <c r="N1451">
        <v>0</v>
      </c>
      <c r="O1451" t="s">
        <v>127</v>
      </c>
      <c r="P1451" t="s">
        <v>127</v>
      </c>
      <c r="Q1451" t="s">
        <v>127</v>
      </c>
    </row>
    <row r="1452" spans="1:17" x14ac:dyDescent="0.25">
      <c r="A1452" t="str">
        <f>IF(C1452&amp;G1452&amp;D1452&lt;&gt;'Funnel setup'!$K$3&amp;'Funnel setup'!$K$4&amp;'Funnel setup'!$K$6,".",IF(A1451=".",1,A1451+1))</f>
        <v>.</v>
      </c>
      <c r="B1452" s="244" t="str">
        <f t="shared" si="22"/>
        <v>Hip Replacement RevisionProviderBLACKPOOL TEACHING HOSPITALS NHS FOUNDATION TRUST (RXL)EQ-5D Index</v>
      </c>
      <c r="C1452" t="s">
        <v>967</v>
      </c>
      <c r="D1452" t="s">
        <v>965</v>
      </c>
      <c r="E1452" t="s">
        <v>170</v>
      </c>
      <c r="F1452" t="s">
        <v>171</v>
      </c>
      <c r="G1452" t="s">
        <v>963</v>
      </c>
      <c r="H1452">
        <v>1</v>
      </c>
      <c r="I1452">
        <v>0.79600000000000004</v>
      </c>
      <c r="J1452">
        <v>1</v>
      </c>
      <c r="K1452">
        <v>0.20399999999999999</v>
      </c>
      <c r="L1452">
        <v>1</v>
      </c>
      <c r="M1452">
        <v>0</v>
      </c>
      <c r="N1452">
        <v>0</v>
      </c>
      <c r="O1452" t="s">
        <v>127</v>
      </c>
      <c r="P1452" t="s">
        <v>127</v>
      </c>
      <c r="Q1452" t="s">
        <v>127</v>
      </c>
    </row>
    <row r="1453" spans="1:17" x14ac:dyDescent="0.25">
      <c r="A1453" t="str">
        <f>IF(C1453&amp;G1453&amp;D1453&lt;&gt;'Funnel setup'!$K$3&amp;'Funnel setup'!$K$4&amp;'Funnel setup'!$K$6,".",IF(A1452=".",1,A1452+1))</f>
        <v>.</v>
      </c>
      <c r="B1453" s="244" t="str">
        <f t="shared" si="22"/>
        <v>Hip Replacement RevisionProviderBRADFORD TEACHING HOSPITALS NHS FOUNDATION TRUST (RAE)EQ-5D Index</v>
      </c>
      <c r="C1453" t="s">
        <v>967</v>
      </c>
      <c r="D1453" t="s">
        <v>965</v>
      </c>
      <c r="E1453" t="s">
        <v>174</v>
      </c>
      <c r="F1453" t="s">
        <v>175</v>
      </c>
      <c r="G1453" t="s">
        <v>963</v>
      </c>
      <c r="H1453">
        <v>2</v>
      </c>
      <c r="I1453">
        <v>0.28549999999999998</v>
      </c>
      <c r="J1453">
        <v>1</v>
      </c>
      <c r="K1453">
        <v>0.71450000000000002</v>
      </c>
      <c r="L1453">
        <v>2</v>
      </c>
      <c r="M1453">
        <v>0</v>
      </c>
      <c r="N1453">
        <v>0</v>
      </c>
      <c r="O1453" t="s">
        <v>127</v>
      </c>
      <c r="P1453" t="s">
        <v>127</v>
      </c>
      <c r="Q1453" t="s">
        <v>127</v>
      </c>
    </row>
    <row r="1454" spans="1:17" x14ac:dyDescent="0.25">
      <c r="A1454" t="str">
        <f>IF(C1454&amp;G1454&amp;D1454&lt;&gt;'Funnel setup'!$K$3&amp;'Funnel setup'!$K$4&amp;'Funnel setup'!$K$6,".",IF(A1453=".",1,A1453+1))</f>
        <v>.</v>
      </c>
      <c r="B1454" s="244" t="str">
        <f t="shared" si="22"/>
        <v>Hip Replacement RevisionProviderBUCKINGHAMSHIRE HEALTHCARE NHS TRUST (RXQ)EQ-5D Index</v>
      </c>
      <c r="C1454" t="s">
        <v>967</v>
      </c>
      <c r="D1454" t="s">
        <v>965</v>
      </c>
      <c r="E1454" t="s">
        <v>178</v>
      </c>
      <c r="F1454" t="s">
        <v>179</v>
      </c>
      <c r="G1454" t="s">
        <v>963</v>
      </c>
      <c r="H1454">
        <v>8</v>
      </c>
      <c r="I1454">
        <v>0.31674999999999998</v>
      </c>
      <c r="J1454">
        <v>0.70362499999999994</v>
      </c>
      <c r="K1454">
        <v>0.38687500000000002</v>
      </c>
      <c r="L1454">
        <v>7</v>
      </c>
      <c r="M1454">
        <v>0</v>
      </c>
      <c r="N1454">
        <v>1</v>
      </c>
      <c r="O1454" t="s">
        <v>127</v>
      </c>
      <c r="P1454" t="s">
        <v>127</v>
      </c>
      <c r="Q1454" t="s">
        <v>127</v>
      </c>
    </row>
    <row r="1455" spans="1:17" x14ac:dyDescent="0.25">
      <c r="A1455" t="str">
        <f>IF(C1455&amp;G1455&amp;D1455&lt;&gt;'Funnel setup'!$K$3&amp;'Funnel setup'!$K$4&amp;'Funnel setup'!$K$6,".",IF(A1454=".",1,A1454+1))</f>
        <v>.</v>
      </c>
      <c r="B1455" s="244" t="str">
        <f t="shared" si="22"/>
        <v>Hip Replacement RevisionProviderCALDERDALE AND HUDDERSFIELD NHS FOUNDATION TRUST (RWY)EQ-5D Index</v>
      </c>
      <c r="C1455" t="s">
        <v>967</v>
      </c>
      <c r="D1455" t="s">
        <v>965</v>
      </c>
      <c r="E1455" t="s">
        <v>180</v>
      </c>
      <c r="F1455" t="s">
        <v>181</v>
      </c>
      <c r="G1455" t="s">
        <v>963</v>
      </c>
      <c r="H1455">
        <v>5</v>
      </c>
      <c r="I1455">
        <v>0.33900000000000002</v>
      </c>
      <c r="J1455">
        <v>0.46660000000000001</v>
      </c>
      <c r="K1455">
        <v>0.12759999999999999</v>
      </c>
      <c r="L1455">
        <v>3</v>
      </c>
      <c r="M1455">
        <v>1</v>
      </c>
      <c r="N1455">
        <v>1</v>
      </c>
      <c r="O1455" t="s">
        <v>127</v>
      </c>
      <c r="P1455" t="s">
        <v>127</v>
      </c>
      <c r="Q1455" t="s">
        <v>127</v>
      </c>
    </row>
    <row r="1456" spans="1:17" x14ac:dyDescent="0.25">
      <c r="A1456" t="str">
        <f>IF(C1456&amp;G1456&amp;D1456&lt;&gt;'Funnel setup'!$K$3&amp;'Funnel setup'!$K$4&amp;'Funnel setup'!$K$6,".",IF(A1455=".",1,A1455+1))</f>
        <v>.</v>
      </c>
      <c r="B1456" s="244" t="str">
        <f t="shared" si="22"/>
        <v>Hip Replacement RevisionProviderCAMBRIDGE UNIVERSITY HOSPITALS NHS FOUNDATION TRUST (RGT)EQ-5D Index</v>
      </c>
      <c r="C1456" t="s">
        <v>967</v>
      </c>
      <c r="D1456" t="s">
        <v>965</v>
      </c>
      <c r="E1456" t="s">
        <v>182</v>
      </c>
      <c r="F1456" t="s">
        <v>183</v>
      </c>
      <c r="G1456" t="s">
        <v>963</v>
      </c>
      <c r="H1456">
        <v>11</v>
      </c>
      <c r="I1456">
        <v>0.45536399999999999</v>
      </c>
      <c r="J1456">
        <v>0.75009099999999995</v>
      </c>
      <c r="K1456">
        <v>0.29472700000000002</v>
      </c>
      <c r="L1456">
        <v>6</v>
      </c>
      <c r="M1456">
        <v>4</v>
      </c>
      <c r="N1456">
        <v>1</v>
      </c>
      <c r="O1456" t="s">
        <v>127</v>
      </c>
      <c r="P1456" t="s">
        <v>127</v>
      </c>
      <c r="Q1456" t="s">
        <v>127</v>
      </c>
    </row>
    <row r="1457" spans="1:17" x14ac:dyDescent="0.25">
      <c r="A1457" t="str">
        <f>IF(C1457&amp;G1457&amp;D1457&lt;&gt;'Funnel setup'!$K$3&amp;'Funnel setup'!$K$4&amp;'Funnel setup'!$K$6,".",IF(A1456=".",1,A1456+1))</f>
        <v>.</v>
      </c>
      <c r="B1457" s="244" t="str">
        <f t="shared" si="22"/>
        <v>Hip Replacement RevisionProviderCHESTERFIELD ROYAL HOSPITAL NHS FOUNDATION TRUST (RFS)EQ-5D Index</v>
      </c>
      <c r="C1457" t="s">
        <v>967</v>
      </c>
      <c r="D1457" t="s">
        <v>965</v>
      </c>
      <c r="E1457" t="s">
        <v>192</v>
      </c>
      <c r="F1457" t="s">
        <v>193</v>
      </c>
      <c r="G1457" t="s">
        <v>963</v>
      </c>
      <c r="H1457">
        <v>4</v>
      </c>
      <c r="I1457">
        <v>0.3125</v>
      </c>
      <c r="J1457">
        <v>0.53625</v>
      </c>
      <c r="K1457">
        <v>0.22375</v>
      </c>
      <c r="L1457">
        <v>3</v>
      </c>
      <c r="M1457">
        <v>0</v>
      </c>
      <c r="N1457">
        <v>1</v>
      </c>
      <c r="O1457" t="s">
        <v>127</v>
      </c>
      <c r="P1457" t="s">
        <v>127</v>
      </c>
      <c r="Q1457" t="s">
        <v>127</v>
      </c>
    </row>
    <row r="1458" spans="1:17" x14ac:dyDescent="0.25">
      <c r="A1458" t="str">
        <f>IF(C1458&amp;G1458&amp;D1458&lt;&gt;'Funnel setup'!$K$3&amp;'Funnel setup'!$K$4&amp;'Funnel setup'!$K$6,".",IF(A1457=".",1,A1457+1))</f>
        <v>.</v>
      </c>
      <c r="B1458" s="244" t="str">
        <f t="shared" si="22"/>
        <v>Hip Replacement RevisionProviderCLIFTON PARK HOSPITAL (NVC28)EQ-5D Index</v>
      </c>
      <c r="C1458" t="s">
        <v>967</v>
      </c>
      <c r="D1458" t="s">
        <v>965</v>
      </c>
      <c r="E1458" t="s">
        <v>202</v>
      </c>
      <c r="F1458" t="s">
        <v>203</v>
      </c>
      <c r="G1458" t="s">
        <v>963</v>
      </c>
      <c r="H1458">
        <v>1</v>
      </c>
      <c r="I1458">
        <v>1</v>
      </c>
      <c r="J1458">
        <v>1</v>
      </c>
      <c r="K1458">
        <v>0</v>
      </c>
      <c r="L1458">
        <v>0</v>
      </c>
      <c r="M1458">
        <v>1</v>
      </c>
      <c r="N1458">
        <v>0</v>
      </c>
      <c r="O1458" t="s">
        <v>127</v>
      </c>
      <c r="P1458" t="s">
        <v>127</v>
      </c>
      <c r="Q1458" t="s">
        <v>127</v>
      </c>
    </row>
    <row r="1459" spans="1:17" x14ac:dyDescent="0.25">
      <c r="A1459" t="str">
        <f>IF(C1459&amp;G1459&amp;D1459&lt;&gt;'Funnel setup'!$K$3&amp;'Funnel setup'!$K$4&amp;'Funnel setup'!$K$6,".",IF(A1458=".",1,A1458+1))</f>
        <v>.</v>
      </c>
      <c r="B1459" s="244" t="str">
        <f t="shared" si="22"/>
        <v>Hip Replacement RevisionProviderCOUNTY DURHAM AND DARLINGTON NHS FOUNDATION TRUST (RXP)EQ-5D Index</v>
      </c>
      <c r="C1459" t="s">
        <v>967</v>
      </c>
      <c r="D1459" t="s">
        <v>965</v>
      </c>
      <c r="E1459" t="s">
        <v>206</v>
      </c>
      <c r="F1459" t="s">
        <v>207</v>
      </c>
      <c r="G1459" t="s">
        <v>963</v>
      </c>
      <c r="H1459">
        <v>1</v>
      </c>
      <c r="I1459">
        <v>0.69099999999999995</v>
      </c>
      <c r="J1459">
        <v>0.69099999999999995</v>
      </c>
      <c r="K1459">
        <v>0</v>
      </c>
      <c r="L1459">
        <v>0</v>
      </c>
      <c r="M1459">
        <v>1</v>
      </c>
      <c r="N1459">
        <v>0</v>
      </c>
      <c r="O1459" t="s">
        <v>127</v>
      </c>
      <c r="P1459" t="s">
        <v>127</v>
      </c>
      <c r="Q1459" t="s">
        <v>127</v>
      </c>
    </row>
    <row r="1460" spans="1:17" x14ac:dyDescent="0.25">
      <c r="A1460" t="str">
        <f>IF(C1460&amp;G1460&amp;D1460&lt;&gt;'Funnel setup'!$K$3&amp;'Funnel setup'!$K$4&amp;'Funnel setup'!$K$6,".",IF(A1459=".",1,A1459+1))</f>
        <v>.</v>
      </c>
      <c r="B1460" s="244" t="str">
        <f t="shared" si="22"/>
        <v>Hip Replacement RevisionProviderDONCASTER AND BASSETLAW TEACHING HOSPITALS NHS FOUNDATION TRUST (RP5)EQ-5D Index</v>
      </c>
      <c r="C1460" t="s">
        <v>967</v>
      </c>
      <c r="D1460" t="s">
        <v>965</v>
      </c>
      <c r="E1460" t="s">
        <v>212</v>
      </c>
      <c r="F1460" t="s">
        <v>213</v>
      </c>
      <c r="G1460" t="s">
        <v>963</v>
      </c>
      <c r="H1460">
        <v>3</v>
      </c>
      <c r="I1460">
        <v>0.38400000000000001</v>
      </c>
      <c r="J1460">
        <v>0.26433299999999998</v>
      </c>
      <c r="K1460">
        <v>-0.119667</v>
      </c>
      <c r="L1460">
        <v>1</v>
      </c>
      <c r="M1460">
        <v>0</v>
      </c>
      <c r="N1460">
        <v>2</v>
      </c>
      <c r="O1460" t="s">
        <v>127</v>
      </c>
      <c r="P1460" t="s">
        <v>127</v>
      </c>
      <c r="Q1460" t="s">
        <v>127</v>
      </c>
    </row>
    <row r="1461" spans="1:17" x14ac:dyDescent="0.25">
      <c r="A1461" t="str">
        <f>IF(C1461&amp;G1461&amp;D1461&lt;&gt;'Funnel setup'!$K$3&amp;'Funnel setup'!$K$4&amp;'Funnel setup'!$K$6,".",IF(A1460=".",1,A1460+1))</f>
        <v>.</v>
      </c>
      <c r="B1461" s="244" t="str">
        <f t="shared" si="22"/>
        <v>Hip Replacement RevisionProviderDORSET COUNTY HOSPITAL NHS FOUNDATION TRUST (RBD)EQ-5D Index</v>
      </c>
      <c r="C1461" t="s">
        <v>967</v>
      </c>
      <c r="D1461" t="s">
        <v>965</v>
      </c>
      <c r="E1461" t="s">
        <v>214</v>
      </c>
      <c r="F1461" t="s">
        <v>215</v>
      </c>
      <c r="G1461" t="s">
        <v>963</v>
      </c>
      <c r="H1461">
        <v>1</v>
      </c>
      <c r="I1461">
        <v>1</v>
      </c>
      <c r="J1461">
        <v>0.76</v>
      </c>
      <c r="K1461">
        <v>-0.24</v>
      </c>
      <c r="L1461">
        <v>0</v>
      </c>
      <c r="M1461">
        <v>0</v>
      </c>
      <c r="N1461">
        <v>1</v>
      </c>
      <c r="O1461" t="s">
        <v>127</v>
      </c>
      <c r="P1461" t="s">
        <v>127</v>
      </c>
      <c r="Q1461" t="s">
        <v>127</v>
      </c>
    </row>
    <row r="1462" spans="1:17" x14ac:dyDescent="0.25">
      <c r="A1462" t="str">
        <f>IF(C1462&amp;G1462&amp;D1462&lt;&gt;'Funnel setup'!$K$3&amp;'Funnel setup'!$K$4&amp;'Funnel setup'!$K$6,".",IF(A1461=".",1,A1461+1))</f>
        <v>.</v>
      </c>
      <c r="B1462" s="244" t="str">
        <f t="shared" si="22"/>
        <v>Hip Replacement RevisionProviderEAST AND NORTH HERTFORDSHIRE NHS TRUST (RWH)EQ-5D Index</v>
      </c>
      <c r="C1462" t="s">
        <v>967</v>
      </c>
      <c r="D1462" t="s">
        <v>965</v>
      </c>
      <c r="E1462" t="s">
        <v>224</v>
      </c>
      <c r="F1462" t="s">
        <v>225</v>
      </c>
      <c r="G1462" t="s">
        <v>963</v>
      </c>
      <c r="H1462">
        <v>8</v>
      </c>
      <c r="I1462">
        <v>0.34449999999999997</v>
      </c>
      <c r="J1462">
        <v>0.82425000000000004</v>
      </c>
      <c r="K1462">
        <v>0.47975000000000001</v>
      </c>
      <c r="L1462">
        <v>8</v>
      </c>
      <c r="M1462">
        <v>0</v>
      </c>
      <c r="N1462">
        <v>0</v>
      </c>
      <c r="O1462" t="s">
        <v>127</v>
      </c>
      <c r="P1462" t="s">
        <v>127</v>
      </c>
      <c r="Q1462" t="s">
        <v>127</v>
      </c>
    </row>
    <row r="1463" spans="1:17" x14ac:dyDescent="0.25">
      <c r="A1463" t="str">
        <f>IF(C1463&amp;G1463&amp;D1463&lt;&gt;'Funnel setup'!$K$3&amp;'Funnel setup'!$K$4&amp;'Funnel setup'!$K$6,".",IF(A1462=".",1,A1462+1))</f>
        <v>.</v>
      </c>
      <c r="B1463" s="244" t="str">
        <f t="shared" si="22"/>
        <v>Hip Replacement RevisionProviderEAST KENT HOSPITALS UNIVERSITY NHS FOUNDATION TRUST (RVV)EQ-5D Index</v>
      </c>
      <c r="C1463" t="s">
        <v>967</v>
      </c>
      <c r="D1463" t="s">
        <v>965</v>
      </c>
      <c r="E1463" t="s">
        <v>228</v>
      </c>
      <c r="F1463" t="s">
        <v>229</v>
      </c>
      <c r="G1463" t="s">
        <v>963</v>
      </c>
      <c r="H1463">
        <v>6</v>
      </c>
      <c r="I1463">
        <v>0.30416700000000002</v>
      </c>
      <c r="J1463">
        <v>0.71116699999999999</v>
      </c>
      <c r="K1463">
        <v>0.40699999999999997</v>
      </c>
      <c r="L1463">
        <v>5</v>
      </c>
      <c r="M1463">
        <v>1</v>
      </c>
      <c r="N1463">
        <v>0</v>
      </c>
      <c r="O1463" t="s">
        <v>127</v>
      </c>
      <c r="P1463" t="s">
        <v>127</v>
      </c>
      <c r="Q1463" t="s">
        <v>127</v>
      </c>
    </row>
    <row r="1464" spans="1:17" x14ac:dyDescent="0.25">
      <c r="A1464" t="str">
        <f>IF(C1464&amp;G1464&amp;D1464&lt;&gt;'Funnel setup'!$K$3&amp;'Funnel setup'!$K$4&amp;'Funnel setup'!$K$6,".",IF(A1463=".",1,A1463+1))</f>
        <v>.</v>
      </c>
      <c r="B1464" s="244" t="str">
        <f t="shared" si="22"/>
        <v>Hip Replacement RevisionProviderEAST SUFFOLK AND NORTH ESSEX NHS FOUNDATION TRUST (RDE)EQ-5D Index</v>
      </c>
      <c r="C1464" t="s">
        <v>967</v>
      </c>
      <c r="D1464" t="s">
        <v>965</v>
      </c>
      <c r="E1464" t="s">
        <v>232</v>
      </c>
      <c r="F1464" t="s">
        <v>233</v>
      </c>
      <c r="G1464" t="s">
        <v>963</v>
      </c>
      <c r="H1464">
        <v>6</v>
      </c>
      <c r="I1464">
        <v>0.35749999999999998</v>
      </c>
      <c r="J1464">
        <v>0.87166699999999997</v>
      </c>
      <c r="K1464">
        <v>0.51416700000000004</v>
      </c>
      <c r="L1464">
        <v>6</v>
      </c>
      <c r="M1464">
        <v>0</v>
      </c>
      <c r="N1464">
        <v>0</v>
      </c>
      <c r="O1464" t="s">
        <v>127</v>
      </c>
      <c r="P1464" t="s">
        <v>127</v>
      </c>
      <c r="Q1464" t="s">
        <v>127</v>
      </c>
    </row>
    <row r="1465" spans="1:17" x14ac:dyDescent="0.25">
      <c r="A1465" t="str">
        <f>IF(C1465&amp;G1465&amp;D1465&lt;&gt;'Funnel setup'!$K$3&amp;'Funnel setup'!$K$4&amp;'Funnel setup'!$K$6,".",IF(A1464=".",1,A1464+1))</f>
        <v>.</v>
      </c>
      <c r="B1465" s="244" t="str">
        <f t="shared" si="22"/>
        <v>Hip Replacement RevisionProviderEAST SUSSEX HEALTHCARE NHS TRUST (RXC)EQ-5D Index</v>
      </c>
      <c r="C1465" t="s">
        <v>967</v>
      </c>
      <c r="D1465" t="s">
        <v>965</v>
      </c>
      <c r="E1465" t="s">
        <v>234</v>
      </c>
      <c r="F1465" t="s">
        <v>235</v>
      </c>
      <c r="G1465" t="s">
        <v>963</v>
      </c>
      <c r="H1465">
        <v>7</v>
      </c>
      <c r="I1465">
        <v>0.51342900000000002</v>
      </c>
      <c r="J1465">
        <v>0.59728599999999998</v>
      </c>
      <c r="K1465">
        <v>8.3857100000000004E-2</v>
      </c>
      <c r="L1465">
        <v>4</v>
      </c>
      <c r="M1465">
        <v>1</v>
      </c>
      <c r="N1465">
        <v>2</v>
      </c>
      <c r="O1465" t="s">
        <v>127</v>
      </c>
      <c r="P1465" t="s">
        <v>127</v>
      </c>
      <c r="Q1465" t="s">
        <v>127</v>
      </c>
    </row>
    <row r="1466" spans="1:17" x14ac:dyDescent="0.25">
      <c r="A1466" t="str">
        <f>IF(C1466&amp;G1466&amp;D1466&lt;&gt;'Funnel setup'!$K$3&amp;'Funnel setup'!$K$4&amp;'Funnel setup'!$K$6,".",IF(A1465=".",1,A1465+1))</f>
        <v>.</v>
      </c>
      <c r="B1466" s="244" t="str">
        <f t="shared" si="22"/>
        <v>Hip Replacement RevisionProviderEPSOM AND ST HELIER UNIVERSITY HOSPITALS NHS TRUST (RVR)EQ-5D Index</v>
      </c>
      <c r="C1466" t="s">
        <v>967</v>
      </c>
      <c r="D1466" t="s">
        <v>965</v>
      </c>
      <c r="E1466" t="s">
        <v>238</v>
      </c>
      <c r="F1466" t="s">
        <v>239</v>
      </c>
      <c r="G1466" t="s">
        <v>963</v>
      </c>
      <c r="H1466">
        <v>34</v>
      </c>
      <c r="I1466">
        <v>0.438</v>
      </c>
      <c r="J1466">
        <v>0.79385300000000003</v>
      </c>
      <c r="K1466">
        <v>0.35585299999999997</v>
      </c>
      <c r="L1466">
        <v>28</v>
      </c>
      <c r="M1466">
        <v>2</v>
      </c>
      <c r="N1466">
        <v>4</v>
      </c>
      <c r="O1466">
        <v>0.77117500000000005</v>
      </c>
      <c r="P1466">
        <v>0.40239399999999997</v>
      </c>
      <c r="Q1466">
        <v>0.21138499999999999</v>
      </c>
    </row>
    <row r="1467" spans="1:17" x14ac:dyDescent="0.25">
      <c r="A1467" t="str">
        <f>IF(C1467&amp;G1467&amp;D1467&lt;&gt;'Funnel setup'!$K$3&amp;'Funnel setup'!$K$4&amp;'Funnel setup'!$K$6,".",IF(A1466=".",1,A1466+1))</f>
        <v>.</v>
      </c>
      <c r="B1467" s="244" t="str">
        <f t="shared" si="22"/>
        <v>Hip Replacement RevisionProviderFITZWILLIAM HOSPITAL (NVC06)EQ-5D Index</v>
      </c>
      <c r="C1467" t="s">
        <v>967</v>
      </c>
      <c r="D1467" t="s">
        <v>965</v>
      </c>
      <c r="E1467" t="s">
        <v>244</v>
      </c>
      <c r="F1467" t="s">
        <v>245</v>
      </c>
      <c r="G1467" t="s">
        <v>963</v>
      </c>
      <c r="H1467" t="s">
        <v>127</v>
      </c>
      <c r="I1467" t="s">
        <v>127</v>
      </c>
      <c r="J1467" t="s">
        <v>127</v>
      </c>
      <c r="K1467" t="s">
        <v>127</v>
      </c>
      <c r="L1467" t="s">
        <v>127</v>
      </c>
      <c r="M1467" t="s">
        <v>127</v>
      </c>
      <c r="N1467" t="s">
        <v>127</v>
      </c>
      <c r="O1467" t="s">
        <v>127</v>
      </c>
      <c r="P1467" t="s">
        <v>127</v>
      </c>
      <c r="Q1467" t="s">
        <v>127</v>
      </c>
    </row>
    <row r="1468" spans="1:17" x14ac:dyDescent="0.25">
      <c r="A1468" t="str">
        <f>IF(C1468&amp;G1468&amp;D1468&lt;&gt;'Funnel setup'!$K$3&amp;'Funnel setup'!$K$4&amp;'Funnel setup'!$K$6,".",IF(A1467=".",1,A1467+1))</f>
        <v>.</v>
      </c>
      <c r="B1468" s="244" t="str">
        <f t="shared" si="22"/>
        <v>Hip Replacement RevisionProviderFRIMLEY HEALTH NHS FOUNDATION TRUST (RDU)EQ-5D Index</v>
      </c>
      <c r="C1468" t="s">
        <v>967</v>
      </c>
      <c r="D1468" t="s">
        <v>965</v>
      </c>
      <c r="E1468" t="s">
        <v>248</v>
      </c>
      <c r="F1468" t="s">
        <v>249</v>
      </c>
      <c r="G1468" t="s">
        <v>963</v>
      </c>
      <c r="H1468">
        <v>14</v>
      </c>
      <c r="I1468">
        <v>0.33678599999999997</v>
      </c>
      <c r="J1468">
        <v>0.90007099999999995</v>
      </c>
      <c r="K1468">
        <v>0.56328599999999995</v>
      </c>
      <c r="L1468">
        <v>13</v>
      </c>
      <c r="M1468">
        <v>0</v>
      </c>
      <c r="N1468">
        <v>1</v>
      </c>
      <c r="O1468" t="s">
        <v>127</v>
      </c>
      <c r="P1468" t="s">
        <v>127</v>
      </c>
      <c r="Q1468" t="s">
        <v>127</v>
      </c>
    </row>
    <row r="1469" spans="1:17" x14ac:dyDescent="0.25">
      <c r="A1469" t="str">
        <f>IF(C1469&amp;G1469&amp;D1469&lt;&gt;'Funnel setup'!$K$3&amp;'Funnel setup'!$K$4&amp;'Funnel setup'!$K$6,".",IF(A1468=".",1,A1468+1))</f>
        <v>.</v>
      </c>
      <c r="B1469" s="244" t="str">
        <f t="shared" si="22"/>
        <v>Hip Replacement RevisionProviderGATESHEAD HEALTH NHS FOUNDATION TRUST (RR7)EQ-5D Index</v>
      </c>
      <c r="C1469" t="s">
        <v>967</v>
      </c>
      <c r="D1469" t="s">
        <v>965</v>
      </c>
      <c r="E1469" t="s">
        <v>252</v>
      </c>
      <c r="F1469" t="s">
        <v>253</v>
      </c>
      <c r="G1469" t="s">
        <v>963</v>
      </c>
      <c r="H1469">
        <v>3</v>
      </c>
      <c r="I1469">
        <v>0.193</v>
      </c>
      <c r="J1469">
        <v>3.1E-2</v>
      </c>
      <c r="K1469">
        <v>-0.16200000000000001</v>
      </c>
      <c r="L1469">
        <v>0</v>
      </c>
      <c r="M1469">
        <v>0</v>
      </c>
      <c r="N1469">
        <v>3</v>
      </c>
      <c r="O1469" t="s">
        <v>127</v>
      </c>
      <c r="P1469" t="s">
        <v>127</v>
      </c>
      <c r="Q1469" t="s">
        <v>127</v>
      </c>
    </row>
    <row r="1470" spans="1:17" x14ac:dyDescent="0.25">
      <c r="A1470" t="str">
        <f>IF(C1470&amp;G1470&amp;D1470&lt;&gt;'Funnel setup'!$K$3&amp;'Funnel setup'!$K$4&amp;'Funnel setup'!$K$6,".",IF(A1469=".",1,A1469+1))</f>
        <v>.</v>
      </c>
      <c r="B1470" s="244" t="str">
        <f t="shared" si="22"/>
        <v>Hip Replacement RevisionProviderGLOUCESTERSHIRE HOSPITALS NHS FOUNDATION TRUST (RTE)EQ-5D Index</v>
      </c>
      <c r="C1470" t="s">
        <v>967</v>
      </c>
      <c r="D1470" t="s">
        <v>965</v>
      </c>
      <c r="E1470" t="s">
        <v>256</v>
      </c>
      <c r="F1470" t="s">
        <v>257</v>
      </c>
      <c r="G1470" t="s">
        <v>963</v>
      </c>
      <c r="H1470">
        <v>2</v>
      </c>
      <c r="I1470">
        <v>0.223</v>
      </c>
      <c r="J1470">
        <v>0.71699999999999997</v>
      </c>
      <c r="K1470">
        <v>0.49399999999999999</v>
      </c>
      <c r="L1470">
        <v>2</v>
      </c>
      <c r="M1470">
        <v>0</v>
      </c>
      <c r="N1470">
        <v>0</v>
      </c>
      <c r="O1470" t="s">
        <v>127</v>
      </c>
      <c r="P1470" t="s">
        <v>127</v>
      </c>
      <c r="Q1470" t="s">
        <v>127</v>
      </c>
    </row>
    <row r="1471" spans="1:17" x14ac:dyDescent="0.25">
      <c r="A1471" t="str">
        <f>IF(C1471&amp;G1471&amp;D1471&lt;&gt;'Funnel setup'!$K$3&amp;'Funnel setup'!$K$4&amp;'Funnel setup'!$K$6,".",IF(A1470=".",1,A1470+1))</f>
        <v>.</v>
      </c>
      <c r="B1471" s="244" t="str">
        <f t="shared" si="22"/>
        <v>Hip Replacement RevisionProviderGORING HALL HOSPITAL (NT417)EQ-5D Index</v>
      </c>
      <c r="C1471" t="s">
        <v>967</v>
      </c>
      <c r="D1471" t="s">
        <v>965</v>
      </c>
      <c r="E1471" t="s">
        <v>258</v>
      </c>
      <c r="F1471" t="s">
        <v>259</v>
      </c>
      <c r="G1471" t="s">
        <v>963</v>
      </c>
      <c r="H1471">
        <v>1</v>
      </c>
      <c r="I1471">
        <v>0.79600000000000004</v>
      </c>
      <c r="J1471">
        <v>-1.6E-2</v>
      </c>
      <c r="K1471">
        <v>-0.81200000000000006</v>
      </c>
      <c r="L1471">
        <v>0</v>
      </c>
      <c r="M1471">
        <v>0</v>
      </c>
      <c r="N1471">
        <v>1</v>
      </c>
      <c r="O1471" t="s">
        <v>127</v>
      </c>
      <c r="P1471" t="s">
        <v>127</v>
      </c>
      <c r="Q1471" t="s">
        <v>127</v>
      </c>
    </row>
    <row r="1472" spans="1:17" x14ac:dyDescent="0.25">
      <c r="A1472" t="str">
        <f>IF(C1472&amp;G1472&amp;D1472&lt;&gt;'Funnel setup'!$K$3&amp;'Funnel setup'!$K$4&amp;'Funnel setup'!$K$6,".",IF(A1471=".",1,A1471+1))</f>
        <v>.</v>
      </c>
      <c r="B1472" s="244" t="str">
        <f t="shared" si="22"/>
        <v>Hip Replacement RevisionProviderGUY'S AND ST THOMAS' NHS FOUNDATION TRUST (RJ1)EQ-5D Index</v>
      </c>
      <c r="C1472" t="s">
        <v>967</v>
      </c>
      <c r="D1472" t="s">
        <v>965</v>
      </c>
      <c r="E1472" t="s">
        <v>262</v>
      </c>
      <c r="F1472" t="s">
        <v>263</v>
      </c>
      <c r="G1472" t="s">
        <v>963</v>
      </c>
      <c r="H1472">
        <v>12</v>
      </c>
      <c r="I1472">
        <v>0.31950000000000001</v>
      </c>
      <c r="J1472">
        <v>0.51249999999999996</v>
      </c>
      <c r="K1472">
        <v>0.193</v>
      </c>
      <c r="L1472">
        <v>7</v>
      </c>
      <c r="M1472">
        <v>2</v>
      </c>
      <c r="N1472">
        <v>3</v>
      </c>
      <c r="O1472" t="s">
        <v>127</v>
      </c>
      <c r="P1472" t="s">
        <v>127</v>
      </c>
      <c r="Q1472" t="s">
        <v>127</v>
      </c>
    </row>
    <row r="1473" spans="1:17" x14ac:dyDescent="0.25">
      <c r="A1473" t="str">
        <f>IF(C1473&amp;G1473&amp;D1473&lt;&gt;'Funnel setup'!$K$3&amp;'Funnel setup'!$K$4&amp;'Funnel setup'!$K$6,".",IF(A1472=".",1,A1472+1))</f>
        <v>.</v>
      </c>
      <c r="B1473" s="244" t="str">
        <f t="shared" si="22"/>
        <v>Hip Replacement RevisionProviderHAMPSHIRE HOSPITALS NHS FOUNDATION TRUST (RN5)EQ-5D Index</v>
      </c>
      <c r="C1473" t="s">
        <v>967</v>
      </c>
      <c r="D1473" t="s">
        <v>965</v>
      </c>
      <c r="E1473" t="s">
        <v>266</v>
      </c>
      <c r="F1473" t="s">
        <v>267</v>
      </c>
      <c r="G1473" t="s">
        <v>963</v>
      </c>
      <c r="H1473">
        <v>1</v>
      </c>
      <c r="I1473">
        <v>0.58699999999999997</v>
      </c>
      <c r="J1473">
        <v>0.69099999999999995</v>
      </c>
      <c r="K1473">
        <v>0.104</v>
      </c>
      <c r="L1473">
        <v>1</v>
      </c>
      <c r="M1473">
        <v>0</v>
      </c>
      <c r="N1473">
        <v>0</v>
      </c>
      <c r="O1473" t="s">
        <v>127</v>
      </c>
      <c r="P1473" t="s">
        <v>127</v>
      </c>
      <c r="Q1473" t="s">
        <v>127</v>
      </c>
    </row>
    <row r="1474" spans="1:17" x14ac:dyDescent="0.25">
      <c r="A1474" t="str">
        <f>IF(C1474&amp;G1474&amp;D1474&lt;&gt;'Funnel setup'!$K$3&amp;'Funnel setup'!$K$4&amp;'Funnel setup'!$K$6,".",IF(A1473=".",1,A1473+1))</f>
        <v>.</v>
      </c>
      <c r="B1474" s="244" t="str">
        <f t="shared" ref="B1474:B1537" si="23">C1474&amp;D1474&amp;F1474&amp;G1474</f>
        <v>Hip Replacement RevisionProviderHARROGATE AND DISTRICT NHS FOUNDATION TRUST (RCD)EQ-5D Index</v>
      </c>
      <c r="C1474" t="s">
        <v>967</v>
      </c>
      <c r="D1474" t="s">
        <v>965</v>
      </c>
      <c r="E1474" t="s">
        <v>270</v>
      </c>
      <c r="F1474" t="s">
        <v>271</v>
      </c>
      <c r="G1474" t="s">
        <v>963</v>
      </c>
      <c r="H1474">
        <v>7</v>
      </c>
      <c r="I1474">
        <v>0.45528600000000002</v>
      </c>
      <c r="J1474">
        <v>0.79042900000000005</v>
      </c>
      <c r="K1474">
        <v>0.33514300000000002</v>
      </c>
      <c r="L1474">
        <v>7</v>
      </c>
      <c r="M1474">
        <v>0</v>
      </c>
      <c r="N1474">
        <v>0</v>
      </c>
      <c r="O1474" t="s">
        <v>127</v>
      </c>
      <c r="P1474" t="s">
        <v>127</v>
      </c>
      <c r="Q1474" t="s">
        <v>127</v>
      </c>
    </row>
    <row r="1475" spans="1:17" x14ac:dyDescent="0.25">
      <c r="A1475" t="str">
        <f>IF(C1475&amp;G1475&amp;D1475&lt;&gt;'Funnel setup'!$K$3&amp;'Funnel setup'!$K$4&amp;'Funnel setup'!$K$6,".",IF(A1474=".",1,A1474+1))</f>
        <v>.</v>
      </c>
      <c r="B1475" s="244" t="str">
        <f t="shared" si="23"/>
        <v>Hip Replacement RevisionProviderHULL UNIVERSITY TEACHING HOSPITALS NHS TRUST (RWA)EQ-5D Index</v>
      </c>
      <c r="C1475" t="s">
        <v>967</v>
      </c>
      <c r="D1475" t="s">
        <v>965</v>
      </c>
      <c r="E1475" t="s">
        <v>278</v>
      </c>
      <c r="F1475" t="s">
        <v>279</v>
      </c>
      <c r="G1475" t="s">
        <v>963</v>
      </c>
      <c r="H1475">
        <v>4</v>
      </c>
      <c r="I1475">
        <v>0.14624999999999999</v>
      </c>
      <c r="J1475">
        <v>0.66925000000000001</v>
      </c>
      <c r="K1475">
        <v>0.52300000000000002</v>
      </c>
      <c r="L1475">
        <v>4</v>
      </c>
      <c r="M1475">
        <v>0</v>
      </c>
      <c r="N1475">
        <v>0</v>
      </c>
      <c r="O1475" t="s">
        <v>127</v>
      </c>
      <c r="P1475" t="s">
        <v>127</v>
      </c>
      <c r="Q1475" t="s">
        <v>127</v>
      </c>
    </row>
    <row r="1476" spans="1:17" x14ac:dyDescent="0.25">
      <c r="A1476" t="str">
        <f>IF(C1476&amp;G1476&amp;D1476&lt;&gt;'Funnel setup'!$K$3&amp;'Funnel setup'!$K$4&amp;'Funnel setup'!$K$6,".",IF(A1475=".",1,A1475+1))</f>
        <v>.</v>
      </c>
      <c r="B1476" s="244" t="str">
        <f t="shared" si="23"/>
        <v>Hip Replacement RevisionProviderIMPERIAL COLLEGE HEALTHCARE NHS TRUST (RYJ)EQ-5D Index</v>
      </c>
      <c r="C1476" t="s">
        <v>967</v>
      </c>
      <c r="D1476" t="s">
        <v>965</v>
      </c>
      <c r="E1476" t="s">
        <v>280</v>
      </c>
      <c r="F1476" t="s">
        <v>281</v>
      </c>
      <c r="G1476" t="s">
        <v>963</v>
      </c>
      <c r="H1476">
        <v>2</v>
      </c>
      <c r="I1476">
        <v>1.0500000000000001E-2</v>
      </c>
      <c r="J1476">
        <v>0.69099999999999995</v>
      </c>
      <c r="K1476">
        <v>0.68049999999999999</v>
      </c>
      <c r="L1476">
        <v>2</v>
      </c>
      <c r="M1476">
        <v>0</v>
      </c>
      <c r="N1476">
        <v>0</v>
      </c>
      <c r="O1476" t="s">
        <v>127</v>
      </c>
      <c r="P1476" t="s">
        <v>127</v>
      </c>
      <c r="Q1476" t="s">
        <v>127</v>
      </c>
    </row>
    <row r="1477" spans="1:17" x14ac:dyDescent="0.25">
      <c r="A1477" t="str">
        <f>IF(C1477&amp;G1477&amp;D1477&lt;&gt;'Funnel setup'!$K$3&amp;'Funnel setup'!$K$4&amp;'Funnel setup'!$K$6,".",IF(A1476=".",1,A1476+1))</f>
        <v>.</v>
      </c>
      <c r="B1477" s="244" t="str">
        <f t="shared" si="23"/>
        <v>Hip Replacement RevisionProviderJAMES PAGET UNIVERSITY HOSPITALS NHS FOUNDATION TRUST (RGP)EQ-5D Index</v>
      </c>
      <c r="C1477" t="s">
        <v>967</v>
      </c>
      <c r="D1477" t="s">
        <v>965</v>
      </c>
      <c r="E1477" t="s">
        <v>284</v>
      </c>
      <c r="F1477" t="s">
        <v>285</v>
      </c>
      <c r="G1477" t="s">
        <v>963</v>
      </c>
      <c r="H1477">
        <v>1</v>
      </c>
      <c r="I1477">
        <v>8.7999999999999995E-2</v>
      </c>
      <c r="J1477">
        <v>0.186</v>
      </c>
      <c r="K1477">
        <v>9.8000000000000004E-2</v>
      </c>
      <c r="L1477">
        <v>1</v>
      </c>
      <c r="M1477">
        <v>0</v>
      </c>
      <c r="N1477">
        <v>0</v>
      </c>
      <c r="O1477" t="s">
        <v>127</v>
      </c>
      <c r="P1477" t="s">
        <v>127</v>
      </c>
      <c r="Q1477" t="s">
        <v>127</v>
      </c>
    </row>
    <row r="1478" spans="1:17" x14ac:dyDescent="0.25">
      <c r="A1478" t="str">
        <f>IF(C1478&amp;G1478&amp;D1478&lt;&gt;'Funnel setup'!$K$3&amp;'Funnel setup'!$K$4&amp;'Funnel setup'!$K$6,".",IF(A1477=".",1,A1477+1))</f>
        <v>.</v>
      </c>
      <c r="B1478" s="244" t="str">
        <f t="shared" si="23"/>
        <v>Hip Replacement RevisionProviderKETTERING GENERAL HOSPITAL NHS FOUNDATION TRUST (RNQ)EQ-5D Index</v>
      </c>
      <c r="C1478" t="s">
        <v>967</v>
      </c>
      <c r="D1478" t="s">
        <v>965</v>
      </c>
      <c r="E1478" t="s">
        <v>286</v>
      </c>
      <c r="F1478" t="s">
        <v>287</v>
      </c>
      <c r="G1478" t="s">
        <v>963</v>
      </c>
      <c r="H1478">
        <v>5</v>
      </c>
      <c r="I1478">
        <v>0.34079999999999999</v>
      </c>
      <c r="J1478">
        <v>0.70079999999999998</v>
      </c>
      <c r="K1478">
        <v>0.36</v>
      </c>
      <c r="L1478">
        <v>2</v>
      </c>
      <c r="M1478">
        <v>2</v>
      </c>
      <c r="N1478">
        <v>1</v>
      </c>
      <c r="O1478" t="s">
        <v>127</v>
      </c>
      <c r="P1478" t="s">
        <v>127</v>
      </c>
      <c r="Q1478" t="s">
        <v>127</v>
      </c>
    </row>
    <row r="1479" spans="1:17" x14ac:dyDescent="0.25">
      <c r="A1479" t="str">
        <f>IF(C1479&amp;G1479&amp;D1479&lt;&gt;'Funnel setup'!$K$3&amp;'Funnel setup'!$K$4&amp;'Funnel setup'!$K$6,".",IF(A1478=".",1,A1478+1))</f>
        <v>.</v>
      </c>
      <c r="B1479" s="244" t="str">
        <f t="shared" si="23"/>
        <v>Hip Replacement RevisionProviderKING'S COLLEGE HOSPITAL NHS FOUNDATION TRUST (RJZ)EQ-5D Index</v>
      </c>
      <c r="C1479" t="s">
        <v>967</v>
      </c>
      <c r="D1479" t="s">
        <v>965</v>
      </c>
      <c r="E1479" t="s">
        <v>290</v>
      </c>
      <c r="F1479" t="s">
        <v>291</v>
      </c>
      <c r="G1479" t="s">
        <v>963</v>
      </c>
      <c r="H1479">
        <v>1</v>
      </c>
      <c r="I1479">
        <v>0.58699999999999997</v>
      </c>
      <c r="J1479">
        <v>1</v>
      </c>
      <c r="K1479">
        <v>0.41299999999999998</v>
      </c>
      <c r="L1479">
        <v>1</v>
      </c>
      <c r="M1479">
        <v>0</v>
      </c>
      <c r="N1479">
        <v>0</v>
      </c>
      <c r="O1479" t="s">
        <v>127</v>
      </c>
      <c r="P1479" t="s">
        <v>127</v>
      </c>
      <c r="Q1479" t="s">
        <v>127</v>
      </c>
    </row>
    <row r="1480" spans="1:17" x14ac:dyDescent="0.25">
      <c r="A1480" t="str">
        <f>IF(C1480&amp;G1480&amp;D1480&lt;&gt;'Funnel setup'!$K$3&amp;'Funnel setup'!$K$4&amp;'Funnel setup'!$K$6,".",IF(A1479=".",1,A1479+1))</f>
        <v>.</v>
      </c>
      <c r="B1480" s="244" t="str">
        <f t="shared" si="23"/>
        <v>Hip Replacement RevisionProviderLANCASHIRE TEACHING HOSPITALS NHS FOUNDATION TRUST (RXN)EQ-5D Index</v>
      </c>
      <c r="C1480" t="s">
        <v>967</v>
      </c>
      <c r="D1480" t="s">
        <v>965</v>
      </c>
      <c r="E1480" t="s">
        <v>296</v>
      </c>
      <c r="F1480" t="s">
        <v>297</v>
      </c>
      <c r="G1480" t="s">
        <v>963</v>
      </c>
      <c r="H1480">
        <v>6</v>
      </c>
      <c r="I1480">
        <v>0.13666700000000001</v>
      </c>
      <c r="J1480">
        <v>0.55566700000000002</v>
      </c>
      <c r="K1480">
        <v>0.41899999999999998</v>
      </c>
      <c r="L1480">
        <v>5</v>
      </c>
      <c r="M1480">
        <v>0</v>
      </c>
      <c r="N1480">
        <v>1</v>
      </c>
      <c r="O1480" t="s">
        <v>127</v>
      </c>
      <c r="P1480" t="s">
        <v>127</v>
      </c>
      <c r="Q1480" t="s">
        <v>127</v>
      </c>
    </row>
    <row r="1481" spans="1:17" x14ac:dyDescent="0.25">
      <c r="A1481" t="str">
        <f>IF(C1481&amp;G1481&amp;D1481&lt;&gt;'Funnel setup'!$K$3&amp;'Funnel setup'!$K$4&amp;'Funnel setup'!$K$6,".",IF(A1480=".",1,A1480+1))</f>
        <v>.</v>
      </c>
      <c r="B1481" s="244" t="str">
        <f t="shared" si="23"/>
        <v>Hip Replacement RevisionProviderLEEDS TEACHING HOSPITALS NHS TRUST (RR8)EQ-5D Index</v>
      </c>
      <c r="C1481" t="s">
        <v>967</v>
      </c>
      <c r="D1481" t="s">
        <v>965</v>
      </c>
      <c r="E1481" t="s">
        <v>300</v>
      </c>
      <c r="F1481" t="s">
        <v>301</v>
      </c>
      <c r="G1481" t="s">
        <v>963</v>
      </c>
      <c r="H1481">
        <v>16</v>
      </c>
      <c r="I1481">
        <v>0.52625</v>
      </c>
      <c r="J1481">
        <v>0.7</v>
      </c>
      <c r="K1481">
        <v>0.17374999999999999</v>
      </c>
      <c r="L1481">
        <v>11</v>
      </c>
      <c r="M1481">
        <v>3</v>
      </c>
      <c r="N1481">
        <v>2</v>
      </c>
      <c r="O1481" t="s">
        <v>127</v>
      </c>
      <c r="P1481" t="s">
        <v>127</v>
      </c>
      <c r="Q1481" t="s">
        <v>127</v>
      </c>
    </row>
    <row r="1482" spans="1:17" x14ac:dyDescent="0.25">
      <c r="A1482" t="str">
        <f>IF(C1482&amp;G1482&amp;D1482&lt;&gt;'Funnel setup'!$K$3&amp;'Funnel setup'!$K$4&amp;'Funnel setup'!$K$6,".",IF(A1481=".",1,A1481+1))</f>
        <v>.</v>
      </c>
      <c r="B1482" s="244" t="str">
        <f t="shared" si="23"/>
        <v>Hip Replacement RevisionProviderLIVERPOOL UNIVERSITY HOSPITALS NHS FOUNDATION TRUST (REM)EQ-5D Index</v>
      </c>
      <c r="C1482" t="s">
        <v>967</v>
      </c>
      <c r="D1482" t="s">
        <v>965</v>
      </c>
      <c r="E1482" t="s">
        <v>306</v>
      </c>
      <c r="F1482" t="s">
        <v>307</v>
      </c>
      <c r="G1482" t="s">
        <v>963</v>
      </c>
      <c r="H1482">
        <v>8</v>
      </c>
      <c r="I1482">
        <v>0.141375</v>
      </c>
      <c r="J1482">
        <v>0.77</v>
      </c>
      <c r="K1482">
        <v>0.62862499999999999</v>
      </c>
      <c r="L1482">
        <v>6</v>
      </c>
      <c r="M1482">
        <v>2</v>
      </c>
      <c r="N1482">
        <v>0</v>
      </c>
      <c r="O1482" t="s">
        <v>127</v>
      </c>
      <c r="P1482" t="s">
        <v>127</v>
      </c>
      <c r="Q1482" t="s">
        <v>127</v>
      </c>
    </row>
    <row r="1483" spans="1:17" x14ac:dyDescent="0.25">
      <c r="A1483" t="str">
        <f>IF(C1483&amp;G1483&amp;D1483&lt;&gt;'Funnel setup'!$K$3&amp;'Funnel setup'!$K$4&amp;'Funnel setup'!$K$6,".",IF(A1482=".",1,A1482+1))</f>
        <v>.</v>
      </c>
      <c r="B1483" s="244" t="str">
        <f t="shared" si="23"/>
        <v>Hip Replacement RevisionProviderMAIDSTONE AND TUNBRIDGE WELLS NHS TRUST (RWF)EQ-5D Index</v>
      </c>
      <c r="C1483" t="s">
        <v>967</v>
      </c>
      <c r="D1483" t="s">
        <v>965</v>
      </c>
      <c r="E1483" t="s">
        <v>312</v>
      </c>
      <c r="F1483" t="s">
        <v>313</v>
      </c>
      <c r="G1483" t="s">
        <v>963</v>
      </c>
      <c r="H1483">
        <v>4</v>
      </c>
      <c r="I1483">
        <v>0.54949999999999999</v>
      </c>
      <c r="J1483">
        <v>0.63849999999999996</v>
      </c>
      <c r="K1483">
        <v>8.8999999999999996E-2</v>
      </c>
      <c r="L1483">
        <v>1</v>
      </c>
      <c r="M1483">
        <v>0</v>
      </c>
      <c r="N1483">
        <v>3</v>
      </c>
      <c r="O1483" t="s">
        <v>127</v>
      </c>
      <c r="P1483" t="s">
        <v>127</v>
      </c>
      <c r="Q1483" t="s">
        <v>127</v>
      </c>
    </row>
    <row r="1484" spans="1:17" x14ac:dyDescent="0.25">
      <c r="A1484" t="str">
        <f>IF(C1484&amp;G1484&amp;D1484&lt;&gt;'Funnel setup'!$K$3&amp;'Funnel setup'!$K$4&amp;'Funnel setup'!$K$6,".",IF(A1483=".",1,A1483+1))</f>
        <v>.</v>
      </c>
      <c r="B1484" s="244" t="str">
        <f t="shared" si="23"/>
        <v>Hip Replacement RevisionProviderMANCHESTER UNIVERSITY NHS FOUNDATION TRUST (R0A)EQ-5D Index</v>
      </c>
      <c r="C1484" t="s">
        <v>967</v>
      </c>
      <c r="D1484" t="s">
        <v>965</v>
      </c>
      <c r="E1484" t="s">
        <v>316</v>
      </c>
      <c r="F1484" t="s">
        <v>317</v>
      </c>
      <c r="G1484" t="s">
        <v>963</v>
      </c>
      <c r="H1484">
        <v>3</v>
      </c>
      <c r="I1484">
        <v>0.401333</v>
      </c>
      <c r="J1484">
        <v>0.54100000000000004</v>
      </c>
      <c r="K1484">
        <v>0.13966700000000001</v>
      </c>
      <c r="L1484">
        <v>1</v>
      </c>
      <c r="M1484">
        <v>1</v>
      </c>
      <c r="N1484">
        <v>1</v>
      </c>
      <c r="O1484" t="s">
        <v>127</v>
      </c>
      <c r="P1484" t="s">
        <v>127</v>
      </c>
      <c r="Q1484" t="s">
        <v>127</v>
      </c>
    </row>
    <row r="1485" spans="1:17" x14ac:dyDescent="0.25">
      <c r="A1485" t="str">
        <f>IF(C1485&amp;G1485&amp;D1485&lt;&gt;'Funnel setup'!$K$3&amp;'Funnel setup'!$K$4&amp;'Funnel setup'!$K$6,".",IF(A1484=".",1,A1484+1))</f>
        <v>.</v>
      </c>
      <c r="B1485" s="244" t="str">
        <f t="shared" si="23"/>
        <v>Hip Replacement RevisionProviderMEDWAY NHS FOUNDATION TRUST (RPA)EQ-5D Index</v>
      </c>
      <c r="C1485" t="s">
        <v>967</v>
      </c>
      <c r="D1485" t="s">
        <v>965</v>
      </c>
      <c r="E1485" t="s">
        <v>320</v>
      </c>
      <c r="F1485" t="s">
        <v>321</v>
      </c>
      <c r="G1485" t="s">
        <v>963</v>
      </c>
      <c r="H1485">
        <v>1</v>
      </c>
      <c r="I1485">
        <v>1</v>
      </c>
      <c r="J1485">
        <v>0.623</v>
      </c>
      <c r="K1485">
        <v>-0.377</v>
      </c>
      <c r="L1485">
        <v>0</v>
      </c>
      <c r="M1485">
        <v>0</v>
      </c>
      <c r="N1485">
        <v>1</v>
      </c>
      <c r="O1485" t="s">
        <v>127</v>
      </c>
      <c r="P1485" t="s">
        <v>127</v>
      </c>
      <c r="Q1485" t="s">
        <v>127</v>
      </c>
    </row>
    <row r="1486" spans="1:17" x14ac:dyDescent="0.25">
      <c r="A1486" t="str">
        <f>IF(C1486&amp;G1486&amp;D1486&lt;&gt;'Funnel setup'!$K$3&amp;'Funnel setup'!$K$4&amp;'Funnel setup'!$K$6,".",IF(A1485=".",1,A1485+1))</f>
        <v>.</v>
      </c>
      <c r="B1486" s="244" t="str">
        <f t="shared" si="23"/>
        <v>Hip Replacement RevisionProviderMID AND SOUTH ESSEX NHS FOUNDATION TRUST (RAJ)EQ-5D Index</v>
      </c>
      <c r="C1486" t="s">
        <v>967</v>
      </c>
      <c r="D1486" t="s">
        <v>965</v>
      </c>
      <c r="E1486" t="s">
        <v>324</v>
      </c>
      <c r="F1486" t="s">
        <v>325</v>
      </c>
      <c r="G1486" t="s">
        <v>963</v>
      </c>
      <c r="H1486">
        <v>3</v>
      </c>
      <c r="I1486">
        <v>0.40500000000000003</v>
      </c>
      <c r="J1486">
        <v>0.58033299999999999</v>
      </c>
      <c r="K1486">
        <v>0.17533299999999999</v>
      </c>
      <c r="L1486">
        <v>2</v>
      </c>
      <c r="M1486">
        <v>1</v>
      </c>
      <c r="N1486">
        <v>0</v>
      </c>
      <c r="O1486" t="s">
        <v>127</v>
      </c>
      <c r="P1486" t="s">
        <v>127</v>
      </c>
      <c r="Q1486" t="s">
        <v>127</v>
      </c>
    </row>
    <row r="1487" spans="1:17" x14ac:dyDescent="0.25">
      <c r="A1487" t="str">
        <f>IF(C1487&amp;G1487&amp;D1487&lt;&gt;'Funnel setup'!$K$3&amp;'Funnel setup'!$K$4&amp;'Funnel setup'!$K$6,".",IF(A1486=".",1,A1486+1))</f>
        <v>.</v>
      </c>
      <c r="B1487" s="244" t="str">
        <f t="shared" si="23"/>
        <v>Hip Replacement RevisionProviderMID CHESHIRE HOSPITALS NHS FOUNDATION TRUST (RBT)EQ-5D Index</v>
      </c>
      <c r="C1487" t="s">
        <v>967</v>
      </c>
      <c r="D1487" t="s">
        <v>965</v>
      </c>
      <c r="E1487" t="s">
        <v>326</v>
      </c>
      <c r="F1487" t="s">
        <v>327</v>
      </c>
      <c r="G1487" t="s">
        <v>963</v>
      </c>
      <c r="H1487">
        <v>3</v>
      </c>
      <c r="I1487">
        <v>0.36399999999999999</v>
      </c>
      <c r="J1487">
        <v>0.78233299999999995</v>
      </c>
      <c r="K1487">
        <v>0.41833300000000001</v>
      </c>
      <c r="L1487">
        <v>3</v>
      </c>
      <c r="M1487">
        <v>0</v>
      </c>
      <c r="N1487">
        <v>0</v>
      </c>
      <c r="O1487" t="s">
        <v>127</v>
      </c>
      <c r="P1487" t="s">
        <v>127</v>
      </c>
      <c r="Q1487" t="s">
        <v>127</v>
      </c>
    </row>
    <row r="1488" spans="1:17" x14ac:dyDescent="0.25">
      <c r="A1488" t="str">
        <f>IF(C1488&amp;G1488&amp;D1488&lt;&gt;'Funnel setup'!$K$3&amp;'Funnel setup'!$K$4&amp;'Funnel setup'!$K$6,".",IF(A1487=".",1,A1487+1))</f>
        <v>.</v>
      </c>
      <c r="B1488" s="244" t="str">
        <f t="shared" si="23"/>
        <v>Hip Replacement RevisionProviderMID YORKSHIRE TEACHING NHS TRUST (RXF)EQ-5D Index</v>
      </c>
      <c r="C1488" t="s">
        <v>967</v>
      </c>
      <c r="D1488" t="s">
        <v>965</v>
      </c>
      <c r="E1488" t="s">
        <v>330</v>
      </c>
      <c r="F1488" t="s">
        <v>331</v>
      </c>
      <c r="G1488" t="s">
        <v>963</v>
      </c>
      <c r="H1488">
        <v>12</v>
      </c>
      <c r="I1488">
        <v>0.17699999999999999</v>
      </c>
      <c r="J1488">
        <v>0.52608299999999997</v>
      </c>
      <c r="K1488">
        <v>0.34908299999999998</v>
      </c>
      <c r="L1488">
        <v>9</v>
      </c>
      <c r="M1488">
        <v>0</v>
      </c>
      <c r="N1488">
        <v>3</v>
      </c>
      <c r="O1488" t="s">
        <v>127</v>
      </c>
      <c r="P1488" t="s">
        <v>127</v>
      </c>
      <c r="Q1488" t="s">
        <v>127</v>
      </c>
    </row>
    <row r="1489" spans="1:17" x14ac:dyDescent="0.25">
      <c r="A1489" t="str">
        <f>IF(C1489&amp;G1489&amp;D1489&lt;&gt;'Funnel setup'!$K$3&amp;'Funnel setup'!$K$4&amp;'Funnel setup'!$K$6,".",IF(A1488=".",1,A1488+1))</f>
        <v>.</v>
      </c>
      <c r="B1489" s="244" t="str">
        <f t="shared" si="23"/>
        <v>Hip Replacement RevisionProviderMILTON KEYNES UNIVERSITY HOSPITAL NHS FOUNDATION TRUST (RD8)EQ-5D Index</v>
      </c>
      <c r="C1489" t="s">
        <v>967</v>
      </c>
      <c r="D1489" t="s">
        <v>965</v>
      </c>
      <c r="E1489" t="s">
        <v>332</v>
      </c>
      <c r="F1489" t="s">
        <v>333</v>
      </c>
      <c r="G1489" t="s">
        <v>963</v>
      </c>
      <c r="H1489" t="s">
        <v>127</v>
      </c>
      <c r="I1489" t="s">
        <v>127</v>
      </c>
      <c r="J1489" t="s">
        <v>127</v>
      </c>
      <c r="K1489" t="s">
        <v>127</v>
      </c>
      <c r="L1489" t="s">
        <v>127</v>
      </c>
      <c r="M1489" t="s">
        <v>127</v>
      </c>
      <c r="N1489" t="s">
        <v>127</v>
      </c>
      <c r="O1489" t="s">
        <v>127</v>
      </c>
      <c r="P1489" t="s">
        <v>127</v>
      </c>
      <c r="Q1489" t="s">
        <v>127</v>
      </c>
    </row>
    <row r="1490" spans="1:17" x14ac:dyDescent="0.25">
      <c r="A1490" t="str">
        <f>IF(C1490&amp;G1490&amp;D1490&lt;&gt;'Funnel setup'!$K$3&amp;'Funnel setup'!$K$4&amp;'Funnel setup'!$K$6,".",IF(A1489=".",1,A1489+1))</f>
        <v>.</v>
      </c>
      <c r="B1490" s="244" t="str">
        <f t="shared" si="23"/>
        <v>Hip Replacement RevisionProviderNEW HALL HOSPITAL (NVC09)EQ-5D Index</v>
      </c>
      <c r="C1490" t="s">
        <v>967</v>
      </c>
      <c r="D1490" t="s">
        <v>965</v>
      </c>
      <c r="E1490" t="s">
        <v>338</v>
      </c>
      <c r="F1490" t="s">
        <v>339</v>
      </c>
      <c r="G1490" t="s">
        <v>963</v>
      </c>
      <c r="H1490" t="s">
        <v>127</v>
      </c>
      <c r="I1490" t="s">
        <v>127</v>
      </c>
      <c r="J1490" t="s">
        <v>127</v>
      </c>
      <c r="K1490" t="s">
        <v>127</v>
      </c>
      <c r="L1490" t="s">
        <v>127</v>
      </c>
      <c r="M1490" t="s">
        <v>127</v>
      </c>
      <c r="N1490" t="s">
        <v>127</v>
      </c>
      <c r="O1490" t="s">
        <v>127</v>
      </c>
      <c r="P1490" t="s">
        <v>127</v>
      </c>
      <c r="Q1490" t="s">
        <v>127</v>
      </c>
    </row>
    <row r="1491" spans="1:17" x14ac:dyDescent="0.25">
      <c r="A1491" t="str">
        <f>IF(C1491&amp;G1491&amp;D1491&lt;&gt;'Funnel setup'!$K$3&amp;'Funnel setup'!$K$4&amp;'Funnel setup'!$K$6,".",IF(A1490=".",1,A1490+1))</f>
        <v>.</v>
      </c>
      <c r="B1491" s="244" t="str">
        <f t="shared" si="23"/>
        <v>Hip Replacement RevisionProviderNORFOLK AND NORWICH UNIVERSITY HOSPITALS NHS FOUNDATION TRUST (RM1)EQ-5D Index</v>
      </c>
      <c r="C1491" t="s">
        <v>967</v>
      </c>
      <c r="D1491" t="s">
        <v>965</v>
      </c>
      <c r="E1491" t="s">
        <v>340</v>
      </c>
      <c r="F1491" t="s">
        <v>341</v>
      </c>
      <c r="G1491" t="s">
        <v>963</v>
      </c>
      <c r="H1491">
        <v>18</v>
      </c>
      <c r="I1491">
        <v>0.42583300000000002</v>
      </c>
      <c r="J1491">
        <v>0.82588899999999998</v>
      </c>
      <c r="K1491">
        <v>0.40005600000000002</v>
      </c>
      <c r="L1491">
        <v>15</v>
      </c>
      <c r="M1491">
        <v>2</v>
      </c>
      <c r="N1491">
        <v>1</v>
      </c>
      <c r="O1491" t="s">
        <v>127</v>
      </c>
      <c r="P1491" t="s">
        <v>127</v>
      </c>
      <c r="Q1491" t="s">
        <v>127</v>
      </c>
    </row>
    <row r="1492" spans="1:17" x14ac:dyDescent="0.25">
      <c r="A1492" t="str">
        <f>IF(C1492&amp;G1492&amp;D1492&lt;&gt;'Funnel setup'!$K$3&amp;'Funnel setup'!$K$4&amp;'Funnel setup'!$K$6,".",IF(A1491=".",1,A1491+1))</f>
        <v>.</v>
      </c>
      <c r="B1492" s="244" t="str">
        <f t="shared" si="23"/>
        <v>Hip Replacement RevisionProviderNORTH BRISTOL NHS TRUST (RVJ)EQ-5D Index</v>
      </c>
      <c r="C1492" t="s">
        <v>967</v>
      </c>
      <c r="D1492" t="s">
        <v>965</v>
      </c>
      <c r="E1492" t="s">
        <v>342</v>
      </c>
      <c r="F1492" t="s">
        <v>343</v>
      </c>
      <c r="G1492" t="s">
        <v>963</v>
      </c>
      <c r="H1492">
        <v>3</v>
      </c>
      <c r="I1492">
        <v>0.14766699999999999</v>
      </c>
      <c r="J1492">
        <v>0.66766700000000001</v>
      </c>
      <c r="K1492">
        <v>0.52</v>
      </c>
      <c r="L1492">
        <v>3</v>
      </c>
      <c r="M1492">
        <v>0</v>
      </c>
      <c r="N1492">
        <v>0</v>
      </c>
      <c r="O1492" t="s">
        <v>127</v>
      </c>
      <c r="P1492" t="s">
        <v>127</v>
      </c>
      <c r="Q1492" t="s">
        <v>127</v>
      </c>
    </row>
    <row r="1493" spans="1:17" x14ac:dyDescent="0.25">
      <c r="A1493" t="str">
        <f>IF(C1493&amp;G1493&amp;D1493&lt;&gt;'Funnel setup'!$K$3&amp;'Funnel setup'!$K$4&amp;'Funnel setup'!$K$6,".",IF(A1492=".",1,A1492+1))</f>
        <v>.</v>
      </c>
      <c r="B1493" s="244" t="str">
        <f t="shared" si="23"/>
        <v>Hip Replacement RevisionProviderNORTH CUMBRIA INTEGRATED CARE NHS FOUNDATION TRUST (RNN)EQ-5D Index</v>
      </c>
      <c r="C1493" t="s">
        <v>967</v>
      </c>
      <c r="D1493" t="s">
        <v>965</v>
      </c>
      <c r="E1493" t="s">
        <v>344</v>
      </c>
      <c r="F1493" t="s">
        <v>345</v>
      </c>
      <c r="G1493" t="s">
        <v>963</v>
      </c>
      <c r="H1493">
        <v>7</v>
      </c>
      <c r="I1493">
        <v>0.20399999999999999</v>
      </c>
      <c r="J1493">
        <v>0.72085699999999997</v>
      </c>
      <c r="K1493">
        <v>0.51685700000000001</v>
      </c>
      <c r="L1493">
        <v>6</v>
      </c>
      <c r="M1493">
        <v>0</v>
      </c>
      <c r="N1493">
        <v>1</v>
      </c>
      <c r="O1493" t="s">
        <v>127</v>
      </c>
      <c r="P1493" t="s">
        <v>127</v>
      </c>
      <c r="Q1493" t="s">
        <v>127</v>
      </c>
    </row>
    <row r="1494" spans="1:17" x14ac:dyDescent="0.25">
      <c r="A1494" t="str">
        <f>IF(C1494&amp;G1494&amp;D1494&lt;&gt;'Funnel setup'!$K$3&amp;'Funnel setup'!$K$4&amp;'Funnel setup'!$K$6,".",IF(A1493=".",1,A1493+1))</f>
        <v>.</v>
      </c>
      <c r="B1494" s="244" t="str">
        <f t="shared" si="23"/>
        <v>Hip Replacement RevisionProviderNORTH DOWNS HOSPITAL (NVC11)EQ-5D Index</v>
      </c>
      <c r="C1494" t="s">
        <v>967</v>
      </c>
      <c r="D1494" t="s">
        <v>965</v>
      </c>
      <c r="E1494" t="s">
        <v>348</v>
      </c>
      <c r="F1494" t="s">
        <v>349</v>
      </c>
      <c r="G1494" t="s">
        <v>963</v>
      </c>
      <c r="H1494" t="s">
        <v>127</v>
      </c>
      <c r="I1494" t="s">
        <v>127</v>
      </c>
      <c r="J1494" t="s">
        <v>127</v>
      </c>
      <c r="K1494" t="s">
        <v>127</v>
      </c>
      <c r="L1494" t="s">
        <v>127</v>
      </c>
      <c r="M1494" t="s">
        <v>127</v>
      </c>
      <c r="N1494" t="s">
        <v>127</v>
      </c>
      <c r="O1494" t="s">
        <v>127</v>
      </c>
      <c r="P1494" t="s">
        <v>127</v>
      </c>
      <c r="Q1494" t="s">
        <v>127</v>
      </c>
    </row>
    <row r="1495" spans="1:17" x14ac:dyDescent="0.25">
      <c r="A1495" t="str">
        <f>IF(C1495&amp;G1495&amp;D1495&lt;&gt;'Funnel setup'!$K$3&amp;'Funnel setup'!$K$4&amp;'Funnel setup'!$K$6,".",IF(A1494=".",1,A1494+1))</f>
        <v>.</v>
      </c>
      <c r="B1495" s="244" t="str">
        <f t="shared" si="23"/>
        <v>Hip Replacement RevisionProviderNORTH TEES AND HARTLEPOOL NHS FOUNDATION TRUST (RVW)EQ-5D Index</v>
      </c>
      <c r="C1495" t="s">
        <v>967</v>
      </c>
      <c r="D1495" t="s">
        <v>965</v>
      </c>
      <c r="E1495" t="s">
        <v>352</v>
      </c>
      <c r="F1495" t="s">
        <v>353</v>
      </c>
      <c r="G1495" t="s">
        <v>963</v>
      </c>
      <c r="H1495">
        <v>9</v>
      </c>
      <c r="I1495">
        <v>0.14033300000000001</v>
      </c>
      <c r="J1495">
        <v>0.468333</v>
      </c>
      <c r="K1495">
        <v>0.32800000000000001</v>
      </c>
      <c r="L1495">
        <v>7</v>
      </c>
      <c r="M1495">
        <v>1</v>
      </c>
      <c r="N1495">
        <v>1</v>
      </c>
      <c r="O1495" t="s">
        <v>127</v>
      </c>
      <c r="P1495" t="s">
        <v>127</v>
      </c>
      <c r="Q1495" t="s">
        <v>127</v>
      </c>
    </row>
    <row r="1496" spans="1:17" x14ac:dyDescent="0.25">
      <c r="A1496" t="str">
        <f>IF(C1496&amp;G1496&amp;D1496&lt;&gt;'Funnel setup'!$K$3&amp;'Funnel setup'!$K$4&amp;'Funnel setup'!$K$6,".",IF(A1495=".",1,A1495+1))</f>
        <v>.</v>
      </c>
      <c r="B1496" s="244" t="str">
        <f t="shared" si="23"/>
        <v>Hip Replacement RevisionProviderNORTH WEST ANGLIA NHS FOUNDATION TRUST (RGN)EQ-5D Index</v>
      </c>
      <c r="C1496" t="s">
        <v>967</v>
      </c>
      <c r="D1496" t="s">
        <v>965</v>
      </c>
      <c r="E1496" t="s">
        <v>354</v>
      </c>
      <c r="F1496" t="s">
        <v>355</v>
      </c>
      <c r="G1496" t="s">
        <v>963</v>
      </c>
      <c r="H1496">
        <v>2</v>
      </c>
      <c r="I1496">
        <v>0.74350000000000005</v>
      </c>
      <c r="J1496">
        <v>0.69099999999999995</v>
      </c>
      <c r="K1496">
        <v>-5.2499999999999998E-2</v>
      </c>
      <c r="L1496">
        <v>0</v>
      </c>
      <c r="M1496">
        <v>1</v>
      </c>
      <c r="N1496">
        <v>1</v>
      </c>
      <c r="O1496" t="s">
        <v>127</v>
      </c>
      <c r="P1496" t="s">
        <v>127</v>
      </c>
      <c r="Q1496" t="s">
        <v>127</v>
      </c>
    </row>
    <row r="1497" spans="1:17" x14ac:dyDescent="0.25">
      <c r="A1497" t="str">
        <f>IF(C1497&amp;G1497&amp;D1497&lt;&gt;'Funnel setup'!$K$3&amp;'Funnel setup'!$K$4&amp;'Funnel setup'!$K$6,".",IF(A1496=".",1,A1496+1))</f>
        <v>.</v>
      </c>
      <c r="B1497" s="244" t="str">
        <f t="shared" si="23"/>
        <v>Hip Replacement RevisionProviderNORTHAMPTON GENERAL HOSPITAL NHS TRUST (RNS)EQ-5D Index</v>
      </c>
      <c r="C1497" t="s">
        <v>967</v>
      </c>
      <c r="D1497" t="s">
        <v>965</v>
      </c>
      <c r="E1497" t="s">
        <v>356</v>
      </c>
      <c r="F1497" t="s">
        <v>357</v>
      </c>
      <c r="G1497" t="s">
        <v>963</v>
      </c>
      <c r="H1497">
        <v>5</v>
      </c>
      <c r="I1497">
        <v>0.58599999999999997</v>
      </c>
      <c r="J1497">
        <v>0.75839999999999996</v>
      </c>
      <c r="K1497">
        <v>0.1724</v>
      </c>
      <c r="L1497">
        <v>4</v>
      </c>
      <c r="M1497">
        <v>0</v>
      </c>
      <c r="N1497">
        <v>1</v>
      </c>
      <c r="O1497" t="s">
        <v>127</v>
      </c>
      <c r="P1497" t="s">
        <v>127</v>
      </c>
      <c r="Q1497" t="s">
        <v>127</v>
      </c>
    </row>
    <row r="1498" spans="1:17" x14ac:dyDescent="0.25">
      <c r="A1498" t="str">
        <f>IF(C1498&amp;G1498&amp;D1498&lt;&gt;'Funnel setup'!$K$3&amp;'Funnel setup'!$K$4&amp;'Funnel setup'!$K$6,".",IF(A1497=".",1,A1497+1))</f>
        <v>.</v>
      </c>
      <c r="B1498" s="244" t="str">
        <f t="shared" si="23"/>
        <v>Hip Replacement RevisionProviderNORTHERN DEVON HEALTHCARE NHS TRUST (RBZ)EQ-5D Index</v>
      </c>
      <c r="C1498" t="s">
        <v>967</v>
      </c>
      <c r="D1498" t="s">
        <v>965</v>
      </c>
      <c r="E1498" t="s">
        <v>360</v>
      </c>
      <c r="F1498" t="s">
        <v>361</v>
      </c>
      <c r="G1498" t="s">
        <v>963</v>
      </c>
      <c r="H1498">
        <v>2</v>
      </c>
      <c r="I1498">
        <v>0.60350000000000004</v>
      </c>
      <c r="J1498">
        <v>1</v>
      </c>
      <c r="K1498">
        <v>0.39650000000000002</v>
      </c>
      <c r="L1498">
        <v>2</v>
      </c>
      <c r="M1498">
        <v>0</v>
      </c>
      <c r="N1498">
        <v>0</v>
      </c>
      <c r="O1498" t="s">
        <v>127</v>
      </c>
      <c r="P1498" t="s">
        <v>127</v>
      </c>
      <c r="Q1498" t="s">
        <v>127</v>
      </c>
    </row>
    <row r="1499" spans="1:17" x14ac:dyDescent="0.25">
      <c r="A1499" t="str">
        <f>IF(C1499&amp;G1499&amp;D1499&lt;&gt;'Funnel setup'!$K$3&amp;'Funnel setup'!$K$4&amp;'Funnel setup'!$K$6,".",IF(A1498=".",1,A1498+1))</f>
        <v>.</v>
      </c>
      <c r="B1499" s="244" t="str">
        <f t="shared" si="23"/>
        <v>Hip Replacement RevisionProviderNORTHUMBRIA HEALTHCARE NHS FOUNDATION TRUST (RTF)EQ-5D Index</v>
      </c>
      <c r="C1499" t="s">
        <v>967</v>
      </c>
      <c r="D1499" t="s">
        <v>965</v>
      </c>
      <c r="E1499" t="s">
        <v>364</v>
      </c>
      <c r="F1499" t="s">
        <v>365</v>
      </c>
      <c r="G1499" t="s">
        <v>963</v>
      </c>
      <c r="H1499">
        <v>8</v>
      </c>
      <c r="I1499">
        <v>0.43337500000000001</v>
      </c>
      <c r="J1499">
        <v>0.86299999999999999</v>
      </c>
      <c r="K1499">
        <v>0.42962499999999998</v>
      </c>
      <c r="L1499">
        <v>6</v>
      </c>
      <c r="M1499">
        <v>2</v>
      </c>
      <c r="N1499">
        <v>0</v>
      </c>
      <c r="O1499" t="s">
        <v>127</v>
      </c>
      <c r="P1499" t="s">
        <v>127</v>
      </c>
      <c r="Q1499" t="s">
        <v>127</v>
      </c>
    </row>
    <row r="1500" spans="1:17" x14ac:dyDescent="0.25">
      <c r="A1500" t="str">
        <f>IF(C1500&amp;G1500&amp;D1500&lt;&gt;'Funnel setup'!$K$3&amp;'Funnel setup'!$K$4&amp;'Funnel setup'!$K$6,".",IF(A1499=".",1,A1499+1))</f>
        <v>.</v>
      </c>
      <c r="B1500" s="244" t="str">
        <f t="shared" si="23"/>
        <v>Hip Replacement RevisionProviderNUFFIELD HEALTH, PLYMOUTH HOSPITAL (NT233)EQ-5D Index</v>
      </c>
      <c r="C1500" t="s">
        <v>967</v>
      </c>
      <c r="D1500" t="s">
        <v>965</v>
      </c>
      <c r="E1500" t="s">
        <v>400</v>
      </c>
      <c r="F1500" t="s">
        <v>401</v>
      </c>
      <c r="G1500" t="s">
        <v>963</v>
      </c>
      <c r="H1500" t="s">
        <v>127</v>
      </c>
      <c r="I1500" t="s">
        <v>127</v>
      </c>
      <c r="J1500" t="s">
        <v>127</v>
      </c>
      <c r="K1500" t="s">
        <v>127</v>
      </c>
      <c r="L1500" t="s">
        <v>127</v>
      </c>
      <c r="M1500" t="s">
        <v>127</v>
      </c>
      <c r="N1500" t="s">
        <v>127</v>
      </c>
      <c r="O1500" t="s">
        <v>127</v>
      </c>
      <c r="P1500" t="s">
        <v>127</v>
      </c>
      <c r="Q1500" t="s">
        <v>127</v>
      </c>
    </row>
    <row r="1501" spans="1:17" x14ac:dyDescent="0.25">
      <c r="A1501" t="str">
        <f>IF(C1501&amp;G1501&amp;D1501&lt;&gt;'Funnel setup'!$K$3&amp;'Funnel setup'!$K$4&amp;'Funnel setup'!$K$6,".",IF(A1500=".",1,A1500+1))</f>
        <v>.</v>
      </c>
      <c r="B1501" s="244" t="str">
        <f t="shared" si="23"/>
        <v>Hip Replacement RevisionProviderNUFFIELD HEALTH, TEES HOSPITAL (NT237)EQ-5D Index</v>
      </c>
      <c r="C1501" t="s">
        <v>967</v>
      </c>
      <c r="D1501" t="s">
        <v>965</v>
      </c>
      <c r="E1501" t="s">
        <v>406</v>
      </c>
      <c r="F1501" t="s">
        <v>407</v>
      </c>
      <c r="G1501" t="s">
        <v>963</v>
      </c>
      <c r="H1501">
        <v>4</v>
      </c>
      <c r="I1501">
        <v>0.33524999999999999</v>
      </c>
      <c r="J1501">
        <v>0.44500000000000001</v>
      </c>
      <c r="K1501">
        <v>0.10975</v>
      </c>
      <c r="L1501">
        <v>3</v>
      </c>
      <c r="M1501">
        <v>0</v>
      </c>
      <c r="N1501">
        <v>1</v>
      </c>
      <c r="O1501" t="s">
        <v>127</v>
      </c>
      <c r="P1501" t="s">
        <v>127</v>
      </c>
      <c r="Q1501" t="s">
        <v>127</v>
      </c>
    </row>
    <row r="1502" spans="1:17" x14ac:dyDescent="0.25">
      <c r="A1502" t="str">
        <f>IF(C1502&amp;G1502&amp;D1502&lt;&gt;'Funnel setup'!$K$3&amp;'Funnel setup'!$K$4&amp;'Funnel setup'!$K$6,".",IF(A1501=".",1,A1501+1))</f>
        <v>.</v>
      </c>
      <c r="B1502" s="244" t="str">
        <f t="shared" si="23"/>
        <v>Hip Replacement RevisionProviderNUFFIELD HEALTH, YORK HOSPITAL (NT245)EQ-5D Index</v>
      </c>
      <c r="C1502" t="s">
        <v>967</v>
      </c>
      <c r="D1502" t="s">
        <v>965</v>
      </c>
      <c r="E1502" t="s">
        <v>420</v>
      </c>
      <c r="F1502" t="s">
        <v>421</v>
      </c>
      <c r="G1502" t="s">
        <v>963</v>
      </c>
      <c r="H1502" t="s">
        <v>127</v>
      </c>
      <c r="I1502" t="s">
        <v>127</v>
      </c>
      <c r="J1502" t="s">
        <v>127</v>
      </c>
      <c r="K1502" t="s">
        <v>127</v>
      </c>
      <c r="L1502" t="s">
        <v>127</v>
      </c>
      <c r="M1502" t="s">
        <v>127</v>
      </c>
      <c r="N1502" t="s">
        <v>127</v>
      </c>
      <c r="O1502" t="s">
        <v>127</v>
      </c>
      <c r="P1502" t="s">
        <v>127</v>
      </c>
      <c r="Q1502" t="s">
        <v>127</v>
      </c>
    </row>
    <row r="1503" spans="1:17" x14ac:dyDescent="0.25">
      <c r="A1503" t="str">
        <f>IF(C1503&amp;G1503&amp;D1503&lt;&gt;'Funnel setup'!$K$3&amp;'Funnel setup'!$K$4&amp;'Funnel setup'!$K$6,".",IF(A1502=".",1,A1502+1))</f>
        <v>.</v>
      </c>
      <c r="B1503" s="244" t="str">
        <f t="shared" si="23"/>
        <v>Hip Replacement RevisionProviderOXFORD UNIVERSITY HOSPITALS NHS FOUNDATION TRUST (RTH)EQ-5D Index</v>
      </c>
      <c r="C1503" t="s">
        <v>967</v>
      </c>
      <c r="D1503" t="s">
        <v>965</v>
      </c>
      <c r="E1503" t="s">
        <v>438</v>
      </c>
      <c r="F1503" t="s">
        <v>439</v>
      </c>
      <c r="G1503" t="s">
        <v>963</v>
      </c>
      <c r="H1503">
        <v>37</v>
      </c>
      <c r="I1503">
        <v>0.40905399999999997</v>
      </c>
      <c r="J1503">
        <v>0.71724299999999996</v>
      </c>
      <c r="K1503">
        <v>0.30818899999999999</v>
      </c>
      <c r="L1503">
        <v>26</v>
      </c>
      <c r="M1503">
        <v>7</v>
      </c>
      <c r="N1503">
        <v>4</v>
      </c>
      <c r="O1503">
        <v>0.71135899999999996</v>
      </c>
      <c r="P1503">
        <v>0.34257799999999999</v>
      </c>
      <c r="Q1503">
        <v>0.20272699999999999</v>
      </c>
    </row>
    <row r="1504" spans="1:17" x14ac:dyDescent="0.25">
      <c r="A1504" t="str">
        <f>IF(C1504&amp;G1504&amp;D1504&lt;&gt;'Funnel setup'!$K$3&amp;'Funnel setup'!$K$4&amp;'Funnel setup'!$K$6,".",IF(A1503=".",1,A1503+1))</f>
        <v>.</v>
      </c>
      <c r="B1504" s="244" t="str">
        <f t="shared" si="23"/>
        <v>Hip Replacement RevisionProviderPRACTICE PLUS GROUP HOSPITAL - BARLBOROUGH (NTP13)EQ-5D Index</v>
      </c>
      <c r="C1504" t="s">
        <v>967</v>
      </c>
      <c r="D1504" t="s">
        <v>965</v>
      </c>
      <c r="E1504" t="s">
        <v>452</v>
      </c>
      <c r="F1504" t="s">
        <v>453</v>
      </c>
      <c r="G1504" t="s">
        <v>963</v>
      </c>
      <c r="H1504">
        <v>5</v>
      </c>
      <c r="I1504">
        <v>0.54200000000000004</v>
      </c>
      <c r="J1504">
        <v>0.61699999999999999</v>
      </c>
      <c r="K1504">
        <v>7.4999999999999997E-2</v>
      </c>
      <c r="L1504">
        <v>3</v>
      </c>
      <c r="M1504">
        <v>0</v>
      </c>
      <c r="N1504">
        <v>2</v>
      </c>
      <c r="O1504" t="s">
        <v>127</v>
      </c>
      <c r="P1504" t="s">
        <v>127</v>
      </c>
      <c r="Q1504" t="s">
        <v>127</v>
      </c>
    </row>
    <row r="1505" spans="1:17" x14ac:dyDescent="0.25">
      <c r="A1505" t="str">
        <f>IF(C1505&amp;G1505&amp;D1505&lt;&gt;'Funnel setup'!$K$3&amp;'Funnel setup'!$K$4&amp;'Funnel setup'!$K$6,".",IF(A1504=".",1,A1504+1))</f>
        <v>.</v>
      </c>
      <c r="B1505" s="244" t="str">
        <f t="shared" si="23"/>
        <v>Hip Replacement RevisionProviderPRACTICE PLUS GROUP HOSPITAL - PLYMOUTH (NTPH5)EQ-5D Index</v>
      </c>
      <c r="C1505" t="s">
        <v>967</v>
      </c>
      <c r="D1505" t="s">
        <v>965</v>
      </c>
      <c r="E1505" t="s">
        <v>458</v>
      </c>
      <c r="F1505" t="s">
        <v>459</v>
      </c>
      <c r="G1505" t="s">
        <v>963</v>
      </c>
      <c r="H1505">
        <v>1</v>
      </c>
      <c r="I1505">
        <v>0.72699999999999998</v>
      </c>
      <c r="J1505">
        <v>1</v>
      </c>
      <c r="K1505">
        <v>0.27300000000000002</v>
      </c>
      <c r="L1505">
        <v>1</v>
      </c>
      <c r="M1505">
        <v>0</v>
      </c>
      <c r="N1505">
        <v>0</v>
      </c>
      <c r="O1505" t="s">
        <v>127</v>
      </c>
      <c r="P1505" t="s">
        <v>127</v>
      </c>
      <c r="Q1505" t="s">
        <v>127</v>
      </c>
    </row>
    <row r="1506" spans="1:17" x14ac:dyDescent="0.25">
      <c r="A1506" t="str">
        <f>IF(C1506&amp;G1506&amp;D1506&lt;&gt;'Funnel setup'!$K$3&amp;'Funnel setup'!$K$4&amp;'Funnel setup'!$K$6,".",IF(A1505=".",1,A1505+1))</f>
        <v>.</v>
      </c>
      <c r="B1506" s="244" t="str">
        <f t="shared" si="23"/>
        <v>Hip Replacement RevisionProviderPRACTICE PLUS GROUP HOSPITAL - SHEPTON MALLET (NTPH1)EQ-5D Index</v>
      </c>
      <c r="C1506" t="s">
        <v>967</v>
      </c>
      <c r="D1506" t="s">
        <v>965</v>
      </c>
      <c r="E1506" t="s">
        <v>460</v>
      </c>
      <c r="F1506" t="s">
        <v>461</v>
      </c>
      <c r="G1506" t="s">
        <v>963</v>
      </c>
      <c r="H1506">
        <v>5</v>
      </c>
      <c r="I1506">
        <v>0.68379999999999996</v>
      </c>
      <c r="J1506">
        <v>0.68420000000000003</v>
      </c>
      <c r="K1506">
        <v>4.0000000000000002E-4</v>
      </c>
      <c r="L1506">
        <v>2</v>
      </c>
      <c r="M1506">
        <v>1</v>
      </c>
      <c r="N1506">
        <v>2</v>
      </c>
      <c r="O1506" t="s">
        <v>127</v>
      </c>
      <c r="P1506" t="s">
        <v>127</v>
      </c>
      <c r="Q1506" t="s">
        <v>127</v>
      </c>
    </row>
    <row r="1507" spans="1:17" x14ac:dyDescent="0.25">
      <c r="A1507" t="str">
        <f>IF(C1507&amp;G1507&amp;D1507&lt;&gt;'Funnel setup'!$K$3&amp;'Funnel setup'!$K$4&amp;'Funnel setup'!$K$6,".",IF(A1506=".",1,A1506+1))</f>
        <v>.</v>
      </c>
      <c r="B1507" s="244" t="str">
        <f t="shared" si="23"/>
        <v>Hip Replacement RevisionProviderRIVERS HOSPITAL (NVC19)EQ-5D Index</v>
      </c>
      <c r="C1507" t="s">
        <v>967</v>
      </c>
      <c r="D1507" t="s">
        <v>965</v>
      </c>
      <c r="E1507" t="s">
        <v>474</v>
      </c>
      <c r="F1507" t="s">
        <v>475</v>
      </c>
      <c r="G1507" t="s">
        <v>963</v>
      </c>
      <c r="H1507" t="s">
        <v>127</v>
      </c>
      <c r="I1507" t="s">
        <v>127</v>
      </c>
      <c r="J1507" t="s">
        <v>127</v>
      </c>
      <c r="K1507" t="s">
        <v>127</v>
      </c>
      <c r="L1507" t="s">
        <v>127</v>
      </c>
      <c r="M1507" t="s">
        <v>127</v>
      </c>
      <c r="N1507" t="s">
        <v>127</v>
      </c>
      <c r="O1507" t="s">
        <v>127</v>
      </c>
      <c r="P1507" t="s">
        <v>127</v>
      </c>
      <c r="Q1507" t="s">
        <v>127</v>
      </c>
    </row>
    <row r="1508" spans="1:17" x14ac:dyDescent="0.25">
      <c r="A1508" t="str">
        <f>IF(C1508&amp;G1508&amp;D1508&lt;&gt;'Funnel setup'!$K$3&amp;'Funnel setup'!$K$4&amp;'Funnel setup'!$K$6,".",IF(A1507=".",1,A1507+1))</f>
        <v>.</v>
      </c>
      <c r="B1508" s="244" t="str">
        <f t="shared" si="23"/>
        <v>Hip Replacement RevisionProviderROWLEY HALL HOSPITAL (NVC17)EQ-5D Index</v>
      </c>
      <c r="C1508" t="s">
        <v>967</v>
      </c>
      <c r="D1508" t="s">
        <v>965</v>
      </c>
      <c r="E1508" t="s">
        <v>476</v>
      </c>
      <c r="F1508" t="s">
        <v>477</v>
      </c>
      <c r="G1508" t="s">
        <v>963</v>
      </c>
      <c r="H1508" t="s">
        <v>127</v>
      </c>
      <c r="I1508" t="s">
        <v>127</v>
      </c>
      <c r="J1508" t="s">
        <v>127</v>
      </c>
      <c r="K1508" t="s">
        <v>127</v>
      </c>
      <c r="L1508" t="s">
        <v>127</v>
      </c>
      <c r="M1508" t="s">
        <v>127</v>
      </c>
      <c r="N1508" t="s">
        <v>127</v>
      </c>
      <c r="O1508" t="s">
        <v>127</v>
      </c>
      <c r="P1508" t="s">
        <v>127</v>
      </c>
      <c r="Q1508" t="s">
        <v>127</v>
      </c>
    </row>
    <row r="1509" spans="1:17" x14ac:dyDescent="0.25">
      <c r="A1509" t="str">
        <f>IF(C1509&amp;G1509&amp;D1509&lt;&gt;'Funnel setup'!$K$3&amp;'Funnel setup'!$K$4&amp;'Funnel setup'!$K$6,".",IF(A1508=".",1,A1508+1))</f>
        <v>.</v>
      </c>
      <c r="B1509" s="244" t="str">
        <f t="shared" si="23"/>
        <v>Hip Replacement RevisionProviderROYAL BERKSHIRE NHS FOUNDATION TRUST (RHW)EQ-5D Index</v>
      </c>
      <c r="C1509" t="s">
        <v>967</v>
      </c>
      <c r="D1509" t="s">
        <v>965</v>
      </c>
      <c r="E1509" t="s">
        <v>478</v>
      </c>
      <c r="F1509" t="s">
        <v>479</v>
      </c>
      <c r="G1509" t="s">
        <v>963</v>
      </c>
      <c r="H1509">
        <v>1</v>
      </c>
      <c r="I1509">
        <v>0.65600000000000003</v>
      </c>
      <c r="J1509">
        <v>0.79600000000000004</v>
      </c>
      <c r="K1509">
        <v>0.14000000000000001</v>
      </c>
      <c r="L1509">
        <v>1</v>
      </c>
      <c r="M1509">
        <v>0</v>
      </c>
      <c r="N1509">
        <v>0</v>
      </c>
      <c r="O1509" t="s">
        <v>127</v>
      </c>
      <c r="P1509" t="s">
        <v>127</v>
      </c>
      <c r="Q1509" t="s">
        <v>127</v>
      </c>
    </row>
    <row r="1510" spans="1:17" x14ac:dyDescent="0.25">
      <c r="A1510" t="str">
        <f>IF(C1510&amp;G1510&amp;D1510&lt;&gt;'Funnel setup'!$K$3&amp;'Funnel setup'!$K$4&amp;'Funnel setup'!$K$6,".",IF(A1509=".",1,A1509+1))</f>
        <v>.</v>
      </c>
      <c r="B1510" s="244" t="str">
        <f t="shared" si="23"/>
        <v>Hip Replacement RevisionProviderROYAL CORNWALL HOSPITALS NHS TRUST (REF)EQ-5D Index</v>
      </c>
      <c r="C1510" t="s">
        <v>967</v>
      </c>
      <c r="D1510" t="s">
        <v>965</v>
      </c>
      <c r="E1510" t="s">
        <v>480</v>
      </c>
      <c r="F1510" t="s">
        <v>481</v>
      </c>
      <c r="G1510" t="s">
        <v>963</v>
      </c>
      <c r="H1510">
        <v>5</v>
      </c>
      <c r="I1510">
        <v>0.7016</v>
      </c>
      <c r="J1510">
        <v>0.82620000000000005</v>
      </c>
      <c r="K1510">
        <v>0.1246</v>
      </c>
      <c r="L1510">
        <v>4</v>
      </c>
      <c r="M1510">
        <v>0</v>
      </c>
      <c r="N1510">
        <v>1</v>
      </c>
      <c r="O1510" t="s">
        <v>127</v>
      </c>
      <c r="P1510" t="s">
        <v>127</v>
      </c>
      <c r="Q1510" t="s">
        <v>127</v>
      </c>
    </row>
    <row r="1511" spans="1:17" x14ac:dyDescent="0.25">
      <c r="A1511" t="str">
        <f>IF(C1511&amp;G1511&amp;D1511&lt;&gt;'Funnel setup'!$K$3&amp;'Funnel setup'!$K$4&amp;'Funnel setup'!$K$6,".",IF(A1510=".",1,A1510+1))</f>
        <v>.</v>
      </c>
      <c r="B1511" s="244" t="str">
        <f t="shared" si="23"/>
        <v>Hip Replacement RevisionProviderROYAL NATIONAL ORTHOPAEDIC HOSPITAL NHS TRUST (RAN)EQ-5D Index</v>
      </c>
      <c r="C1511" t="s">
        <v>967</v>
      </c>
      <c r="D1511" t="s">
        <v>965</v>
      </c>
      <c r="E1511" t="s">
        <v>486</v>
      </c>
      <c r="F1511" t="s">
        <v>487</v>
      </c>
      <c r="G1511" t="s">
        <v>963</v>
      </c>
      <c r="H1511">
        <v>23</v>
      </c>
      <c r="I1511">
        <v>0.312</v>
      </c>
      <c r="J1511">
        <v>0.44356499999999999</v>
      </c>
      <c r="K1511">
        <v>0.13156499999999999</v>
      </c>
      <c r="L1511">
        <v>16</v>
      </c>
      <c r="M1511">
        <v>1</v>
      </c>
      <c r="N1511">
        <v>6</v>
      </c>
      <c r="O1511" t="s">
        <v>127</v>
      </c>
      <c r="P1511" t="s">
        <v>127</v>
      </c>
      <c r="Q1511" t="s">
        <v>127</v>
      </c>
    </row>
    <row r="1512" spans="1:17" x14ac:dyDescent="0.25">
      <c r="A1512" t="str">
        <f>IF(C1512&amp;G1512&amp;D1512&lt;&gt;'Funnel setup'!$K$3&amp;'Funnel setup'!$K$4&amp;'Funnel setup'!$K$6,".",IF(A1511=".",1,A1511+1))</f>
        <v>.</v>
      </c>
      <c r="B1512" s="244" t="str">
        <f t="shared" si="23"/>
        <v>Hip Replacement RevisionProviderSANDWELL AND WEST BIRMINGHAM HOSPITALS NHS TRUST (RXK)EQ-5D Index</v>
      </c>
      <c r="C1512" t="s">
        <v>967</v>
      </c>
      <c r="D1512" t="s">
        <v>965</v>
      </c>
      <c r="E1512" t="s">
        <v>496</v>
      </c>
      <c r="F1512" t="s">
        <v>497</v>
      </c>
      <c r="G1512" t="s">
        <v>963</v>
      </c>
      <c r="H1512">
        <v>1</v>
      </c>
      <c r="I1512">
        <v>5.5E-2</v>
      </c>
      <c r="J1512">
        <v>0.58699999999999997</v>
      </c>
      <c r="K1512">
        <v>0.53200000000000003</v>
      </c>
      <c r="L1512">
        <v>1</v>
      </c>
      <c r="M1512">
        <v>0</v>
      </c>
      <c r="N1512">
        <v>0</v>
      </c>
      <c r="O1512" t="s">
        <v>127</v>
      </c>
      <c r="P1512" t="s">
        <v>127</v>
      </c>
      <c r="Q1512" t="s">
        <v>127</v>
      </c>
    </row>
    <row r="1513" spans="1:17" x14ac:dyDescent="0.25">
      <c r="A1513" t="str">
        <f>IF(C1513&amp;G1513&amp;D1513&lt;&gt;'Funnel setup'!$K$3&amp;'Funnel setup'!$K$4&amp;'Funnel setup'!$K$6,".",IF(A1512=".",1,A1512+1))</f>
        <v>.</v>
      </c>
      <c r="B1513" s="244" t="str">
        <f t="shared" si="23"/>
        <v>Hip Replacement RevisionProviderSHEFFIELD TEACHING HOSPITALS NHS FOUNDATION TRUST (RHQ)EQ-5D Index</v>
      </c>
      <c r="C1513" t="s">
        <v>967</v>
      </c>
      <c r="D1513" t="s">
        <v>965</v>
      </c>
      <c r="E1513" t="s">
        <v>506</v>
      </c>
      <c r="F1513" t="s">
        <v>507</v>
      </c>
      <c r="G1513" t="s">
        <v>963</v>
      </c>
      <c r="H1513">
        <v>1</v>
      </c>
      <c r="I1513">
        <v>0.55200000000000005</v>
      </c>
      <c r="J1513">
        <v>0.72699999999999998</v>
      </c>
      <c r="K1513">
        <v>0.17499999999999999</v>
      </c>
      <c r="L1513">
        <v>1</v>
      </c>
      <c r="M1513">
        <v>0</v>
      </c>
      <c r="N1513">
        <v>0</v>
      </c>
      <c r="O1513" t="s">
        <v>127</v>
      </c>
      <c r="P1513" t="s">
        <v>127</v>
      </c>
      <c r="Q1513" t="s">
        <v>127</v>
      </c>
    </row>
    <row r="1514" spans="1:17" x14ac:dyDescent="0.25">
      <c r="A1514" t="str">
        <f>IF(C1514&amp;G1514&amp;D1514&lt;&gt;'Funnel setup'!$K$3&amp;'Funnel setup'!$K$4&amp;'Funnel setup'!$K$6,".",IF(A1513=".",1,A1513+1))</f>
        <v>.</v>
      </c>
      <c r="B1514" s="244" t="str">
        <f t="shared" si="23"/>
        <v>Hip Replacement RevisionProviderSOUTH TEES HOSPITALS NHS FOUNDATION TRUST (RTR)EQ-5D Index</v>
      </c>
      <c r="C1514" t="s">
        <v>967</v>
      </c>
      <c r="D1514" t="s">
        <v>965</v>
      </c>
      <c r="E1514" t="s">
        <v>516</v>
      </c>
      <c r="F1514" t="s">
        <v>517</v>
      </c>
      <c r="G1514" t="s">
        <v>963</v>
      </c>
      <c r="H1514">
        <v>10</v>
      </c>
      <c r="I1514">
        <v>0.26390000000000002</v>
      </c>
      <c r="J1514">
        <v>0.73080000000000001</v>
      </c>
      <c r="K1514">
        <v>0.46689999999999998</v>
      </c>
      <c r="L1514">
        <v>9</v>
      </c>
      <c r="M1514">
        <v>0</v>
      </c>
      <c r="N1514">
        <v>1</v>
      </c>
      <c r="O1514" t="s">
        <v>127</v>
      </c>
      <c r="P1514" t="s">
        <v>127</v>
      </c>
      <c r="Q1514" t="s">
        <v>127</v>
      </c>
    </row>
    <row r="1515" spans="1:17" x14ac:dyDescent="0.25">
      <c r="A1515" t="str">
        <f>IF(C1515&amp;G1515&amp;D1515&lt;&gt;'Funnel setup'!$K$3&amp;'Funnel setup'!$K$4&amp;'Funnel setup'!$K$6,".",IF(A1514=".",1,A1514+1))</f>
        <v>.</v>
      </c>
      <c r="B1515" s="244" t="str">
        <f t="shared" si="23"/>
        <v>Hip Replacement RevisionProviderSOUTH TYNESIDE AND SUNDERLAND NHS FOUNDATION TRUST (R0B)EQ-5D Index</v>
      </c>
      <c r="C1515" t="s">
        <v>967</v>
      </c>
      <c r="D1515" t="s">
        <v>965</v>
      </c>
      <c r="E1515" t="s">
        <v>518</v>
      </c>
      <c r="F1515" t="s">
        <v>519</v>
      </c>
      <c r="G1515" t="s">
        <v>963</v>
      </c>
      <c r="H1515">
        <v>1</v>
      </c>
      <c r="I1515">
        <v>0.69099999999999995</v>
      </c>
      <c r="J1515">
        <v>1</v>
      </c>
      <c r="K1515">
        <v>0.309</v>
      </c>
      <c r="L1515">
        <v>1</v>
      </c>
      <c r="M1515">
        <v>0</v>
      </c>
      <c r="N1515">
        <v>0</v>
      </c>
      <c r="O1515" t="s">
        <v>127</v>
      </c>
      <c r="P1515" t="s">
        <v>127</v>
      </c>
      <c r="Q1515" t="s">
        <v>127</v>
      </c>
    </row>
    <row r="1516" spans="1:17" x14ac:dyDescent="0.25">
      <c r="A1516" t="str">
        <f>IF(C1516&amp;G1516&amp;D1516&lt;&gt;'Funnel setup'!$K$3&amp;'Funnel setup'!$K$4&amp;'Funnel setup'!$K$6,".",IF(A1515=".",1,A1515+1))</f>
        <v>.</v>
      </c>
      <c r="B1516" s="244" t="str">
        <f t="shared" si="23"/>
        <v>Hip Replacement RevisionProviderSOUTH WARWICKSHIRE UNIVERSITY NHS FOUNDATION TRUST (RJC)EQ-5D Index</v>
      </c>
      <c r="C1516" t="s">
        <v>967</v>
      </c>
      <c r="D1516" t="s">
        <v>965</v>
      </c>
      <c r="E1516" t="s">
        <v>520</v>
      </c>
      <c r="F1516" t="s">
        <v>521</v>
      </c>
      <c r="G1516" t="s">
        <v>963</v>
      </c>
      <c r="H1516">
        <v>3</v>
      </c>
      <c r="I1516">
        <v>-0.20133300000000001</v>
      </c>
      <c r="J1516">
        <v>0.58533299999999999</v>
      </c>
      <c r="K1516">
        <v>0.78666700000000001</v>
      </c>
      <c r="L1516">
        <v>3</v>
      </c>
      <c r="M1516">
        <v>0</v>
      </c>
      <c r="N1516">
        <v>0</v>
      </c>
      <c r="O1516" t="s">
        <v>127</v>
      </c>
      <c r="P1516" t="s">
        <v>127</v>
      </c>
      <c r="Q1516" t="s">
        <v>127</v>
      </c>
    </row>
    <row r="1517" spans="1:17" x14ac:dyDescent="0.25">
      <c r="A1517" t="str">
        <f>IF(C1517&amp;G1517&amp;D1517&lt;&gt;'Funnel setup'!$K$3&amp;'Funnel setup'!$K$4&amp;'Funnel setup'!$K$6,".",IF(A1516=".",1,A1516+1))</f>
        <v>.</v>
      </c>
      <c r="B1517" s="244" t="str">
        <f t="shared" si="23"/>
        <v>Hip Replacement RevisionProviderSPIRE GATWICK PARK HOSPITAL (NT308)EQ-5D Index</v>
      </c>
      <c r="C1517" t="s">
        <v>967</v>
      </c>
      <c r="D1517" t="s">
        <v>965</v>
      </c>
      <c r="E1517" t="s">
        <v>546</v>
      </c>
      <c r="F1517" t="s">
        <v>547</v>
      </c>
      <c r="G1517" t="s">
        <v>963</v>
      </c>
      <c r="H1517" t="s">
        <v>127</v>
      </c>
      <c r="I1517" t="s">
        <v>127</v>
      </c>
      <c r="J1517" t="s">
        <v>127</v>
      </c>
      <c r="K1517" t="s">
        <v>127</v>
      </c>
      <c r="L1517" t="s">
        <v>127</v>
      </c>
      <c r="M1517" t="s">
        <v>127</v>
      </c>
      <c r="N1517" t="s">
        <v>127</v>
      </c>
      <c r="O1517" t="s">
        <v>127</v>
      </c>
      <c r="P1517" t="s">
        <v>127</v>
      </c>
      <c r="Q1517" t="s">
        <v>127</v>
      </c>
    </row>
    <row r="1518" spans="1:17" x14ac:dyDescent="0.25">
      <c r="A1518" t="str">
        <f>IF(C1518&amp;G1518&amp;D1518&lt;&gt;'Funnel setup'!$K$3&amp;'Funnel setup'!$K$4&amp;'Funnel setup'!$K$6,".",IF(A1517=".",1,A1517+1))</f>
        <v>.</v>
      </c>
      <c r="B1518" s="244" t="str">
        <f t="shared" si="23"/>
        <v>Hip Replacement RevisionProviderSPRINGFIELD HOSPITAL (NVC18)EQ-5D Index</v>
      </c>
      <c r="C1518" t="s">
        <v>967</v>
      </c>
      <c r="D1518" t="s">
        <v>965</v>
      </c>
      <c r="E1518" t="s">
        <v>602</v>
      </c>
      <c r="F1518" t="s">
        <v>603</v>
      </c>
      <c r="G1518" t="s">
        <v>963</v>
      </c>
      <c r="H1518" t="s">
        <v>127</v>
      </c>
      <c r="I1518" t="s">
        <v>127</v>
      </c>
      <c r="J1518" t="s">
        <v>127</v>
      </c>
      <c r="K1518" t="s">
        <v>127</v>
      </c>
      <c r="L1518" t="s">
        <v>127</v>
      </c>
      <c r="M1518" t="s">
        <v>127</v>
      </c>
      <c r="N1518" t="s">
        <v>127</v>
      </c>
      <c r="O1518" t="s">
        <v>127</v>
      </c>
      <c r="P1518" t="s">
        <v>127</v>
      </c>
      <c r="Q1518" t="s">
        <v>127</v>
      </c>
    </row>
    <row r="1519" spans="1:17" x14ac:dyDescent="0.25">
      <c r="A1519" t="str">
        <f>IF(C1519&amp;G1519&amp;D1519&lt;&gt;'Funnel setup'!$K$3&amp;'Funnel setup'!$K$4&amp;'Funnel setup'!$K$6,".",IF(A1518=".",1,A1518+1))</f>
        <v>.</v>
      </c>
      <c r="B1519" s="244" t="str">
        <f t="shared" si="23"/>
        <v>Hip Replacement RevisionProviderST HELENS AND KNOWSLEY TEACHING HOSPITALS NHS TRUST (RBN)EQ-5D Index</v>
      </c>
      <c r="C1519" t="s">
        <v>967</v>
      </c>
      <c r="D1519" t="s">
        <v>965</v>
      </c>
      <c r="E1519" t="s">
        <v>608</v>
      </c>
      <c r="F1519" t="s">
        <v>609</v>
      </c>
      <c r="G1519" t="s">
        <v>963</v>
      </c>
      <c r="H1519">
        <v>2</v>
      </c>
      <c r="I1519">
        <v>0.51600000000000001</v>
      </c>
      <c r="J1519">
        <v>0.55149999999999999</v>
      </c>
      <c r="K1519">
        <v>3.5499999999999997E-2</v>
      </c>
      <c r="L1519">
        <v>1</v>
      </c>
      <c r="M1519">
        <v>1</v>
      </c>
      <c r="N1519">
        <v>0</v>
      </c>
      <c r="O1519" t="s">
        <v>127</v>
      </c>
      <c r="P1519" t="s">
        <v>127</v>
      </c>
      <c r="Q1519" t="s">
        <v>127</v>
      </c>
    </row>
    <row r="1520" spans="1:17" x14ac:dyDescent="0.25">
      <c r="A1520" t="str">
        <f>IF(C1520&amp;G1520&amp;D1520&lt;&gt;'Funnel setup'!$K$3&amp;'Funnel setup'!$K$4&amp;'Funnel setup'!$K$6,".",IF(A1519=".",1,A1519+1))</f>
        <v>.</v>
      </c>
      <c r="B1520" s="244" t="str">
        <f t="shared" si="23"/>
        <v>Hip Replacement RevisionProviderSTOCKPORT NHS FOUNDATION TRUST (RWJ)EQ-5D Index</v>
      </c>
      <c r="C1520" t="s">
        <v>967</v>
      </c>
      <c r="D1520" t="s">
        <v>965</v>
      </c>
      <c r="E1520" t="s">
        <v>614</v>
      </c>
      <c r="F1520" t="s">
        <v>615</v>
      </c>
      <c r="G1520" t="s">
        <v>963</v>
      </c>
      <c r="H1520">
        <v>7</v>
      </c>
      <c r="I1520">
        <v>0.20514299999999999</v>
      </c>
      <c r="J1520">
        <v>0.52600000000000002</v>
      </c>
      <c r="K1520">
        <v>0.320857</v>
      </c>
      <c r="L1520">
        <v>5</v>
      </c>
      <c r="M1520">
        <v>1</v>
      </c>
      <c r="N1520">
        <v>1</v>
      </c>
      <c r="O1520" t="s">
        <v>127</v>
      </c>
      <c r="P1520" t="s">
        <v>127</v>
      </c>
      <c r="Q1520" t="s">
        <v>127</v>
      </c>
    </row>
    <row r="1521" spans="1:17" x14ac:dyDescent="0.25">
      <c r="A1521" t="str">
        <f>IF(C1521&amp;G1521&amp;D1521&lt;&gt;'Funnel setup'!$K$3&amp;'Funnel setup'!$K$4&amp;'Funnel setup'!$K$6,".",IF(A1520=".",1,A1520+1))</f>
        <v>.</v>
      </c>
      <c r="B1521" s="244" t="str">
        <f t="shared" si="23"/>
        <v>Hip Replacement RevisionProviderSURREY AND SUSSEX HEALTHCARE NHS TRUST (RTP)EQ-5D Index</v>
      </c>
      <c r="C1521" t="s">
        <v>967</v>
      </c>
      <c r="D1521" t="s">
        <v>965</v>
      </c>
      <c r="E1521" t="s">
        <v>618</v>
      </c>
      <c r="F1521" t="s">
        <v>619</v>
      </c>
      <c r="G1521" t="s">
        <v>963</v>
      </c>
      <c r="H1521">
        <v>5</v>
      </c>
      <c r="I1521">
        <v>0.14480000000000001</v>
      </c>
      <c r="J1521">
        <v>0.69420000000000004</v>
      </c>
      <c r="K1521">
        <v>0.5494</v>
      </c>
      <c r="L1521">
        <v>5</v>
      </c>
      <c r="M1521">
        <v>0</v>
      </c>
      <c r="N1521">
        <v>0</v>
      </c>
      <c r="O1521" t="s">
        <v>127</v>
      </c>
      <c r="P1521" t="s">
        <v>127</v>
      </c>
      <c r="Q1521" t="s">
        <v>127</v>
      </c>
    </row>
    <row r="1522" spans="1:17" x14ac:dyDescent="0.25">
      <c r="A1522" t="str">
        <f>IF(C1522&amp;G1522&amp;D1522&lt;&gt;'Funnel setup'!$K$3&amp;'Funnel setup'!$K$4&amp;'Funnel setup'!$K$6,".",IF(A1521=".",1,A1521+1))</f>
        <v>.</v>
      </c>
      <c r="B1522" s="244" t="str">
        <f t="shared" si="23"/>
        <v>Hip Replacement RevisionProviderTHE HILLINGDON HOSPITALS NHS FOUNDATION TRUST (RAS)EQ-5D Index</v>
      </c>
      <c r="C1522" t="s">
        <v>967</v>
      </c>
      <c r="D1522" t="s">
        <v>965</v>
      </c>
      <c r="E1522" t="s">
        <v>632</v>
      </c>
      <c r="F1522" t="s">
        <v>633</v>
      </c>
      <c r="G1522" t="s">
        <v>963</v>
      </c>
      <c r="H1522">
        <v>1</v>
      </c>
      <c r="I1522">
        <v>-1.6E-2</v>
      </c>
      <c r="J1522">
        <v>-1.6E-2</v>
      </c>
      <c r="K1522">
        <v>0</v>
      </c>
      <c r="L1522">
        <v>0</v>
      </c>
      <c r="M1522">
        <v>1</v>
      </c>
      <c r="N1522">
        <v>0</v>
      </c>
      <c r="O1522" t="s">
        <v>127</v>
      </c>
      <c r="P1522" t="s">
        <v>127</v>
      </c>
      <c r="Q1522" t="s">
        <v>127</v>
      </c>
    </row>
    <row r="1523" spans="1:17" x14ac:dyDescent="0.25">
      <c r="A1523" t="str">
        <f>IF(C1523&amp;G1523&amp;D1523&lt;&gt;'Funnel setup'!$K$3&amp;'Funnel setup'!$K$4&amp;'Funnel setup'!$K$6,".",IF(A1522=".",1,A1522+1))</f>
        <v>.</v>
      </c>
      <c r="B1523" s="244" t="str">
        <f t="shared" si="23"/>
        <v>Hip Replacement RevisionProviderTHE HORDER CENTRE - ST JOHNS ROAD (NXM01)EQ-5D Index</v>
      </c>
      <c r="C1523" t="s">
        <v>967</v>
      </c>
      <c r="D1523" t="s">
        <v>965</v>
      </c>
      <c r="E1523" t="s">
        <v>634</v>
      </c>
      <c r="F1523" t="s">
        <v>635</v>
      </c>
      <c r="G1523" t="s">
        <v>963</v>
      </c>
      <c r="H1523">
        <v>9</v>
      </c>
      <c r="I1523">
        <v>0.66122199999999998</v>
      </c>
      <c r="J1523">
        <v>0.71188899999999999</v>
      </c>
      <c r="K1523">
        <v>5.0666700000000002E-2</v>
      </c>
      <c r="L1523">
        <v>5</v>
      </c>
      <c r="M1523">
        <v>2</v>
      </c>
      <c r="N1523">
        <v>2</v>
      </c>
      <c r="O1523" t="s">
        <v>127</v>
      </c>
      <c r="P1523" t="s">
        <v>127</v>
      </c>
      <c r="Q1523" t="s">
        <v>127</v>
      </c>
    </row>
    <row r="1524" spans="1:17" x14ac:dyDescent="0.25">
      <c r="A1524" t="str">
        <f>IF(C1524&amp;G1524&amp;D1524&lt;&gt;'Funnel setup'!$K$3&amp;'Funnel setup'!$K$4&amp;'Funnel setup'!$K$6,".",IF(A1523=".",1,A1523+1))</f>
        <v>.</v>
      </c>
      <c r="B1524" s="244" t="str">
        <f t="shared" si="23"/>
        <v>Hip Replacement RevisionProviderTHE NEWCASTLE UPON TYNE HOSPITALS NHS FOUNDATION TRUST (RTD)EQ-5D Index</v>
      </c>
      <c r="C1524" t="s">
        <v>967</v>
      </c>
      <c r="D1524" t="s">
        <v>965</v>
      </c>
      <c r="E1524" t="s">
        <v>638</v>
      </c>
      <c r="F1524" t="s">
        <v>639</v>
      </c>
      <c r="G1524" t="s">
        <v>963</v>
      </c>
      <c r="H1524">
        <v>4</v>
      </c>
      <c r="I1524">
        <v>0.54374999999999996</v>
      </c>
      <c r="J1524">
        <v>0.57725000000000004</v>
      </c>
      <c r="K1524">
        <v>3.3500000000000002E-2</v>
      </c>
      <c r="L1524">
        <v>2</v>
      </c>
      <c r="M1524">
        <v>1</v>
      </c>
      <c r="N1524">
        <v>1</v>
      </c>
      <c r="O1524" t="s">
        <v>127</v>
      </c>
      <c r="P1524" t="s">
        <v>127</v>
      </c>
      <c r="Q1524" t="s">
        <v>127</v>
      </c>
    </row>
    <row r="1525" spans="1:17" x14ac:dyDescent="0.25">
      <c r="A1525" t="str">
        <f>IF(C1525&amp;G1525&amp;D1525&lt;&gt;'Funnel setup'!$K$3&amp;'Funnel setup'!$K$4&amp;'Funnel setup'!$K$6,".",IF(A1524=".",1,A1524+1))</f>
        <v>.</v>
      </c>
      <c r="B1525" s="244" t="str">
        <f t="shared" si="23"/>
        <v>Hip Replacement RevisionProviderTHE PRINCESS ALEXANDRA HOSPITAL NHS TRUST (RQW)EQ-5D Index</v>
      </c>
      <c r="C1525" t="s">
        <v>967</v>
      </c>
      <c r="D1525" t="s">
        <v>965</v>
      </c>
      <c r="E1525" t="s">
        <v>640</v>
      </c>
      <c r="F1525" t="s">
        <v>641</v>
      </c>
      <c r="G1525" t="s">
        <v>963</v>
      </c>
      <c r="H1525">
        <v>1</v>
      </c>
      <c r="I1525">
        <v>0.51600000000000001</v>
      </c>
      <c r="J1525">
        <v>0.13700000000000001</v>
      </c>
      <c r="K1525">
        <v>-0.379</v>
      </c>
      <c r="L1525">
        <v>0</v>
      </c>
      <c r="M1525">
        <v>0</v>
      </c>
      <c r="N1525">
        <v>1</v>
      </c>
      <c r="O1525" t="s">
        <v>127</v>
      </c>
      <c r="P1525" t="s">
        <v>127</v>
      </c>
      <c r="Q1525" t="s">
        <v>127</v>
      </c>
    </row>
    <row r="1526" spans="1:17" x14ac:dyDescent="0.25">
      <c r="A1526" t="str">
        <f>IF(C1526&amp;G1526&amp;D1526&lt;&gt;'Funnel setup'!$K$3&amp;'Funnel setup'!$K$4&amp;'Funnel setup'!$K$6,".",IF(A1525=".",1,A1525+1))</f>
        <v>.</v>
      </c>
      <c r="B1526" s="244" t="str">
        <f t="shared" si="23"/>
        <v>Hip Replacement RevisionProviderTHE QUEEN ELIZABETH HOSPITAL, KING'S LYNN, NHS FOUNDATION TRUST (RCX)EQ-5D Index</v>
      </c>
      <c r="C1526" t="s">
        <v>967</v>
      </c>
      <c r="D1526" t="s">
        <v>965</v>
      </c>
      <c r="E1526" t="s">
        <v>644</v>
      </c>
      <c r="F1526" t="s">
        <v>645</v>
      </c>
      <c r="G1526" t="s">
        <v>963</v>
      </c>
      <c r="H1526">
        <v>2</v>
      </c>
      <c r="I1526">
        <v>0.42499999999999999</v>
      </c>
      <c r="J1526">
        <v>0.20300000000000001</v>
      </c>
      <c r="K1526">
        <v>-0.222</v>
      </c>
      <c r="L1526">
        <v>1</v>
      </c>
      <c r="M1526">
        <v>0</v>
      </c>
      <c r="N1526">
        <v>1</v>
      </c>
      <c r="O1526" t="s">
        <v>127</v>
      </c>
      <c r="P1526" t="s">
        <v>127</v>
      </c>
      <c r="Q1526" t="s">
        <v>127</v>
      </c>
    </row>
    <row r="1527" spans="1:17" x14ac:dyDescent="0.25">
      <c r="A1527" t="str">
        <f>IF(C1527&amp;G1527&amp;D1527&lt;&gt;'Funnel setup'!$K$3&amp;'Funnel setup'!$K$4&amp;'Funnel setup'!$K$6,".",IF(A1526=".",1,A1526+1))</f>
        <v>.</v>
      </c>
      <c r="B1527" s="244" t="str">
        <f t="shared" si="23"/>
        <v>Hip Replacement RevisionProviderTHE ROBERT JONES AND AGNES HUNT ORTHOPAEDIC HOSPITAL NHS FOUNDATION TRUST (RL1)EQ-5D Index</v>
      </c>
      <c r="C1527" t="s">
        <v>967</v>
      </c>
      <c r="D1527" t="s">
        <v>965</v>
      </c>
      <c r="E1527" t="s">
        <v>646</v>
      </c>
      <c r="F1527" t="s">
        <v>647</v>
      </c>
      <c r="G1527" t="s">
        <v>963</v>
      </c>
      <c r="H1527">
        <v>24</v>
      </c>
      <c r="I1527">
        <v>0.297292</v>
      </c>
      <c r="J1527">
        <v>0.71929200000000004</v>
      </c>
      <c r="K1527">
        <v>0.42199999999999999</v>
      </c>
      <c r="L1527">
        <v>20</v>
      </c>
      <c r="M1527">
        <v>2</v>
      </c>
      <c r="N1527">
        <v>2</v>
      </c>
      <c r="O1527" t="s">
        <v>127</v>
      </c>
      <c r="P1527" t="s">
        <v>127</v>
      </c>
      <c r="Q1527" t="s">
        <v>127</v>
      </c>
    </row>
    <row r="1528" spans="1:17" x14ac:dyDescent="0.25">
      <c r="A1528" t="str">
        <f>IF(C1528&amp;G1528&amp;D1528&lt;&gt;'Funnel setup'!$K$3&amp;'Funnel setup'!$K$4&amp;'Funnel setup'!$K$6,".",IF(A1527=".",1,A1527+1))</f>
        <v>.</v>
      </c>
      <c r="B1528" s="244" t="str">
        <f t="shared" si="23"/>
        <v>Hip Replacement RevisionProviderTHE ROYAL ORTHOPAEDIC HOSPITAL NHS FOUNDATION TRUST (RRJ)EQ-5D Index</v>
      </c>
      <c r="C1528" t="s">
        <v>967</v>
      </c>
      <c r="D1528" t="s">
        <v>965</v>
      </c>
      <c r="E1528" t="s">
        <v>652</v>
      </c>
      <c r="F1528" t="s">
        <v>653</v>
      </c>
      <c r="G1528" t="s">
        <v>963</v>
      </c>
      <c r="H1528">
        <v>39</v>
      </c>
      <c r="I1528">
        <v>0.36738500000000002</v>
      </c>
      <c r="J1528">
        <v>0.70699999999999996</v>
      </c>
      <c r="K1528">
        <v>0.339615</v>
      </c>
      <c r="L1528">
        <v>32</v>
      </c>
      <c r="M1528">
        <v>3</v>
      </c>
      <c r="N1528">
        <v>4</v>
      </c>
      <c r="O1528">
        <v>0.69185799999999997</v>
      </c>
      <c r="P1528">
        <v>0.32307599999999997</v>
      </c>
      <c r="Q1528">
        <v>0.26678400000000002</v>
      </c>
    </row>
    <row r="1529" spans="1:17" x14ac:dyDescent="0.25">
      <c r="A1529" t="str">
        <f>IF(C1529&amp;G1529&amp;D1529&lt;&gt;'Funnel setup'!$K$3&amp;'Funnel setup'!$K$4&amp;'Funnel setup'!$K$6,".",IF(A1528=".",1,A1528+1))</f>
        <v>.</v>
      </c>
      <c r="B1529" s="244" t="str">
        <f t="shared" si="23"/>
        <v>Hip Replacement RevisionProviderTHE ROYAL WOLVERHAMPTON NHS TRUST (RL4)EQ-5D Index</v>
      </c>
      <c r="C1529" t="s">
        <v>967</v>
      </c>
      <c r="D1529" t="s">
        <v>965</v>
      </c>
      <c r="E1529" t="s">
        <v>654</v>
      </c>
      <c r="F1529" t="s">
        <v>655</v>
      </c>
      <c r="G1529" t="s">
        <v>963</v>
      </c>
      <c r="H1529">
        <v>1</v>
      </c>
      <c r="I1529">
        <v>5.5E-2</v>
      </c>
      <c r="J1529">
        <v>1</v>
      </c>
      <c r="K1529">
        <v>0.94499999999999995</v>
      </c>
      <c r="L1529">
        <v>1</v>
      </c>
      <c r="M1529">
        <v>0</v>
      </c>
      <c r="N1529">
        <v>0</v>
      </c>
      <c r="O1529" t="s">
        <v>127</v>
      </c>
      <c r="P1529" t="s">
        <v>127</v>
      </c>
      <c r="Q1529" t="s">
        <v>127</v>
      </c>
    </row>
    <row r="1530" spans="1:17" x14ac:dyDescent="0.25">
      <c r="A1530" t="str">
        <f>IF(C1530&amp;G1530&amp;D1530&lt;&gt;'Funnel setup'!$K$3&amp;'Funnel setup'!$K$4&amp;'Funnel setup'!$K$6,".",IF(A1529=".",1,A1529+1))</f>
        <v>.</v>
      </c>
      <c r="B1530" s="244" t="str">
        <f t="shared" si="23"/>
        <v>Hip Replacement RevisionProviderTORBAY AND SOUTH DEVON NHS FOUNDATION TRUST (RA9)EQ-5D Index</v>
      </c>
      <c r="C1530" t="s">
        <v>967</v>
      </c>
      <c r="D1530" t="s">
        <v>965</v>
      </c>
      <c r="E1530" t="s">
        <v>668</v>
      </c>
      <c r="F1530" t="s">
        <v>669</v>
      </c>
      <c r="G1530" t="s">
        <v>963</v>
      </c>
      <c r="H1530">
        <v>3</v>
      </c>
      <c r="I1530">
        <v>0.27533299999999999</v>
      </c>
      <c r="J1530">
        <v>0.70466700000000004</v>
      </c>
      <c r="K1530">
        <v>0.42933300000000002</v>
      </c>
      <c r="L1530">
        <v>2</v>
      </c>
      <c r="M1530">
        <v>0</v>
      </c>
      <c r="N1530">
        <v>1</v>
      </c>
      <c r="O1530" t="s">
        <v>127</v>
      </c>
      <c r="P1530" t="s">
        <v>127</v>
      </c>
      <c r="Q1530" t="s">
        <v>127</v>
      </c>
    </row>
    <row r="1531" spans="1:17" x14ac:dyDescent="0.25">
      <c r="A1531" t="str">
        <f>IF(C1531&amp;G1531&amp;D1531&lt;&gt;'Funnel setup'!$K$3&amp;'Funnel setup'!$K$4&amp;'Funnel setup'!$K$6,".",IF(A1530=".",1,A1530+1))</f>
        <v>.</v>
      </c>
      <c r="B1531" s="244" t="str">
        <f t="shared" si="23"/>
        <v>Hip Replacement RevisionProviderUNIVERSITY COLLEGE LONDON HOSPITALS NHS FOUNDATION TRUST (RRV)EQ-5D Index</v>
      </c>
      <c r="C1531" t="s">
        <v>967</v>
      </c>
      <c r="D1531" t="s">
        <v>965</v>
      </c>
      <c r="E1531" t="s">
        <v>674</v>
      </c>
      <c r="F1531" t="s">
        <v>675</v>
      </c>
      <c r="G1531" t="s">
        <v>963</v>
      </c>
      <c r="H1531">
        <v>9</v>
      </c>
      <c r="I1531">
        <v>0.61255599999999999</v>
      </c>
      <c r="J1531">
        <v>0.80522199999999999</v>
      </c>
      <c r="K1531">
        <v>0.192667</v>
      </c>
      <c r="L1531">
        <v>5</v>
      </c>
      <c r="M1531">
        <v>2</v>
      </c>
      <c r="N1531">
        <v>2</v>
      </c>
      <c r="O1531" t="s">
        <v>127</v>
      </c>
      <c r="P1531" t="s">
        <v>127</v>
      </c>
      <c r="Q1531" t="s">
        <v>127</v>
      </c>
    </row>
    <row r="1532" spans="1:17" x14ac:dyDescent="0.25">
      <c r="A1532" t="str">
        <f>IF(C1532&amp;G1532&amp;D1532&lt;&gt;'Funnel setup'!$K$3&amp;'Funnel setup'!$K$4&amp;'Funnel setup'!$K$6,".",IF(A1531=".",1,A1531+1))</f>
        <v>.</v>
      </c>
      <c r="B1532" s="244" t="str">
        <f t="shared" si="23"/>
        <v>Hip Replacement RevisionProviderUNIVERSITY HOSPITAL SOUTHAMPTON NHS FOUNDATION TRUST (RHM)EQ-5D Index</v>
      </c>
      <c r="C1532" t="s">
        <v>967</v>
      </c>
      <c r="D1532" t="s">
        <v>965</v>
      </c>
      <c r="E1532" t="s">
        <v>676</v>
      </c>
      <c r="F1532" t="s">
        <v>677</v>
      </c>
      <c r="G1532" t="s">
        <v>963</v>
      </c>
      <c r="H1532">
        <v>7</v>
      </c>
      <c r="I1532">
        <v>0.432143</v>
      </c>
      <c r="J1532">
        <v>0.52785700000000002</v>
      </c>
      <c r="K1532">
        <v>9.5714300000000002E-2</v>
      </c>
      <c r="L1532">
        <v>3</v>
      </c>
      <c r="M1532">
        <v>1</v>
      </c>
      <c r="N1532">
        <v>3</v>
      </c>
      <c r="O1532" t="s">
        <v>127</v>
      </c>
      <c r="P1532" t="s">
        <v>127</v>
      </c>
      <c r="Q1532" t="s">
        <v>127</v>
      </c>
    </row>
    <row r="1533" spans="1:17" x14ac:dyDescent="0.25">
      <c r="A1533" t="str">
        <f>IF(C1533&amp;G1533&amp;D1533&lt;&gt;'Funnel setup'!$K$3&amp;'Funnel setup'!$K$4&amp;'Funnel setup'!$K$6,".",IF(A1532=".",1,A1532+1))</f>
        <v>.</v>
      </c>
      <c r="B1533" s="244" t="str">
        <f t="shared" si="23"/>
        <v>Hip Replacement RevisionProviderUNIVERSITY HOSPITALS BRISTOL AND WESTON NHS FOUNDATION TRUST (RA7)EQ-5D Index</v>
      </c>
      <c r="C1533" t="s">
        <v>967</v>
      </c>
      <c r="D1533" t="s">
        <v>965</v>
      </c>
      <c r="E1533" t="s">
        <v>680</v>
      </c>
      <c r="F1533" t="s">
        <v>681</v>
      </c>
      <c r="G1533" t="s">
        <v>963</v>
      </c>
      <c r="H1533" t="s">
        <v>127</v>
      </c>
      <c r="I1533" t="s">
        <v>127</v>
      </c>
      <c r="J1533" t="s">
        <v>127</v>
      </c>
      <c r="K1533" t="s">
        <v>127</v>
      </c>
      <c r="L1533" t="s">
        <v>127</v>
      </c>
      <c r="M1533" t="s">
        <v>127</v>
      </c>
      <c r="N1533" t="s">
        <v>127</v>
      </c>
      <c r="O1533" t="s">
        <v>127</v>
      </c>
      <c r="P1533" t="s">
        <v>127</v>
      </c>
      <c r="Q1533" t="s">
        <v>127</v>
      </c>
    </row>
    <row r="1534" spans="1:17" x14ac:dyDescent="0.25">
      <c r="A1534" t="str">
        <f>IF(C1534&amp;G1534&amp;D1534&lt;&gt;'Funnel setup'!$K$3&amp;'Funnel setup'!$K$4&amp;'Funnel setup'!$K$6,".",IF(A1533=".",1,A1533+1))</f>
        <v>.</v>
      </c>
      <c r="B1534" s="244" t="str">
        <f t="shared" si="23"/>
        <v>Hip Replacement RevisionProviderUNIVERSITY HOSPITALS COVENTRY AND WARWICKSHIRE NHS TRUST (RKB)EQ-5D Index</v>
      </c>
      <c r="C1534" t="s">
        <v>967</v>
      </c>
      <c r="D1534" t="s">
        <v>965</v>
      </c>
      <c r="E1534" t="s">
        <v>682</v>
      </c>
      <c r="F1534" t="s">
        <v>683</v>
      </c>
      <c r="G1534" t="s">
        <v>963</v>
      </c>
      <c r="H1534">
        <v>2</v>
      </c>
      <c r="I1534">
        <v>0.32100000000000001</v>
      </c>
      <c r="J1534">
        <v>0.59450000000000003</v>
      </c>
      <c r="K1534">
        <v>0.27350000000000002</v>
      </c>
      <c r="L1534">
        <v>2</v>
      </c>
      <c r="M1534">
        <v>0</v>
      </c>
      <c r="N1534">
        <v>0</v>
      </c>
      <c r="O1534" t="s">
        <v>127</v>
      </c>
      <c r="P1534" t="s">
        <v>127</v>
      </c>
      <c r="Q1534" t="s">
        <v>127</v>
      </c>
    </row>
    <row r="1535" spans="1:17" x14ac:dyDescent="0.25">
      <c r="A1535" t="str">
        <f>IF(C1535&amp;G1535&amp;D1535&lt;&gt;'Funnel setup'!$K$3&amp;'Funnel setup'!$K$4&amp;'Funnel setup'!$K$6,".",IF(A1534=".",1,A1534+1))</f>
        <v>.</v>
      </c>
      <c r="B1535" s="244" t="str">
        <f t="shared" si="23"/>
        <v>Hip Replacement RevisionProviderUNIVERSITY HOSPITAL DORSET NHS FUNDATION TRUST (R0D)EQ-5D Index</v>
      </c>
      <c r="C1535" t="s">
        <v>967</v>
      </c>
      <c r="D1535" t="s">
        <v>965</v>
      </c>
      <c r="E1535" t="s">
        <v>684</v>
      </c>
      <c r="F1535" t="s">
        <v>966</v>
      </c>
      <c r="G1535" t="s">
        <v>963</v>
      </c>
      <c r="H1535">
        <v>10</v>
      </c>
      <c r="I1535">
        <v>0.38100000000000001</v>
      </c>
      <c r="J1535">
        <v>0.79</v>
      </c>
      <c r="K1535">
        <v>0.40899999999999997</v>
      </c>
      <c r="L1535">
        <v>8</v>
      </c>
      <c r="M1535">
        <v>2</v>
      </c>
      <c r="N1535">
        <v>0</v>
      </c>
      <c r="O1535" t="s">
        <v>127</v>
      </c>
      <c r="P1535" t="s">
        <v>127</v>
      </c>
      <c r="Q1535" t="s">
        <v>127</v>
      </c>
    </row>
    <row r="1536" spans="1:17" x14ac:dyDescent="0.25">
      <c r="A1536" t="str">
        <f>IF(C1536&amp;G1536&amp;D1536&lt;&gt;'Funnel setup'!$K$3&amp;'Funnel setup'!$K$4&amp;'Funnel setup'!$K$6,".",IF(A1535=".",1,A1535+1))</f>
        <v>.</v>
      </c>
      <c r="B1536" s="244" t="str">
        <f t="shared" si="23"/>
        <v>Hip Replacement RevisionProviderUNIVERSITY HOSPITALS OF DERBY AND BURTON NHS FOUNDATION TRUST (RTG)EQ-5D Index</v>
      </c>
      <c r="C1536" t="s">
        <v>967</v>
      </c>
      <c r="D1536" t="s">
        <v>965</v>
      </c>
      <c r="E1536" t="s">
        <v>686</v>
      </c>
      <c r="F1536" t="s">
        <v>687</v>
      </c>
      <c r="G1536" t="s">
        <v>963</v>
      </c>
      <c r="H1536">
        <v>16</v>
      </c>
      <c r="I1536">
        <v>0.44612499999999999</v>
      </c>
      <c r="J1536">
        <v>0.70843800000000001</v>
      </c>
      <c r="K1536">
        <v>0.26231300000000002</v>
      </c>
      <c r="L1536">
        <v>10</v>
      </c>
      <c r="M1536">
        <v>1</v>
      </c>
      <c r="N1536">
        <v>5</v>
      </c>
      <c r="O1536" t="s">
        <v>127</v>
      </c>
      <c r="P1536" t="s">
        <v>127</v>
      </c>
      <c r="Q1536" t="s">
        <v>127</v>
      </c>
    </row>
    <row r="1537" spans="1:17" x14ac:dyDescent="0.25">
      <c r="A1537" t="str">
        <f>IF(C1537&amp;G1537&amp;D1537&lt;&gt;'Funnel setup'!$K$3&amp;'Funnel setup'!$K$4&amp;'Funnel setup'!$K$6,".",IF(A1536=".",1,A1536+1))</f>
        <v>.</v>
      </c>
      <c r="B1537" s="244" t="str">
        <f t="shared" si="23"/>
        <v>Hip Replacement RevisionProviderUNIVERSITY HOSPITALS OF LEICESTER NHS TRUST (RWE)EQ-5D Index</v>
      </c>
      <c r="C1537" t="s">
        <v>967</v>
      </c>
      <c r="D1537" t="s">
        <v>965</v>
      </c>
      <c r="E1537" t="s">
        <v>688</v>
      </c>
      <c r="F1537" t="s">
        <v>689</v>
      </c>
      <c r="G1537" t="s">
        <v>963</v>
      </c>
      <c r="H1537">
        <v>14</v>
      </c>
      <c r="I1537">
        <v>0.269071</v>
      </c>
      <c r="J1537">
        <v>0.75121400000000005</v>
      </c>
      <c r="K1537">
        <v>0.48214299999999999</v>
      </c>
      <c r="L1537">
        <v>14</v>
      </c>
      <c r="M1537">
        <v>0</v>
      </c>
      <c r="N1537">
        <v>0</v>
      </c>
      <c r="O1537" t="s">
        <v>127</v>
      </c>
      <c r="P1537" t="s">
        <v>127</v>
      </c>
      <c r="Q1537" t="s">
        <v>127</v>
      </c>
    </row>
    <row r="1538" spans="1:17" x14ac:dyDescent="0.25">
      <c r="A1538" t="str">
        <f>IF(C1538&amp;G1538&amp;D1538&lt;&gt;'Funnel setup'!$K$3&amp;'Funnel setup'!$K$4&amp;'Funnel setup'!$K$6,".",IF(A1537=".",1,A1537+1))</f>
        <v>.</v>
      </c>
      <c r="B1538" s="244" t="str">
        <f t="shared" ref="B1538:B1601" si="24">C1538&amp;D1538&amp;F1538&amp;G1538</f>
        <v>Hip Replacement RevisionProviderUNIVERSITY HOSPITALS OF MORECAMBE BAY NHS FOUNDATION TRUST (RTX)EQ-5D Index</v>
      </c>
      <c r="C1538" t="s">
        <v>967</v>
      </c>
      <c r="D1538" t="s">
        <v>965</v>
      </c>
      <c r="E1538" t="s">
        <v>690</v>
      </c>
      <c r="F1538" t="s">
        <v>691</v>
      </c>
      <c r="G1538" t="s">
        <v>963</v>
      </c>
      <c r="H1538">
        <v>8</v>
      </c>
      <c r="I1538">
        <v>0.28225</v>
      </c>
      <c r="J1538">
        <v>0.67200000000000004</v>
      </c>
      <c r="K1538">
        <v>0.38974999999999999</v>
      </c>
      <c r="L1538">
        <v>8</v>
      </c>
      <c r="M1538">
        <v>0</v>
      </c>
      <c r="N1538">
        <v>0</v>
      </c>
      <c r="O1538" t="s">
        <v>127</v>
      </c>
      <c r="P1538" t="s">
        <v>127</v>
      </c>
      <c r="Q1538" t="s">
        <v>127</v>
      </c>
    </row>
    <row r="1539" spans="1:17" x14ac:dyDescent="0.25">
      <c r="A1539" t="str">
        <f>IF(C1539&amp;G1539&amp;D1539&lt;&gt;'Funnel setup'!$K$3&amp;'Funnel setup'!$K$4&amp;'Funnel setup'!$K$6,".",IF(A1538=".",1,A1538+1))</f>
        <v>.</v>
      </c>
      <c r="B1539" s="244" t="str">
        <f t="shared" si="24"/>
        <v>Hip Replacement RevisionProviderUNIVERSITY HOSPITALS PLYMOUTH NHS TRUST (RK9)EQ-5D Index</v>
      </c>
      <c r="C1539" t="s">
        <v>967</v>
      </c>
      <c r="D1539" t="s">
        <v>965</v>
      </c>
      <c r="E1539" t="s">
        <v>694</v>
      </c>
      <c r="F1539" t="s">
        <v>695</v>
      </c>
      <c r="G1539" t="s">
        <v>963</v>
      </c>
      <c r="H1539">
        <v>2</v>
      </c>
      <c r="I1539">
        <v>0.221</v>
      </c>
      <c r="J1539">
        <v>-2.5000000000000001E-2</v>
      </c>
      <c r="K1539">
        <v>-0.246</v>
      </c>
      <c r="L1539">
        <v>0</v>
      </c>
      <c r="M1539">
        <v>0</v>
      </c>
      <c r="N1539">
        <v>2</v>
      </c>
      <c r="O1539" t="s">
        <v>127</v>
      </c>
      <c r="P1539" t="s">
        <v>127</v>
      </c>
      <c r="Q1539" t="s">
        <v>127</v>
      </c>
    </row>
    <row r="1540" spans="1:17" x14ac:dyDescent="0.25">
      <c r="A1540" t="str">
        <f>IF(C1540&amp;G1540&amp;D1540&lt;&gt;'Funnel setup'!$K$3&amp;'Funnel setup'!$K$4&amp;'Funnel setup'!$K$6,".",IF(A1539=".",1,A1539+1))</f>
        <v>.</v>
      </c>
      <c r="B1540" s="244" t="str">
        <f t="shared" si="24"/>
        <v>Hip Replacement RevisionProviderUNIVERSITY HOSPITALS SUSSEX NHS FOUNDATION TRUST (RYR)EQ-5D Index</v>
      </c>
      <c r="C1540" t="s">
        <v>967</v>
      </c>
      <c r="D1540" t="s">
        <v>965</v>
      </c>
      <c r="E1540" t="s">
        <v>696</v>
      </c>
      <c r="F1540" t="s">
        <v>697</v>
      </c>
      <c r="G1540" t="s">
        <v>963</v>
      </c>
      <c r="H1540">
        <v>12</v>
      </c>
      <c r="I1540">
        <v>0.28625</v>
      </c>
      <c r="J1540">
        <v>0.65691699999999997</v>
      </c>
      <c r="K1540">
        <v>0.37066700000000002</v>
      </c>
      <c r="L1540">
        <v>9</v>
      </c>
      <c r="M1540">
        <v>2</v>
      </c>
      <c r="N1540">
        <v>1</v>
      </c>
      <c r="O1540" t="s">
        <v>127</v>
      </c>
      <c r="P1540" t="s">
        <v>127</v>
      </c>
      <c r="Q1540" t="s">
        <v>127</v>
      </c>
    </row>
    <row r="1541" spans="1:17" x14ac:dyDescent="0.25">
      <c r="A1541" t="str">
        <f>IF(C1541&amp;G1541&amp;D1541&lt;&gt;'Funnel setup'!$K$3&amp;'Funnel setup'!$K$4&amp;'Funnel setup'!$K$6,".",IF(A1540=".",1,A1540+1))</f>
        <v>.</v>
      </c>
      <c r="B1541" s="244" t="str">
        <f t="shared" si="24"/>
        <v>Hip Replacement RevisionProviderWARRINGTON AND HALTON TEACHING HOSPITALS NHS FOUNDATION TRUST (RWW)EQ-5D Index</v>
      </c>
      <c r="C1541" t="s">
        <v>967</v>
      </c>
      <c r="D1541" t="s">
        <v>965</v>
      </c>
      <c r="E1541" t="s">
        <v>700</v>
      </c>
      <c r="F1541" t="s">
        <v>701</v>
      </c>
      <c r="G1541" t="s">
        <v>963</v>
      </c>
      <c r="H1541">
        <v>1</v>
      </c>
      <c r="I1541">
        <v>0.69099999999999995</v>
      </c>
      <c r="J1541">
        <v>0.69099999999999995</v>
      </c>
      <c r="K1541">
        <v>0</v>
      </c>
      <c r="L1541">
        <v>0</v>
      </c>
      <c r="M1541">
        <v>1</v>
      </c>
      <c r="N1541">
        <v>0</v>
      </c>
      <c r="O1541" t="s">
        <v>127</v>
      </c>
      <c r="P1541" t="s">
        <v>127</v>
      </c>
      <c r="Q1541" t="s">
        <v>127</v>
      </c>
    </row>
    <row r="1542" spans="1:17" x14ac:dyDescent="0.25">
      <c r="A1542" t="str">
        <f>IF(C1542&amp;G1542&amp;D1542&lt;&gt;'Funnel setup'!$K$3&amp;'Funnel setup'!$K$4&amp;'Funnel setup'!$K$6,".",IF(A1541=".",1,A1541+1))</f>
        <v>.</v>
      </c>
      <c r="B1542" s="244" t="str">
        <f t="shared" si="24"/>
        <v>Hip Replacement RevisionProviderWEST HERTFORDSHIRE TEACHING HOSPITALS NHS TRUST (RWG)EQ-5D Index</v>
      </c>
      <c r="C1542" t="s">
        <v>967</v>
      </c>
      <c r="D1542" t="s">
        <v>965</v>
      </c>
      <c r="E1542" t="s">
        <v>702</v>
      </c>
      <c r="F1542" t="s">
        <v>703</v>
      </c>
      <c r="G1542" t="s">
        <v>963</v>
      </c>
      <c r="H1542">
        <v>7</v>
      </c>
      <c r="I1542">
        <v>0.15642900000000001</v>
      </c>
      <c r="J1542">
        <v>0.70814299999999997</v>
      </c>
      <c r="K1542">
        <v>0.55171400000000004</v>
      </c>
      <c r="L1542">
        <v>6</v>
      </c>
      <c r="M1542">
        <v>1</v>
      </c>
      <c r="N1542">
        <v>0</v>
      </c>
      <c r="O1542" t="s">
        <v>127</v>
      </c>
      <c r="P1542" t="s">
        <v>127</v>
      </c>
      <c r="Q1542" t="s">
        <v>127</v>
      </c>
    </row>
    <row r="1543" spans="1:17" x14ac:dyDescent="0.25">
      <c r="A1543" t="str">
        <f>IF(C1543&amp;G1543&amp;D1543&lt;&gt;'Funnel setup'!$K$3&amp;'Funnel setup'!$K$4&amp;'Funnel setup'!$K$6,".",IF(A1542=".",1,A1542+1))</f>
        <v>.</v>
      </c>
      <c r="B1543" s="244" t="str">
        <f t="shared" si="24"/>
        <v>Hip Replacement RevisionProviderWEST SUFFOLK NHS FOUNDATION TRUST (RGR)EQ-5D Index</v>
      </c>
      <c r="C1543" t="s">
        <v>967</v>
      </c>
      <c r="D1543" t="s">
        <v>965</v>
      </c>
      <c r="E1543" t="s">
        <v>706</v>
      </c>
      <c r="F1543" t="s">
        <v>707</v>
      </c>
      <c r="G1543" t="s">
        <v>963</v>
      </c>
      <c r="H1543">
        <v>6</v>
      </c>
      <c r="I1543">
        <v>0.41599999999999998</v>
      </c>
      <c r="J1543">
        <v>0.79416699999999996</v>
      </c>
      <c r="K1543">
        <v>0.37816699999999998</v>
      </c>
      <c r="L1543">
        <v>5</v>
      </c>
      <c r="M1543">
        <v>1</v>
      </c>
      <c r="N1543">
        <v>0</v>
      </c>
      <c r="O1543" t="s">
        <v>127</v>
      </c>
      <c r="P1543" t="s">
        <v>127</v>
      </c>
      <c r="Q1543" t="s">
        <v>127</v>
      </c>
    </row>
    <row r="1544" spans="1:17" x14ac:dyDescent="0.25">
      <c r="A1544" t="str">
        <f>IF(C1544&amp;G1544&amp;D1544&lt;&gt;'Funnel setup'!$K$3&amp;'Funnel setup'!$K$4&amp;'Funnel setup'!$K$6,".",IF(A1543=".",1,A1543+1))</f>
        <v>.</v>
      </c>
      <c r="B1544" s="244" t="str">
        <f t="shared" si="24"/>
        <v>Hip Replacement RevisionProviderWIRRAL UNIVERSITY TEACHING HOSPITAL NHS FOUNDATION TRUST (RBL)EQ-5D Index</v>
      </c>
      <c r="C1544" t="s">
        <v>967</v>
      </c>
      <c r="D1544" t="s">
        <v>965</v>
      </c>
      <c r="E1544" t="s">
        <v>714</v>
      </c>
      <c r="F1544" t="s">
        <v>715</v>
      </c>
      <c r="G1544" t="s">
        <v>963</v>
      </c>
      <c r="H1544">
        <v>1</v>
      </c>
      <c r="I1544">
        <v>0.58699999999999997</v>
      </c>
      <c r="J1544">
        <v>0.85</v>
      </c>
      <c r="K1544">
        <v>0.26300000000000001</v>
      </c>
      <c r="L1544">
        <v>1</v>
      </c>
      <c r="M1544">
        <v>0</v>
      </c>
      <c r="N1544">
        <v>0</v>
      </c>
      <c r="O1544" t="s">
        <v>127</v>
      </c>
      <c r="P1544" t="s">
        <v>127</v>
      </c>
      <c r="Q1544" t="s">
        <v>127</v>
      </c>
    </row>
    <row r="1545" spans="1:17" x14ac:dyDescent="0.25">
      <c r="A1545" t="str">
        <f>IF(C1545&amp;G1545&amp;D1545&lt;&gt;'Funnel setup'!$K$3&amp;'Funnel setup'!$K$4&amp;'Funnel setup'!$K$6,".",IF(A1544=".",1,A1544+1))</f>
        <v>.</v>
      </c>
      <c r="B1545" s="244" t="str">
        <f t="shared" si="24"/>
        <v>Hip Replacement RevisionProviderWOODLAND HOSPITAL (NVC23)EQ-5D Index</v>
      </c>
      <c r="C1545" t="s">
        <v>967</v>
      </c>
      <c r="D1545" t="s">
        <v>965</v>
      </c>
      <c r="E1545" t="s">
        <v>716</v>
      </c>
      <c r="F1545" t="s">
        <v>717</v>
      </c>
      <c r="G1545" t="s">
        <v>963</v>
      </c>
      <c r="H1545" t="s">
        <v>127</v>
      </c>
      <c r="I1545" t="s">
        <v>127</v>
      </c>
      <c r="J1545" t="s">
        <v>127</v>
      </c>
      <c r="K1545" t="s">
        <v>127</v>
      </c>
      <c r="L1545" t="s">
        <v>127</v>
      </c>
      <c r="M1545" t="s">
        <v>127</v>
      </c>
      <c r="N1545" t="s">
        <v>127</v>
      </c>
      <c r="O1545" t="s">
        <v>127</v>
      </c>
      <c r="P1545" t="s">
        <v>127</v>
      </c>
      <c r="Q1545" t="s">
        <v>127</v>
      </c>
    </row>
    <row r="1546" spans="1:17" x14ac:dyDescent="0.25">
      <c r="A1546" t="str">
        <f>IF(C1546&amp;G1546&amp;D1546&lt;&gt;'Funnel setup'!$K$3&amp;'Funnel setup'!$K$4&amp;'Funnel setup'!$K$6,".",IF(A1545=".",1,A1545+1))</f>
        <v>.</v>
      </c>
      <c r="B1546" s="244" t="str">
        <f t="shared" si="24"/>
        <v>Hip Replacement RevisionProviderWOODLANDS HOSPITAL (NT457)EQ-5D Index</v>
      </c>
      <c r="C1546" t="s">
        <v>967</v>
      </c>
      <c r="D1546" t="s">
        <v>965</v>
      </c>
      <c r="E1546" t="s">
        <v>718</v>
      </c>
      <c r="F1546" t="s">
        <v>719</v>
      </c>
      <c r="G1546" t="s">
        <v>963</v>
      </c>
      <c r="H1546" t="s">
        <v>127</v>
      </c>
      <c r="I1546" t="s">
        <v>127</v>
      </c>
      <c r="J1546" t="s">
        <v>127</v>
      </c>
      <c r="K1546" t="s">
        <v>127</v>
      </c>
      <c r="L1546" t="s">
        <v>127</v>
      </c>
      <c r="M1546" t="s">
        <v>127</v>
      </c>
      <c r="N1546" t="s">
        <v>127</v>
      </c>
      <c r="O1546" t="s">
        <v>127</v>
      </c>
      <c r="P1546" t="s">
        <v>127</v>
      </c>
      <c r="Q1546" t="s">
        <v>127</v>
      </c>
    </row>
    <row r="1547" spans="1:17" x14ac:dyDescent="0.25">
      <c r="A1547" t="str">
        <f>IF(C1547&amp;G1547&amp;D1547&lt;&gt;'Funnel setup'!$K$3&amp;'Funnel setup'!$K$4&amp;'Funnel setup'!$K$6,".",IF(A1546=".",1,A1546+1))</f>
        <v>.</v>
      </c>
      <c r="B1547" s="244" t="str">
        <f t="shared" si="24"/>
        <v>Hip Replacement RevisionProviderWORCESTERSHIRE ACUTE HOSPITALS NHS TRUST (RWP)EQ-5D Index</v>
      </c>
      <c r="C1547" t="s">
        <v>967</v>
      </c>
      <c r="D1547" t="s">
        <v>965</v>
      </c>
      <c r="E1547" t="s">
        <v>722</v>
      </c>
      <c r="F1547" t="s">
        <v>723</v>
      </c>
      <c r="G1547" t="s">
        <v>963</v>
      </c>
      <c r="H1547">
        <v>6</v>
      </c>
      <c r="I1547">
        <v>0.20449999999999999</v>
      </c>
      <c r="J1547">
        <v>0.70650000000000002</v>
      </c>
      <c r="K1547">
        <v>0.502</v>
      </c>
      <c r="L1547">
        <v>5</v>
      </c>
      <c r="M1547">
        <v>1</v>
      </c>
      <c r="N1547">
        <v>0</v>
      </c>
      <c r="O1547" t="s">
        <v>127</v>
      </c>
      <c r="P1547" t="s">
        <v>127</v>
      </c>
      <c r="Q1547" t="s">
        <v>127</v>
      </c>
    </row>
    <row r="1548" spans="1:17" x14ac:dyDescent="0.25">
      <c r="A1548" t="str">
        <f>IF(C1548&amp;G1548&amp;D1548&lt;&gt;'Funnel setup'!$K$3&amp;'Funnel setup'!$K$4&amp;'Funnel setup'!$K$6,".",IF(A1547=".",1,A1547+1))</f>
        <v>.</v>
      </c>
      <c r="B1548" s="244" t="str">
        <f t="shared" si="24"/>
        <v>Hip Replacement RevisionProviderWRIGHTINGTON, WIGAN AND LEIGH NHS FOUNDATION TRUST (RRF)EQ-5D Index</v>
      </c>
      <c r="C1548" t="s">
        <v>967</v>
      </c>
      <c r="D1548" t="s">
        <v>965</v>
      </c>
      <c r="E1548" t="s">
        <v>724</v>
      </c>
      <c r="F1548" t="s">
        <v>725</v>
      </c>
      <c r="G1548" t="s">
        <v>963</v>
      </c>
      <c r="H1548">
        <v>2</v>
      </c>
      <c r="I1548">
        <v>0.38950000000000001</v>
      </c>
      <c r="J1548">
        <v>0.90700000000000003</v>
      </c>
      <c r="K1548">
        <v>0.51749999999999996</v>
      </c>
      <c r="L1548">
        <v>2</v>
      </c>
      <c r="M1548">
        <v>0</v>
      </c>
      <c r="N1548">
        <v>0</v>
      </c>
      <c r="O1548" t="s">
        <v>127</v>
      </c>
      <c r="P1548" t="s">
        <v>127</v>
      </c>
      <c r="Q1548" t="s">
        <v>127</v>
      </c>
    </row>
    <row r="1549" spans="1:17" x14ac:dyDescent="0.25">
      <c r="A1549" t="str">
        <f>IF(C1549&amp;G1549&amp;D1549&lt;&gt;'Funnel setup'!$K$3&amp;'Funnel setup'!$K$4&amp;'Funnel setup'!$K$6,".",IF(A1548=".",1,A1548+1))</f>
        <v>.</v>
      </c>
      <c r="B1549" s="244" t="str">
        <f t="shared" si="24"/>
        <v>Hip Replacement RevisionProviderWYE VALLEY NHS TRUST (RLQ)EQ-5D Index</v>
      </c>
      <c r="C1549" t="s">
        <v>967</v>
      </c>
      <c r="D1549" t="s">
        <v>965</v>
      </c>
      <c r="E1549" t="s">
        <v>726</v>
      </c>
      <c r="F1549" t="s">
        <v>727</v>
      </c>
      <c r="G1549" t="s">
        <v>963</v>
      </c>
      <c r="H1549">
        <v>1</v>
      </c>
      <c r="I1549">
        <v>-3.0000000000000001E-3</v>
      </c>
      <c r="J1549">
        <v>0.36399999999999999</v>
      </c>
      <c r="K1549">
        <v>0.36699999999999999</v>
      </c>
      <c r="L1549">
        <v>1</v>
      </c>
      <c r="M1549">
        <v>0</v>
      </c>
      <c r="N1549">
        <v>0</v>
      </c>
      <c r="O1549" t="s">
        <v>127</v>
      </c>
      <c r="P1549" t="s">
        <v>127</v>
      </c>
      <c r="Q1549" t="s">
        <v>127</v>
      </c>
    </row>
    <row r="1550" spans="1:17" x14ac:dyDescent="0.25">
      <c r="A1550" t="str">
        <f>IF(C1550&amp;G1550&amp;D1550&lt;&gt;'Funnel setup'!$K$3&amp;'Funnel setup'!$K$4&amp;'Funnel setup'!$K$6,".",IF(A1549=".",1,A1549+1))</f>
        <v>.</v>
      </c>
      <c r="B1550" s="244" t="str">
        <f t="shared" si="24"/>
        <v>Hip Replacement RevisionProviderASHFORD AND ST PETER'S HOSPITALS NHS FOUNDATION TRUST (RTK)Oxford Hip Score</v>
      </c>
      <c r="C1550" t="s">
        <v>967</v>
      </c>
      <c r="D1550" t="s">
        <v>965</v>
      </c>
      <c r="E1550" t="s">
        <v>132</v>
      </c>
      <c r="F1550" t="s">
        <v>133</v>
      </c>
      <c r="G1550" t="s">
        <v>964</v>
      </c>
      <c r="H1550">
        <v>2</v>
      </c>
      <c r="I1550">
        <v>14</v>
      </c>
      <c r="J1550">
        <v>40.5</v>
      </c>
      <c r="K1550">
        <v>26.5</v>
      </c>
      <c r="L1550">
        <v>2</v>
      </c>
      <c r="M1550">
        <v>0</v>
      </c>
      <c r="N1550">
        <v>0</v>
      </c>
      <c r="O1550" t="s">
        <v>127</v>
      </c>
      <c r="P1550" t="s">
        <v>127</v>
      </c>
      <c r="Q1550" t="s">
        <v>127</v>
      </c>
    </row>
    <row r="1551" spans="1:17" x14ac:dyDescent="0.25">
      <c r="A1551" t="str">
        <f>IF(C1551&amp;G1551&amp;D1551&lt;&gt;'Funnel setup'!$K$3&amp;'Funnel setup'!$K$4&amp;'Funnel setup'!$K$6,".",IF(A1550=".",1,A1550+1))</f>
        <v>.</v>
      </c>
      <c r="B1551" s="244" t="str">
        <f t="shared" si="24"/>
        <v>Hip Replacement RevisionProviderBARKING, HAVERING AND REDBRIDGE UNIVERSITY HOSPITALS NHS TRUST (RF4)Oxford Hip Score</v>
      </c>
      <c r="C1551" t="s">
        <v>967</v>
      </c>
      <c r="D1551" t="s">
        <v>965</v>
      </c>
      <c r="E1551" t="s">
        <v>144</v>
      </c>
      <c r="F1551" t="s">
        <v>145</v>
      </c>
      <c r="G1551" t="s">
        <v>964</v>
      </c>
      <c r="H1551">
        <v>3</v>
      </c>
      <c r="I1551">
        <v>12.666700000000001</v>
      </c>
      <c r="J1551">
        <v>42</v>
      </c>
      <c r="K1551">
        <v>29.333300000000001</v>
      </c>
      <c r="L1551">
        <v>3</v>
      </c>
      <c r="M1551">
        <v>0</v>
      </c>
      <c r="N1551">
        <v>0</v>
      </c>
      <c r="O1551" t="s">
        <v>127</v>
      </c>
      <c r="P1551" t="s">
        <v>127</v>
      </c>
      <c r="Q1551" t="s">
        <v>127</v>
      </c>
    </row>
    <row r="1552" spans="1:17" x14ac:dyDescent="0.25">
      <c r="A1552" t="str">
        <f>IF(C1552&amp;G1552&amp;D1552&lt;&gt;'Funnel setup'!$K$3&amp;'Funnel setup'!$K$4&amp;'Funnel setup'!$K$6,".",IF(A1551=".",1,A1551+1))</f>
        <v>.</v>
      </c>
      <c r="B1552" s="244" t="str">
        <f t="shared" si="24"/>
        <v>Hip Replacement RevisionProviderBARTS HEALTH NHS TRUST (R1H)Oxford Hip Score</v>
      </c>
      <c r="C1552" t="s">
        <v>967</v>
      </c>
      <c r="D1552" t="s">
        <v>965</v>
      </c>
      <c r="E1552" t="s">
        <v>148</v>
      </c>
      <c r="F1552" t="s">
        <v>149</v>
      </c>
      <c r="G1552" t="s">
        <v>964</v>
      </c>
      <c r="H1552">
        <v>2</v>
      </c>
      <c r="I1552">
        <v>15</v>
      </c>
      <c r="J1552">
        <v>29.5</v>
      </c>
      <c r="K1552">
        <v>14.5</v>
      </c>
      <c r="L1552">
        <v>2</v>
      </c>
      <c r="M1552">
        <v>0</v>
      </c>
      <c r="N1552">
        <v>0</v>
      </c>
      <c r="O1552" t="s">
        <v>127</v>
      </c>
      <c r="P1552" t="s">
        <v>127</v>
      </c>
      <c r="Q1552" t="s">
        <v>127</v>
      </c>
    </row>
    <row r="1553" spans="1:17" x14ac:dyDescent="0.25">
      <c r="A1553" t="str">
        <f>IF(C1553&amp;G1553&amp;D1553&lt;&gt;'Funnel setup'!$K$3&amp;'Funnel setup'!$K$4&amp;'Funnel setup'!$K$6,".",IF(A1552=".",1,A1552+1))</f>
        <v>.</v>
      </c>
      <c r="B1553" s="244" t="str">
        <f t="shared" si="24"/>
        <v>Hip Replacement RevisionProviderBEDFORDSHIRE HOSPITALS NHS FOUNDATION TRUST (RC9)Oxford Hip Score</v>
      </c>
      <c r="C1553" t="s">
        <v>967</v>
      </c>
      <c r="D1553" t="s">
        <v>965</v>
      </c>
      <c r="E1553" t="s">
        <v>158</v>
      </c>
      <c r="F1553" t="s">
        <v>159</v>
      </c>
      <c r="G1553" t="s">
        <v>964</v>
      </c>
      <c r="H1553">
        <v>3</v>
      </c>
      <c r="I1553">
        <v>16</v>
      </c>
      <c r="J1553">
        <v>30.666699999999999</v>
      </c>
      <c r="K1553">
        <v>14.666700000000001</v>
      </c>
      <c r="L1553">
        <v>3</v>
      </c>
      <c r="M1553">
        <v>0</v>
      </c>
      <c r="N1553">
        <v>0</v>
      </c>
      <c r="O1553" t="s">
        <v>127</v>
      </c>
      <c r="P1553" t="s">
        <v>127</v>
      </c>
      <c r="Q1553" t="s">
        <v>127</v>
      </c>
    </row>
    <row r="1554" spans="1:17" x14ac:dyDescent="0.25">
      <c r="A1554" t="str">
        <f>IF(C1554&amp;G1554&amp;D1554&lt;&gt;'Funnel setup'!$K$3&amp;'Funnel setup'!$K$4&amp;'Funnel setup'!$K$6,".",IF(A1553=".",1,A1553+1))</f>
        <v>.</v>
      </c>
      <c r="B1554" s="244" t="str">
        <f t="shared" si="24"/>
        <v>Hip Replacement RevisionProviderBLACKPOOL TEACHING HOSPITALS NHS FOUNDATION TRUST (RXL)Oxford Hip Score</v>
      </c>
      <c r="C1554" t="s">
        <v>967</v>
      </c>
      <c r="D1554" t="s">
        <v>965</v>
      </c>
      <c r="E1554" t="s">
        <v>170</v>
      </c>
      <c r="F1554" t="s">
        <v>171</v>
      </c>
      <c r="G1554" t="s">
        <v>964</v>
      </c>
      <c r="H1554">
        <v>1</v>
      </c>
      <c r="I1554">
        <v>43</v>
      </c>
      <c r="J1554">
        <v>48</v>
      </c>
      <c r="K1554">
        <v>5</v>
      </c>
      <c r="L1554">
        <v>1</v>
      </c>
      <c r="M1554">
        <v>0</v>
      </c>
      <c r="N1554">
        <v>0</v>
      </c>
      <c r="O1554" t="s">
        <v>127</v>
      </c>
      <c r="P1554" t="s">
        <v>127</v>
      </c>
      <c r="Q1554" t="s">
        <v>127</v>
      </c>
    </row>
    <row r="1555" spans="1:17" x14ac:dyDescent="0.25">
      <c r="A1555" t="str">
        <f>IF(C1555&amp;G1555&amp;D1555&lt;&gt;'Funnel setup'!$K$3&amp;'Funnel setup'!$K$4&amp;'Funnel setup'!$K$6,".",IF(A1554=".",1,A1554+1))</f>
        <v>.</v>
      </c>
      <c r="B1555" s="244" t="str">
        <f t="shared" si="24"/>
        <v>Hip Replacement RevisionProviderBRADFORD TEACHING HOSPITALS NHS FOUNDATION TRUST (RAE)Oxford Hip Score</v>
      </c>
      <c r="C1555" t="s">
        <v>967</v>
      </c>
      <c r="D1555" t="s">
        <v>965</v>
      </c>
      <c r="E1555" t="s">
        <v>174</v>
      </c>
      <c r="F1555" t="s">
        <v>175</v>
      </c>
      <c r="G1555" t="s">
        <v>964</v>
      </c>
      <c r="H1555">
        <v>2</v>
      </c>
      <c r="I1555">
        <v>14</v>
      </c>
      <c r="J1555">
        <v>46.5</v>
      </c>
      <c r="K1555">
        <v>32.5</v>
      </c>
      <c r="L1555">
        <v>2</v>
      </c>
      <c r="M1555">
        <v>0</v>
      </c>
      <c r="N1555">
        <v>0</v>
      </c>
      <c r="O1555" t="s">
        <v>127</v>
      </c>
      <c r="P1555" t="s">
        <v>127</v>
      </c>
      <c r="Q1555" t="s">
        <v>127</v>
      </c>
    </row>
    <row r="1556" spans="1:17" x14ac:dyDescent="0.25">
      <c r="A1556" t="str">
        <f>IF(C1556&amp;G1556&amp;D1556&lt;&gt;'Funnel setup'!$K$3&amp;'Funnel setup'!$K$4&amp;'Funnel setup'!$K$6,".",IF(A1555=".",1,A1555+1))</f>
        <v>.</v>
      </c>
      <c r="B1556" s="244" t="str">
        <f t="shared" si="24"/>
        <v>Hip Replacement RevisionProviderBUCKINGHAMSHIRE HEALTHCARE NHS TRUST (RXQ)Oxford Hip Score</v>
      </c>
      <c r="C1556" t="s">
        <v>967</v>
      </c>
      <c r="D1556" t="s">
        <v>965</v>
      </c>
      <c r="E1556" t="s">
        <v>178</v>
      </c>
      <c r="F1556" t="s">
        <v>179</v>
      </c>
      <c r="G1556" t="s">
        <v>964</v>
      </c>
      <c r="H1556">
        <v>8</v>
      </c>
      <c r="I1556">
        <v>14.125</v>
      </c>
      <c r="J1556">
        <v>34.25</v>
      </c>
      <c r="K1556">
        <v>20.125</v>
      </c>
      <c r="L1556">
        <v>7</v>
      </c>
      <c r="M1556">
        <v>0</v>
      </c>
      <c r="N1556">
        <v>1</v>
      </c>
      <c r="O1556" t="s">
        <v>127</v>
      </c>
      <c r="P1556" t="s">
        <v>127</v>
      </c>
      <c r="Q1556" t="s">
        <v>127</v>
      </c>
    </row>
    <row r="1557" spans="1:17" x14ac:dyDescent="0.25">
      <c r="A1557" t="str">
        <f>IF(C1557&amp;G1557&amp;D1557&lt;&gt;'Funnel setup'!$K$3&amp;'Funnel setup'!$K$4&amp;'Funnel setup'!$K$6,".",IF(A1556=".",1,A1556+1))</f>
        <v>.</v>
      </c>
      <c r="B1557" s="244" t="str">
        <f t="shared" si="24"/>
        <v>Hip Replacement RevisionProviderCALDERDALE AND HUDDERSFIELD NHS FOUNDATION TRUST (RWY)Oxford Hip Score</v>
      </c>
      <c r="C1557" t="s">
        <v>967</v>
      </c>
      <c r="D1557" t="s">
        <v>965</v>
      </c>
      <c r="E1557" t="s">
        <v>180</v>
      </c>
      <c r="F1557" t="s">
        <v>181</v>
      </c>
      <c r="G1557" t="s">
        <v>964</v>
      </c>
      <c r="H1557">
        <v>4</v>
      </c>
      <c r="I1557">
        <v>11.5</v>
      </c>
      <c r="J1557">
        <v>27</v>
      </c>
      <c r="K1557">
        <v>15.5</v>
      </c>
      <c r="L1557">
        <v>4</v>
      </c>
      <c r="M1557">
        <v>0</v>
      </c>
      <c r="N1557">
        <v>0</v>
      </c>
      <c r="O1557" t="s">
        <v>127</v>
      </c>
      <c r="P1557" t="s">
        <v>127</v>
      </c>
      <c r="Q1557" t="s">
        <v>127</v>
      </c>
    </row>
    <row r="1558" spans="1:17" x14ac:dyDescent="0.25">
      <c r="A1558" t="str">
        <f>IF(C1558&amp;G1558&amp;D1558&lt;&gt;'Funnel setup'!$K$3&amp;'Funnel setup'!$K$4&amp;'Funnel setup'!$K$6,".",IF(A1557=".",1,A1557+1))</f>
        <v>.</v>
      </c>
      <c r="B1558" s="244" t="str">
        <f t="shared" si="24"/>
        <v>Hip Replacement RevisionProviderCAMBRIDGE UNIVERSITY HOSPITALS NHS FOUNDATION TRUST (RGT)Oxford Hip Score</v>
      </c>
      <c r="C1558" t="s">
        <v>967</v>
      </c>
      <c r="D1558" t="s">
        <v>965</v>
      </c>
      <c r="E1558" t="s">
        <v>182</v>
      </c>
      <c r="F1558" t="s">
        <v>183</v>
      </c>
      <c r="G1558" t="s">
        <v>964</v>
      </c>
      <c r="H1558">
        <v>11</v>
      </c>
      <c r="I1558">
        <v>23.181799999999999</v>
      </c>
      <c r="J1558">
        <v>37.363599999999998</v>
      </c>
      <c r="K1558">
        <v>14.181800000000001</v>
      </c>
      <c r="L1558">
        <v>10</v>
      </c>
      <c r="M1558">
        <v>1</v>
      </c>
      <c r="N1558">
        <v>0</v>
      </c>
      <c r="O1558" t="s">
        <v>127</v>
      </c>
      <c r="P1558" t="s">
        <v>127</v>
      </c>
      <c r="Q1558" t="s">
        <v>127</v>
      </c>
    </row>
    <row r="1559" spans="1:17" x14ac:dyDescent="0.25">
      <c r="A1559" t="str">
        <f>IF(C1559&amp;G1559&amp;D1559&lt;&gt;'Funnel setup'!$K$3&amp;'Funnel setup'!$K$4&amp;'Funnel setup'!$K$6,".",IF(A1558=".",1,A1558+1))</f>
        <v>.</v>
      </c>
      <c r="B1559" s="244" t="str">
        <f t="shared" si="24"/>
        <v>Hip Replacement RevisionProviderCHESTERFIELD ROYAL HOSPITAL NHS FOUNDATION TRUST (RFS)Oxford Hip Score</v>
      </c>
      <c r="C1559" t="s">
        <v>967</v>
      </c>
      <c r="D1559" t="s">
        <v>965</v>
      </c>
      <c r="E1559" t="s">
        <v>192</v>
      </c>
      <c r="F1559" t="s">
        <v>193</v>
      </c>
      <c r="G1559" t="s">
        <v>964</v>
      </c>
      <c r="H1559">
        <v>4</v>
      </c>
      <c r="I1559">
        <v>18.25</v>
      </c>
      <c r="J1559">
        <v>26</v>
      </c>
      <c r="K1559">
        <v>7.75</v>
      </c>
      <c r="L1559">
        <v>3</v>
      </c>
      <c r="M1559">
        <v>0</v>
      </c>
      <c r="N1559">
        <v>1</v>
      </c>
      <c r="O1559" t="s">
        <v>127</v>
      </c>
      <c r="P1559" t="s">
        <v>127</v>
      </c>
      <c r="Q1559" t="s">
        <v>127</v>
      </c>
    </row>
    <row r="1560" spans="1:17" x14ac:dyDescent="0.25">
      <c r="A1560" t="str">
        <f>IF(C1560&amp;G1560&amp;D1560&lt;&gt;'Funnel setup'!$K$3&amp;'Funnel setup'!$K$4&amp;'Funnel setup'!$K$6,".",IF(A1559=".",1,A1559+1))</f>
        <v>.</v>
      </c>
      <c r="B1560" s="244" t="str">
        <f t="shared" si="24"/>
        <v>Hip Replacement RevisionProviderCLIFTON PARK HOSPITAL (NVC28)Oxford Hip Score</v>
      </c>
      <c r="C1560" t="s">
        <v>967</v>
      </c>
      <c r="D1560" t="s">
        <v>965</v>
      </c>
      <c r="E1560" t="s">
        <v>202</v>
      </c>
      <c r="F1560" t="s">
        <v>203</v>
      </c>
      <c r="G1560" t="s">
        <v>964</v>
      </c>
      <c r="H1560">
        <v>1</v>
      </c>
      <c r="I1560">
        <v>26</v>
      </c>
      <c r="J1560">
        <v>28</v>
      </c>
      <c r="K1560">
        <v>2</v>
      </c>
      <c r="L1560">
        <v>1</v>
      </c>
      <c r="M1560">
        <v>0</v>
      </c>
      <c r="N1560">
        <v>0</v>
      </c>
      <c r="O1560" t="s">
        <v>127</v>
      </c>
      <c r="P1560" t="s">
        <v>127</v>
      </c>
      <c r="Q1560" t="s">
        <v>127</v>
      </c>
    </row>
    <row r="1561" spans="1:17" x14ac:dyDescent="0.25">
      <c r="A1561" t="str">
        <f>IF(C1561&amp;G1561&amp;D1561&lt;&gt;'Funnel setup'!$K$3&amp;'Funnel setup'!$K$4&amp;'Funnel setup'!$K$6,".",IF(A1560=".",1,A1560+1))</f>
        <v>.</v>
      </c>
      <c r="B1561" s="244" t="str">
        <f t="shared" si="24"/>
        <v>Hip Replacement RevisionProviderCOUNTY DURHAM AND DARLINGTON NHS FOUNDATION TRUST (RXP)Oxford Hip Score</v>
      </c>
      <c r="C1561" t="s">
        <v>967</v>
      </c>
      <c r="D1561" t="s">
        <v>965</v>
      </c>
      <c r="E1561" t="s">
        <v>206</v>
      </c>
      <c r="F1561" t="s">
        <v>207</v>
      </c>
      <c r="G1561" t="s">
        <v>964</v>
      </c>
      <c r="H1561">
        <v>1</v>
      </c>
      <c r="I1561">
        <v>25</v>
      </c>
      <c r="J1561">
        <v>40</v>
      </c>
      <c r="K1561">
        <v>15</v>
      </c>
      <c r="L1561">
        <v>1</v>
      </c>
      <c r="M1561">
        <v>0</v>
      </c>
      <c r="N1561">
        <v>0</v>
      </c>
      <c r="O1561" t="s">
        <v>127</v>
      </c>
      <c r="P1561" t="s">
        <v>127</v>
      </c>
      <c r="Q1561" t="s">
        <v>127</v>
      </c>
    </row>
    <row r="1562" spans="1:17" x14ac:dyDescent="0.25">
      <c r="A1562" t="str">
        <f>IF(C1562&amp;G1562&amp;D1562&lt;&gt;'Funnel setup'!$K$3&amp;'Funnel setup'!$K$4&amp;'Funnel setup'!$K$6,".",IF(A1561=".",1,A1561+1))</f>
        <v>.</v>
      </c>
      <c r="B1562" s="244" t="str">
        <f t="shared" si="24"/>
        <v>Hip Replacement RevisionProviderDONCASTER AND BASSETLAW TEACHING HOSPITALS NHS FOUNDATION TRUST (RP5)Oxford Hip Score</v>
      </c>
      <c r="C1562" t="s">
        <v>967</v>
      </c>
      <c r="D1562" t="s">
        <v>965</v>
      </c>
      <c r="E1562" t="s">
        <v>212</v>
      </c>
      <c r="F1562" t="s">
        <v>213</v>
      </c>
      <c r="G1562" t="s">
        <v>964</v>
      </c>
      <c r="H1562">
        <v>4</v>
      </c>
      <c r="I1562">
        <v>18.75</v>
      </c>
      <c r="J1562">
        <v>20.75</v>
      </c>
      <c r="K1562">
        <v>2</v>
      </c>
      <c r="L1562">
        <v>2</v>
      </c>
      <c r="M1562">
        <v>0</v>
      </c>
      <c r="N1562">
        <v>2</v>
      </c>
      <c r="O1562" t="s">
        <v>127</v>
      </c>
      <c r="P1562" t="s">
        <v>127</v>
      </c>
      <c r="Q1562" t="s">
        <v>127</v>
      </c>
    </row>
    <row r="1563" spans="1:17" x14ac:dyDescent="0.25">
      <c r="A1563" t="str">
        <f>IF(C1563&amp;G1563&amp;D1563&lt;&gt;'Funnel setup'!$K$3&amp;'Funnel setup'!$K$4&amp;'Funnel setup'!$K$6,".",IF(A1562=".",1,A1562+1))</f>
        <v>.</v>
      </c>
      <c r="B1563" s="244" t="str">
        <f t="shared" si="24"/>
        <v>Hip Replacement RevisionProviderDORSET COUNTY HOSPITAL NHS FOUNDATION TRUST (RBD)Oxford Hip Score</v>
      </c>
      <c r="C1563" t="s">
        <v>967</v>
      </c>
      <c r="D1563" t="s">
        <v>965</v>
      </c>
      <c r="E1563" t="s">
        <v>214</v>
      </c>
      <c r="F1563" t="s">
        <v>215</v>
      </c>
      <c r="G1563" t="s">
        <v>964</v>
      </c>
      <c r="H1563">
        <v>1</v>
      </c>
      <c r="I1563">
        <v>41</v>
      </c>
      <c r="J1563">
        <v>33</v>
      </c>
      <c r="K1563">
        <v>-8</v>
      </c>
      <c r="L1563">
        <v>0</v>
      </c>
      <c r="M1563">
        <v>0</v>
      </c>
      <c r="N1563">
        <v>1</v>
      </c>
      <c r="O1563" t="s">
        <v>127</v>
      </c>
      <c r="P1563" t="s">
        <v>127</v>
      </c>
      <c r="Q1563" t="s">
        <v>127</v>
      </c>
    </row>
    <row r="1564" spans="1:17" x14ac:dyDescent="0.25">
      <c r="A1564" t="str">
        <f>IF(C1564&amp;G1564&amp;D1564&lt;&gt;'Funnel setup'!$K$3&amp;'Funnel setup'!$K$4&amp;'Funnel setup'!$K$6,".",IF(A1563=".",1,A1563+1))</f>
        <v>.</v>
      </c>
      <c r="B1564" s="244" t="str">
        <f t="shared" si="24"/>
        <v>Hip Replacement RevisionProviderEAST AND NORTH HERTFORDSHIRE NHS TRUST (RWH)Oxford Hip Score</v>
      </c>
      <c r="C1564" t="s">
        <v>967</v>
      </c>
      <c r="D1564" t="s">
        <v>965</v>
      </c>
      <c r="E1564" t="s">
        <v>224</v>
      </c>
      <c r="F1564" t="s">
        <v>225</v>
      </c>
      <c r="G1564" t="s">
        <v>964</v>
      </c>
      <c r="H1564">
        <v>10</v>
      </c>
      <c r="I1564">
        <v>22</v>
      </c>
      <c r="J1564">
        <v>38.4</v>
      </c>
      <c r="K1564">
        <v>16.399999999999999</v>
      </c>
      <c r="L1564">
        <v>10</v>
      </c>
      <c r="M1564">
        <v>0</v>
      </c>
      <c r="N1564">
        <v>0</v>
      </c>
      <c r="O1564" t="s">
        <v>127</v>
      </c>
      <c r="P1564" t="s">
        <v>127</v>
      </c>
      <c r="Q1564" t="s">
        <v>127</v>
      </c>
    </row>
    <row r="1565" spans="1:17" x14ac:dyDescent="0.25">
      <c r="A1565" t="str">
        <f>IF(C1565&amp;G1565&amp;D1565&lt;&gt;'Funnel setup'!$K$3&amp;'Funnel setup'!$K$4&amp;'Funnel setup'!$K$6,".",IF(A1564=".",1,A1564+1))</f>
        <v>.</v>
      </c>
      <c r="B1565" s="244" t="str">
        <f t="shared" si="24"/>
        <v>Hip Replacement RevisionProviderEAST KENT HOSPITALS UNIVERSITY NHS FOUNDATION TRUST (RVV)Oxford Hip Score</v>
      </c>
      <c r="C1565" t="s">
        <v>967</v>
      </c>
      <c r="D1565" t="s">
        <v>965</v>
      </c>
      <c r="E1565" t="s">
        <v>228</v>
      </c>
      <c r="F1565" t="s">
        <v>229</v>
      </c>
      <c r="G1565" t="s">
        <v>964</v>
      </c>
      <c r="H1565">
        <v>6</v>
      </c>
      <c r="I1565">
        <v>18.166699999999999</v>
      </c>
      <c r="J1565">
        <v>36.333300000000001</v>
      </c>
      <c r="K1565">
        <v>18.166699999999999</v>
      </c>
      <c r="L1565">
        <v>6</v>
      </c>
      <c r="M1565">
        <v>0</v>
      </c>
      <c r="N1565">
        <v>0</v>
      </c>
      <c r="O1565" t="s">
        <v>127</v>
      </c>
      <c r="P1565" t="s">
        <v>127</v>
      </c>
      <c r="Q1565" t="s">
        <v>127</v>
      </c>
    </row>
    <row r="1566" spans="1:17" x14ac:dyDescent="0.25">
      <c r="A1566" t="str">
        <f>IF(C1566&amp;G1566&amp;D1566&lt;&gt;'Funnel setup'!$K$3&amp;'Funnel setup'!$K$4&amp;'Funnel setup'!$K$6,".",IF(A1565=".",1,A1565+1))</f>
        <v>.</v>
      </c>
      <c r="B1566" s="244" t="str">
        <f t="shared" si="24"/>
        <v>Hip Replacement RevisionProviderEAST SUFFOLK AND NORTH ESSEX NHS FOUNDATION TRUST (RDE)Oxford Hip Score</v>
      </c>
      <c r="C1566" t="s">
        <v>967</v>
      </c>
      <c r="D1566" t="s">
        <v>965</v>
      </c>
      <c r="E1566" t="s">
        <v>232</v>
      </c>
      <c r="F1566" t="s">
        <v>233</v>
      </c>
      <c r="G1566" t="s">
        <v>964</v>
      </c>
      <c r="H1566">
        <v>6</v>
      </c>
      <c r="I1566">
        <v>24.166699999999999</v>
      </c>
      <c r="J1566">
        <v>38.5</v>
      </c>
      <c r="K1566">
        <v>14.333299999999999</v>
      </c>
      <c r="L1566">
        <v>6</v>
      </c>
      <c r="M1566">
        <v>0</v>
      </c>
      <c r="N1566">
        <v>0</v>
      </c>
      <c r="O1566" t="s">
        <v>127</v>
      </c>
      <c r="P1566" t="s">
        <v>127</v>
      </c>
      <c r="Q1566" t="s">
        <v>127</v>
      </c>
    </row>
    <row r="1567" spans="1:17" x14ac:dyDescent="0.25">
      <c r="A1567" t="str">
        <f>IF(C1567&amp;G1567&amp;D1567&lt;&gt;'Funnel setup'!$K$3&amp;'Funnel setup'!$K$4&amp;'Funnel setup'!$K$6,".",IF(A1566=".",1,A1566+1))</f>
        <v>.</v>
      </c>
      <c r="B1567" s="244" t="str">
        <f t="shared" si="24"/>
        <v>Hip Replacement RevisionProviderEAST SUSSEX HEALTHCARE NHS TRUST (RXC)Oxford Hip Score</v>
      </c>
      <c r="C1567" t="s">
        <v>967</v>
      </c>
      <c r="D1567" t="s">
        <v>965</v>
      </c>
      <c r="E1567" t="s">
        <v>234</v>
      </c>
      <c r="F1567" t="s">
        <v>235</v>
      </c>
      <c r="G1567" t="s">
        <v>964</v>
      </c>
      <c r="H1567">
        <v>9</v>
      </c>
      <c r="I1567">
        <v>24.555599999999998</v>
      </c>
      <c r="J1567">
        <v>32.666699999999999</v>
      </c>
      <c r="K1567">
        <v>8.11111</v>
      </c>
      <c r="L1567">
        <v>6</v>
      </c>
      <c r="M1567">
        <v>0</v>
      </c>
      <c r="N1567">
        <v>3</v>
      </c>
      <c r="O1567" t="s">
        <v>127</v>
      </c>
      <c r="P1567" t="s">
        <v>127</v>
      </c>
      <c r="Q1567" t="s">
        <v>127</v>
      </c>
    </row>
    <row r="1568" spans="1:17" x14ac:dyDescent="0.25">
      <c r="A1568" t="str">
        <f>IF(C1568&amp;G1568&amp;D1568&lt;&gt;'Funnel setup'!$K$3&amp;'Funnel setup'!$K$4&amp;'Funnel setup'!$K$6,".",IF(A1567=".",1,A1567+1))</f>
        <v>.</v>
      </c>
      <c r="B1568" s="244" t="str">
        <f t="shared" si="24"/>
        <v>Hip Replacement RevisionProviderEPSOM AND ST HELIER UNIVERSITY HOSPITALS NHS TRUST (RVR)Oxford Hip Score</v>
      </c>
      <c r="C1568" t="s">
        <v>967</v>
      </c>
      <c r="D1568" t="s">
        <v>965</v>
      </c>
      <c r="E1568" t="s">
        <v>238</v>
      </c>
      <c r="F1568" t="s">
        <v>239</v>
      </c>
      <c r="G1568" t="s">
        <v>964</v>
      </c>
      <c r="H1568">
        <v>35</v>
      </c>
      <c r="I1568">
        <v>21.914300000000001</v>
      </c>
      <c r="J1568">
        <v>38.4</v>
      </c>
      <c r="K1568">
        <v>16.485700000000001</v>
      </c>
      <c r="L1568">
        <v>31</v>
      </c>
      <c r="M1568">
        <v>2</v>
      </c>
      <c r="N1568">
        <v>2</v>
      </c>
      <c r="O1568">
        <v>37.5336</v>
      </c>
      <c r="P1568">
        <v>17.300599999999999</v>
      </c>
      <c r="Q1568">
        <v>8.5160800000000005</v>
      </c>
    </row>
    <row r="1569" spans="1:17" x14ac:dyDescent="0.25">
      <c r="A1569" t="str">
        <f>IF(C1569&amp;G1569&amp;D1569&lt;&gt;'Funnel setup'!$K$3&amp;'Funnel setup'!$K$4&amp;'Funnel setup'!$K$6,".",IF(A1568=".",1,A1568+1))</f>
        <v>.</v>
      </c>
      <c r="B1569" s="244" t="str">
        <f t="shared" si="24"/>
        <v>Hip Replacement RevisionProviderFITZWILLIAM HOSPITAL (NVC06)Oxford Hip Score</v>
      </c>
      <c r="C1569" t="s">
        <v>967</v>
      </c>
      <c r="D1569" t="s">
        <v>965</v>
      </c>
      <c r="E1569" t="s">
        <v>244</v>
      </c>
      <c r="F1569" t="s">
        <v>245</v>
      </c>
      <c r="G1569" t="s">
        <v>964</v>
      </c>
      <c r="H1569" t="s">
        <v>127</v>
      </c>
      <c r="I1569" t="s">
        <v>127</v>
      </c>
      <c r="J1569" t="s">
        <v>127</v>
      </c>
      <c r="K1569" t="s">
        <v>127</v>
      </c>
      <c r="L1569" t="s">
        <v>127</v>
      </c>
      <c r="M1569" t="s">
        <v>127</v>
      </c>
      <c r="N1569" t="s">
        <v>127</v>
      </c>
      <c r="O1569" t="s">
        <v>127</v>
      </c>
      <c r="P1569" t="s">
        <v>127</v>
      </c>
      <c r="Q1569" t="s">
        <v>127</v>
      </c>
    </row>
    <row r="1570" spans="1:17" x14ac:dyDescent="0.25">
      <c r="A1570" t="str">
        <f>IF(C1570&amp;G1570&amp;D1570&lt;&gt;'Funnel setup'!$K$3&amp;'Funnel setup'!$K$4&amp;'Funnel setup'!$K$6,".",IF(A1569=".",1,A1569+1))</f>
        <v>.</v>
      </c>
      <c r="B1570" s="244" t="str">
        <f t="shared" si="24"/>
        <v>Hip Replacement RevisionProviderFRIMLEY HEALTH NHS FOUNDATION TRUST (RDU)Oxford Hip Score</v>
      </c>
      <c r="C1570" t="s">
        <v>967</v>
      </c>
      <c r="D1570" t="s">
        <v>965</v>
      </c>
      <c r="E1570" t="s">
        <v>248</v>
      </c>
      <c r="F1570" t="s">
        <v>249</v>
      </c>
      <c r="G1570" t="s">
        <v>964</v>
      </c>
      <c r="H1570">
        <v>15</v>
      </c>
      <c r="I1570">
        <v>20.8</v>
      </c>
      <c r="J1570">
        <v>41.466700000000003</v>
      </c>
      <c r="K1570">
        <v>20.666699999999999</v>
      </c>
      <c r="L1570">
        <v>15</v>
      </c>
      <c r="M1570">
        <v>0</v>
      </c>
      <c r="N1570">
        <v>0</v>
      </c>
      <c r="O1570" t="s">
        <v>127</v>
      </c>
      <c r="P1570" t="s">
        <v>127</v>
      </c>
      <c r="Q1570" t="s">
        <v>127</v>
      </c>
    </row>
    <row r="1571" spans="1:17" x14ac:dyDescent="0.25">
      <c r="A1571" t="str">
        <f>IF(C1571&amp;G1571&amp;D1571&lt;&gt;'Funnel setup'!$K$3&amp;'Funnel setup'!$K$4&amp;'Funnel setup'!$K$6,".",IF(A1570=".",1,A1570+1))</f>
        <v>.</v>
      </c>
      <c r="B1571" s="244" t="str">
        <f t="shared" si="24"/>
        <v>Hip Replacement RevisionProviderGATESHEAD HEALTH NHS FOUNDATION TRUST (RR7)Oxford Hip Score</v>
      </c>
      <c r="C1571" t="s">
        <v>967</v>
      </c>
      <c r="D1571" t="s">
        <v>965</v>
      </c>
      <c r="E1571" t="s">
        <v>252</v>
      </c>
      <c r="F1571" t="s">
        <v>253</v>
      </c>
      <c r="G1571" t="s">
        <v>964</v>
      </c>
      <c r="H1571">
        <v>3</v>
      </c>
      <c r="I1571">
        <v>18</v>
      </c>
      <c r="J1571">
        <v>16.666699999999999</v>
      </c>
      <c r="K1571">
        <v>-1.3333299999999999</v>
      </c>
      <c r="L1571">
        <v>1</v>
      </c>
      <c r="M1571">
        <v>0</v>
      </c>
      <c r="N1571">
        <v>2</v>
      </c>
      <c r="O1571" t="s">
        <v>127</v>
      </c>
      <c r="P1571" t="s">
        <v>127</v>
      </c>
      <c r="Q1571" t="s">
        <v>127</v>
      </c>
    </row>
    <row r="1572" spans="1:17" x14ac:dyDescent="0.25">
      <c r="A1572" t="str">
        <f>IF(C1572&amp;G1572&amp;D1572&lt;&gt;'Funnel setup'!$K$3&amp;'Funnel setup'!$K$4&amp;'Funnel setup'!$K$6,".",IF(A1571=".",1,A1571+1))</f>
        <v>.</v>
      </c>
      <c r="B1572" s="244" t="str">
        <f t="shared" si="24"/>
        <v>Hip Replacement RevisionProviderGLOUCESTERSHIRE HOSPITALS NHS FOUNDATION TRUST (RTE)Oxford Hip Score</v>
      </c>
      <c r="C1572" t="s">
        <v>967</v>
      </c>
      <c r="D1572" t="s">
        <v>965</v>
      </c>
      <c r="E1572" t="s">
        <v>256</v>
      </c>
      <c r="F1572" t="s">
        <v>257</v>
      </c>
      <c r="G1572" t="s">
        <v>964</v>
      </c>
      <c r="H1572">
        <v>3</v>
      </c>
      <c r="I1572">
        <v>22.333300000000001</v>
      </c>
      <c r="J1572">
        <v>36.333300000000001</v>
      </c>
      <c r="K1572">
        <v>14</v>
      </c>
      <c r="L1572">
        <v>3</v>
      </c>
      <c r="M1572">
        <v>0</v>
      </c>
      <c r="N1572">
        <v>0</v>
      </c>
      <c r="O1572" t="s">
        <v>127</v>
      </c>
      <c r="P1572" t="s">
        <v>127</v>
      </c>
      <c r="Q1572" t="s">
        <v>127</v>
      </c>
    </row>
    <row r="1573" spans="1:17" x14ac:dyDescent="0.25">
      <c r="A1573" t="str">
        <f>IF(C1573&amp;G1573&amp;D1573&lt;&gt;'Funnel setup'!$K$3&amp;'Funnel setup'!$K$4&amp;'Funnel setup'!$K$6,".",IF(A1572=".",1,A1572+1))</f>
        <v>.</v>
      </c>
      <c r="B1573" s="244" t="str">
        <f t="shared" si="24"/>
        <v>Hip Replacement RevisionProviderGORING HALL HOSPITAL (NT417)Oxford Hip Score</v>
      </c>
      <c r="C1573" t="s">
        <v>967</v>
      </c>
      <c r="D1573" t="s">
        <v>965</v>
      </c>
      <c r="E1573" t="s">
        <v>258</v>
      </c>
      <c r="F1573" t="s">
        <v>259</v>
      </c>
      <c r="G1573" t="s">
        <v>964</v>
      </c>
      <c r="H1573">
        <v>2</v>
      </c>
      <c r="I1573">
        <v>24</v>
      </c>
      <c r="J1573">
        <v>25</v>
      </c>
      <c r="K1573">
        <v>1</v>
      </c>
      <c r="L1573">
        <v>1</v>
      </c>
      <c r="M1573">
        <v>0</v>
      </c>
      <c r="N1573">
        <v>1</v>
      </c>
      <c r="O1573" t="s">
        <v>127</v>
      </c>
      <c r="P1573" t="s">
        <v>127</v>
      </c>
      <c r="Q1573" t="s">
        <v>127</v>
      </c>
    </row>
    <row r="1574" spans="1:17" x14ac:dyDescent="0.25">
      <c r="A1574" t="str">
        <f>IF(C1574&amp;G1574&amp;D1574&lt;&gt;'Funnel setup'!$K$3&amp;'Funnel setup'!$K$4&amp;'Funnel setup'!$K$6,".",IF(A1573=".",1,A1573+1))</f>
        <v>.</v>
      </c>
      <c r="B1574" s="244" t="str">
        <f t="shared" si="24"/>
        <v>Hip Replacement RevisionProviderGUY'S AND ST THOMAS' NHS FOUNDATION TRUST (RJ1)Oxford Hip Score</v>
      </c>
      <c r="C1574" t="s">
        <v>967</v>
      </c>
      <c r="D1574" t="s">
        <v>965</v>
      </c>
      <c r="E1574" t="s">
        <v>262</v>
      </c>
      <c r="F1574" t="s">
        <v>263</v>
      </c>
      <c r="G1574" t="s">
        <v>964</v>
      </c>
      <c r="H1574">
        <v>12</v>
      </c>
      <c r="I1574">
        <v>17.333300000000001</v>
      </c>
      <c r="J1574">
        <v>32.416699999999999</v>
      </c>
      <c r="K1574">
        <v>15.083299999999999</v>
      </c>
      <c r="L1574">
        <v>11</v>
      </c>
      <c r="M1574">
        <v>0</v>
      </c>
      <c r="N1574">
        <v>1</v>
      </c>
      <c r="O1574" t="s">
        <v>127</v>
      </c>
      <c r="P1574" t="s">
        <v>127</v>
      </c>
      <c r="Q1574" t="s">
        <v>127</v>
      </c>
    </row>
    <row r="1575" spans="1:17" x14ac:dyDescent="0.25">
      <c r="A1575" t="str">
        <f>IF(C1575&amp;G1575&amp;D1575&lt;&gt;'Funnel setup'!$K$3&amp;'Funnel setup'!$K$4&amp;'Funnel setup'!$K$6,".",IF(A1574=".",1,A1574+1))</f>
        <v>.</v>
      </c>
      <c r="B1575" s="244" t="str">
        <f t="shared" si="24"/>
        <v>Hip Replacement RevisionProviderHAMPSHIRE HOSPITALS NHS FOUNDATION TRUST (RN5)Oxford Hip Score</v>
      </c>
      <c r="C1575" t="s">
        <v>967</v>
      </c>
      <c r="D1575" t="s">
        <v>965</v>
      </c>
      <c r="E1575" t="s">
        <v>266</v>
      </c>
      <c r="F1575" t="s">
        <v>267</v>
      </c>
      <c r="G1575" t="s">
        <v>964</v>
      </c>
      <c r="H1575">
        <v>1</v>
      </c>
      <c r="I1575">
        <v>31</v>
      </c>
      <c r="J1575">
        <v>38</v>
      </c>
      <c r="K1575">
        <v>7</v>
      </c>
      <c r="L1575">
        <v>1</v>
      </c>
      <c r="M1575">
        <v>0</v>
      </c>
      <c r="N1575">
        <v>0</v>
      </c>
      <c r="O1575" t="s">
        <v>127</v>
      </c>
      <c r="P1575" t="s">
        <v>127</v>
      </c>
      <c r="Q1575" t="s">
        <v>127</v>
      </c>
    </row>
    <row r="1576" spans="1:17" x14ac:dyDescent="0.25">
      <c r="A1576" t="str">
        <f>IF(C1576&amp;G1576&amp;D1576&lt;&gt;'Funnel setup'!$K$3&amp;'Funnel setup'!$K$4&amp;'Funnel setup'!$K$6,".",IF(A1575=".",1,A1575+1))</f>
        <v>.</v>
      </c>
      <c r="B1576" s="244" t="str">
        <f t="shared" si="24"/>
        <v>Hip Replacement RevisionProviderHARROGATE AND DISTRICT NHS FOUNDATION TRUST (RCD)Oxford Hip Score</v>
      </c>
      <c r="C1576" t="s">
        <v>967</v>
      </c>
      <c r="D1576" t="s">
        <v>965</v>
      </c>
      <c r="E1576" t="s">
        <v>270</v>
      </c>
      <c r="F1576" t="s">
        <v>271</v>
      </c>
      <c r="G1576" t="s">
        <v>964</v>
      </c>
      <c r="H1576">
        <v>7</v>
      </c>
      <c r="I1576">
        <v>23.571400000000001</v>
      </c>
      <c r="J1576">
        <v>37.285699999999999</v>
      </c>
      <c r="K1576">
        <v>13.7143</v>
      </c>
      <c r="L1576">
        <v>7</v>
      </c>
      <c r="M1576">
        <v>0</v>
      </c>
      <c r="N1576">
        <v>0</v>
      </c>
      <c r="O1576" t="s">
        <v>127</v>
      </c>
      <c r="P1576" t="s">
        <v>127</v>
      </c>
      <c r="Q1576" t="s">
        <v>127</v>
      </c>
    </row>
    <row r="1577" spans="1:17" x14ac:dyDescent="0.25">
      <c r="A1577" t="str">
        <f>IF(C1577&amp;G1577&amp;D1577&lt;&gt;'Funnel setup'!$K$3&amp;'Funnel setup'!$K$4&amp;'Funnel setup'!$K$6,".",IF(A1576=".",1,A1576+1))</f>
        <v>.</v>
      </c>
      <c r="B1577" s="244" t="str">
        <f t="shared" si="24"/>
        <v>Hip Replacement RevisionProviderHULL UNIVERSITY TEACHING HOSPITALS NHS TRUST (RWA)Oxford Hip Score</v>
      </c>
      <c r="C1577" t="s">
        <v>967</v>
      </c>
      <c r="D1577" t="s">
        <v>965</v>
      </c>
      <c r="E1577" t="s">
        <v>278</v>
      </c>
      <c r="F1577" t="s">
        <v>279</v>
      </c>
      <c r="G1577" t="s">
        <v>964</v>
      </c>
      <c r="H1577">
        <v>5</v>
      </c>
      <c r="I1577">
        <v>15.8</v>
      </c>
      <c r="J1577">
        <v>33.4</v>
      </c>
      <c r="K1577">
        <v>17.600000000000001</v>
      </c>
      <c r="L1577">
        <v>5</v>
      </c>
      <c r="M1577">
        <v>0</v>
      </c>
      <c r="N1577">
        <v>0</v>
      </c>
      <c r="O1577" t="s">
        <v>127</v>
      </c>
      <c r="P1577" t="s">
        <v>127</v>
      </c>
      <c r="Q1577" t="s">
        <v>127</v>
      </c>
    </row>
    <row r="1578" spans="1:17" x14ac:dyDescent="0.25">
      <c r="A1578" t="str">
        <f>IF(C1578&amp;G1578&amp;D1578&lt;&gt;'Funnel setup'!$K$3&amp;'Funnel setup'!$K$4&amp;'Funnel setup'!$K$6,".",IF(A1577=".",1,A1577+1))</f>
        <v>.</v>
      </c>
      <c r="B1578" s="244" t="str">
        <f t="shared" si="24"/>
        <v>Hip Replacement RevisionProviderIMPERIAL COLLEGE HEALTHCARE NHS TRUST (RYJ)Oxford Hip Score</v>
      </c>
      <c r="C1578" t="s">
        <v>967</v>
      </c>
      <c r="D1578" t="s">
        <v>965</v>
      </c>
      <c r="E1578" t="s">
        <v>280</v>
      </c>
      <c r="F1578" t="s">
        <v>281</v>
      </c>
      <c r="G1578" t="s">
        <v>964</v>
      </c>
      <c r="H1578">
        <v>2</v>
      </c>
      <c r="I1578">
        <v>13.5</v>
      </c>
      <c r="J1578">
        <v>34</v>
      </c>
      <c r="K1578">
        <v>20.5</v>
      </c>
      <c r="L1578">
        <v>2</v>
      </c>
      <c r="M1578">
        <v>0</v>
      </c>
      <c r="N1578">
        <v>0</v>
      </c>
      <c r="O1578" t="s">
        <v>127</v>
      </c>
      <c r="P1578" t="s">
        <v>127</v>
      </c>
      <c r="Q1578" t="s">
        <v>127</v>
      </c>
    </row>
    <row r="1579" spans="1:17" x14ac:dyDescent="0.25">
      <c r="A1579" t="str">
        <f>IF(C1579&amp;G1579&amp;D1579&lt;&gt;'Funnel setup'!$K$3&amp;'Funnel setup'!$K$4&amp;'Funnel setup'!$K$6,".",IF(A1578=".",1,A1578+1))</f>
        <v>.</v>
      </c>
      <c r="B1579" s="244" t="str">
        <f t="shared" si="24"/>
        <v>Hip Replacement RevisionProviderJAMES PAGET UNIVERSITY HOSPITALS NHS FOUNDATION TRUST (RGP)Oxford Hip Score</v>
      </c>
      <c r="C1579" t="s">
        <v>967</v>
      </c>
      <c r="D1579" t="s">
        <v>965</v>
      </c>
      <c r="E1579" t="s">
        <v>284</v>
      </c>
      <c r="F1579" t="s">
        <v>285</v>
      </c>
      <c r="G1579" t="s">
        <v>964</v>
      </c>
      <c r="H1579">
        <v>1</v>
      </c>
      <c r="I1579">
        <v>5</v>
      </c>
      <c r="J1579">
        <v>26</v>
      </c>
      <c r="K1579">
        <v>21</v>
      </c>
      <c r="L1579">
        <v>1</v>
      </c>
      <c r="M1579">
        <v>0</v>
      </c>
      <c r="N1579">
        <v>0</v>
      </c>
      <c r="O1579" t="s">
        <v>127</v>
      </c>
      <c r="P1579" t="s">
        <v>127</v>
      </c>
      <c r="Q1579" t="s">
        <v>127</v>
      </c>
    </row>
    <row r="1580" spans="1:17" x14ac:dyDescent="0.25">
      <c r="A1580" t="str">
        <f>IF(C1580&amp;G1580&amp;D1580&lt;&gt;'Funnel setup'!$K$3&amp;'Funnel setup'!$K$4&amp;'Funnel setup'!$K$6,".",IF(A1579=".",1,A1579+1))</f>
        <v>.</v>
      </c>
      <c r="B1580" s="244" t="str">
        <f t="shared" si="24"/>
        <v>Hip Replacement RevisionProviderKETTERING GENERAL HOSPITAL NHS FOUNDATION TRUST (RNQ)Oxford Hip Score</v>
      </c>
      <c r="C1580" t="s">
        <v>967</v>
      </c>
      <c r="D1580" t="s">
        <v>965</v>
      </c>
      <c r="E1580" t="s">
        <v>286</v>
      </c>
      <c r="F1580" t="s">
        <v>287</v>
      </c>
      <c r="G1580" t="s">
        <v>964</v>
      </c>
      <c r="H1580">
        <v>5</v>
      </c>
      <c r="I1580">
        <v>19.8</v>
      </c>
      <c r="J1580">
        <v>30.4</v>
      </c>
      <c r="K1580">
        <v>10.6</v>
      </c>
      <c r="L1580">
        <v>3</v>
      </c>
      <c r="M1580">
        <v>1</v>
      </c>
      <c r="N1580">
        <v>1</v>
      </c>
      <c r="O1580" t="s">
        <v>127</v>
      </c>
      <c r="P1580" t="s">
        <v>127</v>
      </c>
      <c r="Q1580" t="s">
        <v>127</v>
      </c>
    </row>
    <row r="1581" spans="1:17" x14ac:dyDescent="0.25">
      <c r="A1581" t="str">
        <f>IF(C1581&amp;G1581&amp;D1581&lt;&gt;'Funnel setup'!$K$3&amp;'Funnel setup'!$K$4&amp;'Funnel setup'!$K$6,".",IF(A1580=".",1,A1580+1))</f>
        <v>.</v>
      </c>
      <c r="B1581" s="244" t="str">
        <f t="shared" si="24"/>
        <v>Hip Replacement RevisionProviderKING'S COLLEGE HOSPITAL NHS FOUNDATION TRUST (RJZ)Oxford Hip Score</v>
      </c>
      <c r="C1581" t="s">
        <v>967</v>
      </c>
      <c r="D1581" t="s">
        <v>965</v>
      </c>
      <c r="E1581" t="s">
        <v>290</v>
      </c>
      <c r="F1581" t="s">
        <v>291</v>
      </c>
      <c r="G1581" t="s">
        <v>964</v>
      </c>
      <c r="H1581">
        <v>1</v>
      </c>
      <c r="I1581">
        <v>26</v>
      </c>
      <c r="J1581">
        <v>47</v>
      </c>
      <c r="K1581">
        <v>21</v>
      </c>
      <c r="L1581">
        <v>1</v>
      </c>
      <c r="M1581">
        <v>0</v>
      </c>
      <c r="N1581">
        <v>0</v>
      </c>
      <c r="O1581" t="s">
        <v>127</v>
      </c>
      <c r="P1581" t="s">
        <v>127</v>
      </c>
      <c r="Q1581" t="s">
        <v>127</v>
      </c>
    </row>
    <row r="1582" spans="1:17" x14ac:dyDescent="0.25">
      <c r="A1582" t="str">
        <f>IF(C1582&amp;G1582&amp;D1582&lt;&gt;'Funnel setup'!$K$3&amp;'Funnel setup'!$K$4&amp;'Funnel setup'!$K$6,".",IF(A1581=".",1,A1581+1))</f>
        <v>.</v>
      </c>
      <c r="B1582" s="244" t="str">
        <f t="shared" si="24"/>
        <v>Hip Replacement RevisionProviderLANCASHIRE TEACHING HOSPITALS NHS FOUNDATION TRUST (RXN)Oxford Hip Score</v>
      </c>
      <c r="C1582" t="s">
        <v>967</v>
      </c>
      <c r="D1582" t="s">
        <v>965</v>
      </c>
      <c r="E1582" t="s">
        <v>296</v>
      </c>
      <c r="F1582" t="s">
        <v>297</v>
      </c>
      <c r="G1582" t="s">
        <v>964</v>
      </c>
      <c r="H1582">
        <v>6</v>
      </c>
      <c r="I1582">
        <v>20</v>
      </c>
      <c r="J1582">
        <v>29.333300000000001</v>
      </c>
      <c r="K1582">
        <v>9.3333300000000001</v>
      </c>
      <c r="L1582">
        <v>4</v>
      </c>
      <c r="M1582">
        <v>0</v>
      </c>
      <c r="N1582">
        <v>2</v>
      </c>
      <c r="O1582" t="s">
        <v>127</v>
      </c>
      <c r="P1582" t="s">
        <v>127</v>
      </c>
      <c r="Q1582" t="s">
        <v>127</v>
      </c>
    </row>
    <row r="1583" spans="1:17" x14ac:dyDescent="0.25">
      <c r="A1583" t="str">
        <f>IF(C1583&amp;G1583&amp;D1583&lt;&gt;'Funnel setup'!$K$3&amp;'Funnel setup'!$K$4&amp;'Funnel setup'!$K$6,".",IF(A1582=".",1,A1582+1))</f>
        <v>.</v>
      </c>
      <c r="B1583" s="244" t="str">
        <f t="shared" si="24"/>
        <v>Hip Replacement RevisionProviderLEEDS TEACHING HOSPITALS NHS TRUST (RR8)Oxford Hip Score</v>
      </c>
      <c r="C1583" t="s">
        <v>967</v>
      </c>
      <c r="D1583" t="s">
        <v>965</v>
      </c>
      <c r="E1583" t="s">
        <v>300</v>
      </c>
      <c r="F1583" t="s">
        <v>301</v>
      </c>
      <c r="G1583" t="s">
        <v>964</v>
      </c>
      <c r="H1583">
        <v>17</v>
      </c>
      <c r="I1583">
        <v>25.2941</v>
      </c>
      <c r="J1583">
        <v>36.058799999999998</v>
      </c>
      <c r="K1583">
        <v>10.764699999999999</v>
      </c>
      <c r="L1583">
        <v>14</v>
      </c>
      <c r="M1583">
        <v>1</v>
      </c>
      <c r="N1583">
        <v>2</v>
      </c>
      <c r="O1583" t="s">
        <v>127</v>
      </c>
      <c r="P1583" t="s">
        <v>127</v>
      </c>
      <c r="Q1583" t="s">
        <v>127</v>
      </c>
    </row>
    <row r="1584" spans="1:17" x14ac:dyDescent="0.25">
      <c r="A1584" t="str">
        <f>IF(C1584&amp;G1584&amp;D1584&lt;&gt;'Funnel setup'!$K$3&amp;'Funnel setup'!$K$4&amp;'Funnel setup'!$K$6,".",IF(A1583=".",1,A1583+1))</f>
        <v>.</v>
      </c>
      <c r="B1584" s="244" t="str">
        <f t="shared" si="24"/>
        <v>Hip Replacement RevisionProviderLIVERPOOL UNIVERSITY HOSPITALS NHS FOUNDATION TRUST (REM)Oxford Hip Score</v>
      </c>
      <c r="C1584" t="s">
        <v>967</v>
      </c>
      <c r="D1584" t="s">
        <v>965</v>
      </c>
      <c r="E1584" t="s">
        <v>306</v>
      </c>
      <c r="F1584" t="s">
        <v>307</v>
      </c>
      <c r="G1584" t="s">
        <v>964</v>
      </c>
      <c r="H1584">
        <v>8</v>
      </c>
      <c r="I1584">
        <v>15</v>
      </c>
      <c r="J1584">
        <v>37.125</v>
      </c>
      <c r="K1584">
        <v>22.125</v>
      </c>
      <c r="L1584">
        <v>7</v>
      </c>
      <c r="M1584">
        <v>0</v>
      </c>
      <c r="N1584">
        <v>1</v>
      </c>
      <c r="O1584" t="s">
        <v>127</v>
      </c>
      <c r="P1584" t="s">
        <v>127</v>
      </c>
      <c r="Q1584" t="s">
        <v>127</v>
      </c>
    </row>
    <row r="1585" spans="1:17" x14ac:dyDescent="0.25">
      <c r="A1585" t="str">
        <f>IF(C1585&amp;G1585&amp;D1585&lt;&gt;'Funnel setup'!$K$3&amp;'Funnel setup'!$K$4&amp;'Funnel setup'!$K$6,".",IF(A1584=".",1,A1584+1))</f>
        <v>.</v>
      </c>
      <c r="B1585" s="244" t="str">
        <f t="shared" si="24"/>
        <v>Hip Replacement RevisionProviderMAIDSTONE AND TUNBRIDGE WELLS NHS TRUST (RWF)Oxford Hip Score</v>
      </c>
      <c r="C1585" t="s">
        <v>967</v>
      </c>
      <c r="D1585" t="s">
        <v>965</v>
      </c>
      <c r="E1585" t="s">
        <v>312</v>
      </c>
      <c r="F1585" t="s">
        <v>313</v>
      </c>
      <c r="G1585" t="s">
        <v>964</v>
      </c>
      <c r="H1585">
        <v>6</v>
      </c>
      <c r="I1585">
        <v>24</v>
      </c>
      <c r="J1585">
        <v>35</v>
      </c>
      <c r="K1585">
        <v>11</v>
      </c>
      <c r="L1585">
        <v>5</v>
      </c>
      <c r="M1585">
        <v>0</v>
      </c>
      <c r="N1585">
        <v>1</v>
      </c>
      <c r="O1585" t="s">
        <v>127</v>
      </c>
      <c r="P1585" t="s">
        <v>127</v>
      </c>
      <c r="Q1585" t="s">
        <v>127</v>
      </c>
    </row>
    <row r="1586" spans="1:17" x14ac:dyDescent="0.25">
      <c r="A1586" t="str">
        <f>IF(C1586&amp;G1586&amp;D1586&lt;&gt;'Funnel setup'!$K$3&amp;'Funnel setup'!$K$4&amp;'Funnel setup'!$K$6,".",IF(A1585=".",1,A1585+1))</f>
        <v>.</v>
      </c>
      <c r="B1586" s="244" t="str">
        <f t="shared" si="24"/>
        <v>Hip Replacement RevisionProviderMANCHESTER UNIVERSITY NHS FOUNDATION TRUST (R0A)Oxford Hip Score</v>
      </c>
      <c r="C1586" t="s">
        <v>967</v>
      </c>
      <c r="D1586" t="s">
        <v>965</v>
      </c>
      <c r="E1586" t="s">
        <v>316</v>
      </c>
      <c r="F1586" t="s">
        <v>317</v>
      </c>
      <c r="G1586" t="s">
        <v>964</v>
      </c>
      <c r="H1586">
        <v>3</v>
      </c>
      <c r="I1586">
        <v>17</v>
      </c>
      <c r="J1586">
        <v>29.333300000000001</v>
      </c>
      <c r="K1586">
        <v>12.333299999999999</v>
      </c>
      <c r="L1586">
        <v>3</v>
      </c>
      <c r="M1586">
        <v>0</v>
      </c>
      <c r="N1586">
        <v>0</v>
      </c>
      <c r="O1586" t="s">
        <v>127</v>
      </c>
      <c r="P1586" t="s">
        <v>127</v>
      </c>
      <c r="Q1586" t="s">
        <v>127</v>
      </c>
    </row>
    <row r="1587" spans="1:17" x14ac:dyDescent="0.25">
      <c r="A1587" t="str">
        <f>IF(C1587&amp;G1587&amp;D1587&lt;&gt;'Funnel setup'!$K$3&amp;'Funnel setup'!$K$4&amp;'Funnel setup'!$K$6,".",IF(A1586=".",1,A1586+1))</f>
        <v>.</v>
      </c>
      <c r="B1587" s="244" t="str">
        <f t="shared" si="24"/>
        <v>Hip Replacement RevisionProviderMEDWAY NHS FOUNDATION TRUST (RPA)Oxford Hip Score</v>
      </c>
      <c r="C1587" t="s">
        <v>967</v>
      </c>
      <c r="D1587" t="s">
        <v>965</v>
      </c>
      <c r="E1587" t="s">
        <v>320</v>
      </c>
      <c r="F1587" t="s">
        <v>321</v>
      </c>
      <c r="G1587" t="s">
        <v>964</v>
      </c>
      <c r="H1587">
        <v>1</v>
      </c>
      <c r="I1587">
        <v>41</v>
      </c>
      <c r="J1587">
        <v>38</v>
      </c>
      <c r="K1587">
        <v>-3</v>
      </c>
      <c r="L1587">
        <v>0</v>
      </c>
      <c r="M1587">
        <v>0</v>
      </c>
      <c r="N1587">
        <v>1</v>
      </c>
      <c r="O1587" t="s">
        <v>127</v>
      </c>
      <c r="P1587" t="s">
        <v>127</v>
      </c>
      <c r="Q1587" t="s">
        <v>127</v>
      </c>
    </row>
    <row r="1588" spans="1:17" x14ac:dyDescent="0.25">
      <c r="A1588" t="str">
        <f>IF(C1588&amp;G1588&amp;D1588&lt;&gt;'Funnel setup'!$K$3&amp;'Funnel setup'!$K$4&amp;'Funnel setup'!$K$6,".",IF(A1587=".",1,A1587+1))</f>
        <v>.</v>
      </c>
      <c r="B1588" s="244" t="str">
        <f t="shared" si="24"/>
        <v>Hip Replacement RevisionProviderMID AND SOUTH ESSEX NHS FOUNDATION TRUST (RAJ)Oxford Hip Score</v>
      </c>
      <c r="C1588" t="s">
        <v>967</v>
      </c>
      <c r="D1588" t="s">
        <v>965</v>
      </c>
      <c r="E1588" t="s">
        <v>324</v>
      </c>
      <c r="F1588" t="s">
        <v>325</v>
      </c>
      <c r="G1588" t="s">
        <v>964</v>
      </c>
      <c r="H1588">
        <v>4</v>
      </c>
      <c r="I1588">
        <v>17.5</v>
      </c>
      <c r="J1588">
        <v>37.25</v>
      </c>
      <c r="K1588">
        <v>19.75</v>
      </c>
      <c r="L1588">
        <v>4</v>
      </c>
      <c r="M1588">
        <v>0</v>
      </c>
      <c r="N1588">
        <v>0</v>
      </c>
      <c r="O1588" t="s">
        <v>127</v>
      </c>
      <c r="P1588" t="s">
        <v>127</v>
      </c>
      <c r="Q1588" t="s">
        <v>127</v>
      </c>
    </row>
    <row r="1589" spans="1:17" x14ac:dyDescent="0.25">
      <c r="A1589" t="str">
        <f>IF(C1589&amp;G1589&amp;D1589&lt;&gt;'Funnel setup'!$K$3&amp;'Funnel setup'!$K$4&amp;'Funnel setup'!$K$6,".",IF(A1588=".",1,A1588+1))</f>
        <v>.</v>
      </c>
      <c r="B1589" s="244" t="str">
        <f t="shared" si="24"/>
        <v>Hip Replacement RevisionProviderMID CHESHIRE HOSPITALS NHS FOUNDATION TRUST (RBT)Oxford Hip Score</v>
      </c>
      <c r="C1589" t="s">
        <v>967</v>
      </c>
      <c r="D1589" t="s">
        <v>965</v>
      </c>
      <c r="E1589" t="s">
        <v>326</v>
      </c>
      <c r="F1589" t="s">
        <v>327</v>
      </c>
      <c r="G1589" t="s">
        <v>964</v>
      </c>
      <c r="H1589">
        <v>4</v>
      </c>
      <c r="I1589">
        <v>15.25</v>
      </c>
      <c r="J1589">
        <v>26.25</v>
      </c>
      <c r="K1589">
        <v>11</v>
      </c>
      <c r="L1589">
        <v>4</v>
      </c>
      <c r="M1589">
        <v>0</v>
      </c>
      <c r="N1589">
        <v>0</v>
      </c>
      <c r="O1589" t="s">
        <v>127</v>
      </c>
      <c r="P1589" t="s">
        <v>127</v>
      </c>
      <c r="Q1589" t="s">
        <v>127</v>
      </c>
    </row>
    <row r="1590" spans="1:17" x14ac:dyDescent="0.25">
      <c r="A1590" t="str">
        <f>IF(C1590&amp;G1590&amp;D1590&lt;&gt;'Funnel setup'!$K$3&amp;'Funnel setup'!$K$4&amp;'Funnel setup'!$K$6,".",IF(A1589=".",1,A1589+1))</f>
        <v>.</v>
      </c>
      <c r="B1590" s="244" t="str">
        <f t="shared" si="24"/>
        <v>Hip Replacement RevisionProviderMID YORKSHIRE TEACHING NHS TRUST (RXF)Oxford Hip Score</v>
      </c>
      <c r="C1590" t="s">
        <v>967</v>
      </c>
      <c r="D1590" t="s">
        <v>965</v>
      </c>
      <c r="E1590" t="s">
        <v>330</v>
      </c>
      <c r="F1590" t="s">
        <v>331</v>
      </c>
      <c r="G1590" t="s">
        <v>964</v>
      </c>
      <c r="H1590">
        <v>15</v>
      </c>
      <c r="I1590">
        <v>16.399999999999999</v>
      </c>
      <c r="J1590">
        <v>32.466700000000003</v>
      </c>
      <c r="K1590">
        <v>16.066700000000001</v>
      </c>
      <c r="L1590">
        <v>14</v>
      </c>
      <c r="M1590">
        <v>0</v>
      </c>
      <c r="N1590">
        <v>1</v>
      </c>
      <c r="O1590" t="s">
        <v>127</v>
      </c>
      <c r="P1590" t="s">
        <v>127</v>
      </c>
      <c r="Q1590" t="s">
        <v>127</v>
      </c>
    </row>
    <row r="1591" spans="1:17" x14ac:dyDescent="0.25">
      <c r="A1591" t="str">
        <f>IF(C1591&amp;G1591&amp;D1591&lt;&gt;'Funnel setup'!$K$3&amp;'Funnel setup'!$K$4&amp;'Funnel setup'!$K$6,".",IF(A1590=".",1,A1590+1))</f>
        <v>.</v>
      </c>
      <c r="B1591" s="244" t="str">
        <f t="shared" si="24"/>
        <v>Hip Replacement RevisionProviderMILTON KEYNES UNIVERSITY HOSPITAL NHS FOUNDATION TRUST (RD8)Oxford Hip Score</v>
      </c>
      <c r="C1591" t="s">
        <v>967</v>
      </c>
      <c r="D1591" t="s">
        <v>965</v>
      </c>
      <c r="E1591" t="s">
        <v>332</v>
      </c>
      <c r="F1591" t="s">
        <v>333</v>
      </c>
      <c r="G1591" t="s">
        <v>964</v>
      </c>
      <c r="H1591" t="s">
        <v>127</v>
      </c>
      <c r="I1591" t="s">
        <v>127</v>
      </c>
      <c r="J1591" t="s">
        <v>127</v>
      </c>
      <c r="K1591" t="s">
        <v>127</v>
      </c>
      <c r="L1591" t="s">
        <v>127</v>
      </c>
      <c r="M1591" t="s">
        <v>127</v>
      </c>
      <c r="N1591" t="s">
        <v>127</v>
      </c>
      <c r="O1591" t="s">
        <v>127</v>
      </c>
      <c r="P1591" t="s">
        <v>127</v>
      </c>
      <c r="Q1591" t="s">
        <v>127</v>
      </c>
    </row>
    <row r="1592" spans="1:17" x14ac:dyDescent="0.25">
      <c r="A1592" t="str">
        <f>IF(C1592&amp;G1592&amp;D1592&lt;&gt;'Funnel setup'!$K$3&amp;'Funnel setup'!$K$4&amp;'Funnel setup'!$K$6,".",IF(A1591=".",1,A1591+1))</f>
        <v>.</v>
      </c>
      <c r="B1592" s="244" t="str">
        <f t="shared" si="24"/>
        <v>Hip Replacement RevisionProviderNEW HALL HOSPITAL (NVC09)Oxford Hip Score</v>
      </c>
      <c r="C1592" t="s">
        <v>967</v>
      </c>
      <c r="D1592" t="s">
        <v>965</v>
      </c>
      <c r="E1592" t="s">
        <v>338</v>
      </c>
      <c r="F1592" t="s">
        <v>339</v>
      </c>
      <c r="G1592" t="s">
        <v>964</v>
      </c>
      <c r="H1592" t="s">
        <v>127</v>
      </c>
      <c r="I1592" t="s">
        <v>127</v>
      </c>
      <c r="J1592" t="s">
        <v>127</v>
      </c>
      <c r="K1592" t="s">
        <v>127</v>
      </c>
      <c r="L1592" t="s">
        <v>127</v>
      </c>
      <c r="M1592" t="s">
        <v>127</v>
      </c>
      <c r="N1592" t="s">
        <v>127</v>
      </c>
      <c r="O1592" t="s">
        <v>127</v>
      </c>
      <c r="P1592" t="s">
        <v>127</v>
      </c>
      <c r="Q1592" t="s">
        <v>127</v>
      </c>
    </row>
    <row r="1593" spans="1:17" x14ac:dyDescent="0.25">
      <c r="A1593" t="str">
        <f>IF(C1593&amp;G1593&amp;D1593&lt;&gt;'Funnel setup'!$K$3&amp;'Funnel setup'!$K$4&amp;'Funnel setup'!$K$6,".",IF(A1592=".",1,A1592+1))</f>
        <v>.</v>
      </c>
      <c r="B1593" s="244" t="str">
        <f t="shared" si="24"/>
        <v>Hip Replacement RevisionProviderNORFOLK AND NORWICH UNIVERSITY HOSPITALS NHS FOUNDATION TRUST (RM1)Oxford Hip Score</v>
      </c>
      <c r="C1593" t="s">
        <v>967</v>
      </c>
      <c r="D1593" t="s">
        <v>965</v>
      </c>
      <c r="E1593" t="s">
        <v>340</v>
      </c>
      <c r="F1593" t="s">
        <v>341</v>
      </c>
      <c r="G1593" t="s">
        <v>964</v>
      </c>
      <c r="H1593">
        <v>19</v>
      </c>
      <c r="I1593">
        <v>22.1053</v>
      </c>
      <c r="J1593">
        <v>37.052599999999998</v>
      </c>
      <c r="K1593">
        <v>14.9474</v>
      </c>
      <c r="L1593">
        <v>16</v>
      </c>
      <c r="M1593">
        <v>1</v>
      </c>
      <c r="N1593">
        <v>2</v>
      </c>
      <c r="O1593" t="s">
        <v>127</v>
      </c>
      <c r="P1593" t="s">
        <v>127</v>
      </c>
      <c r="Q1593" t="s">
        <v>127</v>
      </c>
    </row>
    <row r="1594" spans="1:17" x14ac:dyDescent="0.25">
      <c r="A1594" t="str">
        <f>IF(C1594&amp;G1594&amp;D1594&lt;&gt;'Funnel setup'!$K$3&amp;'Funnel setup'!$K$4&amp;'Funnel setup'!$K$6,".",IF(A1593=".",1,A1593+1))</f>
        <v>.</v>
      </c>
      <c r="B1594" s="244" t="str">
        <f t="shared" si="24"/>
        <v>Hip Replacement RevisionProviderNORTH BRISTOL NHS TRUST (RVJ)Oxford Hip Score</v>
      </c>
      <c r="C1594" t="s">
        <v>967</v>
      </c>
      <c r="D1594" t="s">
        <v>965</v>
      </c>
      <c r="E1594" t="s">
        <v>342</v>
      </c>
      <c r="F1594" t="s">
        <v>343</v>
      </c>
      <c r="G1594" t="s">
        <v>964</v>
      </c>
      <c r="H1594">
        <v>3</v>
      </c>
      <c r="I1594">
        <v>16.666699999999999</v>
      </c>
      <c r="J1594">
        <v>30.666699999999999</v>
      </c>
      <c r="K1594">
        <v>14</v>
      </c>
      <c r="L1594">
        <v>3</v>
      </c>
      <c r="M1594">
        <v>0</v>
      </c>
      <c r="N1594">
        <v>0</v>
      </c>
      <c r="O1594" t="s">
        <v>127</v>
      </c>
      <c r="P1594" t="s">
        <v>127</v>
      </c>
      <c r="Q1594" t="s">
        <v>127</v>
      </c>
    </row>
    <row r="1595" spans="1:17" x14ac:dyDescent="0.25">
      <c r="A1595" t="str">
        <f>IF(C1595&amp;G1595&amp;D1595&lt;&gt;'Funnel setup'!$K$3&amp;'Funnel setup'!$K$4&amp;'Funnel setup'!$K$6,".",IF(A1594=".",1,A1594+1))</f>
        <v>.</v>
      </c>
      <c r="B1595" s="244" t="str">
        <f t="shared" si="24"/>
        <v>Hip Replacement RevisionProviderNORTH CUMBRIA INTEGRATED CARE NHS FOUNDATION TRUST (RNN)Oxford Hip Score</v>
      </c>
      <c r="C1595" t="s">
        <v>967</v>
      </c>
      <c r="D1595" t="s">
        <v>965</v>
      </c>
      <c r="E1595" t="s">
        <v>344</v>
      </c>
      <c r="F1595" t="s">
        <v>345</v>
      </c>
      <c r="G1595" t="s">
        <v>964</v>
      </c>
      <c r="H1595">
        <v>8</v>
      </c>
      <c r="I1595">
        <v>18.875</v>
      </c>
      <c r="J1595">
        <v>38.125</v>
      </c>
      <c r="K1595">
        <v>19.25</v>
      </c>
      <c r="L1595">
        <v>7</v>
      </c>
      <c r="M1595">
        <v>0</v>
      </c>
      <c r="N1595">
        <v>1</v>
      </c>
      <c r="O1595" t="s">
        <v>127</v>
      </c>
      <c r="P1595" t="s">
        <v>127</v>
      </c>
      <c r="Q1595" t="s">
        <v>127</v>
      </c>
    </row>
    <row r="1596" spans="1:17" x14ac:dyDescent="0.25">
      <c r="A1596" t="str">
        <f>IF(C1596&amp;G1596&amp;D1596&lt;&gt;'Funnel setup'!$K$3&amp;'Funnel setup'!$K$4&amp;'Funnel setup'!$K$6,".",IF(A1595=".",1,A1595+1))</f>
        <v>.</v>
      </c>
      <c r="B1596" s="244" t="str">
        <f t="shared" si="24"/>
        <v>Hip Replacement RevisionProviderNORTH DOWNS HOSPITAL (NVC11)Oxford Hip Score</v>
      </c>
      <c r="C1596" t="s">
        <v>967</v>
      </c>
      <c r="D1596" t="s">
        <v>965</v>
      </c>
      <c r="E1596" t="s">
        <v>348</v>
      </c>
      <c r="F1596" t="s">
        <v>349</v>
      </c>
      <c r="G1596" t="s">
        <v>964</v>
      </c>
      <c r="H1596" t="s">
        <v>127</v>
      </c>
      <c r="I1596" t="s">
        <v>127</v>
      </c>
      <c r="J1596" t="s">
        <v>127</v>
      </c>
      <c r="K1596" t="s">
        <v>127</v>
      </c>
      <c r="L1596" t="s">
        <v>127</v>
      </c>
      <c r="M1596" t="s">
        <v>127</v>
      </c>
      <c r="N1596" t="s">
        <v>127</v>
      </c>
      <c r="O1596" t="s">
        <v>127</v>
      </c>
      <c r="P1596" t="s">
        <v>127</v>
      </c>
      <c r="Q1596" t="s">
        <v>127</v>
      </c>
    </row>
    <row r="1597" spans="1:17" x14ac:dyDescent="0.25">
      <c r="A1597" t="str">
        <f>IF(C1597&amp;G1597&amp;D1597&lt;&gt;'Funnel setup'!$K$3&amp;'Funnel setup'!$K$4&amp;'Funnel setup'!$K$6,".",IF(A1596=".",1,A1596+1))</f>
        <v>.</v>
      </c>
      <c r="B1597" s="244" t="str">
        <f t="shared" si="24"/>
        <v>Hip Replacement RevisionProviderNORTH TEES AND HARTLEPOOL NHS FOUNDATION TRUST (RVW)Oxford Hip Score</v>
      </c>
      <c r="C1597" t="s">
        <v>967</v>
      </c>
      <c r="D1597" t="s">
        <v>965</v>
      </c>
      <c r="E1597" t="s">
        <v>352</v>
      </c>
      <c r="F1597" t="s">
        <v>353</v>
      </c>
      <c r="G1597" t="s">
        <v>964</v>
      </c>
      <c r="H1597">
        <v>9</v>
      </c>
      <c r="I1597">
        <v>13.777799999999999</v>
      </c>
      <c r="J1597">
        <v>28.8889</v>
      </c>
      <c r="K1597">
        <v>15.1111</v>
      </c>
      <c r="L1597">
        <v>9</v>
      </c>
      <c r="M1597">
        <v>0</v>
      </c>
      <c r="N1597">
        <v>0</v>
      </c>
      <c r="O1597" t="s">
        <v>127</v>
      </c>
      <c r="P1597" t="s">
        <v>127</v>
      </c>
      <c r="Q1597" t="s">
        <v>127</v>
      </c>
    </row>
    <row r="1598" spans="1:17" x14ac:dyDescent="0.25">
      <c r="A1598" t="str">
        <f>IF(C1598&amp;G1598&amp;D1598&lt;&gt;'Funnel setup'!$K$3&amp;'Funnel setup'!$K$4&amp;'Funnel setup'!$K$6,".",IF(A1597=".",1,A1597+1))</f>
        <v>.</v>
      </c>
      <c r="B1598" s="244" t="str">
        <f t="shared" si="24"/>
        <v>Hip Replacement RevisionProviderNORTH WEST ANGLIA NHS FOUNDATION TRUST (RGN)Oxford Hip Score</v>
      </c>
      <c r="C1598" t="s">
        <v>967</v>
      </c>
      <c r="D1598" t="s">
        <v>965</v>
      </c>
      <c r="E1598" t="s">
        <v>354</v>
      </c>
      <c r="F1598" t="s">
        <v>355</v>
      </c>
      <c r="G1598" t="s">
        <v>964</v>
      </c>
      <c r="H1598">
        <v>3</v>
      </c>
      <c r="I1598">
        <v>27</v>
      </c>
      <c r="J1598">
        <v>36</v>
      </c>
      <c r="K1598">
        <v>9</v>
      </c>
      <c r="L1598">
        <v>3</v>
      </c>
      <c r="M1598">
        <v>0</v>
      </c>
      <c r="N1598">
        <v>0</v>
      </c>
      <c r="O1598" t="s">
        <v>127</v>
      </c>
      <c r="P1598" t="s">
        <v>127</v>
      </c>
      <c r="Q1598" t="s">
        <v>127</v>
      </c>
    </row>
    <row r="1599" spans="1:17" x14ac:dyDescent="0.25">
      <c r="A1599" t="str">
        <f>IF(C1599&amp;G1599&amp;D1599&lt;&gt;'Funnel setup'!$K$3&amp;'Funnel setup'!$K$4&amp;'Funnel setup'!$K$6,".",IF(A1598=".",1,A1598+1))</f>
        <v>.</v>
      </c>
      <c r="B1599" s="244" t="str">
        <f t="shared" si="24"/>
        <v>Hip Replacement RevisionProviderNORTHAMPTON GENERAL HOSPITAL NHS TRUST (RNS)Oxford Hip Score</v>
      </c>
      <c r="C1599" t="s">
        <v>967</v>
      </c>
      <c r="D1599" t="s">
        <v>965</v>
      </c>
      <c r="E1599" t="s">
        <v>356</v>
      </c>
      <c r="F1599" t="s">
        <v>357</v>
      </c>
      <c r="G1599" t="s">
        <v>964</v>
      </c>
      <c r="H1599">
        <v>5</v>
      </c>
      <c r="I1599">
        <v>21.8</v>
      </c>
      <c r="J1599">
        <v>38.200000000000003</v>
      </c>
      <c r="K1599">
        <v>16.399999999999999</v>
      </c>
      <c r="L1599">
        <v>4</v>
      </c>
      <c r="M1599">
        <v>0</v>
      </c>
      <c r="N1599">
        <v>1</v>
      </c>
      <c r="O1599" t="s">
        <v>127</v>
      </c>
      <c r="P1599" t="s">
        <v>127</v>
      </c>
      <c r="Q1599" t="s">
        <v>127</v>
      </c>
    </row>
    <row r="1600" spans="1:17" x14ac:dyDescent="0.25">
      <c r="A1600" t="str">
        <f>IF(C1600&amp;G1600&amp;D1600&lt;&gt;'Funnel setup'!$K$3&amp;'Funnel setup'!$K$4&amp;'Funnel setup'!$K$6,".",IF(A1599=".",1,A1599+1))</f>
        <v>.</v>
      </c>
      <c r="B1600" s="244" t="str">
        <f t="shared" si="24"/>
        <v>Hip Replacement RevisionProviderNORTHERN DEVON HEALTHCARE NHS TRUST (RBZ)Oxford Hip Score</v>
      </c>
      <c r="C1600" t="s">
        <v>967</v>
      </c>
      <c r="D1600" t="s">
        <v>965</v>
      </c>
      <c r="E1600" t="s">
        <v>360</v>
      </c>
      <c r="F1600" t="s">
        <v>361</v>
      </c>
      <c r="G1600" t="s">
        <v>964</v>
      </c>
      <c r="H1600">
        <v>2</v>
      </c>
      <c r="I1600">
        <v>15</v>
      </c>
      <c r="J1600">
        <v>47</v>
      </c>
      <c r="K1600">
        <v>32</v>
      </c>
      <c r="L1600">
        <v>2</v>
      </c>
      <c r="M1600">
        <v>0</v>
      </c>
      <c r="N1600">
        <v>0</v>
      </c>
      <c r="O1600" t="s">
        <v>127</v>
      </c>
      <c r="P1600" t="s">
        <v>127</v>
      </c>
      <c r="Q1600" t="s">
        <v>127</v>
      </c>
    </row>
    <row r="1601" spans="1:17" x14ac:dyDescent="0.25">
      <c r="A1601" t="str">
        <f>IF(C1601&amp;G1601&amp;D1601&lt;&gt;'Funnel setup'!$K$3&amp;'Funnel setup'!$K$4&amp;'Funnel setup'!$K$6,".",IF(A1600=".",1,A1600+1))</f>
        <v>.</v>
      </c>
      <c r="B1601" s="244" t="str">
        <f t="shared" si="24"/>
        <v>Hip Replacement RevisionProviderNORTHUMBRIA HEALTHCARE NHS FOUNDATION TRUST (RTF)Oxford Hip Score</v>
      </c>
      <c r="C1601" t="s">
        <v>967</v>
      </c>
      <c r="D1601" t="s">
        <v>965</v>
      </c>
      <c r="E1601" t="s">
        <v>364</v>
      </c>
      <c r="F1601" t="s">
        <v>365</v>
      </c>
      <c r="G1601" t="s">
        <v>964</v>
      </c>
      <c r="H1601">
        <v>9</v>
      </c>
      <c r="I1601">
        <v>24.1111</v>
      </c>
      <c r="J1601">
        <v>40.333300000000001</v>
      </c>
      <c r="K1601">
        <v>16.222200000000001</v>
      </c>
      <c r="L1601">
        <v>7</v>
      </c>
      <c r="M1601">
        <v>1</v>
      </c>
      <c r="N1601">
        <v>1</v>
      </c>
      <c r="O1601" t="s">
        <v>127</v>
      </c>
      <c r="P1601" t="s">
        <v>127</v>
      </c>
      <c r="Q1601" t="s">
        <v>127</v>
      </c>
    </row>
    <row r="1602" spans="1:17" x14ac:dyDescent="0.25">
      <c r="A1602" t="str">
        <f>IF(C1602&amp;G1602&amp;D1602&lt;&gt;'Funnel setup'!$K$3&amp;'Funnel setup'!$K$4&amp;'Funnel setup'!$K$6,".",IF(A1601=".",1,A1601+1))</f>
        <v>.</v>
      </c>
      <c r="B1602" s="244" t="str">
        <f t="shared" ref="B1602:B1665" si="25">C1602&amp;D1602&amp;F1602&amp;G1602</f>
        <v>Hip Replacement RevisionProviderNUFFIELD HEALTH, PLYMOUTH HOSPITAL (NT233)Oxford Hip Score</v>
      </c>
      <c r="C1602" t="s">
        <v>967</v>
      </c>
      <c r="D1602" t="s">
        <v>965</v>
      </c>
      <c r="E1602" t="s">
        <v>400</v>
      </c>
      <c r="F1602" t="s">
        <v>401</v>
      </c>
      <c r="G1602" t="s">
        <v>964</v>
      </c>
      <c r="H1602" t="s">
        <v>127</v>
      </c>
      <c r="I1602" t="s">
        <v>127</v>
      </c>
      <c r="J1602" t="s">
        <v>127</v>
      </c>
      <c r="K1602" t="s">
        <v>127</v>
      </c>
      <c r="L1602" t="s">
        <v>127</v>
      </c>
      <c r="M1602" t="s">
        <v>127</v>
      </c>
      <c r="N1602" t="s">
        <v>127</v>
      </c>
      <c r="O1602" t="s">
        <v>127</v>
      </c>
      <c r="P1602" t="s">
        <v>127</v>
      </c>
      <c r="Q1602" t="s">
        <v>127</v>
      </c>
    </row>
    <row r="1603" spans="1:17" x14ac:dyDescent="0.25">
      <c r="A1603" t="str">
        <f>IF(C1603&amp;G1603&amp;D1603&lt;&gt;'Funnel setup'!$K$3&amp;'Funnel setup'!$K$4&amp;'Funnel setup'!$K$6,".",IF(A1602=".",1,A1602+1))</f>
        <v>.</v>
      </c>
      <c r="B1603" s="244" t="str">
        <f t="shared" si="25"/>
        <v>Hip Replacement RevisionProviderNUFFIELD HEALTH, TEES HOSPITAL (NT237)Oxford Hip Score</v>
      </c>
      <c r="C1603" t="s">
        <v>967</v>
      </c>
      <c r="D1603" t="s">
        <v>965</v>
      </c>
      <c r="E1603" t="s">
        <v>406</v>
      </c>
      <c r="F1603" t="s">
        <v>407</v>
      </c>
      <c r="G1603" t="s">
        <v>964</v>
      </c>
      <c r="H1603">
        <v>4</v>
      </c>
      <c r="I1603">
        <v>17.75</v>
      </c>
      <c r="J1603">
        <v>26.25</v>
      </c>
      <c r="K1603">
        <v>8.5</v>
      </c>
      <c r="L1603">
        <v>3</v>
      </c>
      <c r="M1603">
        <v>1</v>
      </c>
      <c r="N1603">
        <v>0</v>
      </c>
      <c r="O1603" t="s">
        <v>127</v>
      </c>
      <c r="P1603" t="s">
        <v>127</v>
      </c>
      <c r="Q1603" t="s">
        <v>127</v>
      </c>
    </row>
    <row r="1604" spans="1:17" x14ac:dyDescent="0.25">
      <c r="A1604" t="str">
        <f>IF(C1604&amp;G1604&amp;D1604&lt;&gt;'Funnel setup'!$K$3&amp;'Funnel setup'!$K$4&amp;'Funnel setup'!$K$6,".",IF(A1603=".",1,A1603+1))</f>
        <v>.</v>
      </c>
      <c r="B1604" s="244" t="str">
        <f t="shared" si="25"/>
        <v>Hip Replacement RevisionProviderNUFFIELD HEALTH, YORK HOSPITAL (NT245)Oxford Hip Score</v>
      </c>
      <c r="C1604" t="s">
        <v>967</v>
      </c>
      <c r="D1604" t="s">
        <v>965</v>
      </c>
      <c r="E1604" t="s">
        <v>420</v>
      </c>
      <c r="F1604" t="s">
        <v>421</v>
      </c>
      <c r="G1604" t="s">
        <v>964</v>
      </c>
      <c r="H1604" t="s">
        <v>127</v>
      </c>
      <c r="I1604" t="s">
        <v>127</v>
      </c>
      <c r="J1604" t="s">
        <v>127</v>
      </c>
      <c r="K1604" t="s">
        <v>127</v>
      </c>
      <c r="L1604" t="s">
        <v>127</v>
      </c>
      <c r="M1604" t="s">
        <v>127</v>
      </c>
      <c r="N1604" t="s">
        <v>127</v>
      </c>
      <c r="O1604" t="s">
        <v>127</v>
      </c>
      <c r="P1604" t="s">
        <v>127</v>
      </c>
      <c r="Q1604" t="s">
        <v>127</v>
      </c>
    </row>
    <row r="1605" spans="1:17" x14ac:dyDescent="0.25">
      <c r="A1605" t="str">
        <f>IF(C1605&amp;G1605&amp;D1605&lt;&gt;'Funnel setup'!$K$3&amp;'Funnel setup'!$K$4&amp;'Funnel setup'!$K$6,".",IF(A1604=".",1,A1604+1))</f>
        <v>.</v>
      </c>
      <c r="B1605" s="244" t="str">
        <f t="shared" si="25"/>
        <v>Hip Replacement RevisionProviderOXFORD UNIVERSITY HOSPITALS NHS FOUNDATION TRUST (RTH)Oxford Hip Score</v>
      </c>
      <c r="C1605" t="s">
        <v>967</v>
      </c>
      <c r="D1605" t="s">
        <v>965</v>
      </c>
      <c r="E1605" t="s">
        <v>438</v>
      </c>
      <c r="F1605" t="s">
        <v>439</v>
      </c>
      <c r="G1605" t="s">
        <v>964</v>
      </c>
      <c r="H1605">
        <v>39</v>
      </c>
      <c r="I1605">
        <v>22.025600000000001</v>
      </c>
      <c r="J1605">
        <v>35.666699999999999</v>
      </c>
      <c r="K1605">
        <v>13.641</v>
      </c>
      <c r="L1605">
        <v>35</v>
      </c>
      <c r="M1605">
        <v>0</v>
      </c>
      <c r="N1605">
        <v>4</v>
      </c>
      <c r="O1605">
        <v>35.000300000000003</v>
      </c>
      <c r="P1605">
        <v>14.767300000000001</v>
      </c>
      <c r="Q1605">
        <v>8.1330600000000004</v>
      </c>
    </row>
    <row r="1606" spans="1:17" x14ac:dyDescent="0.25">
      <c r="A1606" t="str">
        <f>IF(C1606&amp;G1606&amp;D1606&lt;&gt;'Funnel setup'!$K$3&amp;'Funnel setup'!$K$4&amp;'Funnel setup'!$K$6,".",IF(A1605=".",1,A1605+1))</f>
        <v>.</v>
      </c>
      <c r="B1606" s="244" t="str">
        <f t="shared" si="25"/>
        <v>Hip Replacement RevisionProviderPRACTICE PLUS GROUP HOSPITAL - BARLBOROUGH (NTP13)Oxford Hip Score</v>
      </c>
      <c r="C1606" t="s">
        <v>967</v>
      </c>
      <c r="D1606" t="s">
        <v>965</v>
      </c>
      <c r="E1606" t="s">
        <v>452</v>
      </c>
      <c r="F1606" t="s">
        <v>453</v>
      </c>
      <c r="G1606" t="s">
        <v>964</v>
      </c>
      <c r="H1606">
        <v>5</v>
      </c>
      <c r="I1606">
        <v>23.8</v>
      </c>
      <c r="J1606">
        <v>34.200000000000003</v>
      </c>
      <c r="K1606">
        <v>10.4</v>
      </c>
      <c r="L1606">
        <v>5</v>
      </c>
      <c r="M1606">
        <v>0</v>
      </c>
      <c r="N1606">
        <v>0</v>
      </c>
      <c r="O1606" t="s">
        <v>127</v>
      </c>
      <c r="P1606" t="s">
        <v>127</v>
      </c>
      <c r="Q1606" t="s">
        <v>127</v>
      </c>
    </row>
    <row r="1607" spans="1:17" x14ac:dyDescent="0.25">
      <c r="A1607" t="str">
        <f>IF(C1607&amp;G1607&amp;D1607&lt;&gt;'Funnel setup'!$K$3&amp;'Funnel setup'!$K$4&amp;'Funnel setup'!$K$6,".",IF(A1606=".",1,A1606+1))</f>
        <v>.</v>
      </c>
      <c r="B1607" s="244" t="str">
        <f t="shared" si="25"/>
        <v>Hip Replacement RevisionProviderPRACTICE PLUS GROUP HOSPITAL - PLYMOUTH (NTPH5)Oxford Hip Score</v>
      </c>
      <c r="C1607" t="s">
        <v>967</v>
      </c>
      <c r="D1607" t="s">
        <v>965</v>
      </c>
      <c r="E1607" t="s">
        <v>458</v>
      </c>
      <c r="F1607" t="s">
        <v>459</v>
      </c>
      <c r="G1607" t="s">
        <v>964</v>
      </c>
      <c r="H1607">
        <v>1</v>
      </c>
      <c r="I1607">
        <v>20</v>
      </c>
      <c r="J1607">
        <v>47</v>
      </c>
      <c r="K1607">
        <v>27</v>
      </c>
      <c r="L1607">
        <v>1</v>
      </c>
      <c r="M1607">
        <v>0</v>
      </c>
      <c r="N1607">
        <v>0</v>
      </c>
      <c r="O1607" t="s">
        <v>127</v>
      </c>
      <c r="P1607" t="s">
        <v>127</v>
      </c>
      <c r="Q1607" t="s">
        <v>127</v>
      </c>
    </row>
    <row r="1608" spans="1:17" x14ac:dyDescent="0.25">
      <c r="A1608" t="str">
        <f>IF(C1608&amp;G1608&amp;D1608&lt;&gt;'Funnel setup'!$K$3&amp;'Funnel setup'!$K$4&amp;'Funnel setup'!$K$6,".",IF(A1607=".",1,A1607+1))</f>
        <v>.</v>
      </c>
      <c r="B1608" s="244" t="str">
        <f t="shared" si="25"/>
        <v>Hip Replacement RevisionProviderPRACTICE PLUS GROUP HOSPITAL - SHEPTON MALLET (NTPH1)Oxford Hip Score</v>
      </c>
      <c r="C1608" t="s">
        <v>967</v>
      </c>
      <c r="D1608" t="s">
        <v>965</v>
      </c>
      <c r="E1608" t="s">
        <v>460</v>
      </c>
      <c r="F1608" t="s">
        <v>461</v>
      </c>
      <c r="G1608" t="s">
        <v>964</v>
      </c>
      <c r="H1608">
        <v>5</v>
      </c>
      <c r="I1608">
        <v>28.2</v>
      </c>
      <c r="J1608">
        <v>34.4</v>
      </c>
      <c r="K1608">
        <v>6.2</v>
      </c>
      <c r="L1608">
        <v>3</v>
      </c>
      <c r="M1608">
        <v>1</v>
      </c>
      <c r="N1608">
        <v>1</v>
      </c>
      <c r="O1608" t="s">
        <v>127</v>
      </c>
      <c r="P1608" t="s">
        <v>127</v>
      </c>
      <c r="Q1608" t="s">
        <v>127</v>
      </c>
    </row>
    <row r="1609" spans="1:17" x14ac:dyDescent="0.25">
      <c r="A1609" t="str">
        <f>IF(C1609&amp;G1609&amp;D1609&lt;&gt;'Funnel setup'!$K$3&amp;'Funnel setup'!$K$4&amp;'Funnel setup'!$K$6,".",IF(A1608=".",1,A1608+1))</f>
        <v>.</v>
      </c>
      <c r="B1609" s="244" t="str">
        <f t="shared" si="25"/>
        <v>Hip Replacement RevisionProviderRIVERS HOSPITAL (NVC19)Oxford Hip Score</v>
      </c>
      <c r="C1609" t="s">
        <v>967</v>
      </c>
      <c r="D1609" t="s">
        <v>965</v>
      </c>
      <c r="E1609" t="s">
        <v>474</v>
      </c>
      <c r="F1609" t="s">
        <v>475</v>
      </c>
      <c r="G1609" t="s">
        <v>964</v>
      </c>
      <c r="H1609" t="s">
        <v>127</v>
      </c>
      <c r="I1609" t="s">
        <v>127</v>
      </c>
      <c r="J1609" t="s">
        <v>127</v>
      </c>
      <c r="K1609" t="s">
        <v>127</v>
      </c>
      <c r="L1609" t="s">
        <v>127</v>
      </c>
      <c r="M1609" t="s">
        <v>127</v>
      </c>
      <c r="N1609" t="s">
        <v>127</v>
      </c>
      <c r="O1609" t="s">
        <v>127</v>
      </c>
      <c r="P1609" t="s">
        <v>127</v>
      </c>
      <c r="Q1609" t="s">
        <v>127</v>
      </c>
    </row>
    <row r="1610" spans="1:17" x14ac:dyDescent="0.25">
      <c r="A1610" t="str">
        <f>IF(C1610&amp;G1610&amp;D1610&lt;&gt;'Funnel setup'!$K$3&amp;'Funnel setup'!$K$4&amp;'Funnel setup'!$K$6,".",IF(A1609=".",1,A1609+1))</f>
        <v>.</v>
      </c>
      <c r="B1610" s="244" t="str">
        <f t="shared" si="25"/>
        <v>Hip Replacement RevisionProviderROWLEY HALL HOSPITAL (NVC17)Oxford Hip Score</v>
      </c>
      <c r="C1610" t="s">
        <v>967</v>
      </c>
      <c r="D1610" t="s">
        <v>965</v>
      </c>
      <c r="E1610" t="s">
        <v>476</v>
      </c>
      <c r="F1610" t="s">
        <v>477</v>
      </c>
      <c r="G1610" t="s">
        <v>964</v>
      </c>
      <c r="H1610" t="s">
        <v>127</v>
      </c>
      <c r="I1610" t="s">
        <v>127</v>
      </c>
      <c r="J1610" t="s">
        <v>127</v>
      </c>
      <c r="K1610" t="s">
        <v>127</v>
      </c>
      <c r="L1610" t="s">
        <v>127</v>
      </c>
      <c r="M1610" t="s">
        <v>127</v>
      </c>
      <c r="N1610" t="s">
        <v>127</v>
      </c>
      <c r="O1610" t="s">
        <v>127</v>
      </c>
      <c r="P1610" t="s">
        <v>127</v>
      </c>
      <c r="Q1610" t="s">
        <v>127</v>
      </c>
    </row>
    <row r="1611" spans="1:17" x14ac:dyDescent="0.25">
      <c r="A1611" t="str">
        <f>IF(C1611&amp;G1611&amp;D1611&lt;&gt;'Funnel setup'!$K$3&amp;'Funnel setup'!$K$4&amp;'Funnel setup'!$K$6,".",IF(A1610=".",1,A1610+1))</f>
        <v>.</v>
      </c>
      <c r="B1611" s="244" t="str">
        <f t="shared" si="25"/>
        <v>Hip Replacement RevisionProviderROYAL BERKSHIRE NHS FOUNDATION TRUST (RHW)Oxford Hip Score</v>
      </c>
      <c r="C1611" t="s">
        <v>967</v>
      </c>
      <c r="D1611" t="s">
        <v>965</v>
      </c>
      <c r="E1611" t="s">
        <v>478</v>
      </c>
      <c r="F1611" t="s">
        <v>479</v>
      </c>
      <c r="G1611" t="s">
        <v>964</v>
      </c>
      <c r="H1611">
        <v>1</v>
      </c>
      <c r="I1611">
        <v>35</v>
      </c>
      <c r="J1611">
        <v>43</v>
      </c>
      <c r="K1611">
        <v>8</v>
      </c>
      <c r="L1611">
        <v>1</v>
      </c>
      <c r="M1611">
        <v>0</v>
      </c>
      <c r="N1611">
        <v>0</v>
      </c>
      <c r="O1611" t="s">
        <v>127</v>
      </c>
      <c r="P1611" t="s">
        <v>127</v>
      </c>
      <c r="Q1611" t="s">
        <v>127</v>
      </c>
    </row>
    <row r="1612" spans="1:17" x14ac:dyDescent="0.25">
      <c r="A1612" t="str">
        <f>IF(C1612&amp;G1612&amp;D1612&lt;&gt;'Funnel setup'!$K$3&amp;'Funnel setup'!$K$4&amp;'Funnel setup'!$K$6,".",IF(A1611=".",1,A1611+1))</f>
        <v>.</v>
      </c>
      <c r="B1612" s="244" t="str">
        <f t="shared" si="25"/>
        <v>Hip Replacement RevisionProviderROYAL CORNWALL HOSPITALS NHS TRUST (REF)Oxford Hip Score</v>
      </c>
      <c r="C1612" t="s">
        <v>967</v>
      </c>
      <c r="D1612" t="s">
        <v>965</v>
      </c>
      <c r="E1612" t="s">
        <v>480</v>
      </c>
      <c r="F1612" t="s">
        <v>481</v>
      </c>
      <c r="G1612" t="s">
        <v>964</v>
      </c>
      <c r="H1612">
        <v>5</v>
      </c>
      <c r="I1612">
        <v>26</v>
      </c>
      <c r="J1612">
        <v>38.799999999999997</v>
      </c>
      <c r="K1612">
        <v>12.8</v>
      </c>
      <c r="L1612">
        <v>5</v>
      </c>
      <c r="M1612">
        <v>0</v>
      </c>
      <c r="N1612">
        <v>0</v>
      </c>
      <c r="O1612" t="s">
        <v>127</v>
      </c>
      <c r="P1612" t="s">
        <v>127</v>
      </c>
      <c r="Q1612" t="s">
        <v>127</v>
      </c>
    </row>
    <row r="1613" spans="1:17" x14ac:dyDescent="0.25">
      <c r="A1613" t="str">
        <f>IF(C1613&amp;G1613&amp;D1613&lt;&gt;'Funnel setup'!$K$3&amp;'Funnel setup'!$K$4&amp;'Funnel setup'!$K$6,".",IF(A1612=".",1,A1612+1))</f>
        <v>.</v>
      </c>
      <c r="B1613" s="244" t="str">
        <f t="shared" si="25"/>
        <v>Hip Replacement RevisionProviderROYAL NATIONAL ORTHOPAEDIC HOSPITAL NHS TRUST (RAN)Oxford Hip Score</v>
      </c>
      <c r="C1613" t="s">
        <v>967</v>
      </c>
      <c r="D1613" t="s">
        <v>965</v>
      </c>
      <c r="E1613" t="s">
        <v>486</v>
      </c>
      <c r="F1613" t="s">
        <v>487</v>
      </c>
      <c r="G1613" t="s">
        <v>964</v>
      </c>
      <c r="H1613">
        <v>23</v>
      </c>
      <c r="I1613">
        <v>15.739100000000001</v>
      </c>
      <c r="J1613">
        <v>28.608699999999999</v>
      </c>
      <c r="K1613">
        <v>12.8696</v>
      </c>
      <c r="L1613">
        <v>21</v>
      </c>
      <c r="M1613">
        <v>0</v>
      </c>
      <c r="N1613">
        <v>2</v>
      </c>
      <c r="O1613" t="s">
        <v>127</v>
      </c>
      <c r="P1613" t="s">
        <v>127</v>
      </c>
      <c r="Q1613" t="s">
        <v>127</v>
      </c>
    </row>
    <row r="1614" spans="1:17" x14ac:dyDescent="0.25">
      <c r="A1614" t="str">
        <f>IF(C1614&amp;G1614&amp;D1614&lt;&gt;'Funnel setup'!$K$3&amp;'Funnel setup'!$K$4&amp;'Funnel setup'!$K$6,".",IF(A1613=".",1,A1613+1))</f>
        <v>.</v>
      </c>
      <c r="B1614" s="244" t="str">
        <f t="shared" si="25"/>
        <v>Hip Replacement RevisionProviderSANDWELL AND WEST BIRMINGHAM HOSPITALS NHS TRUST (RXK)Oxford Hip Score</v>
      </c>
      <c r="C1614" t="s">
        <v>967</v>
      </c>
      <c r="D1614" t="s">
        <v>965</v>
      </c>
      <c r="E1614" t="s">
        <v>496</v>
      </c>
      <c r="F1614" t="s">
        <v>497</v>
      </c>
      <c r="G1614" t="s">
        <v>964</v>
      </c>
      <c r="H1614">
        <v>1</v>
      </c>
      <c r="I1614">
        <v>14</v>
      </c>
      <c r="J1614">
        <v>17</v>
      </c>
      <c r="K1614">
        <v>3</v>
      </c>
      <c r="L1614">
        <v>1</v>
      </c>
      <c r="M1614">
        <v>0</v>
      </c>
      <c r="N1614">
        <v>0</v>
      </c>
      <c r="O1614" t="s">
        <v>127</v>
      </c>
      <c r="P1614" t="s">
        <v>127</v>
      </c>
      <c r="Q1614" t="s">
        <v>127</v>
      </c>
    </row>
    <row r="1615" spans="1:17" x14ac:dyDescent="0.25">
      <c r="A1615" t="str">
        <f>IF(C1615&amp;G1615&amp;D1615&lt;&gt;'Funnel setup'!$K$3&amp;'Funnel setup'!$K$4&amp;'Funnel setup'!$K$6,".",IF(A1614=".",1,A1614+1))</f>
        <v>.</v>
      </c>
      <c r="B1615" s="244" t="str">
        <f t="shared" si="25"/>
        <v>Hip Replacement RevisionProviderSHEFFIELD TEACHING HOSPITALS NHS FOUNDATION TRUST (RHQ)Oxford Hip Score</v>
      </c>
      <c r="C1615" t="s">
        <v>967</v>
      </c>
      <c r="D1615" t="s">
        <v>965</v>
      </c>
      <c r="E1615" t="s">
        <v>506</v>
      </c>
      <c r="F1615" t="s">
        <v>507</v>
      </c>
      <c r="G1615" t="s">
        <v>964</v>
      </c>
      <c r="H1615">
        <v>1</v>
      </c>
      <c r="I1615">
        <v>28</v>
      </c>
      <c r="J1615">
        <v>33</v>
      </c>
      <c r="K1615">
        <v>5</v>
      </c>
      <c r="L1615">
        <v>1</v>
      </c>
      <c r="M1615">
        <v>0</v>
      </c>
      <c r="N1615">
        <v>0</v>
      </c>
      <c r="O1615" t="s">
        <v>127</v>
      </c>
      <c r="P1615" t="s">
        <v>127</v>
      </c>
      <c r="Q1615" t="s">
        <v>127</v>
      </c>
    </row>
    <row r="1616" spans="1:17" x14ac:dyDescent="0.25">
      <c r="A1616" t="str">
        <f>IF(C1616&amp;G1616&amp;D1616&lt;&gt;'Funnel setup'!$K$3&amp;'Funnel setup'!$K$4&amp;'Funnel setup'!$K$6,".",IF(A1615=".",1,A1615+1))</f>
        <v>.</v>
      </c>
      <c r="B1616" s="244" t="str">
        <f t="shared" si="25"/>
        <v>Hip Replacement RevisionProviderSOUTH TEES HOSPITALS NHS FOUNDATION TRUST (RTR)Oxford Hip Score</v>
      </c>
      <c r="C1616" t="s">
        <v>967</v>
      </c>
      <c r="D1616" t="s">
        <v>965</v>
      </c>
      <c r="E1616" t="s">
        <v>516</v>
      </c>
      <c r="F1616" t="s">
        <v>517</v>
      </c>
      <c r="G1616" t="s">
        <v>964</v>
      </c>
      <c r="H1616">
        <v>10</v>
      </c>
      <c r="I1616">
        <v>18.5</v>
      </c>
      <c r="J1616">
        <v>38</v>
      </c>
      <c r="K1616">
        <v>19.5</v>
      </c>
      <c r="L1616">
        <v>9</v>
      </c>
      <c r="M1616">
        <v>0</v>
      </c>
      <c r="N1616">
        <v>1</v>
      </c>
      <c r="O1616" t="s">
        <v>127</v>
      </c>
      <c r="P1616" t="s">
        <v>127</v>
      </c>
      <c r="Q1616" t="s">
        <v>127</v>
      </c>
    </row>
    <row r="1617" spans="1:17" x14ac:dyDescent="0.25">
      <c r="A1617" t="str">
        <f>IF(C1617&amp;G1617&amp;D1617&lt;&gt;'Funnel setup'!$K$3&amp;'Funnel setup'!$K$4&amp;'Funnel setup'!$K$6,".",IF(A1616=".",1,A1616+1))</f>
        <v>.</v>
      </c>
      <c r="B1617" s="244" t="str">
        <f t="shared" si="25"/>
        <v>Hip Replacement RevisionProviderSOUTH TYNESIDE AND SUNDERLAND NHS FOUNDATION TRUST (R0B)Oxford Hip Score</v>
      </c>
      <c r="C1617" t="s">
        <v>967</v>
      </c>
      <c r="D1617" t="s">
        <v>965</v>
      </c>
      <c r="E1617" t="s">
        <v>518</v>
      </c>
      <c r="F1617" t="s">
        <v>519</v>
      </c>
      <c r="G1617" t="s">
        <v>964</v>
      </c>
      <c r="H1617">
        <v>1</v>
      </c>
      <c r="I1617">
        <v>27</v>
      </c>
      <c r="J1617">
        <v>48</v>
      </c>
      <c r="K1617">
        <v>21</v>
      </c>
      <c r="L1617">
        <v>1</v>
      </c>
      <c r="M1617">
        <v>0</v>
      </c>
      <c r="N1617">
        <v>0</v>
      </c>
      <c r="O1617" t="s">
        <v>127</v>
      </c>
      <c r="P1617" t="s">
        <v>127</v>
      </c>
      <c r="Q1617" t="s">
        <v>127</v>
      </c>
    </row>
    <row r="1618" spans="1:17" x14ac:dyDescent="0.25">
      <c r="A1618" t="str">
        <f>IF(C1618&amp;G1618&amp;D1618&lt;&gt;'Funnel setup'!$K$3&amp;'Funnel setup'!$K$4&amp;'Funnel setup'!$K$6,".",IF(A1617=".",1,A1617+1))</f>
        <v>.</v>
      </c>
      <c r="B1618" s="244" t="str">
        <f t="shared" si="25"/>
        <v>Hip Replacement RevisionProviderSOUTH WARWICKSHIRE UNIVERSITY NHS FOUNDATION TRUST (RJC)Oxford Hip Score</v>
      </c>
      <c r="C1618" t="s">
        <v>967</v>
      </c>
      <c r="D1618" t="s">
        <v>965</v>
      </c>
      <c r="E1618" t="s">
        <v>520</v>
      </c>
      <c r="F1618" t="s">
        <v>521</v>
      </c>
      <c r="G1618" t="s">
        <v>964</v>
      </c>
      <c r="H1618">
        <v>3</v>
      </c>
      <c r="I1618">
        <v>9.3333300000000001</v>
      </c>
      <c r="J1618">
        <v>27</v>
      </c>
      <c r="K1618">
        <v>17.666699999999999</v>
      </c>
      <c r="L1618">
        <v>3</v>
      </c>
      <c r="M1618">
        <v>0</v>
      </c>
      <c r="N1618">
        <v>0</v>
      </c>
      <c r="O1618" t="s">
        <v>127</v>
      </c>
      <c r="P1618" t="s">
        <v>127</v>
      </c>
      <c r="Q1618" t="s">
        <v>127</v>
      </c>
    </row>
    <row r="1619" spans="1:17" x14ac:dyDescent="0.25">
      <c r="A1619" t="str">
        <f>IF(C1619&amp;G1619&amp;D1619&lt;&gt;'Funnel setup'!$K$3&amp;'Funnel setup'!$K$4&amp;'Funnel setup'!$K$6,".",IF(A1618=".",1,A1618+1))</f>
        <v>.</v>
      </c>
      <c r="B1619" s="244" t="str">
        <f t="shared" si="25"/>
        <v>Hip Replacement RevisionProviderSPIRE GATWICK PARK HOSPITAL (NT308)Oxford Hip Score</v>
      </c>
      <c r="C1619" t="s">
        <v>967</v>
      </c>
      <c r="D1619" t="s">
        <v>965</v>
      </c>
      <c r="E1619" t="s">
        <v>546</v>
      </c>
      <c r="F1619" t="s">
        <v>547</v>
      </c>
      <c r="G1619" t="s">
        <v>964</v>
      </c>
      <c r="H1619" t="s">
        <v>127</v>
      </c>
      <c r="I1619" t="s">
        <v>127</v>
      </c>
      <c r="J1619" t="s">
        <v>127</v>
      </c>
      <c r="K1619" t="s">
        <v>127</v>
      </c>
      <c r="L1619" t="s">
        <v>127</v>
      </c>
      <c r="M1619" t="s">
        <v>127</v>
      </c>
      <c r="N1619" t="s">
        <v>127</v>
      </c>
      <c r="O1619" t="s">
        <v>127</v>
      </c>
      <c r="P1619" t="s">
        <v>127</v>
      </c>
      <c r="Q1619" t="s">
        <v>127</v>
      </c>
    </row>
    <row r="1620" spans="1:17" x14ac:dyDescent="0.25">
      <c r="A1620" t="str">
        <f>IF(C1620&amp;G1620&amp;D1620&lt;&gt;'Funnel setup'!$K$3&amp;'Funnel setup'!$K$4&amp;'Funnel setup'!$K$6,".",IF(A1619=".",1,A1619+1))</f>
        <v>.</v>
      </c>
      <c r="B1620" s="244" t="str">
        <f t="shared" si="25"/>
        <v>Hip Replacement RevisionProviderSPRINGFIELD HOSPITAL (NVC18)Oxford Hip Score</v>
      </c>
      <c r="C1620" t="s">
        <v>967</v>
      </c>
      <c r="D1620" t="s">
        <v>965</v>
      </c>
      <c r="E1620" t="s">
        <v>602</v>
      </c>
      <c r="F1620" t="s">
        <v>603</v>
      </c>
      <c r="G1620" t="s">
        <v>964</v>
      </c>
      <c r="H1620" t="s">
        <v>127</v>
      </c>
      <c r="I1620" t="s">
        <v>127</v>
      </c>
      <c r="J1620" t="s">
        <v>127</v>
      </c>
      <c r="K1620" t="s">
        <v>127</v>
      </c>
      <c r="L1620" t="s">
        <v>127</v>
      </c>
      <c r="M1620" t="s">
        <v>127</v>
      </c>
      <c r="N1620" t="s">
        <v>127</v>
      </c>
      <c r="O1620" t="s">
        <v>127</v>
      </c>
      <c r="P1620" t="s">
        <v>127</v>
      </c>
      <c r="Q1620" t="s">
        <v>127</v>
      </c>
    </row>
    <row r="1621" spans="1:17" x14ac:dyDescent="0.25">
      <c r="A1621" t="str">
        <f>IF(C1621&amp;G1621&amp;D1621&lt;&gt;'Funnel setup'!$K$3&amp;'Funnel setup'!$K$4&amp;'Funnel setup'!$K$6,".",IF(A1620=".",1,A1620+1))</f>
        <v>.</v>
      </c>
      <c r="B1621" s="244" t="str">
        <f t="shared" si="25"/>
        <v>Hip Replacement RevisionProviderST HELENS AND KNOWSLEY TEACHING HOSPITALS NHS TRUST (RBN)Oxford Hip Score</v>
      </c>
      <c r="C1621" t="s">
        <v>967</v>
      </c>
      <c r="D1621" t="s">
        <v>965</v>
      </c>
      <c r="E1621" t="s">
        <v>608</v>
      </c>
      <c r="F1621" t="s">
        <v>609</v>
      </c>
      <c r="G1621" t="s">
        <v>964</v>
      </c>
      <c r="H1621">
        <v>2</v>
      </c>
      <c r="I1621">
        <v>19.5</v>
      </c>
      <c r="J1621">
        <v>26</v>
      </c>
      <c r="K1621">
        <v>6.5</v>
      </c>
      <c r="L1621">
        <v>1</v>
      </c>
      <c r="M1621">
        <v>0</v>
      </c>
      <c r="N1621">
        <v>1</v>
      </c>
      <c r="O1621" t="s">
        <v>127</v>
      </c>
      <c r="P1621" t="s">
        <v>127</v>
      </c>
      <c r="Q1621" t="s">
        <v>127</v>
      </c>
    </row>
    <row r="1622" spans="1:17" x14ac:dyDescent="0.25">
      <c r="A1622" t="str">
        <f>IF(C1622&amp;G1622&amp;D1622&lt;&gt;'Funnel setup'!$K$3&amp;'Funnel setup'!$K$4&amp;'Funnel setup'!$K$6,".",IF(A1621=".",1,A1621+1))</f>
        <v>.</v>
      </c>
      <c r="B1622" s="244" t="str">
        <f t="shared" si="25"/>
        <v>Hip Replacement RevisionProviderSTOCKPORT NHS FOUNDATION TRUST (RWJ)Oxford Hip Score</v>
      </c>
      <c r="C1622" t="s">
        <v>967</v>
      </c>
      <c r="D1622" t="s">
        <v>965</v>
      </c>
      <c r="E1622" t="s">
        <v>614</v>
      </c>
      <c r="F1622" t="s">
        <v>615</v>
      </c>
      <c r="G1622" t="s">
        <v>964</v>
      </c>
      <c r="H1622">
        <v>7</v>
      </c>
      <c r="I1622">
        <v>23.285699999999999</v>
      </c>
      <c r="J1622">
        <v>29.714300000000001</v>
      </c>
      <c r="K1622">
        <v>6.4285699999999997</v>
      </c>
      <c r="L1622">
        <v>4</v>
      </c>
      <c r="M1622">
        <v>1</v>
      </c>
      <c r="N1622">
        <v>2</v>
      </c>
      <c r="O1622" t="s">
        <v>127</v>
      </c>
      <c r="P1622" t="s">
        <v>127</v>
      </c>
      <c r="Q1622" t="s">
        <v>127</v>
      </c>
    </row>
    <row r="1623" spans="1:17" x14ac:dyDescent="0.25">
      <c r="A1623" t="str">
        <f>IF(C1623&amp;G1623&amp;D1623&lt;&gt;'Funnel setup'!$K$3&amp;'Funnel setup'!$K$4&amp;'Funnel setup'!$K$6,".",IF(A1622=".",1,A1622+1))</f>
        <v>.</v>
      </c>
      <c r="B1623" s="244" t="str">
        <f t="shared" si="25"/>
        <v>Hip Replacement RevisionProviderSURREY AND SUSSEX HEALTHCARE NHS TRUST (RTP)Oxford Hip Score</v>
      </c>
      <c r="C1623" t="s">
        <v>967</v>
      </c>
      <c r="D1623" t="s">
        <v>965</v>
      </c>
      <c r="E1623" t="s">
        <v>618</v>
      </c>
      <c r="F1623" t="s">
        <v>619</v>
      </c>
      <c r="G1623" t="s">
        <v>964</v>
      </c>
      <c r="H1623">
        <v>6</v>
      </c>
      <c r="I1623">
        <v>18.833300000000001</v>
      </c>
      <c r="J1623">
        <v>36.833300000000001</v>
      </c>
      <c r="K1623">
        <v>18</v>
      </c>
      <c r="L1623">
        <v>5</v>
      </c>
      <c r="M1623">
        <v>0</v>
      </c>
      <c r="N1623">
        <v>1</v>
      </c>
      <c r="O1623" t="s">
        <v>127</v>
      </c>
      <c r="P1623" t="s">
        <v>127</v>
      </c>
      <c r="Q1623" t="s">
        <v>127</v>
      </c>
    </row>
    <row r="1624" spans="1:17" x14ac:dyDescent="0.25">
      <c r="A1624" t="str">
        <f>IF(C1624&amp;G1624&amp;D1624&lt;&gt;'Funnel setup'!$K$3&amp;'Funnel setup'!$K$4&amp;'Funnel setup'!$K$6,".",IF(A1623=".",1,A1623+1))</f>
        <v>.</v>
      </c>
      <c r="B1624" s="244" t="str">
        <f t="shared" si="25"/>
        <v>Hip Replacement RevisionProviderTHE HILLINGDON HOSPITALS NHS FOUNDATION TRUST (RAS)Oxford Hip Score</v>
      </c>
      <c r="C1624" t="s">
        <v>967</v>
      </c>
      <c r="D1624" t="s">
        <v>965</v>
      </c>
      <c r="E1624" t="s">
        <v>632</v>
      </c>
      <c r="F1624" t="s">
        <v>633</v>
      </c>
      <c r="G1624" t="s">
        <v>964</v>
      </c>
      <c r="H1624">
        <v>1</v>
      </c>
      <c r="I1624">
        <v>12</v>
      </c>
      <c r="J1624">
        <v>25</v>
      </c>
      <c r="K1624">
        <v>13</v>
      </c>
      <c r="L1624">
        <v>1</v>
      </c>
      <c r="M1624">
        <v>0</v>
      </c>
      <c r="N1624">
        <v>0</v>
      </c>
      <c r="O1624" t="s">
        <v>127</v>
      </c>
      <c r="P1624" t="s">
        <v>127</v>
      </c>
      <c r="Q1624" t="s">
        <v>127</v>
      </c>
    </row>
    <row r="1625" spans="1:17" x14ac:dyDescent="0.25">
      <c r="A1625" t="str">
        <f>IF(C1625&amp;G1625&amp;D1625&lt;&gt;'Funnel setup'!$K$3&amp;'Funnel setup'!$K$4&amp;'Funnel setup'!$K$6,".",IF(A1624=".",1,A1624+1))</f>
        <v>.</v>
      </c>
      <c r="B1625" s="244" t="str">
        <f t="shared" si="25"/>
        <v>Hip Replacement RevisionProviderTHE HORDER CENTRE - ST JOHNS ROAD (NXM01)Oxford Hip Score</v>
      </c>
      <c r="C1625" t="s">
        <v>967</v>
      </c>
      <c r="D1625" t="s">
        <v>965</v>
      </c>
      <c r="E1625" t="s">
        <v>634</v>
      </c>
      <c r="F1625" t="s">
        <v>635</v>
      </c>
      <c r="G1625" t="s">
        <v>964</v>
      </c>
      <c r="H1625">
        <v>8</v>
      </c>
      <c r="I1625">
        <v>24.875</v>
      </c>
      <c r="J1625">
        <v>34.625</v>
      </c>
      <c r="K1625">
        <v>9.75</v>
      </c>
      <c r="L1625">
        <v>6</v>
      </c>
      <c r="M1625">
        <v>0</v>
      </c>
      <c r="N1625">
        <v>2</v>
      </c>
      <c r="O1625" t="s">
        <v>127</v>
      </c>
      <c r="P1625" t="s">
        <v>127</v>
      </c>
      <c r="Q1625" t="s">
        <v>127</v>
      </c>
    </row>
    <row r="1626" spans="1:17" x14ac:dyDescent="0.25">
      <c r="A1626" t="str">
        <f>IF(C1626&amp;G1626&amp;D1626&lt;&gt;'Funnel setup'!$K$3&amp;'Funnel setup'!$K$4&amp;'Funnel setup'!$K$6,".",IF(A1625=".",1,A1625+1))</f>
        <v>.</v>
      </c>
      <c r="B1626" s="244" t="str">
        <f t="shared" si="25"/>
        <v>Hip Replacement RevisionProviderTHE NEWCASTLE UPON TYNE HOSPITALS NHS FOUNDATION TRUST (RTD)Oxford Hip Score</v>
      </c>
      <c r="C1626" t="s">
        <v>967</v>
      </c>
      <c r="D1626" t="s">
        <v>965</v>
      </c>
      <c r="E1626" t="s">
        <v>638</v>
      </c>
      <c r="F1626" t="s">
        <v>639</v>
      </c>
      <c r="G1626" t="s">
        <v>964</v>
      </c>
      <c r="H1626">
        <v>4</v>
      </c>
      <c r="I1626">
        <v>26.75</v>
      </c>
      <c r="J1626">
        <v>38.5</v>
      </c>
      <c r="K1626">
        <v>11.75</v>
      </c>
      <c r="L1626">
        <v>4</v>
      </c>
      <c r="M1626">
        <v>0</v>
      </c>
      <c r="N1626">
        <v>0</v>
      </c>
      <c r="O1626" t="s">
        <v>127</v>
      </c>
      <c r="P1626" t="s">
        <v>127</v>
      </c>
      <c r="Q1626" t="s">
        <v>127</v>
      </c>
    </row>
    <row r="1627" spans="1:17" x14ac:dyDescent="0.25">
      <c r="A1627" t="str">
        <f>IF(C1627&amp;G1627&amp;D1627&lt;&gt;'Funnel setup'!$K$3&amp;'Funnel setup'!$K$4&amp;'Funnel setup'!$K$6,".",IF(A1626=".",1,A1626+1))</f>
        <v>.</v>
      </c>
      <c r="B1627" s="244" t="str">
        <f t="shared" si="25"/>
        <v>Hip Replacement RevisionProviderTHE PRINCESS ALEXANDRA HOSPITAL NHS TRUST (RQW)Oxford Hip Score</v>
      </c>
      <c r="C1627" t="s">
        <v>967</v>
      </c>
      <c r="D1627" t="s">
        <v>965</v>
      </c>
      <c r="E1627" t="s">
        <v>640</v>
      </c>
      <c r="F1627" t="s">
        <v>641</v>
      </c>
      <c r="G1627" t="s">
        <v>964</v>
      </c>
      <c r="H1627">
        <v>2</v>
      </c>
      <c r="I1627">
        <v>16</v>
      </c>
      <c r="J1627">
        <v>23</v>
      </c>
      <c r="K1627">
        <v>7</v>
      </c>
      <c r="L1627">
        <v>1</v>
      </c>
      <c r="M1627">
        <v>0</v>
      </c>
      <c r="N1627">
        <v>1</v>
      </c>
      <c r="O1627" t="s">
        <v>127</v>
      </c>
      <c r="P1627" t="s">
        <v>127</v>
      </c>
      <c r="Q1627" t="s">
        <v>127</v>
      </c>
    </row>
    <row r="1628" spans="1:17" x14ac:dyDescent="0.25">
      <c r="A1628" t="str">
        <f>IF(C1628&amp;G1628&amp;D1628&lt;&gt;'Funnel setup'!$K$3&amp;'Funnel setup'!$K$4&amp;'Funnel setup'!$K$6,".",IF(A1627=".",1,A1627+1))</f>
        <v>.</v>
      </c>
      <c r="B1628" s="244" t="str">
        <f t="shared" si="25"/>
        <v>Hip Replacement RevisionProviderTHE QUEEN ELIZABETH HOSPITAL, KING'S LYNN, NHS FOUNDATION TRUST (RCX)Oxford Hip Score</v>
      </c>
      <c r="C1628" t="s">
        <v>967</v>
      </c>
      <c r="D1628" t="s">
        <v>965</v>
      </c>
      <c r="E1628" t="s">
        <v>644</v>
      </c>
      <c r="F1628" t="s">
        <v>645</v>
      </c>
      <c r="G1628" t="s">
        <v>964</v>
      </c>
      <c r="H1628">
        <v>1</v>
      </c>
      <c r="I1628">
        <v>15</v>
      </c>
      <c r="J1628">
        <v>44</v>
      </c>
      <c r="K1628">
        <v>29</v>
      </c>
      <c r="L1628">
        <v>1</v>
      </c>
      <c r="M1628">
        <v>0</v>
      </c>
      <c r="N1628">
        <v>0</v>
      </c>
      <c r="O1628" t="s">
        <v>127</v>
      </c>
      <c r="P1628" t="s">
        <v>127</v>
      </c>
      <c r="Q1628" t="s">
        <v>127</v>
      </c>
    </row>
    <row r="1629" spans="1:17" x14ac:dyDescent="0.25">
      <c r="A1629" t="str">
        <f>IF(C1629&amp;G1629&amp;D1629&lt;&gt;'Funnel setup'!$K$3&amp;'Funnel setup'!$K$4&amp;'Funnel setup'!$K$6,".",IF(A1628=".",1,A1628+1))</f>
        <v>.</v>
      </c>
      <c r="B1629" s="244" t="str">
        <f t="shared" si="25"/>
        <v>Hip Replacement RevisionProviderTHE ROBERT JONES AND AGNES HUNT ORTHOPAEDIC HOSPITAL NHS FOUNDATION TRUST (RL1)Oxford Hip Score</v>
      </c>
      <c r="C1629" t="s">
        <v>967</v>
      </c>
      <c r="D1629" t="s">
        <v>965</v>
      </c>
      <c r="E1629" t="s">
        <v>646</v>
      </c>
      <c r="F1629" t="s">
        <v>647</v>
      </c>
      <c r="G1629" t="s">
        <v>964</v>
      </c>
      <c r="H1629">
        <v>26</v>
      </c>
      <c r="I1629">
        <v>17.923100000000002</v>
      </c>
      <c r="J1629">
        <v>37.884599999999999</v>
      </c>
      <c r="K1629">
        <v>19.961500000000001</v>
      </c>
      <c r="L1629">
        <v>25</v>
      </c>
      <c r="M1629">
        <v>0</v>
      </c>
      <c r="N1629">
        <v>1</v>
      </c>
      <c r="O1629" t="s">
        <v>127</v>
      </c>
      <c r="P1629" t="s">
        <v>127</v>
      </c>
      <c r="Q1629" t="s">
        <v>127</v>
      </c>
    </row>
    <row r="1630" spans="1:17" x14ac:dyDescent="0.25">
      <c r="A1630" t="str">
        <f>IF(C1630&amp;G1630&amp;D1630&lt;&gt;'Funnel setup'!$K$3&amp;'Funnel setup'!$K$4&amp;'Funnel setup'!$K$6,".",IF(A1629=".",1,A1629+1))</f>
        <v>.</v>
      </c>
      <c r="B1630" s="244" t="str">
        <f t="shared" si="25"/>
        <v>Hip Replacement RevisionProviderTHE ROYAL ORTHOPAEDIC HOSPITAL NHS FOUNDATION TRUST (RRJ)Oxford Hip Score</v>
      </c>
      <c r="C1630" t="s">
        <v>967</v>
      </c>
      <c r="D1630" t="s">
        <v>965</v>
      </c>
      <c r="E1630" t="s">
        <v>652</v>
      </c>
      <c r="F1630" t="s">
        <v>653</v>
      </c>
      <c r="G1630" t="s">
        <v>964</v>
      </c>
      <c r="H1630">
        <v>46</v>
      </c>
      <c r="I1630">
        <v>20.282599999999999</v>
      </c>
      <c r="J1630">
        <v>34.5</v>
      </c>
      <c r="K1630">
        <v>14.2174</v>
      </c>
      <c r="L1630">
        <v>39</v>
      </c>
      <c r="M1630">
        <v>1</v>
      </c>
      <c r="N1630">
        <v>6</v>
      </c>
      <c r="O1630">
        <v>33.956899999999997</v>
      </c>
      <c r="P1630">
        <v>13.724</v>
      </c>
      <c r="Q1630">
        <v>9.9492100000000008</v>
      </c>
    </row>
    <row r="1631" spans="1:17" x14ac:dyDescent="0.25">
      <c r="A1631" t="str">
        <f>IF(C1631&amp;G1631&amp;D1631&lt;&gt;'Funnel setup'!$K$3&amp;'Funnel setup'!$K$4&amp;'Funnel setup'!$K$6,".",IF(A1630=".",1,A1630+1))</f>
        <v>.</v>
      </c>
      <c r="B1631" s="244" t="str">
        <f t="shared" si="25"/>
        <v>Hip Replacement RevisionProviderTHE ROYAL WOLVERHAMPTON NHS TRUST (RL4)Oxford Hip Score</v>
      </c>
      <c r="C1631" t="s">
        <v>967</v>
      </c>
      <c r="D1631" t="s">
        <v>965</v>
      </c>
      <c r="E1631" t="s">
        <v>654</v>
      </c>
      <c r="F1631" t="s">
        <v>655</v>
      </c>
      <c r="G1631" t="s">
        <v>964</v>
      </c>
      <c r="H1631">
        <v>1</v>
      </c>
      <c r="I1631">
        <v>15</v>
      </c>
      <c r="J1631">
        <v>48</v>
      </c>
      <c r="K1631">
        <v>33</v>
      </c>
      <c r="L1631">
        <v>1</v>
      </c>
      <c r="M1631">
        <v>0</v>
      </c>
      <c r="N1631">
        <v>0</v>
      </c>
      <c r="O1631" t="s">
        <v>127</v>
      </c>
      <c r="P1631" t="s">
        <v>127</v>
      </c>
      <c r="Q1631" t="s">
        <v>127</v>
      </c>
    </row>
    <row r="1632" spans="1:17" x14ac:dyDescent="0.25">
      <c r="A1632" t="str">
        <f>IF(C1632&amp;G1632&amp;D1632&lt;&gt;'Funnel setup'!$K$3&amp;'Funnel setup'!$K$4&amp;'Funnel setup'!$K$6,".",IF(A1631=".",1,A1631+1))</f>
        <v>.</v>
      </c>
      <c r="B1632" s="244" t="str">
        <f t="shared" si="25"/>
        <v>Hip Replacement RevisionProviderTORBAY AND SOUTH DEVON NHS FOUNDATION TRUST (RA9)Oxford Hip Score</v>
      </c>
      <c r="C1632" t="s">
        <v>967</v>
      </c>
      <c r="D1632" t="s">
        <v>965</v>
      </c>
      <c r="E1632" t="s">
        <v>668</v>
      </c>
      <c r="F1632" t="s">
        <v>669</v>
      </c>
      <c r="G1632" t="s">
        <v>964</v>
      </c>
      <c r="H1632">
        <v>3</v>
      </c>
      <c r="I1632">
        <v>26.333300000000001</v>
      </c>
      <c r="J1632">
        <v>37.333300000000001</v>
      </c>
      <c r="K1632">
        <v>11</v>
      </c>
      <c r="L1632">
        <v>3</v>
      </c>
      <c r="M1632">
        <v>0</v>
      </c>
      <c r="N1632">
        <v>0</v>
      </c>
      <c r="O1632" t="s">
        <v>127</v>
      </c>
      <c r="P1632" t="s">
        <v>127</v>
      </c>
      <c r="Q1632" t="s">
        <v>127</v>
      </c>
    </row>
    <row r="1633" spans="1:17" x14ac:dyDescent="0.25">
      <c r="A1633" t="str">
        <f>IF(C1633&amp;G1633&amp;D1633&lt;&gt;'Funnel setup'!$K$3&amp;'Funnel setup'!$K$4&amp;'Funnel setup'!$K$6,".",IF(A1632=".",1,A1632+1))</f>
        <v>.</v>
      </c>
      <c r="B1633" s="244" t="str">
        <f t="shared" si="25"/>
        <v>Hip Replacement RevisionProviderUNIVERSITY COLLEGE LONDON HOSPITALS NHS FOUNDATION TRUST (RRV)Oxford Hip Score</v>
      </c>
      <c r="C1633" t="s">
        <v>967</v>
      </c>
      <c r="D1633" t="s">
        <v>965</v>
      </c>
      <c r="E1633" t="s">
        <v>674</v>
      </c>
      <c r="F1633" t="s">
        <v>675</v>
      </c>
      <c r="G1633" t="s">
        <v>964</v>
      </c>
      <c r="H1633">
        <v>9</v>
      </c>
      <c r="I1633">
        <v>28.8889</v>
      </c>
      <c r="J1633">
        <v>38.333300000000001</v>
      </c>
      <c r="K1633">
        <v>9.4444400000000002</v>
      </c>
      <c r="L1633">
        <v>6</v>
      </c>
      <c r="M1633">
        <v>2</v>
      </c>
      <c r="N1633">
        <v>1</v>
      </c>
      <c r="O1633" t="s">
        <v>127</v>
      </c>
      <c r="P1633" t="s">
        <v>127</v>
      </c>
      <c r="Q1633" t="s">
        <v>127</v>
      </c>
    </row>
    <row r="1634" spans="1:17" x14ac:dyDescent="0.25">
      <c r="A1634" t="str">
        <f>IF(C1634&amp;G1634&amp;D1634&lt;&gt;'Funnel setup'!$K$3&amp;'Funnel setup'!$K$4&amp;'Funnel setup'!$K$6,".",IF(A1633=".",1,A1633+1))</f>
        <v>.</v>
      </c>
      <c r="B1634" s="244" t="str">
        <f t="shared" si="25"/>
        <v>Hip Replacement RevisionProviderUNIVERSITY HOSPITAL SOUTHAMPTON NHS FOUNDATION TRUST (RHM)Oxford Hip Score</v>
      </c>
      <c r="C1634" t="s">
        <v>967</v>
      </c>
      <c r="D1634" t="s">
        <v>965</v>
      </c>
      <c r="E1634" t="s">
        <v>676</v>
      </c>
      <c r="F1634" t="s">
        <v>677</v>
      </c>
      <c r="G1634" t="s">
        <v>964</v>
      </c>
      <c r="H1634">
        <v>7</v>
      </c>
      <c r="I1634">
        <v>22.285699999999999</v>
      </c>
      <c r="J1634">
        <v>36.857100000000003</v>
      </c>
      <c r="K1634">
        <v>14.571400000000001</v>
      </c>
      <c r="L1634">
        <v>5</v>
      </c>
      <c r="M1634">
        <v>0</v>
      </c>
      <c r="N1634">
        <v>2</v>
      </c>
      <c r="O1634" t="s">
        <v>127</v>
      </c>
      <c r="P1634" t="s">
        <v>127</v>
      </c>
      <c r="Q1634" t="s">
        <v>127</v>
      </c>
    </row>
    <row r="1635" spans="1:17" x14ac:dyDescent="0.25">
      <c r="A1635" t="str">
        <f>IF(C1635&amp;G1635&amp;D1635&lt;&gt;'Funnel setup'!$K$3&amp;'Funnel setup'!$K$4&amp;'Funnel setup'!$K$6,".",IF(A1634=".",1,A1634+1))</f>
        <v>.</v>
      </c>
      <c r="B1635" s="244" t="str">
        <f t="shared" si="25"/>
        <v>Hip Replacement RevisionProviderUNIVERSITY HOSPITALS BRISTOL AND WESTON NHS FOUNDATION TRUST (RA7)Oxford Hip Score</v>
      </c>
      <c r="C1635" t="s">
        <v>967</v>
      </c>
      <c r="D1635" t="s">
        <v>965</v>
      </c>
      <c r="E1635" t="s">
        <v>680</v>
      </c>
      <c r="F1635" t="s">
        <v>681</v>
      </c>
      <c r="G1635" t="s">
        <v>964</v>
      </c>
      <c r="H1635" t="s">
        <v>127</v>
      </c>
      <c r="I1635" t="s">
        <v>127</v>
      </c>
      <c r="J1635" t="s">
        <v>127</v>
      </c>
      <c r="K1635" t="s">
        <v>127</v>
      </c>
      <c r="L1635" t="s">
        <v>127</v>
      </c>
      <c r="M1635" t="s">
        <v>127</v>
      </c>
      <c r="N1635" t="s">
        <v>127</v>
      </c>
      <c r="O1635" t="s">
        <v>127</v>
      </c>
      <c r="P1635" t="s">
        <v>127</v>
      </c>
      <c r="Q1635" t="s">
        <v>127</v>
      </c>
    </row>
    <row r="1636" spans="1:17" x14ac:dyDescent="0.25">
      <c r="A1636" t="str">
        <f>IF(C1636&amp;G1636&amp;D1636&lt;&gt;'Funnel setup'!$K$3&amp;'Funnel setup'!$K$4&amp;'Funnel setup'!$K$6,".",IF(A1635=".",1,A1635+1))</f>
        <v>.</v>
      </c>
      <c r="B1636" s="244" t="str">
        <f t="shared" si="25"/>
        <v>Hip Replacement RevisionProviderUNIVERSITY HOSPITALS COVENTRY AND WARWICKSHIRE NHS TRUST (RKB)Oxford Hip Score</v>
      </c>
      <c r="C1636" t="s">
        <v>967</v>
      </c>
      <c r="D1636" t="s">
        <v>965</v>
      </c>
      <c r="E1636" t="s">
        <v>682</v>
      </c>
      <c r="F1636" t="s">
        <v>683</v>
      </c>
      <c r="G1636" t="s">
        <v>964</v>
      </c>
      <c r="H1636">
        <v>2</v>
      </c>
      <c r="I1636">
        <v>14</v>
      </c>
      <c r="J1636">
        <v>29.5</v>
      </c>
      <c r="K1636">
        <v>15.5</v>
      </c>
      <c r="L1636">
        <v>1</v>
      </c>
      <c r="M1636">
        <v>0</v>
      </c>
      <c r="N1636">
        <v>1</v>
      </c>
      <c r="O1636" t="s">
        <v>127</v>
      </c>
      <c r="P1636" t="s">
        <v>127</v>
      </c>
      <c r="Q1636" t="s">
        <v>127</v>
      </c>
    </row>
    <row r="1637" spans="1:17" x14ac:dyDescent="0.25">
      <c r="A1637" t="str">
        <f>IF(C1637&amp;G1637&amp;D1637&lt;&gt;'Funnel setup'!$K$3&amp;'Funnel setup'!$K$4&amp;'Funnel setup'!$K$6,".",IF(A1636=".",1,A1636+1))</f>
        <v>.</v>
      </c>
      <c r="B1637" s="244" t="str">
        <f t="shared" si="25"/>
        <v>Hip Replacement RevisionProviderUNIVERSITY HOSPITAL DORSET NHS FUNDATION TRUST (R0D)Oxford Hip Score</v>
      </c>
      <c r="C1637" t="s">
        <v>967</v>
      </c>
      <c r="D1637" t="s">
        <v>965</v>
      </c>
      <c r="E1637" t="s">
        <v>684</v>
      </c>
      <c r="F1637" t="s">
        <v>966</v>
      </c>
      <c r="G1637" t="s">
        <v>964</v>
      </c>
      <c r="H1637">
        <v>12</v>
      </c>
      <c r="I1637">
        <v>22.916699999999999</v>
      </c>
      <c r="J1637">
        <v>36</v>
      </c>
      <c r="K1637">
        <v>13.083299999999999</v>
      </c>
      <c r="L1637">
        <v>8</v>
      </c>
      <c r="M1637">
        <v>3</v>
      </c>
      <c r="N1637">
        <v>1</v>
      </c>
      <c r="O1637" t="s">
        <v>127</v>
      </c>
      <c r="P1637" t="s">
        <v>127</v>
      </c>
      <c r="Q1637" t="s">
        <v>127</v>
      </c>
    </row>
    <row r="1638" spans="1:17" x14ac:dyDescent="0.25">
      <c r="A1638" t="str">
        <f>IF(C1638&amp;G1638&amp;D1638&lt;&gt;'Funnel setup'!$K$3&amp;'Funnel setup'!$K$4&amp;'Funnel setup'!$K$6,".",IF(A1637=".",1,A1637+1))</f>
        <v>.</v>
      </c>
      <c r="B1638" s="244" t="str">
        <f t="shared" si="25"/>
        <v>Hip Replacement RevisionProviderUNIVERSITY HOSPITALS OF DERBY AND BURTON NHS FOUNDATION TRUST (RTG)Oxford Hip Score</v>
      </c>
      <c r="C1638" t="s">
        <v>967</v>
      </c>
      <c r="D1638" t="s">
        <v>965</v>
      </c>
      <c r="E1638" t="s">
        <v>686</v>
      </c>
      <c r="F1638" t="s">
        <v>687</v>
      </c>
      <c r="G1638" t="s">
        <v>964</v>
      </c>
      <c r="H1638">
        <v>21</v>
      </c>
      <c r="I1638">
        <v>21.476199999999999</v>
      </c>
      <c r="J1638">
        <v>35.333300000000001</v>
      </c>
      <c r="K1638">
        <v>13.857100000000001</v>
      </c>
      <c r="L1638">
        <v>17</v>
      </c>
      <c r="M1638">
        <v>1</v>
      </c>
      <c r="N1638">
        <v>3</v>
      </c>
      <c r="O1638" t="s">
        <v>127</v>
      </c>
      <c r="P1638" t="s">
        <v>127</v>
      </c>
      <c r="Q1638" t="s">
        <v>127</v>
      </c>
    </row>
    <row r="1639" spans="1:17" x14ac:dyDescent="0.25">
      <c r="A1639" t="str">
        <f>IF(C1639&amp;G1639&amp;D1639&lt;&gt;'Funnel setup'!$K$3&amp;'Funnel setup'!$K$4&amp;'Funnel setup'!$K$6,".",IF(A1638=".",1,A1638+1))</f>
        <v>.</v>
      </c>
      <c r="B1639" s="244" t="str">
        <f t="shared" si="25"/>
        <v>Hip Replacement RevisionProviderUNIVERSITY HOSPITALS OF LEICESTER NHS TRUST (RWE)Oxford Hip Score</v>
      </c>
      <c r="C1639" t="s">
        <v>967</v>
      </c>
      <c r="D1639" t="s">
        <v>965</v>
      </c>
      <c r="E1639" t="s">
        <v>688</v>
      </c>
      <c r="F1639" t="s">
        <v>689</v>
      </c>
      <c r="G1639" t="s">
        <v>964</v>
      </c>
      <c r="H1639">
        <v>16</v>
      </c>
      <c r="I1639">
        <v>19.875</v>
      </c>
      <c r="J1639">
        <v>34.3125</v>
      </c>
      <c r="K1639">
        <v>14.4375</v>
      </c>
      <c r="L1639">
        <v>13</v>
      </c>
      <c r="M1639">
        <v>1</v>
      </c>
      <c r="N1639">
        <v>2</v>
      </c>
      <c r="O1639" t="s">
        <v>127</v>
      </c>
      <c r="P1639" t="s">
        <v>127</v>
      </c>
      <c r="Q1639" t="s">
        <v>127</v>
      </c>
    </row>
    <row r="1640" spans="1:17" x14ac:dyDescent="0.25">
      <c r="A1640" t="str">
        <f>IF(C1640&amp;G1640&amp;D1640&lt;&gt;'Funnel setup'!$K$3&amp;'Funnel setup'!$K$4&amp;'Funnel setup'!$K$6,".",IF(A1639=".",1,A1639+1))</f>
        <v>.</v>
      </c>
      <c r="B1640" s="244" t="str">
        <f t="shared" si="25"/>
        <v>Hip Replacement RevisionProviderUNIVERSITY HOSPITALS OF MORECAMBE BAY NHS FOUNDATION TRUST (RTX)Oxford Hip Score</v>
      </c>
      <c r="C1640" t="s">
        <v>967</v>
      </c>
      <c r="D1640" t="s">
        <v>965</v>
      </c>
      <c r="E1640" t="s">
        <v>690</v>
      </c>
      <c r="F1640" t="s">
        <v>691</v>
      </c>
      <c r="G1640" t="s">
        <v>964</v>
      </c>
      <c r="H1640">
        <v>8</v>
      </c>
      <c r="I1640">
        <v>19</v>
      </c>
      <c r="J1640">
        <v>35</v>
      </c>
      <c r="K1640">
        <v>16</v>
      </c>
      <c r="L1640">
        <v>7</v>
      </c>
      <c r="M1640">
        <v>0</v>
      </c>
      <c r="N1640">
        <v>1</v>
      </c>
      <c r="O1640" t="s">
        <v>127</v>
      </c>
      <c r="P1640" t="s">
        <v>127</v>
      </c>
      <c r="Q1640" t="s">
        <v>127</v>
      </c>
    </row>
    <row r="1641" spans="1:17" x14ac:dyDescent="0.25">
      <c r="A1641" t="str">
        <f>IF(C1641&amp;G1641&amp;D1641&lt;&gt;'Funnel setup'!$K$3&amp;'Funnel setup'!$K$4&amp;'Funnel setup'!$K$6,".",IF(A1640=".",1,A1640+1))</f>
        <v>.</v>
      </c>
      <c r="B1641" s="244" t="str">
        <f t="shared" si="25"/>
        <v>Hip Replacement RevisionProviderUNIVERSITY HOSPITALS PLYMOUTH NHS TRUST (RK9)Oxford Hip Score</v>
      </c>
      <c r="C1641" t="s">
        <v>967</v>
      </c>
      <c r="D1641" t="s">
        <v>965</v>
      </c>
      <c r="E1641" t="s">
        <v>694</v>
      </c>
      <c r="F1641" t="s">
        <v>695</v>
      </c>
      <c r="G1641" t="s">
        <v>964</v>
      </c>
      <c r="H1641">
        <v>2</v>
      </c>
      <c r="I1641">
        <v>11</v>
      </c>
      <c r="J1641">
        <v>10</v>
      </c>
      <c r="K1641">
        <v>-1</v>
      </c>
      <c r="L1641">
        <v>1</v>
      </c>
      <c r="M1641">
        <v>0</v>
      </c>
      <c r="N1641">
        <v>1</v>
      </c>
      <c r="O1641" t="s">
        <v>127</v>
      </c>
      <c r="P1641" t="s">
        <v>127</v>
      </c>
      <c r="Q1641" t="s">
        <v>127</v>
      </c>
    </row>
    <row r="1642" spans="1:17" x14ac:dyDescent="0.25">
      <c r="A1642" t="str">
        <f>IF(C1642&amp;G1642&amp;D1642&lt;&gt;'Funnel setup'!$K$3&amp;'Funnel setup'!$K$4&amp;'Funnel setup'!$K$6,".",IF(A1641=".",1,A1641+1))</f>
        <v>.</v>
      </c>
      <c r="B1642" s="244" t="str">
        <f t="shared" si="25"/>
        <v>Hip Replacement RevisionProviderUNIVERSITY HOSPITALS SUSSEX NHS FOUNDATION TRUST (RYR)Oxford Hip Score</v>
      </c>
      <c r="C1642" t="s">
        <v>967</v>
      </c>
      <c r="D1642" t="s">
        <v>965</v>
      </c>
      <c r="E1642" t="s">
        <v>696</v>
      </c>
      <c r="F1642" t="s">
        <v>697</v>
      </c>
      <c r="G1642" t="s">
        <v>964</v>
      </c>
      <c r="H1642">
        <v>14</v>
      </c>
      <c r="I1642">
        <v>18.928599999999999</v>
      </c>
      <c r="J1642">
        <v>29.928599999999999</v>
      </c>
      <c r="K1642">
        <v>11</v>
      </c>
      <c r="L1642">
        <v>11</v>
      </c>
      <c r="M1642">
        <v>2</v>
      </c>
      <c r="N1642">
        <v>1</v>
      </c>
      <c r="O1642" t="s">
        <v>127</v>
      </c>
      <c r="P1642" t="s">
        <v>127</v>
      </c>
      <c r="Q1642" t="s">
        <v>127</v>
      </c>
    </row>
    <row r="1643" spans="1:17" x14ac:dyDescent="0.25">
      <c r="A1643" t="str">
        <f>IF(C1643&amp;G1643&amp;D1643&lt;&gt;'Funnel setup'!$K$3&amp;'Funnel setup'!$K$4&amp;'Funnel setup'!$K$6,".",IF(A1642=".",1,A1642+1))</f>
        <v>.</v>
      </c>
      <c r="B1643" s="244" t="str">
        <f t="shared" si="25"/>
        <v>Hip Replacement RevisionProviderWARRINGTON AND HALTON TEACHING HOSPITALS NHS FOUNDATION TRUST (RWW)Oxford Hip Score</v>
      </c>
      <c r="C1643" t="s">
        <v>967</v>
      </c>
      <c r="D1643" t="s">
        <v>965</v>
      </c>
      <c r="E1643" t="s">
        <v>700</v>
      </c>
      <c r="F1643" t="s">
        <v>701</v>
      </c>
      <c r="G1643" t="s">
        <v>964</v>
      </c>
      <c r="H1643">
        <v>1</v>
      </c>
      <c r="I1643">
        <v>15</v>
      </c>
      <c r="J1643">
        <v>20</v>
      </c>
      <c r="K1643">
        <v>5</v>
      </c>
      <c r="L1643">
        <v>1</v>
      </c>
      <c r="M1643">
        <v>0</v>
      </c>
      <c r="N1643">
        <v>0</v>
      </c>
      <c r="O1643" t="s">
        <v>127</v>
      </c>
      <c r="P1643" t="s">
        <v>127</v>
      </c>
      <c r="Q1643" t="s">
        <v>127</v>
      </c>
    </row>
    <row r="1644" spans="1:17" x14ac:dyDescent="0.25">
      <c r="A1644" t="str">
        <f>IF(C1644&amp;G1644&amp;D1644&lt;&gt;'Funnel setup'!$K$3&amp;'Funnel setup'!$K$4&amp;'Funnel setup'!$K$6,".",IF(A1643=".",1,A1643+1))</f>
        <v>.</v>
      </c>
      <c r="B1644" s="244" t="str">
        <f t="shared" si="25"/>
        <v>Hip Replacement RevisionProviderWEST HERTFORDSHIRE TEACHING HOSPITALS NHS TRUST (RWG)Oxford Hip Score</v>
      </c>
      <c r="C1644" t="s">
        <v>967</v>
      </c>
      <c r="D1644" t="s">
        <v>965</v>
      </c>
      <c r="E1644" t="s">
        <v>702</v>
      </c>
      <c r="F1644" t="s">
        <v>703</v>
      </c>
      <c r="G1644" t="s">
        <v>964</v>
      </c>
      <c r="H1644">
        <v>8</v>
      </c>
      <c r="I1644">
        <v>13.5</v>
      </c>
      <c r="J1644">
        <v>32.75</v>
      </c>
      <c r="K1644">
        <v>19.25</v>
      </c>
      <c r="L1644">
        <v>8</v>
      </c>
      <c r="M1644">
        <v>0</v>
      </c>
      <c r="N1644">
        <v>0</v>
      </c>
      <c r="O1644" t="s">
        <v>127</v>
      </c>
      <c r="P1644" t="s">
        <v>127</v>
      </c>
      <c r="Q1644" t="s">
        <v>127</v>
      </c>
    </row>
    <row r="1645" spans="1:17" x14ac:dyDescent="0.25">
      <c r="A1645" t="str">
        <f>IF(C1645&amp;G1645&amp;D1645&lt;&gt;'Funnel setup'!$K$3&amp;'Funnel setup'!$K$4&amp;'Funnel setup'!$K$6,".",IF(A1644=".",1,A1644+1))</f>
        <v>.</v>
      </c>
      <c r="B1645" s="244" t="str">
        <f t="shared" si="25"/>
        <v>Hip Replacement RevisionProviderWEST SUFFOLK NHS FOUNDATION TRUST (RGR)Oxford Hip Score</v>
      </c>
      <c r="C1645" t="s">
        <v>967</v>
      </c>
      <c r="D1645" t="s">
        <v>965</v>
      </c>
      <c r="E1645" t="s">
        <v>706</v>
      </c>
      <c r="F1645" t="s">
        <v>707</v>
      </c>
      <c r="G1645" t="s">
        <v>964</v>
      </c>
      <c r="H1645">
        <v>5</v>
      </c>
      <c r="I1645">
        <v>13.2</v>
      </c>
      <c r="J1645">
        <v>35.4</v>
      </c>
      <c r="K1645">
        <v>22.2</v>
      </c>
      <c r="L1645">
        <v>5</v>
      </c>
      <c r="M1645">
        <v>0</v>
      </c>
      <c r="N1645">
        <v>0</v>
      </c>
      <c r="O1645" t="s">
        <v>127</v>
      </c>
      <c r="P1645" t="s">
        <v>127</v>
      </c>
      <c r="Q1645" t="s">
        <v>127</v>
      </c>
    </row>
    <row r="1646" spans="1:17" x14ac:dyDescent="0.25">
      <c r="A1646" t="str">
        <f>IF(C1646&amp;G1646&amp;D1646&lt;&gt;'Funnel setup'!$K$3&amp;'Funnel setup'!$K$4&amp;'Funnel setup'!$K$6,".",IF(A1645=".",1,A1645+1))</f>
        <v>.</v>
      </c>
      <c r="B1646" s="244" t="str">
        <f t="shared" si="25"/>
        <v>Hip Replacement RevisionProviderWIRRAL UNIVERSITY TEACHING HOSPITAL NHS FOUNDATION TRUST (RBL)Oxford Hip Score</v>
      </c>
      <c r="C1646" t="s">
        <v>967</v>
      </c>
      <c r="D1646" t="s">
        <v>965</v>
      </c>
      <c r="E1646" t="s">
        <v>714</v>
      </c>
      <c r="F1646" t="s">
        <v>715</v>
      </c>
      <c r="G1646" t="s">
        <v>964</v>
      </c>
      <c r="H1646">
        <v>1</v>
      </c>
      <c r="I1646">
        <v>13</v>
      </c>
      <c r="J1646">
        <v>43</v>
      </c>
      <c r="K1646">
        <v>30</v>
      </c>
      <c r="L1646">
        <v>1</v>
      </c>
      <c r="M1646">
        <v>0</v>
      </c>
      <c r="N1646">
        <v>0</v>
      </c>
      <c r="O1646" t="s">
        <v>127</v>
      </c>
      <c r="P1646" t="s">
        <v>127</v>
      </c>
      <c r="Q1646" t="s">
        <v>127</v>
      </c>
    </row>
    <row r="1647" spans="1:17" x14ac:dyDescent="0.25">
      <c r="A1647" t="str">
        <f>IF(C1647&amp;G1647&amp;D1647&lt;&gt;'Funnel setup'!$K$3&amp;'Funnel setup'!$K$4&amp;'Funnel setup'!$K$6,".",IF(A1646=".",1,A1646+1))</f>
        <v>.</v>
      </c>
      <c r="B1647" s="244" t="str">
        <f t="shared" si="25"/>
        <v>Hip Replacement RevisionProviderWOODLAND HOSPITAL (NVC23)Oxford Hip Score</v>
      </c>
      <c r="C1647" t="s">
        <v>967</v>
      </c>
      <c r="D1647" t="s">
        <v>965</v>
      </c>
      <c r="E1647" t="s">
        <v>716</v>
      </c>
      <c r="F1647" t="s">
        <v>717</v>
      </c>
      <c r="G1647" t="s">
        <v>964</v>
      </c>
      <c r="H1647" t="s">
        <v>127</v>
      </c>
      <c r="I1647" t="s">
        <v>127</v>
      </c>
      <c r="J1647" t="s">
        <v>127</v>
      </c>
      <c r="K1647" t="s">
        <v>127</v>
      </c>
      <c r="L1647" t="s">
        <v>127</v>
      </c>
      <c r="M1647" t="s">
        <v>127</v>
      </c>
      <c r="N1647" t="s">
        <v>127</v>
      </c>
      <c r="O1647" t="s">
        <v>127</v>
      </c>
      <c r="P1647" t="s">
        <v>127</v>
      </c>
      <c r="Q1647" t="s">
        <v>127</v>
      </c>
    </row>
    <row r="1648" spans="1:17" x14ac:dyDescent="0.25">
      <c r="A1648" t="str">
        <f>IF(C1648&amp;G1648&amp;D1648&lt;&gt;'Funnel setup'!$K$3&amp;'Funnel setup'!$K$4&amp;'Funnel setup'!$K$6,".",IF(A1647=".",1,A1647+1))</f>
        <v>.</v>
      </c>
      <c r="B1648" s="244" t="str">
        <f t="shared" si="25"/>
        <v>Hip Replacement RevisionProviderWOODLANDS HOSPITAL (NT457)Oxford Hip Score</v>
      </c>
      <c r="C1648" t="s">
        <v>967</v>
      </c>
      <c r="D1648" t="s">
        <v>965</v>
      </c>
      <c r="E1648" t="s">
        <v>718</v>
      </c>
      <c r="F1648" t="s">
        <v>719</v>
      </c>
      <c r="G1648" t="s">
        <v>964</v>
      </c>
      <c r="H1648" t="s">
        <v>127</v>
      </c>
      <c r="I1648" t="s">
        <v>127</v>
      </c>
      <c r="J1648" t="s">
        <v>127</v>
      </c>
      <c r="K1648" t="s">
        <v>127</v>
      </c>
      <c r="L1648" t="s">
        <v>127</v>
      </c>
      <c r="M1648" t="s">
        <v>127</v>
      </c>
      <c r="N1648" t="s">
        <v>127</v>
      </c>
      <c r="O1648" t="s">
        <v>127</v>
      </c>
      <c r="P1648" t="s">
        <v>127</v>
      </c>
      <c r="Q1648" t="s">
        <v>127</v>
      </c>
    </row>
    <row r="1649" spans="1:17" x14ac:dyDescent="0.25">
      <c r="A1649" t="str">
        <f>IF(C1649&amp;G1649&amp;D1649&lt;&gt;'Funnel setup'!$K$3&amp;'Funnel setup'!$K$4&amp;'Funnel setup'!$K$6,".",IF(A1648=".",1,A1648+1))</f>
        <v>.</v>
      </c>
      <c r="B1649" s="244" t="str">
        <f t="shared" si="25"/>
        <v>Hip Replacement RevisionProviderWORCESTERSHIRE ACUTE HOSPITALS NHS TRUST (RWP)Oxford Hip Score</v>
      </c>
      <c r="C1649" t="s">
        <v>967</v>
      </c>
      <c r="D1649" t="s">
        <v>965</v>
      </c>
      <c r="E1649" t="s">
        <v>722</v>
      </c>
      <c r="F1649" t="s">
        <v>723</v>
      </c>
      <c r="G1649" t="s">
        <v>964</v>
      </c>
      <c r="H1649">
        <v>6</v>
      </c>
      <c r="I1649">
        <v>14.333299999999999</v>
      </c>
      <c r="J1649">
        <v>33.333300000000001</v>
      </c>
      <c r="K1649">
        <v>19</v>
      </c>
      <c r="L1649">
        <v>6</v>
      </c>
      <c r="M1649">
        <v>0</v>
      </c>
      <c r="N1649">
        <v>0</v>
      </c>
      <c r="O1649" t="s">
        <v>127</v>
      </c>
      <c r="P1649" t="s">
        <v>127</v>
      </c>
      <c r="Q1649" t="s">
        <v>127</v>
      </c>
    </row>
    <row r="1650" spans="1:17" x14ac:dyDescent="0.25">
      <c r="A1650" t="str">
        <f>IF(C1650&amp;G1650&amp;D1650&lt;&gt;'Funnel setup'!$K$3&amp;'Funnel setup'!$K$4&amp;'Funnel setup'!$K$6,".",IF(A1649=".",1,A1649+1))</f>
        <v>.</v>
      </c>
      <c r="B1650" s="244" t="str">
        <f t="shared" si="25"/>
        <v>Hip Replacement RevisionProviderWRIGHTINGTON, WIGAN AND LEIGH NHS FOUNDATION TRUST (RRF)Oxford Hip Score</v>
      </c>
      <c r="C1650" t="s">
        <v>967</v>
      </c>
      <c r="D1650" t="s">
        <v>965</v>
      </c>
      <c r="E1650" t="s">
        <v>724</v>
      </c>
      <c r="F1650" t="s">
        <v>725</v>
      </c>
      <c r="G1650" t="s">
        <v>964</v>
      </c>
      <c r="H1650">
        <v>2</v>
      </c>
      <c r="I1650">
        <v>21</v>
      </c>
      <c r="J1650">
        <v>41.5</v>
      </c>
      <c r="K1650">
        <v>20.5</v>
      </c>
      <c r="L1650">
        <v>2</v>
      </c>
      <c r="M1650">
        <v>0</v>
      </c>
      <c r="N1650">
        <v>0</v>
      </c>
      <c r="O1650" t="s">
        <v>127</v>
      </c>
      <c r="P1650" t="s">
        <v>127</v>
      </c>
      <c r="Q1650" t="s">
        <v>127</v>
      </c>
    </row>
    <row r="1651" spans="1:17" x14ac:dyDescent="0.25">
      <c r="A1651" t="str">
        <f>IF(C1651&amp;G1651&amp;D1651&lt;&gt;'Funnel setup'!$K$3&amp;'Funnel setup'!$K$4&amp;'Funnel setup'!$K$6,".",IF(A1650=".",1,A1650+1))</f>
        <v>.</v>
      </c>
      <c r="B1651" s="244" t="str">
        <f t="shared" si="25"/>
        <v>Hip Replacement RevisionProviderWYE VALLEY NHS TRUST (RLQ)Oxford Hip Score</v>
      </c>
      <c r="C1651" t="s">
        <v>967</v>
      </c>
      <c r="D1651" t="s">
        <v>965</v>
      </c>
      <c r="E1651" t="s">
        <v>726</v>
      </c>
      <c r="F1651" t="s">
        <v>727</v>
      </c>
      <c r="G1651" t="s">
        <v>964</v>
      </c>
      <c r="H1651">
        <v>1</v>
      </c>
      <c r="I1651">
        <v>20</v>
      </c>
      <c r="J1651">
        <v>36</v>
      </c>
      <c r="K1651">
        <v>16</v>
      </c>
      <c r="L1651">
        <v>1</v>
      </c>
      <c r="M1651">
        <v>0</v>
      </c>
      <c r="N1651">
        <v>0</v>
      </c>
      <c r="O1651" t="s">
        <v>127</v>
      </c>
      <c r="P1651" t="s">
        <v>127</v>
      </c>
      <c r="Q1651" t="s">
        <v>127</v>
      </c>
    </row>
    <row r="1652" spans="1:17" x14ac:dyDescent="0.25">
      <c r="A1652" t="str">
        <f>IF(C1652&amp;G1652&amp;D1652&lt;&gt;'Funnel setup'!$K$3&amp;'Funnel setup'!$K$4&amp;'Funnel setup'!$K$6,".",IF(A1651=".",1,A1651+1))</f>
        <v>.</v>
      </c>
      <c r="B1652" s="244" t="str">
        <f t="shared" si="25"/>
        <v>Knee Replacement PrimarySub-ICB of GP PracticeNATIONAL COMMISSIONING HUB 1 (13Q)EQ VAS</v>
      </c>
      <c r="C1652" t="s">
        <v>969</v>
      </c>
      <c r="D1652" t="s">
        <v>1021</v>
      </c>
      <c r="E1652" t="s">
        <v>970</v>
      </c>
      <c r="F1652" t="s">
        <v>971</v>
      </c>
      <c r="G1652" t="s">
        <v>752</v>
      </c>
      <c r="H1652" t="s">
        <v>968</v>
      </c>
      <c r="I1652" t="s">
        <v>968</v>
      </c>
      <c r="J1652" t="s">
        <v>968</v>
      </c>
      <c r="K1652" t="s">
        <v>968</v>
      </c>
      <c r="L1652" t="s">
        <v>968</v>
      </c>
      <c r="M1652" t="s">
        <v>968</v>
      </c>
      <c r="N1652" t="s">
        <v>968</v>
      </c>
      <c r="O1652" t="s">
        <v>968</v>
      </c>
      <c r="P1652" t="s">
        <v>968</v>
      </c>
      <c r="Q1652" t="s">
        <v>968</v>
      </c>
    </row>
    <row r="1653" spans="1:17" x14ac:dyDescent="0.25">
      <c r="A1653" t="str">
        <f>IF(C1653&amp;G1653&amp;D1653&lt;&gt;'Funnel setup'!$K$3&amp;'Funnel setup'!$K$4&amp;'Funnel setup'!$K$6,".",IF(A1652=".",1,A1652+1))</f>
        <v>.</v>
      </c>
      <c r="B1653" s="244" t="str">
        <f t="shared" si="25"/>
        <v>Knee Replacement PrimarySub-ICB of GP PracticeNHS BATH AND NORTH EAST SOMERSET, SWINDON AND WILTSHIRE ICB - 92G (92G)EQ VAS</v>
      </c>
      <c r="C1653" t="s">
        <v>969</v>
      </c>
      <c r="D1653" t="s">
        <v>1021</v>
      </c>
      <c r="E1653" t="s">
        <v>750</v>
      </c>
      <c r="F1653" t="s">
        <v>751</v>
      </c>
      <c r="G1653" t="s">
        <v>752</v>
      </c>
      <c r="H1653">
        <v>251</v>
      </c>
      <c r="I1653">
        <v>68.107600000000005</v>
      </c>
      <c r="J1653">
        <v>76.199200000000005</v>
      </c>
      <c r="K1653">
        <v>8.0916300000000003</v>
      </c>
      <c r="L1653">
        <v>156</v>
      </c>
      <c r="M1653">
        <v>33</v>
      </c>
      <c r="N1653">
        <v>62</v>
      </c>
      <c r="O1653">
        <v>73.901700000000005</v>
      </c>
      <c r="P1653">
        <v>8.3732799999999994</v>
      </c>
      <c r="Q1653">
        <v>16.559799999999999</v>
      </c>
    </row>
    <row r="1654" spans="1:17" x14ac:dyDescent="0.25">
      <c r="A1654" t="str">
        <f>IF(C1654&amp;G1654&amp;D1654&lt;&gt;'Funnel setup'!$K$3&amp;'Funnel setup'!$K$4&amp;'Funnel setup'!$K$6,".",IF(A1653=".",1,A1653+1))</f>
        <v>.</v>
      </c>
      <c r="B1654" s="244" t="str">
        <f t="shared" si="25"/>
        <v>Knee Replacement PrimarySub-ICB of GP PracticeNHS BEDFORDSHIRE, LUTON AND MILTON KEYNES ICB - M1J4Y (M1J4Y)EQ VAS</v>
      </c>
      <c r="C1654" t="s">
        <v>969</v>
      </c>
      <c r="D1654" t="s">
        <v>1021</v>
      </c>
      <c r="E1654" t="s">
        <v>753</v>
      </c>
      <c r="F1654" t="s">
        <v>754</v>
      </c>
      <c r="G1654" t="s">
        <v>752</v>
      </c>
      <c r="H1654">
        <v>213</v>
      </c>
      <c r="I1654">
        <v>62.915500000000002</v>
      </c>
      <c r="J1654">
        <v>69.2864</v>
      </c>
      <c r="K1654">
        <v>6.3708900000000002</v>
      </c>
      <c r="L1654">
        <v>123</v>
      </c>
      <c r="M1654">
        <v>23</v>
      </c>
      <c r="N1654">
        <v>67</v>
      </c>
      <c r="O1654">
        <v>70.679900000000004</v>
      </c>
      <c r="P1654">
        <v>5.1514899999999999</v>
      </c>
      <c r="Q1654">
        <v>18.849499999999999</v>
      </c>
    </row>
    <row r="1655" spans="1:17" x14ac:dyDescent="0.25">
      <c r="A1655" t="str">
        <f>IF(C1655&amp;G1655&amp;D1655&lt;&gt;'Funnel setup'!$K$3&amp;'Funnel setup'!$K$4&amp;'Funnel setup'!$K$6,".",IF(A1654=".",1,A1654+1))</f>
        <v>.</v>
      </c>
      <c r="B1655" s="244" t="str">
        <f t="shared" si="25"/>
        <v>Knee Replacement PrimarySub-ICB of GP PracticeNHS BIRMINGHAM AND SOLIHULL ICB - 15E (15E)EQ VAS</v>
      </c>
      <c r="C1655" t="s">
        <v>969</v>
      </c>
      <c r="D1655" t="s">
        <v>1021</v>
      </c>
      <c r="E1655" t="s">
        <v>755</v>
      </c>
      <c r="F1655" t="s">
        <v>756</v>
      </c>
      <c r="G1655" t="s">
        <v>752</v>
      </c>
      <c r="H1655">
        <v>304</v>
      </c>
      <c r="I1655">
        <v>64.625</v>
      </c>
      <c r="J1655">
        <v>71.578900000000004</v>
      </c>
      <c r="K1655">
        <v>6.9539499999999999</v>
      </c>
      <c r="L1655">
        <v>175</v>
      </c>
      <c r="M1655">
        <v>28</v>
      </c>
      <c r="N1655">
        <v>101</v>
      </c>
      <c r="O1655">
        <v>72.742699999999999</v>
      </c>
      <c r="P1655">
        <v>7.21427</v>
      </c>
      <c r="Q1655">
        <v>17.282900000000001</v>
      </c>
    </row>
    <row r="1656" spans="1:17" x14ac:dyDescent="0.25">
      <c r="A1656" t="str">
        <f>IF(C1656&amp;G1656&amp;D1656&lt;&gt;'Funnel setup'!$K$3&amp;'Funnel setup'!$K$4&amp;'Funnel setup'!$K$6,".",IF(A1655=".",1,A1655+1))</f>
        <v>.</v>
      </c>
      <c r="B1656" s="244" t="str">
        <f t="shared" si="25"/>
        <v>Knee Replacement PrimarySub-ICB of GP PracticeNHS BLACK COUNTRY ICB - D2P2L (D2P2L)EQ VAS</v>
      </c>
      <c r="C1656" t="s">
        <v>969</v>
      </c>
      <c r="D1656" t="s">
        <v>1021</v>
      </c>
      <c r="E1656" t="s">
        <v>757</v>
      </c>
      <c r="F1656" t="s">
        <v>758</v>
      </c>
      <c r="G1656" t="s">
        <v>752</v>
      </c>
      <c r="H1656">
        <v>183</v>
      </c>
      <c r="I1656">
        <v>63.573799999999999</v>
      </c>
      <c r="J1656">
        <v>72.754099999999994</v>
      </c>
      <c r="K1656">
        <v>9.1803299999999997</v>
      </c>
      <c r="L1656">
        <v>112</v>
      </c>
      <c r="M1656">
        <v>18</v>
      </c>
      <c r="N1656">
        <v>53</v>
      </c>
      <c r="O1656">
        <v>75.514300000000006</v>
      </c>
      <c r="P1656">
        <v>9.9859500000000008</v>
      </c>
      <c r="Q1656">
        <v>17.271599999999999</v>
      </c>
    </row>
    <row r="1657" spans="1:17" x14ac:dyDescent="0.25">
      <c r="A1657" t="str">
        <f>IF(C1657&amp;G1657&amp;D1657&lt;&gt;'Funnel setup'!$K$3&amp;'Funnel setup'!$K$4&amp;'Funnel setup'!$K$6,".",IF(A1656=".",1,A1656+1))</f>
        <v>.</v>
      </c>
      <c r="B1657" s="244" t="str">
        <f t="shared" si="25"/>
        <v>Knee Replacement PrimarySub-ICB of GP PracticeNHS BRISTOL, NORTH SOMERSET AND SOUTH GLOUCESTERSHIRE ICB - 15C (15C)EQ VAS</v>
      </c>
      <c r="C1657" t="s">
        <v>969</v>
      </c>
      <c r="D1657" t="s">
        <v>1021</v>
      </c>
      <c r="E1657" t="s">
        <v>759</v>
      </c>
      <c r="F1657" t="s">
        <v>760</v>
      </c>
      <c r="G1657" t="s">
        <v>752</v>
      </c>
      <c r="H1657">
        <v>208</v>
      </c>
      <c r="I1657">
        <v>65.197100000000006</v>
      </c>
      <c r="J1657">
        <v>74.956699999999998</v>
      </c>
      <c r="K1657">
        <v>9.75962</v>
      </c>
      <c r="L1657">
        <v>130</v>
      </c>
      <c r="M1657">
        <v>22</v>
      </c>
      <c r="N1657">
        <v>56</v>
      </c>
      <c r="O1657">
        <v>75.075500000000005</v>
      </c>
      <c r="P1657">
        <v>9.5471299999999992</v>
      </c>
      <c r="Q1657">
        <v>16.139399999999998</v>
      </c>
    </row>
    <row r="1658" spans="1:17" x14ac:dyDescent="0.25">
      <c r="A1658" t="str">
        <f>IF(C1658&amp;G1658&amp;D1658&lt;&gt;'Funnel setup'!$K$3&amp;'Funnel setup'!$K$4&amp;'Funnel setup'!$K$6,".",IF(A1657=".",1,A1657+1))</f>
        <v>.</v>
      </c>
      <c r="B1658" s="244" t="str">
        <f t="shared" si="25"/>
        <v>Knee Replacement PrimarySub-ICB of GP PracticeNHS BUCKINGHAMSHIRE, OXFORDSHIRE AND BERKSHIRE WEST ICB - 10Q (10Q)EQ VAS</v>
      </c>
      <c r="C1658" t="s">
        <v>969</v>
      </c>
      <c r="D1658" t="s">
        <v>1021</v>
      </c>
      <c r="E1658" t="s">
        <v>761</v>
      </c>
      <c r="F1658" t="s">
        <v>762</v>
      </c>
      <c r="G1658" t="s">
        <v>752</v>
      </c>
      <c r="H1658">
        <v>271</v>
      </c>
      <c r="I1658">
        <v>66.103300000000004</v>
      </c>
      <c r="J1658">
        <v>76.343199999999996</v>
      </c>
      <c r="K1658">
        <v>10.2399</v>
      </c>
      <c r="L1658">
        <v>167</v>
      </c>
      <c r="M1658">
        <v>38</v>
      </c>
      <c r="N1658">
        <v>66</v>
      </c>
      <c r="O1658">
        <v>75.093100000000007</v>
      </c>
      <c r="P1658">
        <v>9.5647500000000001</v>
      </c>
      <c r="Q1658">
        <v>15.370799999999999</v>
      </c>
    </row>
    <row r="1659" spans="1:17" x14ac:dyDescent="0.25">
      <c r="A1659" t="str">
        <f>IF(C1659&amp;G1659&amp;D1659&lt;&gt;'Funnel setup'!$K$3&amp;'Funnel setup'!$K$4&amp;'Funnel setup'!$K$6,".",IF(A1658=".",1,A1658+1))</f>
        <v>.</v>
      </c>
      <c r="B1659" s="244" t="str">
        <f t="shared" si="25"/>
        <v>Knee Replacement PrimarySub-ICB of GP PracticeNHS BUCKINGHAMSHIRE, OXFORDSHIRE AND BERKSHIRE WEST ICB - 14Y (14Y)EQ VAS</v>
      </c>
      <c r="C1659" t="s">
        <v>969</v>
      </c>
      <c r="D1659" t="s">
        <v>1021</v>
      </c>
      <c r="E1659" t="s">
        <v>763</v>
      </c>
      <c r="F1659" t="s">
        <v>764</v>
      </c>
      <c r="G1659" t="s">
        <v>752</v>
      </c>
      <c r="H1659">
        <v>195</v>
      </c>
      <c r="I1659">
        <v>68.748699999999999</v>
      </c>
      <c r="J1659">
        <v>77.348699999999994</v>
      </c>
      <c r="K1659">
        <v>8.6</v>
      </c>
      <c r="L1659">
        <v>120</v>
      </c>
      <c r="M1659">
        <v>23</v>
      </c>
      <c r="N1659">
        <v>52</v>
      </c>
      <c r="O1659">
        <v>74.775400000000005</v>
      </c>
      <c r="P1659">
        <v>9.2469699999999992</v>
      </c>
      <c r="Q1659">
        <v>16.7379</v>
      </c>
    </row>
    <row r="1660" spans="1:17" x14ac:dyDescent="0.25">
      <c r="A1660" t="str">
        <f>IF(C1660&amp;G1660&amp;D1660&lt;&gt;'Funnel setup'!$K$3&amp;'Funnel setup'!$K$4&amp;'Funnel setup'!$K$6,".",IF(A1659=".",1,A1659+1))</f>
        <v>.</v>
      </c>
      <c r="B1660" s="244" t="str">
        <f t="shared" si="25"/>
        <v>Knee Replacement PrimarySub-ICB of GP PracticeNHS BUCKINGHAMSHIRE, OXFORDSHIRE AND BERKSHIRE WEST ICB - 15A (15A)EQ VAS</v>
      </c>
      <c r="C1660" t="s">
        <v>969</v>
      </c>
      <c r="D1660" t="s">
        <v>1021</v>
      </c>
      <c r="E1660" t="s">
        <v>765</v>
      </c>
      <c r="F1660" t="s">
        <v>766</v>
      </c>
      <c r="G1660" t="s">
        <v>752</v>
      </c>
      <c r="H1660">
        <v>63</v>
      </c>
      <c r="I1660">
        <v>53.158700000000003</v>
      </c>
      <c r="J1660">
        <v>78.285700000000006</v>
      </c>
      <c r="K1660">
        <v>25.126999999999999</v>
      </c>
      <c r="L1660">
        <v>53</v>
      </c>
      <c r="M1660">
        <v>3</v>
      </c>
      <c r="N1660">
        <v>7</v>
      </c>
      <c r="O1660">
        <v>78.9178</v>
      </c>
      <c r="P1660">
        <v>13.3894</v>
      </c>
      <c r="Q1660">
        <v>14.6692</v>
      </c>
    </row>
    <row r="1661" spans="1:17" x14ac:dyDescent="0.25">
      <c r="A1661" t="str">
        <f>IF(C1661&amp;G1661&amp;D1661&lt;&gt;'Funnel setup'!$K$3&amp;'Funnel setup'!$K$4&amp;'Funnel setup'!$K$6,".",IF(A1660=".",1,A1660+1))</f>
        <v>.</v>
      </c>
      <c r="B1661" s="244" t="str">
        <f t="shared" si="25"/>
        <v>Knee Replacement PrimarySub-ICB of GP PracticeNHS CAMBRIDGESHIRE AND PETERBOROUGH ICB - 06H (06H)EQ VAS</v>
      </c>
      <c r="C1661" t="s">
        <v>969</v>
      </c>
      <c r="D1661" t="s">
        <v>1021</v>
      </c>
      <c r="E1661" t="s">
        <v>767</v>
      </c>
      <c r="F1661" t="s">
        <v>768</v>
      </c>
      <c r="G1661" t="s">
        <v>752</v>
      </c>
      <c r="H1661">
        <v>192</v>
      </c>
      <c r="I1661">
        <v>65.843800000000002</v>
      </c>
      <c r="J1661">
        <v>72.192700000000002</v>
      </c>
      <c r="K1661">
        <v>6.3489599999999999</v>
      </c>
      <c r="L1661">
        <v>110</v>
      </c>
      <c r="M1661">
        <v>17</v>
      </c>
      <c r="N1661">
        <v>65</v>
      </c>
      <c r="O1661">
        <v>72.353200000000001</v>
      </c>
      <c r="P1661">
        <v>6.82484</v>
      </c>
      <c r="Q1661">
        <v>16.7622</v>
      </c>
    </row>
    <row r="1662" spans="1:17" x14ac:dyDescent="0.25">
      <c r="A1662" t="str">
        <f>IF(C1662&amp;G1662&amp;D1662&lt;&gt;'Funnel setup'!$K$3&amp;'Funnel setup'!$K$4&amp;'Funnel setup'!$K$6,".",IF(A1661=".",1,A1661+1))</f>
        <v>.</v>
      </c>
      <c r="B1662" s="244" t="str">
        <f t="shared" si="25"/>
        <v>Knee Replacement PrimarySub-ICB of GP PracticeNHS CHESHIRE AND MERSEYSIDE ICB - 01F (01F)EQ VAS</v>
      </c>
      <c r="C1662" t="s">
        <v>969</v>
      </c>
      <c r="D1662" t="s">
        <v>1021</v>
      </c>
      <c r="E1662" t="s">
        <v>769</v>
      </c>
      <c r="F1662" t="s">
        <v>770</v>
      </c>
      <c r="G1662" t="s">
        <v>752</v>
      </c>
      <c r="H1662">
        <v>25</v>
      </c>
      <c r="I1662">
        <v>66.680000000000007</v>
      </c>
      <c r="J1662">
        <v>70.92</v>
      </c>
      <c r="K1662">
        <v>4.24</v>
      </c>
      <c r="L1662">
        <v>12</v>
      </c>
      <c r="M1662">
        <v>4</v>
      </c>
      <c r="N1662">
        <v>9</v>
      </c>
      <c r="O1662" t="s">
        <v>127</v>
      </c>
      <c r="P1662" t="s">
        <v>127</v>
      </c>
      <c r="Q1662" t="s">
        <v>127</v>
      </c>
    </row>
    <row r="1663" spans="1:17" x14ac:dyDescent="0.25">
      <c r="A1663" t="str">
        <f>IF(C1663&amp;G1663&amp;D1663&lt;&gt;'Funnel setup'!$K$3&amp;'Funnel setup'!$K$4&amp;'Funnel setup'!$K$6,".",IF(A1662=".",1,A1662+1))</f>
        <v>.</v>
      </c>
      <c r="B1663" s="244" t="str">
        <f t="shared" si="25"/>
        <v>Knee Replacement PrimarySub-ICB of GP PracticeNHS CHESHIRE AND MERSEYSIDE ICB - 01J (01J)EQ VAS</v>
      </c>
      <c r="C1663" t="s">
        <v>969</v>
      </c>
      <c r="D1663" t="s">
        <v>1021</v>
      </c>
      <c r="E1663" t="s">
        <v>771</v>
      </c>
      <c r="F1663" t="s">
        <v>772</v>
      </c>
      <c r="G1663" t="s">
        <v>752</v>
      </c>
      <c r="H1663">
        <v>27</v>
      </c>
      <c r="I1663">
        <v>68.592600000000004</v>
      </c>
      <c r="J1663">
        <v>64.481499999999997</v>
      </c>
      <c r="K1663">
        <v>-4.11111</v>
      </c>
      <c r="L1663">
        <v>11</v>
      </c>
      <c r="M1663">
        <v>4</v>
      </c>
      <c r="N1663">
        <v>12</v>
      </c>
      <c r="O1663" t="s">
        <v>127</v>
      </c>
      <c r="P1663" t="s">
        <v>127</v>
      </c>
      <c r="Q1663" t="s">
        <v>127</v>
      </c>
    </row>
    <row r="1664" spans="1:17" x14ac:dyDescent="0.25">
      <c r="A1664" t="str">
        <f>IF(C1664&amp;G1664&amp;D1664&lt;&gt;'Funnel setup'!$K$3&amp;'Funnel setup'!$K$4&amp;'Funnel setup'!$K$6,".",IF(A1663=".",1,A1663+1))</f>
        <v>.</v>
      </c>
      <c r="B1664" s="244" t="str">
        <f t="shared" si="25"/>
        <v>Knee Replacement PrimarySub-ICB of GP PracticeNHS CHESHIRE AND MERSEYSIDE ICB - 01T (01T)EQ VAS</v>
      </c>
      <c r="C1664" t="s">
        <v>969</v>
      </c>
      <c r="D1664" t="s">
        <v>1021</v>
      </c>
      <c r="E1664" t="s">
        <v>773</v>
      </c>
      <c r="F1664" t="s">
        <v>774</v>
      </c>
      <c r="G1664" t="s">
        <v>752</v>
      </c>
      <c r="H1664">
        <v>46</v>
      </c>
      <c r="I1664">
        <v>70.434799999999996</v>
      </c>
      <c r="J1664">
        <v>77.739099999999993</v>
      </c>
      <c r="K1664">
        <v>7.3043500000000003</v>
      </c>
      <c r="L1664">
        <v>27</v>
      </c>
      <c r="M1664">
        <v>6</v>
      </c>
      <c r="N1664">
        <v>13</v>
      </c>
      <c r="O1664">
        <v>76.554199999999994</v>
      </c>
      <c r="P1664">
        <v>11.0258</v>
      </c>
      <c r="Q1664">
        <v>14.148999999999999</v>
      </c>
    </row>
    <row r="1665" spans="1:17" x14ac:dyDescent="0.25">
      <c r="A1665" t="str">
        <f>IF(C1665&amp;G1665&amp;D1665&lt;&gt;'Funnel setup'!$K$3&amp;'Funnel setup'!$K$4&amp;'Funnel setup'!$K$6,".",IF(A1664=".",1,A1664+1))</f>
        <v>.</v>
      </c>
      <c r="B1665" s="244" t="str">
        <f t="shared" si="25"/>
        <v>Knee Replacement PrimarySub-ICB of GP PracticeNHS CHESHIRE AND MERSEYSIDE ICB - 01V (01V)EQ VAS</v>
      </c>
      <c r="C1665" t="s">
        <v>969</v>
      </c>
      <c r="D1665" t="s">
        <v>1021</v>
      </c>
      <c r="E1665" t="s">
        <v>775</v>
      </c>
      <c r="F1665" t="s">
        <v>776</v>
      </c>
      <c r="G1665" t="s">
        <v>752</v>
      </c>
      <c r="H1665">
        <v>25</v>
      </c>
      <c r="I1665">
        <v>61.92</v>
      </c>
      <c r="J1665">
        <v>70.239999999999995</v>
      </c>
      <c r="K1665">
        <v>8.32</v>
      </c>
      <c r="L1665">
        <v>17</v>
      </c>
      <c r="M1665">
        <v>2</v>
      </c>
      <c r="N1665">
        <v>6</v>
      </c>
      <c r="O1665" t="s">
        <v>127</v>
      </c>
      <c r="P1665" t="s">
        <v>127</v>
      </c>
      <c r="Q1665" t="s">
        <v>127</v>
      </c>
    </row>
    <row r="1666" spans="1:17" x14ac:dyDescent="0.25">
      <c r="A1666" t="str">
        <f>IF(C1666&amp;G1666&amp;D1666&lt;&gt;'Funnel setup'!$K$3&amp;'Funnel setup'!$K$4&amp;'Funnel setup'!$K$6,".",IF(A1665=".",1,A1665+1))</f>
        <v>.</v>
      </c>
      <c r="B1666" s="244" t="str">
        <f t="shared" ref="B1666:B1729" si="26">C1666&amp;D1666&amp;F1666&amp;G1666</f>
        <v>Knee Replacement PrimarySub-ICB of GP PracticeNHS CHESHIRE AND MERSEYSIDE ICB - 01X (01X)EQ VAS</v>
      </c>
      <c r="C1666" t="s">
        <v>969</v>
      </c>
      <c r="D1666" t="s">
        <v>1021</v>
      </c>
      <c r="E1666" t="s">
        <v>777</v>
      </c>
      <c r="F1666" t="s">
        <v>778</v>
      </c>
      <c r="G1666" t="s">
        <v>752</v>
      </c>
      <c r="H1666">
        <v>59</v>
      </c>
      <c r="I1666">
        <v>68.237300000000005</v>
      </c>
      <c r="J1666">
        <v>72.237300000000005</v>
      </c>
      <c r="K1666">
        <v>4</v>
      </c>
      <c r="L1666">
        <v>32</v>
      </c>
      <c r="M1666">
        <v>5</v>
      </c>
      <c r="N1666">
        <v>22</v>
      </c>
      <c r="O1666">
        <v>71.319699999999997</v>
      </c>
      <c r="P1666">
        <v>5.7912999999999997</v>
      </c>
      <c r="Q1666">
        <v>19.740300000000001</v>
      </c>
    </row>
    <row r="1667" spans="1:17" x14ac:dyDescent="0.25">
      <c r="A1667" t="str">
        <f>IF(C1667&amp;G1667&amp;D1667&lt;&gt;'Funnel setup'!$K$3&amp;'Funnel setup'!$K$4&amp;'Funnel setup'!$K$6,".",IF(A1666=".",1,A1666+1))</f>
        <v>.</v>
      </c>
      <c r="B1667" s="244" t="str">
        <f t="shared" si="26"/>
        <v>Knee Replacement PrimarySub-ICB of GP PracticeNHS CHESHIRE AND MERSEYSIDE ICB - 02E (02E)EQ VAS</v>
      </c>
      <c r="C1667" t="s">
        <v>969</v>
      </c>
      <c r="D1667" t="s">
        <v>1021</v>
      </c>
      <c r="E1667" t="s">
        <v>779</v>
      </c>
      <c r="F1667" t="s">
        <v>780</v>
      </c>
      <c r="G1667" t="s">
        <v>752</v>
      </c>
      <c r="H1667">
        <v>41</v>
      </c>
      <c r="I1667">
        <v>74.463399999999993</v>
      </c>
      <c r="J1667">
        <v>79.463399999999993</v>
      </c>
      <c r="K1667">
        <v>5</v>
      </c>
      <c r="L1667">
        <v>21</v>
      </c>
      <c r="M1667">
        <v>7</v>
      </c>
      <c r="N1667">
        <v>13</v>
      </c>
      <c r="O1667">
        <v>74.902199999999993</v>
      </c>
      <c r="P1667">
        <v>9.3738200000000003</v>
      </c>
      <c r="Q1667">
        <v>13.9389</v>
      </c>
    </row>
    <row r="1668" spans="1:17" x14ac:dyDescent="0.25">
      <c r="A1668" t="str">
        <f>IF(C1668&amp;G1668&amp;D1668&lt;&gt;'Funnel setup'!$K$3&amp;'Funnel setup'!$K$4&amp;'Funnel setup'!$K$6,".",IF(A1667=".",1,A1667+1))</f>
        <v>.</v>
      </c>
      <c r="B1668" s="244" t="str">
        <f t="shared" si="26"/>
        <v>Knee Replacement PrimarySub-ICB of GP PracticeNHS CHESHIRE AND MERSEYSIDE ICB - 12F (12F)EQ VAS</v>
      </c>
      <c r="C1668" t="s">
        <v>969</v>
      </c>
      <c r="D1668" t="s">
        <v>1021</v>
      </c>
      <c r="E1668" t="s">
        <v>781</v>
      </c>
      <c r="F1668" t="s">
        <v>782</v>
      </c>
      <c r="G1668" t="s">
        <v>752</v>
      </c>
      <c r="H1668">
        <v>73</v>
      </c>
      <c r="I1668">
        <v>69.274000000000001</v>
      </c>
      <c r="J1668">
        <v>73</v>
      </c>
      <c r="K1668">
        <v>3.7260300000000002</v>
      </c>
      <c r="L1668">
        <v>37</v>
      </c>
      <c r="M1668">
        <v>6</v>
      </c>
      <c r="N1668">
        <v>30</v>
      </c>
      <c r="O1668">
        <v>71.862799999999993</v>
      </c>
      <c r="P1668">
        <v>6.3343800000000003</v>
      </c>
      <c r="Q1668">
        <v>20.146899999999999</v>
      </c>
    </row>
    <row r="1669" spans="1:17" x14ac:dyDescent="0.25">
      <c r="A1669" t="str">
        <f>IF(C1669&amp;G1669&amp;D1669&lt;&gt;'Funnel setup'!$K$3&amp;'Funnel setup'!$K$4&amp;'Funnel setup'!$K$6,".",IF(A1668=".",1,A1668+1))</f>
        <v>.</v>
      </c>
      <c r="B1669" s="244" t="str">
        <f t="shared" si="26"/>
        <v>Knee Replacement PrimarySub-ICB of GP PracticeNHS CHESHIRE AND MERSEYSIDE ICB - 27D (27D)EQ VAS</v>
      </c>
      <c r="C1669" t="s">
        <v>969</v>
      </c>
      <c r="D1669" t="s">
        <v>1021</v>
      </c>
      <c r="E1669" t="s">
        <v>783</v>
      </c>
      <c r="F1669" t="s">
        <v>784</v>
      </c>
      <c r="G1669" t="s">
        <v>752</v>
      </c>
      <c r="H1669">
        <v>233</v>
      </c>
      <c r="I1669">
        <v>67.021500000000003</v>
      </c>
      <c r="J1669">
        <v>75.377700000000004</v>
      </c>
      <c r="K1669">
        <v>8.3562200000000004</v>
      </c>
      <c r="L1669">
        <v>151</v>
      </c>
      <c r="M1669">
        <v>20</v>
      </c>
      <c r="N1669">
        <v>62</v>
      </c>
      <c r="O1669">
        <v>74.563299999999998</v>
      </c>
      <c r="P1669">
        <v>9.0349400000000006</v>
      </c>
      <c r="Q1669">
        <v>16.096299999999999</v>
      </c>
    </row>
    <row r="1670" spans="1:17" x14ac:dyDescent="0.25">
      <c r="A1670" t="str">
        <f>IF(C1670&amp;G1670&amp;D1670&lt;&gt;'Funnel setup'!$K$3&amp;'Funnel setup'!$K$4&amp;'Funnel setup'!$K$6,".",IF(A1669=".",1,A1669+1))</f>
        <v>.</v>
      </c>
      <c r="B1670" s="244" t="str">
        <f t="shared" si="26"/>
        <v>Knee Replacement PrimarySub-ICB of GP PracticeNHS CHESHIRE AND MERSEYSIDE ICB - 99A (99A)EQ VAS</v>
      </c>
      <c r="C1670" t="s">
        <v>969</v>
      </c>
      <c r="D1670" t="s">
        <v>1021</v>
      </c>
      <c r="E1670" t="s">
        <v>785</v>
      </c>
      <c r="F1670" t="s">
        <v>786</v>
      </c>
      <c r="G1670" t="s">
        <v>752</v>
      </c>
      <c r="H1670">
        <v>46</v>
      </c>
      <c r="I1670">
        <v>65.347800000000007</v>
      </c>
      <c r="J1670">
        <v>72.565200000000004</v>
      </c>
      <c r="K1670">
        <v>7.21739</v>
      </c>
      <c r="L1670">
        <v>23</v>
      </c>
      <c r="M1670">
        <v>6</v>
      </c>
      <c r="N1670">
        <v>17</v>
      </c>
      <c r="O1670">
        <v>75.081100000000006</v>
      </c>
      <c r="P1670">
        <v>9.5526999999999997</v>
      </c>
      <c r="Q1670">
        <v>18.125900000000001</v>
      </c>
    </row>
    <row r="1671" spans="1:17" x14ac:dyDescent="0.25">
      <c r="A1671" t="str">
        <f>IF(C1671&amp;G1671&amp;D1671&lt;&gt;'Funnel setup'!$K$3&amp;'Funnel setup'!$K$4&amp;'Funnel setup'!$K$6,".",IF(A1670=".",1,A1670+1))</f>
        <v>.</v>
      </c>
      <c r="B1671" s="244" t="str">
        <f t="shared" si="26"/>
        <v>Knee Replacement PrimarySub-ICB of GP PracticeNHS CORNWALL AND THE ISLES OF SCILLY ICB - 11N (11N)EQ VAS</v>
      </c>
      <c r="C1671" t="s">
        <v>969</v>
      </c>
      <c r="D1671" t="s">
        <v>1021</v>
      </c>
      <c r="E1671" t="s">
        <v>787</v>
      </c>
      <c r="F1671" t="s">
        <v>788</v>
      </c>
      <c r="G1671" t="s">
        <v>752</v>
      </c>
      <c r="H1671">
        <v>138</v>
      </c>
      <c r="I1671">
        <v>66.144900000000007</v>
      </c>
      <c r="J1671">
        <v>74.775400000000005</v>
      </c>
      <c r="K1671">
        <v>8.6304300000000005</v>
      </c>
      <c r="L1671">
        <v>81</v>
      </c>
      <c r="M1671">
        <v>17</v>
      </c>
      <c r="N1671">
        <v>40</v>
      </c>
      <c r="O1671">
        <v>74.419499999999999</v>
      </c>
      <c r="P1671">
        <v>8.8910699999999991</v>
      </c>
      <c r="Q1671">
        <v>16.6755</v>
      </c>
    </row>
    <row r="1672" spans="1:17" x14ac:dyDescent="0.25">
      <c r="A1672" t="str">
        <f>IF(C1672&amp;G1672&amp;D1672&lt;&gt;'Funnel setup'!$K$3&amp;'Funnel setup'!$K$4&amp;'Funnel setup'!$K$6,".",IF(A1671=".",1,A1671+1))</f>
        <v>.</v>
      </c>
      <c r="B1672" s="244" t="str">
        <f t="shared" si="26"/>
        <v>Knee Replacement PrimarySub-ICB of GP PracticeNHS COVENTRY AND WARWICKSHIRE ICB - B2M3M (B2M3M)EQ VAS</v>
      </c>
      <c r="C1672" t="s">
        <v>969</v>
      </c>
      <c r="D1672" t="s">
        <v>1021</v>
      </c>
      <c r="E1672" t="s">
        <v>789</v>
      </c>
      <c r="F1672" t="s">
        <v>790</v>
      </c>
      <c r="G1672" t="s">
        <v>752</v>
      </c>
      <c r="H1672">
        <v>197</v>
      </c>
      <c r="I1672">
        <v>68.665000000000006</v>
      </c>
      <c r="J1672">
        <v>76.878200000000007</v>
      </c>
      <c r="K1672">
        <v>8.2132000000000005</v>
      </c>
      <c r="L1672">
        <v>125</v>
      </c>
      <c r="M1672">
        <v>31</v>
      </c>
      <c r="N1672">
        <v>41</v>
      </c>
      <c r="O1672">
        <v>74.915499999999994</v>
      </c>
      <c r="P1672">
        <v>9.3870699999999996</v>
      </c>
      <c r="Q1672">
        <v>15.7827</v>
      </c>
    </row>
    <row r="1673" spans="1:17" x14ac:dyDescent="0.25">
      <c r="A1673" t="str">
        <f>IF(C1673&amp;G1673&amp;D1673&lt;&gt;'Funnel setup'!$K$3&amp;'Funnel setup'!$K$4&amp;'Funnel setup'!$K$6,".",IF(A1672=".",1,A1672+1))</f>
        <v>.</v>
      </c>
      <c r="B1673" s="244" t="str">
        <f t="shared" si="26"/>
        <v>Knee Replacement PrimarySub-ICB of GP PracticeNHS DERBY AND DERBYSHIRE ICB - 15M (15M)EQ VAS</v>
      </c>
      <c r="C1673" t="s">
        <v>969</v>
      </c>
      <c r="D1673" t="s">
        <v>1021</v>
      </c>
      <c r="E1673" t="s">
        <v>791</v>
      </c>
      <c r="F1673" t="s">
        <v>792</v>
      </c>
      <c r="G1673" t="s">
        <v>752</v>
      </c>
      <c r="H1673">
        <v>461</v>
      </c>
      <c r="I1673">
        <v>63.164900000000003</v>
      </c>
      <c r="J1673">
        <v>72.626900000000006</v>
      </c>
      <c r="K1673">
        <v>9.46204</v>
      </c>
      <c r="L1673">
        <v>285</v>
      </c>
      <c r="M1673">
        <v>58</v>
      </c>
      <c r="N1673">
        <v>118</v>
      </c>
      <c r="O1673">
        <v>74.054599999999994</v>
      </c>
      <c r="P1673">
        <v>8.5262399999999996</v>
      </c>
      <c r="Q1673">
        <v>17.216699999999999</v>
      </c>
    </row>
    <row r="1674" spans="1:17" x14ac:dyDescent="0.25">
      <c r="A1674" t="str">
        <f>IF(C1674&amp;G1674&amp;D1674&lt;&gt;'Funnel setup'!$K$3&amp;'Funnel setup'!$K$4&amp;'Funnel setup'!$K$6,".",IF(A1673=".",1,A1673+1))</f>
        <v>.</v>
      </c>
      <c r="B1674" s="244" t="str">
        <f t="shared" si="26"/>
        <v>Knee Replacement PrimarySub-ICB of GP PracticeNHS DEVON ICB - 15N (15N)EQ VAS</v>
      </c>
      <c r="C1674" t="s">
        <v>969</v>
      </c>
      <c r="D1674" t="s">
        <v>1021</v>
      </c>
      <c r="E1674" t="s">
        <v>793</v>
      </c>
      <c r="F1674" t="s">
        <v>794</v>
      </c>
      <c r="G1674" t="s">
        <v>752</v>
      </c>
      <c r="H1674">
        <v>357</v>
      </c>
      <c r="I1674">
        <v>66.518199999999993</v>
      </c>
      <c r="J1674">
        <v>75.159700000000001</v>
      </c>
      <c r="K1674">
        <v>8.6414600000000004</v>
      </c>
      <c r="L1674">
        <v>223</v>
      </c>
      <c r="M1674">
        <v>41</v>
      </c>
      <c r="N1674">
        <v>93</v>
      </c>
      <c r="O1674">
        <v>74.906000000000006</v>
      </c>
      <c r="P1674">
        <v>9.3776200000000003</v>
      </c>
      <c r="Q1674">
        <v>16.124300000000002</v>
      </c>
    </row>
    <row r="1675" spans="1:17" x14ac:dyDescent="0.25">
      <c r="A1675" t="str">
        <f>IF(C1675&amp;G1675&amp;D1675&lt;&gt;'Funnel setup'!$K$3&amp;'Funnel setup'!$K$4&amp;'Funnel setup'!$K$6,".",IF(A1674=".",1,A1674+1))</f>
        <v>.</v>
      </c>
      <c r="B1675" s="244" t="str">
        <f t="shared" si="26"/>
        <v>Knee Replacement PrimarySub-ICB of GP PracticeNHS DORSET ICB - 11J (11J)EQ VAS</v>
      </c>
      <c r="C1675" t="s">
        <v>969</v>
      </c>
      <c r="D1675" t="s">
        <v>1021</v>
      </c>
      <c r="E1675" t="s">
        <v>795</v>
      </c>
      <c r="F1675" t="s">
        <v>796</v>
      </c>
      <c r="G1675" t="s">
        <v>752</v>
      </c>
      <c r="H1675">
        <v>248</v>
      </c>
      <c r="I1675">
        <v>66.354799999999997</v>
      </c>
      <c r="J1675">
        <v>74.786299999999997</v>
      </c>
      <c r="K1675">
        <v>8.4314499999999999</v>
      </c>
      <c r="L1675">
        <v>145</v>
      </c>
      <c r="M1675">
        <v>32</v>
      </c>
      <c r="N1675">
        <v>71</v>
      </c>
      <c r="O1675">
        <v>74.372200000000007</v>
      </c>
      <c r="P1675">
        <v>8.8437999999999999</v>
      </c>
      <c r="Q1675">
        <v>16.582100000000001</v>
      </c>
    </row>
    <row r="1676" spans="1:17" x14ac:dyDescent="0.25">
      <c r="A1676" t="str">
        <f>IF(C1676&amp;G1676&amp;D1676&lt;&gt;'Funnel setup'!$K$3&amp;'Funnel setup'!$K$4&amp;'Funnel setup'!$K$6,".",IF(A1675=".",1,A1675+1))</f>
        <v>.</v>
      </c>
      <c r="B1676" s="244" t="str">
        <f t="shared" si="26"/>
        <v>Knee Replacement PrimarySub-ICB of GP PracticeNHS FRIMLEY ICB - D4U1Y (D4U1Y)EQ VAS</v>
      </c>
      <c r="C1676" t="s">
        <v>969</v>
      </c>
      <c r="D1676" t="s">
        <v>1021</v>
      </c>
      <c r="E1676" t="s">
        <v>797</v>
      </c>
      <c r="F1676" t="s">
        <v>798</v>
      </c>
      <c r="G1676" t="s">
        <v>752</v>
      </c>
      <c r="H1676">
        <v>160</v>
      </c>
      <c r="I1676">
        <v>67.856300000000005</v>
      </c>
      <c r="J1676">
        <v>73.987499999999997</v>
      </c>
      <c r="K1676">
        <v>6.1312499999999996</v>
      </c>
      <c r="L1676">
        <v>86</v>
      </c>
      <c r="M1676">
        <v>21</v>
      </c>
      <c r="N1676">
        <v>53</v>
      </c>
      <c r="O1676">
        <v>72.127399999999994</v>
      </c>
      <c r="P1676">
        <v>6.5990099999999998</v>
      </c>
      <c r="Q1676">
        <v>16.690799999999999</v>
      </c>
    </row>
    <row r="1677" spans="1:17" x14ac:dyDescent="0.25">
      <c r="A1677" t="str">
        <f>IF(C1677&amp;G1677&amp;D1677&lt;&gt;'Funnel setup'!$K$3&amp;'Funnel setup'!$K$4&amp;'Funnel setup'!$K$6,".",IF(A1676=".",1,A1676+1))</f>
        <v>.</v>
      </c>
      <c r="B1677" s="244" t="str">
        <f t="shared" si="26"/>
        <v>Knee Replacement PrimarySub-ICB of GP PracticeNHS GLOUCESTERSHIRE ICB - 11M (11M)EQ VAS</v>
      </c>
      <c r="C1677" t="s">
        <v>969</v>
      </c>
      <c r="D1677" t="s">
        <v>1021</v>
      </c>
      <c r="E1677" t="s">
        <v>799</v>
      </c>
      <c r="F1677" t="s">
        <v>800</v>
      </c>
      <c r="G1677" t="s">
        <v>752</v>
      </c>
      <c r="H1677">
        <v>146</v>
      </c>
      <c r="I1677">
        <v>67.1233</v>
      </c>
      <c r="J1677">
        <v>77.794499999999999</v>
      </c>
      <c r="K1677">
        <v>10.671200000000001</v>
      </c>
      <c r="L1677">
        <v>95</v>
      </c>
      <c r="M1677">
        <v>15</v>
      </c>
      <c r="N1677">
        <v>36</v>
      </c>
      <c r="O1677">
        <v>76.8947</v>
      </c>
      <c r="P1677">
        <v>11.366300000000001</v>
      </c>
      <c r="Q1677">
        <v>15.120200000000001</v>
      </c>
    </row>
    <row r="1678" spans="1:17" x14ac:dyDescent="0.25">
      <c r="A1678" t="str">
        <f>IF(C1678&amp;G1678&amp;D1678&lt;&gt;'Funnel setup'!$K$3&amp;'Funnel setup'!$K$4&amp;'Funnel setup'!$K$6,".",IF(A1677=".",1,A1677+1))</f>
        <v>.</v>
      </c>
      <c r="B1678" s="244" t="str">
        <f t="shared" si="26"/>
        <v>Knee Replacement PrimarySub-ICB of GP PracticeNHS GREATER MANCHESTER ICB - 00T (00T)EQ VAS</v>
      </c>
      <c r="C1678" t="s">
        <v>969</v>
      </c>
      <c r="D1678" t="s">
        <v>1021</v>
      </c>
      <c r="E1678" t="s">
        <v>801</v>
      </c>
      <c r="F1678" t="s">
        <v>802</v>
      </c>
      <c r="G1678" t="s">
        <v>752</v>
      </c>
      <c r="H1678">
        <v>88</v>
      </c>
      <c r="I1678">
        <v>67.886399999999995</v>
      </c>
      <c r="J1678">
        <v>74.2727</v>
      </c>
      <c r="K1678">
        <v>6.3863599999999998</v>
      </c>
      <c r="L1678">
        <v>50</v>
      </c>
      <c r="M1678">
        <v>13</v>
      </c>
      <c r="N1678">
        <v>25</v>
      </c>
      <c r="O1678">
        <v>74.561800000000005</v>
      </c>
      <c r="P1678">
        <v>9.0333799999999993</v>
      </c>
      <c r="Q1678">
        <v>15.3681</v>
      </c>
    </row>
    <row r="1679" spans="1:17" x14ac:dyDescent="0.25">
      <c r="A1679" t="str">
        <f>IF(C1679&amp;G1679&amp;D1679&lt;&gt;'Funnel setup'!$K$3&amp;'Funnel setup'!$K$4&amp;'Funnel setup'!$K$6,".",IF(A1678=".",1,A1678+1))</f>
        <v>.</v>
      </c>
      <c r="B1679" s="244" t="str">
        <f t="shared" si="26"/>
        <v>Knee Replacement PrimarySub-ICB of GP PracticeNHS GREATER MANCHESTER ICB - 00V (00V)EQ VAS</v>
      </c>
      <c r="C1679" t="s">
        <v>969</v>
      </c>
      <c r="D1679" t="s">
        <v>1021</v>
      </c>
      <c r="E1679" t="s">
        <v>803</v>
      </c>
      <c r="F1679" t="s">
        <v>804</v>
      </c>
      <c r="G1679" t="s">
        <v>752</v>
      </c>
      <c r="H1679">
        <v>14</v>
      </c>
      <c r="I1679">
        <v>61.714300000000001</v>
      </c>
      <c r="J1679">
        <v>72.428600000000003</v>
      </c>
      <c r="K1679">
        <v>10.7143</v>
      </c>
      <c r="L1679">
        <v>10</v>
      </c>
      <c r="M1679">
        <v>0</v>
      </c>
      <c r="N1679">
        <v>4</v>
      </c>
      <c r="O1679" t="s">
        <v>127</v>
      </c>
      <c r="P1679" t="s">
        <v>127</v>
      </c>
      <c r="Q1679" t="s">
        <v>127</v>
      </c>
    </row>
    <row r="1680" spans="1:17" x14ac:dyDescent="0.25">
      <c r="A1680" t="str">
        <f>IF(C1680&amp;G1680&amp;D1680&lt;&gt;'Funnel setup'!$K$3&amp;'Funnel setup'!$K$4&amp;'Funnel setup'!$K$6,".",IF(A1679=".",1,A1679+1))</f>
        <v>.</v>
      </c>
      <c r="B1680" s="244" t="str">
        <f t="shared" si="26"/>
        <v>Knee Replacement PrimarySub-ICB of GP PracticeNHS GREATER MANCHESTER ICB - 00Y (00Y)EQ VAS</v>
      </c>
      <c r="C1680" t="s">
        <v>969</v>
      </c>
      <c r="D1680" t="s">
        <v>1021</v>
      </c>
      <c r="E1680" t="s">
        <v>805</v>
      </c>
      <c r="F1680" t="s">
        <v>806</v>
      </c>
      <c r="G1680" t="s">
        <v>752</v>
      </c>
      <c r="H1680">
        <v>58</v>
      </c>
      <c r="I1680">
        <v>67.413799999999995</v>
      </c>
      <c r="J1680">
        <v>74.206900000000005</v>
      </c>
      <c r="K1680">
        <v>6.7930999999999999</v>
      </c>
      <c r="L1680">
        <v>32</v>
      </c>
      <c r="M1680">
        <v>6</v>
      </c>
      <c r="N1680">
        <v>20</v>
      </c>
      <c r="O1680">
        <v>71.993600000000001</v>
      </c>
      <c r="P1680">
        <v>6.4652000000000003</v>
      </c>
      <c r="Q1680">
        <v>18.413499999999999</v>
      </c>
    </row>
    <row r="1681" spans="1:17" x14ac:dyDescent="0.25">
      <c r="A1681" t="str">
        <f>IF(C1681&amp;G1681&amp;D1681&lt;&gt;'Funnel setup'!$K$3&amp;'Funnel setup'!$K$4&amp;'Funnel setup'!$K$6,".",IF(A1680=".",1,A1680+1))</f>
        <v>.</v>
      </c>
      <c r="B1681" s="244" t="str">
        <f t="shared" si="26"/>
        <v>Knee Replacement PrimarySub-ICB of GP PracticeNHS GREATER MANCHESTER ICB - 01D (01D)EQ VAS</v>
      </c>
      <c r="C1681" t="s">
        <v>969</v>
      </c>
      <c r="D1681" t="s">
        <v>1021</v>
      </c>
      <c r="E1681" t="s">
        <v>807</v>
      </c>
      <c r="F1681" t="s">
        <v>808</v>
      </c>
      <c r="G1681" t="s">
        <v>752</v>
      </c>
      <c r="H1681">
        <v>17</v>
      </c>
      <c r="I1681">
        <v>72.058800000000005</v>
      </c>
      <c r="J1681">
        <v>78</v>
      </c>
      <c r="K1681">
        <v>5.9411800000000001</v>
      </c>
      <c r="L1681">
        <v>8</v>
      </c>
      <c r="M1681">
        <v>2</v>
      </c>
      <c r="N1681">
        <v>7</v>
      </c>
      <c r="O1681" t="s">
        <v>127</v>
      </c>
      <c r="P1681" t="s">
        <v>127</v>
      </c>
      <c r="Q1681" t="s">
        <v>127</v>
      </c>
    </row>
    <row r="1682" spans="1:17" x14ac:dyDescent="0.25">
      <c r="A1682" t="str">
        <f>IF(C1682&amp;G1682&amp;D1682&lt;&gt;'Funnel setup'!$K$3&amp;'Funnel setup'!$K$4&amp;'Funnel setup'!$K$6,".",IF(A1681=".",1,A1681+1))</f>
        <v>.</v>
      </c>
      <c r="B1682" s="244" t="str">
        <f t="shared" si="26"/>
        <v>Knee Replacement PrimarySub-ICB of GP PracticeNHS GREATER MANCHESTER ICB - 01G (01G)EQ VAS</v>
      </c>
      <c r="C1682" t="s">
        <v>969</v>
      </c>
      <c r="D1682" t="s">
        <v>1021</v>
      </c>
      <c r="E1682" t="s">
        <v>809</v>
      </c>
      <c r="F1682" t="s">
        <v>810</v>
      </c>
      <c r="G1682" t="s">
        <v>752</v>
      </c>
      <c r="H1682">
        <v>60</v>
      </c>
      <c r="I1682">
        <v>69.783299999999997</v>
      </c>
      <c r="J1682">
        <v>74.599999999999994</v>
      </c>
      <c r="K1682">
        <v>4.8166700000000002</v>
      </c>
      <c r="L1682">
        <v>31</v>
      </c>
      <c r="M1682">
        <v>8</v>
      </c>
      <c r="N1682">
        <v>21</v>
      </c>
      <c r="O1682">
        <v>75.470799999999997</v>
      </c>
      <c r="P1682">
        <v>9.9423499999999994</v>
      </c>
      <c r="Q1682">
        <v>16.944299999999998</v>
      </c>
    </row>
    <row r="1683" spans="1:17" x14ac:dyDescent="0.25">
      <c r="A1683" t="str">
        <f>IF(C1683&amp;G1683&amp;D1683&lt;&gt;'Funnel setup'!$K$3&amp;'Funnel setup'!$K$4&amp;'Funnel setup'!$K$6,".",IF(A1682=".",1,A1682+1))</f>
        <v>.</v>
      </c>
      <c r="B1683" s="244" t="str">
        <f t="shared" si="26"/>
        <v>Knee Replacement PrimarySub-ICB of GP PracticeNHS GREATER MANCHESTER ICB - 01W (01W)EQ VAS</v>
      </c>
      <c r="C1683" t="s">
        <v>969</v>
      </c>
      <c r="D1683" t="s">
        <v>1021</v>
      </c>
      <c r="E1683" t="s">
        <v>811</v>
      </c>
      <c r="F1683" t="s">
        <v>812</v>
      </c>
      <c r="G1683" t="s">
        <v>752</v>
      </c>
      <c r="H1683">
        <v>49</v>
      </c>
      <c r="I1683">
        <v>67.816299999999998</v>
      </c>
      <c r="J1683">
        <v>76.530600000000007</v>
      </c>
      <c r="K1683">
        <v>8.7142900000000001</v>
      </c>
      <c r="L1683">
        <v>31</v>
      </c>
      <c r="M1683">
        <v>3</v>
      </c>
      <c r="N1683">
        <v>15</v>
      </c>
      <c r="O1683">
        <v>75.265900000000002</v>
      </c>
      <c r="P1683">
        <v>9.7374600000000004</v>
      </c>
      <c r="Q1683">
        <v>19.3767</v>
      </c>
    </row>
    <row r="1684" spans="1:17" x14ac:dyDescent="0.25">
      <c r="A1684" t="str">
        <f>IF(C1684&amp;G1684&amp;D1684&lt;&gt;'Funnel setup'!$K$3&amp;'Funnel setup'!$K$4&amp;'Funnel setup'!$K$6,".",IF(A1683=".",1,A1683+1))</f>
        <v>.</v>
      </c>
      <c r="B1684" s="244" t="str">
        <f t="shared" si="26"/>
        <v>Knee Replacement PrimarySub-ICB of GP PracticeNHS GREATER MANCHESTER ICB - 01Y (01Y)EQ VAS</v>
      </c>
      <c r="C1684" t="s">
        <v>969</v>
      </c>
      <c r="D1684" t="s">
        <v>1021</v>
      </c>
      <c r="E1684" t="s">
        <v>813</v>
      </c>
      <c r="F1684" t="s">
        <v>814</v>
      </c>
      <c r="G1684" t="s">
        <v>752</v>
      </c>
      <c r="H1684">
        <v>23</v>
      </c>
      <c r="I1684">
        <v>67</v>
      </c>
      <c r="J1684">
        <v>78.869600000000005</v>
      </c>
      <c r="K1684">
        <v>11.8696</v>
      </c>
      <c r="L1684">
        <v>17</v>
      </c>
      <c r="M1684">
        <v>1</v>
      </c>
      <c r="N1684">
        <v>5</v>
      </c>
      <c r="O1684" t="s">
        <v>127</v>
      </c>
      <c r="P1684" t="s">
        <v>127</v>
      </c>
      <c r="Q1684" t="s">
        <v>127</v>
      </c>
    </row>
    <row r="1685" spans="1:17" x14ac:dyDescent="0.25">
      <c r="A1685" t="str">
        <f>IF(C1685&amp;G1685&amp;D1685&lt;&gt;'Funnel setup'!$K$3&amp;'Funnel setup'!$K$4&amp;'Funnel setup'!$K$6,".",IF(A1684=".",1,A1684+1))</f>
        <v>.</v>
      </c>
      <c r="B1685" s="244" t="str">
        <f t="shared" si="26"/>
        <v>Knee Replacement PrimarySub-ICB of GP PracticeNHS GREATER MANCHESTER ICB - 02A (02A)EQ VAS</v>
      </c>
      <c r="C1685" t="s">
        <v>969</v>
      </c>
      <c r="D1685" t="s">
        <v>1021</v>
      </c>
      <c r="E1685" t="s">
        <v>815</v>
      </c>
      <c r="F1685" t="s">
        <v>816</v>
      </c>
      <c r="G1685" t="s">
        <v>752</v>
      </c>
      <c r="H1685">
        <v>75</v>
      </c>
      <c r="I1685">
        <v>64.666700000000006</v>
      </c>
      <c r="J1685">
        <v>71.040000000000006</v>
      </c>
      <c r="K1685">
        <v>6.3733300000000002</v>
      </c>
      <c r="L1685">
        <v>41</v>
      </c>
      <c r="M1685">
        <v>6</v>
      </c>
      <c r="N1685">
        <v>28</v>
      </c>
      <c r="O1685">
        <v>71.166300000000007</v>
      </c>
      <c r="P1685">
        <v>5.6378899999999996</v>
      </c>
      <c r="Q1685">
        <v>18.577400000000001</v>
      </c>
    </row>
    <row r="1686" spans="1:17" x14ac:dyDescent="0.25">
      <c r="A1686" t="str">
        <f>IF(C1686&amp;G1686&amp;D1686&lt;&gt;'Funnel setup'!$K$3&amp;'Funnel setup'!$K$4&amp;'Funnel setup'!$K$6,".",IF(A1685=".",1,A1685+1))</f>
        <v>.</v>
      </c>
      <c r="B1686" s="244" t="str">
        <f t="shared" si="26"/>
        <v>Knee Replacement PrimarySub-ICB of GP PracticeNHS GREATER MANCHESTER ICB - 02H (02H)EQ VAS</v>
      </c>
      <c r="C1686" t="s">
        <v>969</v>
      </c>
      <c r="D1686" t="s">
        <v>1021</v>
      </c>
      <c r="E1686" t="s">
        <v>817</v>
      </c>
      <c r="F1686" t="s">
        <v>818</v>
      </c>
      <c r="G1686" t="s">
        <v>752</v>
      </c>
      <c r="H1686">
        <v>25</v>
      </c>
      <c r="I1686">
        <v>65.08</v>
      </c>
      <c r="J1686">
        <v>74.56</v>
      </c>
      <c r="K1686">
        <v>9.48</v>
      </c>
      <c r="L1686">
        <v>14</v>
      </c>
      <c r="M1686">
        <v>3</v>
      </c>
      <c r="N1686">
        <v>8</v>
      </c>
      <c r="O1686" t="s">
        <v>127</v>
      </c>
      <c r="P1686" t="s">
        <v>127</v>
      </c>
      <c r="Q1686" t="s">
        <v>127</v>
      </c>
    </row>
    <row r="1687" spans="1:17" x14ac:dyDescent="0.25">
      <c r="A1687" t="str">
        <f>IF(C1687&amp;G1687&amp;D1687&lt;&gt;'Funnel setup'!$K$3&amp;'Funnel setup'!$K$4&amp;'Funnel setup'!$K$6,".",IF(A1686=".",1,A1686+1))</f>
        <v>.</v>
      </c>
      <c r="B1687" s="244" t="str">
        <f t="shared" si="26"/>
        <v>Knee Replacement PrimarySub-ICB of GP PracticeNHS GREATER MANCHESTER ICB - 14L (14L)EQ VAS</v>
      </c>
      <c r="C1687" t="s">
        <v>969</v>
      </c>
      <c r="D1687" t="s">
        <v>1021</v>
      </c>
      <c r="E1687" t="s">
        <v>819</v>
      </c>
      <c r="F1687" t="s">
        <v>820</v>
      </c>
      <c r="G1687" t="s">
        <v>752</v>
      </c>
      <c r="H1687">
        <v>47</v>
      </c>
      <c r="I1687">
        <v>60.085099999999997</v>
      </c>
      <c r="J1687">
        <v>72.978700000000003</v>
      </c>
      <c r="K1687">
        <v>12.893599999999999</v>
      </c>
      <c r="L1687">
        <v>27</v>
      </c>
      <c r="M1687">
        <v>6</v>
      </c>
      <c r="N1687">
        <v>14</v>
      </c>
      <c r="O1687">
        <v>77.476399999999998</v>
      </c>
      <c r="P1687">
        <v>11.948</v>
      </c>
      <c r="Q1687">
        <v>18.398399999999999</v>
      </c>
    </row>
    <row r="1688" spans="1:17" x14ac:dyDescent="0.25">
      <c r="A1688" t="str">
        <f>IF(C1688&amp;G1688&amp;D1688&lt;&gt;'Funnel setup'!$K$3&amp;'Funnel setup'!$K$4&amp;'Funnel setup'!$K$6,".",IF(A1687=".",1,A1687+1))</f>
        <v>.</v>
      </c>
      <c r="B1688" s="244" t="str">
        <f t="shared" si="26"/>
        <v>Knee Replacement PrimarySub-ICB of GP PracticeNHS HAMPSHIRE AND ISLE OF WIGHT ICB - 10R (10R)EQ VAS</v>
      </c>
      <c r="C1688" t="s">
        <v>969</v>
      </c>
      <c r="D1688" t="s">
        <v>1021</v>
      </c>
      <c r="E1688" t="s">
        <v>821</v>
      </c>
      <c r="F1688" t="s">
        <v>822</v>
      </c>
      <c r="G1688" t="s">
        <v>752</v>
      </c>
      <c r="H1688">
        <v>8</v>
      </c>
      <c r="I1688">
        <v>74.125</v>
      </c>
      <c r="J1688">
        <v>73.125</v>
      </c>
      <c r="K1688">
        <v>-1</v>
      </c>
      <c r="L1688">
        <v>2</v>
      </c>
      <c r="M1688">
        <v>2</v>
      </c>
      <c r="N1688">
        <v>4</v>
      </c>
      <c r="O1688" t="s">
        <v>127</v>
      </c>
      <c r="P1688" t="s">
        <v>127</v>
      </c>
      <c r="Q1688" t="s">
        <v>127</v>
      </c>
    </row>
    <row r="1689" spans="1:17" x14ac:dyDescent="0.25">
      <c r="A1689" t="str">
        <f>IF(C1689&amp;G1689&amp;D1689&lt;&gt;'Funnel setup'!$K$3&amp;'Funnel setup'!$K$4&amp;'Funnel setup'!$K$6,".",IF(A1688=".",1,A1688+1))</f>
        <v>.</v>
      </c>
      <c r="B1689" s="244" t="str">
        <f t="shared" si="26"/>
        <v>Knee Replacement PrimarySub-ICB of GP PracticeNHS HAMPSHIRE AND ISLE OF WIGHT ICB - D9Y0V (D9Y0V)EQ VAS</v>
      </c>
      <c r="C1689" t="s">
        <v>969</v>
      </c>
      <c r="D1689" t="s">
        <v>1021</v>
      </c>
      <c r="E1689" t="s">
        <v>823</v>
      </c>
      <c r="F1689" t="s">
        <v>824</v>
      </c>
      <c r="G1689" t="s">
        <v>752</v>
      </c>
      <c r="H1689">
        <v>319</v>
      </c>
      <c r="I1689">
        <v>67.266499999999994</v>
      </c>
      <c r="J1689">
        <v>74.219399999999993</v>
      </c>
      <c r="K1689">
        <v>6.9529800000000002</v>
      </c>
      <c r="L1689">
        <v>195</v>
      </c>
      <c r="M1689">
        <v>27</v>
      </c>
      <c r="N1689">
        <v>97</v>
      </c>
      <c r="O1689">
        <v>72.747699999999995</v>
      </c>
      <c r="P1689">
        <v>7.2192600000000002</v>
      </c>
      <c r="Q1689">
        <v>17.3429</v>
      </c>
    </row>
    <row r="1690" spans="1:17" x14ac:dyDescent="0.25">
      <c r="A1690" t="str">
        <f>IF(C1690&amp;G1690&amp;D1690&lt;&gt;'Funnel setup'!$K$3&amp;'Funnel setup'!$K$4&amp;'Funnel setup'!$K$6,".",IF(A1689=".",1,A1689+1))</f>
        <v>.</v>
      </c>
      <c r="B1690" s="244" t="str">
        <f t="shared" si="26"/>
        <v>Knee Replacement PrimarySub-ICB of GP PracticeNHS HEREFORDSHIRE AND WORCESTERSHIRE ICB - 18C (18C)EQ VAS</v>
      </c>
      <c r="C1690" t="s">
        <v>969</v>
      </c>
      <c r="D1690" t="s">
        <v>1021</v>
      </c>
      <c r="E1690" t="s">
        <v>825</v>
      </c>
      <c r="F1690" t="s">
        <v>826</v>
      </c>
      <c r="G1690" t="s">
        <v>752</v>
      </c>
      <c r="H1690">
        <v>194</v>
      </c>
      <c r="I1690">
        <v>66.752600000000001</v>
      </c>
      <c r="J1690">
        <v>72.551500000000004</v>
      </c>
      <c r="K1690">
        <v>5.7989699999999997</v>
      </c>
      <c r="L1690">
        <v>106</v>
      </c>
      <c r="M1690">
        <v>22</v>
      </c>
      <c r="N1690">
        <v>66</v>
      </c>
      <c r="O1690">
        <v>71.948599999999999</v>
      </c>
      <c r="P1690">
        <v>6.4202000000000004</v>
      </c>
      <c r="Q1690">
        <v>18.766500000000001</v>
      </c>
    </row>
    <row r="1691" spans="1:17" x14ac:dyDescent="0.25">
      <c r="A1691" t="str">
        <f>IF(C1691&amp;G1691&amp;D1691&lt;&gt;'Funnel setup'!$K$3&amp;'Funnel setup'!$K$4&amp;'Funnel setup'!$K$6,".",IF(A1690=".",1,A1690+1))</f>
        <v>.</v>
      </c>
      <c r="B1691" s="244" t="str">
        <f t="shared" si="26"/>
        <v>Knee Replacement PrimarySub-ICB of GP PracticeNHS HERTFORDSHIRE AND WEST ESSEX ICB - 06K (06K)EQ VAS</v>
      </c>
      <c r="C1691" t="s">
        <v>969</v>
      </c>
      <c r="D1691" t="s">
        <v>1021</v>
      </c>
      <c r="E1691" t="s">
        <v>827</v>
      </c>
      <c r="F1691" t="s">
        <v>828</v>
      </c>
      <c r="G1691" t="s">
        <v>752</v>
      </c>
      <c r="H1691">
        <v>87</v>
      </c>
      <c r="I1691">
        <v>66.333299999999994</v>
      </c>
      <c r="J1691">
        <v>74.712599999999995</v>
      </c>
      <c r="K1691">
        <v>8.3793100000000003</v>
      </c>
      <c r="L1691">
        <v>52</v>
      </c>
      <c r="M1691">
        <v>11</v>
      </c>
      <c r="N1691">
        <v>24</v>
      </c>
      <c r="O1691">
        <v>74.868499999999997</v>
      </c>
      <c r="P1691">
        <v>9.3400700000000008</v>
      </c>
      <c r="Q1691">
        <v>17.338100000000001</v>
      </c>
    </row>
    <row r="1692" spans="1:17" x14ac:dyDescent="0.25">
      <c r="A1692" t="str">
        <f>IF(C1692&amp;G1692&amp;D1692&lt;&gt;'Funnel setup'!$K$3&amp;'Funnel setup'!$K$4&amp;'Funnel setup'!$K$6,".",IF(A1691=".",1,A1691+1))</f>
        <v>.</v>
      </c>
      <c r="B1692" s="244" t="str">
        <f t="shared" si="26"/>
        <v>Knee Replacement PrimarySub-ICB of GP PracticeNHS HERTFORDSHIRE AND WEST ESSEX ICB - 06N (06N)EQ VAS</v>
      </c>
      <c r="C1692" t="s">
        <v>969</v>
      </c>
      <c r="D1692" t="s">
        <v>1021</v>
      </c>
      <c r="E1692" t="s">
        <v>829</v>
      </c>
      <c r="F1692" t="s">
        <v>830</v>
      </c>
      <c r="G1692" t="s">
        <v>752</v>
      </c>
      <c r="H1692">
        <v>106</v>
      </c>
      <c r="I1692">
        <v>64.915099999999995</v>
      </c>
      <c r="J1692">
        <v>73.566000000000003</v>
      </c>
      <c r="K1692">
        <v>8.6509400000000003</v>
      </c>
      <c r="L1692">
        <v>62</v>
      </c>
      <c r="M1692">
        <v>16</v>
      </c>
      <c r="N1692">
        <v>28</v>
      </c>
      <c r="O1692">
        <v>73.215699999999998</v>
      </c>
      <c r="P1692">
        <v>7.6872699999999998</v>
      </c>
      <c r="Q1692">
        <v>16.345500000000001</v>
      </c>
    </row>
    <row r="1693" spans="1:17" x14ac:dyDescent="0.25">
      <c r="A1693" t="str">
        <f>IF(C1693&amp;G1693&amp;D1693&lt;&gt;'Funnel setup'!$K$3&amp;'Funnel setup'!$K$4&amp;'Funnel setup'!$K$6,".",IF(A1692=".",1,A1692+1))</f>
        <v>.</v>
      </c>
      <c r="B1693" s="244" t="str">
        <f t="shared" si="26"/>
        <v>Knee Replacement PrimarySub-ICB of GP PracticeNHS HERTFORDSHIRE AND WEST ESSEX ICB - 07H (07H)EQ VAS</v>
      </c>
      <c r="C1693" t="s">
        <v>969</v>
      </c>
      <c r="D1693" t="s">
        <v>1021</v>
      </c>
      <c r="E1693" t="s">
        <v>831</v>
      </c>
      <c r="F1693" t="s">
        <v>832</v>
      </c>
      <c r="G1693" t="s">
        <v>752</v>
      </c>
      <c r="H1693">
        <v>66</v>
      </c>
      <c r="I1693">
        <v>62.5152</v>
      </c>
      <c r="J1693">
        <v>71.106099999999998</v>
      </c>
      <c r="K1693">
        <v>8.5909099999999992</v>
      </c>
      <c r="L1693">
        <v>42</v>
      </c>
      <c r="M1693">
        <v>5</v>
      </c>
      <c r="N1693">
        <v>19</v>
      </c>
      <c r="O1693">
        <v>71.556700000000006</v>
      </c>
      <c r="P1693">
        <v>6.0283300000000004</v>
      </c>
      <c r="Q1693">
        <v>18.811800000000002</v>
      </c>
    </row>
    <row r="1694" spans="1:17" x14ac:dyDescent="0.25">
      <c r="A1694" t="str">
        <f>IF(C1694&amp;G1694&amp;D1694&lt;&gt;'Funnel setup'!$K$3&amp;'Funnel setup'!$K$4&amp;'Funnel setup'!$K$6,".",IF(A1693=".",1,A1693+1))</f>
        <v>.</v>
      </c>
      <c r="B1694" s="244" t="str">
        <f t="shared" si="26"/>
        <v>Knee Replacement PrimarySub-ICB of GP PracticeNHS HUMBER AND NORTH YORKSHIRE ICB - 02Y (02Y)EQ VAS</v>
      </c>
      <c r="C1694" t="s">
        <v>969</v>
      </c>
      <c r="D1694" t="s">
        <v>1021</v>
      </c>
      <c r="E1694" t="s">
        <v>833</v>
      </c>
      <c r="F1694" t="s">
        <v>834</v>
      </c>
      <c r="G1694" t="s">
        <v>752</v>
      </c>
      <c r="H1694">
        <v>72</v>
      </c>
      <c r="I1694">
        <v>64.763900000000007</v>
      </c>
      <c r="J1694">
        <v>70.805599999999998</v>
      </c>
      <c r="K1694">
        <v>6.0416699999999999</v>
      </c>
      <c r="L1694">
        <v>44</v>
      </c>
      <c r="M1694">
        <v>6</v>
      </c>
      <c r="N1694">
        <v>22</v>
      </c>
      <c r="O1694">
        <v>70.313599999999994</v>
      </c>
      <c r="P1694">
        <v>4.7851600000000003</v>
      </c>
      <c r="Q1694">
        <v>15.046900000000001</v>
      </c>
    </row>
    <row r="1695" spans="1:17" x14ac:dyDescent="0.25">
      <c r="A1695" t="str">
        <f>IF(C1695&amp;G1695&amp;D1695&lt;&gt;'Funnel setup'!$K$3&amp;'Funnel setup'!$K$4&amp;'Funnel setup'!$K$6,".",IF(A1694=".",1,A1694+1))</f>
        <v>.</v>
      </c>
      <c r="B1695" s="244" t="str">
        <f t="shared" si="26"/>
        <v>Knee Replacement PrimarySub-ICB of GP PracticeNHS HUMBER AND NORTH YORKSHIRE ICB - 03F (03F)EQ VAS</v>
      </c>
      <c r="C1695" t="s">
        <v>969</v>
      </c>
      <c r="D1695" t="s">
        <v>1021</v>
      </c>
      <c r="E1695" t="s">
        <v>835</v>
      </c>
      <c r="F1695" t="s">
        <v>836</v>
      </c>
      <c r="G1695" t="s">
        <v>752</v>
      </c>
      <c r="H1695">
        <v>25</v>
      </c>
      <c r="I1695">
        <v>65</v>
      </c>
      <c r="J1695">
        <v>73.56</v>
      </c>
      <c r="K1695">
        <v>8.56</v>
      </c>
      <c r="L1695">
        <v>16</v>
      </c>
      <c r="M1695">
        <v>5</v>
      </c>
      <c r="N1695">
        <v>4</v>
      </c>
      <c r="O1695" t="s">
        <v>127</v>
      </c>
      <c r="P1695" t="s">
        <v>127</v>
      </c>
      <c r="Q1695" t="s">
        <v>127</v>
      </c>
    </row>
    <row r="1696" spans="1:17" x14ac:dyDescent="0.25">
      <c r="A1696" t="str">
        <f>IF(C1696&amp;G1696&amp;D1696&lt;&gt;'Funnel setup'!$K$3&amp;'Funnel setup'!$K$4&amp;'Funnel setup'!$K$6,".",IF(A1695=".",1,A1695+1))</f>
        <v>.</v>
      </c>
      <c r="B1696" s="244" t="str">
        <f t="shared" si="26"/>
        <v>Knee Replacement PrimarySub-ICB of GP PracticeNHS HUMBER AND NORTH YORKSHIRE ICB - 03H (03H)EQ VAS</v>
      </c>
      <c r="C1696" t="s">
        <v>969</v>
      </c>
      <c r="D1696" t="s">
        <v>1021</v>
      </c>
      <c r="E1696" t="s">
        <v>837</v>
      </c>
      <c r="F1696" t="s">
        <v>838</v>
      </c>
      <c r="G1696" t="s">
        <v>752</v>
      </c>
      <c r="H1696">
        <v>66</v>
      </c>
      <c r="I1696">
        <v>70.060599999999994</v>
      </c>
      <c r="J1696">
        <v>71.666700000000006</v>
      </c>
      <c r="K1696">
        <v>1.60606</v>
      </c>
      <c r="L1696">
        <v>34</v>
      </c>
      <c r="M1696">
        <v>10</v>
      </c>
      <c r="N1696">
        <v>22</v>
      </c>
      <c r="O1696">
        <v>70.147999999999996</v>
      </c>
      <c r="P1696">
        <v>4.6195500000000003</v>
      </c>
      <c r="Q1696">
        <v>20.338000000000001</v>
      </c>
    </row>
    <row r="1697" spans="1:17" x14ac:dyDescent="0.25">
      <c r="A1697" t="str">
        <f>IF(C1697&amp;G1697&amp;D1697&lt;&gt;'Funnel setup'!$K$3&amp;'Funnel setup'!$K$4&amp;'Funnel setup'!$K$6,".",IF(A1696=".",1,A1696+1))</f>
        <v>.</v>
      </c>
      <c r="B1697" s="244" t="str">
        <f t="shared" si="26"/>
        <v>Knee Replacement PrimarySub-ICB of GP PracticeNHS HUMBER AND NORTH YORKSHIRE ICB - 03K (03K)EQ VAS</v>
      </c>
      <c r="C1697" t="s">
        <v>969</v>
      </c>
      <c r="D1697" t="s">
        <v>1021</v>
      </c>
      <c r="E1697" t="s">
        <v>839</v>
      </c>
      <c r="F1697" t="s">
        <v>840</v>
      </c>
      <c r="G1697" t="s">
        <v>752</v>
      </c>
      <c r="H1697">
        <v>60</v>
      </c>
      <c r="I1697">
        <v>64.183300000000003</v>
      </c>
      <c r="J1697">
        <v>69</v>
      </c>
      <c r="K1697">
        <v>4.8166700000000002</v>
      </c>
      <c r="L1697">
        <v>33</v>
      </c>
      <c r="M1697">
        <v>7</v>
      </c>
      <c r="N1697">
        <v>20</v>
      </c>
      <c r="O1697">
        <v>69.203500000000005</v>
      </c>
      <c r="P1697">
        <v>3.6750600000000002</v>
      </c>
      <c r="Q1697">
        <v>17.2438</v>
      </c>
    </row>
    <row r="1698" spans="1:17" x14ac:dyDescent="0.25">
      <c r="A1698" t="str">
        <f>IF(C1698&amp;G1698&amp;D1698&lt;&gt;'Funnel setup'!$K$3&amp;'Funnel setup'!$K$4&amp;'Funnel setup'!$K$6,".",IF(A1697=".",1,A1697+1))</f>
        <v>.</v>
      </c>
      <c r="B1698" s="244" t="str">
        <f t="shared" si="26"/>
        <v>Knee Replacement PrimarySub-ICB of GP PracticeNHS HUMBER AND NORTH YORKSHIRE ICB - 03Q (03Q)EQ VAS</v>
      </c>
      <c r="C1698" t="s">
        <v>969</v>
      </c>
      <c r="D1698" t="s">
        <v>1021</v>
      </c>
      <c r="E1698" t="s">
        <v>841</v>
      </c>
      <c r="F1698" t="s">
        <v>842</v>
      </c>
      <c r="G1698" t="s">
        <v>752</v>
      </c>
      <c r="H1698">
        <v>64</v>
      </c>
      <c r="I1698">
        <v>63.8125</v>
      </c>
      <c r="J1698">
        <v>75.609399999999994</v>
      </c>
      <c r="K1698">
        <v>11.796900000000001</v>
      </c>
      <c r="L1698">
        <v>41</v>
      </c>
      <c r="M1698">
        <v>4</v>
      </c>
      <c r="N1698">
        <v>19</v>
      </c>
      <c r="O1698">
        <v>73.900800000000004</v>
      </c>
      <c r="P1698">
        <v>8.3723700000000001</v>
      </c>
      <c r="Q1698">
        <v>16.643799999999999</v>
      </c>
    </row>
    <row r="1699" spans="1:17" x14ac:dyDescent="0.25">
      <c r="A1699" t="str">
        <f>IF(C1699&amp;G1699&amp;D1699&lt;&gt;'Funnel setup'!$K$3&amp;'Funnel setup'!$K$4&amp;'Funnel setup'!$K$6,".",IF(A1698=".",1,A1698+1))</f>
        <v>.</v>
      </c>
      <c r="B1699" s="244" t="str">
        <f t="shared" si="26"/>
        <v>Knee Replacement PrimarySub-ICB of GP PracticeNHS HUMBER AND NORTH YORKSHIRE ICB - 42D (42D)EQ VAS</v>
      </c>
      <c r="C1699" t="s">
        <v>969</v>
      </c>
      <c r="D1699" t="s">
        <v>1021</v>
      </c>
      <c r="E1699" t="s">
        <v>843</v>
      </c>
      <c r="F1699" t="s">
        <v>844</v>
      </c>
      <c r="G1699" t="s">
        <v>752</v>
      </c>
      <c r="H1699">
        <v>193</v>
      </c>
      <c r="I1699">
        <v>63.471499999999999</v>
      </c>
      <c r="J1699">
        <v>74.600999999999999</v>
      </c>
      <c r="K1699">
        <v>11.1295</v>
      </c>
      <c r="L1699">
        <v>132</v>
      </c>
      <c r="M1699">
        <v>13</v>
      </c>
      <c r="N1699">
        <v>48</v>
      </c>
      <c r="O1699">
        <v>74.850899999999996</v>
      </c>
      <c r="P1699">
        <v>9.32254</v>
      </c>
      <c r="Q1699">
        <v>17.646799999999999</v>
      </c>
    </row>
    <row r="1700" spans="1:17" x14ac:dyDescent="0.25">
      <c r="A1700" t="str">
        <f>IF(C1700&amp;G1700&amp;D1700&lt;&gt;'Funnel setup'!$K$3&amp;'Funnel setup'!$K$4&amp;'Funnel setup'!$K$6,".",IF(A1699=".",1,A1699+1))</f>
        <v>.</v>
      </c>
      <c r="B1700" s="244" t="str">
        <f t="shared" si="26"/>
        <v>Knee Replacement PrimarySub-ICB of GP PracticeNHS KENT AND MEDWAY ICB - 91Q (91Q)EQ VAS</v>
      </c>
      <c r="C1700" t="s">
        <v>969</v>
      </c>
      <c r="D1700" t="s">
        <v>1021</v>
      </c>
      <c r="E1700" t="s">
        <v>845</v>
      </c>
      <c r="F1700" t="s">
        <v>846</v>
      </c>
      <c r="G1700" t="s">
        <v>752</v>
      </c>
      <c r="H1700">
        <v>537</v>
      </c>
      <c r="I1700">
        <v>67.132199999999997</v>
      </c>
      <c r="J1700">
        <v>76.519599999999997</v>
      </c>
      <c r="K1700">
        <v>9.38734</v>
      </c>
      <c r="L1700">
        <v>349</v>
      </c>
      <c r="M1700">
        <v>43</v>
      </c>
      <c r="N1700">
        <v>145</v>
      </c>
      <c r="O1700">
        <v>75.664199999999994</v>
      </c>
      <c r="P1700">
        <v>10.1358</v>
      </c>
      <c r="Q1700">
        <v>15.870699999999999</v>
      </c>
    </row>
    <row r="1701" spans="1:17" x14ac:dyDescent="0.25">
      <c r="A1701" t="str">
        <f>IF(C1701&amp;G1701&amp;D1701&lt;&gt;'Funnel setup'!$K$3&amp;'Funnel setup'!$K$4&amp;'Funnel setup'!$K$6,".",IF(A1700=".",1,A1700+1))</f>
        <v>.</v>
      </c>
      <c r="B1701" s="244" t="str">
        <f t="shared" si="26"/>
        <v>Knee Replacement PrimarySub-ICB of GP PracticeNHS LANCASHIRE AND SOUTH CUMBRIA ICB - 00Q (00Q)EQ VAS</v>
      </c>
      <c r="C1701" t="s">
        <v>969</v>
      </c>
      <c r="D1701" t="s">
        <v>1021</v>
      </c>
      <c r="E1701" t="s">
        <v>847</v>
      </c>
      <c r="F1701" t="s">
        <v>848</v>
      </c>
      <c r="G1701" t="s">
        <v>752</v>
      </c>
      <c r="H1701">
        <v>47</v>
      </c>
      <c r="I1701">
        <v>64.893600000000006</v>
      </c>
      <c r="J1701">
        <v>72.914900000000003</v>
      </c>
      <c r="K1701">
        <v>8.0212800000000009</v>
      </c>
      <c r="L1701">
        <v>29</v>
      </c>
      <c r="M1701">
        <v>3</v>
      </c>
      <c r="N1701">
        <v>15</v>
      </c>
      <c r="O1701">
        <v>73.366600000000005</v>
      </c>
      <c r="P1701">
        <v>7.8382500000000004</v>
      </c>
      <c r="Q1701">
        <v>18.832999999999998</v>
      </c>
    </row>
    <row r="1702" spans="1:17" x14ac:dyDescent="0.25">
      <c r="A1702" t="str">
        <f>IF(C1702&amp;G1702&amp;D1702&lt;&gt;'Funnel setup'!$K$3&amp;'Funnel setup'!$K$4&amp;'Funnel setup'!$K$6,".",IF(A1701=".",1,A1701+1))</f>
        <v>.</v>
      </c>
      <c r="B1702" s="244" t="str">
        <f t="shared" si="26"/>
        <v>Knee Replacement PrimarySub-ICB of GP PracticeNHS LANCASHIRE AND SOUTH CUMBRIA ICB - 00R (00R)EQ VAS</v>
      </c>
      <c r="C1702" t="s">
        <v>969</v>
      </c>
      <c r="D1702" t="s">
        <v>1021</v>
      </c>
      <c r="E1702" t="s">
        <v>849</v>
      </c>
      <c r="F1702" t="s">
        <v>850</v>
      </c>
      <c r="G1702" t="s">
        <v>752</v>
      </c>
      <c r="H1702">
        <v>45</v>
      </c>
      <c r="I1702">
        <v>69.2667</v>
      </c>
      <c r="J1702">
        <v>69.155600000000007</v>
      </c>
      <c r="K1702">
        <v>-0.111111</v>
      </c>
      <c r="L1702">
        <v>23</v>
      </c>
      <c r="M1702">
        <v>7</v>
      </c>
      <c r="N1702">
        <v>15</v>
      </c>
      <c r="O1702">
        <v>71.361500000000007</v>
      </c>
      <c r="P1702">
        <v>5.8331499999999998</v>
      </c>
      <c r="Q1702">
        <v>18.403300000000002</v>
      </c>
    </row>
    <row r="1703" spans="1:17" x14ac:dyDescent="0.25">
      <c r="A1703" t="str">
        <f>IF(C1703&amp;G1703&amp;D1703&lt;&gt;'Funnel setup'!$K$3&amp;'Funnel setup'!$K$4&amp;'Funnel setup'!$K$6,".",IF(A1702=".",1,A1702+1))</f>
        <v>.</v>
      </c>
      <c r="B1703" s="244" t="str">
        <f t="shared" si="26"/>
        <v>Knee Replacement PrimarySub-ICB of GP PracticeNHS LANCASHIRE AND SOUTH CUMBRIA ICB - 00X (00X)EQ VAS</v>
      </c>
      <c r="C1703" t="s">
        <v>969</v>
      </c>
      <c r="D1703" t="s">
        <v>1021</v>
      </c>
      <c r="E1703" t="s">
        <v>851</v>
      </c>
      <c r="F1703" t="s">
        <v>852</v>
      </c>
      <c r="G1703" t="s">
        <v>752</v>
      </c>
      <c r="H1703">
        <v>62</v>
      </c>
      <c r="I1703">
        <v>63.919400000000003</v>
      </c>
      <c r="J1703">
        <v>73.790300000000002</v>
      </c>
      <c r="K1703">
        <v>9.8709699999999998</v>
      </c>
      <c r="L1703">
        <v>44</v>
      </c>
      <c r="M1703">
        <v>2</v>
      </c>
      <c r="N1703">
        <v>16</v>
      </c>
      <c r="O1703">
        <v>73.866200000000006</v>
      </c>
      <c r="P1703">
        <v>8.3378499999999995</v>
      </c>
      <c r="Q1703">
        <v>18.004300000000001</v>
      </c>
    </row>
    <row r="1704" spans="1:17" x14ac:dyDescent="0.25">
      <c r="A1704" t="str">
        <f>IF(C1704&amp;G1704&amp;D1704&lt;&gt;'Funnel setup'!$K$3&amp;'Funnel setup'!$K$4&amp;'Funnel setup'!$K$6,".",IF(A1703=".",1,A1703+1))</f>
        <v>.</v>
      </c>
      <c r="B1704" s="244" t="str">
        <f t="shared" si="26"/>
        <v>Knee Replacement PrimarySub-ICB of GP PracticeNHS LANCASHIRE AND SOUTH CUMBRIA ICB - 01A (01A)EQ VAS</v>
      </c>
      <c r="C1704" t="s">
        <v>969</v>
      </c>
      <c r="D1704" t="s">
        <v>1021</v>
      </c>
      <c r="E1704" t="s">
        <v>853</v>
      </c>
      <c r="F1704" t="s">
        <v>854</v>
      </c>
      <c r="G1704" t="s">
        <v>752</v>
      </c>
      <c r="H1704">
        <v>122</v>
      </c>
      <c r="I1704">
        <v>70.008200000000002</v>
      </c>
      <c r="J1704">
        <v>73.8934</v>
      </c>
      <c r="K1704">
        <v>3.8852500000000001</v>
      </c>
      <c r="L1704">
        <v>64</v>
      </c>
      <c r="M1704">
        <v>16</v>
      </c>
      <c r="N1704">
        <v>42</v>
      </c>
      <c r="O1704">
        <v>72.126000000000005</v>
      </c>
      <c r="P1704">
        <v>6.5975900000000003</v>
      </c>
      <c r="Q1704">
        <v>18.339700000000001</v>
      </c>
    </row>
    <row r="1705" spans="1:17" x14ac:dyDescent="0.25">
      <c r="A1705" t="str">
        <f>IF(C1705&amp;G1705&amp;D1705&lt;&gt;'Funnel setup'!$K$3&amp;'Funnel setup'!$K$4&amp;'Funnel setup'!$K$6,".",IF(A1704=".",1,A1704+1))</f>
        <v>.</v>
      </c>
      <c r="B1705" s="244" t="str">
        <f t="shared" si="26"/>
        <v>Knee Replacement PrimarySub-ICB of GP PracticeNHS LANCASHIRE AND SOUTH CUMBRIA ICB - 01E (01E)EQ VAS</v>
      </c>
      <c r="C1705" t="s">
        <v>969</v>
      </c>
      <c r="D1705" t="s">
        <v>1021</v>
      </c>
      <c r="E1705" t="s">
        <v>855</v>
      </c>
      <c r="F1705" t="s">
        <v>856</v>
      </c>
      <c r="G1705" t="s">
        <v>752</v>
      </c>
      <c r="H1705">
        <v>64</v>
      </c>
      <c r="I1705">
        <v>62.8125</v>
      </c>
      <c r="J1705">
        <v>77.343800000000002</v>
      </c>
      <c r="K1705">
        <v>14.5313</v>
      </c>
      <c r="L1705">
        <v>47</v>
      </c>
      <c r="M1705">
        <v>3</v>
      </c>
      <c r="N1705">
        <v>14</v>
      </c>
      <c r="O1705">
        <v>78.498199999999997</v>
      </c>
      <c r="P1705">
        <v>12.969799999999999</v>
      </c>
      <c r="Q1705">
        <v>15.945499999999999</v>
      </c>
    </row>
    <row r="1706" spans="1:17" x14ac:dyDescent="0.25">
      <c r="A1706" t="str">
        <f>IF(C1706&amp;G1706&amp;D1706&lt;&gt;'Funnel setup'!$K$3&amp;'Funnel setup'!$K$4&amp;'Funnel setup'!$K$6,".",IF(A1705=".",1,A1705+1))</f>
        <v>.</v>
      </c>
      <c r="B1706" s="244" t="str">
        <f t="shared" si="26"/>
        <v>Knee Replacement PrimarySub-ICB of GP PracticeNHS LANCASHIRE AND SOUTH CUMBRIA ICB - 01K (01K)EQ VAS</v>
      </c>
      <c r="C1706" t="s">
        <v>969</v>
      </c>
      <c r="D1706" t="s">
        <v>1021</v>
      </c>
      <c r="E1706" t="s">
        <v>857</v>
      </c>
      <c r="F1706" t="s">
        <v>858</v>
      </c>
      <c r="G1706" t="s">
        <v>752</v>
      </c>
      <c r="H1706">
        <v>172</v>
      </c>
      <c r="I1706">
        <v>65.837199999999996</v>
      </c>
      <c r="J1706">
        <v>74.273300000000006</v>
      </c>
      <c r="K1706">
        <v>8.4360499999999998</v>
      </c>
      <c r="L1706">
        <v>107</v>
      </c>
      <c r="M1706">
        <v>16</v>
      </c>
      <c r="N1706">
        <v>49</v>
      </c>
      <c r="O1706">
        <v>73.918599999999998</v>
      </c>
      <c r="P1706">
        <v>8.3901500000000002</v>
      </c>
      <c r="Q1706">
        <v>16.6328</v>
      </c>
    </row>
    <row r="1707" spans="1:17" x14ac:dyDescent="0.25">
      <c r="A1707" t="str">
        <f>IF(C1707&amp;G1707&amp;D1707&lt;&gt;'Funnel setup'!$K$3&amp;'Funnel setup'!$K$4&amp;'Funnel setup'!$K$6,".",IF(A1706=".",1,A1706+1))</f>
        <v>.</v>
      </c>
      <c r="B1707" s="244" t="str">
        <f t="shared" si="26"/>
        <v>Knee Replacement PrimarySub-ICB of GP PracticeNHS LANCASHIRE AND SOUTH CUMBRIA ICB - 02G (02G)EQ VAS</v>
      </c>
      <c r="C1707" t="s">
        <v>969</v>
      </c>
      <c r="D1707" t="s">
        <v>1021</v>
      </c>
      <c r="E1707" t="s">
        <v>859</v>
      </c>
      <c r="F1707" t="s">
        <v>860</v>
      </c>
      <c r="G1707" t="s">
        <v>752</v>
      </c>
      <c r="H1707">
        <v>23</v>
      </c>
      <c r="I1707">
        <v>70.956500000000005</v>
      </c>
      <c r="J1707">
        <v>78.782600000000002</v>
      </c>
      <c r="K1707">
        <v>7.8260899999999998</v>
      </c>
      <c r="L1707">
        <v>16</v>
      </c>
      <c r="M1707">
        <v>2</v>
      </c>
      <c r="N1707">
        <v>5</v>
      </c>
      <c r="O1707" t="s">
        <v>127</v>
      </c>
      <c r="P1707" t="s">
        <v>127</v>
      </c>
      <c r="Q1707" t="s">
        <v>127</v>
      </c>
    </row>
    <row r="1708" spans="1:17" x14ac:dyDescent="0.25">
      <c r="A1708" t="str">
        <f>IF(C1708&amp;G1708&amp;D1708&lt;&gt;'Funnel setup'!$K$3&amp;'Funnel setup'!$K$4&amp;'Funnel setup'!$K$6,".",IF(A1707=".",1,A1707+1))</f>
        <v>.</v>
      </c>
      <c r="B1708" s="244" t="str">
        <f t="shared" si="26"/>
        <v>Knee Replacement PrimarySub-ICB of GP PracticeNHS LANCASHIRE AND SOUTH CUMBRIA ICB - 02M (02M)EQ VAS</v>
      </c>
      <c r="C1708" t="s">
        <v>969</v>
      </c>
      <c r="D1708" t="s">
        <v>1021</v>
      </c>
      <c r="E1708" t="s">
        <v>861</v>
      </c>
      <c r="F1708" t="s">
        <v>862</v>
      </c>
      <c r="G1708" t="s">
        <v>752</v>
      </c>
      <c r="H1708">
        <v>59</v>
      </c>
      <c r="I1708">
        <v>69.966099999999997</v>
      </c>
      <c r="J1708">
        <v>74.796599999999998</v>
      </c>
      <c r="K1708">
        <v>4.8305100000000003</v>
      </c>
      <c r="L1708">
        <v>30</v>
      </c>
      <c r="M1708">
        <v>8</v>
      </c>
      <c r="N1708">
        <v>21</v>
      </c>
      <c r="O1708">
        <v>73.444400000000002</v>
      </c>
      <c r="P1708">
        <v>7.9159800000000002</v>
      </c>
      <c r="Q1708">
        <v>14.793900000000001</v>
      </c>
    </row>
    <row r="1709" spans="1:17" x14ac:dyDescent="0.25">
      <c r="A1709" t="str">
        <f>IF(C1709&amp;G1709&amp;D1709&lt;&gt;'Funnel setup'!$K$3&amp;'Funnel setup'!$K$4&amp;'Funnel setup'!$K$6,".",IF(A1708=".",1,A1708+1))</f>
        <v>.</v>
      </c>
      <c r="B1709" s="244" t="str">
        <f t="shared" si="26"/>
        <v>Knee Replacement PrimarySub-ICB of GP PracticeNHS LEICESTER, LEICESTERSHIRE AND RUTLAND ICB - 03W (03W)EQ VAS</v>
      </c>
      <c r="C1709" t="s">
        <v>969</v>
      </c>
      <c r="D1709" t="s">
        <v>1021</v>
      </c>
      <c r="E1709" t="s">
        <v>863</v>
      </c>
      <c r="F1709" t="s">
        <v>864</v>
      </c>
      <c r="G1709" t="s">
        <v>752</v>
      </c>
      <c r="H1709">
        <v>141</v>
      </c>
      <c r="I1709">
        <v>62.723399999999998</v>
      </c>
      <c r="J1709">
        <v>75.007099999999994</v>
      </c>
      <c r="K1709">
        <v>12.2837</v>
      </c>
      <c r="L1709">
        <v>85</v>
      </c>
      <c r="M1709">
        <v>15</v>
      </c>
      <c r="N1709">
        <v>41</v>
      </c>
      <c r="O1709">
        <v>75.427899999999994</v>
      </c>
      <c r="P1709">
        <v>9.8995099999999994</v>
      </c>
      <c r="Q1709">
        <v>14.3969</v>
      </c>
    </row>
    <row r="1710" spans="1:17" x14ac:dyDescent="0.25">
      <c r="A1710" t="str">
        <f>IF(C1710&amp;G1710&amp;D1710&lt;&gt;'Funnel setup'!$K$3&amp;'Funnel setup'!$K$4&amp;'Funnel setup'!$K$6,".",IF(A1709=".",1,A1709+1))</f>
        <v>.</v>
      </c>
      <c r="B1710" s="244" t="str">
        <f t="shared" si="26"/>
        <v>Knee Replacement PrimarySub-ICB of GP PracticeNHS LEICESTER, LEICESTERSHIRE AND RUTLAND ICB - 04C (04C)EQ VAS</v>
      </c>
      <c r="C1710" t="s">
        <v>969</v>
      </c>
      <c r="D1710" t="s">
        <v>1021</v>
      </c>
      <c r="E1710" t="s">
        <v>865</v>
      </c>
      <c r="F1710" t="s">
        <v>866</v>
      </c>
      <c r="G1710" t="s">
        <v>752</v>
      </c>
      <c r="H1710">
        <v>41</v>
      </c>
      <c r="I1710">
        <v>60.146299999999997</v>
      </c>
      <c r="J1710">
        <v>66.463399999999993</v>
      </c>
      <c r="K1710">
        <v>6.3170700000000002</v>
      </c>
      <c r="L1710">
        <v>24</v>
      </c>
      <c r="M1710">
        <v>5</v>
      </c>
      <c r="N1710">
        <v>12</v>
      </c>
      <c r="O1710">
        <v>71.894999999999996</v>
      </c>
      <c r="P1710">
        <v>6.3665599999999998</v>
      </c>
      <c r="Q1710">
        <v>16.508099999999999</v>
      </c>
    </row>
    <row r="1711" spans="1:17" x14ac:dyDescent="0.25">
      <c r="A1711" t="str">
        <f>IF(C1711&amp;G1711&amp;D1711&lt;&gt;'Funnel setup'!$K$3&amp;'Funnel setup'!$K$4&amp;'Funnel setup'!$K$6,".",IF(A1710=".",1,A1710+1))</f>
        <v>.</v>
      </c>
      <c r="B1711" s="244" t="str">
        <f t="shared" si="26"/>
        <v>Knee Replacement PrimarySub-ICB of GP PracticeNHS LEICESTER, LEICESTERSHIRE AND RUTLAND ICB - 04V (04V)EQ VAS</v>
      </c>
      <c r="C1711" t="s">
        <v>969</v>
      </c>
      <c r="D1711" t="s">
        <v>1021</v>
      </c>
      <c r="E1711" t="s">
        <v>867</v>
      </c>
      <c r="F1711" t="s">
        <v>868</v>
      </c>
      <c r="G1711" t="s">
        <v>752</v>
      </c>
      <c r="H1711">
        <v>145</v>
      </c>
      <c r="I1711">
        <v>61.337899999999998</v>
      </c>
      <c r="J1711">
        <v>75.234499999999997</v>
      </c>
      <c r="K1711">
        <v>13.896599999999999</v>
      </c>
      <c r="L1711">
        <v>97</v>
      </c>
      <c r="M1711">
        <v>16</v>
      </c>
      <c r="N1711">
        <v>32</v>
      </c>
      <c r="O1711">
        <v>77.049000000000007</v>
      </c>
      <c r="P1711">
        <v>11.5206</v>
      </c>
      <c r="Q1711">
        <v>16.306799999999999</v>
      </c>
    </row>
    <row r="1712" spans="1:17" x14ac:dyDescent="0.25">
      <c r="A1712" t="str">
        <f>IF(C1712&amp;G1712&amp;D1712&lt;&gt;'Funnel setup'!$K$3&amp;'Funnel setup'!$K$4&amp;'Funnel setup'!$K$6,".",IF(A1711=".",1,A1711+1))</f>
        <v>.</v>
      </c>
      <c r="B1712" s="244" t="str">
        <f t="shared" si="26"/>
        <v>Knee Replacement PrimarySub-ICB of GP PracticeNHS LINCOLNSHIRE ICB - 71E (71E)EQ VAS</v>
      </c>
      <c r="C1712" t="s">
        <v>969</v>
      </c>
      <c r="D1712" t="s">
        <v>1021</v>
      </c>
      <c r="E1712" t="s">
        <v>869</v>
      </c>
      <c r="F1712" t="s">
        <v>870</v>
      </c>
      <c r="G1712" t="s">
        <v>752</v>
      </c>
      <c r="H1712">
        <v>276</v>
      </c>
      <c r="I1712">
        <v>68.257199999999997</v>
      </c>
      <c r="J1712">
        <v>75.699299999999994</v>
      </c>
      <c r="K1712">
        <v>7.4420299999999999</v>
      </c>
      <c r="L1712">
        <v>162</v>
      </c>
      <c r="M1712">
        <v>32</v>
      </c>
      <c r="N1712">
        <v>82</v>
      </c>
      <c r="O1712">
        <v>73.976699999999994</v>
      </c>
      <c r="P1712">
        <v>8.4482999999999997</v>
      </c>
      <c r="Q1712">
        <v>16.2134</v>
      </c>
    </row>
    <row r="1713" spans="1:17" x14ac:dyDescent="0.25">
      <c r="A1713" t="str">
        <f>IF(C1713&amp;G1713&amp;D1713&lt;&gt;'Funnel setup'!$K$3&amp;'Funnel setup'!$K$4&amp;'Funnel setup'!$K$6,".",IF(A1712=".",1,A1712+1))</f>
        <v>.</v>
      </c>
      <c r="B1713" s="244" t="str">
        <f t="shared" si="26"/>
        <v>Knee Replacement PrimarySub-ICB of GP PracticeNHS MID AND SOUTH ESSEX ICB - 06Q (06Q)EQ VAS</v>
      </c>
      <c r="C1713" t="s">
        <v>969</v>
      </c>
      <c r="D1713" t="s">
        <v>1021</v>
      </c>
      <c r="E1713" t="s">
        <v>871</v>
      </c>
      <c r="F1713" t="s">
        <v>872</v>
      </c>
      <c r="G1713" t="s">
        <v>752</v>
      </c>
      <c r="H1713">
        <v>118</v>
      </c>
      <c r="I1713">
        <v>65.923699999999997</v>
      </c>
      <c r="J1713">
        <v>74.661000000000001</v>
      </c>
      <c r="K1713">
        <v>8.7372899999999998</v>
      </c>
      <c r="L1713">
        <v>76</v>
      </c>
      <c r="M1713">
        <v>10</v>
      </c>
      <c r="N1713">
        <v>32</v>
      </c>
      <c r="O1713">
        <v>74.167199999999994</v>
      </c>
      <c r="P1713">
        <v>8.6387699999999992</v>
      </c>
      <c r="Q1713">
        <v>17.250800000000002</v>
      </c>
    </row>
    <row r="1714" spans="1:17" x14ac:dyDescent="0.25">
      <c r="A1714" t="str">
        <f>IF(C1714&amp;G1714&amp;D1714&lt;&gt;'Funnel setup'!$K$3&amp;'Funnel setup'!$K$4&amp;'Funnel setup'!$K$6,".",IF(A1713=".",1,A1713+1))</f>
        <v>.</v>
      </c>
      <c r="B1714" s="244" t="str">
        <f t="shared" si="26"/>
        <v>Knee Replacement PrimarySub-ICB of GP PracticeNHS MID AND SOUTH ESSEX ICB - 07G (07G)EQ VAS</v>
      </c>
      <c r="C1714" t="s">
        <v>969</v>
      </c>
      <c r="D1714" t="s">
        <v>1021</v>
      </c>
      <c r="E1714" t="s">
        <v>873</v>
      </c>
      <c r="F1714" t="s">
        <v>874</v>
      </c>
      <c r="G1714" t="s">
        <v>752</v>
      </c>
      <c r="H1714">
        <v>19</v>
      </c>
      <c r="I1714">
        <v>67.368399999999994</v>
      </c>
      <c r="J1714">
        <v>73.368399999999994</v>
      </c>
      <c r="K1714">
        <v>6</v>
      </c>
      <c r="L1714">
        <v>11</v>
      </c>
      <c r="M1714">
        <v>3</v>
      </c>
      <c r="N1714">
        <v>5</v>
      </c>
      <c r="O1714" t="s">
        <v>127</v>
      </c>
      <c r="P1714" t="s">
        <v>127</v>
      </c>
      <c r="Q1714" t="s">
        <v>127</v>
      </c>
    </row>
    <row r="1715" spans="1:17" x14ac:dyDescent="0.25">
      <c r="A1715" t="str">
        <f>IF(C1715&amp;G1715&amp;D1715&lt;&gt;'Funnel setup'!$K$3&amp;'Funnel setup'!$K$4&amp;'Funnel setup'!$K$6,".",IF(A1714=".",1,A1714+1))</f>
        <v>.</v>
      </c>
      <c r="B1715" s="244" t="str">
        <f t="shared" si="26"/>
        <v>Knee Replacement PrimarySub-ICB of GP PracticeNHS MID AND SOUTH ESSEX ICB - 99E (99E)EQ VAS</v>
      </c>
      <c r="C1715" t="s">
        <v>969</v>
      </c>
      <c r="D1715" t="s">
        <v>1021</v>
      </c>
      <c r="E1715" t="s">
        <v>875</v>
      </c>
      <c r="F1715" t="s">
        <v>876</v>
      </c>
      <c r="G1715" t="s">
        <v>752</v>
      </c>
      <c r="H1715">
        <v>51</v>
      </c>
      <c r="I1715">
        <v>61.784300000000002</v>
      </c>
      <c r="J1715">
        <v>67.549000000000007</v>
      </c>
      <c r="K1715">
        <v>5.76471</v>
      </c>
      <c r="L1715">
        <v>31</v>
      </c>
      <c r="M1715">
        <v>3</v>
      </c>
      <c r="N1715">
        <v>17</v>
      </c>
      <c r="O1715">
        <v>70.455699999999993</v>
      </c>
      <c r="P1715">
        <v>4.9272999999999998</v>
      </c>
      <c r="Q1715">
        <v>19.9453</v>
      </c>
    </row>
    <row r="1716" spans="1:17" x14ac:dyDescent="0.25">
      <c r="A1716" t="str">
        <f>IF(C1716&amp;G1716&amp;D1716&lt;&gt;'Funnel setup'!$K$3&amp;'Funnel setup'!$K$4&amp;'Funnel setup'!$K$6,".",IF(A1715=".",1,A1715+1))</f>
        <v>.</v>
      </c>
      <c r="B1716" s="244" t="str">
        <f t="shared" si="26"/>
        <v>Knee Replacement PrimarySub-ICB of GP PracticeNHS MID AND SOUTH ESSEX ICB - 99F (99F)EQ VAS</v>
      </c>
      <c r="C1716" t="s">
        <v>969</v>
      </c>
      <c r="D1716" t="s">
        <v>1021</v>
      </c>
      <c r="E1716" t="s">
        <v>877</v>
      </c>
      <c r="F1716" t="s">
        <v>878</v>
      </c>
      <c r="G1716" t="s">
        <v>752</v>
      </c>
      <c r="H1716">
        <v>32</v>
      </c>
      <c r="I1716">
        <v>62</v>
      </c>
      <c r="J1716">
        <v>69.156300000000002</v>
      </c>
      <c r="K1716">
        <v>7.15625</v>
      </c>
      <c r="L1716">
        <v>20</v>
      </c>
      <c r="M1716">
        <v>3</v>
      </c>
      <c r="N1716">
        <v>9</v>
      </c>
      <c r="O1716">
        <v>71.167100000000005</v>
      </c>
      <c r="P1716">
        <v>5.6386900000000004</v>
      </c>
      <c r="Q1716">
        <v>16.873000000000001</v>
      </c>
    </row>
    <row r="1717" spans="1:17" x14ac:dyDescent="0.25">
      <c r="A1717" t="str">
        <f>IF(C1717&amp;G1717&amp;D1717&lt;&gt;'Funnel setup'!$K$3&amp;'Funnel setup'!$K$4&amp;'Funnel setup'!$K$6,".",IF(A1716=".",1,A1716+1))</f>
        <v>.</v>
      </c>
      <c r="B1717" s="244" t="str">
        <f t="shared" si="26"/>
        <v>Knee Replacement PrimarySub-ICB of GP PracticeNHS MID AND SOUTH ESSEX ICB - 99G (99G)EQ VAS</v>
      </c>
      <c r="C1717" t="s">
        <v>969</v>
      </c>
      <c r="D1717" t="s">
        <v>1021</v>
      </c>
      <c r="E1717" t="s">
        <v>879</v>
      </c>
      <c r="F1717" t="s">
        <v>880</v>
      </c>
      <c r="G1717" t="s">
        <v>752</v>
      </c>
      <c r="H1717">
        <v>12</v>
      </c>
      <c r="I1717">
        <v>71.25</v>
      </c>
      <c r="J1717">
        <v>69.916700000000006</v>
      </c>
      <c r="K1717">
        <v>-1.3333299999999999</v>
      </c>
      <c r="L1717">
        <v>6</v>
      </c>
      <c r="M1717">
        <v>1</v>
      </c>
      <c r="N1717">
        <v>5</v>
      </c>
      <c r="O1717" t="s">
        <v>127</v>
      </c>
      <c r="P1717" t="s">
        <v>127</v>
      </c>
      <c r="Q1717" t="s">
        <v>127</v>
      </c>
    </row>
    <row r="1718" spans="1:17" x14ac:dyDescent="0.25">
      <c r="A1718" t="str">
        <f>IF(C1718&amp;G1718&amp;D1718&lt;&gt;'Funnel setup'!$K$3&amp;'Funnel setup'!$K$4&amp;'Funnel setup'!$K$6,".",IF(A1717=".",1,A1717+1))</f>
        <v>.</v>
      </c>
      <c r="B1718" s="244" t="str">
        <f t="shared" si="26"/>
        <v>Knee Replacement PrimarySub-ICB of GP PracticeNHS NORFOLK AND WAVENEY ICB - 26A (26A)EQ VAS</v>
      </c>
      <c r="C1718" t="s">
        <v>969</v>
      </c>
      <c r="D1718" t="s">
        <v>1021</v>
      </c>
      <c r="E1718" t="s">
        <v>881</v>
      </c>
      <c r="F1718" t="s">
        <v>882</v>
      </c>
      <c r="G1718" t="s">
        <v>752</v>
      </c>
      <c r="H1718">
        <v>286</v>
      </c>
      <c r="I1718">
        <v>61.314700000000002</v>
      </c>
      <c r="J1718">
        <v>71.220299999999995</v>
      </c>
      <c r="K1718">
        <v>9.9055900000000001</v>
      </c>
      <c r="L1718">
        <v>176</v>
      </c>
      <c r="M1718">
        <v>33</v>
      </c>
      <c r="N1718">
        <v>77</v>
      </c>
      <c r="O1718">
        <v>73.519300000000001</v>
      </c>
      <c r="P1718">
        <v>7.9909100000000004</v>
      </c>
      <c r="Q1718">
        <v>16.666799999999999</v>
      </c>
    </row>
    <row r="1719" spans="1:17" x14ac:dyDescent="0.25">
      <c r="A1719" t="str">
        <f>IF(C1719&amp;G1719&amp;D1719&lt;&gt;'Funnel setup'!$K$3&amp;'Funnel setup'!$K$4&amp;'Funnel setup'!$K$6,".",IF(A1718=".",1,A1718+1))</f>
        <v>.</v>
      </c>
      <c r="B1719" s="244" t="str">
        <f t="shared" si="26"/>
        <v>Knee Replacement PrimarySub-ICB of GP PracticeNHS NORTH CENTRAL LONDON ICB - 93C (93C)EQ VAS</v>
      </c>
      <c r="C1719" t="s">
        <v>969</v>
      </c>
      <c r="D1719" t="s">
        <v>1021</v>
      </c>
      <c r="E1719" t="s">
        <v>883</v>
      </c>
      <c r="F1719" t="s">
        <v>884</v>
      </c>
      <c r="G1719" t="s">
        <v>752</v>
      </c>
      <c r="H1719">
        <v>145</v>
      </c>
      <c r="I1719">
        <v>65.441400000000002</v>
      </c>
      <c r="J1719">
        <v>72.413799999999995</v>
      </c>
      <c r="K1719">
        <v>6.97241</v>
      </c>
      <c r="L1719">
        <v>81</v>
      </c>
      <c r="M1719">
        <v>20</v>
      </c>
      <c r="N1719">
        <v>44</v>
      </c>
      <c r="O1719">
        <v>73.913499999999999</v>
      </c>
      <c r="P1719">
        <v>8.3851200000000006</v>
      </c>
      <c r="Q1719">
        <v>16.101700000000001</v>
      </c>
    </row>
    <row r="1720" spans="1:17" x14ac:dyDescent="0.25">
      <c r="A1720" t="str">
        <f>IF(C1720&amp;G1720&amp;D1720&lt;&gt;'Funnel setup'!$K$3&amp;'Funnel setup'!$K$4&amp;'Funnel setup'!$K$6,".",IF(A1719=".",1,A1719+1))</f>
        <v>.</v>
      </c>
      <c r="B1720" s="244" t="str">
        <f t="shared" si="26"/>
        <v>Knee Replacement PrimarySub-ICB of GP PracticeNHS NORTH EAST AND NORTH CUMBRIA ICB - 00L (00L)EQ VAS</v>
      </c>
      <c r="C1720" t="s">
        <v>969</v>
      </c>
      <c r="D1720" t="s">
        <v>1021</v>
      </c>
      <c r="E1720" t="s">
        <v>885</v>
      </c>
      <c r="F1720" t="s">
        <v>886</v>
      </c>
      <c r="G1720" t="s">
        <v>752</v>
      </c>
      <c r="H1720">
        <v>194</v>
      </c>
      <c r="I1720">
        <v>62.443300000000001</v>
      </c>
      <c r="J1720">
        <v>72.664900000000003</v>
      </c>
      <c r="K1720">
        <v>10.2216</v>
      </c>
      <c r="L1720">
        <v>126</v>
      </c>
      <c r="M1720">
        <v>19</v>
      </c>
      <c r="N1720">
        <v>49</v>
      </c>
      <c r="O1720">
        <v>73.819999999999993</v>
      </c>
      <c r="P1720">
        <v>8.2916100000000004</v>
      </c>
      <c r="Q1720">
        <v>16.9039</v>
      </c>
    </row>
    <row r="1721" spans="1:17" x14ac:dyDescent="0.25">
      <c r="A1721" t="str">
        <f>IF(C1721&amp;G1721&amp;D1721&lt;&gt;'Funnel setup'!$K$3&amp;'Funnel setup'!$K$4&amp;'Funnel setup'!$K$6,".",IF(A1720=".",1,A1720+1))</f>
        <v>.</v>
      </c>
      <c r="B1721" s="244" t="str">
        <f t="shared" si="26"/>
        <v>Knee Replacement PrimarySub-ICB of GP PracticeNHS NORTH EAST AND NORTH CUMBRIA ICB - 00N (00N)EQ VAS</v>
      </c>
      <c r="C1721" t="s">
        <v>969</v>
      </c>
      <c r="D1721" t="s">
        <v>1021</v>
      </c>
      <c r="E1721" t="s">
        <v>887</v>
      </c>
      <c r="F1721" t="s">
        <v>888</v>
      </c>
      <c r="G1721" t="s">
        <v>752</v>
      </c>
      <c r="H1721">
        <v>9</v>
      </c>
      <c r="I1721">
        <v>73.444400000000002</v>
      </c>
      <c r="J1721">
        <v>86.777799999999999</v>
      </c>
      <c r="K1721">
        <v>13.333299999999999</v>
      </c>
      <c r="L1721">
        <v>5</v>
      </c>
      <c r="M1721">
        <v>0</v>
      </c>
      <c r="N1721">
        <v>4</v>
      </c>
      <c r="O1721" t="s">
        <v>127</v>
      </c>
      <c r="P1721" t="s">
        <v>127</v>
      </c>
      <c r="Q1721" t="s">
        <v>127</v>
      </c>
    </row>
    <row r="1722" spans="1:17" x14ac:dyDescent="0.25">
      <c r="A1722" t="str">
        <f>IF(C1722&amp;G1722&amp;D1722&lt;&gt;'Funnel setup'!$K$3&amp;'Funnel setup'!$K$4&amp;'Funnel setup'!$K$6,".",IF(A1721=".",1,A1721+1))</f>
        <v>.</v>
      </c>
      <c r="B1722" s="244" t="str">
        <f t="shared" si="26"/>
        <v>Knee Replacement PrimarySub-ICB of GP PracticeNHS NORTH EAST AND NORTH CUMBRIA ICB - 00P (00P)EQ VAS</v>
      </c>
      <c r="C1722" t="s">
        <v>969</v>
      </c>
      <c r="D1722" t="s">
        <v>1021</v>
      </c>
      <c r="E1722" t="s">
        <v>889</v>
      </c>
      <c r="F1722" t="s">
        <v>890</v>
      </c>
      <c r="G1722" t="s">
        <v>752</v>
      </c>
      <c r="H1722">
        <v>25</v>
      </c>
      <c r="I1722">
        <v>65.08</v>
      </c>
      <c r="J1722">
        <v>72.44</v>
      </c>
      <c r="K1722">
        <v>7.36</v>
      </c>
      <c r="L1722">
        <v>17</v>
      </c>
      <c r="M1722">
        <v>2</v>
      </c>
      <c r="N1722">
        <v>6</v>
      </c>
      <c r="O1722" t="s">
        <v>127</v>
      </c>
      <c r="P1722" t="s">
        <v>127</v>
      </c>
      <c r="Q1722" t="s">
        <v>127</v>
      </c>
    </row>
    <row r="1723" spans="1:17" x14ac:dyDescent="0.25">
      <c r="A1723" t="str">
        <f>IF(C1723&amp;G1723&amp;D1723&lt;&gt;'Funnel setup'!$K$3&amp;'Funnel setup'!$K$4&amp;'Funnel setup'!$K$6,".",IF(A1722=".",1,A1722+1))</f>
        <v>.</v>
      </c>
      <c r="B1723" s="244" t="str">
        <f t="shared" si="26"/>
        <v>Knee Replacement PrimarySub-ICB of GP PracticeNHS NORTH EAST AND NORTH CUMBRIA ICB - 01H (01H)EQ VAS</v>
      </c>
      <c r="C1723" t="s">
        <v>969</v>
      </c>
      <c r="D1723" t="s">
        <v>1021</v>
      </c>
      <c r="E1723" t="s">
        <v>891</v>
      </c>
      <c r="F1723" t="s">
        <v>892</v>
      </c>
      <c r="G1723" t="s">
        <v>752</v>
      </c>
      <c r="H1723">
        <v>197</v>
      </c>
      <c r="I1723">
        <v>67.319800000000001</v>
      </c>
      <c r="J1723">
        <v>76.060900000000004</v>
      </c>
      <c r="K1723">
        <v>8.7411200000000004</v>
      </c>
      <c r="L1723">
        <v>121</v>
      </c>
      <c r="M1723">
        <v>21</v>
      </c>
      <c r="N1723">
        <v>55</v>
      </c>
      <c r="O1723">
        <v>74.901700000000005</v>
      </c>
      <c r="P1723">
        <v>9.3732600000000001</v>
      </c>
      <c r="Q1723">
        <v>16.933599999999998</v>
      </c>
    </row>
    <row r="1724" spans="1:17" x14ac:dyDescent="0.25">
      <c r="A1724" t="str">
        <f>IF(C1724&amp;G1724&amp;D1724&lt;&gt;'Funnel setup'!$K$3&amp;'Funnel setup'!$K$4&amp;'Funnel setup'!$K$6,".",IF(A1723=".",1,A1723+1))</f>
        <v>.</v>
      </c>
      <c r="B1724" s="244" t="str">
        <f t="shared" si="26"/>
        <v>Knee Replacement PrimarySub-ICB of GP PracticeNHS NORTH EAST AND NORTH CUMBRIA ICB - 13T (13T)EQ VAS</v>
      </c>
      <c r="C1724" t="s">
        <v>969</v>
      </c>
      <c r="D1724" t="s">
        <v>1021</v>
      </c>
      <c r="E1724" t="s">
        <v>893</v>
      </c>
      <c r="F1724" t="s">
        <v>894</v>
      </c>
      <c r="G1724" t="s">
        <v>752</v>
      </c>
      <c r="H1724">
        <v>63</v>
      </c>
      <c r="I1724">
        <v>60.904800000000002</v>
      </c>
      <c r="J1724">
        <v>72.857100000000003</v>
      </c>
      <c r="K1724">
        <v>11.952400000000001</v>
      </c>
      <c r="L1724">
        <v>47</v>
      </c>
      <c r="M1724">
        <v>4</v>
      </c>
      <c r="N1724">
        <v>12</v>
      </c>
      <c r="O1724">
        <v>75.503100000000003</v>
      </c>
      <c r="P1724">
        <v>9.9746900000000007</v>
      </c>
      <c r="Q1724">
        <v>15.257899999999999</v>
      </c>
    </row>
    <row r="1725" spans="1:17" x14ac:dyDescent="0.25">
      <c r="A1725" t="str">
        <f>IF(C1725&amp;G1725&amp;D1725&lt;&gt;'Funnel setup'!$K$3&amp;'Funnel setup'!$K$4&amp;'Funnel setup'!$K$6,".",IF(A1724=".",1,A1724+1))</f>
        <v>.</v>
      </c>
      <c r="B1725" s="244" t="str">
        <f t="shared" si="26"/>
        <v>Knee Replacement PrimarySub-ICB of GP PracticeNHS NORTH EAST AND NORTH CUMBRIA ICB - 16C (16C)EQ VAS</v>
      </c>
      <c r="C1725" t="s">
        <v>969</v>
      </c>
      <c r="D1725" t="s">
        <v>1021</v>
      </c>
      <c r="E1725" t="s">
        <v>895</v>
      </c>
      <c r="F1725" t="s">
        <v>896</v>
      </c>
      <c r="G1725" t="s">
        <v>752</v>
      </c>
      <c r="H1725">
        <v>363</v>
      </c>
      <c r="I1725">
        <v>69.567499999999995</v>
      </c>
      <c r="J1725">
        <v>73.661199999999994</v>
      </c>
      <c r="K1725">
        <v>4.0936599999999999</v>
      </c>
      <c r="L1725">
        <v>200</v>
      </c>
      <c r="M1725">
        <v>46</v>
      </c>
      <c r="N1725">
        <v>117</v>
      </c>
      <c r="O1725">
        <v>73.375699999999995</v>
      </c>
      <c r="P1725">
        <v>7.8472900000000001</v>
      </c>
      <c r="Q1725">
        <v>17.900700000000001</v>
      </c>
    </row>
    <row r="1726" spans="1:17" x14ac:dyDescent="0.25">
      <c r="A1726" t="str">
        <f>IF(C1726&amp;G1726&amp;D1726&lt;&gt;'Funnel setup'!$K$3&amp;'Funnel setup'!$K$4&amp;'Funnel setup'!$K$6,".",IF(A1725=".",1,A1725+1))</f>
        <v>.</v>
      </c>
      <c r="B1726" s="244" t="str">
        <f t="shared" si="26"/>
        <v>Knee Replacement PrimarySub-ICB of GP PracticeNHS NORTH EAST AND NORTH CUMBRIA ICB - 84H (84H)EQ VAS</v>
      </c>
      <c r="C1726" t="s">
        <v>969</v>
      </c>
      <c r="D1726" t="s">
        <v>1021</v>
      </c>
      <c r="E1726" t="s">
        <v>897</v>
      </c>
      <c r="F1726" t="s">
        <v>898</v>
      </c>
      <c r="G1726" t="s">
        <v>752</v>
      </c>
      <c r="H1726">
        <v>267</v>
      </c>
      <c r="I1726">
        <v>68.221000000000004</v>
      </c>
      <c r="J1726">
        <v>75.037499999999994</v>
      </c>
      <c r="K1726">
        <v>6.8164800000000003</v>
      </c>
      <c r="L1726">
        <v>161</v>
      </c>
      <c r="M1726">
        <v>24</v>
      </c>
      <c r="N1726">
        <v>82</v>
      </c>
      <c r="O1726">
        <v>74.402900000000002</v>
      </c>
      <c r="P1726">
        <v>8.8744800000000001</v>
      </c>
      <c r="Q1726">
        <v>14.325900000000001</v>
      </c>
    </row>
    <row r="1727" spans="1:17" x14ac:dyDescent="0.25">
      <c r="A1727" t="str">
        <f>IF(C1727&amp;G1727&amp;D1727&lt;&gt;'Funnel setup'!$K$3&amp;'Funnel setup'!$K$4&amp;'Funnel setup'!$K$6,".",IF(A1726=".",1,A1726+1))</f>
        <v>.</v>
      </c>
      <c r="B1727" s="244" t="str">
        <f t="shared" si="26"/>
        <v>Knee Replacement PrimarySub-ICB of GP PracticeNHS NORTH EAST AND NORTH CUMBRIA ICB - 99C (99C)EQ VAS</v>
      </c>
      <c r="C1727" t="s">
        <v>969</v>
      </c>
      <c r="D1727" t="s">
        <v>1021</v>
      </c>
      <c r="E1727" t="s">
        <v>899</v>
      </c>
      <c r="F1727" t="s">
        <v>900</v>
      </c>
      <c r="G1727" t="s">
        <v>752</v>
      </c>
      <c r="H1727">
        <v>100</v>
      </c>
      <c r="I1727">
        <v>62.51</v>
      </c>
      <c r="J1727">
        <v>75.760000000000005</v>
      </c>
      <c r="K1727">
        <v>13.25</v>
      </c>
      <c r="L1727">
        <v>70</v>
      </c>
      <c r="M1727">
        <v>10</v>
      </c>
      <c r="N1727">
        <v>20</v>
      </c>
      <c r="O1727">
        <v>76.879499999999993</v>
      </c>
      <c r="P1727">
        <v>11.351100000000001</v>
      </c>
      <c r="Q1727">
        <v>14.0915</v>
      </c>
    </row>
    <row r="1728" spans="1:17" x14ac:dyDescent="0.25">
      <c r="A1728" t="str">
        <f>IF(C1728&amp;G1728&amp;D1728&lt;&gt;'Funnel setup'!$K$3&amp;'Funnel setup'!$K$4&amp;'Funnel setup'!$K$6,".",IF(A1727=".",1,A1727+1))</f>
        <v>.</v>
      </c>
      <c r="B1728" s="244" t="str">
        <f t="shared" si="26"/>
        <v>Knee Replacement PrimarySub-ICB of GP PracticeNHS NORTH EAST LONDON ICB - A3A8R (A3A8R)EQ VAS</v>
      </c>
      <c r="C1728" t="s">
        <v>969</v>
      </c>
      <c r="D1728" t="s">
        <v>1021</v>
      </c>
      <c r="E1728" t="s">
        <v>901</v>
      </c>
      <c r="F1728" t="s">
        <v>902</v>
      </c>
      <c r="G1728" t="s">
        <v>752</v>
      </c>
      <c r="H1728">
        <v>208</v>
      </c>
      <c r="I1728">
        <v>61.716299999999997</v>
      </c>
      <c r="J1728">
        <v>69.591300000000004</v>
      </c>
      <c r="K1728">
        <v>7.875</v>
      </c>
      <c r="L1728">
        <v>128</v>
      </c>
      <c r="M1728">
        <v>19</v>
      </c>
      <c r="N1728">
        <v>61</v>
      </c>
      <c r="O1728">
        <v>73.039599999999993</v>
      </c>
      <c r="P1728">
        <v>7.5112199999999998</v>
      </c>
      <c r="Q1728">
        <v>16.9374</v>
      </c>
    </row>
    <row r="1729" spans="1:17" x14ac:dyDescent="0.25">
      <c r="A1729" t="str">
        <f>IF(C1729&amp;G1729&amp;D1729&lt;&gt;'Funnel setup'!$K$3&amp;'Funnel setup'!$K$4&amp;'Funnel setup'!$K$6,".",IF(A1728=".",1,A1728+1))</f>
        <v>.</v>
      </c>
      <c r="B1729" s="244" t="str">
        <f t="shared" si="26"/>
        <v>Knee Replacement PrimarySub-ICB of GP PracticeNHS NORTH WEST LONDON ICB - W2U3Z (W2U3Z)EQ VAS</v>
      </c>
      <c r="C1729" t="s">
        <v>969</v>
      </c>
      <c r="D1729" t="s">
        <v>1021</v>
      </c>
      <c r="E1729" t="s">
        <v>903</v>
      </c>
      <c r="F1729" t="s">
        <v>904</v>
      </c>
      <c r="G1729" t="s">
        <v>752</v>
      </c>
      <c r="H1729">
        <v>191</v>
      </c>
      <c r="I1729">
        <v>64.052400000000006</v>
      </c>
      <c r="J1729">
        <v>70.162300000000002</v>
      </c>
      <c r="K1729">
        <v>6.1099500000000004</v>
      </c>
      <c r="L1729">
        <v>113</v>
      </c>
      <c r="M1729">
        <v>18</v>
      </c>
      <c r="N1729">
        <v>60</v>
      </c>
      <c r="O1729">
        <v>71.480500000000006</v>
      </c>
      <c r="P1729">
        <v>5.9520900000000001</v>
      </c>
      <c r="Q1729">
        <v>18.415800000000001</v>
      </c>
    </row>
    <row r="1730" spans="1:17" x14ac:dyDescent="0.25">
      <c r="A1730" t="str">
        <f>IF(C1730&amp;G1730&amp;D1730&lt;&gt;'Funnel setup'!$K$3&amp;'Funnel setup'!$K$4&amp;'Funnel setup'!$K$6,".",IF(A1729=".",1,A1729+1))</f>
        <v>.</v>
      </c>
      <c r="B1730" s="244" t="str">
        <f t="shared" ref="B1730:B1793" si="27">C1730&amp;D1730&amp;F1730&amp;G1730</f>
        <v>Knee Replacement PrimarySub-ICB of GP PracticeNHS NORTHAMPTONSHIRE ICB - 78H (78H)EQ VAS</v>
      </c>
      <c r="C1730" t="s">
        <v>969</v>
      </c>
      <c r="D1730" t="s">
        <v>1021</v>
      </c>
      <c r="E1730" t="s">
        <v>905</v>
      </c>
      <c r="F1730" t="s">
        <v>906</v>
      </c>
      <c r="G1730" t="s">
        <v>752</v>
      </c>
      <c r="H1730">
        <v>213</v>
      </c>
      <c r="I1730">
        <v>60.488300000000002</v>
      </c>
      <c r="J1730">
        <v>72.727699999999999</v>
      </c>
      <c r="K1730">
        <v>12.2394</v>
      </c>
      <c r="L1730">
        <v>136</v>
      </c>
      <c r="M1730">
        <v>17</v>
      </c>
      <c r="N1730">
        <v>60</v>
      </c>
      <c r="O1730">
        <v>73.382300000000001</v>
      </c>
      <c r="P1730">
        <v>7.8538500000000004</v>
      </c>
      <c r="Q1730">
        <v>18.2745</v>
      </c>
    </row>
    <row r="1731" spans="1:17" x14ac:dyDescent="0.25">
      <c r="A1731" t="str">
        <f>IF(C1731&amp;G1731&amp;D1731&lt;&gt;'Funnel setup'!$K$3&amp;'Funnel setup'!$K$4&amp;'Funnel setup'!$K$6,".",IF(A1730=".",1,A1730+1))</f>
        <v>.</v>
      </c>
      <c r="B1731" s="244" t="str">
        <f t="shared" si="27"/>
        <v>Knee Replacement PrimarySub-ICB of GP PracticeNHS NOTTINGHAM AND NOTTINGHAMSHIRE ICB - 02Q (02Q)EQ VAS</v>
      </c>
      <c r="C1731" t="s">
        <v>969</v>
      </c>
      <c r="D1731" t="s">
        <v>1021</v>
      </c>
      <c r="E1731" t="s">
        <v>907</v>
      </c>
      <c r="F1731" t="s">
        <v>908</v>
      </c>
      <c r="G1731" t="s">
        <v>752</v>
      </c>
      <c r="H1731">
        <v>42</v>
      </c>
      <c r="I1731">
        <v>63.071399999999997</v>
      </c>
      <c r="J1731">
        <v>74.142899999999997</v>
      </c>
      <c r="K1731">
        <v>11.071400000000001</v>
      </c>
      <c r="L1731">
        <v>31</v>
      </c>
      <c r="M1731">
        <v>2</v>
      </c>
      <c r="N1731">
        <v>9</v>
      </c>
      <c r="O1731">
        <v>76.231999999999999</v>
      </c>
      <c r="P1731">
        <v>10.7036</v>
      </c>
      <c r="Q1731">
        <v>16.286999999999999</v>
      </c>
    </row>
    <row r="1732" spans="1:17" x14ac:dyDescent="0.25">
      <c r="A1732" t="str">
        <f>IF(C1732&amp;G1732&amp;D1732&lt;&gt;'Funnel setup'!$K$3&amp;'Funnel setup'!$K$4&amp;'Funnel setup'!$K$6,".",IF(A1731=".",1,A1731+1))</f>
        <v>.</v>
      </c>
      <c r="B1732" s="244" t="str">
        <f t="shared" si="27"/>
        <v>Knee Replacement PrimarySub-ICB of GP PracticeNHS NOTTINGHAM AND NOTTINGHAMSHIRE ICB - 52R (52R)EQ VAS</v>
      </c>
      <c r="C1732" t="s">
        <v>969</v>
      </c>
      <c r="D1732" t="s">
        <v>1021</v>
      </c>
      <c r="E1732" t="s">
        <v>909</v>
      </c>
      <c r="F1732" t="s">
        <v>910</v>
      </c>
      <c r="G1732" t="s">
        <v>752</v>
      </c>
      <c r="H1732">
        <v>193</v>
      </c>
      <c r="I1732">
        <v>66.139899999999997</v>
      </c>
      <c r="J1732">
        <v>73.860100000000003</v>
      </c>
      <c r="K1732">
        <v>7.7202099999999998</v>
      </c>
      <c r="L1732">
        <v>122</v>
      </c>
      <c r="M1732">
        <v>18</v>
      </c>
      <c r="N1732">
        <v>53</v>
      </c>
      <c r="O1732">
        <v>73.078800000000001</v>
      </c>
      <c r="P1732">
        <v>7.55037</v>
      </c>
      <c r="Q1732">
        <v>18.2502</v>
      </c>
    </row>
    <row r="1733" spans="1:17" x14ac:dyDescent="0.25">
      <c r="A1733" t="str">
        <f>IF(C1733&amp;G1733&amp;D1733&lt;&gt;'Funnel setup'!$K$3&amp;'Funnel setup'!$K$4&amp;'Funnel setup'!$K$6,".",IF(A1732=".",1,A1732+1))</f>
        <v>.</v>
      </c>
      <c r="B1733" s="244" t="str">
        <f t="shared" si="27"/>
        <v>Knee Replacement PrimarySub-ICB of GP PracticeNHS SHROPSHIRE, TELFORD AND WREKIN ICB - M2L0M (M2L0M)EQ VAS</v>
      </c>
      <c r="C1733" t="s">
        <v>969</v>
      </c>
      <c r="D1733" t="s">
        <v>1021</v>
      </c>
      <c r="E1733" t="s">
        <v>911</v>
      </c>
      <c r="F1733" t="s">
        <v>912</v>
      </c>
      <c r="G1733" t="s">
        <v>752</v>
      </c>
      <c r="H1733">
        <v>177</v>
      </c>
      <c r="I1733">
        <v>60.152500000000003</v>
      </c>
      <c r="J1733">
        <v>73.474599999999995</v>
      </c>
      <c r="K1733">
        <v>13.321999999999999</v>
      </c>
      <c r="L1733">
        <v>124</v>
      </c>
      <c r="M1733">
        <v>13</v>
      </c>
      <c r="N1733">
        <v>40</v>
      </c>
      <c r="O1733">
        <v>75.522199999999998</v>
      </c>
      <c r="P1733">
        <v>9.9938400000000005</v>
      </c>
      <c r="Q1733">
        <v>15.177300000000001</v>
      </c>
    </row>
    <row r="1734" spans="1:17" x14ac:dyDescent="0.25">
      <c r="A1734" t="str">
        <f>IF(C1734&amp;G1734&amp;D1734&lt;&gt;'Funnel setup'!$K$3&amp;'Funnel setup'!$K$4&amp;'Funnel setup'!$K$6,".",IF(A1733=".",1,A1733+1))</f>
        <v>.</v>
      </c>
      <c r="B1734" s="244" t="str">
        <f t="shared" si="27"/>
        <v>Knee Replacement PrimarySub-ICB of GP PracticeNHS SOMERSET ICB - 11X (11X)EQ VAS</v>
      </c>
      <c r="C1734" t="s">
        <v>969</v>
      </c>
      <c r="D1734" t="s">
        <v>1021</v>
      </c>
      <c r="E1734" t="s">
        <v>913</v>
      </c>
      <c r="F1734" t="s">
        <v>914</v>
      </c>
      <c r="G1734" t="s">
        <v>752</v>
      </c>
      <c r="H1734">
        <v>192</v>
      </c>
      <c r="I1734">
        <v>67.416700000000006</v>
      </c>
      <c r="J1734">
        <v>76.0625</v>
      </c>
      <c r="K1734">
        <v>8.6458300000000001</v>
      </c>
      <c r="L1734">
        <v>123</v>
      </c>
      <c r="M1734">
        <v>23</v>
      </c>
      <c r="N1734">
        <v>46</v>
      </c>
      <c r="O1734">
        <v>74.972800000000007</v>
      </c>
      <c r="P1734">
        <v>9.4444099999999995</v>
      </c>
      <c r="Q1734">
        <v>18.116</v>
      </c>
    </row>
    <row r="1735" spans="1:17" x14ac:dyDescent="0.25">
      <c r="A1735" t="str">
        <f>IF(C1735&amp;G1735&amp;D1735&lt;&gt;'Funnel setup'!$K$3&amp;'Funnel setup'!$K$4&amp;'Funnel setup'!$K$6,".",IF(A1734=".",1,A1734+1))</f>
        <v>.</v>
      </c>
      <c r="B1735" s="244" t="str">
        <f t="shared" si="27"/>
        <v>Knee Replacement PrimarySub-ICB of GP PracticeNHS SOUTH EAST LONDON ICB - 72Q (72Q)EQ VAS</v>
      </c>
      <c r="C1735" t="s">
        <v>969</v>
      </c>
      <c r="D1735" t="s">
        <v>1021</v>
      </c>
      <c r="E1735" t="s">
        <v>915</v>
      </c>
      <c r="F1735" t="s">
        <v>916</v>
      </c>
      <c r="G1735" t="s">
        <v>752</v>
      </c>
      <c r="H1735">
        <v>118</v>
      </c>
      <c r="I1735">
        <v>65.796599999999998</v>
      </c>
      <c r="J1735">
        <v>73.237300000000005</v>
      </c>
      <c r="K1735">
        <v>7.4406800000000004</v>
      </c>
      <c r="L1735">
        <v>71</v>
      </c>
      <c r="M1735">
        <v>9</v>
      </c>
      <c r="N1735">
        <v>38</v>
      </c>
      <c r="O1735">
        <v>72.706599999999995</v>
      </c>
      <c r="P1735">
        <v>7.1782000000000004</v>
      </c>
      <c r="Q1735">
        <v>13.8965</v>
      </c>
    </row>
    <row r="1736" spans="1:17" x14ac:dyDescent="0.25">
      <c r="A1736" t="str">
        <f>IF(C1736&amp;G1736&amp;D1736&lt;&gt;'Funnel setup'!$K$3&amp;'Funnel setup'!$K$4&amp;'Funnel setup'!$K$6,".",IF(A1735=".",1,A1735+1))</f>
        <v>.</v>
      </c>
      <c r="B1736" s="244" t="str">
        <f t="shared" si="27"/>
        <v>Knee Replacement PrimarySub-ICB of GP PracticeNHS SOUTH WEST LONDON ICB - 36L (36L)EQ VAS</v>
      </c>
      <c r="C1736" t="s">
        <v>969</v>
      </c>
      <c r="D1736" t="s">
        <v>1021</v>
      </c>
      <c r="E1736" t="s">
        <v>917</v>
      </c>
      <c r="F1736" t="s">
        <v>918</v>
      </c>
      <c r="G1736" t="s">
        <v>752</v>
      </c>
      <c r="H1736">
        <v>475</v>
      </c>
      <c r="I1736">
        <v>63.72</v>
      </c>
      <c r="J1736">
        <v>73.307400000000001</v>
      </c>
      <c r="K1736">
        <v>9.5873699999999999</v>
      </c>
      <c r="L1736">
        <v>312</v>
      </c>
      <c r="M1736">
        <v>45</v>
      </c>
      <c r="N1736">
        <v>118</v>
      </c>
      <c r="O1736">
        <v>74.377899999999997</v>
      </c>
      <c r="P1736">
        <v>8.8495000000000008</v>
      </c>
      <c r="Q1736">
        <v>18.3887</v>
      </c>
    </row>
    <row r="1737" spans="1:17" x14ac:dyDescent="0.25">
      <c r="A1737" t="str">
        <f>IF(C1737&amp;G1737&amp;D1737&lt;&gt;'Funnel setup'!$K$3&amp;'Funnel setup'!$K$4&amp;'Funnel setup'!$K$6,".",IF(A1736=".",1,A1736+1))</f>
        <v>.</v>
      </c>
      <c r="B1737" s="244" t="str">
        <f t="shared" si="27"/>
        <v>Knee Replacement PrimarySub-ICB of GP PracticeNHS SOUTH YORKSHIRE ICB - 02P (02P)EQ VAS</v>
      </c>
      <c r="C1737" t="s">
        <v>969</v>
      </c>
      <c r="D1737" t="s">
        <v>1021</v>
      </c>
      <c r="E1737" t="s">
        <v>919</v>
      </c>
      <c r="F1737" t="s">
        <v>920</v>
      </c>
      <c r="G1737" t="s">
        <v>752</v>
      </c>
      <c r="H1737">
        <v>48</v>
      </c>
      <c r="I1737">
        <v>66.916700000000006</v>
      </c>
      <c r="J1737">
        <v>75.020799999999994</v>
      </c>
      <c r="K1737">
        <v>8.1041699999999999</v>
      </c>
      <c r="L1737">
        <v>30</v>
      </c>
      <c r="M1737">
        <v>4</v>
      </c>
      <c r="N1737">
        <v>14</v>
      </c>
      <c r="O1737">
        <v>75.932900000000004</v>
      </c>
      <c r="P1737">
        <v>10.404500000000001</v>
      </c>
      <c r="Q1737">
        <v>17.3614</v>
      </c>
    </row>
    <row r="1738" spans="1:17" x14ac:dyDescent="0.25">
      <c r="A1738" t="str">
        <f>IF(C1738&amp;G1738&amp;D1738&lt;&gt;'Funnel setup'!$K$3&amp;'Funnel setup'!$K$4&amp;'Funnel setup'!$K$6,".",IF(A1737=".",1,A1737+1))</f>
        <v>.</v>
      </c>
      <c r="B1738" s="244" t="str">
        <f t="shared" si="27"/>
        <v>Knee Replacement PrimarySub-ICB of GP PracticeNHS SOUTH YORKSHIRE ICB - 02X (02X)EQ VAS</v>
      </c>
      <c r="C1738" t="s">
        <v>969</v>
      </c>
      <c r="D1738" t="s">
        <v>1021</v>
      </c>
      <c r="E1738" t="s">
        <v>921</v>
      </c>
      <c r="F1738" t="s">
        <v>922</v>
      </c>
      <c r="G1738" t="s">
        <v>752</v>
      </c>
      <c r="H1738">
        <v>110</v>
      </c>
      <c r="I1738">
        <v>63.427300000000002</v>
      </c>
      <c r="J1738">
        <v>67.163600000000002</v>
      </c>
      <c r="K1738">
        <v>3.7363599999999999</v>
      </c>
      <c r="L1738">
        <v>59</v>
      </c>
      <c r="M1738">
        <v>11</v>
      </c>
      <c r="N1738">
        <v>40</v>
      </c>
      <c r="O1738">
        <v>69.043899999999994</v>
      </c>
      <c r="P1738">
        <v>3.51552</v>
      </c>
      <c r="Q1738">
        <v>18.621700000000001</v>
      </c>
    </row>
    <row r="1739" spans="1:17" x14ac:dyDescent="0.25">
      <c r="A1739" t="str">
        <f>IF(C1739&amp;G1739&amp;D1739&lt;&gt;'Funnel setup'!$K$3&amp;'Funnel setup'!$K$4&amp;'Funnel setup'!$K$6,".",IF(A1738=".",1,A1738+1))</f>
        <v>.</v>
      </c>
      <c r="B1739" s="244" t="str">
        <f t="shared" si="27"/>
        <v>Knee Replacement PrimarySub-ICB of GP PracticeNHS SOUTH YORKSHIRE ICB - 03L (03L)EQ VAS</v>
      </c>
      <c r="C1739" t="s">
        <v>969</v>
      </c>
      <c r="D1739" t="s">
        <v>1021</v>
      </c>
      <c r="E1739" t="s">
        <v>923</v>
      </c>
      <c r="F1739" t="s">
        <v>924</v>
      </c>
      <c r="G1739" t="s">
        <v>752</v>
      </c>
      <c r="H1739">
        <v>34</v>
      </c>
      <c r="I1739">
        <v>64.529399999999995</v>
      </c>
      <c r="J1739">
        <v>73.352900000000005</v>
      </c>
      <c r="K1739">
        <v>8.8235299999999999</v>
      </c>
      <c r="L1739">
        <v>23</v>
      </c>
      <c r="M1739">
        <v>3</v>
      </c>
      <c r="N1739">
        <v>8</v>
      </c>
      <c r="O1739">
        <v>74.003100000000003</v>
      </c>
      <c r="P1739">
        <v>8.4746900000000007</v>
      </c>
      <c r="Q1739">
        <v>16.334599999999998</v>
      </c>
    </row>
    <row r="1740" spans="1:17" x14ac:dyDescent="0.25">
      <c r="A1740" t="str">
        <f>IF(C1740&amp;G1740&amp;D1740&lt;&gt;'Funnel setup'!$K$3&amp;'Funnel setup'!$K$4&amp;'Funnel setup'!$K$6,".",IF(A1739=".",1,A1739+1))</f>
        <v>.</v>
      </c>
      <c r="B1740" s="244" t="str">
        <f t="shared" si="27"/>
        <v>Knee Replacement PrimarySub-ICB of GP PracticeNHS SOUTH YORKSHIRE ICB - 03N (03N)EQ VAS</v>
      </c>
      <c r="C1740" t="s">
        <v>969</v>
      </c>
      <c r="D1740" t="s">
        <v>1021</v>
      </c>
      <c r="E1740" t="s">
        <v>925</v>
      </c>
      <c r="F1740" t="s">
        <v>926</v>
      </c>
      <c r="G1740" t="s">
        <v>752</v>
      </c>
      <c r="H1740">
        <v>36</v>
      </c>
      <c r="I1740">
        <v>62.75</v>
      </c>
      <c r="J1740">
        <v>73.055599999999998</v>
      </c>
      <c r="K1740">
        <v>10.3056</v>
      </c>
      <c r="L1740">
        <v>24</v>
      </c>
      <c r="M1740">
        <v>4</v>
      </c>
      <c r="N1740">
        <v>8</v>
      </c>
      <c r="O1740">
        <v>72.294300000000007</v>
      </c>
      <c r="P1740">
        <v>6.7658899999999997</v>
      </c>
      <c r="Q1740">
        <v>18.8841</v>
      </c>
    </row>
    <row r="1741" spans="1:17" x14ac:dyDescent="0.25">
      <c r="A1741" t="str">
        <f>IF(C1741&amp;G1741&amp;D1741&lt;&gt;'Funnel setup'!$K$3&amp;'Funnel setup'!$K$4&amp;'Funnel setup'!$K$6,".",IF(A1740=".",1,A1740+1))</f>
        <v>.</v>
      </c>
      <c r="B1741" s="244" t="str">
        <f t="shared" si="27"/>
        <v>Knee Replacement PrimarySub-ICB of GP PracticeNHS STAFFORDSHIRE AND STOKE-ON-TRENT ICB - 04Y (04Y)EQ VAS</v>
      </c>
      <c r="C1741" t="s">
        <v>969</v>
      </c>
      <c r="D1741" t="s">
        <v>1021</v>
      </c>
      <c r="E1741" t="s">
        <v>927</v>
      </c>
      <c r="F1741" t="s">
        <v>928</v>
      </c>
      <c r="G1741" t="s">
        <v>752</v>
      </c>
      <c r="H1741">
        <v>22</v>
      </c>
      <c r="I1741">
        <v>70.318200000000004</v>
      </c>
      <c r="J1741">
        <v>84.590900000000005</v>
      </c>
      <c r="K1741">
        <v>14.2727</v>
      </c>
      <c r="L1741">
        <v>19</v>
      </c>
      <c r="M1741">
        <v>0</v>
      </c>
      <c r="N1741">
        <v>3</v>
      </c>
      <c r="O1741" t="s">
        <v>127</v>
      </c>
      <c r="P1741" t="s">
        <v>127</v>
      </c>
      <c r="Q1741" t="s">
        <v>127</v>
      </c>
    </row>
    <row r="1742" spans="1:17" x14ac:dyDescent="0.25">
      <c r="A1742" t="str">
        <f>IF(C1742&amp;G1742&amp;D1742&lt;&gt;'Funnel setup'!$K$3&amp;'Funnel setup'!$K$4&amp;'Funnel setup'!$K$6,".",IF(A1741=".",1,A1741+1))</f>
        <v>.</v>
      </c>
      <c r="B1742" s="244" t="str">
        <f t="shared" si="27"/>
        <v>Knee Replacement PrimarySub-ICB of GP PracticeNHS STAFFORDSHIRE AND STOKE-ON-TRENT ICB - 05D (05D)EQ VAS</v>
      </c>
      <c r="C1742" t="s">
        <v>969</v>
      </c>
      <c r="D1742" t="s">
        <v>1021</v>
      </c>
      <c r="E1742" t="s">
        <v>929</v>
      </c>
      <c r="F1742" t="s">
        <v>930</v>
      </c>
      <c r="G1742" t="s">
        <v>752</v>
      </c>
      <c r="H1742">
        <v>59</v>
      </c>
      <c r="I1742">
        <v>62.254199999999997</v>
      </c>
      <c r="J1742">
        <v>72.915300000000002</v>
      </c>
      <c r="K1742">
        <v>10.661</v>
      </c>
      <c r="L1742">
        <v>37</v>
      </c>
      <c r="M1742">
        <v>7</v>
      </c>
      <c r="N1742">
        <v>15</v>
      </c>
      <c r="O1742">
        <v>73.019000000000005</v>
      </c>
      <c r="P1742">
        <v>7.4905499999999998</v>
      </c>
      <c r="Q1742">
        <v>17.532599999999999</v>
      </c>
    </row>
    <row r="1743" spans="1:17" x14ac:dyDescent="0.25">
      <c r="A1743" t="str">
        <f>IF(C1743&amp;G1743&amp;D1743&lt;&gt;'Funnel setup'!$K$3&amp;'Funnel setup'!$K$4&amp;'Funnel setup'!$K$6,".",IF(A1742=".",1,A1742+1))</f>
        <v>.</v>
      </c>
      <c r="B1743" s="244" t="str">
        <f t="shared" si="27"/>
        <v>Knee Replacement PrimarySub-ICB of GP PracticeNHS STAFFORDSHIRE AND STOKE-ON-TRENT ICB - 05G (05G)EQ VAS</v>
      </c>
      <c r="C1743" t="s">
        <v>969</v>
      </c>
      <c r="D1743" t="s">
        <v>1021</v>
      </c>
      <c r="E1743" t="s">
        <v>931</v>
      </c>
      <c r="F1743" t="s">
        <v>932</v>
      </c>
      <c r="G1743" t="s">
        <v>752</v>
      </c>
      <c r="H1743">
        <v>42</v>
      </c>
      <c r="I1743">
        <v>61.214300000000001</v>
      </c>
      <c r="J1743">
        <v>70.833299999999994</v>
      </c>
      <c r="K1743">
        <v>9.6190499999999997</v>
      </c>
      <c r="L1743">
        <v>27</v>
      </c>
      <c r="M1743">
        <v>4</v>
      </c>
      <c r="N1743">
        <v>11</v>
      </c>
      <c r="O1743">
        <v>72.031499999999994</v>
      </c>
      <c r="P1743">
        <v>6.5031499999999998</v>
      </c>
      <c r="Q1743">
        <v>14.642899999999999</v>
      </c>
    </row>
    <row r="1744" spans="1:17" x14ac:dyDescent="0.25">
      <c r="A1744" t="str">
        <f>IF(C1744&amp;G1744&amp;D1744&lt;&gt;'Funnel setup'!$K$3&amp;'Funnel setup'!$K$4&amp;'Funnel setup'!$K$6,".",IF(A1743=".",1,A1743+1))</f>
        <v>.</v>
      </c>
      <c r="B1744" s="244" t="str">
        <f t="shared" si="27"/>
        <v>Knee Replacement PrimarySub-ICB of GP PracticeNHS STAFFORDSHIRE AND STOKE-ON-TRENT ICB - 05Q (05Q)EQ VAS</v>
      </c>
      <c r="C1744" t="s">
        <v>969</v>
      </c>
      <c r="D1744" t="s">
        <v>1021</v>
      </c>
      <c r="E1744" t="s">
        <v>933</v>
      </c>
      <c r="F1744" t="s">
        <v>934</v>
      </c>
      <c r="G1744" t="s">
        <v>752</v>
      </c>
      <c r="H1744">
        <v>76</v>
      </c>
      <c r="I1744">
        <v>64.842100000000002</v>
      </c>
      <c r="J1744">
        <v>73.1053</v>
      </c>
      <c r="K1744">
        <v>8.2631599999999992</v>
      </c>
      <c r="L1744">
        <v>45</v>
      </c>
      <c r="M1744">
        <v>9</v>
      </c>
      <c r="N1744">
        <v>22</v>
      </c>
      <c r="O1744">
        <v>72.580100000000002</v>
      </c>
      <c r="P1744">
        <v>7.0517200000000004</v>
      </c>
      <c r="Q1744">
        <v>17.834700000000002</v>
      </c>
    </row>
    <row r="1745" spans="1:17" x14ac:dyDescent="0.25">
      <c r="A1745" t="str">
        <f>IF(C1745&amp;G1745&amp;D1745&lt;&gt;'Funnel setup'!$K$3&amp;'Funnel setup'!$K$4&amp;'Funnel setup'!$K$6,".",IF(A1744=".",1,A1744+1))</f>
        <v>.</v>
      </c>
      <c r="B1745" s="244" t="str">
        <f t="shared" si="27"/>
        <v>Knee Replacement PrimarySub-ICB of GP PracticeNHS STAFFORDSHIRE AND STOKE-ON-TRENT ICB - 05V (05V)EQ VAS</v>
      </c>
      <c r="C1745" t="s">
        <v>969</v>
      </c>
      <c r="D1745" t="s">
        <v>1021</v>
      </c>
      <c r="E1745" t="s">
        <v>935</v>
      </c>
      <c r="F1745" t="s">
        <v>936</v>
      </c>
      <c r="G1745" t="s">
        <v>752</v>
      </c>
      <c r="H1745">
        <v>31</v>
      </c>
      <c r="I1745">
        <v>69.451599999999999</v>
      </c>
      <c r="J1745">
        <v>78.322599999999994</v>
      </c>
      <c r="K1745">
        <v>8.8709699999999998</v>
      </c>
      <c r="L1745">
        <v>19</v>
      </c>
      <c r="M1745">
        <v>7</v>
      </c>
      <c r="N1745">
        <v>5</v>
      </c>
      <c r="O1745">
        <v>76.027600000000007</v>
      </c>
      <c r="P1745">
        <v>10.4992</v>
      </c>
      <c r="Q1745">
        <v>12.8187</v>
      </c>
    </row>
    <row r="1746" spans="1:17" x14ac:dyDescent="0.25">
      <c r="A1746" t="str">
        <f>IF(C1746&amp;G1746&amp;D1746&lt;&gt;'Funnel setup'!$K$3&amp;'Funnel setup'!$K$4&amp;'Funnel setup'!$K$6,".",IF(A1745=".",1,A1745+1))</f>
        <v>.</v>
      </c>
      <c r="B1746" s="244" t="str">
        <f t="shared" si="27"/>
        <v>Knee Replacement PrimarySub-ICB of GP PracticeNHS STAFFORDSHIRE AND STOKE-ON-TRENT ICB - 05W (05W)EQ VAS</v>
      </c>
      <c r="C1746" t="s">
        <v>969</v>
      </c>
      <c r="D1746" t="s">
        <v>1021</v>
      </c>
      <c r="E1746" t="s">
        <v>937</v>
      </c>
      <c r="F1746" t="s">
        <v>938</v>
      </c>
      <c r="G1746" t="s">
        <v>752</v>
      </c>
      <c r="H1746">
        <v>38</v>
      </c>
      <c r="I1746">
        <v>60.026299999999999</v>
      </c>
      <c r="J1746">
        <v>72.526300000000006</v>
      </c>
      <c r="K1746">
        <v>12.5</v>
      </c>
      <c r="L1746">
        <v>24</v>
      </c>
      <c r="M1746">
        <v>4</v>
      </c>
      <c r="N1746">
        <v>10</v>
      </c>
      <c r="O1746">
        <v>76.379099999999994</v>
      </c>
      <c r="P1746">
        <v>10.8507</v>
      </c>
      <c r="Q1746">
        <v>17.008800000000001</v>
      </c>
    </row>
    <row r="1747" spans="1:17" x14ac:dyDescent="0.25">
      <c r="A1747" t="str">
        <f>IF(C1747&amp;G1747&amp;D1747&lt;&gt;'Funnel setup'!$K$3&amp;'Funnel setup'!$K$4&amp;'Funnel setup'!$K$6,".",IF(A1746=".",1,A1746+1))</f>
        <v>.</v>
      </c>
      <c r="B1747" s="244" t="str">
        <f t="shared" si="27"/>
        <v>Knee Replacement PrimarySub-ICB of GP PracticeNHS SUFFOLK AND NORTH EAST ESSEX ICB - 06L (06L)EQ VAS</v>
      </c>
      <c r="C1747" t="s">
        <v>969</v>
      </c>
      <c r="D1747" t="s">
        <v>1021</v>
      </c>
      <c r="E1747" t="s">
        <v>939</v>
      </c>
      <c r="F1747" t="s">
        <v>940</v>
      </c>
      <c r="G1747" t="s">
        <v>752</v>
      </c>
      <c r="H1747">
        <v>105</v>
      </c>
      <c r="I1747">
        <v>63.981000000000002</v>
      </c>
      <c r="J1747">
        <v>74.057100000000005</v>
      </c>
      <c r="K1747">
        <v>10.0762</v>
      </c>
      <c r="L1747">
        <v>61</v>
      </c>
      <c r="M1747">
        <v>7</v>
      </c>
      <c r="N1747">
        <v>37</v>
      </c>
      <c r="O1747">
        <v>75.421700000000001</v>
      </c>
      <c r="P1747">
        <v>9.8933199999999992</v>
      </c>
      <c r="Q1747">
        <v>16.8432</v>
      </c>
    </row>
    <row r="1748" spans="1:17" x14ac:dyDescent="0.25">
      <c r="A1748" t="str">
        <f>IF(C1748&amp;G1748&amp;D1748&lt;&gt;'Funnel setup'!$K$3&amp;'Funnel setup'!$K$4&amp;'Funnel setup'!$K$6,".",IF(A1747=".",1,A1747+1))</f>
        <v>.</v>
      </c>
      <c r="B1748" s="244" t="str">
        <f t="shared" si="27"/>
        <v>Knee Replacement PrimarySub-ICB of GP PracticeNHS SUFFOLK AND NORTH EAST ESSEX ICB - 06T (06T)EQ VAS</v>
      </c>
      <c r="C1748" t="s">
        <v>969</v>
      </c>
      <c r="D1748" t="s">
        <v>1021</v>
      </c>
      <c r="E1748" t="s">
        <v>941</v>
      </c>
      <c r="F1748" t="s">
        <v>942</v>
      </c>
      <c r="G1748" t="s">
        <v>752</v>
      </c>
      <c r="H1748">
        <v>27</v>
      </c>
      <c r="I1748">
        <v>60.925899999999999</v>
      </c>
      <c r="J1748">
        <v>74</v>
      </c>
      <c r="K1748">
        <v>13.0741</v>
      </c>
      <c r="L1748">
        <v>21</v>
      </c>
      <c r="M1748">
        <v>2</v>
      </c>
      <c r="N1748">
        <v>4</v>
      </c>
      <c r="O1748" t="s">
        <v>127</v>
      </c>
      <c r="P1748" t="s">
        <v>127</v>
      </c>
      <c r="Q1748" t="s">
        <v>127</v>
      </c>
    </row>
    <row r="1749" spans="1:17" x14ac:dyDescent="0.25">
      <c r="A1749" t="str">
        <f>IF(C1749&amp;G1749&amp;D1749&lt;&gt;'Funnel setup'!$K$3&amp;'Funnel setup'!$K$4&amp;'Funnel setup'!$K$6,".",IF(A1748=".",1,A1748+1))</f>
        <v>.</v>
      </c>
      <c r="B1749" s="244" t="str">
        <f t="shared" si="27"/>
        <v>Knee Replacement PrimarySub-ICB of GP PracticeNHS SUFFOLK AND NORTH EAST ESSEX ICB - 07K (07K)EQ VAS</v>
      </c>
      <c r="C1749" t="s">
        <v>969</v>
      </c>
      <c r="D1749" t="s">
        <v>1021</v>
      </c>
      <c r="E1749" t="s">
        <v>943</v>
      </c>
      <c r="F1749" t="s">
        <v>944</v>
      </c>
      <c r="G1749" t="s">
        <v>752</v>
      </c>
      <c r="H1749">
        <v>86</v>
      </c>
      <c r="I1749">
        <v>64.639499999999998</v>
      </c>
      <c r="J1749">
        <v>74.325599999999994</v>
      </c>
      <c r="K1749">
        <v>9.6860499999999998</v>
      </c>
      <c r="L1749">
        <v>56</v>
      </c>
      <c r="M1749">
        <v>12</v>
      </c>
      <c r="N1749">
        <v>18</v>
      </c>
      <c r="O1749">
        <v>73.795400000000001</v>
      </c>
      <c r="P1749">
        <v>8.2670100000000009</v>
      </c>
      <c r="Q1749">
        <v>16.653199999999998</v>
      </c>
    </row>
    <row r="1750" spans="1:17" x14ac:dyDescent="0.25">
      <c r="A1750" t="str">
        <f>IF(C1750&amp;G1750&amp;D1750&lt;&gt;'Funnel setup'!$K$3&amp;'Funnel setup'!$K$4&amp;'Funnel setup'!$K$6,".",IF(A1749=".",1,A1749+1))</f>
        <v>.</v>
      </c>
      <c r="B1750" s="244" t="str">
        <f t="shared" si="27"/>
        <v>Knee Replacement PrimarySub-ICB of GP PracticeNHS SURREY HEARTLANDS ICB - 92A (92A)EQ VAS</v>
      </c>
      <c r="C1750" t="s">
        <v>969</v>
      </c>
      <c r="D1750" t="s">
        <v>1021</v>
      </c>
      <c r="E1750" t="s">
        <v>945</v>
      </c>
      <c r="F1750" t="s">
        <v>946</v>
      </c>
      <c r="G1750" t="s">
        <v>752</v>
      </c>
      <c r="H1750">
        <v>318</v>
      </c>
      <c r="I1750">
        <v>65.959100000000007</v>
      </c>
      <c r="J1750">
        <v>75.006299999999996</v>
      </c>
      <c r="K1750">
        <v>9.0471699999999995</v>
      </c>
      <c r="L1750">
        <v>199</v>
      </c>
      <c r="M1750">
        <v>37</v>
      </c>
      <c r="N1750">
        <v>82</v>
      </c>
      <c r="O1750">
        <v>73.297899999999998</v>
      </c>
      <c r="P1750">
        <v>7.7694999999999999</v>
      </c>
      <c r="Q1750">
        <v>16.842199999999998</v>
      </c>
    </row>
    <row r="1751" spans="1:17" x14ac:dyDescent="0.25">
      <c r="A1751" t="str">
        <f>IF(C1751&amp;G1751&amp;D1751&lt;&gt;'Funnel setup'!$K$3&amp;'Funnel setup'!$K$4&amp;'Funnel setup'!$K$6,".",IF(A1750=".",1,A1750+1))</f>
        <v>.</v>
      </c>
      <c r="B1751" s="244" t="str">
        <f t="shared" si="27"/>
        <v>Knee Replacement PrimarySub-ICB of GP PracticeNHS SUSSEX ICB - 09D (09D)EQ VAS</v>
      </c>
      <c r="C1751" t="s">
        <v>969</v>
      </c>
      <c r="D1751" t="s">
        <v>1021</v>
      </c>
      <c r="E1751" t="s">
        <v>947</v>
      </c>
      <c r="F1751" t="s">
        <v>948</v>
      </c>
      <c r="G1751" t="s">
        <v>752</v>
      </c>
      <c r="H1751">
        <v>25</v>
      </c>
      <c r="I1751">
        <v>70.239999999999995</v>
      </c>
      <c r="J1751">
        <v>81.16</v>
      </c>
      <c r="K1751">
        <v>10.92</v>
      </c>
      <c r="L1751">
        <v>16</v>
      </c>
      <c r="M1751">
        <v>5</v>
      </c>
      <c r="N1751">
        <v>4</v>
      </c>
      <c r="O1751" t="s">
        <v>127</v>
      </c>
      <c r="P1751" t="s">
        <v>127</v>
      </c>
      <c r="Q1751" t="s">
        <v>127</v>
      </c>
    </row>
    <row r="1752" spans="1:17" x14ac:dyDescent="0.25">
      <c r="A1752" t="str">
        <f>IF(C1752&amp;G1752&amp;D1752&lt;&gt;'Funnel setup'!$K$3&amp;'Funnel setup'!$K$4&amp;'Funnel setup'!$K$6,".",IF(A1751=".",1,A1751+1))</f>
        <v>.</v>
      </c>
      <c r="B1752" s="244" t="str">
        <f t="shared" si="27"/>
        <v>Knee Replacement PrimarySub-ICB of GP PracticeNHS SUSSEX ICB - 70F (70F)EQ VAS</v>
      </c>
      <c r="C1752" t="s">
        <v>969</v>
      </c>
      <c r="D1752" t="s">
        <v>1021</v>
      </c>
      <c r="E1752" t="s">
        <v>949</v>
      </c>
      <c r="F1752" t="s">
        <v>950</v>
      </c>
      <c r="G1752" t="s">
        <v>752</v>
      </c>
      <c r="H1752">
        <v>219</v>
      </c>
      <c r="I1752">
        <v>67.260300000000001</v>
      </c>
      <c r="J1752">
        <v>74.356200000000001</v>
      </c>
      <c r="K1752">
        <v>7.0958899999999998</v>
      </c>
      <c r="L1752">
        <v>133</v>
      </c>
      <c r="M1752">
        <v>22</v>
      </c>
      <c r="N1752">
        <v>64</v>
      </c>
      <c r="O1752">
        <v>73.1387</v>
      </c>
      <c r="P1752">
        <v>7.6102999999999996</v>
      </c>
      <c r="Q1752">
        <v>15.7409</v>
      </c>
    </row>
    <row r="1753" spans="1:17" x14ac:dyDescent="0.25">
      <c r="A1753" t="str">
        <f>IF(C1753&amp;G1753&amp;D1753&lt;&gt;'Funnel setup'!$K$3&amp;'Funnel setup'!$K$4&amp;'Funnel setup'!$K$6,".",IF(A1752=".",1,A1752+1))</f>
        <v>.</v>
      </c>
      <c r="B1753" s="244" t="str">
        <f t="shared" si="27"/>
        <v>Knee Replacement PrimarySub-ICB of GP PracticeNHS SUSSEX ICB - 97R (97R)EQ VAS</v>
      </c>
      <c r="C1753" t="s">
        <v>969</v>
      </c>
      <c r="D1753" t="s">
        <v>1021</v>
      </c>
      <c r="E1753" t="s">
        <v>951</v>
      </c>
      <c r="F1753" t="s">
        <v>952</v>
      </c>
      <c r="G1753" t="s">
        <v>752</v>
      </c>
      <c r="H1753">
        <v>285</v>
      </c>
      <c r="I1753">
        <v>66.126300000000001</v>
      </c>
      <c r="J1753">
        <v>75.631600000000006</v>
      </c>
      <c r="K1753">
        <v>9.5052599999999998</v>
      </c>
      <c r="L1753">
        <v>183</v>
      </c>
      <c r="M1753">
        <v>29</v>
      </c>
      <c r="N1753">
        <v>73</v>
      </c>
      <c r="O1753">
        <v>74.862399999999994</v>
      </c>
      <c r="P1753">
        <v>9.3340300000000003</v>
      </c>
      <c r="Q1753">
        <v>15.4</v>
      </c>
    </row>
    <row r="1754" spans="1:17" x14ac:dyDescent="0.25">
      <c r="A1754" t="str">
        <f>IF(C1754&amp;G1754&amp;D1754&lt;&gt;'Funnel setup'!$K$3&amp;'Funnel setup'!$K$4&amp;'Funnel setup'!$K$6,".",IF(A1753=".",1,A1753+1))</f>
        <v>.</v>
      </c>
      <c r="B1754" s="244" t="str">
        <f t="shared" si="27"/>
        <v>Knee Replacement PrimarySub-ICB of GP PracticeNHS WEST YORKSHIRE ICB - 02T (02T)EQ VAS</v>
      </c>
      <c r="C1754" t="s">
        <v>969</v>
      </c>
      <c r="D1754" t="s">
        <v>1021</v>
      </c>
      <c r="E1754" t="s">
        <v>953</v>
      </c>
      <c r="F1754" t="s">
        <v>954</v>
      </c>
      <c r="G1754" t="s">
        <v>752</v>
      </c>
      <c r="H1754">
        <v>35</v>
      </c>
      <c r="I1754">
        <v>70.142899999999997</v>
      </c>
      <c r="J1754">
        <v>73.485699999999994</v>
      </c>
      <c r="K1754">
        <v>3.3428599999999999</v>
      </c>
      <c r="L1754">
        <v>16</v>
      </c>
      <c r="M1754">
        <v>6</v>
      </c>
      <c r="N1754">
        <v>13</v>
      </c>
      <c r="O1754">
        <v>71.962000000000003</v>
      </c>
      <c r="P1754">
        <v>6.4335599999999999</v>
      </c>
      <c r="Q1754">
        <v>14.989100000000001</v>
      </c>
    </row>
    <row r="1755" spans="1:17" x14ac:dyDescent="0.25">
      <c r="A1755" t="str">
        <f>IF(C1755&amp;G1755&amp;D1755&lt;&gt;'Funnel setup'!$K$3&amp;'Funnel setup'!$K$4&amp;'Funnel setup'!$K$6,".",IF(A1754=".",1,A1754+1))</f>
        <v>.</v>
      </c>
      <c r="B1755" s="244" t="str">
        <f t="shared" si="27"/>
        <v>Knee Replacement PrimarySub-ICB of GP PracticeNHS WEST YORKSHIRE ICB - 03R (03R)EQ VAS</v>
      </c>
      <c r="C1755" t="s">
        <v>969</v>
      </c>
      <c r="D1755" t="s">
        <v>1021</v>
      </c>
      <c r="E1755" t="s">
        <v>955</v>
      </c>
      <c r="F1755" t="s">
        <v>956</v>
      </c>
      <c r="G1755" t="s">
        <v>752</v>
      </c>
      <c r="H1755">
        <v>156</v>
      </c>
      <c r="I1755">
        <v>63.839700000000001</v>
      </c>
      <c r="J1755">
        <v>73.935900000000004</v>
      </c>
      <c r="K1755">
        <v>10.0962</v>
      </c>
      <c r="L1755">
        <v>104</v>
      </c>
      <c r="M1755">
        <v>7</v>
      </c>
      <c r="N1755">
        <v>45</v>
      </c>
      <c r="O1755">
        <v>74.545199999999994</v>
      </c>
      <c r="P1755">
        <v>9.0167599999999997</v>
      </c>
      <c r="Q1755">
        <v>16.988800000000001</v>
      </c>
    </row>
    <row r="1756" spans="1:17" x14ac:dyDescent="0.25">
      <c r="A1756" t="str">
        <f>IF(C1756&amp;G1756&amp;D1756&lt;&gt;'Funnel setup'!$K$3&amp;'Funnel setup'!$K$4&amp;'Funnel setup'!$K$6,".",IF(A1755=".",1,A1755+1))</f>
        <v>.</v>
      </c>
      <c r="B1756" s="244" t="str">
        <f t="shared" si="27"/>
        <v>Knee Replacement PrimarySub-ICB of GP PracticeNHS WEST YORKSHIRE ICB - 15F (15F)EQ VAS</v>
      </c>
      <c r="C1756" t="s">
        <v>969</v>
      </c>
      <c r="D1756" t="s">
        <v>1021</v>
      </c>
      <c r="E1756" t="s">
        <v>957</v>
      </c>
      <c r="F1756" t="s">
        <v>958</v>
      </c>
      <c r="G1756" t="s">
        <v>752</v>
      </c>
      <c r="H1756">
        <v>231</v>
      </c>
      <c r="I1756">
        <v>64.636399999999995</v>
      </c>
      <c r="J1756">
        <v>73</v>
      </c>
      <c r="K1756">
        <v>8.3636400000000002</v>
      </c>
      <c r="L1756">
        <v>143</v>
      </c>
      <c r="M1756">
        <v>29</v>
      </c>
      <c r="N1756">
        <v>59</v>
      </c>
      <c r="O1756">
        <v>73.403599999999997</v>
      </c>
      <c r="P1756">
        <v>7.8751600000000002</v>
      </c>
      <c r="Q1756">
        <v>16.471499999999999</v>
      </c>
    </row>
    <row r="1757" spans="1:17" x14ac:dyDescent="0.25">
      <c r="A1757" t="str">
        <f>IF(C1757&amp;G1757&amp;D1757&lt;&gt;'Funnel setup'!$K$3&amp;'Funnel setup'!$K$4&amp;'Funnel setup'!$K$6,".",IF(A1756=".",1,A1756+1))</f>
        <v>.</v>
      </c>
      <c r="B1757" s="244" t="str">
        <f t="shared" si="27"/>
        <v>Knee Replacement PrimarySub-ICB of GP PracticeNHS WEST YORKSHIRE ICB - 36J (36J)EQ VAS</v>
      </c>
      <c r="C1757" t="s">
        <v>969</v>
      </c>
      <c r="D1757" t="s">
        <v>1021</v>
      </c>
      <c r="E1757" t="s">
        <v>959</v>
      </c>
      <c r="F1757" t="s">
        <v>960</v>
      </c>
      <c r="G1757" t="s">
        <v>752</v>
      </c>
      <c r="H1757">
        <v>65</v>
      </c>
      <c r="I1757">
        <v>65.2</v>
      </c>
      <c r="J1757">
        <v>72.292299999999997</v>
      </c>
      <c r="K1757">
        <v>7.0923100000000003</v>
      </c>
      <c r="L1757">
        <v>40</v>
      </c>
      <c r="M1757">
        <v>6</v>
      </c>
      <c r="N1757">
        <v>19</v>
      </c>
      <c r="O1757">
        <v>74.356099999999998</v>
      </c>
      <c r="P1757">
        <v>8.8277099999999997</v>
      </c>
      <c r="Q1757">
        <v>16.055299999999999</v>
      </c>
    </row>
    <row r="1758" spans="1:17" x14ac:dyDescent="0.25">
      <c r="A1758" t="str">
        <f>IF(C1758&amp;G1758&amp;D1758&lt;&gt;'Funnel setup'!$K$3&amp;'Funnel setup'!$K$4&amp;'Funnel setup'!$K$6,".",IF(A1757=".",1,A1757+1))</f>
        <v>.</v>
      </c>
      <c r="B1758" s="244" t="str">
        <f t="shared" si="27"/>
        <v>Knee Replacement PrimarySub-ICB of GP PracticeNHS WEST YORKSHIRE ICB - X2C4Y (X2C4Y)EQ VAS</v>
      </c>
      <c r="C1758" t="s">
        <v>969</v>
      </c>
      <c r="D1758" t="s">
        <v>1021</v>
      </c>
      <c r="E1758" t="s">
        <v>961</v>
      </c>
      <c r="F1758" t="s">
        <v>962</v>
      </c>
      <c r="G1758" t="s">
        <v>752</v>
      </c>
      <c r="H1758">
        <v>90</v>
      </c>
      <c r="I1758">
        <v>66.966700000000003</v>
      </c>
      <c r="J1758">
        <v>70.5</v>
      </c>
      <c r="K1758">
        <v>3.5333299999999999</v>
      </c>
      <c r="L1758">
        <v>41</v>
      </c>
      <c r="M1758">
        <v>10</v>
      </c>
      <c r="N1758">
        <v>39</v>
      </c>
      <c r="O1758">
        <v>69.610699999999994</v>
      </c>
      <c r="P1758">
        <v>4.0822700000000003</v>
      </c>
      <c r="Q1758">
        <v>15.5505</v>
      </c>
    </row>
    <row r="1759" spans="1:17" x14ac:dyDescent="0.25">
      <c r="A1759" t="str">
        <f>IF(C1759&amp;G1759&amp;D1759&lt;&gt;'Funnel setup'!$K$3&amp;'Funnel setup'!$K$4&amp;'Funnel setup'!$K$6,".",IF(A1758=".",1,A1758+1))</f>
        <v>.</v>
      </c>
      <c r="B1759" s="244" t="str">
        <f t="shared" si="27"/>
        <v>Knee Replacement PrimarySub-ICB of GP PracticeNATIONAL COMMISSIONING HUB 1 (13Q)EQ-5D Index</v>
      </c>
      <c r="C1759" t="s">
        <v>969</v>
      </c>
      <c r="D1759" t="s">
        <v>1021</v>
      </c>
      <c r="E1759" t="s">
        <v>970</v>
      </c>
      <c r="F1759" t="s">
        <v>971</v>
      </c>
      <c r="G1759" t="s">
        <v>963</v>
      </c>
      <c r="H1759">
        <v>1</v>
      </c>
      <c r="I1759">
        <v>0.85</v>
      </c>
      <c r="J1759">
        <v>1</v>
      </c>
      <c r="K1759">
        <v>0.15</v>
      </c>
      <c r="L1759">
        <v>1</v>
      </c>
      <c r="M1759">
        <v>0</v>
      </c>
      <c r="N1759">
        <v>0</v>
      </c>
      <c r="O1759" t="s">
        <v>127</v>
      </c>
      <c r="P1759" t="s">
        <v>127</v>
      </c>
      <c r="Q1759" t="s">
        <v>127</v>
      </c>
    </row>
    <row r="1760" spans="1:17" x14ac:dyDescent="0.25">
      <c r="A1760" t="str">
        <f>IF(C1760&amp;G1760&amp;D1760&lt;&gt;'Funnel setup'!$K$3&amp;'Funnel setup'!$K$4&amp;'Funnel setup'!$K$6,".",IF(A1759=".",1,A1759+1))</f>
        <v>.</v>
      </c>
      <c r="B1760" s="244" t="str">
        <f t="shared" si="27"/>
        <v>Knee Replacement PrimarySub-ICB of GP PracticeNHS BATH AND NORTH EAST SOMERSET, SWINDON AND WILTSHIRE ICB - 92G (92G)EQ-5D Index</v>
      </c>
      <c r="C1760" t="s">
        <v>969</v>
      </c>
      <c r="D1760" t="s">
        <v>1021</v>
      </c>
      <c r="E1760" t="s">
        <v>750</v>
      </c>
      <c r="F1760" t="s">
        <v>751</v>
      </c>
      <c r="G1760" t="s">
        <v>963</v>
      </c>
      <c r="H1760">
        <v>253</v>
      </c>
      <c r="I1760">
        <v>0.466447</v>
      </c>
      <c r="J1760">
        <v>0.80135199999999995</v>
      </c>
      <c r="K1760">
        <v>0.33490500000000001</v>
      </c>
      <c r="L1760">
        <v>214</v>
      </c>
      <c r="M1760">
        <v>20</v>
      </c>
      <c r="N1760">
        <v>19</v>
      </c>
      <c r="O1760">
        <v>0.77301299999999995</v>
      </c>
      <c r="P1760">
        <v>0.344217</v>
      </c>
      <c r="Q1760">
        <v>0.21334500000000001</v>
      </c>
    </row>
    <row r="1761" spans="1:17" x14ac:dyDescent="0.25">
      <c r="A1761" t="str">
        <f>IF(C1761&amp;G1761&amp;D1761&lt;&gt;'Funnel setup'!$K$3&amp;'Funnel setup'!$K$4&amp;'Funnel setup'!$K$6,".",IF(A1760=".",1,A1760+1))</f>
        <v>.</v>
      </c>
      <c r="B1761" s="244" t="str">
        <f t="shared" si="27"/>
        <v>Knee Replacement PrimarySub-ICB of GP PracticeNHS BEDFORDSHIRE, LUTON AND MILTON KEYNES ICB - M1J4Y (M1J4Y)EQ-5D Index</v>
      </c>
      <c r="C1761" t="s">
        <v>969</v>
      </c>
      <c r="D1761" t="s">
        <v>1021</v>
      </c>
      <c r="E1761" t="s">
        <v>753</v>
      </c>
      <c r="F1761" t="s">
        <v>754</v>
      </c>
      <c r="G1761" t="s">
        <v>963</v>
      </c>
      <c r="H1761">
        <v>226</v>
      </c>
      <c r="I1761">
        <v>0.36884499999999998</v>
      </c>
      <c r="J1761">
        <v>0.71097299999999997</v>
      </c>
      <c r="K1761">
        <v>0.34212799999999999</v>
      </c>
      <c r="L1761">
        <v>179</v>
      </c>
      <c r="M1761">
        <v>22</v>
      </c>
      <c r="N1761">
        <v>25</v>
      </c>
      <c r="O1761">
        <v>0.73008600000000001</v>
      </c>
      <c r="P1761">
        <v>0.30129099999999998</v>
      </c>
      <c r="Q1761">
        <v>0.25959599999999999</v>
      </c>
    </row>
    <row r="1762" spans="1:17" x14ac:dyDescent="0.25">
      <c r="A1762" t="str">
        <f>IF(C1762&amp;G1762&amp;D1762&lt;&gt;'Funnel setup'!$K$3&amp;'Funnel setup'!$K$4&amp;'Funnel setup'!$K$6,".",IF(A1761=".",1,A1761+1))</f>
        <v>.</v>
      </c>
      <c r="B1762" s="244" t="str">
        <f t="shared" si="27"/>
        <v>Knee Replacement PrimarySub-ICB of GP PracticeNHS BIRMINGHAM AND SOLIHULL ICB - 15E (15E)EQ-5D Index</v>
      </c>
      <c r="C1762" t="s">
        <v>969</v>
      </c>
      <c r="D1762" t="s">
        <v>1021</v>
      </c>
      <c r="E1762" t="s">
        <v>755</v>
      </c>
      <c r="F1762" t="s">
        <v>756</v>
      </c>
      <c r="G1762" t="s">
        <v>963</v>
      </c>
      <c r="H1762">
        <v>309</v>
      </c>
      <c r="I1762">
        <v>0.37438500000000002</v>
      </c>
      <c r="J1762">
        <v>0.72163100000000002</v>
      </c>
      <c r="K1762">
        <v>0.347246</v>
      </c>
      <c r="L1762">
        <v>260</v>
      </c>
      <c r="M1762">
        <v>13</v>
      </c>
      <c r="N1762">
        <v>36</v>
      </c>
      <c r="O1762">
        <v>0.74182000000000003</v>
      </c>
      <c r="P1762">
        <v>0.31302400000000002</v>
      </c>
      <c r="Q1762">
        <v>0.247201</v>
      </c>
    </row>
    <row r="1763" spans="1:17" x14ac:dyDescent="0.25">
      <c r="A1763" t="str">
        <f>IF(C1763&amp;G1763&amp;D1763&lt;&gt;'Funnel setup'!$K$3&amp;'Funnel setup'!$K$4&amp;'Funnel setup'!$K$6,".",IF(A1762=".",1,A1762+1))</f>
        <v>.</v>
      </c>
      <c r="B1763" s="244" t="str">
        <f t="shared" si="27"/>
        <v>Knee Replacement PrimarySub-ICB of GP PracticeNHS BLACK COUNTRY ICB - D2P2L (D2P2L)EQ-5D Index</v>
      </c>
      <c r="C1763" t="s">
        <v>969</v>
      </c>
      <c r="D1763" t="s">
        <v>1021</v>
      </c>
      <c r="E1763" t="s">
        <v>757</v>
      </c>
      <c r="F1763" t="s">
        <v>758</v>
      </c>
      <c r="G1763" t="s">
        <v>963</v>
      </c>
      <c r="H1763">
        <v>194</v>
      </c>
      <c r="I1763">
        <v>0.35237600000000002</v>
      </c>
      <c r="J1763">
        <v>0.71191800000000005</v>
      </c>
      <c r="K1763">
        <v>0.359541</v>
      </c>
      <c r="L1763">
        <v>159</v>
      </c>
      <c r="M1763">
        <v>15</v>
      </c>
      <c r="N1763">
        <v>20</v>
      </c>
      <c r="O1763">
        <v>0.755023</v>
      </c>
      <c r="P1763">
        <v>0.32622699999999999</v>
      </c>
      <c r="Q1763">
        <v>0.25644899999999998</v>
      </c>
    </row>
    <row r="1764" spans="1:17" x14ac:dyDescent="0.25">
      <c r="A1764" t="str">
        <f>IF(C1764&amp;G1764&amp;D1764&lt;&gt;'Funnel setup'!$K$3&amp;'Funnel setup'!$K$4&amp;'Funnel setup'!$K$6,".",IF(A1763=".",1,A1763+1))</f>
        <v>.</v>
      </c>
      <c r="B1764" s="244" t="str">
        <f t="shared" si="27"/>
        <v>Knee Replacement PrimarySub-ICB of GP PracticeNHS BRISTOL, NORTH SOMERSET AND SOUTH GLOUCESTERSHIRE ICB - 15C (15C)EQ-5D Index</v>
      </c>
      <c r="C1764" t="s">
        <v>969</v>
      </c>
      <c r="D1764" t="s">
        <v>1021</v>
      </c>
      <c r="E1764" t="s">
        <v>759</v>
      </c>
      <c r="F1764" t="s">
        <v>760</v>
      </c>
      <c r="G1764" t="s">
        <v>963</v>
      </c>
      <c r="H1764">
        <v>216</v>
      </c>
      <c r="I1764">
        <v>0.45719399999999999</v>
      </c>
      <c r="J1764">
        <v>0.75843099999999997</v>
      </c>
      <c r="K1764">
        <v>0.301236</v>
      </c>
      <c r="L1764">
        <v>175</v>
      </c>
      <c r="M1764">
        <v>19</v>
      </c>
      <c r="N1764">
        <v>22</v>
      </c>
      <c r="O1764">
        <v>0.74920399999999998</v>
      </c>
      <c r="P1764">
        <v>0.32040800000000003</v>
      </c>
      <c r="Q1764">
        <v>0.22148699999999999</v>
      </c>
    </row>
    <row r="1765" spans="1:17" x14ac:dyDescent="0.25">
      <c r="A1765" t="str">
        <f>IF(C1765&amp;G1765&amp;D1765&lt;&gt;'Funnel setup'!$K$3&amp;'Funnel setup'!$K$4&amp;'Funnel setup'!$K$6,".",IF(A1764=".",1,A1764+1))</f>
        <v>.</v>
      </c>
      <c r="B1765" s="244" t="str">
        <f t="shared" si="27"/>
        <v>Knee Replacement PrimarySub-ICB of GP PracticeNHS BUCKINGHAMSHIRE, OXFORDSHIRE AND BERKSHIRE WEST ICB - 10Q (10Q)EQ-5D Index</v>
      </c>
      <c r="C1765" t="s">
        <v>969</v>
      </c>
      <c r="D1765" t="s">
        <v>1021</v>
      </c>
      <c r="E1765" t="s">
        <v>761</v>
      </c>
      <c r="F1765" t="s">
        <v>762</v>
      </c>
      <c r="G1765" t="s">
        <v>963</v>
      </c>
      <c r="H1765">
        <v>270</v>
      </c>
      <c r="I1765">
        <v>0.47053</v>
      </c>
      <c r="J1765">
        <v>0.77844400000000002</v>
      </c>
      <c r="K1765">
        <v>0.30791499999999999</v>
      </c>
      <c r="L1765">
        <v>229</v>
      </c>
      <c r="M1765">
        <v>26</v>
      </c>
      <c r="N1765">
        <v>15</v>
      </c>
      <c r="O1765">
        <v>0.754799</v>
      </c>
      <c r="P1765">
        <v>0.32600400000000002</v>
      </c>
      <c r="Q1765">
        <v>0.214369</v>
      </c>
    </row>
    <row r="1766" spans="1:17" x14ac:dyDescent="0.25">
      <c r="A1766" t="str">
        <f>IF(C1766&amp;G1766&amp;D1766&lt;&gt;'Funnel setup'!$K$3&amp;'Funnel setup'!$K$4&amp;'Funnel setup'!$K$6,".",IF(A1765=".",1,A1765+1))</f>
        <v>.</v>
      </c>
      <c r="B1766" s="244" t="str">
        <f t="shared" si="27"/>
        <v>Knee Replacement PrimarySub-ICB of GP PracticeNHS BUCKINGHAMSHIRE, OXFORDSHIRE AND BERKSHIRE WEST ICB - 14Y (14Y)EQ-5D Index</v>
      </c>
      <c r="C1766" t="s">
        <v>969</v>
      </c>
      <c r="D1766" t="s">
        <v>1021</v>
      </c>
      <c r="E1766" t="s">
        <v>763</v>
      </c>
      <c r="F1766" t="s">
        <v>764</v>
      </c>
      <c r="G1766" t="s">
        <v>963</v>
      </c>
      <c r="H1766">
        <v>207</v>
      </c>
      <c r="I1766">
        <v>0.50796600000000003</v>
      </c>
      <c r="J1766">
        <v>0.81048799999999999</v>
      </c>
      <c r="K1766">
        <v>0.30252200000000001</v>
      </c>
      <c r="L1766">
        <v>173</v>
      </c>
      <c r="M1766">
        <v>19</v>
      </c>
      <c r="N1766">
        <v>15</v>
      </c>
      <c r="O1766">
        <v>0.765324</v>
      </c>
      <c r="P1766">
        <v>0.33652799999999999</v>
      </c>
      <c r="Q1766">
        <v>0.198076</v>
      </c>
    </row>
    <row r="1767" spans="1:17" x14ac:dyDescent="0.25">
      <c r="A1767" t="str">
        <f>IF(C1767&amp;G1767&amp;D1767&lt;&gt;'Funnel setup'!$K$3&amp;'Funnel setup'!$K$4&amp;'Funnel setup'!$K$6,".",IF(A1766=".",1,A1766+1))</f>
        <v>.</v>
      </c>
      <c r="B1767" s="244" t="str">
        <f t="shared" si="27"/>
        <v>Knee Replacement PrimarySub-ICB of GP PracticeNHS BUCKINGHAMSHIRE, OXFORDSHIRE AND BERKSHIRE WEST ICB - 15A (15A)EQ-5D Index</v>
      </c>
      <c r="C1767" t="s">
        <v>969</v>
      </c>
      <c r="D1767" t="s">
        <v>1021</v>
      </c>
      <c r="E1767" t="s">
        <v>765</v>
      </c>
      <c r="F1767" t="s">
        <v>766</v>
      </c>
      <c r="G1767" t="s">
        <v>963</v>
      </c>
      <c r="H1767">
        <v>69</v>
      </c>
      <c r="I1767">
        <v>0.47050700000000001</v>
      </c>
      <c r="J1767">
        <v>0.75127500000000003</v>
      </c>
      <c r="K1767">
        <v>0.28076800000000002</v>
      </c>
      <c r="L1767">
        <v>53</v>
      </c>
      <c r="M1767">
        <v>12</v>
      </c>
      <c r="N1767">
        <v>4</v>
      </c>
      <c r="O1767">
        <v>0.71211599999999997</v>
      </c>
      <c r="P1767">
        <v>0.28332000000000002</v>
      </c>
      <c r="Q1767">
        <v>0.25926700000000003</v>
      </c>
    </row>
    <row r="1768" spans="1:17" x14ac:dyDescent="0.25">
      <c r="A1768" t="str">
        <f>IF(C1768&amp;G1768&amp;D1768&lt;&gt;'Funnel setup'!$K$3&amp;'Funnel setup'!$K$4&amp;'Funnel setup'!$K$6,".",IF(A1767=".",1,A1767+1))</f>
        <v>.</v>
      </c>
      <c r="B1768" s="244" t="str">
        <f t="shared" si="27"/>
        <v>Knee Replacement PrimarySub-ICB of GP PracticeNHS CAMBRIDGESHIRE AND PETERBOROUGH ICB - 06H (06H)EQ-5D Index</v>
      </c>
      <c r="C1768" t="s">
        <v>969</v>
      </c>
      <c r="D1768" t="s">
        <v>1021</v>
      </c>
      <c r="E1768" t="s">
        <v>767</v>
      </c>
      <c r="F1768" t="s">
        <v>768</v>
      </c>
      <c r="G1768" t="s">
        <v>963</v>
      </c>
      <c r="H1768">
        <v>193</v>
      </c>
      <c r="I1768">
        <v>0.42052299999999998</v>
      </c>
      <c r="J1768">
        <v>0.72654399999999997</v>
      </c>
      <c r="K1768">
        <v>0.30602099999999999</v>
      </c>
      <c r="L1768">
        <v>159</v>
      </c>
      <c r="M1768">
        <v>16</v>
      </c>
      <c r="N1768">
        <v>18</v>
      </c>
      <c r="O1768">
        <v>0.723966</v>
      </c>
      <c r="P1768">
        <v>0.29516999999999999</v>
      </c>
      <c r="Q1768">
        <v>0.22706599999999999</v>
      </c>
    </row>
    <row r="1769" spans="1:17" x14ac:dyDescent="0.25">
      <c r="A1769" t="str">
        <f>IF(C1769&amp;G1769&amp;D1769&lt;&gt;'Funnel setup'!$K$3&amp;'Funnel setup'!$K$4&amp;'Funnel setup'!$K$6,".",IF(A1768=".",1,A1768+1))</f>
        <v>.</v>
      </c>
      <c r="B1769" s="244" t="str">
        <f t="shared" si="27"/>
        <v>Knee Replacement PrimarySub-ICB of GP PracticeNHS CHESHIRE AND MERSEYSIDE ICB - 01F (01F)EQ-5D Index</v>
      </c>
      <c r="C1769" t="s">
        <v>969</v>
      </c>
      <c r="D1769" t="s">
        <v>1021</v>
      </c>
      <c r="E1769" t="s">
        <v>769</v>
      </c>
      <c r="F1769" t="s">
        <v>770</v>
      </c>
      <c r="G1769" t="s">
        <v>963</v>
      </c>
      <c r="H1769">
        <v>31</v>
      </c>
      <c r="I1769">
        <v>0.40790300000000002</v>
      </c>
      <c r="J1769">
        <v>0.70496800000000004</v>
      </c>
      <c r="K1769">
        <v>0.29706500000000002</v>
      </c>
      <c r="L1769">
        <v>23</v>
      </c>
      <c r="M1769">
        <v>2</v>
      </c>
      <c r="N1769">
        <v>6</v>
      </c>
      <c r="O1769">
        <v>0.72251799999999999</v>
      </c>
      <c r="P1769">
        <v>0.29372199999999998</v>
      </c>
      <c r="Q1769">
        <v>0.301786</v>
      </c>
    </row>
    <row r="1770" spans="1:17" x14ac:dyDescent="0.25">
      <c r="A1770" t="str">
        <f>IF(C1770&amp;G1770&amp;D1770&lt;&gt;'Funnel setup'!$K$3&amp;'Funnel setup'!$K$4&amp;'Funnel setup'!$K$6,".",IF(A1769=".",1,A1769+1))</f>
        <v>.</v>
      </c>
      <c r="B1770" s="244" t="str">
        <f t="shared" si="27"/>
        <v>Knee Replacement PrimarySub-ICB of GP PracticeNHS CHESHIRE AND MERSEYSIDE ICB - 01J (01J)EQ-5D Index</v>
      </c>
      <c r="C1770" t="s">
        <v>969</v>
      </c>
      <c r="D1770" t="s">
        <v>1021</v>
      </c>
      <c r="E1770" t="s">
        <v>771</v>
      </c>
      <c r="F1770" t="s">
        <v>772</v>
      </c>
      <c r="G1770" t="s">
        <v>963</v>
      </c>
      <c r="H1770">
        <v>31</v>
      </c>
      <c r="I1770">
        <v>0.28935499999999997</v>
      </c>
      <c r="J1770">
        <v>0.57035499999999995</v>
      </c>
      <c r="K1770">
        <v>0.28100000000000003</v>
      </c>
      <c r="L1770">
        <v>26</v>
      </c>
      <c r="M1770">
        <v>2</v>
      </c>
      <c r="N1770">
        <v>3</v>
      </c>
      <c r="O1770">
        <v>0.66065700000000005</v>
      </c>
      <c r="P1770">
        <v>0.23186100000000001</v>
      </c>
      <c r="Q1770">
        <v>0.31924799999999998</v>
      </c>
    </row>
    <row r="1771" spans="1:17" x14ac:dyDescent="0.25">
      <c r="A1771" t="str">
        <f>IF(C1771&amp;G1771&amp;D1771&lt;&gt;'Funnel setup'!$K$3&amp;'Funnel setup'!$K$4&amp;'Funnel setup'!$K$6,".",IF(A1770=".",1,A1770+1))</f>
        <v>.</v>
      </c>
      <c r="B1771" s="244" t="str">
        <f t="shared" si="27"/>
        <v>Knee Replacement PrimarySub-ICB of GP PracticeNHS CHESHIRE AND MERSEYSIDE ICB - 01T (01T)EQ-5D Index</v>
      </c>
      <c r="C1771" t="s">
        <v>969</v>
      </c>
      <c r="D1771" t="s">
        <v>1021</v>
      </c>
      <c r="E1771" t="s">
        <v>773</v>
      </c>
      <c r="F1771" t="s">
        <v>774</v>
      </c>
      <c r="G1771" t="s">
        <v>963</v>
      </c>
      <c r="H1771">
        <v>51</v>
      </c>
      <c r="I1771">
        <v>0.38125500000000001</v>
      </c>
      <c r="J1771">
        <v>0.77047100000000002</v>
      </c>
      <c r="K1771">
        <v>0.38921600000000001</v>
      </c>
      <c r="L1771">
        <v>42</v>
      </c>
      <c r="M1771">
        <v>6</v>
      </c>
      <c r="N1771">
        <v>3</v>
      </c>
      <c r="O1771">
        <v>0.78100499999999995</v>
      </c>
      <c r="P1771">
        <v>0.35220899999999999</v>
      </c>
      <c r="Q1771">
        <v>0.25502399999999997</v>
      </c>
    </row>
    <row r="1772" spans="1:17" x14ac:dyDescent="0.25">
      <c r="A1772" t="str">
        <f>IF(C1772&amp;G1772&amp;D1772&lt;&gt;'Funnel setup'!$K$3&amp;'Funnel setup'!$K$4&amp;'Funnel setup'!$K$6,".",IF(A1771=".",1,A1771+1))</f>
        <v>.</v>
      </c>
      <c r="B1772" s="244" t="str">
        <f t="shared" si="27"/>
        <v>Knee Replacement PrimarySub-ICB of GP PracticeNHS CHESHIRE AND MERSEYSIDE ICB - 01V (01V)EQ-5D Index</v>
      </c>
      <c r="C1772" t="s">
        <v>969</v>
      </c>
      <c r="D1772" t="s">
        <v>1021</v>
      </c>
      <c r="E1772" t="s">
        <v>775</v>
      </c>
      <c r="F1772" t="s">
        <v>776</v>
      </c>
      <c r="G1772" t="s">
        <v>963</v>
      </c>
      <c r="H1772">
        <v>28</v>
      </c>
      <c r="I1772">
        <v>0.45535700000000001</v>
      </c>
      <c r="J1772">
        <v>0.79996400000000001</v>
      </c>
      <c r="K1772">
        <v>0.344607</v>
      </c>
      <c r="L1772">
        <v>25</v>
      </c>
      <c r="M1772">
        <v>1</v>
      </c>
      <c r="N1772">
        <v>2</v>
      </c>
      <c r="O1772" t="s">
        <v>127</v>
      </c>
      <c r="P1772" t="s">
        <v>127</v>
      </c>
      <c r="Q1772" t="s">
        <v>127</v>
      </c>
    </row>
    <row r="1773" spans="1:17" x14ac:dyDescent="0.25">
      <c r="A1773" t="str">
        <f>IF(C1773&amp;G1773&amp;D1773&lt;&gt;'Funnel setup'!$K$3&amp;'Funnel setup'!$K$4&amp;'Funnel setup'!$K$6,".",IF(A1772=".",1,A1772+1))</f>
        <v>.</v>
      </c>
      <c r="B1773" s="244" t="str">
        <f t="shared" si="27"/>
        <v>Knee Replacement PrimarySub-ICB of GP PracticeNHS CHESHIRE AND MERSEYSIDE ICB - 01X (01X)EQ-5D Index</v>
      </c>
      <c r="C1773" t="s">
        <v>969</v>
      </c>
      <c r="D1773" t="s">
        <v>1021</v>
      </c>
      <c r="E1773" t="s">
        <v>777</v>
      </c>
      <c r="F1773" t="s">
        <v>778</v>
      </c>
      <c r="G1773" t="s">
        <v>963</v>
      </c>
      <c r="H1773">
        <v>62</v>
      </c>
      <c r="I1773">
        <v>0.35109699999999999</v>
      </c>
      <c r="J1773">
        <v>0.666161</v>
      </c>
      <c r="K1773">
        <v>0.31506499999999998</v>
      </c>
      <c r="L1773">
        <v>51</v>
      </c>
      <c r="M1773">
        <v>3</v>
      </c>
      <c r="N1773">
        <v>8</v>
      </c>
      <c r="O1773">
        <v>0.68352800000000002</v>
      </c>
      <c r="P1773">
        <v>0.25473200000000001</v>
      </c>
      <c r="Q1773">
        <v>0.25845099999999999</v>
      </c>
    </row>
    <row r="1774" spans="1:17" x14ac:dyDescent="0.25">
      <c r="A1774" t="str">
        <f>IF(C1774&amp;G1774&amp;D1774&lt;&gt;'Funnel setup'!$K$3&amp;'Funnel setup'!$K$4&amp;'Funnel setup'!$K$6,".",IF(A1773=".",1,A1773+1))</f>
        <v>.</v>
      </c>
      <c r="B1774" s="244" t="str">
        <f t="shared" si="27"/>
        <v>Knee Replacement PrimarySub-ICB of GP PracticeNHS CHESHIRE AND MERSEYSIDE ICB - 02E (02E)EQ-5D Index</v>
      </c>
      <c r="C1774" t="s">
        <v>969</v>
      </c>
      <c r="D1774" t="s">
        <v>1021</v>
      </c>
      <c r="E1774" t="s">
        <v>779</v>
      </c>
      <c r="F1774" t="s">
        <v>780</v>
      </c>
      <c r="G1774" t="s">
        <v>963</v>
      </c>
      <c r="H1774">
        <v>40</v>
      </c>
      <c r="I1774">
        <v>0.56420000000000003</v>
      </c>
      <c r="J1774">
        <v>0.79362500000000002</v>
      </c>
      <c r="K1774">
        <v>0.22942499999999999</v>
      </c>
      <c r="L1774">
        <v>30</v>
      </c>
      <c r="M1774">
        <v>5</v>
      </c>
      <c r="N1774">
        <v>5</v>
      </c>
      <c r="O1774">
        <v>0.74710799999999999</v>
      </c>
      <c r="P1774">
        <v>0.31831300000000001</v>
      </c>
      <c r="Q1774">
        <v>0.16963400000000001</v>
      </c>
    </row>
    <row r="1775" spans="1:17" x14ac:dyDescent="0.25">
      <c r="A1775" t="str">
        <f>IF(C1775&amp;G1775&amp;D1775&lt;&gt;'Funnel setup'!$K$3&amp;'Funnel setup'!$K$4&amp;'Funnel setup'!$K$6,".",IF(A1774=".",1,A1774+1))</f>
        <v>.</v>
      </c>
      <c r="B1775" s="244" t="str">
        <f t="shared" si="27"/>
        <v>Knee Replacement PrimarySub-ICB of GP PracticeNHS CHESHIRE AND MERSEYSIDE ICB - 12F (12F)EQ-5D Index</v>
      </c>
      <c r="C1775" t="s">
        <v>969</v>
      </c>
      <c r="D1775" t="s">
        <v>1021</v>
      </c>
      <c r="E1775" t="s">
        <v>781</v>
      </c>
      <c r="F1775" t="s">
        <v>782</v>
      </c>
      <c r="G1775" t="s">
        <v>963</v>
      </c>
      <c r="H1775">
        <v>76</v>
      </c>
      <c r="I1775">
        <v>0.40085500000000002</v>
      </c>
      <c r="J1775">
        <v>0.75340799999999997</v>
      </c>
      <c r="K1775">
        <v>0.35255300000000001</v>
      </c>
      <c r="L1775">
        <v>64</v>
      </c>
      <c r="M1775">
        <v>2</v>
      </c>
      <c r="N1775">
        <v>10</v>
      </c>
      <c r="O1775">
        <v>0.75898200000000005</v>
      </c>
      <c r="P1775">
        <v>0.33018599999999998</v>
      </c>
      <c r="Q1775">
        <v>0.25831500000000002</v>
      </c>
    </row>
    <row r="1776" spans="1:17" x14ac:dyDescent="0.25">
      <c r="A1776" t="str">
        <f>IF(C1776&amp;G1776&amp;D1776&lt;&gt;'Funnel setup'!$K$3&amp;'Funnel setup'!$K$4&amp;'Funnel setup'!$K$6,".",IF(A1775=".",1,A1775+1))</f>
        <v>.</v>
      </c>
      <c r="B1776" s="244" t="str">
        <f t="shared" si="27"/>
        <v>Knee Replacement PrimarySub-ICB of GP PracticeNHS CHESHIRE AND MERSEYSIDE ICB - 27D (27D)EQ-5D Index</v>
      </c>
      <c r="C1776" t="s">
        <v>969</v>
      </c>
      <c r="D1776" t="s">
        <v>1021</v>
      </c>
      <c r="E1776" t="s">
        <v>783</v>
      </c>
      <c r="F1776" t="s">
        <v>784</v>
      </c>
      <c r="G1776" t="s">
        <v>963</v>
      </c>
      <c r="H1776">
        <v>241</v>
      </c>
      <c r="I1776">
        <v>0.42668499999999998</v>
      </c>
      <c r="J1776">
        <v>0.76611600000000002</v>
      </c>
      <c r="K1776">
        <v>0.33943200000000001</v>
      </c>
      <c r="L1776">
        <v>205</v>
      </c>
      <c r="M1776">
        <v>22</v>
      </c>
      <c r="N1776">
        <v>14</v>
      </c>
      <c r="O1776">
        <v>0.76438799999999996</v>
      </c>
      <c r="P1776">
        <v>0.335592</v>
      </c>
      <c r="Q1776">
        <v>0.221751</v>
      </c>
    </row>
    <row r="1777" spans="1:17" x14ac:dyDescent="0.25">
      <c r="A1777" t="str">
        <f>IF(C1777&amp;G1777&amp;D1777&lt;&gt;'Funnel setup'!$K$3&amp;'Funnel setup'!$K$4&amp;'Funnel setup'!$K$6,".",IF(A1776=".",1,A1776+1))</f>
        <v>.</v>
      </c>
      <c r="B1777" s="244" t="str">
        <f t="shared" si="27"/>
        <v>Knee Replacement PrimarySub-ICB of GP PracticeNHS CHESHIRE AND MERSEYSIDE ICB - 99A (99A)EQ-5D Index</v>
      </c>
      <c r="C1777" t="s">
        <v>969</v>
      </c>
      <c r="D1777" t="s">
        <v>1021</v>
      </c>
      <c r="E1777" t="s">
        <v>785</v>
      </c>
      <c r="F1777" t="s">
        <v>786</v>
      </c>
      <c r="G1777" t="s">
        <v>963</v>
      </c>
      <c r="H1777">
        <v>47</v>
      </c>
      <c r="I1777">
        <v>0.233596</v>
      </c>
      <c r="J1777">
        <v>0.63842600000000005</v>
      </c>
      <c r="K1777">
        <v>0.40483000000000002</v>
      </c>
      <c r="L1777">
        <v>39</v>
      </c>
      <c r="M1777">
        <v>4</v>
      </c>
      <c r="N1777">
        <v>4</v>
      </c>
      <c r="O1777">
        <v>0.70860199999999995</v>
      </c>
      <c r="P1777">
        <v>0.279806</v>
      </c>
      <c r="Q1777">
        <v>0.26008799999999999</v>
      </c>
    </row>
    <row r="1778" spans="1:17" x14ac:dyDescent="0.25">
      <c r="A1778" t="str">
        <f>IF(C1778&amp;G1778&amp;D1778&lt;&gt;'Funnel setup'!$K$3&amp;'Funnel setup'!$K$4&amp;'Funnel setup'!$K$6,".",IF(A1777=".",1,A1777+1))</f>
        <v>.</v>
      </c>
      <c r="B1778" s="244" t="str">
        <f t="shared" si="27"/>
        <v>Knee Replacement PrimarySub-ICB of GP PracticeNHS CORNWALL AND THE ISLES OF SCILLY ICB - 11N (11N)EQ-5D Index</v>
      </c>
      <c r="C1778" t="s">
        <v>969</v>
      </c>
      <c r="D1778" t="s">
        <v>1021</v>
      </c>
      <c r="E1778" t="s">
        <v>787</v>
      </c>
      <c r="F1778" t="s">
        <v>788</v>
      </c>
      <c r="G1778" t="s">
        <v>963</v>
      </c>
      <c r="H1778">
        <v>141</v>
      </c>
      <c r="I1778">
        <v>0.49079400000000001</v>
      </c>
      <c r="J1778">
        <v>0.76126199999999999</v>
      </c>
      <c r="K1778">
        <v>0.27046799999999999</v>
      </c>
      <c r="L1778">
        <v>115</v>
      </c>
      <c r="M1778">
        <v>13</v>
      </c>
      <c r="N1778">
        <v>13</v>
      </c>
      <c r="O1778">
        <v>0.756633</v>
      </c>
      <c r="P1778">
        <v>0.32783800000000002</v>
      </c>
      <c r="Q1778">
        <v>0.21399099999999999</v>
      </c>
    </row>
    <row r="1779" spans="1:17" x14ac:dyDescent="0.25">
      <c r="A1779" t="str">
        <f>IF(C1779&amp;G1779&amp;D1779&lt;&gt;'Funnel setup'!$K$3&amp;'Funnel setup'!$K$4&amp;'Funnel setup'!$K$6,".",IF(A1778=".",1,A1778+1))</f>
        <v>.</v>
      </c>
      <c r="B1779" s="244" t="str">
        <f t="shared" si="27"/>
        <v>Knee Replacement PrimarySub-ICB of GP PracticeNHS COVENTRY AND WARWICKSHIRE ICB - B2M3M (B2M3M)EQ-5D Index</v>
      </c>
      <c r="C1779" t="s">
        <v>969</v>
      </c>
      <c r="D1779" t="s">
        <v>1021</v>
      </c>
      <c r="E1779" t="s">
        <v>789</v>
      </c>
      <c r="F1779" t="s">
        <v>790</v>
      </c>
      <c r="G1779" t="s">
        <v>963</v>
      </c>
      <c r="H1779">
        <v>214</v>
      </c>
      <c r="I1779">
        <v>0.47236899999999998</v>
      </c>
      <c r="J1779">
        <v>0.78780799999999995</v>
      </c>
      <c r="K1779">
        <v>0.31543900000000002</v>
      </c>
      <c r="L1779">
        <v>181</v>
      </c>
      <c r="M1779">
        <v>18</v>
      </c>
      <c r="N1779">
        <v>15</v>
      </c>
      <c r="O1779">
        <v>0.76399899999999998</v>
      </c>
      <c r="P1779">
        <v>0.33520299999999997</v>
      </c>
      <c r="Q1779">
        <v>0.231126</v>
      </c>
    </row>
    <row r="1780" spans="1:17" x14ac:dyDescent="0.25">
      <c r="A1780" t="str">
        <f>IF(C1780&amp;G1780&amp;D1780&lt;&gt;'Funnel setup'!$K$3&amp;'Funnel setup'!$K$4&amp;'Funnel setup'!$K$6,".",IF(A1779=".",1,A1779+1))</f>
        <v>.</v>
      </c>
      <c r="B1780" s="244" t="str">
        <f t="shared" si="27"/>
        <v>Knee Replacement PrimarySub-ICB of GP PracticeNHS DERBY AND DERBYSHIRE ICB - 15M (15M)EQ-5D Index</v>
      </c>
      <c r="C1780" t="s">
        <v>969</v>
      </c>
      <c r="D1780" t="s">
        <v>1021</v>
      </c>
      <c r="E1780" t="s">
        <v>791</v>
      </c>
      <c r="F1780" t="s">
        <v>792</v>
      </c>
      <c r="G1780" t="s">
        <v>963</v>
      </c>
      <c r="H1780">
        <v>497</v>
      </c>
      <c r="I1780">
        <v>0.41051300000000002</v>
      </c>
      <c r="J1780">
        <v>0.73884700000000003</v>
      </c>
      <c r="K1780">
        <v>0.32833400000000001</v>
      </c>
      <c r="L1780">
        <v>412</v>
      </c>
      <c r="M1780">
        <v>45</v>
      </c>
      <c r="N1780">
        <v>40</v>
      </c>
      <c r="O1780">
        <v>0.75302000000000002</v>
      </c>
      <c r="P1780">
        <v>0.32422499999999999</v>
      </c>
      <c r="Q1780">
        <v>0.22682099999999999</v>
      </c>
    </row>
    <row r="1781" spans="1:17" x14ac:dyDescent="0.25">
      <c r="A1781" t="str">
        <f>IF(C1781&amp;G1781&amp;D1781&lt;&gt;'Funnel setup'!$K$3&amp;'Funnel setup'!$K$4&amp;'Funnel setup'!$K$6,".",IF(A1780=".",1,A1780+1))</f>
        <v>.</v>
      </c>
      <c r="B1781" s="244" t="str">
        <f t="shared" si="27"/>
        <v>Knee Replacement PrimarySub-ICB of GP PracticeNHS DEVON ICB - 15N (15N)EQ-5D Index</v>
      </c>
      <c r="C1781" t="s">
        <v>969</v>
      </c>
      <c r="D1781" t="s">
        <v>1021</v>
      </c>
      <c r="E1781" t="s">
        <v>793</v>
      </c>
      <c r="F1781" t="s">
        <v>794</v>
      </c>
      <c r="G1781" t="s">
        <v>963</v>
      </c>
      <c r="H1781">
        <v>373</v>
      </c>
      <c r="I1781">
        <v>0.45377699999999999</v>
      </c>
      <c r="J1781">
        <v>0.77317199999999997</v>
      </c>
      <c r="K1781">
        <v>0.31939400000000001</v>
      </c>
      <c r="L1781">
        <v>318</v>
      </c>
      <c r="M1781">
        <v>28</v>
      </c>
      <c r="N1781">
        <v>27</v>
      </c>
      <c r="O1781">
        <v>0.76892499999999997</v>
      </c>
      <c r="P1781">
        <v>0.34012900000000001</v>
      </c>
      <c r="Q1781">
        <v>0.21581500000000001</v>
      </c>
    </row>
    <row r="1782" spans="1:17" x14ac:dyDescent="0.25">
      <c r="A1782" t="str">
        <f>IF(C1782&amp;G1782&amp;D1782&lt;&gt;'Funnel setup'!$K$3&amp;'Funnel setup'!$K$4&amp;'Funnel setup'!$K$6,".",IF(A1781=".",1,A1781+1))</f>
        <v>.</v>
      </c>
      <c r="B1782" s="244" t="str">
        <f t="shared" si="27"/>
        <v>Knee Replacement PrimarySub-ICB of GP PracticeNHS DORSET ICB - 11J (11J)EQ-5D Index</v>
      </c>
      <c r="C1782" t="s">
        <v>969</v>
      </c>
      <c r="D1782" t="s">
        <v>1021</v>
      </c>
      <c r="E1782" t="s">
        <v>795</v>
      </c>
      <c r="F1782" t="s">
        <v>796</v>
      </c>
      <c r="G1782" t="s">
        <v>963</v>
      </c>
      <c r="H1782">
        <v>261</v>
      </c>
      <c r="I1782">
        <v>0.501579</v>
      </c>
      <c r="J1782">
        <v>0.78126399999999996</v>
      </c>
      <c r="K1782">
        <v>0.27968599999999999</v>
      </c>
      <c r="L1782">
        <v>216</v>
      </c>
      <c r="M1782">
        <v>19</v>
      </c>
      <c r="N1782">
        <v>26</v>
      </c>
      <c r="O1782">
        <v>0.76573400000000003</v>
      </c>
      <c r="P1782">
        <v>0.33693899999999999</v>
      </c>
      <c r="Q1782">
        <v>0.209234</v>
      </c>
    </row>
    <row r="1783" spans="1:17" x14ac:dyDescent="0.25">
      <c r="A1783" t="str">
        <f>IF(C1783&amp;G1783&amp;D1783&lt;&gt;'Funnel setup'!$K$3&amp;'Funnel setup'!$K$4&amp;'Funnel setup'!$K$6,".",IF(A1782=".",1,A1782+1))</f>
        <v>.</v>
      </c>
      <c r="B1783" s="244" t="str">
        <f t="shared" si="27"/>
        <v>Knee Replacement PrimarySub-ICB of GP PracticeNHS FRIMLEY ICB - D4U1Y (D4U1Y)EQ-5D Index</v>
      </c>
      <c r="C1783" t="s">
        <v>969</v>
      </c>
      <c r="D1783" t="s">
        <v>1021</v>
      </c>
      <c r="E1783" t="s">
        <v>797</v>
      </c>
      <c r="F1783" t="s">
        <v>798</v>
      </c>
      <c r="G1783" t="s">
        <v>963</v>
      </c>
      <c r="H1783">
        <v>174</v>
      </c>
      <c r="I1783">
        <v>0.47499400000000003</v>
      </c>
      <c r="J1783">
        <v>0.74658599999999997</v>
      </c>
      <c r="K1783">
        <v>0.271592</v>
      </c>
      <c r="L1783">
        <v>139</v>
      </c>
      <c r="M1783">
        <v>13</v>
      </c>
      <c r="N1783">
        <v>22</v>
      </c>
      <c r="O1783">
        <v>0.722387</v>
      </c>
      <c r="P1783">
        <v>0.29359099999999999</v>
      </c>
      <c r="Q1783">
        <v>0.22023200000000001</v>
      </c>
    </row>
    <row r="1784" spans="1:17" x14ac:dyDescent="0.25">
      <c r="A1784" t="str">
        <f>IF(C1784&amp;G1784&amp;D1784&lt;&gt;'Funnel setup'!$K$3&amp;'Funnel setup'!$K$4&amp;'Funnel setup'!$K$6,".",IF(A1783=".",1,A1783+1))</f>
        <v>.</v>
      </c>
      <c r="B1784" s="244" t="str">
        <f t="shared" si="27"/>
        <v>Knee Replacement PrimarySub-ICB of GP PracticeNHS GLOUCESTERSHIRE ICB - 11M (11M)EQ-5D Index</v>
      </c>
      <c r="C1784" t="s">
        <v>969</v>
      </c>
      <c r="D1784" t="s">
        <v>1021</v>
      </c>
      <c r="E1784" t="s">
        <v>799</v>
      </c>
      <c r="F1784" t="s">
        <v>800</v>
      </c>
      <c r="G1784" t="s">
        <v>963</v>
      </c>
      <c r="H1784">
        <v>152</v>
      </c>
      <c r="I1784">
        <v>0.474296</v>
      </c>
      <c r="J1784">
        <v>0.76575700000000002</v>
      </c>
      <c r="K1784">
        <v>0.29146100000000003</v>
      </c>
      <c r="L1784">
        <v>125</v>
      </c>
      <c r="M1784">
        <v>17</v>
      </c>
      <c r="N1784">
        <v>10</v>
      </c>
      <c r="O1784">
        <v>0.749224</v>
      </c>
      <c r="P1784">
        <v>0.32042799999999999</v>
      </c>
      <c r="Q1784">
        <v>0.24479799999999999</v>
      </c>
    </row>
    <row r="1785" spans="1:17" x14ac:dyDescent="0.25">
      <c r="A1785" t="str">
        <f>IF(C1785&amp;G1785&amp;D1785&lt;&gt;'Funnel setup'!$K$3&amp;'Funnel setup'!$K$4&amp;'Funnel setup'!$K$6,".",IF(A1784=".",1,A1784+1))</f>
        <v>.</v>
      </c>
      <c r="B1785" s="244" t="str">
        <f t="shared" si="27"/>
        <v>Knee Replacement PrimarySub-ICB of GP PracticeNHS GREATER MANCHESTER ICB - 00T (00T)EQ-5D Index</v>
      </c>
      <c r="C1785" t="s">
        <v>969</v>
      </c>
      <c r="D1785" t="s">
        <v>1021</v>
      </c>
      <c r="E1785" t="s">
        <v>801</v>
      </c>
      <c r="F1785" t="s">
        <v>802</v>
      </c>
      <c r="G1785" t="s">
        <v>963</v>
      </c>
      <c r="H1785">
        <v>89</v>
      </c>
      <c r="I1785">
        <v>0.41022500000000001</v>
      </c>
      <c r="J1785">
        <v>0.74373</v>
      </c>
      <c r="K1785">
        <v>0.33350600000000002</v>
      </c>
      <c r="L1785">
        <v>75</v>
      </c>
      <c r="M1785">
        <v>6</v>
      </c>
      <c r="N1785">
        <v>8</v>
      </c>
      <c r="O1785">
        <v>0.75089799999999995</v>
      </c>
      <c r="P1785">
        <v>0.32210299999999997</v>
      </c>
      <c r="Q1785">
        <v>0.250836</v>
      </c>
    </row>
    <row r="1786" spans="1:17" x14ac:dyDescent="0.25">
      <c r="A1786" t="str">
        <f>IF(C1786&amp;G1786&amp;D1786&lt;&gt;'Funnel setup'!$K$3&amp;'Funnel setup'!$K$4&amp;'Funnel setup'!$K$6,".",IF(A1785=".",1,A1785+1))</f>
        <v>.</v>
      </c>
      <c r="B1786" s="244" t="str">
        <f t="shared" si="27"/>
        <v>Knee Replacement PrimarySub-ICB of GP PracticeNHS GREATER MANCHESTER ICB - 00V (00V)EQ-5D Index</v>
      </c>
      <c r="C1786" t="s">
        <v>969</v>
      </c>
      <c r="D1786" t="s">
        <v>1021</v>
      </c>
      <c r="E1786" t="s">
        <v>803</v>
      </c>
      <c r="F1786" t="s">
        <v>804</v>
      </c>
      <c r="G1786" t="s">
        <v>963</v>
      </c>
      <c r="H1786">
        <v>17</v>
      </c>
      <c r="I1786">
        <v>0.45617600000000003</v>
      </c>
      <c r="J1786">
        <v>0.71099999999999997</v>
      </c>
      <c r="K1786">
        <v>0.25482399999999999</v>
      </c>
      <c r="L1786">
        <v>13</v>
      </c>
      <c r="M1786">
        <v>2</v>
      </c>
      <c r="N1786">
        <v>2</v>
      </c>
      <c r="O1786" t="s">
        <v>127</v>
      </c>
      <c r="P1786" t="s">
        <v>127</v>
      </c>
      <c r="Q1786" t="s">
        <v>127</v>
      </c>
    </row>
    <row r="1787" spans="1:17" x14ac:dyDescent="0.25">
      <c r="A1787" t="str">
        <f>IF(C1787&amp;G1787&amp;D1787&lt;&gt;'Funnel setup'!$K$3&amp;'Funnel setup'!$K$4&amp;'Funnel setup'!$K$6,".",IF(A1786=".",1,A1786+1))</f>
        <v>.</v>
      </c>
      <c r="B1787" s="244" t="str">
        <f t="shared" si="27"/>
        <v>Knee Replacement PrimarySub-ICB of GP PracticeNHS GREATER MANCHESTER ICB - 00Y (00Y)EQ-5D Index</v>
      </c>
      <c r="C1787" t="s">
        <v>969</v>
      </c>
      <c r="D1787" t="s">
        <v>1021</v>
      </c>
      <c r="E1787" t="s">
        <v>805</v>
      </c>
      <c r="F1787" t="s">
        <v>806</v>
      </c>
      <c r="G1787" t="s">
        <v>963</v>
      </c>
      <c r="H1787">
        <v>63</v>
      </c>
      <c r="I1787">
        <v>0.45006299999999999</v>
      </c>
      <c r="J1787">
        <v>0.79885700000000004</v>
      </c>
      <c r="K1787">
        <v>0.34879399999999999</v>
      </c>
      <c r="L1787">
        <v>55</v>
      </c>
      <c r="M1787">
        <v>5</v>
      </c>
      <c r="N1787">
        <v>3</v>
      </c>
      <c r="O1787">
        <v>0.77523399999999998</v>
      </c>
      <c r="P1787">
        <v>0.34643800000000002</v>
      </c>
      <c r="Q1787">
        <v>0.18332200000000001</v>
      </c>
    </row>
    <row r="1788" spans="1:17" x14ac:dyDescent="0.25">
      <c r="A1788" t="str">
        <f>IF(C1788&amp;G1788&amp;D1788&lt;&gt;'Funnel setup'!$K$3&amp;'Funnel setup'!$K$4&amp;'Funnel setup'!$K$6,".",IF(A1787=".",1,A1787+1))</f>
        <v>.</v>
      </c>
      <c r="B1788" s="244" t="str">
        <f t="shared" si="27"/>
        <v>Knee Replacement PrimarySub-ICB of GP PracticeNHS GREATER MANCHESTER ICB - 01D (01D)EQ-5D Index</v>
      </c>
      <c r="C1788" t="s">
        <v>969</v>
      </c>
      <c r="D1788" t="s">
        <v>1021</v>
      </c>
      <c r="E1788" t="s">
        <v>807</v>
      </c>
      <c r="F1788" t="s">
        <v>808</v>
      </c>
      <c r="G1788" t="s">
        <v>963</v>
      </c>
      <c r="H1788">
        <v>22</v>
      </c>
      <c r="I1788">
        <v>0.43968200000000002</v>
      </c>
      <c r="J1788">
        <v>0.733545</v>
      </c>
      <c r="K1788">
        <v>0.29386400000000001</v>
      </c>
      <c r="L1788">
        <v>17</v>
      </c>
      <c r="M1788">
        <v>3</v>
      </c>
      <c r="N1788">
        <v>2</v>
      </c>
      <c r="O1788" t="s">
        <v>127</v>
      </c>
      <c r="P1788" t="s">
        <v>127</v>
      </c>
      <c r="Q1788" t="s">
        <v>127</v>
      </c>
    </row>
    <row r="1789" spans="1:17" x14ac:dyDescent="0.25">
      <c r="A1789" t="str">
        <f>IF(C1789&amp;G1789&amp;D1789&lt;&gt;'Funnel setup'!$K$3&amp;'Funnel setup'!$K$4&amp;'Funnel setup'!$K$6,".",IF(A1788=".",1,A1788+1))</f>
        <v>.</v>
      </c>
      <c r="B1789" s="244" t="str">
        <f t="shared" si="27"/>
        <v>Knee Replacement PrimarySub-ICB of GP PracticeNHS GREATER MANCHESTER ICB - 01G (01G)EQ-5D Index</v>
      </c>
      <c r="C1789" t="s">
        <v>969</v>
      </c>
      <c r="D1789" t="s">
        <v>1021</v>
      </c>
      <c r="E1789" t="s">
        <v>809</v>
      </c>
      <c r="F1789" t="s">
        <v>810</v>
      </c>
      <c r="G1789" t="s">
        <v>963</v>
      </c>
      <c r="H1789">
        <v>56</v>
      </c>
      <c r="I1789">
        <v>0.35103600000000001</v>
      </c>
      <c r="J1789">
        <v>0.73244600000000004</v>
      </c>
      <c r="K1789">
        <v>0.381411</v>
      </c>
      <c r="L1789">
        <v>44</v>
      </c>
      <c r="M1789">
        <v>6</v>
      </c>
      <c r="N1789">
        <v>6</v>
      </c>
      <c r="O1789">
        <v>0.77227100000000004</v>
      </c>
      <c r="P1789">
        <v>0.34347499999999997</v>
      </c>
      <c r="Q1789">
        <v>0.25847599999999998</v>
      </c>
    </row>
    <row r="1790" spans="1:17" x14ac:dyDescent="0.25">
      <c r="A1790" t="str">
        <f>IF(C1790&amp;G1790&amp;D1790&lt;&gt;'Funnel setup'!$K$3&amp;'Funnel setup'!$K$4&amp;'Funnel setup'!$K$6,".",IF(A1789=".",1,A1789+1))</f>
        <v>.</v>
      </c>
      <c r="B1790" s="244" t="str">
        <f t="shared" si="27"/>
        <v>Knee Replacement PrimarySub-ICB of GP PracticeNHS GREATER MANCHESTER ICB - 01W (01W)EQ-5D Index</v>
      </c>
      <c r="C1790" t="s">
        <v>969</v>
      </c>
      <c r="D1790" t="s">
        <v>1021</v>
      </c>
      <c r="E1790" t="s">
        <v>811</v>
      </c>
      <c r="F1790" t="s">
        <v>812</v>
      </c>
      <c r="G1790" t="s">
        <v>963</v>
      </c>
      <c r="H1790">
        <v>52</v>
      </c>
      <c r="I1790">
        <v>0.45376899999999998</v>
      </c>
      <c r="J1790">
        <v>0.76592300000000002</v>
      </c>
      <c r="K1790">
        <v>0.31215399999999999</v>
      </c>
      <c r="L1790">
        <v>43</v>
      </c>
      <c r="M1790">
        <v>2</v>
      </c>
      <c r="N1790">
        <v>7</v>
      </c>
      <c r="O1790">
        <v>0.75121300000000002</v>
      </c>
      <c r="P1790">
        <v>0.32241700000000001</v>
      </c>
      <c r="Q1790">
        <v>0.24439</v>
      </c>
    </row>
    <row r="1791" spans="1:17" x14ac:dyDescent="0.25">
      <c r="A1791" t="str">
        <f>IF(C1791&amp;G1791&amp;D1791&lt;&gt;'Funnel setup'!$K$3&amp;'Funnel setup'!$K$4&amp;'Funnel setup'!$K$6,".",IF(A1790=".",1,A1790+1))</f>
        <v>.</v>
      </c>
      <c r="B1791" s="244" t="str">
        <f t="shared" si="27"/>
        <v>Knee Replacement PrimarySub-ICB of GP PracticeNHS GREATER MANCHESTER ICB - 01Y (01Y)EQ-5D Index</v>
      </c>
      <c r="C1791" t="s">
        <v>969</v>
      </c>
      <c r="D1791" t="s">
        <v>1021</v>
      </c>
      <c r="E1791" t="s">
        <v>813</v>
      </c>
      <c r="F1791" t="s">
        <v>814</v>
      </c>
      <c r="G1791" t="s">
        <v>963</v>
      </c>
      <c r="H1791">
        <v>23</v>
      </c>
      <c r="I1791">
        <v>0.44560899999999998</v>
      </c>
      <c r="J1791">
        <v>0.765652</v>
      </c>
      <c r="K1791">
        <v>0.32004300000000002</v>
      </c>
      <c r="L1791">
        <v>20</v>
      </c>
      <c r="M1791">
        <v>0</v>
      </c>
      <c r="N1791">
        <v>3</v>
      </c>
      <c r="O1791" t="s">
        <v>127</v>
      </c>
      <c r="P1791" t="s">
        <v>127</v>
      </c>
      <c r="Q1791" t="s">
        <v>127</v>
      </c>
    </row>
    <row r="1792" spans="1:17" x14ac:dyDescent="0.25">
      <c r="A1792" t="str">
        <f>IF(C1792&amp;G1792&amp;D1792&lt;&gt;'Funnel setup'!$K$3&amp;'Funnel setup'!$K$4&amp;'Funnel setup'!$K$6,".",IF(A1791=".",1,A1791+1))</f>
        <v>.</v>
      </c>
      <c r="B1792" s="244" t="str">
        <f t="shared" si="27"/>
        <v>Knee Replacement PrimarySub-ICB of GP PracticeNHS GREATER MANCHESTER ICB - 02A (02A)EQ-5D Index</v>
      </c>
      <c r="C1792" t="s">
        <v>969</v>
      </c>
      <c r="D1792" t="s">
        <v>1021</v>
      </c>
      <c r="E1792" t="s">
        <v>815</v>
      </c>
      <c r="F1792" t="s">
        <v>816</v>
      </c>
      <c r="G1792" t="s">
        <v>963</v>
      </c>
      <c r="H1792">
        <v>79</v>
      </c>
      <c r="I1792">
        <v>0.37778499999999998</v>
      </c>
      <c r="J1792">
        <v>0.68951899999999999</v>
      </c>
      <c r="K1792">
        <v>0.31173400000000001</v>
      </c>
      <c r="L1792">
        <v>59</v>
      </c>
      <c r="M1792">
        <v>10</v>
      </c>
      <c r="N1792">
        <v>10</v>
      </c>
      <c r="O1792">
        <v>0.69234099999999998</v>
      </c>
      <c r="P1792">
        <v>0.26354499999999997</v>
      </c>
      <c r="Q1792">
        <v>0.25915199999999999</v>
      </c>
    </row>
    <row r="1793" spans="1:17" x14ac:dyDescent="0.25">
      <c r="A1793" t="str">
        <f>IF(C1793&amp;G1793&amp;D1793&lt;&gt;'Funnel setup'!$K$3&amp;'Funnel setup'!$K$4&amp;'Funnel setup'!$K$6,".",IF(A1792=".",1,A1792+1))</f>
        <v>.</v>
      </c>
      <c r="B1793" s="244" t="str">
        <f t="shared" si="27"/>
        <v>Knee Replacement PrimarySub-ICB of GP PracticeNHS GREATER MANCHESTER ICB - 02H (02H)EQ-5D Index</v>
      </c>
      <c r="C1793" t="s">
        <v>969</v>
      </c>
      <c r="D1793" t="s">
        <v>1021</v>
      </c>
      <c r="E1793" t="s">
        <v>817</v>
      </c>
      <c r="F1793" t="s">
        <v>818</v>
      </c>
      <c r="G1793" t="s">
        <v>963</v>
      </c>
      <c r="H1793">
        <v>27</v>
      </c>
      <c r="I1793">
        <v>0.40207399999999999</v>
      </c>
      <c r="J1793">
        <v>0.72977800000000004</v>
      </c>
      <c r="K1793">
        <v>0.327704</v>
      </c>
      <c r="L1793">
        <v>22</v>
      </c>
      <c r="M1793">
        <v>3</v>
      </c>
      <c r="N1793">
        <v>2</v>
      </c>
      <c r="O1793" t="s">
        <v>127</v>
      </c>
      <c r="P1793" t="s">
        <v>127</v>
      </c>
      <c r="Q1793" t="s">
        <v>127</v>
      </c>
    </row>
    <row r="1794" spans="1:17" x14ac:dyDescent="0.25">
      <c r="A1794" t="str">
        <f>IF(C1794&amp;G1794&amp;D1794&lt;&gt;'Funnel setup'!$K$3&amp;'Funnel setup'!$K$4&amp;'Funnel setup'!$K$6,".",IF(A1793=".",1,A1793+1))</f>
        <v>.</v>
      </c>
      <c r="B1794" s="244" t="str">
        <f t="shared" ref="B1794:B1857" si="28">C1794&amp;D1794&amp;F1794&amp;G1794</f>
        <v>Knee Replacement PrimarySub-ICB of GP PracticeNHS GREATER MANCHESTER ICB - 14L (14L)EQ-5D Index</v>
      </c>
      <c r="C1794" t="s">
        <v>969</v>
      </c>
      <c r="D1794" t="s">
        <v>1021</v>
      </c>
      <c r="E1794" t="s">
        <v>819</v>
      </c>
      <c r="F1794" t="s">
        <v>820</v>
      </c>
      <c r="G1794" t="s">
        <v>963</v>
      </c>
      <c r="H1794">
        <v>56</v>
      </c>
      <c r="I1794">
        <v>0.28923199999999999</v>
      </c>
      <c r="J1794">
        <v>0.68539300000000003</v>
      </c>
      <c r="K1794">
        <v>0.39616099999999999</v>
      </c>
      <c r="L1794">
        <v>48</v>
      </c>
      <c r="M1794">
        <v>2</v>
      </c>
      <c r="N1794">
        <v>6</v>
      </c>
      <c r="O1794">
        <v>0.75820699999999996</v>
      </c>
      <c r="P1794">
        <v>0.32941100000000001</v>
      </c>
      <c r="Q1794">
        <v>0.27075300000000002</v>
      </c>
    </row>
    <row r="1795" spans="1:17" x14ac:dyDescent="0.25">
      <c r="A1795" t="str">
        <f>IF(C1795&amp;G1795&amp;D1795&lt;&gt;'Funnel setup'!$K$3&amp;'Funnel setup'!$K$4&amp;'Funnel setup'!$K$6,".",IF(A1794=".",1,A1794+1))</f>
        <v>.</v>
      </c>
      <c r="B1795" s="244" t="str">
        <f t="shared" si="28"/>
        <v>Knee Replacement PrimarySub-ICB of GP PracticeNHS HAMPSHIRE AND ISLE OF WIGHT ICB - 10R (10R)EQ-5D Index</v>
      </c>
      <c r="C1795" t="s">
        <v>969</v>
      </c>
      <c r="D1795" t="s">
        <v>1021</v>
      </c>
      <c r="E1795" t="s">
        <v>821</v>
      </c>
      <c r="F1795" t="s">
        <v>822</v>
      </c>
      <c r="G1795" t="s">
        <v>963</v>
      </c>
      <c r="H1795">
        <v>10</v>
      </c>
      <c r="I1795">
        <v>0.37780000000000002</v>
      </c>
      <c r="J1795">
        <v>0.68259999999999998</v>
      </c>
      <c r="K1795">
        <v>0.30480000000000002</v>
      </c>
      <c r="L1795">
        <v>8</v>
      </c>
      <c r="M1795">
        <v>1</v>
      </c>
      <c r="N1795">
        <v>1</v>
      </c>
      <c r="O1795" t="s">
        <v>127</v>
      </c>
      <c r="P1795" t="s">
        <v>127</v>
      </c>
      <c r="Q1795" t="s">
        <v>127</v>
      </c>
    </row>
    <row r="1796" spans="1:17" x14ac:dyDescent="0.25">
      <c r="A1796" t="str">
        <f>IF(C1796&amp;G1796&amp;D1796&lt;&gt;'Funnel setup'!$K$3&amp;'Funnel setup'!$K$4&amp;'Funnel setup'!$K$6,".",IF(A1795=".",1,A1795+1))</f>
        <v>.</v>
      </c>
      <c r="B1796" s="244" t="str">
        <f t="shared" si="28"/>
        <v>Knee Replacement PrimarySub-ICB of GP PracticeNHS HAMPSHIRE AND ISLE OF WIGHT ICB - D9Y0V (D9Y0V)EQ-5D Index</v>
      </c>
      <c r="C1796" t="s">
        <v>969</v>
      </c>
      <c r="D1796" t="s">
        <v>1021</v>
      </c>
      <c r="E1796" t="s">
        <v>823</v>
      </c>
      <c r="F1796" t="s">
        <v>824</v>
      </c>
      <c r="G1796" t="s">
        <v>963</v>
      </c>
      <c r="H1796">
        <v>342</v>
      </c>
      <c r="I1796">
        <v>0.46628700000000001</v>
      </c>
      <c r="J1796">
        <v>0.770374</v>
      </c>
      <c r="K1796">
        <v>0.30408800000000002</v>
      </c>
      <c r="L1796">
        <v>277</v>
      </c>
      <c r="M1796">
        <v>33</v>
      </c>
      <c r="N1796">
        <v>32</v>
      </c>
      <c r="O1796">
        <v>0.75182899999999997</v>
      </c>
      <c r="P1796">
        <v>0.32303300000000001</v>
      </c>
      <c r="Q1796">
        <v>0.23346</v>
      </c>
    </row>
    <row r="1797" spans="1:17" x14ac:dyDescent="0.25">
      <c r="A1797" t="str">
        <f>IF(C1797&amp;G1797&amp;D1797&lt;&gt;'Funnel setup'!$K$3&amp;'Funnel setup'!$K$4&amp;'Funnel setup'!$K$6,".",IF(A1796=".",1,A1796+1))</f>
        <v>.</v>
      </c>
      <c r="B1797" s="244" t="str">
        <f t="shared" si="28"/>
        <v>Knee Replacement PrimarySub-ICB of GP PracticeNHS HEREFORDSHIRE AND WORCESTERSHIRE ICB - 18C (18C)EQ-5D Index</v>
      </c>
      <c r="C1797" t="s">
        <v>969</v>
      </c>
      <c r="D1797" t="s">
        <v>1021</v>
      </c>
      <c r="E1797" t="s">
        <v>825</v>
      </c>
      <c r="F1797" t="s">
        <v>826</v>
      </c>
      <c r="G1797" t="s">
        <v>963</v>
      </c>
      <c r="H1797">
        <v>198</v>
      </c>
      <c r="I1797">
        <v>0.41563099999999997</v>
      </c>
      <c r="J1797">
        <v>0.76486399999999999</v>
      </c>
      <c r="K1797">
        <v>0.34923199999999999</v>
      </c>
      <c r="L1797">
        <v>167</v>
      </c>
      <c r="M1797">
        <v>13</v>
      </c>
      <c r="N1797">
        <v>18</v>
      </c>
      <c r="O1797">
        <v>0.767123</v>
      </c>
      <c r="P1797">
        <v>0.33832699999999999</v>
      </c>
      <c r="Q1797">
        <v>0.23503299999999999</v>
      </c>
    </row>
    <row r="1798" spans="1:17" x14ac:dyDescent="0.25">
      <c r="A1798" t="str">
        <f>IF(C1798&amp;G1798&amp;D1798&lt;&gt;'Funnel setup'!$K$3&amp;'Funnel setup'!$K$4&amp;'Funnel setup'!$K$6,".",IF(A1797=".",1,A1797+1))</f>
        <v>.</v>
      </c>
      <c r="B1798" s="244" t="str">
        <f t="shared" si="28"/>
        <v>Knee Replacement PrimarySub-ICB of GP PracticeNHS HERTFORDSHIRE AND WEST ESSEX ICB - 06K (06K)EQ-5D Index</v>
      </c>
      <c r="C1798" t="s">
        <v>969</v>
      </c>
      <c r="D1798" t="s">
        <v>1021</v>
      </c>
      <c r="E1798" t="s">
        <v>827</v>
      </c>
      <c r="F1798" t="s">
        <v>828</v>
      </c>
      <c r="G1798" t="s">
        <v>963</v>
      </c>
      <c r="H1798">
        <v>90</v>
      </c>
      <c r="I1798">
        <v>0.43115599999999998</v>
      </c>
      <c r="J1798">
        <v>0.72733300000000001</v>
      </c>
      <c r="K1798">
        <v>0.296178</v>
      </c>
      <c r="L1798">
        <v>71</v>
      </c>
      <c r="M1798">
        <v>9</v>
      </c>
      <c r="N1798">
        <v>10</v>
      </c>
      <c r="O1798">
        <v>0.72780699999999998</v>
      </c>
      <c r="P1798">
        <v>0.29901100000000003</v>
      </c>
      <c r="Q1798">
        <v>0.25948399999999999</v>
      </c>
    </row>
    <row r="1799" spans="1:17" x14ac:dyDescent="0.25">
      <c r="A1799" t="str">
        <f>IF(C1799&amp;G1799&amp;D1799&lt;&gt;'Funnel setup'!$K$3&amp;'Funnel setup'!$K$4&amp;'Funnel setup'!$K$6,".",IF(A1798=".",1,A1798+1))</f>
        <v>.</v>
      </c>
      <c r="B1799" s="244" t="str">
        <f t="shared" si="28"/>
        <v>Knee Replacement PrimarySub-ICB of GP PracticeNHS HERTFORDSHIRE AND WEST ESSEX ICB - 06N (06N)EQ-5D Index</v>
      </c>
      <c r="C1799" t="s">
        <v>969</v>
      </c>
      <c r="D1799" t="s">
        <v>1021</v>
      </c>
      <c r="E1799" t="s">
        <v>829</v>
      </c>
      <c r="F1799" t="s">
        <v>830</v>
      </c>
      <c r="G1799" t="s">
        <v>963</v>
      </c>
      <c r="H1799">
        <v>112</v>
      </c>
      <c r="I1799">
        <v>0.46341100000000002</v>
      </c>
      <c r="J1799">
        <v>0.73560700000000001</v>
      </c>
      <c r="K1799">
        <v>0.27219599999999999</v>
      </c>
      <c r="L1799">
        <v>84</v>
      </c>
      <c r="M1799">
        <v>15</v>
      </c>
      <c r="N1799">
        <v>13</v>
      </c>
      <c r="O1799">
        <v>0.71751200000000004</v>
      </c>
      <c r="P1799">
        <v>0.28871599999999997</v>
      </c>
      <c r="Q1799">
        <v>0.25190699999999999</v>
      </c>
    </row>
    <row r="1800" spans="1:17" x14ac:dyDescent="0.25">
      <c r="A1800" t="str">
        <f>IF(C1800&amp;G1800&amp;D1800&lt;&gt;'Funnel setup'!$K$3&amp;'Funnel setup'!$K$4&amp;'Funnel setup'!$K$6,".",IF(A1799=".",1,A1799+1))</f>
        <v>.</v>
      </c>
      <c r="B1800" s="244" t="str">
        <f t="shared" si="28"/>
        <v>Knee Replacement PrimarySub-ICB of GP PracticeNHS HERTFORDSHIRE AND WEST ESSEX ICB - 07H (07H)EQ-5D Index</v>
      </c>
      <c r="C1800" t="s">
        <v>969</v>
      </c>
      <c r="D1800" t="s">
        <v>1021</v>
      </c>
      <c r="E1800" t="s">
        <v>831</v>
      </c>
      <c r="F1800" t="s">
        <v>832</v>
      </c>
      <c r="G1800" t="s">
        <v>963</v>
      </c>
      <c r="H1800">
        <v>66</v>
      </c>
      <c r="I1800">
        <v>0.464258</v>
      </c>
      <c r="J1800">
        <v>0.77087899999999998</v>
      </c>
      <c r="K1800">
        <v>0.30662099999999998</v>
      </c>
      <c r="L1800">
        <v>49</v>
      </c>
      <c r="M1800">
        <v>11</v>
      </c>
      <c r="N1800">
        <v>6</v>
      </c>
      <c r="O1800">
        <v>0.749247</v>
      </c>
      <c r="P1800">
        <v>0.32045200000000001</v>
      </c>
      <c r="Q1800">
        <v>0.22873299999999999</v>
      </c>
    </row>
    <row r="1801" spans="1:17" x14ac:dyDescent="0.25">
      <c r="A1801" t="str">
        <f>IF(C1801&amp;G1801&amp;D1801&lt;&gt;'Funnel setup'!$K$3&amp;'Funnel setup'!$K$4&amp;'Funnel setup'!$K$6,".",IF(A1800=".",1,A1800+1))</f>
        <v>.</v>
      </c>
      <c r="B1801" s="244" t="str">
        <f t="shared" si="28"/>
        <v>Knee Replacement PrimarySub-ICB of GP PracticeNHS HUMBER AND NORTH YORKSHIRE ICB - 02Y (02Y)EQ-5D Index</v>
      </c>
      <c r="C1801" t="s">
        <v>969</v>
      </c>
      <c r="D1801" t="s">
        <v>1021</v>
      </c>
      <c r="E1801" t="s">
        <v>833</v>
      </c>
      <c r="F1801" t="s">
        <v>834</v>
      </c>
      <c r="G1801" t="s">
        <v>963</v>
      </c>
      <c r="H1801">
        <v>72</v>
      </c>
      <c r="I1801">
        <v>0.46973599999999999</v>
      </c>
      <c r="J1801">
        <v>0.73069399999999995</v>
      </c>
      <c r="K1801">
        <v>0.26095800000000002</v>
      </c>
      <c r="L1801">
        <v>53</v>
      </c>
      <c r="M1801">
        <v>11</v>
      </c>
      <c r="N1801">
        <v>8</v>
      </c>
      <c r="O1801">
        <v>0.71823999999999999</v>
      </c>
      <c r="P1801">
        <v>0.28944399999999998</v>
      </c>
      <c r="Q1801">
        <v>0.21618799999999999</v>
      </c>
    </row>
    <row r="1802" spans="1:17" x14ac:dyDescent="0.25">
      <c r="A1802" t="str">
        <f>IF(C1802&amp;G1802&amp;D1802&lt;&gt;'Funnel setup'!$K$3&amp;'Funnel setup'!$K$4&amp;'Funnel setup'!$K$6,".",IF(A1801=".",1,A1801+1))</f>
        <v>.</v>
      </c>
      <c r="B1802" s="244" t="str">
        <f t="shared" si="28"/>
        <v>Knee Replacement PrimarySub-ICB of GP PracticeNHS HUMBER AND NORTH YORKSHIRE ICB - 03F (03F)EQ-5D Index</v>
      </c>
      <c r="C1802" t="s">
        <v>969</v>
      </c>
      <c r="D1802" t="s">
        <v>1021</v>
      </c>
      <c r="E1802" t="s">
        <v>835</v>
      </c>
      <c r="F1802" t="s">
        <v>836</v>
      </c>
      <c r="G1802" t="s">
        <v>963</v>
      </c>
      <c r="H1802">
        <v>26</v>
      </c>
      <c r="I1802">
        <v>0.382077</v>
      </c>
      <c r="J1802">
        <v>0.75549999999999995</v>
      </c>
      <c r="K1802">
        <v>0.373423</v>
      </c>
      <c r="L1802">
        <v>24</v>
      </c>
      <c r="M1802">
        <v>0</v>
      </c>
      <c r="N1802">
        <v>2</v>
      </c>
      <c r="O1802" t="s">
        <v>127</v>
      </c>
      <c r="P1802" t="s">
        <v>127</v>
      </c>
      <c r="Q1802" t="s">
        <v>127</v>
      </c>
    </row>
    <row r="1803" spans="1:17" x14ac:dyDescent="0.25">
      <c r="A1803" t="str">
        <f>IF(C1803&amp;G1803&amp;D1803&lt;&gt;'Funnel setup'!$K$3&amp;'Funnel setup'!$K$4&amp;'Funnel setup'!$K$6,".",IF(A1802=".",1,A1802+1))</f>
        <v>.</v>
      </c>
      <c r="B1803" s="244" t="str">
        <f t="shared" si="28"/>
        <v>Knee Replacement PrimarySub-ICB of GP PracticeNHS HUMBER AND NORTH YORKSHIRE ICB - 03H (03H)EQ-5D Index</v>
      </c>
      <c r="C1803" t="s">
        <v>969</v>
      </c>
      <c r="D1803" t="s">
        <v>1021</v>
      </c>
      <c r="E1803" t="s">
        <v>837</v>
      </c>
      <c r="F1803" t="s">
        <v>838</v>
      </c>
      <c r="G1803" t="s">
        <v>963</v>
      </c>
      <c r="H1803">
        <v>79</v>
      </c>
      <c r="I1803">
        <v>0.41706300000000002</v>
      </c>
      <c r="J1803">
        <v>0.77807599999999999</v>
      </c>
      <c r="K1803">
        <v>0.36101299999999997</v>
      </c>
      <c r="L1803">
        <v>67</v>
      </c>
      <c r="M1803">
        <v>5</v>
      </c>
      <c r="N1803">
        <v>7</v>
      </c>
      <c r="O1803">
        <v>0.76815699999999998</v>
      </c>
      <c r="P1803">
        <v>0.33936100000000002</v>
      </c>
      <c r="Q1803">
        <v>0.193053</v>
      </c>
    </row>
    <row r="1804" spans="1:17" x14ac:dyDescent="0.25">
      <c r="A1804" t="str">
        <f>IF(C1804&amp;G1804&amp;D1804&lt;&gt;'Funnel setup'!$K$3&amp;'Funnel setup'!$K$4&amp;'Funnel setup'!$K$6,".",IF(A1803=".",1,A1803+1))</f>
        <v>.</v>
      </c>
      <c r="B1804" s="244" t="str">
        <f t="shared" si="28"/>
        <v>Knee Replacement PrimarySub-ICB of GP PracticeNHS HUMBER AND NORTH YORKSHIRE ICB - 03K (03K)EQ-5D Index</v>
      </c>
      <c r="C1804" t="s">
        <v>969</v>
      </c>
      <c r="D1804" t="s">
        <v>1021</v>
      </c>
      <c r="E1804" t="s">
        <v>839</v>
      </c>
      <c r="F1804" t="s">
        <v>840</v>
      </c>
      <c r="G1804" t="s">
        <v>963</v>
      </c>
      <c r="H1804">
        <v>66</v>
      </c>
      <c r="I1804">
        <v>0.41166700000000001</v>
      </c>
      <c r="J1804">
        <v>0.72057599999999999</v>
      </c>
      <c r="K1804">
        <v>0.30890899999999999</v>
      </c>
      <c r="L1804">
        <v>49</v>
      </c>
      <c r="M1804">
        <v>5</v>
      </c>
      <c r="N1804">
        <v>12</v>
      </c>
      <c r="O1804">
        <v>0.71902999999999995</v>
      </c>
      <c r="P1804">
        <v>0.29023399999999999</v>
      </c>
      <c r="Q1804">
        <v>0.26902799999999999</v>
      </c>
    </row>
    <row r="1805" spans="1:17" x14ac:dyDescent="0.25">
      <c r="A1805" t="str">
        <f>IF(C1805&amp;G1805&amp;D1805&lt;&gt;'Funnel setup'!$K$3&amp;'Funnel setup'!$K$4&amp;'Funnel setup'!$K$6,".",IF(A1804=".",1,A1804+1))</f>
        <v>.</v>
      </c>
      <c r="B1805" s="244" t="str">
        <f t="shared" si="28"/>
        <v>Knee Replacement PrimarySub-ICB of GP PracticeNHS HUMBER AND NORTH YORKSHIRE ICB - 03Q (03Q)EQ-5D Index</v>
      </c>
      <c r="C1805" t="s">
        <v>969</v>
      </c>
      <c r="D1805" t="s">
        <v>1021</v>
      </c>
      <c r="E1805" t="s">
        <v>841</v>
      </c>
      <c r="F1805" t="s">
        <v>842</v>
      </c>
      <c r="G1805" t="s">
        <v>963</v>
      </c>
      <c r="H1805">
        <v>66</v>
      </c>
      <c r="I1805">
        <v>0.464424</v>
      </c>
      <c r="J1805">
        <v>0.76145499999999999</v>
      </c>
      <c r="K1805">
        <v>0.29703000000000002</v>
      </c>
      <c r="L1805">
        <v>55</v>
      </c>
      <c r="M1805">
        <v>7</v>
      </c>
      <c r="N1805">
        <v>4</v>
      </c>
      <c r="O1805">
        <v>0.73840300000000003</v>
      </c>
      <c r="P1805">
        <v>0.30960700000000002</v>
      </c>
      <c r="Q1805">
        <v>0.21354699999999999</v>
      </c>
    </row>
    <row r="1806" spans="1:17" x14ac:dyDescent="0.25">
      <c r="A1806" t="str">
        <f>IF(C1806&amp;G1806&amp;D1806&lt;&gt;'Funnel setup'!$K$3&amp;'Funnel setup'!$K$4&amp;'Funnel setup'!$K$6,".",IF(A1805=".",1,A1805+1))</f>
        <v>.</v>
      </c>
      <c r="B1806" s="244" t="str">
        <f t="shared" si="28"/>
        <v>Knee Replacement PrimarySub-ICB of GP PracticeNHS HUMBER AND NORTH YORKSHIRE ICB - 42D (42D)EQ-5D Index</v>
      </c>
      <c r="C1806" t="s">
        <v>969</v>
      </c>
      <c r="D1806" t="s">
        <v>1021</v>
      </c>
      <c r="E1806" t="s">
        <v>843</v>
      </c>
      <c r="F1806" t="s">
        <v>844</v>
      </c>
      <c r="G1806" t="s">
        <v>963</v>
      </c>
      <c r="H1806">
        <v>193</v>
      </c>
      <c r="I1806">
        <v>0.39290199999999997</v>
      </c>
      <c r="J1806">
        <v>0.792736</v>
      </c>
      <c r="K1806">
        <v>0.39983400000000002</v>
      </c>
      <c r="L1806">
        <v>171</v>
      </c>
      <c r="M1806">
        <v>6</v>
      </c>
      <c r="N1806">
        <v>16</v>
      </c>
      <c r="O1806">
        <v>0.79169999999999996</v>
      </c>
      <c r="P1806">
        <v>0.362904</v>
      </c>
      <c r="Q1806">
        <v>0.222524</v>
      </c>
    </row>
    <row r="1807" spans="1:17" x14ac:dyDescent="0.25">
      <c r="A1807" t="str">
        <f>IF(C1807&amp;G1807&amp;D1807&lt;&gt;'Funnel setup'!$K$3&amp;'Funnel setup'!$K$4&amp;'Funnel setup'!$K$6,".",IF(A1806=".",1,A1806+1))</f>
        <v>.</v>
      </c>
      <c r="B1807" s="244" t="str">
        <f t="shared" si="28"/>
        <v>Knee Replacement PrimarySub-ICB of GP PracticeNHS KENT AND MEDWAY ICB - 91Q (91Q)EQ-5D Index</v>
      </c>
      <c r="C1807" t="s">
        <v>969</v>
      </c>
      <c r="D1807" t="s">
        <v>1021</v>
      </c>
      <c r="E1807" t="s">
        <v>845</v>
      </c>
      <c r="F1807" t="s">
        <v>846</v>
      </c>
      <c r="G1807" t="s">
        <v>963</v>
      </c>
      <c r="H1807">
        <v>559</v>
      </c>
      <c r="I1807">
        <v>0.47636699999999998</v>
      </c>
      <c r="J1807">
        <v>0.79637199999999997</v>
      </c>
      <c r="K1807">
        <v>0.32000499999999998</v>
      </c>
      <c r="L1807">
        <v>469</v>
      </c>
      <c r="M1807">
        <v>47</v>
      </c>
      <c r="N1807">
        <v>43</v>
      </c>
      <c r="O1807">
        <v>0.78485199999999999</v>
      </c>
      <c r="P1807">
        <v>0.35605599999999998</v>
      </c>
      <c r="Q1807">
        <v>0.20260700000000001</v>
      </c>
    </row>
    <row r="1808" spans="1:17" x14ac:dyDescent="0.25">
      <c r="A1808" t="str">
        <f>IF(C1808&amp;G1808&amp;D1808&lt;&gt;'Funnel setup'!$K$3&amp;'Funnel setup'!$K$4&amp;'Funnel setup'!$K$6,".",IF(A1807=".",1,A1807+1))</f>
        <v>.</v>
      </c>
      <c r="B1808" s="244" t="str">
        <f t="shared" si="28"/>
        <v>Knee Replacement PrimarySub-ICB of GP PracticeNHS LANCASHIRE AND SOUTH CUMBRIA ICB - 00Q (00Q)EQ-5D Index</v>
      </c>
      <c r="C1808" t="s">
        <v>969</v>
      </c>
      <c r="D1808" t="s">
        <v>1021</v>
      </c>
      <c r="E1808" t="s">
        <v>847</v>
      </c>
      <c r="F1808" t="s">
        <v>848</v>
      </c>
      <c r="G1808" t="s">
        <v>963</v>
      </c>
      <c r="H1808">
        <v>46</v>
      </c>
      <c r="I1808">
        <v>0.44834800000000002</v>
      </c>
      <c r="J1808">
        <v>0.66780399999999995</v>
      </c>
      <c r="K1808">
        <v>0.21945700000000001</v>
      </c>
      <c r="L1808">
        <v>34</v>
      </c>
      <c r="M1808">
        <v>8</v>
      </c>
      <c r="N1808">
        <v>4</v>
      </c>
      <c r="O1808">
        <v>0.67074800000000001</v>
      </c>
      <c r="P1808">
        <v>0.241952</v>
      </c>
      <c r="Q1808">
        <v>0.25754500000000002</v>
      </c>
    </row>
    <row r="1809" spans="1:17" x14ac:dyDescent="0.25">
      <c r="A1809" t="str">
        <f>IF(C1809&amp;G1809&amp;D1809&lt;&gt;'Funnel setup'!$K$3&amp;'Funnel setup'!$K$4&amp;'Funnel setup'!$K$6,".",IF(A1808=".",1,A1808+1))</f>
        <v>.</v>
      </c>
      <c r="B1809" s="244" t="str">
        <f t="shared" si="28"/>
        <v>Knee Replacement PrimarySub-ICB of GP PracticeNHS LANCASHIRE AND SOUTH CUMBRIA ICB - 00R (00R)EQ-5D Index</v>
      </c>
      <c r="C1809" t="s">
        <v>969</v>
      </c>
      <c r="D1809" t="s">
        <v>1021</v>
      </c>
      <c r="E1809" t="s">
        <v>849</v>
      </c>
      <c r="F1809" t="s">
        <v>850</v>
      </c>
      <c r="G1809" t="s">
        <v>963</v>
      </c>
      <c r="H1809">
        <v>46</v>
      </c>
      <c r="I1809">
        <v>0.44984800000000003</v>
      </c>
      <c r="J1809">
        <v>0.709152</v>
      </c>
      <c r="K1809">
        <v>0.25930399999999998</v>
      </c>
      <c r="L1809">
        <v>36</v>
      </c>
      <c r="M1809">
        <v>5</v>
      </c>
      <c r="N1809">
        <v>5</v>
      </c>
      <c r="O1809">
        <v>0.76127599999999995</v>
      </c>
      <c r="P1809">
        <v>0.33248</v>
      </c>
      <c r="Q1809">
        <v>0.23250000000000001</v>
      </c>
    </row>
    <row r="1810" spans="1:17" x14ac:dyDescent="0.25">
      <c r="A1810" t="str">
        <f>IF(C1810&amp;G1810&amp;D1810&lt;&gt;'Funnel setup'!$K$3&amp;'Funnel setup'!$K$4&amp;'Funnel setup'!$K$6,".",IF(A1809=".",1,A1809+1))</f>
        <v>.</v>
      </c>
      <c r="B1810" s="244" t="str">
        <f t="shared" si="28"/>
        <v>Knee Replacement PrimarySub-ICB of GP PracticeNHS LANCASHIRE AND SOUTH CUMBRIA ICB - 00X (00X)EQ-5D Index</v>
      </c>
      <c r="C1810" t="s">
        <v>969</v>
      </c>
      <c r="D1810" t="s">
        <v>1021</v>
      </c>
      <c r="E1810" t="s">
        <v>851</v>
      </c>
      <c r="F1810" t="s">
        <v>852</v>
      </c>
      <c r="G1810" t="s">
        <v>963</v>
      </c>
      <c r="H1810">
        <v>61</v>
      </c>
      <c r="I1810">
        <v>0.36095100000000002</v>
      </c>
      <c r="J1810">
        <v>0.78796699999999997</v>
      </c>
      <c r="K1810">
        <v>0.42701600000000001</v>
      </c>
      <c r="L1810">
        <v>57</v>
      </c>
      <c r="M1810">
        <v>3</v>
      </c>
      <c r="N1810">
        <v>1</v>
      </c>
      <c r="O1810">
        <v>0.80871300000000002</v>
      </c>
      <c r="P1810">
        <v>0.37991799999999998</v>
      </c>
      <c r="Q1810">
        <v>0.22067200000000001</v>
      </c>
    </row>
    <row r="1811" spans="1:17" x14ac:dyDescent="0.25">
      <c r="A1811" t="str">
        <f>IF(C1811&amp;G1811&amp;D1811&lt;&gt;'Funnel setup'!$K$3&amp;'Funnel setup'!$K$4&amp;'Funnel setup'!$K$6,".",IF(A1810=".",1,A1810+1))</f>
        <v>.</v>
      </c>
      <c r="B1811" s="244" t="str">
        <f t="shared" si="28"/>
        <v>Knee Replacement PrimarySub-ICB of GP PracticeNHS LANCASHIRE AND SOUTH CUMBRIA ICB - 01A (01A)EQ-5D Index</v>
      </c>
      <c r="C1811" t="s">
        <v>969</v>
      </c>
      <c r="D1811" t="s">
        <v>1021</v>
      </c>
      <c r="E1811" t="s">
        <v>853</v>
      </c>
      <c r="F1811" t="s">
        <v>854</v>
      </c>
      <c r="G1811" t="s">
        <v>963</v>
      </c>
      <c r="H1811">
        <v>126</v>
      </c>
      <c r="I1811">
        <v>0.47934900000000003</v>
      </c>
      <c r="J1811">
        <v>0.77652399999999999</v>
      </c>
      <c r="K1811">
        <v>0.29717500000000002</v>
      </c>
      <c r="L1811">
        <v>104</v>
      </c>
      <c r="M1811">
        <v>9</v>
      </c>
      <c r="N1811">
        <v>13</v>
      </c>
      <c r="O1811">
        <v>0.77090099999999995</v>
      </c>
      <c r="P1811">
        <v>0.34210499999999999</v>
      </c>
      <c r="Q1811">
        <v>0.22199199999999999</v>
      </c>
    </row>
    <row r="1812" spans="1:17" x14ac:dyDescent="0.25">
      <c r="A1812" t="str">
        <f>IF(C1812&amp;G1812&amp;D1812&lt;&gt;'Funnel setup'!$K$3&amp;'Funnel setup'!$K$4&amp;'Funnel setup'!$K$6,".",IF(A1811=".",1,A1811+1))</f>
        <v>.</v>
      </c>
      <c r="B1812" s="244" t="str">
        <f t="shared" si="28"/>
        <v>Knee Replacement PrimarySub-ICB of GP PracticeNHS LANCASHIRE AND SOUTH CUMBRIA ICB - 01E (01E)EQ-5D Index</v>
      </c>
      <c r="C1812" t="s">
        <v>969</v>
      </c>
      <c r="D1812" t="s">
        <v>1021</v>
      </c>
      <c r="E1812" t="s">
        <v>855</v>
      </c>
      <c r="F1812" t="s">
        <v>856</v>
      </c>
      <c r="G1812" t="s">
        <v>963</v>
      </c>
      <c r="H1812">
        <v>68</v>
      </c>
      <c r="I1812">
        <v>0.46582400000000002</v>
      </c>
      <c r="J1812">
        <v>0.80169100000000004</v>
      </c>
      <c r="K1812">
        <v>0.335868</v>
      </c>
      <c r="L1812">
        <v>57</v>
      </c>
      <c r="M1812">
        <v>6</v>
      </c>
      <c r="N1812">
        <v>5</v>
      </c>
      <c r="O1812">
        <v>0.80062999999999995</v>
      </c>
      <c r="P1812">
        <v>0.371834</v>
      </c>
      <c r="Q1812">
        <v>0.25594600000000001</v>
      </c>
    </row>
    <row r="1813" spans="1:17" x14ac:dyDescent="0.25">
      <c r="A1813" t="str">
        <f>IF(C1813&amp;G1813&amp;D1813&lt;&gt;'Funnel setup'!$K$3&amp;'Funnel setup'!$K$4&amp;'Funnel setup'!$K$6,".",IF(A1812=".",1,A1812+1))</f>
        <v>.</v>
      </c>
      <c r="B1813" s="244" t="str">
        <f t="shared" si="28"/>
        <v>Knee Replacement PrimarySub-ICB of GP PracticeNHS LANCASHIRE AND SOUTH CUMBRIA ICB - 01K (01K)EQ-5D Index</v>
      </c>
      <c r="C1813" t="s">
        <v>969</v>
      </c>
      <c r="D1813" t="s">
        <v>1021</v>
      </c>
      <c r="E1813" t="s">
        <v>857</v>
      </c>
      <c r="F1813" t="s">
        <v>858</v>
      </c>
      <c r="G1813" t="s">
        <v>963</v>
      </c>
      <c r="H1813">
        <v>180</v>
      </c>
      <c r="I1813">
        <v>0.419817</v>
      </c>
      <c r="J1813">
        <v>0.74826099999999995</v>
      </c>
      <c r="K1813">
        <v>0.32844400000000001</v>
      </c>
      <c r="L1813">
        <v>145</v>
      </c>
      <c r="M1813">
        <v>14</v>
      </c>
      <c r="N1813">
        <v>21</v>
      </c>
      <c r="O1813">
        <v>0.74798100000000001</v>
      </c>
      <c r="P1813">
        <v>0.319185</v>
      </c>
      <c r="Q1813">
        <v>0.224638</v>
      </c>
    </row>
    <row r="1814" spans="1:17" x14ac:dyDescent="0.25">
      <c r="A1814" t="str">
        <f>IF(C1814&amp;G1814&amp;D1814&lt;&gt;'Funnel setup'!$K$3&amp;'Funnel setup'!$K$4&amp;'Funnel setup'!$K$6,".",IF(A1813=".",1,A1813+1))</f>
        <v>.</v>
      </c>
      <c r="B1814" s="244" t="str">
        <f t="shared" si="28"/>
        <v>Knee Replacement PrimarySub-ICB of GP PracticeNHS LANCASHIRE AND SOUTH CUMBRIA ICB - 02G (02G)EQ-5D Index</v>
      </c>
      <c r="C1814" t="s">
        <v>969</v>
      </c>
      <c r="D1814" t="s">
        <v>1021</v>
      </c>
      <c r="E1814" t="s">
        <v>859</v>
      </c>
      <c r="F1814" t="s">
        <v>860</v>
      </c>
      <c r="G1814" t="s">
        <v>963</v>
      </c>
      <c r="H1814">
        <v>23</v>
      </c>
      <c r="I1814">
        <v>0.315913</v>
      </c>
      <c r="J1814">
        <v>0.85365199999999997</v>
      </c>
      <c r="K1814">
        <v>0.53773899999999997</v>
      </c>
      <c r="L1814">
        <v>22</v>
      </c>
      <c r="M1814">
        <v>1</v>
      </c>
      <c r="N1814">
        <v>0</v>
      </c>
      <c r="O1814" t="s">
        <v>127</v>
      </c>
      <c r="P1814" t="s">
        <v>127</v>
      </c>
      <c r="Q1814" t="s">
        <v>127</v>
      </c>
    </row>
    <row r="1815" spans="1:17" x14ac:dyDescent="0.25">
      <c r="A1815" t="str">
        <f>IF(C1815&amp;G1815&amp;D1815&lt;&gt;'Funnel setup'!$K$3&amp;'Funnel setup'!$K$4&amp;'Funnel setup'!$K$6,".",IF(A1814=".",1,A1814+1))</f>
        <v>.</v>
      </c>
      <c r="B1815" s="244" t="str">
        <f t="shared" si="28"/>
        <v>Knee Replacement PrimarySub-ICB of GP PracticeNHS LANCASHIRE AND SOUTH CUMBRIA ICB - 02M (02M)EQ-5D Index</v>
      </c>
      <c r="C1815" t="s">
        <v>969</v>
      </c>
      <c r="D1815" t="s">
        <v>1021</v>
      </c>
      <c r="E1815" t="s">
        <v>861</v>
      </c>
      <c r="F1815" t="s">
        <v>862</v>
      </c>
      <c r="G1815" t="s">
        <v>963</v>
      </c>
      <c r="H1815">
        <v>64</v>
      </c>
      <c r="I1815">
        <v>0.52565600000000001</v>
      </c>
      <c r="J1815">
        <v>0.78285899999999997</v>
      </c>
      <c r="K1815">
        <v>0.25720300000000001</v>
      </c>
      <c r="L1815">
        <v>52</v>
      </c>
      <c r="M1815">
        <v>2</v>
      </c>
      <c r="N1815">
        <v>10</v>
      </c>
      <c r="O1815">
        <v>0.75872499999999998</v>
      </c>
      <c r="P1815">
        <v>0.32992899999999997</v>
      </c>
      <c r="Q1815">
        <v>0.177702</v>
      </c>
    </row>
    <row r="1816" spans="1:17" x14ac:dyDescent="0.25">
      <c r="A1816" t="str">
        <f>IF(C1816&amp;G1816&amp;D1816&lt;&gt;'Funnel setup'!$K$3&amp;'Funnel setup'!$K$4&amp;'Funnel setup'!$K$6,".",IF(A1815=".",1,A1815+1))</f>
        <v>.</v>
      </c>
      <c r="B1816" s="244" t="str">
        <f t="shared" si="28"/>
        <v>Knee Replacement PrimarySub-ICB of GP PracticeNHS LEICESTER, LEICESTERSHIRE AND RUTLAND ICB - 03W (03W)EQ-5D Index</v>
      </c>
      <c r="C1816" t="s">
        <v>969</v>
      </c>
      <c r="D1816" t="s">
        <v>1021</v>
      </c>
      <c r="E1816" t="s">
        <v>863</v>
      </c>
      <c r="F1816" t="s">
        <v>864</v>
      </c>
      <c r="G1816" t="s">
        <v>963</v>
      </c>
      <c r="H1816">
        <v>144</v>
      </c>
      <c r="I1816">
        <v>0.43166700000000002</v>
      </c>
      <c r="J1816">
        <v>0.77332599999999996</v>
      </c>
      <c r="K1816">
        <v>0.34166000000000002</v>
      </c>
      <c r="L1816">
        <v>121</v>
      </c>
      <c r="M1816">
        <v>14</v>
      </c>
      <c r="N1816">
        <v>9</v>
      </c>
      <c r="O1816">
        <v>0.76693199999999995</v>
      </c>
      <c r="P1816">
        <v>0.33813599999999999</v>
      </c>
      <c r="Q1816">
        <v>0.187778</v>
      </c>
    </row>
    <row r="1817" spans="1:17" x14ac:dyDescent="0.25">
      <c r="A1817" t="str">
        <f>IF(C1817&amp;G1817&amp;D1817&lt;&gt;'Funnel setup'!$K$3&amp;'Funnel setup'!$K$4&amp;'Funnel setup'!$K$6,".",IF(A1816=".",1,A1816+1))</f>
        <v>.</v>
      </c>
      <c r="B1817" s="244" t="str">
        <f t="shared" si="28"/>
        <v>Knee Replacement PrimarySub-ICB of GP PracticeNHS LEICESTER, LEICESTERSHIRE AND RUTLAND ICB - 04C (04C)EQ-5D Index</v>
      </c>
      <c r="C1817" t="s">
        <v>969</v>
      </c>
      <c r="D1817" t="s">
        <v>1021</v>
      </c>
      <c r="E1817" t="s">
        <v>865</v>
      </c>
      <c r="F1817" t="s">
        <v>866</v>
      </c>
      <c r="G1817" t="s">
        <v>963</v>
      </c>
      <c r="H1817">
        <v>47</v>
      </c>
      <c r="I1817">
        <v>0.34625499999999998</v>
      </c>
      <c r="J1817">
        <v>0.59048900000000004</v>
      </c>
      <c r="K1817">
        <v>0.24423400000000001</v>
      </c>
      <c r="L1817">
        <v>34</v>
      </c>
      <c r="M1817">
        <v>4</v>
      </c>
      <c r="N1817">
        <v>9</v>
      </c>
      <c r="O1817">
        <v>0.65225900000000003</v>
      </c>
      <c r="P1817">
        <v>0.22346299999999999</v>
      </c>
      <c r="Q1817">
        <v>0.26950099999999999</v>
      </c>
    </row>
    <row r="1818" spans="1:17" x14ac:dyDescent="0.25">
      <c r="A1818" t="str">
        <f>IF(C1818&amp;G1818&amp;D1818&lt;&gt;'Funnel setup'!$K$3&amp;'Funnel setup'!$K$4&amp;'Funnel setup'!$K$6,".",IF(A1817=".",1,A1817+1))</f>
        <v>.</v>
      </c>
      <c r="B1818" s="244" t="str">
        <f t="shared" si="28"/>
        <v>Knee Replacement PrimarySub-ICB of GP PracticeNHS LEICESTER, LEICESTERSHIRE AND RUTLAND ICB - 04V (04V)EQ-5D Index</v>
      </c>
      <c r="C1818" t="s">
        <v>969</v>
      </c>
      <c r="D1818" t="s">
        <v>1021</v>
      </c>
      <c r="E1818" t="s">
        <v>867</v>
      </c>
      <c r="F1818" t="s">
        <v>868</v>
      </c>
      <c r="G1818" t="s">
        <v>963</v>
      </c>
      <c r="H1818">
        <v>149</v>
      </c>
      <c r="I1818">
        <v>0.42209400000000002</v>
      </c>
      <c r="J1818">
        <v>0.74667799999999995</v>
      </c>
      <c r="K1818">
        <v>0.32458399999999998</v>
      </c>
      <c r="L1818">
        <v>122</v>
      </c>
      <c r="M1818">
        <v>12</v>
      </c>
      <c r="N1818">
        <v>15</v>
      </c>
      <c r="O1818">
        <v>0.74812699999999999</v>
      </c>
      <c r="P1818">
        <v>0.319332</v>
      </c>
      <c r="Q1818">
        <v>0.22634000000000001</v>
      </c>
    </row>
    <row r="1819" spans="1:17" x14ac:dyDescent="0.25">
      <c r="A1819" t="str">
        <f>IF(C1819&amp;G1819&amp;D1819&lt;&gt;'Funnel setup'!$K$3&amp;'Funnel setup'!$K$4&amp;'Funnel setup'!$K$6,".",IF(A1818=".",1,A1818+1))</f>
        <v>.</v>
      </c>
      <c r="B1819" s="244" t="str">
        <f t="shared" si="28"/>
        <v>Knee Replacement PrimarySub-ICB of GP PracticeNHS LINCOLNSHIRE ICB - 71E (71E)EQ-5D Index</v>
      </c>
      <c r="C1819" t="s">
        <v>969</v>
      </c>
      <c r="D1819" t="s">
        <v>1021</v>
      </c>
      <c r="E1819" t="s">
        <v>869</v>
      </c>
      <c r="F1819" t="s">
        <v>870</v>
      </c>
      <c r="G1819" t="s">
        <v>963</v>
      </c>
      <c r="H1819">
        <v>282</v>
      </c>
      <c r="I1819">
        <v>0.44701400000000002</v>
      </c>
      <c r="J1819">
        <v>0.78522700000000001</v>
      </c>
      <c r="K1819">
        <v>0.33821299999999999</v>
      </c>
      <c r="L1819">
        <v>248</v>
      </c>
      <c r="M1819">
        <v>19</v>
      </c>
      <c r="N1819">
        <v>15</v>
      </c>
      <c r="O1819">
        <v>0.766598</v>
      </c>
      <c r="P1819">
        <v>0.33780300000000002</v>
      </c>
      <c r="Q1819">
        <v>0.196544</v>
      </c>
    </row>
    <row r="1820" spans="1:17" x14ac:dyDescent="0.25">
      <c r="A1820" t="str">
        <f>IF(C1820&amp;G1820&amp;D1820&lt;&gt;'Funnel setup'!$K$3&amp;'Funnel setup'!$K$4&amp;'Funnel setup'!$K$6,".",IF(A1819=".",1,A1819+1))</f>
        <v>.</v>
      </c>
      <c r="B1820" s="244" t="str">
        <f t="shared" si="28"/>
        <v>Knee Replacement PrimarySub-ICB of GP PracticeNHS MID AND SOUTH ESSEX ICB - 06Q (06Q)EQ-5D Index</v>
      </c>
      <c r="C1820" t="s">
        <v>969</v>
      </c>
      <c r="D1820" t="s">
        <v>1021</v>
      </c>
      <c r="E1820" t="s">
        <v>871</v>
      </c>
      <c r="F1820" t="s">
        <v>872</v>
      </c>
      <c r="G1820" t="s">
        <v>963</v>
      </c>
      <c r="H1820">
        <v>123</v>
      </c>
      <c r="I1820">
        <v>0.41430099999999997</v>
      </c>
      <c r="J1820">
        <v>0.77456100000000006</v>
      </c>
      <c r="K1820">
        <v>0.36026000000000002</v>
      </c>
      <c r="L1820">
        <v>104</v>
      </c>
      <c r="M1820">
        <v>8</v>
      </c>
      <c r="N1820">
        <v>11</v>
      </c>
      <c r="O1820">
        <v>0.77052399999999999</v>
      </c>
      <c r="P1820">
        <v>0.341729</v>
      </c>
      <c r="Q1820">
        <v>0.246142</v>
      </c>
    </row>
    <row r="1821" spans="1:17" x14ac:dyDescent="0.25">
      <c r="A1821" t="str">
        <f>IF(C1821&amp;G1821&amp;D1821&lt;&gt;'Funnel setup'!$K$3&amp;'Funnel setup'!$K$4&amp;'Funnel setup'!$K$6,".",IF(A1820=".",1,A1820+1))</f>
        <v>.</v>
      </c>
      <c r="B1821" s="244" t="str">
        <f t="shared" si="28"/>
        <v>Knee Replacement PrimarySub-ICB of GP PracticeNHS MID AND SOUTH ESSEX ICB - 07G (07G)EQ-5D Index</v>
      </c>
      <c r="C1821" t="s">
        <v>969</v>
      </c>
      <c r="D1821" t="s">
        <v>1021</v>
      </c>
      <c r="E1821" t="s">
        <v>873</v>
      </c>
      <c r="F1821" t="s">
        <v>874</v>
      </c>
      <c r="G1821" t="s">
        <v>963</v>
      </c>
      <c r="H1821">
        <v>25</v>
      </c>
      <c r="I1821">
        <v>0.33200000000000002</v>
      </c>
      <c r="J1821">
        <v>0.75392000000000003</v>
      </c>
      <c r="K1821">
        <v>0.42192000000000002</v>
      </c>
      <c r="L1821">
        <v>20</v>
      </c>
      <c r="M1821">
        <v>3</v>
      </c>
      <c r="N1821">
        <v>2</v>
      </c>
      <c r="O1821" t="s">
        <v>127</v>
      </c>
      <c r="P1821" t="s">
        <v>127</v>
      </c>
      <c r="Q1821" t="s">
        <v>127</v>
      </c>
    </row>
    <row r="1822" spans="1:17" x14ac:dyDescent="0.25">
      <c r="A1822" t="str">
        <f>IF(C1822&amp;G1822&amp;D1822&lt;&gt;'Funnel setup'!$K$3&amp;'Funnel setup'!$K$4&amp;'Funnel setup'!$K$6,".",IF(A1821=".",1,A1821+1))</f>
        <v>.</v>
      </c>
      <c r="B1822" s="244" t="str">
        <f t="shared" si="28"/>
        <v>Knee Replacement PrimarySub-ICB of GP PracticeNHS MID AND SOUTH ESSEX ICB - 99E (99E)EQ-5D Index</v>
      </c>
      <c r="C1822" t="s">
        <v>969</v>
      </c>
      <c r="D1822" t="s">
        <v>1021</v>
      </c>
      <c r="E1822" t="s">
        <v>875</v>
      </c>
      <c r="F1822" t="s">
        <v>876</v>
      </c>
      <c r="G1822" t="s">
        <v>963</v>
      </c>
      <c r="H1822">
        <v>60</v>
      </c>
      <c r="I1822">
        <v>0.352717</v>
      </c>
      <c r="J1822">
        <v>0.690917</v>
      </c>
      <c r="K1822">
        <v>0.3382</v>
      </c>
      <c r="L1822">
        <v>49</v>
      </c>
      <c r="M1822">
        <v>2</v>
      </c>
      <c r="N1822">
        <v>9</v>
      </c>
      <c r="O1822">
        <v>0.72106800000000004</v>
      </c>
      <c r="P1822">
        <v>0.29227199999999998</v>
      </c>
      <c r="Q1822">
        <v>0.30671900000000002</v>
      </c>
    </row>
    <row r="1823" spans="1:17" x14ac:dyDescent="0.25">
      <c r="A1823" t="str">
        <f>IF(C1823&amp;G1823&amp;D1823&lt;&gt;'Funnel setup'!$K$3&amp;'Funnel setup'!$K$4&amp;'Funnel setup'!$K$6,".",IF(A1822=".",1,A1822+1))</f>
        <v>.</v>
      </c>
      <c r="B1823" s="244" t="str">
        <f t="shared" si="28"/>
        <v>Knee Replacement PrimarySub-ICB of GP PracticeNHS MID AND SOUTH ESSEX ICB - 99F (99F)EQ-5D Index</v>
      </c>
      <c r="C1823" t="s">
        <v>969</v>
      </c>
      <c r="D1823" t="s">
        <v>1021</v>
      </c>
      <c r="E1823" t="s">
        <v>877</v>
      </c>
      <c r="F1823" t="s">
        <v>878</v>
      </c>
      <c r="G1823" t="s">
        <v>963</v>
      </c>
      <c r="H1823">
        <v>33</v>
      </c>
      <c r="I1823">
        <v>0.38430300000000001</v>
      </c>
      <c r="J1823">
        <v>0.67724200000000001</v>
      </c>
      <c r="K1823">
        <v>0.292939</v>
      </c>
      <c r="L1823">
        <v>24</v>
      </c>
      <c r="M1823">
        <v>3</v>
      </c>
      <c r="N1823">
        <v>6</v>
      </c>
      <c r="O1823">
        <v>0.68973399999999996</v>
      </c>
      <c r="P1823">
        <v>0.260938</v>
      </c>
      <c r="Q1823">
        <v>0.35590500000000003</v>
      </c>
    </row>
    <row r="1824" spans="1:17" x14ac:dyDescent="0.25">
      <c r="A1824" t="str">
        <f>IF(C1824&amp;G1824&amp;D1824&lt;&gt;'Funnel setup'!$K$3&amp;'Funnel setup'!$K$4&amp;'Funnel setup'!$K$6,".",IF(A1823=".",1,A1823+1))</f>
        <v>.</v>
      </c>
      <c r="B1824" s="244" t="str">
        <f t="shared" si="28"/>
        <v>Knee Replacement PrimarySub-ICB of GP PracticeNHS MID AND SOUTH ESSEX ICB - 99G (99G)EQ-5D Index</v>
      </c>
      <c r="C1824" t="s">
        <v>969</v>
      </c>
      <c r="D1824" t="s">
        <v>1021</v>
      </c>
      <c r="E1824" t="s">
        <v>879</v>
      </c>
      <c r="F1824" t="s">
        <v>880</v>
      </c>
      <c r="G1824" t="s">
        <v>963</v>
      </c>
      <c r="H1824">
        <v>12</v>
      </c>
      <c r="I1824">
        <v>0.37824999999999998</v>
      </c>
      <c r="J1824">
        <v>0.67333299999999996</v>
      </c>
      <c r="K1824">
        <v>0.29508299999999998</v>
      </c>
      <c r="L1824">
        <v>11</v>
      </c>
      <c r="M1824">
        <v>0</v>
      </c>
      <c r="N1824">
        <v>1</v>
      </c>
      <c r="O1824" t="s">
        <v>127</v>
      </c>
      <c r="P1824" t="s">
        <v>127</v>
      </c>
      <c r="Q1824" t="s">
        <v>127</v>
      </c>
    </row>
    <row r="1825" spans="1:17" x14ac:dyDescent="0.25">
      <c r="A1825" t="str">
        <f>IF(C1825&amp;G1825&amp;D1825&lt;&gt;'Funnel setup'!$K$3&amp;'Funnel setup'!$K$4&amp;'Funnel setup'!$K$6,".",IF(A1824=".",1,A1824+1))</f>
        <v>.</v>
      </c>
      <c r="B1825" s="244" t="str">
        <f t="shared" si="28"/>
        <v>Knee Replacement PrimarySub-ICB of GP PracticeNHS NORFOLK AND WAVENEY ICB - 26A (26A)EQ-5D Index</v>
      </c>
      <c r="C1825" t="s">
        <v>969</v>
      </c>
      <c r="D1825" t="s">
        <v>1021</v>
      </c>
      <c r="E1825" t="s">
        <v>881</v>
      </c>
      <c r="F1825" t="s">
        <v>882</v>
      </c>
      <c r="G1825" t="s">
        <v>963</v>
      </c>
      <c r="H1825">
        <v>294</v>
      </c>
      <c r="I1825">
        <v>0.36438100000000001</v>
      </c>
      <c r="J1825">
        <v>0.69523500000000005</v>
      </c>
      <c r="K1825">
        <v>0.33085399999999998</v>
      </c>
      <c r="L1825">
        <v>236</v>
      </c>
      <c r="M1825">
        <v>30</v>
      </c>
      <c r="N1825">
        <v>28</v>
      </c>
      <c r="O1825">
        <v>0.72497800000000001</v>
      </c>
      <c r="P1825">
        <v>0.296182</v>
      </c>
      <c r="Q1825">
        <v>0.25176700000000002</v>
      </c>
    </row>
    <row r="1826" spans="1:17" x14ac:dyDescent="0.25">
      <c r="A1826" t="str">
        <f>IF(C1826&amp;G1826&amp;D1826&lt;&gt;'Funnel setup'!$K$3&amp;'Funnel setup'!$K$4&amp;'Funnel setup'!$K$6,".",IF(A1825=".",1,A1825+1))</f>
        <v>.</v>
      </c>
      <c r="B1826" s="244" t="str">
        <f t="shared" si="28"/>
        <v>Knee Replacement PrimarySub-ICB of GP PracticeNHS NORTH CENTRAL LONDON ICB - 93C (93C)EQ-5D Index</v>
      </c>
      <c r="C1826" t="s">
        <v>969</v>
      </c>
      <c r="D1826" t="s">
        <v>1021</v>
      </c>
      <c r="E1826" t="s">
        <v>883</v>
      </c>
      <c r="F1826" t="s">
        <v>884</v>
      </c>
      <c r="G1826" t="s">
        <v>963</v>
      </c>
      <c r="H1826">
        <v>161</v>
      </c>
      <c r="I1826">
        <v>0.45854699999999998</v>
      </c>
      <c r="J1826">
        <v>0.69501900000000005</v>
      </c>
      <c r="K1826">
        <v>0.23647199999999999</v>
      </c>
      <c r="L1826">
        <v>121</v>
      </c>
      <c r="M1826">
        <v>19</v>
      </c>
      <c r="N1826">
        <v>21</v>
      </c>
      <c r="O1826">
        <v>0.71467800000000004</v>
      </c>
      <c r="P1826">
        <v>0.28588200000000002</v>
      </c>
      <c r="Q1826">
        <v>0.23615900000000001</v>
      </c>
    </row>
    <row r="1827" spans="1:17" x14ac:dyDescent="0.25">
      <c r="A1827" t="str">
        <f>IF(C1827&amp;G1827&amp;D1827&lt;&gt;'Funnel setup'!$K$3&amp;'Funnel setup'!$K$4&amp;'Funnel setup'!$K$6,".",IF(A1826=".",1,A1826+1))</f>
        <v>.</v>
      </c>
      <c r="B1827" s="244" t="str">
        <f t="shared" si="28"/>
        <v>Knee Replacement PrimarySub-ICB of GP PracticeNHS NORTH EAST AND NORTH CUMBRIA ICB - 00L (00L)EQ-5D Index</v>
      </c>
      <c r="C1827" t="s">
        <v>969</v>
      </c>
      <c r="D1827" t="s">
        <v>1021</v>
      </c>
      <c r="E1827" t="s">
        <v>885</v>
      </c>
      <c r="F1827" t="s">
        <v>886</v>
      </c>
      <c r="G1827" t="s">
        <v>963</v>
      </c>
      <c r="H1827">
        <v>198</v>
      </c>
      <c r="I1827">
        <v>0.38086399999999998</v>
      </c>
      <c r="J1827">
        <v>0.764455</v>
      </c>
      <c r="K1827">
        <v>0.38359100000000002</v>
      </c>
      <c r="L1827">
        <v>171</v>
      </c>
      <c r="M1827">
        <v>17</v>
      </c>
      <c r="N1827">
        <v>10</v>
      </c>
      <c r="O1827">
        <v>0.78002800000000005</v>
      </c>
      <c r="P1827">
        <v>0.35123199999999999</v>
      </c>
      <c r="Q1827">
        <v>0.21715599999999999</v>
      </c>
    </row>
    <row r="1828" spans="1:17" x14ac:dyDescent="0.25">
      <c r="A1828" t="str">
        <f>IF(C1828&amp;G1828&amp;D1828&lt;&gt;'Funnel setup'!$K$3&amp;'Funnel setup'!$K$4&amp;'Funnel setup'!$K$6,".",IF(A1827=".",1,A1827+1))</f>
        <v>.</v>
      </c>
      <c r="B1828" s="244" t="str">
        <f t="shared" si="28"/>
        <v>Knee Replacement PrimarySub-ICB of GP PracticeNHS NORTH EAST AND NORTH CUMBRIA ICB - 00N (00N)EQ-5D Index</v>
      </c>
      <c r="C1828" t="s">
        <v>969</v>
      </c>
      <c r="D1828" t="s">
        <v>1021</v>
      </c>
      <c r="E1828" t="s">
        <v>887</v>
      </c>
      <c r="F1828" t="s">
        <v>888</v>
      </c>
      <c r="G1828" t="s">
        <v>963</v>
      </c>
      <c r="H1828">
        <v>9</v>
      </c>
      <c r="I1828">
        <v>0.46822200000000003</v>
      </c>
      <c r="J1828">
        <v>0.86511099999999996</v>
      </c>
      <c r="K1828">
        <v>0.39688899999999999</v>
      </c>
      <c r="L1828">
        <v>7</v>
      </c>
      <c r="M1828">
        <v>1</v>
      </c>
      <c r="N1828">
        <v>1</v>
      </c>
      <c r="O1828" t="s">
        <v>127</v>
      </c>
      <c r="P1828" t="s">
        <v>127</v>
      </c>
      <c r="Q1828" t="s">
        <v>127</v>
      </c>
    </row>
    <row r="1829" spans="1:17" x14ac:dyDescent="0.25">
      <c r="A1829" t="str">
        <f>IF(C1829&amp;G1829&amp;D1829&lt;&gt;'Funnel setup'!$K$3&amp;'Funnel setup'!$K$4&amp;'Funnel setup'!$K$6,".",IF(A1828=".",1,A1828+1))</f>
        <v>.</v>
      </c>
      <c r="B1829" s="244" t="str">
        <f t="shared" si="28"/>
        <v>Knee Replacement PrimarySub-ICB of GP PracticeNHS NORTH EAST AND NORTH CUMBRIA ICB - 00P (00P)EQ-5D Index</v>
      </c>
      <c r="C1829" t="s">
        <v>969</v>
      </c>
      <c r="D1829" t="s">
        <v>1021</v>
      </c>
      <c r="E1829" t="s">
        <v>889</v>
      </c>
      <c r="F1829" t="s">
        <v>890</v>
      </c>
      <c r="G1829" t="s">
        <v>963</v>
      </c>
      <c r="H1829">
        <v>24</v>
      </c>
      <c r="I1829">
        <v>0.28579199999999999</v>
      </c>
      <c r="J1829">
        <v>0.72445800000000005</v>
      </c>
      <c r="K1829">
        <v>0.43866699999999997</v>
      </c>
      <c r="L1829">
        <v>22</v>
      </c>
      <c r="M1829">
        <v>1</v>
      </c>
      <c r="N1829">
        <v>1</v>
      </c>
      <c r="O1829" t="s">
        <v>127</v>
      </c>
      <c r="P1829" t="s">
        <v>127</v>
      </c>
      <c r="Q1829" t="s">
        <v>127</v>
      </c>
    </row>
    <row r="1830" spans="1:17" x14ac:dyDescent="0.25">
      <c r="A1830" t="str">
        <f>IF(C1830&amp;G1830&amp;D1830&lt;&gt;'Funnel setup'!$K$3&amp;'Funnel setup'!$K$4&amp;'Funnel setup'!$K$6,".",IF(A1829=".",1,A1829+1))</f>
        <v>.</v>
      </c>
      <c r="B1830" s="244" t="str">
        <f t="shared" si="28"/>
        <v>Knee Replacement PrimarySub-ICB of GP PracticeNHS NORTH EAST AND NORTH CUMBRIA ICB - 01H (01H)EQ-5D Index</v>
      </c>
      <c r="C1830" t="s">
        <v>969</v>
      </c>
      <c r="D1830" t="s">
        <v>1021</v>
      </c>
      <c r="E1830" t="s">
        <v>891</v>
      </c>
      <c r="F1830" t="s">
        <v>892</v>
      </c>
      <c r="G1830" t="s">
        <v>963</v>
      </c>
      <c r="H1830">
        <v>211</v>
      </c>
      <c r="I1830">
        <v>0.386488</v>
      </c>
      <c r="J1830">
        <v>0.78562100000000001</v>
      </c>
      <c r="K1830">
        <v>0.39913300000000002</v>
      </c>
      <c r="L1830">
        <v>183</v>
      </c>
      <c r="M1830">
        <v>15</v>
      </c>
      <c r="N1830">
        <v>13</v>
      </c>
      <c r="O1830">
        <v>0.78528200000000004</v>
      </c>
      <c r="P1830">
        <v>0.35648600000000003</v>
      </c>
      <c r="Q1830">
        <v>0.21269199999999999</v>
      </c>
    </row>
    <row r="1831" spans="1:17" x14ac:dyDescent="0.25">
      <c r="A1831" t="str">
        <f>IF(C1831&amp;G1831&amp;D1831&lt;&gt;'Funnel setup'!$K$3&amp;'Funnel setup'!$K$4&amp;'Funnel setup'!$K$6,".",IF(A1830=".",1,A1830+1))</f>
        <v>.</v>
      </c>
      <c r="B1831" s="244" t="str">
        <f t="shared" si="28"/>
        <v>Knee Replacement PrimarySub-ICB of GP PracticeNHS NORTH EAST AND NORTH CUMBRIA ICB - 13T (13T)EQ-5D Index</v>
      </c>
      <c r="C1831" t="s">
        <v>969</v>
      </c>
      <c r="D1831" t="s">
        <v>1021</v>
      </c>
      <c r="E1831" t="s">
        <v>893</v>
      </c>
      <c r="F1831" t="s">
        <v>894</v>
      </c>
      <c r="G1831" t="s">
        <v>963</v>
      </c>
      <c r="H1831">
        <v>68</v>
      </c>
      <c r="I1831">
        <v>0.35355900000000001</v>
      </c>
      <c r="J1831">
        <v>0.71499999999999997</v>
      </c>
      <c r="K1831">
        <v>0.36144100000000001</v>
      </c>
      <c r="L1831">
        <v>57</v>
      </c>
      <c r="M1831">
        <v>4</v>
      </c>
      <c r="N1831">
        <v>7</v>
      </c>
      <c r="O1831">
        <v>0.75163000000000002</v>
      </c>
      <c r="P1831">
        <v>0.32283400000000001</v>
      </c>
      <c r="Q1831">
        <v>0.27233299999999999</v>
      </c>
    </row>
    <row r="1832" spans="1:17" x14ac:dyDescent="0.25">
      <c r="A1832" t="str">
        <f>IF(C1832&amp;G1832&amp;D1832&lt;&gt;'Funnel setup'!$K$3&amp;'Funnel setup'!$K$4&amp;'Funnel setup'!$K$6,".",IF(A1831=".",1,A1831+1))</f>
        <v>.</v>
      </c>
      <c r="B1832" s="244" t="str">
        <f t="shared" si="28"/>
        <v>Knee Replacement PrimarySub-ICB of GP PracticeNHS NORTH EAST AND NORTH CUMBRIA ICB - 16C (16C)EQ-5D Index</v>
      </c>
      <c r="C1832" t="s">
        <v>969</v>
      </c>
      <c r="D1832" t="s">
        <v>1021</v>
      </c>
      <c r="E1832" t="s">
        <v>895</v>
      </c>
      <c r="F1832" t="s">
        <v>896</v>
      </c>
      <c r="G1832" t="s">
        <v>963</v>
      </c>
      <c r="H1832">
        <v>383</v>
      </c>
      <c r="I1832">
        <v>0.38969199999999998</v>
      </c>
      <c r="J1832">
        <v>0.73823000000000005</v>
      </c>
      <c r="K1832">
        <v>0.34853800000000001</v>
      </c>
      <c r="L1832">
        <v>325</v>
      </c>
      <c r="M1832">
        <v>16</v>
      </c>
      <c r="N1832">
        <v>42</v>
      </c>
      <c r="O1832">
        <v>0.75925600000000004</v>
      </c>
      <c r="P1832">
        <v>0.33045999999999998</v>
      </c>
      <c r="Q1832">
        <v>0.25678299999999998</v>
      </c>
    </row>
    <row r="1833" spans="1:17" x14ac:dyDescent="0.25">
      <c r="A1833" t="str">
        <f>IF(C1833&amp;G1833&amp;D1833&lt;&gt;'Funnel setup'!$K$3&amp;'Funnel setup'!$K$4&amp;'Funnel setup'!$K$6,".",IF(A1832=".",1,A1832+1))</f>
        <v>.</v>
      </c>
      <c r="B1833" s="244" t="str">
        <f t="shared" si="28"/>
        <v>Knee Replacement PrimarySub-ICB of GP PracticeNHS NORTH EAST AND NORTH CUMBRIA ICB - 84H (84H)EQ-5D Index</v>
      </c>
      <c r="C1833" t="s">
        <v>969</v>
      </c>
      <c r="D1833" t="s">
        <v>1021</v>
      </c>
      <c r="E1833" t="s">
        <v>897</v>
      </c>
      <c r="F1833" t="s">
        <v>898</v>
      </c>
      <c r="G1833" t="s">
        <v>963</v>
      </c>
      <c r="H1833">
        <v>285</v>
      </c>
      <c r="I1833">
        <v>0.44372299999999998</v>
      </c>
      <c r="J1833">
        <v>0.74746299999999999</v>
      </c>
      <c r="K1833">
        <v>0.30374000000000001</v>
      </c>
      <c r="L1833">
        <v>225</v>
      </c>
      <c r="M1833">
        <v>24</v>
      </c>
      <c r="N1833">
        <v>36</v>
      </c>
      <c r="O1833">
        <v>0.74849100000000002</v>
      </c>
      <c r="P1833">
        <v>0.31969500000000001</v>
      </c>
      <c r="Q1833">
        <v>0.23344100000000001</v>
      </c>
    </row>
    <row r="1834" spans="1:17" x14ac:dyDescent="0.25">
      <c r="A1834" t="str">
        <f>IF(C1834&amp;G1834&amp;D1834&lt;&gt;'Funnel setup'!$K$3&amp;'Funnel setup'!$K$4&amp;'Funnel setup'!$K$6,".",IF(A1833=".",1,A1833+1))</f>
        <v>.</v>
      </c>
      <c r="B1834" s="244" t="str">
        <f t="shared" si="28"/>
        <v>Knee Replacement PrimarySub-ICB of GP PracticeNHS NORTH EAST AND NORTH CUMBRIA ICB - 99C (99C)EQ-5D Index</v>
      </c>
      <c r="C1834" t="s">
        <v>969</v>
      </c>
      <c r="D1834" t="s">
        <v>1021</v>
      </c>
      <c r="E1834" t="s">
        <v>899</v>
      </c>
      <c r="F1834" t="s">
        <v>900</v>
      </c>
      <c r="G1834" t="s">
        <v>963</v>
      </c>
      <c r="H1834">
        <v>101</v>
      </c>
      <c r="I1834">
        <v>0.41026699999999999</v>
      </c>
      <c r="J1834">
        <v>0.800485</v>
      </c>
      <c r="K1834">
        <v>0.39021800000000001</v>
      </c>
      <c r="L1834">
        <v>87</v>
      </c>
      <c r="M1834">
        <v>9</v>
      </c>
      <c r="N1834">
        <v>5</v>
      </c>
      <c r="O1834">
        <v>0.80870200000000003</v>
      </c>
      <c r="P1834">
        <v>0.37990699999999999</v>
      </c>
      <c r="Q1834">
        <v>0.16430900000000001</v>
      </c>
    </row>
    <row r="1835" spans="1:17" x14ac:dyDescent="0.25">
      <c r="A1835" t="str">
        <f>IF(C1835&amp;G1835&amp;D1835&lt;&gt;'Funnel setup'!$K$3&amp;'Funnel setup'!$K$4&amp;'Funnel setup'!$K$6,".",IF(A1834=".",1,A1834+1))</f>
        <v>.</v>
      </c>
      <c r="B1835" s="244" t="str">
        <f t="shared" si="28"/>
        <v>Knee Replacement PrimarySub-ICB of GP PracticeNHS NORTH EAST LONDON ICB - A3A8R (A3A8R)EQ-5D Index</v>
      </c>
      <c r="C1835" t="s">
        <v>969</v>
      </c>
      <c r="D1835" t="s">
        <v>1021</v>
      </c>
      <c r="E1835" t="s">
        <v>901</v>
      </c>
      <c r="F1835" t="s">
        <v>902</v>
      </c>
      <c r="G1835" t="s">
        <v>963</v>
      </c>
      <c r="H1835">
        <v>221</v>
      </c>
      <c r="I1835">
        <v>0.38771899999999998</v>
      </c>
      <c r="J1835">
        <v>0.68899500000000002</v>
      </c>
      <c r="K1835">
        <v>0.30127599999999999</v>
      </c>
      <c r="L1835">
        <v>171</v>
      </c>
      <c r="M1835">
        <v>20</v>
      </c>
      <c r="N1835">
        <v>30</v>
      </c>
      <c r="O1835">
        <v>0.73216499999999995</v>
      </c>
      <c r="P1835">
        <v>0.30336999999999997</v>
      </c>
      <c r="Q1835">
        <v>0.23712900000000001</v>
      </c>
    </row>
    <row r="1836" spans="1:17" x14ac:dyDescent="0.25">
      <c r="A1836" t="str">
        <f>IF(C1836&amp;G1836&amp;D1836&lt;&gt;'Funnel setup'!$K$3&amp;'Funnel setup'!$K$4&amp;'Funnel setup'!$K$6,".",IF(A1835=".",1,A1835+1))</f>
        <v>.</v>
      </c>
      <c r="B1836" s="244" t="str">
        <f t="shared" si="28"/>
        <v>Knee Replacement PrimarySub-ICB of GP PracticeNHS NORTH WEST LONDON ICB - W2U3Z (W2U3Z)EQ-5D Index</v>
      </c>
      <c r="C1836" t="s">
        <v>969</v>
      </c>
      <c r="D1836" t="s">
        <v>1021</v>
      </c>
      <c r="E1836" t="s">
        <v>903</v>
      </c>
      <c r="F1836" t="s">
        <v>904</v>
      </c>
      <c r="G1836" t="s">
        <v>963</v>
      </c>
      <c r="H1836">
        <v>196</v>
      </c>
      <c r="I1836">
        <v>0.428342</v>
      </c>
      <c r="J1836">
        <v>0.73397999999999997</v>
      </c>
      <c r="K1836">
        <v>0.30563800000000002</v>
      </c>
      <c r="L1836">
        <v>153</v>
      </c>
      <c r="M1836">
        <v>23</v>
      </c>
      <c r="N1836">
        <v>20</v>
      </c>
      <c r="O1836">
        <v>0.73721899999999996</v>
      </c>
      <c r="P1836">
        <v>0.308423</v>
      </c>
      <c r="Q1836">
        <v>0.223326</v>
      </c>
    </row>
    <row r="1837" spans="1:17" x14ac:dyDescent="0.25">
      <c r="A1837" t="str">
        <f>IF(C1837&amp;G1837&amp;D1837&lt;&gt;'Funnel setup'!$K$3&amp;'Funnel setup'!$K$4&amp;'Funnel setup'!$K$6,".",IF(A1836=".",1,A1836+1))</f>
        <v>.</v>
      </c>
      <c r="B1837" s="244" t="str">
        <f t="shared" si="28"/>
        <v>Knee Replacement PrimarySub-ICB of GP PracticeNHS NORTHAMPTONSHIRE ICB - 78H (78H)EQ-5D Index</v>
      </c>
      <c r="C1837" t="s">
        <v>969</v>
      </c>
      <c r="D1837" t="s">
        <v>1021</v>
      </c>
      <c r="E1837" t="s">
        <v>905</v>
      </c>
      <c r="F1837" t="s">
        <v>906</v>
      </c>
      <c r="G1837" t="s">
        <v>963</v>
      </c>
      <c r="H1837">
        <v>234</v>
      </c>
      <c r="I1837">
        <v>0.37631599999999998</v>
      </c>
      <c r="J1837">
        <v>0.74185500000000004</v>
      </c>
      <c r="K1837">
        <v>0.36553799999999997</v>
      </c>
      <c r="L1837">
        <v>187</v>
      </c>
      <c r="M1837">
        <v>25</v>
      </c>
      <c r="N1837">
        <v>22</v>
      </c>
      <c r="O1837">
        <v>0.74533499999999997</v>
      </c>
      <c r="P1837">
        <v>0.31653900000000001</v>
      </c>
      <c r="Q1837">
        <v>0.24386099999999999</v>
      </c>
    </row>
    <row r="1838" spans="1:17" x14ac:dyDescent="0.25">
      <c r="A1838" t="str">
        <f>IF(C1838&amp;G1838&amp;D1838&lt;&gt;'Funnel setup'!$K$3&amp;'Funnel setup'!$K$4&amp;'Funnel setup'!$K$6,".",IF(A1837=".",1,A1837+1))</f>
        <v>.</v>
      </c>
      <c r="B1838" s="244" t="str">
        <f t="shared" si="28"/>
        <v>Knee Replacement PrimarySub-ICB of GP PracticeNHS NOTTINGHAM AND NOTTINGHAMSHIRE ICB - 02Q (02Q)EQ-5D Index</v>
      </c>
      <c r="C1838" t="s">
        <v>969</v>
      </c>
      <c r="D1838" t="s">
        <v>1021</v>
      </c>
      <c r="E1838" t="s">
        <v>907</v>
      </c>
      <c r="F1838" t="s">
        <v>908</v>
      </c>
      <c r="G1838" t="s">
        <v>963</v>
      </c>
      <c r="H1838">
        <v>44</v>
      </c>
      <c r="I1838">
        <v>0.39140900000000001</v>
      </c>
      <c r="J1838">
        <v>0.73772700000000002</v>
      </c>
      <c r="K1838">
        <v>0.34631800000000001</v>
      </c>
      <c r="L1838">
        <v>35</v>
      </c>
      <c r="M1838">
        <v>2</v>
      </c>
      <c r="N1838">
        <v>7</v>
      </c>
      <c r="O1838">
        <v>0.75727100000000003</v>
      </c>
      <c r="P1838">
        <v>0.32847500000000002</v>
      </c>
      <c r="Q1838">
        <v>0.24826599999999999</v>
      </c>
    </row>
    <row r="1839" spans="1:17" x14ac:dyDescent="0.25">
      <c r="A1839" t="str">
        <f>IF(C1839&amp;G1839&amp;D1839&lt;&gt;'Funnel setup'!$K$3&amp;'Funnel setup'!$K$4&amp;'Funnel setup'!$K$6,".",IF(A1838=".",1,A1838+1))</f>
        <v>.</v>
      </c>
      <c r="B1839" s="244" t="str">
        <f t="shared" si="28"/>
        <v>Knee Replacement PrimarySub-ICB of GP PracticeNHS NOTTINGHAM AND NOTTINGHAMSHIRE ICB - 52R (52R)EQ-5D Index</v>
      </c>
      <c r="C1839" t="s">
        <v>969</v>
      </c>
      <c r="D1839" t="s">
        <v>1021</v>
      </c>
      <c r="E1839" t="s">
        <v>909</v>
      </c>
      <c r="F1839" t="s">
        <v>910</v>
      </c>
      <c r="G1839" t="s">
        <v>963</v>
      </c>
      <c r="H1839">
        <v>206</v>
      </c>
      <c r="I1839">
        <v>0.44770399999999999</v>
      </c>
      <c r="J1839">
        <v>0.74965000000000004</v>
      </c>
      <c r="K1839">
        <v>0.30194700000000002</v>
      </c>
      <c r="L1839">
        <v>160</v>
      </c>
      <c r="M1839">
        <v>19</v>
      </c>
      <c r="N1839">
        <v>27</v>
      </c>
      <c r="O1839">
        <v>0.731186</v>
      </c>
      <c r="P1839">
        <v>0.30238999999999999</v>
      </c>
      <c r="Q1839">
        <v>0.23887800000000001</v>
      </c>
    </row>
    <row r="1840" spans="1:17" x14ac:dyDescent="0.25">
      <c r="A1840" t="str">
        <f>IF(C1840&amp;G1840&amp;D1840&lt;&gt;'Funnel setup'!$K$3&amp;'Funnel setup'!$K$4&amp;'Funnel setup'!$K$6,".",IF(A1839=".",1,A1839+1))</f>
        <v>.</v>
      </c>
      <c r="B1840" s="244" t="str">
        <f t="shared" si="28"/>
        <v>Knee Replacement PrimarySub-ICB of GP PracticeNHS SHROPSHIRE, TELFORD AND WREKIN ICB - M2L0M (M2L0M)EQ-5D Index</v>
      </c>
      <c r="C1840" t="s">
        <v>969</v>
      </c>
      <c r="D1840" t="s">
        <v>1021</v>
      </c>
      <c r="E1840" t="s">
        <v>911</v>
      </c>
      <c r="F1840" t="s">
        <v>912</v>
      </c>
      <c r="G1840" t="s">
        <v>963</v>
      </c>
      <c r="H1840">
        <v>176</v>
      </c>
      <c r="I1840">
        <v>0.36379</v>
      </c>
      <c r="J1840">
        <v>0.74292000000000002</v>
      </c>
      <c r="K1840">
        <v>0.379131</v>
      </c>
      <c r="L1840">
        <v>147</v>
      </c>
      <c r="M1840">
        <v>18</v>
      </c>
      <c r="N1840">
        <v>11</v>
      </c>
      <c r="O1840">
        <v>0.77024700000000001</v>
      </c>
      <c r="P1840">
        <v>0.34145199999999998</v>
      </c>
      <c r="Q1840">
        <v>0.21435100000000001</v>
      </c>
    </row>
    <row r="1841" spans="1:17" x14ac:dyDescent="0.25">
      <c r="A1841" t="str">
        <f>IF(C1841&amp;G1841&amp;D1841&lt;&gt;'Funnel setup'!$K$3&amp;'Funnel setup'!$K$4&amp;'Funnel setup'!$K$6,".",IF(A1840=".",1,A1840+1))</f>
        <v>.</v>
      </c>
      <c r="B1841" s="244" t="str">
        <f t="shared" si="28"/>
        <v>Knee Replacement PrimarySub-ICB of GP PracticeNHS SOMERSET ICB - 11X (11X)EQ-5D Index</v>
      </c>
      <c r="C1841" t="s">
        <v>969</v>
      </c>
      <c r="D1841" t="s">
        <v>1021</v>
      </c>
      <c r="E1841" t="s">
        <v>913</v>
      </c>
      <c r="F1841" t="s">
        <v>914</v>
      </c>
      <c r="G1841" t="s">
        <v>963</v>
      </c>
      <c r="H1841">
        <v>201</v>
      </c>
      <c r="I1841">
        <v>0.47096500000000002</v>
      </c>
      <c r="J1841">
        <v>0.77579600000000004</v>
      </c>
      <c r="K1841">
        <v>0.30483100000000002</v>
      </c>
      <c r="L1841">
        <v>171</v>
      </c>
      <c r="M1841">
        <v>13</v>
      </c>
      <c r="N1841">
        <v>17</v>
      </c>
      <c r="O1841">
        <v>0.76049900000000004</v>
      </c>
      <c r="P1841">
        <v>0.331704</v>
      </c>
      <c r="Q1841">
        <v>0.21126400000000001</v>
      </c>
    </row>
    <row r="1842" spans="1:17" x14ac:dyDescent="0.25">
      <c r="A1842" t="str">
        <f>IF(C1842&amp;G1842&amp;D1842&lt;&gt;'Funnel setup'!$K$3&amp;'Funnel setup'!$K$4&amp;'Funnel setup'!$K$6,".",IF(A1841=".",1,A1841+1))</f>
        <v>.</v>
      </c>
      <c r="B1842" s="244" t="str">
        <f t="shared" si="28"/>
        <v>Knee Replacement PrimarySub-ICB of GP PracticeNHS SOUTH EAST LONDON ICB - 72Q (72Q)EQ-5D Index</v>
      </c>
      <c r="C1842" t="s">
        <v>969</v>
      </c>
      <c r="D1842" t="s">
        <v>1021</v>
      </c>
      <c r="E1842" t="s">
        <v>915</v>
      </c>
      <c r="F1842" t="s">
        <v>916</v>
      </c>
      <c r="G1842" t="s">
        <v>963</v>
      </c>
      <c r="H1842">
        <v>127</v>
      </c>
      <c r="I1842">
        <v>0.440465</v>
      </c>
      <c r="J1842">
        <v>0.71202399999999999</v>
      </c>
      <c r="K1842">
        <v>0.27155899999999999</v>
      </c>
      <c r="L1842">
        <v>102</v>
      </c>
      <c r="M1842">
        <v>8</v>
      </c>
      <c r="N1842">
        <v>17</v>
      </c>
      <c r="O1842">
        <v>0.709368</v>
      </c>
      <c r="P1842">
        <v>0.28057199999999999</v>
      </c>
      <c r="Q1842">
        <v>0.24876300000000001</v>
      </c>
    </row>
    <row r="1843" spans="1:17" x14ac:dyDescent="0.25">
      <c r="A1843" t="str">
        <f>IF(C1843&amp;G1843&amp;D1843&lt;&gt;'Funnel setup'!$K$3&amp;'Funnel setup'!$K$4&amp;'Funnel setup'!$K$6,".",IF(A1842=".",1,A1842+1))</f>
        <v>.</v>
      </c>
      <c r="B1843" s="244" t="str">
        <f t="shared" si="28"/>
        <v>Knee Replacement PrimarySub-ICB of GP PracticeNHS SOUTH WEST LONDON ICB - 36L (36L)EQ-5D Index</v>
      </c>
      <c r="C1843" t="s">
        <v>969</v>
      </c>
      <c r="D1843" t="s">
        <v>1021</v>
      </c>
      <c r="E1843" t="s">
        <v>917</v>
      </c>
      <c r="F1843" t="s">
        <v>918</v>
      </c>
      <c r="G1843" t="s">
        <v>963</v>
      </c>
      <c r="H1843">
        <v>477</v>
      </c>
      <c r="I1843">
        <v>0.41398099999999999</v>
      </c>
      <c r="J1843">
        <v>0.73960800000000004</v>
      </c>
      <c r="K1843">
        <v>0.325627</v>
      </c>
      <c r="L1843">
        <v>396</v>
      </c>
      <c r="M1843">
        <v>41</v>
      </c>
      <c r="N1843">
        <v>40</v>
      </c>
      <c r="O1843">
        <v>0.74438599999999999</v>
      </c>
      <c r="P1843">
        <v>0.31558999999999998</v>
      </c>
      <c r="Q1843">
        <v>0.22368499999999999</v>
      </c>
    </row>
    <row r="1844" spans="1:17" x14ac:dyDescent="0.25">
      <c r="A1844" t="str">
        <f>IF(C1844&amp;G1844&amp;D1844&lt;&gt;'Funnel setup'!$K$3&amp;'Funnel setup'!$K$4&amp;'Funnel setup'!$K$6,".",IF(A1843=".",1,A1843+1))</f>
        <v>.</v>
      </c>
      <c r="B1844" s="244" t="str">
        <f t="shared" si="28"/>
        <v>Knee Replacement PrimarySub-ICB of GP PracticeNHS SOUTH YORKSHIRE ICB - 02P (02P)EQ-5D Index</v>
      </c>
      <c r="C1844" t="s">
        <v>969</v>
      </c>
      <c r="D1844" t="s">
        <v>1021</v>
      </c>
      <c r="E1844" t="s">
        <v>919</v>
      </c>
      <c r="F1844" t="s">
        <v>920</v>
      </c>
      <c r="G1844" t="s">
        <v>963</v>
      </c>
      <c r="H1844">
        <v>49</v>
      </c>
      <c r="I1844">
        <v>0.37451000000000001</v>
      </c>
      <c r="J1844">
        <v>0.65349000000000002</v>
      </c>
      <c r="K1844">
        <v>0.27898000000000001</v>
      </c>
      <c r="L1844">
        <v>35</v>
      </c>
      <c r="M1844">
        <v>6</v>
      </c>
      <c r="N1844">
        <v>8</v>
      </c>
      <c r="O1844">
        <v>0.69210199999999999</v>
      </c>
      <c r="P1844">
        <v>0.26330599999999998</v>
      </c>
      <c r="Q1844">
        <v>0.30111700000000002</v>
      </c>
    </row>
    <row r="1845" spans="1:17" x14ac:dyDescent="0.25">
      <c r="A1845" t="str">
        <f>IF(C1845&amp;G1845&amp;D1845&lt;&gt;'Funnel setup'!$K$3&amp;'Funnel setup'!$K$4&amp;'Funnel setup'!$K$6,".",IF(A1844=".",1,A1844+1))</f>
        <v>.</v>
      </c>
      <c r="B1845" s="244" t="str">
        <f t="shared" si="28"/>
        <v>Knee Replacement PrimarySub-ICB of GP PracticeNHS SOUTH YORKSHIRE ICB - 02X (02X)EQ-5D Index</v>
      </c>
      <c r="C1845" t="s">
        <v>969</v>
      </c>
      <c r="D1845" t="s">
        <v>1021</v>
      </c>
      <c r="E1845" t="s">
        <v>921</v>
      </c>
      <c r="F1845" t="s">
        <v>922</v>
      </c>
      <c r="G1845" t="s">
        <v>963</v>
      </c>
      <c r="H1845">
        <v>113</v>
      </c>
      <c r="I1845">
        <v>0.40519500000000003</v>
      </c>
      <c r="J1845">
        <v>0.70895600000000003</v>
      </c>
      <c r="K1845">
        <v>0.303761</v>
      </c>
      <c r="L1845">
        <v>88</v>
      </c>
      <c r="M1845">
        <v>14</v>
      </c>
      <c r="N1845">
        <v>11</v>
      </c>
      <c r="O1845">
        <v>0.72872700000000001</v>
      </c>
      <c r="P1845">
        <v>0.299931</v>
      </c>
      <c r="Q1845">
        <v>0.26170199999999999</v>
      </c>
    </row>
    <row r="1846" spans="1:17" x14ac:dyDescent="0.25">
      <c r="A1846" t="str">
        <f>IF(C1846&amp;G1846&amp;D1846&lt;&gt;'Funnel setup'!$K$3&amp;'Funnel setup'!$K$4&amp;'Funnel setup'!$K$6,".",IF(A1845=".",1,A1845+1))</f>
        <v>.</v>
      </c>
      <c r="B1846" s="244" t="str">
        <f t="shared" si="28"/>
        <v>Knee Replacement PrimarySub-ICB of GP PracticeNHS SOUTH YORKSHIRE ICB - 03L (03L)EQ-5D Index</v>
      </c>
      <c r="C1846" t="s">
        <v>969</v>
      </c>
      <c r="D1846" t="s">
        <v>1021</v>
      </c>
      <c r="E1846" t="s">
        <v>923</v>
      </c>
      <c r="F1846" t="s">
        <v>924</v>
      </c>
      <c r="G1846" t="s">
        <v>963</v>
      </c>
      <c r="H1846">
        <v>37</v>
      </c>
      <c r="I1846">
        <v>0.30410799999999999</v>
      </c>
      <c r="J1846">
        <v>0.76729700000000001</v>
      </c>
      <c r="K1846">
        <v>0.46318900000000002</v>
      </c>
      <c r="L1846">
        <v>32</v>
      </c>
      <c r="M1846">
        <v>3</v>
      </c>
      <c r="N1846">
        <v>2</v>
      </c>
      <c r="O1846">
        <v>0.81057500000000005</v>
      </c>
      <c r="P1846">
        <v>0.38178000000000001</v>
      </c>
      <c r="Q1846">
        <v>0.202461</v>
      </c>
    </row>
    <row r="1847" spans="1:17" x14ac:dyDescent="0.25">
      <c r="A1847" t="str">
        <f>IF(C1847&amp;G1847&amp;D1847&lt;&gt;'Funnel setup'!$K$3&amp;'Funnel setup'!$K$4&amp;'Funnel setup'!$K$6,".",IF(A1846=".",1,A1846+1))</f>
        <v>.</v>
      </c>
      <c r="B1847" s="244" t="str">
        <f t="shared" si="28"/>
        <v>Knee Replacement PrimarySub-ICB of GP PracticeNHS SOUTH YORKSHIRE ICB - 03N (03N)EQ-5D Index</v>
      </c>
      <c r="C1847" t="s">
        <v>969</v>
      </c>
      <c r="D1847" t="s">
        <v>1021</v>
      </c>
      <c r="E1847" t="s">
        <v>925</v>
      </c>
      <c r="F1847" t="s">
        <v>926</v>
      </c>
      <c r="G1847" t="s">
        <v>963</v>
      </c>
      <c r="H1847">
        <v>36</v>
      </c>
      <c r="I1847">
        <v>0.45300000000000001</v>
      </c>
      <c r="J1847">
        <v>0.79322199999999998</v>
      </c>
      <c r="K1847">
        <v>0.34022200000000002</v>
      </c>
      <c r="L1847">
        <v>31</v>
      </c>
      <c r="M1847">
        <v>2</v>
      </c>
      <c r="N1847">
        <v>3</v>
      </c>
      <c r="O1847">
        <v>0.78299099999999999</v>
      </c>
      <c r="P1847">
        <v>0.35419499999999998</v>
      </c>
      <c r="Q1847">
        <v>0.20381299999999999</v>
      </c>
    </row>
    <row r="1848" spans="1:17" x14ac:dyDescent="0.25">
      <c r="A1848" t="str">
        <f>IF(C1848&amp;G1848&amp;D1848&lt;&gt;'Funnel setup'!$K$3&amp;'Funnel setup'!$K$4&amp;'Funnel setup'!$K$6,".",IF(A1847=".",1,A1847+1))</f>
        <v>.</v>
      </c>
      <c r="B1848" s="244" t="str">
        <f t="shared" si="28"/>
        <v>Knee Replacement PrimarySub-ICB of GP PracticeNHS STAFFORDSHIRE AND STOKE-ON-TRENT ICB - 04Y (04Y)EQ-5D Index</v>
      </c>
      <c r="C1848" t="s">
        <v>969</v>
      </c>
      <c r="D1848" t="s">
        <v>1021</v>
      </c>
      <c r="E1848" t="s">
        <v>927</v>
      </c>
      <c r="F1848" t="s">
        <v>928</v>
      </c>
      <c r="G1848" t="s">
        <v>963</v>
      </c>
      <c r="H1848">
        <v>24</v>
      </c>
      <c r="I1848">
        <v>0.40962500000000002</v>
      </c>
      <c r="J1848">
        <v>0.82804199999999994</v>
      </c>
      <c r="K1848">
        <v>0.41841699999999998</v>
      </c>
      <c r="L1848">
        <v>22</v>
      </c>
      <c r="M1848">
        <v>1</v>
      </c>
      <c r="N1848">
        <v>1</v>
      </c>
      <c r="O1848" t="s">
        <v>127</v>
      </c>
      <c r="P1848" t="s">
        <v>127</v>
      </c>
      <c r="Q1848" t="s">
        <v>127</v>
      </c>
    </row>
    <row r="1849" spans="1:17" x14ac:dyDescent="0.25">
      <c r="A1849" t="str">
        <f>IF(C1849&amp;G1849&amp;D1849&lt;&gt;'Funnel setup'!$K$3&amp;'Funnel setup'!$K$4&amp;'Funnel setup'!$K$6,".",IF(A1848=".",1,A1848+1))</f>
        <v>.</v>
      </c>
      <c r="B1849" s="244" t="str">
        <f t="shared" si="28"/>
        <v>Knee Replacement PrimarySub-ICB of GP PracticeNHS STAFFORDSHIRE AND STOKE-ON-TRENT ICB - 05D (05D)EQ-5D Index</v>
      </c>
      <c r="C1849" t="s">
        <v>969</v>
      </c>
      <c r="D1849" t="s">
        <v>1021</v>
      </c>
      <c r="E1849" t="s">
        <v>929</v>
      </c>
      <c r="F1849" t="s">
        <v>930</v>
      </c>
      <c r="G1849" t="s">
        <v>963</v>
      </c>
      <c r="H1849">
        <v>61</v>
      </c>
      <c r="I1849">
        <v>0.43404900000000002</v>
      </c>
      <c r="J1849">
        <v>0.75519700000000001</v>
      </c>
      <c r="K1849">
        <v>0.32114799999999999</v>
      </c>
      <c r="L1849">
        <v>49</v>
      </c>
      <c r="M1849">
        <v>5</v>
      </c>
      <c r="N1849">
        <v>7</v>
      </c>
      <c r="O1849">
        <v>0.74370000000000003</v>
      </c>
      <c r="P1849">
        <v>0.31490400000000002</v>
      </c>
      <c r="Q1849">
        <v>0.25250400000000001</v>
      </c>
    </row>
    <row r="1850" spans="1:17" x14ac:dyDescent="0.25">
      <c r="A1850" t="str">
        <f>IF(C1850&amp;G1850&amp;D1850&lt;&gt;'Funnel setup'!$K$3&amp;'Funnel setup'!$K$4&amp;'Funnel setup'!$K$6,".",IF(A1849=".",1,A1849+1))</f>
        <v>.</v>
      </c>
      <c r="B1850" s="244" t="str">
        <f t="shared" si="28"/>
        <v>Knee Replacement PrimarySub-ICB of GP PracticeNHS STAFFORDSHIRE AND STOKE-ON-TRENT ICB - 05G (05G)EQ-5D Index</v>
      </c>
      <c r="C1850" t="s">
        <v>969</v>
      </c>
      <c r="D1850" t="s">
        <v>1021</v>
      </c>
      <c r="E1850" t="s">
        <v>931</v>
      </c>
      <c r="F1850" t="s">
        <v>932</v>
      </c>
      <c r="G1850" t="s">
        <v>963</v>
      </c>
      <c r="H1850">
        <v>46</v>
      </c>
      <c r="I1850">
        <v>0.366087</v>
      </c>
      <c r="J1850">
        <v>0.72119599999999995</v>
      </c>
      <c r="K1850">
        <v>0.35510900000000001</v>
      </c>
      <c r="L1850">
        <v>42</v>
      </c>
      <c r="M1850">
        <v>2</v>
      </c>
      <c r="N1850">
        <v>2</v>
      </c>
      <c r="O1850">
        <v>0.74219800000000002</v>
      </c>
      <c r="P1850">
        <v>0.31340200000000001</v>
      </c>
      <c r="Q1850">
        <v>0.22148399999999999</v>
      </c>
    </row>
    <row r="1851" spans="1:17" x14ac:dyDescent="0.25">
      <c r="A1851" t="str">
        <f>IF(C1851&amp;G1851&amp;D1851&lt;&gt;'Funnel setup'!$K$3&amp;'Funnel setup'!$K$4&amp;'Funnel setup'!$K$6,".",IF(A1850=".",1,A1850+1))</f>
        <v>.</v>
      </c>
      <c r="B1851" s="244" t="str">
        <f t="shared" si="28"/>
        <v>Knee Replacement PrimarySub-ICB of GP PracticeNHS STAFFORDSHIRE AND STOKE-ON-TRENT ICB - 05Q (05Q)EQ-5D Index</v>
      </c>
      <c r="C1851" t="s">
        <v>969</v>
      </c>
      <c r="D1851" t="s">
        <v>1021</v>
      </c>
      <c r="E1851" t="s">
        <v>933</v>
      </c>
      <c r="F1851" t="s">
        <v>934</v>
      </c>
      <c r="G1851" t="s">
        <v>963</v>
      </c>
      <c r="H1851">
        <v>80</v>
      </c>
      <c r="I1851">
        <v>0.42535000000000001</v>
      </c>
      <c r="J1851">
        <v>0.72053699999999998</v>
      </c>
      <c r="K1851">
        <v>0.29518800000000001</v>
      </c>
      <c r="L1851">
        <v>61</v>
      </c>
      <c r="M1851">
        <v>12</v>
      </c>
      <c r="N1851">
        <v>7</v>
      </c>
      <c r="O1851">
        <v>0.71464399999999995</v>
      </c>
      <c r="P1851">
        <v>0.28584799999999999</v>
      </c>
      <c r="Q1851">
        <v>0.217365</v>
      </c>
    </row>
    <row r="1852" spans="1:17" x14ac:dyDescent="0.25">
      <c r="A1852" t="str">
        <f>IF(C1852&amp;G1852&amp;D1852&lt;&gt;'Funnel setup'!$K$3&amp;'Funnel setup'!$K$4&amp;'Funnel setup'!$K$6,".",IF(A1851=".",1,A1851+1))</f>
        <v>.</v>
      </c>
      <c r="B1852" s="244" t="str">
        <f t="shared" si="28"/>
        <v>Knee Replacement PrimarySub-ICB of GP PracticeNHS STAFFORDSHIRE AND STOKE-ON-TRENT ICB - 05V (05V)EQ-5D Index</v>
      </c>
      <c r="C1852" t="s">
        <v>969</v>
      </c>
      <c r="D1852" t="s">
        <v>1021</v>
      </c>
      <c r="E1852" t="s">
        <v>935</v>
      </c>
      <c r="F1852" t="s">
        <v>936</v>
      </c>
      <c r="G1852" t="s">
        <v>963</v>
      </c>
      <c r="H1852">
        <v>32</v>
      </c>
      <c r="I1852">
        <v>0.55478099999999997</v>
      </c>
      <c r="J1852">
        <v>0.81596900000000006</v>
      </c>
      <c r="K1852">
        <v>0.26118799999999998</v>
      </c>
      <c r="L1852">
        <v>28</v>
      </c>
      <c r="M1852">
        <v>2</v>
      </c>
      <c r="N1852">
        <v>2</v>
      </c>
      <c r="O1852">
        <v>0.76254</v>
      </c>
      <c r="P1852">
        <v>0.33374399999999999</v>
      </c>
      <c r="Q1852">
        <v>0.20256199999999999</v>
      </c>
    </row>
    <row r="1853" spans="1:17" x14ac:dyDescent="0.25">
      <c r="A1853" t="str">
        <f>IF(C1853&amp;G1853&amp;D1853&lt;&gt;'Funnel setup'!$K$3&amp;'Funnel setup'!$K$4&amp;'Funnel setup'!$K$6,".",IF(A1852=".",1,A1852+1))</f>
        <v>.</v>
      </c>
      <c r="B1853" s="244" t="str">
        <f t="shared" si="28"/>
        <v>Knee Replacement PrimarySub-ICB of GP PracticeNHS STAFFORDSHIRE AND STOKE-ON-TRENT ICB - 05W (05W)EQ-5D Index</v>
      </c>
      <c r="C1853" t="s">
        <v>969</v>
      </c>
      <c r="D1853" t="s">
        <v>1021</v>
      </c>
      <c r="E1853" t="s">
        <v>937</v>
      </c>
      <c r="F1853" t="s">
        <v>938</v>
      </c>
      <c r="G1853" t="s">
        <v>963</v>
      </c>
      <c r="H1853">
        <v>38</v>
      </c>
      <c r="I1853">
        <v>0.38</v>
      </c>
      <c r="J1853">
        <v>0.721553</v>
      </c>
      <c r="K1853">
        <v>0.341553</v>
      </c>
      <c r="L1853">
        <v>28</v>
      </c>
      <c r="M1853">
        <v>5</v>
      </c>
      <c r="N1853">
        <v>5</v>
      </c>
      <c r="O1853">
        <v>0.76193699999999998</v>
      </c>
      <c r="P1853">
        <v>0.33314199999999999</v>
      </c>
      <c r="Q1853">
        <v>0.23823</v>
      </c>
    </row>
    <row r="1854" spans="1:17" x14ac:dyDescent="0.25">
      <c r="A1854" t="str">
        <f>IF(C1854&amp;G1854&amp;D1854&lt;&gt;'Funnel setup'!$K$3&amp;'Funnel setup'!$K$4&amp;'Funnel setup'!$K$6,".",IF(A1853=".",1,A1853+1))</f>
        <v>.</v>
      </c>
      <c r="B1854" s="244" t="str">
        <f t="shared" si="28"/>
        <v>Knee Replacement PrimarySub-ICB of GP PracticeNHS SUFFOLK AND NORTH EAST ESSEX ICB - 06L (06L)EQ-5D Index</v>
      </c>
      <c r="C1854" t="s">
        <v>969</v>
      </c>
      <c r="D1854" t="s">
        <v>1021</v>
      </c>
      <c r="E1854" t="s">
        <v>939</v>
      </c>
      <c r="F1854" t="s">
        <v>940</v>
      </c>
      <c r="G1854" t="s">
        <v>963</v>
      </c>
      <c r="H1854">
        <v>108</v>
      </c>
      <c r="I1854">
        <v>0.41547200000000001</v>
      </c>
      <c r="J1854">
        <v>0.76966699999999999</v>
      </c>
      <c r="K1854">
        <v>0.35419400000000001</v>
      </c>
      <c r="L1854">
        <v>95</v>
      </c>
      <c r="M1854">
        <v>7</v>
      </c>
      <c r="N1854">
        <v>6</v>
      </c>
      <c r="O1854">
        <v>0.78397600000000001</v>
      </c>
      <c r="P1854">
        <v>0.35518</v>
      </c>
      <c r="Q1854">
        <v>0.20233799999999999</v>
      </c>
    </row>
    <row r="1855" spans="1:17" x14ac:dyDescent="0.25">
      <c r="A1855" t="str">
        <f>IF(C1855&amp;G1855&amp;D1855&lt;&gt;'Funnel setup'!$K$3&amp;'Funnel setup'!$K$4&amp;'Funnel setup'!$K$6,".",IF(A1854=".",1,A1854+1))</f>
        <v>.</v>
      </c>
      <c r="B1855" s="244" t="str">
        <f t="shared" si="28"/>
        <v>Knee Replacement PrimarySub-ICB of GP PracticeNHS SUFFOLK AND NORTH EAST ESSEX ICB - 06T (06T)EQ-5D Index</v>
      </c>
      <c r="C1855" t="s">
        <v>969</v>
      </c>
      <c r="D1855" t="s">
        <v>1021</v>
      </c>
      <c r="E1855" t="s">
        <v>941</v>
      </c>
      <c r="F1855" t="s">
        <v>942</v>
      </c>
      <c r="G1855" t="s">
        <v>963</v>
      </c>
      <c r="H1855">
        <v>30</v>
      </c>
      <c r="I1855">
        <v>0.38100000000000001</v>
      </c>
      <c r="J1855">
        <v>0.72206700000000001</v>
      </c>
      <c r="K1855">
        <v>0.34106700000000001</v>
      </c>
      <c r="L1855">
        <v>29</v>
      </c>
      <c r="M1855">
        <v>0</v>
      </c>
      <c r="N1855">
        <v>1</v>
      </c>
      <c r="O1855">
        <v>0.74870800000000004</v>
      </c>
      <c r="P1855">
        <v>0.31991199999999997</v>
      </c>
      <c r="Q1855">
        <v>0.169821</v>
      </c>
    </row>
    <row r="1856" spans="1:17" x14ac:dyDescent="0.25">
      <c r="A1856" t="str">
        <f>IF(C1856&amp;G1856&amp;D1856&lt;&gt;'Funnel setup'!$K$3&amp;'Funnel setup'!$K$4&amp;'Funnel setup'!$K$6,".",IF(A1855=".",1,A1855+1))</f>
        <v>.</v>
      </c>
      <c r="B1856" s="244" t="str">
        <f t="shared" si="28"/>
        <v>Knee Replacement PrimarySub-ICB of GP PracticeNHS SUFFOLK AND NORTH EAST ESSEX ICB - 07K (07K)EQ-5D Index</v>
      </c>
      <c r="C1856" t="s">
        <v>969</v>
      </c>
      <c r="D1856" t="s">
        <v>1021</v>
      </c>
      <c r="E1856" t="s">
        <v>943</v>
      </c>
      <c r="F1856" t="s">
        <v>944</v>
      </c>
      <c r="G1856" t="s">
        <v>963</v>
      </c>
      <c r="H1856">
        <v>90</v>
      </c>
      <c r="I1856">
        <v>0.3891</v>
      </c>
      <c r="J1856">
        <v>0.77459999999999996</v>
      </c>
      <c r="K1856">
        <v>0.38550000000000001</v>
      </c>
      <c r="L1856">
        <v>74</v>
      </c>
      <c r="M1856">
        <v>9</v>
      </c>
      <c r="N1856">
        <v>7</v>
      </c>
      <c r="O1856">
        <v>0.76562300000000005</v>
      </c>
      <c r="P1856">
        <v>0.33682699999999999</v>
      </c>
      <c r="Q1856">
        <v>0.22489400000000001</v>
      </c>
    </row>
    <row r="1857" spans="1:17" x14ac:dyDescent="0.25">
      <c r="A1857" t="str">
        <f>IF(C1857&amp;G1857&amp;D1857&lt;&gt;'Funnel setup'!$K$3&amp;'Funnel setup'!$K$4&amp;'Funnel setup'!$K$6,".",IF(A1856=".",1,A1856+1))</f>
        <v>.</v>
      </c>
      <c r="B1857" s="244" t="str">
        <f t="shared" si="28"/>
        <v>Knee Replacement PrimarySub-ICB of GP PracticeNHS SURREY HEARTLANDS ICB - 92A (92A)EQ-5D Index</v>
      </c>
      <c r="C1857" t="s">
        <v>969</v>
      </c>
      <c r="D1857" t="s">
        <v>1021</v>
      </c>
      <c r="E1857" t="s">
        <v>945</v>
      </c>
      <c r="F1857" t="s">
        <v>946</v>
      </c>
      <c r="G1857" t="s">
        <v>963</v>
      </c>
      <c r="H1857">
        <v>317</v>
      </c>
      <c r="I1857">
        <v>0.48863400000000001</v>
      </c>
      <c r="J1857">
        <v>0.80008199999999996</v>
      </c>
      <c r="K1857">
        <v>0.311448</v>
      </c>
      <c r="L1857">
        <v>268</v>
      </c>
      <c r="M1857">
        <v>30</v>
      </c>
      <c r="N1857">
        <v>19</v>
      </c>
      <c r="O1857">
        <v>0.76383299999999998</v>
      </c>
      <c r="P1857">
        <v>0.335038</v>
      </c>
      <c r="Q1857">
        <v>0.207788</v>
      </c>
    </row>
    <row r="1858" spans="1:17" x14ac:dyDescent="0.25">
      <c r="A1858" t="str">
        <f>IF(C1858&amp;G1858&amp;D1858&lt;&gt;'Funnel setup'!$K$3&amp;'Funnel setup'!$K$4&amp;'Funnel setup'!$K$6,".",IF(A1857=".",1,A1857+1))</f>
        <v>.</v>
      </c>
      <c r="B1858" s="244" t="str">
        <f t="shared" ref="B1858:B1921" si="29">C1858&amp;D1858&amp;F1858&amp;G1858</f>
        <v>Knee Replacement PrimarySub-ICB of GP PracticeNHS SUSSEX ICB - 09D (09D)EQ-5D Index</v>
      </c>
      <c r="C1858" t="s">
        <v>969</v>
      </c>
      <c r="D1858" t="s">
        <v>1021</v>
      </c>
      <c r="E1858" t="s">
        <v>947</v>
      </c>
      <c r="F1858" t="s">
        <v>948</v>
      </c>
      <c r="G1858" t="s">
        <v>963</v>
      </c>
      <c r="H1858">
        <v>28</v>
      </c>
      <c r="I1858">
        <v>0.56214299999999995</v>
      </c>
      <c r="J1858">
        <v>0.81892900000000002</v>
      </c>
      <c r="K1858">
        <v>0.25678600000000001</v>
      </c>
      <c r="L1858">
        <v>22</v>
      </c>
      <c r="M1858">
        <v>4</v>
      </c>
      <c r="N1858">
        <v>2</v>
      </c>
      <c r="O1858" t="s">
        <v>127</v>
      </c>
      <c r="P1858" t="s">
        <v>127</v>
      </c>
      <c r="Q1858" t="s">
        <v>127</v>
      </c>
    </row>
    <row r="1859" spans="1:17" x14ac:dyDescent="0.25">
      <c r="A1859" t="str">
        <f>IF(C1859&amp;G1859&amp;D1859&lt;&gt;'Funnel setup'!$K$3&amp;'Funnel setup'!$K$4&amp;'Funnel setup'!$K$6,".",IF(A1858=".",1,A1858+1))</f>
        <v>.</v>
      </c>
      <c r="B1859" s="244" t="str">
        <f t="shared" si="29"/>
        <v>Knee Replacement PrimarySub-ICB of GP PracticeNHS SUSSEX ICB - 70F (70F)EQ-5D Index</v>
      </c>
      <c r="C1859" t="s">
        <v>969</v>
      </c>
      <c r="D1859" t="s">
        <v>1021</v>
      </c>
      <c r="E1859" t="s">
        <v>949</v>
      </c>
      <c r="F1859" t="s">
        <v>950</v>
      </c>
      <c r="G1859" t="s">
        <v>963</v>
      </c>
      <c r="H1859">
        <v>219</v>
      </c>
      <c r="I1859">
        <v>0.41717799999999999</v>
      </c>
      <c r="J1859">
        <v>0.75101799999999996</v>
      </c>
      <c r="K1859">
        <v>0.33384000000000003</v>
      </c>
      <c r="L1859">
        <v>181</v>
      </c>
      <c r="M1859">
        <v>21</v>
      </c>
      <c r="N1859">
        <v>17</v>
      </c>
      <c r="O1859">
        <v>0.74357600000000001</v>
      </c>
      <c r="P1859">
        <v>0.31478</v>
      </c>
      <c r="Q1859">
        <v>0.22711899999999999</v>
      </c>
    </row>
    <row r="1860" spans="1:17" x14ac:dyDescent="0.25">
      <c r="A1860" t="str">
        <f>IF(C1860&amp;G1860&amp;D1860&lt;&gt;'Funnel setup'!$K$3&amp;'Funnel setup'!$K$4&amp;'Funnel setup'!$K$6,".",IF(A1859=".",1,A1859+1))</f>
        <v>.</v>
      </c>
      <c r="B1860" s="244" t="str">
        <f t="shared" si="29"/>
        <v>Knee Replacement PrimarySub-ICB of GP PracticeNHS SUSSEX ICB - 97R (97R)EQ-5D Index</v>
      </c>
      <c r="C1860" t="s">
        <v>969</v>
      </c>
      <c r="D1860" t="s">
        <v>1021</v>
      </c>
      <c r="E1860" t="s">
        <v>951</v>
      </c>
      <c r="F1860" t="s">
        <v>952</v>
      </c>
      <c r="G1860" t="s">
        <v>963</v>
      </c>
      <c r="H1860">
        <v>285</v>
      </c>
      <c r="I1860">
        <v>0.505081</v>
      </c>
      <c r="J1860">
        <v>0.79210499999999995</v>
      </c>
      <c r="K1860">
        <v>0.28702499999999997</v>
      </c>
      <c r="L1860">
        <v>227</v>
      </c>
      <c r="M1860">
        <v>34</v>
      </c>
      <c r="N1860">
        <v>24</v>
      </c>
      <c r="O1860">
        <v>0.768513</v>
      </c>
      <c r="P1860">
        <v>0.33971800000000002</v>
      </c>
      <c r="Q1860">
        <v>0.21584</v>
      </c>
    </row>
    <row r="1861" spans="1:17" x14ac:dyDescent="0.25">
      <c r="A1861" t="str">
        <f>IF(C1861&amp;G1861&amp;D1861&lt;&gt;'Funnel setup'!$K$3&amp;'Funnel setup'!$K$4&amp;'Funnel setup'!$K$6,".",IF(A1860=".",1,A1860+1))</f>
        <v>.</v>
      </c>
      <c r="B1861" s="244" t="str">
        <f t="shared" si="29"/>
        <v>Knee Replacement PrimarySub-ICB of GP PracticeNHS WEST YORKSHIRE ICB - 02T (02T)EQ-5D Index</v>
      </c>
      <c r="C1861" t="s">
        <v>969</v>
      </c>
      <c r="D1861" t="s">
        <v>1021</v>
      </c>
      <c r="E1861" t="s">
        <v>953</v>
      </c>
      <c r="F1861" t="s">
        <v>954</v>
      </c>
      <c r="G1861" t="s">
        <v>963</v>
      </c>
      <c r="H1861">
        <v>41</v>
      </c>
      <c r="I1861">
        <v>0.50141500000000006</v>
      </c>
      <c r="J1861">
        <v>0.76165899999999997</v>
      </c>
      <c r="K1861">
        <v>0.26024399999999998</v>
      </c>
      <c r="L1861">
        <v>31</v>
      </c>
      <c r="M1861">
        <v>5</v>
      </c>
      <c r="N1861">
        <v>5</v>
      </c>
      <c r="O1861">
        <v>0.73770599999999997</v>
      </c>
      <c r="P1861">
        <v>0.30891000000000002</v>
      </c>
      <c r="Q1861">
        <v>0.22275200000000001</v>
      </c>
    </row>
    <row r="1862" spans="1:17" x14ac:dyDescent="0.25">
      <c r="A1862" t="str">
        <f>IF(C1862&amp;G1862&amp;D1862&lt;&gt;'Funnel setup'!$K$3&amp;'Funnel setup'!$K$4&amp;'Funnel setup'!$K$6,".",IF(A1861=".",1,A1861+1))</f>
        <v>.</v>
      </c>
      <c r="B1862" s="244" t="str">
        <f t="shared" si="29"/>
        <v>Knee Replacement PrimarySub-ICB of GP PracticeNHS WEST YORKSHIRE ICB - 03R (03R)EQ-5D Index</v>
      </c>
      <c r="C1862" t="s">
        <v>969</v>
      </c>
      <c r="D1862" t="s">
        <v>1021</v>
      </c>
      <c r="E1862" t="s">
        <v>955</v>
      </c>
      <c r="F1862" t="s">
        <v>956</v>
      </c>
      <c r="G1862" t="s">
        <v>963</v>
      </c>
      <c r="H1862">
        <v>169</v>
      </c>
      <c r="I1862">
        <v>0.38465700000000003</v>
      </c>
      <c r="J1862">
        <v>0.71745000000000003</v>
      </c>
      <c r="K1862">
        <v>0.33279300000000001</v>
      </c>
      <c r="L1862">
        <v>135</v>
      </c>
      <c r="M1862">
        <v>15</v>
      </c>
      <c r="N1862">
        <v>19</v>
      </c>
      <c r="O1862">
        <v>0.72783200000000003</v>
      </c>
      <c r="P1862">
        <v>0.29903600000000002</v>
      </c>
      <c r="Q1862">
        <v>0.25764300000000001</v>
      </c>
    </row>
    <row r="1863" spans="1:17" x14ac:dyDescent="0.25">
      <c r="A1863" t="str">
        <f>IF(C1863&amp;G1863&amp;D1863&lt;&gt;'Funnel setup'!$K$3&amp;'Funnel setup'!$K$4&amp;'Funnel setup'!$K$6,".",IF(A1862=".",1,A1862+1))</f>
        <v>.</v>
      </c>
      <c r="B1863" s="244" t="str">
        <f t="shared" si="29"/>
        <v>Knee Replacement PrimarySub-ICB of GP PracticeNHS WEST YORKSHIRE ICB - 15F (15F)EQ-5D Index</v>
      </c>
      <c r="C1863" t="s">
        <v>969</v>
      </c>
      <c r="D1863" t="s">
        <v>1021</v>
      </c>
      <c r="E1863" t="s">
        <v>957</v>
      </c>
      <c r="F1863" t="s">
        <v>958</v>
      </c>
      <c r="G1863" t="s">
        <v>963</v>
      </c>
      <c r="H1863">
        <v>246</v>
      </c>
      <c r="I1863">
        <v>0.450992</v>
      </c>
      <c r="J1863">
        <v>0.75494300000000003</v>
      </c>
      <c r="K1863">
        <v>0.30395100000000003</v>
      </c>
      <c r="L1863">
        <v>200</v>
      </c>
      <c r="M1863">
        <v>25</v>
      </c>
      <c r="N1863">
        <v>21</v>
      </c>
      <c r="O1863">
        <v>0.749641</v>
      </c>
      <c r="P1863">
        <v>0.32084499999999999</v>
      </c>
      <c r="Q1863">
        <v>0.20449600000000001</v>
      </c>
    </row>
    <row r="1864" spans="1:17" x14ac:dyDescent="0.25">
      <c r="A1864" t="str">
        <f>IF(C1864&amp;G1864&amp;D1864&lt;&gt;'Funnel setup'!$K$3&amp;'Funnel setup'!$K$4&amp;'Funnel setup'!$K$6,".",IF(A1863=".",1,A1863+1))</f>
        <v>.</v>
      </c>
      <c r="B1864" s="244" t="str">
        <f t="shared" si="29"/>
        <v>Knee Replacement PrimarySub-ICB of GP PracticeNHS WEST YORKSHIRE ICB - 36J (36J)EQ-5D Index</v>
      </c>
      <c r="C1864" t="s">
        <v>969</v>
      </c>
      <c r="D1864" t="s">
        <v>1021</v>
      </c>
      <c r="E1864" t="s">
        <v>959</v>
      </c>
      <c r="F1864" t="s">
        <v>960</v>
      </c>
      <c r="G1864" t="s">
        <v>963</v>
      </c>
      <c r="H1864">
        <v>65</v>
      </c>
      <c r="I1864">
        <v>0.42118499999999998</v>
      </c>
      <c r="J1864">
        <v>0.73650800000000005</v>
      </c>
      <c r="K1864">
        <v>0.31532300000000002</v>
      </c>
      <c r="L1864">
        <v>58</v>
      </c>
      <c r="M1864">
        <v>2</v>
      </c>
      <c r="N1864">
        <v>5</v>
      </c>
      <c r="O1864">
        <v>0.76507999999999998</v>
      </c>
      <c r="P1864">
        <v>0.33628400000000003</v>
      </c>
      <c r="Q1864">
        <v>0.24288699999999999</v>
      </c>
    </row>
    <row r="1865" spans="1:17" x14ac:dyDescent="0.25">
      <c r="A1865" t="str">
        <f>IF(C1865&amp;G1865&amp;D1865&lt;&gt;'Funnel setup'!$K$3&amp;'Funnel setup'!$K$4&amp;'Funnel setup'!$K$6,".",IF(A1864=".",1,A1864+1))</f>
        <v>.</v>
      </c>
      <c r="B1865" s="244" t="str">
        <f t="shared" si="29"/>
        <v>Knee Replacement PrimarySub-ICB of GP PracticeNHS WEST YORKSHIRE ICB - X2C4Y (X2C4Y)EQ-5D Index</v>
      </c>
      <c r="C1865" t="s">
        <v>969</v>
      </c>
      <c r="D1865" t="s">
        <v>1021</v>
      </c>
      <c r="E1865" t="s">
        <v>961</v>
      </c>
      <c r="F1865" t="s">
        <v>962</v>
      </c>
      <c r="G1865" t="s">
        <v>963</v>
      </c>
      <c r="H1865">
        <v>95</v>
      </c>
      <c r="I1865">
        <v>0.412242</v>
      </c>
      <c r="J1865">
        <v>0.76135799999999998</v>
      </c>
      <c r="K1865">
        <v>0.34911599999999998</v>
      </c>
      <c r="L1865">
        <v>78</v>
      </c>
      <c r="M1865">
        <v>12</v>
      </c>
      <c r="N1865">
        <v>5</v>
      </c>
      <c r="O1865">
        <v>0.75375999999999999</v>
      </c>
      <c r="P1865">
        <v>0.32496399999999998</v>
      </c>
      <c r="Q1865">
        <v>0.200317</v>
      </c>
    </row>
    <row r="1866" spans="1:17" x14ac:dyDescent="0.25">
      <c r="A1866" t="str">
        <f>IF(C1866&amp;G1866&amp;D1866&lt;&gt;'Funnel setup'!$K$3&amp;'Funnel setup'!$K$4&amp;'Funnel setup'!$K$6,".",IF(A1865=".",1,A1865+1))</f>
        <v>.</v>
      </c>
      <c r="B1866" s="244" t="str">
        <f t="shared" si="29"/>
        <v>Knee Replacement PrimarySub-ICB of GP PracticeNATIONAL COMMISSIONING HUB 1 (13Q)Oxford Knee Score</v>
      </c>
      <c r="C1866" t="s">
        <v>969</v>
      </c>
      <c r="D1866" t="s">
        <v>1021</v>
      </c>
      <c r="E1866" t="s">
        <v>970</v>
      </c>
      <c r="F1866" t="s">
        <v>971</v>
      </c>
      <c r="G1866" t="s">
        <v>972</v>
      </c>
      <c r="H1866">
        <v>1</v>
      </c>
      <c r="I1866">
        <v>34</v>
      </c>
      <c r="J1866">
        <v>44</v>
      </c>
      <c r="K1866">
        <v>10</v>
      </c>
      <c r="L1866">
        <v>1</v>
      </c>
      <c r="M1866">
        <v>0</v>
      </c>
      <c r="N1866">
        <v>0</v>
      </c>
      <c r="O1866" t="s">
        <v>127</v>
      </c>
      <c r="P1866" t="s">
        <v>127</v>
      </c>
      <c r="Q1866" t="s">
        <v>127</v>
      </c>
    </row>
    <row r="1867" spans="1:17" x14ac:dyDescent="0.25">
      <c r="A1867" t="str">
        <f>IF(C1867&amp;G1867&amp;D1867&lt;&gt;'Funnel setup'!$K$3&amp;'Funnel setup'!$K$4&amp;'Funnel setup'!$K$6,".",IF(A1866=".",1,A1866+1))</f>
        <v>.</v>
      </c>
      <c r="B1867" s="244" t="str">
        <f t="shared" si="29"/>
        <v>Knee Replacement PrimarySub-ICB of GP PracticeNHS BATH AND NORTH EAST SOMERSET, SWINDON AND WILTSHIRE ICB - 92G (92G)Oxford Knee Score</v>
      </c>
      <c r="C1867" t="s">
        <v>969</v>
      </c>
      <c r="D1867" t="s">
        <v>1021</v>
      </c>
      <c r="E1867" t="s">
        <v>750</v>
      </c>
      <c r="F1867" t="s">
        <v>751</v>
      </c>
      <c r="G1867" t="s">
        <v>972</v>
      </c>
      <c r="H1867">
        <v>270</v>
      </c>
      <c r="I1867">
        <v>19.725899999999999</v>
      </c>
      <c r="J1867">
        <v>39.170400000000001</v>
      </c>
      <c r="K1867">
        <v>19.444400000000002</v>
      </c>
      <c r="L1867">
        <v>261</v>
      </c>
      <c r="M1867">
        <v>1</v>
      </c>
      <c r="N1867">
        <v>8</v>
      </c>
      <c r="O1867">
        <v>38.204999999999998</v>
      </c>
      <c r="P1867">
        <v>18.816700000000001</v>
      </c>
      <c r="Q1867">
        <v>8.0185899999999997</v>
      </c>
    </row>
    <row r="1868" spans="1:17" x14ac:dyDescent="0.25">
      <c r="A1868" t="str">
        <f>IF(C1868&amp;G1868&amp;D1868&lt;&gt;'Funnel setup'!$K$3&amp;'Funnel setup'!$K$4&amp;'Funnel setup'!$K$6,".",IF(A1867=".",1,A1867+1))</f>
        <v>.</v>
      </c>
      <c r="B1868" s="244" t="str">
        <f t="shared" si="29"/>
        <v>Knee Replacement PrimarySub-ICB of GP PracticeNHS BEDFORDSHIRE, LUTON AND MILTON KEYNES ICB - M1J4Y (M1J4Y)Oxford Knee Score</v>
      </c>
      <c r="C1868" t="s">
        <v>969</v>
      </c>
      <c r="D1868" t="s">
        <v>1021</v>
      </c>
      <c r="E1868" t="s">
        <v>753</v>
      </c>
      <c r="F1868" t="s">
        <v>754</v>
      </c>
      <c r="G1868" t="s">
        <v>972</v>
      </c>
      <c r="H1868">
        <v>244</v>
      </c>
      <c r="I1868">
        <v>17.139299999999999</v>
      </c>
      <c r="J1868">
        <v>34.762300000000003</v>
      </c>
      <c r="K1868">
        <v>17.623000000000001</v>
      </c>
      <c r="L1868">
        <v>220</v>
      </c>
      <c r="M1868">
        <v>5</v>
      </c>
      <c r="N1868">
        <v>19</v>
      </c>
      <c r="O1868">
        <v>35.845199999999998</v>
      </c>
      <c r="P1868">
        <v>16.456900000000001</v>
      </c>
      <c r="Q1868">
        <v>9.7638300000000005</v>
      </c>
    </row>
    <row r="1869" spans="1:17" x14ac:dyDescent="0.25">
      <c r="A1869" t="str">
        <f>IF(C1869&amp;G1869&amp;D1869&lt;&gt;'Funnel setup'!$K$3&amp;'Funnel setup'!$K$4&amp;'Funnel setup'!$K$6,".",IF(A1868=".",1,A1868+1))</f>
        <v>.</v>
      </c>
      <c r="B1869" s="244" t="str">
        <f t="shared" si="29"/>
        <v>Knee Replacement PrimarySub-ICB of GP PracticeNHS BIRMINGHAM AND SOLIHULL ICB - 15E (15E)Oxford Knee Score</v>
      </c>
      <c r="C1869" t="s">
        <v>969</v>
      </c>
      <c r="D1869" t="s">
        <v>1021</v>
      </c>
      <c r="E1869" t="s">
        <v>755</v>
      </c>
      <c r="F1869" t="s">
        <v>756</v>
      </c>
      <c r="G1869" t="s">
        <v>972</v>
      </c>
      <c r="H1869">
        <v>342</v>
      </c>
      <c r="I1869">
        <v>18.1784</v>
      </c>
      <c r="J1869">
        <v>34.307000000000002</v>
      </c>
      <c r="K1869">
        <v>16.128699999999998</v>
      </c>
      <c r="L1869">
        <v>321</v>
      </c>
      <c r="M1869">
        <v>3</v>
      </c>
      <c r="N1869">
        <v>18</v>
      </c>
      <c r="O1869">
        <v>35.288400000000003</v>
      </c>
      <c r="P1869">
        <v>15.9001</v>
      </c>
      <c r="Q1869">
        <v>8.9136900000000008</v>
      </c>
    </row>
    <row r="1870" spans="1:17" x14ac:dyDescent="0.25">
      <c r="A1870" t="str">
        <f>IF(C1870&amp;G1870&amp;D1870&lt;&gt;'Funnel setup'!$K$3&amp;'Funnel setup'!$K$4&amp;'Funnel setup'!$K$6,".",IF(A1869=".",1,A1869+1))</f>
        <v>.</v>
      </c>
      <c r="B1870" s="244" t="str">
        <f t="shared" si="29"/>
        <v>Knee Replacement PrimarySub-ICB of GP PracticeNHS BLACK COUNTRY ICB - D2P2L (D2P2L)Oxford Knee Score</v>
      </c>
      <c r="C1870" t="s">
        <v>969</v>
      </c>
      <c r="D1870" t="s">
        <v>1021</v>
      </c>
      <c r="E1870" t="s">
        <v>757</v>
      </c>
      <c r="F1870" t="s">
        <v>758</v>
      </c>
      <c r="G1870" t="s">
        <v>972</v>
      </c>
      <c r="H1870">
        <v>208</v>
      </c>
      <c r="I1870">
        <v>17.072099999999999</v>
      </c>
      <c r="J1870">
        <v>35.317300000000003</v>
      </c>
      <c r="K1870">
        <v>18.245200000000001</v>
      </c>
      <c r="L1870">
        <v>199</v>
      </c>
      <c r="M1870">
        <v>2</v>
      </c>
      <c r="N1870">
        <v>7</v>
      </c>
      <c r="O1870">
        <v>37.323999999999998</v>
      </c>
      <c r="P1870">
        <v>17.935700000000001</v>
      </c>
      <c r="Q1870">
        <v>8.6018600000000003</v>
      </c>
    </row>
    <row r="1871" spans="1:17" x14ac:dyDescent="0.25">
      <c r="A1871" t="str">
        <f>IF(C1871&amp;G1871&amp;D1871&lt;&gt;'Funnel setup'!$K$3&amp;'Funnel setup'!$K$4&amp;'Funnel setup'!$K$6,".",IF(A1870=".",1,A1870+1))</f>
        <v>.</v>
      </c>
      <c r="B1871" s="244" t="str">
        <f t="shared" si="29"/>
        <v>Knee Replacement PrimarySub-ICB of GP PracticeNHS BRISTOL, NORTH SOMERSET AND SOUTH GLOUCESTERSHIRE ICB - 15C (15C)Oxford Knee Score</v>
      </c>
      <c r="C1871" t="s">
        <v>969</v>
      </c>
      <c r="D1871" t="s">
        <v>1021</v>
      </c>
      <c r="E1871" t="s">
        <v>759</v>
      </c>
      <c r="F1871" t="s">
        <v>760</v>
      </c>
      <c r="G1871" t="s">
        <v>972</v>
      </c>
      <c r="H1871">
        <v>220</v>
      </c>
      <c r="I1871">
        <v>19.2318</v>
      </c>
      <c r="J1871">
        <v>37.568199999999997</v>
      </c>
      <c r="K1871">
        <v>18.336400000000001</v>
      </c>
      <c r="L1871">
        <v>211</v>
      </c>
      <c r="M1871">
        <v>3</v>
      </c>
      <c r="N1871">
        <v>6</v>
      </c>
      <c r="O1871">
        <v>37.4651</v>
      </c>
      <c r="P1871">
        <v>18.076699999999999</v>
      </c>
      <c r="Q1871">
        <v>8.1425699999999992</v>
      </c>
    </row>
    <row r="1872" spans="1:17" x14ac:dyDescent="0.25">
      <c r="A1872" t="str">
        <f>IF(C1872&amp;G1872&amp;D1872&lt;&gt;'Funnel setup'!$K$3&amp;'Funnel setup'!$K$4&amp;'Funnel setup'!$K$6,".",IF(A1871=".",1,A1871+1))</f>
        <v>.</v>
      </c>
      <c r="B1872" s="244" t="str">
        <f t="shared" si="29"/>
        <v>Knee Replacement PrimarySub-ICB of GP PracticeNHS BUCKINGHAMSHIRE, OXFORDSHIRE AND BERKSHIRE WEST ICB - 10Q (10Q)Oxford Knee Score</v>
      </c>
      <c r="C1872" t="s">
        <v>969</v>
      </c>
      <c r="D1872" t="s">
        <v>1021</v>
      </c>
      <c r="E1872" t="s">
        <v>761</v>
      </c>
      <c r="F1872" t="s">
        <v>762</v>
      </c>
      <c r="G1872" t="s">
        <v>972</v>
      </c>
      <c r="H1872">
        <v>287</v>
      </c>
      <c r="I1872">
        <v>20.874600000000001</v>
      </c>
      <c r="J1872">
        <v>38.229999999999997</v>
      </c>
      <c r="K1872">
        <v>17.355399999999999</v>
      </c>
      <c r="L1872">
        <v>275</v>
      </c>
      <c r="M1872">
        <v>1</v>
      </c>
      <c r="N1872">
        <v>11</v>
      </c>
      <c r="O1872">
        <v>37.048000000000002</v>
      </c>
      <c r="P1872">
        <v>17.659700000000001</v>
      </c>
      <c r="Q1872">
        <v>7.9841199999999999</v>
      </c>
    </row>
    <row r="1873" spans="1:17" x14ac:dyDescent="0.25">
      <c r="A1873" t="str">
        <f>IF(C1873&amp;G1873&amp;D1873&lt;&gt;'Funnel setup'!$K$3&amp;'Funnel setup'!$K$4&amp;'Funnel setup'!$K$6,".",IF(A1872=".",1,A1872+1))</f>
        <v>.</v>
      </c>
      <c r="B1873" s="244" t="str">
        <f t="shared" si="29"/>
        <v>Knee Replacement PrimarySub-ICB of GP PracticeNHS BUCKINGHAMSHIRE, OXFORDSHIRE AND BERKSHIRE WEST ICB - 14Y (14Y)Oxford Knee Score</v>
      </c>
      <c r="C1873" t="s">
        <v>969</v>
      </c>
      <c r="D1873" t="s">
        <v>1021</v>
      </c>
      <c r="E1873" t="s">
        <v>763</v>
      </c>
      <c r="F1873" t="s">
        <v>764</v>
      </c>
      <c r="G1873" t="s">
        <v>972</v>
      </c>
      <c r="H1873">
        <v>225</v>
      </c>
      <c r="I1873">
        <v>22.008900000000001</v>
      </c>
      <c r="J1873">
        <v>38.880000000000003</v>
      </c>
      <c r="K1873">
        <v>16.871099999999998</v>
      </c>
      <c r="L1873">
        <v>214</v>
      </c>
      <c r="M1873">
        <v>3</v>
      </c>
      <c r="N1873">
        <v>8</v>
      </c>
      <c r="O1873">
        <v>36.993000000000002</v>
      </c>
      <c r="P1873">
        <v>17.604700000000001</v>
      </c>
      <c r="Q1873">
        <v>7.43912</v>
      </c>
    </row>
    <row r="1874" spans="1:17" x14ac:dyDescent="0.25">
      <c r="A1874" t="str">
        <f>IF(C1874&amp;G1874&amp;D1874&lt;&gt;'Funnel setup'!$K$3&amp;'Funnel setup'!$K$4&amp;'Funnel setup'!$K$6,".",IF(A1873=".",1,A1873+1))</f>
        <v>.</v>
      </c>
      <c r="B1874" s="244" t="str">
        <f t="shared" si="29"/>
        <v>Knee Replacement PrimarySub-ICB of GP PracticeNHS BUCKINGHAMSHIRE, OXFORDSHIRE AND BERKSHIRE WEST ICB - 15A (15A)Oxford Knee Score</v>
      </c>
      <c r="C1874" t="s">
        <v>969</v>
      </c>
      <c r="D1874" t="s">
        <v>1021</v>
      </c>
      <c r="E1874" t="s">
        <v>765</v>
      </c>
      <c r="F1874" t="s">
        <v>766</v>
      </c>
      <c r="G1874" t="s">
        <v>972</v>
      </c>
      <c r="H1874">
        <v>71</v>
      </c>
      <c r="I1874">
        <v>21.098600000000001</v>
      </c>
      <c r="J1874">
        <v>36.957700000000003</v>
      </c>
      <c r="K1874">
        <v>15.8592</v>
      </c>
      <c r="L1874">
        <v>66</v>
      </c>
      <c r="M1874">
        <v>1</v>
      </c>
      <c r="N1874">
        <v>4</v>
      </c>
      <c r="O1874">
        <v>35.298200000000001</v>
      </c>
      <c r="P1874">
        <v>15.9099</v>
      </c>
      <c r="Q1874">
        <v>8.49282</v>
      </c>
    </row>
    <row r="1875" spans="1:17" x14ac:dyDescent="0.25">
      <c r="A1875" t="str">
        <f>IF(C1875&amp;G1875&amp;D1875&lt;&gt;'Funnel setup'!$K$3&amp;'Funnel setup'!$K$4&amp;'Funnel setup'!$K$6,".",IF(A1874=".",1,A1874+1))</f>
        <v>.</v>
      </c>
      <c r="B1875" s="244" t="str">
        <f t="shared" si="29"/>
        <v>Knee Replacement PrimarySub-ICB of GP PracticeNHS CAMBRIDGESHIRE AND PETERBOROUGH ICB - 06H (06H)Oxford Knee Score</v>
      </c>
      <c r="C1875" t="s">
        <v>969</v>
      </c>
      <c r="D1875" t="s">
        <v>1021</v>
      </c>
      <c r="E1875" t="s">
        <v>767</v>
      </c>
      <c r="F1875" t="s">
        <v>768</v>
      </c>
      <c r="G1875" t="s">
        <v>972</v>
      </c>
      <c r="H1875">
        <v>204</v>
      </c>
      <c r="I1875">
        <v>17.847999999999999</v>
      </c>
      <c r="J1875">
        <v>35.710799999999999</v>
      </c>
      <c r="K1875">
        <v>17.8627</v>
      </c>
      <c r="L1875">
        <v>196</v>
      </c>
      <c r="M1875">
        <v>0</v>
      </c>
      <c r="N1875">
        <v>8</v>
      </c>
      <c r="O1875">
        <v>36.123600000000003</v>
      </c>
      <c r="P1875">
        <v>16.735199999999999</v>
      </c>
      <c r="Q1875">
        <v>8.7018599999999999</v>
      </c>
    </row>
    <row r="1876" spans="1:17" x14ac:dyDescent="0.25">
      <c r="A1876" t="str">
        <f>IF(C1876&amp;G1876&amp;D1876&lt;&gt;'Funnel setup'!$K$3&amp;'Funnel setup'!$K$4&amp;'Funnel setup'!$K$6,".",IF(A1875=".",1,A1875+1))</f>
        <v>.</v>
      </c>
      <c r="B1876" s="244" t="str">
        <f t="shared" si="29"/>
        <v>Knee Replacement PrimarySub-ICB of GP PracticeNHS CHESHIRE AND MERSEYSIDE ICB - 01F (01F)Oxford Knee Score</v>
      </c>
      <c r="C1876" t="s">
        <v>969</v>
      </c>
      <c r="D1876" t="s">
        <v>1021</v>
      </c>
      <c r="E1876" t="s">
        <v>769</v>
      </c>
      <c r="F1876" t="s">
        <v>770</v>
      </c>
      <c r="G1876" t="s">
        <v>972</v>
      </c>
      <c r="H1876">
        <v>33</v>
      </c>
      <c r="I1876">
        <v>18.121200000000002</v>
      </c>
      <c r="J1876">
        <v>34.939399999999999</v>
      </c>
      <c r="K1876">
        <v>16.818200000000001</v>
      </c>
      <c r="L1876">
        <v>31</v>
      </c>
      <c r="M1876">
        <v>0</v>
      </c>
      <c r="N1876">
        <v>2</v>
      </c>
      <c r="O1876">
        <v>35.861800000000002</v>
      </c>
      <c r="P1876">
        <v>16.473500000000001</v>
      </c>
      <c r="Q1876">
        <v>10.347099999999999</v>
      </c>
    </row>
    <row r="1877" spans="1:17" x14ac:dyDescent="0.25">
      <c r="A1877" t="str">
        <f>IF(C1877&amp;G1877&amp;D1877&lt;&gt;'Funnel setup'!$K$3&amp;'Funnel setup'!$K$4&amp;'Funnel setup'!$K$6,".",IF(A1876=".",1,A1876+1))</f>
        <v>.</v>
      </c>
      <c r="B1877" s="244" t="str">
        <f t="shared" si="29"/>
        <v>Knee Replacement PrimarySub-ICB of GP PracticeNHS CHESHIRE AND MERSEYSIDE ICB - 01J (01J)Oxford Knee Score</v>
      </c>
      <c r="C1877" t="s">
        <v>969</v>
      </c>
      <c r="D1877" t="s">
        <v>1021</v>
      </c>
      <c r="E1877" t="s">
        <v>771</v>
      </c>
      <c r="F1877" t="s">
        <v>772</v>
      </c>
      <c r="G1877" t="s">
        <v>972</v>
      </c>
      <c r="H1877">
        <v>32</v>
      </c>
      <c r="I1877">
        <v>15.75</v>
      </c>
      <c r="J1877">
        <v>31.875</v>
      </c>
      <c r="K1877">
        <v>16.125</v>
      </c>
      <c r="L1877">
        <v>29</v>
      </c>
      <c r="M1877">
        <v>0</v>
      </c>
      <c r="N1877">
        <v>3</v>
      </c>
      <c r="O1877">
        <v>35.372700000000002</v>
      </c>
      <c r="P1877">
        <v>15.984299999999999</v>
      </c>
      <c r="Q1877">
        <v>9.1106300000000005</v>
      </c>
    </row>
    <row r="1878" spans="1:17" x14ac:dyDescent="0.25">
      <c r="A1878" t="str">
        <f>IF(C1878&amp;G1878&amp;D1878&lt;&gt;'Funnel setup'!$K$3&amp;'Funnel setup'!$K$4&amp;'Funnel setup'!$K$6,".",IF(A1877=".",1,A1877+1))</f>
        <v>.</v>
      </c>
      <c r="B1878" s="244" t="str">
        <f t="shared" si="29"/>
        <v>Knee Replacement PrimarySub-ICB of GP PracticeNHS CHESHIRE AND MERSEYSIDE ICB - 01T (01T)Oxford Knee Score</v>
      </c>
      <c r="C1878" t="s">
        <v>969</v>
      </c>
      <c r="D1878" t="s">
        <v>1021</v>
      </c>
      <c r="E1878" t="s">
        <v>773</v>
      </c>
      <c r="F1878" t="s">
        <v>774</v>
      </c>
      <c r="G1878" t="s">
        <v>972</v>
      </c>
      <c r="H1878">
        <v>48</v>
      </c>
      <c r="I1878">
        <v>19.3125</v>
      </c>
      <c r="J1878">
        <v>37.625</v>
      </c>
      <c r="K1878">
        <v>18.3125</v>
      </c>
      <c r="L1878">
        <v>45</v>
      </c>
      <c r="M1878">
        <v>0</v>
      </c>
      <c r="N1878">
        <v>3</v>
      </c>
      <c r="O1878">
        <v>37.885199999999998</v>
      </c>
      <c r="P1878">
        <v>18.4969</v>
      </c>
      <c r="Q1878">
        <v>8.6663899999999998</v>
      </c>
    </row>
    <row r="1879" spans="1:17" x14ac:dyDescent="0.25">
      <c r="A1879" t="str">
        <f>IF(C1879&amp;G1879&amp;D1879&lt;&gt;'Funnel setup'!$K$3&amp;'Funnel setup'!$K$4&amp;'Funnel setup'!$K$6,".",IF(A1878=".",1,A1878+1))</f>
        <v>.</v>
      </c>
      <c r="B1879" s="244" t="str">
        <f t="shared" si="29"/>
        <v>Knee Replacement PrimarySub-ICB of GP PracticeNHS CHESHIRE AND MERSEYSIDE ICB - 01V (01V)Oxford Knee Score</v>
      </c>
      <c r="C1879" t="s">
        <v>969</v>
      </c>
      <c r="D1879" t="s">
        <v>1021</v>
      </c>
      <c r="E1879" t="s">
        <v>775</v>
      </c>
      <c r="F1879" t="s">
        <v>776</v>
      </c>
      <c r="G1879" t="s">
        <v>972</v>
      </c>
      <c r="H1879">
        <v>30</v>
      </c>
      <c r="I1879">
        <v>19.166699999999999</v>
      </c>
      <c r="J1879">
        <v>38.533299999999997</v>
      </c>
      <c r="K1879">
        <v>19.366700000000002</v>
      </c>
      <c r="L1879">
        <v>29</v>
      </c>
      <c r="M1879">
        <v>0</v>
      </c>
      <c r="N1879">
        <v>1</v>
      </c>
      <c r="O1879">
        <v>38.618600000000001</v>
      </c>
      <c r="P1879">
        <v>19.2302</v>
      </c>
      <c r="Q1879">
        <v>8.1427200000000006</v>
      </c>
    </row>
    <row r="1880" spans="1:17" x14ac:dyDescent="0.25">
      <c r="A1880" t="str">
        <f>IF(C1880&amp;G1880&amp;D1880&lt;&gt;'Funnel setup'!$K$3&amp;'Funnel setup'!$K$4&amp;'Funnel setup'!$K$6,".",IF(A1879=".",1,A1879+1))</f>
        <v>.</v>
      </c>
      <c r="B1880" s="244" t="str">
        <f t="shared" si="29"/>
        <v>Knee Replacement PrimarySub-ICB of GP PracticeNHS CHESHIRE AND MERSEYSIDE ICB - 01X (01X)Oxford Knee Score</v>
      </c>
      <c r="C1880" t="s">
        <v>969</v>
      </c>
      <c r="D1880" t="s">
        <v>1021</v>
      </c>
      <c r="E1880" t="s">
        <v>777</v>
      </c>
      <c r="F1880" t="s">
        <v>778</v>
      </c>
      <c r="G1880" t="s">
        <v>972</v>
      </c>
      <c r="H1880">
        <v>65</v>
      </c>
      <c r="I1880">
        <v>17.538499999999999</v>
      </c>
      <c r="J1880">
        <v>37.153799999999997</v>
      </c>
      <c r="K1880">
        <v>19.615400000000001</v>
      </c>
      <c r="L1880">
        <v>62</v>
      </c>
      <c r="M1880">
        <v>1</v>
      </c>
      <c r="N1880">
        <v>2</v>
      </c>
      <c r="O1880">
        <v>38.084499999999998</v>
      </c>
      <c r="P1880">
        <v>18.696200000000001</v>
      </c>
      <c r="Q1880">
        <v>8.6420999999999992</v>
      </c>
    </row>
    <row r="1881" spans="1:17" x14ac:dyDescent="0.25">
      <c r="A1881" t="str">
        <f>IF(C1881&amp;G1881&amp;D1881&lt;&gt;'Funnel setup'!$K$3&amp;'Funnel setup'!$K$4&amp;'Funnel setup'!$K$6,".",IF(A1880=".",1,A1880+1))</f>
        <v>.</v>
      </c>
      <c r="B1881" s="244" t="str">
        <f t="shared" si="29"/>
        <v>Knee Replacement PrimarySub-ICB of GP PracticeNHS CHESHIRE AND MERSEYSIDE ICB - 02E (02E)Oxford Knee Score</v>
      </c>
      <c r="C1881" t="s">
        <v>969</v>
      </c>
      <c r="D1881" t="s">
        <v>1021</v>
      </c>
      <c r="E1881" t="s">
        <v>779</v>
      </c>
      <c r="F1881" t="s">
        <v>780</v>
      </c>
      <c r="G1881" t="s">
        <v>972</v>
      </c>
      <c r="H1881">
        <v>42</v>
      </c>
      <c r="I1881">
        <v>20.428599999999999</v>
      </c>
      <c r="J1881">
        <v>38.1905</v>
      </c>
      <c r="K1881">
        <v>17.761900000000001</v>
      </c>
      <c r="L1881">
        <v>41</v>
      </c>
      <c r="M1881">
        <v>0</v>
      </c>
      <c r="N1881">
        <v>1</v>
      </c>
      <c r="O1881">
        <v>36.948</v>
      </c>
      <c r="P1881">
        <v>17.559699999999999</v>
      </c>
      <c r="Q1881">
        <v>6.7398300000000004</v>
      </c>
    </row>
    <row r="1882" spans="1:17" x14ac:dyDescent="0.25">
      <c r="A1882" t="str">
        <f>IF(C1882&amp;G1882&amp;D1882&lt;&gt;'Funnel setup'!$K$3&amp;'Funnel setup'!$K$4&amp;'Funnel setup'!$K$6,".",IF(A1881=".",1,A1881+1))</f>
        <v>.</v>
      </c>
      <c r="B1882" s="244" t="str">
        <f t="shared" si="29"/>
        <v>Knee Replacement PrimarySub-ICB of GP PracticeNHS CHESHIRE AND MERSEYSIDE ICB - 12F (12F)Oxford Knee Score</v>
      </c>
      <c r="C1882" t="s">
        <v>969</v>
      </c>
      <c r="D1882" t="s">
        <v>1021</v>
      </c>
      <c r="E1882" t="s">
        <v>781</v>
      </c>
      <c r="F1882" t="s">
        <v>782</v>
      </c>
      <c r="G1882" t="s">
        <v>972</v>
      </c>
      <c r="H1882">
        <v>85</v>
      </c>
      <c r="I1882">
        <v>18.694099999999999</v>
      </c>
      <c r="J1882">
        <v>38.0471</v>
      </c>
      <c r="K1882">
        <v>19.352900000000002</v>
      </c>
      <c r="L1882">
        <v>80</v>
      </c>
      <c r="M1882">
        <v>0</v>
      </c>
      <c r="N1882">
        <v>5</v>
      </c>
      <c r="O1882">
        <v>38.3992</v>
      </c>
      <c r="P1882">
        <v>19.010899999999999</v>
      </c>
      <c r="Q1882">
        <v>8.7947500000000005</v>
      </c>
    </row>
    <row r="1883" spans="1:17" x14ac:dyDescent="0.25">
      <c r="A1883" t="str">
        <f>IF(C1883&amp;G1883&amp;D1883&lt;&gt;'Funnel setup'!$K$3&amp;'Funnel setup'!$K$4&amp;'Funnel setup'!$K$6,".",IF(A1882=".",1,A1882+1))</f>
        <v>.</v>
      </c>
      <c r="B1883" s="244" t="str">
        <f t="shared" si="29"/>
        <v>Knee Replacement PrimarySub-ICB of GP PracticeNHS CHESHIRE AND MERSEYSIDE ICB - 27D (27D)Oxford Knee Score</v>
      </c>
      <c r="C1883" t="s">
        <v>969</v>
      </c>
      <c r="D1883" t="s">
        <v>1021</v>
      </c>
      <c r="E1883" t="s">
        <v>783</v>
      </c>
      <c r="F1883" t="s">
        <v>784</v>
      </c>
      <c r="G1883" t="s">
        <v>972</v>
      </c>
      <c r="H1883">
        <v>247</v>
      </c>
      <c r="I1883">
        <v>20.4453</v>
      </c>
      <c r="J1883">
        <v>38.599200000000003</v>
      </c>
      <c r="K1883">
        <v>18.1538</v>
      </c>
      <c r="L1883">
        <v>237</v>
      </c>
      <c r="M1883">
        <v>2</v>
      </c>
      <c r="N1883">
        <v>8</v>
      </c>
      <c r="O1883">
        <v>37.9544</v>
      </c>
      <c r="P1883">
        <v>18.566099999999999</v>
      </c>
      <c r="Q1883">
        <v>7.3842600000000003</v>
      </c>
    </row>
    <row r="1884" spans="1:17" x14ac:dyDescent="0.25">
      <c r="A1884" t="str">
        <f>IF(C1884&amp;G1884&amp;D1884&lt;&gt;'Funnel setup'!$K$3&amp;'Funnel setup'!$K$4&amp;'Funnel setup'!$K$6,".",IF(A1883=".",1,A1883+1))</f>
        <v>.</v>
      </c>
      <c r="B1884" s="244" t="str">
        <f t="shared" si="29"/>
        <v>Knee Replacement PrimarySub-ICB of GP PracticeNHS CHESHIRE AND MERSEYSIDE ICB - 99A (99A)Oxford Knee Score</v>
      </c>
      <c r="C1884" t="s">
        <v>969</v>
      </c>
      <c r="D1884" t="s">
        <v>1021</v>
      </c>
      <c r="E1884" t="s">
        <v>785</v>
      </c>
      <c r="F1884" t="s">
        <v>786</v>
      </c>
      <c r="G1884" t="s">
        <v>972</v>
      </c>
      <c r="H1884">
        <v>49</v>
      </c>
      <c r="I1884">
        <v>15.6122</v>
      </c>
      <c r="J1884">
        <v>33.306100000000001</v>
      </c>
      <c r="K1884">
        <v>17.693899999999999</v>
      </c>
      <c r="L1884">
        <v>47</v>
      </c>
      <c r="M1884">
        <v>0</v>
      </c>
      <c r="N1884">
        <v>2</v>
      </c>
      <c r="O1884">
        <v>35.814799999999998</v>
      </c>
      <c r="P1884">
        <v>16.426400000000001</v>
      </c>
      <c r="Q1884">
        <v>9.2395399999999999</v>
      </c>
    </row>
    <row r="1885" spans="1:17" x14ac:dyDescent="0.25">
      <c r="A1885" t="str">
        <f>IF(C1885&amp;G1885&amp;D1885&lt;&gt;'Funnel setup'!$K$3&amp;'Funnel setup'!$K$4&amp;'Funnel setup'!$K$6,".",IF(A1884=".",1,A1884+1))</f>
        <v>.</v>
      </c>
      <c r="B1885" s="244" t="str">
        <f t="shared" si="29"/>
        <v>Knee Replacement PrimarySub-ICB of GP PracticeNHS CORNWALL AND THE ISLES OF SCILLY ICB - 11N (11N)Oxford Knee Score</v>
      </c>
      <c r="C1885" t="s">
        <v>969</v>
      </c>
      <c r="D1885" t="s">
        <v>1021</v>
      </c>
      <c r="E1885" t="s">
        <v>787</v>
      </c>
      <c r="F1885" t="s">
        <v>788</v>
      </c>
      <c r="G1885" t="s">
        <v>972</v>
      </c>
      <c r="H1885">
        <v>148</v>
      </c>
      <c r="I1885">
        <v>21.445900000000002</v>
      </c>
      <c r="J1885">
        <v>38.371600000000001</v>
      </c>
      <c r="K1885">
        <v>16.925699999999999</v>
      </c>
      <c r="L1885">
        <v>146</v>
      </c>
      <c r="M1885">
        <v>0</v>
      </c>
      <c r="N1885">
        <v>2</v>
      </c>
      <c r="O1885">
        <v>37.801000000000002</v>
      </c>
      <c r="P1885">
        <v>18.412700000000001</v>
      </c>
      <c r="Q1885">
        <v>7.04244</v>
      </c>
    </row>
    <row r="1886" spans="1:17" x14ac:dyDescent="0.25">
      <c r="A1886" t="str">
        <f>IF(C1886&amp;G1886&amp;D1886&lt;&gt;'Funnel setup'!$K$3&amp;'Funnel setup'!$K$4&amp;'Funnel setup'!$K$6,".",IF(A1885=".",1,A1885+1))</f>
        <v>.</v>
      </c>
      <c r="B1886" s="244" t="str">
        <f t="shared" si="29"/>
        <v>Knee Replacement PrimarySub-ICB of GP PracticeNHS COVENTRY AND WARWICKSHIRE ICB - B2M3M (B2M3M)Oxford Knee Score</v>
      </c>
      <c r="C1886" t="s">
        <v>969</v>
      </c>
      <c r="D1886" t="s">
        <v>1021</v>
      </c>
      <c r="E1886" t="s">
        <v>789</v>
      </c>
      <c r="F1886" t="s">
        <v>790</v>
      </c>
      <c r="G1886" t="s">
        <v>972</v>
      </c>
      <c r="H1886">
        <v>227</v>
      </c>
      <c r="I1886">
        <v>21.1145</v>
      </c>
      <c r="J1886">
        <v>38.334800000000001</v>
      </c>
      <c r="K1886">
        <v>17.220300000000002</v>
      </c>
      <c r="L1886">
        <v>220</v>
      </c>
      <c r="M1886">
        <v>1</v>
      </c>
      <c r="N1886">
        <v>6</v>
      </c>
      <c r="O1886">
        <v>37.393000000000001</v>
      </c>
      <c r="P1886">
        <v>18.0047</v>
      </c>
      <c r="Q1886">
        <v>8.0230700000000006</v>
      </c>
    </row>
    <row r="1887" spans="1:17" x14ac:dyDescent="0.25">
      <c r="A1887" t="str">
        <f>IF(C1887&amp;G1887&amp;D1887&lt;&gt;'Funnel setup'!$K$3&amp;'Funnel setup'!$K$4&amp;'Funnel setup'!$K$6,".",IF(A1886=".",1,A1886+1))</f>
        <v>.</v>
      </c>
      <c r="B1887" s="244" t="str">
        <f t="shared" si="29"/>
        <v>Knee Replacement PrimarySub-ICB of GP PracticeNHS DERBY AND DERBYSHIRE ICB - 15M (15M)Oxford Knee Score</v>
      </c>
      <c r="C1887" t="s">
        <v>969</v>
      </c>
      <c r="D1887" t="s">
        <v>1021</v>
      </c>
      <c r="E1887" t="s">
        <v>791</v>
      </c>
      <c r="F1887" t="s">
        <v>792</v>
      </c>
      <c r="G1887" t="s">
        <v>972</v>
      </c>
      <c r="H1887">
        <v>520</v>
      </c>
      <c r="I1887">
        <v>18.792300000000001</v>
      </c>
      <c r="J1887">
        <v>36.709600000000002</v>
      </c>
      <c r="K1887">
        <v>17.917300000000001</v>
      </c>
      <c r="L1887">
        <v>504</v>
      </c>
      <c r="M1887">
        <v>5</v>
      </c>
      <c r="N1887">
        <v>11</v>
      </c>
      <c r="O1887">
        <v>37.238599999999998</v>
      </c>
      <c r="P1887">
        <v>17.850300000000001</v>
      </c>
      <c r="Q1887">
        <v>8.3184500000000003</v>
      </c>
    </row>
    <row r="1888" spans="1:17" x14ac:dyDescent="0.25">
      <c r="A1888" t="str">
        <f>IF(C1888&amp;G1888&amp;D1888&lt;&gt;'Funnel setup'!$K$3&amp;'Funnel setup'!$K$4&amp;'Funnel setup'!$K$6,".",IF(A1887=".",1,A1887+1))</f>
        <v>.</v>
      </c>
      <c r="B1888" s="244" t="str">
        <f t="shared" si="29"/>
        <v>Knee Replacement PrimarySub-ICB of GP PracticeNHS DEVON ICB - 15N (15N)Oxford Knee Score</v>
      </c>
      <c r="C1888" t="s">
        <v>969</v>
      </c>
      <c r="D1888" t="s">
        <v>1021</v>
      </c>
      <c r="E1888" t="s">
        <v>793</v>
      </c>
      <c r="F1888" t="s">
        <v>794</v>
      </c>
      <c r="G1888" t="s">
        <v>972</v>
      </c>
      <c r="H1888">
        <v>387</v>
      </c>
      <c r="I1888">
        <v>19.9587</v>
      </c>
      <c r="J1888">
        <v>38.449599999999997</v>
      </c>
      <c r="K1888">
        <v>18.491</v>
      </c>
      <c r="L1888">
        <v>372</v>
      </c>
      <c r="M1888">
        <v>2</v>
      </c>
      <c r="N1888">
        <v>13</v>
      </c>
      <c r="O1888">
        <v>38.0687</v>
      </c>
      <c r="P1888">
        <v>18.680399999999999</v>
      </c>
      <c r="Q1888">
        <v>8.0179200000000002</v>
      </c>
    </row>
    <row r="1889" spans="1:17" x14ac:dyDescent="0.25">
      <c r="A1889" t="str">
        <f>IF(C1889&amp;G1889&amp;D1889&lt;&gt;'Funnel setup'!$K$3&amp;'Funnel setup'!$K$4&amp;'Funnel setup'!$K$6,".",IF(A1888=".",1,A1888+1))</f>
        <v>.</v>
      </c>
      <c r="B1889" s="244" t="str">
        <f t="shared" si="29"/>
        <v>Knee Replacement PrimarySub-ICB of GP PracticeNHS DORSET ICB - 11J (11J)Oxford Knee Score</v>
      </c>
      <c r="C1889" t="s">
        <v>969</v>
      </c>
      <c r="D1889" t="s">
        <v>1021</v>
      </c>
      <c r="E1889" t="s">
        <v>795</v>
      </c>
      <c r="F1889" t="s">
        <v>796</v>
      </c>
      <c r="G1889" t="s">
        <v>972</v>
      </c>
      <c r="H1889">
        <v>271</v>
      </c>
      <c r="I1889">
        <v>20.712199999999999</v>
      </c>
      <c r="J1889">
        <v>38.664200000000001</v>
      </c>
      <c r="K1889">
        <v>17.952000000000002</v>
      </c>
      <c r="L1889">
        <v>260</v>
      </c>
      <c r="M1889">
        <v>1</v>
      </c>
      <c r="N1889">
        <v>10</v>
      </c>
      <c r="O1889">
        <v>37.902999999999999</v>
      </c>
      <c r="P1889">
        <v>18.514700000000001</v>
      </c>
      <c r="Q1889">
        <v>7.5279100000000003</v>
      </c>
    </row>
    <row r="1890" spans="1:17" x14ac:dyDescent="0.25">
      <c r="A1890" t="str">
        <f>IF(C1890&amp;G1890&amp;D1890&lt;&gt;'Funnel setup'!$K$3&amp;'Funnel setup'!$K$4&amp;'Funnel setup'!$K$6,".",IF(A1889=".",1,A1889+1))</f>
        <v>.</v>
      </c>
      <c r="B1890" s="244" t="str">
        <f t="shared" si="29"/>
        <v>Knee Replacement PrimarySub-ICB of GP PracticeNHS FRIMLEY ICB - D4U1Y (D4U1Y)Oxford Knee Score</v>
      </c>
      <c r="C1890" t="s">
        <v>969</v>
      </c>
      <c r="D1890" t="s">
        <v>1021</v>
      </c>
      <c r="E1890" t="s">
        <v>797</v>
      </c>
      <c r="F1890" t="s">
        <v>798</v>
      </c>
      <c r="G1890" t="s">
        <v>972</v>
      </c>
      <c r="H1890">
        <v>189</v>
      </c>
      <c r="I1890">
        <v>21.492100000000001</v>
      </c>
      <c r="J1890">
        <v>36.052900000000001</v>
      </c>
      <c r="K1890">
        <v>14.5608</v>
      </c>
      <c r="L1890">
        <v>174</v>
      </c>
      <c r="M1890">
        <v>5</v>
      </c>
      <c r="N1890">
        <v>10</v>
      </c>
      <c r="O1890">
        <v>35.029699999999998</v>
      </c>
      <c r="P1890">
        <v>15.641299999999999</v>
      </c>
      <c r="Q1890">
        <v>8.1840899999999994</v>
      </c>
    </row>
    <row r="1891" spans="1:17" x14ac:dyDescent="0.25">
      <c r="A1891" t="str">
        <f>IF(C1891&amp;G1891&amp;D1891&lt;&gt;'Funnel setup'!$K$3&amp;'Funnel setup'!$K$4&amp;'Funnel setup'!$K$6,".",IF(A1890=".",1,A1890+1))</f>
        <v>.</v>
      </c>
      <c r="B1891" s="244" t="str">
        <f t="shared" si="29"/>
        <v>Knee Replacement PrimarySub-ICB of GP PracticeNHS GLOUCESTERSHIRE ICB - 11M (11M)Oxford Knee Score</v>
      </c>
      <c r="C1891" t="s">
        <v>969</v>
      </c>
      <c r="D1891" t="s">
        <v>1021</v>
      </c>
      <c r="E1891" t="s">
        <v>799</v>
      </c>
      <c r="F1891" t="s">
        <v>800</v>
      </c>
      <c r="G1891" t="s">
        <v>972</v>
      </c>
      <c r="H1891">
        <v>159</v>
      </c>
      <c r="I1891">
        <v>19.2956</v>
      </c>
      <c r="J1891">
        <v>38.138399999999997</v>
      </c>
      <c r="K1891">
        <v>18.8428</v>
      </c>
      <c r="L1891">
        <v>152</v>
      </c>
      <c r="M1891">
        <v>0</v>
      </c>
      <c r="N1891">
        <v>7</v>
      </c>
      <c r="O1891">
        <v>37.764800000000001</v>
      </c>
      <c r="P1891">
        <v>18.3765</v>
      </c>
      <c r="Q1891">
        <v>7.9185699999999999</v>
      </c>
    </row>
    <row r="1892" spans="1:17" x14ac:dyDescent="0.25">
      <c r="A1892" t="str">
        <f>IF(C1892&amp;G1892&amp;D1892&lt;&gt;'Funnel setup'!$K$3&amp;'Funnel setup'!$K$4&amp;'Funnel setup'!$K$6,".",IF(A1891=".",1,A1891+1))</f>
        <v>.</v>
      </c>
      <c r="B1892" s="244" t="str">
        <f t="shared" si="29"/>
        <v>Knee Replacement PrimarySub-ICB of GP PracticeNHS GREATER MANCHESTER ICB - 00T (00T)Oxford Knee Score</v>
      </c>
      <c r="C1892" t="s">
        <v>969</v>
      </c>
      <c r="D1892" t="s">
        <v>1021</v>
      </c>
      <c r="E1892" t="s">
        <v>801</v>
      </c>
      <c r="F1892" t="s">
        <v>802</v>
      </c>
      <c r="G1892" t="s">
        <v>972</v>
      </c>
      <c r="H1892">
        <v>92</v>
      </c>
      <c r="I1892">
        <v>20.043500000000002</v>
      </c>
      <c r="J1892">
        <v>36.847799999999999</v>
      </c>
      <c r="K1892">
        <v>16.804300000000001</v>
      </c>
      <c r="L1892">
        <v>87</v>
      </c>
      <c r="M1892">
        <v>0</v>
      </c>
      <c r="N1892">
        <v>5</v>
      </c>
      <c r="O1892">
        <v>36.962299999999999</v>
      </c>
      <c r="P1892">
        <v>17.574000000000002</v>
      </c>
      <c r="Q1892">
        <v>8.8471499999999992</v>
      </c>
    </row>
    <row r="1893" spans="1:17" x14ac:dyDescent="0.25">
      <c r="A1893" t="str">
        <f>IF(C1893&amp;G1893&amp;D1893&lt;&gt;'Funnel setup'!$K$3&amp;'Funnel setup'!$K$4&amp;'Funnel setup'!$K$6,".",IF(A1892=".",1,A1892+1))</f>
        <v>.</v>
      </c>
      <c r="B1893" s="244" t="str">
        <f t="shared" si="29"/>
        <v>Knee Replacement PrimarySub-ICB of GP PracticeNHS GREATER MANCHESTER ICB - 00V (00V)Oxford Knee Score</v>
      </c>
      <c r="C1893" t="s">
        <v>969</v>
      </c>
      <c r="D1893" t="s">
        <v>1021</v>
      </c>
      <c r="E1893" t="s">
        <v>803</v>
      </c>
      <c r="F1893" t="s">
        <v>804</v>
      </c>
      <c r="G1893" t="s">
        <v>972</v>
      </c>
      <c r="H1893">
        <v>17</v>
      </c>
      <c r="I1893">
        <v>18.235299999999999</v>
      </c>
      <c r="J1893">
        <v>35.2941</v>
      </c>
      <c r="K1893">
        <v>17.058800000000002</v>
      </c>
      <c r="L1893">
        <v>16</v>
      </c>
      <c r="M1893">
        <v>1</v>
      </c>
      <c r="N1893">
        <v>0</v>
      </c>
      <c r="O1893" t="s">
        <v>127</v>
      </c>
      <c r="P1893" t="s">
        <v>127</v>
      </c>
      <c r="Q1893" t="s">
        <v>127</v>
      </c>
    </row>
    <row r="1894" spans="1:17" x14ac:dyDescent="0.25">
      <c r="A1894" t="str">
        <f>IF(C1894&amp;G1894&amp;D1894&lt;&gt;'Funnel setup'!$K$3&amp;'Funnel setup'!$K$4&amp;'Funnel setup'!$K$6,".",IF(A1893=".",1,A1893+1))</f>
        <v>.</v>
      </c>
      <c r="B1894" s="244" t="str">
        <f t="shared" si="29"/>
        <v>Knee Replacement PrimarySub-ICB of GP PracticeNHS GREATER MANCHESTER ICB - 00Y (00Y)Oxford Knee Score</v>
      </c>
      <c r="C1894" t="s">
        <v>969</v>
      </c>
      <c r="D1894" t="s">
        <v>1021</v>
      </c>
      <c r="E1894" t="s">
        <v>805</v>
      </c>
      <c r="F1894" t="s">
        <v>806</v>
      </c>
      <c r="G1894" t="s">
        <v>972</v>
      </c>
      <c r="H1894">
        <v>68</v>
      </c>
      <c r="I1894">
        <v>19.485299999999999</v>
      </c>
      <c r="J1894">
        <v>36.9559</v>
      </c>
      <c r="K1894">
        <v>17.470600000000001</v>
      </c>
      <c r="L1894">
        <v>63</v>
      </c>
      <c r="M1894">
        <v>0</v>
      </c>
      <c r="N1894">
        <v>5</v>
      </c>
      <c r="O1894">
        <v>36.419800000000002</v>
      </c>
      <c r="P1894">
        <v>17.031500000000001</v>
      </c>
      <c r="Q1894">
        <v>8.8865400000000001</v>
      </c>
    </row>
    <row r="1895" spans="1:17" x14ac:dyDescent="0.25">
      <c r="A1895" t="str">
        <f>IF(C1895&amp;G1895&amp;D1895&lt;&gt;'Funnel setup'!$K$3&amp;'Funnel setup'!$K$4&amp;'Funnel setup'!$K$6,".",IF(A1894=".",1,A1894+1))</f>
        <v>.</v>
      </c>
      <c r="B1895" s="244" t="str">
        <f t="shared" si="29"/>
        <v>Knee Replacement PrimarySub-ICB of GP PracticeNHS GREATER MANCHESTER ICB - 01D (01D)Oxford Knee Score</v>
      </c>
      <c r="C1895" t="s">
        <v>969</v>
      </c>
      <c r="D1895" t="s">
        <v>1021</v>
      </c>
      <c r="E1895" t="s">
        <v>807</v>
      </c>
      <c r="F1895" t="s">
        <v>808</v>
      </c>
      <c r="G1895" t="s">
        <v>972</v>
      </c>
      <c r="H1895">
        <v>21</v>
      </c>
      <c r="I1895">
        <v>20.8095</v>
      </c>
      <c r="J1895">
        <v>36.714300000000001</v>
      </c>
      <c r="K1895">
        <v>15.9048</v>
      </c>
      <c r="L1895">
        <v>20</v>
      </c>
      <c r="M1895">
        <v>0</v>
      </c>
      <c r="N1895">
        <v>1</v>
      </c>
      <c r="O1895" t="s">
        <v>127</v>
      </c>
      <c r="P1895" t="s">
        <v>127</v>
      </c>
      <c r="Q1895" t="s">
        <v>127</v>
      </c>
    </row>
    <row r="1896" spans="1:17" x14ac:dyDescent="0.25">
      <c r="A1896" t="str">
        <f>IF(C1896&amp;G1896&amp;D1896&lt;&gt;'Funnel setup'!$K$3&amp;'Funnel setup'!$K$4&amp;'Funnel setup'!$K$6,".",IF(A1895=".",1,A1895+1))</f>
        <v>.</v>
      </c>
      <c r="B1896" s="244" t="str">
        <f t="shared" si="29"/>
        <v>Knee Replacement PrimarySub-ICB of GP PracticeNHS GREATER MANCHESTER ICB - 01G (01G)Oxford Knee Score</v>
      </c>
      <c r="C1896" t="s">
        <v>969</v>
      </c>
      <c r="D1896" t="s">
        <v>1021</v>
      </c>
      <c r="E1896" t="s">
        <v>809</v>
      </c>
      <c r="F1896" t="s">
        <v>810</v>
      </c>
      <c r="G1896" t="s">
        <v>972</v>
      </c>
      <c r="H1896">
        <v>62</v>
      </c>
      <c r="I1896">
        <v>17.629000000000001</v>
      </c>
      <c r="J1896">
        <v>35.403199999999998</v>
      </c>
      <c r="K1896">
        <v>17.7742</v>
      </c>
      <c r="L1896">
        <v>60</v>
      </c>
      <c r="M1896">
        <v>0</v>
      </c>
      <c r="N1896">
        <v>2</v>
      </c>
      <c r="O1896">
        <v>36.774999999999999</v>
      </c>
      <c r="P1896">
        <v>17.386700000000001</v>
      </c>
      <c r="Q1896">
        <v>9.2828499999999998</v>
      </c>
    </row>
    <row r="1897" spans="1:17" x14ac:dyDescent="0.25">
      <c r="A1897" t="str">
        <f>IF(C1897&amp;G1897&amp;D1897&lt;&gt;'Funnel setup'!$K$3&amp;'Funnel setup'!$K$4&amp;'Funnel setup'!$K$6,".",IF(A1896=".",1,A1896+1))</f>
        <v>.</v>
      </c>
      <c r="B1897" s="244" t="str">
        <f t="shared" si="29"/>
        <v>Knee Replacement PrimarySub-ICB of GP PracticeNHS GREATER MANCHESTER ICB - 01W (01W)Oxford Knee Score</v>
      </c>
      <c r="C1897" t="s">
        <v>969</v>
      </c>
      <c r="D1897" t="s">
        <v>1021</v>
      </c>
      <c r="E1897" t="s">
        <v>811</v>
      </c>
      <c r="F1897" t="s">
        <v>812</v>
      </c>
      <c r="G1897" t="s">
        <v>972</v>
      </c>
      <c r="H1897">
        <v>57</v>
      </c>
      <c r="I1897">
        <v>20.7544</v>
      </c>
      <c r="J1897">
        <v>37.298200000000001</v>
      </c>
      <c r="K1897">
        <v>16.543900000000001</v>
      </c>
      <c r="L1897">
        <v>55</v>
      </c>
      <c r="M1897">
        <v>0</v>
      </c>
      <c r="N1897">
        <v>2</v>
      </c>
      <c r="O1897">
        <v>36.382399999999997</v>
      </c>
      <c r="P1897">
        <v>16.9941</v>
      </c>
      <c r="Q1897">
        <v>8.7290799999999997</v>
      </c>
    </row>
    <row r="1898" spans="1:17" x14ac:dyDescent="0.25">
      <c r="A1898" t="str">
        <f>IF(C1898&amp;G1898&amp;D1898&lt;&gt;'Funnel setup'!$K$3&amp;'Funnel setup'!$K$4&amp;'Funnel setup'!$K$6,".",IF(A1897=".",1,A1897+1))</f>
        <v>.</v>
      </c>
      <c r="B1898" s="244" t="str">
        <f t="shared" si="29"/>
        <v>Knee Replacement PrimarySub-ICB of GP PracticeNHS GREATER MANCHESTER ICB - 01Y (01Y)Oxford Knee Score</v>
      </c>
      <c r="C1898" t="s">
        <v>969</v>
      </c>
      <c r="D1898" t="s">
        <v>1021</v>
      </c>
      <c r="E1898" t="s">
        <v>813</v>
      </c>
      <c r="F1898" t="s">
        <v>814</v>
      </c>
      <c r="G1898" t="s">
        <v>972</v>
      </c>
      <c r="H1898">
        <v>28</v>
      </c>
      <c r="I1898">
        <v>17.571400000000001</v>
      </c>
      <c r="J1898">
        <v>35.5</v>
      </c>
      <c r="K1898">
        <v>17.928599999999999</v>
      </c>
      <c r="L1898">
        <v>26</v>
      </c>
      <c r="M1898">
        <v>0</v>
      </c>
      <c r="N1898">
        <v>2</v>
      </c>
      <c r="O1898" t="s">
        <v>127</v>
      </c>
      <c r="P1898" t="s">
        <v>127</v>
      </c>
      <c r="Q1898" t="s">
        <v>127</v>
      </c>
    </row>
    <row r="1899" spans="1:17" x14ac:dyDescent="0.25">
      <c r="A1899" t="str">
        <f>IF(C1899&amp;G1899&amp;D1899&lt;&gt;'Funnel setup'!$K$3&amp;'Funnel setup'!$K$4&amp;'Funnel setup'!$K$6,".",IF(A1898=".",1,A1898+1))</f>
        <v>.</v>
      </c>
      <c r="B1899" s="244" t="str">
        <f t="shared" si="29"/>
        <v>Knee Replacement PrimarySub-ICB of GP PracticeNHS GREATER MANCHESTER ICB - 02A (02A)Oxford Knee Score</v>
      </c>
      <c r="C1899" t="s">
        <v>969</v>
      </c>
      <c r="D1899" t="s">
        <v>1021</v>
      </c>
      <c r="E1899" t="s">
        <v>815</v>
      </c>
      <c r="F1899" t="s">
        <v>816</v>
      </c>
      <c r="G1899" t="s">
        <v>972</v>
      </c>
      <c r="H1899">
        <v>87</v>
      </c>
      <c r="I1899">
        <v>18.229900000000001</v>
      </c>
      <c r="J1899">
        <v>34.321800000000003</v>
      </c>
      <c r="K1899">
        <v>16.091999999999999</v>
      </c>
      <c r="L1899">
        <v>80</v>
      </c>
      <c r="M1899">
        <v>0</v>
      </c>
      <c r="N1899">
        <v>7</v>
      </c>
      <c r="O1899">
        <v>34.5441</v>
      </c>
      <c r="P1899">
        <v>15.155799999999999</v>
      </c>
      <c r="Q1899">
        <v>9.7244799999999998</v>
      </c>
    </row>
    <row r="1900" spans="1:17" x14ac:dyDescent="0.25">
      <c r="A1900" t="str">
        <f>IF(C1900&amp;G1900&amp;D1900&lt;&gt;'Funnel setup'!$K$3&amp;'Funnel setup'!$K$4&amp;'Funnel setup'!$K$6,".",IF(A1899=".",1,A1899+1))</f>
        <v>.</v>
      </c>
      <c r="B1900" s="244" t="str">
        <f t="shared" si="29"/>
        <v>Knee Replacement PrimarySub-ICB of GP PracticeNHS GREATER MANCHESTER ICB - 02H (02H)Oxford Knee Score</v>
      </c>
      <c r="C1900" t="s">
        <v>969</v>
      </c>
      <c r="D1900" t="s">
        <v>1021</v>
      </c>
      <c r="E1900" t="s">
        <v>817</v>
      </c>
      <c r="F1900" t="s">
        <v>818</v>
      </c>
      <c r="G1900" t="s">
        <v>972</v>
      </c>
      <c r="H1900">
        <v>28</v>
      </c>
      <c r="I1900">
        <v>18.892900000000001</v>
      </c>
      <c r="J1900">
        <v>37.321399999999997</v>
      </c>
      <c r="K1900">
        <v>18.428599999999999</v>
      </c>
      <c r="L1900">
        <v>27</v>
      </c>
      <c r="M1900">
        <v>0</v>
      </c>
      <c r="N1900">
        <v>1</v>
      </c>
      <c r="O1900" t="s">
        <v>127</v>
      </c>
      <c r="P1900" t="s">
        <v>127</v>
      </c>
      <c r="Q1900" t="s">
        <v>127</v>
      </c>
    </row>
    <row r="1901" spans="1:17" x14ac:dyDescent="0.25">
      <c r="A1901" t="str">
        <f>IF(C1901&amp;G1901&amp;D1901&lt;&gt;'Funnel setup'!$K$3&amp;'Funnel setup'!$K$4&amp;'Funnel setup'!$K$6,".",IF(A1900=".",1,A1900+1))</f>
        <v>.</v>
      </c>
      <c r="B1901" s="244" t="str">
        <f t="shared" si="29"/>
        <v>Knee Replacement PrimarySub-ICB of GP PracticeNHS GREATER MANCHESTER ICB - 14L (14L)Oxford Knee Score</v>
      </c>
      <c r="C1901" t="s">
        <v>969</v>
      </c>
      <c r="D1901" t="s">
        <v>1021</v>
      </c>
      <c r="E1901" t="s">
        <v>819</v>
      </c>
      <c r="F1901" t="s">
        <v>820</v>
      </c>
      <c r="G1901" t="s">
        <v>972</v>
      </c>
      <c r="H1901">
        <v>57</v>
      </c>
      <c r="I1901">
        <v>17.368400000000001</v>
      </c>
      <c r="J1901">
        <v>34.017499999999998</v>
      </c>
      <c r="K1901">
        <v>16.649100000000001</v>
      </c>
      <c r="L1901">
        <v>54</v>
      </c>
      <c r="M1901">
        <v>0</v>
      </c>
      <c r="N1901">
        <v>3</v>
      </c>
      <c r="O1901">
        <v>36.706600000000002</v>
      </c>
      <c r="P1901">
        <v>17.318200000000001</v>
      </c>
      <c r="Q1901">
        <v>8.4775100000000005</v>
      </c>
    </row>
    <row r="1902" spans="1:17" x14ac:dyDescent="0.25">
      <c r="A1902" t="str">
        <f>IF(C1902&amp;G1902&amp;D1902&lt;&gt;'Funnel setup'!$K$3&amp;'Funnel setup'!$K$4&amp;'Funnel setup'!$K$6,".",IF(A1901=".",1,A1901+1))</f>
        <v>.</v>
      </c>
      <c r="B1902" s="244" t="str">
        <f t="shared" si="29"/>
        <v>Knee Replacement PrimarySub-ICB of GP PracticeNHS HAMPSHIRE AND ISLE OF WIGHT ICB - 10R (10R)Oxford Knee Score</v>
      </c>
      <c r="C1902" t="s">
        <v>969</v>
      </c>
      <c r="D1902" t="s">
        <v>1021</v>
      </c>
      <c r="E1902" t="s">
        <v>821</v>
      </c>
      <c r="F1902" t="s">
        <v>822</v>
      </c>
      <c r="G1902" t="s">
        <v>972</v>
      </c>
      <c r="H1902">
        <v>11</v>
      </c>
      <c r="I1902">
        <v>19.363600000000002</v>
      </c>
      <c r="J1902">
        <v>34.181800000000003</v>
      </c>
      <c r="K1902">
        <v>14.818199999999999</v>
      </c>
      <c r="L1902">
        <v>11</v>
      </c>
      <c r="M1902">
        <v>0</v>
      </c>
      <c r="N1902">
        <v>0</v>
      </c>
      <c r="O1902" t="s">
        <v>127</v>
      </c>
      <c r="P1902" t="s">
        <v>127</v>
      </c>
      <c r="Q1902" t="s">
        <v>127</v>
      </c>
    </row>
    <row r="1903" spans="1:17" x14ac:dyDescent="0.25">
      <c r="A1903" t="str">
        <f>IF(C1903&amp;G1903&amp;D1903&lt;&gt;'Funnel setup'!$K$3&amp;'Funnel setup'!$K$4&amp;'Funnel setup'!$K$6,".",IF(A1902=".",1,A1902+1))</f>
        <v>.</v>
      </c>
      <c r="B1903" s="244" t="str">
        <f t="shared" si="29"/>
        <v>Knee Replacement PrimarySub-ICB of GP PracticeNHS HAMPSHIRE AND ISLE OF WIGHT ICB - D9Y0V (D9Y0V)Oxford Knee Score</v>
      </c>
      <c r="C1903" t="s">
        <v>969</v>
      </c>
      <c r="D1903" t="s">
        <v>1021</v>
      </c>
      <c r="E1903" t="s">
        <v>823</v>
      </c>
      <c r="F1903" t="s">
        <v>824</v>
      </c>
      <c r="G1903" t="s">
        <v>972</v>
      </c>
      <c r="H1903">
        <v>360</v>
      </c>
      <c r="I1903">
        <v>21.038900000000002</v>
      </c>
      <c r="J1903">
        <v>38.230600000000003</v>
      </c>
      <c r="K1903">
        <v>17.191700000000001</v>
      </c>
      <c r="L1903">
        <v>341</v>
      </c>
      <c r="M1903">
        <v>3</v>
      </c>
      <c r="N1903">
        <v>16</v>
      </c>
      <c r="O1903">
        <v>37.120100000000001</v>
      </c>
      <c r="P1903">
        <v>17.7318</v>
      </c>
      <c r="Q1903">
        <v>7.9612400000000001</v>
      </c>
    </row>
    <row r="1904" spans="1:17" x14ac:dyDescent="0.25">
      <c r="A1904" t="str">
        <f>IF(C1904&amp;G1904&amp;D1904&lt;&gt;'Funnel setup'!$K$3&amp;'Funnel setup'!$K$4&amp;'Funnel setup'!$K$6,".",IF(A1903=".",1,A1903+1))</f>
        <v>.</v>
      </c>
      <c r="B1904" s="244" t="str">
        <f t="shared" si="29"/>
        <v>Knee Replacement PrimarySub-ICB of GP PracticeNHS HEREFORDSHIRE AND WORCESTERSHIRE ICB - 18C (18C)Oxford Knee Score</v>
      </c>
      <c r="C1904" t="s">
        <v>969</v>
      </c>
      <c r="D1904" t="s">
        <v>1021</v>
      </c>
      <c r="E1904" t="s">
        <v>825</v>
      </c>
      <c r="F1904" t="s">
        <v>826</v>
      </c>
      <c r="G1904" t="s">
        <v>972</v>
      </c>
      <c r="H1904">
        <v>207</v>
      </c>
      <c r="I1904">
        <v>18.0242</v>
      </c>
      <c r="J1904">
        <v>37.207700000000003</v>
      </c>
      <c r="K1904">
        <v>19.183599999999998</v>
      </c>
      <c r="L1904">
        <v>199</v>
      </c>
      <c r="M1904">
        <v>0</v>
      </c>
      <c r="N1904">
        <v>8</v>
      </c>
      <c r="O1904">
        <v>37.541899999999998</v>
      </c>
      <c r="P1904">
        <v>18.153600000000001</v>
      </c>
      <c r="Q1904">
        <v>8.3721599999999992</v>
      </c>
    </row>
    <row r="1905" spans="1:17" x14ac:dyDescent="0.25">
      <c r="A1905" t="str">
        <f>IF(C1905&amp;G1905&amp;D1905&lt;&gt;'Funnel setup'!$K$3&amp;'Funnel setup'!$K$4&amp;'Funnel setup'!$K$6,".",IF(A1904=".",1,A1904+1))</f>
        <v>.</v>
      </c>
      <c r="B1905" s="244" t="str">
        <f t="shared" si="29"/>
        <v>Knee Replacement PrimarySub-ICB of GP PracticeNHS HERTFORDSHIRE AND WEST ESSEX ICB - 06K (06K)Oxford Knee Score</v>
      </c>
      <c r="C1905" t="s">
        <v>969</v>
      </c>
      <c r="D1905" t="s">
        <v>1021</v>
      </c>
      <c r="E1905" t="s">
        <v>827</v>
      </c>
      <c r="F1905" t="s">
        <v>828</v>
      </c>
      <c r="G1905" t="s">
        <v>972</v>
      </c>
      <c r="H1905">
        <v>98</v>
      </c>
      <c r="I1905">
        <v>19.877600000000001</v>
      </c>
      <c r="J1905">
        <v>36.653100000000002</v>
      </c>
      <c r="K1905">
        <v>16.775500000000001</v>
      </c>
      <c r="L1905">
        <v>88</v>
      </c>
      <c r="M1905">
        <v>2</v>
      </c>
      <c r="N1905">
        <v>8</v>
      </c>
      <c r="O1905">
        <v>36.269799999999996</v>
      </c>
      <c r="P1905">
        <v>16.881499999999999</v>
      </c>
      <c r="Q1905">
        <v>9.4622700000000002</v>
      </c>
    </row>
    <row r="1906" spans="1:17" x14ac:dyDescent="0.25">
      <c r="A1906" t="str">
        <f>IF(C1906&amp;G1906&amp;D1906&lt;&gt;'Funnel setup'!$K$3&amp;'Funnel setup'!$K$4&amp;'Funnel setup'!$K$6,".",IF(A1905=".",1,A1905+1))</f>
        <v>.</v>
      </c>
      <c r="B1906" s="244" t="str">
        <f t="shared" si="29"/>
        <v>Knee Replacement PrimarySub-ICB of GP PracticeNHS HERTFORDSHIRE AND WEST ESSEX ICB - 06N (06N)Oxford Knee Score</v>
      </c>
      <c r="C1906" t="s">
        <v>969</v>
      </c>
      <c r="D1906" t="s">
        <v>1021</v>
      </c>
      <c r="E1906" t="s">
        <v>829</v>
      </c>
      <c r="F1906" t="s">
        <v>830</v>
      </c>
      <c r="G1906" t="s">
        <v>972</v>
      </c>
      <c r="H1906">
        <v>113</v>
      </c>
      <c r="I1906">
        <v>21.1327</v>
      </c>
      <c r="J1906">
        <v>37.1327</v>
      </c>
      <c r="K1906">
        <v>16</v>
      </c>
      <c r="L1906">
        <v>105</v>
      </c>
      <c r="M1906">
        <v>1</v>
      </c>
      <c r="N1906">
        <v>7</v>
      </c>
      <c r="O1906">
        <v>36.059800000000003</v>
      </c>
      <c r="P1906">
        <v>16.671399999999998</v>
      </c>
      <c r="Q1906">
        <v>8.5781799999999997</v>
      </c>
    </row>
    <row r="1907" spans="1:17" x14ac:dyDescent="0.25">
      <c r="A1907" t="str">
        <f>IF(C1907&amp;G1907&amp;D1907&lt;&gt;'Funnel setup'!$K$3&amp;'Funnel setup'!$K$4&amp;'Funnel setup'!$K$6,".",IF(A1906=".",1,A1906+1))</f>
        <v>.</v>
      </c>
      <c r="B1907" s="244" t="str">
        <f t="shared" si="29"/>
        <v>Knee Replacement PrimarySub-ICB of GP PracticeNHS HERTFORDSHIRE AND WEST ESSEX ICB - 07H (07H)Oxford Knee Score</v>
      </c>
      <c r="C1907" t="s">
        <v>969</v>
      </c>
      <c r="D1907" t="s">
        <v>1021</v>
      </c>
      <c r="E1907" t="s">
        <v>831</v>
      </c>
      <c r="F1907" t="s">
        <v>832</v>
      </c>
      <c r="G1907" t="s">
        <v>972</v>
      </c>
      <c r="H1907">
        <v>66</v>
      </c>
      <c r="I1907">
        <v>18.121200000000002</v>
      </c>
      <c r="J1907">
        <v>36.651499999999999</v>
      </c>
      <c r="K1907">
        <v>18.5303</v>
      </c>
      <c r="L1907">
        <v>65</v>
      </c>
      <c r="M1907">
        <v>0</v>
      </c>
      <c r="N1907">
        <v>1</v>
      </c>
      <c r="O1907">
        <v>36.498100000000001</v>
      </c>
      <c r="P1907">
        <v>17.1098</v>
      </c>
      <c r="Q1907">
        <v>8.1166599999999995</v>
      </c>
    </row>
    <row r="1908" spans="1:17" x14ac:dyDescent="0.25">
      <c r="A1908" t="str">
        <f>IF(C1908&amp;G1908&amp;D1908&lt;&gt;'Funnel setup'!$K$3&amp;'Funnel setup'!$K$4&amp;'Funnel setup'!$K$6,".",IF(A1907=".",1,A1907+1))</f>
        <v>.</v>
      </c>
      <c r="B1908" s="244" t="str">
        <f t="shared" si="29"/>
        <v>Knee Replacement PrimarySub-ICB of GP PracticeNHS HUMBER AND NORTH YORKSHIRE ICB - 02Y (02Y)Oxford Knee Score</v>
      </c>
      <c r="C1908" t="s">
        <v>969</v>
      </c>
      <c r="D1908" t="s">
        <v>1021</v>
      </c>
      <c r="E1908" t="s">
        <v>833</v>
      </c>
      <c r="F1908" t="s">
        <v>834</v>
      </c>
      <c r="G1908" t="s">
        <v>972</v>
      </c>
      <c r="H1908">
        <v>78</v>
      </c>
      <c r="I1908">
        <v>20.576899999999998</v>
      </c>
      <c r="J1908">
        <v>35.679499999999997</v>
      </c>
      <c r="K1908">
        <v>15.102600000000001</v>
      </c>
      <c r="L1908">
        <v>72</v>
      </c>
      <c r="M1908">
        <v>1</v>
      </c>
      <c r="N1908">
        <v>5</v>
      </c>
      <c r="O1908">
        <v>35.2622</v>
      </c>
      <c r="P1908">
        <v>15.873900000000001</v>
      </c>
      <c r="Q1908">
        <v>9.4833099999999995</v>
      </c>
    </row>
    <row r="1909" spans="1:17" x14ac:dyDescent="0.25">
      <c r="A1909" t="str">
        <f>IF(C1909&amp;G1909&amp;D1909&lt;&gt;'Funnel setup'!$K$3&amp;'Funnel setup'!$K$4&amp;'Funnel setup'!$K$6,".",IF(A1908=".",1,A1908+1))</f>
        <v>.</v>
      </c>
      <c r="B1909" s="244" t="str">
        <f t="shared" si="29"/>
        <v>Knee Replacement PrimarySub-ICB of GP PracticeNHS HUMBER AND NORTH YORKSHIRE ICB - 03F (03F)Oxford Knee Score</v>
      </c>
      <c r="C1909" t="s">
        <v>969</v>
      </c>
      <c r="D1909" t="s">
        <v>1021</v>
      </c>
      <c r="E1909" t="s">
        <v>835</v>
      </c>
      <c r="F1909" t="s">
        <v>836</v>
      </c>
      <c r="G1909" t="s">
        <v>972</v>
      </c>
      <c r="H1909">
        <v>26</v>
      </c>
      <c r="I1909">
        <v>17.8462</v>
      </c>
      <c r="J1909">
        <v>37.538499999999999</v>
      </c>
      <c r="K1909">
        <v>19.692299999999999</v>
      </c>
      <c r="L1909">
        <v>26</v>
      </c>
      <c r="M1909">
        <v>0</v>
      </c>
      <c r="N1909">
        <v>0</v>
      </c>
      <c r="O1909" t="s">
        <v>127</v>
      </c>
      <c r="P1909" t="s">
        <v>127</v>
      </c>
      <c r="Q1909" t="s">
        <v>127</v>
      </c>
    </row>
    <row r="1910" spans="1:17" x14ac:dyDescent="0.25">
      <c r="A1910" t="str">
        <f>IF(C1910&amp;G1910&amp;D1910&lt;&gt;'Funnel setup'!$K$3&amp;'Funnel setup'!$K$4&amp;'Funnel setup'!$K$6,".",IF(A1909=".",1,A1909+1))</f>
        <v>.</v>
      </c>
      <c r="B1910" s="244" t="str">
        <f t="shared" si="29"/>
        <v>Knee Replacement PrimarySub-ICB of GP PracticeNHS HUMBER AND NORTH YORKSHIRE ICB - 03H (03H)Oxford Knee Score</v>
      </c>
      <c r="C1910" t="s">
        <v>969</v>
      </c>
      <c r="D1910" t="s">
        <v>1021</v>
      </c>
      <c r="E1910" t="s">
        <v>837</v>
      </c>
      <c r="F1910" t="s">
        <v>838</v>
      </c>
      <c r="G1910" t="s">
        <v>972</v>
      </c>
      <c r="H1910">
        <v>80</v>
      </c>
      <c r="I1910">
        <v>20.037500000000001</v>
      </c>
      <c r="J1910">
        <v>36.799999999999997</v>
      </c>
      <c r="K1910">
        <v>16.762499999999999</v>
      </c>
      <c r="L1910">
        <v>76</v>
      </c>
      <c r="M1910">
        <v>2</v>
      </c>
      <c r="N1910">
        <v>2</v>
      </c>
      <c r="O1910">
        <v>36.276400000000002</v>
      </c>
      <c r="P1910">
        <v>16.888100000000001</v>
      </c>
      <c r="Q1910">
        <v>7.5641299999999996</v>
      </c>
    </row>
    <row r="1911" spans="1:17" x14ac:dyDescent="0.25">
      <c r="A1911" t="str">
        <f>IF(C1911&amp;G1911&amp;D1911&lt;&gt;'Funnel setup'!$K$3&amp;'Funnel setup'!$K$4&amp;'Funnel setup'!$K$6,".",IF(A1910=".",1,A1910+1))</f>
        <v>.</v>
      </c>
      <c r="B1911" s="244" t="str">
        <f t="shared" si="29"/>
        <v>Knee Replacement PrimarySub-ICB of GP PracticeNHS HUMBER AND NORTH YORKSHIRE ICB - 03K (03K)Oxford Knee Score</v>
      </c>
      <c r="C1911" t="s">
        <v>969</v>
      </c>
      <c r="D1911" t="s">
        <v>1021</v>
      </c>
      <c r="E1911" t="s">
        <v>839</v>
      </c>
      <c r="F1911" t="s">
        <v>840</v>
      </c>
      <c r="G1911" t="s">
        <v>972</v>
      </c>
      <c r="H1911">
        <v>67</v>
      </c>
      <c r="I1911">
        <v>18.5672</v>
      </c>
      <c r="J1911">
        <v>36.641800000000003</v>
      </c>
      <c r="K1911">
        <v>18.0746</v>
      </c>
      <c r="L1911">
        <v>62</v>
      </c>
      <c r="M1911">
        <v>1</v>
      </c>
      <c r="N1911">
        <v>4</v>
      </c>
      <c r="O1911">
        <v>36.879399999999997</v>
      </c>
      <c r="P1911">
        <v>17.491099999999999</v>
      </c>
      <c r="Q1911">
        <v>8.7813199999999991</v>
      </c>
    </row>
    <row r="1912" spans="1:17" x14ac:dyDescent="0.25">
      <c r="A1912" t="str">
        <f>IF(C1912&amp;G1912&amp;D1912&lt;&gt;'Funnel setup'!$K$3&amp;'Funnel setup'!$K$4&amp;'Funnel setup'!$K$6,".",IF(A1911=".",1,A1911+1))</f>
        <v>.</v>
      </c>
      <c r="B1912" s="244" t="str">
        <f t="shared" si="29"/>
        <v>Knee Replacement PrimarySub-ICB of GP PracticeNHS HUMBER AND NORTH YORKSHIRE ICB - 03Q (03Q)Oxford Knee Score</v>
      </c>
      <c r="C1912" t="s">
        <v>969</v>
      </c>
      <c r="D1912" t="s">
        <v>1021</v>
      </c>
      <c r="E1912" t="s">
        <v>841</v>
      </c>
      <c r="F1912" t="s">
        <v>842</v>
      </c>
      <c r="G1912" t="s">
        <v>972</v>
      </c>
      <c r="H1912">
        <v>66</v>
      </c>
      <c r="I1912">
        <v>18.803000000000001</v>
      </c>
      <c r="J1912">
        <v>35.621200000000002</v>
      </c>
      <c r="K1912">
        <v>16.818200000000001</v>
      </c>
      <c r="L1912">
        <v>65</v>
      </c>
      <c r="M1912">
        <v>0</v>
      </c>
      <c r="N1912">
        <v>1</v>
      </c>
      <c r="O1912">
        <v>35.108499999999999</v>
      </c>
      <c r="P1912">
        <v>15.7202</v>
      </c>
      <c r="Q1912">
        <v>8.7576800000000006</v>
      </c>
    </row>
    <row r="1913" spans="1:17" x14ac:dyDescent="0.25">
      <c r="A1913" t="str">
        <f>IF(C1913&amp;G1913&amp;D1913&lt;&gt;'Funnel setup'!$K$3&amp;'Funnel setup'!$K$4&amp;'Funnel setup'!$K$6,".",IF(A1912=".",1,A1912+1))</f>
        <v>.</v>
      </c>
      <c r="B1913" s="244" t="str">
        <f t="shared" si="29"/>
        <v>Knee Replacement PrimarySub-ICB of GP PracticeNHS HUMBER AND NORTH YORKSHIRE ICB - 42D (42D)Oxford Knee Score</v>
      </c>
      <c r="C1913" t="s">
        <v>969</v>
      </c>
      <c r="D1913" t="s">
        <v>1021</v>
      </c>
      <c r="E1913" t="s">
        <v>843</v>
      </c>
      <c r="F1913" t="s">
        <v>844</v>
      </c>
      <c r="G1913" t="s">
        <v>972</v>
      </c>
      <c r="H1913">
        <v>204</v>
      </c>
      <c r="I1913">
        <v>18.308800000000002</v>
      </c>
      <c r="J1913">
        <v>38.367600000000003</v>
      </c>
      <c r="K1913">
        <v>20.058800000000002</v>
      </c>
      <c r="L1913">
        <v>200</v>
      </c>
      <c r="M1913">
        <v>3</v>
      </c>
      <c r="N1913">
        <v>1</v>
      </c>
      <c r="O1913">
        <v>38.355200000000004</v>
      </c>
      <c r="P1913">
        <v>18.966899999999999</v>
      </c>
      <c r="Q1913">
        <v>7.6854199999999997</v>
      </c>
    </row>
    <row r="1914" spans="1:17" x14ac:dyDescent="0.25">
      <c r="A1914" t="str">
        <f>IF(C1914&amp;G1914&amp;D1914&lt;&gt;'Funnel setup'!$K$3&amp;'Funnel setup'!$K$4&amp;'Funnel setup'!$K$6,".",IF(A1913=".",1,A1913+1))</f>
        <v>.</v>
      </c>
      <c r="B1914" s="244" t="str">
        <f t="shared" si="29"/>
        <v>Knee Replacement PrimarySub-ICB of GP PracticeNHS KENT AND MEDWAY ICB - 91Q (91Q)Oxford Knee Score</v>
      </c>
      <c r="C1914" t="s">
        <v>969</v>
      </c>
      <c r="D1914" t="s">
        <v>1021</v>
      </c>
      <c r="E1914" t="s">
        <v>845</v>
      </c>
      <c r="F1914" t="s">
        <v>846</v>
      </c>
      <c r="G1914" t="s">
        <v>972</v>
      </c>
      <c r="H1914">
        <v>597</v>
      </c>
      <c r="I1914">
        <v>21.4054</v>
      </c>
      <c r="J1914">
        <v>38.303199999999997</v>
      </c>
      <c r="K1914">
        <v>16.8978</v>
      </c>
      <c r="L1914">
        <v>566</v>
      </c>
      <c r="M1914">
        <v>5</v>
      </c>
      <c r="N1914">
        <v>26</v>
      </c>
      <c r="O1914">
        <v>37.5032</v>
      </c>
      <c r="P1914">
        <v>18.114899999999999</v>
      </c>
      <c r="Q1914">
        <v>7.7552099999999999</v>
      </c>
    </row>
    <row r="1915" spans="1:17" x14ac:dyDescent="0.25">
      <c r="A1915" t="str">
        <f>IF(C1915&amp;G1915&amp;D1915&lt;&gt;'Funnel setup'!$K$3&amp;'Funnel setup'!$K$4&amp;'Funnel setup'!$K$6,".",IF(A1914=".",1,A1914+1))</f>
        <v>.</v>
      </c>
      <c r="B1915" s="244" t="str">
        <f t="shared" si="29"/>
        <v>Knee Replacement PrimarySub-ICB of GP PracticeNHS LANCASHIRE AND SOUTH CUMBRIA ICB - 00Q (00Q)Oxford Knee Score</v>
      </c>
      <c r="C1915" t="s">
        <v>969</v>
      </c>
      <c r="D1915" t="s">
        <v>1021</v>
      </c>
      <c r="E1915" t="s">
        <v>847</v>
      </c>
      <c r="F1915" t="s">
        <v>848</v>
      </c>
      <c r="G1915" t="s">
        <v>972</v>
      </c>
      <c r="H1915">
        <v>49</v>
      </c>
      <c r="I1915">
        <v>19.142900000000001</v>
      </c>
      <c r="J1915">
        <v>33.040799999999997</v>
      </c>
      <c r="K1915">
        <v>13.898</v>
      </c>
      <c r="L1915">
        <v>43</v>
      </c>
      <c r="M1915">
        <v>2</v>
      </c>
      <c r="N1915">
        <v>4</v>
      </c>
      <c r="O1915">
        <v>33.435600000000001</v>
      </c>
      <c r="P1915">
        <v>14.0473</v>
      </c>
      <c r="Q1915">
        <v>10.745200000000001</v>
      </c>
    </row>
    <row r="1916" spans="1:17" x14ac:dyDescent="0.25">
      <c r="A1916" t="str">
        <f>IF(C1916&amp;G1916&amp;D1916&lt;&gt;'Funnel setup'!$K$3&amp;'Funnel setup'!$K$4&amp;'Funnel setup'!$K$6,".",IF(A1915=".",1,A1915+1))</f>
        <v>.</v>
      </c>
      <c r="B1916" s="244" t="str">
        <f t="shared" si="29"/>
        <v>Knee Replacement PrimarySub-ICB of GP PracticeNHS LANCASHIRE AND SOUTH CUMBRIA ICB - 00R (00R)Oxford Knee Score</v>
      </c>
      <c r="C1916" t="s">
        <v>969</v>
      </c>
      <c r="D1916" t="s">
        <v>1021</v>
      </c>
      <c r="E1916" t="s">
        <v>849</v>
      </c>
      <c r="F1916" t="s">
        <v>850</v>
      </c>
      <c r="G1916" t="s">
        <v>972</v>
      </c>
      <c r="H1916">
        <v>47</v>
      </c>
      <c r="I1916">
        <v>20</v>
      </c>
      <c r="J1916">
        <v>35.127699999999997</v>
      </c>
      <c r="K1916">
        <v>15.127700000000001</v>
      </c>
      <c r="L1916">
        <v>45</v>
      </c>
      <c r="M1916">
        <v>0</v>
      </c>
      <c r="N1916">
        <v>2</v>
      </c>
      <c r="O1916">
        <v>36.586399999999998</v>
      </c>
      <c r="P1916">
        <v>17.198</v>
      </c>
      <c r="Q1916">
        <v>8.4096700000000002</v>
      </c>
    </row>
    <row r="1917" spans="1:17" x14ac:dyDescent="0.25">
      <c r="A1917" t="str">
        <f>IF(C1917&amp;G1917&amp;D1917&lt;&gt;'Funnel setup'!$K$3&amp;'Funnel setup'!$K$4&amp;'Funnel setup'!$K$6,".",IF(A1916=".",1,A1916+1))</f>
        <v>.</v>
      </c>
      <c r="B1917" s="244" t="str">
        <f t="shared" si="29"/>
        <v>Knee Replacement PrimarySub-ICB of GP PracticeNHS LANCASHIRE AND SOUTH CUMBRIA ICB - 00X (00X)Oxford Knee Score</v>
      </c>
      <c r="C1917" t="s">
        <v>969</v>
      </c>
      <c r="D1917" t="s">
        <v>1021</v>
      </c>
      <c r="E1917" t="s">
        <v>851</v>
      </c>
      <c r="F1917" t="s">
        <v>852</v>
      </c>
      <c r="G1917" t="s">
        <v>972</v>
      </c>
      <c r="H1917">
        <v>67</v>
      </c>
      <c r="I1917">
        <v>18.910399999999999</v>
      </c>
      <c r="J1917">
        <v>38.104500000000002</v>
      </c>
      <c r="K1917">
        <v>19.193999999999999</v>
      </c>
      <c r="L1917">
        <v>64</v>
      </c>
      <c r="M1917">
        <v>2</v>
      </c>
      <c r="N1917">
        <v>1</v>
      </c>
      <c r="O1917">
        <v>38.005200000000002</v>
      </c>
      <c r="P1917">
        <v>18.616900000000001</v>
      </c>
      <c r="Q1917">
        <v>9.1992200000000004</v>
      </c>
    </row>
    <row r="1918" spans="1:17" x14ac:dyDescent="0.25">
      <c r="A1918" t="str">
        <f>IF(C1918&amp;G1918&amp;D1918&lt;&gt;'Funnel setup'!$K$3&amp;'Funnel setup'!$K$4&amp;'Funnel setup'!$K$6,".",IF(A1917=".",1,A1917+1))</f>
        <v>.</v>
      </c>
      <c r="B1918" s="244" t="str">
        <f t="shared" si="29"/>
        <v>Knee Replacement PrimarySub-ICB of GP PracticeNHS LANCASHIRE AND SOUTH CUMBRIA ICB - 01A (01A)Oxford Knee Score</v>
      </c>
      <c r="C1918" t="s">
        <v>969</v>
      </c>
      <c r="D1918" t="s">
        <v>1021</v>
      </c>
      <c r="E1918" t="s">
        <v>853</v>
      </c>
      <c r="F1918" t="s">
        <v>854</v>
      </c>
      <c r="G1918" t="s">
        <v>972</v>
      </c>
      <c r="H1918">
        <v>142</v>
      </c>
      <c r="I1918">
        <v>19.9085</v>
      </c>
      <c r="J1918">
        <v>37.957700000000003</v>
      </c>
      <c r="K1918">
        <v>18.049299999999999</v>
      </c>
      <c r="L1918">
        <v>134</v>
      </c>
      <c r="M1918">
        <v>1</v>
      </c>
      <c r="N1918">
        <v>7</v>
      </c>
      <c r="O1918">
        <v>38.0092</v>
      </c>
      <c r="P1918">
        <v>18.620899999999999</v>
      </c>
      <c r="Q1918">
        <v>8.5255600000000005</v>
      </c>
    </row>
    <row r="1919" spans="1:17" x14ac:dyDescent="0.25">
      <c r="A1919" t="str">
        <f>IF(C1919&amp;G1919&amp;D1919&lt;&gt;'Funnel setup'!$K$3&amp;'Funnel setup'!$K$4&amp;'Funnel setup'!$K$6,".",IF(A1918=".",1,A1918+1))</f>
        <v>.</v>
      </c>
      <c r="B1919" s="244" t="str">
        <f t="shared" si="29"/>
        <v>Knee Replacement PrimarySub-ICB of GP PracticeNHS LANCASHIRE AND SOUTH CUMBRIA ICB - 01E (01E)Oxford Knee Score</v>
      </c>
      <c r="C1919" t="s">
        <v>969</v>
      </c>
      <c r="D1919" t="s">
        <v>1021</v>
      </c>
      <c r="E1919" t="s">
        <v>855</v>
      </c>
      <c r="F1919" t="s">
        <v>856</v>
      </c>
      <c r="G1919" t="s">
        <v>972</v>
      </c>
      <c r="H1919">
        <v>73</v>
      </c>
      <c r="I1919">
        <v>19.643799999999999</v>
      </c>
      <c r="J1919">
        <v>39.150700000000001</v>
      </c>
      <c r="K1919">
        <v>19.506799999999998</v>
      </c>
      <c r="L1919">
        <v>70</v>
      </c>
      <c r="M1919">
        <v>1</v>
      </c>
      <c r="N1919">
        <v>2</v>
      </c>
      <c r="O1919">
        <v>39.261400000000002</v>
      </c>
      <c r="P1919">
        <v>19.873000000000001</v>
      </c>
      <c r="Q1919">
        <v>8.8882100000000008</v>
      </c>
    </row>
    <row r="1920" spans="1:17" x14ac:dyDescent="0.25">
      <c r="A1920" t="str">
        <f>IF(C1920&amp;G1920&amp;D1920&lt;&gt;'Funnel setup'!$K$3&amp;'Funnel setup'!$K$4&amp;'Funnel setup'!$K$6,".",IF(A1919=".",1,A1919+1))</f>
        <v>.</v>
      </c>
      <c r="B1920" s="244" t="str">
        <f t="shared" si="29"/>
        <v>Knee Replacement PrimarySub-ICB of GP PracticeNHS LANCASHIRE AND SOUTH CUMBRIA ICB - 01K (01K)Oxford Knee Score</v>
      </c>
      <c r="C1920" t="s">
        <v>969</v>
      </c>
      <c r="D1920" t="s">
        <v>1021</v>
      </c>
      <c r="E1920" t="s">
        <v>857</v>
      </c>
      <c r="F1920" t="s">
        <v>858</v>
      </c>
      <c r="G1920" t="s">
        <v>972</v>
      </c>
      <c r="H1920">
        <v>188</v>
      </c>
      <c r="I1920">
        <v>20.430900000000001</v>
      </c>
      <c r="J1920">
        <v>37.994700000000002</v>
      </c>
      <c r="K1920">
        <v>17.563800000000001</v>
      </c>
      <c r="L1920">
        <v>176</v>
      </c>
      <c r="M1920">
        <v>1</v>
      </c>
      <c r="N1920">
        <v>11</v>
      </c>
      <c r="O1920">
        <v>37.486499999999999</v>
      </c>
      <c r="P1920">
        <v>18.098099999999999</v>
      </c>
      <c r="Q1920">
        <v>7.6652500000000003</v>
      </c>
    </row>
    <row r="1921" spans="1:17" x14ac:dyDescent="0.25">
      <c r="A1921" t="str">
        <f>IF(C1921&amp;G1921&amp;D1921&lt;&gt;'Funnel setup'!$K$3&amp;'Funnel setup'!$K$4&amp;'Funnel setup'!$K$6,".",IF(A1920=".",1,A1920+1))</f>
        <v>.</v>
      </c>
      <c r="B1921" s="244" t="str">
        <f t="shared" si="29"/>
        <v>Knee Replacement PrimarySub-ICB of GP PracticeNHS LANCASHIRE AND SOUTH CUMBRIA ICB - 02G (02G)Oxford Knee Score</v>
      </c>
      <c r="C1921" t="s">
        <v>969</v>
      </c>
      <c r="D1921" t="s">
        <v>1021</v>
      </c>
      <c r="E1921" t="s">
        <v>859</v>
      </c>
      <c r="F1921" t="s">
        <v>860</v>
      </c>
      <c r="G1921" t="s">
        <v>972</v>
      </c>
      <c r="H1921">
        <v>22</v>
      </c>
      <c r="I1921">
        <v>15.818199999999999</v>
      </c>
      <c r="J1921">
        <v>39.636400000000002</v>
      </c>
      <c r="K1921">
        <v>23.818200000000001</v>
      </c>
      <c r="L1921">
        <v>22</v>
      </c>
      <c r="M1921">
        <v>0</v>
      </c>
      <c r="N1921">
        <v>0</v>
      </c>
      <c r="O1921" t="s">
        <v>127</v>
      </c>
      <c r="P1921" t="s">
        <v>127</v>
      </c>
      <c r="Q1921" t="s">
        <v>127</v>
      </c>
    </row>
    <row r="1922" spans="1:17" x14ac:dyDescent="0.25">
      <c r="A1922" t="str">
        <f>IF(C1922&amp;G1922&amp;D1922&lt;&gt;'Funnel setup'!$K$3&amp;'Funnel setup'!$K$4&amp;'Funnel setup'!$K$6,".",IF(A1921=".",1,A1921+1))</f>
        <v>.</v>
      </c>
      <c r="B1922" s="244" t="str">
        <f t="shared" ref="B1922:B1985" si="30">C1922&amp;D1922&amp;F1922&amp;G1922</f>
        <v>Knee Replacement PrimarySub-ICB of GP PracticeNHS LANCASHIRE AND SOUTH CUMBRIA ICB - 02M (02M)Oxford Knee Score</v>
      </c>
      <c r="C1922" t="s">
        <v>969</v>
      </c>
      <c r="D1922" t="s">
        <v>1021</v>
      </c>
      <c r="E1922" t="s">
        <v>861</v>
      </c>
      <c r="F1922" t="s">
        <v>862</v>
      </c>
      <c r="G1922" t="s">
        <v>972</v>
      </c>
      <c r="H1922">
        <v>70</v>
      </c>
      <c r="I1922">
        <v>22.242899999999999</v>
      </c>
      <c r="J1922">
        <v>37.757100000000001</v>
      </c>
      <c r="K1922">
        <v>15.5143</v>
      </c>
      <c r="L1922">
        <v>64</v>
      </c>
      <c r="M1922">
        <v>1</v>
      </c>
      <c r="N1922">
        <v>5</v>
      </c>
      <c r="O1922">
        <v>36.546300000000002</v>
      </c>
      <c r="P1922">
        <v>17.158000000000001</v>
      </c>
      <c r="Q1922">
        <v>8.2485999999999997</v>
      </c>
    </row>
    <row r="1923" spans="1:17" x14ac:dyDescent="0.25">
      <c r="A1923" t="str">
        <f>IF(C1923&amp;G1923&amp;D1923&lt;&gt;'Funnel setup'!$K$3&amp;'Funnel setup'!$K$4&amp;'Funnel setup'!$K$6,".",IF(A1922=".",1,A1922+1))</f>
        <v>.</v>
      </c>
      <c r="B1923" s="244" t="str">
        <f t="shared" si="30"/>
        <v>Knee Replacement PrimarySub-ICB of GP PracticeNHS LEICESTER, LEICESTERSHIRE AND RUTLAND ICB - 03W (03W)Oxford Knee Score</v>
      </c>
      <c r="C1923" t="s">
        <v>969</v>
      </c>
      <c r="D1923" t="s">
        <v>1021</v>
      </c>
      <c r="E1923" t="s">
        <v>863</v>
      </c>
      <c r="F1923" t="s">
        <v>864</v>
      </c>
      <c r="G1923" t="s">
        <v>972</v>
      </c>
      <c r="H1923">
        <v>146</v>
      </c>
      <c r="I1923">
        <v>18.650700000000001</v>
      </c>
      <c r="J1923">
        <v>37.3904</v>
      </c>
      <c r="K1923">
        <v>18.739699999999999</v>
      </c>
      <c r="L1923">
        <v>141</v>
      </c>
      <c r="M1923">
        <v>1</v>
      </c>
      <c r="N1923">
        <v>4</v>
      </c>
      <c r="O1923">
        <v>37.3157</v>
      </c>
      <c r="P1923">
        <v>17.927399999999999</v>
      </c>
      <c r="Q1923">
        <v>7.2874999999999996</v>
      </c>
    </row>
    <row r="1924" spans="1:17" x14ac:dyDescent="0.25">
      <c r="A1924" t="str">
        <f>IF(C1924&amp;G1924&amp;D1924&lt;&gt;'Funnel setup'!$K$3&amp;'Funnel setup'!$K$4&amp;'Funnel setup'!$K$6,".",IF(A1923=".",1,A1923+1))</f>
        <v>.</v>
      </c>
      <c r="B1924" s="244" t="str">
        <f t="shared" si="30"/>
        <v>Knee Replacement PrimarySub-ICB of GP PracticeNHS LEICESTER, LEICESTERSHIRE AND RUTLAND ICB - 04C (04C)Oxford Knee Score</v>
      </c>
      <c r="C1924" t="s">
        <v>969</v>
      </c>
      <c r="D1924" t="s">
        <v>1021</v>
      </c>
      <c r="E1924" t="s">
        <v>865</v>
      </c>
      <c r="F1924" t="s">
        <v>866</v>
      </c>
      <c r="G1924" t="s">
        <v>972</v>
      </c>
      <c r="H1924">
        <v>48</v>
      </c>
      <c r="I1924">
        <v>16.9375</v>
      </c>
      <c r="J1924">
        <v>29.5</v>
      </c>
      <c r="K1924">
        <v>12.5625</v>
      </c>
      <c r="L1924">
        <v>43</v>
      </c>
      <c r="M1924">
        <v>1</v>
      </c>
      <c r="N1924">
        <v>4</v>
      </c>
      <c r="O1924">
        <v>32.846800000000002</v>
      </c>
      <c r="P1924">
        <v>13.458500000000001</v>
      </c>
      <c r="Q1924">
        <v>9.00014</v>
      </c>
    </row>
    <row r="1925" spans="1:17" x14ac:dyDescent="0.25">
      <c r="A1925" t="str">
        <f>IF(C1925&amp;G1925&amp;D1925&lt;&gt;'Funnel setup'!$K$3&amp;'Funnel setup'!$K$4&amp;'Funnel setup'!$K$6,".",IF(A1924=".",1,A1924+1))</f>
        <v>.</v>
      </c>
      <c r="B1925" s="244" t="str">
        <f t="shared" si="30"/>
        <v>Knee Replacement PrimarySub-ICB of GP PracticeNHS LEICESTER, LEICESTERSHIRE AND RUTLAND ICB - 04V (04V)Oxford Knee Score</v>
      </c>
      <c r="C1925" t="s">
        <v>969</v>
      </c>
      <c r="D1925" t="s">
        <v>1021</v>
      </c>
      <c r="E1925" t="s">
        <v>867</v>
      </c>
      <c r="F1925" t="s">
        <v>868</v>
      </c>
      <c r="G1925" t="s">
        <v>972</v>
      </c>
      <c r="H1925">
        <v>160</v>
      </c>
      <c r="I1925">
        <v>17.8125</v>
      </c>
      <c r="J1925">
        <v>36.256300000000003</v>
      </c>
      <c r="K1925">
        <v>18.4438</v>
      </c>
      <c r="L1925">
        <v>155</v>
      </c>
      <c r="M1925">
        <v>1</v>
      </c>
      <c r="N1925">
        <v>4</v>
      </c>
      <c r="O1925">
        <v>36.782899999999998</v>
      </c>
      <c r="P1925">
        <v>17.394600000000001</v>
      </c>
      <c r="Q1925">
        <v>8.0472599999999996</v>
      </c>
    </row>
    <row r="1926" spans="1:17" x14ac:dyDescent="0.25">
      <c r="A1926" t="str">
        <f>IF(C1926&amp;G1926&amp;D1926&lt;&gt;'Funnel setup'!$K$3&amp;'Funnel setup'!$K$4&amp;'Funnel setup'!$K$6,".",IF(A1925=".",1,A1925+1))</f>
        <v>.</v>
      </c>
      <c r="B1926" s="244" t="str">
        <f t="shared" si="30"/>
        <v>Knee Replacement PrimarySub-ICB of GP PracticeNHS LINCOLNSHIRE ICB - 71E (71E)Oxford Knee Score</v>
      </c>
      <c r="C1926" t="s">
        <v>969</v>
      </c>
      <c r="D1926" t="s">
        <v>1021</v>
      </c>
      <c r="E1926" t="s">
        <v>869</v>
      </c>
      <c r="F1926" t="s">
        <v>870</v>
      </c>
      <c r="G1926" t="s">
        <v>972</v>
      </c>
      <c r="H1926">
        <v>296</v>
      </c>
      <c r="I1926">
        <v>20.256799999999998</v>
      </c>
      <c r="J1926">
        <v>38.091200000000001</v>
      </c>
      <c r="K1926">
        <v>17.834499999999998</v>
      </c>
      <c r="L1926">
        <v>285</v>
      </c>
      <c r="M1926">
        <v>4</v>
      </c>
      <c r="N1926">
        <v>7</v>
      </c>
      <c r="O1926">
        <v>37.291800000000002</v>
      </c>
      <c r="P1926">
        <v>17.903500000000001</v>
      </c>
      <c r="Q1926">
        <v>7.2970600000000001</v>
      </c>
    </row>
    <row r="1927" spans="1:17" x14ac:dyDescent="0.25">
      <c r="A1927" t="str">
        <f>IF(C1927&amp;G1927&amp;D1927&lt;&gt;'Funnel setup'!$K$3&amp;'Funnel setup'!$K$4&amp;'Funnel setup'!$K$6,".",IF(A1926=".",1,A1926+1))</f>
        <v>.</v>
      </c>
      <c r="B1927" s="244" t="str">
        <f t="shared" si="30"/>
        <v>Knee Replacement PrimarySub-ICB of GP PracticeNHS MID AND SOUTH ESSEX ICB - 06Q (06Q)Oxford Knee Score</v>
      </c>
      <c r="C1927" t="s">
        <v>969</v>
      </c>
      <c r="D1927" t="s">
        <v>1021</v>
      </c>
      <c r="E1927" t="s">
        <v>871</v>
      </c>
      <c r="F1927" t="s">
        <v>872</v>
      </c>
      <c r="G1927" t="s">
        <v>972</v>
      </c>
      <c r="H1927">
        <v>129</v>
      </c>
      <c r="I1927">
        <v>18.224799999999998</v>
      </c>
      <c r="J1927">
        <v>37.038800000000002</v>
      </c>
      <c r="K1927">
        <v>18.814</v>
      </c>
      <c r="L1927">
        <v>122</v>
      </c>
      <c r="M1927">
        <v>1</v>
      </c>
      <c r="N1927">
        <v>6</v>
      </c>
      <c r="O1927">
        <v>36.879399999999997</v>
      </c>
      <c r="P1927">
        <v>17.491099999999999</v>
      </c>
      <c r="Q1927">
        <v>9.7998899999999995</v>
      </c>
    </row>
    <row r="1928" spans="1:17" x14ac:dyDescent="0.25">
      <c r="A1928" t="str">
        <f>IF(C1928&amp;G1928&amp;D1928&lt;&gt;'Funnel setup'!$K$3&amp;'Funnel setup'!$K$4&amp;'Funnel setup'!$K$6,".",IF(A1927=".",1,A1927+1))</f>
        <v>.</v>
      </c>
      <c r="B1928" s="244" t="str">
        <f t="shared" si="30"/>
        <v>Knee Replacement PrimarySub-ICB of GP PracticeNHS MID AND SOUTH ESSEX ICB - 07G (07G)Oxford Knee Score</v>
      </c>
      <c r="C1928" t="s">
        <v>969</v>
      </c>
      <c r="D1928" t="s">
        <v>1021</v>
      </c>
      <c r="E1928" t="s">
        <v>873</v>
      </c>
      <c r="F1928" t="s">
        <v>874</v>
      </c>
      <c r="G1928" t="s">
        <v>972</v>
      </c>
      <c r="H1928">
        <v>31</v>
      </c>
      <c r="I1928">
        <v>15.129</v>
      </c>
      <c r="J1928">
        <v>36.258099999999999</v>
      </c>
      <c r="K1928">
        <v>21.129000000000001</v>
      </c>
      <c r="L1928">
        <v>30</v>
      </c>
      <c r="M1928">
        <v>0</v>
      </c>
      <c r="N1928">
        <v>1</v>
      </c>
      <c r="O1928">
        <v>39.286799999999999</v>
      </c>
      <c r="P1928">
        <v>19.898499999999999</v>
      </c>
      <c r="Q1928">
        <v>9.0331399999999995</v>
      </c>
    </row>
    <row r="1929" spans="1:17" x14ac:dyDescent="0.25">
      <c r="A1929" t="str">
        <f>IF(C1929&amp;G1929&amp;D1929&lt;&gt;'Funnel setup'!$K$3&amp;'Funnel setup'!$K$4&amp;'Funnel setup'!$K$6,".",IF(A1928=".",1,A1928+1))</f>
        <v>.</v>
      </c>
      <c r="B1929" s="244" t="str">
        <f t="shared" si="30"/>
        <v>Knee Replacement PrimarySub-ICB of GP PracticeNHS MID AND SOUTH ESSEX ICB - 99E (99E)Oxford Knee Score</v>
      </c>
      <c r="C1929" t="s">
        <v>969</v>
      </c>
      <c r="D1929" t="s">
        <v>1021</v>
      </c>
      <c r="E1929" t="s">
        <v>875</v>
      </c>
      <c r="F1929" t="s">
        <v>876</v>
      </c>
      <c r="G1929" t="s">
        <v>972</v>
      </c>
      <c r="H1929">
        <v>61</v>
      </c>
      <c r="I1929">
        <v>16.721299999999999</v>
      </c>
      <c r="J1929">
        <v>35.360700000000001</v>
      </c>
      <c r="K1929">
        <v>18.639299999999999</v>
      </c>
      <c r="L1929">
        <v>56</v>
      </c>
      <c r="M1929">
        <v>0</v>
      </c>
      <c r="N1929">
        <v>5</v>
      </c>
      <c r="O1929">
        <v>36.880200000000002</v>
      </c>
      <c r="P1929">
        <v>17.491800000000001</v>
      </c>
      <c r="Q1929">
        <v>11.3741</v>
      </c>
    </row>
    <row r="1930" spans="1:17" x14ac:dyDescent="0.25">
      <c r="A1930" t="str">
        <f>IF(C1930&amp;G1930&amp;D1930&lt;&gt;'Funnel setup'!$K$3&amp;'Funnel setup'!$K$4&amp;'Funnel setup'!$K$6,".",IF(A1929=".",1,A1929+1))</f>
        <v>.</v>
      </c>
      <c r="B1930" s="244" t="str">
        <f t="shared" si="30"/>
        <v>Knee Replacement PrimarySub-ICB of GP PracticeNHS MID AND SOUTH ESSEX ICB - 99F (99F)Oxford Knee Score</v>
      </c>
      <c r="C1930" t="s">
        <v>969</v>
      </c>
      <c r="D1930" t="s">
        <v>1021</v>
      </c>
      <c r="E1930" t="s">
        <v>877</v>
      </c>
      <c r="F1930" t="s">
        <v>878</v>
      </c>
      <c r="G1930" t="s">
        <v>972</v>
      </c>
      <c r="H1930">
        <v>35</v>
      </c>
      <c r="I1930">
        <v>18.171399999999998</v>
      </c>
      <c r="J1930">
        <v>34.028599999999997</v>
      </c>
      <c r="K1930">
        <v>15.857100000000001</v>
      </c>
      <c r="L1930">
        <v>31</v>
      </c>
      <c r="M1930">
        <v>1</v>
      </c>
      <c r="N1930">
        <v>3</v>
      </c>
      <c r="O1930">
        <v>34.3262</v>
      </c>
      <c r="P1930">
        <v>14.937900000000001</v>
      </c>
      <c r="Q1930">
        <v>10.8299</v>
      </c>
    </row>
    <row r="1931" spans="1:17" x14ac:dyDescent="0.25">
      <c r="A1931" t="str">
        <f>IF(C1931&amp;G1931&amp;D1931&lt;&gt;'Funnel setup'!$K$3&amp;'Funnel setup'!$K$4&amp;'Funnel setup'!$K$6,".",IF(A1930=".",1,A1930+1))</f>
        <v>.</v>
      </c>
      <c r="B1931" s="244" t="str">
        <f t="shared" si="30"/>
        <v>Knee Replacement PrimarySub-ICB of GP PracticeNHS MID AND SOUTH ESSEX ICB - 99G (99G)Oxford Knee Score</v>
      </c>
      <c r="C1931" t="s">
        <v>969</v>
      </c>
      <c r="D1931" t="s">
        <v>1021</v>
      </c>
      <c r="E1931" t="s">
        <v>879</v>
      </c>
      <c r="F1931" t="s">
        <v>880</v>
      </c>
      <c r="G1931" t="s">
        <v>972</v>
      </c>
      <c r="H1931">
        <v>13</v>
      </c>
      <c r="I1931">
        <v>19.692299999999999</v>
      </c>
      <c r="J1931">
        <v>36.923099999999998</v>
      </c>
      <c r="K1931">
        <v>17.230799999999999</v>
      </c>
      <c r="L1931">
        <v>11</v>
      </c>
      <c r="M1931">
        <v>0</v>
      </c>
      <c r="N1931">
        <v>2</v>
      </c>
      <c r="O1931" t="s">
        <v>127</v>
      </c>
      <c r="P1931" t="s">
        <v>127</v>
      </c>
      <c r="Q1931" t="s">
        <v>127</v>
      </c>
    </row>
    <row r="1932" spans="1:17" x14ac:dyDescent="0.25">
      <c r="A1932" t="str">
        <f>IF(C1932&amp;G1932&amp;D1932&lt;&gt;'Funnel setup'!$K$3&amp;'Funnel setup'!$K$4&amp;'Funnel setup'!$K$6,".",IF(A1931=".",1,A1931+1))</f>
        <v>.</v>
      </c>
      <c r="B1932" s="244" t="str">
        <f t="shared" si="30"/>
        <v>Knee Replacement PrimarySub-ICB of GP PracticeNHS NORFOLK AND WAVENEY ICB - 26A (26A)Oxford Knee Score</v>
      </c>
      <c r="C1932" t="s">
        <v>969</v>
      </c>
      <c r="D1932" t="s">
        <v>1021</v>
      </c>
      <c r="E1932" t="s">
        <v>881</v>
      </c>
      <c r="F1932" t="s">
        <v>882</v>
      </c>
      <c r="G1932" t="s">
        <v>972</v>
      </c>
      <c r="H1932">
        <v>317</v>
      </c>
      <c r="I1932">
        <v>17.400600000000001</v>
      </c>
      <c r="J1932">
        <v>35.381700000000002</v>
      </c>
      <c r="K1932">
        <v>17.981100000000001</v>
      </c>
      <c r="L1932">
        <v>302</v>
      </c>
      <c r="M1932">
        <v>4</v>
      </c>
      <c r="N1932">
        <v>11</v>
      </c>
      <c r="O1932">
        <v>36.684100000000001</v>
      </c>
      <c r="P1932">
        <v>17.2957</v>
      </c>
      <c r="Q1932">
        <v>8.7070799999999995</v>
      </c>
    </row>
    <row r="1933" spans="1:17" x14ac:dyDescent="0.25">
      <c r="A1933" t="str">
        <f>IF(C1933&amp;G1933&amp;D1933&lt;&gt;'Funnel setup'!$K$3&amp;'Funnel setup'!$K$4&amp;'Funnel setup'!$K$6,".",IF(A1932=".",1,A1932+1))</f>
        <v>.</v>
      </c>
      <c r="B1933" s="244" t="str">
        <f t="shared" si="30"/>
        <v>Knee Replacement PrimarySub-ICB of GP PracticeNHS NORTH CENTRAL LONDON ICB - 93C (93C)Oxford Knee Score</v>
      </c>
      <c r="C1933" t="s">
        <v>969</v>
      </c>
      <c r="D1933" t="s">
        <v>1021</v>
      </c>
      <c r="E1933" t="s">
        <v>883</v>
      </c>
      <c r="F1933" t="s">
        <v>884</v>
      </c>
      <c r="G1933" t="s">
        <v>972</v>
      </c>
      <c r="H1933">
        <v>167</v>
      </c>
      <c r="I1933">
        <v>21.2575</v>
      </c>
      <c r="J1933">
        <v>35.586799999999997</v>
      </c>
      <c r="K1933">
        <v>14.3293</v>
      </c>
      <c r="L1933">
        <v>150</v>
      </c>
      <c r="M1933">
        <v>2</v>
      </c>
      <c r="N1933">
        <v>15</v>
      </c>
      <c r="O1933">
        <v>35.868699999999997</v>
      </c>
      <c r="P1933">
        <v>16.480399999999999</v>
      </c>
      <c r="Q1933">
        <v>8.5442400000000003</v>
      </c>
    </row>
    <row r="1934" spans="1:17" x14ac:dyDescent="0.25">
      <c r="A1934" t="str">
        <f>IF(C1934&amp;G1934&amp;D1934&lt;&gt;'Funnel setup'!$K$3&amp;'Funnel setup'!$K$4&amp;'Funnel setup'!$K$6,".",IF(A1933=".",1,A1933+1))</f>
        <v>.</v>
      </c>
      <c r="B1934" s="244" t="str">
        <f t="shared" si="30"/>
        <v>Knee Replacement PrimarySub-ICB of GP PracticeNHS NORTH EAST AND NORTH CUMBRIA ICB - 00L (00L)Oxford Knee Score</v>
      </c>
      <c r="C1934" t="s">
        <v>969</v>
      </c>
      <c r="D1934" t="s">
        <v>1021</v>
      </c>
      <c r="E1934" t="s">
        <v>885</v>
      </c>
      <c r="F1934" t="s">
        <v>886</v>
      </c>
      <c r="G1934" t="s">
        <v>972</v>
      </c>
      <c r="H1934">
        <v>207</v>
      </c>
      <c r="I1934">
        <v>18.763300000000001</v>
      </c>
      <c r="J1934">
        <v>38.57</v>
      </c>
      <c r="K1934">
        <v>19.806799999999999</v>
      </c>
      <c r="L1934">
        <v>204</v>
      </c>
      <c r="M1934">
        <v>0</v>
      </c>
      <c r="N1934">
        <v>3</v>
      </c>
      <c r="O1934">
        <v>38.765900000000002</v>
      </c>
      <c r="P1934">
        <v>19.377500000000001</v>
      </c>
      <c r="Q1934">
        <v>7.7093100000000003</v>
      </c>
    </row>
    <row r="1935" spans="1:17" x14ac:dyDescent="0.25">
      <c r="A1935" t="str">
        <f>IF(C1935&amp;G1935&amp;D1935&lt;&gt;'Funnel setup'!$K$3&amp;'Funnel setup'!$K$4&amp;'Funnel setup'!$K$6,".",IF(A1934=".",1,A1934+1))</f>
        <v>.</v>
      </c>
      <c r="B1935" s="244" t="str">
        <f t="shared" si="30"/>
        <v>Knee Replacement PrimarySub-ICB of GP PracticeNHS NORTH EAST AND NORTH CUMBRIA ICB - 00N (00N)Oxford Knee Score</v>
      </c>
      <c r="C1935" t="s">
        <v>969</v>
      </c>
      <c r="D1935" t="s">
        <v>1021</v>
      </c>
      <c r="E1935" t="s">
        <v>887</v>
      </c>
      <c r="F1935" t="s">
        <v>888</v>
      </c>
      <c r="G1935" t="s">
        <v>972</v>
      </c>
      <c r="H1935">
        <v>9</v>
      </c>
      <c r="I1935">
        <v>17.555599999999998</v>
      </c>
      <c r="J1935">
        <v>41.333300000000001</v>
      </c>
      <c r="K1935">
        <v>23.777799999999999</v>
      </c>
      <c r="L1935">
        <v>9</v>
      </c>
      <c r="M1935">
        <v>0</v>
      </c>
      <c r="N1935">
        <v>0</v>
      </c>
      <c r="O1935" t="s">
        <v>127</v>
      </c>
      <c r="P1935" t="s">
        <v>127</v>
      </c>
      <c r="Q1935" t="s">
        <v>127</v>
      </c>
    </row>
    <row r="1936" spans="1:17" x14ac:dyDescent="0.25">
      <c r="A1936" t="str">
        <f>IF(C1936&amp;G1936&amp;D1936&lt;&gt;'Funnel setup'!$K$3&amp;'Funnel setup'!$K$4&amp;'Funnel setup'!$K$6,".",IF(A1935=".",1,A1935+1))</f>
        <v>.</v>
      </c>
      <c r="B1936" s="244" t="str">
        <f t="shared" si="30"/>
        <v>Knee Replacement PrimarySub-ICB of GP PracticeNHS NORTH EAST AND NORTH CUMBRIA ICB - 00P (00P)Oxford Knee Score</v>
      </c>
      <c r="C1936" t="s">
        <v>969</v>
      </c>
      <c r="D1936" t="s">
        <v>1021</v>
      </c>
      <c r="E1936" t="s">
        <v>889</v>
      </c>
      <c r="F1936" t="s">
        <v>890</v>
      </c>
      <c r="G1936" t="s">
        <v>972</v>
      </c>
      <c r="H1936">
        <v>24</v>
      </c>
      <c r="I1936">
        <v>16.375</v>
      </c>
      <c r="J1936">
        <v>36.625</v>
      </c>
      <c r="K1936">
        <v>20.25</v>
      </c>
      <c r="L1936">
        <v>23</v>
      </c>
      <c r="M1936">
        <v>0</v>
      </c>
      <c r="N1936">
        <v>1</v>
      </c>
      <c r="O1936" t="s">
        <v>127</v>
      </c>
      <c r="P1936" t="s">
        <v>127</v>
      </c>
      <c r="Q1936" t="s">
        <v>127</v>
      </c>
    </row>
    <row r="1937" spans="1:17" x14ac:dyDescent="0.25">
      <c r="A1937" t="str">
        <f>IF(C1937&amp;G1937&amp;D1937&lt;&gt;'Funnel setup'!$K$3&amp;'Funnel setup'!$K$4&amp;'Funnel setup'!$K$6,".",IF(A1936=".",1,A1936+1))</f>
        <v>.</v>
      </c>
      <c r="B1937" s="244" t="str">
        <f t="shared" si="30"/>
        <v>Knee Replacement PrimarySub-ICB of GP PracticeNHS NORTH EAST AND NORTH CUMBRIA ICB - 01H (01H)Oxford Knee Score</v>
      </c>
      <c r="C1937" t="s">
        <v>969</v>
      </c>
      <c r="D1937" t="s">
        <v>1021</v>
      </c>
      <c r="E1937" t="s">
        <v>891</v>
      </c>
      <c r="F1937" t="s">
        <v>892</v>
      </c>
      <c r="G1937" t="s">
        <v>972</v>
      </c>
      <c r="H1937">
        <v>225</v>
      </c>
      <c r="I1937">
        <v>18.5289</v>
      </c>
      <c r="J1937">
        <v>37.933300000000003</v>
      </c>
      <c r="K1937">
        <v>19.404399999999999</v>
      </c>
      <c r="L1937">
        <v>221</v>
      </c>
      <c r="M1937">
        <v>0</v>
      </c>
      <c r="N1937">
        <v>4</v>
      </c>
      <c r="O1937">
        <v>38.019500000000001</v>
      </c>
      <c r="P1937">
        <v>18.6312</v>
      </c>
      <c r="Q1937">
        <v>7.4621599999999999</v>
      </c>
    </row>
    <row r="1938" spans="1:17" x14ac:dyDescent="0.25">
      <c r="A1938" t="str">
        <f>IF(C1938&amp;G1938&amp;D1938&lt;&gt;'Funnel setup'!$K$3&amp;'Funnel setup'!$K$4&amp;'Funnel setup'!$K$6,".",IF(A1937=".",1,A1937+1))</f>
        <v>.</v>
      </c>
      <c r="B1938" s="244" t="str">
        <f t="shared" si="30"/>
        <v>Knee Replacement PrimarySub-ICB of GP PracticeNHS NORTH EAST AND NORTH CUMBRIA ICB - 13T (13T)Oxford Knee Score</v>
      </c>
      <c r="C1938" t="s">
        <v>969</v>
      </c>
      <c r="D1938" t="s">
        <v>1021</v>
      </c>
      <c r="E1938" t="s">
        <v>893</v>
      </c>
      <c r="F1938" t="s">
        <v>894</v>
      </c>
      <c r="G1938" t="s">
        <v>972</v>
      </c>
      <c r="H1938">
        <v>67</v>
      </c>
      <c r="I1938">
        <v>17.4925</v>
      </c>
      <c r="J1938">
        <v>35.880600000000001</v>
      </c>
      <c r="K1938">
        <v>18.388100000000001</v>
      </c>
      <c r="L1938">
        <v>64</v>
      </c>
      <c r="M1938">
        <v>0</v>
      </c>
      <c r="N1938">
        <v>3</v>
      </c>
      <c r="O1938">
        <v>37.204300000000003</v>
      </c>
      <c r="P1938">
        <v>17.815899999999999</v>
      </c>
      <c r="Q1938">
        <v>9.1550899999999995</v>
      </c>
    </row>
    <row r="1939" spans="1:17" x14ac:dyDescent="0.25">
      <c r="A1939" t="str">
        <f>IF(C1939&amp;G1939&amp;D1939&lt;&gt;'Funnel setup'!$K$3&amp;'Funnel setup'!$K$4&amp;'Funnel setup'!$K$6,".",IF(A1938=".",1,A1938+1))</f>
        <v>.</v>
      </c>
      <c r="B1939" s="244" t="str">
        <f t="shared" si="30"/>
        <v>Knee Replacement PrimarySub-ICB of GP PracticeNHS NORTH EAST AND NORTH CUMBRIA ICB - 16C (16C)Oxford Knee Score</v>
      </c>
      <c r="C1939" t="s">
        <v>969</v>
      </c>
      <c r="D1939" t="s">
        <v>1021</v>
      </c>
      <c r="E1939" t="s">
        <v>895</v>
      </c>
      <c r="F1939" t="s">
        <v>896</v>
      </c>
      <c r="G1939" t="s">
        <v>972</v>
      </c>
      <c r="H1939">
        <v>406</v>
      </c>
      <c r="I1939">
        <v>18.093599999999999</v>
      </c>
      <c r="J1939">
        <v>36.9754</v>
      </c>
      <c r="K1939">
        <v>18.881799999999998</v>
      </c>
      <c r="L1939">
        <v>384</v>
      </c>
      <c r="M1939">
        <v>4</v>
      </c>
      <c r="N1939">
        <v>18</v>
      </c>
      <c r="O1939">
        <v>37.698500000000003</v>
      </c>
      <c r="P1939">
        <v>18.310199999999998</v>
      </c>
      <c r="Q1939">
        <v>9.0176499999999997</v>
      </c>
    </row>
    <row r="1940" spans="1:17" x14ac:dyDescent="0.25">
      <c r="A1940" t="str">
        <f>IF(C1940&amp;G1940&amp;D1940&lt;&gt;'Funnel setup'!$K$3&amp;'Funnel setup'!$K$4&amp;'Funnel setup'!$K$6,".",IF(A1939=".",1,A1939+1))</f>
        <v>.</v>
      </c>
      <c r="B1940" s="244" t="str">
        <f t="shared" si="30"/>
        <v>Knee Replacement PrimarySub-ICB of GP PracticeNHS NORTH EAST AND NORTH CUMBRIA ICB - 84H (84H)Oxford Knee Score</v>
      </c>
      <c r="C1940" t="s">
        <v>969</v>
      </c>
      <c r="D1940" t="s">
        <v>1021</v>
      </c>
      <c r="E1940" t="s">
        <v>897</v>
      </c>
      <c r="F1940" t="s">
        <v>898</v>
      </c>
      <c r="G1940" t="s">
        <v>972</v>
      </c>
      <c r="H1940">
        <v>299</v>
      </c>
      <c r="I1940">
        <v>18.8796</v>
      </c>
      <c r="J1940">
        <v>36.996699999999997</v>
      </c>
      <c r="K1940">
        <v>18.117100000000001</v>
      </c>
      <c r="L1940">
        <v>289</v>
      </c>
      <c r="M1940">
        <v>3</v>
      </c>
      <c r="N1940">
        <v>7</v>
      </c>
      <c r="O1940">
        <v>37.302100000000003</v>
      </c>
      <c r="P1940">
        <v>17.913799999999998</v>
      </c>
      <c r="Q1940">
        <v>8.3078900000000004</v>
      </c>
    </row>
    <row r="1941" spans="1:17" x14ac:dyDescent="0.25">
      <c r="A1941" t="str">
        <f>IF(C1941&amp;G1941&amp;D1941&lt;&gt;'Funnel setup'!$K$3&amp;'Funnel setup'!$K$4&amp;'Funnel setup'!$K$6,".",IF(A1940=".",1,A1940+1))</f>
        <v>.</v>
      </c>
      <c r="B1941" s="244" t="str">
        <f t="shared" si="30"/>
        <v>Knee Replacement PrimarySub-ICB of GP PracticeNHS NORTH EAST AND NORTH CUMBRIA ICB - 99C (99C)Oxford Knee Score</v>
      </c>
      <c r="C1941" t="s">
        <v>969</v>
      </c>
      <c r="D1941" t="s">
        <v>1021</v>
      </c>
      <c r="E1941" t="s">
        <v>899</v>
      </c>
      <c r="F1941" t="s">
        <v>900</v>
      </c>
      <c r="G1941" t="s">
        <v>972</v>
      </c>
      <c r="H1941">
        <v>106</v>
      </c>
      <c r="I1941">
        <v>19.613199999999999</v>
      </c>
      <c r="J1941">
        <v>37.679200000000002</v>
      </c>
      <c r="K1941">
        <v>18.065999999999999</v>
      </c>
      <c r="L1941">
        <v>103</v>
      </c>
      <c r="M1941">
        <v>0</v>
      </c>
      <c r="N1941">
        <v>3</v>
      </c>
      <c r="O1941">
        <v>37.899000000000001</v>
      </c>
      <c r="P1941">
        <v>18.5106</v>
      </c>
      <c r="Q1941">
        <v>7.8196500000000002</v>
      </c>
    </row>
    <row r="1942" spans="1:17" x14ac:dyDescent="0.25">
      <c r="A1942" t="str">
        <f>IF(C1942&amp;G1942&amp;D1942&lt;&gt;'Funnel setup'!$K$3&amp;'Funnel setup'!$K$4&amp;'Funnel setup'!$K$6,".",IF(A1941=".",1,A1941+1))</f>
        <v>.</v>
      </c>
      <c r="B1942" s="244" t="str">
        <f t="shared" si="30"/>
        <v>Knee Replacement PrimarySub-ICB of GP PracticeNHS NORTH EAST LONDON ICB - A3A8R (A3A8R)Oxford Knee Score</v>
      </c>
      <c r="C1942" t="s">
        <v>969</v>
      </c>
      <c r="D1942" t="s">
        <v>1021</v>
      </c>
      <c r="E1942" t="s">
        <v>901</v>
      </c>
      <c r="F1942" t="s">
        <v>902</v>
      </c>
      <c r="G1942" t="s">
        <v>972</v>
      </c>
      <c r="H1942">
        <v>238</v>
      </c>
      <c r="I1942">
        <v>17.609200000000001</v>
      </c>
      <c r="J1942">
        <v>33.344499999999996</v>
      </c>
      <c r="K1942">
        <v>15.735300000000001</v>
      </c>
      <c r="L1942">
        <v>217</v>
      </c>
      <c r="M1942">
        <v>0</v>
      </c>
      <c r="N1942">
        <v>21</v>
      </c>
      <c r="O1942">
        <v>35.489600000000003</v>
      </c>
      <c r="P1942">
        <v>16.101299999999998</v>
      </c>
      <c r="Q1942">
        <v>9.4082299999999996</v>
      </c>
    </row>
    <row r="1943" spans="1:17" x14ac:dyDescent="0.25">
      <c r="A1943" t="str">
        <f>IF(C1943&amp;G1943&amp;D1943&lt;&gt;'Funnel setup'!$K$3&amp;'Funnel setup'!$K$4&amp;'Funnel setup'!$K$6,".",IF(A1942=".",1,A1942+1))</f>
        <v>.</v>
      </c>
      <c r="B1943" s="244" t="str">
        <f t="shared" si="30"/>
        <v>Knee Replacement PrimarySub-ICB of GP PracticeNHS NORTH WEST LONDON ICB - W2U3Z (W2U3Z)Oxford Knee Score</v>
      </c>
      <c r="C1943" t="s">
        <v>969</v>
      </c>
      <c r="D1943" t="s">
        <v>1021</v>
      </c>
      <c r="E1943" t="s">
        <v>903</v>
      </c>
      <c r="F1943" t="s">
        <v>904</v>
      </c>
      <c r="G1943" t="s">
        <v>972</v>
      </c>
      <c r="H1943">
        <v>202</v>
      </c>
      <c r="I1943">
        <v>19.811900000000001</v>
      </c>
      <c r="J1943">
        <v>34.688099999999999</v>
      </c>
      <c r="K1943">
        <v>14.876200000000001</v>
      </c>
      <c r="L1943">
        <v>192</v>
      </c>
      <c r="M1943">
        <v>2</v>
      </c>
      <c r="N1943">
        <v>8</v>
      </c>
      <c r="O1943">
        <v>35.341999999999999</v>
      </c>
      <c r="P1943">
        <v>15.9537</v>
      </c>
      <c r="Q1943">
        <v>8.23841</v>
      </c>
    </row>
    <row r="1944" spans="1:17" x14ac:dyDescent="0.25">
      <c r="A1944" t="str">
        <f>IF(C1944&amp;G1944&amp;D1944&lt;&gt;'Funnel setup'!$K$3&amp;'Funnel setup'!$K$4&amp;'Funnel setup'!$K$6,".",IF(A1943=".",1,A1943+1))</f>
        <v>.</v>
      </c>
      <c r="B1944" s="244" t="str">
        <f t="shared" si="30"/>
        <v>Knee Replacement PrimarySub-ICB of GP PracticeNHS NORTHAMPTONSHIRE ICB - 78H (78H)Oxford Knee Score</v>
      </c>
      <c r="C1944" t="s">
        <v>969</v>
      </c>
      <c r="D1944" t="s">
        <v>1021</v>
      </c>
      <c r="E1944" t="s">
        <v>905</v>
      </c>
      <c r="F1944" t="s">
        <v>906</v>
      </c>
      <c r="G1944" t="s">
        <v>972</v>
      </c>
      <c r="H1944">
        <v>240</v>
      </c>
      <c r="I1944">
        <v>17.9375</v>
      </c>
      <c r="J1944">
        <v>36.554200000000002</v>
      </c>
      <c r="K1944">
        <v>18.616700000000002</v>
      </c>
      <c r="L1944">
        <v>230</v>
      </c>
      <c r="M1944">
        <v>3</v>
      </c>
      <c r="N1944">
        <v>7</v>
      </c>
      <c r="O1944">
        <v>36.738399999999999</v>
      </c>
      <c r="P1944">
        <v>17.350000000000001</v>
      </c>
      <c r="Q1944">
        <v>8.8029799999999998</v>
      </c>
    </row>
    <row r="1945" spans="1:17" x14ac:dyDescent="0.25">
      <c r="A1945" t="str">
        <f>IF(C1945&amp;G1945&amp;D1945&lt;&gt;'Funnel setup'!$K$3&amp;'Funnel setup'!$K$4&amp;'Funnel setup'!$K$6,".",IF(A1944=".",1,A1944+1))</f>
        <v>.</v>
      </c>
      <c r="B1945" s="244" t="str">
        <f t="shared" si="30"/>
        <v>Knee Replacement PrimarySub-ICB of GP PracticeNHS NOTTINGHAM AND NOTTINGHAMSHIRE ICB - 02Q (02Q)Oxford Knee Score</v>
      </c>
      <c r="C1945" t="s">
        <v>969</v>
      </c>
      <c r="D1945" t="s">
        <v>1021</v>
      </c>
      <c r="E1945" t="s">
        <v>907</v>
      </c>
      <c r="F1945" t="s">
        <v>908</v>
      </c>
      <c r="G1945" t="s">
        <v>972</v>
      </c>
      <c r="H1945">
        <v>48</v>
      </c>
      <c r="I1945">
        <v>17.979199999999999</v>
      </c>
      <c r="J1945">
        <v>36.104199999999999</v>
      </c>
      <c r="K1945">
        <v>18.125</v>
      </c>
      <c r="L1945">
        <v>45</v>
      </c>
      <c r="M1945">
        <v>0</v>
      </c>
      <c r="N1945">
        <v>3</v>
      </c>
      <c r="O1945">
        <v>37.154600000000002</v>
      </c>
      <c r="P1945">
        <v>17.766200000000001</v>
      </c>
      <c r="Q1945">
        <v>9.4411900000000006</v>
      </c>
    </row>
    <row r="1946" spans="1:17" x14ac:dyDescent="0.25">
      <c r="A1946" t="str">
        <f>IF(C1946&amp;G1946&amp;D1946&lt;&gt;'Funnel setup'!$K$3&amp;'Funnel setup'!$K$4&amp;'Funnel setup'!$K$6,".",IF(A1945=".",1,A1945+1))</f>
        <v>.</v>
      </c>
      <c r="B1946" s="244" t="str">
        <f t="shared" si="30"/>
        <v>Knee Replacement PrimarySub-ICB of GP PracticeNHS NOTTINGHAM AND NOTTINGHAMSHIRE ICB - 52R (52R)Oxford Knee Score</v>
      </c>
      <c r="C1946" t="s">
        <v>969</v>
      </c>
      <c r="D1946" t="s">
        <v>1021</v>
      </c>
      <c r="E1946" t="s">
        <v>909</v>
      </c>
      <c r="F1946" t="s">
        <v>910</v>
      </c>
      <c r="G1946" t="s">
        <v>972</v>
      </c>
      <c r="H1946">
        <v>220</v>
      </c>
      <c r="I1946">
        <v>19.186399999999999</v>
      </c>
      <c r="J1946">
        <v>36.645499999999998</v>
      </c>
      <c r="K1946">
        <v>17.459099999999999</v>
      </c>
      <c r="L1946">
        <v>208</v>
      </c>
      <c r="M1946">
        <v>0</v>
      </c>
      <c r="N1946">
        <v>12</v>
      </c>
      <c r="O1946">
        <v>36.262</v>
      </c>
      <c r="P1946">
        <v>16.873699999999999</v>
      </c>
      <c r="Q1946">
        <v>8.6854700000000005</v>
      </c>
    </row>
    <row r="1947" spans="1:17" x14ac:dyDescent="0.25">
      <c r="A1947" t="str">
        <f>IF(C1947&amp;G1947&amp;D1947&lt;&gt;'Funnel setup'!$K$3&amp;'Funnel setup'!$K$4&amp;'Funnel setup'!$K$6,".",IF(A1946=".",1,A1946+1))</f>
        <v>.</v>
      </c>
      <c r="B1947" s="244" t="str">
        <f t="shared" si="30"/>
        <v>Knee Replacement PrimarySub-ICB of GP PracticeNHS SHROPSHIRE, TELFORD AND WREKIN ICB - M2L0M (M2L0M)Oxford Knee Score</v>
      </c>
      <c r="C1947" t="s">
        <v>969</v>
      </c>
      <c r="D1947" t="s">
        <v>1021</v>
      </c>
      <c r="E1947" t="s">
        <v>911</v>
      </c>
      <c r="F1947" t="s">
        <v>912</v>
      </c>
      <c r="G1947" t="s">
        <v>972</v>
      </c>
      <c r="H1947">
        <v>187</v>
      </c>
      <c r="I1947">
        <v>16.4011</v>
      </c>
      <c r="J1947">
        <v>36.9893</v>
      </c>
      <c r="K1947">
        <v>20.588200000000001</v>
      </c>
      <c r="L1947">
        <v>184</v>
      </c>
      <c r="M1947">
        <v>1</v>
      </c>
      <c r="N1947">
        <v>2</v>
      </c>
      <c r="O1947">
        <v>38.520299999999999</v>
      </c>
      <c r="P1947">
        <v>19.132000000000001</v>
      </c>
      <c r="Q1947">
        <v>7.8716499999999998</v>
      </c>
    </row>
    <row r="1948" spans="1:17" x14ac:dyDescent="0.25">
      <c r="A1948" t="str">
        <f>IF(C1948&amp;G1948&amp;D1948&lt;&gt;'Funnel setup'!$K$3&amp;'Funnel setup'!$K$4&amp;'Funnel setup'!$K$6,".",IF(A1947=".",1,A1947+1))</f>
        <v>.</v>
      </c>
      <c r="B1948" s="244" t="str">
        <f t="shared" si="30"/>
        <v>Knee Replacement PrimarySub-ICB of GP PracticeNHS SOMERSET ICB - 11X (11X)Oxford Knee Score</v>
      </c>
      <c r="C1948" t="s">
        <v>969</v>
      </c>
      <c r="D1948" t="s">
        <v>1021</v>
      </c>
      <c r="E1948" t="s">
        <v>913</v>
      </c>
      <c r="F1948" t="s">
        <v>914</v>
      </c>
      <c r="G1948" t="s">
        <v>972</v>
      </c>
      <c r="H1948">
        <v>212</v>
      </c>
      <c r="I1948">
        <v>19.589600000000001</v>
      </c>
      <c r="J1948">
        <v>38.033000000000001</v>
      </c>
      <c r="K1948">
        <v>18.4434</v>
      </c>
      <c r="L1948">
        <v>202</v>
      </c>
      <c r="M1948">
        <v>1</v>
      </c>
      <c r="N1948">
        <v>9</v>
      </c>
      <c r="O1948">
        <v>37.631999999999998</v>
      </c>
      <c r="P1948">
        <v>18.2437</v>
      </c>
      <c r="Q1948">
        <v>8.3012099999999993</v>
      </c>
    </row>
    <row r="1949" spans="1:17" x14ac:dyDescent="0.25">
      <c r="A1949" t="str">
        <f>IF(C1949&amp;G1949&amp;D1949&lt;&gt;'Funnel setup'!$K$3&amp;'Funnel setup'!$K$4&amp;'Funnel setup'!$K$6,".",IF(A1948=".",1,A1948+1))</f>
        <v>.</v>
      </c>
      <c r="B1949" s="244" t="str">
        <f t="shared" si="30"/>
        <v>Knee Replacement PrimarySub-ICB of GP PracticeNHS SOUTH EAST LONDON ICB - 72Q (72Q)Oxford Knee Score</v>
      </c>
      <c r="C1949" t="s">
        <v>969</v>
      </c>
      <c r="D1949" t="s">
        <v>1021</v>
      </c>
      <c r="E1949" t="s">
        <v>915</v>
      </c>
      <c r="F1949" t="s">
        <v>916</v>
      </c>
      <c r="G1949" t="s">
        <v>972</v>
      </c>
      <c r="H1949">
        <v>131</v>
      </c>
      <c r="I1949">
        <v>20.9542</v>
      </c>
      <c r="J1949">
        <v>35.480899999999998</v>
      </c>
      <c r="K1949">
        <v>14.5267</v>
      </c>
      <c r="L1949">
        <v>120</v>
      </c>
      <c r="M1949">
        <v>4</v>
      </c>
      <c r="N1949">
        <v>7</v>
      </c>
      <c r="O1949">
        <v>35.119500000000002</v>
      </c>
      <c r="P1949">
        <v>15.731199999999999</v>
      </c>
      <c r="Q1949">
        <v>8.5884</v>
      </c>
    </row>
    <row r="1950" spans="1:17" x14ac:dyDescent="0.25">
      <c r="A1950" t="str">
        <f>IF(C1950&amp;G1950&amp;D1950&lt;&gt;'Funnel setup'!$K$3&amp;'Funnel setup'!$K$4&amp;'Funnel setup'!$K$6,".",IF(A1949=".",1,A1949+1))</f>
        <v>.</v>
      </c>
      <c r="B1950" s="244" t="str">
        <f t="shared" si="30"/>
        <v>Knee Replacement PrimarySub-ICB of GP PracticeNHS SOUTH WEST LONDON ICB - 36L (36L)Oxford Knee Score</v>
      </c>
      <c r="C1950" t="s">
        <v>969</v>
      </c>
      <c r="D1950" t="s">
        <v>1021</v>
      </c>
      <c r="E1950" t="s">
        <v>917</v>
      </c>
      <c r="F1950" t="s">
        <v>918</v>
      </c>
      <c r="G1950" t="s">
        <v>972</v>
      </c>
      <c r="H1950">
        <v>494</v>
      </c>
      <c r="I1950">
        <v>19.862300000000001</v>
      </c>
      <c r="J1950">
        <v>36.194299999999998</v>
      </c>
      <c r="K1950">
        <v>16.332000000000001</v>
      </c>
      <c r="L1950">
        <v>470</v>
      </c>
      <c r="M1950">
        <v>2</v>
      </c>
      <c r="N1950">
        <v>22</v>
      </c>
      <c r="O1950">
        <v>36.257100000000001</v>
      </c>
      <c r="P1950">
        <v>16.8688</v>
      </c>
      <c r="Q1950">
        <v>8.2341499999999996</v>
      </c>
    </row>
    <row r="1951" spans="1:17" x14ac:dyDescent="0.25">
      <c r="A1951" t="str">
        <f>IF(C1951&amp;G1951&amp;D1951&lt;&gt;'Funnel setup'!$K$3&amp;'Funnel setup'!$K$4&amp;'Funnel setup'!$K$6,".",IF(A1950=".",1,A1950+1))</f>
        <v>.</v>
      </c>
      <c r="B1951" s="244" t="str">
        <f t="shared" si="30"/>
        <v>Knee Replacement PrimarySub-ICB of GP PracticeNHS SOUTH YORKSHIRE ICB - 02P (02P)Oxford Knee Score</v>
      </c>
      <c r="C1951" t="s">
        <v>969</v>
      </c>
      <c r="D1951" t="s">
        <v>1021</v>
      </c>
      <c r="E1951" t="s">
        <v>919</v>
      </c>
      <c r="F1951" t="s">
        <v>920</v>
      </c>
      <c r="G1951" t="s">
        <v>972</v>
      </c>
      <c r="H1951">
        <v>55</v>
      </c>
      <c r="I1951">
        <v>18.2727</v>
      </c>
      <c r="J1951">
        <v>34.6</v>
      </c>
      <c r="K1951">
        <v>16.327300000000001</v>
      </c>
      <c r="L1951">
        <v>49</v>
      </c>
      <c r="M1951">
        <v>2</v>
      </c>
      <c r="N1951">
        <v>4</v>
      </c>
      <c r="O1951">
        <v>36.080199999999998</v>
      </c>
      <c r="P1951">
        <v>16.6919</v>
      </c>
      <c r="Q1951">
        <v>9.7749900000000007</v>
      </c>
    </row>
    <row r="1952" spans="1:17" x14ac:dyDescent="0.25">
      <c r="A1952" t="str">
        <f>IF(C1952&amp;G1952&amp;D1952&lt;&gt;'Funnel setup'!$K$3&amp;'Funnel setup'!$K$4&amp;'Funnel setup'!$K$6,".",IF(A1951=".",1,A1951+1))</f>
        <v>.</v>
      </c>
      <c r="B1952" s="244" t="str">
        <f t="shared" si="30"/>
        <v>Knee Replacement PrimarySub-ICB of GP PracticeNHS SOUTH YORKSHIRE ICB - 02X (02X)Oxford Knee Score</v>
      </c>
      <c r="C1952" t="s">
        <v>969</v>
      </c>
      <c r="D1952" t="s">
        <v>1021</v>
      </c>
      <c r="E1952" t="s">
        <v>921</v>
      </c>
      <c r="F1952" t="s">
        <v>922</v>
      </c>
      <c r="G1952" t="s">
        <v>972</v>
      </c>
      <c r="H1952">
        <v>125</v>
      </c>
      <c r="I1952">
        <v>18.295999999999999</v>
      </c>
      <c r="J1952">
        <v>35.415999999999997</v>
      </c>
      <c r="K1952">
        <v>17.12</v>
      </c>
      <c r="L1952">
        <v>116</v>
      </c>
      <c r="M1952">
        <v>0</v>
      </c>
      <c r="N1952">
        <v>9</v>
      </c>
      <c r="O1952">
        <v>36.462299999999999</v>
      </c>
      <c r="P1952">
        <v>17.074000000000002</v>
      </c>
      <c r="Q1952">
        <v>9.2510600000000007</v>
      </c>
    </row>
    <row r="1953" spans="1:17" x14ac:dyDescent="0.25">
      <c r="A1953" t="str">
        <f>IF(C1953&amp;G1953&amp;D1953&lt;&gt;'Funnel setup'!$K$3&amp;'Funnel setup'!$K$4&amp;'Funnel setup'!$K$6,".",IF(A1952=".",1,A1952+1))</f>
        <v>.</v>
      </c>
      <c r="B1953" s="244" t="str">
        <f t="shared" si="30"/>
        <v>Knee Replacement PrimarySub-ICB of GP PracticeNHS SOUTH YORKSHIRE ICB - 03L (03L)Oxford Knee Score</v>
      </c>
      <c r="C1953" t="s">
        <v>969</v>
      </c>
      <c r="D1953" t="s">
        <v>1021</v>
      </c>
      <c r="E1953" t="s">
        <v>923</v>
      </c>
      <c r="F1953" t="s">
        <v>924</v>
      </c>
      <c r="G1953" t="s">
        <v>972</v>
      </c>
      <c r="H1953">
        <v>39</v>
      </c>
      <c r="I1953">
        <v>15.743600000000001</v>
      </c>
      <c r="J1953">
        <v>37.487200000000001</v>
      </c>
      <c r="K1953">
        <v>21.743600000000001</v>
      </c>
      <c r="L1953">
        <v>37</v>
      </c>
      <c r="M1953">
        <v>0</v>
      </c>
      <c r="N1953">
        <v>2</v>
      </c>
      <c r="O1953">
        <v>39.4955</v>
      </c>
      <c r="P1953">
        <v>20.107099999999999</v>
      </c>
      <c r="Q1953">
        <v>9.5216399999999997</v>
      </c>
    </row>
    <row r="1954" spans="1:17" x14ac:dyDescent="0.25">
      <c r="A1954" t="str">
        <f>IF(C1954&amp;G1954&amp;D1954&lt;&gt;'Funnel setup'!$K$3&amp;'Funnel setup'!$K$4&amp;'Funnel setup'!$K$6,".",IF(A1953=".",1,A1953+1))</f>
        <v>.</v>
      </c>
      <c r="B1954" s="244" t="str">
        <f t="shared" si="30"/>
        <v>Knee Replacement PrimarySub-ICB of GP PracticeNHS SOUTH YORKSHIRE ICB - 03N (03N)Oxford Knee Score</v>
      </c>
      <c r="C1954" t="s">
        <v>969</v>
      </c>
      <c r="D1954" t="s">
        <v>1021</v>
      </c>
      <c r="E1954" t="s">
        <v>925</v>
      </c>
      <c r="F1954" t="s">
        <v>926</v>
      </c>
      <c r="G1954" t="s">
        <v>972</v>
      </c>
      <c r="H1954">
        <v>39</v>
      </c>
      <c r="I1954">
        <v>19.538499999999999</v>
      </c>
      <c r="J1954">
        <v>38.1282</v>
      </c>
      <c r="K1954">
        <v>18.589700000000001</v>
      </c>
      <c r="L1954">
        <v>37</v>
      </c>
      <c r="M1954">
        <v>0</v>
      </c>
      <c r="N1954">
        <v>2</v>
      </c>
      <c r="O1954">
        <v>37.810499999999998</v>
      </c>
      <c r="P1954">
        <v>18.4222</v>
      </c>
      <c r="Q1954">
        <v>7.8672399999999998</v>
      </c>
    </row>
    <row r="1955" spans="1:17" x14ac:dyDescent="0.25">
      <c r="A1955" t="str">
        <f>IF(C1955&amp;G1955&amp;D1955&lt;&gt;'Funnel setup'!$K$3&amp;'Funnel setup'!$K$4&amp;'Funnel setup'!$K$6,".",IF(A1954=".",1,A1954+1))</f>
        <v>.</v>
      </c>
      <c r="B1955" s="244" t="str">
        <f t="shared" si="30"/>
        <v>Knee Replacement PrimarySub-ICB of GP PracticeNHS STAFFORDSHIRE AND STOKE-ON-TRENT ICB - 04Y (04Y)Oxford Knee Score</v>
      </c>
      <c r="C1955" t="s">
        <v>969</v>
      </c>
      <c r="D1955" t="s">
        <v>1021</v>
      </c>
      <c r="E1955" t="s">
        <v>927</v>
      </c>
      <c r="F1955" t="s">
        <v>928</v>
      </c>
      <c r="G1955" t="s">
        <v>972</v>
      </c>
      <c r="H1955">
        <v>25</v>
      </c>
      <c r="I1955">
        <v>19.88</v>
      </c>
      <c r="J1955">
        <v>38.840000000000003</v>
      </c>
      <c r="K1955">
        <v>18.96</v>
      </c>
      <c r="L1955">
        <v>24</v>
      </c>
      <c r="M1955">
        <v>0</v>
      </c>
      <c r="N1955">
        <v>1</v>
      </c>
      <c r="O1955" t="s">
        <v>127</v>
      </c>
      <c r="P1955" t="s">
        <v>127</v>
      </c>
      <c r="Q1955" t="s">
        <v>127</v>
      </c>
    </row>
    <row r="1956" spans="1:17" x14ac:dyDescent="0.25">
      <c r="A1956" t="str">
        <f>IF(C1956&amp;G1956&amp;D1956&lt;&gt;'Funnel setup'!$K$3&amp;'Funnel setup'!$K$4&amp;'Funnel setup'!$K$6,".",IF(A1955=".",1,A1955+1))</f>
        <v>.</v>
      </c>
      <c r="B1956" s="244" t="str">
        <f t="shared" si="30"/>
        <v>Knee Replacement PrimarySub-ICB of GP PracticeNHS STAFFORDSHIRE AND STOKE-ON-TRENT ICB - 05D (05D)Oxford Knee Score</v>
      </c>
      <c r="C1956" t="s">
        <v>969</v>
      </c>
      <c r="D1956" t="s">
        <v>1021</v>
      </c>
      <c r="E1956" t="s">
        <v>929</v>
      </c>
      <c r="F1956" t="s">
        <v>930</v>
      </c>
      <c r="G1956" t="s">
        <v>972</v>
      </c>
      <c r="H1956">
        <v>62</v>
      </c>
      <c r="I1956">
        <v>20.064499999999999</v>
      </c>
      <c r="J1956">
        <v>35.838700000000003</v>
      </c>
      <c r="K1956">
        <v>15.7742</v>
      </c>
      <c r="L1956">
        <v>59</v>
      </c>
      <c r="M1956">
        <v>0</v>
      </c>
      <c r="N1956">
        <v>3</v>
      </c>
      <c r="O1956">
        <v>35.425899999999999</v>
      </c>
      <c r="P1956">
        <v>16.037600000000001</v>
      </c>
      <c r="Q1956">
        <v>9.6175700000000006</v>
      </c>
    </row>
    <row r="1957" spans="1:17" x14ac:dyDescent="0.25">
      <c r="A1957" t="str">
        <f>IF(C1957&amp;G1957&amp;D1957&lt;&gt;'Funnel setup'!$K$3&amp;'Funnel setup'!$K$4&amp;'Funnel setup'!$K$6,".",IF(A1956=".",1,A1956+1))</f>
        <v>.</v>
      </c>
      <c r="B1957" s="244" t="str">
        <f t="shared" si="30"/>
        <v>Knee Replacement PrimarySub-ICB of GP PracticeNHS STAFFORDSHIRE AND STOKE-ON-TRENT ICB - 05G (05G)Oxford Knee Score</v>
      </c>
      <c r="C1957" t="s">
        <v>969</v>
      </c>
      <c r="D1957" t="s">
        <v>1021</v>
      </c>
      <c r="E1957" t="s">
        <v>931</v>
      </c>
      <c r="F1957" t="s">
        <v>932</v>
      </c>
      <c r="G1957" t="s">
        <v>972</v>
      </c>
      <c r="H1957">
        <v>47</v>
      </c>
      <c r="I1957">
        <v>17.914899999999999</v>
      </c>
      <c r="J1957">
        <v>36.106400000000001</v>
      </c>
      <c r="K1957">
        <v>18.191500000000001</v>
      </c>
      <c r="L1957">
        <v>46</v>
      </c>
      <c r="M1957">
        <v>0</v>
      </c>
      <c r="N1957">
        <v>1</v>
      </c>
      <c r="O1957">
        <v>36.744900000000001</v>
      </c>
      <c r="P1957">
        <v>17.3566</v>
      </c>
      <c r="Q1957">
        <v>7.6482299999999999</v>
      </c>
    </row>
    <row r="1958" spans="1:17" x14ac:dyDescent="0.25">
      <c r="A1958" t="str">
        <f>IF(C1958&amp;G1958&amp;D1958&lt;&gt;'Funnel setup'!$K$3&amp;'Funnel setup'!$K$4&amp;'Funnel setup'!$K$6,".",IF(A1957=".",1,A1957+1))</f>
        <v>.</v>
      </c>
      <c r="B1958" s="244" t="str">
        <f t="shared" si="30"/>
        <v>Knee Replacement PrimarySub-ICB of GP PracticeNHS STAFFORDSHIRE AND STOKE-ON-TRENT ICB - 05Q (05Q)Oxford Knee Score</v>
      </c>
      <c r="C1958" t="s">
        <v>969</v>
      </c>
      <c r="D1958" t="s">
        <v>1021</v>
      </c>
      <c r="E1958" t="s">
        <v>933</v>
      </c>
      <c r="F1958" t="s">
        <v>934</v>
      </c>
      <c r="G1958" t="s">
        <v>972</v>
      </c>
      <c r="H1958">
        <v>84</v>
      </c>
      <c r="I1958">
        <v>19.083300000000001</v>
      </c>
      <c r="J1958">
        <v>35.75</v>
      </c>
      <c r="K1958">
        <v>16.666699999999999</v>
      </c>
      <c r="L1958">
        <v>79</v>
      </c>
      <c r="M1958">
        <v>1</v>
      </c>
      <c r="N1958">
        <v>4</v>
      </c>
      <c r="O1958">
        <v>35.735399999999998</v>
      </c>
      <c r="P1958">
        <v>16.347100000000001</v>
      </c>
      <c r="Q1958">
        <v>8.7743400000000005</v>
      </c>
    </row>
    <row r="1959" spans="1:17" x14ac:dyDescent="0.25">
      <c r="A1959" t="str">
        <f>IF(C1959&amp;G1959&amp;D1959&lt;&gt;'Funnel setup'!$K$3&amp;'Funnel setup'!$K$4&amp;'Funnel setup'!$K$6,".",IF(A1958=".",1,A1958+1))</f>
        <v>.</v>
      </c>
      <c r="B1959" s="244" t="str">
        <f t="shared" si="30"/>
        <v>Knee Replacement PrimarySub-ICB of GP PracticeNHS STAFFORDSHIRE AND STOKE-ON-TRENT ICB - 05V (05V)Oxford Knee Score</v>
      </c>
      <c r="C1959" t="s">
        <v>969</v>
      </c>
      <c r="D1959" t="s">
        <v>1021</v>
      </c>
      <c r="E1959" t="s">
        <v>935</v>
      </c>
      <c r="F1959" t="s">
        <v>936</v>
      </c>
      <c r="G1959" t="s">
        <v>972</v>
      </c>
      <c r="H1959">
        <v>36</v>
      </c>
      <c r="I1959">
        <v>19.6389</v>
      </c>
      <c r="J1959">
        <v>39.1389</v>
      </c>
      <c r="K1959">
        <v>19.5</v>
      </c>
      <c r="L1959">
        <v>35</v>
      </c>
      <c r="M1959">
        <v>0</v>
      </c>
      <c r="N1959">
        <v>1</v>
      </c>
      <c r="O1959">
        <v>38.003100000000003</v>
      </c>
      <c r="P1959">
        <v>18.614799999999999</v>
      </c>
      <c r="Q1959">
        <v>7.4761100000000003</v>
      </c>
    </row>
    <row r="1960" spans="1:17" x14ac:dyDescent="0.25">
      <c r="A1960" t="str">
        <f>IF(C1960&amp;G1960&amp;D1960&lt;&gt;'Funnel setup'!$K$3&amp;'Funnel setup'!$K$4&amp;'Funnel setup'!$K$6,".",IF(A1959=".",1,A1959+1))</f>
        <v>.</v>
      </c>
      <c r="B1960" s="244" t="str">
        <f t="shared" si="30"/>
        <v>Knee Replacement PrimarySub-ICB of GP PracticeNHS STAFFORDSHIRE AND STOKE-ON-TRENT ICB - 05W (05W)Oxford Knee Score</v>
      </c>
      <c r="C1960" t="s">
        <v>969</v>
      </c>
      <c r="D1960" t="s">
        <v>1021</v>
      </c>
      <c r="E1960" t="s">
        <v>937</v>
      </c>
      <c r="F1960" t="s">
        <v>938</v>
      </c>
      <c r="G1960" t="s">
        <v>972</v>
      </c>
      <c r="H1960">
        <v>41</v>
      </c>
      <c r="I1960">
        <v>17.3171</v>
      </c>
      <c r="J1960">
        <v>34.731699999999996</v>
      </c>
      <c r="K1960">
        <v>17.4146</v>
      </c>
      <c r="L1960">
        <v>37</v>
      </c>
      <c r="M1960">
        <v>0</v>
      </c>
      <c r="N1960">
        <v>4</v>
      </c>
      <c r="O1960">
        <v>36.319800000000001</v>
      </c>
      <c r="P1960">
        <v>16.9315</v>
      </c>
      <c r="Q1960">
        <v>8.3194999999999997</v>
      </c>
    </row>
    <row r="1961" spans="1:17" x14ac:dyDescent="0.25">
      <c r="A1961" t="str">
        <f>IF(C1961&amp;G1961&amp;D1961&lt;&gt;'Funnel setup'!$K$3&amp;'Funnel setup'!$K$4&amp;'Funnel setup'!$K$6,".",IF(A1960=".",1,A1960+1))</f>
        <v>.</v>
      </c>
      <c r="B1961" s="244" t="str">
        <f t="shared" si="30"/>
        <v>Knee Replacement PrimarySub-ICB of GP PracticeNHS SUFFOLK AND NORTH EAST ESSEX ICB - 06L (06L)Oxford Knee Score</v>
      </c>
      <c r="C1961" t="s">
        <v>969</v>
      </c>
      <c r="D1961" t="s">
        <v>1021</v>
      </c>
      <c r="E1961" t="s">
        <v>939</v>
      </c>
      <c r="F1961" t="s">
        <v>940</v>
      </c>
      <c r="G1961" t="s">
        <v>972</v>
      </c>
      <c r="H1961">
        <v>120</v>
      </c>
      <c r="I1961">
        <v>17.916699999999999</v>
      </c>
      <c r="J1961">
        <v>37.558300000000003</v>
      </c>
      <c r="K1961">
        <v>19.6417</v>
      </c>
      <c r="L1961">
        <v>117</v>
      </c>
      <c r="M1961">
        <v>0</v>
      </c>
      <c r="N1961">
        <v>3</v>
      </c>
      <c r="O1961">
        <v>38.145800000000001</v>
      </c>
      <c r="P1961">
        <v>18.7575</v>
      </c>
      <c r="Q1961">
        <v>7.7892999999999999</v>
      </c>
    </row>
    <row r="1962" spans="1:17" x14ac:dyDescent="0.25">
      <c r="A1962" t="str">
        <f>IF(C1962&amp;G1962&amp;D1962&lt;&gt;'Funnel setup'!$K$3&amp;'Funnel setup'!$K$4&amp;'Funnel setup'!$K$6,".",IF(A1961=".",1,A1961+1))</f>
        <v>.</v>
      </c>
      <c r="B1962" s="244" t="str">
        <f t="shared" si="30"/>
        <v>Knee Replacement PrimarySub-ICB of GP PracticeNHS SUFFOLK AND NORTH EAST ESSEX ICB - 06T (06T)Oxford Knee Score</v>
      </c>
      <c r="C1962" t="s">
        <v>969</v>
      </c>
      <c r="D1962" t="s">
        <v>1021</v>
      </c>
      <c r="E1962" t="s">
        <v>941</v>
      </c>
      <c r="F1962" t="s">
        <v>942</v>
      </c>
      <c r="G1962" t="s">
        <v>972</v>
      </c>
      <c r="H1962">
        <v>30</v>
      </c>
      <c r="I1962">
        <v>17.666699999999999</v>
      </c>
      <c r="J1962">
        <v>34.6</v>
      </c>
      <c r="K1962">
        <v>16.933299999999999</v>
      </c>
      <c r="L1962">
        <v>29</v>
      </c>
      <c r="M1962">
        <v>0</v>
      </c>
      <c r="N1962">
        <v>1</v>
      </c>
      <c r="O1962">
        <v>35.5137</v>
      </c>
      <c r="P1962">
        <v>16.125399999999999</v>
      </c>
      <c r="Q1962">
        <v>6.7521599999999999</v>
      </c>
    </row>
    <row r="1963" spans="1:17" x14ac:dyDescent="0.25">
      <c r="A1963" t="str">
        <f>IF(C1963&amp;G1963&amp;D1963&lt;&gt;'Funnel setup'!$K$3&amp;'Funnel setup'!$K$4&amp;'Funnel setup'!$K$6,".",IF(A1962=".",1,A1962+1))</f>
        <v>.</v>
      </c>
      <c r="B1963" s="244" t="str">
        <f t="shared" si="30"/>
        <v>Knee Replacement PrimarySub-ICB of GP PracticeNHS SUFFOLK AND NORTH EAST ESSEX ICB - 07K (07K)Oxford Knee Score</v>
      </c>
      <c r="C1963" t="s">
        <v>969</v>
      </c>
      <c r="D1963" t="s">
        <v>1021</v>
      </c>
      <c r="E1963" t="s">
        <v>943</v>
      </c>
      <c r="F1963" t="s">
        <v>944</v>
      </c>
      <c r="G1963" t="s">
        <v>972</v>
      </c>
      <c r="H1963">
        <v>92</v>
      </c>
      <c r="I1963">
        <v>17.554300000000001</v>
      </c>
      <c r="J1963">
        <v>36.032600000000002</v>
      </c>
      <c r="K1963">
        <v>18.478300000000001</v>
      </c>
      <c r="L1963">
        <v>88</v>
      </c>
      <c r="M1963">
        <v>1</v>
      </c>
      <c r="N1963">
        <v>3</v>
      </c>
      <c r="O1963">
        <v>36.101399999999998</v>
      </c>
      <c r="P1963">
        <v>16.713100000000001</v>
      </c>
      <c r="Q1963">
        <v>8.2124699999999997</v>
      </c>
    </row>
    <row r="1964" spans="1:17" x14ac:dyDescent="0.25">
      <c r="A1964" t="str">
        <f>IF(C1964&amp;G1964&amp;D1964&lt;&gt;'Funnel setup'!$K$3&amp;'Funnel setup'!$K$4&amp;'Funnel setup'!$K$6,".",IF(A1963=".",1,A1963+1))</f>
        <v>.</v>
      </c>
      <c r="B1964" s="244" t="str">
        <f t="shared" si="30"/>
        <v>Knee Replacement PrimarySub-ICB of GP PracticeNHS SURREY HEARTLANDS ICB - 92A (92A)Oxford Knee Score</v>
      </c>
      <c r="C1964" t="s">
        <v>969</v>
      </c>
      <c r="D1964" t="s">
        <v>1021</v>
      </c>
      <c r="E1964" t="s">
        <v>945</v>
      </c>
      <c r="F1964" t="s">
        <v>946</v>
      </c>
      <c r="G1964" t="s">
        <v>972</v>
      </c>
      <c r="H1964">
        <v>332</v>
      </c>
      <c r="I1964">
        <v>21.924700000000001</v>
      </c>
      <c r="J1964">
        <v>38.771099999999997</v>
      </c>
      <c r="K1964">
        <v>16.846399999999999</v>
      </c>
      <c r="L1964">
        <v>317</v>
      </c>
      <c r="M1964">
        <v>3</v>
      </c>
      <c r="N1964">
        <v>12</v>
      </c>
      <c r="O1964">
        <v>37.061199999999999</v>
      </c>
      <c r="P1964">
        <v>17.672899999999998</v>
      </c>
      <c r="Q1964">
        <v>7.6972800000000001</v>
      </c>
    </row>
    <row r="1965" spans="1:17" x14ac:dyDescent="0.25">
      <c r="A1965" t="str">
        <f>IF(C1965&amp;G1965&amp;D1965&lt;&gt;'Funnel setup'!$K$3&amp;'Funnel setup'!$K$4&amp;'Funnel setup'!$K$6,".",IF(A1964=".",1,A1964+1))</f>
        <v>.</v>
      </c>
      <c r="B1965" s="244" t="str">
        <f t="shared" si="30"/>
        <v>Knee Replacement PrimarySub-ICB of GP PracticeNHS SUSSEX ICB - 09D (09D)Oxford Knee Score</v>
      </c>
      <c r="C1965" t="s">
        <v>969</v>
      </c>
      <c r="D1965" t="s">
        <v>1021</v>
      </c>
      <c r="E1965" t="s">
        <v>947</v>
      </c>
      <c r="F1965" t="s">
        <v>948</v>
      </c>
      <c r="G1965" t="s">
        <v>972</v>
      </c>
      <c r="H1965">
        <v>28</v>
      </c>
      <c r="I1965">
        <v>22.5</v>
      </c>
      <c r="J1965">
        <v>39.107100000000003</v>
      </c>
      <c r="K1965">
        <v>16.607099999999999</v>
      </c>
      <c r="L1965">
        <v>27</v>
      </c>
      <c r="M1965">
        <v>1</v>
      </c>
      <c r="N1965">
        <v>0</v>
      </c>
      <c r="O1965" t="s">
        <v>127</v>
      </c>
      <c r="P1965" t="s">
        <v>127</v>
      </c>
      <c r="Q1965" t="s">
        <v>127</v>
      </c>
    </row>
    <row r="1966" spans="1:17" x14ac:dyDescent="0.25">
      <c r="A1966" t="str">
        <f>IF(C1966&amp;G1966&amp;D1966&lt;&gt;'Funnel setup'!$K$3&amp;'Funnel setup'!$K$4&amp;'Funnel setup'!$K$6,".",IF(A1965=".",1,A1965+1))</f>
        <v>.</v>
      </c>
      <c r="B1966" s="244" t="str">
        <f t="shared" si="30"/>
        <v>Knee Replacement PrimarySub-ICB of GP PracticeNHS SUSSEX ICB - 70F (70F)Oxford Knee Score</v>
      </c>
      <c r="C1966" t="s">
        <v>969</v>
      </c>
      <c r="D1966" t="s">
        <v>1021</v>
      </c>
      <c r="E1966" t="s">
        <v>949</v>
      </c>
      <c r="F1966" t="s">
        <v>950</v>
      </c>
      <c r="G1966" t="s">
        <v>972</v>
      </c>
      <c r="H1966">
        <v>230</v>
      </c>
      <c r="I1966">
        <v>19.3261</v>
      </c>
      <c r="J1966">
        <v>37.047800000000002</v>
      </c>
      <c r="K1966">
        <v>17.721699999999998</v>
      </c>
      <c r="L1966">
        <v>219</v>
      </c>
      <c r="M1966">
        <v>2</v>
      </c>
      <c r="N1966">
        <v>9</v>
      </c>
      <c r="O1966">
        <v>36.668300000000002</v>
      </c>
      <c r="P1966">
        <v>17.279900000000001</v>
      </c>
      <c r="Q1966">
        <v>8.2426399999999997</v>
      </c>
    </row>
    <row r="1967" spans="1:17" x14ac:dyDescent="0.25">
      <c r="A1967" t="str">
        <f>IF(C1967&amp;G1967&amp;D1967&lt;&gt;'Funnel setup'!$K$3&amp;'Funnel setup'!$K$4&amp;'Funnel setup'!$K$6,".",IF(A1966=".",1,A1966+1))</f>
        <v>.</v>
      </c>
      <c r="B1967" s="244" t="str">
        <f t="shared" si="30"/>
        <v>Knee Replacement PrimarySub-ICB of GP PracticeNHS SUSSEX ICB - 97R (97R)Oxford Knee Score</v>
      </c>
      <c r="C1967" t="s">
        <v>969</v>
      </c>
      <c r="D1967" t="s">
        <v>1021</v>
      </c>
      <c r="E1967" t="s">
        <v>951</v>
      </c>
      <c r="F1967" t="s">
        <v>952</v>
      </c>
      <c r="G1967" t="s">
        <v>972</v>
      </c>
      <c r="H1967">
        <v>311</v>
      </c>
      <c r="I1967">
        <v>21.874600000000001</v>
      </c>
      <c r="J1967">
        <v>38.405099999999997</v>
      </c>
      <c r="K1967">
        <v>16.5305</v>
      </c>
      <c r="L1967">
        <v>297</v>
      </c>
      <c r="M1967">
        <v>0</v>
      </c>
      <c r="N1967">
        <v>14</v>
      </c>
      <c r="O1967">
        <v>37.293399999999998</v>
      </c>
      <c r="P1967">
        <v>17.905100000000001</v>
      </c>
      <c r="Q1967">
        <v>8.0155799999999999</v>
      </c>
    </row>
    <row r="1968" spans="1:17" x14ac:dyDescent="0.25">
      <c r="A1968" t="str">
        <f>IF(C1968&amp;G1968&amp;D1968&lt;&gt;'Funnel setup'!$K$3&amp;'Funnel setup'!$K$4&amp;'Funnel setup'!$K$6,".",IF(A1967=".",1,A1967+1))</f>
        <v>.</v>
      </c>
      <c r="B1968" s="244" t="str">
        <f t="shared" si="30"/>
        <v>Knee Replacement PrimarySub-ICB of GP PracticeNHS WEST YORKSHIRE ICB - 02T (02T)Oxford Knee Score</v>
      </c>
      <c r="C1968" t="s">
        <v>969</v>
      </c>
      <c r="D1968" t="s">
        <v>1021</v>
      </c>
      <c r="E1968" t="s">
        <v>953</v>
      </c>
      <c r="F1968" t="s">
        <v>954</v>
      </c>
      <c r="G1968" t="s">
        <v>972</v>
      </c>
      <c r="H1968">
        <v>43</v>
      </c>
      <c r="I1968">
        <v>19.325600000000001</v>
      </c>
      <c r="J1968">
        <v>37.511600000000001</v>
      </c>
      <c r="K1968">
        <v>18.186</v>
      </c>
      <c r="L1968">
        <v>41</v>
      </c>
      <c r="M1968">
        <v>0</v>
      </c>
      <c r="N1968">
        <v>2</v>
      </c>
      <c r="O1968">
        <v>37.399799999999999</v>
      </c>
      <c r="P1968">
        <v>18.011500000000002</v>
      </c>
      <c r="Q1968">
        <v>9.2401700000000009</v>
      </c>
    </row>
    <row r="1969" spans="1:17" x14ac:dyDescent="0.25">
      <c r="A1969" t="str">
        <f>IF(C1969&amp;G1969&amp;D1969&lt;&gt;'Funnel setup'!$K$3&amp;'Funnel setup'!$K$4&amp;'Funnel setup'!$K$6,".",IF(A1968=".",1,A1968+1))</f>
        <v>.</v>
      </c>
      <c r="B1969" s="244" t="str">
        <f t="shared" si="30"/>
        <v>Knee Replacement PrimarySub-ICB of GP PracticeNHS WEST YORKSHIRE ICB - 03R (03R)Oxford Knee Score</v>
      </c>
      <c r="C1969" t="s">
        <v>969</v>
      </c>
      <c r="D1969" t="s">
        <v>1021</v>
      </c>
      <c r="E1969" t="s">
        <v>955</v>
      </c>
      <c r="F1969" t="s">
        <v>956</v>
      </c>
      <c r="G1969" t="s">
        <v>972</v>
      </c>
      <c r="H1969">
        <v>182</v>
      </c>
      <c r="I1969">
        <v>18.560400000000001</v>
      </c>
      <c r="J1969">
        <v>36.395600000000002</v>
      </c>
      <c r="K1969">
        <v>17.8352</v>
      </c>
      <c r="L1969">
        <v>170</v>
      </c>
      <c r="M1969">
        <v>0</v>
      </c>
      <c r="N1969">
        <v>12</v>
      </c>
      <c r="O1969">
        <v>36.758499999999998</v>
      </c>
      <c r="P1969">
        <v>17.370200000000001</v>
      </c>
      <c r="Q1969">
        <v>9.1255299999999995</v>
      </c>
    </row>
    <row r="1970" spans="1:17" x14ac:dyDescent="0.25">
      <c r="A1970" t="str">
        <f>IF(C1970&amp;G1970&amp;D1970&lt;&gt;'Funnel setup'!$K$3&amp;'Funnel setup'!$K$4&amp;'Funnel setup'!$K$6,".",IF(A1969=".",1,A1969+1))</f>
        <v>.</v>
      </c>
      <c r="B1970" s="244" t="str">
        <f t="shared" si="30"/>
        <v>Knee Replacement PrimarySub-ICB of GP PracticeNHS WEST YORKSHIRE ICB - 15F (15F)Oxford Knee Score</v>
      </c>
      <c r="C1970" t="s">
        <v>969</v>
      </c>
      <c r="D1970" t="s">
        <v>1021</v>
      </c>
      <c r="E1970" t="s">
        <v>957</v>
      </c>
      <c r="F1970" t="s">
        <v>958</v>
      </c>
      <c r="G1970" t="s">
        <v>972</v>
      </c>
      <c r="H1970">
        <v>263</v>
      </c>
      <c r="I1970">
        <v>19.9848</v>
      </c>
      <c r="J1970">
        <v>37.406799999999997</v>
      </c>
      <c r="K1970">
        <v>17.4221</v>
      </c>
      <c r="L1970">
        <v>255</v>
      </c>
      <c r="M1970">
        <v>2</v>
      </c>
      <c r="N1970">
        <v>6</v>
      </c>
      <c r="O1970">
        <v>37.031100000000002</v>
      </c>
      <c r="P1970">
        <v>17.642800000000001</v>
      </c>
      <c r="Q1970">
        <v>8.0435700000000008</v>
      </c>
    </row>
    <row r="1971" spans="1:17" x14ac:dyDescent="0.25">
      <c r="A1971" t="str">
        <f>IF(C1971&amp;G1971&amp;D1971&lt;&gt;'Funnel setup'!$K$3&amp;'Funnel setup'!$K$4&amp;'Funnel setup'!$K$6,".",IF(A1970=".",1,A1970+1))</f>
        <v>.</v>
      </c>
      <c r="B1971" s="244" t="str">
        <f t="shared" si="30"/>
        <v>Knee Replacement PrimarySub-ICB of GP PracticeNHS WEST YORKSHIRE ICB - 36J (36J)Oxford Knee Score</v>
      </c>
      <c r="C1971" t="s">
        <v>969</v>
      </c>
      <c r="D1971" t="s">
        <v>1021</v>
      </c>
      <c r="E1971" t="s">
        <v>959</v>
      </c>
      <c r="F1971" t="s">
        <v>960</v>
      </c>
      <c r="G1971" t="s">
        <v>972</v>
      </c>
      <c r="H1971">
        <v>71</v>
      </c>
      <c r="I1971">
        <v>19.929600000000001</v>
      </c>
      <c r="J1971">
        <v>36.450699999999998</v>
      </c>
      <c r="K1971">
        <v>16.521100000000001</v>
      </c>
      <c r="L1971">
        <v>66</v>
      </c>
      <c r="M1971">
        <v>1</v>
      </c>
      <c r="N1971">
        <v>4</v>
      </c>
      <c r="O1971">
        <v>36.958500000000001</v>
      </c>
      <c r="P1971">
        <v>17.5702</v>
      </c>
      <c r="Q1971">
        <v>9.0703700000000005</v>
      </c>
    </row>
    <row r="1972" spans="1:17" x14ac:dyDescent="0.25">
      <c r="A1972" t="str">
        <f>IF(C1972&amp;G1972&amp;D1972&lt;&gt;'Funnel setup'!$K$3&amp;'Funnel setup'!$K$4&amp;'Funnel setup'!$K$6,".",IF(A1971=".",1,A1971+1))</f>
        <v>.</v>
      </c>
      <c r="B1972" s="244" t="str">
        <f t="shared" si="30"/>
        <v>Knee Replacement PrimarySub-ICB of GP PracticeNHS WEST YORKSHIRE ICB - X2C4Y (X2C4Y)Oxford Knee Score</v>
      </c>
      <c r="C1972" t="s">
        <v>969</v>
      </c>
      <c r="D1972" t="s">
        <v>1021</v>
      </c>
      <c r="E1972" t="s">
        <v>961</v>
      </c>
      <c r="F1972" t="s">
        <v>962</v>
      </c>
      <c r="G1972" t="s">
        <v>972</v>
      </c>
      <c r="H1972">
        <v>108</v>
      </c>
      <c r="I1972">
        <v>20.305599999999998</v>
      </c>
      <c r="J1972">
        <v>36.574100000000001</v>
      </c>
      <c r="K1972">
        <v>16.2685</v>
      </c>
      <c r="L1972">
        <v>98</v>
      </c>
      <c r="M1972">
        <v>2</v>
      </c>
      <c r="N1972">
        <v>8</v>
      </c>
      <c r="O1972">
        <v>36.247</v>
      </c>
      <c r="P1972">
        <v>16.858599999999999</v>
      </c>
      <c r="Q1972">
        <v>9.7285199999999996</v>
      </c>
    </row>
    <row r="1973" spans="1:17" x14ac:dyDescent="0.25">
      <c r="A1973" t="str">
        <f>IF(C1973&amp;G1973&amp;D1973&lt;&gt;'Funnel setup'!$K$3&amp;'Funnel setup'!$K$4&amp;'Funnel setup'!$K$6,".",IF(A1972=".",1,A1972+1))</f>
        <v>.</v>
      </c>
      <c r="B1973" s="244" t="str">
        <f t="shared" si="30"/>
        <v>Knee Replacement PrimaryEnglandEnglandEQ VAS</v>
      </c>
      <c r="C1973" t="s">
        <v>969</v>
      </c>
      <c r="D1973" t="s">
        <v>122</v>
      </c>
      <c r="E1973" t="s">
        <v>122</v>
      </c>
      <c r="F1973" t="s">
        <v>122</v>
      </c>
      <c r="G1973" t="s">
        <v>752</v>
      </c>
      <c r="H1973">
        <v>13609</v>
      </c>
      <c r="I1973">
        <v>65.528400000000005</v>
      </c>
      <c r="J1973">
        <v>73.935199999999995</v>
      </c>
      <c r="K1973">
        <v>8.4067900000000009</v>
      </c>
      <c r="L1973">
        <v>8343</v>
      </c>
      <c r="M1973">
        <v>1442</v>
      </c>
      <c r="N1973">
        <v>3824</v>
      </c>
      <c r="O1973">
        <v>73.935199999999995</v>
      </c>
      <c r="P1973">
        <v>8.4067900000000009</v>
      </c>
      <c r="Q1973">
        <v>16.869199999999999</v>
      </c>
    </row>
    <row r="1974" spans="1:17" x14ac:dyDescent="0.25">
      <c r="A1974" t="str">
        <f>IF(C1974&amp;G1974&amp;D1974&lt;&gt;'Funnel setup'!$K$3&amp;'Funnel setup'!$K$4&amp;'Funnel setup'!$K$6,".",IF(A1973=".",1,A1973+1))</f>
        <v>.</v>
      </c>
      <c r="B1974" s="244" t="str">
        <f t="shared" si="30"/>
        <v>Knee Replacement PrimaryEnglandEnglandEQ-5D Index</v>
      </c>
      <c r="C1974" t="s">
        <v>969</v>
      </c>
      <c r="D1974" t="s">
        <v>122</v>
      </c>
      <c r="E1974" t="s">
        <v>122</v>
      </c>
      <c r="F1974" t="s">
        <v>122</v>
      </c>
      <c r="G1974" t="s">
        <v>963</v>
      </c>
      <c r="H1974">
        <v>14210</v>
      </c>
      <c r="I1974">
        <v>0.42879600000000001</v>
      </c>
      <c r="J1974">
        <v>0.75302100000000005</v>
      </c>
      <c r="K1974">
        <v>0.32422499999999999</v>
      </c>
      <c r="L1974">
        <v>11703</v>
      </c>
      <c r="M1974">
        <v>1220</v>
      </c>
      <c r="N1974">
        <v>1287</v>
      </c>
      <c r="O1974">
        <v>0.75302100000000005</v>
      </c>
      <c r="P1974">
        <v>0.32422499999999999</v>
      </c>
      <c r="Q1974">
        <v>0.22898499999999999</v>
      </c>
    </row>
    <row r="1975" spans="1:17" x14ac:dyDescent="0.25">
      <c r="A1975" t="str">
        <f>IF(C1975&amp;G1975&amp;D1975&lt;&gt;'Funnel setup'!$K$3&amp;'Funnel setup'!$K$4&amp;'Funnel setup'!$K$6,".",IF(A1974=".",1,A1974+1))</f>
        <v>.</v>
      </c>
      <c r="B1975" s="244" t="str">
        <f t="shared" si="30"/>
        <v>Knee Replacement PrimaryEnglandEnglandOxford Knee Score</v>
      </c>
      <c r="C1975" t="s">
        <v>969</v>
      </c>
      <c r="D1975" t="s">
        <v>122</v>
      </c>
      <c r="E1975" t="s">
        <v>122</v>
      </c>
      <c r="F1975" t="s">
        <v>122</v>
      </c>
      <c r="G1975" t="s">
        <v>972</v>
      </c>
      <c r="H1975">
        <v>15016</v>
      </c>
      <c r="I1975">
        <v>19.388300000000001</v>
      </c>
      <c r="J1975">
        <v>37.013100000000001</v>
      </c>
      <c r="K1975">
        <v>17.624700000000001</v>
      </c>
      <c r="L1975">
        <v>14289</v>
      </c>
      <c r="M1975">
        <v>114</v>
      </c>
      <c r="N1975">
        <v>613</v>
      </c>
      <c r="O1975">
        <v>37.013100000000001</v>
      </c>
      <c r="P1975">
        <v>17.624700000000001</v>
      </c>
      <c r="Q1975">
        <v>8.3795699999999993</v>
      </c>
    </row>
    <row r="1976" spans="1:17" x14ac:dyDescent="0.25">
      <c r="A1976" t="str">
        <f>IF(C1976&amp;G1976&amp;D1976&lt;&gt;'Funnel setup'!$K$3&amp;'Funnel setup'!$K$4&amp;'Funnel setup'!$K$6,".",IF(A1975=".",1,A1975+1))</f>
        <v>.</v>
      </c>
      <c r="B1976" s="244" t="str">
        <f t="shared" si="30"/>
        <v>Knee Replacement PrimaryProviderSULIS HOSPITAL BATHEQ VAS</v>
      </c>
      <c r="C1976" t="s">
        <v>969</v>
      </c>
      <c r="D1976" t="s">
        <v>965</v>
      </c>
      <c r="E1976" t="s">
        <v>732</v>
      </c>
      <c r="F1976" t="s">
        <v>1325</v>
      </c>
      <c r="G1976" t="s">
        <v>752</v>
      </c>
      <c r="H1976">
        <v>35</v>
      </c>
      <c r="I1976">
        <v>64.857100000000003</v>
      </c>
      <c r="J1976">
        <v>73.6571</v>
      </c>
      <c r="K1976">
        <v>8.8000000000000007</v>
      </c>
      <c r="L1976">
        <v>22</v>
      </c>
      <c r="M1976">
        <v>5</v>
      </c>
      <c r="N1976">
        <v>8</v>
      </c>
      <c r="O1976">
        <v>72.519300000000001</v>
      </c>
      <c r="P1976">
        <v>6.9909499999999998</v>
      </c>
      <c r="Q1976">
        <v>13.932399999999999</v>
      </c>
    </row>
    <row r="1977" spans="1:17" x14ac:dyDescent="0.25">
      <c r="A1977" t="str">
        <f>IF(C1977&amp;G1977&amp;D1977&lt;&gt;'Funnel setup'!$K$3&amp;'Funnel setup'!$K$4&amp;'Funnel setup'!$K$6,".",IF(A1976=".",1,A1976+1))</f>
        <v>.</v>
      </c>
      <c r="B1977" s="244" t="str">
        <f t="shared" si="30"/>
        <v>Knee Replacement PrimaryProviderAIREDALE NHS FOUNDATION TRUST (RCF)EQ VAS</v>
      </c>
      <c r="C1977" t="s">
        <v>969</v>
      </c>
      <c r="D1977" t="s">
        <v>965</v>
      </c>
      <c r="E1977" t="s">
        <v>125</v>
      </c>
      <c r="F1977" t="s">
        <v>126</v>
      </c>
      <c r="G1977" t="s">
        <v>752</v>
      </c>
      <c r="H1977">
        <v>29</v>
      </c>
      <c r="I1977">
        <v>70.241399999999999</v>
      </c>
      <c r="J1977">
        <v>78.413799999999995</v>
      </c>
      <c r="K1977">
        <v>8.1724099999999993</v>
      </c>
      <c r="L1977">
        <v>14</v>
      </c>
      <c r="M1977">
        <v>7</v>
      </c>
      <c r="N1977">
        <v>8</v>
      </c>
      <c r="O1977" t="s">
        <v>127</v>
      </c>
      <c r="P1977" t="s">
        <v>127</v>
      </c>
      <c r="Q1977" t="s">
        <v>127</v>
      </c>
    </row>
    <row r="1978" spans="1:17" x14ac:dyDescent="0.25">
      <c r="A1978" t="str">
        <f>IF(C1978&amp;G1978&amp;D1978&lt;&gt;'Funnel setup'!$K$3&amp;'Funnel setup'!$K$4&amp;'Funnel setup'!$K$6,".",IF(A1977=".",1,A1977+1))</f>
        <v>.</v>
      </c>
      <c r="B1978" s="244" t="str">
        <f t="shared" si="30"/>
        <v>Knee Replacement PrimaryProviderALEXANDRA HOSPITAL (NT401)EQ VAS</v>
      </c>
      <c r="C1978" t="s">
        <v>969</v>
      </c>
      <c r="D1978" t="s">
        <v>965</v>
      </c>
      <c r="E1978" t="s">
        <v>130</v>
      </c>
      <c r="F1978" t="s">
        <v>131</v>
      </c>
      <c r="G1978" t="s">
        <v>752</v>
      </c>
      <c r="H1978">
        <v>44</v>
      </c>
      <c r="I1978">
        <v>63.636400000000002</v>
      </c>
      <c r="J1978">
        <v>73.25</v>
      </c>
      <c r="K1978">
        <v>9.6136400000000002</v>
      </c>
      <c r="L1978">
        <v>30</v>
      </c>
      <c r="M1978">
        <v>2</v>
      </c>
      <c r="N1978">
        <v>12</v>
      </c>
      <c r="O1978">
        <v>73.094899999999996</v>
      </c>
      <c r="P1978">
        <v>7.5665300000000002</v>
      </c>
      <c r="Q1978">
        <v>18.705200000000001</v>
      </c>
    </row>
    <row r="1979" spans="1:17" x14ac:dyDescent="0.25">
      <c r="A1979" t="str">
        <f>IF(C1979&amp;G1979&amp;D1979&lt;&gt;'Funnel setup'!$K$3&amp;'Funnel setup'!$K$4&amp;'Funnel setup'!$K$6,".",IF(A1978=".",1,A1978+1))</f>
        <v>.</v>
      </c>
      <c r="B1979" s="244" t="str">
        <f t="shared" si="30"/>
        <v>Knee Replacement PrimaryProviderASHFORD AND ST PETER'S HOSPITALS NHS FOUNDATION TRUST (RTK)EQ VAS</v>
      </c>
      <c r="C1979" t="s">
        <v>969</v>
      </c>
      <c r="D1979" t="s">
        <v>965</v>
      </c>
      <c r="E1979" t="s">
        <v>132</v>
      </c>
      <c r="F1979" t="s">
        <v>133</v>
      </c>
      <c r="G1979" t="s">
        <v>752</v>
      </c>
      <c r="H1979">
        <v>28</v>
      </c>
      <c r="I1979">
        <v>72.178600000000003</v>
      </c>
      <c r="J1979">
        <v>77.464299999999994</v>
      </c>
      <c r="K1979">
        <v>5.2857099999999999</v>
      </c>
      <c r="L1979">
        <v>16</v>
      </c>
      <c r="M1979">
        <v>2</v>
      </c>
      <c r="N1979">
        <v>10</v>
      </c>
      <c r="O1979" t="s">
        <v>127</v>
      </c>
      <c r="P1979" t="s">
        <v>127</v>
      </c>
      <c r="Q1979" t="s">
        <v>127</v>
      </c>
    </row>
    <row r="1980" spans="1:17" x14ac:dyDescent="0.25">
      <c r="A1980" t="str">
        <f>IF(C1980&amp;G1980&amp;D1980&lt;&gt;'Funnel setup'!$K$3&amp;'Funnel setup'!$K$4&amp;'Funnel setup'!$K$6,".",IF(A1979=".",1,A1979+1))</f>
        <v>.</v>
      </c>
      <c r="B1980" s="244" t="str">
        <f t="shared" si="30"/>
        <v>Knee Replacement PrimaryProviderASHTEAD HOSPITAL (NVC01)EQ VAS</v>
      </c>
      <c r="C1980" t="s">
        <v>969</v>
      </c>
      <c r="D1980" t="s">
        <v>965</v>
      </c>
      <c r="E1980" t="s">
        <v>134</v>
      </c>
      <c r="F1980" t="s">
        <v>135</v>
      </c>
      <c r="G1980" t="s">
        <v>752</v>
      </c>
      <c r="H1980">
        <v>4</v>
      </c>
      <c r="I1980">
        <v>70</v>
      </c>
      <c r="J1980">
        <v>90.5</v>
      </c>
      <c r="K1980">
        <v>20.5</v>
      </c>
      <c r="L1980">
        <v>3</v>
      </c>
      <c r="M1980">
        <v>0</v>
      </c>
      <c r="N1980">
        <v>1</v>
      </c>
      <c r="O1980" t="s">
        <v>127</v>
      </c>
      <c r="P1980" t="s">
        <v>127</v>
      </c>
      <c r="Q1980" t="s">
        <v>127</v>
      </c>
    </row>
    <row r="1981" spans="1:17" x14ac:dyDescent="0.25">
      <c r="A1981" t="str">
        <f>IF(C1981&amp;G1981&amp;D1981&lt;&gt;'Funnel setup'!$K$3&amp;'Funnel setup'!$K$4&amp;'Funnel setup'!$K$6,".",IF(A1980=".",1,A1980+1))</f>
        <v>.</v>
      </c>
      <c r="B1981" s="244" t="str">
        <f t="shared" si="30"/>
        <v>Knee Replacement PrimaryProviderBARKING, HAVERING AND REDBRIDGE UNIVERSITY HOSPITALS NHS TRUST (RF4)EQ VAS</v>
      </c>
      <c r="C1981" t="s">
        <v>969</v>
      </c>
      <c r="D1981" t="s">
        <v>965</v>
      </c>
      <c r="E1981" t="s">
        <v>144</v>
      </c>
      <c r="F1981" t="s">
        <v>145</v>
      </c>
      <c r="G1981" t="s">
        <v>752</v>
      </c>
      <c r="H1981">
        <v>52</v>
      </c>
      <c r="I1981">
        <v>61.134599999999999</v>
      </c>
      <c r="J1981">
        <v>71.923100000000005</v>
      </c>
      <c r="K1981">
        <v>10.788500000000001</v>
      </c>
      <c r="L1981">
        <v>37</v>
      </c>
      <c r="M1981">
        <v>5</v>
      </c>
      <c r="N1981">
        <v>10</v>
      </c>
      <c r="O1981">
        <v>75.721900000000005</v>
      </c>
      <c r="P1981">
        <v>10.1935</v>
      </c>
      <c r="Q1981">
        <v>14.743499999999999</v>
      </c>
    </row>
    <row r="1982" spans="1:17" x14ac:dyDescent="0.25">
      <c r="A1982" t="str">
        <f>IF(C1982&amp;G1982&amp;D1982&lt;&gt;'Funnel setup'!$K$3&amp;'Funnel setup'!$K$4&amp;'Funnel setup'!$K$6,".",IF(A1981=".",1,A1981+1))</f>
        <v>.</v>
      </c>
      <c r="B1982" s="244" t="str">
        <f t="shared" si="30"/>
        <v>Knee Replacement PrimaryProviderBARNSLEY HOSPITAL NHS FOUNDATION TRUST (RFF)EQ VAS</v>
      </c>
      <c r="C1982" t="s">
        <v>969</v>
      </c>
      <c r="D1982" t="s">
        <v>965</v>
      </c>
      <c r="E1982" t="s">
        <v>146</v>
      </c>
      <c r="F1982" t="s">
        <v>147</v>
      </c>
      <c r="G1982" t="s">
        <v>752</v>
      </c>
      <c r="H1982">
        <v>47</v>
      </c>
      <c r="I1982">
        <v>68.808499999999995</v>
      </c>
      <c r="J1982">
        <v>76.255300000000005</v>
      </c>
      <c r="K1982">
        <v>7.4468100000000002</v>
      </c>
      <c r="L1982">
        <v>30</v>
      </c>
      <c r="M1982">
        <v>4</v>
      </c>
      <c r="N1982">
        <v>13</v>
      </c>
      <c r="O1982">
        <v>75.915700000000001</v>
      </c>
      <c r="P1982">
        <v>10.3873</v>
      </c>
      <c r="Q1982">
        <v>16.9284</v>
      </c>
    </row>
    <row r="1983" spans="1:17" x14ac:dyDescent="0.25">
      <c r="A1983" t="str">
        <f>IF(C1983&amp;G1983&amp;D1983&lt;&gt;'Funnel setup'!$K$3&amp;'Funnel setup'!$K$4&amp;'Funnel setup'!$K$6,".",IF(A1982=".",1,A1982+1))</f>
        <v>.</v>
      </c>
      <c r="B1983" s="244" t="str">
        <f t="shared" si="30"/>
        <v>Knee Replacement PrimaryProviderBARTS HEALTH NHS TRUST (R1H)EQ VAS</v>
      </c>
      <c r="C1983" t="s">
        <v>969</v>
      </c>
      <c r="D1983" t="s">
        <v>965</v>
      </c>
      <c r="E1983" t="s">
        <v>148</v>
      </c>
      <c r="F1983" t="s">
        <v>149</v>
      </c>
      <c r="G1983" t="s">
        <v>752</v>
      </c>
      <c r="H1983">
        <v>63</v>
      </c>
      <c r="I1983">
        <v>58.9206</v>
      </c>
      <c r="J1983">
        <v>67.920599999999993</v>
      </c>
      <c r="K1983">
        <v>9</v>
      </c>
      <c r="L1983">
        <v>41</v>
      </c>
      <c r="M1983">
        <v>3</v>
      </c>
      <c r="N1983">
        <v>19</v>
      </c>
      <c r="O1983">
        <v>72.802099999999996</v>
      </c>
      <c r="P1983">
        <v>7.2737400000000001</v>
      </c>
      <c r="Q1983">
        <v>19.445499999999999</v>
      </c>
    </row>
    <row r="1984" spans="1:17" x14ac:dyDescent="0.25">
      <c r="A1984" t="str">
        <f>IF(C1984&amp;G1984&amp;D1984&lt;&gt;'Funnel setup'!$K$3&amp;'Funnel setup'!$K$4&amp;'Funnel setup'!$K$6,".",IF(A1983=".",1,A1983+1))</f>
        <v>.</v>
      </c>
      <c r="B1984" s="244" t="str">
        <f t="shared" si="30"/>
        <v>Knee Replacement PrimaryProviderBATH CLINIC (NT402)EQ VAS</v>
      </c>
      <c r="C1984" t="s">
        <v>969</v>
      </c>
      <c r="D1984" t="s">
        <v>965</v>
      </c>
      <c r="E1984" t="s">
        <v>152</v>
      </c>
      <c r="F1984" t="s">
        <v>153</v>
      </c>
      <c r="G1984" t="s">
        <v>752</v>
      </c>
      <c r="H1984">
        <v>54</v>
      </c>
      <c r="I1984">
        <v>77.277799999999999</v>
      </c>
      <c r="J1984">
        <v>78.425899999999999</v>
      </c>
      <c r="K1984">
        <v>1.14815</v>
      </c>
      <c r="L1984">
        <v>28</v>
      </c>
      <c r="M1984">
        <v>5</v>
      </c>
      <c r="N1984">
        <v>21</v>
      </c>
      <c r="O1984">
        <v>72.339600000000004</v>
      </c>
      <c r="P1984">
        <v>6.8111600000000001</v>
      </c>
      <c r="Q1984">
        <v>16.145099999999999</v>
      </c>
    </row>
    <row r="1985" spans="1:17" x14ac:dyDescent="0.25">
      <c r="A1985" t="str">
        <f>IF(C1985&amp;G1985&amp;D1985&lt;&gt;'Funnel setup'!$K$3&amp;'Funnel setup'!$K$4&amp;'Funnel setup'!$K$6,".",IF(A1984=".",1,A1984+1))</f>
        <v>.</v>
      </c>
      <c r="B1985" s="244" t="str">
        <f t="shared" si="30"/>
        <v>Knee Replacement PrimaryProviderBEARDWOOD HOSPITAL (NT403)EQ VAS</v>
      </c>
      <c r="C1985" t="s">
        <v>969</v>
      </c>
      <c r="D1985" t="s">
        <v>965</v>
      </c>
      <c r="E1985" t="s">
        <v>154</v>
      </c>
      <c r="F1985" t="s">
        <v>155</v>
      </c>
      <c r="G1985" t="s">
        <v>752</v>
      </c>
      <c r="H1985">
        <v>69</v>
      </c>
      <c r="I1985">
        <v>71.971000000000004</v>
      </c>
      <c r="J1985">
        <v>75.318799999999996</v>
      </c>
      <c r="K1985">
        <v>3.3478300000000001</v>
      </c>
      <c r="L1985">
        <v>35</v>
      </c>
      <c r="M1985">
        <v>12</v>
      </c>
      <c r="N1985">
        <v>22</v>
      </c>
      <c r="O1985">
        <v>72.148499999999999</v>
      </c>
      <c r="P1985">
        <v>6.6200799999999997</v>
      </c>
      <c r="Q1985">
        <v>15.9138</v>
      </c>
    </row>
    <row r="1986" spans="1:17" x14ac:dyDescent="0.25">
      <c r="A1986" t="str">
        <f>IF(C1986&amp;G1986&amp;D1986&lt;&gt;'Funnel setup'!$K$3&amp;'Funnel setup'!$K$4&amp;'Funnel setup'!$K$6,".",IF(A1985=".",1,A1985+1))</f>
        <v>.</v>
      </c>
      <c r="B1986" s="244" t="str">
        <f t="shared" ref="B1986:B2049" si="31">C1986&amp;D1986&amp;F1986&amp;G1986</f>
        <v>Knee Replacement PrimaryProviderBEAUMONT HOSPITAL (NT404)EQ VAS</v>
      </c>
      <c r="C1986" t="s">
        <v>969</v>
      </c>
      <c r="D1986" t="s">
        <v>965</v>
      </c>
      <c r="E1986" t="s">
        <v>156</v>
      </c>
      <c r="F1986" t="s">
        <v>157</v>
      </c>
      <c r="G1986" t="s">
        <v>752</v>
      </c>
      <c r="H1986">
        <v>42</v>
      </c>
      <c r="I1986">
        <v>67.428600000000003</v>
      </c>
      <c r="J1986">
        <v>77.666700000000006</v>
      </c>
      <c r="K1986">
        <v>10.238099999999999</v>
      </c>
      <c r="L1986">
        <v>27</v>
      </c>
      <c r="M1986">
        <v>5</v>
      </c>
      <c r="N1986">
        <v>10</v>
      </c>
      <c r="O1986">
        <v>76.737899999999996</v>
      </c>
      <c r="P1986">
        <v>11.2095</v>
      </c>
      <c r="Q1986">
        <v>14.8864</v>
      </c>
    </row>
    <row r="1987" spans="1:17" x14ac:dyDescent="0.25">
      <c r="A1987" t="str">
        <f>IF(C1987&amp;G1987&amp;D1987&lt;&gt;'Funnel setup'!$K$3&amp;'Funnel setup'!$K$4&amp;'Funnel setup'!$K$6,".",IF(A1986=".",1,A1986+1))</f>
        <v>.</v>
      </c>
      <c r="B1987" s="244" t="str">
        <f t="shared" si="31"/>
        <v>Knee Replacement PrimaryProviderBEDFORDSHIRE HOSPITALS NHS FOUNDATION TRUST (RC9)EQ VAS</v>
      </c>
      <c r="C1987" t="s">
        <v>969</v>
      </c>
      <c r="D1987" t="s">
        <v>965</v>
      </c>
      <c r="E1987" t="s">
        <v>158</v>
      </c>
      <c r="F1987" t="s">
        <v>159</v>
      </c>
      <c r="G1987" t="s">
        <v>752</v>
      </c>
      <c r="H1987">
        <v>133</v>
      </c>
      <c r="I1987">
        <v>62.864699999999999</v>
      </c>
      <c r="J1987">
        <v>68.526300000000006</v>
      </c>
      <c r="K1987">
        <v>5.6616499999999998</v>
      </c>
      <c r="L1987">
        <v>73</v>
      </c>
      <c r="M1987">
        <v>14</v>
      </c>
      <c r="N1987">
        <v>46</v>
      </c>
      <c r="O1987">
        <v>70.510199999999998</v>
      </c>
      <c r="P1987">
        <v>4.9817999999999998</v>
      </c>
      <c r="Q1987">
        <v>20.482299999999999</v>
      </c>
    </row>
    <row r="1988" spans="1:17" x14ac:dyDescent="0.25">
      <c r="A1988" t="str">
        <f>IF(C1988&amp;G1988&amp;D1988&lt;&gt;'Funnel setup'!$K$3&amp;'Funnel setup'!$K$4&amp;'Funnel setup'!$K$6,".",IF(A1987=".",1,A1987+1))</f>
        <v>.</v>
      </c>
      <c r="B1988" s="244" t="str">
        <f t="shared" si="31"/>
        <v>Knee Replacement PrimaryProviderBENENDEN HOSPITAL (NWF01)EQ VAS</v>
      </c>
      <c r="C1988" t="s">
        <v>969</v>
      </c>
      <c r="D1988" t="s">
        <v>965</v>
      </c>
      <c r="E1988" t="s">
        <v>160</v>
      </c>
      <c r="F1988" t="s">
        <v>161</v>
      </c>
      <c r="G1988" t="s">
        <v>752</v>
      </c>
      <c r="H1988">
        <v>25</v>
      </c>
      <c r="I1988">
        <v>68.12</v>
      </c>
      <c r="J1988">
        <v>78.040000000000006</v>
      </c>
      <c r="K1988">
        <v>9.92</v>
      </c>
      <c r="L1988">
        <v>20</v>
      </c>
      <c r="M1988">
        <v>1</v>
      </c>
      <c r="N1988">
        <v>4</v>
      </c>
      <c r="O1988" t="s">
        <v>127</v>
      </c>
      <c r="P1988" t="s">
        <v>127</v>
      </c>
      <c r="Q1988" t="s">
        <v>127</v>
      </c>
    </row>
    <row r="1989" spans="1:17" x14ac:dyDescent="0.25">
      <c r="A1989" t="str">
        <f>IF(C1989&amp;G1989&amp;D1989&lt;&gt;'Funnel setup'!$K$3&amp;'Funnel setup'!$K$4&amp;'Funnel setup'!$K$6,".",IF(A1988=".",1,A1988+1))</f>
        <v>.</v>
      </c>
      <c r="B1989" s="244" t="str">
        <f t="shared" si="31"/>
        <v>Knee Replacement PrimaryProviderBLACKHEATH HOSPITAL (NT406)EQ VAS</v>
      </c>
      <c r="C1989" t="s">
        <v>969</v>
      </c>
      <c r="D1989" t="s">
        <v>965</v>
      </c>
      <c r="E1989" t="s">
        <v>168</v>
      </c>
      <c r="F1989" t="s">
        <v>169</v>
      </c>
      <c r="G1989" t="s">
        <v>752</v>
      </c>
      <c r="H1989">
        <v>17</v>
      </c>
      <c r="I1989">
        <v>71.235299999999995</v>
      </c>
      <c r="J1989">
        <v>78.235299999999995</v>
      </c>
      <c r="K1989">
        <v>7</v>
      </c>
      <c r="L1989">
        <v>11</v>
      </c>
      <c r="M1989">
        <v>3</v>
      </c>
      <c r="N1989">
        <v>3</v>
      </c>
      <c r="O1989" t="s">
        <v>127</v>
      </c>
      <c r="P1989" t="s">
        <v>127</v>
      </c>
      <c r="Q1989" t="s">
        <v>127</v>
      </c>
    </row>
    <row r="1990" spans="1:17" x14ac:dyDescent="0.25">
      <c r="A1990" t="str">
        <f>IF(C1990&amp;G1990&amp;D1990&lt;&gt;'Funnel setup'!$K$3&amp;'Funnel setup'!$K$4&amp;'Funnel setup'!$K$6,".",IF(A1989=".",1,A1989+1))</f>
        <v>.</v>
      </c>
      <c r="B1990" s="244" t="str">
        <f t="shared" si="31"/>
        <v>Knee Replacement PrimaryProviderBLACKPOOL TEACHING HOSPITALS NHS FOUNDATION TRUST (RXL)EQ VAS</v>
      </c>
      <c r="C1990" t="s">
        <v>969</v>
      </c>
      <c r="D1990" t="s">
        <v>965</v>
      </c>
      <c r="E1990" t="s">
        <v>170</v>
      </c>
      <c r="F1990" t="s">
        <v>171</v>
      </c>
      <c r="G1990" t="s">
        <v>752</v>
      </c>
      <c r="H1990">
        <v>54</v>
      </c>
      <c r="I1990">
        <v>67.592600000000004</v>
      </c>
      <c r="J1990">
        <v>69.555599999999998</v>
      </c>
      <c r="K1990">
        <v>1.96296</v>
      </c>
      <c r="L1990">
        <v>24</v>
      </c>
      <c r="M1990">
        <v>9</v>
      </c>
      <c r="N1990">
        <v>21</v>
      </c>
      <c r="O1990">
        <v>72.495400000000004</v>
      </c>
      <c r="P1990">
        <v>6.9669600000000003</v>
      </c>
      <c r="Q1990">
        <v>16.880199999999999</v>
      </c>
    </row>
    <row r="1991" spans="1:17" x14ac:dyDescent="0.25">
      <c r="A1991" t="str">
        <f>IF(C1991&amp;G1991&amp;D1991&lt;&gt;'Funnel setup'!$K$3&amp;'Funnel setup'!$K$4&amp;'Funnel setup'!$K$6,".",IF(A1990=".",1,A1990+1))</f>
        <v>.</v>
      </c>
      <c r="B1991" s="244" t="str">
        <f t="shared" si="31"/>
        <v>Knee Replacement PrimaryProviderBOLTON NHS FOUNDATION TRUST (RMC)EQ VAS</v>
      </c>
      <c r="C1991" t="s">
        <v>969</v>
      </c>
      <c r="D1991" t="s">
        <v>965</v>
      </c>
      <c r="E1991" t="s">
        <v>172</v>
      </c>
      <c r="F1991" t="s">
        <v>173</v>
      </c>
      <c r="G1991" t="s">
        <v>752</v>
      </c>
      <c r="H1991">
        <v>47</v>
      </c>
      <c r="I1991">
        <v>68.297899999999998</v>
      </c>
      <c r="J1991">
        <v>72.851100000000002</v>
      </c>
      <c r="K1991">
        <v>4.5531899999999998</v>
      </c>
      <c r="L1991">
        <v>24</v>
      </c>
      <c r="M1991">
        <v>8</v>
      </c>
      <c r="N1991">
        <v>15</v>
      </c>
      <c r="O1991">
        <v>74.096500000000006</v>
      </c>
      <c r="P1991">
        <v>8.5681499999999993</v>
      </c>
      <c r="Q1991">
        <v>15.4649</v>
      </c>
    </row>
    <row r="1992" spans="1:17" x14ac:dyDescent="0.25">
      <c r="A1992" t="str">
        <f>IF(C1992&amp;G1992&amp;D1992&lt;&gt;'Funnel setup'!$K$3&amp;'Funnel setup'!$K$4&amp;'Funnel setup'!$K$6,".",IF(A1991=".",1,A1991+1))</f>
        <v>.</v>
      </c>
      <c r="B1992" s="244" t="str">
        <f t="shared" si="31"/>
        <v>Knee Replacement PrimaryProviderBRADFORD TEACHING HOSPITALS NHS FOUNDATION TRUST (RAE)EQ VAS</v>
      </c>
      <c r="C1992" t="s">
        <v>969</v>
      </c>
      <c r="D1992" t="s">
        <v>965</v>
      </c>
      <c r="E1992" t="s">
        <v>174</v>
      </c>
      <c r="F1992" t="s">
        <v>175</v>
      </c>
      <c r="G1992" t="s">
        <v>752</v>
      </c>
      <c r="H1992">
        <v>4</v>
      </c>
      <c r="I1992">
        <v>57.5</v>
      </c>
      <c r="J1992">
        <v>72.5</v>
      </c>
      <c r="K1992">
        <v>15</v>
      </c>
      <c r="L1992">
        <v>3</v>
      </c>
      <c r="M1992">
        <v>0</v>
      </c>
      <c r="N1992">
        <v>1</v>
      </c>
      <c r="O1992" t="s">
        <v>127</v>
      </c>
      <c r="P1992" t="s">
        <v>127</v>
      </c>
      <c r="Q1992" t="s">
        <v>127</v>
      </c>
    </row>
    <row r="1993" spans="1:17" x14ac:dyDescent="0.25">
      <c r="A1993" t="str">
        <f>IF(C1993&amp;G1993&amp;D1993&lt;&gt;'Funnel setup'!$K$3&amp;'Funnel setup'!$K$4&amp;'Funnel setup'!$K$6,".",IF(A1992=".",1,A1992+1))</f>
        <v>.</v>
      </c>
      <c r="B1993" s="244" t="str">
        <f t="shared" si="31"/>
        <v>Knee Replacement PrimaryProviderBUCKINGHAMSHIRE HEALTHCARE NHS TRUST (RXQ)EQ VAS</v>
      </c>
      <c r="C1993" t="s">
        <v>969</v>
      </c>
      <c r="D1993" t="s">
        <v>965</v>
      </c>
      <c r="E1993" t="s">
        <v>178</v>
      </c>
      <c r="F1993" t="s">
        <v>179</v>
      </c>
      <c r="G1993" t="s">
        <v>752</v>
      </c>
      <c r="H1993">
        <v>73</v>
      </c>
      <c r="I1993">
        <v>64.684899999999999</v>
      </c>
      <c r="J1993">
        <v>71.671199999999999</v>
      </c>
      <c r="K1993">
        <v>6.9863</v>
      </c>
      <c r="L1993">
        <v>44</v>
      </c>
      <c r="M1993">
        <v>6</v>
      </c>
      <c r="N1993">
        <v>23</v>
      </c>
      <c r="O1993">
        <v>71.705699999999993</v>
      </c>
      <c r="P1993">
        <v>6.1772600000000004</v>
      </c>
      <c r="Q1993">
        <v>18.738299999999999</v>
      </c>
    </row>
    <row r="1994" spans="1:17" x14ac:dyDescent="0.25">
      <c r="A1994" t="str">
        <f>IF(C1994&amp;G1994&amp;D1994&lt;&gt;'Funnel setup'!$K$3&amp;'Funnel setup'!$K$4&amp;'Funnel setup'!$K$6,".",IF(A1993=".",1,A1993+1))</f>
        <v>.</v>
      </c>
      <c r="B1994" s="244" t="str">
        <f t="shared" si="31"/>
        <v>Knee Replacement PrimaryProviderCALDERDALE AND HUDDERSFIELD NHS FOUNDATION TRUST (RWY)EQ VAS</v>
      </c>
      <c r="C1994" t="s">
        <v>969</v>
      </c>
      <c r="D1994" t="s">
        <v>965</v>
      </c>
      <c r="E1994" t="s">
        <v>180</v>
      </c>
      <c r="F1994" t="s">
        <v>181</v>
      </c>
      <c r="G1994" t="s">
        <v>752</v>
      </c>
      <c r="H1994">
        <v>50</v>
      </c>
      <c r="I1994">
        <v>66.34</v>
      </c>
      <c r="J1994">
        <v>67.959999999999994</v>
      </c>
      <c r="K1994">
        <v>1.62</v>
      </c>
      <c r="L1994">
        <v>23</v>
      </c>
      <c r="M1994">
        <v>6</v>
      </c>
      <c r="N1994">
        <v>21</v>
      </c>
      <c r="O1994">
        <v>67.997</v>
      </c>
      <c r="P1994">
        <v>2.4685999999999999</v>
      </c>
      <c r="Q1994">
        <v>17.127700000000001</v>
      </c>
    </row>
    <row r="1995" spans="1:17" x14ac:dyDescent="0.25">
      <c r="A1995" t="str">
        <f>IF(C1995&amp;G1995&amp;D1995&lt;&gt;'Funnel setup'!$K$3&amp;'Funnel setup'!$K$4&amp;'Funnel setup'!$K$6,".",IF(A1994=".",1,A1994+1))</f>
        <v>.</v>
      </c>
      <c r="B1995" s="244" t="str">
        <f t="shared" si="31"/>
        <v>Knee Replacement PrimaryProviderCAMBRIDGE UNIVERSITY HOSPITALS NHS FOUNDATION TRUST (RGT)EQ VAS</v>
      </c>
      <c r="C1995" t="s">
        <v>969</v>
      </c>
      <c r="D1995" t="s">
        <v>965</v>
      </c>
      <c r="E1995" t="s">
        <v>182</v>
      </c>
      <c r="F1995" t="s">
        <v>183</v>
      </c>
      <c r="G1995" t="s">
        <v>752</v>
      </c>
      <c r="H1995">
        <v>47</v>
      </c>
      <c r="I1995">
        <v>52.872300000000003</v>
      </c>
      <c r="J1995">
        <v>62.978700000000003</v>
      </c>
      <c r="K1995">
        <v>10.106400000000001</v>
      </c>
      <c r="L1995">
        <v>26</v>
      </c>
      <c r="M1995">
        <v>4</v>
      </c>
      <c r="N1995">
        <v>17</v>
      </c>
      <c r="O1995">
        <v>71.080200000000005</v>
      </c>
      <c r="P1995">
        <v>5.5517700000000003</v>
      </c>
      <c r="Q1995">
        <v>22.056000000000001</v>
      </c>
    </row>
    <row r="1996" spans="1:17" x14ac:dyDescent="0.25">
      <c r="A1996" t="str">
        <f>IF(C1996&amp;G1996&amp;D1996&lt;&gt;'Funnel setup'!$K$3&amp;'Funnel setup'!$K$4&amp;'Funnel setup'!$K$6,".",IF(A1995=".",1,A1995+1))</f>
        <v>.</v>
      </c>
      <c r="B1996" s="244" t="str">
        <f t="shared" si="31"/>
        <v>Knee Replacement PrimaryProviderCAVELL HOSPITAL (NT451)EQ VAS</v>
      </c>
      <c r="C1996" t="s">
        <v>969</v>
      </c>
      <c r="D1996" t="s">
        <v>965</v>
      </c>
      <c r="E1996" t="s">
        <v>184</v>
      </c>
      <c r="F1996" t="s">
        <v>185</v>
      </c>
      <c r="G1996" t="s">
        <v>752</v>
      </c>
      <c r="H1996">
        <v>35</v>
      </c>
      <c r="I1996">
        <v>65.2286</v>
      </c>
      <c r="J1996">
        <v>76.971400000000003</v>
      </c>
      <c r="K1996">
        <v>11.742900000000001</v>
      </c>
      <c r="L1996">
        <v>23</v>
      </c>
      <c r="M1996">
        <v>4</v>
      </c>
      <c r="N1996">
        <v>8</v>
      </c>
      <c r="O1996">
        <v>77.164199999999994</v>
      </c>
      <c r="P1996">
        <v>11.6358</v>
      </c>
      <c r="Q1996">
        <v>15.6205</v>
      </c>
    </row>
    <row r="1997" spans="1:17" x14ac:dyDescent="0.25">
      <c r="A1997" t="str">
        <f>IF(C1997&amp;G1997&amp;D1997&lt;&gt;'Funnel setup'!$K$3&amp;'Funnel setup'!$K$4&amp;'Funnel setup'!$K$6,".",IF(A1996=".",1,A1996+1))</f>
        <v>.</v>
      </c>
      <c r="B1997" s="244" t="str">
        <f t="shared" si="31"/>
        <v>Knee Replacement PrimaryProviderCHAUCER HOSPITAL (NT408)EQ VAS</v>
      </c>
      <c r="C1997" t="s">
        <v>969</v>
      </c>
      <c r="D1997" t="s">
        <v>965</v>
      </c>
      <c r="E1997" t="s">
        <v>186</v>
      </c>
      <c r="F1997" t="s">
        <v>187</v>
      </c>
      <c r="G1997" t="s">
        <v>752</v>
      </c>
      <c r="H1997">
        <v>43</v>
      </c>
      <c r="I1997">
        <v>68.604699999999994</v>
      </c>
      <c r="J1997">
        <v>78.441900000000004</v>
      </c>
      <c r="K1997">
        <v>9.8372100000000007</v>
      </c>
      <c r="L1997">
        <v>24</v>
      </c>
      <c r="M1997">
        <v>6</v>
      </c>
      <c r="N1997">
        <v>13</v>
      </c>
      <c r="O1997">
        <v>76.414199999999994</v>
      </c>
      <c r="P1997">
        <v>10.8858</v>
      </c>
      <c r="Q1997">
        <v>11.7828</v>
      </c>
    </row>
    <row r="1998" spans="1:17" x14ac:dyDescent="0.25">
      <c r="A1998" t="str">
        <f>IF(C1998&amp;G1998&amp;D1998&lt;&gt;'Funnel setup'!$K$3&amp;'Funnel setup'!$K$4&amp;'Funnel setup'!$K$6,".",IF(A1997=".",1,A1997+1))</f>
        <v>.</v>
      </c>
      <c r="B1998" s="244" t="str">
        <f t="shared" si="31"/>
        <v>Knee Replacement PrimaryProviderCHELSEA AND WESTMINSTER HOSPITAL NHS FOUNDATION TRUST (RQM)EQ VAS</v>
      </c>
      <c r="C1998" t="s">
        <v>969</v>
      </c>
      <c r="D1998" t="s">
        <v>965</v>
      </c>
      <c r="E1998" t="s">
        <v>188</v>
      </c>
      <c r="F1998" t="s">
        <v>189</v>
      </c>
      <c r="G1998" t="s">
        <v>752</v>
      </c>
      <c r="H1998">
        <v>5</v>
      </c>
      <c r="I1998">
        <v>80</v>
      </c>
      <c r="J1998">
        <v>68</v>
      </c>
      <c r="K1998">
        <v>-12</v>
      </c>
      <c r="L1998">
        <v>3</v>
      </c>
      <c r="M1998">
        <v>0</v>
      </c>
      <c r="N1998">
        <v>2</v>
      </c>
      <c r="O1998" t="s">
        <v>127</v>
      </c>
      <c r="P1998" t="s">
        <v>127</v>
      </c>
      <c r="Q1998" t="s">
        <v>127</v>
      </c>
    </row>
    <row r="1999" spans="1:17" x14ac:dyDescent="0.25">
      <c r="A1999" t="str">
        <f>IF(C1999&amp;G1999&amp;D1999&lt;&gt;'Funnel setup'!$K$3&amp;'Funnel setup'!$K$4&amp;'Funnel setup'!$K$6,".",IF(A1998=".",1,A1998+1))</f>
        <v>.</v>
      </c>
      <c r="B1999" s="244" t="str">
        <f t="shared" si="31"/>
        <v>Knee Replacement PrimaryProviderCHELSFIELD PARK HOSPITAL (NT409)EQ VAS</v>
      </c>
      <c r="C1999" t="s">
        <v>969</v>
      </c>
      <c r="D1999" t="s">
        <v>965</v>
      </c>
      <c r="E1999" t="s">
        <v>190</v>
      </c>
      <c r="F1999" t="s">
        <v>191</v>
      </c>
      <c r="G1999" t="s">
        <v>752</v>
      </c>
      <c r="H1999">
        <v>28</v>
      </c>
      <c r="I1999">
        <v>72.142899999999997</v>
      </c>
      <c r="J1999">
        <v>85</v>
      </c>
      <c r="K1999">
        <v>12.857100000000001</v>
      </c>
      <c r="L1999">
        <v>20</v>
      </c>
      <c r="M1999">
        <v>3</v>
      </c>
      <c r="N1999">
        <v>5</v>
      </c>
      <c r="O1999" t="s">
        <v>127</v>
      </c>
      <c r="P1999" t="s">
        <v>127</v>
      </c>
      <c r="Q1999" t="s">
        <v>127</v>
      </c>
    </row>
    <row r="2000" spans="1:17" x14ac:dyDescent="0.25">
      <c r="A2000" t="str">
        <f>IF(C2000&amp;G2000&amp;D2000&lt;&gt;'Funnel setup'!$K$3&amp;'Funnel setup'!$K$4&amp;'Funnel setup'!$K$6,".",IF(A1999=".",1,A1999+1))</f>
        <v>.</v>
      </c>
      <c r="B2000" s="244" t="str">
        <f t="shared" si="31"/>
        <v>Knee Replacement PrimaryProviderCHESTERFIELD ROYAL HOSPITAL NHS FOUNDATION TRUST (RFS)EQ VAS</v>
      </c>
      <c r="C2000" t="s">
        <v>969</v>
      </c>
      <c r="D2000" t="s">
        <v>965</v>
      </c>
      <c r="E2000" t="s">
        <v>192</v>
      </c>
      <c r="F2000" t="s">
        <v>193</v>
      </c>
      <c r="G2000" t="s">
        <v>752</v>
      </c>
      <c r="H2000">
        <v>55</v>
      </c>
      <c r="I2000">
        <v>65.418199999999999</v>
      </c>
      <c r="J2000">
        <v>67.818200000000004</v>
      </c>
      <c r="K2000">
        <v>2.4</v>
      </c>
      <c r="L2000">
        <v>31</v>
      </c>
      <c r="M2000">
        <v>4</v>
      </c>
      <c r="N2000">
        <v>20</v>
      </c>
      <c r="O2000">
        <v>71.328400000000002</v>
      </c>
      <c r="P2000">
        <v>5.7999499999999999</v>
      </c>
      <c r="Q2000">
        <v>21.464700000000001</v>
      </c>
    </row>
    <row r="2001" spans="1:17" x14ac:dyDescent="0.25">
      <c r="A2001" t="str">
        <f>IF(C2001&amp;G2001&amp;D2001&lt;&gt;'Funnel setup'!$K$3&amp;'Funnel setup'!$K$4&amp;'Funnel setup'!$K$6,".",IF(A2000=".",1,A2000+1))</f>
        <v>.</v>
      </c>
      <c r="B2001" s="244" t="str">
        <f t="shared" si="31"/>
        <v>Knee Replacement PrimaryProviderCHILTERN HOSPITAL (NT410)EQ VAS</v>
      </c>
      <c r="C2001" t="s">
        <v>969</v>
      </c>
      <c r="D2001" t="s">
        <v>965</v>
      </c>
      <c r="E2001" t="s">
        <v>194</v>
      </c>
      <c r="F2001" t="s">
        <v>195</v>
      </c>
      <c r="G2001" t="s">
        <v>752</v>
      </c>
      <c r="H2001">
        <v>71</v>
      </c>
      <c r="I2001">
        <v>72.056299999999993</v>
      </c>
      <c r="J2001">
        <v>82.422499999999999</v>
      </c>
      <c r="K2001">
        <v>10.366199999999999</v>
      </c>
      <c r="L2001">
        <v>47</v>
      </c>
      <c r="M2001">
        <v>9</v>
      </c>
      <c r="N2001">
        <v>15</v>
      </c>
      <c r="O2001">
        <v>77.756900000000002</v>
      </c>
      <c r="P2001">
        <v>12.2285</v>
      </c>
      <c r="Q2001">
        <v>13.989000000000001</v>
      </c>
    </row>
    <row r="2002" spans="1:17" x14ac:dyDescent="0.25">
      <c r="A2002" t="str">
        <f>IF(C2002&amp;G2002&amp;D2002&lt;&gt;'Funnel setup'!$K$3&amp;'Funnel setup'!$K$4&amp;'Funnel setup'!$K$6,".",IF(A2001=".",1,A2001+1))</f>
        <v>.</v>
      </c>
      <c r="B2002" s="244" t="str">
        <f t="shared" si="31"/>
        <v>Knee Replacement PrimaryProviderCIRCLE BATH HOSPITAL (NV302)EQ VAS</v>
      </c>
      <c r="C2002" t="s">
        <v>969</v>
      </c>
      <c r="D2002" t="s">
        <v>965</v>
      </c>
      <c r="E2002" t="s">
        <v>196</v>
      </c>
      <c r="F2002" t="s">
        <v>197</v>
      </c>
      <c r="G2002" t="s">
        <v>752</v>
      </c>
      <c r="H2002">
        <v>12</v>
      </c>
      <c r="I2002">
        <v>65.5</v>
      </c>
      <c r="J2002">
        <v>77.333299999999994</v>
      </c>
      <c r="K2002">
        <v>11.833299999999999</v>
      </c>
      <c r="L2002">
        <v>7</v>
      </c>
      <c r="M2002">
        <v>2</v>
      </c>
      <c r="N2002">
        <v>3</v>
      </c>
      <c r="O2002" t="s">
        <v>127</v>
      </c>
      <c r="P2002" t="s">
        <v>127</v>
      </c>
      <c r="Q2002" t="s">
        <v>127</v>
      </c>
    </row>
    <row r="2003" spans="1:17" x14ac:dyDescent="0.25">
      <c r="A2003" t="str">
        <f>IF(C2003&amp;G2003&amp;D2003&lt;&gt;'Funnel setup'!$K$3&amp;'Funnel setup'!$K$4&amp;'Funnel setup'!$K$6,".",IF(A2002=".",1,A2002+1))</f>
        <v>.</v>
      </c>
      <c r="B2003" s="244" t="str">
        <f t="shared" si="31"/>
        <v>Knee Replacement PrimaryProviderCIRCLE READING HOSPITAL (NV323)EQ VAS</v>
      </c>
      <c r="C2003" t="s">
        <v>969</v>
      </c>
      <c r="D2003" t="s">
        <v>965</v>
      </c>
      <c r="E2003" t="s">
        <v>198</v>
      </c>
      <c r="F2003" t="s">
        <v>199</v>
      </c>
      <c r="G2003" t="s">
        <v>752</v>
      </c>
      <c r="H2003">
        <v>59</v>
      </c>
      <c r="I2003">
        <v>45.694899999999997</v>
      </c>
      <c r="J2003">
        <v>80.423699999999997</v>
      </c>
      <c r="K2003">
        <v>34.7288</v>
      </c>
      <c r="L2003">
        <v>56</v>
      </c>
      <c r="M2003">
        <v>2</v>
      </c>
      <c r="N2003">
        <v>1</v>
      </c>
      <c r="O2003">
        <v>82.421800000000005</v>
      </c>
      <c r="P2003">
        <v>16.8934</v>
      </c>
      <c r="Q2003">
        <v>13.031700000000001</v>
      </c>
    </row>
    <row r="2004" spans="1:17" x14ac:dyDescent="0.25">
      <c r="A2004" t="str">
        <f>IF(C2004&amp;G2004&amp;D2004&lt;&gt;'Funnel setup'!$K$3&amp;'Funnel setup'!$K$4&amp;'Funnel setup'!$K$6,".",IF(A2003=".",1,A2003+1))</f>
        <v>.</v>
      </c>
      <c r="B2004" s="244" t="str">
        <f t="shared" si="31"/>
        <v>Knee Replacement PrimaryProviderCLEMENTINE CHURCHILL HOSPITAL (NT411)EQ VAS</v>
      </c>
      <c r="C2004" t="s">
        <v>969</v>
      </c>
      <c r="D2004" t="s">
        <v>965</v>
      </c>
      <c r="E2004" t="s">
        <v>200</v>
      </c>
      <c r="F2004" t="s">
        <v>201</v>
      </c>
      <c r="G2004" t="s">
        <v>752</v>
      </c>
      <c r="H2004">
        <v>27</v>
      </c>
      <c r="I2004">
        <v>61.370399999999997</v>
      </c>
      <c r="J2004">
        <v>72.111099999999993</v>
      </c>
      <c r="K2004">
        <v>10.7407</v>
      </c>
      <c r="L2004">
        <v>18</v>
      </c>
      <c r="M2004">
        <v>0</v>
      </c>
      <c r="N2004">
        <v>9</v>
      </c>
      <c r="O2004" t="s">
        <v>127</v>
      </c>
      <c r="P2004" t="s">
        <v>127</v>
      </c>
      <c r="Q2004" t="s">
        <v>127</v>
      </c>
    </row>
    <row r="2005" spans="1:17" x14ac:dyDescent="0.25">
      <c r="A2005" t="str">
        <f>IF(C2005&amp;G2005&amp;D2005&lt;&gt;'Funnel setup'!$K$3&amp;'Funnel setup'!$K$4&amp;'Funnel setup'!$K$6,".",IF(A2004=".",1,A2004+1))</f>
        <v>.</v>
      </c>
      <c r="B2005" s="244" t="str">
        <f t="shared" si="31"/>
        <v>Knee Replacement PrimaryProviderCLIFTON PARK HOSPITAL (NVC28)EQ VAS</v>
      </c>
      <c r="C2005" t="s">
        <v>969</v>
      </c>
      <c r="D2005" t="s">
        <v>965</v>
      </c>
      <c r="E2005" t="s">
        <v>202</v>
      </c>
      <c r="F2005" t="s">
        <v>203</v>
      </c>
      <c r="G2005" t="s">
        <v>752</v>
      </c>
      <c r="H2005">
        <v>57</v>
      </c>
      <c r="I2005">
        <v>57.9649</v>
      </c>
      <c r="J2005">
        <v>73.596500000000006</v>
      </c>
      <c r="K2005">
        <v>15.631600000000001</v>
      </c>
      <c r="L2005">
        <v>41</v>
      </c>
      <c r="M2005">
        <v>0</v>
      </c>
      <c r="N2005">
        <v>16</v>
      </c>
      <c r="O2005">
        <v>73.587000000000003</v>
      </c>
      <c r="P2005">
        <v>8.0585900000000006</v>
      </c>
      <c r="Q2005">
        <v>16.235800000000001</v>
      </c>
    </row>
    <row r="2006" spans="1:17" x14ac:dyDescent="0.25">
      <c r="A2006" t="str">
        <f>IF(C2006&amp;G2006&amp;D2006&lt;&gt;'Funnel setup'!$K$3&amp;'Funnel setup'!$K$4&amp;'Funnel setup'!$K$6,".",IF(A2005=".",1,A2005+1))</f>
        <v>.</v>
      </c>
      <c r="B2006" s="244" t="str">
        <f t="shared" si="31"/>
        <v>Knee Replacement PrimaryProviderCOUNTESS OF CHESTER HOSPITAL NHS FOUNDATION TRUST (RJR)EQ VAS</v>
      </c>
      <c r="C2006" t="s">
        <v>969</v>
      </c>
      <c r="D2006" t="s">
        <v>965</v>
      </c>
      <c r="E2006" t="s">
        <v>204</v>
      </c>
      <c r="F2006" t="s">
        <v>205</v>
      </c>
      <c r="G2006" t="s">
        <v>752</v>
      </c>
      <c r="H2006">
        <v>25</v>
      </c>
      <c r="I2006">
        <v>76.44</v>
      </c>
      <c r="J2006">
        <v>75.319999999999993</v>
      </c>
      <c r="K2006">
        <v>-1.1200000000000001</v>
      </c>
      <c r="L2006">
        <v>11</v>
      </c>
      <c r="M2006">
        <v>5</v>
      </c>
      <c r="N2006">
        <v>9</v>
      </c>
      <c r="O2006" t="s">
        <v>127</v>
      </c>
      <c r="P2006" t="s">
        <v>127</v>
      </c>
      <c r="Q2006" t="s">
        <v>127</v>
      </c>
    </row>
    <row r="2007" spans="1:17" x14ac:dyDescent="0.25">
      <c r="A2007" t="str">
        <f>IF(C2007&amp;G2007&amp;D2007&lt;&gt;'Funnel setup'!$K$3&amp;'Funnel setup'!$K$4&amp;'Funnel setup'!$K$6,".",IF(A2006=".",1,A2006+1))</f>
        <v>.</v>
      </c>
      <c r="B2007" s="244" t="str">
        <f t="shared" si="31"/>
        <v>Knee Replacement PrimaryProviderCOUNTY DURHAM AND DARLINGTON NHS FOUNDATION TRUST (RXP)EQ VAS</v>
      </c>
      <c r="C2007" t="s">
        <v>969</v>
      </c>
      <c r="D2007" t="s">
        <v>965</v>
      </c>
      <c r="E2007" t="s">
        <v>206</v>
      </c>
      <c r="F2007" t="s">
        <v>207</v>
      </c>
      <c r="G2007" t="s">
        <v>752</v>
      </c>
      <c r="H2007">
        <v>122</v>
      </c>
      <c r="I2007">
        <v>64.983599999999996</v>
      </c>
      <c r="J2007">
        <v>74.139300000000006</v>
      </c>
      <c r="K2007">
        <v>9.1557399999999998</v>
      </c>
      <c r="L2007">
        <v>70</v>
      </c>
      <c r="M2007">
        <v>13</v>
      </c>
      <c r="N2007">
        <v>39</v>
      </c>
      <c r="O2007">
        <v>74.249099999999999</v>
      </c>
      <c r="P2007">
        <v>8.7206499999999991</v>
      </c>
      <c r="Q2007">
        <v>15.944599999999999</v>
      </c>
    </row>
    <row r="2008" spans="1:17" x14ac:dyDescent="0.25">
      <c r="A2008" t="str">
        <f>IF(C2008&amp;G2008&amp;D2008&lt;&gt;'Funnel setup'!$K$3&amp;'Funnel setup'!$K$4&amp;'Funnel setup'!$K$6,".",IF(A2007=".",1,A2007+1))</f>
        <v>.</v>
      </c>
      <c r="B2008" s="244" t="str">
        <f t="shared" si="31"/>
        <v>Knee Replacement PrimaryProviderDONCASTER AND BASSETLAW TEACHING HOSPITALS NHS FOUNDATION TRUST (RP5)EQ VAS</v>
      </c>
      <c r="C2008" t="s">
        <v>969</v>
      </c>
      <c r="D2008" t="s">
        <v>965</v>
      </c>
      <c r="E2008" t="s">
        <v>212</v>
      </c>
      <c r="F2008" t="s">
        <v>213</v>
      </c>
      <c r="G2008" t="s">
        <v>752</v>
      </c>
      <c r="H2008">
        <v>79</v>
      </c>
      <c r="I2008">
        <v>59.341799999999999</v>
      </c>
      <c r="J2008">
        <v>64.544300000000007</v>
      </c>
      <c r="K2008">
        <v>5.2025300000000003</v>
      </c>
      <c r="L2008">
        <v>49</v>
      </c>
      <c r="M2008">
        <v>6</v>
      </c>
      <c r="N2008">
        <v>24</v>
      </c>
      <c r="O2008">
        <v>69.480900000000005</v>
      </c>
      <c r="P2008">
        <v>3.9525399999999999</v>
      </c>
      <c r="Q2008">
        <v>20.267800000000001</v>
      </c>
    </row>
    <row r="2009" spans="1:17" x14ac:dyDescent="0.25">
      <c r="A2009" t="str">
        <f>IF(C2009&amp;G2009&amp;D2009&lt;&gt;'Funnel setup'!$K$3&amp;'Funnel setup'!$K$4&amp;'Funnel setup'!$K$6,".",IF(A2008=".",1,A2008+1))</f>
        <v>.</v>
      </c>
      <c r="B2009" s="244" t="str">
        <f t="shared" si="31"/>
        <v>Knee Replacement PrimaryProviderDORSET COUNTY HOSPITAL NHS FOUNDATION TRUST (RBD)EQ VAS</v>
      </c>
      <c r="C2009" t="s">
        <v>969</v>
      </c>
      <c r="D2009" t="s">
        <v>965</v>
      </c>
      <c r="E2009" t="s">
        <v>214</v>
      </c>
      <c r="F2009" t="s">
        <v>215</v>
      </c>
      <c r="G2009" t="s">
        <v>752</v>
      </c>
      <c r="H2009">
        <v>13</v>
      </c>
      <c r="I2009">
        <v>66.769199999999998</v>
      </c>
      <c r="J2009">
        <v>74.923100000000005</v>
      </c>
      <c r="K2009">
        <v>8.1538500000000003</v>
      </c>
      <c r="L2009">
        <v>6</v>
      </c>
      <c r="M2009">
        <v>3</v>
      </c>
      <c r="N2009">
        <v>4</v>
      </c>
      <c r="O2009" t="s">
        <v>127</v>
      </c>
      <c r="P2009" t="s">
        <v>127</v>
      </c>
      <c r="Q2009" t="s">
        <v>127</v>
      </c>
    </row>
    <row r="2010" spans="1:17" x14ac:dyDescent="0.25">
      <c r="A2010" t="str">
        <f>IF(C2010&amp;G2010&amp;D2010&lt;&gt;'Funnel setup'!$K$3&amp;'Funnel setup'!$K$4&amp;'Funnel setup'!$K$6,".",IF(A2009=".",1,A2009+1))</f>
        <v>.</v>
      </c>
      <c r="B2010" s="244" t="str">
        <f t="shared" si="31"/>
        <v>Knee Replacement PrimaryProviderDROITWICH SPA HOSPITAL (NT412)EQ VAS</v>
      </c>
      <c r="C2010" t="s">
        <v>969</v>
      </c>
      <c r="D2010" t="s">
        <v>965</v>
      </c>
      <c r="E2010" t="s">
        <v>216</v>
      </c>
      <c r="F2010" t="s">
        <v>217</v>
      </c>
      <c r="G2010" t="s">
        <v>752</v>
      </c>
      <c r="H2010">
        <v>21</v>
      </c>
      <c r="I2010">
        <v>68.095200000000006</v>
      </c>
      <c r="J2010">
        <v>77.142899999999997</v>
      </c>
      <c r="K2010">
        <v>9.0476200000000002</v>
      </c>
      <c r="L2010">
        <v>13</v>
      </c>
      <c r="M2010">
        <v>1</v>
      </c>
      <c r="N2010">
        <v>7</v>
      </c>
      <c r="O2010" t="s">
        <v>127</v>
      </c>
      <c r="P2010" t="s">
        <v>127</v>
      </c>
      <c r="Q2010" t="s">
        <v>127</v>
      </c>
    </row>
    <row r="2011" spans="1:17" x14ac:dyDescent="0.25">
      <c r="A2011" t="str">
        <f>IF(C2011&amp;G2011&amp;D2011&lt;&gt;'Funnel setup'!$K$3&amp;'Funnel setup'!$K$4&amp;'Funnel setup'!$K$6,".",IF(A2010=".",1,A2010+1))</f>
        <v>.</v>
      </c>
      <c r="B2011" s="244" t="str">
        <f t="shared" si="31"/>
        <v>Knee Replacement PrimaryProviderDUCHY HOSPITAL (NT447)EQ VAS</v>
      </c>
      <c r="C2011" t="s">
        <v>969</v>
      </c>
      <c r="D2011" t="s">
        <v>965</v>
      </c>
      <c r="E2011" t="s">
        <v>218</v>
      </c>
      <c r="F2011" t="s">
        <v>219</v>
      </c>
      <c r="G2011" t="s">
        <v>752</v>
      </c>
      <c r="H2011">
        <v>28</v>
      </c>
      <c r="I2011">
        <v>68.285700000000006</v>
      </c>
      <c r="J2011">
        <v>81.678600000000003</v>
      </c>
      <c r="K2011">
        <v>13.392899999999999</v>
      </c>
      <c r="L2011">
        <v>19</v>
      </c>
      <c r="M2011">
        <v>4</v>
      </c>
      <c r="N2011">
        <v>5</v>
      </c>
      <c r="O2011" t="s">
        <v>127</v>
      </c>
      <c r="P2011" t="s">
        <v>127</v>
      </c>
      <c r="Q2011" t="s">
        <v>127</v>
      </c>
    </row>
    <row r="2012" spans="1:17" x14ac:dyDescent="0.25">
      <c r="A2012" t="str">
        <f>IF(C2012&amp;G2012&amp;D2012&lt;&gt;'Funnel setup'!$K$3&amp;'Funnel setup'!$K$4&amp;'Funnel setup'!$K$6,".",IF(A2011=".",1,A2011+1))</f>
        <v>.</v>
      </c>
      <c r="B2012" s="244" t="str">
        <f t="shared" si="31"/>
        <v>Knee Replacement PrimaryProviderDUCHY HOSPITAL (NVC04)EQ VAS</v>
      </c>
      <c r="C2012" t="s">
        <v>969</v>
      </c>
      <c r="D2012" t="s">
        <v>965</v>
      </c>
      <c r="E2012" t="s">
        <v>220</v>
      </c>
      <c r="F2012" t="s">
        <v>221</v>
      </c>
      <c r="G2012" t="s">
        <v>752</v>
      </c>
      <c r="H2012">
        <v>26</v>
      </c>
      <c r="I2012">
        <v>56.192300000000003</v>
      </c>
      <c r="J2012">
        <v>75.653800000000004</v>
      </c>
      <c r="K2012">
        <v>19.461500000000001</v>
      </c>
      <c r="L2012">
        <v>19</v>
      </c>
      <c r="M2012">
        <v>3</v>
      </c>
      <c r="N2012">
        <v>4</v>
      </c>
      <c r="O2012" t="s">
        <v>127</v>
      </c>
      <c r="P2012" t="s">
        <v>127</v>
      </c>
      <c r="Q2012" t="s">
        <v>127</v>
      </c>
    </row>
    <row r="2013" spans="1:17" x14ac:dyDescent="0.25">
      <c r="A2013" t="str">
        <f>IF(C2013&amp;G2013&amp;D2013&lt;&gt;'Funnel setup'!$K$3&amp;'Funnel setup'!$K$4&amp;'Funnel setup'!$K$6,".",IF(A2012=".",1,A2012+1))</f>
        <v>.</v>
      </c>
      <c r="B2013" s="244" t="str">
        <f t="shared" si="31"/>
        <v>Knee Replacement PrimaryProviderEAST AND NORTH HERTFORDSHIRE NHS TRUST (RWH)EQ VAS</v>
      </c>
      <c r="C2013" t="s">
        <v>969</v>
      </c>
      <c r="D2013" t="s">
        <v>965</v>
      </c>
      <c r="E2013" t="s">
        <v>224</v>
      </c>
      <c r="F2013" t="s">
        <v>225</v>
      </c>
      <c r="G2013" t="s">
        <v>752</v>
      </c>
      <c r="H2013">
        <v>25</v>
      </c>
      <c r="I2013">
        <v>58.16</v>
      </c>
      <c r="J2013">
        <v>70.8</v>
      </c>
      <c r="K2013">
        <v>12.64</v>
      </c>
      <c r="L2013">
        <v>19</v>
      </c>
      <c r="M2013">
        <v>2</v>
      </c>
      <c r="N2013">
        <v>4</v>
      </c>
      <c r="O2013" t="s">
        <v>127</v>
      </c>
      <c r="P2013" t="s">
        <v>127</v>
      </c>
      <c r="Q2013" t="s">
        <v>127</v>
      </c>
    </row>
    <row r="2014" spans="1:17" x14ac:dyDescent="0.25">
      <c r="A2014" t="str">
        <f>IF(C2014&amp;G2014&amp;D2014&lt;&gt;'Funnel setup'!$K$3&amp;'Funnel setup'!$K$4&amp;'Funnel setup'!$K$6,".",IF(A2013=".",1,A2013+1))</f>
        <v>.</v>
      </c>
      <c r="B2014" s="244" t="str">
        <f t="shared" si="31"/>
        <v>Knee Replacement PrimaryProviderEAST CHESHIRE NHS TRUST (RJN)EQ VAS</v>
      </c>
      <c r="C2014" t="s">
        <v>969</v>
      </c>
      <c r="D2014" t="s">
        <v>965</v>
      </c>
      <c r="E2014" t="s">
        <v>226</v>
      </c>
      <c r="F2014" t="s">
        <v>227</v>
      </c>
      <c r="G2014" t="s">
        <v>752</v>
      </c>
      <c r="H2014">
        <v>5</v>
      </c>
      <c r="I2014">
        <v>48</v>
      </c>
      <c r="J2014">
        <v>68.8</v>
      </c>
      <c r="K2014">
        <v>20.8</v>
      </c>
      <c r="L2014">
        <v>4</v>
      </c>
      <c r="M2014">
        <v>0</v>
      </c>
      <c r="N2014">
        <v>1</v>
      </c>
      <c r="O2014" t="s">
        <v>127</v>
      </c>
      <c r="P2014" t="s">
        <v>127</v>
      </c>
      <c r="Q2014" t="s">
        <v>127</v>
      </c>
    </row>
    <row r="2015" spans="1:17" x14ac:dyDescent="0.25">
      <c r="A2015" t="str">
        <f>IF(C2015&amp;G2015&amp;D2015&lt;&gt;'Funnel setup'!$K$3&amp;'Funnel setup'!$K$4&amp;'Funnel setup'!$K$6,".",IF(A2014=".",1,A2014+1))</f>
        <v>.</v>
      </c>
      <c r="B2015" s="244" t="str">
        <f t="shared" si="31"/>
        <v>Knee Replacement PrimaryProviderEAST KENT HOSPITALS UNIVERSITY NHS FOUNDATION TRUST (RVV)EQ VAS</v>
      </c>
      <c r="C2015" t="s">
        <v>969</v>
      </c>
      <c r="D2015" t="s">
        <v>965</v>
      </c>
      <c r="E2015" t="s">
        <v>228</v>
      </c>
      <c r="F2015" t="s">
        <v>229</v>
      </c>
      <c r="G2015" t="s">
        <v>752</v>
      </c>
      <c r="H2015">
        <v>82</v>
      </c>
      <c r="I2015">
        <v>63.134099999999997</v>
      </c>
      <c r="J2015">
        <v>72.646299999999997</v>
      </c>
      <c r="K2015">
        <v>9.5122</v>
      </c>
      <c r="L2015">
        <v>55</v>
      </c>
      <c r="M2015">
        <v>5</v>
      </c>
      <c r="N2015">
        <v>22</v>
      </c>
      <c r="O2015">
        <v>75.641400000000004</v>
      </c>
      <c r="P2015">
        <v>10.113</v>
      </c>
      <c r="Q2015">
        <v>18.101900000000001</v>
      </c>
    </row>
    <row r="2016" spans="1:17" x14ac:dyDescent="0.25">
      <c r="A2016" t="str">
        <f>IF(C2016&amp;G2016&amp;D2016&lt;&gt;'Funnel setup'!$K$3&amp;'Funnel setup'!$K$4&amp;'Funnel setup'!$K$6,".",IF(A2015=".",1,A2015+1))</f>
        <v>.</v>
      </c>
      <c r="B2016" s="244" t="str">
        <f t="shared" si="31"/>
        <v>Knee Replacement PrimaryProviderEAST LANCASHIRE HOSPITALS NHS TRUST (RXR)EQ VAS</v>
      </c>
      <c r="C2016" t="s">
        <v>969</v>
      </c>
      <c r="D2016" t="s">
        <v>965</v>
      </c>
      <c r="E2016" t="s">
        <v>230</v>
      </c>
      <c r="F2016" t="s">
        <v>231</v>
      </c>
      <c r="G2016" t="s">
        <v>752</v>
      </c>
      <c r="H2016">
        <v>81</v>
      </c>
      <c r="I2016">
        <v>65.074100000000001</v>
      </c>
      <c r="J2016">
        <v>72.469099999999997</v>
      </c>
      <c r="K2016">
        <v>7.39506</v>
      </c>
      <c r="L2016">
        <v>48</v>
      </c>
      <c r="M2016">
        <v>8</v>
      </c>
      <c r="N2016">
        <v>25</v>
      </c>
      <c r="O2016">
        <v>73.009799999999998</v>
      </c>
      <c r="P2016">
        <v>7.4813900000000002</v>
      </c>
      <c r="Q2016">
        <v>21.084299999999999</v>
      </c>
    </row>
    <row r="2017" spans="1:17" x14ac:dyDescent="0.25">
      <c r="A2017" t="str">
        <f>IF(C2017&amp;G2017&amp;D2017&lt;&gt;'Funnel setup'!$K$3&amp;'Funnel setup'!$K$4&amp;'Funnel setup'!$K$6,".",IF(A2016=".",1,A2016+1))</f>
        <v>.</v>
      </c>
      <c r="B2017" s="244" t="str">
        <f t="shared" si="31"/>
        <v>Knee Replacement PrimaryProviderEAST SUFFOLK AND NORTH ESSEX NHS FOUNDATION TRUST (RDE)EQ VAS</v>
      </c>
      <c r="C2017" t="s">
        <v>969</v>
      </c>
      <c r="D2017" t="s">
        <v>965</v>
      </c>
      <c r="E2017" t="s">
        <v>232</v>
      </c>
      <c r="F2017" t="s">
        <v>233</v>
      </c>
      <c r="G2017" t="s">
        <v>752</v>
      </c>
      <c r="H2017">
        <v>119</v>
      </c>
      <c r="I2017">
        <v>61.117600000000003</v>
      </c>
      <c r="J2017">
        <v>74.243700000000004</v>
      </c>
      <c r="K2017">
        <v>13.126099999999999</v>
      </c>
      <c r="L2017">
        <v>74</v>
      </c>
      <c r="M2017">
        <v>9</v>
      </c>
      <c r="N2017">
        <v>36</v>
      </c>
      <c r="O2017">
        <v>76.228200000000001</v>
      </c>
      <c r="P2017">
        <v>10.6998</v>
      </c>
      <c r="Q2017">
        <v>16.111000000000001</v>
      </c>
    </row>
    <row r="2018" spans="1:17" x14ac:dyDescent="0.25">
      <c r="A2018" t="str">
        <f>IF(C2018&amp;G2018&amp;D2018&lt;&gt;'Funnel setup'!$K$3&amp;'Funnel setup'!$K$4&amp;'Funnel setup'!$K$6,".",IF(A2017=".",1,A2017+1))</f>
        <v>.</v>
      </c>
      <c r="B2018" s="244" t="str">
        <f t="shared" si="31"/>
        <v>Knee Replacement PrimaryProviderEAST SUSSEX HEALTHCARE NHS TRUST (RXC)EQ VAS</v>
      </c>
      <c r="C2018" t="s">
        <v>969</v>
      </c>
      <c r="D2018" t="s">
        <v>965</v>
      </c>
      <c r="E2018" t="s">
        <v>234</v>
      </c>
      <c r="F2018" t="s">
        <v>235</v>
      </c>
      <c r="G2018" t="s">
        <v>752</v>
      </c>
      <c r="H2018">
        <v>73</v>
      </c>
      <c r="I2018">
        <v>62</v>
      </c>
      <c r="J2018">
        <v>68.9041</v>
      </c>
      <c r="K2018">
        <v>6.9041100000000002</v>
      </c>
      <c r="L2018">
        <v>43</v>
      </c>
      <c r="M2018">
        <v>7</v>
      </c>
      <c r="N2018">
        <v>23</v>
      </c>
      <c r="O2018">
        <v>71.298699999999997</v>
      </c>
      <c r="P2018">
        <v>5.7702799999999996</v>
      </c>
      <c r="Q2018">
        <v>15.7216</v>
      </c>
    </row>
    <row r="2019" spans="1:17" x14ac:dyDescent="0.25">
      <c r="A2019" t="str">
        <f>IF(C2019&amp;G2019&amp;D2019&lt;&gt;'Funnel setup'!$K$3&amp;'Funnel setup'!$K$4&amp;'Funnel setup'!$K$6,".",IF(A2018=".",1,A2018+1))</f>
        <v>.</v>
      </c>
      <c r="B2019" s="244" t="str">
        <f t="shared" si="31"/>
        <v>Knee Replacement PrimaryProviderEPSOM AND ST HELIER UNIVERSITY HOSPITALS NHS TRUST (RVR)EQ VAS</v>
      </c>
      <c r="C2019" t="s">
        <v>969</v>
      </c>
      <c r="D2019" t="s">
        <v>965</v>
      </c>
      <c r="E2019" t="s">
        <v>238</v>
      </c>
      <c r="F2019" t="s">
        <v>239</v>
      </c>
      <c r="G2019" t="s">
        <v>752</v>
      </c>
      <c r="H2019">
        <v>652</v>
      </c>
      <c r="I2019">
        <v>64.190200000000004</v>
      </c>
      <c r="J2019">
        <v>74.070599999999999</v>
      </c>
      <c r="K2019">
        <v>9.8803699999999992</v>
      </c>
      <c r="L2019">
        <v>426</v>
      </c>
      <c r="M2019">
        <v>65</v>
      </c>
      <c r="N2019">
        <v>161</v>
      </c>
      <c r="O2019">
        <v>74.499300000000005</v>
      </c>
      <c r="P2019">
        <v>8.9708699999999997</v>
      </c>
      <c r="Q2019">
        <v>17.995999999999999</v>
      </c>
    </row>
    <row r="2020" spans="1:17" x14ac:dyDescent="0.25">
      <c r="A2020" t="str">
        <f>IF(C2020&amp;G2020&amp;D2020&lt;&gt;'Funnel setup'!$K$3&amp;'Funnel setup'!$K$4&amp;'Funnel setup'!$K$6,".",IF(A2019=".",1,A2019+1))</f>
        <v>.</v>
      </c>
      <c r="B2020" s="244" t="str">
        <f t="shared" si="31"/>
        <v>Knee Replacement PrimaryProviderEUXTON HALL HOSPITAL (NVC05)EQ VAS</v>
      </c>
      <c r="C2020" t="s">
        <v>969</v>
      </c>
      <c r="D2020" t="s">
        <v>965</v>
      </c>
      <c r="E2020" t="s">
        <v>240</v>
      </c>
      <c r="F2020" t="s">
        <v>241</v>
      </c>
      <c r="G2020" t="s">
        <v>752</v>
      </c>
      <c r="H2020">
        <v>52</v>
      </c>
      <c r="I2020">
        <v>61.230800000000002</v>
      </c>
      <c r="J2020">
        <v>78.057699999999997</v>
      </c>
      <c r="K2020">
        <v>16.826899999999998</v>
      </c>
      <c r="L2020">
        <v>42</v>
      </c>
      <c r="M2020">
        <v>3</v>
      </c>
      <c r="N2020">
        <v>7</v>
      </c>
      <c r="O2020">
        <v>78.707800000000006</v>
      </c>
      <c r="P2020">
        <v>13.179399999999999</v>
      </c>
      <c r="Q2020">
        <v>16.0822</v>
      </c>
    </row>
    <row r="2021" spans="1:17" x14ac:dyDescent="0.25">
      <c r="A2021" t="str">
        <f>IF(C2021&amp;G2021&amp;D2021&lt;&gt;'Funnel setup'!$K$3&amp;'Funnel setup'!$K$4&amp;'Funnel setup'!$K$6,".",IF(A2020=".",1,A2020+1))</f>
        <v>.</v>
      </c>
      <c r="B2021" s="244" t="str">
        <f t="shared" si="31"/>
        <v>Knee Replacement PrimaryProviderFAIRFIELD HOSPITAL (NVG01)EQ VAS</v>
      </c>
      <c r="C2021" t="s">
        <v>969</v>
      </c>
      <c r="D2021" t="s">
        <v>965</v>
      </c>
      <c r="E2021" t="s">
        <v>242</v>
      </c>
      <c r="F2021" t="s">
        <v>243</v>
      </c>
      <c r="G2021" t="s">
        <v>752</v>
      </c>
      <c r="H2021">
        <v>47</v>
      </c>
      <c r="I2021">
        <v>69.233999999999995</v>
      </c>
      <c r="J2021">
        <v>68.531899999999993</v>
      </c>
      <c r="K2021">
        <v>-0.70212799999999997</v>
      </c>
      <c r="L2021">
        <v>21</v>
      </c>
      <c r="M2021">
        <v>5</v>
      </c>
      <c r="N2021">
        <v>21</v>
      </c>
      <c r="O2021">
        <v>67.725200000000001</v>
      </c>
      <c r="P2021">
        <v>2.19679</v>
      </c>
      <c r="Q2021">
        <v>19.866099999999999</v>
      </c>
    </row>
    <row r="2022" spans="1:17" x14ac:dyDescent="0.25">
      <c r="A2022" t="str">
        <f>IF(C2022&amp;G2022&amp;D2022&lt;&gt;'Funnel setup'!$K$3&amp;'Funnel setup'!$K$4&amp;'Funnel setup'!$K$6,".",IF(A2021=".",1,A2021+1))</f>
        <v>.</v>
      </c>
      <c r="B2022" s="244" t="str">
        <f t="shared" si="31"/>
        <v>Knee Replacement PrimaryProviderFITZWILLIAM HOSPITAL (NVC06)EQ VAS</v>
      </c>
      <c r="C2022" t="s">
        <v>969</v>
      </c>
      <c r="D2022" t="s">
        <v>965</v>
      </c>
      <c r="E2022" t="s">
        <v>244</v>
      </c>
      <c r="F2022" t="s">
        <v>245</v>
      </c>
      <c r="G2022" t="s">
        <v>752</v>
      </c>
      <c r="H2022">
        <v>89</v>
      </c>
      <c r="I2022">
        <v>73.404499999999999</v>
      </c>
      <c r="J2022">
        <v>76.0899</v>
      </c>
      <c r="K2022">
        <v>2.6853899999999999</v>
      </c>
      <c r="L2022">
        <v>44</v>
      </c>
      <c r="M2022">
        <v>14</v>
      </c>
      <c r="N2022">
        <v>31</v>
      </c>
      <c r="O2022">
        <v>73.087199999999996</v>
      </c>
      <c r="P2022">
        <v>7.5587900000000001</v>
      </c>
      <c r="Q2022">
        <v>14.716699999999999</v>
      </c>
    </row>
    <row r="2023" spans="1:17" x14ac:dyDescent="0.25">
      <c r="A2023" t="str">
        <f>IF(C2023&amp;G2023&amp;D2023&lt;&gt;'Funnel setup'!$K$3&amp;'Funnel setup'!$K$4&amp;'Funnel setup'!$K$6,".",IF(A2022=".",1,A2022+1))</f>
        <v>.</v>
      </c>
      <c r="B2023" s="244" t="str">
        <f t="shared" si="31"/>
        <v>Knee Replacement PrimaryProviderFRIMLEY HEALTH NHS FOUNDATION TRUST (RDU)EQ VAS</v>
      </c>
      <c r="C2023" t="s">
        <v>969</v>
      </c>
      <c r="D2023" t="s">
        <v>965</v>
      </c>
      <c r="E2023" t="s">
        <v>248</v>
      </c>
      <c r="F2023" t="s">
        <v>249</v>
      </c>
      <c r="G2023" t="s">
        <v>752</v>
      </c>
      <c r="H2023">
        <v>164</v>
      </c>
      <c r="I2023">
        <v>67.420699999999997</v>
      </c>
      <c r="J2023">
        <v>73.792699999999996</v>
      </c>
      <c r="K2023">
        <v>6.37195</v>
      </c>
      <c r="L2023">
        <v>91</v>
      </c>
      <c r="M2023">
        <v>18</v>
      </c>
      <c r="N2023">
        <v>55</v>
      </c>
      <c r="O2023">
        <v>72.157399999999996</v>
      </c>
      <c r="P2023">
        <v>6.6290300000000002</v>
      </c>
      <c r="Q2023">
        <v>16.8307</v>
      </c>
    </row>
    <row r="2024" spans="1:17" x14ac:dyDescent="0.25">
      <c r="A2024" t="str">
        <f>IF(C2024&amp;G2024&amp;D2024&lt;&gt;'Funnel setup'!$K$3&amp;'Funnel setup'!$K$4&amp;'Funnel setup'!$K$6,".",IF(A2023=".",1,A2023+1))</f>
        <v>.</v>
      </c>
      <c r="B2024" s="244" t="str">
        <f t="shared" si="31"/>
        <v>Knee Replacement PrimaryProviderFULWOOD HALL HOSPITAL (NVC07)EQ VAS</v>
      </c>
      <c r="C2024" t="s">
        <v>969</v>
      </c>
      <c r="D2024" t="s">
        <v>965</v>
      </c>
      <c r="E2024" t="s">
        <v>250</v>
      </c>
      <c r="F2024" t="s">
        <v>251</v>
      </c>
      <c r="G2024" t="s">
        <v>752</v>
      </c>
      <c r="H2024">
        <v>75</v>
      </c>
      <c r="I2024">
        <v>65.680000000000007</v>
      </c>
      <c r="J2024">
        <v>77.306700000000006</v>
      </c>
      <c r="K2024">
        <v>11.6267</v>
      </c>
      <c r="L2024">
        <v>55</v>
      </c>
      <c r="M2024">
        <v>4</v>
      </c>
      <c r="N2024">
        <v>16</v>
      </c>
      <c r="O2024">
        <v>76.347800000000007</v>
      </c>
      <c r="P2024">
        <v>10.8194</v>
      </c>
      <c r="Q2024">
        <v>16.114899999999999</v>
      </c>
    </row>
    <row r="2025" spans="1:17" x14ac:dyDescent="0.25">
      <c r="A2025" t="str">
        <f>IF(C2025&amp;G2025&amp;D2025&lt;&gt;'Funnel setup'!$K$3&amp;'Funnel setup'!$K$4&amp;'Funnel setup'!$K$6,".",IF(A2024=".",1,A2024+1))</f>
        <v>.</v>
      </c>
      <c r="B2025" s="244" t="str">
        <f t="shared" si="31"/>
        <v>Knee Replacement PrimaryProviderGATESHEAD HEALTH NHS FOUNDATION TRUST (RR7)EQ VAS</v>
      </c>
      <c r="C2025" t="s">
        <v>969</v>
      </c>
      <c r="D2025" t="s">
        <v>965</v>
      </c>
      <c r="E2025" t="s">
        <v>252</v>
      </c>
      <c r="F2025" t="s">
        <v>253</v>
      </c>
      <c r="G2025" t="s">
        <v>752</v>
      </c>
      <c r="H2025">
        <v>37</v>
      </c>
      <c r="I2025">
        <v>56.5946</v>
      </c>
      <c r="J2025">
        <v>73.513499999999993</v>
      </c>
      <c r="K2025">
        <v>16.918900000000001</v>
      </c>
      <c r="L2025">
        <v>28</v>
      </c>
      <c r="M2025">
        <v>3</v>
      </c>
      <c r="N2025">
        <v>6</v>
      </c>
      <c r="O2025">
        <v>79.367500000000007</v>
      </c>
      <c r="P2025">
        <v>13.8391</v>
      </c>
      <c r="Q2025">
        <v>17.278099999999998</v>
      </c>
    </row>
    <row r="2026" spans="1:17" x14ac:dyDescent="0.25">
      <c r="A2026" t="str">
        <f>IF(C2026&amp;G2026&amp;D2026&lt;&gt;'Funnel setup'!$K$3&amp;'Funnel setup'!$K$4&amp;'Funnel setup'!$K$6,".",IF(A2025=".",1,A2025+1))</f>
        <v>.</v>
      </c>
      <c r="B2026" s="244" t="str">
        <f t="shared" si="31"/>
        <v>Knee Replacement PrimaryProviderGLOUCESTERSHIRE HOSPITALS NHS FOUNDATION TRUST (RTE)EQ VAS</v>
      </c>
      <c r="C2026" t="s">
        <v>969</v>
      </c>
      <c r="D2026" t="s">
        <v>965</v>
      </c>
      <c r="E2026" t="s">
        <v>256</v>
      </c>
      <c r="F2026" t="s">
        <v>257</v>
      </c>
      <c r="G2026" t="s">
        <v>752</v>
      </c>
      <c r="H2026">
        <v>62</v>
      </c>
      <c r="I2026">
        <v>63.1935</v>
      </c>
      <c r="J2026">
        <v>72.838700000000003</v>
      </c>
      <c r="K2026">
        <v>9.6451600000000006</v>
      </c>
      <c r="L2026">
        <v>37</v>
      </c>
      <c r="M2026">
        <v>9</v>
      </c>
      <c r="N2026">
        <v>16</v>
      </c>
      <c r="O2026">
        <v>75.509299999999996</v>
      </c>
      <c r="P2026">
        <v>9.98095</v>
      </c>
      <c r="Q2026">
        <v>16.098199999999999</v>
      </c>
    </row>
    <row r="2027" spans="1:17" x14ac:dyDescent="0.25">
      <c r="A2027" t="str">
        <f>IF(C2027&amp;G2027&amp;D2027&lt;&gt;'Funnel setup'!$K$3&amp;'Funnel setup'!$K$4&amp;'Funnel setup'!$K$6,".",IF(A2026=".",1,A2026+1))</f>
        <v>.</v>
      </c>
      <c r="B2027" s="244" t="str">
        <f t="shared" si="31"/>
        <v>Knee Replacement PrimaryProviderGORING HALL HOSPITAL (NT417)EQ VAS</v>
      </c>
      <c r="C2027" t="s">
        <v>969</v>
      </c>
      <c r="D2027" t="s">
        <v>965</v>
      </c>
      <c r="E2027" t="s">
        <v>258</v>
      </c>
      <c r="F2027" t="s">
        <v>259</v>
      </c>
      <c r="G2027" t="s">
        <v>752</v>
      </c>
      <c r="H2027">
        <v>23</v>
      </c>
      <c r="I2027">
        <v>65.347800000000007</v>
      </c>
      <c r="J2027">
        <v>68.695700000000002</v>
      </c>
      <c r="K2027">
        <v>3.3478300000000001</v>
      </c>
      <c r="L2027">
        <v>11</v>
      </c>
      <c r="M2027">
        <v>3</v>
      </c>
      <c r="N2027">
        <v>9</v>
      </c>
      <c r="O2027" t="s">
        <v>127</v>
      </c>
      <c r="P2027" t="s">
        <v>127</v>
      </c>
      <c r="Q2027" t="s">
        <v>127</v>
      </c>
    </row>
    <row r="2028" spans="1:17" x14ac:dyDescent="0.25">
      <c r="A2028" t="str">
        <f>IF(C2028&amp;G2028&amp;D2028&lt;&gt;'Funnel setup'!$K$3&amp;'Funnel setup'!$K$4&amp;'Funnel setup'!$K$6,".",IF(A2027=".",1,A2027+1))</f>
        <v>.</v>
      </c>
      <c r="B2028" s="244" t="str">
        <f t="shared" si="31"/>
        <v>Knee Replacement PrimaryProviderGUY'S AND ST THOMAS' NHS FOUNDATION TRUST (RJ1)EQ VAS</v>
      </c>
      <c r="C2028" t="s">
        <v>969</v>
      </c>
      <c r="D2028" t="s">
        <v>965</v>
      </c>
      <c r="E2028" t="s">
        <v>262</v>
      </c>
      <c r="F2028" t="s">
        <v>263</v>
      </c>
      <c r="G2028" t="s">
        <v>752</v>
      </c>
      <c r="H2028">
        <v>59</v>
      </c>
      <c r="I2028">
        <v>60.644100000000002</v>
      </c>
      <c r="J2028">
        <v>68.305099999999996</v>
      </c>
      <c r="K2028">
        <v>7.6610199999999997</v>
      </c>
      <c r="L2028">
        <v>36</v>
      </c>
      <c r="M2028">
        <v>6</v>
      </c>
      <c r="N2028">
        <v>17</v>
      </c>
      <c r="O2028">
        <v>70.723799999999997</v>
      </c>
      <c r="P2028">
        <v>5.1953699999999996</v>
      </c>
      <c r="Q2028">
        <v>16.481999999999999</v>
      </c>
    </row>
    <row r="2029" spans="1:17" x14ac:dyDescent="0.25">
      <c r="A2029" t="str">
        <f>IF(C2029&amp;G2029&amp;D2029&lt;&gt;'Funnel setup'!$K$3&amp;'Funnel setup'!$K$4&amp;'Funnel setup'!$K$6,".",IF(A2028=".",1,A2028+1))</f>
        <v>.</v>
      </c>
      <c r="B2029" s="244" t="str">
        <f t="shared" si="31"/>
        <v>Knee Replacement PrimaryProviderHAMPSHIRE CLINIC (NT418)EQ VAS</v>
      </c>
      <c r="C2029" t="s">
        <v>969</v>
      </c>
      <c r="D2029" t="s">
        <v>965</v>
      </c>
      <c r="E2029" t="s">
        <v>264</v>
      </c>
      <c r="F2029" t="s">
        <v>265</v>
      </c>
      <c r="G2029" t="s">
        <v>752</v>
      </c>
      <c r="H2029">
        <v>18</v>
      </c>
      <c r="I2029">
        <v>77.888900000000007</v>
      </c>
      <c r="J2029">
        <v>82.611099999999993</v>
      </c>
      <c r="K2029">
        <v>4.7222200000000001</v>
      </c>
      <c r="L2029">
        <v>9</v>
      </c>
      <c r="M2029">
        <v>5</v>
      </c>
      <c r="N2029">
        <v>4</v>
      </c>
      <c r="O2029" t="s">
        <v>127</v>
      </c>
      <c r="P2029" t="s">
        <v>127</v>
      </c>
      <c r="Q2029" t="s">
        <v>127</v>
      </c>
    </row>
    <row r="2030" spans="1:17" x14ac:dyDescent="0.25">
      <c r="A2030" t="str">
        <f>IF(C2030&amp;G2030&amp;D2030&lt;&gt;'Funnel setup'!$K$3&amp;'Funnel setup'!$K$4&amp;'Funnel setup'!$K$6,".",IF(A2029=".",1,A2029+1))</f>
        <v>.</v>
      </c>
      <c r="B2030" s="244" t="str">
        <f t="shared" si="31"/>
        <v>Knee Replacement PrimaryProviderHAMPSHIRE HOSPITALS NHS FOUNDATION TRUST (RN5)EQ VAS</v>
      </c>
      <c r="C2030" t="s">
        <v>969</v>
      </c>
      <c r="D2030" t="s">
        <v>965</v>
      </c>
      <c r="E2030" t="s">
        <v>266</v>
      </c>
      <c r="F2030" t="s">
        <v>267</v>
      </c>
      <c r="G2030" t="s">
        <v>752</v>
      </c>
      <c r="H2030">
        <v>21</v>
      </c>
      <c r="I2030">
        <v>67.285700000000006</v>
      </c>
      <c r="J2030">
        <v>68.333299999999994</v>
      </c>
      <c r="K2030">
        <v>1.04762</v>
      </c>
      <c r="L2030">
        <v>10</v>
      </c>
      <c r="M2030">
        <v>1</v>
      </c>
      <c r="N2030">
        <v>10</v>
      </c>
      <c r="O2030" t="s">
        <v>127</v>
      </c>
      <c r="P2030" t="s">
        <v>127</v>
      </c>
      <c r="Q2030" t="s">
        <v>127</v>
      </c>
    </row>
    <row r="2031" spans="1:17" x14ac:dyDescent="0.25">
      <c r="A2031" t="str">
        <f>IF(C2031&amp;G2031&amp;D2031&lt;&gt;'Funnel setup'!$K$3&amp;'Funnel setup'!$K$4&amp;'Funnel setup'!$K$6,".",IF(A2030=".",1,A2030+1))</f>
        <v>.</v>
      </c>
      <c r="B2031" s="244" t="str">
        <f t="shared" si="31"/>
        <v>Knee Replacement PrimaryProviderHARROGATE AND DISTRICT NHS FOUNDATION TRUST (RCD)EQ VAS</v>
      </c>
      <c r="C2031" t="s">
        <v>969</v>
      </c>
      <c r="D2031" t="s">
        <v>965</v>
      </c>
      <c r="E2031" t="s">
        <v>270</v>
      </c>
      <c r="F2031" t="s">
        <v>271</v>
      </c>
      <c r="G2031" t="s">
        <v>752</v>
      </c>
      <c r="H2031">
        <v>75</v>
      </c>
      <c r="I2031">
        <v>64.066699999999997</v>
      </c>
      <c r="J2031">
        <v>71.36</v>
      </c>
      <c r="K2031">
        <v>7.2933300000000001</v>
      </c>
      <c r="L2031">
        <v>44</v>
      </c>
      <c r="M2031">
        <v>10</v>
      </c>
      <c r="N2031">
        <v>21</v>
      </c>
      <c r="O2031">
        <v>71.380099999999999</v>
      </c>
      <c r="P2031">
        <v>5.8517099999999997</v>
      </c>
      <c r="Q2031">
        <v>18.203399999999998</v>
      </c>
    </row>
    <row r="2032" spans="1:17" x14ac:dyDescent="0.25">
      <c r="A2032" t="str">
        <f>IF(C2032&amp;G2032&amp;D2032&lt;&gt;'Funnel setup'!$K$3&amp;'Funnel setup'!$K$4&amp;'Funnel setup'!$K$6,".",IF(A2031=".",1,A2031+1))</f>
        <v>.</v>
      </c>
      <c r="B2032" s="244" t="str">
        <f t="shared" si="31"/>
        <v>Knee Replacement PrimaryProviderHIGHFIELD HOSPITAL (NT420)EQ VAS</v>
      </c>
      <c r="C2032" t="s">
        <v>969</v>
      </c>
      <c r="D2032" t="s">
        <v>965</v>
      </c>
      <c r="E2032" t="s">
        <v>272</v>
      </c>
      <c r="F2032" t="s">
        <v>273</v>
      </c>
      <c r="G2032" t="s">
        <v>752</v>
      </c>
      <c r="H2032">
        <v>107</v>
      </c>
      <c r="I2032">
        <v>69.607500000000002</v>
      </c>
      <c r="J2032">
        <v>74.355099999999993</v>
      </c>
      <c r="K2032">
        <v>4.7476599999999998</v>
      </c>
      <c r="L2032">
        <v>55</v>
      </c>
      <c r="M2032">
        <v>10</v>
      </c>
      <c r="N2032">
        <v>42</v>
      </c>
      <c r="O2032">
        <v>71.740899999999996</v>
      </c>
      <c r="P2032">
        <v>6.2124600000000001</v>
      </c>
      <c r="Q2032">
        <v>18.77</v>
      </c>
    </row>
    <row r="2033" spans="1:17" x14ac:dyDescent="0.25">
      <c r="A2033" t="str">
        <f>IF(C2033&amp;G2033&amp;D2033&lt;&gt;'Funnel setup'!$K$3&amp;'Funnel setup'!$K$4&amp;'Funnel setup'!$K$6,".",IF(A2032=".",1,A2032+1))</f>
        <v>.</v>
      </c>
      <c r="B2033" s="244" t="str">
        <f t="shared" si="31"/>
        <v>Knee Replacement PrimaryProviderHOMERTON HEALTHCARE NHS FOUNDATION TRUST (RQX)EQ VAS</v>
      </c>
      <c r="C2033" t="s">
        <v>969</v>
      </c>
      <c r="D2033" t="s">
        <v>965</v>
      </c>
      <c r="E2033" t="s">
        <v>274</v>
      </c>
      <c r="F2033" t="s">
        <v>275</v>
      </c>
      <c r="G2033" t="s">
        <v>752</v>
      </c>
      <c r="H2033">
        <v>3</v>
      </c>
      <c r="I2033">
        <v>61.666699999999999</v>
      </c>
      <c r="J2033">
        <v>81</v>
      </c>
      <c r="K2033">
        <v>19.333300000000001</v>
      </c>
      <c r="L2033">
        <v>3</v>
      </c>
      <c r="M2033">
        <v>0</v>
      </c>
      <c r="N2033">
        <v>0</v>
      </c>
      <c r="O2033" t="s">
        <v>127</v>
      </c>
      <c r="P2033" t="s">
        <v>127</v>
      </c>
      <c r="Q2033" t="s">
        <v>127</v>
      </c>
    </row>
    <row r="2034" spans="1:17" x14ac:dyDescent="0.25">
      <c r="A2034" t="str">
        <f>IF(C2034&amp;G2034&amp;D2034&lt;&gt;'Funnel setup'!$K$3&amp;'Funnel setup'!$K$4&amp;'Funnel setup'!$K$6,".",IF(A2033=".",1,A2033+1))</f>
        <v>.</v>
      </c>
      <c r="B2034" s="244" t="str">
        <f t="shared" si="31"/>
        <v>Knee Replacement PrimaryProviderHUDDERSFIELD HOSPITAL (NT448)EQ VAS</v>
      </c>
      <c r="C2034" t="s">
        <v>969</v>
      </c>
      <c r="D2034" t="s">
        <v>965</v>
      </c>
      <c r="E2034" t="s">
        <v>276</v>
      </c>
      <c r="F2034" t="s">
        <v>277</v>
      </c>
      <c r="G2034" t="s">
        <v>752</v>
      </c>
      <c r="H2034">
        <v>2</v>
      </c>
      <c r="I2034">
        <v>72.5</v>
      </c>
      <c r="J2034">
        <v>58</v>
      </c>
      <c r="K2034">
        <v>-14.5</v>
      </c>
      <c r="L2034">
        <v>0</v>
      </c>
      <c r="M2034">
        <v>0</v>
      </c>
      <c r="N2034">
        <v>2</v>
      </c>
      <c r="O2034" t="s">
        <v>127</v>
      </c>
      <c r="P2034" t="s">
        <v>127</v>
      </c>
      <c r="Q2034" t="s">
        <v>127</v>
      </c>
    </row>
    <row r="2035" spans="1:17" x14ac:dyDescent="0.25">
      <c r="A2035" t="str">
        <f>IF(C2035&amp;G2035&amp;D2035&lt;&gt;'Funnel setup'!$K$3&amp;'Funnel setup'!$K$4&amp;'Funnel setup'!$K$6,".",IF(A2034=".",1,A2034+1))</f>
        <v>.</v>
      </c>
      <c r="B2035" s="244" t="str">
        <f t="shared" si="31"/>
        <v>Knee Replacement PrimaryProviderHULL UNIVERSITY TEACHING HOSPITALS NHS TRUST (RWA)EQ VAS</v>
      </c>
      <c r="C2035" t="s">
        <v>969</v>
      </c>
      <c r="D2035" t="s">
        <v>965</v>
      </c>
      <c r="E2035" t="s">
        <v>278</v>
      </c>
      <c r="F2035" t="s">
        <v>279</v>
      </c>
      <c r="G2035" t="s">
        <v>752</v>
      </c>
      <c r="H2035">
        <v>26</v>
      </c>
      <c r="I2035">
        <v>66.807699999999997</v>
      </c>
      <c r="J2035">
        <v>73.269199999999998</v>
      </c>
      <c r="K2035">
        <v>6.4615400000000003</v>
      </c>
      <c r="L2035">
        <v>17</v>
      </c>
      <c r="M2035">
        <v>3</v>
      </c>
      <c r="N2035">
        <v>6</v>
      </c>
      <c r="O2035" t="s">
        <v>127</v>
      </c>
      <c r="P2035" t="s">
        <v>127</v>
      </c>
      <c r="Q2035" t="s">
        <v>127</v>
      </c>
    </row>
    <row r="2036" spans="1:17" x14ac:dyDescent="0.25">
      <c r="A2036" t="str">
        <f>IF(C2036&amp;G2036&amp;D2036&lt;&gt;'Funnel setup'!$K$3&amp;'Funnel setup'!$K$4&amp;'Funnel setup'!$K$6,".",IF(A2035=".",1,A2035+1))</f>
        <v>.</v>
      </c>
      <c r="B2036" s="244" t="str">
        <f t="shared" si="31"/>
        <v>Knee Replacement PrimaryProviderIMPERIAL COLLEGE HEALTHCARE NHS TRUST (RYJ)EQ VAS</v>
      </c>
      <c r="C2036" t="s">
        <v>969</v>
      </c>
      <c r="D2036" t="s">
        <v>965</v>
      </c>
      <c r="E2036" t="s">
        <v>280</v>
      </c>
      <c r="F2036" t="s">
        <v>281</v>
      </c>
      <c r="G2036" t="s">
        <v>752</v>
      </c>
      <c r="H2036">
        <v>22</v>
      </c>
      <c r="I2036">
        <v>62.5</v>
      </c>
      <c r="J2036">
        <v>69.045500000000004</v>
      </c>
      <c r="K2036">
        <v>6.5454499999999998</v>
      </c>
      <c r="L2036">
        <v>15</v>
      </c>
      <c r="M2036">
        <v>1</v>
      </c>
      <c r="N2036">
        <v>6</v>
      </c>
      <c r="O2036" t="s">
        <v>127</v>
      </c>
      <c r="P2036" t="s">
        <v>127</v>
      </c>
      <c r="Q2036" t="s">
        <v>127</v>
      </c>
    </row>
    <row r="2037" spans="1:17" x14ac:dyDescent="0.25">
      <c r="A2037" t="str">
        <f>IF(C2037&amp;G2037&amp;D2037&lt;&gt;'Funnel setup'!$K$3&amp;'Funnel setup'!$K$4&amp;'Funnel setup'!$K$6,".",IF(A2036=".",1,A2036+1))</f>
        <v>.</v>
      </c>
      <c r="B2037" s="244" t="str">
        <f t="shared" si="31"/>
        <v>Knee Replacement PrimaryProviderISLE OF WIGHT NHS TRUST (R1F)EQ VAS</v>
      </c>
      <c r="C2037" t="s">
        <v>969</v>
      </c>
      <c r="D2037" t="s">
        <v>965</v>
      </c>
      <c r="E2037" t="s">
        <v>282</v>
      </c>
      <c r="F2037" t="s">
        <v>283</v>
      </c>
      <c r="G2037" t="s">
        <v>752</v>
      </c>
      <c r="H2037">
        <v>2</v>
      </c>
      <c r="I2037">
        <v>82.5</v>
      </c>
      <c r="J2037">
        <v>87.5</v>
      </c>
      <c r="K2037">
        <v>5</v>
      </c>
      <c r="L2037">
        <v>1</v>
      </c>
      <c r="M2037">
        <v>1</v>
      </c>
      <c r="N2037">
        <v>0</v>
      </c>
      <c r="O2037" t="s">
        <v>127</v>
      </c>
      <c r="P2037" t="s">
        <v>127</v>
      </c>
      <c r="Q2037" t="s">
        <v>127</v>
      </c>
    </row>
    <row r="2038" spans="1:17" x14ac:dyDescent="0.25">
      <c r="A2038" t="str">
        <f>IF(C2038&amp;G2038&amp;D2038&lt;&gt;'Funnel setup'!$K$3&amp;'Funnel setup'!$K$4&amp;'Funnel setup'!$K$6,".",IF(A2037=".",1,A2037+1))</f>
        <v>.</v>
      </c>
      <c r="B2038" s="244" t="str">
        <f t="shared" si="31"/>
        <v>Knee Replacement PrimaryProviderJAMES PAGET UNIVERSITY HOSPITALS NHS FOUNDATION TRUST (RGP)EQ VAS</v>
      </c>
      <c r="C2038" t="s">
        <v>969</v>
      </c>
      <c r="D2038" t="s">
        <v>965</v>
      </c>
      <c r="E2038" t="s">
        <v>284</v>
      </c>
      <c r="F2038" t="s">
        <v>285</v>
      </c>
      <c r="G2038" t="s">
        <v>752</v>
      </c>
      <c r="H2038">
        <v>50</v>
      </c>
      <c r="I2038">
        <v>61.68</v>
      </c>
      <c r="J2038">
        <v>75.12</v>
      </c>
      <c r="K2038">
        <v>13.44</v>
      </c>
      <c r="L2038">
        <v>36</v>
      </c>
      <c r="M2038">
        <v>3</v>
      </c>
      <c r="N2038">
        <v>11</v>
      </c>
      <c r="O2038">
        <v>76.8001</v>
      </c>
      <c r="P2038">
        <v>11.271699999999999</v>
      </c>
      <c r="Q2038">
        <v>14.316599999999999</v>
      </c>
    </row>
    <row r="2039" spans="1:17" x14ac:dyDescent="0.25">
      <c r="A2039" t="str">
        <f>IF(C2039&amp;G2039&amp;D2039&lt;&gt;'Funnel setup'!$K$3&amp;'Funnel setup'!$K$4&amp;'Funnel setup'!$K$6,".",IF(A2038=".",1,A2038+1))</f>
        <v>.</v>
      </c>
      <c r="B2039" s="244" t="str">
        <f t="shared" si="31"/>
        <v>Knee Replacement PrimaryProviderKETTERING GENERAL HOSPITAL NHS FOUNDATION TRUST (RNQ)EQ VAS</v>
      </c>
      <c r="C2039" t="s">
        <v>969</v>
      </c>
      <c r="D2039" t="s">
        <v>965</v>
      </c>
      <c r="E2039" t="s">
        <v>286</v>
      </c>
      <c r="F2039" t="s">
        <v>287</v>
      </c>
      <c r="G2039" t="s">
        <v>752</v>
      </c>
      <c r="H2039">
        <v>24</v>
      </c>
      <c r="I2039">
        <v>33.5</v>
      </c>
      <c r="J2039">
        <v>71.291700000000006</v>
      </c>
      <c r="K2039">
        <v>37.791699999999999</v>
      </c>
      <c r="L2039">
        <v>22</v>
      </c>
      <c r="M2039">
        <v>0</v>
      </c>
      <c r="N2039">
        <v>2</v>
      </c>
      <c r="O2039" t="s">
        <v>127</v>
      </c>
      <c r="P2039" t="s">
        <v>127</v>
      </c>
      <c r="Q2039" t="s">
        <v>127</v>
      </c>
    </row>
    <row r="2040" spans="1:17" x14ac:dyDescent="0.25">
      <c r="A2040" t="str">
        <f>IF(C2040&amp;G2040&amp;D2040&lt;&gt;'Funnel setup'!$K$3&amp;'Funnel setup'!$K$4&amp;'Funnel setup'!$K$6,".",IF(A2039=".",1,A2039+1))</f>
        <v>.</v>
      </c>
      <c r="B2040" s="244" t="str">
        <f t="shared" si="31"/>
        <v>Knee Replacement PrimaryProviderKIMS HOSPITAL (NEWNHAM COURT) (ADP02)EQ VAS</v>
      </c>
      <c r="C2040" t="s">
        <v>969</v>
      </c>
      <c r="D2040" t="s">
        <v>965</v>
      </c>
      <c r="E2040" t="s">
        <v>288</v>
      </c>
      <c r="F2040" t="s">
        <v>289</v>
      </c>
      <c r="G2040" t="s">
        <v>752</v>
      </c>
      <c r="H2040">
        <v>130</v>
      </c>
      <c r="I2040">
        <v>67.261499999999998</v>
      </c>
      <c r="J2040">
        <v>77.953800000000001</v>
      </c>
      <c r="K2040">
        <v>10.692299999999999</v>
      </c>
      <c r="L2040">
        <v>92</v>
      </c>
      <c r="M2040">
        <v>12</v>
      </c>
      <c r="N2040">
        <v>26</v>
      </c>
      <c r="O2040">
        <v>76.557699999999997</v>
      </c>
      <c r="P2040">
        <v>11.029299999999999</v>
      </c>
      <c r="Q2040">
        <v>15.4382</v>
      </c>
    </row>
    <row r="2041" spans="1:17" x14ac:dyDescent="0.25">
      <c r="A2041" t="str">
        <f>IF(C2041&amp;G2041&amp;D2041&lt;&gt;'Funnel setup'!$K$3&amp;'Funnel setup'!$K$4&amp;'Funnel setup'!$K$6,".",IF(A2040=".",1,A2040+1))</f>
        <v>.</v>
      </c>
      <c r="B2041" s="244" t="str">
        <f t="shared" si="31"/>
        <v>Knee Replacement PrimaryProviderKING'S COLLEGE HOSPITAL NHS FOUNDATION TRUST (RJZ)EQ VAS</v>
      </c>
      <c r="C2041" t="s">
        <v>969</v>
      </c>
      <c r="D2041" t="s">
        <v>965</v>
      </c>
      <c r="E2041" t="s">
        <v>290</v>
      </c>
      <c r="F2041" t="s">
        <v>291</v>
      </c>
      <c r="G2041" t="s">
        <v>752</v>
      </c>
      <c r="H2041">
        <v>14</v>
      </c>
      <c r="I2041">
        <v>65.5</v>
      </c>
      <c r="J2041">
        <v>66.142899999999997</v>
      </c>
      <c r="K2041">
        <v>0.64285700000000001</v>
      </c>
      <c r="L2041">
        <v>6</v>
      </c>
      <c r="M2041">
        <v>0</v>
      </c>
      <c r="N2041">
        <v>8</v>
      </c>
      <c r="O2041" t="s">
        <v>127</v>
      </c>
      <c r="P2041" t="s">
        <v>127</v>
      </c>
      <c r="Q2041" t="s">
        <v>127</v>
      </c>
    </row>
    <row r="2042" spans="1:17" x14ac:dyDescent="0.25">
      <c r="A2042" t="str">
        <f>IF(C2042&amp;G2042&amp;D2042&lt;&gt;'Funnel setup'!$K$3&amp;'Funnel setup'!$K$4&amp;'Funnel setup'!$K$6,".",IF(A2041=".",1,A2041+1))</f>
        <v>.</v>
      </c>
      <c r="B2042" s="244" t="str">
        <f t="shared" si="31"/>
        <v>Knee Replacement PrimaryProviderKINGS OAK HOSPITAL (NT421)EQ VAS</v>
      </c>
      <c r="C2042" t="s">
        <v>969</v>
      </c>
      <c r="D2042" t="s">
        <v>965</v>
      </c>
      <c r="E2042" t="s">
        <v>292</v>
      </c>
      <c r="F2042" t="s">
        <v>293</v>
      </c>
      <c r="G2042" t="s">
        <v>752</v>
      </c>
      <c r="H2042">
        <v>6</v>
      </c>
      <c r="I2042">
        <v>54.166699999999999</v>
      </c>
      <c r="J2042">
        <v>68</v>
      </c>
      <c r="K2042">
        <v>13.833299999999999</v>
      </c>
      <c r="L2042">
        <v>4</v>
      </c>
      <c r="M2042">
        <v>1</v>
      </c>
      <c r="N2042">
        <v>1</v>
      </c>
      <c r="O2042" t="s">
        <v>127</v>
      </c>
      <c r="P2042" t="s">
        <v>127</v>
      </c>
      <c r="Q2042" t="s">
        <v>127</v>
      </c>
    </row>
    <row r="2043" spans="1:17" x14ac:dyDescent="0.25">
      <c r="A2043" t="str">
        <f>IF(C2043&amp;G2043&amp;D2043&lt;&gt;'Funnel setup'!$K$3&amp;'Funnel setup'!$K$4&amp;'Funnel setup'!$K$6,".",IF(A2042=".",1,A2042+1))</f>
        <v>.</v>
      </c>
      <c r="B2043" s="244" t="str">
        <f t="shared" si="31"/>
        <v>Knee Replacement PrimaryProviderLANCASHIRE TEACHING HOSPITALS NHS FOUNDATION TRUST (RXN)EQ VAS</v>
      </c>
      <c r="C2043" t="s">
        <v>969</v>
      </c>
      <c r="D2043" t="s">
        <v>965</v>
      </c>
      <c r="E2043" t="s">
        <v>296</v>
      </c>
      <c r="F2043" t="s">
        <v>297</v>
      </c>
      <c r="G2043" t="s">
        <v>752</v>
      </c>
      <c r="H2043">
        <v>36</v>
      </c>
      <c r="I2043">
        <v>64.805599999999998</v>
      </c>
      <c r="J2043">
        <v>71.472200000000001</v>
      </c>
      <c r="K2043">
        <v>6.6666699999999999</v>
      </c>
      <c r="L2043">
        <v>23</v>
      </c>
      <c r="M2043">
        <v>2</v>
      </c>
      <c r="N2043">
        <v>11</v>
      </c>
      <c r="O2043">
        <v>73.941699999999997</v>
      </c>
      <c r="P2043">
        <v>8.4133399999999998</v>
      </c>
      <c r="Q2043">
        <v>16.991099999999999</v>
      </c>
    </row>
    <row r="2044" spans="1:17" x14ac:dyDescent="0.25">
      <c r="A2044" t="str">
        <f>IF(C2044&amp;G2044&amp;D2044&lt;&gt;'Funnel setup'!$K$3&amp;'Funnel setup'!$K$4&amp;'Funnel setup'!$K$6,".",IF(A2043=".",1,A2043+1))</f>
        <v>.</v>
      </c>
      <c r="B2044" s="244" t="str">
        <f t="shared" si="31"/>
        <v>Knee Replacement PrimaryProviderLANCASTER HOSPITAL (NT449)EQ VAS</v>
      </c>
      <c r="C2044" t="s">
        <v>969</v>
      </c>
      <c r="D2044" t="s">
        <v>965</v>
      </c>
      <c r="E2044" t="s">
        <v>298</v>
      </c>
      <c r="F2044" t="s">
        <v>299</v>
      </c>
      <c r="G2044" t="s">
        <v>752</v>
      </c>
      <c r="H2044">
        <v>30</v>
      </c>
      <c r="I2044">
        <v>69.433300000000003</v>
      </c>
      <c r="J2044">
        <v>81.566699999999997</v>
      </c>
      <c r="K2044">
        <v>12.1333</v>
      </c>
      <c r="L2044">
        <v>22</v>
      </c>
      <c r="M2044">
        <v>2</v>
      </c>
      <c r="N2044">
        <v>6</v>
      </c>
      <c r="O2044">
        <v>78.701499999999996</v>
      </c>
      <c r="P2044">
        <v>13.1731</v>
      </c>
      <c r="Q2044">
        <v>11.4101</v>
      </c>
    </row>
    <row r="2045" spans="1:17" x14ac:dyDescent="0.25">
      <c r="A2045" t="str">
        <f>IF(C2045&amp;G2045&amp;D2045&lt;&gt;'Funnel setup'!$K$3&amp;'Funnel setup'!$K$4&amp;'Funnel setup'!$K$6,".",IF(A2044=".",1,A2044+1))</f>
        <v>.</v>
      </c>
      <c r="B2045" s="244" t="str">
        <f t="shared" si="31"/>
        <v>Knee Replacement PrimaryProviderLEEDS TEACHING HOSPITALS NHS TRUST (RR8)EQ VAS</v>
      </c>
      <c r="C2045" t="s">
        <v>969</v>
      </c>
      <c r="D2045" t="s">
        <v>965</v>
      </c>
      <c r="E2045" t="s">
        <v>300</v>
      </c>
      <c r="F2045" t="s">
        <v>301</v>
      </c>
      <c r="G2045" t="s">
        <v>752</v>
      </c>
      <c r="H2045">
        <v>92</v>
      </c>
      <c r="I2045">
        <v>59.239100000000001</v>
      </c>
      <c r="J2045">
        <v>71.228300000000004</v>
      </c>
      <c r="K2045">
        <v>11.989100000000001</v>
      </c>
      <c r="L2045">
        <v>62</v>
      </c>
      <c r="M2045">
        <v>12</v>
      </c>
      <c r="N2045">
        <v>18</v>
      </c>
      <c r="O2045">
        <v>74.343400000000003</v>
      </c>
      <c r="P2045">
        <v>8.8150300000000001</v>
      </c>
      <c r="Q2045">
        <v>15.6526</v>
      </c>
    </row>
    <row r="2046" spans="1:17" x14ac:dyDescent="0.25">
      <c r="A2046" t="str">
        <f>IF(C2046&amp;G2046&amp;D2046&lt;&gt;'Funnel setup'!$K$3&amp;'Funnel setup'!$K$4&amp;'Funnel setup'!$K$6,".",IF(A2045=".",1,A2045+1))</f>
        <v>.</v>
      </c>
      <c r="B2046" s="244" t="str">
        <f t="shared" si="31"/>
        <v>Knee Replacement PrimaryProviderLINCOLN HOSPITAL (NT450)EQ VAS</v>
      </c>
      <c r="C2046" t="s">
        <v>969</v>
      </c>
      <c r="D2046" t="s">
        <v>965</v>
      </c>
      <c r="E2046" t="s">
        <v>304</v>
      </c>
      <c r="F2046" t="s">
        <v>305</v>
      </c>
      <c r="G2046" t="s">
        <v>752</v>
      </c>
      <c r="H2046">
        <v>66</v>
      </c>
      <c r="I2046">
        <v>66.318200000000004</v>
      </c>
      <c r="J2046">
        <v>78.106099999999998</v>
      </c>
      <c r="K2046">
        <v>11.7879</v>
      </c>
      <c r="L2046">
        <v>45</v>
      </c>
      <c r="M2046">
        <v>4</v>
      </c>
      <c r="N2046">
        <v>17</v>
      </c>
      <c r="O2046">
        <v>77.393900000000002</v>
      </c>
      <c r="P2046">
        <v>11.865500000000001</v>
      </c>
      <c r="Q2046">
        <v>15.3972</v>
      </c>
    </row>
    <row r="2047" spans="1:17" x14ac:dyDescent="0.25">
      <c r="A2047" t="str">
        <f>IF(C2047&amp;G2047&amp;D2047&lt;&gt;'Funnel setup'!$K$3&amp;'Funnel setup'!$K$4&amp;'Funnel setup'!$K$6,".",IF(A2046=".",1,A2046+1))</f>
        <v>.</v>
      </c>
      <c r="B2047" s="244" t="str">
        <f t="shared" si="31"/>
        <v>Knee Replacement PrimaryProviderLIVERPOOL UNIVERSITY HOSPITALS NHS FOUNDATION TRUST (REM)EQ VAS</v>
      </c>
      <c r="C2047" t="s">
        <v>969</v>
      </c>
      <c r="D2047" t="s">
        <v>965</v>
      </c>
      <c r="E2047" t="s">
        <v>306</v>
      </c>
      <c r="F2047" t="s">
        <v>307</v>
      </c>
      <c r="G2047" t="s">
        <v>752</v>
      </c>
      <c r="H2047">
        <v>57</v>
      </c>
      <c r="I2047">
        <v>64.192999999999998</v>
      </c>
      <c r="J2047">
        <v>72.350899999999996</v>
      </c>
      <c r="K2047">
        <v>8.1578900000000001</v>
      </c>
      <c r="L2047">
        <v>32</v>
      </c>
      <c r="M2047">
        <v>6</v>
      </c>
      <c r="N2047">
        <v>19</v>
      </c>
      <c r="O2047">
        <v>74.664299999999997</v>
      </c>
      <c r="P2047">
        <v>9.1358700000000006</v>
      </c>
      <c r="Q2047">
        <v>17.504000000000001</v>
      </c>
    </row>
    <row r="2048" spans="1:17" x14ac:dyDescent="0.25">
      <c r="A2048" t="str">
        <f>IF(C2048&amp;G2048&amp;D2048&lt;&gt;'Funnel setup'!$K$3&amp;'Funnel setup'!$K$4&amp;'Funnel setup'!$K$6,".",IF(A2047=".",1,A2047+1))</f>
        <v>.</v>
      </c>
      <c r="B2048" s="244" t="str">
        <f t="shared" si="31"/>
        <v>Knee Replacement PrimaryProviderLONDON INDEPENDENT HOSPITAL (NT422)EQ VAS</v>
      </c>
      <c r="C2048" t="s">
        <v>969</v>
      </c>
      <c r="D2048" t="s">
        <v>965</v>
      </c>
      <c r="E2048" t="s">
        <v>308</v>
      </c>
      <c r="F2048" t="s">
        <v>309</v>
      </c>
      <c r="G2048" t="s">
        <v>752</v>
      </c>
      <c r="H2048">
        <v>8</v>
      </c>
      <c r="I2048">
        <v>56.25</v>
      </c>
      <c r="J2048">
        <v>57.25</v>
      </c>
      <c r="K2048">
        <v>1</v>
      </c>
      <c r="L2048">
        <v>4</v>
      </c>
      <c r="M2048">
        <v>0</v>
      </c>
      <c r="N2048">
        <v>4</v>
      </c>
      <c r="O2048" t="s">
        <v>127</v>
      </c>
      <c r="P2048" t="s">
        <v>127</v>
      </c>
      <c r="Q2048" t="s">
        <v>127</v>
      </c>
    </row>
    <row r="2049" spans="1:17" x14ac:dyDescent="0.25">
      <c r="A2049" t="str">
        <f>IF(C2049&amp;G2049&amp;D2049&lt;&gt;'Funnel setup'!$K$3&amp;'Funnel setup'!$K$4&amp;'Funnel setup'!$K$6,".",IF(A2048=".",1,A2048+1))</f>
        <v>.</v>
      </c>
      <c r="B2049" s="244" t="str">
        <f t="shared" si="31"/>
        <v>Knee Replacement PrimaryProviderMAIDSTONE AND TUNBRIDGE WELLS NHS TRUST (RWF)EQ VAS</v>
      </c>
      <c r="C2049" t="s">
        <v>969</v>
      </c>
      <c r="D2049" t="s">
        <v>965</v>
      </c>
      <c r="E2049" t="s">
        <v>312</v>
      </c>
      <c r="F2049" t="s">
        <v>313</v>
      </c>
      <c r="G2049" t="s">
        <v>752</v>
      </c>
      <c r="H2049">
        <v>128</v>
      </c>
      <c r="I2049">
        <v>67.4375</v>
      </c>
      <c r="J2049">
        <v>77.007800000000003</v>
      </c>
      <c r="K2049">
        <v>9.5703099999999992</v>
      </c>
      <c r="L2049">
        <v>80</v>
      </c>
      <c r="M2049">
        <v>12</v>
      </c>
      <c r="N2049">
        <v>36</v>
      </c>
      <c r="O2049">
        <v>75.836200000000005</v>
      </c>
      <c r="P2049">
        <v>10.3078</v>
      </c>
      <c r="Q2049">
        <v>15.902100000000001</v>
      </c>
    </row>
    <row r="2050" spans="1:17" x14ac:dyDescent="0.25">
      <c r="A2050" t="str">
        <f>IF(C2050&amp;G2050&amp;D2050&lt;&gt;'Funnel setup'!$K$3&amp;'Funnel setup'!$K$4&amp;'Funnel setup'!$K$6,".",IF(A2049=".",1,A2049+1))</f>
        <v>.</v>
      </c>
      <c r="B2050" s="244" t="str">
        <f t="shared" ref="B2050:B2113" si="32">C2050&amp;D2050&amp;F2050&amp;G2050</f>
        <v>Knee Replacement PrimaryProviderMANCHESTER UNIVERSITY NHS FOUNDATION TRUST (R0A)EQ VAS</v>
      </c>
      <c r="C2050" t="s">
        <v>969</v>
      </c>
      <c r="D2050" t="s">
        <v>965</v>
      </c>
      <c r="E2050" t="s">
        <v>316</v>
      </c>
      <c r="F2050" t="s">
        <v>317</v>
      </c>
      <c r="G2050" t="s">
        <v>752</v>
      </c>
      <c r="H2050">
        <v>89</v>
      </c>
      <c r="I2050">
        <v>60.303400000000003</v>
      </c>
      <c r="J2050">
        <v>70.752799999999993</v>
      </c>
      <c r="K2050">
        <v>10.449400000000001</v>
      </c>
      <c r="L2050">
        <v>53</v>
      </c>
      <c r="M2050">
        <v>10</v>
      </c>
      <c r="N2050">
        <v>26</v>
      </c>
      <c r="O2050">
        <v>73.275499999999994</v>
      </c>
      <c r="P2050">
        <v>7.7470800000000004</v>
      </c>
      <c r="Q2050">
        <v>20.907900000000001</v>
      </c>
    </row>
    <row r="2051" spans="1:17" x14ac:dyDescent="0.25">
      <c r="A2051" t="str">
        <f>IF(C2051&amp;G2051&amp;D2051&lt;&gt;'Funnel setup'!$K$3&amp;'Funnel setup'!$K$4&amp;'Funnel setup'!$K$6,".",IF(A2050=".",1,A2050+1))</f>
        <v>.</v>
      </c>
      <c r="B2051" s="244" t="str">
        <f t="shared" si="32"/>
        <v>Knee Replacement PrimaryProviderMANOR HOSPITAL (NT423)EQ VAS</v>
      </c>
      <c r="C2051" t="s">
        <v>969</v>
      </c>
      <c r="D2051" t="s">
        <v>965</v>
      </c>
      <c r="E2051" t="s">
        <v>318</v>
      </c>
      <c r="F2051" t="s">
        <v>319</v>
      </c>
      <c r="G2051" t="s">
        <v>752</v>
      </c>
      <c r="H2051">
        <v>13</v>
      </c>
      <c r="I2051">
        <v>69</v>
      </c>
      <c r="J2051">
        <v>72.461500000000001</v>
      </c>
      <c r="K2051">
        <v>3.4615399999999998</v>
      </c>
      <c r="L2051">
        <v>8</v>
      </c>
      <c r="M2051">
        <v>2</v>
      </c>
      <c r="N2051">
        <v>3</v>
      </c>
      <c r="O2051" t="s">
        <v>127</v>
      </c>
      <c r="P2051" t="s">
        <v>127</v>
      </c>
      <c r="Q2051" t="s">
        <v>127</v>
      </c>
    </row>
    <row r="2052" spans="1:17" x14ac:dyDescent="0.25">
      <c r="A2052" t="str">
        <f>IF(C2052&amp;G2052&amp;D2052&lt;&gt;'Funnel setup'!$K$3&amp;'Funnel setup'!$K$4&amp;'Funnel setup'!$K$6,".",IF(A2051=".",1,A2051+1))</f>
        <v>.</v>
      </c>
      <c r="B2052" s="244" t="str">
        <f t="shared" si="32"/>
        <v>Knee Replacement PrimaryProviderMEDWAY NHS FOUNDATION TRUST (RPA)EQ VAS</v>
      </c>
      <c r="C2052" t="s">
        <v>969</v>
      </c>
      <c r="D2052" t="s">
        <v>965</v>
      </c>
      <c r="E2052" t="s">
        <v>320</v>
      </c>
      <c r="F2052" t="s">
        <v>321</v>
      </c>
      <c r="G2052" t="s">
        <v>752</v>
      </c>
      <c r="H2052">
        <v>41</v>
      </c>
      <c r="I2052">
        <v>66.756100000000004</v>
      </c>
      <c r="J2052">
        <v>75.365899999999996</v>
      </c>
      <c r="K2052">
        <v>8.6097599999999996</v>
      </c>
      <c r="L2052">
        <v>28</v>
      </c>
      <c r="M2052">
        <v>2</v>
      </c>
      <c r="N2052">
        <v>11</v>
      </c>
      <c r="O2052">
        <v>75.612300000000005</v>
      </c>
      <c r="P2052">
        <v>10.0839</v>
      </c>
      <c r="Q2052">
        <v>17.1815</v>
      </c>
    </row>
    <row r="2053" spans="1:17" x14ac:dyDescent="0.25">
      <c r="A2053" t="str">
        <f>IF(C2053&amp;G2053&amp;D2053&lt;&gt;'Funnel setup'!$K$3&amp;'Funnel setup'!$K$4&amp;'Funnel setup'!$K$6,".",IF(A2052=".",1,A2052+1))</f>
        <v>.</v>
      </c>
      <c r="B2053" s="244" t="str">
        <f t="shared" si="32"/>
        <v>Knee Replacement PrimaryProviderMERIDEN HOSPITAL (NT424)EQ VAS</v>
      </c>
      <c r="C2053" t="s">
        <v>969</v>
      </c>
      <c r="D2053" t="s">
        <v>965</v>
      </c>
      <c r="E2053" t="s">
        <v>322</v>
      </c>
      <c r="F2053" t="s">
        <v>323</v>
      </c>
      <c r="G2053" t="s">
        <v>752</v>
      </c>
      <c r="H2053">
        <v>7</v>
      </c>
      <c r="I2053">
        <v>68.571399999999997</v>
      </c>
      <c r="J2053">
        <v>80</v>
      </c>
      <c r="K2053">
        <v>11.428599999999999</v>
      </c>
      <c r="L2053">
        <v>5</v>
      </c>
      <c r="M2053">
        <v>1</v>
      </c>
      <c r="N2053">
        <v>1</v>
      </c>
      <c r="O2053" t="s">
        <v>127</v>
      </c>
      <c r="P2053" t="s">
        <v>127</v>
      </c>
      <c r="Q2053" t="s">
        <v>127</v>
      </c>
    </row>
    <row r="2054" spans="1:17" x14ac:dyDescent="0.25">
      <c r="A2054" t="str">
        <f>IF(C2054&amp;G2054&amp;D2054&lt;&gt;'Funnel setup'!$K$3&amp;'Funnel setup'!$K$4&amp;'Funnel setup'!$K$6,".",IF(A2053=".",1,A2053+1))</f>
        <v>.</v>
      </c>
      <c r="B2054" s="244" t="str">
        <f t="shared" si="32"/>
        <v>Knee Replacement PrimaryProviderMID AND SOUTH ESSEX NHS FOUNDATION TRUST (RAJ)EQ VAS</v>
      </c>
      <c r="C2054" t="s">
        <v>969</v>
      </c>
      <c r="D2054" t="s">
        <v>965</v>
      </c>
      <c r="E2054" t="s">
        <v>324</v>
      </c>
      <c r="F2054" t="s">
        <v>325</v>
      </c>
      <c r="G2054" t="s">
        <v>752</v>
      </c>
      <c r="H2054">
        <v>115</v>
      </c>
      <c r="I2054">
        <v>64.478300000000004</v>
      </c>
      <c r="J2054">
        <v>70.304299999999998</v>
      </c>
      <c r="K2054">
        <v>5.8260899999999998</v>
      </c>
      <c r="L2054">
        <v>70</v>
      </c>
      <c r="M2054">
        <v>13</v>
      </c>
      <c r="N2054">
        <v>32</v>
      </c>
      <c r="O2054">
        <v>72.392300000000006</v>
      </c>
      <c r="P2054">
        <v>6.8639000000000001</v>
      </c>
      <c r="Q2054">
        <v>18.5563</v>
      </c>
    </row>
    <row r="2055" spans="1:17" x14ac:dyDescent="0.25">
      <c r="A2055" t="str">
        <f>IF(C2055&amp;G2055&amp;D2055&lt;&gt;'Funnel setup'!$K$3&amp;'Funnel setup'!$K$4&amp;'Funnel setup'!$K$6,".",IF(A2054=".",1,A2054+1))</f>
        <v>.</v>
      </c>
      <c r="B2055" s="244" t="str">
        <f t="shared" si="32"/>
        <v>Knee Replacement PrimaryProviderMID CHESHIRE HOSPITALS NHS FOUNDATION TRUST (RBT)EQ VAS</v>
      </c>
      <c r="C2055" t="s">
        <v>969</v>
      </c>
      <c r="D2055" t="s">
        <v>965</v>
      </c>
      <c r="E2055" t="s">
        <v>326</v>
      </c>
      <c r="F2055" t="s">
        <v>327</v>
      </c>
      <c r="G2055" t="s">
        <v>752</v>
      </c>
      <c r="H2055">
        <v>79</v>
      </c>
      <c r="I2055">
        <v>63.607599999999998</v>
      </c>
      <c r="J2055">
        <v>75.430400000000006</v>
      </c>
      <c r="K2055">
        <v>11.822800000000001</v>
      </c>
      <c r="L2055">
        <v>50</v>
      </c>
      <c r="M2055">
        <v>7</v>
      </c>
      <c r="N2055">
        <v>22</v>
      </c>
      <c r="O2055">
        <v>75.811899999999994</v>
      </c>
      <c r="P2055">
        <v>10.2835</v>
      </c>
      <c r="Q2055">
        <v>15.621</v>
      </c>
    </row>
    <row r="2056" spans="1:17" x14ac:dyDescent="0.25">
      <c r="A2056" t="str">
        <f>IF(C2056&amp;G2056&amp;D2056&lt;&gt;'Funnel setup'!$K$3&amp;'Funnel setup'!$K$4&amp;'Funnel setup'!$K$6,".",IF(A2055=".",1,A2055+1))</f>
        <v>.</v>
      </c>
      <c r="B2056" s="244" t="str">
        <f t="shared" si="32"/>
        <v>Knee Replacement PrimaryProviderMID YORKSHIRE TEACHING NHS TRUST (RXF)EQ VAS</v>
      </c>
      <c r="C2056" t="s">
        <v>969</v>
      </c>
      <c r="D2056" t="s">
        <v>965</v>
      </c>
      <c r="E2056" t="s">
        <v>330</v>
      </c>
      <c r="F2056" t="s">
        <v>331</v>
      </c>
      <c r="G2056" t="s">
        <v>752</v>
      </c>
      <c r="H2056">
        <v>161</v>
      </c>
      <c r="I2056">
        <v>61.819899999999997</v>
      </c>
      <c r="J2056">
        <v>70.695700000000002</v>
      </c>
      <c r="K2056">
        <v>8.8757800000000007</v>
      </c>
      <c r="L2056">
        <v>95</v>
      </c>
      <c r="M2056">
        <v>14</v>
      </c>
      <c r="N2056">
        <v>52</v>
      </c>
      <c r="O2056">
        <v>72.953199999999995</v>
      </c>
      <c r="P2056">
        <v>7.4247500000000004</v>
      </c>
      <c r="Q2056">
        <v>18.07</v>
      </c>
    </row>
    <row r="2057" spans="1:17" x14ac:dyDescent="0.25">
      <c r="A2057" t="str">
        <f>IF(C2057&amp;G2057&amp;D2057&lt;&gt;'Funnel setup'!$K$3&amp;'Funnel setup'!$K$4&amp;'Funnel setup'!$K$6,".",IF(A2056=".",1,A2056+1))</f>
        <v>.</v>
      </c>
      <c r="B2057" s="244" t="str">
        <f t="shared" si="32"/>
        <v>Knee Replacement PrimaryProviderMILTON KEYNES UNIVERSITY HOSPITAL NHS FOUNDATION TRUST (RD8)EQ VAS</v>
      </c>
      <c r="C2057" t="s">
        <v>969</v>
      </c>
      <c r="D2057" t="s">
        <v>965</v>
      </c>
      <c r="E2057" t="s">
        <v>332</v>
      </c>
      <c r="F2057" t="s">
        <v>333</v>
      </c>
      <c r="G2057" t="s">
        <v>752</v>
      </c>
      <c r="H2057">
        <v>29</v>
      </c>
      <c r="I2057">
        <v>53.069000000000003</v>
      </c>
      <c r="J2057">
        <v>68.689700000000002</v>
      </c>
      <c r="K2057">
        <v>15.620699999999999</v>
      </c>
      <c r="L2057">
        <v>21</v>
      </c>
      <c r="M2057">
        <v>4</v>
      </c>
      <c r="N2057">
        <v>4</v>
      </c>
      <c r="O2057" t="s">
        <v>127</v>
      </c>
      <c r="P2057" t="s">
        <v>127</v>
      </c>
      <c r="Q2057" t="s">
        <v>127</v>
      </c>
    </row>
    <row r="2058" spans="1:17" x14ac:dyDescent="0.25">
      <c r="A2058" t="str">
        <f>IF(C2058&amp;G2058&amp;D2058&lt;&gt;'Funnel setup'!$K$3&amp;'Funnel setup'!$K$4&amp;'Funnel setup'!$K$6,".",IF(A2057=".",1,A2057+1))</f>
        <v>.</v>
      </c>
      <c r="B2058" s="244" t="str">
        <f t="shared" si="32"/>
        <v>Knee Replacement PrimaryProviderMOUNT ALVERNIA HOSPITAL (NT455)EQ VAS</v>
      </c>
      <c r="C2058" t="s">
        <v>969</v>
      </c>
      <c r="D2058" t="s">
        <v>965</v>
      </c>
      <c r="E2058" t="s">
        <v>334</v>
      </c>
      <c r="F2058" t="s">
        <v>335</v>
      </c>
      <c r="G2058" t="s">
        <v>752</v>
      </c>
      <c r="H2058">
        <v>7</v>
      </c>
      <c r="I2058">
        <v>83.142899999999997</v>
      </c>
      <c r="J2058">
        <v>72.285700000000006</v>
      </c>
      <c r="K2058">
        <v>-10.857100000000001</v>
      </c>
      <c r="L2058">
        <v>4</v>
      </c>
      <c r="M2058">
        <v>0</v>
      </c>
      <c r="N2058">
        <v>3</v>
      </c>
      <c r="O2058" t="s">
        <v>127</v>
      </c>
      <c r="P2058" t="s">
        <v>127</v>
      </c>
      <c r="Q2058" t="s">
        <v>127</v>
      </c>
    </row>
    <row r="2059" spans="1:17" x14ac:dyDescent="0.25">
      <c r="A2059" t="str">
        <f>IF(C2059&amp;G2059&amp;D2059&lt;&gt;'Funnel setup'!$K$3&amp;'Funnel setup'!$K$4&amp;'Funnel setup'!$K$6,".",IF(A2058=".",1,A2058+1))</f>
        <v>.</v>
      </c>
      <c r="B2059" s="244" t="str">
        <f t="shared" si="32"/>
        <v>Knee Replacement PrimaryProviderMOUNT STUART HOSPITAL (NVC08)EQ VAS</v>
      </c>
      <c r="C2059" t="s">
        <v>969</v>
      </c>
      <c r="D2059" t="s">
        <v>965</v>
      </c>
      <c r="E2059" t="s">
        <v>336</v>
      </c>
      <c r="F2059" t="s">
        <v>337</v>
      </c>
      <c r="G2059" t="s">
        <v>752</v>
      </c>
      <c r="H2059">
        <v>101</v>
      </c>
      <c r="I2059">
        <v>69.524799999999999</v>
      </c>
      <c r="J2059">
        <v>74.306899999999999</v>
      </c>
      <c r="K2059">
        <v>4.7821800000000003</v>
      </c>
      <c r="L2059">
        <v>56</v>
      </c>
      <c r="M2059">
        <v>13</v>
      </c>
      <c r="N2059">
        <v>32</v>
      </c>
      <c r="O2059">
        <v>73.095100000000002</v>
      </c>
      <c r="P2059">
        <v>7.5666700000000002</v>
      </c>
      <c r="Q2059">
        <v>16.980599999999999</v>
      </c>
    </row>
    <row r="2060" spans="1:17" x14ac:dyDescent="0.25">
      <c r="A2060" t="str">
        <f>IF(C2060&amp;G2060&amp;D2060&lt;&gt;'Funnel setup'!$K$3&amp;'Funnel setup'!$K$4&amp;'Funnel setup'!$K$6,".",IF(A2059=".",1,A2059+1))</f>
        <v>.</v>
      </c>
      <c r="B2060" s="244" t="str">
        <f t="shared" si="32"/>
        <v>Knee Replacement PrimaryProviderNEW HALL HOSPITAL (NVC09)EQ VAS</v>
      </c>
      <c r="C2060" t="s">
        <v>969</v>
      </c>
      <c r="D2060" t="s">
        <v>965</v>
      </c>
      <c r="E2060" t="s">
        <v>338</v>
      </c>
      <c r="F2060" t="s">
        <v>339</v>
      </c>
      <c r="G2060" t="s">
        <v>752</v>
      </c>
      <c r="H2060">
        <v>96</v>
      </c>
      <c r="I2060">
        <v>65.625</v>
      </c>
      <c r="J2060">
        <v>79.406300000000002</v>
      </c>
      <c r="K2060">
        <v>13.7813</v>
      </c>
      <c r="L2060">
        <v>65</v>
      </c>
      <c r="M2060">
        <v>12</v>
      </c>
      <c r="N2060">
        <v>19</v>
      </c>
      <c r="O2060">
        <v>77.8797</v>
      </c>
      <c r="P2060">
        <v>12.3513</v>
      </c>
      <c r="Q2060">
        <v>13.9033</v>
      </c>
    </row>
    <row r="2061" spans="1:17" x14ac:dyDescent="0.25">
      <c r="A2061" t="str">
        <f>IF(C2061&amp;G2061&amp;D2061&lt;&gt;'Funnel setup'!$K$3&amp;'Funnel setup'!$K$4&amp;'Funnel setup'!$K$6,".",IF(A2060=".",1,A2060+1))</f>
        <v>.</v>
      </c>
      <c r="B2061" s="244" t="str">
        <f t="shared" si="32"/>
        <v>Knee Replacement PrimaryProviderNORFOLK AND NORWICH UNIVERSITY HOSPITALS NHS FOUNDATION TRUST (RM1)EQ VAS</v>
      </c>
      <c r="C2061" t="s">
        <v>969</v>
      </c>
      <c r="D2061" t="s">
        <v>965</v>
      </c>
      <c r="E2061" t="s">
        <v>340</v>
      </c>
      <c r="F2061" t="s">
        <v>341</v>
      </c>
      <c r="G2061" t="s">
        <v>752</v>
      </c>
      <c r="H2061">
        <v>131</v>
      </c>
      <c r="I2061">
        <v>59.396900000000002</v>
      </c>
      <c r="J2061">
        <v>68.435100000000006</v>
      </c>
      <c r="K2061">
        <v>9.0381699999999991</v>
      </c>
      <c r="L2061">
        <v>76</v>
      </c>
      <c r="M2061">
        <v>15</v>
      </c>
      <c r="N2061">
        <v>40</v>
      </c>
      <c r="O2061">
        <v>72.0535</v>
      </c>
      <c r="P2061">
        <v>6.5251299999999999</v>
      </c>
      <c r="Q2061">
        <v>17.533799999999999</v>
      </c>
    </row>
    <row r="2062" spans="1:17" x14ac:dyDescent="0.25">
      <c r="A2062" t="str">
        <f>IF(C2062&amp;G2062&amp;D2062&lt;&gt;'Funnel setup'!$K$3&amp;'Funnel setup'!$K$4&amp;'Funnel setup'!$K$6,".",IF(A2061=".",1,A2061+1))</f>
        <v>.</v>
      </c>
      <c r="B2062" s="244" t="str">
        <f t="shared" si="32"/>
        <v>Knee Replacement PrimaryProviderNORTH BRISTOL NHS TRUST (RVJ)EQ VAS</v>
      </c>
      <c r="C2062" t="s">
        <v>969</v>
      </c>
      <c r="D2062" t="s">
        <v>965</v>
      </c>
      <c r="E2062" t="s">
        <v>342</v>
      </c>
      <c r="F2062" t="s">
        <v>343</v>
      </c>
      <c r="G2062" t="s">
        <v>752</v>
      </c>
      <c r="H2062">
        <v>5</v>
      </c>
      <c r="I2062">
        <v>62.6</v>
      </c>
      <c r="J2062">
        <v>87.8</v>
      </c>
      <c r="K2062">
        <v>25.2</v>
      </c>
      <c r="L2062">
        <v>5</v>
      </c>
      <c r="M2062">
        <v>0</v>
      </c>
      <c r="N2062">
        <v>0</v>
      </c>
      <c r="O2062" t="s">
        <v>127</v>
      </c>
      <c r="P2062" t="s">
        <v>127</v>
      </c>
      <c r="Q2062" t="s">
        <v>127</v>
      </c>
    </row>
    <row r="2063" spans="1:17" x14ac:dyDescent="0.25">
      <c r="A2063" t="str">
        <f>IF(C2063&amp;G2063&amp;D2063&lt;&gt;'Funnel setup'!$K$3&amp;'Funnel setup'!$K$4&amp;'Funnel setup'!$K$6,".",IF(A2062=".",1,A2062+1))</f>
        <v>.</v>
      </c>
      <c r="B2063" s="244" t="str">
        <f t="shared" si="32"/>
        <v>Knee Replacement PrimaryProviderNORTH CUMBRIA INTEGRATED CARE NHS FOUNDATION TRUST (RNN)EQ VAS</v>
      </c>
      <c r="C2063" t="s">
        <v>969</v>
      </c>
      <c r="D2063" t="s">
        <v>965</v>
      </c>
      <c r="E2063" t="s">
        <v>344</v>
      </c>
      <c r="F2063" t="s">
        <v>345</v>
      </c>
      <c r="G2063" t="s">
        <v>752</v>
      </c>
      <c r="H2063">
        <v>120</v>
      </c>
      <c r="I2063">
        <v>65.2333</v>
      </c>
      <c r="J2063">
        <v>75.158299999999997</v>
      </c>
      <c r="K2063">
        <v>9.9250000000000007</v>
      </c>
      <c r="L2063">
        <v>74</v>
      </c>
      <c r="M2063">
        <v>12</v>
      </c>
      <c r="N2063">
        <v>34</v>
      </c>
      <c r="O2063">
        <v>75.167100000000005</v>
      </c>
      <c r="P2063">
        <v>9.6386599999999998</v>
      </c>
      <c r="Q2063">
        <v>18.009</v>
      </c>
    </row>
    <row r="2064" spans="1:17" x14ac:dyDescent="0.25">
      <c r="A2064" t="str">
        <f>IF(C2064&amp;G2064&amp;D2064&lt;&gt;'Funnel setup'!$K$3&amp;'Funnel setup'!$K$4&amp;'Funnel setup'!$K$6,".",IF(A2063=".",1,A2063+1))</f>
        <v>.</v>
      </c>
      <c r="B2064" s="244" t="str">
        <f t="shared" si="32"/>
        <v>Knee Replacement PrimaryProviderNORTH DOWNS HOSPITAL (NVC11)EQ VAS</v>
      </c>
      <c r="C2064" t="s">
        <v>969</v>
      </c>
      <c r="D2064" t="s">
        <v>965</v>
      </c>
      <c r="E2064" t="s">
        <v>348</v>
      </c>
      <c r="F2064" t="s">
        <v>349</v>
      </c>
      <c r="G2064" t="s">
        <v>752</v>
      </c>
      <c r="H2064">
        <v>28</v>
      </c>
      <c r="I2064">
        <v>63.892899999999997</v>
      </c>
      <c r="J2064">
        <v>71.785700000000006</v>
      </c>
      <c r="K2064">
        <v>7.8928599999999998</v>
      </c>
      <c r="L2064">
        <v>15</v>
      </c>
      <c r="M2064">
        <v>4</v>
      </c>
      <c r="N2064">
        <v>9</v>
      </c>
      <c r="O2064" t="s">
        <v>127</v>
      </c>
      <c r="P2064" t="s">
        <v>127</v>
      </c>
      <c r="Q2064" t="s">
        <v>127</v>
      </c>
    </row>
    <row r="2065" spans="1:17" x14ac:dyDescent="0.25">
      <c r="A2065" t="str">
        <f>IF(C2065&amp;G2065&amp;D2065&lt;&gt;'Funnel setup'!$K$3&amp;'Funnel setup'!$K$4&amp;'Funnel setup'!$K$6,".",IF(A2064=".",1,A2064+1))</f>
        <v>.</v>
      </c>
      <c r="B2065" s="244" t="str">
        <f t="shared" si="32"/>
        <v>Knee Replacement PrimaryProviderNORTH MIDDLESEX UNIVERSITY HOSPITAL NHS TRUST (RAP)EQ VAS</v>
      </c>
      <c r="C2065" t="s">
        <v>969</v>
      </c>
      <c r="D2065" t="s">
        <v>965</v>
      </c>
      <c r="E2065" t="s">
        <v>350</v>
      </c>
      <c r="F2065" t="s">
        <v>351</v>
      </c>
      <c r="G2065" t="s">
        <v>752</v>
      </c>
      <c r="H2065">
        <v>7</v>
      </c>
      <c r="I2065">
        <v>49.285699999999999</v>
      </c>
      <c r="J2065">
        <v>67.142899999999997</v>
      </c>
      <c r="K2065">
        <v>17.857099999999999</v>
      </c>
      <c r="L2065">
        <v>5</v>
      </c>
      <c r="M2065">
        <v>0</v>
      </c>
      <c r="N2065">
        <v>2</v>
      </c>
      <c r="O2065" t="s">
        <v>127</v>
      </c>
      <c r="P2065" t="s">
        <v>127</v>
      </c>
      <c r="Q2065" t="s">
        <v>127</v>
      </c>
    </row>
    <row r="2066" spans="1:17" x14ac:dyDescent="0.25">
      <c r="A2066" t="str">
        <f>IF(C2066&amp;G2066&amp;D2066&lt;&gt;'Funnel setup'!$K$3&amp;'Funnel setup'!$K$4&amp;'Funnel setup'!$K$6,".",IF(A2065=".",1,A2065+1))</f>
        <v>.</v>
      </c>
      <c r="B2066" s="244" t="str">
        <f t="shared" si="32"/>
        <v>Knee Replacement PrimaryProviderNORTH TEES AND HARTLEPOOL NHS FOUNDATION TRUST (RVW)EQ VAS</v>
      </c>
      <c r="C2066" t="s">
        <v>969</v>
      </c>
      <c r="D2066" t="s">
        <v>965</v>
      </c>
      <c r="E2066" t="s">
        <v>352</v>
      </c>
      <c r="F2066" t="s">
        <v>353</v>
      </c>
      <c r="G2066" t="s">
        <v>752</v>
      </c>
      <c r="H2066">
        <v>81</v>
      </c>
      <c r="I2066">
        <v>71.975300000000004</v>
      </c>
      <c r="J2066">
        <v>68.827200000000005</v>
      </c>
      <c r="K2066">
        <v>-3.1481499999999998</v>
      </c>
      <c r="L2066">
        <v>35</v>
      </c>
      <c r="M2066">
        <v>11</v>
      </c>
      <c r="N2066">
        <v>35</v>
      </c>
      <c r="O2066">
        <v>70.862799999999993</v>
      </c>
      <c r="P2066">
        <v>5.3344399999999998</v>
      </c>
      <c r="Q2066">
        <v>18.739699999999999</v>
      </c>
    </row>
    <row r="2067" spans="1:17" x14ac:dyDescent="0.25">
      <c r="A2067" t="str">
        <f>IF(C2067&amp;G2067&amp;D2067&lt;&gt;'Funnel setup'!$K$3&amp;'Funnel setup'!$K$4&amp;'Funnel setup'!$K$6,".",IF(A2066=".",1,A2066+1))</f>
        <v>.</v>
      </c>
      <c r="B2067" s="244" t="str">
        <f t="shared" si="32"/>
        <v>Knee Replacement PrimaryProviderNORTH WEST ANGLIA NHS FOUNDATION TRUST (RGN)EQ VAS</v>
      </c>
      <c r="C2067" t="s">
        <v>969</v>
      </c>
      <c r="D2067" t="s">
        <v>965</v>
      </c>
      <c r="E2067" t="s">
        <v>354</v>
      </c>
      <c r="F2067" t="s">
        <v>355</v>
      </c>
      <c r="G2067" t="s">
        <v>752</v>
      </c>
      <c r="H2067">
        <v>124</v>
      </c>
      <c r="I2067">
        <v>66.459699999999998</v>
      </c>
      <c r="J2067">
        <v>72.475800000000007</v>
      </c>
      <c r="K2067">
        <v>6.0161300000000004</v>
      </c>
      <c r="L2067">
        <v>70</v>
      </c>
      <c r="M2067">
        <v>12</v>
      </c>
      <c r="N2067">
        <v>42</v>
      </c>
      <c r="O2067">
        <v>72.342399999999998</v>
      </c>
      <c r="P2067">
        <v>6.8140299999999998</v>
      </c>
      <c r="Q2067">
        <v>16.068999999999999</v>
      </c>
    </row>
    <row r="2068" spans="1:17" x14ac:dyDescent="0.25">
      <c r="A2068" t="str">
        <f>IF(C2068&amp;G2068&amp;D2068&lt;&gt;'Funnel setup'!$K$3&amp;'Funnel setup'!$K$4&amp;'Funnel setup'!$K$6,".",IF(A2067=".",1,A2067+1))</f>
        <v>.</v>
      </c>
      <c r="B2068" s="244" t="str">
        <f t="shared" si="32"/>
        <v>Knee Replacement PrimaryProviderNORTHAMPTON GENERAL HOSPITAL NHS TRUST (RNS)EQ VAS</v>
      </c>
      <c r="C2068" t="s">
        <v>969</v>
      </c>
      <c r="D2068" t="s">
        <v>965</v>
      </c>
      <c r="E2068" t="s">
        <v>356</v>
      </c>
      <c r="F2068" t="s">
        <v>357</v>
      </c>
      <c r="G2068" t="s">
        <v>752</v>
      </c>
      <c r="H2068">
        <v>37</v>
      </c>
      <c r="I2068">
        <v>65.864900000000006</v>
      </c>
      <c r="J2068">
        <v>68.540499999999994</v>
      </c>
      <c r="K2068">
        <v>2.6756799999999998</v>
      </c>
      <c r="L2068">
        <v>17</v>
      </c>
      <c r="M2068">
        <v>5</v>
      </c>
      <c r="N2068">
        <v>15</v>
      </c>
      <c r="O2068">
        <v>69.839399999999998</v>
      </c>
      <c r="P2068">
        <v>4.3110099999999996</v>
      </c>
      <c r="Q2068">
        <v>20.436599999999999</v>
      </c>
    </row>
    <row r="2069" spans="1:17" x14ac:dyDescent="0.25">
      <c r="A2069" t="str">
        <f>IF(C2069&amp;G2069&amp;D2069&lt;&gt;'Funnel setup'!$K$3&amp;'Funnel setup'!$K$4&amp;'Funnel setup'!$K$6,".",IF(A2068=".",1,A2068+1))</f>
        <v>.</v>
      </c>
      <c r="B2069" s="244" t="str">
        <f t="shared" si="32"/>
        <v>Knee Replacement PrimaryProviderNORTHERN CARE ALLIANCE NHS FOUNDATION TRUST (RM3)EQ VAS</v>
      </c>
      <c r="C2069" t="s">
        <v>969</v>
      </c>
      <c r="D2069" t="s">
        <v>965</v>
      </c>
      <c r="E2069" t="s">
        <v>358</v>
      </c>
      <c r="F2069" t="s">
        <v>359</v>
      </c>
      <c r="G2069" t="s">
        <v>752</v>
      </c>
      <c r="H2069">
        <v>6</v>
      </c>
      <c r="I2069">
        <v>55.5</v>
      </c>
      <c r="J2069">
        <v>59.833300000000001</v>
      </c>
      <c r="K2069">
        <v>4.3333300000000001</v>
      </c>
      <c r="L2069">
        <v>4</v>
      </c>
      <c r="M2069">
        <v>0</v>
      </c>
      <c r="N2069">
        <v>2</v>
      </c>
      <c r="O2069" t="s">
        <v>127</v>
      </c>
      <c r="P2069" t="s">
        <v>127</v>
      </c>
      <c r="Q2069" t="s">
        <v>127</v>
      </c>
    </row>
    <row r="2070" spans="1:17" x14ac:dyDescent="0.25">
      <c r="A2070" t="str">
        <f>IF(C2070&amp;G2070&amp;D2070&lt;&gt;'Funnel setup'!$K$3&amp;'Funnel setup'!$K$4&amp;'Funnel setup'!$K$6,".",IF(A2069=".",1,A2069+1))</f>
        <v>.</v>
      </c>
      <c r="B2070" s="244" t="str">
        <f t="shared" si="32"/>
        <v>Knee Replacement PrimaryProviderNORTHERN DEVON HEALTHCARE NHS TRUST (RBZ)EQ VAS</v>
      </c>
      <c r="C2070" t="s">
        <v>969</v>
      </c>
      <c r="D2070" t="s">
        <v>965</v>
      </c>
      <c r="E2070" t="s">
        <v>360</v>
      </c>
      <c r="F2070" t="s">
        <v>361</v>
      </c>
      <c r="G2070" t="s">
        <v>752</v>
      </c>
      <c r="H2070">
        <v>35</v>
      </c>
      <c r="I2070">
        <v>55.142899999999997</v>
      </c>
      <c r="J2070">
        <v>65.8</v>
      </c>
      <c r="K2070">
        <v>10.6571</v>
      </c>
      <c r="L2070">
        <v>23</v>
      </c>
      <c r="M2070">
        <v>5</v>
      </c>
      <c r="N2070">
        <v>7</v>
      </c>
      <c r="O2070">
        <v>72.963899999999995</v>
      </c>
      <c r="P2070">
        <v>7.4355200000000004</v>
      </c>
      <c r="Q2070">
        <v>17.308800000000002</v>
      </c>
    </row>
    <row r="2071" spans="1:17" x14ac:dyDescent="0.25">
      <c r="A2071" t="str">
        <f>IF(C2071&amp;G2071&amp;D2071&lt;&gt;'Funnel setup'!$K$3&amp;'Funnel setup'!$K$4&amp;'Funnel setup'!$K$6,".",IF(A2070=".",1,A2070+1))</f>
        <v>.</v>
      </c>
      <c r="B2071" s="244" t="str">
        <f t="shared" si="32"/>
        <v>Knee Replacement PrimaryProviderNORTHERN LINCOLNSHIRE AND GOOLE NHS FOUNDATION TRUST (RJL)EQ VAS</v>
      </c>
      <c r="C2071" t="s">
        <v>969</v>
      </c>
      <c r="D2071" t="s">
        <v>965</v>
      </c>
      <c r="E2071" t="s">
        <v>362</v>
      </c>
      <c r="F2071" t="s">
        <v>363</v>
      </c>
      <c r="G2071" t="s">
        <v>752</v>
      </c>
      <c r="H2071">
        <v>63</v>
      </c>
      <c r="I2071">
        <v>62.317500000000003</v>
      </c>
      <c r="J2071">
        <v>66.841300000000004</v>
      </c>
      <c r="K2071">
        <v>4.5238100000000001</v>
      </c>
      <c r="L2071">
        <v>34</v>
      </c>
      <c r="M2071">
        <v>8</v>
      </c>
      <c r="N2071">
        <v>21</v>
      </c>
      <c r="O2071">
        <v>68.204800000000006</v>
      </c>
      <c r="P2071">
        <v>2.6764299999999999</v>
      </c>
      <c r="Q2071">
        <v>17.647200000000002</v>
      </c>
    </row>
    <row r="2072" spans="1:17" x14ac:dyDescent="0.25">
      <c r="A2072" t="str">
        <f>IF(C2072&amp;G2072&amp;D2072&lt;&gt;'Funnel setup'!$K$3&amp;'Funnel setup'!$K$4&amp;'Funnel setup'!$K$6,".",IF(A2071=".",1,A2071+1))</f>
        <v>.</v>
      </c>
      <c r="B2072" s="244" t="str">
        <f t="shared" si="32"/>
        <v>Knee Replacement PrimaryProviderNORTHUMBRIA HEALTHCARE NHS FOUNDATION TRUST (RTF)EQ VAS</v>
      </c>
      <c r="C2072" t="s">
        <v>969</v>
      </c>
      <c r="D2072" t="s">
        <v>965</v>
      </c>
      <c r="E2072" t="s">
        <v>364</v>
      </c>
      <c r="F2072" t="s">
        <v>365</v>
      </c>
      <c r="G2072" t="s">
        <v>752</v>
      </c>
      <c r="H2072">
        <v>354</v>
      </c>
      <c r="I2072">
        <v>64.214699999999993</v>
      </c>
      <c r="J2072">
        <v>74.045199999999994</v>
      </c>
      <c r="K2072">
        <v>9.8305100000000003</v>
      </c>
      <c r="L2072">
        <v>230</v>
      </c>
      <c r="M2072">
        <v>37</v>
      </c>
      <c r="N2072">
        <v>87</v>
      </c>
      <c r="O2072">
        <v>74.372100000000003</v>
      </c>
      <c r="P2072">
        <v>8.8437099999999997</v>
      </c>
      <c r="Q2072">
        <v>16.040400000000002</v>
      </c>
    </row>
    <row r="2073" spans="1:17" x14ac:dyDescent="0.25">
      <c r="A2073" t="str">
        <f>IF(C2073&amp;G2073&amp;D2073&lt;&gt;'Funnel setup'!$K$3&amp;'Funnel setup'!$K$4&amp;'Funnel setup'!$K$6,".",IF(A2072=".",1,A2072+1))</f>
        <v>.</v>
      </c>
      <c r="B2073" s="244" t="str">
        <f t="shared" si="32"/>
        <v>Knee Replacement PrimaryProviderNOTTINGHAM UNIVERSITY HOSPITALS NHS TRUST (RX1)EQ VAS</v>
      </c>
      <c r="C2073" t="s">
        <v>969</v>
      </c>
      <c r="D2073" t="s">
        <v>965</v>
      </c>
      <c r="E2073" t="s">
        <v>366</v>
      </c>
      <c r="F2073" t="s">
        <v>367</v>
      </c>
      <c r="G2073" t="s">
        <v>752</v>
      </c>
      <c r="H2073">
        <v>3</v>
      </c>
      <c r="I2073">
        <v>56.666699999999999</v>
      </c>
      <c r="J2073">
        <v>86.333299999999994</v>
      </c>
      <c r="K2073">
        <v>29.666699999999999</v>
      </c>
      <c r="L2073">
        <v>3</v>
      </c>
      <c r="M2073">
        <v>0</v>
      </c>
      <c r="N2073">
        <v>0</v>
      </c>
      <c r="O2073" t="s">
        <v>127</v>
      </c>
      <c r="P2073" t="s">
        <v>127</v>
      </c>
      <c r="Q2073" t="s">
        <v>127</v>
      </c>
    </row>
    <row r="2074" spans="1:17" x14ac:dyDescent="0.25">
      <c r="A2074" t="str">
        <f>IF(C2074&amp;G2074&amp;D2074&lt;&gt;'Funnel setup'!$K$3&amp;'Funnel setup'!$K$4&amp;'Funnel setup'!$K$6,".",IF(A2073=".",1,A2073+1))</f>
        <v>.</v>
      </c>
      <c r="B2074" s="244" t="str">
        <f t="shared" si="32"/>
        <v>Knee Replacement PrimaryProviderNUFFIELD HEALTH, BOURNEMOUTH HOSPITAL (NT202)EQ VAS</v>
      </c>
      <c r="C2074" t="s">
        <v>969</v>
      </c>
      <c r="D2074" t="s">
        <v>965</v>
      </c>
      <c r="E2074" t="s">
        <v>368</v>
      </c>
      <c r="F2074" t="s">
        <v>369</v>
      </c>
      <c r="G2074" t="s">
        <v>752</v>
      </c>
      <c r="H2074">
        <v>21</v>
      </c>
      <c r="I2074">
        <v>67.428600000000003</v>
      </c>
      <c r="J2074">
        <v>75.666700000000006</v>
      </c>
      <c r="K2074">
        <v>8.2380999999999993</v>
      </c>
      <c r="L2074">
        <v>13</v>
      </c>
      <c r="M2074">
        <v>1</v>
      </c>
      <c r="N2074">
        <v>7</v>
      </c>
      <c r="O2074" t="s">
        <v>127</v>
      </c>
      <c r="P2074" t="s">
        <v>127</v>
      </c>
      <c r="Q2074" t="s">
        <v>127</v>
      </c>
    </row>
    <row r="2075" spans="1:17" x14ac:dyDescent="0.25">
      <c r="A2075" t="str">
        <f>IF(C2075&amp;G2075&amp;D2075&lt;&gt;'Funnel setup'!$K$3&amp;'Funnel setup'!$K$4&amp;'Funnel setup'!$K$6,".",IF(A2074=".",1,A2074+1))</f>
        <v>.</v>
      </c>
      <c r="B2075" s="244" t="str">
        <f t="shared" si="32"/>
        <v>Knee Replacement PrimaryProviderNUFFIELD HEALTH, BRENTWOOD HOSPITAL (NT204)EQ VAS</v>
      </c>
      <c r="C2075" t="s">
        <v>969</v>
      </c>
      <c r="D2075" t="s">
        <v>965</v>
      </c>
      <c r="E2075" t="s">
        <v>370</v>
      </c>
      <c r="F2075" t="s">
        <v>371</v>
      </c>
      <c r="G2075" t="s">
        <v>752</v>
      </c>
      <c r="H2075">
        <v>14</v>
      </c>
      <c r="I2075">
        <v>68.428600000000003</v>
      </c>
      <c r="J2075">
        <v>75</v>
      </c>
      <c r="K2075">
        <v>6.5714300000000003</v>
      </c>
      <c r="L2075">
        <v>9</v>
      </c>
      <c r="M2075">
        <v>1</v>
      </c>
      <c r="N2075">
        <v>4</v>
      </c>
      <c r="O2075" t="s">
        <v>127</v>
      </c>
      <c r="P2075" t="s">
        <v>127</v>
      </c>
      <c r="Q2075" t="s">
        <v>127</v>
      </c>
    </row>
    <row r="2076" spans="1:17" x14ac:dyDescent="0.25">
      <c r="A2076" t="str">
        <f>IF(C2076&amp;G2076&amp;D2076&lt;&gt;'Funnel setup'!$K$3&amp;'Funnel setup'!$K$4&amp;'Funnel setup'!$K$6,".",IF(A2075=".",1,A2075+1))</f>
        <v>.</v>
      </c>
      <c r="B2076" s="244" t="str">
        <f t="shared" si="32"/>
        <v>Knee Replacement PrimaryProviderNUFFIELD HEALTH, BRIGHTON HOSPITAL (NT205)EQ VAS</v>
      </c>
      <c r="C2076" t="s">
        <v>969</v>
      </c>
      <c r="D2076" t="s">
        <v>965</v>
      </c>
      <c r="E2076" t="s">
        <v>372</v>
      </c>
      <c r="F2076" t="s">
        <v>373</v>
      </c>
      <c r="G2076" t="s">
        <v>752</v>
      </c>
      <c r="H2076">
        <v>9</v>
      </c>
      <c r="I2076">
        <v>68.888900000000007</v>
      </c>
      <c r="J2076">
        <v>82.111099999999993</v>
      </c>
      <c r="K2076">
        <v>13.222200000000001</v>
      </c>
      <c r="L2076">
        <v>4</v>
      </c>
      <c r="M2076">
        <v>4</v>
      </c>
      <c r="N2076">
        <v>1</v>
      </c>
      <c r="O2076" t="s">
        <v>127</v>
      </c>
      <c r="P2076" t="s">
        <v>127</v>
      </c>
      <c r="Q2076" t="s">
        <v>127</v>
      </c>
    </row>
    <row r="2077" spans="1:17" x14ac:dyDescent="0.25">
      <c r="A2077" t="str">
        <f>IF(C2077&amp;G2077&amp;D2077&lt;&gt;'Funnel setup'!$K$3&amp;'Funnel setup'!$K$4&amp;'Funnel setup'!$K$6,".",IF(A2076=".",1,A2076+1))</f>
        <v>.</v>
      </c>
      <c r="B2077" s="244" t="str">
        <f t="shared" si="32"/>
        <v>Knee Replacement PrimaryProviderNUFFIELD HEALTH, BRISTOL HOSPITAL (CHESTERFIELD) (NT206)EQ VAS</v>
      </c>
      <c r="C2077" t="s">
        <v>969</v>
      </c>
      <c r="D2077" t="s">
        <v>965</v>
      </c>
      <c r="E2077" t="s">
        <v>374</v>
      </c>
      <c r="F2077" t="s">
        <v>375</v>
      </c>
      <c r="G2077" t="s">
        <v>752</v>
      </c>
      <c r="H2077">
        <v>25</v>
      </c>
      <c r="I2077">
        <v>69.56</v>
      </c>
      <c r="J2077">
        <v>77.08</v>
      </c>
      <c r="K2077">
        <v>7.52</v>
      </c>
      <c r="L2077">
        <v>12</v>
      </c>
      <c r="M2077">
        <v>4</v>
      </c>
      <c r="N2077">
        <v>9</v>
      </c>
      <c r="O2077" t="s">
        <v>127</v>
      </c>
      <c r="P2077" t="s">
        <v>127</v>
      </c>
      <c r="Q2077" t="s">
        <v>127</v>
      </c>
    </row>
    <row r="2078" spans="1:17" x14ac:dyDescent="0.25">
      <c r="A2078" t="str">
        <f>IF(C2078&amp;G2078&amp;D2078&lt;&gt;'Funnel setup'!$K$3&amp;'Funnel setup'!$K$4&amp;'Funnel setup'!$K$6,".",IF(A2077=".",1,A2077+1))</f>
        <v>.</v>
      </c>
      <c r="B2078" s="244" t="str">
        <f t="shared" si="32"/>
        <v>Knee Replacement PrimaryProviderNUFFIELD HEALTH, CAMBRIDGE HOSPITAL (NT209)EQ VAS</v>
      </c>
      <c r="C2078" t="s">
        <v>969</v>
      </c>
      <c r="D2078" t="s">
        <v>965</v>
      </c>
      <c r="E2078" t="s">
        <v>376</v>
      </c>
      <c r="F2078" t="s">
        <v>377</v>
      </c>
      <c r="G2078" t="s">
        <v>752</v>
      </c>
      <c r="H2078">
        <v>35</v>
      </c>
      <c r="I2078">
        <v>65.942899999999995</v>
      </c>
      <c r="J2078">
        <v>74.371399999999994</v>
      </c>
      <c r="K2078">
        <v>8.4285700000000006</v>
      </c>
      <c r="L2078">
        <v>22</v>
      </c>
      <c r="M2078">
        <v>5</v>
      </c>
      <c r="N2078">
        <v>8</v>
      </c>
      <c r="O2078">
        <v>73.171199999999999</v>
      </c>
      <c r="P2078">
        <v>7.6428000000000003</v>
      </c>
      <c r="Q2078">
        <v>14.166600000000001</v>
      </c>
    </row>
    <row r="2079" spans="1:17" x14ac:dyDescent="0.25">
      <c r="A2079" t="str">
        <f>IF(C2079&amp;G2079&amp;D2079&lt;&gt;'Funnel setup'!$K$3&amp;'Funnel setup'!$K$4&amp;'Funnel setup'!$K$6,".",IF(A2078=".",1,A2078+1))</f>
        <v>.</v>
      </c>
      <c r="B2079" s="244" t="str">
        <f t="shared" si="32"/>
        <v>Knee Replacement PrimaryProviderNUFFIELD HEALTH, CHELTENHAM HOSPITAL (NT211)EQ VAS</v>
      </c>
      <c r="C2079" t="s">
        <v>969</v>
      </c>
      <c r="D2079" t="s">
        <v>965</v>
      </c>
      <c r="E2079" t="s">
        <v>378</v>
      </c>
      <c r="F2079" t="s">
        <v>379</v>
      </c>
      <c r="G2079" t="s">
        <v>752</v>
      </c>
      <c r="H2079">
        <v>6</v>
      </c>
      <c r="I2079">
        <v>70</v>
      </c>
      <c r="J2079">
        <v>81.333299999999994</v>
      </c>
      <c r="K2079">
        <v>11.333299999999999</v>
      </c>
      <c r="L2079">
        <v>4</v>
      </c>
      <c r="M2079">
        <v>1</v>
      </c>
      <c r="N2079">
        <v>1</v>
      </c>
      <c r="O2079" t="s">
        <v>127</v>
      </c>
      <c r="P2079" t="s">
        <v>127</v>
      </c>
      <c r="Q2079" t="s">
        <v>127</v>
      </c>
    </row>
    <row r="2080" spans="1:17" x14ac:dyDescent="0.25">
      <c r="A2080" t="str">
        <f>IF(C2080&amp;G2080&amp;D2080&lt;&gt;'Funnel setup'!$K$3&amp;'Funnel setup'!$K$4&amp;'Funnel setup'!$K$6,".",IF(A2079=".",1,A2079+1))</f>
        <v>.</v>
      </c>
      <c r="B2080" s="244" t="str">
        <f t="shared" si="32"/>
        <v>Knee Replacement PrimaryProviderNUFFIELD HEALTH, CHICHESTER HOSPITAL (NT212)EQ VAS</v>
      </c>
      <c r="C2080" t="s">
        <v>969</v>
      </c>
      <c r="D2080" t="s">
        <v>965</v>
      </c>
      <c r="E2080" t="s">
        <v>380</v>
      </c>
      <c r="F2080" t="s">
        <v>381</v>
      </c>
      <c r="G2080" t="s">
        <v>752</v>
      </c>
      <c r="H2080">
        <v>18</v>
      </c>
      <c r="I2080">
        <v>76.722200000000001</v>
      </c>
      <c r="J2080">
        <v>79.666700000000006</v>
      </c>
      <c r="K2080">
        <v>2.9444400000000002</v>
      </c>
      <c r="L2080">
        <v>10</v>
      </c>
      <c r="M2080">
        <v>2</v>
      </c>
      <c r="N2080">
        <v>6</v>
      </c>
      <c r="O2080" t="s">
        <v>127</v>
      </c>
      <c r="P2080" t="s">
        <v>127</v>
      </c>
      <c r="Q2080" t="s">
        <v>127</v>
      </c>
    </row>
    <row r="2081" spans="1:17" x14ac:dyDescent="0.25">
      <c r="A2081" t="str">
        <f>IF(C2081&amp;G2081&amp;D2081&lt;&gt;'Funnel setup'!$K$3&amp;'Funnel setup'!$K$4&amp;'Funnel setup'!$K$6,".",IF(A2080=".",1,A2080+1))</f>
        <v>.</v>
      </c>
      <c r="B2081" s="244" t="str">
        <f t="shared" si="32"/>
        <v>Knee Replacement PrimaryProviderNUFFIELD HEALTH, DERBY HOSPITAL (NT213)EQ VAS</v>
      </c>
      <c r="C2081" t="s">
        <v>969</v>
      </c>
      <c r="D2081" t="s">
        <v>965</v>
      </c>
      <c r="E2081" t="s">
        <v>382</v>
      </c>
      <c r="F2081" t="s">
        <v>383</v>
      </c>
      <c r="G2081" t="s">
        <v>752</v>
      </c>
      <c r="H2081">
        <v>101</v>
      </c>
      <c r="I2081">
        <v>58.168300000000002</v>
      </c>
      <c r="J2081">
        <v>73.445499999999996</v>
      </c>
      <c r="K2081">
        <v>15.277200000000001</v>
      </c>
      <c r="L2081">
        <v>69</v>
      </c>
      <c r="M2081">
        <v>16</v>
      </c>
      <c r="N2081">
        <v>16</v>
      </c>
      <c r="O2081">
        <v>75.27</v>
      </c>
      <c r="P2081">
        <v>9.7415699999999994</v>
      </c>
      <c r="Q2081">
        <v>15.184699999999999</v>
      </c>
    </row>
    <row r="2082" spans="1:17" x14ac:dyDescent="0.25">
      <c r="A2082" t="str">
        <f>IF(C2082&amp;G2082&amp;D2082&lt;&gt;'Funnel setup'!$K$3&amp;'Funnel setup'!$K$4&amp;'Funnel setup'!$K$6,".",IF(A2081=".",1,A2081+1))</f>
        <v>.</v>
      </c>
      <c r="B2082" s="244" t="str">
        <f t="shared" si="32"/>
        <v>Knee Replacement PrimaryProviderNUFFIELD HEALTH, EXETER HOSPITAL (NT215)EQ VAS</v>
      </c>
      <c r="C2082" t="s">
        <v>969</v>
      </c>
      <c r="D2082" t="s">
        <v>965</v>
      </c>
      <c r="E2082" t="s">
        <v>384</v>
      </c>
      <c r="F2082" t="s">
        <v>385</v>
      </c>
      <c r="G2082" t="s">
        <v>752</v>
      </c>
      <c r="H2082">
        <v>1</v>
      </c>
      <c r="I2082">
        <v>80</v>
      </c>
      <c r="J2082">
        <v>89</v>
      </c>
      <c r="K2082">
        <v>9</v>
      </c>
      <c r="L2082">
        <v>1</v>
      </c>
      <c r="M2082">
        <v>0</v>
      </c>
      <c r="N2082">
        <v>0</v>
      </c>
      <c r="O2082" t="s">
        <v>127</v>
      </c>
      <c r="P2082" t="s">
        <v>127</v>
      </c>
      <c r="Q2082" t="s">
        <v>127</v>
      </c>
    </row>
    <row r="2083" spans="1:17" x14ac:dyDescent="0.25">
      <c r="A2083" t="str">
        <f>IF(C2083&amp;G2083&amp;D2083&lt;&gt;'Funnel setup'!$K$3&amp;'Funnel setup'!$K$4&amp;'Funnel setup'!$K$6,".",IF(A2082=".",1,A2082+1))</f>
        <v>.</v>
      </c>
      <c r="B2083" s="244" t="str">
        <f t="shared" si="32"/>
        <v>Knee Replacement PrimaryProviderNUFFIELD HEALTH, HAYWARDS HEATH HOSPITAL (NT218)EQ VAS</v>
      </c>
      <c r="C2083" t="s">
        <v>969</v>
      </c>
      <c r="D2083" t="s">
        <v>965</v>
      </c>
      <c r="E2083" t="s">
        <v>386</v>
      </c>
      <c r="F2083" t="s">
        <v>387</v>
      </c>
      <c r="G2083" t="s">
        <v>752</v>
      </c>
      <c r="H2083">
        <v>17</v>
      </c>
      <c r="I2083">
        <v>72.470600000000005</v>
      </c>
      <c r="J2083">
        <v>82.588200000000001</v>
      </c>
      <c r="K2083">
        <v>10.117599999999999</v>
      </c>
      <c r="L2083">
        <v>10</v>
      </c>
      <c r="M2083">
        <v>2</v>
      </c>
      <c r="N2083">
        <v>5</v>
      </c>
      <c r="O2083" t="s">
        <v>127</v>
      </c>
      <c r="P2083" t="s">
        <v>127</v>
      </c>
      <c r="Q2083" t="s">
        <v>127</v>
      </c>
    </row>
    <row r="2084" spans="1:17" x14ac:dyDescent="0.25">
      <c r="A2084" t="str">
        <f>IF(C2084&amp;G2084&amp;D2084&lt;&gt;'Funnel setup'!$K$3&amp;'Funnel setup'!$K$4&amp;'Funnel setup'!$K$6,".",IF(A2083=".",1,A2083+1))</f>
        <v>.</v>
      </c>
      <c r="B2084" s="244" t="str">
        <f t="shared" si="32"/>
        <v>Knee Replacement PrimaryProviderNUFFIELD HEALTH, HEREFORD HOSPITAL (NT219)EQ VAS</v>
      </c>
      <c r="C2084" t="s">
        <v>969</v>
      </c>
      <c r="D2084" t="s">
        <v>965</v>
      </c>
      <c r="E2084" t="s">
        <v>388</v>
      </c>
      <c r="F2084" t="s">
        <v>389</v>
      </c>
      <c r="G2084" t="s">
        <v>752</v>
      </c>
      <c r="H2084">
        <v>9</v>
      </c>
      <c r="I2084">
        <v>62</v>
      </c>
      <c r="J2084">
        <v>80</v>
      </c>
      <c r="K2084">
        <v>18</v>
      </c>
      <c r="L2084">
        <v>5</v>
      </c>
      <c r="M2084">
        <v>2</v>
      </c>
      <c r="N2084">
        <v>2</v>
      </c>
      <c r="O2084" t="s">
        <v>127</v>
      </c>
      <c r="P2084" t="s">
        <v>127</v>
      </c>
      <c r="Q2084" t="s">
        <v>127</v>
      </c>
    </row>
    <row r="2085" spans="1:17" x14ac:dyDescent="0.25">
      <c r="A2085" t="str">
        <f>IF(C2085&amp;G2085&amp;D2085&lt;&gt;'Funnel setup'!$K$3&amp;'Funnel setup'!$K$4&amp;'Funnel setup'!$K$6,".",IF(A2084=".",1,A2084+1))</f>
        <v>.</v>
      </c>
      <c r="B2085" s="244" t="str">
        <f t="shared" si="32"/>
        <v>Knee Replacement PrimaryProviderNUFFIELD HEALTH, IPSWICH HOSPITAL (NT222)EQ VAS</v>
      </c>
      <c r="C2085" t="s">
        <v>969</v>
      </c>
      <c r="D2085" t="s">
        <v>965</v>
      </c>
      <c r="E2085" t="s">
        <v>390</v>
      </c>
      <c r="F2085" t="s">
        <v>391</v>
      </c>
      <c r="G2085" t="s">
        <v>752</v>
      </c>
      <c r="H2085">
        <v>4</v>
      </c>
      <c r="I2085">
        <v>77.75</v>
      </c>
      <c r="J2085">
        <v>78</v>
      </c>
      <c r="K2085">
        <v>0.25</v>
      </c>
      <c r="L2085">
        <v>2</v>
      </c>
      <c r="M2085">
        <v>0</v>
      </c>
      <c r="N2085">
        <v>2</v>
      </c>
      <c r="O2085" t="s">
        <v>127</v>
      </c>
      <c r="P2085" t="s">
        <v>127</v>
      </c>
      <c r="Q2085" t="s">
        <v>127</v>
      </c>
    </row>
    <row r="2086" spans="1:17" x14ac:dyDescent="0.25">
      <c r="A2086" t="str">
        <f>IF(C2086&amp;G2086&amp;D2086&lt;&gt;'Funnel setup'!$K$3&amp;'Funnel setup'!$K$4&amp;'Funnel setup'!$K$6,".",IF(A2085=".",1,A2085+1))</f>
        <v>.</v>
      </c>
      <c r="B2086" s="244" t="str">
        <f t="shared" si="32"/>
        <v>Knee Replacement PrimaryProviderNUFFIELD HEALTH, LEEDS HOSPITAL (NT225)EQ VAS</v>
      </c>
      <c r="C2086" t="s">
        <v>969</v>
      </c>
      <c r="D2086" t="s">
        <v>965</v>
      </c>
      <c r="E2086" t="s">
        <v>392</v>
      </c>
      <c r="F2086" t="s">
        <v>393</v>
      </c>
      <c r="G2086" t="s">
        <v>752</v>
      </c>
      <c r="H2086">
        <v>118</v>
      </c>
      <c r="I2086">
        <v>66.118600000000001</v>
      </c>
      <c r="J2086">
        <v>72.779700000000005</v>
      </c>
      <c r="K2086">
        <v>6.6610199999999997</v>
      </c>
      <c r="L2086">
        <v>69</v>
      </c>
      <c r="M2086">
        <v>13</v>
      </c>
      <c r="N2086">
        <v>36</v>
      </c>
      <c r="O2086">
        <v>71.775899999999993</v>
      </c>
      <c r="P2086">
        <v>6.2475500000000004</v>
      </c>
      <c r="Q2086">
        <v>17.001300000000001</v>
      </c>
    </row>
    <row r="2087" spans="1:17" x14ac:dyDescent="0.25">
      <c r="A2087" t="str">
        <f>IF(C2087&amp;G2087&amp;D2087&lt;&gt;'Funnel setup'!$K$3&amp;'Funnel setup'!$K$4&amp;'Funnel setup'!$K$6,".",IF(A2086=".",1,A2086+1))</f>
        <v>.</v>
      </c>
      <c r="B2087" s="244" t="str">
        <f t="shared" si="32"/>
        <v>Knee Replacement PrimaryProviderNUFFIELD HEALTH, LEICESTER HOSPITAL (NT226)EQ VAS</v>
      </c>
      <c r="C2087" t="s">
        <v>969</v>
      </c>
      <c r="D2087" t="s">
        <v>965</v>
      </c>
      <c r="E2087" t="s">
        <v>394</v>
      </c>
      <c r="F2087" t="s">
        <v>395</v>
      </c>
      <c r="G2087" t="s">
        <v>752</v>
      </c>
      <c r="H2087">
        <v>23</v>
      </c>
      <c r="I2087">
        <v>71</v>
      </c>
      <c r="J2087">
        <v>81.956500000000005</v>
      </c>
      <c r="K2087">
        <v>10.9565</v>
      </c>
      <c r="L2087">
        <v>15</v>
      </c>
      <c r="M2087">
        <v>2</v>
      </c>
      <c r="N2087">
        <v>6</v>
      </c>
      <c r="O2087" t="s">
        <v>127</v>
      </c>
      <c r="P2087" t="s">
        <v>127</v>
      </c>
      <c r="Q2087" t="s">
        <v>127</v>
      </c>
    </row>
    <row r="2088" spans="1:17" x14ac:dyDescent="0.25">
      <c r="A2088" t="str">
        <f>IF(C2088&amp;G2088&amp;D2088&lt;&gt;'Funnel setup'!$K$3&amp;'Funnel setup'!$K$4&amp;'Funnel setup'!$K$6,".",IF(A2087=".",1,A2087+1))</f>
        <v>.</v>
      </c>
      <c r="B2088" s="244" t="str">
        <f t="shared" si="32"/>
        <v>Knee Replacement PrimaryProviderNUFFIELD HEALTH, NEWCASTLE UPON TYNE HOSPITAL (NT229)EQ VAS</v>
      </c>
      <c r="C2088" t="s">
        <v>969</v>
      </c>
      <c r="D2088" t="s">
        <v>965</v>
      </c>
      <c r="E2088" t="s">
        <v>396</v>
      </c>
      <c r="F2088" t="s">
        <v>397</v>
      </c>
      <c r="G2088" t="s">
        <v>752</v>
      </c>
      <c r="H2088">
        <v>26</v>
      </c>
      <c r="I2088">
        <v>66.269199999999998</v>
      </c>
      <c r="J2088">
        <v>75.807699999999997</v>
      </c>
      <c r="K2088">
        <v>9.5384600000000006</v>
      </c>
      <c r="L2088">
        <v>19</v>
      </c>
      <c r="M2088">
        <v>0</v>
      </c>
      <c r="N2088">
        <v>7</v>
      </c>
      <c r="O2088" t="s">
        <v>127</v>
      </c>
      <c r="P2088" t="s">
        <v>127</v>
      </c>
      <c r="Q2088" t="s">
        <v>127</v>
      </c>
    </row>
    <row r="2089" spans="1:17" x14ac:dyDescent="0.25">
      <c r="A2089" t="str">
        <f>IF(C2089&amp;G2089&amp;D2089&lt;&gt;'Funnel setup'!$K$3&amp;'Funnel setup'!$K$4&amp;'Funnel setup'!$K$6,".",IF(A2088=".",1,A2088+1))</f>
        <v>.</v>
      </c>
      <c r="B2089" s="244" t="str">
        <f t="shared" si="32"/>
        <v>Knee Replacement PrimaryProviderNUFFIELD HEALTH, NORTH STAFFORDSHIRE HOSPITAL (NT230)EQ VAS</v>
      </c>
      <c r="C2089" t="s">
        <v>969</v>
      </c>
      <c r="D2089" t="s">
        <v>965</v>
      </c>
      <c r="E2089" t="s">
        <v>398</v>
      </c>
      <c r="F2089" t="s">
        <v>399</v>
      </c>
      <c r="G2089" t="s">
        <v>752</v>
      </c>
      <c r="H2089">
        <v>43</v>
      </c>
      <c r="I2089">
        <v>64.139499999999998</v>
      </c>
      <c r="J2089">
        <v>74.465100000000007</v>
      </c>
      <c r="K2089">
        <v>10.3256</v>
      </c>
      <c r="L2089">
        <v>24</v>
      </c>
      <c r="M2089">
        <v>7</v>
      </c>
      <c r="N2089">
        <v>12</v>
      </c>
      <c r="O2089">
        <v>75.873999999999995</v>
      </c>
      <c r="P2089">
        <v>10.345599999999999</v>
      </c>
      <c r="Q2089">
        <v>15.0557</v>
      </c>
    </row>
    <row r="2090" spans="1:17" x14ac:dyDescent="0.25">
      <c r="A2090" t="str">
        <f>IF(C2090&amp;G2090&amp;D2090&lt;&gt;'Funnel setup'!$K$3&amp;'Funnel setup'!$K$4&amp;'Funnel setup'!$K$6,".",IF(A2089=".",1,A2089+1))</f>
        <v>.</v>
      </c>
      <c r="B2090" s="244" t="str">
        <f t="shared" si="32"/>
        <v>Knee Replacement PrimaryProviderNUFFIELD HEALTH, PLYMOUTH HOSPITAL (NT233)EQ VAS</v>
      </c>
      <c r="C2090" t="s">
        <v>969</v>
      </c>
      <c r="D2090" t="s">
        <v>965</v>
      </c>
      <c r="E2090" t="s">
        <v>400</v>
      </c>
      <c r="F2090" t="s">
        <v>401</v>
      </c>
      <c r="G2090" t="s">
        <v>752</v>
      </c>
      <c r="H2090">
        <v>41</v>
      </c>
      <c r="I2090">
        <v>67.853700000000003</v>
      </c>
      <c r="J2090">
        <v>75.536600000000007</v>
      </c>
      <c r="K2090">
        <v>7.6829299999999998</v>
      </c>
      <c r="L2090">
        <v>24</v>
      </c>
      <c r="M2090">
        <v>5</v>
      </c>
      <c r="N2090">
        <v>12</v>
      </c>
      <c r="O2090">
        <v>74.907899999999998</v>
      </c>
      <c r="P2090">
        <v>9.3794599999999999</v>
      </c>
      <c r="Q2090">
        <v>17.617100000000001</v>
      </c>
    </row>
    <row r="2091" spans="1:17" x14ac:dyDescent="0.25">
      <c r="A2091" t="str">
        <f>IF(C2091&amp;G2091&amp;D2091&lt;&gt;'Funnel setup'!$K$3&amp;'Funnel setup'!$K$4&amp;'Funnel setup'!$K$6,".",IF(A2090=".",1,A2090+1))</f>
        <v>.</v>
      </c>
      <c r="B2091" s="244" t="str">
        <f t="shared" si="32"/>
        <v>Knee Replacement PrimaryProviderNUFFIELD HEALTH, SHREWSBURY HOSPITAL (NT235)EQ VAS</v>
      </c>
      <c r="C2091" t="s">
        <v>969</v>
      </c>
      <c r="D2091" t="s">
        <v>965</v>
      </c>
      <c r="E2091" t="s">
        <v>402</v>
      </c>
      <c r="F2091" t="s">
        <v>403</v>
      </c>
      <c r="G2091" t="s">
        <v>752</v>
      </c>
      <c r="H2091">
        <v>2</v>
      </c>
      <c r="I2091">
        <v>57.5</v>
      </c>
      <c r="J2091">
        <v>50</v>
      </c>
      <c r="K2091">
        <v>-7.5</v>
      </c>
      <c r="L2091">
        <v>0</v>
      </c>
      <c r="M2091">
        <v>0</v>
      </c>
      <c r="N2091">
        <v>2</v>
      </c>
      <c r="O2091" t="s">
        <v>127</v>
      </c>
      <c r="P2091" t="s">
        <v>127</v>
      </c>
      <c r="Q2091" t="s">
        <v>127</v>
      </c>
    </row>
    <row r="2092" spans="1:17" x14ac:dyDescent="0.25">
      <c r="A2092" t="str">
        <f>IF(C2092&amp;G2092&amp;D2092&lt;&gt;'Funnel setup'!$K$3&amp;'Funnel setup'!$K$4&amp;'Funnel setup'!$K$6,".",IF(A2091=".",1,A2091+1))</f>
        <v>.</v>
      </c>
      <c r="B2092" s="244" t="str">
        <f t="shared" si="32"/>
        <v>Knee Replacement PrimaryProviderNUFFIELD HEALTH, TAUNTON HOSPITAL (NT238)EQ VAS</v>
      </c>
      <c r="C2092" t="s">
        <v>969</v>
      </c>
      <c r="D2092" t="s">
        <v>965</v>
      </c>
      <c r="E2092" t="s">
        <v>404</v>
      </c>
      <c r="F2092" t="s">
        <v>405</v>
      </c>
      <c r="G2092" t="s">
        <v>752</v>
      </c>
      <c r="H2092">
        <v>25</v>
      </c>
      <c r="I2092">
        <v>64.48</v>
      </c>
      <c r="J2092">
        <v>73.16</v>
      </c>
      <c r="K2092">
        <v>8.68</v>
      </c>
      <c r="L2092">
        <v>15</v>
      </c>
      <c r="M2092">
        <v>3</v>
      </c>
      <c r="N2092">
        <v>7</v>
      </c>
      <c r="O2092" t="s">
        <v>127</v>
      </c>
      <c r="P2092" t="s">
        <v>127</v>
      </c>
      <c r="Q2092" t="s">
        <v>127</v>
      </c>
    </row>
    <row r="2093" spans="1:17" x14ac:dyDescent="0.25">
      <c r="A2093" t="str">
        <f>IF(C2093&amp;G2093&amp;D2093&lt;&gt;'Funnel setup'!$K$3&amp;'Funnel setup'!$K$4&amp;'Funnel setup'!$K$6,".",IF(A2092=".",1,A2092+1))</f>
        <v>.</v>
      </c>
      <c r="B2093" s="244" t="str">
        <f t="shared" si="32"/>
        <v>Knee Replacement PrimaryProviderNUFFIELD HEALTH, TEES HOSPITAL (NT237)EQ VAS</v>
      </c>
      <c r="C2093" t="s">
        <v>969</v>
      </c>
      <c r="D2093" t="s">
        <v>965</v>
      </c>
      <c r="E2093" t="s">
        <v>406</v>
      </c>
      <c r="F2093" t="s">
        <v>407</v>
      </c>
      <c r="G2093" t="s">
        <v>752</v>
      </c>
      <c r="H2093">
        <v>208</v>
      </c>
      <c r="I2093">
        <v>73.605800000000002</v>
      </c>
      <c r="J2093">
        <v>77.134600000000006</v>
      </c>
      <c r="K2093">
        <v>3.5288499999999998</v>
      </c>
      <c r="L2093">
        <v>118</v>
      </c>
      <c r="M2093">
        <v>23</v>
      </c>
      <c r="N2093">
        <v>67</v>
      </c>
      <c r="O2093">
        <v>74.399500000000003</v>
      </c>
      <c r="P2093">
        <v>8.8710500000000003</v>
      </c>
      <c r="Q2093">
        <v>16.491</v>
      </c>
    </row>
    <row r="2094" spans="1:17" x14ac:dyDescent="0.25">
      <c r="A2094" t="str">
        <f>IF(C2094&amp;G2094&amp;D2094&lt;&gt;'Funnel setup'!$K$3&amp;'Funnel setup'!$K$4&amp;'Funnel setup'!$K$6,".",IF(A2093=".",1,A2093+1))</f>
        <v>.</v>
      </c>
      <c r="B2094" s="244" t="str">
        <f t="shared" si="32"/>
        <v>Knee Replacement PrimaryProviderNUFFIELD HEALTH, THE GROSVENOR HOSPITAL, CHESTER (NT210)EQ VAS</v>
      </c>
      <c r="C2094" t="s">
        <v>969</v>
      </c>
      <c r="D2094" t="s">
        <v>965</v>
      </c>
      <c r="E2094" t="s">
        <v>408</v>
      </c>
      <c r="F2094" t="s">
        <v>409</v>
      </c>
      <c r="G2094" t="s">
        <v>752</v>
      </c>
      <c r="H2094">
        <v>13</v>
      </c>
      <c r="I2094">
        <v>66.692300000000003</v>
      </c>
      <c r="J2094">
        <v>72.538499999999999</v>
      </c>
      <c r="K2094">
        <v>5.8461499999999997</v>
      </c>
      <c r="L2094">
        <v>10</v>
      </c>
      <c r="M2094">
        <v>1</v>
      </c>
      <c r="N2094">
        <v>2</v>
      </c>
      <c r="O2094" t="s">
        <v>127</v>
      </c>
      <c r="P2094" t="s">
        <v>127</v>
      </c>
      <c r="Q2094" t="s">
        <v>127</v>
      </c>
    </row>
    <row r="2095" spans="1:17" x14ac:dyDescent="0.25">
      <c r="A2095" t="str">
        <f>IF(C2095&amp;G2095&amp;D2095&lt;&gt;'Funnel setup'!$K$3&amp;'Funnel setup'!$K$4&amp;'Funnel setup'!$K$6,".",IF(A2094=".",1,A2094+1))</f>
        <v>.</v>
      </c>
      <c r="B2095" s="244" t="str">
        <f t="shared" si="32"/>
        <v>Knee Replacement PrimaryProviderNUFFIELD HEALTH, TUNBRIDGE WELLS HOSPITAL (NT239)EQ VAS</v>
      </c>
      <c r="C2095" t="s">
        <v>969</v>
      </c>
      <c r="D2095" t="s">
        <v>965</v>
      </c>
      <c r="E2095" t="s">
        <v>410</v>
      </c>
      <c r="F2095" t="s">
        <v>411</v>
      </c>
      <c r="G2095" t="s">
        <v>752</v>
      </c>
      <c r="H2095">
        <v>5</v>
      </c>
      <c r="I2095">
        <v>82</v>
      </c>
      <c r="J2095">
        <v>93.6</v>
      </c>
      <c r="K2095">
        <v>11.6</v>
      </c>
      <c r="L2095">
        <v>5</v>
      </c>
      <c r="M2095">
        <v>0</v>
      </c>
      <c r="N2095">
        <v>0</v>
      </c>
      <c r="O2095" t="s">
        <v>127</v>
      </c>
      <c r="P2095" t="s">
        <v>127</v>
      </c>
      <c r="Q2095" t="s">
        <v>127</v>
      </c>
    </row>
    <row r="2096" spans="1:17" x14ac:dyDescent="0.25">
      <c r="A2096" t="str">
        <f>IF(C2096&amp;G2096&amp;D2096&lt;&gt;'Funnel setup'!$K$3&amp;'Funnel setup'!$K$4&amp;'Funnel setup'!$K$6,".",IF(A2095=".",1,A2095+1))</f>
        <v>.</v>
      </c>
      <c r="B2096" s="244" t="str">
        <f t="shared" si="32"/>
        <v>Knee Replacement PrimaryProviderNUFFIELD HEALTH, WARWICKSHIRE HOSPITAL (NT224)EQ VAS</v>
      </c>
      <c r="C2096" t="s">
        <v>969</v>
      </c>
      <c r="D2096" t="s">
        <v>965</v>
      </c>
      <c r="E2096" t="s">
        <v>412</v>
      </c>
      <c r="F2096" t="s">
        <v>413</v>
      </c>
      <c r="G2096" t="s">
        <v>752</v>
      </c>
      <c r="H2096">
        <v>10</v>
      </c>
      <c r="I2096">
        <v>70.7</v>
      </c>
      <c r="J2096">
        <v>82.4</v>
      </c>
      <c r="K2096">
        <v>11.7</v>
      </c>
      <c r="L2096">
        <v>5</v>
      </c>
      <c r="M2096">
        <v>4</v>
      </c>
      <c r="N2096">
        <v>1</v>
      </c>
      <c r="O2096" t="s">
        <v>127</v>
      </c>
      <c r="P2096" t="s">
        <v>127</v>
      </c>
      <c r="Q2096" t="s">
        <v>127</v>
      </c>
    </row>
    <row r="2097" spans="1:17" x14ac:dyDescent="0.25">
      <c r="A2097" t="str">
        <f>IF(C2097&amp;G2097&amp;D2097&lt;&gt;'Funnel setup'!$K$3&amp;'Funnel setup'!$K$4&amp;'Funnel setup'!$K$6,".",IF(A2096=".",1,A2096+1))</f>
        <v>.</v>
      </c>
      <c r="B2097" s="244" t="str">
        <f t="shared" si="32"/>
        <v>Knee Replacement PrimaryProviderNUFFIELD HEALTH, WESSEX HOSPITAL (NT214)EQ VAS</v>
      </c>
      <c r="C2097" t="s">
        <v>969</v>
      </c>
      <c r="D2097" t="s">
        <v>965</v>
      </c>
      <c r="E2097" t="s">
        <v>414</v>
      </c>
      <c r="F2097" t="s">
        <v>415</v>
      </c>
      <c r="G2097" t="s">
        <v>752</v>
      </c>
      <c r="H2097">
        <v>26</v>
      </c>
      <c r="I2097">
        <v>61.5</v>
      </c>
      <c r="J2097">
        <v>69.692300000000003</v>
      </c>
      <c r="K2097">
        <v>8.1923100000000009</v>
      </c>
      <c r="L2097">
        <v>16</v>
      </c>
      <c r="M2097">
        <v>2</v>
      </c>
      <c r="N2097">
        <v>8</v>
      </c>
      <c r="O2097" t="s">
        <v>127</v>
      </c>
      <c r="P2097" t="s">
        <v>127</v>
      </c>
      <c r="Q2097" t="s">
        <v>127</v>
      </c>
    </row>
    <row r="2098" spans="1:17" x14ac:dyDescent="0.25">
      <c r="A2098" t="str">
        <f>IF(C2098&amp;G2098&amp;D2098&lt;&gt;'Funnel setup'!$K$3&amp;'Funnel setup'!$K$4&amp;'Funnel setup'!$K$6,".",IF(A2097=".",1,A2097+1))</f>
        <v>.</v>
      </c>
      <c r="B2098" s="244" t="str">
        <f t="shared" si="32"/>
        <v>Knee Replacement PrimaryProviderNUFFIELD HEALTH, WOLVERHAMPTON HOSPITAL (NT242)EQ VAS</v>
      </c>
      <c r="C2098" t="s">
        <v>969</v>
      </c>
      <c r="D2098" t="s">
        <v>965</v>
      </c>
      <c r="E2098" t="s">
        <v>418</v>
      </c>
      <c r="F2098" t="s">
        <v>419</v>
      </c>
      <c r="G2098" t="s">
        <v>752</v>
      </c>
      <c r="H2098">
        <v>12</v>
      </c>
      <c r="I2098">
        <v>63.833300000000001</v>
      </c>
      <c r="J2098">
        <v>75.416700000000006</v>
      </c>
      <c r="K2098">
        <v>11.583299999999999</v>
      </c>
      <c r="L2098">
        <v>7</v>
      </c>
      <c r="M2098">
        <v>3</v>
      </c>
      <c r="N2098">
        <v>2</v>
      </c>
      <c r="O2098" t="s">
        <v>127</v>
      </c>
      <c r="P2098" t="s">
        <v>127</v>
      </c>
      <c r="Q2098" t="s">
        <v>127</v>
      </c>
    </row>
    <row r="2099" spans="1:17" x14ac:dyDescent="0.25">
      <c r="A2099" t="str">
        <f>IF(C2099&amp;G2099&amp;D2099&lt;&gt;'Funnel setup'!$K$3&amp;'Funnel setup'!$K$4&amp;'Funnel setup'!$K$6,".",IF(A2098=".",1,A2098+1))</f>
        <v>.</v>
      </c>
      <c r="B2099" s="244" t="str">
        <f t="shared" si="32"/>
        <v>Knee Replacement PrimaryProviderNUFFIELD HEALTH, YORK HOSPITAL (NT245)EQ VAS</v>
      </c>
      <c r="C2099" t="s">
        <v>969</v>
      </c>
      <c r="D2099" t="s">
        <v>965</v>
      </c>
      <c r="E2099" t="s">
        <v>420</v>
      </c>
      <c r="F2099" t="s">
        <v>421</v>
      </c>
      <c r="G2099" t="s">
        <v>752</v>
      </c>
      <c r="H2099">
        <v>54</v>
      </c>
      <c r="I2099">
        <v>70.277799999999999</v>
      </c>
      <c r="J2099">
        <v>72.796300000000002</v>
      </c>
      <c r="K2099">
        <v>2.5185200000000001</v>
      </c>
      <c r="L2099">
        <v>26</v>
      </c>
      <c r="M2099">
        <v>6</v>
      </c>
      <c r="N2099">
        <v>22</v>
      </c>
      <c r="O2099">
        <v>70.039000000000001</v>
      </c>
      <c r="P2099">
        <v>4.5105899999999997</v>
      </c>
      <c r="Q2099">
        <v>19.603100000000001</v>
      </c>
    </row>
    <row r="2100" spans="1:17" x14ac:dyDescent="0.25">
      <c r="A2100" t="str">
        <f>IF(C2100&amp;G2100&amp;D2100&lt;&gt;'Funnel setup'!$K$3&amp;'Funnel setup'!$K$4&amp;'Funnel setup'!$K$6,".",IF(A2099=".",1,A2099+1))</f>
        <v>.</v>
      </c>
      <c r="B2100" s="244" t="str">
        <f t="shared" si="32"/>
        <v>Knee Replacement PrimaryProviderOAKLANDS HOSPITAL (NVC12)EQ VAS</v>
      </c>
      <c r="C2100" t="s">
        <v>969</v>
      </c>
      <c r="D2100" t="s">
        <v>965</v>
      </c>
      <c r="E2100" t="s">
        <v>424</v>
      </c>
      <c r="F2100" t="s">
        <v>425</v>
      </c>
      <c r="G2100" t="s">
        <v>752</v>
      </c>
      <c r="H2100">
        <v>80</v>
      </c>
      <c r="I2100">
        <v>70.337500000000006</v>
      </c>
      <c r="J2100">
        <v>74.825000000000003</v>
      </c>
      <c r="K2100">
        <v>4.4874999999999998</v>
      </c>
      <c r="L2100">
        <v>42</v>
      </c>
      <c r="M2100">
        <v>8</v>
      </c>
      <c r="N2100">
        <v>30</v>
      </c>
      <c r="O2100">
        <v>75.306600000000003</v>
      </c>
      <c r="P2100">
        <v>9.7782400000000003</v>
      </c>
      <c r="Q2100">
        <v>15.766999999999999</v>
      </c>
    </row>
    <row r="2101" spans="1:17" x14ac:dyDescent="0.25">
      <c r="A2101" t="str">
        <f>IF(C2101&amp;G2101&amp;D2101&lt;&gt;'Funnel setup'!$K$3&amp;'Funnel setup'!$K$4&amp;'Funnel setup'!$K$6,".",IF(A2100=".",1,A2100+1))</f>
        <v>.</v>
      </c>
      <c r="B2101" s="244" t="str">
        <f t="shared" si="32"/>
        <v>Knee Replacement PrimaryProviderOAKS HOSPITAL (NVC13)EQ VAS</v>
      </c>
      <c r="C2101" t="s">
        <v>969</v>
      </c>
      <c r="D2101" t="s">
        <v>965</v>
      </c>
      <c r="E2101" t="s">
        <v>426</v>
      </c>
      <c r="F2101" t="s">
        <v>427</v>
      </c>
      <c r="G2101" t="s">
        <v>752</v>
      </c>
      <c r="H2101">
        <v>4</v>
      </c>
      <c r="I2101">
        <v>64.25</v>
      </c>
      <c r="J2101">
        <v>83.5</v>
      </c>
      <c r="K2101">
        <v>19.25</v>
      </c>
      <c r="L2101">
        <v>4</v>
      </c>
      <c r="M2101">
        <v>0</v>
      </c>
      <c r="N2101">
        <v>0</v>
      </c>
      <c r="O2101" t="s">
        <v>127</v>
      </c>
      <c r="P2101" t="s">
        <v>127</v>
      </c>
      <c r="Q2101" t="s">
        <v>127</v>
      </c>
    </row>
    <row r="2102" spans="1:17" x14ac:dyDescent="0.25">
      <c r="A2102" t="str">
        <f>IF(C2102&amp;G2102&amp;D2102&lt;&gt;'Funnel setup'!$K$3&amp;'Funnel setup'!$K$4&amp;'Funnel setup'!$K$6,".",IF(A2101=".",1,A2101+1))</f>
        <v>.</v>
      </c>
      <c r="B2102" s="244" t="str">
        <f t="shared" si="32"/>
        <v>Knee Replacement PrimaryProviderONE HEALTHCARE (AVQ)EQ VAS</v>
      </c>
      <c r="C2102" t="s">
        <v>969</v>
      </c>
      <c r="D2102" t="s">
        <v>965</v>
      </c>
      <c r="E2102" t="s">
        <v>434</v>
      </c>
      <c r="F2102" t="s">
        <v>435</v>
      </c>
      <c r="G2102" t="s">
        <v>752</v>
      </c>
      <c r="H2102">
        <v>58</v>
      </c>
      <c r="I2102">
        <v>68.413799999999995</v>
      </c>
      <c r="J2102">
        <v>74.758600000000001</v>
      </c>
      <c r="K2102">
        <v>6.34483</v>
      </c>
      <c r="L2102">
        <v>33</v>
      </c>
      <c r="M2102">
        <v>4</v>
      </c>
      <c r="N2102">
        <v>21</v>
      </c>
      <c r="O2102">
        <v>71.7607</v>
      </c>
      <c r="P2102">
        <v>6.2323399999999998</v>
      </c>
      <c r="Q2102">
        <v>18.218299999999999</v>
      </c>
    </row>
    <row r="2103" spans="1:17" x14ac:dyDescent="0.25">
      <c r="A2103" t="str">
        <f>IF(C2103&amp;G2103&amp;D2103&lt;&gt;'Funnel setup'!$K$3&amp;'Funnel setup'!$K$4&amp;'Funnel setup'!$K$6,".",IF(A2102=".",1,A2102+1))</f>
        <v>.</v>
      </c>
      <c r="B2103" s="244" t="str">
        <f t="shared" si="32"/>
        <v>Knee Replacement PrimaryProviderORTHOPAEDICS &amp; SPINE SPECIALIST HOSPITAL SITE (NQM01)EQ VAS</v>
      </c>
      <c r="C2103" t="s">
        <v>969</v>
      </c>
      <c r="D2103" t="s">
        <v>965</v>
      </c>
      <c r="E2103" t="s">
        <v>436</v>
      </c>
      <c r="F2103" t="s">
        <v>437</v>
      </c>
      <c r="G2103" t="s">
        <v>752</v>
      </c>
      <c r="H2103">
        <v>5</v>
      </c>
      <c r="I2103">
        <v>64.599999999999994</v>
      </c>
      <c r="J2103">
        <v>57.4</v>
      </c>
      <c r="K2103">
        <v>-7.2</v>
      </c>
      <c r="L2103">
        <v>3</v>
      </c>
      <c r="M2103">
        <v>0</v>
      </c>
      <c r="N2103">
        <v>2</v>
      </c>
      <c r="O2103" t="s">
        <v>127</v>
      </c>
      <c r="P2103" t="s">
        <v>127</v>
      </c>
      <c r="Q2103" t="s">
        <v>127</v>
      </c>
    </row>
    <row r="2104" spans="1:17" x14ac:dyDescent="0.25">
      <c r="A2104" t="str">
        <f>IF(C2104&amp;G2104&amp;D2104&lt;&gt;'Funnel setup'!$K$3&amp;'Funnel setup'!$K$4&amp;'Funnel setup'!$K$6,".",IF(A2103=".",1,A2103+1))</f>
        <v>.</v>
      </c>
      <c r="B2104" s="244" t="str">
        <f t="shared" si="32"/>
        <v>Knee Replacement PrimaryProviderOXFORD UNIVERSITY HOSPITALS NHS FOUNDATION TRUST (RTH)EQ VAS</v>
      </c>
      <c r="C2104" t="s">
        <v>969</v>
      </c>
      <c r="D2104" t="s">
        <v>965</v>
      </c>
      <c r="E2104" t="s">
        <v>438</v>
      </c>
      <c r="F2104" t="s">
        <v>439</v>
      </c>
      <c r="G2104" t="s">
        <v>752</v>
      </c>
      <c r="H2104">
        <v>230</v>
      </c>
      <c r="I2104">
        <v>65.595699999999994</v>
      </c>
      <c r="J2104">
        <v>75.365200000000002</v>
      </c>
      <c r="K2104">
        <v>9.7695699999999999</v>
      </c>
      <c r="L2104">
        <v>145</v>
      </c>
      <c r="M2104">
        <v>29</v>
      </c>
      <c r="N2104">
        <v>56</v>
      </c>
      <c r="O2104">
        <v>74.752899999999997</v>
      </c>
      <c r="P2104">
        <v>9.2244899999999994</v>
      </c>
      <c r="Q2104">
        <v>16.104099999999999</v>
      </c>
    </row>
    <row r="2105" spans="1:17" x14ac:dyDescent="0.25">
      <c r="A2105" t="str">
        <f>IF(C2105&amp;G2105&amp;D2105&lt;&gt;'Funnel setup'!$K$3&amp;'Funnel setup'!$K$4&amp;'Funnel setup'!$K$6,".",IF(A2104=".",1,A2104+1))</f>
        <v>.</v>
      </c>
      <c r="B2105" s="244" t="str">
        <f t="shared" si="32"/>
        <v>Knee Replacement PrimaryProviderPARK HILL HOSPITAL (NVC14)EQ VAS</v>
      </c>
      <c r="C2105" t="s">
        <v>969</v>
      </c>
      <c r="D2105" t="s">
        <v>965</v>
      </c>
      <c r="E2105" t="s">
        <v>440</v>
      </c>
      <c r="F2105" t="s">
        <v>441</v>
      </c>
      <c r="G2105" t="s">
        <v>752</v>
      </c>
      <c r="H2105">
        <v>33</v>
      </c>
      <c r="I2105">
        <v>69.515199999999993</v>
      </c>
      <c r="J2105">
        <v>69.787899999999993</v>
      </c>
      <c r="K2105">
        <v>0.272727</v>
      </c>
      <c r="L2105">
        <v>15</v>
      </c>
      <c r="M2105">
        <v>6</v>
      </c>
      <c r="N2105">
        <v>12</v>
      </c>
      <c r="O2105">
        <v>69.359300000000005</v>
      </c>
      <c r="P2105">
        <v>3.8309000000000002</v>
      </c>
      <c r="Q2105">
        <v>15.314399999999999</v>
      </c>
    </row>
    <row r="2106" spans="1:17" x14ac:dyDescent="0.25">
      <c r="A2106" t="str">
        <f>IF(C2106&amp;G2106&amp;D2106&lt;&gt;'Funnel setup'!$K$3&amp;'Funnel setup'!$K$4&amp;'Funnel setup'!$K$6,".",IF(A2105=".",1,A2105+1))</f>
        <v>.</v>
      </c>
      <c r="B2106" s="244" t="str">
        <f t="shared" si="32"/>
        <v>Knee Replacement PrimaryProviderPARK HOSPITAL (NT427)EQ VAS</v>
      </c>
      <c r="C2106" t="s">
        <v>969</v>
      </c>
      <c r="D2106" t="s">
        <v>965</v>
      </c>
      <c r="E2106" t="s">
        <v>442</v>
      </c>
      <c r="F2106" t="s">
        <v>443</v>
      </c>
      <c r="G2106" t="s">
        <v>752</v>
      </c>
      <c r="H2106">
        <v>48</v>
      </c>
      <c r="I2106">
        <v>69.291700000000006</v>
      </c>
      <c r="J2106">
        <v>76.104200000000006</v>
      </c>
      <c r="K2106">
        <v>6.8125</v>
      </c>
      <c r="L2106">
        <v>29</v>
      </c>
      <c r="M2106">
        <v>4</v>
      </c>
      <c r="N2106">
        <v>15</v>
      </c>
      <c r="O2106">
        <v>73.607200000000006</v>
      </c>
      <c r="P2106">
        <v>8.0787999999999993</v>
      </c>
      <c r="Q2106">
        <v>18.9968</v>
      </c>
    </row>
    <row r="2107" spans="1:17" x14ac:dyDescent="0.25">
      <c r="A2107" t="str">
        <f>IF(C2107&amp;G2107&amp;D2107&lt;&gt;'Funnel setup'!$K$3&amp;'Funnel setup'!$K$4&amp;'Funnel setup'!$K$6,".",IF(A2106=".",1,A2106+1))</f>
        <v>.</v>
      </c>
      <c r="B2107" s="244" t="str">
        <f t="shared" si="32"/>
        <v>Knee Replacement PrimaryProviderPENNINE ACUTE HOSPITALS NHS TRUST (RW6)EQ VAS</v>
      </c>
      <c r="C2107" t="s">
        <v>969</v>
      </c>
      <c r="D2107" t="s">
        <v>965</v>
      </c>
      <c r="E2107" t="s">
        <v>444</v>
      </c>
      <c r="F2107" t="s">
        <v>445</v>
      </c>
      <c r="G2107" t="s">
        <v>752</v>
      </c>
      <c r="H2107">
        <v>3</v>
      </c>
      <c r="I2107">
        <v>53.333300000000001</v>
      </c>
      <c r="J2107">
        <v>86</v>
      </c>
      <c r="K2107">
        <v>32.666699999999999</v>
      </c>
      <c r="L2107">
        <v>3</v>
      </c>
      <c r="M2107">
        <v>0</v>
      </c>
      <c r="N2107">
        <v>0</v>
      </c>
      <c r="O2107" t="s">
        <v>127</v>
      </c>
      <c r="P2107" t="s">
        <v>127</v>
      </c>
      <c r="Q2107" t="s">
        <v>127</v>
      </c>
    </row>
    <row r="2108" spans="1:17" x14ac:dyDescent="0.25">
      <c r="A2108" t="str">
        <f>IF(C2108&amp;G2108&amp;D2108&lt;&gt;'Funnel setup'!$K$3&amp;'Funnel setup'!$K$4&amp;'Funnel setup'!$K$6,".",IF(A2107=".",1,A2107+1))</f>
        <v>.</v>
      </c>
      <c r="B2108" s="244" t="str">
        <f t="shared" si="32"/>
        <v>Knee Replacement PrimaryProviderPINEHILL HOSPITAL (NVC15)EQ VAS</v>
      </c>
      <c r="C2108" t="s">
        <v>969</v>
      </c>
      <c r="D2108" t="s">
        <v>965</v>
      </c>
      <c r="E2108" t="s">
        <v>448</v>
      </c>
      <c r="F2108" t="s">
        <v>449</v>
      </c>
      <c r="G2108" t="s">
        <v>752</v>
      </c>
      <c r="H2108">
        <v>7</v>
      </c>
      <c r="I2108">
        <v>55.142899999999997</v>
      </c>
      <c r="J2108">
        <v>80</v>
      </c>
      <c r="K2108">
        <v>24.857099999999999</v>
      </c>
      <c r="L2108">
        <v>6</v>
      </c>
      <c r="M2108">
        <v>0</v>
      </c>
      <c r="N2108">
        <v>1</v>
      </c>
      <c r="O2108" t="s">
        <v>127</v>
      </c>
      <c r="P2108" t="s">
        <v>127</v>
      </c>
      <c r="Q2108" t="s">
        <v>127</v>
      </c>
    </row>
    <row r="2109" spans="1:17" x14ac:dyDescent="0.25">
      <c r="A2109" t="str">
        <f>IF(C2109&amp;G2109&amp;D2109&lt;&gt;'Funnel setup'!$K$3&amp;'Funnel setup'!$K$4&amp;'Funnel setup'!$K$6,".",IF(A2108=".",1,A2108+1))</f>
        <v>.</v>
      </c>
      <c r="B2109" s="244" t="str">
        <f t="shared" si="32"/>
        <v>Knee Replacement PrimaryProviderPORTSMOUTH HOSPITALS UNIVERSITY NATIONAL HEALTH SERVICE TRUST (RHU)EQ VAS</v>
      </c>
      <c r="C2109" t="s">
        <v>969</v>
      </c>
      <c r="D2109" t="s">
        <v>965</v>
      </c>
      <c r="E2109" t="s">
        <v>450</v>
      </c>
      <c r="F2109" t="s">
        <v>451</v>
      </c>
      <c r="G2109" t="s">
        <v>752</v>
      </c>
      <c r="H2109">
        <v>10</v>
      </c>
      <c r="I2109">
        <v>59.6</v>
      </c>
      <c r="J2109">
        <v>79.099999999999994</v>
      </c>
      <c r="K2109">
        <v>19.5</v>
      </c>
      <c r="L2109">
        <v>6</v>
      </c>
      <c r="M2109">
        <v>1</v>
      </c>
      <c r="N2109">
        <v>3</v>
      </c>
      <c r="O2109" t="s">
        <v>127</v>
      </c>
      <c r="P2109" t="s">
        <v>127</v>
      </c>
      <c r="Q2109" t="s">
        <v>127</v>
      </c>
    </row>
    <row r="2110" spans="1:17" x14ac:dyDescent="0.25">
      <c r="A2110" t="str">
        <f>IF(C2110&amp;G2110&amp;D2110&lt;&gt;'Funnel setup'!$K$3&amp;'Funnel setup'!$K$4&amp;'Funnel setup'!$K$6,".",IF(A2109=".",1,A2109+1))</f>
        <v>.</v>
      </c>
      <c r="B2110" s="244" t="str">
        <f t="shared" si="32"/>
        <v>Knee Replacement PrimaryProviderPRACTICE PLUS GROUP HOSPITAL - BARLBOROUGH (NTP13)EQ VAS</v>
      </c>
      <c r="C2110" t="s">
        <v>969</v>
      </c>
      <c r="D2110" t="s">
        <v>965</v>
      </c>
      <c r="E2110" t="s">
        <v>452</v>
      </c>
      <c r="F2110" t="s">
        <v>453</v>
      </c>
      <c r="G2110" t="s">
        <v>752</v>
      </c>
      <c r="H2110">
        <v>230</v>
      </c>
      <c r="I2110">
        <v>69.708699999999993</v>
      </c>
      <c r="J2110">
        <v>76</v>
      </c>
      <c r="K2110">
        <v>6.2912999999999997</v>
      </c>
      <c r="L2110">
        <v>138</v>
      </c>
      <c r="M2110">
        <v>19</v>
      </c>
      <c r="N2110">
        <v>73</v>
      </c>
      <c r="O2110">
        <v>73.913899999999998</v>
      </c>
      <c r="P2110">
        <v>8.3855500000000003</v>
      </c>
      <c r="Q2110">
        <v>17.283899999999999</v>
      </c>
    </row>
    <row r="2111" spans="1:17" x14ac:dyDescent="0.25">
      <c r="A2111" t="str">
        <f>IF(C2111&amp;G2111&amp;D2111&lt;&gt;'Funnel setup'!$K$3&amp;'Funnel setup'!$K$4&amp;'Funnel setup'!$K$6,".",IF(A2110=".",1,A2110+1))</f>
        <v>.</v>
      </c>
      <c r="B2111" s="244" t="str">
        <f t="shared" si="32"/>
        <v>Knee Replacement PrimaryProviderPRACTICE PLUS GROUP HOSPITAL - EMERSONS GREEN (NTPH2)EQ VAS</v>
      </c>
      <c r="C2111" t="s">
        <v>969</v>
      </c>
      <c r="D2111" t="s">
        <v>965</v>
      </c>
      <c r="E2111" t="s">
        <v>454</v>
      </c>
      <c r="F2111" t="s">
        <v>455</v>
      </c>
      <c r="G2111" t="s">
        <v>752</v>
      </c>
      <c r="H2111">
        <v>134</v>
      </c>
      <c r="I2111">
        <v>62.2836</v>
      </c>
      <c r="J2111">
        <v>75.880600000000001</v>
      </c>
      <c r="K2111">
        <v>13.597</v>
      </c>
      <c r="L2111">
        <v>94</v>
      </c>
      <c r="M2111">
        <v>14</v>
      </c>
      <c r="N2111">
        <v>26</v>
      </c>
      <c r="O2111">
        <v>75.879599999999996</v>
      </c>
      <c r="P2111">
        <v>10.3512</v>
      </c>
      <c r="Q2111">
        <v>16.513500000000001</v>
      </c>
    </row>
    <row r="2112" spans="1:17" x14ac:dyDescent="0.25">
      <c r="A2112" t="str">
        <f>IF(C2112&amp;G2112&amp;D2112&lt;&gt;'Funnel setup'!$K$3&amp;'Funnel setup'!$K$4&amp;'Funnel setup'!$K$6,".",IF(A2111=".",1,A2111+1))</f>
        <v>.</v>
      </c>
      <c r="B2112" s="244" t="str">
        <f t="shared" si="32"/>
        <v>Knee Replacement PrimaryProviderPRACTICE PLUS GROUP HOSPITAL - ILFORD (NTP15)EQ VAS</v>
      </c>
      <c r="C2112" t="s">
        <v>969</v>
      </c>
      <c r="D2112" t="s">
        <v>965</v>
      </c>
      <c r="E2112" t="s">
        <v>456</v>
      </c>
      <c r="F2112" t="s">
        <v>457</v>
      </c>
      <c r="G2112" t="s">
        <v>752</v>
      </c>
      <c r="H2112">
        <v>71</v>
      </c>
      <c r="I2112">
        <v>63.450699999999998</v>
      </c>
      <c r="J2112">
        <v>70.154899999999998</v>
      </c>
      <c r="K2112">
        <v>6.7042299999999999</v>
      </c>
      <c r="L2112">
        <v>39</v>
      </c>
      <c r="M2112">
        <v>8</v>
      </c>
      <c r="N2112">
        <v>24</v>
      </c>
      <c r="O2112">
        <v>71.116500000000002</v>
      </c>
      <c r="P2112">
        <v>5.5880900000000002</v>
      </c>
      <c r="Q2112">
        <v>16.869199999999999</v>
      </c>
    </row>
    <row r="2113" spans="1:17" x14ac:dyDescent="0.25">
      <c r="A2113" t="str">
        <f>IF(C2113&amp;G2113&amp;D2113&lt;&gt;'Funnel setup'!$K$3&amp;'Funnel setup'!$K$4&amp;'Funnel setup'!$K$6,".",IF(A2112=".",1,A2112+1))</f>
        <v>.</v>
      </c>
      <c r="B2113" s="244" t="str">
        <f t="shared" si="32"/>
        <v>Knee Replacement PrimaryProviderPRACTICE PLUS GROUP HOSPITAL - PLYMOUTH (NTPH5)EQ VAS</v>
      </c>
      <c r="C2113" t="s">
        <v>969</v>
      </c>
      <c r="D2113" t="s">
        <v>965</v>
      </c>
      <c r="E2113" t="s">
        <v>458</v>
      </c>
      <c r="F2113" t="s">
        <v>459</v>
      </c>
      <c r="G2113" t="s">
        <v>752</v>
      </c>
      <c r="H2113">
        <v>183</v>
      </c>
      <c r="I2113">
        <v>68.770499999999998</v>
      </c>
      <c r="J2113">
        <v>76.196700000000007</v>
      </c>
      <c r="K2113">
        <v>7.4262300000000003</v>
      </c>
      <c r="L2113">
        <v>110</v>
      </c>
      <c r="M2113">
        <v>21</v>
      </c>
      <c r="N2113">
        <v>52</v>
      </c>
      <c r="O2113">
        <v>74.593299999999999</v>
      </c>
      <c r="P2113">
        <v>9.0648800000000005</v>
      </c>
      <c r="Q2113">
        <v>15.4152</v>
      </c>
    </row>
    <row r="2114" spans="1:17" x14ac:dyDescent="0.25">
      <c r="A2114" t="str">
        <f>IF(C2114&amp;G2114&amp;D2114&lt;&gt;'Funnel setup'!$K$3&amp;'Funnel setup'!$K$4&amp;'Funnel setup'!$K$6,".",IF(A2113=".",1,A2113+1))</f>
        <v>.</v>
      </c>
      <c r="B2114" s="244" t="str">
        <f t="shared" ref="B2114:B2177" si="33">C2114&amp;D2114&amp;F2114&amp;G2114</f>
        <v>Knee Replacement PrimaryProviderPRACTICE PLUS GROUP HOSPITAL - SHEPTON MALLET (NTPH1)EQ VAS</v>
      </c>
      <c r="C2114" t="s">
        <v>969</v>
      </c>
      <c r="D2114" t="s">
        <v>965</v>
      </c>
      <c r="E2114" t="s">
        <v>460</v>
      </c>
      <c r="F2114" t="s">
        <v>461</v>
      </c>
      <c r="G2114" t="s">
        <v>752</v>
      </c>
      <c r="H2114">
        <v>206</v>
      </c>
      <c r="I2114">
        <v>66.679599999999994</v>
      </c>
      <c r="J2114">
        <v>77.325199999999995</v>
      </c>
      <c r="K2114">
        <v>10.6456</v>
      </c>
      <c r="L2114">
        <v>138</v>
      </c>
      <c r="M2114">
        <v>23</v>
      </c>
      <c r="N2114">
        <v>45</v>
      </c>
      <c r="O2114">
        <v>76.377899999999997</v>
      </c>
      <c r="P2114">
        <v>10.849500000000001</v>
      </c>
      <c r="Q2114">
        <v>16.150099999999998</v>
      </c>
    </row>
    <row r="2115" spans="1:17" x14ac:dyDescent="0.25">
      <c r="A2115" t="str">
        <f>IF(C2115&amp;G2115&amp;D2115&lt;&gt;'Funnel setup'!$K$3&amp;'Funnel setup'!$K$4&amp;'Funnel setup'!$K$6,".",IF(A2114=".",1,A2114+1))</f>
        <v>.</v>
      </c>
      <c r="B2115" s="244" t="str">
        <f t="shared" si="33"/>
        <v>Knee Replacement PrimaryProviderPRACTICE PLUS GROUP HOSPITAL - SOUTHAMPTON (NTP11)EQ VAS</v>
      </c>
      <c r="C2115" t="s">
        <v>969</v>
      </c>
      <c r="D2115" t="s">
        <v>965</v>
      </c>
      <c r="E2115" t="s">
        <v>462</v>
      </c>
      <c r="F2115" t="s">
        <v>463</v>
      </c>
      <c r="G2115" t="s">
        <v>752</v>
      </c>
      <c r="H2115">
        <v>62</v>
      </c>
      <c r="I2115">
        <v>66.209699999999998</v>
      </c>
      <c r="J2115">
        <v>72.612899999999996</v>
      </c>
      <c r="K2115">
        <v>6.4032299999999998</v>
      </c>
      <c r="L2115">
        <v>36</v>
      </c>
      <c r="M2115">
        <v>4</v>
      </c>
      <c r="N2115">
        <v>22</v>
      </c>
      <c r="O2115">
        <v>72.590100000000007</v>
      </c>
      <c r="P2115">
        <v>7.0617400000000004</v>
      </c>
      <c r="Q2115">
        <v>16.867699999999999</v>
      </c>
    </row>
    <row r="2116" spans="1:17" x14ac:dyDescent="0.25">
      <c r="A2116" t="str">
        <f>IF(C2116&amp;G2116&amp;D2116&lt;&gt;'Funnel setup'!$K$3&amp;'Funnel setup'!$K$4&amp;'Funnel setup'!$K$6,".",IF(A2115=".",1,A2115+1))</f>
        <v>.</v>
      </c>
      <c r="B2116" s="244" t="str">
        <f t="shared" si="33"/>
        <v>Knee Replacement PrimaryProviderPRINCESS MARGARET HOSPITAL (NT428)EQ VAS</v>
      </c>
      <c r="C2116" t="s">
        <v>969</v>
      </c>
      <c r="D2116" t="s">
        <v>965</v>
      </c>
      <c r="E2116" t="s">
        <v>464</v>
      </c>
      <c r="F2116" t="s">
        <v>465</v>
      </c>
      <c r="G2116" t="s">
        <v>752</v>
      </c>
      <c r="H2116" t="s">
        <v>127</v>
      </c>
      <c r="I2116" t="s">
        <v>127</v>
      </c>
      <c r="J2116" t="s">
        <v>127</v>
      </c>
      <c r="K2116" t="s">
        <v>127</v>
      </c>
      <c r="L2116" t="s">
        <v>127</v>
      </c>
      <c r="M2116" t="s">
        <v>127</v>
      </c>
      <c r="N2116" t="s">
        <v>127</v>
      </c>
      <c r="O2116" t="s">
        <v>127</v>
      </c>
      <c r="P2116" t="s">
        <v>127</v>
      </c>
      <c r="Q2116" t="s">
        <v>127</v>
      </c>
    </row>
    <row r="2117" spans="1:17" x14ac:dyDescent="0.25">
      <c r="A2117" t="str">
        <f>IF(C2117&amp;G2117&amp;D2117&lt;&gt;'Funnel setup'!$K$3&amp;'Funnel setup'!$K$4&amp;'Funnel setup'!$K$6,".",IF(A2116=".",1,A2116+1))</f>
        <v>.</v>
      </c>
      <c r="B2117" s="244" t="str">
        <f t="shared" si="33"/>
        <v>Knee Replacement PrimaryProviderPRIORY HOSPITAL (NT429)EQ VAS</v>
      </c>
      <c r="C2117" t="s">
        <v>969</v>
      </c>
      <c r="D2117" t="s">
        <v>965</v>
      </c>
      <c r="E2117" t="s">
        <v>466</v>
      </c>
      <c r="F2117" t="s">
        <v>467</v>
      </c>
      <c r="G2117" t="s">
        <v>752</v>
      </c>
      <c r="H2117">
        <v>23</v>
      </c>
      <c r="I2117">
        <v>75.826099999999997</v>
      </c>
      <c r="J2117">
        <v>77.173900000000003</v>
      </c>
      <c r="K2117">
        <v>1.3478300000000001</v>
      </c>
      <c r="L2117">
        <v>11</v>
      </c>
      <c r="M2117">
        <v>3</v>
      </c>
      <c r="N2117">
        <v>9</v>
      </c>
      <c r="O2117" t="s">
        <v>127</v>
      </c>
      <c r="P2117" t="s">
        <v>127</v>
      </c>
      <c r="Q2117" t="s">
        <v>127</v>
      </c>
    </row>
    <row r="2118" spans="1:17" x14ac:dyDescent="0.25">
      <c r="A2118" t="str">
        <f>IF(C2118&amp;G2118&amp;D2118&lt;&gt;'Funnel setup'!$K$3&amp;'Funnel setup'!$K$4&amp;'Funnel setup'!$K$6,".",IF(A2117=".",1,A2117+1))</f>
        <v>.</v>
      </c>
      <c r="B2118" s="244" t="str">
        <f t="shared" si="33"/>
        <v>Knee Replacement PrimaryProviderRENACRES HOSPITAL (NVC16)EQ VAS</v>
      </c>
      <c r="C2118" t="s">
        <v>969</v>
      </c>
      <c r="D2118" t="s">
        <v>965</v>
      </c>
      <c r="E2118" t="s">
        <v>470</v>
      </c>
      <c r="F2118" t="s">
        <v>471</v>
      </c>
      <c r="G2118" t="s">
        <v>752</v>
      </c>
      <c r="H2118">
        <v>62</v>
      </c>
      <c r="I2118">
        <v>70.951599999999999</v>
      </c>
      <c r="J2118">
        <v>76.225800000000007</v>
      </c>
      <c r="K2118">
        <v>5.2741899999999999</v>
      </c>
      <c r="L2118">
        <v>37</v>
      </c>
      <c r="M2118">
        <v>8</v>
      </c>
      <c r="N2118">
        <v>17</v>
      </c>
      <c r="O2118">
        <v>73.987499999999997</v>
      </c>
      <c r="P2118">
        <v>8.4590599999999991</v>
      </c>
      <c r="Q2118">
        <v>14.844799999999999</v>
      </c>
    </row>
    <row r="2119" spans="1:17" x14ac:dyDescent="0.25">
      <c r="A2119" t="str">
        <f>IF(C2119&amp;G2119&amp;D2119&lt;&gt;'Funnel setup'!$K$3&amp;'Funnel setup'!$K$4&amp;'Funnel setup'!$K$6,".",IF(A2118=".",1,A2118+1))</f>
        <v>.</v>
      </c>
      <c r="B2119" s="244" t="str">
        <f t="shared" si="33"/>
        <v>Knee Replacement PrimaryProviderRIDGEWAY HOSPITAL (NT430)EQ VAS</v>
      </c>
      <c r="C2119" t="s">
        <v>969</v>
      </c>
      <c r="D2119" t="s">
        <v>965</v>
      </c>
      <c r="E2119" t="s">
        <v>472</v>
      </c>
      <c r="F2119" t="s">
        <v>473</v>
      </c>
      <c r="G2119" t="s">
        <v>752</v>
      </c>
      <c r="H2119">
        <v>1</v>
      </c>
      <c r="I2119">
        <v>78</v>
      </c>
      <c r="J2119">
        <v>83</v>
      </c>
      <c r="K2119">
        <v>5</v>
      </c>
      <c r="L2119">
        <v>1</v>
      </c>
      <c r="M2119">
        <v>0</v>
      </c>
      <c r="N2119">
        <v>0</v>
      </c>
      <c r="O2119" t="s">
        <v>127</v>
      </c>
      <c r="P2119" t="s">
        <v>127</v>
      </c>
      <c r="Q2119" t="s">
        <v>127</v>
      </c>
    </row>
    <row r="2120" spans="1:17" x14ac:dyDescent="0.25">
      <c r="A2120" t="str">
        <f>IF(C2120&amp;G2120&amp;D2120&lt;&gt;'Funnel setup'!$K$3&amp;'Funnel setup'!$K$4&amp;'Funnel setup'!$K$6,".",IF(A2119=".",1,A2119+1))</f>
        <v>.</v>
      </c>
      <c r="B2120" s="244" t="str">
        <f t="shared" si="33"/>
        <v>Knee Replacement PrimaryProviderRIVERS HOSPITAL (NVC19)EQ VAS</v>
      </c>
      <c r="C2120" t="s">
        <v>969</v>
      </c>
      <c r="D2120" t="s">
        <v>965</v>
      </c>
      <c r="E2120" t="s">
        <v>474</v>
      </c>
      <c r="F2120" t="s">
        <v>475</v>
      </c>
      <c r="G2120" t="s">
        <v>752</v>
      </c>
      <c r="H2120">
        <v>37</v>
      </c>
      <c r="I2120">
        <v>71.243200000000002</v>
      </c>
      <c r="J2120">
        <v>78.081100000000006</v>
      </c>
      <c r="K2120">
        <v>6.8378399999999999</v>
      </c>
      <c r="L2120">
        <v>22</v>
      </c>
      <c r="M2120">
        <v>3</v>
      </c>
      <c r="N2120">
        <v>12</v>
      </c>
      <c r="O2120">
        <v>74.120900000000006</v>
      </c>
      <c r="P2120">
        <v>8.5925100000000008</v>
      </c>
      <c r="Q2120">
        <v>16.601900000000001</v>
      </c>
    </row>
    <row r="2121" spans="1:17" x14ac:dyDescent="0.25">
      <c r="A2121" t="str">
        <f>IF(C2121&amp;G2121&amp;D2121&lt;&gt;'Funnel setup'!$K$3&amp;'Funnel setup'!$K$4&amp;'Funnel setup'!$K$6,".",IF(A2120=".",1,A2120+1))</f>
        <v>.</v>
      </c>
      <c r="B2121" s="244" t="str">
        <f t="shared" si="33"/>
        <v>Knee Replacement PrimaryProviderROWLEY HALL HOSPITAL (NVC17)EQ VAS</v>
      </c>
      <c r="C2121" t="s">
        <v>969</v>
      </c>
      <c r="D2121" t="s">
        <v>965</v>
      </c>
      <c r="E2121" t="s">
        <v>476</v>
      </c>
      <c r="F2121" t="s">
        <v>477</v>
      </c>
      <c r="G2121" t="s">
        <v>752</v>
      </c>
      <c r="H2121">
        <v>38</v>
      </c>
      <c r="I2121">
        <v>61.3947</v>
      </c>
      <c r="J2121">
        <v>78.052599999999998</v>
      </c>
      <c r="K2121">
        <v>16.657900000000001</v>
      </c>
      <c r="L2121">
        <v>26</v>
      </c>
      <c r="M2121">
        <v>5</v>
      </c>
      <c r="N2121">
        <v>7</v>
      </c>
      <c r="O2121">
        <v>78.684299999999993</v>
      </c>
      <c r="P2121">
        <v>13.155900000000001</v>
      </c>
      <c r="Q2121">
        <v>17.004100000000001</v>
      </c>
    </row>
    <row r="2122" spans="1:17" x14ac:dyDescent="0.25">
      <c r="A2122" t="str">
        <f>IF(C2122&amp;G2122&amp;D2122&lt;&gt;'Funnel setup'!$K$3&amp;'Funnel setup'!$K$4&amp;'Funnel setup'!$K$6,".",IF(A2121=".",1,A2121+1))</f>
        <v>.</v>
      </c>
      <c r="B2122" s="244" t="str">
        <f t="shared" si="33"/>
        <v>Knee Replacement PrimaryProviderROYAL BERKSHIRE NHS FOUNDATION TRUST (RHW)EQ VAS</v>
      </c>
      <c r="C2122" t="s">
        <v>969</v>
      </c>
      <c r="D2122" t="s">
        <v>965</v>
      </c>
      <c r="E2122" t="s">
        <v>478</v>
      </c>
      <c r="F2122" t="s">
        <v>479</v>
      </c>
      <c r="G2122" t="s">
        <v>752</v>
      </c>
      <c r="H2122">
        <v>7</v>
      </c>
      <c r="I2122">
        <v>63.857100000000003</v>
      </c>
      <c r="J2122">
        <v>68.857100000000003</v>
      </c>
      <c r="K2122">
        <v>5</v>
      </c>
      <c r="L2122">
        <v>5</v>
      </c>
      <c r="M2122">
        <v>0</v>
      </c>
      <c r="N2122">
        <v>2</v>
      </c>
      <c r="O2122" t="s">
        <v>127</v>
      </c>
      <c r="P2122" t="s">
        <v>127</v>
      </c>
      <c r="Q2122" t="s">
        <v>127</v>
      </c>
    </row>
    <row r="2123" spans="1:17" x14ac:dyDescent="0.25">
      <c r="A2123" t="str">
        <f>IF(C2123&amp;G2123&amp;D2123&lt;&gt;'Funnel setup'!$K$3&amp;'Funnel setup'!$K$4&amp;'Funnel setup'!$K$6,".",IF(A2122=".",1,A2122+1))</f>
        <v>.</v>
      </c>
      <c r="B2123" s="244" t="str">
        <f t="shared" si="33"/>
        <v>Knee Replacement PrimaryProviderROYAL CORNWALL HOSPITALS NHS TRUST (REF)EQ VAS</v>
      </c>
      <c r="C2123" t="s">
        <v>969</v>
      </c>
      <c r="D2123" t="s">
        <v>965</v>
      </c>
      <c r="E2123" t="s">
        <v>480</v>
      </c>
      <c r="F2123" t="s">
        <v>481</v>
      </c>
      <c r="G2123" t="s">
        <v>752</v>
      </c>
      <c r="H2123">
        <v>32</v>
      </c>
      <c r="I2123">
        <v>67.218800000000002</v>
      </c>
      <c r="J2123">
        <v>75.8125</v>
      </c>
      <c r="K2123">
        <v>8.59375</v>
      </c>
      <c r="L2123">
        <v>20</v>
      </c>
      <c r="M2123">
        <v>3</v>
      </c>
      <c r="N2123">
        <v>9</v>
      </c>
      <c r="O2123">
        <v>74.899799999999999</v>
      </c>
      <c r="P2123">
        <v>9.3713499999999996</v>
      </c>
      <c r="Q2123">
        <v>17.800899999999999</v>
      </c>
    </row>
    <row r="2124" spans="1:17" x14ac:dyDescent="0.25">
      <c r="A2124" t="str">
        <f>IF(C2124&amp;G2124&amp;D2124&lt;&gt;'Funnel setup'!$K$3&amp;'Funnel setup'!$K$4&amp;'Funnel setup'!$K$6,".",IF(A2123=".",1,A2123+1))</f>
        <v>.</v>
      </c>
      <c r="B2124" s="244" t="str">
        <f t="shared" si="33"/>
        <v>Knee Replacement PrimaryProviderROYAL DEVON UNIVERSITY HEALTHCARE NHS FOUNDATION TRUST (RH8)EQ VAS</v>
      </c>
      <c r="C2124" t="s">
        <v>969</v>
      </c>
      <c r="D2124" t="s">
        <v>965</v>
      </c>
      <c r="E2124" t="s">
        <v>482</v>
      </c>
      <c r="F2124" t="s">
        <v>483</v>
      </c>
      <c r="G2124" t="s">
        <v>752</v>
      </c>
      <c r="H2124">
        <v>26</v>
      </c>
      <c r="I2124">
        <v>61.923099999999998</v>
      </c>
      <c r="J2124">
        <v>76.153800000000004</v>
      </c>
      <c r="K2124">
        <v>14.2308</v>
      </c>
      <c r="L2124">
        <v>19</v>
      </c>
      <c r="M2124">
        <v>2</v>
      </c>
      <c r="N2124">
        <v>5</v>
      </c>
      <c r="O2124" t="s">
        <v>127</v>
      </c>
      <c r="P2124" t="s">
        <v>127</v>
      </c>
      <c r="Q2124" t="s">
        <v>127</v>
      </c>
    </row>
    <row r="2125" spans="1:17" x14ac:dyDescent="0.25">
      <c r="A2125" t="str">
        <f>IF(C2125&amp;G2125&amp;D2125&lt;&gt;'Funnel setup'!$K$3&amp;'Funnel setup'!$K$4&amp;'Funnel setup'!$K$6,".",IF(A2124=".",1,A2124+1))</f>
        <v>.</v>
      </c>
      <c r="B2125" s="244" t="str">
        <f t="shared" si="33"/>
        <v>Knee Replacement PrimaryProviderROYAL NATIONAL ORTHOPAEDIC HOSPITAL NHS TRUST (RAN)EQ VAS</v>
      </c>
      <c r="C2125" t="s">
        <v>969</v>
      </c>
      <c r="D2125" t="s">
        <v>965</v>
      </c>
      <c r="E2125" t="s">
        <v>486</v>
      </c>
      <c r="F2125" t="s">
        <v>487</v>
      </c>
      <c r="G2125" t="s">
        <v>752</v>
      </c>
      <c r="H2125">
        <v>75</v>
      </c>
      <c r="I2125">
        <v>63.786700000000003</v>
      </c>
      <c r="J2125">
        <v>69.16</v>
      </c>
      <c r="K2125">
        <v>5.3733300000000002</v>
      </c>
      <c r="L2125">
        <v>45</v>
      </c>
      <c r="M2125">
        <v>8</v>
      </c>
      <c r="N2125">
        <v>22</v>
      </c>
      <c r="O2125">
        <v>73.759900000000002</v>
      </c>
      <c r="P2125">
        <v>8.2315400000000007</v>
      </c>
      <c r="Q2125">
        <v>18.616499999999998</v>
      </c>
    </row>
    <row r="2126" spans="1:17" x14ac:dyDescent="0.25">
      <c r="A2126" t="str">
        <f>IF(C2126&amp;G2126&amp;D2126&lt;&gt;'Funnel setup'!$K$3&amp;'Funnel setup'!$K$4&amp;'Funnel setup'!$K$6,".",IF(A2125=".",1,A2125+1))</f>
        <v>.</v>
      </c>
      <c r="B2126" s="244" t="str">
        <f t="shared" si="33"/>
        <v>Knee Replacement PrimaryProviderROYAL SURREY COUNTY HOSPITAL NHS FOUNDATION TRUST (RA2)EQ VAS</v>
      </c>
      <c r="C2126" t="s">
        <v>969</v>
      </c>
      <c r="D2126" t="s">
        <v>965</v>
      </c>
      <c r="E2126" t="s">
        <v>488</v>
      </c>
      <c r="F2126" t="s">
        <v>489</v>
      </c>
      <c r="G2126" t="s">
        <v>752</v>
      </c>
      <c r="H2126">
        <v>48</v>
      </c>
      <c r="I2126">
        <v>62.1875</v>
      </c>
      <c r="J2126">
        <v>67.604200000000006</v>
      </c>
      <c r="K2126">
        <v>5.4166699999999999</v>
      </c>
      <c r="L2126">
        <v>25</v>
      </c>
      <c r="M2126">
        <v>8</v>
      </c>
      <c r="N2126">
        <v>15</v>
      </c>
      <c r="O2126">
        <v>67.778800000000004</v>
      </c>
      <c r="P2126">
        <v>2.2503700000000002</v>
      </c>
      <c r="Q2126">
        <v>18.217099999999999</v>
      </c>
    </row>
    <row r="2127" spans="1:17" x14ac:dyDescent="0.25">
      <c r="A2127" t="str">
        <f>IF(C2127&amp;G2127&amp;D2127&lt;&gt;'Funnel setup'!$K$3&amp;'Funnel setup'!$K$4&amp;'Funnel setup'!$K$6,".",IF(A2126=".",1,A2126+1))</f>
        <v>.</v>
      </c>
      <c r="B2127" s="244" t="str">
        <f t="shared" si="33"/>
        <v>Knee Replacement PrimaryProviderROYAL UNITED HOSPITALS BATH NHS FOUNDATION TRUST (RD1)EQ VAS</v>
      </c>
      <c r="C2127" t="s">
        <v>969</v>
      </c>
      <c r="D2127" t="s">
        <v>965</v>
      </c>
      <c r="E2127" t="s">
        <v>490</v>
      </c>
      <c r="F2127" t="s">
        <v>491</v>
      </c>
      <c r="G2127" t="s">
        <v>752</v>
      </c>
      <c r="H2127">
        <v>12</v>
      </c>
      <c r="I2127">
        <v>57.916699999999999</v>
      </c>
      <c r="J2127">
        <v>67.75</v>
      </c>
      <c r="K2127">
        <v>9.8333300000000001</v>
      </c>
      <c r="L2127">
        <v>8</v>
      </c>
      <c r="M2127">
        <v>2</v>
      </c>
      <c r="N2127">
        <v>2</v>
      </c>
      <c r="O2127" t="s">
        <v>127</v>
      </c>
      <c r="P2127" t="s">
        <v>127</v>
      </c>
      <c r="Q2127" t="s">
        <v>127</v>
      </c>
    </row>
    <row r="2128" spans="1:17" x14ac:dyDescent="0.25">
      <c r="A2128" t="str">
        <f>IF(C2128&amp;G2128&amp;D2128&lt;&gt;'Funnel setup'!$K$3&amp;'Funnel setup'!$K$4&amp;'Funnel setup'!$K$6,".",IF(A2127=".",1,A2127+1))</f>
        <v>.</v>
      </c>
      <c r="B2128" s="244" t="str">
        <f t="shared" si="33"/>
        <v>Knee Replacement PrimaryProviderRUNNYMEDE HOSPITAL (NT431)EQ VAS</v>
      </c>
      <c r="C2128" t="s">
        <v>969</v>
      </c>
      <c r="D2128" t="s">
        <v>965</v>
      </c>
      <c r="E2128" t="s">
        <v>492</v>
      </c>
      <c r="F2128" t="s">
        <v>493</v>
      </c>
      <c r="G2128" t="s">
        <v>752</v>
      </c>
      <c r="H2128">
        <v>6</v>
      </c>
      <c r="I2128">
        <v>69.166700000000006</v>
      </c>
      <c r="J2128">
        <v>82.166700000000006</v>
      </c>
      <c r="K2128">
        <v>13</v>
      </c>
      <c r="L2128">
        <v>4</v>
      </c>
      <c r="M2128">
        <v>1</v>
      </c>
      <c r="N2128">
        <v>1</v>
      </c>
      <c r="O2128" t="s">
        <v>127</v>
      </c>
      <c r="P2128" t="s">
        <v>127</v>
      </c>
      <c r="Q2128" t="s">
        <v>127</v>
      </c>
    </row>
    <row r="2129" spans="1:17" x14ac:dyDescent="0.25">
      <c r="A2129" t="str">
        <f>IF(C2129&amp;G2129&amp;D2129&lt;&gt;'Funnel setup'!$K$3&amp;'Funnel setup'!$K$4&amp;'Funnel setup'!$K$6,".",IF(A2128=".",1,A2128+1))</f>
        <v>.</v>
      </c>
      <c r="B2129" s="244" t="str">
        <f t="shared" si="33"/>
        <v>Knee Replacement PrimaryProviderSALISBURY NHS FOUNDATION TRUST (RNZ)EQ VAS</v>
      </c>
      <c r="C2129" t="s">
        <v>969</v>
      </c>
      <c r="D2129" t="s">
        <v>965</v>
      </c>
      <c r="E2129" t="s">
        <v>494</v>
      </c>
      <c r="F2129" t="s">
        <v>495</v>
      </c>
      <c r="G2129" t="s">
        <v>752</v>
      </c>
      <c r="H2129">
        <v>1</v>
      </c>
      <c r="I2129">
        <v>80</v>
      </c>
      <c r="J2129">
        <v>100</v>
      </c>
      <c r="K2129">
        <v>20</v>
      </c>
      <c r="L2129">
        <v>1</v>
      </c>
      <c r="M2129">
        <v>0</v>
      </c>
      <c r="N2129">
        <v>0</v>
      </c>
      <c r="O2129" t="s">
        <v>127</v>
      </c>
      <c r="P2129" t="s">
        <v>127</v>
      </c>
      <c r="Q2129" t="s">
        <v>127</v>
      </c>
    </row>
    <row r="2130" spans="1:17" x14ac:dyDescent="0.25">
      <c r="A2130" t="str">
        <f>IF(C2130&amp;G2130&amp;D2130&lt;&gt;'Funnel setup'!$K$3&amp;'Funnel setup'!$K$4&amp;'Funnel setup'!$K$6,".",IF(A2129=".",1,A2129+1))</f>
        <v>.</v>
      </c>
      <c r="B2130" s="244" t="str">
        <f t="shared" si="33"/>
        <v>Knee Replacement PrimaryProviderSANDWELL AND WEST BIRMINGHAM HOSPITALS NHS TRUST (RXK)EQ VAS</v>
      </c>
      <c r="C2130" t="s">
        <v>969</v>
      </c>
      <c r="D2130" t="s">
        <v>965</v>
      </c>
      <c r="E2130" t="s">
        <v>496</v>
      </c>
      <c r="F2130" t="s">
        <v>497</v>
      </c>
      <c r="G2130" t="s">
        <v>752</v>
      </c>
      <c r="H2130">
        <v>66</v>
      </c>
      <c r="I2130">
        <v>65.166700000000006</v>
      </c>
      <c r="J2130">
        <v>70.757599999999996</v>
      </c>
      <c r="K2130">
        <v>5.59091</v>
      </c>
      <c r="L2130">
        <v>35</v>
      </c>
      <c r="M2130">
        <v>7</v>
      </c>
      <c r="N2130">
        <v>24</v>
      </c>
      <c r="O2130">
        <v>73.572000000000003</v>
      </c>
      <c r="P2130">
        <v>8.0435599999999994</v>
      </c>
      <c r="Q2130">
        <v>18.8413</v>
      </c>
    </row>
    <row r="2131" spans="1:17" x14ac:dyDescent="0.25">
      <c r="A2131" t="str">
        <f>IF(C2131&amp;G2131&amp;D2131&lt;&gt;'Funnel setup'!$K$3&amp;'Funnel setup'!$K$4&amp;'Funnel setup'!$K$6,".",IF(A2130=".",1,A2130+1))</f>
        <v>.</v>
      </c>
      <c r="B2131" s="244" t="str">
        <f t="shared" si="33"/>
        <v>Knee Replacement PrimaryProviderSARUM ROAD HOSPITAL (NT433)EQ VAS</v>
      </c>
      <c r="C2131" t="s">
        <v>969</v>
      </c>
      <c r="D2131" t="s">
        <v>965</v>
      </c>
      <c r="E2131" t="s">
        <v>498</v>
      </c>
      <c r="F2131" t="s">
        <v>499</v>
      </c>
      <c r="G2131" t="s">
        <v>752</v>
      </c>
      <c r="H2131">
        <v>26</v>
      </c>
      <c r="I2131">
        <v>69.846199999999996</v>
      </c>
      <c r="J2131">
        <v>79.461500000000001</v>
      </c>
      <c r="K2131">
        <v>9.61538</v>
      </c>
      <c r="L2131">
        <v>13</v>
      </c>
      <c r="M2131">
        <v>2</v>
      </c>
      <c r="N2131">
        <v>11</v>
      </c>
      <c r="O2131" t="s">
        <v>127</v>
      </c>
      <c r="P2131" t="s">
        <v>127</v>
      </c>
      <c r="Q2131" t="s">
        <v>127</v>
      </c>
    </row>
    <row r="2132" spans="1:17" x14ac:dyDescent="0.25">
      <c r="A2132" t="str">
        <f>IF(C2132&amp;G2132&amp;D2132&lt;&gt;'Funnel setup'!$K$3&amp;'Funnel setup'!$K$4&amp;'Funnel setup'!$K$6,".",IF(A2131=".",1,A2131+1))</f>
        <v>.</v>
      </c>
      <c r="B2132" s="244" t="str">
        <f t="shared" si="33"/>
        <v>Knee Replacement PrimaryProviderSAXON CLINIC (NT434)EQ VAS</v>
      </c>
      <c r="C2132" t="s">
        <v>969</v>
      </c>
      <c r="D2132" t="s">
        <v>965</v>
      </c>
      <c r="E2132" t="s">
        <v>500</v>
      </c>
      <c r="F2132" t="s">
        <v>501</v>
      </c>
      <c r="G2132" t="s">
        <v>752</v>
      </c>
      <c r="H2132">
        <v>12</v>
      </c>
      <c r="I2132">
        <v>63.666699999999999</v>
      </c>
      <c r="J2132">
        <v>72.5</v>
      </c>
      <c r="K2132">
        <v>8.8333300000000001</v>
      </c>
      <c r="L2132">
        <v>7</v>
      </c>
      <c r="M2132">
        <v>1</v>
      </c>
      <c r="N2132">
        <v>4</v>
      </c>
      <c r="O2132" t="s">
        <v>127</v>
      </c>
      <c r="P2132" t="s">
        <v>127</v>
      </c>
      <c r="Q2132" t="s">
        <v>127</v>
      </c>
    </row>
    <row r="2133" spans="1:17" x14ac:dyDescent="0.25">
      <c r="A2133" t="str">
        <f>IF(C2133&amp;G2133&amp;D2133&lt;&gt;'Funnel setup'!$K$3&amp;'Funnel setup'!$K$4&amp;'Funnel setup'!$K$6,".",IF(A2132=".",1,A2132+1))</f>
        <v>.</v>
      </c>
      <c r="B2133" s="244" t="str">
        <f t="shared" si="33"/>
        <v>Knee Replacement PrimaryProviderSHEFFIELD TEACHING HOSPITALS NHS FOUNDATION TRUST (RHQ)EQ VAS</v>
      </c>
      <c r="C2133" t="s">
        <v>969</v>
      </c>
      <c r="D2133" t="s">
        <v>965</v>
      </c>
      <c r="E2133" t="s">
        <v>506</v>
      </c>
      <c r="F2133" t="s">
        <v>507</v>
      </c>
      <c r="G2133" t="s">
        <v>752</v>
      </c>
      <c r="H2133">
        <v>33</v>
      </c>
      <c r="I2133">
        <v>62.697000000000003</v>
      </c>
      <c r="J2133">
        <v>72.121200000000002</v>
      </c>
      <c r="K2133">
        <v>9.4242399999999993</v>
      </c>
      <c r="L2133">
        <v>21</v>
      </c>
      <c r="M2133">
        <v>4</v>
      </c>
      <c r="N2133">
        <v>8</v>
      </c>
      <c r="O2133">
        <v>71.402299999999997</v>
      </c>
      <c r="P2133">
        <v>5.8738900000000003</v>
      </c>
      <c r="Q2133">
        <v>19.482399999999998</v>
      </c>
    </row>
    <row r="2134" spans="1:17" x14ac:dyDescent="0.25">
      <c r="A2134" t="str">
        <f>IF(C2134&amp;G2134&amp;D2134&lt;&gt;'Funnel setup'!$K$3&amp;'Funnel setup'!$K$4&amp;'Funnel setup'!$K$6,".",IF(A2133=".",1,A2133+1))</f>
        <v>.</v>
      </c>
      <c r="B2134" s="244" t="str">
        <f t="shared" si="33"/>
        <v>Knee Replacement PrimaryProviderSHERWOOD FOREST HOSPITALS NHS FOUNDATION TRUST (RK5)EQ VAS</v>
      </c>
      <c r="C2134" t="s">
        <v>969</v>
      </c>
      <c r="D2134" t="s">
        <v>965</v>
      </c>
      <c r="E2134" t="s">
        <v>508</v>
      </c>
      <c r="F2134" t="s">
        <v>509</v>
      </c>
      <c r="G2134" t="s">
        <v>752</v>
      </c>
      <c r="H2134">
        <v>59</v>
      </c>
      <c r="I2134">
        <v>65.508499999999998</v>
      </c>
      <c r="J2134">
        <v>73.033900000000003</v>
      </c>
      <c r="K2134">
        <v>7.5254200000000004</v>
      </c>
      <c r="L2134">
        <v>37</v>
      </c>
      <c r="M2134">
        <v>6</v>
      </c>
      <c r="N2134">
        <v>16</v>
      </c>
      <c r="O2134">
        <v>73.537400000000005</v>
      </c>
      <c r="P2134">
        <v>8.0089699999999997</v>
      </c>
      <c r="Q2134">
        <v>17.1493</v>
      </c>
    </row>
    <row r="2135" spans="1:17" x14ac:dyDescent="0.25">
      <c r="A2135" t="str">
        <f>IF(C2135&amp;G2135&amp;D2135&lt;&gt;'Funnel setup'!$K$3&amp;'Funnel setup'!$K$4&amp;'Funnel setup'!$K$6,".",IF(A2134=".",1,A2134+1))</f>
        <v>.</v>
      </c>
      <c r="B2135" s="244" t="str">
        <f t="shared" si="33"/>
        <v>Knee Replacement PrimaryProviderSHIRLEY OAKS HOSPITAL (NT436)EQ VAS</v>
      </c>
      <c r="C2135" t="s">
        <v>969</v>
      </c>
      <c r="D2135" t="s">
        <v>965</v>
      </c>
      <c r="E2135" t="s">
        <v>510</v>
      </c>
      <c r="F2135" t="s">
        <v>511</v>
      </c>
      <c r="G2135" t="s">
        <v>752</v>
      </c>
      <c r="H2135">
        <v>3</v>
      </c>
      <c r="I2135">
        <v>80</v>
      </c>
      <c r="J2135">
        <v>73</v>
      </c>
      <c r="K2135">
        <v>-7</v>
      </c>
      <c r="L2135">
        <v>1</v>
      </c>
      <c r="M2135">
        <v>0</v>
      </c>
      <c r="N2135">
        <v>2</v>
      </c>
      <c r="O2135" t="s">
        <v>127</v>
      </c>
      <c r="P2135" t="s">
        <v>127</v>
      </c>
      <c r="Q2135" t="s">
        <v>127</v>
      </c>
    </row>
    <row r="2136" spans="1:17" x14ac:dyDescent="0.25">
      <c r="A2136" t="str">
        <f>IF(C2136&amp;G2136&amp;D2136&lt;&gt;'Funnel setup'!$K$3&amp;'Funnel setup'!$K$4&amp;'Funnel setup'!$K$6,".",IF(A2135=".",1,A2135+1))</f>
        <v>.</v>
      </c>
      <c r="B2136" s="244" t="str">
        <f t="shared" si="33"/>
        <v>Knee Replacement PrimaryProviderSOUTH TEES HOSPITALS NHS FOUNDATION TRUST (RTR)EQ VAS</v>
      </c>
      <c r="C2136" t="s">
        <v>969</v>
      </c>
      <c r="D2136" t="s">
        <v>965</v>
      </c>
      <c r="E2136" t="s">
        <v>516</v>
      </c>
      <c r="F2136" t="s">
        <v>517</v>
      </c>
      <c r="G2136" t="s">
        <v>752</v>
      </c>
      <c r="H2136">
        <v>112</v>
      </c>
      <c r="I2136">
        <v>60.125</v>
      </c>
      <c r="J2136">
        <v>71.901799999999994</v>
      </c>
      <c r="K2136">
        <v>11.7768</v>
      </c>
      <c r="L2136">
        <v>78</v>
      </c>
      <c r="M2136">
        <v>6</v>
      </c>
      <c r="N2136">
        <v>28</v>
      </c>
      <c r="O2136">
        <v>76.257400000000004</v>
      </c>
      <c r="P2136">
        <v>10.728999999999999</v>
      </c>
      <c r="Q2136">
        <v>19.130600000000001</v>
      </c>
    </row>
    <row r="2137" spans="1:17" x14ac:dyDescent="0.25">
      <c r="A2137" t="str">
        <f>IF(C2137&amp;G2137&amp;D2137&lt;&gt;'Funnel setup'!$K$3&amp;'Funnel setup'!$K$4&amp;'Funnel setup'!$K$6,".",IF(A2136=".",1,A2136+1))</f>
        <v>.</v>
      </c>
      <c r="B2137" s="244" t="str">
        <f t="shared" si="33"/>
        <v>Knee Replacement PrimaryProviderSOUTH TYNESIDE AND SUNDERLAND NHS FOUNDATION TRUST (R0B)EQ VAS</v>
      </c>
      <c r="C2137" t="s">
        <v>969</v>
      </c>
      <c r="D2137" t="s">
        <v>965</v>
      </c>
      <c r="E2137" t="s">
        <v>518</v>
      </c>
      <c r="F2137" t="s">
        <v>519</v>
      </c>
      <c r="G2137" t="s">
        <v>752</v>
      </c>
      <c r="H2137">
        <v>7</v>
      </c>
      <c r="I2137">
        <v>67.285700000000006</v>
      </c>
      <c r="J2137">
        <v>69.714299999999994</v>
      </c>
      <c r="K2137">
        <v>2.4285700000000001</v>
      </c>
      <c r="L2137">
        <v>5</v>
      </c>
      <c r="M2137">
        <v>0</v>
      </c>
      <c r="N2137">
        <v>2</v>
      </c>
      <c r="O2137" t="s">
        <v>127</v>
      </c>
      <c r="P2137" t="s">
        <v>127</v>
      </c>
      <c r="Q2137" t="s">
        <v>127</v>
      </c>
    </row>
    <row r="2138" spans="1:17" x14ac:dyDescent="0.25">
      <c r="A2138" t="str">
        <f>IF(C2138&amp;G2138&amp;D2138&lt;&gt;'Funnel setup'!$K$3&amp;'Funnel setup'!$K$4&amp;'Funnel setup'!$K$6,".",IF(A2137=".",1,A2137+1))</f>
        <v>.</v>
      </c>
      <c r="B2138" s="244" t="str">
        <f t="shared" si="33"/>
        <v>Knee Replacement PrimaryProviderSOUTH WARWICKSHIRE UNIVERSITY NHS FOUNDATION TRUST (RJC)EQ VAS</v>
      </c>
      <c r="C2138" t="s">
        <v>969</v>
      </c>
      <c r="D2138" t="s">
        <v>965</v>
      </c>
      <c r="E2138" t="s">
        <v>520</v>
      </c>
      <c r="F2138" t="s">
        <v>521</v>
      </c>
      <c r="G2138" t="s">
        <v>752</v>
      </c>
      <c r="H2138">
        <v>132</v>
      </c>
      <c r="I2138">
        <v>68.621200000000002</v>
      </c>
      <c r="J2138">
        <v>75.0227</v>
      </c>
      <c r="K2138">
        <v>6.4015199999999997</v>
      </c>
      <c r="L2138">
        <v>80</v>
      </c>
      <c r="M2138">
        <v>26</v>
      </c>
      <c r="N2138">
        <v>26</v>
      </c>
      <c r="O2138">
        <v>73.274299999999997</v>
      </c>
      <c r="P2138">
        <v>7.7459300000000004</v>
      </c>
      <c r="Q2138">
        <v>17.0396</v>
      </c>
    </row>
    <row r="2139" spans="1:17" x14ac:dyDescent="0.25">
      <c r="A2139" t="str">
        <f>IF(C2139&amp;G2139&amp;D2139&lt;&gt;'Funnel setup'!$K$3&amp;'Funnel setup'!$K$4&amp;'Funnel setup'!$K$6,".",IF(A2138=".",1,A2138+1))</f>
        <v>.</v>
      </c>
      <c r="B2139" s="244" t="str">
        <f t="shared" si="33"/>
        <v>Knee Replacement PrimaryProviderSOUTHPORT AND ORMSKIRK HOSPITAL NHS TRUST (RVY)EQ VAS</v>
      </c>
      <c r="C2139" t="s">
        <v>969</v>
      </c>
      <c r="D2139" t="s">
        <v>965</v>
      </c>
      <c r="E2139" t="s">
        <v>522</v>
      </c>
      <c r="F2139" t="s">
        <v>523</v>
      </c>
      <c r="G2139" t="s">
        <v>752</v>
      </c>
      <c r="H2139">
        <v>9</v>
      </c>
      <c r="I2139">
        <v>64.444400000000002</v>
      </c>
      <c r="J2139">
        <v>74.555599999999998</v>
      </c>
      <c r="K2139">
        <v>10.1111</v>
      </c>
      <c r="L2139">
        <v>5</v>
      </c>
      <c r="M2139">
        <v>3</v>
      </c>
      <c r="N2139">
        <v>1</v>
      </c>
      <c r="O2139" t="s">
        <v>127</v>
      </c>
      <c r="P2139" t="s">
        <v>127</v>
      </c>
      <c r="Q2139" t="s">
        <v>127</v>
      </c>
    </row>
    <row r="2140" spans="1:17" x14ac:dyDescent="0.25">
      <c r="A2140" t="str">
        <f>IF(C2140&amp;G2140&amp;D2140&lt;&gt;'Funnel setup'!$K$3&amp;'Funnel setup'!$K$4&amp;'Funnel setup'!$K$6,".",IF(A2139=".",1,A2139+1))</f>
        <v>.</v>
      </c>
      <c r="B2140" s="244" t="str">
        <f t="shared" si="33"/>
        <v>Knee Replacement PrimaryProviderSPENCER PRIVATE HOSPITALS - MARGATE (NN801)EQ VAS</v>
      </c>
      <c r="C2140" t="s">
        <v>969</v>
      </c>
      <c r="D2140" t="s">
        <v>965</v>
      </c>
      <c r="E2140" t="s">
        <v>526</v>
      </c>
      <c r="F2140" t="s">
        <v>527</v>
      </c>
      <c r="G2140" t="s">
        <v>752</v>
      </c>
      <c r="H2140">
        <v>17</v>
      </c>
      <c r="I2140">
        <v>58.823500000000003</v>
      </c>
      <c r="J2140">
        <v>75.882400000000004</v>
      </c>
      <c r="K2140">
        <v>17.058800000000002</v>
      </c>
      <c r="L2140">
        <v>13</v>
      </c>
      <c r="M2140">
        <v>1</v>
      </c>
      <c r="N2140">
        <v>3</v>
      </c>
      <c r="O2140" t="s">
        <v>127</v>
      </c>
      <c r="P2140" t="s">
        <v>127</v>
      </c>
      <c r="Q2140" t="s">
        <v>127</v>
      </c>
    </row>
    <row r="2141" spans="1:17" x14ac:dyDescent="0.25">
      <c r="A2141" t="str">
        <f>IF(C2141&amp;G2141&amp;D2141&lt;&gt;'Funnel setup'!$K$3&amp;'Funnel setup'!$K$4&amp;'Funnel setup'!$K$6,".",IF(A2140=".",1,A2140+1))</f>
        <v>.</v>
      </c>
      <c r="B2141" s="244" t="str">
        <f t="shared" si="33"/>
        <v>Knee Replacement PrimaryProviderSPIRE ALEXANDRA HOSPITAL (NT312)EQ VAS</v>
      </c>
      <c r="C2141" t="s">
        <v>969</v>
      </c>
      <c r="D2141" t="s">
        <v>965</v>
      </c>
      <c r="E2141" t="s">
        <v>528</v>
      </c>
      <c r="F2141" t="s">
        <v>529</v>
      </c>
      <c r="G2141" t="s">
        <v>752</v>
      </c>
      <c r="H2141">
        <v>26</v>
      </c>
      <c r="I2141">
        <v>71.538499999999999</v>
      </c>
      <c r="J2141">
        <v>75.615399999999994</v>
      </c>
      <c r="K2141">
        <v>4.0769200000000003</v>
      </c>
      <c r="L2141">
        <v>12</v>
      </c>
      <c r="M2141">
        <v>0</v>
      </c>
      <c r="N2141">
        <v>14</v>
      </c>
      <c r="O2141" t="s">
        <v>127</v>
      </c>
      <c r="P2141" t="s">
        <v>127</v>
      </c>
      <c r="Q2141" t="s">
        <v>127</v>
      </c>
    </row>
    <row r="2142" spans="1:17" x14ac:dyDescent="0.25">
      <c r="A2142" t="str">
        <f>IF(C2142&amp;G2142&amp;D2142&lt;&gt;'Funnel setup'!$K$3&amp;'Funnel setup'!$K$4&amp;'Funnel setup'!$K$6,".",IF(A2141=".",1,A2141+1))</f>
        <v>.</v>
      </c>
      <c r="B2142" s="244" t="str">
        <f t="shared" si="33"/>
        <v>Knee Replacement PrimaryProviderSPIRE BRISTOL HOSPITAL (NT302)EQ VAS</v>
      </c>
      <c r="C2142" t="s">
        <v>969</v>
      </c>
      <c r="D2142" t="s">
        <v>965</v>
      </c>
      <c r="E2142" t="s">
        <v>530</v>
      </c>
      <c r="F2142" t="s">
        <v>531</v>
      </c>
      <c r="G2142" t="s">
        <v>752</v>
      </c>
      <c r="H2142">
        <v>59</v>
      </c>
      <c r="I2142">
        <v>71.474599999999995</v>
      </c>
      <c r="J2142">
        <v>75.898300000000006</v>
      </c>
      <c r="K2142">
        <v>4.4237299999999999</v>
      </c>
      <c r="L2142">
        <v>34</v>
      </c>
      <c r="M2142">
        <v>4</v>
      </c>
      <c r="N2142">
        <v>21</v>
      </c>
      <c r="O2142">
        <v>73.496600000000001</v>
      </c>
      <c r="P2142">
        <v>7.9681600000000001</v>
      </c>
      <c r="Q2142">
        <v>14.3988</v>
      </c>
    </row>
    <row r="2143" spans="1:17" x14ac:dyDescent="0.25">
      <c r="A2143" t="str">
        <f>IF(C2143&amp;G2143&amp;D2143&lt;&gt;'Funnel setup'!$K$3&amp;'Funnel setup'!$K$4&amp;'Funnel setup'!$K$6,".",IF(A2142=".",1,A2142+1))</f>
        <v>.</v>
      </c>
      <c r="B2143" s="244" t="str">
        <f t="shared" si="33"/>
        <v>Knee Replacement PrimaryProviderSPIRE BUSHEY HOSPITAL (NT315)EQ VAS</v>
      </c>
      <c r="C2143" t="s">
        <v>969</v>
      </c>
      <c r="D2143" t="s">
        <v>965</v>
      </c>
      <c r="E2143" t="s">
        <v>532</v>
      </c>
      <c r="F2143" t="s">
        <v>533</v>
      </c>
      <c r="G2143" t="s">
        <v>752</v>
      </c>
      <c r="H2143">
        <v>5</v>
      </c>
      <c r="I2143">
        <v>67.400000000000006</v>
      </c>
      <c r="J2143">
        <v>76.400000000000006</v>
      </c>
      <c r="K2143">
        <v>9</v>
      </c>
      <c r="L2143">
        <v>4</v>
      </c>
      <c r="M2143">
        <v>0</v>
      </c>
      <c r="N2143">
        <v>1</v>
      </c>
      <c r="O2143" t="s">
        <v>127</v>
      </c>
      <c r="P2143" t="s">
        <v>127</v>
      </c>
      <c r="Q2143" t="s">
        <v>127</v>
      </c>
    </row>
    <row r="2144" spans="1:17" x14ac:dyDescent="0.25">
      <c r="A2144" t="str">
        <f>IF(C2144&amp;G2144&amp;D2144&lt;&gt;'Funnel setup'!$K$3&amp;'Funnel setup'!$K$4&amp;'Funnel setup'!$K$6,".",IF(A2143=".",1,A2143+1))</f>
        <v>.</v>
      </c>
      <c r="B2144" s="244" t="str">
        <f t="shared" si="33"/>
        <v>Knee Replacement PrimaryProviderSPIRE CAMBRIDGE LEA HOSPITAL (NT317)EQ VAS</v>
      </c>
      <c r="C2144" t="s">
        <v>969</v>
      </c>
      <c r="D2144" t="s">
        <v>965</v>
      </c>
      <c r="E2144" t="s">
        <v>534</v>
      </c>
      <c r="F2144" t="s">
        <v>535</v>
      </c>
      <c r="G2144" t="s">
        <v>752</v>
      </c>
      <c r="H2144">
        <v>29</v>
      </c>
      <c r="I2144">
        <v>69.206900000000005</v>
      </c>
      <c r="J2144">
        <v>72.310299999999998</v>
      </c>
      <c r="K2144">
        <v>3.10345</v>
      </c>
      <c r="L2144">
        <v>13</v>
      </c>
      <c r="M2144">
        <v>6</v>
      </c>
      <c r="N2144">
        <v>10</v>
      </c>
      <c r="O2144" t="s">
        <v>127</v>
      </c>
      <c r="P2144" t="s">
        <v>127</v>
      </c>
      <c r="Q2144" t="s">
        <v>127</v>
      </c>
    </row>
    <row r="2145" spans="1:17" x14ac:dyDescent="0.25">
      <c r="A2145" t="str">
        <f>IF(C2145&amp;G2145&amp;D2145&lt;&gt;'Funnel setup'!$K$3&amp;'Funnel setup'!$K$4&amp;'Funnel setup'!$K$6,".",IF(A2144=".",1,A2144+1))</f>
        <v>.</v>
      </c>
      <c r="B2145" s="244" t="str">
        <f t="shared" si="33"/>
        <v>Knee Replacement PrimaryProviderSPIRE CHESHIRE HOSPITAL (NT324)EQ VAS</v>
      </c>
      <c r="C2145" t="s">
        <v>969</v>
      </c>
      <c r="D2145" t="s">
        <v>965</v>
      </c>
      <c r="E2145" t="s">
        <v>536</v>
      </c>
      <c r="F2145" t="s">
        <v>537</v>
      </c>
      <c r="G2145" t="s">
        <v>752</v>
      </c>
      <c r="H2145">
        <v>31</v>
      </c>
      <c r="I2145">
        <v>75.064499999999995</v>
      </c>
      <c r="J2145">
        <v>84.645200000000003</v>
      </c>
      <c r="K2145">
        <v>9.5806500000000003</v>
      </c>
      <c r="L2145">
        <v>20</v>
      </c>
      <c r="M2145">
        <v>5</v>
      </c>
      <c r="N2145">
        <v>6</v>
      </c>
      <c r="O2145">
        <v>79.700599999999994</v>
      </c>
      <c r="P2145">
        <v>14.1722</v>
      </c>
      <c r="Q2145">
        <v>9.28688</v>
      </c>
    </row>
    <row r="2146" spans="1:17" x14ac:dyDescent="0.25">
      <c r="A2146" t="str">
        <f>IF(C2146&amp;G2146&amp;D2146&lt;&gt;'Funnel setup'!$K$3&amp;'Funnel setup'!$K$4&amp;'Funnel setup'!$K$6,".",IF(A2145=".",1,A2145+1))</f>
        <v>.</v>
      </c>
      <c r="B2146" s="244" t="str">
        <f t="shared" si="33"/>
        <v>Knee Replacement PrimaryProviderSPIRE CLARE PARK HOSPITAL (NT345)EQ VAS</v>
      </c>
      <c r="C2146" t="s">
        <v>969</v>
      </c>
      <c r="D2146" t="s">
        <v>965</v>
      </c>
      <c r="E2146" t="s">
        <v>538</v>
      </c>
      <c r="F2146" t="s">
        <v>539</v>
      </c>
      <c r="G2146" t="s">
        <v>752</v>
      </c>
      <c r="H2146">
        <v>15</v>
      </c>
      <c r="I2146">
        <v>73.8</v>
      </c>
      <c r="J2146">
        <v>74.933300000000003</v>
      </c>
      <c r="K2146">
        <v>1.1333299999999999</v>
      </c>
      <c r="L2146">
        <v>4</v>
      </c>
      <c r="M2146">
        <v>5</v>
      </c>
      <c r="N2146">
        <v>6</v>
      </c>
      <c r="O2146" t="s">
        <v>127</v>
      </c>
      <c r="P2146" t="s">
        <v>127</v>
      </c>
      <c r="Q2146" t="s">
        <v>127</v>
      </c>
    </row>
    <row r="2147" spans="1:17" x14ac:dyDescent="0.25">
      <c r="A2147" t="str">
        <f>IF(C2147&amp;G2147&amp;D2147&lt;&gt;'Funnel setup'!$K$3&amp;'Funnel setup'!$K$4&amp;'Funnel setup'!$K$6,".",IF(A2146=".",1,A2146+1))</f>
        <v>.</v>
      </c>
      <c r="B2147" s="244" t="str">
        <f t="shared" si="33"/>
        <v>Knee Replacement PrimaryProviderSPIRE DUNEDIN HOSPITAL (NT344)EQ VAS</v>
      </c>
      <c r="C2147" t="s">
        <v>969</v>
      </c>
      <c r="D2147" t="s">
        <v>965</v>
      </c>
      <c r="E2147" t="s">
        <v>540</v>
      </c>
      <c r="F2147" t="s">
        <v>541</v>
      </c>
      <c r="G2147" t="s">
        <v>752</v>
      </c>
      <c r="H2147">
        <v>2</v>
      </c>
      <c r="I2147">
        <v>72.5</v>
      </c>
      <c r="J2147">
        <v>55</v>
      </c>
      <c r="K2147">
        <v>-17.5</v>
      </c>
      <c r="L2147">
        <v>1</v>
      </c>
      <c r="M2147">
        <v>0</v>
      </c>
      <c r="N2147">
        <v>1</v>
      </c>
      <c r="O2147" t="s">
        <v>127</v>
      </c>
      <c r="P2147" t="s">
        <v>127</v>
      </c>
      <c r="Q2147" t="s">
        <v>127</v>
      </c>
    </row>
    <row r="2148" spans="1:17" x14ac:dyDescent="0.25">
      <c r="A2148" t="str">
        <f>IF(C2148&amp;G2148&amp;D2148&lt;&gt;'Funnel setup'!$K$3&amp;'Funnel setup'!$K$4&amp;'Funnel setup'!$K$6,".",IF(A2147=".",1,A2147+1))</f>
        <v>.</v>
      </c>
      <c r="B2148" s="244" t="str">
        <f t="shared" si="33"/>
        <v>Knee Replacement PrimaryProviderSPIRE ELLAND HOSPITAL (NT348)EQ VAS</v>
      </c>
      <c r="C2148" t="s">
        <v>969</v>
      </c>
      <c r="D2148" t="s">
        <v>965</v>
      </c>
      <c r="E2148" t="s">
        <v>542</v>
      </c>
      <c r="F2148" t="s">
        <v>543</v>
      </c>
      <c r="G2148" t="s">
        <v>752</v>
      </c>
      <c r="H2148">
        <v>19</v>
      </c>
      <c r="I2148">
        <v>79.157899999999998</v>
      </c>
      <c r="J2148">
        <v>75.368399999999994</v>
      </c>
      <c r="K2148">
        <v>-3.7894700000000001</v>
      </c>
      <c r="L2148">
        <v>8</v>
      </c>
      <c r="M2148">
        <v>0</v>
      </c>
      <c r="N2148">
        <v>11</v>
      </c>
      <c r="O2148" t="s">
        <v>127</v>
      </c>
      <c r="P2148" t="s">
        <v>127</v>
      </c>
      <c r="Q2148" t="s">
        <v>127</v>
      </c>
    </row>
    <row r="2149" spans="1:17" x14ac:dyDescent="0.25">
      <c r="A2149" t="str">
        <f>IF(C2149&amp;G2149&amp;D2149&lt;&gt;'Funnel setup'!$K$3&amp;'Funnel setup'!$K$4&amp;'Funnel setup'!$K$6,".",IF(A2148=".",1,A2148+1))</f>
        <v>.</v>
      </c>
      <c r="B2149" s="244" t="str">
        <f t="shared" si="33"/>
        <v>Knee Replacement PrimaryProviderSPIRE FYLDE COAST HOSPITAL (NT347)EQ VAS</v>
      </c>
      <c r="C2149" t="s">
        <v>969</v>
      </c>
      <c r="D2149" t="s">
        <v>965</v>
      </c>
      <c r="E2149" t="s">
        <v>544</v>
      </c>
      <c r="F2149" t="s">
        <v>545</v>
      </c>
      <c r="G2149" t="s">
        <v>752</v>
      </c>
      <c r="H2149">
        <v>27</v>
      </c>
      <c r="I2149">
        <v>75.333299999999994</v>
      </c>
      <c r="J2149">
        <v>73.740700000000004</v>
      </c>
      <c r="K2149">
        <v>-1.59259</v>
      </c>
      <c r="L2149">
        <v>12</v>
      </c>
      <c r="M2149">
        <v>4</v>
      </c>
      <c r="N2149">
        <v>11</v>
      </c>
      <c r="O2149" t="s">
        <v>127</v>
      </c>
      <c r="P2149" t="s">
        <v>127</v>
      </c>
      <c r="Q2149" t="s">
        <v>127</v>
      </c>
    </row>
    <row r="2150" spans="1:17" x14ac:dyDescent="0.25">
      <c r="A2150" t="str">
        <f>IF(C2150&amp;G2150&amp;D2150&lt;&gt;'Funnel setup'!$K$3&amp;'Funnel setup'!$K$4&amp;'Funnel setup'!$K$6,".",IF(A2149=".",1,A2149+1))</f>
        <v>.</v>
      </c>
      <c r="B2150" s="244" t="str">
        <f t="shared" si="33"/>
        <v>Knee Replacement PrimaryProviderSPIRE GATWICK PARK HOSPITAL (NT308)EQ VAS</v>
      </c>
      <c r="C2150" t="s">
        <v>969</v>
      </c>
      <c r="D2150" t="s">
        <v>965</v>
      </c>
      <c r="E2150" t="s">
        <v>546</v>
      </c>
      <c r="F2150" t="s">
        <v>547</v>
      </c>
      <c r="G2150" t="s">
        <v>752</v>
      </c>
      <c r="H2150">
        <v>6</v>
      </c>
      <c r="I2150">
        <v>71.5</v>
      </c>
      <c r="J2150">
        <v>68.333299999999994</v>
      </c>
      <c r="K2150">
        <v>-3.1666699999999999</v>
      </c>
      <c r="L2150">
        <v>3</v>
      </c>
      <c r="M2150">
        <v>1</v>
      </c>
      <c r="N2150">
        <v>2</v>
      </c>
      <c r="O2150" t="s">
        <v>127</v>
      </c>
      <c r="P2150" t="s">
        <v>127</v>
      </c>
      <c r="Q2150" t="s">
        <v>127</v>
      </c>
    </row>
    <row r="2151" spans="1:17" x14ac:dyDescent="0.25">
      <c r="A2151" t="str">
        <f>IF(C2151&amp;G2151&amp;D2151&lt;&gt;'Funnel setup'!$K$3&amp;'Funnel setup'!$K$4&amp;'Funnel setup'!$K$6,".",IF(A2150=".",1,A2150+1))</f>
        <v>.</v>
      </c>
      <c r="B2151" s="244" t="str">
        <f t="shared" si="33"/>
        <v>Knee Replacement PrimaryProviderSPIRE HARPENDEN HOSPITAL (NT316)EQ VAS</v>
      </c>
      <c r="C2151" t="s">
        <v>969</v>
      </c>
      <c r="D2151" t="s">
        <v>965</v>
      </c>
      <c r="E2151" t="s">
        <v>548</v>
      </c>
      <c r="F2151" t="s">
        <v>549</v>
      </c>
      <c r="G2151" t="s">
        <v>752</v>
      </c>
      <c r="H2151">
        <v>19</v>
      </c>
      <c r="I2151">
        <v>73.947400000000002</v>
      </c>
      <c r="J2151">
        <v>70.1053</v>
      </c>
      <c r="K2151">
        <v>-3.8421099999999999</v>
      </c>
      <c r="L2151">
        <v>7</v>
      </c>
      <c r="M2151">
        <v>4</v>
      </c>
      <c r="N2151">
        <v>8</v>
      </c>
      <c r="O2151" t="s">
        <v>127</v>
      </c>
      <c r="P2151" t="s">
        <v>127</v>
      </c>
      <c r="Q2151" t="s">
        <v>127</v>
      </c>
    </row>
    <row r="2152" spans="1:17" x14ac:dyDescent="0.25">
      <c r="A2152" t="str">
        <f>IF(C2152&amp;G2152&amp;D2152&lt;&gt;'Funnel setup'!$K$3&amp;'Funnel setup'!$K$4&amp;'Funnel setup'!$K$6,".",IF(A2151=".",1,A2151+1))</f>
        <v>.</v>
      </c>
      <c r="B2152" s="244" t="str">
        <f t="shared" si="33"/>
        <v>Knee Replacement PrimaryProviderSPIRE HARTSWOOD HOSPITAL (NT319)EQ VAS</v>
      </c>
      <c r="C2152" t="s">
        <v>969</v>
      </c>
      <c r="D2152" t="s">
        <v>965</v>
      </c>
      <c r="E2152" t="s">
        <v>550</v>
      </c>
      <c r="F2152" t="s">
        <v>551</v>
      </c>
      <c r="G2152" t="s">
        <v>752</v>
      </c>
      <c r="H2152">
        <v>12</v>
      </c>
      <c r="I2152">
        <v>62.5</v>
      </c>
      <c r="J2152">
        <v>68.583299999999994</v>
      </c>
      <c r="K2152">
        <v>6.0833300000000001</v>
      </c>
      <c r="L2152">
        <v>7</v>
      </c>
      <c r="M2152">
        <v>2</v>
      </c>
      <c r="N2152">
        <v>3</v>
      </c>
      <c r="O2152" t="s">
        <v>127</v>
      </c>
      <c r="P2152" t="s">
        <v>127</v>
      </c>
      <c r="Q2152" t="s">
        <v>127</v>
      </c>
    </row>
    <row r="2153" spans="1:17" x14ac:dyDescent="0.25">
      <c r="A2153" t="str">
        <f>IF(C2153&amp;G2153&amp;D2153&lt;&gt;'Funnel setup'!$K$3&amp;'Funnel setup'!$K$4&amp;'Funnel setup'!$K$6,".",IF(A2152=".",1,A2152+1))</f>
        <v>.</v>
      </c>
      <c r="B2153" s="244" t="str">
        <f t="shared" si="33"/>
        <v>Knee Replacement PrimaryProviderSPIRE HULL AND EAST RIDING HOSPITAL (NT351)EQ VAS</v>
      </c>
      <c r="C2153" t="s">
        <v>969</v>
      </c>
      <c r="D2153" t="s">
        <v>965</v>
      </c>
      <c r="E2153" t="s">
        <v>554</v>
      </c>
      <c r="F2153" t="s">
        <v>555</v>
      </c>
      <c r="G2153" t="s">
        <v>752</v>
      </c>
      <c r="H2153">
        <v>37</v>
      </c>
      <c r="I2153">
        <v>64.756799999999998</v>
      </c>
      <c r="J2153">
        <v>71.621600000000001</v>
      </c>
      <c r="K2153">
        <v>6.8648600000000002</v>
      </c>
      <c r="L2153">
        <v>25</v>
      </c>
      <c r="M2153">
        <v>2</v>
      </c>
      <c r="N2153">
        <v>10</v>
      </c>
      <c r="O2153">
        <v>71.235900000000001</v>
      </c>
      <c r="P2153">
        <v>5.70749</v>
      </c>
      <c r="Q2153">
        <v>15.2958</v>
      </c>
    </row>
    <row r="2154" spans="1:17" x14ac:dyDescent="0.25">
      <c r="A2154" t="str">
        <f>IF(C2154&amp;G2154&amp;D2154&lt;&gt;'Funnel setup'!$K$3&amp;'Funnel setup'!$K$4&amp;'Funnel setup'!$K$6,".",IF(A2153=".",1,A2153+1))</f>
        <v>.</v>
      </c>
      <c r="B2154" s="244" t="str">
        <f t="shared" si="33"/>
        <v>Knee Replacement PrimaryProviderSPIRE LEEDS HOSPITAL (NT332)EQ VAS</v>
      </c>
      <c r="C2154" t="s">
        <v>969</v>
      </c>
      <c r="D2154" t="s">
        <v>965</v>
      </c>
      <c r="E2154" t="s">
        <v>556</v>
      </c>
      <c r="F2154" t="s">
        <v>557</v>
      </c>
      <c r="G2154" t="s">
        <v>752</v>
      </c>
      <c r="H2154">
        <v>14</v>
      </c>
      <c r="I2154">
        <v>72.571399999999997</v>
      </c>
      <c r="J2154">
        <v>79.142899999999997</v>
      </c>
      <c r="K2154">
        <v>6.5714300000000003</v>
      </c>
      <c r="L2154">
        <v>8</v>
      </c>
      <c r="M2154">
        <v>0</v>
      </c>
      <c r="N2154">
        <v>6</v>
      </c>
      <c r="O2154" t="s">
        <v>127</v>
      </c>
      <c r="P2154" t="s">
        <v>127</v>
      </c>
      <c r="Q2154" t="s">
        <v>127</v>
      </c>
    </row>
    <row r="2155" spans="1:17" x14ac:dyDescent="0.25">
      <c r="A2155" t="str">
        <f>IF(C2155&amp;G2155&amp;D2155&lt;&gt;'Funnel setup'!$K$3&amp;'Funnel setup'!$K$4&amp;'Funnel setup'!$K$6,".",IF(A2154=".",1,A2154+1))</f>
        <v>.</v>
      </c>
      <c r="B2155" s="244" t="str">
        <f t="shared" si="33"/>
        <v>Knee Replacement PrimaryProviderSPIRE LEICESTER HOSPITAL (NT322)EQ VAS</v>
      </c>
      <c r="C2155" t="s">
        <v>969</v>
      </c>
      <c r="D2155" t="s">
        <v>965</v>
      </c>
      <c r="E2155" t="s">
        <v>558</v>
      </c>
      <c r="F2155" t="s">
        <v>559</v>
      </c>
      <c r="G2155" t="s">
        <v>752</v>
      </c>
      <c r="H2155">
        <v>58</v>
      </c>
      <c r="I2155">
        <v>66.103399999999993</v>
      </c>
      <c r="J2155">
        <v>77.689700000000002</v>
      </c>
      <c r="K2155">
        <v>11.5862</v>
      </c>
      <c r="L2155">
        <v>39</v>
      </c>
      <c r="M2155">
        <v>3</v>
      </c>
      <c r="N2155">
        <v>16</v>
      </c>
      <c r="O2155">
        <v>76.769099999999995</v>
      </c>
      <c r="P2155">
        <v>11.2407</v>
      </c>
      <c r="Q2155">
        <v>11.3651</v>
      </c>
    </row>
    <row r="2156" spans="1:17" x14ac:dyDescent="0.25">
      <c r="A2156" t="str">
        <f>IF(C2156&amp;G2156&amp;D2156&lt;&gt;'Funnel setup'!$K$3&amp;'Funnel setup'!$K$4&amp;'Funnel setup'!$K$6,".",IF(A2155=".",1,A2155+1))</f>
        <v>.</v>
      </c>
      <c r="B2156" s="244" t="str">
        <f t="shared" si="33"/>
        <v>Knee Replacement PrimaryProviderSPIRE LITTLE ASTON HOSPITAL (NT321)EQ VAS</v>
      </c>
      <c r="C2156" t="s">
        <v>969</v>
      </c>
      <c r="D2156" t="s">
        <v>965</v>
      </c>
      <c r="E2156" t="s">
        <v>560</v>
      </c>
      <c r="F2156" t="s">
        <v>561</v>
      </c>
      <c r="G2156" t="s">
        <v>752</v>
      </c>
      <c r="H2156">
        <v>21</v>
      </c>
      <c r="I2156">
        <v>69.1905</v>
      </c>
      <c r="J2156">
        <v>78.8095</v>
      </c>
      <c r="K2156">
        <v>9.6190499999999997</v>
      </c>
      <c r="L2156">
        <v>14</v>
      </c>
      <c r="M2156">
        <v>3</v>
      </c>
      <c r="N2156">
        <v>4</v>
      </c>
      <c r="O2156" t="s">
        <v>127</v>
      </c>
      <c r="P2156" t="s">
        <v>127</v>
      </c>
      <c r="Q2156" t="s">
        <v>127</v>
      </c>
    </row>
    <row r="2157" spans="1:17" x14ac:dyDescent="0.25">
      <c r="A2157" t="str">
        <f>IF(C2157&amp;G2157&amp;D2157&lt;&gt;'Funnel setup'!$K$3&amp;'Funnel setup'!$K$4&amp;'Funnel setup'!$K$6,".",IF(A2156=".",1,A2156+1))</f>
        <v>.</v>
      </c>
      <c r="B2157" s="244" t="str">
        <f t="shared" si="33"/>
        <v>Knee Replacement PrimaryProviderSPIRE LIVERPOOL HOSPITAL (NT337)EQ VAS</v>
      </c>
      <c r="C2157" t="s">
        <v>969</v>
      </c>
      <c r="D2157" t="s">
        <v>965</v>
      </c>
      <c r="E2157" t="s">
        <v>562</v>
      </c>
      <c r="F2157" t="s">
        <v>563</v>
      </c>
      <c r="G2157" t="s">
        <v>752</v>
      </c>
      <c r="H2157">
        <v>13</v>
      </c>
      <c r="I2157">
        <v>70.846199999999996</v>
      </c>
      <c r="J2157">
        <v>74.538499999999999</v>
      </c>
      <c r="K2157">
        <v>3.69231</v>
      </c>
      <c r="L2157">
        <v>6</v>
      </c>
      <c r="M2157">
        <v>0</v>
      </c>
      <c r="N2157">
        <v>7</v>
      </c>
      <c r="O2157" t="s">
        <v>127</v>
      </c>
      <c r="P2157" t="s">
        <v>127</v>
      </c>
      <c r="Q2157" t="s">
        <v>127</v>
      </c>
    </row>
    <row r="2158" spans="1:17" x14ac:dyDescent="0.25">
      <c r="A2158" t="str">
        <f>IF(C2158&amp;G2158&amp;D2158&lt;&gt;'Funnel setup'!$K$3&amp;'Funnel setup'!$K$4&amp;'Funnel setup'!$K$6,".",IF(A2157=".",1,A2157+1))</f>
        <v>.</v>
      </c>
      <c r="B2158" s="244" t="str">
        <f t="shared" si="33"/>
        <v>Knee Replacement PrimaryProviderSPIRE MANCHESTER HOSPITAL (NT327)EQ VAS</v>
      </c>
      <c r="C2158" t="s">
        <v>969</v>
      </c>
      <c r="D2158" t="s">
        <v>965</v>
      </c>
      <c r="E2158" t="s">
        <v>566</v>
      </c>
      <c r="F2158" t="s">
        <v>567</v>
      </c>
      <c r="G2158" t="s">
        <v>752</v>
      </c>
      <c r="H2158">
        <v>37</v>
      </c>
      <c r="I2158">
        <v>68.054100000000005</v>
      </c>
      <c r="J2158">
        <v>74.567599999999999</v>
      </c>
      <c r="K2158">
        <v>6.5135100000000001</v>
      </c>
      <c r="L2158">
        <v>21</v>
      </c>
      <c r="M2158">
        <v>3</v>
      </c>
      <c r="N2158">
        <v>13</v>
      </c>
      <c r="O2158">
        <v>73.886600000000001</v>
      </c>
      <c r="P2158">
        <v>8.3581699999999994</v>
      </c>
      <c r="Q2158">
        <v>14.063000000000001</v>
      </c>
    </row>
    <row r="2159" spans="1:17" x14ac:dyDescent="0.25">
      <c r="A2159" t="str">
        <f>IF(C2159&amp;G2159&amp;D2159&lt;&gt;'Funnel setup'!$K$3&amp;'Funnel setup'!$K$4&amp;'Funnel setup'!$K$6,".",IF(A2158=".",1,A2158+1))</f>
        <v>.</v>
      </c>
      <c r="B2159" s="244" t="str">
        <f t="shared" si="33"/>
        <v>Knee Replacement PrimaryProviderSPIRE METHLEY PARK HOSPITAL (NT350)EQ VAS</v>
      </c>
      <c r="C2159" t="s">
        <v>969</v>
      </c>
      <c r="D2159" t="s">
        <v>965</v>
      </c>
      <c r="E2159" t="s">
        <v>568</v>
      </c>
      <c r="F2159" t="s">
        <v>569</v>
      </c>
      <c r="G2159" t="s">
        <v>752</v>
      </c>
      <c r="H2159">
        <v>32</v>
      </c>
      <c r="I2159">
        <v>69.093800000000002</v>
      </c>
      <c r="J2159">
        <v>81.9375</v>
      </c>
      <c r="K2159">
        <v>12.8438</v>
      </c>
      <c r="L2159">
        <v>26</v>
      </c>
      <c r="M2159">
        <v>2</v>
      </c>
      <c r="N2159">
        <v>4</v>
      </c>
      <c r="O2159">
        <v>78.015100000000004</v>
      </c>
      <c r="P2159">
        <v>12.486700000000001</v>
      </c>
      <c r="Q2159">
        <v>12.6952</v>
      </c>
    </row>
    <row r="2160" spans="1:17" x14ac:dyDescent="0.25">
      <c r="A2160" t="str">
        <f>IF(C2160&amp;G2160&amp;D2160&lt;&gt;'Funnel setup'!$K$3&amp;'Funnel setup'!$K$4&amp;'Funnel setup'!$K$6,".",IF(A2159=".",1,A2159+1))</f>
        <v>.</v>
      </c>
      <c r="B2160" s="244" t="str">
        <f t="shared" si="33"/>
        <v>Knee Replacement PrimaryProviderSPIRE MONTEFIORE HOSPITAL (NT364)EQ VAS</v>
      </c>
      <c r="C2160" t="s">
        <v>969</v>
      </c>
      <c r="D2160" t="s">
        <v>965</v>
      </c>
      <c r="E2160" t="s">
        <v>570</v>
      </c>
      <c r="F2160" t="s">
        <v>571</v>
      </c>
      <c r="G2160" t="s">
        <v>752</v>
      </c>
      <c r="H2160">
        <v>10</v>
      </c>
      <c r="I2160">
        <v>71.7</v>
      </c>
      <c r="J2160">
        <v>81.2</v>
      </c>
      <c r="K2160">
        <v>9.5</v>
      </c>
      <c r="L2160">
        <v>8</v>
      </c>
      <c r="M2160">
        <v>0</v>
      </c>
      <c r="N2160">
        <v>2</v>
      </c>
      <c r="O2160" t="s">
        <v>127</v>
      </c>
      <c r="P2160" t="s">
        <v>127</v>
      </c>
      <c r="Q2160" t="s">
        <v>127</v>
      </c>
    </row>
    <row r="2161" spans="1:17" x14ac:dyDescent="0.25">
      <c r="A2161" t="str">
        <f>IF(C2161&amp;G2161&amp;D2161&lt;&gt;'Funnel setup'!$K$3&amp;'Funnel setup'!$K$4&amp;'Funnel setup'!$K$6,".",IF(A2160=".",1,A2160+1))</f>
        <v>.</v>
      </c>
      <c r="B2161" s="244" t="str">
        <f t="shared" si="33"/>
        <v>Knee Replacement PrimaryProviderSPIRE MURRAYFIELD HOSPITAL (NT325)EQ VAS</v>
      </c>
      <c r="C2161" t="s">
        <v>969</v>
      </c>
      <c r="D2161" t="s">
        <v>965</v>
      </c>
      <c r="E2161" t="s">
        <v>572</v>
      </c>
      <c r="F2161" t="s">
        <v>573</v>
      </c>
      <c r="G2161" t="s">
        <v>752</v>
      </c>
      <c r="H2161">
        <v>3</v>
      </c>
      <c r="I2161">
        <v>65.333299999999994</v>
      </c>
      <c r="J2161">
        <v>87.333299999999994</v>
      </c>
      <c r="K2161">
        <v>22</v>
      </c>
      <c r="L2161">
        <v>3</v>
      </c>
      <c r="M2161">
        <v>0</v>
      </c>
      <c r="N2161">
        <v>0</v>
      </c>
      <c r="O2161" t="s">
        <v>127</v>
      </c>
      <c r="P2161" t="s">
        <v>127</v>
      </c>
      <c r="Q2161" t="s">
        <v>127</v>
      </c>
    </row>
    <row r="2162" spans="1:17" x14ac:dyDescent="0.25">
      <c r="A2162" t="str">
        <f>IF(C2162&amp;G2162&amp;D2162&lt;&gt;'Funnel setup'!$K$3&amp;'Funnel setup'!$K$4&amp;'Funnel setup'!$K$6,".",IF(A2161=".",1,A2161+1))</f>
        <v>.</v>
      </c>
      <c r="B2162" s="244" t="str">
        <f t="shared" si="33"/>
        <v>Knee Replacement PrimaryProviderSPIRE NOTTINGHAM HOSPITAL (NT30A)EQ VAS</v>
      </c>
      <c r="C2162" t="s">
        <v>969</v>
      </c>
      <c r="D2162" t="s">
        <v>965</v>
      </c>
      <c r="E2162" t="s">
        <v>576</v>
      </c>
      <c r="F2162" t="s">
        <v>577</v>
      </c>
      <c r="G2162" t="s">
        <v>752</v>
      </c>
      <c r="H2162">
        <v>10</v>
      </c>
      <c r="I2162">
        <v>75.3</v>
      </c>
      <c r="J2162">
        <v>80</v>
      </c>
      <c r="K2162">
        <v>4.7</v>
      </c>
      <c r="L2162">
        <v>7</v>
      </c>
      <c r="M2162">
        <v>0</v>
      </c>
      <c r="N2162">
        <v>3</v>
      </c>
      <c r="O2162" t="s">
        <v>127</v>
      </c>
      <c r="P2162" t="s">
        <v>127</v>
      </c>
      <c r="Q2162" t="s">
        <v>127</v>
      </c>
    </row>
    <row r="2163" spans="1:17" x14ac:dyDescent="0.25">
      <c r="A2163" t="str">
        <f>IF(C2163&amp;G2163&amp;D2163&lt;&gt;'Funnel setup'!$K$3&amp;'Funnel setup'!$K$4&amp;'Funnel setup'!$K$6,".",IF(A2162=".",1,A2162+1))</f>
        <v>.</v>
      </c>
      <c r="B2163" s="244" t="str">
        <f t="shared" si="33"/>
        <v>Knee Replacement PrimaryProviderSPIRE PARKWAY HOSPITAL (NT320)EQ VAS</v>
      </c>
      <c r="C2163" t="s">
        <v>969</v>
      </c>
      <c r="D2163" t="s">
        <v>965</v>
      </c>
      <c r="E2163" t="s">
        <v>578</v>
      </c>
      <c r="F2163" t="s">
        <v>579</v>
      </c>
      <c r="G2163" t="s">
        <v>752</v>
      </c>
      <c r="H2163">
        <v>16</v>
      </c>
      <c r="I2163">
        <v>66</v>
      </c>
      <c r="J2163">
        <v>76.875</v>
      </c>
      <c r="K2163">
        <v>10.875</v>
      </c>
      <c r="L2163">
        <v>11</v>
      </c>
      <c r="M2163">
        <v>1</v>
      </c>
      <c r="N2163">
        <v>4</v>
      </c>
      <c r="O2163" t="s">
        <v>127</v>
      </c>
      <c r="P2163" t="s">
        <v>127</v>
      </c>
      <c r="Q2163" t="s">
        <v>127</v>
      </c>
    </row>
    <row r="2164" spans="1:17" x14ac:dyDescent="0.25">
      <c r="A2164" t="str">
        <f>IF(C2164&amp;G2164&amp;D2164&lt;&gt;'Funnel setup'!$K$3&amp;'Funnel setup'!$K$4&amp;'Funnel setup'!$K$6,".",IF(A2163=".",1,A2163+1))</f>
        <v>.</v>
      </c>
      <c r="B2164" s="244" t="str">
        <f t="shared" si="33"/>
        <v>Knee Replacement PrimaryProviderSPIRE PORTSMOUTH HOSPITAL (NT305)EQ VAS</v>
      </c>
      <c r="C2164" t="s">
        <v>969</v>
      </c>
      <c r="D2164" t="s">
        <v>965</v>
      </c>
      <c r="E2164" t="s">
        <v>580</v>
      </c>
      <c r="F2164" t="s">
        <v>581</v>
      </c>
      <c r="G2164" t="s">
        <v>752</v>
      </c>
      <c r="H2164">
        <v>15</v>
      </c>
      <c r="I2164">
        <v>71.2</v>
      </c>
      <c r="J2164">
        <v>69.333299999999994</v>
      </c>
      <c r="K2164">
        <v>-1.8666700000000001</v>
      </c>
      <c r="L2164">
        <v>8</v>
      </c>
      <c r="M2164">
        <v>2</v>
      </c>
      <c r="N2164">
        <v>5</v>
      </c>
      <c r="O2164" t="s">
        <v>127</v>
      </c>
      <c r="P2164" t="s">
        <v>127</v>
      </c>
      <c r="Q2164" t="s">
        <v>127</v>
      </c>
    </row>
    <row r="2165" spans="1:17" x14ac:dyDescent="0.25">
      <c r="A2165" t="str">
        <f>IF(C2165&amp;G2165&amp;D2165&lt;&gt;'Funnel setup'!$K$3&amp;'Funnel setup'!$K$4&amp;'Funnel setup'!$K$6,".",IF(A2164=".",1,A2164+1))</f>
        <v>.</v>
      </c>
      <c r="B2165" s="244" t="str">
        <f t="shared" si="33"/>
        <v>Knee Replacement PrimaryProviderSPIRE REGENCY HOSPITAL (NT339)EQ VAS</v>
      </c>
      <c r="C2165" t="s">
        <v>969</v>
      </c>
      <c r="D2165" t="s">
        <v>965</v>
      </c>
      <c r="E2165" t="s">
        <v>582</v>
      </c>
      <c r="F2165" t="s">
        <v>583</v>
      </c>
      <c r="G2165" t="s">
        <v>752</v>
      </c>
      <c r="H2165">
        <v>43</v>
      </c>
      <c r="I2165">
        <v>73.465100000000007</v>
      </c>
      <c r="J2165">
        <v>77.767399999999995</v>
      </c>
      <c r="K2165">
        <v>4.3023300000000004</v>
      </c>
      <c r="L2165">
        <v>25</v>
      </c>
      <c r="M2165">
        <v>4</v>
      </c>
      <c r="N2165">
        <v>14</v>
      </c>
      <c r="O2165">
        <v>73.208299999999994</v>
      </c>
      <c r="P2165">
        <v>7.6798599999999997</v>
      </c>
      <c r="Q2165">
        <v>14.232900000000001</v>
      </c>
    </row>
    <row r="2166" spans="1:17" x14ac:dyDescent="0.25">
      <c r="A2166" t="str">
        <f>IF(C2166&amp;G2166&amp;D2166&lt;&gt;'Funnel setup'!$K$3&amp;'Funnel setup'!$K$4&amp;'Funnel setup'!$K$6,".",IF(A2165=".",1,A2165+1))</f>
        <v>.</v>
      </c>
      <c r="B2166" s="244" t="str">
        <f t="shared" si="33"/>
        <v>Knee Replacement PrimaryProviderSPIRE SOUTHAMPTON HOSPITAL (NT304)EQ VAS</v>
      </c>
      <c r="C2166" t="s">
        <v>969</v>
      </c>
      <c r="D2166" t="s">
        <v>965</v>
      </c>
      <c r="E2166" t="s">
        <v>586</v>
      </c>
      <c r="F2166" t="s">
        <v>587</v>
      </c>
      <c r="G2166" t="s">
        <v>752</v>
      </c>
      <c r="H2166">
        <v>20</v>
      </c>
      <c r="I2166">
        <v>70.95</v>
      </c>
      <c r="J2166">
        <v>77.7</v>
      </c>
      <c r="K2166">
        <v>6.75</v>
      </c>
      <c r="L2166">
        <v>14</v>
      </c>
      <c r="M2166">
        <v>1</v>
      </c>
      <c r="N2166">
        <v>5</v>
      </c>
      <c r="O2166" t="s">
        <v>127</v>
      </c>
      <c r="P2166" t="s">
        <v>127</v>
      </c>
      <c r="Q2166" t="s">
        <v>127</v>
      </c>
    </row>
    <row r="2167" spans="1:17" x14ac:dyDescent="0.25">
      <c r="A2167" t="str">
        <f>IF(C2167&amp;G2167&amp;D2167&lt;&gt;'Funnel setup'!$K$3&amp;'Funnel setup'!$K$4&amp;'Funnel setup'!$K$6,".",IF(A2166=".",1,A2166+1))</f>
        <v>.</v>
      </c>
      <c r="B2167" s="244" t="str">
        <f t="shared" si="33"/>
        <v>Knee Replacement PrimaryProviderSPIRE ST ANTHONY'S HOSPITAL (NT3X3)EQ VAS</v>
      </c>
      <c r="C2167" t="s">
        <v>969</v>
      </c>
      <c r="D2167" t="s">
        <v>965</v>
      </c>
      <c r="E2167" t="s">
        <v>588</v>
      </c>
      <c r="F2167" t="s">
        <v>589</v>
      </c>
      <c r="G2167" t="s">
        <v>752</v>
      </c>
      <c r="H2167">
        <v>4</v>
      </c>
      <c r="I2167">
        <v>65</v>
      </c>
      <c r="J2167">
        <v>73.75</v>
      </c>
      <c r="K2167">
        <v>8.75</v>
      </c>
      <c r="L2167">
        <v>3</v>
      </c>
      <c r="M2167">
        <v>0</v>
      </c>
      <c r="N2167">
        <v>1</v>
      </c>
      <c r="O2167" t="s">
        <v>127</v>
      </c>
      <c r="P2167" t="s">
        <v>127</v>
      </c>
      <c r="Q2167" t="s">
        <v>127</v>
      </c>
    </row>
    <row r="2168" spans="1:17" x14ac:dyDescent="0.25">
      <c r="A2168" t="str">
        <f>IF(C2168&amp;G2168&amp;D2168&lt;&gt;'Funnel setup'!$K$3&amp;'Funnel setup'!$K$4&amp;'Funnel setup'!$K$6,".",IF(A2167=".",1,A2167+1))</f>
        <v>.</v>
      </c>
      <c r="B2168" s="244" t="str">
        <f t="shared" si="33"/>
        <v>Knee Replacement PrimaryProviderSPIRE SUSSEX HOSPITAL (NT309)EQ VAS</v>
      </c>
      <c r="C2168" t="s">
        <v>969</v>
      </c>
      <c r="D2168" t="s">
        <v>965</v>
      </c>
      <c r="E2168" t="s">
        <v>590</v>
      </c>
      <c r="F2168" t="s">
        <v>591</v>
      </c>
      <c r="G2168" t="s">
        <v>752</v>
      </c>
      <c r="H2168">
        <v>24</v>
      </c>
      <c r="I2168">
        <v>71.208299999999994</v>
      </c>
      <c r="J2168">
        <v>77.25</v>
      </c>
      <c r="K2168">
        <v>6.0416699999999999</v>
      </c>
      <c r="L2168">
        <v>16</v>
      </c>
      <c r="M2168">
        <v>1</v>
      </c>
      <c r="N2168">
        <v>7</v>
      </c>
      <c r="O2168" t="s">
        <v>127</v>
      </c>
      <c r="P2168" t="s">
        <v>127</v>
      </c>
      <c r="Q2168" t="s">
        <v>127</v>
      </c>
    </row>
    <row r="2169" spans="1:17" x14ac:dyDescent="0.25">
      <c r="A2169" t="str">
        <f>IF(C2169&amp;G2169&amp;D2169&lt;&gt;'Funnel setup'!$K$3&amp;'Funnel setup'!$K$4&amp;'Funnel setup'!$K$6,".",IF(A2168=".",1,A2168+1))</f>
        <v>.</v>
      </c>
      <c r="B2169" s="244" t="str">
        <f t="shared" si="33"/>
        <v>Knee Replacement PrimaryProviderSPIRE THAMES VALLEY HOSPITAL (NT343)EQ VAS</v>
      </c>
      <c r="C2169" t="s">
        <v>969</v>
      </c>
      <c r="D2169" t="s">
        <v>965</v>
      </c>
      <c r="E2169" t="s">
        <v>592</v>
      </c>
      <c r="F2169" t="s">
        <v>593</v>
      </c>
      <c r="G2169" t="s">
        <v>752</v>
      </c>
      <c r="H2169">
        <v>1</v>
      </c>
      <c r="I2169">
        <v>75</v>
      </c>
      <c r="J2169">
        <v>81</v>
      </c>
      <c r="K2169">
        <v>6</v>
      </c>
      <c r="L2169">
        <v>1</v>
      </c>
      <c r="M2169">
        <v>0</v>
      </c>
      <c r="N2169">
        <v>0</v>
      </c>
      <c r="O2169" t="s">
        <v>127</v>
      </c>
      <c r="P2169" t="s">
        <v>127</v>
      </c>
      <c r="Q2169" t="s">
        <v>127</v>
      </c>
    </row>
    <row r="2170" spans="1:17" x14ac:dyDescent="0.25">
      <c r="A2170" t="str">
        <f>IF(C2170&amp;G2170&amp;D2170&lt;&gt;'Funnel setup'!$K$3&amp;'Funnel setup'!$K$4&amp;'Funnel setup'!$K$6,".",IF(A2169=".",1,A2169+1))</f>
        <v>.</v>
      </c>
      <c r="B2170" s="244" t="str">
        <f t="shared" si="33"/>
        <v>Knee Replacement PrimaryProviderSPIRE TUNBRIDGE WELLS HOSPITAL (NT310)EQ VAS</v>
      </c>
      <c r="C2170" t="s">
        <v>969</v>
      </c>
      <c r="D2170" t="s">
        <v>965</v>
      </c>
      <c r="E2170" t="s">
        <v>594</v>
      </c>
      <c r="F2170" t="s">
        <v>595</v>
      </c>
      <c r="G2170" t="s">
        <v>752</v>
      </c>
      <c r="H2170">
        <v>1</v>
      </c>
      <c r="I2170">
        <v>60</v>
      </c>
      <c r="J2170">
        <v>74</v>
      </c>
      <c r="K2170">
        <v>14</v>
      </c>
      <c r="L2170">
        <v>1</v>
      </c>
      <c r="M2170">
        <v>0</v>
      </c>
      <c r="N2170">
        <v>0</v>
      </c>
      <c r="O2170" t="s">
        <v>127</v>
      </c>
      <c r="P2170" t="s">
        <v>127</v>
      </c>
      <c r="Q2170" t="s">
        <v>127</v>
      </c>
    </row>
    <row r="2171" spans="1:17" x14ac:dyDescent="0.25">
      <c r="A2171" t="str">
        <f>IF(C2171&amp;G2171&amp;D2171&lt;&gt;'Funnel setup'!$K$3&amp;'Funnel setup'!$K$4&amp;'Funnel setup'!$K$6,".",IF(A2170=".",1,A2170+1))</f>
        <v>.</v>
      </c>
      <c r="B2171" s="244" t="str">
        <f t="shared" si="33"/>
        <v>Knee Replacement PrimaryProviderSPIRE WASHINGTON HOSPITAL (NT333)EQ VAS</v>
      </c>
      <c r="C2171" t="s">
        <v>969</v>
      </c>
      <c r="D2171" t="s">
        <v>965</v>
      </c>
      <c r="E2171" t="s">
        <v>596</v>
      </c>
      <c r="F2171" t="s">
        <v>597</v>
      </c>
      <c r="G2171" t="s">
        <v>752</v>
      </c>
      <c r="H2171">
        <v>101</v>
      </c>
      <c r="I2171">
        <v>71.653499999999994</v>
      </c>
      <c r="J2171">
        <v>77.019800000000004</v>
      </c>
      <c r="K2171">
        <v>5.3663400000000001</v>
      </c>
      <c r="L2171">
        <v>62</v>
      </c>
      <c r="M2171">
        <v>7</v>
      </c>
      <c r="N2171">
        <v>32</v>
      </c>
      <c r="O2171">
        <v>74.893199999999993</v>
      </c>
      <c r="P2171">
        <v>9.3648199999999999</v>
      </c>
      <c r="Q2171">
        <v>13.011100000000001</v>
      </c>
    </row>
    <row r="2172" spans="1:17" x14ac:dyDescent="0.25">
      <c r="A2172" t="str">
        <f>IF(C2172&amp;G2172&amp;D2172&lt;&gt;'Funnel setup'!$K$3&amp;'Funnel setup'!$K$4&amp;'Funnel setup'!$K$6,".",IF(A2171=".",1,A2171+1))</f>
        <v>.</v>
      </c>
      <c r="B2172" s="244" t="str">
        <f t="shared" si="33"/>
        <v>Knee Replacement PrimaryProviderSPRINGFIELD HOSPITAL (NVC18)EQ VAS</v>
      </c>
      <c r="C2172" t="s">
        <v>969</v>
      </c>
      <c r="D2172" t="s">
        <v>965</v>
      </c>
      <c r="E2172" t="s">
        <v>602</v>
      </c>
      <c r="F2172" t="s">
        <v>603</v>
      </c>
      <c r="G2172" t="s">
        <v>752</v>
      </c>
      <c r="H2172">
        <v>87</v>
      </c>
      <c r="I2172">
        <v>70.046000000000006</v>
      </c>
      <c r="J2172">
        <v>77.885099999999994</v>
      </c>
      <c r="K2172">
        <v>7.83908</v>
      </c>
      <c r="L2172">
        <v>57</v>
      </c>
      <c r="M2172">
        <v>8</v>
      </c>
      <c r="N2172">
        <v>22</v>
      </c>
      <c r="O2172">
        <v>74.976399999999998</v>
      </c>
      <c r="P2172">
        <v>9.4479699999999998</v>
      </c>
      <c r="Q2172">
        <v>14.879</v>
      </c>
    </row>
    <row r="2173" spans="1:17" x14ac:dyDescent="0.25">
      <c r="A2173" t="str">
        <f>IF(C2173&amp;G2173&amp;D2173&lt;&gt;'Funnel setup'!$K$3&amp;'Funnel setup'!$K$4&amp;'Funnel setup'!$K$6,".",IF(A2172=".",1,A2172+1))</f>
        <v>.</v>
      </c>
      <c r="B2173" s="244" t="str">
        <f t="shared" si="33"/>
        <v>Knee Replacement PrimaryProviderST EDMUNDS HOSPITAL (NT446)EQ VAS</v>
      </c>
      <c r="C2173" t="s">
        <v>969</v>
      </c>
      <c r="D2173" t="s">
        <v>965</v>
      </c>
      <c r="E2173" t="s">
        <v>604</v>
      </c>
      <c r="F2173" t="s">
        <v>605</v>
      </c>
      <c r="G2173" t="s">
        <v>752</v>
      </c>
      <c r="H2173">
        <v>24</v>
      </c>
      <c r="I2173">
        <v>70.583299999999994</v>
      </c>
      <c r="J2173">
        <v>79.041700000000006</v>
      </c>
      <c r="K2173">
        <v>8.4583300000000001</v>
      </c>
      <c r="L2173">
        <v>18</v>
      </c>
      <c r="M2173">
        <v>2</v>
      </c>
      <c r="N2173">
        <v>4</v>
      </c>
      <c r="O2173" t="s">
        <v>127</v>
      </c>
      <c r="P2173" t="s">
        <v>127</v>
      </c>
      <c r="Q2173" t="s">
        <v>127</v>
      </c>
    </row>
    <row r="2174" spans="1:17" x14ac:dyDescent="0.25">
      <c r="A2174" t="str">
        <f>IF(C2174&amp;G2174&amp;D2174&lt;&gt;'Funnel setup'!$K$3&amp;'Funnel setup'!$K$4&amp;'Funnel setup'!$K$6,".",IF(A2173=".",1,A2173+1))</f>
        <v>.</v>
      </c>
      <c r="B2174" s="244" t="str">
        <f t="shared" si="33"/>
        <v>Knee Replacement PrimaryProviderST HELENS AND KNOWSLEY TEACHING HOSPITALS NHS TRUST (RBN)EQ VAS</v>
      </c>
      <c r="C2174" t="s">
        <v>969</v>
      </c>
      <c r="D2174" t="s">
        <v>965</v>
      </c>
      <c r="E2174" t="s">
        <v>608</v>
      </c>
      <c r="F2174" t="s">
        <v>609</v>
      </c>
      <c r="G2174" t="s">
        <v>752</v>
      </c>
      <c r="H2174">
        <v>59</v>
      </c>
      <c r="I2174">
        <v>67.271199999999993</v>
      </c>
      <c r="J2174">
        <v>71.254199999999997</v>
      </c>
      <c r="K2174">
        <v>3.98305</v>
      </c>
      <c r="L2174">
        <v>31</v>
      </c>
      <c r="M2174">
        <v>9</v>
      </c>
      <c r="N2174">
        <v>19</v>
      </c>
      <c r="O2174">
        <v>73.064999999999998</v>
      </c>
      <c r="P2174">
        <v>7.5366299999999997</v>
      </c>
      <c r="Q2174">
        <v>20.305499999999999</v>
      </c>
    </row>
    <row r="2175" spans="1:17" x14ac:dyDescent="0.25">
      <c r="A2175" t="str">
        <f>IF(C2175&amp;G2175&amp;D2175&lt;&gt;'Funnel setup'!$K$3&amp;'Funnel setup'!$K$4&amp;'Funnel setup'!$K$6,".",IF(A2174=".",1,A2174+1))</f>
        <v>.</v>
      </c>
      <c r="B2175" s="244" t="str">
        <f t="shared" si="33"/>
        <v>Knee Replacement PrimaryProviderST HUGH'S HOSPITAL (NTE02)EQ VAS</v>
      </c>
      <c r="C2175" t="s">
        <v>969</v>
      </c>
      <c r="D2175" t="s">
        <v>965</v>
      </c>
      <c r="E2175" t="s">
        <v>610</v>
      </c>
      <c r="F2175" t="s">
        <v>611</v>
      </c>
      <c r="G2175" t="s">
        <v>752</v>
      </c>
      <c r="H2175">
        <v>108</v>
      </c>
      <c r="I2175">
        <v>70.916700000000006</v>
      </c>
      <c r="J2175">
        <v>74.018500000000003</v>
      </c>
      <c r="K2175">
        <v>3.1018500000000002</v>
      </c>
      <c r="L2175">
        <v>58</v>
      </c>
      <c r="M2175">
        <v>17</v>
      </c>
      <c r="N2175">
        <v>33</v>
      </c>
      <c r="O2175">
        <v>71.102199999999996</v>
      </c>
      <c r="P2175">
        <v>5.5737800000000002</v>
      </c>
      <c r="Q2175">
        <v>18.959499999999998</v>
      </c>
    </row>
    <row r="2176" spans="1:17" x14ac:dyDescent="0.25">
      <c r="A2176" t="str">
        <f>IF(C2176&amp;G2176&amp;D2176&lt;&gt;'Funnel setup'!$K$3&amp;'Funnel setup'!$K$4&amp;'Funnel setup'!$K$6,".",IF(A2175=".",1,A2175+1))</f>
        <v>.</v>
      </c>
      <c r="B2176" s="244" t="str">
        <f t="shared" si="33"/>
        <v>Knee Replacement PrimaryProviderSTOCKPORT NHS FOUNDATION TRUST (RWJ)EQ VAS</v>
      </c>
      <c r="C2176" t="s">
        <v>969</v>
      </c>
      <c r="D2176" t="s">
        <v>965</v>
      </c>
      <c r="E2176" t="s">
        <v>614</v>
      </c>
      <c r="F2176" t="s">
        <v>615</v>
      </c>
      <c r="G2176" t="s">
        <v>752</v>
      </c>
      <c r="H2176">
        <v>23</v>
      </c>
      <c r="I2176">
        <v>72.087000000000003</v>
      </c>
      <c r="J2176">
        <v>80</v>
      </c>
      <c r="K2176">
        <v>7.9130399999999996</v>
      </c>
      <c r="L2176">
        <v>13</v>
      </c>
      <c r="M2176">
        <v>1</v>
      </c>
      <c r="N2176">
        <v>9</v>
      </c>
      <c r="O2176" t="s">
        <v>127</v>
      </c>
      <c r="P2176" t="s">
        <v>127</v>
      </c>
      <c r="Q2176" t="s">
        <v>127</v>
      </c>
    </row>
    <row r="2177" spans="1:17" x14ac:dyDescent="0.25">
      <c r="A2177" t="str">
        <f>IF(C2177&amp;G2177&amp;D2177&lt;&gt;'Funnel setup'!$K$3&amp;'Funnel setup'!$K$4&amp;'Funnel setup'!$K$6,".",IF(A2176=".",1,A2176+1))</f>
        <v>.</v>
      </c>
      <c r="B2177" s="244" t="str">
        <f t="shared" si="33"/>
        <v>Knee Replacement PrimaryProviderSURREY AND SUSSEX HEALTHCARE NHS TRUST (RTP)EQ VAS</v>
      </c>
      <c r="C2177" t="s">
        <v>969</v>
      </c>
      <c r="D2177" t="s">
        <v>965</v>
      </c>
      <c r="E2177" t="s">
        <v>618</v>
      </c>
      <c r="F2177" t="s">
        <v>619</v>
      </c>
      <c r="G2177" t="s">
        <v>752</v>
      </c>
      <c r="H2177">
        <v>30</v>
      </c>
      <c r="I2177">
        <v>66.5</v>
      </c>
      <c r="J2177">
        <v>75.166700000000006</v>
      </c>
      <c r="K2177">
        <v>8.6666699999999999</v>
      </c>
      <c r="L2177">
        <v>20</v>
      </c>
      <c r="M2177">
        <v>1</v>
      </c>
      <c r="N2177">
        <v>9</v>
      </c>
      <c r="O2177">
        <v>75.678899999999999</v>
      </c>
      <c r="P2177">
        <v>10.150499999999999</v>
      </c>
      <c r="Q2177">
        <v>13.039199999999999</v>
      </c>
    </row>
    <row r="2178" spans="1:17" x14ac:dyDescent="0.25">
      <c r="A2178" t="str">
        <f>IF(C2178&amp;G2178&amp;D2178&lt;&gt;'Funnel setup'!$K$3&amp;'Funnel setup'!$K$4&amp;'Funnel setup'!$K$6,".",IF(A2177=".",1,A2177+1))</f>
        <v>.</v>
      </c>
      <c r="B2178" s="244" t="str">
        <f t="shared" ref="B2178:B2241" si="34">C2178&amp;D2178&amp;F2178&amp;G2178</f>
        <v>Knee Replacement PrimaryProviderTEES VALLEY HOSPITAL (NVC0R)EQ VAS</v>
      </c>
      <c r="C2178" t="s">
        <v>969</v>
      </c>
      <c r="D2178" t="s">
        <v>965</v>
      </c>
      <c r="E2178" t="s">
        <v>624</v>
      </c>
      <c r="F2178" t="s">
        <v>625</v>
      </c>
      <c r="G2178" t="s">
        <v>752</v>
      </c>
      <c r="H2178">
        <v>46</v>
      </c>
      <c r="I2178">
        <v>70.782600000000002</v>
      </c>
      <c r="J2178">
        <v>77.326099999999997</v>
      </c>
      <c r="K2178">
        <v>6.5434799999999997</v>
      </c>
      <c r="L2178">
        <v>31</v>
      </c>
      <c r="M2178">
        <v>3</v>
      </c>
      <c r="N2178">
        <v>12</v>
      </c>
      <c r="O2178">
        <v>75.137699999999995</v>
      </c>
      <c r="P2178">
        <v>9.6093100000000007</v>
      </c>
      <c r="Q2178">
        <v>16.164899999999999</v>
      </c>
    </row>
    <row r="2179" spans="1:17" x14ac:dyDescent="0.25">
      <c r="A2179" t="str">
        <f>IF(C2179&amp;G2179&amp;D2179&lt;&gt;'Funnel setup'!$K$3&amp;'Funnel setup'!$K$4&amp;'Funnel setup'!$K$6,".",IF(A2178=".",1,A2178+1))</f>
        <v>.</v>
      </c>
      <c r="B2179" s="244" t="str">
        <f t="shared" si="34"/>
        <v>Knee Replacement PrimaryProviderTHE BERKSHIRE INDEPENDENT HOSPITAL (NVC02)EQ VAS</v>
      </c>
      <c r="C2179" t="s">
        <v>969</v>
      </c>
      <c r="D2179" t="s">
        <v>965</v>
      </c>
      <c r="E2179" t="s">
        <v>626</v>
      </c>
      <c r="F2179" t="s">
        <v>627</v>
      </c>
      <c r="G2179" t="s">
        <v>752</v>
      </c>
      <c r="H2179">
        <v>12</v>
      </c>
      <c r="I2179">
        <v>77.333299999999994</v>
      </c>
      <c r="J2179">
        <v>82.083299999999994</v>
      </c>
      <c r="K2179">
        <v>4.75</v>
      </c>
      <c r="L2179">
        <v>6</v>
      </c>
      <c r="M2179">
        <v>3</v>
      </c>
      <c r="N2179">
        <v>3</v>
      </c>
      <c r="O2179" t="s">
        <v>127</v>
      </c>
      <c r="P2179" t="s">
        <v>127</v>
      </c>
      <c r="Q2179" t="s">
        <v>127</v>
      </c>
    </row>
    <row r="2180" spans="1:17" x14ac:dyDescent="0.25">
      <c r="A2180" t="str">
        <f>IF(C2180&amp;G2180&amp;D2180&lt;&gt;'Funnel setup'!$K$3&amp;'Funnel setup'!$K$4&amp;'Funnel setup'!$K$6,".",IF(A2179=".",1,A2179+1))</f>
        <v>.</v>
      </c>
      <c r="B2180" s="244" t="str">
        <f t="shared" si="34"/>
        <v>Knee Replacement PrimaryProviderTHE CHERWELL HOSPITAL (NVC25)EQ VAS</v>
      </c>
      <c r="C2180" t="s">
        <v>969</v>
      </c>
      <c r="D2180" t="s">
        <v>965</v>
      </c>
      <c r="E2180" t="s">
        <v>628</v>
      </c>
      <c r="F2180" t="s">
        <v>629</v>
      </c>
      <c r="G2180" t="s">
        <v>752</v>
      </c>
      <c r="H2180">
        <v>240</v>
      </c>
      <c r="I2180">
        <v>68.433300000000003</v>
      </c>
      <c r="J2180">
        <v>75.620800000000003</v>
      </c>
      <c r="K2180">
        <v>7.1875</v>
      </c>
      <c r="L2180">
        <v>140</v>
      </c>
      <c r="M2180">
        <v>35</v>
      </c>
      <c r="N2180">
        <v>65</v>
      </c>
      <c r="O2180">
        <v>73.713300000000004</v>
      </c>
      <c r="P2180">
        <v>8.1848600000000005</v>
      </c>
      <c r="Q2180">
        <v>15.686500000000001</v>
      </c>
    </row>
    <row r="2181" spans="1:17" x14ac:dyDescent="0.25">
      <c r="A2181" t="str">
        <f>IF(C2181&amp;G2181&amp;D2181&lt;&gt;'Funnel setup'!$K$3&amp;'Funnel setup'!$K$4&amp;'Funnel setup'!$K$6,".",IF(A2180=".",1,A2180+1))</f>
        <v>.</v>
      </c>
      <c r="B2181" s="244" t="str">
        <f t="shared" si="34"/>
        <v>Knee Replacement PrimaryProviderTHE DUDLEY GROUP NHS FOUNDATION TRUST (RNA)EQ VAS</v>
      </c>
      <c r="C2181" t="s">
        <v>969</v>
      </c>
      <c r="D2181" t="s">
        <v>965</v>
      </c>
      <c r="E2181" t="s">
        <v>630</v>
      </c>
      <c r="F2181" t="s">
        <v>631</v>
      </c>
      <c r="G2181" t="s">
        <v>752</v>
      </c>
      <c r="H2181">
        <v>1</v>
      </c>
      <c r="I2181">
        <v>80</v>
      </c>
      <c r="J2181">
        <v>80</v>
      </c>
      <c r="K2181">
        <v>0</v>
      </c>
      <c r="L2181">
        <v>0</v>
      </c>
      <c r="M2181">
        <v>1</v>
      </c>
      <c r="N2181">
        <v>0</v>
      </c>
      <c r="O2181" t="s">
        <v>127</v>
      </c>
      <c r="P2181" t="s">
        <v>127</v>
      </c>
      <c r="Q2181" t="s">
        <v>127</v>
      </c>
    </row>
    <row r="2182" spans="1:17" x14ac:dyDescent="0.25">
      <c r="A2182" t="str">
        <f>IF(C2182&amp;G2182&amp;D2182&lt;&gt;'Funnel setup'!$K$3&amp;'Funnel setup'!$K$4&amp;'Funnel setup'!$K$6,".",IF(A2181=".",1,A2181+1))</f>
        <v>.</v>
      </c>
      <c r="B2182" s="244" t="str">
        <f t="shared" si="34"/>
        <v>Knee Replacement PrimaryProviderTHE HILLINGDON HOSPITALS NHS FOUNDATION TRUST (RAS)EQ VAS</v>
      </c>
      <c r="C2182" t="s">
        <v>969</v>
      </c>
      <c r="D2182" t="s">
        <v>965</v>
      </c>
      <c r="E2182" t="s">
        <v>632</v>
      </c>
      <c r="F2182" t="s">
        <v>633</v>
      </c>
      <c r="G2182" t="s">
        <v>752</v>
      </c>
      <c r="H2182">
        <v>105</v>
      </c>
      <c r="I2182">
        <v>63.1143</v>
      </c>
      <c r="J2182">
        <v>69.8857</v>
      </c>
      <c r="K2182">
        <v>6.7714299999999996</v>
      </c>
      <c r="L2182">
        <v>60</v>
      </c>
      <c r="M2182">
        <v>14</v>
      </c>
      <c r="N2182">
        <v>31</v>
      </c>
      <c r="O2182">
        <v>70.441100000000006</v>
      </c>
      <c r="P2182">
        <v>4.9126799999999999</v>
      </c>
      <c r="Q2182">
        <v>17.5288</v>
      </c>
    </row>
    <row r="2183" spans="1:17" x14ac:dyDescent="0.25">
      <c r="A2183" t="str">
        <f>IF(C2183&amp;G2183&amp;D2183&lt;&gt;'Funnel setup'!$K$3&amp;'Funnel setup'!$K$4&amp;'Funnel setup'!$K$6,".",IF(A2182=".",1,A2182+1))</f>
        <v>.</v>
      </c>
      <c r="B2183" s="244" t="str">
        <f t="shared" si="34"/>
        <v>Knee Replacement PrimaryProviderTHE HORDER CENTRE - ST JOHNS ROAD (NXM01)EQ VAS</v>
      </c>
      <c r="C2183" t="s">
        <v>969</v>
      </c>
      <c r="D2183" t="s">
        <v>965</v>
      </c>
      <c r="E2183" t="s">
        <v>634</v>
      </c>
      <c r="F2183" t="s">
        <v>635</v>
      </c>
      <c r="G2183" t="s">
        <v>752</v>
      </c>
      <c r="H2183">
        <v>240</v>
      </c>
      <c r="I2183">
        <v>70.587500000000006</v>
      </c>
      <c r="J2183">
        <v>79.05</v>
      </c>
      <c r="K2183">
        <v>8.4625000000000004</v>
      </c>
      <c r="L2183">
        <v>148</v>
      </c>
      <c r="M2183">
        <v>30</v>
      </c>
      <c r="N2183">
        <v>62</v>
      </c>
      <c r="O2183">
        <v>76.182400000000001</v>
      </c>
      <c r="P2183">
        <v>10.654</v>
      </c>
      <c r="Q2183">
        <v>14.8034</v>
      </c>
    </row>
    <row r="2184" spans="1:17" x14ac:dyDescent="0.25">
      <c r="A2184" t="str">
        <f>IF(C2184&amp;G2184&amp;D2184&lt;&gt;'Funnel setup'!$K$3&amp;'Funnel setup'!$K$4&amp;'Funnel setup'!$K$6,".",IF(A2183=".",1,A2183+1))</f>
        <v>.</v>
      </c>
      <c r="B2184" s="244" t="str">
        <f t="shared" si="34"/>
        <v>Knee Replacement PrimaryProviderTHE NEWCASTLE UPON TYNE HOSPITALS NHS FOUNDATION TRUST (RTD)EQ VAS</v>
      </c>
      <c r="C2184" t="s">
        <v>969</v>
      </c>
      <c r="D2184" t="s">
        <v>965</v>
      </c>
      <c r="E2184" t="s">
        <v>638</v>
      </c>
      <c r="F2184" t="s">
        <v>639</v>
      </c>
      <c r="G2184" t="s">
        <v>752</v>
      </c>
      <c r="H2184">
        <v>26</v>
      </c>
      <c r="I2184">
        <v>56.961500000000001</v>
      </c>
      <c r="J2184">
        <v>74.692300000000003</v>
      </c>
      <c r="K2184">
        <v>17.730799999999999</v>
      </c>
      <c r="L2184">
        <v>20</v>
      </c>
      <c r="M2184">
        <v>2</v>
      </c>
      <c r="N2184">
        <v>4</v>
      </c>
      <c r="O2184" t="s">
        <v>127</v>
      </c>
      <c r="P2184" t="s">
        <v>127</v>
      </c>
      <c r="Q2184" t="s">
        <v>127</v>
      </c>
    </row>
    <row r="2185" spans="1:17" x14ac:dyDescent="0.25">
      <c r="A2185" t="str">
        <f>IF(C2185&amp;G2185&amp;D2185&lt;&gt;'Funnel setup'!$K$3&amp;'Funnel setup'!$K$4&amp;'Funnel setup'!$K$6,".",IF(A2184=".",1,A2184+1))</f>
        <v>.</v>
      </c>
      <c r="B2185" s="244" t="str">
        <f t="shared" si="34"/>
        <v>Knee Replacement PrimaryProviderTHE PRINCESS ALEXANDRA HOSPITAL NHS TRUST (RQW)EQ VAS</v>
      </c>
      <c r="C2185" t="s">
        <v>969</v>
      </c>
      <c r="D2185" t="s">
        <v>965</v>
      </c>
      <c r="E2185" t="s">
        <v>640</v>
      </c>
      <c r="F2185" t="s">
        <v>641</v>
      </c>
      <c r="G2185" t="s">
        <v>752</v>
      </c>
      <c r="H2185">
        <v>27</v>
      </c>
      <c r="I2185">
        <v>55.259300000000003</v>
      </c>
      <c r="J2185">
        <v>63.740699999999997</v>
      </c>
      <c r="K2185">
        <v>8.4814799999999995</v>
      </c>
      <c r="L2185">
        <v>16</v>
      </c>
      <c r="M2185">
        <v>3</v>
      </c>
      <c r="N2185">
        <v>8</v>
      </c>
      <c r="O2185" t="s">
        <v>127</v>
      </c>
      <c r="P2185" t="s">
        <v>127</v>
      </c>
      <c r="Q2185" t="s">
        <v>127</v>
      </c>
    </row>
    <row r="2186" spans="1:17" x14ac:dyDescent="0.25">
      <c r="A2186" t="str">
        <f>IF(C2186&amp;G2186&amp;D2186&lt;&gt;'Funnel setup'!$K$3&amp;'Funnel setup'!$K$4&amp;'Funnel setup'!$K$6,".",IF(A2185=".",1,A2185+1))</f>
        <v>.</v>
      </c>
      <c r="B2186" s="244" t="str">
        <f t="shared" si="34"/>
        <v>Knee Replacement PrimaryProviderTHE QUEEN ELIZABETH HOSPITAL, KING'S LYNN, NHS FOUNDATION TRUST (RCX)EQ VAS</v>
      </c>
      <c r="C2186" t="s">
        <v>969</v>
      </c>
      <c r="D2186" t="s">
        <v>965</v>
      </c>
      <c r="E2186" t="s">
        <v>644</v>
      </c>
      <c r="F2186" t="s">
        <v>645</v>
      </c>
      <c r="G2186" t="s">
        <v>752</v>
      </c>
      <c r="H2186">
        <v>75</v>
      </c>
      <c r="I2186">
        <v>63.253300000000003</v>
      </c>
      <c r="J2186">
        <v>72.88</v>
      </c>
      <c r="K2186">
        <v>9.6266700000000007</v>
      </c>
      <c r="L2186">
        <v>44</v>
      </c>
      <c r="M2186">
        <v>9</v>
      </c>
      <c r="N2186">
        <v>22</v>
      </c>
      <c r="O2186">
        <v>74.175700000000006</v>
      </c>
      <c r="P2186">
        <v>8.6472499999999997</v>
      </c>
      <c r="Q2186">
        <v>17.229199999999999</v>
      </c>
    </row>
    <row r="2187" spans="1:17" x14ac:dyDescent="0.25">
      <c r="A2187" t="str">
        <f>IF(C2187&amp;G2187&amp;D2187&lt;&gt;'Funnel setup'!$K$3&amp;'Funnel setup'!$K$4&amp;'Funnel setup'!$K$6,".",IF(A2186=".",1,A2186+1))</f>
        <v>.</v>
      </c>
      <c r="B2187" s="244" t="str">
        <f t="shared" si="34"/>
        <v>Knee Replacement PrimaryProviderTHE ROBERT JONES AND AGNES HUNT ORTHOPAEDIC HOSPITAL NHS FOUNDATION TRUST (RL1)EQ VAS</v>
      </c>
      <c r="C2187" t="s">
        <v>969</v>
      </c>
      <c r="D2187" t="s">
        <v>965</v>
      </c>
      <c r="E2187" t="s">
        <v>646</v>
      </c>
      <c r="F2187" t="s">
        <v>647</v>
      </c>
      <c r="G2187" t="s">
        <v>752</v>
      </c>
      <c r="H2187">
        <v>290</v>
      </c>
      <c r="I2187">
        <v>61.382800000000003</v>
      </c>
      <c r="J2187">
        <v>75.041399999999996</v>
      </c>
      <c r="K2187">
        <v>13.6586</v>
      </c>
      <c r="L2187">
        <v>210</v>
      </c>
      <c r="M2187">
        <v>23</v>
      </c>
      <c r="N2187">
        <v>57</v>
      </c>
      <c r="O2187">
        <v>76.590199999999996</v>
      </c>
      <c r="P2187">
        <v>11.0618</v>
      </c>
      <c r="Q2187">
        <v>15.0472</v>
      </c>
    </row>
    <row r="2188" spans="1:17" x14ac:dyDescent="0.25">
      <c r="A2188" t="str">
        <f>IF(C2188&amp;G2188&amp;D2188&lt;&gt;'Funnel setup'!$K$3&amp;'Funnel setup'!$K$4&amp;'Funnel setup'!$K$6,".",IF(A2187=".",1,A2187+1))</f>
        <v>.</v>
      </c>
      <c r="B2188" s="244" t="str">
        <f t="shared" si="34"/>
        <v>Knee Replacement PrimaryProviderTHE ROTHERHAM NHS FOUNDATION TRUST (RFR)EQ VAS</v>
      </c>
      <c r="C2188" t="s">
        <v>969</v>
      </c>
      <c r="D2188" t="s">
        <v>965</v>
      </c>
      <c r="E2188" t="s">
        <v>648</v>
      </c>
      <c r="F2188" t="s">
        <v>649</v>
      </c>
      <c r="G2188" t="s">
        <v>752</v>
      </c>
      <c r="H2188">
        <v>26</v>
      </c>
      <c r="I2188">
        <v>64.807699999999997</v>
      </c>
      <c r="J2188">
        <v>73.807699999999997</v>
      </c>
      <c r="K2188">
        <v>9</v>
      </c>
      <c r="L2188">
        <v>16</v>
      </c>
      <c r="M2188">
        <v>3</v>
      </c>
      <c r="N2188">
        <v>7</v>
      </c>
      <c r="O2188" t="s">
        <v>127</v>
      </c>
      <c r="P2188" t="s">
        <v>127</v>
      </c>
      <c r="Q2188" t="s">
        <v>127</v>
      </c>
    </row>
    <row r="2189" spans="1:17" x14ac:dyDescent="0.25">
      <c r="A2189" t="str">
        <f>IF(C2189&amp;G2189&amp;D2189&lt;&gt;'Funnel setup'!$K$3&amp;'Funnel setup'!$K$4&amp;'Funnel setup'!$K$6,".",IF(A2188=".",1,A2188+1))</f>
        <v>.</v>
      </c>
      <c r="B2189" s="244" t="str">
        <f t="shared" si="34"/>
        <v>Knee Replacement PrimaryProviderTHE ROYAL ORTHOPAEDIC HOSPITAL NHS FOUNDATION TRUST (RRJ)EQ VAS</v>
      </c>
      <c r="C2189" t="s">
        <v>969</v>
      </c>
      <c r="D2189" t="s">
        <v>965</v>
      </c>
      <c r="E2189" t="s">
        <v>652</v>
      </c>
      <c r="F2189" t="s">
        <v>653</v>
      </c>
      <c r="G2189" t="s">
        <v>752</v>
      </c>
      <c r="H2189">
        <v>388</v>
      </c>
      <c r="I2189">
        <v>65.030900000000003</v>
      </c>
      <c r="J2189">
        <v>71.832499999999996</v>
      </c>
      <c r="K2189">
        <v>6.8015499999999998</v>
      </c>
      <c r="L2189">
        <v>220</v>
      </c>
      <c r="M2189">
        <v>39</v>
      </c>
      <c r="N2189">
        <v>129</v>
      </c>
      <c r="O2189">
        <v>72.544200000000004</v>
      </c>
      <c r="P2189">
        <v>7.0158399999999999</v>
      </c>
      <c r="Q2189">
        <v>17.7194</v>
      </c>
    </row>
    <row r="2190" spans="1:17" x14ac:dyDescent="0.25">
      <c r="A2190" t="str">
        <f>IF(C2190&amp;G2190&amp;D2190&lt;&gt;'Funnel setup'!$K$3&amp;'Funnel setup'!$K$4&amp;'Funnel setup'!$K$6,".",IF(A2189=".",1,A2189+1))</f>
        <v>.</v>
      </c>
      <c r="B2190" s="244" t="str">
        <f t="shared" si="34"/>
        <v>Knee Replacement PrimaryProviderTHE ROYAL WOLVERHAMPTON NHS TRUST (RL4)EQ VAS</v>
      </c>
      <c r="C2190" t="s">
        <v>969</v>
      </c>
      <c r="D2190" t="s">
        <v>965</v>
      </c>
      <c r="E2190" t="s">
        <v>654</v>
      </c>
      <c r="F2190" t="s">
        <v>655</v>
      </c>
      <c r="G2190" t="s">
        <v>752</v>
      </c>
      <c r="H2190">
        <v>19</v>
      </c>
      <c r="I2190">
        <v>66.263199999999998</v>
      </c>
      <c r="J2190">
        <v>76.473699999999994</v>
      </c>
      <c r="K2190">
        <v>10.2105</v>
      </c>
      <c r="L2190">
        <v>15</v>
      </c>
      <c r="M2190">
        <v>0</v>
      </c>
      <c r="N2190">
        <v>4</v>
      </c>
      <c r="O2190" t="s">
        <v>127</v>
      </c>
      <c r="P2190" t="s">
        <v>127</v>
      </c>
      <c r="Q2190" t="s">
        <v>127</v>
      </c>
    </row>
    <row r="2191" spans="1:17" x14ac:dyDescent="0.25">
      <c r="A2191" t="str">
        <f>IF(C2191&amp;G2191&amp;D2191&lt;&gt;'Funnel setup'!$K$3&amp;'Funnel setup'!$K$4&amp;'Funnel setup'!$K$6,".",IF(A2190=".",1,A2190+1))</f>
        <v>.</v>
      </c>
      <c r="B2191" s="244" t="str">
        <f t="shared" si="34"/>
        <v>Knee Replacement PrimaryProviderTHE SHREWSBURY AND TELFORD HOSPITAL NHS TRUST (RXW)EQ VAS</v>
      </c>
      <c r="C2191" t="s">
        <v>969</v>
      </c>
      <c r="D2191" t="s">
        <v>965</v>
      </c>
      <c r="E2191" t="s">
        <v>656</v>
      </c>
      <c r="F2191" t="s">
        <v>657</v>
      </c>
      <c r="G2191" t="s">
        <v>752</v>
      </c>
      <c r="H2191">
        <v>12</v>
      </c>
      <c r="I2191">
        <v>66.5</v>
      </c>
      <c r="J2191">
        <v>64.916700000000006</v>
      </c>
      <c r="K2191">
        <v>-1.5833299999999999</v>
      </c>
      <c r="L2191">
        <v>7</v>
      </c>
      <c r="M2191">
        <v>0</v>
      </c>
      <c r="N2191">
        <v>5</v>
      </c>
      <c r="O2191" t="s">
        <v>127</v>
      </c>
      <c r="P2191" t="s">
        <v>127</v>
      </c>
      <c r="Q2191" t="s">
        <v>127</v>
      </c>
    </row>
    <row r="2192" spans="1:17" x14ac:dyDescent="0.25">
      <c r="A2192" t="str">
        <f>IF(C2192&amp;G2192&amp;D2192&lt;&gt;'Funnel setup'!$K$3&amp;'Funnel setup'!$K$4&amp;'Funnel setup'!$K$6,".",IF(A2191=".",1,A2191+1))</f>
        <v>.</v>
      </c>
      <c r="B2192" s="244" t="str">
        <f t="shared" si="34"/>
        <v>Knee Replacement PrimaryProviderTHE YORKSHIRE CLINIC (NVC20)EQ VAS</v>
      </c>
      <c r="C2192" t="s">
        <v>969</v>
      </c>
      <c r="D2192" t="s">
        <v>965</v>
      </c>
      <c r="E2192" t="s">
        <v>662</v>
      </c>
      <c r="F2192" t="s">
        <v>663</v>
      </c>
      <c r="G2192" t="s">
        <v>752</v>
      </c>
      <c r="H2192">
        <v>34</v>
      </c>
      <c r="I2192">
        <v>63.5</v>
      </c>
      <c r="J2192">
        <v>71.676500000000004</v>
      </c>
      <c r="K2192">
        <v>8.1764700000000001</v>
      </c>
      <c r="L2192">
        <v>24</v>
      </c>
      <c r="M2192">
        <v>2</v>
      </c>
      <c r="N2192">
        <v>8</v>
      </c>
      <c r="O2192">
        <v>74.368399999999994</v>
      </c>
      <c r="P2192">
        <v>8.8400099999999995</v>
      </c>
      <c r="Q2192">
        <v>16.220500000000001</v>
      </c>
    </row>
    <row r="2193" spans="1:17" x14ac:dyDescent="0.25">
      <c r="A2193" t="str">
        <f>IF(C2193&amp;G2193&amp;D2193&lt;&gt;'Funnel setup'!$K$3&amp;'Funnel setup'!$K$4&amp;'Funnel setup'!$K$6,".",IF(A2192=".",1,A2192+1))</f>
        <v>.</v>
      </c>
      <c r="B2193" s="244" t="str">
        <f t="shared" si="34"/>
        <v>Knee Replacement PrimaryProviderTHORNBURY HOSPITAL (NT440)EQ VAS</v>
      </c>
      <c r="C2193" t="s">
        <v>969</v>
      </c>
      <c r="D2193" t="s">
        <v>965</v>
      </c>
      <c r="E2193" t="s">
        <v>664</v>
      </c>
      <c r="F2193" t="s">
        <v>665</v>
      </c>
      <c r="G2193" t="s">
        <v>752</v>
      </c>
      <c r="H2193">
        <v>4</v>
      </c>
      <c r="I2193">
        <v>69.5</v>
      </c>
      <c r="J2193">
        <v>72</v>
      </c>
      <c r="K2193">
        <v>2.5</v>
      </c>
      <c r="L2193">
        <v>2</v>
      </c>
      <c r="M2193">
        <v>0</v>
      </c>
      <c r="N2193">
        <v>2</v>
      </c>
      <c r="O2193" t="s">
        <v>127</v>
      </c>
      <c r="P2193" t="s">
        <v>127</v>
      </c>
      <c r="Q2193" t="s">
        <v>127</v>
      </c>
    </row>
    <row r="2194" spans="1:17" x14ac:dyDescent="0.25">
      <c r="A2194" t="str">
        <f>IF(C2194&amp;G2194&amp;D2194&lt;&gt;'Funnel setup'!$K$3&amp;'Funnel setup'!$K$4&amp;'Funnel setup'!$K$6,".",IF(A2193=".",1,A2193+1))</f>
        <v>.</v>
      </c>
      <c r="B2194" s="244" t="str">
        <f t="shared" si="34"/>
        <v>Knee Replacement PrimaryProviderTHREE SHIRES HOSPITAL (NT441)EQ VAS</v>
      </c>
      <c r="C2194" t="s">
        <v>969</v>
      </c>
      <c r="D2194" t="s">
        <v>965</v>
      </c>
      <c r="E2194" t="s">
        <v>666</v>
      </c>
      <c r="F2194" t="s">
        <v>667</v>
      </c>
      <c r="G2194" t="s">
        <v>752</v>
      </c>
      <c r="H2194">
        <v>67</v>
      </c>
      <c r="I2194">
        <v>67.253699999999995</v>
      </c>
      <c r="J2194">
        <v>76.955200000000005</v>
      </c>
      <c r="K2194">
        <v>9.7014899999999997</v>
      </c>
      <c r="L2194">
        <v>42</v>
      </c>
      <c r="M2194">
        <v>3</v>
      </c>
      <c r="N2194">
        <v>22</v>
      </c>
      <c r="O2194">
        <v>74.3416</v>
      </c>
      <c r="P2194">
        <v>8.8132300000000008</v>
      </c>
      <c r="Q2194">
        <v>16.058599999999998</v>
      </c>
    </row>
    <row r="2195" spans="1:17" x14ac:dyDescent="0.25">
      <c r="A2195" t="str">
        <f>IF(C2195&amp;G2195&amp;D2195&lt;&gt;'Funnel setup'!$K$3&amp;'Funnel setup'!$K$4&amp;'Funnel setup'!$K$6,".",IF(A2194=".",1,A2194+1))</f>
        <v>.</v>
      </c>
      <c r="B2195" s="244" t="str">
        <f t="shared" si="34"/>
        <v>Knee Replacement PrimaryProviderTORBAY AND SOUTH DEVON NHS FOUNDATION TRUST (RA9)EQ VAS</v>
      </c>
      <c r="C2195" t="s">
        <v>969</v>
      </c>
      <c r="D2195" t="s">
        <v>965</v>
      </c>
      <c r="E2195" t="s">
        <v>668</v>
      </c>
      <c r="F2195" t="s">
        <v>669</v>
      </c>
      <c r="G2195" t="s">
        <v>752</v>
      </c>
      <c r="H2195">
        <v>6</v>
      </c>
      <c r="I2195">
        <v>59</v>
      </c>
      <c r="J2195">
        <v>65.166700000000006</v>
      </c>
      <c r="K2195">
        <v>6.1666699999999999</v>
      </c>
      <c r="L2195">
        <v>3</v>
      </c>
      <c r="M2195">
        <v>1</v>
      </c>
      <c r="N2195">
        <v>2</v>
      </c>
      <c r="O2195" t="s">
        <v>127</v>
      </c>
      <c r="P2195" t="s">
        <v>127</v>
      </c>
      <c r="Q2195" t="s">
        <v>127</v>
      </c>
    </row>
    <row r="2196" spans="1:17" x14ac:dyDescent="0.25">
      <c r="A2196" t="str">
        <f>IF(C2196&amp;G2196&amp;D2196&lt;&gt;'Funnel setup'!$K$3&amp;'Funnel setup'!$K$4&amp;'Funnel setup'!$K$6,".",IF(A2195=".",1,A2195+1))</f>
        <v>.</v>
      </c>
      <c r="B2196" s="244" t="str">
        <f t="shared" si="34"/>
        <v>Knee Replacement PrimaryProviderUNITED LINCOLNSHIRE HOSPITALS NHS TRUST (RWD)EQ VAS</v>
      </c>
      <c r="C2196" t="s">
        <v>969</v>
      </c>
      <c r="D2196" t="s">
        <v>965</v>
      </c>
      <c r="E2196" t="s">
        <v>672</v>
      </c>
      <c r="F2196" t="s">
        <v>673</v>
      </c>
      <c r="G2196" t="s">
        <v>752</v>
      </c>
      <c r="H2196">
        <v>32</v>
      </c>
      <c r="I2196">
        <v>63.1875</v>
      </c>
      <c r="J2196">
        <v>72.093800000000002</v>
      </c>
      <c r="K2196">
        <v>8.90625</v>
      </c>
      <c r="L2196">
        <v>19</v>
      </c>
      <c r="M2196">
        <v>5</v>
      </c>
      <c r="N2196">
        <v>8</v>
      </c>
      <c r="O2196">
        <v>73.581199999999995</v>
      </c>
      <c r="P2196">
        <v>8.0527800000000003</v>
      </c>
      <c r="Q2196">
        <v>12.524100000000001</v>
      </c>
    </row>
    <row r="2197" spans="1:17" x14ac:dyDescent="0.25">
      <c r="A2197" t="str">
        <f>IF(C2197&amp;G2197&amp;D2197&lt;&gt;'Funnel setup'!$K$3&amp;'Funnel setup'!$K$4&amp;'Funnel setup'!$K$6,".",IF(A2196=".",1,A2196+1))</f>
        <v>.</v>
      </c>
      <c r="B2197" s="244" t="str">
        <f t="shared" si="34"/>
        <v>Knee Replacement PrimaryProviderUNIVERSITY COLLEGE LONDON HOSPITALS NHS FOUNDATION TRUST (RRV)EQ VAS</v>
      </c>
      <c r="C2197" t="s">
        <v>969</v>
      </c>
      <c r="D2197" t="s">
        <v>965</v>
      </c>
      <c r="E2197" t="s">
        <v>674</v>
      </c>
      <c r="F2197" t="s">
        <v>675</v>
      </c>
      <c r="G2197" t="s">
        <v>752</v>
      </c>
      <c r="H2197">
        <v>146</v>
      </c>
      <c r="I2197">
        <v>67.246600000000001</v>
      </c>
      <c r="J2197">
        <v>72.0137</v>
      </c>
      <c r="K2197">
        <v>4.7671200000000002</v>
      </c>
      <c r="L2197">
        <v>72</v>
      </c>
      <c r="M2197">
        <v>23</v>
      </c>
      <c r="N2197">
        <v>51</v>
      </c>
      <c r="O2197">
        <v>72.984999999999999</v>
      </c>
      <c r="P2197">
        <v>7.45662</v>
      </c>
      <c r="Q2197">
        <v>16.143000000000001</v>
      </c>
    </row>
    <row r="2198" spans="1:17" x14ac:dyDescent="0.25">
      <c r="A2198" t="str">
        <f>IF(C2198&amp;G2198&amp;D2198&lt;&gt;'Funnel setup'!$K$3&amp;'Funnel setup'!$K$4&amp;'Funnel setup'!$K$6,".",IF(A2197=".",1,A2197+1))</f>
        <v>.</v>
      </c>
      <c r="B2198" s="244" t="str">
        <f t="shared" si="34"/>
        <v>Knee Replacement PrimaryProviderUNIVERSITY HOSPITAL SOUTHAMPTON NHS FOUNDATION TRUST (RHM)EQ VAS</v>
      </c>
      <c r="C2198" t="s">
        <v>969</v>
      </c>
      <c r="D2198" t="s">
        <v>965</v>
      </c>
      <c r="E2198" t="s">
        <v>676</v>
      </c>
      <c r="F2198" t="s">
        <v>677</v>
      </c>
      <c r="G2198" t="s">
        <v>752</v>
      </c>
      <c r="H2198">
        <v>73</v>
      </c>
      <c r="I2198">
        <v>64.575299999999999</v>
      </c>
      <c r="J2198">
        <v>73.753399999999999</v>
      </c>
      <c r="K2198">
        <v>9.1780799999999996</v>
      </c>
      <c r="L2198">
        <v>53</v>
      </c>
      <c r="M2198">
        <v>9</v>
      </c>
      <c r="N2198">
        <v>11</v>
      </c>
      <c r="O2198">
        <v>73.779300000000006</v>
      </c>
      <c r="P2198">
        <v>8.2508700000000008</v>
      </c>
      <c r="Q2198">
        <v>17.1311</v>
      </c>
    </row>
    <row r="2199" spans="1:17" x14ac:dyDescent="0.25">
      <c r="A2199" t="str">
        <f>IF(C2199&amp;G2199&amp;D2199&lt;&gt;'Funnel setup'!$K$3&amp;'Funnel setup'!$K$4&amp;'Funnel setup'!$K$6,".",IF(A2198=".",1,A2198+1))</f>
        <v>.</v>
      </c>
      <c r="B2199" s="244" t="str">
        <f t="shared" si="34"/>
        <v>Knee Replacement PrimaryProviderUNIVERSITY HOSPITALS BRISTOL AND WESTON NHS FOUNDATION TRUST (RA7)EQ VAS</v>
      </c>
      <c r="C2199" t="s">
        <v>969</v>
      </c>
      <c r="D2199" t="s">
        <v>965</v>
      </c>
      <c r="E2199" t="s">
        <v>680</v>
      </c>
      <c r="F2199" t="s">
        <v>681</v>
      </c>
      <c r="G2199" t="s">
        <v>752</v>
      </c>
      <c r="H2199">
        <v>17</v>
      </c>
      <c r="I2199">
        <v>60.529400000000003</v>
      </c>
      <c r="J2199">
        <v>68.2941</v>
      </c>
      <c r="K2199">
        <v>7.76471</v>
      </c>
      <c r="L2199">
        <v>10</v>
      </c>
      <c r="M2199">
        <v>2</v>
      </c>
      <c r="N2199">
        <v>5</v>
      </c>
      <c r="O2199" t="s">
        <v>127</v>
      </c>
      <c r="P2199" t="s">
        <v>127</v>
      </c>
      <c r="Q2199" t="s">
        <v>127</v>
      </c>
    </row>
    <row r="2200" spans="1:17" x14ac:dyDescent="0.25">
      <c r="A2200" t="str">
        <f>IF(C2200&amp;G2200&amp;D2200&lt;&gt;'Funnel setup'!$K$3&amp;'Funnel setup'!$K$4&amp;'Funnel setup'!$K$6,".",IF(A2199=".",1,A2199+1))</f>
        <v>.</v>
      </c>
      <c r="B2200" s="244" t="str">
        <f t="shared" si="34"/>
        <v>Knee Replacement PrimaryProviderUNIVERSITY HOSPITALS COVENTRY AND WARWICKSHIRE NHS TRUST (RKB)EQ VAS</v>
      </c>
      <c r="C2200" t="s">
        <v>969</v>
      </c>
      <c r="D2200" t="s">
        <v>965</v>
      </c>
      <c r="E2200" t="s">
        <v>682</v>
      </c>
      <c r="F2200" t="s">
        <v>683</v>
      </c>
      <c r="G2200" t="s">
        <v>752</v>
      </c>
      <c r="H2200">
        <v>17</v>
      </c>
      <c r="I2200">
        <v>65.941199999999995</v>
      </c>
      <c r="J2200">
        <v>80.588200000000001</v>
      </c>
      <c r="K2200">
        <v>14.6471</v>
      </c>
      <c r="L2200">
        <v>14</v>
      </c>
      <c r="M2200">
        <v>0</v>
      </c>
      <c r="N2200">
        <v>3</v>
      </c>
      <c r="O2200" t="s">
        <v>127</v>
      </c>
      <c r="P2200" t="s">
        <v>127</v>
      </c>
      <c r="Q2200" t="s">
        <v>127</v>
      </c>
    </row>
    <row r="2201" spans="1:17" x14ac:dyDescent="0.25">
      <c r="A2201" t="str">
        <f>IF(C2201&amp;G2201&amp;D2201&lt;&gt;'Funnel setup'!$K$3&amp;'Funnel setup'!$K$4&amp;'Funnel setup'!$K$6,".",IF(A2200=".",1,A2200+1))</f>
        <v>.</v>
      </c>
      <c r="B2201" s="244" t="str">
        <f t="shared" si="34"/>
        <v>Knee Replacement PrimaryProviderUNIVERSITY HOSPITAL DORSET NHS FUNDATION TRUST (R0D)EQ VAS</v>
      </c>
      <c r="C2201" t="s">
        <v>969</v>
      </c>
      <c r="D2201" t="s">
        <v>965</v>
      </c>
      <c r="E2201" t="s">
        <v>684</v>
      </c>
      <c r="F2201" t="s">
        <v>966</v>
      </c>
      <c r="G2201" t="s">
        <v>752</v>
      </c>
      <c r="H2201">
        <v>176</v>
      </c>
      <c r="I2201">
        <v>67.068200000000004</v>
      </c>
      <c r="J2201">
        <v>73.0852</v>
      </c>
      <c r="K2201">
        <v>6.0170500000000002</v>
      </c>
      <c r="L2201">
        <v>100</v>
      </c>
      <c r="M2201">
        <v>22</v>
      </c>
      <c r="N2201">
        <v>54</v>
      </c>
      <c r="O2201">
        <v>72.784999999999997</v>
      </c>
      <c r="P2201">
        <v>7.2566100000000002</v>
      </c>
      <c r="Q2201">
        <v>17.651499999999999</v>
      </c>
    </row>
    <row r="2202" spans="1:17" x14ac:dyDescent="0.25">
      <c r="A2202" t="str">
        <f>IF(C2202&amp;G2202&amp;D2202&lt;&gt;'Funnel setup'!$K$3&amp;'Funnel setup'!$K$4&amp;'Funnel setup'!$K$6,".",IF(A2201=".",1,A2201+1))</f>
        <v>.</v>
      </c>
      <c r="B2202" s="244" t="str">
        <f t="shared" si="34"/>
        <v>Knee Replacement PrimaryProviderUNIVERSITY HOSPITALS OF DERBY AND BURTON NHS FOUNDATION TRUST (RTG)EQ VAS</v>
      </c>
      <c r="C2202" t="s">
        <v>969</v>
      </c>
      <c r="D2202" t="s">
        <v>965</v>
      </c>
      <c r="E2202" t="s">
        <v>686</v>
      </c>
      <c r="F2202" t="s">
        <v>687</v>
      </c>
      <c r="G2202" t="s">
        <v>752</v>
      </c>
      <c r="H2202">
        <v>322</v>
      </c>
      <c r="I2202">
        <v>61.400599999999997</v>
      </c>
      <c r="J2202">
        <v>73.146000000000001</v>
      </c>
      <c r="K2202">
        <v>11.7453</v>
      </c>
      <c r="L2202">
        <v>204</v>
      </c>
      <c r="M2202">
        <v>41</v>
      </c>
      <c r="N2202">
        <v>77</v>
      </c>
      <c r="O2202">
        <v>74.505899999999997</v>
      </c>
      <c r="P2202">
        <v>8.9774799999999999</v>
      </c>
      <c r="Q2202">
        <v>16.842199999999998</v>
      </c>
    </row>
    <row r="2203" spans="1:17" x14ac:dyDescent="0.25">
      <c r="A2203" t="str">
        <f>IF(C2203&amp;G2203&amp;D2203&lt;&gt;'Funnel setup'!$K$3&amp;'Funnel setup'!$K$4&amp;'Funnel setup'!$K$6,".",IF(A2202=".",1,A2202+1))</f>
        <v>.</v>
      </c>
      <c r="B2203" s="244" t="str">
        <f t="shared" si="34"/>
        <v>Knee Replacement PrimaryProviderUNIVERSITY HOSPITALS OF LEICESTER NHS TRUST (RWE)EQ VAS</v>
      </c>
      <c r="C2203" t="s">
        <v>969</v>
      </c>
      <c r="D2203" t="s">
        <v>965</v>
      </c>
      <c r="E2203" t="s">
        <v>688</v>
      </c>
      <c r="F2203" t="s">
        <v>689</v>
      </c>
      <c r="G2203" t="s">
        <v>752</v>
      </c>
      <c r="H2203">
        <v>160</v>
      </c>
      <c r="I2203">
        <v>55.5625</v>
      </c>
      <c r="J2203">
        <v>68.737499999999997</v>
      </c>
      <c r="K2203">
        <v>13.175000000000001</v>
      </c>
      <c r="L2203">
        <v>100</v>
      </c>
      <c r="M2203">
        <v>18</v>
      </c>
      <c r="N2203">
        <v>42</v>
      </c>
      <c r="O2203">
        <v>73.900000000000006</v>
      </c>
      <c r="P2203">
        <v>8.3715600000000006</v>
      </c>
      <c r="Q2203">
        <v>18.479399999999998</v>
      </c>
    </row>
    <row r="2204" spans="1:17" x14ac:dyDescent="0.25">
      <c r="A2204" t="str">
        <f>IF(C2204&amp;G2204&amp;D2204&lt;&gt;'Funnel setup'!$K$3&amp;'Funnel setup'!$K$4&amp;'Funnel setup'!$K$6,".",IF(A2203=".",1,A2203+1))</f>
        <v>.</v>
      </c>
      <c r="B2204" s="244" t="str">
        <f t="shared" si="34"/>
        <v>Knee Replacement PrimaryProviderUNIVERSITY HOSPITALS OF MORECAMBE BAY NHS FOUNDATION TRUST (RTX)EQ VAS</v>
      </c>
      <c r="C2204" t="s">
        <v>969</v>
      </c>
      <c r="D2204" t="s">
        <v>965</v>
      </c>
      <c r="E2204" t="s">
        <v>690</v>
      </c>
      <c r="F2204" t="s">
        <v>691</v>
      </c>
      <c r="G2204" t="s">
        <v>752</v>
      </c>
      <c r="H2204">
        <v>150</v>
      </c>
      <c r="I2204">
        <v>65.5</v>
      </c>
      <c r="J2204">
        <v>73.7667</v>
      </c>
      <c r="K2204">
        <v>8.2666699999999995</v>
      </c>
      <c r="L2204">
        <v>91</v>
      </c>
      <c r="M2204">
        <v>16</v>
      </c>
      <c r="N2204">
        <v>43</v>
      </c>
      <c r="O2204">
        <v>73.681399999999996</v>
      </c>
      <c r="P2204">
        <v>8.1530000000000005</v>
      </c>
      <c r="Q2204">
        <v>16.966200000000001</v>
      </c>
    </row>
    <row r="2205" spans="1:17" x14ac:dyDescent="0.25">
      <c r="A2205" t="str">
        <f>IF(C2205&amp;G2205&amp;D2205&lt;&gt;'Funnel setup'!$K$3&amp;'Funnel setup'!$K$4&amp;'Funnel setup'!$K$6,".",IF(A2204=".",1,A2204+1))</f>
        <v>.</v>
      </c>
      <c r="B2205" s="244" t="str">
        <f t="shared" si="34"/>
        <v>Knee Replacement PrimaryProviderUNIVERSITY HOSPITALS OF NORTH MIDLANDS NHS TRUST (RJE)EQ VAS</v>
      </c>
      <c r="C2205" t="s">
        <v>969</v>
      </c>
      <c r="D2205" t="s">
        <v>965</v>
      </c>
      <c r="E2205" t="s">
        <v>692</v>
      </c>
      <c r="F2205" t="s">
        <v>693</v>
      </c>
      <c r="G2205" t="s">
        <v>752</v>
      </c>
      <c r="H2205">
        <v>16</v>
      </c>
      <c r="I2205">
        <v>60.1875</v>
      </c>
      <c r="J2205">
        <v>66.1875</v>
      </c>
      <c r="K2205">
        <v>6</v>
      </c>
      <c r="L2205">
        <v>10</v>
      </c>
      <c r="M2205">
        <v>1</v>
      </c>
      <c r="N2205">
        <v>5</v>
      </c>
      <c r="O2205" t="s">
        <v>127</v>
      </c>
      <c r="P2205" t="s">
        <v>127</v>
      </c>
      <c r="Q2205" t="s">
        <v>127</v>
      </c>
    </row>
    <row r="2206" spans="1:17" x14ac:dyDescent="0.25">
      <c r="A2206" t="str">
        <f>IF(C2206&amp;G2206&amp;D2206&lt;&gt;'Funnel setup'!$K$3&amp;'Funnel setup'!$K$4&amp;'Funnel setup'!$K$6,".",IF(A2205=".",1,A2205+1))</f>
        <v>.</v>
      </c>
      <c r="B2206" s="244" t="str">
        <f t="shared" si="34"/>
        <v>Knee Replacement PrimaryProviderUNIVERSITY HOSPITALS PLYMOUTH NHS TRUST (RK9)EQ VAS</v>
      </c>
      <c r="C2206" t="s">
        <v>969</v>
      </c>
      <c r="D2206" t="s">
        <v>965</v>
      </c>
      <c r="E2206" t="s">
        <v>694</v>
      </c>
      <c r="F2206" t="s">
        <v>695</v>
      </c>
      <c r="G2206" t="s">
        <v>752</v>
      </c>
      <c r="H2206">
        <v>3</v>
      </c>
      <c r="I2206">
        <v>36.666699999999999</v>
      </c>
      <c r="J2206">
        <v>45</v>
      </c>
      <c r="K2206">
        <v>8.3333300000000001</v>
      </c>
      <c r="L2206">
        <v>1</v>
      </c>
      <c r="M2206">
        <v>0</v>
      </c>
      <c r="N2206">
        <v>2</v>
      </c>
      <c r="O2206" t="s">
        <v>127</v>
      </c>
      <c r="P2206" t="s">
        <v>127</v>
      </c>
      <c r="Q2206" t="s">
        <v>127</v>
      </c>
    </row>
    <row r="2207" spans="1:17" x14ac:dyDescent="0.25">
      <c r="A2207" t="str">
        <f>IF(C2207&amp;G2207&amp;D2207&lt;&gt;'Funnel setup'!$K$3&amp;'Funnel setup'!$K$4&amp;'Funnel setup'!$K$6,".",IF(A2206=".",1,A2206+1))</f>
        <v>.</v>
      </c>
      <c r="B2207" s="244" t="str">
        <f t="shared" si="34"/>
        <v>Knee Replacement PrimaryProviderUNIVERSITY HOSPITALS SUSSEX NHS FOUNDATION TRUST (RYR)EQ VAS</v>
      </c>
      <c r="C2207" t="s">
        <v>969</v>
      </c>
      <c r="D2207" t="s">
        <v>965</v>
      </c>
      <c r="E2207" t="s">
        <v>696</v>
      </c>
      <c r="F2207" t="s">
        <v>697</v>
      </c>
      <c r="G2207" t="s">
        <v>752</v>
      </c>
      <c r="H2207">
        <v>123</v>
      </c>
      <c r="I2207">
        <v>63.203299999999999</v>
      </c>
      <c r="J2207">
        <v>71.918700000000001</v>
      </c>
      <c r="K2207">
        <v>8.7154500000000006</v>
      </c>
      <c r="L2207">
        <v>79</v>
      </c>
      <c r="M2207">
        <v>10</v>
      </c>
      <c r="N2207">
        <v>34</v>
      </c>
      <c r="O2207">
        <v>72.383399999999995</v>
      </c>
      <c r="P2207">
        <v>6.8549699999999998</v>
      </c>
      <c r="Q2207">
        <v>16.871700000000001</v>
      </c>
    </row>
    <row r="2208" spans="1:17" x14ac:dyDescent="0.25">
      <c r="A2208" t="str">
        <f>IF(C2208&amp;G2208&amp;D2208&lt;&gt;'Funnel setup'!$K$3&amp;'Funnel setup'!$K$4&amp;'Funnel setup'!$K$6,".",IF(A2207=".",1,A2207+1))</f>
        <v>.</v>
      </c>
      <c r="B2208" s="244" t="str">
        <f t="shared" si="34"/>
        <v>Knee Replacement PrimaryProviderWALSALL HEALTHCARE NHS TRUST (RBK)EQ VAS</v>
      </c>
      <c r="C2208" t="s">
        <v>969</v>
      </c>
      <c r="D2208" t="s">
        <v>965</v>
      </c>
      <c r="E2208" t="s">
        <v>698</v>
      </c>
      <c r="F2208" t="s">
        <v>699</v>
      </c>
      <c r="G2208" t="s">
        <v>752</v>
      </c>
      <c r="H2208">
        <v>8</v>
      </c>
      <c r="I2208">
        <v>77.125</v>
      </c>
      <c r="J2208">
        <v>75.5</v>
      </c>
      <c r="K2208">
        <v>-1.625</v>
      </c>
      <c r="L2208">
        <v>5</v>
      </c>
      <c r="M2208">
        <v>0</v>
      </c>
      <c r="N2208">
        <v>3</v>
      </c>
      <c r="O2208" t="s">
        <v>127</v>
      </c>
      <c r="P2208" t="s">
        <v>127</v>
      </c>
      <c r="Q2208" t="s">
        <v>127</v>
      </c>
    </row>
    <row r="2209" spans="1:17" x14ac:dyDescent="0.25">
      <c r="A2209" t="str">
        <f>IF(C2209&amp;G2209&amp;D2209&lt;&gt;'Funnel setup'!$K$3&amp;'Funnel setup'!$K$4&amp;'Funnel setup'!$K$6,".",IF(A2208=".",1,A2208+1))</f>
        <v>.</v>
      </c>
      <c r="B2209" s="244" t="str">
        <f t="shared" si="34"/>
        <v>Knee Replacement PrimaryProviderWARRINGTON AND HALTON TEACHING HOSPITALS NHS FOUNDATION TRUST (RWW)EQ VAS</v>
      </c>
      <c r="C2209" t="s">
        <v>969</v>
      </c>
      <c r="D2209" t="s">
        <v>965</v>
      </c>
      <c r="E2209" t="s">
        <v>700</v>
      </c>
      <c r="F2209" t="s">
        <v>701</v>
      </c>
      <c r="G2209" t="s">
        <v>752</v>
      </c>
      <c r="H2209">
        <v>28</v>
      </c>
      <c r="I2209">
        <v>66.392899999999997</v>
      </c>
      <c r="J2209">
        <v>68.428600000000003</v>
      </c>
      <c r="K2209">
        <v>2.0357099999999999</v>
      </c>
      <c r="L2209">
        <v>15</v>
      </c>
      <c r="M2209">
        <v>3</v>
      </c>
      <c r="N2209">
        <v>10</v>
      </c>
      <c r="O2209" t="s">
        <v>127</v>
      </c>
      <c r="P2209" t="s">
        <v>127</v>
      </c>
      <c r="Q2209" t="s">
        <v>127</v>
      </c>
    </row>
    <row r="2210" spans="1:17" x14ac:dyDescent="0.25">
      <c r="A2210" t="str">
        <f>IF(C2210&amp;G2210&amp;D2210&lt;&gt;'Funnel setup'!$K$3&amp;'Funnel setup'!$K$4&amp;'Funnel setup'!$K$6,".",IF(A2209=".",1,A2209+1))</f>
        <v>.</v>
      </c>
      <c r="B2210" s="244" t="str">
        <f t="shared" si="34"/>
        <v>Knee Replacement PrimaryProviderWEST HERTFORDSHIRE TEACHING HOSPITALS NHS TRUST (RWG)EQ VAS</v>
      </c>
      <c r="C2210" t="s">
        <v>969</v>
      </c>
      <c r="D2210" t="s">
        <v>965</v>
      </c>
      <c r="E2210" t="s">
        <v>702</v>
      </c>
      <c r="F2210" t="s">
        <v>703</v>
      </c>
      <c r="G2210" t="s">
        <v>752</v>
      </c>
      <c r="H2210">
        <v>70</v>
      </c>
      <c r="I2210">
        <v>65.957099999999997</v>
      </c>
      <c r="J2210">
        <v>73.428600000000003</v>
      </c>
      <c r="K2210">
        <v>7.4714299999999998</v>
      </c>
      <c r="L2210">
        <v>43</v>
      </c>
      <c r="M2210">
        <v>8</v>
      </c>
      <c r="N2210">
        <v>19</v>
      </c>
      <c r="O2210">
        <v>72.911600000000007</v>
      </c>
      <c r="P2210">
        <v>7.3832500000000003</v>
      </c>
      <c r="Q2210">
        <v>16.446200000000001</v>
      </c>
    </row>
    <row r="2211" spans="1:17" x14ac:dyDescent="0.25">
      <c r="A2211" t="str">
        <f>IF(C2211&amp;G2211&amp;D2211&lt;&gt;'Funnel setup'!$K$3&amp;'Funnel setup'!$K$4&amp;'Funnel setup'!$K$6,".",IF(A2210=".",1,A2210+1))</f>
        <v>.</v>
      </c>
      <c r="B2211" s="244" t="str">
        <f t="shared" si="34"/>
        <v>Knee Replacement PrimaryProviderWEST MIDLANDS HOSPITAL (NVC21)EQ VAS</v>
      </c>
      <c r="C2211" t="s">
        <v>969</v>
      </c>
      <c r="D2211" t="s">
        <v>965</v>
      </c>
      <c r="E2211" t="s">
        <v>704</v>
      </c>
      <c r="F2211" t="s">
        <v>705</v>
      </c>
      <c r="G2211" t="s">
        <v>752</v>
      </c>
      <c r="H2211">
        <v>61</v>
      </c>
      <c r="I2211">
        <v>57.934399999999997</v>
      </c>
      <c r="J2211">
        <v>73.147499999999994</v>
      </c>
      <c r="K2211">
        <v>15.213100000000001</v>
      </c>
      <c r="L2211">
        <v>46</v>
      </c>
      <c r="M2211">
        <v>4</v>
      </c>
      <c r="N2211">
        <v>11</v>
      </c>
      <c r="O2211">
        <v>77.313100000000006</v>
      </c>
      <c r="P2211">
        <v>11.784700000000001</v>
      </c>
      <c r="Q2211">
        <v>18.4315</v>
      </c>
    </row>
    <row r="2212" spans="1:17" x14ac:dyDescent="0.25">
      <c r="A2212" t="str">
        <f>IF(C2212&amp;G2212&amp;D2212&lt;&gt;'Funnel setup'!$K$3&amp;'Funnel setup'!$K$4&amp;'Funnel setup'!$K$6,".",IF(A2211=".",1,A2211+1))</f>
        <v>.</v>
      </c>
      <c r="B2212" s="244" t="str">
        <f t="shared" si="34"/>
        <v>Knee Replacement PrimaryProviderWEST SUFFOLK NHS FOUNDATION TRUST (RGR)EQ VAS</v>
      </c>
      <c r="C2212" t="s">
        <v>969</v>
      </c>
      <c r="D2212" t="s">
        <v>965</v>
      </c>
      <c r="E2212" t="s">
        <v>706</v>
      </c>
      <c r="F2212" t="s">
        <v>707</v>
      </c>
      <c r="G2212" t="s">
        <v>752</v>
      </c>
      <c r="H2212">
        <v>66</v>
      </c>
      <c r="I2212">
        <v>62.393900000000002</v>
      </c>
      <c r="J2212">
        <v>70.681799999999996</v>
      </c>
      <c r="K2212">
        <v>8.2878799999999995</v>
      </c>
      <c r="L2212">
        <v>43</v>
      </c>
      <c r="M2212">
        <v>7</v>
      </c>
      <c r="N2212">
        <v>16</v>
      </c>
      <c r="O2212">
        <v>71.562100000000001</v>
      </c>
      <c r="P2212">
        <v>6.0336800000000004</v>
      </c>
      <c r="Q2212">
        <v>18.217199999999998</v>
      </c>
    </row>
    <row r="2213" spans="1:17" x14ac:dyDescent="0.25">
      <c r="A2213" t="str">
        <f>IF(C2213&amp;G2213&amp;D2213&lt;&gt;'Funnel setup'!$K$3&amp;'Funnel setup'!$K$4&amp;'Funnel setup'!$K$6,".",IF(A2212=".",1,A2212+1))</f>
        <v>.</v>
      </c>
      <c r="B2213" s="244" t="str">
        <f t="shared" si="34"/>
        <v>Knee Replacement PrimaryProviderWINFIELD HOSPITAL (NVC22)EQ VAS</v>
      </c>
      <c r="C2213" t="s">
        <v>969</v>
      </c>
      <c r="D2213" t="s">
        <v>965</v>
      </c>
      <c r="E2213" t="s">
        <v>710</v>
      </c>
      <c r="F2213" t="s">
        <v>711</v>
      </c>
      <c r="G2213" t="s">
        <v>752</v>
      </c>
      <c r="H2213">
        <v>50</v>
      </c>
      <c r="I2213">
        <v>71.099999999999994</v>
      </c>
      <c r="J2213">
        <v>81.06</v>
      </c>
      <c r="K2213">
        <v>9.9600000000000009</v>
      </c>
      <c r="L2213">
        <v>34</v>
      </c>
      <c r="M2213">
        <v>5</v>
      </c>
      <c r="N2213">
        <v>11</v>
      </c>
      <c r="O2213">
        <v>77.609399999999994</v>
      </c>
      <c r="P2213">
        <v>12.081</v>
      </c>
      <c r="Q2213">
        <v>16.5974</v>
      </c>
    </row>
    <row r="2214" spans="1:17" x14ac:dyDescent="0.25">
      <c r="A2214" t="str">
        <f>IF(C2214&amp;G2214&amp;D2214&lt;&gt;'Funnel setup'!$K$3&amp;'Funnel setup'!$K$4&amp;'Funnel setup'!$K$6,".",IF(A2213=".",1,A2213+1))</f>
        <v>.</v>
      </c>
      <c r="B2214" s="244" t="str">
        <f t="shared" si="34"/>
        <v>Knee Replacement PrimaryProviderWINTERBOURNE HOSPITAL (NT443)EQ VAS</v>
      </c>
      <c r="C2214" t="s">
        <v>969</v>
      </c>
      <c r="D2214" t="s">
        <v>965</v>
      </c>
      <c r="E2214" t="s">
        <v>712</v>
      </c>
      <c r="F2214" t="s">
        <v>713</v>
      </c>
      <c r="G2214" t="s">
        <v>752</v>
      </c>
      <c r="H2214">
        <v>35</v>
      </c>
      <c r="I2214">
        <v>65.8857</v>
      </c>
      <c r="J2214">
        <v>80.257099999999994</v>
      </c>
      <c r="K2214">
        <v>14.3714</v>
      </c>
      <c r="L2214">
        <v>23</v>
      </c>
      <c r="M2214">
        <v>7</v>
      </c>
      <c r="N2214">
        <v>5</v>
      </c>
      <c r="O2214">
        <v>79.245900000000006</v>
      </c>
      <c r="P2214">
        <v>13.717499999999999</v>
      </c>
      <c r="Q2214">
        <v>12.5122</v>
      </c>
    </row>
    <row r="2215" spans="1:17" x14ac:dyDescent="0.25">
      <c r="A2215" t="str">
        <f>IF(C2215&amp;G2215&amp;D2215&lt;&gt;'Funnel setup'!$K$3&amp;'Funnel setup'!$K$4&amp;'Funnel setup'!$K$6,".",IF(A2214=".",1,A2214+1))</f>
        <v>.</v>
      </c>
      <c r="B2215" s="244" t="str">
        <f t="shared" si="34"/>
        <v>Knee Replacement PrimaryProviderWIRRAL UNIVERSITY TEACHING HOSPITAL NHS FOUNDATION TRUST (RBL)EQ VAS</v>
      </c>
      <c r="C2215" t="s">
        <v>969</v>
      </c>
      <c r="D2215" t="s">
        <v>965</v>
      </c>
      <c r="E2215" t="s">
        <v>714</v>
      </c>
      <c r="F2215" t="s">
        <v>715</v>
      </c>
      <c r="G2215" t="s">
        <v>752</v>
      </c>
      <c r="H2215">
        <v>76</v>
      </c>
      <c r="I2215">
        <v>68.868399999999994</v>
      </c>
      <c r="J2215">
        <v>73.276300000000006</v>
      </c>
      <c r="K2215">
        <v>4.4078900000000001</v>
      </c>
      <c r="L2215">
        <v>39</v>
      </c>
      <c r="M2215">
        <v>7</v>
      </c>
      <c r="N2215">
        <v>30</v>
      </c>
      <c r="O2215">
        <v>72.250900000000001</v>
      </c>
      <c r="P2215">
        <v>6.7224700000000004</v>
      </c>
      <c r="Q2215">
        <v>19.9923</v>
      </c>
    </row>
    <row r="2216" spans="1:17" x14ac:dyDescent="0.25">
      <c r="A2216" t="str">
        <f>IF(C2216&amp;G2216&amp;D2216&lt;&gt;'Funnel setup'!$K$3&amp;'Funnel setup'!$K$4&amp;'Funnel setup'!$K$6,".",IF(A2215=".",1,A2215+1))</f>
        <v>.</v>
      </c>
      <c r="B2216" s="244" t="str">
        <f t="shared" si="34"/>
        <v>Knee Replacement PrimaryProviderWOODLAND HOSPITAL (NVC23)EQ VAS</v>
      </c>
      <c r="C2216" t="s">
        <v>969</v>
      </c>
      <c r="D2216" t="s">
        <v>965</v>
      </c>
      <c r="E2216" t="s">
        <v>716</v>
      </c>
      <c r="F2216" t="s">
        <v>717</v>
      </c>
      <c r="G2216" t="s">
        <v>752</v>
      </c>
      <c r="H2216">
        <v>58</v>
      </c>
      <c r="I2216">
        <v>57.913800000000002</v>
      </c>
      <c r="J2216">
        <v>73.948300000000003</v>
      </c>
      <c r="K2216">
        <v>16.034500000000001</v>
      </c>
      <c r="L2216">
        <v>41</v>
      </c>
      <c r="M2216">
        <v>3</v>
      </c>
      <c r="N2216">
        <v>14</v>
      </c>
      <c r="O2216">
        <v>74.161799999999999</v>
      </c>
      <c r="P2216">
        <v>8.6334099999999996</v>
      </c>
      <c r="Q2216">
        <v>18.6706</v>
      </c>
    </row>
    <row r="2217" spans="1:17" x14ac:dyDescent="0.25">
      <c r="A2217" t="str">
        <f>IF(C2217&amp;G2217&amp;D2217&lt;&gt;'Funnel setup'!$K$3&amp;'Funnel setup'!$K$4&amp;'Funnel setup'!$K$6,".",IF(A2216=".",1,A2216+1))</f>
        <v>.</v>
      </c>
      <c r="B2217" s="244" t="str">
        <f t="shared" si="34"/>
        <v>Knee Replacement PrimaryProviderWOODLANDS HOSPITAL (NT457)EQ VAS</v>
      </c>
      <c r="C2217" t="s">
        <v>969</v>
      </c>
      <c r="D2217" t="s">
        <v>965</v>
      </c>
      <c r="E2217" t="s">
        <v>718</v>
      </c>
      <c r="F2217" t="s">
        <v>719</v>
      </c>
      <c r="G2217" t="s">
        <v>752</v>
      </c>
      <c r="H2217">
        <v>79</v>
      </c>
      <c r="I2217">
        <v>67.227800000000002</v>
      </c>
      <c r="J2217">
        <v>75.784800000000004</v>
      </c>
      <c r="K2217">
        <v>8.5569600000000001</v>
      </c>
      <c r="L2217">
        <v>50</v>
      </c>
      <c r="M2217">
        <v>14</v>
      </c>
      <c r="N2217">
        <v>15</v>
      </c>
      <c r="O2217">
        <v>74.0184</v>
      </c>
      <c r="P2217">
        <v>8.4899699999999996</v>
      </c>
      <c r="Q2217">
        <v>13.8803</v>
      </c>
    </row>
    <row r="2218" spans="1:17" x14ac:dyDescent="0.25">
      <c r="A2218" t="str">
        <f>IF(C2218&amp;G2218&amp;D2218&lt;&gt;'Funnel setup'!$K$3&amp;'Funnel setup'!$K$4&amp;'Funnel setup'!$K$6,".",IF(A2217=".",1,A2217+1))</f>
        <v>.</v>
      </c>
      <c r="B2218" s="244" t="str">
        <f t="shared" si="34"/>
        <v>Knee Replacement PrimaryProviderWOODTHORPE HOSPITAL (NVC40)EQ VAS</v>
      </c>
      <c r="C2218" t="s">
        <v>969</v>
      </c>
      <c r="D2218" t="s">
        <v>965</v>
      </c>
      <c r="E2218" t="s">
        <v>720</v>
      </c>
      <c r="F2218" t="s">
        <v>721</v>
      </c>
      <c r="G2218" t="s">
        <v>752</v>
      </c>
      <c r="H2218">
        <v>108</v>
      </c>
      <c r="I2218">
        <v>65.759299999999996</v>
      </c>
      <c r="J2218">
        <v>73.333299999999994</v>
      </c>
      <c r="K2218">
        <v>7.5740699999999999</v>
      </c>
      <c r="L2218">
        <v>64</v>
      </c>
      <c r="M2218">
        <v>14</v>
      </c>
      <c r="N2218">
        <v>30</v>
      </c>
      <c r="O2218">
        <v>72.464200000000005</v>
      </c>
      <c r="P2218">
        <v>6.93581</v>
      </c>
      <c r="Q2218">
        <v>17.941099999999999</v>
      </c>
    </row>
    <row r="2219" spans="1:17" x14ac:dyDescent="0.25">
      <c r="A2219" t="str">
        <f>IF(C2219&amp;G2219&amp;D2219&lt;&gt;'Funnel setup'!$K$3&amp;'Funnel setup'!$K$4&amp;'Funnel setup'!$K$6,".",IF(A2218=".",1,A2218+1))</f>
        <v>.</v>
      </c>
      <c r="B2219" s="244" t="str">
        <f t="shared" si="34"/>
        <v>Knee Replacement PrimaryProviderWORCESTERSHIRE ACUTE HOSPITALS NHS TRUST (RWP)EQ VAS</v>
      </c>
      <c r="C2219" t="s">
        <v>969</v>
      </c>
      <c r="D2219" t="s">
        <v>965</v>
      </c>
      <c r="E2219" t="s">
        <v>722</v>
      </c>
      <c r="F2219" t="s">
        <v>723</v>
      </c>
      <c r="G2219" t="s">
        <v>752</v>
      </c>
      <c r="H2219">
        <v>45</v>
      </c>
      <c r="I2219">
        <v>69.599999999999994</v>
      </c>
      <c r="J2219">
        <v>66.2667</v>
      </c>
      <c r="K2219">
        <v>-3.3333300000000001</v>
      </c>
      <c r="L2219">
        <v>19</v>
      </c>
      <c r="M2219">
        <v>3</v>
      </c>
      <c r="N2219">
        <v>23</v>
      </c>
      <c r="O2219">
        <v>65.574299999999994</v>
      </c>
      <c r="P2219">
        <v>4.5930199999999997E-2</v>
      </c>
      <c r="Q2219">
        <v>24.857399999999998</v>
      </c>
    </row>
    <row r="2220" spans="1:17" x14ac:dyDescent="0.25">
      <c r="A2220" t="str">
        <f>IF(C2220&amp;G2220&amp;D2220&lt;&gt;'Funnel setup'!$K$3&amp;'Funnel setup'!$K$4&amp;'Funnel setup'!$K$6,".",IF(A2219=".",1,A2219+1))</f>
        <v>.</v>
      </c>
      <c r="B2220" s="244" t="str">
        <f t="shared" si="34"/>
        <v>Knee Replacement PrimaryProviderWRIGHTINGTON, WIGAN AND LEIGH NHS FOUNDATION TRUST (RRF)EQ VAS</v>
      </c>
      <c r="C2220" t="s">
        <v>969</v>
      </c>
      <c r="D2220" t="s">
        <v>965</v>
      </c>
      <c r="E2220" t="s">
        <v>724</v>
      </c>
      <c r="F2220" t="s">
        <v>725</v>
      </c>
      <c r="G2220" t="s">
        <v>752</v>
      </c>
      <c r="H2220">
        <v>9</v>
      </c>
      <c r="I2220">
        <v>72.333299999999994</v>
      </c>
      <c r="J2220">
        <v>72.666700000000006</v>
      </c>
      <c r="K2220">
        <v>0.33333299999999999</v>
      </c>
      <c r="L2220">
        <v>4</v>
      </c>
      <c r="M2220">
        <v>0</v>
      </c>
      <c r="N2220">
        <v>5</v>
      </c>
      <c r="O2220" t="s">
        <v>127</v>
      </c>
      <c r="P2220" t="s">
        <v>127</v>
      </c>
      <c r="Q2220" t="s">
        <v>127</v>
      </c>
    </row>
    <row r="2221" spans="1:17" x14ac:dyDescent="0.25">
      <c r="A2221" t="str">
        <f>IF(C2221&amp;G2221&amp;D2221&lt;&gt;'Funnel setup'!$K$3&amp;'Funnel setup'!$K$4&amp;'Funnel setup'!$K$6,".",IF(A2220=".",1,A2220+1))</f>
        <v>.</v>
      </c>
      <c r="B2221" s="244" t="str">
        <f t="shared" si="34"/>
        <v>Knee Replacement PrimaryProviderWYE VALLEY NHS TRUST (RLQ)EQ VAS</v>
      </c>
      <c r="C2221" t="s">
        <v>969</v>
      </c>
      <c r="D2221" t="s">
        <v>965</v>
      </c>
      <c r="E2221" t="s">
        <v>726</v>
      </c>
      <c r="F2221" t="s">
        <v>727</v>
      </c>
      <c r="G2221" t="s">
        <v>752</v>
      </c>
      <c r="H2221">
        <v>31</v>
      </c>
      <c r="I2221">
        <v>68.838700000000003</v>
      </c>
      <c r="J2221">
        <v>73.903199999999998</v>
      </c>
      <c r="K2221">
        <v>5.0645199999999999</v>
      </c>
      <c r="L2221">
        <v>16</v>
      </c>
      <c r="M2221">
        <v>5</v>
      </c>
      <c r="N2221">
        <v>10</v>
      </c>
      <c r="O2221">
        <v>72.716999999999999</v>
      </c>
      <c r="P2221">
        <v>7.1886000000000001</v>
      </c>
      <c r="Q2221">
        <v>17.925699999999999</v>
      </c>
    </row>
    <row r="2222" spans="1:17" x14ac:dyDescent="0.25">
      <c r="A2222" t="str">
        <f>IF(C2222&amp;G2222&amp;D2222&lt;&gt;'Funnel setup'!$K$3&amp;'Funnel setup'!$K$4&amp;'Funnel setup'!$K$6,".",IF(A2221=".",1,A2221+1))</f>
        <v>.</v>
      </c>
      <c r="B2222" s="244" t="str">
        <f t="shared" si="34"/>
        <v>Knee Replacement PrimaryProviderYEOVIL DISTRICT HOSPITAL NHS FOUNDATION TRUST (RA4)EQ VAS</v>
      </c>
      <c r="C2222" t="s">
        <v>969</v>
      </c>
      <c r="D2222" t="s">
        <v>965</v>
      </c>
      <c r="E2222" t="s">
        <v>728</v>
      </c>
      <c r="F2222" t="s">
        <v>729</v>
      </c>
      <c r="G2222" t="s">
        <v>752</v>
      </c>
      <c r="H2222" t="s">
        <v>968</v>
      </c>
      <c r="I2222" t="s">
        <v>968</v>
      </c>
      <c r="J2222" t="s">
        <v>968</v>
      </c>
      <c r="K2222" t="s">
        <v>968</v>
      </c>
      <c r="L2222" t="s">
        <v>968</v>
      </c>
      <c r="M2222" t="s">
        <v>968</v>
      </c>
      <c r="N2222" t="s">
        <v>968</v>
      </c>
      <c r="O2222" t="s">
        <v>968</v>
      </c>
      <c r="P2222" t="s">
        <v>968</v>
      </c>
      <c r="Q2222" t="s">
        <v>968</v>
      </c>
    </row>
    <row r="2223" spans="1:17" x14ac:dyDescent="0.25">
      <c r="A2223" t="str">
        <f>IF(C2223&amp;G2223&amp;D2223&lt;&gt;'Funnel setup'!$K$3&amp;'Funnel setup'!$K$4&amp;'Funnel setup'!$K$6,".",IF(A2222=".",1,A2222+1))</f>
        <v>.</v>
      </c>
      <c r="B2223" s="244" t="str">
        <f t="shared" si="34"/>
        <v>Knee Replacement PrimaryProviderSULIS HOSPITAL BATHEQ-5D Index</v>
      </c>
      <c r="C2223" t="s">
        <v>969</v>
      </c>
      <c r="D2223" t="s">
        <v>965</v>
      </c>
      <c r="E2223" t="s">
        <v>732</v>
      </c>
      <c r="F2223" t="s">
        <v>1325</v>
      </c>
      <c r="G2223" t="s">
        <v>963</v>
      </c>
      <c r="H2223">
        <v>35</v>
      </c>
      <c r="I2223">
        <v>0.49740000000000001</v>
      </c>
      <c r="J2223">
        <v>0.7742</v>
      </c>
      <c r="K2223">
        <v>0.27679999999999999</v>
      </c>
      <c r="L2223">
        <v>26</v>
      </c>
      <c r="M2223">
        <v>6</v>
      </c>
      <c r="N2223">
        <v>3</v>
      </c>
      <c r="O2223">
        <v>0.75803600000000004</v>
      </c>
      <c r="P2223">
        <v>0.32923999999999998</v>
      </c>
      <c r="Q2223">
        <v>0.17649400000000001</v>
      </c>
    </row>
    <row r="2224" spans="1:17" x14ac:dyDescent="0.25">
      <c r="A2224" t="str">
        <f>IF(C2224&amp;G2224&amp;D2224&lt;&gt;'Funnel setup'!$K$3&amp;'Funnel setup'!$K$4&amp;'Funnel setup'!$K$6,".",IF(A2223=".",1,A2223+1))</f>
        <v>.</v>
      </c>
      <c r="B2224" s="244" t="str">
        <f t="shared" si="34"/>
        <v>Knee Replacement PrimaryProviderAIREDALE NHS FOUNDATION TRUST (RCF)EQ-5D Index</v>
      </c>
      <c r="C2224" t="s">
        <v>969</v>
      </c>
      <c r="D2224" t="s">
        <v>965</v>
      </c>
      <c r="E2224" t="s">
        <v>125</v>
      </c>
      <c r="F2224" t="s">
        <v>126</v>
      </c>
      <c r="G2224" t="s">
        <v>963</v>
      </c>
      <c r="H2224">
        <v>31</v>
      </c>
      <c r="I2224">
        <v>0.36767699999999998</v>
      </c>
      <c r="J2224">
        <v>0.76371</v>
      </c>
      <c r="K2224">
        <v>0.396032</v>
      </c>
      <c r="L2224">
        <v>28</v>
      </c>
      <c r="M2224">
        <v>1</v>
      </c>
      <c r="N2224">
        <v>2</v>
      </c>
      <c r="O2224">
        <v>0.77430900000000003</v>
      </c>
      <c r="P2224">
        <v>0.34551300000000001</v>
      </c>
      <c r="Q2224">
        <v>0.295713</v>
      </c>
    </row>
    <row r="2225" spans="1:17" x14ac:dyDescent="0.25">
      <c r="A2225" t="str">
        <f>IF(C2225&amp;G2225&amp;D2225&lt;&gt;'Funnel setup'!$K$3&amp;'Funnel setup'!$K$4&amp;'Funnel setup'!$K$6,".",IF(A2224=".",1,A2224+1))</f>
        <v>.</v>
      </c>
      <c r="B2225" s="244" t="str">
        <f t="shared" si="34"/>
        <v>Knee Replacement PrimaryProviderALEXANDRA HOSPITAL (NT401)EQ-5D Index</v>
      </c>
      <c r="C2225" t="s">
        <v>969</v>
      </c>
      <c r="D2225" t="s">
        <v>965</v>
      </c>
      <c r="E2225" t="s">
        <v>130</v>
      </c>
      <c r="F2225" t="s">
        <v>131</v>
      </c>
      <c r="G2225" t="s">
        <v>963</v>
      </c>
      <c r="H2225">
        <v>46</v>
      </c>
      <c r="I2225">
        <v>0.44397799999999998</v>
      </c>
      <c r="J2225">
        <v>0.74171699999999996</v>
      </c>
      <c r="K2225">
        <v>0.29773899999999998</v>
      </c>
      <c r="L2225">
        <v>38</v>
      </c>
      <c r="M2225">
        <v>2</v>
      </c>
      <c r="N2225">
        <v>6</v>
      </c>
      <c r="O2225">
        <v>0.72375500000000004</v>
      </c>
      <c r="P2225">
        <v>0.29496</v>
      </c>
      <c r="Q2225">
        <v>0.236706</v>
      </c>
    </row>
    <row r="2226" spans="1:17" x14ac:dyDescent="0.25">
      <c r="A2226" t="str">
        <f>IF(C2226&amp;G2226&amp;D2226&lt;&gt;'Funnel setup'!$K$3&amp;'Funnel setup'!$K$4&amp;'Funnel setup'!$K$6,".",IF(A2225=".",1,A2225+1))</f>
        <v>.</v>
      </c>
      <c r="B2226" s="244" t="str">
        <f t="shared" si="34"/>
        <v>Knee Replacement PrimaryProviderASHFORD AND ST PETER'S HOSPITALS NHS FOUNDATION TRUST (RTK)EQ-5D Index</v>
      </c>
      <c r="C2226" t="s">
        <v>969</v>
      </c>
      <c r="D2226" t="s">
        <v>965</v>
      </c>
      <c r="E2226" t="s">
        <v>132</v>
      </c>
      <c r="F2226" t="s">
        <v>133</v>
      </c>
      <c r="G2226" t="s">
        <v>963</v>
      </c>
      <c r="H2226">
        <v>30</v>
      </c>
      <c r="I2226">
        <v>0.47343299999999999</v>
      </c>
      <c r="J2226">
        <v>0.82836699999999996</v>
      </c>
      <c r="K2226">
        <v>0.354933</v>
      </c>
      <c r="L2226">
        <v>24</v>
      </c>
      <c r="M2226">
        <v>5</v>
      </c>
      <c r="N2226">
        <v>1</v>
      </c>
      <c r="O2226">
        <v>0.79466300000000001</v>
      </c>
      <c r="P2226">
        <v>0.365867</v>
      </c>
      <c r="Q2226">
        <v>0.21735499999999999</v>
      </c>
    </row>
    <row r="2227" spans="1:17" x14ac:dyDescent="0.25">
      <c r="A2227" t="str">
        <f>IF(C2227&amp;G2227&amp;D2227&lt;&gt;'Funnel setup'!$K$3&amp;'Funnel setup'!$K$4&amp;'Funnel setup'!$K$6,".",IF(A2226=".",1,A2226+1))</f>
        <v>.</v>
      </c>
      <c r="B2227" s="244" t="str">
        <f t="shared" si="34"/>
        <v>Knee Replacement PrimaryProviderASHTEAD HOSPITAL (NVC01)EQ-5D Index</v>
      </c>
      <c r="C2227" t="s">
        <v>969</v>
      </c>
      <c r="D2227" t="s">
        <v>965</v>
      </c>
      <c r="E2227" t="s">
        <v>134</v>
      </c>
      <c r="F2227" t="s">
        <v>135</v>
      </c>
      <c r="G2227" t="s">
        <v>963</v>
      </c>
      <c r="H2227">
        <v>4</v>
      </c>
      <c r="I2227">
        <v>0.55200000000000005</v>
      </c>
      <c r="J2227">
        <v>1</v>
      </c>
      <c r="K2227">
        <v>0.44800000000000001</v>
      </c>
      <c r="L2227">
        <v>4</v>
      </c>
      <c r="M2227">
        <v>0</v>
      </c>
      <c r="N2227">
        <v>0</v>
      </c>
      <c r="O2227" t="s">
        <v>127</v>
      </c>
      <c r="P2227" t="s">
        <v>127</v>
      </c>
      <c r="Q2227" t="s">
        <v>127</v>
      </c>
    </row>
    <row r="2228" spans="1:17" x14ac:dyDescent="0.25">
      <c r="A2228" t="str">
        <f>IF(C2228&amp;G2228&amp;D2228&lt;&gt;'Funnel setup'!$K$3&amp;'Funnel setup'!$K$4&amp;'Funnel setup'!$K$6,".",IF(A2227=".",1,A2227+1))</f>
        <v>.</v>
      </c>
      <c r="B2228" s="244" t="str">
        <f t="shared" si="34"/>
        <v>Knee Replacement PrimaryProviderBARKING, HAVERING AND REDBRIDGE UNIVERSITY HOSPITALS NHS TRUST (RF4)EQ-5D Index</v>
      </c>
      <c r="C2228" t="s">
        <v>969</v>
      </c>
      <c r="D2228" t="s">
        <v>965</v>
      </c>
      <c r="E2228" t="s">
        <v>144</v>
      </c>
      <c r="F2228" t="s">
        <v>145</v>
      </c>
      <c r="G2228" t="s">
        <v>963</v>
      </c>
      <c r="H2228">
        <v>60</v>
      </c>
      <c r="I2228">
        <v>0.39261699999999999</v>
      </c>
      <c r="J2228">
        <v>0.70965</v>
      </c>
      <c r="K2228">
        <v>0.31703300000000001</v>
      </c>
      <c r="L2228">
        <v>43</v>
      </c>
      <c r="M2228">
        <v>10</v>
      </c>
      <c r="N2228">
        <v>7</v>
      </c>
      <c r="O2228">
        <v>0.748089</v>
      </c>
      <c r="P2228">
        <v>0.31929299999999999</v>
      </c>
      <c r="Q2228">
        <v>0.212256</v>
      </c>
    </row>
    <row r="2229" spans="1:17" x14ac:dyDescent="0.25">
      <c r="A2229" t="str">
        <f>IF(C2229&amp;G2229&amp;D2229&lt;&gt;'Funnel setup'!$K$3&amp;'Funnel setup'!$K$4&amp;'Funnel setup'!$K$6,".",IF(A2228=".",1,A2228+1))</f>
        <v>.</v>
      </c>
      <c r="B2229" s="244" t="str">
        <f t="shared" si="34"/>
        <v>Knee Replacement PrimaryProviderBARNSLEY HOSPITAL NHS FOUNDATION TRUST (RFF)EQ-5D Index</v>
      </c>
      <c r="C2229" t="s">
        <v>969</v>
      </c>
      <c r="D2229" t="s">
        <v>965</v>
      </c>
      <c r="E2229" t="s">
        <v>146</v>
      </c>
      <c r="F2229" t="s">
        <v>147</v>
      </c>
      <c r="G2229" t="s">
        <v>963</v>
      </c>
      <c r="H2229">
        <v>49</v>
      </c>
      <c r="I2229">
        <v>0.376633</v>
      </c>
      <c r="J2229">
        <v>0.66406100000000001</v>
      </c>
      <c r="K2229">
        <v>0.28742899999999999</v>
      </c>
      <c r="L2229">
        <v>36</v>
      </c>
      <c r="M2229">
        <v>5</v>
      </c>
      <c r="N2229">
        <v>8</v>
      </c>
      <c r="O2229">
        <v>0.69441900000000001</v>
      </c>
      <c r="P2229">
        <v>0.265623</v>
      </c>
      <c r="Q2229">
        <v>0.30149399999999998</v>
      </c>
    </row>
    <row r="2230" spans="1:17" x14ac:dyDescent="0.25">
      <c r="A2230" t="str">
        <f>IF(C2230&amp;G2230&amp;D2230&lt;&gt;'Funnel setup'!$K$3&amp;'Funnel setup'!$K$4&amp;'Funnel setup'!$K$6,".",IF(A2229=".",1,A2229+1))</f>
        <v>.</v>
      </c>
      <c r="B2230" s="244" t="str">
        <f t="shared" si="34"/>
        <v>Knee Replacement PrimaryProviderBARTS HEALTH NHS TRUST (R1H)EQ-5D Index</v>
      </c>
      <c r="C2230" t="s">
        <v>969</v>
      </c>
      <c r="D2230" t="s">
        <v>965</v>
      </c>
      <c r="E2230" t="s">
        <v>148</v>
      </c>
      <c r="F2230" t="s">
        <v>149</v>
      </c>
      <c r="G2230" t="s">
        <v>963</v>
      </c>
      <c r="H2230">
        <v>63</v>
      </c>
      <c r="I2230">
        <v>0.38212699999999999</v>
      </c>
      <c r="J2230">
        <v>0.68595200000000001</v>
      </c>
      <c r="K2230">
        <v>0.30382500000000001</v>
      </c>
      <c r="L2230">
        <v>46</v>
      </c>
      <c r="M2230">
        <v>8</v>
      </c>
      <c r="N2230">
        <v>9</v>
      </c>
      <c r="O2230">
        <v>0.73300500000000002</v>
      </c>
      <c r="P2230">
        <v>0.30420999999999998</v>
      </c>
      <c r="Q2230">
        <v>0.25663200000000003</v>
      </c>
    </row>
    <row r="2231" spans="1:17" x14ac:dyDescent="0.25">
      <c r="A2231" t="str">
        <f>IF(C2231&amp;G2231&amp;D2231&lt;&gt;'Funnel setup'!$K$3&amp;'Funnel setup'!$K$4&amp;'Funnel setup'!$K$6,".",IF(A2230=".",1,A2230+1))</f>
        <v>.</v>
      </c>
      <c r="B2231" s="244" t="str">
        <f t="shared" si="34"/>
        <v>Knee Replacement PrimaryProviderBATH CLINIC (NT402)EQ-5D Index</v>
      </c>
      <c r="C2231" t="s">
        <v>969</v>
      </c>
      <c r="D2231" t="s">
        <v>965</v>
      </c>
      <c r="E2231" t="s">
        <v>152</v>
      </c>
      <c r="F2231" t="s">
        <v>153</v>
      </c>
      <c r="G2231" t="s">
        <v>963</v>
      </c>
      <c r="H2231">
        <v>52</v>
      </c>
      <c r="I2231">
        <v>0.51667300000000005</v>
      </c>
      <c r="J2231">
        <v>0.82284599999999997</v>
      </c>
      <c r="K2231">
        <v>0.30617299999999997</v>
      </c>
      <c r="L2231">
        <v>45</v>
      </c>
      <c r="M2231">
        <v>3</v>
      </c>
      <c r="N2231">
        <v>4</v>
      </c>
      <c r="O2231">
        <v>0.76785599999999998</v>
      </c>
      <c r="P2231">
        <v>0.339061</v>
      </c>
      <c r="Q2231">
        <v>0.200707</v>
      </c>
    </row>
    <row r="2232" spans="1:17" x14ac:dyDescent="0.25">
      <c r="A2232" t="str">
        <f>IF(C2232&amp;G2232&amp;D2232&lt;&gt;'Funnel setup'!$K$3&amp;'Funnel setup'!$K$4&amp;'Funnel setup'!$K$6,".",IF(A2231=".",1,A2231+1))</f>
        <v>.</v>
      </c>
      <c r="B2232" s="244" t="str">
        <f t="shared" si="34"/>
        <v>Knee Replacement PrimaryProviderBEARDWOOD HOSPITAL (NT403)EQ-5D Index</v>
      </c>
      <c r="C2232" t="s">
        <v>969</v>
      </c>
      <c r="D2232" t="s">
        <v>965</v>
      </c>
      <c r="E2232" t="s">
        <v>154</v>
      </c>
      <c r="F2232" t="s">
        <v>155</v>
      </c>
      <c r="G2232" t="s">
        <v>963</v>
      </c>
      <c r="H2232">
        <v>73</v>
      </c>
      <c r="I2232">
        <v>0.52975300000000003</v>
      </c>
      <c r="J2232">
        <v>0.79980799999999996</v>
      </c>
      <c r="K2232">
        <v>0.27005499999999999</v>
      </c>
      <c r="L2232">
        <v>62</v>
      </c>
      <c r="M2232">
        <v>8</v>
      </c>
      <c r="N2232">
        <v>3</v>
      </c>
      <c r="O2232">
        <v>0.76306799999999997</v>
      </c>
      <c r="P2232">
        <v>0.33427299999999999</v>
      </c>
      <c r="Q2232">
        <v>0.17369299999999999</v>
      </c>
    </row>
    <row r="2233" spans="1:17" x14ac:dyDescent="0.25">
      <c r="A2233" t="str">
        <f>IF(C2233&amp;G2233&amp;D2233&lt;&gt;'Funnel setup'!$K$3&amp;'Funnel setup'!$K$4&amp;'Funnel setup'!$K$6,".",IF(A2232=".",1,A2232+1))</f>
        <v>.</v>
      </c>
      <c r="B2233" s="244" t="str">
        <f t="shared" si="34"/>
        <v>Knee Replacement PrimaryProviderBEAUMONT HOSPITAL (NT404)EQ-5D Index</v>
      </c>
      <c r="C2233" t="s">
        <v>969</v>
      </c>
      <c r="D2233" t="s">
        <v>965</v>
      </c>
      <c r="E2233" t="s">
        <v>156</v>
      </c>
      <c r="F2233" t="s">
        <v>157</v>
      </c>
      <c r="G2233" t="s">
        <v>963</v>
      </c>
      <c r="H2233">
        <v>43</v>
      </c>
      <c r="I2233">
        <v>0.51660499999999998</v>
      </c>
      <c r="J2233">
        <v>0.79313999999999996</v>
      </c>
      <c r="K2233">
        <v>0.27653499999999998</v>
      </c>
      <c r="L2233">
        <v>38</v>
      </c>
      <c r="M2233">
        <v>1</v>
      </c>
      <c r="N2233">
        <v>4</v>
      </c>
      <c r="O2233">
        <v>0.75702000000000003</v>
      </c>
      <c r="P2233">
        <v>0.32822499999999999</v>
      </c>
      <c r="Q2233">
        <v>0.236433</v>
      </c>
    </row>
    <row r="2234" spans="1:17" x14ac:dyDescent="0.25">
      <c r="A2234" t="str">
        <f>IF(C2234&amp;G2234&amp;D2234&lt;&gt;'Funnel setup'!$K$3&amp;'Funnel setup'!$K$4&amp;'Funnel setup'!$K$6,".",IF(A2233=".",1,A2233+1))</f>
        <v>.</v>
      </c>
      <c r="B2234" s="244" t="str">
        <f t="shared" si="34"/>
        <v>Knee Replacement PrimaryProviderBEDFORDSHIRE HOSPITALS NHS FOUNDATION TRUST (RC9)EQ-5D Index</v>
      </c>
      <c r="C2234" t="s">
        <v>969</v>
      </c>
      <c r="D2234" t="s">
        <v>965</v>
      </c>
      <c r="E2234" t="s">
        <v>158</v>
      </c>
      <c r="F2234" t="s">
        <v>159</v>
      </c>
      <c r="G2234" t="s">
        <v>963</v>
      </c>
      <c r="H2234">
        <v>146</v>
      </c>
      <c r="I2234">
        <v>0.36725999999999998</v>
      </c>
      <c r="J2234">
        <v>0.70416400000000001</v>
      </c>
      <c r="K2234">
        <v>0.33690399999999998</v>
      </c>
      <c r="L2234">
        <v>119</v>
      </c>
      <c r="M2234">
        <v>9</v>
      </c>
      <c r="N2234">
        <v>18</v>
      </c>
      <c r="O2234">
        <v>0.73079700000000003</v>
      </c>
      <c r="P2234">
        <v>0.30200100000000002</v>
      </c>
      <c r="Q2234">
        <v>0.26396199999999997</v>
      </c>
    </row>
    <row r="2235" spans="1:17" x14ac:dyDescent="0.25">
      <c r="A2235" t="str">
        <f>IF(C2235&amp;G2235&amp;D2235&lt;&gt;'Funnel setup'!$K$3&amp;'Funnel setup'!$K$4&amp;'Funnel setup'!$K$6,".",IF(A2234=".",1,A2234+1))</f>
        <v>.</v>
      </c>
      <c r="B2235" s="244" t="str">
        <f t="shared" si="34"/>
        <v>Knee Replacement PrimaryProviderBENENDEN HOSPITAL (NWF01)EQ-5D Index</v>
      </c>
      <c r="C2235" t="s">
        <v>969</v>
      </c>
      <c r="D2235" t="s">
        <v>965</v>
      </c>
      <c r="E2235" t="s">
        <v>160</v>
      </c>
      <c r="F2235" t="s">
        <v>161</v>
      </c>
      <c r="G2235" t="s">
        <v>963</v>
      </c>
      <c r="H2235">
        <v>25</v>
      </c>
      <c r="I2235">
        <v>0.57732000000000006</v>
      </c>
      <c r="J2235">
        <v>0.81364000000000003</v>
      </c>
      <c r="K2235">
        <v>0.23632</v>
      </c>
      <c r="L2235">
        <v>19</v>
      </c>
      <c r="M2235">
        <v>3</v>
      </c>
      <c r="N2235">
        <v>3</v>
      </c>
      <c r="O2235" t="s">
        <v>127</v>
      </c>
      <c r="P2235" t="s">
        <v>127</v>
      </c>
      <c r="Q2235" t="s">
        <v>127</v>
      </c>
    </row>
    <row r="2236" spans="1:17" x14ac:dyDescent="0.25">
      <c r="A2236" t="str">
        <f>IF(C2236&amp;G2236&amp;D2236&lt;&gt;'Funnel setup'!$K$3&amp;'Funnel setup'!$K$4&amp;'Funnel setup'!$K$6,".",IF(A2235=".",1,A2235+1))</f>
        <v>.</v>
      </c>
      <c r="B2236" s="244" t="str">
        <f t="shared" si="34"/>
        <v>Knee Replacement PrimaryProviderBLACKHEATH HOSPITAL (NT406)EQ-5D Index</v>
      </c>
      <c r="C2236" t="s">
        <v>969</v>
      </c>
      <c r="D2236" t="s">
        <v>965</v>
      </c>
      <c r="E2236" t="s">
        <v>168</v>
      </c>
      <c r="F2236" t="s">
        <v>169</v>
      </c>
      <c r="G2236" t="s">
        <v>963</v>
      </c>
      <c r="H2236">
        <v>20</v>
      </c>
      <c r="I2236">
        <v>0.45074999999999998</v>
      </c>
      <c r="J2236">
        <v>0.76195000000000002</v>
      </c>
      <c r="K2236">
        <v>0.31119999999999998</v>
      </c>
      <c r="L2236">
        <v>17</v>
      </c>
      <c r="M2236">
        <v>0</v>
      </c>
      <c r="N2236">
        <v>3</v>
      </c>
      <c r="O2236" t="s">
        <v>127</v>
      </c>
      <c r="P2236" t="s">
        <v>127</v>
      </c>
      <c r="Q2236" t="s">
        <v>127</v>
      </c>
    </row>
    <row r="2237" spans="1:17" x14ac:dyDescent="0.25">
      <c r="A2237" t="str">
        <f>IF(C2237&amp;G2237&amp;D2237&lt;&gt;'Funnel setup'!$K$3&amp;'Funnel setup'!$K$4&amp;'Funnel setup'!$K$6,".",IF(A2236=".",1,A2236+1))</f>
        <v>.</v>
      </c>
      <c r="B2237" s="244" t="str">
        <f t="shared" si="34"/>
        <v>Knee Replacement PrimaryProviderBLACKPOOL TEACHING HOSPITALS NHS FOUNDATION TRUST (RXL)EQ-5D Index</v>
      </c>
      <c r="C2237" t="s">
        <v>969</v>
      </c>
      <c r="D2237" t="s">
        <v>965</v>
      </c>
      <c r="E2237" t="s">
        <v>170</v>
      </c>
      <c r="F2237" t="s">
        <v>171</v>
      </c>
      <c r="G2237" t="s">
        <v>963</v>
      </c>
      <c r="H2237">
        <v>59</v>
      </c>
      <c r="I2237">
        <v>0.46462700000000001</v>
      </c>
      <c r="J2237">
        <v>0.73308499999999999</v>
      </c>
      <c r="K2237">
        <v>0.26845799999999997</v>
      </c>
      <c r="L2237">
        <v>47</v>
      </c>
      <c r="M2237">
        <v>4</v>
      </c>
      <c r="N2237">
        <v>8</v>
      </c>
      <c r="O2237">
        <v>0.76619099999999996</v>
      </c>
      <c r="P2237">
        <v>0.337395</v>
      </c>
      <c r="Q2237">
        <v>0.21515400000000001</v>
      </c>
    </row>
    <row r="2238" spans="1:17" x14ac:dyDescent="0.25">
      <c r="A2238" t="str">
        <f>IF(C2238&amp;G2238&amp;D2238&lt;&gt;'Funnel setup'!$K$3&amp;'Funnel setup'!$K$4&amp;'Funnel setup'!$K$6,".",IF(A2237=".",1,A2237+1))</f>
        <v>.</v>
      </c>
      <c r="B2238" s="244" t="str">
        <f t="shared" si="34"/>
        <v>Knee Replacement PrimaryProviderBOLTON NHS FOUNDATION TRUST (RMC)EQ-5D Index</v>
      </c>
      <c r="C2238" t="s">
        <v>969</v>
      </c>
      <c r="D2238" t="s">
        <v>965</v>
      </c>
      <c r="E2238" t="s">
        <v>172</v>
      </c>
      <c r="F2238" t="s">
        <v>173</v>
      </c>
      <c r="G2238" t="s">
        <v>963</v>
      </c>
      <c r="H2238">
        <v>45</v>
      </c>
      <c r="I2238">
        <v>0.30533300000000002</v>
      </c>
      <c r="J2238">
        <v>0.71906700000000001</v>
      </c>
      <c r="K2238">
        <v>0.41373300000000002</v>
      </c>
      <c r="L2238">
        <v>38</v>
      </c>
      <c r="M2238">
        <v>5</v>
      </c>
      <c r="N2238">
        <v>2</v>
      </c>
      <c r="O2238">
        <v>0.76670499999999997</v>
      </c>
      <c r="P2238">
        <v>0.33790900000000001</v>
      </c>
      <c r="Q2238">
        <v>0.25892100000000001</v>
      </c>
    </row>
    <row r="2239" spans="1:17" x14ac:dyDescent="0.25">
      <c r="A2239" t="str">
        <f>IF(C2239&amp;G2239&amp;D2239&lt;&gt;'Funnel setup'!$K$3&amp;'Funnel setup'!$K$4&amp;'Funnel setup'!$K$6,".",IF(A2238=".",1,A2238+1))</f>
        <v>.</v>
      </c>
      <c r="B2239" s="244" t="str">
        <f t="shared" si="34"/>
        <v>Knee Replacement PrimaryProviderBRADFORD TEACHING HOSPITALS NHS FOUNDATION TRUST (RAE)EQ-5D Index</v>
      </c>
      <c r="C2239" t="s">
        <v>969</v>
      </c>
      <c r="D2239" t="s">
        <v>965</v>
      </c>
      <c r="E2239" t="s">
        <v>174</v>
      </c>
      <c r="F2239" t="s">
        <v>175</v>
      </c>
      <c r="G2239" t="s">
        <v>963</v>
      </c>
      <c r="H2239">
        <v>4</v>
      </c>
      <c r="I2239">
        <v>0.44624999999999998</v>
      </c>
      <c r="J2239">
        <v>0.79474999999999996</v>
      </c>
      <c r="K2239">
        <v>0.34849999999999998</v>
      </c>
      <c r="L2239">
        <v>4</v>
      </c>
      <c r="M2239">
        <v>0</v>
      </c>
      <c r="N2239">
        <v>0</v>
      </c>
      <c r="O2239" t="s">
        <v>127</v>
      </c>
      <c r="P2239" t="s">
        <v>127</v>
      </c>
      <c r="Q2239" t="s">
        <v>127</v>
      </c>
    </row>
    <row r="2240" spans="1:17" x14ac:dyDescent="0.25">
      <c r="A2240" t="str">
        <f>IF(C2240&amp;G2240&amp;D2240&lt;&gt;'Funnel setup'!$K$3&amp;'Funnel setup'!$K$4&amp;'Funnel setup'!$K$6,".",IF(A2239=".",1,A2239+1))</f>
        <v>.</v>
      </c>
      <c r="B2240" s="244" t="str">
        <f t="shared" si="34"/>
        <v>Knee Replacement PrimaryProviderBUCKINGHAMSHIRE HEALTHCARE NHS TRUST (RXQ)EQ-5D Index</v>
      </c>
      <c r="C2240" t="s">
        <v>969</v>
      </c>
      <c r="D2240" t="s">
        <v>965</v>
      </c>
      <c r="E2240" t="s">
        <v>178</v>
      </c>
      <c r="F2240" t="s">
        <v>179</v>
      </c>
      <c r="G2240" t="s">
        <v>963</v>
      </c>
      <c r="H2240">
        <v>76</v>
      </c>
      <c r="I2240">
        <v>0.39021099999999997</v>
      </c>
      <c r="J2240">
        <v>0.75459200000000004</v>
      </c>
      <c r="K2240">
        <v>0.36438199999999998</v>
      </c>
      <c r="L2240">
        <v>65</v>
      </c>
      <c r="M2240">
        <v>6</v>
      </c>
      <c r="N2240">
        <v>5</v>
      </c>
      <c r="O2240">
        <v>0.75595199999999996</v>
      </c>
      <c r="P2240">
        <v>0.32715699999999998</v>
      </c>
      <c r="Q2240">
        <v>0.21947700000000001</v>
      </c>
    </row>
    <row r="2241" spans="1:17" x14ac:dyDescent="0.25">
      <c r="A2241" t="str">
        <f>IF(C2241&amp;G2241&amp;D2241&lt;&gt;'Funnel setup'!$K$3&amp;'Funnel setup'!$K$4&amp;'Funnel setup'!$K$6,".",IF(A2240=".",1,A2240+1))</f>
        <v>.</v>
      </c>
      <c r="B2241" s="244" t="str">
        <f t="shared" si="34"/>
        <v>Knee Replacement PrimaryProviderCALDERDALE AND HUDDERSFIELD NHS FOUNDATION TRUST (RWY)EQ-5D Index</v>
      </c>
      <c r="C2241" t="s">
        <v>969</v>
      </c>
      <c r="D2241" t="s">
        <v>965</v>
      </c>
      <c r="E2241" t="s">
        <v>180</v>
      </c>
      <c r="F2241" t="s">
        <v>181</v>
      </c>
      <c r="G2241" t="s">
        <v>963</v>
      </c>
      <c r="H2241">
        <v>62</v>
      </c>
      <c r="I2241">
        <v>0.471613</v>
      </c>
      <c r="J2241">
        <v>0.69572599999999996</v>
      </c>
      <c r="K2241">
        <v>0.22411300000000001</v>
      </c>
      <c r="L2241">
        <v>43</v>
      </c>
      <c r="M2241">
        <v>8</v>
      </c>
      <c r="N2241">
        <v>11</v>
      </c>
      <c r="O2241">
        <v>0.68266899999999997</v>
      </c>
      <c r="P2241">
        <v>0.25387300000000002</v>
      </c>
      <c r="Q2241">
        <v>0.26660499999999998</v>
      </c>
    </row>
    <row r="2242" spans="1:17" x14ac:dyDescent="0.25">
      <c r="A2242" t="str">
        <f>IF(C2242&amp;G2242&amp;D2242&lt;&gt;'Funnel setup'!$K$3&amp;'Funnel setup'!$K$4&amp;'Funnel setup'!$K$6,".",IF(A2241=".",1,A2241+1))</f>
        <v>.</v>
      </c>
      <c r="B2242" s="244" t="str">
        <f t="shared" ref="B2242:B2305" si="35">C2242&amp;D2242&amp;F2242&amp;G2242</f>
        <v>Knee Replacement PrimaryProviderCAMBRIDGE UNIVERSITY HOSPITALS NHS FOUNDATION TRUST (RGT)EQ-5D Index</v>
      </c>
      <c r="C2242" t="s">
        <v>969</v>
      </c>
      <c r="D2242" t="s">
        <v>965</v>
      </c>
      <c r="E2242" t="s">
        <v>182</v>
      </c>
      <c r="F2242" t="s">
        <v>183</v>
      </c>
      <c r="G2242" t="s">
        <v>963</v>
      </c>
      <c r="H2242">
        <v>51</v>
      </c>
      <c r="I2242">
        <v>0.25188199999999999</v>
      </c>
      <c r="J2242">
        <v>0.65102000000000004</v>
      </c>
      <c r="K2242">
        <v>0.39913700000000002</v>
      </c>
      <c r="L2242">
        <v>44</v>
      </c>
      <c r="M2242">
        <v>4</v>
      </c>
      <c r="N2242">
        <v>3</v>
      </c>
      <c r="O2242">
        <v>0.73269099999999998</v>
      </c>
      <c r="P2242">
        <v>0.303896</v>
      </c>
      <c r="Q2242">
        <v>0.25738499999999997</v>
      </c>
    </row>
    <row r="2243" spans="1:17" x14ac:dyDescent="0.25">
      <c r="A2243" t="str">
        <f>IF(C2243&amp;G2243&amp;D2243&lt;&gt;'Funnel setup'!$K$3&amp;'Funnel setup'!$K$4&amp;'Funnel setup'!$K$6,".",IF(A2242=".",1,A2242+1))</f>
        <v>.</v>
      </c>
      <c r="B2243" s="244" t="str">
        <f t="shared" si="35"/>
        <v>Knee Replacement PrimaryProviderCAVELL HOSPITAL (NT451)EQ-5D Index</v>
      </c>
      <c r="C2243" t="s">
        <v>969</v>
      </c>
      <c r="D2243" t="s">
        <v>965</v>
      </c>
      <c r="E2243" t="s">
        <v>184</v>
      </c>
      <c r="F2243" t="s">
        <v>185</v>
      </c>
      <c r="G2243" t="s">
        <v>963</v>
      </c>
      <c r="H2243">
        <v>39</v>
      </c>
      <c r="I2243">
        <v>0.40305099999999999</v>
      </c>
      <c r="J2243">
        <v>0.69902600000000004</v>
      </c>
      <c r="K2243">
        <v>0.29597400000000001</v>
      </c>
      <c r="L2243">
        <v>31</v>
      </c>
      <c r="M2243">
        <v>4</v>
      </c>
      <c r="N2243">
        <v>4</v>
      </c>
      <c r="O2243">
        <v>0.69229600000000002</v>
      </c>
      <c r="P2243">
        <v>0.26350000000000001</v>
      </c>
      <c r="Q2243">
        <v>0.23658699999999999</v>
      </c>
    </row>
    <row r="2244" spans="1:17" x14ac:dyDescent="0.25">
      <c r="A2244" t="str">
        <f>IF(C2244&amp;G2244&amp;D2244&lt;&gt;'Funnel setup'!$K$3&amp;'Funnel setup'!$K$4&amp;'Funnel setup'!$K$6,".",IF(A2243=".",1,A2243+1))</f>
        <v>.</v>
      </c>
      <c r="B2244" s="244" t="str">
        <f t="shared" si="35"/>
        <v>Knee Replacement PrimaryProviderCHAUCER HOSPITAL (NT408)EQ-5D Index</v>
      </c>
      <c r="C2244" t="s">
        <v>969</v>
      </c>
      <c r="D2244" t="s">
        <v>965</v>
      </c>
      <c r="E2244" t="s">
        <v>186</v>
      </c>
      <c r="F2244" t="s">
        <v>187</v>
      </c>
      <c r="G2244" t="s">
        <v>963</v>
      </c>
      <c r="H2244">
        <v>45</v>
      </c>
      <c r="I2244">
        <v>0.50364399999999998</v>
      </c>
      <c r="J2244">
        <v>0.81293300000000002</v>
      </c>
      <c r="K2244">
        <v>0.30928899999999998</v>
      </c>
      <c r="L2244">
        <v>39</v>
      </c>
      <c r="M2244">
        <v>4</v>
      </c>
      <c r="N2244">
        <v>2</v>
      </c>
      <c r="O2244">
        <v>0.78635699999999997</v>
      </c>
      <c r="P2244">
        <v>0.35756100000000002</v>
      </c>
      <c r="Q2244">
        <v>0.14660100000000001</v>
      </c>
    </row>
    <row r="2245" spans="1:17" x14ac:dyDescent="0.25">
      <c r="A2245" t="str">
        <f>IF(C2245&amp;G2245&amp;D2245&lt;&gt;'Funnel setup'!$K$3&amp;'Funnel setup'!$K$4&amp;'Funnel setup'!$K$6,".",IF(A2244=".",1,A2244+1))</f>
        <v>.</v>
      </c>
      <c r="B2245" s="244" t="str">
        <f t="shared" si="35"/>
        <v>Knee Replacement PrimaryProviderCHELSEA AND WESTMINSTER HOSPITAL NHS FOUNDATION TRUST (RQM)EQ-5D Index</v>
      </c>
      <c r="C2245" t="s">
        <v>969</v>
      </c>
      <c r="D2245" t="s">
        <v>965</v>
      </c>
      <c r="E2245" t="s">
        <v>188</v>
      </c>
      <c r="F2245" t="s">
        <v>189</v>
      </c>
      <c r="G2245" t="s">
        <v>963</v>
      </c>
      <c r="H2245">
        <v>5</v>
      </c>
      <c r="I2245">
        <v>0.39660000000000001</v>
      </c>
      <c r="J2245">
        <v>0.6804</v>
      </c>
      <c r="K2245">
        <v>0.2838</v>
      </c>
      <c r="L2245">
        <v>3</v>
      </c>
      <c r="M2245">
        <v>1</v>
      </c>
      <c r="N2245">
        <v>1</v>
      </c>
      <c r="O2245" t="s">
        <v>127</v>
      </c>
      <c r="P2245" t="s">
        <v>127</v>
      </c>
      <c r="Q2245" t="s">
        <v>127</v>
      </c>
    </row>
    <row r="2246" spans="1:17" x14ac:dyDescent="0.25">
      <c r="A2246" t="str">
        <f>IF(C2246&amp;G2246&amp;D2246&lt;&gt;'Funnel setup'!$K$3&amp;'Funnel setup'!$K$4&amp;'Funnel setup'!$K$6,".",IF(A2245=".",1,A2245+1))</f>
        <v>.</v>
      </c>
      <c r="B2246" s="244" t="str">
        <f t="shared" si="35"/>
        <v>Knee Replacement PrimaryProviderCHELSFIELD PARK HOSPITAL (NT409)EQ-5D Index</v>
      </c>
      <c r="C2246" t="s">
        <v>969</v>
      </c>
      <c r="D2246" t="s">
        <v>965</v>
      </c>
      <c r="E2246" t="s">
        <v>190</v>
      </c>
      <c r="F2246" t="s">
        <v>191</v>
      </c>
      <c r="G2246" t="s">
        <v>963</v>
      </c>
      <c r="H2246">
        <v>31</v>
      </c>
      <c r="I2246">
        <v>0.59170999999999996</v>
      </c>
      <c r="J2246">
        <v>0.90441899999999997</v>
      </c>
      <c r="K2246">
        <v>0.31270999999999999</v>
      </c>
      <c r="L2246">
        <v>29</v>
      </c>
      <c r="M2246">
        <v>0</v>
      </c>
      <c r="N2246">
        <v>2</v>
      </c>
      <c r="O2246">
        <v>0.84614</v>
      </c>
      <c r="P2246">
        <v>0.41734399999999999</v>
      </c>
      <c r="Q2246">
        <v>0.11562</v>
      </c>
    </row>
    <row r="2247" spans="1:17" x14ac:dyDescent="0.25">
      <c r="A2247" t="str">
        <f>IF(C2247&amp;G2247&amp;D2247&lt;&gt;'Funnel setup'!$K$3&amp;'Funnel setup'!$K$4&amp;'Funnel setup'!$K$6,".",IF(A2246=".",1,A2246+1))</f>
        <v>.</v>
      </c>
      <c r="B2247" s="244" t="str">
        <f t="shared" si="35"/>
        <v>Knee Replacement PrimaryProviderCHESTERFIELD ROYAL HOSPITAL NHS FOUNDATION TRUST (RFS)EQ-5D Index</v>
      </c>
      <c r="C2247" t="s">
        <v>969</v>
      </c>
      <c r="D2247" t="s">
        <v>965</v>
      </c>
      <c r="E2247" t="s">
        <v>192</v>
      </c>
      <c r="F2247" t="s">
        <v>193</v>
      </c>
      <c r="G2247" t="s">
        <v>963</v>
      </c>
      <c r="H2247">
        <v>56</v>
      </c>
      <c r="I2247">
        <v>0.3105</v>
      </c>
      <c r="J2247">
        <v>0.68417899999999998</v>
      </c>
      <c r="K2247">
        <v>0.37367899999999998</v>
      </c>
      <c r="L2247">
        <v>49</v>
      </c>
      <c r="M2247">
        <v>3</v>
      </c>
      <c r="N2247">
        <v>4</v>
      </c>
      <c r="O2247">
        <v>0.74528099999999997</v>
      </c>
      <c r="P2247">
        <v>0.31648500000000002</v>
      </c>
      <c r="Q2247">
        <v>0.256546</v>
      </c>
    </row>
    <row r="2248" spans="1:17" x14ac:dyDescent="0.25">
      <c r="A2248" t="str">
        <f>IF(C2248&amp;G2248&amp;D2248&lt;&gt;'Funnel setup'!$K$3&amp;'Funnel setup'!$K$4&amp;'Funnel setup'!$K$6,".",IF(A2247=".",1,A2247+1))</f>
        <v>.</v>
      </c>
      <c r="B2248" s="244" t="str">
        <f t="shared" si="35"/>
        <v>Knee Replacement PrimaryProviderCHILTERN HOSPITAL (NT410)EQ-5D Index</v>
      </c>
      <c r="C2248" t="s">
        <v>969</v>
      </c>
      <c r="D2248" t="s">
        <v>965</v>
      </c>
      <c r="E2248" t="s">
        <v>194</v>
      </c>
      <c r="F2248" t="s">
        <v>195</v>
      </c>
      <c r="G2248" t="s">
        <v>963</v>
      </c>
      <c r="H2248">
        <v>79</v>
      </c>
      <c r="I2248">
        <v>0.57970900000000003</v>
      </c>
      <c r="J2248">
        <v>0.82007600000000003</v>
      </c>
      <c r="K2248">
        <v>0.240367</v>
      </c>
      <c r="L2248">
        <v>61</v>
      </c>
      <c r="M2248">
        <v>8</v>
      </c>
      <c r="N2248">
        <v>10</v>
      </c>
      <c r="O2248">
        <v>0.74186799999999997</v>
      </c>
      <c r="P2248">
        <v>0.31307299999999999</v>
      </c>
      <c r="Q2248">
        <v>0.21460199999999999</v>
      </c>
    </row>
    <row r="2249" spans="1:17" x14ac:dyDescent="0.25">
      <c r="A2249" t="str">
        <f>IF(C2249&amp;G2249&amp;D2249&lt;&gt;'Funnel setup'!$K$3&amp;'Funnel setup'!$K$4&amp;'Funnel setup'!$K$6,".",IF(A2248=".",1,A2248+1))</f>
        <v>.</v>
      </c>
      <c r="B2249" s="244" t="str">
        <f t="shared" si="35"/>
        <v>Knee Replacement PrimaryProviderCIRCLE BATH HOSPITAL (NV302)EQ-5D Index</v>
      </c>
      <c r="C2249" t="s">
        <v>969</v>
      </c>
      <c r="D2249" t="s">
        <v>965</v>
      </c>
      <c r="E2249" t="s">
        <v>196</v>
      </c>
      <c r="F2249" t="s">
        <v>197</v>
      </c>
      <c r="G2249" t="s">
        <v>963</v>
      </c>
      <c r="H2249">
        <v>13</v>
      </c>
      <c r="I2249">
        <v>0.41869200000000001</v>
      </c>
      <c r="J2249">
        <v>0.78807700000000003</v>
      </c>
      <c r="K2249">
        <v>0.36938500000000002</v>
      </c>
      <c r="L2249">
        <v>11</v>
      </c>
      <c r="M2249">
        <v>1</v>
      </c>
      <c r="N2249">
        <v>1</v>
      </c>
      <c r="O2249" t="s">
        <v>127</v>
      </c>
      <c r="P2249" t="s">
        <v>127</v>
      </c>
      <c r="Q2249" t="s">
        <v>127</v>
      </c>
    </row>
    <row r="2250" spans="1:17" x14ac:dyDescent="0.25">
      <c r="A2250" t="str">
        <f>IF(C2250&amp;G2250&amp;D2250&lt;&gt;'Funnel setup'!$K$3&amp;'Funnel setup'!$K$4&amp;'Funnel setup'!$K$6,".",IF(A2249=".",1,A2249+1))</f>
        <v>.</v>
      </c>
      <c r="B2250" s="244" t="str">
        <f t="shared" si="35"/>
        <v>Knee Replacement PrimaryProviderCIRCLE READING HOSPITAL (NV323)EQ-5D Index</v>
      </c>
      <c r="C2250" t="s">
        <v>969</v>
      </c>
      <c r="D2250" t="s">
        <v>965</v>
      </c>
      <c r="E2250" t="s">
        <v>198</v>
      </c>
      <c r="F2250" t="s">
        <v>199</v>
      </c>
      <c r="G2250" t="s">
        <v>963</v>
      </c>
      <c r="H2250">
        <v>61</v>
      </c>
      <c r="I2250">
        <v>0.49829499999999999</v>
      </c>
      <c r="J2250">
        <v>0.78847500000000004</v>
      </c>
      <c r="K2250">
        <v>0.29017999999999999</v>
      </c>
      <c r="L2250">
        <v>47</v>
      </c>
      <c r="M2250">
        <v>11</v>
      </c>
      <c r="N2250">
        <v>3</v>
      </c>
      <c r="O2250">
        <v>0.73808399999999996</v>
      </c>
      <c r="P2250">
        <v>0.30928800000000001</v>
      </c>
      <c r="Q2250">
        <v>0.25925900000000002</v>
      </c>
    </row>
    <row r="2251" spans="1:17" x14ac:dyDescent="0.25">
      <c r="A2251" t="str">
        <f>IF(C2251&amp;G2251&amp;D2251&lt;&gt;'Funnel setup'!$K$3&amp;'Funnel setup'!$K$4&amp;'Funnel setup'!$K$6,".",IF(A2250=".",1,A2250+1))</f>
        <v>.</v>
      </c>
      <c r="B2251" s="244" t="str">
        <f t="shared" si="35"/>
        <v>Knee Replacement PrimaryProviderCLEMENTINE CHURCHILL HOSPITAL (NT411)EQ-5D Index</v>
      </c>
      <c r="C2251" t="s">
        <v>969</v>
      </c>
      <c r="D2251" t="s">
        <v>965</v>
      </c>
      <c r="E2251" t="s">
        <v>200</v>
      </c>
      <c r="F2251" t="s">
        <v>201</v>
      </c>
      <c r="G2251" t="s">
        <v>963</v>
      </c>
      <c r="H2251">
        <v>31</v>
      </c>
      <c r="I2251">
        <v>0.50700000000000001</v>
      </c>
      <c r="J2251">
        <v>0.71809699999999999</v>
      </c>
      <c r="K2251">
        <v>0.21109700000000001</v>
      </c>
      <c r="L2251">
        <v>25</v>
      </c>
      <c r="M2251">
        <v>2</v>
      </c>
      <c r="N2251">
        <v>4</v>
      </c>
      <c r="O2251">
        <v>0.70557499999999995</v>
      </c>
      <c r="P2251">
        <v>0.276779</v>
      </c>
      <c r="Q2251">
        <v>0.18950700000000001</v>
      </c>
    </row>
    <row r="2252" spans="1:17" x14ac:dyDescent="0.25">
      <c r="A2252" t="str">
        <f>IF(C2252&amp;G2252&amp;D2252&lt;&gt;'Funnel setup'!$K$3&amp;'Funnel setup'!$K$4&amp;'Funnel setup'!$K$6,".",IF(A2251=".",1,A2251+1))</f>
        <v>.</v>
      </c>
      <c r="B2252" s="244" t="str">
        <f t="shared" si="35"/>
        <v>Knee Replacement PrimaryProviderCLIFTON PARK HOSPITAL (NVC28)EQ-5D Index</v>
      </c>
      <c r="C2252" t="s">
        <v>969</v>
      </c>
      <c r="D2252" t="s">
        <v>965</v>
      </c>
      <c r="E2252" t="s">
        <v>202</v>
      </c>
      <c r="F2252" t="s">
        <v>203</v>
      </c>
      <c r="G2252" t="s">
        <v>963</v>
      </c>
      <c r="H2252">
        <v>57</v>
      </c>
      <c r="I2252">
        <v>0.45217499999999999</v>
      </c>
      <c r="J2252">
        <v>0.73254399999999997</v>
      </c>
      <c r="K2252">
        <v>0.28036800000000001</v>
      </c>
      <c r="L2252">
        <v>47</v>
      </c>
      <c r="M2252">
        <v>5</v>
      </c>
      <c r="N2252">
        <v>5</v>
      </c>
      <c r="O2252">
        <v>0.703843</v>
      </c>
      <c r="P2252">
        <v>0.27504699999999999</v>
      </c>
      <c r="Q2252">
        <v>0.24355399999999999</v>
      </c>
    </row>
    <row r="2253" spans="1:17" x14ac:dyDescent="0.25">
      <c r="A2253" t="str">
        <f>IF(C2253&amp;G2253&amp;D2253&lt;&gt;'Funnel setup'!$K$3&amp;'Funnel setup'!$K$4&amp;'Funnel setup'!$K$6,".",IF(A2252=".",1,A2252+1))</f>
        <v>.</v>
      </c>
      <c r="B2253" s="244" t="str">
        <f t="shared" si="35"/>
        <v>Knee Replacement PrimaryProviderCOUNTESS OF CHESTER HOSPITAL NHS FOUNDATION TRUST (RJR)EQ-5D Index</v>
      </c>
      <c r="C2253" t="s">
        <v>969</v>
      </c>
      <c r="D2253" t="s">
        <v>965</v>
      </c>
      <c r="E2253" t="s">
        <v>204</v>
      </c>
      <c r="F2253" t="s">
        <v>205</v>
      </c>
      <c r="G2253" t="s">
        <v>963</v>
      </c>
      <c r="H2253">
        <v>28</v>
      </c>
      <c r="I2253">
        <v>0.35810700000000001</v>
      </c>
      <c r="J2253">
        <v>0.71142899999999998</v>
      </c>
      <c r="K2253">
        <v>0.353321</v>
      </c>
      <c r="L2253">
        <v>25</v>
      </c>
      <c r="M2253">
        <v>3</v>
      </c>
      <c r="N2253">
        <v>0</v>
      </c>
      <c r="O2253" t="s">
        <v>127</v>
      </c>
      <c r="P2253" t="s">
        <v>127</v>
      </c>
      <c r="Q2253" t="s">
        <v>127</v>
      </c>
    </row>
    <row r="2254" spans="1:17" x14ac:dyDescent="0.25">
      <c r="A2254" t="str">
        <f>IF(C2254&amp;G2254&amp;D2254&lt;&gt;'Funnel setup'!$K$3&amp;'Funnel setup'!$K$4&amp;'Funnel setup'!$K$6,".",IF(A2253=".",1,A2253+1))</f>
        <v>.</v>
      </c>
      <c r="B2254" s="244" t="str">
        <f t="shared" si="35"/>
        <v>Knee Replacement PrimaryProviderCOUNTY DURHAM AND DARLINGTON NHS FOUNDATION TRUST (RXP)EQ-5D Index</v>
      </c>
      <c r="C2254" t="s">
        <v>969</v>
      </c>
      <c r="D2254" t="s">
        <v>965</v>
      </c>
      <c r="E2254" t="s">
        <v>206</v>
      </c>
      <c r="F2254" t="s">
        <v>207</v>
      </c>
      <c r="G2254" t="s">
        <v>963</v>
      </c>
      <c r="H2254">
        <v>133</v>
      </c>
      <c r="I2254">
        <v>0.48993199999999998</v>
      </c>
      <c r="J2254">
        <v>0.73633800000000005</v>
      </c>
      <c r="K2254">
        <v>0.24640599999999999</v>
      </c>
      <c r="L2254">
        <v>100</v>
      </c>
      <c r="M2254">
        <v>14</v>
      </c>
      <c r="N2254">
        <v>19</v>
      </c>
      <c r="O2254">
        <v>0.72692699999999999</v>
      </c>
      <c r="P2254">
        <v>0.29813099999999998</v>
      </c>
      <c r="Q2254">
        <v>0.21687200000000001</v>
      </c>
    </row>
    <row r="2255" spans="1:17" x14ac:dyDescent="0.25">
      <c r="A2255" t="str">
        <f>IF(C2255&amp;G2255&amp;D2255&lt;&gt;'Funnel setup'!$K$3&amp;'Funnel setup'!$K$4&amp;'Funnel setup'!$K$6,".",IF(A2254=".",1,A2254+1))</f>
        <v>.</v>
      </c>
      <c r="B2255" s="244" t="str">
        <f t="shared" si="35"/>
        <v>Knee Replacement PrimaryProviderDONCASTER AND BASSETLAW TEACHING HOSPITALS NHS FOUNDATION TRUST (RP5)EQ-5D Index</v>
      </c>
      <c r="C2255" t="s">
        <v>969</v>
      </c>
      <c r="D2255" t="s">
        <v>965</v>
      </c>
      <c r="E2255" t="s">
        <v>212</v>
      </c>
      <c r="F2255" t="s">
        <v>213</v>
      </c>
      <c r="G2255" t="s">
        <v>963</v>
      </c>
      <c r="H2255">
        <v>78</v>
      </c>
      <c r="I2255">
        <v>0.35351300000000002</v>
      </c>
      <c r="J2255">
        <v>0.63639699999999999</v>
      </c>
      <c r="K2255">
        <v>0.282885</v>
      </c>
      <c r="L2255">
        <v>58</v>
      </c>
      <c r="M2255">
        <v>7</v>
      </c>
      <c r="N2255">
        <v>13</v>
      </c>
      <c r="O2255">
        <v>0.69204500000000002</v>
      </c>
      <c r="P2255">
        <v>0.26324900000000001</v>
      </c>
      <c r="Q2255">
        <v>0.30397099999999999</v>
      </c>
    </row>
    <row r="2256" spans="1:17" x14ac:dyDescent="0.25">
      <c r="A2256" t="str">
        <f>IF(C2256&amp;G2256&amp;D2256&lt;&gt;'Funnel setup'!$K$3&amp;'Funnel setup'!$K$4&amp;'Funnel setup'!$K$6,".",IF(A2255=".",1,A2255+1))</f>
        <v>.</v>
      </c>
      <c r="B2256" s="244" t="str">
        <f t="shared" si="35"/>
        <v>Knee Replacement PrimaryProviderDORSET COUNTY HOSPITAL NHS FOUNDATION TRUST (RBD)EQ-5D Index</v>
      </c>
      <c r="C2256" t="s">
        <v>969</v>
      </c>
      <c r="D2256" t="s">
        <v>965</v>
      </c>
      <c r="E2256" t="s">
        <v>214</v>
      </c>
      <c r="F2256" t="s">
        <v>215</v>
      </c>
      <c r="G2256" t="s">
        <v>963</v>
      </c>
      <c r="H2256">
        <v>15</v>
      </c>
      <c r="I2256">
        <v>0.496867</v>
      </c>
      <c r="J2256">
        <v>0.75513300000000005</v>
      </c>
      <c r="K2256">
        <v>0.25826700000000002</v>
      </c>
      <c r="L2256">
        <v>12</v>
      </c>
      <c r="M2256">
        <v>2</v>
      </c>
      <c r="N2256">
        <v>1</v>
      </c>
      <c r="O2256" t="s">
        <v>127</v>
      </c>
      <c r="P2256" t="s">
        <v>127</v>
      </c>
      <c r="Q2256" t="s">
        <v>127</v>
      </c>
    </row>
    <row r="2257" spans="1:17" x14ac:dyDescent="0.25">
      <c r="A2257" t="str">
        <f>IF(C2257&amp;G2257&amp;D2257&lt;&gt;'Funnel setup'!$K$3&amp;'Funnel setup'!$K$4&amp;'Funnel setup'!$K$6,".",IF(A2256=".",1,A2256+1))</f>
        <v>.</v>
      </c>
      <c r="B2257" s="244" t="str">
        <f t="shared" si="35"/>
        <v>Knee Replacement PrimaryProviderDROITWICH SPA HOSPITAL (NT412)EQ-5D Index</v>
      </c>
      <c r="C2257" t="s">
        <v>969</v>
      </c>
      <c r="D2257" t="s">
        <v>965</v>
      </c>
      <c r="E2257" t="s">
        <v>216</v>
      </c>
      <c r="F2257" t="s">
        <v>217</v>
      </c>
      <c r="G2257" t="s">
        <v>963</v>
      </c>
      <c r="H2257">
        <v>23</v>
      </c>
      <c r="I2257">
        <v>0.54391299999999998</v>
      </c>
      <c r="J2257">
        <v>0.79004300000000005</v>
      </c>
      <c r="K2257">
        <v>0.24612999999999999</v>
      </c>
      <c r="L2257">
        <v>18</v>
      </c>
      <c r="M2257">
        <v>4</v>
      </c>
      <c r="N2257">
        <v>1</v>
      </c>
      <c r="O2257" t="s">
        <v>127</v>
      </c>
      <c r="P2257" t="s">
        <v>127</v>
      </c>
      <c r="Q2257" t="s">
        <v>127</v>
      </c>
    </row>
    <row r="2258" spans="1:17" x14ac:dyDescent="0.25">
      <c r="A2258" t="str">
        <f>IF(C2258&amp;G2258&amp;D2258&lt;&gt;'Funnel setup'!$K$3&amp;'Funnel setup'!$K$4&amp;'Funnel setup'!$K$6,".",IF(A2257=".",1,A2257+1))</f>
        <v>.</v>
      </c>
      <c r="B2258" s="244" t="str">
        <f t="shared" si="35"/>
        <v>Knee Replacement PrimaryProviderDUCHY HOSPITAL (NT447)EQ-5D Index</v>
      </c>
      <c r="C2258" t="s">
        <v>969</v>
      </c>
      <c r="D2258" t="s">
        <v>965</v>
      </c>
      <c r="E2258" t="s">
        <v>218</v>
      </c>
      <c r="F2258" t="s">
        <v>219</v>
      </c>
      <c r="G2258" t="s">
        <v>963</v>
      </c>
      <c r="H2258">
        <v>29</v>
      </c>
      <c r="I2258">
        <v>0.50451699999999999</v>
      </c>
      <c r="J2258">
        <v>0.88417199999999996</v>
      </c>
      <c r="K2258">
        <v>0.37965500000000002</v>
      </c>
      <c r="L2258">
        <v>27</v>
      </c>
      <c r="M2258">
        <v>0</v>
      </c>
      <c r="N2258">
        <v>2</v>
      </c>
      <c r="O2258" t="s">
        <v>127</v>
      </c>
      <c r="P2258" t="s">
        <v>127</v>
      </c>
      <c r="Q2258" t="s">
        <v>127</v>
      </c>
    </row>
    <row r="2259" spans="1:17" x14ac:dyDescent="0.25">
      <c r="A2259" t="str">
        <f>IF(C2259&amp;G2259&amp;D2259&lt;&gt;'Funnel setup'!$K$3&amp;'Funnel setup'!$K$4&amp;'Funnel setup'!$K$6,".",IF(A2258=".",1,A2258+1))</f>
        <v>.</v>
      </c>
      <c r="B2259" s="244" t="str">
        <f t="shared" si="35"/>
        <v>Knee Replacement PrimaryProviderDUCHY HOSPITAL (NVC04)EQ-5D Index</v>
      </c>
      <c r="C2259" t="s">
        <v>969</v>
      </c>
      <c r="D2259" t="s">
        <v>965</v>
      </c>
      <c r="E2259" t="s">
        <v>220</v>
      </c>
      <c r="F2259" t="s">
        <v>221</v>
      </c>
      <c r="G2259" t="s">
        <v>963</v>
      </c>
      <c r="H2259">
        <v>26</v>
      </c>
      <c r="I2259">
        <v>0.56526900000000002</v>
      </c>
      <c r="J2259">
        <v>0.77438499999999999</v>
      </c>
      <c r="K2259">
        <v>0.209115</v>
      </c>
      <c r="L2259">
        <v>21</v>
      </c>
      <c r="M2259">
        <v>4</v>
      </c>
      <c r="N2259">
        <v>1</v>
      </c>
      <c r="O2259" t="s">
        <v>127</v>
      </c>
      <c r="P2259" t="s">
        <v>127</v>
      </c>
      <c r="Q2259" t="s">
        <v>127</v>
      </c>
    </row>
    <row r="2260" spans="1:17" x14ac:dyDescent="0.25">
      <c r="A2260" t="str">
        <f>IF(C2260&amp;G2260&amp;D2260&lt;&gt;'Funnel setup'!$K$3&amp;'Funnel setup'!$K$4&amp;'Funnel setup'!$K$6,".",IF(A2259=".",1,A2259+1))</f>
        <v>.</v>
      </c>
      <c r="B2260" s="244" t="str">
        <f t="shared" si="35"/>
        <v>Knee Replacement PrimaryProviderEAST AND NORTH HERTFORDSHIRE NHS TRUST (RWH)EQ-5D Index</v>
      </c>
      <c r="C2260" t="s">
        <v>969</v>
      </c>
      <c r="D2260" t="s">
        <v>965</v>
      </c>
      <c r="E2260" t="s">
        <v>224</v>
      </c>
      <c r="F2260" t="s">
        <v>225</v>
      </c>
      <c r="G2260" t="s">
        <v>963</v>
      </c>
      <c r="H2260">
        <v>28</v>
      </c>
      <c r="I2260">
        <v>0.38396400000000003</v>
      </c>
      <c r="J2260">
        <v>0.68117899999999998</v>
      </c>
      <c r="K2260">
        <v>0.29721399999999998</v>
      </c>
      <c r="L2260">
        <v>22</v>
      </c>
      <c r="M2260">
        <v>2</v>
      </c>
      <c r="N2260">
        <v>4</v>
      </c>
      <c r="O2260" t="s">
        <v>127</v>
      </c>
      <c r="P2260" t="s">
        <v>127</v>
      </c>
      <c r="Q2260" t="s">
        <v>127</v>
      </c>
    </row>
    <row r="2261" spans="1:17" x14ac:dyDescent="0.25">
      <c r="A2261" t="str">
        <f>IF(C2261&amp;G2261&amp;D2261&lt;&gt;'Funnel setup'!$K$3&amp;'Funnel setup'!$K$4&amp;'Funnel setup'!$K$6,".",IF(A2260=".",1,A2260+1))</f>
        <v>.</v>
      </c>
      <c r="B2261" s="244" t="str">
        <f t="shared" si="35"/>
        <v>Knee Replacement PrimaryProviderEAST CHESHIRE NHS TRUST (RJN)EQ-5D Index</v>
      </c>
      <c r="C2261" t="s">
        <v>969</v>
      </c>
      <c r="D2261" t="s">
        <v>965</v>
      </c>
      <c r="E2261" t="s">
        <v>226</v>
      </c>
      <c r="F2261" t="s">
        <v>227</v>
      </c>
      <c r="G2261" t="s">
        <v>963</v>
      </c>
      <c r="H2261">
        <v>5</v>
      </c>
      <c r="I2261">
        <v>0.17499999999999999</v>
      </c>
      <c r="J2261">
        <v>0.56699999999999995</v>
      </c>
      <c r="K2261">
        <v>0.39200000000000002</v>
      </c>
      <c r="L2261">
        <v>5</v>
      </c>
      <c r="M2261">
        <v>0</v>
      </c>
      <c r="N2261">
        <v>0</v>
      </c>
      <c r="O2261" t="s">
        <v>127</v>
      </c>
      <c r="P2261" t="s">
        <v>127</v>
      </c>
      <c r="Q2261" t="s">
        <v>127</v>
      </c>
    </row>
    <row r="2262" spans="1:17" x14ac:dyDescent="0.25">
      <c r="A2262" t="str">
        <f>IF(C2262&amp;G2262&amp;D2262&lt;&gt;'Funnel setup'!$K$3&amp;'Funnel setup'!$K$4&amp;'Funnel setup'!$K$6,".",IF(A2261=".",1,A2261+1))</f>
        <v>.</v>
      </c>
      <c r="B2262" s="244" t="str">
        <f t="shared" si="35"/>
        <v>Knee Replacement PrimaryProviderEAST KENT HOSPITALS UNIVERSITY NHS FOUNDATION TRUST (RVV)EQ-5D Index</v>
      </c>
      <c r="C2262" t="s">
        <v>969</v>
      </c>
      <c r="D2262" t="s">
        <v>965</v>
      </c>
      <c r="E2262" t="s">
        <v>228</v>
      </c>
      <c r="F2262" t="s">
        <v>229</v>
      </c>
      <c r="G2262" t="s">
        <v>963</v>
      </c>
      <c r="H2262">
        <v>86</v>
      </c>
      <c r="I2262">
        <v>0.42038399999999998</v>
      </c>
      <c r="J2262">
        <v>0.73445300000000002</v>
      </c>
      <c r="K2262">
        <v>0.31407000000000002</v>
      </c>
      <c r="L2262">
        <v>71</v>
      </c>
      <c r="M2262">
        <v>6</v>
      </c>
      <c r="N2262">
        <v>9</v>
      </c>
      <c r="O2262">
        <v>0.77071299999999998</v>
      </c>
      <c r="P2262">
        <v>0.341918</v>
      </c>
      <c r="Q2262">
        <v>0.220472</v>
      </c>
    </row>
    <row r="2263" spans="1:17" x14ac:dyDescent="0.25">
      <c r="A2263" t="str">
        <f>IF(C2263&amp;G2263&amp;D2263&lt;&gt;'Funnel setup'!$K$3&amp;'Funnel setup'!$K$4&amp;'Funnel setup'!$K$6,".",IF(A2262=".",1,A2262+1))</f>
        <v>.</v>
      </c>
      <c r="B2263" s="244" t="str">
        <f t="shared" si="35"/>
        <v>Knee Replacement PrimaryProviderEAST LANCASHIRE HOSPITALS NHS TRUST (RXR)EQ-5D Index</v>
      </c>
      <c r="C2263" t="s">
        <v>969</v>
      </c>
      <c r="D2263" t="s">
        <v>965</v>
      </c>
      <c r="E2263" t="s">
        <v>230</v>
      </c>
      <c r="F2263" t="s">
        <v>231</v>
      </c>
      <c r="G2263" t="s">
        <v>963</v>
      </c>
      <c r="H2263">
        <v>83</v>
      </c>
      <c r="I2263">
        <v>0.44540999999999997</v>
      </c>
      <c r="J2263">
        <v>0.73362700000000003</v>
      </c>
      <c r="K2263">
        <v>0.288217</v>
      </c>
      <c r="L2263">
        <v>65</v>
      </c>
      <c r="M2263">
        <v>8</v>
      </c>
      <c r="N2263">
        <v>10</v>
      </c>
      <c r="O2263">
        <v>0.748776</v>
      </c>
      <c r="P2263">
        <v>0.31997999999999999</v>
      </c>
      <c r="Q2263">
        <v>0.25859900000000002</v>
      </c>
    </row>
    <row r="2264" spans="1:17" x14ac:dyDescent="0.25">
      <c r="A2264" t="str">
        <f>IF(C2264&amp;G2264&amp;D2264&lt;&gt;'Funnel setup'!$K$3&amp;'Funnel setup'!$K$4&amp;'Funnel setup'!$K$6,".",IF(A2263=".",1,A2263+1))</f>
        <v>.</v>
      </c>
      <c r="B2264" s="244" t="str">
        <f t="shared" si="35"/>
        <v>Knee Replacement PrimaryProviderEAST SUFFOLK AND NORTH ESSEX NHS FOUNDATION TRUST (RDE)EQ-5D Index</v>
      </c>
      <c r="C2264" t="s">
        <v>969</v>
      </c>
      <c r="D2264" t="s">
        <v>965</v>
      </c>
      <c r="E2264" t="s">
        <v>232</v>
      </c>
      <c r="F2264" t="s">
        <v>233</v>
      </c>
      <c r="G2264" t="s">
        <v>963</v>
      </c>
      <c r="H2264">
        <v>122</v>
      </c>
      <c r="I2264">
        <v>0.39337699999999998</v>
      </c>
      <c r="J2264">
        <v>0.76047500000000001</v>
      </c>
      <c r="K2264">
        <v>0.36709799999999998</v>
      </c>
      <c r="L2264">
        <v>110</v>
      </c>
      <c r="M2264">
        <v>6</v>
      </c>
      <c r="N2264">
        <v>6</v>
      </c>
      <c r="O2264">
        <v>0.77817099999999995</v>
      </c>
      <c r="P2264">
        <v>0.34937499999999999</v>
      </c>
      <c r="Q2264">
        <v>0.20197000000000001</v>
      </c>
    </row>
    <row r="2265" spans="1:17" x14ac:dyDescent="0.25">
      <c r="A2265" t="str">
        <f>IF(C2265&amp;G2265&amp;D2265&lt;&gt;'Funnel setup'!$K$3&amp;'Funnel setup'!$K$4&amp;'Funnel setup'!$K$6,".",IF(A2264=".",1,A2264+1))</f>
        <v>.</v>
      </c>
      <c r="B2265" s="244" t="str">
        <f t="shared" si="35"/>
        <v>Knee Replacement PrimaryProviderEAST SUSSEX HEALTHCARE NHS TRUST (RXC)EQ-5D Index</v>
      </c>
      <c r="C2265" t="s">
        <v>969</v>
      </c>
      <c r="D2265" t="s">
        <v>965</v>
      </c>
      <c r="E2265" t="s">
        <v>234</v>
      </c>
      <c r="F2265" t="s">
        <v>235</v>
      </c>
      <c r="G2265" t="s">
        <v>963</v>
      </c>
      <c r="H2265">
        <v>71</v>
      </c>
      <c r="I2265">
        <v>0.43988699999999997</v>
      </c>
      <c r="J2265">
        <v>0.74140799999999996</v>
      </c>
      <c r="K2265">
        <v>0.30152099999999998</v>
      </c>
      <c r="L2265">
        <v>56</v>
      </c>
      <c r="M2265">
        <v>9</v>
      </c>
      <c r="N2265">
        <v>6</v>
      </c>
      <c r="O2265">
        <v>0.75704700000000003</v>
      </c>
      <c r="P2265">
        <v>0.32825100000000001</v>
      </c>
      <c r="Q2265">
        <v>0.23023399999999999</v>
      </c>
    </row>
    <row r="2266" spans="1:17" x14ac:dyDescent="0.25">
      <c r="A2266" t="str">
        <f>IF(C2266&amp;G2266&amp;D2266&lt;&gt;'Funnel setup'!$K$3&amp;'Funnel setup'!$K$4&amp;'Funnel setup'!$K$6,".",IF(A2265=".",1,A2265+1))</f>
        <v>.</v>
      </c>
      <c r="B2266" s="244" t="str">
        <f t="shared" si="35"/>
        <v>Knee Replacement PrimaryProviderEPSOM AND ST HELIER UNIVERSITY HOSPITALS NHS TRUST (RVR)EQ-5D Index</v>
      </c>
      <c r="C2266" t="s">
        <v>969</v>
      </c>
      <c r="D2266" t="s">
        <v>965</v>
      </c>
      <c r="E2266" t="s">
        <v>238</v>
      </c>
      <c r="F2266" t="s">
        <v>239</v>
      </c>
      <c r="G2266" t="s">
        <v>963</v>
      </c>
      <c r="H2266">
        <v>654</v>
      </c>
      <c r="I2266">
        <v>0.44083499999999998</v>
      </c>
      <c r="J2266">
        <v>0.753691</v>
      </c>
      <c r="K2266">
        <v>0.31285600000000002</v>
      </c>
      <c r="L2266">
        <v>544</v>
      </c>
      <c r="M2266">
        <v>55</v>
      </c>
      <c r="N2266">
        <v>55</v>
      </c>
      <c r="O2266">
        <v>0.74602999999999997</v>
      </c>
      <c r="P2266">
        <v>0.31723400000000002</v>
      </c>
      <c r="Q2266">
        <v>0.22540399999999999</v>
      </c>
    </row>
    <row r="2267" spans="1:17" x14ac:dyDescent="0.25">
      <c r="A2267" t="str">
        <f>IF(C2267&amp;G2267&amp;D2267&lt;&gt;'Funnel setup'!$K$3&amp;'Funnel setup'!$K$4&amp;'Funnel setup'!$K$6,".",IF(A2266=".",1,A2266+1))</f>
        <v>.</v>
      </c>
      <c r="B2267" s="244" t="str">
        <f t="shared" si="35"/>
        <v>Knee Replacement PrimaryProviderEUXTON HALL HOSPITAL (NVC05)EQ-5D Index</v>
      </c>
      <c r="C2267" t="s">
        <v>969</v>
      </c>
      <c r="D2267" t="s">
        <v>965</v>
      </c>
      <c r="E2267" t="s">
        <v>240</v>
      </c>
      <c r="F2267" t="s">
        <v>241</v>
      </c>
      <c r="G2267" t="s">
        <v>963</v>
      </c>
      <c r="H2267">
        <v>50</v>
      </c>
      <c r="I2267">
        <v>0.40228000000000003</v>
      </c>
      <c r="J2267">
        <v>0.81011999999999995</v>
      </c>
      <c r="K2267">
        <v>0.40783999999999998</v>
      </c>
      <c r="L2267">
        <v>46</v>
      </c>
      <c r="M2267">
        <v>3</v>
      </c>
      <c r="N2267">
        <v>1</v>
      </c>
      <c r="O2267">
        <v>0.82007799999999997</v>
      </c>
      <c r="P2267">
        <v>0.39128200000000002</v>
      </c>
      <c r="Q2267">
        <v>0.17426800000000001</v>
      </c>
    </row>
    <row r="2268" spans="1:17" x14ac:dyDescent="0.25">
      <c r="A2268" t="str">
        <f>IF(C2268&amp;G2268&amp;D2268&lt;&gt;'Funnel setup'!$K$3&amp;'Funnel setup'!$K$4&amp;'Funnel setup'!$K$6,".",IF(A2267=".",1,A2267+1))</f>
        <v>.</v>
      </c>
      <c r="B2268" s="244" t="str">
        <f t="shared" si="35"/>
        <v>Knee Replacement PrimaryProviderFAIRFIELD HOSPITAL (NVG01)EQ-5D Index</v>
      </c>
      <c r="C2268" t="s">
        <v>969</v>
      </c>
      <c r="D2268" t="s">
        <v>965</v>
      </c>
      <c r="E2268" t="s">
        <v>242</v>
      </c>
      <c r="F2268" t="s">
        <v>243</v>
      </c>
      <c r="G2268" t="s">
        <v>963</v>
      </c>
      <c r="H2268">
        <v>49</v>
      </c>
      <c r="I2268">
        <v>0.37228600000000001</v>
      </c>
      <c r="J2268">
        <v>0.66608199999999995</v>
      </c>
      <c r="K2268">
        <v>0.293796</v>
      </c>
      <c r="L2268">
        <v>38</v>
      </c>
      <c r="M2268">
        <v>3</v>
      </c>
      <c r="N2268">
        <v>8</v>
      </c>
      <c r="O2268">
        <v>0.67452500000000004</v>
      </c>
      <c r="P2268">
        <v>0.245729</v>
      </c>
      <c r="Q2268">
        <v>0.25052400000000002</v>
      </c>
    </row>
    <row r="2269" spans="1:17" x14ac:dyDescent="0.25">
      <c r="A2269" t="str">
        <f>IF(C2269&amp;G2269&amp;D2269&lt;&gt;'Funnel setup'!$K$3&amp;'Funnel setup'!$K$4&amp;'Funnel setup'!$K$6,".",IF(A2268=".",1,A2268+1))</f>
        <v>.</v>
      </c>
      <c r="B2269" s="244" t="str">
        <f t="shared" si="35"/>
        <v>Knee Replacement PrimaryProviderFITZWILLIAM HOSPITAL (NVC06)EQ-5D Index</v>
      </c>
      <c r="C2269" t="s">
        <v>969</v>
      </c>
      <c r="D2269" t="s">
        <v>965</v>
      </c>
      <c r="E2269" t="s">
        <v>244</v>
      </c>
      <c r="F2269" t="s">
        <v>245</v>
      </c>
      <c r="G2269" t="s">
        <v>963</v>
      </c>
      <c r="H2269">
        <v>86</v>
      </c>
      <c r="I2269">
        <v>0.50903500000000002</v>
      </c>
      <c r="J2269">
        <v>0.81424399999999997</v>
      </c>
      <c r="K2269">
        <v>0.30520900000000001</v>
      </c>
      <c r="L2269">
        <v>73</v>
      </c>
      <c r="M2269">
        <v>6</v>
      </c>
      <c r="N2269">
        <v>7</v>
      </c>
      <c r="O2269">
        <v>0.78114499999999998</v>
      </c>
      <c r="P2269">
        <v>0.35234900000000002</v>
      </c>
      <c r="Q2269">
        <v>0.180058</v>
      </c>
    </row>
    <row r="2270" spans="1:17" x14ac:dyDescent="0.25">
      <c r="A2270" t="str">
        <f>IF(C2270&amp;G2270&amp;D2270&lt;&gt;'Funnel setup'!$K$3&amp;'Funnel setup'!$K$4&amp;'Funnel setup'!$K$6,".",IF(A2269=".",1,A2269+1))</f>
        <v>.</v>
      </c>
      <c r="B2270" s="244" t="str">
        <f t="shared" si="35"/>
        <v>Knee Replacement PrimaryProviderFRIMLEY HEALTH NHS FOUNDATION TRUST (RDU)EQ-5D Index</v>
      </c>
      <c r="C2270" t="s">
        <v>969</v>
      </c>
      <c r="D2270" t="s">
        <v>965</v>
      </c>
      <c r="E2270" t="s">
        <v>248</v>
      </c>
      <c r="F2270" t="s">
        <v>249</v>
      </c>
      <c r="G2270" t="s">
        <v>963</v>
      </c>
      <c r="H2270">
        <v>182</v>
      </c>
      <c r="I2270">
        <v>0.474379</v>
      </c>
      <c r="J2270">
        <v>0.75587899999999997</v>
      </c>
      <c r="K2270">
        <v>0.28149999999999997</v>
      </c>
      <c r="L2270">
        <v>147</v>
      </c>
      <c r="M2270">
        <v>14</v>
      </c>
      <c r="N2270">
        <v>21</v>
      </c>
      <c r="O2270">
        <v>0.73197699999999999</v>
      </c>
      <c r="P2270">
        <v>0.30318099999999998</v>
      </c>
      <c r="Q2270">
        <v>0.22201499999999999</v>
      </c>
    </row>
    <row r="2271" spans="1:17" x14ac:dyDescent="0.25">
      <c r="A2271" t="str">
        <f>IF(C2271&amp;G2271&amp;D2271&lt;&gt;'Funnel setup'!$K$3&amp;'Funnel setup'!$K$4&amp;'Funnel setup'!$K$6,".",IF(A2270=".",1,A2270+1))</f>
        <v>.</v>
      </c>
      <c r="B2271" s="244" t="str">
        <f t="shared" si="35"/>
        <v>Knee Replacement PrimaryProviderFULWOOD HALL HOSPITAL (NVC07)EQ-5D Index</v>
      </c>
      <c r="C2271" t="s">
        <v>969</v>
      </c>
      <c r="D2271" t="s">
        <v>965</v>
      </c>
      <c r="E2271" t="s">
        <v>250</v>
      </c>
      <c r="F2271" t="s">
        <v>251</v>
      </c>
      <c r="G2271" t="s">
        <v>963</v>
      </c>
      <c r="H2271">
        <v>79</v>
      </c>
      <c r="I2271">
        <v>0.52372200000000002</v>
      </c>
      <c r="J2271">
        <v>0.81083499999999997</v>
      </c>
      <c r="K2271">
        <v>0.28711399999999998</v>
      </c>
      <c r="L2271">
        <v>62</v>
      </c>
      <c r="M2271">
        <v>9</v>
      </c>
      <c r="N2271">
        <v>8</v>
      </c>
      <c r="O2271">
        <v>0.78698900000000005</v>
      </c>
      <c r="P2271">
        <v>0.35819400000000001</v>
      </c>
      <c r="Q2271">
        <v>0.21851599999999999</v>
      </c>
    </row>
    <row r="2272" spans="1:17" x14ac:dyDescent="0.25">
      <c r="A2272" t="str">
        <f>IF(C2272&amp;G2272&amp;D2272&lt;&gt;'Funnel setup'!$K$3&amp;'Funnel setup'!$K$4&amp;'Funnel setup'!$K$6,".",IF(A2271=".",1,A2271+1))</f>
        <v>.</v>
      </c>
      <c r="B2272" s="244" t="str">
        <f t="shared" si="35"/>
        <v>Knee Replacement PrimaryProviderGATESHEAD HEALTH NHS FOUNDATION TRUST (RR7)EQ-5D Index</v>
      </c>
      <c r="C2272" t="s">
        <v>969</v>
      </c>
      <c r="D2272" t="s">
        <v>965</v>
      </c>
      <c r="E2272" t="s">
        <v>252</v>
      </c>
      <c r="F2272" t="s">
        <v>253</v>
      </c>
      <c r="G2272" t="s">
        <v>963</v>
      </c>
      <c r="H2272">
        <v>42</v>
      </c>
      <c r="I2272">
        <v>0.205119</v>
      </c>
      <c r="J2272">
        <v>0.70885699999999996</v>
      </c>
      <c r="K2272">
        <v>0.50373800000000002</v>
      </c>
      <c r="L2272">
        <v>36</v>
      </c>
      <c r="M2272">
        <v>1</v>
      </c>
      <c r="N2272">
        <v>5</v>
      </c>
      <c r="O2272">
        <v>0.79784200000000005</v>
      </c>
      <c r="P2272">
        <v>0.36904599999999999</v>
      </c>
      <c r="Q2272">
        <v>0.30492599999999997</v>
      </c>
    </row>
    <row r="2273" spans="1:17" x14ac:dyDescent="0.25">
      <c r="A2273" t="str">
        <f>IF(C2273&amp;G2273&amp;D2273&lt;&gt;'Funnel setup'!$K$3&amp;'Funnel setup'!$K$4&amp;'Funnel setup'!$K$6,".",IF(A2272=".",1,A2272+1))</f>
        <v>.</v>
      </c>
      <c r="B2273" s="244" t="str">
        <f t="shared" si="35"/>
        <v>Knee Replacement PrimaryProviderGLOUCESTERSHIRE HOSPITALS NHS FOUNDATION TRUST (RTE)EQ-5D Index</v>
      </c>
      <c r="C2273" t="s">
        <v>969</v>
      </c>
      <c r="D2273" t="s">
        <v>965</v>
      </c>
      <c r="E2273" t="s">
        <v>256</v>
      </c>
      <c r="F2273" t="s">
        <v>257</v>
      </c>
      <c r="G2273" t="s">
        <v>963</v>
      </c>
      <c r="H2273">
        <v>64</v>
      </c>
      <c r="I2273">
        <v>0.33925</v>
      </c>
      <c r="J2273">
        <v>0.68906299999999998</v>
      </c>
      <c r="K2273">
        <v>0.34981200000000001</v>
      </c>
      <c r="L2273">
        <v>50</v>
      </c>
      <c r="M2273">
        <v>10</v>
      </c>
      <c r="N2273">
        <v>4</v>
      </c>
      <c r="O2273">
        <v>0.72566200000000003</v>
      </c>
      <c r="P2273">
        <v>0.29686600000000002</v>
      </c>
      <c r="Q2273">
        <v>0.27422099999999999</v>
      </c>
    </row>
    <row r="2274" spans="1:17" x14ac:dyDescent="0.25">
      <c r="A2274" t="str">
        <f>IF(C2274&amp;G2274&amp;D2274&lt;&gt;'Funnel setup'!$K$3&amp;'Funnel setup'!$K$4&amp;'Funnel setup'!$K$6,".",IF(A2273=".",1,A2273+1))</f>
        <v>.</v>
      </c>
      <c r="B2274" s="244" t="str">
        <f t="shared" si="35"/>
        <v>Knee Replacement PrimaryProviderGORING HALL HOSPITAL (NT417)EQ-5D Index</v>
      </c>
      <c r="C2274" t="s">
        <v>969</v>
      </c>
      <c r="D2274" t="s">
        <v>965</v>
      </c>
      <c r="E2274" t="s">
        <v>258</v>
      </c>
      <c r="F2274" t="s">
        <v>259</v>
      </c>
      <c r="G2274" t="s">
        <v>963</v>
      </c>
      <c r="H2274">
        <v>23</v>
      </c>
      <c r="I2274">
        <v>0.48808699999999999</v>
      </c>
      <c r="J2274">
        <v>0.82821699999999998</v>
      </c>
      <c r="K2274">
        <v>0.34012999999999999</v>
      </c>
      <c r="L2274">
        <v>20</v>
      </c>
      <c r="M2274">
        <v>1</v>
      </c>
      <c r="N2274">
        <v>2</v>
      </c>
      <c r="O2274" t="s">
        <v>127</v>
      </c>
      <c r="P2274" t="s">
        <v>127</v>
      </c>
      <c r="Q2274" t="s">
        <v>127</v>
      </c>
    </row>
    <row r="2275" spans="1:17" x14ac:dyDescent="0.25">
      <c r="A2275" t="str">
        <f>IF(C2275&amp;G2275&amp;D2275&lt;&gt;'Funnel setup'!$K$3&amp;'Funnel setup'!$K$4&amp;'Funnel setup'!$K$6,".",IF(A2274=".",1,A2274+1))</f>
        <v>.</v>
      </c>
      <c r="B2275" s="244" t="str">
        <f t="shared" si="35"/>
        <v>Knee Replacement PrimaryProviderGUY'S AND ST THOMAS' NHS FOUNDATION TRUST (RJ1)EQ-5D Index</v>
      </c>
      <c r="C2275" t="s">
        <v>969</v>
      </c>
      <c r="D2275" t="s">
        <v>965</v>
      </c>
      <c r="E2275" t="s">
        <v>262</v>
      </c>
      <c r="F2275" t="s">
        <v>263</v>
      </c>
      <c r="G2275" t="s">
        <v>963</v>
      </c>
      <c r="H2275">
        <v>59</v>
      </c>
      <c r="I2275">
        <v>0.32686399999999999</v>
      </c>
      <c r="J2275">
        <v>0.651644</v>
      </c>
      <c r="K2275">
        <v>0.32478000000000001</v>
      </c>
      <c r="L2275">
        <v>49</v>
      </c>
      <c r="M2275">
        <v>5</v>
      </c>
      <c r="N2275">
        <v>5</v>
      </c>
      <c r="O2275">
        <v>0.69094999999999995</v>
      </c>
      <c r="P2275">
        <v>0.262154</v>
      </c>
      <c r="Q2275">
        <v>0.24878600000000001</v>
      </c>
    </row>
    <row r="2276" spans="1:17" x14ac:dyDescent="0.25">
      <c r="A2276" t="str">
        <f>IF(C2276&amp;G2276&amp;D2276&lt;&gt;'Funnel setup'!$K$3&amp;'Funnel setup'!$K$4&amp;'Funnel setup'!$K$6,".",IF(A2275=".",1,A2275+1))</f>
        <v>.</v>
      </c>
      <c r="B2276" s="244" t="str">
        <f t="shared" si="35"/>
        <v>Knee Replacement PrimaryProviderHAMPSHIRE CLINIC (NT418)EQ-5D Index</v>
      </c>
      <c r="C2276" t="s">
        <v>969</v>
      </c>
      <c r="D2276" t="s">
        <v>965</v>
      </c>
      <c r="E2276" t="s">
        <v>264</v>
      </c>
      <c r="F2276" t="s">
        <v>265</v>
      </c>
      <c r="G2276" t="s">
        <v>963</v>
      </c>
      <c r="H2276">
        <v>21</v>
      </c>
      <c r="I2276">
        <v>0.52166699999999999</v>
      </c>
      <c r="J2276">
        <v>0.86138099999999995</v>
      </c>
      <c r="K2276">
        <v>0.33971400000000002</v>
      </c>
      <c r="L2276">
        <v>19</v>
      </c>
      <c r="M2276">
        <v>2</v>
      </c>
      <c r="N2276">
        <v>0</v>
      </c>
      <c r="O2276" t="s">
        <v>127</v>
      </c>
      <c r="P2276" t="s">
        <v>127</v>
      </c>
      <c r="Q2276" t="s">
        <v>127</v>
      </c>
    </row>
    <row r="2277" spans="1:17" x14ac:dyDescent="0.25">
      <c r="A2277" t="str">
        <f>IF(C2277&amp;G2277&amp;D2277&lt;&gt;'Funnel setup'!$K$3&amp;'Funnel setup'!$K$4&amp;'Funnel setup'!$K$6,".",IF(A2276=".",1,A2276+1))</f>
        <v>.</v>
      </c>
      <c r="B2277" s="244" t="str">
        <f t="shared" si="35"/>
        <v>Knee Replacement PrimaryProviderHAMPSHIRE HOSPITALS NHS FOUNDATION TRUST (RN5)EQ-5D Index</v>
      </c>
      <c r="C2277" t="s">
        <v>969</v>
      </c>
      <c r="D2277" t="s">
        <v>965</v>
      </c>
      <c r="E2277" t="s">
        <v>266</v>
      </c>
      <c r="F2277" t="s">
        <v>267</v>
      </c>
      <c r="G2277" t="s">
        <v>963</v>
      </c>
      <c r="H2277">
        <v>24</v>
      </c>
      <c r="I2277">
        <v>0.49512499999999998</v>
      </c>
      <c r="J2277">
        <v>0.73429199999999994</v>
      </c>
      <c r="K2277">
        <v>0.23916699999999999</v>
      </c>
      <c r="L2277">
        <v>17</v>
      </c>
      <c r="M2277">
        <v>4</v>
      </c>
      <c r="N2277">
        <v>3</v>
      </c>
      <c r="O2277" t="s">
        <v>127</v>
      </c>
      <c r="P2277" t="s">
        <v>127</v>
      </c>
      <c r="Q2277" t="s">
        <v>127</v>
      </c>
    </row>
    <row r="2278" spans="1:17" x14ac:dyDescent="0.25">
      <c r="A2278" t="str">
        <f>IF(C2278&amp;G2278&amp;D2278&lt;&gt;'Funnel setup'!$K$3&amp;'Funnel setup'!$K$4&amp;'Funnel setup'!$K$6,".",IF(A2277=".",1,A2277+1))</f>
        <v>.</v>
      </c>
      <c r="B2278" s="244" t="str">
        <f t="shared" si="35"/>
        <v>Knee Replacement PrimaryProviderHARROGATE AND DISTRICT NHS FOUNDATION TRUST (RCD)EQ-5D Index</v>
      </c>
      <c r="C2278" t="s">
        <v>969</v>
      </c>
      <c r="D2278" t="s">
        <v>965</v>
      </c>
      <c r="E2278" t="s">
        <v>270</v>
      </c>
      <c r="F2278" t="s">
        <v>271</v>
      </c>
      <c r="G2278" t="s">
        <v>963</v>
      </c>
      <c r="H2278">
        <v>80</v>
      </c>
      <c r="I2278">
        <v>0.38155</v>
      </c>
      <c r="J2278">
        <v>0.76690000000000003</v>
      </c>
      <c r="K2278">
        <v>0.38535000000000003</v>
      </c>
      <c r="L2278">
        <v>71</v>
      </c>
      <c r="M2278">
        <v>4</v>
      </c>
      <c r="N2278">
        <v>5</v>
      </c>
      <c r="O2278">
        <v>0.77094099999999999</v>
      </c>
      <c r="P2278">
        <v>0.34214499999999998</v>
      </c>
      <c r="Q2278">
        <v>0.22094800000000001</v>
      </c>
    </row>
    <row r="2279" spans="1:17" x14ac:dyDescent="0.25">
      <c r="A2279" t="str">
        <f>IF(C2279&amp;G2279&amp;D2279&lt;&gt;'Funnel setup'!$K$3&amp;'Funnel setup'!$K$4&amp;'Funnel setup'!$K$6,".",IF(A2278=".",1,A2278+1))</f>
        <v>.</v>
      </c>
      <c r="B2279" s="244" t="str">
        <f t="shared" si="35"/>
        <v>Knee Replacement PrimaryProviderHIGHFIELD HOSPITAL (NT420)EQ-5D Index</v>
      </c>
      <c r="C2279" t="s">
        <v>969</v>
      </c>
      <c r="D2279" t="s">
        <v>965</v>
      </c>
      <c r="E2279" t="s">
        <v>272</v>
      </c>
      <c r="F2279" t="s">
        <v>273</v>
      </c>
      <c r="G2279" t="s">
        <v>963</v>
      </c>
      <c r="H2279">
        <v>117</v>
      </c>
      <c r="I2279">
        <v>0.45982099999999998</v>
      </c>
      <c r="J2279">
        <v>0.75622199999999995</v>
      </c>
      <c r="K2279">
        <v>0.296402</v>
      </c>
      <c r="L2279">
        <v>96</v>
      </c>
      <c r="M2279">
        <v>9</v>
      </c>
      <c r="N2279">
        <v>12</v>
      </c>
      <c r="O2279">
        <v>0.73653500000000005</v>
      </c>
      <c r="P2279">
        <v>0.30774000000000001</v>
      </c>
      <c r="Q2279">
        <v>0.20913100000000001</v>
      </c>
    </row>
    <row r="2280" spans="1:17" x14ac:dyDescent="0.25">
      <c r="A2280" t="str">
        <f>IF(C2280&amp;G2280&amp;D2280&lt;&gt;'Funnel setup'!$K$3&amp;'Funnel setup'!$K$4&amp;'Funnel setup'!$K$6,".",IF(A2279=".",1,A2279+1))</f>
        <v>.</v>
      </c>
      <c r="B2280" s="244" t="str">
        <f t="shared" si="35"/>
        <v>Knee Replacement PrimaryProviderHOMERTON HEALTHCARE NHS FOUNDATION TRUST (RQX)EQ-5D Index</v>
      </c>
      <c r="C2280" t="s">
        <v>969</v>
      </c>
      <c r="D2280" t="s">
        <v>965</v>
      </c>
      <c r="E2280" t="s">
        <v>274</v>
      </c>
      <c r="F2280" t="s">
        <v>275</v>
      </c>
      <c r="G2280" t="s">
        <v>963</v>
      </c>
      <c r="H2280">
        <v>4</v>
      </c>
      <c r="I2280">
        <v>0.27775</v>
      </c>
      <c r="J2280">
        <v>0.82525000000000004</v>
      </c>
      <c r="K2280">
        <v>0.54749999999999999</v>
      </c>
      <c r="L2280">
        <v>4</v>
      </c>
      <c r="M2280">
        <v>0</v>
      </c>
      <c r="N2280">
        <v>0</v>
      </c>
      <c r="O2280" t="s">
        <v>127</v>
      </c>
      <c r="P2280" t="s">
        <v>127</v>
      </c>
      <c r="Q2280" t="s">
        <v>127</v>
      </c>
    </row>
    <row r="2281" spans="1:17" x14ac:dyDescent="0.25">
      <c r="A2281" t="str">
        <f>IF(C2281&amp;G2281&amp;D2281&lt;&gt;'Funnel setup'!$K$3&amp;'Funnel setup'!$K$4&amp;'Funnel setup'!$K$6,".",IF(A2280=".",1,A2280+1))</f>
        <v>.</v>
      </c>
      <c r="B2281" s="244" t="str">
        <f t="shared" si="35"/>
        <v>Knee Replacement PrimaryProviderHUDDERSFIELD HOSPITAL (NT448)EQ-5D Index</v>
      </c>
      <c r="C2281" t="s">
        <v>969</v>
      </c>
      <c r="D2281" t="s">
        <v>965</v>
      </c>
      <c r="E2281" t="s">
        <v>276</v>
      </c>
      <c r="F2281" t="s">
        <v>277</v>
      </c>
      <c r="G2281" t="s">
        <v>963</v>
      </c>
      <c r="H2281">
        <v>3</v>
      </c>
      <c r="I2281">
        <v>0.52500000000000002</v>
      </c>
      <c r="J2281">
        <v>0.83533299999999999</v>
      </c>
      <c r="K2281">
        <v>0.31033300000000003</v>
      </c>
      <c r="L2281">
        <v>3</v>
      </c>
      <c r="M2281">
        <v>0</v>
      </c>
      <c r="N2281">
        <v>0</v>
      </c>
      <c r="O2281" t="s">
        <v>127</v>
      </c>
      <c r="P2281" t="s">
        <v>127</v>
      </c>
      <c r="Q2281" t="s">
        <v>127</v>
      </c>
    </row>
    <row r="2282" spans="1:17" x14ac:dyDescent="0.25">
      <c r="A2282" t="str">
        <f>IF(C2282&amp;G2282&amp;D2282&lt;&gt;'Funnel setup'!$K$3&amp;'Funnel setup'!$K$4&amp;'Funnel setup'!$K$6,".",IF(A2281=".",1,A2281+1))</f>
        <v>.</v>
      </c>
      <c r="B2282" s="244" t="str">
        <f t="shared" si="35"/>
        <v>Knee Replacement PrimaryProviderHULL UNIVERSITY TEACHING HOSPITALS NHS TRUST (RWA)EQ-5D Index</v>
      </c>
      <c r="C2282" t="s">
        <v>969</v>
      </c>
      <c r="D2282" t="s">
        <v>965</v>
      </c>
      <c r="E2282" t="s">
        <v>278</v>
      </c>
      <c r="F2282" t="s">
        <v>279</v>
      </c>
      <c r="G2282" t="s">
        <v>963</v>
      </c>
      <c r="H2282">
        <v>25</v>
      </c>
      <c r="I2282">
        <v>0.39144000000000001</v>
      </c>
      <c r="J2282">
        <v>0.79124000000000005</v>
      </c>
      <c r="K2282">
        <v>0.39979999999999999</v>
      </c>
      <c r="L2282">
        <v>22</v>
      </c>
      <c r="M2282">
        <v>1</v>
      </c>
      <c r="N2282">
        <v>2</v>
      </c>
      <c r="O2282" t="s">
        <v>127</v>
      </c>
      <c r="P2282" t="s">
        <v>127</v>
      </c>
      <c r="Q2282" t="s">
        <v>127</v>
      </c>
    </row>
    <row r="2283" spans="1:17" x14ac:dyDescent="0.25">
      <c r="A2283" t="str">
        <f>IF(C2283&amp;G2283&amp;D2283&lt;&gt;'Funnel setup'!$K$3&amp;'Funnel setup'!$K$4&amp;'Funnel setup'!$K$6,".",IF(A2282=".",1,A2282+1))</f>
        <v>.</v>
      </c>
      <c r="B2283" s="244" t="str">
        <f t="shared" si="35"/>
        <v>Knee Replacement PrimaryProviderIMPERIAL COLLEGE HEALTHCARE NHS TRUST (RYJ)EQ-5D Index</v>
      </c>
      <c r="C2283" t="s">
        <v>969</v>
      </c>
      <c r="D2283" t="s">
        <v>965</v>
      </c>
      <c r="E2283" t="s">
        <v>280</v>
      </c>
      <c r="F2283" t="s">
        <v>281</v>
      </c>
      <c r="G2283" t="s">
        <v>963</v>
      </c>
      <c r="H2283">
        <v>22</v>
      </c>
      <c r="I2283">
        <v>0.187</v>
      </c>
      <c r="J2283">
        <v>0.71013599999999999</v>
      </c>
      <c r="K2283">
        <v>0.52313600000000005</v>
      </c>
      <c r="L2283">
        <v>19</v>
      </c>
      <c r="M2283">
        <v>1</v>
      </c>
      <c r="N2283">
        <v>2</v>
      </c>
      <c r="O2283" t="s">
        <v>127</v>
      </c>
      <c r="P2283" t="s">
        <v>127</v>
      </c>
      <c r="Q2283" t="s">
        <v>127</v>
      </c>
    </row>
    <row r="2284" spans="1:17" x14ac:dyDescent="0.25">
      <c r="A2284" t="str">
        <f>IF(C2284&amp;G2284&amp;D2284&lt;&gt;'Funnel setup'!$K$3&amp;'Funnel setup'!$K$4&amp;'Funnel setup'!$K$6,".",IF(A2283=".",1,A2283+1))</f>
        <v>.</v>
      </c>
      <c r="B2284" s="244" t="str">
        <f t="shared" si="35"/>
        <v>Knee Replacement PrimaryProviderISLE OF WIGHT NHS TRUST (R1F)EQ-5D Index</v>
      </c>
      <c r="C2284" t="s">
        <v>969</v>
      </c>
      <c r="D2284" t="s">
        <v>965</v>
      </c>
      <c r="E2284" t="s">
        <v>282</v>
      </c>
      <c r="F2284" t="s">
        <v>283</v>
      </c>
      <c r="G2284" t="s">
        <v>963</v>
      </c>
      <c r="H2284">
        <v>2</v>
      </c>
      <c r="I2284">
        <v>0.70899999999999996</v>
      </c>
      <c r="J2284">
        <v>0.753</v>
      </c>
      <c r="K2284">
        <v>4.3999999999999997E-2</v>
      </c>
      <c r="L2284">
        <v>1</v>
      </c>
      <c r="M2284">
        <v>1</v>
      </c>
      <c r="N2284">
        <v>0</v>
      </c>
      <c r="O2284" t="s">
        <v>127</v>
      </c>
      <c r="P2284" t="s">
        <v>127</v>
      </c>
      <c r="Q2284" t="s">
        <v>127</v>
      </c>
    </row>
    <row r="2285" spans="1:17" x14ac:dyDescent="0.25">
      <c r="A2285" t="str">
        <f>IF(C2285&amp;G2285&amp;D2285&lt;&gt;'Funnel setup'!$K$3&amp;'Funnel setup'!$K$4&amp;'Funnel setup'!$K$6,".",IF(A2284=".",1,A2284+1))</f>
        <v>.</v>
      </c>
      <c r="B2285" s="244" t="str">
        <f t="shared" si="35"/>
        <v>Knee Replacement PrimaryProviderJAMES PAGET UNIVERSITY HOSPITALS NHS FOUNDATION TRUST (RGP)EQ-5D Index</v>
      </c>
      <c r="C2285" t="s">
        <v>969</v>
      </c>
      <c r="D2285" t="s">
        <v>965</v>
      </c>
      <c r="E2285" t="s">
        <v>284</v>
      </c>
      <c r="F2285" t="s">
        <v>285</v>
      </c>
      <c r="G2285" t="s">
        <v>963</v>
      </c>
      <c r="H2285">
        <v>54</v>
      </c>
      <c r="I2285">
        <v>0.36629600000000001</v>
      </c>
      <c r="J2285">
        <v>0.738259</v>
      </c>
      <c r="K2285">
        <v>0.37196299999999999</v>
      </c>
      <c r="L2285">
        <v>43</v>
      </c>
      <c r="M2285">
        <v>6</v>
      </c>
      <c r="N2285">
        <v>5</v>
      </c>
      <c r="O2285">
        <v>0.763208</v>
      </c>
      <c r="P2285">
        <v>0.33441300000000002</v>
      </c>
      <c r="Q2285">
        <v>0.19032399999999999</v>
      </c>
    </row>
    <row r="2286" spans="1:17" x14ac:dyDescent="0.25">
      <c r="A2286" t="str">
        <f>IF(C2286&amp;G2286&amp;D2286&lt;&gt;'Funnel setup'!$K$3&amp;'Funnel setup'!$K$4&amp;'Funnel setup'!$K$6,".",IF(A2285=".",1,A2285+1))</f>
        <v>.</v>
      </c>
      <c r="B2286" s="244" t="str">
        <f t="shared" si="35"/>
        <v>Knee Replacement PrimaryProviderKETTERING GENERAL HOSPITAL NHS FOUNDATION TRUST (RNQ)EQ-5D Index</v>
      </c>
      <c r="C2286" t="s">
        <v>969</v>
      </c>
      <c r="D2286" t="s">
        <v>965</v>
      </c>
      <c r="E2286" t="s">
        <v>286</v>
      </c>
      <c r="F2286" t="s">
        <v>287</v>
      </c>
      <c r="G2286" t="s">
        <v>963</v>
      </c>
      <c r="H2286">
        <v>25</v>
      </c>
      <c r="I2286">
        <v>0.40307999999999999</v>
      </c>
      <c r="J2286">
        <v>0.75375999999999999</v>
      </c>
      <c r="K2286">
        <v>0.35067999999999999</v>
      </c>
      <c r="L2286">
        <v>20</v>
      </c>
      <c r="M2286">
        <v>2</v>
      </c>
      <c r="N2286">
        <v>3</v>
      </c>
      <c r="O2286" t="s">
        <v>127</v>
      </c>
      <c r="P2286" t="s">
        <v>127</v>
      </c>
      <c r="Q2286" t="s">
        <v>127</v>
      </c>
    </row>
    <row r="2287" spans="1:17" x14ac:dyDescent="0.25">
      <c r="A2287" t="str">
        <f>IF(C2287&amp;G2287&amp;D2287&lt;&gt;'Funnel setup'!$K$3&amp;'Funnel setup'!$K$4&amp;'Funnel setup'!$K$6,".",IF(A2286=".",1,A2286+1))</f>
        <v>.</v>
      </c>
      <c r="B2287" s="244" t="str">
        <f t="shared" si="35"/>
        <v>Knee Replacement PrimaryProviderKIMS HOSPITAL (NEWNHAM COURT) (ADP02)EQ-5D Index</v>
      </c>
      <c r="C2287" t="s">
        <v>969</v>
      </c>
      <c r="D2287" t="s">
        <v>965</v>
      </c>
      <c r="E2287" t="s">
        <v>288</v>
      </c>
      <c r="F2287" t="s">
        <v>289</v>
      </c>
      <c r="G2287" t="s">
        <v>963</v>
      </c>
      <c r="H2287">
        <v>132</v>
      </c>
      <c r="I2287">
        <v>0.48353800000000002</v>
      </c>
      <c r="J2287">
        <v>0.82786400000000004</v>
      </c>
      <c r="K2287">
        <v>0.34432600000000002</v>
      </c>
      <c r="L2287">
        <v>112</v>
      </c>
      <c r="M2287">
        <v>9</v>
      </c>
      <c r="N2287">
        <v>11</v>
      </c>
      <c r="O2287">
        <v>0.81426900000000002</v>
      </c>
      <c r="P2287">
        <v>0.38547300000000001</v>
      </c>
      <c r="Q2287">
        <v>0.20974599999999999</v>
      </c>
    </row>
    <row r="2288" spans="1:17" x14ac:dyDescent="0.25">
      <c r="A2288" t="str">
        <f>IF(C2288&amp;G2288&amp;D2288&lt;&gt;'Funnel setup'!$K$3&amp;'Funnel setup'!$K$4&amp;'Funnel setup'!$K$6,".",IF(A2287=".",1,A2287+1))</f>
        <v>.</v>
      </c>
      <c r="B2288" s="244" t="str">
        <f t="shared" si="35"/>
        <v>Knee Replacement PrimaryProviderKING'S COLLEGE HOSPITAL NHS FOUNDATION TRUST (RJZ)EQ-5D Index</v>
      </c>
      <c r="C2288" t="s">
        <v>969</v>
      </c>
      <c r="D2288" t="s">
        <v>965</v>
      </c>
      <c r="E2288" t="s">
        <v>290</v>
      </c>
      <c r="F2288" t="s">
        <v>291</v>
      </c>
      <c r="G2288" t="s">
        <v>963</v>
      </c>
      <c r="H2288">
        <v>14</v>
      </c>
      <c r="I2288">
        <v>0.36835699999999999</v>
      </c>
      <c r="J2288">
        <v>0.53249999999999997</v>
      </c>
      <c r="K2288">
        <v>0.16414300000000001</v>
      </c>
      <c r="L2288">
        <v>9</v>
      </c>
      <c r="M2288">
        <v>0</v>
      </c>
      <c r="N2288">
        <v>5</v>
      </c>
      <c r="O2288" t="s">
        <v>127</v>
      </c>
      <c r="P2288" t="s">
        <v>127</v>
      </c>
      <c r="Q2288" t="s">
        <v>127</v>
      </c>
    </row>
    <row r="2289" spans="1:17" x14ac:dyDescent="0.25">
      <c r="A2289" t="str">
        <f>IF(C2289&amp;G2289&amp;D2289&lt;&gt;'Funnel setup'!$K$3&amp;'Funnel setup'!$K$4&amp;'Funnel setup'!$K$6,".",IF(A2288=".",1,A2288+1))</f>
        <v>.</v>
      </c>
      <c r="B2289" s="244" t="str">
        <f t="shared" si="35"/>
        <v>Knee Replacement PrimaryProviderKINGS OAK HOSPITAL (NT421)EQ-5D Index</v>
      </c>
      <c r="C2289" t="s">
        <v>969</v>
      </c>
      <c r="D2289" t="s">
        <v>965</v>
      </c>
      <c r="E2289" t="s">
        <v>292</v>
      </c>
      <c r="F2289" t="s">
        <v>293</v>
      </c>
      <c r="G2289" t="s">
        <v>963</v>
      </c>
      <c r="H2289">
        <v>6</v>
      </c>
      <c r="I2289">
        <v>0.29816700000000002</v>
      </c>
      <c r="J2289">
        <v>0.60666699999999996</v>
      </c>
      <c r="K2289">
        <v>0.3085</v>
      </c>
      <c r="L2289">
        <v>4</v>
      </c>
      <c r="M2289">
        <v>2</v>
      </c>
      <c r="N2289">
        <v>0</v>
      </c>
      <c r="O2289" t="s">
        <v>127</v>
      </c>
      <c r="P2289" t="s">
        <v>127</v>
      </c>
      <c r="Q2289" t="s">
        <v>127</v>
      </c>
    </row>
    <row r="2290" spans="1:17" x14ac:dyDescent="0.25">
      <c r="A2290" t="str">
        <f>IF(C2290&amp;G2290&amp;D2290&lt;&gt;'Funnel setup'!$K$3&amp;'Funnel setup'!$K$4&amp;'Funnel setup'!$K$6,".",IF(A2289=".",1,A2289+1))</f>
        <v>.</v>
      </c>
      <c r="B2290" s="244" t="str">
        <f t="shared" si="35"/>
        <v>Knee Replacement PrimaryProviderLANCASHIRE TEACHING HOSPITALS NHS FOUNDATION TRUST (RXN)EQ-5D Index</v>
      </c>
      <c r="C2290" t="s">
        <v>969</v>
      </c>
      <c r="D2290" t="s">
        <v>965</v>
      </c>
      <c r="E2290" t="s">
        <v>296</v>
      </c>
      <c r="F2290" t="s">
        <v>297</v>
      </c>
      <c r="G2290" t="s">
        <v>963</v>
      </c>
      <c r="H2290">
        <v>38</v>
      </c>
      <c r="I2290">
        <v>0.25544699999999998</v>
      </c>
      <c r="J2290">
        <v>0.71489499999999995</v>
      </c>
      <c r="K2290">
        <v>0.45944699999999999</v>
      </c>
      <c r="L2290">
        <v>34</v>
      </c>
      <c r="M2290">
        <v>1</v>
      </c>
      <c r="N2290">
        <v>3</v>
      </c>
      <c r="O2290">
        <v>0.78404099999999999</v>
      </c>
      <c r="P2290">
        <v>0.35524499999999998</v>
      </c>
      <c r="Q2290">
        <v>0.297153</v>
      </c>
    </row>
    <row r="2291" spans="1:17" x14ac:dyDescent="0.25">
      <c r="A2291" t="str">
        <f>IF(C2291&amp;G2291&amp;D2291&lt;&gt;'Funnel setup'!$K$3&amp;'Funnel setup'!$K$4&amp;'Funnel setup'!$K$6,".",IF(A2290=".",1,A2290+1))</f>
        <v>.</v>
      </c>
      <c r="B2291" s="244" t="str">
        <f t="shared" si="35"/>
        <v>Knee Replacement PrimaryProviderLANCASTER HOSPITAL (NT449)EQ-5D Index</v>
      </c>
      <c r="C2291" t="s">
        <v>969</v>
      </c>
      <c r="D2291" t="s">
        <v>965</v>
      </c>
      <c r="E2291" t="s">
        <v>298</v>
      </c>
      <c r="F2291" t="s">
        <v>299</v>
      </c>
      <c r="G2291" t="s">
        <v>963</v>
      </c>
      <c r="H2291">
        <v>31</v>
      </c>
      <c r="I2291">
        <v>0.51229000000000002</v>
      </c>
      <c r="J2291">
        <v>0.79180600000000001</v>
      </c>
      <c r="K2291">
        <v>0.27951599999999999</v>
      </c>
      <c r="L2291">
        <v>27</v>
      </c>
      <c r="M2291">
        <v>2</v>
      </c>
      <c r="N2291">
        <v>2</v>
      </c>
      <c r="O2291">
        <v>0.75316300000000003</v>
      </c>
      <c r="P2291">
        <v>0.32436700000000002</v>
      </c>
      <c r="Q2291">
        <v>0.11504300000000001</v>
      </c>
    </row>
    <row r="2292" spans="1:17" x14ac:dyDescent="0.25">
      <c r="A2292" t="str">
        <f>IF(C2292&amp;G2292&amp;D2292&lt;&gt;'Funnel setup'!$K$3&amp;'Funnel setup'!$K$4&amp;'Funnel setup'!$K$6,".",IF(A2291=".",1,A2291+1))</f>
        <v>.</v>
      </c>
      <c r="B2292" s="244" t="str">
        <f t="shared" si="35"/>
        <v>Knee Replacement PrimaryProviderLEEDS TEACHING HOSPITALS NHS TRUST (RR8)EQ-5D Index</v>
      </c>
      <c r="C2292" t="s">
        <v>969</v>
      </c>
      <c r="D2292" t="s">
        <v>965</v>
      </c>
      <c r="E2292" t="s">
        <v>300</v>
      </c>
      <c r="F2292" t="s">
        <v>301</v>
      </c>
      <c r="G2292" t="s">
        <v>963</v>
      </c>
      <c r="H2292">
        <v>98</v>
      </c>
      <c r="I2292">
        <v>0.43910199999999999</v>
      </c>
      <c r="J2292">
        <v>0.71045899999999995</v>
      </c>
      <c r="K2292">
        <v>0.27135700000000001</v>
      </c>
      <c r="L2292">
        <v>73</v>
      </c>
      <c r="M2292">
        <v>10</v>
      </c>
      <c r="N2292">
        <v>15</v>
      </c>
      <c r="O2292">
        <v>0.72844799999999998</v>
      </c>
      <c r="P2292">
        <v>0.29965199999999997</v>
      </c>
      <c r="Q2292">
        <v>0.20733399999999999</v>
      </c>
    </row>
    <row r="2293" spans="1:17" x14ac:dyDescent="0.25">
      <c r="A2293" t="str">
        <f>IF(C2293&amp;G2293&amp;D2293&lt;&gt;'Funnel setup'!$K$3&amp;'Funnel setup'!$K$4&amp;'Funnel setup'!$K$6,".",IF(A2292=".",1,A2292+1))</f>
        <v>.</v>
      </c>
      <c r="B2293" s="244" t="str">
        <f t="shared" si="35"/>
        <v>Knee Replacement PrimaryProviderLINCOLN HOSPITAL (NT450)EQ-5D Index</v>
      </c>
      <c r="C2293" t="s">
        <v>969</v>
      </c>
      <c r="D2293" t="s">
        <v>965</v>
      </c>
      <c r="E2293" t="s">
        <v>304</v>
      </c>
      <c r="F2293" t="s">
        <v>305</v>
      </c>
      <c r="G2293" t="s">
        <v>963</v>
      </c>
      <c r="H2293">
        <v>66</v>
      </c>
      <c r="I2293">
        <v>0.52945500000000001</v>
      </c>
      <c r="J2293">
        <v>0.84427300000000005</v>
      </c>
      <c r="K2293">
        <v>0.31481799999999999</v>
      </c>
      <c r="L2293">
        <v>55</v>
      </c>
      <c r="M2293">
        <v>6</v>
      </c>
      <c r="N2293">
        <v>5</v>
      </c>
      <c r="O2293">
        <v>0.81271700000000002</v>
      </c>
      <c r="P2293">
        <v>0.38392199999999999</v>
      </c>
      <c r="Q2293">
        <v>0.15826999999999999</v>
      </c>
    </row>
    <row r="2294" spans="1:17" x14ac:dyDescent="0.25">
      <c r="A2294" t="str">
        <f>IF(C2294&amp;G2294&amp;D2294&lt;&gt;'Funnel setup'!$K$3&amp;'Funnel setup'!$K$4&amp;'Funnel setup'!$K$6,".",IF(A2293=".",1,A2293+1))</f>
        <v>.</v>
      </c>
      <c r="B2294" s="244" t="str">
        <f t="shared" si="35"/>
        <v>Knee Replacement PrimaryProviderLIVERPOOL UNIVERSITY HOSPITALS NHS FOUNDATION TRUST (REM)EQ-5D Index</v>
      </c>
      <c r="C2294" t="s">
        <v>969</v>
      </c>
      <c r="D2294" t="s">
        <v>965</v>
      </c>
      <c r="E2294" t="s">
        <v>306</v>
      </c>
      <c r="F2294" t="s">
        <v>307</v>
      </c>
      <c r="G2294" t="s">
        <v>963</v>
      </c>
      <c r="H2294">
        <v>60</v>
      </c>
      <c r="I2294">
        <v>0.22689999999999999</v>
      </c>
      <c r="J2294">
        <v>0.68476700000000001</v>
      </c>
      <c r="K2294">
        <v>0.45786700000000002</v>
      </c>
      <c r="L2294">
        <v>52</v>
      </c>
      <c r="M2294">
        <v>4</v>
      </c>
      <c r="N2294">
        <v>4</v>
      </c>
      <c r="O2294">
        <v>0.74741599999999997</v>
      </c>
      <c r="P2294">
        <v>0.31862000000000001</v>
      </c>
      <c r="Q2294">
        <v>0.27663199999999999</v>
      </c>
    </row>
    <row r="2295" spans="1:17" x14ac:dyDescent="0.25">
      <c r="A2295" t="str">
        <f>IF(C2295&amp;G2295&amp;D2295&lt;&gt;'Funnel setup'!$K$3&amp;'Funnel setup'!$K$4&amp;'Funnel setup'!$K$6,".",IF(A2294=".",1,A2294+1))</f>
        <v>.</v>
      </c>
      <c r="B2295" s="244" t="str">
        <f t="shared" si="35"/>
        <v>Knee Replacement PrimaryProviderLONDON INDEPENDENT HOSPITAL (NT422)EQ-5D Index</v>
      </c>
      <c r="C2295" t="s">
        <v>969</v>
      </c>
      <c r="D2295" t="s">
        <v>965</v>
      </c>
      <c r="E2295" t="s">
        <v>308</v>
      </c>
      <c r="F2295" t="s">
        <v>309</v>
      </c>
      <c r="G2295" t="s">
        <v>963</v>
      </c>
      <c r="H2295">
        <v>8</v>
      </c>
      <c r="I2295">
        <v>0.32224999999999998</v>
      </c>
      <c r="J2295">
        <v>0.42162500000000003</v>
      </c>
      <c r="K2295">
        <v>9.9375000000000005E-2</v>
      </c>
      <c r="L2295">
        <v>4</v>
      </c>
      <c r="M2295">
        <v>1</v>
      </c>
      <c r="N2295">
        <v>3</v>
      </c>
      <c r="O2295" t="s">
        <v>127</v>
      </c>
      <c r="P2295" t="s">
        <v>127</v>
      </c>
      <c r="Q2295" t="s">
        <v>127</v>
      </c>
    </row>
    <row r="2296" spans="1:17" x14ac:dyDescent="0.25">
      <c r="A2296" t="str">
        <f>IF(C2296&amp;G2296&amp;D2296&lt;&gt;'Funnel setup'!$K$3&amp;'Funnel setup'!$K$4&amp;'Funnel setup'!$K$6,".",IF(A2295=".",1,A2295+1))</f>
        <v>.</v>
      </c>
      <c r="B2296" s="244" t="str">
        <f t="shared" si="35"/>
        <v>Knee Replacement PrimaryProviderMAIDSTONE AND TUNBRIDGE WELLS NHS TRUST (RWF)EQ-5D Index</v>
      </c>
      <c r="C2296" t="s">
        <v>969</v>
      </c>
      <c r="D2296" t="s">
        <v>965</v>
      </c>
      <c r="E2296" t="s">
        <v>312</v>
      </c>
      <c r="F2296" t="s">
        <v>313</v>
      </c>
      <c r="G2296" t="s">
        <v>963</v>
      </c>
      <c r="H2296">
        <v>135</v>
      </c>
      <c r="I2296">
        <v>0.47679300000000002</v>
      </c>
      <c r="J2296">
        <v>0.81216999999999995</v>
      </c>
      <c r="K2296">
        <v>0.33537800000000001</v>
      </c>
      <c r="L2296">
        <v>114</v>
      </c>
      <c r="M2296">
        <v>14</v>
      </c>
      <c r="N2296">
        <v>7</v>
      </c>
      <c r="O2296">
        <v>0.790767</v>
      </c>
      <c r="P2296">
        <v>0.36197099999999999</v>
      </c>
      <c r="Q2296">
        <v>0.189389</v>
      </c>
    </row>
    <row r="2297" spans="1:17" x14ac:dyDescent="0.25">
      <c r="A2297" t="str">
        <f>IF(C2297&amp;G2297&amp;D2297&lt;&gt;'Funnel setup'!$K$3&amp;'Funnel setup'!$K$4&amp;'Funnel setup'!$K$6,".",IF(A2296=".",1,A2296+1))</f>
        <v>.</v>
      </c>
      <c r="B2297" s="244" t="str">
        <f t="shared" si="35"/>
        <v>Knee Replacement PrimaryProviderMANCHESTER UNIVERSITY NHS FOUNDATION TRUST (R0A)EQ-5D Index</v>
      </c>
      <c r="C2297" t="s">
        <v>969</v>
      </c>
      <c r="D2297" t="s">
        <v>965</v>
      </c>
      <c r="E2297" t="s">
        <v>316</v>
      </c>
      <c r="F2297" t="s">
        <v>317</v>
      </c>
      <c r="G2297" t="s">
        <v>963</v>
      </c>
      <c r="H2297">
        <v>100</v>
      </c>
      <c r="I2297">
        <v>0.30647999999999997</v>
      </c>
      <c r="J2297">
        <v>0.70235999999999998</v>
      </c>
      <c r="K2297">
        <v>0.39588000000000001</v>
      </c>
      <c r="L2297">
        <v>85</v>
      </c>
      <c r="M2297">
        <v>6</v>
      </c>
      <c r="N2297">
        <v>9</v>
      </c>
      <c r="O2297">
        <v>0.73353699999999999</v>
      </c>
      <c r="P2297">
        <v>0.30474099999999998</v>
      </c>
      <c r="Q2297">
        <v>0.26979999999999998</v>
      </c>
    </row>
    <row r="2298" spans="1:17" x14ac:dyDescent="0.25">
      <c r="A2298" t="str">
        <f>IF(C2298&amp;G2298&amp;D2298&lt;&gt;'Funnel setup'!$K$3&amp;'Funnel setup'!$K$4&amp;'Funnel setup'!$K$6,".",IF(A2297=".",1,A2297+1))</f>
        <v>.</v>
      </c>
      <c r="B2298" s="244" t="str">
        <f t="shared" si="35"/>
        <v>Knee Replacement PrimaryProviderMANOR HOSPITAL (NT423)EQ-5D Index</v>
      </c>
      <c r="C2298" t="s">
        <v>969</v>
      </c>
      <c r="D2298" t="s">
        <v>965</v>
      </c>
      <c r="E2298" t="s">
        <v>318</v>
      </c>
      <c r="F2298" t="s">
        <v>319</v>
      </c>
      <c r="G2298" t="s">
        <v>963</v>
      </c>
      <c r="H2298">
        <v>14</v>
      </c>
      <c r="I2298">
        <v>0.40550000000000003</v>
      </c>
      <c r="J2298">
        <v>0.77</v>
      </c>
      <c r="K2298">
        <v>0.36449999999999999</v>
      </c>
      <c r="L2298">
        <v>13</v>
      </c>
      <c r="M2298">
        <v>1</v>
      </c>
      <c r="N2298">
        <v>0</v>
      </c>
      <c r="O2298" t="s">
        <v>127</v>
      </c>
      <c r="P2298" t="s">
        <v>127</v>
      </c>
      <c r="Q2298" t="s">
        <v>127</v>
      </c>
    </row>
    <row r="2299" spans="1:17" x14ac:dyDescent="0.25">
      <c r="A2299" t="str">
        <f>IF(C2299&amp;G2299&amp;D2299&lt;&gt;'Funnel setup'!$K$3&amp;'Funnel setup'!$K$4&amp;'Funnel setup'!$K$6,".",IF(A2298=".",1,A2298+1))</f>
        <v>.</v>
      </c>
      <c r="B2299" s="244" t="str">
        <f t="shared" si="35"/>
        <v>Knee Replacement PrimaryProviderMEDWAY NHS FOUNDATION TRUST (RPA)EQ-5D Index</v>
      </c>
      <c r="C2299" t="s">
        <v>969</v>
      </c>
      <c r="D2299" t="s">
        <v>965</v>
      </c>
      <c r="E2299" t="s">
        <v>320</v>
      </c>
      <c r="F2299" t="s">
        <v>321</v>
      </c>
      <c r="G2299" t="s">
        <v>963</v>
      </c>
      <c r="H2299">
        <v>45</v>
      </c>
      <c r="I2299">
        <v>0.49802200000000002</v>
      </c>
      <c r="J2299">
        <v>0.76819999999999999</v>
      </c>
      <c r="K2299">
        <v>0.27017799999999997</v>
      </c>
      <c r="L2299">
        <v>36</v>
      </c>
      <c r="M2299">
        <v>4</v>
      </c>
      <c r="N2299">
        <v>5</v>
      </c>
      <c r="O2299">
        <v>0.774343</v>
      </c>
      <c r="P2299">
        <v>0.34554699999999999</v>
      </c>
      <c r="Q2299">
        <v>0.246227</v>
      </c>
    </row>
    <row r="2300" spans="1:17" x14ac:dyDescent="0.25">
      <c r="A2300" t="str">
        <f>IF(C2300&amp;G2300&amp;D2300&lt;&gt;'Funnel setup'!$K$3&amp;'Funnel setup'!$K$4&amp;'Funnel setup'!$K$6,".",IF(A2299=".",1,A2299+1))</f>
        <v>.</v>
      </c>
      <c r="B2300" s="244" t="str">
        <f t="shared" si="35"/>
        <v>Knee Replacement PrimaryProviderMERIDEN HOSPITAL (NT424)EQ-5D Index</v>
      </c>
      <c r="C2300" t="s">
        <v>969</v>
      </c>
      <c r="D2300" t="s">
        <v>965</v>
      </c>
      <c r="E2300" t="s">
        <v>322</v>
      </c>
      <c r="F2300" t="s">
        <v>323</v>
      </c>
      <c r="G2300" t="s">
        <v>963</v>
      </c>
      <c r="H2300">
        <v>7</v>
      </c>
      <c r="I2300">
        <v>0.45214300000000002</v>
      </c>
      <c r="J2300">
        <v>0.89685700000000002</v>
      </c>
      <c r="K2300">
        <v>0.444714</v>
      </c>
      <c r="L2300">
        <v>7</v>
      </c>
      <c r="M2300">
        <v>0</v>
      </c>
      <c r="N2300">
        <v>0</v>
      </c>
      <c r="O2300" t="s">
        <v>127</v>
      </c>
      <c r="P2300" t="s">
        <v>127</v>
      </c>
      <c r="Q2300" t="s">
        <v>127</v>
      </c>
    </row>
    <row r="2301" spans="1:17" x14ac:dyDescent="0.25">
      <c r="A2301" t="str">
        <f>IF(C2301&amp;G2301&amp;D2301&lt;&gt;'Funnel setup'!$K$3&amp;'Funnel setup'!$K$4&amp;'Funnel setup'!$K$6,".",IF(A2300=".",1,A2300+1))</f>
        <v>.</v>
      </c>
      <c r="B2301" s="244" t="str">
        <f t="shared" si="35"/>
        <v>Knee Replacement PrimaryProviderMID AND SOUTH ESSEX NHS FOUNDATION TRUST (RAJ)EQ-5D Index</v>
      </c>
      <c r="C2301" t="s">
        <v>969</v>
      </c>
      <c r="D2301" t="s">
        <v>965</v>
      </c>
      <c r="E2301" t="s">
        <v>324</v>
      </c>
      <c r="F2301" t="s">
        <v>325</v>
      </c>
      <c r="G2301" t="s">
        <v>963</v>
      </c>
      <c r="H2301">
        <v>125</v>
      </c>
      <c r="I2301">
        <v>0.32406400000000002</v>
      </c>
      <c r="J2301">
        <v>0.71110399999999996</v>
      </c>
      <c r="K2301">
        <v>0.38704</v>
      </c>
      <c r="L2301">
        <v>103</v>
      </c>
      <c r="M2301">
        <v>6</v>
      </c>
      <c r="N2301">
        <v>16</v>
      </c>
      <c r="O2301">
        <v>0.75424999999999998</v>
      </c>
      <c r="P2301">
        <v>0.32545400000000002</v>
      </c>
      <c r="Q2301">
        <v>0.28833799999999998</v>
      </c>
    </row>
    <row r="2302" spans="1:17" x14ac:dyDescent="0.25">
      <c r="A2302" t="str">
        <f>IF(C2302&amp;G2302&amp;D2302&lt;&gt;'Funnel setup'!$K$3&amp;'Funnel setup'!$K$4&amp;'Funnel setup'!$K$6,".",IF(A2301=".",1,A2301+1))</f>
        <v>.</v>
      </c>
      <c r="B2302" s="244" t="str">
        <f t="shared" si="35"/>
        <v>Knee Replacement PrimaryProviderMID CHESHIRE HOSPITALS NHS FOUNDATION TRUST (RBT)EQ-5D Index</v>
      </c>
      <c r="C2302" t="s">
        <v>969</v>
      </c>
      <c r="D2302" t="s">
        <v>965</v>
      </c>
      <c r="E2302" t="s">
        <v>326</v>
      </c>
      <c r="F2302" t="s">
        <v>327</v>
      </c>
      <c r="G2302" t="s">
        <v>963</v>
      </c>
      <c r="H2302">
        <v>82</v>
      </c>
      <c r="I2302">
        <v>0.47086600000000001</v>
      </c>
      <c r="J2302">
        <v>0.77896299999999996</v>
      </c>
      <c r="K2302">
        <v>0.30809799999999998</v>
      </c>
      <c r="L2302">
        <v>67</v>
      </c>
      <c r="M2302">
        <v>7</v>
      </c>
      <c r="N2302">
        <v>8</v>
      </c>
      <c r="O2302">
        <v>0.77636700000000003</v>
      </c>
      <c r="P2302">
        <v>0.34757100000000002</v>
      </c>
      <c r="Q2302">
        <v>0.22124099999999999</v>
      </c>
    </row>
    <row r="2303" spans="1:17" x14ac:dyDescent="0.25">
      <c r="A2303" t="str">
        <f>IF(C2303&amp;G2303&amp;D2303&lt;&gt;'Funnel setup'!$K$3&amp;'Funnel setup'!$K$4&amp;'Funnel setup'!$K$6,".",IF(A2302=".",1,A2302+1))</f>
        <v>.</v>
      </c>
      <c r="B2303" s="244" t="str">
        <f t="shared" si="35"/>
        <v>Knee Replacement PrimaryProviderMID YORKSHIRE TEACHING NHS TRUST (RXF)EQ-5D Index</v>
      </c>
      <c r="C2303" t="s">
        <v>969</v>
      </c>
      <c r="D2303" t="s">
        <v>965</v>
      </c>
      <c r="E2303" t="s">
        <v>330</v>
      </c>
      <c r="F2303" t="s">
        <v>331</v>
      </c>
      <c r="G2303" t="s">
        <v>963</v>
      </c>
      <c r="H2303">
        <v>164</v>
      </c>
      <c r="I2303">
        <v>0.34843299999999999</v>
      </c>
      <c r="J2303">
        <v>0.70172000000000001</v>
      </c>
      <c r="K2303">
        <v>0.35328700000000002</v>
      </c>
      <c r="L2303">
        <v>133</v>
      </c>
      <c r="M2303">
        <v>14</v>
      </c>
      <c r="N2303">
        <v>17</v>
      </c>
      <c r="O2303">
        <v>0.73275599999999996</v>
      </c>
      <c r="P2303">
        <v>0.30396000000000001</v>
      </c>
      <c r="Q2303">
        <v>0.25561600000000001</v>
      </c>
    </row>
    <row r="2304" spans="1:17" x14ac:dyDescent="0.25">
      <c r="A2304" t="str">
        <f>IF(C2304&amp;G2304&amp;D2304&lt;&gt;'Funnel setup'!$K$3&amp;'Funnel setup'!$K$4&amp;'Funnel setup'!$K$6,".",IF(A2303=".",1,A2303+1))</f>
        <v>.</v>
      </c>
      <c r="B2304" s="244" t="str">
        <f t="shared" si="35"/>
        <v>Knee Replacement PrimaryProviderMILTON KEYNES UNIVERSITY HOSPITAL NHS FOUNDATION TRUST (RD8)EQ-5D Index</v>
      </c>
      <c r="C2304" t="s">
        <v>969</v>
      </c>
      <c r="D2304" t="s">
        <v>965</v>
      </c>
      <c r="E2304" t="s">
        <v>332</v>
      </c>
      <c r="F2304" t="s">
        <v>333</v>
      </c>
      <c r="G2304" t="s">
        <v>963</v>
      </c>
      <c r="H2304">
        <v>28</v>
      </c>
      <c r="I2304">
        <v>0.26010699999999998</v>
      </c>
      <c r="J2304">
        <v>0.69267900000000004</v>
      </c>
      <c r="K2304">
        <v>0.43257099999999998</v>
      </c>
      <c r="L2304">
        <v>23</v>
      </c>
      <c r="M2304">
        <v>1</v>
      </c>
      <c r="N2304">
        <v>4</v>
      </c>
      <c r="O2304" t="s">
        <v>127</v>
      </c>
      <c r="P2304" t="s">
        <v>127</v>
      </c>
      <c r="Q2304" t="s">
        <v>127</v>
      </c>
    </row>
    <row r="2305" spans="1:17" x14ac:dyDescent="0.25">
      <c r="A2305" t="str">
        <f>IF(C2305&amp;G2305&amp;D2305&lt;&gt;'Funnel setup'!$K$3&amp;'Funnel setup'!$K$4&amp;'Funnel setup'!$K$6,".",IF(A2304=".",1,A2304+1))</f>
        <v>.</v>
      </c>
      <c r="B2305" s="244" t="str">
        <f t="shared" si="35"/>
        <v>Knee Replacement PrimaryProviderMOUNT ALVERNIA HOSPITAL (NT455)EQ-5D Index</v>
      </c>
      <c r="C2305" t="s">
        <v>969</v>
      </c>
      <c r="D2305" t="s">
        <v>965</v>
      </c>
      <c r="E2305" t="s">
        <v>334</v>
      </c>
      <c r="F2305" t="s">
        <v>335</v>
      </c>
      <c r="G2305" t="s">
        <v>963</v>
      </c>
      <c r="H2305">
        <v>7</v>
      </c>
      <c r="I2305">
        <v>0.73814299999999999</v>
      </c>
      <c r="J2305">
        <v>0.84842899999999999</v>
      </c>
      <c r="K2305">
        <v>0.110286</v>
      </c>
      <c r="L2305">
        <v>5</v>
      </c>
      <c r="M2305">
        <v>1</v>
      </c>
      <c r="N2305">
        <v>1</v>
      </c>
      <c r="O2305" t="s">
        <v>127</v>
      </c>
      <c r="P2305" t="s">
        <v>127</v>
      </c>
      <c r="Q2305" t="s">
        <v>127</v>
      </c>
    </row>
    <row r="2306" spans="1:17" x14ac:dyDescent="0.25">
      <c r="A2306" t="str">
        <f>IF(C2306&amp;G2306&amp;D2306&lt;&gt;'Funnel setup'!$K$3&amp;'Funnel setup'!$K$4&amp;'Funnel setup'!$K$6,".",IF(A2305=".",1,A2305+1))</f>
        <v>.</v>
      </c>
      <c r="B2306" s="244" t="str">
        <f t="shared" ref="B2306:B2369" si="36">C2306&amp;D2306&amp;F2306&amp;G2306</f>
        <v>Knee Replacement PrimaryProviderMOUNT STUART HOSPITAL (NVC08)EQ-5D Index</v>
      </c>
      <c r="C2306" t="s">
        <v>969</v>
      </c>
      <c r="D2306" t="s">
        <v>965</v>
      </c>
      <c r="E2306" t="s">
        <v>336</v>
      </c>
      <c r="F2306" t="s">
        <v>337</v>
      </c>
      <c r="G2306" t="s">
        <v>963</v>
      </c>
      <c r="H2306">
        <v>102</v>
      </c>
      <c r="I2306">
        <v>0.49901000000000001</v>
      </c>
      <c r="J2306">
        <v>0.78947999999999996</v>
      </c>
      <c r="K2306">
        <v>0.29047099999999998</v>
      </c>
      <c r="L2306">
        <v>87</v>
      </c>
      <c r="M2306">
        <v>6</v>
      </c>
      <c r="N2306">
        <v>9</v>
      </c>
      <c r="O2306">
        <v>0.77222199999999996</v>
      </c>
      <c r="P2306">
        <v>0.34342600000000001</v>
      </c>
      <c r="Q2306">
        <v>0.211816</v>
      </c>
    </row>
    <row r="2307" spans="1:17" x14ac:dyDescent="0.25">
      <c r="A2307" t="str">
        <f>IF(C2307&amp;G2307&amp;D2307&lt;&gt;'Funnel setup'!$K$3&amp;'Funnel setup'!$K$4&amp;'Funnel setup'!$K$6,".",IF(A2306=".",1,A2306+1))</f>
        <v>.</v>
      </c>
      <c r="B2307" s="244" t="str">
        <f t="shared" si="36"/>
        <v>Knee Replacement PrimaryProviderNEW HALL HOSPITAL (NVC09)EQ-5D Index</v>
      </c>
      <c r="C2307" t="s">
        <v>969</v>
      </c>
      <c r="D2307" t="s">
        <v>965</v>
      </c>
      <c r="E2307" t="s">
        <v>338</v>
      </c>
      <c r="F2307" t="s">
        <v>339</v>
      </c>
      <c r="G2307" t="s">
        <v>963</v>
      </c>
      <c r="H2307">
        <v>96</v>
      </c>
      <c r="I2307">
        <v>0.48583300000000001</v>
      </c>
      <c r="J2307">
        <v>0.81918800000000003</v>
      </c>
      <c r="K2307">
        <v>0.33335399999999998</v>
      </c>
      <c r="L2307">
        <v>82</v>
      </c>
      <c r="M2307">
        <v>8</v>
      </c>
      <c r="N2307">
        <v>6</v>
      </c>
      <c r="O2307">
        <v>0.79171800000000003</v>
      </c>
      <c r="P2307">
        <v>0.36292200000000002</v>
      </c>
      <c r="Q2307">
        <v>0.213676</v>
      </c>
    </row>
    <row r="2308" spans="1:17" x14ac:dyDescent="0.25">
      <c r="A2308" t="str">
        <f>IF(C2308&amp;G2308&amp;D2308&lt;&gt;'Funnel setup'!$K$3&amp;'Funnel setup'!$K$4&amp;'Funnel setup'!$K$6,".",IF(A2307=".",1,A2307+1))</f>
        <v>.</v>
      </c>
      <c r="B2308" s="244" t="str">
        <f t="shared" si="36"/>
        <v>Knee Replacement PrimaryProviderNORFOLK AND NORWICH UNIVERSITY HOSPITALS NHS FOUNDATION TRUST (RM1)EQ-5D Index</v>
      </c>
      <c r="C2308" t="s">
        <v>969</v>
      </c>
      <c r="D2308" t="s">
        <v>965</v>
      </c>
      <c r="E2308" t="s">
        <v>340</v>
      </c>
      <c r="F2308" t="s">
        <v>341</v>
      </c>
      <c r="G2308" t="s">
        <v>963</v>
      </c>
      <c r="H2308">
        <v>135</v>
      </c>
      <c r="I2308">
        <v>0.32397799999999999</v>
      </c>
      <c r="J2308">
        <v>0.66297799999999996</v>
      </c>
      <c r="K2308">
        <v>0.33900000000000002</v>
      </c>
      <c r="L2308">
        <v>106</v>
      </c>
      <c r="M2308">
        <v>16</v>
      </c>
      <c r="N2308">
        <v>13</v>
      </c>
      <c r="O2308">
        <v>0.70928899999999995</v>
      </c>
      <c r="P2308">
        <v>0.28049299999999999</v>
      </c>
      <c r="Q2308">
        <v>0.26788200000000001</v>
      </c>
    </row>
    <row r="2309" spans="1:17" x14ac:dyDescent="0.25">
      <c r="A2309" t="str">
        <f>IF(C2309&amp;G2309&amp;D2309&lt;&gt;'Funnel setup'!$K$3&amp;'Funnel setup'!$K$4&amp;'Funnel setup'!$K$6,".",IF(A2308=".",1,A2308+1))</f>
        <v>.</v>
      </c>
      <c r="B2309" s="244" t="str">
        <f t="shared" si="36"/>
        <v>Knee Replacement PrimaryProviderNORTH BRISTOL NHS TRUST (RVJ)EQ-5D Index</v>
      </c>
      <c r="C2309" t="s">
        <v>969</v>
      </c>
      <c r="D2309" t="s">
        <v>965</v>
      </c>
      <c r="E2309" t="s">
        <v>342</v>
      </c>
      <c r="F2309" t="s">
        <v>343</v>
      </c>
      <c r="G2309" t="s">
        <v>963</v>
      </c>
      <c r="H2309">
        <v>5</v>
      </c>
      <c r="I2309">
        <v>0.3014</v>
      </c>
      <c r="J2309">
        <v>0.80179999999999996</v>
      </c>
      <c r="K2309">
        <v>0.50039999999999996</v>
      </c>
      <c r="L2309">
        <v>5</v>
      </c>
      <c r="M2309">
        <v>0</v>
      </c>
      <c r="N2309">
        <v>0</v>
      </c>
      <c r="O2309" t="s">
        <v>127</v>
      </c>
      <c r="P2309" t="s">
        <v>127</v>
      </c>
      <c r="Q2309" t="s">
        <v>127</v>
      </c>
    </row>
    <row r="2310" spans="1:17" x14ac:dyDescent="0.25">
      <c r="A2310" t="str">
        <f>IF(C2310&amp;G2310&amp;D2310&lt;&gt;'Funnel setup'!$K$3&amp;'Funnel setup'!$K$4&amp;'Funnel setup'!$K$6,".",IF(A2309=".",1,A2309+1))</f>
        <v>.</v>
      </c>
      <c r="B2310" s="244" t="str">
        <f t="shared" si="36"/>
        <v>Knee Replacement PrimaryProviderNORTH CUMBRIA INTEGRATED CARE NHS FOUNDATION TRUST (RNN)EQ-5D Index</v>
      </c>
      <c r="C2310" t="s">
        <v>969</v>
      </c>
      <c r="D2310" t="s">
        <v>965</v>
      </c>
      <c r="E2310" t="s">
        <v>344</v>
      </c>
      <c r="F2310" t="s">
        <v>345</v>
      </c>
      <c r="G2310" t="s">
        <v>963</v>
      </c>
      <c r="H2310">
        <v>122</v>
      </c>
      <c r="I2310">
        <v>0.34539300000000001</v>
      </c>
      <c r="J2310">
        <v>0.75368000000000002</v>
      </c>
      <c r="K2310">
        <v>0.40828700000000001</v>
      </c>
      <c r="L2310">
        <v>104</v>
      </c>
      <c r="M2310">
        <v>6</v>
      </c>
      <c r="N2310">
        <v>12</v>
      </c>
      <c r="O2310">
        <v>0.76973400000000003</v>
      </c>
      <c r="P2310">
        <v>0.34093800000000002</v>
      </c>
      <c r="Q2310">
        <v>0.21886</v>
      </c>
    </row>
    <row r="2311" spans="1:17" x14ac:dyDescent="0.25">
      <c r="A2311" t="str">
        <f>IF(C2311&amp;G2311&amp;D2311&lt;&gt;'Funnel setup'!$K$3&amp;'Funnel setup'!$K$4&amp;'Funnel setup'!$K$6,".",IF(A2310=".",1,A2310+1))</f>
        <v>.</v>
      </c>
      <c r="B2311" s="244" t="str">
        <f t="shared" si="36"/>
        <v>Knee Replacement PrimaryProviderNORTH DOWNS HOSPITAL (NVC11)EQ-5D Index</v>
      </c>
      <c r="C2311" t="s">
        <v>969</v>
      </c>
      <c r="D2311" t="s">
        <v>965</v>
      </c>
      <c r="E2311" t="s">
        <v>348</v>
      </c>
      <c r="F2311" t="s">
        <v>349</v>
      </c>
      <c r="G2311" t="s">
        <v>963</v>
      </c>
      <c r="H2311">
        <v>29</v>
      </c>
      <c r="I2311">
        <v>0.41875899999999999</v>
      </c>
      <c r="J2311">
        <v>0.81137899999999996</v>
      </c>
      <c r="K2311">
        <v>0.392621</v>
      </c>
      <c r="L2311">
        <v>27</v>
      </c>
      <c r="M2311">
        <v>2</v>
      </c>
      <c r="N2311">
        <v>0</v>
      </c>
      <c r="O2311" t="s">
        <v>127</v>
      </c>
      <c r="P2311" t="s">
        <v>127</v>
      </c>
      <c r="Q2311" t="s">
        <v>127</v>
      </c>
    </row>
    <row r="2312" spans="1:17" x14ac:dyDescent="0.25">
      <c r="A2312" t="str">
        <f>IF(C2312&amp;G2312&amp;D2312&lt;&gt;'Funnel setup'!$K$3&amp;'Funnel setup'!$K$4&amp;'Funnel setup'!$K$6,".",IF(A2311=".",1,A2311+1))</f>
        <v>.</v>
      </c>
      <c r="B2312" s="244" t="str">
        <f t="shared" si="36"/>
        <v>Knee Replacement PrimaryProviderNORTH MIDDLESEX UNIVERSITY HOSPITAL NHS TRUST (RAP)EQ-5D Index</v>
      </c>
      <c r="C2312" t="s">
        <v>969</v>
      </c>
      <c r="D2312" t="s">
        <v>965</v>
      </c>
      <c r="E2312" t="s">
        <v>350</v>
      </c>
      <c r="F2312" t="s">
        <v>351</v>
      </c>
      <c r="G2312" t="s">
        <v>963</v>
      </c>
      <c r="H2312">
        <v>7</v>
      </c>
      <c r="I2312">
        <v>0.19542899999999999</v>
      </c>
      <c r="J2312">
        <v>0.59114299999999997</v>
      </c>
      <c r="K2312">
        <v>0.39571400000000001</v>
      </c>
      <c r="L2312">
        <v>6</v>
      </c>
      <c r="M2312">
        <v>1</v>
      </c>
      <c r="N2312">
        <v>0</v>
      </c>
      <c r="O2312" t="s">
        <v>127</v>
      </c>
      <c r="P2312" t="s">
        <v>127</v>
      </c>
      <c r="Q2312" t="s">
        <v>127</v>
      </c>
    </row>
    <row r="2313" spans="1:17" x14ac:dyDescent="0.25">
      <c r="A2313" t="str">
        <f>IF(C2313&amp;G2313&amp;D2313&lt;&gt;'Funnel setup'!$K$3&amp;'Funnel setup'!$K$4&amp;'Funnel setup'!$K$6,".",IF(A2312=".",1,A2312+1))</f>
        <v>.</v>
      </c>
      <c r="B2313" s="244" t="str">
        <f t="shared" si="36"/>
        <v>Knee Replacement PrimaryProviderNORTH TEES AND HARTLEPOOL NHS FOUNDATION TRUST (RVW)EQ-5D Index</v>
      </c>
      <c r="C2313" t="s">
        <v>969</v>
      </c>
      <c r="D2313" t="s">
        <v>965</v>
      </c>
      <c r="E2313" t="s">
        <v>352</v>
      </c>
      <c r="F2313" t="s">
        <v>353</v>
      </c>
      <c r="G2313" t="s">
        <v>963</v>
      </c>
      <c r="H2313">
        <v>97</v>
      </c>
      <c r="I2313">
        <v>0.23610300000000001</v>
      </c>
      <c r="J2313">
        <v>0.70016500000000004</v>
      </c>
      <c r="K2313">
        <v>0.46406199999999997</v>
      </c>
      <c r="L2313">
        <v>85</v>
      </c>
      <c r="M2313">
        <v>2</v>
      </c>
      <c r="N2313">
        <v>10</v>
      </c>
      <c r="O2313">
        <v>0.778443</v>
      </c>
      <c r="P2313">
        <v>0.34964699999999999</v>
      </c>
      <c r="Q2313">
        <v>0.26771</v>
      </c>
    </row>
    <row r="2314" spans="1:17" x14ac:dyDescent="0.25">
      <c r="A2314" t="str">
        <f>IF(C2314&amp;G2314&amp;D2314&lt;&gt;'Funnel setup'!$K$3&amp;'Funnel setup'!$K$4&amp;'Funnel setup'!$K$6,".",IF(A2313=".",1,A2313+1))</f>
        <v>.</v>
      </c>
      <c r="B2314" s="244" t="str">
        <f t="shared" si="36"/>
        <v>Knee Replacement PrimaryProviderNORTH WEST ANGLIA NHS FOUNDATION TRUST (RGN)EQ-5D Index</v>
      </c>
      <c r="C2314" t="s">
        <v>969</v>
      </c>
      <c r="D2314" t="s">
        <v>965</v>
      </c>
      <c r="E2314" t="s">
        <v>354</v>
      </c>
      <c r="F2314" t="s">
        <v>355</v>
      </c>
      <c r="G2314" t="s">
        <v>963</v>
      </c>
      <c r="H2314">
        <v>126</v>
      </c>
      <c r="I2314">
        <v>0.393563</v>
      </c>
      <c r="J2314">
        <v>0.72840499999999997</v>
      </c>
      <c r="K2314">
        <v>0.334841</v>
      </c>
      <c r="L2314">
        <v>109</v>
      </c>
      <c r="M2314">
        <v>10</v>
      </c>
      <c r="N2314">
        <v>7</v>
      </c>
      <c r="O2314">
        <v>0.735734</v>
      </c>
      <c r="P2314">
        <v>0.30693799999999999</v>
      </c>
      <c r="Q2314">
        <v>0.20324500000000001</v>
      </c>
    </row>
    <row r="2315" spans="1:17" x14ac:dyDescent="0.25">
      <c r="A2315" t="str">
        <f>IF(C2315&amp;G2315&amp;D2315&lt;&gt;'Funnel setup'!$K$3&amp;'Funnel setup'!$K$4&amp;'Funnel setup'!$K$6,".",IF(A2314=".",1,A2314+1))</f>
        <v>.</v>
      </c>
      <c r="B2315" s="244" t="str">
        <f t="shared" si="36"/>
        <v>Knee Replacement PrimaryProviderNORTHAMPTON GENERAL HOSPITAL NHS TRUST (RNS)EQ-5D Index</v>
      </c>
      <c r="C2315" t="s">
        <v>969</v>
      </c>
      <c r="D2315" t="s">
        <v>965</v>
      </c>
      <c r="E2315" t="s">
        <v>356</v>
      </c>
      <c r="F2315" t="s">
        <v>357</v>
      </c>
      <c r="G2315" t="s">
        <v>963</v>
      </c>
      <c r="H2315">
        <v>43</v>
      </c>
      <c r="I2315">
        <v>0.37611600000000001</v>
      </c>
      <c r="J2315">
        <v>0.67860500000000001</v>
      </c>
      <c r="K2315">
        <v>0.30248799999999998</v>
      </c>
      <c r="L2315">
        <v>33</v>
      </c>
      <c r="M2315">
        <v>2</v>
      </c>
      <c r="N2315">
        <v>8</v>
      </c>
      <c r="O2315">
        <v>0.71514200000000006</v>
      </c>
      <c r="P2315">
        <v>0.28634599999999999</v>
      </c>
      <c r="Q2315">
        <v>0.322523</v>
      </c>
    </row>
    <row r="2316" spans="1:17" x14ac:dyDescent="0.25">
      <c r="A2316" t="str">
        <f>IF(C2316&amp;G2316&amp;D2316&lt;&gt;'Funnel setup'!$K$3&amp;'Funnel setup'!$K$4&amp;'Funnel setup'!$K$6,".",IF(A2315=".",1,A2315+1))</f>
        <v>.</v>
      </c>
      <c r="B2316" s="244" t="str">
        <f t="shared" si="36"/>
        <v>Knee Replacement PrimaryProviderNORTHERN CARE ALLIANCE NHS FOUNDATION TRUST (RM3)EQ-5D Index</v>
      </c>
      <c r="C2316" t="s">
        <v>969</v>
      </c>
      <c r="D2316" t="s">
        <v>965</v>
      </c>
      <c r="E2316" t="s">
        <v>358</v>
      </c>
      <c r="F2316" t="s">
        <v>359</v>
      </c>
      <c r="G2316" t="s">
        <v>963</v>
      </c>
      <c r="H2316">
        <v>7</v>
      </c>
      <c r="I2316">
        <v>0.36842900000000001</v>
      </c>
      <c r="J2316">
        <v>0.58785699999999996</v>
      </c>
      <c r="K2316">
        <v>0.21942900000000001</v>
      </c>
      <c r="L2316">
        <v>6</v>
      </c>
      <c r="M2316">
        <v>0</v>
      </c>
      <c r="N2316">
        <v>1</v>
      </c>
      <c r="O2316" t="s">
        <v>127</v>
      </c>
      <c r="P2316" t="s">
        <v>127</v>
      </c>
      <c r="Q2316" t="s">
        <v>127</v>
      </c>
    </row>
    <row r="2317" spans="1:17" x14ac:dyDescent="0.25">
      <c r="A2317" t="str">
        <f>IF(C2317&amp;G2317&amp;D2317&lt;&gt;'Funnel setup'!$K$3&amp;'Funnel setup'!$K$4&amp;'Funnel setup'!$K$6,".",IF(A2316=".",1,A2316+1))</f>
        <v>.</v>
      </c>
      <c r="B2317" s="244" t="str">
        <f t="shared" si="36"/>
        <v>Knee Replacement PrimaryProviderNORTHERN DEVON HEALTHCARE NHS TRUST (RBZ)EQ-5D Index</v>
      </c>
      <c r="C2317" t="s">
        <v>969</v>
      </c>
      <c r="D2317" t="s">
        <v>965</v>
      </c>
      <c r="E2317" t="s">
        <v>360</v>
      </c>
      <c r="F2317" t="s">
        <v>361</v>
      </c>
      <c r="G2317" t="s">
        <v>963</v>
      </c>
      <c r="H2317">
        <v>36</v>
      </c>
      <c r="I2317">
        <v>0.32338899999999998</v>
      </c>
      <c r="J2317">
        <v>0.67133299999999996</v>
      </c>
      <c r="K2317">
        <v>0.34794399999999998</v>
      </c>
      <c r="L2317">
        <v>30</v>
      </c>
      <c r="M2317">
        <v>3</v>
      </c>
      <c r="N2317">
        <v>3</v>
      </c>
      <c r="O2317">
        <v>0.75320699999999996</v>
      </c>
      <c r="P2317">
        <v>0.324411</v>
      </c>
      <c r="Q2317">
        <v>0.26125599999999999</v>
      </c>
    </row>
    <row r="2318" spans="1:17" x14ac:dyDescent="0.25">
      <c r="A2318" t="str">
        <f>IF(C2318&amp;G2318&amp;D2318&lt;&gt;'Funnel setup'!$K$3&amp;'Funnel setup'!$K$4&amp;'Funnel setup'!$K$6,".",IF(A2317=".",1,A2317+1))</f>
        <v>.</v>
      </c>
      <c r="B2318" s="244" t="str">
        <f t="shared" si="36"/>
        <v>Knee Replacement PrimaryProviderNORTHERN LINCOLNSHIRE AND GOOLE NHS FOUNDATION TRUST (RJL)EQ-5D Index</v>
      </c>
      <c r="C2318" t="s">
        <v>969</v>
      </c>
      <c r="D2318" t="s">
        <v>965</v>
      </c>
      <c r="E2318" t="s">
        <v>362</v>
      </c>
      <c r="F2318" t="s">
        <v>363</v>
      </c>
      <c r="G2318" t="s">
        <v>963</v>
      </c>
      <c r="H2318">
        <v>71</v>
      </c>
      <c r="I2318">
        <v>0.37025400000000003</v>
      </c>
      <c r="J2318">
        <v>0.69663399999999998</v>
      </c>
      <c r="K2318">
        <v>0.32638</v>
      </c>
      <c r="L2318">
        <v>54</v>
      </c>
      <c r="M2318">
        <v>5</v>
      </c>
      <c r="N2318">
        <v>12</v>
      </c>
      <c r="O2318">
        <v>0.71689199999999997</v>
      </c>
      <c r="P2318">
        <v>0.28809600000000002</v>
      </c>
      <c r="Q2318">
        <v>0.248084</v>
      </c>
    </row>
    <row r="2319" spans="1:17" x14ac:dyDescent="0.25">
      <c r="A2319" t="str">
        <f>IF(C2319&amp;G2319&amp;D2319&lt;&gt;'Funnel setup'!$K$3&amp;'Funnel setup'!$K$4&amp;'Funnel setup'!$K$6,".",IF(A2318=".",1,A2318+1))</f>
        <v>.</v>
      </c>
      <c r="B2319" s="244" t="str">
        <f t="shared" si="36"/>
        <v>Knee Replacement PrimaryProviderNORTHUMBRIA HEALTHCARE NHS FOUNDATION TRUST (RTF)EQ-5D Index</v>
      </c>
      <c r="C2319" t="s">
        <v>969</v>
      </c>
      <c r="D2319" t="s">
        <v>965</v>
      </c>
      <c r="E2319" t="s">
        <v>364</v>
      </c>
      <c r="F2319" t="s">
        <v>365</v>
      </c>
      <c r="G2319" t="s">
        <v>963</v>
      </c>
      <c r="H2319">
        <v>370</v>
      </c>
      <c r="I2319">
        <v>0.399808</v>
      </c>
      <c r="J2319">
        <v>0.78886800000000001</v>
      </c>
      <c r="K2319">
        <v>0.38905899999999999</v>
      </c>
      <c r="L2319">
        <v>322</v>
      </c>
      <c r="M2319">
        <v>31</v>
      </c>
      <c r="N2319">
        <v>17</v>
      </c>
      <c r="O2319">
        <v>0.793489</v>
      </c>
      <c r="P2319">
        <v>0.36469400000000002</v>
      </c>
      <c r="Q2319">
        <v>0.20227600000000001</v>
      </c>
    </row>
    <row r="2320" spans="1:17" x14ac:dyDescent="0.25">
      <c r="A2320" t="str">
        <f>IF(C2320&amp;G2320&amp;D2320&lt;&gt;'Funnel setup'!$K$3&amp;'Funnel setup'!$K$4&amp;'Funnel setup'!$K$6,".",IF(A2319=".",1,A2319+1))</f>
        <v>.</v>
      </c>
      <c r="B2320" s="244" t="str">
        <f t="shared" si="36"/>
        <v>Knee Replacement PrimaryProviderNOTTINGHAM UNIVERSITY HOSPITALS NHS TRUST (RX1)EQ-5D Index</v>
      </c>
      <c r="C2320" t="s">
        <v>969</v>
      </c>
      <c r="D2320" t="s">
        <v>965</v>
      </c>
      <c r="E2320" t="s">
        <v>366</v>
      </c>
      <c r="F2320" t="s">
        <v>367</v>
      </c>
      <c r="G2320" t="s">
        <v>963</v>
      </c>
      <c r="H2320">
        <v>4</v>
      </c>
      <c r="I2320">
        <v>0.24825</v>
      </c>
      <c r="J2320">
        <v>0.73724999999999996</v>
      </c>
      <c r="K2320">
        <v>0.48899999999999999</v>
      </c>
      <c r="L2320">
        <v>4</v>
      </c>
      <c r="M2320">
        <v>0</v>
      </c>
      <c r="N2320">
        <v>0</v>
      </c>
      <c r="O2320" t="s">
        <v>127</v>
      </c>
      <c r="P2320" t="s">
        <v>127</v>
      </c>
      <c r="Q2320" t="s">
        <v>127</v>
      </c>
    </row>
    <row r="2321" spans="1:17" x14ac:dyDescent="0.25">
      <c r="A2321" t="str">
        <f>IF(C2321&amp;G2321&amp;D2321&lt;&gt;'Funnel setup'!$K$3&amp;'Funnel setup'!$K$4&amp;'Funnel setup'!$K$6,".",IF(A2320=".",1,A2320+1))</f>
        <v>.</v>
      </c>
      <c r="B2321" s="244" t="str">
        <f t="shared" si="36"/>
        <v>Knee Replacement PrimaryProviderNUFFIELD HEALTH, BOURNEMOUTH HOSPITAL (NT202)EQ-5D Index</v>
      </c>
      <c r="C2321" t="s">
        <v>969</v>
      </c>
      <c r="D2321" t="s">
        <v>965</v>
      </c>
      <c r="E2321" t="s">
        <v>368</v>
      </c>
      <c r="F2321" t="s">
        <v>369</v>
      </c>
      <c r="G2321" t="s">
        <v>963</v>
      </c>
      <c r="H2321">
        <v>23</v>
      </c>
      <c r="I2321">
        <v>0.51887000000000005</v>
      </c>
      <c r="J2321">
        <v>0.81408700000000001</v>
      </c>
      <c r="K2321">
        <v>0.29521700000000001</v>
      </c>
      <c r="L2321">
        <v>22</v>
      </c>
      <c r="M2321">
        <v>0</v>
      </c>
      <c r="N2321">
        <v>1</v>
      </c>
      <c r="O2321" t="s">
        <v>127</v>
      </c>
      <c r="P2321" t="s">
        <v>127</v>
      </c>
      <c r="Q2321" t="s">
        <v>127</v>
      </c>
    </row>
    <row r="2322" spans="1:17" x14ac:dyDescent="0.25">
      <c r="A2322" t="str">
        <f>IF(C2322&amp;G2322&amp;D2322&lt;&gt;'Funnel setup'!$K$3&amp;'Funnel setup'!$K$4&amp;'Funnel setup'!$K$6,".",IF(A2321=".",1,A2321+1))</f>
        <v>.</v>
      </c>
      <c r="B2322" s="244" t="str">
        <f t="shared" si="36"/>
        <v>Knee Replacement PrimaryProviderNUFFIELD HEALTH, BRENTWOOD HOSPITAL (NT204)EQ-5D Index</v>
      </c>
      <c r="C2322" t="s">
        <v>969</v>
      </c>
      <c r="D2322" t="s">
        <v>965</v>
      </c>
      <c r="E2322" t="s">
        <v>370</v>
      </c>
      <c r="F2322" t="s">
        <v>371</v>
      </c>
      <c r="G2322" t="s">
        <v>963</v>
      </c>
      <c r="H2322">
        <v>15</v>
      </c>
      <c r="I2322">
        <v>0.42906699999999998</v>
      </c>
      <c r="J2322">
        <v>0.78086699999999998</v>
      </c>
      <c r="K2322">
        <v>0.3518</v>
      </c>
      <c r="L2322">
        <v>12</v>
      </c>
      <c r="M2322">
        <v>2</v>
      </c>
      <c r="N2322">
        <v>1</v>
      </c>
      <c r="O2322" t="s">
        <v>127</v>
      </c>
      <c r="P2322" t="s">
        <v>127</v>
      </c>
      <c r="Q2322" t="s">
        <v>127</v>
      </c>
    </row>
    <row r="2323" spans="1:17" x14ac:dyDescent="0.25">
      <c r="A2323" t="str">
        <f>IF(C2323&amp;G2323&amp;D2323&lt;&gt;'Funnel setup'!$K$3&amp;'Funnel setup'!$K$4&amp;'Funnel setup'!$K$6,".",IF(A2322=".",1,A2322+1))</f>
        <v>.</v>
      </c>
      <c r="B2323" s="244" t="str">
        <f t="shared" si="36"/>
        <v>Knee Replacement PrimaryProviderNUFFIELD HEALTH, BRIGHTON HOSPITAL (NT205)EQ-5D Index</v>
      </c>
      <c r="C2323" t="s">
        <v>969</v>
      </c>
      <c r="D2323" t="s">
        <v>965</v>
      </c>
      <c r="E2323" t="s">
        <v>372</v>
      </c>
      <c r="F2323" t="s">
        <v>373</v>
      </c>
      <c r="G2323" t="s">
        <v>963</v>
      </c>
      <c r="H2323">
        <v>9</v>
      </c>
      <c r="I2323">
        <v>0.53488899999999995</v>
      </c>
      <c r="J2323">
        <v>0.90844400000000003</v>
      </c>
      <c r="K2323">
        <v>0.373556</v>
      </c>
      <c r="L2323">
        <v>7</v>
      </c>
      <c r="M2323">
        <v>2</v>
      </c>
      <c r="N2323">
        <v>0</v>
      </c>
      <c r="O2323" t="s">
        <v>127</v>
      </c>
      <c r="P2323" t="s">
        <v>127</v>
      </c>
      <c r="Q2323" t="s">
        <v>127</v>
      </c>
    </row>
    <row r="2324" spans="1:17" x14ac:dyDescent="0.25">
      <c r="A2324" t="str">
        <f>IF(C2324&amp;G2324&amp;D2324&lt;&gt;'Funnel setup'!$K$3&amp;'Funnel setup'!$K$4&amp;'Funnel setup'!$K$6,".",IF(A2323=".",1,A2323+1))</f>
        <v>.</v>
      </c>
      <c r="B2324" s="244" t="str">
        <f t="shared" si="36"/>
        <v>Knee Replacement PrimaryProviderNUFFIELD HEALTH, BRISTOL HOSPITAL (CHESTERFIELD) (NT206)EQ-5D Index</v>
      </c>
      <c r="C2324" t="s">
        <v>969</v>
      </c>
      <c r="D2324" t="s">
        <v>965</v>
      </c>
      <c r="E2324" t="s">
        <v>374</v>
      </c>
      <c r="F2324" t="s">
        <v>375</v>
      </c>
      <c r="G2324" t="s">
        <v>963</v>
      </c>
      <c r="H2324">
        <v>29</v>
      </c>
      <c r="I2324">
        <v>0.490172</v>
      </c>
      <c r="J2324">
        <v>0.838897</v>
      </c>
      <c r="K2324">
        <v>0.34872399999999998</v>
      </c>
      <c r="L2324">
        <v>24</v>
      </c>
      <c r="M2324">
        <v>2</v>
      </c>
      <c r="N2324">
        <v>3</v>
      </c>
      <c r="O2324" t="s">
        <v>127</v>
      </c>
      <c r="P2324" t="s">
        <v>127</v>
      </c>
      <c r="Q2324" t="s">
        <v>127</v>
      </c>
    </row>
    <row r="2325" spans="1:17" x14ac:dyDescent="0.25">
      <c r="A2325" t="str">
        <f>IF(C2325&amp;G2325&amp;D2325&lt;&gt;'Funnel setup'!$K$3&amp;'Funnel setup'!$K$4&amp;'Funnel setup'!$K$6,".",IF(A2324=".",1,A2324+1))</f>
        <v>.</v>
      </c>
      <c r="B2325" s="244" t="str">
        <f t="shared" si="36"/>
        <v>Knee Replacement PrimaryProviderNUFFIELD HEALTH, CAMBRIDGE HOSPITAL (NT209)EQ-5D Index</v>
      </c>
      <c r="C2325" t="s">
        <v>969</v>
      </c>
      <c r="D2325" t="s">
        <v>965</v>
      </c>
      <c r="E2325" t="s">
        <v>376</v>
      </c>
      <c r="F2325" t="s">
        <v>377</v>
      </c>
      <c r="G2325" t="s">
        <v>963</v>
      </c>
      <c r="H2325">
        <v>32</v>
      </c>
      <c r="I2325">
        <v>0.52775000000000005</v>
      </c>
      <c r="J2325">
        <v>0.75284399999999996</v>
      </c>
      <c r="K2325">
        <v>0.22509399999999999</v>
      </c>
      <c r="L2325">
        <v>25</v>
      </c>
      <c r="M2325">
        <v>4</v>
      </c>
      <c r="N2325">
        <v>3</v>
      </c>
      <c r="O2325">
        <v>0.69175799999999998</v>
      </c>
      <c r="P2325">
        <v>0.26296199999999997</v>
      </c>
      <c r="Q2325">
        <v>0.248448</v>
      </c>
    </row>
    <row r="2326" spans="1:17" x14ac:dyDescent="0.25">
      <c r="A2326" t="str">
        <f>IF(C2326&amp;G2326&amp;D2326&lt;&gt;'Funnel setup'!$K$3&amp;'Funnel setup'!$K$4&amp;'Funnel setup'!$K$6,".",IF(A2325=".",1,A2325+1))</f>
        <v>.</v>
      </c>
      <c r="B2326" s="244" t="str">
        <f t="shared" si="36"/>
        <v>Knee Replacement PrimaryProviderNUFFIELD HEALTH, CHELTENHAM HOSPITAL (NT211)EQ-5D Index</v>
      </c>
      <c r="C2326" t="s">
        <v>969</v>
      </c>
      <c r="D2326" t="s">
        <v>965</v>
      </c>
      <c r="E2326" t="s">
        <v>378</v>
      </c>
      <c r="F2326" t="s">
        <v>379</v>
      </c>
      <c r="G2326" t="s">
        <v>963</v>
      </c>
      <c r="H2326">
        <v>7</v>
      </c>
      <c r="I2326">
        <v>0.446857</v>
      </c>
      <c r="J2326">
        <v>0.743143</v>
      </c>
      <c r="K2326">
        <v>0.29628599999999999</v>
      </c>
      <c r="L2326">
        <v>6</v>
      </c>
      <c r="M2326">
        <v>0</v>
      </c>
      <c r="N2326">
        <v>1</v>
      </c>
      <c r="O2326" t="s">
        <v>127</v>
      </c>
      <c r="P2326" t="s">
        <v>127</v>
      </c>
      <c r="Q2326" t="s">
        <v>127</v>
      </c>
    </row>
    <row r="2327" spans="1:17" x14ac:dyDescent="0.25">
      <c r="A2327" t="str">
        <f>IF(C2327&amp;G2327&amp;D2327&lt;&gt;'Funnel setup'!$K$3&amp;'Funnel setup'!$K$4&amp;'Funnel setup'!$K$6,".",IF(A2326=".",1,A2326+1))</f>
        <v>.</v>
      </c>
      <c r="B2327" s="244" t="str">
        <f t="shared" si="36"/>
        <v>Knee Replacement PrimaryProviderNUFFIELD HEALTH, CHICHESTER HOSPITAL (NT212)EQ-5D Index</v>
      </c>
      <c r="C2327" t="s">
        <v>969</v>
      </c>
      <c r="D2327" t="s">
        <v>965</v>
      </c>
      <c r="E2327" t="s">
        <v>380</v>
      </c>
      <c r="F2327" t="s">
        <v>381</v>
      </c>
      <c r="G2327" t="s">
        <v>963</v>
      </c>
      <c r="H2327">
        <v>18</v>
      </c>
      <c r="I2327">
        <v>0.63383299999999998</v>
      </c>
      <c r="J2327">
        <v>0.84383300000000006</v>
      </c>
      <c r="K2327">
        <v>0.21</v>
      </c>
      <c r="L2327">
        <v>12</v>
      </c>
      <c r="M2327">
        <v>1</v>
      </c>
      <c r="N2327">
        <v>5</v>
      </c>
      <c r="O2327" t="s">
        <v>127</v>
      </c>
      <c r="P2327" t="s">
        <v>127</v>
      </c>
      <c r="Q2327" t="s">
        <v>127</v>
      </c>
    </row>
    <row r="2328" spans="1:17" x14ac:dyDescent="0.25">
      <c r="A2328" t="str">
        <f>IF(C2328&amp;G2328&amp;D2328&lt;&gt;'Funnel setup'!$K$3&amp;'Funnel setup'!$K$4&amp;'Funnel setup'!$K$6,".",IF(A2327=".",1,A2327+1))</f>
        <v>.</v>
      </c>
      <c r="B2328" s="244" t="str">
        <f t="shared" si="36"/>
        <v>Knee Replacement PrimaryProviderNUFFIELD HEALTH, DERBY HOSPITAL (NT213)EQ-5D Index</v>
      </c>
      <c r="C2328" t="s">
        <v>969</v>
      </c>
      <c r="D2328" t="s">
        <v>965</v>
      </c>
      <c r="E2328" t="s">
        <v>382</v>
      </c>
      <c r="F2328" t="s">
        <v>383</v>
      </c>
      <c r="G2328" t="s">
        <v>963</v>
      </c>
      <c r="H2328">
        <v>104</v>
      </c>
      <c r="I2328">
        <v>0.39738499999999999</v>
      </c>
      <c r="J2328">
        <v>0.75881699999999996</v>
      </c>
      <c r="K2328">
        <v>0.361433</v>
      </c>
      <c r="L2328">
        <v>89</v>
      </c>
      <c r="M2328">
        <v>7</v>
      </c>
      <c r="N2328">
        <v>8</v>
      </c>
      <c r="O2328">
        <v>0.76415299999999997</v>
      </c>
      <c r="P2328">
        <v>0.33535700000000002</v>
      </c>
      <c r="Q2328">
        <v>0.225301</v>
      </c>
    </row>
    <row r="2329" spans="1:17" x14ac:dyDescent="0.25">
      <c r="A2329" t="str">
        <f>IF(C2329&amp;G2329&amp;D2329&lt;&gt;'Funnel setup'!$K$3&amp;'Funnel setup'!$K$4&amp;'Funnel setup'!$K$6,".",IF(A2328=".",1,A2328+1))</f>
        <v>.</v>
      </c>
      <c r="B2329" s="244" t="str">
        <f t="shared" si="36"/>
        <v>Knee Replacement PrimaryProviderNUFFIELD HEALTH, EXETER HOSPITAL (NT215)EQ-5D Index</v>
      </c>
      <c r="C2329" t="s">
        <v>969</v>
      </c>
      <c r="D2329" t="s">
        <v>965</v>
      </c>
      <c r="E2329" t="s">
        <v>384</v>
      </c>
      <c r="F2329" t="s">
        <v>385</v>
      </c>
      <c r="G2329" t="s">
        <v>963</v>
      </c>
      <c r="H2329">
        <v>1</v>
      </c>
      <c r="I2329">
        <v>0.58699999999999997</v>
      </c>
      <c r="J2329">
        <v>1</v>
      </c>
      <c r="K2329">
        <v>0.41299999999999998</v>
      </c>
      <c r="L2329">
        <v>1</v>
      </c>
      <c r="M2329">
        <v>0</v>
      </c>
      <c r="N2329">
        <v>0</v>
      </c>
      <c r="O2329" t="s">
        <v>127</v>
      </c>
      <c r="P2329" t="s">
        <v>127</v>
      </c>
      <c r="Q2329" t="s">
        <v>127</v>
      </c>
    </row>
    <row r="2330" spans="1:17" x14ac:dyDescent="0.25">
      <c r="A2330" t="str">
        <f>IF(C2330&amp;G2330&amp;D2330&lt;&gt;'Funnel setup'!$K$3&amp;'Funnel setup'!$K$4&amp;'Funnel setup'!$K$6,".",IF(A2329=".",1,A2329+1))</f>
        <v>.</v>
      </c>
      <c r="B2330" s="244" t="str">
        <f t="shared" si="36"/>
        <v>Knee Replacement PrimaryProviderNUFFIELD HEALTH, HAYWARDS HEATH HOSPITAL (NT218)EQ-5D Index</v>
      </c>
      <c r="C2330" t="s">
        <v>969</v>
      </c>
      <c r="D2330" t="s">
        <v>965</v>
      </c>
      <c r="E2330" t="s">
        <v>386</v>
      </c>
      <c r="F2330" t="s">
        <v>387</v>
      </c>
      <c r="G2330" t="s">
        <v>963</v>
      </c>
      <c r="H2330">
        <v>15</v>
      </c>
      <c r="I2330">
        <v>0.54559999999999997</v>
      </c>
      <c r="J2330">
        <v>0.84553299999999998</v>
      </c>
      <c r="K2330">
        <v>0.29993300000000001</v>
      </c>
      <c r="L2330">
        <v>11</v>
      </c>
      <c r="M2330">
        <v>1</v>
      </c>
      <c r="N2330">
        <v>3</v>
      </c>
      <c r="O2330" t="s">
        <v>127</v>
      </c>
      <c r="P2330" t="s">
        <v>127</v>
      </c>
      <c r="Q2330" t="s">
        <v>127</v>
      </c>
    </row>
    <row r="2331" spans="1:17" x14ac:dyDescent="0.25">
      <c r="A2331" t="str">
        <f>IF(C2331&amp;G2331&amp;D2331&lt;&gt;'Funnel setup'!$K$3&amp;'Funnel setup'!$K$4&amp;'Funnel setup'!$K$6,".",IF(A2330=".",1,A2330+1))</f>
        <v>.</v>
      </c>
      <c r="B2331" s="244" t="str">
        <f t="shared" si="36"/>
        <v>Knee Replacement PrimaryProviderNUFFIELD HEALTH, HEREFORD HOSPITAL (NT219)EQ-5D Index</v>
      </c>
      <c r="C2331" t="s">
        <v>969</v>
      </c>
      <c r="D2331" t="s">
        <v>965</v>
      </c>
      <c r="E2331" t="s">
        <v>388</v>
      </c>
      <c r="F2331" t="s">
        <v>389</v>
      </c>
      <c r="G2331" t="s">
        <v>963</v>
      </c>
      <c r="H2331">
        <v>9</v>
      </c>
      <c r="I2331">
        <v>0.47699999999999998</v>
      </c>
      <c r="J2331">
        <v>0.78955600000000004</v>
      </c>
      <c r="K2331">
        <v>0.312556</v>
      </c>
      <c r="L2331">
        <v>9</v>
      </c>
      <c r="M2331">
        <v>0</v>
      </c>
      <c r="N2331">
        <v>0</v>
      </c>
      <c r="O2331" t="s">
        <v>127</v>
      </c>
      <c r="P2331" t="s">
        <v>127</v>
      </c>
      <c r="Q2331" t="s">
        <v>127</v>
      </c>
    </row>
    <row r="2332" spans="1:17" x14ac:dyDescent="0.25">
      <c r="A2332" t="str">
        <f>IF(C2332&amp;G2332&amp;D2332&lt;&gt;'Funnel setup'!$K$3&amp;'Funnel setup'!$K$4&amp;'Funnel setup'!$K$6,".",IF(A2331=".",1,A2331+1))</f>
        <v>.</v>
      </c>
      <c r="B2332" s="244" t="str">
        <f t="shared" si="36"/>
        <v>Knee Replacement PrimaryProviderNUFFIELD HEALTH, IPSWICH HOSPITAL (NT222)EQ-5D Index</v>
      </c>
      <c r="C2332" t="s">
        <v>969</v>
      </c>
      <c r="D2332" t="s">
        <v>965</v>
      </c>
      <c r="E2332" t="s">
        <v>390</v>
      </c>
      <c r="F2332" t="s">
        <v>391</v>
      </c>
      <c r="G2332" t="s">
        <v>963</v>
      </c>
      <c r="H2332">
        <v>5</v>
      </c>
      <c r="I2332">
        <v>0.47960000000000003</v>
      </c>
      <c r="J2332">
        <v>0.75639999999999996</v>
      </c>
      <c r="K2332">
        <v>0.27679999999999999</v>
      </c>
      <c r="L2332">
        <v>5</v>
      </c>
      <c r="M2332">
        <v>0</v>
      </c>
      <c r="N2332">
        <v>0</v>
      </c>
      <c r="O2332" t="s">
        <v>127</v>
      </c>
      <c r="P2332" t="s">
        <v>127</v>
      </c>
      <c r="Q2332" t="s">
        <v>127</v>
      </c>
    </row>
    <row r="2333" spans="1:17" x14ac:dyDescent="0.25">
      <c r="A2333" t="str">
        <f>IF(C2333&amp;G2333&amp;D2333&lt;&gt;'Funnel setup'!$K$3&amp;'Funnel setup'!$K$4&amp;'Funnel setup'!$K$6,".",IF(A2332=".",1,A2332+1))</f>
        <v>.</v>
      </c>
      <c r="B2333" s="244" t="str">
        <f t="shared" si="36"/>
        <v>Knee Replacement PrimaryProviderNUFFIELD HEALTH, LEEDS HOSPITAL (NT225)EQ-5D Index</v>
      </c>
      <c r="C2333" t="s">
        <v>969</v>
      </c>
      <c r="D2333" t="s">
        <v>965</v>
      </c>
      <c r="E2333" t="s">
        <v>392</v>
      </c>
      <c r="F2333" t="s">
        <v>393</v>
      </c>
      <c r="G2333" t="s">
        <v>963</v>
      </c>
      <c r="H2333">
        <v>133</v>
      </c>
      <c r="I2333">
        <v>0.454737</v>
      </c>
      <c r="J2333">
        <v>0.79088700000000001</v>
      </c>
      <c r="K2333">
        <v>0.33615</v>
      </c>
      <c r="L2333">
        <v>107</v>
      </c>
      <c r="M2333">
        <v>18</v>
      </c>
      <c r="N2333">
        <v>8</v>
      </c>
      <c r="O2333">
        <v>0.76970400000000005</v>
      </c>
      <c r="P2333">
        <v>0.34090799999999999</v>
      </c>
      <c r="Q2333">
        <v>0.19047500000000001</v>
      </c>
    </row>
    <row r="2334" spans="1:17" x14ac:dyDescent="0.25">
      <c r="A2334" t="str">
        <f>IF(C2334&amp;G2334&amp;D2334&lt;&gt;'Funnel setup'!$K$3&amp;'Funnel setup'!$K$4&amp;'Funnel setup'!$K$6,".",IF(A2333=".",1,A2333+1))</f>
        <v>.</v>
      </c>
      <c r="B2334" s="244" t="str">
        <f t="shared" si="36"/>
        <v>Knee Replacement PrimaryProviderNUFFIELD HEALTH, LEICESTER HOSPITAL (NT226)EQ-5D Index</v>
      </c>
      <c r="C2334" t="s">
        <v>969</v>
      </c>
      <c r="D2334" t="s">
        <v>965</v>
      </c>
      <c r="E2334" t="s">
        <v>394</v>
      </c>
      <c r="F2334" t="s">
        <v>395</v>
      </c>
      <c r="G2334" t="s">
        <v>963</v>
      </c>
      <c r="H2334">
        <v>25</v>
      </c>
      <c r="I2334">
        <v>0.50375999999999999</v>
      </c>
      <c r="J2334">
        <v>0.76</v>
      </c>
      <c r="K2334">
        <v>0.25624000000000002</v>
      </c>
      <c r="L2334">
        <v>20</v>
      </c>
      <c r="M2334">
        <v>2</v>
      </c>
      <c r="N2334">
        <v>3</v>
      </c>
      <c r="O2334" t="s">
        <v>127</v>
      </c>
      <c r="P2334" t="s">
        <v>127</v>
      </c>
      <c r="Q2334" t="s">
        <v>127</v>
      </c>
    </row>
    <row r="2335" spans="1:17" x14ac:dyDescent="0.25">
      <c r="A2335" t="str">
        <f>IF(C2335&amp;G2335&amp;D2335&lt;&gt;'Funnel setup'!$K$3&amp;'Funnel setup'!$K$4&amp;'Funnel setup'!$K$6,".",IF(A2334=".",1,A2334+1))</f>
        <v>.</v>
      </c>
      <c r="B2335" s="244" t="str">
        <f t="shared" si="36"/>
        <v>Knee Replacement PrimaryProviderNUFFIELD HEALTH, NEWCASTLE UPON TYNE HOSPITAL (NT229)EQ-5D Index</v>
      </c>
      <c r="C2335" t="s">
        <v>969</v>
      </c>
      <c r="D2335" t="s">
        <v>965</v>
      </c>
      <c r="E2335" t="s">
        <v>396</v>
      </c>
      <c r="F2335" t="s">
        <v>397</v>
      </c>
      <c r="G2335" t="s">
        <v>963</v>
      </c>
      <c r="H2335">
        <v>27</v>
      </c>
      <c r="I2335">
        <v>0.51559299999999997</v>
      </c>
      <c r="J2335">
        <v>0.76566699999999999</v>
      </c>
      <c r="K2335">
        <v>0.25007400000000002</v>
      </c>
      <c r="L2335">
        <v>22</v>
      </c>
      <c r="M2335">
        <v>4</v>
      </c>
      <c r="N2335">
        <v>1</v>
      </c>
      <c r="O2335" t="s">
        <v>127</v>
      </c>
      <c r="P2335" t="s">
        <v>127</v>
      </c>
      <c r="Q2335" t="s">
        <v>127</v>
      </c>
    </row>
    <row r="2336" spans="1:17" x14ac:dyDescent="0.25">
      <c r="A2336" t="str">
        <f>IF(C2336&amp;G2336&amp;D2336&lt;&gt;'Funnel setup'!$K$3&amp;'Funnel setup'!$K$4&amp;'Funnel setup'!$K$6,".",IF(A2335=".",1,A2335+1))</f>
        <v>.</v>
      </c>
      <c r="B2336" s="244" t="str">
        <f t="shared" si="36"/>
        <v>Knee Replacement PrimaryProviderNUFFIELD HEALTH, NORTH STAFFORDSHIRE HOSPITAL (NT230)EQ-5D Index</v>
      </c>
      <c r="C2336" t="s">
        <v>969</v>
      </c>
      <c r="D2336" t="s">
        <v>965</v>
      </c>
      <c r="E2336" t="s">
        <v>398</v>
      </c>
      <c r="F2336" t="s">
        <v>399</v>
      </c>
      <c r="G2336" t="s">
        <v>963</v>
      </c>
      <c r="H2336">
        <v>42</v>
      </c>
      <c r="I2336">
        <v>0.39783299999999999</v>
      </c>
      <c r="J2336">
        <v>0.76919000000000004</v>
      </c>
      <c r="K2336">
        <v>0.37135699999999999</v>
      </c>
      <c r="L2336">
        <v>34</v>
      </c>
      <c r="M2336">
        <v>4</v>
      </c>
      <c r="N2336">
        <v>4</v>
      </c>
      <c r="O2336">
        <v>0.78827199999999997</v>
      </c>
      <c r="P2336">
        <v>0.35947600000000002</v>
      </c>
      <c r="Q2336">
        <v>0.18649199999999999</v>
      </c>
    </row>
    <row r="2337" spans="1:17" x14ac:dyDescent="0.25">
      <c r="A2337" t="str">
        <f>IF(C2337&amp;G2337&amp;D2337&lt;&gt;'Funnel setup'!$K$3&amp;'Funnel setup'!$K$4&amp;'Funnel setup'!$K$6,".",IF(A2336=".",1,A2336+1))</f>
        <v>.</v>
      </c>
      <c r="B2337" s="244" t="str">
        <f t="shared" si="36"/>
        <v>Knee Replacement PrimaryProviderNUFFIELD HEALTH, PLYMOUTH HOSPITAL (NT233)EQ-5D Index</v>
      </c>
      <c r="C2337" t="s">
        <v>969</v>
      </c>
      <c r="D2337" t="s">
        <v>965</v>
      </c>
      <c r="E2337" t="s">
        <v>400</v>
      </c>
      <c r="F2337" t="s">
        <v>401</v>
      </c>
      <c r="G2337" t="s">
        <v>963</v>
      </c>
      <c r="H2337">
        <v>44</v>
      </c>
      <c r="I2337">
        <v>0.41870499999999999</v>
      </c>
      <c r="J2337">
        <v>0.80838600000000005</v>
      </c>
      <c r="K2337">
        <v>0.38968199999999997</v>
      </c>
      <c r="L2337">
        <v>40</v>
      </c>
      <c r="M2337">
        <v>2</v>
      </c>
      <c r="N2337">
        <v>2</v>
      </c>
      <c r="O2337">
        <v>0.81783499999999998</v>
      </c>
      <c r="P2337">
        <v>0.38903900000000002</v>
      </c>
      <c r="Q2337">
        <v>0.183643</v>
      </c>
    </row>
    <row r="2338" spans="1:17" x14ac:dyDescent="0.25">
      <c r="A2338" t="str">
        <f>IF(C2338&amp;G2338&amp;D2338&lt;&gt;'Funnel setup'!$K$3&amp;'Funnel setup'!$K$4&amp;'Funnel setup'!$K$6,".",IF(A2337=".",1,A2337+1))</f>
        <v>.</v>
      </c>
      <c r="B2338" s="244" t="str">
        <f t="shared" si="36"/>
        <v>Knee Replacement PrimaryProviderNUFFIELD HEALTH, SHREWSBURY HOSPITAL (NT235)EQ-5D Index</v>
      </c>
      <c r="C2338" t="s">
        <v>969</v>
      </c>
      <c r="D2338" t="s">
        <v>965</v>
      </c>
      <c r="E2338" t="s">
        <v>402</v>
      </c>
      <c r="F2338" t="s">
        <v>403</v>
      </c>
      <c r="G2338" t="s">
        <v>963</v>
      </c>
      <c r="H2338">
        <v>2</v>
      </c>
      <c r="I2338">
        <v>0.30199999999999999</v>
      </c>
      <c r="J2338">
        <v>0.26800000000000002</v>
      </c>
      <c r="K2338">
        <v>-3.4000000000000002E-2</v>
      </c>
      <c r="L2338">
        <v>0</v>
      </c>
      <c r="M2338">
        <v>1</v>
      </c>
      <c r="N2338">
        <v>1</v>
      </c>
      <c r="O2338" t="s">
        <v>127</v>
      </c>
      <c r="P2338" t="s">
        <v>127</v>
      </c>
      <c r="Q2338" t="s">
        <v>127</v>
      </c>
    </row>
    <row r="2339" spans="1:17" x14ac:dyDescent="0.25">
      <c r="A2339" t="str">
        <f>IF(C2339&amp;G2339&amp;D2339&lt;&gt;'Funnel setup'!$K$3&amp;'Funnel setup'!$K$4&amp;'Funnel setup'!$K$6,".",IF(A2338=".",1,A2338+1))</f>
        <v>.</v>
      </c>
      <c r="B2339" s="244" t="str">
        <f t="shared" si="36"/>
        <v>Knee Replacement PrimaryProviderNUFFIELD HEALTH, TAUNTON HOSPITAL (NT238)EQ-5D Index</v>
      </c>
      <c r="C2339" t="s">
        <v>969</v>
      </c>
      <c r="D2339" t="s">
        <v>965</v>
      </c>
      <c r="E2339" t="s">
        <v>404</v>
      </c>
      <c r="F2339" t="s">
        <v>405</v>
      </c>
      <c r="G2339" t="s">
        <v>963</v>
      </c>
      <c r="H2339">
        <v>23</v>
      </c>
      <c r="I2339">
        <v>0.45534799999999997</v>
      </c>
      <c r="J2339">
        <v>0.81699999999999995</v>
      </c>
      <c r="K2339">
        <v>0.36165199999999997</v>
      </c>
      <c r="L2339">
        <v>22</v>
      </c>
      <c r="M2339">
        <v>0</v>
      </c>
      <c r="N2339">
        <v>1</v>
      </c>
      <c r="O2339" t="s">
        <v>127</v>
      </c>
      <c r="P2339" t="s">
        <v>127</v>
      </c>
      <c r="Q2339" t="s">
        <v>127</v>
      </c>
    </row>
    <row r="2340" spans="1:17" x14ac:dyDescent="0.25">
      <c r="A2340" t="str">
        <f>IF(C2340&amp;G2340&amp;D2340&lt;&gt;'Funnel setup'!$K$3&amp;'Funnel setup'!$K$4&amp;'Funnel setup'!$K$6,".",IF(A2339=".",1,A2339+1))</f>
        <v>.</v>
      </c>
      <c r="B2340" s="244" t="str">
        <f t="shared" si="36"/>
        <v>Knee Replacement PrimaryProviderNUFFIELD HEALTH, TEES HOSPITAL (NT237)EQ-5D Index</v>
      </c>
      <c r="C2340" t="s">
        <v>969</v>
      </c>
      <c r="D2340" t="s">
        <v>965</v>
      </c>
      <c r="E2340" t="s">
        <v>406</v>
      </c>
      <c r="F2340" t="s">
        <v>407</v>
      </c>
      <c r="G2340" t="s">
        <v>963</v>
      </c>
      <c r="H2340">
        <v>217</v>
      </c>
      <c r="I2340">
        <v>0.454567</v>
      </c>
      <c r="J2340">
        <v>0.78447</v>
      </c>
      <c r="K2340">
        <v>0.329903</v>
      </c>
      <c r="L2340">
        <v>192</v>
      </c>
      <c r="M2340">
        <v>6</v>
      </c>
      <c r="N2340">
        <v>19</v>
      </c>
      <c r="O2340">
        <v>0.779694</v>
      </c>
      <c r="P2340">
        <v>0.35089799999999999</v>
      </c>
      <c r="Q2340">
        <v>0.23245399999999999</v>
      </c>
    </row>
    <row r="2341" spans="1:17" x14ac:dyDescent="0.25">
      <c r="A2341" t="str">
        <f>IF(C2341&amp;G2341&amp;D2341&lt;&gt;'Funnel setup'!$K$3&amp;'Funnel setup'!$K$4&amp;'Funnel setup'!$K$6,".",IF(A2340=".",1,A2340+1))</f>
        <v>.</v>
      </c>
      <c r="B2341" s="244" t="str">
        <f t="shared" si="36"/>
        <v>Knee Replacement PrimaryProviderNUFFIELD HEALTH, THE GROSVENOR HOSPITAL, CHESTER (NT210)EQ-5D Index</v>
      </c>
      <c r="C2341" t="s">
        <v>969</v>
      </c>
      <c r="D2341" t="s">
        <v>965</v>
      </c>
      <c r="E2341" t="s">
        <v>408</v>
      </c>
      <c r="F2341" t="s">
        <v>409</v>
      </c>
      <c r="G2341" t="s">
        <v>963</v>
      </c>
      <c r="H2341">
        <v>13</v>
      </c>
      <c r="I2341">
        <v>0.492923</v>
      </c>
      <c r="J2341">
        <v>0.78061499999999995</v>
      </c>
      <c r="K2341">
        <v>0.287692</v>
      </c>
      <c r="L2341">
        <v>12</v>
      </c>
      <c r="M2341">
        <v>1</v>
      </c>
      <c r="N2341">
        <v>0</v>
      </c>
      <c r="O2341" t="s">
        <v>127</v>
      </c>
      <c r="P2341" t="s">
        <v>127</v>
      </c>
      <c r="Q2341" t="s">
        <v>127</v>
      </c>
    </row>
    <row r="2342" spans="1:17" x14ac:dyDescent="0.25">
      <c r="A2342" t="str">
        <f>IF(C2342&amp;G2342&amp;D2342&lt;&gt;'Funnel setup'!$K$3&amp;'Funnel setup'!$K$4&amp;'Funnel setup'!$K$6,".",IF(A2341=".",1,A2341+1))</f>
        <v>.</v>
      </c>
      <c r="B2342" s="244" t="str">
        <f t="shared" si="36"/>
        <v>Knee Replacement PrimaryProviderNUFFIELD HEALTH, TUNBRIDGE WELLS HOSPITAL (NT239)EQ-5D Index</v>
      </c>
      <c r="C2342" t="s">
        <v>969</v>
      </c>
      <c r="D2342" t="s">
        <v>965</v>
      </c>
      <c r="E2342" t="s">
        <v>410</v>
      </c>
      <c r="F2342" t="s">
        <v>411</v>
      </c>
      <c r="G2342" t="s">
        <v>963</v>
      </c>
      <c r="H2342">
        <v>6</v>
      </c>
      <c r="I2342">
        <v>0.64933300000000005</v>
      </c>
      <c r="J2342">
        <v>0.93683300000000003</v>
      </c>
      <c r="K2342">
        <v>0.28749999999999998</v>
      </c>
      <c r="L2342">
        <v>6</v>
      </c>
      <c r="M2342">
        <v>0</v>
      </c>
      <c r="N2342">
        <v>0</v>
      </c>
      <c r="O2342" t="s">
        <v>127</v>
      </c>
      <c r="P2342" t="s">
        <v>127</v>
      </c>
      <c r="Q2342" t="s">
        <v>127</v>
      </c>
    </row>
    <row r="2343" spans="1:17" x14ac:dyDescent="0.25">
      <c r="A2343" t="str">
        <f>IF(C2343&amp;G2343&amp;D2343&lt;&gt;'Funnel setup'!$K$3&amp;'Funnel setup'!$K$4&amp;'Funnel setup'!$K$6,".",IF(A2342=".",1,A2342+1))</f>
        <v>.</v>
      </c>
      <c r="B2343" s="244" t="str">
        <f t="shared" si="36"/>
        <v>Knee Replacement PrimaryProviderNUFFIELD HEALTH, WARWICKSHIRE HOSPITAL (NT224)EQ-5D Index</v>
      </c>
      <c r="C2343" t="s">
        <v>969</v>
      </c>
      <c r="D2343" t="s">
        <v>965</v>
      </c>
      <c r="E2343" t="s">
        <v>412</v>
      </c>
      <c r="F2343" t="s">
        <v>413</v>
      </c>
      <c r="G2343" t="s">
        <v>963</v>
      </c>
      <c r="H2343">
        <v>13</v>
      </c>
      <c r="I2343">
        <v>0.45630799999999999</v>
      </c>
      <c r="J2343">
        <v>0.74153800000000003</v>
      </c>
      <c r="K2343">
        <v>0.28523100000000001</v>
      </c>
      <c r="L2343">
        <v>9</v>
      </c>
      <c r="M2343">
        <v>3</v>
      </c>
      <c r="N2343">
        <v>1</v>
      </c>
      <c r="O2343" t="s">
        <v>127</v>
      </c>
      <c r="P2343" t="s">
        <v>127</v>
      </c>
      <c r="Q2343" t="s">
        <v>127</v>
      </c>
    </row>
    <row r="2344" spans="1:17" x14ac:dyDescent="0.25">
      <c r="A2344" t="str">
        <f>IF(C2344&amp;G2344&amp;D2344&lt;&gt;'Funnel setup'!$K$3&amp;'Funnel setup'!$K$4&amp;'Funnel setup'!$K$6,".",IF(A2343=".",1,A2343+1))</f>
        <v>.</v>
      </c>
      <c r="B2344" s="244" t="str">
        <f t="shared" si="36"/>
        <v>Knee Replacement PrimaryProviderNUFFIELD HEALTH, WESSEX HOSPITAL (NT214)EQ-5D Index</v>
      </c>
      <c r="C2344" t="s">
        <v>969</v>
      </c>
      <c r="D2344" t="s">
        <v>965</v>
      </c>
      <c r="E2344" t="s">
        <v>414</v>
      </c>
      <c r="F2344" t="s">
        <v>415</v>
      </c>
      <c r="G2344" t="s">
        <v>963</v>
      </c>
      <c r="H2344">
        <v>29</v>
      </c>
      <c r="I2344">
        <v>0.52662100000000001</v>
      </c>
      <c r="J2344">
        <v>0.74241400000000002</v>
      </c>
      <c r="K2344">
        <v>0.21579300000000001</v>
      </c>
      <c r="L2344">
        <v>19</v>
      </c>
      <c r="M2344">
        <v>5</v>
      </c>
      <c r="N2344">
        <v>5</v>
      </c>
      <c r="O2344" t="s">
        <v>127</v>
      </c>
      <c r="P2344" t="s">
        <v>127</v>
      </c>
      <c r="Q2344" t="s">
        <v>127</v>
      </c>
    </row>
    <row r="2345" spans="1:17" x14ac:dyDescent="0.25">
      <c r="A2345" t="str">
        <f>IF(C2345&amp;G2345&amp;D2345&lt;&gt;'Funnel setup'!$K$3&amp;'Funnel setup'!$K$4&amp;'Funnel setup'!$K$6,".",IF(A2344=".",1,A2344+1))</f>
        <v>.</v>
      </c>
      <c r="B2345" s="244" t="str">
        <f t="shared" si="36"/>
        <v>Knee Replacement PrimaryProviderNUFFIELD HEALTH, WOLVERHAMPTON HOSPITAL (NT242)EQ-5D Index</v>
      </c>
      <c r="C2345" t="s">
        <v>969</v>
      </c>
      <c r="D2345" t="s">
        <v>965</v>
      </c>
      <c r="E2345" t="s">
        <v>418</v>
      </c>
      <c r="F2345" t="s">
        <v>419</v>
      </c>
      <c r="G2345" t="s">
        <v>963</v>
      </c>
      <c r="H2345">
        <v>15</v>
      </c>
      <c r="I2345">
        <v>0.397067</v>
      </c>
      <c r="J2345">
        <v>0.67213299999999998</v>
      </c>
      <c r="K2345">
        <v>0.27506700000000001</v>
      </c>
      <c r="L2345">
        <v>11</v>
      </c>
      <c r="M2345">
        <v>2</v>
      </c>
      <c r="N2345">
        <v>2</v>
      </c>
      <c r="O2345" t="s">
        <v>127</v>
      </c>
      <c r="P2345" t="s">
        <v>127</v>
      </c>
      <c r="Q2345" t="s">
        <v>127</v>
      </c>
    </row>
    <row r="2346" spans="1:17" x14ac:dyDescent="0.25">
      <c r="A2346" t="str">
        <f>IF(C2346&amp;G2346&amp;D2346&lt;&gt;'Funnel setup'!$K$3&amp;'Funnel setup'!$K$4&amp;'Funnel setup'!$K$6,".",IF(A2345=".",1,A2345+1))</f>
        <v>.</v>
      </c>
      <c r="B2346" s="244" t="str">
        <f t="shared" si="36"/>
        <v>Knee Replacement PrimaryProviderNUFFIELD HEALTH, YORK HOSPITAL (NT245)EQ-5D Index</v>
      </c>
      <c r="C2346" t="s">
        <v>969</v>
      </c>
      <c r="D2346" t="s">
        <v>965</v>
      </c>
      <c r="E2346" t="s">
        <v>420</v>
      </c>
      <c r="F2346" t="s">
        <v>421</v>
      </c>
      <c r="G2346" t="s">
        <v>963</v>
      </c>
      <c r="H2346">
        <v>56</v>
      </c>
      <c r="I2346">
        <v>0.51308900000000002</v>
      </c>
      <c r="J2346">
        <v>0.77655399999999997</v>
      </c>
      <c r="K2346">
        <v>0.26346399999999998</v>
      </c>
      <c r="L2346">
        <v>46</v>
      </c>
      <c r="M2346">
        <v>4</v>
      </c>
      <c r="N2346">
        <v>6</v>
      </c>
      <c r="O2346">
        <v>0.75228600000000001</v>
      </c>
      <c r="P2346">
        <v>0.32349</v>
      </c>
      <c r="Q2346">
        <v>0.18800800000000001</v>
      </c>
    </row>
    <row r="2347" spans="1:17" x14ac:dyDescent="0.25">
      <c r="A2347" t="str">
        <f>IF(C2347&amp;G2347&amp;D2347&lt;&gt;'Funnel setup'!$K$3&amp;'Funnel setup'!$K$4&amp;'Funnel setup'!$K$6,".",IF(A2346=".",1,A2346+1))</f>
        <v>.</v>
      </c>
      <c r="B2347" s="244" t="str">
        <f t="shared" si="36"/>
        <v>Knee Replacement PrimaryProviderOAKLANDS HOSPITAL (NVC12)EQ-5D Index</v>
      </c>
      <c r="C2347" t="s">
        <v>969</v>
      </c>
      <c r="D2347" t="s">
        <v>965</v>
      </c>
      <c r="E2347" t="s">
        <v>424</v>
      </c>
      <c r="F2347" t="s">
        <v>425</v>
      </c>
      <c r="G2347" t="s">
        <v>963</v>
      </c>
      <c r="H2347">
        <v>77</v>
      </c>
      <c r="I2347">
        <v>0.35394799999999998</v>
      </c>
      <c r="J2347">
        <v>0.71116900000000005</v>
      </c>
      <c r="K2347">
        <v>0.35722100000000001</v>
      </c>
      <c r="L2347">
        <v>57</v>
      </c>
      <c r="M2347">
        <v>8</v>
      </c>
      <c r="N2347">
        <v>12</v>
      </c>
      <c r="O2347">
        <v>0.75379700000000005</v>
      </c>
      <c r="P2347">
        <v>0.32500099999999998</v>
      </c>
      <c r="Q2347">
        <v>0.25322499999999998</v>
      </c>
    </row>
    <row r="2348" spans="1:17" x14ac:dyDescent="0.25">
      <c r="A2348" t="str">
        <f>IF(C2348&amp;G2348&amp;D2348&lt;&gt;'Funnel setup'!$K$3&amp;'Funnel setup'!$K$4&amp;'Funnel setup'!$K$6,".",IF(A2347=".",1,A2347+1))</f>
        <v>.</v>
      </c>
      <c r="B2348" s="244" t="str">
        <f t="shared" si="36"/>
        <v>Knee Replacement PrimaryProviderOAKS HOSPITAL (NVC13)EQ-5D Index</v>
      </c>
      <c r="C2348" t="s">
        <v>969</v>
      </c>
      <c r="D2348" t="s">
        <v>965</v>
      </c>
      <c r="E2348" t="s">
        <v>426</v>
      </c>
      <c r="F2348" t="s">
        <v>427</v>
      </c>
      <c r="G2348" t="s">
        <v>963</v>
      </c>
      <c r="H2348">
        <v>4</v>
      </c>
      <c r="I2348">
        <v>0.53149999999999997</v>
      </c>
      <c r="J2348">
        <v>0.96199999999999997</v>
      </c>
      <c r="K2348">
        <v>0.43049999999999999</v>
      </c>
      <c r="L2348">
        <v>4</v>
      </c>
      <c r="M2348">
        <v>0</v>
      </c>
      <c r="N2348">
        <v>0</v>
      </c>
      <c r="O2348" t="s">
        <v>127</v>
      </c>
      <c r="P2348" t="s">
        <v>127</v>
      </c>
      <c r="Q2348" t="s">
        <v>127</v>
      </c>
    </row>
    <row r="2349" spans="1:17" x14ac:dyDescent="0.25">
      <c r="A2349" t="str">
        <f>IF(C2349&amp;G2349&amp;D2349&lt;&gt;'Funnel setup'!$K$3&amp;'Funnel setup'!$K$4&amp;'Funnel setup'!$K$6,".",IF(A2348=".",1,A2348+1))</f>
        <v>.</v>
      </c>
      <c r="B2349" s="244" t="str">
        <f t="shared" si="36"/>
        <v>Knee Replacement PrimaryProviderONE HEALTHCARE (AVQ)EQ-5D Index</v>
      </c>
      <c r="C2349" t="s">
        <v>969</v>
      </c>
      <c r="D2349" t="s">
        <v>965</v>
      </c>
      <c r="E2349" t="s">
        <v>434</v>
      </c>
      <c r="F2349" t="s">
        <v>435</v>
      </c>
      <c r="G2349" t="s">
        <v>963</v>
      </c>
      <c r="H2349">
        <v>61</v>
      </c>
      <c r="I2349">
        <v>0.44601600000000002</v>
      </c>
      <c r="J2349">
        <v>0.79560699999999995</v>
      </c>
      <c r="K2349">
        <v>0.34959000000000001</v>
      </c>
      <c r="L2349">
        <v>54</v>
      </c>
      <c r="M2349">
        <v>5</v>
      </c>
      <c r="N2349">
        <v>2</v>
      </c>
      <c r="O2349">
        <v>0.766123</v>
      </c>
      <c r="P2349">
        <v>0.33732699999999999</v>
      </c>
      <c r="Q2349">
        <v>0.171519</v>
      </c>
    </row>
    <row r="2350" spans="1:17" x14ac:dyDescent="0.25">
      <c r="A2350" t="str">
        <f>IF(C2350&amp;G2350&amp;D2350&lt;&gt;'Funnel setup'!$K$3&amp;'Funnel setup'!$K$4&amp;'Funnel setup'!$K$6,".",IF(A2349=".",1,A2349+1))</f>
        <v>.</v>
      </c>
      <c r="B2350" s="244" t="str">
        <f t="shared" si="36"/>
        <v>Knee Replacement PrimaryProviderORTHOPAEDICS &amp; SPINE SPECIALIST HOSPITAL SITE (NQM01)EQ-5D Index</v>
      </c>
      <c r="C2350" t="s">
        <v>969</v>
      </c>
      <c r="D2350" t="s">
        <v>965</v>
      </c>
      <c r="E2350" t="s">
        <v>436</v>
      </c>
      <c r="F2350" t="s">
        <v>437</v>
      </c>
      <c r="G2350" t="s">
        <v>963</v>
      </c>
      <c r="H2350">
        <v>6</v>
      </c>
      <c r="I2350">
        <v>0.17</v>
      </c>
      <c r="J2350">
        <v>0.47499999999999998</v>
      </c>
      <c r="K2350">
        <v>0.30499999999999999</v>
      </c>
      <c r="L2350">
        <v>5</v>
      </c>
      <c r="M2350">
        <v>0</v>
      </c>
      <c r="N2350">
        <v>1</v>
      </c>
      <c r="O2350" t="s">
        <v>127</v>
      </c>
      <c r="P2350" t="s">
        <v>127</v>
      </c>
      <c r="Q2350" t="s">
        <v>127</v>
      </c>
    </row>
    <row r="2351" spans="1:17" x14ac:dyDescent="0.25">
      <c r="A2351" t="str">
        <f>IF(C2351&amp;G2351&amp;D2351&lt;&gt;'Funnel setup'!$K$3&amp;'Funnel setup'!$K$4&amp;'Funnel setup'!$K$6,".",IF(A2350=".",1,A2350+1))</f>
        <v>.</v>
      </c>
      <c r="B2351" s="244" t="str">
        <f t="shared" si="36"/>
        <v>Knee Replacement PrimaryProviderOXFORD UNIVERSITY HOSPITALS NHS FOUNDATION TRUST (RTH)EQ-5D Index</v>
      </c>
      <c r="C2351" t="s">
        <v>969</v>
      </c>
      <c r="D2351" t="s">
        <v>965</v>
      </c>
      <c r="E2351" t="s">
        <v>438</v>
      </c>
      <c r="F2351" t="s">
        <v>439</v>
      </c>
      <c r="G2351" t="s">
        <v>963</v>
      </c>
      <c r="H2351">
        <v>229</v>
      </c>
      <c r="I2351">
        <v>0.42772900000000003</v>
      </c>
      <c r="J2351">
        <v>0.77341899999999997</v>
      </c>
      <c r="K2351">
        <v>0.34569</v>
      </c>
      <c r="L2351">
        <v>198</v>
      </c>
      <c r="M2351">
        <v>16</v>
      </c>
      <c r="N2351">
        <v>15</v>
      </c>
      <c r="O2351">
        <v>0.76320600000000005</v>
      </c>
      <c r="P2351">
        <v>0.33441100000000001</v>
      </c>
      <c r="Q2351">
        <v>0.20733399999999999</v>
      </c>
    </row>
    <row r="2352" spans="1:17" x14ac:dyDescent="0.25">
      <c r="A2352" t="str">
        <f>IF(C2352&amp;G2352&amp;D2352&lt;&gt;'Funnel setup'!$K$3&amp;'Funnel setup'!$K$4&amp;'Funnel setup'!$K$6,".",IF(A2351=".",1,A2351+1))</f>
        <v>.</v>
      </c>
      <c r="B2352" s="244" t="str">
        <f t="shared" si="36"/>
        <v>Knee Replacement PrimaryProviderPARK HILL HOSPITAL (NVC14)EQ-5D Index</v>
      </c>
      <c r="C2352" t="s">
        <v>969</v>
      </c>
      <c r="D2352" t="s">
        <v>965</v>
      </c>
      <c r="E2352" t="s">
        <v>440</v>
      </c>
      <c r="F2352" t="s">
        <v>441</v>
      </c>
      <c r="G2352" t="s">
        <v>963</v>
      </c>
      <c r="H2352">
        <v>36</v>
      </c>
      <c r="I2352">
        <v>0.376861</v>
      </c>
      <c r="J2352">
        <v>0.692944</v>
      </c>
      <c r="K2352">
        <v>0.316083</v>
      </c>
      <c r="L2352">
        <v>27</v>
      </c>
      <c r="M2352">
        <v>4</v>
      </c>
      <c r="N2352">
        <v>5</v>
      </c>
      <c r="O2352">
        <v>0.71048800000000001</v>
      </c>
      <c r="P2352">
        <v>0.281692</v>
      </c>
      <c r="Q2352">
        <v>0.25261099999999997</v>
      </c>
    </row>
    <row r="2353" spans="1:17" x14ac:dyDescent="0.25">
      <c r="A2353" t="str">
        <f>IF(C2353&amp;G2353&amp;D2353&lt;&gt;'Funnel setup'!$K$3&amp;'Funnel setup'!$K$4&amp;'Funnel setup'!$K$6,".",IF(A2352=".",1,A2352+1))</f>
        <v>.</v>
      </c>
      <c r="B2353" s="244" t="str">
        <f t="shared" si="36"/>
        <v>Knee Replacement PrimaryProviderPARK HOSPITAL (NT427)EQ-5D Index</v>
      </c>
      <c r="C2353" t="s">
        <v>969</v>
      </c>
      <c r="D2353" t="s">
        <v>965</v>
      </c>
      <c r="E2353" t="s">
        <v>442</v>
      </c>
      <c r="F2353" t="s">
        <v>443</v>
      </c>
      <c r="G2353" t="s">
        <v>963</v>
      </c>
      <c r="H2353">
        <v>56</v>
      </c>
      <c r="I2353">
        <v>0.49560700000000002</v>
      </c>
      <c r="J2353">
        <v>0.74235700000000004</v>
      </c>
      <c r="K2353">
        <v>0.24675</v>
      </c>
      <c r="L2353">
        <v>38</v>
      </c>
      <c r="M2353">
        <v>9</v>
      </c>
      <c r="N2353">
        <v>9</v>
      </c>
      <c r="O2353">
        <v>0.70498799999999995</v>
      </c>
      <c r="P2353">
        <v>0.27619199999999999</v>
      </c>
      <c r="Q2353">
        <v>0.25126700000000002</v>
      </c>
    </row>
    <row r="2354" spans="1:17" x14ac:dyDescent="0.25">
      <c r="A2354" t="str">
        <f>IF(C2354&amp;G2354&amp;D2354&lt;&gt;'Funnel setup'!$K$3&amp;'Funnel setup'!$K$4&amp;'Funnel setup'!$K$6,".",IF(A2353=".",1,A2353+1))</f>
        <v>.</v>
      </c>
      <c r="B2354" s="244" t="str">
        <f t="shared" si="36"/>
        <v>Knee Replacement PrimaryProviderPENNINE ACUTE HOSPITALS NHS TRUST (RW6)EQ-5D Index</v>
      </c>
      <c r="C2354" t="s">
        <v>969</v>
      </c>
      <c r="D2354" t="s">
        <v>965</v>
      </c>
      <c r="E2354" t="s">
        <v>444</v>
      </c>
      <c r="F2354" t="s">
        <v>445</v>
      </c>
      <c r="G2354" t="s">
        <v>963</v>
      </c>
      <c r="H2354">
        <v>4</v>
      </c>
      <c r="I2354">
        <v>0.48825000000000002</v>
      </c>
      <c r="J2354">
        <v>0.80274999999999996</v>
      </c>
      <c r="K2354">
        <v>0.3145</v>
      </c>
      <c r="L2354">
        <v>4</v>
      </c>
      <c r="M2354">
        <v>0</v>
      </c>
      <c r="N2354">
        <v>0</v>
      </c>
      <c r="O2354" t="s">
        <v>127</v>
      </c>
      <c r="P2354" t="s">
        <v>127</v>
      </c>
      <c r="Q2354" t="s">
        <v>127</v>
      </c>
    </row>
    <row r="2355" spans="1:17" x14ac:dyDescent="0.25">
      <c r="A2355" t="str">
        <f>IF(C2355&amp;G2355&amp;D2355&lt;&gt;'Funnel setup'!$K$3&amp;'Funnel setup'!$K$4&amp;'Funnel setup'!$K$6,".",IF(A2354=".",1,A2354+1))</f>
        <v>.</v>
      </c>
      <c r="B2355" s="244" t="str">
        <f t="shared" si="36"/>
        <v>Knee Replacement PrimaryProviderPINEHILL HOSPITAL (NVC15)EQ-5D Index</v>
      </c>
      <c r="C2355" t="s">
        <v>969</v>
      </c>
      <c r="D2355" t="s">
        <v>965</v>
      </c>
      <c r="E2355" t="s">
        <v>448</v>
      </c>
      <c r="F2355" t="s">
        <v>449</v>
      </c>
      <c r="G2355" t="s">
        <v>963</v>
      </c>
      <c r="H2355">
        <v>7</v>
      </c>
      <c r="I2355">
        <v>0.37757099999999999</v>
      </c>
      <c r="J2355">
        <v>0.80142899999999995</v>
      </c>
      <c r="K2355">
        <v>0.42385699999999998</v>
      </c>
      <c r="L2355">
        <v>6</v>
      </c>
      <c r="M2355">
        <v>1</v>
      </c>
      <c r="N2355">
        <v>0</v>
      </c>
      <c r="O2355" t="s">
        <v>127</v>
      </c>
      <c r="P2355" t="s">
        <v>127</v>
      </c>
      <c r="Q2355" t="s">
        <v>127</v>
      </c>
    </row>
    <row r="2356" spans="1:17" x14ac:dyDescent="0.25">
      <c r="A2356" t="str">
        <f>IF(C2356&amp;G2356&amp;D2356&lt;&gt;'Funnel setup'!$K$3&amp;'Funnel setup'!$K$4&amp;'Funnel setup'!$K$6,".",IF(A2355=".",1,A2355+1))</f>
        <v>.</v>
      </c>
      <c r="B2356" s="244" t="str">
        <f t="shared" si="36"/>
        <v>Knee Replacement PrimaryProviderPORTSMOUTH HOSPITALS UNIVERSITY NATIONAL HEALTH SERVICE TRUST (RHU)EQ-5D Index</v>
      </c>
      <c r="C2356" t="s">
        <v>969</v>
      </c>
      <c r="D2356" t="s">
        <v>965</v>
      </c>
      <c r="E2356" t="s">
        <v>450</v>
      </c>
      <c r="F2356" t="s">
        <v>451</v>
      </c>
      <c r="G2356" t="s">
        <v>963</v>
      </c>
      <c r="H2356">
        <v>13</v>
      </c>
      <c r="I2356">
        <v>0.15238499999999999</v>
      </c>
      <c r="J2356">
        <v>0.663385</v>
      </c>
      <c r="K2356">
        <v>0.51100000000000001</v>
      </c>
      <c r="L2356">
        <v>10</v>
      </c>
      <c r="M2356">
        <v>1</v>
      </c>
      <c r="N2356">
        <v>2</v>
      </c>
      <c r="O2356" t="s">
        <v>127</v>
      </c>
      <c r="P2356" t="s">
        <v>127</v>
      </c>
      <c r="Q2356" t="s">
        <v>127</v>
      </c>
    </row>
    <row r="2357" spans="1:17" x14ac:dyDescent="0.25">
      <c r="A2357" t="str">
        <f>IF(C2357&amp;G2357&amp;D2357&lt;&gt;'Funnel setup'!$K$3&amp;'Funnel setup'!$K$4&amp;'Funnel setup'!$K$6,".",IF(A2356=".",1,A2356+1))</f>
        <v>.</v>
      </c>
      <c r="B2357" s="244" t="str">
        <f t="shared" si="36"/>
        <v>Knee Replacement PrimaryProviderPRACTICE PLUS GROUP HOSPITAL - BARLBOROUGH (NTP13)EQ-5D Index</v>
      </c>
      <c r="C2357" t="s">
        <v>969</v>
      </c>
      <c r="D2357" t="s">
        <v>965</v>
      </c>
      <c r="E2357" t="s">
        <v>452</v>
      </c>
      <c r="F2357" t="s">
        <v>453</v>
      </c>
      <c r="G2357" t="s">
        <v>963</v>
      </c>
      <c r="H2357">
        <v>241</v>
      </c>
      <c r="I2357">
        <v>0.46137299999999998</v>
      </c>
      <c r="J2357">
        <v>0.79791299999999998</v>
      </c>
      <c r="K2357">
        <v>0.33653899999999998</v>
      </c>
      <c r="L2357">
        <v>203</v>
      </c>
      <c r="M2357">
        <v>21</v>
      </c>
      <c r="N2357">
        <v>17</v>
      </c>
      <c r="O2357">
        <v>0.77620999999999996</v>
      </c>
      <c r="P2357">
        <v>0.347414</v>
      </c>
      <c r="Q2357">
        <v>0.21052199999999999</v>
      </c>
    </row>
    <row r="2358" spans="1:17" x14ac:dyDescent="0.25">
      <c r="A2358" t="str">
        <f>IF(C2358&amp;G2358&amp;D2358&lt;&gt;'Funnel setup'!$K$3&amp;'Funnel setup'!$K$4&amp;'Funnel setup'!$K$6,".",IF(A2357=".",1,A2357+1))</f>
        <v>.</v>
      </c>
      <c r="B2358" s="244" t="str">
        <f t="shared" si="36"/>
        <v>Knee Replacement PrimaryProviderPRACTICE PLUS GROUP HOSPITAL - EMERSONS GREEN (NTPH2)EQ-5D Index</v>
      </c>
      <c r="C2358" t="s">
        <v>969</v>
      </c>
      <c r="D2358" t="s">
        <v>965</v>
      </c>
      <c r="E2358" t="s">
        <v>454</v>
      </c>
      <c r="F2358" t="s">
        <v>455</v>
      </c>
      <c r="G2358" t="s">
        <v>963</v>
      </c>
      <c r="H2358">
        <v>138</v>
      </c>
      <c r="I2358">
        <v>0.51229000000000002</v>
      </c>
      <c r="J2358">
        <v>0.76452200000000003</v>
      </c>
      <c r="K2358">
        <v>0.25223200000000001</v>
      </c>
      <c r="L2358">
        <v>110</v>
      </c>
      <c r="M2358">
        <v>14</v>
      </c>
      <c r="N2358">
        <v>14</v>
      </c>
      <c r="O2358">
        <v>0.72861500000000001</v>
      </c>
      <c r="P2358">
        <v>0.299819</v>
      </c>
      <c r="Q2358">
        <v>0.228328</v>
      </c>
    </row>
    <row r="2359" spans="1:17" x14ac:dyDescent="0.25">
      <c r="A2359" t="str">
        <f>IF(C2359&amp;G2359&amp;D2359&lt;&gt;'Funnel setup'!$K$3&amp;'Funnel setup'!$K$4&amp;'Funnel setup'!$K$6,".",IF(A2358=".",1,A2358+1))</f>
        <v>.</v>
      </c>
      <c r="B2359" s="244" t="str">
        <f t="shared" si="36"/>
        <v>Knee Replacement PrimaryProviderPRACTICE PLUS GROUP HOSPITAL - ILFORD (NTP15)EQ-5D Index</v>
      </c>
      <c r="C2359" t="s">
        <v>969</v>
      </c>
      <c r="D2359" t="s">
        <v>965</v>
      </c>
      <c r="E2359" t="s">
        <v>456</v>
      </c>
      <c r="F2359" t="s">
        <v>457</v>
      </c>
      <c r="G2359" t="s">
        <v>963</v>
      </c>
      <c r="H2359">
        <v>78</v>
      </c>
      <c r="I2359">
        <v>0.39276899999999998</v>
      </c>
      <c r="J2359">
        <v>0.67548699999999995</v>
      </c>
      <c r="K2359">
        <v>0.28271800000000002</v>
      </c>
      <c r="L2359">
        <v>61</v>
      </c>
      <c r="M2359">
        <v>5</v>
      </c>
      <c r="N2359">
        <v>12</v>
      </c>
      <c r="O2359">
        <v>0.69802600000000004</v>
      </c>
      <c r="P2359">
        <v>0.26923000000000002</v>
      </c>
      <c r="Q2359">
        <v>0.249893</v>
      </c>
    </row>
    <row r="2360" spans="1:17" x14ac:dyDescent="0.25">
      <c r="A2360" t="str">
        <f>IF(C2360&amp;G2360&amp;D2360&lt;&gt;'Funnel setup'!$K$3&amp;'Funnel setup'!$K$4&amp;'Funnel setup'!$K$6,".",IF(A2359=".",1,A2359+1))</f>
        <v>.</v>
      </c>
      <c r="B2360" s="244" t="str">
        <f t="shared" si="36"/>
        <v>Knee Replacement PrimaryProviderPRACTICE PLUS GROUP HOSPITAL - PLYMOUTH (NTPH5)EQ-5D Index</v>
      </c>
      <c r="C2360" t="s">
        <v>969</v>
      </c>
      <c r="D2360" t="s">
        <v>965</v>
      </c>
      <c r="E2360" t="s">
        <v>458</v>
      </c>
      <c r="F2360" t="s">
        <v>459</v>
      </c>
      <c r="G2360" t="s">
        <v>963</v>
      </c>
      <c r="H2360">
        <v>188</v>
      </c>
      <c r="I2360">
        <v>0.477543</v>
      </c>
      <c r="J2360">
        <v>0.76531899999999997</v>
      </c>
      <c r="K2360">
        <v>0.28777700000000001</v>
      </c>
      <c r="L2360">
        <v>154</v>
      </c>
      <c r="M2360">
        <v>18</v>
      </c>
      <c r="N2360">
        <v>16</v>
      </c>
      <c r="O2360">
        <v>0.74895999999999996</v>
      </c>
      <c r="P2360">
        <v>0.320164</v>
      </c>
      <c r="Q2360">
        <v>0.20682700000000001</v>
      </c>
    </row>
    <row r="2361" spans="1:17" x14ac:dyDescent="0.25">
      <c r="A2361" t="str">
        <f>IF(C2361&amp;G2361&amp;D2361&lt;&gt;'Funnel setup'!$K$3&amp;'Funnel setup'!$K$4&amp;'Funnel setup'!$K$6,".",IF(A2360=".",1,A2360+1))</f>
        <v>.</v>
      </c>
      <c r="B2361" s="244" t="str">
        <f t="shared" si="36"/>
        <v>Knee Replacement PrimaryProviderPRACTICE PLUS GROUP HOSPITAL - SHEPTON MALLET (NTPH1)EQ-5D Index</v>
      </c>
      <c r="C2361" t="s">
        <v>969</v>
      </c>
      <c r="D2361" t="s">
        <v>965</v>
      </c>
      <c r="E2361" t="s">
        <v>460</v>
      </c>
      <c r="F2361" t="s">
        <v>461</v>
      </c>
      <c r="G2361" t="s">
        <v>963</v>
      </c>
      <c r="H2361">
        <v>221</v>
      </c>
      <c r="I2361">
        <v>0.48247099999999998</v>
      </c>
      <c r="J2361">
        <v>0.797041</v>
      </c>
      <c r="K2361">
        <v>0.31457000000000002</v>
      </c>
      <c r="L2361">
        <v>193</v>
      </c>
      <c r="M2361">
        <v>15</v>
      </c>
      <c r="N2361">
        <v>13</v>
      </c>
      <c r="O2361">
        <v>0.77554100000000004</v>
      </c>
      <c r="P2361">
        <v>0.34674500000000003</v>
      </c>
      <c r="Q2361">
        <v>0.18978999999999999</v>
      </c>
    </row>
    <row r="2362" spans="1:17" x14ac:dyDescent="0.25">
      <c r="A2362" t="str">
        <f>IF(C2362&amp;G2362&amp;D2362&lt;&gt;'Funnel setup'!$K$3&amp;'Funnel setup'!$K$4&amp;'Funnel setup'!$K$6,".",IF(A2361=".",1,A2361+1))</f>
        <v>.</v>
      </c>
      <c r="B2362" s="244" t="str">
        <f t="shared" si="36"/>
        <v>Knee Replacement PrimaryProviderPRACTICE PLUS GROUP HOSPITAL - SOUTHAMPTON (NTP11)EQ-5D Index</v>
      </c>
      <c r="C2362" t="s">
        <v>969</v>
      </c>
      <c r="D2362" t="s">
        <v>965</v>
      </c>
      <c r="E2362" t="s">
        <v>462</v>
      </c>
      <c r="F2362" t="s">
        <v>463</v>
      </c>
      <c r="G2362" t="s">
        <v>963</v>
      </c>
      <c r="H2362">
        <v>69</v>
      </c>
      <c r="I2362">
        <v>0.42794199999999999</v>
      </c>
      <c r="J2362">
        <v>0.74644900000000003</v>
      </c>
      <c r="K2362">
        <v>0.31850699999999998</v>
      </c>
      <c r="L2362">
        <v>57</v>
      </c>
      <c r="M2362">
        <v>5</v>
      </c>
      <c r="N2362">
        <v>7</v>
      </c>
      <c r="O2362">
        <v>0.75420100000000001</v>
      </c>
      <c r="P2362">
        <v>0.325405</v>
      </c>
      <c r="Q2362">
        <v>0.25789800000000002</v>
      </c>
    </row>
    <row r="2363" spans="1:17" x14ac:dyDescent="0.25">
      <c r="A2363" t="str">
        <f>IF(C2363&amp;G2363&amp;D2363&lt;&gt;'Funnel setup'!$K$3&amp;'Funnel setup'!$K$4&amp;'Funnel setup'!$K$6,".",IF(A2362=".",1,A2362+1))</f>
        <v>.</v>
      </c>
      <c r="B2363" s="244" t="str">
        <f t="shared" si="36"/>
        <v>Knee Replacement PrimaryProviderPRINCESS MARGARET HOSPITAL (NT428)EQ-5D Index</v>
      </c>
      <c r="C2363" t="s">
        <v>969</v>
      </c>
      <c r="D2363" t="s">
        <v>965</v>
      </c>
      <c r="E2363" t="s">
        <v>464</v>
      </c>
      <c r="F2363" t="s">
        <v>465</v>
      </c>
      <c r="G2363" t="s">
        <v>963</v>
      </c>
      <c r="H2363" t="s">
        <v>127</v>
      </c>
      <c r="I2363" t="s">
        <v>127</v>
      </c>
      <c r="J2363" t="s">
        <v>127</v>
      </c>
      <c r="K2363" t="s">
        <v>127</v>
      </c>
      <c r="L2363" t="s">
        <v>127</v>
      </c>
      <c r="M2363" t="s">
        <v>127</v>
      </c>
      <c r="N2363" t="s">
        <v>127</v>
      </c>
      <c r="O2363" t="s">
        <v>127</v>
      </c>
      <c r="P2363" t="s">
        <v>127</v>
      </c>
      <c r="Q2363" t="s">
        <v>127</v>
      </c>
    </row>
    <row r="2364" spans="1:17" x14ac:dyDescent="0.25">
      <c r="A2364" t="str">
        <f>IF(C2364&amp;G2364&amp;D2364&lt;&gt;'Funnel setup'!$K$3&amp;'Funnel setup'!$K$4&amp;'Funnel setup'!$K$6,".",IF(A2363=".",1,A2363+1))</f>
        <v>.</v>
      </c>
      <c r="B2364" s="244" t="str">
        <f t="shared" si="36"/>
        <v>Knee Replacement PrimaryProviderPRIORY HOSPITAL (NT429)EQ-5D Index</v>
      </c>
      <c r="C2364" t="s">
        <v>969</v>
      </c>
      <c r="D2364" t="s">
        <v>965</v>
      </c>
      <c r="E2364" t="s">
        <v>466</v>
      </c>
      <c r="F2364" t="s">
        <v>467</v>
      </c>
      <c r="G2364" t="s">
        <v>963</v>
      </c>
      <c r="H2364">
        <v>26</v>
      </c>
      <c r="I2364">
        <v>0.45746199999999998</v>
      </c>
      <c r="J2364">
        <v>0.79449999999999998</v>
      </c>
      <c r="K2364">
        <v>0.337038</v>
      </c>
      <c r="L2364">
        <v>24</v>
      </c>
      <c r="M2364">
        <v>2</v>
      </c>
      <c r="N2364">
        <v>0</v>
      </c>
      <c r="O2364" t="s">
        <v>127</v>
      </c>
      <c r="P2364" t="s">
        <v>127</v>
      </c>
      <c r="Q2364" t="s">
        <v>127</v>
      </c>
    </row>
    <row r="2365" spans="1:17" x14ac:dyDescent="0.25">
      <c r="A2365" t="str">
        <f>IF(C2365&amp;G2365&amp;D2365&lt;&gt;'Funnel setup'!$K$3&amp;'Funnel setup'!$K$4&amp;'Funnel setup'!$K$6,".",IF(A2364=".",1,A2364+1))</f>
        <v>.</v>
      </c>
      <c r="B2365" s="244" t="str">
        <f t="shared" si="36"/>
        <v>Knee Replacement PrimaryProviderRENACRES HOSPITAL (NVC16)EQ-5D Index</v>
      </c>
      <c r="C2365" t="s">
        <v>969</v>
      </c>
      <c r="D2365" t="s">
        <v>965</v>
      </c>
      <c r="E2365" t="s">
        <v>470</v>
      </c>
      <c r="F2365" t="s">
        <v>471</v>
      </c>
      <c r="G2365" t="s">
        <v>963</v>
      </c>
      <c r="H2365">
        <v>67</v>
      </c>
      <c r="I2365">
        <v>0.40449299999999999</v>
      </c>
      <c r="J2365">
        <v>0.79400000000000004</v>
      </c>
      <c r="K2365">
        <v>0.38950699999999999</v>
      </c>
      <c r="L2365">
        <v>59</v>
      </c>
      <c r="M2365">
        <v>6</v>
      </c>
      <c r="N2365">
        <v>2</v>
      </c>
      <c r="O2365">
        <v>0.78347599999999995</v>
      </c>
      <c r="P2365">
        <v>0.35468</v>
      </c>
      <c r="Q2365">
        <v>0.20755199999999999</v>
      </c>
    </row>
    <row r="2366" spans="1:17" x14ac:dyDescent="0.25">
      <c r="A2366" t="str">
        <f>IF(C2366&amp;G2366&amp;D2366&lt;&gt;'Funnel setup'!$K$3&amp;'Funnel setup'!$K$4&amp;'Funnel setup'!$K$6,".",IF(A2365=".",1,A2365+1))</f>
        <v>.</v>
      </c>
      <c r="B2366" s="244" t="str">
        <f t="shared" si="36"/>
        <v>Knee Replacement PrimaryProviderRIDGEWAY HOSPITAL (NT430)EQ-5D Index</v>
      </c>
      <c r="C2366" t="s">
        <v>969</v>
      </c>
      <c r="D2366" t="s">
        <v>965</v>
      </c>
      <c r="E2366" t="s">
        <v>472</v>
      </c>
      <c r="F2366" t="s">
        <v>473</v>
      </c>
      <c r="G2366" t="s">
        <v>963</v>
      </c>
      <c r="H2366">
        <v>1</v>
      </c>
      <c r="I2366">
        <v>0.62</v>
      </c>
      <c r="J2366">
        <v>1</v>
      </c>
      <c r="K2366">
        <v>0.38</v>
      </c>
      <c r="L2366">
        <v>1</v>
      </c>
      <c r="M2366">
        <v>0</v>
      </c>
      <c r="N2366">
        <v>0</v>
      </c>
      <c r="O2366" t="s">
        <v>127</v>
      </c>
      <c r="P2366" t="s">
        <v>127</v>
      </c>
      <c r="Q2366" t="s">
        <v>127</v>
      </c>
    </row>
    <row r="2367" spans="1:17" x14ac:dyDescent="0.25">
      <c r="A2367" t="str">
        <f>IF(C2367&amp;G2367&amp;D2367&lt;&gt;'Funnel setup'!$K$3&amp;'Funnel setup'!$K$4&amp;'Funnel setup'!$K$6,".",IF(A2366=".",1,A2366+1))</f>
        <v>.</v>
      </c>
      <c r="B2367" s="244" t="str">
        <f t="shared" si="36"/>
        <v>Knee Replacement PrimaryProviderRIVERS HOSPITAL (NVC19)EQ-5D Index</v>
      </c>
      <c r="C2367" t="s">
        <v>969</v>
      </c>
      <c r="D2367" t="s">
        <v>965</v>
      </c>
      <c r="E2367" t="s">
        <v>474</v>
      </c>
      <c r="F2367" t="s">
        <v>475</v>
      </c>
      <c r="G2367" t="s">
        <v>963</v>
      </c>
      <c r="H2367">
        <v>38</v>
      </c>
      <c r="I2367">
        <v>0.51023700000000005</v>
      </c>
      <c r="J2367">
        <v>0.83865800000000001</v>
      </c>
      <c r="K2367">
        <v>0.32842100000000002</v>
      </c>
      <c r="L2367">
        <v>31</v>
      </c>
      <c r="M2367">
        <v>4</v>
      </c>
      <c r="N2367">
        <v>3</v>
      </c>
      <c r="O2367">
        <v>0.794906</v>
      </c>
      <c r="P2367">
        <v>0.36610999999999999</v>
      </c>
      <c r="Q2367">
        <v>0.24370700000000001</v>
      </c>
    </row>
    <row r="2368" spans="1:17" x14ac:dyDescent="0.25">
      <c r="A2368" t="str">
        <f>IF(C2368&amp;G2368&amp;D2368&lt;&gt;'Funnel setup'!$K$3&amp;'Funnel setup'!$K$4&amp;'Funnel setup'!$K$6,".",IF(A2367=".",1,A2367+1))</f>
        <v>.</v>
      </c>
      <c r="B2368" s="244" t="str">
        <f t="shared" si="36"/>
        <v>Knee Replacement PrimaryProviderROWLEY HALL HOSPITAL (NVC17)EQ-5D Index</v>
      </c>
      <c r="C2368" t="s">
        <v>969</v>
      </c>
      <c r="D2368" t="s">
        <v>965</v>
      </c>
      <c r="E2368" t="s">
        <v>476</v>
      </c>
      <c r="F2368" t="s">
        <v>477</v>
      </c>
      <c r="G2368" t="s">
        <v>963</v>
      </c>
      <c r="H2368">
        <v>42</v>
      </c>
      <c r="I2368">
        <v>0.47811900000000002</v>
      </c>
      <c r="J2368">
        <v>0.770119</v>
      </c>
      <c r="K2368">
        <v>0.29199999999999998</v>
      </c>
      <c r="L2368">
        <v>33</v>
      </c>
      <c r="M2368">
        <v>6</v>
      </c>
      <c r="N2368">
        <v>3</v>
      </c>
      <c r="O2368">
        <v>0.74696399999999996</v>
      </c>
      <c r="P2368">
        <v>0.31816800000000001</v>
      </c>
      <c r="Q2368">
        <v>0.24703700000000001</v>
      </c>
    </row>
    <row r="2369" spans="1:17" x14ac:dyDescent="0.25">
      <c r="A2369" t="str">
        <f>IF(C2369&amp;G2369&amp;D2369&lt;&gt;'Funnel setup'!$K$3&amp;'Funnel setup'!$K$4&amp;'Funnel setup'!$K$6,".",IF(A2368=".",1,A2368+1))</f>
        <v>.</v>
      </c>
      <c r="B2369" s="244" t="str">
        <f t="shared" si="36"/>
        <v>Knee Replacement PrimaryProviderROYAL BERKSHIRE NHS FOUNDATION TRUST (RHW)EQ-5D Index</v>
      </c>
      <c r="C2369" t="s">
        <v>969</v>
      </c>
      <c r="D2369" t="s">
        <v>965</v>
      </c>
      <c r="E2369" t="s">
        <v>478</v>
      </c>
      <c r="F2369" t="s">
        <v>479</v>
      </c>
      <c r="G2369" t="s">
        <v>963</v>
      </c>
      <c r="H2369">
        <v>7</v>
      </c>
      <c r="I2369">
        <v>0.42657099999999998</v>
      </c>
      <c r="J2369">
        <v>0.71328599999999998</v>
      </c>
      <c r="K2369">
        <v>0.28671400000000002</v>
      </c>
      <c r="L2369">
        <v>5</v>
      </c>
      <c r="M2369">
        <v>1</v>
      </c>
      <c r="N2369">
        <v>1</v>
      </c>
      <c r="O2369" t="s">
        <v>127</v>
      </c>
      <c r="P2369" t="s">
        <v>127</v>
      </c>
      <c r="Q2369" t="s">
        <v>127</v>
      </c>
    </row>
    <row r="2370" spans="1:17" x14ac:dyDescent="0.25">
      <c r="A2370" t="str">
        <f>IF(C2370&amp;G2370&amp;D2370&lt;&gt;'Funnel setup'!$K$3&amp;'Funnel setup'!$K$4&amp;'Funnel setup'!$K$6,".",IF(A2369=".",1,A2369+1))</f>
        <v>.</v>
      </c>
      <c r="B2370" s="244" t="str">
        <f t="shared" ref="B2370:B2433" si="37">C2370&amp;D2370&amp;F2370&amp;G2370</f>
        <v>Knee Replacement PrimaryProviderROYAL CORNWALL HOSPITALS NHS TRUST (REF)EQ-5D Index</v>
      </c>
      <c r="C2370" t="s">
        <v>969</v>
      </c>
      <c r="D2370" t="s">
        <v>965</v>
      </c>
      <c r="E2370" t="s">
        <v>480</v>
      </c>
      <c r="F2370" t="s">
        <v>481</v>
      </c>
      <c r="G2370" t="s">
        <v>963</v>
      </c>
      <c r="H2370">
        <v>35</v>
      </c>
      <c r="I2370">
        <v>0.47439999999999999</v>
      </c>
      <c r="J2370">
        <v>0.75139999999999996</v>
      </c>
      <c r="K2370">
        <v>0.27700000000000002</v>
      </c>
      <c r="L2370">
        <v>26</v>
      </c>
      <c r="M2370">
        <v>4</v>
      </c>
      <c r="N2370">
        <v>5</v>
      </c>
      <c r="O2370">
        <v>0.75491799999999998</v>
      </c>
      <c r="P2370">
        <v>0.32612200000000002</v>
      </c>
      <c r="Q2370">
        <v>0.25879200000000002</v>
      </c>
    </row>
    <row r="2371" spans="1:17" x14ac:dyDescent="0.25">
      <c r="A2371" t="str">
        <f>IF(C2371&amp;G2371&amp;D2371&lt;&gt;'Funnel setup'!$K$3&amp;'Funnel setup'!$K$4&amp;'Funnel setup'!$K$6,".",IF(A2370=".",1,A2370+1))</f>
        <v>.</v>
      </c>
      <c r="B2371" s="244" t="str">
        <f t="shared" si="37"/>
        <v>Knee Replacement PrimaryProviderROYAL DEVON UNIVERSITY HEALTHCARE NHS FOUNDATION TRUST (RH8)EQ-5D Index</v>
      </c>
      <c r="C2371" t="s">
        <v>969</v>
      </c>
      <c r="D2371" t="s">
        <v>965</v>
      </c>
      <c r="E2371" t="s">
        <v>482</v>
      </c>
      <c r="F2371" t="s">
        <v>483</v>
      </c>
      <c r="G2371" t="s">
        <v>963</v>
      </c>
      <c r="H2371">
        <v>26</v>
      </c>
      <c r="I2371">
        <v>0.351385</v>
      </c>
      <c r="J2371">
        <v>0.69142300000000001</v>
      </c>
      <c r="K2371">
        <v>0.34003800000000001</v>
      </c>
      <c r="L2371">
        <v>24</v>
      </c>
      <c r="M2371">
        <v>0</v>
      </c>
      <c r="N2371">
        <v>2</v>
      </c>
      <c r="O2371" t="s">
        <v>127</v>
      </c>
      <c r="P2371" t="s">
        <v>127</v>
      </c>
      <c r="Q2371" t="s">
        <v>127</v>
      </c>
    </row>
    <row r="2372" spans="1:17" x14ac:dyDescent="0.25">
      <c r="A2372" t="str">
        <f>IF(C2372&amp;G2372&amp;D2372&lt;&gt;'Funnel setup'!$K$3&amp;'Funnel setup'!$K$4&amp;'Funnel setup'!$K$6,".",IF(A2371=".",1,A2371+1))</f>
        <v>.</v>
      </c>
      <c r="B2372" s="244" t="str">
        <f t="shared" si="37"/>
        <v>Knee Replacement PrimaryProviderROYAL NATIONAL ORTHOPAEDIC HOSPITAL NHS TRUST (RAN)EQ-5D Index</v>
      </c>
      <c r="C2372" t="s">
        <v>969</v>
      </c>
      <c r="D2372" t="s">
        <v>965</v>
      </c>
      <c r="E2372" t="s">
        <v>486</v>
      </c>
      <c r="F2372" t="s">
        <v>487</v>
      </c>
      <c r="G2372" t="s">
        <v>963</v>
      </c>
      <c r="H2372">
        <v>78</v>
      </c>
      <c r="I2372">
        <v>0.45446199999999998</v>
      </c>
      <c r="J2372">
        <v>0.66176900000000005</v>
      </c>
      <c r="K2372">
        <v>0.20730799999999999</v>
      </c>
      <c r="L2372">
        <v>53</v>
      </c>
      <c r="M2372">
        <v>10</v>
      </c>
      <c r="N2372">
        <v>15</v>
      </c>
      <c r="O2372">
        <v>0.71661200000000003</v>
      </c>
      <c r="P2372">
        <v>0.28781600000000002</v>
      </c>
      <c r="Q2372">
        <v>0.252666</v>
      </c>
    </row>
    <row r="2373" spans="1:17" x14ac:dyDescent="0.25">
      <c r="A2373" t="str">
        <f>IF(C2373&amp;G2373&amp;D2373&lt;&gt;'Funnel setup'!$K$3&amp;'Funnel setup'!$K$4&amp;'Funnel setup'!$K$6,".",IF(A2372=".",1,A2372+1))</f>
        <v>.</v>
      </c>
      <c r="B2373" s="244" t="str">
        <f t="shared" si="37"/>
        <v>Knee Replacement PrimaryProviderROYAL SURREY COUNTY HOSPITAL NHS FOUNDATION TRUST (RA2)EQ-5D Index</v>
      </c>
      <c r="C2373" t="s">
        <v>969</v>
      </c>
      <c r="D2373" t="s">
        <v>965</v>
      </c>
      <c r="E2373" t="s">
        <v>488</v>
      </c>
      <c r="F2373" t="s">
        <v>489</v>
      </c>
      <c r="G2373" t="s">
        <v>963</v>
      </c>
      <c r="H2373">
        <v>46</v>
      </c>
      <c r="I2373">
        <v>0.397478</v>
      </c>
      <c r="J2373">
        <v>0.77017400000000003</v>
      </c>
      <c r="K2373">
        <v>0.37269600000000003</v>
      </c>
      <c r="L2373">
        <v>39</v>
      </c>
      <c r="M2373">
        <v>3</v>
      </c>
      <c r="N2373">
        <v>4</v>
      </c>
      <c r="O2373">
        <v>0.77453399999999994</v>
      </c>
      <c r="P2373">
        <v>0.34573900000000002</v>
      </c>
      <c r="Q2373">
        <v>0.18127799999999999</v>
      </c>
    </row>
    <row r="2374" spans="1:17" x14ac:dyDescent="0.25">
      <c r="A2374" t="str">
        <f>IF(C2374&amp;G2374&amp;D2374&lt;&gt;'Funnel setup'!$K$3&amp;'Funnel setup'!$K$4&amp;'Funnel setup'!$K$6,".",IF(A2373=".",1,A2373+1))</f>
        <v>.</v>
      </c>
      <c r="B2374" s="244" t="str">
        <f t="shared" si="37"/>
        <v>Knee Replacement PrimaryProviderROYAL UNITED HOSPITALS BATH NHS FOUNDATION TRUST (RD1)EQ-5D Index</v>
      </c>
      <c r="C2374" t="s">
        <v>969</v>
      </c>
      <c r="D2374" t="s">
        <v>965</v>
      </c>
      <c r="E2374" t="s">
        <v>490</v>
      </c>
      <c r="F2374" t="s">
        <v>491</v>
      </c>
      <c r="G2374" t="s">
        <v>963</v>
      </c>
      <c r="H2374">
        <v>13</v>
      </c>
      <c r="I2374">
        <v>0.35023100000000001</v>
      </c>
      <c r="J2374">
        <v>0.68576899999999996</v>
      </c>
      <c r="K2374">
        <v>0.335538</v>
      </c>
      <c r="L2374">
        <v>11</v>
      </c>
      <c r="M2374">
        <v>0</v>
      </c>
      <c r="N2374">
        <v>2</v>
      </c>
      <c r="O2374" t="s">
        <v>127</v>
      </c>
      <c r="P2374" t="s">
        <v>127</v>
      </c>
      <c r="Q2374" t="s">
        <v>127</v>
      </c>
    </row>
    <row r="2375" spans="1:17" x14ac:dyDescent="0.25">
      <c r="A2375" t="str">
        <f>IF(C2375&amp;G2375&amp;D2375&lt;&gt;'Funnel setup'!$K$3&amp;'Funnel setup'!$K$4&amp;'Funnel setup'!$K$6,".",IF(A2374=".",1,A2374+1))</f>
        <v>.</v>
      </c>
      <c r="B2375" s="244" t="str">
        <f t="shared" si="37"/>
        <v>Knee Replacement PrimaryProviderRUNNYMEDE HOSPITAL (NT431)EQ-5D Index</v>
      </c>
      <c r="C2375" t="s">
        <v>969</v>
      </c>
      <c r="D2375" t="s">
        <v>965</v>
      </c>
      <c r="E2375" t="s">
        <v>492</v>
      </c>
      <c r="F2375" t="s">
        <v>493</v>
      </c>
      <c r="G2375" t="s">
        <v>963</v>
      </c>
      <c r="H2375">
        <v>6</v>
      </c>
      <c r="I2375">
        <v>0.64449999999999996</v>
      </c>
      <c r="J2375">
        <v>0.845333</v>
      </c>
      <c r="K2375">
        <v>0.20083300000000001</v>
      </c>
      <c r="L2375">
        <v>5</v>
      </c>
      <c r="M2375">
        <v>1</v>
      </c>
      <c r="N2375">
        <v>0</v>
      </c>
      <c r="O2375" t="s">
        <v>127</v>
      </c>
      <c r="P2375" t="s">
        <v>127</v>
      </c>
      <c r="Q2375" t="s">
        <v>127</v>
      </c>
    </row>
    <row r="2376" spans="1:17" x14ac:dyDescent="0.25">
      <c r="A2376" t="str">
        <f>IF(C2376&amp;G2376&amp;D2376&lt;&gt;'Funnel setup'!$K$3&amp;'Funnel setup'!$K$4&amp;'Funnel setup'!$K$6,".",IF(A2375=".",1,A2375+1))</f>
        <v>.</v>
      </c>
      <c r="B2376" s="244" t="str">
        <f t="shared" si="37"/>
        <v>Knee Replacement PrimaryProviderSALISBURY NHS FOUNDATION TRUST (RNZ)EQ-5D Index</v>
      </c>
      <c r="C2376" t="s">
        <v>969</v>
      </c>
      <c r="D2376" t="s">
        <v>965</v>
      </c>
      <c r="E2376" t="s">
        <v>494</v>
      </c>
      <c r="F2376" t="s">
        <v>495</v>
      </c>
      <c r="G2376" t="s">
        <v>963</v>
      </c>
      <c r="H2376">
        <v>1</v>
      </c>
      <c r="I2376">
        <v>0.26</v>
      </c>
      <c r="J2376">
        <v>1</v>
      </c>
      <c r="K2376">
        <v>0.74</v>
      </c>
      <c r="L2376">
        <v>1</v>
      </c>
      <c r="M2376">
        <v>0</v>
      </c>
      <c r="N2376">
        <v>0</v>
      </c>
      <c r="O2376" t="s">
        <v>127</v>
      </c>
      <c r="P2376" t="s">
        <v>127</v>
      </c>
      <c r="Q2376" t="s">
        <v>127</v>
      </c>
    </row>
    <row r="2377" spans="1:17" x14ac:dyDescent="0.25">
      <c r="A2377" t="str">
        <f>IF(C2377&amp;G2377&amp;D2377&lt;&gt;'Funnel setup'!$K$3&amp;'Funnel setup'!$K$4&amp;'Funnel setup'!$K$6,".",IF(A2376=".",1,A2376+1))</f>
        <v>.</v>
      </c>
      <c r="B2377" s="244" t="str">
        <f t="shared" si="37"/>
        <v>Knee Replacement PrimaryProviderSANDWELL AND WEST BIRMINGHAM HOSPITALS NHS TRUST (RXK)EQ-5D Index</v>
      </c>
      <c r="C2377" t="s">
        <v>969</v>
      </c>
      <c r="D2377" t="s">
        <v>965</v>
      </c>
      <c r="E2377" t="s">
        <v>496</v>
      </c>
      <c r="F2377" t="s">
        <v>497</v>
      </c>
      <c r="G2377" t="s">
        <v>963</v>
      </c>
      <c r="H2377">
        <v>67</v>
      </c>
      <c r="I2377">
        <v>0.34907500000000002</v>
      </c>
      <c r="J2377">
        <v>0.65520900000000004</v>
      </c>
      <c r="K2377">
        <v>0.30613400000000002</v>
      </c>
      <c r="L2377">
        <v>53</v>
      </c>
      <c r="M2377">
        <v>5</v>
      </c>
      <c r="N2377">
        <v>9</v>
      </c>
      <c r="O2377">
        <v>0.70253600000000005</v>
      </c>
      <c r="P2377">
        <v>0.27374100000000001</v>
      </c>
      <c r="Q2377">
        <v>0.27549699999999999</v>
      </c>
    </row>
    <row r="2378" spans="1:17" x14ac:dyDescent="0.25">
      <c r="A2378" t="str">
        <f>IF(C2378&amp;G2378&amp;D2378&lt;&gt;'Funnel setup'!$K$3&amp;'Funnel setup'!$K$4&amp;'Funnel setup'!$K$6,".",IF(A2377=".",1,A2377+1))</f>
        <v>.</v>
      </c>
      <c r="B2378" s="244" t="str">
        <f t="shared" si="37"/>
        <v>Knee Replacement PrimaryProviderSARUM ROAD HOSPITAL (NT433)EQ-5D Index</v>
      </c>
      <c r="C2378" t="s">
        <v>969</v>
      </c>
      <c r="D2378" t="s">
        <v>965</v>
      </c>
      <c r="E2378" t="s">
        <v>498</v>
      </c>
      <c r="F2378" t="s">
        <v>499</v>
      </c>
      <c r="G2378" t="s">
        <v>963</v>
      </c>
      <c r="H2378">
        <v>27</v>
      </c>
      <c r="I2378">
        <v>0.52963000000000005</v>
      </c>
      <c r="J2378">
        <v>0.87366699999999997</v>
      </c>
      <c r="K2378">
        <v>0.34403699999999998</v>
      </c>
      <c r="L2378">
        <v>26</v>
      </c>
      <c r="M2378">
        <v>1</v>
      </c>
      <c r="N2378">
        <v>0</v>
      </c>
      <c r="O2378" t="s">
        <v>127</v>
      </c>
      <c r="P2378" t="s">
        <v>127</v>
      </c>
      <c r="Q2378" t="s">
        <v>127</v>
      </c>
    </row>
    <row r="2379" spans="1:17" x14ac:dyDescent="0.25">
      <c r="A2379" t="str">
        <f>IF(C2379&amp;G2379&amp;D2379&lt;&gt;'Funnel setup'!$K$3&amp;'Funnel setup'!$K$4&amp;'Funnel setup'!$K$6,".",IF(A2378=".",1,A2378+1))</f>
        <v>.</v>
      </c>
      <c r="B2379" s="244" t="str">
        <f t="shared" si="37"/>
        <v>Knee Replacement PrimaryProviderSAXON CLINIC (NT434)EQ-5D Index</v>
      </c>
      <c r="C2379" t="s">
        <v>969</v>
      </c>
      <c r="D2379" t="s">
        <v>965</v>
      </c>
      <c r="E2379" t="s">
        <v>500</v>
      </c>
      <c r="F2379" t="s">
        <v>501</v>
      </c>
      <c r="G2379" t="s">
        <v>963</v>
      </c>
      <c r="H2379">
        <v>12</v>
      </c>
      <c r="I2379">
        <v>0.32391700000000001</v>
      </c>
      <c r="J2379">
        <v>0.811917</v>
      </c>
      <c r="K2379">
        <v>0.48799999999999999</v>
      </c>
      <c r="L2379">
        <v>11</v>
      </c>
      <c r="M2379">
        <v>1</v>
      </c>
      <c r="N2379">
        <v>0</v>
      </c>
      <c r="O2379" t="s">
        <v>127</v>
      </c>
      <c r="P2379" t="s">
        <v>127</v>
      </c>
      <c r="Q2379" t="s">
        <v>127</v>
      </c>
    </row>
    <row r="2380" spans="1:17" x14ac:dyDescent="0.25">
      <c r="A2380" t="str">
        <f>IF(C2380&amp;G2380&amp;D2380&lt;&gt;'Funnel setup'!$K$3&amp;'Funnel setup'!$K$4&amp;'Funnel setup'!$K$6,".",IF(A2379=".",1,A2379+1))</f>
        <v>.</v>
      </c>
      <c r="B2380" s="244" t="str">
        <f t="shared" si="37"/>
        <v>Knee Replacement PrimaryProviderSHEFFIELD TEACHING HOSPITALS NHS FOUNDATION TRUST (RHQ)EQ-5D Index</v>
      </c>
      <c r="C2380" t="s">
        <v>969</v>
      </c>
      <c r="D2380" t="s">
        <v>965</v>
      </c>
      <c r="E2380" t="s">
        <v>506</v>
      </c>
      <c r="F2380" t="s">
        <v>507</v>
      </c>
      <c r="G2380" t="s">
        <v>963</v>
      </c>
      <c r="H2380">
        <v>32</v>
      </c>
      <c r="I2380">
        <v>0.45340599999999998</v>
      </c>
      <c r="J2380">
        <v>0.78034400000000004</v>
      </c>
      <c r="K2380">
        <v>0.32693699999999998</v>
      </c>
      <c r="L2380">
        <v>27</v>
      </c>
      <c r="M2380">
        <v>2</v>
      </c>
      <c r="N2380">
        <v>3</v>
      </c>
      <c r="O2380">
        <v>0.76298299999999997</v>
      </c>
      <c r="P2380">
        <v>0.33418799999999999</v>
      </c>
      <c r="Q2380">
        <v>0.20730399999999999</v>
      </c>
    </row>
    <row r="2381" spans="1:17" x14ac:dyDescent="0.25">
      <c r="A2381" t="str">
        <f>IF(C2381&amp;G2381&amp;D2381&lt;&gt;'Funnel setup'!$K$3&amp;'Funnel setup'!$K$4&amp;'Funnel setup'!$K$6,".",IF(A2380=".",1,A2380+1))</f>
        <v>.</v>
      </c>
      <c r="B2381" s="244" t="str">
        <f t="shared" si="37"/>
        <v>Knee Replacement PrimaryProviderSHERWOOD FOREST HOSPITALS NHS FOUNDATION TRUST (RK5)EQ-5D Index</v>
      </c>
      <c r="C2381" t="s">
        <v>969</v>
      </c>
      <c r="D2381" t="s">
        <v>965</v>
      </c>
      <c r="E2381" t="s">
        <v>508</v>
      </c>
      <c r="F2381" t="s">
        <v>509</v>
      </c>
      <c r="G2381" t="s">
        <v>963</v>
      </c>
      <c r="H2381">
        <v>61</v>
      </c>
      <c r="I2381">
        <v>0.40634399999999998</v>
      </c>
      <c r="J2381">
        <v>0.72929500000000003</v>
      </c>
      <c r="K2381">
        <v>0.32295099999999999</v>
      </c>
      <c r="L2381">
        <v>50</v>
      </c>
      <c r="M2381">
        <v>4</v>
      </c>
      <c r="N2381">
        <v>7</v>
      </c>
      <c r="O2381">
        <v>0.748054</v>
      </c>
      <c r="P2381">
        <v>0.31925799999999999</v>
      </c>
      <c r="Q2381">
        <v>0.22466</v>
      </c>
    </row>
    <row r="2382" spans="1:17" x14ac:dyDescent="0.25">
      <c r="A2382" t="str">
        <f>IF(C2382&amp;G2382&amp;D2382&lt;&gt;'Funnel setup'!$K$3&amp;'Funnel setup'!$K$4&amp;'Funnel setup'!$K$6,".",IF(A2381=".",1,A2381+1))</f>
        <v>.</v>
      </c>
      <c r="B2382" s="244" t="str">
        <f t="shared" si="37"/>
        <v>Knee Replacement PrimaryProviderSHIRLEY OAKS HOSPITAL (NT436)EQ-5D Index</v>
      </c>
      <c r="C2382" t="s">
        <v>969</v>
      </c>
      <c r="D2382" t="s">
        <v>965</v>
      </c>
      <c r="E2382" t="s">
        <v>510</v>
      </c>
      <c r="F2382" t="s">
        <v>511</v>
      </c>
      <c r="G2382" t="s">
        <v>963</v>
      </c>
      <c r="H2382">
        <v>3</v>
      </c>
      <c r="I2382">
        <v>0.63266699999999998</v>
      </c>
      <c r="J2382">
        <v>0.77800000000000002</v>
      </c>
      <c r="K2382">
        <v>0.14533299999999999</v>
      </c>
      <c r="L2382">
        <v>3</v>
      </c>
      <c r="M2382">
        <v>0</v>
      </c>
      <c r="N2382">
        <v>0</v>
      </c>
      <c r="O2382" t="s">
        <v>127</v>
      </c>
      <c r="P2382" t="s">
        <v>127</v>
      </c>
      <c r="Q2382" t="s">
        <v>127</v>
      </c>
    </row>
    <row r="2383" spans="1:17" x14ac:dyDescent="0.25">
      <c r="A2383" t="str">
        <f>IF(C2383&amp;G2383&amp;D2383&lt;&gt;'Funnel setup'!$K$3&amp;'Funnel setup'!$K$4&amp;'Funnel setup'!$K$6,".",IF(A2382=".",1,A2382+1))</f>
        <v>.</v>
      </c>
      <c r="B2383" s="244" t="str">
        <f t="shared" si="37"/>
        <v>Knee Replacement PrimaryProviderSOUTH TEES HOSPITALS NHS FOUNDATION TRUST (RTR)EQ-5D Index</v>
      </c>
      <c r="C2383" t="s">
        <v>969</v>
      </c>
      <c r="D2383" t="s">
        <v>965</v>
      </c>
      <c r="E2383" t="s">
        <v>516</v>
      </c>
      <c r="F2383" t="s">
        <v>517</v>
      </c>
      <c r="G2383" t="s">
        <v>963</v>
      </c>
      <c r="H2383">
        <v>109</v>
      </c>
      <c r="I2383">
        <v>0.29402800000000001</v>
      </c>
      <c r="J2383">
        <v>0.722028</v>
      </c>
      <c r="K2383">
        <v>0.42799999999999999</v>
      </c>
      <c r="L2383">
        <v>93</v>
      </c>
      <c r="M2383">
        <v>6</v>
      </c>
      <c r="N2383">
        <v>10</v>
      </c>
      <c r="O2383">
        <v>0.78440299999999996</v>
      </c>
      <c r="P2383">
        <v>0.35560799999999998</v>
      </c>
      <c r="Q2383">
        <v>0.28337600000000002</v>
      </c>
    </row>
    <row r="2384" spans="1:17" x14ac:dyDescent="0.25">
      <c r="A2384" t="str">
        <f>IF(C2384&amp;G2384&amp;D2384&lt;&gt;'Funnel setup'!$K$3&amp;'Funnel setup'!$K$4&amp;'Funnel setup'!$K$6,".",IF(A2383=".",1,A2383+1))</f>
        <v>.</v>
      </c>
      <c r="B2384" s="244" t="str">
        <f t="shared" si="37"/>
        <v>Knee Replacement PrimaryProviderSOUTH TYNESIDE AND SUNDERLAND NHS FOUNDATION TRUST (R0B)EQ-5D Index</v>
      </c>
      <c r="C2384" t="s">
        <v>969</v>
      </c>
      <c r="D2384" t="s">
        <v>965</v>
      </c>
      <c r="E2384" t="s">
        <v>518</v>
      </c>
      <c r="F2384" t="s">
        <v>519</v>
      </c>
      <c r="G2384" t="s">
        <v>963</v>
      </c>
      <c r="H2384">
        <v>6</v>
      </c>
      <c r="I2384">
        <v>0.23283300000000001</v>
      </c>
      <c r="J2384">
        <v>0.66349999999999998</v>
      </c>
      <c r="K2384">
        <v>0.43066700000000002</v>
      </c>
      <c r="L2384">
        <v>6</v>
      </c>
      <c r="M2384">
        <v>0</v>
      </c>
      <c r="N2384">
        <v>0</v>
      </c>
      <c r="O2384" t="s">
        <v>127</v>
      </c>
      <c r="P2384" t="s">
        <v>127</v>
      </c>
      <c r="Q2384" t="s">
        <v>127</v>
      </c>
    </row>
    <row r="2385" spans="1:17" x14ac:dyDescent="0.25">
      <c r="A2385" t="str">
        <f>IF(C2385&amp;G2385&amp;D2385&lt;&gt;'Funnel setup'!$K$3&amp;'Funnel setup'!$K$4&amp;'Funnel setup'!$K$6,".",IF(A2384=".",1,A2384+1))</f>
        <v>.</v>
      </c>
      <c r="B2385" s="244" t="str">
        <f t="shared" si="37"/>
        <v>Knee Replacement PrimaryProviderSOUTH WARWICKSHIRE UNIVERSITY NHS FOUNDATION TRUST (RJC)EQ-5D Index</v>
      </c>
      <c r="C2385" t="s">
        <v>969</v>
      </c>
      <c r="D2385" t="s">
        <v>965</v>
      </c>
      <c r="E2385" t="s">
        <v>520</v>
      </c>
      <c r="F2385" t="s">
        <v>521</v>
      </c>
      <c r="G2385" t="s">
        <v>963</v>
      </c>
      <c r="H2385">
        <v>147</v>
      </c>
      <c r="I2385">
        <v>0.486286</v>
      </c>
      <c r="J2385">
        <v>0.77625200000000005</v>
      </c>
      <c r="K2385">
        <v>0.289966</v>
      </c>
      <c r="L2385">
        <v>123</v>
      </c>
      <c r="M2385">
        <v>11</v>
      </c>
      <c r="N2385">
        <v>13</v>
      </c>
      <c r="O2385">
        <v>0.74932799999999999</v>
      </c>
      <c r="P2385">
        <v>0.32053199999999998</v>
      </c>
      <c r="Q2385">
        <v>0.24554400000000001</v>
      </c>
    </row>
    <row r="2386" spans="1:17" x14ac:dyDescent="0.25">
      <c r="A2386" t="str">
        <f>IF(C2386&amp;G2386&amp;D2386&lt;&gt;'Funnel setup'!$K$3&amp;'Funnel setup'!$K$4&amp;'Funnel setup'!$K$6,".",IF(A2385=".",1,A2385+1))</f>
        <v>.</v>
      </c>
      <c r="B2386" s="244" t="str">
        <f t="shared" si="37"/>
        <v>Knee Replacement PrimaryProviderSOUTHPORT AND ORMSKIRK HOSPITAL NHS TRUST (RVY)EQ-5D Index</v>
      </c>
      <c r="C2386" t="s">
        <v>969</v>
      </c>
      <c r="D2386" t="s">
        <v>965</v>
      </c>
      <c r="E2386" t="s">
        <v>522</v>
      </c>
      <c r="F2386" t="s">
        <v>523</v>
      </c>
      <c r="G2386" t="s">
        <v>963</v>
      </c>
      <c r="H2386">
        <v>10</v>
      </c>
      <c r="I2386">
        <v>0.54620000000000002</v>
      </c>
      <c r="J2386">
        <v>0.87519999999999998</v>
      </c>
      <c r="K2386">
        <v>0.32900000000000001</v>
      </c>
      <c r="L2386">
        <v>10</v>
      </c>
      <c r="M2386">
        <v>0</v>
      </c>
      <c r="N2386">
        <v>0</v>
      </c>
      <c r="O2386" t="s">
        <v>127</v>
      </c>
      <c r="P2386" t="s">
        <v>127</v>
      </c>
      <c r="Q2386" t="s">
        <v>127</v>
      </c>
    </row>
    <row r="2387" spans="1:17" x14ac:dyDescent="0.25">
      <c r="A2387" t="str">
        <f>IF(C2387&amp;G2387&amp;D2387&lt;&gt;'Funnel setup'!$K$3&amp;'Funnel setup'!$K$4&amp;'Funnel setup'!$K$6,".",IF(A2386=".",1,A2386+1))</f>
        <v>.</v>
      </c>
      <c r="B2387" s="244" t="str">
        <f t="shared" si="37"/>
        <v>Knee Replacement PrimaryProviderSPENCER PRIVATE HOSPITALS - MARGATE (NN801)EQ-5D Index</v>
      </c>
      <c r="C2387" t="s">
        <v>969</v>
      </c>
      <c r="D2387" t="s">
        <v>965</v>
      </c>
      <c r="E2387" t="s">
        <v>526</v>
      </c>
      <c r="F2387" t="s">
        <v>527</v>
      </c>
      <c r="G2387" t="s">
        <v>963</v>
      </c>
      <c r="H2387">
        <v>18</v>
      </c>
      <c r="I2387">
        <v>0.373444</v>
      </c>
      <c r="J2387">
        <v>0.77361100000000005</v>
      </c>
      <c r="K2387">
        <v>0.40016699999999999</v>
      </c>
      <c r="L2387">
        <v>15</v>
      </c>
      <c r="M2387">
        <v>3</v>
      </c>
      <c r="N2387">
        <v>0</v>
      </c>
      <c r="O2387" t="s">
        <v>127</v>
      </c>
      <c r="P2387" t="s">
        <v>127</v>
      </c>
      <c r="Q2387" t="s">
        <v>127</v>
      </c>
    </row>
    <row r="2388" spans="1:17" x14ac:dyDescent="0.25">
      <c r="A2388" t="str">
        <f>IF(C2388&amp;G2388&amp;D2388&lt;&gt;'Funnel setup'!$K$3&amp;'Funnel setup'!$K$4&amp;'Funnel setup'!$K$6,".",IF(A2387=".",1,A2387+1))</f>
        <v>.</v>
      </c>
      <c r="B2388" s="244" t="str">
        <f t="shared" si="37"/>
        <v>Knee Replacement PrimaryProviderSPIRE ALEXANDRA HOSPITAL (NT312)EQ-5D Index</v>
      </c>
      <c r="C2388" t="s">
        <v>969</v>
      </c>
      <c r="D2388" t="s">
        <v>965</v>
      </c>
      <c r="E2388" t="s">
        <v>528</v>
      </c>
      <c r="F2388" t="s">
        <v>529</v>
      </c>
      <c r="G2388" t="s">
        <v>963</v>
      </c>
      <c r="H2388">
        <v>26</v>
      </c>
      <c r="I2388">
        <v>0.63280800000000004</v>
      </c>
      <c r="J2388">
        <v>0.79142299999999999</v>
      </c>
      <c r="K2388">
        <v>0.15861500000000001</v>
      </c>
      <c r="L2388">
        <v>17</v>
      </c>
      <c r="M2388">
        <v>4</v>
      </c>
      <c r="N2388">
        <v>5</v>
      </c>
      <c r="O2388" t="s">
        <v>127</v>
      </c>
      <c r="P2388" t="s">
        <v>127</v>
      </c>
      <c r="Q2388" t="s">
        <v>127</v>
      </c>
    </row>
    <row r="2389" spans="1:17" x14ac:dyDescent="0.25">
      <c r="A2389" t="str">
        <f>IF(C2389&amp;G2389&amp;D2389&lt;&gt;'Funnel setup'!$K$3&amp;'Funnel setup'!$K$4&amp;'Funnel setup'!$K$6,".",IF(A2388=".",1,A2388+1))</f>
        <v>.</v>
      </c>
      <c r="B2389" s="244" t="str">
        <f t="shared" si="37"/>
        <v>Knee Replacement PrimaryProviderSPIRE BRISTOL HOSPITAL (NT302)EQ-5D Index</v>
      </c>
      <c r="C2389" t="s">
        <v>969</v>
      </c>
      <c r="D2389" t="s">
        <v>965</v>
      </c>
      <c r="E2389" t="s">
        <v>530</v>
      </c>
      <c r="F2389" t="s">
        <v>531</v>
      </c>
      <c r="G2389" t="s">
        <v>963</v>
      </c>
      <c r="H2389">
        <v>59</v>
      </c>
      <c r="I2389">
        <v>0.45649200000000001</v>
      </c>
      <c r="J2389">
        <v>0.77874600000000005</v>
      </c>
      <c r="K2389">
        <v>0.32225399999999998</v>
      </c>
      <c r="L2389">
        <v>48</v>
      </c>
      <c r="M2389">
        <v>6</v>
      </c>
      <c r="N2389">
        <v>5</v>
      </c>
      <c r="O2389">
        <v>0.76160600000000001</v>
      </c>
      <c r="P2389">
        <v>0.33280999999999999</v>
      </c>
      <c r="Q2389">
        <v>0.193657</v>
      </c>
    </row>
    <row r="2390" spans="1:17" x14ac:dyDescent="0.25">
      <c r="A2390" t="str">
        <f>IF(C2390&amp;G2390&amp;D2390&lt;&gt;'Funnel setup'!$K$3&amp;'Funnel setup'!$K$4&amp;'Funnel setup'!$K$6,".",IF(A2389=".",1,A2389+1))</f>
        <v>.</v>
      </c>
      <c r="B2390" s="244" t="str">
        <f t="shared" si="37"/>
        <v>Knee Replacement PrimaryProviderSPIRE BUSHEY HOSPITAL (NT315)EQ-5D Index</v>
      </c>
      <c r="C2390" t="s">
        <v>969</v>
      </c>
      <c r="D2390" t="s">
        <v>965</v>
      </c>
      <c r="E2390" t="s">
        <v>532</v>
      </c>
      <c r="F2390" t="s">
        <v>533</v>
      </c>
      <c r="G2390" t="s">
        <v>963</v>
      </c>
      <c r="H2390">
        <v>5</v>
      </c>
      <c r="I2390">
        <v>0.56999999999999995</v>
      </c>
      <c r="J2390">
        <v>0.85019999999999996</v>
      </c>
      <c r="K2390">
        <v>0.2802</v>
      </c>
      <c r="L2390">
        <v>4</v>
      </c>
      <c r="M2390">
        <v>1</v>
      </c>
      <c r="N2390">
        <v>0</v>
      </c>
      <c r="O2390" t="s">
        <v>127</v>
      </c>
      <c r="P2390" t="s">
        <v>127</v>
      </c>
      <c r="Q2390" t="s">
        <v>127</v>
      </c>
    </row>
    <row r="2391" spans="1:17" x14ac:dyDescent="0.25">
      <c r="A2391" t="str">
        <f>IF(C2391&amp;G2391&amp;D2391&lt;&gt;'Funnel setup'!$K$3&amp;'Funnel setup'!$K$4&amp;'Funnel setup'!$K$6,".",IF(A2390=".",1,A2390+1))</f>
        <v>.</v>
      </c>
      <c r="B2391" s="244" t="str">
        <f t="shared" si="37"/>
        <v>Knee Replacement PrimaryProviderSPIRE CAMBRIDGE LEA HOSPITAL (NT317)EQ-5D Index</v>
      </c>
      <c r="C2391" t="s">
        <v>969</v>
      </c>
      <c r="D2391" t="s">
        <v>965</v>
      </c>
      <c r="E2391" t="s">
        <v>534</v>
      </c>
      <c r="F2391" t="s">
        <v>535</v>
      </c>
      <c r="G2391" t="s">
        <v>963</v>
      </c>
      <c r="H2391">
        <v>29</v>
      </c>
      <c r="I2391">
        <v>0.49527599999999999</v>
      </c>
      <c r="J2391">
        <v>0.732379</v>
      </c>
      <c r="K2391">
        <v>0.23710300000000001</v>
      </c>
      <c r="L2391">
        <v>25</v>
      </c>
      <c r="M2391">
        <v>1</v>
      </c>
      <c r="N2391">
        <v>3</v>
      </c>
      <c r="O2391" t="s">
        <v>127</v>
      </c>
      <c r="P2391" t="s">
        <v>127</v>
      </c>
      <c r="Q2391" t="s">
        <v>127</v>
      </c>
    </row>
    <row r="2392" spans="1:17" x14ac:dyDescent="0.25">
      <c r="A2392" t="str">
        <f>IF(C2392&amp;G2392&amp;D2392&lt;&gt;'Funnel setup'!$K$3&amp;'Funnel setup'!$K$4&amp;'Funnel setup'!$K$6,".",IF(A2391=".",1,A2391+1))</f>
        <v>.</v>
      </c>
      <c r="B2392" s="244" t="str">
        <f t="shared" si="37"/>
        <v>Knee Replacement PrimaryProviderSPIRE CHESHIRE HOSPITAL (NT324)EQ-5D Index</v>
      </c>
      <c r="C2392" t="s">
        <v>969</v>
      </c>
      <c r="D2392" t="s">
        <v>965</v>
      </c>
      <c r="E2392" t="s">
        <v>536</v>
      </c>
      <c r="F2392" t="s">
        <v>537</v>
      </c>
      <c r="G2392" t="s">
        <v>963</v>
      </c>
      <c r="H2392">
        <v>31</v>
      </c>
      <c r="I2392">
        <v>0.46606500000000001</v>
      </c>
      <c r="J2392">
        <v>0.81554800000000005</v>
      </c>
      <c r="K2392">
        <v>0.34948400000000002</v>
      </c>
      <c r="L2392">
        <v>26</v>
      </c>
      <c r="M2392">
        <v>2</v>
      </c>
      <c r="N2392">
        <v>3</v>
      </c>
      <c r="O2392">
        <v>0.78694799999999998</v>
      </c>
      <c r="P2392">
        <v>0.35815200000000003</v>
      </c>
      <c r="Q2392">
        <v>0.14704100000000001</v>
      </c>
    </row>
    <row r="2393" spans="1:17" x14ac:dyDescent="0.25">
      <c r="A2393" t="str">
        <f>IF(C2393&amp;G2393&amp;D2393&lt;&gt;'Funnel setup'!$K$3&amp;'Funnel setup'!$K$4&amp;'Funnel setup'!$K$6,".",IF(A2392=".",1,A2392+1))</f>
        <v>.</v>
      </c>
      <c r="B2393" s="244" t="str">
        <f t="shared" si="37"/>
        <v>Knee Replacement PrimaryProviderSPIRE CLARE PARK HOSPITAL (NT345)EQ-5D Index</v>
      </c>
      <c r="C2393" t="s">
        <v>969</v>
      </c>
      <c r="D2393" t="s">
        <v>965</v>
      </c>
      <c r="E2393" t="s">
        <v>538</v>
      </c>
      <c r="F2393" t="s">
        <v>539</v>
      </c>
      <c r="G2393" t="s">
        <v>963</v>
      </c>
      <c r="H2393">
        <v>15</v>
      </c>
      <c r="I2393">
        <v>0.440133</v>
      </c>
      <c r="J2393">
        <v>0.75926700000000003</v>
      </c>
      <c r="K2393">
        <v>0.319133</v>
      </c>
      <c r="L2393">
        <v>11</v>
      </c>
      <c r="M2393">
        <v>2</v>
      </c>
      <c r="N2393">
        <v>2</v>
      </c>
      <c r="O2393" t="s">
        <v>127</v>
      </c>
      <c r="P2393" t="s">
        <v>127</v>
      </c>
      <c r="Q2393" t="s">
        <v>127</v>
      </c>
    </row>
    <row r="2394" spans="1:17" x14ac:dyDescent="0.25">
      <c r="A2394" t="str">
        <f>IF(C2394&amp;G2394&amp;D2394&lt;&gt;'Funnel setup'!$K$3&amp;'Funnel setup'!$K$4&amp;'Funnel setup'!$K$6,".",IF(A2393=".",1,A2393+1))</f>
        <v>.</v>
      </c>
      <c r="B2394" s="244" t="str">
        <f t="shared" si="37"/>
        <v>Knee Replacement PrimaryProviderSPIRE DUNEDIN HOSPITAL (NT344)EQ-5D Index</v>
      </c>
      <c r="C2394" t="s">
        <v>969</v>
      </c>
      <c r="D2394" t="s">
        <v>965</v>
      </c>
      <c r="E2394" t="s">
        <v>540</v>
      </c>
      <c r="F2394" t="s">
        <v>541</v>
      </c>
      <c r="G2394" t="s">
        <v>963</v>
      </c>
      <c r="H2394">
        <v>2</v>
      </c>
      <c r="I2394">
        <v>0.63900000000000001</v>
      </c>
      <c r="J2394">
        <v>0.79600000000000004</v>
      </c>
      <c r="K2394">
        <v>0.157</v>
      </c>
      <c r="L2394">
        <v>2</v>
      </c>
      <c r="M2394">
        <v>0</v>
      </c>
      <c r="N2394">
        <v>0</v>
      </c>
      <c r="O2394" t="s">
        <v>127</v>
      </c>
      <c r="P2394" t="s">
        <v>127</v>
      </c>
      <c r="Q2394" t="s">
        <v>127</v>
      </c>
    </row>
    <row r="2395" spans="1:17" x14ac:dyDescent="0.25">
      <c r="A2395" t="str">
        <f>IF(C2395&amp;G2395&amp;D2395&lt;&gt;'Funnel setup'!$K$3&amp;'Funnel setup'!$K$4&amp;'Funnel setup'!$K$6,".",IF(A2394=".",1,A2394+1))</f>
        <v>.</v>
      </c>
      <c r="B2395" s="244" t="str">
        <f t="shared" si="37"/>
        <v>Knee Replacement PrimaryProviderSPIRE ELLAND HOSPITAL (NT348)EQ-5D Index</v>
      </c>
      <c r="C2395" t="s">
        <v>969</v>
      </c>
      <c r="D2395" t="s">
        <v>965</v>
      </c>
      <c r="E2395" t="s">
        <v>542</v>
      </c>
      <c r="F2395" t="s">
        <v>543</v>
      </c>
      <c r="G2395" t="s">
        <v>963</v>
      </c>
      <c r="H2395">
        <v>19</v>
      </c>
      <c r="I2395">
        <v>0.45389499999999999</v>
      </c>
      <c r="J2395">
        <v>0.795211</v>
      </c>
      <c r="K2395">
        <v>0.34131600000000001</v>
      </c>
      <c r="L2395">
        <v>16</v>
      </c>
      <c r="M2395">
        <v>2</v>
      </c>
      <c r="N2395">
        <v>1</v>
      </c>
      <c r="O2395" t="s">
        <v>127</v>
      </c>
      <c r="P2395" t="s">
        <v>127</v>
      </c>
      <c r="Q2395" t="s">
        <v>127</v>
      </c>
    </row>
    <row r="2396" spans="1:17" x14ac:dyDescent="0.25">
      <c r="A2396" t="str">
        <f>IF(C2396&amp;G2396&amp;D2396&lt;&gt;'Funnel setup'!$K$3&amp;'Funnel setup'!$K$4&amp;'Funnel setup'!$K$6,".",IF(A2395=".",1,A2395+1))</f>
        <v>.</v>
      </c>
      <c r="B2396" s="244" t="str">
        <f t="shared" si="37"/>
        <v>Knee Replacement PrimaryProviderSPIRE FYLDE COAST HOSPITAL (NT347)EQ-5D Index</v>
      </c>
      <c r="C2396" t="s">
        <v>969</v>
      </c>
      <c r="D2396" t="s">
        <v>965</v>
      </c>
      <c r="E2396" t="s">
        <v>544</v>
      </c>
      <c r="F2396" t="s">
        <v>545</v>
      </c>
      <c r="G2396" t="s">
        <v>963</v>
      </c>
      <c r="H2396">
        <v>27</v>
      </c>
      <c r="I2396">
        <v>0.53733299999999995</v>
      </c>
      <c r="J2396">
        <v>0.75470400000000004</v>
      </c>
      <c r="K2396">
        <v>0.21737000000000001</v>
      </c>
      <c r="L2396">
        <v>23</v>
      </c>
      <c r="M2396">
        <v>2</v>
      </c>
      <c r="N2396">
        <v>2</v>
      </c>
      <c r="O2396" t="s">
        <v>127</v>
      </c>
      <c r="P2396" t="s">
        <v>127</v>
      </c>
      <c r="Q2396" t="s">
        <v>127</v>
      </c>
    </row>
    <row r="2397" spans="1:17" x14ac:dyDescent="0.25">
      <c r="A2397" t="str">
        <f>IF(C2397&amp;G2397&amp;D2397&lt;&gt;'Funnel setup'!$K$3&amp;'Funnel setup'!$K$4&amp;'Funnel setup'!$K$6,".",IF(A2396=".",1,A2396+1))</f>
        <v>.</v>
      </c>
      <c r="B2397" s="244" t="str">
        <f t="shared" si="37"/>
        <v>Knee Replacement PrimaryProviderSPIRE GATWICK PARK HOSPITAL (NT308)EQ-5D Index</v>
      </c>
      <c r="C2397" t="s">
        <v>969</v>
      </c>
      <c r="D2397" t="s">
        <v>965</v>
      </c>
      <c r="E2397" t="s">
        <v>546</v>
      </c>
      <c r="F2397" t="s">
        <v>547</v>
      </c>
      <c r="G2397" t="s">
        <v>963</v>
      </c>
      <c r="H2397">
        <v>6</v>
      </c>
      <c r="I2397">
        <v>0.45533299999999999</v>
      </c>
      <c r="J2397">
        <v>0.65949999999999998</v>
      </c>
      <c r="K2397">
        <v>0.20416699999999999</v>
      </c>
      <c r="L2397">
        <v>5</v>
      </c>
      <c r="M2397">
        <v>1</v>
      </c>
      <c r="N2397">
        <v>0</v>
      </c>
      <c r="O2397" t="s">
        <v>127</v>
      </c>
      <c r="P2397" t="s">
        <v>127</v>
      </c>
      <c r="Q2397" t="s">
        <v>127</v>
      </c>
    </row>
    <row r="2398" spans="1:17" x14ac:dyDescent="0.25">
      <c r="A2398" t="str">
        <f>IF(C2398&amp;G2398&amp;D2398&lt;&gt;'Funnel setup'!$K$3&amp;'Funnel setup'!$K$4&amp;'Funnel setup'!$K$6,".",IF(A2397=".",1,A2397+1))</f>
        <v>.</v>
      </c>
      <c r="B2398" s="244" t="str">
        <f t="shared" si="37"/>
        <v>Knee Replacement PrimaryProviderSPIRE HARPENDEN HOSPITAL (NT316)EQ-5D Index</v>
      </c>
      <c r="C2398" t="s">
        <v>969</v>
      </c>
      <c r="D2398" t="s">
        <v>965</v>
      </c>
      <c r="E2398" t="s">
        <v>548</v>
      </c>
      <c r="F2398" t="s">
        <v>549</v>
      </c>
      <c r="G2398" t="s">
        <v>963</v>
      </c>
      <c r="H2398">
        <v>19</v>
      </c>
      <c r="I2398">
        <v>0.38526300000000002</v>
      </c>
      <c r="J2398">
        <v>0.77100000000000002</v>
      </c>
      <c r="K2398">
        <v>0.385737</v>
      </c>
      <c r="L2398">
        <v>14</v>
      </c>
      <c r="M2398">
        <v>4</v>
      </c>
      <c r="N2398">
        <v>1</v>
      </c>
      <c r="O2398" t="s">
        <v>127</v>
      </c>
      <c r="P2398" t="s">
        <v>127</v>
      </c>
      <c r="Q2398" t="s">
        <v>127</v>
      </c>
    </row>
    <row r="2399" spans="1:17" x14ac:dyDescent="0.25">
      <c r="A2399" t="str">
        <f>IF(C2399&amp;G2399&amp;D2399&lt;&gt;'Funnel setup'!$K$3&amp;'Funnel setup'!$K$4&amp;'Funnel setup'!$K$6,".",IF(A2398=".",1,A2398+1))</f>
        <v>.</v>
      </c>
      <c r="B2399" s="244" t="str">
        <f t="shared" si="37"/>
        <v>Knee Replacement PrimaryProviderSPIRE HARTSWOOD HOSPITAL (NT319)EQ-5D Index</v>
      </c>
      <c r="C2399" t="s">
        <v>969</v>
      </c>
      <c r="D2399" t="s">
        <v>965</v>
      </c>
      <c r="E2399" t="s">
        <v>550</v>
      </c>
      <c r="F2399" t="s">
        <v>551</v>
      </c>
      <c r="G2399" t="s">
        <v>963</v>
      </c>
      <c r="H2399">
        <v>12</v>
      </c>
      <c r="I2399">
        <v>0.61408300000000005</v>
      </c>
      <c r="J2399">
        <v>0.782833</v>
      </c>
      <c r="K2399">
        <v>0.16875000000000001</v>
      </c>
      <c r="L2399">
        <v>12</v>
      </c>
      <c r="M2399">
        <v>0</v>
      </c>
      <c r="N2399">
        <v>0</v>
      </c>
      <c r="O2399" t="s">
        <v>127</v>
      </c>
      <c r="P2399" t="s">
        <v>127</v>
      </c>
      <c r="Q2399" t="s">
        <v>127</v>
      </c>
    </row>
    <row r="2400" spans="1:17" x14ac:dyDescent="0.25">
      <c r="A2400" t="str">
        <f>IF(C2400&amp;G2400&amp;D2400&lt;&gt;'Funnel setup'!$K$3&amp;'Funnel setup'!$K$4&amp;'Funnel setup'!$K$6,".",IF(A2399=".",1,A2399+1))</f>
        <v>.</v>
      </c>
      <c r="B2400" s="244" t="str">
        <f t="shared" si="37"/>
        <v>Knee Replacement PrimaryProviderSPIRE HULL AND EAST RIDING HOSPITAL (NT351)EQ-5D Index</v>
      </c>
      <c r="C2400" t="s">
        <v>969</v>
      </c>
      <c r="D2400" t="s">
        <v>965</v>
      </c>
      <c r="E2400" t="s">
        <v>554</v>
      </c>
      <c r="F2400" t="s">
        <v>555</v>
      </c>
      <c r="G2400" t="s">
        <v>963</v>
      </c>
      <c r="H2400">
        <v>36</v>
      </c>
      <c r="I2400">
        <v>0.44230599999999998</v>
      </c>
      <c r="J2400">
        <v>0.73433300000000001</v>
      </c>
      <c r="K2400">
        <v>0.29202800000000001</v>
      </c>
      <c r="L2400">
        <v>28</v>
      </c>
      <c r="M2400">
        <v>6</v>
      </c>
      <c r="N2400">
        <v>2</v>
      </c>
      <c r="O2400">
        <v>0.72512399999999999</v>
      </c>
      <c r="P2400">
        <v>0.29632900000000001</v>
      </c>
      <c r="Q2400">
        <v>0.20333599999999999</v>
      </c>
    </row>
    <row r="2401" spans="1:17" x14ac:dyDescent="0.25">
      <c r="A2401" t="str">
        <f>IF(C2401&amp;G2401&amp;D2401&lt;&gt;'Funnel setup'!$K$3&amp;'Funnel setup'!$K$4&amp;'Funnel setup'!$K$6,".",IF(A2400=".",1,A2400+1))</f>
        <v>.</v>
      </c>
      <c r="B2401" s="244" t="str">
        <f t="shared" si="37"/>
        <v>Knee Replacement PrimaryProviderSPIRE LEEDS HOSPITAL (NT332)EQ-5D Index</v>
      </c>
      <c r="C2401" t="s">
        <v>969</v>
      </c>
      <c r="D2401" t="s">
        <v>965</v>
      </c>
      <c r="E2401" t="s">
        <v>556</v>
      </c>
      <c r="F2401" t="s">
        <v>557</v>
      </c>
      <c r="G2401" t="s">
        <v>963</v>
      </c>
      <c r="H2401">
        <v>14</v>
      </c>
      <c r="I2401">
        <v>0.51035699999999995</v>
      </c>
      <c r="J2401">
        <v>0.70292900000000003</v>
      </c>
      <c r="K2401">
        <v>0.19257099999999999</v>
      </c>
      <c r="L2401">
        <v>10</v>
      </c>
      <c r="M2401">
        <v>3</v>
      </c>
      <c r="N2401">
        <v>1</v>
      </c>
      <c r="O2401" t="s">
        <v>127</v>
      </c>
      <c r="P2401" t="s">
        <v>127</v>
      </c>
      <c r="Q2401" t="s">
        <v>127</v>
      </c>
    </row>
    <row r="2402" spans="1:17" x14ac:dyDescent="0.25">
      <c r="A2402" t="str">
        <f>IF(C2402&amp;G2402&amp;D2402&lt;&gt;'Funnel setup'!$K$3&amp;'Funnel setup'!$K$4&amp;'Funnel setup'!$K$6,".",IF(A2401=".",1,A2401+1))</f>
        <v>.</v>
      </c>
      <c r="B2402" s="244" t="str">
        <f t="shared" si="37"/>
        <v>Knee Replacement PrimaryProviderSPIRE LEICESTER HOSPITAL (NT322)EQ-5D Index</v>
      </c>
      <c r="C2402" t="s">
        <v>969</v>
      </c>
      <c r="D2402" t="s">
        <v>965</v>
      </c>
      <c r="E2402" t="s">
        <v>558</v>
      </c>
      <c r="F2402" t="s">
        <v>559</v>
      </c>
      <c r="G2402" t="s">
        <v>963</v>
      </c>
      <c r="H2402">
        <v>58</v>
      </c>
      <c r="I2402">
        <v>0.43506899999999998</v>
      </c>
      <c r="J2402">
        <v>0.75437900000000002</v>
      </c>
      <c r="K2402">
        <v>0.31930999999999998</v>
      </c>
      <c r="L2402">
        <v>48</v>
      </c>
      <c r="M2402">
        <v>6</v>
      </c>
      <c r="N2402">
        <v>4</v>
      </c>
      <c r="O2402">
        <v>0.74030399999999996</v>
      </c>
      <c r="P2402">
        <v>0.31150800000000001</v>
      </c>
      <c r="Q2402">
        <v>0.16564799999999999</v>
      </c>
    </row>
    <row r="2403" spans="1:17" x14ac:dyDescent="0.25">
      <c r="A2403" t="str">
        <f>IF(C2403&amp;G2403&amp;D2403&lt;&gt;'Funnel setup'!$K$3&amp;'Funnel setup'!$K$4&amp;'Funnel setup'!$K$6,".",IF(A2402=".",1,A2402+1))</f>
        <v>.</v>
      </c>
      <c r="B2403" s="244" t="str">
        <f t="shared" si="37"/>
        <v>Knee Replacement PrimaryProviderSPIRE LITTLE ASTON HOSPITAL (NT321)EQ-5D Index</v>
      </c>
      <c r="C2403" t="s">
        <v>969</v>
      </c>
      <c r="D2403" t="s">
        <v>965</v>
      </c>
      <c r="E2403" t="s">
        <v>560</v>
      </c>
      <c r="F2403" t="s">
        <v>561</v>
      </c>
      <c r="G2403" t="s">
        <v>963</v>
      </c>
      <c r="H2403">
        <v>21</v>
      </c>
      <c r="I2403">
        <v>0.47342899999999999</v>
      </c>
      <c r="J2403">
        <v>0.73933300000000002</v>
      </c>
      <c r="K2403">
        <v>0.265905</v>
      </c>
      <c r="L2403">
        <v>15</v>
      </c>
      <c r="M2403">
        <v>2</v>
      </c>
      <c r="N2403">
        <v>4</v>
      </c>
      <c r="O2403" t="s">
        <v>127</v>
      </c>
      <c r="P2403" t="s">
        <v>127</v>
      </c>
      <c r="Q2403" t="s">
        <v>127</v>
      </c>
    </row>
    <row r="2404" spans="1:17" x14ac:dyDescent="0.25">
      <c r="A2404" t="str">
        <f>IF(C2404&amp;G2404&amp;D2404&lt;&gt;'Funnel setup'!$K$3&amp;'Funnel setup'!$K$4&amp;'Funnel setup'!$K$6,".",IF(A2403=".",1,A2403+1))</f>
        <v>.</v>
      </c>
      <c r="B2404" s="244" t="str">
        <f t="shared" si="37"/>
        <v>Knee Replacement PrimaryProviderSPIRE LIVERPOOL HOSPITAL (NT337)EQ-5D Index</v>
      </c>
      <c r="C2404" t="s">
        <v>969</v>
      </c>
      <c r="D2404" t="s">
        <v>965</v>
      </c>
      <c r="E2404" t="s">
        <v>562</v>
      </c>
      <c r="F2404" t="s">
        <v>563</v>
      </c>
      <c r="G2404" t="s">
        <v>963</v>
      </c>
      <c r="H2404">
        <v>13</v>
      </c>
      <c r="I2404">
        <v>0.44238499999999997</v>
      </c>
      <c r="J2404">
        <v>0.61046199999999995</v>
      </c>
      <c r="K2404">
        <v>0.168077</v>
      </c>
      <c r="L2404">
        <v>9</v>
      </c>
      <c r="M2404">
        <v>3</v>
      </c>
      <c r="N2404">
        <v>1</v>
      </c>
      <c r="O2404" t="s">
        <v>127</v>
      </c>
      <c r="P2404" t="s">
        <v>127</v>
      </c>
      <c r="Q2404" t="s">
        <v>127</v>
      </c>
    </row>
    <row r="2405" spans="1:17" x14ac:dyDescent="0.25">
      <c r="A2405" t="str">
        <f>IF(C2405&amp;G2405&amp;D2405&lt;&gt;'Funnel setup'!$K$3&amp;'Funnel setup'!$K$4&amp;'Funnel setup'!$K$6,".",IF(A2404=".",1,A2404+1))</f>
        <v>.</v>
      </c>
      <c r="B2405" s="244" t="str">
        <f t="shared" si="37"/>
        <v>Knee Replacement PrimaryProviderSPIRE MANCHESTER HOSPITAL (NT327)EQ-5D Index</v>
      </c>
      <c r="C2405" t="s">
        <v>969</v>
      </c>
      <c r="D2405" t="s">
        <v>965</v>
      </c>
      <c r="E2405" t="s">
        <v>566</v>
      </c>
      <c r="F2405" t="s">
        <v>567</v>
      </c>
      <c r="G2405" t="s">
        <v>963</v>
      </c>
      <c r="H2405">
        <v>37</v>
      </c>
      <c r="I2405">
        <v>0.391486</v>
      </c>
      <c r="J2405">
        <v>0.69594599999999995</v>
      </c>
      <c r="K2405">
        <v>0.30445899999999998</v>
      </c>
      <c r="L2405">
        <v>26</v>
      </c>
      <c r="M2405">
        <v>8</v>
      </c>
      <c r="N2405">
        <v>3</v>
      </c>
      <c r="O2405">
        <v>0.70940000000000003</v>
      </c>
      <c r="P2405">
        <v>0.28060400000000002</v>
      </c>
      <c r="Q2405">
        <v>0.23746</v>
      </c>
    </row>
    <row r="2406" spans="1:17" x14ac:dyDescent="0.25">
      <c r="A2406" t="str">
        <f>IF(C2406&amp;G2406&amp;D2406&lt;&gt;'Funnel setup'!$K$3&amp;'Funnel setup'!$K$4&amp;'Funnel setup'!$K$6,".",IF(A2405=".",1,A2405+1))</f>
        <v>.</v>
      </c>
      <c r="B2406" s="244" t="str">
        <f t="shared" si="37"/>
        <v>Knee Replacement PrimaryProviderSPIRE METHLEY PARK HOSPITAL (NT350)EQ-5D Index</v>
      </c>
      <c r="C2406" t="s">
        <v>969</v>
      </c>
      <c r="D2406" t="s">
        <v>965</v>
      </c>
      <c r="E2406" t="s">
        <v>568</v>
      </c>
      <c r="F2406" t="s">
        <v>569</v>
      </c>
      <c r="G2406" t="s">
        <v>963</v>
      </c>
      <c r="H2406">
        <v>32</v>
      </c>
      <c r="I2406">
        <v>0.52293800000000001</v>
      </c>
      <c r="J2406">
        <v>0.79640599999999995</v>
      </c>
      <c r="K2406">
        <v>0.27346900000000002</v>
      </c>
      <c r="L2406">
        <v>29</v>
      </c>
      <c r="M2406">
        <v>3</v>
      </c>
      <c r="N2406">
        <v>0</v>
      </c>
      <c r="O2406">
        <v>0.74100100000000002</v>
      </c>
      <c r="P2406">
        <v>0.31220599999999998</v>
      </c>
      <c r="Q2406">
        <v>0.170793</v>
      </c>
    </row>
    <row r="2407" spans="1:17" x14ac:dyDescent="0.25">
      <c r="A2407" t="str">
        <f>IF(C2407&amp;G2407&amp;D2407&lt;&gt;'Funnel setup'!$K$3&amp;'Funnel setup'!$K$4&amp;'Funnel setup'!$K$6,".",IF(A2406=".",1,A2406+1))</f>
        <v>.</v>
      </c>
      <c r="B2407" s="244" t="str">
        <f t="shared" si="37"/>
        <v>Knee Replacement PrimaryProviderSPIRE MONTEFIORE HOSPITAL (NT364)EQ-5D Index</v>
      </c>
      <c r="C2407" t="s">
        <v>969</v>
      </c>
      <c r="D2407" t="s">
        <v>965</v>
      </c>
      <c r="E2407" t="s">
        <v>570</v>
      </c>
      <c r="F2407" t="s">
        <v>571</v>
      </c>
      <c r="G2407" t="s">
        <v>963</v>
      </c>
      <c r="H2407">
        <v>10</v>
      </c>
      <c r="I2407">
        <v>0.57869999999999999</v>
      </c>
      <c r="J2407">
        <v>0.89049999999999996</v>
      </c>
      <c r="K2407">
        <v>0.31180000000000002</v>
      </c>
      <c r="L2407">
        <v>9</v>
      </c>
      <c r="M2407">
        <v>1</v>
      </c>
      <c r="N2407">
        <v>0</v>
      </c>
      <c r="O2407" t="s">
        <v>127</v>
      </c>
      <c r="P2407" t="s">
        <v>127</v>
      </c>
      <c r="Q2407" t="s">
        <v>127</v>
      </c>
    </row>
    <row r="2408" spans="1:17" x14ac:dyDescent="0.25">
      <c r="A2408" t="str">
        <f>IF(C2408&amp;G2408&amp;D2408&lt;&gt;'Funnel setup'!$K$3&amp;'Funnel setup'!$K$4&amp;'Funnel setup'!$K$6,".",IF(A2407=".",1,A2407+1))</f>
        <v>.</v>
      </c>
      <c r="B2408" s="244" t="str">
        <f t="shared" si="37"/>
        <v>Knee Replacement PrimaryProviderSPIRE MURRAYFIELD HOSPITAL (NT325)EQ-5D Index</v>
      </c>
      <c r="C2408" t="s">
        <v>969</v>
      </c>
      <c r="D2408" t="s">
        <v>965</v>
      </c>
      <c r="E2408" t="s">
        <v>572</v>
      </c>
      <c r="F2408" t="s">
        <v>573</v>
      </c>
      <c r="G2408" t="s">
        <v>963</v>
      </c>
      <c r="H2408">
        <v>3</v>
      </c>
      <c r="I2408">
        <v>0.49433300000000002</v>
      </c>
      <c r="J2408">
        <v>1</v>
      </c>
      <c r="K2408">
        <v>0.50566699999999998</v>
      </c>
      <c r="L2408">
        <v>3</v>
      </c>
      <c r="M2408">
        <v>0</v>
      </c>
      <c r="N2408">
        <v>0</v>
      </c>
      <c r="O2408" t="s">
        <v>127</v>
      </c>
      <c r="P2408" t="s">
        <v>127</v>
      </c>
      <c r="Q2408" t="s">
        <v>127</v>
      </c>
    </row>
    <row r="2409" spans="1:17" x14ac:dyDescent="0.25">
      <c r="A2409" t="str">
        <f>IF(C2409&amp;G2409&amp;D2409&lt;&gt;'Funnel setup'!$K$3&amp;'Funnel setup'!$K$4&amp;'Funnel setup'!$K$6,".",IF(A2408=".",1,A2408+1))</f>
        <v>.</v>
      </c>
      <c r="B2409" s="244" t="str">
        <f t="shared" si="37"/>
        <v>Knee Replacement PrimaryProviderSPIRE NOTTINGHAM HOSPITAL (NT30A)EQ-5D Index</v>
      </c>
      <c r="C2409" t="s">
        <v>969</v>
      </c>
      <c r="D2409" t="s">
        <v>965</v>
      </c>
      <c r="E2409" t="s">
        <v>576</v>
      </c>
      <c r="F2409" t="s">
        <v>577</v>
      </c>
      <c r="G2409" t="s">
        <v>963</v>
      </c>
      <c r="H2409">
        <v>10</v>
      </c>
      <c r="I2409">
        <v>0.61819999999999997</v>
      </c>
      <c r="J2409">
        <v>0.82950000000000002</v>
      </c>
      <c r="K2409">
        <v>0.21129999999999999</v>
      </c>
      <c r="L2409">
        <v>7</v>
      </c>
      <c r="M2409">
        <v>2</v>
      </c>
      <c r="N2409">
        <v>1</v>
      </c>
      <c r="O2409" t="s">
        <v>127</v>
      </c>
      <c r="P2409" t="s">
        <v>127</v>
      </c>
      <c r="Q2409" t="s">
        <v>127</v>
      </c>
    </row>
    <row r="2410" spans="1:17" x14ac:dyDescent="0.25">
      <c r="A2410" t="str">
        <f>IF(C2410&amp;G2410&amp;D2410&lt;&gt;'Funnel setup'!$K$3&amp;'Funnel setup'!$K$4&amp;'Funnel setup'!$K$6,".",IF(A2409=".",1,A2409+1))</f>
        <v>.</v>
      </c>
      <c r="B2410" s="244" t="str">
        <f t="shared" si="37"/>
        <v>Knee Replacement PrimaryProviderSPIRE PARKWAY HOSPITAL (NT320)EQ-5D Index</v>
      </c>
      <c r="C2410" t="s">
        <v>969</v>
      </c>
      <c r="D2410" t="s">
        <v>965</v>
      </c>
      <c r="E2410" t="s">
        <v>578</v>
      </c>
      <c r="F2410" t="s">
        <v>579</v>
      </c>
      <c r="G2410" t="s">
        <v>963</v>
      </c>
      <c r="H2410">
        <v>16</v>
      </c>
      <c r="I2410">
        <v>0.48225000000000001</v>
      </c>
      <c r="J2410">
        <v>0.71156299999999995</v>
      </c>
      <c r="K2410">
        <v>0.22931299999999999</v>
      </c>
      <c r="L2410">
        <v>12</v>
      </c>
      <c r="M2410">
        <v>3</v>
      </c>
      <c r="N2410">
        <v>1</v>
      </c>
      <c r="O2410" t="s">
        <v>127</v>
      </c>
      <c r="P2410" t="s">
        <v>127</v>
      </c>
      <c r="Q2410" t="s">
        <v>127</v>
      </c>
    </row>
    <row r="2411" spans="1:17" x14ac:dyDescent="0.25">
      <c r="A2411" t="str">
        <f>IF(C2411&amp;G2411&amp;D2411&lt;&gt;'Funnel setup'!$K$3&amp;'Funnel setup'!$K$4&amp;'Funnel setup'!$K$6,".",IF(A2410=".",1,A2410+1))</f>
        <v>.</v>
      </c>
      <c r="B2411" s="244" t="str">
        <f t="shared" si="37"/>
        <v>Knee Replacement PrimaryProviderSPIRE PORTSMOUTH HOSPITAL (NT305)EQ-5D Index</v>
      </c>
      <c r="C2411" t="s">
        <v>969</v>
      </c>
      <c r="D2411" t="s">
        <v>965</v>
      </c>
      <c r="E2411" t="s">
        <v>580</v>
      </c>
      <c r="F2411" t="s">
        <v>581</v>
      </c>
      <c r="G2411" t="s">
        <v>963</v>
      </c>
      <c r="H2411">
        <v>15</v>
      </c>
      <c r="I2411">
        <v>0.42806699999999998</v>
      </c>
      <c r="J2411">
        <v>0.69320000000000004</v>
      </c>
      <c r="K2411">
        <v>0.26513300000000001</v>
      </c>
      <c r="L2411">
        <v>11</v>
      </c>
      <c r="M2411">
        <v>1</v>
      </c>
      <c r="N2411">
        <v>3</v>
      </c>
      <c r="O2411" t="s">
        <v>127</v>
      </c>
      <c r="P2411" t="s">
        <v>127</v>
      </c>
      <c r="Q2411" t="s">
        <v>127</v>
      </c>
    </row>
    <row r="2412" spans="1:17" x14ac:dyDescent="0.25">
      <c r="A2412" t="str">
        <f>IF(C2412&amp;G2412&amp;D2412&lt;&gt;'Funnel setup'!$K$3&amp;'Funnel setup'!$K$4&amp;'Funnel setup'!$K$6,".",IF(A2411=".",1,A2411+1))</f>
        <v>.</v>
      </c>
      <c r="B2412" s="244" t="str">
        <f t="shared" si="37"/>
        <v>Knee Replacement PrimaryProviderSPIRE REGENCY HOSPITAL (NT339)EQ-5D Index</v>
      </c>
      <c r="C2412" t="s">
        <v>969</v>
      </c>
      <c r="D2412" t="s">
        <v>965</v>
      </c>
      <c r="E2412" t="s">
        <v>582</v>
      </c>
      <c r="F2412" t="s">
        <v>583</v>
      </c>
      <c r="G2412" t="s">
        <v>963</v>
      </c>
      <c r="H2412">
        <v>43</v>
      </c>
      <c r="I2412">
        <v>0.50183699999999998</v>
      </c>
      <c r="J2412">
        <v>0.75460499999999997</v>
      </c>
      <c r="K2412">
        <v>0.25276700000000002</v>
      </c>
      <c r="L2412">
        <v>36</v>
      </c>
      <c r="M2412">
        <v>4</v>
      </c>
      <c r="N2412">
        <v>3</v>
      </c>
      <c r="O2412">
        <v>0.71940899999999997</v>
      </c>
      <c r="P2412">
        <v>0.29061300000000001</v>
      </c>
      <c r="Q2412">
        <v>0.20242599999999999</v>
      </c>
    </row>
    <row r="2413" spans="1:17" x14ac:dyDescent="0.25">
      <c r="A2413" t="str">
        <f>IF(C2413&amp;G2413&amp;D2413&lt;&gt;'Funnel setup'!$K$3&amp;'Funnel setup'!$K$4&amp;'Funnel setup'!$K$6,".",IF(A2412=".",1,A2412+1))</f>
        <v>.</v>
      </c>
      <c r="B2413" s="244" t="str">
        <f t="shared" si="37"/>
        <v>Knee Replacement PrimaryProviderSPIRE SOUTHAMPTON HOSPITAL (NT304)EQ-5D Index</v>
      </c>
      <c r="C2413" t="s">
        <v>969</v>
      </c>
      <c r="D2413" t="s">
        <v>965</v>
      </c>
      <c r="E2413" t="s">
        <v>586</v>
      </c>
      <c r="F2413" t="s">
        <v>587</v>
      </c>
      <c r="G2413" t="s">
        <v>963</v>
      </c>
      <c r="H2413">
        <v>20</v>
      </c>
      <c r="I2413">
        <v>0.56000000000000005</v>
      </c>
      <c r="J2413">
        <v>0.7611</v>
      </c>
      <c r="K2413">
        <v>0.2011</v>
      </c>
      <c r="L2413">
        <v>13</v>
      </c>
      <c r="M2413">
        <v>6</v>
      </c>
      <c r="N2413">
        <v>1</v>
      </c>
      <c r="O2413" t="s">
        <v>127</v>
      </c>
      <c r="P2413" t="s">
        <v>127</v>
      </c>
      <c r="Q2413" t="s">
        <v>127</v>
      </c>
    </row>
    <row r="2414" spans="1:17" x14ac:dyDescent="0.25">
      <c r="A2414" t="str">
        <f>IF(C2414&amp;G2414&amp;D2414&lt;&gt;'Funnel setup'!$K$3&amp;'Funnel setup'!$K$4&amp;'Funnel setup'!$K$6,".",IF(A2413=".",1,A2413+1))</f>
        <v>.</v>
      </c>
      <c r="B2414" s="244" t="str">
        <f t="shared" si="37"/>
        <v>Knee Replacement PrimaryProviderSPIRE ST ANTHONY'S HOSPITAL (NT3X3)EQ-5D Index</v>
      </c>
      <c r="C2414" t="s">
        <v>969</v>
      </c>
      <c r="D2414" t="s">
        <v>965</v>
      </c>
      <c r="E2414" t="s">
        <v>588</v>
      </c>
      <c r="F2414" t="s">
        <v>589</v>
      </c>
      <c r="G2414" t="s">
        <v>963</v>
      </c>
      <c r="H2414">
        <v>4</v>
      </c>
      <c r="I2414">
        <v>0.443</v>
      </c>
      <c r="J2414">
        <v>0.76824999999999999</v>
      </c>
      <c r="K2414">
        <v>0.32524999999999998</v>
      </c>
      <c r="L2414">
        <v>3</v>
      </c>
      <c r="M2414">
        <v>1</v>
      </c>
      <c r="N2414">
        <v>0</v>
      </c>
      <c r="O2414" t="s">
        <v>127</v>
      </c>
      <c r="P2414" t="s">
        <v>127</v>
      </c>
      <c r="Q2414" t="s">
        <v>127</v>
      </c>
    </row>
    <row r="2415" spans="1:17" x14ac:dyDescent="0.25">
      <c r="A2415" t="str">
        <f>IF(C2415&amp;G2415&amp;D2415&lt;&gt;'Funnel setup'!$K$3&amp;'Funnel setup'!$K$4&amp;'Funnel setup'!$K$6,".",IF(A2414=".",1,A2414+1))</f>
        <v>.</v>
      </c>
      <c r="B2415" s="244" t="str">
        <f t="shared" si="37"/>
        <v>Knee Replacement PrimaryProviderSPIRE SUSSEX HOSPITAL (NT309)EQ-5D Index</v>
      </c>
      <c r="C2415" t="s">
        <v>969</v>
      </c>
      <c r="D2415" t="s">
        <v>965</v>
      </c>
      <c r="E2415" t="s">
        <v>590</v>
      </c>
      <c r="F2415" t="s">
        <v>591</v>
      </c>
      <c r="G2415" t="s">
        <v>963</v>
      </c>
      <c r="H2415">
        <v>24</v>
      </c>
      <c r="I2415">
        <v>0.58866700000000005</v>
      </c>
      <c r="J2415">
        <v>0.74991699999999994</v>
      </c>
      <c r="K2415">
        <v>0.16125</v>
      </c>
      <c r="L2415">
        <v>19</v>
      </c>
      <c r="M2415">
        <v>2</v>
      </c>
      <c r="N2415">
        <v>3</v>
      </c>
      <c r="O2415" t="s">
        <v>127</v>
      </c>
      <c r="P2415" t="s">
        <v>127</v>
      </c>
      <c r="Q2415" t="s">
        <v>127</v>
      </c>
    </row>
    <row r="2416" spans="1:17" x14ac:dyDescent="0.25">
      <c r="A2416" t="str">
        <f>IF(C2416&amp;G2416&amp;D2416&lt;&gt;'Funnel setup'!$K$3&amp;'Funnel setup'!$K$4&amp;'Funnel setup'!$K$6,".",IF(A2415=".",1,A2415+1))</f>
        <v>.</v>
      </c>
      <c r="B2416" s="244" t="str">
        <f t="shared" si="37"/>
        <v>Knee Replacement PrimaryProviderSPIRE THAMES VALLEY HOSPITAL (NT343)EQ-5D Index</v>
      </c>
      <c r="C2416" t="s">
        <v>969</v>
      </c>
      <c r="D2416" t="s">
        <v>965</v>
      </c>
      <c r="E2416" t="s">
        <v>592</v>
      </c>
      <c r="F2416" t="s">
        <v>593</v>
      </c>
      <c r="G2416" t="s">
        <v>963</v>
      </c>
      <c r="H2416">
        <v>1</v>
      </c>
      <c r="I2416">
        <v>0.68899999999999995</v>
      </c>
      <c r="J2416">
        <v>0.81399999999999995</v>
      </c>
      <c r="K2416">
        <v>0.125</v>
      </c>
      <c r="L2416">
        <v>1</v>
      </c>
      <c r="M2416">
        <v>0</v>
      </c>
      <c r="N2416">
        <v>0</v>
      </c>
      <c r="O2416" t="s">
        <v>127</v>
      </c>
      <c r="P2416" t="s">
        <v>127</v>
      </c>
      <c r="Q2416" t="s">
        <v>127</v>
      </c>
    </row>
    <row r="2417" spans="1:17" x14ac:dyDescent="0.25">
      <c r="A2417" t="str">
        <f>IF(C2417&amp;G2417&amp;D2417&lt;&gt;'Funnel setup'!$K$3&amp;'Funnel setup'!$K$4&amp;'Funnel setup'!$K$6,".",IF(A2416=".",1,A2416+1))</f>
        <v>.</v>
      </c>
      <c r="B2417" s="244" t="str">
        <f t="shared" si="37"/>
        <v>Knee Replacement PrimaryProviderSPIRE TUNBRIDGE WELLS HOSPITAL (NT310)EQ-5D Index</v>
      </c>
      <c r="C2417" t="s">
        <v>969</v>
      </c>
      <c r="D2417" t="s">
        <v>965</v>
      </c>
      <c r="E2417" t="s">
        <v>594</v>
      </c>
      <c r="F2417" t="s">
        <v>595</v>
      </c>
      <c r="G2417" t="s">
        <v>963</v>
      </c>
      <c r="H2417">
        <v>1</v>
      </c>
      <c r="I2417">
        <v>0.159</v>
      </c>
      <c r="J2417">
        <v>0.79600000000000004</v>
      </c>
      <c r="K2417">
        <v>0.63700000000000001</v>
      </c>
      <c r="L2417">
        <v>1</v>
      </c>
      <c r="M2417">
        <v>0</v>
      </c>
      <c r="N2417">
        <v>0</v>
      </c>
      <c r="O2417" t="s">
        <v>127</v>
      </c>
      <c r="P2417" t="s">
        <v>127</v>
      </c>
      <c r="Q2417" t="s">
        <v>127</v>
      </c>
    </row>
    <row r="2418" spans="1:17" x14ac:dyDescent="0.25">
      <c r="A2418" t="str">
        <f>IF(C2418&amp;G2418&amp;D2418&lt;&gt;'Funnel setup'!$K$3&amp;'Funnel setup'!$K$4&amp;'Funnel setup'!$K$6,".",IF(A2417=".",1,A2417+1))</f>
        <v>.</v>
      </c>
      <c r="B2418" s="244" t="str">
        <f t="shared" si="37"/>
        <v>Knee Replacement PrimaryProviderSPIRE WASHINGTON HOSPITAL (NT333)EQ-5D Index</v>
      </c>
      <c r="C2418" t="s">
        <v>969</v>
      </c>
      <c r="D2418" t="s">
        <v>965</v>
      </c>
      <c r="E2418" t="s">
        <v>596</v>
      </c>
      <c r="F2418" t="s">
        <v>597</v>
      </c>
      <c r="G2418" t="s">
        <v>963</v>
      </c>
      <c r="H2418">
        <v>101</v>
      </c>
      <c r="I2418">
        <v>0.44539600000000001</v>
      </c>
      <c r="J2418">
        <v>0.75197000000000003</v>
      </c>
      <c r="K2418">
        <v>0.30657400000000001</v>
      </c>
      <c r="L2418">
        <v>80</v>
      </c>
      <c r="M2418">
        <v>9</v>
      </c>
      <c r="N2418">
        <v>12</v>
      </c>
      <c r="O2418">
        <v>0.74917299999999998</v>
      </c>
      <c r="P2418">
        <v>0.32037700000000002</v>
      </c>
      <c r="Q2418">
        <v>0.20663999999999999</v>
      </c>
    </row>
    <row r="2419" spans="1:17" x14ac:dyDescent="0.25">
      <c r="A2419" t="str">
        <f>IF(C2419&amp;G2419&amp;D2419&lt;&gt;'Funnel setup'!$K$3&amp;'Funnel setup'!$K$4&amp;'Funnel setup'!$K$6,".",IF(A2418=".",1,A2418+1))</f>
        <v>.</v>
      </c>
      <c r="B2419" s="244" t="str">
        <f t="shared" si="37"/>
        <v>Knee Replacement PrimaryProviderSPRINGFIELD HOSPITAL (NVC18)EQ-5D Index</v>
      </c>
      <c r="C2419" t="s">
        <v>969</v>
      </c>
      <c r="D2419" t="s">
        <v>965</v>
      </c>
      <c r="E2419" t="s">
        <v>602</v>
      </c>
      <c r="F2419" t="s">
        <v>603</v>
      </c>
      <c r="G2419" t="s">
        <v>963</v>
      </c>
      <c r="H2419">
        <v>95</v>
      </c>
      <c r="I2419">
        <v>0.469642</v>
      </c>
      <c r="J2419">
        <v>0.80694699999999997</v>
      </c>
      <c r="K2419">
        <v>0.33730500000000002</v>
      </c>
      <c r="L2419">
        <v>82</v>
      </c>
      <c r="M2419">
        <v>7</v>
      </c>
      <c r="N2419">
        <v>6</v>
      </c>
      <c r="O2419">
        <v>0.77381800000000001</v>
      </c>
      <c r="P2419">
        <v>0.345022</v>
      </c>
      <c r="Q2419">
        <v>0.22387799999999999</v>
      </c>
    </row>
    <row r="2420" spans="1:17" x14ac:dyDescent="0.25">
      <c r="A2420" t="str">
        <f>IF(C2420&amp;G2420&amp;D2420&lt;&gt;'Funnel setup'!$K$3&amp;'Funnel setup'!$K$4&amp;'Funnel setup'!$K$6,".",IF(A2419=".",1,A2419+1))</f>
        <v>.</v>
      </c>
      <c r="B2420" s="244" t="str">
        <f t="shared" si="37"/>
        <v>Knee Replacement PrimaryProviderST EDMUNDS HOSPITAL (NT446)EQ-5D Index</v>
      </c>
      <c r="C2420" t="s">
        <v>969</v>
      </c>
      <c r="D2420" t="s">
        <v>965</v>
      </c>
      <c r="E2420" t="s">
        <v>604</v>
      </c>
      <c r="F2420" t="s">
        <v>605</v>
      </c>
      <c r="G2420" t="s">
        <v>963</v>
      </c>
      <c r="H2420">
        <v>27</v>
      </c>
      <c r="I2420">
        <v>0.52407400000000004</v>
      </c>
      <c r="J2420">
        <v>0.74440700000000004</v>
      </c>
      <c r="K2420">
        <v>0.220333</v>
      </c>
      <c r="L2420">
        <v>22</v>
      </c>
      <c r="M2420">
        <v>3</v>
      </c>
      <c r="N2420">
        <v>2</v>
      </c>
      <c r="O2420" t="s">
        <v>127</v>
      </c>
      <c r="P2420" t="s">
        <v>127</v>
      </c>
      <c r="Q2420" t="s">
        <v>127</v>
      </c>
    </row>
    <row r="2421" spans="1:17" x14ac:dyDescent="0.25">
      <c r="A2421" t="str">
        <f>IF(C2421&amp;G2421&amp;D2421&lt;&gt;'Funnel setup'!$K$3&amp;'Funnel setup'!$K$4&amp;'Funnel setup'!$K$6,".",IF(A2420=".",1,A2420+1))</f>
        <v>.</v>
      </c>
      <c r="B2421" s="244" t="str">
        <f t="shared" si="37"/>
        <v>Knee Replacement PrimaryProviderST HELENS AND KNOWSLEY TEACHING HOSPITALS NHS TRUST (RBN)EQ-5D Index</v>
      </c>
      <c r="C2421" t="s">
        <v>969</v>
      </c>
      <c r="D2421" t="s">
        <v>965</v>
      </c>
      <c r="E2421" t="s">
        <v>608</v>
      </c>
      <c r="F2421" t="s">
        <v>609</v>
      </c>
      <c r="G2421" t="s">
        <v>963</v>
      </c>
      <c r="H2421">
        <v>68</v>
      </c>
      <c r="I2421">
        <v>0.38523499999999999</v>
      </c>
      <c r="J2421">
        <v>0.64104399999999995</v>
      </c>
      <c r="K2421">
        <v>0.25580900000000001</v>
      </c>
      <c r="L2421">
        <v>52</v>
      </c>
      <c r="M2421">
        <v>6</v>
      </c>
      <c r="N2421">
        <v>10</v>
      </c>
      <c r="O2421">
        <v>0.68513800000000002</v>
      </c>
      <c r="P2421">
        <v>0.25634200000000001</v>
      </c>
      <c r="Q2421">
        <v>0.29430099999999998</v>
      </c>
    </row>
    <row r="2422" spans="1:17" x14ac:dyDescent="0.25">
      <c r="A2422" t="str">
        <f>IF(C2422&amp;G2422&amp;D2422&lt;&gt;'Funnel setup'!$K$3&amp;'Funnel setup'!$K$4&amp;'Funnel setup'!$K$6,".",IF(A2421=".",1,A2421+1))</f>
        <v>.</v>
      </c>
      <c r="B2422" s="244" t="str">
        <f t="shared" si="37"/>
        <v>Knee Replacement PrimaryProviderST HUGH'S HOSPITAL (NTE02)EQ-5D Index</v>
      </c>
      <c r="C2422" t="s">
        <v>969</v>
      </c>
      <c r="D2422" t="s">
        <v>965</v>
      </c>
      <c r="E2422" t="s">
        <v>610</v>
      </c>
      <c r="F2422" t="s">
        <v>611</v>
      </c>
      <c r="G2422" t="s">
        <v>963</v>
      </c>
      <c r="H2422">
        <v>123</v>
      </c>
      <c r="I2422">
        <v>0.46745500000000001</v>
      </c>
      <c r="J2422">
        <v>0.78900800000000004</v>
      </c>
      <c r="K2422">
        <v>0.32155299999999998</v>
      </c>
      <c r="L2422">
        <v>103</v>
      </c>
      <c r="M2422">
        <v>11</v>
      </c>
      <c r="N2422">
        <v>9</v>
      </c>
      <c r="O2422">
        <v>0.76242399999999999</v>
      </c>
      <c r="P2422">
        <v>0.33362799999999998</v>
      </c>
      <c r="Q2422">
        <v>0.199633</v>
      </c>
    </row>
    <row r="2423" spans="1:17" x14ac:dyDescent="0.25">
      <c r="A2423" t="str">
        <f>IF(C2423&amp;G2423&amp;D2423&lt;&gt;'Funnel setup'!$K$3&amp;'Funnel setup'!$K$4&amp;'Funnel setup'!$K$6,".",IF(A2422=".",1,A2422+1))</f>
        <v>.</v>
      </c>
      <c r="B2423" s="244" t="str">
        <f t="shared" si="37"/>
        <v>Knee Replacement PrimaryProviderSTOCKPORT NHS FOUNDATION TRUST (RWJ)EQ-5D Index</v>
      </c>
      <c r="C2423" t="s">
        <v>969</v>
      </c>
      <c r="D2423" t="s">
        <v>965</v>
      </c>
      <c r="E2423" t="s">
        <v>614</v>
      </c>
      <c r="F2423" t="s">
        <v>615</v>
      </c>
      <c r="G2423" t="s">
        <v>963</v>
      </c>
      <c r="H2423">
        <v>26</v>
      </c>
      <c r="I2423">
        <v>0.45811499999999999</v>
      </c>
      <c r="J2423">
        <v>0.85215399999999997</v>
      </c>
      <c r="K2423">
        <v>0.394038</v>
      </c>
      <c r="L2423">
        <v>22</v>
      </c>
      <c r="M2423">
        <v>2</v>
      </c>
      <c r="N2423">
        <v>2</v>
      </c>
      <c r="O2423" t="s">
        <v>127</v>
      </c>
      <c r="P2423" t="s">
        <v>127</v>
      </c>
      <c r="Q2423" t="s">
        <v>127</v>
      </c>
    </row>
    <row r="2424" spans="1:17" x14ac:dyDescent="0.25">
      <c r="A2424" t="str">
        <f>IF(C2424&amp;G2424&amp;D2424&lt;&gt;'Funnel setup'!$K$3&amp;'Funnel setup'!$K$4&amp;'Funnel setup'!$K$6,".",IF(A2423=".",1,A2423+1))</f>
        <v>.</v>
      </c>
      <c r="B2424" s="244" t="str">
        <f t="shared" si="37"/>
        <v>Knee Replacement PrimaryProviderSURREY AND SUSSEX HEALTHCARE NHS TRUST (RTP)EQ-5D Index</v>
      </c>
      <c r="C2424" t="s">
        <v>969</v>
      </c>
      <c r="D2424" t="s">
        <v>965</v>
      </c>
      <c r="E2424" t="s">
        <v>618</v>
      </c>
      <c r="F2424" t="s">
        <v>619</v>
      </c>
      <c r="G2424" t="s">
        <v>963</v>
      </c>
      <c r="H2424">
        <v>30</v>
      </c>
      <c r="I2424">
        <v>0.427867</v>
      </c>
      <c r="J2424">
        <v>0.73136699999999999</v>
      </c>
      <c r="K2424">
        <v>0.30349999999999999</v>
      </c>
      <c r="L2424">
        <v>24</v>
      </c>
      <c r="M2424">
        <v>5</v>
      </c>
      <c r="N2424">
        <v>1</v>
      </c>
      <c r="O2424">
        <v>0.73625700000000005</v>
      </c>
      <c r="P2424">
        <v>0.30746099999999998</v>
      </c>
      <c r="Q2424">
        <v>0.18562300000000001</v>
      </c>
    </row>
    <row r="2425" spans="1:17" x14ac:dyDescent="0.25">
      <c r="A2425" t="str">
        <f>IF(C2425&amp;G2425&amp;D2425&lt;&gt;'Funnel setup'!$K$3&amp;'Funnel setup'!$K$4&amp;'Funnel setup'!$K$6,".",IF(A2424=".",1,A2424+1))</f>
        <v>.</v>
      </c>
      <c r="B2425" s="244" t="str">
        <f t="shared" si="37"/>
        <v>Knee Replacement PrimaryProviderTEES VALLEY HOSPITAL (NVC0R)EQ-5D Index</v>
      </c>
      <c r="C2425" t="s">
        <v>969</v>
      </c>
      <c r="D2425" t="s">
        <v>965</v>
      </c>
      <c r="E2425" t="s">
        <v>624</v>
      </c>
      <c r="F2425" t="s">
        <v>625</v>
      </c>
      <c r="G2425" t="s">
        <v>963</v>
      </c>
      <c r="H2425">
        <v>44</v>
      </c>
      <c r="I2425">
        <v>0.458455</v>
      </c>
      <c r="J2425">
        <v>0.77913600000000005</v>
      </c>
      <c r="K2425">
        <v>0.32068200000000002</v>
      </c>
      <c r="L2425">
        <v>39</v>
      </c>
      <c r="M2425">
        <v>1</v>
      </c>
      <c r="N2425">
        <v>4</v>
      </c>
      <c r="O2425">
        <v>0.76017500000000005</v>
      </c>
      <c r="P2425">
        <v>0.33138000000000001</v>
      </c>
      <c r="Q2425">
        <v>0.222275</v>
      </c>
    </row>
    <row r="2426" spans="1:17" x14ac:dyDescent="0.25">
      <c r="A2426" t="str">
        <f>IF(C2426&amp;G2426&amp;D2426&lt;&gt;'Funnel setup'!$K$3&amp;'Funnel setup'!$K$4&amp;'Funnel setup'!$K$6,".",IF(A2425=".",1,A2425+1))</f>
        <v>.</v>
      </c>
      <c r="B2426" s="244" t="str">
        <f t="shared" si="37"/>
        <v>Knee Replacement PrimaryProviderTHE BERKSHIRE INDEPENDENT HOSPITAL (NVC02)EQ-5D Index</v>
      </c>
      <c r="C2426" t="s">
        <v>969</v>
      </c>
      <c r="D2426" t="s">
        <v>965</v>
      </c>
      <c r="E2426" t="s">
        <v>626</v>
      </c>
      <c r="F2426" t="s">
        <v>627</v>
      </c>
      <c r="G2426" t="s">
        <v>963</v>
      </c>
      <c r="H2426">
        <v>12</v>
      </c>
      <c r="I2426">
        <v>0.47458299999999998</v>
      </c>
      <c r="J2426">
        <v>0.72266699999999995</v>
      </c>
      <c r="K2426">
        <v>0.248083</v>
      </c>
      <c r="L2426">
        <v>9</v>
      </c>
      <c r="M2426">
        <v>3</v>
      </c>
      <c r="N2426">
        <v>0</v>
      </c>
      <c r="O2426" t="s">
        <v>127</v>
      </c>
      <c r="P2426" t="s">
        <v>127</v>
      </c>
      <c r="Q2426" t="s">
        <v>127</v>
      </c>
    </row>
    <row r="2427" spans="1:17" x14ac:dyDescent="0.25">
      <c r="A2427" t="str">
        <f>IF(C2427&amp;G2427&amp;D2427&lt;&gt;'Funnel setup'!$K$3&amp;'Funnel setup'!$K$4&amp;'Funnel setup'!$K$6,".",IF(A2426=".",1,A2426+1))</f>
        <v>.</v>
      </c>
      <c r="B2427" s="244" t="str">
        <f t="shared" si="37"/>
        <v>Knee Replacement PrimaryProviderTHE CHERWELL HOSPITAL (NVC25)EQ-5D Index</v>
      </c>
      <c r="C2427" t="s">
        <v>969</v>
      </c>
      <c r="D2427" t="s">
        <v>965</v>
      </c>
      <c r="E2427" t="s">
        <v>628</v>
      </c>
      <c r="F2427" t="s">
        <v>629</v>
      </c>
      <c r="G2427" t="s">
        <v>963</v>
      </c>
      <c r="H2427">
        <v>241</v>
      </c>
      <c r="I2427">
        <v>0.50805800000000001</v>
      </c>
      <c r="J2427">
        <v>0.78934899999999997</v>
      </c>
      <c r="K2427">
        <v>0.28128999999999998</v>
      </c>
      <c r="L2427">
        <v>198</v>
      </c>
      <c r="M2427">
        <v>27</v>
      </c>
      <c r="N2427">
        <v>16</v>
      </c>
      <c r="O2427">
        <v>0.76029100000000005</v>
      </c>
      <c r="P2427">
        <v>0.33149499999999998</v>
      </c>
      <c r="Q2427">
        <v>0.215782</v>
      </c>
    </row>
    <row r="2428" spans="1:17" x14ac:dyDescent="0.25">
      <c r="A2428" t="str">
        <f>IF(C2428&amp;G2428&amp;D2428&lt;&gt;'Funnel setup'!$K$3&amp;'Funnel setup'!$K$4&amp;'Funnel setup'!$K$6,".",IF(A2427=".",1,A2427+1))</f>
        <v>.</v>
      </c>
      <c r="B2428" s="244" t="str">
        <f t="shared" si="37"/>
        <v>Knee Replacement PrimaryProviderTHE DUDLEY GROUP NHS FOUNDATION TRUST (RNA)EQ-5D Index</v>
      </c>
      <c r="C2428" t="s">
        <v>969</v>
      </c>
      <c r="D2428" t="s">
        <v>965</v>
      </c>
      <c r="E2428" t="s">
        <v>630</v>
      </c>
      <c r="F2428" t="s">
        <v>631</v>
      </c>
      <c r="G2428" t="s">
        <v>963</v>
      </c>
      <c r="H2428">
        <v>1</v>
      </c>
      <c r="I2428">
        <v>0.62</v>
      </c>
      <c r="J2428">
        <v>0.69099999999999995</v>
      </c>
      <c r="K2428">
        <v>7.0999999999999994E-2</v>
      </c>
      <c r="L2428">
        <v>1</v>
      </c>
      <c r="M2428">
        <v>0</v>
      </c>
      <c r="N2428">
        <v>0</v>
      </c>
      <c r="O2428" t="s">
        <v>127</v>
      </c>
      <c r="P2428" t="s">
        <v>127</v>
      </c>
      <c r="Q2428" t="s">
        <v>127</v>
      </c>
    </row>
    <row r="2429" spans="1:17" x14ac:dyDescent="0.25">
      <c r="A2429" t="str">
        <f>IF(C2429&amp;G2429&amp;D2429&lt;&gt;'Funnel setup'!$K$3&amp;'Funnel setup'!$K$4&amp;'Funnel setup'!$K$6,".",IF(A2428=".",1,A2428+1))</f>
        <v>.</v>
      </c>
      <c r="B2429" s="244" t="str">
        <f t="shared" si="37"/>
        <v>Knee Replacement PrimaryProviderTHE HILLINGDON HOSPITALS NHS FOUNDATION TRUST (RAS)EQ-5D Index</v>
      </c>
      <c r="C2429" t="s">
        <v>969</v>
      </c>
      <c r="D2429" t="s">
        <v>965</v>
      </c>
      <c r="E2429" t="s">
        <v>632</v>
      </c>
      <c r="F2429" t="s">
        <v>633</v>
      </c>
      <c r="G2429" t="s">
        <v>963</v>
      </c>
      <c r="H2429">
        <v>104</v>
      </c>
      <c r="I2429">
        <v>0.45343299999999997</v>
      </c>
      <c r="J2429">
        <v>0.75196200000000002</v>
      </c>
      <c r="K2429">
        <v>0.29852899999999999</v>
      </c>
      <c r="L2429">
        <v>80</v>
      </c>
      <c r="M2429">
        <v>14</v>
      </c>
      <c r="N2429">
        <v>10</v>
      </c>
      <c r="O2429">
        <v>0.73494899999999996</v>
      </c>
      <c r="P2429">
        <v>0.30615300000000001</v>
      </c>
      <c r="Q2429">
        <v>0.19916700000000001</v>
      </c>
    </row>
    <row r="2430" spans="1:17" x14ac:dyDescent="0.25">
      <c r="A2430" t="str">
        <f>IF(C2430&amp;G2430&amp;D2430&lt;&gt;'Funnel setup'!$K$3&amp;'Funnel setup'!$K$4&amp;'Funnel setup'!$K$6,".",IF(A2429=".",1,A2429+1))</f>
        <v>.</v>
      </c>
      <c r="B2430" s="244" t="str">
        <f t="shared" si="37"/>
        <v>Knee Replacement PrimaryProviderTHE HORDER CENTRE - ST JOHNS ROAD (NXM01)EQ-5D Index</v>
      </c>
      <c r="C2430" t="s">
        <v>969</v>
      </c>
      <c r="D2430" t="s">
        <v>965</v>
      </c>
      <c r="E2430" t="s">
        <v>634</v>
      </c>
      <c r="F2430" t="s">
        <v>635</v>
      </c>
      <c r="G2430" t="s">
        <v>963</v>
      </c>
      <c r="H2430">
        <v>246</v>
      </c>
      <c r="I2430">
        <v>0.50751199999999996</v>
      </c>
      <c r="J2430">
        <v>0.81582900000000003</v>
      </c>
      <c r="K2430">
        <v>0.30831700000000001</v>
      </c>
      <c r="L2430">
        <v>204</v>
      </c>
      <c r="M2430">
        <v>28</v>
      </c>
      <c r="N2430">
        <v>14</v>
      </c>
      <c r="O2430">
        <v>0.78305999999999998</v>
      </c>
      <c r="P2430">
        <v>0.35426400000000002</v>
      </c>
      <c r="Q2430">
        <v>0.20875099999999999</v>
      </c>
    </row>
    <row r="2431" spans="1:17" x14ac:dyDescent="0.25">
      <c r="A2431" t="str">
        <f>IF(C2431&amp;G2431&amp;D2431&lt;&gt;'Funnel setup'!$K$3&amp;'Funnel setup'!$K$4&amp;'Funnel setup'!$K$6,".",IF(A2430=".",1,A2430+1))</f>
        <v>.</v>
      </c>
      <c r="B2431" s="244" t="str">
        <f t="shared" si="37"/>
        <v>Knee Replacement PrimaryProviderTHE NEWCASTLE UPON TYNE HOSPITALS NHS FOUNDATION TRUST (RTD)EQ-5D Index</v>
      </c>
      <c r="C2431" t="s">
        <v>969</v>
      </c>
      <c r="D2431" t="s">
        <v>965</v>
      </c>
      <c r="E2431" t="s">
        <v>638</v>
      </c>
      <c r="F2431" t="s">
        <v>639</v>
      </c>
      <c r="G2431" t="s">
        <v>963</v>
      </c>
      <c r="H2431">
        <v>23</v>
      </c>
      <c r="I2431">
        <v>0.28512999999999999</v>
      </c>
      <c r="J2431">
        <v>0.72713000000000005</v>
      </c>
      <c r="K2431">
        <v>0.442</v>
      </c>
      <c r="L2431">
        <v>20</v>
      </c>
      <c r="M2431">
        <v>2</v>
      </c>
      <c r="N2431">
        <v>1</v>
      </c>
      <c r="O2431" t="s">
        <v>127</v>
      </c>
      <c r="P2431" t="s">
        <v>127</v>
      </c>
      <c r="Q2431" t="s">
        <v>127</v>
      </c>
    </row>
    <row r="2432" spans="1:17" x14ac:dyDescent="0.25">
      <c r="A2432" t="str">
        <f>IF(C2432&amp;G2432&amp;D2432&lt;&gt;'Funnel setup'!$K$3&amp;'Funnel setup'!$K$4&amp;'Funnel setup'!$K$6,".",IF(A2431=".",1,A2431+1))</f>
        <v>.</v>
      </c>
      <c r="B2432" s="244" t="str">
        <f t="shared" si="37"/>
        <v>Knee Replacement PrimaryProviderTHE PRINCESS ALEXANDRA HOSPITAL NHS TRUST (RQW)EQ-5D Index</v>
      </c>
      <c r="C2432" t="s">
        <v>969</v>
      </c>
      <c r="D2432" t="s">
        <v>965</v>
      </c>
      <c r="E2432" t="s">
        <v>640</v>
      </c>
      <c r="F2432" t="s">
        <v>641</v>
      </c>
      <c r="G2432" t="s">
        <v>963</v>
      </c>
      <c r="H2432">
        <v>27</v>
      </c>
      <c r="I2432">
        <v>0.38100000000000001</v>
      </c>
      <c r="J2432">
        <v>0.72599999999999998</v>
      </c>
      <c r="K2432">
        <v>0.34499999999999997</v>
      </c>
      <c r="L2432">
        <v>20</v>
      </c>
      <c r="M2432">
        <v>3</v>
      </c>
      <c r="N2432">
        <v>4</v>
      </c>
      <c r="O2432" t="s">
        <v>127</v>
      </c>
      <c r="P2432" t="s">
        <v>127</v>
      </c>
      <c r="Q2432" t="s">
        <v>127</v>
      </c>
    </row>
    <row r="2433" spans="1:17" x14ac:dyDescent="0.25">
      <c r="A2433" t="str">
        <f>IF(C2433&amp;G2433&amp;D2433&lt;&gt;'Funnel setup'!$K$3&amp;'Funnel setup'!$K$4&amp;'Funnel setup'!$K$6,".",IF(A2432=".",1,A2432+1))</f>
        <v>.</v>
      </c>
      <c r="B2433" s="244" t="str">
        <f t="shared" si="37"/>
        <v>Knee Replacement PrimaryProviderTHE QUEEN ELIZABETH HOSPITAL, KING'S LYNN, NHS FOUNDATION TRUST (RCX)EQ-5D Index</v>
      </c>
      <c r="C2433" t="s">
        <v>969</v>
      </c>
      <c r="D2433" t="s">
        <v>965</v>
      </c>
      <c r="E2433" t="s">
        <v>644</v>
      </c>
      <c r="F2433" t="s">
        <v>645</v>
      </c>
      <c r="G2433" t="s">
        <v>963</v>
      </c>
      <c r="H2433">
        <v>75</v>
      </c>
      <c r="I2433">
        <v>0.40726699999999999</v>
      </c>
      <c r="J2433">
        <v>0.70925300000000002</v>
      </c>
      <c r="K2433">
        <v>0.30198700000000001</v>
      </c>
      <c r="L2433">
        <v>60</v>
      </c>
      <c r="M2433">
        <v>9</v>
      </c>
      <c r="N2433">
        <v>6</v>
      </c>
      <c r="O2433">
        <v>0.72375699999999998</v>
      </c>
      <c r="P2433">
        <v>0.29496099999999997</v>
      </c>
      <c r="Q2433">
        <v>0.23605200000000001</v>
      </c>
    </row>
    <row r="2434" spans="1:17" x14ac:dyDescent="0.25">
      <c r="A2434" t="str">
        <f>IF(C2434&amp;G2434&amp;D2434&lt;&gt;'Funnel setup'!$K$3&amp;'Funnel setup'!$K$4&amp;'Funnel setup'!$K$6,".",IF(A2433=".",1,A2433+1))</f>
        <v>.</v>
      </c>
      <c r="B2434" s="244" t="str">
        <f t="shared" ref="B2434:B2497" si="38">C2434&amp;D2434&amp;F2434&amp;G2434</f>
        <v>Knee Replacement PrimaryProviderTHE ROBERT JONES AND AGNES HUNT ORTHOPAEDIC HOSPITAL NHS FOUNDATION TRUST (RL1)EQ-5D Index</v>
      </c>
      <c r="C2434" t="s">
        <v>969</v>
      </c>
      <c r="D2434" t="s">
        <v>965</v>
      </c>
      <c r="E2434" t="s">
        <v>646</v>
      </c>
      <c r="F2434" t="s">
        <v>647</v>
      </c>
      <c r="G2434" t="s">
        <v>963</v>
      </c>
      <c r="H2434">
        <v>290</v>
      </c>
      <c r="I2434">
        <v>0.38640999999999998</v>
      </c>
      <c r="J2434">
        <v>0.76080999999999999</v>
      </c>
      <c r="K2434">
        <v>0.37440000000000001</v>
      </c>
      <c r="L2434">
        <v>247</v>
      </c>
      <c r="M2434">
        <v>24</v>
      </c>
      <c r="N2434">
        <v>19</v>
      </c>
      <c r="O2434">
        <v>0.778837</v>
      </c>
      <c r="P2434">
        <v>0.35004099999999999</v>
      </c>
      <c r="Q2434">
        <v>0.21764900000000001</v>
      </c>
    </row>
    <row r="2435" spans="1:17" x14ac:dyDescent="0.25">
      <c r="A2435" t="str">
        <f>IF(C2435&amp;G2435&amp;D2435&lt;&gt;'Funnel setup'!$K$3&amp;'Funnel setup'!$K$4&amp;'Funnel setup'!$K$6,".",IF(A2434=".",1,A2434+1))</f>
        <v>.</v>
      </c>
      <c r="B2435" s="244" t="str">
        <f t="shared" si="38"/>
        <v>Knee Replacement PrimaryProviderTHE ROTHERHAM NHS FOUNDATION TRUST (RFR)EQ-5D Index</v>
      </c>
      <c r="C2435" t="s">
        <v>969</v>
      </c>
      <c r="D2435" t="s">
        <v>965</v>
      </c>
      <c r="E2435" t="s">
        <v>648</v>
      </c>
      <c r="F2435" t="s">
        <v>649</v>
      </c>
      <c r="G2435" t="s">
        <v>963</v>
      </c>
      <c r="H2435">
        <v>29</v>
      </c>
      <c r="I2435">
        <v>0.22817200000000001</v>
      </c>
      <c r="J2435">
        <v>0.76786200000000004</v>
      </c>
      <c r="K2435">
        <v>0.53969</v>
      </c>
      <c r="L2435">
        <v>27</v>
      </c>
      <c r="M2435">
        <v>2</v>
      </c>
      <c r="N2435">
        <v>0</v>
      </c>
      <c r="O2435" t="s">
        <v>127</v>
      </c>
      <c r="P2435" t="s">
        <v>127</v>
      </c>
      <c r="Q2435" t="s">
        <v>127</v>
      </c>
    </row>
    <row r="2436" spans="1:17" x14ac:dyDescent="0.25">
      <c r="A2436" t="str">
        <f>IF(C2436&amp;G2436&amp;D2436&lt;&gt;'Funnel setup'!$K$3&amp;'Funnel setup'!$K$4&amp;'Funnel setup'!$K$6,".",IF(A2435=".",1,A2435+1))</f>
        <v>.</v>
      </c>
      <c r="B2436" s="244" t="str">
        <f t="shared" si="38"/>
        <v>Knee Replacement PrimaryProviderTHE ROYAL ORTHOPAEDIC HOSPITAL NHS FOUNDATION TRUST (RRJ)EQ-5D Index</v>
      </c>
      <c r="C2436" t="s">
        <v>969</v>
      </c>
      <c r="D2436" t="s">
        <v>965</v>
      </c>
      <c r="E2436" t="s">
        <v>652</v>
      </c>
      <c r="F2436" t="s">
        <v>653</v>
      </c>
      <c r="G2436" t="s">
        <v>963</v>
      </c>
      <c r="H2436">
        <v>400</v>
      </c>
      <c r="I2436">
        <v>0.35068500000000002</v>
      </c>
      <c r="J2436">
        <v>0.74166200000000004</v>
      </c>
      <c r="K2436">
        <v>0.39097700000000002</v>
      </c>
      <c r="L2436">
        <v>343</v>
      </c>
      <c r="M2436">
        <v>16</v>
      </c>
      <c r="N2436">
        <v>41</v>
      </c>
      <c r="O2436">
        <v>0.76161100000000004</v>
      </c>
      <c r="P2436">
        <v>0.33281500000000003</v>
      </c>
      <c r="Q2436">
        <v>0.25698500000000002</v>
      </c>
    </row>
    <row r="2437" spans="1:17" x14ac:dyDescent="0.25">
      <c r="A2437" t="str">
        <f>IF(C2437&amp;G2437&amp;D2437&lt;&gt;'Funnel setup'!$K$3&amp;'Funnel setup'!$K$4&amp;'Funnel setup'!$K$6,".",IF(A2436=".",1,A2436+1))</f>
        <v>.</v>
      </c>
      <c r="B2437" s="244" t="str">
        <f t="shared" si="38"/>
        <v>Knee Replacement PrimaryProviderTHE ROYAL WOLVERHAMPTON NHS TRUST (RL4)EQ-5D Index</v>
      </c>
      <c r="C2437" t="s">
        <v>969</v>
      </c>
      <c r="D2437" t="s">
        <v>965</v>
      </c>
      <c r="E2437" t="s">
        <v>654</v>
      </c>
      <c r="F2437" t="s">
        <v>655</v>
      </c>
      <c r="G2437" t="s">
        <v>963</v>
      </c>
      <c r="H2437">
        <v>22</v>
      </c>
      <c r="I2437">
        <v>0.46577299999999999</v>
      </c>
      <c r="J2437">
        <v>0.77504499999999998</v>
      </c>
      <c r="K2437">
        <v>0.30927300000000002</v>
      </c>
      <c r="L2437">
        <v>19</v>
      </c>
      <c r="M2437">
        <v>2</v>
      </c>
      <c r="N2437">
        <v>1</v>
      </c>
      <c r="O2437" t="s">
        <v>127</v>
      </c>
      <c r="P2437" t="s">
        <v>127</v>
      </c>
      <c r="Q2437" t="s">
        <v>127</v>
      </c>
    </row>
    <row r="2438" spans="1:17" x14ac:dyDescent="0.25">
      <c r="A2438" t="str">
        <f>IF(C2438&amp;G2438&amp;D2438&lt;&gt;'Funnel setup'!$K$3&amp;'Funnel setup'!$K$4&amp;'Funnel setup'!$K$6,".",IF(A2437=".",1,A2437+1))</f>
        <v>.</v>
      </c>
      <c r="B2438" s="244" t="str">
        <f t="shared" si="38"/>
        <v>Knee Replacement PrimaryProviderTHE SHREWSBURY AND TELFORD HOSPITAL NHS TRUST (RXW)EQ-5D Index</v>
      </c>
      <c r="C2438" t="s">
        <v>969</v>
      </c>
      <c r="D2438" t="s">
        <v>965</v>
      </c>
      <c r="E2438" t="s">
        <v>656</v>
      </c>
      <c r="F2438" t="s">
        <v>657</v>
      </c>
      <c r="G2438" t="s">
        <v>963</v>
      </c>
      <c r="H2438">
        <v>13</v>
      </c>
      <c r="I2438">
        <v>0.41553800000000002</v>
      </c>
      <c r="J2438">
        <v>0.70215399999999994</v>
      </c>
      <c r="K2438">
        <v>0.28661500000000001</v>
      </c>
      <c r="L2438">
        <v>11</v>
      </c>
      <c r="M2438">
        <v>2</v>
      </c>
      <c r="N2438">
        <v>0</v>
      </c>
      <c r="O2438" t="s">
        <v>127</v>
      </c>
      <c r="P2438" t="s">
        <v>127</v>
      </c>
      <c r="Q2438" t="s">
        <v>127</v>
      </c>
    </row>
    <row r="2439" spans="1:17" x14ac:dyDescent="0.25">
      <c r="A2439" t="str">
        <f>IF(C2439&amp;G2439&amp;D2439&lt;&gt;'Funnel setup'!$K$3&amp;'Funnel setup'!$K$4&amp;'Funnel setup'!$K$6,".",IF(A2438=".",1,A2438+1))</f>
        <v>.</v>
      </c>
      <c r="B2439" s="244" t="str">
        <f t="shared" si="38"/>
        <v>Knee Replacement PrimaryProviderTHE YORKSHIRE CLINIC (NVC20)EQ-5D Index</v>
      </c>
      <c r="C2439" t="s">
        <v>969</v>
      </c>
      <c r="D2439" t="s">
        <v>965</v>
      </c>
      <c r="E2439" t="s">
        <v>662</v>
      </c>
      <c r="F2439" t="s">
        <v>663</v>
      </c>
      <c r="G2439" t="s">
        <v>963</v>
      </c>
      <c r="H2439">
        <v>32</v>
      </c>
      <c r="I2439">
        <v>0.48556300000000002</v>
      </c>
      <c r="J2439">
        <v>0.76334400000000002</v>
      </c>
      <c r="K2439">
        <v>0.277781</v>
      </c>
      <c r="L2439">
        <v>29</v>
      </c>
      <c r="M2439">
        <v>2</v>
      </c>
      <c r="N2439">
        <v>1</v>
      </c>
      <c r="O2439">
        <v>0.77098299999999997</v>
      </c>
      <c r="P2439">
        <v>0.34218799999999999</v>
      </c>
      <c r="Q2439">
        <v>0.15761600000000001</v>
      </c>
    </row>
    <row r="2440" spans="1:17" x14ac:dyDescent="0.25">
      <c r="A2440" t="str">
        <f>IF(C2440&amp;G2440&amp;D2440&lt;&gt;'Funnel setup'!$K$3&amp;'Funnel setup'!$K$4&amp;'Funnel setup'!$K$6,".",IF(A2439=".",1,A2439+1))</f>
        <v>.</v>
      </c>
      <c r="B2440" s="244" t="str">
        <f t="shared" si="38"/>
        <v>Knee Replacement PrimaryProviderTHORNBURY HOSPITAL (NT440)EQ-5D Index</v>
      </c>
      <c r="C2440" t="s">
        <v>969</v>
      </c>
      <c r="D2440" t="s">
        <v>965</v>
      </c>
      <c r="E2440" t="s">
        <v>664</v>
      </c>
      <c r="F2440" t="s">
        <v>665</v>
      </c>
      <c r="G2440" t="s">
        <v>963</v>
      </c>
      <c r="H2440">
        <v>4</v>
      </c>
      <c r="I2440">
        <v>0.46224999999999999</v>
      </c>
      <c r="J2440">
        <v>0.57950000000000002</v>
      </c>
      <c r="K2440">
        <v>0.11724999999999999</v>
      </c>
      <c r="L2440">
        <v>3</v>
      </c>
      <c r="M2440">
        <v>1</v>
      </c>
      <c r="N2440">
        <v>0</v>
      </c>
      <c r="O2440" t="s">
        <v>127</v>
      </c>
      <c r="P2440" t="s">
        <v>127</v>
      </c>
      <c r="Q2440" t="s">
        <v>127</v>
      </c>
    </row>
    <row r="2441" spans="1:17" x14ac:dyDescent="0.25">
      <c r="A2441" t="str">
        <f>IF(C2441&amp;G2441&amp;D2441&lt;&gt;'Funnel setup'!$K$3&amp;'Funnel setup'!$K$4&amp;'Funnel setup'!$K$6,".",IF(A2440=".",1,A2440+1))</f>
        <v>.</v>
      </c>
      <c r="B2441" s="244" t="str">
        <f t="shared" si="38"/>
        <v>Knee Replacement PrimaryProviderTHREE SHIRES HOSPITAL (NT441)EQ-5D Index</v>
      </c>
      <c r="C2441" t="s">
        <v>969</v>
      </c>
      <c r="D2441" t="s">
        <v>965</v>
      </c>
      <c r="E2441" t="s">
        <v>666</v>
      </c>
      <c r="F2441" t="s">
        <v>667</v>
      </c>
      <c r="G2441" t="s">
        <v>963</v>
      </c>
      <c r="H2441">
        <v>78</v>
      </c>
      <c r="I2441">
        <v>0.409244</v>
      </c>
      <c r="J2441">
        <v>0.77601299999999995</v>
      </c>
      <c r="K2441">
        <v>0.36676900000000001</v>
      </c>
      <c r="L2441">
        <v>60</v>
      </c>
      <c r="M2441">
        <v>11</v>
      </c>
      <c r="N2441">
        <v>7</v>
      </c>
      <c r="O2441">
        <v>0.74624400000000002</v>
      </c>
      <c r="P2441">
        <v>0.31744800000000001</v>
      </c>
      <c r="Q2441">
        <v>0.235232</v>
      </c>
    </row>
    <row r="2442" spans="1:17" x14ac:dyDescent="0.25">
      <c r="A2442" t="str">
        <f>IF(C2442&amp;G2442&amp;D2442&lt;&gt;'Funnel setup'!$K$3&amp;'Funnel setup'!$K$4&amp;'Funnel setup'!$K$6,".",IF(A2441=".",1,A2441+1))</f>
        <v>.</v>
      </c>
      <c r="B2442" s="244" t="str">
        <f t="shared" si="38"/>
        <v>Knee Replacement PrimaryProviderTORBAY AND SOUTH DEVON NHS FOUNDATION TRUST (RA9)EQ-5D Index</v>
      </c>
      <c r="C2442" t="s">
        <v>969</v>
      </c>
      <c r="D2442" t="s">
        <v>965</v>
      </c>
      <c r="E2442" t="s">
        <v>668</v>
      </c>
      <c r="F2442" t="s">
        <v>669</v>
      </c>
      <c r="G2442" t="s">
        <v>963</v>
      </c>
      <c r="H2442">
        <v>6</v>
      </c>
      <c r="I2442">
        <v>0.338667</v>
      </c>
      <c r="J2442">
        <v>0.57883300000000004</v>
      </c>
      <c r="K2442">
        <v>0.24016699999999999</v>
      </c>
      <c r="L2442">
        <v>4</v>
      </c>
      <c r="M2442">
        <v>1</v>
      </c>
      <c r="N2442">
        <v>1</v>
      </c>
      <c r="O2442" t="s">
        <v>127</v>
      </c>
      <c r="P2442" t="s">
        <v>127</v>
      </c>
      <c r="Q2442" t="s">
        <v>127</v>
      </c>
    </row>
    <row r="2443" spans="1:17" x14ac:dyDescent="0.25">
      <c r="A2443" t="str">
        <f>IF(C2443&amp;G2443&amp;D2443&lt;&gt;'Funnel setup'!$K$3&amp;'Funnel setup'!$K$4&amp;'Funnel setup'!$K$6,".",IF(A2442=".",1,A2442+1))</f>
        <v>.</v>
      </c>
      <c r="B2443" s="244" t="str">
        <f t="shared" si="38"/>
        <v>Knee Replacement PrimaryProviderUNITED LINCOLNSHIRE HOSPITALS NHS TRUST (RWD)EQ-5D Index</v>
      </c>
      <c r="C2443" t="s">
        <v>969</v>
      </c>
      <c r="D2443" t="s">
        <v>965</v>
      </c>
      <c r="E2443" t="s">
        <v>672</v>
      </c>
      <c r="F2443" t="s">
        <v>673</v>
      </c>
      <c r="G2443" t="s">
        <v>963</v>
      </c>
      <c r="H2443">
        <v>35</v>
      </c>
      <c r="I2443">
        <v>0.32962900000000001</v>
      </c>
      <c r="J2443">
        <v>0.683114</v>
      </c>
      <c r="K2443">
        <v>0.35348600000000002</v>
      </c>
      <c r="L2443">
        <v>34</v>
      </c>
      <c r="M2443">
        <v>0</v>
      </c>
      <c r="N2443">
        <v>1</v>
      </c>
      <c r="O2443">
        <v>0.70584000000000002</v>
      </c>
      <c r="P2443">
        <v>0.27704499999999999</v>
      </c>
      <c r="Q2443">
        <v>0.25594699999999998</v>
      </c>
    </row>
    <row r="2444" spans="1:17" x14ac:dyDescent="0.25">
      <c r="A2444" t="str">
        <f>IF(C2444&amp;G2444&amp;D2444&lt;&gt;'Funnel setup'!$K$3&amp;'Funnel setup'!$K$4&amp;'Funnel setup'!$K$6,".",IF(A2443=".",1,A2443+1))</f>
        <v>.</v>
      </c>
      <c r="B2444" s="244" t="str">
        <f t="shared" si="38"/>
        <v>Knee Replacement PrimaryProviderUNIVERSITY COLLEGE LONDON HOSPITALS NHS FOUNDATION TRUST (RRV)EQ-5D Index</v>
      </c>
      <c r="C2444" t="s">
        <v>969</v>
      </c>
      <c r="D2444" t="s">
        <v>965</v>
      </c>
      <c r="E2444" t="s">
        <v>674</v>
      </c>
      <c r="F2444" t="s">
        <v>675</v>
      </c>
      <c r="G2444" t="s">
        <v>963</v>
      </c>
      <c r="H2444">
        <v>158</v>
      </c>
      <c r="I2444">
        <v>0.459032</v>
      </c>
      <c r="J2444">
        <v>0.69442400000000004</v>
      </c>
      <c r="K2444">
        <v>0.23539199999999999</v>
      </c>
      <c r="L2444">
        <v>118</v>
      </c>
      <c r="M2444">
        <v>22</v>
      </c>
      <c r="N2444">
        <v>18</v>
      </c>
      <c r="O2444">
        <v>0.717005</v>
      </c>
      <c r="P2444">
        <v>0.28820899999999999</v>
      </c>
      <c r="Q2444">
        <v>0.24404200000000001</v>
      </c>
    </row>
    <row r="2445" spans="1:17" x14ac:dyDescent="0.25">
      <c r="A2445" t="str">
        <f>IF(C2445&amp;G2445&amp;D2445&lt;&gt;'Funnel setup'!$K$3&amp;'Funnel setup'!$K$4&amp;'Funnel setup'!$K$6,".",IF(A2444=".",1,A2444+1))</f>
        <v>.</v>
      </c>
      <c r="B2445" s="244" t="str">
        <f t="shared" si="38"/>
        <v>Knee Replacement PrimaryProviderUNIVERSITY HOSPITAL SOUTHAMPTON NHS FOUNDATION TRUST (RHM)EQ-5D Index</v>
      </c>
      <c r="C2445" t="s">
        <v>969</v>
      </c>
      <c r="D2445" t="s">
        <v>965</v>
      </c>
      <c r="E2445" t="s">
        <v>676</v>
      </c>
      <c r="F2445" t="s">
        <v>677</v>
      </c>
      <c r="G2445" t="s">
        <v>963</v>
      </c>
      <c r="H2445">
        <v>77</v>
      </c>
      <c r="I2445">
        <v>0.45255800000000002</v>
      </c>
      <c r="J2445">
        <v>0.76464900000000002</v>
      </c>
      <c r="K2445">
        <v>0.31209100000000001</v>
      </c>
      <c r="L2445">
        <v>63</v>
      </c>
      <c r="M2445">
        <v>6</v>
      </c>
      <c r="N2445">
        <v>8</v>
      </c>
      <c r="O2445">
        <v>0.75539800000000001</v>
      </c>
      <c r="P2445">
        <v>0.326602</v>
      </c>
      <c r="Q2445">
        <v>0.24940699999999999</v>
      </c>
    </row>
    <row r="2446" spans="1:17" x14ac:dyDescent="0.25">
      <c r="A2446" t="str">
        <f>IF(C2446&amp;G2446&amp;D2446&lt;&gt;'Funnel setup'!$K$3&amp;'Funnel setup'!$K$4&amp;'Funnel setup'!$K$6,".",IF(A2445=".",1,A2445+1))</f>
        <v>.</v>
      </c>
      <c r="B2446" s="244" t="str">
        <f t="shared" si="38"/>
        <v>Knee Replacement PrimaryProviderUNIVERSITY HOSPITALS BRISTOL AND WESTON NHS FOUNDATION TRUST (RA7)EQ-5D Index</v>
      </c>
      <c r="C2446" t="s">
        <v>969</v>
      </c>
      <c r="D2446" t="s">
        <v>965</v>
      </c>
      <c r="E2446" t="s">
        <v>680</v>
      </c>
      <c r="F2446" t="s">
        <v>681</v>
      </c>
      <c r="G2446" t="s">
        <v>963</v>
      </c>
      <c r="H2446">
        <v>17</v>
      </c>
      <c r="I2446">
        <v>0.20452899999999999</v>
      </c>
      <c r="J2446">
        <v>0.67676499999999995</v>
      </c>
      <c r="K2446">
        <v>0.47223500000000002</v>
      </c>
      <c r="L2446">
        <v>16</v>
      </c>
      <c r="M2446">
        <v>0</v>
      </c>
      <c r="N2446">
        <v>1</v>
      </c>
      <c r="O2446" t="s">
        <v>127</v>
      </c>
      <c r="P2446" t="s">
        <v>127</v>
      </c>
      <c r="Q2446" t="s">
        <v>127</v>
      </c>
    </row>
    <row r="2447" spans="1:17" x14ac:dyDescent="0.25">
      <c r="A2447" t="str">
        <f>IF(C2447&amp;G2447&amp;D2447&lt;&gt;'Funnel setup'!$K$3&amp;'Funnel setup'!$K$4&amp;'Funnel setup'!$K$6,".",IF(A2446=".",1,A2446+1))</f>
        <v>.</v>
      </c>
      <c r="B2447" s="244" t="str">
        <f t="shared" si="38"/>
        <v>Knee Replacement PrimaryProviderUNIVERSITY HOSPITALS COVENTRY AND WARWICKSHIRE NHS TRUST (RKB)EQ-5D Index</v>
      </c>
      <c r="C2447" t="s">
        <v>969</v>
      </c>
      <c r="D2447" t="s">
        <v>965</v>
      </c>
      <c r="E2447" t="s">
        <v>682</v>
      </c>
      <c r="F2447" t="s">
        <v>683</v>
      </c>
      <c r="G2447" t="s">
        <v>963</v>
      </c>
      <c r="H2447">
        <v>17</v>
      </c>
      <c r="I2447">
        <v>0.39005899999999999</v>
      </c>
      <c r="J2447">
        <v>0.85305900000000001</v>
      </c>
      <c r="K2447">
        <v>0.46300000000000002</v>
      </c>
      <c r="L2447">
        <v>17</v>
      </c>
      <c r="M2447">
        <v>0</v>
      </c>
      <c r="N2447">
        <v>0</v>
      </c>
      <c r="O2447" t="s">
        <v>127</v>
      </c>
      <c r="P2447" t="s">
        <v>127</v>
      </c>
      <c r="Q2447" t="s">
        <v>127</v>
      </c>
    </row>
    <row r="2448" spans="1:17" x14ac:dyDescent="0.25">
      <c r="A2448" t="str">
        <f>IF(C2448&amp;G2448&amp;D2448&lt;&gt;'Funnel setup'!$K$3&amp;'Funnel setup'!$K$4&amp;'Funnel setup'!$K$6,".",IF(A2447=".",1,A2447+1))</f>
        <v>.</v>
      </c>
      <c r="B2448" s="244" t="str">
        <f t="shared" si="38"/>
        <v>Knee Replacement PrimaryProviderUNIVERSITY HOSPITAL DORSET NHS FUNDATION TRUST (R0D)EQ-5D Index</v>
      </c>
      <c r="C2448" t="s">
        <v>969</v>
      </c>
      <c r="D2448" t="s">
        <v>965</v>
      </c>
      <c r="E2448" t="s">
        <v>684</v>
      </c>
      <c r="F2448" t="s">
        <v>966</v>
      </c>
      <c r="G2448" t="s">
        <v>963</v>
      </c>
      <c r="H2448">
        <v>186</v>
      </c>
      <c r="I2448">
        <v>0.50364500000000001</v>
      </c>
      <c r="J2448">
        <v>0.75782300000000002</v>
      </c>
      <c r="K2448">
        <v>0.25417699999999999</v>
      </c>
      <c r="L2448">
        <v>150</v>
      </c>
      <c r="M2448">
        <v>14</v>
      </c>
      <c r="N2448">
        <v>22</v>
      </c>
      <c r="O2448">
        <v>0.74750799999999995</v>
      </c>
      <c r="P2448">
        <v>0.318712</v>
      </c>
      <c r="Q2448">
        <v>0.21345800000000001</v>
      </c>
    </row>
    <row r="2449" spans="1:17" x14ac:dyDescent="0.25">
      <c r="A2449" t="str">
        <f>IF(C2449&amp;G2449&amp;D2449&lt;&gt;'Funnel setup'!$K$3&amp;'Funnel setup'!$K$4&amp;'Funnel setup'!$K$6,".",IF(A2448=".",1,A2448+1))</f>
        <v>.</v>
      </c>
      <c r="B2449" s="244" t="str">
        <f t="shared" si="38"/>
        <v>Knee Replacement PrimaryProviderUNIVERSITY HOSPITALS OF DERBY AND BURTON NHS FOUNDATION TRUST (RTG)EQ-5D Index</v>
      </c>
      <c r="C2449" t="s">
        <v>969</v>
      </c>
      <c r="D2449" t="s">
        <v>965</v>
      </c>
      <c r="E2449" t="s">
        <v>686</v>
      </c>
      <c r="F2449" t="s">
        <v>687</v>
      </c>
      <c r="G2449" t="s">
        <v>963</v>
      </c>
      <c r="H2449">
        <v>350</v>
      </c>
      <c r="I2449">
        <v>0.43531999999999998</v>
      </c>
      <c r="J2449">
        <v>0.738097</v>
      </c>
      <c r="K2449">
        <v>0.30277700000000002</v>
      </c>
      <c r="L2449">
        <v>277</v>
      </c>
      <c r="M2449">
        <v>38</v>
      </c>
      <c r="N2449">
        <v>35</v>
      </c>
      <c r="O2449">
        <v>0.744251</v>
      </c>
      <c r="P2449">
        <v>0.31545499999999999</v>
      </c>
      <c r="Q2449">
        <v>0.23924899999999999</v>
      </c>
    </row>
    <row r="2450" spans="1:17" x14ac:dyDescent="0.25">
      <c r="A2450" t="str">
        <f>IF(C2450&amp;G2450&amp;D2450&lt;&gt;'Funnel setup'!$K$3&amp;'Funnel setup'!$K$4&amp;'Funnel setup'!$K$6,".",IF(A2449=".",1,A2449+1))</f>
        <v>.</v>
      </c>
      <c r="B2450" s="244" t="str">
        <f t="shared" si="38"/>
        <v>Knee Replacement PrimaryProviderUNIVERSITY HOSPITALS OF LEICESTER NHS TRUST (RWE)EQ-5D Index</v>
      </c>
      <c r="C2450" t="s">
        <v>969</v>
      </c>
      <c r="D2450" t="s">
        <v>965</v>
      </c>
      <c r="E2450" t="s">
        <v>688</v>
      </c>
      <c r="F2450" t="s">
        <v>689</v>
      </c>
      <c r="G2450" t="s">
        <v>963</v>
      </c>
      <c r="H2450">
        <v>165</v>
      </c>
      <c r="I2450">
        <v>0.342279</v>
      </c>
      <c r="J2450">
        <v>0.68359999999999999</v>
      </c>
      <c r="K2450">
        <v>0.34132099999999999</v>
      </c>
      <c r="L2450">
        <v>127</v>
      </c>
      <c r="M2450">
        <v>20</v>
      </c>
      <c r="N2450">
        <v>18</v>
      </c>
      <c r="O2450">
        <v>0.72653000000000001</v>
      </c>
      <c r="P2450">
        <v>0.297734</v>
      </c>
      <c r="Q2450">
        <v>0.24509400000000001</v>
      </c>
    </row>
    <row r="2451" spans="1:17" x14ac:dyDescent="0.25">
      <c r="A2451" t="str">
        <f>IF(C2451&amp;G2451&amp;D2451&lt;&gt;'Funnel setup'!$K$3&amp;'Funnel setup'!$K$4&amp;'Funnel setup'!$K$6,".",IF(A2450=".",1,A2450+1))</f>
        <v>.</v>
      </c>
      <c r="B2451" s="244" t="str">
        <f t="shared" si="38"/>
        <v>Knee Replacement PrimaryProviderUNIVERSITY HOSPITALS OF MORECAMBE BAY NHS FOUNDATION TRUST (RTX)EQ-5D Index</v>
      </c>
      <c r="C2451" t="s">
        <v>969</v>
      </c>
      <c r="D2451" t="s">
        <v>965</v>
      </c>
      <c r="E2451" t="s">
        <v>690</v>
      </c>
      <c r="F2451" t="s">
        <v>691</v>
      </c>
      <c r="G2451" t="s">
        <v>963</v>
      </c>
      <c r="H2451">
        <v>158</v>
      </c>
      <c r="I2451">
        <v>0.41652499999999998</v>
      </c>
      <c r="J2451">
        <v>0.74297500000000005</v>
      </c>
      <c r="K2451">
        <v>0.32644899999999999</v>
      </c>
      <c r="L2451">
        <v>126</v>
      </c>
      <c r="M2451">
        <v>12</v>
      </c>
      <c r="N2451">
        <v>20</v>
      </c>
      <c r="O2451">
        <v>0.74561900000000003</v>
      </c>
      <c r="P2451">
        <v>0.31682300000000002</v>
      </c>
      <c r="Q2451">
        <v>0.23624000000000001</v>
      </c>
    </row>
    <row r="2452" spans="1:17" x14ac:dyDescent="0.25">
      <c r="A2452" t="str">
        <f>IF(C2452&amp;G2452&amp;D2452&lt;&gt;'Funnel setup'!$K$3&amp;'Funnel setup'!$K$4&amp;'Funnel setup'!$K$6,".",IF(A2451=".",1,A2451+1))</f>
        <v>.</v>
      </c>
      <c r="B2452" s="244" t="str">
        <f t="shared" si="38"/>
        <v>Knee Replacement PrimaryProviderUNIVERSITY HOSPITALS OF NORTH MIDLANDS NHS TRUST (RJE)EQ-5D Index</v>
      </c>
      <c r="C2452" t="s">
        <v>969</v>
      </c>
      <c r="D2452" t="s">
        <v>965</v>
      </c>
      <c r="E2452" t="s">
        <v>692</v>
      </c>
      <c r="F2452" t="s">
        <v>693</v>
      </c>
      <c r="G2452" t="s">
        <v>963</v>
      </c>
      <c r="H2452">
        <v>17</v>
      </c>
      <c r="I2452">
        <v>0.28176499999999999</v>
      </c>
      <c r="J2452">
        <v>0.64817599999999997</v>
      </c>
      <c r="K2452">
        <v>0.36641200000000002</v>
      </c>
      <c r="L2452">
        <v>15</v>
      </c>
      <c r="M2452">
        <v>1</v>
      </c>
      <c r="N2452">
        <v>1</v>
      </c>
      <c r="O2452" t="s">
        <v>127</v>
      </c>
      <c r="P2452" t="s">
        <v>127</v>
      </c>
      <c r="Q2452" t="s">
        <v>127</v>
      </c>
    </row>
    <row r="2453" spans="1:17" x14ac:dyDescent="0.25">
      <c r="A2453" t="str">
        <f>IF(C2453&amp;G2453&amp;D2453&lt;&gt;'Funnel setup'!$K$3&amp;'Funnel setup'!$K$4&amp;'Funnel setup'!$K$6,".",IF(A2452=".",1,A2452+1))</f>
        <v>.</v>
      </c>
      <c r="B2453" s="244" t="str">
        <f t="shared" si="38"/>
        <v>Knee Replacement PrimaryProviderUNIVERSITY HOSPITALS PLYMOUTH NHS TRUST (RK9)EQ-5D Index</v>
      </c>
      <c r="C2453" t="s">
        <v>969</v>
      </c>
      <c r="D2453" t="s">
        <v>965</v>
      </c>
      <c r="E2453" t="s">
        <v>694</v>
      </c>
      <c r="F2453" t="s">
        <v>695</v>
      </c>
      <c r="G2453" t="s">
        <v>963</v>
      </c>
      <c r="H2453">
        <v>3</v>
      </c>
      <c r="I2453">
        <v>7.7333299999999994E-2</v>
      </c>
      <c r="J2453">
        <v>0.20033300000000001</v>
      </c>
      <c r="K2453">
        <v>0.123</v>
      </c>
      <c r="L2453">
        <v>1</v>
      </c>
      <c r="M2453">
        <v>0</v>
      </c>
      <c r="N2453">
        <v>2</v>
      </c>
      <c r="O2453" t="s">
        <v>127</v>
      </c>
      <c r="P2453" t="s">
        <v>127</v>
      </c>
      <c r="Q2453" t="s">
        <v>127</v>
      </c>
    </row>
    <row r="2454" spans="1:17" x14ac:dyDescent="0.25">
      <c r="A2454" t="str">
        <f>IF(C2454&amp;G2454&amp;D2454&lt;&gt;'Funnel setup'!$K$3&amp;'Funnel setup'!$K$4&amp;'Funnel setup'!$K$6,".",IF(A2453=".",1,A2453+1))</f>
        <v>.</v>
      </c>
      <c r="B2454" s="244" t="str">
        <f t="shared" si="38"/>
        <v>Knee Replacement PrimaryProviderUNIVERSITY HOSPITALS SUSSEX NHS FOUNDATION TRUST (RYR)EQ-5D Index</v>
      </c>
      <c r="C2454" t="s">
        <v>969</v>
      </c>
      <c r="D2454" t="s">
        <v>965</v>
      </c>
      <c r="E2454" t="s">
        <v>696</v>
      </c>
      <c r="F2454" t="s">
        <v>697</v>
      </c>
      <c r="G2454" t="s">
        <v>963</v>
      </c>
      <c r="H2454">
        <v>125</v>
      </c>
      <c r="I2454">
        <v>0.36530400000000002</v>
      </c>
      <c r="J2454">
        <v>0.71421599999999996</v>
      </c>
      <c r="K2454">
        <v>0.348912</v>
      </c>
      <c r="L2454">
        <v>102</v>
      </c>
      <c r="M2454">
        <v>14</v>
      </c>
      <c r="N2454">
        <v>9</v>
      </c>
      <c r="O2454">
        <v>0.72353999999999996</v>
      </c>
      <c r="P2454">
        <v>0.29474400000000001</v>
      </c>
      <c r="Q2454">
        <v>0.23413300000000001</v>
      </c>
    </row>
    <row r="2455" spans="1:17" x14ac:dyDescent="0.25">
      <c r="A2455" t="str">
        <f>IF(C2455&amp;G2455&amp;D2455&lt;&gt;'Funnel setup'!$K$3&amp;'Funnel setup'!$K$4&amp;'Funnel setup'!$K$6,".",IF(A2454=".",1,A2454+1))</f>
        <v>.</v>
      </c>
      <c r="B2455" s="244" t="str">
        <f t="shared" si="38"/>
        <v>Knee Replacement PrimaryProviderWALSALL HEALTHCARE NHS TRUST (RBK)EQ-5D Index</v>
      </c>
      <c r="C2455" t="s">
        <v>969</v>
      </c>
      <c r="D2455" t="s">
        <v>965</v>
      </c>
      <c r="E2455" t="s">
        <v>698</v>
      </c>
      <c r="F2455" t="s">
        <v>699</v>
      </c>
      <c r="G2455" t="s">
        <v>963</v>
      </c>
      <c r="H2455">
        <v>9</v>
      </c>
      <c r="I2455">
        <v>0.42611100000000002</v>
      </c>
      <c r="J2455">
        <v>0.751</v>
      </c>
      <c r="K2455">
        <v>0.32488899999999998</v>
      </c>
      <c r="L2455">
        <v>7</v>
      </c>
      <c r="M2455">
        <v>0</v>
      </c>
      <c r="N2455">
        <v>2</v>
      </c>
      <c r="O2455" t="s">
        <v>127</v>
      </c>
      <c r="P2455" t="s">
        <v>127</v>
      </c>
      <c r="Q2455" t="s">
        <v>127</v>
      </c>
    </row>
    <row r="2456" spans="1:17" x14ac:dyDescent="0.25">
      <c r="A2456" t="str">
        <f>IF(C2456&amp;G2456&amp;D2456&lt;&gt;'Funnel setup'!$K$3&amp;'Funnel setup'!$K$4&amp;'Funnel setup'!$K$6,".",IF(A2455=".",1,A2455+1))</f>
        <v>.</v>
      </c>
      <c r="B2456" s="244" t="str">
        <f t="shared" si="38"/>
        <v>Knee Replacement PrimaryProviderWARRINGTON AND HALTON TEACHING HOSPITALS NHS FOUNDATION TRUST (RWW)EQ-5D Index</v>
      </c>
      <c r="C2456" t="s">
        <v>969</v>
      </c>
      <c r="D2456" t="s">
        <v>965</v>
      </c>
      <c r="E2456" t="s">
        <v>700</v>
      </c>
      <c r="F2456" t="s">
        <v>701</v>
      </c>
      <c r="G2456" t="s">
        <v>963</v>
      </c>
      <c r="H2456">
        <v>30</v>
      </c>
      <c r="I2456">
        <v>0.39800000000000002</v>
      </c>
      <c r="J2456">
        <v>0.72046699999999997</v>
      </c>
      <c r="K2456">
        <v>0.322467</v>
      </c>
      <c r="L2456">
        <v>22</v>
      </c>
      <c r="M2456">
        <v>4</v>
      </c>
      <c r="N2456">
        <v>4</v>
      </c>
      <c r="O2456">
        <v>0.74775599999999998</v>
      </c>
      <c r="P2456">
        <v>0.31896099999999999</v>
      </c>
      <c r="Q2456">
        <v>0.21398500000000001</v>
      </c>
    </row>
    <row r="2457" spans="1:17" x14ac:dyDescent="0.25">
      <c r="A2457" t="str">
        <f>IF(C2457&amp;G2457&amp;D2457&lt;&gt;'Funnel setup'!$K$3&amp;'Funnel setup'!$K$4&amp;'Funnel setup'!$K$6,".",IF(A2456=".",1,A2456+1))</f>
        <v>.</v>
      </c>
      <c r="B2457" s="244" t="str">
        <f t="shared" si="38"/>
        <v>Knee Replacement PrimaryProviderWEST HERTFORDSHIRE TEACHING HOSPITALS NHS TRUST (RWG)EQ-5D Index</v>
      </c>
      <c r="C2457" t="s">
        <v>969</v>
      </c>
      <c r="D2457" t="s">
        <v>965</v>
      </c>
      <c r="E2457" t="s">
        <v>702</v>
      </c>
      <c r="F2457" t="s">
        <v>703</v>
      </c>
      <c r="G2457" t="s">
        <v>963</v>
      </c>
      <c r="H2457">
        <v>76</v>
      </c>
      <c r="I2457">
        <v>0.445579</v>
      </c>
      <c r="J2457">
        <v>0.72682899999999995</v>
      </c>
      <c r="K2457">
        <v>0.28125</v>
      </c>
      <c r="L2457">
        <v>57</v>
      </c>
      <c r="M2457">
        <v>9</v>
      </c>
      <c r="N2457">
        <v>10</v>
      </c>
      <c r="O2457">
        <v>0.71671799999999997</v>
      </c>
      <c r="P2457">
        <v>0.28792200000000001</v>
      </c>
      <c r="Q2457">
        <v>0.27504899999999999</v>
      </c>
    </row>
    <row r="2458" spans="1:17" x14ac:dyDescent="0.25">
      <c r="A2458" t="str">
        <f>IF(C2458&amp;G2458&amp;D2458&lt;&gt;'Funnel setup'!$K$3&amp;'Funnel setup'!$K$4&amp;'Funnel setup'!$K$6,".",IF(A2457=".",1,A2457+1))</f>
        <v>.</v>
      </c>
      <c r="B2458" s="244" t="str">
        <f t="shared" si="38"/>
        <v>Knee Replacement PrimaryProviderWEST MIDLANDS HOSPITAL (NVC21)EQ-5D Index</v>
      </c>
      <c r="C2458" t="s">
        <v>969</v>
      </c>
      <c r="D2458" t="s">
        <v>965</v>
      </c>
      <c r="E2458" t="s">
        <v>704</v>
      </c>
      <c r="F2458" t="s">
        <v>705</v>
      </c>
      <c r="G2458" t="s">
        <v>963</v>
      </c>
      <c r="H2458">
        <v>61</v>
      </c>
      <c r="I2458">
        <v>0.37414799999999998</v>
      </c>
      <c r="J2458">
        <v>0.76780300000000001</v>
      </c>
      <c r="K2458">
        <v>0.39365600000000001</v>
      </c>
      <c r="L2458">
        <v>54</v>
      </c>
      <c r="M2458">
        <v>3</v>
      </c>
      <c r="N2458">
        <v>4</v>
      </c>
      <c r="O2458">
        <v>0.79846200000000001</v>
      </c>
      <c r="P2458">
        <v>0.36966599999999999</v>
      </c>
      <c r="Q2458">
        <v>0.21226200000000001</v>
      </c>
    </row>
    <row r="2459" spans="1:17" x14ac:dyDescent="0.25">
      <c r="A2459" t="str">
        <f>IF(C2459&amp;G2459&amp;D2459&lt;&gt;'Funnel setup'!$K$3&amp;'Funnel setup'!$K$4&amp;'Funnel setup'!$K$6,".",IF(A2458=".",1,A2458+1))</f>
        <v>.</v>
      </c>
      <c r="B2459" s="244" t="str">
        <f t="shared" si="38"/>
        <v>Knee Replacement PrimaryProviderWEST SUFFOLK NHS FOUNDATION TRUST (RGR)EQ-5D Index</v>
      </c>
      <c r="C2459" t="s">
        <v>969</v>
      </c>
      <c r="D2459" t="s">
        <v>965</v>
      </c>
      <c r="E2459" t="s">
        <v>706</v>
      </c>
      <c r="F2459" t="s">
        <v>707</v>
      </c>
      <c r="G2459" t="s">
        <v>963</v>
      </c>
      <c r="H2459">
        <v>66</v>
      </c>
      <c r="I2459">
        <v>0.39007599999999998</v>
      </c>
      <c r="J2459">
        <v>0.74237900000000001</v>
      </c>
      <c r="K2459">
        <v>0.35230299999999998</v>
      </c>
      <c r="L2459">
        <v>52</v>
      </c>
      <c r="M2459">
        <v>5</v>
      </c>
      <c r="N2459">
        <v>9</v>
      </c>
      <c r="O2459">
        <v>0.73754799999999998</v>
      </c>
      <c r="P2459">
        <v>0.30875200000000003</v>
      </c>
      <c r="Q2459">
        <v>0.255911</v>
      </c>
    </row>
    <row r="2460" spans="1:17" x14ac:dyDescent="0.25">
      <c r="A2460" t="str">
        <f>IF(C2460&amp;G2460&amp;D2460&lt;&gt;'Funnel setup'!$K$3&amp;'Funnel setup'!$K$4&amp;'Funnel setup'!$K$6,".",IF(A2459=".",1,A2459+1))</f>
        <v>.</v>
      </c>
      <c r="B2460" s="244" t="str">
        <f t="shared" si="38"/>
        <v>Knee Replacement PrimaryProviderWINFIELD HOSPITAL (NVC22)EQ-5D Index</v>
      </c>
      <c r="C2460" t="s">
        <v>969</v>
      </c>
      <c r="D2460" t="s">
        <v>965</v>
      </c>
      <c r="E2460" t="s">
        <v>710</v>
      </c>
      <c r="F2460" t="s">
        <v>711</v>
      </c>
      <c r="G2460" t="s">
        <v>963</v>
      </c>
      <c r="H2460">
        <v>50</v>
      </c>
      <c r="I2460">
        <v>0.55991999999999997</v>
      </c>
      <c r="J2460">
        <v>0.81198000000000004</v>
      </c>
      <c r="K2460">
        <v>0.25206000000000001</v>
      </c>
      <c r="L2460">
        <v>44</v>
      </c>
      <c r="M2460">
        <v>4</v>
      </c>
      <c r="N2460">
        <v>2</v>
      </c>
      <c r="O2460">
        <v>0.76419300000000001</v>
      </c>
      <c r="P2460">
        <v>0.335397</v>
      </c>
      <c r="Q2460">
        <v>0.22256500000000001</v>
      </c>
    </row>
    <row r="2461" spans="1:17" x14ac:dyDescent="0.25">
      <c r="A2461" t="str">
        <f>IF(C2461&amp;G2461&amp;D2461&lt;&gt;'Funnel setup'!$K$3&amp;'Funnel setup'!$K$4&amp;'Funnel setup'!$K$6,".",IF(A2460=".",1,A2460+1))</f>
        <v>.</v>
      </c>
      <c r="B2461" s="244" t="str">
        <f t="shared" si="38"/>
        <v>Knee Replacement PrimaryProviderWINTERBOURNE HOSPITAL (NT443)EQ-5D Index</v>
      </c>
      <c r="C2461" t="s">
        <v>969</v>
      </c>
      <c r="D2461" t="s">
        <v>965</v>
      </c>
      <c r="E2461" t="s">
        <v>712</v>
      </c>
      <c r="F2461" t="s">
        <v>713</v>
      </c>
      <c r="G2461" t="s">
        <v>963</v>
      </c>
      <c r="H2461">
        <v>39</v>
      </c>
      <c r="I2461">
        <v>0.47051300000000001</v>
      </c>
      <c r="J2461">
        <v>0.83310300000000004</v>
      </c>
      <c r="K2461">
        <v>0.36259000000000002</v>
      </c>
      <c r="L2461">
        <v>35</v>
      </c>
      <c r="M2461">
        <v>0</v>
      </c>
      <c r="N2461">
        <v>4</v>
      </c>
      <c r="O2461">
        <v>0.80580099999999999</v>
      </c>
      <c r="P2461">
        <v>0.37700499999999998</v>
      </c>
      <c r="Q2461">
        <v>0.21589900000000001</v>
      </c>
    </row>
    <row r="2462" spans="1:17" x14ac:dyDescent="0.25">
      <c r="A2462" t="str">
        <f>IF(C2462&amp;G2462&amp;D2462&lt;&gt;'Funnel setup'!$K$3&amp;'Funnel setup'!$K$4&amp;'Funnel setup'!$K$6,".",IF(A2461=".",1,A2461+1))</f>
        <v>.</v>
      </c>
      <c r="B2462" s="244" t="str">
        <f t="shared" si="38"/>
        <v>Knee Replacement PrimaryProviderWIRRAL UNIVERSITY TEACHING HOSPITAL NHS FOUNDATION TRUST (RBL)EQ-5D Index</v>
      </c>
      <c r="C2462" t="s">
        <v>969</v>
      </c>
      <c r="D2462" t="s">
        <v>965</v>
      </c>
      <c r="E2462" t="s">
        <v>714</v>
      </c>
      <c r="F2462" t="s">
        <v>715</v>
      </c>
      <c r="G2462" t="s">
        <v>963</v>
      </c>
      <c r="H2462">
        <v>81</v>
      </c>
      <c r="I2462">
        <v>0.39454299999999998</v>
      </c>
      <c r="J2462">
        <v>0.75276500000000002</v>
      </c>
      <c r="K2462">
        <v>0.35822199999999998</v>
      </c>
      <c r="L2462">
        <v>69</v>
      </c>
      <c r="M2462">
        <v>2</v>
      </c>
      <c r="N2462">
        <v>10</v>
      </c>
      <c r="O2462">
        <v>0.76360600000000001</v>
      </c>
      <c r="P2462">
        <v>0.33481100000000003</v>
      </c>
      <c r="Q2462">
        <v>0.251911</v>
      </c>
    </row>
    <row r="2463" spans="1:17" x14ac:dyDescent="0.25">
      <c r="A2463" t="str">
        <f>IF(C2463&amp;G2463&amp;D2463&lt;&gt;'Funnel setup'!$K$3&amp;'Funnel setup'!$K$4&amp;'Funnel setup'!$K$6,".",IF(A2462=".",1,A2462+1))</f>
        <v>.</v>
      </c>
      <c r="B2463" s="244" t="str">
        <f t="shared" si="38"/>
        <v>Knee Replacement PrimaryProviderWOODLAND HOSPITAL (NVC23)EQ-5D Index</v>
      </c>
      <c r="C2463" t="s">
        <v>969</v>
      </c>
      <c r="D2463" t="s">
        <v>965</v>
      </c>
      <c r="E2463" t="s">
        <v>716</v>
      </c>
      <c r="F2463" t="s">
        <v>717</v>
      </c>
      <c r="G2463" t="s">
        <v>963</v>
      </c>
      <c r="H2463">
        <v>62</v>
      </c>
      <c r="I2463">
        <v>0.277339</v>
      </c>
      <c r="J2463">
        <v>0.75059699999999996</v>
      </c>
      <c r="K2463">
        <v>0.47325800000000001</v>
      </c>
      <c r="L2463">
        <v>54</v>
      </c>
      <c r="M2463">
        <v>6</v>
      </c>
      <c r="N2463">
        <v>2</v>
      </c>
      <c r="O2463">
        <v>0.76576599999999995</v>
      </c>
      <c r="P2463">
        <v>0.33696999999999999</v>
      </c>
      <c r="Q2463">
        <v>0.23625499999999999</v>
      </c>
    </row>
    <row r="2464" spans="1:17" x14ac:dyDescent="0.25">
      <c r="A2464" t="str">
        <f>IF(C2464&amp;G2464&amp;D2464&lt;&gt;'Funnel setup'!$K$3&amp;'Funnel setup'!$K$4&amp;'Funnel setup'!$K$6,".",IF(A2463=".",1,A2463+1))</f>
        <v>.</v>
      </c>
      <c r="B2464" s="244" t="str">
        <f t="shared" si="38"/>
        <v>Knee Replacement PrimaryProviderWOODLANDS HOSPITAL (NT457)EQ-5D Index</v>
      </c>
      <c r="C2464" t="s">
        <v>969</v>
      </c>
      <c r="D2464" t="s">
        <v>965</v>
      </c>
      <c r="E2464" t="s">
        <v>718</v>
      </c>
      <c r="F2464" t="s">
        <v>719</v>
      </c>
      <c r="G2464" t="s">
        <v>963</v>
      </c>
      <c r="H2464">
        <v>86</v>
      </c>
      <c r="I2464">
        <v>0.46247700000000003</v>
      </c>
      <c r="J2464">
        <v>0.78100000000000003</v>
      </c>
      <c r="K2464">
        <v>0.318523</v>
      </c>
      <c r="L2464">
        <v>67</v>
      </c>
      <c r="M2464">
        <v>8</v>
      </c>
      <c r="N2464">
        <v>11</v>
      </c>
      <c r="O2464">
        <v>0.75356800000000002</v>
      </c>
      <c r="P2464">
        <v>0.32477299999999998</v>
      </c>
      <c r="Q2464">
        <v>0.26630100000000001</v>
      </c>
    </row>
    <row r="2465" spans="1:17" x14ac:dyDescent="0.25">
      <c r="A2465" t="str">
        <f>IF(C2465&amp;G2465&amp;D2465&lt;&gt;'Funnel setup'!$K$3&amp;'Funnel setup'!$K$4&amp;'Funnel setup'!$K$6,".",IF(A2464=".",1,A2464+1))</f>
        <v>.</v>
      </c>
      <c r="B2465" s="244" t="str">
        <f t="shared" si="38"/>
        <v>Knee Replacement PrimaryProviderWOODTHORPE HOSPITAL (NVC40)EQ-5D Index</v>
      </c>
      <c r="C2465" t="s">
        <v>969</v>
      </c>
      <c r="D2465" t="s">
        <v>965</v>
      </c>
      <c r="E2465" t="s">
        <v>720</v>
      </c>
      <c r="F2465" t="s">
        <v>721</v>
      </c>
      <c r="G2465" t="s">
        <v>963</v>
      </c>
      <c r="H2465">
        <v>116</v>
      </c>
      <c r="I2465">
        <v>0.464698</v>
      </c>
      <c r="J2465">
        <v>0.756741</v>
      </c>
      <c r="K2465">
        <v>0.292043</v>
      </c>
      <c r="L2465">
        <v>95</v>
      </c>
      <c r="M2465">
        <v>6</v>
      </c>
      <c r="N2465">
        <v>15</v>
      </c>
      <c r="O2465">
        <v>0.72335700000000003</v>
      </c>
      <c r="P2465">
        <v>0.29456100000000002</v>
      </c>
      <c r="Q2465">
        <v>0.211287</v>
      </c>
    </row>
    <row r="2466" spans="1:17" x14ac:dyDescent="0.25">
      <c r="A2466" t="str">
        <f>IF(C2466&amp;G2466&amp;D2466&lt;&gt;'Funnel setup'!$K$3&amp;'Funnel setup'!$K$4&amp;'Funnel setup'!$K$6,".",IF(A2465=".",1,A2465+1))</f>
        <v>.</v>
      </c>
      <c r="B2466" s="244" t="str">
        <f t="shared" si="38"/>
        <v>Knee Replacement PrimaryProviderWORCESTERSHIRE ACUTE HOSPITALS NHS TRUST (RWP)EQ-5D Index</v>
      </c>
      <c r="C2466" t="s">
        <v>969</v>
      </c>
      <c r="D2466" t="s">
        <v>965</v>
      </c>
      <c r="E2466" t="s">
        <v>722</v>
      </c>
      <c r="F2466" t="s">
        <v>723</v>
      </c>
      <c r="G2466" t="s">
        <v>963</v>
      </c>
      <c r="H2466">
        <v>46</v>
      </c>
      <c r="I2466">
        <v>0.320413</v>
      </c>
      <c r="J2466">
        <v>0.68391299999999999</v>
      </c>
      <c r="K2466">
        <v>0.36349999999999999</v>
      </c>
      <c r="L2466">
        <v>38</v>
      </c>
      <c r="M2466">
        <v>2</v>
      </c>
      <c r="N2466">
        <v>6</v>
      </c>
      <c r="O2466">
        <v>0.708874</v>
      </c>
      <c r="P2466">
        <v>0.28007799999999999</v>
      </c>
      <c r="Q2466">
        <v>0.258793</v>
      </c>
    </row>
    <row r="2467" spans="1:17" x14ac:dyDescent="0.25">
      <c r="A2467" t="str">
        <f>IF(C2467&amp;G2467&amp;D2467&lt;&gt;'Funnel setup'!$K$3&amp;'Funnel setup'!$K$4&amp;'Funnel setup'!$K$6,".",IF(A2466=".",1,A2466+1))</f>
        <v>.</v>
      </c>
      <c r="B2467" s="244" t="str">
        <f t="shared" si="38"/>
        <v>Knee Replacement PrimaryProviderWRIGHTINGTON, WIGAN AND LEIGH NHS FOUNDATION TRUST (RRF)EQ-5D Index</v>
      </c>
      <c r="C2467" t="s">
        <v>969</v>
      </c>
      <c r="D2467" t="s">
        <v>965</v>
      </c>
      <c r="E2467" t="s">
        <v>724</v>
      </c>
      <c r="F2467" t="s">
        <v>725</v>
      </c>
      <c r="G2467" t="s">
        <v>963</v>
      </c>
      <c r="H2467">
        <v>11</v>
      </c>
      <c r="I2467">
        <v>0.484182</v>
      </c>
      <c r="J2467">
        <v>0.73563599999999996</v>
      </c>
      <c r="K2467">
        <v>0.25145499999999998</v>
      </c>
      <c r="L2467">
        <v>7</v>
      </c>
      <c r="M2467">
        <v>1</v>
      </c>
      <c r="N2467">
        <v>3</v>
      </c>
      <c r="O2467" t="s">
        <v>127</v>
      </c>
      <c r="P2467" t="s">
        <v>127</v>
      </c>
      <c r="Q2467" t="s">
        <v>127</v>
      </c>
    </row>
    <row r="2468" spans="1:17" x14ac:dyDescent="0.25">
      <c r="A2468" t="str">
        <f>IF(C2468&amp;G2468&amp;D2468&lt;&gt;'Funnel setup'!$K$3&amp;'Funnel setup'!$K$4&amp;'Funnel setup'!$K$6,".",IF(A2467=".",1,A2467+1))</f>
        <v>.</v>
      </c>
      <c r="B2468" s="244" t="str">
        <f t="shared" si="38"/>
        <v>Knee Replacement PrimaryProviderWYE VALLEY NHS TRUST (RLQ)EQ-5D Index</v>
      </c>
      <c r="C2468" t="s">
        <v>969</v>
      </c>
      <c r="D2468" t="s">
        <v>965</v>
      </c>
      <c r="E2468" t="s">
        <v>726</v>
      </c>
      <c r="F2468" t="s">
        <v>727</v>
      </c>
      <c r="G2468" t="s">
        <v>963</v>
      </c>
      <c r="H2468">
        <v>32</v>
      </c>
      <c r="I2468">
        <v>0.53403100000000003</v>
      </c>
      <c r="J2468">
        <v>0.74393699999999996</v>
      </c>
      <c r="K2468">
        <v>0.20990600000000001</v>
      </c>
      <c r="L2468">
        <v>26</v>
      </c>
      <c r="M2468">
        <v>3</v>
      </c>
      <c r="N2468">
        <v>3</v>
      </c>
      <c r="O2468">
        <v>0.74616199999999999</v>
      </c>
      <c r="P2468">
        <v>0.31736599999999998</v>
      </c>
      <c r="Q2468">
        <v>0.21090999999999999</v>
      </c>
    </row>
    <row r="2469" spans="1:17" x14ac:dyDescent="0.25">
      <c r="A2469" t="str">
        <f>IF(C2469&amp;G2469&amp;D2469&lt;&gt;'Funnel setup'!$K$3&amp;'Funnel setup'!$K$4&amp;'Funnel setup'!$K$6,".",IF(A2468=".",1,A2468+1))</f>
        <v>.</v>
      </c>
      <c r="B2469" s="244" t="str">
        <f t="shared" si="38"/>
        <v>Knee Replacement PrimaryProviderYEOVIL DISTRICT HOSPITAL NHS FOUNDATION TRUST (RA4)EQ-5D Index</v>
      </c>
      <c r="C2469" t="s">
        <v>969</v>
      </c>
      <c r="D2469" t="s">
        <v>965</v>
      </c>
      <c r="E2469" t="s">
        <v>728</v>
      </c>
      <c r="F2469" t="s">
        <v>729</v>
      </c>
      <c r="G2469" t="s">
        <v>963</v>
      </c>
      <c r="H2469" t="s">
        <v>968</v>
      </c>
      <c r="I2469" t="s">
        <v>968</v>
      </c>
      <c r="J2469" t="s">
        <v>968</v>
      </c>
      <c r="K2469" t="s">
        <v>968</v>
      </c>
      <c r="L2469" t="s">
        <v>968</v>
      </c>
      <c r="M2469" t="s">
        <v>968</v>
      </c>
      <c r="N2469" t="s">
        <v>968</v>
      </c>
      <c r="O2469" t="s">
        <v>968</v>
      </c>
      <c r="P2469" t="s">
        <v>968</v>
      </c>
      <c r="Q2469" t="s">
        <v>968</v>
      </c>
    </row>
    <row r="2470" spans="1:17" x14ac:dyDescent="0.25">
      <c r="A2470" t="str">
        <f>IF(C2470&amp;G2470&amp;D2470&lt;&gt;'Funnel setup'!$K$3&amp;'Funnel setup'!$K$4&amp;'Funnel setup'!$K$6,".",IF(A2469=".",1,A2469+1))</f>
        <v>.</v>
      </c>
      <c r="B2470" s="244" t="str">
        <f t="shared" si="38"/>
        <v>Knee Replacement PrimaryProviderSULIS HOSPITAL BATHOxford Knee Score</v>
      </c>
      <c r="C2470" t="s">
        <v>969</v>
      </c>
      <c r="D2470" t="s">
        <v>965</v>
      </c>
      <c r="E2470" t="s">
        <v>732</v>
      </c>
      <c r="F2470" t="s">
        <v>1325</v>
      </c>
      <c r="G2470" t="s">
        <v>972</v>
      </c>
      <c r="H2470">
        <v>38</v>
      </c>
      <c r="I2470">
        <v>20.236799999999999</v>
      </c>
      <c r="J2470">
        <v>38.526299999999999</v>
      </c>
      <c r="K2470">
        <v>18.2895</v>
      </c>
      <c r="L2470">
        <v>34</v>
      </c>
      <c r="M2470">
        <v>1</v>
      </c>
      <c r="N2470">
        <v>3</v>
      </c>
      <c r="O2470">
        <v>38.053199999999997</v>
      </c>
      <c r="P2470">
        <v>18.664899999999999</v>
      </c>
      <c r="Q2470">
        <v>8.9951399999999992</v>
      </c>
    </row>
    <row r="2471" spans="1:17" x14ac:dyDescent="0.25">
      <c r="A2471" t="str">
        <f>IF(C2471&amp;G2471&amp;D2471&lt;&gt;'Funnel setup'!$K$3&amp;'Funnel setup'!$K$4&amp;'Funnel setup'!$K$6,".",IF(A2470=".",1,A2470+1))</f>
        <v>.</v>
      </c>
      <c r="B2471" s="244" t="str">
        <f t="shared" si="38"/>
        <v>Knee Replacement PrimaryProviderAIREDALE NHS FOUNDATION TRUST (RCF)Oxford Knee Score</v>
      </c>
      <c r="C2471" t="s">
        <v>969</v>
      </c>
      <c r="D2471" t="s">
        <v>965</v>
      </c>
      <c r="E2471" t="s">
        <v>125</v>
      </c>
      <c r="F2471" t="s">
        <v>126</v>
      </c>
      <c r="G2471" t="s">
        <v>972</v>
      </c>
      <c r="H2471">
        <v>36</v>
      </c>
      <c r="I2471">
        <v>18.305599999999998</v>
      </c>
      <c r="J2471">
        <v>39.777799999999999</v>
      </c>
      <c r="K2471">
        <v>21.472200000000001</v>
      </c>
      <c r="L2471">
        <v>34</v>
      </c>
      <c r="M2471">
        <v>0</v>
      </c>
      <c r="N2471">
        <v>2</v>
      </c>
      <c r="O2471">
        <v>40.021900000000002</v>
      </c>
      <c r="P2471">
        <v>20.633600000000001</v>
      </c>
      <c r="Q2471">
        <v>9.4216999999999995</v>
      </c>
    </row>
    <row r="2472" spans="1:17" x14ac:dyDescent="0.25">
      <c r="A2472" t="str">
        <f>IF(C2472&amp;G2472&amp;D2472&lt;&gt;'Funnel setup'!$K$3&amp;'Funnel setup'!$K$4&amp;'Funnel setup'!$K$6,".",IF(A2471=".",1,A2471+1))</f>
        <v>.</v>
      </c>
      <c r="B2472" s="244" t="str">
        <f t="shared" si="38"/>
        <v>Knee Replacement PrimaryProviderALEXANDRA HOSPITAL (NT401)Oxford Knee Score</v>
      </c>
      <c r="C2472" t="s">
        <v>969</v>
      </c>
      <c r="D2472" t="s">
        <v>965</v>
      </c>
      <c r="E2472" t="s">
        <v>130</v>
      </c>
      <c r="F2472" t="s">
        <v>131</v>
      </c>
      <c r="G2472" t="s">
        <v>972</v>
      </c>
      <c r="H2472">
        <v>48</v>
      </c>
      <c r="I2472">
        <v>20.5</v>
      </c>
      <c r="J2472">
        <v>37.666699999999999</v>
      </c>
      <c r="K2472">
        <v>17.166699999999999</v>
      </c>
      <c r="L2472">
        <v>47</v>
      </c>
      <c r="M2472">
        <v>0</v>
      </c>
      <c r="N2472">
        <v>1</v>
      </c>
      <c r="O2472">
        <v>36.7926</v>
      </c>
      <c r="P2472">
        <v>17.404299999999999</v>
      </c>
      <c r="Q2472">
        <v>6.9947499999999998</v>
      </c>
    </row>
    <row r="2473" spans="1:17" x14ac:dyDescent="0.25">
      <c r="A2473" t="str">
        <f>IF(C2473&amp;G2473&amp;D2473&lt;&gt;'Funnel setup'!$K$3&amp;'Funnel setup'!$K$4&amp;'Funnel setup'!$K$6,".",IF(A2472=".",1,A2472+1))</f>
        <v>.</v>
      </c>
      <c r="B2473" s="244" t="str">
        <f t="shared" si="38"/>
        <v>Knee Replacement PrimaryProviderASHFORD AND ST PETER'S HOSPITALS NHS FOUNDATION TRUST (RTK)Oxford Knee Score</v>
      </c>
      <c r="C2473" t="s">
        <v>969</v>
      </c>
      <c r="D2473" t="s">
        <v>965</v>
      </c>
      <c r="E2473" t="s">
        <v>132</v>
      </c>
      <c r="F2473" t="s">
        <v>133</v>
      </c>
      <c r="G2473" t="s">
        <v>972</v>
      </c>
      <c r="H2473">
        <v>31</v>
      </c>
      <c r="I2473">
        <v>22.903199999999998</v>
      </c>
      <c r="J2473">
        <v>39.548400000000001</v>
      </c>
      <c r="K2473">
        <v>16.645199999999999</v>
      </c>
      <c r="L2473">
        <v>29</v>
      </c>
      <c r="M2473">
        <v>1</v>
      </c>
      <c r="N2473">
        <v>1</v>
      </c>
      <c r="O2473">
        <v>37.410600000000002</v>
      </c>
      <c r="P2473">
        <v>18.022300000000001</v>
      </c>
      <c r="Q2473">
        <v>8.0671300000000006</v>
      </c>
    </row>
    <row r="2474" spans="1:17" x14ac:dyDescent="0.25">
      <c r="A2474" t="str">
        <f>IF(C2474&amp;G2474&amp;D2474&lt;&gt;'Funnel setup'!$K$3&amp;'Funnel setup'!$K$4&amp;'Funnel setup'!$K$6,".",IF(A2473=".",1,A2473+1))</f>
        <v>.</v>
      </c>
      <c r="B2474" s="244" t="str">
        <f t="shared" si="38"/>
        <v>Knee Replacement PrimaryProviderASHTEAD HOSPITAL (NVC01)Oxford Knee Score</v>
      </c>
      <c r="C2474" t="s">
        <v>969</v>
      </c>
      <c r="D2474" t="s">
        <v>965</v>
      </c>
      <c r="E2474" t="s">
        <v>134</v>
      </c>
      <c r="F2474" t="s">
        <v>135</v>
      </c>
      <c r="G2474" t="s">
        <v>972</v>
      </c>
      <c r="H2474">
        <v>5</v>
      </c>
      <c r="I2474">
        <v>28</v>
      </c>
      <c r="J2474">
        <v>44.4</v>
      </c>
      <c r="K2474">
        <v>16.399999999999999</v>
      </c>
      <c r="L2474">
        <v>5</v>
      </c>
      <c r="M2474">
        <v>0</v>
      </c>
      <c r="N2474">
        <v>0</v>
      </c>
      <c r="O2474" t="s">
        <v>127</v>
      </c>
      <c r="P2474" t="s">
        <v>127</v>
      </c>
      <c r="Q2474" t="s">
        <v>127</v>
      </c>
    </row>
    <row r="2475" spans="1:17" x14ac:dyDescent="0.25">
      <c r="A2475" t="str">
        <f>IF(C2475&amp;G2475&amp;D2475&lt;&gt;'Funnel setup'!$K$3&amp;'Funnel setup'!$K$4&amp;'Funnel setup'!$K$6,".",IF(A2474=".",1,A2474+1))</f>
        <v>.</v>
      </c>
      <c r="B2475" s="244" t="str">
        <f t="shared" si="38"/>
        <v>Knee Replacement PrimaryProviderBARKING, HAVERING AND REDBRIDGE UNIVERSITY HOSPITALS NHS TRUST (RF4)Oxford Knee Score</v>
      </c>
      <c r="C2475" t="s">
        <v>969</v>
      </c>
      <c r="D2475" t="s">
        <v>965</v>
      </c>
      <c r="E2475" t="s">
        <v>144</v>
      </c>
      <c r="F2475" t="s">
        <v>145</v>
      </c>
      <c r="G2475" t="s">
        <v>972</v>
      </c>
      <c r="H2475">
        <v>64</v>
      </c>
      <c r="I2475">
        <v>16.984400000000001</v>
      </c>
      <c r="J2475">
        <v>33.328099999999999</v>
      </c>
      <c r="K2475">
        <v>16.343800000000002</v>
      </c>
      <c r="L2475">
        <v>59</v>
      </c>
      <c r="M2475">
        <v>0</v>
      </c>
      <c r="N2475">
        <v>5</v>
      </c>
      <c r="O2475">
        <v>35.534799999999997</v>
      </c>
      <c r="P2475">
        <v>16.1465</v>
      </c>
      <c r="Q2475">
        <v>9.3743599999999994</v>
      </c>
    </row>
    <row r="2476" spans="1:17" x14ac:dyDescent="0.25">
      <c r="A2476" t="str">
        <f>IF(C2476&amp;G2476&amp;D2476&lt;&gt;'Funnel setup'!$K$3&amp;'Funnel setup'!$K$4&amp;'Funnel setup'!$K$6,".",IF(A2475=".",1,A2475+1))</f>
        <v>.</v>
      </c>
      <c r="B2476" s="244" t="str">
        <f t="shared" si="38"/>
        <v>Knee Replacement PrimaryProviderBARNSLEY HOSPITAL NHS FOUNDATION TRUST (RFF)Oxford Knee Score</v>
      </c>
      <c r="C2476" t="s">
        <v>969</v>
      </c>
      <c r="D2476" t="s">
        <v>965</v>
      </c>
      <c r="E2476" t="s">
        <v>146</v>
      </c>
      <c r="F2476" t="s">
        <v>147</v>
      </c>
      <c r="G2476" t="s">
        <v>972</v>
      </c>
      <c r="H2476">
        <v>54</v>
      </c>
      <c r="I2476">
        <v>18.2593</v>
      </c>
      <c r="J2476">
        <v>35.722200000000001</v>
      </c>
      <c r="K2476">
        <v>17.463000000000001</v>
      </c>
      <c r="L2476">
        <v>48</v>
      </c>
      <c r="M2476">
        <v>1</v>
      </c>
      <c r="N2476">
        <v>5</v>
      </c>
      <c r="O2476">
        <v>36.906999999999996</v>
      </c>
      <c r="P2476">
        <v>17.518699999999999</v>
      </c>
      <c r="Q2476">
        <v>10.1953</v>
      </c>
    </row>
    <row r="2477" spans="1:17" x14ac:dyDescent="0.25">
      <c r="A2477" t="str">
        <f>IF(C2477&amp;G2477&amp;D2477&lt;&gt;'Funnel setup'!$K$3&amp;'Funnel setup'!$K$4&amp;'Funnel setup'!$K$6,".",IF(A2476=".",1,A2476+1))</f>
        <v>.</v>
      </c>
      <c r="B2477" s="244" t="str">
        <f t="shared" si="38"/>
        <v>Knee Replacement PrimaryProviderBARTS HEALTH NHS TRUST (R1H)Oxford Knee Score</v>
      </c>
      <c r="C2477" t="s">
        <v>969</v>
      </c>
      <c r="D2477" t="s">
        <v>965</v>
      </c>
      <c r="E2477" t="s">
        <v>148</v>
      </c>
      <c r="F2477" t="s">
        <v>149</v>
      </c>
      <c r="G2477" t="s">
        <v>972</v>
      </c>
      <c r="H2477">
        <v>66</v>
      </c>
      <c r="I2477">
        <v>17.893899999999999</v>
      </c>
      <c r="J2477">
        <v>32.878799999999998</v>
      </c>
      <c r="K2477">
        <v>14.9848</v>
      </c>
      <c r="L2477">
        <v>59</v>
      </c>
      <c r="M2477">
        <v>0</v>
      </c>
      <c r="N2477">
        <v>7</v>
      </c>
      <c r="O2477">
        <v>35.502099999999999</v>
      </c>
      <c r="P2477">
        <v>16.113800000000001</v>
      </c>
      <c r="Q2477">
        <v>9.6874500000000001</v>
      </c>
    </row>
    <row r="2478" spans="1:17" x14ac:dyDescent="0.25">
      <c r="A2478" t="str">
        <f>IF(C2478&amp;G2478&amp;D2478&lt;&gt;'Funnel setup'!$K$3&amp;'Funnel setup'!$K$4&amp;'Funnel setup'!$K$6,".",IF(A2477=".",1,A2477+1))</f>
        <v>.</v>
      </c>
      <c r="B2478" s="244" t="str">
        <f t="shared" si="38"/>
        <v>Knee Replacement PrimaryProviderBATH CLINIC (NT402)Oxford Knee Score</v>
      </c>
      <c r="C2478" t="s">
        <v>969</v>
      </c>
      <c r="D2478" t="s">
        <v>965</v>
      </c>
      <c r="E2478" t="s">
        <v>152</v>
      </c>
      <c r="F2478" t="s">
        <v>153</v>
      </c>
      <c r="G2478" t="s">
        <v>972</v>
      </c>
      <c r="H2478">
        <v>57</v>
      </c>
      <c r="I2478">
        <v>18.9649</v>
      </c>
      <c r="J2478">
        <v>39.192999999999998</v>
      </c>
      <c r="K2478">
        <v>20.228100000000001</v>
      </c>
      <c r="L2478">
        <v>54</v>
      </c>
      <c r="M2478">
        <v>1</v>
      </c>
      <c r="N2478">
        <v>2</v>
      </c>
      <c r="O2478">
        <v>37.7898</v>
      </c>
      <c r="P2478">
        <v>18.401499999999999</v>
      </c>
      <c r="Q2478">
        <v>7.9548699999999997</v>
      </c>
    </row>
    <row r="2479" spans="1:17" x14ac:dyDescent="0.25">
      <c r="A2479" t="str">
        <f>IF(C2479&amp;G2479&amp;D2479&lt;&gt;'Funnel setup'!$K$3&amp;'Funnel setup'!$K$4&amp;'Funnel setup'!$K$6,".",IF(A2478=".",1,A2478+1))</f>
        <v>.</v>
      </c>
      <c r="B2479" s="244" t="str">
        <f t="shared" si="38"/>
        <v>Knee Replacement PrimaryProviderBEARDWOOD HOSPITAL (NT403)Oxford Knee Score</v>
      </c>
      <c r="C2479" t="s">
        <v>969</v>
      </c>
      <c r="D2479" t="s">
        <v>965</v>
      </c>
      <c r="E2479" t="s">
        <v>154</v>
      </c>
      <c r="F2479" t="s">
        <v>155</v>
      </c>
      <c r="G2479" t="s">
        <v>972</v>
      </c>
      <c r="H2479">
        <v>79</v>
      </c>
      <c r="I2479">
        <v>21.278500000000001</v>
      </c>
      <c r="J2479">
        <v>38.392400000000002</v>
      </c>
      <c r="K2479">
        <v>17.113900000000001</v>
      </c>
      <c r="L2479">
        <v>75</v>
      </c>
      <c r="M2479">
        <v>1</v>
      </c>
      <c r="N2479">
        <v>3</v>
      </c>
      <c r="O2479">
        <v>37.112200000000001</v>
      </c>
      <c r="P2479">
        <v>17.7239</v>
      </c>
      <c r="Q2479">
        <v>8.6773199999999999</v>
      </c>
    </row>
    <row r="2480" spans="1:17" x14ac:dyDescent="0.25">
      <c r="A2480" t="str">
        <f>IF(C2480&amp;G2480&amp;D2480&lt;&gt;'Funnel setup'!$K$3&amp;'Funnel setup'!$K$4&amp;'Funnel setup'!$K$6,".",IF(A2479=".",1,A2479+1))</f>
        <v>.</v>
      </c>
      <c r="B2480" s="244" t="str">
        <f t="shared" si="38"/>
        <v>Knee Replacement PrimaryProviderBEAUMONT HOSPITAL (NT404)Oxford Knee Score</v>
      </c>
      <c r="C2480" t="s">
        <v>969</v>
      </c>
      <c r="D2480" t="s">
        <v>965</v>
      </c>
      <c r="E2480" t="s">
        <v>156</v>
      </c>
      <c r="F2480" t="s">
        <v>157</v>
      </c>
      <c r="G2480" t="s">
        <v>972</v>
      </c>
      <c r="H2480">
        <v>44</v>
      </c>
      <c r="I2480">
        <v>21.704499999999999</v>
      </c>
      <c r="J2480">
        <v>38.840899999999998</v>
      </c>
      <c r="K2480">
        <v>17.136399999999998</v>
      </c>
      <c r="L2480">
        <v>42</v>
      </c>
      <c r="M2480">
        <v>0</v>
      </c>
      <c r="N2480">
        <v>2</v>
      </c>
      <c r="O2480">
        <v>37.397599999999997</v>
      </c>
      <c r="P2480">
        <v>18.0093</v>
      </c>
      <c r="Q2480">
        <v>9.04331</v>
      </c>
    </row>
    <row r="2481" spans="1:17" x14ac:dyDescent="0.25">
      <c r="A2481" t="str">
        <f>IF(C2481&amp;G2481&amp;D2481&lt;&gt;'Funnel setup'!$K$3&amp;'Funnel setup'!$K$4&amp;'Funnel setup'!$K$6,".",IF(A2480=".",1,A2480+1))</f>
        <v>.</v>
      </c>
      <c r="B2481" s="244" t="str">
        <f t="shared" si="38"/>
        <v>Knee Replacement PrimaryProviderBEDFORDSHIRE HOSPITALS NHS FOUNDATION TRUST (RC9)Oxford Knee Score</v>
      </c>
      <c r="C2481" t="s">
        <v>969</v>
      </c>
      <c r="D2481" t="s">
        <v>965</v>
      </c>
      <c r="E2481" t="s">
        <v>158</v>
      </c>
      <c r="F2481" t="s">
        <v>159</v>
      </c>
      <c r="G2481" t="s">
        <v>972</v>
      </c>
      <c r="H2481">
        <v>159</v>
      </c>
      <c r="I2481">
        <v>17.069199999999999</v>
      </c>
      <c r="J2481">
        <v>34.251600000000003</v>
      </c>
      <c r="K2481">
        <v>17.182400000000001</v>
      </c>
      <c r="L2481">
        <v>141</v>
      </c>
      <c r="M2481">
        <v>5</v>
      </c>
      <c r="N2481">
        <v>13</v>
      </c>
      <c r="O2481">
        <v>35.646799999999999</v>
      </c>
      <c r="P2481">
        <v>16.258500000000002</v>
      </c>
      <c r="Q2481">
        <v>10.161300000000001</v>
      </c>
    </row>
    <row r="2482" spans="1:17" x14ac:dyDescent="0.25">
      <c r="A2482" t="str">
        <f>IF(C2482&amp;G2482&amp;D2482&lt;&gt;'Funnel setup'!$K$3&amp;'Funnel setup'!$K$4&amp;'Funnel setup'!$K$6,".",IF(A2481=".",1,A2481+1))</f>
        <v>.</v>
      </c>
      <c r="B2482" s="244" t="str">
        <f t="shared" si="38"/>
        <v>Knee Replacement PrimaryProviderBENENDEN HOSPITAL (NWF01)Oxford Knee Score</v>
      </c>
      <c r="C2482" t="s">
        <v>969</v>
      </c>
      <c r="D2482" t="s">
        <v>965</v>
      </c>
      <c r="E2482" t="s">
        <v>160</v>
      </c>
      <c r="F2482" t="s">
        <v>161</v>
      </c>
      <c r="G2482" t="s">
        <v>972</v>
      </c>
      <c r="H2482">
        <v>26</v>
      </c>
      <c r="I2482">
        <v>24.461500000000001</v>
      </c>
      <c r="J2482">
        <v>39.192300000000003</v>
      </c>
      <c r="K2482">
        <v>14.7308</v>
      </c>
      <c r="L2482">
        <v>25</v>
      </c>
      <c r="M2482">
        <v>0</v>
      </c>
      <c r="N2482">
        <v>1</v>
      </c>
      <c r="O2482" t="s">
        <v>127</v>
      </c>
      <c r="P2482" t="s">
        <v>127</v>
      </c>
      <c r="Q2482" t="s">
        <v>127</v>
      </c>
    </row>
    <row r="2483" spans="1:17" x14ac:dyDescent="0.25">
      <c r="A2483" t="str">
        <f>IF(C2483&amp;G2483&amp;D2483&lt;&gt;'Funnel setup'!$K$3&amp;'Funnel setup'!$K$4&amp;'Funnel setup'!$K$6,".",IF(A2482=".",1,A2482+1))</f>
        <v>.</v>
      </c>
      <c r="B2483" s="244" t="str">
        <f t="shared" si="38"/>
        <v>Knee Replacement PrimaryProviderBLACKHEATH HOSPITAL (NT406)Oxford Knee Score</v>
      </c>
      <c r="C2483" t="s">
        <v>969</v>
      </c>
      <c r="D2483" t="s">
        <v>965</v>
      </c>
      <c r="E2483" t="s">
        <v>168</v>
      </c>
      <c r="F2483" t="s">
        <v>169</v>
      </c>
      <c r="G2483" t="s">
        <v>972</v>
      </c>
      <c r="H2483">
        <v>20</v>
      </c>
      <c r="I2483">
        <v>20.95</v>
      </c>
      <c r="J2483">
        <v>35.549999999999997</v>
      </c>
      <c r="K2483">
        <v>14.6</v>
      </c>
      <c r="L2483">
        <v>18</v>
      </c>
      <c r="M2483">
        <v>1</v>
      </c>
      <c r="N2483">
        <v>1</v>
      </c>
      <c r="O2483" t="s">
        <v>127</v>
      </c>
      <c r="P2483" t="s">
        <v>127</v>
      </c>
      <c r="Q2483" t="s">
        <v>127</v>
      </c>
    </row>
    <row r="2484" spans="1:17" x14ac:dyDescent="0.25">
      <c r="A2484" t="str">
        <f>IF(C2484&amp;G2484&amp;D2484&lt;&gt;'Funnel setup'!$K$3&amp;'Funnel setup'!$K$4&amp;'Funnel setup'!$K$6,".",IF(A2483=".",1,A2483+1))</f>
        <v>.</v>
      </c>
      <c r="B2484" s="244" t="str">
        <f t="shared" si="38"/>
        <v>Knee Replacement PrimaryProviderBLACKPOOL TEACHING HOSPITALS NHS FOUNDATION TRUST (RXL)Oxford Knee Score</v>
      </c>
      <c r="C2484" t="s">
        <v>969</v>
      </c>
      <c r="D2484" t="s">
        <v>965</v>
      </c>
      <c r="E2484" t="s">
        <v>170</v>
      </c>
      <c r="F2484" t="s">
        <v>171</v>
      </c>
      <c r="G2484" t="s">
        <v>972</v>
      </c>
      <c r="H2484">
        <v>60</v>
      </c>
      <c r="I2484">
        <v>21.15</v>
      </c>
      <c r="J2484">
        <v>35.4833</v>
      </c>
      <c r="K2484">
        <v>14.333299999999999</v>
      </c>
      <c r="L2484">
        <v>54</v>
      </c>
      <c r="M2484">
        <v>1</v>
      </c>
      <c r="N2484">
        <v>5</v>
      </c>
      <c r="O2484">
        <v>36.161999999999999</v>
      </c>
      <c r="P2484">
        <v>16.773700000000002</v>
      </c>
      <c r="Q2484">
        <v>8.6735100000000003</v>
      </c>
    </row>
    <row r="2485" spans="1:17" x14ac:dyDescent="0.25">
      <c r="A2485" t="str">
        <f>IF(C2485&amp;G2485&amp;D2485&lt;&gt;'Funnel setup'!$K$3&amp;'Funnel setup'!$K$4&amp;'Funnel setup'!$K$6,".",IF(A2484=".",1,A2484+1))</f>
        <v>.</v>
      </c>
      <c r="B2485" s="244" t="str">
        <f t="shared" si="38"/>
        <v>Knee Replacement PrimaryProviderBOLTON NHS FOUNDATION TRUST (RMC)Oxford Knee Score</v>
      </c>
      <c r="C2485" t="s">
        <v>969</v>
      </c>
      <c r="D2485" t="s">
        <v>965</v>
      </c>
      <c r="E2485" t="s">
        <v>172</v>
      </c>
      <c r="F2485" t="s">
        <v>173</v>
      </c>
      <c r="G2485" t="s">
        <v>972</v>
      </c>
      <c r="H2485">
        <v>48</v>
      </c>
      <c r="I2485">
        <v>19.208300000000001</v>
      </c>
      <c r="J2485">
        <v>35.1875</v>
      </c>
      <c r="K2485">
        <v>15.979200000000001</v>
      </c>
      <c r="L2485">
        <v>45</v>
      </c>
      <c r="M2485">
        <v>0</v>
      </c>
      <c r="N2485">
        <v>3</v>
      </c>
      <c r="O2485">
        <v>36.228000000000002</v>
      </c>
      <c r="P2485">
        <v>16.839700000000001</v>
      </c>
      <c r="Q2485">
        <v>9.1695200000000003</v>
      </c>
    </row>
    <row r="2486" spans="1:17" x14ac:dyDescent="0.25">
      <c r="A2486" t="str">
        <f>IF(C2486&amp;G2486&amp;D2486&lt;&gt;'Funnel setup'!$K$3&amp;'Funnel setup'!$K$4&amp;'Funnel setup'!$K$6,".",IF(A2485=".",1,A2485+1))</f>
        <v>.</v>
      </c>
      <c r="B2486" s="244" t="str">
        <f t="shared" si="38"/>
        <v>Knee Replacement PrimaryProviderBRADFORD TEACHING HOSPITALS NHS FOUNDATION TRUST (RAE)Oxford Knee Score</v>
      </c>
      <c r="C2486" t="s">
        <v>969</v>
      </c>
      <c r="D2486" t="s">
        <v>965</v>
      </c>
      <c r="E2486" t="s">
        <v>174</v>
      </c>
      <c r="F2486" t="s">
        <v>175</v>
      </c>
      <c r="G2486" t="s">
        <v>972</v>
      </c>
      <c r="H2486">
        <v>4</v>
      </c>
      <c r="I2486">
        <v>17.75</v>
      </c>
      <c r="J2486">
        <v>39</v>
      </c>
      <c r="K2486">
        <v>21.25</v>
      </c>
      <c r="L2486">
        <v>4</v>
      </c>
      <c r="M2486">
        <v>0</v>
      </c>
      <c r="N2486">
        <v>0</v>
      </c>
      <c r="O2486" t="s">
        <v>127</v>
      </c>
      <c r="P2486" t="s">
        <v>127</v>
      </c>
      <c r="Q2486" t="s">
        <v>127</v>
      </c>
    </row>
    <row r="2487" spans="1:17" x14ac:dyDescent="0.25">
      <c r="A2487" t="str">
        <f>IF(C2487&amp;G2487&amp;D2487&lt;&gt;'Funnel setup'!$K$3&amp;'Funnel setup'!$K$4&amp;'Funnel setup'!$K$6,".",IF(A2486=".",1,A2486+1))</f>
        <v>.</v>
      </c>
      <c r="B2487" s="244" t="str">
        <f t="shared" si="38"/>
        <v>Knee Replacement PrimaryProviderBUCKINGHAMSHIRE HEALTHCARE NHS TRUST (RXQ)Oxford Knee Score</v>
      </c>
      <c r="C2487" t="s">
        <v>969</v>
      </c>
      <c r="D2487" t="s">
        <v>965</v>
      </c>
      <c r="E2487" t="s">
        <v>178</v>
      </c>
      <c r="F2487" t="s">
        <v>179</v>
      </c>
      <c r="G2487" t="s">
        <v>972</v>
      </c>
      <c r="H2487">
        <v>83</v>
      </c>
      <c r="I2487">
        <v>20.1084</v>
      </c>
      <c r="J2487">
        <v>37.469900000000003</v>
      </c>
      <c r="K2487">
        <v>17.3614</v>
      </c>
      <c r="L2487">
        <v>82</v>
      </c>
      <c r="M2487">
        <v>0</v>
      </c>
      <c r="N2487">
        <v>1</v>
      </c>
      <c r="O2487">
        <v>37.017200000000003</v>
      </c>
      <c r="P2487">
        <v>17.628799999999998</v>
      </c>
      <c r="Q2487">
        <v>7.5201799999999999</v>
      </c>
    </row>
    <row r="2488" spans="1:17" x14ac:dyDescent="0.25">
      <c r="A2488" t="str">
        <f>IF(C2488&amp;G2488&amp;D2488&lt;&gt;'Funnel setup'!$K$3&amp;'Funnel setup'!$K$4&amp;'Funnel setup'!$K$6,".",IF(A2487=".",1,A2487+1))</f>
        <v>.</v>
      </c>
      <c r="B2488" s="244" t="str">
        <f t="shared" si="38"/>
        <v>Knee Replacement PrimaryProviderCALDERDALE AND HUDDERSFIELD NHS FOUNDATION TRUST (RWY)Oxford Knee Score</v>
      </c>
      <c r="C2488" t="s">
        <v>969</v>
      </c>
      <c r="D2488" t="s">
        <v>965</v>
      </c>
      <c r="E2488" t="s">
        <v>180</v>
      </c>
      <c r="F2488" t="s">
        <v>181</v>
      </c>
      <c r="G2488" t="s">
        <v>972</v>
      </c>
      <c r="H2488">
        <v>68</v>
      </c>
      <c r="I2488">
        <v>19.367599999999999</v>
      </c>
      <c r="J2488">
        <v>33.852899999999998</v>
      </c>
      <c r="K2488">
        <v>14.485300000000001</v>
      </c>
      <c r="L2488">
        <v>59</v>
      </c>
      <c r="M2488">
        <v>3</v>
      </c>
      <c r="N2488">
        <v>6</v>
      </c>
      <c r="O2488">
        <v>34.082999999999998</v>
      </c>
      <c r="P2488">
        <v>14.694699999999999</v>
      </c>
      <c r="Q2488">
        <v>11.421900000000001</v>
      </c>
    </row>
    <row r="2489" spans="1:17" x14ac:dyDescent="0.25">
      <c r="A2489" t="str">
        <f>IF(C2489&amp;G2489&amp;D2489&lt;&gt;'Funnel setup'!$K$3&amp;'Funnel setup'!$K$4&amp;'Funnel setup'!$K$6,".",IF(A2488=".",1,A2488+1))</f>
        <v>.</v>
      </c>
      <c r="B2489" s="244" t="str">
        <f t="shared" si="38"/>
        <v>Knee Replacement PrimaryProviderCAMBRIDGE UNIVERSITY HOSPITALS NHS FOUNDATION TRUST (RGT)Oxford Knee Score</v>
      </c>
      <c r="C2489" t="s">
        <v>969</v>
      </c>
      <c r="D2489" t="s">
        <v>965</v>
      </c>
      <c r="E2489" t="s">
        <v>182</v>
      </c>
      <c r="F2489" t="s">
        <v>183</v>
      </c>
      <c r="G2489" t="s">
        <v>972</v>
      </c>
      <c r="H2489">
        <v>53</v>
      </c>
      <c r="I2489">
        <v>14.0943</v>
      </c>
      <c r="J2489">
        <v>31.490600000000001</v>
      </c>
      <c r="K2489">
        <v>17.3962</v>
      </c>
      <c r="L2489">
        <v>49</v>
      </c>
      <c r="M2489">
        <v>0</v>
      </c>
      <c r="N2489">
        <v>4</v>
      </c>
      <c r="O2489">
        <v>35.073999999999998</v>
      </c>
      <c r="P2489">
        <v>15.685700000000001</v>
      </c>
      <c r="Q2489">
        <v>9.8252799999999993</v>
      </c>
    </row>
    <row r="2490" spans="1:17" x14ac:dyDescent="0.25">
      <c r="A2490" t="str">
        <f>IF(C2490&amp;G2490&amp;D2490&lt;&gt;'Funnel setup'!$K$3&amp;'Funnel setup'!$K$4&amp;'Funnel setup'!$K$6,".",IF(A2489=".",1,A2489+1))</f>
        <v>.</v>
      </c>
      <c r="B2490" s="244" t="str">
        <f t="shared" si="38"/>
        <v>Knee Replacement PrimaryProviderCAVELL HOSPITAL (NT451)Oxford Knee Score</v>
      </c>
      <c r="C2490" t="s">
        <v>969</v>
      </c>
      <c r="D2490" t="s">
        <v>965</v>
      </c>
      <c r="E2490" t="s">
        <v>184</v>
      </c>
      <c r="F2490" t="s">
        <v>185</v>
      </c>
      <c r="G2490" t="s">
        <v>972</v>
      </c>
      <c r="H2490">
        <v>42</v>
      </c>
      <c r="I2490">
        <v>18.5</v>
      </c>
      <c r="J2490">
        <v>36.571399999999997</v>
      </c>
      <c r="K2490">
        <v>18.071400000000001</v>
      </c>
      <c r="L2490">
        <v>39</v>
      </c>
      <c r="M2490">
        <v>2</v>
      </c>
      <c r="N2490">
        <v>1</v>
      </c>
      <c r="O2490">
        <v>36.283999999999999</v>
      </c>
      <c r="P2490">
        <v>16.895700000000001</v>
      </c>
      <c r="Q2490">
        <v>7.7350000000000003</v>
      </c>
    </row>
    <row r="2491" spans="1:17" x14ac:dyDescent="0.25">
      <c r="A2491" t="str">
        <f>IF(C2491&amp;G2491&amp;D2491&lt;&gt;'Funnel setup'!$K$3&amp;'Funnel setup'!$K$4&amp;'Funnel setup'!$K$6,".",IF(A2490=".",1,A2490+1))</f>
        <v>.</v>
      </c>
      <c r="B2491" s="244" t="str">
        <f t="shared" si="38"/>
        <v>Knee Replacement PrimaryProviderCHAUCER HOSPITAL (NT408)Oxford Knee Score</v>
      </c>
      <c r="C2491" t="s">
        <v>969</v>
      </c>
      <c r="D2491" t="s">
        <v>965</v>
      </c>
      <c r="E2491" t="s">
        <v>186</v>
      </c>
      <c r="F2491" t="s">
        <v>187</v>
      </c>
      <c r="G2491" t="s">
        <v>972</v>
      </c>
      <c r="H2491">
        <v>48</v>
      </c>
      <c r="I2491">
        <v>22.104199999999999</v>
      </c>
      <c r="J2491">
        <v>37.520800000000001</v>
      </c>
      <c r="K2491">
        <v>15.416700000000001</v>
      </c>
      <c r="L2491">
        <v>47</v>
      </c>
      <c r="M2491">
        <v>0</v>
      </c>
      <c r="N2491">
        <v>1</v>
      </c>
      <c r="O2491">
        <v>36.113700000000001</v>
      </c>
      <c r="P2491">
        <v>16.725300000000001</v>
      </c>
      <c r="Q2491">
        <v>7.1158200000000003</v>
      </c>
    </row>
    <row r="2492" spans="1:17" x14ac:dyDescent="0.25">
      <c r="A2492" t="str">
        <f>IF(C2492&amp;G2492&amp;D2492&lt;&gt;'Funnel setup'!$K$3&amp;'Funnel setup'!$K$4&amp;'Funnel setup'!$K$6,".",IF(A2491=".",1,A2491+1))</f>
        <v>.</v>
      </c>
      <c r="B2492" s="244" t="str">
        <f t="shared" si="38"/>
        <v>Knee Replacement PrimaryProviderCHELSEA AND WESTMINSTER HOSPITAL NHS FOUNDATION TRUST (RQM)Oxford Knee Score</v>
      </c>
      <c r="C2492" t="s">
        <v>969</v>
      </c>
      <c r="D2492" t="s">
        <v>965</v>
      </c>
      <c r="E2492" t="s">
        <v>188</v>
      </c>
      <c r="F2492" t="s">
        <v>189</v>
      </c>
      <c r="G2492" t="s">
        <v>972</v>
      </c>
      <c r="H2492">
        <v>5</v>
      </c>
      <c r="I2492">
        <v>17.2</v>
      </c>
      <c r="J2492">
        <v>34</v>
      </c>
      <c r="K2492">
        <v>16.8</v>
      </c>
      <c r="L2492">
        <v>5</v>
      </c>
      <c r="M2492">
        <v>0</v>
      </c>
      <c r="N2492">
        <v>0</v>
      </c>
      <c r="O2492" t="s">
        <v>127</v>
      </c>
      <c r="P2492" t="s">
        <v>127</v>
      </c>
      <c r="Q2492" t="s">
        <v>127</v>
      </c>
    </row>
    <row r="2493" spans="1:17" x14ac:dyDescent="0.25">
      <c r="A2493" t="str">
        <f>IF(C2493&amp;G2493&amp;D2493&lt;&gt;'Funnel setup'!$K$3&amp;'Funnel setup'!$K$4&amp;'Funnel setup'!$K$6,".",IF(A2492=".",1,A2492+1))</f>
        <v>.</v>
      </c>
      <c r="B2493" s="244" t="str">
        <f t="shared" si="38"/>
        <v>Knee Replacement PrimaryProviderCHELSFIELD PARK HOSPITAL (NT409)Oxford Knee Score</v>
      </c>
      <c r="C2493" t="s">
        <v>969</v>
      </c>
      <c r="D2493" t="s">
        <v>965</v>
      </c>
      <c r="E2493" t="s">
        <v>190</v>
      </c>
      <c r="F2493" t="s">
        <v>191</v>
      </c>
      <c r="G2493" t="s">
        <v>972</v>
      </c>
      <c r="H2493">
        <v>32</v>
      </c>
      <c r="I2493">
        <v>26.281300000000002</v>
      </c>
      <c r="J2493">
        <v>42.593800000000002</v>
      </c>
      <c r="K2493">
        <v>16.3125</v>
      </c>
      <c r="L2493">
        <v>31</v>
      </c>
      <c r="M2493">
        <v>0</v>
      </c>
      <c r="N2493">
        <v>1</v>
      </c>
      <c r="O2493">
        <v>39.171999999999997</v>
      </c>
      <c r="P2493">
        <v>19.7837</v>
      </c>
      <c r="Q2493">
        <v>5.3720499999999998</v>
      </c>
    </row>
    <row r="2494" spans="1:17" x14ac:dyDescent="0.25">
      <c r="A2494" t="str">
        <f>IF(C2494&amp;G2494&amp;D2494&lt;&gt;'Funnel setup'!$K$3&amp;'Funnel setup'!$K$4&amp;'Funnel setup'!$K$6,".",IF(A2493=".",1,A2493+1))</f>
        <v>.</v>
      </c>
      <c r="B2494" s="244" t="str">
        <f t="shared" si="38"/>
        <v>Knee Replacement PrimaryProviderCHESTERFIELD ROYAL HOSPITAL NHS FOUNDATION TRUST (RFS)Oxford Knee Score</v>
      </c>
      <c r="C2494" t="s">
        <v>969</v>
      </c>
      <c r="D2494" t="s">
        <v>965</v>
      </c>
      <c r="E2494" t="s">
        <v>192</v>
      </c>
      <c r="F2494" t="s">
        <v>193</v>
      </c>
      <c r="G2494" t="s">
        <v>972</v>
      </c>
      <c r="H2494">
        <v>57</v>
      </c>
      <c r="I2494">
        <v>17.7544</v>
      </c>
      <c r="J2494">
        <v>33.736800000000002</v>
      </c>
      <c r="K2494">
        <v>15.9825</v>
      </c>
      <c r="L2494">
        <v>52</v>
      </c>
      <c r="M2494">
        <v>3</v>
      </c>
      <c r="N2494">
        <v>2</v>
      </c>
      <c r="O2494">
        <v>35.346499999999999</v>
      </c>
      <c r="P2494">
        <v>15.9582</v>
      </c>
      <c r="Q2494">
        <v>9.2327100000000009</v>
      </c>
    </row>
    <row r="2495" spans="1:17" x14ac:dyDescent="0.25">
      <c r="A2495" t="str">
        <f>IF(C2495&amp;G2495&amp;D2495&lt;&gt;'Funnel setup'!$K$3&amp;'Funnel setup'!$K$4&amp;'Funnel setup'!$K$6,".",IF(A2494=".",1,A2494+1))</f>
        <v>.</v>
      </c>
      <c r="B2495" s="244" t="str">
        <f t="shared" si="38"/>
        <v>Knee Replacement PrimaryProviderCHILTERN HOSPITAL (NT410)Oxford Knee Score</v>
      </c>
      <c r="C2495" t="s">
        <v>969</v>
      </c>
      <c r="D2495" t="s">
        <v>965</v>
      </c>
      <c r="E2495" t="s">
        <v>194</v>
      </c>
      <c r="F2495" t="s">
        <v>195</v>
      </c>
      <c r="G2495" t="s">
        <v>972</v>
      </c>
      <c r="H2495">
        <v>87</v>
      </c>
      <c r="I2495">
        <v>22.988499999999998</v>
      </c>
      <c r="J2495">
        <v>39.172400000000003</v>
      </c>
      <c r="K2495">
        <v>16.183900000000001</v>
      </c>
      <c r="L2495">
        <v>80</v>
      </c>
      <c r="M2495">
        <v>1</v>
      </c>
      <c r="N2495">
        <v>6</v>
      </c>
      <c r="O2495">
        <v>36.302999999999997</v>
      </c>
      <c r="P2495">
        <v>16.9147</v>
      </c>
      <c r="Q2495">
        <v>8.0190699999999993</v>
      </c>
    </row>
    <row r="2496" spans="1:17" x14ac:dyDescent="0.25">
      <c r="A2496" t="str">
        <f>IF(C2496&amp;G2496&amp;D2496&lt;&gt;'Funnel setup'!$K$3&amp;'Funnel setup'!$K$4&amp;'Funnel setup'!$K$6,".",IF(A2495=".",1,A2495+1))</f>
        <v>.</v>
      </c>
      <c r="B2496" s="244" t="str">
        <f t="shared" si="38"/>
        <v>Knee Replacement PrimaryProviderCIRCLE BATH HOSPITAL (NV302)Oxford Knee Score</v>
      </c>
      <c r="C2496" t="s">
        <v>969</v>
      </c>
      <c r="D2496" t="s">
        <v>965</v>
      </c>
      <c r="E2496" t="s">
        <v>196</v>
      </c>
      <c r="F2496" t="s">
        <v>197</v>
      </c>
      <c r="G2496" t="s">
        <v>972</v>
      </c>
      <c r="H2496">
        <v>13</v>
      </c>
      <c r="I2496">
        <v>17.769200000000001</v>
      </c>
      <c r="J2496">
        <v>39.230800000000002</v>
      </c>
      <c r="K2496">
        <v>21.461500000000001</v>
      </c>
      <c r="L2496">
        <v>12</v>
      </c>
      <c r="M2496">
        <v>0</v>
      </c>
      <c r="N2496">
        <v>1</v>
      </c>
      <c r="O2496" t="s">
        <v>127</v>
      </c>
      <c r="P2496" t="s">
        <v>127</v>
      </c>
      <c r="Q2496" t="s">
        <v>127</v>
      </c>
    </row>
    <row r="2497" spans="1:17" x14ac:dyDescent="0.25">
      <c r="A2497" t="str">
        <f>IF(C2497&amp;G2497&amp;D2497&lt;&gt;'Funnel setup'!$K$3&amp;'Funnel setup'!$K$4&amp;'Funnel setup'!$K$6,".",IF(A2496=".",1,A2496+1))</f>
        <v>.</v>
      </c>
      <c r="B2497" s="244" t="str">
        <f t="shared" si="38"/>
        <v>Knee Replacement PrimaryProviderCIRCLE READING HOSPITAL (NV323)Oxford Knee Score</v>
      </c>
      <c r="C2497" t="s">
        <v>969</v>
      </c>
      <c r="D2497" t="s">
        <v>965</v>
      </c>
      <c r="E2497" t="s">
        <v>198</v>
      </c>
      <c r="F2497" t="s">
        <v>199</v>
      </c>
      <c r="G2497" t="s">
        <v>972</v>
      </c>
      <c r="H2497">
        <v>61</v>
      </c>
      <c r="I2497">
        <v>21.5246</v>
      </c>
      <c r="J2497">
        <v>39.245899999999999</v>
      </c>
      <c r="K2497">
        <v>17.721299999999999</v>
      </c>
      <c r="L2497">
        <v>57</v>
      </c>
      <c r="M2497">
        <v>1</v>
      </c>
      <c r="N2497">
        <v>3</v>
      </c>
      <c r="O2497">
        <v>37.137099999999997</v>
      </c>
      <c r="P2497">
        <v>17.748799999999999</v>
      </c>
      <c r="Q2497">
        <v>8.1852300000000007</v>
      </c>
    </row>
    <row r="2498" spans="1:17" x14ac:dyDescent="0.25">
      <c r="A2498" t="str">
        <f>IF(C2498&amp;G2498&amp;D2498&lt;&gt;'Funnel setup'!$K$3&amp;'Funnel setup'!$K$4&amp;'Funnel setup'!$K$6,".",IF(A2497=".",1,A2497+1))</f>
        <v>.</v>
      </c>
      <c r="B2498" s="244" t="str">
        <f t="shared" ref="B2498:B2561" si="39">C2498&amp;D2498&amp;F2498&amp;G2498</f>
        <v>Knee Replacement PrimaryProviderCLEMENTINE CHURCHILL HOSPITAL (NT411)Oxford Knee Score</v>
      </c>
      <c r="C2498" t="s">
        <v>969</v>
      </c>
      <c r="D2498" t="s">
        <v>965</v>
      </c>
      <c r="E2498" t="s">
        <v>200</v>
      </c>
      <c r="F2498" t="s">
        <v>201</v>
      </c>
      <c r="G2498" t="s">
        <v>972</v>
      </c>
      <c r="H2498">
        <v>32</v>
      </c>
      <c r="I2498">
        <v>23.25</v>
      </c>
      <c r="J2498">
        <v>35.6875</v>
      </c>
      <c r="K2498">
        <v>12.4375</v>
      </c>
      <c r="L2498">
        <v>31</v>
      </c>
      <c r="M2498">
        <v>0</v>
      </c>
      <c r="N2498">
        <v>1</v>
      </c>
      <c r="O2498">
        <v>34.910200000000003</v>
      </c>
      <c r="P2498">
        <v>15.5219</v>
      </c>
      <c r="Q2498">
        <v>6.2849199999999996</v>
      </c>
    </row>
    <row r="2499" spans="1:17" x14ac:dyDescent="0.25">
      <c r="A2499" t="str">
        <f>IF(C2499&amp;G2499&amp;D2499&lt;&gt;'Funnel setup'!$K$3&amp;'Funnel setup'!$K$4&amp;'Funnel setup'!$K$6,".",IF(A2498=".",1,A2498+1))</f>
        <v>.</v>
      </c>
      <c r="B2499" s="244" t="str">
        <f t="shared" si="39"/>
        <v>Knee Replacement PrimaryProviderCLIFTON PARK HOSPITAL (NVC28)Oxford Knee Score</v>
      </c>
      <c r="C2499" t="s">
        <v>969</v>
      </c>
      <c r="D2499" t="s">
        <v>965</v>
      </c>
      <c r="E2499" t="s">
        <v>202</v>
      </c>
      <c r="F2499" t="s">
        <v>203</v>
      </c>
      <c r="G2499" t="s">
        <v>972</v>
      </c>
      <c r="H2499">
        <v>58</v>
      </c>
      <c r="I2499">
        <v>18.689699999999998</v>
      </c>
      <c r="J2499">
        <v>35.448300000000003</v>
      </c>
      <c r="K2499">
        <v>16.758600000000001</v>
      </c>
      <c r="L2499">
        <v>56</v>
      </c>
      <c r="M2499">
        <v>1</v>
      </c>
      <c r="N2499">
        <v>1</v>
      </c>
      <c r="O2499">
        <v>34.849400000000003</v>
      </c>
      <c r="P2499">
        <v>15.461</v>
      </c>
      <c r="Q2499">
        <v>8.8452900000000003</v>
      </c>
    </row>
    <row r="2500" spans="1:17" x14ac:dyDescent="0.25">
      <c r="A2500" t="str">
        <f>IF(C2500&amp;G2500&amp;D2500&lt;&gt;'Funnel setup'!$K$3&amp;'Funnel setup'!$K$4&amp;'Funnel setup'!$K$6,".",IF(A2499=".",1,A2499+1))</f>
        <v>.</v>
      </c>
      <c r="B2500" s="244" t="str">
        <f t="shared" si="39"/>
        <v>Knee Replacement PrimaryProviderCOUNTESS OF CHESTER HOSPITAL NHS FOUNDATION TRUST (RJR)Oxford Knee Score</v>
      </c>
      <c r="C2500" t="s">
        <v>969</v>
      </c>
      <c r="D2500" t="s">
        <v>965</v>
      </c>
      <c r="E2500" t="s">
        <v>204</v>
      </c>
      <c r="F2500" t="s">
        <v>205</v>
      </c>
      <c r="G2500" t="s">
        <v>972</v>
      </c>
      <c r="H2500">
        <v>29</v>
      </c>
      <c r="I2500">
        <v>18.2759</v>
      </c>
      <c r="J2500">
        <v>35.965499999999999</v>
      </c>
      <c r="K2500">
        <v>17.689699999999998</v>
      </c>
      <c r="L2500">
        <v>27</v>
      </c>
      <c r="M2500">
        <v>0</v>
      </c>
      <c r="N2500">
        <v>2</v>
      </c>
      <c r="O2500" t="s">
        <v>127</v>
      </c>
      <c r="P2500" t="s">
        <v>127</v>
      </c>
      <c r="Q2500" t="s">
        <v>127</v>
      </c>
    </row>
    <row r="2501" spans="1:17" x14ac:dyDescent="0.25">
      <c r="A2501" t="str">
        <f>IF(C2501&amp;G2501&amp;D2501&lt;&gt;'Funnel setup'!$K$3&amp;'Funnel setup'!$K$4&amp;'Funnel setup'!$K$6,".",IF(A2500=".",1,A2500+1))</f>
        <v>.</v>
      </c>
      <c r="B2501" s="244" t="str">
        <f t="shared" si="39"/>
        <v>Knee Replacement PrimaryProviderCOUNTY DURHAM AND DARLINGTON NHS FOUNDATION TRUST (RXP)Oxford Knee Score</v>
      </c>
      <c r="C2501" t="s">
        <v>969</v>
      </c>
      <c r="D2501" t="s">
        <v>965</v>
      </c>
      <c r="E2501" t="s">
        <v>206</v>
      </c>
      <c r="F2501" t="s">
        <v>207</v>
      </c>
      <c r="G2501" t="s">
        <v>972</v>
      </c>
      <c r="H2501">
        <v>137</v>
      </c>
      <c r="I2501">
        <v>19.474499999999999</v>
      </c>
      <c r="J2501">
        <v>36.561999999999998</v>
      </c>
      <c r="K2501">
        <v>17.087599999999998</v>
      </c>
      <c r="L2501">
        <v>132</v>
      </c>
      <c r="M2501">
        <v>1</v>
      </c>
      <c r="N2501">
        <v>4</v>
      </c>
      <c r="O2501">
        <v>36.695</v>
      </c>
      <c r="P2501">
        <v>17.306699999999999</v>
      </c>
      <c r="Q2501">
        <v>8.4749199999999991</v>
      </c>
    </row>
    <row r="2502" spans="1:17" x14ac:dyDescent="0.25">
      <c r="A2502" t="str">
        <f>IF(C2502&amp;G2502&amp;D2502&lt;&gt;'Funnel setup'!$K$3&amp;'Funnel setup'!$K$4&amp;'Funnel setup'!$K$6,".",IF(A2501=".",1,A2501+1))</f>
        <v>.</v>
      </c>
      <c r="B2502" s="244" t="str">
        <f t="shared" si="39"/>
        <v>Knee Replacement PrimaryProviderDONCASTER AND BASSETLAW TEACHING HOSPITALS NHS FOUNDATION TRUST (RP5)Oxford Knee Score</v>
      </c>
      <c r="C2502" t="s">
        <v>969</v>
      </c>
      <c r="D2502" t="s">
        <v>965</v>
      </c>
      <c r="E2502" t="s">
        <v>212</v>
      </c>
      <c r="F2502" t="s">
        <v>213</v>
      </c>
      <c r="G2502" t="s">
        <v>972</v>
      </c>
      <c r="H2502">
        <v>89</v>
      </c>
      <c r="I2502">
        <v>16.763999999999999</v>
      </c>
      <c r="J2502">
        <v>32.9101</v>
      </c>
      <c r="K2502">
        <v>16.146100000000001</v>
      </c>
      <c r="L2502">
        <v>81</v>
      </c>
      <c r="M2502">
        <v>0</v>
      </c>
      <c r="N2502">
        <v>8</v>
      </c>
      <c r="O2502">
        <v>35.373100000000001</v>
      </c>
      <c r="P2502">
        <v>15.9847</v>
      </c>
      <c r="Q2502">
        <v>9.8973600000000008</v>
      </c>
    </row>
    <row r="2503" spans="1:17" x14ac:dyDescent="0.25">
      <c r="A2503" t="str">
        <f>IF(C2503&amp;G2503&amp;D2503&lt;&gt;'Funnel setup'!$K$3&amp;'Funnel setup'!$K$4&amp;'Funnel setup'!$K$6,".",IF(A2502=".",1,A2502+1))</f>
        <v>.</v>
      </c>
      <c r="B2503" s="244" t="str">
        <f t="shared" si="39"/>
        <v>Knee Replacement PrimaryProviderDORSET COUNTY HOSPITAL NHS FOUNDATION TRUST (RBD)Oxford Knee Score</v>
      </c>
      <c r="C2503" t="s">
        <v>969</v>
      </c>
      <c r="D2503" t="s">
        <v>965</v>
      </c>
      <c r="E2503" t="s">
        <v>214</v>
      </c>
      <c r="F2503" t="s">
        <v>215</v>
      </c>
      <c r="G2503" t="s">
        <v>972</v>
      </c>
      <c r="H2503">
        <v>16</v>
      </c>
      <c r="I2503">
        <v>19.8125</v>
      </c>
      <c r="J2503">
        <v>37.4375</v>
      </c>
      <c r="K2503">
        <v>17.625</v>
      </c>
      <c r="L2503">
        <v>16</v>
      </c>
      <c r="M2503">
        <v>0</v>
      </c>
      <c r="N2503">
        <v>0</v>
      </c>
      <c r="O2503" t="s">
        <v>127</v>
      </c>
      <c r="P2503" t="s">
        <v>127</v>
      </c>
      <c r="Q2503" t="s">
        <v>127</v>
      </c>
    </row>
    <row r="2504" spans="1:17" x14ac:dyDescent="0.25">
      <c r="A2504" t="str">
        <f>IF(C2504&amp;G2504&amp;D2504&lt;&gt;'Funnel setup'!$K$3&amp;'Funnel setup'!$K$4&amp;'Funnel setup'!$K$6,".",IF(A2503=".",1,A2503+1))</f>
        <v>.</v>
      </c>
      <c r="B2504" s="244" t="str">
        <f t="shared" si="39"/>
        <v>Knee Replacement PrimaryProviderDROITWICH SPA HOSPITAL (NT412)Oxford Knee Score</v>
      </c>
      <c r="C2504" t="s">
        <v>969</v>
      </c>
      <c r="D2504" t="s">
        <v>965</v>
      </c>
      <c r="E2504" t="s">
        <v>216</v>
      </c>
      <c r="F2504" t="s">
        <v>217</v>
      </c>
      <c r="G2504" t="s">
        <v>972</v>
      </c>
      <c r="H2504">
        <v>25</v>
      </c>
      <c r="I2504">
        <v>20.239999999999998</v>
      </c>
      <c r="J2504">
        <v>38.520000000000003</v>
      </c>
      <c r="K2504">
        <v>18.28</v>
      </c>
      <c r="L2504">
        <v>25</v>
      </c>
      <c r="M2504">
        <v>0</v>
      </c>
      <c r="N2504">
        <v>0</v>
      </c>
      <c r="O2504" t="s">
        <v>127</v>
      </c>
      <c r="P2504" t="s">
        <v>127</v>
      </c>
      <c r="Q2504" t="s">
        <v>127</v>
      </c>
    </row>
    <row r="2505" spans="1:17" x14ac:dyDescent="0.25">
      <c r="A2505" t="str">
        <f>IF(C2505&amp;G2505&amp;D2505&lt;&gt;'Funnel setup'!$K$3&amp;'Funnel setup'!$K$4&amp;'Funnel setup'!$K$6,".",IF(A2504=".",1,A2504+1))</f>
        <v>.</v>
      </c>
      <c r="B2505" s="244" t="str">
        <f t="shared" si="39"/>
        <v>Knee Replacement PrimaryProviderDUCHY HOSPITAL (NT447)Oxford Knee Score</v>
      </c>
      <c r="C2505" t="s">
        <v>969</v>
      </c>
      <c r="D2505" t="s">
        <v>965</v>
      </c>
      <c r="E2505" t="s">
        <v>218</v>
      </c>
      <c r="F2505" t="s">
        <v>219</v>
      </c>
      <c r="G2505" t="s">
        <v>972</v>
      </c>
      <c r="H2505">
        <v>38</v>
      </c>
      <c r="I2505">
        <v>21.7895</v>
      </c>
      <c r="J2505">
        <v>41.631599999999999</v>
      </c>
      <c r="K2505">
        <v>19.842099999999999</v>
      </c>
      <c r="L2505">
        <v>37</v>
      </c>
      <c r="M2505">
        <v>0</v>
      </c>
      <c r="N2505">
        <v>1</v>
      </c>
      <c r="O2505">
        <v>39.395899999999997</v>
      </c>
      <c r="P2505">
        <v>20.0075</v>
      </c>
      <c r="Q2505">
        <v>4.4652000000000003</v>
      </c>
    </row>
    <row r="2506" spans="1:17" x14ac:dyDescent="0.25">
      <c r="A2506" t="str">
        <f>IF(C2506&amp;G2506&amp;D2506&lt;&gt;'Funnel setup'!$K$3&amp;'Funnel setup'!$K$4&amp;'Funnel setup'!$K$6,".",IF(A2505=".",1,A2505+1))</f>
        <v>.</v>
      </c>
      <c r="B2506" s="244" t="str">
        <f t="shared" si="39"/>
        <v>Knee Replacement PrimaryProviderDUCHY HOSPITAL (NVC04)Oxford Knee Score</v>
      </c>
      <c r="C2506" t="s">
        <v>969</v>
      </c>
      <c r="D2506" t="s">
        <v>965</v>
      </c>
      <c r="E2506" t="s">
        <v>220</v>
      </c>
      <c r="F2506" t="s">
        <v>221</v>
      </c>
      <c r="G2506" t="s">
        <v>972</v>
      </c>
      <c r="H2506">
        <v>26</v>
      </c>
      <c r="I2506">
        <v>23.115400000000001</v>
      </c>
      <c r="J2506">
        <v>37.346200000000003</v>
      </c>
      <c r="K2506">
        <v>14.2308</v>
      </c>
      <c r="L2506">
        <v>24</v>
      </c>
      <c r="M2506">
        <v>0</v>
      </c>
      <c r="N2506">
        <v>2</v>
      </c>
      <c r="O2506" t="s">
        <v>127</v>
      </c>
      <c r="P2506" t="s">
        <v>127</v>
      </c>
      <c r="Q2506" t="s">
        <v>127</v>
      </c>
    </row>
    <row r="2507" spans="1:17" x14ac:dyDescent="0.25">
      <c r="A2507" t="str">
        <f>IF(C2507&amp;G2507&amp;D2507&lt;&gt;'Funnel setup'!$K$3&amp;'Funnel setup'!$K$4&amp;'Funnel setup'!$K$6,".",IF(A2506=".",1,A2506+1))</f>
        <v>.</v>
      </c>
      <c r="B2507" s="244" t="str">
        <f t="shared" si="39"/>
        <v>Knee Replacement PrimaryProviderEAST AND NORTH HERTFORDSHIRE NHS TRUST (RWH)Oxford Knee Score</v>
      </c>
      <c r="C2507" t="s">
        <v>969</v>
      </c>
      <c r="D2507" t="s">
        <v>965</v>
      </c>
      <c r="E2507" t="s">
        <v>224</v>
      </c>
      <c r="F2507" t="s">
        <v>225</v>
      </c>
      <c r="G2507" t="s">
        <v>972</v>
      </c>
      <c r="H2507">
        <v>29</v>
      </c>
      <c r="I2507">
        <v>19.413799999999998</v>
      </c>
      <c r="J2507">
        <v>35.379300000000001</v>
      </c>
      <c r="K2507">
        <v>15.9655</v>
      </c>
      <c r="L2507">
        <v>26</v>
      </c>
      <c r="M2507">
        <v>0</v>
      </c>
      <c r="N2507">
        <v>3</v>
      </c>
      <c r="O2507" t="s">
        <v>127</v>
      </c>
      <c r="P2507" t="s">
        <v>127</v>
      </c>
      <c r="Q2507" t="s">
        <v>127</v>
      </c>
    </row>
    <row r="2508" spans="1:17" x14ac:dyDescent="0.25">
      <c r="A2508" t="str">
        <f>IF(C2508&amp;G2508&amp;D2508&lt;&gt;'Funnel setup'!$K$3&amp;'Funnel setup'!$K$4&amp;'Funnel setup'!$K$6,".",IF(A2507=".",1,A2507+1))</f>
        <v>.</v>
      </c>
      <c r="B2508" s="244" t="str">
        <f t="shared" si="39"/>
        <v>Knee Replacement PrimaryProviderEAST CHESHIRE NHS TRUST (RJN)Oxford Knee Score</v>
      </c>
      <c r="C2508" t="s">
        <v>969</v>
      </c>
      <c r="D2508" t="s">
        <v>965</v>
      </c>
      <c r="E2508" t="s">
        <v>226</v>
      </c>
      <c r="F2508" t="s">
        <v>227</v>
      </c>
      <c r="G2508" t="s">
        <v>972</v>
      </c>
      <c r="H2508">
        <v>6</v>
      </c>
      <c r="I2508">
        <v>11.833299999999999</v>
      </c>
      <c r="J2508">
        <v>35.166699999999999</v>
      </c>
      <c r="K2508">
        <v>23.333300000000001</v>
      </c>
      <c r="L2508">
        <v>6</v>
      </c>
      <c r="M2508">
        <v>0</v>
      </c>
      <c r="N2508">
        <v>0</v>
      </c>
      <c r="O2508" t="s">
        <v>127</v>
      </c>
      <c r="P2508" t="s">
        <v>127</v>
      </c>
      <c r="Q2508" t="s">
        <v>127</v>
      </c>
    </row>
    <row r="2509" spans="1:17" x14ac:dyDescent="0.25">
      <c r="A2509" t="str">
        <f>IF(C2509&amp;G2509&amp;D2509&lt;&gt;'Funnel setup'!$K$3&amp;'Funnel setup'!$K$4&amp;'Funnel setup'!$K$6,".",IF(A2508=".",1,A2508+1))</f>
        <v>.</v>
      </c>
      <c r="B2509" s="244" t="str">
        <f t="shared" si="39"/>
        <v>Knee Replacement PrimaryProviderEAST KENT HOSPITALS UNIVERSITY NHS FOUNDATION TRUST (RVV)Oxford Knee Score</v>
      </c>
      <c r="C2509" t="s">
        <v>969</v>
      </c>
      <c r="D2509" t="s">
        <v>965</v>
      </c>
      <c r="E2509" t="s">
        <v>228</v>
      </c>
      <c r="F2509" t="s">
        <v>229</v>
      </c>
      <c r="G2509" t="s">
        <v>972</v>
      </c>
      <c r="H2509">
        <v>87</v>
      </c>
      <c r="I2509">
        <v>19.666699999999999</v>
      </c>
      <c r="J2509">
        <v>36.080500000000001</v>
      </c>
      <c r="K2509">
        <v>16.413799999999998</v>
      </c>
      <c r="L2509">
        <v>80</v>
      </c>
      <c r="M2509">
        <v>1</v>
      </c>
      <c r="N2509">
        <v>6</v>
      </c>
      <c r="O2509">
        <v>36.921399999999998</v>
      </c>
      <c r="P2509">
        <v>17.533100000000001</v>
      </c>
      <c r="Q2509">
        <v>8.1453100000000003</v>
      </c>
    </row>
    <row r="2510" spans="1:17" x14ac:dyDescent="0.25">
      <c r="A2510" t="str">
        <f>IF(C2510&amp;G2510&amp;D2510&lt;&gt;'Funnel setup'!$K$3&amp;'Funnel setup'!$K$4&amp;'Funnel setup'!$K$6,".",IF(A2509=".",1,A2509+1))</f>
        <v>.</v>
      </c>
      <c r="B2510" s="244" t="str">
        <f t="shared" si="39"/>
        <v>Knee Replacement PrimaryProviderEAST LANCASHIRE HOSPITALS NHS TRUST (RXR)Oxford Knee Score</v>
      </c>
      <c r="C2510" t="s">
        <v>969</v>
      </c>
      <c r="D2510" t="s">
        <v>965</v>
      </c>
      <c r="E2510" t="s">
        <v>230</v>
      </c>
      <c r="F2510" t="s">
        <v>231</v>
      </c>
      <c r="G2510" t="s">
        <v>972</v>
      </c>
      <c r="H2510">
        <v>97</v>
      </c>
      <c r="I2510">
        <v>19.164899999999999</v>
      </c>
      <c r="J2510">
        <v>36.515500000000003</v>
      </c>
      <c r="K2510">
        <v>17.3505</v>
      </c>
      <c r="L2510">
        <v>89</v>
      </c>
      <c r="M2510">
        <v>2</v>
      </c>
      <c r="N2510">
        <v>6</v>
      </c>
      <c r="O2510">
        <v>37.369100000000003</v>
      </c>
      <c r="P2510">
        <v>17.980699999999999</v>
      </c>
      <c r="Q2510">
        <v>9.4771199999999993</v>
      </c>
    </row>
    <row r="2511" spans="1:17" x14ac:dyDescent="0.25">
      <c r="A2511" t="str">
        <f>IF(C2511&amp;G2511&amp;D2511&lt;&gt;'Funnel setup'!$K$3&amp;'Funnel setup'!$K$4&amp;'Funnel setup'!$K$6,".",IF(A2510=".",1,A2510+1))</f>
        <v>.</v>
      </c>
      <c r="B2511" s="244" t="str">
        <f t="shared" si="39"/>
        <v>Knee Replacement PrimaryProviderEAST SUFFOLK AND NORTH ESSEX NHS FOUNDATION TRUST (RDE)Oxford Knee Score</v>
      </c>
      <c r="C2511" t="s">
        <v>969</v>
      </c>
      <c r="D2511" t="s">
        <v>965</v>
      </c>
      <c r="E2511" t="s">
        <v>232</v>
      </c>
      <c r="F2511" t="s">
        <v>233</v>
      </c>
      <c r="G2511" t="s">
        <v>972</v>
      </c>
      <c r="H2511">
        <v>134</v>
      </c>
      <c r="I2511">
        <v>18.082100000000001</v>
      </c>
      <c r="J2511">
        <v>37.082099999999997</v>
      </c>
      <c r="K2511">
        <v>19</v>
      </c>
      <c r="L2511">
        <v>130</v>
      </c>
      <c r="M2511">
        <v>0</v>
      </c>
      <c r="N2511">
        <v>4</v>
      </c>
      <c r="O2511">
        <v>37.6676</v>
      </c>
      <c r="P2511">
        <v>18.279299999999999</v>
      </c>
      <c r="Q2511">
        <v>8.0859100000000002</v>
      </c>
    </row>
    <row r="2512" spans="1:17" x14ac:dyDescent="0.25">
      <c r="A2512" t="str">
        <f>IF(C2512&amp;G2512&amp;D2512&lt;&gt;'Funnel setup'!$K$3&amp;'Funnel setup'!$K$4&amp;'Funnel setup'!$K$6,".",IF(A2511=".",1,A2511+1))</f>
        <v>.</v>
      </c>
      <c r="B2512" s="244" t="str">
        <f t="shared" si="39"/>
        <v>Knee Replacement PrimaryProviderEAST SUSSEX HEALTHCARE NHS TRUST (RXC)Oxford Knee Score</v>
      </c>
      <c r="C2512" t="s">
        <v>969</v>
      </c>
      <c r="D2512" t="s">
        <v>965</v>
      </c>
      <c r="E2512" t="s">
        <v>234</v>
      </c>
      <c r="F2512" t="s">
        <v>235</v>
      </c>
      <c r="G2512" t="s">
        <v>972</v>
      </c>
      <c r="H2512">
        <v>82</v>
      </c>
      <c r="I2512">
        <v>18.5976</v>
      </c>
      <c r="J2512">
        <v>36.8902</v>
      </c>
      <c r="K2512">
        <v>18.2927</v>
      </c>
      <c r="L2512">
        <v>80</v>
      </c>
      <c r="M2512">
        <v>0</v>
      </c>
      <c r="N2512">
        <v>2</v>
      </c>
      <c r="O2512">
        <v>37.636099999999999</v>
      </c>
      <c r="P2512">
        <v>18.247699999999998</v>
      </c>
      <c r="Q2512">
        <v>7.7497199999999999</v>
      </c>
    </row>
    <row r="2513" spans="1:17" x14ac:dyDescent="0.25">
      <c r="A2513" t="str">
        <f>IF(C2513&amp;G2513&amp;D2513&lt;&gt;'Funnel setup'!$K$3&amp;'Funnel setup'!$K$4&amp;'Funnel setup'!$K$6,".",IF(A2512=".",1,A2512+1))</f>
        <v>.</v>
      </c>
      <c r="B2513" s="244" t="str">
        <f t="shared" si="39"/>
        <v>Knee Replacement PrimaryProviderEPSOM AND ST HELIER UNIVERSITY HOSPITALS NHS TRUST (RVR)Oxford Knee Score</v>
      </c>
      <c r="C2513" t="s">
        <v>969</v>
      </c>
      <c r="D2513" t="s">
        <v>965</v>
      </c>
      <c r="E2513" t="s">
        <v>238</v>
      </c>
      <c r="F2513" t="s">
        <v>239</v>
      </c>
      <c r="G2513" t="s">
        <v>972</v>
      </c>
      <c r="H2513">
        <v>674</v>
      </c>
      <c r="I2513">
        <v>20.578600000000002</v>
      </c>
      <c r="J2513">
        <v>37.016300000000001</v>
      </c>
      <c r="K2513">
        <v>16.4377</v>
      </c>
      <c r="L2513">
        <v>644</v>
      </c>
      <c r="M2513">
        <v>2</v>
      </c>
      <c r="N2513">
        <v>28</v>
      </c>
      <c r="O2513">
        <v>36.552100000000003</v>
      </c>
      <c r="P2513">
        <v>17.163799999999998</v>
      </c>
      <c r="Q2513">
        <v>8.0344700000000007</v>
      </c>
    </row>
    <row r="2514" spans="1:17" x14ac:dyDescent="0.25">
      <c r="A2514" t="str">
        <f>IF(C2514&amp;G2514&amp;D2514&lt;&gt;'Funnel setup'!$K$3&amp;'Funnel setup'!$K$4&amp;'Funnel setup'!$K$6,".",IF(A2513=".",1,A2513+1))</f>
        <v>.</v>
      </c>
      <c r="B2514" s="244" t="str">
        <f t="shared" si="39"/>
        <v>Knee Replacement PrimaryProviderEUXTON HALL HOSPITAL (NVC05)Oxford Knee Score</v>
      </c>
      <c r="C2514" t="s">
        <v>969</v>
      </c>
      <c r="D2514" t="s">
        <v>965</v>
      </c>
      <c r="E2514" t="s">
        <v>240</v>
      </c>
      <c r="F2514" t="s">
        <v>241</v>
      </c>
      <c r="G2514" t="s">
        <v>972</v>
      </c>
      <c r="H2514">
        <v>54</v>
      </c>
      <c r="I2514">
        <v>17.925899999999999</v>
      </c>
      <c r="J2514">
        <v>39.463000000000001</v>
      </c>
      <c r="K2514">
        <v>21.536999999999999</v>
      </c>
      <c r="L2514">
        <v>53</v>
      </c>
      <c r="M2514">
        <v>1</v>
      </c>
      <c r="N2514">
        <v>0</v>
      </c>
      <c r="O2514">
        <v>39.685499999999998</v>
      </c>
      <c r="P2514">
        <v>20.2972</v>
      </c>
      <c r="Q2514">
        <v>8.1142299999999992</v>
      </c>
    </row>
    <row r="2515" spans="1:17" x14ac:dyDescent="0.25">
      <c r="A2515" t="str">
        <f>IF(C2515&amp;G2515&amp;D2515&lt;&gt;'Funnel setup'!$K$3&amp;'Funnel setup'!$K$4&amp;'Funnel setup'!$K$6,".",IF(A2514=".",1,A2514+1))</f>
        <v>.</v>
      </c>
      <c r="B2515" s="244" t="str">
        <f t="shared" si="39"/>
        <v>Knee Replacement PrimaryProviderFAIRFIELD HOSPITAL (NVG01)Oxford Knee Score</v>
      </c>
      <c r="C2515" t="s">
        <v>969</v>
      </c>
      <c r="D2515" t="s">
        <v>965</v>
      </c>
      <c r="E2515" t="s">
        <v>242</v>
      </c>
      <c r="F2515" t="s">
        <v>243</v>
      </c>
      <c r="G2515" t="s">
        <v>972</v>
      </c>
      <c r="H2515">
        <v>48</v>
      </c>
      <c r="I2515">
        <v>18.583300000000001</v>
      </c>
      <c r="J2515">
        <v>35.25</v>
      </c>
      <c r="K2515">
        <v>16.666699999999999</v>
      </c>
      <c r="L2515">
        <v>44</v>
      </c>
      <c r="M2515">
        <v>1</v>
      </c>
      <c r="N2515">
        <v>3</v>
      </c>
      <c r="O2515">
        <v>35.459400000000002</v>
      </c>
      <c r="P2515">
        <v>16.071100000000001</v>
      </c>
      <c r="Q2515">
        <v>9.1244499999999995</v>
      </c>
    </row>
    <row r="2516" spans="1:17" x14ac:dyDescent="0.25">
      <c r="A2516" t="str">
        <f>IF(C2516&amp;G2516&amp;D2516&lt;&gt;'Funnel setup'!$K$3&amp;'Funnel setup'!$K$4&amp;'Funnel setup'!$K$6,".",IF(A2515=".",1,A2515+1))</f>
        <v>.</v>
      </c>
      <c r="B2516" s="244" t="str">
        <f t="shared" si="39"/>
        <v>Knee Replacement PrimaryProviderFITZWILLIAM HOSPITAL (NVC06)Oxford Knee Score</v>
      </c>
      <c r="C2516" t="s">
        <v>969</v>
      </c>
      <c r="D2516" t="s">
        <v>965</v>
      </c>
      <c r="E2516" t="s">
        <v>244</v>
      </c>
      <c r="F2516" t="s">
        <v>245</v>
      </c>
      <c r="G2516" t="s">
        <v>972</v>
      </c>
      <c r="H2516">
        <v>94</v>
      </c>
      <c r="I2516">
        <v>19.617000000000001</v>
      </c>
      <c r="J2516">
        <v>39.5319</v>
      </c>
      <c r="K2516">
        <v>19.914899999999999</v>
      </c>
      <c r="L2516">
        <v>92</v>
      </c>
      <c r="M2516">
        <v>0</v>
      </c>
      <c r="N2516">
        <v>2</v>
      </c>
      <c r="O2516">
        <v>38.860900000000001</v>
      </c>
      <c r="P2516">
        <v>19.4726</v>
      </c>
      <c r="Q2516">
        <v>7.3139900000000004</v>
      </c>
    </row>
    <row r="2517" spans="1:17" x14ac:dyDescent="0.25">
      <c r="A2517" t="str">
        <f>IF(C2517&amp;G2517&amp;D2517&lt;&gt;'Funnel setup'!$K$3&amp;'Funnel setup'!$K$4&amp;'Funnel setup'!$K$6,".",IF(A2516=".",1,A2516+1))</f>
        <v>.</v>
      </c>
      <c r="B2517" s="244" t="str">
        <f t="shared" si="39"/>
        <v>Knee Replacement PrimaryProviderFRIMLEY HEALTH NHS FOUNDATION TRUST (RDU)Oxford Knee Score</v>
      </c>
      <c r="C2517" t="s">
        <v>969</v>
      </c>
      <c r="D2517" t="s">
        <v>965</v>
      </c>
      <c r="E2517" t="s">
        <v>248</v>
      </c>
      <c r="F2517" t="s">
        <v>249</v>
      </c>
      <c r="G2517" t="s">
        <v>972</v>
      </c>
      <c r="H2517">
        <v>197</v>
      </c>
      <c r="I2517">
        <v>21.314699999999998</v>
      </c>
      <c r="J2517">
        <v>36.101500000000001</v>
      </c>
      <c r="K2517">
        <v>14.786799999999999</v>
      </c>
      <c r="L2517">
        <v>179</v>
      </c>
      <c r="M2517">
        <v>6</v>
      </c>
      <c r="N2517">
        <v>12</v>
      </c>
      <c r="O2517">
        <v>35.1432</v>
      </c>
      <c r="P2517">
        <v>15.754899999999999</v>
      </c>
      <c r="Q2517">
        <v>8.9444700000000008</v>
      </c>
    </row>
    <row r="2518" spans="1:17" x14ac:dyDescent="0.25">
      <c r="A2518" t="str">
        <f>IF(C2518&amp;G2518&amp;D2518&lt;&gt;'Funnel setup'!$K$3&amp;'Funnel setup'!$K$4&amp;'Funnel setup'!$K$6,".",IF(A2517=".",1,A2517+1))</f>
        <v>.</v>
      </c>
      <c r="B2518" s="244" t="str">
        <f t="shared" si="39"/>
        <v>Knee Replacement PrimaryProviderFULWOOD HALL HOSPITAL (NVC07)Oxford Knee Score</v>
      </c>
      <c r="C2518" t="s">
        <v>969</v>
      </c>
      <c r="D2518" t="s">
        <v>965</v>
      </c>
      <c r="E2518" t="s">
        <v>250</v>
      </c>
      <c r="F2518" t="s">
        <v>251</v>
      </c>
      <c r="G2518" t="s">
        <v>972</v>
      </c>
      <c r="H2518">
        <v>87</v>
      </c>
      <c r="I2518">
        <v>20.8736</v>
      </c>
      <c r="J2518">
        <v>39.8506</v>
      </c>
      <c r="K2518">
        <v>18.977</v>
      </c>
      <c r="L2518">
        <v>85</v>
      </c>
      <c r="M2518">
        <v>0</v>
      </c>
      <c r="N2518">
        <v>2</v>
      </c>
      <c r="O2518">
        <v>38.989800000000002</v>
      </c>
      <c r="P2518">
        <v>19.601500000000001</v>
      </c>
      <c r="Q2518">
        <v>8.0562400000000007</v>
      </c>
    </row>
    <row r="2519" spans="1:17" x14ac:dyDescent="0.25">
      <c r="A2519" t="str">
        <f>IF(C2519&amp;G2519&amp;D2519&lt;&gt;'Funnel setup'!$K$3&amp;'Funnel setup'!$K$4&amp;'Funnel setup'!$K$6,".",IF(A2518=".",1,A2518+1))</f>
        <v>.</v>
      </c>
      <c r="B2519" s="244" t="str">
        <f t="shared" si="39"/>
        <v>Knee Replacement PrimaryProviderGATESHEAD HEALTH NHS FOUNDATION TRUST (RR7)Oxford Knee Score</v>
      </c>
      <c r="C2519" t="s">
        <v>969</v>
      </c>
      <c r="D2519" t="s">
        <v>965</v>
      </c>
      <c r="E2519" t="s">
        <v>252</v>
      </c>
      <c r="F2519" t="s">
        <v>253</v>
      </c>
      <c r="G2519" t="s">
        <v>972</v>
      </c>
      <c r="H2519">
        <v>42</v>
      </c>
      <c r="I2519">
        <v>14.5952</v>
      </c>
      <c r="J2519">
        <v>36.357100000000003</v>
      </c>
      <c r="K2519">
        <v>21.761900000000001</v>
      </c>
      <c r="L2519">
        <v>41</v>
      </c>
      <c r="M2519">
        <v>0</v>
      </c>
      <c r="N2519">
        <v>1</v>
      </c>
      <c r="O2519">
        <v>39.451599999999999</v>
      </c>
      <c r="P2519">
        <v>20.063300000000002</v>
      </c>
      <c r="Q2519">
        <v>9.2497000000000007</v>
      </c>
    </row>
    <row r="2520" spans="1:17" x14ac:dyDescent="0.25">
      <c r="A2520" t="str">
        <f>IF(C2520&amp;G2520&amp;D2520&lt;&gt;'Funnel setup'!$K$3&amp;'Funnel setup'!$K$4&amp;'Funnel setup'!$K$6,".",IF(A2519=".",1,A2519+1))</f>
        <v>.</v>
      </c>
      <c r="B2520" s="244" t="str">
        <f t="shared" si="39"/>
        <v>Knee Replacement PrimaryProviderGLOUCESTERSHIRE HOSPITALS NHS FOUNDATION TRUST (RTE)Oxford Knee Score</v>
      </c>
      <c r="C2520" t="s">
        <v>969</v>
      </c>
      <c r="D2520" t="s">
        <v>965</v>
      </c>
      <c r="E2520" t="s">
        <v>256</v>
      </c>
      <c r="F2520" t="s">
        <v>257</v>
      </c>
      <c r="G2520" t="s">
        <v>972</v>
      </c>
      <c r="H2520">
        <v>67</v>
      </c>
      <c r="I2520">
        <v>16.3582</v>
      </c>
      <c r="J2520">
        <v>36.910400000000003</v>
      </c>
      <c r="K2520">
        <v>20.552199999999999</v>
      </c>
      <c r="L2520">
        <v>66</v>
      </c>
      <c r="M2520">
        <v>0</v>
      </c>
      <c r="N2520">
        <v>1</v>
      </c>
      <c r="O2520">
        <v>38.410299999999999</v>
      </c>
      <c r="P2520">
        <v>19.021999999999998</v>
      </c>
      <c r="Q2520">
        <v>7.7014300000000002</v>
      </c>
    </row>
    <row r="2521" spans="1:17" x14ac:dyDescent="0.25">
      <c r="A2521" t="str">
        <f>IF(C2521&amp;G2521&amp;D2521&lt;&gt;'Funnel setup'!$K$3&amp;'Funnel setup'!$K$4&amp;'Funnel setup'!$K$6,".",IF(A2520=".",1,A2520+1))</f>
        <v>.</v>
      </c>
      <c r="B2521" s="244" t="str">
        <f t="shared" si="39"/>
        <v>Knee Replacement PrimaryProviderGORING HALL HOSPITAL (NT417)Oxford Knee Score</v>
      </c>
      <c r="C2521" t="s">
        <v>969</v>
      </c>
      <c r="D2521" t="s">
        <v>965</v>
      </c>
      <c r="E2521" t="s">
        <v>258</v>
      </c>
      <c r="F2521" t="s">
        <v>259</v>
      </c>
      <c r="G2521" t="s">
        <v>972</v>
      </c>
      <c r="H2521">
        <v>25</v>
      </c>
      <c r="I2521">
        <v>20.88</v>
      </c>
      <c r="J2521">
        <v>39.64</v>
      </c>
      <c r="K2521">
        <v>18.760000000000002</v>
      </c>
      <c r="L2521">
        <v>23</v>
      </c>
      <c r="M2521">
        <v>0</v>
      </c>
      <c r="N2521">
        <v>2</v>
      </c>
      <c r="O2521" t="s">
        <v>127</v>
      </c>
      <c r="P2521" t="s">
        <v>127</v>
      </c>
      <c r="Q2521" t="s">
        <v>127</v>
      </c>
    </row>
    <row r="2522" spans="1:17" x14ac:dyDescent="0.25">
      <c r="A2522" t="str">
        <f>IF(C2522&amp;G2522&amp;D2522&lt;&gt;'Funnel setup'!$K$3&amp;'Funnel setup'!$K$4&amp;'Funnel setup'!$K$6,".",IF(A2521=".",1,A2521+1))</f>
        <v>.</v>
      </c>
      <c r="B2522" s="244" t="str">
        <f t="shared" si="39"/>
        <v>Knee Replacement PrimaryProviderGUY'S AND ST THOMAS' NHS FOUNDATION TRUST (RJ1)Oxford Knee Score</v>
      </c>
      <c r="C2522" t="s">
        <v>969</v>
      </c>
      <c r="D2522" t="s">
        <v>965</v>
      </c>
      <c r="E2522" t="s">
        <v>262</v>
      </c>
      <c r="F2522" t="s">
        <v>263</v>
      </c>
      <c r="G2522" t="s">
        <v>972</v>
      </c>
      <c r="H2522">
        <v>59</v>
      </c>
      <c r="I2522">
        <v>18.118600000000001</v>
      </c>
      <c r="J2522">
        <v>33.813600000000001</v>
      </c>
      <c r="K2522">
        <v>15.694900000000001</v>
      </c>
      <c r="L2522">
        <v>56</v>
      </c>
      <c r="M2522">
        <v>0</v>
      </c>
      <c r="N2522">
        <v>3</v>
      </c>
      <c r="O2522">
        <v>35.332099999999997</v>
      </c>
      <c r="P2522">
        <v>15.9438</v>
      </c>
      <c r="Q2522">
        <v>8.7576900000000002</v>
      </c>
    </row>
    <row r="2523" spans="1:17" x14ac:dyDescent="0.25">
      <c r="A2523" t="str">
        <f>IF(C2523&amp;G2523&amp;D2523&lt;&gt;'Funnel setup'!$K$3&amp;'Funnel setup'!$K$4&amp;'Funnel setup'!$K$6,".",IF(A2522=".",1,A2522+1))</f>
        <v>.</v>
      </c>
      <c r="B2523" s="244" t="str">
        <f t="shared" si="39"/>
        <v>Knee Replacement PrimaryProviderHAMPSHIRE CLINIC (NT418)Oxford Knee Score</v>
      </c>
      <c r="C2523" t="s">
        <v>969</v>
      </c>
      <c r="D2523" t="s">
        <v>965</v>
      </c>
      <c r="E2523" t="s">
        <v>264</v>
      </c>
      <c r="F2523" t="s">
        <v>265</v>
      </c>
      <c r="G2523" t="s">
        <v>972</v>
      </c>
      <c r="H2523">
        <v>22</v>
      </c>
      <c r="I2523">
        <v>24.636399999999998</v>
      </c>
      <c r="J2523">
        <v>39.954500000000003</v>
      </c>
      <c r="K2523">
        <v>15.318199999999999</v>
      </c>
      <c r="L2523">
        <v>20</v>
      </c>
      <c r="M2523">
        <v>0</v>
      </c>
      <c r="N2523">
        <v>2</v>
      </c>
      <c r="O2523" t="s">
        <v>127</v>
      </c>
      <c r="P2523" t="s">
        <v>127</v>
      </c>
      <c r="Q2523" t="s">
        <v>127</v>
      </c>
    </row>
    <row r="2524" spans="1:17" x14ac:dyDescent="0.25">
      <c r="A2524" t="str">
        <f>IF(C2524&amp;G2524&amp;D2524&lt;&gt;'Funnel setup'!$K$3&amp;'Funnel setup'!$K$4&amp;'Funnel setup'!$K$6,".",IF(A2523=".",1,A2523+1))</f>
        <v>.</v>
      </c>
      <c r="B2524" s="244" t="str">
        <f t="shared" si="39"/>
        <v>Knee Replacement PrimaryProviderHAMPSHIRE HOSPITALS NHS FOUNDATION TRUST (RN5)Oxford Knee Score</v>
      </c>
      <c r="C2524" t="s">
        <v>969</v>
      </c>
      <c r="D2524" t="s">
        <v>965</v>
      </c>
      <c r="E2524" t="s">
        <v>266</v>
      </c>
      <c r="F2524" t="s">
        <v>267</v>
      </c>
      <c r="G2524" t="s">
        <v>972</v>
      </c>
      <c r="H2524">
        <v>27</v>
      </c>
      <c r="I2524">
        <v>20.963000000000001</v>
      </c>
      <c r="J2524">
        <v>39</v>
      </c>
      <c r="K2524">
        <v>18.036999999999999</v>
      </c>
      <c r="L2524">
        <v>25</v>
      </c>
      <c r="M2524">
        <v>0</v>
      </c>
      <c r="N2524">
        <v>2</v>
      </c>
      <c r="O2524" t="s">
        <v>127</v>
      </c>
      <c r="P2524" t="s">
        <v>127</v>
      </c>
      <c r="Q2524" t="s">
        <v>127</v>
      </c>
    </row>
    <row r="2525" spans="1:17" x14ac:dyDescent="0.25">
      <c r="A2525" t="str">
        <f>IF(C2525&amp;G2525&amp;D2525&lt;&gt;'Funnel setup'!$K$3&amp;'Funnel setup'!$K$4&amp;'Funnel setup'!$K$6,".",IF(A2524=".",1,A2524+1))</f>
        <v>.</v>
      </c>
      <c r="B2525" s="244" t="str">
        <f t="shared" si="39"/>
        <v>Knee Replacement PrimaryProviderHARROGATE AND DISTRICT NHS FOUNDATION TRUST (RCD)Oxford Knee Score</v>
      </c>
      <c r="C2525" t="s">
        <v>969</v>
      </c>
      <c r="D2525" t="s">
        <v>965</v>
      </c>
      <c r="E2525" t="s">
        <v>270</v>
      </c>
      <c r="F2525" t="s">
        <v>271</v>
      </c>
      <c r="G2525" t="s">
        <v>972</v>
      </c>
      <c r="H2525">
        <v>82</v>
      </c>
      <c r="I2525">
        <v>18.9756</v>
      </c>
      <c r="J2525">
        <v>36.658499999999997</v>
      </c>
      <c r="K2525">
        <v>17.6829</v>
      </c>
      <c r="L2525">
        <v>79</v>
      </c>
      <c r="M2525">
        <v>2</v>
      </c>
      <c r="N2525">
        <v>1</v>
      </c>
      <c r="O2525">
        <v>36.683700000000002</v>
      </c>
      <c r="P2525">
        <v>17.295400000000001</v>
      </c>
      <c r="Q2525">
        <v>8.5947899999999997</v>
      </c>
    </row>
    <row r="2526" spans="1:17" x14ac:dyDescent="0.25">
      <c r="A2526" t="str">
        <f>IF(C2526&amp;G2526&amp;D2526&lt;&gt;'Funnel setup'!$K$3&amp;'Funnel setup'!$K$4&amp;'Funnel setup'!$K$6,".",IF(A2525=".",1,A2525+1))</f>
        <v>.</v>
      </c>
      <c r="B2526" s="244" t="str">
        <f t="shared" si="39"/>
        <v>Knee Replacement PrimaryProviderHIGHFIELD HOSPITAL (NT420)Oxford Knee Score</v>
      </c>
      <c r="C2526" t="s">
        <v>969</v>
      </c>
      <c r="D2526" t="s">
        <v>965</v>
      </c>
      <c r="E2526" t="s">
        <v>272</v>
      </c>
      <c r="F2526" t="s">
        <v>273</v>
      </c>
      <c r="G2526" t="s">
        <v>972</v>
      </c>
      <c r="H2526">
        <v>128</v>
      </c>
      <c r="I2526">
        <v>19.218800000000002</v>
      </c>
      <c r="J2526">
        <v>35.867199999999997</v>
      </c>
      <c r="K2526">
        <v>16.648399999999999</v>
      </c>
      <c r="L2526">
        <v>119</v>
      </c>
      <c r="M2526">
        <v>0</v>
      </c>
      <c r="N2526">
        <v>9</v>
      </c>
      <c r="O2526">
        <v>35.776299999999999</v>
      </c>
      <c r="P2526">
        <v>16.387899999999998</v>
      </c>
      <c r="Q2526">
        <v>8.9752500000000008</v>
      </c>
    </row>
    <row r="2527" spans="1:17" x14ac:dyDescent="0.25">
      <c r="A2527" t="str">
        <f>IF(C2527&amp;G2527&amp;D2527&lt;&gt;'Funnel setup'!$K$3&amp;'Funnel setup'!$K$4&amp;'Funnel setup'!$K$6,".",IF(A2526=".",1,A2526+1))</f>
        <v>.</v>
      </c>
      <c r="B2527" s="244" t="str">
        <f t="shared" si="39"/>
        <v>Knee Replacement PrimaryProviderHOMERTON HEALTHCARE NHS FOUNDATION TRUST (RQX)Oxford Knee Score</v>
      </c>
      <c r="C2527" t="s">
        <v>969</v>
      </c>
      <c r="D2527" t="s">
        <v>965</v>
      </c>
      <c r="E2527" t="s">
        <v>274</v>
      </c>
      <c r="F2527" t="s">
        <v>275</v>
      </c>
      <c r="G2527" t="s">
        <v>972</v>
      </c>
      <c r="H2527">
        <v>4</v>
      </c>
      <c r="I2527">
        <v>15.5</v>
      </c>
      <c r="J2527">
        <v>36.25</v>
      </c>
      <c r="K2527">
        <v>20.75</v>
      </c>
      <c r="L2527">
        <v>4</v>
      </c>
      <c r="M2527">
        <v>0</v>
      </c>
      <c r="N2527">
        <v>0</v>
      </c>
      <c r="O2527" t="s">
        <v>127</v>
      </c>
      <c r="P2527" t="s">
        <v>127</v>
      </c>
      <c r="Q2527" t="s">
        <v>127</v>
      </c>
    </row>
    <row r="2528" spans="1:17" x14ac:dyDescent="0.25">
      <c r="A2528" t="str">
        <f>IF(C2528&amp;G2528&amp;D2528&lt;&gt;'Funnel setup'!$K$3&amp;'Funnel setup'!$K$4&amp;'Funnel setup'!$K$6,".",IF(A2527=".",1,A2527+1))</f>
        <v>.</v>
      </c>
      <c r="B2528" s="244" t="str">
        <f t="shared" si="39"/>
        <v>Knee Replacement PrimaryProviderHUDDERSFIELD HOSPITAL (NT448)Oxford Knee Score</v>
      </c>
      <c r="C2528" t="s">
        <v>969</v>
      </c>
      <c r="D2528" t="s">
        <v>965</v>
      </c>
      <c r="E2528" t="s">
        <v>276</v>
      </c>
      <c r="F2528" t="s">
        <v>277</v>
      </c>
      <c r="G2528" t="s">
        <v>972</v>
      </c>
      <c r="H2528">
        <v>4</v>
      </c>
      <c r="I2528">
        <v>25</v>
      </c>
      <c r="J2528">
        <v>36.75</v>
      </c>
      <c r="K2528">
        <v>11.75</v>
      </c>
      <c r="L2528">
        <v>4</v>
      </c>
      <c r="M2528">
        <v>0</v>
      </c>
      <c r="N2528">
        <v>0</v>
      </c>
      <c r="O2528" t="s">
        <v>127</v>
      </c>
      <c r="P2528" t="s">
        <v>127</v>
      </c>
      <c r="Q2528" t="s">
        <v>127</v>
      </c>
    </row>
    <row r="2529" spans="1:17" x14ac:dyDescent="0.25">
      <c r="A2529" t="str">
        <f>IF(C2529&amp;G2529&amp;D2529&lt;&gt;'Funnel setup'!$K$3&amp;'Funnel setup'!$K$4&amp;'Funnel setup'!$K$6,".",IF(A2528=".",1,A2528+1))</f>
        <v>.</v>
      </c>
      <c r="B2529" s="244" t="str">
        <f t="shared" si="39"/>
        <v>Knee Replacement PrimaryProviderHULL UNIVERSITY TEACHING HOSPITALS NHS TRUST (RWA)Oxford Knee Score</v>
      </c>
      <c r="C2529" t="s">
        <v>969</v>
      </c>
      <c r="D2529" t="s">
        <v>965</v>
      </c>
      <c r="E2529" t="s">
        <v>278</v>
      </c>
      <c r="F2529" t="s">
        <v>279</v>
      </c>
      <c r="G2529" t="s">
        <v>972</v>
      </c>
      <c r="H2529">
        <v>28</v>
      </c>
      <c r="I2529">
        <v>18.357099999999999</v>
      </c>
      <c r="J2529">
        <v>34.5</v>
      </c>
      <c r="K2529">
        <v>16.142900000000001</v>
      </c>
      <c r="L2529">
        <v>26</v>
      </c>
      <c r="M2529">
        <v>1</v>
      </c>
      <c r="N2529">
        <v>1</v>
      </c>
      <c r="O2529" t="s">
        <v>127</v>
      </c>
      <c r="P2529" t="s">
        <v>127</v>
      </c>
      <c r="Q2529" t="s">
        <v>127</v>
      </c>
    </row>
    <row r="2530" spans="1:17" x14ac:dyDescent="0.25">
      <c r="A2530" t="str">
        <f>IF(C2530&amp;G2530&amp;D2530&lt;&gt;'Funnel setup'!$K$3&amp;'Funnel setup'!$K$4&amp;'Funnel setup'!$K$6,".",IF(A2529=".",1,A2529+1))</f>
        <v>.</v>
      </c>
      <c r="B2530" s="244" t="str">
        <f t="shared" si="39"/>
        <v>Knee Replacement PrimaryProviderIMPERIAL COLLEGE HEALTHCARE NHS TRUST (RYJ)Oxford Knee Score</v>
      </c>
      <c r="C2530" t="s">
        <v>969</v>
      </c>
      <c r="D2530" t="s">
        <v>965</v>
      </c>
      <c r="E2530" t="s">
        <v>280</v>
      </c>
      <c r="F2530" t="s">
        <v>281</v>
      </c>
      <c r="G2530" t="s">
        <v>972</v>
      </c>
      <c r="H2530">
        <v>22</v>
      </c>
      <c r="I2530">
        <v>15.2727</v>
      </c>
      <c r="J2530">
        <v>34.545499999999997</v>
      </c>
      <c r="K2530">
        <v>19.2727</v>
      </c>
      <c r="L2530">
        <v>21</v>
      </c>
      <c r="M2530">
        <v>0</v>
      </c>
      <c r="N2530">
        <v>1</v>
      </c>
      <c r="O2530" t="s">
        <v>127</v>
      </c>
      <c r="P2530" t="s">
        <v>127</v>
      </c>
      <c r="Q2530" t="s">
        <v>127</v>
      </c>
    </row>
    <row r="2531" spans="1:17" x14ac:dyDescent="0.25">
      <c r="A2531" t="str">
        <f>IF(C2531&amp;G2531&amp;D2531&lt;&gt;'Funnel setup'!$K$3&amp;'Funnel setup'!$K$4&amp;'Funnel setup'!$K$6,".",IF(A2530=".",1,A2530+1))</f>
        <v>.</v>
      </c>
      <c r="B2531" s="244" t="str">
        <f t="shared" si="39"/>
        <v>Knee Replacement PrimaryProviderISLE OF WIGHT NHS TRUST (R1F)Oxford Knee Score</v>
      </c>
      <c r="C2531" t="s">
        <v>969</v>
      </c>
      <c r="D2531" t="s">
        <v>965</v>
      </c>
      <c r="E2531" t="s">
        <v>282</v>
      </c>
      <c r="F2531" t="s">
        <v>283</v>
      </c>
      <c r="G2531" t="s">
        <v>972</v>
      </c>
      <c r="H2531">
        <v>2</v>
      </c>
      <c r="I2531">
        <v>28</v>
      </c>
      <c r="J2531">
        <v>39.5</v>
      </c>
      <c r="K2531">
        <v>11.5</v>
      </c>
      <c r="L2531">
        <v>2</v>
      </c>
      <c r="M2531">
        <v>0</v>
      </c>
      <c r="N2531">
        <v>0</v>
      </c>
      <c r="O2531" t="s">
        <v>127</v>
      </c>
      <c r="P2531" t="s">
        <v>127</v>
      </c>
      <c r="Q2531" t="s">
        <v>127</v>
      </c>
    </row>
    <row r="2532" spans="1:17" x14ac:dyDescent="0.25">
      <c r="A2532" t="str">
        <f>IF(C2532&amp;G2532&amp;D2532&lt;&gt;'Funnel setup'!$K$3&amp;'Funnel setup'!$K$4&amp;'Funnel setup'!$K$6,".",IF(A2531=".",1,A2531+1))</f>
        <v>.</v>
      </c>
      <c r="B2532" s="244" t="str">
        <f t="shared" si="39"/>
        <v>Knee Replacement PrimaryProviderJAMES PAGET UNIVERSITY HOSPITALS NHS FOUNDATION TRUST (RGP)Oxford Knee Score</v>
      </c>
      <c r="C2532" t="s">
        <v>969</v>
      </c>
      <c r="D2532" t="s">
        <v>965</v>
      </c>
      <c r="E2532" t="s">
        <v>284</v>
      </c>
      <c r="F2532" t="s">
        <v>285</v>
      </c>
      <c r="G2532" t="s">
        <v>972</v>
      </c>
      <c r="H2532">
        <v>67</v>
      </c>
      <c r="I2532">
        <v>18.014900000000001</v>
      </c>
      <c r="J2532">
        <v>34.865699999999997</v>
      </c>
      <c r="K2532">
        <v>16.8507</v>
      </c>
      <c r="L2532">
        <v>64</v>
      </c>
      <c r="M2532">
        <v>0</v>
      </c>
      <c r="N2532">
        <v>3</v>
      </c>
      <c r="O2532">
        <v>35.982599999999998</v>
      </c>
      <c r="P2532">
        <v>16.5943</v>
      </c>
      <c r="Q2532">
        <v>8.0158199999999997</v>
      </c>
    </row>
    <row r="2533" spans="1:17" x14ac:dyDescent="0.25">
      <c r="A2533" t="str">
        <f>IF(C2533&amp;G2533&amp;D2533&lt;&gt;'Funnel setup'!$K$3&amp;'Funnel setup'!$K$4&amp;'Funnel setup'!$K$6,".",IF(A2532=".",1,A2532+1))</f>
        <v>.</v>
      </c>
      <c r="B2533" s="244" t="str">
        <f t="shared" si="39"/>
        <v>Knee Replacement PrimaryProviderKETTERING GENERAL HOSPITAL NHS FOUNDATION TRUST (RNQ)Oxford Knee Score</v>
      </c>
      <c r="C2533" t="s">
        <v>969</v>
      </c>
      <c r="D2533" t="s">
        <v>965</v>
      </c>
      <c r="E2533" t="s">
        <v>286</v>
      </c>
      <c r="F2533" t="s">
        <v>287</v>
      </c>
      <c r="G2533" t="s">
        <v>972</v>
      </c>
      <c r="H2533">
        <v>25</v>
      </c>
      <c r="I2533">
        <v>17.52</v>
      </c>
      <c r="J2533">
        <v>34.36</v>
      </c>
      <c r="K2533">
        <v>16.84</v>
      </c>
      <c r="L2533">
        <v>25</v>
      </c>
      <c r="M2533">
        <v>0</v>
      </c>
      <c r="N2533">
        <v>0</v>
      </c>
      <c r="O2533" t="s">
        <v>127</v>
      </c>
      <c r="P2533" t="s">
        <v>127</v>
      </c>
      <c r="Q2533" t="s">
        <v>127</v>
      </c>
    </row>
    <row r="2534" spans="1:17" x14ac:dyDescent="0.25">
      <c r="A2534" t="str">
        <f>IF(C2534&amp;G2534&amp;D2534&lt;&gt;'Funnel setup'!$K$3&amp;'Funnel setup'!$K$4&amp;'Funnel setup'!$K$6,".",IF(A2533=".",1,A2533+1))</f>
        <v>.</v>
      </c>
      <c r="B2534" s="244" t="str">
        <f t="shared" si="39"/>
        <v>Knee Replacement PrimaryProviderKIMS HOSPITAL (NEWNHAM COURT) (ADP02)Oxford Knee Score</v>
      </c>
      <c r="C2534" t="s">
        <v>969</v>
      </c>
      <c r="D2534" t="s">
        <v>965</v>
      </c>
      <c r="E2534" t="s">
        <v>288</v>
      </c>
      <c r="F2534" t="s">
        <v>289</v>
      </c>
      <c r="G2534" t="s">
        <v>972</v>
      </c>
      <c r="H2534">
        <v>135</v>
      </c>
      <c r="I2534">
        <v>21.9556</v>
      </c>
      <c r="J2534">
        <v>39.896299999999997</v>
      </c>
      <c r="K2534">
        <v>17.9407</v>
      </c>
      <c r="L2534">
        <v>131</v>
      </c>
      <c r="M2534">
        <v>0</v>
      </c>
      <c r="N2534">
        <v>4</v>
      </c>
      <c r="O2534">
        <v>38.889200000000002</v>
      </c>
      <c r="P2534">
        <v>19.500900000000001</v>
      </c>
      <c r="Q2534">
        <v>7.8050199999999998</v>
      </c>
    </row>
    <row r="2535" spans="1:17" x14ac:dyDescent="0.25">
      <c r="A2535" t="str">
        <f>IF(C2535&amp;G2535&amp;D2535&lt;&gt;'Funnel setup'!$K$3&amp;'Funnel setup'!$K$4&amp;'Funnel setup'!$K$6,".",IF(A2534=".",1,A2534+1))</f>
        <v>.</v>
      </c>
      <c r="B2535" s="244" t="str">
        <f t="shared" si="39"/>
        <v>Knee Replacement PrimaryProviderKING'S COLLEGE HOSPITAL NHS FOUNDATION TRUST (RJZ)Oxford Knee Score</v>
      </c>
      <c r="C2535" t="s">
        <v>969</v>
      </c>
      <c r="D2535" t="s">
        <v>965</v>
      </c>
      <c r="E2535" t="s">
        <v>290</v>
      </c>
      <c r="F2535" t="s">
        <v>291</v>
      </c>
      <c r="G2535" t="s">
        <v>972</v>
      </c>
      <c r="H2535">
        <v>14</v>
      </c>
      <c r="I2535">
        <v>20.214300000000001</v>
      </c>
      <c r="J2535">
        <v>30.142900000000001</v>
      </c>
      <c r="K2535">
        <v>9.9285700000000006</v>
      </c>
      <c r="L2535">
        <v>11</v>
      </c>
      <c r="M2535">
        <v>1</v>
      </c>
      <c r="N2535">
        <v>2</v>
      </c>
      <c r="O2535" t="s">
        <v>127</v>
      </c>
      <c r="P2535" t="s">
        <v>127</v>
      </c>
      <c r="Q2535" t="s">
        <v>127</v>
      </c>
    </row>
    <row r="2536" spans="1:17" x14ac:dyDescent="0.25">
      <c r="A2536" t="str">
        <f>IF(C2536&amp;G2536&amp;D2536&lt;&gt;'Funnel setup'!$K$3&amp;'Funnel setup'!$K$4&amp;'Funnel setup'!$K$6,".",IF(A2535=".",1,A2535+1))</f>
        <v>.</v>
      </c>
      <c r="B2536" s="244" t="str">
        <f t="shared" si="39"/>
        <v>Knee Replacement PrimaryProviderKINGS OAK HOSPITAL (NT421)Oxford Knee Score</v>
      </c>
      <c r="C2536" t="s">
        <v>969</v>
      </c>
      <c r="D2536" t="s">
        <v>965</v>
      </c>
      <c r="E2536" t="s">
        <v>292</v>
      </c>
      <c r="F2536" t="s">
        <v>293</v>
      </c>
      <c r="G2536" t="s">
        <v>972</v>
      </c>
      <c r="H2536">
        <v>6</v>
      </c>
      <c r="I2536">
        <v>14</v>
      </c>
      <c r="J2536">
        <v>29.333300000000001</v>
      </c>
      <c r="K2536">
        <v>15.333299999999999</v>
      </c>
      <c r="L2536">
        <v>6</v>
      </c>
      <c r="M2536">
        <v>0</v>
      </c>
      <c r="N2536">
        <v>0</v>
      </c>
      <c r="O2536" t="s">
        <v>127</v>
      </c>
      <c r="P2536" t="s">
        <v>127</v>
      </c>
      <c r="Q2536" t="s">
        <v>127</v>
      </c>
    </row>
    <row r="2537" spans="1:17" x14ac:dyDescent="0.25">
      <c r="A2537" t="str">
        <f>IF(C2537&amp;G2537&amp;D2537&lt;&gt;'Funnel setup'!$K$3&amp;'Funnel setup'!$K$4&amp;'Funnel setup'!$K$6,".",IF(A2536=".",1,A2536+1))</f>
        <v>.</v>
      </c>
      <c r="B2537" s="244" t="str">
        <f t="shared" si="39"/>
        <v>Knee Replacement PrimaryProviderLANCASHIRE TEACHING HOSPITALS NHS FOUNDATION TRUST (RXN)Oxford Knee Score</v>
      </c>
      <c r="C2537" t="s">
        <v>969</v>
      </c>
      <c r="D2537" t="s">
        <v>965</v>
      </c>
      <c r="E2537" t="s">
        <v>296</v>
      </c>
      <c r="F2537" t="s">
        <v>297</v>
      </c>
      <c r="G2537" t="s">
        <v>972</v>
      </c>
      <c r="H2537">
        <v>38</v>
      </c>
      <c r="I2537">
        <v>17.973700000000001</v>
      </c>
      <c r="J2537">
        <v>33.210500000000003</v>
      </c>
      <c r="K2537">
        <v>15.236800000000001</v>
      </c>
      <c r="L2537">
        <v>33</v>
      </c>
      <c r="M2537">
        <v>2</v>
      </c>
      <c r="N2537">
        <v>3</v>
      </c>
      <c r="O2537">
        <v>34.732999999999997</v>
      </c>
      <c r="P2537">
        <v>15.3447</v>
      </c>
      <c r="Q2537">
        <v>10.6638</v>
      </c>
    </row>
    <row r="2538" spans="1:17" x14ac:dyDescent="0.25">
      <c r="A2538" t="str">
        <f>IF(C2538&amp;G2538&amp;D2538&lt;&gt;'Funnel setup'!$K$3&amp;'Funnel setup'!$K$4&amp;'Funnel setup'!$K$6,".",IF(A2537=".",1,A2537+1))</f>
        <v>.</v>
      </c>
      <c r="B2538" s="244" t="str">
        <f t="shared" si="39"/>
        <v>Knee Replacement PrimaryProviderLANCASTER HOSPITAL (NT449)Oxford Knee Score</v>
      </c>
      <c r="C2538" t="s">
        <v>969</v>
      </c>
      <c r="D2538" t="s">
        <v>965</v>
      </c>
      <c r="E2538" t="s">
        <v>298</v>
      </c>
      <c r="F2538" t="s">
        <v>299</v>
      </c>
      <c r="G2538" t="s">
        <v>972</v>
      </c>
      <c r="H2538">
        <v>32</v>
      </c>
      <c r="I2538">
        <v>21.875</v>
      </c>
      <c r="J2538">
        <v>38.593800000000002</v>
      </c>
      <c r="K2538">
        <v>16.718800000000002</v>
      </c>
      <c r="L2538">
        <v>29</v>
      </c>
      <c r="M2538">
        <v>0</v>
      </c>
      <c r="N2538">
        <v>3</v>
      </c>
      <c r="O2538">
        <v>36.942</v>
      </c>
      <c r="P2538">
        <v>17.553699999999999</v>
      </c>
      <c r="Q2538">
        <v>5.9304800000000002</v>
      </c>
    </row>
    <row r="2539" spans="1:17" x14ac:dyDescent="0.25">
      <c r="A2539" t="str">
        <f>IF(C2539&amp;G2539&amp;D2539&lt;&gt;'Funnel setup'!$K$3&amp;'Funnel setup'!$K$4&amp;'Funnel setup'!$K$6,".",IF(A2538=".",1,A2538+1))</f>
        <v>.</v>
      </c>
      <c r="B2539" s="244" t="str">
        <f t="shared" si="39"/>
        <v>Knee Replacement PrimaryProviderLEEDS TEACHING HOSPITALS NHS TRUST (RR8)Oxford Knee Score</v>
      </c>
      <c r="C2539" t="s">
        <v>969</v>
      </c>
      <c r="D2539" t="s">
        <v>965</v>
      </c>
      <c r="E2539" t="s">
        <v>300</v>
      </c>
      <c r="F2539" t="s">
        <v>301</v>
      </c>
      <c r="G2539" t="s">
        <v>972</v>
      </c>
      <c r="H2539">
        <v>101</v>
      </c>
      <c r="I2539">
        <v>19.7822</v>
      </c>
      <c r="J2539">
        <v>36.554499999999997</v>
      </c>
      <c r="K2539">
        <v>16.772300000000001</v>
      </c>
      <c r="L2539">
        <v>98</v>
      </c>
      <c r="M2539">
        <v>0</v>
      </c>
      <c r="N2539">
        <v>3</v>
      </c>
      <c r="O2539">
        <v>36.794800000000002</v>
      </c>
      <c r="P2539">
        <v>17.406500000000001</v>
      </c>
      <c r="Q2539">
        <v>8.5216799999999999</v>
      </c>
    </row>
    <row r="2540" spans="1:17" x14ac:dyDescent="0.25">
      <c r="A2540" t="str">
        <f>IF(C2540&amp;G2540&amp;D2540&lt;&gt;'Funnel setup'!$K$3&amp;'Funnel setup'!$K$4&amp;'Funnel setup'!$K$6,".",IF(A2539=".",1,A2539+1))</f>
        <v>.</v>
      </c>
      <c r="B2540" s="244" t="str">
        <f t="shared" si="39"/>
        <v>Knee Replacement PrimaryProviderLINCOLN HOSPITAL (NT450)Oxford Knee Score</v>
      </c>
      <c r="C2540" t="s">
        <v>969</v>
      </c>
      <c r="D2540" t="s">
        <v>965</v>
      </c>
      <c r="E2540" t="s">
        <v>304</v>
      </c>
      <c r="F2540" t="s">
        <v>305</v>
      </c>
      <c r="G2540" t="s">
        <v>972</v>
      </c>
      <c r="H2540">
        <v>72</v>
      </c>
      <c r="I2540">
        <v>21.958300000000001</v>
      </c>
      <c r="J2540">
        <v>39.4861</v>
      </c>
      <c r="K2540">
        <v>17.527799999999999</v>
      </c>
      <c r="L2540">
        <v>70</v>
      </c>
      <c r="M2540">
        <v>1</v>
      </c>
      <c r="N2540">
        <v>1</v>
      </c>
      <c r="O2540">
        <v>38.032400000000003</v>
      </c>
      <c r="P2540">
        <v>18.644100000000002</v>
      </c>
      <c r="Q2540">
        <v>6.11686</v>
      </c>
    </row>
    <row r="2541" spans="1:17" x14ac:dyDescent="0.25">
      <c r="A2541" t="str">
        <f>IF(C2541&amp;G2541&amp;D2541&lt;&gt;'Funnel setup'!$K$3&amp;'Funnel setup'!$K$4&amp;'Funnel setup'!$K$6,".",IF(A2540=".",1,A2540+1))</f>
        <v>.</v>
      </c>
      <c r="B2541" s="244" t="str">
        <f t="shared" si="39"/>
        <v>Knee Replacement PrimaryProviderLIVERPOOL UNIVERSITY HOSPITALS NHS FOUNDATION TRUST (REM)Oxford Knee Score</v>
      </c>
      <c r="C2541" t="s">
        <v>969</v>
      </c>
      <c r="D2541" t="s">
        <v>965</v>
      </c>
      <c r="E2541" t="s">
        <v>306</v>
      </c>
      <c r="F2541" t="s">
        <v>307</v>
      </c>
      <c r="G2541" t="s">
        <v>972</v>
      </c>
      <c r="H2541">
        <v>59</v>
      </c>
      <c r="I2541">
        <v>16.474599999999999</v>
      </c>
      <c r="J2541">
        <v>35.2712</v>
      </c>
      <c r="K2541">
        <v>18.796600000000002</v>
      </c>
      <c r="L2541">
        <v>55</v>
      </c>
      <c r="M2541">
        <v>0</v>
      </c>
      <c r="N2541">
        <v>4</v>
      </c>
      <c r="O2541">
        <v>37.292099999999998</v>
      </c>
      <c r="P2541">
        <v>17.9038</v>
      </c>
      <c r="Q2541">
        <v>9.2311099999999993</v>
      </c>
    </row>
    <row r="2542" spans="1:17" x14ac:dyDescent="0.25">
      <c r="A2542" t="str">
        <f>IF(C2542&amp;G2542&amp;D2542&lt;&gt;'Funnel setup'!$K$3&amp;'Funnel setup'!$K$4&amp;'Funnel setup'!$K$6,".",IF(A2541=".",1,A2541+1))</f>
        <v>.</v>
      </c>
      <c r="B2542" s="244" t="str">
        <f t="shared" si="39"/>
        <v>Knee Replacement PrimaryProviderLONDON INDEPENDENT HOSPITAL (NT422)Oxford Knee Score</v>
      </c>
      <c r="C2542" t="s">
        <v>969</v>
      </c>
      <c r="D2542" t="s">
        <v>965</v>
      </c>
      <c r="E2542" t="s">
        <v>308</v>
      </c>
      <c r="F2542" t="s">
        <v>309</v>
      </c>
      <c r="G2542" t="s">
        <v>972</v>
      </c>
      <c r="H2542">
        <v>11</v>
      </c>
      <c r="I2542">
        <v>18.363600000000002</v>
      </c>
      <c r="J2542">
        <v>25.818200000000001</v>
      </c>
      <c r="K2542">
        <v>7.4545500000000002</v>
      </c>
      <c r="L2542">
        <v>7</v>
      </c>
      <c r="M2542">
        <v>0</v>
      </c>
      <c r="N2542">
        <v>4</v>
      </c>
      <c r="O2542" t="s">
        <v>127</v>
      </c>
      <c r="P2542" t="s">
        <v>127</v>
      </c>
      <c r="Q2542" t="s">
        <v>127</v>
      </c>
    </row>
    <row r="2543" spans="1:17" x14ac:dyDescent="0.25">
      <c r="A2543" t="str">
        <f>IF(C2543&amp;G2543&amp;D2543&lt;&gt;'Funnel setup'!$K$3&amp;'Funnel setup'!$K$4&amp;'Funnel setup'!$K$6,".",IF(A2542=".",1,A2542+1))</f>
        <v>.</v>
      </c>
      <c r="B2543" s="244" t="str">
        <f t="shared" si="39"/>
        <v>Knee Replacement PrimaryProviderMAIDSTONE AND TUNBRIDGE WELLS NHS TRUST (RWF)Oxford Knee Score</v>
      </c>
      <c r="C2543" t="s">
        <v>969</v>
      </c>
      <c r="D2543" t="s">
        <v>965</v>
      </c>
      <c r="E2543" t="s">
        <v>312</v>
      </c>
      <c r="F2543" t="s">
        <v>313</v>
      </c>
      <c r="G2543" t="s">
        <v>972</v>
      </c>
      <c r="H2543">
        <v>158</v>
      </c>
      <c r="I2543">
        <v>21</v>
      </c>
      <c r="J2543">
        <v>38.0443</v>
      </c>
      <c r="K2543">
        <v>17.0443</v>
      </c>
      <c r="L2543">
        <v>150</v>
      </c>
      <c r="M2543">
        <v>2</v>
      </c>
      <c r="N2543">
        <v>6</v>
      </c>
      <c r="O2543">
        <v>37.202599999999997</v>
      </c>
      <c r="P2543">
        <v>17.814299999999999</v>
      </c>
      <c r="Q2543">
        <v>7.7062799999999996</v>
      </c>
    </row>
    <row r="2544" spans="1:17" x14ac:dyDescent="0.25">
      <c r="A2544" t="str">
        <f>IF(C2544&amp;G2544&amp;D2544&lt;&gt;'Funnel setup'!$K$3&amp;'Funnel setup'!$K$4&amp;'Funnel setup'!$K$6,".",IF(A2543=".",1,A2543+1))</f>
        <v>.</v>
      </c>
      <c r="B2544" s="244" t="str">
        <f t="shared" si="39"/>
        <v>Knee Replacement PrimaryProviderMANCHESTER UNIVERSITY NHS FOUNDATION TRUST (R0A)Oxford Knee Score</v>
      </c>
      <c r="C2544" t="s">
        <v>969</v>
      </c>
      <c r="D2544" t="s">
        <v>965</v>
      </c>
      <c r="E2544" t="s">
        <v>316</v>
      </c>
      <c r="F2544" t="s">
        <v>317</v>
      </c>
      <c r="G2544" t="s">
        <v>972</v>
      </c>
      <c r="H2544">
        <v>109</v>
      </c>
      <c r="I2544">
        <v>17.844000000000001</v>
      </c>
      <c r="J2544">
        <v>34.596299999999999</v>
      </c>
      <c r="K2544">
        <v>16.752300000000002</v>
      </c>
      <c r="L2544">
        <v>102</v>
      </c>
      <c r="M2544">
        <v>0</v>
      </c>
      <c r="N2544">
        <v>7</v>
      </c>
      <c r="O2544">
        <v>35.4741</v>
      </c>
      <c r="P2544">
        <v>16.085699999999999</v>
      </c>
      <c r="Q2544">
        <v>9.4010700000000007</v>
      </c>
    </row>
    <row r="2545" spans="1:17" x14ac:dyDescent="0.25">
      <c r="A2545" t="str">
        <f>IF(C2545&amp;G2545&amp;D2545&lt;&gt;'Funnel setup'!$K$3&amp;'Funnel setup'!$K$4&amp;'Funnel setup'!$K$6,".",IF(A2544=".",1,A2544+1))</f>
        <v>.</v>
      </c>
      <c r="B2545" s="244" t="str">
        <f t="shared" si="39"/>
        <v>Knee Replacement PrimaryProviderMANOR HOSPITAL (NT423)Oxford Knee Score</v>
      </c>
      <c r="C2545" t="s">
        <v>969</v>
      </c>
      <c r="D2545" t="s">
        <v>965</v>
      </c>
      <c r="E2545" t="s">
        <v>318</v>
      </c>
      <c r="F2545" t="s">
        <v>319</v>
      </c>
      <c r="G2545" t="s">
        <v>972</v>
      </c>
      <c r="H2545">
        <v>16</v>
      </c>
      <c r="I2545">
        <v>17.6875</v>
      </c>
      <c r="J2545">
        <v>37.3125</v>
      </c>
      <c r="K2545">
        <v>19.625</v>
      </c>
      <c r="L2545">
        <v>16</v>
      </c>
      <c r="M2545">
        <v>0</v>
      </c>
      <c r="N2545">
        <v>0</v>
      </c>
      <c r="O2545" t="s">
        <v>127</v>
      </c>
      <c r="P2545" t="s">
        <v>127</v>
      </c>
      <c r="Q2545" t="s">
        <v>127</v>
      </c>
    </row>
    <row r="2546" spans="1:17" x14ac:dyDescent="0.25">
      <c r="A2546" t="str">
        <f>IF(C2546&amp;G2546&amp;D2546&lt;&gt;'Funnel setup'!$K$3&amp;'Funnel setup'!$K$4&amp;'Funnel setup'!$K$6,".",IF(A2545=".",1,A2545+1))</f>
        <v>.</v>
      </c>
      <c r="B2546" s="244" t="str">
        <f t="shared" si="39"/>
        <v>Knee Replacement PrimaryProviderMEDWAY NHS FOUNDATION TRUST (RPA)Oxford Knee Score</v>
      </c>
      <c r="C2546" t="s">
        <v>969</v>
      </c>
      <c r="D2546" t="s">
        <v>965</v>
      </c>
      <c r="E2546" t="s">
        <v>320</v>
      </c>
      <c r="F2546" t="s">
        <v>321</v>
      </c>
      <c r="G2546" t="s">
        <v>972</v>
      </c>
      <c r="H2546">
        <v>46</v>
      </c>
      <c r="I2546">
        <v>20.065200000000001</v>
      </c>
      <c r="J2546">
        <v>37.608699999999999</v>
      </c>
      <c r="K2546">
        <v>17.543500000000002</v>
      </c>
      <c r="L2546">
        <v>41</v>
      </c>
      <c r="M2546">
        <v>1</v>
      </c>
      <c r="N2546">
        <v>4</v>
      </c>
      <c r="O2546">
        <v>38.226199999999999</v>
      </c>
      <c r="P2546">
        <v>18.837900000000001</v>
      </c>
      <c r="Q2546">
        <v>9.2691800000000004</v>
      </c>
    </row>
    <row r="2547" spans="1:17" x14ac:dyDescent="0.25">
      <c r="A2547" t="str">
        <f>IF(C2547&amp;G2547&amp;D2547&lt;&gt;'Funnel setup'!$K$3&amp;'Funnel setup'!$K$4&amp;'Funnel setup'!$K$6,".",IF(A2546=".",1,A2546+1))</f>
        <v>.</v>
      </c>
      <c r="B2547" s="244" t="str">
        <f t="shared" si="39"/>
        <v>Knee Replacement PrimaryProviderMERIDEN HOSPITAL (NT424)Oxford Knee Score</v>
      </c>
      <c r="C2547" t="s">
        <v>969</v>
      </c>
      <c r="D2547" t="s">
        <v>965</v>
      </c>
      <c r="E2547" t="s">
        <v>322</v>
      </c>
      <c r="F2547" t="s">
        <v>323</v>
      </c>
      <c r="G2547" t="s">
        <v>972</v>
      </c>
      <c r="H2547">
        <v>7</v>
      </c>
      <c r="I2547">
        <v>22</v>
      </c>
      <c r="J2547">
        <v>41.857100000000003</v>
      </c>
      <c r="K2547">
        <v>19.857099999999999</v>
      </c>
      <c r="L2547">
        <v>7</v>
      </c>
      <c r="M2547">
        <v>0</v>
      </c>
      <c r="N2547">
        <v>0</v>
      </c>
      <c r="O2547" t="s">
        <v>127</v>
      </c>
      <c r="P2547" t="s">
        <v>127</v>
      </c>
      <c r="Q2547" t="s">
        <v>127</v>
      </c>
    </row>
    <row r="2548" spans="1:17" x14ac:dyDescent="0.25">
      <c r="A2548" t="str">
        <f>IF(C2548&amp;G2548&amp;D2548&lt;&gt;'Funnel setup'!$K$3&amp;'Funnel setup'!$K$4&amp;'Funnel setup'!$K$6,".",IF(A2547=".",1,A2547+1))</f>
        <v>.</v>
      </c>
      <c r="B2548" s="244" t="str">
        <f t="shared" si="39"/>
        <v>Knee Replacement PrimaryProviderMID AND SOUTH ESSEX NHS FOUNDATION TRUST (RAJ)Oxford Knee Score</v>
      </c>
      <c r="C2548" t="s">
        <v>969</v>
      </c>
      <c r="D2548" t="s">
        <v>965</v>
      </c>
      <c r="E2548" t="s">
        <v>324</v>
      </c>
      <c r="F2548" t="s">
        <v>325</v>
      </c>
      <c r="G2548" t="s">
        <v>972</v>
      </c>
      <c r="H2548">
        <v>140</v>
      </c>
      <c r="I2548">
        <v>16.4786</v>
      </c>
      <c r="J2548">
        <v>35.642899999999997</v>
      </c>
      <c r="K2548">
        <v>19.164300000000001</v>
      </c>
      <c r="L2548">
        <v>131</v>
      </c>
      <c r="M2548">
        <v>1</v>
      </c>
      <c r="N2548">
        <v>8</v>
      </c>
      <c r="O2548">
        <v>37.147300000000001</v>
      </c>
      <c r="P2548">
        <v>17.759</v>
      </c>
      <c r="Q2548">
        <v>10.256600000000001</v>
      </c>
    </row>
    <row r="2549" spans="1:17" x14ac:dyDescent="0.25">
      <c r="A2549" t="str">
        <f>IF(C2549&amp;G2549&amp;D2549&lt;&gt;'Funnel setup'!$K$3&amp;'Funnel setup'!$K$4&amp;'Funnel setup'!$K$6,".",IF(A2548=".",1,A2548+1))</f>
        <v>.</v>
      </c>
      <c r="B2549" s="244" t="str">
        <f t="shared" si="39"/>
        <v>Knee Replacement PrimaryProviderMID CHESHIRE HOSPITALS NHS FOUNDATION TRUST (RBT)Oxford Knee Score</v>
      </c>
      <c r="C2549" t="s">
        <v>969</v>
      </c>
      <c r="D2549" t="s">
        <v>965</v>
      </c>
      <c r="E2549" t="s">
        <v>326</v>
      </c>
      <c r="F2549" t="s">
        <v>327</v>
      </c>
      <c r="G2549" t="s">
        <v>972</v>
      </c>
      <c r="H2549">
        <v>85</v>
      </c>
      <c r="I2549">
        <v>21.282399999999999</v>
      </c>
      <c r="J2549">
        <v>39.258800000000001</v>
      </c>
      <c r="K2549">
        <v>17.976500000000001</v>
      </c>
      <c r="L2549">
        <v>81</v>
      </c>
      <c r="M2549">
        <v>1</v>
      </c>
      <c r="N2549">
        <v>3</v>
      </c>
      <c r="O2549">
        <v>38.476300000000002</v>
      </c>
      <c r="P2549">
        <v>19.088000000000001</v>
      </c>
      <c r="Q2549">
        <v>6.6421200000000002</v>
      </c>
    </row>
    <row r="2550" spans="1:17" x14ac:dyDescent="0.25">
      <c r="A2550" t="str">
        <f>IF(C2550&amp;G2550&amp;D2550&lt;&gt;'Funnel setup'!$K$3&amp;'Funnel setup'!$K$4&amp;'Funnel setup'!$K$6,".",IF(A2549=".",1,A2549+1))</f>
        <v>.</v>
      </c>
      <c r="B2550" s="244" t="str">
        <f t="shared" si="39"/>
        <v>Knee Replacement PrimaryProviderMID YORKSHIRE TEACHING NHS TRUST (RXF)Oxford Knee Score</v>
      </c>
      <c r="C2550" t="s">
        <v>969</v>
      </c>
      <c r="D2550" t="s">
        <v>965</v>
      </c>
      <c r="E2550" t="s">
        <v>330</v>
      </c>
      <c r="F2550" t="s">
        <v>331</v>
      </c>
      <c r="G2550" t="s">
        <v>972</v>
      </c>
      <c r="H2550">
        <v>181</v>
      </c>
      <c r="I2550">
        <v>18.105</v>
      </c>
      <c r="J2550">
        <v>35.878500000000003</v>
      </c>
      <c r="K2550">
        <v>17.773499999999999</v>
      </c>
      <c r="L2550">
        <v>170</v>
      </c>
      <c r="M2550">
        <v>1</v>
      </c>
      <c r="N2550">
        <v>10</v>
      </c>
      <c r="O2550">
        <v>36.855899999999998</v>
      </c>
      <c r="P2550">
        <v>17.467600000000001</v>
      </c>
      <c r="Q2550">
        <v>9.2654599999999991</v>
      </c>
    </row>
    <row r="2551" spans="1:17" x14ac:dyDescent="0.25">
      <c r="A2551" t="str">
        <f>IF(C2551&amp;G2551&amp;D2551&lt;&gt;'Funnel setup'!$K$3&amp;'Funnel setup'!$K$4&amp;'Funnel setup'!$K$6,".",IF(A2550=".",1,A2550+1))</f>
        <v>.</v>
      </c>
      <c r="B2551" s="244" t="str">
        <f t="shared" si="39"/>
        <v>Knee Replacement PrimaryProviderMILTON KEYNES UNIVERSITY HOSPITAL NHS FOUNDATION TRUST (RD8)Oxford Knee Score</v>
      </c>
      <c r="C2551" t="s">
        <v>969</v>
      </c>
      <c r="D2551" t="s">
        <v>965</v>
      </c>
      <c r="E2551" t="s">
        <v>332</v>
      </c>
      <c r="F2551" t="s">
        <v>333</v>
      </c>
      <c r="G2551" t="s">
        <v>972</v>
      </c>
      <c r="H2551">
        <v>32</v>
      </c>
      <c r="I2551">
        <v>15.625</v>
      </c>
      <c r="J2551">
        <v>35.0625</v>
      </c>
      <c r="K2551">
        <v>19.4375</v>
      </c>
      <c r="L2551">
        <v>30</v>
      </c>
      <c r="M2551">
        <v>0</v>
      </c>
      <c r="N2551">
        <v>2</v>
      </c>
      <c r="O2551">
        <v>36.485799999999998</v>
      </c>
      <c r="P2551">
        <v>17.0975</v>
      </c>
      <c r="Q2551">
        <v>9.9224499999999995</v>
      </c>
    </row>
    <row r="2552" spans="1:17" x14ac:dyDescent="0.25">
      <c r="A2552" t="str">
        <f>IF(C2552&amp;G2552&amp;D2552&lt;&gt;'Funnel setup'!$K$3&amp;'Funnel setup'!$K$4&amp;'Funnel setup'!$K$6,".",IF(A2551=".",1,A2551+1))</f>
        <v>.</v>
      </c>
      <c r="B2552" s="244" t="str">
        <f t="shared" si="39"/>
        <v>Knee Replacement PrimaryProviderMOUNT ALVERNIA HOSPITAL (NT455)Oxford Knee Score</v>
      </c>
      <c r="C2552" t="s">
        <v>969</v>
      </c>
      <c r="D2552" t="s">
        <v>965</v>
      </c>
      <c r="E2552" t="s">
        <v>334</v>
      </c>
      <c r="F2552" t="s">
        <v>335</v>
      </c>
      <c r="G2552" t="s">
        <v>972</v>
      </c>
      <c r="H2552">
        <v>7</v>
      </c>
      <c r="I2552">
        <v>27.142900000000001</v>
      </c>
      <c r="J2552">
        <v>44.714300000000001</v>
      </c>
      <c r="K2552">
        <v>17.571400000000001</v>
      </c>
      <c r="L2552">
        <v>7</v>
      </c>
      <c r="M2552">
        <v>0</v>
      </c>
      <c r="N2552">
        <v>0</v>
      </c>
      <c r="O2552" t="s">
        <v>127</v>
      </c>
      <c r="P2552" t="s">
        <v>127</v>
      </c>
      <c r="Q2552" t="s">
        <v>127</v>
      </c>
    </row>
    <row r="2553" spans="1:17" x14ac:dyDescent="0.25">
      <c r="A2553" t="str">
        <f>IF(C2553&amp;G2553&amp;D2553&lt;&gt;'Funnel setup'!$K$3&amp;'Funnel setup'!$K$4&amp;'Funnel setup'!$K$6,".",IF(A2552=".",1,A2552+1))</f>
        <v>.</v>
      </c>
      <c r="B2553" s="244" t="str">
        <f t="shared" si="39"/>
        <v>Knee Replacement PrimaryProviderMOUNT STUART HOSPITAL (NVC08)Oxford Knee Score</v>
      </c>
      <c r="C2553" t="s">
        <v>969</v>
      </c>
      <c r="D2553" t="s">
        <v>965</v>
      </c>
      <c r="E2553" t="s">
        <v>336</v>
      </c>
      <c r="F2553" t="s">
        <v>337</v>
      </c>
      <c r="G2553" t="s">
        <v>972</v>
      </c>
      <c r="H2553">
        <v>104</v>
      </c>
      <c r="I2553">
        <v>20.884599999999999</v>
      </c>
      <c r="J2553">
        <v>39.644199999999998</v>
      </c>
      <c r="K2553">
        <v>18.759599999999999</v>
      </c>
      <c r="L2553">
        <v>101</v>
      </c>
      <c r="M2553">
        <v>1</v>
      </c>
      <c r="N2553">
        <v>2</v>
      </c>
      <c r="O2553">
        <v>38.786700000000003</v>
      </c>
      <c r="P2553">
        <v>19.398399999999999</v>
      </c>
      <c r="Q2553">
        <v>6.9292999999999996</v>
      </c>
    </row>
    <row r="2554" spans="1:17" x14ac:dyDescent="0.25">
      <c r="A2554" t="str">
        <f>IF(C2554&amp;G2554&amp;D2554&lt;&gt;'Funnel setup'!$K$3&amp;'Funnel setup'!$K$4&amp;'Funnel setup'!$K$6,".",IF(A2553=".",1,A2553+1))</f>
        <v>.</v>
      </c>
      <c r="B2554" s="244" t="str">
        <f t="shared" si="39"/>
        <v>Knee Replacement PrimaryProviderNEW HALL HOSPITAL (NVC09)Oxford Knee Score</v>
      </c>
      <c r="C2554" t="s">
        <v>969</v>
      </c>
      <c r="D2554" t="s">
        <v>965</v>
      </c>
      <c r="E2554" t="s">
        <v>338</v>
      </c>
      <c r="F2554" t="s">
        <v>339</v>
      </c>
      <c r="G2554" t="s">
        <v>972</v>
      </c>
      <c r="H2554">
        <v>105</v>
      </c>
      <c r="I2554">
        <v>21.371400000000001</v>
      </c>
      <c r="J2554">
        <v>39.3048</v>
      </c>
      <c r="K2554">
        <v>17.933299999999999</v>
      </c>
      <c r="L2554">
        <v>102</v>
      </c>
      <c r="M2554">
        <v>0</v>
      </c>
      <c r="N2554">
        <v>3</v>
      </c>
      <c r="O2554">
        <v>37.817900000000002</v>
      </c>
      <c r="P2554">
        <v>18.429600000000001</v>
      </c>
      <c r="Q2554">
        <v>7.9068699999999996</v>
      </c>
    </row>
    <row r="2555" spans="1:17" x14ac:dyDescent="0.25">
      <c r="A2555" t="str">
        <f>IF(C2555&amp;G2555&amp;D2555&lt;&gt;'Funnel setup'!$K$3&amp;'Funnel setup'!$K$4&amp;'Funnel setup'!$K$6,".",IF(A2554=".",1,A2554+1))</f>
        <v>.</v>
      </c>
      <c r="B2555" s="244" t="str">
        <f t="shared" si="39"/>
        <v>Knee Replacement PrimaryProviderNORFOLK AND NORWICH UNIVERSITY HOSPITALS NHS FOUNDATION TRUST (RM1)Oxford Knee Score</v>
      </c>
      <c r="C2555" t="s">
        <v>969</v>
      </c>
      <c r="D2555" t="s">
        <v>965</v>
      </c>
      <c r="E2555" t="s">
        <v>340</v>
      </c>
      <c r="F2555" t="s">
        <v>341</v>
      </c>
      <c r="G2555" t="s">
        <v>972</v>
      </c>
      <c r="H2555">
        <v>141</v>
      </c>
      <c r="I2555">
        <v>16.2057</v>
      </c>
      <c r="J2555">
        <v>34.070900000000002</v>
      </c>
      <c r="K2555">
        <v>17.865200000000002</v>
      </c>
      <c r="L2555">
        <v>132</v>
      </c>
      <c r="M2555">
        <v>3</v>
      </c>
      <c r="N2555">
        <v>6</v>
      </c>
      <c r="O2555">
        <v>36.039400000000001</v>
      </c>
      <c r="P2555">
        <v>16.6511</v>
      </c>
      <c r="Q2555">
        <v>9.5733300000000003</v>
      </c>
    </row>
    <row r="2556" spans="1:17" x14ac:dyDescent="0.25">
      <c r="A2556" t="str">
        <f>IF(C2556&amp;G2556&amp;D2556&lt;&gt;'Funnel setup'!$K$3&amp;'Funnel setup'!$K$4&amp;'Funnel setup'!$K$6,".",IF(A2555=".",1,A2555+1))</f>
        <v>.</v>
      </c>
      <c r="B2556" s="244" t="str">
        <f t="shared" si="39"/>
        <v>Knee Replacement PrimaryProviderNORTH BRISTOL NHS TRUST (RVJ)Oxford Knee Score</v>
      </c>
      <c r="C2556" t="s">
        <v>969</v>
      </c>
      <c r="D2556" t="s">
        <v>965</v>
      </c>
      <c r="E2556" t="s">
        <v>342</v>
      </c>
      <c r="F2556" t="s">
        <v>343</v>
      </c>
      <c r="G2556" t="s">
        <v>972</v>
      </c>
      <c r="H2556">
        <v>5</v>
      </c>
      <c r="I2556">
        <v>14</v>
      </c>
      <c r="J2556">
        <v>39</v>
      </c>
      <c r="K2556">
        <v>25</v>
      </c>
      <c r="L2556">
        <v>5</v>
      </c>
      <c r="M2556">
        <v>0</v>
      </c>
      <c r="N2556">
        <v>0</v>
      </c>
      <c r="O2556" t="s">
        <v>127</v>
      </c>
      <c r="P2556" t="s">
        <v>127</v>
      </c>
      <c r="Q2556" t="s">
        <v>127</v>
      </c>
    </row>
    <row r="2557" spans="1:17" x14ac:dyDescent="0.25">
      <c r="A2557" t="str">
        <f>IF(C2557&amp;G2557&amp;D2557&lt;&gt;'Funnel setup'!$K$3&amp;'Funnel setup'!$K$4&amp;'Funnel setup'!$K$6,".",IF(A2556=".",1,A2556+1))</f>
        <v>.</v>
      </c>
      <c r="B2557" s="244" t="str">
        <f t="shared" si="39"/>
        <v>Knee Replacement PrimaryProviderNORTH CUMBRIA INTEGRATED CARE NHS FOUNDATION TRUST (RNN)Oxford Knee Score</v>
      </c>
      <c r="C2557" t="s">
        <v>969</v>
      </c>
      <c r="D2557" t="s">
        <v>965</v>
      </c>
      <c r="E2557" t="s">
        <v>344</v>
      </c>
      <c r="F2557" t="s">
        <v>345</v>
      </c>
      <c r="G2557" t="s">
        <v>972</v>
      </c>
      <c r="H2557">
        <v>129</v>
      </c>
      <c r="I2557">
        <v>17.046500000000002</v>
      </c>
      <c r="J2557">
        <v>37.085299999999997</v>
      </c>
      <c r="K2557">
        <v>20.038799999999998</v>
      </c>
      <c r="L2557">
        <v>128</v>
      </c>
      <c r="M2557">
        <v>0</v>
      </c>
      <c r="N2557">
        <v>1</v>
      </c>
      <c r="O2557">
        <v>38.049700000000001</v>
      </c>
      <c r="P2557">
        <v>18.661300000000001</v>
      </c>
      <c r="Q2557">
        <v>7.14018</v>
      </c>
    </row>
    <row r="2558" spans="1:17" x14ac:dyDescent="0.25">
      <c r="A2558" t="str">
        <f>IF(C2558&amp;G2558&amp;D2558&lt;&gt;'Funnel setup'!$K$3&amp;'Funnel setup'!$K$4&amp;'Funnel setup'!$K$6,".",IF(A2557=".",1,A2557+1))</f>
        <v>.</v>
      </c>
      <c r="B2558" s="244" t="str">
        <f t="shared" si="39"/>
        <v>Knee Replacement PrimaryProviderNORTH DOWNS HOSPITAL (NVC11)Oxford Knee Score</v>
      </c>
      <c r="C2558" t="s">
        <v>969</v>
      </c>
      <c r="D2558" t="s">
        <v>965</v>
      </c>
      <c r="E2558" t="s">
        <v>348</v>
      </c>
      <c r="F2558" t="s">
        <v>349</v>
      </c>
      <c r="G2558" t="s">
        <v>972</v>
      </c>
      <c r="H2558">
        <v>30</v>
      </c>
      <c r="I2558">
        <v>21.3</v>
      </c>
      <c r="J2558">
        <v>38.1</v>
      </c>
      <c r="K2558">
        <v>16.8</v>
      </c>
      <c r="L2558">
        <v>29</v>
      </c>
      <c r="M2558">
        <v>0</v>
      </c>
      <c r="N2558">
        <v>1</v>
      </c>
      <c r="O2558">
        <v>36.464500000000001</v>
      </c>
      <c r="P2558">
        <v>17.0762</v>
      </c>
      <c r="Q2558">
        <v>7.5493899999999998</v>
      </c>
    </row>
    <row r="2559" spans="1:17" x14ac:dyDescent="0.25">
      <c r="A2559" t="str">
        <f>IF(C2559&amp;G2559&amp;D2559&lt;&gt;'Funnel setup'!$K$3&amp;'Funnel setup'!$K$4&amp;'Funnel setup'!$K$6,".",IF(A2558=".",1,A2558+1))</f>
        <v>.</v>
      </c>
      <c r="B2559" s="244" t="str">
        <f t="shared" si="39"/>
        <v>Knee Replacement PrimaryProviderNORTH MIDDLESEX UNIVERSITY HOSPITAL NHS TRUST (RAP)Oxford Knee Score</v>
      </c>
      <c r="C2559" t="s">
        <v>969</v>
      </c>
      <c r="D2559" t="s">
        <v>965</v>
      </c>
      <c r="E2559" t="s">
        <v>350</v>
      </c>
      <c r="F2559" t="s">
        <v>351</v>
      </c>
      <c r="G2559" t="s">
        <v>972</v>
      </c>
      <c r="H2559">
        <v>7</v>
      </c>
      <c r="I2559">
        <v>16</v>
      </c>
      <c r="J2559">
        <v>36.857100000000003</v>
      </c>
      <c r="K2559">
        <v>20.857099999999999</v>
      </c>
      <c r="L2559">
        <v>7</v>
      </c>
      <c r="M2559">
        <v>0</v>
      </c>
      <c r="N2559">
        <v>0</v>
      </c>
      <c r="O2559" t="s">
        <v>127</v>
      </c>
      <c r="P2559" t="s">
        <v>127</v>
      </c>
      <c r="Q2559" t="s">
        <v>127</v>
      </c>
    </row>
    <row r="2560" spans="1:17" x14ac:dyDescent="0.25">
      <c r="A2560" t="str">
        <f>IF(C2560&amp;G2560&amp;D2560&lt;&gt;'Funnel setup'!$K$3&amp;'Funnel setup'!$K$4&amp;'Funnel setup'!$K$6,".",IF(A2559=".",1,A2559+1))</f>
        <v>.</v>
      </c>
      <c r="B2560" s="244" t="str">
        <f t="shared" si="39"/>
        <v>Knee Replacement PrimaryProviderNORTH TEES AND HARTLEPOOL NHS FOUNDATION TRUST (RVW)Oxford Knee Score</v>
      </c>
      <c r="C2560" t="s">
        <v>969</v>
      </c>
      <c r="D2560" t="s">
        <v>965</v>
      </c>
      <c r="E2560" t="s">
        <v>352</v>
      </c>
      <c r="F2560" t="s">
        <v>353</v>
      </c>
      <c r="G2560" t="s">
        <v>972</v>
      </c>
      <c r="H2560">
        <v>100</v>
      </c>
      <c r="I2560">
        <v>16.46</v>
      </c>
      <c r="J2560">
        <v>34.909999999999997</v>
      </c>
      <c r="K2560">
        <v>18.45</v>
      </c>
      <c r="L2560">
        <v>94</v>
      </c>
      <c r="M2560">
        <v>1</v>
      </c>
      <c r="N2560">
        <v>5</v>
      </c>
      <c r="O2560">
        <v>36.913400000000003</v>
      </c>
      <c r="P2560">
        <v>17.525099999999998</v>
      </c>
      <c r="Q2560">
        <v>10.231</v>
      </c>
    </row>
    <row r="2561" spans="1:17" x14ac:dyDescent="0.25">
      <c r="A2561" t="str">
        <f>IF(C2561&amp;G2561&amp;D2561&lt;&gt;'Funnel setup'!$K$3&amp;'Funnel setup'!$K$4&amp;'Funnel setup'!$K$6,".",IF(A2560=".",1,A2560+1))</f>
        <v>.</v>
      </c>
      <c r="B2561" s="244" t="str">
        <f t="shared" si="39"/>
        <v>Knee Replacement PrimaryProviderNORTH WEST ANGLIA NHS FOUNDATION TRUST (RGN)Oxford Knee Score</v>
      </c>
      <c r="C2561" t="s">
        <v>969</v>
      </c>
      <c r="D2561" t="s">
        <v>965</v>
      </c>
      <c r="E2561" t="s">
        <v>354</v>
      </c>
      <c r="F2561" t="s">
        <v>355</v>
      </c>
      <c r="G2561" t="s">
        <v>972</v>
      </c>
      <c r="H2561">
        <v>129</v>
      </c>
      <c r="I2561">
        <v>17.682200000000002</v>
      </c>
      <c r="J2561">
        <v>36.426400000000001</v>
      </c>
      <c r="K2561">
        <v>18.744199999999999</v>
      </c>
      <c r="L2561">
        <v>127</v>
      </c>
      <c r="M2561">
        <v>1</v>
      </c>
      <c r="N2561">
        <v>1</v>
      </c>
      <c r="O2561">
        <v>36.881500000000003</v>
      </c>
      <c r="P2561">
        <v>17.493200000000002</v>
      </c>
      <c r="Q2561">
        <v>7.9180000000000001</v>
      </c>
    </row>
    <row r="2562" spans="1:17" x14ac:dyDescent="0.25">
      <c r="A2562" t="str">
        <f>IF(C2562&amp;G2562&amp;D2562&lt;&gt;'Funnel setup'!$K$3&amp;'Funnel setup'!$K$4&amp;'Funnel setup'!$K$6,".",IF(A2561=".",1,A2561+1))</f>
        <v>.</v>
      </c>
      <c r="B2562" s="244" t="str">
        <f t="shared" ref="B2562:B2625" si="40">C2562&amp;D2562&amp;F2562&amp;G2562</f>
        <v>Knee Replacement PrimaryProviderNORTHAMPTON GENERAL HOSPITAL NHS TRUST (RNS)Oxford Knee Score</v>
      </c>
      <c r="C2562" t="s">
        <v>969</v>
      </c>
      <c r="D2562" t="s">
        <v>965</v>
      </c>
      <c r="E2562" t="s">
        <v>356</v>
      </c>
      <c r="F2562" t="s">
        <v>357</v>
      </c>
      <c r="G2562" t="s">
        <v>972</v>
      </c>
      <c r="H2562">
        <v>45</v>
      </c>
      <c r="I2562">
        <v>17.533300000000001</v>
      </c>
      <c r="J2562">
        <v>36.666699999999999</v>
      </c>
      <c r="K2562">
        <v>19.133299999999998</v>
      </c>
      <c r="L2562">
        <v>44</v>
      </c>
      <c r="M2562">
        <v>0</v>
      </c>
      <c r="N2562">
        <v>1</v>
      </c>
      <c r="O2562">
        <v>37.924599999999998</v>
      </c>
      <c r="P2562">
        <v>18.536200000000001</v>
      </c>
      <c r="Q2562">
        <v>8.3713099999999994</v>
      </c>
    </row>
    <row r="2563" spans="1:17" x14ac:dyDescent="0.25">
      <c r="A2563" t="str">
        <f>IF(C2563&amp;G2563&amp;D2563&lt;&gt;'Funnel setup'!$K$3&amp;'Funnel setup'!$K$4&amp;'Funnel setup'!$K$6,".",IF(A2562=".",1,A2562+1))</f>
        <v>.</v>
      </c>
      <c r="B2563" s="244" t="str">
        <f t="shared" si="40"/>
        <v>Knee Replacement PrimaryProviderNORTHERN CARE ALLIANCE NHS FOUNDATION TRUST (RM3)Oxford Knee Score</v>
      </c>
      <c r="C2563" t="s">
        <v>969</v>
      </c>
      <c r="D2563" t="s">
        <v>965</v>
      </c>
      <c r="E2563" t="s">
        <v>358</v>
      </c>
      <c r="F2563" t="s">
        <v>359</v>
      </c>
      <c r="G2563" t="s">
        <v>972</v>
      </c>
      <c r="H2563">
        <v>7</v>
      </c>
      <c r="I2563">
        <v>18.428599999999999</v>
      </c>
      <c r="J2563">
        <v>35.285699999999999</v>
      </c>
      <c r="K2563">
        <v>16.857099999999999</v>
      </c>
      <c r="L2563">
        <v>7</v>
      </c>
      <c r="M2563">
        <v>0</v>
      </c>
      <c r="N2563">
        <v>0</v>
      </c>
      <c r="O2563" t="s">
        <v>127</v>
      </c>
      <c r="P2563" t="s">
        <v>127</v>
      </c>
      <c r="Q2563" t="s">
        <v>127</v>
      </c>
    </row>
    <row r="2564" spans="1:17" x14ac:dyDescent="0.25">
      <c r="A2564" t="str">
        <f>IF(C2564&amp;G2564&amp;D2564&lt;&gt;'Funnel setup'!$K$3&amp;'Funnel setup'!$K$4&amp;'Funnel setup'!$K$6,".",IF(A2563=".",1,A2563+1))</f>
        <v>.</v>
      </c>
      <c r="B2564" s="244" t="str">
        <f t="shared" si="40"/>
        <v>Knee Replacement PrimaryProviderNORTHERN DEVON HEALTHCARE NHS TRUST (RBZ)Oxford Knee Score</v>
      </c>
      <c r="C2564" t="s">
        <v>969</v>
      </c>
      <c r="D2564" t="s">
        <v>965</v>
      </c>
      <c r="E2564" t="s">
        <v>360</v>
      </c>
      <c r="F2564" t="s">
        <v>361</v>
      </c>
      <c r="G2564" t="s">
        <v>972</v>
      </c>
      <c r="H2564">
        <v>34</v>
      </c>
      <c r="I2564">
        <v>17.647099999999998</v>
      </c>
      <c r="J2564">
        <v>36.852899999999998</v>
      </c>
      <c r="K2564">
        <v>19.2059</v>
      </c>
      <c r="L2564">
        <v>32</v>
      </c>
      <c r="M2564">
        <v>0</v>
      </c>
      <c r="N2564">
        <v>2</v>
      </c>
      <c r="O2564">
        <v>38.914200000000001</v>
      </c>
      <c r="P2564">
        <v>19.5259</v>
      </c>
      <c r="Q2564">
        <v>10.107799999999999</v>
      </c>
    </row>
    <row r="2565" spans="1:17" x14ac:dyDescent="0.25">
      <c r="A2565" t="str">
        <f>IF(C2565&amp;G2565&amp;D2565&lt;&gt;'Funnel setup'!$K$3&amp;'Funnel setup'!$K$4&amp;'Funnel setup'!$K$6,".",IF(A2564=".",1,A2564+1))</f>
        <v>.</v>
      </c>
      <c r="B2565" s="244" t="str">
        <f t="shared" si="40"/>
        <v>Knee Replacement PrimaryProviderNORTHERN LINCOLNSHIRE AND GOOLE NHS FOUNDATION TRUST (RJL)Oxford Knee Score</v>
      </c>
      <c r="C2565" t="s">
        <v>969</v>
      </c>
      <c r="D2565" t="s">
        <v>965</v>
      </c>
      <c r="E2565" t="s">
        <v>362</v>
      </c>
      <c r="F2565" t="s">
        <v>363</v>
      </c>
      <c r="G2565" t="s">
        <v>972</v>
      </c>
      <c r="H2565">
        <v>73</v>
      </c>
      <c r="I2565">
        <v>18.438400000000001</v>
      </c>
      <c r="J2565">
        <v>34.9589</v>
      </c>
      <c r="K2565">
        <v>16.520499999999998</v>
      </c>
      <c r="L2565">
        <v>67</v>
      </c>
      <c r="M2565">
        <v>1</v>
      </c>
      <c r="N2565">
        <v>5</v>
      </c>
      <c r="O2565">
        <v>35.750799999999998</v>
      </c>
      <c r="P2565">
        <v>16.362400000000001</v>
      </c>
      <c r="Q2565">
        <v>9.7740200000000002</v>
      </c>
    </row>
    <row r="2566" spans="1:17" x14ac:dyDescent="0.25">
      <c r="A2566" t="str">
        <f>IF(C2566&amp;G2566&amp;D2566&lt;&gt;'Funnel setup'!$K$3&amp;'Funnel setup'!$K$4&amp;'Funnel setup'!$K$6,".",IF(A2565=".",1,A2565+1))</f>
        <v>.</v>
      </c>
      <c r="B2566" s="244" t="str">
        <f t="shared" si="40"/>
        <v>Knee Replacement PrimaryProviderNORTHUMBRIA HEALTHCARE NHS FOUNDATION TRUST (RTF)Oxford Knee Score</v>
      </c>
      <c r="C2566" t="s">
        <v>969</v>
      </c>
      <c r="D2566" t="s">
        <v>965</v>
      </c>
      <c r="E2566" t="s">
        <v>364</v>
      </c>
      <c r="F2566" t="s">
        <v>365</v>
      </c>
      <c r="G2566" t="s">
        <v>972</v>
      </c>
      <c r="H2566">
        <v>392</v>
      </c>
      <c r="I2566">
        <v>19.5</v>
      </c>
      <c r="J2566">
        <v>38.497399999999999</v>
      </c>
      <c r="K2566">
        <v>18.997399999999999</v>
      </c>
      <c r="L2566">
        <v>384</v>
      </c>
      <c r="M2566">
        <v>0</v>
      </c>
      <c r="N2566">
        <v>8</v>
      </c>
      <c r="O2566">
        <v>38.360900000000001</v>
      </c>
      <c r="P2566">
        <v>18.9725</v>
      </c>
      <c r="Q2566">
        <v>7.79643</v>
      </c>
    </row>
    <row r="2567" spans="1:17" x14ac:dyDescent="0.25">
      <c r="A2567" t="str">
        <f>IF(C2567&amp;G2567&amp;D2567&lt;&gt;'Funnel setup'!$K$3&amp;'Funnel setup'!$K$4&amp;'Funnel setup'!$K$6,".",IF(A2566=".",1,A2566+1))</f>
        <v>.</v>
      </c>
      <c r="B2567" s="244" t="str">
        <f t="shared" si="40"/>
        <v>Knee Replacement PrimaryProviderNOTTINGHAM UNIVERSITY HOSPITALS NHS TRUST (RX1)Oxford Knee Score</v>
      </c>
      <c r="C2567" t="s">
        <v>969</v>
      </c>
      <c r="D2567" t="s">
        <v>965</v>
      </c>
      <c r="E2567" t="s">
        <v>366</v>
      </c>
      <c r="F2567" t="s">
        <v>367</v>
      </c>
      <c r="G2567" t="s">
        <v>972</v>
      </c>
      <c r="H2567">
        <v>4</v>
      </c>
      <c r="I2567">
        <v>19</v>
      </c>
      <c r="J2567">
        <v>35.75</v>
      </c>
      <c r="K2567">
        <v>16.75</v>
      </c>
      <c r="L2567">
        <v>3</v>
      </c>
      <c r="M2567">
        <v>0</v>
      </c>
      <c r="N2567">
        <v>1</v>
      </c>
      <c r="O2567" t="s">
        <v>127</v>
      </c>
      <c r="P2567" t="s">
        <v>127</v>
      </c>
      <c r="Q2567" t="s">
        <v>127</v>
      </c>
    </row>
    <row r="2568" spans="1:17" x14ac:dyDescent="0.25">
      <c r="A2568" t="str">
        <f>IF(C2568&amp;G2568&amp;D2568&lt;&gt;'Funnel setup'!$K$3&amp;'Funnel setup'!$K$4&amp;'Funnel setup'!$K$6,".",IF(A2567=".",1,A2567+1))</f>
        <v>.</v>
      </c>
      <c r="B2568" s="244" t="str">
        <f t="shared" si="40"/>
        <v>Knee Replacement PrimaryProviderNUFFIELD HEALTH, BOURNEMOUTH HOSPITAL (NT202)Oxford Knee Score</v>
      </c>
      <c r="C2568" t="s">
        <v>969</v>
      </c>
      <c r="D2568" t="s">
        <v>965</v>
      </c>
      <c r="E2568" t="s">
        <v>368</v>
      </c>
      <c r="F2568" t="s">
        <v>369</v>
      </c>
      <c r="G2568" t="s">
        <v>972</v>
      </c>
      <c r="H2568">
        <v>24</v>
      </c>
      <c r="I2568">
        <v>19.416699999999999</v>
      </c>
      <c r="J2568">
        <v>40.958300000000001</v>
      </c>
      <c r="K2568">
        <v>21.541699999999999</v>
      </c>
      <c r="L2568">
        <v>24</v>
      </c>
      <c r="M2568">
        <v>0</v>
      </c>
      <c r="N2568">
        <v>0</v>
      </c>
      <c r="O2568" t="s">
        <v>127</v>
      </c>
      <c r="P2568" t="s">
        <v>127</v>
      </c>
      <c r="Q2568" t="s">
        <v>127</v>
      </c>
    </row>
    <row r="2569" spans="1:17" x14ac:dyDescent="0.25">
      <c r="A2569" t="str">
        <f>IF(C2569&amp;G2569&amp;D2569&lt;&gt;'Funnel setup'!$K$3&amp;'Funnel setup'!$K$4&amp;'Funnel setup'!$K$6,".",IF(A2568=".",1,A2568+1))</f>
        <v>.</v>
      </c>
      <c r="B2569" s="244" t="str">
        <f t="shared" si="40"/>
        <v>Knee Replacement PrimaryProviderNUFFIELD HEALTH, BRENTWOOD HOSPITAL (NT204)Oxford Knee Score</v>
      </c>
      <c r="C2569" t="s">
        <v>969</v>
      </c>
      <c r="D2569" t="s">
        <v>965</v>
      </c>
      <c r="E2569" t="s">
        <v>370</v>
      </c>
      <c r="F2569" t="s">
        <v>371</v>
      </c>
      <c r="G2569" t="s">
        <v>972</v>
      </c>
      <c r="H2569">
        <v>13</v>
      </c>
      <c r="I2569">
        <v>18</v>
      </c>
      <c r="J2569">
        <v>35.769199999999998</v>
      </c>
      <c r="K2569">
        <v>17.769200000000001</v>
      </c>
      <c r="L2569">
        <v>10</v>
      </c>
      <c r="M2569">
        <v>1</v>
      </c>
      <c r="N2569">
        <v>2</v>
      </c>
      <c r="O2569" t="s">
        <v>127</v>
      </c>
      <c r="P2569" t="s">
        <v>127</v>
      </c>
      <c r="Q2569" t="s">
        <v>127</v>
      </c>
    </row>
    <row r="2570" spans="1:17" x14ac:dyDescent="0.25">
      <c r="A2570" t="str">
        <f>IF(C2570&amp;G2570&amp;D2570&lt;&gt;'Funnel setup'!$K$3&amp;'Funnel setup'!$K$4&amp;'Funnel setup'!$K$6,".",IF(A2569=".",1,A2569+1))</f>
        <v>.</v>
      </c>
      <c r="B2570" s="244" t="str">
        <f t="shared" si="40"/>
        <v>Knee Replacement PrimaryProviderNUFFIELD HEALTH, BRIGHTON HOSPITAL (NT205)Oxford Knee Score</v>
      </c>
      <c r="C2570" t="s">
        <v>969</v>
      </c>
      <c r="D2570" t="s">
        <v>965</v>
      </c>
      <c r="E2570" t="s">
        <v>372</v>
      </c>
      <c r="F2570" t="s">
        <v>373</v>
      </c>
      <c r="G2570" t="s">
        <v>972</v>
      </c>
      <c r="H2570">
        <v>9</v>
      </c>
      <c r="I2570">
        <v>20.8889</v>
      </c>
      <c r="J2570">
        <v>40.1111</v>
      </c>
      <c r="K2570">
        <v>19.222200000000001</v>
      </c>
      <c r="L2570">
        <v>9</v>
      </c>
      <c r="M2570">
        <v>0</v>
      </c>
      <c r="N2570">
        <v>0</v>
      </c>
      <c r="O2570" t="s">
        <v>127</v>
      </c>
      <c r="P2570" t="s">
        <v>127</v>
      </c>
      <c r="Q2570" t="s">
        <v>127</v>
      </c>
    </row>
    <row r="2571" spans="1:17" x14ac:dyDescent="0.25">
      <c r="A2571" t="str">
        <f>IF(C2571&amp;G2571&amp;D2571&lt;&gt;'Funnel setup'!$K$3&amp;'Funnel setup'!$K$4&amp;'Funnel setup'!$K$6,".",IF(A2570=".",1,A2570+1))</f>
        <v>.</v>
      </c>
      <c r="B2571" s="244" t="str">
        <f t="shared" si="40"/>
        <v>Knee Replacement PrimaryProviderNUFFIELD HEALTH, BRISTOL HOSPITAL (CHESTERFIELD) (NT206)Oxford Knee Score</v>
      </c>
      <c r="C2571" t="s">
        <v>969</v>
      </c>
      <c r="D2571" t="s">
        <v>965</v>
      </c>
      <c r="E2571" t="s">
        <v>374</v>
      </c>
      <c r="F2571" t="s">
        <v>375</v>
      </c>
      <c r="G2571" t="s">
        <v>972</v>
      </c>
      <c r="H2571">
        <v>34</v>
      </c>
      <c r="I2571">
        <v>20.323499999999999</v>
      </c>
      <c r="J2571">
        <v>39.823500000000003</v>
      </c>
      <c r="K2571">
        <v>19.5</v>
      </c>
      <c r="L2571">
        <v>33</v>
      </c>
      <c r="M2571">
        <v>0</v>
      </c>
      <c r="N2571">
        <v>1</v>
      </c>
      <c r="O2571">
        <v>39.015300000000003</v>
      </c>
      <c r="P2571">
        <v>19.626999999999999</v>
      </c>
      <c r="Q2571">
        <v>6.9881099999999998</v>
      </c>
    </row>
    <row r="2572" spans="1:17" x14ac:dyDescent="0.25">
      <c r="A2572" t="str">
        <f>IF(C2572&amp;G2572&amp;D2572&lt;&gt;'Funnel setup'!$K$3&amp;'Funnel setup'!$K$4&amp;'Funnel setup'!$K$6,".",IF(A2571=".",1,A2571+1))</f>
        <v>.</v>
      </c>
      <c r="B2572" s="244" t="str">
        <f t="shared" si="40"/>
        <v>Knee Replacement PrimaryProviderNUFFIELD HEALTH, CAMBRIDGE HOSPITAL (NT209)Oxford Knee Score</v>
      </c>
      <c r="C2572" t="s">
        <v>969</v>
      </c>
      <c r="D2572" t="s">
        <v>965</v>
      </c>
      <c r="E2572" t="s">
        <v>376</v>
      </c>
      <c r="F2572" t="s">
        <v>377</v>
      </c>
      <c r="G2572" t="s">
        <v>972</v>
      </c>
      <c r="H2572">
        <v>35</v>
      </c>
      <c r="I2572">
        <v>19.285699999999999</v>
      </c>
      <c r="J2572">
        <v>35.4</v>
      </c>
      <c r="K2572">
        <v>16.1143</v>
      </c>
      <c r="L2572">
        <v>32</v>
      </c>
      <c r="M2572">
        <v>0</v>
      </c>
      <c r="N2572">
        <v>3</v>
      </c>
      <c r="O2572">
        <v>33.655099999999997</v>
      </c>
      <c r="P2572">
        <v>14.2667</v>
      </c>
      <c r="Q2572">
        <v>8.7818100000000001</v>
      </c>
    </row>
    <row r="2573" spans="1:17" x14ac:dyDescent="0.25">
      <c r="A2573" t="str">
        <f>IF(C2573&amp;G2573&amp;D2573&lt;&gt;'Funnel setup'!$K$3&amp;'Funnel setup'!$K$4&amp;'Funnel setup'!$K$6,".",IF(A2572=".",1,A2572+1))</f>
        <v>.</v>
      </c>
      <c r="B2573" s="244" t="str">
        <f t="shared" si="40"/>
        <v>Knee Replacement PrimaryProviderNUFFIELD HEALTH, CHELTENHAM HOSPITAL (NT211)Oxford Knee Score</v>
      </c>
      <c r="C2573" t="s">
        <v>969</v>
      </c>
      <c r="D2573" t="s">
        <v>965</v>
      </c>
      <c r="E2573" t="s">
        <v>378</v>
      </c>
      <c r="F2573" t="s">
        <v>379</v>
      </c>
      <c r="G2573" t="s">
        <v>972</v>
      </c>
      <c r="H2573">
        <v>7</v>
      </c>
      <c r="I2573">
        <v>18.428599999999999</v>
      </c>
      <c r="J2573">
        <v>38.142899999999997</v>
      </c>
      <c r="K2573">
        <v>19.714300000000001</v>
      </c>
      <c r="L2573">
        <v>6</v>
      </c>
      <c r="M2573">
        <v>0</v>
      </c>
      <c r="N2573">
        <v>1</v>
      </c>
      <c r="O2573" t="s">
        <v>127</v>
      </c>
      <c r="P2573" t="s">
        <v>127</v>
      </c>
      <c r="Q2573" t="s">
        <v>127</v>
      </c>
    </row>
    <row r="2574" spans="1:17" x14ac:dyDescent="0.25">
      <c r="A2574" t="str">
        <f>IF(C2574&amp;G2574&amp;D2574&lt;&gt;'Funnel setup'!$K$3&amp;'Funnel setup'!$K$4&amp;'Funnel setup'!$K$6,".",IF(A2573=".",1,A2573+1))</f>
        <v>.</v>
      </c>
      <c r="B2574" s="244" t="str">
        <f t="shared" si="40"/>
        <v>Knee Replacement PrimaryProviderNUFFIELD HEALTH, CHICHESTER HOSPITAL (NT212)Oxford Knee Score</v>
      </c>
      <c r="C2574" t="s">
        <v>969</v>
      </c>
      <c r="D2574" t="s">
        <v>965</v>
      </c>
      <c r="E2574" t="s">
        <v>380</v>
      </c>
      <c r="F2574" t="s">
        <v>381</v>
      </c>
      <c r="G2574" t="s">
        <v>972</v>
      </c>
      <c r="H2574">
        <v>17</v>
      </c>
      <c r="I2574">
        <v>24.176500000000001</v>
      </c>
      <c r="J2574">
        <v>40.176499999999997</v>
      </c>
      <c r="K2574">
        <v>16</v>
      </c>
      <c r="L2574">
        <v>15</v>
      </c>
      <c r="M2574">
        <v>0</v>
      </c>
      <c r="N2574">
        <v>2</v>
      </c>
      <c r="O2574" t="s">
        <v>127</v>
      </c>
      <c r="P2574" t="s">
        <v>127</v>
      </c>
      <c r="Q2574" t="s">
        <v>127</v>
      </c>
    </row>
    <row r="2575" spans="1:17" x14ac:dyDescent="0.25">
      <c r="A2575" t="str">
        <f>IF(C2575&amp;G2575&amp;D2575&lt;&gt;'Funnel setup'!$K$3&amp;'Funnel setup'!$K$4&amp;'Funnel setup'!$K$6,".",IF(A2574=".",1,A2574+1))</f>
        <v>.</v>
      </c>
      <c r="B2575" s="244" t="str">
        <f t="shared" si="40"/>
        <v>Knee Replacement PrimaryProviderNUFFIELD HEALTH, DERBY HOSPITAL (NT213)Oxford Knee Score</v>
      </c>
      <c r="C2575" t="s">
        <v>969</v>
      </c>
      <c r="D2575" t="s">
        <v>965</v>
      </c>
      <c r="E2575" t="s">
        <v>382</v>
      </c>
      <c r="F2575" t="s">
        <v>383</v>
      </c>
      <c r="G2575" t="s">
        <v>972</v>
      </c>
      <c r="H2575">
        <v>112</v>
      </c>
      <c r="I2575">
        <v>19.008900000000001</v>
      </c>
      <c r="J2575">
        <v>37.3125</v>
      </c>
      <c r="K2575">
        <v>18.303599999999999</v>
      </c>
      <c r="L2575">
        <v>109</v>
      </c>
      <c r="M2575">
        <v>0</v>
      </c>
      <c r="N2575">
        <v>3</v>
      </c>
      <c r="O2575">
        <v>37.407499999999999</v>
      </c>
      <c r="P2575">
        <v>18.019200000000001</v>
      </c>
      <c r="Q2575">
        <v>8.3650900000000004</v>
      </c>
    </row>
    <row r="2576" spans="1:17" x14ac:dyDescent="0.25">
      <c r="A2576" t="str">
        <f>IF(C2576&amp;G2576&amp;D2576&lt;&gt;'Funnel setup'!$K$3&amp;'Funnel setup'!$K$4&amp;'Funnel setup'!$K$6,".",IF(A2575=".",1,A2575+1))</f>
        <v>.</v>
      </c>
      <c r="B2576" s="244" t="str">
        <f t="shared" si="40"/>
        <v>Knee Replacement PrimaryProviderNUFFIELD HEALTH, EXETER HOSPITAL (NT215)Oxford Knee Score</v>
      </c>
      <c r="C2576" t="s">
        <v>969</v>
      </c>
      <c r="D2576" t="s">
        <v>965</v>
      </c>
      <c r="E2576" t="s">
        <v>384</v>
      </c>
      <c r="F2576" t="s">
        <v>385</v>
      </c>
      <c r="G2576" t="s">
        <v>972</v>
      </c>
      <c r="H2576">
        <v>1</v>
      </c>
      <c r="I2576">
        <v>20</v>
      </c>
      <c r="J2576">
        <v>38</v>
      </c>
      <c r="K2576">
        <v>18</v>
      </c>
      <c r="L2576">
        <v>1</v>
      </c>
      <c r="M2576">
        <v>0</v>
      </c>
      <c r="N2576">
        <v>0</v>
      </c>
      <c r="O2576" t="s">
        <v>127</v>
      </c>
      <c r="P2576" t="s">
        <v>127</v>
      </c>
      <c r="Q2576" t="s">
        <v>127</v>
      </c>
    </row>
    <row r="2577" spans="1:17" x14ac:dyDescent="0.25">
      <c r="A2577" t="str">
        <f>IF(C2577&amp;G2577&amp;D2577&lt;&gt;'Funnel setup'!$K$3&amp;'Funnel setup'!$K$4&amp;'Funnel setup'!$K$6,".",IF(A2576=".",1,A2576+1))</f>
        <v>.</v>
      </c>
      <c r="B2577" s="244" t="str">
        <f t="shared" si="40"/>
        <v>Knee Replacement PrimaryProviderNUFFIELD HEALTH, HAYWARDS HEATH HOSPITAL (NT218)Oxford Knee Score</v>
      </c>
      <c r="C2577" t="s">
        <v>969</v>
      </c>
      <c r="D2577" t="s">
        <v>965</v>
      </c>
      <c r="E2577" t="s">
        <v>386</v>
      </c>
      <c r="F2577" t="s">
        <v>387</v>
      </c>
      <c r="G2577" t="s">
        <v>972</v>
      </c>
      <c r="H2577">
        <v>18</v>
      </c>
      <c r="I2577">
        <v>22.8889</v>
      </c>
      <c r="J2577">
        <v>38.777799999999999</v>
      </c>
      <c r="K2577">
        <v>15.8889</v>
      </c>
      <c r="L2577">
        <v>17</v>
      </c>
      <c r="M2577">
        <v>1</v>
      </c>
      <c r="N2577">
        <v>0</v>
      </c>
      <c r="O2577" t="s">
        <v>127</v>
      </c>
      <c r="P2577" t="s">
        <v>127</v>
      </c>
      <c r="Q2577" t="s">
        <v>127</v>
      </c>
    </row>
    <row r="2578" spans="1:17" x14ac:dyDescent="0.25">
      <c r="A2578" t="str">
        <f>IF(C2578&amp;G2578&amp;D2578&lt;&gt;'Funnel setup'!$K$3&amp;'Funnel setup'!$K$4&amp;'Funnel setup'!$K$6,".",IF(A2577=".",1,A2577+1))</f>
        <v>.</v>
      </c>
      <c r="B2578" s="244" t="str">
        <f t="shared" si="40"/>
        <v>Knee Replacement PrimaryProviderNUFFIELD HEALTH, HEREFORD HOSPITAL (NT219)Oxford Knee Score</v>
      </c>
      <c r="C2578" t="s">
        <v>969</v>
      </c>
      <c r="D2578" t="s">
        <v>965</v>
      </c>
      <c r="E2578" t="s">
        <v>388</v>
      </c>
      <c r="F2578" t="s">
        <v>389</v>
      </c>
      <c r="G2578" t="s">
        <v>972</v>
      </c>
      <c r="H2578">
        <v>9</v>
      </c>
      <c r="I2578">
        <v>18.333300000000001</v>
      </c>
      <c r="J2578">
        <v>40.333300000000001</v>
      </c>
      <c r="K2578">
        <v>22</v>
      </c>
      <c r="L2578">
        <v>9</v>
      </c>
      <c r="M2578">
        <v>0</v>
      </c>
      <c r="N2578">
        <v>0</v>
      </c>
      <c r="O2578" t="s">
        <v>127</v>
      </c>
      <c r="P2578" t="s">
        <v>127</v>
      </c>
      <c r="Q2578" t="s">
        <v>127</v>
      </c>
    </row>
    <row r="2579" spans="1:17" x14ac:dyDescent="0.25">
      <c r="A2579" t="str">
        <f>IF(C2579&amp;G2579&amp;D2579&lt;&gt;'Funnel setup'!$K$3&amp;'Funnel setup'!$K$4&amp;'Funnel setup'!$K$6,".",IF(A2578=".",1,A2578+1))</f>
        <v>.</v>
      </c>
      <c r="B2579" s="244" t="str">
        <f t="shared" si="40"/>
        <v>Knee Replacement PrimaryProviderNUFFIELD HEALTH, IPSWICH HOSPITAL (NT222)Oxford Knee Score</v>
      </c>
      <c r="C2579" t="s">
        <v>969</v>
      </c>
      <c r="D2579" t="s">
        <v>965</v>
      </c>
      <c r="E2579" t="s">
        <v>390</v>
      </c>
      <c r="F2579" t="s">
        <v>391</v>
      </c>
      <c r="G2579" t="s">
        <v>972</v>
      </c>
      <c r="H2579">
        <v>4</v>
      </c>
      <c r="I2579">
        <v>21.75</v>
      </c>
      <c r="J2579">
        <v>38</v>
      </c>
      <c r="K2579">
        <v>16.25</v>
      </c>
      <c r="L2579">
        <v>4</v>
      </c>
      <c r="M2579">
        <v>0</v>
      </c>
      <c r="N2579">
        <v>0</v>
      </c>
      <c r="O2579" t="s">
        <v>127</v>
      </c>
      <c r="P2579" t="s">
        <v>127</v>
      </c>
      <c r="Q2579" t="s">
        <v>127</v>
      </c>
    </row>
    <row r="2580" spans="1:17" x14ac:dyDescent="0.25">
      <c r="A2580" t="str">
        <f>IF(C2580&amp;G2580&amp;D2580&lt;&gt;'Funnel setup'!$K$3&amp;'Funnel setup'!$K$4&amp;'Funnel setup'!$K$6,".",IF(A2579=".",1,A2579+1))</f>
        <v>.</v>
      </c>
      <c r="B2580" s="244" t="str">
        <f t="shared" si="40"/>
        <v>Knee Replacement PrimaryProviderNUFFIELD HEALTH, LEEDS HOSPITAL (NT225)Oxford Knee Score</v>
      </c>
      <c r="C2580" t="s">
        <v>969</v>
      </c>
      <c r="D2580" t="s">
        <v>965</v>
      </c>
      <c r="E2580" t="s">
        <v>392</v>
      </c>
      <c r="F2580" t="s">
        <v>393</v>
      </c>
      <c r="G2580" t="s">
        <v>972</v>
      </c>
      <c r="H2580">
        <v>143</v>
      </c>
      <c r="I2580">
        <v>19.755199999999999</v>
      </c>
      <c r="J2580">
        <v>38.4056</v>
      </c>
      <c r="K2580">
        <v>18.650300000000001</v>
      </c>
      <c r="L2580">
        <v>140</v>
      </c>
      <c r="M2580">
        <v>1</v>
      </c>
      <c r="N2580">
        <v>2</v>
      </c>
      <c r="O2580">
        <v>37.779400000000003</v>
      </c>
      <c r="P2580">
        <v>18.391100000000002</v>
      </c>
      <c r="Q2580">
        <v>7.3665200000000004</v>
      </c>
    </row>
    <row r="2581" spans="1:17" x14ac:dyDescent="0.25">
      <c r="A2581" t="str">
        <f>IF(C2581&amp;G2581&amp;D2581&lt;&gt;'Funnel setup'!$K$3&amp;'Funnel setup'!$K$4&amp;'Funnel setup'!$K$6,".",IF(A2580=".",1,A2580+1))</f>
        <v>.</v>
      </c>
      <c r="B2581" s="244" t="str">
        <f t="shared" si="40"/>
        <v>Knee Replacement PrimaryProviderNUFFIELD HEALTH, LEICESTER HOSPITAL (NT226)Oxford Knee Score</v>
      </c>
      <c r="C2581" t="s">
        <v>969</v>
      </c>
      <c r="D2581" t="s">
        <v>965</v>
      </c>
      <c r="E2581" t="s">
        <v>394</v>
      </c>
      <c r="F2581" t="s">
        <v>395</v>
      </c>
      <c r="G2581" t="s">
        <v>972</v>
      </c>
      <c r="H2581">
        <v>28</v>
      </c>
      <c r="I2581">
        <v>18.75</v>
      </c>
      <c r="J2581">
        <v>35.571399999999997</v>
      </c>
      <c r="K2581">
        <v>16.821400000000001</v>
      </c>
      <c r="L2581">
        <v>27</v>
      </c>
      <c r="M2581">
        <v>0</v>
      </c>
      <c r="N2581">
        <v>1</v>
      </c>
      <c r="O2581" t="s">
        <v>127</v>
      </c>
      <c r="P2581" t="s">
        <v>127</v>
      </c>
      <c r="Q2581" t="s">
        <v>127</v>
      </c>
    </row>
    <row r="2582" spans="1:17" x14ac:dyDescent="0.25">
      <c r="A2582" t="str">
        <f>IF(C2582&amp;G2582&amp;D2582&lt;&gt;'Funnel setup'!$K$3&amp;'Funnel setup'!$K$4&amp;'Funnel setup'!$K$6,".",IF(A2581=".",1,A2581+1))</f>
        <v>.</v>
      </c>
      <c r="B2582" s="244" t="str">
        <f t="shared" si="40"/>
        <v>Knee Replacement PrimaryProviderNUFFIELD HEALTH, NEWCASTLE UPON TYNE HOSPITAL (NT229)Oxford Knee Score</v>
      </c>
      <c r="C2582" t="s">
        <v>969</v>
      </c>
      <c r="D2582" t="s">
        <v>965</v>
      </c>
      <c r="E2582" t="s">
        <v>396</v>
      </c>
      <c r="F2582" t="s">
        <v>397</v>
      </c>
      <c r="G2582" t="s">
        <v>972</v>
      </c>
      <c r="H2582">
        <v>27</v>
      </c>
      <c r="I2582">
        <v>21.2593</v>
      </c>
      <c r="J2582">
        <v>37.851900000000001</v>
      </c>
      <c r="K2582">
        <v>16.592600000000001</v>
      </c>
      <c r="L2582">
        <v>27</v>
      </c>
      <c r="M2582">
        <v>0</v>
      </c>
      <c r="N2582">
        <v>0</v>
      </c>
      <c r="O2582" t="s">
        <v>127</v>
      </c>
      <c r="P2582" t="s">
        <v>127</v>
      </c>
      <c r="Q2582" t="s">
        <v>127</v>
      </c>
    </row>
    <row r="2583" spans="1:17" x14ac:dyDescent="0.25">
      <c r="A2583" t="str">
        <f>IF(C2583&amp;G2583&amp;D2583&lt;&gt;'Funnel setup'!$K$3&amp;'Funnel setup'!$K$4&amp;'Funnel setup'!$K$6,".",IF(A2582=".",1,A2582+1))</f>
        <v>.</v>
      </c>
      <c r="B2583" s="244" t="str">
        <f t="shared" si="40"/>
        <v>Knee Replacement PrimaryProviderNUFFIELD HEALTH, NORTH STAFFORDSHIRE HOSPITAL (NT230)Oxford Knee Score</v>
      </c>
      <c r="C2583" t="s">
        <v>969</v>
      </c>
      <c r="D2583" t="s">
        <v>965</v>
      </c>
      <c r="E2583" t="s">
        <v>398</v>
      </c>
      <c r="F2583" t="s">
        <v>399</v>
      </c>
      <c r="G2583" t="s">
        <v>972</v>
      </c>
      <c r="H2583">
        <v>45</v>
      </c>
      <c r="I2583">
        <v>19.399999999999999</v>
      </c>
      <c r="J2583">
        <v>36.799999999999997</v>
      </c>
      <c r="K2583">
        <v>17.399999999999999</v>
      </c>
      <c r="L2583">
        <v>43</v>
      </c>
      <c r="M2583">
        <v>0</v>
      </c>
      <c r="N2583">
        <v>2</v>
      </c>
      <c r="O2583">
        <v>37.085700000000003</v>
      </c>
      <c r="P2583">
        <v>17.697399999999998</v>
      </c>
      <c r="Q2583">
        <v>7.4290700000000003</v>
      </c>
    </row>
    <row r="2584" spans="1:17" x14ac:dyDescent="0.25">
      <c r="A2584" t="str">
        <f>IF(C2584&amp;G2584&amp;D2584&lt;&gt;'Funnel setup'!$K$3&amp;'Funnel setup'!$K$4&amp;'Funnel setup'!$K$6,".",IF(A2583=".",1,A2583+1))</f>
        <v>.</v>
      </c>
      <c r="B2584" s="244" t="str">
        <f t="shared" si="40"/>
        <v>Knee Replacement PrimaryProviderNUFFIELD HEALTH, PLYMOUTH HOSPITAL (NT233)Oxford Knee Score</v>
      </c>
      <c r="C2584" t="s">
        <v>969</v>
      </c>
      <c r="D2584" t="s">
        <v>965</v>
      </c>
      <c r="E2584" t="s">
        <v>400</v>
      </c>
      <c r="F2584" t="s">
        <v>401</v>
      </c>
      <c r="G2584" t="s">
        <v>972</v>
      </c>
      <c r="H2584">
        <v>45</v>
      </c>
      <c r="I2584">
        <v>21.133299999999998</v>
      </c>
      <c r="J2584">
        <v>38.799999999999997</v>
      </c>
      <c r="K2584">
        <v>17.666699999999999</v>
      </c>
      <c r="L2584">
        <v>43</v>
      </c>
      <c r="M2584">
        <v>0</v>
      </c>
      <c r="N2584">
        <v>2</v>
      </c>
      <c r="O2584">
        <v>38.527500000000003</v>
      </c>
      <c r="P2584">
        <v>19.139199999999999</v>
      </c>
      <c r="Q2584">
        <v>9.3686900000000009</v>
      </c>
    </row>
    <row r="2585" spans="1:17" x14ac:dyDescent="0.25">
      <c r="A2585" t="str">
        <f>IF(C2585&amp;G2585&amp;D2585&lt;&gt;'Funnel setup'!$K$3&amp;'Funnel setup'!$K$4&amp;'Funnel setup'!$K$6,".",IF(A2584=".",1,A2584+1))</f>
        <v>.</v>
      </c>
      <c r="B2585" s="244" t="str">
        <f t="shared" si="40"/>
        <v>Knee Replacement PrimaryProviderNUFFIELD HEALTH, SHREWSBURY HOSPITAL (NT235)Oxford Knee Score</v>
      </c>
      <c r="C2585" t="s">
        <v>969</v>
      </c>
      <c r="D2585" t="s">
        <v>965</v>
      </c>
      <c r="E2585" t="s">
        <v>402</v>
      </c>
      <c r="F2585" t="s">
        <v>403</v>
      </c>
      <c r="G2585" t="s">
        <v>972</v>
      </c>
      <c r="H2585">
        <v>2</v>
      </c>
      <c r="I2585">
        <v>21</v>
      </c>
      <c r="J2585">
        <v>25</v>
      </c>
      <c r="K2585">
        <v>4</v>
      </c>
      <c r="L2585">
        <v>1</v>
      </c>
      <c r="M2585">
        <v>0</v>
      </c>
      <c r="N2585">
        <v>1</v>
      </c>
      <c r="O2585" t="s">
        <v>127</v>
      </c>
      <c r="P2585" t="s">
        <v>127</v>
      </c>
      <c r="Q2585" t="s">
        <v>127</v>
      </c>
    </row>
    <row r="2586" spans="1:17" x14ac:dyDescent="0.25">
      <c r="A2586" t="str">
        <f>IF(C2586&amp;G2586&amp;D2586&lt;&gt;'Funnel setup'!$K$3&amp;'Funnel setup'!$K$4&amp;'Funnel setup'!$K$6,".",IF(A2585=".",1,A2585+1))</f>
        <v>.</v>
      </c>
      <c r="B2586" s="244" t="str">
        <f t="shared" si="40"/>
        <v>Knee Replacement PrimaryProviderNUFFIELD HEALTH, TAUNTON HOSPITAL (NT238)Oxford Knee Score</v>
      </c>
      <c r="C2586" t="s">
        <v>969</v>
      </c>
      <c r="D2586" t="s">
        <v>965</v>
      </c>
      <c r="E2586" t="s">
        <v>404</v>
      </c>
      <c r="F2586" t="s">
        <v>405</v>
      </c>
      <c r="G2586" t="s">
        <v>972</v>
      </c>
      <c r="H2586">
        <v>29</v>
      </c>
      <c r="I2586">
        <v>18.4483</v>
      </c>
      <c r="J2586">
        <v>38.551699999999997</v>
      </c>
      <c r="K2586">
        <v>20.103400000000001</v>
      </c>
      <c r="L2586">
        <v>28</v>
      </c>
      <c r="M2586">
        <v>0</v>
      </c>
      <c r="N2586">
        <v>1</v>
      </c>
      <c r="O2586" t="s">
        <v>127</v>
      </c>
      <c r="P2586" t="s">
        <v>127</v>
      </c>
      <c r="Q2586" t="s">
        <v>127</v>
      </c>
    </row>
    <row r="2587" spans="1:17" x14ac:dyDescent="0.25">
      <c r="A2587" t="str">
        <f>IF(C2587&amp;G2587&amp;D2587&lt;&gt;'Funnel setup'!$K$3&amp;'Funnel setup'!$K$4&amp;'Funnel setup'!$K$6,".",IF(A2586=".",1,A2586+1))</f>
        <v>.</v>
      </c>
      <c r="B2587" s="244" t="str">
        <f t="shared" si="40"/>
        <v>Knee Replacement PrimaryProviderNUFFIELD HEALTH, TEES HOSPITAL (NT237)Oxford Knee Score</v>
      </c>
      <c r="C2587" t="s">
        <v>969</v>
      </c>
      <c r="D2587" t="s">
        <v>965</v>
      </c>
      <c r="E2587" t="s">
        <v>406</v>
      </c>
      <c r="F2587" t="s">
        <v>407</v>
      </c>
      <c r="G2587" t="s">
        <v>972</v>
      </c>
      <c r="H2587">
        <v>229</v>
      </c>
      <c r="I2587">
        <v>18.7118</v>
      </c>
      <c r="J2587">
        <v>38.602600000000002</v>
      </c>
      <c r="K2587">
        <v>19.890799999999999</v>
      </c>
      <c r="L2587">
        <v>223</v>
      </c>
      <c r="M2587">
        <v>0</v>
      </c>
      <c r="N2587">
        <v>6</v>
      </c>
      <c r="O2587">
        <v>38.739699999999999</v>
      </c>
      <c r="P2587">
        <v>19.351400000000002</v>
      </c>
      <c r="Q2587">
        <v>8.3688900000000004</v>
      </c>
    </row>
    <row r="2588" spans="1:17" x14ac:dyDescent="0.25">
      <c r="A2588" t="str">
        <f>IF(C2588&amp;G2588&amp;D2588&lt;&gt;'Funnel setup'!$K$3&amp;'Funnel setup'!$K$4&amp;'Funnel setup'!$K$6,".",IF(A2587=".",1,A2587+1))</f>
        <v>.</v>
      </c>
      <c r="B2588" s="244" t="str">
        <f t="shared" si="40"/>
        <v>Knee Replacement PrimaryProviderNUFFIELD HEALTH, THE GROSVENOR HOSPITAL, CHESTER (NT210)Oxford Knee Score</v>
      </c>
      <c r="C2588" t="s">
        <v>969</v>
      </c>
      <c r="D2588" t="s">
        <v>965</v>
      </c>
      <c r="E2588" t="s">
        <v>408</v>
      </c>
      <c r="F2588" t="s">
        <v>409</v>
      </c>
      <c r="G2588" t="s">
        <v>972</v>
      </c>
      <c r="H2588">
        <v>14</v>
      </c>
      <c r="I2588">
        <v>22.214300000000001</v>
      </c>
      <c r="J2588">
        <v>39.357100000000003</v>
      </c>
      <c r="K2588">
        <v>17.142900000000001</v>
      </c>
      <c r="L2588">
        <v>12</v>
      </c>
      <c r="M2588">
        <v>1</v>
      </c>
      <c r="N2588">
        <v>1</v>
      </c>
      <c r="O2588" t="s">
        <v>127</v>
      </c>
      <c r="P2588" t="s">
        <v>127</v>
      </c>
      <c r="Q2588" t="s">
        <v>127</v>
      </c>
    </row>
    <row r="2589" spans="1:17" x14ac:dyDescent="0.25">
      <c r="A2589" t="str">
        <f>IF(C2589&amp;G2589&amp;D2589&lt;&gt;'Funnel setup'!$K$3&amp;'Funnel setup'!$K$4&amp;'Funnel setup'!$K$6,".",IF(A2588=".",1,A2588+1))</f>
        <v>.</v>
      </c>
      <c r="B2589" s="244" t="str">
        <f t="shared" si="40"/>
        <v>Knee Replacement PrimaryProviderNUFFIELD HEALTH, TUNBRIDGE WELLS HOSPITAL (NT239)Oxford Knee Score</v>
      </c>
      <c r="C2589" t="s">
        <v>969</v>
      </c>
      <c r="D2589" t="s">
        <v>965</v>
      </c>
      <c r="E2589" t="s">
        <v>410</v>
      </c>
      <c r="F2589" t="s">
        <v>411</v>
      </c>
      <c r="G2589" t="s">
        <v>972</v>
      </c>
      <c r="H2589">
        <v>5</v>
      </c>
      <c r="I2589">
        <v>22.8</v>
      </c>
      <c r="J2589">
        <v>45.4</v>
      </c>
      <c r="K2589">
        <v>22.6</v>
      </c>
      <c r="L2589">
        <v>5</v>
      </c>
      <c r="M2589">
        <v>0</v>
      </c>
      <c r="N2589">
        <v>0</v>
      </c>
      <c r="O2589" t="s">
        <v>127</v>
      </c>
      <c r="P2589" t="s">
        <v>127</v>
      </c>
      <c r="Q2589" t="s">
        <v>127</v>
      </c>
    </row>
    <row r="2590" spans="1:17" x14ac:dyDescent="0.25">
      <c r="A2590" t="str">
        <f>IF(C2590&amp;G2590&amp;D2590&lt;&gt;'Funnel setup'!$K$3&amp;'Funnel setup'!$K$4&amp;'Funnel setup'!$K$6,".",IF(A2589=".",1,A2589+1))</f>
        <v>.</v>
      </c>
      <c r="B2590" s="244" t="str">
        <f t="shared" si="40"/>
        <v>Knee Replacement PrimaryProviderNUFFIELD HEALTH, WARWICKSHIRE HOSPITAL (NT224)Oxford Knee Score</v>
      </c>
      <c r="C2590" t="s">
        <v>969</v>
      </c>
      <c r="D2590" t="s">
        <v>965</v>
      </c>
      <c r="E2590" t="s">
        <v>412</v>
      </c>
      <c r="F2590" t="s">
        <v>413</v>
      </c>
      <c r="G2590" t="s">
        <v>972</v>
      </c>
      <c r="H2590">
        <v>14</v>
      </c>
      <c r="I2590">
        <v>20.428599999999999</v>
      </c>
      <c r="J2590">
        <v>35.785699999999999</v>
      </c>
      <c r="K2590">
        <v>15.357100000000001</v>
      </c>
      <c r="L2590">
        <v>14</v>
      </c>
      <c r="M2590">
        <v>0</v>
      </c>
      <c r="N2590">
        <v>0</v>
      </c>
      <c r="O2590" t="s">
        <v>127</v>
      </c>
      <c r="P2590" t="s">
        <v>127</v>
      </c>
      <c r="Q2590" t="s">
        <v>127</v>
      </c>
    </row>
    <row r="2591" spans="1:17" x14ac:dyDescent="0.25">
      <c r="A2591" t="str">
        <f>IF(C2591&amp;G2591&amp;D2591&lt;&gt;'Funnel setup'!$K$3&amp;'Funnel setup'!$K$4&amp;'Funnel setup'!$K$6,".",IF(A2590=".",1,A2590+1))</f>
        <v>.</v>
      </c>
      <c r="B2591" s="244" t="str">
        <f t="shared" si="40"/>
        <v>Knee Replacement PrimaryProviderNUFFIELD HEALTH, WESSEX HOSPITAL (NT214)Oxford Knee Score</v>
      </c>
      <c r="C2591" t="s">
        <v>969</v>
      </c>
      <c r="D2591" t="s">
        <v>965</v>
      </c>
      <c r="E2591" t="s">
        <v>414</v>
      </c>
      <c r="F2591" t="s">
        <v>415</v>
      </c>
      <c r="G2591" t="s">
        <v>972</v>
      </c>
      <c r="H2591">
        <v>33</v>
      </c>
      <c r="I2591">
        <v>23.060600000000001</v>
      </c>
      <c r="J2591">
        <v>37.393900000000002</v>
      </c>
      <c r="K2591">
        <v>14.333299999999999</v>
      </c>
      <c r="L2591">
        <v>31</v>
      </c>
      <c r="M2591">
        <v>1</v>
      </c>
      <c r="N2591">
        <v>1</v>
      </c>
      <c r="O2591">
        <v>35.490200000000002</v>
      </c>
      <c r="P2591">
        <v>16.101900000000001</v>
      </c>
      <c r="Q2591">
        <v>6.9333200000000001</v>
      </c>
    </row>
    <row r="2592" spans="1:17" x14ac:dyDescent="0.25">
      <c r="A2592" t="str">
        <f>IF(C2592&amp;G2592&amp;D2592&lt;&gt;'Funnel setup'!$K$3&amp;'Funnel setup'!$K$4&amp;'Funnel setup'!$K$6,".",IF(A2591=".",1,A2591+1))</f>
        <v>.</v>
      </c>
      <c r="B2592" s="244" t="str">
        <f t="shared" si="40"/>
        <v>Knee Replacement PrimaryProviderNUFFIELD HEALTH, WOLVERHAMPTON HOSPITAL (NT242)Oxford Knee Score</v>
      </c>
      <c r="C2592" t="s">
        <v>969</v>
      </c>
      <c r="D2592" t="s">
        <v>965</v>
      </c>
      <c r="E2592" t="s">
        <v>418</v>
      </c>
      <c r="F2592" t="s">
        <v>419</v>
      </c>
      <c r="G2592" t="s">
        <v>972</v>
      </c>
      <c r="H2592">
        <v>15</v>
      </c>
      <c r="I2592">
        <v>18.666699999999999</v>
      </c>
      <c r="J2592">
        <v>33</v>
      </c>
      <c r="K2592">
        <v>14.333299999999999</v>
      </c>
      <c r="L2592">
        <v>14</v>
      </c>
      <c r="M2592">
        <v>0</v>
      </c>
      <c r="N2592">
        <v>1</v>
      </c>
      <c r="O2592" t="s">
        <v>127</v>
      </c>
      <c r="P2592" t="s">
        <v>127</v>
      </c>
      <c r="Q2592" t="s">
        <v>127</v>
      </c>
    </row>
    <row r="2593" spans="1:17" x14ac:dyDescent="0.25">
      <c r="A2593" t="str">
        <f>IF(C2593&amp;G2593&amp;D2593&lt;&gt;'Funnel setup'!$K$3&amp;'Funnel setup'!$K$4&amp;'Funnel setup'!$K$6,".",IF(A2592=".",1,A2592+1))</f>
        <v>.</v>
      </c>
      <c r="B2593" s="244" t="str">
        <f t="shared" si="40"/>
        <v>Knee Replacement PrimaryProviderNUFFIELD HEALTH, YORK HOSPITAL (NT245)Oxford Knee Score</v>
      </c>
      <c r="C2593" t="s">
        <v>969</v>
      </c>
      <c r="D2593" t="s">
        <v>965</v>
      </c>
      <c r="E2593" t="s">
        <v>420</v>
      </c>
      <c r="F2593" t="s">
        <v>421</v>
      </c>
      <c r="G2593" t="s">
        <v>972</v>
      </c>
      <c r="H2593">
        <v>56</v>
      </c>
      <c r="I2593">
        <v>20.767900000000001</v>
      </c>
      <c r="J2593">
        <v>37.571399999999997</v>
      </c>
      <c r="K2593">
        <v>16.803599999999999</v>
      </c>
      <c r="L2593">
        <v>53</v>
      </c>
      <c r="M2593">
        <v>2</v>
      </c>
      <c r="N2593">
        <v>1</v>
      </c>
      <c r="O2593">
        <v>36.6006</v>
      </c>
      <c r="P2593">
        <v>17.212299999999999</v>
      </c>
      <c r="Q2593">
        <v>7.8680599999999998</v>
      </c>
    </row>
    <row r="2594" spans="1:17" x14ac:dyDescent="0.25">
      <c r="A2594" t="str">
        <f>IF(C2594&amp;G2594&amp;D2594&lt;&gt;'Funnel setup'!$K$3&amp;'Funnel setup'!$K$4&amp;'Funnel setup'!$K$6,".",IF(A2593=".",1,A2593+1))</f>
        <v>.</v>
      </c>
      <c r="B2594" s="244" t="str">
        <f t="shared" si="40"/>
        <v>Knee Replacement PrimaryProviderOAKLANDS HOSPITAL (NVC12)Oxford Knee Score</v>
      </c>
      <c r="C2594" t="s">
        <v>969</v>
      </c>
      <c r="D2594" t="s">
        <v>965</v>
      </c>
      <c r="E2594" t="s">
        <v>424</v>
      </c>
      <c r="F2594" t="s">
        <v>425</v>
      </c>
      <c r="G2594" t="s">
        <v>972</v>
      </c>
      <c r="H2594">
        <v>83</v>
      </c>
      <c r="I2594">
        <v>17.6145</v>
      </c>
      <c r="J2594">
        <v>35.228900000000003</v>
      </c>
      <c r="K2594">
        <v>17.6145</v>
      </c>
      <c r="L2594">
        <v>79</v>
      </c>
      <c r="M2594">
        <v>1</v>
      </c>
      <c r="N2594">
        <v>3</v>
      </c>
      <c r="O2594">
        <v>36.7361</v>
      </c>
      <c r="P2594">
        <v>17.347799999999999</v>
      </c>
      <c r="Q2594">
        <v>9.3463200000000004</v>
      </c>
    </row>
    <row r="2595" spans="1:17" x14ac:dyDescent="0.25">
      <c r="A2595" t="str">
        <f>IF(C2595&amp;G2595&amp;D2595&lt;&gt;'Funnel setup'!$K$3&amp;'Funnel setup'!$K$4&amp;'Funnel setup'!$K$6,".",IF(A2594=".",1,A2594+1))</f>
        <v>.</v>
      </c>
      <c r="B2595" s="244" t="str">
        <f t="shared" si="40"/>
        <v>Knee Replacement PrimaryProviderOAKS HOSPITAL (NVC13)Oxford Knee Score</v>
      </c>
      <c r="C2595" t="s">
        <v>969</v>
      </c>
      <c r="D2595" t="s">
        <v>965</v>
      </c>
      <c r="E2595" t="s">
        <v>426</v>
      </c>
      <c r="F2595" t="s">
        <v>427</v>
      </c>
      <c r="G2595" t="s">
        <v>972</v>
      </c>
      <c r="H2595">
        <v>4</v>
      </c>
      <c r="I2595">
        <v>19.25</v>
      </c>
      <c r="J2595">
        <v>43.5</v>
      </c>
      <c r="K2595">
        <v>24.25</v>
      </c>
      <c r="L2595">
        <v>4</v>
      </c>
      <c r="M2595">
        <v>0</v>
      </c>
      <c r="N2595">
        <v>0</v>
      </c>
      <c r="O2595" t="s">
        <v>127</v>
      </c>
      <c r="P2595" t="s">
        <v>127</v>
      </c>
      <c r="Q2595" t="s">
        <v>127</v>
      </c>
    </row>
    <row r="2596" spans="1:17" x14ac:dyDescent="0.25">
      <c r="A2596" t="str">
        <f>IF(C2596&amp;G2596&amp;D2596&lt;&gt;'Funnel setup'!$K$3&amp;'Funnel setup'!$K$4&amp;'Funnel setup'!$K$6,".",IF(A2595=".",1,A2595+1))</f>
        <v>.</v>
      </c>
      <c r="B2596" s="244" t="str">
        <f t="shared" si="40"/>
        <v>Knee Replacement PrimaryProviderONE HEALTHCARE (AVQ)Oxford Knee Score</v>
      </c>
      <c r="C2596" t="s">
        <v>969</v>
      </c>
      <c r="D2596" t="s">
        <v>965</v>
      </c>
      <c r="E2596" t="s">
        <v>434</v>
      </c>
      <c r="F2596" t="s">
        <v>435</v>
      </c>
      <c r="G2596" t="s">
        <v>972</v>
      </c>
      <c r="H2596">
        <v>69</v>
      </c>
      <c r="I2596">
        <v>21.333300000000001</v>
      </c>
      <c r="J2596">
        <v>38.898600000000002</v>
      </c>
      <c r="K2596">
        <v>17.565200000000001</v>
      </c>
      <c r="L2596">
        <v>66</v>
      </c>
      <c r="M2596">
        <v>0</v>
      </c>
      <c r="N2596">
        <v>3</v>
      </c>
      <c r="O2596">
        <v>37.404699999999998</v>
      </c>
      <c r="P2596">
        <v>18.016300000000001</v>
      </c>
      <c r="Q2596">
        <v>7.0926</v>
      </c>
    </row>
    <row r="2597" spans="1:17" x14ac:dyDescent="0.25">
      <c r="A2597" t="str">
        <f>IF(C2597&amp;G2597&amp;D2597&lt;&gt;'Funnel setup'!$K$3&amp;'Funnel setup'!$K$4&amp;'Funnel setup'!$K$6,".",IF(A2596=".",1,A2596+1))</f>
        <v>.</v>
      </c>
      <c r="B2597" s="244" t="str">
        <f t="shared" si="40"/>
        <v>Knee Replacement PrimaryProviderORTHOPAEDICS &amp; SPINE SPECIALIST HOSPITAL SITE (NQM01)Oxford Knee Score</v>
      </c>
      <c r="C2597" t="s">
        <v>969</v>
      </c>
      <c r="D2597" t="s">
        <v>965</v>
      </c>
      <c r="E2597" t="s">
        <v>436</v>
      </c>
      <c r="F2597" t="s">
        <v>437</v>
      </c>
      <c r="G2597" t="s">
        <v>972</v>
      </c>
      <c r="H2597">
        <v>6</v>
      </c>
      <c r="I2597">
        <v>14.166700000000001</v>
      </c>
      <c r="J2597">
        <v>33.5</v>
      </c>
      <c r="K2597">
        <v>19.333300000000001</v>
      </c>
      <c r="L2597">
        <v>6</v>
      </c>
      <c r="M2597">
        <v>0</v>
      </c>
      <c r="N2597">
        <v>0</v>
      </c>
      <c r="O2597" t="s">
        <v>127</v>
      </c>
      <c r="P2597" t="s">
        <v>127</v>
      </c>
      <c r="Q2597" t="s">
        <v>127</v>
      </c>
    </row>
    <row r="2598" spans="1:17" x14ac:dyDescent="0.25">
      <c r="A2598" t="str">
        <f>IF(C2598&amp;G2598&amp;D2598&lt;&gt;'Funnel setup'!$K$3&amp;'Funnel setup'!$K$4&amp;'Funnel setup'!$K$6,".",IF(A2597=".",1,A2597+1))</f>
        <v>.</v>
      </c>
      <c r="B2598" s="244" t="str">
        <f t="shared" si="40"/>
        <v>Knee Replacement PrimaryProviderOXFORD UNIVERSITY HOSPITALS NHS FOUNDATION TRUST (RTH)Oxford Knee Score</v>
      </c>
      <c r="C2598" t="s">
        <v>969</v>
      </c>
      <c r="D2598" t="s">
        <v>965</v>
      </c>
      <c r="E2598" t="s">
        <v>438</v>
      </c>
      <c r="F2598" t="s">
        <v>439</v>
      </c>
      <c r="G2598" t="s">
        <v>972</v>
      </c>
      <c r="H2598">
        <v>240</v>
      </c>
      <c r="I2598">
        <v>20.270800000000001</v>
      </c>
      <c r="J2598">
        <v>37.924999999999997</v>
      </c>
      <c r="K2598">
        <v>17.654199999999999</v>
      </c>
      <c r="L2598">
        <v>228</v>
      </c>
      <c r="M2598">
        <v>1</v>
      </c>
      <c r="N2598">
        <v>11</v>
      </c>
      <c r="O2598">
        <v>37.279899999999998</v>
      </c>
      <c r="P2598">
        <v>17.8916</v>
      </c>
      <c r="Q2598">
        <v>8.2157099999999996</v>
      </c>
    </row>
    <row r="2599" spans="1:17" x14ac:dyDescent="0.25">
      <c r="A2599" t="str">
        <f>IF(C2599&amp;G2599&amp;D2599&lt;&gt;'Funnel setup'!$K$3&amp;'Funnel setup'!$K$4&amp;'Funnel setup'!$K$6,".",IF(A2598=".",1,A2598+1))</f>
        <v>.</v>
      </c>
      <c r="B2599" s="244" t="str">
        <f t="shared" si="40"/>
        <v>Knee Replacement PrimaryProviderPARK HILL HOSPITAL (NVC14)Oxford Knee Score</v>
      </c>
      <c r="C2599" t="s">
        <v>969</v>
      </c>
      <c r="D2599" t="s">
        <v>965</v>
      </c>
      <c r="E2599" t="s">
        <v>440</v>
      </c>
      <c r="F2599" t="s">
        <v>441</v>
      </c>
      <c r="G2599" t="s">
        <v>972</v>
      </c>
      <c r="H2599">
        <v>36</v>
      </c>
      <c r="I2599">
        <v>17.833300000000001</v>
      </c>
      <c r="J2599">
        <v>35.833300000000001</v>
      </c>
      <c r="K2599">
        <v>18</v>
      </c>
      <c r="L2599">
        <v>31</v>
      </c>
      <c r="M2599">
        <v>0</v>
      </c>
      <c r="N2599">
        <v>5</v>
      </c>
      <c r="O2599">
        <v>36.893799999999999</v>
      </c>
      <c r="P2599">
        <v>17.505500000000001</v>
      </c>
      <c r="Q2599">
        <v>9.9636700000000005</v>
      </c>
    </row>
    <row r="2600" spans="1:17" x14ac:dyDescent="0.25">
      <c r="A2600" t="str">
        <f>IF(C2600&amp;G2600&amp;D2600&lt;&gt;'Funnel setup'!$K$3&amp;'Funnel setup'!$K$4&amp;'Funnel setup'!$K$6,".",IF(A2599=".",1,A2599+1))</f>
        <v>.</v>
      </c>
      <c r="B2600" s="244" t="str">
        <f t="shared" si="40"/>
        <v>Knee Replacement PrimaryProviderPARK HOSPITAL (NT427)Oxford Knee Score</v>
      </c>
      <c r="C2600" t="s">
        <v>969</v>
      </c>
      <c r="D2600" t="s">
        <v>965</v>
      </c>
      <c r="E2600" t="s">
        <v>442</v>
      </c>
      <c r="F2600" t="s">
        <v>443</v>
      </c>
      <c r="G2600" t="s">
        <v>972</v>
      </c>
      <c r="H2600">
        <v>56</v>
      </c>
      <c r="I2600">
        <v>20.607099999999999</v>
      </c>
      <c r="J2600">
        <v>37.142899999999997</v>
      </c>
      <c r="K2600">
        <v>16.535699999999999</v>
      </c>
      <c r="L2600">
        <v>52</v>
      </c>
      <c r="M2600">
        <v>0</v>
      </c>
      <c r="N2600">
        <v>4</v>
      </c>
      <c r="O2600">
        <v>35.974800000000002</v>
      </c>
      <c r="P2600">
        <v>16.586500000000001</v>
      </c>
      <c r="Q2600">
        <v>8.9823400000000007</v>
      </c>
    </row>
    <row r="2601" spans="1:17" x14ac:dyDescent="0.25">
      <c r="A2601" t="str">
        <f>IF(C2601&amp;G2601&amp;D2601&lt;&gt;'Funnel setup'!$K$3&amp;'Funnel setup'!$K$4&amp;'Funnel setup'!$K$6,".",IF(A2600=".",1,A2600+1))</f>
        <v>.</v>
      </c>
      <c r="B2601" s="244" t="str">
        <f t="shared" si="40"/>
        <v>Knee Replacement PrimaryProviderPENNINE ACUTE HOSPITALS NHS TRUST (RW6)Oxford Knee Score</v>
      </c>
      <c r="C2601" t="s">
        <v>969</v>
      </c>
      <c r="D2601" t="s">
        <v>965</v>
      </c>
      <c r="E2601" t="s">
        <v>444</v>
      </c>
      <c r="F2601" t="s">
        <v>445</v>
      </c>
      <c r="G2601" t="s">
        <v>972</v>
      </c>
      <c r="H2601">
        <v>4</v>
      </c>
      <c r="I2601">
        <v>14.75</v>
      </c>
      <c r="J2601">
        <v>37</v>
      </c>
      <c r="K2601">
        <v>22.25</v>
      </c>
      <c r="L2601">
        <v>4</v>
      </c>
      <c r="M2601">
        <v>0</v>
      </c>
      <c r="N2601">
        <v>0</v>
      </c>
      <c r="O2601" t="s">
        <v>127</v>
      </c>
      <c r="P2601" t="s">
        <v>127</v>
      </c>
      <c r="Q2601" t="s">
        <v>127</v>
      </c>
    </row>
    <row r="2602" spans="1:17" x14ac:dyDescent="0.25">
      <c r="A2602" t="str">
        <f>IF(C2602&amp;G2602&amp;D2602&lt;&gt;'Funnel setup'!$K$3&amp;'Funnel setup'!$K$4&amp;'Funnel setup'!$K$6,".",IF(A2601=".",1,A2601+1))</f>
        <v>.</v>
      </c>
      <c r="B2602" s="244" t="str">
        <f t="shared" si="40"/>
        <v>Knee Replacement PrimaryProviderPINEHILL HOSPITAL (NVC15)Oxford Knee Score</v>
      </c>
      <c r="C2602" t="s">
        <v>969</v>
      </c>
      <c r="D2602" t="s">
        <v>965</v>
      </c>
      <c r="E2602" t="s">
        <v>448</v>
      </c>
      <c r="F2602" t="s">
        <v>449</v>
      </c>
      <c r="G2602" t="s">
        <v>972</v>
      </c>
      <c r="H2602">
        <v>7</v>
      </c>
      <c r="I2602">
        <v>17.857099999999999</v>
      </c>
      <c r="J2602">
        <v>37.285699999999999</v>
      </c>
      <c r="K2602">
        <v>19.428599999999999</v>
      </c>
      <c r="L2602">
        <v>7</v>
      </c>
      <c r="M2602">
        <v>0</v>
      </c>
      <c r="N2602">
        <v>0</v>
      </c>
      <c r="O2602" t="s">
        <v>127</v>
      </c>
      <c r="P2602" t="s">
        <v>127</v>
      </c>
      <c r="Q2602" t="s">
        <v>127</v>
      </c>
    </row>
    <row r="2603" spans="1:17" x14ac:dyDescent="0.25">
      <c r="A2603" t="str">
        <f>IF(C2603&amp;G2603&amp;D2603&lt;&gt;'Funnel setup'!$K$3&amp;'Funnel setup'!$K$4&amp;'Funnel setup'!$K$6,".",IF(A2602=".",1,A2602+1))</f>
        <v>.</v>
      </c>
      <c r="B2603" s="244" t="str">
        <f t="shared" si="40"/>
        <v>Knee Replacement PrimaryProviderPORTSMOUTH HOSPITALS UNIVERSITY NATIONAL HEALTH SERVICE TRUST (RHU)Oxford Knee Score</v>
      </c>
      <c r="C2603" t="s">
        <v>969</v>
      </c>
      <c r="D2603" t="s">
        <v>965</v>
      </c>
      <c r="E2603" t="s">
        <v>450</v>
      </c>
      <c r="F2603" t="s">
        <v>451</v>
      </c>
      <c r="G2603" t="s">
        <v>972</v>
      </c>
      <c r="H2603">
        <v>15</v>
      </c>
      <c r="I2603">
        <v>14.2667</v>
      </c>
      <c r="J2603">
        <v>35.4</v>
      </c>
      <c r="K2603">
        <v>21.133299999999998</v>
      </c>
      <c r="L2603">
        <v>14</v>
      </c>
      <c r="M2603">
        <v>0</v>
      </c>
      <c r="N2603">
        <v>1</v>
      </c>
      <c r="O2603" t="s">
        <v>127</v>
      </c>
      <c r="P2603" t="s">
        <v>127</v>
      </c>
      <c r="Q2603" t="s">
        <v>127</v>
      </c>
    </row>
    <row r="2604" spans="1:17" x14ac:dyDescent="0.25">
      <c r="A2604" t="str">
        <f>IF(C2604&amp;G2604&amp;D2604&lt;&gt;'Funnel setup'!$K$3&amp;'Funnel setup'!$K$4&amp;'Funnel setup'!$K$6,".",IF(A2603=".",1,A2603+1))</f>
        <v>.</v>
      </c>
      <c r="B2604" s="244" t="str">
        <f t="shared" si="40"/>
        <v>Knee Replacement PrimaryProviderPRACTICE PLUS GROUP HOSPITAL - BARLBOROUGH (NTP13)Oxford Knee Score</v>
      </c>
      <c r="C2604" t="s">
        <v>969</v>
      </c>
      <c r="D2604" t="s">
        <v>965</v>
      </c>
      <c r="E2604" t="s">
        <v>452</v>
      </c>
      <c r="F2604" t="s">
        <v>453</v>
      </c>
      <c r="G2604" t="s">
        <v>972</v>
      </c>
      <c r="H2604">
        <v>252</v>
      </c>
      <c r="I2604">
        <v>19.238099999999999</v>
      </c>
      <c r="J2604">
        <v>37.865099999999998</v>
      </c>
      <c r="K2604">
        <v>18.626999999999999</v>
      </c>
      <c r="L2604">
        <v>243</v>
      </c>
      <c r="M2604">
        <v>2</v>
      </c>
      <c r="N2604">
        <v>7</v>
      </c>
      <c r="O2604">
        <v>37.514000000000003</v>
      </c>
      <c r="P2604">
        <v>18.125699999999998</v>
      </c>
      <c r="Q2604">
        <v>8.3333899999999996</v>
      </c>
    </row>
    <row r="2605" spans="1:17" x14ac:dyDescent="0.25">
      <c r="A2605" t="str">
        <f>IF(C2605&amp;G2605&amp;D2605&lt;&gt;'Funnel setup'!$K$3&amp;'Funnel setup'!$K$4&amp;'Funnel setup'!$K$6,".",IF(A2604=".",1,A2604+1))</f>
        <v>.</v>
      </c>
      <c r="B2605" s="244" t="str">
        <f t="shared" si="40"/>
        <v>Knee Replacement PrimaryProviderPRACTICE PLUS GROUP HOSPITAL - EMERSONS GREEN (NTPH2)Oxford Knee Score</v>
      </c>
      <c r="C2605" t="s">
        <v>969</v>
      </c>
      <c r="D2605" t="s">
        <v>965</v>
      </c>
      <c r="E2605" t="s">
        <v>454</v>
      </c>
      <c r="F2605" t="s">
        <v>455</v>
      </c>
      <c r="G2605" t="s">
        <v>972</v>
      </c>
      <c r="H2605">
        <v>141</v>
      </c>
      <c r="I2605">
        <v>20.3901</v>
      </c>
      <c r="J2605">
        <v>37.773000000000003</v>
      </c>
      <c r="K2605">
        <v>17.382999999999999</v>
      </c>
      <c r="L2605">
        <v>135</v>
      </c>
      <c r="M2605">
        <v>1</v>
      </c>
      <c r="N2605">
        <v>5</v>
      </c>
      <c r="O2605">
        <v>36.7151</v>
      </c>
      <c r="P2605">
        <v>17.326799999999999</v>
      </c>
      <c r="Q2605">
        <v>7.7740900000000002</v>
      </c>
    </row>
    <row r="2606" spans="1:17" x14ac:dyDescent="0.25">
      <c r="A2606" t="str">
        <f>IF(C2606&amp;G2606&amp;D2606&lt;&gt;'Funnel setup'!$K$3&amp;'Funnel setup'!$K$4&amp;'Funnel setup'!$K$6,".",IF(A2605=".",1,A2605+1))</f>
        <v>.</v>
      </c>
      <c r="B2606" s="244" t="str">
        <f t="shared" si="40"/>
        <v>Knee Replacement PrimaryProviderPRACTICE PLUS GROUP HOSPITAL - ILFORD (NTP15)Oxford Knee Score</v>
      </c>
      <c r="C2606" t="s">
        <v>969</v>
      </c>
      <c r="D2606" t="s">
        <v>965</v>
      </c>
      <c r="E2606" t="s">
        <v>456</v>
      </c>
      <c r="F2606" t="s">
        <v>457</v>
      </c>
      <c r="G2606" t="s">
        <v>972</v>
      </c>
      <c r="H2606">
        <v>85</v>
      </c>
      <c r="I2606">
        <v>17.2941</v>
      </c>
      <c r="J2606">
        <v>33.058799999999998</v>
      </c>
      <c r="K2606">
        <v>15.764699999999999</v>
      </c>
      <c r="L2606">
        <v>78</v>
      </c>
      <c r="M2606">
        <v>1</v>
      </c>
      <c r="N2606">
        <v>6</v>
      </c>
      <c r="O2606">
        <v>34.390900000000002</v>
      </c>
      <c r="P2606">
        <v>15.0025</v>
      </c>
      <c r="Q2606">
        <v>9.7392599999999998</v>
      </c>
    </row>
    <row r="2607" spans="1:17" x14ac:dyDescent="0.25">
      <c r="A2607" t="str">
        <f>IF(C2607&amp;G2607&amp;D2607&lt;&gt;'Funnel setup'!$K$3&amp;'Funnel setup'!$K$4&amp;'Funnel setup'!$K$6,".",IF(A2606=".",1,A2606+1))</f>
        <v>.</v>
      </c>
      <c r="B2607" s="244" t="str">
        <f t="shared" si="40"/>
        <v>Knee Replacement PrimaryProviderPRACTICE PLUS GROUP HOSPITAL - PLYMOUTH (NTPH5)Oxford Knee Score</v>
      </c>
      <c r="C2607" t="s">
        <v>969</v>
      </c>
      <c r="D2607" t="s">
        <v>965</v>
      </c>
      <c r="E2607" t="s">
        <v>458</v>
      </c>
      <c r="F2607" t="s">
        <v>459</v>
      </c>
      <c r="G2607" t="s">
        <v>972</v>
      </c>
      <c r="H2607">
        <v>200</v>
      </c>
      <c r="I2607">
        <v>20.22</v>
      </c>
      <c r="J2607">
        <v>38.31</v>
      </c>
      <c r="K2607">
        <v>18.09</v>
      </c>
      <c r="L2607">
        <v>195</v>
      </c>
      <c r="M2607">
        <v>1</v>
      </c>
      <c r="N2607">
        <v>4</v>
      </c>
      <c r="O2607">
        <v>37.677599999999998</v>
      </c>
      <c r="P2607">
        <v>18.289300000000001</v>
      </c>
      <c r="Q2607">
        <v>7.3285600000000004</v>
      </c>
    </row>
    <row r="2608" spans="1:17" x14ac:dyDescent="0.25">
      <c r="A2608" t="str">
        <f>IF(C2608&amp;G2608&amp;D2608&lt;&gt;'Funnel setup'!$K$3&amp;'Funnel setup'!$K$4&amp;'Funnel setup'!$K$6,".",IF(A2607=".",1,A2607+1))</f>
        <v>.</v>
      </c>
      <c r="B2608" s="244" t="str">
        <f t="shared" si="40"/>
        <v>Knee Replacement PrimaryProviderPRACTICE PLUS GROUP HOSPITAL - SHEPTON MALLET (NTPH1)Oxford Knee Score</v>
      </c>
      <c r="C2608" t="s">
        <v>969</v>
      </c>
      <c r="D2608" t="s">
        <v>965</v>
      </c>
      <c r="E2608" t="s">
        <v>460</v>
      </c>
      <c r="F2608" t="s">
        <v>461</v>
      </c>
      <c r="G2608" t="s">
        <v>972</v>
      </c>
      <c r="H2608">
        <v>229</v>
      </c>
      <c r="I2608">
        <v>19.690000000000001</v>
      </c>
      <c r="J2608">
        <v>38.807899999999997</v>
      </c>
      <c r="K2608">
        <v>19.117899999999999</v>
      </c>
      <c r="L2608">
        <v>223</v>
      </c>
      <c r="M2608">
        <v>1</v>
      </c>
      <c r="N2608">
        <v>5</v>
      </c>
      <c r="O2608">
        <v>38.197200000000002</v>
      </c>
      <c r="P2608">
        <v>18.808800000000002</v>
      </c>
      <c r="Q2608">
        <v>7.4576799999999999</v>
      </c>
    </row>
    <row r="2609" spans="1:17" x14ac:dyDescent="0.25">
      <c r="A2609" t="str">
        <f>IF(C2609&amp;G2609&amp;D2609&lt;&gt;'Funnel setup'!$K$3&amp;'Funnel setup'!$K$4&amp;'Funnel setup'!$K$6,".",IF(A2608=".",1,A2608+1))</f>
        <v>.</v>
      </c>
      <c r="B2609" s="244" t="str">
        <f t="shared" si="40"/>
        <v>Knee Replacement PrimaryProviderPRACTICE PLUS GROUP HOSPITAL - SOUTHAMPTON (NTP11)Oxford Knee Score</v>
      </c>
      <c r="C2609" t="s">
        <v>969</v>
      </c>
      <c r="D2609" t="s">
        <v>965</v>
      </c>
      <c r="E2609" t="s">
        <v>462</v>
      </c>
      <c r="F2609" t="s">
        <v>463</v>
      </c>
      <c r="G2609" t="s">
        <v>972</v>
      </c>
      <c r="H2609">
        <v>72</v>
      </c>
      <c r="I2609">
        <v>19.194400000000002</v>
      </c>
      <c r="J2609">
        <v>36.805599999999998</v>
      </c>
      <c r="K2609">
        <v>17.6111</v>
      </c>
      <c r="L2609">
        <v>68</v>
      </c>
      <c r="M2609">
        <v>0</v>
      </c>
      <c r="N2609">
        <v>4</v>
      </c>
      <c r="O2609">
        <v>36.818800000000003</v>
      </c>
      <c r="P2609">
        <v>17.430499999999999</v>
      </c>
      <c r="Q2609">
        <v>8.4702900000000003</v>
      </c>
    </row>
    <row r="2610" spans="1:17" x14ac:dyDescent="0.25">
      <c r="A2610" t="str">
        <f>IF(C2610&amp;G2610&amp;D2610&lt;&gt;'Funnel setup'!$K$3&amp;'Funnel setup'!$K$4&amp;'Funnel setup'!$K$6,".",IF(A2609=".",1,A2609+1))</f>
        <v>.</v>
      </c>
      <c r="B2610" s="244" t="str">
        <f t="shared" si="40"/>
        <v>Knee Replacement PrimaryProviderPRINCESS MARGARET HOSPITAL (NT428)Oxford Knee Score</v>
      </c>
      <c r="C2610" t="s">
        <v>969</v>
      </c>
      <c r="D2610" t="s">
        <v>965</v>
      </c>
      <c r="E2610" t="s">
        <v>464</v>
      </c>
      <c r="F2610" t="s">
        <v>465</v>
      </c>
      <c r="G2610" t="s">
        <v>972</v>
      </c>
      <c r="H2610" t="s">
        <v>127</v>
      </c>
      <c r="I2610" t="s">
        <v>127</v>
      </c>
      <c r="J2610" t="s">
        <v>127</v>
      </c>
      <c r="K2610" t="s">
        <v>127</v>
      </c>
      <c r="L2610" t="s">
        <v>127</v>
      </c>
      <c r="M2610" t="s">
        <v>127</v>
      </c>
      <c r="N2610" t="s">
        <v>127</v>
      </c>
      <c r="O2610" t="s">
        <v>127</v>
      </c>
      <c r="P2610" t="s">
        <v>127</v>
      </c>
      <c r="Q2610" t="s">
        <v>127</v>
      </c>
    </row>
    <row r="2611" spans="1:17" x14ac:dyDescent="0.25">
      <c r="A2611" t="str">
        <f>IF(C2611&amp;G2611&amp;D2611&lt;&gt;'Funnel setup'!$K$3&amp;'Funnel setup'!$K$4&amp;'Funnel setup'!$K$6,".",IF(A2610=".",1,A2610+1))</f>
        <v>.</v>
      </c>
      <c r="B2611" s="244" t="str">
        <f t="shared" si="40"/>
        <v>Knee Replacement PrimaryProviderPRIORY HOSPITAL (NT429)Oxford Knee Score</v>
      </c>
      <c r="C2611" t="s">
        <v>969</v>
      </c>
      <c r="D2611" t="s">
        <v>965</v>
      </c>
      <c r="E2611" t="s">
        <v>466</v>
      </c>
      <c r="F2611" t="s">
        <v>467</v>
      </c>
      <c r="G2611" t="s">
        <v>972</v>
      </c>
      <c r="H2611">
        <v>28</v>
      </c>
      <c r="I2611">
        <v>20.678599999999999</v>
      </c>
      <c r="J2611">
        <v>38.428600000000003</v>
      </c>
      <c r="K2611">
        <v>17.75</v>
      </c>
      <c r="L2611">
        <v>28</v>
      </c>
      <c r="M2611">
        <v>0</v>
      </c>
      <c r="N2611">
        <v>0</v>
      </c>
      <c r="O2611" t="s">
        <v>127</v>
      </c>
      <c r="P2611" t="s">
        <v>127</v>
      </c>
      <c r="Q2611" t="s">
        <v>127</v>
      </c>
    </row>
    <row r="2612" spans="1:17" x14ac:dyDescent="0.25">
      <c r="A2612" t="str">
        <f>IF(C2612&amp;G2612&amp;D2612&lt;&gt;'Funnel setup'!$K$3&amp;'Funnel setup'!$K$4&amp;'Funnel setup'!$K$6,".",IF(A2611=".",1,A2611+1))</f>
        <v>.</v>
      </c>
      <c r="B2612" s="244" t="str">
        <f t="shared" si="40"/>
        <v>Knee Replacement PrimaryProviderRENACRES HOSPITAL (NVC16)Oxford Knee Score</v>
      </c>
      <c r="C2612" t="s">
        <v>969</v>
      </c>
      <c r="D2612" t="s">
        <v>965</v>
      </c>
      <c r="E2612" t="s">
        <v>470</v>
      </c>
      <c r="F2612" t="s">
        <v>471</v>
      </c>
      <c r="G2612" t="s">
        <v>972</v>
      </c>
      <c r="H2612">
        <v>65</v>
      </c>
      <c r="I2612">
        <v>18.923100000000002</v>
      </c>
      <c r="J2612">
        <v>37.230800000000002</v>
      </c>
      <c r="K2612">
        <v>18.307700000000001</v>
      </c>
      <c r="L2612">
        <v>61</v>
      </c>
      <c r="M2612">
        <v>0</v>
      </c>
      <c r="N2612">
        <v>4</v>
      </c>
      <c r="O2612">
        <v>37.028100000000002</v>
      </c>
      <c r="P2612">
        <v>17.639800000000001</v>
      </c>
      <c r="Q2612">
        <v>8.6170100000000005</v>
      </c>
    </row>
    <row r="2613" spans="1:17" x14ac:dyDescent="0.25">
      <c r="A2613" t="str">
        <f>IF(C2613&amp;G2613&amp;D2613&lt;&gt;'Funnel setup'!$K$3&amp;'Funnel setup'!$K$4&amp;'Funnel setup'!$K$6,".",IF(A2612=".",1,A2612+1))</f>
        <v>.</v>
      </c>
      <c r="B2613" s="244" t="str">
        <f t="shared" si="40"/>
        <v>Knee Replacement PrimaryProviderRIDGEWAY HOSPITAL (NT430)Oxford Knee Score</v>
      </c>
      <c r="C2613" t="s">
        <v>969</v>
      </c>
      <c r="D2613" t="s">
        <v>965</v>
      </c>
      <c r="E2613" t="s">
        <v>472</v>
      </c>
      <c r="F2613" t="s">
        <v>473</v>
      </c>
      <c r="G2613" t="s">
        <v>972</v>
      </c>
      <c r="H2613">
        <v>1</v>
      </c>
      <c r="I2613">
        <v>19</v>
      </c>
      <c r="J2613">
        <v>43</v>
      </c>
      <c r="K2613">
        <v>24</v>
      </c>
      <c r="L2613">
        <v>1</v>
      </c>
      <c r="M2613">
        <v>0</v>
      </c>
      <c r="N2613">
        <v>0</v>
      </c>
      <c r="O2613" t="s">
        <v>127</v>
      </c>
      <c r="P2613" t="s">
        <v>127</v>
      </c>
      <c r="Q2613" t="s">
        <v>127</v>
      </c>
    </row>
    <row r="2614" spans="1:17" x14ac:dyDescent="0.25">
      <c r="A2614" t="str">
        <f>IF(C2614&amp;G2614&amp;D2614&lt;&gt;'Funnel setup'!$K$3&amp;'Funnel setup'!$K$4&amp;'Funnel setup'!$K$6,".",IF(A2613=".",1,A2613+1))</f>
        <v>.</v>
      </c>
      <c r="B2614" s="244" t="str">
        <f t="shared" si="40"/>
        <v>Knee Replacement PrimaryProviderRIVERS HOSPITAL (NVC19)Oxford Knee Score</v>
      </c>
      <c r="C2614" t="s">
        <v>969</v>
      </c>
      <c r="D2614" t="s">
        <v>965</v>
      </c>
      <c r="E2614" t="s">
        <v>474</v>
      </c>
      <c r="F2614" t="s">
        <v>475</v>
      </c>
      <c r="G2614" t="s">
        <v>972</v>
      </c>
      <c r="H2614">
        <v>38</v>
      </c>
      <c r="I2614">
        <v>21.447399999999998</v>
      </c>
      <c r="J2614">
        <v>39.578899999999997</v>
      </c>
      <c r="K2614">
        <v>18.131599999999999</v>
      </c>
      <c r="L2614">
        <v>36</v>
      </c>
      <c r="M2614">
        <v>0</v>
      </c>
      <c r="N2614">
        <v>2</v>
      </c>
      <c r="O2614">
        <v>37.923400000000001</v>
      </c>
      <c r="P2614">
        <v>18.5351</v>
      </c>
      <c r="Q2614">
        <v>9.0412400000000002</v>
      </c>
    </row>
    <row r="2615" spans="1:17" x14ac:dyDescent="0.25">
      <c r="A2615" t="str">
        <f>IF(C2615&amp;G2615&amp;D2615&lt;&gt;'Funnel setup'!$K$3&amp;'Funnel setup'!$K$4&amp;'Funnel setup'!$K$6,".",IF(A2614=".",1,A2614+1))</f>
        <v>.</v>
      </c>
      <c r="B2615" s="244" t="str">
        <f t="shared" si="40"/>
        <v>Knee Replacement PrimaryProviderROWLEY HALL HOSPITAL (NVC17)Oxford Knee Score</v>
      </c>
      <c r="C2615" t="s">
        <v>969</v>
      </c>
      <c r="D2615" t="s">
        <v>965</v>
      </c>
      <c r="E2615" t="s">
        <v>476</v>
      </c>
      <c r="F2615" t="s">
        <v>477</v>
      </c>
      <c r="G2615" t="s">
        <v>972</v>
      </c>
      <c r="H2615">
        <v>43</v>
      </c>
      <c r="I2615">
        <v>18.5581</v>
      </c>
      <c r="J2615">
        <v>37.186</v>
      </c>
      <c r="K2615">
        <v>18.6279</v>
      </c>
      <c r="L2615">
        <v>42</v>
      </c>
      <c r="M2615">
        <v>0</v>
      </c>
      <c r="N2615">
        <v>1</v>
      </c>
      <c r="O2615">
        <v>37.114600000000003</v>
      </c>
      <c r="P2615">
        <v>17.726299999999998</v>
      </c>
      <c r="Q2615">
        <v>8.20974</v>
      </c>
    </row>
    <row r="2616" spans="1:17" x14ac:dyDescent="0.25">
      <c r="A2616" t="str">
        <f>IF(C2616&amp;G2616&amp;D2616&lt;&gt;'Funnel setup'!$K$3&amp;'Funnel setup'!$K$4&amp;'Funnel setup'!$K$6,".",IF(A2615=".",1,A2615+1))</f>
        <v>.</v>
      </c>
      <c r="B2616" s="244" t="str">
        <f t="shared" si="40"/>
        <v>Knee Replacement PrimaryProviderROYAL BERKSHIRE NHS FOUNDATION TRUST (RHW)Oxford Knee Score</v>
      </c>
      <c r="C2616" t="s">
        <v>969</v>
      </c>
      <c r="D2616" t="s">
        <v>965</v>
      </c>
      <c r="E2616" t="s">
        <v>478</v>
      </c>
      <c r="F2616" t="s">
        <v>479</v>
      </c>
      <c r="G2616" t="s">
        <v>972</v>
      </c>
      <c r="H2616">
        <v>7</v>
      </c>
      <c r="I2616">
        <v>17.142900000000001</v>
      </c>
      <c r="J2616">
        <v>34.857100000000003</v>
      </c>
      <c r="K2616">
        <v>17.714300000000001</v>
      </c>
      <c r="L2616">
        <v>7</v>
      </c>
      <c r="M2616">
        <v>0</v>
      </c>
      <c r="N2616">
        <v>0</v>
      </c>
      <c r="O2616" t="s">
        <v>127</v>
      </c>
      <c r="P2616" t="s">
        <v>127</v>
      </c>
      <c r="Q2616" t="s">
        <v>127</v>
      </c>
    </row>
    <row r="2617" spans="1:17" x14ac:dyDescent="0.25">
      <c r="A2617" t="str">
        <f>IF(C2617&amp;G2617&amp;D2617&lt;&gt;'Funnel setup'!$K$3&amp;'Funnel setup'!$K$4&amp;'Funnel setup'!$K$6,".",IF(A2616=".",1,A2616+1))</f>
        <v>.</v>
      </c>
      <c r="B2617" s="244" t="str">
        <f t="shared" si="40"/>
        <v>Knee Replacement PrimaryProviderROYAL CORNWALL HOSPITALS NHS TRUST (REF)Oxford Knee Score</v>
      </c>
      <c r="C2617" t="s">
        <v>969</v>
      </c>
      <c r="D2617" t="s">
        <v>965</v>
      </c>
      <c r="E2617" t="s">
        <v>480</v>
      </c>
      <c r="F2617" t="s">
        <v>481</v>
      </c>
      <c r="G2617" t="s">
        <v>972</v>
      </c>
      <c r="H2617">
        <v>37</v>
      </c>
      <c r="I2617">
        <v>21.7027</v>
      </c>
      <c r="J2617">
        <v>38.945900000000002</v>
      </c>
      <c r="K2617">
        <v>17.243200000000002</v>
      </c>
      <c r="L2617">
        <v>37</v>
      </c>
      <c r="M2617">
        <v>0</v>
      </c>
      <c r="N2617">
        <v>0</v>
      </c>
      <c r="O2617">
        <v>38.511099999999999</v>
      </c>
      <c r="P2617">
        <v>19.122800000000002</v>
      </c>
      <c r="Q2617">
        <v>6.73461</v>
      </c>
    </row>
    <row r="2618" spans="1:17" x14ac:dyDescent="0.25">
      <c r="A2618" t="str">
        <f>IF(C2618&amp;G2618&amp;D2618&lt;&gt;'Funnel setup'!$K$3&amp;'Funnel setup'!$K$4&amp;'Funnel setup'!$K$6,".",IF(A2617=".",1,A2617+1))</f>
        <v>.</v>
      </c>
      <c r="B2618" s="244" t="str">
        <f t="shared" si="40"/>
        <v>Knee Replacement PrimaryProviderROYAL DEVON UNIVERSITY HEALTHCARE NHS FOUNDATION TRUST (RH8)Oxford Knee Score</v>
      </c>
      <c r="C2618" t="s">
        <v>969</v>
      </c>
      <c r="D2618" t="s">
        <v>965</v>
      </c>
      <c r="E2618" t="s">
        <v>482</v>
      </c>
      <c r="F2618" t="s">
        <v>483</v>
      </c>
      <c r="G2618" t="s">
        <v>972</v>
      </c>
      <c r="H2618">
        <v>27</v>
      </c>
      <c r="I2618">
        <v>18.333300000000001</v>
      </c>
      <c r="J2618">
        <v>35.1111</v>
      </c>
      <c r="K2618">
        <v>16.777799999999999</v>
      </c>
      <c r="L2618">
        <v>26</v>
      </c>
      <c r="M2618">
        <v>0</v>
      </c>
      <c r="N2618">
        <v>1</v>
      </c>
      <c r="O2618" t="s">
        <v>127</v>
      </c>
      <c r="P2618" t="s">
        <v>127</v>
      </c>
      <c r="Q2618" t="s">
        <v>127</v>
      </c>
    </row>
    <row r="2619" spans="1:17" x14ac:dyDescent="0.25">
      <c r="A2619" t="str">
        <f>IF(C2619&amp;G2619&amp;D2619&lt;&gt;'Funnel setup'!$K$3&amp;'Funnel setup'!$K$4&amp;'Funnel setup'!$K$6,".",IF(A2618=".",1,A2618+1))</f>
        <v>.</v>
      </c>
      <c r="B2619" s="244" t="str">
        <f t="shared" si="40"/>
        <v>Knee Replacement PrimaryProviderROYAL NATIONAL ORTHOPAEDIC HOSPITAL NHS TRUST (RAN)Oxford Knee Score</v>
      </c>
      <c r="C2619" t="s">
        <v>969</v>
      </c>
      <c r="D2619" t="s">
        <v>965</v>
      </c>
      <c r="E2619" t="s">
        <v>486</v>
      </c>
      <c r="F2619" t="s">
        <v>487</v>
      </c>
      <c r="G2619" t="s">
        <v>972</v>
      </c>
      <c r="H2619">
        <v>82</v>
      </c>
      <c r="I2619">
        <v>18.9024</v>
      </c>
      <c r="J2619">
        <v>32.561</v>
      </c>
      <c r="K2619">
        <v>13.6585</v>
      </c>
      <c r="L2619">
        <v>74</v>
      </c>
      <c r="M2619">
        <v>1</v>
      </c>
      <c r="N2619">
        <v>7</v>
      </c>
      <c r="O2619">
        <v>34.752699999999997</v>
      </c>
      <c r="P2619">
        <v>15.3643</v>
      </c>
      <c r="Q2619">
        <v>8.30945</v>
      </c>
    </row>
    <row r="2620" spans="1:17" x14ac:dyDescent="0.25">
      <c r="A2620" t="str">
        <f>IF(C2620&amp;G2620&amp;D2620&lt;&gt;'Funnel setup'!$K$3&amp;'Funnel setup'!$K$4&amp;'Funnel setup'!$K$6,".",IF(A2619=".",1,A2619+1))</f>
        <v>.</v>
      </c>
      <c r="B2620" s="244" t="str">
        <f t="shared" si="40"/>
        <v>Knee Replacement PrimaryProviderROYAL SURREY COUNTY HOSPITAL NHS FOUNDATION TRUST (RA2)Oxford Knee Score</v>
      </c>
      <c r="C2620" t="s">
        <v>969</v>
      </c>
      <c r="D2620" t="s">
        <v>965</v>
      </c>
      <c r="E2620" t="s">
        <v>488</v>
      </c>
      <c r="F2620" t="s">
        <v>489</v>
      </c>
      <c r="G2620" t="s">
        <v>972</v>
      </c>
      <c r="H2620">
        <v>52</v>
      </c>
      <c r="I2620">
        <v>19.3462</v>
      </c>
      <c r="J2620">
        <v>37.653799999999997</v>
      </c>
      <c r="K2620">
        <v>18.307700000000001</v>
      </c>
      <c r="L2620">
        <v>50</v>
      </c>
      <c r="M2620">
        <v>1</v>
      </c>
      <c r="N2620">
        <v>1</v>
      </c>
      <c r="O2620">
        <v>37.494700000000002</v>
      </c>
      <c r="P2620">
        <v>18.106400000000001</v>
      </c>
      <c r="Q2620">
        <v>7.7917100000000001</v>
      </c>
    </row>
    <row r="2621" spans="1:17" x14ac:dyDescent="0.25">
      <c r="A2621" t="str">
        <f>IF(C2621&amp;G2621&amp;D2621&lt;&gt;'Funnel setup'!$K$3&amp;'Funnel setup'!$K$4&amp;'Funnel setup'!$K$6,".",IF(A2620=".",1,A2620+1))</f>
        <v>.</v>
      </c>
      <c r="B2621" s="244" t="str">
        <f t="shared" si="40"/>
        <v>Knee Replacement PrimaryProviderROYAL UNITED HOSPITALS BATH NHS FOUNDATION TRUST (RD1)Oxford Knee Score</v>
      </c>
      <c r="C2621" t="s">
        <v>969</v>
      </c>
      <c r="D2621" t="s">
        <v>965</v>
      </c>
      <c r="E2621" t="s">
        <v>490</v>
      </c>
      <c r="F2621" t="s">
        <v>491</v>
      </c>
      <c r="G2621" t="s">
        <v>972</v>
      </c>
      <c r="H2621">
        <v>12</v>
      </c>
      <c r="I2621">
        <v>18.416699999999999</v>
      </c>
      <c r="J2621">
        <v>37.75</v>
      </c>
      <c r="K2621">
        <v>19.333300000000001</v>
      </c>
      <c r="L2621">
        <v>12</v>
      </c>
      <c r="M2621">
        <v>0</v>
      </c>
      <c r="N2621">
        <v>0</v>
      </c>
      <c r="O2621" t="s">
        <v>127</v>
      </c>
      <c r="P2621" t="s">
        <v>127</v>
      </c>
      <c r="Q2621" t="s">
        <v>127</v>
      </c>
    </row>
    <row r="2622" spans="1:17" x14ac:dyDescent="0.25">
      <c r="A2622" t="str">
        <f>IF(C2622&amp;G2622&amp;D2622&lt;&gt;'Funnel setup'!$K$3&amp;'Funnel setup'!$K$4&amp;'Funnel setup'!$K$6,".",IF(A2621=".",1,A2621+1))</f>
        <v>.</v>
      </c>
      <c r="B2622" s="244" t="str">
        <f t="shared" si="40"/>
        <v>Knee Replacement PrimaryProviderRUNNYMEDE HOSPITAL (NT431)Oxford Knee Score</v>
      </c>
      <c r="C2622" t="s">
        <v>969</v>
      </c>
      <c r="D2622" t="s">
        <v>965</v>
      </c>
      <c r="E2622" t="s">
        <v>492</v>
      </c>
      <c r="F2622" t="s">
        <v>493</v>
      </c>
      <c r="G2622" t="s">
        <v>972</v>
      </c>
      <c r="H2622">
        <v>6</v>
      </c>
      <c r="I2622">
        <v>20</v>
      </c>
      <c r="J2622">
        <v>39.333300000000001</v>
      </c>
      <c r="K2622">
        <v>19.333300000000001</v>
      </c>
      <c r="L2622">
        <v>6</v>
      </c>
      <c r="M2622">
        <v>0</v>
      </c>
      <c r="N2622">
        <v>0</v>
      </c>
      <c r="O2622" t="s">
        <v>127</v>
      </c>
      <c r="P2622" t="s">
        <v>127</v>
      </c>
      <c r="Q2622" t="s">
        <v>127</v>
      </c>
    </row>
    <row r="2623" spans="1:17" x14ac:dyDescent="0.25">
      <c r="A2623" t="str">
        <f>IF(C2623&amp;G2623&amp;D2623&lt;&gt;'Funnel setup'!$K$3&amp;'Funnel setup'!$K$4&amp;'Funnel setup'!$K$6,".",IF(A2622=".",1,A2622+1))</f>
        <v>.</v>
      </c>
      <c r="B2623" s="244" t="str">
        <f t="shared" si="40"/>
        <v>Knee Replacement PrimaryProviderSALISBURY NHS FOUNDATION TRUST (RNZ)Oxford Knee Score</v>
      </c>
      <c r="C2623" t="s">
        <v>969</v>
      </c>
      <c r="D2623" t="s">
        <v>965</v>
      </c>
      <c r="E2623" t="s">
        <v>494</v>
      </c>
      <c r="F2623" t="s">
        <v>495</v>
      </c>
      <c r="G2623" t="s">
        <v>972</v>
      </c>
      <c r="H2623">
        <v>1</v>
      </c>
      <c r="I2623">
        <v>11</v>
      </c>
      <c r="J2623">
        <v>45</v>
      </c>
      <c r="K2623">
        <v>34</v>
      </c>
      <c r="L2623">
        <v>1</v>
      </c>
      <c r="M2623">
        <v>0</v>
      </c>
      <c r="N2623">
        <v>0</v>
      </c>
      <c r="O2623" t="s">
        <v>127</v>
      </c>
      <c r="P2623" t="s">
        <v>127</v>
      </c>
      <c r="Q2623" t="s">
        <v>127</v>
      </c>
    </row>
    <row r="2624" spans="1:17" x14ac:dyDescent="0.25">
      <c r="A2624" t="str">
        <f>IF(C2624&amp;G2624&amp;D2624&lt;&gt;'Funnel setup'!$K$3&amp;'Funnel setup'!$K$4&amp;'Funnel setup'!$K$6,".",IF(A2623=".",1,A2623+1))</f>
        <v>.</v>
      </c>
      <c r="B2624" s="244" t="str">
        <f t="shared" si="40"/>
        <v>Knee Replacement PrimaryProviderSANDWELL AND WEST BIRMINGHAM HOSPITALS NHS TRUST (RXK)Oxford Knee Score</v>
      </c>
      <c r="C2624" t="s">
        <v>969</v>
      </c>
      <c r="D2624" t="s">
        <v>965</v>
      </c>
      <c r="E2624" t="s">
        <v>496</v>
      </c>
      <c r="F2624" t="s">
        <v>497</v>
      </c>
      <c r="G2624" t="s">
        <v>972</v>
      </c>
      <c r="H2624">
        <v>70</v>
      </c>
      <c r="I2624">
        <v>16.7286</v>
      </c>
      <c r="J2624">
        <v>32.142899999999997</v>
      </c>
      <c r="K2624">
        <v>15.414300000000001</v>
      </c>
      <c r="L2624">
        <v>61</v>
      </c>
      <c r="M2624">
        <v>0</v>
      </c>
      <c r="N2624">
        <v>9</v>
      </c>
      <c r="O2624">
        <v>35.040300000000002</v>
      </c>
      <c r="P2624">
        <v>15.651999999999999</v>
      </c>
      <c r="Q2624">
        <v>10.023</v>
      </c>
    </row>
    <row r="2625" spans="1:17" x14ac:dyDescent="0.25">
      <c r="A2625" t="str">
        <f>IF(C2625&amp;G2625&amp;D2625&lt;&gt;'Funnel setup'!$K$3&amp;'Funnel setup'!$K$4&amp;'Funnel setup'!$K$6,".",IF(A2624=".",1,A2624+1))</f>
        <v>.</v>
      </c>
      <c r="B2625" s="244" t="str">
        <f t="shared" si="40"/>
        <v>Knee Replacement PrimaryProviderSARUM ROAD HOSPITAL (NT433)Oxford Knee Score</v>
      </c>
      <c r="C2625" t="s">
        <v>969</v>
      </c>
      <c r="D2625" t="s">
        <v>965</v>
      </c>
      <c r="E2625" t="s">
        <v>498</v>
      </c>
      <c r="F2625" t="s">
        <v>499</v>
      </c>
      <c r="G2625" t="s">
        <v>972</v>
      </c>
      <c r="H2625">
        <v>28</v>
      </c>
      <c r="I2625">
        <v>21.857099999999999</v>
      </c>
      <c r="J2625">
        <v>41.214300000000001</v>
      </c>
      <c r="K2625">
        <v>19.357099999999999</v>
      </c>
      <c r="L2625">
        <v>28</v>
      </c>
      <c r="M2625">
        <v>0</v>
      </c>
      <c r="N2625">
        <v>0</v>
      </c>
      <c r="O2625" t="s">
        <v>127</v>
      </c>
      <c r="P2625" t="s">
        <v>127</v>
      </c>
      <c r="Q2625" t="s">
        <v>127</v>
      </c>
    </row>
    <row r="2626" spans="1:17" x14ac:dyDescent="0.25">
      <c r="A2626" t="str">
        <f>IF(C2626&amp;G2626&amp;D2626&lt;&gt;'Funnel setup'!$K$3&amp;'Funnel setup'!$K$4&amp;'Funnel setup'!$K$6,".",IF(A2625=".",1,A2625+1))</f>
        <v>.</v>
      </c>
      <c r="B2626" s="244" t="str">
        <f t="shared" ref="B2626:B2689" si="41">C2626&amp;D2626&amp;F2626&amp;G2626</f>
        <v>Knee Replacement PrimaryProviderSAXON CLINIC (NT434)Oxford Knee Score</v>
      </c>
      <c r="C2626" t="s">
        <v>969</v>
      </c>
      <c r="D2626" t="s">
        <v>965</v>
      </c>
      <c r="E2626" t="s">
        <v>500</v>
      </c>
      <c r="F2626" t="s">
        <v>501</v>
      </c>
      <c r="G2626" t="s">
        <v>972</v>
      </c>
      <c r="H2626">
        <v>13</v>
      </c>
      <c r="I2626">
        <v>16.384599999999999</v>
      </c>
      <c r="J2626">
        <v>35</v>
      </c>
      <c r="K2626">
        <v>18.615400000000001</v>
      </c>
      <c r="L2626">
        <v>12</v>
      </c>
      <c r="M2626">
        <v>0</v>
      </c>
      <c r="N2626">
        <v>1</v>
      </c>
      <c r="O2626" t="s">
        <v>127</v>
      </c>
      <c r="P2626" t="s">
        <v>127</v>
      </c>
      <c r="Q2626" t="s">
        <v>127</v>
      </c>
    </row>
    <row r="2627" spans="1:17" x14ac:dyDescent="0.25">
      <c r="A2627" t="str">
        <f>IF(C2627&amp;G2627&amp;D2627&lt;&gt;'Funnel setup'!$K$3&amp;'Funnel setup'!$K$4&amp;'Funnel setup'!$K$6,".",IF(A2626=".",1,A2626+1))</f>
        <v>.</v>
      </c>
      <c r="B2627" s="244" t="str">
        <f t="shared" si="41"/>
        <v>Knee Replacement PrimaryProviderSHEFFIELD TEACHING HOSPITALS NHS FOUNDATION TRUST (RHQ)Oxford Knee Score</v>
      </c>
      <c r="C2627" t="s">
        <v>969</v>
      </c>
      <c r="D2627" t="s">
        <v>965</v>
      </c>
      <c r="E2627" t="s">
        <v>506</v>
      </c>
      <c r="F2627" t="s">
        <v>507</v>
      </c>
      <c r="G2627" t="s">
        <v>972</v>
      </c>
      <c r="H2627">
        <v>35</v>
      </c>
      <c r="I2627">
        <v>19.514299999999999</v>
      </c>
      <c r="J2627">
        <v>37.628599999999999</v>
      </c>
      <c r="K2627">
        <v>18.1143</v>
      </c>
      <c r="L2627">
        <v>33</v>
      </c>
      <c r="M2627">
        <v>0</v>
      </c>
      <c r="N2627">
        <v>2</v>
      </c>
      <c r="O2627">
        <v>37.149799999999999</v>
      </c>
      <c r="P2627">
        <v>17.761500000000002</v>
      </c>
      <c r="Q2627">
        <v>7.99993</v>
      </c>
    </row>
    <row r="2628" spans="1:17" x14ac:dyDescent="0.25">
      <c r="A2628" t="str">
        <f>IF(C2628&amp;G2628&amp;D2628&lt;&gt;'Funnel setup'!$K$3&amp;'Funnel setup'!$K$4&amp;'Funnel setup'!$K$6,".",IF(A2627=".",1,A2627+1))</f>
        <v>.</v>
      </c>
      <c r="B2628" s="244" t="str">
        <f t="shared" si="41"/>
        <v>Knee Replacement PrimaryProviderSHERWOOD FOREST HOSPITALS NHS FOUNDATION TRUST (RK5)Oxford Knee Score</v>
      </c>
      <c r="C2628" t="s">
        <v>969</v>
      </c>
      <c r="D2628" t="s">
        <v>965</v>
      </c>
      <c r="E2628" t="s">
        <v>508</v>
      </c>
      <c r="F2628" t="s">
        <v>509</v>
      </c>
      <c r="G2628" t="s">
        <v>972</v>
      </c>
      <c r="H2628">
        <v>68</v>
      </c>
      <c r="I2628">
        <v>17.485299999999999</v>
      </c>
      <c r="J2628">
        <v>35.352899999999998</v>
      </c>
      <c r="K2628">
        <v>17.867599999999999</v>
      </c>
      <c r="L2628">
        <v>65</v>
      </c>
      <c r="M2628">
        <v>0</v>
      </c>
      <c r="N2628">
        <v>3</v>
      </c>
      <c r="O2628">
        <v>36.481999999999999</v>
      </c>
      <c r="P2628">
        <v>17.093699999999998</v>
      </c>
      <c r="Q2628">
        <v>8.8072199999999992</v>
      </c>
    </row>
    <row r="2629" spans="1:17" x14ac:dyDescent="0.25">
      <c r="A2629" t="str">
        <f>IF(C2629&amp;G2629&amp;D2629&lt;&gt;'Funnel setup'!$K$3&amp;'Funnel setup'!$K$4&amp;'Funnel setup'!$K$6,".",IF(A2628=".",1,A2628+1))</f>
        <v>.</v>
      </c>
      <c r="B2629" s="244" t="str">
        <f t="shared" si="41"/>
        <v>Knee Replacement PrimaryProviderSHIRLEY OAKS HOSPITAL (NT436)Oxford Knee Score</v>
      </c>
      <c r="C2629" t="s">
        <v>969</v>
      </c>
      <c r="D2629" t="s">
        <v>965</v>
      </c>
      <c r="E2629" t="s">
        <v>510</v>
      </c>
      <c r="F2629" t="s">
        <v>511</v>
      </c>
      <c r="G2629" t="s">
        <v>972</v>
      </c>
      <c r="H2629">
        <v>3</v>
      </c>
      <c r="I2629">
        <v>24</v>
      </c>
      <c r="J2629">
        <v>36.333300000000001</v>
      </c>
      <c r="K2629">
        <v>12.333299999999999</v>
      </c>
      <c r="L2629">
        <v>3</v>
      </c>
      <c r="M2629">
        <v>0</v>
      </c>
      <c r="N2629">
        <v>0</v>
      </c>
      <c r="O2629" t="s">
        <v>127</v>
      </c>
      <c r="P2629" t="s">
        <v>127</v>
      </c>
      <c r="Q2629" t="s">
        <v>127</v>
      </c>
    </row>
    <row r="2630" spans="1:17" x14ac:dyDescent="0.25">
      <c r="A2630" t="str">
        <f>IF(C2630&amp;G2630&amp;D2630&lt;&gt;'Funnel setup'!$K$3&amp;'Funnel setup'!$K$4&amp;'Funnel setup'!$K$6,".",IF(A2629=".",1,A2629+1))</f>
        <v>.</v>
      </c>
      <c r="B2630" s="244" t="str">
        <f t="shared" si="41"/>
        <v>Knee Replacement PrimaryProviderSOUTH TEES HOSPITALS NHS FOUNDATION TRUST (RTR)Oxford Knee Score</v>
      </c>
      <c r="C2630" t="s">
        <v>969</v>
      </c>
      <c r="D2630" t="s">
        <v>965</v>
      </c>
      <c r="E2630" t="s">
        <v>516</v>
      </c>
      <c r="F2630" t="s">
        <v>517</v>
      </c>
      <c r="G2630" t="s">
        <v>972</v>
      </c>
      <c r="H2630">
        <v>120</v>
      </c>
      <c r="I2630">
        <v>15.2583</v>
      </c>
      <c r="J2630">
        <v>35.3917</v>
      </c>
      <c r="K2630">
        <v>20.133299999999998</v>
      </c>
      <c r="L2630">
        <v>114</v>
      </c>
      <c r="M2630">
        <v>2</v>
      </c>
      <c r="N2630">
        <v>4</v>
      </c>
      <c r="O2630">
        <v>37.781599999999997</v>
      </c>
      <c r="P2630">
        <v>18.3933</v>
      </c>
      <c r="Q2630">
        <v>9.5578900000000004</v>
      </c>
    </row>
    <row r="2631" spans="1:17" x14ac:dyDescent="0.25">
      <c r="A2631" t="str">
        <f>IF(C2631&amp;G2631&amp;D2631&lt;&gt;'Funnel setup'!$K$3&amp;'Funnel setup'!$K$4&amp;'Funnel setup'!$K$6,".",IF(A2630=".",1,A2630+1))</f>
        <v>.</v>
      </c>
      <c r="B2631" s="244" t="str">
        <f t="shared" si="41"/>
        <v>Knee Replacement PrimaryProviderSOUTH TYNESIDE AND SUNDERLAND NHS FOUNDATION TRUST (R0B)Oxford Knee Score</v>
      </c>
      <c r="C2631" t="s">
        <v>969</v>
      </c>
      <c r="D2631" t="s">
        <v>965</v>
      </c>
      <c r="E2631" t="s">
        <v>518</v>
      </c>
      <c r="F2631" t="s">
        <v>519</v>
      </c>
      <c r="G2631" t="s">
        <v>972</v>
      </c>
      <c r="H2631">
        <v>6</v>
      </c>
      <c r="I2631">
        <v>17</v>
      </c>
      <c r="J2631">
        <v>34</v>
      </c>
      <c r="K2631">
        <v>17</v>
      </c>
      <c r="L2631">
        <v>5</v>
      </c>
      <c r="M2631">
        <v>0</v>
      </c>
      <c r="N2631">
        <v>1</v>
      </c>
      <c r="O2631" t="s">
        <v>127</v>
      </c>
      <c r="P2631" t="s">
        <v>127</v>
      </c>
      <c r="Q2631" t="s">
        <v>127</v>
      </c>
    </row>
    <row r="2632" spans="1:17" x14ac:dyDescent="0.25">
      <c r="A2632" t="str">
        <f>IF(C2632&amp;G2632&amp;D2632&lt;&gt;'Funnel setup'!$K$3&amp;'Funnel setup'!$K$4&amp;'Funnel setup'!$K$6,".",IF(A2631=".",1,A2631+1))</f>
        <v>.</v>
      </c>
      <c r="B2632" s="244" t="str">
        <f t="shared" si="41"/>
        <v>Knee Replacement PrimaryProviderSOUTH WARWICKSHIRE UNIVERSITY NHS FOUNDATION TRUST (RJC)Oxford Knee Score</v>
      </c>
      <c r="C2632" t="s">
        <v>969</v>
      </c>
      <c r="D2632" t="s">
        <v>965</v>
      </c>
      <c r="E2632" t="s">
        <v>520</v>
      </c>
      <c r="F2632" t="s">
        <v>521</v>
      </c>
      <c r="G2632" t="s">
        <v>972</v>
      </c>
      <c r="H2632">
        <v>153</v>
      </c>
      <c r="I2632">
        <v>21.300699999999999</v>
      </c>
      <c r="J2632">
        <v>38.379100000000001</v>
      </c>
      <c r="K2632">
        <v>17.078399999999998</v>
      </c>
      <c r="L2632">
        <v>146</v>
      </c>
      <c r="M2632">
        <v>1</v>
      </c>
      <c r="N2632">
        <v>6</v>
      </c>
      <c r="O2632">
        <v>37.442399999999999</v>
      </c>
      <c r="P2632">
        <v>18.054099999999998</v>
      </c>
      <c r="Q2632">
        <v>8.5757300000000001</v>
      </c>
    </row>
    <row r="2633" spans="1:17" x14ac:dyDescent="0.25">
      <c r="A2633" t="str">
        <f>IF(C2633&amp;G2633&amp;D2633&lt;&gt;'Funnel setup'!$K$3&amp;'Funnel setup'!$K$4&amp;'Funnel setup'!$K$6,".",IF(A2632=".",1,A2632+1))</f>
        <v>.</v>
      </c>
      <c r="B2633" s="244" t="str">
        <f t="shared" si="41"/>
        <v>Knee Replacement PrimaryProviderSOUTHPORT AND ORMSKIRK HOSPITAL NHS TRUST (RVY)Oxford Knee Score</v>
      </c>
      <c r="C2633" t="s">
        <v>969</v>
      </c>
      <c r="D2633" t="s">
        <v>965</v>
      </c>
      <c r="E2633" t="s">
        <v>522</v>
      </c>
      <c r="F2633" t="s">
        <v>523</v>
      </c>
      <c r="G2633" t="s">
        <v>972</v>
      </c>
      <c r="H2633">
        <v>12</v>
      </c>
      <c r="I2633">
        <v>18.833300000000001</v>
      </c>
      <c r="J2633">
        <v>39.333300000000001</v>
      </c>
      <c r="K2633">
        <v>20.5</v>
      </c>
      <c r="L2633">
        <v>12</v>
      </c>
      <c r="M2633">
        <v>0</v>
      </c>
      <c r="N2633">
        <v>0</v>
      </c>
      <c r="O2633" t="s">
        <v>127</v>
      </c>
      <c r="P2633" t="s">
        <v>127</v>
      </c>
      <c r="Q2633" t="s">
        <v>127</v>
      </c>
    </row>
    <row r="2634" spans="1:17" x14ac:dyDescent="0.25">
      <c r="A2634" t="str">
        <f>IF(C2634&amp;G2634&amp;D2634&lt;&gt;'Funnel setup'!$K$3&amp;'Funnel setup'!$K$4&amp;'Funnel setup'!$K$6,".",IF(A2633=".",1,A2633+1))</f>
        <v>.</v>
      </c>
      <c r="B2634" s="244" t="str">
        <f t="shared" si="41"/>
        <v>Knee Replacement PrimaryProviderSPENCER PRIVATE HOSPITALS - MARGATE (NN801)Oxford Knee Score</v>
      </c>
      <c r="C2634" t="s">
        <v>969</v>
      </c>
      <c r="D2634" t="s">
        <v>965</v>
      </c>
      <c r="E2634" t="s">
        <v>526</v>
      </c>
      <c r="F2634" t="s">
        <v>527</v>
      </c>
      <c r="G2634" t="s">
        <v>972</v>
      </c>
      <c r="H2634">
        <v>18</v>
      </c>
      <c r="I2634">
        <v>17.6111</v>
      </c>
      <c r="J2634">
        <v>38.666699999999999</v>
      </c>
      <c r="K2634">
        <v>21.055599999999998</v>
      </c>
      <c r="L2634">
        <v>17</v>
      </c>
      <c r="M2634">
        <v>1</v>
      </c>
      <c r="N2634">
        <v>0</v>
      </c>
      <c r="O2634" t="s">
        <v>127</v>
      </c>
      <c r="P2634" t="s">
        <v>127</v>
      </c>
      <c r="Q2634" t="s">
        <v>127</v>
      </c>
    </row>
    <row r="2635" spans="1:17" x14ac:dyDescent="0.25">
      <c r="A2635" t="str">
        <f>IF(C2635&amp;G2635&amp;D2635&lt;&gt;'Funnel setup'!$K$3&amp;'Funnel setup'!$K$4&amp;'Funnel setup'!$K$6,".",IF(A2634=".",1,A2634+1))</f>
        <v>.</v>
      </c>
      <c r="B2635" s="244" t="str">
        <f t="shared" si="41"/>
        <v>Knee Replacement PrimaryProviderSPIRE ALEXANDRA HOSPITAL (NT312)Oxford Knee Score</v>
      </c>
      <c r="C2635" t="s">
        <v>969</v>
      </c>
      <c r="D2635" t="s">
        <v>965</v>
      </c>
      <c r="E2635" t="s">
        <v>528</v>
      </c>
      <c r="F2635" t="s">
        <v>529</v>
      </c>
      <c r="G2635" t="s">
        <v>972</v>
      </c>
      <c r="H2635">
        <v>26</v>
      </c>
      <c r="I2635">
        <v>24.8462</v>
      </c>
      <c r="J2635">
        <v>37.846200000000003</v>
      </c>
      <c r="K2635">
        <v>13</v>
      </c>
      <c r="L2635">
        <v>24</v>
      </c>
      <c r="M2635">
        <v>2</v>
      </c>
      <c r="N2635">
        <v>0</v>
      </c>
      <c r="O2635" t="s">
        <v>127</v>
      </c>
      <c r="P2635" t="s">
        <v>127</v>
      </c>
      <c r="Q2635" t="s">
        <v>127</v>
      </c>
    </row>
    <row r="2636" spans="1:17" x14ac:dyDescent="0.25">
      <c r="A2636" t="str">
        <f>IF(C2636&amp;G2636&amp;D2636&lt;&gt;'Funnel setup'!$K$3&amp;'Funnel setup'!$K$4&amp;'Funnel setup'!$K$6,".",IF(A2635=".",1,A2635+1))</f>
        <v>.</v>
      </c>
      <c r="B2636" s="244" t="str">
        <f t="shared" si="41"/>
        <v>Knee Replacement PrimaryProviderSPIRE BRISTOL HOSPITAL (NT302)Oxford Knee Score</v>
      </c>
      <c r="C2636" t="s">
        <v>969</v>
      </c>
      <c r="D2636" t="s">
        <v>965</v>
      </c>
      <c r="E2636" t="s">
        <v>530</v>
      </c>
      <c r="F2636" t="s">
        <v>531</v>
      </c>
      <c r="G2636" t="s">
        <v>972</v>
      </c>
      <c r="H2636">
        <v>59</v>
      </c>
      <c r="I2636">
        <v>19.915299999999998</v>
      </c>
      <c r="J2636">
        <v>38.338999999999999</v>
      </c>
      <c r="K2636">
        <v>18.4237</v>
      </c>
      <c r="L2636">
        <v>57</v>
      </c>
      <c r="M2636">
        <v>1</v>
      </c>
      <c r="N2636">
        <v>1</v>
      </c>
      <c r="O2636">
        <v>37.675899999999999</v>
      </c>
      <c r="P2636">
        <v>18.287600000000001</v>
      </c>
      <c r="Q2636">
        <v>7.8931100000000001</v>
      </c>
    </row>
    <row r="2637" spans="1:17" x14ac:dyDescent="0.25">
      <c r="A2637" t="str">
        <f>IF(C2637&amp;G2637&amp;D2637&lt;&gt;'Funnel setup'!$K$3&amp;'Funnel setup'!$K$4&amp;'Funnel setup'!$K$6,".",IF(A2636=".",1,A2636+1))</f>
        <v>.</v>
      </c>
      <c r="B2637" s="244" t="str">
        <f t="shared" si="41"/>
        <v>Knee Replacement PrimaryProviderSPIRE BUSHEY HOSPITAL (NT315)Oxford Knee Score</v>
      </c>
      <c r="C2637" t="s">
        <v>969</v>
      </c>
      <c r="D2637" t="s">
        <v>965</v>
      </c>
      <c r="E2637" t="s">
        <v>532</v>
      </c>
      <c r="F2637" t="s">
        <v>533</v>
      </c>
      <c r="G2637" t="s">
        <v>972</v>
      </c>
      <c r="H2637">
        <v>5</v>
      </c>
      <c r="I2637">
        <v>23.6</v>
      </c>
      <c r="J2637">
        <v>37.200000000000003</v>
      </c>
      <c r="K2637">
        <v>13.6</v>
      </c>
      <c r="L2637">
        <v>5</v>
      </c>
      <c r="M2637">
        <v>0</v>
      </c>
      <c r="N2637">
        <v>0</v>
      </c>
      <c r="O2637" t="s">
        <v>127</v>
      </c>
      <c r="P2637" t="s">
        <v>127</v>
      </c>
      <c r="Q2637" t="s">
        <v>127</v>
      </c>
    </row>
    <row r="2638" spans="1:17" x14ac:dyDescent="0.25">
      <c r="A2638" t="str">
        <f>IF(C2638&amp;G2638&amp;D2638&lt;&gt;'Funnel setup'!$K$3&amp;'Funnel setup'!$K$4&amp;'Funnel setup'!$K$6,".",IF(A2637=".",1,A2637+1))</f>
        <v>.</v>
      </c>
      <c r="B2638" s="244" t="str">
        <f t="shared" si="41"/>
        <v>Knee Replacement PrimaryProviderSPIRE CAMBRIDGE LEA HOSPITAL (NT317)Oxford Knee Score</v>
      </c>
      <c r="C2638" t="s">
        <v>969</v>
      </c>
      <c r="D2638" t="s">
        <v>965</v>
      </c>
      <c r="E2638" t="s">
        <v>534</v>
      </c>
      <c r="F2638" t="s">
        <v>535</v>
      </c>
      <c r="G2638" t="s">
        <v>972</v>
      </c>
      <c r="H2638">
        <v>29</v>
      </c>
      <c r="I2638">
        <v>20.103400000000001</v>
      </c>
      <c r="J2638">
        <v>35.965499999999999</v>
      </c>
      <c r="K2638">
        <v>15.8621</v>
      </c>
      <c r="L2638">
        <v>28</v>
      </c>
      <c r="M2638">
        <v>0</v>
      </c>
      <c r="N2638">
        <v>1</v>
      </c>
      <c r="O2638" t="s">
        <v>127</v>
      </c>
      <c r="P2638" t="s">
        <v>127</v>
      </c>
      <c r="Q2638" t="s">
        <v>127</v>
      </c>
    </row>
    <row r="2639" spans="1:17" x14ac:dyDescent="0.25">
      <c r="A2639" t="str">
        <f>IF(C2639&amp;G2639&amp;D2639&lt;&gt;'Funnel setup'!$K$3&amp;'Funnel setup'!$K$4&amp;'Funnel setup'!$K$6,".",IF(A2638=".",1,A2638+1))</f>
        <v>.</v>
      </c>
      <c r="B2639" s="244" t="str">
        <f t="shared" si="41"/>
        <v>Knee Replacement PrimaryProviderSPIRE CHESHIRE HOSPITAL (NT324)Oxford Knee Score</v>
      </c>
      <c r="C2639" t="s">
        <v>969</v>
      </c>
      <c r="D2639" t="s">
        <v>965</v>
      </c>
      <c r="E2639" t="s">
        <v>536</v>
      </c>
      <c r="F2639" t="s">
        <v>537</v>
      </c>
      <c r="G2639" t="s">
        <v>972</v>
      </c>
      <c r="H2639">
        <v>31</v>
      </c>
      <c r="I2639">
        <v>20.4194</v>
      </c>
      <c r="J2639">
        <v>40.128999999999998</v>
      </c>
      <c r="K2639">
        <v>19.709700000000002</v>
      </c>
      <c r="L2639">
        <v>30</v>
      </c>
      <c r="M2639">
        <v>0</v>
      </c>
      <c r="N2639">
        <v>1</v>
      </c>
      <c r="O2639">
        <v>38.872300000000003</v>
      </c>
      <c r="P2639">
        <v>19.484000000000002</v>
      </c>
      <c r="Q2639">
        <v>6.7866099999999996</v>
      </c>
    </row>
    <row r="2640" spans="1:17" x14ac:dyDescent="0.25">
      <c r="A2640" t="str">
        <f>IF(C2640&amp;G2640&amp;D2640&lt;&gt;'Funnel setup'!$K$3&amp;'Funnel setup'!$K$4&amp;'Funnel setup'!$K$6,".",IF(A2639=".",1,A2639+1))</f>
        <v>.</v>
      </c>
      <c r="B2640" s="244" t="str">
        <f t="shared" si="41"/>
        <v>Knee Replacement PrimaryProviderSPIRE CLARE PARK HOSPITAL (NT345)Oxford Knee Score</v>
      </c>
      <c r="C2640" t="s">
        <v>969</v>
      </c>
      <c r="D2640" t="s">
        <v>965</v>
      </c>
      <c r="E2640" t="s">
        <v>538</v>
      </c>
      <c r="F2640" t="s">
        <v>539</v>
      </c>
      <c r="G2640" t="s">
        <v>972</v>
      </c>
      <c r="H2640">
        <v>15</v>
      </c>
      <c r="I2640">
        <v>23.2667</v>
      </c>
      <c r="J2640">
        <v>36.7333</v>
      </c>
      <c r="K2640">
        <v>13.466699999999999</v>
      </c>
      <c r="L2640">
        <v>14</v>
      </c>
      <c r="M2640">
        <v>1</v>
      </c>
      <c r="N2640">
        <v>0</v>
      </c>
      <c r="O2640" t="s">
        <v>127</v>
      </c>
      <c r="P2640" t="s">
        <v>127</v>
      </c>
      <c r="Q2640" t="s">
        <v>127</v>
      </c>
    </row>
    <row r="2641" spans="1:17" x14ac:dyDescent="0.25">
      <c r="A2641" t="str">
        <f>IF(C2641&amp;G2641&amp;D2641&lt;&gt;'Funnel setup'!$K$3&amp;'Funnel setup'!$K$4&amp;'Funnel setup'!$K$6,".",IF(A2640=".",1,A2640+1))</f>
        <v>.</v>
      </c>
      <c r="B2641" s="244" t="str">
        <f t="shared" si="41"/>
        <v>Knee Replacement PrimaryProviderSPIRE DUNEDIN HOSPITAL (NT344)Oxford Knee Score</v>
      </c>
      <c r="C2641" t="s">
        <v>969</v>
      </c>
      <c r="D2641" t="s">
        <v>965</v>
      </c>
      <c r="E2641" t="s">
        <v>540</v>
      </c>
      <c r="F2641" t="s">
        <v>541</v>
      </c>
      <c r="G2641" t="s">
        <v>972</v>
      </c>
      <c r="H2641">
        <v>2</v>
      </c>
      <c r="I2641">
        <v>24.5</v>
      </c>
      <c r="J2641">
        <v>36.5</v>
      </c>
      <c r="K2641">
        <v>12</v>
      </c>
      <c r="L2641">
        <v>2</v>
      </c>
      <c r="M2641">
        <v>0</v>
      </c>
      <c r="N2641">
        <v>0</v>
      </c>
      <c r="O2641" t="s">
        <v>127</v>
      </c>
      <c r="P2641" t="s">
        <v>127</v>
      </c>
      <c r="Q2641" t="s">
        <v>127</v>
      </c>
    </row>
    <row r="2642" spans="1:17" x14ac:dyDescent="0.25">
      <c r="A2642" t="str">
        <f>IF(C2642&amp;G2642&amp;D2642&lt;&gt;'Funnel setup'!$K$3&amp;'Funnel setup'!$K$4&amp;'Funnel setup'!$K$6,".",IF(A2641=".",1,A2641+1))</f>
        <v>.</v>
      </c>
      <c r="B2642" s="244" t="str">
        <f t="shared" si="41"/>
        <v>Knee Replacement PrimaryProviderSPIRE ELLAND HOSPITAL (NT348)Oxford Knee Score</v>
      </c>
      <c r="C2642" t="s">
        <v>969</v>
      </c>
      <c r="D2642" t="s">
        <v>965</v>
      </c>
      <c r="E2642" t="s">
        <v>542</v>
      </c>
      <c r="F2642" t="s">
        <v>543</v>
      </c>
      <c r="G2642" t="s">
        <v>972</v>
      </c>
      <c r="H2642">
        <v>19</v>
      </c>
      <c r="I2642">
        <v>22.578900000000001</v>
      </c>
      <c r="J2642">
        <v>38.578899999999997</v>
      </c>
      <c r="K2642">
        <v>16</v>
      </c>
      <c r="L2642">
        <v>17</v>
      </c>
      <c r="M2642">
        <v>0</v>
      </c>
      <c r="N2642">
        <v>2</v>
      </c>
      <c r="O2642" t="s">
        <v>127</v>
      </c>
      <c r="P2642" t="s">
        <v>127</v>
      </c>
      <c r="Q2642" t="s">
        <v>127</v>
      </c>
    </row>
    <row r="2643" spans="1:17" x14ac:dyDescent="0.25">
      <c r="A2643" t="str">
        <f>IF(C2643&amp;G2643&amp;D2643&lt;&gt;'Funnel setup'!$K$3&amp;'Funnel setup'!$K$4&amp;'Funnel setup'!$K$6,".",IF(A2642=".",1,A2642+1))</f>
        <v>.</v>
      </c>
      <c r="B2643" s="244" t="str">
        <f t="shared" si="41"/>
        <v>Knee Replacement PrimaryProviderSPIRE FYLDE COAST HOSPITAL (NT347)Oxford Knee Score</v>
      </c>
      <c r="C2643" t="s">
        <v>969</v>
      </c>
      <c r="D2643" t="s">
        <v>965</v>
      </c>
      <c r="E2643" t="s">
        <v>544</v>
      </c>
      <c r="F2643" t="s">
        <v>545</v>
      </c>
      <c r="G2643" t="s">
        <v>972</v>
      </c>
      <c r="H2643">
        <v>27</v>
      </c>
      <c r="I2643">
        <v>22.148099999999999</v>
      </c>
      <c r="J2643">
        <v>36.814799999999998</v>
      </c>
      <c r="K2643">
        <v>14.666700000000001</v>
      </c>
      <c r="L2643">
        <v>26</v>
      </c>
      <c r="M2643">
        <v>0</v>
      </c>
      <c r="N2643">
        <v>1</v>
      </c>
      <c r="O2643" t="s">
        <v>127</v>
      </c>
      <c r="P2643" t="s">
        <v>127</v>
      </c>
      <c r="Q2643" t="s">
        <v>127</v>
      </c>
    </row>
    <row r="2644" spans="1:17" x14ac:dyDescent="0.25">
      <c r="A2644" t="str">
        <f>IF(C2644&amp;G2644&amp;D2644&lt;&gt;'Funnel setup'!$K$3&amp;'Funnel setup'!$K$4&amp;'Funnel setup'!$K$6,".",IF(A2643=".",1,A2643+1))</f>
        <v>.</v>
      </c>
      <c r="B2644" s="244" t="str">
        <f t="shared" si="41"/>
        <v>Knee Replacement PrimaryProviderSPIRE GATWICK PARK HOSPITAL (NT308)Oxford Knee Score</v>
      </c>
      <c r="C2644" t="s">
        <v>969</v>
      </c>
      <c r="D2644" t="s">
        <v>965</v>
      </c>
      <c r="E2644" t="s">
        <v>546</v>
      </c>
      <c r="F2644" t="s">
        <v>547</v>
      </c>
      <c r="G2644" t="s">
        <v>972</v>
      </c>
      <c r="H2644">
        <v>6</v>
      </c>
      <c r="I2644">
        <v>23.5</v>
      </c>
      <c r="J2644">
        <v>36</v>
      </c>
      <c r="K2644">
        <v>12.5</v>
      </c>
      <c r="L2644">
        <v>5</v>
      </c>
      <c r="M2644">
        <v>1</v>
      </c>
      <c r="N2644">
        <v>0</v>
      </c>
      <c r="O2644" t="s">
        <v>127</v>
      </c>
      <c r="P2644" t="s">
        <v>127</v>
      </c>
      <c r="Q2644" t="s">
        <v>127</v>
      </c>
    </row>
    <row r="2645" spans="1:17" x14ac:dyDescent="0.25">
      <c r="A2645" t="str">
        <f>IF(C2645&amp;G2645&amp;D2645&lt;&gt;'Funnel setup'!$K$3&amp;'Funnel setup'!$K$4&amp;'Funnel setup'!$K$6,".",IF(A2644=".",1,A2644+1))</f>
        <v>.</v>
      </c>
      <c r="B2645" s="244" t="str">
        <f t="shared" si="41"/>
        <v>Knee Replacement PrimaryProviderSPIRE HARPENDEN HOSPITAL (NT316)Oxford Knee Score</v>
      </c>
      <c r="C2645" t="s">
        <v>969</v>
      </c>
      <c r="D2645" t="s">
        <v>965</v>
      </c>
      <c r="E2645" t="s">
        <v>548</v>
      </c>
      <c r="F2645" t="s">
        <v>549</v>
      </c>
      <c r="G2645" t="s">
        <v>972</v>
      </c>
      <c r="H2645">
        <v>19</v>
      </c>
      <c r="I2645">
        <v>18.631599999999999</v>
      </c>
      <c r="J2645">
        <v>39.578899999999997</v>
      </c>
      <c r="K2645">
        <v>20.947399999999998</v>
      </c>
      <c r="L2645">
        <v>17</v>
      </c>
      <c r="M2645">
        <v>0</v>
      </c>
      <c r="N2645">
        <v>2</v>
      </c>
      <c r="O2645" t="s">
        <v>127</v>
      </c>
      <c r="P2645" t="s">
        <v>127</v>
      </c>
      <c r="Q2645" t="s">
        <v>127</v>
      </c>
    </row>
    <row r="2646" spans="1:17" x14ac:dyDescent="0.25">
      <c r="A2646" t="str">
        <f>IF(C2646&amp;G2646&amp;D2646&lt;&gt;'Funnel setup'!$K$3&amp;'Funnel setup'!$K$4&amp;'Funnel setup'!$K$6,".",IF(A2645=".",1,A2645+1))</f>
        <v>.</v>
      </c>
      <c r="B2646" s="244" t="str">
        <f t="shared" si="41"/>
        <v>Knee Replacement PrimaryProviderSPIRE HARTSWOOD HOSPITAL (NT319)Oxford Knee Score</v>
      </c>
      <c r="C2646" t="s">
        <v>969</v>
      </c>
      <c r="D2646" t="s">
        <v>965</v>
      </c>
      <c r="E2646" t="s">
        <v>550</v>
      </c>
      <c r="F2646" t="s">
        <v>551</v>
      </c>
      <c r="G2646" t="s">
        <v>972</v>
      </c>
      <c r="H2646">
        <v>12</v>
      </c>
      <c r="I2646">
        <v>20</v>
      </c>
      <c r="J2646">
        <v>37.25</v>
      </c>
      <c r="K2646">
        <v>17.25</v>
      </c>
      <c r="L2646">
        <v>12</v>
      </c>
      <c r="M2646">
        <v>0</v>
      </c>
      <c r="N2646">
        <v>0</v>
      </c>
      <c r="O2646" t="s">
        <v>127</v>
      </c>
      <c r="P2646" t="s">
        <v>127</v>
      </c>
      <c r="Q2646" t="s">
        <v>127</v>
      </c>
    </row>
    <row r="2647" spans="1:17" x14ac:dyDescent="0.25">
      <c r="A2647" t="str">
        <f>IF(C2647&amp;G2647&amp;D2647&lt;&gt;'Funnel setup'!$K$3&amp;'Funnel setup'!$K$4&amp;'Funnel setup'!$K$6,".",IF(A2646=".",1,A2646+1))</f>
        <v>.</v>
      </c>
      <c r="B2647" s="244" t="str">
        <f t="shared" si="41"/>
        <v>Knee Replacement PrimaryProviderSPIRE HULL AND EAST RIDING HOSPITAL (NT351)Oxford Knee Score</v>
      </c>
      <c r="C2647" t="s">
        <v>969</v>
      </c>
      <c r="D2647" t="s">
        <v>965</v>
      </c>
      <c r="E2647" t="s">
        <v>554</v>
      </c>
      <c r="F2647" t="s">
        <v>555</v>
      </c>
      <c r="G2647" t="s">
        <v>972</v>
      </c>
      <c r="H2647">
        <v>38</v>
      </c>
      <c r="I2647">
        <v>20.157900000000001</v>
      </c>
      <c r="J2647">
        <v>38.052599999999998</v>
      </c>
      <c r="K2647">
        <v>17.8947</v>
      </c>
      <c r="L2647">
        <v>38</v>
      </c>
      <c r="M2647">
        <v>0</v>
      </c>
      <c r="N2647">
        <v>0</v>
      </c>
      <c r="O2647">
        <v>37.600099999999998</v>
      </c>
      <c r="P2647">
        <v>18.2118</v>
      </c>
      <c r="Q2647">
        <v>6.3706500000000004</v>
      </c>
    </row>
    <row r="2648" spans="1:17" x14ac:dyDescent="0.25">
      <c r="A2648" t="str">
        <f>IF(C2648&amp;G2648&amp;D2648&lt;&gt;'Funnel setup'!$K$3&amp;'Funnel setup'!$K$4&amp;'Funnel setup'!$K$6,".",IF(A2647=".",1,A2647+1))</f>
        <v>.</v>
      </c>
      <c r="B2648" s="244" t="str">
        <f t="shared" si="41"/>
        <v>Knee Replacement PrimaryProviderSPIRE LEEDS HOSPITAL (NT332)Oxford Knee Score</v>
      </c>
      <c r="C2648" t="s">
        <v>969</v>
      </c>
      <c r="D2648" t="s">
        <v>965</v>
      </c>
      <c r="E2648" t="s">
        <v>556</v>
      </c>
      <c r="F2648" t="s">
        <v>557</v>
      </c>
      <c r="G2648" t="s">
        <v>972</v>
      </c>
      <c r="H2648">
        <v>14</v>
      </c>
      <c r="I2648">
        <v>20.714300000000001</v>
      </c>
      <c r="J2648">
        <v>35.428600000000003</v>
      </c>
      <c r="K2648">
        <v>14.7143</v>
      </c>
      <c r="L2648">
        <v>14</v>
      </c>
      <c r="M2648">
        <v>0</v>
      </c>
      <c r="N2648">
        <v>0</v>
      </c>
      <c r="O2648" t="s">
        <v>127</v>
      </c>
      <c r="P2648" t="s">
        <v>127</v>
      </c>
      <c r="Q2648" t="s">
        <v>127</v>
      </c>
    </row>
    <row r="2649" spans="1:17" x14ac:dyDescent="0.25">
      <c r="A2649" t="str">
        <f>IF(C2649&amp;G2649&amp;D2649&lt;&gt;'Funnel setup'!$K$3&amp;'Funnel setup'!$K$4&amp;'Funnel setup'!$K$6,".",IF(A2648=".",1,A2648+1))</f>
        <v>.</v>
      </c>
      <c r="B2649" s="244" t="str">
        <f t="shared" si="41"/>
        <v>Knee Replacement PrimaryProviderSPIRE LEICESTER HOSPITAL (NT322)Oxford Knee Score</v>
      </c>
      <c r="C2649" t="s">
        <v>969</v>
      </c>
      <c r="D2649" t="s">
        <v>965</v>
      </c>
      <c r="E2649" t="s">
        <v>558</v>
      </c>
      <c r="F2649" t="s">
        <v>559</v>
      </c>
      <c r="G2649" t="s">
        <v>972</v>
      </c>
      <c r="H2649">
        <v>58</v>
      </c>
      <c r="I2649">
        <v>18.810300000000002</v>
      </c>
      <c r="J2649">
        <v>37.7241</v>
      </c>
      <c r="K2649">
        <v>18.913799999999998</v>
      </c>
      <c r="L2649">
        <v>57</v>
      </c>
      <c r="M2649">
        <v>1</v>
      </c>
      <c r="N2649">
        <v>0</v>
      </c>
      <c r="O2649">
        <v>37.2881</v>
      </c>
      <c r="P2649">
        <v>17.899699999999999</v>
      </c>
      <c r="Q2649">
        <v>6.5534299999999996</v>
      </c>
    </row>
    <row r="2650" spans="1:17" x14ac:dyDescent="0.25">
      <c r="A2650" t="str">
        <f>IF(C2650&amp;G2650&amp;D2650&lt;&gt;'Funnel setup'!$K$3&amp;'Funnel setup'!$K$4&amp;'Funnel setup'!$K$6,".",IF(A2649=".",1,A2649+1))</f>
        <v>.</v>
      </c>
      <c r="B2650" s="244" t="str">
        <f t="shared" si="41"/>
        <v>Knee Replacement PrimaryProviderSPIRE LITTLE ASTON HOSPITAL (NT321)Oxford Knee Score</v>
      </c>
      <c r="C2650" t="s">
        <v>969</v>
      </c>
      <c r="D2650" t="s">
        <v>965</v>
      </c>
      <c r="E2650" t="s">
        <v>560</v>
      </c>
      <c r="F2650" t="s">
        <v>561</v>
      </c>
      <c r="G2650" t="s">
        <v>972</v>
      </c>
      <c r="H2650">
        <v>21</v>
      </c>
      <c r="I2650">
        <v>20.714300000000001</v>
      </c>
      <c r="J2650">
        <v>37.095199999999998</v>
      </c>
      <c r="K2650">
        <v>16.381</v>
      </c>
      <c r="L2650">
        <v>20</v>
      </c>
      <c r="M2650">
        <v>0</v>
      </c>
      <c r="N2650">
        <v>1</v>
      </c>
      <c r="O2650" t="s">
        <v>127</v>
      </c>
      <c r="P2650" t="s">
        <v>127</v>
      </c>
      <c r="Q2650" t="s">
        <v>127</v>
      </c>
    </row>
    <row r="2651" spans="1:17" x14ac:dyDescent="0.25">
      <c r="A2651" t="str">
        <f>IF(C2651&amp;G2651&amp;D2651&lt;&gt;'Funnel setup'!$K$3&amp;'Funnel setup'!$K$4&amp;'Funnel setup'!$K$6,".",IF(A2650=".",1,A2650+1))</f>
        <v>.</v>
      </c>
      <c r="B2651" s="244" t="str">
        <f t="shared" si="41"/>
        <v>Knee Replacement PrimaryProviderSPIRE LIVERPOOL HOSPITAL (NT337)Oxford Knee Score</v>
      </c>
      <c r="C2651" t="s">
        <v>969</v>
      </c>
      <c r="D2651" t="s">
        <v>965</v>
      </c>
      <c r="E2651" t="s">
        <v>562</v>
      </c>
      <c r="F2651" t="s">
        <v>563</v>
      </c>
      <c r="G2651" t="s">
        <v>972</v>
      </c>
      <c r="H2651">
        <v>13</v>
      </c>
      <c r="I2651">
        <v>16.538499999999999</v>
      </c>
      <c r="J2651">
        <v>31.384599999999999</v>
      </c>
      <c r="K2651">
        <v>14.8462</v>
      </c>
      <c r="L2651">
        <v>13</v>
      </c>
      <c r="M2651">
        <v>0</v>
      </c>
      <c r="N2651">
        <v>0</v>
      </c>
      <c r="O2651" t="s">
        <v>127</v>
      </c>
      <c r="P2651" t="s">
        <v>127</v>
      </c>
      <c r="Q2651" t="s">
        <v>127</v>
      </c>
    </row>
    <row r="2652" spans="1:17" x14ac:dyDescent="0.25">
      <c r="A2652" t="str">
        <f>IF(C2652&amp;G2652&amp;D2652&lt;&gt;'Funnel setup'!$K$3&amp;'Funnel setup'!$K$4&amp;'Funnel setup'!$K$6,".",IF(A2651=".",1,A2651+1))</f>
        <v>.</v>
      </c>
      <c r="B2652" s="244" t="str">
        <f t="shared" si="41"/>
        <v>Knee Replacement PrimaryProviderSPIRE MANCHESTER HOSPITAL (NT327)Oxford Knee Score</v>
      </c>
      <c r="C2652" t="s">
        <v>969</v>
      </c>
      <c r="D2652" t="s">
        <v>965</v>
      </c>
      <c r="E2652" t="s">
        <v>566</v>
      </c>
      <c r="F2652" t="s">
        <v>567</v>
      </c>
      <c r="G2652" t="s">
        <v>972</v>
      </c>
      <c r="H2652">
        <v>37</v>
      </c>
      <c r="I2652">
        <v>18.081099999999999</v>
      </c>
      <c r="J2652">
        <v>34.351399999999998</v>
      </c>
      <c r="K2652">
        <v>16.270299999999999</v>
      </c>
      <c r="L2652">
        <v>34</v>
      </c>
      <c r="M2652">
        <v>0</v>
      </c>
      <c r="N2652">
        <v>3</v>
      </c>
      <c r="O2652">
        <v>34.7911</v>
      </c>
      <c r="P2652">
        <v>15.402799999999999</v>
      </c>
      <c r="Q2652">
        <v>8.7810299999999994</v>
      </c>
    </row>
    <row r="2653" spans="1:17" x14ac:dyDescent="0.25">
      <c r="A2653" t="str">
        <f>IF(C2653&amp;G2653&amp;D2653&lt;&gt;'Funnel setup'!$K$3&amp;'Funnel setup'!$K$4&amp;'Funnel setup'!$K$6,".",IF(A2652=".",1,A2652+1))</f>
        <v>.</v>
      </c>
      <c r="B2653" s="244" t="str">
        <f t="shared" si="41"/>
        <v>Knee Replacement PrimaryProviderSPIRE METHLEY PARK HOSPITAL (NT350)Oxford Knee Score</v>
      </c>
      <c r="C2653" t="s">
        <v>969</v>
      </c>
      <c r="D2653" t="s">
        <v>965</v>
      </c>
      <c r="E2653" t="s">
        <v>568</v>
      </c>
      <c r="F2653" t="s">
        <v>569</v>
      </c>
      <c r="G2653" t="s">
        <v>972</v>
      </c>
      <c r="H2653">
        <v>32</v>
      </c>
      <c r="I2653">
        <v>22.5</v>
      </c>
      <c r="J2653">
        <v>38.406300000000002</v>
      </c>
      <c r="K2653">
        <v>15.9063</v>
      </c>
      <c r="L2653">
        <v>29</v>
      </c>
      <c r="M2653">
        <v>0</v>
      </c>
      <c r="N2653">
        <v>3</v>
      </c>
      <c r="O2653">
        <v>36.046700000000001</v>
      </c>
      <c r="P2653">
        <v>16.6584</v>
      </c>
      <c r="Q2653">
        <v>6.6177900000000003</v>
      </c>
    </row>
    <row r="2654" spans="1:17" x14ac:dyDescent="0.25">
      <c r="A2654" t="str">
        <f>IF(C2654&amp;G2654&amp;D2654&lt;&gt;'Funnel setup'!$K$3&amp;'Funnel setup'!$K$4&amp;'Funnel setup'!$K$6,".",IF(A2653=".",1,A2653+1))</f>
        <v>.</v>
      </c>
      <c r="B2654" s="244" t="str">
        <f t="shared" si="41"/>
        <v>Knee Replacement PrimaryProviderSPIRE MONTEFIORE HOSPITAL (NT364)Oxford Knee Score</v>
      </c>
      <c r="C2654" t="s">
        <v>969</v>
      </c>
      <c r="D2654" t="s">
        <v>965</v>
      </c>
      <c r="E2654" t="s">
        <v>570</v>
      </c>
      <c r="F2654" t="s">
        <v>571</v>
      </c>
      <c r="G2654" t="s">
        <v>972</v>
      </c>
      <c r="H2654">
        <v>10</v>
      </c>
      <c r="I2654">
        <v>24.2</v>
      </c>
      <c r="J2654">
        <v>39.700000000000003</v>
      </c>
      <c r="K2654">
        <v>15.5</v>
      </c>
      <c r="L2654">
        <v>9</v>
      </c>
      <c r="M2654">
        <v>1</v>
      </c>
      <c r="N2654">
        <v>0</v>
      </c>
      <c r="O2654" t="s">
        <v>127</v>
      </c>
      <c r="P2654" t="s">
        <v>127</v>
      </c>
      <c r="Q2654" t="s">
        <v>127</v>
      </c>
    </row>
    <row r="2655" spans="1:17" x14ac:dyDescent="0.25">
      <c r="A2655" t="str">
        <f>IF(C2655&amp;G2655&amp;D2655&lt;&gt;'Funnel setup'!$K$3&amp;'Funnel setup'!$K$4&amp;'Funnel setup'!$K$6,".",IF(A2654=".",1,A2654+1))</f>
        <v>.</v>
      </c>
      <c r="B2655" s="244" t="str">
        <f t="shared" si="41"/>
        <v>Knee Replacement PrimaryProviderSPIRE MURRAYFIELD HOSPITAL (NT325)Oxford Knee Score</v>
      </c>
      <c r="C2655" t="s">
        <v>969</v>
      </c>
      <c r="D2655" t="s">
        <v>965</v>
      </c>
      <c r="E2655" t="s">
        <v>572</v>
      </c>
      <c r="F2655" t="s">
        <v>573</v>
      </c>
      <c r="G2655" t="s">
        <v>972</v>
      </c>
      <c r="H2655">
        <v>3</v>
      </c>
      <c r="I2655">
        <v>18</v>
      </c>
      <c r="J2655">
        <v>44.666699999999999</v>
      </c>
      <c r="K2655">
        <v>26.666699999999999</v>
      </c>
      <c r="L2655">
        <v>3</v>
      </c>
      <c r="M2655">
        <v>0</v>
      </c>
      <c r="N2655">
        <v>0</v>
      </c>
      <c r="O2655" t="s">
        <v>127</v>
      </c>
      <c r="P2655" t="s">
        <v>127</v>
      </c>
      <c r="Q2655" t="s">
        <v>127</v>
      </c>
    </row>
    <row r="2656" spans="1:17" x14ac:dyDescent="0.25">
      <c r="A2656" t="str">
        <f>IF(C2656&amp;G2656&amp;D2656&lt;&gt;'Funnel setup'!$K$3&amp;'Funnel setup'!$K$4&amp;'Funnel setup'!$K$6,".",IF(A2655=".",1,A2655+1))</f>
        <v>.</v>
      </c>
      <c r="B2656" s="244" t="str">
        <f t="shared" si="41"/>
        <v>Knee Replacement PrimaryProviderSPIRE NOTTINGHAM HOSPITAL (NT30A)Oxford Knee Score</v>
      </c>
      <c r="C2656" t="s">
        <v>969</v>
      </c>
      <c r="D2656" t="s">
        <v>965</v>
      </c>
      <c r="E2656" t="s">
        <v>576</v>
      </c>
      <c r="F2656" t="s">
        <v>577</v>
      </c>
      <c r="G2656" t="s">
        <v>972</v>
      </c>
      <c r="H2656">
        <v>10</v>
      </c>
      <c r="I2656">
        <v>20.8</v>
      </c>
      <c r="J2656">
        <v>40</v>
      </c>
      <c r="K2656">
        <v>19.2</v>
      </c>
      <c r="L2656">
        <v>10</v>
      </c>
      <c r="M2656">
        <v>0</v>
      </c>
      <c r="N2656">
        <v>0</v>
      </c>
      <c r="O2656" t="s">
        <v>127</v>
      </c>
      <c r="P2656" t="s">
        <v>127</v>
      </c>
      <c r="Q2656" t="s">
        <v>127</v>
      </c>
    </row>
    <row r="2657" spans="1:17" x14ac:dyDescent="0.25">
      <c r="A2657" t="str">
        <f>IF(C2657&amp;G2657&amp;D2657&lt;&gt;'Funnel setup'!$K$3&amp;'Funnel setup'!$K$4&amp;'Funnel setup'!$K$6,".",IF(A2656=".",1,A2656+1))</f>
        <v>.</v>
      </c>
      <c r="B2657" s="244" t="str">
        <f t="shared" si="41"/>
        <v>Knee Replacement PrimaryProviderSPIRE PARKWAY HOSPITAL (NT320)Oxford Knee Score</v>
      </c>
      <c r="C2657" t="s">
        <v>969</v>
      </c>
      <c r="D2657" t="s">
        <v>965</v>
      </c>
      <c r="E2657" t="s">
        <v>578</v>
      </c>
      <c r="F2657" t="s">
        <v>579</v>
      </c>
      <c r="G2657" t="s">
        <v>972</v>
      </c>
      <c r="H2657">
        <v>16</v>
      </c>
      <c r="I2657">
        <v>22.3125</v>
      </c>
      <c r="J2657">
        <v>34.125</v>
      </c>
      <c r="K2657">
        <v>11.8125</v>
      </c>
      <c r="L2657">
        <v>15</v>
      </c>
      <c r="M2657">
        <v>0</v>
      </c>
      <c r="N2657">
        <v>1</v>
      </c>
      <c r="O2657" t="s">
        <v>127</v>
      </c>
      <c r="P2657" t="s">
        <v>127</v>
      </c>
      <c r="Q2657" t="s">
        <v>127</v>
      </c>
    </row>
    <row r="2658" spans="1:17" x14ac:dyDescent="0.25">
      <c r="A2658" t="str">
        <f>IF(C2658&amp;G2658&amp;D2658&lt;&gt;'Funnel setup'!$K$3&amp;'Funnel setup'!$K$4&amp;'Funnel setup'!$K$6,".",IF(A2657=".",1,A2657+1))</f>
        <v>.</v>
      </c>
      <c r="B2658" s="244" t="str">
        <f t="shared" si="41"/>
        <v>Knee Replacement PrimaryProviderSPIRE PORTSMOUTH HOSPITAL (NT305)Oxford Knee Score</v>
      </c>
      <c r="C2658" t="s">
        <v>969</v>
      </c>
      <c r="D2658" t="s">
        <v>965</v>
      </c>
      <c r="E2658" t="s">
        <v>580</v>
      </c>
      <c r="F2658" t="s">
        <v>581</v>
      </c>
      <c r="G2658" t="s">
        <v>972</v>
      </c>
      <c r="H2658">
        <v>15</v>
      </c>
      <c r="I2658">
        <v>21</v>
      </c>
      <c r="J2658">
        <v>37.333300000000001</v>
      </c>
      <c r="K2658">
        <v>16.333300000000001</v>
      </c>
      <c r="L2658">
        <v>15</v>
      </c>
      <c r="M2658">
        <v>0</v>
      </c>
      <c r="N2658">
        <v>0</v>
      </c>
      <c r="O2658" t="s">
        <v>127</v>
      </c>
      <c r="P2658" t="s">
        <v>127</v>
      </c>
      <c r="Q2658" t="s">
        <v>127</v>
      </c>
    </row>
    <row r="2659" spans="1:17" x14ac:dyDescent="0.25">
      <c r="A2659" t="str">
        <f>IF(C2659&amp;G2659&amp;D2659&lt;&gt;'Funnel setup'!$K$3&amp;'Funnel setup'!$K$4&amp;'Funnel setup'!$K$6,".",IF(A2658=".",1,A2658+1))</f>
        <v>.</v>
      </c>
      <c r="B2659" s="244" t="str">
        <f t="shared" si="41"/>
        <v>Knee Replacement PrimaryProviderSPIRE REGENCY HOSPITAL (NT339)Oxford Knee Score</v>
      </c>
      <c r="C2659" t="s">
        <v>969</v>
      </c>
      <c r="D2659" t="s">
        <v>965</v>
      </c>
      <c r="E2659" t="s">
        <v>582</v>
      </c>
      <c r="F2659" t="s">
        <v>583</v>
      </c>
      <c r="G2659" t="s">
        <v>972</v>
      </c>
      <c r="H2659">
        <v>43</v>
      </c>
      <c r="I2659">
        <v>21.395299999999999</v>
      </c>
      <c r="J2659">
        <v>37.604700000000001</v>
      </c>
      <c r="K2659">
        <v>16.209299999999999</v>
      </c>
      <c r="L2659">
        <v>43</v>
      </c>
      <c r="M2659">
        <v>0</v>
      </c>
      <c r="N2659">
        <v>0</v>
      </c>
      <c r="O2659">
        <v>35.911000000000001</v>
      </c>
      <c r="P2659">
        <v>16.522600000000001</v>
      </c>
      <c r="Q2659">
        <v>7.2516800000000003</v>
      </c>
    </row>
    <row r="2660" spans="1:17" x14ac:dyDescent="0.25">
      <c r="A2660" t="str">
        <f>IF(C2660&amp;G2660&amp;D2660&lt;&gt;'Funnel setup'!$K$3&amp;'Funnel setup'!$K$4&amp;'Funnel setup'!$K$6,".",IF(A2659=".",1,A2659+1))</f>
        <v>.</v>
      </c>
      <c r="B2660" s="244" t="str">
        <f t="shared" si="41"/>
        <v>Knee Replacement PrimaryProviderSPIRE SOUTHAMPTON HOSPITAL (NT304)Oxford Knee Score</v>
      </c>
      <c r="C2660" t="s">
        <v>969</v>
      </c>
      <c r="D2660" t="s">
        <v>965</v>
      </c>
      <c r="E2660" t="s">
        <v>586</v>
      </c>
      <c r="F2660" t="s">
        <v>587</v>
      </c>
      <c r="G2660" t="s">
        <v>972</v>
      </c>
      <c r="H2660">
        <v>20</v>
      </c>
      <c r="I2660">
        <v>21.95</v>
      </c>
      <c r="J2660">
        <v>38</v>
      </c>
      <c r="K2660">
        <v>16.05</v>
      </c>
      <c r="L2660">
        <v>19</v>
      </c>
      <c r="M2660">
        <v>1</v>
      </c>
      <c r="N2660">
        <v>0</v>
      </c>
      <c r="O2660" t="s">
        <v>127</v>
      </c>
      <c r="P2660" t="s">
        <v>127</v>
      </c>
      <c r="Q2660" t="s">
        <v>127</v>
      </c>
    </row>
    <row r="2661" spans="1:17" x14ac:dyDescent="0.25">
      <c r="A2661" t="str">
        <f>IF(C2661&amp;G2661&amp;D2661&lt;&gt;'Funnel setup'!$K$3&amp;'Funnel setup'!$K$4&amp;'Funnel setup'!$K$6,".",IF(A2660=".",1,A2660+1))</f>
        <v>.</v>
      </c>
      <c r="B2661" s="244" t="str">
        <f t="shared" si="41"/>
        <v>Knee Replacement PrimaryProviderSPIRE ST ANTHONY'S HOSPITAL (NT3X3)Oxford Knee Score</v>
      </c>
      <c r="C2661" t="s">
        <v>969</v>
      </c>
      <c r="D2661" t="s">
        <v>965</v>
      </c>
      <c r="E2661" t="s">
        <v>588</v>
      </c>
      <c r="F2661" t="s">
        <v>589</v>
      </c>
      <c r="G2661" t="s">
        <v>972</v>
      </c>
      <c r="H2661">
        <v>4</v>
      </c>
      <c r="I2661">
        <v>25.75</v>
      </c>
      <c r="J2661">
        <v>34</v>
      </c>
      <c r="K2661">
        <v>8.25</v>
      </c>
      <c r="L2661">
        <v>3</v>
      </c>
      <c r="M2661">
        <v>0</v>
      </c>
      <c r="N2661">
        <v>1</v>
      </c>
      <c r="O2661" t="s">
        <v>127</v>
      </c>
      <c r="P2661" t="s">
        <v>127</v>
      </c>
      <c r="Q2661" t="s">
        <v>127</v>
      </c>
    </row>
    <row r="2662" spans="1:17" x14ac:dyDescent="0.25">
      <c r="A2662" t="str">
        <f>IF(C2662&amp;G2662&amp;D2662&lt;&gt;'Funnel setup'!$K$3&amp;'Funnel setup'!$K$4&amp;'Funnel setup'!$K$6,".",IF(A2661=".",1,A2661+1))</f>
        <v>.</v>
      </c>
      <c r="B2662" s="244" t="str">
        <f t="shared" si="41"/>
        <v>Knee Replacement PrimaryProviderSPIRE SUSSEX HOSPITAL (NT309)Oxford Knee Score</v>
      </c>
      <c r="C2662" t="s">
        <v>969</v>
      </c>
      <c r="D2662" t="s">
        <v>965</v>
      </c>
      <c r="E2662" t="s">
        <v>590</v>
      </c>
      <c r="F2662" t="s">
        <v>591</v>
      </c>
      <c r="G2662" t="s">
        <v>972</v>
      </c>
      <c r="H2662">
        <v>24</v>
      </c>
      <c r="I2662">
        <v>22.958300000000001</v>
      </c>
      <c r="J2662">
        <v>37.583300000000001</v>
      </c>
      <c r="K2662">
        <v>14.625</v>
      </c>
      <c r="L2662">
        <v>24</v>
      </c>
      <c r="M2662">
        <v>0</v>
      </c>
      <c r="N2662">
        <v>0</v>
      </c>
      <c r="O2662" t="s">
        <v>127</v>
      </c>
      <c r="P2662" t="s">
        <v>127</v>
      </c>
      <c r="Q2662" t="s">
        <v>127</v>
      </c>
    </row>
    <row r="2663" spans="1:17" x14ac:dyDescent="0.25">
      <c r="A2663" t="str">
        <f>IF(C2663&amp;G2663&amp;D2663&lt;&gt;'Funnel setup'!$K$3&amp;'Funnel setup'!$K$4&amp;'Funnel setup'!$K$6,".",IF(A2662=".",1,A2662+1))</f>
        <v>.</v>
      </c>
      <c r="B2663" s="244" t="str">
        <f t="shared" si="41"/>
        <v>Knee Replacement PrimaryProviderSPIRE THAMES VALLEY HOSPITAL (NT343)Oxford Knee Score</v>
      </c>
      <c r="C2663" t="s">
        <v>969</v>
      </c>
      <c r="D2663" t="s">
        <v>965</v>
      </c>
      <c r="E2663" t="s">
        <v>592</v>
      </c>
      <c r="F2663" t="s">
        <v>593</v>
      </c>
      <c r="G2663" t="s">
        <v>972</v>
      </c>
      <c r="H2663">
        <v>1</v>
      </c>
      <c r="I2663">
        <v>23</v>
      </c>
      <c r="J2663">
        <v>43</v>
      </c>
      <c r="K2663">
        <v>20</v>
      </c>
      <c r="L2663">
        <v>1</v>
      </c>
      <c r="M2663">
        <v>0</v>
      </c>
      <c r="N2663">
        <v>0</v>
      </c>
      <c r="O2663" t="s">
        <v>127</v>
      </c>
      <c r="P2663" t="s">
        <v>127</v>
      </c>
      <c r="Q2663" t="s">
        <v>127</v>
      </c>
    </row>
    <row r="2664" spans="1:17" x14ac:dyDescent="0.25">
      <c r="A2664" t="str">
        <f>IF(C2664&amp;G2664&amp;D2664&lt;&gt;'Funnel setup'!$K$3&amp;'Funnel setup'!$K$4&amp;'Funnel setup'!$K$6,".",IF(A2663=".",1,A2663+1))</f>
        <v>.</v>
      </c>
      <c r="B2664" s="244" t="str">
        <f t="shared" si="41"/>
        <v>Knee Replacement PrimaryProviderSPIRE TUNBRIDGE WELLS HOSPITAL (NT310)Oxford Knee Score</v>
      </c>
      <c r="C2664" t="s">
        <v>969</v>
      </c>
      <c r="D2664" t="s">
        <v>965</v>
      </c>
      <c r="E2664" t="s">
        <v>594</v>
      </c>
      <c r="F2664" t="s">
        <v>595</v>
      </c>
      <c r="G2664" t="s">
        <v>972</v>
      </c>
      <c r="H2664">
        <v>1</v>
      </c>
      <c r="I2664">
        <v>24</v>
      </c>
      <c r="J2664">
        <v>43</v>
      </c>
      <c r="K2664">
        <v>19</v>
      </c>
      <c r="L2664">
        <v>1</v>
      </c>
      <c r="M2664">
        <v>0</v>
      </c>
      <c r="N2664">
        <v>0</v>
      </c>
      <c r="O2664" t="s">
        <v>127</v>
      </c>
      <c r="P2664" t="s">
        <v>127</v>
      </c>
      <c r="Q2664" t="s">
        <v>127</v>
      </c>
    </row>
    <row r="2665" spans="1:17" x14ac:dyDescent="0.25">
      <c r="A2665" t="str">
        <f>IF(C2665&amp;G2665&amp;D2665&lt;&gt;'Funnel setup'!$K$3&amp;'Funnel setup'!$K$4&amp;'Funnel setup'!$K$6,".",IF(A2664=".",1,A2664+1))</f>
        <v>.</v>
      </c>
      <c r="B2665" s="244" t="str">
        <f t="shared" si="41"/>
        <v>Knee Replacement PrimaryProviderSPIRE WASHINGTON HOSPITAL (NT333)Oxford Knee Score</v>
      </c>
      <c r="C2665" t="s">
        <v>969</v>
      </c>
      <c r="D2665" t="s">
        <v>965</v>
      </c>
      <c r="E2665" t="s">
        <v>596</v>
      </c>
      <c r="F2665" t="s">
        <v>597</v>
      </c>
      <c r="G2665" t="s">
        <v>972</v>
      </c>
      <c r="H2665">
        <v>101</v>
      </c>
      <c r="I2665">
        <v>18.049499999999998</v>
      </c>
      <c r="J2665">
        <v>36.980200000000004</v>
      </c>
      <c r="K2665">
        <v>18.930700000000002</v>
      </c>
      <c r="L2665">
        <v>97</v>
      </c>
      <c r="M2665">
        <v>2</v>
      </c>
      <c r="N2665">
        <v>2</v>
      </c>
      <c r="O2665">
        <v>37.391399999999997</v>
      </c>
      <c r="P2665">
        <v>18.0031</v>
      </c>
      <c r="Q2665">
        <v>7.7603099999999996</v>
      </c>
    </row>
    <row r="2666" spans="1:17" x14ac:dyDescent="0.25">
      <c r="A2666" t="str">
        <f>IF(C2666&amp;G2666&amp;D2666&lt;&gt;'Funnel setup'!$K$3&amp;'Funnel setup'!$K$4&amp;'Funnel setup'!$K$6,".",IF(A2665=".",1,A2665+1))</f>
        <v>.</v>
      </c>
      <c r="B2666" s="244" t="str">
        <f t="shared" si="41"/>
        <v>Knee Replacement PrimaryProviderSPRINGFIELD HOSPITAL (NVC18)Oxford Knee Score</v>
      </c>
      <c r="C2666" t="s">
        <v>969</v>
      </c>
      <c r="D2666" t="s">
        <v>965</v>
      </c>
      <c r="E2666" t="s">
        <v>602</v>
      </c>
      <c r="F2666" t="s">
        <v>603</v>
      </c>
      <c r="G2666" t="s">
        <v>972</v>
      </c>
      <c r="H2666">
        <v>96</v>
      </c>
      <c r="I2666">
        <v>19.510400000000001</v>
      </c>
      <c r="J2666">
        <v>39.3125</v>
      </c>
      <c r="K2666">
        <v>19.802099999999999</v>
      </c>
      <c r="L2666">
        <v>93</v>
      </c>
      <c r="M2666">
        <v>0</v>
      </c>
      <c r="N2666">
        <v>3</v>
      </c>
      <c r="O2666">
        <v>38.228400000000001</v>
      </c>
      <c r="P2666">
        <v>18.8401</v>
      </c>
      <c r="Q2666">
        <v>8.2475799999999992</v>
      </c>
    </row>
    <row r="2667" spans="1:17" x14ac:dyDescent="0.25">
      <c r="A2667" t="str">
        <f>IF(C2667&amp;G2667&amp;D2667&lt;&gt;'Funnel setup'!$K$3&amp;'Funnel setup'!$K$4&amp;'Funnel setup'!$K$6,".",IF(A2666=".",1,A2666+1))</f>
        <v>.</v>
      </c>
      <c r="B2667" s="244" t="str">
        <f t="shared" si="41"/>
        <v>Knee Replacement PrimaryProviderST EDMUNDS HOSPITAL (NT446)Oxford Knee Score</v>
      </c>
      <c r="C2667" t="s">
        <v>969</v>
      </c>
      <c r="D2667" t="s">
        <v>965</v>
      </c>
      <c r="E2667" t="s">
        <v>604</v>
      </c>
      <c r="F2667" t="s">
        <v>605</v>
      </c>
      <c r="G2667" t="s">
        <v>972</v>
      </c>
      <c r="H2667">
        <v>29</v>
      </c>
      <c r="I2667">
        <v>18.793099999999999</v>
      </c>
      <c r="J2667">
        <v>39.172400000000003</v>
      </c>
      <c r="K2667">
        <v>20.379300000000001</v>
      </c>
      <c r="L2667">
        <v>27</v>
      </c>
      <c r="M2667">
        <v>1</v>
      </c>
      <c r="N2667">
        <v>1</v>
      </c>
      <c r="O2667" t="s">
        <v>127</v>
      </c>
      <c r="P2667" t="s">
        <v>127</v>
      </c>
      <c r="Q2667" t="s">
        <v>127</v>
      </c>
    </row>
    <row r="2668" spans="1:17" x14ac:dyDescent="0.25">
      <c r="A2668" t="str">
        <f>IF(C2668&amp;G2668&amp;D2668&lt;&gt;'Funnel setup'!$K$3&amp;'Funnel setup'!$K$4&amp;'Funnel setup'!$K$6,".",IF(A2667=".",1,A2667+1))</f>
        <v>.</v>
      </c>
      <c r="B2668" s="244" t="str">
        <f t="shared" si="41"/>
        <v>Knee Replacement PrimaryProviderST HELENS AND KNOWSLEY TEACHING HOSPITALS NHS TRUST (RBN)Oxford Knee Score</v>
      </c>
      <c r="C2668" t="s">
        <v>969</v>
      </c>
      <c r="D2668" t="s">
        <v>965</v>
      </c>
      <c r="E2668" t="s">
        <v>608</v>
      </c>
      <c r="F2668" t="s">
        <v>609</v>
      </c>
      <c r="G2668" t="s">
        <v>972</v>
      </c>
      <c r="H2668">
        <v>75</v>
      </c>
      <c r="I2668">
        <v>17.013300000000001</v>
      </c>
      <c r="J2668">
        <v>36.24</v>
      </c>
      <c r="K2668">
        <v>19.226700000000001</v>
      </c>
      <c r="L2668">
        <v>73</v>
      </c>
      <c r="M2668">
        <v>0</v>
      </c>
      <c r="N2668">
        <v>2</v>
      </c>
      <c r="O2668">
        <v>38.262099999999997</v>
      </c>
      <c r="P2668">
        <v>18.873799999999999</v>
      </c>
      <c r="Q2668">
        <v>9.0781100000000006</v>
      </c>
    </row>
    <row r="2669" spans="1:17" x14ac:dyDescent="0.25">
      <c r="A2669" t="str">
        <f>IF(C2669&amp;G2669&amp;D2669&lt;&gt;'Funnel setup'!$K$3&amp;'Funnel setup'!$K$4&amp;'Funnel setup'!$K$6,".",IF(A2668=".",1,A2668+1))</f>
        <v>.</v>
      </c>
      <c r="B2669" s="244" t="str">
        <f t="shared" si="41"/>
        <v>Knee Replacement PrimaryProviderST HUGH'S HOSPITAL (NTE02)Oxford Knee Score</v>
      </c>
      <c r="C2669" t="s">
        <v>969</v>
      </c>
      <c r="D2669" t="s">
        <v>965</v>
      </c>
      <c r="E2669" t="s">
        <v>610</v>
      </c>
      <c r="F2669" t="s">
        <v>611</v>
      </c>
      <c r="G2669" t="s">
        <v>972</v>
      </c>
      <c r="H2669">
        <v>127</v>
      </c>
      <c r="I2669">
        <v>21.559100000000001</v>
      </c>
      <c r="J2669">
        <v>38.181100000000001</v>
      </c>
      <c r="K2669">
        <v>16.622</v>
      </c>
      <c r="L2669">
        <v>123</v>
      </c>
      <c r="M2669">
        <v>2</v>
      </c>
      <c r="N2669">
        <v>2</v>
      </c>
      <c r="O2669">
        <v>36.884700000000002</v>
      </c>
      <c r="P2669">
        <v>17.496400000000001</v>
      </c>
      <c r="Q2669">
        <v>7.1163699999999999</v>
      </c>
    </row>
    <row r="2670" spans="1:17" x14ac:dyDescent="0.25">
      <c r="A2670" t="str">
        <f>IF(C2670&amp;G2670&amp;D2670&lt;&gt;'Funnel setup'!$K$3&amp;'Funnel setup'!$K$4&amp;'Funnel setup'!$K$6,".",IF(A2669=".",1,A2669+1))</f>
        <v>.</v>
      </c>
      <c r="B2670" s="244" t="str">
        <f t="shared" si="41"/>
        <v>Knee Replacement PrimaryProviderSTOCKPORT NHS FOUNDATION TRUST (RWJ)Oxford Knee Score</v>
      </c>
      <c r="C2670" t="s">
        <v>969</v>
      </c>
      <c r="D2670" t="s">
        <v>965</v>
      </c>
      <c r="E2670" t="s">
        <v>614</v>
      </c>
      <c r="F2670" t="s">
        <v>615</v>
      </c>
      <c r="G2670" t="s">
        <v>972</v>
      </c>
      <c r="H2670">
        <v>27</v>
      </c>
      <c r="I2670">
        <v>20.222200000000001</v>
      </c>
      <c r="J2670">
        <v>40.370399999999997</v>
      </c>
      <c r="K2670">
        <v>20.148099999999999</v>
      </c>
      <c r="L2670">
        <v>26</v>
      </c>
      <c r="M2670">
        <v>0</v>
      </c>
      <c r="N2670">
        <v>1</v>
      </c>
      <c r="O2670" t="s">
        <v>127</v>
      </c>
      <c r="P2670" t="s">
        <v>127</v>
      </c>
      <c r="Q2670" t="s">
        <v>127</v>
      </c>
    </row>
    <row r="2671" spans="1:17" x14ac:dyDescent="0.25">
      <c r="A2671" t="str">
        <f>IF(C2671&amp;G2671&amp;D2671&lt;&gt;'Funnel setup'!$K$3&amp;'Funnel setup'!$K$4&amp;'Funnel setup'!$K$6,".",IF(A2670=".",1,A2670+1))</f>
        <v>.</v>
      </c>
      <c r="B2671" s="244" t="str">
        <f t="shared" si="41"/>
        <v>Knee Replacement PrimaryProviderSURREY AND SUSSEX HEALTHCARE NHS TRUST (RTP)Oxford Knee Score</v>
      </c>
      <c r="C2671" t="s">
        <v>969</v>
      </c>
      <c r="D2671" t="s">
        <v>965</v>
      </c>
      <c r="E2671" t="s">
        <v>618</v>
      </c>
      <c r="F2671" t="s">
        <v>619</v>
      </c>
      <c r="G2671" t="s">
        <v>972</v>
      </c>
      <c r="H2671">
        <v>33</v>
      </c>
      <c r="I2671">
        <v>17.393899999999999</v>
      </c>
      <c r="J2671">
        <v>35.181800000000003</v>
      </c>
      <c r="K2671">
        <v>17.7879</v>
      </c>
      <c r="L2671">
        <v>30</v>
      </c>
      <c r="M2671">
        <v>0</v>
      </c>
      <c r="N2671">
        <v>3</v>
      </c>
      <c r="O2671">
        <v>35.850999999999999</v>
      </c>
      <c r="P2671">
        <v>16.462599999999998</v>
      </c>
      <c r="Q2671">
        <v>7.1477399999999998</v>
      </c>
    </row>
    <row r="2672" spans="1:17" x14ac:dyDescent="0.25">
      <c r="A2672" t="str">
        <f>IF(C2672&amp;G2672&amp;D2672&lt;&gt;'Funnel setup'!$K$3&amp;'Funnel setup'!$K$4&amp;'Funnel setup'!$K$6,".",IF(A2671=".",1,A2671+1))</f>
        <v>.</v>
      </c>
      <c r="B2672" s="244" t="str">
        <f t="shared" si="41"/>
        <v>Knee Replacement PrimaryProviderTEES VALLEY HOSPITAL (NVC0R)Oxford Knee Score</v>
      </c>
      <c r="C2672" t="s">
        <v>969</v>
      </c>
      <c r="D2672" t="s">
        <v>965</v>
      </c>
      <c r="E2672" t="s">
        <v>624</v>
      </c>
      <c r="F2672" t="s">
        <v>625</v>
      </c>
      <c r="G2672" t="s">
        <v>972</v>
      </c>
      <c r="H2672">
        <v>49</v>
      </c>
      <c r="I2672">
        <v>20.020399999999999</v>
      </c>
      <c r="J2672">
        <v>38.6327</v>
      </c>
      <c r="K2672">
        <v>18.612200000000001</v>
      </c>
      <c r="L2672">
        <v>48</v>
      </c>
      <c r="M2672">
        <v>1</v>
      </c>
      <c r="N2672">
        <v>0</v>
      </c>
      <c r="O2672">
        <v>38.1066</v>
      </c>
      <c r="P2672">
        <v>18.718299999999999</v>
      </c>
      <c r="Q2672">
        <v>5.4548100000000002</v>
      </c>
    </row>
    <row r="2673" spans="1:17" x14ac:dyDescent="0.25">
      <c r="A2673" t="str">
        <f>IF(C2673&amp;G2673&amp;D2673&lt;&gt;'Funnel setup'!$K$3&amp;'Funnel setup'!$K$4&amp;'Funnel setup'!$K$6,".",IF(A2672=".",1,A2672+1))</f>
        <v>.</v>
      </c>
      <c r="B2673" s="244" t="str">
        <f t="shared" si="41"/>
        <v>Knee Replacement PrimaryProviderTHE BERKSHIRE INDEPENDENT HOSPITAL (NVC02)Oxford Knee Score</v>
      </c>
      <c r="C2673" t="s">
        <v>969</v>
      </c>
      <c r="D2673" t="s">
        <v>965</v>
      </c>
      <c r="E2673" t="s">
        <v>626</v>
      </c>
      <c r="F2673" t="s">
        <v>627</v>
      </c>
      <c r="G2673" t="s">
        <v>972</v>
      </c>
      <c r="H2673">
        <v>13</v>
      </c>
      <c r="I2673">
        <v>20.615400000000001</v>
      </c>
      <c r="J2673">
        <v>35.538499999999999</v>
      </c>
      <c r="K2673">
        <v>14.9231</v>
      </c>
      <c r="L2673">
        <v>13</v>
      </c>
      <c r="M2673">
        <v>0</v>
      </c>
      <c r="N2673">
        <v>0</v>
      </c>
      <c r="O2673" t="s">
        <v>127</v>
      </c>
      <c r="P2673" t="s">
        <v>127</v>
      </c>
      <c r="Q2673" t="s">
        <v>127</v>
      </c>
    </row>
    <row r="2674" spans="1:17" x14ac:dyDescent="0.25">
      <c r="A2674" t="str">
        <f>IF(C2674&amp;G2674&amp;D2674&lt;&gt;'Funnel setup'!$K$3&amp;'Funnel setup'!$K$4&amp;'Funnel setup'!$K$6,".",IF(A2673=".",1,A2673+1))</f>
        <v>.</v>
      </c>
      <c r="B2674" s="244" t="str">
        <f t="shared" si="41"/>
        <v>Knee Replacement PrimaryProviderTHE CHERWELL HOSPITAL (NVC25)Oxford Knee Score</v>
      </c>
      <c r="C2674" t="s">
        <v>969</v>
      </c>
      <c r="D2674" t="s">
        <v>965</v>
      </c>
      <c r="E2674" t="s">
        <v>628</v>
      </c>
      <c r="F2674" t="s">
        <v>629</v>
      </c>
      <c r="G2674" t="s">
        <v>972</v>
      </c>
      <c r="H2674">
        <v>262</v>
      </c>
      <c r="I2674">
        <v>20.805299999999999</v>
      </c>
      <c r="J2674">
        <v>37.984699999999997</v>
      </c>
      <c r="K2674">
        <v>17.179400000000001</v>
      </c>
      <c r="L2674">
        <v>251</v>
      </c>
      <c r="M2674">
        <v>2</v>
      </c>
      <c r="N2674">
        <v>9</v>
      </c>
      <c r="O2674">
        <v>36.810699999999997</v>
      </c>
      <c r="P2674">
        <v>17.4224</v>
      </c>
      <c r="Q2674">
        <v>7.9061599999999999</v>
      </c>
    </row>
    <row r="2675" spans="1:17" x14ac:dyDescent="0.25">
      <c r="A2675" t="str">
        <f>IF(C2675&amp;G2675&amp;D2675&lt;&gt;'Funnel setup'!$K$3&amp;'Funnel setup'!$K$4&amp;'Funnel setup'!$K$6,".",IF(A2674=".",1,A2674+1))</f>
        <v>.</v>
      </c>
      <c r="B2675" s="244" t="str">
        <f t="shared" si="41"/>
        <v>Knee Replacement PrimaryProviderTHE DUDLEY GROUP NHS FOUNDATION TRUST (RNA)Oxford Knee Score</v>
      </c>
      <c r="C2675" t="s">
        <v>969</v>
      </c>
      <c r="D2675" t="s">
        <v>965</v>
      </c>
      <c r="E2675" t="s">
        <v>630</v>
      </c>
      <c r="F2675" t="s">
        <v>631</v>
      </c>
      <c r="G2675" t="s">
        <v>972</v>
      </c>
      <c r="H2675">
        <v>1</v>
      </c>
      <c r="I2675">
        <v>27</v>
      </c>
      <c r="J2675">
        <v>47</v>
      </c>
      <c r="K2675">
        <v>20</v>
      </c>
      <c r="L2675">
        <v>1</v>
      </c>
      <c r="M2675">
        <v>0</v>
      </c>
      <c r="N2675">
        <v>0</v>
      </c>
      <c r="O2675" t="s">
        <v>127</v>
      </c>
      <c r="P2675" t="s">
        <v>127</v>
      </c>
      <c r="Q2675" t="s">
        <v>127</v>
      </c>
    </row>
    <row r="2676" spans="1:17" x14ac:dyDescent="0.25">
      <c r="A2676" t="str">
        <f>IF(C2676&amp;G2676&amp;D2676&lt;&gt;'Funnel setup'!$K$3&amp;'Funnel setup'!$K$4&amp;'Funnel setup'!$K$6,".",IF(A2675=".",1,A2675+1))</f>
        <v>.</v>
      </c>
      <c r="B2676" s="244" t="str">
        <f t="shared" si="41"/>
        <v>Knee Replacement PrimaryProviderTHE HILLINGDON HOSPITALS NHS FOUNDATION TRUST (RAS)Oxford Knee Score</v>
      </c>
      <c r="C2676" t="s">
        <v>969</v>
      </c>
      <c r="D2676" t="s">
        <v>965</v>
      </c>
      <c r="E2676" t="s">
        <v>632</v>
      </c>
      <c r="F2676" t="s">
        <v>633</v>
      </c>
      <c r="G2676" t="s">
        <v>972</v>
      </c>
      <c r="H2676">
        <v>104</v>
      </c>
      <c r="I2676">
        <v>19.980799999999999</v>
      </c>
      <c r="J2676">
        <v>35.826900000000002</v>
      </c>
      <c r="K2676">
        <v>15.8462</v>
      </c>
      <c r="L2676">
        <v>97</v>
      </c>
      <c r="M2676">
        <v>2</v>
      </c>
      <c r="N2676">
        <v>5</v>
      </c>
      <c r="O2676">
        <v>35.700499999999998</v>
      </c>
      <c r="P2676">
        <v>16.312200000000001</v>
      </c>
      <c r="Q2676">
        <v>8.2326899999999998</v>
      </c>
    </row>
    <row r="2677" spans="1:17" x14ac:dyDescent="0.25">
      <c r="A2677" t="str">
        <f>IF(C2677&amp;G2677&amp;D2677&lt;&gt;'Funnel setup'!$K$3&amp;'Funnel setup'!$K$4&amp;'Funnel setup'!$K$6,".",IF(A2676=".",1,A2676+1))</f>
        <v>.</v>
      </c>
      <c r="B2677" s="244" t="str">
        <f t="shared" si="41"/>
        <v>Knee Replacement PrimaryProviderTHE HORDER CENTRE - ST JOHNS ROAD (NXM01)Oxford Knee Score</v>
      </c>
      <c r="C2677" t="s">
        <v>969</v>
      </c>
      <c r="D2677" t="s">
        <v>965</v>
      </c>
      <c r="E2677" t="s">
        <v>634</v>
      </c>
      <c r="F2677" t="s">
        <v>635</v>
      </c>
      <c r="G2677" t="s">
        <v>972</v>
      </c>
      <c r="H2677">
        <v>265</v>
      </c>
      <c r="I2677">
        <v>23.441500000000001</v>
      </c>
      <c r="J2677">
        <v>39.517000000000003</v>
      </c>
      <c r="K2677">
        <v>16.075500000000002</v>
      </c>
      <c r="L2677">
        <v>252</v>
      </c>
      <c r="M2677">
        <v>0</v>
      </c>
      <c r="N2677">
        <v>13</v>
      </c>
      <c r="O2677">
        <v>37.463099999999997</v>
      </c>
      <c r="P2677">
        <v>18.0747</v>
      </c>
      <c r="Q2677">
        <v>7.8213400000000002</v>
      </c>
    </row>
    <row r="2678" spans="1:17" x14ac:dyDescent="0.25">
      <c r="A2678" t="str">
        <f>IF(C2678&amp;G2678&amp;D2678&lt;&gt;'Funnel setup'!$K$3&amp;'Funnel setup'!$K$4&amp;'Funnel setup'!$K$6,".",IF(A2677=".",1,A2677+1))</f>
        <v>.</v>
      </c>
      <c r="B2678" s="244" t="str">
        <f t="shared" si="41"/>
        <v>Knee Replacement PrimaryProviderTHE NEWCASTLE UPON TYNE HOSPITALS NHS FOUNDATION TRUST (RTD)Oxford Knee Score</v>
      </c>
      <c r="C2678" t="s">
        <v>969</v>
      </c>
      <c r="D2678" t="s">
        <v>965</v>
      </c>
      <c r="E2678" t="s">
        <v>638</v>
      </c>
      <c r="F2678" t="s">
        <v>639</v>
      </c>
      <c r="G2678" t="s">
        <v>972</v>
      </c>
      <c r="H2678">
        <v>26</v>
      </c>
      <c r="I2678">
        <v>17.1538</v>
      </c>
      <c r="J2678">
        <v>36.653799999999997</v>
      </c>
      <c r="K2678">
        <v>19.5</v>
      </c>
      <c r="L2678">
        <v>23</v>
      </c>
      <c r="M2678">
        <v>0</v>
      </c>
      <c r="N2678">
        <v>3</v>
      </c>
      <c r="O2678" t="s">
        <v>127</v>
      </c>
      <c r="P2678" t="s">
        <v>127</v>
      </c>
      <c r="Q2678" t="s">
        <v>127</v>
      </c>
    </row>
    <row r="2679" spans="1:17" x14ac:dyDescent="0.25">
      <c r="A2679" t="str">
        <f>IF(C2679&amp;G2679&amp;D2679&lt;&gt;'Funnel setup'!$K$3&amp;'Funnel setup'!$K$4&amp;'Funnel setup'!$K$6,".",IF(A2678=".",1,A2678+1))</f>
        <v>.</v>
      </c>
      <c r="B2679" s="244" t="str">
        <f t="shared" si="41"/>
        <v>Knee Replacement PrimaryProviderTHE PRINCESS ALEXANDRA HOSPITAL NHS TRUST (RQW)Oxford Knee Score</v>
      </c>
      <c r="C2679" t="s">
        <v>969</v>
      </c>
      <c r="D2679" t="s">
        <v>965</v>
      </c>
      <c r="E2679" t="s">
        <v>640</v>
      </c>
      <c r="F2679" t="s">
        <v>641</v>
      </c>
      <c r="G2679" t="s">
        <v>972</v>
      </c>
      <c r="H2679">
        <v>29</v>
      </c>
      <c r="I2679">
        <v>14.758599999999999</v>
      </c>
      <c r="J2679">
        <v>35.241399999999999</v>
      </c>
      <c r="K2679">
        <v>20.482800000000001</v>
      </c>
      <c r="L2679">
        <v>29</v>
      </c>
      <c r="M2679">
        <v>0</v>
      </c>
      <c r="N2679">
        <v>0</v>
      </c>
      <c r="O2679" t="s">
        <v>127</v>
      </c>
      <c r="P2679" t="s">
        <v>127</v>
      </c>
      <c r="Q2679" t="s">
        <v>127</v>
      </c>
    </row>
    <row r="2680" spans="1:17" x14ac:dyDescent="0.25">
      <c r="A2680" t="str">
        <f>IF(C2680&amp;G2680&amp;D2680&lt;&gt;'Funnel setup'!$K$3&amp;'Funnel setup'!$K$4&amp;'Funnel setup'!$K$6,".",IF(A2679=".",1,A2679+1))</f>
        <v>.</v>
      </c>
      <c r="B2680" s="244" t="str">
        <f t="shared" si="41"/>
        <v>Knee Replacement PrimaryProviderTHE QUEEN ELIZABETH HOSPITAL, KING'S LYNN, NHS FOUNDATION TRUST (RCX)Oxford Knee Score</v>
      </c>
      <c r="C2680" t="s">
        <v>969</v>
      </c>
      <c r="D2680" t="s">
        <v>965</v>
      </c>
      <c r="E2680" t="s">
        <v>644</v>
      </c>
      <c r="F2680" t="s">
        <v>645</v>
      </c>
      <c r="G2680" t="s">
        <v>972</v>
      </c>
      <c r="H2680">
        <v>78</v>
      </c>
      <c r="I2680">
        <v>18.9359</v>
      </c>
      <c r="J2680">
        <v>35.923099999999998</v>
      </c>
      <c r="K2680">
        <v>16.987200000000001</v>
      </c>
      <c r="L2680">
        <v>75</v>
      </c>
      <c r="M2680">
        <v>1</v>
      </c>
      <c r="N2680">
        <v>2</v>
      </c>
      <c r="O2680">
        <v>36.625700000000002</v>
      </c>
      <c r="P2680">
        <v>17.237400000000001</v>
      </c>
      <c r="Q2680">
        <v>8.33047</v>
      </c>
    </row>
    <row r="2681" spans="1:17" x14ac:dyDescent="0.25">
      <c r="A2681" t="str">
        <f>IF(C2681&amp;G2681&amp;D2681&lt;&gt;'Funnel setup'!$K$3&amp;'Funnel setup'!$K$4&amp;'Funnel setup'!$K$6,".",IF(A2680=".",1,A2680+1))</f>
        <v>.</v>
      </c>
      <c r="B2681" s="244" t="str">
        <f t="shared" si="41"/>
        <v>Knee Replacement PrimaryProviderTHE ROBERT JONES AND AGNES HUNT ORTHOPAEDIC HOSPITAL NHS FOUNDATION TRUST (RL1)Oxford Knee Score</v>
      </c>
      <c r="C2681" t="s">
        <v>969</v>
      </c>
      <c r="D2681" t="s">
        <v>965</v>
      </c>
      <c r="E2681" t="s">
        <v>646</v>
      </c>
      <c r="F2681" t="s">
        <v>647</v>
      </c>
      <c r="G2681" t="s">
        <v>972</v>
      </c>
      <c r="H2681">
        <v>305</v>
      </c>
      <c r="I2681">
        <v>17.508199999999999</v>
      </c>
      <c r="J2681">
        <v>37.993400000000001</v>
      </c>
      <c r="K2681">
        <v>20.485199999999999</v>
      </c>
      <c r="L2681">
        <v>301</v>
      </c>
      <c r="M2681">
        <v>1</v>
      </c>
      <c r="N2681">
        <v>3</v>
      </c>
      <c r="O2681">
        <v>38.935600000000001</v>
      </c>
      <c r="P2681">
        <v>19.5473</v>
      </c>
      <c r="Q2681">
        <v>7.9261400000000002</v>
      </c>
    </row>
    <row r="2682" spans="1:17" x14ac:dyDescent="0.25">
      <c r="A2682" t="str">
        <f>IF(C2682&amp;G2682&amp;D2682&lt;&gt;'Funnel setup'!$K$3&amp;'Funnel setup'!$K$4&amp;'Funnel setup'!$K$6,".",IF(A2681=".",1,A2681+1))</f>
        <v>.</v>
      </c>
      <c r="B2682" s="244" t="str">
        <f t="shared" si="41"/>
        <v>Knee Replacement PrimaryProviderTHE ROTHERHAM NHS FOUNDATION TRUST (RFR)Oxford Knee Score</v>
      </c>
      <c r="C2682" t="s">
        <v>969</v>
      </c>
      <c r="D2682" t="s">
        <v>965</v>
      </c>
      <c r="E2682" t="s">
        <v>648</v>
      </c>
      <c r="F2682" t="s">
        <v>649</v>
      </c>
      <c r="G2682" t="s">
        <v>972</v>
      </c>
      <c r="H2682">
        <v>31</v>
      </c>
      <c r="I2682">
        <v>14.7742</v>
      </c>
      <c r="J2682">
        <v>37.096800000000002</v>
      </c>
      <c r="K2682">
        <v>22.322600000000001</v>
      </c>
      <c r="L2682">
        <v>30</v>
      </c>
      <c r="M2682">
        <v>0</v>
      </c>
      <c r="N2682">
        <v>1</v>
      </c>
      <c r="O2682">
        <v>39.953400000000002</v>
      </c>
      <c r="P2682">
        <v>20.565000000000001</v>
      </c>
      <c r="Q2682">
        <v>8.9697499999999994</v>
      </c>
    </row>
    <row r="2683" spans="1:17" x14ac:dyDescent="0.25">
      <c r="A2683" t="str">
        <f>IF(C2683&amp;G2683&amp;D2683&lt;&gt;'Funnel setup'!$K$3&amp;'Funnel setup'!$K$4&amp;'Funnel setup'!$K$6,".",IF(A2682=".",1,A2682+1))</f>
        <v>.</v>
      </c>
      <c r="B2683" s="244" t="str">
        <f t="shared" si="41"/>
        <v>Knee Replacement PrimaryProviderTHE ROYAL ORTHOPAEDIC HOSPITAL NHS FOUNDATION TRUST (RRJ)Oxford Knee Score</v>
      </c>
      <c r="C2683" t="s">
        <v>969</v>
      </c>
      <c r="D2683" t="s">
        <v>965</v>
      </c>
      <c r="E2683" t="s">
        <v>652</v>
      </c>
      <c r="F2683" t="s">
        <v>653</v>
      </c>
      <c r="G2683" t="s">
        <v>972</v>
      </c>
      <c r="H2683">
        <v>447</v>
      </c>
      <c r="I2683">
        <v>17.34</v>
      </c>
      <c r="J2683">
        <v>35.094000000000001</v>
      </c>
      <c r="K2683">
        <v>17.753900000000002</v>
      </c>
      <c r="L2683">
        <v>426</v>
      </c>
      <c r="M2683">
        <v>4</v>
      </c>
      <c r="N2683">
        <v>17</v>
      </c>
      <c r="O2683">
        <v>36.128500000000003</v>
      </c>
      <c r="P2683">
        <v>16.740200000000002</v>
      </c>
      <c r="Q2683">
        <v>8.8254000000000001</v>
      </c>
    </row>
    <row r="2684" spans="1:17" x14ac:dyDescent="0.25">
      <c r="A2684" t="str">
        <f>IF(C2684&amp;G2684&amp;D2684&lt;&gt;'Funnel setup'!$K$3&amp;'Funnel setup'!$K$4&amp;'Funnel setup'!$K$6,".",IF(A2683=".",1,A2683+1))</f>
        <v>.</v>
      </c>
      <c r="B2684" s="244" t="str">
        <f t="shared" si="41"/>
        <v>Knee Replacement PrimaryProviderTHE ROYAL WOLVERHAMPTON NHS TRUST (RL4)Oxford Knee Score</v>
      </c>
      <c r="C2684" t="s">
        <v>969</v>
      </c>
      <c r="D2684" t="s">
        <v>965</v>
      </c>
      <c r="E2684" t="s">
        <v>654</v>
      </c>
      <c r="F2684" t="s">
        <v>655</v>
      </c>
      <c r="G2684" t="s">
        <v>972</v>
      </c>
      <c r="H2684">
        <v>24</v>
      </c>
      <c r="I2684">
        <v>18.916699999999999</v>
      </c>
      <c r="J2684">
        <v>38.958300000000001</v>
      </c>
      <c r="K2684">
        <v>20.041699999999999</v>
      </c>
      <c r="L2684">
        <v>23</v>
      </c>
      <c r="M2684">
        <v>0</v>
      </c>
      <c r="N2684">
        <v>1</v>
      </c>
      <c r="O2684" t="s">
        <v>127</v>
      </c>
      <c r="P2684" t="s">
        <v>127</v>
      </c>
      <c r="Q2684" t="s">
        <v>127</v>
      </c>
    </row>
    <row r="2685" spans="1:17" x14ac:dyDescent="0.25">
      <c r="A2685" t="str">
        <f>IF(C2685&amp;G2685&amp;D2685&lt;&gt;'Funnel setup'!$K$3&amp;'Funnel setup'!$K$4&amp;'Funnel setup'!$K$6,".",IF(A2684=".",1,A2684+1))</f>
        <v>.</v>
      </c>
      <c r="B2685" s="244" t="str">
        <f t="shared" si="41"/>
        <v>Knee Replacement PrimaryProviderTHE SHREWSBURY AND TELFORD HOSPITAL NHS TRUST (RXW)Oxford Knee Score</v>
      </c>
      <c r="C2685" t="s">
        <v>969</v>
      </c>
      <c r="D2685" t="s">
        <v>965</v>
      </c>
      <c r="E2685" t="s">
        <v>656</v>
      </c>
      <c r="F2685" t="s">
        <v>657</v>
      </c>
      <c r="G2685" t="s">
        <v>972</v>
      </c>
      <c r="H2685">
        <v>13</v>
      </c>
      <c r="I2685">
        <v>15.692299999999999</v>
      </c>
      <c r="J2685">
        <v>30.692299999999999</v>
      </c>
      <c r="K2685">
        <v>15</v>
      </c>
      <c r="L2685">
        <v>13</v>
      </c>
      <c r="M2685">
        <v>0</v>
      </c>
      <c r="N2685">
        <v>0</v>
      </c>
      <c r="O2685" t="s">
        <v>127</v>
      </c>
      <c r="P2685" t="s">
        <v>127</v>
      </c>
      <c r="Q2685" t="s">
        <v>127</v>
      </c>
    </row>
    <row r="2686" spans="1:17" x14ac:dyDescent="0.25">
      <c r="A2686" t="str">
        <f>IF(C2686&amp;G2686&amp;D2686&lt;&gt;'Funnel setup'!$K$3&amp;'Funnel setup'!$K$4&amp;'Funnel setup'!$K$6,".",IF(A2685=".",1,A2685+1))</f>
        <v>.</v>
      </c>
      <c r="B2686" s="244" t="str">
        <f t="shared" si="41"/>
        <v>Knee Replacement PrimaryProviderTHE YORKSHIRE CLINIC (NVC20)Oxford Knee Score</v>
      </c>
      <c r="C2686" t="s">
        <v>969</v>
      </c>
      <c r="D2686" t="s">
        <v>965</v>
      </c>
      <c r="E2686" t="s">
        <v>662</v>
      </c>
      <c r="F2686" t="s">
        <v>663</v>
      </c>
      <c r="G2686" t="s">
        <v>972</v>
      </c>
      <c r="H2686">
        <v>35</v>
      </c>
      <c r="I2686">
        <v>21.857099999999999</v>
      </c>
      <c r="J2686">
        <v>36.514299999999999</v>
      </c>
      <c r="K2686">
        <v>14.6571</v>
      </c>
      <c r="L2686">
        <v>34</v>
      </c>
      <c r="M2686">
        <v>0</v>
      </c>
      <c r="N2686">
        <v>1</v>
      </c>
      <c r="O2686">
        <v>36.103900000000003</v>
      </c>
      <c r="P2686">
        <v>16.715599999999998</v>
      </c>
      <c r="Q2686">
        <v>6.5559500000000002</v>
      </c>
    </row>
    <row r="2687" spans="1:17" x14ac:dyDescent="0.25">
      <c r="A2687" t="str">
        <f>IF(C2687&amp;G2687&amp;D2687&lt;&gt;'Funnel setup'!$K$3&amp;'Funnel setup'!$K$4&amp;'Funnel setup'!$K$6,".",IF(A2686=".",1,A2686+1))</f>
        <v>.</v>
      </c>
      <c r="B2687" s="244" t="str">
        <f t="shared" si="41"/>
        <v>Knee Replacement PrimaryProviderTHORNBURY HOSPITAL (NT440)Oxford Knee Score</v>
      </c>
      <c r="C2687" t="s">
        <v>969</v>
      </c>
      <c r="D2687" t="s">
        <v>965</v>
      </c>
      <c r="E2687" t="s">
        <v>664</v>
      </c>
      <c r="F2687" t="s">
        <v>665</v>
      </c>
      <c r="G2687" t="s">
        <v>972</v>
      </c>
      <c r="H2687">
        <v>4</v>
      </c>
      <c r="I2687">
        <v>21.75</v>
      </c>
      <c r="J2687">
        <v>30</v>
      </c>
      <c r="K2687">
        <v>8.25</v>
      </c>
      <c r="L2687">
        <v>4</v>
      </c>
      <c r="M2687">
        <v>0</v>
      </c>
      <c r="N2687">
        <v>0</v>
      </c>
      <c r="O2687" t="s">
        <v>127</v>
      </c>
      <c r="P2687" t="s">
        <v>127</v>
      </c>
      <c r="Q2687" t="s">
        <v>127</v>
      </c>
    </row>
    <row r="2688" spans="1:17" x14ac:dyDescent="0.25">
      <c r="A2688" t="str">
        <f>IF(C2688&amp;G2688&amp;D2688&lt;&gt;'Funnel setup'!$K$3&amp;'Funnel setup'!$K$4&amp;'Funnel setup'!$K$6,".",IF(A2687=".",1,A2687+1))</f>
        <v>.</v>
      </c>
      <c r="B2688" s="244" t="str">
        <f t="shared" si="41"/>
        <v>Knee Replacement PrimaryProviderTHREE SHIRES HOSPITAL (NT441)Oxford Knee Score</v>
      </c>
      <c r="C2688" t="s">
        <v>969</v>
      </c>
      <c r="D2688" t="s">
        <v>965</v>
      </c>
      <c r="E2688" t="s">
        <v>666</v>
      </c>
      <c r="F2688" t="s">
        <v>667</v>
      </c>
      <c r="G2688" t="s">
        <v>972</v>
      </c>
      <c r="H2688">
        <v>78</v>
      </c>
      <c r="I2688">
        <v>19.2179</v>
      </c>
      <c r="J2688">
        <v>37.859000000000002</v>
      </c>
      <c r="K2688">
        <v>18.640999999999998</v>
      </c>
      <c r="L2688">
        <v>72</v>
      </c>
      <c r="M2688">
        <v>2</v>
      </c>
      <c r="N2688">
        <v>4</v>
      </c>
      <c r="O2688">
        <v>36.563600000000001</v>
      </c>
      <c r="P2688">
        <v>17.1753</v>
      </c>
      <c r="Q2688">
        <v>9.1157199999999996</v>
      </c>
    </row>
    <row r="2689" spans="1:17" x14ac:dyDescent="0.25">
      <c r="A2689" t="str">
        <f>IF(C2689&amp;G2689&amp;D2689&lt;&gt;'Funnel setup'!$K$3&amp;'Funnel setup'!$K$4&amp;'Funnel setup'!$K$6,".",IF(A2688=".",1,A2688+1))</f>
        <v>.</v>
      </c>
      <c r="B2689" s="244" t="str">
        <f t="shared" si="41"/>
        <v>Knee Replacement PrimaryProviderTORBAY AND SOUTH DEVON NHS FOUNDATION TRUST (RA9)Oxford Knee Score</v>
      </c>
      <c r="C2689" t="s">
        <v>969</v>
      </c>
      <c r="D2689" t="s">
        <v>965</v>
      </c>
      <c r="E2689" t="s">
        <v>668</v>
      </c>
      <c r="F2689" t="s">
        <v>669</v>
      </c>
      <c r="G2689" t="s">
        <v>972</v>
      </c>
      <c r="H2689">
        <v>7</v>
      </c>
      <c r="I2689">
        <v>16.142900000000001</v>
      </c>
      <c r="J2689">
        <v>29.857099999999999</v>
      </c>
      <c r="K2689">
        <v>13.7143</v>
      </c>
      <c r="L2689">
        <v>7</v>
      </c>
      <c r="M2689">
        <v>0</v>
      </c>
      <c r="N2689">
        <v>0</v>
      </c>
      <c r="O2689" t="s">
        <v>127</v>
      </c>
      <c r="P2689" t="s">
        <v>127</v>
      </c>
      <c r="Q2689" t="s">
        <v>127</v>
      </c>
    </row>
    <row r="2690" spans="1:17" x14ac:dyDescent="0.25">
      <c r="A2690" t="str">
        <f>IF(C2690&amp;G2690&amp;D2690&lt;&gt;'Funnel setup'!$K$3&amp;'Funnel setup'!$K$4&amp;'Funnel setup'!$K$6,".",IF(A2689=".",1,A2689+1))</f>
        <v>.</v>
      </c>
      <c r="B2690" s="244" t="str">
        <f t="shared" ref="B2690:B2753" si="42">C2690&amp;D2690&amp;F2690&amp;G2690</f>
        <v>Knee Replacement PrimaryProviderUNITED LINCOLNSHIRE HOSPITALS NHS TRUST (RWD)Oxford Knee Score</v>
      </c>
      <c r="C2690" t="s">
        <v>969</v>
      </c>
      <c r="D2690" t="s">
        <v>965</v>
      </c>
      <c r="E2690" t="s">
        <v>672</v>
      </c>
      <c r="F2690" t="s">
        <v>673</v>
      </c>
      <c r="G2690" t="s">
        <v>972</v>
      </c>
      <c r="H2690">
        <v>33</v>
      </c>
      <c r="I2690">
        <v>16.2727</v>
      </c>
      <c r="J2690">
        <v>34.424199999999999</v>
      </c>
      <c r="K2690">
        <v>18.151499999999999</v>
      </c>
      <c r="L2690">
        <v>31</v>
      </c>
      <c r="M2690">
        <v>0</v>
      </c>
      <c r="N2690">
        <v>2</v>
      </c>
      <c r="O2690">
        <v>35.539200000000001</v>
      </c>
      <c r="P2690">
        <v>16.1509</v>
      </c>
      <c r="Q2690">
        <v>8.8240400000000001</v>
      </c>
    </row>
    <row r="2691" spans="1:17" x14ac:dyDescent="0.25">
      <c r="A2691" t="str">
        <f>IF(C2691&amp;G2691&amp;D2691&lt;&gt;'Funnel setup'!$K$3&amp;'Funnel setup'!$K$4&amp;'Funnel setup'!$K$6,".",IF(A2690=".",1,A2690+1))</f>
        <v>.</v>
      </c>
      <c r="B2691" s="244" t="str">
        <f t="shared" si="42"/>
        <v>Knee Replacement PrimaryProviderUNIVERSITY COLLEGE LONDON HOSPITALS NHS FOUNDATION TRUST (RRV)Oxford Knee Score</v>
      </c>
      <c r="C2691" t="s">
        <v>969</v>
      </c>
      <c r="D2691" t="s">
        <v>965</v>
      </c>
      <c r="E2691" t="s">
        <v>674</v>
      </c>
      <c r="F2691" t="s">
        <v>675</v>
      </c>
      <c r="G2691" t="s">
        <v>972</v>
      </c>
      <c r="H2691">
        <v>168</v>
      </c>
      <c r="I2691">
        <v>21.506</v>
      </c>
      <c r="J2691">
        <v>35.273800000000001</v>
      </c>
      <c r="K2691">
        <v>13.767899999999999</v>
      </c>
      <c r="L2691">
        <v>153</v>
      </c>
      <c r="M2691">
        <v>0</v>
      </c>
      <c r="N2691">
        <v>15</v>
      </c>
      <c r="O2691">
        <v>35.604500000000002</v>
      </c>
      <c r="P2691">
        <v>16.216200000000001</v>
      </c>
      <c r="Q2691">
        <v>8.9688999999999997</v>
      </c>
    </row>
    <row r="2692" spans="1:17" x14ac:dyDescent="0.25">
      <c r="A2692" t="str">
        <f>IF(C2692&amp;G2692&amp;D2692&lt;&gt;'Funnel setup'!$K$3&amp;'Funnel setup'!$K$4&amp;'Funnel setup'!$K$6,".",IF(A2691=".",1,A2691+1))</f>
        <v>.</v>
      </c>
      <c r="B2692" s="244" t="str">
        <f t="shared" si="42"/>
        <v>Knee Replacement PrimaryProviderUNIVERSITY HOSPITAL SOUTHAMPTON NHS FOUNDATION TRUST (RHM)Oxford Knee Score</v>
      </c>
      <c r="C2692" t="s">
        <v>969</v>
      </c>
      <c r="D2692" t="s">
        <v>965</v>
      </c>
      <c r="E2692" t="s">
        <v>676</v>
      </c>
      <c r="F2692" t="s">
        <v>677</v>
      </c>
      <c r="G2692" t="s">
        <v>972</v>
      </c>
      <c r="H2692">
        <v>79</v>
      </c>
      <c r="I2692">
        <v>21.5823</v>
      </c>
      <c r="J2692">
        <v>37.734200000000001</v>
      </c>
      <c r="K2692">
        <v>16.151900000000001</v>
      </c>
      <c r="L2692">
        <v>77</v>
      </c>
      <c r="M2692">
        <v>0</v>
      </c>
      <c r="N2692">
        <v>2</v>
      </c>
      <c r="O2692">
        <v>36.963099999999997</v>
      </c>
      <c r="P2692">
        <v>17.5748</v>
      </c>
      <c r="Q2692">
        <v>8.5850100000000005</v>
      </c>
    </row>
    <row r="2693" spans="1:17" x14ac:dyDescent="0.25">
      <c r="A2693" t="str">
        <f>IF(C2693&amp;G2693&amp;D2693&lt;&gt;'Funnel setup'!$K$3&amp;'Funnel setup'!$K$4&amp;'Funnel setup'!$K$6,".",IF(A2692=".",1,A2692+1))</f>
        <v>.</v>
      </c>
      <c r="B2693" s="244" t="str">
        <f t="shared" si="42"/>
        <v>Knee Replacement PrimaryProviderUNIVERSITY HOSPITALS BRISTOL AND WESTON NHS FOUNDATION TRUST (RA7)Oxford Knee Score</v>
      </c>
      <c r="C2693" t="s">
        <v>969</v>
      </c>
      <c r="D2693" t="s">
        <v>965</v>
      </c>
      <c r="E2693" t="s">
        <v>680</v>
      </c>
      <c r="F2693" t="s">
        <v>681</v>
      </c>
      <c r="G2693" t="s">
        <v>972</v>
      </c>
      <c r="H2693">
        <v>17</v>
      </c>
      <c r="I2693">
        <v>14.411799999999999</v>
      </c>
      <c r="J2693">
        <v>36.764699999999998</v>
      </c>
      <c r="K2693">
        <v>22.352900000000002</v>
      </c>
      <c r="L2693">
        <v>17</v>
      </c>
      <c r="M2693">
        <v>0</v>
      </c>
      <c r="N2693">
        <v>0</v>
      </c>
      <c r="O2693" t="s">
        <v>127</v>
      </c>
      <c r="P2693" t="s">
        <v>127</v>
      </c>
      <c r="Q2693" t="s">
        <v>127</v>
      </c>
    </row>
    <row r="2694" spans="1:17" x14ac:dyDescent="0.25">
      <c r="A2694" t="str">
        <f>IF(C2694&amp;G2694&amp;D2694&lt;&gt;'Funnel setup'!$K$3&amp;'Funnel setup'!$K$4&amp;'Funnel setup'!$K$6,".",IF(A2693=".",1,A2693+1))</f>
        <v>.</v>
      </c>
      <c r="B2694" s="244" t="str">
        <f t="shared" si="42"/>
        <v>Knee Replacement PrimaryProviderUNIVERSITY HOSPITALS COVENTRY AND WARWICKSHIRE NHS TRUST (RKB)Oxford Knee Score</v>
      </c>
      <c r="C2694" t="s">
        <v>969</v>
      </c>
      <c r="D2694" t="s">
        <v>965</v>
      </c>
      <c r="E2694" t="s">
        <v>682</v>
      </c>
      <c r="F2694" t="s">
        <v>683</v>
      </c>
      <c r="G2694" t="s">
        <v>972</v>
      </c>
      <c r="H2694">
        <v>18</v>
      </c>
      <c r="I2694">
        <v>19</v>
      </c>
      <c r="J2694">
        <v>37.833300000000001</v>
      </c>
      <c r="K2694">
        <v>18.833300000000001</v>
      </c>
      <c r="L2694">
        <v>18</v>
      </c>
      <c r="M2694">
        <v>0</v>
      </c>
      <c r="N2694">
        <v>0</v>
      </c>
      <c r="O2694" t="s">
        <v>127</v>
      </c>
      <c r="P2694" t="s">
        <v>127</v>
      </c>
      <c r="Q2694" t="s">
        <v>127</v>
      </c>
    </row>
    <row r="2695" spans="1:17" x14ac:dyDescent="0.25">
      <c r="A2695" t="str">
        <f>IF(C2695&amp;G2695&amp;D2695&lt;&gt;'Funnel setup'!$K$3&amp;'Funnel setup'!$K$4&amp;'Funnel setup'!$K$6,".",IF(A2694=".",1,A2694+1))</f>
        <v>.</v>
      </c>
      <c r="B2695" s="244" t="str">
        <f t="shared" si="42"/>
        <v>Knee Replacement PrimaryProviderUNIVERSITY HOSPITAL DORSET NHS FUNDATION TRUST (R0D)Oxford Knee Score</v>
      </c>
      <c r="C2695" t="s">
        <v>969</v>
      </c>
      <c r="D2695" t="s">
        <v>965</v>
      </c>
      <c r="E2695" t="s">
        <v>684</v>
      </c>
      <c r="F2695" t="s">
        <v>966</v>
      </c>
      <c r="G2695" t="s">
        <v>972</v>
      </c>
      <c r="H2695">
        <v>194</v>
      </c>
      <c r="I2695">
        <v>21.020600000000002</v>
      </c>
      <c r="J2695">
        <v>38.355699999999999</v>
      </c>
      <c r="K2695">
        <v>17.335100000000001</v>
      </c>
      <c r="L2695">
        <v>182</v>
      </c>
      <c r="M2695">
        <v>1</v>
      </c>
      <c r="N2695">
        <v>11</v>
      </c>
      <c r="O2695">
        <v>37.665300000000002</v>
      </c>
      <c r="P2695">
        <v>18.277000000000001</v>
      </c>
      <c r="Q2695">
        <v>8.1583400000000008</v>
      </c>
    </row>
    <row r="2696" spans="1:17" x14ac:dyDescent="0.25">
      <c r="A2696" t="str">
        <f>IF(C2696&amp;G2696&amp;D2696&lt;&gt;'Funnel setup'!$K$3&amp;'Funnel setup'!$K$4&amp;'Funnel setup'!$K$6,".",IF(A2695=".",1,A2695+1))</f>
        <v>.</v>
      </c>
      <c r="B2696" s="244" t="str">
        <f t="shared" si="42"/>
        <v>Knee Replacement PrimaryProviderUNIVERSITY HOSPITALS OF DERBY AND BURTON NHS FOUNDATION TRUST (RTG)Oxford Knee Score</v>
      </c>
      <c r="C2696" t="s">
        <v>969</v>
      </c>
      <c r="D2696" t="s">
        <v>965</v>
      </c>
      <c r="E2696" t="s">
        <v>686</v>
      </c>
      <c r="F2696" t="s">
        <v>687</v>
      </c>
      <c r="G2696" t="s">
        <v>972</v>
      </c>
      <c r="H2696">
        <v>364</v>
      </c>
      <c r="I2696">
        <v>19.225300000000001</v>
      </c>
      <c r="J2696">
        <v>36.659300000000002</v>
      </c>
      <c r="K2696">
        <v>17.434100000000001</v>
      </c>
      <c r="L2696">
        <v>349</v>
      </c>
      <c r="M2696">
        <v>3</v>
      </c>
      <c r="N2696">
        <v>12</v>
      </c>
      <c r="O2696">
        <v>37.015799999999999</v>
      </c>
      <c r="P2696">
        <v>17.627500000000001</v>
      </c>
      <c r="Q2696">
        <v>8.7242700000000006</v>
      </c>
    </row>
    <row r="2697" spans="1:17" x14ac:dyDescent="0.25">
      <c r="A2697" t="str">
        <f>IF(C2697&amp;G2697&amp;D2697&lt;&gt;'Funnel setup'!$K$3&amp;'Funnel setup'!$K$4&amp;'Funnel setup'!$K$6,".",IF(A2696=".",1,A2696+1))</f>
        <v>.</v>
      </c>
      <c r="B2697" s="244" t="str">
        <f t="shared" si="42"/>
        <v>Knee Replacement PrimaryProviderUNIVERSITY HOSPITALS OF LEICESTER NHS TRUST (RWE)Oxford Knee Score</v>
      </c>
      <c r="C2697" t="s">
        <v>969</v>
      </c>
      <c r="D2697" t="s">
        <v>965</v>
      </c>
      <c r="E2697" t="s">
        <v>688</v>
      </c>
      <c r="F2697" t="s">
        <v>689</v>
      </c>
      <c r="G2697" t="s">
        <v>972</v>
      </c>
      <c r="H2697">
        <v>168</v>
      </c>
      <c r="I2697">
        <v>16.517900000000001</v>
      </c>
      <c r="J2697">
        <v>33.452399999999997</v>
      </c>
      <c r="K2697">
        <v>16.9345</v>
      </c>
      <c r="L2697">
        <v>159</v>
      </c>
      <c r="M2697">
        <v>1</v>
      </c>
      <c r="N2697">
        <v>8</v>
      </c>
      <c r="O2697">
        <v>35.489100000000001</v>
      </c>
      <c r="P2697">
        <v>16.1008</v>
      </c>
      <c r="Q2697">
        <v>8.87547</v>
      </c>
    </row>
    <row r="2698" spans="1:17" x14ac:dyDescent="0.25">
      <c r="A2698" t="str">
        <f>IF(C2698&amp;G2698&amp;D2698&lt;&gt;'Funnel setup'!$K$3&amp;'Funnel setup'!$K$4&amp;'Funnel setup'!$K$6,".",IF(A2697=".",1,A2697+1))</f>
        <v>.</v>
      </c>
      <c r="B2698" s="244" t="str">
        <f t="shared" si="42"/>
        <v>Knee Replacement PrimaryProviderUNIVERSITY HOSPITALS OF MORECAMBE BAY NHS FOUNDATION TRUST (RTX)Oxford Knee Score</v>
      </c>
      <c r="C2698" t="s">
        <v>969</v>
      </c>
      <c r="D2698" t="s">
        <v>965</v>
      </c>
      <c r="E2698" t="s">
        <v>690</v>
      </c>
      <c r="F2698" t="s">
        <v>691</v>
      </c>
      <c r="G2698" t="s">
        <v>972</v>
      </c>
      <c r="H2698">
        <v>167</v>
      </c>
      <c r="I2698">
        <v>20.2575</v>
      </c>
      <c r="J2698">
        <v>37.718600000000002</v>
      </c>
      <c r="K2698">
        <v>17.461099999999998</v>
      </c>
      <c r="L2698">
        <v>158</v>
      </c>
      <c r="M2698">
        <v>1</v>
      </c>
      <c r="N2698">
        <v>8</v>
      </c>
      <c r="O2698">
        <v>37.356099999999998</v>
      </c>
      <c r="P2698">
        <v>17.9678</v>
      </c>
      <c r="Q2698">
        <v>8.1130200000000006</v>
      </c>
    </row>
    <row r="2699" spans="1:17" x14ac:dyDescent="0.25">
      <c r="A2699" t="str">
        <f>IF(C2699&amp;G2699&amp;D2699&lt;&gt;'Funnel setup'!$K$3&amp;'Funnel setup'!$K$4&amp;'Funnel setup'!$K$6,".",IF(A2698=".",1,A2698+1))</f>
        <v>.</v>
      </c>
      <c r="B2699" s="244" t="str">
        <f t="shared" si="42"/>
        <v>Knee Replacement PrimaryProviderUNIVERSITY HOSPITALS OF NORTH MIDLANDS NHS TRUST (RJE)Oxford Knee Score</v>
      </c>
      <c r="C2699" t="s">
        <v>969</v>
      </c>
      <c r="D2699" t="s">
        <v>965</v>
      </c>
      <c r="E2699" t="s">
        <v>692</v>
      </c>
      <c r="F2699" t="s">
        <v>693</v>
      </c>
      <c r="G2699" t="s">
        <v>972</v>
      </c>
      <c r="H2699">
        <v>18</v>
      </c>
      <c r="I2699">
        <v>14.1111</v>
      </c>
      <c r="J2699">
        <v>35</v>
      </c>
      <c r="K2699">
        <v>20.8889</v>
      </c>
      <c r="L2699">
        <v>18</v>
      </c>
      <c r="M2699">
        <v>0</v>
      </c>
      <c r="N2699">
        <v>0</v>
      </c>
      <c r="O2699" t="s">
        <v>127</v>
      </c>
      <c r="P2699" t="s">
        <v>127</v>
      </c>
      <c r="Q2699" t="s">
        <v>127</v>
      </c>
    </row>
    <row r="2700" spans="1:17" x14ac:dyDescent="0.25">
      <c r="A2700" t="str">
        <f>IF(C2700&amp;G2700&amp;D2700&lt;&gt;'Funnel setup'!$K$3&amp;'Funnel setup'!$K$4&amp;'Funnel setup'!$K$6,".",IF(A2699=".",1,A2699+1))</f>
        <v>.</v>
      </c>
      <c r="B2700" s="244" t="str">
        <f t="shared" si="42"/>
        <v>Knee Replacement PrimaryProviderUNIVERSITY HOSPITALS PLYMOUTH NHS TRUST (RK9)Oxford Knee Score</v>
      </c>
      <c r="C2700" t="s">
        <v>969</v>
      </c>
      <c r="D2700" t="s">
        <v>965</v>
      </c>
      <c r="E2700" t="s">
        <v>694</v>
      </c>
      <c r="F2700" t="s">
        <v>695</v>
      </c>
      <c r="G2700" t="s">
        <v>972</v>
      </c>
      <c r="H2700">
        <v>3</v>
      </c>
      <c r="I2700">
        <v>8</v>
      </c>
      <c r="J2700">
        <v>19</v>
      </c>
      <c r="K2700">
        <v>11</v>
      </c>
      <c r="L2700">
        <v>2</v>
      </c>
      <c r="M2700">
        <v>0</v>
      </c>
      <c r="N2700">
        <v>1</v>
      </c>
      <c r="O2700" t="s">
        <v>127</v>
      </c>
      <c r="P2700" t="s">
        <v>127</v>
      </c>
      <c r="Q2700" t="s">
        <v>127</v>
      </c>
    </row>
    <row r="2701" spans="1:17" x14ac:dyDescent="0.25">
      <c r="A2701" t="str">
        <f>IF(C2701&amp;G2701&amp;D2701&lt;&gt;'Funnel setup'!$K$3&amp;'Funnel setup'!$K$4&amp;'Funnel setup'!$K$6,".",IF(A2700=".",1,A2700+1))</f>
        <v>.</v>
      </c>
      <c r="B2701" s="244" t="str">
        <f t="shared" si="42"/>
        <v>Knee Replacement PrimaryProviderUNIVERSITY HOSPITALS SUSSEX NHS FOUNDATION TRUST (RYR)Oxford Knee Score</v>
      </c>
      <c r="C2701" t="s">
        <v>969</v>
      </c>
      <c r="D2701" t="s">
        <v>965</v>
      </c>
      <c r="E2701" t="s">
        <v>696</v>
      </c>
      <c r="F2701" t="s">
        <v>697</v>
      </c>
      <c r="G2701" t="s">
        <v>972</v>
      </c>
      <c r="H2701">
        <v>127</v>
      </c>
      <c r="I2701">
        <v>17.157499999999999</v>
      </c>
      <c r="J2701">
        <v>35.3307</v>
      </c>
      <c r="K2701">
        <v>18.173200000000001</v>
      </c>
      <c r="L2701">
        <v>124</v>
      </c>
      <c r="M2701">
        <v>1</v>
      </c>
      <c r="N2701">
        <v>2</v>
      </c>
      <c r="O2701">
        <v>35.943800000000003</v>
      </c>
      <c r="P2701">
        <v>16.555499999999999</v>
      </c>
      <c r="Q2701">
        <v>8.3710599999999999</v>
      </c>
    </row>
    <row r="2702" spans="1:17" x14ac:dyDescent="0.25">
      <c r="A2702" t="str">
        <f>IF(C2702&amp;G2702&amp;D2702&lt;&gt;'Funnel setup'!$K$3&amp;'Funnel setup'!$K$4&amp;'Funnel setup'!$K$6,".",IF(A2701=".",1,A2701+1))</f>
        <v>.</v>
      </c>
      <c r="B2702" s="244" t="str">
        <f t="shared" si="42"/>
        <v>Knee Replacement PrimaryProviderWALSALL HEALTHCARE NHS TRUST (RBK)Oxford Knee Score</v>
      </c>
      <c r="C2702" t="s">
        <v>969</v>
      </c>
      <c r="D2702" t="s">
        <v>965</v>
      </c>
      <c r="E2702" t="s">
        <v>698</v>
      </c>
      <c r="F2702" t="s">
        <v>699</v>
      </c>
      <c r="G2702" t="s">
        <v>972</v>
      </c>
      <c r="H2702">
        <v>10</v>
      </c>
      <c r="I2702">
        <v>19.100000000000001</v>
      </c>
      <c r="J2702">
        <v>34.1</v>
      </c>
      <c r="K2702">
        <v>15</v>
      </c>
      <c r="L2702">
        <v>9</v>
      </c>
      <c r="M2702">
        <v>1</v>
      </c>
      <c r="N2702">
        <v>0</v>
      </c>
      <c r="O2702" t="s">
        <v>127</v>
      </c>
      <c r="P2702" t="s">
        <v>127</v>
      </c>
      <c r="Q2702" t="s">
        <v>127</v>
      </c>
    </row>
    <row r="2703" spans="1:17" x14ac:dyDescent="0.25">
      <c r="A2703" t="str">
        <f>IF(C2703&amp;G2703&amp;D2703&lt;&gt;'Funnel setup'!$K$3&amp;'Funnel setup'!$K$4&amp;'Funnel setup'!$K$6,".",IF(A2702=".",1,A2702+1))</f>
        <v>.</v>
      </c>
      <c r="B2703" s="244" t="str">
        <f t="shared" si="42"/>
        <v>Knee Replacement PrimaryProviderWARRINGTON AND HALTON TEACHING HOSPITALS NHS FOUNDATION TRUST (RWW)Oxford Knee Score</v>
      </c>
      <c r="C2703" t="s">
        <v>969</v>
      </c>
      <c r="D2703" t="s">
        <v>965</v>
      </c>
      <c r="E2703" t="s">
        <v>700</v>
      </c>
      <c r="F2703" t="s">
        <v>701</v>
      </c>
      <c r="G2703" t="s">
        <v>972</v>
      </c>
      <c r="H2703">
        <v>33</v>
      </c>
      <c r="I2703">
        <v>17.848500000000001</v>
      </c>
      <c r="J2703">
        <v>34.2727</v>
      </c>
      <c r="K2703">
        <v>16.424199999999999</v>
      </c>
      <c r="L2703">
        <v>32</v>
      </c>
      <c r="M2703">
        <v>0</v>
      </c>
      <c r="N2703">
        <v>1</v>
      </c>
      <c r="O2703">
        <v>35.372599999999998</v>
      </c>
      <c r="P2703">
        <v>15.984299999999999</v>
      </c>
      <c r="Q2703">
        <v>7.7389400000000004</v>
      </c>
    </row>
    <row r="2704" spans="1:17" x14ac:dyDescent="0.25">
      <c r="A2704" t="str">
        <f>IF(C2704&amp;G2704&amp;D2704&lt;&gt;'Funnel setup'!$K$3&amp;'Funnel setup'!$K$4&amp;'Funnel setup'!$K$6,".",IF(A2703=".",1,A2703+1))</f>
        <v>.</v>
      </c>
      <c r="B2704" s="244" t="str">
        <f t="shared" si="42"/>
        <v>Knee Replacement PrimaryProviderWEST HERTFORDSHIRE TEACHING HOSPITALS NHS TRUST (RWG)Oxford Knee Score</v>
      </c>
      <c r="C2704" t="s">
        <v>969</v>
      </c>
      <c r="D2704" t="s">
        <v>965</v>
      </c>
      <c r="E2704" t="s">
        <v>702</v>
      </c>
      <c r="F2704" t="s">
        <v>703</v>
      </c>
      <c r="G2704" t="s">
        <v>972</v>
      </c>
      <c r="H2704">
        <v>77</v>
      </c>
      <c r="I2704">
        <v>21.129899999999999</v>
      </c>
      <c r="J2704">
        <v>36.909100000000002</v>
      </c>
      <c r="K2704">
        <v>15.779199999999999</v>
      </c>
      <c r="L2704">
        <v>71</v>
      </c>
      <c r="M2704">
        <v>1</v>
      </c>
      <c r="N2704">
        <v>5</v>
      </c>
      <c r="O2704">
        <v>35.963000000000001</v>
      </c>
      <c r="P2704">
        <v>16.5746</v>
      </c>
      <c r="Q2704">
        <v>8.8825699999999994</v>
      </c>
    </row>
    <row r="2705" spans="1:17" x14ac:dyDescent="0.25">
      <c r="A2705" t="str">
        <f>IF(C2705&amp;G2705&amp;D2705&lt;&gt;'Funnel setup'!$K$3&amp;'Funnel setup'!$K$4&amp;'Funnel setup'!$K$6,".",IF(A2704=".",1,A2704+1))</f>
        <v>.</v>
      </c>
      <c r="B2705" s="244" t="str">
        <f t="shared" si="42"/>
        <v>Knee Replacement PrimaryProviderWEST MIDLANDS HOSPITAL (NVC21)Oxford Knee Score</v>
      </c>
      <c r="C2705" t="s">
        <v>969</v>
      </c>
      <c r="D2705" t="s">
        <v>965</v>
      </c>
      <c r="E2705" t="s">
        <v>704</v>
      </c>
      <c r="F2705" t="s">
        <v>705</v>
      </c>
      <c r="G2705" t="s">
        <v>972</v>
      </c>
      <c r="H2705">
        <v>63</v>
      </c>
      <c r="I2705">
        <v>17.968299999999999</v>
      </c>
      <c r="J2705">
        <v>38.238100000000003</v>
      </c>
      <c r="K2705">
        <v>20.2698</v>
      </c>
      <c r="L2705">
        <v>62</v>
      </c>
      <c r="M2705">
        <v>0</v>
      </c>
      <c r="N2705">
        <v>1</v>
      </c>
      <c r="O2705">
        <v>39.308199999999999</v>
      </c>
      <c r="P2705">
        <v>19.919899999999998</v>
      </c>
      <c r="Q2705">
        <v>7.5570599999999999</v>
      </c>
    </row>
    <row r="2706" spans="1:17" x14ac:dyDescent="0.25">
      <c r="A2706" t="str">
        <f>IF(C2706&amp;G2706&amp;D2706&lt;&gt;'Funnel setup'!$K$3&amp;'Funnel setup'!$K$4&amp;'Funnel setup'!$K$6,".",IF(A2705=".",1,A2705+1))</f>
        <v>.</v>
      </c>
      <c r="B2706" s="244" t="str">
        <f t="shared" si="42"/>
        <v>Knee Replacement PrimaryProviderWEST SUFFOLK NHS FOUNDATION TRUST (RGR)Oxford Knee Score</v>
      </c>
      <c r="C2706" t="s">
        <v>969</v>
      </c>
      <c r="D2706" t="s">
        <v>965</v>
      </c>
      <c r="E2706" t="s">
        <v>706</v>
      </c>
      <c r="F2706" t="s">
        <v>707</v>
      </c>
      <c r="G2706" t="s">
        <v>972</v>
      </c>
      <c r="H2706">
        <v>69</v>
      </c>
      <c r="I2706">
        <v>17.043500000000002</v>
      </c>
      <c r="J2706">
        <v>34.507199999999997</v>
      </c>
      <c r="K2706">
        <v>17.463799999999999</v>
      </c>
      <c r="L2706">
        <v>66</v>
      </c>
      <c r="M2706">
        <v>0</v>
      </c>
      <c r="N2706">
        <v>3</v>
      </c>
      <c r="O2706">
        <v>34.902000000000001</v>
      </c>
      <c r="P2706">
        <v>15.5137</v>
      </c>
      <c r="Q2706">
        <v>7.9434899999999997</v>
      </c>
    </row>
    <row r="2707" spans="1:17" x14ac:dyDescent="0.25">
      <c r="A2707" t="str">
        <f>IF(C2707&amp;G2707&amp;D2707&lt;&gt;'Funnel setup'!$K$3&amp;'Funnel setup'!$K$4&amp;'Funnel setup'!$K$6,".",IF(A2706=".",1,A2706+1))</f>
        <v>.</v>
      </c>
      <c r="B2707" s="244" t="str">
        <f t="shared" si="42"/>
        <v>Knee Replacement PrimaryProviderWINFIELD HOSPITAL (NVC22)Oxford Knee Score</v>
      </c>
      <c r="C2707" t="s">
        <v>969</v>
      </c>
      <c r="D2707" t="s">
        <v>965</v>
      </c>
      <c r="E2707" t="s">
        <v>710</v>
      </c>
      <c r="F2707" t="s">
        <v>711</v>
      </c>
      <c r="G2707" t="s">
        <v>972</v>
      </c>
      <c r="H2707">
        <v>53</v>
      </c>
      <c r="I2707">
        <v>21.6981</v>
      </c>
      <c r="J2707">
        <v>38.811300000000003</v>
      </c>
      <c r="K2707">
        <v>17.113199999999999</v>
      </c>
      <c r="L2707">
        <v>49</v>
      </c>
      <c r="M2707">
        <v>0</v>
      </c>
      <c r="N2707">
        <v>4</v>
      </c>
      <c r="O2707">
        <v>37.203499999999998</v>
      </c>
      <c r="P2707">
        <v>17.815200000000001</v>
      </c>
      <c r="Q2707">
        <v>8.5618999999999996</v>
      </c>
    </row>
    <row r="2708" spans="1:17" x14ac:dyDescent="0.25">
      <c r="A2708" t="str">
        <f>IF(C2708&amp;G2708&amp;D2708&lt;&gt;'Funnel setup'!$K$3&amp;'Funnel setup'!$K$4&amp;'Funnel setup'!$K$6,".",IF(A2707=".",1,A2707+1))</f>
        <v>.</v>
      </c>
      <c r="B2708" s="244" t="str">
        <f t="shared" si="42"/>
        <v>Knee Replacement PrimaryProviderWINTERBOURNE HOSPITAL (NT443)Oxford Knee Score</v>
      </c>
      <c r="C2708" t="s">
        <v>969</v>
      </c>
      <c r="D2708" t="s">
        <v>965</v>
      </c>
      <c r="E2708" t="s">
        <v>712</v>
      </c>
      <c r="F2708" t="s">
        <v>713</v>
      </c>
      <c r="G2708" t="s">
        <v>972</v>
      </c>
      <c r="H2708">
        <v>40</v>
      </c>
      <c r="I2708">
        <v>20.5</v>
      </c>
      <c r="J2708">
        <v>40.274999999999999</v>
      </c>
      <c r="K2708">
        <v>19.774999999999999</v>
      </c>
      <c r="L2708">
        <v>39</v>
      </c>
      <c r="M2708">
        <v>0</v>
      </c>
      <c r="N2708">
        <v>1</v>
      </c>
      <c r="O2708">
        <v>39.213099999999997</v>
      </c>
      <c r="P2708">
        <v>19.8248</v>
      </c>
      <c r="Q2708">
        <v>6.52719</v>
      </c>
    </row>
    <row r="2709" spans="1:17" x14ac:dyDescent="0.25">
      <c r="A2709" t="str">
        <f>IF(C2709&amp;G2709&amp;D2709&lt;&gt;'Funnel setup'!$K$3&amp;'Funnel setup'!$K$4&amp;'Funnel setup'!$K$6,".",IF(A2708=".",1,A2708+1))</f>
        <v>.</v>
      </c>
      <c r="B2709" s="244" t="str">
        <f t="shared" si="42"/>
        <v>Knee Replacement PrimaryProviderWIRRAL UNIVERSITY TEACHING HOSPITAL NHS FOUNDATION TRUST (RBL)Oxford Knee Score</v>
      </c>
      <c r="C2709" t="s">
        <v>969</v>
      </c>
      <c r="D2709" t="s">
        <v>965</v>
      </c>
      <c r="E2709" t="s">
        <v>714</v>
      </c>
      <c r="F2709" t="s">
        <v>715</v>
      </c>
      <c r="G2709" t="s">
        <v>972</v>
      </c>
      <c r="H2709">
        <v>90</v>
      </c>
      <c r="I2709">
        <v>19.011099999999999</v>
      </c>
      <c r="J2709">
        <v>38.022199999999998</v>
      </c>
      <c r="K2709">
        <v>19.011099999999999</v>
      </c>
      <c r="L2709">
        <v>84</v>
      </c>
      <c r="M2709">
        <v>0</v>
      </c>
      <c r="N2709">
        <v>6</v>
      </c>
      <c r="O2709">
        <v>38.344999999999999</v>
      </c>
      <c r="P2709">
        <v>18.956700000000001</v>
      </c>
      <c r="Q2709">
        <v>8.7278400000000005</v>
      </c>
    </row>
    <row r="2710" spans="1:17" x14ac:dyDescent="0.25">
      <c r="A2710" t="str">
        <f>IF(C2710&amp;G2710&amp;D2710&lt;&gt;'Funnel setup'!$K$3&amp;'Funnel setup'!$K$4&amp;'Funnel setup'!$K$6,".",IF(A2709=".",1,A2709+1))</f>
        <v>.</v>
      </c>
      <c r="B2710" s="244" t="str">
        <f t="shared" si="42"/>
        <v>Knee Replacement PrimaryProviderWOODLAND HOSPITAL (NVC23)Oxford Knee Score</v>
      </c>
      <c r="C2710" t="s">
        <v>969</v>
      </c>
      <c r="D2710" t="s">
        <v>965</v>
      </c>
      <c r="E2710" t="s">
        <v>716</v>
      </c>
      <c r="F2710" t="s">
        <v>717</v>
      </c>
      <c r="G2710" t="s">
        <v>972</v>
      </c>
      <c r="H2710">
        <v>64</v>
      </c>
      <c r="I2710">
        <v>15.875</v>
      </c>
      <c r="J2710">
        <v>36.765599999999999</v>
      </c>
      <c r="K2710">
        <v>20.890599999999999</v>
      </c>
      <c r="L2710">
        <v>63</v>
      </c>
      <c r="M2710">
        <v>0</v>
      </c>
      <c r="N2710">
        <v>1</v>
      </c>
      <c r="O2710">
        <v>37.837400000000002</v>
      </c>
      <c r="P2710">
        <v>18.449000000000002</v>
      </c>
      <c r="Q2710">
        <v>8.6235800000000005</v>
      </c>
    </row>
    <row r="2711" spans="1:17" x14ac:dyDescent="0.25">
      <c r="A2711" t="str">
        <f>IF(C2711&amp;G2711&amp;D2711&lt;&gt;'Funnel setup'!$K$3&amp;'Funnel setup'!$K$4&amp;'Funnel setup'!$K$6,".",IF(A2710=".",1,A2710+1))</f>
        <v>.</v>
      </c>
      <c r="B2711" s="244" t="str">
        <f t="shared" si="42"/>
        <v>Knee Replacement PrimaryProviderWOODLANDS HOSPITAL (NT457)Oxford Knee Score</v>
      </c>
      <c r="C2711" t="s">
        <v>969</v>
      </c>
      <c r="D2711" t="s">
        <v>965</v>
      </c>
      <c r="E2711" t="s">
        <v>718</v>
      </c>
      <c r="F2711" t="s">
        <v>719</v>
      </c>
      <c r="G2711" t="s">
        <v>972</v>
      </c>
      <c r="H2711">
        <v>92</v>
      </c>
      <c r="I2711">
        <v>20.456499999999998</v>
      </c>
      <c r="J2711">
        <v>39.510899999999999</v>
      </c>
      <c r="K2711">
        <v>19.054300000000001</v>
      </c>
      <c r="L2711">
        <v>88</v>
      </c>
      <c r="M2711">
        <v>0</v>
      </c>
      <c r="N2711">
        <v>4</v>
      </c>
      <c r="O2711">
        <v>38.466700000000003</v>
      </c>
      <c r="P2711">
        <v>19.078399999999998</v>
      </c>
      <c r="Q2711">
        <v>7.8740699999999997</v>
      </c>
    </row>
    <row r="2712" spans="1:17" x14ac:dyDescent="0.25">
      <c r="A2712" t="str">
        <f>IF(C2712&amp;G2712&amp;D2712&lt;&gt;'Funnel setup'!$K$3&amp;'Funnel setup'!$K$4&amp;'Funnel setup'!$K$6,".",IF(A2711=".",1,A2711+1))</f>
        <v>.</v>
      </c>
      <c r="B2712" s="244" t="str">
        <f t="shared" si="42"/>
        <v>Knee Replacement PrimaryProviderWOODTHORPE HOSPITAL (NVC40)Oxford Knee Score</v>
      </c>
      <c r="C2712" t="s">
        <v>969</v>
      </c>
      <c r="D2712" t="s">
        <v>965</v>
      </c>
      <c r="E2712" t="s">
        <v>720</v>
      </c>
      <c r="F2712" t="s">
        <v>721</v>
      </c>
      <c r="G2712" t="s">
        <v>972</v>
      </c>
      <c r="H2712">
        <v>128</v>
      </c>
      <c r="I2712">
        <v>20.148399999999999</v>
      </c>
      <c r="J2712">
        <v>37.484400000000001</v>
      </c>
      <c r="K2712">
        <v>17.335899999999999</v>
      </c>
      <c r="L2712">
        <v>122</v>
      </c>
      <c r="M2712">
        <v>1</v>
      </c>
      <c r="N2712">
        <v>5</v>
      </c>
      <c r="O2712">
        <v>36.346200000000003</v>
      </c>
      <c r="P2712">
        <v>16.957899999999999</v>
      </c>
      <c r="Q2712">
        <v>7.8416899999999998</v>
      </c>
    </row>
    <row r="2713" spans="1:17" x14ac:dyDescent="0.25">
      <c r="A2713" t="str">
        <f>IF(C2713&amp;G2713&amp;D2713&lt;&gt;'Funnel setup'!$K$3&amp;'Funnel setup'!$K$4&amp;'Funnel setup'!$K$6,".",IF(A2712=".",1,A2712+1))</f>
        <v>.</v>
      </c>
      <c r="B2713" s="244" t="str">
        <f t="shared" si="42"/>
        <v>Knee Replacement PrimaryProviderWORCESTERSHIRE ACUTE HOSPITALS NHS TRUST (RWP)Oxford Knee Score</v>
      </c>
      <c r="C2713" t="s">
        <v>969</v>
      </c>
      <c r="D2713" t="s">
        <v>965</v>
      </c>
      <c r="E2713" t="s">
        <v>722</v>
      </c>
      <c r="F2713" t="s">
        <v>723</v>
      </c>
      <c r="G2713" t="s">
        <v>972</v>
      </c>
      <c r="H2713">
        <v>45</v>
      </c>
      <c r="I2713">
        <v>15.466699999999999</v>
      </c>
      <c r="J2713">
        <v>33.666699999999999</v>
      </c>
      <c r="K2713">
        <v>18.2</v>
      </c>
      <c r="L2713">
        <v>44</v>
      </c>
      <c r="M2713">
        <v>0</v>
      </c>
      <c r="N2713">
        <v>1</v>
      </c>
      <c r="O2713">
        <v>35.370399999999997</v>
      </c>
      <c r="P2713">
        <v>15.982100000000001</v>
      </c>
      <c r="Q2713">
        <v>8.6217600000000001</v>
      </c>
    </row>
    <row r="2714" spans="1:17" x14ac:dyDescent="0.25">
      <c r="A2714" t="str">
        <f>IF(C2714&amp;G2714&amp;D2714&lt;&gt;'Funnel setup'!$K$3&amp;'Funnel setup'!$K$4&amp;'Funnel setup'!$K$6,".",IF(A2713=".",1,A2713+1))</f>
        <v>.</v>
      </c>
      <c r="B2714" s="244" t="str">
        <f t="shared" si="42"/>
        <v>Knee Replacement PrimaryProviderWRIGHTINGTON, WIGAN AND LEIGH NHS FOUNDATION TRUST (RRF)Oxford Knee Score</v>
      </c>
      <c r="C2714" t="s">
        <v>969</v>
      </c>
      <c r="D2714" t="s">
        <v>965</v>
      </c>
      <c r="E2714" t="s">
        <v>724</v>
      </c>
      <c r="F2714" t="s">
        <v>725</v>
      </c>
      <c r="G2714" t="s">
        <v>972</v>
      </c>
      <c r="H2714">
        <v>12</v>
      </c>
      <c r="I2714">
        <v>17.833300000000001</v>
      </c>
      <c r="J2714">
        <v>38.75</v>
      </c>
      <c r="K2714">
        <v>20.916699999999999</v>
      </c>
      <c r="L2714">
        <v>11</v>
      </c>
      <c r="M2714">
        <v>0</v>
      </c>
      <c r="N2714">
        <v>1</v>
      </c>
      <c r="O2714" t="s">
        <v>127</v>
      </c>
      <c r="P2714" t="s">
        <v>127</v>
      </c>
      <c r="Q2714" t="s">
        <v>127</v>
      </c>
    </row>
    <row r="2715" spans="1:17" x14ac:dyDescent="0.25">
      <c r="A2715" t="str">
        <f>IF(C2715&amp;G2715&amp;D2715&lt;&gt;'Funnel setup'!$K$3&amp;'Funnel setup'!$K$4&amp;'Funnel setup'!$K$6,".",IF(A2714=".",1,A2714+1))</f>
        <v>.</v>
      </c>
      <c r="B2715" s="244" t="str">
        <f t="shared" si="42"/>
        <v>Knee Replacement PrimaryProviderWYE VALLEY NHS TRUST (RLQ)Oxford Knee Score</v>
      </c>
      <c r="C2715" t="s">
        <v>969</v>
      </c>
      <c r="D2715" t="s">
        <v>965</v>
      </c>
      <c r="E2715" t="s">
        <v>726</v>
      </c>
      <c r="F2715" t="s">
        <v>727</v>
      </c>
      <c r="G2715" t="s">
        <v>972</v>
      </c>
      <c r="H2715">
        <v>36</v>
      </c>
      <c r="I2715">
        <v>22.166699999999999</v>
      </c>
      <c r="J2715">
        <v>35.972200000000001</v>
      </c>
      <c r="K2715">
        <v>13.8056</v>
      </c>
      <c r="L2715">
        <v>31</v>
      </c>
      <c r="M2715">
        <v>0</v>
      </c>
      <c r="N2715">
        <v>5</v>
      </c>
      <c r="O2715">
        <v>35.285400000000003</v>
      </c>
      <c r="P2715">
        <v>15.8971</v>
      </c>
      <c r="Q2715">
        <v>9.7564700000000002</v>
      </c>
    </row>
    <row r="2716" spans="1:17" x14ac:dyDescent="0.25">
      <c r="A2716" t="str">
        <f>IF(C2716&amp;G2716&amp;D2716&lt;&gt;'Funnel setup'!$K$3&amp;'Funnel setup'!$K$4&amp;'Funnel setup'!$K$6,".",IF(A2715=".",1,A2715+1))</f>
        <v>.</v>
      </c>
      <c r="B2716" s="244" t="str">
        <f t="shared" si="42"/>
        <v>Knee Replacement PrimaryProviderYEOVIL DISTRICT HOSPITAL NHS FOUNDATION TRUST (RA4)Oxford Knee Score</v>
      </c>
      <c r="C2716" t="s">
        <v>969</v>
      </c>
      <c r="D2716" t="s">
        <v>965</v>
      </c>
      <c r="E2716" t="s">
        <v>728</v>
      </c>
      <c r="F2716" t="s">
        <v>729</v>
      </c>
      <c r="G2716" t="s">
        <v>972</v>
      </c>
      <c r="H2716">
        <v>1</v>
      </c>
      <c r="I2716">
        <v>27</v>
      </c>
      <c r="J2716">
        <v>32</v>
      </c>
      <c r="K2716">
        <v>5</v>
      </c>
      <c r="L2716">
        <v>1</v>
      </c>
      <c r="M2716">
        <v>0</v>
      </c>
      <c r="N2716">
        <v>0</v>
      </c>
      <c r="O2716" t="s">
        <v>127</v>
      </c>
      <c r="P2716" t="s">
        <v>127</v>
      </c>
      <c r="Q2716" t="s">
        <v>127</v>
      </c>
    </row>
    <row r="2717" spans="1:17" x14ac:dyDescent="0.25">
      <c r="A2717" t="str">
        <f>IF(C2717&amp;G2717&amp;D2717&lt;&gt;'Funnel setup'!$K$3&amp;'Funnel setup'!$K$4&amp;'Funnel setup'!$K$6,".",IF(A2716=".",1,A2716+1))</f>
        <v>.</v>
      </c>
      <c r="B2717" s="244" t="str">
        <f t="shared" si="42"/>
        <v>Knee Replacement RevisionSub-ICB of GP PracticeNHS BATH AND NORTH EAST SOMERSET, SWINDON AND WILTSHIRE ICB - 92G (92G)EQ VAS</v>
      </c>
      <c r="C2717" t="s">
        <v>973</v>
      </c>
      <c r="D2717" t="s">
        <v>1021</v>
      </c>
      <c r="E2717" t="s">
        <v>750</v>
      </c>
      <c r="F2717" t="s">
        <v>751</v>
      </c>
      <c r="G2717" t="s">
        <v>752</v>
      </c>
      <c r="H2717">
        <v>2</v>
      </c>
      <c r="I2717">
        <v>45</v>
      </c>
      <c r="J2717">
        <v>70</v>
      </c>
      <c r="K2717">
        <v>25</v>
      </c>
      <c r="L2717">
        <v>2</v>
      </c>
      <c r="M2717">
        <v>0</v>
      </c>
      <c r="N2717">
        <v>0</v>
      </c>
      <c r="O2717" t="s">
        <v>127</v>
      </c>
      <c r="P2717" t="s">
        <v>127</v>
      </c>
      <c r="Q2717" t="s">
        <v>127</v>
      </c>
    </row>
    <row r="2718" spans="1:17" x14ac:dyDescent="0.25">
      <c r="A2718" t="str">
        <f>IF(C2718&amp;G2718&amp;D2718&lt;&gt;'Funnel setup'!$K$3&amp;'Funnel setup'!$K$4&amp;'Funnel setup'!$K$6,".",IF(A2717=".",1,A2717+1))</f>
        <v>.</v>
      </c>
      <c r="B2718" s="244" t="str">
        <f t="shared" si="42"/>
        <v>Knee Replacement RevisionSub-ICB of GP PracticeNHS BEDFORDSHIRE, LUTON AND MILTON KEYNES ICB - M1J4Y (M1J4Y)EQ VAS</v>
      </c>
      <c r="C2718" t="s">
        <v>973</v>
      </c>
      <c r="D2718" t="s">
        <v>1021</v>
      </c>
      <c r="E2718" t="s">
        <v>753</v>
      </c>
      <c r="F2718" t="s">
        <v>754</v>
      </c>
      <c r="G2718" t="s">
        <v>752</v>
      </c>
      <c r="H2718">
        <v>8</v>
      </c>
      <c r="I2718">
        <v>61.875</v>
      </c>
      <c r="J2718">
        <v>64.5</v>
      </c>
      <c r="K2718">
        <v>2.625</v>
      </c>
      <c r="L2718">
        <v>4</v>
      </c>
      <c r="M2718">
        <v>1</v>
      </c>
      <c r="N2718">
        <v>3</v>
      </c>
      <c r="O2718" t="s">
        <v>127</v>
      </c>
      <c r="P2718" t="s">
        <v>127</v>
      </c>
      <c r="Q2718" t="s">
        <v>127</v>
      </c>
    </row>
    <row r="2719" spans="1:17" x14ac:dyDescent="0.25">
      <c r="A2719" t="str">
        <f>IF(C2719&amp;G2719&amp;D2719&lt;&gt;'Funnel setup'!$K$3&amp;'Funnel setup'!$K$4&amp;'Funnel setup'!$K$6,".",IF(A2718=".",1,A2718+1))</f>
        <v>.</v>
      </c>
      <c r="B2719" s="244" t="str">
        <f t="shared" si="42"/>
        <v>Knee Replacement RevisionSub-ICB of GP PracticeNHS BIRMINGHAM AND SOLIHULL ICB - 15E (15E)EQ VAS</v>
      </c>
      <c r="C2719" t="s">
        <v>973</v>
      </c>
      <c r="D2719" t="s">
        <v>1021</v>
      </c>
      <c r="E2719" t="s">
        <v>755</v>
      </c>
      <c r="F2719" t="s">
        <v>756</v>
      </c>
      <c r="G2719" t="s">
        <v>752</v>
      </c>
      <c r="H2719">
        <v>11</v>
      </c>
      <c r="I2719">
        <v>61.363599999999998</v>
      </c>
      <c r="J2719">
        <v>64.7273</v>
      </c>
      <c r="K2719">
        <v>3.3636400000000002</v>
      </c>
      <c r="L2719">
        <v>5</v>
      </c>
      <c r="M2719">
        <v>1</v>
      </c>
      <c r="N2719">
        <v>5</v>
      </c>
      <c r="O2719" t="s">
        <v>127</v>
      </c>
      <c r="P2719" t="s">
        <v>127</v>
      </c>
      <c r="Q2719" t="s">
        <v>127</v>
      </c>
    </row>
    <row r="2720" spans="1:17" x14ac:dyDescent="0.25">
      <c r="A2720" t="str">
        <f>IF(C2720&amp;G2720&amp;D2720&lt;&gt;'Funnel setup'!$K$3&amp;'Funnel setup'!$K$4&amp;'Funnel setup'!$K$6,".",IF(A2719=".",1,A2719+1))</f>
        <v>.</v>
      </c>
      <c r="B2720" s="244" t="str">
        <f t="shared" si="42"/>
        <v>Knee Replacement RevisionSub-ICB of GP PracticeNHS BLACK COUNTRY ICB - D2P2L (D2P2L)EQ VAS</v>
      </c>
      <c r="C2720" t="s">
        <v>973</v>
      </c>
      <c r="D2720" t="s">
        <v>1021</v>
      </c>
      <c r="E2720" t="s">
        <v>757</v>
      </c>
      <c r="F2720" t="s">
        <v>758</v>
      </c>
      <c r="G2720" t="s">
        <v>752</v>
      </c>
      <c r="H2720">
        <v>14</v>
      </c>
      <c r="I2720">
        <v>64.428600000000003</v>
      </c>
      <c r="J2720">
        <v>66.785700000000006</v>
      </c>
      <c r="K2720">
        <v>2.3571399999999998</v>
      </c>
      <c r="L2720">
        <v>8</v>
      </c>
      <c r="M2720">
        <v>1</v>
      </c>
      <c r="N2720">
        <v>5</v>
      </c>
      <c r="O2720" t="s">
        <v>127</v>
      </c>
      <c r="P2720" t="s">
        <v>127</v>
      </c>
      <c r="Q2720" t="s">
        <v>127</v>
      </c>
    </row>
    <row r="2721" spans="1:17" x14ac:dyDescent="0.25">
      <c r="A2721" t="str">
        <f>IF(C2721&amp;G2721&amp;D2721&lt;&gt;'Funnel setup'!$K$3&amp;'Funnel setup'!$K$4&amp;'Funnel setup'!$K$6,".",IF(A2720=".",1,A2720+1))</f>
        <v>.</v>
      </c>
      <c r="B2721" s="244" t="str">
        <f t="shared" si="42"/>
        <v>Knee Replacement RevisionSub-ICB of GP PracticeNHS BRISTOL, NORTH SOMERSET AND SOUTH GLOUCESTERSHIRE ICB - 15C (15C)EQ VAS</v>
      </c>
      <c r="C2721" t="s">
        <v>973</v>
      </c>
      <c r="D2721" t="s">
        <v>1021</v>
      </c>
      <c r="E2721" t="s">
        <v>759</v>
      </c>
      <c r="F2721" t="s">
        <v>760</v>
      </c>
      <c r="G2721" t="s">
        <v>752</v>
      </c>
      <c r="H2721">
        <v>3</v>
      </c>
      <c r="I2721">
        <v>55.666699999999999</v>
      </c>
      <c r="J2721">
        <v>72.333299999999994</v>
      </c>
      <c r="K2721">
        <v>16.666699999999999</v>
      </c>
      <c r="L2721">
        <v>2</v>
      </c>
      <c r="M2721">
        <v>0</v>
      </c>
      <c r="N2721">
        <v>1</v>
      </c>
      <c r="O2721" t="s">
        <v>127</v>
      </c>
      <c r="P2721" t="s">
        <v>127</v>
      </c>
      <c r="Q2721" t="s">
        <v>127</v>
      </c>
    </row>
    <row r="2722" spans="1:17" x14ac:dyDescent="0.25">
      <c r="A2722" t="str">
        <f>IF(C2722&amp;G2722&amp;D2722&lt;&gt;'Funnel setup'!$K$3&amp;'Funnel setup'!$K$4&amp;'Funnel setup'!$K$6,".",IF(A2721=".",1,A2721+1))</f>
        <v>.</v>
      </c>
      <c r="B2722" s="244" t="str">
        <f t="shared" si="42"/>
        <v>Knee Replacement RevisionSub-ICB of GP PracticeNHS BUCKINGHAMSHIRE, OXFORDSHIRE AND BERKSHIRE WEST ICB - 10Q (10Q)EQ VAS</v>
      </c>
      <c r="C2722" t="s">
        <v>973</v>
      </c>
      <c r="D2722" t="s">
        <v>1021</v>
      </c>
      <c r="E2722" t="s">
        <v>761</v>
      </c>
      <c r="F2722" t="s">
        <v>762</v>
      </c>
      <c r="G2722" t="s">
        <v>752</v>
      </c>
      <c r="H2722">
        <v>19</v>
      </c>
      <c r="I2722">
        <v>62.1053</v>
      </c>
      <c r="J2722">
        <v>73.8947</v>
      </c>
      <c r="K2722">
        <v>11.7895</v>
      </c>
      <c r="L2722">
        <v>9</v>
      </c>
      <c r="M2722">
        <v>3</v>
      </c>
      <c r="N2722">
        <v>7</v>
      </c>
      <c r="O2722" t="s">
        <v>127</v>
      </c>
      <c r="P2722" t="s">
        <v>127</v>
      </c>
      <c r="Q2722" t="s">
        <v>127</v>
      </c>
    </row>
    <row r="2723" spans="1:17" x14ac:dyDescent="0.25">
      <c r="A2723" t="str">
        <f>IF(C2723&amp;G2723&amp;D2723&lt;&gt;'Funnel setup'!$K$3&amp;'Funnel setup'!$K$4&amp;'Funnel setup'!$K$6,".",IF(A2722=".",1,A2722+1))</f>
        <v>.</v>
      </c>
      <c r="B2723" s="244" t="str">
        <f t="shared" si="42"/>
        <v>Knee Replacement RevisionSub-ICB of GP PracticeNHS BUCKINGHAMSHIRE, OXFORDSHIRE AND BERKSHIRE WEST ICB - 14Y (14Y)EQ VAS</v>
      </c>
      <c r="C2723" t="s">
        <v>973</v>
      </c>
      <c r="D2723" t="s">
        <v>1021</v>
      </c>
      <c r="E2723" t="s">
        <v>763</v>
      </c>
      <c r="F2723" t="s">
        <v>764</v>
      </c>
      <c r="G2723" t="s">
        <v>752</v>
      </c>
      <c r="H2723">
        <v>6</v>
      </c>
      <c r="I2723">
        <v>82</v>
      </c>
      <c r="J2723">
        <v>81.333299999999994</v>
      </c>
      <c r="K2723">
        <v>-0.66666700000000001</v>
      </c>
      <c r="L2723">
        <v>2</v>
      </c>
      <c r="M2723">
        <v>1</v>
      </c>
      <c r="N2723">
        <v>3</v>
      </c>
      <c r="O2723" t="s">
        <v>127</v>
      </c>
      <c r="P2723" t="s">
        <v>127</v>
      </c>
      <c r="Q2723" t="s">
        <v>127</v>
      </c>
    </row>
    <row r="2724" spans="1:17" x14ac:dyDescent="0.25">
      <c r="A2724" t="str">
        <f>IF(C2724&amp;G2724&amp;D2724&lt;&gt;'Funnel setup'!$K$3&amp;'Funnel setup'!$K$4&amp;'Funnel setup'!$K$6,".",IF(A2723=".",1,A2723+1))</f>
        <v>.</v>
      </c>
      <c r="B2724" s="244" t="str">
        <f t="shared" si="42"/>
        <v>Knee Replacement RevisionSub-ICB of GP PracticeNHS BUCKINGHAMSHIRE, OXFORDSHIRE AND BERKSHIRE WEST ICB - 15A (15A)EQ VAS</v>
      </c>
      <c r="C2724" t="s">
        <v>973</v>
      </c>
      <c r="D2724" t="s">
        <v>1021</v>
      </c>
      <c r="E2724" t="s">
        <v>765</v>
      </c>
      <c r="F2724" t="s">
        <v>766</v>
      </c>
      <c r="G2724" t="s">
        <v>752</v>
      </c>
      <c r="H2724">
        <v>8</v>
      </c>
      <c r="I2724">
        <v>58.125</v>
      </c>
      <c r="J2724">
        <v>65.5</v>
      </c>
      <c r="K2724">
        <v>7.375</v>
      </c>
      <c r="L2724">
        <v>5</v>
      </c>
      <c r="M2724">
        <v>1</v>
      </c>
      <c r="N2724">
        <v>2</v>
      </c>
      <c r="O2724" t="s">
        <v>127</v>
      </c>
      <c r="P2724" t="s">
        <v>127</v>
      </c>
      <c r="Q2724" t="s">
        <v>127</v>
      </c>
    </row>
    <row r="2725" spans="1:17" x14ac:dyDescent="0.25">
      <c r="A2725" t="str">
        <f>IF(C2725&amp;G2725&amp;D2725&lt;&gt;'Funnel setup'!$K$3&amp;'Funnel setup'!$K$4&amp;'Funnel setup'!$K$6,".",IF(A2724=".",1,A2724+1))</f>
        <v>.</v>
      </c>
      <c r="B2725" s="244" t="str">
        <f t="shared" si="42"/>
        <v>Knee Replacement RevisionSub-ICB of GP PracticeNHS CAMBRIDGESHIRE AND PETERBOROUGH ICB - 06H (06H)EQ VAS</v>
      </c>
      <c r="C2725" t="s">
        <v>973</v>
      </c>
      <c r="D2725" t="s">
        <v>1021</v>
      </c>
      <c r="E2725" t="s">
        <v>767</v>
      </c>
      <c r="F2725" t="s">
        <v>768</v>
      </c>
      <c r="G2725" t="s">
        <v>752</v>
      </c>
      <c r="H2725">
        <v>5</v>
      </c>
      <c r="I2725">
        <v>58</v>
      </c>
      <c r="J2725">
        <v>70.8</v>
      </c>
      <c r="K2725">
        <v>12.8</v>
      </c>
      <c r="L2725">
        <v>4</v>
      </c>
      <c r="M2725">
        <v>0</v>
      </c>
      <c r="N2725">
        <v>1</v>
      </c>
      <c r="O2725" t="s">
        <v>127</v>
      </c>
      <c r="P2725" t="s">
        <v>127</v>
      </c>
      <c r="Q2725" t="s">
        <v>127</v>
      </c>
    </row>
    <row r="2726" spans="1:17" x14ac:dyDescent="0.25">
      <c r="A2726" t="str">
        <f>IF(C2726&amp;G2726&amp;D2726&lt;&gt;'Funnel setup'!$K$3&amp;'Funnel setup'!$K$4&amp;'Funnel setup'!$K$6,".",IF(A2725=".",1,A2725+1))</f>
        <v>.</v>
      </c>
      <c r="B2726" s="244" t="str">
        <f t="shared" si="42"/>
        <v>Knee Replacement RevisionSub-ICB of GP PracticeNHS CHESHIRE AND MERSEYSIDE ICB - 01J (01J)EQ VAS</v>
      </c>
      <c r="C2726" t="s">
        <v>973</v>
      </c>
      <c r="D2726" t="s">
        <v>1021</v>
      </c>
      <c r="E2726" t="s">
        <v>771</v>
      </c>
      <c r="F2726" t="s">
        <v>772</v>
      </c>
      <c r="G2726" t="s">
        <v>752</v>
      </c>
      <c r="H2726">
        <v>1</v>
      </c>
      <c r="I2726">
        <v>30</v>
      </c>
      <c r="J2726">
        <v>45</v>
      </c>
      <c r="K2726">
        <v>15</v>
      </c>
      <c r="L2726">
        <v>1</v>
      </c>
      <c r="M2726">
        <v>0</v>
      </c>
      <c r="N2726">
        <v>0</v>
      </c>
      <c r="O2726" t="s">
        <v>127</v>
      </c>
      <c r="P2726" t="s">
        <v>127</v>
      </c>
      <c r="Q2726" t="s">
        <v>127</v>
      </c>
    </row>
    <row r="2727" spans="1:17" x14ac:dyDescent="0.25">
      <c r="A2727" t="str">
        <f>IF(C2727&amp;G2727&amp;D2727&lt;&gt;'Funnel setup'!$K$3&amp;'Funnel setup'!$K$4&amp;'Funnel setup'!$K$6,".",IF(A2726=".",1,A2726+1))</f>
        <v>.</v>
      </c>
      <c r="B2727" s="244" t="str">
        <f t="shared" si="42"/>
        <v>Knee Replacement RevisionSub-ICB of GP PracticeNHS CHESHIRE AND MERSEYSIDE ICB - 01X (01X)EQ VAS</v>
      </c>
      <c r="C2727" t="s">
        <v>973</v>
      </c>
      <c r="D2727" t="s">
        <v>1021</v>
      </c>
      <c r="E2727" t="s">
        <v>777</v>
      </c>
      <c r="F2727" t="s">
        <v>778</v>
      </c>
      <c r="G2727" t="s">
        <v>752</v>
      </c>
      <c r="H2727">
        <v>2</v>
      </c>
      <c r="I2727">
        <v>45</v>
      </c>
      <c r="J2727">
        <v>47.5</v>
      </c>
      <c r="K2727">
        <v>2.5</v>
      </c>
      <c r="L2727">
        <v>1</v>
      </c>
      <c r="M2727">
        <v>0</v>
      </c>
      <c r="N2727">
        <v>1</v>
      </c>
      <c r="O2727" t="s">
        <v>127</v>
      </c>
      <c r="P2727" t="s">
        <v>127</v>
      </c>
      <c r="Q2727" t="s">
        <v>127</v>
      </c>
    </row>
    <row r="2728" spans="1:17" x14ac:dyDescent="0.25">
      <c r="A2728" t="str">
        <f>IF(C2728&amp;G2728&amp;D2728&lt;&gt;'Funnel setup'!$K$3&amp;'Funnel setup'!$K$4&amp;'Funnel setup'!$K$6,".",IF(A2727=".",1,A2727+1))</f>
        <v>.</v>
      </c>
      <c r="B2728" s="244" t="str">
        <f t="shared" si="42"/>
        <v>Knee Replacement RevisionSub-ICB of GP PracticeNHS CHESHIRE AND MERSEYSIDE ICB - 12F (12F)EQ VAS</v>
      </c>
      <c r="C2728" t="s">
        <v>973</v>
      </c>
      <c r="D2728" t="s">
        <v>1021</v>
      </c>
      <c r="E2728" t="s">
        <v>781</v>
      </c>
      <c r="F2728" t="s">
        <v>782</v>
      </c>
      <c r="G2728" t="s">
        <v>752</v>
      </c>
      <c r="H2728">
        <v>2</v>
      </c>
      <c r="I2728">
        <v>71.5</v>
      </c>
      <c r="J2728">
        <v>80</v>
      </c>
      <c r="K2728">
        <v>8.5</v>
      </c>
      <c r="L2728">
        <v>2</v>
      </c>
      <c r="M2728">
        <v>0</v>
      </c>
      <c r="N2728">
        <v>0</v>
      </c>
      <c r="O2728" t="s">
        <v>127</v>
      </c>
      <c r="P2728" t="s">
        <v>127</v>
      </c>
      <c r="Q2728" t="s">
        <v>127</v>
      </c>
    </row>
    <row r="2729" spans="1:17" x14ac:dyDescent="0.25">
      <c r="A2729" t="str">
        <f>IF(C2729&amp;G2729&amp;D2729&lt;&gt;'Funnel setup'!$K$3&amp;'Funnel setup'!$K$4&amp;'Funnel setup'!$K$6,".",IF(A2728=".",1,A2728+1))</f>
        <v>.</v>
      </c>
      <c r="B2729" s="244" t="str">
        <f t="shared" si="42"/>
        <v>Knee Replacement RevisionSub-ICB of GP PracticeNHS CHESHIRE AND MERSEYSIDE ICB - 27D (27D)EQ VAS</v>
      </c>
      <c r="C2729" t="s">
        <v>973</v>
      </c>
      <c r="D2729" t="s">
        <v>1021</v>
      </c>
      <c r="E2729" t="s">
        <v>783</v>
      </c>
      <c r="F2729" t="s">
        <v>784</v>
      </c>
      <c r="G2729" t="s">
        <v>752</v>
      </c>
      <c r="H2729">
        <v>6</v>
      </c>
      <c r="I2729">
        <v>64.333299999999994</v>
      </c>
      <c r="J2729">
        <v>61</v>
      </c>
      <c r="K2729">
        <v>-3.3333300000000001</v>
      </c>
      <c r="L2729">
        <v>3</v>
      </c>
      <c r="M2729">
        <v>1</v>
      </c>
      <c r="N2729">
        <v>2</v>
      </c>
      <c r="O2729" t="s">
        <v>127</v>
      </c>
      <c r="P2729" t="s">
        <v>127</v>
      </c>
      <c r="Q2729" t="s">
        <v>127</v>
      </c>
    </row>
    <row r="2730" spans="1:17" x14ac:dyDescent="0.25">
      <c r="A2730" t="str">
        <f>IF(C2730&amp;G2730&amp;D2730&lt;&gt;'Funnel setup'!$K$3&amp;'Funnel setup'!$K$4&amp;'Funnel setup'!$K$6,".",IF(A2729=".",1,A2729+1))</f>
        <v>.</v>
      </c>
      <c r="B2730" s="244" t="str">
        <f t="shared" si="42"/>
        <v>Knee Replacement RevisionSub-ICB of GP PracticeNHS CHESHIRE AND MERSEYSIDE ICB - 99A (99A)EQ VAS</v>
      </c>
      <c r="C2730" t="s">
        <v>973</v>
      </c>
      <c r="D2730" t="s">
        <v>1021</v>
      </c>
      <c r="E2730" t="s">
        <v>785</v>
      </c>
      <c r="F2730" t="s">
        <v>786</v>
      </c>
      <c r="G2730" t="s">
        <v>752</v>
      </c>
      <c r="H2730">
        <v>1</v>
      </c>
      <c r="I2730">
        <v>50</v>
      </c>
      <c r="J2730">
        <v>40</v>
      </c>
      <c r="K2730">
        <v>-10</v>
      </c>
      <c r="L2730">
        <v>0</v>
      </c>
      <c r="M2730">
        <v>0</v>
      </c>
      <c r="N2730">
        <v>1</v>
      </c>
      <c r="O2730" t="s">
        <v>127</v>
      </c>
      <c r="P2730" t="s">
        <v>127</v>
      </c>
      <c r="Q2730" t="s">
        <v>127</v>
      </c>
    </row>
    <row r="2731" spans="1:17" x14ac:dyDescent="0.25">
      <c r="A2731" t="str">
        <f>IF(C2731&amp;G2731&amp;D2731&lt;&gt;'Funnel setup'!$K$3&amp;'Funnel setup'!$K$4&amp;'Funnel setup'!$K$6,".",IF(A2730=".",1,A2730+1))</f>
        <v>.</v>
      </c>
      <c r="B2731" s="244" t="str">
        <f t="shared" si="42"/>
        <v>Knee Replacement RevisionSub-ICB of GP PracticeNHS CORNWALL AND THE ISLES OF SCILLY ICB - 11N (11N)EQ VAS</v>
      </c>
      <c r="C2731" t="s">
        <v>973</v>
      </c>
      <c r="D2731" t="s">
        <v>1021</v>
      </c>
      <c r="E2731" t="s">
        <v>787</v>
      </c>
      <c r="F2731" t="s">
        <v>788</v>
      </c>
      <c r="G2731" t="s">
        <v>752</v>
      </c>
      <c r="H2731">
        <v>9</v>
      </c>
      <c r="I2731">
        <v>66.444400000000002</v>
      </c>
      <c r="J2731">
        <v>75.333299999999994</v>
      </c>
      <c r="K2731">
        <v>8.88889</v>
      </c>
      <c r="L2731">
        <v>5</v>
      </c>
      <c r="M2731">
        <v>1</v>
      </c>
      <c r="N2731">
        <v>3</v>
      </c>
      <c r="O2731" t="s">
        <v>127</v>
      </c>
      <c r="P2731" t="s">
        <v>127</v>
      </c>
      <c r="Q2731" t="s">
        <v>127</v>
      </c>
    </row>
    <row r="2732" spans="1:17" x14ac:dyDescent="0.25">
      <c r="A2732" t="str">
        <f>IF(C2732&amp;G2732&amp;D2732&lt;&gt;'Funnel setup'!$K$3&amp;'Funnel setup'!$K$4&amp;'Funnel setup'!$K$6,".",IF(A2731=".",1,A2731+1))</f>
        <v>.</v>
      </c>
      <c r="B2732" s="244" t="str">
        <f t="shared" si="42"/>
        <v>Knee Replacement RevisionSub-ICB of GP PracticeNHS COVENTRY AND WARWICKSHIRE ICB - B2M3M (B2M3M)EQ VAS</v>
      </c>
      <c r="C2732" t="s">
        <v>973</v>
      </c>
      <c r="D2732" t="s">
        <v>1021</v>
      </c>
      <c r="E2732" t="s">
        <v>789</v>
      </c>
      <c r="F2732" t="s">
        <v>790</v>
      </c>
      <c r="G2732" t="s">
        <v>752</v>
      </c>
      <c r="H2732">
        <v>13</v>
      </c>
      <c r="I2732">
        <v>61.769199999999998</v>
      </c>
      <c r="J2732">
        <v>73.923100000000005</v>
      </c>
      <c r="K2732">
        <v>12.1538</v>
      </c>
      <c r="L2732">
        <v>8</v>
      </c>
      <c r="M2732">
        <v>1</v>
      </c>
      <c r="N2732">
        <v>4</v>
      </c>
      <c r="O2732" t="s">
        <v>127</v>
      </c>
      <c r="P2732" t="s">
        <v>127</v>
      </c>
      <c r="Q2732" t="s">
        <v>127</v>
      </c>
    </row>
    <row r="2733" spans="1:17" x14ac:dyDescent="0.25">
      <c r="A2733" t="str">
        <f>IF(C2733&amp;G2733&amp;D2733&lt;&gt;'Funnel setup'!$K$3&amp;'Funnel setup'!$K$4&amp;'Funnel setup'!$K$6,".",IF(A2732=".",1,A2732+1))</f>
        <v>.</v>
      </c>
      <c r="B2733" s="244" t="str">
        <f t="shared" si="42"/>
        <v>Knee Replacement RevisionSub-ICB of GP PracticeNHS DERBY AND DERBYSHIRE ICB - 15M (15M)EQ VAS</v>
      </c>
      <c r="C2733" t="s">
        <v>973</v>
      </c>
      <c r="D2733" t="s">
        <v>1021</v>
      </c>
      <c r="E2733" t="s">
        <v>791</v>
      </c>
      <c r="F2733" t="s">
        <v>792</v>
      </c>
      <c r="G2733" t="s">
        <v>752</v>
      </c>
      <c r="H2733">
        <v>19</v>
      </c>
      <c r="I2733">
        <v>49.315800000000003</v>
      </c>
      <c r="J2733">
        <v>61.315800000000003</v>
      </c>
      <c r="K2733">
        <v>12</v>
      </c>
      <c r="L2733">
        <v>15</v>
      </c>
      <c r="M2733">
        <v>0</v>
      </c>
      <c r="N2733">
        <v>4</v>
      </c>
      <c r="O2733" t="s">
        <v>127</v>
      </c>
      <c r="P2733" t="s">
        <v>127</v>
      </c>
      <c r="Q2733" t="s">
        <v>127</v>
      </c>
    </row>
    <row r="2734" spans="1:17" x14ac:dyDescent="0.25">
      <c r="A2734" t="str">
        <f>IF(C2734&amp;G2734&amp;D2734&lt;&gt;'Funnel setup'!$K$3&amp;'Funnel setup'!$K$4&amp;'Funnel setup'!$K$6,".",IF(A2733=".",1,A2733+1))</f>
        <v>.</v>
      </c>
      <c r="B2734" s="244" t="str">
        <f t="shared" si="42"/>
        <v>Knee Replacement RevisionSub-ICB of GP PracticeNHS DEVON ICB - 15N (15N)EQ VAS</v>
      </c>
      <c r="C2734" t="s">
        <v>973</v>
      </c>
      <c r="D2734" t="s">
        <v>1021</v>
      </c>
      <c r="E2734" t="s">
        <v>793</v>
      </c>
      <c r="F2734" t="s">
        <v>794</v>
      </c>
      <c r="G2734" t="s">
        <v>752</v>
      </c>
      <c r="H2734">
        <v>11</v>
      </c>
      <c r="I2734">
        <v>60.363599999999998</v>
      </c>
      <c r="J2734">
        <v>67.2727</v>
      </c>
      <c r="K2734">
        <v>6.90909</v>
      </c>
      <c r="L2734">
        <v>7</v>
      </c>
      <c r="M2734">
        <v>0</v>
      </c>
      <c r="N2734">
        <v>4</v>
      </c>
      <c r="O2734" t="s">
        <v>127</v>
      </c>
      <c r="P2734" t="s">
        <v>127</v>
      </c>
      <c r="Q2734" t="s">
        <v>127</v>
      </c>
    </row>
    <row r="2735" spans="1:17" x14ac:dyDescent="0.25">
      <c r="A2735" t="str">
        <f>IF(C2735&amp;G2735&amp;D2735&lt;&gt;'Funnel setup'!$K$3&amp;'Funnel setup'!$K$4&amp;'Funnel setup'!$K$6,".",IF(A2734=".",1,A2734+1))</f>
        <v>.</v>
      </c>
      <c r="B2735" s="244" t="str">
        <f t="shared" si="42"/>
        <v>Knee Replacement RevisionSub-ICB of GP PracticeNHS DORSET ICB - 11J (11J)EQ VAS</v>
      </c>
      <c r="C2735" t="s">
        <v>973</v>
      </c>
      <c r="D2735" t="s">
        <v>1021</v>
      </c>
      <c r="E2735" t="s">
        <v>795</v>
      </c>
      <c r="F2735" t="s">
        <v>796</v>
      </c>
      <c r="G2735" t="s">
        <v>752</v>
      </c>
      <c r="H2735">
        <v>13</v>
      </c>
      <c r="I2735">
        <v>62.615400000000001</v>
      </c>
      <c r="J2735">
        <v>71.538499999999999</v>
      </c>
      <c r="K2735">
        <v>8.9230800000000006</v>
      </c>
      <c r="L2735">
        <v>8</v>
      </c>
      <c r="M2735">
        <v>4</v>
      </c>
      <c r="N2735">
        <v>1</v>
      </c>
      <c r="O2735" t="s">
        <v>127</v>
      </c>
      <c r="P2735" t="s">
        <v>127</v>
      </c>
      <c r="Q2735" t="s">
        <v>127</v>
      </c>
    </row>
    <row r="2736" spans="1:17" x14ac:dyDescent="0.25">
      <c r="A2736" t="str">
        <f>IF(C2736&amp;G2736&amp;D2736&lt;&gt;'Funnel setup'!$K$3&amp;'Funnel setup'!$K$4&amp;'Funnel setup'!$K$6,".",IF(A2735=".",1,A2735+1))</f>
        <v>.</v>
      </c>
      <c r="B2736" s="244" t="str">
        <f t="shared" si="42"/>
        <v>Knee Replacement RevisionSub-ICB of GP PracticeNHS FRIMLEY ICB - D4U1Y (D4U1Y)EQ VAS</v>
      </c>
      <c r="C2736" t="s">
        <v>973</v>
      </c>
      <c r="D2736" t="s">
        <v>1021</v>
      </c>
      <c r="E2736" t="s">
        <v>797</v>
      </c>
      <c r="F2736" t="s">
        <v>798</v>
      </c>
      <c r="G2736" t="s">
        <v>752</v>
      </c>
      <c r="H2736">
        <v>8</v>
      </c>
      <c r="I2736">
        <v>63.75</v>
      </c>
      <c r="J2736">
        <v>63.5</v>
      </c>
      <c r="K2736">
        <v>-0.25</v>
      </c>
      <c r="L2736">
        <v>5</v>
      </c>
      <c r="M2736">
        <v>0</v>
      </c>
      <c r="N2736">
        <v>3</v>
      </c>
      <c r="O2736" t="s">
        <v>127</v>
      </c>
      <c r="P2736" t="s">
        <v>127</v>
      </c>
      <c r="Q2736" t="s">
        <v>127</v>
      </c>
    </row>
    <row r="2737" spans="1:17" x14ac:dyDescent="0.25">
      <c r="A2737" t="str">
        <f>IF(C2737&amp;G2737&amp;D2737&lt;&gt;'Funnel setup'!$K$3&amp;'Funnel setup'!$K$4&amp;'Funnel setup'!$K$6,".",IF(A2736=".",1,A2736+1))</f>
        <v>.</v>
      </c>
      <c r="B2737" s="244" t="str">
        <f t="shared" si="42"/>
        <v>Knee Replacement RevisionSub-ICB of GP PracticeNHS GLOUCESTERSHIRE ICB - 11M (11M)EQ VAS</v>
      </c>
      <c r="C2737" t="s">
        <v>973</v>
      </c>
      <c r="D2737" t="s">
        <v>1021</v>
      </c>
      <c r="E2737" t="s">
        <v>799</v>
      </c>
      <c r="F2737" t="s">
        <v>800</v>
      </c>
      <c r="G2737" t="s">
        <v>752</v>
      </c>
      <c r="H2737">
        <v>3</v>
      </c>
      <c r="I2737">
        <v>50</v>
      </c>
      <c r="J2737">
        <v>68</v>
      </c>
      <c r="K2737">
        <v>18</v>
      </c>
      <c r="L2737">
        <v>3</v>
      </c>
      <c r="M2737">
        <v>0</v>
      </c>
      <c r="N2737">
        <v>0</v>
      </c>
      <c r="O2737" t="s">
        <v>127</v>
      </c>
      <c r="P2737" t="s">
        <v>127</v>
      </c>
      <c r="Q2737" t="s">
        <v>127</v>
      </c>
    </row>
    <row r="2738" spans="1:17" x14ac:dyDescent="0.25">
      <c r="A2738" t="str">
        <f>IF(C2738&amp;G2738&amp;D2738&lt;&gt;'Funnel setup'!$K$3&amp;'Funnel setup'!$K$4&amp;'Funnel setup'!$K$6,".",IF(A2737=".",1,A2737+1))</f>
        <v>.</v>
      </c>
      <c r="B2738" s="244" t="str">
        <f t="shared" si="42"/>
        <v>Knee Replacement RevisionSub-ICB of GP PracticeNHS GREATER MANCHESTER ICB - 00T (00T)EQ VAS</v>
      </c>
      <c r="C2738" t="s">
        <v>973</v>
      </c>
      <c r="D2738" t="s">
        <v>1021</v>
      </c>
      <c r="E2738" t="s">
        <v>801</v>
      </c>
      <c r="F2738" t="s">
        <v>802</v>
      </c>
      <c r="G2738" t="s">
        <v>752</v>
      </c>
      <c r="H2738">
        <v>4</v>
      </c>
      <c r="I2738">
        <v>65.25</v>
      </c>
      <c r="J2738">
        <v>63.25</v>
      </c>
      <c r="K2738">
        <v>-2</v>
      </c>
      <c r="L2738">
        <v>0</v>
      </c>
      <c r="M2738">
        <v>2</v>
      </c>
      <c r="N2738">
        <v>2</v>
      </c>
      <c r="O2738" t="s">
        <v>127</v>
      </c>
      <c r="P2738" t="s">
        <v>127</v>
      </c>
      <c r="Q2738" t="s">
        <v>127</v>
      </c>
    </row>
    <row r="2739" spans="1:17" x14ac:dyDescent="0.25">
      <c r="A2739" t="str">
        <f>IF(C2739&amp;G2739&amp;D2739&lt;&gt;'Funnel setup'!$K$3&amp;'Funnel setup'!$K$4&amp;'Funnel setup'!$K$6,".",IF(A2738=".",1,A2738+1))</f>
        <v>.</v>
      </c>
      <c r="B2739" s="244" t="str">
        <f t="shared" si="42"/>
        <v>Knee Replacement RevisionSub-ICB of GP PracticeNHS GREATER MANCHESTER ICB - 00V (00V)EQ VAS</v>
      </c>
      <c r="C2739" t="s">
        <v>973</v>
      </c>
      <c r="D2739" t="s">
        <v>1021</v>
      </c>
      <c r="E2739" t="s">
        <v>803</v>
      </c>
      <c r="F2739" t="s">
        <v>804</v>
      </c>
      <c r="G2739" t="s">
        <v>752</v>
      </c>
      <c r="H2739">
        <v>1</v>
      </c>
      <c r="I2739">
        <v>85</v>
      </c>
      <c r="J2739">
        <v>96</v>
      </c>
      <c r="K2739">
        <v>11</v>
      </c>
      <c r="L2739">
        <v>1</v>
      </c>
      <c r="M2739">
        <v>0</v>
      </c>
      <c r="N2739">
        <v>0</v>
      </c>
      <c r="O2739" t="s">
        <v>127</v>
      </c>
      <c r="P2739" t="s">
        <v>127</v>
      </c>
      <c r="Q2739" t="s">
        <v>127</v>
      </c>
    </row>
    <row r="2740" spans="1:17" x14ac:dyDescent="0.25">
      <c r="A2740" t="str">
        <f>IF(C2740&amp;G2740&amp;D2740&lt;&gt;'Funnel setup'!$K$3&amp;'Funnel setup'!$K$4&amp;'Funnel setup'!$K$6,".",IF(A2739=".",1,A2739+1))</f>
        <v>.</v>
      </c>
      <c r="B2740" s="244" t="str">
        <f t="shared" si="42"/>
        <v>Knee Replacement RevisionSub-ICB of GP PracticeNHS GREATER MANCHESTER ICB - 01W (01W)EQ VAS</v>
      </c>
      <c r="C2740" t="s">
        <v>973</v>
      </c>
      <c r="D2740" t="s">
        <v>1021</v>
      </c>
      <c r="E2740" t="s">
        <v>811</v>
      </c>
      <c r="F2740" t="s">
        <v>812</v>
      </c>
      <c r="G2740" t="s">
        <v>752</v>
      </c>
      <c r="H2740">
        <v>3</v>
      </c>
      <c r="I2740">
        <v>58.333300000000001</v>
      </c>
      <c r="J2740">
        <v>80</v>
      </c>
      <c r="K2740">
        <v>21.666699999999999</v>
      </c>
      <c r="L2740">
        <v>3</v>
      </c>
      <c r="M2740">
        <v>0</v>
      </c>
      <c r="N2740">
        <v>0</v>
      </c>
      <c r="O2740" t="s">
        <v>127</v>
      </c>
      <c r="P2740" t="s">
        <v>127</v>
      </c>
      <c r="Q2740" t="s">
        <v>127</v>
      </c>
    </row>
    <row r="2741" spans="1:17" x14ac:dyDescent="0.25">
      <c r="A2741" t="str">
        <f>IF(C2741&amp;G2741&amp;D2741&lt;&gt;'Funnel setup'!$K$3&amp;'Funnel setup'!$K$4&amp;'Funnel setup'!$K$6,".",IF(A2740=".",1,A2740+1))</f>
        <v>.</v>
      </c>
      <c r="B2741" s="244" t="str">
        <f t="shared" si="42"/>
        <v>Knee Replacement RevisionSub-ICB of GP PracticeNHS GREATER MANCHESTER ICB - 02A (02A)EQ VAS</v>
      </c>
      <c r="C2741" t="s">
        <v>973</v>
      </c>
      <c r="D2741" t="s">
        <v>1021</v>
      </c>
      <c r="E2741" t="s">
        <v>815</v>
      </c>
      <c r="F2741" t="s">
        <v>816</v>
      </c>
      <c r="G2741" t="s">
        <v>752</v>
      </c>
      <c r="H2741">
        <v>3</v>
      </c>
      <c r="I2741">
        <v>57.666699999999999</v>
      </c>
      <c r="J2741">
        <v>66</v>
      </c>
      <c r="K2741">
        <v>8.3333300000000001</v>
      </c>
      <c r="L2741">
        <v>2</v>
      </c>
      <c r="M2741">
        <v>1</v>
      </c>
      <c r="N2741">
        <v>0</v>
      </c>
      <c r="O2741" t="s">
        <v>127</v>
      </c>
      <c r="P2741" t="s">
        <v>127</v>
      </c>
      <c r="Q2741" t="s">
        <v>127</v>
      </c>
    </row>
    <row r="2742" spans="1:17" x14ac:dyDescent="0.25">
      <c r="A2742" t="str">
        <f>IF(C2742&amp;G2742&amp;D2742&lt;&gt;'Funnel setup'!$K$3&amp;'Funnel setup'!$K$4&amp;'Funnel setup'!$K$6,".",IF(A2741=".",1,A2741+1))</f>
        <v>.</v>
      </c>
      <c r="B2742" s="244" t="str">
        <f t="shared" si="42"/>
        <v>Knee Replacement RevisionSub-ICB of GP PracticeNHS GREATER MANCHESTER ICB - 02H (02H)EQ VAS</v>
      </c>
      <c r="C2742" t="s">
        <v>973</v>
      </c>
      <c r="D2742" t="s">
        <v>1021</v>
      </c>
      <c r="E2742" t="s">
        <v>817</v>
      </c>
      <c r="F2742" t="s">
        <v>818</v>
      </c>
      <c r="G2742" t="s">
        <v>752</v>
      </c>
      <c r="H2742">
        <v>1</v>
      </c>
      <c r="I2742">
        <v>90</v>
      </c>
      <c r="J2742">
        <v>60</v>
      </c>
      <c r="K2742">
        <v>-30</v>
      </c>
      <c r="L2742">
        <v>0</v>
      </c>
      <c r="M2742">
        <v>0</v>
      </c>
      <c r="N2742">
        <v>1</v>
      </c>
      <c r="O2742" t="s">
        <v>127</v>
      </c>
      <c r="P2742" t="s">
        <v>127</v>
      </c>
      <c r="Q2742" t="s">
        <v>127</v>
      </c>
    </row>
    <row r="2743" spans="1:17" x14ac:dyDescent="0.25">
      <c r="A2743" t="str">
        <f>IF(C2743&amp;G2743&amp;D2743&lt;&gt;'Funnel setup'!$K$3&amp;'Funnel setup'!$K$4&amp;'Funnel setup'!$K$6,".",IF(A2742=".",1,A2742+1))</f>
        <v>.</v>
      </c>
      <c r="B2743" s="244" t="str">
        <f t="shared" si="42"/>
        <v>Knee Replacement RevisionSub-ICB of GP PracticeNHS GREATER MANCHESTER ICB - 14L (14L)EQ VAS</v>
      </c>
      <c r="C2743" t="s">
        <v>973</v>
      </c>
      <c r="D2743" t="s">
        <v>1021</v>
      </c>
      <c r="E2743" t="s">
        <v>819</v>
      </c>
      <c r="F2743" t="s">
        <v>820</v>
      </c>
      <c r="G2743" t="s">
        <v>752</v>
      </c>
      <c r="H2743">
        <v>1</v>
      </c>
      <c r="I2743">
        <v>70</v>
      </c>
      <c r="J2743">
        <v>75</v>
      </c>
      <c r="K2743">
        <v>5</v>
      </c>
      <c r="L2743">
        <v>1</v>
      </c>
      <c r="M2743">
        <v>0</v>
      </c>
      <c r="N2743">
        <v>0</v>
      </c>
      <c r="O2743" t="s">
        <v>127</v>
      </c>
      <c r="P2743" t="s">
        <v>127</v>
      </c>
      <c r="Q2743" t="s">
        <v>127</v>
      </c>
    </row>
    <row r="2744" spans="1:17" x14ac:dyDescent="0.25">
      <c r="A2744" t="str">
        <f>IF(C2744&amp;G2744&amp;D2744&lt;&gt;'Funnel setup'!$K$3&amp;'Funnel setup'!$K$4&amp;'Funnel setup'!$K$6,".",IF(A2743=".",1,A2743+1))</f>
        <v>.</v>
      </c>
      <c r="B2744" s="244" t="str">
        <f t="shared" si="42"/>
        <v>Knee Replacement RevisionSub-ICB of GP PracticeNHS HAMPSHIRE AND ISLE OF WIGHT ICB - 10R (10R)EQ VAS</v>
      </c>
      <c r="C2744" t="s">
        <v>973</v>
      </c>
      <c r="D2744" t="s">
        <v>1021</v>
      </c>
      <c r="E2744" t="s">
        <v>821</v>
      </c>
      <c r="F2744" t="s">
        <v>822</v>
      </c>
      <c r="G2744" t="s">
        <v>752</v>
      </c>
      <c r="H2744">
        <v>1</v>
      </c>
      <c r="I2744">
        <v>69</v>
      </c>
      <c r="J2744">
        <v>70</v>
      </c>
      <c r="K2744">
        <v>1</v>
      </c>
      <c r="L2744">
        <v>1</v>
      </c>
      <c r="M2744">
        <v>0</v>
      </c>
      <c r="N2744">
        <v>0</v>
      </c>
      <c r="O2744" t="s">
        <v>127</v>
      </c>
      <c r="P2744" t="s">
        <v>127</v>
      </c>
      <c r="Q2744" t="s">
        <v>127</v>
      </c>
    </row>
    <row r="2745" spans="1:17" x14ac:dyDescent="0.25">
      <c r="A2745" t="str">
        <f>IF(C2745&amp;G2745&amp;D2745&lt;&gt;'Funnel setup'!$K$3&amp;'Funnel setup'!$K$4&amp;'Funnel setup'!$K$6,".",IF(A2744=".",1,A2744+1))</f>
        <v>.</v>
      </c>
      <c r="B2745" s="244" t="str">
        <f t="shared" si="42"/>
        <v>Knee Replacement RevisionSub-ICB of GP PracticeNHS HAMPSHIRE AND ISLE OF WIGHT ICB - D9Y0V (D9Y0V)EQ VAS</v>
      </c>
      <c r="C2745" t="s">
        <v>973</v>
      </c>
      <c r="D2745" t="s">
        <v>1021</v>
      </c>
      <c r="E2745" t="s">
        <v>823</v>
      </c>
      <c r="F2745" t="s">
        <v>824</v>
      </c>
      <c r="G2745" t="s">
        <v>752</v>
      </c>
      <c r="H2745">
        <v>27</v>
      </c>
      <c r="I2745">
        <v>63.074100000000001</v>
      </c>
      <c r="J2745">
        <v>70.888900000000007</v>
      </c>
      <c r="K2745">
        <v>7.8148099999999996</v>
      </c>
      <c r="L2745">
        <v>18</v>
      </c>
      <c r="M2745">
        <v>3</v>
      </c>
      <c r="N2745">
        <v>6</v>
      </c>
      <c r="O2745" t="s">
        <v>127</v>
      </c>
      <c r="P2745" t="s">
        <v>127</v>
      </c>
      <c r="Q2745" t="s">
        <v>127</v>
      </c>
    </row>
    <row r="2746" spans="1:17" x14ac:dyDescent="0.25">
      <c r="A2746" t="str">
        <f>IF(C2746&amp;G2746&amp;D2746&lt;&gt;'Funnel setup'!$K$3&amp;'Funnel setup'!$K$4&amp;'Funnel setup'!$K$6,".",IF(A2745=".",1,A2745+1))</f>
        <v>.</v>
      </c>
      <c r="B2746" s="244" t="str">
        <f t="shared" si="42"/>
        <v>Knee Replacement RevisionSub-ICB of GP PracticeNHS HEREFORDSHIRE AND WORCESTERSHIRE ICB - 18C (18C)EQ VAS</v>
      </c>
      <c r="C2746" t="s">
        <v>973</v>
      </c>
      <c r="D2746" t="s">
        <v>1021</v>
      </c>
      <c r="E2746" t="s">
        <v>825</v>
      </c>
      <c r="F2746" t="s">
        <v>826</v>
      </c>
      <c r="G2746" t="s">
        <v>752</v>
      </c>
      <c r="H2746">
        <v>13</v>
      </c>
      <c r="I2746">
        <v>59.384599999999999</v>
      </c>
      <c r="J2746">
        <v>69.692300000000003</v>
      </c>
      <c r="K2746">
        <v>10.307700000000001</v>
      </c>
      <c r="L2746">
        <v>7</v>
      </c>
      <c r="M2746">
        <v>1</v>
      </c>
      <c r="N2746">
        <v>5</v>
      </c>
      <c r="O2746" t="s">
        <v>127</v>
      </c>
      <c r="P2746" t="s">
        <v>127</v>
      </c>
      <c r="Q2746" t="s">
        <v>127</v>
      </c>
    </row>
    <row r="2747" spans="1:17" x14ac:dyDescent="0.25">
      <c r="A2747" t="str">
        <f>IF(C2747&amp;G2747&amp;D2747&lt;&gt;'Funnel setup'!$K$3&amp;'Funnel setup'!$K$4&amp;'Funnel setup'!$K$6,".",IF(A2746=".",1,A2746+1))</f>
        <v>.</v>
      </c>
      <c r="B2747" s="244" t="str">
        <f t="shared" si="42"/>
        <v>Knee Replacement RevisionSub-ICB of GP PracticeNHS HERTFORDSHIRE AND WEST ESSEX ICB - 06K (06K)EQ VAS</v>
      </c>
      <c r="C2747" t="s">
        <v>973</v>
      </c>
      <c r="D2747" t="s">
        <v>1021</v>
      </c>
      <c r="E2747" t="s">
        <v>827</v>
      </c>
      <c r="F2747" t="s">
        <v>828</v>
      </c>
      <c r="G2747" t="s">
        <v>752</v>
      </c>
      <c r="H2747">
        <v>2</v>
      </c>
      <c r="I2747">
        <v>41</v>
      </c>
      <c r="J2747">
        <v>85</v>
      </c>
      <c r="K2747">
        <v>44</v>
      </c>
      <c r="L2747">
        <v>2</v>
      </c>
      <c r="M2747">
        <v>0</v>
      </c>
      <c r="N2747">
        <v>0</v>
      </c>
      <c r="O2747" t="s">
        <v>127</v>
      </c>
      <c r="P2747" t="s">
        <v>127</v>
      </c>
      <c r="Q2747" t="s">
        <v>127</v>
      </c>
    </row>
    <row r="2748" spans="1:17" x14ac:dyDescent="0.25">
      <c r="A2748" t="str">
        <f>IF(C2748&amp;G2748&amp;D2748&lt;&gt;'Funnel setup'!$K$3&amp;'Funnel setup'!$K$4&amp;'Funnel setup'!$K$6,".",IF(A2747=".",1,A2747+1))</f>
        <v>.</v>
      </c>
      <c r="B2748" s="244" t="str">
        <f t="shared" si="42"/>
        <v>Knee Replacement RevisionSub-ICB of GP PracticeNHS HERTFORDSHIRE AND WEST ESSEX ICB - 06N (06N)EQ VAS</v>
      </c>
      <c r="C2748" t="s">
        <v>973</v>
      </c>
      <c r="D2748" t="s">
        <v>1021</v>
      </c>
      <c r="E2748" t="s">
        <v>829</v>
      </c>
      <c r="F2748" t="s">
        <v>830</v>
      </c>
      <c r="G2748" t="s">
        <v>752</v>
      </c>
      <c r="H2748">
        <v>9</v>
      </c>
      <c r="I2748">
        <v>53.222200000000001</v>
      </c>
      <c r="J2748">
        <v>48.8889</v>
      </c>
      <c r="K2748">
        <v>-4.3333300000000001</v>
      </c>
      <c r="L2748">
        <v>4</v>
      </c>
      <c r="M2748">
        <v>0</v>
      </c>
      <c r="N2748">
        <v>5</v>
      </c>
      <c r="O2748" t="s">
        <v>127</v>
      </c>
      <c r="P2748" t="s">
        <v>127</v>
      </c>
      <c r="Q2748" t="s">
        <v>127</v>
      </c>
    </row>
    <row r="2749" spans="1:17" x14ac:dyDescent="0.25">
      <c r="A2749" t="str">
        <f>IF(C2749&amp;G2749&amp;D2749&lt;&gt;'Funnel setup'!$K$3&amp;'Funnel setup'!$K$4&amp;'Funnel setup'!$K$6,".",IF(A2748=".",1,A2748+1))</f>
        <v>.</v>
      </c>
      <c r="B2749" s="244" t="str">
        <f t="shared" si="42"/>
        <v>Knee Replacement RevisionSub-ICB of GP PracticeNHS HERTFORDSHIRE AND WEST ESSEX ICB - 07H (07H)EQ VAS</v>
      </c>
      <c r="C2749" t="s">
        <v>973</v>
      </c>
      <c r="D2749" t="s">
        <v>1021</v>
      </c>
      <c r="E2749" t="s">
        <v>831</v>
      </c>
      <c r="F2749" t="s">
        <v>832</v>
      </c>
      <c r="G2749" t="s">
        <v>752</v>
      </c>
      <c r="H2749">
        <v>1</v>
      </c>
      <c r="I2749">
        <v>30</v>
      </c>
      <c r="J2749">
        <v>50</v>
      </c>
      <c r="K2749">
        <v>20</v>
      </c>
      <c r="L2749">
        <v>1</v>
      </c>
      <c r="M2749">
        <v>0</v>
      </c>
      <c r="N2749">
        <v>0</v>
      </c>
      <c r="O2749" t="s">
        <v>127</v>
      </c>
      <c r="P2749" t="s">
        <v>127</v>
      </c>
      <c r="Q2749" t="s">
        <v>127</v>
      </c>
    </row>
    <row r="2750" spans="1:17" x14ac:dyDescent="0.25">
      <c r="A2750" t="str">
        <f>IF(C2750&amp;G2750&amp;D2750&lt;&gt;'Funnel setup'!$K$3&amp;'Funnel setup'!$K$4&amp;'Funnel setup'!$K$6,".",IF(A2749=".",1,A2749+1))</f>
        <v>.</v>
      </c>
      <c r="B2750" s="244" t="str">
        <f t="shared" si="42"/>
        <v>Knee Replacement RevisionSub-ICB of GP PracticeNHS HUMBER AND NORTH YORKSHIRE ICB - 02Y (02Y)EQ VAS</v>
      </c>
      <c r="C2750" t="s">
        <v>973</v>
      </c>
      <c r="D2750" t="s">
        <v>1021</v>
      </c>
      <c r="E2750" t="s">
        <v>833</v>
      </c>
      <c r="F2750" t="s">
        <v>834</v>
      </c>
      <c r="G2750" t="s">
        <v>752</v>
      </c>
      <c r="H2750">
        <v>3</v>
      </c>
      <c r="I2750">
        <v>56</v>
      </c>
      <c r="J2750">
        <v>72.666700000000006</v>
      </c>
      <c r="K2750">
        <v>16.666699999999999</v>
      </c>
      <c r="L2750">
        <v>1</v>
      </c>
      <c r="M2750">
        <v>0</v>
      </c>
      <c r="N2750">
        <v>2</v>
      </c>
      <c r="O2750" t="s">
        <v>127</v>
      </c>
      <c r="P2750" t="s">
        <v>127</v>
      </c>
      <c r="Q2750" t="s">
        <v>127</v>
      </c>
    </row>
    <row r="2751" spans="1:17" x14ac:dyDescent="0.25">
      <c r="A2751" t="str">
        <f>IF(C2751&amp;G2751&amp;D2751&lt;&gt;'Funnel setup'!$K$3&amp;'Funnel setup'!$K$4&amp;'Funnel setup'!$K$6,".",IF(A2750=".",1,A2750+1))</f>
        <v>.</v>
      </c>
      <c r="B2751" s="244" t="str">
        <f t="shared" si="42"/>
        <v>Knee Replacement RevisionSub-ICB of GP PracticeNHS HUMBER AND NORTH YORKSHIRE ICB - 03F (03F)EQ VAS</v>
      </c>
      <c r="C2751" t="s">
        <v>973</v>
      </c>
      <c r="D2751" t="s">
        <v>1021</v>
      </c>
      <c r="E2751" t="s">
        <v>835</v>
      </c>
      <c r="F2751" t="s">
        <v>836</v>
      </c>
      <c r="G2751" t="s">
        <v>752</v>
      </c>
      <c r="H2751">
        <v>1</v>
      </c>
      <c r="I2751">
        <v>50</v>
      </c>
      <c r="J2751">
        <v>35</v>
      </c>
      <c r="K2751">
        <v>-15</v>
      </c>
      <c r="L2751">
        <v>0</v>
      </c>
      <c r="M2751">
        <v>0</v>
      </c>
      <c r="N2751">
        <v>1</v>
      </c>
      <c r="O2751" t="s">
        <v>127</v>
      </c>
      <c r="P2751" t="s">
        <v>127</v>
      </c>
      <c r="Q2751" t="s">
        <v>127</v>
      </c>
    </row>
    <row r="2752" spans="1:17" x14ac:dyDescent="0.25">
      <c r="A2752" t="str">
        <f>IF(C2752&amp;G2752&amp;D2752&lt;&gt;'Funnel setup'!$K$3&amp;'Funnel setup'!$K$4&amp;'Funnel setup'!$K$6,".",IF(A2751=".",1,A2751+1))</f>
        <v>.</v>
      </c>
      <c r="B2752" s="244" t="str">
        <f t="shared" si="42"/>
        <v>Knee Replacement RevisionSub-ICB of GP PracticeNHS HUMBER AND NORTH YORKSHIRE ICB - 03H (03H)EQ VAS</v>
      </c>
      <c r="C2752" t="s">
        <v>973</v>
      </c>
      <c r="D2752" t="s">
        <v>1021</v>
      </c>
      <c r="E2752" t="s">
        <v>837</v>
      </c>
      <c r="F2752" t="s">
        <v>838</v>
      </c>
      <c r="G2752" t="s">
        <v>752</v>
      </c>
      <c r="H2752">
        <v>2</v>
      </c>
      <c r="I2752">
        <v>52.5</v>
      </c>
      <c r="J2752">
        <v>62.5</v>
      </c>
      <c r="K2752">
        <v>10</v>
      </c>
      <c r="L2752">
        <v>1</v>
      </c>
      <c r="M2752">
        <v>0</v>
      </c>
      <c r="N2752">
        <v>1</v>
      </c>
      <c r="O2752" t="s">
        <v>127</v>
      </c>
      <c r="P2752" t="s">
        <v>127</v>
      </c>
      <c r="Q2752" t="s">
        <v>127</v>
      </c>
    </row>
    <row r="2753" spans="1:17" x14ac:dyDescent="0.25">
      <c r="A2753" t="str">
        <f>IF(C2753&amp;G2753&amp;D2753&lt;&gt;'Funnel setup'!$K$3&amp;'Funnel setup'!$K$4&amp;'Funnel setup'!$K$6,".",IF(A2752=".",1,A2752+1))</f>
        <v>.</v>
      </c>
      <c r="B2753" s="244" t="str">
        <f t="shared" si="42"/>
        <v>Knee Replacement RevisionSub-ICB of GP PracticeNHS HUMBER AND NORTH YORKSHIRE ICB - 03K (03K)EQ VAS</v>
      </c>
      <c r="C2753" t="s">
        <v>973</v>
      </c>
      <c r="D2753" t="s">
        <v>1021</v>
      </c>
      <c r="E2753" t="s">
        <v>839</v>
      </c>
      <c r="F2753" t="s">
        <v>840</v>
      </c>
      <c r="G2753" t="s">
        <v>752</v>
      </c>
      <c r="H2753">
        <v>3</v>
      </c>
      <c r="I2753">
        <v>66.666700000000006</v>
      </c>
      <c r="J2753">
        <v>61.666699999999999</v>
      </c>
      <c r="K2753">
        <v>-5</v>
      </c>
      <c r="L2753">
        <v>0</v>
      </c>
      <c r="M2753">
        <v>1</v>
      </c>
      <c r="N2753">
        <v>2</v>
      </c>
      <c r="O2753" t="s">
        <v>127</v>
      </c>
      <c r="P2753" t="s">
        <v>127</v>
      </c>
      <c r="Q2753" t="s">
        <v>127</v>
      </c>
    </row>
    <row r="2754" spans="1:17" x14ac:dyDescent="0.25">
      <c r="A2754" t="str">
        <f>IF(C2754&amp;G2754&amp;D2754&lt;&gt;'Funnel setup'!$K$3&amp;'Funnel setup'!$K$4&amp;'Funnel setup'!$K$6,".",IF(A2753=".",1,A2753+1))</f>
        <v>.</v>
      </c>
      <c r="B2754" s="244" t="str">
        <f t="shared" ref="B2754:B2817" si="43">C2754&amp;D2754&amp;F2754&amp;G2754</f>
        <v>Knee Replacement RevisionSub-ICB of GP PracticeNHS HUMBER AND NORTH YORKSHIRE ICB - 03Q (03Q)EQ VAS</v>
      </c>
      <c r="C2754" t="s">
        <v>973</v>
      </c>
      <c r="D2754" t="s">
        <v>1021</v>
      </c>
      <c r="E2754" t="s">
        <v>841</v>
      </c>
      <c r="F2754" t="s">
        <v>842</v>
      </c>
      <c r="G2754" t="s">
        <v>752</v>
      </c>
      <c r="H2754">
        <v>9</v>
      </c>
      <c r="I2754">
        <v>49.777799999999999</v>
      </c>
      <c r="J2754">
        <v>84.444400000000002</v>
      </c>
      <c r="K2754">
        <v>34.666699999999999</v>
      </c>
      <c r="L2754">
        <v>7</v>
      </c>
      <c r="M2754">
        <v>0</v>
      </c>
      <c r="N2754">
        <v>2</v>
      </c>
      <c r="O2754" t="s">
        <v>127</v>
      </c>
      <c r="P2754" t="s">
        <v>127</v>
      </c>
      <c r="Q2754" t="s">
        <v>127</v>
      </c>
    </row>
    <row r="2755" spans="1:17" x14ac:dyDescent="0.25">
      <c r="A2755" t="str">
        <f>IF(C2755&amp;G2755&amp;D2755&lt;&gt;'Funnel setup'!$K$3&amp;'Funnel setup'!$K$4&amp;'Funnel setup'!$K$6,".",IF(A2754=".",1,A2754+1))</f>
        <v>.</v>
      </c>
      <c r="B2755" s="244" t="str">
        <f t="shared" si="43"/>
        <v>Knee Replacement RevisionSub-ICB of GP PracticeNHS HUMBER AND NORTH YORKSHIRE ICB - 42D (42D)EQ VAS</v>
      </c>
      <c r="C2755" t="s">
        <v>973</v>
      </c>
      <c r="D2755" t="s">
        <v>1021</v>
      </c>
      <c r="E2755" t="s">
        <v>843</v>
      </c>
      <c r="F2755" t="s">
        <v>844</v>
      </c>
      <c r="G2755" t="s">
        <v>752</v>
      </c>
      <c r="H2755">
        <v>11</v>
      </c>
      <c r="I2755">
        <v>58.909100000000002</v>
      </c>
      <c r="J2755">
        <v>67.454499999999996</v>
      </c>
      <c r="K2755">
        <v>8.5454500000000007</v>
      </c>
      <c r="L2755">
        <v>7</v>
      </c>
      <c r="M2755">
        <v>2</v>
      </c>
      <c r="N2755">
        <v>2</v>
      </c>
      <c r="O2755" t="s">
        <v>127</v>
      </c>
      <c r="P2755" t="s">
        <v>127</v>
      </c>
      <c r="Q2755" t="s">
        <v>127</v>
      </c>
    </row>
    <row r="2756" spans="1:17" x14ac:dyDescent="0.25">
      <c r="A2756" t="str">
        <f>IF(C2756&amp;G2756&amp;D2756&lt;&gt;'Funnel setup'!$K$3&amp;'Funnel setup'!$K$4&amp;'Funnel setup'!$K$6,".",IF(A2755=".",1,A2755+1))</f>
        <v>.</v>
      </c>
      <c r="B2756" s="244" t="str">
        <f t="shared" si="43"/>
        <v>Knee Replacement RevisionSub-ICB of GP PracticeNHS KENT AND MEDWAY ICB - 91Q (91Q)EQ VAS</v>
      </c>
      <c r="C2756" t="s">
        <v>973</v>
      </c>
      <c r="D2756" t="s">
        <v>1021</v>
      </c>
      <c r="E2756" t="s">
        <v>845</v>
      </c>
      <c r="F2756" t="s">
        <v>846</v>
      </c>
      <c r="G2756" t="s">
        <v>752</v>
      </c>
      <c r="H2756">
        <v>17</v>
      </c>
      <c r="I2756">
        <v>59.470599999999997</v>
      </c>
      <c r="J2756">
        <v>67.058800000000005</v>
      </c>
      <c r="K2756">
        <v>7.5882399999999999</v>
      </c>
      <c r="L2756">
        <v>11</v>
      </c>
      <c r="M2756">
        <v>2</v>
      </c>
      <c r="N2756">
        <v>4</v>
      </c>
      <c r="O2756" t="s">
        <v>127</v>
      </c>
      <c r="P2756" t="s">
        <v>127</v>
      </c>
      <c r="Q2756" t="s">
        <v>127</v>
      </c>
    </row>
    <row r="2757" spans="1:17" x14ac:dyDescent="0.25">
      <c r="A2757" t="str">
        <f>IF(C2757&amp;G2757&amp;D2757&lt;&gt;'Funnel setup'!$K$3&amp;'Funnel setup'!$K$4&amp;'Funnel setup'!$K$6,".",IF(A2756=".",1,A2756+1))</f>
        <v>.</v>
      </c>
      <c r="B2757" s="244" t="str">
        <f t="shared" si="43"/>
        <v>Knee Replacement RevisionSub-ICB of GP PracticeNHS LANCASHIRE AND SOUTH CUMBRIA ICB - 00Q (00Q)EQ VAS</v>
      </c>
      <c r="C2757" t="s">
        <v>973</v>
      </c>
      <c r="D2757" t="s">
        <v>1021</v>
      </c>
      <c r="E2757" t="s">
        <v>847</v>
      </c>
      <c r="F2757" t="s">
        <v>848</v>
      </c>
      <c r="G2757" t="s">
        <v>752</v>
      </c>
      <c r="H2757">
        <v>1</v>
      </c>
      <c r="I2757">
        <v>85</v>
      </c>
      <c r="J2757">
        <v>60</v>
      </c>
      <c r="K2757">
        <v>-25</v>
      </c>
      <c r="L2757">
        <v>0</v>
      </c>
      <c r="M2757">
        <v>0</v>
      </c>
      <c r="N2757">
        <v>1</v>
      </c>
      <c r="O2757" t="s">
        <v>127</v>
      </c>
      <c r="P2757" t="s">
        <v>127</v>
      </c>
      <c r="Q2757" t="s">
        <v>127</v>
      </c>
    </row>
    <row r="2758" spans="1:17" x14ac:dyDescent="0.25">
      <c r="A2758" t="str">
        <f>IF(C2758&amp;G2758&amp;D2758&lt;&gt;'Funnel setup'!$K$3&amp;'Funnel setup'!$K$4&amp;'Funnel setup'!$K$6,".",IF(A2757=".",1,A2757+1))</f>
        <v>.</v>
      </c>
      <c r="B2758" s="244" t="str">
        <f t="shared" si="43"/>
        <v>Knee Replacement RevisionSub-ICB of GP PracticeNHS LANCASHIRE AND SOUTH CUMBRIA ICB - 00R (00R)EQ VAS</v>
      </c>
      <c r="C2758" t="s">
        <v>973</v>
      </c>
      <c r="D2758" t="s">
        <v>1021</v>
      </c>
      <c r="E2758" t="s">
        <v>849</v>
      </c>
      <c r="F2758" t="s">
        <v>850</v>
      </c>
      <c r="G2758" t="s">
        <v>752</v>
      </c>
      <c r="H2758">
        <v>1</v>
      </c>
      <c r="I2758">
        <v>50</v>
      </c>
      <c r="J2758">
        <v>49</v>
      </c>
      <c r="K2758">
        <v>-1</v>
      </c>
      <c r="L2758">
        <v>0</v>
      </c>
      <c r="M2758">
        <v>0</v>
      </c>
      <c r="N2758">
        <v>1</v>
      </c>
      <c r="O2758" t="s">
        <v>127</v>
      </c>
      <c r="P2758" t="s">
        <v>127</v>
      </c>
      <c r="Q2758" t="s">
        <v>127</v>
      </c>
    </row>
    <row r="2759" spans="1:17" x14ac:dyDescent="0.25">
      <c r="A2759" t="str">
        <f>IF(C2759&amp;G2759&amp;D2759&lt;&gt;'Funnel setup'!$K$3&amp;'Funnel setup'!$K$4&amp;'Funnel setup'!$K$6,".",IF(A2758=".",1,A2758+1))</f>
        <v>.</v>
      </c>
      <c r="B2759" s="244" t="str">
        <f t="shared" si="43"/>
        <v>Knee Replacement RevisionSub-ICB of GP PracticeNHS LANCASHIRE AND SOUTH CUMBRIA ICB - 00X (00X)EQ VAS</v>
      </c>
      <c r="C2759" t="s">
        <v>973</v>
      </c>
      <c r="D2759" t="s">
        <v>1021</v>
      </c>
      <c r="E2759" t="s">
        <v>851</v>
      </c>
      <c r="F2759" t="s">
        <v>852</v>
      </c>
      <c r="G2759" t="s">
        <v>752</v>
      </c>
      <c r="H2759">
        <v>4</v>
      </c>
      <c r="I2759">
        <v>72.25</v>
      </c>
      <c r="J2759">
        <v>72</v>
      </c>
      <c r="K2759">
        <v>-0.25</v>
      </c>
      <c r="L2759">
        <v>3</v>
      </c>
      <c r="M2759">
        <v>0</v>
      </c>
      <c r="N2759">
        <v>1</v>
      </c>
      <c r="O2759" t="s">
        <v>127</v>
      </c>
      <c r="P2759" t="s">
        <v>127</v>
      </c>
      <c r="Q2759" t="s">
        <v>127</v>
      </c>
    </row>
    <row r="2760" spans="1:17" x14ac:dyDescent="0.25">
      <c r="A2760" t="str">
        <f>IF(C2760&amp;G2760&amp;D2760&lt;&gt;'Funnel setup'!$K$3&amp;'Funnel setup'!$K$4&amp;'Funnel setup'!$K$6,".",IF(A2759=".",1,A2759+1))</f>
        <v>.</v>
      </c>
      <c r="B2760" s="244" t="str">
        <f t="shared" si="43"/>
        <v>Knee Replacement RevisionSub-ICB of GP PracticeNHS LANCASHIRE AND SOUTH CUMBRIA ICB - 01A (01A)EQ VAS</v>
      </c>
      <c r="C2760" t="s">
        <v>973</v>
      </c>
      <c r="D2760" t="s">
        <v>1021</v>
      </c>
      <c r="E2760" t="s">
        <v>853</v>
      </c>
      <c r="F2760" t="s">
        <v>854</v>
      </c>
      <c r="G2760" t="s">
        <v>752</v>
      </c>
      <c r="H2760">
        <v>3</v>
      </c>
      <c r="I2760">
        <v>52.666699999999999</v>
      </c>
      <c r="J2760">
        <v>73</v>
      </c>
      <c r="K2760">
        <v>20.333300000000001</v>
      </c>
      <c r="L2760">
        <v>3</v>
      </c>
      <c r="M2760">
        <v>0</v>
      </c>
      <c r="N2760">
        <v>0</v>
      </c>
      <c r="O2760" t="s">
        <v>127</v>
      </c>
      <c r="P2760" t="s">
        <v>127</v>
      </c>
      <c r="Q2760" t="s">
        <v>127</v>
      </c>
    </row>
    <row r="2761" spans="1:17" x14ac:dyDescent="0.25">
      <c r="A2761" t="str">
        <f>IF(C2761&amp;G2761&amp;D2761&lt;&gt;'Funnel setup'!$K$3&amp;'Funnel setup'!$K$4&amp;'Funnel setup'!$K$6,".",IF(A2760=".",1,A2760+1))</f>
        <v>.</v>
      </c>
      <c r="B2761" s="244" t="str">
        <f t="shared" si="43"/>
        <v>Knee Replacement RevisionSub-ICB of GP PracticeNHS LANCASHIRE AND SOUTH CUMBRIA ICB - 01E (01E)EQ VAS</v>
      </c>
      <c r="C2761" t="s">
        <v>973</v>
      </c>
      <c r="D2761" t="s">
        <v>1021</v>
      </c>
      <c r="E2761" t="s">
        <v>855</v>
      </c>
      <c r="F2761" t="s">
        <v>856</v>
      </c>
      <c r="G2761" t="s">
        <v>752</v>
      </c>
      <c r="H2761">
        <v>2</v>
      </c>
      <c r="I2761">
        <v>87.5</v>
      </c>
      <c r="J2761">
        <v>77.5</v>
      </c>
      <c r="K2761">
        <v>-10</v>
      </c>
      <c r="L2761">
        <v>0</v>
      </c>
      <c r="M2761">
        <v>1</v>
      </c>
      <c r="N2761">
        <v>1</v>
      </c>
      <c r="O2761" t="s">
        <v>127</v>
      </c>
      <c r="P2761" t="s">
        <v>127</v>
      </c>
      <c r="Q2761" t="s">
        <v>127</v>
      </c>
    </row>
    <row r="2762" spans="1:17" x14ac:dyDescent="0.25">
      <c r="A2762" t="str">
        <f>IF(C2762&amp;G2762&amp;D2762&lt;&gt;'Funnel setup'!$K$3&amp;'Funnel setup'!$K$4&amp;'Funnel setup'!$K$6,".",IF(A2761=".",1,A2761+1))</f>
        <v>.</v>
      </c>
      <c r="B2762" s="244" t="str">
        <f t="shared" si="43"/>
        <v>Knee Replacement RevisionSub-ICB of GP PracticeNHS LANCASHIRE AND SOUTH CUMBRIA ICB - 01K (01K)EQ VAS</v>
      </c>
      <c r="C2762" t="s">
        <v>973</v>
      </c>
      <c r="D2762" t="s">
        <v>1021</v>
      </c>
      <c r="E2762" t="s">
        <v>857</v>
      </c>
      <c r="F2762" t="s">
        <v>858</v>
      </c>
      <c r="G2762" t="s">
        <v>752</v>
      </c>
      <c r="H2762">
        <v>3</v>
      </c>
      <c r="I2762">
        <v>59.666699999999999</v>
      </c>
      <c r="J2762">
        <v>78.333299999999994</v>
      </c>
      <c r="K2762">
        <v>18.666699999999999</v>
      </c>
      <c r="L2762">
        <v>3</v>
      </c>
      <c r="M2762">
        <v>0</v>
      </c>
      <c r="N2762">
        <v>0</v>
      </c>
      <c r="O2762" t="s">
        <v>127</v>
      </c>
      <c r="P2762" t="s">
        <v>127</v>
      </c>
      <c r="Q2762" t="s">
        <v>127</v>
      </c>
    </row>
    <row r="2763" spans="1:17" x14ac:dyDescent="0.25">
      <c r="A2763" t="str">
        <f>IF(C2763&amp;G2763&amp;D2763&lt;&gt;'Funnel setup'!$K$3&amp;'Funnel setup'!$K$4&amp;'Funnel setup'!$K$6,".",IF(A2762=".",1,A2762+1))</f>
        <v>.</v>
      </c>
      <c r="B2763" s="244" t="str">
        <f t="shared" si="43"/>
        <v>Knee Replacement RevisionSub-ICB of GP PracticeNHS LANCASHIRE AND SOUTH CUMBRIA ICB - 02M (02M)EQ VAS</v>
      </c>
      <c r="C2763" t="s">
        <v>973</v>
      </c>
      <c r="D2763" t="s">
        <v>1021</v>
      </c>
      <c r="E2763" t="s">
        <v>861</v>
      </c>
      <c r="F2763" t="s">
        <v>862</v>
      </c>
      <c r="G2763" t="s">
        <v>752</v>
      </c>
      <c r="H2763">
        <v>1</v>
      </c>
      <c r="I2763">
        <v>70</v>
      </c>
      <c r="J2763">
        <v>50</v>
      </c>
      <c r="K2763">
        <v>-20</v>
      </c>
      <c r="L2763">
        <v>0</v>
      </c>
      <c r="M2763">
        <v>0</v>
      </c>
      <c r="N2763">
        <v>1</v>
      </c>
      <c r="O2763" t="s">
        <v>127</v>
      </c>
      <c r="P2763" t="s">
        <v>127</v>
      </c>
      <c r="Q2763" t="s">
        <v>127</v>
      </c>
    </row>
    <row r="2764" spans="1:17" x14ac:dyDescent="0.25">
      <c r="A2764" t="str">
        <f>IF(C2764&amp;G2764&amp;D2764&lt;&gt;'Funnel setup'!$K$3&amp;'Funnel setup'!$K$4&amp;'Funnel setup'!$K$6,".",IF(A2763=".",1,A2763+1))</f>
        <v>.</v>
      </c>
      <c r="B2764" s="244" t="str">
        <f t="shared" si="43"/>
        <v>Knee Replacement RevisionSub-ICB of GP PracticeNHS LEICESTER, LEICESTERSHIRE AND RUTLAND ICB - 03W (03W)EQ VAS</v>
      </c>
      <c r="C2764" t="s">
        <v>973</v>
      </c>
      <c r="D2764" t="s">
        <v>1021</v>
      </c>
      <c r="E2764" t="s">
        <v>863</v>
      </c>
      <c r="F2764" t="s">
        <v>864</v>
      </c>
      <c r="G2764" t="s">
        <v>752</v>
      </c>
      <c r="H2764">
        <v>5</v>
      </c>
      <c r="I2764">
        <v>68.8</v>
      </c>
      <c r="J2764">
        <v>82</v>
      </c>
      <c r="K2764">
        <v>13.2</v>
      </c>
      <c r="L2764">
        <v>4</v>
      </c>
      <c r="M2764">
        <v>0</v>
      </c>
      <c r="N2764">
        <v>1</v>
      </c>
      <c r="O2764" t="s">
        <v>127</v>
      </c>
      <c r="P2764" t="s">
        <v>127</v>
      </c>
      <c r="Q2764" t="s">
        <v>127</v>
      </c>
    </row>
    <row r="2765" spans="1:17" x14ac:dyDescent="0.25">
      <c r="A2765" t="str">
        <f>IF(C2765&amp;G2765&amp;D2765&lt;&gt;'Funnel setup'!$K$3&amp;'Funnel setup'!$K$4&amp;'Funnel setup'!$K$6,".",IF(A2764=".",1,A2764+1))</f>
        <v>.</v>
      </c>
      <c r="B2765" s="244" t="str">
        <f t="shared" si="43"/>
        <v>Knee Replacement RevisionSub-ICB of GP PracticeNHS LEICESTER, LEICESTERSHIRE AND RUTLAND ICB - 04C (04C)EQ VAS</v>
      </c>
      <c r="C2765" t="s">
        <v>973</v>
      </c>
      <c r="D2765" t="s">
        <v>1021</v>
      </c>
      <c r="E2765" t="s">
        <v>865</v>
      </c>
      <c r="F2765" t="s">
        <v>866</v>
      </c>
      <c r="G2765" t="s">
        <v>752</v>
      </c>
      <c r="H2765">
        <v>1</v>
      </c>
      <c r="I2765">
        <v>88</v>
      </c>
      <c r="J2765">
        <v>50</v>
      </c>
      <c r="K2765">
        <v>-38</v>
      </c>
      <c r="L2765">
        <v>0</v>
      </c>
      <c r="M2765">
        <v>0</v>
      </c>
      <c r="N2765">
        <v>1</v>
      </c>
      <c r="O2765" t="s">
        <v>127</v>
      </c>
      <c r="P2765" t="s">
        <v>127</v>
      </c>
      <c r="Q2765" t="s">
        <v>127</v>
      </c>
    </row>
    <row r="2766" spans="1:17" x14ac:dyDescent="0.25">
      <c r="A2766" t="str">
        <f>IF(C2766&amp;G2766&amp;D2766&lt;&gt;'Funnel setup'!$K$3&amp;'Funnel setup'!$K$4&amp;'Funnel setup'!$K$6,".",IF(A2765=".",1,A2765+1))</f>
        <v>.</v>
      </c>
      <c r="B2766" s="244" t="str">
        <f t="shared" si="43"/>
        <v>Knee Replacement RevisionSub-ICB of GP PracticeNHS LEICESTER, LEICESTERSHIRE AND RUTLAND ICB - 04V (04V)EQ VAS</v>
      </c>
      <c r="C2766" t="s">
        <v>973</v>
      </c>
      <c r="D2766" t="s">
        <v>1021</v>
      </c>
      <c r="E2766" t="s">
        <v>867</v>
      </c>
      <c r="F2766" t="s">
        <v>868</v>
      </c>
      <c r="G2766" t="s">
        <v>752</v>
      </c>
      <c r="H2766">
        <v>11</v>
      </c>
      <c r="I2766">
        <v>64.181799999999996</v>
      </c>
      <c r="J2766">
        <v>61.090899999999998</v>
      </c>
      <c r="K2766">
        <v>-3.09091</v>
      </c>
      <c r="L2766">
        <v>8</v>
      </c>
      <c r="M2766">
        <v>0</v>
      </c>
      <c r="N2766">
        <v>3</v>
      </c>
      <c r="O2766" t="s">
        <v>127</v>
      </c>
      <c r="P2766" t="s">
        <v>127</v>
      </c>
      <c r="Q2766" t="s">
        <v>127</v>
      </c>
    </row>
    <row r="2767" spans="1:17" x14ac:dyDescent="0.25">
      <c r="A2767" t="str">
        <f>IF(C2767&amp;G2767&amp;D2767&lt;&gt;'Funnel setup'!$K$3&amp;'Funnel setup'!$K$4&amp;'Funnel setup'!$K$6,".",IF(A2766=".",1,A2766+1))</f>
        <v>.</v>
      </c>
      <c r="B2767" s="244" t="str">
        <f t="shared" si="43"/>
        <v>Knee Replacement RevisionSub-ICB of GP PracticeNHS LINCOLNSHIRE ICB - 71E (71E)EQ VAS</v>
      </c>
      <c r="C2767" t="s">
        <v>973</v>
      </c>
      <c r="D2767" t="s">
        <v>1021</v>
      </c>
      <c r="E2767" t="s">
        <v>869</v>
      </c>
      <c r="F2767" t="s">
        <v>870</v>
      </c>
      <c r="G2767" t="s">
        <v>752</v>
      </c>
      <c r="H2767">
        <v>4</v>
      </c>
      <c r="I2767">
        <v>37.5</v>
      </c>
      <c r="J2767">
        <v>57.5</v>
      </c>
      <c r="K2767">
        <v>20</v>
      </c>
      <c r="L2767">
        <v>3</v>
      </c>
      <c r="M2767">
        <v>0</v>
      </c>
      <c r="N2767">
        <v>1</v>
      </c>
      <c r="O2767" t="s">
        <v>127</v>
      </c>
      <c r="P2767" t="s">
        <v>127</v>
      </c>
      <c r="Q2767" t="s">
        <v>127</v>
      </c>
    </row>
    <row r="2768" spans="1:17" x14ac:dyDescent="0.25">
      <c r="A2768" t="str">
        <f>IF(C2768&amp;G2768&amp;D2768&lt;&gt;'Funnel setup'!$K$3&amp;'Funnel setup'!$K$4&amp;'Funnel setup'!$K$6,".",IF(A2767=".",1,A2767+1))</f>
        <v>.</v>
      </c>
      <c r="B2768" s="244" t="str">
        <f t="shared" si="43"/>
        <v>Knee Replacement RevisionSub-ICB of GP PracticeNHS MID AND SOUTH ESSEX ICB - 06Q (06Q)EQ VAS</v>
      </c>
      <c r="C2768" t="s">
        <v>973</v>
      </c>
      <c r="D2768" t="s">
        <v>1021</v>
      </c>
      <c r="E2768" t="s">
        <v>871</v>
      </c>
      <c r="F2768" t="s">
        <v>872</v>
      </c>
      <c r="G2768" t="s">
        <v>752</v>
      </c>
      <c r="H2768">
        <v>2</v>
      </c>
      <c r="I2768">
        <v>60</v>
      </c>
      <c r="J2768">
        <v>45</v>
      </c>
      <c r="K2768">
        <v>-15</v>
      </c>
      <c r="L2768">
        <v>0</v>
      </c>
      <c r="M2768">
        <v>1</v>
      </c>
      <c r="N2768">
        <v>1</v>
      </c>
      <c r="O2768" t="s">
        <v>127</v>
      </c>
      <c r="P2768" t="s">
        <v>127</v>
      </c>
      <c r="Q2768" t="s">
        <v>127</v>
      </c>
    </row>
    <row r="2769" spans="1:17" x14ac:dyDescent="0.25">
      <c r="A2769" t="str">
        <f>IF(C2769&amp;G2769&amp;D2769&lt;&gt;'Funnel setup'!$K$3&amp;'Funnel setup'!$K$4&amp;'Funnel setup'!$K$6,".",IF(A2768=".",1,A2768+1))</f>
        <v>.</v>
      </c>
      <c r="B2769" s="244" t="str">
        <f t="shared" si="43"/>
        <v>Knee Replacement RevisionSub-ICB of GP PracticeNHS MID AND SOUTH ESSEX ICB - 99F (99F)EQ VAS</v>
      </c>
      <c r="C2769" t="s">
        <v>973</v>
      </c>
      <c r="D2769" t="s">
        <v>1021</v>
      </c>
      <c r="E2769" t="s">
        <v>877</v>
      </c>
      <c r="F2769" t="s">
        <v>878</v>
      </c>
      <c r="G2769" t="s">
        <v>752</v>
      </c>
      <c r="H2769">
        <v>1</v>
      </c>
      <c r="I2769">
        <v>40</v>
      </c>
      <c r="J2769">
        <v>80</v>
      </c>
      <c r="K2769">
        <v>40</v>
      </c>
      <c r="L2769">
        <v>1</v>
      </c>
      <c r="M2769">
        <v>0</v>
      </c>
      <c r="N2769">
        <v>0</v>
      </c>
      <c r="O2769" t="s">
        <v>127</v>
      </c>
      <c r="P2769" t="s">
        <v>127</v>
      </c>
      <c r="Q2769" t="s">
        <v>127</v>
      </c>
    </row>
    <row r="2770" spans="1:17" x14ac:dyDescent="0.25">
      <c r="A2770" t="str">
        <f>IF(C2770&amp;G2770&amp;D2770&lt;&gt;'Funnel setup'!$K$3&amp;'Funnel setup'!$K$4&amp;'Funnel setup'!$K$6,".",IF(A2769=".",1,A2769+1))</f>
        <v>.</v>
      </c>
      <c r="B2770" s="244" t="str">
        <f t="shared" si="43"/>
        <v>Knee Replacement RevisionSub-ICB of GP PracticeNHS NORFOLK AND WAVENEY ICB - 26A (26A)EQ VAS</v>
      </c>
      <c r="C2770" t="s">
        <v>973</v>
      </c>
      <c r="D2770" t="s">
        <v>1021</v>
      </c>
      <c r="E2770" t="s">
        <v>881</v>
      </c>
      <c r="F2770" t="s">
        <v>882</v>
      </c>
      <c r="G2770" t="s">
        <v>752</v>
      </c>
      <c r="H2770">
        <v>22</v>
      </c>
      <c r="I2770">
        <v>53</v>
      </c>
      <c r="J2770">
        <v>63.545499999999997</v>
      </c>
      <c r="K2770">
        <v>10.545500000000001</v>
      </c>
      <c r="L2770">
        <v>14</v>
      </c>
      <c r="M2770">
        <v>3</v>
      </c>
      <c r="N2770">
        <v>5</v>
      </c>
      <c r="O2770" t="s">
        <v>127</v>
      </c>
      <c r="P2770" t="s">
        <v>127</v>
      </c>
      <c r="Q2770" t="s">
        <v>127</v>
      </c>
    </row>
    <row r="2771" spans="1:17" x14ac:dyDescent="0.25">
      <c r="A2771" t="str">
        <f>IF(C2771&amp;G2771&amp;D2771&lt;&gt;'Funnel setup'!$K$3&amp;'Funnel setup'!$K$4&amp;'Funnel setup'!$K$6,".",IF(A2770=".",1,A2770+1))</f>
        <v>.</v>
      </c>
      <c r="B2771" s="244" t="str">
        <f t="shared" si="43"/>
        <v>Knee Replacement RevisionSub-ICB of GP PracticeNHS NORTH CENTRAL LONDON ICB - 93C (93C)EQ VAS</v>
      </c>
      <c r="C2771" t="s">
        <v>973</v>
      </c>
      <c r="D2771" t="s">
        <v>1021</v>
      </c>
      <c r="E2771" t="s">
        <v>883</v>
      </c>
      <c r="F2771" t="s">
        <v>884</v>
      </c>
      <c r="G2771" t="s">
        <v>752</v>
      </c>
      <c r="H2771">
        <v>3</v>
      </c>
      <c r="I2771">
        <v>62.666699999999999</v>
      </c>
      <c r="J2771">
        <v>86.666700000000006</v>
      </c>
      <c r="K2771">
        <v>24</v>
      </c>
      <c r="L2771">
        <v>3</v>
      </c>
      <c r="M2771">
        <v>0</v>
      </c>
      <c r="N2771">
        <v>0</v>
      </c>
      <c r="O2771" t="s">
        <v>127</v>
      </c>
      <c r="P2771" t="s">
        <v>127</v>
      </c>
      <c r="Q2771" t="s">
        <v>127</v>
      </c>
    </row>
    <row r="2772" spans="1:17" x14ac:dyDescent="0.25">
      <c r="A2772" t="str">
        <f>IF(C2772&amp;G2772&amp;D2772&lt;&gt;'Funnel setup'!$K$3&amp;'Funnel setup'!$K$4&amp;'Funnel setup'!$K$6,".",IF(A2771=".",1,A2771+1))</f>
        <v>.</v>
      </c>
      <c r="B2772" s="244" t="str">
        <f t="shared" si="43"/>
        <v>Knee Replacement RevisionSub-ICB of GP PracticeNHS NORTH EAST AND NORTH CUMBRIA ICB - 00L (00L)EQ VAS</v>
      </c>
      <c r="C2772" t="s">
        <v>973</v>
      </c>
      <c r="D2772" t="s">
        <v>1021</v>
      </c>
      <c r="E2772" t="s">
        <v>885</v>
      </c>
      <c r="F2772" t="s">
        <v>886</v>
      </c>
      <c r="G2772" t="s">
        <v>752</v>
      </c>
      <c r="H2772">
        <v>4</v>
      </c>
      <c r="I2772">
        <v>63.25</v>
      </c>
      <c r="J2772">
        <v>57.5</v>
      </c>
      <c r="K2772">
        <v>-5.75</v>
      </c>
      <c r="L2772">
        <v>2</v>
      </c>
      <c r="M2772">
        <v>0</v>
      </c>
      <c r="N2772">
        <v>2</v>
      </c>
      <c r="O2772" t="s">
        <v>127</v>
      </c>
      <c r="P2772" t="s">
        <v>127</v>
      </c>
      <c r="Q2772" t="s">
        <v>127</v>
      </c>
    </row>
    <row r="2773" spans="1:17" x14ac:dyDescent="0.25">
      <c r="A2773" t="str">
        <f>IF(C2773&amp;G2773&amp;D2773&lt;&gt;'Funnel setup'!$K$3&amp;'Funnel setup'!$K$4&amp;'Funnel setup'!$K$6,".",IF(A2772=".",1,A2772+1))</f>
        <v>.</v>
      </c>
      <c r="B2773" s="244" t="str">
        <f t="shared" si="43"/>
        <v>Knee Replacement RevisionSub-ICB of GP PracticeNHS NORTH EAST AND NORTH CUMBRIA ICB - 00P (00P)EQ VAS</v>
      </c>
      <c r="C2773" t="s">
        <v>973</v>
      </c>
      <c r="D2773" t="s">
        <v>1021</v>
      </c>
      <c r="E2773" t="s">
        <v>889</v>
      </c>
      <c r="F2773" t="s">
        <v>890</v>
      </c>
      <c r="G2773" t="s">
        <v>752</v>
      </c>
      <c r="H2773">
        <v>1</v>
      </c>
      <c r="I2773">
        <v>67</v>
      </c>
      <c r="J2773">
        <v>55</v>
      </c>
      <c r="K2773">
        <v>-12</v>
      </c>
      <c r="L2773">
        <v>0</v>
      </c>
      <c r="M2773">
        <v>0</v>
      </c>
      <c r="N2773">
        <v>1</v>
      </c>
      <c r="O2773" t="s">
        <v>127</v>
      </c>
      <c r="P2773" t="s">
        <v>127</v>
      </c>
      <c r="Q2773" t="s">
        <v>127</v>
      </c>
    </row>
    <row r="2774" spans="1:17" x14ac:dyDescent="0.25">
      <c r="A2774" t="str">
        <f>IF(C2774&amp;G2774&amp;D2774&lt;&gt;'Funnel setup'!$K$3&amp;'Funnel setup'!$K$4&amp;'Funnel setup'!$K$6,".",IF(A2773=".",1,A2773+1))</f>
        <v>.</v>
      </c>
      <c r="B2774" s="244" t="str">
        <f t="shared" si="43"/>
        <v>Knee Replacement RevisionSub-ICB of GP PracticeNHS NORTH EAST AND NORTH CUMBRIA ICB - 01H (01H)EQ VAS</v>
      </c>
      <c r="C2774" t="s">
        <v>973</v>
      </c>
      <c r="D2774" t="s">
        <v>1021</v>
      </c>
      <c r="E2774" t="s">
        <v>891</v>
      </c>
      <c r="F2774" t="s">
        <v>892</v>
      </c>
      <c r="G2774" t="s">
        <v>752</v>
      </c>
      <c r="H2774">
        <v>4</v>
      </c>
      <c r="I2774">
        <v>70.5</v>
      </c>
      <c r="J2774">
        <v>66.25</v>
      </c>
      <c r="K2774">
        <v>-4.25</v>
      </c>
      <c r="L2774">
        <v>1</v>
      </c>
      <c r="M2774">
        <v>2</v>
      </c>
      <c r="N2774">
        <v>1</v>
      </c>
      <c r="O2774" t="s">
        <v>127</v>
      </c>
      <c r="P2774" t="s">
        <v>127</v>
      </c>
      <c r="Q2774" t="s">
        <v>127</v>
      </c>
    </row>
    <row r="2775" spans="1:17" x14ac:dyDescent="0.25">
      <c r="A2775" t="str">
        <f>IF(C2775&amp;G2775&amp;D2775&lt;&gt;'Funnel setup'!$K$3&amp;'Funnel setup'!$K$4&amp;'Funnel setup'!$K$6,".",IF(A2774=".",1,A2774+1))</f>
        <v>.</v>
      </c>
      <c r="B2775" s="244" t="str">
        <f t="shared" si="43"/>
        <v>Knee Replacement RevisionSub-ICB of GP PracticeNHS NORTH EAST AND NORTH CUMBRIA ICB - 13T (13T)EQ VAS</v>
      </c>
      <c r="C2775" t="s">
        <v>973</v>
      </c>
      <c r="D2775" t="s">
        <v>1021</v>
      </c>
      <c r="E2775" t="s">
        <v>893</v>
      </c>
      <c r="F2775" t="s">
        <v>894</v>
      </c>
      <c r="G2775" t="s">
        <v>752</v>
      </c>
      <c r="H2775">
        <v>2</v>
      </c>
      <c r="I2775">
        <v>71.5</v>
      </c>
      <c r="J2775">
        <v>78</v>
      </c>
      <c r="K2775">
        <v>6.5</v>
      </c>
      <c r="L2775">
        <v>1</v>
      </c>
      <c r="M2775">
        <v>1</v>
      </c>
      <c r="N2775">
        <v>0</v>
      </c>
      <c r="O2775" t="s">
        <v>127</v>
      </c>
      <c r="P2775" t="s">
        <v>127</v>
      </c>
      <c r="Q2775" t="s">
        <v>127</v>
      </c>
    </row>
    <row r="2776" spans="1:17" x14ac:dyDescent="0.25">
      <c r="A2776" t="str">
        <f>IF(C2776&amp;G2776&amp;D2776&lt;&gt;'Funnel setup'!$K$3&amp;'Funnel setup'!$K$4&amp;'Funnel setup'!$K$6,".",IF(A2775=".",1,A2775+1))</f>
        <v>.</v>
      </c>
      <c r="B2776" s="244" t="str">
        <f t="shared" si="43"/>
        <v>Knee Replacement RevisionSub-ICB of GP PracticeNHS NORTH EAST AND NORTH CUMBRIA ICB - 16C (16C)EQ VAS</v>
      </c>
      <c r="C2776" t="s">
        <v>973</v>
      </c>
      <c r="D2776" t="s">
        <v>1021</v>
      </c>
      <c r="E2776" t="s">
        <v>895</v>
      </c>
      <c r="F2776" t="s">
        <v>896</v>
      </c>
      <c r="G2776" t="s">
        <v>752</v>
      </c>
      <c r="H2776">
        <v>17</v>
      </c>
      <c r="I2776">
        <v>57.352899999999998</v>
      </c>
      <c r="J2776">
        <v>57.352899999999998</v>
      </c>
      <c r="K2776">
        <v>0</v>
      </c>
      <c r="L2776">
        <v>9</v>
      </c>
      <c r="M2776">
        <v>1</v>
      </c>
      <c r="N2776">
        <v>7</v>
      </c>
      <c r="O2776" t="s">
        <v>127</v>
      </c>
      <c r="P2776" t="s">
        <v>127</v>
      </c>
      <c r="Q2776" t="s">
        <v>127</v>
      </c>
    </row>
    <row r="2777" spans="1:17" x14ac:dyDescent="0.25">
      <c r="A2777" t="str">
        <f>IF(C2777&amp;G2777&amp;D2777&lt;&gt;'Funnel setup'!$K$3&amp;'Funnel setup'!$K$4&amp;'Funnel setup'!$K$6,".",IF(A2776=".",1,A2776+1))</f>
        <v>.</v>
      </c>
      <c r="B2777" s="244" t="str">
        <f t="shared" si="43"/>
        <v>Knee Replacement RevisionSub-ICB of GP PracticeNHS NORTH EAST AND NORTH CUMBRIA ICB - 84H (84H)EQ VAS</v>
      </c>
      <c r="C2777" t="s">
        <v>973</v>
      </c>
      <c r="D2777" t="s">
        <v>1021</v>
      </c>
      <c r="E2777" t="s">
        <v>897</v>
      </c>
      <c r="F2777" t="s">
        <v>898</v>
      </c>
      <c r="G2777" t="s">
        <v>752</v>
      </c>
      <c r="H2777">
        <v>9</v>
      </c>
      <c r="I2777">
        <v>46.555599999999998</v>
      </c>
      <c r="J2777">
        <v>49</v>
      </c>
      <c r="K2777">
        <v>2.4444400000000002</v>
      </c>
      <c r="L2777">
        <v>5</v>
      </c>
      <c r="M2777">
        <v>1</v>
      </c>
      <c r="N2777">
        <v>3</v>
      </c>
      <c r="O2777" t="s">
        <v>127</v>
      </c>
      <c r="P2777" t="s">
        <v>127</v>
      </c>
      <c r="Q2777" t="s">
        <v>127</v>
      </c>
    </row>
    <row r="2778" spans="1:17" x14ac:dyDescent="0.25">
      <c r="A2778" t="str">
        <f>IF(C2778&amp;G2778&amp;D2778&lt;&gt;'Funnel setup'!$K$3&amp;'Funnel setup'!$K$4&amp;'Funnel setup'!$K$6,".",IF(A2777=".",1,A2777+1))</f>
        <v>.</v>
      </c>
      <c r="B2778" s="244" t="str">
        <f t="shared" si="43"/>
        <v>Knee Replacement RevisionSub-ICB of GP PracticeNHS NORTH EAST AND NORTH CUMBRIA ICB - 99C (99C)EQ VAS</v>
      </c>
      <c r="C2778" t="s">
        <v>973</v>
      </c>
      <c r="D2778" t="s">
        <v>1021</v>
      </c>
      <c r="E2778" t="s">
        <v>899</v>
      </c>
      <c r="F2778" t="s">
        <v>900</v>
      </c>
      <c r="G2778" t="s">
        <v>752</v>
      </c>
      <c r="H2778">
        <v>1</v>
      </c>
      <c r="I2778">
        <v>72</v>
      </c>
      <c r="J2778">
        <v>45</v>
      </c>
      <c r="K2778">
        <v>-27</v>
      </c>
      <c r="L2778">
        <v>0</v>
      </c>
      <c r="M2778">
        <v>0</v>
      </c>
      <c r="N2778">
        <v>1</v>
      </c>
      <c r="O2778" t="s">
        <v>127</v>
      </c>
      <c r="P2778" t="s">
        <v>127</v>
      </c>
      <c r="Q2778" t="s">
        <v>127</v>
      </c>
    </row>
    <row r="2779" spans="1:17" x14ac:dyDescent="0.25">
      <c r="A2779" t="str">
        <f>IF(C2779&amp;G2779&amp;D2779&lt;&gt;'Funnel setup'!$K$3&amp;'Funnel setup'!$K$4&amp;'Funnel setup'!$K$6,".",IF(A2778=".",1,A2778+1))</f>
        <v>.</v>
      </c>
      <c r="B2779" s="244" t="str">
        <f t="shared" si="43"/>
        <v>Knee Replacement RevisionSub-ICB of GP PracticeNHS NORTH EAST LONDON ICB - A3A8R (A3A8R)EQ VAS</v>
      </c>
      <c r="C2779" t="s">
        <v>973</v>
      </c>
      <c r="D2779" t="s">
        <v>1021</v>
      </c>
      <c r="E2779" t="s">
        <v>901</v>
      </c>
      <c r="F2779" t="s">
        <v>902</v>
      </c>
      <c r="G2779" t="s">
        <v>752</v>
      </c>
      <c r="H2779">
        <v>10</v>
      </c>
      <c r="I2779">
        <v>61.2</v>
      </c>
      <c r="J2779">
        <v>66.8</v>
      </c>
      <c r="K2779">
        <v>5.6</v>
      </c>
      <c r="L2779">
        <v>5</v>
      </c>
      <c r="M2779">
        <v>1</v>
      </c>
      <c r="N2779">
        <v>4</v>
      </c>
      <c r="O2779" t="s">
        <v>127</v>
      </c>
      <c r="P2779" t="s">
        <v>127</v>
      </c>
      <c r="Q2779" t="s">
        <v>127</v>
      </c>
    </row>
    <row r="2780" spans="1:17" x14ac:dyDescent="0.25">
      <c r="A2780" t="str">
        <f>IF(C2780&amp;G2780&amp;D2780&lt;&gt;'Funnel setup'!$K$3&amp;'Funnel setup'!$K$4&amp;'Funnel setup'!$K$6,".",IF(A2779=".",1,A2779+1))</f>
        <v>.</v>
      </c>
      <c r="B2780" s="244" t="str">
        <f t="shared" si="43"/>
        <v>Knee Replacement RevisionSub-ICB of GP PracticeNHS NORTH WEST LONDON ICB - W2U3Z (W2U3Z)EQ VAS</v>
      </c>
      <c r="C2780" t="s">
        <v>973</v>
      </c>
      <c r="D2780" t="s">
        <v>1021</v>
      </c>
      <c r="E2780" t="s">
        <v>903</v>
      </c>
      <c r="F2780" t="s">
        <v>904</v>
      </c>
      <c r="G2780" t="s">
        <v>752</v>
      </c>
      <c r="H2780">
        <v>10</v>
      </c>
      <c r="I2780">
        <v>60.2</v>
      </c>
      <c r="J2780">
        <v>73</v>
      </c>
      <c r="K2780">
        <v>12.8</v>
      </c>
      <c r="L2780">
        <v>5</v>
      </c>
      <c r="M2780">
        <v>4</v>
      </c>
      <c r="N2780">
        <v>1</v>
      </c>
      <c r="O2780" t="s">
        <v>127</v>
      </c>
      <c r="P2780" t="s">
        <v>127</v>
      </c>
      <c r="Q2780" t="s">
        <v>127</v>
      </c>
    </row>
    <row r="2781" spans="1:17" x14ac:dyDescent="0.25">
      <c r="A2781" t="str">
        <f>IF(C2781&amp;G2781&amp;D2781&lt;&gt;'Funnel setup'!$K$3&amp;'Funnel setup'!$K$4&amp;'Funnel setup'!$K$6,".",IF(A2780=".",1,A2780+1))</f>
        <v>.</v>
      </c>
      <c r="B2781" s="244" t="str">
        <f t="shared" si="43"/>
        <v>Knee Replacement RevisionSub-ICB of GP PracticeNHS NORTHAMPTONSHIRE ICB - 78H (78H)EQ VAS</v>
      </c>
      <c r="C2781" t="s">
        <v>973</v>
      </c>
      <c r="D2781" t="s">
        <v>1021</v>
      </c>
      <c r="E2781" t="s">
        <v>905</v>
      </c>
      <c r="F2781" t="s">
        <v>906</v>
      </c>
      <c r="G2781" t="s">
        <v>752</v>
      </c>
      <c r="H2781">
        <v>12</v>
      </c>
      <c r="I2781">
        <v>54.5</v>
      </c>
      <c r="J2781">
        <v>71.333299999999994</v>
      </c>
      <c r="K2781">
        <v>16.833300000000001</v>
      </c>
      <c r="L2781">
        <v>9</v>
      </c>
      <c r="M2781">
        <v>2</v>
      </c>
      <c r="N2781">
        <v>1</v>
      </c>
      <c r="O2781" t="s">
        <v>127</v>
      </c>
      <c r="P2781" t="s">
        <v>127</v>
      </c>
      <c r="Q2781" t="s">
        <v>127</v>
      </c>
    </row>
    <row r="2782" spans="1:17" x14ac:dyDescent="0.25">
      <c r="A2782" t="str">
        <f>IF(C2782&amp;G2782&amp;D2782&lt;&gt;'Funnel setup'!$K$3&amp;'Funnel setup'!$K$4&amp;'Funnel setup'!$K$6,".",IF(A2781=".",1,A2781+1))</f>
        <v>.</v>
      </c>
      <c r="B2782" s="244" t="str">
        <f t="shared" si="43"/>
        <v>Knee Replacement RevisionSub-ICB of GP PracticeNHS NOTTINGHAM AND NOTTINGHAMSHIRE ICB - 02Q (02Q)EQ VAS</v>
      </c>
      <c r="C2782" t="s">
        <v>973</v>
      </c>
      <c r="D2782" t="s">
        <v>1021</v>
      </c>
      <c r="E2782" t="s">
        <v>907</v>
      </c>
      <c r="F2782" t="s">
        <v>908</v>
      </c>
      <c r="G2782" t="s">
        <v>752</v>
      </c>
      <c r="H2782">
        <v>3</v>
      </c>
      <c r="I2782">
        <v>65.333299999999994</v>
      </c>
      <c r="J2782">
        <v>53.333300000000001</v>
      </c>
      <c r="K2782">
        <v>-12</v>
      </c>
      <c r="L2782">
        <v>1</v>
      </c>
      <c r="M2782">
        <v>0</v>
      </c>
      <c r="N2782">
        <v>2</v>
      </c>
      <c r="O2782" t="s">
        <v>127</v>
      </c>
      <c r="P2782" t="s">
        <v>127</v>
      </c>
      <c r="Q2782" t="s">
        <v>127</v>
      </c>
    </row>
    <row r="2783" spans="1:17" x14ac:dyDescent="0.25">
      <c r="A2783" t="str">
        <f>IF(C2783&amp;G2783&amp;D2783&lt;&gt;'Funnel setup'!$K$3&amp;'Funnel setup'!$K$4&amp;'Funnel setup'!$K$6,".",IF(A2782=".",1,A2782+1))</f>
        <v>.</v>
      </c>
      <c r="B2783" s="244" t="str">
        <f t="shared" si="43"/>
        <v>Knee Replacement RevisionSub-ICB of GP PracticeNHS NOTTINGHAM AND NOTTINGHAMSHIRE ICB - 52R (52R)EQ VAS</v>
      </c>
      <c r="C2783" t="s">
        <v>973</v>
      </c>
      <c r="D2783" t="s">
        <v>1021</v>
      </c>
      <c r="E2783" t="s">
        <v>909</v>
      </c>
      <c r="F2783" t="s">
        <v>910</v>
      </c>
      <c r="G2783" t="s">
        <v>752</v>
      </c>
      <c r="H2783">
        <v>2</v>
      </c>
      <c r="I2783">
        <v>30</v>
      </c>
      <c r="J2783">
        <v>60</v>
      </c>
      <c r="K2783">
        <v>30</v>
      </c>
      <c r="L2783">
        <v>1</v>
      </c>
      <c r="M2783">
        <v>1</v>
      </c>
      <c r="N2783">
        <v>0</v>
      </c>
      <c r="O2783" t="s">
        <v>127</v>
      </c>
      <c r="P2783" t="s">
        <v>127</v>
      </c>
      <c r="Q2783" t="s">
        <v>127</v>
      </c>
    </row>
    <row r="2784" spans="1:17" x14ac:dyDescent="0.25">
      <c r="A2784" t="str">
        <f>IF(C2784&amp;G2784&amp;D2784&lt;&gt;'Funnel setup'!$K$3&amp;'Funnel setup'!$K$4&amp;'Funnel setup'!$K$6,".",IF(A2783=".",1,A2783+1))</f>
        <v>.</v>
      </c>
      <c r="B2784" s="244" t="str">
        <f t="shared" si="43"/>
        <v>Knee Replacement RevisionSub-ICB of GP PracticeNHS SHROPSHIRE, TELFORD AND WREKIN ICB - M2L0M (M2L0M)EQ VAS</v>
      </c>
      <c r="C2784" t="s">
        <v>973</v>
      </c>
      <c r="D2784" t="s">
        <v>1021</v>
      </c>
      <c r="E2784" t="s">
        <v>911</v>
      </c>
      <c r="F2784" t="s">
        <v>912</v>
      </c>
      <c r="G2784" t="s">
        <v>752</v>
      </c>
      <c r="H2784">
        <v>17</v>
      </c>
      <c r="I2784">
        <v>61.058799999999998</v>
      </c>
      <c r="J2784">
        <v>65.647099999999995</v>
      </c>
      <c r="K2784">
        <v>4.5882399999999999</v>
      </c>
      <c r="L2784">
        <v>9</v>
      </c>
      <c r="M2784">
        <v>1</v>
      </c>
      <c r="N2784">
        <v>7</v>
      </c>
      <c r="O2784" t="s">
        <v>127</v>
      </c>
      <c r="P2784" t="s">
        <v>127</v>
      </c>
      <c r="Q2784" t="s">
        <v>127</v>
      </c>
    </row>
    <row r="2785" spans="1:17" x14ac:dyDescent="0.25">
      <c r="A2785" t="str">
        <f>IF(C2785&amp;G2785&amp;D2785&lt;&gt;'Funnel setup'!$K$3&amp;'Funnel setup'!$K$4&amp;'Funnel setup'!$K$6,".",IF(A2784=".",1,A2784+1))</f>
        <v>.</v>
      </c>
      <c r="B2785" s="244" t="str">
        <f t="shared" si="43"/>
        <v>Knee Replacement RevisionSub-ICB of GP PracticeNHS SOUTH EAST LONDON ICB - 72Q (72Q)EQ VAS</v>
      </c>
      <c r="C2785" t="s">
        <v>973</v>
      </c>
      <c r="D2785" t="s">
        <v>1021</v>
      </c>
      <c r="E2785" t="s">
        <v>915</v>
      </c>
      <c r="F2785" t="s">
        <v>916</v>
      </c>
      <c r="G2785" t="s">
        <v>752</v>
      </c>
      <c r="H2785">
        <v>9</v>
      </c>
      <c r="I2785">
        <v>54.444400000000002</v>
      </c>
      <c r="J2785">
        <v>54.333300000000001</v>
      </c>
      <c r="K2785">
        <v>-0.111111</v>
      </c>
      <c r="L2785">
        <v>5</v>
      </c>
      <c r="M2785">
        <v>2</v>
      </c>
      <c r="N2785">
        <v>2</v>
      </c>
      <c r="O2785" t="s">
        <v>127</v>
      </c>
      <c r="P2785" t="s">
        <v>127</v>
      </c>
      <c r="Q2785" t="s">
        <v>127</v>
      </c>
    </row>
    <row r="2786" spans="1:17" x14ac:dyDescent="0.25">
      <c r="A2786" t="str">
        <f>IF(C2786&amp;G2786&amp;D2786&lt;&gt;'Funnel setup'!$K$3&amp;'Funnel setup'!$K$4&amp;'Funnel setup'!$K$6,".",IF(A2785=".",1,A2785+1))</f>
        <v>.</v>
      </c>
      <c r="B2786" s="244" t="str">
        <f t="shared" si="43"/>
        <v>Knee Replacement RevisionSub-ICB of GP PracticeNHS SOUTH WEST LONDON ICB - 36L (36L)EQ VAS</v>
      </c>
      <c r="C2786" t="s">
        <v>973</v>
      </c>
      <c r="D2786" t="s">
        <v>1021</v>
      </c>
      <c r="E2786" t="s">
        <v>917</v>
      </c>
      <c r="F2786" t="s">
        <v>918</v>
      </c>
      <c r="G2786" t="s">
        <v>752</v>
      </c>
      <c r="H2786">
        <v>10</v>
      </c>
      <c r="I2786">
        <v>49.6</v>
      </c>
      <c r="J2786">
        <v>66.900000000000006</v>
      </c>
      <c r="K2786">
        <v>17.3</v>
      </c>
      <c r="L2786">
        <v>5</v>
      </c>
      <c r="M2786">
        <v>1</v>
      </c>
      <c r="N2786">
        <v>4</v>
      </c>
      <c r="O2786" t="s">
        <v>127</v>
      </c>
      <c r="P2786" t="s">
        <v>127</v>
      </c>
      <c r="Q2786" t="s">
        <v>127</v>
      </c>
    </row>
    <row r="2787" spans="1:17" x14ac:dyDescent="0.25">
      <c r="A2787" t="str">
        <f>IF(C2787&amp;G2787&amp;D2787&lt;&gt;'Funnel setup'!$K$3&amp;'Funnel setup'!$K$4&amp;'Funnel setup'!$K$6,".",IF(A2786=".",1,A2786+1))</f>
        <v>.</v>
      </c>
      <c r="B2787" s="244" t="str">
        <f t="shared" si="43"/>
        <v>Knee Replacement RevisionSub-ICB of GP PracticeNHS SOUTH YORKSHIRE ICB - 02P (02P)EQ VAS</v>
      </c>
      <c r="C2787" t="s">
        <v>973</v>
      </c>
      <c r="D2787" t="s">
        <v>1021</v>
      </c>
      <c r="E2787" t="s">
        <v>919</v>
      </c>
      <c r="F2787" t="s">
        <v>920</v>
      </c>
      <c r="G2787" t="s">
        <v>752</v>
      </c>
      <c r="H2787">
        <v>2</v>
      </c>
      <c r="I2787">
        <v>47.5</v>
      </c>
      <c r="J2787">
        <v>59.5</v>
      </c>
      <c r="K2787">
        <v>12</v>
      </c>
      <c r="L2787">
        <v>2</v>
      </c>
      <c r="M2787">
        <v>0</v>
      </c>
      <c r="N2787">
        <v>0</v>
      </c>
      <c r="O2787" t="s">
        <v>127</v>
      </c>
      <c r="P2787" t="s">
        <v>127</v>
      </c>
      <c r="Q2787" t="s">
        <v>127</v>
      </c>
    </row>
    <row r="2788" spans="1:17" x14ac:dyDescent="0.25">
      <c r="A2788" t="str">
        <f>IF(C2788&amp;G2788&amp;D2788&lt;&gt;'Funnel setup'!$K$3&amp;'Funnel setup'!$K$4&amp;'Funnel setup'!$K$6,".",IF(A2787=".",1,A2787+1))</f>
        <v>.</v>
      </c>
      <c r="B2788" s="244" t="str">
        <f t="shared" si="43"/>
        <v>Knee Replacement RevisionSub-ICB of GP PracticeNHS SOUTH YORKSHIRE ICB - 03N (03N)EQ VAS</v>
      </c>
      <c r="C2788" t="s">
        <v>973</v>
      </c>
      <c r="D2788" t="s">
        <v>1021</v>
      </c>
      <c r="E2788" t="s">
        <v>925</v>
      </c>
      <c r="F2788" t="s">
        <v>926</v>
      </c>
      <c r="G2788" t="s">
        <v>752</v>
      </c>
      <c r="H2788">
        <v>1</v>
      </c>
      <c r="I2788">
        <v>70</v>
      </c>
      <c r="J2788">
        <v>75</v>
      </c>
      <c r="K2788">
        <v>5</v>
      </c>
      <c r="L2788">
        <v>1</v>
      </c>
      <c r="M2788">
        <v>0</v>
      </c>
      <c r="N2788">
        <v>0</v>
      </c>
      <c r="O2788" t="s">
        <v>127</v>
      </c>
      <c r="P2788" t="s">
        <v>127</v>
      </c>
      <c r="Q2788" t="s">
        <v>127</v>
      </c>
    </row>
    <row r="2789" spans="1:17" x14ac:dyDescent="0.25">
      <c r="A2789" t="str">
        <f>IF(C2789&amp;G2789&amp;D2789&lt;&gt;'Funnel setup'!$K$3&amp;'Funnel setup'!$K$4&amp;'Funnel setup'!$K$6,".",IF(A2788=".",1,A2788+1))</f>
        <v>.</v>
      </c>
      <c r="B2789" s="244" t="str">
        <f t="shared" si="43"/>
        <v>Knee Replacement RevisionSub-ICB of GP PracticeNHS STAFFORDSHIRE AND STOKE-ON-TRENT ICB - 05D (05D)EQ VAS</v>
      </c>
      <c r="C2789" t="s">
        <v>973</v>
      </c>
      <c r="D2789" t="s">
        <v>1021</v>
      </c>
      <c r="E2789" t="s">
        <v>929</v>
      </c>
      <c r="F2789" t="s">
        <v>930</v>
      </c>
      <c r="G2789" t="s">
        <v>752</v>
      </c>
      <c r="H2789">
        <v>6</v>
      </c>
      <c r="I2789">
        <v>62.833300000000001</v>
      </c>
      <c r="J2789">
        <v>57.833300000000001</v>
      </c>
      <c r="K2789">
        <v>-5</v>
      </c>
      <c r="L2789">
        <v>2</v>
      </c>
      <c r="M2789">
        <v>2</v>
      </c>
      <c r="N2789">
        <v>2</v>
      </c>
      <c r="O2789" t="s">
        <v>127</v>
      </c>
      <c r="P2789" t="s">
        <v>127</v>
      </c>
      <c r="Q2789" t="s">
        <v>127</v>
      </c>
    </row>
    <row r="2790" spans="1:17" x14ac:dyDescent="0.25">
      <c r="A2790" t="str">
        <f>IF(C2790&amp;G2790&amp;D2790&lt;&gt;'Funnel setup'!$K$3&amp;'Funnel setup'!$K$4&amp;'Funnel setup'!$K$6,".",IF(A2789=".",1,A2789+1))</f>
        <v>.</v>
      </c>
      <c r="B2790" s="244" t="str">
        <f t="shared" si="43"/>
        <v>Knee Replacement RevisionSub-ICB of GP PracticeNHS STAFFORDSHIRE AND STOKE-ON-TRENT ICB - 05G (05G)EQ VAS</v>
      </c>
      <c r="C2790" t="s">
        <v>973</v>
      </c>
      <c r="D2790" t="s">
        <v>1021</v>
      </c>
      <c r="E2790" t="s">
        <v>931</v>
      </c>
      <c r="F2790" t="s">
        <v>932</v>
      </c>
      <c r="G2790" t="s">
        <v>752</v>
      </c>
      <c r="H2790">
        <v>3</v>
      </c>
      <c r="I2790">
        <v>53.333300000000001</v>
      </c>
      <c r="J2790">
        <v>53.666699999999999</v>
      </c>
      <c r="K2790">
        <v>0.33333299999999999</v>
      </c>
      <c r="L2790">
        <v>1</v>
      </c>
      <c r="M2790">
        <v>0</v>
      </c>
      <c r="N2790">
        <v>2</v>
      </c>
      <c r="O2790" t="s">
        <v>127</v>
      </c>
      <c r="P2790" t="s">
        <v>127</v>
      </c>
      <c r="Q2790" t="s">
        <v>127</v>
      </c>
    </row>
    <row r="2791" spans="1:17" x14ac:dyDescent="0.25">
      <c r="A2791" t="str">
        <f>IF(C2791&amp;G2791&amp;D2791&lt;&gt;'Funnel setup'!$K$3&amp;'Funnel setup'!$K$4&amp;'Funnel setup'!$K$6,".",IF(A2790=".",1,A2790+1))</f>
        <v>.</v>
      </c>
      <c r="B2791" s="244" t="str">
        <f t="shared" si="43"/>
        <v>Knee Replacement RevisionSub-ICB of GP PracticeNHS STAFFORDSHIRE AND STOKE-ON-TRENT ICB - 05Q (05Q)EQ VAS</v>
      </c>
      <c r="C2791" t="s">
        <v>973</v>
      </c>
      <c r="D2791" t="s">
        <v>1021</v>
      </c>
      <c r="E2791" t="s">
        <v>933</v>
      </c>
      <c r="F2791" t="s">
        <v>934</v>
      </c>
      <c r="G2791" t="s">
        <v>752</v>
      </c>
      <c r="H2791">
        <v>8</v>
      </c>
      <c r="I2791">
        <v>59.75</v>
      </c>
      <c r="J2791">
        <v>79.375</v>
      </c>
      <c r="K2791">
        <v>19.625</v>
      </c>
      <c r="L2791">
        <v>6</v>
      </c>
      <c r="M2791">
        <v>2</v>
      </c>
      <c r="N2791">
        <v>0</v>
      </c>
      <c r="O2791" t="s">
        <v>127</v>
      </c>
      <c r="P2791" t="s">
        <v>127</v>
      </c>
      <c r="Q2791" t="s">
        <v>127</v>
      </c>
    </row>
    <row r="2792" spans="1:17" x14ac:dyDescent="0.25">
      <c r="A2792" t="str">
        <f>IF(C2792&amp;G2792&amp;D2792&lt;&gt;'Funnel setup'!$K$3&amp;'Funnel setup'!$K$4&amp;'Funnel setup'!$K$6,".",IF(A2791=".",1,A2791+1))</f>
        <v>.</v>
      </c>
      <c r="B2792" s="244" t="str">
        <f t="shared" si="43"/>
        <v>Knee Replacement RevisionSub-ICB of GP PracticeNHS STAFFORDSHIRE AND STOKE-ON-TRENT ICB - 05W (05W)EQ VAS</v>
      </c>
      <c r="C2792" t="s">
        <v>973</v>
      </c>
      <c r="D2792" t="s">
        <v>1021</v>
      </c>
      <c r="E2792" t="s">
        <v>937</v>
      </c>
      <c r="F2792" t="s">
        <v>938</v>
      </c>
      <c r="G2792" t="s">
        <v>752</v>
      </c>
      <c r="H2792">
        <v>4</v>
      </c>
      <c r="I2792">
        <v>58.75</v>
      </c>
      <c r="J2792">
        <v>66.75</v>
      </c>
      <c r="K2792">
        <v>8</v>
      </c>
      <c r="L2792">
        <v>2</v>
      </c>
      <c r="M2792">
        <v>1</v>
      </c>
      <c r="N2792">
        <v>1</v>
      </c>
      <c r="O2792" t="s">
        <v>127</v>
      </c>
      <c r="P2792" t="s">
        <v>127</v>
      </c>
      <c r="Q2792" t="s">
        <v>127</v>
      </c>
    </row>
    <row r="2793" spans="1:17" x14ac:dyDescent="0.25">
      <c r="A2793" t="str">
        <f>IF(C2793&amp;G2793&amp;D2793&lt;&gt;'Funnel setup'!$K$3&amp;'Funnel setup'!$K$4&amp;'Funnel setup'!$K$6,".",IF(A2792=".",1,A2792+1))</f>
        <v>.</v>
      </c>
      <c r="B2793" s="244" t="str">
        <f t="shared" si="43"/>
        <v>Knee Replacement RevisionSub-ICB of GP PracticeNHS SUFFOLK AND NORTH EAST ESSEX ICB - 06L (06L)EQ VAS</v>
      </c>
      <c r="C2793" t="s">
        <v>973</v>
      </c>
      <c r="D2793" t="s">
        <v>1021</v>
      </c>
      <c r="E2793" t="s">
        <v>939</v>
      </c>
      <c r="F2793" t="s">
        <v>940</v>
      </c>
      <c r="G2793" t="s">
        <v>752</v>
      </c>
      <c r="H2793">
        <v>4</v>
      </c>
      <c r="I2793">
        <v>58.5</v>
      </c>
      <c r="J2793">
        <v>78.5</v>
      </c>
      <c r="K2793">
        <v>20</v>
      </c>
      <c r="L2793">
        <v>2</v>
      </c>
      <c r="M2793">
        <v>1</v>
      </c>
      <c r="N2793">
        <v>1</v>
      </c>
      <c r="O2793" t="s">
        <v>127</v>
      </c>
      <c r="P2793" t="s">
        <v>127</v>
      </c>
      <c r="Q2793" t="s">
        <v>127</v>
      </c>
    </row>
    <row r="2794" spans="1:17" x14ac:dyDescent="0.25">
      <c r="A2794" t="str">
        <f>IF(C2794&amp;G2794&amp;D2794&lt;&gt;'Funnel setup'!$K$3&amp;'Funnel setup'!$K$4&amp;'Funnel setup'!$K$6,".",IF(A2793=".",1,A2793+1))</f>
        <v>.</v>
      </c>
      <c r="B2794" s="244" t="str">
        <f t="shared" si="43"/>
        <v>Knee Replacement RevisionSub-ICB of GP PracticeNHS SUFFOLK AND NORTH EAST ESSEX ICB - 06T (06T)EQ VAS</v>
      </c>
      <c r="C2794" t="s">
        <v>973</v>
      </c>
      <c r="D2794" t="s">
        <v>1021</v>
      </c>
      <c r="E2794" t="s">
        <v>941</v>
      </c>
      <c r="F2794" t="s">
        <v>942</v>
      </c>
      <c r="G2794" t="s">
        <v>752</v>
      </c>
      <c r="H2794">
        <v>2</v>
      </c>
      <c r="I2794">
        <v>87.5</v>
      </c>
      <c r="J2794">
        <v>52.5</v>
      </c>
      <c r="K2794">
        <v>-35</v>
      </c>
      <c r="L2794">
        <v>0</v>
      </c>
      <c r="M2794">
        <v>0</v>
      </c>
      <c r="N2794">
        <v>2</v>
      </c>
      <c r="O2794" t="s">
        <v>127</v>
      </c>
      <c r="P2794" t="s">
        <v>127</v>
      </c>
      <c r="Q2794" t="s">
        <v>127</v>
      </c>
    </row>
    <row r="2795" spans="1:17" x14ac:dyDescent="0.25">
      <c r="A2795" t="str">
        <f>IF(C2795&amp;G2795&amp;D2795&lt;&gt;'Funnel setup'!$K$3&amp;'Funnel setup'!$K$4&amp;'Funnel setup'!$K$6,".",IF(A2794=".",1,A2794+1))</f>
        <v>.</v>
      </c>
      <c r="B2795" s="244" t="str">
        <f t="shared" si="43"/>
        <v>Knee Replacement RevisionSub-ICB of GP PracticeNHS SUFFOLK AND NORTH EAST ESSEX ICB - 07K (07K)EQ VAS</v>
      </c>
      <c r="C2795" t="s">
        <v>973</v>
      </c>
      <c r="D2795" t="s">
        <v>1021</v>
      </c>
      <c r="E2795" t="s">
        <v>943</v>
      </c>
      <c r="F2795" t="s">
        <v>944</v>
      </c>
      <c r="G2795" t="s">
        <v>752</v>
      </c>
      <c r="H2795">
        <v>4</v>
      </c>
      <c r="I2795">
        <v>68.75</v>
      </c>
      <c r="J2795">
        <v>69</v>
      </c>
      <c r="K2795">
        <v>0.25</v>
      </c>
      <c r="L2795">
        <v>1</v>
      </c>
      <c r="M2795">
        <v>2</v>
      </c>
      <c r="N2795">
        <v>1</v>
      </c>
      <c r="O2795" t="s">
        <v>127</v>
      </c>
      <c r="P2795" t="s">
        <v>127</v>
      </c>
      <c r="Q2795" t="s">
        <v>127</v>
      </c>
    </row>
    <row r="2796" spans="1:17" x14ac:dyDescent="0.25">
      <c r="A2796" t="str">
        <f>IF(C2796&amp;G2796&amp;D2796&lt;&gt;'Funnel setup'!$K$3&amp;'Funnel setup'!$K$4&amp;'Funnel setup'!$K$6,".",IF(A2795=".",1,A2795+1))</f>
        <v>.</v>
      </c>
      <c r="B2796" s="244" t="str">
        <f t="shared" si="43"/>
        <v>Knee Replacement RevisionSub-ICB of GP PracticeNHS SURREY HEARTLANDS ICB - 92A (92A)EQ VAS</v>
      </c>
      <c r="C2796" t="s">
        <v>973</v>
      </c>
      <c r="D2796" t="s">
        <v>1021</v>
      </c>
      <c r="E2796" t="s">
        <v>945</v>
      </c>
      <c r="F2796" t="s">
        <v>946</v>
      </c>
      <c r="G2796" t="s">
        <v>752</v>
      </c>
      <c r="H2796">
        <v>11</v>
      </c>
      <c r="I2796">
        <v>65.181799999999996</v>
      </c>
      <c r="J2796">
        <v>65</v>
      </c>
      <c r="K2796">
        <v>-0.18181800000000001</v>
      </c>
      <c r="L2796">
        <v>4</v>
      </c>
      <c r="M2796">
        <v>1</v>
      </c>
      <c r="N2796">
        <v>6</v>
      </c>
      <c r="O2796" t="s">
        <v>127</v>
      </c>
      <c r="P2796" t="s">
        <v>127</v>
      </c>
      <c r="Q2796" t="s">
        <v>127</v>
      </c>
    </row>
    <row r="2797" spans="1:17" x14ac:dyDescent="0.25">
      <c r="A2797" t="str">
        <f>IF(C2797&amp;G2797&amp;D2797&lt;&gt;'Funnel setup'!$K$3&amp;'Funnel setup'!$K$4&amp;'Funnel setup'!$K$6,".",IF(A2796=".",1,A2796+1))</f>
        <v>.</v>
      </c>
      <c r="B2797" s="244" t="str">
        <f t="shared" si="43"/>
        <v>Knee Replacement RevisionSub-ICB of GP PracticeNHS SUSSEX ICB - 70F (70F)EQ VAS</v>
      </c>
      <c r="C2797" t="s">
        <v>973</v>
      </c>
      <c r="D2797" t="s">
        <v>1021</v>
      </c>
      <c r="E2797" t="s">
        <v>949</v>
      </c>
      <c r="F2797" t="s">
        <v>950</v>
      </c>
      <c r="G2797" t="s">
        <v>752</v>
      </c>
      <c r="H2797">
        <v>6</v>
      </c>
      <c r="I2797">
        <v>53.666699999999999</v>
      </c>
      <c r="J2797">
        <v>74.666700000000006</v>
      </c>
      <c r="K2797">
        <v>21</v>
      </c>
      <c r="L2797">
        <v>5</v>
      </c>
      <c r="M2797">
        <v>0</v>
      </c>
      <c r="N2797">
        <v>1</v>
      </c>
      <c r="O2797" t="s">
        <v>127</v>
      </c>
      <c r="P2797" t="s">
        <v>127</v>
      </c>
      <c r="Q2797" t="s">
        <v>127</v>
      </c>
    </row>
    <row r="2798" spans="1:17" x14ac:dyDescent="0.25">
      <c r="A2798" t="str">
        <f>IF(C2798&amp;G2798&amp;D2798&lt;&gt;'Funnel setup'!$K$3&amp;'Funnel setup'!$K$4&amp;'Funnel setup'!$K$6,".",IF(A2797=".",1,A2797+1))</f>
        <v>.</v>
      </c>
      <c r="B2798" s="244" t="str">
        <f t="shared" si="43"/>
        <v>Knee Replacement RevisionSub-ICB of GP PracticeNHS SUSSEX ICB - 97R (97R)EQ VAS</v>
      </c>
      <c r="C2798" t="s">
        <v>973</v>
      </c>
      <c r="D2798" t="s">
        <v>1021</v>
      </c>
      <c r="E2798" t="s">
        <v>951</v>
      </c>
      <c r="F2798" t="s">
        <v>952</v>
      </c>
      <c r="G2798" t="s">
        <v>752</v>
      </c>
      <c r="H2798">
        <v>7</v>
      </c>
      <c r="I2798">
        <v>52.714300000000001</v>
      </c>
      <c r="J2798">
        <v>65</v>
      </c>
      <c r="K2798">
        <v>12.2857</v>
      </c>
      <c r="L2798">
        <v>5</v>
      </c>
      <c r="M2798">
        <v>1</v>
      </c>
      <c r="N2798">
        <v>1</v>
      </c>
      <c r="O2798" t="s">
        <v>127</v>
      </c>
      <c r="P2798" t="s">
        <v>127</v>
      </c>
      <c r="Q2798" t="s">
        <v>127</v>
      </c>
    </row>
    <row r="2799" spans="1:17" x14ac:dyDescent="0.25">
      <c r="A2799" t="str">
        <f>IF(C2799&amp;G2799&amp;D2799&lt;&gt;'Funnel setup'!$K$3&amp;'Funnel setup'!$K$4&amp;'Funnel setup'!$K$6,".",IF(A2798=".",1,A2798+1))</f>
        <v>.</v>
      </c>
      <c r="B2799" s="244" t="str">
        <f t="shared" si="43"/>
        <v>Knee Replacement RevisionSub-ICB of GP PracticeNHS WEST YORKSHIRE ICB - 02T (02T)EQ VAS</v>
      </c>
      <c r="C2799" t="s">
        <v>973</v>
      </c>
      <c r="D2799" t="s">
        <v>1021</v>
      </c>
      <c r="E2799" t="s">
        <v>953</v>
      </c>
      <c r="F2799" t="s">
        <v>954</v>
      </c>
      <c r="G2799" t="s">
        <v>752</v>
      </c>
      <c r="H2799">
        <v>4</v>
      </c>
      <c r="I2799">
        <v>65</v>
      </c>
      <c r="J2799">
        <v>82.5</v>
      </c>
      <c r="K2799">
        <v>17.5</v>
      </c>
      <c r="L2799">
        <v>3</v>
      </c>
      <c r="M2799">
        <v>0</v>
      </c>
      <c r="N2799">
        <v>1</v>
      </c>
      <c r="O2799" t="s">
        <v>127</v>
      </c>
      <c r="P2799" t="s">
        <v>127</v>
      </c>
      <c r="Q2799" t="s">
        <v>127</v>
      </c>
    </row>
    <row r="2800" spans="1:17" x14ac:dyDescent="0.25">
      <c r="A2800" t="str">
        <f>IF(C2800&amp;G2800&amp;D2800&lt;&gt;'Funnel setup'!$K$3&amp;'Funnel setup'!$K$4&amp;'Funnel setup'!$K$6,".",IF(A2799=".",1,A2799+1))</f>
        <v>.</v>
      </c>
      <c r="B2800" s="244" t="str">
        <f t="shared" si="43"/>
        <v>Knee Replacement RevisionSub-ICB of GP PracticeNHS WEST YORKSHIRE ICB - 03R (03R)EQ VAS</v>
      </c>
      <c r="C2800" t="s">
        <v>973</v>
      </c>
      <c r="D2800" t="s">
        <v>1021</v>
      </c>
      <c r="E2800" t="s">
        <v>955</v>
      </c>
      <c r="F2800" t="s">
        <v>956</v>
      </c>
      <c r="G2800" t="s">
        <v>752</v>
      </c>
      <c r="H2800">
        <v>15</v>
      </c>
      <c r="I2800">
        <v>64.2667</v>
      </c>
      <c r="J2800">
        <v>65.599999999999994</v>
      </c>
      <c r="K2800">
        <v>1.3333299999999999</v>
      </c>
      <c r="L2800">
        <v>8</v>
      </c>
      <c r="M2800">
        <v>0</v>
      </c>
      <c r="N2800">
        <v>7</v>
      </c>
      <c r="O2800" t="s">
        <v>127</v>
      </c>
      <c r="P2800" t="s">
        <v>127</v>
      </c>
      <c r="Q2800" t="s">
        <v>127</v>
      </c>
    </row>
    <row r="2801" spans="1:17" x14ac:dyDescent="0.25">
      <c r="A2801" t="str">
        <f>IF(C2801&amp;G2801&amp;D2801&lt;&gt;'Funnel setup'!$K$3&amp;'Funnel setup'!$K$4&amp;'Funnel setup'!$K$6,".",IF(A2800=".",1,A2800+1))</f>
        <v>.</v>
      </c>
      <c r="B2801" s="244" t="str">
        <f t="shared" si="43"/>
        <v>Knee Replacement RevisionSub-ICB of GP PracticeNHS WEST YORKSHIRE ICB - 15F (15F)EQ VAS</v>
      </c>
      <c r="C2801" t="s">
        <v>973</v>
      </c>
      <c r="D2801" t="s">
        <v>1021</v>
      </c>
      <c r="E2801" t="s">
        <v>957</v>
      </c>
      <c r="F2801" t="s">
        <v>958</v>
      </c>
      <c r="G2801" t="s">
        <v>752</v>
      </c>
      <c r="H2801">
        <v>12</v>
      </c>
      <c r="I2801">
        <v>61.166699999999999</v>
      </c>
      <c r="J2801">
        <v>61.833300000000001</v>
      </c>
      <c r="K2801">
        <v>0.66666700000000001</v>
      </c>
      <c r="L2801">
        <v>5</v>
      </c>
      <c r="M2801">
        <v>2</v>
      </c>
      <c r="N2801">
        <v>5</v>
      </c>
      <c r="O2801" t="s">
        <v>127</v>
      </c>
      <c r="P2801" t="s">
        <v>127</v>
      </c>
      <c r="Q2801" t="s">
        <v>127</v>
      </c>
    </row>
    <row r="2802" spans="1:17" x14ac:dyDescent="0.25">
      <c r="A2802" t="str">
        <f>IF(C2802&amp;G2802&amp;D2802&lt;&gt;'Funnel setup'!$K$3&amp;'Funnel setup'!$K$4&amp;'Funnel setup'!$K$6,".",IF(A2801=".",1,A2801+1))</f>
        <v>.</v>
      </c>
      <c r="B2802" s="244" t="str">
        <f t="shared" si="43"/>
        <v>Knee Replacement RevisionSub-ICB of GP PracticeNHS WEST YORKSHIRE ICB - 36J (36J)EQ VAS</v>
      </c>
      <c r="C2802" t="s">
        <v>973</v>
      </c>
      <c r="D2802" t="s">
        <v>1021</v>
      </c>
      <c r="E2802" t="s">
        <v>959</v>
      </c>
      <c r="F2802" t="s">
        <v>960</v>
      </c>
      <c r="G2802" t="s">
        <v>752</v>
      </c>
      <c r="H2802">
        <v>1</v>
      </c>
      <c r="I2802">
        <v>88</v>
      </c>
      <c r="J2802">
        <v>74</v>
      </c>
      <c r="K2802">
        <v>-14</v>
      </c>
      <c r="L2802">
        <v>0</v>
      </c>
      <c r="M2802">
        <v>0</v>
      </c>
      <c r="N2802">
        <v>1</v>
      </c>
      <c r="O2802" t="s">
        <v>127</v>
      </c>
      <c r="P2802" t="s">
        <v>127</v>
      </c>
      <c r="Q2802" t="s">
        <v>127</v>
      </c>
    </row>
    <row r="2803" spans="1:17" x14ac:dyDescent="0.25">
      <c r="A2803" t="str">
        <f>IF(C2803&amp;G2803&amp;D2803&lt;&gt;'Funnel setup'!$K$3&amp;'Funnel setup'!$K$4&amp;'Funnel setup'!$K$6,".",IF(A2802=".",1,A2802+1))</f>
        <v>.</v>
      </c>
      <c r="B2803" s="244" t="str">
        <f t="shared" si="43"/>
        <v>Knee Replacement RevisionSub-ICB of GP PracticeNHS WEST YORKSHIRE ICB - X2C4Y (X2C4Y)EQ VAS</v>
      </c>
      <c r="C2803" t="s">
        <v>973</v>
      </c>
      <c r="D2803" t="s">
        <v>1021</v>
      </c>
      <c r="E2803" t="s">
        <v>961</v>
      </c>
      <c r="F2803" t="s">
        <v>962</v>
      </c>
      <c r="G2803" t="s">
        <v>752</v>
      </c>
      <c r="H2803">
        <v>11</v>
      </c>
      <c r="I2803">
        <v>66.545500000000004</v>
      </c>
      <c r="J2803">
        <v>76.909099999999995</v>
      </c>
      <c r="K2803">
        <v>10.3636</v>
      </c>
      <c r="L2803">
        <v>6</v>
      </c>
      <c r="M2803">
        <v>1</v>
      </c>
      <c r="N2803">
        <v>4</v>
      </c>
      <c r="O2803" t="s">
        <v>127</v>
      </c>
      <c r="P2803" t="s">
        <v>127</v>
      </c>
      <c r="Q2803" t="s">
        <v>127</v>
      </c>
    </row>
    <row r="2804" spans="1:17" x14ac:dyDescent="0.25">
      <c r="A2804" t="str">
        <f>IF(C2804&amp;G2804&amp;D2804&lt;&gt;'Funnel setup'!$K$3&amp;'Funnel setup'!$K$4&amp;'Funnel setup'!$K$6,".",IF(A2803=".",1,A2803+1))</f>
        <v>.</v>
      </c>
      <c r="B2804" s="244" t="str">
        <f t="shared" si="43"/>
        <v>Knee Replacement RevisionSub-ICB of GP PracticeNHS BATH AND NORTH EAST SOMERSET, SWINDON AND WILTSHIRE ICB - 92G (92G)EQ-5D Index</v>
      </c>
      <c r="C2804" t="s">
        <v>973</v>
      </c>
      <c r="D2804" t="s">
        <v>1021</v>
      </c>
      <c r="E2804" t="s">
        <v>750</v>
      </c>
      <c r="F2804" t="s">
        <v>751</v>
      </c>
      <c r="G2804" t="s">
        <v>963</v>
      </c>
      <c r="H2804">
        <v>2</v>
      </c>
      <c r="I2804">
        <v>0.17399999999999999</v>
      </c>
      <c r="J2804">
        <v>0.6915</v>
      </c>
      <c r="K2804">
        <v>0.51749999999999996</v>
      </c>
      <c r="L2804">
        <v>2</v>
      </c>
      <c r="M2804">
        <v>0</v>
      </c>
      <c r="N2804">
        <v>0</v>
      </c>
      <c r="O2804" t="s">
        <v>127</v>
      </c>
      <c r="P2804" t="s">
        <v>127</v>
      </c>
      <c r="Q2804" t="s">
        <v>127</v>
      </c>
    </row>
    <row r="2805" spans="1:17" x14ac:dyDescent="0.25">
      <c r="A2805" t="str">
        <f>IF(C2805&amp;G2805&amp;D2805&lt;&gt;'Funnel setup'!$K$3&amp;'Funnel setup'!$K$4&amp;'Funnel setup'!$K$6,".",IF(A2804=".",1,A2804+1))</f>
        <v>.</v>
      </c>
      <c r="B2805" s="244" t="str">
        <f t="shared" si="43"/>
        <v>Knee Replacement RevisionSub-ICB of GP PracticeNHS BEDFORDSHIRE, LUTON AND MILTON KEYNES ICB - M1J4Y (M1J4Y)EQ-5D Index</v>
      </c>
      <c r="C2805" t="s">
        <v>973</v>
      </c>
      <c r="D2805" t="s">
        <v>1021</v>
      </c>
      <c r="E2805" t="s">
        <v>753</v>
      </c>
      <c r="F2805" t="s">
        <v>754</v>
      </c>
      <c r="G2805" t="s">
        <v>963</v>
      </c>
      <c r="H2805">
        <v>7</v>
      </c>
      <c r="I2805">
        <v>0.27700000000000002</v>
      </c>
      <c r="J2805">
        <v>0.64314300000000002</v>
      </c>
      <c r="K2805">
        <v>0.366143</v>
      </c>
      <c r="L2805">
        <v>4</v>
      </c>
      <c r="M2805">
        <v>1</v>
      </c>
      <c r="N2805">
        <v>2</v>
      </c>
      <c r="O2805" t="s">
        <v>127</v>
      </c>
      <c r="P2805" t="s">
        <v>127</v>
      </c>
      <c r="Q2805" t="s">
        <v>127</v>
      </c>
    </row>
    <row r="2806" spans="1:17" x14ac:dyDescent="0.25">
      <c r="A2806" t="str">
        <f>IF(C2806&amp;G2806&amp;D2806&lt;&gt;'Funnel setup'!$K$3&amp;'Funnel setup'!$K$4&amp;'Funnel setup'!$K$6,".",IF(A2805=".",1,A2805+1))</f>
        <v>.</v>
      </c>
      <c r="B2806" s="244" t="str">
        <f t="shared" si="43"/>
        <v>Knee Replacement RevisionSub-ICB of GP PracticeNHS BIRMINGHAM AND SOLIHULL ICB - 15E (15E)EQ-5D Index</v>
      </c>
      <c r="C2806" t="s">
        <v>973</v>
      </c>
      <c r="D2806" t="s">
        <v>1021</v>
      </c>
      <c r="E2806" t="s">
        <v>755</v>
      </c>
      <c r="F2806" t="s">
        <v>756</v>
      </c>
      <c r="G2806" t="s">
        <v>963</v>
      </c>
      <c r="H2806">
        <v>11</v>
      </c>
      <c r="I2806">
        <v>0.255</v>
      </c>
      <c r="J2806">
        <v>0.51290899999999995</v>
      </c>
      <c r="K2806">
        <v>0.257909</v>
      </c>
      <c r="L2806">
        <v>7</v>
      </c>
      <c r="M2806">
        <v>1</v>
      </c>
      <c r="N2806">
        <v>3</v>
      </c>
      <c r="O2806" t="s">
        <v>127</v>
      </c>
      <c r="P2806" t="s">
        <v>127</v>
      </c>
      <c r="Q2806" t="s">
        <v>127</v>
      </c>
    </row>
    <row r="2807" spans="1:17" x14ac:dyDescent="0.25">
      <c r="A2807" t="str">
        <f>IF(C2807&amp;G2807&amp;D2807&lt;&gt;'Funnel setup'!$K$3&amp;'Funnel setup'!$K$4&amp;'Funnel setup'!$K$6,".",IF(A2806=".",1,A2806+1))</f>
        <v>.</v>
      </c>
      <c r="B2807" s="244" t="str">
        <f t="shared" si="43"/>
        <v>Knee Replacement RevisionSub-ICB of GP PracticeNHS BLACK COUNTRY ICB - D2P2L (D2P2L)EQ-5D Index</v>
      </c>
      <c r="C2807" t="s">
        <v>973</v>
      </c>
      <c r="D2807" t="s">
        <v>1021</v>
      </c>
      <c r="E2807" t="s">
        <v>757</v>
      </c>
      <c r="F2807" t="s">
        <v>758</v>
      </c>
      <c r="G2807" t="s">
        <v>963</v>
      </c>
      <c r="H2807">
        <v>16</v>
      </c>
      <c r="I2807">
        <v>0.27362500000000001</v>
      </c>
      <c r="J2807">
        <v>0.62050000000000005</v>
      </c>
      <c r="K2807">
        <v>0.34687499999999999</v>
      </c>
      <c r="L2807">
        <v>12</v>
      </c>
      <c r="M2807">
        <v>0</v>
      </c>
      <c r="N2807">
        <v>4</v>
      </c>
      <c r="O2807" t="s">
        <v>127</v>
      </c>
      <c r="P2807" t="s">
        <v>127</v>
      </c>
      <c r="Q2807" t="s">
        <v>127</v>
      </c>
    </row>
    <row r="2808" spans="1:17" x14ac:dyDescent="0.25">
      <c r="A2808" t="str">
        <f>IF(C2808&amp;G2808&amp;D2808&lt;&gt;'Funnel setup'!$K$3&amp;'Funnel setup'!$K$4&amp;'Funnel setup'!$K$6,".",IF(A2807=".",1,A2807+1))</f>
        <v>.</v>
      </c>
      <c r="B2808" s="244" t="str">
        <f t="shared" si="43"/>
        <v>Knee Replacement RevisionSub-ICB of GP PracticeNHS BRISTOL, NORTH SOMERSET AND SOUTH GLOUCESTERSHIRE ICB - 15C (15C)EQ-5D Index</v>
      </c>
      <c r="C2808" t="s">
        <v>973</v>
      </c>
      <c r="D2808" t="s">
        <v>1021</v>
      </c>
      <c r="E2808" t="s">
        <v>759</v>
      </c>
      <c r="F2808" t="s">
        <v>760</v>
      </c>
      <c r="G2808" t="s">
        <v>963</v>
      </c>
      <c r="H2808">
        <v>3</v>
      </c>
      <c r="I2808">
        <v>0.36933300000000002</v>
      </c>
      <c r="J2808">
        <v>0.65500000000000003</v>
      </c>
      <c r="K2808">
        <v>0.285667</v>
      </c>
      <c r="L2808">
        <v>3</v>
      </c>
      <c r="M2808">
        <v>0</v>
      </c>
      <c r="N2808">
        <v>0</v>
      </c>
      <c r="O2808" t="s">
        <v>127</v>
      </c>
      <c r="P2808" t="s">
        <v>127</v>
      </c>
      <c r="Q2808" t="s">
        <v>127</v>
      </c>
    </row>
    <row r="2809" spans="1:17" x14ac:dyDescent="0.25">
      <c r="A2809" t="str">
        <f>IF(C2809&amp;G2809&amp;D2809&lt;&gt;'Funnel setup'!$K$3&amp;'Funnel setup'!$K$4&amp;'Funnel setup'!$K$6,".",IF(A2808=".",1,A2808+1))</f>
        <v>.</v>
      </c>
      <c r="B2809" s="244" t="str">
        <f t="shared" si="43"/>
        <v>Knee Replacement RevisionSub-ICB of GP PracticeNHS BUCKINGHAMSHIRE, OXFORDSHIRE AND BERKSHIRE WEST ICB - 10Q (10Q)EQ-5D Index</v>
      </c>
      <c r="C2809" t="s">
        <v>973</v>
      </c>
      <c r="D2809" t="s">
        <v>1021</v>
      </c>
      <c r="E2809" t="s">
        <v>761</v>
      </c>
      <c r="F2809" t="s">
        <v>762</v>
      </c>
      <c r="G2809" t="s">
        <v>963</v>
      </c>
      <c r="H2809">
        <v>17</v>
      </c>
      <c r="I2809">
        <v>0.240235</v>
      </c>
      <c r="J2809">
        <v>0.59782400000000002</v>
      </c>
      <c r="K2809">
        <v>0.35758800000000002</v>
      </c>
      <c r="L2809">
        <v>14</v>
      </c>
      <c r="M2809">
        <v>0</v>
      </c>
      <c r="N2809">
        <v>3</v>
      </c>
      <c r="O2809" t="s">
        <v>127</v>
      </c>
      <c r="P2809" t="s">
        <v>127</v>
      </c>
      <c r="Q2809" t="s">
        <v>127</v>
      </c>
    </row>
    <row r="2810" spans="1:17" x14ac:dyDescent="0.25">
      <c r="A2810" t="str">
        <f>IF(C2810&amp;G2810&amp;D2810&lt;&gt;'Funnel setup'!$K$3&amp;'Funnel setup'!$K$4&amp;'Funnel setup'!$K$6,".",IF(A2809=".",1,A2809+1))</f>
        <v>.</v>
      </c>
      <c r="B2810" s="244" t="str">
        <f t="shared" si="43"/>
        <v>Knee Replacement RevisionSub-ICB of GP PracticeNHS BUCKINGHAMSHIRE, OXFORDSHIRE AND BERKSHIRE WEST ICB - 14Y (14Y)EQ-5D Index</v>
      </c>
      <c r="C2810" t="s">
        <v>973</v>
      </c>
      <c r="D2810" t="s">
        <v>1021</v>
      </c>
      <c r="E2810" t="s">
        <v>763</v>
      </c>
      <c r="F2810" t="s">
        <v>764</v>
      </c>
      <c r="G2810" t="s">
        <v>963</v>
      </c>
      <c r="H2810">
        <v>5</v>
      </c>
      <c r="I2810">
        <v>0.31159999999999999</v>
      </c>
      <c r="J2810">
        <v>0.76380000000000003</v>
      </c>
      <c r="K2810">
        <v>0.45219999999999999</v>
      </c>
      <c r="L2810">
        <v>4</v>
      </c>
      <c r="M2810">
        <v>1</v>
      </c>
      <c r="N2810">
        <v>0</v>
      </c>
      <c r="O2810" t="s">
        <v>127</v>
      </c>
      <c r="P2810" t="s">
        <v>127</v>
      </c>
      <c r="Q2810" t="s">
        <v>127</v>
      </c>
    </row>
    <row r="2811" spans="1:17" x14ac:dyDescent="0.25">
      <c r="A2811" t="str">
        <f>IF(C2811&amp;G2811&amp;D2811&lt;&gt;'Funnel setup'!$K$3&amp;'Funnel setup'!$K$4&amp;'Funnel setup'!$K$6,".",IF(A2810=".",1,A2810+1))</f>
        <v>.</v>
      </c>
      <c r="B2811" s="244" t="str">
        <f t="shared" si="43"/>
        <v>Knee Replacement RevisionSub-ICB of GP PracticeNHS BUCKINGHAMSHIRE, OXFORDSHIRE AND BERKSHIRE WEST ICB - 15A (15A)EQ-5D Index</v>
      </c>
      <c r="C2811" t="s">
        <v>973</v>
      </c>
      <c r="D2811" t="s">
        <v>1021</v>
      </c>
      <c r="E2811" t="s">
        <v>765</v>
      </c>
      <c r="F2811" t="s">
        <v>766</v>
      </c>
      <c r="G2811" t="s">
        <v>963</v>
      </c>
      <c r="H2811">
        <v>7</v>
      </c>
      <c r="I2811">
        <v>0.34285700000000002</v>
      </c>
      <c r="J2811">
        <v>0.66142900000000004</v>
      </c>
      <c r="K2811">
        <v>0.31857099999999999</v>
      </c>
      <c r="L2811">
        <v>4</v>
      </c>
      <c r="M2811">
        <v>3</v>
      </c>
      <c r="N2811">
        <v>0</v>
      </c>
      <c r="O2811" t="s">
        <v>127</v>
      </c>
      <c r="P2811" t="s">
        <v>127</v>
      </c>
      <c r="Q2811" t="s">
        <v>127</v>
      </c>
    </row>
    <row r="2812" spans="1:17" x14ac:dyDescent="0.25">
      <c r="A2812" t="str">
        <f>IF(C2812&amp;G2812&amp;D2812&lt;&gt;'Funnel setup'!$K$3&amp;'Funnel setup'!$K$4&amp;'Funnel setup'!$K$6,".",IF(A2811=".",1,A2811+1))</f>
        <v>.</v>
      </c>
      <c r="B2812" s="244" t="str">
        <f t="shared" si="43"/>
        <v>Knee Replacement RevisionSub-ICB of GP PracticeNHS CAMBRIDGESHIRE AND PETERBOROUGH ICB - 06H (06H)EQ-5D Index</v>
      </c>
      <c r="C2812" t="s">
        <v>973</v>
      </c>
      <c r="D2812" t="s">
        <v>1021</v>
      </c>
      <c r="E2812" t="s">
        <v>767</v>
      </c>
      <c r="F2812" t="s">
        <v>768</v>
      </c>
      <c r="G2812" t="s">
        <v>963</v>
      </c>
      <c r="H2812">
        <v>4</v>
      </c>
      <c r="I2812">
        <v>0.36349999999999999</v>
      </c>
      <c r="J2812">
        <v>0.65575000000000006</v>
      </c>
      <c r="K2812">
        <v>0.29225000000000001</v>
      </c>
      <c r="L2812">
        <v>3</v>
      </c>
      <c r="M2812">
        <v>0</v>
      </c>
      <c r="N2812">
        <v>1</v>
      </c>
      <c r="O2812" t="s">
        <v>127</v>
      </c>
      <c r="P2812" t="s">
        <v>127</v>
      </c>
      <c r="Q2812" t="s">
        <v>127</v>
      </c>
    </row>
    <row r="2813" spans="1:17" x14ac:dyDescent="0.25">
      <c r="A2813" t="str">
        <f>IF(C2813&amp;G2813&amp;D2813&lt;&gt;'Funnel setup'!$K$3&amp;'Funnel setup'!$K$4&amp;'Funnel setup'!$K$6,".",IF(A2812=".",1,A2812+1))</f>
        <v>.</v>
      </c>
      <c r="B2813" s="244" t="str">
        <f t="shared" si="43"/>
        <v>Knee Replacement RevisionSub-ICB of GP PracticeNHS CHESHIRE AND MERSEYSIDE ICB - 01J (01J)EQ-5D Index</v>
      </c>
      <c r="C2813" t="s">
        <v>973</v>
      </c>
      <c r="D2813" t="s">
        <v>1021</v>
      </c>
      <c r="E2813" t="s">
        <v>771</v>
      </c>
      <c r="F2813" t="s">
        <v>772</v>
      </c>
      <c r="G2813" t="s">
        <v>963</v>
      </c>
      <c r="H2813">
        <v>1</v>
      </c>
      <c r="I2813">
        <v>0.124</v>
      </c>
      <c r="J2813">
        <v>0.69099999999999995</v>
      </c>
      <c r="K2813">
        <v>0.56699999999999995</v>
      </c>
      <c r="L2813">
        <v>1</v>
      </c>
      <c r="M2813">
        <v>0</v>
      </c>
      <c r="N2813">
        <v>0</v>
      </c>
      <c r="O2813" t="s">
        <v>127</v>
      </c>
      <c r="P2813" t="s">
        <v>127</v>
      </c>
      <c r="Q2813" t="s">
        <v>127</v>
      </c>
    </row>
    <row r="2814" spans="1:17" x14ac:dyDescent="0.25">
      <c r="A2814" t="str">
        <f>IF(C2814&amp;G2814&amp;D2814&lt;&gt;'Funnel setup'!$K$3&amp;'Funnel setup'!$K$4&amp;'Funnel setup'!$K$6,".",IF(A2813=".",1,A2813+1))</f>
        <v>.</v>
      </c>
      <c r="B2814" s="244" t="str">
        <f t="shared" si="43"/>
        <v>Knee Replacement RevisionSub-ICB of GP PracticeNHS CHESHIRE AND MERSEYSIDE ICB - 01X (01X)EQ-5D Index</v>
      </c>
      <c r="C2814" t="s">
        <v>973</v>
      </c>
      <c r="D2814" t="s">
        <v>1021</v>
      </c>
      <c r="E2814" t="s">
        <v>777</v>
      </c>
      <c r="F2814" t="s">
        <v>778</v>
      </c>
      <c r="G2814" t="s">
        <v>963</v>
      </c>
      <c r="H2814">
        <v>3</v>
      </c>
      <c r="I2814">
        <v>7.0999999999999994E-2</v>
      </c>
      <c r="J2814">
        <v>0.31166700000000003</v>
      </c>
      <c r="K2814">
        <v>0.24066699999999999</v>
      </c>
      <c r="L2814">
        <v>2</v>
      </c>
      <c r="M2814">
        <v>0</v>
      </c>
      <c r="N2814">
        <v>1</v>
      </c>
      <c r="O2814" t="s">
        <v>127</v>
      </c>
      <c r="P2814" t="s">
        <v>127</v>
      </c>
      <c r="Q2814" t="s">
        <v>127</v>
      </c>
    </row>
    <row r="2815" spans="1:17" x14ac:dyDescent="0.25">
      <c r="A2815" t="str">
        <f>IF(C2815&amp;G2815&amp;D2815&lt;&gt;'Funnel setup'!$K$3&amp;'Funnel setup'!$K$4&amp;'Funnel setup'!$K$6,".",IF(A2814=".",1,A2814+1))</f>
        <v>.</v>
      </c>
      <c r="B2815" s="244" t="str">
        <f t="shared" si="43"/>
        <v>Knee Replacement RevisionSub-ICB of GP PracticeNHS CHESHIRE AND MERSEYSIDE ICB - 12F (12F)EQ-5D Index</v>
      </c>
      <c r="C2815" t="s">
        <v>973</v>
      </c>
      <c r="D2815" t="s">
        <v>1021</v>
      </c>
      <c r="E2815" t="s">
        <v>781</v>
      </c>
      <c r="F2815" t="s">
        <v>782</v>
      </c>
      <c r="G2815" t="s">
        <v>963</v>
      </c>
      <c r="H2815">
        <v>2</v>
      </c>
      <c r="I2815">
        <v>0.43049999999999999</v>
      </c>
      <c r="J2815">
        <v>0.76049999999999995</v>
      </c>
      <c r="K2815">
        <v>0.33</v>
      </c>
      <c r="L2815">
        <v>2</v>
      </c>
      <c r="M2815">
        <v>0</v>
      </c>
      <c r="N2815">
        <v>0</v>
      </c>
      <c r="O2815" t="s">
        <v>127</v>
      </c>
      <c r="P2815" t="s">
        <v>127</v>
      </c>
      <c r="Q2815" t="s">
        <v>127</v>
      </c>
    </row>
    <row r="2816" spans="1:17" x14ac:dyDescent="0.25">
      <c r="A2816" t="str">
        <f>IF(C2816&amp;G2816&amp;D2816&lt;&gt;'Funnel setup'!$K$3&amp;'Funnel setup'!$K$4&amp;'Funnel setup'!$K$6,".",IF(A2815=".",1,A2815+1))</f>
        <v>.</v>
      </c>
      <c r="B2816" s="244" t="str">
        <f t="shared" si="43"/>
        <v>Knee Replacement RevisionSub-ICB of GP PracticeNHS CHESHIRE AND MERSEYSIDE ICB - 27D (27D)EQ-5D Index</v>
      </c>
      <c r="C2816" t="s">
        <v>973</v>
      </c>
      <c r="D2816" t="s">
        <v>1021</v>
      </c>
      <c r="E2816" t="s">
        <v>783</v>
      </c>
      <c r="F2816" t="s">
        <v>784</v>
      </c>
      <c r="G2816" t="s">
        <v>963</v>
      </c>
      <c r="H2816">
        <v>8</v>
      </c>
      <c r="I2816">
        <v>0.23549999999999999</v>
      </c>
      <c r="J2816">
        <v>0.60037499999999999</v>
      </c>
      <c r="K2816">
        <v>0.364875</v>
      </c>
      <c r="L2816">
        <v>6</v>
      </c>
      <c r="M2816">
        <v>2</v>
      </c>
      <c r="N2816">
        <v>0</v>
      </c>
      <c r="O2816" t="s">
        <v>127</v>
      </c>
      <c r="P2816" t="s">
        <v>127</v>
      </c>
      <c r="Q2816" t="s">
        <v>127</v>
      </c>
    </row>
    <row r="2817" spans="1:17" x14ac:dyDescent="0.25">
      <c r="A2817" t="str">
        <f>IF(C2817&amp;G2817&amp;D2817&lt;&gt;'Funnel setup'!$K$3&amp;'Funnel setup'!$K$4&amp;'Funnel setup'!$K$6,".",IF(A2816=".",1,A2816+1))</f>
        <v>.</v>
      </c>
      <c r="B2817" s="244" t="str">
        <f t="shared" si="43"/>
        <v>Knee Replacement RevisionSub-ICB of GP PracticeNHS CHESHIRE AND MERSEYSIDE ICB - 99A (99A)EQ-5D Index</v>
      </c>
      <c r="C2817" t="s">
        <v>973</v>
      </c>
      <c r="D2817" t="s">
        <v>1021</v>
      </c>
      <c r="E2817" t="s">
        <v>785</v>
      </c>
      <c r="F2817" t="s">
        <v>786</v>
      </c>
      <c r="G2817" t="s">
        <v>963</v>
      </c>
      <c r="H2817">
        <v>1</v>
      </c>
      <c r="I2817">
        <v>-0.23899999999999999</v>
      </c>
      <c r="J2817">
        <v>0.62</v>
      </c>
      <c r="K2817">
        <v>0.85899999999999999</v>
      </c>
      <c r="L2817">
        <v>1</v>
      </c>
      <c r="M2817">
        <v>0</v>
      </c>
      <c r="N2817">
        <v>0</v>
      </c>
      <c r="O2817" t="s">
        <v>127</v>
      </c>
      <c r="P2817" t="s">
        <v>127</v>
      </c>
      <c r="Q2817" t="s">
        <v>127</v>
      </c>
    </row>
    <row r="2818" spans="1:17" x14ac:dyDescent="0.25">
      <c r="A2818" t="str">
        <f>IF(C2818&amp;G2818&amp;D2818&lt;&gt;'Funnel setup'!$K$3&amp;'Funnel setup'!$K$4&amp;'Funnel setup'!$K$6,".",IF(A2817=".",1,A2817+1))</f>
        <v>.</v>
      </c>
      <c r="B2818" s="244" t="str">
        <f t="shared" ref="B2818:B2881" si="44">C2818&amp;D2818&amp;F2818&amp;G2818</f>
        <v>Knee Replacement RevisionSub-ICB of GP PracticeNHS CORNWALL AND THE ISLES OF SCILLY ICB - 11N (11N)EQ-5D Index</v>
      </c>
      <c r="C2818" t="s">
        <v>973</v>
      </c>
      <c r="D2818" t="s">
        <v>1021</v>
      </c>
      <c r="E2818" t="s">
        <v>787</v>
      </c>
      <c r="F2818" t="s">
        <v>788</v>
      </c>
      <c r="G2818" t="s">
        <v>963</v>
      </c>
      <c r="H2818">
        <v>10</v>
      </c>
      <c r="I2818">
        <v>0.5151</v>
      </c>
      <c r="J2818">
        <v>0.71499999999999997</v>
      </c>
      <c r="K2818">
        <v>0.19989999999999999</v>
      </c>
      <c r="L2818">
        <v>7</v>
      </c>
      <c r="M2818">
        <v>2</v>
      </c>
      <c r="N2818">
        <v>1</v>
      </c>
      <c r="O2818" t="s">
        <v>127</v>
      </c>
      <c r="P2818" t="s">
        <v>127</v>
      </c>
      <c r="Q2818" t="s">
        <v>127</v>
      </c>
    </row>
    <row r="2819" spans="1:17" x14ac:dyDescent="0.25">
      <c r="A2819" t="str">
        <f>IF(C2819&amp;G2819&amp;D2819&lt;&gt;'Funnel setup'!$K$3&amp;'Funnel setup'!$K$4&amp;'Funnel setup'!$K$6,".",IF(A2818=".",1,A2818+1))</f>
        <v>.</v>
      </c>
      <c r="B2819" s="244" t="str">
        <f t="shared" si="44"/>
        <v>Knee Replacement RevisionSub-ICB of GP PracticeNHS COVENTRY AND WARWICKSHIRE ICB - B2M3M (B2M3M)EQ-5D Index</v>
      </c>
      <c r="C2819" t="s">
        <v>973</v>
      </c>
      <c r="D2819" t="s">
        <v>1021</v>
      </c>
      <c r="E2819" t="s">
        <v>789</v>
      </c>
      <c r="F2819" t="s">
        <v>790</v>
      </c>
      <c r="G2819" t="s">
        <v>963</v>
      </c>
      <c r="H2819">
        <v>14</v>
      </c>
      <c r="I2819">
        <v>0.30549999999999999</v>
      </c>
      <c r="J2819">
        <v>0.72221400000000002</v>
      </c>
      <c r="K2819">
        <v>0.41671399999999997</v>
      </c>
      <c r="L2819">
        <v>11</v>
      </c>
      <c r="M2819">
        <v>1</v>
      </c>
      <c r="N2819">
        <v>2</v>
      </c>
      <c r="O2819" t="s">
        <v>127</v>
      </c>
      <c r="P2819" t="s">
        <v>127</v>
      </c>
      <c r="Q2819" t="s">
        <v>127</v>
      </c>
    </row>
    <row r="2820" spans="1:17" x14ac:dyDescent="0.25">
      <c r="A2820" t="str">
        <f>IF(C2820&amp;G2820&amp;D2820&lt;&gt;'Funnel setup'!$K$3&amp;'Funnel setup'!$K$4&amp;'Funnel setup'!$K$6,".",IF(A2819=".",1,A2819+1))</f>
        <v>.</v>
      </c>
      <c r="B2820" s="244" t="str">
        <f t="shared" si="44"/>
        <v>Knee Replacement RevisionSub-ICB of GP PracticeNHS DERBY AND DERBYSHIRE ICB - 15M (15M)EQ-5D Index</v>
      </c>
      <c r="C2820" t="s">
        <v>973</v>
      </c>
      <c r="D2820" t="s">
        <v>1021</v>
      </c>
      <c r="E2820" t="s">
        <v>791</v>
      </c>
      <c r="F2820" t="s">
        <v>792</v>
      </c>
      <c r="G2820" t="s">
        <v>963</v>
      </c>
      <c r="H2820">
        <v>20</v>
      </c>
      <c r="I2820">
        <v>0.35770000000000002</v>
      </c>
      <c r="J2820">
        <v>0.60370000000000001</v>
      </c>
      <c r="K2820">
        <v>0.246</v>
      </c>
      <c r="L2820">
        <v>18</v>
      </c>
      <c r="M2820">
        <v>0</v>
      </c>
      <c r="N2820">
        <v>2</v>
      </c>
      <c r="O2820" t="s">
        <v>127</v>
      </c>
      <c r="P2820" t="s">
        <v>127</v>
      </c>
      <c r="Q2820" t="s">
        <v>127</v>
      </c>
    </row>
    <row r="2821" spans="1:17" x14ac:dyDescent="0.25">
      <c r="A2821" t="str">
        <f>IF(C2821&amp;G2821&amp;D2821&lt;&gt;'Funnel setup'!$K$3&amp;'Funnel setup'!$K$4&amp;'Funnel setup'!$K$6,".",IF(A2820=".",1,A2820+1))</f>
        <v>.</v>
      </c>
      <c r="B2821" s="244" t="str">
        <f t="shared" si="44"/>
        <v>Knee Replacement RevisionSub-ICB of GP PracticeNHS DEVON ICB - 15N (15N)EQ-5D Index</v>
      </c>
      <c r="C2821" t="s">
        <v>973</v>
      </c>
      <c r="D2821" t="s">
        <v>1021</v>
      </c>
      <c r="E2821" t="s">
        <v>793</v>
      </c>
      <c r="F2821" t="s">
        <v>794</v>
      </c>
      <c r="G2821" t="s">
        <v>963</v>
      </c>
      <c r="H2821">
        <v>11</v>
      </c>
      <c r="I2821">
        <v>0.316</v>
      </c>
      <c r="J2821">
        <v>0.54081800000000002</v>
      </c>
      <c r="K2821">
        <v>0.22481799999999999</v>
      </c>
      <c r="L2821">
        <v>7</v>
      </c>
      <c r="M2821">
        <v>3</v>
      </c>
      <c r="N2821">
        <v>1</v>
      </c>
      <c r="O2821" t="s">
        <v>127</v>
      </c>
      <c r="P2821" t="s">
        <v>127</v>
      </c>
      <c r="Q2821" t="s">
        <v>127</v>
      </c>
    </row>
    <row r="2822" spans="1:17" x14ac:dyDescent="0.25">
      <c r="A2822" t="str">
        <f>IF(C2822&amp;G2822&amp;D2822&lt;&gt;'Funnel setup'!$K$3&amp;'Funnel setup'!$K$4&amp;'Funnel setup'!$K$6,".",IF(A2821=".",1,A2821+1))</f>
        <v>.</v>
      </c>
      <c r="B2822" s="244" t="str">
        <f t="shared" si="44"/>
        <v>Knee Replacement RevisionSub-ICB of GP PracticeNHS DORSET ICB - 11J (11J)EQ-5D Index</v>
      </c>
      <c r="C2822" t="s">
        <v>973</v>
      </c>
      <c r="D2822" t="s">
        <v>1021</v>
      </c>
      <c r="E2822" t="s">
        <v>795</v>
      </c>
      <c r="F2822" t="s">
        <v>796</v>
      </c>
      <c r="G2822" t="s">
        <v>963</v>
      </c>
      <c r="H2822">
        <v>16</v>
      </c>
      <c r="I2822">
        <v>0.34399999999999997</v>
      </c>
      <c r="J2822">
        <v>0.65006200000000003</v>
      </c>
      <c r="K2822">
        <v>0.30606299999999997</v>
      </c>
      <c r="L2822">
        <v>12</v>
      </c>
      <c r="M2822">
        <v>2</v>
      </c>
      <c r="N2822">
        <v>2</v>
      </c>
      <c r="O2822" t="s">
        <v>127</v>
      </c>
      <c r="P2822" t="s">
        <v>127</v>
      </c>
      <c r="Q2822" t="s">
        <v>127</v>
      </c>
    </row>
    <row r="2823" spans="1:17" x14ac:dyDescent="0.25">
      <c r="A2823" t="str">
        <f>IF(C2823&amp;G2823&amp;D2823&lt;&gt;'Funnel setup'!$K$3&amp;'Funnel setup'!$K$4&amp;'Funnel setup'!$K$6,".",IF(A2822=".",1,A2822+1))</f>
        <v>.</v>
      </c>
      <c r="B2823" s="244" t="str">
        <f t="shared" si="44"/>
        <v>Knee Replacement RevisionSub-ICB of GP PracticeNHS FRIMLEY ICB - D4U1Y (D4U1Y)EQ-5D Index</v>
      </c>
      <c r="C2823" t="s">
        <v>973</v>
      </c>
      <c r="D2823" t="s">
        <v>1021</v>
      </c>
      <c r="E2823" t="s">
        <v>797</v>
      </c>
      <c r="F2823" t="s">
        <v>798</v>
      </c>
      <c r="G2823" t="s">
        <v>963</v>
      </c>
      <c r="H2823">
        <v>8</v>
      </c>
      <c r="I2823">
        <v>0.49612499999999998</v>
      </c>
      <c r="J2823">
        <v>0.57062500000000005</v>
      </c>
      <c r="K2823">
        <v>7.4499999999999997E-2</v>
      </c>
      <c r="L2823">
        <v>5</v>
      </c>
      <c r="M2823">
        <v>0</v>
      </c>
      <c r="N2823">
        <v>3</v>
      </c>
      <c r="O2823" t="s">
        <v>127</v>
      </c>
      <c r="P2823" t="s">
        <v>127</v>
      </c>
      <c r="Q2823" t="s">
        <v>127</v>
      </c>
    </row>
    <row r="2824" spans="1:17" x14ac:dyDescent="0.25">
      <c r="A2824" t="str">
        <f>IF(C2824&amp;G2824&amp;D2824&lt;&gt;'Funnel setup'!$K$3&amp;'Funnel setup'!$K$4&amp;'Funnel setup'!$K$6,".",IF(A2823=".",1,A2823+1))</f>
        <v>.</v>
      </c>
      <c r="B2824" s="244" t="str">
        <f t="shared" si="44"/>
        <v>Knee Replacement RevisionSub-ICB of GP PracticeNHS GLOUCESTERSHIRE ICB - 11M (11M)EQ-5D Index</v>
      </c>
      <c r="C2824" t="s">
        <v>973</v>
      </c>
      <c r="D2824" t="s">
        <v>1021</v>
      </c>
      <c r="E2824" t="s">
        <v>799</v>
      </c>
      <c r="F2824" t="s">
        <v>800</v>
      </c>
      <c r="G2824" t="s">
        <v>963</v>
      </c>
      <c r="H2824">
        <v>3</v>
      </c>
      <c r="I2824">
        <v>0.34300000000000003</v>
      </c>
      <c r="J2824">
        <v>0.77033300000000005</v>
      </c>
      <c r="K2824">
        <v>0.42733300000000002</v>
      </c>
      <c r="L2824">
        <v>3</v>
      </c>
      <c r="M2824">
        <v>0</v>
      </c>
      <c r="N2824">
        <v>0</v>
      </c>
      <c r="O2824" t="s">
        <v>127</v>
      </c>
      <c r="P2824" t="s">
        <v>127</v>
      </c>
      <c r="Q2824" t="s">
        <v>127</v>
      </c>
    </row>
    <row r="2825" spans="1:17" x14ac:dyDescent="0.25">
      <c r="A2825" t="str">
        <f>IF(C2825&amp;G2825&amp;D2825&lt;&gt;'Funnel setup'!$K$3&amp;'Funnel setup'!$K$4&amp;'Funnel setup'!$K$6,".",IF(A2824=".",1,A2824+1))</f>
        <v>.</v>
      </c>
      <c r="B2825" s="244" t="str">
        <f t="shared" si="44"/>
        <v>Knee Replacement RevisionSub-ICB of GP PracticeNHS GREATER MANCHESTER ICB - 00T (00T)EQ-5D Index</v>
      </c>
      <c r="C2825" t="s">
        <v>973</v>
      </c>
      <c r="D2825" t="s">
        <v>1021</v>
      </c>
      <c r="E2825" t="s">
        <v>801</v>
      </c>
      <c r="F2825" t="s">
        <v>802</v>
      </c>
      <c r="G2825" t="s">
        <v>963</v>
      </c>
      <c r="H2825">
        <v>3</v>
      </c>
      <c r="I2825">
        <v>0.73566699999999996</v>
      </c>
      <c r="J2825">
        <v>0.80600000000000005</v>
      </c>
      <c r="K2825">
        <v>7.0333300000000001E-2</v>
      </c>
      <c r="L2825">
        <v>2</v>
      </c>
      <c r="M2825">
        <v>1</v>
      </c>
      <c r="N2825">
        <v>0</v>
      </c>
      <c r="O2825" t="s">
        <v>127</v>
      </c>
      <c r="P2825" t="s">
        <v>127</v>
      </c>
      <c r="Q2825" t="s">
        <v>127</v>
      </c>
    </row>
    <row r="2826" spans="1:17" x14ac:dyDescent="0.25">
      <c r="A2826" t="str">
        <f>IF(C2826&amp;G2826&amp;D2826&lt;&gt;'Funnel setup'!$K$3&amp;'Funnel setup'!$K$4&amp;'Funnel setup'!$K$6,".",IF(A2825=".",1,A2825+1))</f>
        <v>.</v>
      </c>
      <c r="B2826" s="244" t="str">
        <f t="shared" si="44"/>
        <v>Knee Replacement RevisionSub-ICB of GP PracticeNHS GREATER MANCHESTER ICB - 00V (00V)EQ-5D Index</v>
      </c>
      <c r="C2826" t="s">
        <v>973</v>
      </c>
      <c r="D2826" t="s">
        <v>1021</v>
      </c>
      <c r="E2826" t="s">
        <v>803</v>
      </c>
      <c r="F2826" t="s">
        <v>804</v>
      </c>
      <c r="G2826" t="s">
        <v>963</v>
      </c>
      <c r="H2826" t="s">
        <v>968</v>
      </c>
      <c r="I2826" t="s">
        <v>968</v>
      </c>
      <c r="J2826" t="s">
        <v>968</v>
      </c>
      <c r="K2826" t="s">
        <v>968</v>
      </c>
      <c r="L2826" t="s">
        <v>968</v>
      </c>
      <c r="M2826" t="s">
        <v>968</v>
      </c>
      <c r="N2826" t="s">
        <v>968</v>
      </c>
      <c r="O2826" t="s">
        <v>968</v>
      </c>
      <c r="P2826" t="s">
        <v>968</v>
      </c>
      <c r="Q2826" t="s">
        <v>968</v>
      </c>
    </row>
    <row r="2827" spans="1:17" x14ac:dyDescent="0.25">
      <c r="A2827" t="str">
        <f>IF(C2827&amp;G2827&amp;D2827&lt;&gt;'Funnel setup'!$K$3&amp;'Funnel setup'!$K$4&amp;'Funnel setup'!$K$6,".",IF(A2826=".",1,A2826+1))</f>
        <v>.</v>
      </c>
      <c r="B2827" s="244" t="str">
        <f t="shared" si="44"/>
        <v>Knee Replacement RevisionSub-ICB of GP PracticeNHS GREATER MANCHESTER ICB - 01W (01W)EQ-5D Index</v>
      </c>
      <c r="C2827" t="s">
        <v>973</v>
      </c>
      <c r="D2827" t="s">
        <v>1021</v>
      </c>
      <c r="E2827" t="s">
        <v>811</v>
      </c>
      <c r="F2827" t="s">
        <v>812</v>
      </c>
      <c r="G2827" t="s">
        <v>963</v>
      </c>
      <c r="H2827">
        <v>3</v>
      </c>
      <c r="I2827">
        <v>0.126</v>
      </c>
      <c r="J2827">
        <v>0.64366699999999999</v>
      </c>
      <c r="K2827">
        <v>0.51766699999999999</v>
      </c>
      <c r="L2827">
        <v>3</v>
      </c>
      <c r="M2827">
        <v>0</v>
      </c>
      <c r="N2827">
        <v>0</v>
      </c>
      <c r="O2827" t="s">
        <v>127</v>
      </c>
      <c r="P2827" t="s">
        <v>127</v>
      </c>
      <c r="Q2827" t="s">
        <v>127</v>
      </c>
    </row>
    <row r="2828" spans="1:17" x14ac:dyDescent="0.25">
      <c r="A2828" t="str">
        <f>IF(C2828&amp;G2828&amp;D2828&lt;&gt;'Funnel setup'!$K$3&amp;'Funnel setup'!$K$4&amp;'Funnel setup'!$K$6,".",IF(A2827=".",1,A2827+1))</f>
        <v>.</v>
      </c>
      <c r="B2828" s="244" t="str">
        <f t="shared" si="44"/>
        <v>Knee Replacement RevisionSub-ICB of GP PracticeNHS GREATER MANCHESTER ICB - 02A (02A)EQ-5D Index</v>
      </c>
      <c r="C2828" t="s">
        <v>973</v>
      </c>
      <c r="D2828" t="s">
        <v>1021</v>
      </c>
      <c r="E2828" t="s">
        <v>815</v>
      </c>
      <c r="F2828" t="s">
        <v>816</v>
      </c>
      <c r="G2828" t="s">
        <v>963</v>
      </c>
      <c r="H2828">
        <v>3</v>
      </c>
      <c r="I2828">
        <v>0.38600000000000001</v>
      </c>
      <c r="J2828">
        <v>0.72466699999999995</v>
      </c>
      <c r="K2828">
        <v>0.338667</v>
      </c>
      <c r="L2828">
        <v>2</v>
      </c>
      <c r="M2828">
        <v>1</v>
      </c>
      <c r="N2828">
        <v>0</v>
      </c>
      <c r="O2828" t="s">
        <v>127</v>
      </c>
      <c r="P2828" t="s">
        <v>127</v>
      </c>
      <c r="Q2828" t="s">
        <v>127</v>
      </c>
    </row>
    <row r="2829" spans="1:17" x14ac:dyDescent="0.25">
      <c r="A2829" t="str">
        <f>IF(C2829&amp;G2829&amp;D2829&lt;&gt;'Funnel setup'!$K$3&amp;'Funnel setup'!$K$4&amp;'Funnel setup'!$K$6,".",IF(A2828=".",1,A2828+1))</f>
        <v>.</v>
      </c>
      <c r="B2829" s="244" t="str">
        <f t="shared" si="44"/>
        <v>Knee Replacement RevisionSub-ICB of GP PracticeNHS GREATER MANCHESTER ICB - 02H (02H)EQ-5D Index</v>
      </c>
      <c r="C2829" t="s">
        <v>973</v>
      </c>
      <c r="D2829" t="s">
        <v>1021</v>
      </c>
      <c r="E2829" t="s">
        <v>817</v>
      </c>
      <c r="F2829" t="s">
        <v>818</v>
      </c>
      <c r="G2829" t="s">
        <v>963</v>
      </c>
      <c r="H2829">
        <v>1</v>
      </c>
      <c r="I2829">
        <v>5.5E-2</v>
      </c>
      <c r="J2829">
        <v>0.58699999999999997</v>
      </c>
      <c r="K2829">
        <v>0.53200000000000003</v>
      </c>
      <c r="L2829">
        <v>1</v>
      </c>
      <c r="M2829">
        <v>0</v>
      </c>
      <c r="N2829">
        <v>0</v>
      </c>
      <c r="O2829" t="s">
        <v>127</v>
      </c>
      <c r="P2829" t="s">
        <v>127</v>
      </c>
      <c r="Q2829" t="s">
        <v>127</v>
      </c>
    </row>
    <row r="2830" spans="1:17" x14ac:dyDescent="0.25">
      <c r="A2830" t="str">
        <f>IF(C2830&amp;G2830&amp;D2830&lt;&gt;'Funnel setup'!$K$3&amp;'Funnel setup'!$K$4&amp;'Funnel setup'!$K$6,".",IF(A2829=".",1,A2829+1))</f>
        <v>.</v>
      </c>
      <c r="B2830" s="244" t="str">
        <f t="shared" si="44"/>
        <v>Knee Replacement RevisionSub-ICB of GP PracticeNHS GREATER MANCHESTER ICB - 14L (14L)EQ-5D Index</v>
      </c>
      <c r="C2830" t="s">
        <v>973</v>
      </c>
      <c r="D2830" t="s">
        <v>1021</v>
      </c>
      <c r="E2830" t="s">
        <v>819</v>
      </c>
      <c r="F2830" t="s">
        <v>820</v>
      </c>
      <c r="G2830" t="s">
        <v>963</v>
      </c>
      <c r="H2830">
        <v>1</v>
      </c>
      <c r="I2830">
        <v>0.159</v>
      </c>
      <c r="J2830">
        <v>0.51600000000000001</v>
      </c>
      <c r="K2830">
        <v>0.35699999999999998</v>
      </c>
      <c r="L2830">
        <v>1</v>
      </c>
      <c r="M2830">
        <v>0</v>
      </c>
      <c r="N2830">
        <v>0</v>
      </c>
      <c r="O2830" t="s">
        <v>127</v>
      </c>
      <c r="P2830" t="s">
        <v>127</v>
      </c>
      <c r="Q2830" t="s">
        <v>127</v>
      </c>
    </row>
    <row r="2831" spans="1:17" x14ac:dyDescent="0.25">
      <c r="A2831" t="str">
        <f>IF(C2831&amp;G2831&amp;D2831&lt;&gt;'Funnel setup'!$K$3&amp;'Funnel setup'!$K$4&amp;'Funnel setup'!$K$6,".",IF(A2830=".",1,A2830+1))</f>
        <v>.</v>
      </c>
      <c r="B2831" s="244" t="str">
        <f t="shared" si="44"/>
        <v>Knee Replacement RevisionSub-ICB of GP PracticeNHS HAMPSHIRE AND ISLE OF WIGHT ICB - 10R (10R)EQ-5D Index</v>
      </c>
      <c r="C2831" t="s">
        <v>973</v>
      </c>
      <c r="D2831" t="s">
        <v>1021</v>
      </c>
      <c r="E2831" t="s">
        <v>821</v>
      </c>
      <c r="F2831" t="s">
        <v>822</v>
      </c>
      <c r="G2831" t="s">
        <v>963</v>
      </c>
      <c r="H2831">
        <v>1</v>
      </c>
      <c r="I2831">
        <v>0.19500000000000001</v>
      </c>
      <c r="J2831">
        <v>0.69099999999999995</v>
      </c>
      <c r="K2831">
        <v>0.496</v>
      </c>
      <c r="L2831">
        <v>1</v>
      </c>
      <c r="M2831">
        <v>0</v>
      </c>
      <c r="N2831">
        <v>0</v>
      </c>
      <c r="O2831" t="s">
        <v>127</v>
      </c>
      <c r="P2831" t="s">
        <v>127</v>
      </c>
      <c r="Q2831" t="s">
        <v>127</v>
      </c>
    </row>
    <row r="2832" spans="1:17" x14ac:dyDescent="0.25">
      <c r="A2832" t="str">
        <f>IF(C2832&amp;G2832&amp;D2832&lt;&gt;'Funnel setup'!$K$3&amp;'Funnel setup'!$K$4&amp;'Funnel setup'!$K$6,".",IF(A2831=".",1,A2831+1))</f>
        <v>.</v>
      </c>
      <c r="B2832" s="244" t="str">
        <f t="shared" si="44"/>
        <v>Knee Replacement RevisionSub-ICB of GP PracticeNHS HAMPSHIRE AND ISLE OF WIGHT ICB - D9Y0V (D9Y0V)EQ-5D Index</v>
      </c>
      <c r="C2832" t="s">
        <v>973</v>
      </c>
      <c r="D2832" t="s">
        <v>1021</v>
      </c>
      <c r="E2832" t="s">
        <v>823</v>
      </c>
      <c r="F2832" t="s">
        <v>824</v>
      </c>
      <c r="G2832" t="s">
        <v>963</v>
      </c>
      <c r="H2832">
        <v>29</v>
      </c>
      <c r="I2832">
        <v>0.31989699999999999</v>
      </c>
      <c r="J2832">
        <v>0.66562100000000002</v>
      </c>
      <c r="K2832">
        <v>0.34572399999999998</v>
      </c>
      <c r="L2832">
        <v>26</v>
      </c>
      <c r="M2832">
        <v>0</v>
      </c>
      <c r="N2832">
        <v>3</v>
      </c>
      <c r="O2832" t="s">
        <v>127</v>
      </c>
      <c r="P2832" t="s">
        <v>127</v>
      </c>
      <c r="Q2832" t="s">
        <v>127</v>
      </c>
    </row>
    <row r="2833" spans="1:17" x14ac:dyDescent="0.25">
      <c r="A2833" t="str">
        <f>IF(C2833&amp;G2833&amp;D2833&lt;&gt;'Funnel setup'!$K$3&amp;'Funnel setup'!$K$4&amp;'Funnel setup'!$K$6,".",IF(A2832=".",1,A2832+1))</f>
        <v>.</v>
      </c>
      <c r="B2833" s="244" t="str">
        <f t="shared" si="44"/>
        <v>Knee Replacement RevisionSub-ICB of GP PracticeNHS HEREFORDSHIRE AND WORCESTERSHIRE ICB - 18C (18C)EQ-5D Index</v>
      </c>
      <c r="C2833" t="s">
        <v>973</v>
      </c>
      <c r="D2833" t="s">
        <v>1021</v>
      </c>
      <c r="E2833" t="s">
        <v>825</v>
      </c>
      <c r="F2833" t="s">
        <v>826</v>
      </c>
      <c r="G2833" t="s">
        <v>963</v>
      </c>
      <c r="H2833">
        <v>13</v>
      </c>
      <c r="I2833">
        <v>0.31023099999999998</v>
      </c>
      <c r="J2833">
        <v>0.72053800000000001</v>
      </c>
      <c r="K2833">
        <v>0.41030800000000001</v>
      </c>
      <c r="L2833">
        <v>10</v>
      </c>
      <c r="M2833">
        <v>1</v>
      </c>
      <c r="N2833">
        <v>2</v>
      </c>
      <c r="O2833" t="s">
        <v>127</v>
      </c>
      <c r="P2833" t="s">
        <v>127</v>
      </c>
      <c r="Q2833" t="s">
        <v>127</v>
      </c>
    </row>
    <row r="2834" spans="1:17" x14ac:dyDescent="0.25">
      <c r="A2834" t="str">
        <f>IF(C2834&amp;G2834&amp;D2834&lt;&gt;'Funnel setup'!$K$3&amp;'Funnel setup'!$K$4&amp;'Funnel setup'!$K$6,".",IF(A2833=".",1,A2833+1))</f>
        <v>.</v>
      </c>
      <c r="B2834" s="244" t="str">
        <f t="shared" si="44"/>
        <v>Knee Replacement RevisionSub-ICB of GP PracticeNHS HERTFORDSHIRE AND WEST ESSEX ICB - 06K (06K)EQ-5D Index</v>
      </c>
      <c r="C2834" t="s">
        <v>973</v>
      </c>
      <c r="D2834" t="s">
        <v>1021</v>
      </c>
      <c r="E2834" t="s">
        <v>827</v>
      </c>
      <c r="F2834" t="s">
        <v>828</v>
      </c>
      <c r="G2834" t="s">
        <v>963</v>
      </c>
      <c r="H2834">
        <v>1</v>
      </c>
      <c r="I2834">
        <v>0.159</v>
      </c>
      <c r="J2834">
        <v>0.69099999999999995</v>
      </c>
      <c r="K2834">
        <v>0.53200000000000003</v>
      </c>
      <c r="L2834">
        <v>1</v>
      </c>
      <c r="M2834">
        <v>0</v>
      </c>
      <c r="N2834">
        <v>0</v>
      </c>
      <c r="O2834" t="s">
        <v>127</v>
      </c>
      <c r="P2834" t="s">
        <v>127</v>
      </c>
      <c r="Q2834" t="s">
        <v>127</v>
      </c>
    </row>
    <row r="2835" spans="1:17" x14ac:dyDescent="0.25">
      <c r="A2835" t="str">
        <f>IF(C2835&amp;G2835&amp;D2835&lt;&gt;'Funnel setup'!$K$3&amp;'Funnel setup'!$K$4&amp;'Funnel setup'!$K$6,".",IF(A2834=".",1,A2834+1))</f>
        <v>.</v>
      </c>
      <c r="B2835" s="244" t="str">
        <f t="shared" si="44"/>
        <v>Knee Replacement RevisionSub-ICB of GP PracticeNHS HERTFORDSHIRE AND WEST ESSEX ICB - 06N (06N)EQ-5D Index</v>
      </c>
      <c r="C2835" t="s">
        <v>973</v>
      </c>
      <c r="D2835" t="s">
        <v>1021</v>
      </c>
      <c r="E2835" t="s">
        <v>829</v>
      </c>
      <c r="F2835" t="s">
        <v>830</v>
      </c>
      <c r="G2835" t="s">
        <v>963</v>
      </c>
      <c r="H2835">
        <v>11</v>
      </c>
      <c r="I2835">
        <v>0.23963599999999999</v>
      </c>
      <c r="J2835">
        <v>0.50581799999999999</v>
      </c>
      <c r="K2835">
        <v>0.26618199999999997</v>
      </c>
      <c r="L2835">
        <v>8</v>
      </c>
      <c r="M2835">
        <v>1</v>
      </c>
      <c r="N2835">
        <v>2</v>
      </c>
      <c r="O2835" t="s">
        <v>127</v>
      </c>
      <c r="P2835" t="s">
        <v>127</v>
      </c>
      <c r="Q2835" t="s">
        <v>127</v>
      </c>
    </row>
    <row r="2836" spans="1:17" x14ac:dyDescent="0.25">
      <c r="A2836" t="str">
        <f>IF(C2836&amp;G2836&amp;D2836&lt;&gt;'Funnel setup'!$K$3&amp;'Funnel setup'!$K$4&amp;'Funnel setup'!$K$6,".",IF(A2835=".",1,A2835+1))</f>
        <v>.</v>
      </c>
      <c r="B2836" s="244" t="str">
        <f t="shared" si="44"/>
        <v>Knee Replacement RevisionSub-ICB of GP PracticeNHS HERTFORDSHIRE AND WEST ESSEX ICB - 07H (07H)EQ-5D Index</v>
      </c>
      <c r="C2836" t="s">
        <v>973</v>
      </c>
      <c r="D2836" t="s">
        <v>1021</v>
      </c>
      <c r="E2836" t="s">
        <v>831</v>
      </c>
      <c r="F2836" t="s">
        <v>832</v>
      </c>
      <c r="G2836" t="s">
        <v>963</v>
      </c>
      <c r="H2836">
        <v>1</v>
      </c>
      <c r="I2836">
        <v>5.5E-2</v>
      </c>
      <c r="J2836">
        <v>0.58699999999999997</v>
      </c>
      <c r="K2836">
        <v>0.53200000000000003</v>
      </c>
      <c r="L2836">
        <v>1</v>
      </c>
      <c r="M2836">
        <v>0</v>
      </c>
      <c r="N2836">
        <v>0</v>
      </c>
      <c r="O2836" t="s">
        <v>127</v>
      </c>
      <c r="P2836" t="s">
        <v>127</v>
      </c>
      <c r="Q2836" t="s">
        <v>127</v>
      </c>
    </row>
    <row r="2837" spans="1:17" x14ac:dyDescent="0.25">
      <c r="A2837" t="str">
        <f>IF(C2837&amp;G2837&amp;D2837&lt;&gt;'Funnel setup'!$K$3&amp;'Funnel setup'!$K$4&amp;'Funnel setup'!$K$6,".",IF(A2836=".",1,A2836+1))</f>
        <v>.</v>
      </c>
      <c r="B2837" s="244" t="str">
        <f t="shared" si="44"/>
        <v>Knee Replacement RevisionSub-ICB of GP PracticeNHS HUMBER AND NORTH YORKSHIRE ICB - 02Y (02Y)EQ-5D Index</v>
      </c>
      <c r="C2837" t="s">
        <v>973</v>
      </c>
      <c r="D2837" t="s">
        <v>1021</v>
      </c>
      <c r="E2837" t="s">
        <v>833</v>
      </c>
      <c r="F2837" t="s">
        <v>834</v>
      </c>
      <c r="G2837" t="s">
        <v>963</v>
      </c>
      <c r="H2837">
        <v>3</v>
      </c>
      <c r="I2837">
        <v>0.465333</v>
      </c>
      <c r="J2837">
        <v>0.52366699999999999</v>
      </c>
      <c r="K2837">
        <v>5.8333299999999998E-2</v>
      </c>
      <c r="L2837">
        <v>1</v>
      </c>
      <c r="M2837">
        <v>1</v>
      </c>
      <c r="N2837">
        <v>1</v>
      </c>
      <c r="O2837" t="s">
        <v>127</v>
      </c>
      <c r="P2837" t="s">
        <v>127</v>
      </c>
      <c r="Q2837" t="s">
        <v>127</v>
      </c>
    </row>
    <row r="2838" spans="1:17" x14ac:dyDescent="0.25">
      <c r="A2838" t="str">
        <f>IF(C2838&amp;G2838&amp;D2838&lt;&gt;'Funnel setup'!$K$3&amp;'Funnel setup'!$K$4&amp;'Funnel setup'!$K$6,".",IF(A2837=".",1,A2837+1))</f>
        <v>.</v>
      </c>
      <c r="B2838" s="244" t="str">
        <f t="shared" si="44"/>
        <v>Knee Replacement RevisionSub-ICB of GP PracticeNHS HUMBER AND NORTH YORKSHIRE ICB - 03F (03F)EQ-5D Index</v>
      </c>
      <c r="C2838" t="s">
        <v>973</v>
      </c>
      <c r="D2838" t="s">
        <v>1021</v>
      </c>
      <c r="E2838" t="s">
        <v>835</v>
      </c>
      <c r="F2838" t="s">
        <v>836</v>
      </c>
      <c r="G2838" t="s">
        <v>963</v>
      </c>
      <c r="H2838">
        <v>1</v>
      </c>
      <c r="I2838">
        <v>-1.6E-2</v>
      </c>
      <c r="J2838">
        <v>-1.6E-2</v>
      </c>
      <c r="K2838">
        <v>0</v>
      </c>
      <c r="L2838">
        <v>0</v>
      </c>
      <c r="M2838">
        <v>1</v>
      </c>
      <c r="N2838">
        <v>0</v>
      </c>
      <c r="O2838" t="s">
        <v>127</v>
      </c>
      <c r="P2838" t="s">
        <v>127</v>
      </c>
      <c r="Q2838" t="s">
        <v>127</v>
      </c>
    </row>
    <row r="2839" spans="1:17" x14ac:dyDescent="0.25">
      <c r="A2839" t="str">
        <f>IF(C2839&amp;G2839&amp;D2839&lt;&gt;'Funnel setup'!$K$3&amp;'Funnel setup'!$K$4&amp;'Funnel setup'!$K$6,".",IF(A2838=".",1,A2838+1))</f>
        <v>.</v>
      </c>
      <c r="B2839" s="244" t="str">
        <f t="shared" si="44"/>
        <v>Knee Replacement RevisionSub-ICB of GP PracticeNHS HUMBER AND NORTH YORKSHIRE ICB - 03H (03H)EQ-5D Index</v>
      </c>
      <c r="C2839" t="s">
        <v>973</v>
      </c>
      <c r="D2839" t="s">
        <v>1021</v>
      </c>
      <c r="E2839" t="s">
        <v>837</v>
      </c>
      <c r="F2839" t="s">
        <v>838</v>
      </c>
      <c r="G2839" t="s">
        <v>963</v>
      </c>
      <c r="H2839">
        <v>2</v>
      </c>
      <c r="I2839">
        <v>0.3085</v>
      </c>
      <c r="J2839">
        <v>0.55149999999999999</v>
      </c>
      <c r="K2839">
        <v>0.24299999999999999</v>
      </c>
      <c r="L2839">
        <v>1</v>
      </c>
      <c r="M2839">
        <v>0</v>
      </c>
      <c r="N2839">
        <v>1</v>
      </c>
      <c r="O2839" t="s">
        <v>127</v>
      </c>
      <c r="P2839" t="s">
        <v>127</v>
      </c>
      <c r="Q2839" t="s">
        <v>127</v>
      </c>
    </row>
    <row r="2840" spans="1:17" x14ac:dyDescent="0.25">
      <c r="A2840" t="str">
        <f>IF(C2840&amp;G2840&amp;D2840&lt;&gt;'Funnel setup'!$K$3&amp;'Funnel setup'!$K$4&amp;'Funnel setup'!$K$6,".",IF(A2839=".",1,A2839+1))</f>
        <v>.</v>
      </c>
      <c r="B2840" s="244" t="str">
        <f t="shared" si="44"/>
        <v>Knee Replacement RevisionSub-ICB of GP PracticeNHS HUMBER AND NORTH YORKSHIRE ICB - 03K (03K)EQ-5D Index</v>
      </c>
      <c r="C2840" t="s">
        <v>973</v>
      </c>
      <c r="D2840" t="s">
        <v>1021</v>
      </c>
      <c r="E2840" t="s">
        <v>839</v>
      </c>
      <c r="F2840" t="s">
        <v>840</v>
      </c>
      <c r="G2840" t="s">
        <v>963</v>
      </c>
      <c r="H2840">
        <v>3</v>
      </c>
      <c r="I2840">
        <v>0.31266699999999997</v>
      </c>
      <c r="J2840">
        <v>0.45466699999999999</v>
      </c>
      <c r="K2840">
        <v>0.14199999999999999</v>
      </c>
      <c r="L2840">
        <v>2</v>
      </c>
      <c r="M2840">
        <v>0</v>
      </c>
      <c r="N2840">
        <v>1</v>
      </c>
      <c r="O2840" t="s">
        <v>127</v>
      </c>
      <c r="P2840" t="s">
        <v>127</v>
      </c>
      <c r="Q2840" t="s">
        <v>127</v>
      </c>
    </row>
    <row r="2841" spans="1:17" x14ac:dyDescent="0.25">
      <c r="A2841" t="str">
        <f>IF(C2841&amp;G2841&amp;D2841&lt;&gt;'Funnel setup'!$K$3&amp;'Funnel setup'!$K$4&amp;'Funnel setup'!$K$6,".",IF(A2840=".",1,A2840+1))</f>
        <v>.</v>
      </c>
      <c r="B2841" s="244" t="str">
        <f t="shared" si="44"/>
        <v>Knee Replacement RevisionSub-ICB of GP PracticeNHS HUMBER AND NORTH YORKSHIRE ICB - 03Q (03Q)EQ-5D Index</v>
      </c>
      <c r="C2841" t="s">
        <v>973</v>
      </c>
      <c r="D2841" t="s">
        <v>1021</v>
      </c>
      <c r="E2841" t="s">
        <v>841</v>
      </c>
      <c r="F2841" t="s">
        <v>842</v>
      </c>
      <c r="G2841" t="s">
        <v>963</v>
      </c>
      <c r="H2841">
        <v>9</v>
      </c>
      <c r="I2841">
        <v>0.55288899999999996</v>
      </c>
      <c r="J2841">
        <v>0.77788900000000005</v>
      </c>
      <c r="K2841">
        <v>0.22500000000000001</v>
      </c>
      <c r="L2841">
        <v>6</v>
      </c>
      <c r="M2841">
        <v>1</v>
      </c>
      <c r="N2841">
        <v>2</v>
      </c>
      <c r="O2841" t="s">
        <v>127</v>
      </c>
      <c r="P2841" t="s">
        <v>127</v>
      </c>
      <c r="Q2841" t="s">
        <v>127</v>
      </c>
    </row>
    <row r="2842" spans="1:17" x14ac:dyDescent="0.25">
      <c r="A2842" t="str">
        <f>IF(C2842&amp;G2842&amp;D2842&lt;&gt;'Funnel setup'!$K$3&amp;'Funnel setup'!$K$4&amp;'Funnel setup'!$K$6,".",IF(A2841=".",1,A2841+1))</f>
        <v>.</v>
      </c>
      <c r="B2842" s="244" t="str">
        <f t="shared" si="44"/>
        <v>Knee Replacement RevisionSub-ICB of GP PracticeNHS HUMBER AND NORTH YORKSHIRE ICB - 42D (42D)EQ-5D Index</v>
      </c>
      <c r="C2842" t="s">
        <v>973</v>
      </c>
      <c r="D2842" t="s">
        <v>1021</v>
      </c>
      <c r="E2842" t="s">
        <v>843</v>
      </c>
      <c r="F2842" t="s">
        <v>844</v>
      </c>
      <c r="G2842" t="s">
        <v>963</v>
      </c>
      <c r="H2842">
        <v>11</v>
      </c>
      <c r="I2842">
        <v>0.347636</v>
      </c>
      <c r="J2842">
        <v>0.71718199999999999</v>
      </c>
      <c r="K2842">
        <v>0.36954500000000001</v>
      </c>
      <c r="L2842">
        <v>8</v>
      </c>
      <c r="M2842">
        <v>2</v>
      </c>
      <c r="N2842">
        <v>1</v>
      </c>
      <c r="O2842" t="s">
        <v>127</v>
      </c>
      <c r="P2842" t="s">
        <v>127</v>
      </c>
      <c r="Q2842" t="s">
        <v>127</v>
      </c>
    </row>
    <row r="2843" spans="1:17" x14ac:dyDescent="0.25">
      <c r="A2843" t="str">
        <f>IF(C2843&amp;G2843&amp;D2843&lt;&gt;'Funnel setup'!$K$3&amp;'Funnel setup'!$K$4&amp;'Funnel setup'!$K$6,".",IF(A2842=".",1,A2842+1))</f>
        <v>.</v>
      </c>
      <c r="B2843" s="244" t="str">
        <f t="shared" si="44"/>
        <v>Knee Replacement RevisionSub-ICB of GP PracticeNHS KENT AND MEDWAY ICB - 91Q (91Q)EQ-5D Index</v>
      </c>
      <c r="C2843" t="s">
        <v>973</v>
      </c>
      <c r="D2843" t="s">
        <v>1021</v>
      </c>
      <c r="E2843" t="s">
        <v>845</v>
      </c>
      <c r="F2843" t="s">
        <v>846</v>
      </c>
      <c r="G2843" t="s">
        <v>963</v>
      </c>
      <c r="H2843">
        <v>18</v>
      </c>
      <c r="I2843">
        <v>0.32100000000000001</v>
      </c>
      <c r="J2843">
        <v>0.63583299999999998</v>
      </c>
      <c r="K2843">
        <v>0.31483299999999997</v>
      </c>
      <c r="L2843">
        <v>12</v>
      </c>
      <c r="M2843">
        <v>3</v>
      </c>
      <c r="N2843">
        <v>3</v>
      </c>
      <c r="O2843" t="s">
        <v>127</v>
      </c>
      <c r="P2843" t="s">
        <v>127</v>
      </c>
      <c r="Q2843" t="s">
        <v>127</v>
      </c>
    </row>
    <row r="2844" spans="1:17" x14ac:dyDescent="0.25">
      <c r="A2844" t="str">
        <f>IF(C2844&amp;G2844&amp;D2844&lt;&gt;'Funnel setup'!$K$3&amp;'Funnel setup'!$K$4&amp;'Funnel setup'!$K$6,".",IF(A2843=".",1,A2843+1))</f>
        <v>.</v>
      </c>
      <c r="B2844" s="244" t="str">
        <f t="shared" si="44"/>
        <v>Knee Replacement RevisionSub-ICB of GP PracticeNHS LANCASHIRE AND SOUTH CUMBRIA ICB - 00Q (00Q)EQ-5D Index</v>
      </c>
      <c r="C2844" t="s">
        <v>973</v>
      </c>
      <c r="D2844" t="s">
        <v>1021</v>
      </c>
      <c r="E2844" t="s">
        <v>847</v>
      </c>
      <c r="F2844" t="s">
        <v>848</v>
      </c>
      <c r="G2844" t="s">
        <v>963</v>
      </c>
      <c r="H2844">
        <v>2</v>
      </c>
      <c r="I2844">
        <v>0.125</v>
      </c>
      <c r="J2844">
        <v>0.35549999999999998</v>
      </c>
      <c r="K2844">
        <v>0.23050000000000001</v>
      </c>
      <c r="L2844">
        <v>1</v>
      </c>
      <c r="M2844">
        <v>0</v>
      </c>
      <c r="N2844">
        <v>1</v>
      </c>
      <c r="O2844" t="s">
        <v>127</v>
      </c>
      <c r="P2844" t="s">
        <v>127</v>
      </c>
      <c r="Q2844" t="s">
        <v>127</v>
      </c>
    </row>
    <row r="2845" spans="1:17" x14ac:dyDescent="0.25">
      <c r="A2845" t="str">
        <f>IF(C2845&amp;G2845&amp;D2845&lt;&gt;'Funnel setup'!$K$3&amp;'Funnel setup'!$K$4&amp;'Funnel setup'!$K$6,".",IF(A2844=".",1,A2844+1))</f>
        <v>.</v>
      </c>
      <c r="B2845" s="244" t="str">
        <f t="shared" si="44"/>
        <v>Knee Replacement RevisionSub-ICB of GP PracticeNHS LANCASHIRE AND SOUTH CUMBRIA ICB - 00R (00R)EQ-5D Index</v>
      </c>
      <c r="C2845" t="s">
        <v>973</v>
      </c>
      <c r="D2845" t="s">
        <v>1021</v>
      </c>
      <c r="E2845" t="s">
        <v>849</v>
      </c>
      <c r="F2845" t="s">
        <v>850</v>
      </c>
      <c r="G2845" t="s">
        <v>963</v>
      </c>
      <c r="H2845">
        <v>1</v>
      </c>
      <c r="I2845">
        <v>-7.3999999999999996E-2</v>
      </c>
      <c r="J2845">
        <v>0.69099999999999995</v>
      </c>
      <c r="K2845">
        <v>0.76500000000000001</v>
      </c>
      <c r="L2845">
        <v>1</v>
      </c>
      <c r="M2845">
        <v>0</v>
      </c>
      <c r="N2845">
        <v>0</v>
      </c>
      <c r="O2845" t="s">
        <v>127</v>
      </c>
      <c r="P2845" t="s">
        <v>127</v>
      </c>
      <c r="Q2845" t="s">
        <v>127</v>
      </c>
    </row>
    <row r="2846" spans="1:17" x14ac:dyDescent="0.25">
      <c r="A2846" t="str">
        <f>IF(C2846&amp;G2846&amp;D2846&lt;&gt;'Funnel setup'!$K$3&amp;'Funnel setup'!$K$4&amp;'Funnel setup'!$K$6,".",IF(A2845=".",1,A2845+1))</f>
        <v>.</v>
      </c>
      <c r="B2846" s="244" t="str">
        <f t="shared" si="44"/>
        <v>Knee Replacement RevisionSub-ICB of GP PracticeNHS LANCASHIRE AND SOUTH CUMBRIA ICB - 00X (00X)EQ-5D Index</v>
      </c>
      <c r="C2846" t="s">
        <v>973</v>
      </c>
      <c r="D2846" t="s">
        <v>1021</v>
      </c>
      <c r="E2846" t="s">
        <v>851</v>
      </c>
      <c r="F2846" t="s">
        <v>852</v>
      </c>
      <c r="G2846" t="s">
        <v>963</v>
      </c>
      <c r="H2846">
        <v>4</v>
      </c>
      <c r="I2846">
        <v>0.28399999999999997</v>
      </c>
      <c r="J2846">
        <v>0.65275000000000005</v>
      </c>
      <c r="K2846">
        <v>0.36875000000000002</v>
      </c>
      <c r="L2846">
        <v>4</v>
      </c>
      <c r="M2846">
        <v>0</v>
      </c>
      <c r="N2846">
        <v>0</v>
      </c>
      <c r="O2846" t="s">
        <v>127</v>
      </c>
      <c r="P2846" t="s">
        <v>127</v>
      </c>
      <c r="Q2846" t="s">
        <v>127</v>
      </c>
    </row>
    <row r="2847" spans="1:17" x14ac:dyDescent="0.25">
      <c r="A2847" t="str">
        <f>IF(C2847&amp;G2847&amp;D2847&lt;&gt;'Funnel setup'!$K$3&amp;'Funnel setup'!$K$4&amp;'Funnel setup'!$K$6,".",IF(A2846=".",1,A2846+1))</f>
        <v>.</v>
      </c>
      <c r="B2847" s="244" t="str">
        <f t="shared" si="44"/>
        <v>Knee Replacement RevisionSub-ICB of GP PracticeNHS LANCASHIRE AND SOUTH CUMBRIA ICB - 01A (01A)EQ-5D Index</v>
      </c>
      <c r="C2847" t="s">
        <v>973</v>
      </c>
      <c r="D2847" t="s">
        <v>1021</v>
      </c>
      <c r="E2847" t="s">
        <v>853</v>
      </c>
      <c r="F2847" t="s">
        <v>854</v>
      </c>
      <c r="G2847" t="s">
        <v>963</v>
      </c>
      <c r="H2847">
        <v>3</v>
      </c>
      <c r="I2847">
        <v>0.31166700000000003</v>
      </c>
      <c r="J2847">
        <v>0.56466700000000003</v>
      </c>
      <c r="K2847">
        <v>0.253</v>
      </c>
      <c r="L2847">
        <v>2</v>
      </c>
      <c r="M2847">
        <v>0</v>
      </c>
      <c r="N2847">
        <v>1</v>
      </c>
      <c r="O2847" t="s">
        <v>127</v>
      </c>
      <c r="P2847" t="s">
        <v>127</v>
      </c>
      <c r="Q2847" t="s">
        <v>127</v>
      </c>
    </row>
    <row r="2848" spans="1:17" x14ac:dyDescent="0.25">
      <c r="A2848" t="str">
        <f>IF(C2848&amp;G2848&amp;D2848&lt;&gt;'Funnel setup'!$K$3&amp;'Funnel setup'!$K$4&amp;'Funnel setup'!$K$6,".",IF(A2847=".",1,A2847+1))</f>
        <v>.</v>
      </c>
      <c r="B2848" s="244" t="str">
        <f t="shared" si="44"/>
        <v>Knee Replacement RevisionSub-ICB of GP PracticeNHS LANCASHIRE AND SOUTH CUMBRIA ICB - 01E (01E)EQ-5D Index</v>
      </c>
      <c r="C2848" t="s">
        <v>973</v>
      </c>
      <c r="D2848" t="s">
        <v>1021</v>
      </c>
      <c r="E2848" t="s">
        <v>855</v>
      </c>
      <c r="F2848" t="s">
        <v>856</v>
      </c>
      <c r="G2848" t="s">
        <v>963</v>
      </c>
      <c r="H2848">
        <v>2</v>
      </c>
      <c r="I2848">
        <v>0.60350000000000004</v>
      </c>
      <c r="J2848">
        <v>1</v>
      </c>
      <c r="K2848">
        <v>0.39650000000000002</v>
      </c>
      <c r="L2848">
        <v>2</v>
      </c>
      <c r="M2848">
        <v>0</v>
      </c>
      <c r="N2848">
        <v>0</v>
      </c>
      <c r="O2848" t="s">
        <v>127</v>
      </c>
      <c r="P2848" t="s">
        <v>127</v>
      </c>
      <c r="Q2848" t="s">
        <v>127</v>
      </c>
    </row>
    <row r="2849" spans="1:17" x14ac:dyDescent="0.25">
      <c r="A2849" t="str">
        <f>IF(C2849&amp;G2849&amp;D2849&lt;&gt;'Funnel setup'!$K$3&amp;'Funnel setup'!$K$4&amp;'Funnel setup'!$K$6,".",IF(A2848=".",1,A2848+1))</f>
        <v>.</v>
      </c>
      <c r="B2849" s="244" t="str">
        <f t="shared" si="44"/>
        <v>Knee Replacement RevisionSub-ICB of GP PracticeNHS LANCASHIRE AND SOUTH CUMBRIA ICB - 01K (01K)EQ-5D Index</v>
      </c>
      <c r="C2849" t="s">
        <v>973</v>
      </c>
      <c r="D2849" t="s">
        <v>1021</v>
      </c>
      <c r="E2849" t="s">
        <v>857</v>
      </c>
      <c r="F2849" t="s">
        <v>858</v>
      </c>
      <c r="G2849" t="s">
        <v>963</v>
      </c>
      <c r="H2849">
        <v>3</v>
      </c>
      <c r="I2849">
        <v>0.219667</v>
      </c>
      <c r="J2849">
        <v>0.749</v>
      </c>
      <c r="K2849">
        <v>0.52933300000000005</v>
      </c>
      <c r="L2849">
        <v>3</v>
      </c>
      <c r="M2849">
        <v>0</v>
      </c>
      <c r="N2849">
        <v>0</v>
      </c>
      <c r="O2849" t="s">
        <v>127</v>
      </c>
      <c r="P2849" t="s">
        <v>127</v>
      </c>
      <c r="Q2849" t="s">
        <v>127</v>
      </c>
    </row>
    <row r="2850" spans="1:17" x14ac:dyDescent="0.25">
      <c r="A2850" t="str">
        <f>IF(C2850&amp;G2850&amp;D2850&lt;&gt;'Funnel setup'!$K$3&amp;'Funnel setup'!$K$4&amp;'Funnel setup'!$K$6,".",IF(A2849=".",1,A2849+1))</f>
        <v>.</v>
      </c>
      <c r="B2850" s="244" t="str">
        <f t="shared" si="44"/>
        <v>Knee Replacement RevisionSub-ICB of GP PracticeNHS LANCASHIRE AND SOUTH CUMBRIA ICB - 02M (02M)EQ-5D Index</v>
      </c>
      <c r="C2850" t="s">
        <v>973</v>
      </c>
      <c r="D2850" t="s">
        <v>1021</v>
      </c>
      <c r="E2850" t="s">
        <v>861</v>
      </c>
      <c r="F2850" t="s">
        <v>862</v>
      </c>
      <c r="G2850" t="s">
        <v>963</v>
      </c>
      <c r="H2850">
        <v>1</v>
      </c>
      <c r="I2850">
        <v>8.7999999999999995E-2</v>
      </c>
      <c r="J2850">
        <v>0.255</v>
      </c>
      <c r="K2850">
        <v>0.16700000000000001</v>
      </c>
      <c r="L2850">
        <v>1</v>
      </c>
      <c r="M2850">
        <v>0</v>
      </c>
      <c r="N2850">
        <v>0</v>
      </c>
      <c r="O2850" t="s">
        <v>127</v>
      </c>
      <c r="P2850" t="s">
        <v>127</v>
      </c>
      <c r="Q2850" t="s">
        <v>127</v>
      </c>
    </row>
    <row r="2851" spans="1:17" x14ac:dyDescent="0.25">
      <c r="A2851" t="str">
        <f>IF(C2851&amp;G2851&amp;D2851&lt;&gt;'Funnel setup'!$K$3&amp;'Funnel setup'!$K$4&amp;'Funnel setup'!$K$6,".",IF(A2850=".",1,A2850+1))</f>
        <v>.</v>
      </c>
      <c r="B2851" s="244" t="str">
        <f t="shared" si="44"/>
        <v>Knee Replacement RevisionSub-ICB of GP PracticeNHS LEICESTER, LEICESTERSHIRE AND RUTLAND ICB - 03W (03W)EQ-5D Index</v>
      </c>
      <c r="C2851" t="s">
        <v>973</v>
      </c>
      <c r="D2851" t="s">
        <v>1021</v>
      </c>
      <c r="E2851" t="s">
        <v>863</v>
      </c>
      <c r="F2851" t="s">
        <v>864</v>
      </c>
      <c r="G2851" t="s">
        <v>963</v>
      </c>
      <c r="H2851">
        <v>4</v>
      </c>
      <c r="I2851">
        <v>0.3745</v>
      </c>
      <c r="J2851">
        <v>0.77725</v>
      </c>
      <c r="K2851">
        <v>0.40275</v>
      </c>
      <c r="L2851">
        <v>4</v>
      </c>
      <c r="M2851">
        <v>0</v>
      </c>
      <c r="N2851">
        <v>0</v>
      </c>
      <c r="O2851" t="s">
        <v>127</v>
      </c>
      <c r="P2851" t="s">
        <v>127</v>
      </c>
      <c r="Q2851" t="s">
        <v>127</v>
      </c>
    </row>
    <row r="2852" spans="1:17" x14ac:dyDescent="0.25">
      <c r="A2852" t="str">
        <f>IF(C2852&amp;G2852&amp;D2852&lt;&gt;'Funnel setup'!$K$3&amp;'Funnel setup'!$K$4&amp;'Funnel setup'!$K$6,".",IF(A2851=".",1,A2851+1))</f>
        <v>.</v>
      </c>
      <c r="B2852" s="244" t="str">
        <f t="shared" si="44"/>
        <v>Knee Replacement RevisionSub-ICB of GP PracticeNHS LEICESTER, LEICESTERSHIRE AND RUTLAND ICB - 04C (04C)EQ-5D Index</v>
      </c>
      <c r="C2852" t="s">
        <v>973</v>
      </c>
      <c r="D2852" t="s">
        <v>1021</v>
      </c>
      <c r="E2852" t="s">
        <v>865</v>
      </c>
      <c r="F2852" t="s">
        <v>866</v>
      </c>
      <c r="G2852" t="s">
        <v>963</v>
      </c>
      <c r="H2852">
        <v>1</v>
      </c>
      <c r="I2852">
        <v>5.5E-2</v>
      </c>
      <c r="J2852">
        <v>0.26</v>
      </c>
      <c r="K2852">
        <v>0.20499999999999999</v>
      </c>
      <c r="L2852">
        <v>1</v>
      </c>
      <c r="M2852">
        <v>0</v>
      </c>
      <c r="N2852">
        <v>0</v>
      </c>
      <c r="O2852" t="s">
        <v>127</v>
      </c>
      <c r="P2852" t="s">
        <v>127</v>
      </c>
      <c r="Q2852" t="s">
        <v>127</v>
      </c>
    </row>
    <row r="2853" spans="1:17" x14ac:dyDescent="0.25">
      <c r="A2853" t="str">
        <f>IF(C2853&amp;G2853&amp;D2853&lt;&gt;'Funnel setup'!$K$3&amp;'Funnel setup'!$K$4&amp;'Funnel setup'!$K$6,".",IF(A2852=".",1,A2852+1))</f>
        <v>.</v>
      </c>
      <c r="B2853" s="244" t="str">
        <f t="shared" si="44"/>
        <v>Knee Replacement RevisionSub-ICB of GP PracticeNHS LEICESTER, LEICESTERSHIRE AND RUTLAND ICB - 04V (04V)EQ-5D Index</v>
      </c>
      <c r="C2853" t="s">
        <v>973</v>
      </c>
      <c r="D2853" t="s">
        <v>1021</v>
      </c>
      <c r="E2853" t="s">
        <v>867</v>
      </c>
      <c r="F2853" t="s">
        <v>868</v>
      </c>
      <c r="G2853" t="s">
        <v>963</v>
      </c>
      <c r="H2853">
        <v>11</v>
      </c>
      <c r="I2853">
        <v>0.28936400000000001</v>
      </c>
      <c r="J2853">
        <v>0.63690899999999995</v>
      </c>
      <c r="K2853">
        <v>0.34754499999999999</v>
      </c>
      <c r="L2853">
        <v>8</v>
      </c>
      <c r="M2853">
        <v>2</v>
      </c>
      <c r="N2853">
        <v>1</v>
      </c>
      <c r="O2853" t="s">
        <v>127</v>
      </c>
      <c r="P2853" t="s">
        <v>127</v>
      </c>
      <c r="Q2853" t="s">
        <v>127</v>
      </c>
    </row>
    <row r="2854" spans="1:17" x14ac:dyDescent="0.25">
      <c r="A2854" t="str">
        <f>IF(C2854&amp;G2854&amp;D2854&lt;&gt;'Funnel setup'!$K$3&amp;'Funnel setup'!$K$4&amp;'Funnel setup'!$K$6,".",IF(A2853=".",1,A2853+1))</f>
        <v>.</v>
      </c>
      <c r="B2854" s="244" t="str">
        <f t="shared" si="44"/>
        <v>Knee Replacement RevisionSub-ICB of GP PracticeNHS LINCOLNSHIRE ICB - 71E (71E)EQ-5D Index</v>
      </c>
      <c r="C2854" t="s">
        <v>973</v>
      </c>
      <c r="D2854" t="s">
        <v>1021</v>
      </c>
      <c r="E2854" t="s">
        <v>869</v>
      </c>
      <c r="F2854" t="s">
        <v>870</v>
      </c>
      <c r="G2854" t="s">
        <v>963</v>
      </c>
      <c r="H2854">
        <v>5</v>
      </c>
      <c r="I2854">
        <v>0.39660000000000001</v>
      </c>
      <c r="J2854">
        <v>0.80879999999999996</v>
      </c>
      <c r="K2854">
        <v>0.41220000000000001</v>
      </c>
      <c r="L2854">
        <v>4</v>
      </c>
      <c r="M2854">
        <v>1</v>
      </c>
      <c r="N2854">
        <v>0</v>
      </c>
      <c r="O2854" t="s">
        <v>127</v>
      </c>
      <c r="P2854" t="s">
        <v>127</v>
      </c>
      <c r="Q2854" t="s">
        <v>127</v>
      </c>
    </row>
    <row r="2855" spans="1:17" x14ac:dyDescent="0.25">
      <c r="A2855" t="str">
        <f>IF(C2855&amp;G2855&amp;D2855&lt;&gt;'Funnel setup'!$K$3&amp;'Funnel setup'!$K$4&amp;'Funnel setup'!$K$6,".",IF(A2854=".",1,A2854+1))</f>
        <v>.</v>
      </c>
      <c r="B2855" s="244" t="str">
        <f t="shared" si="44"/>
        <v>Knee Replacement RevisionSub-ICB of GP PracticeNHS MID AND SOUTH ESSEX ICB - 06Q (06Q)EQ-5D Index</v>
      </c>
      <c r="C2855" t="s">
        <v>973</v>
      </c>
      <c r="D2855" t="s">
        <v>1021</v>
      </c>
      <c r="E2855" t="s">
        <v>871</v>
      </c>
      <c r="F2855" t="s">
        <v>872</v>
      </c>
      <c r="G2855" t="s">
        <v>963</v>
      </c>
      <c r="H2855">
        <v>3</v>
      </c>
      <c r="I2855">
        <v>8.1333299999999997E-2</v>
      </c>
      <c r="J2855">
        <v>0.59299999999999997</v>
      </c>
      <c r="K2855">
        <v>0.51166699999999998</v>
      </c>
      <c r="L2855">
        <v>2</v>
      </c>
      <c r="M2855">
        <v>1</v>
      </c>
      <c r="N2855">
        <v>0</v>
      </c>
      <c r="O2855" t="s">
        <v>127</v>
      </c>
      <c r="P2855" t="s">
        <v>127</v>
      </c>
      <c r="Q2855" t="s">
        <v>127</v>
      </c>
    </row>
    <row r="2856" spans="1:17" x14ac:dyDescent="0.25">
      <c r="A2856" t="str">
        <f>IF(C2856&amp;G2856&amp;D2856&lt;&gt;'Funnel setup'!$K$3&amp;'Funnel setup'!$K$4&amp;'Funnel setup'!$K$6,".",IF(A2855=".",1,A2855+1))</f>
        <v>.</v>
      </c>
      <c r="B2856" s="244" t="str">
        <f t="shared" si="44"/>
        <v>Knee Replacement RevisionSub-ICB of GP PracticeNHS MID AND SOUTH ESSEX ICB - 99F (99F)EQ-5D Index</v>
      </c>
      <c r="C2856" t="s">
        <v>973</v>
      </c>
      <c r="D2856" t="s">
        <v>1021</v>
      </c>
      <c r="E2856" t="s">
        <v>877</v>
      </c>
      <c r="F2856" t="s">
        <v>878</v>
      </c>
      <c r="G2856" t="s">
        <v>963</v>
      </c>
      <c r="H2856">
        <v>1</v>
      </c>
      <c r="I2856">
        <v>8.7999999999999995E-2</v>
      </c>
      <c r="J2856">
        <v>0.69099999999999995</v>
      </c>
      <c r="K2856">
        <v>0.60299999999999998</v>
      </c>
      <c r="L2856">
        <v>1</v>
      </c>
      <c r="M2856">
        <v>0</v>
      </c>
      <c r="N2856">
        <v>0</v>
      </c>
      <c r="O2856" t="s">
        <v>127</v>
      </c>
      <c r="P2856" t="s">
        <v>127</v>
      </c>
      <c r="Q2856" t="s">
        <v>127</v>
      </c>
    </row>
    <row r="2857" spans="1:17" x14ac:dyDescent="0.25">
      <c r="A2857" t="str">
        <f>IF(C2857&amp;G2857&amp;D2857&lt;&gt;'Funnel setup'!$K$3&amp;'Funnel setup'!$K$4&amp;'Funnel setup'!$K$6,".",IF(A2856=".",1,A2856+1))</f>
        <v>.</v>
      </c>
      <c r="B2857" s="244" t="str">
        <f t="shared" si="44"/>
        <v>Knee Replacement RevisionSub-ICB of GP PracticeNHS NORFOLK AND WAVENEY ICB - 26A (26A)EQ-5D Index</v>
      </c>
      <c r="C2857" t="s">
        <v>973</v>
      </c>
      <c r="D2857" t="s">
        <v>1021</v>
      </c>
      <c r="E2857" t="s">
        <v>881</v>
      </c>
      <c r="F2857" t="s">
        <v>882</v>
      </c>
      <c r="G2857" t="s">
        <v>963</v>
      </c>
      <c r="H2857">
        <v>21</v>
      </c>
      <c r="I2857">
        <v>0.294238</v>
      </c>
      <c r="J2857">
        <v>0.60709500000000005</v>
      </c>
      <c r="K2857">
        <v>0.312857</v>
      </c>
      <c r="L2857">
        <v>17</v>
      </c>
      <c r="M2857">
        <v>3</v>
      </c>
      <c r="N2857">
        <v>1</v>
      </c>
      <c r="O2857" t="s">
        <v>127</v>
      </c>
      <c r="P2857" t="s">
        <v>127</v>
      </c>
      <c r="Q2857" t="s">
        <v>127</v>
      </c>
    </row>
    <row r="2858" spans="1:17" x14ac:dyDescent="0.25">
      <c r="A2858" t="str">
        <f>IF(C2858&amp;G2858&amp;D2858&lt;&gt;'Funnel setup'!$K$3&amp;'Funnel setup'!$K$4&amp;'Funnel setup'!$K$6,".",IF(A2857=".",1,A2857+1))</f>
        <v>.</v>
      </c>
      <c r="B2858" s="244" t="str">
        <f t="shared" si="44"/>
        <v>Knee Replacement RevisionSub-ICB of GP PracticeNHS NORTH CENTRAL LONDON ICB - 93C (93C)EQ-5D Index</v>
      </c>
      <c r="C2858" t="s">
        <v>973</v>
      </c>
      <c r="D2858" t="s">
        <v>1021</v>
      </c>
      <c r="E2858" t="s">
        <v>883</v>
      </c>
      <c r="F2858" t="s">
        <v>884</v>
      </c>
      <c r="G2858" t="s">
        <v>963</v>
      </c>
      <c r="H2858">
        <v>4</v>
      </c>
      <c r="I2858">
        <v>0.12275</v>
      </c>
      <c r="J2858">
        <v>0.39600000000000002</v>
      </c>
      <c r="K2858">
        <v>0.27324999999999999</v>
      </c>
      <c r="L2858">
        <v>3</v>
      </c>
      <c r="M2858">
        <v>0</v>
      </c>
      <c r="N2858">
        <v>1</v>
      </c>
      <c r="O2858" t="s">
        <v>127</v>
      </c>
      <c r="P2858" t="s">
        <v>127</v>
      </c>
      <c r="Q2858" t="s">
        <v>127</v>
      </c>
    </row>
    <row r="2859" spans="1:17" x14ac:dyDescent="0.25">
      <c r="A2859" t="str">
        <f>IF(C2859&amp;G2859&amp;D2859&lt;&gt;'Funnel setup'!$K$3&amp;'Funnel setup'!$K$4&amp;'Funnel setup'!$K$6,".",IF(A2858=".",1,A2858+1))</f>
        <v>.</v>
      </c>
      <c r="B2859" s="244" t="str">
        <f t="shared" si="44"/>
        <v>Knee Replacement RevisionSub-ICB of GP PracticeNHS NORTH EAST AND NORTH CUMBRIA ICB - 00L (00L)EQ-5D Index</v>
      </c>
      <c r="C2859" t="s">
        <v>973</v>
      </c>
      <c r="D2859" t="s">
        <v>1021</v>
      </c>
      <c r="E2859" t="s">
        <v>885</v>
      </c>
      <c r="F2859" t="s">
        <v>886</v>
      </c>
      <c r="G2859" t="s">
        <v>963</v>
      </c>
      <c r="H2859">
        <v>4</v>
      </c>
      <c r="I2859">
        <v>-4.2500000000000003E-2</v>
      </c>
      <c r="J2859">
        <v>0.371</v>
      </c>
      <c r="K2859">
        <v>0.41349999999999998</v>
      </c>
      <c r="L2859">
        <v>4</v>
      </c>
      <c r="M2859">
        <v>0</v>
      </c>
      <c r="N2859">
        <v>0</v>
      </c>
      <c r="O2859" t="s">
        <v>127</v>
      </c>
      <c r="P2859" t="s">
        <v>127</v>
      </c>
      <c r="Q2859" t="s">
        <v>127</v>
      </c>
    </row>
    <row r="2860" spans="1:17" x14ac:dyDescent="0.25">
      <c r="A2860" t="str">
        <f>IF(C2860&amp;G2860&amp;D2860&lt;&gt;'Funnel setup'!$K$3&amp;'Funnel setup'!$K$4&amp;'Funnel setup'!$K$6,".",IF(A2859=".",1,A2859+1))</f>
        <v>.</v>
      </c>
      <c r="B2860" s="244" t="str">
        <f t="shared" si="44"/>
        <v>Knee Replacement RevisionSub-ICB of GP PracticeNHS NORTH EAST AND NORTH CUMBRIA ICB - 00P (00P)EQ-5D Index</v>
      </c>
      <c r="C2860" t="s">
        <v>973</v>
      </c>
      <c r="D2860" t="s">
        <v>1021</v>
      </c>
      <c r="E2860" t="s">
        <v>889</v>
      </c>
      <c r="F2860" t="s">
        <v>890</v>
      </c>
      <c r="G2860" t="s">
        <v>963</v>
      </c>
      <c r="H2860">
        <v>1</v>
      </c>
      <c r="I2860">
        <v>8.7999999999999995E-2</v>
      </c>
      <c r="J2860">
        <v>-1.6E-2</v>
      </c>
      <c r="K2860">
        <v>-0.104</v>
      </c>
      <c r="L2860">
        <v>0</v>
      </c>
      <c r="M2860">
        <v>0</v>
      </c>
      <c r="N2860">
        <v>1</v>
      </c>
      <c r="O2860" t="s">
        <v>127</v>
      </c>
      <c r="P2860" t="s">
        <v>127</v>
      </c>
      <c r="Q2860" t="s">
        <v>127</v>
      </c>
    </row>
    <row r="2861" spans="1:17" x14ac:dyDescent="0.25">
      <c r="A2861" t="str">
        <f>IF(C2861&amp;G2861&amp;D2861&lt;&gt;'Funnel setup'!$K$3&amp;'Funnel setup'!$K$4&amp;'Funnel setup'!$K$6,".",IF(A2860=".",1,A2860+1))</f>
        <v>.</v>
      </c>
      <c r="B2861" s="244" t="str">
        <f t="shared" si="44"/>
        <v>Knee Replacement RevisionSub-ICB of GP PracticeNHS NORTH EAST AND NORTH CUMBRIA ICB - 01H (01H)EQ-5D Index</v>
      </c>
      <c r="C2861" t="s">
        <v>973</v>
      </c>
      <c r="D2861" t="s">
        <v>1021</v>
      </c>
      <c r="E2861" t="s">
        <v>891</v>
      </c>
      <c r="F2861" t="s">
        <v>892</v>
      </c>
      <c r="G2861" t="s">
        <v>963</v>
      </c>
      <c r="H2861">
        <v>4</v>
      </c>
      <c r="I2861">
        <v>0.32924999999999999</v>
      </c>
      <c r="J2861">
        <v>0.64424999999999999</v>
      </c>
      <c r="K2861">
        <v>0.315</v>
      </c>
      <c r="L2861">
        <v>4</v>
      </c>
      <c r="M2861">
        <v>0</v>
      </c>
      <c r="N2861">
        <v>0</v>
      </c>
      <c r="O2861" t="s">
        <v>127</v>
      </c>
      <c r="P2861" t="s">
        <v>127</v>
      </c>
      <c r="Q2861" t="s">
        <v>127</v>
      </c>
    </row>
    <row r="2862" spans="1:17" x14ac:dyDescent="0.25">
      <c r="A2862" t="str">
        <f>IF(C2862&amp;G2862&amp;D2862&lt;&gt;'Funnel setup'!$K$3&amp;'Funnel setup'!$K$4&amp;'Funnel setup'!$K$6,".",IF(A2861=".",1,A2861+1))</f>
        <v>.</v>
      </c>
      <c r="B2862" s="244" t="str">
        <f t="shared" si="44"/>
        <v>Knee Replacement RevisionSub-ICB of GP PracticeNHS NORTH EAST AND NORTH CUMBRIA ICB - 13T (13T)EQ-5D Index</v>
      </c>
      <c r="C2862" t="s">
        <v>973</v>
      </c>
      <c r="D2862" t="s">
        <v>1021</v>
      </c>
      <c r="E2862" t="s">
        <v>893</v>
      </c>
      <c r="F2862" t="s">
        <v>894</v>
      </c>
      <c r="G2862" t="s">
        <v>963</v>
      </c>
      <c r="H2862">
        <v>2</v>
      </c>
      <c r="I2862">
        <v>0.60350000000000004</v>
      </c>
      <c r="J2862">
        <v>0.75800000000000001</v>
      </c>
      <c r="K2862">
        <v>0.1545</v>
      </c>
      <c r="L2862">
        <v>1</v>
      </c>
      <c r="M2862">
        <v>1</v>
      </c>
      <c r="N2862">
        <v>0</v>
      </c>
      <c r="O2862" t="s">
        <v>127</v>
      </c>
      <c r="P2862" t="s">
        <v>127</v>
      </c>
      <c r="Q2862" t="s">
        <v>127</v>
      </c>
    </row>
    <row r="2863" spans="1:17" x14ac:dyDescent="0.25">
      <c r="A2863" t="str">
        <f>IF(C2863&amp;G2863&amp;D2863&lt;&gt;'Funnel setup'!$K$3&amp;'Funnel setup'!$K$4&amp;'Funnel setup'!$K$6,".",IF(A2862=".",1,A2862+1))</f>
        <v>.</v>
      </c>
      <c r="B2863" s="244" t="str">
        <f t="shared" si="44"/>
        <v>Knee Replacement RevisionSub-ICB of GP PracticeNHS NORTH EAST AND NORTH CUMBRIA ICB - 16C (16C)EQ-5D Index</v>
      </c>
      <c r="C2863" t="s">
        <v>973</v>
      </c>
      <c r="D2863" t="s">
        <v>1021</v>
      </c>
      <c r="E2863" t="s">
        <v>895</v>
      </c>
      <c r="F2863" t="s">
        <v>896</v>
      </c>
      <c r="G2863" t="s">
        <v>963</v>
      </c>
      <c r="H2863">
        <v>17</v>
      </c>
      <c r="I2863">
        <v>0.134882</v>
      </c>
      <c r="J2863">
        <v>0.45388200000000001</v>
      </c>
      <c r="K2863">
        <v>0.31900000000000001</v>
      </c>
      <c r="L2863">
        <v>13</v>
      </c>
      <c r="M2863">
        <v>0</v>
      </c>
      <c r="N2863">
        <v>4</v>
      </c>
      <c r="O2863" t="s">
        <v>127</v>
      </c>
      <c r="P2863" t="s">
        <v>127</v>
      </c>
      <c r="Q2863" t="s">
        <v>127</v>
      </c>
    </row>
    <row r="2864" spans="1:17" x14ac:dyDescent="0.25">
      <c r="A2864" t="str">
        <f>IF(C2864&amp;G2864&amp;D2864&lt;&gt;'Funnel setup'!$K$3&amp;'Funnel setup'!$K$4&amp;'Funnel setup'!$K$6,".",IF(A2863=".",1,A2863+1))</f>
        <v>.</v>
      </c>
      <c r="B2864" s="244" t="str">
        <f t="shared" si="44"/>
        <v>Knee Replacement RevisionSub-ICB of GP PracticeNHS NORTH EAST AND NORTH CUMBRIA ICB - 84H (84H)EQ-5D Index</v>
      </c>
      <c r="C2864" t="s">
        <v>973</v>
      </c>
      <c r="D2864" t="s">
        <v>1021</v>
      </c>
      <c r="E2864" t="s">
        <v>897</v>
      </c>
      <c r="F2864" t="s">
        <v>898</v>
      </c>
      <c r="G2864" t="s">
        <v>963</v>
      </c>
      <c r="H2864">
        <v>9</v>
      </c>
      <c r="I2864">
        <v>0.32533299999999998</v>
      </c>
      <c r="J2864">
        <v>0.45477800000000002</v>
      </c>
      <c r="K2864">
        <v>0.129444</v>
      </c>
      <c r="L2864">
        <v>5</v>
      </c>
      <c r="M2864">
        <v>0</v>
      </c>
      <c r="N2864">
        <v>4</v>
      </c>
      <c r="O2864" t="s">
        <v>127</v>
      </c>
      <c r="P2864" t="s">
        <v>127</v>
      </c>
      <c r="Q2864" t="s">
        <v>127</v>
      </c>
    </row>
    <row r="2865" spans="1:17" x14ac:dyDescent="0.25">
      <c r="A2865" t="str">
        <f>IF(C2865&amp;G2865&amp;D2865&lt;&gt;'Funnel setup'!$K$3&amp;'Funnel setup'!$K$4&amp;'Funnel setup'!$K$6,".",IF(A2864=".",1,A2864+1))</f>
        <v>.</v>
      </c>
      <c r="B2865" s="244" t="str">
        <f t="shared" si="44"/>
        <v>Knee Replacement RevisionSub-ICB of GP PracticeNHS NORTH EAST AND NORTH CUMBRIA ICB - 99C (99C)EQ-5D Index</v>
      </c>
      <c r="C2865" t="s">
        <v>973</v>
      </c>
      <c r="D2865" t="s">
        <v>1021</v>
      </c>
      <c r="E2865" t="s">
        <v>899</v>
      </c>
      <c r="F2865" t="s">
        <v>900</v>
      </c>
      <c r="G2865" t="s">
        <v>963</v>
      </c>
      <c r="H2865">
        <v>1</v>
      </c>
      <c r="I2865">
        <v>5.5E-2</v>
      </c>
      <c r="J2865">
        <v>0.189</v>
      </c>
      <c r="K2865">
        <v>0.13400000000000001</v>
      </c>
      <c r="L2865">
        <v>1</v>
      </c>
      <c r="M2865">
        <v>0</v>
      </c>
      <c r="N2865">
        <v>0</v>
      </c>
      <c r="O2865" t="s">
        <v>127</v>
      </c>
      <c r="P2865" t="s">
        <v>127</v>
      </c>
      <c r="Q2865" t="s">
        <v>127</v>
      </c>
    </row>
    <row r="2866" spans="1:17" x14ac:dyDescent="0.25">
      <c r="A2866" t="str">
        <f>IF(C2866&amp;G2866&amp;D2866&lt;&gt;'Funnel setup'!$K$3&amp;'Funnel setup'!$K$4&amp;'Funnel setup'!$K$6,".",IF(A2865=".",1,A2865+1))</f>
        <v>.</v>
      </c>
      <c r="B2866" s="244" t="str">
        <f t="shared" si="44"/>
        <v>Knee Replacement RevisionSub-ICB of GP PracticeNHS NORTH EAST LONDON ICB - A3A8R (A3A8R)EQ-5D Index</v>
      </c>
      <c r="C2866" t="s">
        <v>973</v>
      </c>
      <c r="D2866" t="s">
        <v>1021</v>
      </c>
      <c r="E2866" t="s">
        <v>901</v>
      </c>
      <c r="F2866" t="s">
        <v>902</v>
      </c>
      <c r="G2866" t="s">
        <v>963</v>
      </c>
      <c r="H2866">
        <v>10</v>
      </c>
      <c r="I2866">
        <v>0.36020000000000002</v>
      </c>
      <c r="J2866">
        <v>0.51500000000000001</v>
      </c>
      <c r="K2866">
        <v>0.15479999999999999</v>
      </c>
      <c r="L2866">
        <v>9</v>
      </c>
      <c r="M2866">
        <v>0</v>
      </c>
      <c r="N2866">
        <v>1</v>
      </c>
      <c r="O2866" t="s">
        <v>127</v>
      </c>
      <c r="P2866" t="s">
        <v>127</v>
      </c>
      <c r="Q2866" t="s">
        <v>127</v>
      </c>
    </row>
    <row r="2867" spans="1:17" x14ac:dyDescent="0.25">
      <c r="A2867" t="str">
        <f>IF(C2867&amp;G2867&amp;D2867&lt;&gt;'Funnel setup'!$K$3&amp;'Funnel setup'!$K$4&amp;'Funnel setup'!$K$6,".",IF(A2866=".",1,A2866+1))</f>
        <v>.</v>
      </c>
      <c r="B2867" s="244" t="str">
        <f t="shared" si="44"/>
        <v>Knee Replacement RevisionSub-ICB of GP PracticeNHS NORTH WEST LONDON ICB - W2U3Z (W2U3Z)EQ-5D Index</v>
      </c>
      <c r="C2867" t="s">
        <v>973</v>
      </c>
      <c r="D2867" t="s">
        <v>1021</v>
      </c>
      <c r="E2867" t="s">
        <v>903</v>
      </c>
      <c r="F2867" t="s">
        <v>904</v>
      </c>
      <c r="G2867" t="s">
        <v>963</v>
      </c>
      <c r="H2867">
        <v>10</v>
      </c>
      <c r="I2867">
        <v>0.57010000000000005</v>
      </c>
      <c r="J2867">
        <v>0.64759999999999995</v>
      </c>
      <c r="K2867">
        <v>7.7499999999999999E-2</v>
      </c>
      <c r="L2867">
        <v>5</v>
      </c>
      <c r="M2867">
        <v>3</v>
      </c>
      <c r="N2867">
        <v>2</v>
      </c>
      <c r="O2867" t="s">
        <v>127</v>
      </c>
      <c r="P2867" t="s">
        <v>127</v>
      </c>
      <c r="Q2867" t="s">
        <v>127</v>
      </c>
    </row>
    <row r="2868" spans="1:17" x14ac:dyDescent="0.25">
      <c r="A2868" t="str">
        <f>IF(C2868&amp;G2868&amp;D2868&lt;&gt;'Funnel setup'!$K$3&amp;'Funnel setup'!$K$4&amp;'Funnel setup'!$K$6,".",IF(A2867=".",1,A2867+1))</f>
        <v>.</v>
      </c>
      <c r="B2868" s="244" t="str">
        <f t="shared" si="44"/>
        <v>Knee Replacement RevisionSub-ICB of GP PracticeNHS NORTHAMPTONSHIRE ICB - 78H (78H)EQ-5D Index</v>
      </c>
      <c r="C2868" t="s">
        <v>973</v>
      </c>
      <c r="D2868" t="s">
        <v>1021</v>
      </c>
      <c r="E2868" t="s">
        <v>905</v>
      </c>
      <c r="F2868" t="s">
        <v>906</v>
      </c>
      <c r="G2868" t="s">
        <v>963</v>
      </c>
      <c r="H2868">
        <v>12</v>
      </c>
      <c r="I2868">
        <v>0.436</v>
      </c>
      <c r="J2868">
        <v>0.69808300000000001</v>
      </c>
      <c r="K2868">
        <v>0.26208300000000001</v>
      </c>
      <c r="L2868">
        <v>10</v>
      </c>
      <c r="M2868">
        <v>0</v>
      </c>
      <c r="N2868">
        <v>2</v>
      </c>
      <c r="O2868" t="s">
        <v>127</v>
      </c>
      <c r="P2868" t="s">
        <v>127</v>
      </c>
      <c r="Q2868" t="s">
        <v>127</v>
      </c>
    </row>
    <row r="2869" spans="1:17" x14ac:dyDescent="0.25">
      <c r="A2869" t="str">
        <f>IF(C2869&amp;G2869&amp;D2869&lt;&gt;'Funnel setup'!$K$3&amp;'Funnel setup'!$K$4&amp;'Funnel setup'!$K$6,".",IF(A2868=".",1,A2868+1))</f>
        <v>.</v>
      </c>
      <c r="B2869" s="244" t="str">
        <f t="shared" si="44"/>
        <v>Knee Replacement RevisionSub-ICB of GP PracticeNHS NOTTINGHAM AND NOTTINGHAMSHIRE ICB - 02Q (02Q)EQ-5D Index</v>
      </c>
      <c r="C2869" t="s">
        <v>973</v>
      </c>
      <c r="D2869" t="s">
        <v>1021</v>
      </c>
      <c r="E2869" t="s">
        <v>907</v>
      </c>
      <c r="F2869" t="s">
        <v>908</v>
      </c>
      <c r="G2869" t="s">
        <v>963</v>
      </c>
      <c r="H2869">
        <v>3</v>
      </c>
      <c r="I2869">
        <v>0.28799999999999998</v>
      </c>
      <c r="J2869">
        <v>0.69666700000000004</v>
      </c>
      <c r="K2869">
        <v>0.408667</v>
      </c>
      <c r="L2869">
        <v>3</v>
      </c>
      <c r="M2869">
        <v>0</v>
      </c>
      <c r="N2869">
        <v>0</v>
      </c>
      <c r="O2869" t="s">
        <v>127</v>
      </c>
      <c r="P2869" t="s">
        <v>127</v>
      </c>
      <c r="Q2869" t="s">
        <v>127</v>
      </c>
    </row>
    <row r="2870" spans="1:17" x14ac:dyDescent="0.25">
      <c r="A2870" t="str">
        <f>IF(C2870&amp;G2870&amp;D2870&lt;&gt;'Funnel setup'!$K$3&amp;'Funnel setup'!$K$4&amp;'Funnel setup'!$K$6,".",IF(A2869=".",1,A2869+1))</f>
        <v>.</v>
      </c>
      <c r="B2870" s="244" t="str">
        <f t="shared" si="44"/>
        <v>Knee Replacement RevisionSub-ICB of GP PracticeNHS NOTTINGHAM AND NOTTINGHAMSHIRE ICB - 52R (52R)EQ-5D Index</v>
      </c>
      <c r="C2870" t="s">
        <v>973</v>
      </c>
      <c r="D2870" t="s">
        <v>1021</v>
      </c>
      <c r="E2870" t="s">
        <v>909</v>
      </c>
      <c r="F2870" t="s">
        <v>910</v>
      </c>
      <c r="G2870" t="s">
        <v>963</v>
      </c>
      <c r="H2870">
        <v>2</v>
      </c>
      <c r="I2870">
        <v>9.2999999999999999E-2</v>
      </c>
      <c r="J2870">
        <v>0.75800000000000001</v>
      </c>
      <c r="K2870">
        <v>0.66500000000000004</v>
      </c>
      <c r="L2870">
        <v>2</v>
      </c>
      <c r="M2870">
        <v>0</v>
      </c>
      <c r="N2870">
        <v>0</v>
      </c>
      <c r="O2870" t="s">
        <v>127</v>
      </c>
      <c r="P2870" t="s">
        <v>127</v>
      </c>
      <c r="Q2870" t="s">
        <v>127</v>
      </c>
    </row>
    <row r="2871" spans="1:17" x14ac:dyDescent="0.25">
      <c r="A2871" t="str">
        <f>IF(C2871&amp;G2871&amp;D2871&lt;&gt;'Funnel setup'!$K$3&amp;'Funnel setup'!$K$4&amp;'Funnel setup'!$K$6,".",IF(A2870=".",1,A2870+1))</f>
        <v>.</v>
      </c>
      <c r="B2871" s="244" t="str">
        <f t="shared" si="44"/>
        <v>Knee Replacement RevisionSub-ICB of GP PracticeNHS SHROPSHIRE, TELFORD AND WREKIN ICB - M2L0M (M2L0M)EQ-5D Index</v>
      </c>
      <c r="C2871" t="s">
        <v>973</v>
      </c>
      <c r="D2871" t="s">
        <v>1021</v>
      </c>
      <c r="E2871" t="s">
        <v>911</v>
      </c>
      <c r="F2871" t="s">
        <v>912</v>
      </c>
      <c r="G2871" t="s">
        <v>963</v>
      </c>
      <c r="H2871">
        <v>16</v>
      </c>
      <c r="I2871">
        <v>0.33893800000000002</v>
      </c>
      <c r="J2871">
        <v>0.65043799999999996</v>
      </c>
      <c r="K2871">
        <v>0.3115</v>
      </c>
      <c r="L2871">
        <v>11</v>
      </c>
      <c r="M2871">
        <v>2</v>
      </c>
      <c r="N2871">
        <v>3</v>
      </c>
      <c r="O2871" t="s">
        <v>127</v>
      </c>
      <c r="P2871" t="s">
        <v>127</v>
      </c>
      <c r="Q2871" t="s">
        <v>127</v>
      </c>
    </row>
    <row r="2872" spans="1:17" x14ac:dyDescent="0.25">
      <c r="A2872" t="str">
        <f>IF(C2872&amp;G2872&amp;D2872&lt;&gt;'Funnel setup'!$K$3&amp;'Funnel setup'!$K$4&amp;'Funnel setup'!$K$6,".",IF(A2871=".",1,A2871+1))</f>
        <v>.</v>
      </c>
      <c r="B2872" s="244" t="str">
        <f t="shared" si="44"/>
        <v>Knee Replacement RevisionSub-ICB of GP PracticeNHS SOUTH EAST LONDON ICB - 72Q (72Q)EQ-5D Index</v>
      </c>
      <c r="C2872" t="s">
        <v>973</v>
      </c>
      <c r="D2872" t="s">
        <v>1021</v>
      </c>
      <c r="E2872" t="s">
        <v>915</v>
      </c>
      <c r="F2872" t="s">
        <v>916</v>
      </c>
      <c r="G2872" t="s">
        <v>963</v>
      </c>
      <c r="H2872">
        <v>9</v>
      </c>
      <c r="I2872">
        <v>0.14377799999999999</v>
      </c>
      <c r="J2872">
        <v>0.26422200000000001</v>
      </c>
      <c r="K2872">
        <v>0.120444</v>
      </c>
      <c r="L2872">
        <v>3</v>
      </c>
      <c r="M2872">
        <v>2</v>
      </c>
      <c r="N2872">
        <v>4</v>
      </c>
      <c r="O2872" t="s">
        <v>127</v>
      </c>
      <c r="P2872" t="s">
        <v>127</v>
      </c>
      <c r="Q2872" t="s">
        <v>127</v>
      </c>
    </row>
    <row r="2873" spans="1:17" x14ac:dyDescent="0.25">
      <c r="A2873" t="str">
        <f>IF(C2873&amp;G2873&amp;D2873&lt;&gt;'Funnel setup'!$K$3&amp;'Funnel setup'!$K$4&amp;'Funnel setup'!$K$6,".",IF(A2872=".",1,A2872+1))</f>
        <v>.</v>
      </c>
      <c r="B2873" s="244" t="str">
        <f t="shared" si="44"/>
        <v>Knee Replacement RevisionSub-ICB of GP PracticeNHS SOUTH WEST LONDON ICB - 36L (36L)EQ-5D Index</v>
      </c>
      <c r="C2873" t="s">
        <v>973</v>
      </c>
      <c r="D2873" t="s">
        <v>1021</v>
      </c>
      <c r="E2873" t="s">
        <v>917</v>
      </c>
      <c r="F2873" t="s">
        <v>918</v>
      </c>
      <c r="G2873" t="s">
        <v>963</v>
      </c>
      <c r="H2873">
        <v>10</v>
      </c>
      <c r="I2873">
        <v>0.3629</v>
      </c>
      <c r="J2873">
        <v>0.5948</v>
      </c>
      <c r="K2873">
        <v>0.2319</v>
      </c>
      <c r="L2873">
        <v>7</v>
      </c>
      <c r="M2873">
        <v>2</v>
      </c>
      <c r="N2873">
        <v>1</v>
      </c>
      <c r="O2873" t="s">
        <v>127</v>
      </c>
      <c r="P2873" t="s">
        <v>127</v>
      </c>
      <c r="Q2873" t="s">
        <v>127</v>
      </c>
    </row>
    <row r="2874" spans="1:17" x14ac:dyDescent="0.25">
      <c r="A2874" t="str">
        <f>IF(C2874&amp;G2874&amp;D2874&lt;&gt;'Funnel setup'!$K$3&amp;'Funnel setup'!$K$4&amp;'Funnel setup'!$K$6,".",IF(A2873=".",1,A2873+1))</f>
        <v>.</v>
      </c>
      <c r="B2874" s="244" t="str">
        <f t="shared" si="44"/>
        <v>Knee Replacement RevisionSub-ICB of GP PracticeNHS SOUTH YORKSHIRE ICB - 02P (02P)EQ-5D Index</v>
      </c>
      <c r="C2874" t="s">
        <v>973</v>
      </c>
      <c r="D2874" t="s">
        <v>1021</v>
      </c>
      <c r="E2874" t="s">
        <v>919</v>
      </c>
      <c r="F2874" t="s">
        <v>920</v>
      </c>
      <c r="G2874" t="s">
        <v>963</v>
      </c>
      <c r="H2874">
        <v>2</v>
      </c>
      <c r="I2874">
        <v>0.17399999999999999</v>
      </c>
      <c r="J2874">
        <v>0.32</v>
      </c>
      <c r="K2874">
        <v>0.14599999999999999</v>
      </c>
      <c r="L2874">
        <v>1</v>
      </c>
      <c r="M2874">
        <v>1</v>
      </c>
      <c r="N2874">
        <v>0</v>
      </c>
      <c r="O2874" t="s">
        <v>127</v>
      </c>
      <c r="P2874" t="s">
        <v>127</v>
      </c>
      <c r="Q2874" t="s">
        <v>127</v>
      </c>
    </row>
    <row r="2875" spans="1:17" x14ac:dyDescent="0.25">
      <c r="A2875" t="str">
        <f>IF(C2875&amp;G2875&amp;D2875&lt;&gt;'Funnel setup'!$K$3&amp;'Funnel setup'!$K$4&amp;'Funnel setup'!$K$6,".",IF(A2874=".",1,A2874+1))</f>
        <v>.</v>
      </c>
      <c r="B2875" s="244" t="str">
        <f t="shared" si="44"/>
        <v>Knee Replacement RevisionSub-ICB of GP PracticeNHS SOUTH YORKSHIRE ICB - 03N (03N)EQ-5D Index</v>
      </c>
      <c r="C2875" t="s">
        <v>973</v>
      </c>
      <c r="D2875" t="s">
        <v>1021</v>
      </c>
      <c r="E2875" t="s">
        <v>925</v>
      </c>
      <c r="F2875" t="s">
        <v>926</v>
      </c>
      <c r="G2875" t="s">
        <v>963</v>
      </c>
      <c r="H2875">
        <v>1</v>
      </c>
      <c r="I2875">
        <v>0.69099999999999995</v>
      </c>
      <c r="J2875">
        <v>0.69099999999999995</v>
      </c>
      <c r="K2875">
        <v>0</v>
      </c>
      <c r="L2875">
        <v>0</v>
      </c>
      <c r="M2875">
        <v>1</v>
      </c>
      <c r="N2875">
        <v>0</v>
      </c>
      <c r="O2875" t="s">
        <v>127</v>
      </c>
      <c r="P2875" t="s">
        <v>127</v>
      </c>
      <c r="Q2875" t="s">
        <v>127</v>
      </c>
    </row>
    <row r="2876" spans="1:17" x14ac:dyDescent="0.25">
      <c r="A2876" t="str">
        <f>IF(C2876&amp;G2876&amp;D2876&lt;&gt;'Funnel setup'!$K$3&amp;'Funnel setup'!$K$4&amp;'Funnel setup'!$K$6,".",IF(A2875=".",1,A2875+1))</f>
        <v>.</v>
      </c>
      <c r="B2876" s="244" t="str">
        <f t="shared" si="44"/>
        <v>Knee Replacement RevisionSub-ICB of GP PracticeNHS STAFFORDSHIRE AND STOKE-ON-TRENT ICB - 05D (05D)EQ-5D Index</v>
      </c>
      <c r="C2876" t="s">
        <v>973</v>
      </c>
      <c r="D2876" t="s">
        <v>1021</v>
      </c>
      <c r="E2876" t="s">
        <v>929</v>
      </c>
      <c r="F2876" t="s">
        <v>930</v>
      </c>
      <c r="G2876" t="s">
        <v>963</v>
      </c>
      <c r="H2876">
        <v>6</v>
      </c>
      <c r="I2876">
        <v>0.345667</v>
      </c>
      <c r="J2876">
        <v>0.54749999999999999</v>
      </c>
      <c r="K2876">
        <v>0.20183300000000001</v>
      </c>
      <c r="L2876">
        <v>3</v>
      </c>
      <c r="M2876">
        <v>0</v>
      </c>
      <c r="N2876">
        <v>3</v>
      </c>
      <c r="O2876" t="s">
        <v>127</v>
      </c>
      <c r="P2876" t="s">
        <v>127</v>
      </c>
      <c r="Q2876" t="s">
        <v>127</v>
      </c>
    </row>
    <row r="2877" spans="1:17" x14ac:dyDescent="0.25">
      <c r="A2877" t="str">
        <f>IF(C2877&amp;G2877&amp;D2877&lt;&gt;'Funnel setup'!$K$3&amp;'Funnel setup'!$K$4&amp;'Funnel setup'!$K$6,".",IF(A2876=".",1,A2876+1))</f>
        <v>.</v>
      </c>
      <c r="B2877" s="244" t="str">
        <f t="shared" si="44"/>
        <v>Knee Replacement RevisionSub-ICB of GP PracticeNHS STAFFORDSHIRE AND STOKE-ON-TRENT ICB - 05G (05G)EQ-5D Index</v>
      </c>
      <c r="C2877" t="s">
        <v>973</v>
      </c>
      <c r="D2877" t="s">
        <v>1021</v>
      </c>
      <c r="E2877" t="s">
        <v>931</v>
      </c>
      <c r="F2877" t="s">
        <v>932</v>
      </c>
      <c r="G2877" t="s">
        <v>963</v>
      </c>
      <c r="H2877">
        <v>3</v>
      </c>
      <c r="I2877">
        <v>0.25966699999999998</v>
      </c>
      <c r="J2877">
        <v>0.32900000000000001</v>
      </c>
      <c r="K2877">
        <v>6.93333E-2</v>
      </c>
      <c r="L2877">
        <v>1</v>
      </c>
      <c r="M2877">
        <v>0</v>
      </c>
      <c r="N2877">
        <v>2</v>
      </c>
      <c r="O2877" t="s">
        <v>127</v>
      </c>
      <c r="P2877" t="s">
        <v>127</v>
      </c>
      <c r="Q2877" t="s">
        <v>127</v>
      </c>
    </row>
    <row r="2878" spans="1:17" x14ac:dyDescent="0.25">
      <c r="A2878" t="str">
        <f>IF(C2878&amp;G2878&amp;D2878&lt;&gt;'Funnel setup'!$K$3&amp;'Funnel setup'!$K$4&amp;'Funnel setup'!$K$6,".",IF(A2877=".",1,A2877+1))</f>
        <v>.</v>
      </c>
      <c r="B2878" s="244" t="str">
        <f t="shared" si="44"/>
        <v>Knee Replacement RevisionSub-ICB of GP PracticeNHS STAFFORDSHIRE AND STOKE-ON-TRENT ICB - 05Q (05Q)EQ-5D Index</v>
      </c>
      <c r="C2878" t="s">
        <v>973</v>
      </c>
      <c r="D2878" t="s">
        <v>1021</v>
      </c>
      <c r="E2878" t="s">
        <v>933</v>
      </c>
      <c r="F2878" t="s">
        <v>934</v>
      </c>
      <c r="G2878" t="s">
        <v>963</v>
      </c>
      <c r="H2878">
        <v>7</v>
      </c>
      <c r="I2878">
        <v>0.40442899999999998</v>
      </c>
      <c r="J2878">
        <v>0.85757099999999997</v>
      </c>
      <c r="K2878">
        <v>0.45314300000000002</v>
      </c>
      <c r="L2878">
        <v>6</v>
      </c>
      <c r="M2878">
        <v>1</v>
      </c>
      <c r="N2878">
        <v>0</v>
      </c>
      <c r="O2878" t="s">
        <v>127</v>
      </c>
      <c r="P2878" t="s">
        <v>127</v>
      </c>
      <c r="Q2878" t="s">
        <v>127</v>
      </c>
    </row>
    <row r="2879" spans="1:17" x14ac:dyDescent="0.25">
      <c r="A2879" t="str">
        <f>IF(C2879&amp;G2879&amp;D2879&lt;&gt;'Funnel setup'!$K$3&amp;'Funnel setup'!$K$4&amp;'Funnel setup'!$K$6,".",IF(A2878=".",1,A2878+1))</f>
        <v>.</v>
      </c>
      <c r="B2879" s="244" t="str">
        <f t="shared" si="44"/>
        <v>Knee Replacement RevisionSub-ICB of GP PracticeNHS STAFFORDSHIRE AND STOKE-ON-TRENT ICB - 05W (05W)EQ-5D Index</v>
      </c>
      <c r="C2879" t="s">
        <v>973</v>
      </c>
      <c r="D2879" t="s">
        <v>1021</v>
      </c>
      <c r="E2879" t="s">
        <v>937</v>
      </c>
      <c r="F2879" t="s">
        <v>938</v>
      </c>
      <c r="G2879" t="s">
        <v>963</v>
      </c>
      <c r="H2879">
        <v>4</v>
      </c>
      <c r="I2879">
        <v>0.105</v>
      </c>
      <c r="J2879">
        <v>0.55600000000000005</v>
      </c>
      <c r="K2879">
        <v>0.45100000000000001</v>
      </c>
      <c r="L2879">
        <v>4</v>
      </c>
      <c r="M2879">
        <v>0</v>
      </c>
      <c r="N2879">
        <v>0</v>
      </c>
      <c r="O2879" t="s">
        <v>127</v>
      </c>
      <c r="P2879" t="s">
        <v>127</v>
      </c>
      <c r="Q2879" t="s">
        <v>127</v>
      </c>
    </row>
    <row r="2880" spans="1:17" x14ac:dyDescent="0.25">
      <c r="A2880" t="str">
        <f>IF(C2880&amp;G2880&amp;D2880&lt;&gt;'Funnel setup'!$K$3&amp;'Funnel setup'!$K$4&amp;'Funnel setup'!$K$6,".",IF(A2879=".",1,A2879+1))</f>
        <v>.</v>
      </c>
      <c r="B2880" s="244" t="str">
        <f t="shared" si="44"/>
        <v>Knee Replacement RevisionSub-ICB of GP PracticeNHS SUFFOLK AND NORTH EAST ESSEX ICB - 06L (06L)EQ-5D Index</v>
      </c>
      <c r="C2880" t="s">
        <v>973</v>
      </c>
      <c r="D2880" t="s">
        <v>1021</v>
      </c>
      <c r="E2880" t="s">
        <v>939</v>
      </c>
      <c r="F2880" t="s">
        <v>940</v>
      </c>
      <c r="G2880" t="s">
        <v>963</v>
      </c>
      <c r="H2880">
        <v>4</v>
      </c>
      <c r="I2880">
        <v>0.34575</v>
      </c>
      <c r="J2880">
        <v>0.74175000000000002</v>
      </c>
      <c r="K2880">
        <v>0.39600000000000002</v>
      </c>
      <c r="L2880">
        <v>4</v>
      </c>
      <c r="M2880">
        <v>0</v>
      </c>
      <c r="N2880">
        <v>0</v>
      </c>
      <c r="O2880" t="s">
        <v>127</v>
      </c>
      <c r="P2880" t="s">
        <v>127</v>
      </c>
      <c r="Q2880" t="s">
        <v>127</v>
      </c>
    </row>
    <row r="2881" spans="1:17" x14ac:dyDescent="0.25">
      <c r="A2881" t="str">
        <f>IF(C2881&amp;G2881&amp;D2881&lt;&gt;'Funnel setup'!$K$3&amp;'Funnel setup'!$K$4&amp;'Funnel setup'!$K$6,".",IF(A2880=".",1,A2880+1))</f>
        <v>.</v>
      </c>
      <c r="B2881" s="244" t="str">
        <f t="shared" si="44"/>
        <v>Knee Replacement RevisionSub-ICB of GP PracticeNHS SUFFOLK AND NORTH EAST ESSEX ICB - 06T (06T)EQ-5D Index</v>
      </c>
      <c r="C2881" t="s">
        <v>973</v>
      </c>
      <c r="D2881" t="s">
        <v>1021</v>
      </c>
      <c r="E2881" t="s">
        <v>941</v>
      </c>
      <c r="F2881" t="s">
        <v>942</v>
      </c>
      <c r="G2881" t="s">
        <v>963</v>
      </c>
      <c r="H2881">
        <v>2</v>
      </c>
      <c r="I2881">
        <v>0.3085</v>
      </c>
      <c r="J2881">
        <v>0.40450000000000003</v>
      </c>
      <c r="K2881">
        <v>9.6000000000000002E-2</v>
      </c>
      <c r="L2881">
        <v>1</v>
      </c>
      <c r="M2881">
        <v>1</v>
      </c>
      <c r="N2881">
        <v>0</v>
      </c>
      <c r="O2881" t="s">
        <v>127</v>
      </c>
      <c r="P2881" t="s">
        <v>127</v>
      </c>
      <c r="Q2881" t="s">
        <v>127</v>
      </c>
    </row>
    <row r="2882" spans="1:17" x14ac:dyDescent="0.25">
      <c r="A2882" t="str">
        <f>IF(C2882&amp;G2882&amp;D2882&lt;&gt;'Funnel setup'!$K$3&amp;'Funnel setup'!$K$4&amp;'Funnel setup'!$K$6,".",IF(A2881=".",1,A2881+1))</f>
        <v>.</v>
      </c>
      <c r="B2882" s="244" t="str">
        <f t="shared" ref="B2882:B2945" si="45">C2882&amp;D2882&amp;F2882&amp;G2882</f>
        <v>Knee Replacement RevisionSub-ICB of GP PracticeNHS SUFFOLK AND NORTH EAST ESSEX ICB - 07K (07K)EQ-5D Index</v>
      </c>
      <c r="C2882" t="s">
        <v>973</v>
      </c>
      <c r="D2882" t="s">
        <v>1021</v>
      </c>
      <c r="E2882" t="s">
        <v>943</v>
      </c>
      <c r="F2882" t="s">
        <v>944</v>
      </c>
      <c r="G2882" t="s">
        <v>963</v>
      </c>
      <c r="H2882">
        <v>4</v>
      </c>
      <c r="I2882">
        <v>0.1835</v>
      </c>
      <c r="J2882">
        <v>0.79349999999999998</v>
      </c>
      <c r="K2882">
        <v>0.61</v>
      </c>
      <c r="L2882">
        <v>4</v>
      </c>
      <c r="M2882">
        <v>0</v>
      </c>
      <c r="N2882">
        <v>0</v>
      </c>
      <c r="O2882" t="s">
        <v>127</v>
      </c>
      <c r="P2882" t="s">
        <v>127</v>
      </c>
      <c r="Q2882" t="s">
        <v>127</v>
      </c>
    </row>
    <row r="2883" spans="1:17" x14ac:dyDescent="0.25">
      <c r="A2883" t="str">
        <f>IF(C2883&amp;G2883&amp;D2883&lt;&gt;'Funnel setup'!$K$3&amp;'Funnel setup'!$K$4&amp;'Funnel setup'!$K$6,".",IF(A2882=".",1,A2882+1))</f>
        <v>.</v>
      </c>
      <c r="B2883" s="244" t="str">
        <f t="shared" si="45"/>
        <v>Knee Replacement RevisionSub-ICB of GP PracticeNHS SURREY HEARTLANDS ICB - 92A (92A)EQ-5D Index</v>
      </c>
      <c r="C2883" t="s">
        <v>973</v>
      </c>
      <c r="D2883" t="s">
        <v>1021</v>
      </c>
      <c r="E2883" t="s">
        <v>945</v>
      </c>
      <c r="F2883" t="s">
        <v>946</v>
      </c>
      <c r="G2883" t="s">
        <v>963</v>
      </c>
      <c r="H2883">
        <v>11</v>
      </c>
      <c r="I2883">
        <v>0.25863599999999998</v>
      </c>
      <c r="J2883">
        <v>0.42599999999999999</v>
      </c>
      <c r="K2883">
        <v>0.16736400000000001</v>
      </c>
      <c r="L2883">
        <v>8</v>
      </c>
      <c r="M2883">
        <v>0</v>
      </c>
      <c r="N2883">
        <v>3</v>
      </c>
      <c r="O2883" t="s">
        <v>127</v>
      </c>
      <c r="P2883" t="s">
        <v>127</v>
      </c>
      <c r="Q2883" t="s">
        <v>127</v>
      </c>
    </row>
    <row r="2884" spans="1:17" x14ac:dyDescent="0.25">
      <c r="A2884" t="str">
        <f>IF(C2884&amp;G2884&amp;D2884&lt;&gt;'Funnel setup'!$K$3&amp;'Funnel setup'!$K$4&amp;'Funnel setup'!$K$6,".",IF(A2883=".",1,A2883+1))</f>
        <v>.</v>
      </c>
      <c r="B2884" s="244" t="str">
        <f t="shared" si="45"/>
        <v>Knee Replacement RevisionSub-ICB of GP PracticeNHS SUSSEX ICB - 70F (70F)EQ-5D Index</v>
      </c>
      <c r="C2884" t="s">
        <v>973</v>
      </c>
      <c r="D2884" t="s">
        <v>1021</v>
      </c>
      <c r="E2884" t="s">
        <v>949</v>
      </c>
      <c r="F2884" t="s">
        <v>950</v>
      </c>
      <c r="G2884" t="s">
        <v>963</v>
      </c>
      <c r="H2884">
        <v>6</v>
      </c>
      <c r="I2884">
        <v>0.21166699999999999</v>
      </c>
      <c r="J2884">
        <v>0.80566700000000002</v>
      </c>
      <c r="K2884">
        <v>0.59399999999999997</v>
      </c>
      <c r="L2884">
        <v>5</v>
      </c>
      <c r="M2884">
        <v>1</v>
      </c>
      <c r="N2884">
        <v>0</v>
      </c>
      <c r="O2884" t="s">
        <v>127</v>
      </c>
      <c r="P2884" t="s">
        <v>127</v>
      </c>
      <c r="Q2884" t="s">
        <v>127</v>
      </c>
    </row>
    <row r="2885" spans="1:17" x14ac:dyDescent="0.25">
      <c r="A2885" t="str">
        <f>IF(C2885&amp;G2885&amp;D2885&lt;&gt;'Funnel setup'!$K$3&amp;'Funnel setup'!$K$4&amp;'Funnel setup'!$K$6,".",IF(A2884=".",1,A2884+1))</f>
        <v>.</v>
      </c>
      <c r="B2885" s="244" t="str">
        <f t="shared" si="45"/>
        <v>Knee Replacement RevisionSub-ICB of GP PracticeNHS SUSSEX ICB - 97R (97R)EQ-5D Index</v>
      </c>
      <c r="C2885" t="s">
        <v>973</v>
      </c>
      <c r="D2885" t="s">
        <v>1021</v>
      </c>
      <c r="E2885" t="s">
        <v>951</v>
      </c>
      <c r="F2885" t="s">
        <v>952</v>
      </c>
      <c r="G2885" t="s">
        <v>963</v>
      </c>
      <c r="H2885">
        <v>8</v>
      </c>
      <c r="I2885">
        <v>0.301875</v>
      </c>
      <c r="J2885">
        <v>0.72537499999999999</v>
      </c>
      <c r="K2885">
        <v>0.42349999999999999</v>
      </c>
      <c r="L2885">
        <v>6</v>
      </c>
      <c r="M2885">
        <v>1</v>
      </c>
      <c r="N2885">
        <v>1</v>
      </c>
      <c r="O2885" t="s">
        <v>127</v>
      </c>
      <c r="P2885" t="s">
        <v>127</v>
      </c>
      <c r="Q2885" t="s">
        <v>127</v>
      </c>
    </row>
    <row r="2886" spans="1:17" x14ac:dyDescent="0.25">
      <c r="A2886" t="str">
        <f>IF(C2886&amp;G2886&amp;D2886&lt;&gt;'Funnel setup'!$K$3&amp;'Funnel setup'!$K$4&amp;'Funnel setup'!$K$6,".",IF(A2885=".",1,A2885+1))</f>
        <v>.</v>
      </c>
      <c r="B2886" s="244" t="str">
        <f t="shared" si="45"/>
        <v>Knee Replacement RevisionSub-ICB of GP PracticeNHS WEST YORKSHIRE ICB - 02T (02T)EQ-5D Index</v>
      </c>
      <c r="C2886" t="s">
        <v>973</v>
      </c>
      <c r="D2886" t="s">
        <v>1021</v>
      </c>
      <c r="E2886" t="s">
        <v>953</v>
      </c>
      <c r="F2886" t="s">
        <v>954</v>
      </c>
      <c r="G2886" t="s">
        <v>963</v>
      </c>
      <c r="H2886">
        <v>4</v>
      </c>
      <c r="I2886">
        <v>0.5585</v>
      </c>
      <c r="J2886">
        <v>0.87624999999999997</v>
      </c>
      <c r="K2886">
        <v>0.31774999999999998</v>
      </c>
      <c r="L2886">
        <v>3</v>
      </c>
      <c r="M2886">
        <v>0</v>
      </c>
      <c r="N2886">
        <v>1</v>
      </c>
      <c r="O2886" t="s">
        <v>127</v>
      </c>
      <c r="P2886" t="s">
        <v>127</v>
      </c>
      <c r="Q2886" t="s">
        <v>127</v>
      </c>
    </row>
    <row r="2887" spans="1:17" x14ac:dyDescent="0.25">
      <c r="A2887" t="str">
        <f>IF(C2887&amp;G2887&amp;D2887&lt;&gt;'Funnel setup'!$K$3&amp;'Funnel setup'!$K$4&amp;'Funnel setup'!$K$6,".",IF(A2886=".",1,A2886+1))</f>
        <v>.</v>
      </c>
      <c r="B2887" s="244" t="str">
        <f t="shared" si="45"/>
        <v>Knee Replacement RevisionSub-ICB of GP PracticeNHS WEST YORKSHIRE ICB - 03R (03R)EQ-5D Index</v>
      </c>
      <c r="C2887" t="s">
        <v>973</v>
      </c>
      <c r="D2887" t="s">
        <v>1021</v>
      </c>
      <c r="E2887" t="s">
        <v>955</v>
      </c>
      <c r="F2887" t="s">
        <v>956</v>
      </c>
      <c r="G2887" t="s">
        <v>963</v>
      </c>
      <c r="H2887">
        <v>16</v>
      </c>
      <c r="I2887">
        <v>0.34268700000000002</v>
      </c>
      <c r="J2887">
        <v>0.67425000000000002</v>
      </c>
      <c r="K2887">
        <v>0.33156200000000002</v>
      </c>
      <c r="L2887">
        <v>12</v>
      </c>
      <c r="M2887">
        <v>2</v>
      </c>
      <c r="N2887">
        <v>2</v>
      </c>
      <c r="O2887" t="s">
        <v>127</v>
      </c>
      <c r="P2887" t="s">
        <v>127</v>
      </c>
      <c r="Q2887" t="s">
        <v>127</v>
      </c>
    </row>
    <row r="2888" spans="1:17" x14ac:dyDescent="0.25">
      <c r="A2888" t="str">
        <f>IF(C2888&amp;G2888&amp;D2888&lt;&gt;'Funnel setup'!$K$3&amp;'Funnel setup'!$K$4&amp;'Funnel setup'!$K$6,".",IF(A2887=".",1,A2887+1))</f>
        <v>.</v>
      </c>
      <c r="B2888" s="244" t="str">
        <f t="shared" si="45"/>
        <v>Knee Replacement RevisionSub-ICB of GP PracticeNHS WEST YORKSHIRE ICB - 15F (15F)EQ-5D Index</v>
      </c>
      <c r="C2888" t="s">
        <v>973</v>
      </c>
      <c r="D2888" t="s">
        <v>1021</v>
      </c>
      <c r="E2888" t="s">
        <v>957</v>
      </c>
      <c r="F2888" t="s">
        <v>958</v>
      </c>
      <c r="G2888" t="s">
        <v>963</v>
      </c>
      <c r="H2888">
        <v>11</v>
      </c>
      <c r="I2888">
        <v>0.29899999999999999</v>
      </c>
      <c r="J2888">
        <v>0.54581800000000003</v>
      </c>
      <c r="K2888">
        <v>0.24681800000000001</v>
      </c>
      <c r="L2888">
        <v>7</v>
      </c>
      <c r="M2888">
        <v>1</v>
      </c>
      <c r="N2888">
        <v>3</v>
      </c>
      <c r="O2888" t="s">
        <v>127</v>
      </c>
      <c r="P2888" t="s">
        <v>127</v>
      </c>
      <c r="Q2888" t="s">
        <v>127</v>
      </c>
    </row>
    <row r="2889" spans="1:17" x14ac:dyDescent="0.25">
      <c r="A2889" t="str">
        <f>IF(C2889&amp;G2889&amp;D2889&lt;&gt;'Funnel setup'!$K$3&amp;'Funnel setup'!$K$4&amp;'Funnel setup'!$K$6,".",IF(A2888=".",1,A2888+1))</f>
        <v>.</v>
      </c>
      <c r="B2889" s="244" t="str">
        <f t="shared" si="45"/>
        <v>Knee Replacement RevisionSub-ICB of GP PracticeNHS WEST YORKSHIRE ICB - 36J (36J)EQ-5D Index</v>
      </c>
      <c r="C2889" t="s">
        <v>973</v>
      </c>
      <c r="D2889" t="s">
        <v>1021</v>
      </c>
      <c r="E2889" t="s">
        <v>959</v>
      </c>
      <c r="F2889" t="s">
        <v>960</v>
      </c>
      <c r="G2889" t="s">
        <v>963</v>
      </c>
      <c r="H2889">
        <v>1</v>
      </c>
      <c r="I2889">
        <v>-1.6E-2</v>
      </c>
      <c r="J2889">
        <v>-0.18099999999999999</v>
      </c>
      <c r="K2889">
        <v>-0.16500000000000001</v>
      </c>
      <c r="L2889">
        <v>0</v>
      </c>
      <c r="M2889">
        <v>0</v>
      </c>
      <c r="N2889">
        <v>1</v>
      </c>
      <c r="O2889" t="s">
        <v>127</v>
      </c>
      <c r="P2889" t="s">
        <v>127</v>
      </c>
      <c r="Q2889" t="s">
        <v>127</v>
      </c>
    </row>
    <row r="2890" spans="1:17" x14ac:dyDescent="0.25">
      <c r="A2890" t="str">
        <f>IF(C2890&amp;G2890&amp;D2890&lt;&gt;'Funnel setup'!$K$3&amp;'Funnel setup'!$K$4&amp;'Funnel setup'!$K$6,".",IF(A2889=".",1,A2889+1))</f>
        <v>.</v>
      </c>
      <c r="B2890" s="244" t="str">
        <f t="shared" si="45"/>
        <v>Knee Replacement RevisionSub-ICB of GP PracticeNHS WEST YORKSHIRE ICB - X2C4Y (X2C4Y)EQ-5D Index</v>
      </c>
      <c r="C2890" t="s">
        <v>973</v>
      </c>
      <c r="D2890" t="s">
        <v>1021</v>
      </c>
      <c r="E2890" t="s">
        <v>961</v>
      </c>
      <c r="F2890" t="s">
        <v>962</v>
      </c>
      <c r="G2890" t="s">
        <v>963</v>
      </c>
      <c r="H2890">
        <v>10</v>
      </c>
      <c r="I2890">
        <v>0.27950000000000003</v>
      </c>
      <c r="J2890">
        <v>0.76160000000000005</v>
      </c>
      <c r="K2890">
        <v>0.48209999999999997</v>
      </c>
      <c r="L2890">
        <v>10</v>
      </c>
      <c r="M2890">
        <v>0</v>
      </c>
      <c r="N2890">
        <v>0</v>
      </c>
      <c r="O2890" t="s">
        <v>127</v>
      </c>
      <c r="P2890" t="s">
        <v>127</v>
      </c>
      <c r="Q2890" t="s">
        <v>127</v>
      </c>
    </row>
    <row r="2891" spans="1:17" x14ac:dyDescent="0.25">
      <c r="A2891" t="str">
        <f>IF(C2891&amp;G2891&amp;D2891&lt;&gt;'Funnel setup'!$K$3&amp;'Funnel setup'!$K$4&amp;'Funnel setup'!$K$6,".",IF(A2890=".",1,A2890+1))</f>
        <v>.</v>
      </c>
      <c r="B2891" s="244" t="str">
        <f t="shared" si="45"/>
        <v>Knee Replacement RevisionSub-ICB of GP PracticeNHS BATH AND NORTH EAST SOMERSET, SWINDON AND WILTSHIRE ICB - 92G (92G)Oxford Knee Score</v>
      </c>
      <c r="C2891" t="s">
        <v>973</v>
      </c>
      <c r="D2891" t="s">
        <v>1021</v>
      </c>
      <c r="E2891" t="s">
        <v>750</v>
      </c>
      <c r="F2891" t="s">
        <v>751</v>
      </c>
      <c r="G2891" t="s">
        <v>972</v>
      </c>
      <c r="H2891">
        <v>4</v>
      </c>
      <c r="I2891">
        <v>10.25</v>
      </c>
      <c r="J2891">
        <v>36</v>
      </c>
      <c r="K2891">
        <v>25.75</v>
      </c>
      <c r="L2891">
        <v>4</v>
      </c>
      <c r="M2891">
        <v>0</v>
      </c>
      <c r="N2891">
        <v>0</v>
      </c>
      <c r="O2891" t="s">
        <v>127</v>
      </c>
      <c r="P2891" t="s">
        <v>127</v>
      </c>
      <c r="Q2891" t="s">
        <v>127</v>
      </c>
    </row>
    <row r="2892" spans="1:17" x14ac:dyDescent="0.25">
      <c r="A2892" t="str">
        <f>IF(C2892&amp;G2892&amp;D2892&lt;&gt;'Funnel setup'!$K$3&amp;'Funnel setup'!$K$4&amp;'Funnel setup'!$K$6,".",IF(A2891=".",1,A2891+1))</f>
        <v>.</v>
      </c>
      <c r="B2892" s="244" t="str">
        <f t="shared" si="45"/>
        <v>Knee Replacement RevisionSub-ICB of GP PracticeNHS BEDFORDSHIRE, LUTON AND MILTON KEYNES ICB - M1J4Y (M1J4Y)Oxford Knee Score</v>
      </c>
      <c r="C2892" t="s">
        <v>973</v>
      </c>
      <c r="D2892" t="s">
        <v>1021</v>
      </c>
      <c r="E2892" t="s">
        <v>753</v>
      </c>
      <c r="F2892" t="s">
        <v>754</v>
      </c>
      <c r="G2892" t="s">
        <v>972</v>
      </c>
      <c r="H2892">
        <v>8</v>
      </c>
      <c r="I2892">
        <v>15.75</v>
      </c>
      <c r="J2892">
        <v>27.75</v>
      </c>
      <c r="K2892">
        <v>12</v>
      </c>
      <c r="L2892">
        <v>6</v>
      </c>
      <c r="M2892">
        <v>0</v>
      </c>
      <c r="N2892">
        <v>2</v>
      </c>
      <c r="O2892" t="s">
        <v>127</v>
      </c>
      <c r="P2892" t="s">
        <v>127</v>
      </c>
      <c r="Q2892" t="s">
        <v>127</v>
      </c>
    </row>
    <row r="2893" spans="1:17" x14ac:dyDescent="0.25">
      <c r="A2893" t="str">
        <f>IF(C2893&amp;G2893&amp;D2893&lt;&gt;'Funnel setup'!$K$3&amp;'Funnel setup'!$K$4&amp;'Funnel setup'!$K$6,".",IF(A2892=".",1,A2892+1))</f>
        <v>.</v>
      </c>
      <c r="B2893" s="244" t="str">
        <f t="shared" si="45"/>
        <v>Knee Replacement RevisionSub-ICB of GP PracticeNHS BIRMINGHAM AND SOLIHULL ICB - 15E (15E)Oxford Knee Score</v>
      </c>
      <c r="C2893" t="s">
        <v>973</v>
      </c>
      <c r="D2893" t="s">
        <v>1021</v>
      </c>
      <c r="E2893" t="s">
        <v>755</v>
      </c>
      <c r="F2893" t="s">
        <v>756</v>
      </c>
      <c r="G2893" t="s">
        <v>972</v>
      </c>
      <c r="H2893">
        <v>12</v>
      </c>
      <c r="I2893">
        <v>15.5</v>
      </c>
      <c r="J2893">
        <v>23.833300000000001</v>
      </c>
      <c r="K2893">
        <v>8.3333300000000001</v>
      </c>
      <c r="L2893">
        <v>9</v>
      </c>
      <c r="M2893">
        <v>0</v>
      </c>
      <c r="N2893">
        <v>3</v>
      </c>
      <c r="O2893" t="s">
        <v>127</v>
      </c>
      <c r="P2893" t="s">
        <v>127</v>
      </c>
      <c r="Q2893" t="s">
        <v>127</v>
      </c>
    </row>
    <row r="2894" spans="1:17" x14ac:dyDescent="0.25">
      <c r="A2894" t="str">
        <f>IF(C2894&amp;G2894&amp;D2894&lt;&gt;'Funnel setup'!$K$3&amp;'Funnel setup'!$K$4&amp;'Funnel setup'!$K$6,".",IF(A2893=".",1,A2893+1))</f>
        <v>.</v>
      </c>
      <c r="B2894" s="244" t="str">
        <f t="shared" si="45"/>
        <v>Knee Replacement RevisionSub-ICB of GP PracticeNHS BLACK COUNTRY ICB - D2P2L (D2P2L)Oxford Knee Score</v>
      </c>
      <c r="C2894" t="s">
        <v>973</v>
      </c>
      <c r="D2894" t="s">
        <v>1021</v>
      </c>
      <c r="E2894" t="s">
        <v>757</v>
      </c>
      <c r="F2894" t="s">
        <v>758</v>
      </c>
      <c r="G2894" t="s">
        <v>972</v>
      </c>
      <c r="H2894">
        <v>18</v>
      </c>
      <c r="I2894">
        <v>15.5</v>
      </c>
      <c r="J2894">
        <v>27.833300000000001</v>
      </c>
      <c r="K2894">
        <v>12.333299999999999</v>
      </c>
      <c r="L2894">
        <v>15</v>
      </c>
      <c r="M2894">
        <v>0</v>
      </c>
      <c r="N2894">
        <v>3</v>
      </c>
      <c r="O2894" t="s">
        <v>127</v>
      </c>
      <c r="P2894" t="s">
        <v>127</v>
      </c>
      <c r="Q2894" t="s">
        <v>127</v>
      </c>
    </row>
    <row r="2895" spans="1:17" x14ac:dyDescent="0.25">
      <c r="A2895" t="str">
        <f>IF(C2895&amp;G2895&amp;D2895&lt;&gt;'Funnel setup'!$K$3&amp;'Funnel setup'!$K$4&amp;'Funnel setup'!$K$6,".",IF(A2894=".",1,A2894+1))</f>
        <v>.</v>
      </c>
      <c r="B2895" s="244" t="str">
        <f t="shared" si="45"/>
        <v>Knee Replacement RevisionSub-ICB of GP PracticeNHS BRISTOL, NORTH SOMERSET AND SOUTH GLOUCESTERSHIRE ICB - 15C (15C)Oxford Knee Score</v>
      </c>
      <c r="C2895" t="s">
        <v>973</v>
      </c>
      <c r="D2895" t="s">
        <v>1021</v>
      </c>
      <c r="E2895" t="s">
        <v>759</v>
      </c>
      <c r="F2895" t="s">
        <v>760</v>
      </c>
      <c r="G2895" t="s">
        <v>972</v>
      </c>
      <c r="H2895">
        <v>3</v>
      </c>
      <c r="I2895">
        <v>17</v>
      </c>
      <c r="J2895">
        <v>37.666699999999999</v>
      </c>
      <c r="K2895">
        <v>20.666699999999999</v>
      </c>
      <c r="L2895">
        <v>3</v>
      </c>
      <c r="M2895">
        <v>0</v>
      </c>
      <c r="N2895">
        <v>0</v>
      </c>
      <c r="O2895" t="s">
        <v>127</v>
      </c>
      <c r="P2895" t="s">
        <v>127</v>
      </c>
      <c r="Q2895" t="s">
        <v>127</v>
      </c>
    </row>
    <row r="2896" spans="1:17" x14ac:dyDescent="0.25">
      <c r="A2896" t="str">
        <f>IF(C2896&amp;G2896&amp;D2896&lt;&gt;'Funnel setup'!$K$3&amp;'Funnel setup'!$K$4&amp;'Funnel setup'!$K$6,".",IF(A2895=".",1,A2895+1))</f>
        <v>.</v>
      </c>
      <c r="B2896" s="244" t="str">
        <f t="shared" si="45"/>
        <v>Knee Replacement RevisionSub-ICB of GP PracticeNHS BUCKINGHAMSHIRE, OXFORDSHIRE AND BERKSHIRE WEST ICB - 10Q (10Q)Oxford Knee Score</v>
      </c>
      <c r="C2896" t="s">
        <v>973</v>
      </c>
      <c r="D2896" t="s">
        <v>1021</v>
      </c>
      <c r="E2896" t="s">
        <v>761</v>
      </c>
      <c r="F2896" t="s">
        <v>762</v>
      </c>
      <c r="G2896" t="s">
        <v>972</v>
      </c>
      <c r="H2896">
        <v>20</v>
      </c>
      <c r="I2896">
        <v>17.600000000000001</v>
      </c>
      <c r="J2896">
        <v>33.25</v>
      </c>
      <c r="K2896">
        <v>15.65</v>
      </c>
      <c r="L2896">
        <v>18</v>
      </c>
      <c r="M2896">
        <v>0</v>
      </c>
      <c r="N2896">
        <v>2</v>
      </c>
      <c r="O2896" t="s">
        <v>127</v>
      </c>
      <c r="P2896" t="s">
        <v>127</v>
      </c>
      <c r="Q2896" t="s">
        <v>127</v>
      </c>
    </row>
    <row r="2897" spans="1:17" x14ac:dyDescent="0.25">
      <c r="A2897" t="str">
        <f>IF(C2897&amp;G2897&amp;D2897&lt;&gt;'Funnel setup'!$K$3&amp;'Funnel setup'!$K$4&amp;'Funnel setup'!$K$6,".",IF(A2896=".",1,A2896+1))</f>
        <v>.</v>
      </c>
      <c r="B2897" s="244" t="str">
        <f t="shared" si="45"/>
        <v>Knee Replacement RevisionSub-ICB of GP PracticeNHS BUCKINGHAMSHIRE, OXFORDSHIRE AND BERKSHIRE WEST ICB - 14Y (14Y)Oxford Knee Score</v>
      </c>
      <c r="C2897" t="s">
        <v>973</v>
      </c>
      <c r="D2897" t="s">
        <v>1021</v>
      </c>
      <c r="E2897" t="s">
        <v>763</v>
      </c>
      <c r="F2897" t="s">
        <v>764</v>
      </c>
      <c r="G2897" t="s">
        <v>972</v>
      </c>
      <c r="H2897">
        <v>6</v>
      </c>
      <c r="I2897">
        <v>16.5</v>
      </c>
      <c r="J2897">
        <v>35</v>
      </c>
      <c r="K2897">
        <v>18.5</v>
      </c>
      <c r="L2897">
        <v>6</v>
      </c>
      <c r="M2897">
        <v>0</v>
      </c>
      <c r="N2897">
        <v>0</v>
      </c>
      <c r="O2897" t="s">
        <v>127</v>
      </c>
      <c r="P2897" t="s">
        <v>127</v>
      </c>
      <c r="Q2897" t="s">
        <v>127</v>
      </c>
    </row>
    <row r="2898" spans="1:17" x14ac:dyDescent="0.25">
      <c r="A2898" t="str">
        <f>IF(C2898&amp;G2898&amp;D2898&lt;&gt;'Funnel setup'!$K$3&amp;'Funnel setup'!$K$4&amp;'Funnel setup'!$K$6,".",IF(A2897=".",1,A2897+1))</f>
        <v>.</v>
      </c>
      <c r="B2898" s="244" t="str">
        <f t="shared" si="45"/>
        <v>Knee Replacement RevisionSub-ICB of GP PracticeNHS BUCKINGHAMSHIRE, OXFORDSHIRE AND BERKSHIRE WEST ICB - 15A (15A)Oxford Knee Score</v>
      </c>
      <c r="C2898" t="s">
        <v>973</v>
      </c>
      <c r="D2898" t="s">
        <v>1021</v>
      </c>
      <c r="E2898" t="s">
        <v>765</v>
      </c>
      <c r="F2898" t="s">
        <v>766</v>
      </c>
      <c r="G2898" t="s">
        <v>972</v>
      </c>
      <c r="H2898">
        <v>8</v>
      </c>
      <c r="I2898">
        <v>20.75</v>
      </c>
      <c r="J2898">
        <v>32.75</v>
      </c>
      <c r="K2898">
        <v>12</v>
      </c>
      <c r="L2898">
        <v>7</v>
      </c>
      <c r="M2898">
        <v>0</v>
      </c>
      <c r="N2898">
        <v>1</v>
      </c>
      <c r="O2898" t="s">
        <v>127</v>
      </c>
      <c r="P2898" t="s">
        <v>127</v>
      </c>
      <c r="Q2898" t="s">
        <v>127</v>
      </c>
    </row>
    <row r="2899" spans="1:17" x14ac:dyDescent="0.25">
      <c r="A2899" t="str">
        <f>IF(C2899&amp;G2899&amp;D2899&lt;&gt;'Funnel setup'!$K$3&amp;'Funnel setup'!$K$4&amp;'Funnel setup'!$K$6,".",IF(A2898=".",1,A2898+1))</f>
        <v>.</v>
      </c>
      <c r="B2899" s="244" t="str">
        <f t="shared" si="45"/>
        <v>Knee Replacement RevisionSub-ICB of GP PracticeNHS CAMBRIDGESHIRE AND PETERBOROUGH ICB - 06H (06H)Oxford Knee Score</v>
      </c>
      <c r="C2899" t="s">
        <v>973</v>
      </c>
      <c r="D2899" t="s">
        <v>1021</v>
      </c>
      <c r="E2899" t="s">
        <v>767</v>
      </c>
      <c r="F2899" t="s">
        <v>768</v>
      </c>
      <c r="G2899" t="s">
        <v>972</v>
      </c>
      <c r="H2899">
        <v>6</v>
      </c>
      <c r="I2899">
        <v>16.666699999999999</v>
      </c>
      <c r="J2899">
        <v>35.833300000000001</v>
      </c>
      <c r="K2899">
        <v>19.166699999999999</v>
      </c>
      <c r="L2899">
        <v>6</v>
      </c>
      <c r="M2899">
        <v>0</v>
      </c>
      <c r="N2899">
        <v>0</v>
      </c>
      <c r="O2899" t="s">
        <v>127</v>
      </c>
      <c r="P2899" t="s">
        <v>127</v>
      </c>
      <c r="Q2899" t="s">
        <v>127</v>
      </c>
    </row>
    <row r="2900" spans="1:17" x14ac:dyDescent="0.25">
      <c r="A2900" t="str">
        <f>IF(C2900&amp;G2900&amp;D2900&lt;&gt;'Funnel setup'!$K$3&amp;'Funnel setup'!$K$4&amp;'Funnel setup'!$K$6,".",IF(A2899=".",1,A2899+1))</f>
        <v>.</v>
      </c>
      <c r="B2900" s="244" t="str">
        <f t="shared" si="45"/>
        <v>Knee Replacement RevisionSub-ICB of GP PracticeNHS CHESHIRE AND MERSEYSIDE ICB - 01J (01J)Oxford Knee Score</v>
      </c>
      <c r="C2900" t="s">
        <v>973</v>
      </c>
      <c r="D2900" t="s">
        <v>1021</v>
      </c>
      <c r="E2900" t="s">
        <v>771</v>
      </c>
      <c r="F2900" t="s">
        <v>772</v>
      </c>
      <c r="G2900" t="s">
        <v>972</v>
      </c>
      <c r="H2900">
        <v>2</v>
      </c>
      <c r="I2900">
        <v>11.5</v>
      </c>
      <c r="J2900">
        <v>27</v>
      </c>
      <c r="K2900">
        <v>15.5</v>
      </c>
      <c r="L2900">
        <v>2</v>
      </c>
      <c r="M2900">
        <v>0</v>
      </c>
      <c r="N2900">
        <v>0</v>
      </c>
      <c r="O2900" t="s">
        <v>127</v>
      </c>
      <c r="P2900" t="s">
        <v>127</v>
      </c>
      <c r="Q2900" t="s">
        <v>127</v>
      </c>
    </row>
    <row r="2901" spans="1:17" x14ac:dyDescent="0.25">
      <c r="A2901" t="str">
        <f>IF(C2901&amp;G2901&amp;D2901&lt;&gt;'Funnel setup'!$K$3&amp;'Funnel setup'!$K$4&amp;'Funnel setup'!$K$6,".",IF(A2900=".",1,A2900+1))</f>
        <v>.</v>
      </c>
      <c r="B2901" s="244" t="str">
        <f t="shared" si="45"/>
        <v>Knee Replacement RevisionSub-ICB of GP PracticeNHS CHESHIRE AND MERSEYSIDE ICB - 01X (01X)Oxford Knee Score</v>
      </c>
      <c r="C2901" t="s">
        <v>973</v>
      </c>
      <c r="D2901" t="s">
        <v>1021</v>
      </c>
      <c r="E2901" t="s">
        <v>777</v>
      </c>
      <c r="F2901" t="s">
        <v>778</v>
      </c>
      <c r="G2901" t="s">
        <v>972</v>
      </c>
      <c r="H2901">
        <v>3</v>
      </c>
      <c r="I2901">
        <v>18.333300000000001</v>
      </c>
      <c r="J2901">
        <v>30.333300000000001</v>
      </c>
      <c r="K2901">
        <v>12</v>
      </c>
      <c r="L2901">
        <v>3</v>
      </c>
      <c r="M2901">
        <v>0</v>
      </c>
      <c r="N2901">
        <v>0</v>
      </c>
      <c r="O2901" t="s">
        <v>127</v>
      </c>
      <c r="P2901" t="s">
        <v>127</v>
      </c>
      <c r="Q2901" t="s">
        <v>127</v>
      </c>
    </row>
    <row r="2902" spans="1:17" x14ac:dyDescent="0.25">
      <c r="A2902" t="str">
        <f>IF(C2902&amp;G2902&amp;D2902&lt;&gt;'Funnel setup'!$K$3&amp;'Funnel setup'!$K$4&amp;'Funnel setup'!$K$6,".",IF(A2901=".",1,A2901+1))</f>
        <v>.</v>
      </c>
      <c r="B2902" s="244" t="str">
        <f t="shared" si="45"/>
        <v>Knee Replacement RevisionSub-ICB of GP PracticeNHS CHESHIRE AND MERSEYSIDE ICB - 12F (12F)Oxford Knee Score</v>
      </c>
      <c r="C2902" t="s">
        <v>973</v>
      </c>
      <c r="D2902" t="s">
        <v>1021</v>
      </c>
      <c r="E2902" t="s">
        <v>781</v>
      </c>
      <c r="F2902" t="s">
        <v>782</v>
      </c>
      <c r="G2902" t="s">
        <v>972</v>
      </c>
      <c r="H2902">
        <v>2</v>
      </c>
      <c r="I2902">
        <v>27.5</v>
      </c>
      <c r="J2902">
        <v>39</v>
      </c>
      <c r="K2902">
        <v>11.5</v>
      </c>
      <c r="L2902">
        <v>2</v>
      </c>
      <c r="M2902">
        <v>0</v>
      </c>
      <c r="N2902">
        <v>0</v>
      </c>
      <c r="O2902" t="s">
        <v>127</v>
      </c>
      <c r="P2902" t="s">
        <v>127</v>
      </c>
      <c r="Q2902" t="s">
        <v>127</v>
      </c>
    </row>
    <row r="2903" spans="1:17" x14ac:dyDescent="0.25">
      <c r="A2903" t="str">
        <f>IF(C2903&amp;G2903&amp;D2903&lt;&gt;'Funnel setup'!$K$3&amp;'Funnel setup'!$K$4&amp;'Funnel setup'!$K$6,".",IF(A2902=".",1,A2902+1))</f>
        <v>.</v>
      </c>
      <c r="B2903" s="244" t="str">
        <f t="shared" si="45"/>
        <v>Knee Replacement RevisionSub-ICB of GP PracticeNHS CHESHIRE AND MERSEYSIDE ICB - 27D (27D)Oxford Knee Score</v>
      </c>
      <c r="C2903" t="s">
        <v>973</v>
      </c>
      <c r="D2903" t="s">
        <v>1021</v>
      </c>
      <c r="E2903" t="s">
        <v>783</v>
      </c>
      <c r="F2903" t="s">
        <v>784</v>
      </c>
      <c r="G2903" t="s">
        <v>972</v>
      </c>
      <c r="H2903">
        <v>8</v>
      </c>
      <c r="I2903">
        <v>13.625</v>
      </c>
      <c r="J2903">
        <v>27</v>
      </c>
      <c r="K2903">
        <v>13.375</v>
      </c>
      <c r="L2903">
        <v>8</v>
      </c>
      <c r="M2903">
        <v>0</v>
      </c>
      <c r="N2903">
        <v>0</v>
      </c>
      <c r="O2903" t="s">
        <v>127</v>
      </c>
      <c r="P2903" t="s">
        <v>127</v>
      </c>
      <c r="Q2903" t="s">
        <v>127</v>
      </c>
    </row>
    <row r="2904" spans="1:17" x14ac:dyDescent="0.25">
      <c r="A2904" t="str">
        <f>IF(C2904&amp;G2904&amp;D2904&lt;&gt;'Funnel setup'!$K$3&amp;'Funnel setup'!$K$4&amp;'Funnel setup'!$K$6,".",IF(A2903=".",1,A2903+1))</f>
        <v>.</v>
      </c>
      <c r="B2904" s="244" t="str">
        <f t="shared" si="45"/>
        <v>Knee Replacement RevisionSub-ICB of GP PracticeNHS CHESHIRE AND MERSEYSIDE ICB - 99A (99A)Oxford Knee Score</v>
      </c>
      <c r="C2904" t="s">
        <v>973</v>
      </c>
      <c r="D2904" t="s">
        <v>1021</v>
      </c>
      <c r="E2904" t="s">
        <v>785</v>
      </c>
      <c r="F2904" t="s">
        <v>786</v>
      </c>
      <c r="G2904" t="s">
        <v>972</v>
      </c>
      <c r="H2904">
        <v>1</v>
      </c>
      <c r="I2904">
        <v>6</v>
      </c>
      <c r="J2904">
        <v>25</v>
      </c>
      <c r="K2904">
        <v>19</v>
      </c>
      <c r="L2904">
        <v>1</v>
      </c>
      <c r="M2904">
        <v>0</v>
      </c>
      <c r="N2904">
        <v>0</v>
      </c>
      <c r="O2904" t="s">
        <v>127</v>
      </c>
      <c r="P2904" t="s">
        <v>127</v>
      </c>
      <c r="Q2904" t="s">
        <v>127</v>
      </c>
    </row>
    <row r="2905" spans="1:17" x14ac:dyDescent="0.25">
      <c r="A2905" t="str">
        <f>IF(C2905&amp;G2905&amp;D2905&lt;&gt;'Funnel setup'!$K$3&amp;'Funnel setup'!$K$4&amp;'Funnel setup'!$K$6,".",IF(A2904=".",1,A2904+1))</f>
        <v>.</v>
      </c>
      <c r="B2905" s="244" t="str">
        <f t="shared" si="45"/>
        <v>Knee Replacement RevisionSub-ICB of GP PracticeNHS CORNWALL AND THE ISLES OF SCILLY ICB - 11N (11N)Oxford Knee Score</v>
      </c>
      <c r="C2905" t="s">
        <v>973</v>
      </c>
      <c r="D2905" t="s">
        <v>1021</v>
      </c>
      <c r="E2905" t="s">
        <v>787</v>
      </c>
      <c r="F2905" t="s">
        <v>788</v>
      </c>
      <c r="G2905" t="s">
        <v>972</v>
      </c>
      <c r="H2905">
        <v>11</v>
      </c>
      <c r="I2905">
        <v>21.2727</v>
      </c>
      <c r="J2905">
        <v>34.090899999999998</v>
      </c>
      <c r="K2905">
        <v>12.818199999999999</v>
      </c>
      <c r="L2905">
        <v>9</v>
      </c>
      <c r="M2905">
        <v>0</v>
      </c>
      <c r="N2905">
        <v>2</v>
      </c>
      <c r="O2905" t="s">
        <v>127</v>
      </c>
      <c r="P2905" t="s">
        <v>127</v>
      </c>
      <c r="Q2905" t="s">
        <v>127</v>
      </c>
    </row>
    <row r="2906" spans="1:17" x14ac:dyDescent="0.25">
      <c r="A2906" t="str">
        <f>IF(C2906&amp;G2906&amp;D2906&lt;&gt;'Funnel setup'!$K$3&amp;'Funnel setup'!$K$4&amp;'Funnel setup'!$K$6,".",IF(A2905=".",1,A2905+1))</f>
        <v>.</v>
      </c>
      <c r="B2906" s="244" t="str">
        <f t="shared" si="45"/>
        <v>Knee Replacement RevisionSub-ICB of GP PracticeNHS COVENTRY AND WARWICKSHIRE ICB - B2M3M (B2M3M)Oxford Knee Score</v>
      </c>
      <c r="C2906" t="s">
        <v>973</v>
      </c>
      <c r="D2906" t="s">
        <v>1021</v>
      </c>
      <c r="E2906" t="s">
        <v>789</v>
      </c>
      <c r="F2906" t="s">
        <v>790</v>
      </c>
      <c r="G2906" t="s">
        <v>972</v>
      </c>
      <c r="H2906">
        <v>14</v>
      </c>
      <c r="I2906">
        <v>16.071400000000001</v>
      </c>
      <c r="J2906">
        <v>35</v>
      </c>
      <c r="K2906">
        <v>18.928599999999999</v>
      </c>
      <c r="L2906">
        <v>12</v>
      </c>
      <c r="M2906">
        <v>0</v>
      </c>
      <c r="N2906">
        <v>2</v>
      </c>
      <c r="O2906" t="s">
        <v>127</v>
      </c>
      <c r="P2906" t="s">
        <v>127</v>
      </c>
      <c r="Q2906" t="s">
        <v>127</v>
      </c>
    </row>
    <row r="2907" spans="1:17" x14ac:dyDescent="0.25">
      <c r="A2907" t="str">
        <f>IF(C2907&amp;G2907&amp;D2907&lt;&gt;'Funnel setup'!$K$3&amp;'Funnel setup'!$K$4&amp;'Funnel setup'!$K$6,".",IF(A2906=".",1,A2906+1))</f>
        <v>.</v>
      </c>
      <c r="B2907" s="244" t="str">
        <f t="shared" si="45"/>
        <v>Knee Replacement RevisionSub-ICB of GP PracticeNHS DERBY AND DERBYSHIRE ICB - 15M (15M)Oxford Knee Score</v>
      </c>
      <c r="C2907" t="s">
        <v>973</v>
      </c>
      <c r="D2907" t="s">
        <v>1021</v>
      </c>
      <c r="E2907" t="s">
        <v>791</v>
      </c>
      <c r="F2907" t="s">
        <v>792</v>
      </c>
      <c r="G2907" t="s">
        <v>972</v>
      </c>
      <c r="H2907">
        <v>21</v>
      </c>
      <c r="I2907">
        <v>16.857099999999999</v>
      </c>
      <c r="J2907">
        <v>30</v>
      </c>
      <c r="K2907">
        <v>13.142899999999999</v>
      </c>
      <c r="L2907">
        <v>20</v>
      </c>
      <c r="M2907">
        <v>0</v>
      </c>
      <c r="N2907">
        <v>1</v>
      </c>
      <c r="O2907" t="s">
        <v>127</v>
      </c>
      <c r="P2907" t="s">
        <v>127</v>
      </c>
      <c r="Q2907" t="s">
        <v>127</v>
      </c>
    </row>
    <row r="2908" spans="1:17" x14ac:dyDescent="0.25">
      <c r="A2908" t="str">
        <f>IF(C2908&amp;G2908&amp;D2908&lt;&gt;'Funnel setup'!$K$3&amp;'Funnel setup'!$K$4&amp;'Funnel setup'!$K$6,".",IF(A2907=".",1,A2907+1))</f>
        <v>.</v>
      </c>
      <c r="B2908" s="244" t="str">
        <f t="shared" si="45"/>
        <v>Knee Replacement RevisionSub-ICB of GP PracticeNHS DEVON ICB - 15N (15N)Oxford Knee Score</v>
      </c>
      <c r="C2908" t="s">
        <v>973</v>
      </c>
      <c r="D2908" t="s">
        <v>1021</v>
      </c>
      <c r="E2908" t="s">
        <v>793</v>
      </c>
      <c r="F2908" t="s">
        <v>794</v>
      </c>
      <c r="G2908" t="s">
        <v>972</v>
      </c>
      <c r="H2908">
        <v>12</v>
      </c>
      <c r="I2908">
        <v>17.333300000000001</v>
      </c>
      <c r="J2908">
        <v>28.083300000000001</v>
      </c>
      <c r="K2908">
        <v>10.75</v>
      </c>
      <c r="L2908">
        <v>10</v>
      </c>
      <c r="M2908">
        <v>0</v>
      </c>
      <c r="N2908">
        <v>2</v>
      </c>
      <c r="O2908" t="s">
        <v>127</v>
      </c>
      <c r="P2908" t="s">
        <v>127</v>
      </c>
      <c r="Q2908" t="s">
        <v>127</v>
      </c>
    </row>
    <row r="2909" spans="1:17" x14ac:dyDescent="0.25">
      <c r="A2909" t="str">
        <f>IF(C2909&amp;G2909&amp;D2909&lt;&gt;'Funnel setup'!$K$3&amp;'Funnel setup'!$K$4&amp;'Funnel setup'!$K$6,".",IF(A2908=".",1,A2908+1))</f>
        <v>.</v>
      </c>
      <c r="B2909" s="244" t="str">
        <f t="shared" si="45"/>
        <v>Knee Replacement RevisionSub-ICB of GP PracticeNHS DORSET ICB - 11J (11J)Oxford Knee Score</v>
      </c>
      <c r="C2909" t="s">
        <v>973</v>
      </c>
      <c r="D2909" t="s">
        <v>1021</v>
      </c>
      <c r="E2909" t="s">
        <v>795</v>
      </c>
      <c r="F2909" t="s">
        <v>796</v>
      </c>
      <c r="G2909" t="s">
        <v>972</v>
      </c>
      <c r="H2909">
        <v>16</v>
      </c>
      <c r="I2909">
        <v>16.125</v>
      </c>
      <c r="J2909">
        <v>29.875</v>
      </c>
      <c r="K2909">
        <v>13.75</v>
      </c>
      <c r="L2909">
        <v>14</v>
      </c>
      <c r="M2909">
        <v>0</v>
      </c>
      <c r="N2909">
        <v>2</v>
      </c>
      <c r="O2909" t="s">
        <v>127</v>
      </c>
      <c r="P2909" t="s">
        <v>127</v>
      </c>
      <c r="Q2909" t="s">
        <v>127</v>
      </c>
    </row>
    <row r="2910" spans="1:17" x14ac:dyDescent="0.25">
      <c r="A2910" t="str">
        <f>IF(C2910&amp;G2910&amp;D2910&lt;&gt;'Funnel setup'!$K$3&amp;'Funnel setup'!$K$4&amp;'Funnel setup'!$K$6,".",IF(A2909=".",1,A2909+1))</f>
        <v>.</v>
      </c>
      <c r="B2910" s="244" t="str">
        <f t="shared" si="45"/>
        <v>Knee Replacement RevisionSub-ICB of GP PracticeNHS FRIMLEY ICB - D4U1Y (D4U1Y)Oxford Knee Score</v>
      </c>
      <c r="C2910" t="s">
        <v>973</v>
      </c>
      <c r="D2910" t="s">
        <v>1021</v>
      </c>
      <c r="E2910" t="s">
        <v>797</v>
      </c>
      <c r="F2910" t="s">
        <v>798</v>
      </c>
      <c r="G2910" t="s">
        <v>972</v>
      </c>
      <c r="H2910">
        <v>8</v>
      </c>
      <c r="I2910">
        <v>20.625</v>
      </c>
      <c r="J2910">
        <v>30.375</v>
      </c>
      <c r="K2910">
        <v>9.75</v>
      </c>
      <c r="L2910">
        <v>6</v>
      </c>
      <c r="M2910">
        <v>0</v>
      </c>
      <c r="N2910">
        <v>2</v>
      </c>
      <c r="O2910" t="s">
        <v>127</v>
      </c>
      <c r="P2910" t="s">
        <v>127</v>
      </c>
      <c r="Q2910" t="s">
        <v>127</v>
      </c>
    </row>
    <row r="2911" spans="1:17" x14ac:dyDescent="0.25">
      <c r="A2911" t="str">
        <f>IF(C2911&amp;G2911&amp;D2911&lt;&gt;'Funnel setup'!$K$3&amp;'Funnel setup'!$K$4&amp;'Funnel setup'!$K$6,".",IF(A2910=".",1,A2910+1))</f>
        <v>.</v>
      </c>
      <c r="B2911" s="244" t="str">
        <f t="shared" si="45"/>
        <v>Knee Replacement RevisionSub-ICB of GP PracticeNHS GLOUCESTERSHIRE ICB - 11M (11M)Oxford Knee Score</v>
      </c>
      <c r="C2911" t="s">
        <v>973</v>
      </c>
      <c r="D2911" t="s">
        <v>1021</v>
      </c>
      <c r="E2911" t="s">
        <v>799</v>
      </c>
      <c r="F2911" t="s">
        <v>800</v>
      </c>
      <c r="G2911" t="s">
        <v>972</v>
      </c>
      <c r="H2911">
        <v>4</v>
      </c>
      <c r="I2911">
        <v>16</v>
      </c>
      <c r="J2911">
        <v>37.75</v>
      </c>
      <c r="K2911">
        <v>21.75</v>
      </c>
      <c r="L2911">
        <v>4</v>
      </c>
      <c r="M2911">
        <v>0</v>
      </c>
      <c r="N2911">
        <v>0</v>
      </c>
      <c r="O2911" t="s">
        <v>127</v>
      </c>
      <c r="P2911" t="s">
        <v>127</v>
      </c>
      <c r="Q2911" t="s">
        <v>127</v>
      </c>
    </row>
    <row r="2912" spans="1:17" x14ac:dyDescent="0.25">
      <c r="A2912" t="str">
        <f>IF(C2912&amp;G2912&amp;D2912&lt;&gt;'Funnel setup'!$K$3&amp;'Funnel setup'!$K$4&amp;'Funnel setup'!$K$6,".",IF(A2911=".",1,A2911+1))</f>
        <v>.</v>
      </c>
      <c r="B2912" s="244" t="str">
        <f t="shared" si="45"/>
        <v>Knee Replacement RevisionSub-ICB of GP PracticeNHS GREATER MANCHESTER ICB - 00T (00T)Oxford Knee Score</v>
      </c>
      <c r="C2912" t="s">
        <v>973</v>
      </c>
      <c r="D2912" t="s">
        <v>1021</v>
      </c>
      <c r="E2912" t="s">
        <v>801</v>
      </c>
      <c r="F2912" t="s">
        <v>802</v>
      </c>
      <c r="G2912" t="s">
        <v>972</v>
      </c>
      <c r="H2912">
        <v>4</v>
      </c>
      <c r="I2912">
        <v>24.5</v>
      </c>
      <c r="J2912">
        <v>35.25</v>
      </c>
      <c r="K2912">
        <v>10.75</v>
      </c>
      <c r="L2912">
        <v>4</v>
      </c>
      <c r="M2912">
        <v>0</v>
      </c>
      <c r="N2912">
        <v>0</v>
      </c>
      <c r="O2912" t="s">
        <v>127</v>
      </c>
      <c r="P2912" t="s">
        <v>127</v>
      </c>
      <c r="Q2912" t="s">
        <v>127</v>
      </c>
    </row>
    <row r="2913" spans="1:17" x14ac:dyDescent="0.25">
      <c r="A2913" t="str">
        <f>IF(C2913&amp;G2913&amp;D2913&lt;&gt;'Funnel setup'!$K$3&amp;'Funnel setup'!$K$4&amp;'Funnel setup'!$K$6,".",IF(A2912=".",1,A2912+1))</f>
        <v>.</v>
      </c>
      <c r="B2913" s="244" t="str">
        <f t="shared" si="45"/>
        <v>Knee Replacement RevisionSub-ICB of GP PracticeNHS GREATER MANCHESTER ICB - 00V (00V)Oxford Knee Score</v>
      </c>
      <c r="C2913" t="s">
        <v>973</v>
      </c>
      <c r="D2913" t="s">
        <v>1021</v>
      </c>
      <c r="E2913" t="s">
        <v>803</v>
      </c>
      <c r="F2913" t="s">
        <v>804</v>
      </c>
      <c r="G2913" t="s">
        <v>972</v>
      </c>
      <c r="H2913">
        <v>1</v>
      </c>
      <c r="I2913">
        <v>17</v>
      </c>
      <c r="J2913">
        <v>24</v>
      </c>
      <c r="K2913">
        <v>7</v>
      </c>
      <c r="L2913">
        <v>1</v>
      </c>
      <c r="M2913">
        <v>0</v>
      </c>
      <c r="N2913">
        <v>0</v>
      </c>
      <c r="O2913" t="s">
        <v>127</v>
      </c>
      <c r="P2913" t="s">
        <v>127</v>
      </c>
      <c r="Q2913" t="s">
        <v>127</v>
      </c>
    </row>
    <row r="2914" spans="1:17" x14ac:dyDescent="0.25">
      <c r="A2914" t="str">
        <f>IF(C2914&amp;G2914&amp;D2914&lt;&gt;'Funnel setup'!$K$3&amp;'Funnel setup'!$K$4&amp;'Funnel setup'!$K$6,".",IF(A2913=".",1,A2913+1))</f>
        <v>.</v>
      </c>
      <c r="B2914" s="244" t="str">
        <f t="shared" si="45"/>
        <v>Knee Replacement RevisionSub-ICB of GP PracticeNHS GREATER MANCHESTER ICB - 01W (01W)Oxford Knee Score</v>
      </c>
      <c r="C2914" t="s">
        <v>973</v>
      </c>
      <c r="D2914" t="s">
        <v>1021</v>
      </c>
      <c r="E2914" t="s">
        <v>811</v>
      </c>
      <c r="F2914" t="s">
        <v>812</v>
      </c>
      <c r="G2914" t="s">
        <v>972</v>
      </c>
      <c r="H2914">
        <v>3</v>
      </c>
      <c r="I2914">
        <v>10</v>
      </c>
      <c r="J2914">
        <v>32.666699999999999</v>
      </c>
      <c r="K2914">
        <v>22.666699999999999</v>
      </c>
      <c r="L2914">
        <v>3</v>
      </c>
      <c r="M2914">
        <v>0</v>
      </c>
      <c r="N2914">
        <v>0</v>
      </c>
      <c r="O2914" t="s">
        <v>127</v>
      </c>
      <c r="P2914" t="s">
        <v>127</v>
      </c>
      <c r="Q2914" t="s">
        <v>127</v>
      </c>
    </row>
    <row r="2915" spans="1:17" x14ac:dyDescent="0.25">
      <c r="A2915" t="str">
        <f>IF(C2915&amp;G2915&amp;D2915&lt;&gt;'Funnel setup'!$K$3&amp;'Funnel setup'!$K$4&amp;'Funnel setup'!$K$6,".",IF(A2914=".",1,A2914+1))</f>
        <v>.</v>
      </c>
      <c r="B2915" s="244" t="str">
        <f t="shared" si="45"/>
        <v>Knee Replacement RevisionSub-ICB of GP PracticeNHS GREATER MANCHESTER ICB - 02A (02A)Oxford Knee Score</v>
      </c>
      <c r="C2915" t="s">
        <v>973</v>
      </c>
      <c r="D2915" t="s">
        <v>1021</v>
      </c>
      <c r="E2915" t="s">
        <v>815</v>
      </c>
      <c r="F2915" t="s">
        <v>816</v>
      </c>
      <c r="G2915" t="s">
        <v>972</v>
      </c>
      <c r="H2915">
        <v>3</v>
      </c>
      <c r="I2915">
        <v>15</v>
      </c>
      <c r="J2915">
        <v>28.666699999999999</v>
      </c>
      <c r="K2915">
        <v>13.666700000000001</v>
      </c>
      <c r="L2915">
        <v>3</v>
      </c>
      <c r="M2915">
        <v>0</v>
      </c>
      <c r="N2915">
        <v>0</v>
      </c>
      <c r="O2915" t="s">
        <v>127</v>
      </c>
      <c r="P2915" t="s">
        <v>127</v>
      </c>
      <c r="Q2915" t="s">
        <v>127</v>
      </c>
    </row>
    <row r="2916" spans="1:17" x14ac:dyDescent="0.25">
      <c r="A2916" t="str">
        <f>IF(C2916&amp;G2916&amp;D2916&lt;&gt;'Funnel setup'!$K$3&amp;'Funnel setup'!$K$4&amp;'Funnel setup'!$K$6,".",IF(A2915=".",1,A2915+1))</f>
        <v>.</v>
      </c>
      <c r="B2916" s="244" t="str">
        <f t="shared" si="45"/>
        <v>Knee Replacement RevisionSub-ICB of GP PracticeNHS GREATER MANCHESTER ICB - 02H (02H)Oxford Knee Score</v>
      </c>
      <c r="C2916" t="s">
        <v>973</v>
      </c>
      <c r="D2916" t="s">
        <v>1021</v>
      </c>
      <c r="E2916" t="s">
        <v>817</v>
      </c>
      <c r="F2916" t="s">
        <v>818</v>
      </c>
      <c r="G2916" t="s">
        <v>972</v>
      </c>
      <c r="H2916">
        <v>1</v>
      </c>
      <c r="I2916">
        <v>12</v>
      </c>
      <c r="J2916">
        <v>33</v>
      </c>
      <c r="K2916">
        <v>21</v>
      </c>
      <c r="L2916">
        <v>1</v>
      </c>
      <c r="M2916">
        <v>0</v>
      </c>
      <c r="N2916">
        <v>0</v>
      </c>
      <c r="O2916" t="s">
        <v>127</v>
      </c>
      <c r="P2916" t="s">
        <v>127</v>
      </c>
      <c r="Q2916" t="s">
        <v>127</v>
      </c>
    </row>
    <row r="2917" spans="1:17" x14ac:dyDescent="0.25">
      <c r="A2917" t="str">
        <f>IF(C2917&amp;G2917&amp;D2917&lt;&gt;'Funnel setup'!$K$3&amp;'Funnel setup'!$K$4&amp;'Funnel setup'!$K$6,".",IF(A2916=".",1,A2916+1))</f>
        <v>.</v>
      </c>
      <c r="B2917" s="244" t="str">
        <f t="shared" si="45"/>
        <v>Knee Replacement RevisionSub-ICB of GP PracticeNHS GREATER MANCHESTER ICB - 14L (14L)Oxford Knee Score</v>
      </c>
      <c r="C2917" t="s">
        <v>973</v>
      </c>
      <c r="D2917" t="s">
        <v>1021</v>
      </c>
      <c r="E2917" t="s">
        <v>819</v>
      </c>
      <c r="F2917" t="s">
        <v>820</v>
      </c>
      <c r="G2917" t="s">
        <v>972</v>
      </c>
      <c r="H2917">
        <v>2</v>
      </c>
      <c r="I2917">
        <v>11</v>
      </c>
      <c r="J2917">
        <v>17</v>
      </c>
      <c r="K2917">
        <v>6</v>
      </c>
      <c r="L2917">
        <v>1</v>
      </c>
      <c r="M2917">
        <v>0</v>
      </c>
      <c r="N2917">
        <v>1</v>
      </c>
      <c r="O2917" t="s">
        <v>127</v>
      </c>
      <c r="P2917" t="s">
        <v>127</v>
      </c>
      <c r="Q2917" t="s">
        <v>127</v>
      </c>
    </row>
    <row r="2918" spans="1:17" x14ac:dyDescent="0.25">
      <c r="A2918" t="str">
        <f>IF(C2918&amp;G2918&amp;D2918&lt;&gt;'Funnel setup'!$K$3&amp;'Funnel setup'!$K$4&amp;'Funnel setup'!$K$6,".",IF(A2917=".",1,A2917+1))</f>
        <v>.</v>
      </c>
      <c r="B2918" s="244" t="str">
        <f t="shared" si="45"/>
        <v>Knee Replacement RevisionSub-ICB of GP PracticeNHS HAMPSHIRE AND ISLE OF WIGHT ICB - 10R (10R)Oxford Knee Score</v>
      </c>
      <c r="C2918" t="s">
        <v>973</v>
      </c>
      <c r="D2918" t="s">
        <v>1021</v>
      </c>
      <c r="E2918" t="s">
        <v>821</v>
      </c>
      <c r="F2918" t="s">
        <v>822</v>
      </c>
      <c r="G2918" t="s">
        <v>972</v>
      </c>
      <c r="H2918">
        <v>1</v>
      </c>
      <c r="I2918">
        <v>20</v>
      </c>
      <c r="J2918">
        <v>30</v>
      </c>
      <c r="K2918">
        <v>10</v>
      </c>
      <c r="L2918">
        <v>1</v>
      </c>
      <c r="M2918">
        <v>0</v>
      </c>
      <c r="N2918">
        <v>0</v>
      </c>
      <c r="O2918" t="s">
        <v>127</v>
      </c>
      <c r="P2918" t="s">
        <v>127</v>
      </c>
      <c r="Q2918" t="s">
        <v>127</v>
      </c>
    </row>
    <row r="2919" spans="1:17" x14ac:dyDescent="0.25">
      <c r="A2919" t="str">
        <f>IF(C2919&amp;G2919&amp;D2919&lt;&gt;'Funnel setup'!$K$3&amp;'Funnel setup'!$K$4&amp;'Funnel setup'!$K$6,".",IF(A2918=".",1,A2918+1))</f>
        <v>.</v>
      </c>
      <c r="B2919" s="244" t="str">
        <f t="shared" si="45"/>
        <v>Knee Replacement RevisionSub-ICB of GP PracticeNHS HAMPSHIRE AND ISLE OF WIGHT ICB - D9Y0V (D9Y0V)Oxford Knee Score</v>
      </c>
      <c r="C2919" t="s">
        <v>973</v>
      </c>
      <c r="D2919" t="s">
        <v>1021</v>
      </c>
      <c r="E2919" t="s">
        <v>823</v>
      </c>
      <c r="F2919" t="s">
        <v>824</v>
      </c>
      <c r="G2919" t="s">
        <v>972</v>
      </c>
      <c r="H2919">
        <v>29</v>
      </c>
      <c r="I2919">
        <v>17.4483</v>
      </c>
      <c r="J2919">
        <v>32.793100000000003</v>
      </c>
      <c r="K2919">
        <v>15.344799999999999</v>
      </c>
      <c r="L2919">
        <v>26</v>
      </c>
      <c r="M2919">
        <v>1</v>
      </c>
      <c r="N2919">
        <v>2</v>
      </c>
      <c r="O2919" t="s">
        <v>127</v>
      </c>
      <c r="P2919" t="s">
        <v>127</v>
      </c>
      <c r="Q2919" t="s">
        <v>127</v>
      </c>
    </row>
    <row r="2920" spans="1:17" x14ac:dyDescent="0.25">
      <c r="A2920" t="str">
        <f>IF(C2920&amp;G2920&amp;D2920&lt;&gt;'Funnel setup'!$K$3&amp;'Funnel setup'!$K$4&amp;'Funnel setup'!$K$6,".",IF(A2919=".",1,A2919+1))</f>
        <v>.</v>
      </c>
      <c r="B2920" s="244" t="str">
        <f t="shared" si="45"/>
        <v>Knee Replacement RevisionSub-ICB of GP PracticeNHS HEREFORDSHIRE AND WORCESTERSHIRE ICB - 18C (18C)Oxford Knee Score</v>
      </c>
      <c r="C2920" t="s">
        <v>973</v>
      </c>
      <c r="D2920" t="s">
        <v>1021</v>
      </c>
      <c r="E2920" t="s">
        <v>825</v>
      </c>
      <c r="F2920" t="s">
        <v>826</v>
      </c>
      <c r="G2920" t="s">
        <v>972</v>
      </c>
      <c r="H2920">
        <v>13</v>
      </c>
      <c r="I2920">
        <v>17.692299999999999</v>
      </c>
      <c r="J2920">
        <v>33.692300000000003</v>
      </c>
      <c r="K2920">
        <v>16</v>
      </c>
      <c r="L2920">
        <v>12</v>
      </c>
      <c r="M2920">
        <v>1</v>
      </c>
      <c r="N2920">
        <v>0</v>
      </c>
      <c r="O2920" t="s">
        <v>127</v>
      </c>
      <c r="P2920" t="s">
        <v>127</v>
      </c>
      <c r="Q2920" t="s">
        <v>127</v>
      </c>
    </row>
    <row r="2921" spans="1:17" x14ac:dyDescent="0.25">
      <c r="A2921" t="str">
        <f>IF(C2921&amp;G2921&amp;D2921&lt;&gt;'Funnel setup'!$K$3&amp;'Funnel setup'!$K$4&amp;'Funnel setup'!$K$6,".",IF(A2920=".",1,A2920+1))</f>
        <v>.</v>
      </c>
      <c r="B2921" s="244" t="str">
        <f t="shared" si="45"/>
        <v>Knee Replacement RevisionSub-ICB of GP PracticeNHS HERTFORDSHIRE AND WEST ESSEX ICB - 06K (06K)Oxford Knee Score</v>
      </c>
      <c r="C2921" t="s">
        <v>973</v>
      </c>
      <c r="D2921" t="s">
        <v>1021</v>
      </c>
      <c r="E2921" t="s">
        <v>827</v>
      </c>
      <c r="F2921" t="s">
        <v>828</v>
      </c>
      <c r="G2921" t="s">
        <v>972</v>
      </c>
      <c r="H2921">
        <v>3</v>
      </c>
      <c r="I2921">
        <v>18.666699999999999</v>
      </c>
      <c r="J2921">
        <v>40.333300000000001</v>
      </c>
      <c r="K2921">
        <v>21.666699999999999</v>
      </c>
      <c r="L2921">
        <v>3</v>
      </c>
      <c r="M2921">
        <v>0</v>
      </c>
      <c r="N2921">
        <v>0</v>
      </c>
      <c r="O2921" t="s">
        <v>127</v>
      </c>
      <c r="P2921" t="s">
        <v>127</v>
      </c>
      <c r="Q2921" t="s">
        <v>127</v>
      </c>
    </row>
    <row r="2922" spans="1:17" x14ac:dyDescent="0.25">
      <c r="A2922" t="str">
        <f>IF(C2922&amp;G2922&amp;D2922&lt;&gt;'Funnel setup'!$K$3&amp;'Funnel setup'!$K$4&amp;'Funnel setup'!$K$6,".",IF(A2921=".",1,A2921+1))</f>
        <v>.</v>
      </c>
      <c r="B2922" s="244" t="str">
        <f t="shared" si="45"/>
        <v>Knee Replacement RevisionSub-ICB of GP PracticeNHS HERTFORDSHIRE AND WEST ESSEX ICB - 06N (06N)Oxford Knee Score</v>
      </c>
      <c r="C2922" t="s">
        <v>973</v>
      </c>
      <c r="D2922" t="s">
        <v>1021</v>
      </c>
      <c r="E2922" t="s">
        <v>829</v>
      </c>
      <c r="F2922" t="s">
        <v>830</v>
      </c>
      <c r="G2922" t="s">
        <v>972</v>
      </c>
      <c r="H2922">
        <v>11</v>
      </c>
      <c r="I2922">
        <v>15.0909</v>
      </c>
      <c r="J2922">
        <v>25.636399999999998</v>
      </c>
      <c r="K2922">
        <v>10.545500000000001</v>
      </c>
      <c r="L2922">
        <v>9</v>
      </c>
      <c r="M2922">
        <v>1</v>
      </c>
      <c r="N2922">
        <v>1</v>
      </c>
      <c r="O2922" t="s">
        <v>127</v>
      </c>
      <c r="P2922" t="s">
        <v>127</v>
      </c>
      <c r="Q2922" t="s">
        <v>127</v>
      </c>
    </row>
    <row r="2923" spans="1:17" x14ac:dyDescent="0.25">
      <c r="A2923" t="str">
        <f>IF(C2923&amp;G2923&amp;D2923&lt;&gt;'Funnel setup'!$K$3&amp;'Funnel setup'!$K$4&amp;'Funnel setup'!$K$6,".",IF(A2922=".",1,A2922+1))</f>
        <v>.</v>
      </c>
      <c r="B2923" s="244" t="str">
        <f t="shared" si="45"/>
        <v>Knee Replacement RevisionSub-ICB of GP PracticeNHS HERTFORDSHIRE AND WEST ESSEX ICB - 07H (07H)Oxford Knee Score</v>
      </c>
      <c r="C2923" t="s">
        <v>973</v>
      </c>
      <c r="D2923" t="s">
        <v>1021</v>
      </c>
      <c r="E2923" t="s">
        <v>831</v>
      </c>
      <c r="F2923" t="s">
        <v>832</v>
      </c>
      <c r="G2923" t="s">
        <v>972</v>
      </c>
      <c r="H2923">
        <v>1</v>
      </c>
      <c r="I2923">
        <v>6</v>
      </c>
      <c r="J2923">
        <v>19</v>
      </c>
      <c r="K2923">
        <v>13</v>
      </c>
      <c r="L2923">
        <v>1</v>
      </c>
      <c r="M2923">
        <v>0</v>
      </c>
      <c r="N2923">
        <v>0</v>
      </c>
      <c r="O2923" t="s">
        <v>127</v>
      </c>
      <c r="P2923" t="s">
        <v>127</v>
      </c>
      <c r="Q2923" t="s">
        <v>127</v>
      </c>
    </row>
    <row r="2924" spans="1:17" x14ac:dyDescent="0.25">
      <c r="A2924" t="str">
        <f>IF(C2924&amp;G2924&amp;D2924&lt;&gt;'Funnel setup'!$K$3&amp;'Funnel setup'!$K$4&amp;'Funnel setup'!$K$6,".",IF(A2923=".",1,A2923+1))</f>
        <v>.</v>
      </c>
      <c r="B2924" s="244" t="str">
        <f t="shared" si="45"/>
        <v>Knee Replacement RevisionSub-ICB of GP PracticeNHS HUMBER AND NORTH YORKSHIRE ICB - 02Y (02Y)Oxford Knee Score</v>
      </c>
      <c r="C2924" t="s">
        <v>973</v>
      </c>
      <c r="D2924" t="s">
        <v>1021</v>
      </c>
      <c r="E2924" t="s">
        <v>833</v>
      </c>
      <c r="F2924" t="s">
        <v>834</v>
      </c>
      <c r="G2924" t="s">
        <v>972</v>
      </c>
      <c r="H2924">
        <v>3</v>
      </c>
      <c r="I2924">
        <v>19.333300000000001</v>
      </c>
      <c r="J2924">
        <v>20.333300000000001</v>
      </c>
      <c r="K2924">
        <v>1</v>
      </c>
      <c r="L2924">
        <v>2</v>
      </c>
      <c r="M2924">
        <v>0</v>
      </c>
      <c r="N2924">
        <v>1</v>
      </c>
      <c r="O2924" t="s">
        <v>127</v>
      </c>
      <c r="P2924" t="s">
        <v>127</v>
      </c>
      <c r="Q2924" t="s">
        <v>127</v>
      </c>
    </row>
    <row r="2925" spans="1:17" x14ac:dyDescent="0.25">
      <c r="A2925" t="str">
        <f>IF(C2925&amp;G2925&amp;D2925&lt;&gt;'Funnel setup'!$K$3&amp;'Funnel setup'!$K$4&amp;'Funnel setup'!$K$6,".",IF(A2924=".",1,A2924+1))</f>
        <v>.</v>
      </c>
      <c r="B2925" s="244" t="str">
        <f t="shared" si="45"/>
        <v>Knee Replacement RevisionSub-ICB of GP PracticeNHS HUMBER AND NORTH YORKSHIRE ICB - 03F (03F)Oxford Knee Score</v>
      </c>
      <c r="C2925" t="s">
        <v>973</v>
      </c>
      <c r="D2925" t="s">
        <v>1021</v>
      </c>
      <c r="E2925" t="s">
        <v>835</v>
      </c>
      <c r="F2925" t="s">
        <v>836</v>
      </c>
      <c r="G2925" t="s">
        <v>972</v>
      </c>
      <c r="H2925">
        <v>1</v>
      </c>
      <c r="I2925">
        <v>10</v>
      </c>
      <c r="J2925">
        <v>11</v>
      </c>
      <c r="K2925">
        <v>1</v>
      </c>
      <c r="L2925">
        <v>1</v>
      </c>
      <c r="M2925">
        <v>0</v>
      </c>
      <c r="N2925">
        <v>0</v>
      </c>
      <c r="O2925" t="s">
        <v>127</v>
      </c>
      <c r="P2925" t="s">
        <v>127</v>
      </c>
      <c r="Q2925" t="s">
        <v>127</v>
      </c>
    </row>
    <row r="2926" spans="1:17" x14ac:dyDescent="0.25">
      <c r="A2926" t="str">
        <f>IF(C2926&amp;G2926&amp;D2926&lt;&gt;'Funnel setup'!$K$3&amp;'Funnel setup'!$K$4&amp;'Funnel setup'!$K$6,".",IF(A2925=".",1,A2925+1))</f>
        <v>.</v>
      </c>
      <c r="B2926" s="244" t="str">
        <f t="shared" si="45"/>
        <v>Knee Replacement RevisionSub-ICB of GP PracticeNHS HUMBER AND NORTH YORKSHIRE ICB - 03H (03H)Oxford Knee Score</v>
      </c>
      <c r="C2926" t="s">
        <v>973</v>
      </c>
      <c r="D2926" t="s">
        <v>1021</v>
      </c>
      <c r="E2926" t="s">
        <v>837</v>
      </c>
      <c r="F2926" t="s">
        <v>838</v>
      </c>
      <c r="G2926" t="s">
        <v>972</v>
      </c>
      <c r="H2926">
        <v>2</v>
      </c>
      <c r="I2926">
        <v>13</v>
      </c>
      <c r="J2926">
        <v>28</v>
      </c>
      <c r="K2926">
        <v>15</v>
      </c>
      <c r="L2926">
        <v>2</v>
      </c>
      <c r="M2926">
        <v>0</v>
      </c>
      <c r="N2926">
        <v>0</v>
      </c>
      <c r="O2926" t="s">
        <v>127</v>
      </c>
      <c r="P2926" t="s">
        <v>127</v>
      </c>
      <c r="Q2926" t="s">
        <v>127</v>
      </c>
    </row>
    <row r="2927" spans="1:17" x14ac:dyDescent="0.25">
      <c r="A2927" t="str">
        <f>IF(C2927&amp;G2927&amp;D2927&lt;&gt;'Funnel setup'!$K$3&amp;'Funnel setup'!$K$4&amp;'Funnel setup'!$K$6,".",IF(A2926=".",1,A2926+1))</f>
        <v>.</v>
      </c>
      <c r="B2927" s="244" t="str">
        <f t="shared" si="45"/>
        <v>Knee Replacement RevisionSub-ICB of GP PracticeNHS HUMBER AND NORTH YORKSHIRE ICB - 03K (03K)Oxford Knee Score</v>
      </c>
      <c r="C2927" t="s">
        <v>973</v>
      </c>
      <c r="D2927" t="s">
        <v>1021</v>
      </c>
      <c r="E2927" t="s">
        <v>839</v>
      </c>
      <c r="F2927" t="s">
        <v>840</v>
      </c>
      <c r="G2927" t="s">
        <v>972</v>
      </c>
      <c r="H2927">
        <v>3</v>
      </c>
      <c r="I2927">
        <v>17.333300000000001</v>
      </c>
      <c r="J2927">
        <v>25.333300000000001</v>
      </c>
      <c r="K2927">
        <v>8</v>
      </c>
      <c r="L2927">
        <v>3</v>
      </c>
      <c r="M2927">
        <v>0</v>
      </c>
      <c r="N2927">
        <v>0</v>
      </c>
      <c r="O2927" t="s">
        <v>127</v>
      </c>
      <c r="P2927" t="s">
        <v>127</v>
      </c>
      <c r="Q2927" t="s">
        <v>127</v>
      </c>
    </row>
    <row r="2928" spans="1:17" x14ac:dyDescent="0.25">
      <c r="A2928" t="str">
        <f>IF(C2928&amp;G2928&amp;D2928&lt;&gt;'Funnel setup'!$K$3&amp;'Funnel setup'!$K$4&amp;'Funnel setup'!$K$6,".",IF(A2927=".",1,A2927+1))</f>
        <v>.</v>
      </c>
      <c r="B2928" s="244" t="str">
        <f t="shared" si="45"/>
        <v>Knee Replacement RevisionSub-ICB of GP PracticeNHS HUMBER AND NORTH YORKSHIRE ICB - 03Q (03Q)Oxford Knee Score</v>
      </c>
      <c r="C2928" t="s">
        <v>973</v>
      </c>
      <c r="D2928" t="s">
        <v>1021</v>
      </c>
      <c r="E2928" t="s">
        <v>841</v>
      </c>
      <c r="F2928" t="s">
        <v>842</v>
      </c>
      <c r="G2928" t="s">
        <v>972</v>
      </c>
      <c r="H2928">
        <v>9</v>
      </c>
      <c r="I2928">
        <v>21.1111</v>
      </c>
      <c r="J2928">
        <v>36</v>
      </c>
      <c r="K2928">
        <v>14.8889</v>
      </c>
      <c r="L2928">
        <v>8</v>
      </c>
      <c r="M2928">
        <v>0</v>
      </c>
      <c r="N2928">
        <v>1</v>
      </c>
      <c r="O2928" t="s">
        <v>127</v>
      </c>
      <c r="P2928" t="s">
        <v>127</v>
      </c>
      <c r="Q2928" t="s">
        <v>127</v>
      </c>
    </row>
    <row r="2929" spans="1:17" x14ac:dyDescent="0.25">
      <c r="A2929" t="str">
        <f>IF(C2929&amp;G2929&amp;D2929&lt;&gt;'Funnel setup'!$K$3&amp;'Funnel setup'!$K$4&amp;'Funnel setup'!$K$6,".",IF(A2928=".",1,A2928+1))</f>
        <v>.</v>
      </c>
      <c r="B2929" s="244" t="str">
        <f t="shared" si="45"/>
        <v>Knee Replacement RevisionSub-ICB of GP PracticeNHS HUMBER AND NORTH YORKSHIRE ICB - 42D (42D)Oxford Knee Score</v>
      </c>
      <c r="C2929" t="s">
        <v>973</v>
      </c>
      <c r="D2929" t="s">
        <v>1021</v>
      </c>
      <c r="E2929" t="s">
        <v>843</v>
      </c>
      <c r="F2929" t="s">
        <v>844</v>
      </c>
      <c r="G2929" t="s">
        <v>972</v>
      </c>
      <c r="H2929">
        <v>11</v>
      </c>
      <c r="I2929">
        <v>16.454499999999999</v>
      </c>
      <c r="J2929">
        <v>31.636399999999998</v>
      </c>
      <c r="K2929">
        <v>15.181800000000001</v>
      </c>
      <c r="L2929">
        <v>10</v>
      </c>
      <c r="M2929">
        <v>0</v>
      </c>
      <c r="N2929">
        <v>1</v>
      </c>
      <c r="O2929" t="s">
        <v>127</v>
      </c>
      <c r="P2929" t="s">
        <v>127</v>
      </c>
      <c r="Q2929" t="s">
        <v>127</v>
      </c>
    </row>
    <row r="2930" spans="1:17" x14ac:dyDescent="0.25">
      <c r="A2930" t="str">
        <f>IF(C2930&amp;G2930&amp;D2930&lt;&gt;'Funnel setup'!$K$3&amp;'Funnel setup'!$K$4&amp;'Funnel setup'!$K$6,".",IF(A2929=".",1,A2929+1))</f>
        <v>.</v>
      </c>
      <c r="B2930" s="244" t="str">
        <f t="shared" si="45"/>
        <v>Knee Replacement RevisionSub-ICB of GP PracticeNHS KENT AND MEDWAY ICB - 91Q (91Q)Oxford Knee Score</v>
      </c>
      <c r="C2930" t="s">
        <v>973</v>
      </c>
      <c r="D2930" t="s">
        <v>1021</v>
      </c>
      <c r="E2930" t="s">
        <v>845</v>
      </c>
      <c r="F2930" t="s">
        <v>846</v>
      </c>
      <c r="G2930" t="s">
        <v>972</v>
      </c>
      <c r="H2930">
        <v>17</v>
      </c>
      <c r="I2930">
        <v>16.411799999999999</v>
      </c>
      <c r="J2930">
        <v>31.823499999999999</v>
      </c>
      <c r="K2930">
        <v>15.411799999999999</v>
      </c>
      <c r="L2930">
        <v>14</v>
      </c>
      <c r="M2930">
        <v>0</v>
      </c>
      <c r="N2930">
        <v>3</v>
      </c>
      <c r="O2930" t="s">
        <v>127</v>
      </c>
      <c r="P2930" t="s">
        <v>127</v>
      </c>
      <c r="Q2930" t="s">
        <v>127</v>
      </c>
    </row>
    <row r="2931" spans="1:17" x14ac:dyDescent="0.25">
      <c r="A2931" t="str">
        <f>IF(C2931&amp;G2931&amp;D2931&lt;&gt;'Funnel setup'!$K$3&amp;'Funnel setup'!$K$4&amp;'Funnel setup'!$K$6,".",IF(A2930=".",1,A2930+1))</f>
        <v>.</v>
      </c>
      <c r="B2931" s="244" t="str">
        <f t="shared" si="45"/>
        <v>Knee Replacement RevisionSub-ICB of GP PracticeNHS LANCASHIRE AND SOUTH CUMBRIA ICB - 00Q (00Q)Oxford Knee Score</v>
      </c>
      <c r="C2931" t="s">
        <v>973</v>
      </c>
      <c r="D2931" t="s">
        <v>1021</v>
      </c>
      <c r="E2931" t="s">
        <v>847</v>
      </c>
      <c r="F2931" t="s">
        <v>848</v>
      </c>
      <c r="G2931" t="s">
        <v>972</v>
      </c>
      <c r="H2931">
        <v>2</v>
      </c>
      <c r="I2931">
        <v>16.5</v>
      </c>
      <c r="J2931">
        <v>17.5</v>
      </c>
      <c r="K2931">
        <v>1</v>
      </c>
      <c r="L2931">
        <v>1</v>
      </c>
      <c r="M2931">
        <v>0</v>
      </c>
      <c r="N2931">
        <v>1</v>
      </c>
      <c r="O2931" t="s">
        <v>127</v>
      </c>
      <c r="P2931" t="s">
        <v>127</v>
      </c>
      <c r="Q2931" t="s">
        <v>127</v>
      </c>
    </row>
    <row r="2932" spans="1:17" x14ac:dyDescent="0.25">
      <c r="A2932" t="str">
        <f>IF(C2932&amp;G2932&amp;D2932&lt;&gt;'Funnel setup'!$K$3&amp;'Funnel setup'!$K$4&amp;'Funnel setup'!$K$6,".",IF(A2931=".",1,A2931+1))</f>
        <v>.</v>
      </c>
      <c r="B2932" s="244" t="str">
        <f t="shared" si="45"/>
        <v>Knee Replacement RevisionSub-ICB of GP PracticeNHS LANCASHIRE AND SOUTH CUMBRIA ICB - 00R (00R)Oxford Knee Score</v>
      </c>
      <c r="C2932" t="s">
        <v>973</v>
      </c>
      <c r="D2932" t="s">
        <v>1021</v>
      </c>
      <c r="E2932" t="s">
        <v>849</v>
      </c>
      <c r="F2932" t="s">
        <v>850</v>
      </c>
      <c r="G2932" t="s">
        <v>972</v>
      </c>
      <c r="H2932">
        <v>1</v>
      </c>
      <c r="I2932">
        <v>10</v>
      </c>
      <c r="J2932">
        <v>29</v>
      </c>
      <c r="K2932">
        <v>19</v>
      </c>
      <c r="L2932">
        <v>1</v>
      </c>
      <c r="M2932">
        <v>0</v>
      </c>
      <c r="N2932">
        <v>0</v>
      </c>
      <c r="O2932" t="s">
        <v>127</v>
      </c>
      <c r="P2932" t="s">
        <v>127</v>
      </c>
      <c r="Q2932" t="s">
        <v>127</v>
      </c>
    </row>
    <row r="2933" spans="1:17" x14ac:dyDescent="0.25">
      <c r="A2933" t="str">
        <f>IF(C2933&amp;G2933&amp;D2933&lt;&gt;'Funnel setup'!$K$3&amp;'Funnel setup'!$K$4&amp;'Funnel setup'!$K$6,".",IF(A2932=".",1,A2932+1))</f>
        <v>.</v>
      </c>
      <c r="B2933" s="244" t="str">
        <f t="shared" si="45"/>
        <v>Knee Replacement RevisionSub-ICB of GP PracticeNHS LANCASHIRE AND SOUTH CUMBRIA ICB - 00X (00X)Oxford Knee Score</v>
      </c>
      <c r="C2933" t="s">
        <v>973</v>
      </c>
      <c r="D2933" t="s">
        <v>1021</v>
      </c>
      <c r="E2933" t="s">
        <v>851</v>
      </c>
      <c r="F2933" t="s">
        <v>852</v>
      </c>
      <c r="G2933" t="s">
        <v>972</v>
      </c>
      <c r="H2933">
        <v>4</v>
      </c>
      <c r="I2933">
        <v>20.5</v>
      </c>
      <c r="J2933">
        <v>35.25</v>
      </c>
      <c r="K2933">
        <v>14.75</v>
      </c>
      <c r="L2933">
        <v>3</v>
      </c>
      <c r="M2933">
        <v>0</v>
      </c>
      <c r="N2933">
        <v>1</v>
      </c>
      <c r="O2933" t="s">
        <v>127</v>
      </c>
      <c r="P2933" t="s">
        <v>127</v>
      </c>
      <c r="Q2933" t="s">
        <v>127</v>
      </c>
    </row>
    <row r="2934" spans="1:17" x14ac:dyDescent="0.25">
      <c r="A2934" t="str">
        <f>IF(C2934&amp;G2934&amp;D2934&lt;&gt;'Funnel setup'!$K$3&amp;'Funnel setup'!$K$4&amp;'Funnel setup'!$K$6,".",IF(A2933=".",1,A2933+1))</f>
        <v>.</v>
      </c>
      <c r="B2934" s="244" t="str">
        <f t="shared" si="45"/>
        <v>Knee Replacement RevisionSub-ICB of GP PracticeNHS LANCASHIRE AND SOUTH CUMBRIA ICB - 01A (01A)Oxford Knee Score</v>
      </c>
      <c r="C2934" t="s">
        <v>973</v>
      </c>
      <c r="D2934" t="s">
        <v>1021</v>
      </c>
      <c r="E2934" t="s">
        <v>853</v>
      </c>
      <c r="F2934" t="s">
        <v>854</v>
      </c>
      <c r="G2934" t="s">
        <v>972</v>
      </c>
      <c r="H2934">
        <v>4</v>
      </c>
      <c r="I2934">
        <v>20</v>
      </c>
      <c r="J2934">
        <v>33.25</v>
      </c>
      <c r="K2934">
        <v>13.25</v>
      </c>
      <c r="L2934">
        <v>4</v>
      </c>
      <c r="M2934">
        <v>0</v>
      </c>
      <c r="N2934">
        <v>0</v>
      </c>
      <c r="O2934" t="s">
        <v>127</v>
      </c>
      <c r="P2934" t="s">
        <v>127</v>
      </c>
      <c r="Q2934" t="s">
        <v>127</v>
      </c>
    </row>
    <row r="2935" spans="1:17" x14ac:dyDescent="0.25">
      <c r="A2935" t="str">
        <f>IF(C2935&amp;G2935&amp;D2935&lt;&gt;'Funnel setup'!$K$3&amp;'Funnel setup'!$K$4&amp;'Funnel setup'!$K$6,".",IF(A2934=".",1,A2934+1))</f>
        <v>.</v>
      </c>
      <c r="B2935" s="244" t="str">
        <f t="shared" si="45"/>
        <v>Knee Replacement RevisionSub-ICB of GP PracticeNHS LANCASHIRE AND SOUTH CUMBRIA ICB - 01E (01E)Oxford Knee Score</v>
      </c>
      <c r="C2935" t="s">
        <v>973</v>
      </c>
      <c r="D2935" t="s">
        <v>1021</v>
      </c>
      <c r="E2935" t="s">
        <v>855</v>
      </c>
      <c r="F2935" t="s">
        <v>856</v>
      </c>
      <c r="G2935" t="s">
        <v>972</v>
      </c>
      <c r="H2935">
        <v>2</v>
      </c>
      <c r="I2935">
        <v>25</v>
      </c>
      <c r="J2935">
        <v>44.5</v>
      </c>
      <c r="K2935">
        <v>19.5</v>
      </c>
      <c r="L2935">
        <v>2</v>
      </c>
      <c r="M2935">
        <v>0</v>
      </c>
      <c r="N2935">
        <v>0</v>
      </c>
      <c r="O2935" t="s">
        <v>127</v>
      </c>
      <c r="P2935" t="s">
        <v>127</v>
      </c>
      <c r="Q2935" t="s">
        <v>127</v>
      </c>
    </row>
    <row r="2936" spans="1:17" x14ac:dyDescent="0.25">
      <c r="A2936" t="str">
        <f>IF(C2936&amp;G2936&amp;D2936&lt;&gt;'Funnel setup'!$K$3&amp;'Funnel setup'!$K$4&amp;'Funnel setup'!$K$6,".",IF(A2935=".",1,A2935+1))</f>
        <v>.</v>
      </c>
      <c r="B2936" s="244" t="str">
        <f t="shared" si="45"/>
        <v>Knee Replacement RevisionSub-ICB of GP PracticeNHS LANCASHIRE AND SOUTH CUMBRIA ICB - 01K (01K)Oxford Knee Score</v>
      </c>
      <c r="C2936" t="s">
        <v>973</v>
      </c>
      <c r="D2936" t="s">
        <v>1021</v>
      </c>
      <c r="E2936" t="s">
        <v>857</v>
      </c>
      <c r="F2936" t="s">
        <v>858</v>
      </c>
      <c r="G2936" t="s">
        <v>972</v>
      </c>
      <c r="H2936">
        <v>3</v>
      </c>
      <c r="I2936">
        <v>14</v>
      </c>
      <c r="J2936">
        <v>32.666699999999999</v>
      </c>
      <c r="K2936">
        <v>18.666699999999999</v>
      </c>
      <c r="L2936">
        <v>3</v>
      </c>
      <c r="M2936">
        <v>0</v>
      </c>
      <c r="N2936">
        <v>0</v>
      </c>
      <c r="O2936" t="s">
        <v>127</v>
      </c>
      <c r="P2936" t="s">
        <v>127</v>
      </c>
      <c r="Q2936" t="s">
        <v>127</v>
      </c>
    </row>
    <row r="2937" spans="1:17" x14ac:dyDescent="0.25">
      <c r="A2937" t="str">
        <f>IF(C2937&amp;G2937&amp;D2937&lt;&gt;'Funnel setup'!$K$3&amp;'Funnel setup'!$K$4&amp;'Funnel setup'!$K$6,".",IF(A2936=".",1,A2936+1))</f>
        <v>.</v>
      </c>
      <c r="B2937" s="244" t="str">
        <f t="shared" si="45"/>
        <v>Knee Replacement RevisionSub-ICB of GP PracticeNHS LANCASHIRE AND SOUTH CUMBRIA ICB - 02M (02M)Oxford Knee Score</v>
      </c>
      <c r="C2937" t="s">
        <v>973</v>
      </c>
      <c r="D2937" t="s">
        <v>1021</v>
      </c>
      <c r="E2937" t="s">
        <v>861</v>
      </c>
      <c r="F2937" t="s">
        <v>862</v>
      </c>
      <c r="G2937" t="s">
        <v>972</v>
      </c>
      <c r="H2937">
        <v>1</v>
      </c>
      <c r="I2937">
        <v>14</v>
      </c>
      <c r="J2937">
        <v>23</v>
      </c>
      <c r="K2937">
        <v>9</v>
      </c>
      <c r="L2937">
        <v>1</v>
      </c>
      <c r="M2937">
        <v>0</v>
      </c>
      <c r="N2937">
        <v>0</v>
      </c>
      <c r="O2937" t="s">
        <v>127</v>
      </c>
      <c r="P2937" t="s">
        <v>127</v>
      </c>
      <c r="Q2937" t="s">
        <v>127</v>
      </c>
    </row>
    <row r="2938" spans="1:17" x14ac:dyDescent="0.25">
      <c r="A2938" t="str">
        <f>IF(C2938&amp;G2938&amp;D2938&lt;&gt;'Funnel setup'!$K$3&amp;'Funnel setup'!$K$4&amp;'Funnel setup'!$K$6,".",IF(A2937=".",1,A2937+1))</f>
        <v>.</v>
      </c>
      <c r="B2938" s="244" t="str">
        <f t="shared" si="45"/>
        <v>Knee Replacement RevisionSub-ICB of GP PracticeNHS LEICESTER, LEICESTERSHIRE AND RUTLAND ICB - 03W (03W)Oxford Knee Score</v>
      </c>
      <c r="C2938" t="s">
        <v>973</v>
      </c>
      <c r="D2938" t="s">
        <v>1021</v>
      </c>
      <c r="E2938" t="s">
        <v>863</v>
      </c>
      <c r="F2938" t="s">
        <v>864</v>
      </c>
      <c r="G2938" t="s">
        <v>972</v>
      </c>
      <c r="H2938">
        <v>5</v>
      </c>
      <c r="I2938">
        <v>15.4</v>
      </c>
      <c r="J2938">
        <v>25.8</v>
      </c>
      <c r="K2938">
        <v>10.4</v>
      </c>
      <c r="L2938">
        <v>4</v>
      </c>
      <c r="M2938">
        <v>0</v>
      </c>
      <c r="N2938">
        <v>1</v>
      </c>
      <c r="O2938" t="s">
        <v>127</v>
      </c>
      <c r="P2938" t="s">
        <v>127</v>
      </c>
      <c r="Q2938" t="s">
        <v>127</v>
      </c>
    </row>
    <row r="2939" spans="1:17" x14ac:dyDescent="0.25">
      <c r="A2939" t="str">
        <f>IF(C2939&amp;G2939&amp;D2939&lt;&gt;'Funnel setup'!$K$3&amp;'Funnel setup'!$K$4&amp;'Funnel setup'!$K$6,".",IF(A2938=".",1,A2938+1))</f>
        <v>.</v>
      </c>
      <c r="B2939" s="244" t="str">
        <f t="shared" si="45"/>
        <v>Knee Replacement RevisionSub-ICB of GP PracticeNHS LEICESTER, LEICESTERSHIRE AND RUTLAND ICB - 04C (04C)Oxford Knee Score</v>
      </c>
      <c r="C2939" t="s">
        <v>973</v>
      </c>
      <c r="D2939" t="s">
        <v>1021</v>
      </c>
      <c r="E2939" t="s">
        <v>865</v>
      </c>
      <c r="F2939" t="s">
        <v>866</v>
      </c>
      <c r="G2939" t="s">
        <v>972</v>
      </c>
      <c r="H2939">
        <v>1</v>
      </c>
      <c r="I2939">
        <v>16</v>
      </c>
      <c r="J2939">
        <v>15</v>
      </c>
      <c r="K2939">
        <v>-1</v>
      </c>
      <c r="L2939">
        <v>0</v>
      </c>
      <c r="M2939">
        <v>0</v>
      </c>
      <c r="N2939">
        <v>1</v>
      </c>
      <c r="O2939" t="s">
        <v>127</v>
      </c>
      <c r="P2939" t="s">
        <v>127</v>
      </c>
      <c r="Q2939" t="s">
        <v>127</v>
      </c>
    </row>
    <row r="2940" spans="1:17" x14ac:dyDescent="0.25">
      <c r="A2940" t="str">
        <f>IF(C2940&amp;G2940&amp;D2940&lt;&gt;'Funnel setup'!$K$3&amp;'Funnel setup'!$K$4&amp;'Funnel setup'!$K$6,".",IF(A2939=".",1,A2939+1))</f>
        <v>.</v>
      </c>
      <c r="B2940" s="244" t="str">
        <f t="shared" si="45"/>
        <v>Knee Replacement RevisionSub-ICB of GP PracticeNHS LEICESTER, LEICESTERSHIRE AND RUTLAND ICB - 04V (04V)Oxford Knee Score</v>
      </c>
      <c r="C2940" t="s">
        <v>973</v>
      </c>
      <c r="D2940" t="s">
        <v>1021</v>
      </c>
      <c r="E2940" t="s">
        <v>867</v>
      </c>
      <c r="F2940" t="s">
        <v>868</v>
      </c>
      <c r="G2940" t="s">
        <v>972</v>
      </c>
      <c r="H2940">
        <v>10</v>
      </c>
      <c r="I2940">
        <v>15.3</v>
      </c>
      <c r="J2940">
        <v>26.6</v>
      </c>
      <c r="K2940">
        <v>11.3</v>
      </c>
      <c r="L2940">
        <v>7</v>
      </c>
      <c r="M2940">
        <v>1</v>
      </c>
      <c r="N2940">
        <v>2</v>
      </c>
      <c r="O2940" t="s">
        <v>127</v>
      </c>
      <c r="P2940" t="s">
        <v>127</v>
      </c>
      <c r="Q2940" t="s">
        <v>127</v>
      </c>
    </row>
    <row r="2941" spans="1:17" x14ac:dyDescent="0.25">
      <c r="A2941" t="str">
        <f>IF(C2941&amp;G2941&amp;D2941&lt;&gt;'Funnel setup'!$K$3&amp;'Funnel setup'!$K$4&amp;'Funnel setup'!$K$6,".",IF(A2940=".",1,A2940+1))</f>
        <v>.</v>
      </c>
      <c r="B2941" s="244" t="str">
        <f t="shared" si="45"/>
        <v>Knee Replacement RevisionSub-ICB of GP PracticeNHS LINCOLNSHIRE ICB - 71E (71E)Oxford Knee Score</v>
      </c>
      <c r="C2941" t="s">
        <v>973</v>
      </c>
      <c r="D2941" t="s">
        <v>1021</v>
      </c>
      <c r="E2941" t="s">
        <v>869</v>
      </c>
      <c r="F2941" t="s">
        <v>870</v>
      </c>
      <c r="G2941" t="s">
        <v>972</v>
      </c>
      <c r="H2941">
        <v>6</v>
      </c>
      <c r="I2941">
        <v>15.166700000000001</v>
      </c>
      <c r="J2941">
        <v>35.666699999999999</v>
      </c>
      <c r="K2941">
        <v>20.5</v>
      </c>
      <c r="L2941">
        <v>6</v>
      </c>
      <c r="M2941">
        <v>0</v>
      </c>
      <c r="N2941">
        <v>0</v>
      </c>
      <c r="O2941" t="s">
        <v>127</v>
      </c>
      <c r="P2941" t="s">
        <v>127</v>
      </c>
      <c r="Q2941" t="s">
        <v>127</v>
      </c>
    </row>
    <row r="2942" spans="1:17" x14ac:dyDescent="0.25">
      <c r="A2942" t="str">
        <f>IF(C2942&amp;G2942&amp;D2942&lt;&gt;'Funnel setup'!$K$3&amp;'Funnel setup'!$K$4&amp;'Funnel setup'!$K$6,".",IF(A2941=".",1,A2941+1))</f>
        <v>.</v>
      </c>
      <c r="B2942" s="244" t="str">
        <f t="shared" si="45"/>
        <v>Knee Replacement RevisionSub-ICB of GP PracticeNHS MID AND SOUTH ESSEX ICB - 06Q (06Q)Oxford Knee Score</v>
      </c>
      <c r="C2942" t="s">
        <v>973</v>
      </c>
      <c r="D2942" t="s">
        <v>1021</v>
      </c>
      <c r="E2942" t="s">
        <v>871</v>
      </c>
      <c r="F2942" t="s">
        <v>872</v>
      </c>
      <c r="G2942" t="s">
        <v>972</v>
      </c>
      <c r="H2942">
        <v>3</v>
      </c>
      <c r="I2942">
        <v>11.333299999999999</v>
      </c>
      <c r="J2942">
        <v>38</v>
      </c>
      <c r="K2942">
        <v>26.666699999999999</v>
      </c>
      <c r="L2942">
        <v>3</v>
      </c>
      <c r="M2942">
        <v>0</v>
      </c>
      <c r="N2942">
        <v>0</v>
      </c>
      <c r="O2942" t="s">
        <v>127</v>
      </c>
      <c r="P2942" t="s">
        <v>127</v>
      </c>
      <c r="Q2942" t="s">
        <v>127</v>
      </c>
    </row>
    <row r="2943" spans="1:17" x14ac:dyDescent="0.25">
      <c r="A2943" t="str">
        <f>IF(C2943&amp;G2943&amp;D2943&lt;&gt;'Funnel setup'!$K$3&amp;'Funnel setup'!$K$4&amp;'Funnel setup'!$K$6,".",IF(A2942=".",1,A2942+1))</f>
        <v>.</v>
      </c>
      <c r="B2943" s="244" t="str">
        <f t="shared" si="45"/>
        <v>Knee Replacement RevisionSub-ICB of GP PracticeNHS MID AND SOUTH ESSEX ICB - 99F (99F)Oxford Knee Score</v>
      </c>
      <c r="C2943" t="s">
        <v>973</v>
      </c>
      <c r="D2943" t="s">
        <v>1021</v>
      </c>
      <c r="E2943" t="s">
        <v>877</v>
      </c>
      <c r="F2943" t="s">
        <v>878</v>
      </c>
      <c r="G2943" t="s">
        <v>972</v>
      </c>
      <c r="H2943">
        <v>1</v>
      </c>
      <c r="I2943">
        <v>12</v>
      </c>
      <c r="J2943">
        <v>22</v>
      </c>
      <c r="K2943">
        <v>10</v>
      </c>
      <c r="L2943">
        <v>1</v>
      </c>
      <c r="M2943">
        <v>0</v>
      </c>
      <c r="N2943">
        <v>0</v>
      </c>
      <c r="O2943" t="s">
        <v>127</v>
      </c>
      <c r="P2943" t="s">
        <v>127</v>
      </c>
      <c r="Q2943" t="s">
        <v>127</v>
      </c>
    </row>
    <row r="2944" spans="1:17" x14ac:dyDescent="0.25">
      <c r="A2944" t="str">
        <f>IF(C2944&amp;G2944&amp;D2944&lt;&gt;'Funnel setup'!$K$3&amp;'Funnel setup'!$K$4&amp;'Funnel setup'!$K$6,".",IF(A2943=".",1,A2943+1))</f>
        <v>.</v>
      </c>
      <c r="B2944" s="244" t="str">
        <f t="shared" si="45"/>
        <v>Knee Replacement RevisionSub-ICB of GP PracticeNHS NORFOLK AND WAVENEY ICB - 26A (26A)Oxford Knee Score</v>
      </c>
      <c r="C2944" t="s">
        <v>973</v>
      </c>
      <c r="D2944" t="s">
        <v>1021</v>
      </c>
      <c r="E2944" t="s">
        <v>881</v>
      </c>
      <c r="F2944" t="s">
        <v>882</v>
      </c>
      <c r="G2944" t="s">
        <v>972</v>
      </c>
      <c r="H2944">
        <v>22</v>
      </c>
      <c r="I2944">
        <v>15</v>
      </c>
      <c r="J2944">
        <v>28.181799999999999</v>
      </c>
      <c r="K2944">
        <v>13.181800000000001</v>
      </c>
      <c r="L2944">
        <v>20</v>
      </c>
      <c r="M2944">
        <v>0</v>
      </c>
      <c r="N2944">
        <v>2</v>
      </c>
      <c r="O2944" t="s">
        <v>127</v>
      </c>
      <c r="P2944" t="s">
        <v>127</v>
      </c>
      <c r="Q2944" t="s">
        <v>127</v>
      </c>
    </row>
    <row r="2945" spans="1:17" x14ac:dyDescent="0.25">
      <c r="A2945" t="str">
        <f>IF(C2945&amp;G2945&amp;D2945&lt;&gt;'Funnel setup'!$K$3&amp;'Funnel setup'!$K$4&amp;'Funnel setup'!$K$6,".",IF(A2944=".",1,A2944+1))</f>
        <v>.</v>
      </c>
      <c r="B2945" s="244" t="str">
        <f t="shared" si="45"/>
        <v>Knee Replacement RevisionSub-ICB of GP PracticeNHS NORTH CENTRAL LONDON ICB - 93C (93C)Oxford Knee Score</v>
      </c>
      <c r="C2945" t="s">
        <v>973</v>
      </c>
      <c r="D2945" t="s">
        <v>1021</v>
      </c>
      <c r="E2945" t="s">
        <v>883</v>
      </c>
      <c r="F2945" t="s">
        <v>884</v>
      </c>
      <c r="G2945" t="s">
        <v>972</v>
      </c>
      <c r="H2945">
        <v>5</v>
      </c>
      <c r="I2945">
        <v>9.8000000000000007</v>
      </c>
      <c r="J2945">
        <v>23.4</v>
      </c>
      <c r="K2945">
        <v>13.6</v>
      </c>
      <c r="L2945">
        <v>4</v>
      </c>
      <c r="M2945">
        <v>0</v>
      </c>
      <c r="N2945">
        <v>1</v>
      </c>
      <c r="O2945" t="s">
        <v>127</v>
      </c>
      <c r="P2945" t="s">
        <v>127</v>
      </c>
      <c r="Q2945" t="s">
        <v>127</v>
      </c>
    </row>
    <row r="2946" spans="1:17" x14ac:dyDescent="0.25">
      <c r="A2946" t="str">
        <f>IF(C2946&amp;G2946&amp;D2946&lt;&gt;'Funnel setup'!$K$3&amp;'Funnel setup'!$K$4&amp;'Funnel setup'!$K$6,".",IF(A2945=".",1,A2945+1))</f>
        <v>.</v>
      </c>
      <c r="B2946" s="244" t="str">
        <f t="shared" ref="B2946:B3009" si="46">C2946&amp;D2946&amp;F2946&amp;G2946</f>
        <v>Knee Replacement RevisionSub-ICB of GP PracticeNHS NORTH EAST AND NORTH CUMBRIA ICB - 00L (00L)Oxford Knee Score</v>
      </c>
      <c r="C2946" t="s">
        <v>973</v>
      </c>
      <c r="D2946" t="s">
        <v>1021</v>
      </c>
      <c r="E2946" t="s">
        <v>885</v>
      </c>
      <c r="F2946" t="s">
        <v>886</v>
      </c>
      <c r="G2946" t="s">
        <v>972</v>
      </c>
      <c r="H2946">
        <v>4</v>
      </c>
      <c r="I2946">
        <v>7.75</v>
      </c>
      <c r="J2946">
        <v>21.5</v>
      </c>
      <c r="K2946">
        <v>13.75</v>
      </c>
      <c r="L2946">
        <v>4</v>
      </c>
      <c r="M2946">
        <v>0</v>
      </c>
      <c r="N2946">
        <v>0</v>
      </c>
      <c r="O2946" t="s">
        <v>127</v>
      </c>
      <c r="P2946" t="s">
        <v>127</v>
      </c>
      <c r="Q2946" t="s">
        <v>127</v>
      </c>
    </row>
    <row r="2947" spans="1:17" x14ac:dyDescent="0.25">
      <c r="A2947" t="str">
        <f>IF(C2947&amp;G2947&amp;D2947&lt;&gt;'Funnel setup'!$K$3&amp;'Funnel setup'!$K$4&amp;'Funnel setup'!$K$6,".",IF(A2946=".",1,A2946+1))</f>
        <v>.</v>
      </c>
      <c r="B2947" s="244" t="str">
        <f t="shared" si="46"/>
        <v>Knee Replacement RevisionSub-ICB of GP PracticeNHS NORTH EAST AND NORTH CUMBRIA ICB - 00P (00P)Oxford Knee Score</v>
      </c>
      <c r="C2947" t="s">
        <v>973</v>
      </c>
      <c r="D2947" t="s">
        <v>1021</v>
      </c>
      <c r="E2947" t="s">
        <v>889</v>
      </c>
      <c r="F2947" t="s">
        <v>890</v>
      </c>
      <c r="G2947" t="s">
        <v>972</v>
      </c>
      <c r="H2947">
        <v>1</v>
      </c>
      <c r="I2947">
        <v>8</v>
      </c>
      <c r="J2947">
        <v>11</v>
      </c>
      <c r="K2947">
        <v>3</v>
      </c>
      <c r="L2947">
        <v>1</v>
      </c>
      <c r="M2947">
        <v>0</v>
      </c>
      <c r="N2947">
        <v>0</v>
      </c>
      <c r="O2947" t="s">
        <v>127</v>
      </c>
      <c r="P2947" t="s">
        <v>127</v>
      </c>
      <c r="Q2947" t="s">
        <v>127</v>
      </c>
    </row>
    <row r="2948" spans="1:17" x14ac:dyDescent="0.25">
      <c r="A2948" t="str">
        <f>IF(C2948&amp;G2948&amp;D2948&lt;&gt;'Funnel setup'!$K$3&amp;'Funnel setup'!$K$4&amp;'Funnel setup'!$K$6,".",IF(A2947=".",1,A2947+1))</f>
        <v>.</v>
      </c>
      <c r="B2948" s="244" t="str">
        <f t="shared" si="46"/>
        <v>Knee Replacement RevisionSub-ICB of GP PracticeNHS NORTH EAST AND NORTH CUMBRIA ICB - 01H (01H)Oxford Knee Score</v>
      </c>
      <c r="C2948" t="s">
        <v>973</v>
      </c>
      <c r="D2948" t="s">
        <v>1021</v>
      </c>
      <c r="E2948" t="s">
        <v>891</v>
      </c>
      <c r="F2948" t="s">
        <v>892</v>
      </c>
      <c r="G2948" t="s">
        <v>972</v>
      </c>
      <c r="H2948">
        <v>4</v>
      </c>
      <c r="I2948">
        <v>14.5</v>
      </c>
      <c r="J2948">
        <v>35.25</v>
      </c>
      <c r="K2948">
        <v>20.75</v>
      </c>
      <c r="L2948">
        <v>4</v>
      </c>
      <c r="M2948">
        <v>0</v>
      </c>
      <c r="N2948">
        <v>0</v>
      </c>
      <c r="O2948" t="s">
        <v>127</v>
      </c>
      <c r="P2948" t="s">
        <v>127</v>
      </c>
      <c r="Q2948" t="s">
        <v>127</v>
      </c>
    </row>
    <row r="2949" spans="1:17" x14ac:dyDescent="0.25">
      <c r="A2949" t="str">
        <f>IF(C2949&amp;G2949&amp;D2949&lt;&gt;'Funnel setup'!$K$3&amp;'Funnel setup'!$K$4&amp;'Funnel setup'!$K$6,".",IF(A2948=".",1,A2948+1))</f>
        <v>.</v>
      </c>
      <c r="B2949" s="244" t="str">
        <f t="shared" si="46"/>
        <v>Knee Replacement RevisionSub-ICB of GP PracticeNHS NORTH EAST AND NORTH CUMBRIA ICB - 13T (13T)Oxford Knee Score</v>
      </c>
      <c r="C2949" t="s">
        <v>973</v>
      </c>
      <c r="D2949" t="s">
        <v>1021</v>
      </c>
      <c r="E2949" t="s">
        <v>893</v>
      </c>
      <c r="F2949" t="s">
        <v>894</v>
      </c>
      <c r="G2949" t="s">
        <v>972</v>
      </c>
      <c r="H2949">
        <v>2</v>
      </c>
      <c r="I2949">
        <v>19</v>
      </c>
      <c r="J2949">
        <v>30.5</v>
      </c>
      <c r="K2949">
        <v>11.5</v>
      </c>
      <c r="L2949">
        <v>2</v>
      </c>
      <c r="M2949">
        <v>0</v>
      </c>
      <c r="N2949">
        <v>0</v>
      </c>
      <c r="O2949" t="s">
        <v>127</v>
      </c>
      <c r="P2949" t="s">
        <v>127</v>
      </c>
      <c r="Q2949" t="s">
        <v>127</v>
      </c>
    </row>
    <row r="2950" spans="1:17" x14ac:dyDescent="0.25">
      <c r="A2950" t="str">
        <f>IF(C2950&amp;G2950&amp;D2950&lt;&gt;'Funnel setup'!$K$3&amp;'Funnel setup'!$K$4&amp;'Funnel setup'!$K$6,".",IF(A2949=".",1,A2949+1))</f>
        <v>.</v>
      </c>
      <c r="B2950" s="244" t="str">
        <f t="shared" si="46"/>
        <v>Knee Replacement RevisionSub-ICB of GP PracticeNHS NORTH EAST AND NORTH CUMBRIA ICB - 16C (16C)Oxford Knee Score</v>
      </c>
      <c r="C2950" t="s">
        <v>973</v>
      </c>
      <c r="D2950" t="s">
        <v>1021</v>
      </c>
      <c r="E2950" t="s">
        <v>895</v>
      </c>
      <c r="F2950" t="s">
        <v>896</v>
      </c>
      <c r="G2950" t="s">
        <v>972</v>
      </c>
      <c r="H2950">
        <v>20</v>
      </c>
      <c r="I2950">
        <v>12.25</v>
      </c>
      <c r="J2950">
        <v>25</v>
      </c>
      <c r="K2950">
        <v>12.75</v>
      </c>
      <c r="L2950">
        <v>17</v>
      </c>
      <c r="M2950">
        <v>0</v>
      </c>
      <c r="N2950">
        <v>3</v>
      </c>
      <c r="O2950" t="s">
        <v>127</v>
      </c>
      <c r="P2950" t="s">
        <v>127</v>
      </c>
      <c r="Q2950" t="s">
        <v>127</v>
      </c>
    </row>
    <row r="2951" spans="1:17" x14ac:dyDescent="0.25">
      <c r="A2951" t="str">
        <f>IF(C2951&amp;G2951&amp;D2951&lt;&gt;'Funnel setup'!$K$3&amp;'Funnel setup'!$K$4&amp;'Funnel setup'!$K$6,".",IF(A2950=".",1,A2950+1))</f>
        <v>.</v>
      </c>
      <c r="B2951" s="244" t="str">
        <f t="shared" si="46"/>
        <v>Knee Replacement RevisionSub-ICB of GP PracticeNHS NORTH EAST AND NORTH CUMBRIA ICB - 84H (84H)Oxford Knee Score</v>
      </c>
      <c r="C2951" t="s">
        <v>973</v>
      </c>
      <c r="D2951" t="s">
        <v>1021</v>
      </c>
      <c r="E2951" t="s">
        <v>897</v>
      </c>
      <c r="F2951" t="s">
        <v>898</v>
      </c>
      <c r="G2951" t="s">
        <v>972</v>
      </c>
      <c r="H2951">
        <v>9</v>
      </c>
      <c r="I2951">
        <v>15.1111</v>
      </c>
      <c r="J2951">
        <v>27</v>
      </c>
      <c r="K2951">
        <v>11.8889</v>
      </c>
      <c r="L2951">
        <v>6</v>
      </c>
      <c r="M2951">
        <v>0</v>
      </c>
      <c r="N2951">
        <v>3</v>
      </c>
      <c r="O2951" t="s">
        <v>127</v>
      </c>
      <c r="P2951" t="s">
        <v>127</v>
      </c>
      <c r="Q2951" t="s">
        <v>127</v>
      </c>
    </row>
    <row r="2952" spans="1:17" x14ac:dyDescent="0.25">
      <c r="A2952" t="str">
        <f>IF(C2952&amp;G2952&amp;D2952&lt;&gt;'Funnel setup'!$K$3&amp;'Funnel setup'!$K$4&amp;'Funnel setup'!$K$6,".",IF(A2951=".",1,A2951+1))</f>
        <v>.</v>
      </c>
      <c r="B2952" s="244" t="str">
        <f t="shared" si="46"/>
        <v>Knee Replacement RevisionSub-ICB of GP PracticeNHS NORTH EAST AND NORTH CUMBRIA ICB - 99C (99C)Oxford Knee Score</v>
      </c>
      <c r="C2952" t="s">
        <v>973</v>
      </c>
      <c r="D2952" t="s">
        <v>1021</v>
      </c>
      <c r="E2952" t="s">
        <v>899</v>
      </c>
      <c r="F2952" t="s">
        <v>900</v>
      </c>
      <c r="G2952" t="s">
        <v>972</v>
      </c>
      <c r="H2952">
        <v>1</v>
      </c>
      <c r="I2952">
        <v>12</v>
      </c>
      <c r="J2952">
        <v>17</v>
      </c>
      <c r="K2952">
        <v>5</v>
      </c>
      <c r="L2952">
        <v>1</v>
      </c>
      <c r="M2952">
        <v>0</v>
      </c>
      <c r="N2952">
        <v>0</v>
      </c>
      <c r="O2952" t="s">
        <v>127</v>
      </c>
      <c r="P2952" t="s">
        <v>127</v>
      </c>
      <c r="Q2952" t="s">
        <v>127</v>
      </c>
    </row>
    <row r="2953" spans="1:17" x14ac:dyDescent="0.25">
      <c r="A2953" t="str">
        <f>IF(C2953&amp;G2953&amp;D2953&lt;&gt;'Funnel setup'!$K$3&amp;'Funnel setup'!$K$4&amp;'Funnel setup'!$K$6,".",IF(A2952=".",1,A2952+1))</f>
        <v>.</v>
      </c>
      <c r="B2953" s="244" t="str">
        <f t="shared" si="46"/>
        <v>Knee Replacement RevisionSub-ICB of GP PracticeNHS NORTH EAST LONDON ICB - A3A8R (A3A8R)Oxford Knee Score</v>
      </c>
      <c r="C2953" t="s">
        <v>973</v>
      </c>
      <c r="D2953" t="s">
        <v>1021</v>
      </c>
      <c r="E2953" t="s">
        <v>901</v>
      </c>
      <c r="F2953" t="s">
        <v>902</v>
      </c>
      <c r="G2953" t="s">
        <v>972</v>
      </c>
      <c r="H2953">
        <v>11</v>
      </c>
      <c r="I2953">
        <v>15.181800000000001</v>
      </c>
      <c r="J2953">
        <v>27.363600000000002</v>
      </c>
      <c r="K2953">
        <v>12.181800000000001</v>
      </c>
      <c r="L2953">
        <v>10</v>
      </c>
      <c r="M2953">
        <v>0</v>
      </c>
      <c r="N2953">
        <v>1</v>
      </c>
      <c r="O2953" t="s">
        <v>127</v>
      </c>
      <c r="P2953" t="s">
        <v>127</v>
      </c>
      <c r="Q2953" t="s">
        <v>127</v>
      </c>
    </row>
    <row r="2954" spans="1:17" x14ac:dyDescent="0.25">
      <c r="A2954" t="str">
        <f>IF(C2954&amp;G2954&amp;D2954&lt;&gt;'Funnel setup'!$K$3&amp;'Funnel setup'!$K$4&amp;'Funnel setup'!$K$6,".",IF(A2953=".",1,A2953+1))</f>
        <v>.</v>
      </c>
      <c r="B2954" s="244" t="str">
        <f t="shared" si="46"/>
        <v>Knee Replacement RevisionSub-ICB of GP PracticeNHS NORTH WEST LONDON ICB - W2U3Z (W2U3Z)Oxford Knee Score</v>
      </c>
      <c r="C2954" t="s">
        <v>973</v>
      </c>
      <c r="D2954" t="s">
        <v>1021</v>
      </c>
      <c r="E2954" t="s">
        <v>903</v>
      </c>
      <c r="F2954" t="s">
        <v>904</v>
      </c>
      <c r="G2954" t="s">
        <v>972</v>
      </c>
      <c r="H2954">
        <v>11</v>
      </c>
      <c r="I2954">
        <v>22.181799999999999</v>
      </c>
      <c r="J2954">
        <v>31.181799999999999</v>
      </c>
      <c r="K2954">
        <v>9</v>
      </c>
      <c r="L2954">
        <v>10</v>
      </c>
      <c r="M2954">
        <v>0</v>
      </c>
      <c r="N2954">
        <v>1</v>
      </c>
      <c r="O2954" t="s">
        <v>127</v>
      </c>
      <c r="P2954" t="s">
        <v>127</v>
      </c>
      <c r="Q2954" t="s">
        <v>127</v>
      </c>
    </row>
    <row r="2955" spans="1:17" x14ac:dyDescent="0.25">
      <c r="A2955" t="str">
        <f>IF(C2955&amp;G2955&amp;D2955&lt;&gt;'Funnel setup'!$K$3&amp;'Funnel setup'!$K$4&amp;'Funnel setup'!$K$6,".",IF(A2954=".",1,A2954+1))</f>
        <v>.</v>
      </c>
      <c r="B2955" s="244" t="str">
        <f t="shared" si="46"/>
        <v>Knee Replacement RevisionSub-ICB of GP PracticeNHS NORTHAMPTONSHIRE ICB - 78H (78H)Oxford Knee Score</v>
      </c>
      <c r="C2955" t="s">
        <v>973</v>
      </c>
      <c r="D2955" t="s">
        <v>1021</v>
      </c>
      <c r="E2955" t="s">
        <v>905</v>
      </c>
      <c r="F2955" t="s">
        <v>906</v>
      </c>
      <c r="G2955" t="s">
        <v>972</v>
      </c>
      <c r="H2955">
        <v>14</v>
      </c>
      <c r="I2955">
        <v>16.857099999999999</v>
      </c>
      <c r="J2955">
        <v>37.428600000000003</v>
      </c>
      <c r="K2955">
        <v>20.571400000000001</v>
      </c>
      <c r="L2955">
        <v>14</v>
      </c>
      <c r="M2955">
        <v>0</v>
      </c>
      <c r="N2955">
        <v>0</v>
      </c>
      <c r="O2955" t="s">
        <v>127</v>
      </c>
      <c r="P2955" t="s">
        <v>127</v>
      </c>
      <c r="Q2955" t="s">
        <v>127</v>
      </c>
    </row>
    <row r="2956" spans="1:17" x14ac:dyDescent="0.25">
      <c r="A2956" t="str">
        <f>IF(C2956&amp;G2956&amp;D2956&lt;&gt;'Funnel setup'!$K$3&amp;'Funnel setup'!$K$4&amp;'Funnel setup'!$K$6,".",IF(A2955=".",1,A2955+1))</f>
        <v>.</v>
      </c>
      <c r="B2956" s="244" t="str">
        <f t="shared" si="46"/>
        <v>Knee Replacement RevisionSub-ICB of GP PracticeNHS NOTTINGHAM AND NOTTINGHAMSHIRE ICB - 02Q (02Q)Oxford Knee Score</v>
      </c>
      <c r="C2956" t="s">
        <v>973</v>
      </c>
      <c r="D2956" t="s">
        <v>1021</v>
      </c>
      <c r="E2956" t="s">
        <v>907</v>
      </c>
      <c r="F2956" t="s">
        <v>908</v>
      </c>
      <c r="G2956" t="s">
        <v>972</v>
      </c>
      <c r="H2956">
        <v>4</v>
      </c>
      <c r="I2956">
        <v>18.25</v>
      </c>
      <c r="J2956">
        <v>29</v>
      </c>
      <c r="K2956">
        <v>10.75</v>
      </c>
      <c r="L2956">
        <v>4</v>
      </c>
      <c r="M2956">
        <v>0</v>
      </c>
      <c r="N2956">
        <v>0</v>
      </c>
      <c r="O2956" t="s">
        <v>127</v>
      </c>
      <c r="P2956" t="s">
        <v>127</v>
      </c>
      <c r="Q2956" t="s">
        <v>127</v>
      </c>
    </row>
    <row r="2957" spans="1:17" x14ac:dyDescent="0.25">
      <c r="A2957" t="str">
        <f>IF(C2957&amp;G2957&amp;D2957&lt;&gt;'Funnel setup'!$K$3&amp;'Funnel setup'!$K$4&amp;'Funnel setup'!$K$6,".",IF(A2956=".",1,A2956+1))</f>
        <v>.</v>
      </c>
      <c r="B2957" s="244" t="str">
        <f t="shared" si="46"/>
        <v>Knee Replacement RevisionSub-ICB of GP PracticeNHS NOTTINGHAM AND NOTTINGHAMSHIRE ICB - 52R (52R)Oxford Knee Score</v>
      </c>
      <c r="C2957" t="s">
        <v>973</v>
      </c>
      <c r="D2957" t="s">
        <v>1021</v>
      </c>
      <c r="E2957" t="s">
        <v>909</v>
      </c>
      <c r="F2957" t="s">
        <v>910</v>
      </c>
      <c r="G2957" t="s">
        <v>972</v>
      </c>
      <c r="H2957">
        <v>2</v>
      </c>
      <c r="I2957">
        <v>17.5</v>
      </c>
      <c r="J2957">
        <v>37</v>
      </c>
      <c r="K2957">
        <v>19.5</v>
      </c>
      <c r="L2957">
        <v>2</v>
      </c>
      <c r="M2957">
        <v>0</v>
      </c>
      <c r="N2957">
        <v>0</v>
      </c>
      <c r="O2957" t="s">
        <v>127</v>
      </c>
      <c r="P2957" t="s">
        <v>127</v>
      </c>
      <c r="Q2957" t="s">
        <v>127</v>
      </c>
    </row>
    <row r="2958" spans="1:17" x14ac:dyDescent="0.25">
      <c r="A2958" t="str">
        <f>IF(C2958&amp;G2958&amp;D2958&lt;&gt;'Funnel setup'!$K$3&amp;'Funnel setup'!$K$4&amp;'Funnel setup'!$K$6,".",IF(A2957=".",1,A2957+1))</f>
        <v>.</v>
      </c>
      <c r="B2958" s="244" t="str">
        <f t="shared" si="46"/>
        <v>Knee Replacement RevisionSub-ICB of GP PracticeNHS SHROPSHIRE, TELFORD AND WREKIN ICB - M2L0M (M2L0M)Oxford Knee Score</v>
      </c>
      <c r="C2958" t="s">
        <v>973</v>
      </c>
      <c r="D2958" t="s">
        <v>1021</v>
      </c>
      <c r="E2958" t="s">
        <v>911</v>
      </c>
      <c r="F2958" t="s">
        <v>912</v>
      </c>
      <c r="G2958" t="s">
        <v>972</v>
      </c>
      <c r="H2958">
        <v>17</v>
      </c>
      <c r="I2958">
        <v>18.2941</v>
      </c>
      <c r="J2958">
        <v>32</v>
      </c>
      <c r="K2958">
        <v>13.7059</v>
      </c>
      <c r="L2958">
        <v>15</v>
      </c>
      <c r="M2958">
        <v>0</v>
      </c>
      <c r="N2958">
        <v>2</v>
      </c>
      <c r="O2958" t="s">
        <v>127</v>
      </c>
      <c r="P2958" t="s">
        <v>127</v>
      </c>
      <c r="Q2958" t="s">
        <v>127</v>
      </c>
    </row>
    <row r="2959" spans="1:17" x14ac:dyDescent="0.25">
      <c r="A2959" t="str">
        <f>IF(C2959&amp;G2959&amp;D2959&lt;&gt;'Funnel setup'!$K$3&amp;'Funnel setup'!$K$4&amp;'Funnel setup'!$K$6,".",IF(A2958=".",1,A2958+1))</f>
        <v>.</v>
      </c>
      <c r="B2959" s="244" t="str">
        <f t="shared" si="46"/>
        <v>Knee Replacement RevisionSub-ICB of GP PracticeNHS SOUTH EAST LONDON ICB - 72Q (72Q)Oxford Knee Score</v>
      </c>
      <c r="C2959" t="s">
        <v>973</v>
      </c>
      <c r="D2959" t="s">
        <v>1021</v>
      </c>
      <c r="E2959" t="s">
        <v>915</v>
      </c>
      <c r="F2959" t="s">
        <v>916</v>
      </c>
      <c r="G2959" t="s">
        <v>972</v>
      </c>
      <c r="H2959">
        <v>10</v>
      </c>
      <c r="I2959">
        <v>10.8</v>
      </c>
      <c r="J2959">
        <v>18.100000000000001</v>
      </c>
      <c r="K2959">
        <v>7.3</v>
      </c>
      <c r="L2959">
        <v>7</v>
      </c>
      <c r="M2959">
        <v>1</v>
      </c>
      <c r="N2959">
        <v>2</v>
      </c>
      <c r="O2959" t="s">
        <v>127</v>
      </c>
      <c r="P2959" t="s">
        <v>127</v>
      </c>
      <c r="Q2959" t="s">
        <v>127</v>
      </c>
    </row>
    <row r="2960" spans="1:17" x14ac:dyDescent="0.25">
      <c r="A2960" t="str">
        <f>IF(C2960&amp;G2960&amp;D2960&lt;&gt;'Funnel setup'!$K$3&amp;'Funnel setup'!$K$4&amp;'Funnel setup'!$K$6,".",IF(A2959=".",1,A2959+1))</f>
        <v>.</v>
      </c>
      <c r="B2960" s="244" t="str">
        <f t="shared" si="46"/>
        <v>Knee Replacement RevisionSub-ICB of GP PracticeNHS SOUTH WEST LONDON ICB - 36L (36L)Oxford Knee Score</v>
      </c>
      <c r="C2960" t="s">
        <v>973</v>
      </c>
      <c r="D2960" t="s">
        <v>1021</v>
      </c>
      <c r="E2960" t="s">
        <v>917</v>
      </c>
      <c r="F2960" t="s">
        <v>918</v>
      </c>
      <c r="G2960" t="s">
        <v>972</v>
      </c>
      <c r="H2960">
        <v>12</v>
      </c>
      <c r="I2960">
        <v>16</v>
      </c>
      <c r="J2960">
        <v>30</v>
      </c>
      <c r="K2960">
        <v>14</v>
      </c>
      <c r="L2960">
        <v>9</v>
      </c>
      <c r="M2960">
        <v>0</v>
      </c>
      <c r="N2960">
        <v>3</v>
      </c>
      <c r="O2960" t="s">
        <v>127</v>
      </c>
      <c r="P2960" t="s">
        <v>127</v>
      </c>
      <c r="Q2960" t="s">
        <v>127</v>
      </c>
    </row>
    <row r="2961" spans="1:17" x14ac:dyDescent="0.25">
      <c r="A2961" t="str">
        <f>IF(C2961&amp;G2961&amp;D2961&lt;&gt;'Funnel setup'!$K$3&amp;'Funnel setup'!$K$4&amp;'Funnel setup'!$K$6,".",IF(A2960=".",1,A2960+1))</f>
        <v>.</v>
      </c>
      <c r="B2961" s="244" t="str">
        <f t="shared" si="46"/>
        <v>Knee Replacement RevisionSub-ICB of GP PracticeNHS SOUTH YORKSHIRE ICB - 02P (02P)Oxford Knee Score</v>
      </c>
      <c r="C2961" t="s">
        <v>973</v>
      </c>
      <c r="D2961" t="s">
        <v>1021</v>
      </c>
      <c r="E2961" t="s">
        <v>919</v>
      </c>
      <c r="F2961" t="s">
        <v>920</v>
      </c>
      <c r="G2961" t="s">
        <v>972</v>
      </c>
      <c r="H2961">
        <v>2</v>
      </c>
      <c r="I2961">
        <v>12</v>
      </c>
      <c r="J2961">
        <v>24.5</v>
      </c>
      <c r="K2961">
        <v>12.5</v>
      </c>
      <c r="L2961">
        <v>2</v>
      </c>
      <c r="M2961">
        <v>0</v>
      </c>
      <c r="N2961">
        <v>0</v>
      </c>
      <c r="O2961" t="s">
        <v>127</v>
      </c>
      <c r="P2961" t="s">
        <v>127</v>
      </c>
      <c r="Q2961" t="s">
        <v>127</v>
      </c>
    </row>
    <row r="2962" spans="1:17" x14ac:dyDescent="0.25">
      <c r="A2962" t="str">
        <f>IF(C2962&amp;G2962&amp;D2962&lt;&gt;'Funnel setup'!$K$3&amp;'Funnel setup'!$K$4&amp;'Funnel setup'!$K$6,".",IF(A2961=".",1,A2961+1))</f>
        <v>.</v>
      </c>
      <c r="B2962" s="244" t="str">
        <f t="shared" si="46"/>
        <v>Knee Replacement RevisionSub-ICB of GP PracticeNHS SOUTH YORKSHIRE ICB - 03N (03N)Oxford Knee Score</v>
      </c>
      <c r="C2962" t="s">
        <v>973</v>
      </c>
      <c r="D2962" t="s">
        <v>1021</v>
      </c>
      <c r="E2962" t="s">
        <v>925</v>
      </c>
      <c r="F2962" t="s">
        <v>926</v>
      </c>
      <c r="G2962" t="s">
        <v>972</v>
      </c>
      <c r="H2962">
        <v>1</v>
      </c>
      <c r="I2962">
        <v>23</v>
      </c>
      <c r="J2962">
        <v>39</v>
      </c>
      <c r="K2962">
        <v>16</v>
      </c>
      <c r="L2962">
        <v>1</v>
      </c>
      <c r="M2962">
        <v>0</v>
      </c>
      <c r="N2962">
        <v>0</v>
      </c>
      <c r="O2962" t="s">
        <v>127</v>
      </c>
      <c r="P2962" t="s">
        <v>127</v>
      </c>
      <c r="Q2962" t="s">
        <v>127</v>
      </c>
    </row>
    <row r="2963" spans="1:17" x14ac:dyDescent="0.25">
      <c r="A2963" t="str">
        <f>IF(C2963&amp;G2963&amp;D2963&lt;&gt;'Funnel setup'!$K$3&amp;'Funnel setup'!$K$4&amp;'Funnel setup'!$K$6,".",IF(A2962=".",1,A2962+1))</f>
        <v>.</v>
      </c>
      <c r="B2963" s="244" t="str">
        <f t="shared" si="46"/>
        <v>Knee Replacement RevisionSub-ICB of GP PracticeNHS STAFFORDSHIRE AND STOKE-ON-TRENT ICB - 05D (05D)Oxford Knee Score</v>
      </c>
      <c r="C2963" t="s">
        <v>973</v>
      </c>
      <c r="D2963" t="s">
        <v>1021</v>
      </c>
      <c r="E2963" t="s">
        <v>929</v>
      </c>
      <c r="F2963" t="s">
        <v>930</v>
      </c>
      <c r="G2963" t="s">
        <v>972</v>
      </c>
      <c r="H2963">
        <v>7</v>
      </c>
      <c r="I2963">
        <v>14.7143</v>
      </c>
      <c r="J2963">
        <v>25.428599999999999</v>
      </c>
      <c r="K2963">
        <v>10.7143</v>
      </c>
      <c r="L2963">
        <v>5</v>
      </c>
      <c r="M2963">
        <v>0</v>
      </c>
      <c r="N2963">
        <v>2</v>
      </c>
      <c r="O2963" t="s">
        <v>127</v>
      </c>
      <c r="P2963" t="s">
        <v>127</v>
      </c>
      <c r="Q2963" t="s">
        <v>127</v>
      </c>
    </row>
    <row r="2964" spans="1:17" x14ac:dyDescent="0.25">
      <c r="A2964" t="str">
        <f>IF(C2964&amp;G2964&amp;D2964&lt;&gt;'Funnel setup'!$K$3&amp;'Funnel setup'!$K$4&amp;'Funnel setup'!$K$6,".",IF(A2963=".",1,A2963+1))</f>
        <v>.</v>
      </c>
      <c r="B2964" s="244" t="str">
        <f t="shared" si="46"/>
        <v>Knee Replacement RevisionSub-ICB of GP PracticeNHS STAFFORDSHIRE AND STOKE-ON-TRENT ICB - 05G (05G)Oxford Knee Score</v>
      </c>
      <c r="C2964" t="s">
        <v>973</v>
      </c>
      <c r="D2964" t="s">
        <v>1021</v>
      </c>
      <c r="E2964" t="s">
        <v>931</v>
      </c>
      <c r="F2964" t="s">
        <v>932</v>
      </c>
      <c r="G2964" t="s">
        <v>972</v>
      </c>
      <c r="H2964">
        <v>2</v>
      </c>
      <c r="I2964">
        <v>18.5</v>
      </c>
      <c r="J2964">
        <v>11</v>
      </c>
      <c r="K2964">
        <v>-7.5</v>
      </c>
      <c r="L2964">
        <v>0</v>
      </c>
      <c r="M2964">
        <v>0</v>
      </c>
      <c r="N2964">
        <v>2</v>
      </c>
      <c r="O2964" t="s">
        <v>127</v>
      </c>
      <c r="P2964" t="s">
        <v>127</v>
      </c>
      <c r="Q2964" t="s">
        <v>127</v>
      </c>
    </row>
    <row r="2965" spans="1:17" x14ac:dyDescent="0.25">
      <c r="A2965" t="str">
        <f>IF(C2965&amp;G2965&amp;D2965&lt;&gt;'Funnel setup'!$K$3&amp;'Funnel setup'!$K$4&amp;'Funnel setup'!$K$6,".",IF(A2964=".",1,A2964+1))</f>
        <v>.</v>
      </c>
      <c r="B2965" s="244" t="str">
        <f t="shared" si="46"/>
        <v>Knee Replacement RevisionSub-ICB of GP PracticeNHS STAFFORDSHIRE AND STOKE-ON-TRENT ICB - 05Q (05Q)Oxford Knee Score</v>
      </c>
      <c r="C2965" t="s">
        <v>973</v>
      </c>
      <c r="D2965" t="s">
        <v>1021</v>
      </c>
      <c r="E2965" t="s">
        <v>933</v>
      </c>
      <c r="F2965" t="s">
        <v>934</v>
      </c>
      <c r="G2965" t="s">
        <v>972</v>
      </c>
      <c r="H2965">
        <v>6</v>
      </c>
      <c r="I2965">
        <v>19</v>
      </c>
      <c r="J2965">
        <v>34.333300000000001</v>
      </c>
      <c r="K2965">
        <v>15.333299999999999</v>
      </c>
      <c r="L2965">
        <v>6</v>
      </c>
      <c r="M2965">
        <v>0</v>
      </c>
      <c r="N2965">
        <v>0</v>
      </c>
      <c r="O2965" t="s">
        <v>127</v>
      </c>
      <c r="P2965" t="s">
        <v>127</v>
      </c>
      <c r="Q2965" t="s">
        <v>127</v>
      </c>
    </row>
    <row r="2966" spans="1:17" x14ac:dyDescent="0.25">
      <c r="A2966" t="str">
        <f>IF(C2966&amp;G2966&amp;D2966&lt;&gt;'Funnel setup'!$K$3&amp;'Funnel setup'!$K$4&amp;'Funnel setup'!$K$6,".",IF(A2965=".",1,A2965+1))</f>
        <v>.</v>
      </c>
      <c r="B2966" s="244" t="str">
        <f t="shared" si="46"/>
        <v>Knee Replacement RevisionSub-ICB of GP PracticeNHS STAFFORDSHIRE AND STOKE-ON-TRENT ICB - 05W (05W)Oxford Knee Score</v>
      </c>
      <c r="C2966" t="s">
        <v>973</v>
      </c>
      <c r="D2966" t="s">
        <v>1021</v>
      </c>
      <c r="E2966" t="s">
        <v>937</v>
      </c>
      <c r="F2966" t="s">
        <v>938</v>
      </c>
      <c r="G2966" t="s">
        <v>972</v>
      </c>
      <c r="H2966">
        <v>5</v>
      </c>
      <c r="I2966">
        <v>15</v>
      </c>
      <c r="J2966">
        <v>30.6</v>
      </c>
      <c r="K2966">
        <v>15.6</v>
      </c>
      <c r="L2966">
        <v>5</v>
      </c>
      <c r="M2966">
        <v>0</v>
      </c>
      <c r="N2966">
        <v>0</v>
      </c>
      <c r="O2966" t="s">
        <v>127</v>
      </c>
      <c r="P2966" t="s">
        <v>127</v>
      </c>
      <c r="Q2966" t="s">
        <v>127</v>
      </c>
    </row>
    <row r="2967" spans="1:17" x14ac:dyDescent="0.25">
      <c r="A2967" t="str">
        <f>IF(C2967&amp;G2967&amp;D2967&lt;&gt;'Funnel setup'!$K$3&amp;'Funnel setup'!$K$4&amp;'Funnel setup'!$K$6,".",IF(A2966=".",1,A2966+1))</f>
        <v>.</v>
      </c>
      <c r="B2967" s="244" t="str">
        <f t="shared" si="46"/>
        <v>Knee Replacement RevisionSub-ICB of GP PracticeNHS SUFFOLK AND NORTH EAST ESSEX ICB - 06L (06L)Oxford Knee Score</v>
      </c>
      <c r="C2967" t="s">
        <v>973</v>
      </c>
      <c r="D2967" t="s">
        <v>1021</v>
      </c>
      <c r="E2967" t="s">
        <v>939</v>
      </c>
      <c r="F2967" t="s">
        <v>940</v>
      </c>
      <c r="G2967" t="s">
        <v>972</v>
      </c>
      <c r="H2967">
        <v>4</v>
      </c>
      <c r="I2967">
        <v>12.75</v>
      </c>
      <c r="J2967">
        <v>38</v>
      </c>
      <c r="K2967">
        <v>25.25</v>
      </c>
      <c r="L2967">
        <v>4</v>
      </c>
      <c r="M2967">
        <v>0</v>
      </c>
      <c r="N2967">
        <v>0</v>
      </c>
      <c r="O2967" t="s">
        <v>127</v>
      </c>
      <c r="P2967" t="s">
        <v>127</v>
      </c>
      <c r="Q2967" t="s">
        <v>127</v>
      </c>
    </row>
    <row r="2968" spans="1:17" x14ac:dyDescent="0.25">
      <c r="A2968" t="str">
        <f>IF(C2968&amp;G2968&amp;D2968&lt;&gt;'Funnel setup'!$K$3&amp;'Funnel setup'!$K$4&amp;'Funnel setup'!$K$6,".",IF(A2967=".",1,A2967+1))</f>
        <v>.</v>
      </c>
      <c r="B2968" s="244" t="str">
        <f t="shared" si="46"/>
        <v>Knee Replacement RevisionSub-ICB of GP PracticeNHS SUFFOLK AND NORTH EAST ESSEX ICB - 06T (06T)Oxford Knee Score</v>
      </c>
      <c r="C2968" t="s">
        <v>973</v>
      </c>
      <c r="D2968" t="s">
        <v>1021</v>
      </c>
      <c r="E2968" t="s">
        <v>941</v>
      </c>
      <c r="F2968" t="s">
        <v>942</v>
      </c>
      <c r="G2968" t="s">
        <v>972</v>
      </c>
      <c r="H2968">
        <v>2</v>
      </c>
      <c r="I2968">
        <v>15</v>
      </c>
      <c r="J2968">
        <v>20</v>
      </c>
      <c r="K2968">
        <v>5</v>
      </c>
      <c r="L2968">
        <v>1</v>
      </c>
      <c r="M2968">
        <v>0</v>
      </c>
      <c r="N2968">
        <v>1</v>
      </c>
      <c r="O2968" t="s">
        <v>127</v>
      </c>
      <c r="P2968" t="s">
        <v>127</v>
      </c>
      <c r="Q2968" t="s">
        <v>127</v>
      </c>
    </row>
    <row r="2969" spans="1:17" x14ac:dyDescent="0.25">
      <c r="A2969" t="str">
        <f>IF(C2969&amp;G2969&amp;D2969&lt;&gt;'Funnel setup'!$K$3&amp;'Funnel setup'!$K$4&amp;'Funnel setup'!$K$6,".",IF(A2968=".",1,A2968+1))</f>
        <v>.</v>
      </c>
      <c r="B2969" s="244" t="str">
        <f t="shared" si="46"/>
        <v>Knee Replacement RevisionSub-ICB of GP PracticeNHS SUFFOLK AND NORTH EAST ESSEX ICB - 07K (07K)Oxford Knee Score</v>
      </c>
      <c r="C2969" t="s">
        <v>973</v>
      </c>
      <c r="D2969" t="s">
        <v>1021</v>
      </c>
      <c r="E2969" t="s">
        <v>943</v>
      </c>
      <c r="F2969" t="s">
        <v>944</v>
      </c>
      <c r="G2969" t="s">
        <v>972</v>
      </c>
      <c r="H2969">
        <v>4</v>
      </c>
      <c r="I2969">
        <v>10.25</v>
      </c>
      <c r="J2969">
        <v>30.5</v>
      </c>
      <c r="K2969">
        <v>20.25</v>
      </c>
      <c r="L2969">
        <v>4</v>
      </c>
      <c r="M2969">
        <v>0</v>
      </c>
      <c r="N2969">
        <v>0</v>
      </c>
      <c r="O2969" t="s">
        <v>127</v>
      </c>
      <c r="P2969" t="s">
        <v>127</v>
      </c>
      <c r="Q2969" t="s">
        <v>127</v>
      </c>
    </row>
    <row r="2970" spans="1:17" x14ac:dyDescent="0.25">
      <c r="A2970" t="str">
        <f>IF(C2970&amp;G2970&amp;D2970&lt;&gt;'Funnel setup'!$K$3&amp;'Funnel setup'!$K$4&amp;'Funnel setup'!$K$6,".",IF(A2969=".",1,A2969+1))</f>
        <v>.</v>
      </c>
      <c r="B2970" s="244" t="str">
        <f t="shared" si="46"/>
        <v>Knee Replacement RevisionSub-ICB of GP PracticeNHS SURREY HEARTLANDS ICB - 92A (92A)Oxford Knee Score</v>
      </c>
      <c r="C2970" t="s">
        <v>973</v>
      </c>
      <c r="D2970" t="s">
        <v>1021</v>
      </c>
      <c r="E2970" t="s">
        <v>945</v>
      </c>
      <c r="F2970" t="s">
        <v>946</v>
      </c>
      <c r="G2970" t="s">
        <v>972</v>
      </c>
      <c r="H2970">
        <v>11</v>
      </c>
      <c r="I2970">
        <v>16.909099999999999</v>
      </c>
      <c r="J2970">
        <v>23.818200000000001</v>
      </c>
      <c r="K2970">
        <v>6.90909</v>
      </c>
      <c r="L2970">
        <v>7</v>
      </c>
      <c r="M2970">
        <v>0</v>
      </c>
      <c r="N2970">
        <v>4</v>
      </c>
      <c r="O2970" t="s">
        <v>127</v>
      </c>
      <c r="P2970" t="s">
        <v>127</v>
      </c>
      <c r="Q2970" t="s">
        <v>127</v>
      </c>
    </row>
    <row r="2971" spans="1:17" x14ac:dyDescent="0.25">
      <c r="A2971" t="str">
        <f>IF(C2971&amp;G2971&amp;D2971&lt;&gt;'Funnel setup'!$K$3&amp;'Funnel setup'!$K$4&amp;'Funnel setup'!$K$6,".",IF(A2970=".",1,A2970+1))</f>
        <v>.</v>
      </c>
      <c r="B2971" s="244" t="str">
        <f t="shared" si="46"/>
        <v>Knee Replacement RevisionSub-ICB of GP PracticeNHS SUSSEX ICB - 70F (70F)Oxford Knee Score</v>
      </c>
      <c r="C2971" t="s">
        <v>973</v>
      </c>
      <c r="D2971" t="s">
        <v>1021</v>
      </c>
      <c r="E2971" t="s">
        <v>949</v>
      </c>
      <c r="F2971" t="s">
        <v>950</v>
      </c>
      <c r="G2971" t="s">
        <v>972</v>
      </c>
      <c r="H2971">
        <v>5</v>
      </c>
      <c r="I2971">
        <v>10.6</v>
      </c>
      <c r="J2971">
        <v>36.6</v>
      </c>
      <c r="K2971">
        <v>26</v>
      </c>
      <c r="L2971">
        <v>5</v>
      </c>
      <c r="M2971">
        <v>0</v>
      </c>
      <c r="N2971">
        <v>0</v>
      </c>
      <c r="O2971" t="s">
        <v>127</v>
      </c>
      <c r="P2971" t="s">
        <v>127</v>
      </c>
      <c r="Q2971" t="s">
        <v>127</v>
      </c>
    </row>
    <row r="2972" spans="1:17" x14ac:dyDescent="0.25">
      <c r="A2972" t="str">
        <f>IF(C2972&amp;G2972&amp;D2972&lt;&gt;'Funnel setup'!$K$3&amp;'Funnel setup'!$K$4&amp;'Funnel setup'!$K$6,".",IF(A2971=".",1,A2971+1))</f>
        <v>.</v>
      </c>
      <c r="B2972" s="244" t="str">
        <f t="shared" si="46"/>
        <v>Knee Replacement RevisionSub-ICB of GP PracticeNHS SUSSEX ICB - 97R (97R)Oxford Knee Score</v>
      </c>
      <c r="C2972" t="s">
        <v>973</v>
      </c>
      <c r="D2972" t="s">
        <v>1021</v>
      </c>
      <c r="E2972" t="s">
        <v>951</v>
      </c>
      <c r="F2972" t="s">
        <v>952</v>
      </c>
      <c r="G2972" t="s">
        <v>972</v>
      </c>
      <c r="H2972">
        <v>9</v>
      </c>
      <c r="I2972">
        <v>12.8889</v>
      </c>
      <c r="J2972">
        <v>31.777799999999999</v>
      </c>
      <c r="K2972">
        <v>18.8889</v>
      </c>
      <c r="L2972">
        <v>8</v>
      </c>
      <c r="M2972">
        <v>0</v>
      </c>
      <c r="N2972">
        <v>1</v>
      </c>
      <c r="O2972" t="s">
        <v>127</v>
      </c>
      <c r="P2972" t="s">
        <v>127</v>
      </c>
      <c r="Q2972" t="s">
        <v>127</v>
      </c>
    </row>
    <row r="2973" spans="1:17" x14ac:dyDescent="0.25">
      <c r="A2973" t="str">
        <f>IF(C2973&amp;G2973&amp;D2973&lt;&gt;'Funnel setup'!$K$3&amp;'Funnel setup'!$K$4&amp;'Funnel setup'!$K$6,".",IF(A2972=".",1,A2972+1))</f>
        <v>.</v>
      </c>
      <c r="B2973" s="244" t="str">
        <f t="shared" si="46"/>
        <v>Knee Replacement RevisionSub-ICB of GP PracticeNHS WEST YORKSHIRE ICB - 02T (02T)Oxford Knee Score</v>
      </c>
      <c r="C2973" t="s">
        <v>973</v>
      </c>
      <c r="D2973" t="s">
        <v>1021</v>
      </c>
      <c r="E2973" t="s">
        <v>953</v>
      </c>
      <c r="F2973" t="s">
        <v>954</v>
      </c>
      <c r="G2973" t="s">
        <v>972</v>
      </c>
      <c r="H2973">
        <v>4</v>
      </c>
      <c r="I2973">
        <v>22.75</v>
      </c>
      <c r="J2973">
        <v>35.25</v>
      </c>
      <c r="K2973">
        <v>12.5</v>
      </c>
      <c r="L2973">
        <v>3</v>
      </c>
      <c r="M2973">
        <v>0</v>
      </c>
      <c r="N2973">
        <v>1</v>
      </c>
      <c r="O2973" t="s">
        <v>127</v>
      </c>
      <c r="P2973" t="s">
        <v>127</v>
      </c>
      <c r="Q2973" t="s">
        <v>127</v>
      </c>
    </row>
    <row r="2974" spans="1:17" x14ac:dyDescent="0.25">
      <c r="A2974" t="str">
        <f>IF(C2974&amp;G2974&amp;D2974&lt;&gt;'Funnel setup'!$K$3&amp;'Funnel setup'!$K$4&amp;'Funnel setup'!$K$6,".",IF(A2973=".",1,A2973+1))</f>
        <v>.</v>
      </c>
      <c r="B2974" s="244" t="str">
        <f t="shared" si="46"/>
        <v>Knee Replacement RevisionSub-ICB of GP PracticeNHS WEST YORKSHIRE ICB - 03R (03R)Oxford Knee Score</v>
      </c>
      <c r="C2974" t="s">
        <v>973</v>
      </c>
      <c r="D2974" t="s">
        <v>1021</v>
      </c>
      <c r="E2974" t="s">
        <v>955</v>
      </c>
      <c r="F2974" t="s">
        <v>956</v>
      </c>
      <c r="G2974" t="s">
        <v>972</v>
      </c>
      <c r="H2974">
        <v>16</v>
      </c>
      <c r="I2974">
        <v>18.5625</v>
      </c>
      <c r="J2974">
        <v>31.4375</v>
      </c>
      <c r="K2974">
        <v>12.875</v>
      </c>
      <c r="L2974">
        <v>12</v>
      </c>
      <c r="M2974">
        <v>1</v>
      </c>
      <c r="N2974">
        <v>3</v>
      </c>
      <c r="O2974" t="s">
        <v>127</v>
      </c>
      <c r="P2974" t="s">
        <v>127</v>
      </c>
      <c r="Q2974" t="s">
        <v>127</v>
      </c>
    </row>
    <row r="2975" spans="1:17" x14ac:dyDescent="0.25">
      <c r="A2975" t="str">
        <f>IF(C2975&amp;G2975&amp;D2975&lt;&gt;'Funnel setup'!$K$3&amp;'Funnel setup'!$K$4&amp;'Funnel setup'!$K$6,".",IF(A2974=".",1,A2974+1))</f>
        <v>.</v>
      </c>
      <c r="B2975" s="244" t="str">
        <f t="shared" si="46"/>
        <v>Knee Replacement RevisionSub-ICB of GP PracticeNHS WEST YORKSHIRE ICB - 15F (15F)Oxford Knee Score</v>
      </c>
      <c r="C2975" t="s">
        <v>973</v>
      </c>
      <c r="D2975" t="s">
        <v>1021</v>
      </c>
      <c r="E2975" t="s">
        <v>957</v>
      </c>
      <c r="F2975" t="s">
        <v>958</v>
      </c>
      <c r="G2975" t="s">
        <v>972</v>
      </c>
      <c r="H2975">
        <v>14</v>
      </c>
      <c r="I2975">
        <v>15.142899999999999</v>
      </c>
      <c r="J2975">
        <v>30.428599999999999</v>
      </c>
      <c r="K2975">
        <v>15.2857</v>
      </c>
      <c r="L2975">
        <v>14</v>
      </c>
      <c r="M2975">
        <v>0</v>
      </c>
      <c r="N2975">
        <v>0</v>
      </c>
      <c r="O2975" t="s">
        <v>127</v>
      </c>
      <c r="P2975" t="s">
        <v>127</v>
      </c>
      <c r="Q2975" t="s">
        <v>127</v>
      </c>
    </row>
    <row r="2976" spans="1:17" x14ac:dyDescent="0.25">
      <c r="A2976" t="str">
        <f>IF(C2976&amp;G2976&amp;D2976&lt;&gt;'Funnel setup'!$K$3&amp;'Funnel setup'!$K$4&amp;'Funnel setup'!$K$6,".",IF(A2975=".",1,A2975+1))</f>
        <v>.</v>
      </c>
      <c r="B2976" s="244" t="str">
        <f t="shared" si="46"/>
        <v>Knee Replacement RevisionSub-ICB of GP PracticeNHS WEST YORKSHIRE ICB - 36J (36J)Oxford Knee Score</v>
      </c>
      <c r="C2976" t="s">
        <v>973</v>
      </c>
      <c r="D2976" t="s">
        <v>1021</v>
      </c>
      <c r="E2976" t="s">
        <v>959</v>
      </c>
      <c r="F2976" t="s">
        <v>960</v>
      </c>
      <c r="G2976" t="s">
        <v>972</v>
      </c>
      <c r="H2976">
        <v>1</v>
      </c>
      <c r="I2976">
        <v>10</v>
      </c>
      <c r="J2976">
        <v>10</v>
      </c>
      <c r="K2976">
        <v>0</v>
      </c>
      <c r="L2976">
        <v>0</v>
      </c>
      <c r="M2976">
        <v>1</v>
      </c>
      <c r="N2976">
        <v>0</v>
      </c>
      <c r="O2976" t="s">
        <v>127</v>
      </c>
      <c r="P2976" t="s">
        <v>127</v>
      </c>
      <c r="Q2976" t="s">
        <v>127</v>
      </c>
    </row>
    <row r="2977" spans="1:17" x14ac:dyDescent="0.25">
      <c r="A2977" t="str">
        <f>IF(C2977&amp;G2977&amp;D2977&lt;&gt;'Funnel setup'!$K$3&amp;'Funnel setup'!$K$4&amp;'Funnel setup'!$K$6,".",IF(A2976=".",1,A2976+1))</f>
        <v>.</v>
      </c>
      <c r="B2977" s="244" t="str">
        <f t="shared" si="46"/>
        <v>Knee Replacement RevisionSub-ICB of GP PracticeNHS WEST YORKSHIRE ICB - X2C4Y (X2C4Y)Oxford Knee Score</v>
      </c>
      <c r="C2977" t="s">
        <v>973</v>
      </c>
      <c r="D2977" t="s">
        <v>1021</v>
      </c>
      <c r="E2977" t="s">
        <v>961</v>
      </c>
      <c r="F2977" t="s">
        <v>962</v>
      </c>
      <c r="G2977" t="s">
        <v>972</v>
      </c>
      <c r="H2977">
        <v>11</v>
      </c>
      <c r="I2977">
        <v>17.2727</v>
      </c>
      <c r="J2977">
        <v>35.2727</v>
      </c>
      <c r="K2977">
        <v>18</v>
      </c>
      <c r="L2977">
        <v>9</v>
      </c>
      <c r="M2977">
        <v>0</v>
      </c>
      <c r="N2977">
        <v>2</v>
      </c>
      <c r="O2977" t="s">
        <v>127</v>
      </c>
      <c r="P2977" t="s">
        <v>127</v>
      </c>
      <c r="Q2977" t="s">
        <v>127</v>
      </c>
    </row>
    <row r="2978" spans="1:17" x14ac:dyDescent="0.25">
      <c r="A2978" t="str">
        <f>IF(C2978&amp;G2978&amp;D2978&lt;&gt;'Funnel setup'!$K$3&amp;'Funnel setup'!$K$4&amp;'Funnel setup'!$K$6,".",IF(A2977=".",1,A2977+1))</f>
        <v>.</v>
      </c>
      <c r="B2978" s="244" t="str">
        <f t="shared" si="46"/>
        <v>Knee Replacement RevisionEnglandEnglandEQ VAS</v>
      </c>
      <c r="C2978" t="s">
        <v>973</v>
      </c>
      <c r="D2978" t="s">
        <v>122</v>
      </c>
      <c r="E2978" t="s">
        <v>122</v>
      </c>
      <c r="F2978" t="s">
        <v>122</v>
      </c>
      <c r="G2978" t="s">
        <v>752</v>
      </c>
      <c r="H2978">
        <v>561</v>
      </c>
      <c r="I2978">
        <v>59.903700000000001</v>
      </c>
      <c r="J2978">
        <v>67.130099999999999</v>
      </c>
      <c r="K2978">
        <v>7.2263799999999998</v>
      </c>
      <c r="L2978">
        <v>326</v>
      </c>
      <c r="M2978">
        <v>63</v>
      </c>
      <c r="N2978">
        <v>172</v>
      </c>
      <c r="O2978">
        <v>67.130099999999999</v>
      </c>
      <c r="P2978">
        <v>7.2263799999999998</v>
      </c>
      <c r="Q2978">
        <v>18.941500000000001</v>
      </c>
    </row>
    <row r="2979" spans="1:17" x14ac:dyDescent="0.25">
      <c r="A2979" t="str">
        <f>IF(C2979&amp;G2979&amp;D2979&lt;&gt;'Funnel setup'!$K$3&amp;'Funnel setup'!$K$4&amp;'Funnel setup'!$K$6,".",IF(A2978=".",1,A2978+1))</f>
        <v>.</v>
      </c>
      <c r="B2979" s="244" t="str">
        <f t="shared" si="46"/>
        <v>Knee Replacement RevisionEnglandEnglandEQ-5D Index</v>
      </c>
      <c r="C2979" t="s">
        <v>973</v>
      </c>
      <c r="D2979" t="s">
        <v>122</v>
      </c>
      <c r="E2979" t="s">
        <v>122</v>
      </c>
      <c r="F2979" t="s">
        <v>122</v>
      </c>
      <c r="G2979" t="s">
        <v>963</v>
      </c>
      <c r="H2979">
        <v>569</v>
      </c>
      <c r="I2979">
        <v>0.31195600000000001</v>
      </c>
      <c r="J2979">
        <v>0.61948300000000001</v>
      </c>
      <c r="K2979">
        <v>0.30752699999999999</v>
      </c>
      <c r="L2979">
        <v>429</v>
      </c>
      <c r="M2979">
        <v>55</v>
      </c>
      <c r="N2979">
        <v>85</v>
      </c>
      <c r="O2979">
        <v>0.61948300000000001</v>
      </c>
      <c r="P2979">
        <v>0.30752699999999999</v>
      </c>
      <c r="Q2979">
        <v>0.27795300000000001</v>
      </c>
    </row>
    <row r="2980" spans="1:17" x14ac:dyDescent="0.25">
      <c r="A2980" t="str">
        <f>IF(C2980&amp;G2980&amp;D2980&lt;&gt;'Funnel setup'!$K$3&amp;'Funnel setup'!$K$4&amp;'Funnel setup'!$K$6,".",IF(A2979=".",1,A2979+1))</f>
        <v>.</v>
      </c>
      <c r="B2980" s="244" t="str">
        <f t="shared" si="46"/>
        <v>Knee Replacement RevisionEnglandEnglandOxford Knee Score</v>
      </c>
      <c r="C2980" t="s">
        <v>973</v>
      </c>
      <c r="D2980" t="s">
        <v>122</v>
      </c>
      <c r="E2980" t="s">
        <v>122</v>
      </c>
      <c r="F2980" t="s">
        <v>122</v>
      </c>
      <c r="G2980" t="s">
        <v>972</v>
      </c>
      <c r="H2980">
        <v>611</v>
      </c>
      <c r="I2980">
        <v>16.327300000000001</v>
      </c>
      <c r="J2980">
        <v>30.296199999999999</v>
      </c>
      <c r="K2980">
        <v>13.9689</v>
      </c>
      <c r="L2980">
        <v>532</v>
      </c>
      <c r="M2980">
        <v>7</v>
      </c>
      <c r="N2980">
        <v>72</v>
      </c>
      <c r="O2980">
        <v>30.296199999999999</v>
      </c>
      <c r="P2980">
        <v>13.9689</v>
      </c>
      <c r="Q2980">
        <v>10.386699999999999</v>
      </c>
    </row>
    <row r="2981" spans="1:17" x14ac:dyDescent="0.25">
      <c r="A2981" t="str">
        <f>IF(C2981&amp;G2981&amp;D2981&lt;&gt;'Funnel setup'!$K$3&amp;'Funnel setup'!$K$4&amp;'Funnel setup'!$K$6,".",IF(A2980=".",1,A2980+1))</f>
        <v>.</v>
      </c>
      <c r="B2981" s="244" t="str">
        <f t="shared" si="46"/>
        <v>Knee Replacement RevisionProviderASHFORD AND ST PETER'S HOSPITALS NHS FOUNDATION TRUST (RTK)EQ VAS</v>
      </c>
      <c r="C2981" t="s">
        <v>973</v>
      </c>
      <c r="D2981" t="s">
        <v>965</v>
      </c>
      <c r="E2981" t="s">
        <v>132</v>
      </c>
      <c r="F2981" t="s">
        <v>133</v>
      </c>
      <c r="G2981" t="s">
        <v>752</v>
      </c>
      <c r="H2981">
        <v>1</v>
      </c>
      <c r="I2981">
        <v>70</v>
      </c>
      <c r="J2981">
        <v>12</v>
      </c>
      <c r="K2981">
        <v>-58</v>
      </c>
      <c r="L2981">
        <v>0</v>
      </c>
      <c r="M2981">
        <v>0</v>
      </c>
      <c r="N2981">
        <v>1</v>
      </c>
      <c r="O2981" t="s">
        <v>127</v>
      </c>
      <c r="P2981" t="s">
        <v>127</v>
      </c>
      <c r="Q2981" t="s">
        <v>127</v>
      </c>
    </row>
    <row r="2982" spans="1:17" x14ac:dyDescent="0.25">
      <c r="A2982" t="str">
        <f>IF(C2982&amp;G2982&amp;D2982&lt;&gt;'Funnel setup'!$K$3&amp;'Funnel setup'!$K$4&amp;'Funnel setup'!$K$6,".",IF(A2981=".",1,A2981+1))</f>
        <v>.</v>
      </c>
      <c r="B2982" s="244" t="str">
        <f t="shared" si="46"/>
        <v>Knee Replacement RevisionProviderBARKING, HAVERING AND REDBRIDGE UNIVERSITY HOSPITALS NHS TRUST (RF4)EQ VAS</v>
      </c>
      <c r="C2982" t="s">
        <v>973</v>
      </c>
      <c r="D2982" t="s">
        <v>965</v>
      </c>
      <c r="E2982" t="s">
        <v>144</v>
      </c>
      <c r="F2982" t="s">
        <v>145</v>
      </c>
      <c r="G2982" t="s">
        <v>752</v>
      </c>
      <c r="H2982">
        <v>1</v>
      </c>
      <c r="I2982">
        <v>50</v>
      </c>
      <c r="J2982">
        <v>65</v>
      </c>
      <c r="K2982">
        <v>15</v>
      </c>
      <c r="L2982">
        <v>1</v>
      </c>
      <c r="M2982">
        <v>0</v>
      </c>
      <c r="N2982">
        <v>0</v>
      </c>
      <c r="O2982" t="s">
        <v>127</v>
      </c>
      <c r="P2982" t="s">
        <v>127</v>
      </c>
      <c r="Q2982" t="s">
        <v>127</v>
      </c>
    </row>
    <row r="2983" spans="1:17" x14ac:dyDescent="0.25">
      <c r="A2983" t="str">
        <f>IF(C2983&amp;G2983&amp;D2983&lt;&gt;'Funnel setup'!$K$3&amp;'Funnel setup'!$K$4&amp;'Funnel setup'!$K$6,".",IF(A2982=".",1,A2982+1))</f>
        <v>.</v>
      </c>
      <c r="B2983" s="244" t="str">
        <f t="shared" si="46"/>
        <v>Knee Replacement RevisionProviderBARNSLEY HOSPITAL NHS FOUNDATION TRUST (RFF)EQ VAS</v>
      </c>
      <c r="C2983" t="s">
        <v>973</v>
      </c>
      <c r="D2983" t="s">
        <v>965</v>
      </c>
      <c r="E2983" t="s">
        <v>146</v>
      </c>
      <c r="F2983" t="s">
        <v>147</v>
      </c>
      <c r="G2983" t="s">
        <v>752</v>
      </c>
      <c r="H2983">
        <v>1</v>
      </c>
      <c r="I2983">
        <v>50</v>
      </c>
      <c r="J2983">
        <v>69</v>
      </c>
      <c r="K2983">
        <v>19</v>
      </c>
      <c r="L2983">
        <v>1</v>
      </c>
      <c r="M2983">
        <v>0</v>
      </c>
      <c r="N2983">
        <v>0</v>
      </c>
      <c r="O2983" t="s">
        <v>127</v>
      </c>
      <c r="P2983" t="s">
        <v>127</v>
      </c>
      <c r="Q2983" t="s">
        <v>127</v>
      </c>
    </row>
    <row r="2984" spans="1:17" x14ac:dyDescent="0.25">
      <c r="A2984" t="str">
        <f>IF(C2984&amp;G2984&amp;D2984&lt;&gt;'Funnel setup'!$K$3&amp;'Funnel setup'!$K$4&amp;'Funnel setup'!$K$6,".",IF(A2983=".",1,A2983+1))</f>
        <v>.</v>
      </c>
      <c r="B2984" s="244" t="str">
        <f t="shared" si="46"/>
        <v>Knee Replacement RevisionProviderBARTS HEALTH NHS TRUST (R1H)EQ VAS</v>
      </c>
      <c r="C2984" t="s">
        <v>973</v>
      </c>
      <c r="D2984" t="s">
        <v>965</v>
      </c>
      <c r="E2984" t="s">
        <v>148</v>
      </c>
      <c r="F2984" t="s">
        <v>149</v>
      </c>
      <c r="G2984" t="s">
        <v>752</v>
      </c>
      <c r="H2984">
        <v>5</v>
      </c>
      <c r="I2984">
        <v>61.2</v>
      </c>
      <c r="J2984">
        <v>65</v>
      </c>
      <c r="K2984">
        <v>3.8</v>
      </c>
      <c r="L2984">
        <v>2</v>
      </c>
      <c r="M2984">
        <v>1</v>
      </c>
      <c r="N2984">
        <v>2</v>
      </c>
      <c r="O2984" t="s">
        <v>127</v>
      </c>
      <c r="P2984" t="s">
        <v>127</v>
      </c>
      <c r="Q2984" t="s">
        <v>127</v>
      </c>
    </row>
    <row r="2985" spans="1:17" x14ac:dyDescent="0.25">
      <c r="A2985" t="str">
        <f>IF(C2985&amp;G2985&amp;D2985&lt;&gt;'Funnel setup'!$K$3&amp;'Funnel setup'!$K$4&amp;'Funnel setup'!$K$6,".",IF(A2984=".",1,A2984+1))</f>
        <v>.</v>
      </c>
      <c r="B2985" s="244" t="str">
        <f t="shared" si="46"/>
        <v>Knee Replacement RevisionProviderBEARDWOOD HOSPITAL (NT403)EQ VAS</v>
      </c>
      <c r="C2985" t="s">
        <v>973</v>
      </c>
      <c r="D2985" t="s">
        <v>965</v>
      </c>
      <c r="E2985" t="s">
        <v>154</v>
      </c>
      <c r="F2985" t="s">
        <v>155</v>
      </c>
      <c r="G2985" t="s">
        <v>752</v>
      </c>
      <c r="H2985" t="s">
        <v>127</v>
      </c>
      <c r="I2985" t="s">
        <v>127</v>
      </c>
      <c r="J2985" t="s">
        <v>127</v>
      </c>
      <c r="K2985" t="s">
        <v>127</v>
      </c>
      <c r="L2985" t="s">
        <v>127</v>
      </c>
      <c r="M2985" t="s">
        <v>127</v>
      </c>
      <c r="N2985" t="s">
        <v>127</v>
      </c>
      <c r="O2985" t="s">
        <v>127</v>
      </c>
      <c r="P2985" t="s">
        <v>127</v>
      </c>
      <c r="Q2985" t="s">
        <v>127</v>
      </c>
    </row>
    <row r="2986" spans="1:17" x14ac:dyDescent="0.25">
      <c r="A2986" t="str">
        <f>IF(C2986&amp;G2986&amp;D2986&lt;&gt;'Funnel setup'!$K$3&amp;'Funnel setup'!$K$4&amp;'Funnel setup'!$K$6,".",IF(A2985=".",1,A2985+1))</f>
        <v>.</v>
      </c>
      <c r="B2986" s="244" t="str">
        <f t="shared" si="46"/>
        <v>Knee Replacement RevisionProviderBEAUMONT HOSPITAL (NT404)EQ VAS</v>
      </c>
      <c r="C2986" t="s">
        <v>973</v>
      </c>
      <c r="D2986" t="s">
        <v>965</v>
      </c>
      <c r="E2986" t="s">
        <v>156</v>
      </c>
      <c r="F2986" t="s">
        <v>157</v>
      </c>
      <c r="G2986" t="s">
        <v>752</v>
      </c>
      <c r="H2986" t="s">
        <v>127</v>
      </c>
      <c r="I2986" t="s">
        <v>127</v>
      </c>
      <c r="J2986" t="s">
        <v>127</v>
      </c>
      <c r="K2986" t="s">
        <v>127</v>
      </c>
      <c r="L2986" t="s">
        <v>127</v>
      </c>
      <c r="M2986" t="s">
        <v>127</v>
      </c>
      <c r="N2986" t="s">
        <v>127</v>
      </c>
      <c r="O2986" t="s">
        <v>127</v>
      </c>
      <c r="P2986" t="s">
        <v>127</v>
      </c>
      <c r="Q2986" t="s">
        <v>127</v>
      </c>
    </row>
    <row r="2987" spans="1:17" x14ac:dyDescent="0.25">
      <c r="A2987" t="str">
        <f>IF(C2987&amp;G2987&amp;D2987&lt;&gt;'Funnel setup'!$K$3&amp;'Funnel setup'!$K$4&amp;'Funnel setup'!$K$6,".",IF(A2986=".",1,A2986+1))</f>
        <v>.</v>
      </c>
      <c r="B2987" s="244" t="str">
        <f t="shared" si="46"/>
        <v>Knee Replacement RevisionProviderBEDFORDSHIRE HOSPITALS NHS FOUNDATION TRUST (RC9)EQ VAS</v>
      </c>
      <c r="C2987" t="s">
        <v>973</v>
      </c>
      <c r="D2987" t="s">
        <v>965</v>
      </c>
      <c r="E2987" t="s">
        <v>158</v>
      </c>
      <c r="F2987" t="s">
        <v>159</v>
      </c>
      <c r="G2987" t="s">
        <v>752</v>
      </c>
      <c r="H2987">
        <v>3</v>
      </c>
      <c r="I2987">
        <v>68.333299999999994</v>
      </c>
      <c r="J2987">
        <v>85.333299999999994</v>
      </c>
      <c r="K2987">
        <v>17</v>
      </c>
      <c r="L2987">
        <v>3</v>
      </c>
      <c r="M2987">
        <v>0</v>
      </c>
      <c r="N2987">
        <v>0</v>
      </c>
      <c r="O2987" t="s">
        <v>127</v>
      </c>
      <c r="P2987" t="s">
        <v>127</v>
      </c>
      <c r="Q2987" t="s">
        <v>127</v>
      </c>
    </row>
    <row r="2988" spans="1:17" x14ac:dyDescent="0.25">
      <c r="A2988" t="str">
        <f>IF(C2988&amp;G2988&amp;D2988&lt;&gt;'Funnel setup'!$K$3&amp;'Funnel setup'!$K$4&amp;'Funnel setup'!$K$6,".",IF(A2987=".",1,A2987+1))</f>
        <v>.</v>
      </c>
      <c r="B2988" s="244" t="str">
        <f t="shared" si="46"/>
        <v>Knee Replacement RevisionProviderBLACKPOOL TEACHING HOSPITALS NHS FOUNDATION TRUST (RXL)EQ VAS</v>
      </c>
      <c r="C2988" t="s">
        <v>973</v>
      </c>
      <c r="D2988" t="s">
        <v>965</v>
      </c>
      <c r="E2988" t="s">
        <v>170</v>
      </c>
      <c r="F2988" t="s">
        <v>171</v>
      </c>
      <c r="G2988" t="s">
        <v>752</v>
      </c>
      <c r="H2988">
        <v>1</v>
      </c>
      <c r="I2988">
        <v>50</v>
      </c>
      <c r="J2988">
        <v>49</v>
      </c>
      <c r="K2988">
        <v>-1</v>
      </c>
      <c r="L2988">
        <v>0</v>
      </c>
      <c r="M2988">
        <v>0</v>
      </c>
      <c r="N2988">
        <v>1</v>
      </c>
      <c r="O2988" t="s">
        <v>127</v>
      </c>
      <c r="P2988" t="s">
        <v>127</v>
      </c>
      <c r="Q2988" t="s">
        <v>127</v>
      </c>
    </row>
    <row r="2989" spans="1:17" x14ac:dyDescent="0.25">
      <c r="A2989" t="str">
        <f>IF(C2989&amp;G2989&amp;D2989&lt;&gt;'Funnel setup'!$K$3&amp;'Funnel setup'!$K$4&amp;'Funnel setup'!$K$6,".",IF(A2988=".",1,A2988+1))</f>
        <v>.</v>
      </c>
      <c r="B2989" s="244" t="str">
        <f t="shared" si="46"/>
        <v>Knee Replacement RevisionProviderBOLTON NHS FOUNDATION TRUST (RMC)EQ VAS</v>
      </c>
      <c r="C2989" t="s">
        <v>973</v>
      </c>
      <c r="D2989" t="s">
        <v>965</v>
      </c>
      <c r="E2989" t="s">
        <v>172</v>
      </c>
      <c r="F2989" t="s">
        <v>173</v>
      </c>
      <c r="G2989" t="s">
        <v>752</v>
      </c>
      <c r="H2989">
        <v>4</v>
      </c>
      <c r="I2989">
        <v>65</v>
      </c>
      <c r="J2989">
        <v>66.5</v>
      </c>
      <c r="K2989">
        <v>1.5</v>
      </c>
      <c r="L2989">
        <v>1</v>
      </c>
      <c r="M2989">
        <v>2</v>
      </c>
      <c r="N2989">
        <v>1</v>
      </c>
      <c r="O2989" t="s">
        <v>127</v>
      </c>
      <c r="P2989" t="s">
        <v>127</v>
      </c>
      <c r="Q2989" t="s">
        <v>127</v>
      </c>
    </row>
    <row r="2990" spans="1:17" x14ac:dyDescent="0.25">
      <c r="A2990" t="str">
        <f>IF(C2990&amp;G2990&amp;D2990&lt;&gt;'Funnel setup'!$K$3&amp;'Funnel setup'!$K$4&amp;'Funnel setup'!$K$6,".",IF(A2989=".",1,A2989+1))</f>
        <v>.</v>
      </c>
      <c r="B2990" s="244" t="str">
        <f t="shared" si="46"/>
        <v>Knee Replacement RevisionProviderBRADFORD TEACHING HOSPITALS NHS FOUNDATION TRUST (RAE)EQ VAS</v>
      </c>
      <c r="C2990" t="s">
        <v>973</v>
      </c>
      <c r="D2990" t="s">
        <v>965</v>
      </c>
      <c r="E2990" t="s">
        <v>174</v>
      </c>
      <c r="F2990" t="s">
        <v>175</v>
      </c>
      <c r="G2990" t="s">
        <v>752</v>
      </c>
      <c r="H2990">
        <v>1</v>
      </c>
      <c r="I2990">
        <v>70</v>
      </c>
      <c r="J2990">
        <v>71</v>
      </c>
      <c r="K2990">
        <v>1</v>
      </c>
      <c r="L2990">
        <v>1</v>
      </c>
      <c r="M2990">
        <v>0</v>
      </c>
      <c r="N2990">
        <v>0</v>
      </c>
      <c r="O2990" t="s">
        <v>127</v>
      </c>
      <c r="P2990" t="s">
        <v>127</v>
      </c>
      <c r="Q2990" t="s">
        <v>127</v>
      </c>
    </row>
    <row r="2991" spans="1:17" x14ac:dyDescent="0.25">
      <c r="A2991" t="str">
        <f>IF(C2991&amp;G2991&amp;D2991&lt;&gt;'Funnel setup'!$K$3&amp;'Funnel setup'!$K$4&amp;'Funnel setup'!$K$6,".",IF(A2990=".",1,A2990+1))</f>
        <v>.</v>
      </c>
      <c r="B2991" s="244" t="str">
        <f t="shared" si="46"/>
        <v>Knee Replacement RevisionProviderBUCKINGHAMSHIRE HEALTHCARE NHS TRUST (RXQ)EQ VAS</v>
      </c>
      <c r="C2991" t="s">
        <v>973</v>
      </c>
      <c r="D2991" t="s">
        <v>965</v>
      </c>
      <c r="E2991" t="s">
        <v>178</v>
      </c>
      <c r="F2991" t="s">
        <v>179</v>
      </c>
      <c r="G2991" t="s">
        <v>752</v>
      </c>
      <c r="H2991">
        <v>1</v>
      </c>
      <c r="I2991">
        <v>80</v>
      </c>
      <c r="J2991">
        <v>75</v>
      </c>
      <c r="K2991">
        <v>-5</v>
      </c>
      <c r="L2991">
        <v>0</v>
      </c>
      <c r="M2991">
        <v>0</v>
      </c>
      <c r="N2991">
        <v>1</v>
      </c>
      <c r="O2991" t="s">
        <v>127</v>
      </c>
      <c r="P2991" t="s">
        <v>127</v>
      </c>
      <c r="Q2991" t="s">
        <v>127</v>
      </c>
    </row>
    <row r="2992" spans="1:17" x14ac:dyDescent="0.25">
      <c r="A2992" t="str">
        <f>IF(C2992&amp;G2992&amp;D2992&lt;&gt;'Funnel setup'!$K$3&amp;'Funnel setup'!$K$4&amp;'Funnel setup'!$K$6,".",IF(A2991=".",1,A2991+1))</f>
        <v>.</v>
      </c>
      <c r="B2992" s="244" t="str">
        <f t="shared" si="46"/>
        <v>Knee Replacement RevisionProviderCALDERDALE AND HUDDERSFIELD NHS FOUNDATION TRUST (RWY)EQ VAS</v>
      </c>
      <c r="C2992" t="s">
        <v>973</v>
      </c>
      <c r="D2992" t="s">
        <v>965</v>
      </c>
      <c r="E2992" t="s">
        <v>180</v>
      </c>
      <c r="F2992" t="s">
        <v>181</v>
      </c>
      <c r="G2992" t="s">
        <v>752</v>
      </c>
      <c r="H2992">
        <v>5</v>
      </c>
      <c r="I2992">
        <v>69.599999999999994</v>
      </c>
      <c r="J2992">
        <v>80.8</v>
      </c>
      <c r="K2992">
        <v>11.2</v>
      </c>
      <c r="L2992">
        <v>3</v>
      </c>
      <c r="M2992">
        <v>0</v>
      </c>
      <c r="N2992">
        <v>2</v>
      </c>
      <c r="O2992" t="s">
        <v>127</v>
      </c>
      <c r="P2992" t="s">
        <v>127</v>
      </c>
      <c r="Q2992" t="s">
        <v>127</v>
      </c>
    </row>
    <row r="2993" spans="1:17" x14ac:dyDescent="0.25">
      <c r="A2993" t="str">
        <f>IF(C2993&amp;G2993&amp;D2993&lt;&gt;'Funnel setup'!$K$3&amp;'Funnel setup'!$K$4&amp;'Funnel setup'!$K$6,".",IF(A2992=".",1,A2992+1))</f>
        <v>.</v>
      </c>
      <c r="B2993" s="244" t="str">
        <f t="shared" si="46"/>
        <v>Knee Replacement RevisionProviderCAMBRIDGE UNIVERSITY HOSPITALS NHS FOUNDATION TRUST (RGT)EQ VAS</v>
      </c>
      <c r="C2993" t="s">
        <v>973</v>
      </c>
      <c r="D2993" t="s">
        <v>965</v>
      </c>
      <c r="E2993" t="s">
        <v>182</v>
      </c>
      <c r="F2993" t="s">
        <v>183</v>
      </c>
      <c r="G2993" t="s">
        <v>752</v>
      </c>
      <c r="H2993">
        <v>4</v>
      </c>
      <c r="I2993">
        <v>53</v>
      </c>
      <c r="J2993">
        <v>66.25</v>
      </c>
      <c r="K2993">
        <v>13.25</v>
      </c>
      <c r="L2993">
        <v>3</v>
      </c>
      <c r="M2993">
        <v>1</v>
      </c>
      <c r="N2993">
        <v>0</v>
      </c>
      <c r="O2993" t="s">
        <v>127</v>
      </c>
      <c r="P2993" t="s">
        <v>127</v>
      </c>
      <c r="Q2993" t="s">
        <v>127</v>
      </c>
    </row>
    <row r="2994" spans="1:17" x14ac:dyDescent="0.25">
      <c r="A2994" t="str">
        <f>IF(C2994&amp;G2994&amp;D2994&lt;&gt;'Funnel setup'!$K$3&amp;'Funnel setup'!$K$4&amp;'Funnel setup'!$K$6,".",IF(A2993=".",1,A2993+1))</f>
        <v>.</v>
      </c>
      <c r="B2994" s="244" t="str">
        <f t="shared" si="46"/>
        <v>Knee Replacement RevisionProviderCAVELL HOSPITAL (NT451)EQ VAS</v>
      </c>
      <c r="C2994" t="s">
        <v>973</v>
      </c>
      <c r="D2994" t="s">
        <v>965</v>
      </c>
      <c r="E2994" t="s">
        <v>184</v>
      </c>
      <c r="F2994" t="s">
        <v>185</v>
      </c>
      <c r="G2994" t="s">
        <v>752</v>
      </c>
      <c r="H2994" t="s">
        <v>127</v>
      </c>
      <c r="I2994" t="s">
        <v>127</v>
      </c>
      <c r="J2994" t="s">
        <v>127</v>
      </c>
      <c r="K2994" t="s">
        <v>127</v>
      </c>
      <c r="L2994" t="s">
        <v>127</v>
      </c>
      <c r="M2994" t="s">
        <v>127</v>
      </c>
      <c r="N2994" t="s">
        <v>127</v>
      </c>
      <c r="O2994" t="s">
        <v>127</v>
      </c>
      <c r="P2994" t="s">
        <v>127</v>
      </c>
      <c r="Q2994" t="s">
        <v>127</v>
      </c>
    </row>
    <row r="2995" spans="1:17" x14ac:dyDescent="0.25">
      <c r="A2995" t="str">
        <f>IF(C2995&amp;G2995&amp;D2995&lt;&gt;'Funnel setup'!$K$3&amp;'Funnel setup'!$K$4&amp;'Funnel setup'!$K$6,".",IF(A2994=".",1,A2994+1))</f>
        <v>.</v>
      </c>
      <c r="B2995" s="244" t="str">
        <f t="shared" si="46"/>
        <v>Knee Replacement RevisionProviderCHELSEA AND WESTMINSTER HOSPITAL NHS FOUNDATION TRUST (RQM)EQ VAS</v>
      </c>
      <c r="C2995" t="s">
        <v>973</v>
      </c>
      <c r="D2995" t="s">
        <v>965</v>
      </c>
      <c r="E2995" t="s">
        <v>188</v>
      </c>
      <c r="F2995" t="s">
        <v>189</v>
      </c>
      <c r="G2995" t="s">
        <v>752</v>
      </c>
      <c r="H2995">
        <v>1</v>
      </c>
      <c r="I2995">
        <v>65</v>
      </c>
      <c r="J2995">
        <v>80</v>
      </c>
      <c r="K2995">
        <v>15</v>
      </c>
      <c r="L2995">
        <v>1</v>
      </c>
      <c r="M2995">
        <v>0</v>
      </c>
      <c r="N2995">
        <v>0</v>
      </c>
      <c r="O2995" t="s">
        <v>127</v>
      </c>
      <c r="P2995" t="s">
        <v>127</v>
      </c>
      <c r="Q2995" t="s">
        <v>127</v>
      </c>
    </row>
    <row r="2996" spans="1:17" x14ac:dyDescent="0.25">
      <c r="A2996" t="str">
        <f>IF(C2996&amp;G2996&amp;D2996&lt;&gt;'Funnel setup'!$K$3&amp;'Funnel setup'!$K$4&amp;'Funnel setup'!$K$6,".",IF(A2995=".",1,A2995+1))</f>
        <v>.</v>
      </c>
      <c r="B2996" s="244" t="str">
        <f t="shared" si="46"/>
        <v>Knee Replacement RevisionProviderCHESTERFIELD ROYAL HOSPITAL NHS FOUNDATION TRUST (RFS)EQ VAS</v>
      </c>
      <c r="C2996" t="s">
        <v>973</v>
      </c>
      <c r="D2996" t="s">
        <v>965</v>
      </c>
      <c r="E2996" t="s">
        <v>192</v>
      </c>
      <c r="F2996" t="s">
        <v>193</v>
      </c>
      <c r="G2996" t="s">
        <v>752</v>
      </c>
      <c r="H2996">
        <v>2</v>
      </c>
      <c r="I2996">
        <v>53</v>
      </c>
      <c r="J2996">
        <v>37.5</v>
      </c>
      <c r="K2996">
        <v>-15.5</v>
      </c>
      <c r="L2996">
        <v>1</v>
      </c>
      <c r="M2996">
        <v>0</v>
      </c>
      <c r="N2996">
        <v>1</v>
      </c>
      <c r="O2996" t="s">
        <v>127</v>
      </c>
      <c r="P2996" t="s">
        <v>127</v>
      </c>
      <c r="Q2996" t="s">
        <v>127</v>
      </c>
    </row>
    <row r="2997" spans="1:17" x14ac:dyDescent="0.25">
      <c r="A2997" t="str">
        <f>IF(C2997&amp;G2997&amp;D2997&lt;&gt;'Funnel setup'!$K$3&amp;'Funnel setup'!$K$4&amp;'Funnel setup'!$K$6,".",IF(A2996=".",1,A2996+1))</f>
        <v>.</v>
      </c>
      <c r="B2997" s="244" t="str">
        <f t="shared" si="46"/>
        <v>Knee Replacement RevisionProviderCLEMENTINE CHURCHILL HOSPITAL (NT411)EQ VAS</v>
      </c>
      <c r="C2997" t="s">
        <v>973</v>
      </c>
      <c r="D2997" t="s">
        <v>965</v>
      </c>
      <c r="E2997" t="s">
        <v>200</v>
      </c>
      <c r="F2997" t="s">
        <v>201</v>
      </c>
      <c r="G2997" t="s">
        <v>752</v>
      </c>
      <c r="H2997" t="s">
        <v>127</v>
      </c>
      <c r="I2997" t="s">
        <v>127</v>
      </c>
      <c r="J2997" t="s">
        <v>127</v>
      </c>
      <c r="K2997" t="s">
        <v>127</v>
      </c>
      <c r="L2997" t="s">
        <v>127</v>
      </c>
      <c r="M2997" t="s">
        <v>127</v>
      </c>
      <c r="N2997" t="s">
        <v>127</v>
      </c>
      <c r="O2997" t="s">
        <v>127</v>
      </c>
      <c r="P2997" t="s">
        <v>127</v>
      </c>
      <c r="Q2997" t="s">
        <v>127</v>
      </c>
    </row>
    <row r="2998" spans="1:17" x14ac:dyDescent="0.25">
      <c r="A2998" t="str">
        <f>IF(C2998&amp;G2998&amp;D2998&lt;&gt;'Funnel setup'!$K$3&amp;'Funnel setup'!$K$4&amp;'Funnel setup'!$K$6,".",IF(A2997=".",1,A2997+1))</f>
        <v>.</v>
      </c>
      <c r="B2998" s="244" t="str">
        <f t="shared" si="46"/>
        <v>Knee Replacement RevisionProviderCLIFTON PARK HOSPITAL (NVC28)EQ VAS</v>
      </c>
      <c r="C2998" t="s">
        <v>973</v>
      </c>
      <c r="D2998" t="s">
        <v>965</v>
      </c>
      <c r="E2998" t="s">
        <v>202</v>
      </c>
      <c r="F2998" t="s">
        <v>203</v>
      </c>
      <c r="G2998" t="s">
        <v>752</v>
      </c>
      <c r="H2998">
        <v>6</v>
      </c>
      <c r="I2998">
        <v>33</v>
      </c>
      <c r="J2998">
        <v>86.5</v>
      </c>
      <c r="K2998">
        <v>53.5</v>
      </c>
      <c r="L2998">
        <v>6</v>
      </c>
      <c r="M2998">
        <v>0</v>
      </c>
      <c r="N2998">
        <v>0</v>
      </c>
      <c r="O2998" t="s">
        <v>127</v>
      </c>
      <c r="P2998" t="s">
        <v>127</v>
      </c>
      <c r="Q2998" t="s">
        <v>127</v>
      </c>
    </row>
    <row r="2999" spans="1:17" x14ac:dyDescent="0.25">
      <c r="A2999" t="str">
        <f>IF(C2999&amp;G2999&amp;D2999&lt;&gt;'Funnel setup'!$K$3&amp;'Funnel setup'!$K$4&amp;'Funnel setup'!$K$6,".",IF(A2998=".",1,A2998+1))</f>
        <v>.</v>
      </c>
      <c r="B2999" s="244" t="str">
        <f t="shared" si="46"/>
        <v>Knee Replacement RevisionProviderCOUNTY DURHAM AND DARLINGTON NHS FOUNDATION TRUST (RXP)EQ VAS</v>
      </c>
      <c r="C2999" t="s">
        <v>973</v>
      </c>
      <c r="D2999" t="s">
        <v>965</v>
      </c>
      <c r="E2999" t="s">
        <v>206</v>
      </c>
      <c r="F2999" t="s">
        <v>207</v>
      </c>
      <c r="G2999" t="s">
        <v>752</v>
      </c>
      <c r="H2999">
        <v>2</v>
      </c>
      <c r="I2999">
        <v>50</v>
      </c>
      <c r="J2999">
        <v>58.5</v>
      </c>
      <c r="K2999">
        <v>8.5</v>
      </c>
      <c r="L2999">
        <v>2</v>
      </c>
      <c r="M2999">
        <v>0</v>
      </c>
      <c r="N2999">
        <v>0</v>
      </c>
      <c r="O2999" t="s">
        <v>127</v>
      </c>
      <c r="P2999" t="s">
        <v>127</v>
      </c>
      <c r="Q2999" t="s">
        <v>127</v>
      </c>
    </row>
    <row r="3000" spans="1:17" x14ac:dyDescent="0.25">
      <c r="A3000" t="str">
        <f>IF(C3000&amp;G3000&amp;D3000&lt;&gt;'Funnel setup'!$K$3&amp;'Funnel setup'!$K$4&amp;'Funnel setup'!$K$6,".",IF(A2999=".",1,A2999+1))</f>
        <v>.</v>
      </c>
      <c r="B3000" s="244" t="str">
        <f t="shared" si="46"/>
        <v>Knee Replacement RevisionProviderDONCASTER AND BASSETLAW TEACHING HOSPITALS NHS FOUNDATION TRUST (RP5)EQ VAS</v>
      </c>
      <c r="C3000" t="s">
        <v>973</v>
      </c>
      <c r="D3000" t="s">
        <v>965</v>
      </c>
      <c r="E3000" t="s">
        <v>212</v>
      </c>
      <c r="F3000" t="s">
        <v>213</v>
      </c>
      <c r="G3000" t="s">
        <v>752</v>
      </c>
      <c r="H3000">
        <v>1</v>
      </c>
      <c r="I3000">
        <v>60</v>
      </c>
      <c r="J3000">
        <v>80</v>
      </c>
      <c r="K3000">
        <v>20</v>
      </c>
      <c r="L3000">
        <v>1</v>
      </c>
      <c r="M3000">
        <v>0</v>
      </c>
      <c r="N3000">
        <v>0</v>
      </c>
      <c r="O3000" t="s">
        <v>127</v>
      </c>
      <c r="P3000" t="s">
        <v>127</v>
      </c>
      <c r="Q3000" t="s">
        <v>127</v>
      </c>
    </row>
    <row r="3001" spans="1:17" x14ac:dyDescent="0.25">
      <c r="A3001" t="str">
        <f>IF(C3001&amp;G3001&amp;D3001&lt;&gt;'Funnel setup'!$K$3&amp;'Funnel setup'!$K$4&amp;'Funnel setup'!$K$6,".",IF(A3000=".",1,A3000+1))</f>
        <v>.</v>
      </c>
      <c r="B3001" s="244" t="str">
        <f t="shared" si="46"/>
        <v>Knee Replacement RevisionProviderDUCHY HOSPITAL (NVC04)EQ VAS</v>
      </c>
      <c r="C3001" t="s">
        <v>973</v>
      </c>
      <c r="D3001" t="s">
        <v>965</v>
      </c>
      <c r="E3001" t="s">
        <v>220</v>
      </c>
      <c r="F3001" t="s">
        <v>221</v>
      </c>
      <c r="G3001" t="s">
        <v>752</v>
      </c>
      <c r="H3001">
        <v>3</v>
      </c>
      <c r="I3001">
        <v>57.666699999999999</v>
      </c>
      <c r="J3001">
        <v>68.333299999999994</v>
      </c>
      <c r="K3001">
        <v>10.666700000000001</v>
      </c>
      <c r="L3001">
        <v>2</v>
      </c>
      <c r="M3001">
        <v>0</v>
      </c>
      <c r="N3001">
        <v>1</v>
      </c>
      <c r="O3001" t="s">
        <v>127</v>
      </c>
      <c r="P3001" t="s">
        <v>127</v>
      </c>
      <c r="Q3001" t="s">
        <v>127</v>
      </c>
    </row>
    <row r="3002" spans="1:17" x14ac:dyDescent="0.25">
      <c r="A3002" t="str">
        <f>IF(C3002&amp;G3002&amp;D3002&lt;&gt;'Funnel setup'!$K$3&amp;'Funnel setup'!$K$4&amp;'Funnel setup'!$K$6,".",IF(A3001=".",1,A3001+1))</f>
        <v>.</v>
      </c>
      <c r="B3002" s="244" t="str">
        <f t="shared" si="46"/>
        <v>Knee Replacement RevisionProviderEAST KENT HOSPITALS UNIVERSITY NHS FOUNDATION TRUST (RVV)EQ VAS</v>
      </c>
      <c r="C3002" t="s">
        <v>973</v>
      </c>
      <c r="D3002" t="s">
        <v>965</v>
      </c>
      <c r="E3002" t="s">
        <v>228</v>
      </c>
      <c r="F3002" t="s">
        <v>229</v>
      </c>
      <c r="G3002" t="s">
        <v>752</v>
      </c>
      <c r="H3002">
        <v>8</v>
      </c>
      <c r="I3002">
        <v>60.25</v>
      </c>
      <c r="J3002">
        <v>64.25</v>
      </c>
      <c r="K3002">
        <v>4</v>
      </c>
      <c r="L3002">
        <v>4</v>
      </c>
      <c r="M3002">
        <v>2</v>
      </c>
      <c r="N3002">
        <v>2</v>
      </c>
      <c r="O3002" t="s">
        <v>127</v>
      </c>
      <c r="P3002" t="s">
        <v>127</v>
      </c>
      <c r="Q3002" t="s">
        <v>127</v>
      </c>
    </row>
    <row r="3003" spans="1:17" x14ac:dyDescent="0.25">
      <c r="A3003" t="str">
        <f>IF(C3003&amp;G3003&amp;D3003&lt;&gt;'Funnel setup'!$K$3&amp;'Funnel setup'!$K$4&amp;'Funnel setup'!$K$6,".",IF(A3002=".",1,A3002+1))</f>
        <v>.</v>
      </c>
      <c r="B3003" s="244" t="str">
        <f t="shared" si="46"/>
        <v>Knee Replacement RevisionProviderEAST LANCASHIRE HOSPITALS NHS TRUST (RXR)EQ VAS</v>
      </c>
      <c r="C3003" t="s">
        <v>973</v>
      </c>
      <c r="D3003" t="s">
        <v>965</v>
      </c>
      <c r="E3003" t="s">
        <v>230</v>
      </c>
      <c r="F3003" t="s">
        <v>231</v>
      </c>
      <c r="G3003" t="s">
        <v>752</v>
      </c>
      <c r="H3003">
        <v>2</v>
      </c>
      <c r="I3003">
        <v>54</v>
      </c>
      <c r="J3003">
        <v>75</v>
      </c>
      <c r="K3003">
        <v>21</v>
      </c>
      <c r="L3003">
        <v>2</v>
      </c>
      <c r="M3003">
        <v>0</v>
      </c>
      <c r="N3003">
        <v>0</v>
      </c>
      <c r="O3003" t="s">
        <v>127</v>
      </c>
      <c r="P3003" t="s">
        <v>127</v>
      </c>
      <c r="Q3003" t="s">
        <v>127</v>
      </c>
    </row>
    <row r="3004" spans="1:17" x14ac:dyDescent="0.25">
      <c r="A3004" t="str">
        <f>IF(C3004&amp;G3004&amp;D3004&lt;&gt;'Funnel setup'!$K$3&amp;'Funnel setup'!$K$4&amp;'Funnel setup'!$K$6,".",IF(A3003=".",1,A3003+1))</f>
        <v>.</v>
      </c>
      <c r="B3004" s="244" t="str">
        <f t="shared" si="46"/>
        <v>Knee Replacement RevisionProviderEAST SUFFOLK AND NORTH ESSEX NHS FOUNDATION TRUST (RDE)EQ VAS</v>
      </c>
      <c r="C3004" t="s">
        <v>973</v>
      </c>
      <c r="D3004" t="s">
        <v>965</v>
      </c>
      <c r="E3004" t="s">
        <v>232</v>
      </c>
      <c r="F3004" t="s">
        <v>233</v>
      </c>
      <c r="G3004" t="s">
        <v>752</v>
      </c>
      <c r="H3004">
        <v>3</v>
      </c>
      <c r="I3004">
        <v>55</v>
      </c>
      <c r="J3004">
        <v>81.666700000000006</v>
      </c>
      <c r="K3004">
        <v>26.666699999999999</v>
      </c>
      <c r="L3004">
        <v>2</v>
      </c>
      <c r="M3004">
        <v>0</v>
      </c>
      <c r="N3004">
        <v>1</v>
      </c>
      <c r="O3004" t="s">
        <v>127</v>
      </c>
      <c r="P3004" t="s">
        <v>127</v>
      </c>
      <c r="Q3004" t="s">
        <v>127</v>
      </c>
    </row>
    <row r="3005" spans="1:17" x14ac:dyDescent="0.25">
      <c r="A3005" t="str">
        <f>IF(C3005&amp;G3005&amp;D3005&lt;&gt;'Funnel setup'!$K$3&amp;'Funnel setup'!$K$4&amp;'Funnel setup'!$K$6,".",IF(A3004=".",1,A3004+1))</f>
        <v>.</v>
      </c>
      <c r="B3005" s="244" t="str">
        <f t="shared" si="46"/>
        <v>Knee Replacement RevisionProviderEAST SUSSEX HEALTHCARE NHS TRUST (RXC)EQ VAS</v>
      </c>
      <c r="C3005" t="s">
        <v>973</v>
      </c>
      <c r="D3005" t="s">
        <v>965</v>
      </c>
      <c r="E3005" t="s">
        <v>234</v>
      </c>
      <c r="F3005" t="s">
        <v>235</v>
      </c>
      <c r="G3005" t="s">
        <v>752</v>
      </c>
      <c r="H3005">
        <v>3</v>
      </c>
      <c r="I3005">
        <v>41.666699999999999</v>
      </c>
      <c r="J3005">
        <v>60</v>
      </c>
      <c r="K3005">
        <v>18.333300000000001</v>
      </c>
      <c r="L3005">
        <v>2</v>
      </c>
      <c r="M3005">
        <v>0</v>
      </c>
      <c r="N3005">
        <v>1</v>
      </c>
      <c r="O3005" t="s">
        <v>127</v>
      </c>
      <c r="P3005" t="s">
        <v>127</v>
      </c>
      <c r="Q3005" t="s">
        <v>127</v>
      </c>
    </row>
    <row r="3006" spans="1:17" x14ac:dyDescent="0.25">
      <c r="A3006" t="str">
        <f>IF(C3006&amp;G3006&amp;D3006&lt;&gt;'Funnel setup'!$K$3&amp;'Funnel setup'!$K$4&amp;'Funnel setup'!$K$6,".",IF(A3005=".",1,A3005+1))</f>
        <v>.</v>
      </c>
      <c r="B3006" s="244" t="str">
        <f t="shared" si="46"/>
        <v>Knee Replacement RevisionProviderEPSOM AND ST HELIER UNIVERSITY HOSPITALS NHS TRUST (RVR)EQ VAS</v>
      </c>
      <c r="C3006" t="s">
        <v>973</v>
      </c>
      <c r="D3006" t="s">
        <v>965</v>
      </c>
      <c r="E3006" t="s">
        <v>238</v>
      </c>
      <c r="F3006" t="s">
        <v>239</v>
      </c>
      <c r="G3006" t="s">
        <v>752</v>
      </c>
      <c r="H3006">
        <v>13</v>
      </c>
      <c r="I3006">
        <v>52.076900000000002</v>
      </c>
      <c r="J3006">
        <v>70.769199999999998</v>
      </c>
      <c r="K3006">
        <v>18.692299999999999</v>
      </c>
      <c r="L3006">
        <v>6</v>
      </c>
      <c r="M3006">
        <v>2</v>
      </c>
      <c r="N3006">
        <v>5</v>
      </c>
      <c r="O3006" t="s">
        <v>127</v>
      </c>
      <c r="P3006" t="s">
        <v>127</v>
      </c>
      <c r="Q3006" t="s">
        <v>127</v>
      </c>
    </row>
    <row r="3007" spans="1:17" x14ac:dyDescent="0.25">
      <c r="A3007" t="str">
        <f>IF(C3007&amp;G3007&amp;D3007&lt;&gt;'Funnel setup'!$K$3&amp;'Funnel setup'!$K$4&amp;'Funnel setup'!$K$6,".",IF(A3006=".",1,A3006+1))</f>
        <v>.</v>
      </c>
      <c r="B3007" s="244" t="str">
        <f t="shared" si="46"/>
        <v>Knee Replacement RevisionProviderEUXTON HALL HOSPITAL (NVC05)EQ VAS</v>
      </c>
      <c r="C3007" t="s">
        <v>973</v>
      </c>
      <c r="D3007" t="s">
        <v>965</v>
      </c>
      <c r="E3007" t="s">
        <v>240</v>
      </c>
      <c r="F3007" t="s">
        <v>241</v>
      </c>
      <c r="G3007" t="s">
        <v>752</v>
      </c>
      <c r="H3007" t="s">
        <v>127</v>
      </c>
      <c r="I3007" t="s">
        <v>127</v>
      </c>
      <c r="J3007" t="s">
        <v>127</v>
      </c>
      <c r="K3007" t="s">
        <v>127</v>
      </c>
      <c r="L3007" t="s">
        <v>127</v>
      </c>
      <c r="M3007" t="s">
        <v>127</v>
      </c>
      <c r="N3007" t="s">
        <v>127</v>
      </c>
      <c r="O3007" t="s">
        <v>127</v>
      </c>
      <c r="P3007" t="s">
        <v>127</v>
      </c>
      <c r="Q3007" t="s">
        <v>127</v>
      </c>
    </row>
    <row r="3008" spans="1:17" x14ac:dyDescent="0.25">
      <c r="A3008" t="str">
        <f>IF(C3008&amp;G3008&amp;D3008&lt;&gt;'Funnel setup'!$K$3&amp;'Funnel setup'!$K$4&amp;'Funnel setup'!$K$6,".",IF(A3007=".",1,A3007+1))</f>
        <v>.</v>
      </c>
      <c r="B3008" s="244" t="str">
        <f t="shared" si="46"/>
        <v>Knee Replacement RevisionProviderFRIMLEY HEALTH NHS FOUNDATION TRUST (RDU)EQ VAS</v>
      </c>
      <c r="C3008" t="s">
        <v>973</v>
      </c>
      <c r="D3008" t="s">
        <v>965</v>
      </c>
      <c r="E3008" t="s">
        <v>248</v>
      </c>
      <c r="F3008" t="s">
        <v>249</v>
      </c>
      <c r="G3008" t="s">
        <v>752</v>
      </c>
      <c r="H3008">
        <v>7</v>
      </c>
      <c r="I3008">
        <v>64.571399999999997</v>
      </c>
      <c r="J3008">
        <v>68.571399999999997</v>
      </c>
      <c r="K3008">
        <v>4</v>
      </c>
      <c r="L3008">
        <v>4</v>
      </c>
      <c r="M3008">
        <v>0</v>
      </c>
      <c r="N3008">
        <v>3</v>
      </c>
      <c r="O3008" t="s">
        <v>127</v>
      </c>
      <c r="P3008" t="s">
        <v>127</v>
      </c>
      <c r="Q3008" t="s">
        <v>127</v>
      </c>
    </row>
    <row r="3009" spans="1:17" x14ac:dyDescent="0.25">
      <c r="A3009" t="str">
        <f>IF(C3009&amp;G3009&amp;D3009&lt;&gt;'Funnel setup'!$K$3&amp;'Funnel setup'!$K$4&amp;'Funnel setup'!$K$6,".",IF(A3008=".",1,A3008+1))</f>
        <v>.</v>
      </c>
      <c r="B3009" s="244" t="str">
        <f t="shared" si="46"/>
        <v>Knee Replacement RevisionProviderGATESHEAD HEALTH NHS FOUNDATION TRUST (RR7)EQ VAS</v>
      </c>
      <c r="C3009" t="s">
        <v>973</v>
      </c>
      <c r="D3009" t="s">
        <v>965</v>
      </c>
      <c r="E3009" t="s">
        <v>252</v>
      </c>
      <c r="F3009" t="s">
        <v>253</v>
      </c>
      <c r="G3009" t="s">
        <v>752</v>
      </c>
      <c r="H3009">
        <v>3</v>
      </c>
      <c r="I3009">
        <v>70</v>
      </c>
      <c r="J3009">
        <v>70.333299999999994</v>
      </c>
      <c r="K3009">
        <v>0.33333299999999999</v>
      </c>
      <c r="L3009">
        <v>1</v>
      </c>
      <c r="M3009">
        <v>1</v>
      </c>
      <c r="N3009">
        <v>1</v>
      </c>
      <c r="O3009" t="s">
        <v>127</v>
      </c>
      <c r="P3009" t="s">
        <v>127</v>
      </c>
      <c r="Q3009" t="s">
        <v>127</v>
      </c>
    </row>
    <row r="3010" spans="1:17" x14ac:dyDescent="0.25">
      <c r="A3010" t="str">
        <f>IF(C3010&amp;G3010&amp;D3010&lt;&gt;'Funnel setup'!$K$3&amp;'Funnel setup'!$K$4&amp;'Funnel setup'!$K$6,".",IF(A3009=".",1,A3009+1))</f>
        <v>.</v>
      </c>
      <c r="B3010" s="244" t="str">
        <f t="shared" ref="B3010:B3073" si="47">C3010&amp;D3010&amp;F3010&amp;G3010</f>
        <v>Knee Replacement RevisionProviderGLOUCESTERSHIRE HOSPITALS NHS FOUNDATION TRUST (RTE)EQ VAS</v>
      </c>
      <c r="C3010" t="s">
        <v>973</v>
      </c>
      <c r="D3010" t="s">
        <v>965</v>
      </c>
      <c r="E3010" t="s">
        <v>256</v>
      </c>
      <c r="F3010" t="s">
        <v>257</v>
      </c>
      <c r="G3010" t="s">
        <v>752</v>
      </c>
      <c r="H3010">
        <v>1</v>
      </c>
      <c r="I3010">
        <v>80</v>
      </c>
      <c r="J3010">
        <v>84</v>
      </c>
      <c r="K3010">
        <v>4</v>
      </c>
      <c r="L3010">
        <v>1</v>
      </c>
      <c r="M3010">
        <v>0</v>
      </c>
      <c r="N3010">
        <v>0</v>
      </c>
      <c r="O3010" t="s">
        <v>127</v>
      </c>
      <c r="P3010" t="s">
        <v>127</v>
      </c>
      <c r="Q3010" t="s">
        <v>127</v>
      </c>
    </row>
    <row r="3011" spans="1:17" x14ac:dyDescent="0.25">
      <c r="A3011" t="str">
        <f>IF(C3011&amp;G3011&amp;D3011&lt;&gt;'Funnel setup'!$K$3&amp;'Funnel setup'!$K$4&amp;'Funnel setup'!$K$6,".",IF(A3010=".",1,A3010+1))</f>
        <v>.</v>
      </c>
      <c r="B3011" s="244" t="str">
        <f t="shared" si="47"/>
        <v>Knee Replacement RevisionProviderGORING HALL HOSPITAL (NT417)EQ VAS</v>
      </c>
      <c r="C3011" t="s">
        <v>973</v>
      </c>
      <c r="D3011" t="s">
        <v>965</v>
      </c>
      <c r="E3011" t="s">
        <v>258</v>
      </c>
      <c r="F3011" t="s">
        <v>259</v>
      </c>
      <c r="G3011" t="s">
        <v>752</v>
      </c>
      <c r="H3011">
        <v>1</v>
      </c>
      <c r="I3011">
        <v>50</v>
      </c>
      <c r="J3011">
        <v>80</v>
      </c>
      <c r="K3011">
        <v>30</v>
      </c>
      <c r="L3011">
        <v>1</v>
      </c>
      <c r="M3011">
        <v>0</v>
      </c>
      <c r="N3011">
        <v>0</v>
      </c>
      <c r="O3011" t="s">
        <v>127</v>
      </c>
      <c r="P3011" t="s">
        <v>127</v>
      </c>
      <c r="Q3011" t="s">
        <v>127</v>
      </c>
    </row>
    <row r="3012" spans="1:17" x14ac:dyDescent="0.25">
      <c r="A3012" t="str">
        <f>IF(C3012&amp;G3012&amp;D3012&lt;&gt;'Funnel setup'!$K$3&amp;'Funnel setup'!$K$4&amp;'Funnel setup'!$K$6,".",IF(A3011=".",1,A3011+1))</f>
        <v>.</v>
      </c>
      <c r="B3012" s="244" t="str">
        <f t="shared" si="47"/>
        <v>Knee Replacement RevisionProviderGUY'S AND ST THOMAS' NHS FOUNDATION TRUST (RJ1)EQ VAS</v>
      </c>
      <c r="C3012" t="s">
        <v>973</v>
      </c>
      <c r="D3012" t="s">
        <v>965</v>
      </c>
      <c r="E3012" t="s">
        <v>262</v>
      </c>
      <c r="F3012" t="s">
        <v>263</v>
      </c>
      <c r="G3012" t="s">
        <v>752</v>
      </c>
      <c r="H3012">
        <v>12</v>
      </c>
      <c r="I3012">
        <v>53.333300000000001</v>
      </c>
      <c r="J3012">
        <v>63.833300000000001</v>
      </c>
      <c r="K3012">
        <v>10.5</v>
      </c>
      <c r="L3012">
        <v>9</v>
      </c>
      <c r="M3012">
        <v>1</v>
      </c>
      <c r="N3012">
        <v>2</v>
      </c>
      <c r="O3012" t="s">
        <v>127</v>
      </c>
      <c r="P3012" t="s">
        <v>127</v>
      </c>
      <c r="Q3012" t="s">
        <v>127</v>
      </c>
    </row>
    <row r="3013" spans="1:17" x14ac:dyDescent="0.25">
      <c r="A3013" t="str">
        <f>IF(C3013&amp;G3013&amp;D3013&lt;&gt;'Funnel setup'!$K$3&amp;'Funnel setup'!$K$4&amp;'Funnel setup'!$K$6,".",IF(A3012=".",1,A3012+1))</f>
        <v>.</v>
      </c>
      <c r="B3013" s="244" t="str">
        <f t="shared" si="47"/>
        <v>Knee Replacement RevisionProviderHAMPSHIRE CLINIC (NT418)EQ VAS</v>
      </c>
      <c r="C3013" t="s">
        <v>973</v>
      </c>
      <c r="D3013" t="s">
        <v>965</v>
      </c>
      <c r="E3013" t="s">
        <v>264</v>
      </c>
      <c r="F3013" t="s">
        <v>265</v>
      </c>
      <c r="G3013" t="s">
        <v>752</v>
      </c>
      <c r="H3013" t="s">
        <v>127</v>
      </c>
      <c r="I3013" t="s">
        <v>127</v>
      </c>
      <c r="J3013" t="s">
        <v>127</v>
      </c>
      <c r="K3013" t="s">
        <v>127</v>
      </c>
      <c r="L3013" t="s">
        <v>127</v>
      </c>
      <c r="M3013" t="s">
        <v>127</v>
      </c>
      <c r="N3013" t="s">
        <v>127</v>
      </c>
      <c r="O3013" t="s">
        <v>127</v>
      </c>
      <c r="P3013" t="s">
        <v>127</v>
      </c>
      <c r="Q3013" t="s">
        <v>127</v>
      </c>
    </row>
    <row r="3014" spans="1:17" x14ac:dyDescent="0.25">
      <c r="A3014" t="str">
        <f>IF(C3014&amp;G3014&amp;D3014&lt;&gt;'Funnel setup'!$K$3&amp;'Funnel setup'!$K$4&amp;'Funnel setup'!$K$6,".",IF(A3013=".",1,A3013+1))</f>
        <v>.</v>
      </c>
      <c r="B3014" s="244" t="str">
        <f t="shared" si="47"/>
        <v>Knee Replacement RevisionProviderHAMPSHIRE HOSPITALS NHS FOUNDATION TRUST (RN5)EQ VAS</v>
      </c>
      <c r="C3014" t="s">
        <v>973</v>
      </c>
      <c r="D3014" t="s">
        <v>965</v>
      </c>
      <c r="E3014" t="s">
        <v>266</v>
      </c>
      <c r="F3014" t="s">
        <v>267</v>
      </c>
      <c r="G3014" t="s">
        <v>752</v>
      </c>
      <c r="H3014" t="s">
        <v>968</v>
      </c>
      <c r="I3014" t="s">
        <v>968</v>
      </c>
      <c r="J3014" t="s">
        <v>968</v>
      </c>
      <c r="K3014" t="s">
        <v>968</v>
      </c>
      <c r="L3014" t="s">
        <v>968</v>
      </c>
      <c r="M3014" t="s">
        <v>968</v>
      </c>
      <c r="N3014" t="s">
        <v>968</v>
      </c>
      <c r="O3014" t="s">
        <v>968</v>
      </c>
      <c r="P3014" t="s">
        <v>968</v>
      </c>
      <c r="Q3014" t="s">
        <v>968</v>
      </c>
    </row>
    <row r="3015" spans="1:17" x14ac:dyDescent="0.25">
      <c r="A3015" t="str">
        <f>IF(C3015&amp;G3015&amp;D3015&lt;&gt;'Funnel setup'!$K$3&amp;'Funnel setup'!$K$4&amp;'Funnel setup'!$K$6,".",IF(A3014=".",1,A3014+1))</f>
        <v>.</v>
      </c>
      <c r="B3015" s="244" t="str">
        <f t="shared" si="47"/>
        <v>Knee Replacement RevisionProviderHARROGATE AND DISTRICT NHS FOUNDATION TRUST (RCD)EQ VAS</v>
      </c>
      <c r="C3015" t="s">
        <v>973</v>
      </c>
      <c r="D3015" t="s">
        <v>965</v>
      </c>
      <c r="E3015" t="s">
        <v>270</v>
      </c>
      <c r="F3015" t="s">
        <v>271</v>
      </c>
      <c r="G3015" t="s">
        <v>752</v>
      </c>
      <c r="H3015">
        <v>9</v>
      </c>
      <c r="I3015">
        <v>56.222200000000001</v>
      </c>
      <c r="J3015">
        <v>59.1111</v>
      </c>
      <c r="K3015">
        <v>2.88889</v>
      </c>
      <c r="L3015">
        <v>3</v>
      </c>
      <c r="M3015">
        <v>3</v>
      </c>
      <c r="N3015">
        <v>3</v>
      </c>
      <c r="O3015" t="s">
        <v>127</v>
      </c>
      <c r="P3015" t="s">
        <v>127</v>
      </c>
      <c r="Q3015" t="s">
        <v>127</v>
      </c>
    </row>
    <row r="3016" spans="1:17" x14ac:dyDescent="0.25">
      <c r="A3016" t="str">
        <f>IF(C3016&amp;G3016&amp;D3016&lt;&gt;'Funnel setup'!$K$3&amp;'Funnel setup'!$K$4&amp;'Funnel setup'!$K$6,".",IF(A3015=".",1,A3015+1))</f>
        <v>.</v>
      </c>
      <c r="B3016" s="244" t="str">
        <f t="shared" si="47"/>
        <v>Knee Replacement RevisionProviderHULL UNIVERSITY TEACHING HOSPITALS NHS TRUST (RWA)EQ VAS</v>
      </c>
      <c r="C3016" t="s">
        <v>973</v>
      </c>
      <c r="D3016" t="s">
        <v>965</v>
      </c>
      <c r="E3016" t="s">
        <v>278</v>
      </c>
      <c r="F3016" t="s">
        <v>279</v>
      </c>
      <c r="G3016" t="s">
        <v>752</v>
      </c>
      <c r="H3016">
        <v>4</v>
      </c>
      <c r="I3016">
        <v>54.5</v>
      </c>
      <c r="J3016">
        <v>65.75</v>
      </c>
      <c r="K3016">
        <v>11.25</v>
      </c>
      <c r="L3016">
        <v>1</v>
      </c>
      <c r="M3016">
        <v>0</v>
      </c>
      <c r="N3016">
        <v>3</v>
      </c>
      <c r="O3016" t="s">
        <v>127</v>
      </c>
      <c r="P3016" t="s">
        <v>127</v>
      </c>
      <c r="Q3016" t="s">
        <v>127</v>
      </c>
    </row>
    <row r="3017" spans="1:17" x14ac:dyDescent="0.25">
      <c r="A3017" t="str">
        <f>IF(C3017&amp;G3017&amp;D3017&lt;&gt;'Funnel setup'!$K$3&amp;'Funnel setup'!$K$4&amp;'Funnel setup'!$K$6,".",IF(A3016=".",1,A3016+1))</f>
        <v>.</v>
      </c>
      <c r="B3017" s="244" t="str">
        <f t="shared" si="47"/>
        <v>Knee Replacement RevisionProviderISLE OF WIGHT NHS TRUST (R1F)EQ VAS</v>
      </c>
      <c r="C3017" t="s">
        <v>973</v>
      </c>
      <c r="D3017" t="s">
        <v>965</v>
      </c>
      <c r="E3017" t="s">
        <v>282</v>
      </c>
      <c r="F3017" t="s">
        <v>283</v>
      </c>
      <c r="G3017" t="s">
        <v>752</v>
      </c>
      <c r="H3017">
        <v>1</v>
      </c>
      <c r="I3017">
        <v>35</v>
      </c>
      <c r="J3017">
        <v>44</v>
      </c>
      <c r="K3017">
        <v>9</v>
      </c>
      <c r="L3017">
        <v>1</v>
      </c>
      <c r="M3017">
        <v>0</v>
      </c>
      <c r="N3017">
        <v>0</v>
      </c>
      <c r="O3017" t="s">
        <v>127</v>
      </c>
      <c r="P3017" t="s">
        <v>127</v>
      </c>
      <c r="Q3017" t="s">
        <v>127</v>
      </c>
    </row>
    <row r="3018" spans="1:17" x14ac:dyDescent="0.25">
      <c r="A3018" t="str">
        <f>IF(C3018&amp;G3018&amp;D3018&lt;&gt;'Funnel setup'!$K$3&amp;'Funnel setup'!$K$4&amp;'Funnel setup'!$K$6,".",IF(A3017=".",1,A3017+1))</f>
        <v>.</v>
      </c>
      <c r="B3018" s="244" t="str">
        <f t="shared" si="47"/>
        <v>Knee Replacement RevisionProviderJAMES PAGET UNIVERSITY HOSPITALS NHS FOUNDATION TRUST (RGP)EQ VAS</v>
      </c>
      <c r="C3018" t="s">
        <v>973</v>
      </c>
      <c r="D3018" t="s">
        <v>965</v>
      </c>
      <c r="E3018" t="s">
        <v>284</v>
      </c>
      <c r="F3018" t="s">
        <v>285</v>
      </c>
      <c r="G3018" t="s">
        <v>752</v>
      </c>
      <c r="H3018">
        <v>5</v>
      </c>
      <c r="I3018">
        <v>61.6</v>
      </c>
      <c r="J3018">
        <v>78</v>
      </c>
      <c r="K3018">
        <v>16.399999999999999</v>
      </c>
      <c r="L3018">
        <v>4</v>
      </c>
      <c r="M3018">
        <v>1</v>
      </c>
      <c r="N3018">
        <v>0</v>
      </c>
      <c r="O3018" t="s">
        <v>127</v>
      </c>
      <c r="P3018" t="s">
        <v>127</v>
      </c>
      <c r="Q3018" t="s">
        <v>127</v>
      </c>
    </row>
    <row r="3019" spans="1:17" x14ac:dyDescent="0.25">
      <c r="A3019" t="str">
        <f>IF(C3019&amp;G3019&amp;D3019&lt;&gt;'Funnel setup'!$K$3&amp;'Funnel setup'!$K$4&amp;'Funnel setup'!$K$6,".",IF(A3018=".",1,A3018+1))</f>
        <v>.</v>
      </c>
      <c r="B3019" s="244" t="str">
        <f t="shared" si="47"/>
        <v>Knee Replacement RevisionProviderKETTERING GENERAL HOSPITAL NHS FOUNDATION TRUST (RNQ)EQ VAS</v>
      </c>
      <c r="C3019" t="s">
        <v>973</v>
      </c>
      <c r="D3019" t="s">
        <v>965</v>
      </c>
      <c r="E3019" t="s">
        <v>286</v>
      </c>
      <c r="F3019" t="s">
        <v>287</v>
      </c>
      <c r="G3019" t="s">
        <v>752</v>
      </c>
      <c r="H3019">
        <v>6</v>
      </c>
      <c r="I3019">
        <v>35</v>
      </c>
      <c r="J3019">
        <v>66.666700000000006</v>
      </c>
      <c r="K3019">
        <v>31.666699999999999</v>
      </c>
      <c r="L3019">
        <v>6</v>
      </c>
      <c r="M3019">
        <v>0</v>
      </c>
      <c r="N3019">
        <v>0</v>
      </c>
      <c r="O3019" t="s">
        <v>127</v>
      </c>
      <c r="P3019" t="s">
        <v>127</v>
      </c>
      <c r="Q3019" t="s">
        <v>127</v>
      </c>
    </row>
    <row r="3020" spans="1:17" x14ac:dyDescent="0.25">
      <c r="A3020" t="str">
        <f>IF(C3020&amp;G3020&amp;D3020&lt;&gt;'Funnel setup'!$K$3&amp;'Funnel setup'!$K$4&amp;'Funnel setup'!$K$6,".",IF(A3019=".",1,A3019+1))</f>
        <v>.</v>
      </c>
      <c r="B3020" s="244" t="str">
        <f t="shared" si="47"/>
        <v>Knee Replacement RevisionProviderLANCASHIRE TEACHING HOSPITALS NHS FOUNDATION TRUST (RXN)EQ VAS</v>
      </c>
      <c r="C3020" t="s">
        <v>973</v>
      </c>
      <c r="D3020" t="s">
        <v>965</v>
      </c>
      <c r="E3020" t="s">
        <v>296</v>
      </c>
      <c r="F3020" t="s">
        <v>297</v>
      </c>
      <c r="G3020" t="s">
        <v>752</v>
      </c>
      <c r="H3020">
        <v>6</v>
      </c>
      <c r="I3020">
        <v>76.5</v>
      </c>
      <c r="J3020">
        <v>68</v>
      </c>
      <c r="K3020">
        <v>-8.5</v>
      </c>
      <c r="L3020">
        <v>2</v>
      </c>
      <c r="M3020">
        <v>1</v>
      </c>
      <c r="N3020">
        <v>3</v>
      </c>
      <c r="O3020" t="s">
        <v>127</v>
      </c>
      <c r="P3020" t="s">
        <v>127</v>
      </c>
      <c r="Q3020" t="s">
        <v>127</v>
      </c>
    </row>
    <row r="3021" spans="1:17" x14ac:dyDescent="0.25">
      <c r="A3021" t="str">
        <f>IF(C3021&amp;G3021&amp;D3021&lt;&gt;'Funnel setup'!$K$3&amp;'Funnel setup'!$K$4&amp;'Funnel setup'!$K$6,".",IF(A3020=".",1,A3020+1))</f>
        <v>.</v>
      </c>
      <c r="B3021" s="244" t="str">
        <f t="shared" si="47"/>
        <v>Knee Replacement RevisionProviderLEEDS TEACHING HOSPITALS NHS TRUST (RR8)EQ VAS</v>
      </c>
      <c r="C3021" t="s">
        <v>973</v>
      </c>
      <c r="D3021" t="s">
        <v>965</v>
      </c>
      <c r="E3021" t="s">
        <v>300</v>
      </c>
      <c r="F3021" t="s">
        <v>301</v>
      </c>
      <c r="G3021" t="s">
        <v>752</v>
      </c>
      <c r="H3021">
        <v>9</v>
      </c>
      <c r="I3021">
        <v>66</v>
      </c>
      <c r="J3021">
        <v>64.111099999999993</v>
      </c>
      <c r="K3021">
        <v>-1.88889</v>
      </c>
      <c r="L3021">
        <v>4</v>
      </c>
      <c r="M3021">
        <v>1</v>
      </c>
      <c r="N3021">
        <v>4</v>
      </c>
      <c r="O3021" t="s">
        <v>127</v>
      </c>
      <c r="P3021" t="s">
        <v>127</v>
      </c>
      <c r="Q3021" t="s">
        <v>127</v>
      </c>
    </row>
    <row r="3022" spans="1:17" x14ac:dyDescent="0.25">
      <c r="A3022" t="str">
        <f>IF(C3022&amp;G3022&amp;D3022&lt;&gt;'Funnel setup'!$K$3&amp;'Funnel setup'!$K$4&amp;'Funnel setup'!$K$6,".",IF(A3021=".",1,A3021+1))</f>
        <v>.</v>
      </c>
      <c r="B3022" s="244" t="str">
        <f t="shared" si="47"/>
        <v>Knee Replacement RevisionProviderLINCOLN HOSPITAL (NT450)EQ VAS</v>
      </c>
      <c r="C3022" t="s">
        <v>973</v>
      </c>
      <c r="D3022" t="s">
        <v>965</v>
      </c>
      <c r="E3022" t="s">
        <v>304</v>
      </c>
      <c r="F3022" t="s">
        <v>305</v>
      </c>
      <c r="G3022" t="s">
        <v>752</v>
      </c>
      <c r="H3022" t="s">
        <v>127</v>
      </c>
      <c r="I3022" t="s">
        <v>127</v>
      </c>
      <c r="J3022" t="s">
        <v>127</v>
      </c>
      <c r="K3022" t="s">
        <v>127</v>
      </c>
      <c r="L3022" t="s">
        <v>127</v>
      </c>
      <c r="M3022" t="s">
        <v>127</v>
      </c>
      <c r="N3022" t="s">
        <v>127</v>
      </c>
      <c r="O3022" t="s">
        <v>127</v>
      </c>
      <c r="P3022" t="s">
        <v>127</v>
      </c>
      <c r="Q3022" t="s">
        <v>127</v>
      </c>
    </row>
    <row r="3023" spans="1:17" x14ac:dyDescent="0.25">
      <c r="A3023" t="str">
        <f>IF(C3023&amp;G3023&amp;D3023&lt;&gt;'Funnel setup'!$K$3&amp;'Funnel setup'!$K$4&amp;'Funnel setup'!$K$6,".",IF(A3022=".",1,A3022+1))</f>
        <v>.</v>
      </c>
      <c r="B3023" s="244" t="str">
        <f t="shared" si="47"/>
        <v>Knee Replacement RevisionProviderLIVERPOOL UNIVERSITY HOSPITALS NHS FOUNDATION TRUST (REM)EQ VAS</v>
      </c>
      <c r="C3023" t="s">
        <v>973</v>
      </c>
      <c r="D3023" t="s">
        <v>965</v>
      </c>
      <c r="E3023" t="s">
        <v>306</v>
      </c>
      <c r="F3023" t="s">
        <v>307</v>
      </c>
      <c r="G3023" t="s">
        <v>752</v>
      </c>
      <c r="H3023">
        <v>1</v>
      </c>
      <c r="I3023">
        <v>50</v>
      </c>
      <c r="J3023">
        <v>40</v>
      </c>
      <c r="K3023">
        <v>-10</v>
      </c>
      <c r="L3023">
        <v>0</v>
      </c>
      <c r="M3023">
        <v>0</v>
      </c>
      <c r="N3023">
        <v>1</v>
      </c>
      <c r="O3023" t="s">
        <v>127</v>
      </c>
      <c r="P3023" t="s">
        <v>127</v>
      </c>
      <c r="Q3023" t="s">
        <v>127</v>
      </c>
    </row>
    <row r="3024" spans="1:17" x14ac:dyDescent="0.25">
      <c r="A3024" t="str">
        <f>IF(C3024&amp;G3024&amp;D3024&lt;&gt;'Funnel setup'!$K$3&amp;'Funnel setup'!$K$4&amp;'Funnel setup'!$K$6,".",IF(A3023=".",1,A3023+1))</f>
        <v>.</v>
      </c>
      <c r="B3024" s="244" t="str">
        <f t="shared" si="47"/>
        <v>Knee Replacement RevisionProviderMAIDSTONE AND TUNBRIDGE WELLS NHS TRUST (RWF)EQ VAS</v>
      </c>
      <c r="C3024" t="s">
        <v>973</v>
      </c>
      <c r="D3024" t="s">
        <v>965</v>
      </c>
      <c r="E3024" t="s">
        <v>312</v>
      </c>
      <c r="F3024" t="s">
        <v>313</v>
      </c>
      <c r="G3024" t="s">
        <v>752</v>
      </c>
      <c r="H3024">
        <v>2</v>
      </c>
      <c r="I3024">
        <v>70</v>
      </c>
      <c r="J3024">
        <v>62.5</v>
      </c>
      <c r="K3024">
        <v>-7.5</v>
      </c>
      <c r="L3024">
        <v>1</v>
      </c>
      <c r="M3024">
        <v>0</v>
      </c>
      <c r="N3024">
        <v>1</v>
      </c>
      <c r="O3024" t="s">
        <v>127</v>
      </c>
      <c r="P3024" t="s">
        <v>127</v>
      </c>
      <c r="Q3024" t="s">
        <v>127</v>
      </c>
    </row>
    <row r="3025" spans="1:17" x14ac:dyDescent="0.25">
      <c r="A3025" t="str">
        <f>IF(C3025&amp;G3025&amp;D3025&lt;&gt;'Funnel setup'!$K$3&amp;'Funnel setup'!$K$4&amp;'Funnel setup'!$K$6,".",IF(A3024=".",1,A3024+1))</f>
        <v>.</v>
      </c>
      <c r="B3025" s="244" t="str">
        <f t="shared" si="47"/>
        <v>Knee Replacement RevisionProviderMANCHESTER UNIVERSITY NHS FOUNDATION TRUST (R0A)EQ VAS</v>
      </c>
      <c r="C3025" t="s">
        <v>973</v>
      </c>
      <c r="D3025" t="s">
        <v>965</v>
      </c>
      <c r="E3025" t="s">
        <v>316</v>
      </c>
      <c r="F3025" t="s">
        <v>317</v>
      </c>
      <c r="G3025" t="s">
        <v>752</v>
      </c>
      <c r="H3025">
        <v>5</v>
      </c>
      <c r="I3025">
        <v>58.6</v>
      </c>
      <c r="J3025">
        <v>68.599999999999994</v>
      </c>
      <c r="K3025">
        <v>10</v>
      </c>
      <c r="L3025">
        <v>4</v>
      </c>
      <c r="M3025">
        <v>1</v>
      </c>
      <c r="N3025">
        <v>0</v>
      </c>
      <c r="O3025" t="s">
        <v>127</v>
      </c>
      <c r="P3025" t="s">
        <v>127</v>
      </c>
      <c r="Q3025" t="s">
        <v>127</v>
      </c>
    </row>
    <row r="3026" spans="1:17" x14ac:dyDescent="0.25">
      <c r="A3026" t="str">
        <f>IF(C3026&amp;G3026&amp;D3026&lt;&gt;'Funnel setup'!$K$3&amp;'Funnel setup'!$K$4&amp;'Funnel setup'!$K$6,".",IF(A3025=".",1,A3025+1))</f>
        <v>.</v>
      </c>
      <c r="B3026" s="244" t="str">
        <f t="shared" si="47"/>
        <v>Knee Replacement RevisionProviderMEDWAY NHS FOUNDATION TRUST (RPA)EQ VAS</v>
      </c>
      <c r="C3026" t="s">
        <v>973</v>
      </c>
      <c r="D3026" t="s">
        <v>965</v>
      </c>
      <c r="E3026" t="s">
        <v>320</v>
      </c>
      <c r="F3026" t="s">
        <v>321</v>
      </c>
      <c r="G3026" t="s">
        <v>752</v>
      </c>
      <c r="H3026">
        <v>1</v>
      </c>
      <c r="I3026">
        <v>60</v>
      </c>
      <c r="J3026">
        <v>70</v>
      </c>
      <c r="K3026">
        <v>10</v>
      </c>
      <c r="L3026">
        <v>1</v>
      </c>
      <c r="M3026">
        <v>0</v>
      </c>
      <c r="N3026">
        <v>0</v>
      </c>
      <c r="O3026" t="s">
        <v>127</v>
      </c>
      <c r="P3026" t="s">
        <v>127</v>
      </c>
      <c r="Q3026" t="s">
        <v>127</v>
      </c>
    </row>
    <row r="3027" spans="1:17" x14ac:dyDescent="0.25">
      <c r="A3027" t="str">
        <f>IF(C3027&amp;G3027&amp;D3027&lt;&gt;'Funnel setup'!$K$3&amp;'Funnel setup'!$K$4&amp;'Funnel setup'!$K$6,".",IF(A3026=".",1,A3026+1))</f>
        <v>.</v>
      </c>
      <c r="B3027" s="244" t="str">
        <f t="shared" si="47"/>
        <v>Knee Replacement RevisionProviderMID AND SOUTH ESSEX NHS FOUNDATION TRUST (RAJ)EQ VAS</v>
      </c>
      <c r="C3027" t="s">
        <v>973</v>
      </c>
      <c r="D3027" t="s">
        <v>965</v>
      </c>
      <c r="E3027" t="s">
        <v>324</v>
      </c>
      <c r="F3027" t="s">
        <v>325</v>
      </c>
      <c r="G3027" t="s">
        <v>752</v>
      </c>
      <c r="H3027">
        <v>3</v>
      </c>
      <c r="I3027">
        <v>61.666699999999999</v>
      </c>
      <c r="J3027">
        <v>48.333300000000001</v>
      </c>
      <c r="K3027">
        <v>-13.333299999999999</v>
      </c>
      <c r="L3027">
        <v>1</v>
      </c>
      <c r="M3027">
        <v>0</v>
      </c>
      <c r="N3027">
        <v>2</v>
      </c>
      <c r="O3027" t="s">
        <v>127</v>
      </c>
      <c r="P3027" t="s">
        <v>127</v>
      </c>
      <c r="Q3027" t="s">
        <v>127</v>
      </c>
    </row>
    <row r="3028" spans="1:17" x14ac:dyDescent="0.25">
      <c r="A3028" t="str">
        <f>IF(C3028&amp;G3028&amp;D3028&lt;&gt;'Funnel setup'!$K$3&amp;'Funnel setup'!$K$4&amp;'Funnel setup'!$K$6,".",IF(A3027=".",1,A3027+1))</f>
        <v>.</v>
      </c>
      <c r="B3028" s="244" t="str">
        <f t="shared" si="47"/>
        <v>Knee Replacement RevisionProviderMID CHESHIRE HOSPITALS NHS FOUNDATION TRUST (RBT)EQ VAS</v>
      </c>
      <c r="C3028" t="s">
        <v>973</v>
      </c>
      <c r="D3028" t="s">
        <v>965</v>
      </c>
      <c r="E3028" t="s">
        <v>326</v>
      </c>
      <c r="F3028" t="s">
        <v>327</v>
      </c>
      <c r="G3028" t="s">
        <v>752</v>
      </c>
      <c r="H3028">
        <v>2</v>
      </c>
      <c r="I3028">
        <v>64</v>
      </c>
      <c r="J3028">
        <v>67.5</v>
      </c>
      <c r="K3028">
        <v>3.5</v>
      </c>
      <c r="L3028">
        <v>1</v>
      </c>
      <c r="M3028">
        <v>0</v>
      </c>
      <c r="N3028">
        <v>1</v>
      </c>
      <c r="O3028" t="s">
        <v>127</v>
      </c>
      <c r="P3028" t="s">
        <v>127</v>
      </c>
      <c r="Q3028" t="s">
        <v>127</v>
      </c>
    </row>
    <row r="3029" spans="1:17" x14ac:dyDescent="0.25">
      <c r="A3029" t="str">
        <f>IF(C3029&amp;G3029&amp;D3029&lt;&gt;'Funnel setup'!$K$3&amp;'Funnel setup'!$K$4&amp;'Funnel setup'!$K$6,".",IF(A3028=".",1,A3028+1))</f>
        <v>.</v>
      </c>
      <c r="B3029" s="244" t="str">
        <f t="shared" si="47"/>
        <v>Knee Replacement RevisionProviderMID YORKSHIRE TEACHING NHS TRUST (RXF)EQ VAS</v>
      </c>
      <c r="C3029" t="s">
        <v>973</v>
      </c>
      <c r="D3029" t="s">
        <v>965</v>
      </c>
      <c r="E3029" t="s">
        <v>330</v>
      </c>
      <c r="F3029" t="s">
        <v>331</v>
      </c>
      <c r="G3029" t="s">
        <v>752</v>
      </c>
      <c r="H3029">
        <v>25</v>
      </c>
      <c r="I3029">
        <v>66.44</v>
      </c>
      <c r="J3029">
        <v>69.400000000000006</v>
      </c>
      <c r="K3029">
        <v>2.96</v>
      </c>
      <c r="L3029">
        <v>13</v>
      </c>
      <c r="M3029">
        <v>1</v>
      </c>
      <c r="N3029">
        <v>11</v>
      </c>
      <c r="O3029" t="s">
        <v>127</v>
      </c>
      <c r="P3029" t="s">
        <v>127</v>
      </c>
      <c r="Q3029" t="s">
        <v>127</v>
      </c>
    </row>
    <row r="3030" spans="1:17" x14ac:dyDescent="0.25">
      <c r="A3030" t="str">
        <f>IF(C3030&amp;G3030&amp;D3030&lt;&gt;'Funnel setup'!$K$3&amp;'Funnel setup'!$K$4&amp;'Funnel setup'!$K$6,".",IF(A3029=".",1,A3029+1))</f>
        <v>.</v>
      </c>
      <c r="B3030" s="244" t="str">
        <f t="shared" si="47"/>
        <v>Knee Replacement RevisionProviderMILTON KEYNES UNIVERSITY HOSPITAL NHS FOUNDATION TRUST (RD8)EQ VAS</v>
      </c>
      <c r="C3030" t="s">
        <v>973</v>
      </c>
      <c r="D3030" t="s">
        <v>965</v>
      </c>
      <c r="E3030" t="s">
        <v>332</v>
      </c>
      <c r="F3030" t="s">
        <v>333</v>
      </c>
      <c r="G3030" t="s">
        <v>752</v>
      </c>
      <c r="H3030">
        <v>2</v>
      </c>
      <c r="I3030">
        <v>52.5</v>
      </c>
      <c r="J3030">
        <v>57.5</v>
      </c>
      <c r="K3030">
        <v>5</v>
      </c>
      <c r="L3030">
        <v>1</v>
      </c>
      <c r="M3030">
        <v>0</v>
      </c>
      <c r="N3030">
        <v>1</v>
      </c>
      <c r="O3030" t="s">
        <v>127</v>
      </c>
      <c r="P3030" t="s">
        <v>127</v>
      </c>
      <c r="Q3030" t="s">
        <v>127</v>
      </c>
    </row>
    <row r="3031" spans="1:17" x14ac:dyDescent="0.25">
      <c r="A3031" t="str">
        <f>IF(C3031&amp;G3031&amp;D3031&lt;&gt;'Funnel setup'!$K$3&amp;'Funnel setup'!$K$4&amp;'Funnel setup'!$K$6,".",IF(A3030=".",1,A3030+1))</f>
        <v>.</v>
      </c>
      <c r="B3031" s="244" t="str">
        <f t="shared" si="47"/>
        <v>Knee Replacement RevisionProviderMOUNT STUART HOSPITAL (NVC08)EQ VAS</v>
      </c>
      <c r="C3031" t="s">
        <v>973</v>
      </c>
      <c r="D3031" t="s">
        <v>965</v>
      </c>
      <c r="E3031" t="s">
        <v>336</v>
      </c>
      <c r="F3031" t="s">
        <v>337</v>
      </c>
      <c r="G3031" t="s">
        <v>752</v>
      </c>
      <c r="H3031" t="s">
        <v>127</v>
      </c>
      <c r="I3031" t="s">
        <v>127</v>
      </c>
      <c r="J3031" t="s">
        <v>127</v>
      </c>
      <c r="K3031" t="s">
        <v>127</v>
      </c>
      <c r="L3031" t="s">
        <v>127</v>
      </c>
      <c r="M3031" t="s">
        <v>127</v>
      </c>
      <c r="N3031" t="s">
        <v>127</v>
      </c>
      <c r="O3031" t="s">
        <v>127</v>
      </c>
      <c r="P3031" t="s">
        <v>127</v>
      </c>
      <c r="Q3031" t="s">
        <v>127</v>
      </c>
    </row>
    <row r="3032" spans="1:17" x14ac:dyDescent="0.25">
      <c r="A3032" t="str">
        <f>IF(C3032&amp;G3032&amp;D3032&lt;&gt;'Funnel setup'!$K$3&amp;'Funnel setup'!$K$4&amp;'Funnel setup'!$K$6,".",IF(A3031=".",1,A3031+1))</f>
        <v>.</v>
      </c>
      <c r="B3032" s="244" t="str">
        <f t="shared" si="47"/>
        <v>Knee Replacement RevisionProviderNORFOLK AND NORWICH UNIVERSITY HOSPITALS NHS FOUNDATION TRUST (RM1)EQ VAS</v>
      </c>
      <c r="C3032" t="s">
        <v>973</v>
      </c>
      <c r="D3032" t="s">
        <v>965</v>
      </c>
      <c r="E3032" t="s">
        <v>340</v>
      </c>
      <c r="F3032" t="s">
        <v>341</v>
      </c>
      <c r="G3032" t="s">
        <v>752</v>
      </c>
      <c r="H3032">
        <v>13</v>
      </c>
      <c r="I3032">
        <v>52.923099999999998</v>
      </c>
      <c r="J3032">
        <v>62.461500000000001</v>
      </c>
      <c r="K3032">
        <v>9.5384600000000006</v>
      </c>
      <c r="L3032">
        <v>8</v>
      </c>
      <c r="M3032">
        <v>2</v>
      </c>
      <c r="N3032">
        <v>3</v>
      </c>
      <c r="O3032" t="s">
        <v>127</v>
      </c>
      <c r="P3032" t="s">
        <v>127</v>
      </c>
      <c r="Q3032" t="s">
        <v>127</v>
      </c>
    </row>
    <row r="3033" spans="1:17" x14ac:dyDescent="0.25">
      <c r="A3033" t="str">
        <f>IF(C3033&amp;G3033&amp;D3033&lt;&gt;'Funnel setup'!$K$3&amp;'Funnel setup'!$K$4&amp;'Funnel setup'!$K$6,".",IF(A3032=".",1,A3032+1))</f>
        <v>.</v>
      </c>
      <c r="B3033" s="244" t="str">
        <f t="shared" si="47"/>
        <v>Knee Replacement RevisionProviderNORTH BRISTOL NHS TRUST (RVJ)EQ VAS</v>
      </c>
      <c r="C3033" t="s">
        <v>973</v>
      </c>
      <c r="D3033" t="s">
        <v>965</v>
      </c>
      <c r="E3033" t="s">
        <v>342</v>
      </c>
      <c r="F3033" t="s">
        <v>343</v>
      </c>
      <c r="G3033" t="s">
        <v>752</v>
      </c>
      <c r="H3033">
        <v>2</v>
      </c>
      <c r="I3033">
        <v>78.5</v>
      </c>
      <c r="J3033">
        <v>83.5</v>
      </c>
      <c r="K3033">
        <v>5</v>
      </c>
      <c r="L3033">
        <v>1</v>
      </c>
      <c r="M3033">
        <v>0</v>
      </c>
      <c r="N3033">
        <v>1</v>
      </c>
      <c r="O3033" t="s">
        <v>127</v>
      </c>
      <c r="P3033" t="s">
        <v>127</v>
      </c>
      <c r="Q3033" t="s">
        <v>127</v>
      </c>
    </row>
    <row r="3034" spans="1:17" x14ac:dyDescent="0.25">
      <c r="A3034" t="str">
        <f>IF(C3034&amp;G3034&amp;D3034&lt;&gt;'Funnel setup'!$K$3&amp;'Funnel setup'!$K$4&amp;'Funnel setup'!$K$6,".",IF(A3033=".",1,A3033+1))</f>
        <v>.</v>
      </c>
      <c r="B3034" s="244" t="str">
        <f t="shared" si="47"/>
        <v>Knee Replacement RevisionProviderNORTH CUMBRIA INTEGRATED CARE NHS FOUNDATION TRUST (RNN)EQ VAS</v>
      </c>
      <c r="C3034" t="s">
        <v>973</v>
      </c>
      <c r="D3034" t="s">
        <v>965</v>
      </c>
      <c r="E3034" t="s">
        <v>344</v>
      </c>
      <c r="F3034" t="s">
        <v>345</v>
      </c>
      <c r="G3034" t="s">
        <v>752</v>
      </c>
      <c r="H3034">
        <v>3</v>
      </c>
      <c r="I3034">
        <v>77.333299999999994</v>
      </c>
      <c r="J3034">
        <v>75</v>
      </c>
      <c r="K3034">
        <v>-2.3333300000000001</v>
      </c>
      <c r="L3034">
        <v>2</v>
      </c>
      <c r="M3034">
        <v>0</v>
      </c>
      <c r="N3034">
        <v>1</v>
      </c>
      <c r="O3034" t="s">
        <v>127</v>
      </c>
      <c r="P3034" t="s">
        <v>127</v>
      </c>
      <c r="Q3034" t="s">
        <v>127</v>
      </c>
    </row>
    <row r="3035" spans="1:17" x14ac:dyDescent="0.25">
      <c r="A3035" t="str">
        <f>IF(C3035&amp;G3035&amp;D3035&lt;&gt;'Funnel setup'!$K$3&amp;'Funnel setup'!$K$4&amp;'Funnel setup'!$K$6,".",IF(A3034=".",1,A3034+1))</f>
        <v>.</v>
      </c>
      <c r="B3035" s="244" t="str">
        <f t="shared" si="47"/>
        <v>Knee Replacement RevisionProviderNORTH DOWNS HOSPITAL (NVC11)EQ VAS</v>
      </c>
      <c r="C3035" t="s">
        <v>973</v>
      </c>
      <c r="D3035" t="s">
        <v>965</v>
      </c>
      <c r="E3035" t="s">
        <v>348</v>
      </c>
      <c r="F3035" t="s">
        <v>349</v>
      </c>
      <c r="G3035" t="s">
        <v>752</v>
      </c>
      <c r="H3035" t="s">
        <v>127</v>
      </c>
      <c r="I3035" t="s">
        <v>127</v>
      </c>
      <c r="J3035" t="s">
        <v>127</v>
      </c>
      <c r="K3035" t="s">
        <v>127</v>
      </c>
      <c r="L3035" t="s">
        <v>127</v>
      </c>
      <c r="M3035" t="s">
        <v>127</v>
      </c>
      <c r="N3035" t="s">
        <v>127</v>
      </c>
      <c r="O3035" t="s">
        <v>127</v>
      </c>
      <c r="P3035" t="s">
        <v>127</v>
      </c>
      <c r="Q3035" t="s">
        <v>127</v>
      </c>
    </row>
    <row r="3036" spans="1:17" x14ac:dyDescent="0.25">
      <c r="A3036" t="str">
        <f>IF(C3036&amp;G3036&amp;D3036&lt;&gt;'Funnel setup'!$K$3&amp;'Funnel setup'!$K$4&amp;'Funnel setup'!$K$6,".",IF(A3035=".",1,A3035+1))</f>
        <v>.</v>
      </c>
      <c r="B3036" s="244" t="str">
        <f t="shared" si="47"/>
        <v>Knee Replacement RevisionProviderNORTH TEES AND HARTLEPOOL NHS FOUNDATION TRUST (RVW)EQ VAS</v>
      </c>
      <c r="C3036" t="s">
        <v>973</v>
      </c>
      <c r="D3036" t="s">
        <v>965</v>
      </c>
      <c r="E3036" t="s">
        <v>352</v>
      </c>
      <c r="F3036" t="s">
        <v>353</v>
      </c>
      <c r="G3036" t="s">
        <v>752</v>
      </c>
      <c r="H3036">
        <v>11</v>
      </c>
      <c r="I3036">
        <v>58.636400000000002</v>
      </c>
      <c r="J3036">
        <v>55.454500000000003</v>
      </c>
      <c r="K3036">
        <v>-3.1818200000000001</v>
      </c>
      <c r="L3036">
        <v>6</v>
      </c>
      <c r="M3036">
        <v>0</v>
      </c>
      <c r="N3036">
        <v>5</v>
      </c>
      <c r="O3036" t="s">
        <v>127</v>
      </c>
      <c r="P3036" t="s">
        <v>127</v>
      </c>
      <c r="Q3036" t="s">
        <v>127</v>
      </c>
    </row>
    <row r="3037" spans="1:17" x14ac:dyDescent="0.25">
      <c r="A3037" t="str">
        <f>IF(C3037&amp;G3037&amp;D3037&lt;&gt;'Funnel setup'!$K$3&amp;'Funnel setup'!$K$4&amp;'Funnel setup'!$K$6,".",IF(A3036=".",1,A3036+1))</f>
        <v>.</v>
      </c>
      <c r="B3037" s="244" t="str">
        <f t="shared" si="47"/>
        <v>Knee Replacement RevisionProviderNORTH WEST ANGLIA NHS FOUNDATION TRUST (RGN)EQ VAS</v>
      </c>
      <c r="C3037" t="s">
        <v>973</v>
      </c>
      <c r="D3037" t="s">
        <v>965</v>
      </c>
      <c r="E3037" t="s">
        <v>354</v>
      </c>
      <c r="F3037" t="s">
        <v>355</v>
      </c>
      <c r="G3037" t="s">
        <v>752</v>
      </c>
      <c r="H3037">
        <v>7</v>
      </c>
      <c r="I3037">
        <v>55.714300000000001</v>
      </c>
      <c r="J3037">
        <v>60.571399999999997</v>
      </c>
      <c r="K3037">
        <v>4.8571400000000002</v>
      </c>
      <c r="L3037">
        <v>3</v>
      </c>
      <c r="M3037">
        <v>1</v>
      </c>
      <c r="N3037">
        <v>3</v>
      </c>
      <c r="O3037" t="s">
        <v>127</v>
      </c>
      <c r="P3037" t="s">
        <v>127</v>
      </c>
      <c r="Q3037" t="s">
        <v>127</v>
      </c>
    </row>
    <row r="3038" spans="1:17" x14ac:dyDescent="0.25">
      <c r="A3038" t="str">
        <f>IF(C3038&amp;G3038&amp;D3038&lt;&gt;'Funnel setup'!$K$3&amp;'Funnel setup'!$K$4&amp;'Funnel setup'!$K$6,".",IF(A3037=".",1,A3037+1))</f>
        <v>.</v>
      </c>
      <c r="B3038" s="244" t="str">
        <f t="shared" si="47"/>
        <v>Knee Replacement RevisionProviderNORTHAMPTON GENERAL HOSPITAL NHS TRUST (RNS)EQ VAS</v>
      </c>
      <c r="C3038" t="s">
        <v>973</v>
      </c>
      <c r="D3038" t="s">
        <v>965</v>
      </c>
      <c r="E3038" t="s">
        <v>356</v>
      </c>
      <c r="F3038" t="s">
        <v>357</v>
      </c>
      <c r="G3038" t="s">
        <v>752</v>
      </c>
      <c r="H3038">
        <v>2</v>
      </c>
      <c r="I3038">
        <v>65</v>
      </c>
      <c r="J3038">
        <v>85.5</v>
      </c>
      <c r="K3038">
        <v>20.5</v>
      </c>
      <c r="L3038">
        <v>2</v>
      </c>
      <c r="M3038">
        <v>0</v>
      </c>
      <c r="N3038">
        <v>0</v>
      </c>
      <c r="O3038" t="s">
        <v>127</v>
      </c>
      <c r="P3038" t="s">
        <v>127</v>
      </c>
      <c r="Q3038" t="s">
        <v>127</v>
      </c>
    </row>
    <row r="3039" spans="1:17" x14ac:dyDescent="0.25">
      <c r="A3039" t="str">
        <f>IF(C3039&amp;G3039&amp;D3039&lt;&gt;'Funnel setup'!$K$3&amp;'Funnel setup'!$K$4&amp;'Funnel setup'!$K$6,".",IF(A3038=".",1,A3038+1))</f>
        <v>.</v>
      </c>
      <c r="B3039" s="244" t="str">
        <f t="shared" si="47"/>
        <v>Knee Replacement RevisionProviderNORTHERN DEVON HEALTHCARE NHS TRUST (RBZ)EQ VAS</v>
      </c>
      <c r="C3039" t="s">
        <v>973</v>
      </c>
      <c r="D3039" t="s">
        <v>965</v>
      </c>
      <c r="E3039" t="s">
        <v>360</v>
      </c>
      <c r="F3039" t="s">
        <v>361</v>
      </c>
      <c r="G3039" t="s">
        <v>752</v>
      </c>
      <c r="H3039" t="s">
        <v>127</v>
      </c>
      <c r="I3039" t="s">
        <v>127</v>
      </c>
      <c r="J3039" t="s">
        <v>127</v>
      </c>
      <c r="K3039" t="s">
        <v>127</v>
      </c>
      <c r="L3039" t="s">
        <v>127</v>
      </c>
      <c r="M3039" t="s">
        <v>127</v>
      </c>
      <c r="N3039" t="s">
        <v>127</v>
      </c>
      <c r="O3039" t="s">
        <v>127</v>
      </c>
      <c r="P3039" t="s">
        <v>127</v>
      </c>
      <c r="Q3039" t="s">
        <v>127</v>
      </c>
    </row>
    <row r="3040" spans="1:17" x14ac:dyDescent="0.25">
      <c r="A3040" t="str">
        <f>IF(C3040&amp;G3040&amp;D3040&lt;&gt;'Funnel setup'!$K$3&amp;'Funnel setup'!$K$4&amp;'Funnel setup'!$K$6,".",IF(A3039=".",1,A3039+1))</f>
        <v>.</v>
      </c>
      <c r="B3040" s="244" t="str">
        <f t="shared" si="47"/>
        <v>Knee Replacement RevisionProviderNORTHERN LINCOLNSHIRE AND GOOLE NHS FOUNDATION TRUST (RJL)EQ VAS</v>
      </c>
      <c r="C3040" t="s">
        <v>973</v>
      </c>
      <c r="D3040" t="s">
        <v>965</v>
      </c>
      <c r="E3040" t="s">
        <v>362</v>
      </c>
      <c r="F3040" t="s">
        <v>363</v>
      </c>
      <c r="G3040" t="s">
        <v>752</v>
      </c>
      <c r="H3040">
        <v>3</v>
      </c>
      <c r="I3040">
        <v>51.666699999999999</v>
      </c>
      <c r="J3040">
        <v>53.333300000000001</v>
      </c>
      <c r="K3040">
        <v>1.6666700000000001</v>
      </c>
      <c r="L3040">
        <v>1</v>
      </c>
      <c r="M3040">
        <v>0</v>
      </c>
      <c r="N3040">
        <v>2</v>
      </c>
      <c r="O3040" t="s">
        <v>127</v>
      </c>
      <c r="P3040" t="s">
        <v>127</v>
      </c>
      <c r="Q3040" t="s">
        <v>127</v>
      </c>
    </row>
    <row r="3041" spans="1:17" x14ac:dyDescent="0.25">
      <c r="A3041" t="str">
        <f>IF(C3041&amp;G3041&amp;D3041&lt;&gt;'Funnel setup'!$K$3&amp;'Funnel setup'!$K$4&amp;'Funnel setup'!$K$6,".",IF(A3040=".",1,A3040+1))</f>
        <v>.</v>
      </c>
      <c r="B3041" s="244" t="str">
        <f t="shared" si="47"/>
        <v>Knee Replacement RevisionProviderNORTHUMBRIA HEALTHCARE NHS FOUNDATION TRUST (RTF)EQ VAS</v>
      </c>
      <c r="C3041" t="s">
        <v>973</v>
      </c>
      <c r="D3041" t="s">
        <v>965</v>
      </c>
      <c r="E3041" t="s">
        <v>364</v>
      </c>
      <c r="F3041" t="s">
        <v>365</v>
      </c>
      <c r="G3041" t="s">
        <v>752</v>
      </c>
      <c r="H3041">
        <v>9</v>
      </c>
      <c r="I3041">
        <v>63.333300000000001</v>
      </c>
      <c r="J3041">
        <v>56.1111</v>
      </c>
      <c r="K3041">
        <v>-7.2222200000000001</v>
      </c>
      <c r="L3041">
        <v>2</v>
      </c>
      <c r="M3041">
        <v>3</v>
      </c>
      <c r="N3041">
        <v>4</v>
      </c>
      <c r="O3041" t="s">
        <v>127</v>
      </c>
      <c r="P3041" t="s">
        <v>127</v>
      </c>
      <c r="Q3041" t="s">
        <v>127</v>
      </c>
    </row>
    <row r="3042" spans="1:17" x14ac:dyDescent="0.25">
      <c r="A3042" t="str">
        <f>IF(C3042&amp;G3042&amp;D3042&lt;&gt;'Funnel setup'!$K$3&amp;'Funnel setup'!$K$4&amp;'Funnel setup'!$K$6,".",IF(A3041=".",1,A3041+1))</f>
        <v>.</v>
      </c>
      <c r="B3042" s="244" t="str">
        <f t="shared" si="47"/>
        <v>Knee Replacement RevisionProviderNUFFIELD HEALTH, DERBY HOSPITAL (NT213)EQ VAS</v>
      </c>
      <c r="C3042" t="s">
        <v>973</v>
      </c>
      <c r="D3042" t="s">
        <v>965</v>
      </c>
      <c r="E3042" t="s">
        <v>382</v>
      </c>
      <c r="F3042" t="s">
        <v>383</v>
      </c>
      <c r="G3042" t="s">
        <v>752</v>
      </c>
      <c r="H3042">
        <v>2</v>
      </c>
      <c r="I3042">
        <v>35</v>
      </c>
      <c r="J3042">
        <v>77.5</v>
      </c>
      <c r="K3042">
        <v>42.5</v>
      </c>
      <c r="L3042">
        <v>2</v>
      </c>
      <c r="M3042">
        <v>0</v>
      </c>
      <c r="N3042">
        <v>0</v>
      </c>
      <c r="O3042" t="s">
        <v>127</v>
      </c>
      <c r="P3042" t="s">
        <v>127</v>
      </c>
      <c r="Q3042" t="s">
        <v>127</v>
      </c>
    </row>
    <row r="3043" spans="1:17" x14ac:dyDescent="0.25">
      <c r="A3043" t="str">
        <f>IF(C3043&amp;G3043&amp;D3043&lt;&gt;'Funnel setup'!$K$3&amp;'Funnel setup'!$K$4&amp;'Funnel setup'!$K$6,".",IF(A3042=".",1,A3042+1))</f>
        <v>.</v>
      </c>
      <c r="B3043" s="244" t="str">
        <f t="shared" si="47"/>
        <v>Knee Replacement RevisionProviderNUFFIELD HEALTH, LEEDS HOSPITAL (NT225)EQ VAS</v>
      </c>
      <c r="C3043" t="s">
        <v>973</v>
      </c>
      <c r="D3043" t="s">
        <v>965</v>
      </c>
      <c r="E3043" t="s">
        <v>392</v>
      </c>
      <c r="F3043" t="s">
        <v>393</v>
      </c>
      <c r="G3043" t="s">
        <v>752</v>
      </c>
      <c r="H3043" t="s">
        <v>127</v>
      </c>
      <c r="I3043" t="s">
        <v>127</v>
      </c>
      <c r="J3043" t="s">
        <v>127</v>
      </c>
      <c r="K3043" t="s">
        <v>127</v>
      </c>
      <c r="L3043" t="s">
        <v>127</v>
      </c>
      <c r="M3043" t="s">
        <v>127</v>
      </c>
      <c r="N3043" t="s">
        <v>127</v>
      </c>
      <c r="O3043" t="s">
        <v>127</v>
      </c>
      <c r="P3043" t="s">
        <v>127</v>
      </c>
      <c r="Q3043" t="s">
        <v>127</v>
      </c>
    </row>
    <row r="3044" spans="1:17" x14ac:dyDescent="0.25">
      <c r="A3044" t="str">
        <f>IF(C3044&amp;G3044&amp;D3044&lt;&gt;'Funnel setup'!$K$3&amp;'Funnel setup'!$K$4&amp;'Funnel setup'!$K$6,".",IF(A3043=".",1,A3043+1))</f>
        <v>.</v>
      </c>
      <c r="B3044" s="244" t="str">
        <f t="shared" si="47"/>
        <v>Knee Replacement RevisionProviderNUFFIELD HEALTH, NORTH STAFFORDSHIRE HOSPITAL (NT230)EQ VAS</v>
      </c>
      <c r="C3044" t="s">
        <v>973</v>
      </c>
      <c r="D3044" t="s">
        <v>965</v>
      </c>
      <c r="E3044" t="s">
        <v>398</v>
      </c>
      <c r="F3044" t="s">
        <v>399</v>
      </c>
      <c r="G3044" t="s">
        <v>752</v>
      </c>
      <c r="H3044" t="s">
        <v>127</v>
      </c>
      <c r="I3044" t="s">
        <v>127</v>
      </c>
      <c r="J3044" t="s">
        <v>127</v>
      </c>
      <c r="K3044" t="s">
        <v>127</v>
      </c>
      <c r="L3044" t="s">
        <v>127</v>
      </c>
      <c r="M3044" t="s">
        <v>127</v>
      </c>
      <c r="N3044" t="s">
        <v>127</v>
      </c>
      <c r="O3044" t="s">
        <v>127</v>
      </c>
      <c r="P3044" t="s">
        <v>127</v>
      </c>
      <c r="Q3044" t="s">
        <v>127</v>
      </c>
    </row>
    <row r="3045" spans="1:17" x14ac:dyDescent="0.25">
      <c r="A3045" t="str">
        <f>IF(C3045&amp;G3045&amp;D3045&lt;&gt;'Funnel setup'!$K$3&amp;'Funnel setup'!$K$4&amp;'Funnel setup'!$K$6,".",IF(A3044=".",1,A3044+1))</f>
        <v>.</v>
      </c>
      <c r="B3045" s="244" t="str">
        <f t="shared" si="47"/>
        <v>Knee Replacement RevisionProviderNUFFIELD HEALTH, PLYMOUTH HOSPITAL (NT233)EQ VAS</v>
      </c>
      <c r="C3045" t="s">
        <v>973</v>
      </c>
      <c r="D3045" t="s">
        <v>965</v>
      </c>
      <c r="E3045" t="s">
        <v>400</v>
      </c>
      <c r="F3045" t="s">
        <v>401</v>
      </c>
      <c r="G3045" t="s">
        <v>752</v>
      </c>
      <c r="H3045" t="s">
        <v>127</v>
      </c>
      <c r="I3045" t="s">
        <v>127</v>
      </c>
      <c r="J3045" t="s">
        <v>127</v>
      </c>
      <c r="K3045" t="s">
        <v>127</v>
      </c>
      <c r="L3045" t="s">
        <v>127</v>
      </c>
      <c r="M3045" t="s">
        <v>127</v>
      </c>
      <c r="N3045" t="s">
        <v>127</v>
      </c>
      <c r="O3045" t="s">
        <v>127</v>
      </c>
      <c r="P3045" t="s">
        <v>127</v>
      </c>
      <c r="Q3045" t="s">
        <v>127</v>
      </c>
    </row>
    <row r="3046" spans="1:17" x14ac:dyDescent="0.25">
      <c r="A3046" t="str">
        <f>IF(C3046&amp;G3046&amp;D3046&lt;&gt;'Funnel setup'!$K$3&amp;'Funnel setup'!$K$4&amp;'Funnel setup'!$K$6,".",IF(A3045=".",1,A3045+1))</f>
        <v>.</v>
      </c>
      <c r="B3046" s="244" t="str">
        <f t="shared" si="47"/>
        <v>Knee Replacement RevisionProviderNUFFIELD HEALTH, TEES HOSPITAL (NT237)EQ VAS</v>
      </c>
      <c r="C3046" t="s">
        <v>973</v>
      </c>
      <c r="D3046" t="s">
        <v>965</v>
      </c>
      <c r="E3046" t="s">
        <v>406</v>
      </c>
      <c r="F3046" t="s">
        <v>407</v>
      </c>
      <c r="G3046" t="s">
        <v>752</v>
      </c>
      <c r="H3046" t="s">
        <v>127</v>
      </c>
      <c r="I3046" t="s">
        <v>127</v>
      </c>
      <c r="J3046" t="s">
        <v>127</v>
      </c>
      <c r="K3046" t="s">
        <v>127</v>
      </c>
      <c r="L3046" t="s">
        <v>127</v>
      </c>
      <c r="M3046" t="s">
        <v>127</v>
      </c>
      <c r="N3046" t="s">
        <v>127</v>
      </c>
      <c r="O3046" t="s">
        <v>127</v>
      </c>
      <c r="P3046" t="s">
        <v>127</v>
      </c>
      <c r="Q3046" t="s">
        <v>127</v>
      </c>
    </row>
    <row r="3047" spans="1:17" x14ac:dyDescent="0.25">
      <c r="A3047" t="str">
        <f>IF(C3047&amp;G3047&amp;D3047&lt;&gt;'Funnel setup'!$K$3&amp;'Funnel setup'!$K$4&amp;'Funnel setup'!$K$6,".",IF(A3046=".",1,A3046+1))</f>
        <v>.</v>
      </c>
      <c r="B3047" s="244" t="str">
        <f t="shared" si="47"/>
        <v>Knee Replacement RevisionProviderNUFFIELD HEALTH, WARWICKSHIRE HOSPITAL (NT224)EQ VAS</v>
      </c>
      <c r="C3047" t="s">
        <v>973</v>
      </c>
      <c r="D3047" t="s">
        <v>965</v>
      </c>
      <c r="E3047" t="s">
        <v>412</v>
      </c>
      <c r="F3047" t="s">
        <v>413</v>
      </c>
      <c r="G3047" t="s">
        <v>752</v>
      </c>
      <c r="H3047" t="s">
        <v>127</v>
      </c>
      <c r="I3047" t="s">
        <v>127</v>
      </c>
      <c r="J3047" t="s">
        <v>127</v>
      </c>
      <c r="K3047" t="s">
        <v>127</v>
      </c>
      <c r="L3047" t="s">
        <v>127</v>
      </c>
      <c r="M3047" t="s">
        <v>127</v>
      </c>
      <c r="N3047" t="s">
        <v>127</v>
      </c>
      <c r="O3047" t="s">
        <v>127</v>
      </c>
      <c r="P3047" t="s">
        <v>127</v>
      </c>
      <c r="Q3047" t="s">
        <v>127</v>
      </c>
    </row>
    <row r="3048" spans="1:17" x14ac:dyDescent="0.25">
      <c r="A3048" t="str">
        <f>IF(C3048&amp;G3048&amp;D3048&lt;&gt;'Funnel setup'!$K$3&amp;'Funnel setup'!$K$4&amp;'Funnel setup'!$K$6,".",IF(A3047=".",1,A3047+1))</f>
        <v>.</v>
      </c>
      <c r="B3048" s="244" t="str">
        <f t="shared" si="47"/>
        <v>Knee Replacement RevisionProviderNUFFIELD HEALTH, YORK HOSPITAL (NT245)EQ VAS</v>
      </c>
      <c r="C3048" t="s">
        <v>973</v>
      </c>
      <c r="D3048" t="s">
        <v>965</v>
      </c>
      <c r="E3048" t="s">
        <v>420</v>
      </c>
      <c r="F3048" t="s">
        <v>421</v>
      </c>
      <c r="G3048" t="s">
        <v>752</v>
      </c>
      <c r="H3048">
        <v>3</v>
      </c>
      <c r="I3048">
        <v>83.333299999999994</v>
      </c>
      <c r="J3048">
        <v>80.333299999999994</v>
      </c>
      <c r="K3048">
        <v>-3</v>
      </c>
      <c r="L3048">
        <v>1</v>
      </c>
      <c r="M3048">
        <v>0</v>
      </c>
      <c r="N3048">
        <v>2</v>
      </c>
      <c r="O3048" t="s">
        <v>127</v>
      </c>
      <c r="P3048" t="s">
        <v>127</v>
      </c>
      <c r="Q3048" t="s">
        <v>127</v>
      </c>
    </row>
    <row r="3049" spans="1:17" x14ac:dyDescent="0.25">
      <c r="A3049" t="str">
        <f>IF(C3049&amp;G3049&amp;D3049&lt;&gt;'Funnel setup'!$K$3&amp;'Funnel setup'!$K$4&amp;'Funnel setup'!$K$6,".",IF(A3048=".",1,A3048+1))</f>
        <v>.</v>
      </c>
      <c r="B3049" s="244" t="str">
        <f t="shared" si="47"/>
        <v>Knee Replacement RevisionProviderOXFORD UNIVERSITY HOSPITALS NHS FOUNDATION TRUST (RTH)EQ VAS</v>
      </c>
      <c r="C3049" t="s">
        <v>973</v>
      </c>
      <c r="D3049" t="s">
        <v>965</v>
      </c>
      <c r="E3049" t="s">
        <v>438</v>
      </c>
      <c r="F3049" t="s">
        <v>439</v>
      </c>
      <c r="G3049" t="s">
        <v>752</v>
      </c>
      <c r="H3049">
        <v>41</v>
      </c>
      <c r="I3049">
        <v>62.756100000000004</v>
      </c>
      <c r="J3049">
        <v>70.195099999999996</v>
      </c>
      <c r="K3049">
        <v>7.4390200000000002</v>
      </c>
      <c r="L3049">
        <v>23</v>
      </c>
      <c r="M3049">
        <v>6</v>
      </c>
      <c r="N3049">
        <v>12</v>
      </c>
      <c r="O3049">
        <v>67.362099999999998</v>
      </c>
      <c r="P3049">
        <v>7.4583199999999996</v>
      </c>
      <c r="Q3049">
        <v>19.683599999999998</v>
      </c>
    </row>
    <row r="3050" spans="1:17" x14ac:dyDescent="0.25">
      <c r="A3050" t="str">
        <f>IF(C3050&amp;G3050&amp;D3050&lt;&gt;'Funnel setup'!$K$3&amp;'Funnel setup'!$K$4&amp;'Funnel setup'!$K$6,".",IF(A3049=".",1,A3049+1))</f>
        <v>.</v>
      </c>
      <c r="B3050" s="244" t="str">
        <f t="shared" si="47"/>
        <v>Knee Replacement RevisionProviderPARK HILL HOSPITAL (NVC14)EQ VAS</v>
      </c>
      <c r="C3050" t="s">
        <v>973</v>
      </c>
      <c r="D3050" t="s">
        <v>965</v>
      </c>
      <c r="E3050" t="s">
        <v>440</v>
      </c>
      <c r="F3050" t="s">
        <v>441</v>
      </c>
      <c r="G3050" t="s">
        <v>752</v>
      </c>
      <c r="H3050" t="s">
        <v>127</v>
      </c>
      <c r="I3050" t="s">
        <v>127</v>
      </c>
      <c r="J3050" t="s">
        <v>127</v>
      </c>
      <c r="K3050" t="s">
        <v>127</v>
      </c>
      <c r="L3050" t="s">
        <v>127</v>
      </c>
      <c r="M3050" t="s">
        <v>127</v>
      </c>
      <c r="N3050" t="s">
        <v>127</v>
      </c>
      <c r="O3050" t="s">
        <v>127</v>
      </c>
      <c r="P3050" t="s">
        <v>127</v>
      </c>
      <c r="Q3050" t="s">
        <v>127</v>
      </c>
    </row>
    <row r="3051" spans="1:17" x14ac:dyDescent="0.25">
      <c r="A3051" t="str">
        <f>IF(C3051&amp;G3051&amp;D3051&lt;&gt;'Funnel setup'!$K$3&amp;'Funnel setup'!$K$4&amp;'Funnel setup'!$K$6,".",IF(A3050=".",1,A3050+1))</f>
        <v>.</v>
      </c>
      <c r="B3051" s="244" t="str">
        <f t="shared" si="47"/>
        <v>Knee Replacement RevisionProviderPORTSMOUTH HOSPITALS UNIVERSITY NATIONAL HEALTH SERVICE TRUST (RHU)EQ VAS</v>
      </c>
      <c r="C3051" t="s">
        <v>973</v>
      </c>
      <c r="D3051" t="s">
        <v>965</v>
      </c>
      <c r="E3051" t="s">
        <v>450</v>
      </c>
      <c r="F3051" t="s">
        <v>451</v>
      </c>
      <c r="G3051" t="s">
        <v>752</v>
      </c>
      <c r="H3051">
        <v>1</v>
      </c>
      <c r="I3051">
        <v>69</v>
      </c>
      <c r="J3051">
        <v>70</v>
      </c>
      <c r="K3051">
        <v>1</v>
      </c>
      <c r="L3051">
        <v>1</v>
      </c>
      <c r="M3051">
        <v>0</v>
      </c>
      <c r="N3051">
        <v>0</v>
      </c>
      <c r="O3051" t="s">
        <v>127</v>
      </c>
      <c r="P3051" t="s">
        <v>127</v>
      </c>
      <c r="Q3051" t="s">
        <v>127</v>
      </c>
    </row>
    <row r="3052" spans="1:17" x14ac:dyDescent="0.25">
      <c r="A3052" t="str">
        <f>IF(C3052&amp;G3052&amp;D3052&lt;&gt;'Funnel setup'!$K$3&amp;'Funnel setup'!$K$4&amp;'Funnel setup'!$K$6,".",IF(A3051=".",1,A3051+1))</f>
        <v>.</v>
      </c>
      <c r="B3052" s="244" t="str">
        <f t="shared" si="47"/>
        <v>Knee Replacement RevisionProviderPRACTICE PLUS GROUP HOSPITAL - BARLBOROUGH (NTP13)EQ VAS</v>
      </c>
      <c r="C3052" t="s">
        <v>973</v>
      </c>
      <c r="D3052" t="s">
        <v>965</v>
      </c>
      <c r="E3052" t="s">
        <v>452</v>
      </c>
      <c r="F3052" t="s">
        <v>453</v>
      </c>
      <c r="G3052" t="s">
        <v>752</v>
      </c>
      <c r="H3052" t="s">
        <v>127</v>
      </c>
      <c r="I3052" t="s">
        <v>127</v>
      </c>
      <c r="J3052" t="s">
        <v>127</v>
      </c>
      <c r="K3052" t="s">
        <v>127</v>
      </c>
      <c r="L3052" t="s">
        <v>127</v>
      </c>
      <c r="M3052" t="s">
        <v>127</v>
      </c>
      <c r="N3052" t="s">
        <v>127</v>
      </c>
      <c r="O3052" t="s">
        <v>127</v>
      </c>
      <c r="P3052" t="s">
        <v>127</v>
      </c>
      <c r="Q3052" t="s">
        <v>127</v>
      </c>
    </row>
    <row r="3053" spans="1:17" x14ac:dyDescent="0.25">
      <c r="A3053" t="str">
        <f>IF(C3053&amp;G3053&amp;D3053&lt;&gt;'Funnel setup'!$K$3&amp;'Funnel setup'!$K$4&amp;'Funnel setup'!$K$6,".",IF(A3052=".",1,A3052+1))</f>
        <v>.</v>
      </c>
      <c r="B3053" s="244" t="str">
        <f t="shared" si="47"/>
        <v>Knee Replacement RevisionProviderPRACTICE PLUS GROUP HOSPITAL - ILFORD (NTP15)EQ VAS</v>
      </c>
      <c r="C3053" t="s">
        <v>973</v>
      </c>
      <c r="D3053" t="s">
        <v>965</v>
      </c>
      <c r="E3053" t="s">
        <v>456</v>
      </c>
      <c r="F3053" t="s">
        <v>457</v>
      </c>
      <c r="G3053" t="s">
        <v>752</v>
      </c>
      <c r="H3053">
        <v>1</v>
      </c>
      <c r="I3053">
        <v>50</v>
      </c>
      <c r="J3053">
        <v>70</v>
      </c>
      <c r="K3053">
        <v>20</v>
      </c>
      <c r="L3053">
        <v>1</v>
      </c>
      <c r="M3053">
        <v>0</v>
      </c>
      <c r="N3053">
        <v>0</v>
      </c>
      <c r="O3053" t="s">
        <v>127</v>
      </c>
      <c r="P3053" t="s">
        <v>127</v>
      </c>
      <c r="Q3053" t="s">
        <v>127</v>
      </c>
    </row>
    <row r="3054" spans="1:17" x14ac:dyDescent="0.25">
      <c r="A3054" t="str">
        <f>IF(C3054&amp;G3054&amp;D3054&lt;&gt;'Funnel setup'!$K$3&amp;'Funnel setup'!$K$4&amp;'Funnel setup'!$K$6,".",IF(A3053=".",1,A3053+1))</f>
        <v>.</v>
      </c>
      <c r="B3054" s="244" t="str">
        <f t="shared" si="47"/>
        <v>Knee Replacement RevisionProviderPRACTICE PLUS GROUP HOSPITAL - PLYMOUTH (NTPH5)EQ VAS</v>
      </c>
      <c r="C3054" t="s">
        <v>973</v>
      </c>
      <c r="D3054" t="s">
        <v>965</v>
      </c>
      <c r="E3054" t="s">
        <v>458</v>
      </c>
      <c r="F3054" t="s">
        <v>459</v>
      </c>
      <c r="G3054" t="s">
        <v>752</v>
      </c>
      <c r="H3054">
        <v>5</v>
      </c>
      <c r="I3054">
        <v>77</v>
      </c>
      <c r="J3054">
        <v>77.599999999999994</v>
      </c>
      <c r="K3054">
        <v>0.6</v>
      </c>
      <c r="L3054">
        <v>2</v>
      </c>
      <c r="M3054">
        <v>0</v>
      </c>
      <c r="N3054">
        <v>3</v>
      </c>
      <c r="O3054" t="s">
        <v>127</v>
      </c>
      <c r="P3054" t="s">
        <v>127</v>
      </c>
      <c r="Q3054" t="s">
        <v>127</v>
      </c>
    </row>
    <row r="3055" spans="1:17" x14ac:dyDescent="0.25">
      <c r="A3055" t="str">
        <f>IF(C3055&amp;G3055&amp;D3055&lt;&gt;'Funnel setup'!$K$3&amp;'Funnel setup'!$K$4&amp;'Funnel setup'!$K$6,".",IF(A3054=".",1,A3054+1))</f>
        <v>.</v>
      </c>
      <c r="B3055" s="244" t="str">
        <f t="shared" si="47"/>
        <v>Knee Replacement RevisionProviderPRACTICE PLUS GROUP HOSPITAL - SOUTHAMPTON (NTP11)EQ VAS</v>
      </c>
      <c r="C3055" t="s">
        <v>973</v>
      </c>
      <c r="D3055" t="s">
        <v>965</v>
      </c>
      <c r="E3055" t="s">
        <v>462</v>
      </c>
      <c r="F3055" t="s">
        <v>463</v>
      </c>
      <c r="G3055" t="s">
        <v>752</v>
      </c>
      <c r="H3055">
        <v>1</v>
      </c>
      <c r="I3055">
        <v>55</v>
      </c>
      <c r="J3055">
        <v>78</v>
      </c>
      <c r="K3055">
        <v>23</v>
      </c>
      <c r="L3055">
        <v>1</v>
      </c>
      <c r="M3055">
        <v>0</v>
      </c>
      <c r="N3055">
        <v>0</v>
      </c>
      <c r="O3055" t="s">
        <v>127</v>
      </c>
      <c r="P3055" t="s">
        <v>127</v>
      </c>
      <c r="Q3055" t="s">
        <v>127</v>
      </c>
    </row>
    <row r="3056" spans="1:17" x14ac:dyDescent="0.25">
      <c r="A3056" t="str">
        <f>IF(C3056&amp;G3056&amp;D3056&lt;&gt;'Funnel setup'!$K$3&amp;'Funnel setup'!$K$4&amp;'Funnel setup'!$K$6,".",IF(A3055=".",1,A3055+1))</f>
        <v>.</v>
      </c>
      <c r="B3056" s="244" t="str">
        <f t="shared" si="47"/>
        <v>Knee Replacement RevisionProviderPRIORY HOSPITAL (NT429)EQ VAS</v>
      </c>
      <c r="C3056" t="s">
        <v>973</v>
      </c>
      <c r="D3056" t="s">
        <v>965</v>
      </c>
      <c r="E3056" t="s">
        <v>466</v>
      </c>
      <c r="F3056" t="s">
        <v>467</v>
      </c>
      <c r="G3056" t="s">
        <v>752</v>
      </c>
      <c r="H3056" t="s">
        <v>127</v>
      </c>
      <c r="I3056" t="s">
        <v>127</v>
      </c>
      <c r="J3056" t="s">
        <v>127</v>
      </c>
      <c r="K3056" t="s">
        <v>127</v>
      </c>
      <c r="L3056" t="s">
        <v>127</v>
      </c>
      <c r="M3056" t="s">
        <v>127</v>
      </c>
      <c r="N3056" t="s">
        <v>127</v>
      </c>
      <c r="O3056" t="s">
        <v>127</v>
      </c>
      <c r="P3056" t="s">
        <v>127</v>
      </c>
      <c r="Q3056" t="s">
        <v>127</v>
      </c>
    </row>
    <row r="3057" spans="1:17" x14ac:dyDescent="0.25">
      <c r="A3057" t="str">
        <f>IF(C3057&amp;G3057&amp;D3057&lt;&gt;'Funnel setup'!$K$3&amp;'Funnel setup'!$K$4&amp;'Funnel setup'!$K$6,".",IF(A3056=".",1,A3056+1))</f>
        <v>.</v>
      </c>
      <c r="B3057" s="244" t="str">
        <f t="shared" si="47"/>
        <v>Knee Replacement RevisionProviderROWLEY HALL HOSPITAL (NVC17)EQ VAS</v>
      </c>
      <c r="C3057" t="s">
        <v>973</v>
      </c>
      <c r="D3057" t="s">
        <v>965</v>
      </c>
      <c r="E3057" t="s">
        <v>476</v>
      </c>
      <c r="F3057" t="s">
        <v>477</v>
      </c>
      <c r="G3057" t="s">
        <v>752</v>
      </c>
      <c r="H3057" t="s">
        <v>127</v>
      </c>
      <c r="I3057" t="s">
        <v>127</v>
      </c>
      <c r="J3057" t="s">
        <v>127</v>
      </c>
      <c r="K3057" t="s">
        <v>127</v>
      </c>
      <c r="L3057" t="s">
        <v>127</v>
      </c>
      <c r="M3057" t="s">
        <v>127</v>
      </c>
      <c r="N3057" t="s">
        <v>127</v>
      </c>
      <c r="O3057" t="s">
        <v>127</v>
      </c>
      <c r="P3057" t="s">
        <v>127</v>
      </c>
      <c r="Q3057" t="s">
        <v>127</v>
      </c>
    </row>
    <row r="3058" spans="1:17" x14ac:dyDescent="0.25">
      <c r="A3058" t="str">
        <f>IF(C3058&amp;G3058&amp;D3058&lt;&gt;'Funnel setup'!$K$3&amp;'Funnel setup'!$K$4&amp;'Funnel setup'!$K$6,".",IF(A3057=".",1,A3057+1))</f>
        <v>.</v>
      </c>
      <c r="B3058" s="244" t="str">
        <f t="shared" si="47"/>
        <v>Knee Replacement RevisionProviderROYAL CORNWALL HOSPITALS NHS TRUST (REF)EQ VAS</v>
      </c>
      <c r="C3058" t="s">
        <v>973</v>
      </c>
      <c r="D3058" t="s">
        <v>965</v>
      </c>
      <c r="E3058" t="s">
        <v>480</v>
      </c>
      <c r="F3058" t="s">
        <v>481</v>
      </c>
      <c r="G3058" t="s">
        <v>752</v>
      </c>
      <c r="H3058">
        <v>3</v>
      </c>
      <c r="I3058">
        <v>75</v>
      </c>
      <c r="J3058">
        <v>82.666700000000006</v>
      </c>
      <c r="K3058">
        <v>7.6666699999999999</v>
      </c>
      <c r="L3058">
        <v>2</v>
      </c>
      <c r="M3058">
        <v>1</v>
      </c>
      <c r="N3058">
        <v>0</v>
      </c>
      <c r="O3058" t="s">
        <v>127</v>
      </c>
      <c r="P3058" t="s">
        <v>127</v>
      </c>
      <c r="Q3058" t="s">
        <v>127</v>
      </c>
    </row>
    <row r="3059" spans="1:17" x14ac:dyDescent="0.25">
      <c r="A3059" t="str">
        <f>IF(C3059&amp;G3059&amp;D3059&lt;&gt;'Funnel setup'!$K$3&amp;'Funnel setup'!$K$4&amp;'Funnel setup'!$K$6,".",IF(A3058=".",1,A3058+1))</f>
        <v>.</v>
      </c>
      <c r="B3059" s="244" t="str">
        <f t="shared" si="47"/>
        <v>Knee Replacement RevisionProviderROYAL DEVON UNIVERSITY HEALTHCARE NHS FOUNDATION TRUST (RH8)EQ VAS</v>
      </c>
      <c r="C3059" t="s">
        <v>973</v>
      </c>
      <c r="D3059" t="s">
        <v>965</v>
      </c>
      <c r="E3059" t="s">
        <v>482</v>
      </c>
      <c r="F3059" t="s">
        <v>483</v>
      </c>
      <c r="G3059" t="s">
        <v>752</v>
      </c>
      <c r="H3059">
        <v>5</v>
      </c>
      <c r="I3059">
        <v>49</v>
      </c>
      <c r="J3059">
        <v>63</v>
      </c>
      <c r="K3059">
        <v>14</v>
      </c>
      <c r="L3059">
        <v>4</v>
      </c>
      <c r="M3059">
        <v>0</v>
      </c>
      <c r="N3059">
        <v>1</v>
      </c>
      <c r="O3059" t="s">
        <v>127</v>
      </c>
      <c r="P3059" t="s">
        <v>127</v>
      </c>
      <c r="Q3059" t="s">
        <v>127</v>
      </c>
    </row>
    <row r="3060" spans="1:17" x14ac:dyDescent="0.25">
      <c r="A3060" t="str">
        <f>IF(C3060&amp;G3060&amp;D3060&lt;&gt;'Funnel setup'!$K$3&amp;'Funnel setup'!$K$4&amp;'Funnel setup'!$K$6,".",IF(A3059=".",1,A3059+1))</f>
        <v>.</v>
      </c>
      <c r="B3060" s="244" t="str">
        <f t="shared" si="47"/>
        <v>Knee Replacement RevisionProviderROYAL NATIONAL ORTHOPAEDIC HOSPITAL NHS TRUST (RAN)EQ VAS</v>
      </c>
      <c r="C3060" t="s">
        <v>973</v>
      </c>
      <c r="D3060" t="s">
        <v>965</v>
      </c>
      <c r="E3060" t="s">
        <v>486</v>
      </c>
      <c r="F3060" t="s">
        <v>487</v>
      </c>
      <c r="G3060" t="s">
        <v>752</v>
      </c>
      <c r="H3060">
        <v>26</v>
      </c>
      <c r="I3060">
        <v>62.346200000000003</v>
      </c>
      <c r="J3060">
        <v>60.615400000000001</v>
      </c>
      <c r="K3060">
        <v>-1.7307699999999999</v>
      </c>
      <c r="L3060">
        <v>12</v>
      </c>
      <c r="M3060">
        <v>5</v>
      </c>
      <c r="N3060">
        <v>9</v>
      </c>
      <c r="O3060" t="s">
        <v>127</v>
      </c>
      <c r="P3060" t="s">
        <v>127</v>
      </c>
      <c r="Q3060" t="s">
        <v>127</v>
      </c>
    </row>
    <row r="3061" spans="1:17" x14ac:dyDescent="0.25">
      <c r="A3061" t="str">
        <f>IF(C3061&amp;G3061&amp;D3061&lt;&gt;'Funnel setup'!$K$3&amp;'Funnel setup'!$K$4&amp;'Funnel setup'!$K$6,".",IF(A3060=".",1,A3060+1))</f>
        <v>.</v>
      </c>
      <c r="B3061" s="244" t="str">
        <f t="shared" si="47"/>
        <v>Knee Replacement RevisionProviderROYAL UNITED HOSPITALS BATH NHS FOUNDATION TRUST (RD1)EQ VAS</v>
      </c>
      <c r="C3061" t="s">
        <v>973</v>
      </c>
      <c r="D3061" t="s">
        <v>965</v>
      </c>
      <c r="E3061" t="s">
        <v>490</v>
      </c>
      <c r="F3061" t="s">
        <v>491</v>
      </c>
      <c r="G3061" t="s">
        <v>752</v>
      </c>
      <c r="H3061">
        <v>1</v>
      </c>
      <c r="I3061">
        <v>10</v>
      </c>
      <c r="J3061">
        <v>50</v>
      </c>
      <c r="K3061">
        <v>40</v>
      </c>
      <c r="L3061">
        <v>1</v>
      </c>
      <c r="M3061">
        <v>0</v>
      </c>
      <c r="N3061">
        <v>0</v>
      </c>
      <c r="O3061" t="s">
        <v>127</v>
      </c>
      <c r="P3061" t="s">
        <v>127</v>
      </c>
      <c r="Q3061" t="s">
        <v>127</v>
      </c>
    </row>
    <row r="3062" spans="1:17" x14ac:dyDescent="0.25">
      <c r="A3062" t="str">
        <f>IF(C3062&amp;G3062&amp;D3062&lt;&gt;'Funnel setup'!$K$3&amp;'Funnel setup'!$K$4&amp;'Funnel setup'!$K$6,".",IF(A3061=".",1,A3061+1))</f>
        <v>.</v>
      </c>
      <c r="B3062" s="244" t="str">
        <f t="shared" si="47"/>
        <v>Knee Replacement RevisionProviderSANDWELL AND WEST BIRMINGHAM HOSPITALS NHS TRUST (RXK)EQ VAS</v>
      </c>
      <c r="C3062" t="s">
        <v>973</v>
      </c>
      <c r="D3062" t="s">
        <v>965</v>
      </c>
      <c r="E3062" t="s">
        <v>496</v>
      </c>
      <c r="F3062" t="s">
        <v>497</v>
      </c>
      <c r="G3062" t="s">
        <v>752</v>
      </c>
      <c r="H3062">
        <v>3</v>
      </c>
      <c r="I3062">
        <v>76.666700000000006</v>
      </c>
      <c r="J3062">
        <v>65</v>
      </c>
      <c r="K3062">
        <v>-11.666700000000001</v>
      </c>
      <c r="L3062">
        <v>1</v>
      </c>
      <c r="M3062">
        <v>0</v>
      </c>
      <c r="N3062">
        <v>2</v>
      </c>
      <c r="O3062" t="s">
        <v>127</v>
      </c>
      <c r="P3062" t="s">
        <v>127</v>
      </c>
      <c r="Q3062" t="s">
        <v>127</v>
      </c>
    </row>
    <row r="3063" spans="1:17" x14ac:dyDescent="0.25">
      <c r="A3063" t="str">
        <f>IF(C3063&amp;G3063&amp;D3063&lt;&gt;'Funnel setup'!$K$3&amp;'Funnel setup'!$K$4&amp;'Funnel setup'!$K$6,".",IF(A3062=".",1,A3062+1))</f>
        <v>.</v>
      </c>
      <c r="B3063" s="244" t="str">
        <f t="shared" si="47"/>
        <v>Knee Replacement RevisionProviderSHEFFIELD TEACHING HOSPITALS NHS FOUNDATION TRUST (RHQ)EQ VAS</v>
      </c>
      <c r="C3063" t="s">
        <v>973</v>
      </c>
      <c r="D3063" t="s">
        <v>965</v>
      </c>
      <c r="E3063" t="s">
        <v>506</v>
      </c>
      <c r="F3063" t="s">
        <v>507</v>
      </c>
      <c r="G3063" t="s">
        <v>752</v>
      </c>
      <c r="H3063">
        <v>1</v>
      </c>
      <c r="I3063">
        <v>70</v>
      </c>
      <c r="J3063">
        <v>75</v>
      </c>
      <c r="K3063">
        <v>5</v>
      </c>
      <c r="L3063">
        <v>1</v>
      </c>
      <c r="M3063">
        <v>0</v>
      </c>
      <c r="N3063">
        <v>0</v>
      </c>
      <c r="O3063" t="s">
        <v>127</v>
      </c>
      <c r="P3063" t="s">
        <v>127</v>
      </c>
      <c r="Q3063" t="s">
        <v>127</v>
      </c>
    </row>
    <row r="3064" spans="1:17" x14ac:dyDescent="0.25">
      <c r="A3064" t="str">
        <f>IF(C3064&amp;G3064&amp;D3064&lt;&gt;'Funnel setup'!$K$3&amp;'Funnel setup'!$K$4&amp;'Funnel setup'!$K$6,".",IF(A3063=".",1,A3063+1))</f>
        <v>.</v>
      </c>
      <c r="B3064" s="244" t="str">
        <f t="shared" si="47"/>
        <v>Knee Replacement RevisionProviderSHERWOOD FOREST HOSPITALS NHS FOUNDATION TRUST (RK5)EQ VAS</v>
      </c>
      <c r="C3064" t="s">
        <v>973</v>
      </c>
      <c r="D3064" t="s">
        <v>965</v>
      </c>
      <c r="E3064" t="s">
        <v>508</v>
      </c>
      <c r="F3064" t="s">
        <v>509</v>
      </c>
      <c r="G3064" t="s">
        <v>752</v>
      </c>
      <c r="H3064">
        <v>2</v>
      </c>
      <c r="I3064">
        <v>30</v>
      </c>
      <c r="J3064">
        <v>60</v>
      </c>
      <c r="K3064">
        <v>30</v>
      </c>
      <c r="L3064">
        <v>1</v>
      </c>
      <c r="M3064">
        <v>1</v>
      </c>
      <c r="N3064">
        <v>0</v>
      </c>
      <c r="O3064" t="s">
        <v>127</v>
      </c>
      <c r="P3064" t="s">
        <v>127</v>
      </c>
      <c r="Q3064" t="s">
        <v>127</v>
      </c>
    </row>
    <row r="3065" spans="1:17" x14ac:dyDescent="0.25">
      <c r="A3065" t="str">
        <f>IF(C3065&amp;G3065&amp;D3065&lt;&gt;'Funnel setup'!$K$3&amp;'Funnel setup'!$K$4&amp;'Funnel setup'!$K$6,".",IF(A3064=".",1,A3064+1))</f>
        <v>.</v>
      </c>
      <c r="B3065" s="244" t="str">
        <f t="shared" si="47"/>
        <v>Knee Replacement RevisionProviderSOUTH TEES HOSPITALS NHS FOUNDATION TRUST (RTR)EQ VAS</v>
      </c>
      <c r="C3065" t="s">
        <v>973</v>
      </c>
      <c r="D3065" t="s">
        <v>965</v>
      </c>
      <c r="E3065" t="s">
        <v>516</v>
      </c>
      <c r="F3065" t="s">
        <v>517</v>
      </c>
      <c r="G3065" t="s">
        <v>752</v>
      </c>
      <c r="H3065">
        <v>8</v>
      </c>
      <c r="I3065">
        <v>50.875</v>
      </c>
      <c r="J3065">
        <v>70.375</v>
      </c>
      <c r="K3065">
        <v>19.5</v>
      </c>
      <c r="L3065">
        <v>6</v>
      </c>
      <c r="M3065">
        <v>1</v>
      </c>
      <c r="N3065">
        <v>1</v>
      </c>
      <c r="O3065" t="s">
        <v>127</v>
      </c>
      <c r="P3065" t="s">
        <v>127</v>
      </c>
      <c r="Q3065" t="s">
        <v>127</v>
      </c>
    </row>
    <row r="3066" spans="1:17" x14ac:dyDescent="0.25">
      <c r="A3066" t="str">
        <f>IF(C3066&amp;G3066&amp;D3066&lt;&gt;'Funnel setup'!$K$3&amp;'Funnel setup'!$K$4&amp;'Funnel setup'!$K$6,".",IF(A3065=".",1,A3065+1))</f>
        <v>.</v>
      </c>
      <c r="B3066" s="244" t="str">
        <f t="shared" si="47"/>
        <v>Knee Replacement RevisionProviderSOUTH TYNESIDE AND SUNDERLAND NHS FOUNDATION TRUST (R0B)EQ VAS</v>
      </c>
      <c r="C3066" t="s">
        <v>973</v>
      </c>
      <c r="D3066" t="s">
        <v>965</v>
      </c>
      <c r="E3066" t="s">
        <v>518</v>
      </c>
      <c r="F3066" t="s">
        <v>519</v>
      </c>
      <c r="G3066" t="s">
        <v>752</v>
      </c>
      <c r="H3066">
        <v>1</v>
      </c>
      <c r="I3066">
        <v>70</v>
      </c>
      <c r="J3066">
        <v>10</v>
      </c>
      <c r="K3066">
        <v>-60</v>
      </c>
      <c r="L3066">
        <v>0</v>
      </c>
      <c r="M3066">
        <v>0</v>
      </c>
      <c r="N3066">
        <v>1</v>
      </c>
      <c r="O3066" t="s">
        <v>127</v>
      </c>
      <c r="P3066" t="s">
        <v>127</v>
      </c>
      <c r="Q3066" t="s">
        <v>127</v>
      </c>
    </row>
    <row r="3067" spans="1:17" x14ac:dyDescent="0.25">
      <c r="A3067" t="str">
        <f>IF(C3067&amp;G3067&amp;D3067&lt;&gt;'Funnel setup'!$K$3&amp;'Funnel setup'!$K$4&amp;'Funnel setup'!$K$6,".",IF(A3066=".",1,A3066+1))</f>
        <v>.</v>
      </c>
      <c r="B3067" s="244" t="str">
        <f t="shared" si="47"/>
        <v>Knee Replacement RevisionProviderSOUTH WARWICKSHIRE UNIVERSITY NHS FOUNDATION TRUST (RJC)EQ VAS</v>
      </c>
      <c r="C3067" t="s">
        <v>973</v>
      </c>
      <c r="D3067" t="s">
        <v>965</v>
      </c>
      <c r="E3067" t="s">
        <v>520</v>
      </c>
      <c r="F3067" t="s">
        <v>521</v>
      </c>
      <c r="G3067" t="s">
        <v>752</v>
      </c>
      <c r="H3067">
        <v>4</v>
      </c>
      <c r="I3067">
        <v>56</v>
      </c>
      <c r="J3067">
        <v>88.75</v>
      </c>
      <c r="K3067">
        <v>32.75</v>
      </c>
      <c r="L3067">
        <v>3</v>
      </c>
      <c r="M3067">
        <v>0</v>
      </c>
      <c r="N3067">
        <v>1</v>
      </c>
      <c r="O3067" t="s">
        <v>127</v>
      </c>
      <c r="P3067" t="s">
        <v>127</v>
      </c>
      <c r="Q3067" t="s">
        <v>127</v>
      </c>
    </row>
    <row r="3068" spans="1:17" x14ac:dyDescent="0.25">
      <c r="A3068" t="str">
        <f>IF(C3068&amp;G3068&amp;D3068&lt;&gt;'Funnel setup'!$K$3&amp;'Funnel setup'!$K$4&amp;'Funnel setup'!$K$6,".",IF(A3067=".",1,A3067+1))</f>
        <v>.</v>
      </c>
      <c r="B3068" s="244" t="str">
        <f t="shared" si="47"/>
        <v>Knee Replacement RevisionProviderSPIRE FYLDE COAST HOSPITAL (NT347)EQ VAS</v>
      </c>
      <c r="C3068" t="s">
        <v>973</v>
      </c>
      <c r="D3068" t="s">
        <v>965</v>
      </c>
      <c r="E3068" t="s">
        <v>544</v>
      </c>
      <c r="F3068" t="s">
        <v>545</v>
      </c>
      <c r="G3068" t="s">
        <v>752</v>
      </c>
      <c r="H3068" t="s">
        <v>127</v>
      </c>
      <c r="I3068" t="s">
        <v>127</v>
      </c>
      <c r="J3068" t="s">
        <v>127</v>
      </c>
      <c r="K3068" t="s">
        <v>127</v>
      </c>
      <c r="L3068" t="s">
        <v>127</v>
      </c>
      <c r="M3068" t="s">
        <v>127</v>
      </c>
      <c r="N3068" t="s">
        <v>127</v>
      </c>
      <c r="O3068" t="s">
        <v>127</v>
      </c>
      <c r="P3068" t="s">
        <v>127</v>
      </c>
      <c r="Q3068" t="s">
        <v>127</v>
      </c>
    </row>
    <row r="3069" spans="1:17" x14ac:dyDescent="0.25">
      <c r="A3069" t="str">
        <f>IF(C3069&amp;G3069&amp;D3069&lt;&gt;'Funnel setup'!$K$3&amp;'Funnel setup'!$K$4&amp;'Funnel setup'!$K$6,".",IF(A3068=".",1,A3068+1))</f>
        <v>.</v>
      </c>
      <c r="B3069" s="244" t="str">
        <f t="shared" si="47"/>
        <v>Knee Replacement RevisionProviderSPIRE WASHINGTON HOSPITAL (NT333)EQ VAS</v>
      </c>
      <c r="C3069" t="s">
        <v>973</v>
      </c>
      <c r="D3069" t="s">
        <v>965</v>
      </c>
      <c r="E3069" t="s">
        <v>596</v>
      </c>
      <c r="F3069" t="s">
        <v>597</v>
      </c>
      <c r="G3069" t="s">
        <v>752</v>
      </c>
      <c r="H3069" t="s">
        <v>127</v>
      </c>
      <c r="I3069" t="s">
        <v>127</v>
      </c>
      <c r="J3069" t="s">
        <v>127</v>
      </c>
      <c r="K3069" t="s">
        <v>127</v>
      </c>
      <c r="L3069" t="s">
        <v>127</v>
      </c>
      <c r="M3069" t="s">
        <v>127</v>
      </c>
      <c r="N3069" t="s">
        <v>127</v>
      </c>
      <c r="O3069" t="s">
        <v>127</v>
      </c>
      <c r="P3069" t="s">
        <v>127</v>
      </c>
      <c r="Q3069" t="s">
        <v>127</v>
      </c>
    </row>
    <row r="3070" spans="1:17" x14ac:dyDescent="0.25">
      <c r="A3070" t="str">
        <f>IF(C3070&amp;G3070&amp;D3070&lt;&gt;'Funnel setup'!$K$3&amp;'Funnel setup'!$K$4&amp;'Funnel setup'!$K$6,".",IF(A3069=".",1,A3069+1))</f>
        <v>.</v>
      </c>
      <c r="B3070" s="244" t="str">
        <f t="shared" si="47"/>
        <v>Knee Replacement RevisionProviderSPRINGFIELD HOSPITAL (NVC18)EQ VAS</v>
      </c>
      <c r="C3070" t="s">
        <v>973</v>
      </c>
      <c r="D3070" t="s">
        <v>965</v>
      </c>
      <c r="E3070" t="s">
        <v>602</v>
      </c>
      <c r="F3070" t="s">
        <v>603</v>
      </c>
      <c r="G3070" t="s">
        <v>752</v>
      </c>
      <c r="H3070" t="s">
        <v>127</v>
      </c>
      <c r="I3070" t="s">
        <v>127</v>
      </c>
      <c r="J3070" t="s">
        <v>127</v>
      </c>
      <c r="K3070" t="s">
        <v>127</v>
      </c>
      <c r="L3070" t="s">
        <v>127</v>
      </c>
      <c r="M3070" t="s">
        <v>127</v>
      </c>
      <c r="N3070" t="s">
        <v>127</v>
      </c>
      <c r="O3070" t="s">
        <v>127</v>
      </c>
      <c r="P3070" t="s">
        <v>127</v>
      </c>
      <c r="Q3070" t="s">
        <v>127</v>
      </c>
    </row>
    <row r="3071" spans="1:17" x14ac:dyDescent="0.25">
      <c r="A3071" t="str">
        <f>IF(C3071&amp;G3071&amp;D3071&lt;&gt;'Funnel setup'!$K$3&amp;'Funnel setup'!$K$4&amp;'Funnel setup'!$K$6,".",IF(A3070=".",1,A3070+1))</f>
        <v>.</v>
      </c>
      <c r="B3071" s="244" t="str">
        <f t="shared" si="47"/>
        <v>Knee Replacement RevisionProviderST HELENS AND KNOWSLEY TEACHING HOSPITALS NHS TRUST (RBN)EQ VAS</v>
      </c>
      <c r="C3071" t="s">
        <v>973</v>
      </c>
      <c r="D3071" t="s">
        <v>965</v>
      </c>
      <c r="E3071" t="s">
        <v>608</v>
      </c>
      <c r="F3071" t="s">
        <v>609</v>
      </c>
      <c r="G3071" t="s">
        <v>752</v>
      </c>
      <c r="H3071">
        <v>3</v>
      </c>
      <c r="I3071">
        <v>60</v>
      </c>
      <c r="J3071">
        <v>61.666699999999999</v>
      </c>
      <c r="K3071">
        <v>1.6666700000000001</v>
      </c>
      <c r="L3071">
        <v>2</v>
      </c>
      <c r="M3071">
        <v>0</v>
      </c>
      <c r="N3071">
        <v>1</v>
      </c>
      <c r="O3071" t="s">
        <v>127</v>
      </c>
      <c r="P3071" t="s">
        <v>127</v>
      </c>
      <c r="Q3071" t="s">
        <v>127</v>
      </c>
    </row>
    <row r="3072" spans="1:17" x14ac:dyDescent="0.25">
      <c r="A3072" t="str">
        <f>IF(C3072&amp;G3072&amp;D3072&lt;&gt;'Funnel setup'!$K$3&amp;'Funnel setup'!$K$4&amp;'Funnel setup'!$K$6,".",IF(A3071=".",1,A3071+1))</f>
        <v>.</v>
      </c>
      <c r="B3072" s="244" t="str">
        <f t="shared" si="47"/>
        <v>Knee Replacement RevisionProviderST HUGH'S HOSPITAL (NTE02)EQ VAS</v>
      </c>
      <c r="C3072" t="s">
        <v>973</v>
      </c>
      <c r="D3072" t="s">
        <v>965</v>
      </c>
      <c r="E3072" t="s">
        <v>610</v>
      </c>
      <c r="F3072" t="s">
        <v>611</v>
      </c>
      <c r="G3072" t="s">
        <v>752</v>
      </c>
      <c r="H3072">
        <v>2</v>
      </c>
      <c r="I3072">
        <v>75</v>
      </c>
      <c r="J3072">
        <v>70</v>
      </c>
      <c r="K3072">
        <v>-5</v>
      </c>
      <c r="L3072">
        <v>0</v>
      </c>
      <c r="M3072">
        <v>1</v>
      </c>
      <c r="N3072">
        <v>1</v>
      </c>
      <c r="O3072" t="s">
        <v>127</v>
      </c>
      <c r="P3072" t="s">
        <v>127</v>
      </c>
      <c r="Q3072" t="s">
        <v>127</v>
      </c>
    </row>
    <row r="3073" spans="1:17" x14ac:dyDescent="0.25">
      <c r="A3073" t="str">
        <f>IF(C3073&amp;G3073&amp;D3073&lt;&gt;'Funnel setup'!$K$3&amp;'Funnel setup'!$K$4&amp;'Funnel setup'!$K$6,".",IF(A3072=".",1,A3072+1))</f>
        <v>.</v>
      </c>
      <c r="B3073" s="244" t="str">
        <f t="shared" si="47"/>
        <v>Knee Replacement RevisionProviderSTOCKPORT NHS FOUNDATION TRUST (RWJ)EQ VAS</v>
      </c>
      <c r="C3073" t="s">
        <v>973</v>
      </c>
      <c r="D3073" t="s">
        <v>965</v>
      </c>
      <c r="E3073" t="s">
        <v>614</v>
      </c>
      <c r="F3073" t="s">
        <v>615</v>
      </c>
      <c r="G3073" t="s">
        <v>752</v>
      </c>
      <c r="H3073">
        <v>3</v>
      </c>
      <c r="I3073">
        <v>58.333300000000001</v>
      </c>
      <c r="J3073">
        <v>85</v>
      </c>
      <c r="K3073">
        <v>26.666699999999999</v>
      </c>
      <c r="L3073">
        <v>3</v>
      </c>
      <c r="M3073">
        <v>0</v>
      </c>
      <c r="N3073">
        <v>0</v>
      </c>
      <c r="O3073" t="s">
        <v>127</v>
      </c>
      <c r="P3073" t="s">
        <v>127</v>
      </c>
      <c r="Q3073" t="s">
        <v>127</v>
      </c>
    </row>
    <row r="3074" spans="1:17" x14ac:dyDescent="0.25">
      <c r="A3074" t="str">
        <f>IF(C3074&amp;G3074&amp;D3074&lt;&gt;'Funnel setup'!$K$3&amp;'Funnel setup'!$K$4&amp;'Funnel setup'!$K$6,".",IF(A3073=".",1,A3073+1))</f>
        <v>.</v>
      </c>
      <c r="B3074" s="244" t="str">
        <f t="shared" ref="B3074:B3137" si="48">C3074&amp;D3074&amp;F3074&amp;G3074</f>
        <v>Knee Replacement RevisionProviderSURREY AND SUSSEX HEALTHCARE NHS TRUST (RTP)EQ VAS</v>
      </c>
      <c r="C3074" t="s">
        <v>973</v>
      </c>
      <c r="D3074" t="s">
        <v>965</v>
      </c>
      <c r="E3074" t="s">
        <v>618</v>
      </c>
      <c r="F3074" t="s">
        <v>619</v>
      </c>
      <c r="G3074" t="s">
        <v>752</v>
      </c>
      <c r="H3074">
        <v>2</v>
      </c>
      <c r="I3074">
        <v>52.5</v>
      </c>
      <c r="J3074">
        <v>45</v>
      </c>
      <c r="K3074">
        <v>-7.5</v>
      </c>
      <c r="L3074">
        <v>0</v>
      </c>
      <c r="M3074">
        <v>0</v>
      </c>
      <c r="N3074">
        <v>2</v>
      </c>
      <c r="O3074" t="s">
        <v>127</v>
      </c>
      <c r="P3074" t="s">
        <v>127</v>
      </c>
      <c r="Q3074" t="s">
        <v>127</v>
      </c>
    </row>
    <row r="3075" spans="1:17" x14ac:dyDescent="0.25">
      <c r="A3075" t="str">
        <f>IF(C3075&amp;G3075&amp;D3075&lt;&gt;'Funnel setup'!$K$3&amp;'Funnel setup'!$K$4&amp;'Funnel setup'!$K$6,".",IF(A3074=".",1,A3074+1))</f>
        <v>.</v>
      </c>
      <c r="B3075" s="244" t="str">
        <f t="shared" si="48"/>
        <v>Knee Replacement RevisionProviderTEES VALLEY HOSPITAL (NVC0R)EQ VAS</v>
      </c>
      <c r="C3075" t="s">
        <v>973</v>
      </c>
      <c r="D3075" t="s">
        <v>965</v>
      </c>
      <c r="E3075" t="s">
        <v>624</v>
      </c>
      <c r="F3075" t="s">
        <v>625</v>
      </c>
      <c r="G3075" t="s">
        <v>752</v>
      </c>
      <c r="H3075" t="s">
        <v>127</v>
      </c>
      <c r="I3075" t="s">
        <v>127</v>
      </c>
      <c r="J3075" t="s">
        <v>127</v>
      </c>
      <c r="K3075" t="s">
        <v>127</v>
      </c>
      <c r="L3075" t="s">
        <v>127</v>
      </c>
      <c r="M3075" t="s">
        <v>127</v>
      </c>
      <c r="N3075" t="s">
        <v>127</v>
      </c>
      <c r="O3075" t="s">
        <v>127</v>
      </c>
      <c r="P3075" t="s">
        <v>127</v>
      </c>
      <c r="Q3075" t="s">
        <v>127</v>
      </c>
    </row>
    <row r="3076" spans="1:17" x14ac:dyDescent="0.25">
      <c r="A3076" t="str">
        <f>IF(C3076&amp;G3076&amp;D3076&lt;&gt;'Funnel setup'!$K$3&amp;'Funnel setup'!$K$4&amp;'Funnel setup'!$K$6,".",IF(A3075=".",1,A3075+1))</f>
        <v>.</v>
      </c>
      <c r="B3076" s="244" t="str">
        <f t="shared" si="48"/>
        <v>Knee Replacement RevisionProviderTHE CHERWELL HOSPITAL (NVC25)EQ VAS</v>
      </c>
      <c r="C3076" t="s">
        <v>973</v>
      </c>
      <c r="D3076" t="s">
        <v>965</v>
      </c>
      <c r="E3076" t="s">
        <v>628</v>
      </c>
      <c r="F3076" t="s">
        <v>629</v>
      </c>
      <c r="G3076" t="s">
        <v>752</v>
      </c>
      <c r="H3076">
        <v>8</v>
      </c>
      <c r="I3076">
        <v>59.25</v>
      </c>
      <c r="J3076">
        <v>75.125</v>
      </c>
      <c r="K3076">
        <v>15.875</v>
      </c>
      <c r="L3076">
        <v>5</v>
      </c>
      <c r="M3076">
        <v>0</v>
      </c>
      <c r="N3076">
        <v>3</v>
      </c>
      <c r="O3076" t="s">
        <v>127</v>
      </c>
      <c r="P3076" t="s">
        <v>127</v>
      </c>
      <c r="Q3076" t="s">
        <v>127</v>
      </c>
    </row>
    <row r="3077" spans="1:17" x14ac:dyDescent="0.25">
      <c r="A3077" t="str">
        <f>IF(C3077&amp;G3077&amp;D3077&lt;&gt;'Funnel setup'!$K$3&amp;'Funnel setup'!$K$4&amp;'Funnel setup'!$K$6,".",IF(A3076=".",1,A3076+1))</f>
        <v>.</v>
      </c>
      <c r="B3077" s="244" t="str">
        <f t="shared" si="48"/>
        <v>Knee Replacement RevisionProviderTHE HILLINGDON HOSPITALS NHS FOUNDATION TRUST (RAS)EQ VAS</v>
      </c>
      <c r="C3077" t="s">
        <v>973</v>
      </c>
      <c r="D3077" t="s">
        <v>965</v>
      </c>
      <c r="E3077" t="s">
        <v>632</v>
      </c>
      <c r="F3077" t="s">
        <v>633</v>
      </c>
      <c r="G3077" t="s">
        <v>752</v>
      </c>
      <c r="H3077">
        <v>5</v>
      </c>
      <c r="I3077">
        <v>63.4</v>
      </c>
      <c r="J3077">
        <v>79</v>
      </c>
      <c r="K3077">
        <v>15.6</v>
      </c>
      <c r="L3077">
        <v>3</v>
      </c>
      <c r="M3077">
        <v>1</v>
      </c>
      <c r="N3077">
        <v>1</v>
      </c>
      <c r="O3077" t="s">
        <v>127</v>
      </c>
      <c r="P3077" t="s">
        <v>127</v>
      </c>
      <c r="Q3077" t="s">
        <v>127</v>
      </c>
    </row>
    <row r="3078" spans="1:17" x14ac:dyDescent="0.25">
      <c r="A3078" t="str">
        <f>IF(C3078&amp;G3078&amp;D3078&lt;&gt;'Funnel setup'!$K$3&amp;'Funnel setup'!$K$4&amp;'Funnel setup'!$K$6,".",IF(A3077=".",1,A3077+1))</f>
        <v>.</v>
      </c>
      <c r="B3078" s="244" t="str">
        <f t="shared" si="48"/>
        <v>Knee Replacement RevisionProviderTHE HORDER CENTRE - ST JOHNS ROAD (NXM01)EQ VAS</v>
      </c>
      <c r="C3078" t="s">
        <v>973</v>
      </c>
      <c r="D3078" t="s">
        <v>965</v>
      </c>
      <c r="E3078" t="s">
        <v>634</v>
      </c>
      <c r="F3078" t="s">
        <v>635</v>
      </c>
      <c r="G3078" t="s">
        <v>752</v>
      </c>
      <c r="H3078">
        <v>5</v>
      </c>
      <c r="I3078">
        <v>71.2</v>
      </c>
      <c r="J3078">
        <v>78.599999999999994</v>
      </c>
      <c r="K3078">
        <v>7.4</v>
      </c>
      <c r="L3078">
        <v>4</v>
      </c>
      <c r="M3078">
        <v>1</v>
      </c>
      <c r="N3078">
        <v>0</v>
      </c>
      <c r="O3078" t="s">
        <v>127</v>
      </c>
      <c r="P3078" t="s">
        <v>127</v>
      </c>
      <c r="Q3078" t="s">
        <v>127</v>
      </c>
    </row>
    <row r="3079" spans="1:17" x14ac:dyDescent="0.25">
      <c r="A3079" t="str">
        <f>IF(C3079&amp;G3079&amp;D3079&lt;&gt;'Funnel setup'!$K$3&amp;'Funnel setup'!$K$4&amp;'Funnel setup'!$K$6,".",IF(A3078=".",1,A3078+1))</f>
        <v>.</v>
      </c>
      <c r="B3079" s="244" t="str">
        <f t="shared" si="48"/>
        <v>Knee Replacement RevisionProviderTHE PRINCESS ALEXANDRA HOSPITAL NHS TRUST (RQW)EQ VAS</v>
      </c>
      <c r="C3079" t="s">
        <v>973</v>
      </c>
      <c r="D3079" t="s">
        <v>965</v>
      </c>
      <c r="E3079" t="s">
        <v>640</v>
      </c>
      <c r="F3079" t="s">
        <v>641</v>
      </c>
      <c r="G3079" t="s">
        <v>752</v>
      </c>
      <c r="H3079">
        <v>1</v>
      </c>
      <c r="I3079">
        <v>20</v>
      </c>
      <c r="J3079">
        <v>90</v>
      </c>
      <c r="K3079">
        <v>70</v>
      </c>
      <c r="L3079">
        <v>1</v>
      </c>
      <c r="M3079">
        <v>0</v>
      </c>
      <c r="N3079">
        <v>0</v>
      </c>
      <c r="O3079" t="s">
        <v>127</v>
      </c>
      <c r="P3079" t="s">
        <v>127</v>
      </c>
      <c r="Q3079" t="s">
        <v>127</v>
      </c>
    </row>
    <row r="3080" spans="1:17" x14ac:dyDescent="0.25">
      <c r="A3080" t="str">
        <f>IF(C3080&amp;G3080&amp;D3080&lt;&gt;'Funnel setup'!$K$3&amp;'Funnel setup'!$K$4&amp;'Funnel setup'!$K$6,".",IF(A3079=".",1,A3079+1))</f>
        <v>.</v>
      </c>
      <c r="B3080" s="244" t="str">
        <f t="shared" si="48"/>
        <v>Knee Replacement RevisionProviderTHE QUEEN ELIZABETH HOSPITAL, KING'S LYNN, NHS FOUNDATION TRUST (RCX)EQ VAS</v>
      </c>
      <c r="C3080" t="s">
        <v>973</v>
      </c>
      <c r="D3080" t="s">
        <v>965</v>
      </c>
      <c r="E3080" t="s">
        <v>644</v>
      </c>
      <c r="F3080" t="s">
        <v>645</v>
      </c>
      <c r="G3080" t="s">
        <v>752</v>
      </c>
      <c r="H3080">
        <v>3</v>
      </c>
      <c r="I3080">
        <v>51.666699999999999</v>
      </c>
      <c r="J3080">
        <v>53</v>
      </c>
      <c r="K3080">
        <v>1.3333299999999999</v>
      </c>
      <c r="L3080">
        <v>1</v>
      </c>
      <c r="M3080">
        <v>0</v>
      </c>
      <c r="N3080">
        <v>2</v>
      </c>
      <c r="O3080" t="s">
        <v>127</v>
      </c>
      <c r="P3080" t="s">
        <v>127</v>
      </c>
      <c r="Q3080" t="s">
        <v>127</v>
      </c>
    </row>
    <row r="3081" spans="1:17" x14ac:dyDescent="0.25">
      <c r="A3081" t="str">
        <f>IF(C3081&amp;G3081&amp;D3081&lt;&gt;'Funnel setup'!$K$3&amp;'Funnel setup'!$K$4&amp;'Funnel setup'!$K$6,".",IF(A3080=".",1,A3080+1))</f>
        <v>.</v>
      </c>
      <c r="B3081" s="244" t="str">
        <f t="shared" si="48"/>
        <v>Knee Replacement RevisionProviderTHE ROBERT JONES AND AGNES HUNT ORTHOPAEDIC HOSPITAL NHS FOUNDATION TRUST (RL1)EQ VAS</v>
      </c>
      <c r="C3081" t="s">
        <v>973</v>
      </c>
      <c r="D3081" t="s">
        <v>965</v>
      </c>
      <c r="E3081" t="s">
        <v>646</v>
      </c>
      <c r="F3081" t="s">
        <v>647</v>
      </c>
      <c r="G3081" t="s">
        <v>752</v>
      </c>
      <c r="H3081">
        <v>33</v>
      </c>
      <c r="I3081">
        <v>58.393900000000002</v>
      </c>
      <c r="J3081">
        <v>65.666700000000006</v>
      </c>
      <c r="K3081">
        <v>7.2727300000000001</v>
      </c>
      <c r="L3081">
        <v>19</v>
      </c>
      <c r="M3081">
        <v>3</v>
      </c>
      <c r="N3081">
        <v>11</v>
      </c>
      <c r="O3081">
        <v>65.902500000000003</v>
      </c>
      <c r="P3081">
        <v>5.9987300000000001</v>
      </c>
      <c r="Q3081">
        <v>20.865500000000001</v>
      </c>
    </row>
    <row r="3082" spans="1:17" x14ac:dyDescent="0.25">
      <c r="A3082" t="str">
        <f>IF(C3082&amp;G3082&amp;D3082&lt;&gt;'Funnel setup'!$K$3&amp;'Funnel setup'!$K$4&amp;'Funnel setup'!$K$6,".",IF(A3081=".",1,A3081+1))</f>
        <v>.</v>
      </c>
      <c r="B3082" s="244" t="str">
        <f t="shared" si="48"/>
        <v>Knee Replacement RevisionProviderTHE ROYAL ORTHOPAEDIC HOSPITAL NHS FOUNDATION TRUST (RRJ)EQ VAS</v>
      </c>
      <c r="C3082" t="s">
        <v>973</v>
      </c>
      <c r="D3082" t="s">
        <v>965</v>
      </c>
      <c r="E3082" t="s">
        <v>652</v>
      </c>
      <c r="F3082" t="s">
        <v>653</v>
      </c>
      <c r="G3082" t="s">
        <v>752</v>
      </c>
      <c r="H3082">
        <v>31</v>
      </c>
      <c r="I3082">
        <v>63.8065</v>
      </c>
      <c r="J3082">
        <v>66.677400000000006</v>
      </c>
      <c r="K3082">
        <v>2.8709699999999998</v>
      </c>
      <c r="L3082">
        <v>16</v>
      </c>
      <c r="M3082">
        <v>4</v>
      </c>
      <c r="N3082">
        <v>11</v>
      </c>
      <c r="O3082">
        <v>67.644800000000004</v>
      </c>
      <c r="P3082">
        <v>7.7410899999999998</v>
      </c>
      <c r="Q3082">
        <v>17.66</v>
      </c>
    </row>
    <row r="3083" spans="1:17" x14ac:dyDescent="0.25">
      <c r="A3083" t="str">
        <f>IF(C3083&amp;G3083&amp;D3083&lt;&gt;'Funnel setup'!$K$3&amp;'Funnel setup'!$K$4&amp;'Funnel setup'!$K$6,".",IF(A3082=".",1,A3082+1))</f>
        <v>.</v>
      </c>
      <c r="B3083" s="244" t="str">
        <f t="shared" si="48"/>
        <v>Knee Replacement RevisionProviderTHE ROYAL WOLVERHAMPTON NHS TRUST (RL4)EQ VAS</v>
      </c>
      <c r="C3083" t="s">
        <v>973</v>
      </c>
      <c r="D3083" t="s">
        <v>965</v>
      </c>
      <c r="E3083" t="s">
        <v>654</v>
      </c>
      <c r="F3083" t="s">
        <v>655</v>
      </c>
      <c r="G3083" t="s">
        <v>752</v>
      </c>
      <c r="H3083">
        <v>1</v>
      </c>
      <c r="I3083">
        <v>89</v>
      </c>
      <c r="J3083">
        <v>100</v>
      </c>
      <c r="K3083">
        <v>11</v>
      </c>
      <c r="L3083">
        <v>1</v>
      </c>
      <c r="M3083">
        <v>0</v>
      </c>
      <c r="N3083">
        <v>0</v>
      </c>
      <c r="O3083" t="s">
        <v>127</v>
      </c>
      <c r="P3083" t="s">
        <v>127</v>
      </c>
      <c r="Q3083" t="s">
        <v>127</v>
      </c>
    </row>
    <row r="3084" spans="1:17" x14ac:dyDescent="0.25">
      <c r="A3084" t="str">
        <f>IF(C3084&amp;G3084&amp;D3084&lt;&gt;'Funnel setup'!$K$3&amp;'Funnel setup'!$K$4&amp;'Funnel setup'!$K$6,".",IF(A3083=".",1,A3083+1))</f>
        <v>.</v>
      </c>
      <c r="B3084" s="244" t="str">
        <f t="shared" si="48"/>
        <v>Knee Replacement RevisionProviderTHE YORKSHIRE CLINIC (NVC20)EQ VAS</v>
      </c>
      <c r="C3084" t="s">
        <v>973</v>
      </c>
      <c r="D3084" t="s">
        <v>965</v>
      </c>
      <c r="E3084" t="s">
        <v>662</v>
      </c>
      <c r="F3084" t="s">
        <v>663</v>
      </c>
      <c r="G3084" t="s">
        <v>752</v>
      </c>
      <c r="H3084">
        <v>1</v>
      </c>
      <c r="I3084">
        <v>50</v>
      </c>
      <c r="J3084">
        <v>69</v>
      </c>
      <c r="K3084">
        <v>19</v>
      </c>
      <c r="L3084">
        <v>1</v>
      </c>
      <c r="M3084">
        <v>0</v>
      </c>
      <c r="N3084">
        <v>0</v>
      </c>
      <c r="O3084" t="s">
        <v>127</v>
      </c>
      <c r="P3084" t="s">
        <v>127</v>
      </c>
      <c r="Q3084" t="s">
        <v>127</v>
      </c>
    </row>
    <row r="3085" spans="1:17" x14ac:dyDescent="0.25">
      <c r="A3085" t="str">
        <f>IF(C3085&amp;G3085&amp;D3085&lt;&gt;'Funnel setup'!$K$3&amp;'Funnel setup'!$K$4&amp;'Funnel setup'!$K$6,".",IF(A3084=".",1,A3084+1))</f>
        <v>.</v>
      </c>
      <c r="B3085" s="244" t="str">
        <f t="shared" si="48"/>
        <v>Knee Replacement RevisionProviderTHREE SHIRES HOSPITAL (NT441)EQ VAS</v>
      </c>
      <c r="C3085" t="s">
        <v>973</v>
      </c>
      <c r="D3085" t="s">
        <v>965</v>
      </c>
      <c r="E3085" t="s">
        <v>666</v>
      </c>
      <c r="F3085" t="s">
        <v>667</v>
      </c>
      <c r="G3085" t="s">
        <v>752</v>
      </c>
      <c r="H3085" t="s">
        <v>968</v>
      </c>
      <c r="I3085" t="s">
        <v>968</v>
      </c>
      <c r="J3085" t="s">
        <v>968</v>
      </c>
      <c r="K3085" t="s">
        <v>968</v>
      </c>
      <c r="L3085" t="s">
        <v>968</v>
      </c>
      <c r="M3085" t="s">
        <v>968</v>
      </c>
      <c r="N3085" t="s">
        <v>968</v>
      </c>
      <c r="O3085" t="s">
        <v>968</v>
      </c>
      <c r="P3085" t="s">
        <v>968</v>
      </c>
      <c r="Q3085" t="s">
        <v>968</v>
      </c>
    </row>
    <row r="3086" spans="1:17" x14ac:dyDescent="0.25">
      <c r="A3086" t="str">
        <f>IF(C3086&amp;G3086&amp;D3086&lt;&gt;'Funnel setup'!$K$3&amp;'Funnel setup'!$K$4&amp;'Funnel setup'!$K$6,".",IF(A3085=".",1,A3085+1))</f>
        <v>.</v>
      </c>
      <c r="B3086" s="244" t="str">
        <f t="shared" si="48"/>
        <v>Knee Replacement RevisionProviderTORBAY AND SOUTH DEVON NHS FOUNDATION TRUST (RA9)EQ VAS</v>
      </c>
      <c r="C3086" t="s">
        <v>973</v>
      </c>
      <c r="D3086" t="s">
        <v>965</v>
      </c>
      <c r="E3086" t="s">
        <v>668</v>
      </c>
      <c r="F3086" t="s">
        <v>669</v>
      </c>
      <c r="G3086" t="s">
        <v>752</v>
      </c>
      <c r="H3086">
        <v>1</v>
      </c>
      <c r="I3086">
        <v>40</v>
      </c>
      <c r="J3086">
        <v>35</v>
      </c>
      <c r="K3086">
        <v>-5</v>
      </c>
      <c r="L3086">
        <v>0</v>
      </c>
      <c r="M3086">
        <v>0</v>
      </c>
      <c r="N3086">
        <v>1</v>
      </c>
      <c r="O3086" t="s">
        <v>127</v>
      </c>
      <c r="P3086" t="s">
        <v>127</v>
      </c>
      <c r="Q3086" t="s">
        <v>127</v>
      </c>
    </row>
    <row r="3087" spans="1:17" x14ac:dyDescent="0.25">
      <c r="A3087" t="str">
        <f>IF(C3087&amp;G3087&amp;D3087&lt;&gt;'Funnel setup'!$K$3&amp;'Funnel setup'!$K$4&amp;'Funnel setup'!$K$6,".",IF(A3086=".",1,A3086+1))</f>
        <v>.</v>
      </c>
      <c r="B3087" s="244" t="str">
        <f t="shared" si="48"/>
        <v>Knee Replacement RevisionProviderUNITED LINCOLNSHIRE HOSPITALS NHS TRUST (RWD)EQ VAS</v>
      </c>
      <c r="C3087" t="s">
        <v>973</v>
      </c>
      <c r="D3087" t="s">
        <v>965</v>
      </c>
      <c r="E3087" t="s">
        <v>672</v>
      </c>
      <c r="F3087" t="s">
        <v>673</v>
      </c>
      <c r="G3087" t="s">
        <v>752</v>
      </c>
      <c r="H3087">
        <v>1</v>
      </c>
      <c r="I3087">
        <v>50</v>
      </c>
      <c r="J3087">
        <v>70</v>
      </c>
      <c r="K3087">
        <v>20</v>
      </c>
      <c r="L3087">
        <v>1</v>
      </c>
      <c r="M3087">
        <v>0</v>
      </c>
      <c r="N3087">
        <v>0</v>
      </c>
      <c r="O3087" t="s">
        <v>127</v>
      </c>
      <c r="P3087" t="s">
        <v>127</v>
      </c>
      <c r="Q3087" t="s">
        <v>127</v>
      </c>
    </row>
    <row r="3088" spans="1:17" x14ac:dyDescent="0.25">
      <c r="A3088" t="str">
        <f>IF(C3088&amp;G3088&amp;D3088&lt;&gt;'Funnel setup'!$K$3&amp;'Funnel setup'!$K$4&amp;'Funnel setup'!$K$6,".",IF(A3087=".",1,A3087+1))</f>
        <v>.</v>
      </c>
      <c r="B3088" s="244" t="str">
        <f t="shared" si="48"/>
        <v>Knee Replacement RevisionProviderUNIVERSITY COLLEGE LONDON HOSPITALS NHS FOUNDATION TRUST (RRV)EQ VAS</v>
      </c>
      <c r="C3088" t="s">
        <v>973</v>
      </c>
      <c r="D3088" t="s">
        <v>965</v>
      </c>
      <c r="E3088" t="s">
        <v>674</v>
      </c>
      <c r="F3088" t="s">
        <v>675</v>
      </c>
      <c r="G3088" t="s">
        <v>752</v>
      </c>
      <c r="H3088">
        <v>3</v>
      </c>
      <c r="I3088">
        <v>62.666699999999999</v>
      </c>
      <c r="J3088">
        <v>86.666700000000006</v>
      </c>
      <c r="K3088">
        <v>24</v>
      </c>
      <c r="L3088">
        <v>3</v>
      </c>
      <c r="M3088">
        <v>0</v>
      </c>
      <c r="N3088">
        <v>0</v>
      </c>
      <c r="O3088" t="s">
        <v>127</v>
      </c>
      <c r="P3088" t="s">
        <v>127</v>
      </c>
      <c r="Q3088" t="s">
        <v>127</v>
      </c>
    </row>
    <row r="3089" spans="1:17" x14ac:dyDescent="0.25">
      <c r="A3089" t="str">
        <f>IF(C3089&amp;G3089&amp;D3089&lt;&gt;'Funnel setup'!$K$3&amp;'Funnel setup'!$K$4&amp;'Funnel setup'!$K$6,".",IF(A3088=".",1,A3088+1))</f>
        <v>.</v>
      </c>
      <c r="B3089" s="244" t="str">
        <f t="shared" si="48"/>
        <v>Knee Replacement RevisionProviderUNIVERSITY HOSPITAL SOUTHAMPTON NHS FOUNDATION TRUST (RHM)EQ VAS</v>
      </c>
      <c r="C3089" t="s">
        <v>973</v>
      </c>
      <c r="D3089" t="s">
        <v>965</v>
      </c>
      <c r="E3089" t="s">
        <v>676</v>
      </c>
      <c r="F3089" t="s">
        <v>677</v>
      </c>
      <c r="G3089" t="s">
        <v>752</v>
      </c>
      <c r="H3089">
        <v>20</v>
      </c>
      <c r="I3089">
        <v>64.900000000000006</v>
      </c>
      <c r="J3089">
        <v>74.05</v>
      </c>
      <c r="K3089">
        <v>9.15</v>
      </c>
      <c r="L3089">
        <v>14</v>
      </c>
      <c r="M3089">
        <v>3</v>
      </c>
      <c r="N3089">
        <v>3</v>
      </c>
      <c r="O3089" t="s">
        <v>127</v>
      </c>
      <c r="P3089" t="s">
        <v>127</v>
      </c>
      <c r="Q3089" t="s">
        <v>127</v>
      </c>
    </row>
    <row r="3090" spans="1:17" x14ac:dyDescent="0.25">
      <c r="A3090" t="str">
        <f>IF(C3090&amp;G3090&amp;D3090&lt;&gt;'Funnel setup'!$K$3&amp;'Funnel setup'!$K$4&amp;'Funnel setup'!$K$6,".",IF(A3089=".",1,A3089+1))</f>
        <v>.</v>
      </c>
      <c r="B3090" s="244" t="str">
        <f t="shared" si="48"/>
        <v>Knee Replacement RevisionProviderUNIVERSITY HOSPITALS COVENTRY AND WARWICKSHIRE NHS TRUST (RKB)EQ VAS</v>
      </c>
      <c r="C3090" t="s">
        <v>973</v>
      </c>
      <c r="D3090" t="s">
        <v>965</v>
      </c>
      <c r="E3090" t="s">
        <v>682</v>
      </c>
      <c r="F3090" t="s">
        <v>683</v>
      </c>
      <c r="G3090" t="s">
        <v>752</v>
      </c>
      <c r="H3090">
        <v>2</v>
      </c>
      <c r="I3090">
        <v>60</v>
      </c>
      <c r="J3090">
        <v>82.5</v>
      </c>
      <c r="K3090">
        <v>22.5</v>
      </c>
      <c r="L3090">
        <v>1</v>
      </c>
      <c r="M3090">
        <v>1</v>
      </c>
      <c r="N3090">
        <v>0</v>
      </c>
      <c r="O3090" t="s">
        <v>127</v>
      </c>
      <c r="P3090" t="s">
        <v>127</v>
      </c>
      <c r="Q3090" t="s">
        <v>127</v>
      </c>
    </row>
    <row r="3091" spans="1:17" x14ac:dyDescent="0.25">
      <c r="A3091" t="str">
        <f>IF(C3091&amp;G3091&amp;D3091&lt;&gt;'Funnel setup'!$K$3&amp;'Funnel setup'!$K$4&amp;'Funnel setup'!$K$6,".",IF(A3090=".",1,A3090+1))</f>
        <v>.</v>
      </c>
      <c r="B3091" s="244" t="str">
        <f t="shared" si="48"/>
        <v>Knee Replacement RevisionProviderUNIVERSITY HOSPITAL DORSET NHS FUNDATION TRUST (R0D)EQ VAS</v>
      </c>
      <c r="C3091" t="s">
        <v>973</v>
      </c>
      <c r="D3091" t="s">
        <v>965</v>
      </c>
      <c r="E3091" t="s">
        <v>684</v>
      </c>
      <c r="F3091" t="s">
        <v>966</v>
      </c>
      <c r="G3091" t="s">
        <v>752</v>
      </c>
      <c r="H3091">
        <v>8</v>
      </c>
      <c r="I3091">
        <v>61.125</v>
      </c>
      <c r="J3091">
        <v>65.625</v>
      </c>
      <c r="K3091">
        <v>4.5</v>
      </c>
      <c r="L3091">
        <v>3</v>
      </c>
      <c r="M3091">
        <v>4</v>
      </c>
      <c r="N3091">
        <v>1</v>
      </c>
      <c r="O3091" t="s">
        <v>127</v>
      </c>
      <c r="P3091" t="s">
        <v>127</v>
      </c>
      <c r="Q3091" t="s">
        <v>127</v>
      </c>
    </row>
    <row r="3092" spans="1:17" x14ac:dyDescent="0.25">
      <c r="A3092" t="str">
        <f>IF(C3092&amp;G3092&amp;D3092&lt;&gt;'Funnel setup'!$K$3&amp;'Funnel setup'!$K$4&amp;'Funnel setup'!$K$6,".",IF(A3091=".",1,A3091+1))</f>
        <v>.</v>
      </c>
      <c r="B3092" s="244" t="str">
        <f t="shared" si="48"/>
        <v>Knee Replacement RevisionProviderUNIVERSITY HOSPITALS OF DERBY AND BURTON NHS FOUNDATION TRUST (RTG)EQ VAS</v>
      </c>
      <c r="C3092" t="s">
        <v>973</v>
      </c>
      <c r="D3092" t="s">
        <v>965</v>
      </c>
      <c r="E3092" t="s">
        <v>686</v>
      </c>
      <c r="F3092" t="s">
        <v>687</v>
      </c>
      <c r="G3092" t="s">
        <v>752</v>
      </c>
      <c r="H3092">
        <v>25</v>
      </c>
      <c r="I3092">
        <v>56.12</v>
      </c>
      <c r="J3092">
        <v>63.88</v>
      </c>
      <c r="K3092">
        <v>7.76</v>
      </c>
      <c r="L3092">
        <v>16</v>
      </c>
      <c r="M3092">
        <v>3</v>
      </c>
      <c r="N3092">
        <v>6</v>
      </c>
      <c r="O3092" t="s">
        <v>127</v>
      </c>
      <c r="P3092" t="s">
        <v>127</v>
      </c>
      <c r="Q3092" t="s">
        <v>127</v>
      </c>
    </row>
    <row r="3093" spans="1:17" x14ac:dyDescent="0.25">
      <c r="A3093" t="str">
        <f>IF(C3093&amp;G3093&amp;D3093&lt;&gt;'Funnel setup'!$K$3&amp;'Funnel setup'!$K$4&amp;'Funnel setup'!$K$6,".",IF(A3092=".",1,A3092+1))</f>
        <v>.</v>
      </c>
      <c r="B3093" s="244" t="str">
        <f t="shared" si="48"/>
        <v>Knee Replacement RevisionProviderUNIVERSITY HOSPITALS OF LEICESTER NHS TRUST (RWE)EQ VAS</v>
      </c>
      <c r="C3093" t="s">
        <v>973</v>
      </c>
      <c r="D3093" t="s">
        <v>965</v>
      </c>
      <c r="E3093" t="s">
        <v>688</v>
      </c>
      <c r="F3093" t="s">
        <v>689</v>
      </c>
      <c r="G3093" t="s">
        <v>752</v>
      </c>
      <c r="H3093">
        <v>13</v>
      </c>
      <c r="I3093">
        <v>68.461500000000001</v>
      </c>
      <c r="J3093">
        <v>65.153800000000004</v>
      </c>
      <c r="K3093">
        <v>-3.30769</v>
      </c>
      <c r="L3093">
        <v>9</v>
      </c>
      <c r="M3093">
        <v>0</v>
      </c>
      <c r="N3093">
        <v>4</v>
      </c>
      <c r="O3093" t="s">
        <v>127</v>
      </c>
      <c r="P3093" t="s">
        <v>127</v>
      </c>
      <c r="Q3093" t="s">
        <v>127</v>
      </c>
    </row>
    <row r="3094" spans="1:17" x14ac:dyDescent="0.25">
      <c r="A3094" t="str">
        <f>IF(C3094&amp;G3094&amp;D3094&lt;&gt;'Funnel setup'!$K$3&amp;'Funnel setup'!$K$4&amp;'Funnel setup'!$K$6,".",IF(A3093=".",1,A3093+1))</f>
        <v>.</v>
      </c>
      <c r="B3094" s="244" t="str">
        <f t="shared" si="48"/>
        <v>Knee Replacement RevisionProviderUNIVERSITY HOSPITALS OF MORECAMBE BAY NHS FOUNDATION TRUST (RTX)EQ VAS</v>
      </c>
      <c r="C3094" t="s">
        <v>973</v>
      </c>
      <c r="D3094" t="s">
        <v>965</v>
      </c>
      <c r="E3094" t="s">
        <v>690</v>
      </c>
      <c r="F3094" t="s">
        <v>691</v>
      </c>
      <c r="G3094" t="s">
        <v>752</v>
      </c>
      <c r="H3094">
        <v>2</v>
      </c>
      <c r="I3094">
        <v>49.5</v>
      </c>
      <c r="J3094">
        <v>72.5</v>
      </c>
      <c r="K3094">
        <v>23</v>
      </c>
      <c r="L3094">
        <v>2</v>
      </c>
      <c r="M3094">
        <v>0</v>
      </c>
      <c r="N3094">
        <v>0</v>
      </c>
      <c r="O3094" t="s">
        <v>127</v>
      </c>
      <c r="P3094" t="s">
        <v>127</v>
      </c>
      <c r="Q3094" t="s">
        <v>127</v>
      </c>
    </row>
    <row r="3095" spans="1:17" x14ac:dyDescent="0.25">
      <c r="A3095" t="str">
        <f>IF(C3095&amp;G3095&amp;D3095&lt;&gt;'Funnel setup'!$K$3&amp;'Funnel setup'!$K$4&amp;'Funnel setup'!$K$6,".",IF(A3094=".",1,A3094+1))</f>
        <v>.</v>
      </c>
      <c r="B3095" s="244" t="str">
        <f t="shared" si="48"/>
        <v>Knee Replacement RevisionProviderUNIVERSITY HOSPITALS OF NORTH MIDLANDS NHS TRUST (RJE)EQ VAS</v>
      </c>
      <c r="C3095" t="s">
        <v>973</v>
      </c>
      <c r="D3095" t="s">
        <v>965</v>
      </c>
      <c r="E3095" t="s">
        <v>692</v>
      </c>
      <c r="F3095" t="s">
        <v>693</v>
      </c>
      <c r="G3095" t="s">
        <v>752</v>
      </c>
      <c r="H3095">
        <v>2</v>
      </c>
      <c r="I3095">
        <v>73.5</v>
      </c>
      <c r="J3095">
        <v>57.5</v>
      </c>
      <c r="K3095">
        <v>-16</v>
      </c>
      <c r="L3095">
        <v>1</v>
      </c>
      <c r="M3095">
        <v>0</v>
      </c>
      <c r="N3095">
        <v>1</v>
      </c>
      <c r="O3095" t="s">
        <v>127</v>
      </c>
      <c r="P3095" t="s">
        <v>127</v>
      </c>
      <c r="Q3095" t="s">
        <v>127</v>
      </c>
    </row>
    <row r="3096" spans="1:17" x14ac:dyDescent="0.25">
      <c r="A3096" t="str">
        <f>IF(C3096&amp;G3096&amp;D3096&lt;&gt;'Funnel setup'!$K$3&amp;'Funnel setup'!$K$4&amp;'Funnel setup'!$K$6,".",IF(A3095=".",1,A3095+1))</f>
        <v>.</v>
      </c>
      <c r="B3096" s="244" t="str">
        <f t="shared" si="48"/>
        <v>Knee Replacement RevisionProviderUNIVERSITY HOSPITALS PLYMOUTH NHS TRUST (RK9)EQ VAS</v>
      </c>
      <c r="C3096" t="s">
        <v>973</v>
      </c>
      <c r="D3096" t="s">
        <v>965</v>
      </c>
      <c r="E3096" t="s">
        <v>694</v>
      </c>
      <c r="F3096" t="s">
        <v>695</v>
      </c>
      <c r="G3096" t="s">
        <v>752</v>
      </c>
      <c r="H3096">
        <v>1</v>
      </c>
      <c r="I3096">
        <v>20</v>
      </c>
      <c r="J3096">
        <v>70</v>
      </c>
      <c r="K3096">
        <v>50</v>
      </c>
      <c r="L3096">
        <v>1</v>
      </c>
      <c r="M3096">
        <v>0</v>
      </c>
      <c r="N3096">
        <v>0</v>
      </c>
      <c r="O3096" t="s">
        <v>127</v>
      </c>
      <c r="P3096" t="s">
        <v>127</v>
      </c>
      <c r="Q3096" t="s">
        <v>127</v>
      </c>
    </row>
    <row r="3097" spans="1:17" x14ac:dyDescent="0.25">
      <c r="A3097" t="str">
        <f>IF(C3097&amp;G3097&amp;D3097&lt;&gt;'Funnel setup'!$K$3&amp;'Funnel setup'!$K$4&amp;'Funnel setup'!$K$6,".",IF(A3096=".",1,A3096+1))</f>
        <v>.</v>
      </c>
      <c r="B3097" s="244" t="str">
        <f t="shared" si="48"/>
        <v>Knee Replacement RevisionProviderUNIVERSITY HOSPITALS SUSSEX NHS FOUNDATION TRUST (RYR)EQ VAS</v>
      </c>
      <c r="C3097" t="s">
        <v>973</v>
      </c>
      <c r="D3097" t="s">
        <v>965</v>
      </c>
      <c r="E3097" t="s">
        <v>696</v>
      </c>
      <c r="F3097" t="s">
        <v>697</v>
      </c>
      <c r="G3097" t="s">
        <v>752</v>
      </c>
      <c r="H3097">
        <v>4</v>
      </c>
      <c r="I3097">
        <v>48</v>
      </c>
      <c r="J3097">
        <v>69.5</v>
      </c>
      <c r="K3097">
        <v>21.5</v>
      </c>
      <c r="L3097">
        <v>3</v>
      </c>
      <c r="M3097">
        <v>0</v>
      </c>
      <c r="N3097">
        <v>1</v>
      </c>
      <c r="O3097" t="s">
        <v>127</v>
      </c>
      <c r="P3097" t="s">
        <v>127</v>
      </c>
      <c r="Q3097" t="s">
        <v>127</v>
      </c>
    </row>
    <row r="3098" spans="1:17" x14ac:dyDescent="0.25">
      <c r="A3098" t="str">
        <f>IF(C3098&amp;G3098&amp;D3098&lt;&gt;'Funnel setup'!$K$3&amp;'Funnel setup'!$K$4&amp;'Funnel setup'!$K$6,".",IF(A3097=".",1,A3097+1))</f>
        <v>.</v>
      </c>
      <c r="B3098" s="244" t="str">
        <f t="shared" si="48"/>
        <v>Knee Replacement RevisionProviderWARRINGTON AND HALTON TEACHING HOSPITALS NHS FOUNDATION TRUST (RWW)EQ VAS</v>
      </c>
      <c r="C3098" t="s">
        <v>973</v>
      </c>
      <c r="D3098" t="s">
        <v>965</v>
      </c>
      <c r="E3098" t="s">
        <v>700</v>
      </c>
      <c r="F3098" t="s">
        <v>701</v>
      </c>
      <c r="G3098" t="s">
        <v>752</v>
      </c>
      <c r="H3098">
        <v>1</v>
      </c>
      <c r="I3098">
        <v>60</v>
      </c>
      <c r="J3098">
        <v>50</v>
      </c>
      <c r="K3098">
        <v>-10</v>
      </c>
      <c r="L3098">
        <v>0</v>
      </c>
      <c r="M3098">
        <v>0</v>
      </c>
      <c r="N3098">
        <v>1</v>
      </c>
      <c r="O3098" t="s">
        <v>127</v>
      </c>
      <c r="P3098" t="s">
        <v>127</v>
      </c>
      <c r="Q3098" t="s">
        <v>127</v>
      </c>
    </row>
    <row r="3099" spans="1:17" x14ac:dyDescent="0.25">
      <c r="A3099" t="str">
        <f>IF(C3099&amp;G3099&amp;D3099&lt;&gt;'Funnel setup'!$K$3&amp;'Funnel setup'!$K$4&amp;'Funnel setup'!$K$6,".",IF(A3098=".",1,A3098+1))</f>
        <v>.</v>
      </c>
      <c r="B3099" s="244" t="str">
        <f t="shared" si="48"/>
        <v>Knee Replacement RevisionProviderWEST HERTFORDSHIRE TEACHING HOSPITALS NHS TRUST (RWG)EQ VAS</v>
      </c>
      <c r="C3099" t="s">
        <v>973</v>
      </c>
      <c r="D3099" t="s">
        <v>965</v>
      </c>
      <c r="E3099" t="s">
        <v>702</v>
      </c>
      <c r="F3099" t="s">
        <v>703</v>
      </c>
      <c r="G3099" t="s">
        <v>752</v>
      </c>
      <c r="H3099">
        <v>4</v>
      </c>
      <c r="I3099">
        <v>59.75</v>
      </c>
      <c r="J3099">
        <v>56.25</v>
      </c>
      <c r="K3099">
        <v>-3.5</v>
      </c>
      <c r="L3099">
        <v>1</v>
      </c>
      <c r="M3099">
        <v>0</v>
      </c>
      <c r="N3099">
        <v>3</v>
      </c>
      <c r="O3099" t="s">
        <v>127</v>
      </c>
      <c r="P3099" t="s">
        <v>127</v>
      </c>
      <c r="Q3099" t="s">
        <v>127</v>
      </c>
    </row>
    <row r="3100" spans="1:17" x14ac:dyDescent="0.25">
      <c r="A3100" t="str">
        <f>IF(C3100&amp;G3100&amp;D3100&lt;&gt;'Funnel setup'!$K$3&amp;'Funnel setup'!$K$4&amp;'Funnel setup'!$K$6,".",IF(A3099=".",1,A3099+1))</f>
        <v>.</v>
      </c>
      <c r="B3100" s="244" t="str">
        <f t="shared" si="48"/>
        <v>Knee Replacement RevisionProviderWEST SUFFOLK NHS FOUNDATION TRUST (RGR)EQ VAS</v>
      </c>
      <c r="C3100" t="s">
        <v>973</v>
      </c>
      <c r="D3100" t="s">
        <v>965</v>
      </c>
      <c r="E3100" t="s">
        <v>706</v>
      </c>
      <c r="F3100" t="s">
        <v>707</v>
      </c>
      <c r="G3100" t="s">
        <v>752</v>
      </c>
      <c r="H3100">
        <v>5</v>
      </c>
      <c r="I3100">
        <v>64.8</v>
      </c>
      <c r="J3100">
        <v>67.400000000000006</v>
      </c>
      <c r="K3100">
        <v>2.6</v>
      </c>
      <c r="L3100">
        <v>2</v>
      </c>
      <c r="M3100">
        <v>2</v>
      </c>
      <c r="N3100">
        <v>1</v>
      </c>
      <c r="O3100" t="s">
        <v>127</v>
      </c>
      <c r="P3100" t="s">
        <v>127</v>
      </c>
      <c r="Q3100" t="s">
        <v>127</v>
      </c>
    </row>
    <row r="3101" spans="1:17" x14ac:dyDescent="0.25">
      <c r="A3101" t="str">
        <f>IF(C3101&amp;G3101&amp;D3101&lt;&gt;'Funnel setup'!$K$3&amp;'Funnel setup'!$K$4&amp;'Funnel setup'!$K$6,".",IF(A3100=".",1,A3100+1))</f>
        <v>.</v>
      </c>
      <c r="B3101" s="244" t="str">
        <f t="shared" si="48"/>
        <v>Knee Replacement RevisionProviderWINFIELD HOSPITAL (NVC22)EQ VAS</v>
      </c>
      <c r="C3101" t="s">
        <v>973</v>
      </c>
      <c r="D3101" t="s">
        <v>965</v>
      </c>
      <c r="E3101" t="s">
        <v>710</v>
      </c>
      <c r="F3101" t="s">
        <v>711</v>
      </c>
      <c r="G3101" t="s">
        <v>752</v>
      </c>
      <c r="H3101">
        <v>1</v>
      </c>
      <c r="I3101">
        <v>90</v>
      </c>
      <c r="J3101">
        <v>90</v>
      </c>
      <c r="K3101">
        <v>0</v>
      </c>
      <c r="L3101">
        <v>0</v>
      </c>
      <c r="M3101">
        <v>1</v>
      </c>
      <c r="N3101">
        <v>0</v>
      </c>
      <c r="O3101" t="s">
        <v>127</v>
      </c>
      <c r="P3101" t="s">
        <v>127</v>
      </c>
      <c r="Q3101" t="s">
        <v>127</v>
      </c>
    </row>
    <row r="3102" spans="1:17" x14ac:dyDescent="0.25">
      <c r="A3102" t="str">
        <f>IF(C3102&amp;G3102&amp;D3102&lt;&gt;'Funnel setup'!$K$3&amp;'Funnel setup'!$K$4&amp;'Funnel setup'!$K$6,".",IF(A3101=".",1,A3101+1))</f>
        <v>.</v>
      </c>
      <c r="B3102" s="244" t="str">
        <f t="shared" si="48"/>
        <v>Knee Replacement RevisionProviderWIRRAL UNIVERSITY TEACHING HOSPITAL NHS FOUNDATION TRUST (RBL)EQ VAS</v>
      </c>
      <c r="C3102" t="s">
        <v>973</v>
      </c>
      <c r="D3102" t="s">
        <v>965</v>
      </c>
      <c r="E3102" t="s">
        <v>714</v>
      </c>
      <c r="F3102" t="s">
        <v>715</v>
      </c>
      <c r="G3102" t="s">
        <v>752</v>
      </c>
      <c r="H3102">
        <v>2</v>
      </c>
      <c r="I3102">
        <v>71.5</v>
      </c>
      <c r="J3102">
        <v>80</v>
      </c>
      <c r="K3102">
        <v>8.5</v>
      </c>
      <c r="L3102">
        <v>2</v>
      </c>
      <c r="M3102">
        <v>0</v>
      </c>
      <c r="N3102">
        <v>0</v>
      </c>
      <c r="O3102" t="s">
        <v>127</v>
      </c>
      <c r="P3102" t="s">
        <v>127</v>
      </c>
      <c r="Q3102" t="s">
        <v>127</v>
      </c>
    </row>
    <row r="3103" spans="1:17" x14ac:dyDescent="0.25">
      <c r="A3103" t="str">
        <f>IF(C3103&amp;G3103&amp;D3103&lt;&gt;'Funnel setup'!$K$3&amp;'Funnel setup'!$K$4&amp;'Funnel setup'!$K$6,".",IF(A3102=".",1,A3102+1))</f>
        <v>.</v>
      </c>
      <c r="B3103" s="244" t="str">
        <f t="shared" si="48"/>
        <v>Knee Replacement RevisionProviderWOODTHORPE HOSPITAL (NVC40)EQ VAS</v>
      </c>
      <c r="C3103" t="s">
        <v>973</v>
      </c>
      <c r="D3103" t="s">
        <v>965</v>
      </c>
      <c r="E3103" t="s">
        <v>720</v>
      </c>
      <c r="F3103" t="s">
        <v>721</v>
      </c>
      <c r="G3103" t="s">
        <v>752</v>
      </c>
      <c r="H3103" t="s">
        <v>127</v>
      </c>
      <c r="I3103" t="s">
        <v>127</v>
      </c>
      <c r="J3103" t="s">
        <v>127</v>
      </c>
      <c r="K3103" t="s">
        <v>127</v>
      </c>
      <c r="L3103" t="s">
        <v>127</v>
      </c>
      <c r="M3103" t="s">
        <v>127</v>
      </c>
      <c r="N3103" t="s">
        <v>127</v>
      </c>
      <c r="O3103" t="s">
        <v>127</v>
      </c>
      <c r="P3103" t="s">
        <v>127</v>
      </c>
      <c r="Q3103" t="s">
        <v>127</v>
      </c>
    </row>
    <row r="3104" spans="1:17" x14ac:dyDescent="0.25">
      <c r="A3104" t="str">
        <f>IF(C3104&amp;G3104&amp;D3104&lt;&gt;'Funnel setup'!$K$3&amp;'Funnel setup'!$K$4&amp;'Funnel setup'!$K$6,".",IF(A3103=".",1,A3103+1))</f>
        <v>.</v>
      </c>
      <c r="B3104" s="244" t="str">
        <f t="shared" si="48"/>
        <v>Knee Replacement RevisionProviderWORCESTERSHIRE ACUTE HOSPITALS NHS TRUST (RWP)EQ VAS</v>
      </c>
      <c r="C3104" t="s">
        <v>973</v>
      </c>
      <c r="D3104" t="s">
        <v>965</v>
      </c>
      <c r="E3104" t="s">
        <v>722</v>
      </c>
      <c r="F3104" t="s">
        <v>723</v>
      </c>
      <c r="G3104" t="s">
        <v>752</v>
      </c>
      <c r="H3104">
        <v>3</v>
      </c>
      <c r="I3104">
        <v>42.666699999999999</v>
      </c>
      <c r="J3104">
        <v>65</v>
      </c>
      <c r="K3104">
        <v>22.333300000000001</v>
      </c>
      <c r="L3104">
        <v>2</v>
      </c>
      <c r="M3104">
        <v>0</v>
      </c>
      <c r="N3104">
        <v>1</v>
      </c>
      <c r="O3104" t="s">
        <v>127</v>
      </c>
      <c r="P3104" t="s">
        <v>127</v>
      </c>
      <c r="Q3104" t="s">
        <v>127</v>
      </c>
    </row>
    <row r="3105" spans="1:17" x14ac:dyDescent="0.25">
      <c r="A3105" t="str">
        <f>IF(C3105&amp;G3105&amp;D3105&lt;&gt;'Funnel setup'!$K$3&amp;'Funnel setup'!$K$4&amp;'Funnel setup'!$K$6,".",IF(A3104=".",1,A3104+1))</f>
        <v>.</v>
      </c>
      <c r="B3105" s="244" t="str">
        <f t="shared" si="48"/>
        <v>Knee Replacement RevisionProviderWRIGHTINGTON, WIGAN AND LEIGH NHS FOUNDATION TRUST (RRF)EQ VAS</v>
      </c>
      <c r="C3105" t="s">
        <v>973</v>
      </c>
      <c r="D3105" t="s">
        <v>965</v>
      </c>
      <c r="E3105" t="s">
        <v>724</v>
      </c>
      <c r="F3105" t="s">
        <v>725</v>
      </c>
      <c r="G3105" t="s">
        <v>752</v>
      </c>
      <c r="H3105">
        <v>1</v>
      </c>
      <c r="I3105">
        <v>50</v>
      </c>
      <c r="J3105">
        <v>80</v>
      </c>
      <c r="K3105">
        <v>30</v>
      </c>
      <c r="L3105">
        <v>1</v>
      </c>
      <c r="M3105">
        <v>0</v>
      </c>
      <c r="N3105">
        <v>0</v>
      </c>
      <c r="O3105" t="s">
        <v>127</v>
      </c>
      <c r="P3105" t="s">
        <v>127</v>
      </c>
      <c r="Q3105" t="s">
        <v>127</v>
      </c>
    </row>
    <row r="3106" spans="1:17" x14ac:dyDescent="0.25">
      <c r="A3106" t="str">
        <f>IF(C3106&amp;G3106&amp;D3106&lt;&gt;'Funnel setup'!$K$3&amp;'Funnel setup'!$K$4&amp;'Funnel setup'!$K$6,".",IF(A3105=".",1,A3105+1))</f>
        <v>.</v>
      </c>
      <c r="B3106" s="244" t="str">
        <f t="shared" si="48"/>
        <v>Knee Replacement RevisionProviderWYE VALLEY NHS TRUST (RLQ)EQ VAS</v>
      </c>
      <c r="C3106" t="s">
        <v>973</v>
      </c>
      <c r="D3106" t="s">
        <v>965</v>
      </c>
      <c r="E3106" t="s">
        <v>726</v>
      </c>
      <c r="F3106" t="s">
        <v>727</v>
      </c>
      <c r="G3106" t="s">
        <v>752</v>
      </c>
      <c r="H3106">
        <v>1</v>
      </c>
      <c r="I3106">
        <v>87</v>
      </c>
      <c r="J3106">
        <v>95</v>
      </c>
      <c r="K3106">
        <v>8</v>
      </c>
      <c r="L3106">
        <v>1</v>
      </c>
      <c r="M3106">
        <v>0</v>
      </c>
      <c r="N3106">
        <v>0</v>
      </c>
      <c r="O3106" t="s">
        <v>127</v>
      </c>
      <c r="P3106" t="s">
        <v>127</v>
      </c>
      <c r="Q3106" t="s">
        <v>127</v>
      </c>
    </row>
    <row r="3107" spans="1:17" x14ac:dyDescent="0.25">
      <c r="A3107" t="str">
        <f>IF(C3107&amp;G3107&amp;D3107&lt;&gt;'Funnel setup'!$K$3&amp;'Funnel setup'!$K$4&amp;'Funnel setup'!$K$6,".",IF(A3106=".",1,A3106+1))</f>
        <v>.</v>
      </c>
      <c r="B3107" s="244" t="str">
        <f t="shared" si="48"/>
        <v>Knee Replacement RevisionProviderASHFORD AND ST PETER'S HOSPITALS NHS FOUNDATION TRUST (RTK)EQ-5D Index</v>
      </c>
      <c r="C3107" t="s">
        <v>973</v>
      </c>
      <c r="D3107" t="s">
        <v>965</v>
      </c>
      <c r="E3107" t="s">
        <v>132</v>
      </c>
      <c r="F3107" t="s">
        <v>133</v>
      </c>
      <c r="G3107" t="s">
        <v>963</v>
      </c>
      <c r="H3107">
        <v>1</v>
      </c>
      <c r="I3107">
        <v>8.7999999999999995E-2</v>
      </c>
      <c r="J3107">
        <v>-4.1000000000000002E-2</v>
      </c>
      <c r="K3107">
        <v>-0.129</v>
      </c>
      <c r="L3107">
        <v>0</v>
      </c>
      <c r="M3107">
        <v>0</v>
      </c>
      <c r="N3107">
        <v>1</v>
      </c>
      <c r="O3107" t="s">
        <v>127</v>
      </c>
      <c r="P3107" t="s">
        <v>127</v>
      </c>
      <c r="Q3107" t="s">
        <v>127</v>
      </c>
    </row>
    <row r="3108" spans="1:17" x14ac:dyDescent="0.25">
      <c r="A3108" t="str">
        <f>IF(C3108&amp;G3108&amp;D3108&lt;&gt;'Funnel setup'!$K$3&amp;'Funnel setup'!$K$4&amp;'Funnel setup'!$K$6,".",IF(A3107=".",1,A3107+1))</f>
        <v>.</v>
      </c>
      <c r="B3108" s="244" t="str">
        <f t="shared" si="48"/>
        <v>Knee Replacement RevisionProviderBARKING, HAVERING AND REDBRIDGE UNIVERSITY HOSPITALS NHS TRUST (RF4)EQ-5D Index</v>
      </c>
      <c r="C3108" t="s">
        <v>973</v>
      </c>
      <c r="D3108" t="s">
        <v>965</v>
      </c>
      <c r="E3108" t="s">
        <v>144</v>
      </c>
      <c r="F3108" t="s">
        <v>145</v>
      </c>
      <c r="G3108" t="s">
        <v>963</v>
      </c>
      <c r="H3108">
        <v>1</v>
      </c>
      <c r="I3108">
        <v>0.69099999999999995</v>
      </c>
      <c r="J3108">
        <v>0.84799999999999998</v>
      </c>
      <c r="K3108">
        <v>0.157</v>
      </c>
      <c r="L3108">
        <v>1</v>
      </c>
      <c r="M3108">
        <v>0</v>
      </c>
      <c r="N3108">
        <v>0</v>
      </c>
      <c r="O3108" t="s">
        <v>127</v>
      </c>
      <c r="P3108" t="s">
        <v>127</v>
      </c>
      <c r="Q3108" t="s">
        <v>127</v>
      </c>
    </row>
    <row r="3109" spans="1:17" x14ac:dyDescent="0.25">
      <c r="A3109" t="str">
        <f>IF(C3109&amp;G3109&amp;D3109&lt;&gt;'Funnel setup'!$K$3&amp;'Funnel setup'!$K$4&amp;'Funnel setup'!$K$6,".",IF(A3108=".",1,A3108+1))</f>
        <v>.</v>
      </c>
      <c r="B3109" s="244" t="str">
        <f t="shared" si="48"/>
        <v>Knee Replacement RevisionProviderBARNSLEY HOSPITAL NHS FOUNDATION TRUST (RFF)EQ-5D Index</v>
      </c>
      <c r="C3109" t="s">
        <v>973</v>
      </c>
      <c r="D3109" t="s">
        <v>965</v>
      </c>
      <c r="E3109" t="s">
        <v>146</v>
      </c>
      <c r="F3109" t="s">
        <v>147</v>
      </c>
      <c r="G3109" t="s">
        <v>963</v>
      </c>
      <c r="H3109">
        <v>1</v>
      </c>
      <c r="I3109">
        <v>5.5E-2</v>
      </c>
      <c r="J3109">
        <v>5.5E-2</v>
      </c>
      <c r="K3109">
        <v>0</v>
      </c>
      <c r="L3109">
        <v>0</v>
      </c>
      <c r="M3109">
        <v>1</v>
      </c>
      <c r="N3109">
        <v>0</v>
      </c>
      <c r="O3109" t="s">
        <v>127</v>
      </c>
      <c r="P3109" t="s">
        <v>127</v>
      </c>
      <c r="Q3109" t="s">
        <v>127</v>
      </c>
    </row>
    <row r="3110" spans="1:17" x14ac:dyDescent="0.25">
      <c r="A3110" t="str">
        <f>IF(C3110&amp;G3110&amp;D3110&lt;&gt;'Funnel setup'!$K$3&amp;'Funnel setup'!$K$4&amp;'Funnel setup'!$K$6,".",IF(A3109=".",1,A3109+1))</f>
        <v>.</v>
      </c>
      <c r="B3110" s="244" t="str">
        <f t="shared" si="48"/>
        <v>Knee Replacement RevisionProviderBARTS HEALTH NHS TRUST (R1H)EQ-5D Index</v>
      </c>
      <c r="C3110" t="s">
        <v>973</v>
      </c>
      <c r="D3110" t="s">
        <v>965</v>
      </c>
      <c r="E3110" t="s">
        <v>148</v>
      </c>
      <c r="F3110" t="s">
        <v>149</v>
      </c>
      <c r="G3110" t="s">
        <v>963</v>
      </c>
      <c r="H3110">
        <v>5</v>
      </c>
      <c r="I3110">
        <v>0.42720000000000002</v>
      </c>
      <c r="J3110">
        <v>0.5786</v>
      </c>
      <c r="K3110">
        <v>0.15140000000000001</v>
      </c>
      <c r="L3110">
        <v>5</v>
      </c>
      <c r="M3110">
        <v>0</v>
      </c>
      <c r="N3110">
        <v>0</v>
      </c>
      <c r="O3110" t="s">
        <v>127</v>
      </c>
      <c r="P3110" t="s">
        <v>127</v>
      </c>
      <c r="Q3110" t="s">
        <v>127</v>
      </c>
    </row>
    <row r="3111" spans="1:17" x14ac:dyDescent="0.25">
      <c r="A3111" t="str">
        <f>IF(C3111&amp;G3111&amp;D3111&lt;&gt;'Funnel setup'!$K$3&amp;'Funnel setup'!$K$4&amp;'Funnel setup'!$K$6,".",IF(A3110=".",1,A3110+1))</f>
        <v>.</v>
      </c>
      <c r="B3111" s="244" t="str">
        <f t="shared" si="48"/>
        <v>Knee Replacement RevisionProviderBEARDWOOD HOSPITAL (NT403)EQ-5D Index</v>
      </c>
      <c r="C3111" t="s">
        <v>973</v>
      </c>
      <c r="D3111" t="s">
        <v>965</v>
      </c>
      <c r="E3111" t="s">
        <v>154</v>
      </c>
      <c r="F3111" t="s">
        <v>155</v>
      </c>
      <c r="G3111" t="s">
        <v>963</v>
      </c>
      <c r="H3111" t="s">
        <v>127</v>
      </c>
      <c r="I3111" t="s">
        <v>127</v>
      </c>
      <c r="J3111" t="s">
        <v>127</v>
      </c>
      <c r="K3111" t="s">
        <v>127</v>
      </c>
      <c r="L3111" t="s">
        <v>127</v>
      </c>
      <c r="M3111" t="s">
        <v>127</v>
      </c>
      <c r="N3111" t="s">
        <v>127</v>
      </c>
      <c r="O3111" t="s">
        <v>127</v>
      </c>
      <c r="P3111" t="s">
        <v>127</v>
      </c>
      <c r="Q3111" t="s">
        <v>127</v>
      </c>
    </row>
    <row r="3112" spans="1:17" x14ac:dyDescent="0.25">
      <c r="A3112" t="str">
        <f>IF(C3112&amp;G3112&amp;D3112&lt;&gt;'Funnel setup'!$K$3&amp;'Funnel setup'!$K$4&amp;'Funnel setup'!$K$6,".",IF(A3111=".",1,A3111+1))</f>
        <v>.</v>
      </c>
      <c r="B3112" s="244" t="str">
        <f t="shared" si="48"/>
        <v>Knee Replacement RevisionProviderBEAUMONT HOSPITAL (NT404)EQ-5D Index</v>
      </c>
      <c r="C3112" t="s">
        <v>973</v>
      </c>
      <c r="D3112" t="s">
        <v>965</v>
      </c>
      <c r="E3112" t="s">
        <v>156</v>
      </c>
      <c r="F3112" t="s">
        <v>157</v>
      </c>
      <c r="G3112" t="s">
        <v>963</v>
      </c>
      <c r="H3112" t="s">
        <v>127</v>
      </c>
      <c r="I3112" t="s">
        <v>127</v>
      </c>
      <c r="J3112" t="s">
        <v>127</v>
      </c>
      <c r="K3112" t="s">
        <v>127</v>
      </c>
      <c r="L3112" t="s">
        <v>127</v>
      </c>
      <c r="M3112" t="s">
        <v>127</v>
      </c>
      <c r="N3112" t="s">
        <v>127</v>
      </c>
      <c r="O3112" t="s">
        <v>127</v>
      </c>
      <c r="P3112" t="s">
        <v>127</v>
      </c>
      <c r="Q3112" t="s">
        <v>127</v>
      </c>
    </row>
    <row r="3113" spans="1:17" x14ac:dyDescent="0.25">
      <c r="A3113" t="str">
        <f>IF(C3113&amp;G3113&amp;D3113&lt;&gt;'Funnel setup'!$K$3&amp;'Funnel setup'!$K$4&amp;'Funnel setup'!$K$6,".",IF(A3112=".",1,A3112+1))</f>
        <v>.</v>
      </c>
      <c r="B3113" s="244" t="str">
        <f t="shared" si="48"/>
        <v>Knee Replacement RevisionProviderBEDFORDSHIRE HOSPITALS NHS FOUNDATION TRUST (RC9)EQ-5D Index</v>
      </c>
      <c r="C3113" t="s">
        <v>973</v>
      </c>
      <c r="D3113" t="s">
        <v>965</v>
      </c>
      <c r="E3113" t="s">
        <v>158</v>
      </c>
      <c r="F3113" t="s">
        <v>159</v>
      </c>
      <c r="G3113" t="s">
        <v>963</v>
      </c>
      <c r="H3113">
        <v>4</v>
      </c>
      <c r="I3113">
        <v>0.3725</v>
      </c>
      <c r="J3113">
        <v>0.79900000000000004</v>
      </c>
      <c r="K3113">
        <v>0.42649999999999999</v>
      </c>
      <c r="L3113">
        <v>3</v>
      </c>
      <c r="M3113">
        <v>0</v>
      </c>
      <c r="N3113">
        <v>1</v>
      </c>
      <c r="O3113" t="s">
        <v>127</v>
      </c>
      <c r="P3113" t="s">
        <v>127</v>
      </c>
      <c r="Q3113" t="s">
        <v>127</v>
      </c>
    </row>
    <row r="3114" spans="1:17" x14ac:dyDescent="0.25">
      <c r="A3114" t="str">
        <f>IF(C3114&amp;G3114&amp;D3114&lt;&gt;'Funnel setup'!$K$3&amp;'Funnel setup'!$K$4&amp;'Funnel setup'!$K$6,".",IF(A3113=".",1,A3113+1))</f>
        <v>.</v>
      </c>
      <c r="B3114" s="244" t="str">
        <f t="shared" si="48"/>
        <v>Knee Replacement RevisionProviderBLACKPOOL TEACHING HOSPITALS NHS FOUNDATION TRUST (RXL)EQ-5D Index</v>
      </c>
      <c r="C3114" t="s">
        <v>973</v>
      </c>
      <c r="D3114" t="s">
        <v>965</v>
      </c>
      <c r="E3114" t="s">
        <v>170</v>
      </c>
      <c r="F3114" t="s">
        <v>171</v>
      </c>
      <c r="G3114" t="s">
        <v>963</v>
      </c>
      <c r="H3114">
        <v>1</v>
      </c>
      <c r="I3114">
        <v>-7.3999999999999996E-2</v>
      </c>
      <c r="J3114">
        <v>0.69099999999999995</v>
      </c>
      <c r="K3114">
        <v>0.76500000000000001</v>
      </c>
      <c r="L3114">
        <v>1</v>
      </c>
      <c r="M3114">
        <v>0</v>
      </c>
      <c r="N3114">
        <v>0</v>
      </c>
      <c r="O3114" t="s">
        <v>127</v>
      </c>
      <c r="P3114" t="s">
        <v>127</v>
      </c>
      <c r="Q3114" t="s">
        <v>127</v>
      </c>
    </row>
    <row r="3115" spans="1:17" x14ac:dyDescent="0.25">
      <c r="A3115" t="str">
        <f>IF(C3115&amp;G3115&amp;D3115&lt;&gt;'Funnel setup'!$K$3&amp;'Funnel setup'!$K$4&amp;'Funnel setup'!$K$6,".",IF(A3114=".",1,A3114+1))</f>
        <v>.</v>
      </c>
      <c r="B3115" s="244" t="str">
        <f t="shared" si="48"/>
        <v>Knee Replacement RevisionProviderBOLTON NHS FOUNDATION TRUST (RMC)EQ-5D Index</v>
      </c>
      <c r="C3115" t="s">
        <v>973</v>
      </c>
      <c r="D3115" t="s">
        <v>965</v>
      </c>
      <c r="E3115" t="s">
        <v>172</v>
      </c>
      <c r="F3115" t="s">
        <v>173</v>
      </c>
      <c r="G3115" t="s">
        <v>963</v>
      </c>
      <c r="H3115">
        <v>2</v>
      </c>
      <c r="I3115">
        <v>0.60350000000000004</v>
      </c>
      <c r="J3115">
        <v>0.70899999999999996</v>
      </c>
      <c r="K3115">
        <v>0.1055</v>
      </c>
      <c r="L3115">
        <v>2</v>
      </c>
      <c r="M3115">
        <v>0</v>
      </c>
      <c r="N3115">
        <v>0</v>
      </c>
      <c r="O3115" t="s">
        <v>127</v>
      </c>
      <c r="P3115" t="s">
        <v>127</v>
      </c>
      <c r="Q3115" t="s">
        <v>127</v>
      </c>
    </row>
    <row r="3116" spans="1:17" x14ac:dyDescent="0.25">
      <c r="A3116" t="str">
        <f>IF(C3116&amp;G3116&amp;D3116&lt;&gt;'Funnel setup'!$K$3&amp;'Funnel setup'!$K$4&amp;'Funnel setup'!$K$6,".",IF(A3115=".",1,A3115+1))</f>
        <v>.</v>
      </c>
      <c r="B3116" s="244" t="str">
        <f t="shared" si="48"/>
        <v>Knee Replacement RevisionProviderBRADFORD TEACHING HOSPITALS NHS FOUNDATION TRUST (RAE)EQ-5D Index</v>
      </c>
      <c r="C3116" t="s">
        <v>973</v>
      </c>
      <c r="D3116" t="s">
        <v>965</v>
      </c>
      <c r="E3116" t="s">
        <v>174</v>
      </c>
      <c r="F3116" t="s">
        <v>175</v>
      </c>
      <c r="G3116" t="s">
        <v>963</v>
      </c>
      <c r="H3116">
        <v>1</v>
      </c>
      <c r="I3116">
        <v>0.51600000000000001</v>
      </c>
      <c r="J3116">
        <v>0.58699999999999997</v>
      </c>
      <c r="K3116">
        <v>7.0999999999999994E-2</v>
      </c>
      <c r="L3116">
        <v>1</v>
      </c>
      <c r="M3116">
        <v>0</v>
      </c>
      <c r="N3116">
        <v>0</v>
      </c>
      <c r="O3116" t="s">
        <v>127</v>
      </c>
      <c r="P3116" t="s">
        <v>127</v>
      </c>
      <c r="Q3116" t="s">
        <v>127</v>
      </c>
    </row>
    <row r="3117" spans="1:17" x14ac:dyDescent="0.25">
      <c r="A3117" t="str">
        <f>IF(C3117&amp;G3117&amp;D3117&lt;&gt;'Funnel setup'!$K$3&amp;'Funnel setup'!$K$4&amp;'Funnel setup'!$K$6,".",IF(A3116=".",1,A3116+1))</f>
        <v>.</v>
      </c>
      <c r="B3117" s="244" t="str">
        <f t="shared" si="48"/>
        <v>Knee Replacement RevisionProviderBUCKINGHAMSHIRE HEALTHCARE NHS TRUST (RXQ)EQ-5D Index</v>
      </c>
      <c r="C3117" t="s">
        <v>973</v>
      </c>
      <c r="D3117" t="s">
        <v>965</v>
      </c>
      <c r="E3117" t="s">
        <v>178</v>
      </c>
      <c r="F3117" t="s">
        <v>179</v>
      </c>
      <c r="G3117" t="s">
        <v>963</v>
      </c>
      <c r="H3117">
        <v>1</v>
      </c>
      <c r="I3117">
        <v>0.69099999999999995</v>
      </c>
      <c r="J3117">
        <v>0.69099999999999995</v>
      </c>
      <c r="K3117">
        <v>0</v>
      </c>
      <c r="L3117">
        <v>0</v>
      </c>
      <c r="M3117">
        <v>1</v>
      </c>
      <c r="N3117">
        <v>0</v>
      </c>
      <c r="O3117" t="s">
        <v>127</v>
      </c>
      <c r="P3117" t="s">
        <v>127</v>
      </c>
      <c r="Q3117" t="s">
        <v>127</v>
      </c>
    </row>
    <row r="3118" spans="1:17" x14ac:dyDescent="0.25">
      <c r="A3118" t="str">
        <f>IF(C3118&amp;G3118&amp;D3118&lt;&gt;'Funnel setup'!$K$3&amp;'Funnel setup'!$K$4&amp;'Funnel setup'!$K$6,".",IF(A3117=".",1,A3117+1))</f>
        <v>.</v>
      </c>
      <c r="B3118" s="244" t="str">
        <f t="shared" si="48"/>
        <v>Knee Replacement RevisionProviderCALDERDALE AND HUDDERSFIELD NHS FOUNDATION TRUST (RWY)EQ-5D Index</v>
      </c>
      <c r="C3118" t="s">
        <v>973</v>
      </c>
      <c r="D3118" t="s">
        <v>965</v>
      </c>
      <c r="E3118" t="s">
        <v>180</v>
      </c>
      <c r="F3118" t="s">
        <v>181</v>
      </c>
      <c r="G3118" t="s">
        <v>963</v>
      </c>
      <c r="H3118">
        <v>5</v>
      </c>
      <c r="I3118">
        <v>0.44359999999999999</v>
      </c>
      <c r="J3118">
        <v>0.66479999999999995</v>
      </c>
      <c r="K3118">
        <v>0.22120000000000001</v>
      </c>
      <c r="L3118">
        <v>3</v>
      </c>
      <c r="M3118">
        <v>0</v>
      </c>
      <c r="N3118">
        <v>2</v>
      </c>
      <c r="O3118" t="s">
        <v>127</v>
      </c>
      <c r="P3118" t="s">
        <v>127</v>
      </c>
      <c r="Q3118" t="s">
        <v>127</v>
      </c>
    </row>
    <row r="3119" spans="1:17" x14ac:dyDescent="0.25">
      <c r="A3119" t="str">
        <f>IF(C3119&amp;G3119&amp;D3119&lt;&gt;'Funnel setup'!$K$3&amp;'Funnel setup'!$K$4&amp;'Funnel setup'!$K$6,".",IF(A3118=".",1,A3118+1))</f>
        <v>.</v>
      </c>
      <c r="B3119" s="244" t="str">
        <f t="shared" si="48"/>
        <v>Knee Replacement RevisionProviderCAMBRIDGE UNIVERSITY HOSPITALS NHS FOUNDATION TRUST (RGT)EQ-5D Index</v>
      </c>
      <c r="C3119" t="s">
        <v>973</v>
      </c>
      <c r="D3119" t="s">
        <v>965</v>
      </c>
      <c r="E3119" t="s">
        <v>182</v>
      </c>
      <c r="F3119" t="s">
        <v>183</v>
      </c>
      <c r="G3119" t="s">
        <v>963</v>
      </c>
      <c r="H3119">
        <v>3</v>
      </c>
      <c r="I3119">
        <v>0.124333</v>
      </c>
      <c r="J3119">
        <v>0.65633300000000006</v>
      </c>
      <c r="K3119">
        <v>0.53200000000000003</v>
      </c>
      <c r="L3119">
        <v>3</v>
      </c>
      <c r="M3119">
        <v>0</v>
      </c>
      <c r="N3119">
        <v>0</v>
      </c>
      <c r="O3119" t="s">
        <v>127</v>
      </c>
      <c r="P3119" t="s">
        <v>127</v>
      </c>
      <c r="Q3119" t="s">
        <v>127</v>
      </c>
    </row>
    <row r="3120" spans="1:17" x14ac:dyDescent="0.25">
      <c r="A3120" t="str">
        <f>IF(C3120&amp;G3120&amp;D3120&lt;&gt;'Funnel setup'!$K$3&amp;'Funnel setup'!$K$4&amp;'Funnel setup'!$K$6,".",IF(A3119=".",1,A3119+1))</f>
        <v>.</v>
      </c>
      <c r="B3120" s="244" t="str">
        <f t="shared" si="48"/>
        <v>Knee Replacement RevisionProviderCAVELL HOSPITAL (NT451)EQ-5D Index</v>
      </c>
      <c r="C3120" t="s">
        <v>973</v>
      </c>
      <c r="D3120" t="s">
        <v>965</v>
      </c>
      <c r="E3120" t="s">
        <v>184</v>
      </c>
      <c r="F3120" t="s">
        <v>185</v>
      </c>
      <c r="G3120" t="s">
        <v>963</v>
      </c>
      <c r="H3120" t="s">
        <v>127</v>
      </c>
      <c r="I3120" t="s">
        <v>127</v>
      </c>
      <c r="J3120" t="s">
        <v>127</v>
      </c>
      <c r="K3120" t="s">
        <v>127</v>
      </c>
      <c r="L3120" t="s">
        <v>127</v>
      </c>
      <c r="M3120" t="s">
        <v>127</v>
      </c>
      <c r="N3120" t="s">
        <v>127</v>
      </c>
      <c r="O3120" t="s">
        <v>127</v>
      </c>
      <c r="P3120" t="s">
        <v>127</v>
      </c>
      <c r="Q3120" t="s">
        <v>127</v>
      </c>
    </row>
    <row r="3121" spans="1:17" x14ac:dyDescent="0.25">
      <c r="A3121" t="str">
        <f>IF(C3121&amp;G3121&amp;D3121&lt;&gt;'Funnel setup'!$K$3&amp;'Funnel setup'!$K$4&amp;'Funnel setup'!$K$6,".",IF(A3120=".",1,A3120+1))</f>
        <v>.</v>
      </c>
      <c r="B3121" s="244" t="str">
        <f t="shared" si="48"/>
        <v>Knee Replacement RevisionProviderCHELSEA AND WESTMINSTER HOSPITAL NHS FOUNDATION TRUST (RQM)EQ-5D Index</v>
      </c>
      <c r="C3121" t="s">
        <v>973</v>
      </c>
      <c r="D3121" t="s">
        <v>965</v>
      </c>
      <c r="E3121" t="s">
        <v>188</v>
      </c>
      <c r="F3121" t="s">
        <v>189</v>
      </c>
      <c r="G3121" t="s">
        <v>963</v>
      </c>
      <c r="H3121">
        <v>1</v>
      </c>
      <c r="I3121">
        <v>0.62</v>
      </c>
      <c r="J3121">
        <v>0.69099999999999995</v>
      </c>
      <c r="K3121">
        <v>7.0999999999999994E-2</v>
      </c>
      <c r="L3121">
        <v>1</v>
      </c>
      <c r="M3121">
        <v>0</v>
      </c>
      <c r="N3121">
        <v>0</v>
      </c>
      <c r="O3121" t="s">
        <v>127</v>
      </c>
      <c r="P3121" t="s">
        <v>127</v>
      </c>
      <c r="Q3121" t="s">
        <v>127</v>
      </c>
    </row>
    <row r="3122" spans="1:17" x14ac:dyDescent="0.25">
      <c r="A3122" t="str">
        <f>IF(C3122&amp;G3122&amp;D3122&lt;&gt;'Funnel setup'!$K$3&amp;'Funnel setup'!$K$4&amp;'Funnel setup'!$K$6,".",IF(A3121=".",1,A3121+1))</f>
        <v>.</v>
      </c>
      <c r="B3122" s="244" t="str">
        <f t="shared" si="48"/>
        <v>Knee Replacement RevisionProviderCHESTERFIELD ROYAL HOSPITAL NHS FOUNDATION TRUST (RFS)EQ-5D Index</v>
      </c>
      <c r="C3122" t="s">
        <v>973</v>
      </c>
      <c r="D3122" t="s">
        <v>965</v>
      </c>
      <c r="E3122" t="s">
        <v>192</v>
      </c>
      <c r="F3122" t="s">
        <v>193</v>
      </c>
      <c r="G3122" t="s">
        <v>963</v>
      </c>
      <c r="H3122">
        <v>2</v>
      </c>
      <c r="I3122">
        <v>-9.35E-2</v>
      </c>
      <c r="J3122">
        <v>0.51600000000000001</v>
      </c>
      <c r="K3122">
        <v>0.60950000000000004</v>
      </c>
      <c r="L3122">
        <v>2</v>
      </c>
      <c r="M3122">
        <v>0</v>
      </c>
      <c r="N3122">
        <v>0</v>
      </c>
      <c r="O3122" t="s">
        <v>127</v>
      </c>
      <c r="P3122" t="s">
        <v>127</v>
      </c>
      <c r="Q3122" t="s">
        <v>127</v>
      </c>
    </row>
    <row r="3123" spans="1:17" x14ac:dyDescent="0.25">
      <c r="A3123" t="str">
        <f>IF(C3123&amp;G3123&amp;D3123&lt;&gt;'Funnel setup'!$K$3&amp;'Funnel setup'!$K$4&amp;'Funnel setup'!$K$6,".",IF(A3122=".",1,A3122+1))</f>
        <v>.</v>
      </c>
      <c r="B3123" s="244" t="str">
        <f t="shared" si="48"/>
        <v>Knee Replacement RevisionProviderCLEMENTINE CHURCHILL HOSPITAL (NT411)EQ-5D Index</v>
      </c>
      <c r="C3123" t="s">
        <v>973</v>
      </c>
      <c r="D3123" t="s">
        <v>965</v>
      </c>
      <c r="E3123" t="s">
        <v>200</v>
      </c>
      <c r="F3123" t="s">
        <v>201</v>
      </c>
      <c r="G3123" t="s">
        <v>963</v>
      </c>
      <c r="H3123" t="s">
        <v>127</v>
      </c>
      <c r="I3123" t="s">
        <v>127</v>
      </c>
      <c r="J3123" t="s">
        <v>127</v>
      </c>
      <c r="K3123" t="s">
        <v>127</v>
      </c>
      <c r="L3123" t="s">
        <v>127</v>
      </c>
      <c r="M3123" t="s">
        <v>127</v>
      </c>
      <c r="N3123" t="s">
        <v>127</v>
      </c>
      <c r="O3123" t="s">
        <v>127</v>
      </c>
      <c r="P3123" t="s">
        <v>127</v>
      </c>
      <c r="Q3123" t="s">
        <v>127</v>
      </c>
    </row>
    <row r="3124" spans="1:17" x14ac:dyDescent="0.25">
      <c r="A3124" t="str">
        <f>IF(C3124&amp;G3124&amp;D3124&lt;&gt;'Funnel setup'!$K$3&amp;'Funnel setup'!$K$4&amp;'Funnel setup'!$K$6,".",IF(A3123=".",1,A3123+1))</f>
        <v>.</v>
      </c>
      <c r="B3124" s="244" t="str">
        <f t="shared" si="48"/>
        <v>Knee Replacement RevisionProviderCLIFTON PARK HOSPITAL (NVC28)EQ-5D Index</v>
      </c>
      <c r="C3124" t="s">
        <v>973</v>
      </c>
      <c r="D3124" t="s">
        <v>965</v>
      </c>
      <c r="E3124" t="s">
        <v>202</v>
      </c>
      <c r="F3124" t="s">
        <v>203</v>
      </c>
      <c r="G3124" t="s">
        <v>963</v>
      </c>
      <c r="H3124">
        <v>6</v>
      </c>
      <c r="I3124">
        <v>0.50149999999999995</v>
      </c>
      <c r="J3124">
        <v>0.80066700000000002</v>
      </c>
      <c r="K3124">
        <v>0.29916700000000002</v>
      </c>
      <c r="L3124">
        <v>4</v>
      </c>
      <c r="M3124">
        <v>1</v>
      </c>
      <c r="N3124">
        <v>1</v>
      </c>
      <c r="O3124" t="s">
        <v>127</v>
      </c>
      <c r="P3124" t="s">
        <v>127</v>
      </c>
      <c r="Q3124" t="s">
        <v>127</v>
      </c>
    </row>
    <row r="3125" spans="1:17" x14ac:dyDescent="0.25">
      <c r="A3125" t="str">
        <f>IF(C3125&amp;G3125&amp;D3125&lt;&gt;'Funnel setup'!$K$3&amp;'Funnel setup'!$K$4&amp;'Funnel setup'!$K$6,".",IF(A3124=".",1,A3124+1))</f>
        <v>.</v>
      </c>
      <c r="B3125" s="244" t="str">
        <f t="shared" si="48"/>
        <v>Knee Replacement RevisionProviderCOUNTY DURHAM AND DARLINGTON NHS FOUNDATION TRUST (RXP)EQ-5D Index</v>
      </c>
      <c r="C3125" t="s">
        <v>973</v>
      </c>
      <c r="D3125" t="s">
        <v>965</v>
      </c>
      <c r="E3125" t="s">
        <v>206</v>
      </c>
      <c r="F3125" t="s">
        <v>207</v>
      </c>
      <c r="G3125" t="s">
        <v>963</v>
      </c>
      <c r="H3125">
        <v>2</v>
      </c>
      <c r="I3125">
        <v>0.78749999999999998</v>
      </c>
      <c r="J3125">
        <v>0.74350000000000005</v>
      </c>
      <c r="K3125">
        <v>-4.3999999999999997E-2</v>
      </c>
      <c r="L3125">
        <v>1</v>
      </c>
      <c r="M3125">
        <v>0</v>
      </c>
      <c r="N3125">
        <v>1</v>
      </c>
      <c r="O3125" t="s">
        <v>127</v>
      </c>
      <c r="P3125" t="s">
        <v>127</v>
      </c>
      <c r="Q3125" t="s">
        <v>127</v>
      </c>
    </row>
    <row r="3126" spans="1:17" x14ac:dyDescent="0.25">
      <c r="A3126" t="str">
        <f>IF(C3126&amp;G3126&amp;D3126&lt;&gt;'Funnel setup'!$K$3&amp;'Funnel setup'!$K$4&amp;'Funnel setup'!$K$6,".",IF(A3125=".",1,A3125+1))</f>
        <v>.</v>
      </c>
      <c r="B3126" s="244" t="str">
        <f t="shared" si="48"/>
        <v>Knee Replacement RevisionProviderDONCASTER AND BASSETLAW TEACHING HOSPITALS NHS FOUNDATION TRUST (RP5)EQ-5D Index</v>
      </c>
      <c r="C3126" t="s">
        <v>973</v>
      </c>
      <c r="D3126" t="s">
        <v>965</v>
      </c>
      <c r="E3126" t="s">
        <v>212</v>
      </c>
      <c r="F3126" t="s">
        <v>213</v>
      </c>
      <c r="G3126" t="s">
        <v>963</v>
      </c>
      <c r="H3126">
        <v>1</v>
      </c>
      <c r="I3126">
        <v>5.5E-2</v>
      </c>
      <c r="J3126">
        <v>0.69099999999999995</v>
      </c>
      <c r="K3126">
        <v>0.63600000000000001</v>
      </c>
      <c r="L3126">
        <v>1</v>
      </c>
      <c r="M3126">
        <v>0</v>
      </c>
      <c r="N3126">
        <v>0</v>
      </c>
      <c r="O3126" t="s">
        <v>127</v>
      </c>
      <c r="P3126" t="s">
        <v>127</v>
      </c>
      <c r="Q3126" t="s">
        <v>127</v>
      </c>
    </row>
    <row r="3127" spans="1:17" x14ac:dyDescent="0.25">
      <c r="A3127" t="str">
        <f>IF(C3127&amp;G3127&amp;D3127&lt;&gt;'Funnel setup'!$K$3&amp;'Funnel setup'!$K$4&amp;'Funnel setup'!$K$6,".",IF(A3126=".",1,A3126+1))</f>
        <v>.</v>
      </c>
      <c r="B3127" s="244" t="str">
        <f t="shared" si="48"/>
        <v>Knee Replacement RevisionProviderDUCHY HOSPITAL (NVC04)EQ-5D Index</v>
      </c>
      <c r="C3127" t="s">
        <v>973</v>
      </c>
      <c r="D3127" t="s">
        <v>965</v>
      </c>
      <c r="E3127" t="s">
        <v>220</v>
      </c>
      <c r="F3127" t="s">
        <v>221</v>
      </c>
      <c r="G3127" t="s">
        <v>963</v>
      </c>
      <c r="H3127">
        <v>3</v>
      </c>
      <c r="I3127">
        <v>0.43166700000000002</v>
      </c>
      <c r="J3127">
        <v>0.67933299999999996</v>
      </c>
      <c r="K3127">
        <v>0.247667</v>
      </c>
      <c r="L3127">
        <v>3</v>
      </c>
      <c r="M3127">
        <v>0</v>
      </c>
      <c r="N3127">
        <v>0</v>
      </c>
      <c r="O3127" t="s">
        <v>127</v>
      </c>
      <c r="P3127" t="s">
        <v>127</v>
      </c>
      <c r="Q3127" t="s">
        <v>127</v>
      </c>
    </row>
    <row r="3128" spans="1:17" x14ac:dyDescent="0.25">
      <c r="A3128" t="str">
        <f>IF(C3128&amp;G3128&amp;D3128&lt;&gt;'Funnel setup'!$K$3&amp;'Funnel setup'!$K$4&amp;'Funnel setup'!$K$6,".",IF(A3127=".",1,A3127+1))</f>
        <v>.</v>
      </c>
      <c r="B3128" s="244" t="str">
        <f t="shared" si="48"/>
        <v>Knee Replacement RevisionProviderEAST KENT HOSPITALS UNIVERSITY NHS FOUNDATION TRUST (RVV)EQ-5D Index</v>
      </c>
      <c r="C3128" t="s">
        <v>973</v>
      </c>
      <c r="D3128" t="s">
        <v>965</v>
      </c>
      <c r="E3128" t="s">
        <v>228</v>
      </c>
      <c r="F3128" t="s">
        <v>229</v>
      </c>
      <c r="G3128" t="s">
        <v>963</v>
      </c>
      <c r="H3128">
        <v>8</v>
      </c>
      <c r="I3128">
        <v>0.231375</v>
      </c>
      <c r="J3128">
        <v>0.791875</v>
      </c>
      <c r="K3128">
        <v>0.5605</v>
      </c>
      <c r="L3128">
        <v>7</v>
      </c>
      <c r="M3128">
        <v>1</v>
      </c>
      <c r="N3128">
        <v>0</v>
      </c>
      <c r="O3128" t="s">
        <v>127</v>
      </c>
      <c r="P3128" t="s">
        <v>127</v>
      </c>
      <c r="Q3128" t="s">
        <v>127</v>
      </c>
    </row>
    <row r="3129" spans="1:17" x14ac:dyDescent="0.25">
      <c r="A3129" t="str">
        <f>IF(C3129&amp;G3129&amp;D3129&lt;&gt;'Funnel setup'!$K$3&amp;'Funnel setup'!$K$4&amp;'Funnel setup'!$K$6,".",IF(A3128=".",1,A3128+1))</f>
        <v>.</v>
      </c>
      <c r="B3129" s="244" t="str">
        <f t="shared" si="48"/>
        <v>Knee Replacement RevisionProviderEAST LANCASHIRE HOSPITALS NHS TRUST (RXR)EQ-5D Index</v>
      </c>
      <c r="C3129" t="s">
        <v>973</v>
      </c>
      <c r="D3129" t="s">
        <v>965</v>
      </c>
      <c r="E3129" t="s">
        <v>230</v>
      </c>
      <c r="F3129" t="s">
        <v>231</v>
      </c>
      <c r="G3129" t="s">
        <v>963</v>
      </c>
      <c r="H3129">
        <v>2</v>
      </c>
      <c r="I3129">
        <v>0.1575</v>
      </c>
      <c r="J3129">
        <v>0.63900000000000001</v>
      </c>
      <c r="K3129">
        <v>0.48149999999999998</v>
      </c>
      <c r="L3129">
        <v>2</v>
      </c>
      <c r="M3129">
        <v>0</v>
      </c>
      <c r="N3129">
        <v>0</v>
      </c>
      <c r="O3129" t="s">
        <v>127</v>
      </c>
      <c r="P3129" t="s">
        <v>127</v>
      </c>
      <c r="Q3129" t="s">
        <v>127</v>
      </c>
    </row>
    <row r="3130" spans="1:17" x14ac:dyDescent="0.25">
      <c r="A3130" t="str">
        <f>IF(C3130&amp;G3130&amp;D3130&lt;&gt;'Funnel setup'!$K$3&amp;'Funnel setup'!$K$4&amp;'Funnel setup'!$K$6,".",IF(A3129=".",1,A3129+1))</f>
        <v>.</v>
      </c>
      <c r="B3130" s="244" t="str">
        <f t="shared" si="48"/>
        <v>Knee Replacement RevisionProviderEAST SUFFOLK AND NORTH ESSEX NHS FOUNDATION TRUST (RDE)EQ-5D Index</v>
      </c>
      <c r="C3130" t="s">
        <v>973</v>
      </c>
      <c r="D3130" t="s">
        <v>965</v>
      </c>
      <c r="E3130" t="s">
        <v>232</v>
      </c>
      <c r="F3130" t="s">
        <v>233</v>
      </c>
      <c r="G3130" t="s">
        <v>963</v>
      </c>
      <c r="H3130">
        <v>3</v>
      </c>
      <c r="I3130">
        <v>0.44266699999999998</v>
      </c>
      <c r="J3130">
        <v>0.81699999999999995</v>
      </c>
      <c r="K3130">
        <v>0.37433300000000003</v>
      </c>
      <c r="L3130">
        <v>3</v>
      </c>
      <c r="M3130">
        <v>0</v>
      </c>
      <c r="N3130">
        <v>0</v>
      </c>
      <c r="O3130" t="s">
        <v>127</v>
      </c>
      <c r="P3130" t="s">
        <v>127</v>
      </c>
      <c r="Q3130" t="s">
        <v>127</v>
      </c>
    </row>
    <row r="3131" spans="1:17" x14ac:dyDescent="0.25">
      <c r="A3131" t="str">
        <f>IF(C3131&amp;G3131&amp;D3131&lt;&gt;'Funnel setup'!$K$3&amp;'Funnel setup'!$K$4&amp;'Funnel setup'!$K$6,".",IF(A3130=".",1,A3130+1))</f>
        <v>.</v>
      </c>
      <c r="B3131" s="244" t="str">
        <f t="shared" si="48"/>
        <v>Knee Replacement RevisionProviderEAST SUSSEX HEALTHCARE NHS TRUST (RXC)EQ-5D Index</v>
      </c>
      <c r="C3131" t="s">
        <v>973</v>
      </c>
      <c r="D3131" t="s">
        <v>965</v>
      </c>
      <c r="E3131" t="s">
        <v>234</v>
      </c>
      <c r="F3131" t="s">
        <v>235</v>
      </c>
      <c r="G3131" t="s">
        <v>963</v>
      </c>
      <c r="H3131">
        <v>4</v>
      </c>
      <c r="I3131">
        <v>0.32250000000000001</v>
      </c>
      <c r="J3131">
        <v>0.92274999999999996</v>
      </c>
      <c r="K3131">
        <v>0.60024999999999995</v>
      </c>
      <c r="L3131">
        <v>3</v>
      </c>
      <c r="M3131">
        <v>0</v>
      </c>
      <c r="N3131">
        <v>1</v>
      </c>
      <c r="O3131" t="s">
        <v>127</v>
      </c>
      <c r="P3131" t="s">
        <v>127</v>
      </c>
      <c r="Q3131" t="s">
        <v>127</v>
      </c>
    </row>
    <row r="3132" spans="1:17" x14ac:dyDescent="0.25">
      <c r="A3132" t="str">
        <f>IF(C3132&amp;G3132&amp;D3132&lt;&gt;'Funnel setup'!$K$3&amp;'Funnel setup'!$K$4&amp;'Funnel setup'!$K$6,".",IF(A3131=".",1,A3131+1))</f>
        <v>.</v>
      </c>
      <c r="B3132" s="244" t="str">
        <f t="shared" si="48"/>
        <v>Knee Replacement RevisionProviderEPSOM AND ST HELIER UNIVERSITY HOSPITALS NHS TRUST (RVR)EQ-5D Index</v>
      </c>
      <c r="C3132" t="s">
        <v>973</v>
      </c>
      <c r="D3132" t="s">
        <v>965</v>
      </c>
      <c r="E3132" t="s">
        <v>238</v>
      </c>
      <c r="F3132" t="s">
        <v>239</v>
      </c>
      <c r="G3132" t="s">
        <v>963</v>
      </c>
      <c r="H3132">
        <v>13</v>
      </c>
      <c r="I3132">
        <v>0.38400000000000001</v>
      </c>
      <c r="J3132">
        <v>0.60115399999999997</v>
      </c>
      <c r="K3132">
        <v>0.21715400000000001</v>
      </c>
      <c r="L3132">
        <v>10</v>
      </c>
      <c r="M3132">
        <v>1</v>
      </c>
      <c r="N3132">
        <v>2</v>
      </c>
      <c r="O3132" t="s">
        <v>127</v>
      </c>
      <c r="P3132" t="s">
        <v>127</v>
      </c>
      <c r="Q3132" t="s">
        <v>127</v>
      </c>
    </row>
    <row r="3133" spans="1:17" x14ac:dyDescent="0.25">
      <c r="A3133" t="str">
        <f>IF(C3133&amp;G3133&amp;D3133&lt;&gt;'Funnel setup'!$K$3&amp;'Funnel setup'!$K$4&amp;'Funnel setup'!$K$6,".",IF(A3132=".",1,A3132+1))</f>
        <v>.</v>
      </c>
      <c r="B3133" s="244" t="str">
        <f t="shared" si="48"/>
        <v>Knee Replacement RevisionProviderEUXTON HALL HOSPITAL (NVC05)EQ-5D Index</v>
      </c>
      <c r="C3133" t="s">
        <v>973</v>
      </c>
      <c r="D3133" t="s">
        <v>965</v>
      </c>
      <c r="E3133" t="s">
        <v>240</v>
      </c>
      <c r="F3133" t="s">
        <v>241</v>
      </c>
      <c r="G3133" t="s">
        <v>963</v>
      </c>
      <c r="H3133" t="s">
        <v>127</v>
      </c>
      <c r="I3133" t="s">
        <v>127</v>
      </c>
      <c r="J3133" t="s">
        <v>127</v>
      </c>
      <c r="K3133" t="s">
        <v>127</v>
      </c>
      <c r="L3133" t="s">
        <v>127</v>
      </c>
      <c r="M3133" t="s">
        <v>127</v>
      </c>
      <c r="N3133" t="s">
        <v>127</v>
      </c>
      <c r="O3133" t="s">
        <v>127</v>
      </c>
      <c r="P3133" t="s">
        <v>127</v>
      </c>
      <c r="Q3133" t="s">
        <v>127</v>
      </c>
    </row>
    <row r="3134" spans="1:17" x14ac:dyDescent="0.25">
      <c r="A3134" t="str">
        <f>IF(C3134&amp;G3134&amp;D3134&lt;&gt;'Funnel setup'!$K$3&amp;'Funnel setup'!$K$4&amp;'Funnel setup'!$K$6,".",IF(A3133=".",1,A3133+1))</f>
        <v>.</v>
      </c>
      <c r="B3134" s="244" t="str">
        <f t="shared" si="48"/>
        <v>Knee Replacement RevisionProviderFRIMLEY HEALTH NHS FOUNDATION TRUST (RDU)EQ-5D Index</v>
      </c>
      <c r="C3134" t="s">
        <v>973</v>
      </c>
      <c r="D3134" t="s">
        <v>965</v>
      </c>
      <c r="E3134" t="s">
        <v>248</v>
      </c>
      <c r="F3134" t="s">
        <v>249</v>
      </c>
      <c r="G3134" t="s">
        <v>963</v>
      </c>
      <c r="H3134">
        <v>7</v>
      </c>
      <c r="I3134">
        <v>0.40242899999999998</v>
      </c>
      <c r="J3134">
        <v>0.63742900000000002</v>
      </c>
      <c r="K3134">
        <v>0.23499999999999999</v>
      </c>
      <c r="L3134">
        <v>6</v>
      </c>
      <c r="M3134">
        <v>0</v>
      </c>
      <c r="N3134">
        <v>1</v>
      </c>
      <c r="O3134" t="s">
        <v>127</v>
      </c>
      <c r="P3134" t="s">
        <v>127</v>
      </c>
      <c r="Q3134" t="s">
        <v>127</v>
      </c>
    </row>
    <row r="3135" spans="1:17" x14ac:dyDescent="0.25">
      <c r="A3135" t="str">
        <f>IF(C3135&amp;G3135&amp;D3135&lt;&gt;'Funnel setup'!$K$3&amp;'Funnel setup'!$K$4&amp;'Funnel setup'!$K$6,".",IF(A3134=".",1,A3134+1))</f>
        <v>.</v>
      </c>
      <c r="B3135" s="244" t="str">
        <f t="shared" si="48"/>
        <v>Knee Replacement RevisionProviderGATESHEAD HEALTH NHS FOUNDATION TRUST (RR7)EQ-5D Index</v>
      </c>
      <c r="C3135" t="s">
        <v>973</v>
      </c>
      <c r="D3135" t="s">
        <v>965</v>
      </c>
      <c r="E3135" t="s">
        <v>252</v>
      </c>
      <c r="F3135" t="s">
        <v>253</v>
      </c>
      <c r="G3135" t="s">
        <v>963</v>
      </c>
      <c r="H3135">
        <v>3</v>
      </c>
      <c r="I3135">
        <v>0.43166700000000002</v>
      </c>
      <c r="J3135">
        <v>0.5</v>
      </c>
      <c r="K3135">
        <v>6.83333E-2</v>
      </c>
      <c r="L3135">
        <v>1</v>
      </c>
      <c r="M3135">
        <v>1</v>
      </c>
      <c r="N3135">
        <v>1</v>
      </c>
      <c r="O3135" t="s">
        <v>127</v>
      </c>
      <c r="P3135" t="s">
        <v>127</v>
      </c>
      <c r="Q3135" t="s">
        <v>127</v>
      </c>
    </row>
    <row r="3136" spans="1:17" x14ac:dyDescent="0.25">
      <c r="A3136" t="str">
        <f>IF(C3136&amp;G3136&amp;D3136&lt;&gt;'Funnel setup'!$K$3&amp;'Funnel setup'!$K$4&amp;'Funnel setup'!$K$6,".",IF(A3135=".",1,A3135+1))</f>
        <v>.</v>
      </c>
      <c r="B3136" s="244" t="str">
        <f t="shared" si="48"/>
        <v>Knee Replacement RevisionProviderGLOUCESTERSHIRE HOSPITALS NHS FOUNDATION TRUST (RTE)EQ-5D Index</v>
      </c>
      <c r="C3136" t="s">
        <v>973</v>
      </c>
      <c r="D3136" t="s">
        <v>965</v>
      </c>
      <c r="E3136" t="s">
        <v>256</v>
      </c>
      <c r="F3136" t="s">
        <v>257</v>
      </c>
      <c r="G3136" t="s">
        <v>963</v>
      </c>
      <c r="H3136">
        <v>1</v>
      </c>
      <c r="I3136">
        <v>-7.3999999999999996E-2</v>
      </c>
      <c r="J3136">
        <v>1</v>
      </c>
      <c r="K3136">
        <v>1.0740000000000001</v>
      </c>
      <c r="L3136">
        <v>1</v>
      </c>
      <c r="M3136">
        <v>0</v>
      </c>
      <c r="N3136">
        <v>0</v>
      </c>
      <c r="O3136" t="s">
        <v>127</v>
      </c>
      <c r="P3136" t="s">
        <v>127</v>
      </c>
      <c r="Q3136" t="s">
        <v>127</v>
      </c>
    </row>
    <row r="3137" spans="1:17" x14ac:dyDescent="0.25">
      <c r="A3137" t="str">
        <f>IF(C3137&amp;G3137&amp;D3137&lt;&gt;'Funnel setup'!$K$3&amp;'Funnel setup'!$K$4&amp;'Funnel setup'!$K$6,".",IF(A3136=".",1,A3136+1))</f>
        <v>.</v>
      </c>
      <c r="B3137" s="244" t="str">
        <f t="shared" si="48"/>
        <v>Knee Replacement RevisionProviderGORING HALL HOSPITAL (NT417)EQ-5D Index</v>
      </c>
      <c r="C3137" t="s">
        <v>973</v>
      </c>
      <c r="D3137" t="s">
        <v>965</v>
      </c>
      <c r="E3137" t="s">
        <v>258</v>
      </c>
      <c r="F3137" t="s">
        <v>259</v>
      </c>
      <c r="G3137" t="s">
        <v>963</v>
      </c>
      <c r="H3137">
        <v>1</v>
      </c>
      <c r="I3137">
        <v>0.159</v>
      </c>
      <c r="J3137">
        <v>0.79600000000000004</v>
      </c>
      <c r="K3137">
        <v>0.63700000000000001</v>
      </c>
      <c r="L3137">
        <v>1</v>
      </c>
      <c r="M3137">
        <v>0</v>
      </c>
      <c r="N3137">
        <v>0</v>
      </c>
      <c r="O3137" t="s">
        <v>127</v>
      </c>
      <c r="P3137" t="s">
        <v>127</v>
      </c>
      <c r="Q3137" t="s">
        <v>127</v>
      </c>
    </row>
    <row r="3138" spans="1:17" x14ac:dyDescent="0.25">
      <c r="A3138" t="str">
        <f>IF(C3138&amp;G3138&amp;D3138&lt;&gt;'Funnel setup'!$K$3&amp;'Funnel setup'!$K$4&amp;'Funnel setup'!$K$6,".",IF(A3137=".",1,A3137+1))</f>
        <v>.</v>
      </c>
      <c r="B3138" s="244" t="str">
        <f t="shared" ref="B3138:B3201" si="49">C3138&amp;D3138&amp;F3138&amp;G3138</f>
        <v>Knee Replacement RevisionProviderGUY'S AND ST THOMAS' NHS FOUNDATION TRUST (RJ1)EQ-5D Index</v>
      </c>
      <c r="C3138" t="s">
        <v>973</v>
      </c>
      <c r="D3138" t="s">
        <v>965</v>
      </c>
      <c r="E3138" t="s">
        <v>262</v>
      </c>
      <c r="F3138" t="s">
        <v>263</v>
      </c>
      <c r="G3138" t="s">
        <v>963</v>
      </c>
      <c r="H3138">
        <v>12</v>
      </c>
      <c r="I3138">
        <v>9.35E-2</v>
      </c>
      <c r="J3138">
        <v>0.26383299999999998</v>
      </c>
      <c r="K3138">
        <v>0.17033300000000001</v>
      </c>
      <c r="L3138">
        <v>4</v>
      </c>
      <c r="M3138">
        <v>4</v>
      </c>
      <c r="N3138">
        <v>4</v>
      </c>
      <c r="O3138" t="s">
        <v>127</v>
      </c>
      <c r="P3138" t="s">
        <v>127</v>
      </c>
      <c r="Q3138" t="s">
        <v>127</v>
      </c>
    </row>
    <row r="3139" spans="1:17" x14ac:dyDescent="0.25">
      <c r="A3139" t="str">
        <f>IF(C3139&amp;G3139&amp;D3139&lt;&gt;'Funnel setup'!$K$3&amp;'Funnel setup'!$K$4&amp;'Funnel setup'!$K$6,".",IF(A3138=".",1,A3138+1))</f>
        <v>.</v>
      </c>
      <c r="B3139" s="244" t="str">
        <f t="shared" si="49"/>
        <v>Knee Replacement RevisionProviderHAMPSHIRE CLINIC (NT418)EQ-5D Index</v>
      </c>
      <c r="C3139" t="s">
        <v>973</v>
      </c>
      <c r="D3139" t="s">
        <v>965</v>
      </c>
      <c r="E3139" t="s">
        <v>264</v>
      </c>
      <c r="F3139" t="s">
        <v>265</v>
      </c>
      <c r="G3139" t="s">
        <v>963</v>
      </c>
      <c r="H3139" t="s">
        <v>127</v>
      </c>
      <c r="I3139" t="s">
        <v>127</v>
      </c>
      <c r="J3139" t="s">
        <v>127</v>
      </c>
      <c r="K3139" t="s">
        <v>127</v>
      </c>
      <c r="L3139" t="s">
        <v>127</v>
      </c>
      <c r="M3139" t="s">
        <v>127</v>
      </c>
      <c r="N3139" t="s">
        <v>127</v>
      </c>
      <c r="O3139" t="s">
        <v>127</v>
      </c>
      <c r="P3139" t="s">
        <v>127</v>
      </c>
      <c r="Q3139" t="s">
        <v>127</v>
      </c>
    </row>
    <row r="3140" spans="1:17" x14ac:dyDescent="0.25">
      <c r="A3140" t="str">
        <f>IF(C3140&amp;G3140&amp;D3140&lt;&gt;'Funnel setup'!$K$3&amp;'Funnel setup'!$K$4&amp;'Funnel setup'!$K$6,".",IF(A3139=".",1,A3139+1))</f>
        <v>.</v>
      </c>
      <c r="B3140" s="244" t="str">
        <f t="shared" si="49"/>
        <v>Knee Replacement RevisionProviderHAMPSHIRE HOSPITALS NHS FOUNDATION TRUST (RN5)EQ-5D Index</v>
      </c>
      <c r="C3140" t="s">
        <v>973</v>
      </c>
      <c r="D3140" t="s">
        <v>965</v>
      </c>
      <c r="E3140" t="s">
        <v>266</v>
      </c>
      <c r="F3140" t="s">
        <v>267</v>
      </c>
      <c r="G3140" t="s">
        <v>963</v>
      </c>
      <c r="H3140">
        <v>1</v>
      </c>
      <c r="I3140">
        <v>0.69099999999999995</v>
      </c>
      <c r="J3140">
        <v>1</v>
      </c>
      <c r="K3140">
        <v>0.309</v>
      </c>
      <c r="L3140">
        <v>1</v>
      </c>
      <c r="M3140">
        <v>0</v>
      </c>
      <c r="N3140">
        <v>0</v>
      </c>
      <c r="O3140" t="s">
        <v>127</v>
      </c>
      <c r="P3140" t="s">
        <v>127</v>
      </c>
      <c r="Q3140" t="s">
        <v>127</v>
      </c>
    </row>
    <row r="3141" spans="1:17" x14ac:dyDescent="0.25">
      <c r="A3141" t="str">
        <f>IF(C3141&amp;G3141&amp;D3141&lt;&gt;'Funnel setup'!$K$3&amp;'Funnel setup'!$K$4&amp;'Funnel setup'!$K$6,".",IF(A3140=".",1,A3140+1))</f>
        <v>.</v>
      </c>
      <c r="B3141" s="244" t="str">
        <f t="shared" si="49"/>
        <v>Knee Replacement RevisionProviderHARROGATE AND DISTRICT NHS FOUNDATION TRUST (RCD)EQ-5D Index</v>
      </c>
      <c r="C3141" t="s">
        <v>973</v>
      </c>
      <c r="D3141" t="s">
        <v>965</v>
      </c>
      <c r="E3141" t="s">
        <v>270</v>
      </c>
      <c r="F3141" t="s">
        <v>271</v>
      </c>
      <c r="G3141" t="s">
        <v>963</v>
      </c>
      <c r="H3141">
        <v>9</v>
      </c>
      <c r="I3141">
        <v>0.32300000000000001</v>
      </c>
      <c r="J3141">
        <v>0.66622199999999998</v>
      </c>
      <c r="K3141">
        <v>0.34322200000000003</v>
      </c>
      <c r="L3141">
        <v>5</v>
      </c>
      <c r="M3141">
        <v>3</v>
      </c>
      <c r="N3141">
        <v>1</v>
      </c>
      <c r="O3141" t="s">
        <v>127</v>
      </c>
      <c r="P3141" t="s">
        <v>127</v>
      </c>
      <c r="Q3141" t="s">
        <v>127</v>
      </c>
    </row>
    <row r="3142" spans="1:17" x14ac:dyDescent="0.25">
      <c r="A3142" t="str">
        <f>IF(C3142&amp;G3142&amp;D3142&lt;&gt;'Funnel setup'!$K$3&amp;'Funnel setup'!$K$4&amp;'Funnel setup'!$K$6,".",IF(A3141=".",1,A3141+1))</f>
        <v>.</v>
      </c>
      <c r="B3142" s="244" t="str">
        <f t="shared" si="49"/>
        <v>Knee Replacement RevisionProviderHULL UNIVERSITY TEACHING HOSPITALS NHS TRUST (RWA)EQ-5D Index</v>
      </c>
      <c r="C3142" t="s">
        <v>973</v>
      </c>
      <c r="D3142" t="s">
        <v>965</v>
      </c>
      <c r="E3142" t="s">
        <v>278</v>
      </c>
      <c r="F3142" t="s">
        <v>279</v>
      </c>
      <c r="G3142" t="s">
        <v>963</v>
      </c>
      <c r="H3142">
        <v>4</v>
      </c>
      <c r="I3142">
        <v>0.38874999999999998</v>
      </c>
      <c r="J3142">
        <v>0.41475000000000001</v>
      </c>
      <c r="K3142">
        <v>2.5999999999999999E-2</v>
      </c>
      <c r="L3142">
        <v>1</v>
      </c>
      <c r="M3142">
        <v>1</v>
      </c>
      <c r="N3142">
        <v>2</v>
      </c>
      <c r="O3142" t="s">
        <v>127</v>
      </c>
      <c r="P3142" t="s">
        <v>127</v>
      </c>
      <c r="Q3142" t="s">
        <v>127</v>
      </c>
    </row>
    <row r="3143" spans="1:17" x14ac:dyDescent="0.25">
      <c r="A3143" t="str">
        <f>IF(C3143&amp;G3143&amp;D3143&lt;&gt;'Funnel setup'!$K$3&amp;'Funnel setup'!$K$4&amp;'Funnel setup'!$K$6,".",IF(A3142=".",1,A3142+1))</f>
        <v>.</v>
      </c>
      <c r="B3143" s="244" t="str">
        <f t="shared" si="49"/>
        <v>Knee Replacement RevisionProviderISLE OF WIGHT NHS TRUST (R1F)EQ-5D Index</v>
      </c>
      <c r="C3143" t="s">
        <v>973</v>
      </c>
      <c r="D3143" t="s">
        <v>965</v>
      </c>
      <c r="E3143" t="s">
        <v>282</v>
      </c>
      <c r="F3143" t="s">
        <v>283</v>
      </c>
      <c r="G3143" t="s">
        <v>963</v>
      </c>
      <c r="H3143">
        <v>1</v>
      </c>
      <c r="I3143">
        <v>0.159</v>
      </c>
      <c r="J3143">
        <v>-1.6E-2</v>
      </c>
      <c r="K3143">
        <v>-0.17499999999999999</v>
      </c>
      <c r="L3143">
        <v>0</v>
      </c>
      <c r="M3143">
        <v>0</v>
      </c>
      <c r="N3143">
        <v>1</v>
      </c>
      <c r="O3143" t="s">
        <v>127</v>
      </c>
      <c r="P3143" t="s">
        <v>127</v>
      </c>
      <c r="Q3143" t="s">
        <v>127</v>
      </c>
    </row>
    <row r="3144" spans="1:17" x14ac:dyDescent="0.25">
      <c r="A3144" t="str">
        <f>IF(C3144&amp;G3144&amp;D3144&lt;&gt;'Funnel setup'!$K$3&amp;'Funnel setup'!$K$4&amp;'Funnel setup'!$K$6,".",IF(A3143=".",1,A3143+1))</f>
        <v>.</v>
      </c>
      <c r="B3144" s="244" t="str">
        <f t="shared" si="49"/>
        <v>Knee Replacement RevisionProviderJAMES PAGET UNIVERSITY HOSPITALS NHS FOUNDATION TRUST (RGP)EQ-5D Index</v>
      </c>
      <c r="C3144" t="s">
        <v>973</v>
      </c>
      <c r="D3144" t="s">
        <v>965</v>
      </c>
      <c r="E3144" t="s">
        <v>284</v>
      </c>
      <c r="F3144" t="s">
        <v>285</v>
      </c>
      <c r="G3144" t="s">
        <v>963</v>
      </c>
      <c r="H3144">
        <v>5</v>
      </c>
      <c r="I3144">
        <v>0.47060000000000002</v>
      </c>
      <c r="J3144">
        <v>0.66059999999999997</v>
      </c>
      <c r="K3144">
        <v>0.19</v>
      </c>
      <c r="L3144">
        <v>4</v>
      </c>
      <c r="M3144">
        <v>1</v>
      </c>
      <c r="N3144">
        <v>0</v>
      </c>
      <c r="O3144" t="s">
        <v>127</v>
      </c>
      <c r="P3144" t="s">
        <v>127</v>
      </c>
      <c r="Q3144" t="s">
        <v>127</v>
      </c>
    </row>
    <row r="3145" spans="1:17" x14ac:dyDescent="0.25">
      <c r="A3145" t="str">
        <f>IF(C3145&amp;G3145&amp;D3145&lt;&gt;'Funnel setup'!$K$3&amp;'Funnel setup'!$K$4&amp;'Funnel setup'!$K$6,".",IF(A3144=".",1,A3144+1))</f>
        <v>.</v>
      </c>
      <c r="B3145" s="244" t="str">
        <f t="shared" si="49"/>
        <v>Knee Replacement RevisionProviderKETTERING GENERAL HOSPITAL NHS FOUNDATION TRUST (RNQ)EQ-5D Index</v>
      </c>
      <c r="C3145" t="s">
        <v>973</v>
      </c>
      <c r="D3145" t="s">
        <v>965</v>
      </c>
      <c r="E3145" t="s">
        <v>286</v>
      </c>
      <c r="F3145" t="s">
        <v>287</v>
      </c>
      <c r="G3145" t="s">
        <v>963</v>
      </c>
      <c r="H3145">
        <v>5</v>
      </c>
      <c r="I3145">
        <v>0.36159999999999998</v>
      </c>
      <c r="J3145">
        <v>0.56359999999999999</v>
      </c>
      <c r="K3145">
        <v>0.20200000000000001</v>
      </c>
      <c r="L3145">
        <v>3</v>
      </c>
      <c r="M3145">
        <v>0</v>
      </c>
      <c r="N3145">
        <v>2</v>
      </c>
      <c r="O3145" t="s">
        <v>127</v>
      </c>
      <c r="P3145" t="s">
        <v>127</v>
      </c>
      <c r="Q3145" t="s">
        <v>127</v>
      </c>
    </row>
    <row r="3146" spans="1:17" x14ac:dyDescent="0.25">
      <c r="A3146" t="str">
        <f>IF(C3146&amp;G3146&amp;D3146&lt;&gt;'Funnel setup'!$K$3&amp;'Funnel setup'!$K$4&amp;'Funnel setup'!$K$6,".",IF(A3145=".",1,A3145+1))</f>
        <v>.</v>
      </c>
      <c r="B3146" s="244" t="str">
        <f t="shared" si="49"/>
        <v>Knee Replacement RevisionProviderLANCASHIRE TEACHING HOSPITALS NHS FOUNDATION TRUST (RXN)EQ-5D Index</v>
      </c>
      <c r="C3146" t="s">
        <v>973</v>
      </c>
      <c r="D3146" t="s">
        <v>965</v>
      </c>
      <c r="E3146" t="s">
        <v>296</v>
      </c>
      <c r="F3146" t="s">
        <v>297</v>
      </c>
      <c r="G3146" t="s">
        <v>963</v>
      </c>
      <c r="H3146">
        <v>6</v>
      </c>
      <c r="I3146">
        <v>0.35533300000000001</v>
      </c>
      <c r="J3146">
        <v>0.77400000000000002</v>
      </c>
      <c r="K3146">
        <v>0.41866700000000001</v>
      </c>
      <c r="L3146">
        <v>6</v>
      </c>
      <c r="M3146">
        <v>0</v>
      </c>
      <c r="N3146">
        <v>0</v>
      </c>
      <c r="O3146" t="s">
        <v>127</v>
      </c>
      <c r="P3146" t="s">
        <v>127</v>
      </c>
      <c r="Q3146" t="s">
        <v>127</v>
      </c>
    </row>
    <row r="3147" spans="1:17" x14ac:dyDescent="0.25">
      <c r="A3147" t="str">
        <f>IF(C3147&amp;G3147&amp;D3147&lt;&gt;'Funnel setup'!$K$3&amp;'Funnel setup'!$K$4&amp;'Funnel setup'!$K$6,".",IF(A3146=".",1,A3146+1))</f>
        <v>.</v>
      </c>
      <c r="B3147" s="244" t="str">
        <f t="shared" si="49"/>
        <v>Knee Replacement RevisionProviderLEEDS TEACHING HOSPITALS NHS TRUST (RR8)EQ-5D Index</v>
      </c>
      <c r="C3147" t="s">
        <v>973</v>
      </c>
      <c r="D3147" t="s">
        <v>965</v>
      </c>
      <c r="E3147" t="s">
        <v>300</v>
      </c>
      <c r="F3147" t="s">
        <v>301</v>
      </c>
      <c r="G3147" t="s">
        <v>963</v>
      </c>
      <c r="H3147">
        <v>8</v>
      </c>
      <c r="I3147">
        <v>0.30075000000000002</v>
      </c>
      <c r="J3147">
        <v>0.486875</v>
      </c>
      <c r="K3147">
        <v>0.18612500000000001</v>
      </c>
      <c r="L3147">
        <v>5</v>
      </c>
      <c r="M3147">
        <v>0</v>
      </c>
      <c r="N3147">
        <v>3</v>
      </c>
      <c r="O3147" t="s">
        <v>127</v>
      </c>
      <c r="P3147" t="s">
        <v>127</v>
      </c>
      <c r="Q3147" t="s">
        <v>127</v>
      </c>
    </row>
    <row r="3148" spans="1:17" x14ac:dyDescent="0.25">
      <c r="A3148" t="str">
        <f>IF(C3148&amp;G3148&amp;D3148&lt;&gt;'Funnel setup'!$K$3&amp;'Funnel setup'!$K$4&amp;'Funnel setup'!$K$6,".",IF(A3147=".",1,A3147+1))</f>
        <v>.</v>
      </c>
      <c r="B3148" s="244" t="str">
        <f t="shared" si="49"/>
        <v>Knee Replacement RevisionProviderLINCOLN HOSPITAL (NT450)EQ-5D Index</v>
      </c>
      <c r="C3148" t="s">
        <v>973</v>
      </c>
      <c r="D3148" t="s">
        <v>965</v>
      </c>
      <c r="E3148" t="s">
        <v>304</v>
      </c>
      <c r="F3148" t="s">
        <v>305</v>
      </c>
      <c r="G3148" t="s">
        <v>963</v>
      </c>
      <c r="H3148" t="s">
        <v>127</v>
      </c>
      <c r="I3148" t="s">
        <v>127</v>
      </c>
      <c r="J3148" t="s">
        <v>127</v>
      </c>
      <c r="K3148" t="s">
        <v>127</v>
      </c>
      <c r="L3148" t="s">
        <v>127</v>
      </c>
      <c r="M3148" t="s">
        <v>127</v>
      </c>
      <c r="N3148" t="s">
        <v>127</v>
      </c>
      <c r="O3148" t="s">
        <v>127</v>
      </c>
      <c r="P3148" t="s">
        <v>127</v>
      </c>
      <c r="Q3148" t="s">
        <v>127</v>
      </c>
    </row>
    <row r="3149" spans="1:17" x14ac:dyDescent="0.25">
      <c r="A3149" t="str">
        <f>IF(C3149&amp;G3149&amp;D3149&lt;&gt;'Funnel setup'!$K$3&amp;'Funnel setup'!$K$4&amp;'Funnel setup'!$K$6,".",IF(A3148=".",1,A3148+1))</f>
        <v>.</v>
      </c>
      <c r="B3149" s="244" t="str">
        <f t="shared" si="49"/>
        <v>Knee Replacement RevisionProviderLIVERPOOL UNIVERSITY HOSPITALS NHS FOUNDATION TRUST (REM)EQ-5D Index</v>
      </c>
      <c r="C3149" t="s">
        <v>973</v>
      </c>
      <c r="D3149" t="s">
        <v>965</v>
      </c>
      <c r="E3149" t="s">
        <v>306</v>
      </c>
      <c r="F3149" t="s">
        <v>307</v>
      </c>
      <c r="G3149" t="s">
        <v>963</v>
      </c>
      <c r="H3149">
        <v>1</v>
      </c>
      <c r="I3149">
        <v>-0.23899999999999999</v>
      </c>
      <c r="J3149">
        <v>0.62</v>
      </c>
      <c r="K3149">
        <v>0.85899999999999999</v>
      </c>
      <c r="L3149">
        <v>1</v>
      </c>
      <c r="M3149">
        <v>0</v>
      </c>
      <c r="N3149">
        <v>0</v>
      </c>
      <c r="O3149" t="s">
        <v>127</v>
      </c>
      <c r="P3149" t="s">
        <v>127</v>
      </c>
      <c r="Q3149" t="s">
        <v>127</v>
      </c>
    </row>
    <row r="3150" spans="1:17" x14ac:dyDescent="0.25">
      <c r="A3150" t="str">
        <f>IF(C3150&amp;G3150&amp;D3150&lt;&gt;'Funnel setup'!$K$3&amp;'Funnel setup'!$K$4&amp;'Funnel setup'!$K$6,".",IF(A3149=".",1,A3149+1))</f>
        <v>.</v>
      </c>
      <c r="B3150" s="244" t="str">
        <f t="shared" si="49"/>
        <v>Knee Replacement RevisionProviderMAIDSTONE AND TUNBRIDGE WELLS NHS TRUST (RWF)EQ-5D Index</v>
      </c>
      <c r="C3150" t="s">
        <v>973</v>
      </c>
      <c r="D3150" t="s">
        <v>965</v>
      </c>
      <c r="E3150" t="s">
        <v>312</v>
      </c>
      <c r="F3150" t="s">
        <v>313</v>
      </c>
      <c r="G3150" t="s">
        <v>963</v>
      </c>
      <c r="H3150">
        <v>2</v>
      </c>
      <c r="I3150">
        <v>0.65549999999999997</v>
      </c>
      <c r="J3150">
        <v>0.69099999999999995</v>
      </c>
      <c r="K3150">
        <v>3.5499999999999997E-2</v>
      </c>
      <c r="L3150">
        <v>1</v>
      </c>
      <c r="M3150">
        <v>1</v>
      </c>
      <c r="N3150">
        <v>0</v>
      </c>
      <c r="O3150" t="s">
        <v>127</v>
      </c>
      <c r="P3150" t="s">
        <v>127</v>
      </c>
      <c r="Q3150" t="s">
        <v>127</v>
      </c>
    </row>
    <row r="3151" spans="1:17" x14ac:dyDescent="0.25">
      <c r="A3151" t="str">
        <f>IF(C3151&amp;G3151&amp;D3151&lt;&gt;'Funnel setup'!$K$3&amp;'Funnel setup'!$K$4&amp;'Funnel setup'!$K$6,".",IF(A3150=".",1,A3150+1))</f>
        <v>.</v>
      </c>
      <c r="B3151" s="244" t="str">
        <f t="shared" si="49"/>
        <v>Knee Replacement RevisionProviderMANCHESTER UNIVERSITY NHS FOUNDATION TRUST (R0A)EQ-5D Index</v>
      </c>
      <c r="C3151" t="s">
        <v>973</v>
      </c>
      <c r="D3151" t="s">
        <v>965</v>
      </c>
      <c r="E3151" t="s">
        <v>316</v>
      </c>
      <c r="F3151" t="s">
        <v>317</v>
      </c>
      <c r="G3151" t="s">
        <v>963</v>
      </c>
      <c r="H3151">
        <v>5</v>
      </c>
      <c r="I3151">
        <v>0.28100000000000003</v>
      </c>
      <c r="J3151">
        <v>0.66200000000000003</v>
      </c>
      <c r="K3151">
        <v>0.38100000000000001</v>
      </c>
      <c r="L3151">
        <v>4</v>
      </c>
      <c r="M3151">
        <v>1</v>
      </c>
      <c r="N3151">
        <v>0</v>
      </c>
      <c r="O3151" t="s">
        <v>127</v>
      </c>
      <c r="P3151" t="s">
        <v>127</v>
      </c>
      <c r="Q3151" t="s">
        <v>127</v>
      </c>
    </row>
    <row r="3152" spans="1:17" x14ac:dyDescent="0.25">
      <c r="A3152" t="str">
        <f>IF(C3152&amp;G3152&amp;D3152&lt;&gt;'Funnel setup'!$K$3&amp;'Funnel setup'!$K$4&amp;'Funnel setup'!$K$6,".",IF(A3151=".",1,A3151+1))</f>
        <v>.</v>
      </c>
      <c r="B3152" s="244" t="str">
        <f t="shared" si="49"/>
        <v>Knee Replacement RevisionProviderMEDWAY NHS FOUNDATION TRUST (RPA)EQ-5D Index</v>
      </c>
      <c r="C3152" t="s">
        <v>973</v>
      </c>
      <c r="D3152" t="s">
        <v>965</v>
      </c>
      <c r="E3152" t="s">
        <v>320</v>
      </c>
      <c r="F3152" t="s">
        <v>321</v>
      </c>
      <c r="G3152" t="s">
        <v>963</v>
      </c>
      <c r="H3152">
        <v>1</v>
      </c>
      <c r="I3152">
        <v>-1.6E-2</v>
      </c>
      <c r="J3152">
        <v>0.76</v>
      </c>
      <c r="K3152">
        <v>0.77600000000000002</v>
      </c>
      <c r="L3152">
        <v>1</v>
      </c>
      <c r="M3152">
        <v>0</v>
      </c>
      <c r="N3152">
        <v>0</v>
      </c>
      <c r="O3152" t="s">
        <v>127</v>
      </c>
      <c r="P3152" t="s">
        <v>127</v>
      </c>
      <c r="Q3152" t="s">
        <v>127</v>
      </c>
    </row>
    <row r="3153" spans="1:17" x14ac:dyDescent="0.25">
      <c r="A3153" t="str">
        <f>IF(C3153&amp;G3153&amp;D3153&lt;&gt;'Funnel setup'!$K$3&amp;'Funnel setup'!$K$4&amp;'Funnel setup'!$K$6,".",IF(A3152=".",1,A3152+1))</f>
        <v>.</v>
      </c>
      <c r="B3153" s="244" t="str">
        <f t="shared" si="49"/>
        <v>Knee Replacement RevisionProviderMID AND SOUTH ESSEX NHS FOUNDATION TRUST (RAJ)EQ-5D Index</v>
      </c>
      <c r="C3153" t="s">
        <v>973</v>
      </c>
      <c r="D3153" t="s">
        <v>965</v>
      </c>
      <c r="E3153" t="s">
        <v>324</v>
      </c>
      <c r="F3153" t="s">
        <v>325</v>
      </c>
      <c r="G3153" t="s">
        <v>963</v>
      </c>
      <c r="H3153">
        <v>4</v>
      </c>
      <c r="I3153">
        <v>0.10075000000000001</v>
      </c>
      <c r="J3153">
        <v>0.41475000000000001</v>
      </c>
      <c r="K3153">
        <v>0.314</v>
      </c>
      <c r="L3153">
        <v>3</v>
      </c>
      <c r="M3153">
        <v>1</v>
      </c>
      <c r="N3153">
        <v>0</v>
      </c>
      <c r="O3153" t="s">
        <v>127</v>
      </c>
      <c r="P3153" t="s">
        <v>127</v>
      </c>
      <c r="Q3153" t="s">
        <v>127</v>
      </c>
    </row>
    <row r="3154" spans="1:17" x14ac:dyDescent="0.25">
      <c r="A3154" t="str">
        <f>IF(C3154&amp;G3154&amp;D3154&lt;&gt;'Funnel setup'!$K$3&amp;'Funnel setup'!$K$4&amp;'Funnel setup'!$K$6,".",IF(A3153=".",1,A3153+1))</f>
        <v>.</v>
      </c>
      <c r="B3154" s="244" t="str">
        <f t="shared" si="49"/>
        <v>Knee Replacement RevisionProviderMID CHESHIRE HOSPITALS NHS FOUNDATION TRUST (RBT)EQ-5D Index</v>
      </c>
      <c r="C3154" t="s">
        <v>973</v>
      </c>
      <c r="D3154" t="s">
        <v>965</v>
      </c>
      <c r="E3154" t="s">
        <v>326</v>
      </c>
      <c r="F3154" t="s">
        <v>327</v>
      </c>
      <c r="G3154" t="s">
        <v>963</v>
      </c>
      <c r="H3154">
        <v>2</v>
      </c>
      <c r="I3154">
        <v>0.1575</v>
      </c>
      <c r="J3154">
        <v>0.65700000000000003</v>
      </c>
      <c r="K3154">
        <v>0.4995</v>
      </c>
      <c r="L3154">
        <v>2</v>
      </c>
      <c r="M3154">
        <v>0</v>
      </c>
      <c r="N3154">
        <v>0</v>
      </c>
      <c r="O3154" t="s">
        <v>127</v>
      </c>
      <c r="P3154" t="s">
        <v>127</v>
      </c>
      <c r="Q3154" t="s">
        <v>127</v>
      </c>
    </row>
    <row r="3155" spans="1:17" x14ac:dyDescent="0.25">
      <c r="A3155" t="str">
        <f>IF(C3155&amp;G3155&amp;D3155&lt;&gt;'Funnel setup'!$K$3&amp;'Funnel setup'!$K$4&amp;'Funnel setup'!$K$6,".",IF(A3154=".",1,A3154+1))</f>
        <v>.</v>
      </c>
      <c r="B3155" s="244" t="str">
        <f t="shared" si="49"/>
        <v>Knee Replacement RevisionProviderMID YORKSHIRE TEACHING NHS TRUST (RXF)EQ-5D Index</v>
      </c>
      <c r="C3155" t="s">
        <v>973</v>
      </c>
      <c r="D3155" t="s">
        <v>965</v>
      </c>
      <c r="E3155" t="s">
        <v>330</v>
      </c>
      <c r="F3155" t="s">
        <v>331</v>
      </c>
      <c r="G3155" t="s">
        <v>963</v>
      </c>
      <c r="H3155">
        <v>25</v>
      </c>
      <c r="I3155">
        <v>0.31940000000000002</v>
      </c>
      <c r="J3155">
        <v>0.70852000000000004</v>
      </c>
      <c r="K3155">
        <v>0.38912000000000002</v>
      </c>
      <c r="L3155">
        <v>21</v>
      </c>
      <c r="M3155">
        <v>2</v>
      </c>
      <c r="N3155">
        <v>2</v>
      </c>
      <c r="O3155" t="s">
        <v>127</v>
      </c>
      <c r="P3155" t="s">
        <v>127</v>
      </c>
      <c r="Q3155" t="s">
        <v>127</v>
      </c>
    </row>
    <row r="3156" spans="1:17" x14ac:dyDescent="0.25">
      <c r="A3156" t="str">
        <f>IF(C3156&amp;G3156&amp;D3156&lt;&gt;'Funnel setup'!$K$3&amp;'Funnel setup'!$K$4&amp;'Funnel setup'!$K$6,".",IF(A3155=".",1,A3155+1))</f>
        <v>.</v>
      </c>
      <c r="B3156" s="244" t="str">
        <f t="shared" si="49"/>
        <v>Knee Replacement RevisionProviderMILTON KEYNES UNIVERSITY HOSPITAL NHS FOUNDATION TRUST (RD8)EQ-5D Index</v>
      </c>
      <c r="C3156" t="s">
        <v>973</v>
      </c>
      <c r="D3156" t="s">
        <v>965</v>
      </c>
      <c r="E3156" t="s">
        <v>332</v>
      </c>
      <c r="F3156" t="s">
        <v>333</v>
      </c>
      <c r="G3156" t="s">
        <v>963</v>
      </c>
      <c r="H3156">
        <v>2</v>
      </c>
      <c r="I3156">
        <v>9.4500000000000001E-2</v>
      </c>
      <c r="J3156">
        <v>0.69</v>
      </c>
      <c r="K3156">
        <v>0.59550000000000003</v>
      </c>
      <c r="L3156">
        <v>2</v>
      </c>
      <c r="M3156">
        <v>0</v>
      </c>
      <c r="N3156">
        <v>0</v>
      </c>
      <c r="O3156" t="s">
        <v>127</v>
      </c>
      <c r="P3156" t="s">
        <v>127</v>
      </c>
      <c r="Q3156" t="s">
        <v>127</v>
      </c>
    </row>
    <row r="3157" spans="1:17" x14ac:dyDescent="0.25">
      <c r="A3157" t="str">
        <f>IF(C3157&amp;G3157&amp;D3157&lt;&gt;'Funnel setup'!$K$3&amp;'Funnel setup'!$K$4&amp;'Funnel setup'!$K$6,".",IF(A3156=".",1,A3156+1))</f>
        <v>.</v>
      </c>
      <c r="B3157" s="244" t="str">
        <f t="shared" si="49"/>
        <v>Knee Replacement RevisionProviderMOUNT STUART HOSPITAL (NVC08)EQ-5D Index</v>
      </c>
      <c r="C3157" t="s">
        <v>973</v>
      </c>
      <c r="D3157" t="s">
        <v>965</v>
      </c>
      <c r="E3157" t="s">
        <v>336</v>
      </c>
      <c r="F3157" t="s">
        <v>337</v>
      </c>
      <c r="G3157" t="s">
        <v>963</v>
      </c>
      <c r="H3157" t="s">
        <v>127</v>
      </c>
      <c r="I3157" t="s">
        <v>127</v>
      </c>
      <c r="J3157" t="s">
        <v>127</v>
      </c>
      <c r="K3157" t="s">
        <v>127</v>
      </c>
      <c r="L3157" t="s">
        <v>127</v>
      </c>
      <c r="M3157" t="s">
        <v>127</v>
      </c>
      <c r="N3157" t="s">
        <v>127</v>
      </c>
      <c r="O3157" t="s">
        <v>127</v>
      </c>
      <c r="P3157" t="s">
        <v>127</v>
      </c>
      <c r="Q3157" t="s">
        <v>127</v>
      </c>
    </row>
    <row r="3158" spans="1:17" x14ac:dyDescent="0.25">
      <c r="A3158" t="str">
        <f>IF(C3158&amp;G3158&amp;D3158&lt;&gt;'Funnel setup'!$K$3&amp;'Funnel setup'!$K$4&amp;'Funnel setup'!$K$6,".",IF(A3157=".",1,A3157+1))</f>
        <v>.</v>
      </c>
      <c r="B3158" s="244" t="str">
        <f t="shared" si="49"/>
        <v>Knee Replacement RevisionProviderNORFOLK AND NORWICH UNIVERSITY HOSPITALS NHS FOUNDATION TRUST (RM1)EQ-5D Index</v>
      </c>
      <c r="C3158" t="s">
        <v>973</v>
      </c>
      <c r="D3158" t="s">
        <v>965</v>
      </c>
      <c r="E3158" t="s">
        <v>340</v>
      </c>
      <c r="F3158" t="s">
        <v>341</v>
      </c>
      <c r="G3158" t="s">
        <v>963</v>
      </c>
      <c r="H3158">
        <v>13</v>
      </c>
      <c r="I3158">
        <v>0.248308</v>
      </c>
      <c r="J3158">
        <v>0.63500000000000001</v>
      </c>
      <c r="K3158">
        <v>0.38669199999999998</v>
      </c>
      <c r="L3158">
        <v>11</v>
      </c>
      <c r="M3158">
        <v>1</v>
      </c>
      <c r="N3158">
        <v>1</v>
      </c>
      <c r="O3158" t="s">
        <v>127</v>
      </c>
      <c r="P3158" t="s">
        <v>127</v>
      </c>
      <c r="Q3158" t="s">
        <v>127</v>
      </c>
    </row>
    <row r="3159" spans="1:17" x14ac:dyDescent="0.25">
      <c r="A3159" t="str">
        <f>IF(C3159&amp;G3159&amp;D3159&lt;&gt;'Funnel setup'!$K$3&amp;'Funnel setup'!$K$4&amp;'Funnel setup'!$K$6,".",IF(A3158=".",1,A3158+1))</f>
        <v>.</v>
      </c>
      <c r="B3159" s="244" t="str">
        <f t="shared" si="49"/>
        <v>Knee Replacement RevisionProviderNORTH BRISTOL NHS TRUST (RVJ)EQ-5D Index</v>
      </c>
      <c r="C3159" t="s">
        <v>973</v>
      </c>
      <c r="D3159" t="s">
        <v>965</v>
      </c>
      <c r="E3159" t="s">
        <v>342</v>
      </c>
      <c r="F3159" t="s">
        <v>343</v>
      </c>
      <c r="G3159" t="s">
        <v>963</v>
      </c>
      <c r="H3159">
        <v>2</v>
      </c>
      <c r="I3159">
        <v>0.67349999999999999</v>
      </c>
      <c r="J3159">
        <v>0.88949999999999996</v>
      </c>
      <c r="K3159">
        <v>0.216</v>
      </c>
      <c r="L3159">
        <v>2</v>
      </c>
      <c r="M3159">
        <v>0</v>
      </c>
      <c r="N3159">
        <v>0</v>
      </c>
      <c r="O3159" t="s">
        <v>127</v>
      </c>
      <c r="P3159" t="s">
        <v>127</v>
      </c>
      <c r="Q3159" t="s">
        <v>127</v>
      </c>
    </row>
    <row r="3160" spans="1:17" x14ac:dyDescent="0.25">
      <c r="A3160" t="str">
        <f>IF(C3160&amp;G3160&amp;D3160&lt;&gt;'Funnel setup'!$K$3&amp;'Funnel setup'!$K$4&amp;'Funnel setup'!$K$6,".",IF(A3159=".",1,A3159+1))</f>
        <v>.</v>
      </c>
      <c r="B3160" s="244" t="str">
        <f t="shared" si="49"/>
        <v>Knee Replacement RevisionProviderNORTH CUMBRIA INTEGRATED CARE NHS FOUNDATION TRUST (RNN)EQ-5D Index</v>
      </c>
      <c r="C3160" t="s">
        <v>973</v>
      </c>
      <c r="D3160" t="s">
        <v>965</v>
      </c>
      <c r="E3160" t="s">
        <v>344</v>
      </c>
      <c r="F3160" t="s">
        <v>345</v>
      </c>
      <c r="G3160" t="s">
        <v>963</v>
      </c>
      <c r="H3160">
        <v>3</v>
      </c>
      <c r="I3160">
        <v>0.20866699999999999</v>
      </c>
      <c r="J3160">
        <v>0.651667</v>
      </c>
      <c r="K3160">
        <v>0.443</v>
      </c>
      <c r="L3160">
        <v>3</v>
      </c>
      <c r="M3160">
        <v>0</v>
      </c>
      <c r="N3160">
        <v>0</v>
      </c>
      <c r="O3160" t="s">
        <v>127</v>
      </c>
      <c r="P3160" t="s">
        <v>127</v>
      </c>
      <c r="Q3160" t="s">
        <v>127</v>
      </c>
    </row>
    <row r="3161" spans="1:17" x14ac:dyDescent="0.25">
      <c r="A3161" t="str">
        <f>IF(C3161&amp;G3161&amp;D3161&lt;&gt;'Funnel setup'!$K$3&amp;'Funnel setup'!$K$4&amp;'Funnel setup'!$K$6,".",IF(A3160=".",1,A3160+1))</f>
        <v>.</v>
      </c>
      <c r="B3161" s="244" t="str">
        <f t="shared" si="49"/>
        <v>Knee Replacement RevisionProviderNORTH DOWNS HOSPITAL (NVC11)EQ-5D Index</v>
      </c>
      <c r="C3161" t="s">
        <v>973</v>
      </c>
      <c r="D3161" t="s">
        <v>965</v>
      </c>
      <c r="E3161" t="s">
        <v>348</v>
      </c>
      <c r="F3161" t="s">
        <v>349</v>
      </c>
      <c r="G3161" t="s">
        <v>963</v>
      </c>
      <c r="H3161" t="s">
        <v>127</v>
      </c>
      <c r="I3161" t="s">
        <v>127</v>
      </c>
      <c r="J3161" t="s">
        <v>127</v>
      </c>
      <c r="K3161" t="s">
        <v>127</v>
      </c>
      <c r="L3161" t="s">
        <v>127</v>
      </c>
      <c r="M3161" t="s">
        <v>127</v>
      </c>
      <c r="N3161" t="s">
        <v>127</v>
      </c>
      <c r="O3161" t="s">
        <v>127</v>
      </c>
      <c r="P3161" t="s">
        <v>127</v>
      </c>
      <c r="Q3161" t="s">
        <v>127</v>
      </c>
    </row>
    <row r="3162" spans="1:17" x14ac:dyDescent="0.25">
      <c r="A3162" t="str">
        <f>IF(C3162&amp;G3162&amp;D3162&lt;&gt;'Funnel setup'!$K$3&amp;'Funnel setup'!$K$4&amp;'Funnel setup'!$K$6,".",IF(A3161=".",1,A3161+1))</f>
        <v>.</v>
      </c>
      <c r="B3162" s="244" t="str">
        <f t="shared" si="49"/>
        <v>Knee Replacement RevisionProviderNORTH TEES AND HARTLEPOOL NHS FOUNDATION TRUST (RVW)EQ-5D Index</v>
      </c>
      <c r="C3162" t="s">
        <v>973</v>
      </c>
      <c r="D3162" t="s">
        <v>965</v>
      </c>
      <c r="E3162" t="s">
        <v>352</v>
      </c>
      <c r="F3162" t="s">
        <v>353</v>
      </c>
      <c r="G3162" t="s">
        <v>963</v>
      </c>
      <c r="H3162">
        <v>11</v>
      </c>
      <c r="I3162">
        <v>9.0999999999999998E-2</v>
      </c>
      <c r="J3162">
        <v>0.44227300000000003</v>
      </c>
      <c r="K3162">
        <v>0.351273</v>
      </c>
      <c r="L3162">
        <v>8</v>
      </c>
      <c r="M3162">
        <v>0</v>
      </c>
      <c r="N3162">
        <v>3</v>
      </c>
      <c r="O3162" t="s">
        <v>127</v>
      </c>
      <c r="P3162" t="s">
        <v>127</v>
      </c>
      <c r="Q3162" t="s">
        <v>127</v>
      </c>
    </row>
    <row r="3163" spans="1:17" x14ac:dyDescent="0.25">
      <c r="A3163" t="str">
        <f>IF(C3163&amp;G3163&amp;D3163&lt;&gt;'Funnel setup'!$K$3&amp;'Funnel setup'!$K$4&amp;'Funnel setup'!$K$6,".",IF(A3162=".",1,A3162+1))</f>
        <v>.</v>
      </c>
      <c r="B3163" s="244" t="str">
        <f t="shared" si="49"/>
        <v>Knee Replacement RevisionProviderNORTH WEST ANGLIA NHS FOUNDATION TRUST (RGN)EQ-5D Index</v>
      </c>
      <c r="C3163" t="s">
        <v>973</v>
      </c>
      <c r="D3163" t="s">
        <v>965</v>
      </c>
      <c r="E3163" t="s">
        <v>354</v>
      </c>
      <c r="F3163" t="s">
        <v>355</v>
      </c>
      <c r="G3163" t="s">
        <v>963</v>
      </c>
      <c r="H3163">
        <v>7</v>
      </c>
      <c r="I3163">
        <v>0.31857099999999999</v>
      </c>
      <c r="J3163">
        <v>0.74242900000000001</v>
      </c>
      <c r="K3163">
        <v>0.42385699999999998</v>
      </c>
      <c r="L3163">
        <v>7</v>
      </c>
      <c r="M3163">
        <v>0</v>
      </c>
      <c r="N3163">
        <v>0</v>
      </c>
      <c r="O3163" t="s">
        <v>127</v>
      </c>
      <c r="P3163" t="s">
        <v>127</v>
      </c>
      <c r="Q3163" t="s">
        <v>127</v>
      </c>
    </row>
    <row r="3164" spans="1:17" x14ac:dyDescent="0.25">
      <c r="A3164" t="str">
        <f>IF(C3164&amp;G3164&amp;D3164&lt;&gt;'Funnel setup'!$K$3&amp;'Funnel setup'!$K$4&amp;'Funnel setup'!$K$6,".",IF(A3163=".",1,A3163+1))</f>
        <v>.</v>
      </c>
      <c r="B3164" s="244" t="str">
        <f t="shared" si="49"/>
        <v>Knee Replacement RevisionProviderNORTHAMPTON GENERAL HOSPITAL NHS TRUST (RNS)EQ-5D Index</v>
      </c>
      <c r="C3164" t="s">
        <v>973</v>
      </c>
      <c r="D3164" t="s">
        <v>965</v>
      </c>
      <c r="E3164" t="s">
        <v>356</v>
      </c>
      <c r="F3164" t="s">
        <v>357</v>
      </c>
      <c r="G3164" t="s">
        <v>963</v>
      </c>
      <c r="H3164">
        <v>2</v>
      </c>
      <c r="I3164">
        <v>0.33750000000000002</v>
      </c>
      <c r="J3164">
        <v>0.67349999999999999</v>
      </c>
      <c r="K3164">
        <v>0.33600000000000002</v>
      </c>
      <c r="L3164">
        <v>2</v>
      </c>
      <c r="M3164">
        <v>0</v>
      </c>
      <c r="N3164">
        <v>0</v>
      </c>
      <c r="O3164" t="s">
        <v>127</v>
      </c>
      <c r="P3164" t="s">
        <v>127</v>
      </c>
      <c r="Q3164" t="s">
        <v>127</v>
      </c>
    </row>
    <row r="3165" spans="1:17" x14ac:dyDescent="0.25">
      <c r="A3165" t="str">
        <f>IF(C3165&amp;G3165&amp;D3165&lt;&gt;'Funnel setup'!$K$3&amp;'Funnel setup'!$K$4&amp;'Funnel setup'!$K$6,".",IF(A3164=".",1,A3164+1))</f>
        <v>.</v>
      </c>
      <c r="B3165" s="244" t="str">
        <f t="shared" si="49"/>
        <v>Knee Replacement RevisionProviderNORTHERN DEVON HEALTHCARE NHS TRUST (RBZ)EQ-5D Index</v>
      </c>
      <c r="C3165" t="s">
        <v>973</v>
      </c>
      <c r="D3165" t="s">
        <v>965</v>
      </c>
      <c r="E3165" t="s">
        <v>360</v>
      </c>
      <c r="F3165" t="s">
        <v>361</v>
      </c>
      <c r="G3165" t="s">
        <v>963</v>
      </c>
      <c r="H3165" t="s">
        <v>127</v>
      </c>
      <c r="I3165" t="s">
        <v>127</v>
      </c>
      <c r="J3165" t="s">
        <v>127</v>
      </c>
      <c r="K3165" t="s">
        <v>127</v>
      </c>
      <c r="L3165" t="s">
        <v>127</v>
      </c>
      <c r="M3165" t="s">
        <v>127</v>
      </c>
      <c r="N3165" t="s">
        <v>127</v>
      </c>
      <c r="O3165" t="s">
        <v>127</v>
      </c>
      <c r="P3165" t="s">
        <v>127</v>
      </c>
      <c r="Q3165" t="s">
        <v>127</v>
      </c>
    </row>
    <row r="3166" spans="1:17" x14ac:dyDescent="0.25">
      <c r="A3166" t="str">
        <f>IF(C3166&amp;G3166&amp;D3166&lt;&gt;'Funnel setup'!$K$3&amp;'Funnel setup'!$K$4&amp;'Funnel setup'!$K$6,".",IF(A3165=".",1,A3165+1))</f>
        <v>.</v>
      </c>
      <c r="B3166" s="244" t="str">
        <f t="shared" si="49"/>
        <v>Knee Replacement RevisionProviderNORTHERN LINCOLNSHIRE AND GOOLE NHS FOUNDATION TRUST (RJL)EQ-5D Index</v>
      </c>
      <c r="C3166" t="s">
        <v>973</v>
      </c>
      <c r="D3166" t="s">
        <v>965</v>
      </c>
      <c r="E3166" t="s">
        <v>362</v>
      </c>
      <c r="F3166" t="s">
        <v>363</v>
      </c>
      <c r="G3166" t="s">
        <v>963</v>
      </c>
      <c r="H3166">
        <v>3</v>
      </c>
      <c r="I3166">
        <v>0.20033300000000001</v>
      </c>
      <c r="J3166">
        <v>0.36233300000000002</v>
      </c>
      <c r="K3166">
        <v>0.16200000000000001</v>
      </c>
      <c r="L3166">
        <v>1</v>
      </c>
      <c r="M3166">
        <v>1</v>
      </c>
      <c r="N3166">
        <v>1</v>
      </c>
      <c r="O3166" t="s">
        <v>127</v>
      </c>
      <c r="P3166" t="s">
        <v>127</v>
      </c>
      <c r="Q3166" t="s">
        <v>127</v>
      </c>
    </row>
    <row r="3167" spans="1:17" x14ac:dyDescent="0.25">
      <c r="A3167" t="str">
        <f>IF(C3167&amp;G3167&amp;D3167&lt;&gt;'Funnel setup'!$K$3&amp;'Funnel setup'!$K$4&amp;'Funnel setup'!$K$6,".",IF(A3166=".",1,A3166+1))</f>
        <v>.</v>
      </c>
      <c r="B3167" s="244" t="str">
        <f t="shared" si="49"/>
        <v>Knee Replacement RevisionProviderNORTHUMBRIA HEALTHCARE NHS FOUNDATION TRUST (RTF)EQ-5D Index</v>
      </c>
      <c r="C3167" t="s">
        <v>973</v>
      </c>
      <c r="D3167" t="s">
        <v>965</v>
      </c>
      <c r="E3167" t="s">
        <v>364</v>
      </c>
      <c r="F3167" t="s">
        <v>365</v>
      </c>
      <c r="G3167" t="s">
        <v>963</v>
      </c>
      <c r="H3167">
        <v>9</v>
      </c>
      <c r="I3167">
        <v>0.25911099999999998</v>
      </c>
      <c r="J3167">
        <v>0.42799999999999999</v>
      </c>
      <c r="K3167">
        <v>0.16888900000000001</v>
      </c>
      <c r="L3167">
        <v>8</v>
      </c>
      <c r="M3167">
        <v>0</v>
      </c>
      <c r="N3167">
        <v>1</v>
      </c>
      <c r="O3167" t="s">
        <v>127</v>
      </c>
      <c r="P3167" t="s">
        <v>127</v>
      </c>
      <c r="Q3167" t="s">
        <v>127</v>
      </c>
    </row>
    <row r="3168" spans="1:17" x14ac:dyDescent="0.25">
      <c r="A3168" t="str">
        <f>IF(C3168&amp;G3168&amp;D3168&lt;&gt;'Funnel setup'!$K$3&amp;'Funnel setup'!$K$4&amp;'Funnel setup'!$K$6,".",IF(A3167=".",1,A3167+1))</f>
        <v>.</v>
      </c>
      <c r="B3168" s="244" t="str">
        <f t="shared" si="49"/>
        <v>Knee Replacement RevisionProviderNUFFIELD HEALTH, DERBY HOSPITAL (NT213)EQ-5D Index</v>
      </c>
      <c r="C3168" t="s">
        <v>973</v>
      </c>
      <c r="D3168" t="s">
        <v>965</v>
      </c>
      <c r="E3168" t="s">
        <v>382</v>
      </c>
      <c r="F3168" t="s">
        <v>383</v>
      </c>
      <c r="G3168" t="s">
        <v>963</v>
      </c>
      <c r="H3168">
        <v>3</v>
      </c>
      <c r="I3168">
        <v>0.69099999999999995</v>
      </c>
      <c r="J3168">
        <v>0.84099999999999997</v>
      </c>
      <c r="K3168">
        <v>0.15</v>
      </c>
      <c r="L3168">
        <v>3</v>
      </c>
      <c r="M3168">
        <v>0</v>
      </c>
      <c r="N3168">
        <v>0</v>
      </c>
      <c r="O3168" t="s">
        <v>127</v>
      </c>
      <c r="P3168" t="s">
        <v>127</v>
      </c>
      <c r="Q3168" t="s">
        <v>127</v>
      </c>
    </row>
    <row r="3169" spans="1:17" x14ac:dyDescent="0.25">
      <c r="A3169" t="str">
        <f>IF(C3169&amp;G3169&amp;D3169&lt;&gt;'Funnel setup'!$K$3&amp;'Funnel setup'!$K$4&amp;'Funnel setup'!$K$6,".",IF(A3168=".",1,A3168+1))</f>
        <v>.</v>
      </c>
      <c r="B3169" s="244" t="str">
        <f t="shared" si="49"/>
        <v>Knee Replacement RevisionProviderNUFFIELD HEALTH, LEEDS HOSPITAL (NT225)EQ-5D Index</v>
      </c>
      <c r="C3169" t="s">
        <v>973</v>
      </c>
      <c r="D3169" t="s">
        <v>965</v>
      </c>
      <c r="E3169" t="s">
        <v>392</v>
      </c>
      <c r="F3169" t="s">
        <v>393</v>
      </c>
      <c r="G3169" t="s">
        <v>963</v>
      </c>
      <c r="H3169" t="s">
        <v>127</v>
      </c>
      <c r="I3169" t="s">
        <v>127</v>
      </c>
      <c r="J3169" t="s">
        <v>127</v>
      </c>
      <c r="K3169" t="s">
        <v>127</v>
      </c>
      <c r="L3169" t="s">
        <v>127</v>
      </c>
      <c r="M3169" t="s">
        <v>127</v>
      </c>
      <c r="N3169" t="s">
        <v>127</v>
      </c>
      <c r="O3169" t="s">
        <v>127</v>
      </c>
      <c r="P3169" t="s">
        <v>127</v>
      </c>
      <c r="Q3169" t="s">
        <v>127</v>
      </c>
    </row>
    <row r="3170" spans="1:17" x14ac:dyDescent="0.25">
      <c r="A3170" t="str">
        <f>IF(C3170&amp;G3170&amp;D3170&lt;&gt;'Funnel setup'!$K$3&amp;'Funnel setup'!$K$4&amp;'Funnel setup'!$K$6,".",IF(A3169=".",1,A3169+1))</f>
        <v>.</v>
      </c>
      <c r="B3170" s="244" t="str">
        <f t="shared" si="49"/>
        <v>Knee Replacement RevisionProviderNUFFIELD HEALTH, NORTH STAFFORDSHIRE HOSPITAL (NT230)EQ-5D Index</v>
      </c>
      <c r="C3170" t="s">
        <v>973</v>
      </c>
      <c r="D3170" t="s">
        <v>965</v>
      </c>
      <c r="E3170" t="s">
        <v>398</v>
      </c>
      <c r="F3170" t="s">
        <v>399</v>
      </c>
      <c r="G3170" t="s">
        <v>963</v>
      </c>
      <c r="H3170" t="s">
        <v>127</v>
      </c>
      <c r="I3170" t="s">
        <v>127</v>
      </c>
      <c r="J3170" t="s">
        <v>127</v>
      </c>
      <c r="K3170" t="s">
        <v>127</v>
      </c>
      <c r="L3170" t="s">
        <v>127</v>
      </c>
      <c r="M3170" t="s">
        <v>127</v>
      </c>
      <c r="N3170" t="s">
        <v>127</v>
      </c>
      <c r="O3170" t="s">
        <v>127</v>
      </c>
      <c r="P3170" t="s">
        <v>127</v>
      </c>
      <c r="Q3170" t="s">
        <v>127</v>
      </c>
    </row>
    <row r="3171" spans="1:17" x14ac:dyDescent="0.25">
      <c r="A3171" t="str">
        <f>IF(C3171&amp;G3171&amp;D3171&lt;&gt;'Funnel setup'!$K$3&amp;'Funnel setup'!$K$4&amp;'Funnel setup'!$K$6,".",IF(A3170=".",1,A3170+1))</f>
        <v>.</v>
      </c>
      <c r="B3171" s="244" t="str">
        <f t="shared" si="49"/>
        <v>Knee Replacement RevisionProviderNUFFIELD HEALTH, PLYMOUTH HOSPITAL (NT233)EQ-5D Index</v>
      </c>
      <c r="C3171" t="s">
        <v>973</v>
      </c>
      <c r="D3171" t="s">
        <v>965</v>
      </c>
      <c r="E3171" t="s">
        <v>400</v>
      </c>
      <c r="F3171" t="s">
        <v>401</v>
      </c>
      <c r="G3171" t="s">
        <v>963</v>
      </c>
      <c r="H3171" t="s">
        <v>127</v>
      </c>
      <c r="I3171" t="s">
        <v>127</v>
      </c>
      <c r="J3171" t="s">
        <v>127</v>
      </c>
      <c r="K3171" t="s">
        <v>127</v>
      </c>
      <c r="L3171" t="s">
        <v>127</v>
      </c>
      <c r="M3171" t="s">
        <v>127</v>
      </c>
      <c r="N3171" t="s">
        <v>127</v>
      </c>
      <c r="O3171" t="s">
        <v>127</v>
      </c>
      <c r="P3171" t="s">
        <v>127</v>
      </c>
      <c r="Q3171" t="s">
        <v>127</v>
      </c>
    </row>
    <row r="3172" spans="1:17" x14ac:dyDescent="0.25">
      <c r="A3172" t="str">
        <f>IF(C3172&amp;G3172&amp;D3172&lt;&gt;'Funnel setup'!$K$3&amp;'Funnel setup'!$K$4&amp;'Funnel setup'!$K$6,".",IF(A3171=".",1,A3171+1))</f>
        <v>.</v>
      </c>
      <c r="B3172" s="244" t="str">
        <f t="shared" si="49"/>
        <v>Knee Replacement RevisionProviderNUFFIELD HEALTH, TEES HOSPITAL (NT237)EQ-5D Index</v>
      </c>
      <c r="C3172" t="s">
        <v>973</v>
      </c>
      <c r="D3172" t="s">
        <v>965</v>
      </c>
      <c r="E3172" t="s">
        <v>406</v>
      </c>
      <c r="F3172" t="s">
        <v>407</v>
      </c>
      <c r="G3172" t="s">
        <v>963</v>
      </c>
      <c r="H3172" t="s">
        <v>127</v>
      </c>
      <c r="I3172" t="s">
        <v>127</v>
      </c>
      <c r="J3172" t="s">
        <v>127</v>
      </c>
      <c r="K3172" t="s">
        <v>127</v>
      </c>
      <c r="L3172" t="s">
        <v>127</v>
      </c>
      <c r="M3172" t="s">
        <v>127</v>
      </c>
      <c r="N3172" t="s">
        <v>127</v>
      </c>
      <c r="O3172" t="s">
        <v>127</v>
      </c>
      <c r="P3172" t="s">
        <v>127</v>
      </c>
      <c r="Q3172" t="s">
        <v>127</v>
      </c>
    </row>
    <row r="3173" spans="1:17" x14ac:dyDescent="0.25">
      <c r="A3173" t="str">
        <f>IF(C3173&amp;G3173&amp;D3173&lt;&gt;'Funnel setup'!$K$3&amp;'Funnel setup'!$K$4&amp;'Funnel setup'!$K$6,".",IF(A3172=".",1,A3172+1))</f>
        <v>.</v>
      </c>
      <c r="B3173" s="244" t="str">
        <f t="shared" si="49"/>
        <v>Knee Replacement RevisionProviderNUFFIELD HEALTH, WARWICKSHIRE HOSPITAL (NT224)EQ-5D Index</v>
      </c>
      <c r="C3173" t="s">
        <v>973</v>
      </c>
      <c r="D3173" t="s">
        <v>965</v>
      </c>
      <c r="E3173" t="s">
        <v>412</v>
      </c>
      <c r="F3173" t="s">
        <v>413</v>
      </c>
      <c r="G3173" t="s">
        <v>963</v>
      </c>
      <c r="H3173" t="s">
        <v>127</v>
      </c>
      <c r="I3173" t="s">
        <v>127</v>
      </c>
      <c r="J3173" t="s">
        <v>127</v>
      </c>
      <c r="K3173" t="s">
        <v>127</v>
      </c>
      <c r="L3173" t="s">
        <v>127</v>
      </c>
      <c r="M3173" t="s">
        <v>127</v>
      </c>
      <c r="N3173" t="s">
        <v>127</v>
      </c>
      <c r="O3173" t="s">
        <v>127</v>
      </c>
      <c r="P3173" t="s">
        <v>127</v>
      </c>
      <c r="Q3173" t="s">
        <v>127</v>
      </c>
    </row>
    <row r="3174" spans="1:17" x14ac:dyDescent="0.25">
      <c r="A3174" t="str">
        <f>IF(C3174&amp;G3174&amp;D3174&lt;&gt;'Funnel setup'!$K$3&amp;'Funnel setup'!$K$4&amp;'Funnel setup'!$K$6,".",IF(A3173=".",1,A3173+1))</f>
        <v>.</v>
      </c>
      <c r="B3174" s="244" t="str">
        <f t="shared" si="49"/>
        <v>Knee Replacement RevisionProviderNUFFIELD HEALTH, YORK HOSPITAL (NT245)EQ-5D Index</v>
      </c>
      <c r="C3174" t="s">
        <v>973</v>
      </c>
      <c r="D3174" t="s">
        <v>965</v>
      </c>
      <c r="E3174" t="s">
        <v>420</v>
      </c>
      <c r="F3174" t="s">
        <v>421</v>
      </c>
      <c r="G3174" t="s">
        <v>963</v>
      </c>
      <c r="H3174">
        <v>3</v>
      </c>
      <c r="I3174">
        <v>0.655667</v>
      </c>
      <c r="J3174">
        <v>0.73233300000000001</v>
      </c>
      <c r="K3174">
        <v>7.6666700000000004E-2</v>
      </c>
      <c r="L3174">
        <v>2</v>
      </c>
      <c r="M3174">
        <v>0</v>
      </c>
      <c r="N3174">
        <v>1</v>
      </c>
      <c r="O3174" t="s">
        <v>127</v>
      </c>
      <c r="P3174" t="s">
        <v>127</v>
      </c>
      <c r="Q3174" t="s">
        <v>127</v>
      </c>
    </row>
    <row r="3175" spans="1:17" x14ac:dyDescent="0.25">
      <c r="A3175" t="str">
        <f>IF(C3175&amp;G3175&amp;D3175&lt;&gt;'Funnel setup'!$K$3&amp;'Funnel setup'!$K$4&amp;'Funnel setup'!$K$6,".",IF(A3174=".",1,A3174+1))</f>
        <v>.</v>
      </c>
      <c r="B3175" s="244" t="str">
        <f t="shared" si="49"/>
        <v>Knee Replacement RevisionProviderOXFORD UNIVERSITY HOSPITALS NHS FOUNDATION TRUST (RTH)EQ-5D Index</v>
      </c>
      <c r="C3175" t="s">
        <v>973</v>
      </c>
      <c r="D3175" t="s">
        <v>965</v>
      </c>
      <c r="E3175" t="s">
        <v>438</v>
      </c>
      <c r="F3175" t="s">
        <v>439</v>
      </c>
      <c r="G3175" t="s">
        <v>963</v>
      </c>
      <c r="H3175">
        <v>40</v>
      </c>
      <c r="I3175">
        <v>0.28484999999999999</v>
      </c>
      <c r="J3175">
        <v>0.64195000000000002</v>
      </c>
      <c r="K3175">
        <v>0.35709999999999997</v>
      </c>
      <c r="L3175">
        <v>32</v>
      </c>
      <c r="M3175">
        <v>4</v>
      </c>
      <c r="N3175">
        <v>4</v>
      </c>
      <c r="O3175">
        <v>0.61505900000000002</v>
      </c>
      <c r="P3175">
        <v>0.30310300000000001</v>
      </c>
      <c r="Q3175">
        <v>0.223056</v>
      </c>
    </row>
    <row r="3176" spans="1:17" x14ac:dyDescent="0.25">
      <c r="A3176" t="str">
        <f>IF(C3176&amp;G3176&amp;D3176&lt;&gt;'Funnel setup'!$K$3&amp;'Funnel setup'!$K$4&amp;'Funnel setup'!$K$6,".",IF(A3175=".",1,A3175+1))</f>
        <v>.</v>
      </c>
      <c r="B3176" s="244" t="str">
        <f t="shared" si="49"/>
        <v>Knee Replacement RevisionProviderPARK HILL HOSPITAL (NVC14)EQ-5D Index</v>
      </c>
      <c r="C3176" t="s">
        <v>973</v>
      </c>
      <c r="D3176" t="s">
        <v>965</v>
      </c>
      <c r="E3176" t="s">
        <v>440</v>
      </c>
      <c r="F3176" t="s">
        <v>441</v>
      </c>
      <c r="G3176" t="s">
        <v>963</v>
      </c>
      <c r="H3176" t="s">
        <v>127</v>
      </c>
      <c r="I3176" t="s">
        <v>127</v>
      </c>
      <c r="J3176" t="s">
        <v>127</v>
      </c>
      <c r="K3176" t="s">
        <v>127</v>
      </c>
      <c r="L3176" t="s">
        <v>127</v>
      </c>
      <c r="M3176" t="s">
        <v>127</v>
      </c>
      <c r="N3176" t="s">
        <v>127</v>
      </c>
      <c r="O3176" t="s">
        <v>127</v>
      </c>
      <c r="P3176" t="s">
        <v>127</v>
      </c>
      <c r="Q3176" t="s">
        <v>127</v>
      </c>
    </row>
    <row r="3177" spans="1:17" x14ac:dyDescent="0.25">
      <c r="A3177" t="str">
        <f>IF(C3177&amp;G3177&amp;D3177&lt;&gt;'Funnel setup'!$K$3&amp;'Funnel setup'!$K$4&amp;'Funnel setup'!$K$6,".",IF(A3176=".",1,A3176+1))</f>
        <v>.</v>
      </c>
      <c r="B3177" s="244" t="str">
        <f t="shared" si="49"/>
        <v>Knee Replacement RevisionProviderPORTSMOUTH HOSPITALS UNIVERSITY NATIONAL HEALTH SERVICE TRUST (RHU)EQ-5D Index</v>
      </c>
      <c r="C3177" t="s">
        <v>973</v>
      </c>
      <c r="D3177" t="s">
        <v>965</v>
      </c>
      <c r="E3177" t="s">
        <v>450</v>
      </c>
      <c r="F3177" t="s">
        <v>451</v>
      </c>
      <c r="G3177" t="s">
        <v>963</v>
      </c>
      <c r="H3177">
        <v>1</v>
      </c>
      <c r="I3177">
        <v>0.19500000000000001</v>
      </c>
      <c r="J3177">
        <v>0.69099999999999995</v>
      </c>
      <c r="K3177">
        <v>0.496</v>
      </c>
      <c r="L3177">
        <v>1</v>
      </c>
      <c r="M3177">
        <v>0</v>
      </c>
      <c r="N3177">
        <v>0</v>
      </c>
      <c r="O3177" t="s">
        <v>127</v>
      </c>
      <c r="P3177" t="s">
        <v>127</v>
      </c>
      <c r="Q3177" t="s">
        <v>127</v>
      </c>
    </row>
    <row r="3178" spans="1:17" x14ac:dyDescent="0.25">
      <c r="A3178" t="str">
        <f>IF(C3178&amp;G3178&amp;D3178&lt;&gt;'Funnel setup'!$K$3&amp;'Funnel setup'!$K$4&amp;'Funnel setup'!$K$6,".",IF(A3177=".",1,A3177+1))</f>
        <v>.</v>
      </c>
      <c r="B3178" s="244" t="str">
        <f t="shared" si="49"/>
        <v>Knee Replacement RevisionProviderPRACTICE PLUS GROUP HOSPITAL - BARLBOROUGH (NTP13)EQ-5D Index</v>
      </c>
      <c r="C3178" t="s">
        <v>973</v>
      </c>
      <c r="D3178" t="s">
        <v>965</v>
      </c>
      <c r="E3178" t="s">
        <v>452</v>
      </c>
      <c r="F3178" t="s">
        <v>453</v>
      </c>
      <c r="G3178" t="s">
        <v>963</v>
      </c>
      <c r="H3178" t="s">
        <v>127</v>
      </c>
      <c r="I3178" t="s">
        <v>127</v>
      </c>
      <c r="J3178" t="s">
        <v>127</v>
      </c>
      <c r="K3178" t="s">
        <v>127</v>
      </c>
      <c r="L3178" t="s">
        <v>127</v>
      </c>
      <c r="M3178" t="s">
        <v>127</v>
      </c>
      <c r="N3178" t="s">
        <v>127</v>
      </c>
      <c r="O3178" t="s">
        <v>127</v>
      </c>
      <c r="P3178" t="s">
        <v>127</v>
      </c>
      <c r="Q3178" t="s">
        <v>127</v>
      </c>
    </row>
    <row r="3179" spans="1:17" x14ac:dyDescent="0.25">
      <c r="A3179" t="str">
        <f>IF(C3179&amp;G3179&amp;D3179&lt;&gt;'Funnel setup'!$K$3&amp;'Funnel setup'!$K$4&amp;'Funnel setup'!$K$6,".",IF(A3178=".",1,A3178+1))</f>
        <v>.</v>
      </c>
      <c r="B3179" s="244" t="str">
        <f t="shared" si="49"/>
        <v>Knee Replacement RevisionProviderPRACTICE PLUS GROUP HOSPITAL - ILFORD (NTP15)EQ-5D Index</v>
      </c>
      <c r="C3179" t="s">
        <v>973</v>
      </c>
      <c r="D3179" t="s">
        <v>965</v>
      </c>
      <c r="E3179" t="s">
        <v>456</v>
      </c>
      <c r="F3179" t="s">
        <v>457</v>
      </c>
      <c r="G3179" t="s">
        <v>963</v>
      </c>
      <c r="H3179">
        <v>1</v>
      </c>
      <c r="I3179">
        <v>-7.3999999999999996E-2</v>
      </c>
      <c r="J3179">
        <v>0.58699999999999997</v>
      </c>
      <c r="K3179">
        <v>0.66100000000000003</v>
      </c>
      <c r="L3179">
        <v>1</v>
      </c>
      <c r="M3179">
        <v>0</v>
      </c>
      <c r="N3179">
        <v>0</v>
      </c>
      <c r="O3179" t="s">
        <v>127</v>
      </c>
      <c r="P3179" t="s">
        <v>127</v>
      </c>
      <c r="Q3179" t="s">
        <v>127</v>
      </c>
    </row>
    <row r="3180" spans="1:17" x14ac:dyDescent="0.25">
      <c r="A3180" t="str">
        <f>IF(C3180&amp;G3180&amp;D3180&lt;&gt;'Funnel setup'!$K$3&amp;'Funnel setup'!$K$4&amp;'Funnel setup'!$K$6,".",IF(A3179=".",1,A3179+1))</f>
        <v>.</v>
      </c>
      <c r="B3180" s="244" t="str">
        <f t="shared" si="49"/>
        <v>Knee Replacement RevisionProviderPRACTICE PLUS GROUP HOSPITAL - PLYMOUTH (NTPH5)EQ-5D Index</v>
      </c>
      <c r="C3180" t="s">
        <v>973</v>
      </c>
      <c r="D3180" t="s">
        <v>965</v>
      </c>
      <c r="E3180" t="s">
        <v>458</v>
      </c>
      <c r="F3180" t="s">
        <v>459</v>
      </c>
      <c r="G3180" t="s">
        <v>963</v>
      </c>
      <c r="H3180">
        <v>5</v>
      </c>
      <c r="I3180">
        <v>0.58040000000000003</v>
      </c>
      <c r="J3180">
        <v>0.6966</v>
      </c>
      <c r="K3180">
        <v>0.1162</v>
      </c>
      <c r="L3180">
        <v>2</v>
      </c>
      <c r="M3180">
        <v>1</v>
      </c>
      <c r="N3180">
        <v>2</v>
      </c>
      <c r="O3180" t="s">
        <v>127</v>
      </c>
      <c r="P3180" t="s">
        <v>127</v>
      </c>
      <c r="Q3180" t="s">
        <v>127</v>
      </c>
    </row>
    <row r="3181" spans="1:17" x14ac:dyDescent="0.25">
      <c r="A3181" t="str">
        <f>IF(C3181&amp;G3181&amp;D3181&lt;&gt;'Funnel setup'!$K$3&amp;'Funnel setup'!$K$4&amp;'Funnel setup'!$K$6,".",IF(A3180=".",1,A3180+1))</f>
        <v>.</v>
      </c>
      <c r="B3181" s="244" t="str">
        <f t="shared" si="49"/>
        <v>Knee Replacement RevisionProviderPRACTICE PLUS GROUP HOSPITAL - SOUTHAMPTON (NTP11)EQ-5D Index</v>
      </c>
      <c r="C3181" t="s">
        <v>973</v>
      </c>
      <c r="D3181" t="s">
        <v>965</v>
      </c>
      <c r="E3181" t="s">
        <v>462</v>
      </c>
      <c r="F3181" t="s">
        <v>463</v>
      </c>
      <c r="G3181" t="s">
        <v>963</v>
      </c>
      <c r="H3181">
        <v>1</v>
      </c>
      <c r="I3181">
        <v>0.22800000000000001</v>
      </c>
      <c r="J3181">
        <v>0.79600000000000004</v>
      </c>
      <c r="K3181">
        <v>0.56799999999999995</v>
      </c>
      <c r="L3181">
        <v>1</v>
      </c>
      <c r="M3181">
        <v>0</v>
      </c>
      <c r="N3181">
        <v>0</v>
      </c>
      <c r="O3181" t="s">
        <v>127</v>
      </c>
      <c r="P3181" t="s">
        <v>127</v>
      </c>
      <c r="Q3181" t="s">
        <v>127</v>
      </c>
    </row>
    <row r="3182" spans="1:17" x14ac:dyDescent="0.25">
      <c r="A3182" t="str">
        <f>IF(C3182&amp;G3182&amp;D3182&lt;&gt;'Funnel setup'!$K$3&amp;'Funnel setup'!$K$4&amp;'Funnel setup'!$K$6,".",IF(A3181=".",1,A3181+1))</f>
        <v>.</v>
      </c>
      <c r="B3182" s="244" t="str">
        <f t="shared" si="49"/>
        <v>Knee Replacement RevisionProviderPRIORY HOSPITAL (NT429)EQ-5D Index</v>
      </c>
      <c r="C3182" t="s">
        <v>973</v>
      </c>
      <c r="D3182" t="s">
        <v>965</v>
      </c>
      <c r="E3182" t="s">
        <v>466</v>
      </c>
      <c r="F3182" t="s">
        <v>467</v>
      </c>
      <c r="G3182" t="s">
        <v>963</v>
      </c>
      <c r="H3182" t="s">
        <v>127</v>
      </c>
      <c r="I3182" t="s">
        <v>127</v>
      </c>
      <c r="J3182" t="s">
        <v>127</v>
      </c>
      <c r="K3182" t="s">
        <v>127</v>
      </c>
      <c r="L3182" t="s">
        <v>127</v>
      </c>
      <c r="M3182" t="s">
        <v>127</v>
      </c>
      <c r="N3182" t="s">
        <v>127</v>
      </c>
      <c r="O3182" t="s">
        <v>127</v>
      </c>
      <c r="P3182" t="s">
        <v>127</v>
      </c>
      <c r="Q3182" t="s">
        <v>127</v>
      </c>
    </row>
    <row r="3183" spans="1:17" x14ac:dyDescent="0.25">
      <c r="A3183" t="str">
        <f>IF(C3183&amp;G3183&amp;D3183&lt;&gt;'Funnel setup'!$K$3&amp;'Funnel setup'!$K$4&amp;'Funnel setup'!$K$6,".",IF(A3182=".",1,A3182+1))</f>
        <v>.</v>
      </c>
      <c r="B3183" s="244" t="str">
        <f t="shared" si="49"/>
        <v>Knee Replacement RevisionProviderROWLEY HALL HOSPITAL (NVC17)EQ-5D Index</v>
      </c>
      <c r="C3183" t="s">
        <v>973</v>
      </c>
      <c r="D3183" t="s">
        <v>965</v>
      </c>
      <c r="E3183" t="s">
        <v>476</v>
      </c>
      <c r="F3183" t="s">
        <v>477</v>
      </c>
      <c r="G3183" t="s">
        <v>963</v>
      </c>
      <c r="H3183" t="s">
        <v>127</v>
      </c>
      <c r="I3183" t="s">
        <v>127</v>
      </c>
      <c r="J3183" t="s">
        <v>127</v>
      </c>
      <c r="K3183" t="s">
        <v>127</v>
      </c>
      <c r="L3183" t="s">
        <v>127</v>
      </c>
      <c r="M3183" t="s">
        <v>127</v>
      </c>
      <c r="N3183" t="s">
        <v>127</v>
      </c>
      <c r="O3183" t="s">
        <v>127</v>
      </c>
      <c r="P3183" t="s">
        <v>127</v>
      </c>
      <c r="Q3183" t="s">
        <v>127</v>
      </c>
    </row>
    <row r="3184" spans="1:17" x14ac:dyDescent="0.25">
      <c r="A3184" t="str">
        <f>IF(C3184&amp;G3184&amp;D3184&lt;&gt;'Funnel setup'!$K$3&amp;'Funnel setup'!$K$4&amp;'Funnel setup'!$K$6,".",IF(A3183=".",1,A3183+1))</f>
        <v>.</v>
      </c>
      <c r="B3184" s="244" t="str">
        <f t="shared" si="49"/>
        <v>Knee Replacement RevisionProviderROYAL CORNWALL HOSPITALS NHS TRUST (REF)EQ-5D Index</v>
      </c>
      <c r="C3184" t="s">
        <v>973</v>
      </c>
      <c r="D3184" t="s">
        <v>965</v>
      </c>
      <c r="E3184" t="s">
        <v>480</v>
      </c>
      <c r="F3184" t="s">
        <v>481</v>
      </c>
      <c r="G3184" t="s">
        <v>963</v>
      </c>
      <c r="H3184">
        <v>4</v>
      </c>
      <c r="I3184">
        <v>0.53200000000000003</v>
      </c>
      <c r="J3184">
        <v>0.76849999999999996</v>
      </c>
      <c r="K3184">
        <v>0.23649999999999999</v>
      </c>
      <c r="L3184">
        <v>2</v>
      </c>
      <c r="M3184">
        <v>2</v>
      </c>
      <c r="N3184">
        <v>0</v>
      </c>
      <c r="O3184" t="s">
        <v>127</v>
      </c>
      <c r="P3184" t="s">
        <v>127</v>
      </c>
      <c r="Q3184" t="s">
        <v>127</v>
      </c>
    </row>
    <row r="3185" spans="1:17" x14ac:dyDescent="0.25">
      <c r="A3185" t="str">
        <f>IF(C3185&amp;G3185&amp;D3185&lt;&gt;'Funnel setup'!$K$3&amp;'Funnel setup'!$K$4&amp;'Funnel setup'!$K$6,".",IF(A3184=".",1,A3184+1))</f>
        <v>.</v>
      </c>
      <c r="B3185" s="244" t="str">
        <f t="shared" si="49"/>
        <v>Knee Replacement RevisionProviderROYAL DEVON UNIVERSITY HEALTHCARE NHS FOUNDATION TRUST (RH8)EQ-5D Index</v>
      </c>
      <c r="C3185" t="s">
        <v>973</v>
      </c>
      <c r="D3185" t="s">
        <v>965</v>
      </c>
      <c r="E3185" t="s">
        <v>482</v>
      </c>
      <c r="F3185" t="s">
        <v>483</v>
      </c>
      <c r="G3185" t="s">
        <v>963</v>
      </c>
      <c r="H3185">
        <v>4</v>
      </c>
      <c r="I3185">
        <v>0.2555</v>
      </c>
      <c r="J3185">
        <v>0.49049999999999999</v>
      </c>
      <c r="K3185">
        <v>0.23499999999999999</v>
      </c>
      <c r="L3185">
        <v>4</v>
      </c>
      <c r="M3185">
        <v>0</v>
      </c>
      <c r="N3185">
        <v>0</v>
      </c>
      <c r="O3185" t="s">
        <v>127</v>
      </c>
      <c r="P3185" t="s">
        <v>127</v>
      </c>
      <c r="Q3185" t="s">
        <v>127</v>
      </c>
    </row>
    <row r="3186" spans="1:17" x14ac:dyDescent="0.25">
      <c r="A3186" t="str">
        <f>IF(C3186&amp;G3186&amp;D3186&lt;&gt;'Funnel setup'!$K$3&amp;'Funnel setup'!$K$4&amp;'Funnel setup'!$K$6,".",IF(A3185=".",1,A3185+1))</f>
        <v>.</v>
      </c>
      <c r="B3186" s="244" t="str">
        <f t="shared" si="49"/>
        <v>Knee Replacement RevisionProviderROYAL NATIONAL ORTHOPAEDIC HOSPITAL NHS TRUST (RAN)EQ-5D Index</v>
      </c>
      <c r="C3186" t="s">
        <v>973</v>
      </c>
      <c r="D3186" t="s">
        <v>965</v>
      </c>
      <c r="E3186" t="s">
        <v>486</v>
      </c>
      <c r="F3186" t="s">
        <v>487</v>
      </c>
      <c r="G3186" t="s">
        <v>963</v>
      </c>
      <c r="H3186">
        <v>27</v>
      </c>
      <c r="I3186">
        <v>0.43085200000000001</v>
      </c>
      <c r="J3186">
        <v>0.57485200000000003</v>
      </c>
      <c r="K3186">
        <v>0.14399999999999999</v>
      </c>
      <c r="L3186">
        <v>16</v>
      </c>
      <c r="M3186">
        <v>2</v>
      </c>
      <c r="N3186">
        <v>9</v>
      </c>
      <c r="O3186" t="s">
        <v>127</v>
      </c>
      <c r="P3186" t="s">
        <v>127</v>
      </c>
      <c r="Q3186" t="s">
        <v>127</v>
      </c>
    </row>
    <row r="3187" spans="1:17" x14ac:dyDescent="0.25">
      <c r="A3187" t="str">
        <f>IF(C3187&amp;G3187&amp;D3187&lt;&gt;'Funnel setup'!$K$3&amp;'Funnel setup'!$K$4&amp;'Funnel setup'!$K$6,".",IF(A3186=".",1,A3186+1))</f>
        <v>.</v>
      </c>
      <c r="B3187" s="244" t="str">
        <f t="shared" si="49"/>
        <v>Knee Replacement RevisionProviderROYAL UNITED HOSPITALS BATH NHS FOUNDATION TRUST (RD1)EQ-5D Index</v>
      </c>
      <c r="C3187" t="s">
        <v>973</v>
      </c>
      <c r="D3187" t="s">
        <v>965</v>
      </c>
      <c r="E3187" t="s">
        <v>490</v>
      </c>
      <c r="F3187" t="s">
        <v>491</v>
      </c>
      <c r="G3187" t="s">
        <v>963</v>
      </c>
      <c r="H3187">
        <v>1</v>
      </c>
      <c r="I3187">
        <v>-0.23899999999999999</v>
      </c>
      <c r="J3187">
        <v>0.186</v>
      </c>
      <c r="K3187">
        <v>0.42499999999999999</v>
      </c>
      <c r="L3187">
        <v>1</v>
      </c>
      <c r="M3187">
        <v>0</v>
      </c>
      <c r="N3187">
        <v>0</v>
      </c>
      <c r="O3187" t="s">
        <v>127</v>
      </c>
      <c r="P3187" t="s">
        <v>127</v>
      </c>
      <c r="Q3187" t="s">
        <v>127</v>
      </c>
    </row>
    <row r="3188" spans="1:17" x14ac:dyDescent="0.25">
      <c r="A3188" t="str">
        <f>IF(C3188&amp;G3188&amp;D3188&lt;&gt;'Funnel setup'!$K$3&amp;'Funnel setup'!$K$4&amp;'Funnel setup'!$K$6,".",IF(A3187=".",1,A3187+1))</f>
        <v>.</v>
      </c>
      <c r="B3188" s="244" t="str">
        <f t="shared" si="49"/>
        <v>Knee Replacement RevisionProviderSANDWELL AND WEST BIRMINGHAM HOSPITALS NHS TRUST (RXK)EQ-5D Index</v>
      </c>
      <c r="C3188" t="s">
        <v>973</v>
      </c>
      <c r="D3188" t="s">
        <v>965</v>
      </c>
      <c r="E3188" t="s">
        <v>496</v>
      </c>
      <c r="F3188" t="s">
        <v>497</v>
      </c>
      <c r="G3188" t="s">
        <v>963</v>
      </c>
      <c r="H3188">
        <v>4</v>
      </c>
      <c r="I3188">
        <v>0.36349999999999999</v>
      </c>
      <c r="J3188">
        <v>0.60375000000000001</v>
      </c>
      <c r="K3188">
        <v>0.24024999999999999</v>
      </c>
      <c r="L3188">
        <v>2</v>
      </c>
      <c r="M3188">
        <v>0</v>
      </c>
      <c r="N3188">
        <v>2</v>
      </c>
      <c r="O3188" t="s">
        <v>127</v>
      </c>
      <c r="P3188" t="s">
        <v>127</v>
      </c>
      <c r="Q3188" t="s">
        <v>127</v>
      </c>
    </row>
    <row r="3189" spans="1:17" x14ac:dyDescent="0.25">
      <c r="A3189" t="str">
        <f>IF(C3189&amp;G3189&amp;D3189&lt;&gt;'Funnel setup'!$K$3&amp;'Funnel setup'!$K$4&amp;'Funnel setup'!$K$6,".",IF(A3188=".",1,A3188+1))</f>
        <v>.</v>
      </c>
      <c r="B3189" s="244" t="str">
        <f t="shared" si="49"/>
        <v>Knee Replacement RevisionProviderSHEFFIELD TEACHING HOSPITALS NHS FOUNDATION TRUST (RHQ)EQ-5D Index</v>
      </c>
      <c r="C3189" t="s">
        <v>973</v>
      </c>
      <c r="D3189" t="s">
        <v>965</v>
      </c>
      <c r="E3189" t="s">
        <v>506</v>
      </c>
      <c r="F3189" t="s">
        <v>507</v>
      </c>
      <c r="G3189" t="s">
        <v>963</v>
      </c>
      <c r="H3189">
        <v>1</v>
      </c>
      <c r="I3189">
        <v>0.69099999999999995</v>
      </c>
      <c r="J3189">
        <v>0.69099999999999995</v>
      </c>
      <c r="K3189">
        <v>0</v>
      </c>
      <c r="L3189">
        <v>0</v>
      </c>
      <c r="M3189">
        <v>1</v>
      </c>
      <c r="N3189">
        <v>0</v>
      </c>
      <c r="O3189" t="s">
        <v>127</v>
      </c>
      <c r="P3189" t="s">
        <v>127</v>
      </c>
      <c r="Q3189" t="s">
        <v>127</v>
      </c>
    </row>
    <row r="3190" spans="1:17" x14ac:dyDescent="0.25">
      <c r="A3190" t="str">
        <f>IF(C3190&amp;G3190&amp;D3190&lt;&gt;'Funnel setup'!$K$3&amp;'Funnel setup'!$K$4&amp;'Funnel setup'!$K$6,".",IF(A3189=".",1,A3189+1))</f>
        <v>.</v>
      </c>
      <c r="B3190" s="244" t="str">
        <f t="shared" si="49"/>
        <v>Knee Replacement RevisionProviderSHERWOOD FOREST HOSPITALS NHS FOUNDATION TRUST (RK5)EQ-5D Index</v>
      </c>
      <c r="C3190" t="s">
        <v>973</v>
      </c>
      <c r="D3190" t="s">
        <v>965</v>
      </c>
      <c r="E3190" t="s">
        <v>508</v>
      </c>
      <c r="F3190" t="s">
        <v>509</v>
      </c>
      <c r="G3190" t="s">
        <v>963</v>
      </c>
      <c r="H3190">
        <v>2</v>
      </c>
      <c r="I3190">
        <v>9.2999999999999999E-2</v>
      </c>
      <c r="J3190">
        <v>0.75800000000000001</v>
      </c>
      <c r="K3190">
        <v>0.66500000000000004</v>
      </c>
      <c r="L3190">
        <v>2</v>
      </c>
      <c r="M3190">
        <v>0</v>
      </c>
      <c r="N3190">
        <v>0</v>
      </c>
      <c r="O3190" t="s">
        <v>127</v>
      </c>
      <c r="P3190" t="s">
        <v>127</v>
      </c>
      <c r="Q3190" t="s">
        <v>127</v>
      </c>
    </row>
    <row r="3191" spans="1:17" x14ac:dyDescent="0.25">
      <c r="A3191" t="str">
        <f>IF(C3191&amp;G3191&amp;D3191&lt;&gt;'Funnel setup'!$K$3&amp;'Funnel setup'!$K$4&amp;'Funnel setup'!$K$6,".",IF(A3190=".",1,A3190+1))</f>
        <v>.</v>
      </c>
      <c r="B3191" s="244" t="str">
        <f t="shared" si="49"/>
        <v>Knee Replacement RevisionProviderSOUTH TEES HOSPITALS NHS FOUNDATION TRUST (RTR)EQ-5D Index</v>
      </c>
      <c r="C3191" t="s">
        <v>973</v>
      </c>
      <c r="D3191" t="s">
        <v>965</v>
      </c>
      <c r="E3191" t="s">
        <v>516</v>
      </c>
      <c r="F3191" t="s">
        <v>517</v>
      </c>
      <c r="G3191" t="s">
        <v>963</v>
      </c>
      <c r="H3191">
        <v>8</v>
      </c>
      <c r="I3191">
        <v>0.32987499999999997</v>
      </c>
      <c r="J3191">
        <v>0.75512500000000005</v>
      </c>
      <c r="K3191">
        <v>0.42525000000000002</v>
      </c>
      <c r="L3191">
        <v>8</v>
      </c>
      <c r="M3191">
        <v>0</v>
      </c>
      <c r="N3191">
        <v>0</v>
      </c>
      <c r="O3191" t="s">
        <v>127</v>
      </c>
      <c r="P3191" t="s">
        <v>127</v>
      </c>
      <c r="Q3191" t="s">
        <v>127</v>
      </c>
    </row>
    <row r="3192" spans="1:17" x14ac:dyDescent="0.25">
      <c r="A3192" t="str">
        <f>IF(C3192&amp;G3192&amp;D3192&lt;&gt;'Funnel setup'!$K$3&amp;'Funnel setup'!$K$4&amp;'Funnel setup'!$K$6,".",IF(A3191=".",1,A3191+1))</f>
        <v>.</v>
      </c>
      <c r="B3192" s="244" t="str">
        <f t="shared" si="49"/>
        <v>Knee Replacement RevisionProviderSOUTH TYNESIDE AND SUNDERLAND NHS FOUNDATION TRUST (R0B)EQ-5D Index</v>
      </c>
      <c r="C3192" t="s">
        <v>973</v>
      </c>
      <c r="D3192" t="s">
        <v>965</v>
      </c>
      <c r="E3192" t="s">
        <v>518</v>
      </c>
      <c r="F3192" t="s">
        <v>519</v>
      </c>
      <c r="G3192" t="s">
        <v>963</v>
      </c>
      <c r="H3192">
        <v>1</v>
      </c>
      <c r="I3192">
        <v>-1.6E-2</v>
      </c>
      <c r="J3192">
        <v>-0.23899999999999999</v>
      </c>
      <c r="K3192">
        <v>-0.223</v>
      </c>
      <c r="L3192">
        <v>0</v>
      </c>
      <c r="M3192">
        <v>0</v>
      </c>
      <c r="N3192">
        <v>1</v>
      </c>
      <c r="O3192" t="s">
        <v>127</v>
      </c>
      <c r="P3192" t="s">
        <v>127</v>
      </c>
      <c r="Q3192" t="s">
        <v>127</v>
      </c>
    </row>
    <row r="3193" spans="1:17" x14ac:dyDescent="0.25">
      <c r="A3193" t="str">
        <f>IF(C3193&amp;G3193&amp;D3193&lt;&gt;'Funnel setup'!$K$3&amp;'Funnel setup'!$K$4&amp;'Funnel setup'!$K$6,".",IF(A3192=".",1,A3192+1))</f>
        <v>.</v>
      </c>
      <c r="B3193" s="244" t="str">
        <f t="shared" si="49"/>
        <v>Knee Replacement RevisionProviderSOUTH WARWICKSHIRE UNIVERSITY NHS FOUNDATION TRUST (RJC)EQ-5D Index</v>
      </c>
      <c r="C3193" t="s">
        <v>973</v>
      </c>
      <c r="D3193" t="s">
        <v>965</v>
      </c>
      <c r="E3193" t="s">
        <v>520</v>
      </c>
      <c r="F3193" t="s">
        <v>521</v>
      </c>
      <c r="G3193" t="s">
        <v>963</v>
      </c>
      <c r="H3193">
        <v>4</v>
      </c>
      <c r="I3193">
        <v>0.15775</v>
      </c>
      <c r="J3193">
        <v>0.91100000000000003</v>
      </c>
      <c r="K3193">
        <v>0.75324999999999998</v>
      </c>
      <c r="L3193">
        <v>4</v>
      </c>
      <c r="M3193">
        <v>0</v>
      </c>
      <c r="N3193">
        <v>0</v>
      </c>
      <c r="O3193" t="s">
        <v>127</v>
      </c>
      <c r="P3193" t="s">
        <v>127</v>
      </c>
      <c r="Q3193" t="s">
        <v>127</v>
      </c>
    </row>
    <row r="3194" spans="1:17" x14ac:dyDescent="0.25">
      <c r="A3194" t="str">
        <f>IF(C3194&amp;G3194&amp;D3194&lt;&gt;'Funnel setup'!$K$3&amp;'Funnel setup'!$K$4&amp;'Funnel setup'!$K$6,".",IF(A3193=".",1,A3193+1))</f>
        <v>.</v>
      </c>
      <c r="B3194" s="244" t="str">
        <f t="shared" si="49"/>
        <v>Knee Replacement RevisionProviderSPIRE FYLDE COAST HOSPITAL (NT347)EQ-5D Index</v>
      </c>
      <c r="C3194" t="s">
        <v>973</v>
      </c>
      <c r="D3194" t="s">
        <v>965</v>
      </c>
      <c r="E3194" t="s">
        <v>544</v>
      </c>
      <c r="F3194" t="s">
        <v>545</v>
      </c>
      <c r="G3194" t="s">
        <v>963</v>
      </c>
      <c r="H3194" t="s">
        <v>127</v>
      </c>
      <c r="I3194" t="s">
        <v>127</v>
      </c>
      <c r="J3194" t="s">
        <v>127</v>
      </c>
      <c r="K3194" t="s">
        <v>127</v>
      </c>
      <c r="L3194" t="s">
        <v>127</v>
      </c>
      <c r="M3194" t="s">
        <v>127</v>
      </c>
      <c r="N3194" t="s">
        <v>127</v>
      </c>
      <c r="O3194" t="s">
        <v>127</v>
      </c>
      <c r="P3194" t="s">
        <v>127</v>
      </c>
      <c r="Q3194" t="s">
        <v>127</v>
      </c>
    </row>
    <row r="3195" spans="1:17" x14ac:dyDescent="0.25">
      <c r="A3195" t="str">
        <f>IF(C3195&amp;G3195&amp;D3195&lt;&gt;'Funnel setup'!$K$3&amp;'Funnel setup'!$K$4&amp;'Funnel setup'!$K$6,".",IF(A3194=".",1,A3194+1))</f>
        <v>.</v>
      </c>
      <c r="B3195" s="244" t="str">
        <f t="shared" si="49"/>
        <v>Knee Replacement RevisionProviderSPIRE WASHINGTON HOSPITAL (NT333)EQ-5D Index</v>
      </c>
      <c r="C3195" t="s">
        <v>973</v>
      </c>
      <c r="D3195" t="s">
        <v>965</v>
      </c>
      <c r="E3195" t="s">
        <v>596</v>
      </c>
      <c r="F3195" t="s">
        <v>597</v>
      </c>
      <c r="G3195" t="s">
        <v>963</v>
      </c>
      <c r="H3195" t="s">
        <v>127</v>
      </c>
      <c r="I3195" t="s">
        <v>127</v>
      </c>
      <c r="J3195" t="s">
        <v>127</v>
      </c>
      <c r="K3195" t="s">
        <v>127</v>
      </c>
      <c r="L3195" t="s">
        <v>127</v>
      </c>
      <c r="M3195" t="s">
        <v>127</v>
      </c>
      <c r="N3195" t="s">
        <v>127</v>
      </c>
      <c r="O3195" t="s">
        <v>127</v>
      </c>
      <c r="P3195" t="s">
        <v>127</v>
      </c>
      <c r="Q3195" t="s">
        <v>127</v>
      </c>
    </row>
    <row r="3196" spans="1:17" x14ac:dyDescent="0.25">
      <c r="A3196" t="str">
        <f>IF(C3196&amp;G3196&amp;D3196&lt;&gt;'Funnel setup'!$K$3&amp;'Funnel setup'!$K$4&amp;'Funnel setup'!$K$6,".",IF(A3195=".",1,A3195+1))</f>
        <v>.</v>
      </c>
      <c r="B3196" s="244" t="str">
        <f t="shared" si="49"/>
        <v>Knee Replacement RevisionProviderSPRINGFIELD HOSPITAL (NVC18)EQ-5D Index</v>
      </c>
      <c r="C3196" t="s">
        <v>973</v>
      </c>
      <c r="D3196" t="s">
        <v>965</v>
      </c>
      <c r="E3196" t="s">
        <v>602</v>
      </c>
      <c r="F3196" t="s">
        <v>603</v>
      </c>
      <c r="G3196" t="s">
        <v>963</v>
      </c>
      <c r="H3196" t="s">
        <v>127</v>
      </c>
      <c r="I3196" t="s">
        <v>127</v>
      </c>
      <c r="J3196" t="s">
        <v>127</v>
      </c>
      <c r="K3196" t="s">
        <v>127</v>
      </c>
      <c r="L3196" t="s">
        <v>127</v>
      </c>
      <c r="M3196" t="s">
        <v>127</v>
      </c>
      <c r="N3196" t="s">
        <v>127</v>
      </c>
      <c r="O3196" t="s">
        <v>127</v>
      </c>
      <c r="P3196" t="s">
        <v>127</v>
      </c>
      <c r="Q3196" t="s">
        <v>127</v>
      </c>
    </row>
    <row r="3197" spans="1:17" x14ac:dyDescent="0.25">
      <c r="A3197" t="str">
        <f>IF(C3197&amp;G3197&amp;D3197&lt;&gt;'Funnel setup'!$K$3&amp;'Funnel setup'!$K$4&amp;'Funnel setup'!$K$6,".",IF(A3196=".",1,A3196+1))</f>
        <v>.</v>
      </c>
      <c r="B3197" s="244" t="str">
        <f t="shared" si="49"/>
        <v>Knee Replacement RevisionProviderST HELENS AND KNOWSLEY TEACHING HOSPITALS NHS TRUST (RBN)EQ-5D Index</v>
      </c>
      <c r="C3197" t="s">
        <v>973</v>
      </c>
      <c r="D3197" t="s">
        <v>965</v>
      </c>
      <c r="E3197" t="s">
        <v>608</v>
      </c>
      <c r="F3197" t="s">
        <v>609</v>
      </c>
      <c r="G3197" t="s">
        <v>963</v>
      </c>
      <c r="H3197">
        <v>4</v>
      </c>
      <c r="I3197">
        <v>7.7499999999999999E-2</v>
      </c>
      <c r="J3197">
        <v>0.61299999999999999</v>
      </c>
      <c r="K3197">
        <v>0.53549999999999998</v>
      </c>
      <c r="L3197">
        <v>4</v>
      </c>
      <c r="M3197">
        <v>0</v>
      </c>
      <c r="N3197">
        <v>0</v>
      </c>
      <c r="O3197" t="s">
        <v>127</v>
      </c>
      <c r="P3197" t="s">
        <v>127</v>
      </c>
      <c r="Q3197" t="s">
        <v>127</v>
      </c>
    </row>
    <row r="3198" spans="1:17" x14ac:dyDescent="0.25">
      <c r="A3198" t="str">
        <f>IF(C3198&amp;G3198&amp;D3198&lt;&gt;'Funnel setup'!$K$3&amp;'Funnel setup'!$K$4&amp;'Funnel setup'!$K$6,".",IF(A3197=".",1,A3197+1))</f>
        <v>.</v>
      </c>
      <c r="B3198" s="244" t="str">
        <f t="shared" si="49"/>
        <v>Knee Replacement RevisionProviderST HUGH'S HOSPITAL (NTE02)EQ-5D Index</v>
      </c>
      <c r="C3198" t="s">
        <v>973</v>
      </c>
      <c r="D3198" t="s">
        <v>965</v>
      </c>
      <c r="E3198" t="s">
        <v>610</v>
      </c>
      <c r="F3198" t="s">
        <v>611</v>
      </c>
      <c r="G3198" t="s">
        <v>963</v>
      </c>
      <c r="H3198">
        <v>2</v>
      </c>
      <c r="I3198">
        <v>0.38950000000000001</v>
      </c>
      <c r="J3198">
        <v>0.63800000000000001</v>
      </c>
      <c r="K3198">
        <v>0.2485</v>
      </c>
      <c r="L3198">
        <v>2</v>
      </c>
      <c r="M3198">
        <v>0</v>
      </c>
      <c r="N3198">
        <v>0</v>
      </c>
      <c r="O3198" t="s">
        <v>127</v>
      </c>
      <c r="P3198" t="s">
        <v>127</v>
      </c>
      <c r="Q3198" t="s">
        <v>127</v>
      </c>
    </row>
    <row r="3199" spans="1:17" x14ac:dyDescent="0.25">
      <c r="A3199" t="str">
        <f>IF(C3199&amp;G3199&amp;D3199&lt;&gt;'Funnel setup'!$K$3&amp;'Funnel setup'!$K$4&amp;'Funnel setup'!$K$6,".",IF(A3198=".",1,A3198+1))</f>
        <v>.</v>
      </c>
      <c r="B3199" s="244" t="str">
        <f t="shared" si="49"/>
        <v>Knee Replacement RevisionProviderSTOCKPORT NHS FOUNDATION TRUST (RWJ)EQ-5D Index</v>
      </c>
      <c r="C3199" t="s">
        <v>973</v>
      </c>
      <c r="D3199" t="s">
        <v>965</v>
      </c>
      <c r="E3199" t="s">
        <v>614</v>
      </c>
      <c r="F3199" t="s">
        <v>615</v>
      </c>
      <c r="G3199" t="s">
        <v>963</v>
      </c>
      <c r="H3199">
        <v>3</v>
      </c>
      <c r="I3199">
        <v>0.29233300000000001</v>
      </c>
      <c r="J3199">
        <v>0.51833300000000004</v>
      </c>
      <c r="K3199">
        <v>0.22600000000000001</v>
      </c>
      <c r="L3199">
        <v>2</v>
      </c>
      <c r="M3199">
        <v>0</v>
      </c>
      <c r="N3199">
        <v>1</v>
      </c>
      <c r="O3199" t="s">
        <v>127</v>
      </c>
      <c r="P3199" t="s">
        <v>127</v>
      </c>
      <c r="Q3199" t="s">
        <v>127</v>
      </c>
    </row>
    <row r="3200" spans="1:17" x14ac:dyDescent="0.25">
      <c r="A3200" t="str">
        <f>IF(C3200&amp;G3200&amp;D3200&lt;&gt;'Funnel setup'!$K$3&amp;'Funnel setup'!$K$4&amp;'Funnel setup'!$K$6,".",IF(A3199=".",1,A3199+1))</f>
        <v>.</v>
      </c>
      <c r="B3200" s="244" t="str">
        <f t="shared" si="49"/>
        <v>Knee Replacement RevisionProviderSURREY AND SUSSEX HEALTHCARE NHS TRUST (RTP)EQ-5D Index</v>
      </c>
      <c r="C3200" t="s">
        <v>973</v>
      </c>
      <c r="D3200" t="s">
        <v>965</v>
      </c>
      <c r="E3200" t="s">
        <v>618</v>
      </c>
      <c r="F3200" t="s">
        <v>619</v>
      </c>
      <c r="G3200" t="s">
        <v>963</v>
      </c>
      <c r="H3200">
        <v>2</v>
      </c>
      <c r="I3200">
        <v>9.1499999999999998E-2</v>
      </c>
      <c r="J3200">
        <v>0.65549999999999997</v>
      </c>
      <c r="K3200">
        <v>0.56399999999999995</v>
      </c>
      <c r="L3200">
        <v>2</v>
      </c>
      <c r="M3200">
        <v>0</v>
      </c>
      <c r="N3200">
        <v>0</v>
      </c>
      <c r="O3200" t="s">
        <v>127</v>
      </c>
      <c r="P3200" t="s">
        <v>127</v>
      </c>
      <c r="Q3200" t="s">
        <v>127</v>
      </c>
    </row>
    <row r="3201" spans="1:17" x14ac:dyDescent="0.25">
      <c r="A3201" t="str">
        <f>IF(C3201&amp;G3201&amp;D3201&lt;&gt;'Funnel setup'!$K$3&amp;'Funnel setup'!$K$4&amp;'Funnel setup'!$K$6,".",IF(A3200=".",1,A3200+1))</f>
        <v>.</v>
      </c>
      <c r="B3201" s="244" t="str">
        <f t="shared" si="49"/>
        <v>Knee Replacement RevisionProviderTEES VALLEY HOSPITAL (NVC0R)EQ-5D Index</v>
      </c>
      <c r="C3201" t="s">
        <v>973</v>
      </c>
      <c r="D3201" t="s">
        <v>965</v>
      </c>
      <c r="E3201" t="s">
        <v>624</v>
      </c>
      <c r="F3201" t="s">
        <v>625</v>
      </c>
      <c r="G3201" t="s">
        <v>963</v>
      </c>
      <c r="H3201" t="s">
        <v>127</v>
      </c>
      <c r="I3201" t="s">
        <v>127</v>
      </c>
      <c r="J3201" t="s">
        <v>127</v>
      </c>
      <c r="K3201" t="s">
        <v>127</v>
      </c>
      <c r="L3201" t="s">
        <v>127</v>
      </c>
      <c r="M3201" t="s">
        <v>127</v>
      </c>
      <c r="N3201" t="s">
        <v>127</v>
      </c>
      <c r="O3201" t="s">
        <v>127</v>
      </c>
      <c r="P3201" t="s">
        <v>127</v>
      </c>
      <c r="Q3201" t="s">
        <v>127</v>
      </c>
    </row>
    <row r="3202" spans="1:17" x14ac:dyDescent="0.25">
      <c r="A3202" t="str">
        <f>IF(C3202&amp;G3202&amp;D3202&lt;&gt;'Funnel setup'!$K$3&amp;'Funnel setup'!$K$4&amp;'Funnel setup'!$K$6,".",IF(A3201=".",1,A3201+1))</f>
        <v>.</v>
      </c>
      <c r="B3202" s="244" t="str">
        <f t="shared" ref="B3202:B3265" si="50">C3202&amp;D3202&amp;F3202&amp;G3202</f>
        <v>Knee Replacement RevisionProviderTHE CHERWELL HOSPITAL (NVC25)EQ-5D Index</v>
      </c>
      <c r="C3202" t="s">
        <v>973</v>
      </c>
      <c r="D3202" t="s">
        <v>965</v>
      </c>
      <c r="E3202" t="s">
        <v>628</v>
      </c>
      <c r="F3202" t="s">
        <v>629</v>
      </c>
      <c r="G3202" t="s">
        <v>963</v>
      </c>
      <c r="H3202">
        <v>7</v>
      </c>
      <c r="I3202">
        <v>0.41971399999999998</v>
      </c>
      <c r="J3202">
        <v>0.68785700000000005</v>
      </c>
      <c r="K3202">
        <v>0.26814300000000002</v>
      </c>
      <c r="L3202">
        <v>5</v>
      </c>
      <c r="M3202">
        <v>0</v>
      </c>
      <c r="N3202">
        <v>2</v>
      </c>
      <c r="O3202" t="s">
        <v>127</v>
      </c>
      <c r="P3202" t="s">
        <v>127</v>
      </c>
      <c r="Q3202" t="s">
        <v>127</v>
      </c>
    </row>
    <row r="3203" spans="1:17" x14ac:dyDescent="0.25">
      <c r="A3203" t="str">
        <f>IF(C3203&amp;G3203&amp;D3203&lt;&gt;'Funnel setup'!$K$3&amp;'Funnel setup'!$K$4&amp;'Funnel setup'!$K$6,".",IF(A3202=".",1,A3202+1))</f>
        <v>.</v>
      </c>
      <c r="B3203" s="244" t="str">
        <f t="shared" si="50"/>
        <v>Knee Replacement RevisionProviderTHE HILLINGDON HOSPITALS NHS FOUNDATION TRUST (RAS)EQ-5D Index</v>
      </c>
      <c r="C3203" t="s">
        <v>973</v>
      </c>
      <c r="D3203" t="s">
        <v>965</v>
      </c>
      <c r="E3203" t="s">
        <v>632</v>
      </c>
      <c r="F3203" t="s">
        <v>633</v>
      </c>
      <c r="G3203" t="s">
        <v>963</v>
      </c>
      <c r="H3203">
        <v>5</v>
      </c>
      <c r="I3203">
        <v>0.57299999999999995</v>
      </c>
      <c r="J3203">
        <v>0.59160000000000001</v>
      </c>
      <c r="K3203">
        <v>1.8599999999999998E-2</v>
      </c>
      <c r="L3203">
        <v>2</v>
      </c>
      <c r="M3203">
        <v>2</v>
      </c>
      <c r="N3203">
        <v>1</v>
      </c>
      <c r="O3203" t="s">
        <v>127</v>
      </c>
      <c r="P3203" t="s">
        <v>127</v>
      </c>
      <c r="Q3203" t="s">
        <v>127</v>
      </c>
    </row>
    <row r="3204" spans="1:17" x14ac:dyDescent="0.25">
      <c r="A3204" t="str">
        <f>IF(C3204&amp;G3204&amp;D3204&lt;&gt;'Funnel setup'!$K$3&amp;'Funnel setup'!$K$4&amp;'Funnel setup'!$K$6,".",IF(A3203=".",1,A3203+1))</f>
        <v>.</v>
      </c>
      <c r="B3204" s="244" t="str">
        <f t="shared" si="50"/>
        <v>Knee Replacement RevisionProviderTHE HORDER CENTRE - ST JOHNS ROAD (NXM01)EQ-5D Index</v>
      </c>
      <c r="C3204" t="s">
        <v>973</v>
      </c>
      <c r="D3204" t="s">
        <v>965</v>
      </c>
      <c r="E3204" t="s">
        <v>634</v>
      </c>
      <c r="F3204" t="s">
        <v>635</v>
      </c>
      <c r="G3204" t="s">
        <v>963</v>
      </c>
      <c r="H3204">
        <v>5</v>
      </c>
      <c r="I3204">
        <v>0.46700000000000003</v>
      </c>
      <c r="J3204">
        <v>0.67420000000000002</v>
      </c>
      <c r="K3204">
        <v>0.2072</v>
      </c>
      <c r="L3204">
        <v>4</v>
      </c>
      <c r="M3204">
        <v>1</v>
      </c>
      <c r="N3204">
        <v>0</v>
      </c>
      <c r="O3204" t="s">
        <v>127</v>
      </c>
      <c r="P3204" t="s">
        <v>127</v>
      </c>
      <c r="Q3204" t="s">
        <v>127</v>
      </c>
    </row>
    <row r="3205" spans="1:17" x14ac:dyDescent="0.25">
      <c r="A3205" t="str">
        <f>IF(C3205&amp;G3205&amp;D3205&lt;&gt;'Funnel setup'!$K$3&amp;'Funnel setup'!$K$4&amp;'Funnel setup'!$K$6,".",IF(A3204=".",1,A3204+1))</f>
        <v>.</v>
      </c>
      <c r="B3205" s="244" t="str">
        <f t="shared" si="50"/>
        <v>Knee Replacement RevisionProviderTHE PRINCESS ALEXANDRA HOSPITAL NHS TRUST (RQW)EQ-5D Index</v>
      </c>
      <c r="C3205" t="s">
        <v>973</v>
      </c>
      <c r="D3205" t="s">
        <v>965</v>
      </c>
      <c r="E3205" t="s">
        <v>640</v>
      </c>
      <c r="F3205" t="s">
        <v>641</v>
      </c>
      <c r="G3205" t="s">
        <v>963</v>
      </c>
      <c r="H3205" t="s">
        <v>968</v>
      </c>
      <c r="I3205" t="s">
        <v>968</v>
      </c>
      <c r="J3205" t="s">
        <v>968</v>
      </c>
      <c r="K3205" t="s">
        <v>968</v>
      </c>
      <c r="L3205" t="s">
        <v>968</v>
      </c>
      <c r="M3205" t="s">
        <v>968</v>
      </c>
      <c r="N3205" t="s">
        <v>968</v>
      </c>
      <c r="O3205" t="s">
        <v>968</v>
      </c>
      <c r="P3205" t="s">
        <v>968</v>
      </c>
      <c r="Q3205" t="s">
        <v>968</v>
      </c>
    </row>
    <row r="3206" spans="1:17" x14ac:dyDescent="0.25">
      <c r="A3206" t="str">
        <f>IF(C3206&amp;G3206&amp;D3206&lt;&gt;'Funnel setup'!$K$3&amp;'Funnel setup'!$K$4&amp;'Funnel setup'!$K$6,".",IF(A3205=".",1,A3205+1))</f>
        <v>.</v>
      </c>
      <c r="B3206" s="244" t="str">
        <f t="shared" si="50"/>
        <v>Knee Replacement RevisionProviderTHE QUEEN ELIZABETH HOSPITAL, KING'S LYNN, NHS FOUNDATION TRUST (RCX)EQ-5D Index</v>
      </c>
      <c r="C3206" t="s">
        <v>973</v>
      </c>
      <c r="D3206" t="s">
        <v>965</v>
      </c>
      <c r="E3206" t="s">
        <v>644</v>
      </c>
      <c r="F3206" t="s">
        <v>645</v>
      </c>
      <c r="G3206" t="s">
        <v>963</v>
      </c>
      <c r="H3206">
        <v>3</v>
      </c>
      <c r="I3206">
        <v>0.45533299999999999</v>
      </c>
      <c r="J3206">
        <v>0.48899999999999999</v>
      </c>
      <c r="K3206">
        <v>3.3666700000000001E-2</v>
      </c>
      <c r="L3206">
        <v>1</v>
      </c>
      <c r="M3206">
        <v>1</v>
      </c>
      <c r="N3206">
        <v>1</v>
      </c>
      <c r="O3206" t="s">
        <v>127</v>
      </c>
      <c r="P3206" t="s">
        <v>127</v>
      </c>
      <c r="Q3206" t="s">
        <v>127</v>
      </c>
    </row>
    <row r="3207" spans="1:17" x14ac:dyDescent="0.25">
      <c r="A3207" t="str">
        <f>IF(C3207&amp;G3207&amp;D3207&lt;&gt;'Funnel setup'!$K$3&amp;'Funnel setup'!$K$4&amp;'Funnel setup'!$K$6,".",IF(A3206=".",1,A3206+1))</f>
        <v>.</v>
      </c>
      <c r="B3207" s="244" t="str">
        <f t="shared" si="50"/>
        <v>Knee Replacement RevisionProviderTHE ROBERT JONES AND AGNES HUNT ORTHOPAEDIC HOSPITAL NHS FOUNDATION TRUST (RL1)EQ-5D Index</v>
      </c>
      <c r="C3207" t="s">
        <v>973</v>
      </c>
      <c r="D3207" t="s">
        <v>965</v>
      </c>
      <c r="E3207" t="s">
        <v>646</v>
      </c>
      <c r="F3207" t="s">
        <v>647</v>
      </c>
      <c r="G3207" t="s">
        <v>963</v>
      </c>
      <c r="H3207">
        <v>33</v>
      </c>
      <c r="I3207">
        <v>0.33230300000000002</v>
      </c>
      <c r="J3207">
        <v>0.63112100000000004</v>
      </c>
      <c r="K3207">
        <v>0.29881799999999997</v>
      </c>
      <c r="L3207">
        <v>24</v>
      </c>
      <c r="M3207">
        <v>4</v>
      </c>
      <c r="N3207">
        <v>5</v>
      </c>
      <c r="O3207">
        <v>0.61912999999999996</v>
      </c>
      <c r="P3207">
        <v>0.307174</v>
      </c>
      <c r="Q3207">
        <v>0.29264899999999999</v>
      </c>
    </row>
    <row r="3208" spans="1:17" x14ac:dyDescent="0.25">
      <c r="A3208" t="str">
        <f>IF(C3208&amp;G3208&amp;D3208&lt;&gt;'Funnel setup'!$K$3&amp;'Funnel setup'!$K$4&amp;'Funnel setup'!$K$6,".",IF(A3207=".",1,A3207+1))</f>
        <v>.</v>
      </c>
      <c r="B3208" s="244" t="str">
        <f t="shared" si="50"/>
        <v>Knee Replacement RevisionProviderTHE ROYAL ORTHOPAEDIC HOSPITAL NHS FOUNDATION TRUST (RRJ)EQ-5D Index</v>
      </c>
      <c r="C3208" t="s">
        <v>973</v>
      </c>
      <c r="D3208" t="s">
        <v>965</v>
      </c>
      <c r="E3208" t="s">
        <v>652</v>
      </c>
      <c r="F3208" t="s">
        <v>653</v>
      </c>
      <c r="G3208" t="s">
        <v>963</v>
      </c>
      <c r="H3208">
        <v>32</v>
      </c>
      <c r="I3208">
        <v>0.262125</v>
      </c>
      <c r="J3208">
        <v>0.58515600000000001</v>
      </c>
      <c r="K3208">
        <v>0.32303100000000001</v>
      </c>
      <c r="L3208">
        <v>22</v>
      </c>
      <c r="M3208">
        <v>2</v>
      </c>
      <c r="N3208">
        <v>8</v>
      </c>
      <c r="O3208">
        <v>0.63476100000000002</v>
      </c>
      <c r="P3208">
        <v>0.32280500000000001</v>
      </c>
      <c r="Q3208">
        <v>0.322824</v>
      </c>
    </row>
    <row r="3209" spans="1:17" x14ac:dyDescent="0.25">
      <c r="A3209" t="str">
        <f>IF(C3209&amp;G3209&amp;D3209&lt;&gt;'Funnel setup'!$K$3&amp;'Funnel setup'!$K$4&amp;'Funnel setup'!$K$6,".",IF(A3208=".",1,A3208+1))</f>
        <v>.</v>
      </c>
      <c r="B3209" s="244" t="str">
        <f t="shared" si="50"/>
        <v>Knee Replacement RevisionProviderTHE ROYAL WOLVERHAMPTON NHS TRUST (RL4)EQ-5D Index</v>
      </c>
      <c r="C3209" t="s">
        <v>973</v>
      </c>
      <c r="D3209" t="s">
        <v>965</v>
      </c>
      <c r="E3209" t="s">
        <v>654</v>
      </c>
      <c r="F3209" t="s">
        <v>655</v>
      </c>
      <c r="G3209" t="s">
        <v>963</v>
      </c>
      <c r="H3209">
        <v>1</v>
      </c>
      <c r="I3209">
        <v>0.69099999999999995</v>
      </c>
      <c r="J3209">
        <v>1</v>
      </c>
      <c r="K3209">
        <v>0.309</v>
      </c>
      <c r="L3209">
        <v>1</v>
      </c>
      <c r="M3209">
        <v>0</v>
      </c>
      <c r="N3209">
        <v>0</v>
      </c>
      <c r="O3209" t="s">
        <v>127</v>
      </c>
      <c r="P3209" t="s">
        <v>127</v>
      </c>
      <c r="Q3209" t="s">
        <v>127</v>
      </c>
    </row>
    <row r="3210" spans="1:17" x14ac:dyDescent="0.25">
      <c r="A3210" t="str">
        <f>IF(C3210&amp;G3210&amp;D3210&lt;&gt;'Funnel setup'!$K$3&amp;'Funnel setup'!$K$4&amp;'Funnel setup'!$K$6,".",IF(A3209=".",1,A3209+1))</f>
        <v>.</v>
      </c>
      <c r="B3210" s="244" t="str">
        <f t="shared" si="50"/>
        <v>Knee Replacement RevisionProviderTHE YORKSHIRE CLINIC (NVC20)EQ-5D Index</v>
      </c>
      <c r="C3210" t="s">
        <v>973</v>
      </c>
      <c r="D3210" t="s">
        <v>965</v>
      </c>
      <c r="E3210" t="s">
        <v>662</v>
      </c>
      <c r="F3210" t="s">
        <v>663</v>
      </c>
      <c r="G3210" t="s">
        <v>963</v>
      </c>
      <c r="H3210">
        <v>1</v>
      </c>
      <c r="I3210">
        <v>0.62</v>
      </c>
      <c r="J3210">
        <v>0.41599999999999998</v>
      </c>
      <c r="K3210">
        <v>-0.20399999999999999</v>
      </c>
      <c r="L3210">
        <v>0</v>
      </c>
      <c r="M3210">
        <v>0</v>
      </c>
      <c r="N3210">
        <v>1</v>
      </c>
      <c r="O3210" t="s">
        <v>127</v>
      </c>
      <c r="P3210" t="s">
        <v>127</v>
      </c>
      <c r="Q3210" t="s">
        <v>127</v>
      </c>
    </row>
    <row r="3211" spans="1:17" x14ac:dyDescent="0.25">
      <c r="A3211" t="str">
        <f>IF(C3211&amp;G3211&amp;D3211&lt;&gt;'Funnel setup'!$K$3&amp;'Funnel setup'!$K$4&amp;'Funnel setup'!$K$6,".",IF(A3210=".",1,A3210+1))</f>
        <v>.</v>
      </c>
      <c r="B3211" s="244" t="str">
        <f t="shared" si="50"/>
        <v>Knee Replacement RevisionProviderTHREE SHIRES HOSPITAL (NT441)EQ-5D Index</v>
      </c>
      <c r="C3211" t="s">
        <v>973</v>
      </c>
      <c r="D3211" t="s">
        <v>965</v>
      </c>
      <c r="E3211" t="s">
        <v>666</v>
      </c>
      <c r="F3211" t="s">
        <v>667</v>
      </c>
      <c r="G3211" t="s">
        <v>963</v>
      </c>
      <c r="H3211">
        <v>1</v>
      </c>
      <c r="I3211">
        <v>0.76</v>
      </c>
      <c r="J3211">
        <v>0.79600000000000004</v>
      </c>
      <c r="K3211">
        <v>3.5999999999999997E-2</v>
      </c>
      <c r="L3211">
        <v>1</v>
      </c>
      <c r="M3211">
        <v>0</v>
      </c>
      <c r="N3211">
        <v>0</v>
      </c>
      <c r="O3211" t="s">
        <v>127</v>
      </c>
      <c r="P3211" t="s">
        <v>127</v>
      </c>
      <c r="Q3211" t="s">
        <v>127</v>
      </c>
    </row>
    <row r="3212" spans="1:17" x14ac:dyDescent="0.25">
      <c r="A3212" t="str">
        <f>IF(C3212&amp;G3212&amp;D3212&lt;&gt;'Funnel setup'!$K$3&amp;'Funnel setup'!$K$4&amp;'Funnel setup'!$K$6,".",IF(A3211=".",1,A3211+1))</f>
        <v>.</v>
      </c>
      <c r="B3212" s="244" t="str">
        <f t="shared" si="50"/>
        <v>Knee Replacement RevisionProviderTORBAY AND SOUTH DEVON NHS FOUNDATION TRUST (RA9)EQ-5D Index</v>
      </c>
      <c r="C3212" t="s">
        <v>973</v>
      </c>
      <c r="D3212" t="s">
        <v>965</v>
      </c>
      <c r="E3212" t="s">
        <v>668</v>
      </c>
      <c r="F3212" t="s">
        <v>669</v>
      </c>
      <c r="G3212" t="s">
        <v>963</v>
      </c>
      <c r="H3212">
        <v>1</v>
      </c>
      <c r="I3212">
        <v>-1.6E-2</v>
      </c>
      <c r="J3212">
        <v>-1.6E-2</v>
      </c>
      <c r="K3212">
        <v>0</v>
      </c>
      <c r="L3212">
        <v>0</v>
      </c>
      <c r="M3212">
        <v>1</v>
      </c>
      <c r="N3212">
        <v>0</v>
      </c>
      <c r="O3212" t="s">
        <v>127</v>
      </c>
      <c r="P3212" t="s">
        <v>127</v>
      </c>
      <c r="Q3212" t="s">
        <v>127</v>
      </c>
    </row>
    <row r="3213" spans="1:17" x14ac:dyDescent="0.25">
      <c r="A3213" t="str">
        <f>IF(C3213&amp;G3213&amp;D3213&lt;&gt;'Funnel setup'!$K$3&amp;'Funnel setup'!$K$4&amp;'Funnel setup'!$K$6,".",IF(A3212=".",1,A3212+1))</f>
        <v>.</v>
      </c>
      <c r="B3213" s="244" t="str">
        <f t="shared" si="50"/>
        <v>Knee Replacement RevisionProviderUNITED LINCOLNSHIRE HOSPITALS NHS TRUST (RWD)EQ-5D Index</v>
      </c>
      <c r="C3213" t="s">
        <v>973</v>
      </c>
      <c r="D3213" t="s">
        <v>965</v>
      </c>
      <c r="E3213" t="s">
        <v>672</v>
      </c>
      <c r="F3213" t="s">
        <v>673</v>
      </c>
      <c r="G3213" t="s">
        <v>963</v>
      </c>
      <c r="H3213">
        <v>1</v>
      </c>
      <c r="I3213">
        <v>-1.6E-2</v>
      </c>
      <c r="J3213">
        <v>0.81200000000000006</v>
      </c>
      <c r="K3213">
        <v>0.82799999999999996</v>
      </c>
      <c r="L3213">
        <v>1</v>
      </c>
      <c r="M3213">
        <v>0</v>
      </c>
      <c r="N3213">
        <v>0</v>
      </c>
      <c r="O3213" t="s">
        <v>127</v>
      </c>
      <c r="P3213" t="s">
        <v>127</v>
      </c>
      <c r="Q3213" t="s">
        <v>127</v>
      </c>
    </row>
    <row r="3214" spans="1:17" x14ac:dyDescent="0.25">
      <c r="A3214" t="str">
        <f>IF(C3214&amp;G3214&amp;D3214&lt;&gt;'Funnel setup'!$K$3&amp;'Funnel setup'!$K$4&amp;'Funnel setup'!$K$6,".",IF(A3213=".",1,A3213+1))</f>
        <v>.</v>
      </c>
      <c r="B3214" s="244" t="str">
        <f t="shared" si="50"/>
        <v>Knee Replacement RevisionProviderUNIVERSITY COLLEGE LONDON HOSPITALS NHS FOUNDATION TRUST (RRV)EQ-5D Index</v>
      </c>
      <c r="C3214" t="s">
        <v>973</v>
      </c>
      <c r="D3214" t="s">
        <v>965</v>
      </c>
      <c r="E3214" t="s">
        <v>674</v>
      </c>
      <c r="F3214" t="s">
        <v>675</v>
      </c>
      <c r="G3214" t="s">
        <v>963</v>
      </c>
      <c r="H3214">
        <v>4</v>
      </c>
      <c r="I3214">
        <v>0.12275</v>
      </c>
      <c r="J3214">
        <v>0.39600000000000002</v>
      </c>
      <c r="K3214">
        <v>0.27324999999999999</v>
      </c>
      <c r="L3214">
        <v>3</v>
      </c>
      <c r="M3214">
        <v>0</v>
      </c>
      <c r="N3214">
        <v>1</v>
      </c>
      <c r="O3214" t="s">
        <v>127</v>
      </c>
      <c r="P3214" t="s">
        <v>127</v>
      </c>
      <c r="Q3214" t="s">
        <v>127</v>
      </c>
    </row>
    <row r="3215" spans="1:17" x14ac:dyDescent="0.25">
      <c r="A3215" t="str">
        <f>IF(C3215&amp;G3215&amp;D3215&lt;&gt;'Funnel setup'!$K$3&amp;'Funnel setup'!$K$4&amp;'Funnel setup'!$K$6,".",IF(A3214=".",1,A3214+1))</f>
        <v>.</v>
      </c>
      <c r="B3215" s="244" t="str">
        <f t="shared" si="50"/>
        <v>Knee Replacement RevisionProviderUNIVERSITY HOSPITAL SOUTHAMPTON NHS FOUNDATION TRUST (RHM)EQ-5D Index</v>
      </c>
      <c r="C3215" t="s">
        <v>973</v>
      </c>
      <c r="D3215" t="s">
        <v>965</v>
      </c>
      <c r="E3215" t="s">
        <v>676</v>
      </c>
      <c r="F3215" t="s">
        <v>677</v>
      </c>
      <c r="G3215" t="s">
        <v>963</v>
      </c>
      <c r="H3215">
        <v>19</v>
      </c>
      <c r="I3215">
        <v>0.38121100000000002</v>
      </c>
      <c r="J3215">
        <v>0.65342100000000003</v>
      </c>
      <c r="K3215">
        <v>0.27221099999999998</v>
      </c>
      <c r="L3215">
        <v>17</v>
      </c>
      <c r="M3215">
        <v>0</v>
      </c>
      <c r="N3215">
        <v>2</v>
      </c>
      <c r="O3215" t="s">
        <v>127</v>
      </c>
      <c r="P3215" t="s">
        <v>127</v>
      </c>
      <c r="Q3215" t="s">
        <v>127</v>
      </c>
    </row>
    <row r="3216" spans="1:17" x14ac:dyDescent="0.25">
      <c r="A3216" t="str">
        <f>IF(C3216&amp;G3216&amp;D3216&lt;&gt;'Funnel setup'!$K$3&amp;'Funnel setup'!$K$4&amp;'Funnel setup'!$K$6,".",IF(A3215=".",1,A3215+1))</f>
        <v>.</v>
      </c>
      <c r="B3216" s="244" t="str">
        <f t="shared" si="50"/>
        <v>Knee Replacement RevisionProviderUNIVERSITY HOSPITALS COVENTRY AND WARWICKSHIRE NHS TRUST (RKB)EQ-5D Index</v>
      </c>
      <c r="C3216" t="s">
        <v>973</v>
      </c>
      <c r="D3216" t="s">
        <v>965</v>
      </c>
      <c r="E3216" t="s">
        <v>682</v>
      </c>
      <c r="F3216" t="s">
        <v>683</v>
      </c>
      <c r="G3216" t="s">
        <v>963</v>
      </c>
      <c r="H3216">
        <v>3</v>
      </c>
      <c r="I3216">
        <v>0.34200000000000003</v>
      </c>
      <c r="J3216">
        <v>0.73266699999999996</v>
      </c>
      <c r="K3216">
        <v>0.39066699999999999</v>
      </c>
      <c r="L3216">
        <v>3</v>
      </c>
      <c r="M3216">
        <v>0</v>
      </c>
      <c r="N3216">
        <v>0</v>
      </c>
      <c r="O3216" t="s">
        <v>127</v>
      </c>
      <c r="P3216" t="s">
        <v>127</v>
      </c>
      <c r="Q3216" t="s">
        <v>127</v>
      </c>
    </row>
    <row r="3217" spans="1:17" x14ac:dyDescent="0.25">
      <c r="A3217" t="str">
        <f>IF(C3217&amp;G3217&amp;D3217&lt;&gt;'Funnel setup'!$K$3&amp;'Funnel setup'!$K$4&amp;'Funnel setup'!$K$6,".",IF(A3216=".",1,A3216+1))</f>
        <v>.</v>
      </c>
      <c r="B3217" s="244" t="str">
        <f t="shared" si="50"/>
        <v>Knee Replacement RevisionProviderUNIVERSITY HOSPITAL DORSET NHS FUNDATION TRUST (R0D)EQ-5D Index</v>
      </c>
      <c r="C3217" t="s">
        <v>973</v>
      </c>
      <c r="D3217" t="s">
        <v>965</v>
      </c>
      <c r="E3217" t="s">
        <v>684</v>
      </c>
      <c r="F3217" t="s">
        <v>966</v>
      </c>
      <c r="G3217" t="s">
        <v>963</v>
      </c>
      <c r="H3217">
        <v>10</v>
      </c>
      <c r="I3217">
        <v>0.27260000000000001</v>
      </c>
      <c r="J3217">
        <v>0.62390000000000001</v>
      </c>
      <c r="K3217">
        <v>0.3513</v>
      </c>
      <c r="L3217">
        <v>7</v>
      </c>
      <c r="M3217">
        <v>2</v>
      </c>
      <c r="N3217">
        <v>1</v>
      </c>
      <c r="O3217" t="s">
        <v>127</v>
      </c>
      <c r="P3217" t="s">
        <v>127</v>
      </c>
      <c r="Q3217" t="s">
        <v>127</v>
      </c>
    </row>
    <row r="3218" spans="1:17" x14ac:dyDescent="0.25">
      <c r="A3218" t="str">
        <f>IF(C3218&amp;G3218&amp;D3218&lt;&gt;'Funnel setup'!$K$3&amp;'Funnel setup'!$K$4&amp;'Funnel setup'!$K$6,".",IF(A3217=".",1,A3217+1))</f>
        <v>.</v>
      </c>
      <c r="B3218" s="244" t="str">
        <f t="shared" si="50"/>
        <v>Knee Replacement RevisionProviderUNIVERSITY HOSPITALS OF DERBY AND BURTON NHS FOUNDATION TRUST (RTG)EQ-5D Index</v>
      </c>
      <c r="C3218" t="s">
        <v>973</v>
      </c>
      <c r="D3218" t="s">
        <v>965</v>
      </c>
      <c r="E3218" t="s">
        <v>686</v>
      </c>
      <c r="F3218" t="s">
        <v>687</v>
      </c>
      <c r="G3218" t="s">
        <v>963</v>
      </c>
      <c r="H3218">
        <v>25</v>
      </c>
      <c r="I3218">
        <v>0.35511999999999999</v>
      </c>
      <c r="J3218">
        <v>0.63488</v>
      </c>
      <c r="K3218">
        <v>0.27976000000000001</v>
      </c>
      <c r="L3218">
        <v>20</v>
      </c>
      <c r="M3218">
        <v>1</v>
      </c>
      <c r="N3218">
        <v>4</v>
      </c>
      <c r="O3218" t="s">
        <v>127</v>
      </c>
      <c r="P3218" t="s">
        <v>127</v>
      </c>
      <c r="Q3218" t="s">
        <v>127</v>
      </c>
    </row>
    <row r="3219" spans="1:17" x14ac:dyDescent="0.25">
      <c r="A3219" t="str">
        <f>IF(C3219&amp;G3219&amp;D3219&lt;&gt;'Funnel setup'!$K$3&amp;'Funnel setup'!$K$4&amp;'Funnel setup'!$K$6,".",IF(A3218=".",1,A3218+1))</f>
        <v>.</v>
      </c>
      <c r="B3219" s="244" t="str">
        <f t="shared" si="50"/>
        <v>Knee Replacement RevisionProviderUNIVERSITY HOSPITALS OF LEICESTER NHS TRUST (RWE)EQ-5D Index</v>
      </c>
      <c r="C3219" t="s">
        <v>973</v>
      </c>
      <c r="D3219" t="s">
        <v>965</v>
      </c>
      <c r="E3219" t="s">
        <v>688</v>
      </c>
      <c r="F3219" t="s">
        <v>689</v>
      </c>
      <c r="G3219" t="s">
        <v>963</v>
      </c>
      <c r="H3219">
        <v>13</v>
      </c>
      <c r="I3219">
        <v>0.204846</v>
      </c>
      <c r="J3219">
        <v>0.614846</v>
      </c>
      <c r="K3219">
        <v>0.41</v>
      </c>
      <c r="L3219">
        <v>12</v>
      </c>
      <c r="M3219">
        <v>0</v>
      </c>
      <c r="N3219">
        <v>1</v>
      </c>
      <c r="O3219" t="s">
        <v>127</v>
      </c>
      <c r="P3219" t="s">
        <v>127</v>
      </c>
      <c r="Q3219" t="s">
        <v>127</v>
      </c>
    </row>
    <row r="3220" spans="1:17" x14ac:dyDescent="0.25">
      <c r="A3220" t="str">
        <f>IF(C3220&amp;G3220&amp;D3220&lt;&gt;'Funnel setup'!$K$3&amp;'Funnel setup'!$K$4&amp;'Funnel setup'!$K$6,".",IF(A3219=".",1,A3219+1))</f>
        <v>.</v>
      </c>
      <c r="B3220" s="244" t="str">
        <f t="shared" si="50"/>
        <v>Knee Replacement RevisionProviderUNIVERSITY HOSPITALS OF MORECAMBE BAY NHS FOUNDATION TRUST (RTX)EQ-5D Index</v>
      </c>
      <c r="C3220" t="s">
        <v>973</v>
      </c>
      <c r="D3220" t="s">
        <v>965</v>
      </c>
      <c r="E3220" t="s">
        <v>690</v>
      </c>
      <c r="F3220" t="s">
        <v>691</v>
      </c>
      <c r="G3220" t="s">
        <v>963</v>
      </c>
      <c r="H3220">
        <v>2</v>
      </c>
      <c r="I3220">
        <v>7.1499999999999994E-2</v>
      </c>
      <c r="J3220">
        <v>0.72550000000000003</v>
      </c>
      <c r="K3220">
        <v>0.65400000000000003</v>
      </c>
      <c r="L3220">
        <v>2</v>
      </c>
      <c r="M3220">
        <v>0</v>
      </c>
      <c r="N3220">
        <v>0</v>
      </c>
      <c r="O3220" t="s">
        <v>127</v>
      </c>
      <c r="P3220" t="s">
        <v>127</v>
      </c>
      <c r="Q3220" t="s">
        <v>127</v>
      </c>
    </row>
    <row r="3221" spans="1:17" x14ac:dyDescent="0.25">
      <c r="A3221" t="str">
        <f>IF(C3221&amp;G3221&amp;D3221&lt;&gt;'Funnel setup'!$K$3&amp;'Funnel setup'!$K$4&amp;'Funnel setup'!$K$6,".",IF(A3220=".",1,A3220+1))</f>
        <v>.</v>
      </c>
      <c r="B3221" s="244" t="str">
        <f t="shared" si="50"/>
        <v>Knee Replacement RevisionProviderUNIVERSITY HOSPITALS OF NORTH MIDLANDS NHS TRUST (RJE)EQ-5D Index</v>
      </c>
      <c r="C3221" t="s">
        <v>973</v>
      </c>
      <c r="D3221" t="s">
        <v>965</v>
      </c>
      <c r="E3221" t="s">
        <v>692</v>
      </c>
      <c r="F3221" t="s">
        <v>693</v>
      </c>
      <c r="G3221" t="s">
        <v>963</v>
      </c>
      <c r="H3221">
        <v>2</v>
      </c>
      <c r="I3221">
        <v>-6.3E-2</v>
      </c>
      <c r="J3221">
        <v>0.46450000000000002</v>
      </c>
      <c r="K3221">
        <v>0.52749999999999997</v>
      </c>
      <c r="L3221">
        <v>2</v>
      </c>
      <c r="M3221">
        <v>0</v>
      </c>
      <c r="N3221">
        <v>0</v>
      </c>
      <c r="O3221" t="s">
        <v>127</v>
      </c>
      <c r="P3221" t="s">
        <v>127</v>
      </c>
      <c r="Q3221" t="s">
        <v>127</v>
      </c>
    </row>
    <row r="3222" spans="1:17" x14ac:dyDescent="0.25">
      <c r="A3222" t="str">
        <f>IF(C3222&amp;G3222&amp;D3222&lt;&gt;'Funnel setup'!$K$3&amp;'Funnel setup'!$K$4&amp;'Funnel setup'!$K$6,".",IF(A3221=".",1,A3221+1))</f>
        <v>.</v>
      </c>
      <c r="B3222" s="244" t="str">
        <f t="shared" si="50"/>
        <v>Knee Replacement RevisionProviderUNIVERSITY HOSPITALS PLYMOUTH NHS TRUST (RK9)EQ-5D Index</v>
      </c>
      <c r="C3222" t="s">
        <v>973</v>
      </c>
      <c r="D3222" t="s">
        <v>965</v>
      </c>
      <c r="E3222" t="s">
        <v>694</v>
      </c>
      <c r="F3222" t="s">
        <v>695</v>
      </c>
      <c r="G3222" t="s">
        <v>963</v>
      </c>
      <c r="H3222">
        <v>1</v>
      </c>
      <c r="I3222">
        <v>0.29299999999999998</v>
      </c>
      <c r="J3222">
        <v>0.69099999999999995</v>
      </c>
      <c r="K3222">
        <v>0.39800000000000002</v>
      </c>
      <c r="L3222">
        <v>1</v>
      </c>
      <c r="M3222">
        <v>0</v>
      </c>
      <c r="N3222">
        <v>0</v>
      </c>
      <c r="O3222" t="s">
        <v>127</v>
      </c>
      <c r="P3222" t="s">
        <v>127</v>
      </c>
      <c r="Q3222" t="s">
        <v>127</v>
      </c>
    </row>
    <row r="3223" spans="1:17" x14ac:dyDescent="0.25">
      <c r="A3223" t="str">
        <f>IF(C3223&amp;G3223&amp;D3223&lt;&gt;'Funnel setup'!$K$3&amp;'Funnel setup'!$K$4&amp;'Funnel setup'!$K$6,".",IF(A3222=".",1,A3222+1))</f>
        <v>.</v>
      </c>
      <c r="B3223" s="244" t="str">
        <f t="shared" si="50"/>
        <v>Knee Replacement RevisionProviderUNIVERSITY HOSPITALS SUSSEX NHS FOUNDATION TRUST (RYR)EQ-5D Index</v>
      </c>
      <c r="C3223" t="s">
        <v>973</v>
      </c>
      <c r="D3223" t="s">
        <v>965</v>
      </c>
      <c r="E3223" t="s">
        <v>696</v>
      </c>
      <c r="F3223" t="s">
        <v>697</v>
      </c>
      <c r="G3223" t="s">
        <v>963</v>
      </c>
      <c r="H3223">
        <v>4</v>
      </c>
      <c r="I3223">
        <v>0.16400000000000001</v>
      </c>
      <c r="J3223">
        <v>0.746</v>
      </c>
      <c r="K3223">
        <v>0.58199999999999996</v>
      </c>
      <c r="L3223">
        <v>3</v>
      </c>
      <c r="M3223">
        <v>1</v>
      </c>
      <c r="N3223">
        <v>0</v>
      </c>
      <c r="O3223" t="s">
        <v>127</v>
      </c>
      <c r="P3223" t="s">
        <v>127</v>
      </c>
      <c r="Q3223" t="s">
        <v>127</v>
      </c>
    </row>
    <row r="3224" spans="1:17" x14ac:dyDescent="0.25">
      <c r="A3224" t="str">
        <f>IF(C3224&amp;G3224&amp;D3224&lt;&gt;'Funnel setup'!$K$3&amp;'Funnel setup'!$K$4&amp;'Funnel setup'!$K$6,".",IF(A3223=".",1,A3223+1))</f>
        <v>.</v>
      </c>
      <c r="B3224" s="244" t="str">
        <f t="shared" si="50"/>
        <v>Knee Replacement RevisionProviderWARRINGTON AND HALTON TEACHING HOSPITALS NHS FOUNDATION TRUST (RWW)EQ-5D Index</v>
      </c>
      <c r="C3224" t="s">
        <v>973</v>
      </c>
      <c r="D3224" t="s">
        <v>965</v>
      </c>
      <c r="E3224" t="s">
        <v>700</v>
      </c>
      <c r="F3224" t="s">
        <v>701</v>
      </c>
      <c r="G3224" t="s">
        <v>963</v>
      </c>
      <c r="H3224">
        <v>1</v>
      </c>
      <c r="I3224">
        <v>0.62</v>
      </c>
      <c r="J3224">
        <v>0.62</v>
      </c>
      <c r="K3224">
        <v>0</v>
      </c>
      <c r="L3224">
        <v>0</v>
      </c>
      <c r="M3224">
        <v>1</v>
      </c>
      <c r="N3224">
        <v>0</v>
      </c>
      <c r="O3224" t="s">
        <v>127</v>
      </c>
      <c r="P3224" t="s">
        <v>127</v>
      </c>
      <c r="Q3224" t="s">
        <v>127</v>
      </c>
    </row>
    <row r="3225" spans="1:17" x14ac:dyDescent="0.25">
      <c r="A3225" t="str">
        <f>IF(C3225&amp;G3225&amp;D3225&lt;&gt;'Funnel setup'!$K$3&amp;'Funnel setup'!$K$4&amp;'Funnel setup'!$K$6,".",IF(A3224=".",1,A3224+1))</f>
        <v>.</v>
      </c>
      <c r="B3225" s="244" t="str">
        <f t="shared" si="50"/>
        <v>Knee Replacement RevisionProviderWEST HERTFORDSHIRE TEACHING HOSPITALS NHS TRUST (RWG)EQ-5D Index</v>
      </c>
      <c r="C3225" t="s">
        <v>973</v>
      </c>
      <c r="D3225" t="s">
        <v>965</v>
      </c>
      <c r="E3225" t="s">
        <v>702</v>
      </c>
      <c r="F3225" t="s">
        <v>703</v>
      </c>
      <c r="G3225" t="s">
        <v>963</v>
      </c>
      <c r="H3225">
        <v>5</v>
      </c>
      <c r="I3225">
        <v>0.1426</v>
      </c>
      <c r="J3225">
        <v>0.3982</v>
      </c>
      <c r="K3225">
        <v>0.25559999999999999</v>
      </c>
      <c r="L3225">
        <v>4</v>
      </c>
      <c r="M3225">
        <v>1</v>
      </c>
      <c r="N3225">
        <v>0</v>
      </c>
      <c r="O3225" t="s">
        <v>127</v>
      </c>
      <c r="P3225" t="s">
        <v>127</v>
      </c>
      <c r="Q3225" t="s">
        <v>127</v>
      </c>
    </row>
    <row r="3226" spans="1:17" x14ac:dyDescent="0.25">
      <c r="A3226" t="str">
        <f>IF(C3226&amp;G3226&amp;D3226&lt;&gt;'Funnel setup'!$K$3&amp;'Funnel setup'!$K$4&amp;'Funnel setup'!$K$6,".",IF(A3225=".",1,A3225+1))</f>
        <v>.</v>
      </c>
      <c r="B3226" s="244" t="str">
        <f t="shared" si="50"/>
        <v>Knee Replacement RevisionProviderWEST SUFFOLK NHS FOUNDATION TRUST (RGR)EQ-5D Index</v>
      </c>
      <c r="C3226" t="s">
        <v>973</v>
      </c>
      <c r="D3226" t="s">
        <v>965</v>
      </c>
      <c r="E3226" t="s">
        <v>706</v>
      </c>
      <c r="F3226" t="s">
        <v>707</v>
      </c>
      <c r="G3226" t="s">
        <v>963</v>
      </c>
      <c r="H3226">
        <v>5</v>
      </c>
      <c r="I3226">
        <v>0.1106</v>
      </c>
      <c r="J3226">
        <v>0.66200000000000003</v>
      </c>
      <c r="K3226">
        <v>0.5514</v>
      </c>
      <c r="L3226">
        <v>5</v>
      </c>
      <c r="M3226">
        <v>0</v>
      </c>
      <c r="N3226">
        <v>0</v>
      </c>
      <c r="O3226" t="s">
        <v>127</v>
      </c>
      <c r="P3226" t="s">
        <v>127</v>
      </c>
      <c r="Q3226" t="s">
        <v>127</v>
      </c>
    </row>
    <row r="3227" spans="1:17" x14ac:dyDescent="0.25">
      <c r="A3227" t="str">
        <f>IF(C3227&amp;G3227&amp;D3227&lt;&gt;'Funnel setup'!$K$3&amp;'Funnel setup'!$K$4&amp;'Funnel setup'!$K$6,".",IF(A3226=".",1,A3226+1))</f>
        <v>.</v>
      </c>
      <c r="B3227" s="244" t="str">
        <f t="shared" si="50"/>
        <v>Knee Replacement RevisionProviderWINFIELD HOSPITAL (NVC22)EQ-5D Index</v>
      </c>
      <c r="C3227" t="s">
        <v>973</v>
      </c>
      <c r="D3227" t="s">
        <v>965</v>
      </c>
      <c r="E3227" t="s">
        <v>710</v>
      </c>
      <c r="F3227" t="s">
        <v>711</v>
      </c>
      <c r="G3227" t="s">
        <v>963</v>
      </c>
      <c r="H3227">
        <v>1</v>
      </c>
      <c r="I3227">
        <v>0.36399999999999999</v>
      </c>
      <c r="J3227">
        <v>1</v>
      </c>
      <c r="K3227">
        <v>0.63600000000000001</v>
      </c>
      <c r="L3227">
        <v>1</v>
      </c>
      <c r="M3227">
        <v>0</v>
      </c>
      <c r="N3227">
        <v>0</v>
      </c>
      <c r="O3227" t="s">
        <v>127</v>
      </c>
      <c r="P3227" t="s">
        <v>127</v>
      </c>
      <c r="Q3227" t="s">
        <v>127</v>
      </c>
    </row>
    <row r="3228" spans="1:17" x14ac:dyDescent="0.25">
      <c r="A3228" t="str">
        <f>IF(C3228&amp;G3228&amp;D3228&lt;&gt;'Funnel setup'!$K$3&amp;'Funnel setup'!$K$4&amp;'Funnel setup'!$K$6,".",IF(A3227=".",1,A3227+1))</f>
        <v>.</v>
      </c>
      <c r="B3228" s="244" t="str">
        <f t="shared" si="50"/>
        <v>Knee Replacement RevisionProviderWIRRAL UNIVERSITY TEACHING HOSPITAL NHS FOUNDATION TRUST (RBL)EQ-5D Index</v>
      </c>
      <c r="C3228" t="s">
        <v>973</v>
      </c>
      <c r="D3228" t="s">
        <v>965</v>
      </c>
      <c r="E3228" t="s">
        <v>714</v>
      </c>
      <c r="F3228" t="s">
        <v>715</v>
      </c>
      <c r="G3228" t="s">
        <v>963</v>
      </c>
      <c r="H3228">
        <v>2</v>
      </c>
      <c r="I3228">
        <v>0.43049999999999999</v>
      </c>
      <c r="J3228">
        <v>0.76049999999999995</v>
      </c>
      <c r="K3228">
        <v>0.33</v>
      </c>
      <c r="L3228">
        <v>2</v>
      </c>
      <c r="M3228">
        <v>0</v>
      </c>
      <c r="N3228">
        <v>0</v>
      </c>
      <c r="O3228" t="s">
        <v>127</v>
      </c>
      <c r="P3228" t="s">
        <v>127</v>
      </c>
      <c r="Q3228" t="s">
        <v>127</v>
      </c>
    </row>
    <row r="3229" spans="1:17" x14ac:dyDescent="0.25">
      <c r="A3229" t="str">
        <f>IF(C3229&amp;G3229&amp;D3229&lt;&gt;'Funnel setup'!$K$3&amp;'Funnel setup'!$K$4&amp;'Funnel setup'!$K$6,".",IF(A3228=".",1,A3228+1))</f>
        <v>.</v>
      </c>
      <c r="B3229" s="244" t="str">
        <f t="shared" si="50"/>
        <v>Knee Replacement RevisionProviderWOODTHORPE HOSPITAL (NVC40)EQ-5D Index</v>
      </c>
      <c r="C3229" t="s">
        <v>973</v>
      </c>
      <c r="D3229" t="s">
        <v>965</v>
      </c>
      <c r="E3229" t="s">
        <v>720</v>
      </c>
      <c r="F3229" t="s">
        <v>721</v>
      </c>
      <c r="G3229" t="s">
        <v>963</v>
      </c>
      <c r="H3229" t="s">
        <v>127</v>
      </c>
      <c r="I3229" t="s">
        <v>127</v>
      </c>
      <c r="J3229" t="s">
        <v>127</v>
      </c>
      <c r="K3229" t="s">
        <v>127</v>
      </c>
      <c r="L3229" t="s">
        <v>127</v>
      </c>
      <c r="M3229" t="s">
        <v>127</v>
      </c>
      <c r="N3229" t="s">
        <v>127</v>
      </c>
      <c r="O3229" t="s">
        <v>127</v>
      </c>
      <c r="P3229" t="s">
        <v>127</v>
      </c>
      <c r="Q3229" t="s">
        <v>127</v>
      </c>
    </row>
    <row r="3230" spans="1:17" x14ac:dyDescent="0.25">
      <c r="A3230" t="str">
        <f>IF(C3230&amp;G3230&amp;D3230&lt;&gt;'Funnel setup'!$K$3&amp;'Funnel setup'!$K$4&amp;'Funnel setup'!$K$6,".",IF(A3229=".",1,A3229+1))</f>
        <v>.</v>
      </c>
      <c r="B3230" s="244" t="str">
        <f t="shared" si="50"/>
        <v>Knee Replacement RevisionProviderWORCESTERSHIRE ACUTE HOSPITALS NHS TRUST (RWP)EQ-5D Index</v>
      </c>
      <c r="C3230" t="s">
        <v>973</v>
      </c>
      <c r="D3230" t="s">
        <v>965</v>
      </c>
      <c r="E3230" t="s">
        <v>722</v>
      </c>
      <c r="F3230" t="s">
        <v>723</v>
      </c>
      <c r="G3230" t="s">
        <v>963</v>
      </c>
      <c r="H3230">
        <v>3</v>
      </c>
      <c r="I3230">
        <v>0.33566699999999999</v>
      </c>
      <c r="J3230">
        <v>0.70233299999999999</v>
      </c>
      <c r="K3230">
        <v>0.36666700000000002</v>
      </c>
      <c r="L3230">
        <v>2</v>
      </c>
      <c r="M3230">
        <v>0</v>
      </c>
      <c r="N3230">
        <v>1</v>
      </c>
      <c r="O3230" t="s">
        <v>127</v>
      </c>
      <c r="P3230" t="s">
        <v>127</v>
      </c>
      <c r="Q3230" t="s">
        <v>127</v>
      </c>
    </row>
    <row r="3231" spans="1:17" x14ac:dyDescent="0.25">
      <c r="A3231" t="str">
        <f>IF(C3231&amp;G3231&amp;D3231&lt;&gt;'Funnel setup'!$K$3&amp;'Funnel setup'!$K$4&amp;'Funnel setup'!$K$6,".",IF(A3230=".",1,A3230+1))</f>
        <v>.</v>
      </c>
      <c r="B3231" s="244" t="str">
        <f t="shared" si="50"/>
        <v>Knee Replacement RevisionProviderWRIGHTINGTON, WIGAN AND LEIGH NHS FOUNDATION TRUST (RRF)EQ-5D Index</v>
      </c>
      <c r="C3231" t="s">
        <v>973</v>
      </c>
      <c r="D3231" t="s">
        <v>965</v>
      </c>
      <c r="E3231" t="s">
        <v>724</v>
      </c>
      <c r="F3231" t="s">
        <v>725</v>
      </c>
      <c r="G3231" t="s">
        <v>963</v>
      </c>
      <c r="H3231">
        <v>1</v>
      </c>
      <c r="I3231">
        <v>0.19500000000000001</v>
      </c>
      <c r="J3231">
        <v>0.72699999999999998</v>
      </c>
      <c r="K3231">
        <v>0.53200000000000003</v>
      </c>
      <c r="L3231">
        <v>1</v>
      </c>
      <c r="M3231">
        <v>0</v>
      </c>
      <c r="N3231">
        <v>0</v>
      </c>
      <c r="O3231" t="s">
        <v>127</v>
      </c>
      <c r="P3231" t="s">
        <v>127</v>
      </c>
      <c r="Q3231" t="s">
        <v>127</v>
      </c>
    </row>
    <row r="3232" spans="1:17" x14ac:dyDescent="0.25">
      <c r="A3232" t="str">
        <f>IF(C3232&amp;G3232&amp;D3232&lt;&gt;'Funnel setup'!$K$3&amp;'Funnel setup'!$K$4&amp;'Funnel setup'!$K$6,".",IF(A3231=".",1,A3231+1))</f>
        <v>.</v>
      </c>
      <c r="B3232" s="244" t="str">
        <f t="shared" si="50"/>
        <v>Knee Replacement RevisionProviderWYE VALLEY NHS TRUST (RLQ)EQ-5D Index</v>
      </c>
      <c r="C3232" t="s">
        <v>973</v>
      </c>
      <c r="D3232" t="s">
        <v>965</v>
      </c>
      <c r="E3232" t="s">
        <v>726</v>
      </c>
      <c r="F3232" t="s">
        <v>727</v>
      </c>
      <c r="G3232" t="s">
        <v>963</v>
      </c>
      <c r="H3232">
        <v>1</v>
      </c>
      <c r="I3232">
        <v>0.69099999999999995</v>
      </c>
      <c r="J3232">
        <v>0.79600000000000004</v>
      </c>
      <c r="K3232">
        <v>0.105</v>
      </c>
      <c r="L3232">
        <v>1</v>
      </c>
      <c r="M3232">
        <v>0</v>
      </c>
      <c r="N3232">
        <v>0</v>
      </c>
      <c r="O3232" t="s">
        <v>127</v>
      </c>
      <c r="P3232" t="s">
        <v>127</v>
      </c>
      <c r="Q3232" t="s">
        <v>127</v>
      </c>
    </row>
    <row r="3233" spans="1:17" x14ac:dyDescent="0.25">
      <c r="A3233" t="str">
        <f>IF(C3233&amp;G3233&amp;D3233&lt;&gt;'Funnel setup'!$K$3&amp;'Funnel setup'!$K$4&amp;'Funnel setup'!$K$6,".",IF(A3232=".",1,A3232+1))</f>
        <v>.</v>
      </c>
      <c r="B3233" s="244" t="str">
        <f t="shared" si="50"/>
        <v>Knee Replacement RevisionProviderASHFORD AND ST PETER'S HOSPITALS NHS FOUNDATION TRUST (RTK)Oxford Knee Score</v>
      </c>
      <c r="C3233" t="s">
        <v>973</v>
      </c>
      <c r="D3233" t="s">
        <v>965</v>
      </c>
      <c r="E3233" t="s">
        <v>132</v>
      </c>
      <c r="F3233" t="s">
        <v>133</v>
      </c>
      <c r="G3233" t="s">
        <v>972</v>
      </c>
      <c r="H3233">
        <v>1</v>
      </c>
      <c r="I3233">
        <v>20</v>
      </c>
      <c r="J3233">
        <v>16</v>
      </c>
      <c r="K3233">
        <v>-4</v>
      </c>
      <c r="L3233">
        <v>0</v>
      </c>
      <c r="M3233">
        <v>0</v>
      </c>
      <c r="N3233">
        <v>1</v>
      </c>
      <c r="O3233" t="s">
        <v>127</v>
      </c>
      <c r="P3233" t="s">
        <v>127</v>
      </c>
      <c r="Q3233" t="s">
        <v>127</v>
      </c>
    </row>
    <row r="3234" spans="1:17" x14ac:dyDescent="0.25">
      <c r="A3234" t="str">
        <f>IF(C3234&amp;G3234&amp;D3234&lt;&gt;'Funnel setup'!$K$3&amp;'Funnel setup'!$K$4&amp;'Funnel setup'!$K$6,".",IF(A3233=".",1,A3233+1))</f>
        <v>.</v>
      </c>
      <c r="B3234" s="244" t="str">
        <f t="shared" si="50"/>
        <v>Knee Replacement RevisionProviderBARKING, HAVERING AND REDBRIDGE UNIVERSITY HOSPITALS NHS TRUST (RF4)Oxford Knee Score</v>
      </c>
      <c r="C3234" t="s">
        <v>973</v>
      </c>
      <c r="D3234" t="s">
        <v>965</v>
      </c>
      <c r="E3234" t="s">
        <v>144</v>
      </c>
      <c r="F3234" t="s">
        <v>145</v>
      </c>
      <c r="G3234" t="s">
        <v>972</v>
      </c>
      <c r="H3234">
        <v>2</v>
      </c>
      <c r="I3234">
        <v>16</v>
      </c>
      <c r="J3234">
        <v>38.5</v>
      </c>
      <c r="K3234">
        <v>22.5</v>
      </c>
      <c r="L3234">
        <v>2</v>
      </c>
      <c r="M3234">
        <v>0</v>
      </c>
      <c r="N3234">
        <v>0</v>
      </c>
      <c r="O3234" t="s">
        <v>127</v>
      </c>
      <c r="P3234" t="s">
        <v>127</v>
      </c>
      <c r="Q3234" t="s">
        <v>127</v>
      </c>
    </row>
    <row r="3235" spans="1:17" x14ac:dyDescent="0.25">
      <c r="A3235" t="str">
        <f>IF(C3235&amp;G3235&amp;D3235&lt;&gt;'Funnel setup'!$K$3&amp;'Funnel setup'!$K$4&amp;'Funnel setup'!$K$6,".",IF(A3234=".",1,A3234+1))</f>
        <v>.</v>
      </c>
      <c r="B3235" s="244" t="str">
        <f t="shared" si="50"/>
        <v>Knee Replacement RevisionProviderBARNSLEY HOSPITAL NHS FOUNDATION TRUST (RFF)Oxford Knee Score</v>
      </c>
      <c r="C3235" t="s">
        <v>973</v>
      </c>
      <c r="D3235" t="s">
        <v>965</v>
      </c>
      <c r="E3235" t="s">
        <v>146</v>
      </c>
      <c r="F3235" t="s">
        <v>147</v>
      </c>
      <c r="G3235" t="s">
        <v>972</v>
      </c>
      <c r="H3235">
        <v>1</v>
      </c>
      <c r="I3235">
        <v>12</v>
      </c>
      <c r="J3235">
        <v>23</v>
      </c>
      <c r="K3235">
        <v>11</v>
      </c>
      <c r="L3235">
        <v>1</v>
      </c>
      <c r="M3235">
        <v>0</v>
      </c>
      <c r="N3235">
        <v>0</v>
      </c>
      <c r="O3235" t="s">
        <v>127</v>
      </c>
      <c r="P3235" t="s">
        <v>127</v>
      </c>
      <c r="Q3235" t="s">
        <v>127</v>
      </c>
    </row>
    <row r="3236" spans="1:17" x14ac:dyDescent="0.25">
      <c r="A3236" t="str">
        <f>IF(C3236&amp;G3236&amp;D3236&lt;&gt;'Funnel setup'!$K$3&amp;'Funnel setup'!$K$4&amp;'Funnel setup'!$K$6,".",IF(A3235=".",1,A3235+1))</f>
        <v>.</v>
      </c>
      <c r="B3236" s="244" t="str">
        <f t="shared" si="50"/>
        <v>Knee Replacement RevisionProviderBARTS HEALTH NHS TRUST (R1H)Oxford Knee Score</v>
      </c>
      <c r="C3236" t="s">
        <v>973</v>
      </c>
      <c r="D3236" t="s">
        <v>965</v>
      </c>
      <c r="E3236" t="s">
        <v>148</v>
      </c>
      <c r="F3236" t="s">
        <v>149</v>
      </c>
      <c r="G3236" t="s">
        <v>972</v>
      </c>
      <c r="H3236">
        <v>5</v>
      </c>
      <c r="I3236">
        <v>17.2</v>
      </c>
      <c r="J3236">
        <v>26</v>
      </c>
      <c r="K3236">
        <v>8.8000000000000007</v>
      </c>
      <c r="L3236">
        <v>5</v>
      </c>
      <c r="M3236">
        <v>0</v>
      </c>
      <c r="N3236">
        <v>0</v>
      </c>
      <c r="O3236" t="s">
        <v>127</v>
      </c>
      <c r="P3236" t="s">
        <v>127</v>
      </c>
      <c r="Q3236" t="s">
        <v>127</v>
      </c>
    </row>
    <row r="3237" spans="1:17" x14ac:dyDescent="0.25">
      <c r="A3237" t="str">
        <f>IF(C3237&amp;G3237&amp;D3237&lt;&gt;'Funnel setup'!$K$3&amp;'Funnel setup'!$K$4&amp;'Funnel setup'!$K$6,".",IF(A3236=".",1,A3236+1))</f>
        <v>.</v>
      </c>
      <c r="B3237" s="244" t="str">
        <f t="shared" si="50"/>
        <v>Knee Replacement RevisionProviderBEARDWOOD HOSPITAL (NT403)Oxford Knee Score</v>
      </c>
      <c r="C3237" t="s">
        <v>973</v>
      </c>
      <c r="D3237" t="s">
        <v>965</v>
      </c>
      <c r="E3237" t="s">
        <v>154</v>
      </c>
      <c r="F3237" t="s">
        <v>155</v>
      </c>
      <c r="G3237" t="s">
        <v>972</v>
      </c>
      <c r="H3237" t="s">
        <v>127</v>
      </c>
      <c r="I3237" t="s">
        <v>127</v>
      </c>
      <c r="J3237" t="s">
        <v>127</v>
      </c>
      <c r="K3237" t="s">
        <v>127</v>
      </c>
      <c r="L3237" t="s">
        <v>127</v>
      </c>
      <c r="M3237" t="s">
        <v>127</v>
      </c>
      <c r="N3237" t="s">
        <v>127</v>
      </c>
      <c r="O3237" t="s">
        <v>127</v>
      </c>
      <c r="P3237" t="s">
        <v>127</v>
      </c>
      <c r="Q3237" t="s">
        <v>127</v>
      </c>
    </row>
    <row r="3238" spans="1:17" x14ac:dyDescent="0.25">
      <c r="A3238" t="str">
        <f>IF(C3238&amp;G3238&amp;D3238&lt;&gt;'Funnel setup'!$K$3&amp;'Funnel setup'!$K$4&amp;'Funnel setup'!$K$6,".",IF(A3237=".",1,A3237+1))</f>
        <v>.</v>
      </c>
      <c r="B3238" s="244" t="str">
        <f t="shared" si="50"/>
        <v>Knee Replacement RevisionProviderBEAUMONT HOSPITAL (NT404)Oxford Knee Score</v>
      </c>
      <c r="C3238" t="s">
        <v>973</v>
      </c>
      <c r="D3238" t="s">
        <v>965</v>
      </c>
      <c r="E3238" t="s">
        <v>156</v>
      </c>
      <c r="F3238" t="s">
        <v>157</v>
      </c>
      <c r="G3238" t="s">
        <v>972</v>
      </c>
      <c r="H3238" t="s">
        <v>127</v>
      </c>
      <c r="I3238" t="s">
        <v>127</v>
      </c>
      <c r="J3238" t="s">
        <v>127</v>
      </c>
      <c r="K3238" t="s">
        <v>127</v>
      </c>
      <c r="L3238" t="s">
        <v>127</v>
      </c>
      <c r="M3238" t="s">
        <v>127</v>
      </c>
      <c r="N3238" t="s">
        <v>127</v>
      </c>
      <c r="O3238" t="s">
        <v>127</v>
      </c>
      <c r="P3238" t="s">
        <v>127</v>
      </c>
      <c r="Q3238" t="s">
        <v>127</v>
      </c>
    </row>
    <row r="3239" spans="1:17" x14ac:dyDescent="0.25">
      <c r="A3239" t="str">
        <f>IF(C3239&amp;G3239&amp;D3239&lt;&gt;'Funnel setup'!$K$3&amp;'Funnel setup'!$K$4&amp;'Funnel setup'!$K$6,".",IF(A3238=".",1,A3238+1))</f>
        <v>.</v>
      </c>
      <c r="B3239" s="244" t="str">
        <f t="shared" si="50"/>
        <v>Knee Replacement RevisionProviderBEDFORDSHIRE HOSPITALS NHS FOUNDATION TRUST (RC9)Oxford Knee Score</v>
      </c>
      <c r="C3239" t="s">
        <v>973</v>
      </c>
      <c r="D3239" t="s">
        <v>965</v>
      </c>
      <c r="E3239" t="s">
        <v>158</v>
      </c>
      <c r="F3239" t="s">
        <v>159</v>
      </c>
      <c r="G3239" t="s">
        <v>972</v>
      </c>
      <c r="H3239">
        <v>4</v>
      </c>
      <c r="I3239">
        <v>17.5</v>
      </c>
      <c r="J3239">
        <v>37</v>
      </c>
      <c r="K3239">
        <v>19.5</v>
      </c>
      <c r="L3239">
        <v>4</v>
      </c>
      <c r="M3239">
        <v>0</v>
      </c>
      <c r="N3239">
        <v>0</v>
      </c>
      <c r="O3239" t="s">
        <v>127</v>
      </c>
      <c r="P3239" t="s">
        <v>127</v>
      </c>
      <c r="Q3239" t="s">
        <v>127</v>
      </c>
    </row>
    <row r="3240" spans="1:17" x14ac:dyDescent="0.25">
      <c r="A3240" t="str">
        <f>IF(C3240&amp;G3240&amp;D3240&lt;&gt;'Funnel setup'!$K$3&amp;'Funnel setup'!$K$4&amp;'Funnel setup'!$K$6,".",IF(A3239=".",1,A3239+1))</f>
        <v>.</v>
      </c>
      <c r="B3240" s="244" t="str">
        <f t="shared" si="50"/>
        <v>Knee Replacement RevisionProviderBLACKPOOL TEACHING HOSPITALS NHS FOUNDATION TRUST (RXL)Oxford Knee Score</v>
      </c>
      <c r="C3240" t="s">
        <v>973</v>
      </c>
      <c r="D3240" t="s">
        <v>965</v>
      </c>
      <c r="E3240" t="s">
        <v>170</v>
      </c>
      <c r="F3240" t="s">
        <v>171</v>
      </c>
      <c r="G3240" t="s">
        <v>972</v>
      </c>
      <c r="H3240">
        <v>1</v>
      </c>
      <c r="I3240">
        <v>10</v>
      </c>
      <c r="J3240">
        <v>29</v>
      </c>
      <c r="K3240">
        <v>19</v>
      </c>
      <c r="L3240">
        <v>1</v>
      </c>
      <c r="M3240">
        <v>0</v>
      </c>
      <c r="N3240">
        <v>0</v>
      </c>
      <c r="O3240" t="s">
        <v>127</v>
      </c>
      <c r="P3240" t="s">
        <v>127</v>
      </c>
      <c r="Q3240" t="s">
        <v>127</v>
      </c>
    </row>
    <row r="3241" spans="1:17" x14ac:dyDescent="0.25">
      <c r="A3241" t="str">
        <f>IF(C3241&amp;G3241&amp;D3241&lt;&gt;'Funnel setup'!$K$3&amp;'Funnel setup'!$K$4&amp;'Funnel setup'!$K$6,".",IF(A3240=".",1,A3240+1))</f>
        <v>.</v>
      </c>
      <c r="B3241" s="244" t="str">
        <f t="shared" si="50"/>
        <v>Knee Replacement RevisionProviderBOLTON NHS FOUNDATION TRUST (RMC)Oxford Knee Score</v>
      </c>
      <c r="C3241" t="s">
        <v>973</v>
      </c>
      <c r="D3241" t="s">
        <v>965</v>
      </c>
      <c r="E3241" t="s">
        <v>172</v>
      </c>
      <c r="F3241" t="s">
        <v>173</v>
      </c>
      <c r="G3241" t="s">
        <v>972</v>
      </c>
      <c r="H3241">
        <v>4</v>
      </c>
      <c r="I3241">
        <v>19.5</v>
      </c>
      <c r="J3241">
        <v>30</v>
      </c>
      <c r="K3241">
        <v>10.5</v>
      </c>
      <c r="L3241">
        <v>4</v>
      </c>
      <c r="M3241">
        <v>0</v>
      </c>
      <c r="N3241">
        <v>0</v>
      </c>
      <c r="O3241" t="s">
        <v>127</v>
      </c>
      <c r="P3241" t="s">
        <v>127</v>
      </c>
      <c r="Q3241" t="s">
        <v>127</v>
      </c>
    </row>
    <row r="3242" spans="1:17" x14ac:dyDescent="0.25">
      <c r="A3242" t="str">
        <f>IF(C3242&amp;G3242&amp;D3242&lt;&gt;'Funnel setup'!$K$3&amp;'Funnel setup'!$K$4&amp;'Funnel setup'!$K$6,".",IF(A3241=".",1,A3241+1))</f>
        <v>.</v>
      </c>
      <c r="B3242" s="244" t="str">
        <f t="shared" si="50"/>
        <v>Knee Replacement RevisionProviderBRADFORD TEACHING HOSPITALS NHS FOUNDATION TRUST (RAE)Oxford Knee Score</v>
      </c>
      <c r="C3242" t="s">
        <v>973</v>
      </c>
      <c r="D3242" t="s">
        <v>965</v>
      </c>
      <c r="E3242" t="s">
        <v>174</v>
      </c>
      <c r="F3242" t="s">
        <v>175</v>
      </c>
      <c r="G3242" t="s">
        <v>972</v>
      </c>
      <c r="H3242">
        <v>1</v>
      </c>
      <c r="I3242">
        <v>17</v>
      </c>
      <c r="J3242">
        <v>21</v>
      </c>
      <c r="K3242">
        <v>4</v>
      </c>
      <c r="L3242">
        <v>1</v>
      </c>
      <c r="M3242">
        <v>0</v>
      </c>
      <c r="N3242">
        <v>0</v>
      </c>
      <c r="O3242" t="s">
        <v>127</v>
      </c>
      <c r="P3242" t="s">
        <v>127</v>
      </c>
      <c r="Q3242" t="s">
        <v>127</v>
      </c>
    </row>
    <row r="3243" spans="1:17" x14ac:dyDescent="0.25">
      <c r="A3243" t="str">
        <f>IF(C3243&amp;G3243&amp;D3243&lt;&gt;'Funnel setup'!$K$3&amp;'Funnel setup'!$K$4&amp;'Funnel setup'!$K$6,".",IF(A3242=".",1,A3242+1))</f>
        <v>.</v>
      </c>
      <c r="B3243" s="244" t="str">
        <f t="shared" si="50"/>
        <v>Knee Replacement RevisionProviderBUCKINGHAMSHIRE HEALTHCARE NHS TRUST (RXQ)Oxford Knee Score</v>
      </c>
      <c r="C3243" t="s">
        <v>973</v>
      </c>
      <c r="D3243" t="s">
        <v>965</v>
      </c>
      <c r="E3243" t="s">
        <v>178</v>
      </c>
      <c r="F3243" t="s">
        <v>179</v>
      </c>
      <c r="G3243" t="s">
        <v>972</v>
      </c>
      <c r="H3243">
        <v>1</v>
      </c>
      <c r="I3243">
        <v>23</v>
      </c>
      <c r="J3243">
        <v>32</v>
      </c>
      <c r="K3243">
        <v>9</v>
      </c>
      <c r="L3243">
        <v>1</v>
      </c>
      <c r="M3243">
        <v>0</v>
      </c>
      <c r="N3243">
        <v>0</v>
      </c>
      <c r="O3243" t="s">
        <v>127</v>
      </c>
      <c r="P3243" t="s">
        <v>127</v>
      </c>
      <c r="Q3243" t="s">
        <v>127</v>
      </c>
    </row>
    <row r="3244" spans="1:17" x14ac:dyDescent="0.25">
      <c r="A3244" t="str">
        <f>IF(C3244&amp;G3244&amp;D3244&lt;&gt;'Funnel setup'!$K$3&amp;'Funnel setup'!$K$4&amp;'Funnel setup'!$K$6,".",IF(A3243=".",1,A3243+1))</f>
        <v>.</v>
      </c>
      <c r="B3244" s="244" t="str">
        <f t="shared" si="50"/>
        <v>Knee Replacement RevisionProviderCALDERDALE AND HUDDERSFIELD NHS FOUNDATION TRUST (RWY)Oxford Knee Score</v>
      </c>
      <c r="C3244" t="s">
        <v>973</v>
      </c>
      <c r="D3244" t="s">
        <v>965</v>
      </c>
      <c r="E3244" t="s">
        <v>180</v>
      </c>
      <c r="F3244" t="s">
        <v>181</v>
      </c>
      <c r="G3244" t="s">
        <v>972</v>
      </c>
      <c r="H3244">
        <v>5</v>
      </c>
      <c r="I3244">
        <v>20.2</v>
      </c>
      <c r="J3244">
        <v>30.2</v>
      </c>
      <c r="K3244">
        <v>10</v>
      </c>
      <c r="L3244">
        <v>3</v>
      </c>
      <c r="M3244">
        <v>1</v>
      </c>
      <c r="N3244">
        <v>1</v>
      </c>
      <c r="O3244" t="s">
        <v>127</v>
      </c>
      <c r="P3244" t="s">
        <v>127</v>
      </c>
      <c r="Q3244" t="s">
        <v>127</v>
      </c>
    </row>
    <row r="3245" spans="1:17" x14ac:dyDescent="0.25">
      <c r="A3245" t="str">
        <f>IF(C3245&amp;G3245&amp;D3245&lt;&gt;'Funnel setup'!$K$3&amp;'Funnel setup'!$K$4&amp;'Funnel setup'!$K$6,".",IF(A3244=".",1,A3244+1))</f>
        <v>.</v>
      </c>
      <c r="B3245" s="244" t="str">
        <f t="shared" si="50"/>
        <v>Knee Replacement RevisionProviderCAMBRIDGE UNIVERSITY HOSPITALS NHS FOUNDATION TRUST (RGT)Oxford Knee Score</v>
      </c>
      <c r="C3245" t="s">
        <v>973</v>
      </c>
      <c r="D3245" t="s">
        <v>965</v>
      </c>
      <c r="E3245" t="s">
        <v>182</v>
      </c>
      <c r="F3245" t="s">
        <v>183</v>
      </c>
      <c r="G3245" t="s">
        <v>972</v>
      </c>
      <c r="H3245">
        <v>4</v>
      </c>
      <c r="I3245">
        <v>13.5</v>
      </c>
      <c r="J3245">
        <v>27.75</v>
      </c>
      <c r="K3245">
        <v>14.25</v>
      </c>
      <c r="L3245">
        <v>4</v>
      </c>
      <c r="M3245">
        <v>0</v>
      </c>
      <c r="N3245">
        <v>0</v>
      </c>
      <c r="O3245" t="s">
        <v>127</v>
      </c>
      <c r="P3245" t="s">
        <v>127</v>
      </c>
      <c r="Q3245" t="s">
        <v>127</v>
      </c>
    </row>
    <row r="3246" spans="1:17" x14ac:dyDescent="0.25">
      <c r="A3246" t="str">
        <f>IF(C3246&amp;G3246&amp;D3246&lt;&gt;'Funnel setup'!$K$3&amp;'Funnel setup'!$K$4&amp;'Funnel setup'!$K$6,".",IF(A3245=".",1,A3245+1))</f>
        <v>.</v>
      </c>
      <c r="B3246" s="244" t="str">
        <f t="shared" si="50"/>
        <v>Knee Replacement RevisionProviderCAVELL HOSPITAL (NT451)Oxford Knee Score</v>
      </c>
      <c r="C3246" t="s">
        <v>973</v>
      </c>
      <c r="D3246" t="s">
        <v>965</v>
      </c>
      <c r="E3246" t="s">
        <v>184</v>
      </c>
      <c r="F3246" t="s">
        <v>185</v>
      </c>
      <c r="G3246" t="s">
        <v>972</v>
      </c>
      <c r="H3246" t="s">
        <v>127</v>
      </c>
      <c r="I3246" t="s">
        <v>127</v>
      </c>
      <c r="J3246" t="s">
        <v>127</v>
      </c>
      <c r="K3246" t="s">
        <v>127</v>
      </c>
      <c r="L3246" t="s">
        <v>127</v>
      </c>
      <c r="M3246" t="s">
        <v>127</v>
      </c>
      <c r="N3246" t="s">
        <v>127</v>
      </c>
      <c r="O3246" t="s">
        <v>127</v>
      </c>
      <c r="P3246" t="s">
        <v>127</v>
      </c>
      <c r="Q3246" t="s">
        <v>127</v>
      </c>
    </row>
    <row r="3247" spans="1:17" x14ac:dyDescent="0.25">
      <c r="A3247" t="str">
        <f>IF(C3247&amp;G3247&amp;D3247&lt;&gt;'Funnel setup'!$K$3&amp;'Funnel setup'!$K$4&amp;'Funnel setup'!$K$6,".",IF(A3246=".",1,A3246+1))</f>
        <v>.</v>
      </c>
      <c r="B3247" s="244" t="str">
        <f t="shared" si="50"/>
        <v>Knee Replacement RevisionProviderCHELSEA AND WESTMINSTER HOSPITAL NHS FOUNDATION TRUST (RQM)Oxford Knee Score</v>
      </c>
      <c r="C3247" t="s">
        <v>973</v>
      </c>
      <c r="D3247" t="s">
        <v>965</v>
      </c>
      <c r="E3247" t="s">
        <v>188</v>
      </c>
      <c r="F3247" t="s">
        <v>189</v>
      </c>
      <c r="G3247" t="s">
        <v>972</v>
      </c>
      <c r="H3247">
        <v>1</v>
      </c>
      <c r="I3247">
        <v>22</v>
      </c>
      <c r="J3247">
        <v>27</v>
      </c>
      <c r="K3247">
        <v>5</v>
      </c>
      <c r="L3247">
        <v>1</v>
      </c>
      <c r="M3247">
        <v>0</v>
      </c>
      <c r="N3247">
        <v>0</v>
      </c>
      <c r="O3247" t="s">
        <v>127</v>
      </c>
      <c r="P3247" t="s">
        <v>127</v>
      </c>
      <c r="Q3247" t="s">
        <v>127</v>
      </c>
    </row>
    <row r="3248" spans="1:17" x14ac:dyDescent="0.25">
      <c r="A3248" t="str">
        <f>IF(C3248&amp;G3248&amp;D3248&lt;&gt;'Funnel setup'!$K$3&amp;'Funnel setup'!$K$4&amp;'Funnel setup'!$K$6,".",IF(A3247=".",1,A3247+1))</f>
        <v>.</v>
      </c>
      <c r="B3248" s="244" t="str">
        <f t="shared" si="50"/>
        <v>Knee Replacement RevisionProviderCHESTERFIELD ROYAL HOSPITAL NHS FOUNDATION TRUST (RFS)Oxford Knee Score</v>
      </c>
      <c r="C3248" t="s">
        <v>973</v>
      </c>
      <c r="D3248" t="s">
        <v>965</v>
      </c>
      <c r="E3248" t="s">
        <v>192</v>
      </c>
      <c r="F3248" t="s">
        <v>193</v>
      </c>
      <c r="G3248" t="s">
        <v>972</v>
      </c>
      <c r="H3248">
        <v>2</v>
      </c>
      <c r="I3248">
        <v>6.5</v>
      </c>
      <c r="J3248">
        <v>18.5</v>
      </c>
      <c r="K3248">
        <v>12</v>
      </c>
      <c r="L3248">
        <v>2</v>
      </c>
      <c r="M3248">
        <v>0</v>
      </c>
      <c r="N3248">
        <v>0</v>
      </c>
      <c r="O3248" t="s">
        <v>127</v>
      </c>
      <c r="P3248" t="s">
        <v>127</v>
      </c>
      <c r="Q3248" t="s">
        <v>127</v>
      </c>
    </row>
    <row r="3249" spans="1:17" x14ac:dyDescent="0.25">
      <c r="A3249" t="str">
        <f>IF(C3249&amp;G3249&amp;D3249&lt;&gt;'Funnel setup'!$K$3&amp;'Funnel setup'!$K$4&amp;'Funnel setup'!$K$6,".",IF(A3248=".",1,A3248+1))</f>
        <v>.</v>
      </c>
      <c r="B3249" s="244" t="str">
        <f t="shared" si="50"/>
        <v>Knee Replacement RevisionProviderCLEMENTINE CHURCHILL HOSPITAL (NT411)Oxford Knee Score</v>
      </c>
      <c r="C3249" t="s">
        <v>973</v>
      </c>
      <c r="D3249" t="s">
        <v>965</v>
      </c>
      <c r="E3249" t="s">
        <v>200</v>
      </c>
      <c r="F3249" t="s">
        <v>201</v>
      </c>
      <c r="G3249" t="s">
        <v>972</v>
      </c>
      <c r="H3249" t="s">
        <v>127</v>
      </c>
      <c r="I3249" t="s">
        <v>127</v>
      </c>
      <c r="J3249" t="s">
        <v>127</v>
      </c>
      <c r="K3249" t="s">
        <v>127</v>
      </c>
      <c r="L3249" t="s">
        <v>127</v>
      </c>
      <c r="M3249" t="s">
        <v>127</v>
      </c>
      <c r="N3249" t="s">
        <v>127</v>
      </c>
      <c r="O3249" t="s">
        <v>127</v>
      </c>
      <c r="P3249" t="s">
        <v>127</v>
      </c>
      <c r="Q3249" t="s">
        <v>127</v>
      </c>
    </row>
    <row r="3250" spans="1:17" x14ac:dyDescent="0.25">
      <c r="A3250" t="str">
        <f>IF(C3250&amp;G3250&amp;D3250&lt;&gt;'Funnel setup'!$K$3&amp;'Funnel setup'!$K$4&amp;'Funnel setup'!$K$6,".",IF(A3249=".",1,A3249+1))</f>
        <v>.</v>
      </c>
      <c r="B3250" s="244" t="str">
        <f t="shared" si="50"/>
        <v>Knee Replacement RevisionProviderCLIFTON PARK HOSPITAL (NVC28)Oxford Knee Score</v>
      </c>
      <c r="C3250" t="s">
        <v>973</v>
      </c>
      <c r="D3250" t="s">
        <v>965</v>
      </c>
      <c r="E3250" t="s">
        <v>202</v>
      </c>
      <c r="F3250" t="s">
        <v>203</v>
      </c>
      <c r="G3250" t="s">
        <v>972</v>
      </c>
      <c r="H3250">
        <v>6</v>
      </c>
      <c r="I3250">
        <v>20.5</v>
      </c>
      <c r="J3250">
        <v>37.333300000000001</v>
      </c>
      <c r="K3250">
        <v>16.833300000000001</v>
      </c>
      <c r="L3250">
        <v>6</v>
      </c>
      <c r="M3250">
        <v>0</v>
      </c>
      <c r="N3250">
        <v>0</v>
      </c>
      <c r="O3250" t="s">
        <v>127</v>
      </c>
      <c r="P3250" t="s">
        <v>127</v>
      </c>
      <c r="Q3250" t="s">
        <v>127</v>
      </c>
    </row>
    <row r="3251" spans="1:17" x14ac:dyDescent="0.25">
      <c r="A3251" t="str">
        <f>IF(C3251&amp;G3251&amp;D3251&lt;&gt;'Funnel setup'!$K$3&amp;'Funnel setup'!$K$4&amp;'Funnel setup'!$K$6,".",IF(A3250=".",1,A3250+1))</f>
        <v>.</v>
      </c>
      <c r="B3251" s="244" t="str">
        <f t="shared" si="50"/>
        <v>Knee Replacement RevisionProviderCOUNTY DURHAM AND DARLINGTON NHS FOUNDATION TRUST (RXP)Oxford Knee Score</v>
      </c>
      <c r="C3251" t="s">
        <v>973</v>
      </c>
      <c r="D3251" t="s">
        <v>965</v>
      </c>
      <c r="E3251" t="s">
        <v>206</v>
      </c>
      <c r="F3251" t="s">
        <v>207</v>
      </c>
      <c r="G3251" t="s">
        <v>972</v>
      </c>
      <c r="H3251">
        <v>2</v>
      </c>
      <c r="I3251">
        <v>24.5</v>
      </c>
      <c r="J3251">
        <v>30</v>
      </c>
      <c r="K3251">
        <v>5.5</v>
      </c>
      <c r="L3251">
        <v>1</v>
      </c>
      <c r="M3251">
        <v>0</v>
      </c>
      <c r="N3251">
        <v>1</v>
      </c>
      <c r="O3251" t="s">
        <v>127</v>
      </c>
      <c r="P3251" t="s">
        <v>127</v>
      </c>
      <c r="Q3251" t="s">
        <v>127</v>
      </c>
    </row>
    <row r="3252" spans="1:17" x14ac:dyDescent="0.25">
      <c r="A3252" t="str">
        <f>IF(C3252&amp;G3252&amp;D3252&lt;&gt;'Funnel setup'!$K$3&amp;'Funnel setup'!$K$4&amp;'Funnel setup'!$K$6,".",IF(A3251=".",1,A3251+1))</f>
        <v>.</v>
      </c>
      <c r="B3252" s="244" t="str">
        <f t="shared" si="50"/>
        <v>Knee Replacement RevisionProviderDONCASTER AND BASSETLAW TEACHING HOSPITALS NHS FOUNDATION TRUST (RP5)Oxford Knee Score</v>
      </c>
      <c r="C3252" t="s">
        <v>973</v>
      </c>
      <c r="D3252" t="s">
        <v>965</v>
      </c>
      <c r="E3252" t="s">
        <v>212</v>
      </c>
      <c r="F3252" t="s">
        <v>213</v>
      </c>
      <c r="G3252" t="s">
        <v>972</v>
      </c>
      <c r="H3252">
        <v>1</v>
      </c>
      <c r="I3252">
        <v>13</v>
      </c>
      <c r="J3252">
        <v>18</v>
      </c>
      <c r="K3252">
        <v>5</v>
      </c>
      <c r="L3252">
        <v>1</v>
      </c>
      <c r="M3252">
        <v>0</v>
      </c>
      <c r="N3252">
        <v>0</v>
      </c>
      <c r="O3252" t="s">
        <v>127</v>
      </c>
      <c r="P3252" t="s">
        <v>127</v>
      </c>
      <c r="Q3252" t="s">
        <v>127</v>
      </c>
    </row>
    <row r="3253" spans="1:17" x14ac:dyDescent="0.25">
      <c r="A3253" t="str">
        <f>IF(C3253&amp;G3253&amp;D3253&lt;&gt;'Funnel setup'!$K$3&amp;'Funnel setup'!$K$4&amp;'Funnel setup'!$K$6,".",IF(A3252=".",1,A3252+1))</f>
        <v>.</v>
      </c>
      <c r="B3253" s="244" t="str">
        <f t="shared" si="50"/>
        <v>Knee Replacement RevisionProviderDUCHY HOSPITAL (NVC04)Oxford Knee Score</v>
      </c>
      <c r="C3253" t="s">
        <v>973</v>
      </c>
      <c r="D3253" t="s">
        <v>965</v>
      </c>
      <c r="E3253" t="s">
        <v>220</v>
      </c>
      <c r="F3253" t="s">
        <v>221</v>
      </c>
      <c r="G3253" t="s">
        <v>972</v>
      </c>
      <c r="H3253">
        <v>3</v>
      </c>
      <c r="I3253">
        <v>17.333300000000001</v>
      </c>
      <c r="J3253">
        <v>32.333300000000001</v>
      </c>
      <c r="K3253">
        <v>15</v>
      </c>
      <c r="L3253">
        <v>3</v>
      </c>
      <c r="M3253">
        <v>0</v>
      </c>
      <c r="N3253">
        <v>0</v>
      </c>
      <c r="O3253" t="s">
        <v>127</v>
      </c>
      <c r="P3253" t="s">
        <v>127</v>
      </c>
      <c r="Q3253" t="s">
        <v>127</v>
      </c>
    </row>
    <row r="3254" spans="1:17" x14ac:dyDescent="0.25">
      <c r="A3254" t="str">
        <f>IF(C3254&amp;G3254&amp;D3254&lt;&gt;'Funnel setup'!$K$3&amp;'Funnel setup'!$K$4&amp;'Funnel setup'!$K$6,".",IF(A3253=".",1,A3253+1))</f>
        <v>.</v>
      </c>
      <c r="B3254" s="244" t="str">
        <f t="shared" si="50"/>
        <v>Knee Replacement RevisionProviderEAST KENT HOSPITALS UNIVERSITY NHS FOUNDATION TRUST (RVV)Oxford Knee Score</v>
      </c>
      <c r="C3254" t="s">
        <v>973</v>
      </c>
      <c r="D3254" t="s">
        <v>965</v>
      </c>
      <c r="E3254" t="s">
        <v>228</v>
      </c>
      <c r="F3254" t="s">
        <v>229</v>
      </c>
      <c r="G3254" t="s">
        <v>972</v>
      </c>
      <c r="H3254">
        <v>8</v>
      </c>
      <c r="I3254">
        <v>13.75</v>
      </c>
      <c r="J3254">
        <v>35.625</v>
      </c>
      <c r="K3254">
        <v>21.875</v>
      </c>
      <c r="L3254">
        <v>8</v>
      </c>
      <c r="M3254">
        <v>0</v>
      </c>
      <c r="N3254">
        <v>0</v>
      </c>
      <c r="O3254" t="s">
        <v>127</v>
      </c>
      <c r="P3254" t="s">
        <v>127</v>
      </c>
      <c r="Q3254" t="s">
        <v>127</v>
      </c>
    </row>
    <row r="3255" spans="1:17" x14ac:dyDescent="0.25">
      <c r="A3255" t="str">
        <f>IF(C3255&amp;G3255&amp;D3255&lt;&gt;'Funnel setup'!$K$3&amp;'Funnel setup'!$K$4&amp;'Funnel setup'!$K$6,".",IF(A3254=".",1,A3254+1))</f>
        <v>.</v>
      </c>
      <c r="B3255" s="244" t="str">
        <f t="shared" si="50"/>
        <v>Knee Replacement RevisionProviderEAST LANCASHIRE HOSPITALS NHS TRUST (RXR)Oxford Knee Score</v>
      </c>
      <c r="C3255" t="s">
        <v>973</v>
      </c>
      <c r="D3255" t="s">
        <v>965</v>
      </c>
      <c r="E3255" t="s">
        <v>230</v>
      </c>
      <c r="F3255" t="s">
        <v>231</v>
      </c>
      <c r="G3255" t="s">
        <v>972</v>
      </c>
      <c r="H3255">
        <v>3</v>
      </c>
      <c r="I3255">
        <v>19.666699999999999</v>
      </c>
      <c r="J3255">
        <v>34</v>
      </c>
      <c r="K3255">
        <v>14.333299999999999</v>
      </c>
      <c r="L3255">
        <v>3</v>
      </c>
      <c r="M3255">
        <v>0</v>
      </c>
      <c r="N3255">
        <v>0</v>
      </c>
      <c r="O3255" t="s">
        <v>127</v>
      </c>
      <c r="P3255" t="s">
        <v>127</v>
      </c>
      <c r="Q3255" t="s">
        <v>127</v>
      </c>
    </row>
    <row r="3256" spans="1:17" x14ac:dyDescent="0.25">
      <c r="A3256" t="str">
        <f>IF(C3256&amp;G3256&amp;D3256&lt;&gt;'Funnel setup'!$K$3&amp;'Funnel setup'!$K$4&amp;'Funnel setup'!$K$6,".",IF(A3255=".",1,A3255+1))</f>
        <v>.</v>
      </c>
      <c r="B3256" s="244" t="str">
        <f t="shared" si="50"/>
        <v>Knee Replacement RevisionProviderEAST SUFFOLK AND NORTH ESSEX NHS FOUNDATION TRUST (RDE)Oxford Knee Score</v>
      </c>
      <c r="C3256" t="s">
        <v>973</v>
      </c>
      <c r="D3256" t="s">
        <v>965</v>
      </c>
      <c r="E3256" t="s">
        <v>232</v>
      </c>
      <c r="F3256" t="s">
        <v>233</v>
      </c>
      <c r="G3256" t="s">
        <v>972</v>
      </c>
      <c r="H3256">
        <v>3</v>
      </c>
      <c r="I3256">
        <v>13</v>
      </c>
      <c r="J3256">
        <v>39.666699999999999</v>
      </c>
      <c r="K3256">
        <v>26.666699999999999</v>
      </c>
      <c r="L3256">
        <v>3</v>
      </c>
      <c r="M3256">
        <v>0</v>
      </c>
      <c r="N3256">
        <v>0</v>
      </c>
      <c r="O3256" t="s">
        <v>127</v>
      </c>
      <c r="P3256" t="s">
        <v>127</v>
      </c>
      <c r="Q3256" t="s">
        <v>127</v>
      </c>
    </row>
    <row r="3257" spans="1:17" x14ac:dyDescent="0.25">
      <c r="A3257" t="str">
        <f>IF(C3257&amp;G3257&amp;D3257&lt;&gt;'Funnel setup'!$K$3&amp;'Funnel setup'!$K$4&amp;'Funnel setup'!$K$6,".",IF(A3256=".",1,A3256+1))</f>
        <v>.</v>
      </c>
      <c r="B3257" s="244" t="str">
        <f t="shared" si="50"/>
        <v>Knee Replacement RevisionProviderEAST SUSSEX HEALTHCARE NHS TRUST (RXC)Oxford Knee Score</v>
      </c>
      <c r="C3257" t="s">
        <v>973</v>
      </c>
      <c r="D3257" t="s">
        <v>965</v>
      </c>
      <c r="E3257" t="s">
        <v>234</v>
      </c>
      <c r="F3257" t="s">
        <v>235</v>
      </c>
      <c r="G3257" t="s">
        <v>972</v>
      </c>
      <c r="H3257">
        <v>5</v>
      </c>
      <c r="I3257">
        <v>10.8</v>
      </c>
      <c r="J3257">
        <v>36.200000000000003</v>
      </c>
      <c r="K3257">
        <v>25.4</v>
      </c>
      <c r="L3257">
        <v>4</v>
      </c>
      <c r="M3257">
        <v>0</v>
      </c>
      <c r="N3257">
        <v>1</v>
      </c>
      <c r="O3257" t="s">
        <v>127</v>
      </c>
      <c r="P3257" t="s">
        <v>127</v>
      </c>
      <c r="Q3257" t="s">
        <v>127</v>
      </c>
    </row>
    <row r="3258" spans="1:17" x14ac:dyDescent="0.25">
      <c r="A3258" t="str">
        <f>IF(C3258&amp;G3258&amp;D3258&lt;&gt;'Funnel setup'!$K$3&amp;'Funnel setup'!$K$4&amp;'Funnel setup'!$K$6,".",IF(A3257=".",1,A3257+1))</f>
        <v>.</v>
      </c>
      <c r="B3258" s="244" t="str">
        <f t="shared" si="50"/>
        <v>Knee Replacement RevisionProviderEPSOM AND ST HELIER UNIVERSITY HOSPITALS NHS TRUST (RVR)Oxford Knee Score</v>
      </c>
      <c r="C3258" t="s">
        <v>973</v>
      </c>
      <c r="D3258" t="s">
        <v>965</v>
      </c>
      <c r="E3258" t="s">
        <v>238</v>
      </c>
      <c r="F3258" t="s">
        <v>239</v>
      </c>
      <c r="G3258" t="s">
        <v>972</v>
      </c>
      <c r="H3258">
        <v>15</v>
      </c>
      <c r="I3258">
        <v>16.866700000000002</v>
      </c>
      <c r="J3258">
        <v>30.4</v>
      </c>
      <c r="K3258">
        <v>13.533300000000001</v>
      </c>
      <c r="L3258">
        <v>12</v>
      </c>
      <c r="M3258">
        <v>0</v>
      </c>
      <c r="N3258">
        <v>3</v>
      </c>
      <c r="O3258" t="s">
        <v>127</v>
      </c>
      <c r="P3258" t="s">
        <v>127</v>
      </c>
      <c r="Q3258" t="s">
        <v>127</v>
      </c>
    </row>
    <row r="3259" spans="1:17" x14ac:dyDescent="0.25">
      <c r="A3259" t="str">
        <f>IF(C3259&amp;G3259&amp;D3259&lt;&gt;'Funnel setup'!$K$3&amp;'Funnel setup'!$K$4&amp;'Funnel setup'!$K$6,".",IF(A3258=".",1,A3258+1))</f>
        <v>.</v>
      </c>
      <c r="B3259" s="244" t="str">
        <f t="shared" si="50"/>
        <v>Knee Replacement RevisionProviderEUXTON HALL HOSPITAL (NVC05)Oxford Knee Score</v>
      </c>
      <c r="C3259" t="s">
        <v>973</v>
      </c>
      <c r="D3259" t="s">
        <v>965</v>
      </c>
      <c r="E3259" t="s">
        <v>240</v>
      </c>
      <c r="F3259" t="s">
        <v>241</v>
      </c>
      <c r="G3259" t="s">
        <v>972</v>
      </c>
      <c r="H3259" t="s">
        <v>127</v>
      </c>
      <c r="I3259" t="s">
        <v>127</v>
      </c>
      <c r="J3259" t="s">
        <v>127</v>
      </c>
      <c r="K3259" t="s">
        <v>127</v>
      </c>
      <c r="L3259" t="s">
        <v>127</v>
      </c>
      <c r="M3259" t="s">
        <v>127</v>
      </c>
      <c r="N3259" t="s">
        <v>127</v>
      </c>
      <c r="O3259" t="s">
        <v>127</v>
      </c>
      <c r="P3259" t="s">
        <v>127</v>
      </c>
      <c r="Q3259" t="s">
        <v>127</v>
      </c>
    </row>
    <row r="3260" spans="1:17" x14ac:dyDescent="0.25">
      <c r="A3260" t="str">
        <f>IF(C3260&amp;G3260&amp;D3260&lt;&gt;'Funnel setup'!$K$3&amp;'Funnel setup'!$K$4&amp;'Funnel setup'!$K$6,".",IF(A3259=".",1,A3259+1))</f>
        <v>.</v>
      </c>
      <c r="B3260" s="244" t="str">
        <f t="shared" si="50"/>
        <v>Knee Replacement RevisionProviderFRIMLEY HEALTH NHS FOUNDATION TRUST (RDU)Oxford Knee Score</v>
      </c>
      <c r="C3260" t="s">
        <v>973</v>
      </c>
      <c r="D3260" t="s">
        <v>965</v>
      </c>
      <c r="E3260" t="s">
        <v>248</v>
      </c>
      <c r="F3260" t="s">
        <v>249</v>
      </c>
      <c r="G3260" t="s">
        <v>972</v>
      </c>
      <c r="H3260">
        <v>7</v>
      </c>
      <c r="I3260">
        <v>19.428599999999999</v>
      </c>
      <c r="J3260">
        <v>32.285699999999999</v>
      </c>
      <c r="K3260">
        <v>12.857100000000001</v>
      </c>
      <c r="L3260">
        <v>6</v>
      </c>
      <c r="M3260">
        <v>0</v>
      </c>
      <c r="N3260">
        <v>1</v>
      </c>
      <c r="O3260" t="s">
        <v>127</v>
      </c>
      <c r="P3260" t="s">
        <v>127</v>
      </c>
      <c r="Q3260" t="s">
        <v>127</v>
      </c>
    </row>
    <row r="3261" spans="1:17" x14ac:dyDescent="0.25">
      <c r="A3261" t="str">
        <f>IF(C3261&amp;G3261&amp;D3261&lt;&gt;'Funnel setup'!$K$3&amp;'Funnel setup'!$K$4&amp;'Funnel setup'!$K$6,".",IF(A3260=".",1,A3260+1))</f>
        <v>.</v>
      </c>
      <c r="B3261" s="244" t="str">
        <f t="shared" si="50"/>
        <v>Knee Replacement RevisionProviderGATESHEAD HEALTH NHS FOUNDATION TRUST (RR7)Oxford Knee Score</v>
      </c>
      <c r="C3261" t="s">
        <v>973</v>
      </c>
      <c r="D3261" t="s">
        <v>965</v>
      </c>
      <c r="E3261" t="s">
        <v>252</v>
      </c>
      <c r="F3261" t="s">
        <v>253</v>
      </c>
      <c r="G3261" t="s">
        <v>972</v>
      </c>
      <c r="H3261">
        <v>3</v>
      </c>
      <c r="I3261">
        <v>15.333299999999999</v>
      </c>
      <c r="J3261">
        <v>24</v>
      </c>
      <c r="K3261">
        <v>8.6666699999999999</v>
      </c>
      <c r="L3261">
        <v>3</v>
      </c>
      <c r="M3261">
        <v>0</v>
      </c>
      <c r="N3261">
        <v>0</v>
      </c>
      <c r="O3261" t="s">
        <v>127</v>
      </c>
      <c r="P3261" t="s">
        <v>127</v>
      </c>
      <c r="Q3261" t="s">
        <v>127</v>
      </c>
    </row>
    <row r="3262" spans="1:17" x14ac:dyDescent="0.25">
      <c r="A3262" t="str">
        <f>IF(C3262&amp;G3262&amp;D3262&lt;&gt;'Funnel setup'!$K$3&amp;'Funnel setup'!$K$4&amp;'Funnel setup'!$K$6,".",IF(A3261=".",1,A3261+1))</f>
        <v>.</v>
      </c>
      <c r="B3262" s="244" t="str">
        <f t="shared" si="50"/>
        <v>Knee Replacement RevisionProviderGLOUCESTERSHIRE HOSPITALS NHS FOUNDATION TRUST (RTE)Oxford Knee Score</v>
      </c>
      <c r="C3262" t="s">
        <v>973</v>
      </c>
      <c r="D3262" t="s">
        <v>965</v>
      </c>
      <c r="E3262" t="s">
        <v>256</v>
      </c>
      <c r="F3262" t="s">
        <v>257</v>
      </c>
      <c r="G3262" t="s">
        <v>972</v>
      </c>
      <c r="H3262">
        <v>2</v>
      </c>
      <c r="I3262">
        <v>13.5</v>
      </c>
      <c r="J3262">
        <v>34.5</v>
      </c>
      <c r="K3262">
        <v>21</v>
      </c>
      <c r="L3262">
        <v>2</v>
      </c>
      <c r="M3262">
        <v>0</v>
      </c>
      <c r="N3262">
        <v>0</v>
      </c>
      <c r="O3262" t="s">
        <v>127</v>
      </c>
      <c r="P3262" t="s">
        <v>127</v>
      </c>
      <c r="Q3262" t="s">
        <v>127</v>
      </c>
    </row>
    <row r="3263" spans="1:17" x14ac:dyDescent="0.25">
      <c r="A3263" t="str">
        <f>IF(C3263&amp;G3263&amp;D3263&lt;&gt;'Funnel setup'!$K$3&amp;'Funnel setup'!$K$4&amp;'Funnel setup'!$K$6,".",IF(A3262=".",1,A3262+1))</f>
        <v>.</v>
      </c>
      <c r="B3263" s="244" t="str">
        <f t="shared" si="50"/>
        <v>Knee Replacement RevisionProviderGORING HALL HOSPITAL (NT417)Oxford Knee Score</v>
      </c>
      <c r="C3263" t="s">
        <v>973</v>
      </c>
      <c r="D3263" t="s">
        <v>965</v>
      </c>
      <c r="E3263" t="s">
        <v>258</v>
      </c>
      <c r="F3263" t="s">
        <v>259</v>
      </c>
      <c r="G3263" t="s">
        <v>972</v>
      </c>
      <c r="H3263">
        <v>1</v>
      </c>
      <c r="I3263">
        <v>10</v>
      </c>
      <c r="J3263">
        <v>30</v>
      </c>
      <c r="K3263">
        <v>20</v>
      </c>
      <c r="L3263">
        <v>1</v>
      </c>
      <c r="M3263">
        <v>0</v>
      </c>
      <c r="N3263">
        <v>0</v>
      </c>
      <c r="O3263" t="s">
        <v>127</v>
      </c>
      <c r="P3263" t="s">
        <v>127</v>
      </c>
      <c r="Q3263" t="s">
        <v>127</v>
      </c>
    </row>
    <row r="3264" spans="1:17" x14ac:dyDescent="0.25">
      <c r="A3264" t="str">
        <f>IF(C3264&amp;G3264&amp;D3264&lt;&gt;'Funnel setup'!$K$3&amp;'Funnel setup'!$K$4&amp;'Funnel setup'!$K$6,".",IF(A3263=".",1,A3263+1))</f>
        <v>.</v>
      </c>
      <c r="B3264" s="244" t="str">
        <f t="shared" si="50"/>
        <v>Knee Replacement RevisionProviderGUY'S AND ST THOMAS' NHS FOUNDATION TRUST (RJ1)Oxford Knee Score</v>
      </c>
      <c r="C3264" t="s">
        <v>973</v>
      </c>
      <c r="D3264" t="s">
        <v>965</v>
      </c>
      <c r="E3264" t="s">
        <v>262</v>
      </c>
      <c r="F3264" t="s">
        <v>263</v>
      </c>
      <c r="G3264" t="s">
        <v>972</v>
      </c>
      <c r="H3264">
        <v>12</v>
      </c>
      <c r="I3264">
        <v>11</v>
      </c>
      <c r="J3264">
        <v>21.333300000000001</v>
      </c>
      <c r="K3264">
        <v>10.333299999999999</v>
      </c>
      <c r="L3264">
        <v>10</v>
      </c>
      <c r="M3264">
        <v>0</v>
      </c>
      <c r="N3264">
        <v>2</v>
      </c>
      <c r="O3264" t="s">
        <v>127</v>
      </c>
      <c r="P3264" t="s">
        <v>127</v>
      </c>
      <c r="Q3264" t="s">
        <v>127</v>
      </c>
    </row>
    <row r="3265" spans="1:17" x14ac:dyDescent="0.25">
      <c r="A3265" t="str">
        <f>IF(C3265&amp;G3265&amp;D3265&lt;&gt;'Funnel setup'!$K$3&amp;'Funnel setup'!$K$4&amp;'Funnel setup'!$K$6,".",IF(A3264=".",1,A3264+1))</f>
        <v>.</v>
      </c>
      <c r="B3265" s="244" t="str">
        <f t="shared" si="50"/>
        <v>Knee Replacement RevisionProviderHAMPSHIRE CLINIC (NT418)Oxford Knee Score</v>
      </c>
      <c r="C3265" t="s">
        <v>973</v>
      </c>
      <c r="D3265" t="s">
        <v>965</v>
      </c>
      <c r="E3265" t="s">
        <v>264</v>
      </c>
      <c r="F3265" t="s">
        <v>265</v>
      </c>
      <c r="G3265" t="s">
        <v>972</v>
      </c>
      <c r="H3265" t="s">
        <v>127</v>
      </c>
      <c r="I3265" t="s">
        <v>127</v>
      </c>
      <c r="J3265" t="s">
        <v>127</v>
      </c>
      <c r="K3265" t="s">
        <v>127</v>
      </c>
      <c r="L3265" t="s">
        <v>127</v>
      </c>
      <c r="M3265" t="s">
        <v>127</v>
      </c>
      <c r="N3265" t="s">
        <v>127</v>
      </c>
      <c r="O3265" t="s">
        <v>127</v>
      </c>
      <c r="P3265" t="s">
        <v>127</v>
      </c>
      <c r="Q3265" t="s">
        <v>127</v>
      </c>
    </row>
    <row r="3266" spans="1:17" x14ac:dyDescent="0.25">
      <c r="A3266" t="str">
        <f>IF(C3266&amp;G3266&amp;D3266&lt;&gt;'Funnel setup'!$K$3&amp;'Funnel setup'!$K$4&amp;'Funnel setup'!$K$6,".",IF(A3265=".",1,A3265+1))</f>
        <v>.</v>
      </c>
      <c r="B3266" s="244" t="str">
        <f t="shared" ref="B3266:B3329" si="51">C3266&amp;D3266&amp;F3266&amp;G3266</f>
        <v>Knee Replacement RevisionProviderHAMPSHIRE HOSPITALS NHS FOUNDATION TRUST (RN5)Oxford Knee Score</v>
      </c>
      <c r="C3266" t="s">
        <v>973</v>
      </c>
      <c r="D3266" t="s">
        <v>965</v>
      </c>
      <c r="E3266" t="s">
        <v>266</v>
      </c>
      <c r="F3266" t="s">
        <v>267</v>
      </c>
      <c r="G3266" t="s">
        <v>972</v>
      </c>
      <c r="H3266">
        <v>1</v>
      </c>
      <c r="I3266">
        <v>27</v>
      </c>
      <c r="J3266">
        <v>26</v>
      </c>
      <c r="K3266">
        <v>-1</v>
      </c>
      <c r="L3266">
        <v>0</v>
      </c>
      <c r="M3266">
        <v>0</v>
      </c>
      <c r="N3266">
        <v>1</v>
      </c>
      <c r="O3266" t="s">
        <v>127</v>
      </c>
      <c r="P3266" t="s">
        <v>127</v>
      </c>
      <c r="Q3266" t="s">
        <v>127</v>
      </c>
    </row>
    <row r="3267" spans="1:17" x14ac:dyDescent="0.25">
      <c r="A3267" t="str">
        <f>IF(C3267&amp;G3267&amp;D3267&lt;&gt;'Funnel setup'!$K$3&amp;'Funnel setup'!$K$4&amp;'Funnel setup'!$K$6,".",IF(A3266=".",1,A3266+1))</f>
        <v>.</v>
      </c>
      <c r="B3267" s="244" t="str">
        <f t="shared" si="51"/>
        <v>Knee Replacement RevisionProviderHARROGATE AND DISTRICT NHS FOUNDATION TRUST (RCD)Oxford Knee Score</v>
      </c>
      <c r="C3267" t="s">
        <v>973</v>
      </c>
      <c r="D3267" t="s">
        <v>965</v>
      </c>
      <c r="E3267" t="s">
        <v>270</v>
      </c>
      <c r="F3267" t="s">
        <v>271</v>
      </c>
      <c r="G3267" t="s">
        <v>972</v>
      </c>
      <c r="H3267">
        <v>9</v>
      </c>
      <c r="I3267">
        <v>17.777799999999999</v>
      </c>
      <c r="J3267">
        <v>31.333300000000001</v>
      </c>
      <c r="K3267">
        <v>13.5556</v>
      </c>
      <c r="L3267">
        <v>8</v>
      </c>
      <c r="M3267">
        <v>0</v>
      </c>
      <c r="N3267">
        <v>1</v>
      </c>
      <c r="O3267" t="s">
        <v>127</v>
      </c>
      <c r="P3267" t="s">
        <v>127</v>
      </c>
      <c r="Q3267" t="s">
        <v>127</v>
      </c>
    </row>
    <row r="3268" spans="1:17" x14ac:dyDescent="0.25">
      <c r="A3268" t="str">
        <f>IF(C3268&amp;G3268&amp;D3268&lt;&gt;'Funnel setup'!$K$3&amp;'Funnel setup'!$K$4&amp;'Funnel setup'!$K$6,".",IF(A3267=".",1,A3267+1))</f>
        <v>.</v>
      </c>
      <c r="B3268" s="244" t="str">
        <f t="shared" si="51"/>
        <v>Knee Replacement RevisionProviderHULL UNIVERSITY TEACHING HOSPITALS NHS TRUST (RWA)Oxford Knee Score</v>
      </c>
      <c r="C3268" t="s">
        <v>973</v>
      </c>
      <c r="D3268" t="s">
        <v>965</v>
      </c>
      <c r="E3268" t="s">
        <v>278</v>
      </c>
      <c r="F3268" t="s">
        <v>279</v>
      </c>
      <c r="G3268" t="s">
        <v>972</v>
      </c>
      <c r="H3268">
        <v>4</v>
      </c>
      <c r="I3268">
        <v>18</v>
      </c>
      <c r="J3268">
        <v>19.75</v>
      </c>
      <c r="K3268">
        <v>1.75</v>
      </c>
      <c r="L3268">
        <v>3</v>
      </c>
      <c r="M3268">
        <v>0</v>
      </c>
      <c r="N3268">
        <v>1</v>
      </c>
      <c r="O3268" t="s">
        <v>127</v>
      </c>
      <c r="P3268" t="s">
        <v>127</v>
      </c>
      <c r="Q3268" t="s">
        <v>127</v>
      </c>
    </row>
    <row r="3269" spans="1:17" x14ac:dyDescent="0.25">
      <c r="A3269" t="str">
        <f>IF(C3269&amp;G3269&amp;D3269&lt;&gt;'Funnel setup'!$K$3&amp;'Funnel setup'!$K$4&amp;'Funnel setup'!$K$6,".",IF(A3268=".",1,A3268+1))</f>
        <v>.</v>
      </c>
      <c r="B3269" s="244" t="str">
        <f t="shared" si="51"/>
        <v>Knee Replacement RevisionProviderISLE OF WIGHT NHS TRUST (R1F)Oxford Knee Score</v>
      </c>
      <c r="C3269" t="s">
        <v>973</v>
      </c>
      <c r="D3269" t="s">
        <v>965</v>
      </c>
      <c r="E3269" t="s">
        <v>282</v>
      </c>
      <c r="F3269" t="s">
        <v>283</v>
      </c>
      <c r="G3269" t="s">
        <v>972</v>
      </c>
      <c r="H3269">
        <v>1</v>
      </c>
      <c r="I3269">
        <v>11</v>
      </c>
      <c r="J3269">
        <v>11</v>
      </c>
      <c r="K3269">
        <v>0</v>
      </c>
      <c r="L3269">
        <v>0</v>
      </c>
      <c r="M3269">
        <v>1</v>
      </c>
      <c r="N3269">
        <v>0</v>
      </c>
      <c r="O3269" t="s">
        <v>127</v>
      </c>
      <c r="P3269" t="s">
        <v>127</v>
      </c>
      <c r="Q3269" t="s">
        <v>127</v>
      </c>
    </row>
    <row r="3270" spans="1:17" x14ac:dyDescent="0.25">
      <c r="A3270" t="str">
        <f>IF(C3270&amp;G3270&amp;D3270&lt;&gt;'Funnel setup'!$K$3&amp;'Funnel setup'!$K$4&amp;'Funnel setup'!$K$6,".",IF(A3269=".",1,A3269+1))</f>
        <v>.</v>
      </c>
      <c r="B3270" s="244" t="str">
        <f t="shared" si="51"/>
        <v>Knee Replacement RevisionProviderJAMES PAGET UNIVERSITY HOSPITALS NHS FOUNDATION TRUST (RGP)Oxford Knee Score</v>
      </c>
      <c r="C3270" t="s">
        <v>973</v>
      </c>
      <c r="D3270" t="s">
        <v>965</v>
      </c>
      <c r="E3270" t="s">
        <v>284</v>
      </c>
      <c r="F3270" t="s">
        <v>285</v>
      </c>
      <c r="G3270" t="s">
        <v>972</v>
      </c>
      <c r="H3270">
        <v>5</v>
      </c>
      <c r="I3270">
        <v>21.2</v>
      </c>
      <c r="J3270">
        <v>36</v>
      </c>
      <c r="K3270">
        <v>14.8</v>
      </c>
      <c r="L3270">
        <v>5</v>
      </c>
      <c r="M3270">
        <v>0</v>
      </c>
      <c r="N3270">
        <v>0</v>
      </c>
      <c r="O3270" t="s">
        <v>127</v>
      </c>
      <c r="P3270" t="s">
        <v>127</v>
      </c>
      <c r="Q3270" t="s">
        <v>127</v>
      </c>
    </row>
    <row r="3271" spans="1:17" x14ac:dyDescent="0.25">
      <c r="A3271" t="str">
        <f>IF(C3271&amp;G3271&amp;D3271&lt;&gt;'Funnel setup'!$K$3&amp;'Funnel setup'!$K$4&amp;'Funnel setup'!$K$6,".",IF(A3270=".",1,A3270+1))</f>
        <v>.</v>
      </c>
      <c r="B3271" s="244" t="str">
        <f t="shared" si="51"/>
        <v>Knee Replacement RevisionProviderKETTERING GENERAL HOSPITAL NHS FOUNDATION TRUST (RNQ)Oxford Knee Score</v>
      </c>
      <c r="C3271" t="s">
        <v>973</v>
      </c>
      <c r="D3271" t="s">
        <v>965</v>
      </c>
      <c r="E3271" t="s">
        <v>286</v>
      </c>
      <c r="F3271" t="s">
        <v>287</v>
      </c>
      <c r="G3271" t="s">
        <v>972</v>
      </c>
      <c r="H3271">
        <v>7</v>
      </c>
      <c r="I3271">
        <v>15</v>
      </c>
      <c r="J3271">
        <v>31.857099999999999</v>
      </c>
      <c r="K3271">
        <v>16.857099999999999</v>
      </c>
      <c r="L3271">
        <v>6</v>
      </c>
      <c r="M3271">
        <v>0</v>
      </c>
      <c r="N3271">
        <v>1</v>
      </c>
      <c r="O3271" t="s">
        <v>127</v>
      </c>
      <c r="P3271" t="s">
        <v>127</v>
      </c>
      <c r="Q3271" t="s">
        <v>127</v>
      </c>
    </row>
    <row r="3272" spans="1:17" x14ac:dyDescent="0.25">
      <c r="A3272" t="str">
        <f>IF(C3272&amp;G3272&amp;D3272&lt;&gt;'Funnel setup'!$K$3&amp;'Funnel setup'!$K$4&amp;'Funnel setup'!$K$6,".",IF(A3271=".",1,A3271+1))</f>
        <v>.</v>
      </c>
      <c r="B3272" s="244" t="str">
        <f t="shared" si="51"/>
        <v>Knee Replacement RevisionProviderLANCASHIRE TEACHING HOSPITALS NHS FOUNDATION TRUST (RXN)Oxford Knee Score</v>
      </c>
      <c r="C3272" t="s">
        <v>973</v>
      </c>
      <c r="D3272" t="s">
        <v>965</v>
      </c>
      <c r="E3272" t="s">
        <v>296</v>
      </c>
      <c r="F3272" t="s">
        <v>297</v>
      </c>
      <c r="G3272" t="s">
        <v>972</v>
      </c>
      <c r="H3272">
        <v>6</v>
      </c>
      <c r="I3272">
        <v>21.666699999999999</v>
      </c>
      <c r="J3272">
        <v>34.166699999999999</v>
      </c>
      <c r="K3272">
        <v>12.5</v>
      </c>
      <c r="L3272">
        <v>5</v>
      </c>
      <c r="M3272">
        <v>0</v>
      </c>
      <c r="N3272">
        <v>1</v>
      </c>
      <c r="O3272" t="s">
        <v>127</v>
      </c>
      <c r="P3272" t="s">
        <v>127</v>
      </c>
      <c r="Q3272" t="s">
        <v>127</v>
      </c>
    </row>
    <row r="3273" spans="1:17" x14ac:dyDescent="0.25">
      <c r="A3273" t="str">
        <f>IF(C3273&amp;G3273&amp;D3273&lt;&gt;'Funnel setup'!$K$3&amp;'Funnel setup'!$K$4&amp;'Funnel setup'!$K$6,".",IF(A3272=".",1,A3272+1))</f>
        <v>.</v>
      </c>
      <c r="B3273" s="244" t="str">
        <f t="shared" si="51"/>
        <v>Knee Replacement RevisionProviderLEEDS TEACHING HOSPITALS NHS TRUST (RR8)Oxford Knee Score</v>
      </c>
      <c r="C3273" t="s">
        <v>973</v>
      </c>
      <c r="D3273" t="s">
        <v>965</v>
      </c>
      <c r="E3273" t="s">
        <v>300</v>
      </c>
      <c r="F3273" t="s">
        <v>301</v>
      </c>
      <c r="G3273" t="s">
        <v>972</v>
      </c>
      <c r="H3273">
        <v>11</v>
      </c>
      <c r="I3273">
        <v>15.545500000000001</v>
      </c>
      <c r="J3273">
        <v>29</v>
      </c>
      <c r="K3273">
        <v>13.454499999999999</v>
      </c>
      <c r="L3273">
        <v>11</v>
      </c>
      <c r="M3273">
        <v>0</v>
      </c>
      <c r="N3273">
        <v>0</v>
      </c>
      <c r="O3273" t="s">
        <v>127</v>
      </c>
      <c r="P3273" t="s">
        <v>127</v>
      </c>
      <c r="Q3273" t="s">
        <v>127</v>
      </c>
    </row>
    <row r="3274" spans="1:17" x14ac:dyDescent="0.25">
      <c r="A3274" t="str">
        <f>IF(C3274&amp;G3274&amp;D3274&lt;&gt;'Funnel setup'!$K$3&amp;'Funnel setup'!$K$4&amp;'Funnel setup'!$K$6,".",IF(A3273=".",1,A3273+1))</f>
        <v>.</v>
      </c>
      <c r="B3274" s="244" t="str">
        <f t="shared" si="51"/>
        <v>Knee Replacement RevisionProviderLINCOLN HOSPITAL (NT450)Oxford Knee Score</v>
      </c>
      <c r="C3274" t="s">
        <v>973</v>
      </c>
      <c r="D3274" t="s">
        <v>965</v>
      </c>
      <c r="E3274" t="s">
        <v>304</v>
      </c>
      <c r="F3274" t="s">
        <v>305</v>
      </c>
      <c r="G3274" t="s">
        <v>972</v>
      </c>
      <c r="H3274" t="s">
        <v>127</v>
      </c>
      <c r="I3274" t="s">
        <v>127</v>
      </c>
      <c r="J3274" t="s">
        <v>127</v>
      </c>
      <c r="K3274" t="s">
        <v>127</v>
      </c>
      <c r="L3274" t="s">
        <v>127</v>
      </c>
      <c r="M3274" t="s">
        <v>127</v>
      </c>
      <c r="N3274" t="s">
        <v>127</v>
      </c>
      <c r="O3274" t="s">
        <v>127</v>
      </c>
      <c r="P3274" t="s">
        <v>127</v>
      </c>
      <c r="Q3274" t="s">
        <v>127</v>
      </c>
    </row>
    <row r="3275" spans="1:17" x14ac:dyDescent="0.25">
      <c r="A3275" t="str">
        <f>IF(C3275&amp;G3275&amp;D3275&lt;&gt;'Funnel setup'!$K$3&amp;'Funnel setup'!$K$4&amp;'Funnel setup'!$K$6,".",IF(A3274=".",1,A3274+1))</f>
        <v>.</v>
      </c>
      <c r="B3275" s="244" t="str">
        <f t="shared" si="51"/>
        <v>Knee Replacement RevisionProviderLIVERPOOL UNIVERSITY HOSPITALS NHS FOUNDATION TRUST (REM)Oxford Knee Score</v>
      </c>
      <c r="C3275" t="s">
        <v>973</v>
      </c>
      <c r="D3275" t="s">
        <v>965</v>
      </c>
      <c r="E3275" t="s">
        <v>306</v>
      </c>
      <c r="F3275" t="s">
        <v>307</v>
      </c>
      <c r="G3275" t="s">
        <v>972</v>
      </c>
      <c r="H3275">
        <v>1</v>
      </c>
      <c r="I3275">
        <v>6</v>
      </c>
      <c r="J3275">
        <v>25</v>
      </c>
      <c r="K3275">
        <v>19</v>
      </c>
      <c r="L3275">
        <v>1</v>
      </c>
      <c r="M3275">
        <v>0</v>
      </c>
      <c r="N3275">
        <v>0</v>
      </c>
      <c r="O3275" t="s">
        <v>127</v>
      </c>
      <c r="P3275" t="s">
        <v>127</v>
      </c>
      <c r="Q3275" t="s">
        <v>127</v>
      </c>
    </row>
    <row r="3276" spans="1:17" x14ac:dyDescent="0.25">
      <c r="A3276" t="str">
        <f>IF(C3276&amp;G3276&amp;D3276&lt;&gt;'Funnel setup'!$K$3&amp;'Funnel setup'!$K$4&amp;'Funnel setup'!$K$6,".",IF(A3275=".",1,A3275+1))</f>
        <v>.</v>
      </c>
      <c r="B3276" s="244" t="str">
        <f t="shared" si="51"/>
        <v>Knee Replacement RevisionProviderMAIDSTONE AND TUNBRIDGE WELLS NHS TRUST (RWF)Oxford Knee Score</v>
      </c>
      <c r="C3276" t="s">
        <v>973</v>
      </c>
      <c r="D3276" t="s">
        <v>965</v>
      </c>
      <c r="E3276" t="s">
        <v>312</v>
      </c>
      <c r="F3276" t="s">
        <v>313</v>
      </c>
      <c r="G3276" t="s">
        <v>972</v>
      </c>
      <c r="H3276">
        <v>1</v>
      </c>
      <c r="I3276">
        <v>28</v>
      </c>
      <c r="J3276">
        <v>24</v>
      </c>
      <c r="K3276">
        <v>-4</v>
      </c>
      <c r="L3276">
        <v>0</v>
      </c>
      <c r="M3276">
        <v>0</v>
      </c>
      <c r="N3276">
        <v>1</v>
      </c>
      <c r="O3276" t="s">
        <v>127</v>
      </c>
      <c r="P3276" t="s">
        <v>127</v>
      </c>
      <c r="Q3276" t="s">
        <v>127</v>
      </c>
    </row>
    <row r="3277" spans="1:17" x14ac:dyDescent="0.25">
      <c r="A3277" t="str">
        <f>IF(C3277&amp;G3277&amp;D3277&lt;&gt;'Funnel setup'!$K$3&amp;'Funnel setup'!$K$4&amp;'Funnel setup'!$K$6,".",IF(A3276=".",1,A3276+1))</f>
        <v>.</v>
      </c>
      <c r="B3277" s="244" t="str">
        <f t="shared" si="51"/>
        <v>Knee Replacement RevisionProviderMANCHESTER UNIVERSITY NHS FOUNDATION TRUST (R0A)Oxford Knee Score</v>
      </c>
      <c r="C3277" t="s">
        <v>973</v>
      </c>
      <c r="D3277" t="s">
        <v>965</v>
      </c>
      <c r="E3277" t="s">
        <v>316</v>
      </c>
      <c r="F3277" t="s">
        <v>317</v>
      </c>
      <c r="G3277" t="s">
        <v>972</v>
      </c>
      <c r="H3277">
        <v>6</v>
      </c>
      <c r="I3277">
        <v>13</v>
      </c>
      <c r="J3277">
        <v>24</v>
      </c>
      <c r="K3277">
        <v>11</v>
      </c>
      <c r="L3277">
        <v>5</v>
      </c>
      <c r="M3277">
        <v>0</v>
      </c>
      <c r="N3277">
        <v>1</v>
      </c>
      <c r="O3277" t="s">
        <v>127</v>
      </c>
      <c r="P3277" t="s">
        <v>127</v>
      </c>
      <c r="Q3277" t="s">
        <v>127</v>
      </c>
    </row>
    <row r="3278" spans="1:17" x14ac:dyDescent="0.25">
      <c r="A3278" t="str">
        <f>IF(C3278&amp;G3278&amp;D3278&lt;&gt;'Funnel setup'!$K$3&amp;'Funnel setup'!$K$4&amp;'Funnel setup'!$K$6,".",IF(A3277=".",1,A3277+1))</f>
        <v>.</v>
      </c>
      <c r="B3278" s="244" t="str">
        <f t="shared" si="51"/>
        <v>Knee Replacement RevisionProviderMEDWAY NHS FOUNDATION TRUST (RPA)Oxford Knee Score</v>
      </c>
      <c r="C3278" t="s">
        <v>973</v>
      </c>
      <c r="D3278" t="s">
        <v>965</v>
      </c>
      <c r="E3278" t="s">
        <v>320</v>
      </c>
      <c r="F3278" t="s">
        <v>321</v>
      </c>
      <c r="G3278" t="s">
        <v>972</v>
      </c>
      <c r="H3278">
        <v>1</v>
      </c>
      <c r="I3278">
        <v>11</v>
      </c>
      <c r="J3278">
        <v>38</v>
      </c>
      <c r="K3278">
        <v>27</v>
      </c>
      <c r="L3278">
        <v>1</v>
      </c>
      <c r="M3278">
        <v>0</v>
      </c>
      <c r="N3278">
        <v>0</v>
      </c>
      <c r="O3278" t="s">
        <v>127</v>
      </c>
      <c r="P3278" t="s">
        <v>127</v>
      </c>
      <c r="Q3278" t="s">
        <v>127</v>
      </c>
    </row>
    <row r="3279" spans="1:17" x14ac:dyDescent="0.25">
      <c r="A3279" t="str">
        <f>IF(C3279&amp;G3279&amp;D3279&lt;&gt;'Funnel setup'!$K$3&amp;'Funnel setup'!$K$4&amp;'Funnel setup'!$K$6,".",IF(A3278=".",1,A3278+1))</f>
        <v>.</v>
      </c>
      <c r="B3279" s="244" t="str">
        <f t="shared" si="51"/>
        <v>Knee Replacement RevisionProviderMID AND SOUTH ESSEX NHS FOUNDATION TRUST (RAJ)Oxford Knee Score</v>
      </c>
      <c r="C3279" t="s">
        <v>973</v>
      </c>
      <c r="D3279" t="s">
        <v>965</v>
      </c>
      <c r="E3279" t="s">
        <v>324</v>
      </c>
      <c r="F3279" t="s">
        <v>325</v>
      </c>
      <c r="G3279" t="s">
        <v>972</v>
      </c>
      <c r="H3279">
        <v>4</v>
      </c>
      <c r="I3279">
        <v>10.25</v>
      </c>
      <c r="J3279">
        <v>26.5</v>
      </c>
      <c r="K3279">
        <v>16.25</v>
      </c>
      <c r="L3279">
        <v>4</v>
      </c>
      <c r="M3279">
        <v>0</v>
      </c>
      <c r="N3279">
        <v>0</v>
      </c>
      <c r="O3279" t="s">
        <v>127</v>
      </c>
      <c r="P3279" t="s">
        <v>127</v>
      </c>
      <c r="Q3279" t="s">
        <v>127</v>
      </c>
    </row>
    <row r="3280" spans="1:17" x14ac:dyDescent="0.25">
      <c r="A3280" t="str">
        <f>IF(C3280&amp;G3280&amp;D3280&lt;&gt;'Funnel setup'!$K$3&amp;'Funnel setup'!$K$4&amp;'Funnel setup'!$K$6,".",IF(A3279=".",1,A3279+1))</f>
        <v>.</v>
      </c>
      <c r="B3280" s="244" t="str">
        <f t="shared" si="51"/>
        <v>Knee Replacement RevisionProviderMID CHESHIRE HOSPITALS NHS FOUNDATION TRUST (RBT)Oxford Knee Score</v>
      </c>
      <c r="C3280" t="s">
        <v>973</v>
      </c>
      <c r="D3280" t="s">
        <v>965</v>
      </c>
      <c r="E3280" t="s">
        <v>326</v>
      </c>
      <c r="F3280" t="s">
        <v>327</v>
      </c>
      <c r="G3280" t="s">
        <v>972</v>
      </c>
      <c r="H3280">
        <v>3</v>
      </c>
      <c r="I3280">
        <v>15</v>
      </c>
      <c r="J3280">
        <v>28.333300000000001</v>
      </c>
      <c r="K3280">
        <v>13.333299999999999</v>
      </c>
      <c r="L3280">
        <v>3</v>
      </c>
      <c r="M3280">
        <v>0</v>
      </c>
      <c r="N3280">
        <v>0</v>
      </c>
      <c r="O3280" t="s">
        <v>127</v>
      </c>
      <c r="P3280" t="s">
        <v>127</v>
      </c>
      <c r="Q3280" t="s">
        <v>127</v>
      </c>
    </row>
    <row r="3281" spans="1:17" x14ac:dyDescent="0.25">
      <c r="A3281" t="str">
        <f>IF(C3281&amp;G3281&amp;D3281&lt;&gt;'Funnel setup'!$K$3&amp;'Funnel setup'!$K$4&amp;'Funnel setup'!$K$6,".",IF(A3280=".",1,A3280+1))</f>
        <v>.</v>
      </c>
      <c r="B3281" s="244" t="str">
        <f t="shared" si="51"/>
        <v>Knee Replacement RevisionProviderMID YORKSHIRE TEACHING NHS TRUST (RXF)Oxford Knee Score</v>
      </c>
      <c r="C3281" t="s">
        <v>973</v>
      </c>
      <c r="D3281" t="s">
        <v>965</v>
      </c>
      <c r="E3281" t="s">
        <v>330</v>
      </c>
      <c r="F3281" t="s">
        <v>331</v>
      </c>
      <c r="G3281" t="s">
        <v>972</v>
      </c>
      <c r="H3281">
        <v>26</v>
      </c>
      <c r="I3281">
        <v>17.807700000000001</v>
      </c>
      <c r="J3281">
        <v>33.384599999999999</v>
      </c>
      <c r="K3281">
        <v>15.5769</v>
      </c>
      <c r="L3281">
        <v>21</v>
      </c>
      <c r="M3281">
        <v>1</v>
      </c>
      <c r="N3281">
        <v>4</v>
      </c>
      <c r="O3281" t="s">
        <v>127</v>
      </c>
      <c r="P3281" t="s">
        <v>127</v>
      </c>
      <c r="Q3281" t="s">
        <v>127</v>
      </c>
    </row>
    <row r="3282" spans="1:17" x14ac:dyDescent="0.25">
      <c r="A3282" t="str">
        <f>IF(C3282&amp;G3282&amp;D3282&lt;&gt;'Funnel setup'!$K$3&amp;'Funnel setup'!$K$4&amp;'Funnel setup'!$K$6,".",IF(A3281=".",1,A3281+1))</f>
        <v>.</v>
      </c>
      <c r="B3282" s="244" t="str">
        <f t="shared" si="51"/>
        <v>Knee Replacement RevisionProviderMILTON KEYNES UNIVERSITY HOSPITAL NHS FOUNDATION TRUST (RD8)Oxford Knee Score</v>
      </c>
      <c r="C3282" t="s">
        <v>973</v>
      </c>
      <c r="D3282" t="s">
        <v>965</v>
      </c>
      <c r="E3282" t="s">
        <v>332</v>
      </c>
      <c r="F3282" t="s">
        <v>333</v>
      </c>
      <c r="G3282" t="s">
        <v>972</v>
      </c>
      <c r="H3282">
        <v>2</v>
      </c>
      <c r="I3282">
        <v>14</v>
      </c>
      <c r="J3282">
        <v>33</v>
      </c>
      <c r="K3282">
        <v>19</v>
      </c>
      <c r="L3282">
        <v>2</v>
      </c>
      <c r="M3282">
        <v>0</v>
      </c>
      <c r="N3282">
        <v>0</v>
      </c>
      <c r="O3282" t="s">
        <v>127</v>
      </c>
      <c r="P3282" t="s">
        <v>127</v>
      </c>
      <c r="Q3282" t="s">
        <v>127</v>
      </c>
    </row>
    <row r="3283" spans="1:17" x14ac:dyDescent="0.25">
      <c r="A3283" t="str">
        <f>IF(C3283&amp;G3283&amp;D3283&lt;&gt;'Funnel setup'!$K$3&amp;'Funnel setup'!$K$4&amp;'Funnel setup'!$K$6,".",IF(A3282=".",1,A3282+1))</f>
        <v>.</v>
      </c>
      <c r="B3283" s="244" t="str">
        <f t="shared" si="51"/>
        <v>Knee Replacement RevisionProviderMOUNT STUART HOSPITAL (NVC08)Oxford Knee Score</v>
      </c>
      <c r="C3283" t="s">
        <v>973</v>
      </c>
      <c r="D3283" t="s">
        <v>965</v>
      </c>
      <c r="E3283" t="s">
        <v>336</v>
      </c>
      <c r="F3283" t="s">
        <v>337</v>
      </c>
      <c r="G3283" t="s">
        <v>972</v>
      </c>
      <c r="H3283" t="s">
        <v>127</v>
      </c>
      <c r="I3283" t="s">
        <v>127</v>
      </c>
      <c r="J3283" t="s">
        <v>127</v>
      </c>
      <c r="K3283" t="s">
        <v>127</v>
      </c>
      <c r="L3283" t="s">
        <v>127</v>
      </c>
      <c r="M3283" t="s">
        <v>127</v>
      </c>
      <c r="N3283" t="s">
        <v>127</v>
      </c>
      <c r="O3283" t="s">
        <v>127</v>
      </c>
      <c r="P3283" t="s">
        <v>127</v>
      </c>
      <c r="Q3283" t="s">
        <v>127</v>
      </c>
    </row>
    <row r="3284" spans="1:17" x14ac:dyDescent="0.25">
      <c r="A3284" t="str">
        <f>IF(C3284&amp;G3284&amp;D3284&lt;&gt;'Funnel setup'!$K$3&amp;'Funnel setup'!$K$4&amp;'Funnel setup'!$K$6,".",IF(A3283=".",1,A3283+1))</f>
        <v>.</v>
      </c>
      <c r="B3284" s="244" t="str">
        <f t="shared" si="51"/>
        <v>Knee Replacement RevisionProviderNORFOLK AND NORWICH UNIVERSITY HOSPITALS NHS FOUNDATION TRUST (RM1)Oxford Knee Score</v>
      </c>
      <c r="C3284" t="s">
        <v>973</v>
      </c>
      <c r="D3284" t="s">
        <v>965</v>
      </c>
      <c r="E3284" t="s">
        <v>340</v>
      </c>
      <c r="F3284" t="s">
        <v>341</v>
      </c>
      <c r="G3284" t="s">
        <v>972</v>
      </c>
      <c r="H3284">
        <v>13</v>
      </c>
      <c r="I3284">
        <v>13.9231</v>
      </c>
      <c r="J3284">
        <v>27.230799999999999</v>
      </c>
      <c r="K3284">
        <v>13.307700000000001</v>
      </c>
      <c r="L3284">
        <v>12</v>
      </c>
      <c r="M3284">
        <v>0</v>
      </c>
      <c r="N3284">
        <v>1</v>
      </c>
      <c r="O3284" t="s">
        <v>127</v>
      </c>
      <c r="P3284" t="s">
        <v>127</v>
      </c>
      <c r="Q3284" t="s">
        <v>127</v>
      </c>
    </row>
    <row r="3285" spans="1:17" x14ac:dyDescent="0.25">
      <c r="A3285" t="str">
        <f>IF(C3285&amp;G3285&amp;D3285&lt;&gt;'Funnel setup'!$K$3&amp;'Funnel setup'!$K$4&amp;'Funnel setup'!$K$6,".",IF(A3284=".",1,A3284+1))</f>
        <v>.</v>
      </c>
      <c r="B3285" s="244" t="str">
        <f t="shared" si="51"/>
        <v>Knee Replacement RevisionProviderNORTH BRISTOL NHS TRUST (RVJ)Oxford Knee Score</v>
      </c>
      <c r="C3285" t="s">
        <v>973</v>
      </c>
      <c r="D3285" t="s">
        <v>965</v>
      </c>
      <c r="E3285" t="s">
        <v>342</v>
      </c>
      <c r="F3285" t="s">
        <v>343</v>
      </c>
      <c r="G3285" t="s">
        <v>972</v>
      </c>
      <c r="H3285">
        <v>2</v>
      </c>
      <c r="I3285">
        <v>23.5</v>
      </c>
      <c r="J3285">
        <v>40.5</v>
      </c>
      <c r="K3285">
        <v>17</v>
      </c>
      <c r="L3285">
        <v>2</v>
      </c>
      <c r="M3285">
        <v>0</v>
      </c>
      <c r="N3285">
        <v>0</v>
      </c>
      <c r="O3285" t="s">
        <v>127</v>
      </c>
      <c r="P3285" t="s">
        <v>127</v>
      </c>
      <c r="Q3285" t="s">
        <v>127</v>
      </c>
    </row>
    <row r="3286" spans="1:17" x14ac:dyDescent="0.25">
      <c r="A3286" t="str">
        <f>IF(C3286&amp;G3286&amp;D3286&lt;&gt;'Funnel setup'!$K$3&amp;'Funnel setup'!$K$4&amp;'Funnel setup'!$K$6,".",IF(A3285=".",1,A3285+1))</f>
        <v>.</v>
      </c>
      <c r="B3286" s="244" t="str">
        <f t="shared" si="51"/>
        <v>Knee Replacement RevisionProviderNORTH CUMBRIA INTEGRATED CARE NHS FOUNDATION TRUST (RNN)Oxford Knee Score</v>
      </c>
      <c r="C3286" t="s">
        <v>973</v>
      </c>
      <c r="D3286" t="s">
        <v>965</v>
      </c>
      <c r="E3286" t="s">
        <v>344</v>
      </c>
      <c r="F3286" t="s">
        <v>345</v>
      </c>
      <c r="G3286" t="s">
        <v>972</v>
      </c>
      <c r="H3286">
        <v>3</v>
      </c>
      <c r="I3286">
        <v>14.666700000000001</v>
      </c>
      <c r="J3286">
        <v>35.666699999999999</v>
      </c>
      <c r="K3286">
        <v>21</v>
      </c>
      <c r="L3286">
        <v>3</v>
      </c>
      <c r="M3286">
        <v>0</v>
      </c>
      <c r="N3286">
        <v>0</v>
      </c>
      <c r="O3286" t="s">
        <v>127</v>
      </c>
      <c r="P3286" t="s">
        <v>127</v>
      </c>
      <c r="Q3286" t="s">
        <v>127</v>
      </c>
    </row>
    <row r="3287" spans="1:17" x14ac:dyDescent="0.25">
      <c r="A3287" t="str">
        <f>IF(C3287&amp;G3287&amp;D3287&lt;&gt;'Funnel setup'!$K$3&amp;'Funnel setup'!$K$4&amp;'Funnel setup'!$K$6,".",IF(A3286=".",1,A3286+1))</f>
        <v>.</v>
      </c>
      <c r="B3287" s="244" t="str">
        <f t="shared" si="51"/>
        <v>Knee Replacement RevisionProviderNORTH DOWNS HOSPITAL (NVC11)Oxford Knee Score</v>
      </c>
      <c r="C3287" t="s">
        <v>973</v>
      </c>
      <c r="D3287" t="s">
        <v>965</v>
      </c>
      <c r="E3287" t="s">
        <v>348</v>
      </c>
      <c r="F3287" t="s">
        <v>349</v>
      </c>
      <c r="G3287" t="s">
        <v>972</v>
      </c>
      <c r="H3287" t="s">
        <v>127</v>
      </c>
      <c r="I3287" t="s">
        <v>127</v>
      </c>
      <c r="J3287" t="s">
        <v>127</v>
      </c>
      <c r="K3287" t="s">
        <v>127</v>
      </c>
      <c r="L3287" t="s">
        <v>127</v>
      </c>
      <c r="M3287" t="s">
        <v>127</v>
      </c>
      <c r="N3287" t="s">
        <v>127</v>
      </c>
      <c r="O3287" t="s">
        <v>127</v>
      </c>
      <c r="P3287" t="s">
        <v>127</v>
      </c>
      <c r="Q3287" t="s">
        <v>127</v>
      </c>
    </row>
    <row r="3288" spans="1:17" x14ac:dyDescent="0.25">
      <c r="A3288" t="str">
        <f>IF(C3288&amp;G3288&amp;D3288&lt;&gt;'Funnel setup'!$K$3&amp;'Funnel setup'!$K$4&amp;'Funnel setup'!$K$6,".",IF(A3287=".",1,A3287+1))</f>
        <v>.</v>
      </c>
      <c r="B3288" s="244" t="str">
        <f t="shared" si="51"/>
        <v>Knee Replacement RevisionProviderNORTH TEES AND HARTLEPOOL NHS FOUNDATION TRUST (RVW)Oxford Knee Score</v>
      </c>
      <c r="C3288" t="s">
        <v>973</v>
      </c>
      <c r="D3288" t="s">
        <v>965</v>
      </c>
      <c r="E3288" t="s">
        <v>352</v>
      </c>
      <c r="F3288" t="s">
        <v>353</v>
      </c>
      <c r="G3288" t="s">
        <v>972</v>
      </c>
      <c r="H3288">
        <v>12</v>
      </c>
      <c r="I3288">
        <v>11</v>
      </c>
      <c r="J3288">
        <v>23.666699999999999</v>
      </c>
      <c r="K3288">
        <v>12.666700000000001</v>
      </c>
      <c r="L3288">
        <v>11</v>
      </c>
      <c r="M3288">
        <v>0</v>
      </c>
      <c r="N3288">
        <v>1</v>
      </c>
      <c r="O3288" t="s">
        <v>127</v>
      </c>
      <c r="P3288" t="s">
        <v>127</v>
      </c>
      <c r="Q3288" t="s">
        <v>127</v>
      </c>
    </row>
    <row r="3289" spans="1:17" x14ac:dyDescent="0.25">
      <c r="A3289" t="str">
        <f>IF(C3289&amp;G3289&amp;D3289&lt;&gt;'Funnel setup'!$K$3&amp;'Funnel setup'!$K$4&amp;'Funnel setup'!$K$6,".",IF(A3288=".",1,A3288+1))</f>
        <v>.</v>
      </c>
      <c r="B3289" s="244" t="str">
        <f t="shared" si="51"/>
        <v>Knee Replacement RevisionProviderNORTH WEST ANGLIA NHS FOUNDATION TRUST (RGN)Oxford Knee Score</v>
      </c>
      <c r="C3289" t="s">
        <v>973</v>
      </c>
      <c r="D3289" t="s">
        <v>965</v>
      </c>
      <c r="E3289" t="s">
        <v>354</v>
      </c>
      <c r="F3289" t="s">
        <v>355</v>
      </c>
      <c r="G3289" t="s">
        <v>972</v>
      </c>
      <c r="H3289">
        <v>10</v>
      </c>
      <c r="I3289">
        <v>16.3</v>
      </c>
      <c r="J3289">
        <v>36</v>
      </c>
      <c r="K3289">
        <v>19.7</v>
      </c>
      <c r="L3289">
        <v>10</v>
      </c>
      <c r="M3289">
        <v>0</v>
      </c>
      <c r="N3289">
        <v>0</v>
      </c>
      <c r="O3289" t="s">
        <v>127</v>
      </c>
      <c r="P3289" t="s">
        <v>127</v>
      </c>
      <c r="Q3289" t="s">
        <v>127</v>
      </c>
    </row>
    <row r="3290" spans="1:17" x14ac:dyDescent="0.25">
      <c r="A3290" t="str">
        <f>IF(C3290&amp;G3290&amp;D3290&lt;&gt;'Funnel setup'!$K$3&amp;'Funnel setup'!$K$4&amp;'Funnel setup'!$K$6,".",IF(A3289=".",1,A3289+1))</f>
        <v>.</v>
      </c>
      <c r="B3290" s="244" t="str">
        <f t="shared" si="51"/>
        <v>Knee Replacement RevisionProviderNORTHAMPTON GENERAL HOSPITAL NHS TRUST (RNS)Oxford Knee Score</v>
      </c>
      <c r="C3290" t="s">
        <v>973</v>
      </c>
      <c r="D3290" t="s">
        <v>965</v>
      </c>
      <c r="E3290" t="s">
        <v>356</v>
      </c>
      <c r="F3290" t="s">
        <v>357</v>
      </c>
      <c r="G3290" t="s">
        <v>972</v>
      </c>
      <c r="H3290">
        <v>2</v>
      </c>
      <c r="I3290">
        <v>11</v>
      </c>
      <c r="J3290">
        <v>36.5</v>
      </c>
      <c r="K3290">
        <v>25.5</v>
      </c>
      <c r="L3290">
        <v>2</v>
      </c>
      <c r="M3290">
        <v>0</v>
      </c>
      <c r="N3290">
        <v>0</v>
      </c>
      <c r="O3290" t="s">
        <v>127</v>
      </c>
      <c r="P3290" t="s">
        <v>127</v>
      </c>
      <c r="Q3290" t="s">
        <v>127</v>
      </c>
    </row>
    <row r="3291" spans="1:17" x14ac:dyDescent="0.25">
      <c r="A3291" t="str">
        <f>IF(C3291&amp;G3291&amp;D3291&lt;&gt;'Funnel setup'!$K$3&amp;'Funnel setup'!$K$4&amp;'Funnel setup'!$K$6,".",IF(A3290=".",1,A3290+1))</f>
        <v>.</v>
      </c>
      <c r="B3291" s="244" t="str">
        <f t="shared" si="51"/>
        <v>Knee Replacement RevisionProviderNORTHERN DEVON HEALTHCARE NHS TRUST (RBZ)Oxford Knee Score</v>
      </c>
      <c r="C3291" t="s">
        <v>973</v>
      </c>
      <c r="D3291" t="s">
        <v>965</v>
      </c>
      <c r="E3291" t="s">
        <v>360</v>
      </c>
      <c r="F3291" t="s">
        <v>361</v>
      </c>
      <c r="G3291" t="s">
        <v>972</v>
      </c>
      <c r="H3291" t="s">
        <v>127</v>
      </c>
      <c r="I3291" t="s">
        <v>127</v>
      </c>
      <c r="J3291" t="s">
        <v>127</v>
      </c>
      <c r="K3291" t="s">
        <v>127</v>
      </c>
      <c r="L3291" t="s">
        <v>127</v>
      </c>
      <c r="M3291" t="s">
        <v>127</v>
      </c>
      <c r="N3291" t="s">
        <v>127</v>
      </c>
      <c r="O3291" t="s">
        <v>127</v>
      </c>
      <c r="P3291" t="s">
        <v>127</v>
      </c>
      <c r="Q3291" t="s">
        <v>127</v>
      </c>
    </row>
    <row r="3292" spans="1:17" x14ac:dyDescent="0.25">
      <c r="A3292" t="str">
        <f>IF(C3292&amp;G3292&amp;D3292&lt;&gt;'Funnel setup'!$K$3&amp;'Funnel setup'!$K$4&amp;'Funnel setup'!$K$6,".",IF(A3291=".",1,A3291+1))</f>
        <v>.</v>
      </c>
      <c r="B3292" s="244" t="str">
        <f t="shared" si="51"/>
        <v>Knee Replacement RevisionProviderNORTHERN LINCOLNSHIRE AND GOOLE NHS FOUNDATION TRUST (RJL)Oxford Knee Score</v>
      </c>
      <c r="C3292" t="s">
        <v>973</v>
      </c>
      <c r="D3292" t="s">
        <v>965</v>
      </c>
      <c r="E3292" t="s">
        <v>362</v>
      </c>
      <c r="F3292" t="s">
        <v>363</v>
      </c>
      <c r="G3292" t="s">
        <v>972</v>
      </c>
      <c r="H3292">
        <v>3</v>
      </c>
      <c r="I3292">
        <v>12</v>
      </c>
      <c r="J3292">
        <v>22.333300000000001</v>
      </c>
      <c r="K3292">
        <v>10.333299999999999</v>
      </c>
      <c r="L3292">
        <v>3</v>
      </c>
      <c r="M3292">
        <v>0</v>
      </c>
      <c r="N3292">
        <v>0</v>
      </c>
      <c r="O3292" t="s">
        <v>127</v>
      </c>
      <c r="P3292" t="s">
        <v>127</v>
      </c>
      <c r="Q3292" t="s">
        <v>127</v>
      </c>
    </row>
    <row r="3293" spans="1:17" x14ac:dyDescent="0.25">
      <c r="A3293" t="str">
        <f>IF(C3293&amp;G3293&amp;D3293&lt;&gt;'Funnel setup'!$K$3&amp;'Funnel setup'!$K$4&amp;'Funnel setup'!$K$6,".",IF(A3292=".",1,A3292+1))</f>
        <v>.</v>
      </c>
      <c r="B3293" s="244" t="str">
        <f t="shared" si="51"/>
        <v>Knee Replacement RevisionProviderNORTHUMBRIA HEALTHCARE NHS FOUNDATION TRUST (RTF)Oxford Knee Score</v>
      </c>
      <c r="C3293" t="s">
        <v>973</v>
      </c>
      <c r="D3293" t="s">
        <v>965</v>
      </c>
      <c r="E3293" t="s">
        <v>364</v>
      </c>
      <c r="F3293" t="s">
        <v>365</v>
      </c>
      <c r="G3293" t="s">
        <v>972</v>
      </c>
      <c r="H3293">
        <v>9</v>
      </c>
      <c r="I3293">
        <v>12.4444</v>
      </c>
      <c r="J3293">
        <v>26</v>
      </c>
      <c r="K3293">
        <v>13.5556</v>
      </c>
      <c r="L3293">
        <v>8</v>
      </c>
      <c r="M3293">
        <v>0</v>
      </c>
      <c r="N3293">
        <v>1</v>
      </c>
      <c r="O3293" t="s">
        <v>127</v>
      </c>
      <c r="P3293" t="s">
        <v>127</v>
      </c>
      <c r="Q3293" t="s">
        <v>127</v>
      </c>
    </row>
    <row r="3294" spans="1:17" x14ac:dyDescent="0.25">
      <c r="A3294" t="str">
        <f>IF(C3294&amp;G3294&amp;D3294&lt;&gt;'Funnel setup'!$K$3&amp;'Funnel setup'!$K$4&amp;'Funnel setup'!$K$6,".",IF(A3293=".",1,A3293+1))</f>
        <v>.</v>
      </c>
      <c r="B3294" s="244" t="str">
        <f t="shared" si="51"/>
        <v>Knee Replacement RevisionProviderNUFFIELD HEALTH, DERBY HOSPITAL (NT213)Oxford Knee Score</v>
      </c>
      <c r="C3294" t="s">
        <v>973</v>
      </c>
      <c r="D3294" t="s">
        <v>965</v>
      </c>
      <c r="E3294" t="s">
        <v>382</v>
      </c>
      <c r="F3294" t="s">
        <v>383</v>
      </c>
      <c r="G3294" t="s">
        <v>972</v>
      </c>
      <c r="H3294">
        <v>3</v>
      </c>
      <c r="I3294">
        <v>21</v>
      </c>
      <c r="J3294">
        <v>38</v>
      </c>
      <c r="K3294">
        <v>17</v>
      </c>
      <c r="L3294">
        <v>3</v>
      </c>
      <c r="M3294">
        <v>0</v>
      </c>
      <c r="N3294">
        <v>0</v>
      </c>
      <c r="O3294" t="s">
        <v>127</v>
      </c>
      <c r="P3294" t="s">
        <v>127</v>
      </c>
      <c r="Q3294" t="s">
        <v>127</v>
      </c>
    </row>
    <row r="3295" spans="1:17" x14ac:dyDescent="0.25">
      <c r="A3295" t="str">
        <f>IF(C3295&amp;G3295&amp;D3295&lt;&gt;'Funnel setup'!$K$3&amp;'Funnel setup'!$K$4&amp;'Funnel setup'!$K$6,".",IF(A3294=".",1,A3294+1))</f>
        <v>.</v>
      </c>
      <c r="B3295" s="244" t="str">
        <f t="shared" si="51"/>
        <v>Knee Replacement RevisionProviderNUFFIELD HEALTH, LEEDS HOSPITAL (NT225)Oxford Knee Score</v>
      </c>
      <c r="C3295" t="s">
        <v>973</v>
      </c>
      <c r="D3295" t="s">
        <v>965</v>
      </c>
      <c r="E3295" t="s">
        <v>392</v>
      </c>
      <c r="F3295" t="s">
        <v>393</v>
      </c>
      <c r="G3295" t="s">
        <v>972</v>
      </c>
      <c r="H3295" t="s">
        <v>127</v>
      </c>
      <c r="I3295" t="s">
        <v>127</v>
      </c>
      <c r="J3295" t="s">
        <v>127</v>
      </c>
      <c r="K3295" t="s">
        <v>127</v>
      </c>
      <c r="L3295" t="s">
        <v>127</v>
      </c>
      <c r="M3295" t="s">
        <v>127</v>
      </c>
      <c r="N3295" t="s">
        <v>127</v>
      </c>
      <c r="O3295" t="s">
        <v>127</v>
      </c>
      <c r="P3295" t="s">
        <v>127</v>
      </c>
      <c r="Q3295" t="s">
        <v>127</v>
      </c>
    </row>
    <row r="3296" spans="1:17" x14ac:dyDescent="0.25">
      <c r="A3296" t="str">
        <f>IF(C3296&amp;G3296&amp;D3296&lt;&gt;'Funnel setup'!$K$3&amp;'Funnel setup'!$K$4&amp;'Funnel setup'!$K$6,".",IF(A3295=".",1,A3295+1))</f>
        <v>.</v>
      </c>
      <c r="B3296" s="244" t="str">
        <f t="shared" si="51"/>
        <v>Knee Replacement RevisionProviderNUFFIELD HEALTH, NORTH STAFFORDSHIRE HOSPITAL (NT230)Oxford Knee Score</v>
      </c>
      <c r="C3296" t="s">
        <v>973</v>
      </c>
      <c r="D3296" t="s">
        <v>965</v>
      </c>
      <c r="E3296" t="s">
        <v>398</v>
      </c>
      <c r="F3296" t="s">
        <v>399</v>
      </c>
      <c r="G3296" t="s">
        <v>972</v>
      </c>
      <c r="H3296" t="s">
        <v>127</v>
      </c>
      <c r="I3296" t="s">
        <v>127</v>
      </c>
      <c r="J3296" t="s">
        <v>127</v>
      </c>
      <c r="K3296" t="s">
        <v>127</v>
      </c>
      <c r="L3296" t="s">
        <v>127</v>
      </c>
      <c r="M3296" t="s">
        <v>127</v>
      </c>
      <c r="N3296" t="s">
        <v>127</v>
      </c>
      <c r="O3296" t="s">
        <v>127</v>
      </c>
      <c r="P3296" t="s">
        <v>127</v>
      </c>
      <c r="Q3296" t="s">
        <v>127</v>
      </c>
    </row>
    <row r="3297" spans="1:17" x14ac:dyDescent="0.25">
      <c r="A3297" t="str">
        <f>IF(C3297&amp;G3297&amp;D3297&lt;&gt;'Funnel setup'!$K$3&amp;'Funnel setup'!$K$4&amp;'Funnel setup'!$K$6,".",IF(A3296=".",1,A3296+1))</f>
        <v>.</v>
      </c>
      <c r="B3297" s="244" t="str">
        <f t="shared" si="51"/>
        <v>Knee Replacement RevisionProviderNUFFIELD HEALTH, PLYMOUTH HOSPITAL (NT233)Oxford Knee Score</v>
      </c>
      <c r="C3297" t="s">
        <v>973</v>
      </c>
      <c r="D3297" t="s">
        <v>965</v>
      </c>
      <c r="E3297" t="s">
        <v>400</v>
      </c>
      <c r="F3297" t="s">
        <v>401</v>
      </c>
      <c r="G3297" t="s">
        <v>972</v>
      </c>
      <c r="H3297" t="s">
        <v>127</v>
      </c>
      <c r="I3297" t="s">
        <v>127</v>
      </c>
      <c r="J3297" t="s">
        <v>127</v>
      </c>
      <c r="K3297" t="s">
        <v>127</v>
      </c>
      <c r="L3297" t="s">
        <v>127</v>
      </c>
      <c r="M3297" t="s">
        <v>127</v>
      </c>
      <c r="N3297" t="s">
        <v>127</v>
      </c>
      <c r="O3297" t="s">
        <v>127</v>
      </c>
      <c r="P3297" t="s">
        <v>127</v>
      </c>
      <c r="Q3297" t="s">
        <v>127</v>
      </c>
    </row>
    <row r="3298" spans="1:17" x14ac:dyDescent="0.25">
      <c r="A3298" t="str">
        <f>IF(C3298&amp;G3298&amp;D3298&lt;&gt;'Funnel setup'!$K$3&amp;'Funnel setup'!$K$4&amp;'Funnel setup'!$K$6,".",IF(A3297=".",1,A3297+1))</f>
        <v>.</v>
      </c>
      <c r="B3298" s="244" t="str">
        <f t="shared" si="51"/>
        <v>Knee Replacement RevisionProviderNUFFIELD HEALTH, TEES HOSPITAL (NT237)Oxford Knee Score</v>
      </c>
      <c r="C3298" t="s">
        <v>973</v>
      </c>
      <c r="D3298" t="s">
        <v>965</v>
      </c>
      <c r="E3298" t="s">
        <v>406</v>
      </c>
      <c r="F3298" t="s">
        <v>407</v>
      </c>
      <c r="G3298" t="s">
        <v>972</v>
      </c>
      <c r="H3298" t="s">
        <v>127</v>
      </c>
      <c r="I3298" t="s">
        <v>127</v>
      </c>
      <c r="J3298" t="s">
        <v>127</v>
      </c>
      <c r="K3298" t="s">
        <v>127</v>
      </c>
      <c r="L3298" t="s">
        <v>127</v>
      </c>
      <c r="M3298" t="s">
        <v>127</v>
      </c>
      <c r="N3298" t="s">
        <v>127</v>
      </c>
      <c r="O3298" t="s">
        <v>127</v>
      </c>
      <c r="P3298" t="s">
        <v>127</v>
      </c>
      <c r="Q3298" t="s">
        <v>127</v>
      </c>
    </row>
    <row r="3299" spans="1:17" x14ac:dyDescent="0.25">
      <c r="A3299" t="str">
        <f>IF(C3299&amp;G3299&amp;D3299&lt;&gt;'Funnel setup'!$K$3&amp;'Funnel setup'!$K$4&amp;'Funnel setup'!$K$6,".",IF(A3298=".",1,A3298+1))</f>
        <v>.</v>
      </c>
      <c r="B3299" s="244" t="str">
        <f t="shared" si="51"/>
        <v>Knee Replacement RevisionProviderNUFFIELD HEALTH, WARWICKSHIRE HOSPITAL (NT224)Oxford Knee Score</v>
      </c>
      <c r="C3299" t="s">
        <v>973</v>
      </c>
      <c r="D3299" t="s">
        <v>965</v>
      </c>
      <c r="E3299" t="s">
        <v>412</v>
      </c>
      <c r="F3299" t="s">
        <v>413</v>
      </c>
      <c r="G3299" t="s">
        <v>972</v>
      </c>
      <c r="H3299" t="s">
        <v>127</v>
      </c>
      <c r="I3299" t="s">
        <v>127</v>
      </c>
      <c r="J3299" t="s">
        <v>127</v>
      </c>
      <c r="K3299" t="s">
        <v>127</v>
      </c>
      <c r="L3299" t="s">
        <v>127</v>
      </c>
      <c r="M3299" t="s">
        <v>127</v>
      </c>
      <c r="N3299" t="s">
        <v>127</v>
      </c>
      <c r="O3299" t="s">
        <v>127</v>
      </c>
      <c r="P3299" t="s">
        <v>127</v>
      </c>
      <c r="Q3299" t="s">
        <v>127</v>
      </c>
    </row>
    <row r="3300" spans="1:17" x14ac:dyDescent="0.25">
      <c r="A3300" t="str">
        <f>IF(C3300&amp;G3300&amp;D3300&lt;&gt;'Funnel setup'!$K$3&amp;'Funnel setup'!$K$4&amp;'Funnel setup'!$K$6,".",IF(A3299=".",1,A3299+1))</f>
        <v>.</v>
      </c>
      <c r="B3300" s="244" t="str">
        <f t="shared" si="51"/>
        <v>Knee Replacement RevisionProviderNUFFIELD HEALTH, YORK HOSPITAL (NT245)Oxford Knee Score</v>
      </c>
      <c r="C3300" t="s">
        <v>973</v>
      </c>
      <c r="D3300" t="s">
        <v>965</v>
      </c>
      <c r="E3300" t="s">
        <v>420</v>
      </c>
      <c r="F3300" t="s">
        <v>421</v>
      </c>
      <c r="G3300" t="s">
        <v>972</v>
      </c>
      <c r="H3300">
        <v>3</v>
      </c>
      <c r="I3300">
        <v>22.333300000000001</v>
      </c>
      <c r="J3300">
        <v>33.333300000000001</v>
      </c>
      <c r="K3300">
        <v>11</v>
      </c>
      <c r="L3300">
        <v>2</v>
      </c>
      <c r="M3300">
        <v>0</v>
      </c>
      <c r="N3300">
        <v>1</v>
      </c>
      <c r="O3300" t="s">
        <v>127</v>
      </c>
      <c r="P3300" t="s">
        <v>127</v>
      </c>
      <c r="Q3300" t="s">
        <v>127</v>
      </c>
    </row>
    <row r="3301" spans="1:17" x14ac:dyDescent="0.25">
      <c r="A3301" t="str">
        <f>IF(C3301&amp;G3301&amp;D3301&lt;&gt;'Funnel setup'!$K$3&amp;'Funnel setup'!$K$4&amp;'Funnel setup'!$K$6,".",IF(A3300=".",1,A3300+1))</f>
        <v>.</v>
      </c>
      <c r="B3301" s="244" t="str">
        <f t="shared" si="51"/>
        <v>Knee Replacement RevisionProviderOXFORD UNIVERSITY HOSPITALS NHS FOUNDATION TRUST (RTH)Oxford Knee Score</v>
      </c>
      <c r="C3301" t="s">
        <v>973</v>
      </c>
      <c r="D3301" t="s">
        <v>965</v>
      </c>
      <c r="E3301" t="s">
        <v>438</v>
      </c>
      <c r="F3301" t="s">
        <v>439</v>
      </c>
      <c r="G3301" t="s">
        <v>972</v>
      </c>
      <c r="H3301">
        <v>45</v>
      </c>
      <c r="I3301">
        <v>17.6889</v>
      </c>
      <c r="J3301">
        <v>31.6</v>
      </c>
      <c r="K3301">
        <v>13.911099999999999</v>
      </c>
      <c r="L3301">
        <v>39</v>
      </c>
      <c r="M3301">
        <v>0</v>
      </c>
      <c r="N3301">
        <v>6</v>
      </c>
      <c r="O3301">
        <v>29.917999999999999</v>
      </c>
      <c r="P3301">
        <v>13.5906</v>
      </c>
      <c r="Q3301">
        <v>9.1344999999999992</v>
      </c>
    </row>
    <row r="3302" spans="1:17" x14ac:dyDescent="0.25">
      <c r="A3302" t="str">
        <f>IF(C3302&amp;G3302&amp;D3302&lt;&gt;'Funnel setup'!$K$3&amp;'Funnel setup'!$K$4&amp;'Funnel setup'!$K$6,".",IF(A3301=".",1,A3301+1))</f>
        <v>.</v>
      </c>
      <c r="B3302" s="244" t="str">
        <f t="shared" si="51"/>
        <v>Knee Replacement RevisionProviderPARK HILL HOSPITAL (NVC14)Oxford Knee Score</v>
      </c>
      <c r="C3302" t="s">
        <v>973</v>
      </c>
      <c r="D3302" t="s">
        <v>965</v>
      </c>
      <c r="E3302" t="s">
        <v>440</v>
      </c>
      <c r="F3302" t="s">
        <v>441</v>
      </c>
      <c r="G3302" t="s">
        <v>972</v>
      </c>
      <c r="H3302" t="s">
        <v>127</v>
      </c>
      <c r="I3302" t="s">
        <v>127</v>
      </c>
      <c r="J3302" t="s">
        <v>127</v>
      </c>
      <c r="K3302" t="s">
        <v>127</v>
      </c>
      <c r="L3302" t="s">
        <v>127</v>
      </c>
      <c r="M3302" t="s">
        <v>127</v>
      </c>
      <c r="N3302" t="s">
        <v>127</v>
      </c>
      <c r="O3302" t="s">
        <v>127</v>
      </c>
      <c r="P3302" t="s">
        <v>127</v>
      </c>
      <c r="Q3302" t="s">
        <v>127</v>
      </c>
    </row>
    <row r="3303" spans="1:17" x14ac:dyDescent="0.25">
      <c r="A3303" t="str">
        <f>IF(C3303&amp;G3303&amp;D3303&lt;&gt;'Funnel setup'!$K$3&amp;'Funnel setup'!$K$4&amp;'Funnel setup'!$K$6,".",IF(A3302=".",1,A3302+1))</f>
        <v>.</v>
      </c>
      <c r="B3303" s="244" t="str">
        <f t="shared" si="51"/>
        <v>Knee Replacement RevisionProviderPORTSMOUTH HOSPITALS UNIVERSITY NATIONAL HEALTH SERVICE TRUST (RHU)Oxford Knee Score</v>
      </c>
      <c r="C3303" t="s">
        <v>973</v>
      </c>
      <c r="D3303" t="s">
        <v>965</v>
      </c>
      <c r="E3303" t="s">
        <v>450</v>
      </c>
      <c r="F3303" t="s">
        <v>451</v>
      </c>
      <c r="G3303" t="s">
        <v>972</v>
      </c>
      <c r="H3303">
        <v>1</v>
      </c>
      <c r="I3303">
        <v>20</v>
      </c>
      <c r="J3303">
        <v>30</v>
      </c>
      <c r="K3303">
        <v>10</v>
      </c>
      <c r="L3303">
        <v>1</v>
      </c>
      <c r="M3303">
        <v>0</v>
      </c>
      <c r="N3303">
        <v>0</v>
      </c>
      <c r="O3303" t="s">
        <v>127</v>
      </c>
      <c r="P3303" t="s">
        <v>127</v>
      </c>
      <c r="Q3303" t="s">
        <v>127</v>
      </c>
    </row>
    <row r="3304" spans="1:17" x14ac:dyDescent="0.25">
      <c r="A3304" t="str">
        <f>IF(C3304&amp;G3304&amp;D3304&lt;&gt;'Funnel setup'!$K$3&amp;'Funnel setup'!$K$4&amp;'Funnel setup'!$K$6,".",IF(A3303=".",1,A3303+1))</f>
        <v>.</v>
      </c>
      <c r="B3304" s="244" t="str">
        <f t="shared" si="51"/>
        <v>Knee Replacement RevisionProviderPRACTICE PLUS GROUP HOSPITAL - BARLBOROUGH (NTP13)Oxford Knee Score</v>
      </c>
      <c r="C3304" t="s">
        <v>973</v>
      </c>
      <c r="D3304" t="s">
        <v>965</v>
      </c>
      <c r="E3304" t="s">
        <v>452</v>
      </c>
      <c r="F3304" t="s">
        <v>453</v>
      </c>
      <c r="G3304" t="s">
        <v>972</v>
      </c>
      <c r="H3304" t="s">
        <v>127</v>
      </c>
      <c r="I3304" t="s">
        <v>127</v>
      </c>
      <c r="J3304" t="s">
        <v>127</v>
      </c>
      <c r="K3304" t="s">
        <v>127</v>
      </c>
      <c r="L3304" t="s">
        <v>127</v>
      </c>
      <c r="M3304" t="s">
        <v>127</v>
      </c>
      <c r="N3304" t="s">
        <v>127</v>
      </c>
      <c r="O3304" t="s">
        <v>127</v>
      </c>
      <c r="P3304" t="s">
        <v>127</v>
      </c>
      <c r="Q3304" t="s">
        <v>127</v>
      </c>
    </row>
    <row r="3305" spans="1:17" x14ac:dyDescent="0.25">
      <c r="A3305" t="str">
        <f>IF(C3305&amp;G3305&amp;D3305&lt;&gt;'Funnel setup'!$K$3&amp;'Funnel setup'!$K$4&amp;'Funnel setup'!$K$6,".",IF(A3304=".",1,A3304+1))</f>
        <v>.</v>
      </c>
      <c r="B3305" s="244" t="str">
        <f t="shared" si="51"/>
        <v>Knee Replacement RevisionProviderPRACTICE PLUS GROUP HOSPITAL - ILFORD (NTP15)Oxford Knee Score</v>
      </c>
      <c r="C3305" t="s">
        <v>973</v>
      </c>
      <c r="D3305" t="s">
        <v>965</v>
      </c>
      <c r="E3305" t="s">
        <v>456</v>
      </c>
      <c r="F3305" t="s">
        <v>457</v>
      </c>
      <c r="G3305" t="s">
        <v>972</v>
      </c>
      <c r="H3305">
        <v>1</v>
      </c>
      <c r="I3305">
        <v>6</v>
      </c>
      <c r="J3305">
        <v>25</v>
      </c>
      <c r="K3305">
        <v>19</v>
      </c>
      <c r="L3305">
        <v>1</v>
      </c>
      <c r="M3305">
        <v>0</v>
      </c>
      <c r="N3305">
        <v>0</v>
      </c>
      <c r="O3305" t="s">
        <v>127</v>
      </c>
      <c r="P3305" t="s">
        <v>127</v>
      </c>
      <c r="Q3305" t="s">
        <v>127</v>
      </c>
    </row>
    <row r="3306" spans="1:17" x14ac:dyDescent="0.25">
      <c r="A3306" t="str">
        <f>IF(C3306&amp;G3306&amp;D3306&lt;&gt;'Funnel setup'!$K$3&amp;'Funnel setup'!$K$4&amp;'Funnel setup'!$K$6,".",IF(A3305=".",1,A3305+1))</f>
        <v>.</v>
      </c>
      <c r="B3306" s="244" t="str">
        <f t="shared" si="51"/>
        <v>Knee Replacement RevisionProviderPRACTICE PLUS GROUP HOSPITAL - PLYMOUTH (NTPH5)Oxford Knee Score</v>
      </c>
      <c r="C3306" t="s">
        <v>973</v>
      </c>
      <c r="D3306" t="s">
        <v>965</v>
      </c>
      <c r="E3306" t="s">
        <v>458</v>
      </c>
      <c r="F3306" t="s">
        <v>459</v>
      </c>
      <c r="G3306" t="s">
        <v>972</v>
      </c>
      <c r="H3306">
        <v>5</v>
      </c>
      <c r="I3306">
        <v>23</v>
      </c>
      <c r="J3306">
        <v>33.200000000000003</v>
      </c>
      <c r="K3306">
        <v>10.199999999999999</v>
      </c>
      <c r="L3306">
        <v>3</v>
      </c>
      <c r="M3306">
        <v>0</v>
      </c>
      <c r="N3306">
        <v>2</v>
      </c>
      <c r="O3306" t="s">
        <v>127</v>
      </c>
      <c r="P3306" t="s">
        <v>127</v>
      </c>
      <c r="Q3306" t="s">
        <v>127</v>
      </c>
    </row>
    <row r="3307" spans="1:17" x14ac:dyDescent="0.25">
      <c r="A3307" t="str">
        <f>IF(C3307&amp;G3307&amp;D3307&lt;&gt;'Funnel setup'!$K$3&amp;'Funnel setup'!$K$4&amp;'Funnel setup'!$K$6,".",IF(A3306=".",1,A3306+1))</f>
        <v>.</v>
      </c>
      <c r="B3307" s="244" t="str">
        <f t="shared" si="51"/>
        <v>Knee Replacement RevisionProviderPRACTICE PLUS GROUP HOSPITAL - SOUTHAMPTON (NTP11)Oxford Knee Score</v>
      </c>
      <c r="C3307" t="s">
        <v>973</v>
      </c>
      <c r="D3307" t="s">
        <v>965</v>
      </c>
      <c r="E3307" t="s">
        <v>462</v>
      </c>
      <c r="F3307" t="s">
        <v>463</v>
      </c>
      <c r="G3307" t="s">
        <v>972</v>
      </c>
      <c r="H3307">
        <v>1</v>
      </c>
      <c r="I3307">
        <v>24</v>
      </c>
      <c r="J3307">
        <v>41</v>
      </c>
      <c r="K3307">
        <v>17</v>
      </c>
      <c r="L3307">
        <v>1</v>
      </c>
      <c r="M3307">
        <v>0</v>
      </c>
      <c r="N3307">
        <v>0</v>
      </c>
      <c r="O3307" t="s">
        <v>127</v>
      </c>
      <c r="P3307" t="s">
        <v>127</v>
      </c>
      <c r="Q3307" t="s">
        <v>127</v>
      </c>
    </row>
    <row r="3308" spans="1:17" x14ac:dyDescent="0.25">
      <c r="A3308" t="str">
        <f>IF(C3308&amp;G3308&amp;D3308&lt;&gt;'Funnel setup'!$K$3&amp;'Funnel setup'!$K$4&amp;'Funnel setup'!$K$6,".",IF(A3307=".",1,A3307+1))</f>
        <v>.</v>
      </c>
      <c r="B3308" s="244" t="str">
        <f t="shared" si="51"/>
        <v>Knee Replacement RevisionProviderPRIORY HOSPITAL (NT429)Oxford Knee Score</v>
      </c>
      <c r="C3308" t="s">
        <v>973</v>
      </c>
      <c r="D3308" t="s">
        <v>965</v>
      </c>
      <c r="E3308" t="s">
        <v>466</v>
      </c>
      <c r="F3308" t="s">
        <v>467</v>
      </c>
      <c r="G3308" t="s">
        <v>972</v>
      </c>
      <c r="H3308" t="s">
        <v>127</v>
      </c>
      <c r="I3308" t="s">
        <v>127</v>
      </c>
      <c r="J3308" t="s">
        <v>127</v>
      </c>
      <c r="K3308" t="s">
        <v>127</v>
      </c>
      <c r="L3308" t="s">
        <v>127</v>
      </c>
      <c r="M3308" t="s">
        <v>127</v>
      </c>
      <c r="N3308" t="s">
        <v>127</v>
      </c>
      <c r="O3308" t="s">
        <v>127</v>
      </c>
      <c r="P3308" t="s">
        <v>127</v>
      </c>
      <c r="Q3308" t="s">
        <v>127</v>
      </c>
    </row>
    <row r="3309" spans="1:17" x14ac:dyDescent="0.25">
      <c r="A3309" t="str">
        <f>IF(C3309&amp;G3309&amp;D3309&lt;&gt;'Funnel setup'!$K$3&amp;'Funnel setup'!$K$4&amp;'Funnel setup'!$K$6,".",IF(A3308=".",1,A3308+1))</f>
        <v>.</v>
      </c>
      <c r="B3309" s="244" t="str">
        <f t="shared" si="51"/>
        <v>Knee Replacement RevisionProviderROWLEY HALL HOSPITAL (NVC17)Oxford Knee Score</v>
      </c>
      <c r="C3309" t="s">
        <v>973</v>
      </c>
      <c r="D3309" t="s">
        <v>965</v>
      </c>
      <c r="E3309" t="s">
        <v>476</v>
      </c>
      <c r="F3309" t="s">
        <v>477</v>
      </c>
      <c r="G3309" t="s">
        <v>972</v>
      </c>
      <c r="H3309" t="s">
        <v>127</v>
      </c>
      <c r="I3309" t="s">
        <v>127</v>
      </c>
      <c r="J3309" t="s">
        <v>127</v>
      </c>
      <c r="K3309" t="s">
        <v>127</v>
      </c>
      <c r="L3309" t="s">
        <v>127</v>
      </c>
      <c r="M3309" t="s">
        <v>127</v>
      </c>
      <c r="N3309" t="s">
        <v>127</v>
      </c>
      <c r="O3309" t="s">
        <v>127</v>
      </c>
      <c r="P3309" t="s">
        <v>127</v>
      </c>
      <c r="Q3309" t="s">
        <v>127</v>
      </c>
    </row>
    <row r="3310" spans="1:17" x14ac:dyDescent="0.25">
      <c r="A3310" t="str">
        <f>IF(C3310&amp;G3310&amp;D3310&lt;&gt;'Funnel setup'!$K$3&amp;'Funnel setup'!$K$4&amp;'Funnel setup'!$K$6,".",IF(A3309=".",1,A3309+1))</f>
        <v>.</v>
      </c>
      <c r="B3310" s="244" t="str">
        <f t="shared" si="51"/>
        <v>Knee Replacement RevisionProviderROYAL CORNWALL HOSPITALS NHS TRUST (REF)Oxford Knee Score</v>
      </c>
      <c r="C3310" t="s">
        <v>973</v>
      </c>
      <c r="D3310" t="s">
        <v>965</v>
      </c>
      <c r="E3310" t="s">
        <v>480</v>
      </c>
      <c r="F3310" t="s">
        <v>481</v>
      </c>
      <c r="G3310" t="s">
        <v>972</v>
      </c>
      <c r="H3310">
        <v>5</v>
      </c>
      <c r="I3310">
        <v>20.8</v>
      </c>
      <c r="J3310">
        <v>35.6</v>
      </c>
      <c r="K3310">
        <v>14.8</v>
      </c>
      <c r="L3310">
        <v>4</v>
      </c>
      <c r="M3310">
        <v>0</v>
      </c>
      <c r="N3310">
        <v>1</v>
      </c>
      <c r="O3310" t="s">
        <v>127</v>
      </c>
      <c r="P3310" t="s">
        <v>127</v>
      </c>
      <c r="Q3310" t="s">
        <v>127</v>
      </c>
    </row>
    <row r="3311" spans="1:17" x14ac:dyDescent="0.25">
      <c r="A3311" t="str">
        <f>IF(C3311&amp;G3311&amp;D3311&lt;&gt;'Funnel setup'!$K$3&amp;'Funnel setup'!$K$4&amp;'Funnel setup'!$K$6,".",IF(A3310=".",1,A3310+1))</f>
        <v>.</v>
      </c>
      <c r="B3311" s="244" t="str">
        <f t="shared" si="51"/>
        <v>Knee Replacement RevisionProviderROYAL DEVON UNIVERSITY HEALTHCARE NHS FOUNDATION TRUST (RH8)Oxford Knee Score</v>
      </c>
      <c r="C3311" t="s">
        <v>973</v>
      </c>
      <c r="D3311" t="s">
        <v>965</v>
      </c>
      <c r="E3311" t="s">
        <v>482</v>
      </c>
      <c r="F3311" t="s">
        <v>483</v>
      </c>
      <c r="G3311" t="s">
        <v>972</v>
      </c>
      <c r="H3311">
        <v>5</v>
      </c>
      <c r="I3311">
        <v>19.8</v>
      </c>
      <c r="J3311">
        <v>28.2</v>
      </c>
      <c r="K3311">
        <v>8.4</v>
      </c>
      <c r="L3311">
        <v>4</v>
      </c>
      <c r="M3311">
        <v>0</v>
      </c>
      <c r="N3311">
        <v>1</v>
      </c>
      <c r="O3311" t="s">
        <v>127</v>
      </c>
      <c r="P3311" t="s">
        <v>127</v>
      </c>
      <c r="Q3311" t="s">
        <v>127</v>
      </c>
    </row>
    <row r="3312" spans="1:17" x14ac:dyDescent="0.25">
      <c r="A3312" t="str">
        <f>IF(C3312&amp;G3312&amp;D3312&lt;&gt;'Funnel setup'!$K$3&amp;'Funnel setup'!$K$4&amp;'Funnel setup'!$K$6,".",IF(A3311=".",1,A3311+1))</f>
        <v>.</v>
      </c>
      <c r="B3312" s="244" t="str">
        <f t="shared" si="51"/>
        <v>Knee Replacement RevisionProviderROYAL NATIONAL ORTHOPAEDIC HOSPITAL NHS TRUST (RAN)Oxford Knee Score</v>
      </c>
      <c r="C3312" t="s">
        <v>973</v>
      </c>
      <c r="D3312" t="s">
        <v>965</v>
      </c>
      <c r="E3312" t="s">
        <v>486</v>
      </c>
      <c r="F3312" t="s">
        <v>487</v>
      </c>
      <c r="G3312" t="s">
        <v>972</v>
      </c>
      <c r="H3312">
        <v>27</v>
      </c>
      <c r="I3312">
        <v>18.592600000000001</v>
      </c>
      <c r="J3312">
        <v>25.703700000000001</v>
      </c>
      <c r="K3312">
        <v>7.11111</v>
      </c>
      <c r="L3312">
        <v>18</v>
      </c>
      <c r="M3312">
        <v>1</v>
      </c>
      <c r="N3312">
        <v>8</v>
      </c>
      <c r="O3312" t="s">
        <v>127</v>
      </c>
      <c r="P3312" t="s">
        <v>127</v>
      </c>
      <c r="Q3312" t="s">
        <v>127</v>
      </c>
    </row>
    <row r="3313" spans="1:17" x14ac:dyDescent="0.25">
      <c r="A3313" t="str">
        <f>IF(C3313&amp;G3313&amp;D3313&lt;&gt;'Funnel setup'!$K$3&amp;'Funnel setup'!$K$4&amp;'Funnel setup'!$K$6,".",IF(A3312=".",1,A3312+1))</f>
        <v>.</v>
      </c>
      <c r="B3313" s="244" t="str">
        <f t="shared" si="51"/>
        <v>Knee Replacement RevisionProviderROYAL UNITED HOSPITALS BATH NHS FOUNDATION TRUST (RD1)Oxford Knee Score</v>
      </c>
      <c r="C3313" t="s">
        <v>973</v>
      </c>
      <c r="D3313" t="s">
        <v>965</v>
      </c>
      <c r="E3313" t="s">
        <v>490</v>
      </c>
      <c r="F3313" t="s">
        <v>491</v>
      </c>
      <c r="G3313" t="s">
        <v>972</v>
      </c>
      <c r="H3313">
        <v>2</v>
      </c>
      <c r="I3313">
        <v>8.5</v>
      </c>
      <c r="J3313">
        <v>38.5</v>
      </c>
      <c r="K3313">
        <v>30</v>
      </c>
      <c r="L3313">
        <v>2</v>
      </c>
      <c r="M3313">
        <v>0</v>
      </c>
      <c r="N3313">
        <v>0</v>
      </c>
      <c r="O3313" t="s">
        <v>127</v>
      </c>
      <c r="P3313" t="s">
        <v>127</v>
      </c>
      <c r="Q3313" t="s">
        <v>127</v>
      </c>
    </row>
    <row r="3314" spans="1:17" x14ac:dyDescent="0.25">
      <c r="A3314" t="str">
        <f>IF(C3314&amp;G3314&amp;D3314&lt;&gt;'Funnel setup'!$K$3&amp;'Funnel setup'!$K$4&amp;'Funnel setup'!$K$6,".",IF(A3313=".",1,A3313+1))</f>
        <v>.</v>
      </c>
      <c r="B3314" s="244" t="str">
        <f t="shared" si="51"/>
        <v>Knee Replacement RevisionProviderSANDWELL AND WEST BIRMINGHAM HOSPITALS NHS TRUST (RXK)Oxford Knee Score</v>
      </c>
      <c r="C3314" t="s">
        <v>973</v>
      </c>
      <c r="D3314" t="s">
        <v>965</v>
      </c>
      <c r="E3314" t="s">
        <v>496</v>
      </c>
      <c r="F3314" t="s">
        <v>497</v>
      </c>
      <c r="G3314" t="s">
        <v>972</v>
      </c>
      <c r="H3314">
        <v>4</v>
      </c>
      <c r="I3314">
        <v>15</v>
      </c>
      <c r="J3314">
        <v>22.5</v>
      </c>
      <c r="K3314">
        <v>7.5</v>
      </c>
      <c r="L3314">
        <v>4</v>
      </c>
      <c r="M3314">
        <v>0</v>
      </c>
      <c r="N3314">
        <v>0</v>
      </c>
      <c r="O3314" t="s">
        <v>127</v>
      </c>
      <c r="P3314" t="s">
        <v>127</v>
      </c>
      <c r="Q3314" t="s">
        <v>127</v>
      </c>
    </row>
    <row r="3315" spans="1:17" x14ac:dyDescent="0.25">
      <c r="A3315" t="str">
        <f>IF(C3315&amp;G3315&amp;D3315&lt;&gt;'Funnel setup'!$K$3&amp;'Funnel setup'!$K$4&amp;'Funnel setup'!$K$6,".",IF(A3314=".",1,A3314+1))</f>
        <v>.</v>
      </c>
      <c r="B3315" s="244" t="str">
        <f t="shared" si="51"/>
        <v>Knee Replacement RevisionProviderSHEFFIELD TEACHING HOSPITALS NHS FOUNDATION TRUST (RHQ)Oxford Knee Score</v>
      </c>
      <c r="C3315" t="s">
        <v>973</v>
      </c>
      <c r="D3315" t="s">
        <v>965</v>
      </c>
      <c r="E3315" t="s">
        <v>506</v>
      </c>
      <c r="F3315" t="s">
        <v>507</v>
      </c>
      <c r="G3315" t="s">
        <v>972</v>
      </c>
      <c r="H3315">
        <v>1</v>
      </c>
      <c r="I3315">
        <v>23</v>
      </c>
      <c r="J3315">
        <v>39</v>
      </c>
      <c r="K3315">
        <v>16</v>
      </c>
      <c r="L3315">
        <v>1</v>
      </c>
      <c r="M3315">
        <v>0</v>
      </c>
      <c r="N3315">
        <v>0</v>
      </c>
      <c r="O3315" t="s">
        <v>127</v>
      </c>
      <c r="P3315" t="s">
        <v>127</v>
      </c>
      <c r="Q3315" t="s">
        <v>127</v>
      </c>
    </row>
    <row r="3316" spans="1:17" x14ac:dyDescent="0.25">
      <c r="A3316" t="str">
        <f>IF(C3316&amp;G3316&amp;D3316&lt;&gt;'Funnel setup'!$K$3&amp;'Funnel setup'!$K$4&amp;'Funnel setup'!$K$6,".",IF(A3315=".",1,A3315+1))</f>
        <v>.</v>
      </c>
      <c r="B3316" s="244" t="str">
        <f t="shared" si="51"/>
        <v>Knee Replacement RevisionProviderSHERWOOD FOREST HOSPITALS NHS FOUNDATION TRUST (RK5)Oxford Knee Score</v>
      </c>
      <c r="C3316" t="s">
        <v>973</v>
      </c>
      <c r="D3316" t="s">
        <v>965</v>
      </c>
      <c r="E3316" t="s">
        <v>508</v>
      </c>
      <c r="F3316" t="s">
        <v>509</v>
      </c>
      <c r="G3316" t="s">
        <v>972</v>
      </c>
      <c r="H3316">
        <v>2</v>
      </c>
      <c r="I3316">
        <v>17.5</v>
      </c>
      <c r="J3316">
        <v>37</v>
      </c>
      <c r="K3316">
        <v>19.5</v>
      </c>
      <c r="L3316">
        <v>2</v>
      </c>
      <c r="M3316">
        <v>0</v>
      </c>
      <c r="N3316">
        <v>0</v>
      </c>
      <c r="O3316" t="s">
        <v>127</v>
      </c>
      <c r="P3316" t="s">
        <v>127</v>
      </c>
      <c r="Q3316" t="s">
        <v>127</v>
      </c>
    </row>
    <row r="3317" spans="1:17" x14ac:dyDescent="0.25">
      <c r="A3317" t="str">
        <f>IF(C3317&amp;G3317&amp;D3317&lt;&gt;'Funnel setup'!$K$3&amp;'Funnel setup'!$K$4&amp;'Funnel setup'!$K$6,".",IF(A3316=".",1,A3316+1))</f>
        <v>.</v>
      </c>
      <c r="B3317" s="244" t="str">
        <f t="shared" si="51"/>
        <v>Knee Replacement RevisionProviderSOUTH TEES HOSPITALS NHS FOUNDATION TRUST (RTR)Oxford Knee Score</v>
      </c>
      <c r="C3317" t="s">
        <v>973</v>
      </c>
      <c r="D3317" t="s">
        <v>965</v>
      </c>
      <c r="E3317" t="s">
        <v>516</v>
      </c>
      <c r="F3317" t="s">
        <v>517</v>
      </c>
      <c r="G3317" t="s">
        <v>972</v>
      </c>
      <c r="H3317">
        <v>9</v>
      </c>
      <c r="I3317">
        <v>14.1111</v>
      </c>
      <c r="J3317">
        <v>35.8889</v>
      </c>
      <c r="K3317">
        <v>21.777799999999999</v>
      </c>
      <c r="L3317">
        <v>9</v>
      </c>
      <c r="M3317">
        <v>0</v>
      </c>
      <c r="N3317">
        <v>0</v>
      </c>
      <c r="O3317" t="s">
        <v>127</v>
      </c>
      <c r="P3317" t="s">
        <v>127</v>
      </c>
      <c r="Q3317" t="s">
        <v>127</v>
      </c>
    </row>
    <row r="3318" spans="1:17" x14ac:dyDescent="0.25">
      <c r="A3318" t="str">
        <f>IF(C3318&amp;G3318&amp;D3318&lt;&gt;'Funnel setup'!$K$3&amp;'Funnel setup'!$K$4&amp;'Funnel setup'!$K$6,".",IF(A3317=".",1,A3317+1))</f>
        <v>.</v>
      </c>
      <c r="B3318" s="244" t="str">
        <f t="shared" si="51"/>
        <v>Knee Replacement RevisionProviderSOUTH TYNESIDE AND SUNDERLAND NHS FOUNDATION TRUST (R0B)Oxford Knee Score</v>
      </c>
      <c r="C3318" t="s">
        <v>973</v>
      </c>
      <c r="D3318" t="s">
        <v>965</v>
      </c>
      <c r="E3318" t="s">
        <v>518</v>
      </c>
      <c r="F3318" t="s">
        <v>519</v>
      </c>
      <c r="G3318" t="s">
        <v>972</v>
      </c>
      <c r="H3318">
        <v>1</v>
      </c>
      <c r="I3318">
        <v>12</v>
      </c>
      <c r="J3318">
        <v>9</v>
      </c>
      <c r="K3318">
        <v>-3</v>
      </c>
      <c r="L3318">
        <v>0</v>
      </c>
      <c r="M3318">
        <v>0</v>
      </c>
      <c r="N3318">
        <v>1</v>
      </c>
      <c r="O3318" t="s">
        <v>127</v>
      </c>
      <c r="P3318" t="s">
        <v>127</v>
      </c>
      <c r="Q3318" t="s">
        <v>127</v>
      </c>
    </row>
    <row r="3319" spans="1:17" x14ac:dyDescent="0.25">
      <c r="A3319" t="str">
        <f>IF(C3319&amp;G3319&amp;D3319&lt;&gt;'Funnel setup'!$K$3&amp;'Funnel setup'!$K$4&amp;'Funnel setup'!$K$6,".",IF(A3318=".",1,A3318+1))</f>
        <v>.</v>
      </c>
      <c r="B3319" s="244" t="str">
        <f t="shared" si="51"/>
        <v>Knee Replacement RevisionProviderSOUTH WARWICKSHIRE UNIVERSITY NHS FOUNDATION TRUST (RJC)Oxford Knee Score</v>
      </c>
      <c r="C3319" t="s">
        <v>973</v>
      </c>
      <c r="D3319" t="s">
        <v>965</v>
      </c>
      <c r="E3319" t="s">
        <v>520</v>
      </c>
      <c r="F3319" t="s">
        <v>521</v>
      </c>
      <c r="G3319" t="s">
        <v>972</v>
      </c>
      <c r="H3319">
        <v>4</v>
      </c>
      <c r="I3319">
        <v>12.75</v>
      </c>
      <c r="J3319">
        <v>44.25</v>
      </c>
      <c r="K3319">
        <v>31.5</v>
      </c>
      <c r="L3319">
        <v>4</v>
      </c>
      <c r="M3319">
        <v>0</v>
      </c>
      <c r="N3319">
        <v>0</v>
      </c>
      <c r="O3319" t="s">
        <v>127</v>
      </c>
      <c r="P3319" t="s">
        <v>127</v>
      </c>
      <c r="Q3319" t="s">
        <v>127</v>
      </c>
    </row>
    <row r="3320" spans="1:17" x14ac:dyDescent="0.25">
      <c r="A3320" t="str">
        <f>IF(C3320&amp;G3320&amp;D3320&lt;&gt;'Funnel setup'!$K$3&amp;'Funnel setup'!$K$4&amp;'Funnel setup'!$K$6,".",IF(A3319=".",1,A3319+1))</f>
        <v>.</v>
      </c>
      <c r="B3320" s="244" t="str">
        <f t="shared" si="51"/>
        <v>Knee Replacement RevisionProviderSPIRE FYLDE COAST HOSPITAL (NT347)Oxford Knee Score</v>
      </c>
      <c r="C3320" t="s">
        <v>973</v>
      </c>
      <c r="D3320" t="s">
        <v>965</v>
      </c>
      <c r="E3320" t="s">
        <v>544</v>
      </c>
      <c r="F3320" t="s">
        <v>545</v>
      </c>
      <c r="G3320" t="s">
        <v>972</v>
      </c>
      <c r="H3320" t="s">
        <v>127</v>
      </c>
      <c r="I3320" t="s">
        <v>127</v>
      </c>
      <c r="J3320" t="s">
        <v>127</v>
      </c>
      <c r="K3320" t="s">
        <v>127</v>
      </c>
      <c r="L3320" t="s">
        <v>127</v>
      </c>
      <c r="M3320" t="s">
        <v>127</v>
      </c>
      <c r="N3320" t="s">
        <v>127</v>
      </c>
      <c r="O3320" t="s">
        <v>127</v>
      </c>
      <c r="P3320" t="s">
        <v>127</v>
      </c>
      <c r="Q3320" t="s">
        <v>127</v>
      </c>
    </row>
    <row r="3321" spans="1:17" x14ac:dyDescent="0.25">
      <c r="A3321" t="str">
        <f>IF(C3321&amp;G3321&amp;D3321&lt;&gt;'Funnel setup'!$K$3&amp;'Funnel setup'!$K$4&amp;'Funnel setup'!$K$6,".",IF(A3320=".",1,A3320+1))</f>
        <v>.</v>
      </c>
      <c r="B3321" s="244" t="str">
        <f t="shared" si="51"/>
        <v>Knee Replacement RevisionProviderSPIRE WASHINGTON HOSPITAL (NT333)Oxford Knee Score</v>
      </c>
      <c r="C3321" t="s">
        <v>973</v>
      </c>
      <c r="D3321" t="s">
        <v>965</v>
      </c>
      <c r="E3321" t="s">
        <v>596</v>
      </c>
      <c r="F3321" t="s">
        <v>597</v>
      </c>
      <c r="G3321" t="s">
        <v>972</v>
      </c>
      <c r="H3321" t="s">
        <v>127</v>
      </c>
      <c r="I3321" t="s">
        <v>127</v>
      </c>
      <c r="J3321" t="s">
        <v>127</v>
      </c>
      <c r="K3321" t="s">
        <v>127</v>
      </c>
      <c r="L3321" t="s">
        <v>127</v>
      </c>
      <c r="M3321" t="s">
        <v>127</v>
      </c>
      <c r="N3321" t="s">
        <v>127</v>
      </c>
      <c r="O3321" t="s">
        <v>127</v>
      </c>
      <c r="P3321" t="s">
        <v>127</v>
      </c>
      <c r="Q3321" t="s">
        <v>127</v>
      </c>
    </row>
    <row r="3322" spans="1:17" x14ac:dyDescent="0.25">
      <c r="A3322" t="str">
        <f>IF(C3322&amp;G3322&amp;D3322&lt;&gt;'Funnel setup'!$K$3&amp;'Funnel setup'!$K$4&amp;'Funnel setup'!$K$6,".",IF(A3321=".",1,A3321+1))</f>
        <v>.</v>
      </c>
      <c r="B3322" s="244" t="str">
        <f t="shared" si="51"/>
        <v>Knee Replacement RevisionProviderSPRINGFIELD HOSPITAL (NVC18)Oxford Knee Score</v>
      </c>
      <c r="C3322" t="s">
        <v>973</v>
      </c>
      <c r="D3322" t="s">
        <v>965</v>
      </c>
      <c r="E3322" t="s">
        <v>602</v>
      </c>
      <c r="F3322" t="s">
        <v>603</v>
      </c>
      <c r="G3322" t="s">
        <v>972</v>
      </c>
      <c r="H3322" t="s">
        <v>127</v>
      </c>
      <c r="I3322" t="s">
        <v>127</v>
      </c>
      <c r="J3322" t="s">
        <v>127</v>
      </c>
      <c r="K3322" t="s">
        <v>127</v>
      </c>
      <c r="L3322" t="s">
        <v>127</v>
      </c>
      <c r="M3322" t="s">
        <v>127</v>
      </c>
      <c r="N3322" t="s">
        <v>127</v>
      </c>
      <c r="O3322" t="s">
        <v>127</v>
      </c>
      <c r="P3322" t="s">
        <v>127</v>
      </c>
      <c r="Q3322" t="s">
        <v>127</v>
      </c>
    </row>
    <row r="3323" spans="1:17" x14ac:dyDescent="0.25">
      <c r="A3323" t="str">
        <f>IF(C3323&amp;G3323&amp;D3323&lt;&gt;'Funnel setup'!$K$3&amp;'Funnel setup'!$K$4&amp;'Funnel setup'!$K$6,".",IF(A3322=".",1,A3322+1))</f>
        <v>.</v>
      </c>
      <c r="B3323" s="244" t="str">
        <f t="shared" si="51"/>
        <v>Knee Replacement RevisionProviderST HELENS AND KNOWSLEY TEACHING HOSPITALS NHS TRUST (RBN)Oxford Knee Score</v>
      </c>
      <c r="C3323" t="s">
        <v>973</v>
      </c>
      <c r="D3323" t="s">
        <v>965</v>
      </c>
      <c r="E3323" t="s">
        <v>608</v>
      </c>
      <c r="F3323" t="s">
        <v>609</v>
      </c>
      <c r="G3323" t="s">
        <v>972</v>
      </c>
      <c r="H3323">
        <v>5</v>
      </c>
      <c r="I3323">
        <v>15.4</v>
      </c>
      <c r="J3323">
        <v>32.6</v>
      </c>
      <c r="K3323">
        <v>17.2</v>
      </c>
      <c r="L3323">
        <v>5</v>
      </c>
      <c r="M3323">
        <v>0</v>
      </c>
      <c r="N3323">
        <v>0</v>
      </c>
      <c r="O3323" t="s">
        <v>127</v>
      </c>
      <c r="P3323" t="s">
        <v>127</v>
      </c>
      <c r="Q3323" t="s">
        <v>127</v>
      </c>
    </row>
    <row r="3324" spans="1:17" x14ac:dyDescent="0.25">
      <c r="A3324" t="str">
        <f>IF(C3324&amp;G3324&amp;D3324&lt;&gt;'Funnel setup'!$K$3&amp;'Funnel setup'!$K$4&amp;'Funnel setup'!$K$6,".",IF(A3323=".",1,A3323+1))</f>
        <v>.</v>
      </c>
      <c r="B3324" s="244" t="str">
        <f t="shared" si="51"/>
        <v>Knee Replacement RevisionProviderST HUGH'S HOSPITAL (NTE02)Oxford Knee Score</v>
      </c>
      <c r="C3324" t="s">
        <v>973</v>
      </c>
      <c r="D3324" t="s">
        <v>965</v>
      </c>
      <c r="E3324" t="s">
        <v>610</v>
      </c>
      <c r="F3324" t="s">
        <v>611</v>
      </c>
      <c r="G3324" t="s">
        <v>972</v>
      </c>
      <c r="H3324">
        <v>2</v>
      </c>
      <c r="I3324">
        <v>19</v>
      </c>
      <c r="J3324">
        <v>29</v>
      </c>
      <c r="K3324">
        <v>10</v>
      </c>
      <c r="L3324">
        <v>2</v>
      </c>
      <c r="M3324">
        <v>0</v>
      </c>
      <c r="N3324">
        <v>0</v>
      </c>
      <c r="O3324" t="s">
        <v>127</v>
      </c>
      <c r="P3324" t="s">
        <v>127</v>
      </c>
      <c r="Q3324" t="s">
        <v>127</v>
      </c>
    </row>
    <row r="3325" spans="1:17" x14ac:dyDescent="0.25">
      <c r="A3325" t="str">
        <f>IF(C3325&amp;G3325&amp;D3325&lt;&gt;'Funnel setup'!$K$3&amp;'Funnel setup'!$K$4&amp;'Funnel setup'!$K$6,".",IF(A3324=".",1,A3324+1))</f>
        <v>.</v>
      </c>
      <c r="B3325" s="244" t="str">
        <f t="shared" si="51"/>
        <v>Knee Replacement RevisionProviderSTOCKPORT NHS FOUNDATION TRUST (RWJ)Oxford Knee Score</v>
      </c>
      <c r="C3325" t="s">
        <v>973</v>
      </c>
      <c r="D3325" t="s">
        <v>965</v>
      </c>
      <c r="E3325" t="s">
        <v>614</v>
      </c>
      <c r="F3325" t="s">
        <v>615</v>
      </c>
      <c r="G3325" t="s">
        <v>972</v>
      </c>
      <c r="H3325">
        <v>3</v>
      </c>
      <c r="I3325">
        <v>12</v>
      </c>
      <c r="J3325">
        <v>35.666699999999999</v>
      </c>
      <c r="K3325">
        <v>23.666699999999999</v>
      </c>
      <c r="L3325">
        <v>3</v>
      </c>
      <c r="M3325">
        <v>0</v>
      </c>
      <c r="N3325">
        <v>0</v>
      </c>
      <c r="O3325" t="s">
        <v>127</v>
      </c>
      <c r="P3325" t="s">
        <v>127</v>
      </c>
      <c r="Q3325" t="s">
        <v>127</v>
      </c>
    </row>
    <row r="3326" spans="1:17" x14ac:dyDescent="0.25">
      <c r="A3326" t="str">
        <f>IF(C3326&amp;G3326&amp;D3326&lt;&gt;'Funnel setup'!$K$3&amp;'Funnel setup'!$K$4&amp;'Funnel setup'!$K$6,".",IF(A3325=".",1,A3325+1))</f>
        <v>.</v>
      </c>
      <c r="B3326" s="244" t="str">
        <f t="shared" si="51"/>
        <v>Knee Replacement RevisionProviderSURREY AND SUSSEX HEALTHCARE NHS TRUST (RTP)Oxford Knee Score</v>
      </c>
      <c r="C3326" t="s">
        <v>973</v>
      </c>
      <c r="D3326" t="s">
        <v>965</v>
      </c>
      <c r="E3326" t="s">
        <v>618</v>
      </c>
      <c r="F3326" t="s">
        <v>619</v>
      </c>
      <c r="G3326" t="s">
        <v>972</v>
      </c>
      <c r="H3326">
        <v>2</v>
      </c>
      <c r="I3326">
        <v>15.5</v>
      </c>
      <c r="J3326">
        <v>19</v>
      </c>
      <c r="K3326">
        <v>3.5</v>
      </c>
      <c r="L3326">
        <v>1</v>
      </c>
      <c r="M3326">
        <v>0</v>
      </c>
      <c r="N3326">
        <v>1</v>
      </c>
      <c r="O3326" t="s">
        <v>127</v>
      </c>
      <c r="P3326" t="s">
        <v>127</v>
      </c>
      <c r="Q3326" t="s">
        <v>127</v>
      </c>
    </row>
    <row r="3327" spans="1:17" x14ac:dyDescent="0.25">
      <c r="A3327" t="str">
        <f>IF(C3327&amp;G3327&amp;D3327&lt;&gt;'Funnel setup'!$K$3&amp;'Funnel setup'!$K$4&amp;'Funnel setup'!$K$6,".",IF(A3326=".",1,A3326+1))</f>
        <v>.</v>
      </c>
      <c r="B3327" s="244" t="str">
        <f t="shared" si="51"/>
        <v>Knee Replacement RevisionProviderTEES VALLEY HOSPITAL (NVC0R)Oxford Knee Score</v>
      </c>
      <c r="C3327" t="s">
        <v>973</v>
      </c>
      <c r="D3327" t="s">
        <v>965</v>
      </c>
      <c r="E3327" t="s">
        <v>624</v>
      </c>
      <c r="F3327" t="s">
        <v>625</v>
      </c>
      <c r="G3327" t="s">
        <v>972</v>
      </c>
      <c r="H3327" t="s">
        <v>127</v>
      </c>
      <c r="I3327" t="s">
        <v>127</v>
      </c>
      <c r="J3327" t="s">
        <v>127</v>
      </c>
      <c r="K3327" t="s">
        <v>127</v>
      </c>
      <c r="L3327" t="s">
        <v>127</v>
      </c>
      <c r="M3327" t="s">
        <v>127</v>
      </c>
      <c r="N3327" t="s">
        <v>127</v>
      </c>
      <c r="O3327" t="s">
        <v>127</v>
      </c>
      <c r="P3327" t="s">
        <v>127</v>
      </c>
      <c r="Q3327" t="s">
        <v>127</v>
      </c>
    </row>
    <row r="3328" spans="1:17" x14ac:dyDescent="0.25">
      <c r="A3328" t="str">
        <f>IF(C3328&amp;G3328&amp;D3328&lt;&gt;'Funnel setup'!$K$3&amp;'Funnel setup'!$K$4&amp;'Funnel setup'!$K$6,".",IF(A3327=".",1,A3327+1))</f>
        <v>.</v>
      </c>
      <c r="B3328" s="244" t="str">
        <f t="shared" si="51"/>
        <v>Knee Replacement RevisionProviderTHE CHERWELL HOSPITAL (NVC25)Oxford Knee Score</v>
      </c>
      <c r="C3328" t="s">
        <v>973</v>
      </c>
      <c r="D3328" t="s">
        <v>965</v>
      </c>
      <c r="E3328" t="s">
        <v>628</v>
      </c>
      <c r="F3328" t="s">
        <v>629</v>
      </c>
      <c r="G3328" t="s">
        <v>972</v>
      </c>
      <c r="H3328">
        <v>9</v>
      </c>
      <c r="I3328">
        <v>18</v>
      </c>
      <c r="J3328">
        <v>37.666699999999999</v>
      </c>
      <c r="K3328">
        <v>19.666699999999999</v>
      </c>
      <c r="L3328">
        <v>8</v>
      </c>
      <c r="M3328">
        <v>0</v>
      </c>
      <c r="N3328">
        <v>1</v>
      </c>
      <c r="O3328" t="s">
        <v>127</v>
      </c>
      <c r="P3328" t="s">
        <v>127</v>
      </c>
      <c r="Q3328" t="s">
        <v>127</v>
      </c>
    </row>
    <row r="3329" spans="1:17" x14ac:dyDescent="0.25">
      <c r="A3329" t="str">
        <f>IF(C3329&amp;G3329&amp;D3329&lt;&gt;'Funnel setup'!$K$3&amp;'Funnel setup'!$K$4&amp;'Funnel setup'!$K$6,".",IF(A3328=".",1,A3328+1))</f>
        <v>.</v>
      </c>
      <c r="B3329" s="244" t="str">
        <f t="shared" si="51"/>
        <v>Knee Replacement RevisionProviderTHE HILLINGDON HOSPITALS NHS FOUNDATION TRUST (RAS)Oxford Knee Score</v>
      </c>
      <c r="C3329" t="s">
        <v>973</v>
      </c>
      <c r="D3329" t="s">
        <v>965</v>
      </c>
      <c r="E3329" t="s">
        <v>632</v>
      </c>
      <c r="F3329" t="s">
        <v>633</v>
      </c>
      <c r="G3329" t="s">
        <v>972</v>
      </c>
      <c r="H3329">
        <v>6</v>
      </c>
      <c r="I3329">
        <v>20.333300000000001</v>
      </c>
      <c r="J3329">
        <v>33</v>
      </c>
      <c r="K3329">
        <v>12.666700000000001</v>
      </c>
      <c r="L3329">
        <v>6</v>
      </c>
      <c r="M3329">
        <v>0</v>
      </c>
      <c r="N3329">
        <v>0</v>
      </c>
      <c r="O3329" t="s">
        <v>127</v>
      </c>
      <c r="P3329" t="s">
        <v>127</v>
      </c>
      <c r="Q3329" t="s">
        <v>127</v>
      </c>
    </row>
    <row r="3330" spans="1:17" x14ac:dyDescent="0.25">
      <c r="A3330" t="str">
        <f>IF(C3330&amp;G3330&amp;D3330&lt;&gt;'Funnel setup'!$K$3&amp;'Funnel setup'!$K$4&amp;'Funnel setup'!$K$6,".",IF(A3329=".",1,A3329+1))</f>
        <v>.</v>
      </c>
      <c r="B3330" s="244" t="str">
        <f t="shared" ref="B3330:B3393" si="52">C3330&amp;D3330&amp;F3330&amp;G3330</f>
        <v>Knee Replacement RevisionProviderTHE HORDER CENTRE - ST JOHNS ROAD (NXM01)Oxford Knee Score</v>
      </c>
      <c r="C3330" t="s">
        <v>973</v>
      </c>
      <c r="D3330" t="s">
        <v>965</v>
      </c>
      <c r="E3330" t="s">
        <v>634</v>
      </c>
      <c r="F3330" t="s">
        <v>635</v>
      </c>
      <c r="G3330" t="s">
        <v>972</v>
      </c>
      <c r="H3330">
        <v>5</v>
      </c>
      <c r="I3330">
        <v>21</v>
      </c>
      <c r="J3330">
        <v>36.799999999999997</v>
      </c>
      <c r="K3330">
        <v>15.8</v>
      </c>
      <c r="L3330">
        <v>5</v>
      </c>
      <c r="M3330">
        <v>0</v>
      </c>
      <c r="N3330">
        <v>0</v>
      </c>
      <c r="O3330" t="s">
        <v>127</v>
      </c>
      <c r="P3330" t="s">
        <v>127</v>
      </c>
      <c r="Q3330" t="s">
        <v>127</v>
      </c>
    </row>
    <row r="3331" spans="1:17" x14ac:dyDescent="0.25">
      <c r="A3331" t="str">
        <f>IF(C3331&amp;G3331&amp;D3331&lt;&gt;'Funnel setup'!$K$3&amp;'Funnel setup'!$K$4&amp;'Funnel setup'!$K$6,".",IF(A3330=".",1,A3330+1))</f>
        <v>.</v>
      </c>
      <c r="B3331" s="244" t="str">
        <f t="shared" si="52"/>
        <v>Knee Replacement RevisionProviderTHE PRINCESS ALEXANDRA HOSPITAL NHS TRUST (RQW)Oxford Knee Score</v>
      </c>
      <c r="C3331" t="s">
        <v>973</v>
      </c>
      <c r="D3331" t="s">
        <v>965</v>
      </c>
      <c r="E3331" t="s">
        <v>640</v>
      </c>
      <c r="F3331" t="s">
        <v>641</v>
      </c>
      <c r="G3331" t="s">
        <v>972</v>
      </c>
      <c r="H3331">
        <v>1</v>
      </c>
      <c r="I3331">
        <v>14</v>
      </c>
      <c r="J3331">
        <v>39</v>
      </c>
      <c r="K3331">
        <v>25</v>
      </c>
      <c r="L3331">
        <v>1</v>
      </c>
      <c r="M3331">
        <v>0</v>
      </c>
      <c r="N3331">
        <v>0</v>
      </c>
      <c r="O3331" t="s">
        <v>127</v>
      </c>
      <c r="P3331" t="s">
        <v>127</v>
      </c>
      <c r="Q3331" t="s">
        <v>127</v>
      </c>
    </row>
    <row r="3332" spans="1:17" x14ac:dyDescent="0.25">
      <c r="A3332" t="str">
        <f>IF(C3332&amp;G3332&amp;D3332&lt;&gt;'Funnel setup'!$K$3&amp;'Funnel setup'!$K$4&amp;'Funnel setup'!$K$6,".",IF(A3331=".",1,A3331+1))</f>
        <v>.</v>
      </c>
      <c r="B3332" s="244" t="str">
        <f t="shared" si="52"/>
        <v>Knee Replacement RevisionProviderTHE QUEEN ELIZABETH HOSPITAL, KING'S LYNN, NHS FOUNDATION TRUST (RCX)Oxford Knee Score</v>
      </c>
      <c r="C3332" t="s">
        <v>973</v>
      </c>
      <c r="D3332" t="s">
        <v>965</v>
      </c>
      <c r="E3332" t="s">
        <v>644</v>
      </c>
      <c r="F3332" t="s">
        <v>645</v>
      </c>
      <c r="G3332" t="s">
        <v>972</v>
      </c>
      <c r="H3332">
        <v>3</v>
      </c>
      <c r="I3332">
        <v>17.333300000000001</v>
      </c>
      <c r="J3332">
        <v>26.666699999999999</v>
      </c>
      <c r="K3332">
        <v>9.3333300000000001</v>
      </c>
      <c r="L3332">
        <v>2</v>
      </c>
      <c r="M3332">
        <v>0</v>
      </c>
      <c r="N3332">
        <v>1</v>
      </c>
      <c r="O3332" t="s">
        <v>127</v>
      </c>
      <c r="P3332" t="s">
        <v>127</v>
      </c>
      <c r="Q3332" t="s">
        <v>127</v>
      </c>
    </row>
    <row r="3333" spans="1:17" x14ac:dyDescent="0.25">
      <c r="A3333" t="str">
        <f>IF(C3333&amp;G3333&amp;D3333&lt;&gt;'Funnel setup'!$K$3&amp;'Funnel setup'!$K$4&amp;'Funnel setup'!$K$6,".",IF(A3332=".",1,A3332+1))</f>
        <v>.</v>
      </c>
      <c r="B3333" s="244" t="str">
        <f t="shared" si="52"/>
        <v>Knee Replacement RevisionProviderTHE ROBERT JONES AND AGNES HUNT ORTHOPAEDIC HOSPITAL NHS FOUNDATION TRUST (RL1)Oxford Knee Score</v>
      </c>
      <c r="C3333" t="s">
        <v>973</v>
      </c>
      <c r="D3333" t="s">
        <v>965</v>
      </c>
      <c r="E3333" t="s">
        <v>646</v>
      </c>
      <c r="F3333" t="s">
        <v>647</v>
      </c>
      <c r="G3333" t="s">
        <v>972</v>
      </c>
      <c r="H3333">
        <v>36</v>
      </c>
      <c r="I3333">
        <v>17.527799999999999</v>
      </c>
      <c r="J3333">
        <v>30.472200000000001</v>
      </c>
      <c r="K3333">
        <v>12.9444</v>
      </c>
      <c r="L3333">
        <v>31</v>
      </c>
      <c r="M3333">
        <v>1</v>
      </c>
      <c r="N3333">
        <v>4</v>
      </c>
      <c r="O3333">
        <v>30.0992</v>
      </c>
      <c r="P3333">
        <v>13.7719</v>
      </c>
      <c r="Q3333">
        <v>10.3666</v>
      </c>
    </row>
    <row r="3334" spans="1:17" x14ac:dyDescent="0.25">
      <c r="A3334" t="str">
        <f>IF(C3334&amp;G3334&amp;D3334&lt;&gt;'Funnel setup'!$K$3&amp;'Funnel setup'!$K$4&amp;'Funnel setup'!$K$6,".",IF(A3333=".",1,A3333+1))</f>
        <v>.</v>
      </c>
      <c r="B3334" s="244" t="str">
        <f t="shared" si="52"/>
        <v>Knee Replacement RevisionProviderTHE ROYAL ORTHOPAEDIC HOSPITAL NHS FOUNDATION TRUST (RRJ)Oxford Knee Score</v>
      </c>
      <c r="C3334" t="s">
        <v>973</v>
      </c>
      <c r="D3334" t="s">
        <v>965</v>
      </c>
      <c r="E3334" t="s">
        <v>652</v>
      </c>
      <c r="F3334" t="s">
        <v>653</v>
      </c>
      <c r="G3334" t="s">
        <v>972</v>
      </c>
      <c r="H3334">
        <v>36</v>
      </c>
      <c r="I3334">
        <v>16.6389</v>
      </c>
      <c r="J3334">
        <v>27.3889</v>
      </c>
      <c r="K3334">
        <v>10.75</v>
      </c>
      <c r="L3334">
        <v>27</v>
      </c>
      <c r="M3334">
        <v>1</v>
      </c>
      <c r="N3334">
        <v>8</v>
      </c>
      <c r="O3334">
        <v>28.052900000000001</v>
      </c>
      <c r="P3334">
        <v>11.7256</v>
      </c>
      <c r="Q3334">
        <v>10.329499999999999</v>
      </c>
    </row>
    <row r="3335" spans="1:17" x14ac:dyDescent="0.25">
      <c r="A3335" t="str">
        <f>IF(C3335&amp;G3335&amp;D3335&lt;&gt;'Funnel setup'!$K$3&amp;'Funnel setup'!$K$4&amp;'Funnel setup'!$K$6,".",IF(A3334=".",1,A3334+1))</f>
        <v>.</v>
      </c>
      <c r="B3335" s="244" t="str">
        <f t="shared" si="52"/>
        <v>Knee Replacement RevisionProviderTHE ROYAL WOLVERHAMPTON NHS TRUST (RL4)Oxford Knee Score</v>
      </c>
      <c r="C3335" t="s">
        <v>973</v>
      </c>
      <c r="D3335" t="s">
        <v>965</v>
      </c>
      <c r="E3335" t="s">
        <v>654</v>
      </c>
      <c r="F3335" t="s">
        <v>655</v>
      </c>
      <c r="G3335" t="s">
        <v>972</v>
      </c>
      <c r="H3335">
        <v>1</v>
      </c>
      <c r="I3335">
        <v>28</v>
      </c>
      <c r="J3335">
        <v>48</v>
      </c>
      <c r="K3335">
        <v>20</v>
      </c>
      <c r="L3335">
        <v>1</v>
      </c>
      <c r="M3335">
        <v>0</v>
      </c>
      <c r="N3335">
        <v>0</v>
      </c>
      <c r="O3335" t="s">
        <v>127</v>
      </c>
      <c r="P3335" t="s">
        <v>127</v>
      </c>
      <c r="Q3335" t="s">
        <v>127</v>
      </c>
    </row>
    <row r="3336" spans="1:17" x14ac:dyDescent="0.25">
      <c r="A3336" t="str">
        <f>IF(C3336&amp;G3336&amp;D3336&lt;&gt;'Funnel setup'!$K$3&amp;'Funnel setup'!$K$4&amp;'Funnel setup'!$K$6,".",IF(A3335=".",1,A3335+1))</f>
        <v>.</v>
      </c>
      <c r="B3336" s="244" t="str">
        <f t="shared" si="52"/>
        <v>Knee Replacement RevisionProviderTHE YORKSHIRE CLINIC (NVC20)Oxford Knee Score</v>
      </c>
      <c r="C3336" t="s">
        <v>973</v>
      </c>
      <c r="D3336" t="s">
        <v>965</v>
      </c>
      <c r="E3336" t="s">
        <v>662</v>
      </c>
      <c r="F3336" t="s">
        <v>663</v>
      </c>
      <c r="G3336" t="s">
        <v>972</v>
      </c>
      <c r="H3336">
        <v>1</v>
      </c>
      <c r="I3336">
        <v>21</v>
      </c>
      <c r="J3336">
        <v>31</v>
      </c>
      <c r="K3336">
        <v>10</v>
      </c>
      <c r="L3336">
        <v>1</v>
      </c>
      <c r="M3336">
        <v>0</v>
      </c>
      <c r="N3336">
        <v>0</v>
      </c>
      <c r="O3336" t="s">
        <v>127</v>
      </c>
      <c r="P3336" t="s">
        <v>127</v>
      </c>
      <c r="Q3336" t="s">
        <v>127</v>
      </c>
    </row>
    <row r="3337" spans="1:17" x14ac:dyDescent="0.25">
      <c r="A3337" t="str">
        <f>IF(C3337&amp;G3337&amp;D3337&lt;&gt;'Funnel setup'!$K$3&amp;'Funnel setup'!$K$4&amp;'Funnel setup'!$K$6,".",IF(A3336=".",1,A3336+1))</f>
        <v>.</v>
      </c>
      <c r="B3337" s="244" t="str">
        <f t="shared" si="52"/>
        <v>Knee Replacement RevisionProviderTHREE SHIRES HOSPITAL (NT441)Oxford Knee Score</v>
      </c>
      <c r="C3337" t="s">
        <v>973</v>
      </c>
      <c r="D3337" t="s">
        <v>965</v>
      </c>
      <c r="E3337" t="s">
        <v>666</v>
      </c>
      <c r="F3337" t="s">
        <v>667</v>
      </c>
      <c r="G3337" t="s">
        <v>972</v>
      </c>
      <c r="H3337">
        <v>1</v>
      </c>
      <c r="I3337">
        <v>20</v>
      </c>
      <c r="J3337">
        <v>36</v>
      </c>
      <c r="K3337">
        <v>16</v>
      </c>
      <c r="L3337">
        <v>1</v>
      </c>
      <c r="M3337">
        <v>0</v>
      </c>
      <c r="N3337">
        <v>0</v>
      </c>
      <c r="O3337" t="s">
        <v>127</v>
      </c>
      <c r="P3337" t="s">
        <v>127</v>
      </c>
      <c r="Q3337" t="s">
        <v>127</v>
      </c>
    </row>
    <row r="3338" spans="1:17" x14ac:dyDescent="0.25">
      <c r="A3338" t="str">
        <f>IF(C3338&amp;G3338&amp;D3338&lt;&gt;'Funnel setup'!$K$3&amp;'Funnel setup'!$K$4&amp;'Funnel setup'!$K$6,".",IF(A3337=".",1,A3337+1))</f>
        <v>.</v>
      </c>
      <c r="B3338" s="244" t="str">
        <f t="shared" si="52"/>
        <v>Knee Replacement RevisionProviderTORBAY AND SOUTH DEVON NHS FOUNDATION TRUST (RA9)Oxford Knee Score</v>
      </c>
      <c r="C3338" t="s">
        <v>973</v>
      </c>
      <c r="D3338" t="s">
        <v>965</v>
      </c>
      <c r="E3338" t="s">
        <v>668</v>
      </c>
      <c r="F3338" t="s">
        <v>669</v>
      </c>
      <c r="G3338" t="s">
        <v>972</v>
      </c>
      <c r="H3338">
        <v>1</v>
      </c>
      <c r="I3338">
        <v>5</v>
      </c>
      <c r="J3338">
        <v>11</v>
      </c>
      <c r="K3338">
        <v>6</v>
      </c>
      <c r="L3338">
        <v>1</v>
      </c>
      <c r="M3338">
        <v>0</v>
      </c>
      <c r="N3338">
        <v>0</v>
      </c>
      <c r="O3338" t="s">
        <v>127</v>
      </c>
      <c r="P3338" t="s">
        <v>127</v>
      </c>
      <c r="Q3338" t="s">
        <v>127</v>
      </c>
    </row>
    <row r="3339" spans="1:17" x14ac:dyDescent="0.25">
      <c r="A3339" t="str">
        <f>IF(C3339&amp;G3339&amp;D3339&lt;&gt;'Funnel setup'!$K$3&amp;'Funnel setup'!$K$4&amp;'Funnel setup'!$K$6,".",IF(A3338=".",1,A3338+1))</f>
        <v>.</v>
      </c>
      <c r="B3339" s="244" t="str">
        <f t="shared" si="52"/>
        <v>Knee Replacement RevisionProviderUNITED LINCOLNSHIRE HOSPITALS NHS TRUST (RWD)Oxford Knee Score</v>
      </c>
      <c r="C3339" t="s">
        <v>973</v>
      </c>
      <c r="D3339" t="s">
        <v>965</v>
      </c>
      <c r="E3339" t="s">
        <v>672</v>
      </c>
      <c r="F3339" t="s">
        <v>673</v>
      </c>
      <c r="G3339" t="s">
        <v>972</v>
      </c>
      <c r="H3339">
        <v>1</v>
      </c>
      <c r="I3339">
        <v>8</v>
      </c>
      <c r="J3339">
        <v>36</v>
      </c>
      <c r="K3339">
        <v>28</v>
      </c>
      <c r="L3339">
        <v>1</v>
      </c>
      <c r="M3339">
        <v>0</v>
      </c>
      <c r="N3339">
        <v>0</v>
      </c>
      <c r="O3339" t="s">
        <v>127</v>
      </c>
      <c r="P3339" t="s">
        <v>127</v>
      </c>
      <c r="Q3339" t="s">
        <v>127</v>
      </c>
    </row>
    <row r="3340" spans="1:17" x14ac:dyDescent="0.25">
      <c r="A3340" t="str">
        <f>IF(C3340&amp;G3340&amp;D3340&lt;&gt;'Funnel setup'!$K$3&amp;'Funnel setup'!$K$4&amp;'Funnel setup'!$K$6,".",IF(A3339=".",1,A3339+1))</f>
        <v>.</v>
      </c>
      <c r="B3340" s="244" t="str">
        <f t="shared" si="52"/>
        <v>Knee Replacement RevisionProviderUNIVERSITY COLLEGE LONDON HOSPITALS NHS FOUNDATION TRUST (RRV)Oxford Knee Score</v>
      </c>
      <c r="C3340" t="s">
        <v>973</v>
      </c>
      <c r="D3340" t="s">
        <v>965</v>
      </c>
      <c r="E3340" t="s">
        <v>674</v>
      </c>
      <c r="F3340" t="s">
        <v>675</v>
      </c>
      <c r="G3340" t="s">
        <v>972</v>
      </c>
      <c r="H3340">
        <v>5</v>
      </c>
      <c r="I3340">
        <v>9.8000000000000007</v>
      </c>
      <c r="J3340">
        <v>23.4</v>
      </c>
      <c r="K3340">
        <v>13.6</v>
      </c>
      <c r="L3340">
        <v>4</v>
      </c>
      <c r="M3340">
        <v>0</v>
      </c>
      <c r="N3340">
        <v>1</v>
      </c>
      <c r="O3340" t="s">
        <v>127</v>
      </c>
      <c r="P3340" t="s">
        <v>127</v>
      </c>
      <c r="Q3340" t="s">
        <v>127</v>
      </c>
    </row>
    <row r="3341" spans="1:17" x14ac:dyDescent="0.25">
      <c r="A3341" t="str">
        <f>IF(C3341&amp;G3341&amp;D3341&lt;&gt;'Funnel setup'!$K$3&amp;'Funnel setup'!$K$4&amp;'Funnel setup'!$K$6,".",IF(A3340=".",1,A3340+1))</f>
        <v>.</v>
      </c>
      <c r="B3341" s="244" t="str">
        <f t="shared" si="52"/>
        <v>Knee Replacement RevisionProviderUNIVERSITY HOSPITAL SOUTHAMPTON NHS FOUNDATION TRUST (RHM)Oxford Knee Score</v>
      </c>
      <c r="C3341" t="s">
        <v>973</v>
      </c>
      <c r="D3341" t="s">
        <v>965</v>
      </c>
      <c r="E3341" t="s">
        <v>676</v>
      </c>
      <c r="F3341" t="s">
        <v>677</v>
      </c>
      <c r="G3341" t="s">
        <v>972</v>
      </c>
      <c r="H3341">
        <v>19</v>
      </c>
      <c r="I3341">
        <v>17.947399999999998</v>
      </c>
      <c r="J3341">
        <v>34.578899999999997</v>
      </c>
      <c r="K3341">
        <v>16.631599999999999</v>
      </c>
      <c r="L3341">
        <v>19</v>
      </c>
      <c r="M3341">
        <v>0</v>
      </c>
      <c r="N3341">
        <v>0</v>
      </c>
      <c r="O3341" t="s">
        <v>127</v>
      </c>
      <c r="P3341" t="s">
        <v>127</v>
      </c>
      <c r="Q3341" t="s">
        <v>127</v>
      </c>
    </row>
    <row r="3342" spans="1:17" x14ac:dyDescent="0.25">
      <c r="A3342" t="str">
        <f>IF(C3342&amp;G3342&amp;D3342&lt;&gt;'Funnel setup'!$K$3&amp;'Funnel setup'!$K$4&amp;'Funnel setup'!$K$6,".",IF(A3341=".",1,A3341+1))</f>
        <v>.</v>
      </c>
      <c r="B3342" s="244" t="str">
        <f t="shared" si="52"/>
        <v>Knee Replacement RevisionProviderUNIVERSITY HOSPITALS COVENTRY AND WARWICKSHIRE NHS TRUST (RKB)Oxford Knee Score</v>
      </c>
      <c r="C3342" t="s">
        <v>973</v>
      </c>
      <c r="D3342" t="s">
        <v>965</v>
      </c>
      <c r="E3342" t="s">
        <v>682</v>
      </c>
      <c r="F3342" t="s">
        <v>683</v>
      </c>
      <c r="G3342" t="s">
        <v>972</v>
      </c>
      <c r="H3342">
        <v>3</v>
      </c>
      <c r="I3342">
        <v>17</v>
      </c>
      <c r="J3342">
        <v>39.666699999999999</v>
      </c>
      <c r="K3342">
        <v>22.666699999999999</v>
      </c>
      <c r="L3342">
        <v>3</v>
      </c>
      <c r="M3342">
        <v>0</v>
      </c>
      <c r="N3342">
        <v>0</v>
      </c>
      <c r="O3342" t="s">
        <v>127</v>
      </c>
      <c r="P3342" t="s">
        <v>127</v>
      </c>
      <c r="Q3342" t="s">
        <v>127</v>
      </c>
    </row>
    <row r="3343" spans="1:17" x14ac:dyDescent="0.25">
      <c r="A3343" t="str">
        <f>IF(C3343&amp;G3343&amp;D3343&lt;&gt;'Funnel setup'!$K$3&amp;'Funnel setup'!$K$4&amp;'Funnel setup'!$K$6,".",IF(A3342=".",1,A3342+1))</f>
        <v>.</v>
      </c>
      <c r="B3343" s="244" t="str">
        <f t="shared" si="52"/>
        <v>Knee Replacement RevisionProviderUNIVERSITY HOSPITAL DORSET NHS FUNDATION TRUST (R0D)Oxford Knee Score</v>
      </c>
      <c r="C3343" t="s">
        <v>973</v>
      </c>
      <c r="D3343" t="s">
        <v>965</v>
      </c>
      <c r="E3343" t="s">
        <v>684</v>
      </c>
      <c r="F3343" t="s">
        <v>966</v>
      </c>
      <c r="G3343" t="s">
        <v>972</v>
      </c>
      <c r="H3343">
        <v>9</v>
      </c>
      <c r="I3343">
        <v>14.1111</v>
      </c>
      <c r="J3343">
        <v>30.555599999999998</v>
      </c>
      <c r="K3343">
        <v>16.444400000000002</v>
      </c>
      <c r="L3343">
        <v>8</v>
      </c>
      <c r="M3343">
        <v>0</v>
      </c>
      <c r="N3343">
        <v>1</v>
      </c>
      <c r="O3343" t="s">
        <v>127</v>
      </c>
      <c r="P3343" t="s">
        <v>127</v>
      </c>
      <c r="Q3343" t="s">
        <v>127</v>
      </c>
    </row>
    <row r="3344" spans="1:17" x14ac:dyDescent="0.25">
      <c r="A3344" t="str">
        <f>IF(C3344&amp;G3344&amp;D3344&lt;&gt;'Funnel setup'!$K$3&amp;'Funnel setup'!$K$4&amp;'Funnel setup'!$K$6,".",IF(A3343=".",1,A3343+1))</f>
        <v>.</v>
      </c>
      <c r="B3344" s="244" t="str">
        <f t="shared" si="52"/>
        <v>Knee Replacement RevisionProviderUNIVERSITY HOSPITALS OF DERBY AND BURTON NHS FOUNDATION TRUST (RTG)Oxford Knee Score</v>
      </c>
      <c r="C3344" t="s">
        <v>973</v>
      </c>
      <c r="D3344" t="s">
        <v>965</v>
      </c>
      <c r="E3344" t="s">
        <v>686</v>
      </c>
      <c r="F3344" t="s">
        <v>687</v>
      </c>
      <c r="G3344" t="s">
        <v>972</v>
      </c>
      <c r="H3344">
        <v>25</v>
      </c>
      <c r="I3344">
        <v>16.12</v>
      </c>
      <c r="J3344">
        <v>28.92</v>
      </c>
      <c r="K3344">
        <v>12.8</v>
      </c>
      <c r="L3344">
        <v>22</v>
      </c>
      <c r="M3344">
        <v>0</v>
      </c>
      <c r="N3344">
        <v>3</v>
      </c>
      <c r="O3344" t="s">
        <v>127</v>
      </c>
      <c r="P3344" t="s">
        <v>127</v>
      </c>
      <c r="Q3344" t="s">
        <v>127</v>
      </c>
    </row>
    <row r="3345" spans="1:17" x14ac:dyDescent="0.25">
      <c r="A3345" t="str">
        <f>IF(C3345&amp;G3345&amp;D3345&lt;&gt;'Funnel setup'!$K$3&amp;'Funnel setup'!$K$4&amp;'Funnel setup'!$K$6,".",IF(A3344=".",1,A3344+1))</f>
        <v>.</v>
      </c>
      <c r="B3345" s="244" t="str">
        <f t="shared" si="52"/>
        <v>Knee Replacement RevisionProviderUNIVERSITY HOSPITALS OF LEICESTER NHS TRUST (RWE)Oxford Knee Score</v>
      </c>
      <c r="C3345" t="s">
        <v>973</v>
      </c>
      <c r="D3345" t="s">
        <v>965</v>
      </c>
      <c r="E3345" t="s">
        <v>688</v>
      </c>
      <c r="F3345" t="s">
        <v>689</v>
      </c>
      <c r="G3345" t="s">
        <v>972</v>
      </c>
      <c r="H3345">
        <v>12</v>
      </c>
      <c r="I3345">
        <v>14.583299999999999</v>
      </c>
      <c r="J3345">
        <v>26.083300000000001</v>
      </c>
      <c r="K3345">
        <v>11.5</v>
      </c>
      <c r="L3345">
        <v>9</v>
      </c>
      <c r="M3345">
        <v>0</v>
      </c>
      <c r="N3345">
        <v>3</v>
      </c>
      <c r="O3345" t="s">
        <v>127</v>
      </c>
      <c r="P3345" t="s">
        <v>127</v>
      </c>
      <c r="Q3345" t="s">
        <v>127</v>
      </c>
    </row>
    <row r="3346" spans="1:17" x14ac:dyDescent="0.25">
      <c r="A3346" t="str">
        <f>IF(C3346&amp;G3346&amp;D3346&lt;&gt;'Funnel setup'!$K$3&amp;'Funnel setup'!$K$4&amp;'Funnel setup'!$K$6,".",IF(A3345=".",1,A3345+1))</f>
        <v>.</v>
      </c>
      <c r="B3346" s="244" t="str">
        <f t="shared" si="52"/>
        <v>Knee Replacement RevisionProviderUNIVERSITY HOSPITALS OF MORECAMBE BAY NHS FOUNDATION TRUST (RTX)Oxford Knee Score</v>
      </c>
      <c r="C3346" t="s">
        <v>973</v>
      </c>
      <c r="D3346" t="s">
        <v>965</v>
      </c>
      <c r="E3346" t="s">
        <v>690</v>
      </c>
      <c r="F3346" t="s">
        <v>691</v>
      </c>
      <c r="G3346" t="s">
        <v>972</v>
      </c>
      <c r="H3346">
        <v>2</v>
      </c>
      <c r="I3346">
        <v>14</v>
      </c>
      <c r="J3346">
        <v>28.5</v>
      </c>
      <c r="K3346">
        <v>14.5</v>
      </c>
      <c r="L3346">
        <v>2</v>
      </c>
      <c r="M3346">
        <v>0</v>
      </c>
      <c r="N3346">
        <v>0</v>
      </c>
      <c r="O3346" t="s">
        <v>127</v>
      </c>
      <c r="P3346" t="s">
        <v>127</v>
      </c>
      <c r="Q3346" t="s">
        <v>127</v>
      </c>
    </row>
    <row r="3347" spans="1:17" x14ac:dyDescent="0.25">
      <c r="A3347" t="str">
        <f>IF(C3347&amp;G3347&amp;D3347&lt;&gt;'Funnel setup'!$K$3&amp;'Funnel setup'!$K$4&amp;'Funnel setup'!$K$6,".",IF(A3346=".",1,A3346+1))</f>
        <v>.</v>
      </c>
      <c r="B3347" s="244" t="str">
        <f t="shared" si="52"/>
        <v>Knee Replacement RevisionProviderUNIVERSITY HOSPITALS OF NORTH MIDLANDS NHS TRUST (RJE)Oxford Knee Score</v>
      </c>
      <c r="C3347" t="s">
        <v>973</v>
      </c>
      <c r="D3347" t="s">
        <v>965</v>
      </c>
      <c r="E3347" t="s">
        <v>692</v>
      </c>
      <c r="F3347" t="s">
        <v>693</v>
      </c>
      <c r="G3347" t="s">
        <v>972</v>
      </c>
      <c r="H3347">
        <v>1</v>
      </c>
      <c r="I3347">
        <v>5</v>
      </c>
      <c r="J3347">
        <v>23</v>
      </c>
      <c r="K3347">
        <v>18</v>
      </c>
      <c r="L3347">
        <v>1</v>
      </c>
      <c r="M3347">
        <v>0</v>
      </c>
      <c r="N3347">
        <v>0</v>
      </c>
      <c r="O3347" t="s">
        <v>127</v>
      </c>
      <c r="P3347" t="s">
        <v>127</v>
      </c>
      <c r="Q3347" t="s">
        <v>127</v>
      </c>
    </row>
    <row r="3348" spans="1:17" x14ac:dyDescent="0.25">
      <c r="A3348" t="str">
        <f>IF(C3348&amp;G3348&amp;D3348&lt;&gt;'Funnel setup'!$K$3&amp;'Funnel setup'!$K$4&amp;'Funnel setup'!$K$6,".",IF(A3347=".",1,A3347+1))</f>
        <v>.</v>
      </c>
      <c r="B3348" s="244" t="str">
        <f t="shared" si="52"/>
        <v>Knee Replacement RevisionProviderUNIVERSITY HOSPITALS PLYMOUTH NHS TRUST (RK9)Oxford Knee Score</v>
      </c>
      <c r="C3348" t="s">
        <v>973</v>
      </c>
      <c r="D3348" t="s">
        <v>965</v>
      </c>
      <c r="E3348" t="s">
        <v>694</v>
      </c>
      <c r="F3348" t="s">
        <v>695</v>
      </c>
      <c r="G3348" t="s">
        <v>972</v>
      </c>
      <c r="H3348">
        <v>1</v>
      </c>
      <c r="I3348">
        <v>15</v>
      </c>
      <c r="J3348">
        <v>35</v>
      </c>
      <c r="K3348">
        <v>20</v>
      </c>
      <c r="L3348">
        <v>1</v>
      </c>
      <c r="M3348">
        <v>0</v>
      </c>
      <c r="N3348">
        <v>0</v>
      </c>
      <c r="O3348" t="s">
        <v>127</v>
      </c>
      <c r="P3348" t="s">
        <v>127</v>
      </c>
      <c r="Q3348" t="s">
        <v>127</v>
      </c>
    </row>
    <row r="3349" spans="1:17" x14ac:dyDescent="0.25">
      <c r="A3349" t="str">
        <f>IF(C3349&amp;G3349&amp;D3349&lt;&gt;'Funnel setup'!$K$3&amp;'Funnel setup'!$K$4&amp;'Funnel setup'!$K$6,".",IF(A3348=".",1,A3348+1))</f>
        <v>.</v>
      </c>
      <c r="B3349" s="244" t="str">
        <f t="shared" si="52"/>
        <v>Knee Replacement RevisionProviderUNIVERSITY HOSPITALS SUSSEX NHS FOUNDATION TRUST (RYR)Oxford Knee Score</v>
      </c>
      <c r="C3349" t="s">
        <v>973</v>
      </c>
      <c r="D3349" t="s">
        <v>965</v>
      </c>
      <c r="E3349" t="s">
        <v>696</v>
      </c>
      <c r="F3349" t="s">
        <v>697</v>
      </c>
      <c r="G3349" t="s">
        <v>972</v>
      </c>
      <c r="H3349">
        <v>4</v>
      </c>
      <c r="I3349">
        <v>10.5</v>
      </c>
      <c r="J3349">
        <v>32</v>
      </c>
      <c r="K3349">
        <v>21.5</v>
      </c>
      <c r="L3349">
        <v>4</v>
      </c>
      <c r="M3349">
        <v>0</v>
      </c>
      <c r="N3349">
        <v>0</v>
      </c>
      <c r="O3349" t="s">
        <v>127</v>
      </c>
      <c r="P3349" t="s">
        <v>127</v>
      </c>
      <c r="Q3349" t="s">
        <v>127</v>
      </c>
    </row>
    <row r="3350" spans="1:17" x14ac:dyDescent="0.25">
      <c r="A3350" t="str">
        <f>IF(C3350&amp;G3350&amp;D3350&lt;&gt;'Funnel setup'!$K$3&amp;'Funnel setup'!$K$4&amp;'Funnel setup'!$K$6,".",IF(A3349=".",1,A3349+1))</f>
        <v>.</v>
      </c>
      <c r="B3350" s="244" t="str">
        <f t="shared" si="52"/>
        <v>Knee Replacement RevisionProviderWARRINGTON AND HALTON TEACHING HOSPITALS NHS FOUNDATION TRUST (RWW)Oxford Knee Score</v>
      </c>
      <c r="C3350" t="s">
        <v>973</v>
      </c>
      <c r="D3350" t="s">
        <v>965</v>
      </c>
      <c r="E3350" t="s">
        <v>700</v>
      </c>
      <c r="F3350" t="s">
        <v>701</v>
      </c>
      <c r="G3350" t="s">
        <v>972</v>
      </c>
      <c r="H3350">
        <v>1</v>
      </c>
      <c r="I3350">
        <v>20</v>
      </c>
      <c r="J3350">
        <v>24</v>
      </c>
      <c r="K3350">
        <v>4</v>
      </c>
      <c r="L3350">
        <v>1</v>
      </c>
      <c r="M3350">
        <v>0</v>
      </c>
      <c r="N3350">
        <v>0</v>
      </c>
      <c r="O3350" t="s">
        <v>127</v>
      </c>
      <c r="P3350" t="s">
        <v>127</v>
      </c>
      <c r="Q3350" t="s">
        <v>127</v>
      </c>
    </row>
    <row r="3351" spans="1:17" x14ac:dyDescent="0.25">
      <c r="A3351" t="str">
        <f>IF(C3351&amp;G3351&amp;D3351&lt;&gt;'Funnel setup'!$K$3&amp;'Funnel setup'!$K$4&amp;'Funnel setup'!$K$6,".",IF(A3350=".",1,A3350+1))</f>
        <v>.</v>
      </c>
      <c r="B3351" s="244" t="str">
        <f t="shared" si="52"/>
        <v>Knee Replacement RevisionProviderWEST HERTFORDSHIRE TEACHING HOSPITALS NHS TRUST (RWG)Oxford Knee Score</v>
      </c>
      <c r="C3351" t="s">
        <v>973</v>
      </c>
      <c r="D3351" t="s">
        <v>965</v>
      </c>
      <c r="E3351" t="s">
        <v>702</v>
      </c>
      <c r="F3351" t="s">
        <v>703</v>
      </c>
      <c r="G3351" t="s">
        <v>972</v>
      </c>
      <c r="H3351">
        <v>5</v>
      </c>
      <c r="I3351">
        <v>14.4</v>
      </c>
      <c r="J3351">
        <v>27.6</v>
      </c>
      <c r="K3351">
        <v>13.2</v>
      </c>
      <c r="L3351">
        <v>5</v>
      </c>
      <c r="M3351">
        <v>0</v>
      </c>
      <c r="N3351">
        <v>0</v>
      </c>
      <c r="O3351" t="s">
        <v>127</v>
      </c>
      <c r="P3351" t="s">
        <v>127</v>
      </c>
      <c r="Q3351" t="s">
        <v>127</v>
      </c>
    </row>
    <row r="3352" spans="1:17" x14ac:dyDescent="0.25">
      <c r="A3352" t="str">
        <f>IF(C3352&amp;G3352&amp;D3352&lt;&gt;'Funnel setup'!$K$3&amp;'Funnel setup'!$K$4&amp;'Funnel setup'!$K$6,".",IF(A3351=".",1,A3351+1))</f>
        <v>.</v>
      </c>
      <c r="B3352" s="244" t="str">
        <f t="shared" si="52"/>
        <v>Knee Replacement RevisionProviderWEST SUFFOLK NHS FOUNDATION TRUST (RGR)Oxford Knee Score</v>
      </c>
      <c r="C3352" t="s">
        <v>973</v>
      </c>
      <c r="D3352" t="s">
        <v>965</v>
      </c>
      <c r="E3352" t="s">
        <v>706</v>
      </c>
      <c r="F3352" t="s">
        <v>707</v>
      </c>
      <c r="G3352" t="s">
        <v>972</v>
      </c>
      <c r="H3352">
        <v>5</v>
      </c>
      <c r="I3352">
        <v>9.8000000000000007</v>
      </c>
      <c r="J3352">
        <v>27.6</v>
      </c>
      <c r="K3352">
        <v>17.8</v>
      </c>
      <c r="L3352">
        <v>5</v>
      </c>
      <c r="M3352">
        <v>0</v>
      </c>
      <c r="N3352">
        <v>0</v>
      </c>
      <c r="O3352" t="s">
        <v>127</v>
      </c>
      <c r="P3352" t="s">
        <v>127</v>
      </c>
      <c r="Q3352" t="s">
        <v>127</v>
      </c>
    </row>
    <row r="3353" spans="1:17" x14ac:dyDescent="0.25">
      <c r="A3353" t="str">
        <f>IF(C3353&amp;G3353&amp;D3353&lt;&gt;'Funnel setup'!$K$3&amp;'Funnel setup'!$K$4&amp;'Funnel setup'!$K$6,".",IF(A3352=".",1,A3352+1))</f>
        <v>.</v>
      </c>
      <c r="B3353" s="244" t="str">
        <f t="shared" si="52"/>
        <v>Knee Replacement RevisionProviderWINFIELD HOSPITAL (NVC22)Oxford Knee Score</v>
      </c>
      <c r="C3353" t="s">
        <v>973</v>
      </c>
      <c r="D3353" t="s">
        <v>965</v>
      </c>
      <c r="E3353" t="s">
        <v>710</v>
      </c>
      <c r="F3353" t="s">
        <v>711</v>
      </c>
      <c r="G3353" t="s">
        <v>972</v>
      </c>
      <c r="H3353">
        <v>1</v>
      </c>
      <c r="I3353">
        <v>26</v>
      </c>
      <c r="J3353">
        <v>48</v>
      </c>
      <c r="K3353">
        <v>22</v>
      </c>
      <c r="L3353">
        <v>1</v>
      </c>
      <c r="M3353">
        <v>0</v>
      </c>
      <c r="N3353">
        <v>0</v>
      </c>
      <c r="O3353" t="s">
        <v>127</v>
      </c>
      <c r="P3353" t="s">
        <v>127</v>
      </c>
      <c r="Q3353" t="s">
        <v>127</v>
      </c>
    </row>
    <row r="3354" spans="1:17" x14ac:dyDescent="0.25">
      <c r="A3354" t="str">
        <f>IF(C3354&amp;G3354&amp;D3354&lt;&gt;'Funnel setup'!$K$3&amp;'Funnel setup'!$K$4&amp;'Funnel setup'!$K$6,".",IF(A3353=".",1,A3353+1))</f>
        <v>.</v>
      </c>
      <c r="B3354" s="244" t="str">
        <f t="shared" si="52"/>
        <v>Knee Replacement RevisionProviderWIRRAL UNIVERSITY TEACHING HOSPITAL NHS FOUNDATION TRUST (RBL)Oxford Knee Score</v>
      </c>
      <c r="C3354" t="s">
        <v>973</v>
      </c>
      <c r="D3354" t="s">
        <v>965</v>
      </c>
      <c r="E3354" t="s">
        <v>714</v>
      </c>
      <c r="F3354" t="s">
        <v>715</v>
      </c>
      <c r="G3354" t="s">
        <v>972</v>
      </c>
      <c r="H3354">
        <v>2</v>
      </c>
      <c r="I3354">
        <v>27.5</v>
      </c>
      <c r="J3354">
        <v>39</v>
      </c>
      <c r="K3354">
        <v>11.5</v>
      </c>
      <c r="L3354">
        <v>2</v>
      </c>
      <c r="M3354">
        <v>0</v>
      </c>
      <c r="N3354">
        <v>0</v>
      </c>
      <c r="O3354" t="s">
        <v>127</v>
      </c>
      <c r="P3354" t="s">
        <v>127</v>
      </c>
      <c r="Q3354" t="s">
        <v>127</v>
      </c>
    </row>
    <row r="3355" spans="1:17" x14ac:dyDescent="0.25">
      <c r="A3355" t="str">
        <f>IF(C3355&amp;G3355&amp;D3355&lt;&gt;'Funnel setup'!$K$3&amp;'Funnel setup'!$K$4&amp;'Funnel setup'!$K$6,".",IF(A3354=".",1,A3354+1))</f>
        <v>.</v>
      </c>
      <c r="B3355" s="244" t="str">
        <f t="shared" si="52"/>
        <v>Knee Replacement RevisionProviderWOODTHORPE HOSPITAL (NVC40)Oxford Knee Score</v>
      </c>
      <c r="C3355" t="s">
        <v>973</v>
      </c>
      <c r="D3355" t="s">
        <v>965</v>
      </c>
      <c r="E3355" t="s">
        <v>720</v>
      </c>
      <c r="F3355" t="s">
        <v>721</v>
      </c>
      <c r="G3355" t="s">
        <v>972</v>
      </c>
      <c r="H3355" t="s">
        <v>127</v>
      </c>
      <c r="I3355" t="s">
        <v>127</v>
      </c>
      <c r="J3355" t="s">
        <v>127</v>
      </c>
      <c r="K3355" t="s">
        <v>127</v>
      </c>
      <c r="L3355" t="s">
        <v>127</v>
      </c>
      <c r="M3355" t="s">
        <v>127</v>
      </c>
      <c r="N3355" t="s">
        <v>127</v>
      </c>
      <c r="O3355" t="s">
        <v>127</v>
      </c>
      <c r="P3355" t="s">
        <v>127</v>
      </c>
      <c r="Q3355" t="s">
        <v>127</v>
      </c>
    </row>
    <row r="3356" spans="1:17" x14ac:dyDescent="0.25">
      <c r="A3356" t="str">
        <f>IF(C3356&amp;G3356&amp;D3356&lt;&gt;'Funnel setup'!$K$3&amp;'Funnel setup'!$K$4&amp;'Funnel setup'!$K$6,".",IF(A3355=".",1,A3355+1))</f>
        <v>.</v>
      </c>
      <c r="B3356" s="244" t="str">
        <f t="shared" si="52"/>
        <v>Knee Replacement RevisionProviderWORCESTERSHIRE ACUTE HOSPITALS NHS TRUST (RWP)Oxford Knee Score</v>
      </c>
      <c r="C3356" t="s">
        <v>973</v>
      </c>
      <c r="D3356" t="s">
        <v>965</v>
      </c>
      <c r="E3356" t="s">
        <v>722</v>
      </c>
      <c r="F3356" t="s">
        <v>723</v>
      </c>
      <c r="G3356" t="s">
        <v>972</v>
      </c>
      <c r="H3356">
        <v>3</v>
      </c>
      <c r="I3356">
        <v>18</v>
      </c>
      <c r="J3356">
        <v>32.666699999999999</v>
      </c>
      <c r="K3356">
        <v>14.666700000000001</v>
      </c>
      <c r="L3356">
        <v>3</v>
      </c>
      <c r="M3356">
        <v>0</v>
      </c>
      <c r="N3356">
        <v>0</v>
      </c>
      <c r="O3356" t="s">
        <v>127</v>
      </c>
      <c r="P3356" t="s">
        <v>127</v>
      </c>
      <c r="Q3356" t="s">
        <v>127</v>
      </c>
    </row>
    <row r="3357" spans="1:17" x14ac:dyDescent="0.25">
      <c r="A3357" t="str">
        <f>IF(C3357&amp;G3357&amp;D3357&lt;&gt;'Funnel setup'!$K$3&amp;'Funnel setup'!$K$4&amp;'Funnel setup'!$K$6,".",IF(A3356=".",1,A3356+1))</f>
        <v>.</v>
      </c>
      <c r="B3357" s="244" t="str">
        <f t="shared" si="52"/>
        <v>Knee Replacement RevisionProviderWRIGHTINGTON, WIGAN AND LEIGH NHS FOUNDATION TRUST (RRF)Oxford Knee Score</v>
      </c>
      <c r="C3357" t="s">
        <v>973</v>
      </c>
      <c r="D3357" t="s">
        <v>965</v>
      </c>
      <c r="E3357" t="s">
        <v>724</v>
      </c>
      <c r="F3357" t="s">
        <v>725</v>
      </c>
      <c r="G3357" t="s">
        <v>972</v>
      </c>
      <c r="H3357">
        <v>1</v>
      </c>
      <c r="I3357">
        <v>17</v>
      </c>
      <c r="J3357">
        <v>39</v>
      </c>
      <c r="K3357">
        <v>22</v>
      </c>
      <c r="L3357">
        <v>1</v>
      </c>
      <c r="M3357">
        <v>0</v>
      </c>
      <c r="N3357">
        <v>0</v>
      </c>
      <c r="O3357" t="s">
        <v>127</v>
      </c>
      <c r="P3357" t="s">
        <v>127</v>
      </c>
      <c r="Q3357" t="s">
        <v>127</v>
      </c>
    </row>
    <row r="3358" spans="1:17" x14ac:dyDescent="0.25">
      <c r="A3358" t="str">
        <f>IF(C3358&amp;G3358&amp;D3358&lt;&gt;'Funnel setup'!$K$3&amp;'Funnel setup'!$K$4&amp;'Funnel setup'!$K$6,".",IF(A3357=".",1,A3357+1))</f>
        <v>.</v>
      </c>
      <c r="B3358" s="244" t="str">
        <f t="shared" si="52"/>
        <v>Knee Replacement RevisionProviderWYE VALLEY NHS TRUST (RLQ)Oxford Knee Score</v>
      </c>
      <c r="C3358" t="s">
        <v>973</v>
      </c>
      <c r="D3358" t="s">
        <v>965</v>
      </c>
      <c r="E3358" t="s">
        <v>726</v>
      </c>
      <c r="F3358" t="s">
        <v>727</v>
      </c>
      <c r="G3358" t="s">
        <v>972</v>
      </c>
      <c r="H3358">
        <v>1</v>
      </c>
      <c r="I3358">
        <v>23</v>
      </c>
      <c r="J3358">
        <v>37</v>
      </c>
      <c r="K3358">
        <v>14</v>
      </c>
      <c r="L3358">
        <v>1</v>
      </c>
      <c r="M3358">
        <v>0</v>
      </c>
      <c r="N3358">
        <v>0</v>
      </c>
      <c r="O3358" t="s">
        <v>127</v>
      </c>
      <c r="P3358" t="s">
        <v>127</v>
      </c>
      <c r="Q3358" t="s">
        <v>127</v>
      </c>
    </row>
    <row r="3359" spans="1:17" x14ac:dyDescent="0.25">
      <c r="A3359" t="str">
        <f>IF(C3359&amp;G3359&amp;D3359&lt;&gt;'Funnel setup'!$K$3&amp;'Funnel setup'!$K$4&amp;'Funnel setup'!$K$6,".",IF(A3358=".",1,A3358+1))</f>
        <v>.</v>
      </c>
      <c r="B3359" s="244" t="str">
        <f t="shared" si="52"/>
        <v>Total Hip ReplacementSub-ICB of GP PracticeNHS BATH AND NORTH EAST SOMERSET, SWINDON AND WILTSHIRE ICB - 92G (92G)EQ VAS</v>
      </c>
      <c r="C3359" t="s">
        <v>974</v>
      </c>
      <c r="D3359" t="s">
        <v>1021</v>
      </c>
      <c r="E3359" t="s">
        <v>750</v>
      </c>
      <c r="F3359" t="s">
        <v>751</v>
      </c>
      <c r="G3359" t="s">
        <v>752</v>
      </c>
      <c r="H3359">
        <v>244</v>
      </c>
      <c r="I3359">
        <v>64.319699999999997</v>
      </c>
      <c r="J3359">
        <v>78.405699999999996</v>
      </c>
      <c r="K3359">
        <v>14.0861</v>
      </c>
      <c r="L3359">
        <v>173</v>
      </c>
      <c r="M3359">
        <v>15</v>
      </c>
      <c r="N3359">
        <v>56</v>
      </c>
      <c r="O3359">
        <v>75.290000000000006</v>
      </c>
      <c r="P3359">
        <v>14.4739</v>
      </c>
      <c r="Q3359">
        <v>15.715199999999999</v>
      </c>
    </row>
    <row r="3360" spans="1:17" x14ac:dyDescent="0.25">
      <c r="A3360" t="str">
        <f>IF(C3360&amp;G3360&amp;D3360&lt;&gt;'Funnel setup'!$K$3&amp;'Funnel setup'!$K$4&amp;'Funnel setup'!$K$6,".",IF(A3359=".",1,A3359+1))</f>
        <v>.</v>
      </c>
      <c r="B3360" s="244" t="str">
        <f t="shared" si="52"/>
        <v>Total Hip ReplacementSub-ICB of GP PracticeNHS BEDFORDSHIRE, LUTON AND MILTON KEYNES ICB - M1J4Y (M1J4Y)EQ VAS</v>
      </c>
      <c r="C3360" t="s">
        <v>974</v>
      </c>
      <c r="D3360" t="s">
        <v>1021</v>
      </c>
      <c r="E3360" t="s">
        <v>753</v>
      </c>
      <c r="F3360" t="s">
        <v>754</v>
      </c>
      <c r="G3360" t="s">
        <v>752</v>
      </c>
      <c r="H3360">
        <v>217</v>
      </c>
      <c r="I3360">
        <v>57.299500000000002</v>
      </c>
      <c r="J3360">
        <v>73.073700000000002</v>
      </c>
      <c r="K3360">
        <v>15.7742</v>
      </c>
      <c r="L3360">
        <v>152</v>
      </c>
      <c r="M3360">
        <v>17</v>
      </c>
      <c r="N3360">
        <v>48</v>
      </c>
      <c r="O3360">
        <v>75.284199999999998</v>
      </c>
      <c r="P3360">
        <v>14.4681</v>
      </c>
      <c r="Q3360">
        <v>19.130600000000001</v>
      </c>
    </row>
    <row r="3361" spans="1:17" x14ac:dyDescent="0.25">
      <c r="A3361" t="str">
        <f>IF(C3361&amp;G3361&amp;D3361&lt;&gt;'Funnel setup'!$K$3&amp;'Funnel setup'!$K$4&amp;'Funnel setup'!$K$6,".",IF(A3360=".",1,A3360+1))</f>
        <v>.</v>
      </c>
      <c r="B3361" s="244" t="str">
        <f t="shared" si="52"/>
        <v>Total Hip ReplacementSub-ICB of GP PracticeNHS BIRMINGHAM AND SOLIHULL ICB - 15E (15E)EQ VAS</v>
      </c>
      <c r="C3361" t="s">
        <v>974</v>
      </c>
      <c r="D3361" t="s">
        <v>1021</v>
      </c>
      <c r="E3361" t="s">
        <v>755</v>
      </c>
      <c r="F3361" t="s">
        <v>756</v>
      </c>
      <c r="G3361" t="s">
        <v>752</v>
      </c>
      <c r="H3361">
        <v>355</v>
      </c>
      <c r="I3361">
        <v>63.7408</v>
      </c>
      <c r="J3361">
        <v>75.912700000000001</v>
      </c>
      <c r="K3361">
        <v>12.171799999999999</v>
      </c>
      <c r="L3361">
        <v>241</v>
      </c>
      <c r="M3361">
        <v>31</v>
      </c>
      <c r="N3361">
        <v>83</v>
      </c>
      <c r="O3361">
        <v>75.179699999999997</v>
      </c>
      <c r="P3361">
        <v>14.3636</v>
      </c>
      <c r="Q3361">
        <v>18.094200000000001</v>
      </c>
    </row>
    <row r="3362" spans="1:17" x14ac:dyDescent="0.25">
      <c r="A3362" t="str">
        <f>IF(C3362&amp;G3362&amp;D3362&lt;&gt;'Funnel setup'!$K$3&amp;'Funnel setup'!$K$4&amp;'Funnel setup'!$K$6,".",IF(A3361=".",1,A3361+1))</f>
        <v>.</v>
      </c>
      <c r="B3362" s="244" t="str">
        <f t="shared" si="52"/>
        <v>Total Hip ReplacementSub-ICB of GP PracticeNHS BLACK COUNTRY ICB - D2P2L (D2P2L)EQ VAS</v>
      </c>
      <c r="C3362" t="s">
        <v>974</v>
      </c>
      <c r="D3362" t="s">
        <v>1021</v>
      </c>
      <c r="E3362" t="s">
        <v>757</v>
      </c>
      <c r="F3362" t="s">
        <v>758</v>
      </c>
      <c r="G3362" t="s">
        <v>752</v>
      </c>
      <c r="H3362">
        <v>255</v>
      </c>
      <c r="I3362">
        <v>61.541200000000003</v>
      </c>
      <c r="J3362">
        <v>74.709800000000001</v>
      </c>
      <c r="K3362">
        <v>13.1686</v>
      </c>
      <c r="L3362">
        <v>182</v>
      </c>
      <c r="M3362">
        <v>15</v>
      </c>
      <c r="N3362">
        <v>58</v>
      </c>
      <c r="O3362">
        <v>75.7971</v>
      </c>
      <c r="P3362">
        <v>14.981</v>
      </c>
      <c r="Q3362">
        <v>16.352900000000002</v>
      </c>
    </row>
    <row r="3363" spans="1:17" x14ac:dyDescent="0.25">
      <c r="A3363" t="str">
        <f>IF(C3363&amp;G3363&amp;D3363&lt;&gt;'Funnel setup'!$K$3&amp;'Funnel setup'!$K$4&amp;'Funnel setup'!$K$6,".",IF(A3362=".",1,A3362+1))</f>
        <v>.</v>
      </c>
      <c r="B3363" s="244" t="str">
        <f t="shared" si="52"/>
        <v>Total Hip ReplacementSub-ICB of GP PracticeNHS BRISTOL, NORTH SOMERSET AND SOUTH GLOUCESTERSHIRE ICB - 15C (15C)EQ VAS</v>
      </c>
      <c r="C3363" t="s">
        <v>974</v>
      </c>
      <c r="D3363" t="s">
        <v>1021</v>
      </c>
      <c r="E3363" t="s">
        <v>759</v>
      </c>
      <c r="F3363" t="s">
        <v>760</v>
      </c>
      <c r="G3363" t="s">
        <v>752</v>
      </c>
      <c r="H3363">
        <v>223</v>
      </c>
      <c r="I3363">
        <v>60.977600000000002</v>
      </c>
      <c r="J3363">
        <v>79.878900000000002</v>
      </c>
      <c r="K3363">
        <v>18.901299999999999</v>
      </c>
      <c r="L3363">
        <v>169</v>
      </c>
      <c r="M3363">
        <v>19</v>
      </c>
      <c r="N3363">
        <v>35</v>
      </c>
      <c r="O3363">
        <v>78.921800000000005</v>
      </c>
      <c r="P3363">
        <v>18.105699999999999</v>
      </c>
      <c r="Q3363">
        <v>15.828900000000001</v>
      </c>
    </row>
    <row r="3364" spans="1:17" x14ac:dyDescent="0.25">
      <c r="A3364" t="str">
        <f>IF(C3364&amp;G3364&amp;D3364&lt;&gt;'Funnel setup'!$K$3&amp;'Funnel setup'!$K$4&amp;'Funnel setup'!$K$6,".",IF(A3363=".",1,A3363+1))</f>
        <v>.</v>
      </c>
      <c r="B3364" s="244" t="str">
        <f t="shared" si="52"/>
        <v>Total Hip ReplacementSub-ICB of GP PracticeNHS BUCKINGHAMSHIRE, OXFORDSHIRE AND BERKSHIRE WEST ICB - 10Q (10Q)EQ VAS</v>
      </c>
      <c r="C3364" t="s">
        <v>974</v>
      </c>
      <c r="D3364" t="s">
        <v>1021</v>
      </c>
      <c r="E3364" t="s">
        <v>761</v>
      </c>
      <c r="F3364" t="s">
        <v>762</v>
      </c>
      <c r="G3364" t="s">
        <v>752</v>
      </c>
      <c r="H3364">
        <v>344</v>
      </c>
      <c r="I3364">
        <v>62.607599999999998</v>
      </c>
      <c r="J3364">
        <v>75.927300000000002</v>
      </c>
      <c r="K3364">
        <v>13.319800000000001</v>
      </c>
      <c r="L3364">
        <v>241</v>
      </c>
      <c r="M3364">
        <v>36</v>
      </c>
      <c r="N3364">
        <v>67</v>
      </c>
      <c r="O3364">
        <v>74.459299999999999</v>
      </c>
      <c r="P3364">
        <v>13.6432</v>
      </c>
      <c r="Q3364">
        <v>15.5932</v>
      </c>
    </row>
    <row r="3365" spans="1:17" x14ac:dyDescent="0.25">
      <c r="A3365" t="str">
        <f>IF(C3365&amp;G3365&amp;D3365&lt;&gt;'Funnel setup'!$K$3&amp;'Funnel setup'!$K$4&amp;'Funnel setup'!$K$6,".",IF(A3364=".",1,A3364+1))</f>
        <v>.</v>
      </c>
      <c r="B3365" s="244" t="str">
        <f t="shared" si="52"/>
        <v>Total Hip ReplacementSub-ICB of GP PracticeNHS BUCKINGHAMSHIRE, OXFORDSHIRE AND BERKSHIRE WEST ICB - 14Y (14Y)EQ VAS</v>
      </c>
      <c r="C3365" t="s">
        <v>974</v>
      </c>
      <c r="D3365" t="s">
        <v>1021</v>
      </c>
      <c r="E3365" t="s">
        <v>763</v>
      </c>
      <c r="F3365" t="s">
        <v>764</v>
      </c>
      <c r="G3365" t="s">
        <v>752</v>
      </c>
      <c r="H3365">
        <v>217</v>
      </c>
      <c r="I3365">
        <v>62.658999999999999</v>
      </c>
      <c r="J3365">
        <v>77.317999999999998</v>
      </c>
      <c r="K3365">
        <v>14.659000000000001</v>
      </c>
      <c r="L3365">
        <v>157</v>
      </c>
      <c r="M3365">
        <v>13</v>
      </c>
      <c r="N3365">
        <v>47</v>
      </c>
      <c r="O3365">
        <v>75.202600000000004</v>
      </c>
      <c r="P3365">
        <v>14.3865</v>
      </c>
      <c r="Q3365">
        <v>17.239000000000001</v>
      </c>
    </row>
    <row r="3366" spans="1:17" x14ac:dyDescent="0.25">
      <c r="A3366" t="str">
        <f>IF(C3366&amp;G3366&amp;D3366&lt;&gt;'Funnel setup'!$K$3&amp;'Funnel setup'!$K$4&amp;'Funnel setup'!$K$6,".",IF(A3365=".",1,A3365+1))</f>
        <v>.</v>
      </c>
      <c r="B3366" s="244" t="str">
        <f t="shared" si="52"/>
        <v>Total Hip ReplacementSub-ICB of GP PracticeNHS BUCKINGHAMSHIRE, OXFORDSHIRE AND BERKSHIRE WEST ICB - 15A (15A)EQ VAS</v>
      </c>
      <c r="C3366" t="s">
        <v>974</v>
      </c>
      <c r="D3366" t="s">
        <v>1021</v>
      </c>
      <c r="E3366" t="s">
        <v>765</v>
      </c>
      <c r="F3366" t="s">
        <v>766</v>
      </c>
      <c r="G3366" t="s">
        <v>752</v>
      </c>
      <c r="H3366">
        <v>67</v>
      </c>
      <c r="I3366">
        <v>55.194000000000003</v>
      </c>
      <c r="J3366">
        <v>77.059700000000007</v>
      </c>
      <c r="K3366">
        <v>21.8657</v>
      </c>
      <c r="L3366">
        <v>53</v>
      </c>
      <c r="M3366">
        <v>4</v>
      </c>
      <c r="N3366">
        <v>10</v>
      </c>
      <c r="O3366">
        <v>75.351200000000006</v>
      </c>
      <c r="P3366">
        <v>14.5351</v>
      </c>
      <c r="Q3366">
        <v>17.101900000000001</v>
      </c>
    </row>
    <row r="3367" spans="1:17" x14ac:dyDescent="0.25">
      <c r="A3367" t="str">
        <f>IF(C3367&amp;G3367&amp;D3367&lt;&gt;'Funnel setup'!$K$3&amp;'Funnel setup'!$K$4&amp;'Funnel setup'!$K$6,".",IF(A3366=".",1,A3366+1))</f>
        <v>.</v>
      </c>
      <c r="B3367" s="244" t="str">
        <f t="shared" si="52"/>
        <v>Total Hip ReplacementSub-ICB of GP PracticeNHS CAMBRIDGESHIRE AND PETERBOROUGH ICB - 06H (06H)EQ VAS</v>
      </c>
      <c r="C3367" t="s">
        <v>974</v>
      </c>
      <c r="D3367" t="s">
        <v>1021</v>
      </c>
      <c r="E3367" t="s">
        <v>767</v>
      </c>
      <c r="F3367" t="s">
        <v>768</v>
      </c>
      <c r="G3367" t="s">
        <v>752</v>
      </c>
      <c r="H3367">
        <v>219</v>
      </c>
      <c r="I3367">
        <v>58.657499999999999</v>
      </c>
      <c r="J3367">
        <v>73.328800000000001</v>
      </c>
      <c r="K3367">
        <v>14.671200000000001</v>
      </c>
      <c r="L3367">
        <v>146</v>
      </c>
      <c r="M3367">
        <v>14</v>
      </c>
      <c r="N3367">
        <v>59</v>
      </c>
      <c r="O3367">
        <v>74.221999999999994</v>
      </c>
      <c r="P3367">
        <v>13.405900000000001</v>
      </c>
      <c r="Q3367">
        <v>18.940100000000001</v>
      </c>
    </row>
    <row r="3368" spans="1:17" x14ac:dyDescent="0.25">
      <c r="A3368" t="str">
        <f>IF(C3368&amp;G3368&amp;D3368&lt;&gt;'Funnel setup'!$K$3&amp;'Funnel setup'!$K$4&amp;'Funnel setup'!$K$6,".",IF(A3367=".",1,A3367+1))</f>
        <v>.</v>
      </c>
      <c r="B3368" s="244" t="str">
        <f t="shared" si="52"/>
        <v>Total Hip ReplacementSub-ICB of GP PracticeNHS CHESHIRE AND MERSEYSIDE ICB - 01F (01F)EQ VAS</v>
      </c>
      <c r="C3368" t="s">
        <v>974</v>
      </c>
      <c r="D3368" t="s">
        <v>1021</v>
      </c>
      <c r="E3368" t="s">
        <v>769</v>
      </c>
      <c r="F3368" t="s">
        <v>770</v>
      </c>
      <c r="G3368" t="s">
        <v>752</v>
      </c>
      <c r="H3368">
        <v>27</v>
      </c>
      <c r="I3368">
        <v>55.777799999999999</v>
      </c>
      <c r="J3368">
        <v>69.629599999999996</v>
      </c>
      <c r="K3368">
        <v>13.851900000000001</v>
      </c>
      <c r="L3368">
        <v>18</v>
      </c>
      <c r="M3368">
        <v>3</v>
      </c>
      <c r="N3368">
        <v>6</v>
      </c>
      <c r="O3368" t="s">
        <v>127</v>
      </c>
      <c r="P3368" t="s">
        <v>127</v>
      </c>
      <c r="Q3368" t="s">
        <v>127</v>
      </c>
    </row>
    <row r="3369" spans="1:17" x14ac:dyDescent="0.25">
      <c r="A3369" t="str">
        <f>IF(C3369&amp;G3369&amp;D3369&lt;&gt;'Funnel setup'!$K$3&amp;'Funnel setup'!$K$4&amp;'Funnel setup'!$K$6,".",IF(A3368=".",1,A3368+1))</f>
        <v>.</v>
      </c>
      <c r="B3369" s="244" t="str">
        <f t="shared" si="52"/>
        <v>Total Hip ReplacementSub-ICB of GP PracticeNHS CHESHIRE AND MERSEYSIDE ICB - 01J (01J)EQ VAS</v>
      </c>
      <c r="C3369" t="s">
        <v>974</v>
      </c>
      <c r="D3369" t="s">
        <v>1021</v>
      </c>
      <c r="E3369" t="s">
        <v>771</v>
      </c>
      <c r="F3369" t="s">
        <v>772</v>
      </c>
      <c r="G3369" t="s">
        <v>752</v>
      </c>
      <c r="H3369">
        <v>35</v>
      </c>
      <c r="I3369">
        <v>51.7714</v>
      </c>
      <c r="J3369">
        <v>79.714299999999994</v>
      </c>
      <c r="K3369">
        <v>27.942900000000002</v>
      </c>
      <c r="L3369">
        <v>30</v>
      </c>
      <c r="M3369">
        <v>0</v>
      </c>
      <c r="N3369">
        <v>5</v>
      </c>
      <c r="O3369">
        <v>83.665099999999995</v>
      </c>
      <c r="P3369">
        <v>22.849</v>
      </c>
      <c r="Q3369">
        <v>13.236000000000001</v>
      </c>
    </row>
    <row r="3370" spans="1:17" x14ac:dyDescent="0.25">
      <c r="A3370" t="str">
        <f>IF(C3370&amp;G3370&amp;D3370&lt;&gt;'Funnel setup'!$K$3&amp;'Funnel setup'!$K$4&amp;'Funnel setup'!$K$6,".",IF(A3369=".",1,A3369+1))</f>
        <v>.</v>
      </c>
      <c r="B3370" s="244" t="str">
        <f t="shared" si="52"/>
        <v>Total Hip ReplacementSub-ICB of GP PracticeNHS CHESHIRE AND MERSEYSIDE ICB - 01T (01T)EQ VAS</v>
      </c>
      <c r="C3370" t="s">
        <v>974</v>
      </c>
      <c r="D3370" t="s">
        <v>1021</v>
      </c>
      <c r="E3370" t="s">
        <v>773</v>
      </c>
      <c r="F3370" t="s">
        <v>774</v>
      </c>
      <c r="G3370" t="s">
        <v>752</v>
      </c>
      <c r="H3370">
        <v>42</v>
      </c>
      <c r="I3370">
        <v>58.785699999999999</v>
      </c>
      <c r="J3370">
        <v>74.047600000000003</v>
      </c>
      <c r="K3370">
        <v>15.261900000000001</v>
      </c>
      <c r="L3370">
        <v>29</v>
      </c>
      <c r="M3370">
        <v>5</v>
      </c>
      <c r="N3370">
        <v>8</v>
      </c>
      <c r="O3370">
        <v>74.491799999999998</v>
      </c>
      <c r="P3370">
        <v>13.675700000000001</v>
      </c>
      <c r="Q3370">
        <v>19.839700000000001</v>
      </c>
    </row>
    <row r="3371" spans="1:17" x14ac:dyDescent="0.25">
      <c r="A3371" t="str">
        <f>IF(C3371&amp;G3371&amp;D3371&lt;&gt;'Funnel setup'!$K$3&amp;'Funnel setup'!$K$4&amp;'Funnel setup'!$K$6,".",IF(A3370=".",1,A3370+1))</f>
        <v>.</v>
      </c>
      <c r="B3371" s="244" t="str">
        <f t="shared" si="52"/>
        <v>Total Hip ReplacementSub-ICB of GP PracticeNHS CHESHIRE AND MERSEYSIDE ICB - 01V (01V)EQ VAS</v>
      </c>
      <c r="C3371" t="s">
        <v>974</v>
      </c>
      <c r="D3371" t="s">
        <v>1021</v>
      </c>
      <c r="E3371" t="s">
        <v>775</v>
      </c>
      <c r="F3371" t="s">
        <v>776</v>
      </c>
      <c r="G3371" t="s">
        <v>752</v>
      </c>
      <c r="H3371">
        <v>23</v>
      </c>
      <c r="I3371">
        <v>57.695700000000002</v>
      </c>
      <c r="J3371">
        <v>74.826099999999997</v>
      </c>
      <c r="K3371">
        <v>17.130400000000002</v>
      </c>
      <c r="L3371">
        <v>19</v>
      </c>
      <c r="M3371">
        <v>2</v>
      </c>
      <c r="N3371">
        <v>2</v>
      </c>
      <c r="O3371" t="s">
        <v>127</v>
      </c>
      <c r="P3371" t="s">
        <v>127</v>
      </c>
      <c r="Q3371" t="s">
        <v>127</v>
      </c>
    </row>
    <row r="3372" spans="1:17" x14ac:dyDescent="0.25">
      <c r="A3372" t="str">
        <f>IF(C3372&amp;G3372&amp;D3372&lt;&gt;'Funnel setup'!$K$3&amp;'Funnel setup'!$K$4&amp;'Funnel setup'!$K$6,".",IF(A3371=".",1,A3371+1))</f>
        <v>.</v>
      </c>
      <c r="B3372" s="244" t="str">
        <f t="shared" si="52"/>
        <v>Total Hip ReplacementSub-ICB of GP PracticeNHS CHESHIRE AND MERSEYSIDE ICB - 01X (01X)EQ VAS</v>
      </c>
      <c r="C3372" t="s">
        <v>974</v>
      </c>
      <c r="D3372" t="s">
        <v>1021</v>
      </c>
      <c r="E3372" t="s">
        <v>777</v>
      </c>
      <c r="F3372" t="s">
        <v>778</v>
      </c>
      <c r="G3372" t="s">
        <v>752</v>
      </c>
      <c r="H3372">
        <v>58</v>
      </c>
      <c r="I3372">
        <v>58.603400000000001</v>
      </c>
      <c r="J3372">
        <v>67.913799999999995</v>
      </c>
      <c r="K3372">
        <v>9.3103400000000001</v>
      </c>
      <c r="L3372">
        <v>40</v>
      </c>
      <c r="M3372">
        <v>2</v>
      </c>
      <c r="N3372">
        <v>16</v>
      </c>
      <c r="O3372">
        <v>71.188999999999993</v>
      </c>
      <c r="P3372">
        <v>10.3729</v>
      </c>
      <c r="Q3372">
        <v>18.796900000000001</v>
      </c>
    </row>
    <row r="3373" spans="1:17" x14ac:dyDescent="0.25">
      <c r="A3373" t="str">
        <f>IF(C3373&amp;G3373&amp;D3373&lt;&gt;'Funnel setup'!$K$3&amp;'Funnel setup'!$K$4&amp;'Funnel setup'!$K$6,".",IF(A3372=".",1,A3372+1))</f>
        <v>.</v>
      </c>
      <c r="B3373" s="244" t="str">
        <f t="shared" si="52"/>
        <v>Total Hip ReplacementSub-ICB of GP PracticeNHS CHESHIRE AND MERSEYSIDE ICB - 02E (02E)EQ VAS</v>
      </c>
      <c r="C3373" t="s">
        <v>974</v>
      </c>
      <c r="D3373" t="s">
        <v>1021</v>
      </c>
      <c r="E3373" t="s">
        <v>779</v>
      </c>
      <c r="F3373" t="s">
        <v>780</v>
      </c>
      <c r="G3373" t="s">
        <v>752</v>
      </c>
      <c r="H3373">
        <v>29</v>
      </c>
      <c r="I3373">
        <v>64.724100000000007</v>
      </c>
      <c r="J3373">
        <v>76.379300000000001</v>
      </c>
      <c r="K3373">
        <v>11.655200000000001</v>
      </c>
      <c r="L3373">
        <v>20</v>
      </c>
      <c r="M3373">
        <v>1</v>
      </c>
      <c r="N3373">
        <v>8</v>
      </c>
      <c r="O3373" t="s">
        <v>127</v>
      </c>
      <c r="P3373" t="s">
        <v>127</v>
      </c>
      <c r="Q3373" t="s">
        <v>127</v>
      </c>
    </row>
    <row r="3374" spans="1:17" x14ac:dyDescent="0.25">
      <c r="A3374" t="str">
        <f>IF(C3374&amp;G3374&amp;D3374&lt;&gt;'Funnel setup'!$K$3&amp;'Funnel setup'!$K$4&amp;'Funnel setup'!$K$6,".",IF(A3373=".",1,A3373+1))</f>
        <v>.</v>
      </c>
      <c r="B3374" s="244" t="str">
        <f t="shared" si="52"/>
        <v>Total Hip ReplacementSub-ICB of GP PracticeNHS CHESHIRE AND MERSEYSIDE ICB - 12F (12F)EQ VAS</v>
      </c>
      <c r="C3374" t="s">
        <v>974</v>
      </c>
      <c r="D3374" t="s">
        <v>1021</v>
      </c>
      <c r="E3374" t="s">
        <v>781</v>
      </c>
      <c r="F3374" t="s">
        <v>782</v>
      </c>
      <c r="G3374" t="s">
        <v>752</v>
      </c>
      <c r="H3374">
        <v>89</v>
      </c>
      <c r="I3374">
        <v>58.842700000000001</v>
      </c>
      <c r="J3374">
        <v>75.202200000000005</v>
      </c>
      <c r="K3374">
        <v>16.3596</v>
      </c>
      <c r="L3374">
        <v>64</v>
      </c>
      <c r="M3374">
        <v>7</v>
      </c>
      <c r="N3374">
        <v>18</v>
      </c>
      <c r="O3374">
        <v>76.182500000000005</v>
      </c>
      <c r="P3374">
        <v>15.366400000000001</v>
      </c>
      <c r="Q3374">
        <v>15.919</v>
      </c>
    </row>
    <row r="3375" spans="1:17" x14ac:dyDescent="0.25">
      <c r="A3375" t="str">
        <f>IF(C3375&amp;G3375&amp;D3375&lt;&gt;'Funnel setup'!$K$3&amp;'Funnel setup'!$K$4&amp;'Funnel setup'!$K$6,".",IF(A3374=".",1,A3374+1))</f>
        <v>.</v>
      </c>
      <c r="B3375" s="244" t="str">
        <f t="shared" si="52"/>
        <v>Total Hip ReplacementSub-ICB of GP PracticeNHS CHESHIRE AND MERSEYSIDE ICB - 27D (27D)EQ VAS</v>
      </c>
      <c r="C3375" t="s">
        <v>974</v>
      </c>
      <c r="D3375" t="s">
        <v>1021</v>
      </c>
      <c r="E3375" t="s">
        <v>783</v>
      </c>
      <c r="F3375" t="s">
        <v>784</v>
      </c>
      <c r="G3375" t="s">
        <v>752</v>
      </c>
      <c r="H3375">
        <v>256</v>
      </c>
      <c r="I3375">
        <v>60.949199999999998</v>
      </c>
      <c r="J3375">
        <v>78.226600000000005</v>
      </c>
      <c r="K3375">
        <v>17.2773</v>
      </c>
      <c r="L3375">
        <v>187</v>
      </c>
      <c r="M3375">
        <v>17</v>
      </c>
      <c r="N3375">
        <v>52</v>
      </c>
      <c r="O3375">
        <v>77.546999999999997</v>
      </c>
      <c r="P3375">
        <v>16.730899999999998</v>
      </c>
      <c r="Q3375">
        <v>15.963900000000001</v>
      </c>
    </row>
    <row r="3376" spans="1:17" x14ac:dyDescent="0.25">
      <c r="A3376" t="str">
        <f>IF(C3376&amp;G3376&amp;D3376&lt;&gt;'Funnel setup'!$K$3&amp;'Funnel setup'!$K$4&amp;'Funnel setup'!$K$6,".",IF(A3375=".",1,A3375+1))</f>
        <v>.</v>
      </c>
      <c r="B3376" s="244" t="str">
        <f t="shared" si="52"/>
        <v>Total Hip ReplacementSub-ICB of GP PracticeNHS CHESHIRE AND MERSEYSIDE ICB - 99A (99A)EQ VAS</v>
      </c>
      <c r="C3376" t="s">
        <v>974</v>
      </c>
      <c r="D3376" t="s">
        <v>1021</v>
      </c>
      <c r="E3376" t="s">
        <v>785</v>
      </c>
      <c r="F3376" t="s">
        <v>786</v>
      </c>
      <c r="G3376" t="s">
        <v>752</v>
      </c>
      <c r="H3376">
        <v>78</v>
      </c>
      <c r="I3376">
        <v>52.3718</v>
      </c>
      <c r="J3376">
        <v>72.564099999999996</v>
      </c>
      <c r="K3376">
        <v>20.192299999999999</v>
      </c>
      <c r="L3376">
        <v>56</v>
      </c>
      <c r="M3376">
        <v>8</v>
      </c>
      <c r="N3376">
        <v>14</v>
      </c>
      <c r="O3376">
        <v>78.763900000000007</v>
      </c>
      <c r="P3376">
        <v>17.947700000000001</v>
      </c>
      <c r="Q3376">
        <v>16.040500000000002</v>
      </c>
    </row>
    <row r="3377" spans="1:17" x14ac:dyDescent="0.25">
      <c r="A3377" t="str">
        <f>IF(C3377&amp;G3377&amp;D3377&lt;&gt;'Funnel setup'!$K$3&amp;'Funnel setup'!$K$4&amp;'Funnel setup'!$K$6,".",IF(A3376=".",1,A3376+1))</f>
        <v>.</v>
      </c>
      <c r="B3377" s="244" t="str">
        <f t="shared" si="52"/>
        <v>Total Hip ReplacementSub-ICB of GP PracticeNHS CORNWALL AND THE ISLES OF SCILLY ICB - 11N (11N)EQ VAS</v>
      </c>
      <c r="C3377" t="s">
        <v>974</v>
      </c>
      <c r="D3377" t="s">
        <v>1021</v>
      </c>
      <c r="E3377" t="s">
        <v>787</v>
      </c>
      <c r="F3377" t="s">
        <v>788</v>
      </c>
      <c r="G3377" t="s">
        <v>752</v>
      </c>
      <c r="H3377">
        <v>153</v>
      </c>
      <c r="I3377">
        <v>62.398699999999998</v>
      </c>
      <c r="J3377">
        <v>78.653599999999997</v>
      </c>
      <c r="K3377">
        <v>16.254899999999999</v>
      </c>
      <c r="L3377">
        <v>113</v>
      </c>
      <c r="M3377">
        <v>16</v>
      </c>
      <c r="N3377">
        <v>24</v>
      </c>
      <c r="O3377">
        <v>77.975499999999997</v>
      </c>
      <c r="P3377">
        <v>17.159400000000002</v>
      </c>
      <c r="Q3377">
        <v>16.519400000000001</v>
      </c>
    </row>
    <row r="3378" spans="1:17" x14ac:dyDescent="0.25">
      <c r="A3378" t="str">
        <f>IF(C3378&amp;G3378&amp;D3378&lt;&gt;'Funnel setup'!$K$3&amp;'Funnel setup'!$K$4&amp;'Funnel setup'!$K$6,".",IF(A3377=".",1,A3377+1))</f>
        <v>.</v>
      </c>
      <c r="B3378" s="244" t="str">
        <f t="shared" si="52"/>
        <v>Total Hip ReplacementSub-ICB of GP PracticeNHS COVENTRY AND WARWICKSHIRE ICB - B2M3M (B2M3M)EQ VAS</v>
      </c>
      <c r="C3378" t="s">
        <v>974</v>
      </c>
      <c r="D3378" t="s">
        <v>1021</v>
      </c>
      <c r="E3378" t="s">
        <v>789</v>
      </c>
      <c r="F3378" t="s">
        <v>790</v>
      </c>
      <c r="G3378" t="s">
        <v>752</v>
      </c>
      <c r="H3378">
        <v>256</v>
      </c>
      <c r="I3378">
        <v>65.168000000000006</v>
      </c>
      <c r="J3378">
        <v>78.964799999999997</v>
      </c>
      <c r="K3378">
        <v>13.796900000000001</v>
      </c>
      <c r="L3378">
        <v>174</v>
      </c>
      <c r="M3378">
        <v>29</v>
      </c>
      <c r="N3378">
        <v>53</v>
      </c>
      <c r="O3378">
        <v>75.969800000000006</v>
      </c>
      <c r="P3378">
        <v>15.153700000000001</v>
      </c>
      <c r="Q3378">
        <v>14.2783</v>
      </c>
    </row>
    <row r="3379" spans="1:17" x14ac:dyDescent="0.25">
      <c r="A3379" t="str">
        <f>IF(C3379&amp;G3379&amp;D3379&lt;&gt;'Funnel setup'!$K$3&amp;'Funnel setup'!$K$4&amp;'Funnel setup'!$K$6,".",IF(A3378=".",1,A3378+1))</f>
        <v>.</v>
      </c>
      <c r="B3379" s="244" t="str">
        <f t="shared" si="52"/>
        <v>Total Hip ReplacementSub-ICB of GP PracticeNHS DERBY AND DERBYSHIRE ICB - 15M (15M)EQ VAS</v>
      </c>
      <c r="C3379" t="s">
        <v>974</v>
      </c>
      <c r="D3379" t="s">
        <v>1021</v>
      </c>
      <c r="E3379" t="s">
        <v>791</v>
      </c>
      <c r="F3379" t="s">
        <v>792</v>
      </c>
      <c r="G3379" t="s">
        <v>752</v>
      </c>
      <c r="H3379">
        <v>454</v>
      </c>
      <c r="I3379">
        <v>58.110100000000003</v>
      </c>
      <c r="J3379">
        <v>74.176199999999994</v>
      </c>
      <c r="K3379">
        <v>16.066099999999999</v>
      </c>
      <c r="L3379">
        <v>310</v>
      </c>
      <c r="M3379">
        <v>41</v>
      </c>
      <c r="N3379">
        <v>103</v>
      </c>
      <c r="O3379">
        <v>75.389399999999995</v>
      </c>
      <c r="P3379">
        <v>14.5733</v>
      </c>
      <c r="Q3379">
        <v>17.041799999999999</v>
      </c>
    </row>
    <row r="3380" spans="1:17" x14ac:dyDescent="0.25">
      <c r="A3380" t="str">
        <f>IF(C3380&amp;G3380&amp;D3380&lt;&gt;'Funnel setup'!$K$3&amp;'Funnel setup'!$K$4&amp;'Funnel setup'!$K$6,".",IF(A3379=".",1,A3379+1))</f>
        <v>.</v>
      </c>
      <c r="B3380" s="244" t="str">
        <f t="shared" si="52"/>
        <v>Total Hip ReplacementSub-ICB of GP PracticeNHS DEVON ICB - 15N (15N)EQ VAS</v>
      </c>
      <c r="C3380" t="s">
        <v>974</v>
      </c>
      <c r="D3380" t="s">
        <v>1021</v>
      </c>
      <c r="E3380" t="s">
        <v>793</v>
      </c>
      <c r="F3380" t="s">
        <v>794</v>
      </c>
      <c r="G3380" t="s">
        <v>752</v>
      </c>
      <c r="H3380">
        <v>344</v>
      </c>
      <c r="I3380">
        <v>65.401200000000003</v>
      </c>
      <c r="J3380">
        <v>76.395300000000006</v>
      </c>
      <c r="K3380">
        <v>10.994199999999999</v>
      </c>
      <c r="L3380">
        <v>232</v>
      </c>
      <c r="M3380">
        <v>27</v>
      </c>
      <c r="N3380">
        <v>85</v>
      </c>
      <c r="O3380">
        <v>74.915800000000004</v>
      </c>
      <c r="P3380">
        <v>14.0997</v>
      </c>
      <c r="Q3380">
        <v>15.863200000000001</v>
      </c>
    </row>
    <row r="3381" spans="1:17" x14ac:dyDescent="0.25">
      <c r="A3381" t="str">
        <f>IF(C3381&amp;G3381&amp;D3381&lt;&gt;'Funnel setup'!$K$3&amp;'Funnel setup'!$K$4&amp;'Funnel setup'!$K$6,".",IF(A3380=".",1,A3380+1))</f>
        <v>.</v>
      </c>
      <c r="B3381" s="244" t="str">
        <f t="shared" si="52"/>
        <v>Total Hip ReplacementSub-ICB of GP PracticeNHS DORSET ICB - 11J (11J)EQ VAS</v>
      </c>
      <c r="C3381" t="s">
        <v>974</v>
      </c>
      <c r="D3381" t="s">
        <v>1021</v>
      </c>
      <c r="E3381" t="s">
        <v>795</v>
      </c>
      <c r="F3381" t="s">
        <v>796</v>
      </c>
      <c r="G3381" t="s">
        <v>752</v>
      </c>
      <c r="H3381">
        <v>269</v>
      </c>
      <c r="I3381">
        <v>64.795500000000004</v>
      </c>
      <c r="J3381">
        <v>77.672899999999998</v>
      </c>
      <c r="K3381">
        <v>12.8773</v>
      </c>
      <c r="L3381">
        <v>196</v>
      </c>
      <c r="M3381">
        <v>24</v>
      </c>
      <c r="N3381">
        <v>49</v>
      </c>
      <c r="O3381">
        <v>75.959699999999998</v>
      </c>
      <c r="P3381">
        <v>15.143599999999999</v>
      </c>
      <c r="Q3381">
        <v>15.435499999999999</v>
      </c>
    </row>
    <row r="3382" spans="1:17" x14ac:dyDescent="0.25">
      <c r="A3382" t="str">
        <f>IF(C3382&amp;G3382&amp;D3382&lt;&gt;'Funnel setup'!$K$3&amp;'Funnel setup'!$K$4&amp;'Funnel setup'!$K$6,".",IF(A3381=".",1,A3381+1))</f>
        <v>.</v>
      </c>
      <c r="B3382" s="244" t="str">
        <f t="shared" si="52"/>
        <v>Total Hip ReplacementSub-ICB of GP PracticeNHS FRIMLEY ICB - D4U1Y (D4U1Y)EQ VAS</v>
      </c>
      <c r="C3382" t="s">
        <v>974</v>
      </c>
      <c r="D3382" t="s">
        <v>1021</v>
      </c>
      <c r="E3382" t="s">
        <v>797</v>
      </c>
      <c r="F3382" t="s">
        <v>798</v>
      </c>
      <c r="G3382" t="s">
        <v>752</v>
      </c>
      <c r="H3382">
        <v>162</v>
      </c>
      <c r="I3382">
        <v>61.697499999999998</v>
      </c>
      <c r="J3382">
        <v>75.203699999999998</v>
      </c>
      <c r="K3382">
        <v>13.5062</v>
      </c>
      <c r="L3382">
        <v>113</v>
      </c>
      <c r="M3382">
        <v>12</v>
      </c>
      <c r="N3382">
        <v>37</v>
      </c>
      <c r="O3382">
        <v>74.144099999999995</v>
      </c>
      <c r="P3382">
        <v>13.327999999999999</v>
      </c>
      <c r="Q3382">
        <v>17.3</v>
      </c>
    </row>
    <row r="3383" spans="1:17" x14ac:dyDescent="0.25">
      <c r="A3383" t="str">
        <f>IF(C3383&amp;G3383&amp;D3383&lt;&gt;'Funnel setup'!$K$3&amp;'Funnel setup'!$K$4&amp;'Funnel setup'!$K$6,".",IF(A3382=".",1,A3382+1))</f>
        <v>.</v>
      </c>
      <c r="B3383" s="244" t="str">
        <f t="shared" si="52"/>
        <v>Total Hip ReplacementSub-ICB of GP PracticeNHS GLOUCESTERSHIRE ICB - 11M (11M)EQ VAS</v>
      </c>
      <c r="C3383" t="s">
        <v>974</v>
      </c>
      <c r="D3383" t="s">
        <v>1021</v>
      </c>
      <c r="E3383" t="s">
        <v>799</v>
      </c>
      <c r="F3383" t="s">
        <v>800</v>
      </c>
      <c r="G3383" t="s">
        <v>752</v>
      </c>
      <c r="H3383">
        <v>158</v>
      </c>
      <c r="I3383">
        <v>55.968400000000003</v>
      </c>
      <c r="J3383">
        <v>76.848100000000002</v>
      </c>
      <c r="K3383">
        <v>20.8797</v>
      </c>
      <c r="L3383">
        <v>121</v>
      </c>
      <c r="M3383">
        <v>15</v>
      </c>
      <c r="N3383">
        <v>22</v>
      </c>
      <c r="O3383">
        <v>77.029200000000003</v>
      </c>
      <c r="P3383">
        <v>16.213100000000001</v>
      </c>
      <c r="Q3383">
        <v>15.545199999999999</v>
      </c>
    </row>
    <row r="3384" spans="1:17" x14ac:dyDescent="0.25">
      <c r="A3384" t="str">
        <f>IF(C3384&amp;G3384&amp;D3384&lt;&gt;'Funnel setup'!$K$3&amp;'Funnel setup'!$K$4&amp;'Funnel setup'!$K$6,".",IF(A3383=".",1,A3383+1))</f>
        <v>.</v>
      </c>
      <c r="B3384" s="244" t="str">
        <f t="shared" si="52"/>
        <v>Total Hip ReplacementSub-ICB of GP PracticeNHS GREATER MANCHESTER ICB - 00T (00T)EQ VAS</v>
      </c>
      <c r="C3384" t="s">
        <v>974</v>
      </c>
      <c r="D3384" t="s">
        <v>1021</v>
      </c>
      <c r="E3384" t="s">
        <v>801</v>
      </c>
      <c r="F3384" t="s">
        <v>802</v>
      </c>
      <c r="G3384" t="s">
        <v>752</v>
      </c>
      <c r="H3384">
        <v>50</v>
      </c>
      <c r="I3384">
        <v>65.260000000000005</v>
      </c>
      <c r="J3384">
        <v>74.040000000000006</v>
      </c>
      <c r="K3384">
        <v>8.7799999999999994</v>
      </c>
      <c r="L3384">
        <v>35</v>
      </c>
      <c r="M3384">
        <v>3</v>
      </c>
      <c r="N3384">
        <v>12</v>
      </c>
      <c r="O3384">
        <v>76.765600000000006</v>
      </c>
      <c r="P3384">
        <v>15.9495</v>
      </c>
      <c r="Q3384">
        <v>18.712</v>
      </c>
    </row>
    <row r="3385" spans="1:17" x14ac:dyDescent="0.25">
      <c r="A3385" t="str">
        <f>IF(C3385&amp;G3385&amp;D3385&lt;&gt;'Funnel setup'!$K$3&amp;'Funnel setup'!$K$4&amp;'Funnel setup'!$K$6,".",IF(A3384=".",1,A3384+1))</f>
        <v>.</v>
      </c>
      <c r="B3385" s="244" t="str">
        <f t="shared" si="52"/>
        <v>Total Hip ReplacementSub-ICB of GP PracticeNHS GREATER MANCHESTER ICB - 00V (00V)EQ VAS</v>
      </c>
      <c r="C3385" t="s">
        <v>974</v>
      </c>
      <c r="D3385" t="s">
        <v>1021</v>
      </c>
      <c r="E3385" t="s">
        <v>803</v>
      </c>
      <c r="F3385" t="s">
        <v>804</v>
      </c>
      <c r="G3385" t="s">
        <v>752</v>
      </c>
      <c r="H3385">
        <v>16</v>
      </c>
      <c r="I3385">
        <v>63.5625</v>
      </c>
      <c r="J3385">
        <v>73.5</v>
      </c>
      <c r="K3385">
        <v>9.9375</v>
      </c>
      <c r="L3385">
        <v>10</v>
      </c>
      <c r="M3385">
        <v>2</v>
      </c>
      <c r="N3385">
        <v>4</v>
      </c>
      <c r="O3385" t="s">
        <v>127</v>
      </c>
      <c r="P3385" t="s">
        <v>127</v>
      </c>
      <c r="Q3385" t="s">
        <v>127</v>
      </c>
    </row>
    <row r="3386" spans="1:17" x14ac:dyDescent="0.25">
      <c r="A3386" t="str">
        <f>IF(C3386&amp;G3386&amp;D3386&lt;&gt;'Funnel setup'!$K$3&amp;'Funnel setup'!$K$4&amp;'Funnel setup'!$K$6,".",IF(A3385=".",1,A3385+1))</f>
        <v>.</v>
      </c>
      <c r="B3386" s="244" t="str">
        <f t="shared" si="52"/>
        <v>Total Hip ReplacementSub-ICB of GP PracticeNHS GREATER MANCHESTER ICB - 00Y (00Y)EQ VAS</v>
      </c>
      <c r="C3386" t="s">
        <v>974</v>
      </c>
      <c r="D3386" t="s">
        <v>1021</v>
      </c>
      <c r="E3386" t="s">
        <v>805</v>
      </c>
      <c r="F3386" t="s">
        <v>806</v>
      </c>
      <c r="G3386" t="s">
        <v>752</v>
      </c>
      <c r="H3386">
        <v>66</v>
      </c>
      <c r="I3386">
        <v>61.348500000000001</v>
      </c>
      <c r="J3386">
        <v>78.909099999999995</v>
      </c>
      <c r="K3386">
        <v>17.560600000000001</v>
      </c>
      <c r="L3386">
        <v>53</v>
      </c>
      <c r="M3386">
        <v>3</v>
      </c>
      <c r="N3386">
        <v>10</v>
      </c>
      <c r="O3386">
        <v>77.380099999999999</v>
      </c>
      <c r="P3386">
        <v>16.564</v>
      </c>
      <c r="Q3386">
        <v>15.170299999999999</v>
      </c>
    </row>
    <row r="3387" spans="1:17" x14ac:dyDescent="0.25">
      <c r="A3387" t="str">
        <f>IF(C3387&amp;G3387&amp;D3387&lt;&gt;'Funnel setup'!$K$3&amp;'Funnel setup'!$K$4&amp;'Funnel setup'!$K$6,".",IF(A3386=".",1,A3386+1))</f>
        <v>.</v>
      </c>
      <c r="B3387" s="244" t="str">
        <f t="shared" si="52"/>
        <v>Total Hip ReplacementSub-ICB of GP PracticeNHS GREATER MANCHESTER ICB - 01D (01D)EQ VAS</v>
      </c>
      <c r="C3387" t="s">
        <v>974</v>
      </c>
      <c r="D3387" t="s">
        <v>1021</v>
      </c>
      <c r="E3387" t="s">
        <v>807</v>
      </c>
      <c r="F3387" t="s">
        <v>808</v>
      </c>
      <c r="G3387" t="s">
        <v>752</v>
      </c>
      <c r="H3387">
        <v>17</v>
      </c>
      <c r="I3387">
        <v>52.470599999999997</v>
      </c>
      <c r="J3387">
        <v>73.882400000000004</v>
      </c>
      <c r="K3387">
        <v>21.411799999999999</v>
      </c>
      <c r="L3387">
        <v>13</v>
      </c>
      <c r="M3387">
        <v>0</v>
      </c>
      <c r="N3387">
        <v>4</v>
      </c>
      <c r="O3387" t="s">
        <v>127</v>
      </c>
      <c r="P3387" t="s">
        <v>127</v>
      </c>
      <c r="Q3387" t="s">
        <v>127</v>
      </c>
    </row>
    <row r="3388" spans="1:17" x14ac:dyDescent="0.25">
      <c r="A3388" t="str">
        <f>IF(C3388&amp;G3388&amp;D3388&lt;&gt;'Funnel setup'!$K$3&amp;'Funnel setup'!$K$4&amp;'Funnel setup'!$K$6,".",IF(A3387=".",1,A3387+1))</f>
        <v>.</v>
      </c>
      <c r="B3388" s="244" t="str">
        <f t="shared" si="52"/>
        <v>Total Hip ReplacementSub-ICB of GP PracticeNHS GREATER MANCHESTER ICB - 01G (01G)EQ VAS</v>
      </c>
      <c r="C3388" t="s">
        <v>974</v>
      </c>
      <c r="D3388" t="s">
        <v>1021</v>
      </c>
      <c r="E3388" t="s">
        <v>809</v>
      </c>
      <c r="F3388" t="s">
        <v>810</v>
      </c>
      <c r="G3388" t="s">
        <v>752</v>
      </c>
      <c r="H3388">
        <v>31</v>
      </c>
      <c r="I3388">
        <v>62.096800000000002</v>
      </c>
      <c r="J3388">
        <v>68.8065</v>
      </c>
      <c r="K3388">
        <v>6.7096799999999996</v>
      </c>
      <c r="L3388">
        <v>19</v>
      </c>
      <c r="M3388">
        <v>4</v>
      </c>
      <c r="N3388">
        <v>8</v>
      </c>
      <c r="O3388">
        <v>70.089600000000004</v>
      </c>
      <c r="P3388">
        <v>9.2735400000000006</v>
      </c>
      <c r="Q3388">
        <v>17.979299999999999</v>
      </c>
    </row>
    <row r="3389" spans="1:17" x14ac:dyDescent="0.25">
      <c r="A3389" t="str">
        <f>IF(C3389&amp;G3389&amp;D3389&lt;&gt;'Funnel setup'!$K$3&amp;'Funnel setup'!$K$4&amp;'Funnel setup'!$K$6,".",IF(A3388=".",1,A3388+1))</f>
        <v>.</v>
      </c>
      <c r="B3389" s="244" t="str">
        <f t="shared" si="52"/>
        <v>Total Hip ReplacementSub-ICB of GP PracticeNHS GREATER MANCHESTER ICB - 01W (01W)EQ VAS</v>
      </c>
      <c r="C3389" t="s">
        <v>974</v>
      </c>
      <c r="D3389" t="s">
        <v>1021</v>
      </c>
      <c r="E3389" t="s">
        <v>811</v>
      </c>
      <c r="F3389" t="s">
        <v>812</v>
      </c>
      <c r="G3389" t="s">
        <v>752</v>
      </c>
      <c r="H3389">
        <v>75</v>
      </c>
      <c r="I3389">
        <v>59.466700000000003</v>
      </c>
      <c r="J3389">
        <v>73.64</v>
      </c>
      <c r="K3389">
        <v>14.173299999999999</v>
      </c>
      <c r="L3389">
        <v>50</v>
      </c>
      <c r="M3389">
        <v>10</v>
      </c>
      <c r="N3389">
        <v>15</v>
      </c>
      <c r="O3389">
        <v>75.088999999999999</v>
      </c>
      <c r="P3389">
        <v>14.2729</v>
      </c>
      <c r="Q3389">
        <v>18.568999999999999</v>
      </c>
    </row>
    <row r="3390" spans="1:17" x14ac:dyDescent="0.25">
      <c r="A3390" t="str">
        <f>IF(C3390&amp;G3390&amp;D3390&lt;&gt;'Funnel setup'!$K$3&amp;'Funnel setup'!$K$4&amp;'Funnel setup'!$K$6,".",IF(A3389=".",1,A3389+1))</f>
        <v>.</v>
      </c>
      <c r="B3390" s="244" t="str">
        <f t="shared" si="52"/>
        <v>Total Hip ReplacementSub-ICB of GP PracticeNHS GREATER MANCHESTER ICB - 01Y (01Y)EQ VAS</v>
      </c>
      <c r="C3390" t="s">
        <v>974</v>
      </c>
      <c r="D3390" t="s">
        <v>1021</v>
      </c>
      <c r="E3390" t="s">
        <v>813</v>
      </c>
      <c r="F3390" t="s">
        <v>814</v>
      </c>
      <c r="G3390" t="s">
        <v>752</v>
      </c>
      <c r="H3390">
        <v>33</v>
      </c>
      <c r="I3390">
        <v>62.7879</v>
      </c>
      <c r="J3390">
        <v>76.606099999999998</v>
      </c>
      <c r="K3390">
        <v>13.818199999999999</v>
      </c>
      <c r="L3390">
        <v>19</v>
      </c>
      <c r="M3390">
        <v>3</v>
      </c>
      <c r="N3390">
        <v>11</v>
      </c>
      <c r="O3390">
        <v>74.575699999999998</v>
      </c>
      <c r="P3390">
        <v>13.759600000000001</v>
      </c>
      <c r="Q3390">
        <v>19.643999999999998</v>
      </c>
    </row>
    <row r="3391" spans="1:17" x14ac:dyDescent="0.25">
      <c r="A3391" t="str">
        <f>IF(C3391&amp;G3391&amp;D3391&lt;&gt;'Funnel setup'!$K$3&amp;'Funnel setup'!$K$4&amp;'Funnel setup'!$K$6,".",IF(A3390=".",1,A3390+1))</f>
        <v>.</v>
      </c>
      <c r="B3391" s="244" t="str">
        <f t="shared" si="52"/>
        <v>Total Hip ReplacementSub-ICB of GP PracticeNHS GREATER MANCHESTER ICB - 02A (02A)EQ VAS</v>
      </c>
      <c r="C3391" t="s">
        <v>974</v>
      </c>
      <c r="D3391" t="s">
        <v>1021</v>
      </c>
      <c r="E3391" t="s">
        <v>815</v>
      </c>
      <c r="F3391" t="s">
        <v>816</v>
      </c>
      <c r="G3391" t="s">
        <v>752</v>
      </c>
      <c r="H3391">
        <v>71</v>
      </c>
      <c r="I3391">
        <v>55.816899999999997</v>
      </c>
      <c r="J3391">
        <v>71.605599999999995</v>
      </c>
      <c r="K3391">
        <v>15.7887</v>
      </c>
      <c r="L3391">
        <v>51</v>
      </c>
      <c r="M3391">
        <v>2</v>
      </c>
      <c r="N3391">
        <v>18</v>
      </c>
      <c r="O3391">
        <v>71.979200000000006</v>
      </c>
      <c r="P3391">
        <v>11.1631</v>
      </c>
      <c r="Q3391">
        <v>16.200299999999999</v>
      </c>
    </row>
    <row r="3392" spans="1:17" x14ac:dyDescent="0.25">
      <c r="A3392" t="str">
        <f>IF(C3392&amp;G3392&amp;D3392&lt;&gt;'Funnel setup'!$K$3&amp;'Funnel setup'!$K$4&amp;'Funnel setup'!$K$6,".",IF(A3391=".",1,A3391+1))</f>
        <v>.</v>
      </c>
      <c r="B3392" s="244" t="str">
        <f t="shared" si="52"/>
        <v>Total Hip ReplacementSub-ICB of GP PracticeNHS GREATER MANCHESTER ICB - 02H (02H)EQ VAS</v>
      </c>
      <c r="C3392" t="s">
        <v>974</v>
      </c>
      <c r="D3392" t="s">
        <v>1021</v>
      </c>
      <c r="E3392" t="s">
        <v>817</v>
      </c>
      <c r="F3392" t="s">
        <v>818</v>
      </c>
      <c r="G3392" t="s">
        <v>752</v>
      </c>
      <c r="H3392">
        <v>22</v>
      </c>
      <c r="I3392">
        <v>60.409100000000002</v>
      </c>
      <c r="J3392">
        <v>74.363600000000005</v>
      </c>
      <c r="K3392">
        <v>13.954499999999999</v>
      </c>
      <c r="L3392">
        <v>14</v>
      </c>
      <c r="M3392">
        <v>0</v>
      </c>
      <c r="N3392">
        <v>8</v>
      </c>
      <c r="O3392" t="s">
        <v>127</v>
      </c>
      <c r="P3392" t="s">
        <v>127</v>
      </c>
      <c r="Q3392" t="s">
        <v>127</v>
      </c>
    </row>
    <row r="3393" spans="1:17" x14ac:dyDescent="0.25">
      <c r="A3393" t="str">
        <f>IF(C3393&amp;G3393&amp;D3393&lt;&gt;'Funnel setup'!$K$3&amp;'Funnel setup'!$K$4&amp;'Funnel setup'!$K$6,".",IF(A3392=".",1,A3392+1))</f>
        <v>.</v>
      </c>
      <c r="B3393" s="244" t="str">
        <f t="shared" si="52"/>
        <v>Total Hip ReplacementSub-ICB of GP PracticeNHS GREATER MANCHESTER ICB - 14L (14L)EQ VAS</v>
      </c>
      <c r="C3393" t="s">
        <v>974</v>
      </c>
      <c r="D3393" t="s">
        <v>1021</v>
      </c>
      <c r="E3393" t="s">
        <v>819</v>
      </c>
      <c r="F3393" t="s">
        <v>820</v>
      </c>
      <c r="G3393" t="s">
        <v>752</v>
      </c>
      <c r="H3393">
        <v>42</v>
      </c>
      <c r="I3393">
        <v>61.738100000000003</v>
      </c>
      <c r="J3393">
        <v>75.976200000000006</v>
      </c>
      <c r="K3393">
        <v>14.238099999999999</v>
      </c>
      <c r="L3393">
        <v>31</v>
      </c>
      <c r="M3393">
        <v>3</v>
      </c>
      <c r="N3393">
        <v>8</v>
      </c>
      <c r="O3393">
        <v>77.649600000000007</v>
      </c>
      <c r="P3393">
        <v>16.833500000000001</v>
      </c>
      <c r="Q3393">
        <v>19.491599999999998</v>
      </c>
    </row>
    <row r="3394" spans="1:17" x14ac:dyDescent="0.25">
      <c r="A3394" t="str">
        <f>IF(C3394&amp;G3394&amp;D3394&lt;&gt;'Funnel setup'!$K$3&amp;'Funnel setup'!$K$4&amp;'Funnel setup'!$K$6,".",IF(A3393=".",1,A3393+1))</f>
        <v>.</v>
      </c>
      <c r="B3394" s="244" t="str">
        <f t="shared" ref="B3394:B3457" si="53">C3394&amp;D3394&amp;F3394&amp;G3394</f>
        <v>Total Hip ReplacementSub-ICB of GP PracticeNHS HAMPSHIRE AND ISLE OF WIGHT ICB - 10R (10R)EQ VAS</v>
      </c>
      <c r="C3394" t="s">
        <v>974</v>
      </c>
      <c r="D3394" t="s">
        <v>1021</v>
      </c>
      <c r="E3394" t="s">
        <v>821</v>
      </c>
      <c r="F3394" t="s">
        <v>822</v>
      </c>
      <c r="G3394" t="s">
        <v>752</v>
      </c>
      <c r="H3394">
        <v>13</v>
      </c>
      <c r="I3394">
        <v>57.461500000000001</v>
      </c>
      <c r="J3394">
        <v>81.230800000000002</v>
      </c>
      <c r="K3394">
        <v>23.769200000000001</v>
      </c>
      <c r="L3394">
        <v>10</v>
      </c>
      <c r="M3394">
        <v>1</v>
      </c>
      <c r="N3394">
        <v>2</v>
      </c>
      <c r="O3394" t="s">
        <v>127</v>
      </c>
      <c r="P3394" t="s">
        <v>127</v>
      </c>
      <c r="Q3394" t="s">
        <v>127</v>
      </c>
    </row>
    <row r="3395" spans="1:17" x14ac:dyDescent="0.25">
      <c r="A3395" t="str">
        <f>IF(C3395&amp;G3395&amp;D3395&lt;&gt;'Funnel setup'!$K$3&amp;'Funnel setup'!$K$4&amp;'Funnel setup'!$K$6,".",IF(A3394=".",1,A3394+1))</f>
        <v>.</v>
      </c>
      <c r="B3395" s="244" t="str">
        <f t="shared" si="53"/>
        <v>Total Hip ReplacementSub-ICB of GP PracticeNHS HAMPSHIRE AND ISLE OF WIGHT ICB - D9Y0V (D9Y0V)EQ VAS</v>
      </c>
      <c r="C3395" t="s">
        <v>974</v>
      </c>
      <c r="D3395" t="s">
        <v>1021</v>
      </c>
      <c r="E3395" t="s">
        <v>823</v>
      </c>
      <c r="F3395" t="s">
        <v>824</v>
      </c>
      <c r="G3395" t="s">
        <v>752</v>
      </c>
      <c r="H3395">
        <v>398</v>
      </c>
      <c r="I3395">
        <v>62.801499999999997</v>
      </c>
      <c r="J3395">
        <v>77.356800000000007</v>
      </c>
      <c r="K3395">
        <v>14.555300000000001</v>
      </c>
      <c r="L3395">
        <v>280</v>
      </c>
      <c r="M3395">
        <v>37</v>
      </c>
      <c r="N3395">
        <v>81</v>
      </c>
      <c r="O3395">
        <v>76.198400000000007</v>
      </c>
      <c r="P3395">
        <v>15.382300000000001</v>
      </c>
      <c r="Q3395">
        <v>15.603999999999999</v>
      </c>
    </row>
    <row r="3396" spans="1:17" x14ac:dyDescent="0.25">
      <c r="A3396" t="str">
        <f>IF(C3396&amp;G3396&amp;D3396&lt;&gt;'Funnel setup'!$K$3&amp;'Funnel setup'!$K$4&amp;'Funnel setup'!$K$6,".",IF(A3395=".",1,A3395+1))</f>
        <v>.</v>
      </c>
      <c r="B3396" s="244" t="str">
        <f t="shared" si="53"/>
        <v>Total Hip ReplacementSub-ICB of GP PracticeNHS HEREFORDSHIRE AND WORCESTERSHIRE ICB - 18C (18C)EQ VAS</v>
      </c>
      <c r="C3396" t="s">
        <v>974</v>
      </c>
      <c r="D3396" t="s">
        <v>1021</v>
      </c>
      <c r="E3396" t="s">
        <v>825</v>
      </c>
      <c r="F3396" t="s">
        <v>826</v>
      </c>
      <c r="G3396" t="s">
        <v>752</v>
      </c>
      <c r="H3396">
        <v>205</v>
      </c>
      <c r="I3396">
        <v>59.107300000000002</v>
      </c>
      <c r="J3396">
        <v>74.282899999999998</v>
      </c>
      <c r="K3396">
        <v>15.175599999999999</v>
      </c>
      <c r="L3396">
        <v>148</v>
      </c>
      <c r="M3396">
        <v>20</v>
      </c>
      <c r="N3396">
        <v>37</v>
      </c>
      <c r="O3396">
        <v>75.409800000000004</v>
      </c>
      <c r="P3396">
        <v>14.5937</v>
      </c>
      <c r="Q3396">
        <v>17.1784</v>
      </c>
    </row>
    <row r="3397" spans="1:17" x14ac:dyDescent="0.25">
      <c r="A3397" t="str">
        <f>IF(C3397&amp;G3397&amp;D3397&lt;&gt;'Funnel setup'!$K$3&amp;'Funnel setup'!$K$4&amp;'Funnel setup'!$K$6,".",IF(A3396=".",1,A3396+1))</f>
        <v>.</v>
      </c>
      <c r="B3397" s="244" t="str">
        <f t="shared" si="53"/>
        <v>Total Hip ReplacementSub-ICB of GP PracticeNHS HERTFORDSHIRE AND WEST ESSEX ICB - 06K (06K)EQ VAS</v>
      </c>
      <c r="C3397" t="s">
        <v>974</v>
      </c>
      <c r="D3397" t="s">
        <v>1021</v>
      </c>
      <c r="E3397" t="s">
        <v>827</v>
      </c>
      <c r="F3397" t="s">
        <v>828</v>
      </c>
      <c r="G3397" t="s">
        <v>752</v>
      </c>
      <c r="H3397">
        <v>111</v>
      </c>
      <c r="I3397">
        <v>61.027000000000001</v>
      </c>
      <c r="J3397">
        <v>74.315299999999993</v>
      </c>
      <c r="K3397">
        <v>13.2883</v>
      </c>
      <c r="L3397">
        <v>72</v>
      </c>
      <c r="M3397">
        <v>12</v>
      </c>
      <c r="N3397">
        <v>27</v>
      </c>
      <c r="O3397">
        <v>74.356899999999996</v>
      </c>
      <c r="P3397">
        <v>13.540800000000001</v>
      </c>
      <c r="Q3397">
        <v>18.2348</v>
      </c>
    </row>
    <row r="3398" spans="1:17" x14ac:dyDescent="0.25">
      <c r="A3398" t="str">
        <f>IF(C3398&amp;G3398&amp;D3398&lt;&gt;'Funnel setup'!$K$3&amp;'Funnel setup'!$K$4&amp;'Funnel setup'!$K$6,".",IF(A3397=".",1,A3397+1))</f>
        <v>.</v>
      </c>
      <c r="B3398" s="244" t="str">
        <f t="shared" si="53"/>
        <v>Total Hip ReplacementSub-ICB of GP PracticeNHS HERTFORDSHIRE AND WEST ESSEX ICB - 06N (06N)EQ VAS</v>
      </c>
      <c r="C3398" t="s">
        <v>974</v>
      </c>
      <c r="D3398" t="s">
        <v>1021</v>
      </c>
      <c r="E3398" t="s">
        <v>829</v>
      </c>
      <c r="F3398" t="s">
        <v>830</v>
      </c>
      <c r="G3398" t="s">
        <v>752</v>
      </c>
      <c r="H3398">
        <v>124</v>
      </c>
      <c r="I3398">
        <v>59.637099999999997</v>
      </c>
      <c r="J3398">
        <v>73.387100000000004</v>
      </c>
      <c r="K3398">
        <v>13.75</v>
      </c>
      <c r="L3398">
        <v>88</v>
      </c>
      <c r="M3398">
        <v>7</v>
      </c>
      <c r="N3398">
        <v>29</v>
      </c>
      <c r="O3398">
        <v>73.425299999999993</v>
      </c>
      <c r="P3398">
        <v>12.6092</v>
      </c>
      <c r="Q3398">
        <v>18.709599999999998</v>
      </c>
    </row>
    <row r="3399" spans="1:17" x14ac:dyDescent="0.25">
      <c r="A3399" t="str">
        <f>IF(C3399&amp;G3399&amp;D3399&lt;&gt;'Funnel setup'!$K$3&amp;'Funnel setup'!$K$4&amp;'Funnel setup'!$K$6,".",IF(A3398=".",1,A3398+1))</f>
        <v>.</v>
      </c>
      <c r="B3399" s="244" t="str">
        <f t="shared" si="53"/>
        <v>Total Hip ReplacementSub-ICB of GP PracticeNHS HERTFORDSHIRE AND WEST ESSEX ICB - 07H (07H)EQ VAS</v>
      </c>
      <c r="C3399" t="s">
        <v>974</v>
      </c>
      <c r="D3399" t="s">
        <v>1021</v>
      </c>
      <c r="E3399" t="s">
        <v>831</v>
      </c>
      <c r="F3399" t="s">
        <v>832</v>
      </c>
      <c r="G3399" t="s">
        <v>752</v>
      </c>
      <c r="H3399">
        <v>71</v>
      </c>
      <c r="I3399">
        <v>58.831000000000003</v>
      </c>
      <c r="J3399">
        <v>75.929599999999994</v>
      </c>
      <c r="K3399">
        <v>17.098600000000001</v>
      </c>
      <c r="L3399">
        <v>51</v>
      </c>
      <c r="M3399">
        <v>6</v>
      </c>
      <c r="N3399">
        <v>14</v>
      </c>
      <c r="O3399">
        <v>76.2</v>
      </c>
      <c r="P3399">
        <v>15.383900000000001</v>
      </c>
      <c r="Q3399">
        <v>17.086099999999998</v>
      </c>
    </row>
    <row r="3400" spans="1:17" x14ac:dyDescent="0.25">
      <c r="A3400" t="str">
        <f>IF(C3400&amp;G3400&amp;D3400&lt;&gt;'Funnel setup'!$K$3&amp;'Funnel setup'!$K$4&amp;'Funnel setup'!$K$6,".",IF(A3399=".",1,A3399+1))</f>
        <v>.</v>
      </c>
      <c r="B3400" s="244" t="str">
        <f t="shared" si="53"/>
        <v>Total Hip ReplacementSub-ICB of GP PracticeNHS HUMBER AND NORTH YORKSHIRE ICB - 02Y (02Y)EQ VAS</v>
      </c>
      <c r="C3400" t="s">
        <v>974</v>
      </c>
      <c r="D3400" t="s">
        <v>1021</v>
      </c>
      <c r="E3400" t="s">
        <v>833</v>
      </c>
      <c r="F3400" t="s">
        <v>834</v>
      </c>
      <c r="G3400" t="s">
        <v>752</v>
      </c>
      <c r="H3400">
        <v>63</v>
      </c>
      <c r="I3400">
        <v>65.968299999999999</v>
      </c>
      <c r="J3400">
        <v>77.158699999999996</v>
      </c>
      <c r="K3400">
        <v>11.1905</v>
      </c>
      <c r="L3400">
        <v>45</v>
      </c>
      <c r="M3400">
        <v>3</v>
      </c>
      <c r="N3400">
        <v>15</v>
      </c>
      <c r="O3400">
        <v>75.634299999999996</v>
      </c>
      <c r="P3400">
        <v>14.818199999999999</v>
      </c>
      <c r="Q3400">
        <v>18.157900000000001</v>
      </c>
    </row>
    <row r="3401" spans="1:17" x14ac:dyDescent="0.25">
      <c r="A3401" t="str">
        <f>IF(C3401&amp;G3401&amp;D3401&lt;&gt;'Funnel setup'!$K$3&amp;'Funnel setup'!$K$4&amp;'Funnel setup'!$K$6,".",IF(A3400=".",1,A3400+1))</f>
        <v>.</v>
      </c>
      <c r="B3401" s="244" t="str">
        <f t="shared" si="53"/>
        <v>Total Hip ReplacementSub-ICB of GP PracticeNHS HUMBER AND NORTH YORKSHIRE ICB - 03F (03F)EQ VAS</v>
      </c>
      <c r="C3401" t="s">
        <v>974</v>
      </c>
      <c r="D3401" t="s">
        <v>1021</v>
      </c>
      <c r="E3401" t="s">
        <v>835</v>
      </c>
      <c r="F3401" t="s">
        <v>836</v>
      </c>
      <c r="G3401" t="s">
        <v>752</v>
      </c>
      <c r="H3401">
        <v>26</v>
      </c>
      <c r="I3401">
        <v>56.692300000000003</v>
      </c>
      <c r="J3401">
        <v>66.038499999999999</v>
      </c>
      <c r="K3401">
        <v>9.3461499999999997</v>
      </c>
      <c r="L3401">
        <v>17</v>
      </c>
      <c r="M3401">
        <v>3</v>
      </c>
      <c r="N3401">
        <v>6</v>
      </c>
      <c r="O3401" t="s">
        <v>127</v>
      </c>
      <c r="P3401" t="s">
        <v>127</v>
      </c>
      <c r="Q3401" t="s">
        <v>127</v>
      </c>
    </row>
    <row r="3402" spans="1:17" x14ac:dyDescent="0.25">
      <c r="A3402" t="str">
        <f>IF(C3402&amp;G3402&amp;D3402&lt;&gt;'Funnel setup'!$K$3&amp;'Funnel setup'!$K$4&amp;'Funnel setup'!$K$6,".",IF(A3401=".",1,A3401+1))</f>
        <v>.</v>
      </c>
      <c r="B3402" s="244" t="str">
        <f t="shared" si="53"/>
        <v>Total Hip ReplacementSub-ICB of GP PracticeNHS HUMBER AND NORTH YORKSHIRE ICB - 03H (03H)EQ VAS</v>
      </c>
      <c r="C3402" t="s">
        <v>974</v>
      </c>
      <c r="D3402" t="s">
        <v>1021</v>
      </c>
      <c r="E3402" t="s">
        <v>837</v>
      </c>
      <c r="F3402" t="s">
        <v>838</v>
      </c>
      <c r="G3402" t="s">
        <v>752</v>
      </c>
      <c r="H3402">
        <v>68</v>
      </c>
      <c r="I3402">
        <v>60.691200000000002</v>
      </c>
      <c r="J3402">
        <v>72.808800000000005</v>
      </c>
      <c r="K3402">
        <v>12.117599999999999</v>
      </c>
      <c r="L3402">
        <v>39</v>
      </c>
      <c r="M3402">
        <v>8</v>
      </c>
      <c r="N3402">
        <v>21</v>
      </c>
      <c r="O3402">
        <v>72.986000000000004</v>
      </c>
      <c r="P3402">
        <v>12.1699</v>
      </c>
      <c r="Q3402">
        <v>19.447299999999998</v>
      </c>
    </row>
    <row r="3403" spans="1:17" x14ac:dyDescent="0.25">
      <c r="A3403" t="str">
        <f>IF(C3403&amp;G3403&amp;D3403&lt;&gt;'Funnel setup'!$K$3&amp;'Funnel setup'!$K$4&amp;'Funnel setup'!$K$6,".",IF(A3402=".",1,A3402+1))</f>
        <v>.</v>
      </c>
      <c r="B3403" s="244" t="str">
        <f t="shared" si="53"/>
        <v>Total Hip ReplacementSub-ICB of GP PracticeNHS HUMBER AND NORTH YORKSHIRE ICB - 03K (03K)EQ VAS</v>
      </c>
      <c r="C3403" t="s">
        <v>974</v>
      </c>
      <c r="D3403" t="s">
        <v>1021</v>
      </c>
      <c r="E3403" t="s">
        <v>839</v>
      </c>
      <c r="F3403" t="s">
        <v>840</v>
      </c>
      <c r="G3403" t="s">
        <v>752</v>
      </c>
      <c r="H3403">
        <v>56</v>
      </c>
      <c r="I3403">
        <v>61.428600000000003</v>
      </c>
      <c r="J3403">
        <v>74.017899999999997</v>
      </c>
      <c r="K3403">
        <v>12.5893</v>
      </c>
      <c r="L3403">
        <v>39</v>
      </c>
      <c r="M3403">
        <v>7</v>
      </c>
      <c r="N3403">
        <v>10</v>
      </c>
      <c r="O3403">
        <v>73.468299999999999</v>
      </c>
      <c r="P3403">
        <v>12.652200000000001</v>
      </c>
      <c r="Q3403">
        <v>21.635400000000001</v>
      </c>
    </row>
    <row r="3404" spans="1:17" x14ac:dyDescent="0.25">
      <c r="A3404" t="str">
        <f>IF(C3404&amp;G3404&amp;D3404&lt;&gt;'Funnel setup'!$K$3&amp;'Funnel setup'!$K$4&amp;'Funnel setup'!$K$6,".",IF(A3403=".",1,A3403+1))</f>
        <v>.</v>
      </c>
      <c r="B3404" s="244" t="str">
        <f t="shared" si="53"/>
        <v>Total Hip ReplacementSub-ICB of GP PracticeNHS HUMBER AND NORTH YORKSHIRE ICB - 03Q (03Q)EQ VAS</v>
      </c>
      <c r="C3404" t="s">
        <v>974</v>
      </c>
      <c r="D3404" t="s">
        <v>1021</v>
      </c>
      <c r="E3404" t="s">
        <v>841</v>
      </c>
      <c r="F3404" t="s">
        <v>842</v>
      </c>
      <c r="G3404" t="s">
        <v>752</v>
      </c>
      <c r="H3404">
        <v>80</v>
      </c>
      <c r="I3404">
        <v>57.5</v>
      </c>
      <c r="J3404">
        <v>75.099999999999994</v>
      </c>
      <c r="K3404">
        <v>17.600000000000001</v>
      </c>
      <c r="L3404">
        <v>60</v>
      </c>
      <c r="M3404">
        <v>3</v>
      </c>
      <c r="N3404">
        <v>17</v>
      </c>
      <c r="O3404">
        <v>74.992900000000006</v>
      </c>
      <c r="P3404">
        <v>14.1767</v>
      </c>
      <c r="Q3404">
        <v>18.805900000000001</v>
      </c>
    </row>
    <row r="3405" spans="1:17" x14ac:dyDescent="0.25">
      <c r="A3405" t="str">
        <f>IF(C3405&amp;G3405&amp;D3405&lt;&gt;'Funnel setup'!$K$3&amp;'Funnel setup'!$K$4&amp;'Funnel setup'!$K$6,".",IF(A3404=".",1,A3404+1))</f>
        <v>.</v>
      </c>
      <c r="B3405" s="244" t="str">
        <f t="shared" si="53"/>
        <v>Total Hip ReplacementSub-ICB of GP PracticeNHS HUMBER AND NORTH YORKSHIRE ICB - 42D (42D)EQ VAS</v>
      </c>
      <c r="C3405" t="s">
        <v>974</v>
      </c>
      <c r="D3405" t="s">
        <v>1021</v>
      </c>
      <c r="E3405" t="s">
        <v>843</v>
      </c>
      <c r="F3405" t="s">
        <v>844</v>
      </c>
      <c r="G3405" t="s">
        <v>752</v>
      </c>
      <c r="H3405">
        <v>240</v>
      </c>
      <c r="I3405">
        <v>62.424999999999997</v>
      </c>
      <c r="J3405">
        <v>78.791700000000006</v>
      </c>
      <c r="K3405">
        <v>16.366700000000002</v>
      </c>
      <c r="L3405">
        <v>171</v>
      </c>
      <c r="M3405">
        <v>15</v>
      </c>
      <c r="N3405">
        <v>54</v>
      </c>
      <c r="O3405">
        <v>79.490300000000005</v>
      </c>
      <c r="P3405">
        <v>18.674199999999999</v>
      </c>
      <c r="Q3405">
        <v>16.636500000000002</v>
      </c>
    </row>
    <row r="3406" spans="1:17" x14ac:dyDescent="0.25">
      <c r="A3406" t="str">
        <f>IF(C3406&amp;G3406&amp;D3406&lt;&gt;'Funnel setup'!$K$3&amp;'Funnel setup'!$K$4&amp;'Funnel setup'!$K$6,".",IF(A3405=".",1,A3405+1))</f>
        <v>.</v>
      </c>
      <c r="B3406" s="244" t="str">
        <f t="shared" si="53"/>
        <v>Total Hip ReplacementSub-ICB of GP PracticeNHS KENT AND MEDWAY ICB - 91Q (91Q)EQ VAS</v>
      </c>
      <c r="C3406" t="s">
        <v>974</v>
      </c>
      <c r="D3406" t="s">
        <v>1021</v>
      </c>
      <c r="E3406" t="s">
        <v>845</v>
      </c>
      <c r="F3406" t="s">
        <v>846</v>
      </c>
      <c r="G3406" t="s">
        <v>752</v>
      </c>
      <c r="H3406">
        <v>474</v>
      </c>
      <c r="I3406">
        <v>62.816499999999998</v>
      </c>
      <c r="J3406">
        <v>75.660300000000007</v>
      </c>
      <c r="K3406">
        <v>12.8439</v>
      </c>
      <c r="L3406">
        <v>332</v>
      </c>
      <c r="M3406">
        <v>34</v>
      </c>
      <c r="N3406">
        <v>108</v>
      </c>
      <c r="O3406">
        <v>74.709599999999995</v>
      </c>
      <c r="P3406">
        <v>13.8935</v>
      </c>
      <c r="Q3406">
        <v>16.6372</v>
      </c>
    </row>
    <row r="3407" spans="1:17" x14ac:dyDescent="0.25">
      <c r="A3407" t="str">
        <f>IF(C3407&amp;G3407&amp;D3407&lt;&gt;'Funnel setup'!$K$3&amp;'Funnel setup'!$K$4&amp;'Funnel setup'!$K$6,".",IF(A3406=".",1,A3406+1))</f>
        <v>.</v>
      </c>
      <c r="B3407" s="244" t="str">
        <f t="shared" si="53"/>
        <v>Total Hip ReplacementSub-ICB of GP PracticeNHS LANCASHIRE AND SOUTH CUMBRIA ICB - 00Q (00Q)EQ VAS</v>
      </c>
      <c r="C3407" t="s">
        <v>974</v>
      </c>
      <c r="D3407" t="s">
        <v>1021</v>
      </c>
      <c r="E3407" t="s">
        <v>847</v>
      </c>
      <c r="F3407" t="s">
        <v>848</v>
      </c>
      <c r="G3407" t="s">
        <v>752</v>
      </c>
      <c r="H3407">
        <v>38</v>
      </c>
      <c r="I3407">
        <v>67.5</v>
      </c>
      <c r="J3407">
        <v>75.210499999999996</v>
      </c>
      <c r="K3407">
        <v>7.7105300000000003</v>
      </c>
      <c r="L3407">
        <v>23</v>
      </c>
      <c r="M3407">
        <v>3</v>
      </c>
      <c r="N3407">
        <v>12</v>
      </c>
      <c r="O3407">
        <v>75.130600000000001</v>
      </c>
      <c r="P3407">
        <v>14.314500000000001</v>
      </c>
      <c r="Q3407">
        <v>13.935600000000001</v>
      </c>
    </row>
    <row r="3408" spans="1:17" x14ac:dyDescent="0.25">
      <c r="A3408" t="str">
        <f>IF(C3408&amp;G3408&amp;D3408&lt;&gt;'Funnel setup'!$K$3&amp;'Funnel setup'!$K$4&amp;'Funnel setup'!$K$6,".",IF(A3407=".",1,A3407+1))</f>
        <v>.</v>
      </c>
      <c r="B3408" s="244" t="str">
        <f t="shared" si="53"/>
        <v>Total Hip ReplacementSub-ICB of GP PracticeNHS LANCASHIRE AND SOUTH CUMBRIA ICB - 00R (00R)EQ VAS</v>
      </c>
      <c r="C3408" t="s">
        <v>974</v>
      </c>
      <c r="D3408" t="s">
        <v>1021</v>
      </c>
      <c r="E3408" t="s">
        <v>849</v>
      </c>
      <c r="F3408" t="s">
        <v>850</v>
      </c>
      <c r="G3408" t="s">
        <v>752</v>
      </c>
      <c r="H3408">
        <v>33</v>
      </c>
      <c r="I3408">
        <v>59.969700000000003</v>
      </c>
      <c r="J3408">
        <v>75.484800000000007</v>
      </c>
      <c r="K3408">
        <v>15.5152</v>
      </c>
      <c r="L3408">
        <v>26</v>
      </c>
      <c r="M3408">
        <v>1</v>
      </c>
      <c r="N3408">
        <v>6</v>
      </c>
      <c r="O3408">
        <v>76.647300000000001</v>
      </c>
      <c r="P3408">
        <v>15.831200000000001</v>
      </c>
      <c r="Q3408">
        <v>17.9953</v>
      </c>
    </row>
    <row r="3409" spans="1:17" x14ac:dyDescent="0.25">
      <c r="A3409" t="str">
        <f>IF(C3409&amp;G3409&amp;D3409&lt;&gt;'Funnel setup'!$K$3&amp;'Funnel setup'!$K$4&amp;'Funnel setup'!$K$6,".",IF(A3408=".",1,A3408+1))</f>
        <v>.</v>
      </c>
      <c r="B3409" s="244" t="str">
        <f t="shared" si="53"/>
        <v>Total Hip ReplacementSub-ICB of GP PracticeNHS LANCASHIRE AND SOUTH CUMBRIA ICB - 00X (00X)EQ VAS</v>
      </c>
      <c r="C3409" t="s">
        <v>974</v>
      </c>
      <c r="D3409" t="s">
        <v>1021</v>
      </c>
      <c r="E3409" t="s">
        <v>851</v>
      </c>
      <c r="F3409" t="s">
        <v>852</v>
      </c>
      <c r="G3409" t="s">
        <v>752</v>
      </c>
      <c r="H3409">
        <v>56</v>
      </c>
      <c r="I3409">
        <v>61.5</v>
      </c>
      <c r="J3409">
        <v>75.75</v>
      </c>
      <c r="K3409">
        <v>14.25</v>
      </c>
      <c r="L3409">
        <v>42</v>
      </c>
      <c r="M3409">
        <v>6</v>
      </c>
      <c r="N3409">
        <v>8</v>
      </c>
      <c r="O3409">
        <v>76.558300000000003</v>
      </c>
      <c r="P3409">
        <v>15.7422</v>
      </c>
      <c r="Q3409">
        <v>18.685099999999998</v>
      </c>
    </row>
    <row r="3410" spans="1:17" x14ac:dyDescent="0.25">
      <c r="A3410" t="str">
        <f>IF(C3410&amp;G3410&amp;D3410&lt;&gt;'Funnel setup'!$K$3&amp;'Funnel setup'!$K$4&amp;'Funnel setup'!$K$6,".",IF(A3409=".",1,A3409+1))</f>
        <v>.</v>
      </c>
      <c r="B3410" s="244" t="str">
        <f t="shared" si="53"/>
        <v>Total Hip ReplacementSub-ICB of GP PracticeNHS LANCASHIRE AND SOUTH CUMBRIA ICB - 01A (01A)EQ VAS</v>
      </c>
      <c r="C3410" t="s">
        <v>974</v>
      </c>
      <c r="D3410" t="s">
        <v>1021</v>
      </c>
      <c r="E3410" t="s">
        <v>853</v>
      </c>
      <c r="F3410" t="s">
        <v>854</v>
      </c>
      <c r="G3410" t="s">
        <v>752</v>
      </c>
      <c r="H3410">
        <v>139</v>
      </c>
      <c r="I3410">
        <v>60.647500000000001</v>
      </c>
      <c r="J3410">
        <v>76.532399999999996</v>
      </c>
      <c r="K3410">
        <v>15.8849</v>
      </c>
      <c r="L3410">
        <v>89</v>
      </c>
      <c r="M3410">
        <v>11</v>
      </c>
      <c r="N3410">
        <v>39</v>
      </c>
      <c r="O3410">
        <v>75.892099999999999</v>
      </c>
      <c r="P3410">
        <v>15.076000000000001</v>
      </c>
      <c r="Q3410">
        <v>15.1952</v>
      </c>
    </row>
    <row r="3411" spans="1:17" x14ac:dyDescent="0.25">
      <c r="A3411" t="str">
        <f>IF(C3411&amp;G3411&amp;D3411&lt;&gt;'Funnel setup'!$K$3&amp;'Funnel setup'!$K$4&amp;'Funnel setup'!$K$6,".",IF(A3410=".",1,A3410+1))</f>
        <v>.</v>
      </c>
      <c r="B3411" s="244" t="str">
        <f t="shared" si="53"/>
        <v>Total Hip ReplacementSub-ICB of GP PracticeNHS LANCASHIRE AND SOUTH CUMBRIA ICB - 01E (01E)EQ VAS</v>
      </c>
      <c r="C3411" t="s">
        <v>974</v>
      </c>
      <c r="D3411" t="s">
        <v>1021</v>
      </c>
      <c r="E3411" t="s">
        <v>855</v>
      </c>
      <c r="F3411" t="s">
        <v>856</v>
      </c>
      <c r="G3411" t="s">
        <v>752</v>
      </c>
      <c r="H3411">
        <v>59</v>
      </c>
      <c r="I3411">
        <v>71.169499999999999</v>
      </c>
      <c r="J3411">
        <v>77.779700000000005</v>
      </c>
      <c r="K3411">
        <v>6.6101700000000001</v>
      </c>
      <c r="L3411">
        <v>39</v>
      </c>
      <c r="M3411">
        <v>4</v>
      </c>
      <c r="N3411">
        <v>16</v>
      </c>
      <c r="O3411">
        <v>75.049899999999994</v>
      </c>
      <c r="P3411">
        <v>14.2338</v>
      </c>
      <c r="Q3411">
        <v>14.1798</v>
      </c>
    </row>
    <row r="3412" spans="1:17" x14ac:dyDescent="0.25">
      <c r="A3412" t="str">
        <f>IF(C3412&amp;G3412&amp;D3412&lt;&gt;'Funnel setup'!$K$3&amp;'Funnel setup'!$K$4&amp;'Funnel setup'!$K$6,".",IF(A3411=".",1,A3411+1))</f>
        <v>.</v>
      </c>
      <c r="B3412" s="244" t="str">
        <f t="shared" si="53"/>
        <v>Total Hip ReplacementSub-ICB of GP PracticeNHS LANCASHIRE AND SOUTH CUMBRIA ICB - 01K (01K)EQ VAS</v>
      </c>
      <c r="C3412" t="s">
        <v>974</v>
      </c>
      <c r="D3412" t="s">
        <v>1021</v>
      </c>
      <c r="E3412" t="s">
        <v>857</v>
      </c>
      <c r="F3412" t="s">
        <v>858</v>
      </c>
      <c r="G3412" t="s">
        <v>752</v>
      </c>
      <c r="H3412">
        <v>183</v>
      </c>
      <c r="I3412">
        <v>60.147500000000001</v>
      </c>
      <c r="J3412">
        <v>76.366100000000003</v>
      </c>
      <c r="K3412">
        <v>16.218599999999999</v>
      </c>
      <c r="L3412">
        <v>131</v>
      </c>
      <c r="M3412">
        <v>13</v>
      </c>
      <c r="N3412">
        <v>39</v>
      </c>
      <c r="O3412">
        <v>76.025800000000004</v>
      </c>
      <c r="P3412">
        <v>15.2097</v>
      </c>
      <c r="Q3412">
        <v>15.4298</v>
      </c>
    </row>
    <row r="3413" spans="1:17" x14ac:dyDescent="0.25">
      <c r="A3413" t="str">
        <f>IF(C3413&amp;G3413&amp;D3413&lt;&gt;'Funnel setup'!$K$3&amp;'Funnel setup'!$K$4&amp;'Funnel setup'!$K$6,".",IF(A3412=".",1,A3412+1))</f>
        <v>.</v>
      </c>
      <c r="B3413" s="244" t="str">
        <f t="shared" si="53"/>
        <v>Total Hip ReplacementSub-ICB of GP PracticeNHS LANCASHIRE AND SOUTH CUMBRIA ICB - 02G (02G)EQ VAS</v>
      </c>
      <c r="C3413" t="s">
        <v>974</v>
      </c>
      <c r="D3413" t="s">
        <v>1021</v>
      </c>
      <c r="E3413" t="s">
        <v>859</v>
      </c>
      <c r="F3413" t="s">
        <v>860</v>
      </c>
      <c r="G3413" t="s">
        <v>752</v>
      </c>
      <c r="H3413">
        <v>33</v>
      </c>
      <c r="I3413">
        <v>66.393900000000002</v>
      </c>
      <c r="J3413">
        <v>79</v>
      </c>
      <c r="K3413">
        <v>12.6061</v>
      </c>
      <c r="L3413">
        <v>19</v>
      </c>
      <c r="M3413">
        <v>8</v>
      </c>
      <c r="N3413">
        <v>6</v>
      </c>
      <c r="O3413">
        <v>75.3352</v>
      </c>
      <c r="P3413">
        <v>14.5191</v>
      </c>
      <c r="Q3413">
        <v>17.9283</v>
      </c>
    </row>
    <row r="3414" spans="1:17" x14ac:dyDescent="0.25">
      <c r="A3414" t="str">
        <f>IF(C3414&amp;G3414&amp;D3414&lt;&gt;'Funnel setup'!$K$3&amp;'Funnel setup'!$K$4&amp;'Funnel setup'!$K$6,".",IF(A3413=".",1,A3413+1))</f>
        <v>.</v>
      </c>
      <c r="B3414" s="244" t="str">
        <f t="shared" si="53"/>
        <v>Total Hip ReplacementSub-ICB of GP PracticeNHS LANCASHIRE AND SOUTH CUMBRIA ICB - 02M (02M)EQ VAS</v>
      </c>
      <c r="C3414" t="s">
        <v>974</v>
      </c>
      <c r="D3414" t="s">
        <v>1021</v>
      </c>
      <c r="E3414" t="s">
        <v>861</v>
      </c>
      <c r="F3414" t="s">
        <v>862</v>
      </c>
      <c r="G3414" t="s">
        <v>752</v>
      </c>
      <c r="H3414">
        <v>73</v>
      </c>
      <c r="I3414">
        <v>67.0548</v>
      </c>
      <c r="J3414">
        <v>76.397300000000001</v>
      </c>
      <c r="K3414">
        <v>9.3424700000000005</v>
      </c>
      <c r="L3414">
        <v>51</v>
      </c>
      <c r="M3414">
        <v>5</v>
      </c>
      <c r="N3414">
        <v>17</v>
      </c>
      <c r="O3414">
        <v>75.674400000000006</v>
      </c>
      <c r="P3414">
        <v>14.8583</v>
      </c>
      <c r="Q3414">
        <v>14.4542</v>
      </c>
    </row>
    <row r="3415" spans="1:17" x14ac:dyDescent="0.25">
      <c r="A3415" t="str">
        <f>IF(C3415&amp;G3415&amp;D3415&lt;&gt;'Funnel setup'!$K$3&amp;'Funnel setup'!$K$4&amp;'Funnel setup'!$K$6,".",IF(A3414=".",1,A3414+1))</f>
        <v>.</v>
      </c>
      <c r="B3415" s="244" t="str">
        <f t="shared" si="53"/>
        <v>Total Hip ReplacementSub-ICB of GP PracticeNHS LEICESTER, LEICESTERSHIRE AND RUTLAND ICB - 03W (03W)EQ VAS</v>
      </c>
      <c r="C3415" t="s">
        <v>974</v>
      </c>
      <c r="D3415" t="s">
        <v>1021</v>
      </c>
      <c r="E3415" t="s">
        <v>863</v>
      </c>
      <c r="F3415" t="s">
        <v>864</v>
      </c>
      <c r="G3415" t="s">
        <v>752</v>
      </c>
      <c r="H3415">
        <v>112</v>
      </c>
      <c r="I3415">
        <v>61.428600000000003</v>
      </c>
      <c r="J3415">
        <v>74.160700000000006</v>
      </c>
      <c r="K3415">
        <v>12.732100000000001</v>
      </c>
      <c r="L3415">
        <v>82</v>
      </c>
      <c r="M3415">
        <v>6</v>
      </c>
      <c r="N3415">
        <v>24</v>
      </c>
      <c r="O3415">
        <v>73.645200000000003</v>
      </c>
      <c r="P3415">
        <v>12.8291</v>
      </c>
      <c r="Q3415">
        <v>15.3017</v>
      </c>
    </row>
    <row r="3416" spans="1:17" x14ac:dyDescent="0.25">
      <c r="A3416" t="str">
        <f>IF(C3416&amp;G3416&amp;D3416&lt;&gt;'Funnel setup'!$K$3&amp;'Funnel setup'!$K$4&amp;'Funnel setup'!$K$6,".",IF(A3415=".",1,A3415+1))</f>
        <v>.</v>
      </c>
      <c r="B3416" s="244" t="str">
        <f t="shared" si="53"/>
        <v>Total Hip ReplacementSub-ICB of GP PracticeNHS LEICESTER, LEICESTERSHIRE AND RUTLAND ICB - 04C (04C)EQ VAS</v>
      </c>
      <c r="C3416" t="s">
        <v>974</v>
      </c>
      <c r="D3416" t="s">
        <v>1021</v>
      </c>
      <c r="E3416" t="s">
        <v>865</v>
      </c>
      <c r="F3416" t="s">
        <v>866</v>
      </c>
      <c r="G3416" t="s">
        <v>752</v>
      </c>
      <c r="H3416">
        <v>37</v>
      </c>
      <c r="I3416">
        <v>56.973700000000001</v>
      </c>
      <c r="J3416">
        <v>68.8947</v>
      </c>
      <c r="K3416">
        <v>11.921099999999999</v>
      </c>
      <c r="L3416">
        <v>25</v>
      </c>
      <c r="M3416">
        <v>2</v>
      </c>
      <c r="N3416">
        <v>10</v>
      </c>
      <c r="O3416">
        <v>71.833200000000005</v>
      </c>
      <c r="P3416">
        <v>11.017099999999999</v>
      </c>
      <c r="Q3416">
        <v>16.256699999999999</v>
      </c>
    </row>
    <row r="3417" spans="1:17" x14ac:dyDescent="0.25">
      <c r="A3417" t="str">
        <f>IF(C3417&amp;G3417&amp;D3417&lt;&gt;'Funnel setup'!$K$3&amp;'Funnel setup'!$K$4&amp;'Funnel setup'!$K$6,".",IF(A3416=".",1,A3416+1))</f>
        <v>.</v>
      </c>
      <c r="B3417" s="244" t="str">
        <f t="shared" si="53"/>
        <v>Total Hip ReplacementSub-ICB of GP PracticeNHS LEICESTER, LEICESTERSHIRE AND RUTLAND ICB - 04V (04V)EQ VAS</v>
      </c>
      <c r="C3417" t="s">
        <v>974</v>
      </c>
      <c r="D3417" t="s">
        <v>1021</v>
      </c>
      <c r="E3417" t="s">
        <v>867</v>
      </c>
      <c r="F3417" t="s">
        <v>868</v>
      </c>
      <c r="G3417" t="s">
        <v>752</v>
      </c>
      <c r="H3417">
        <v>112</v>
      </c>
      <c r="I3417">
        <v>58.044600000000003</v>
      </c>
      <c r="J3417">
        <v>75.741100000000003</v>
      </c>
      <c r="K3417">
        <v>17.696400000000001</v>
      </c>
      <c r="L3417">
        <v>85</v>
      </c>
      <c r="M3417">
        <v>8</v>
      </c>
      <c r="N3417">
        <v>19</v>
      </c>
      <c r="O3417">
        <v>76.608099999999993</v>
      </c>
      <c r="P3417">
        <v>15.792</v>
      </c>
      <c r="Q3417">
        <v>14.9171</v>
      </c>
    </row>
    <row r="3418" spans="1:17" x14ac:dyDescent="0.25">
      <c r="A3418" t="str">
        <f>IF(C3418&amp;G3418&amp;D3418&lt;&gt;'Funnel setup'!$K$3&amp;'Funnel setup'!$K$4&amp;'Funnel setup'!$K$6,".",IF(A3417=".",1,A3417+1))</f>
        <v>.</v>
      </c>
      <c r="B3418" s="244" t="str">
        <f t="shared" si="53"/>
        <v>Total Hip ReplacementSub-ICB of GP PracticeNHS LINCOLNSHIRE ICB - 71E (71E)EQ VAS</v>
      </c>
      <c r="C3418" t="s">
        <v>974</v>
      </c>
      <c r="D3418" t="s">
        <v>1021</v>
      </c>
      <c r="E3418" t="s">
        <v>869</v>
      </c>
      <c r="F3418" t="s">
        <v>870</v>
      </c>
      <c r="G3418" t="s">
        <v>752</v>
      </c>
      <c r="H3418">
        <v>249</v>
      </c>
      <c r="I3418">
        <v>62.831299999999999</v>
      </c>
      <c r="J3418">
        <v>75.887600000000006</v>
      </c>
      <c r="K3418">
        <v>13.0562</v>
      </c>
      <c r="L3418">
        <v>168</v>
      </c>
      <c r="M3418">
        <v>21</v>
      </c>
      <c r="N3418">
        <v>60</v>
      </c>
      <c r="O3418">
        <v>75.447699999999998</v>
      </c>
      <c r="P3418">
        <v>14.631600000000001</v>
      </c>
      <c r="Q3418">
        <v>16.770099999999999</v>
      </c>
    </row>
    <row r="3419" spans="1:17" x14ac:dyDescent="0.25">
      <c r="A3419" t="str">
        <f>IF(C3419&amp;G3419&amp;D3419&lt;&gt;'Funnel setup'!$K$3&amp;'Funnel setup'!$K$4&amp;'Funnel setup'!$K$6,".",IF(A3418=".",1,A3418+1))</f>
        <v>.</v>
      </c>
      <c r="B3419" s="244" t="str">
        <f t="shared" si="53"/>
        <v>Total Hip ReplacementSub-ICB of GP PracticeNHS MID AND SOUTH ESSEX ICB - 06Q (06Q)EQ VAS</v>
      </c>
      <c r="C3419" t="s">
        <v>974</v>
      </c>
      <c r="D3419" t="s">
        <v>1021</v>
      </c>
      <c r="E3419" t="s">
        <v>871</v>
      </c>
      <c r="F3419" t="s">
        <v>872</v>
      </c>
      <c r="G3419" t="s">
        <v>752</v>
      </c>
      <c r="H3419">
        <v>110</v>
      </c>
      <c r="I3419">
        <v>61.090899999999998</v>
      </c>
      <c r="J3419">
        <v>75.5</v>
      </c>
      <c r="K3419">
        <v>14.4091</v>
      </c>
      <c r="L3419">
        <v>73</v>
      </c>
      <c r="M3419">
        <v>10</v>
      </c>
      <c r="N3419">
        <v>27</v>
      </c>
      <c r="O3419">
        <v>74.642399999999995</v>
      </c>
      <c r="P3419">
        <v>13.8263</v>
      </c>
      <c r="Q3419">
        <v>18.9358</v>
      </c>
    </row>
    <row r="3420" spans="1:17" x14ac:dyDescent="0.25">
      <c r="A3420" t="str">
        <f>IF(C3420&amp;G3420&amp;D3420&lt;&gt;'Funnel setup'!$K$3&amp;'Funnel setup'!$K$4&amp;'Funnel setup'!$K$6,".",IF(A3419=".",1,A3419+1))</f>
        <v>.</v>
      </c>
      <c r="B3420" s="244" t="str">
        <f t="shared" si="53"/>
        <v>Total Hip ReplacementSub-ICB of GP PracticeNHS MID AND SOUTH ESSEX ICB - 07G (07G)EQ VAS</v>
      </c>
      <c r="C3420" t="s">
        <v>974</v>
      </c>
      <c r="D3420" t="s">
        <v>1021</v>
      </c>
      <c r="E3420" t="s">
        <v>873</v>
      </c>
      <c r="F3420" t="s">
        <v>874</v>
      </c>
      <c r="G3420" t="s">
        <v>752</v>
      </c>
      <c r="H3420">
        <v>31</v>
      </c>
      <c r="I3420">
        <v>49.677399999999999</v>
      </c>
      <c r="J3420">
        <v>77.967699999999994</v>
      </c>
      <c r="K3420">
        <v>28.290299999999998</v>
      </c>
      <c r="L3420">
        <v>24</v>
      </c>
      <c r="M3420">
        <v>1</v>
      </c>
      <c r="N3420">
        <v>6</v>
      </c>
      <c r="O3420">
        <v>80.546700000000001</v>
      </c>
      <c r="P3420">
        <v>19.730599999999999</v>
      </c>
      <c r="Q3420">
        <v>13.4049</v>
      </c>
    </row>
    <row r="3421" spans="1:17" x14ac:dyDescent="0.25">
      <c r="A3421" t="str">
        <f>IF(C3421&amp;G3421&amp;D3421&lt;&gt;'Funnel setup'!$K$3&amp;'Funnel setup'!$K$4&amp;'Funnel setup'!$K$6,".",IF(A3420=".",1,A3420+1))</f>
        <v>.</v>
      </c>
      <c r="B3421" s="244" t="str">
        <f t="shared" si="53"/>
        <v>Total Hip ReplacementSub-ICB of GP PracticeNHS MID AND SOUTH ESSEX ICB - 99E (99E)EQ VAS</v>
      </c>
      <c r="C3421" t="s">
        <v>974</v>
      </c>
      <c r="D3421" t="s">
        <v>1021</v>
      </c>
      <c r="E3421" t="s">
        <v>875</v>
      </c>
      <c r="F3421" t="s">
        <v>876</v>
      </c>
      <c r="G3421" t="s">
        <v>752</v>
      </c>
      <c r="H3421">
        <v>44</v>
      </c>
      <c r="I3421">
        <v>50</v>
      </c>
      <c r="J3421">
        <v>70.4773</v>
      </c>
      <c r="K3421">
        <v>20.4773</v>
      </c>
      <c r="L3421">
        <v>33</v>
      </c>
      <c r="M3421">
        <v>5</v>
      </c>
      <c r="N3421">
        <v>6</v>
      </c>
      <c r="O3421">
        <v>74.631</v>
      </c>
      <c r="P3421">
        <v>13.8149</v>
      </c>
      <c r="Q3421">
        <v>19.6203</v>
      </c>
    </row>
    <row r="3422" spans="1:17" x14ac:dyDescent="0.25">
      <c r="A3422" t="str">
        <f>IF(C3422&amp;G3422&amp;D3422&lt;&gt;'Funnel setup'!$K$3&amp;'Funnel setup'!$K$4&amp;'Funnel setup'!$K$6,".",IF(A3421=".",1,A3421+1))</f>
        <v>.</v>
      </c>
      <c r="B3422" s="244" t="str">
        <f t="shared" si="53"/>
        <v>Total Hip ReplacementSub-ICB of GP PracticeNHS MID AND SOUTH ESSEX ICB - 99F (99F)EQ VAS</v>
      </c>
      <c r="C3422" t="s">
        <v>974</v>
      </c>
      <c r="D3422" t="s">
        <v>1021</v>
      </c>
      <c r="E3422" t="s">
        <v>877</v>
      </c>
      <c r="F3422" t="s">
        <v>878</v>
      </c>
      <c r="G3422" t="s">
        <v>752</v>
      </c>
      <c r="H3422">
        <v>26</v>
      </c>
      <c r="I3422">
        <v>64.269199999999998</v>
      </c>
      <c r="J3422">
        <v>76.307699999999997</v>
      </c>
      <c r="K3422">
        <v>12.038500000000001</v>
      </c>
      <c r="L3422">
        <v>21</v>
      </c>
      <c r="M3422">
        <v>0</v>
      </c>
      <c r="N3422">
        <v>5</v>
      </c>
      <c r="O3422" t="s">
        <v>127</v>
      </c>
      <c r="P3422" t="s">
        <v>127</v>
      </c>
      <c r="Q3422" t="s">
        <v>127</v>
      </c>
    </row>
    <row r="3423" spans="1:17" x14ac:dyDescent="0.25">
      <c r="A3423" t="str">
        <f>IF(C3423&amp;G3423&amp;D3423&lt;&gt;'Funnel setup'!$K$3&amp;'Funnel setup'!$K$4&amp;'Funnel setup'!$K$6,".",IF(A3422=".",1,A3422+1))</f>
        <v>.</v>
      </c>
      <c r="B3423" s="244" t="str">
        <f t="shared" si="53"/>
        <v>Total Hip ReplacementSub-ICB of GP PracticeNHS MID AND SOUTH ESSEX ICB - 99G (99G)EQ VAS</v>
      </c>
      <c r="C3423" t="s">
        <v>974</v>
      </c>
      <c r="D3423" t="s">
        <v>1021</v>
      </c>
      <c r="E3423" t="s">
        <v>879</v>
      </c>
      <c r="F3423" t="s">
        <v>880</v>
      </c>
      <c r="G3423" t="s">
        <v>752</v>
      </c>
      <c r="H3423">
        <v>11</v>
      </c>
      <c r="I3423">
        <v>52.545499999999997</v>
      </c>
      <c r="J3423">
        <v>68.363600000000005</v>
      </c>
      <c r="K3423">
        <v>15.818199999999999</v>
      </c>
      <c r="L3423">
        <v>9</v>
      </c>
      <c r="M3423">
        <v>1</v>
      </c>
      <c r="N3423">
        <v>1</v>
      </c>
      <c r="O3423" t="s">
        <v>127</v>
      </c>
      <c r="P3423" t="s">
        <v>127</v>
      </c>
      <c r="Q3423" t="s">
        <v>127</v>
      </c>
    </row>
    <row r="3424" spans="1:17" x14ac:dyDescent="0.25">
      <c r="A3424" t="str">
        <f>IF(C3424&amp;G3424&amp;D3424&lt;&gt;'Funnel setup'!$K$3&amp;'Funnel setup'!$K$4&amp;'Funnel setup'!$K$6,".",IF(A3423=".",1,A3423+1))</f>
        <v>.</v>
      </c>
      <c r="B3424" s="244" t="str">
        <f t="shared" si="53"/>
        <v>Total Hip ReplacementSub-ICB of GP PracticeNHS NORFOLK AND WAVENEY ICB - 26A (26A)EQ VAS</v>
      </c>
      <c r="C3424" t="s">
        <v>974</v>
      </c>
      <c r="D3424" t="s">
        <v>1021</v>
      </c>
      <c r="E3424" t="s">
        <v>881</v>
      </c>
      <c r="F3424" t="s">
        <v>882</v>
      </c>
      <c r="G3424" t="s">
        <v>752</v>
      </c>
      <c r="H3424">
        <v>363</v>
      </c>
      <c r="I3424">
        <v>58.159799999999997</v>
      </c>
      <c r="J3424">
        <v>74.815399999999997</v>
      </c>
      <c r="K3424">
        <v>16.6556</v>
      </c>
      <c r="L3424">
        <v>256</v>
      </c>
      <c r="M3424">
        <v>23</v>
      </c>
      <c r="N3424">
        <v>84</v>
      </c>
      <c r="O3424">
        <v>76.403000000000006</v>
      </c>
      <c r="P3424">
        <v>15.5869</v>
      </c>
      <c r="Q3424">
        <v>17.441199999999998</v>
      </c>
    </row>
    <row r="3425" spans="1:17" x14ac:dyDescent="0.25">
      <c r="A3425" t="str">
        <f>IF(C3425&amp;G3425&amp;D3425&lt;&gt;'Funnel setup'!$K$3&amp;'Funnel setup'!$K$4&amp;'Funnel setup'!$K$6,".",IF(A3424=".",1,A3424+1))</f>
        <v>.</v>
      </c>
      <c r="B3425" s="244" t="str">
        <f t="shared" si="53"/>
        <v>Total Hip ReplacementSub-ICB of GP PracticeNHS NORTH CENTRAL LONDON ICB - 93C (93C)EQ VAS</v>
      </c>
      <c r="C3425" t="s">
        <v>974</v>
      </c>
      <c r="D3425" t="s">
        <v>1021</v>
      </c>
      <c r="E3425" t="s">
        <v>883</v>
      </c>
      <c r="F3425" t="s">
        <v>884</v>
      </c>
      <c r="G3425" t="s">
        <v>752</v>
      </c>
      <c r="H3425">
        <v>131</v>
      </c>
      <c r="I3425">
        <v>61.236600000000003</v>
      </c>
      <c r="J3425">
        <v>73.259500000000003</v>
      </c>
      <c r="K3425">
        <v>12.0229</v>
      </c>
      <c r="L3425">
        <v>88</v>
      </c>
      <c r="M3425">
        <v>12</v>
      </c>
      <c r="N3425">
        <v>31</v>
      </c>
      <c r="O3425">
        <v>73.430700000000002</v>
      </c>
      <c r="P3425">
        <v>12.614599999999999</v>
      </c>
      <c r="Q3425">
        <v>17.360499999999998</v>
      </c>
    </row>
    <row r="3426" spans="1:17" x14ac:dyDescent="0.25">
      <c r="A3426" t="str">
        <f>IF(C3426&amp;G3426&amp;D3426&lt;&gt;'Funnel setup'!$K$3&amp;'Funnel setup'!$K$4&amp;'Funnel setup'!$K$6,".",IF(A3425=".",1,A3425+1))</f>
        <v>.</v>
      </c>
      <c r="B3426" s="244" t="str">
        <f t="shared" si="53"/>
        <v>Total Hip ReplacementSub-ICB of GP PracticeNHS NORTH EAST AND NORTH CUMBRIA ICB - 00L (00L)EQ VAS</v>
      </c>
      <c r="C3426" t="s">
        <v>974</v>
      </c>
      <c r="D3426" t="s">
        <v>1021</v>
      </c>
      <c r="E3426" t="s">
        <v>885</v>
      </c>
      <c r="F3426" t="s">
        <v>886</v>
      </c>
      <c r="G3426" t="s">
        <v>752</v>
      </c>
      <c r="H3426">
        <v>141</v>
      </c>
      <c r="I3426">
        <v>56.666699999999999</v>
      </c>
      <c r="J3426">
        <v>73.156000000000006</v>
      </c>
      <c r="K3426">
        <v>16.4894</v>
      </c>
      <c r="L3426">
        <v>103</v>
      </c>
      <c r="M3426">
        <v>7</v>
      </c>
      <c r="N3426">
        <v>31</v>
      </c>
      <c r="O3426">
        <v>75.044499999999999</v>
      </c>
      <c r="P3426">
        <v>14.228400000000001</v>
      </c>
      <c r="Q3426">
        <v>18.154399999999999</v>
      </c>
    </row>
    <row r="3427" spans="1:17" x14ac:dyDescent="0.25">
      <c r="A3427" t="str">
        <f>IF(C3427&amp;G3427&amp;D3427&lt;&gt;'Funnel setup'!$K$3&amp;'Funnel setup'!$K$4&amp;'Funnel setup'!$K$6,".",IF(A3426=".",1,A3426+1))</f>
        <v>.</v>
      </c>
      <c r="B3427" s="244" t="str">
        <f t="shared" si="53"/>
        <v>Total Hip ReplacementSub-ICB of GP PracticeNHS NORTH EAST AND NORTH CUMBRIA ICB - 00N (00N)EQ VAS</v>
      </c>
      <c r="C3427" t="s">
        <v>974</v>
      </c>
      <c r="D3427" t="s">
        <v>1021</v>
      </c>
      <c r="E3427" t="s">
        <v>887</v>
      </c>
      <c r="F3427" t="s">
        <v>888</v>
      </c>
      <c r="G3427" t="s">
        <v>752</v>
      </c>
      <c r="H3427">
        <v>12</v>
      </c>
      <c r="I3427">
        <v>55.083300000000001</v>
      </c>
      <c r="J3427">
        <v>72.25</v>
      </c>
      <c r="K3427">
        <v>17.166699999999999</v>
      </c>
      <c r="L3427">
        <v>10</v>
      </c>
      <c r="M3427">
        <v>0</v>
      </c>
      <c r="N3427">
        <v>2</v>
      </c>
      <c r="O3427" t="s">
        <v>127</v>
      </c>
      <c r="P3427" t="s">
        <v>127</v>
      </c>
      <c r="Q3427" t="s">
        <v>127</v>
      </c>
    </row>
    <row r="3428" spans="1:17" x14ac:dyDescent="0.25">
      <c r="A3428" t="str">
        <f>IF(C3428&amp;G3428&amp;D3428&lt;&gt;'Funnel setup'!$K$3&amp;'Funnel setup'!$K$4&amp;'Funnel setup'!$K$6,".",IF(A3427=".",1,A3427+1))</f>
        <v>.</v>
      </c>
      <c r="B3428" s="244" t="str">
        <f t="shared" si="53"/>
        <v>Total Hip ReplacementSub-ICB of GP PracticeNHS NORTH EAST AND NORTH CUMBRIA ICB - 00P (00P)EQ VAS</v>
      </c>
      <c r="C3428" t="s">
        <v>974</v>
      </c>
      <c r="D3428" t="s">
        <v>1021</v>
      </c>
      <c r="E3428" t="s">
        <v>889</v>
      </c>
      <c r="F3428" t="s">
        <v>890</v>
      </c>
      <c r="G3428" t="s">
        <v>752</v>
      </c>
      <c r="H3428">
        <v>32</v>
      </c>
      <c r="I3428">
        <v>51.8125</v>
      </c>
      <c r="J3428">
        <v>66.8125</v>
      </c>
      <c r="K3428">
        <v>15</v>
      </c>
      <c r="L3428">
        <v>23</v>
      </c>
      <c r="M3428">
        <v>3</v>
      </c>
      <c r="N3428">
        <v>6</v>
      </c>
      <c r="O3428">
        <v>72.071200000000005</v>
      </c>
      <c r="P3428">
        <v>11.255100000000001</v>
      </c>
      <c r="Q3428">
        <v>16.1858</v>
      </c>
    </row>
    <row r="3429" spans="1:17" x14ac:dyDescent="0.25">
      <c r="A3429" t="str">
        <f>IF(C3429&amp;G3429&amp;D3429&lt;&gt;'Funnel setup'!$K$3&amp;'Funnel setup'!$K$4&amp;'Funnel setup'!$K$6,".",IF(A3428=".",1,A3428+1))</f>
        <v>.</v>
      </c>
      <c r="B3429" s="244" t="str">
        <f t="shared" si="53"/>
        <v>Total Hip ReplacementSub-ICB of GP PracticeNHS NORTH EAST AND NORTH CUMBRIA ICB - 01H (01H)EQ VAS</v>
      </c>
      <c r="C3429" t="s">
        <v>974</v>
      </c>
      <c r="D3429" t="s">
        <v>1021</v>
      </c>
      <c r="E3429" t="s">
        <v>891</v>
      </c>
      <c r="F3429" t="s">
        <v>892</v>
      </c>
      <c r="G3429" t="s">
        <v>752</v>
      </c>
      <c r="H3429">
        <v>171</v>
      </c>
      <c r="I3429">
        <v>60.713500000000003</v>
      </c>
      <c r="J3429">
        <v>77.462000000000003</v>
      </c>
      <c r="K3429">
        <v>16.7485</v>
      </c>
      <c r="L3429">
        <v>118</v>
      </c>
      <c r="M3429">
        <v>17</v>
      </c>
      <c r="N3429">
        <v>36</v>
      </c>
      <c r="O3429">
        <v>78.204400000000007</v>
      </c>
      <c r="P3429">
        <v>17.388300000000001</v>
      </c>
      <c r="Q3429">
        <v>15.1343</v>
      </c>
    </row>
    <row r="3430" spans="1:17" x14ac:dyDescent="0.25">
      <c r="A3430" t="str">
        <f>IF(C3430&amp;G3430&amp;D3430&lt;&gt;'Funnel setup'!$K$3&amp;'Funnel setup'!$K$4&amp;'Funnel setup'!$K$6,".",IF(A3429=".",1,A3429+1))</f>
        <v>.</v>
      </c>
      <c r="B3430" s="244" t="str">
        <f t="shared" si="53"/>
        <v>Total Hip ReplacementSub-ICB of GP PracticeNHS NORTH EAST AND NORTH CUMBRIA ICB - 13T (13T)EQ VAS</v>
      </c>
      <c r="C3430" t="s">
        <v>974</v>
      </c>
      <c r="D3430" t="s">
        <v>1021</v>
      </c>
      <c r="E3430" t="s">
        <v>893</v>
      </c>
      <c r="F3430" t="s">
        <v>894</v>
      </c>
      <c r="G3430" t="s">
        <v>752</v>
      </c>
      <c r="H3430">
        <v>104</v>
      </c>
      <c r="I3430">
        <v>53.634599999999999</v>
      </c>
      <c r="J3430">
        <v>73.826899999999995</v>
      </c>
      <c r="K3430">
        <v>20.192299999999999</v>
      </c>
      <c r="L3430">
        <v>69</v>
      </c>
      <c r="M3430">
        <v>13</v>
      </c>
      <c r="N3430">
        <v>22</v>
      </c>
      <c r="O3430">
        <v>77.055300000000003</v>
      </c>
      <c r="P3430">
        <v>16.2392</v>
      </c>
      <c r="Q3430">
        <v>17.928799999999999</v>
      </c>
    </row>
    <row r="3431" spans="1:17" x14ac:dyDescent="0.25">
      <c r="A3431" t="str">
        <f>IF(C3431&amp;G3431&amp;D3431&lt;&gt;'Funnel setup'!$K$3&amp;'Funnel setup'!$K$4&amp;'Funnel setup'!$K$6,".",IF(A3430=".",1,A3430+1))</f>
        <v>.</v>
      </c>
      <c r="B3431" s="244" t="str">
        <f t="shared" si="53"/>
        <v>Total Hip ReplacementSub-ICB of GP PracticeNHS NORTH EAST AND NORTH CUMBRIA ICB - 16C (16C)EQ VAS</v>
      </c>
      <c r="C3431" t="s">
        <v>974</v>
      </c>
      <c r="D3431" t="s">
        <v>1021</v>
      </c>
      <c r="E3431" t="s">
        <v>895</v>
      </c>
      <c r="F3431" t="s">
        <v>896</v>
      </c>
      <c r="G3431" t="s">
        <v>752</v>
      </c>
      <c r="H3431">
        <v>352</v>
      </c>
      <c r="I3431">
        <v>66.051100000000005</v>
      </c>
      <c r="J3431">
        <v>74.193200000000004</v>
      </c>
      <c r="K3431">
        <v>8.1420499999999993</v>
      </c>
      <c r="L3431">
        <v>201</v>
      </c>
      <c r="M3431">
        <v>38</v>
      </c>
      <c r="N3431">
        <v>113</v>
      </c>
      <c r="O3431">
        <v>74.499399999999994</v>
      </c>
      <c r="P3431">
        <v>13.683299999999999</v>
      </c>
      <c r="Q3431">
        <v>16.625599999999999</v>
      </c>
    </row>
    <row r="3432" spans="1:17" x14ac:dyDescent="0.25">
      <c r="A3432" t="str">
        <f>IF(C3432&amp;G3432&amp;D3432&lt;&gt;'Funnel setup'!$K$3&amp;'Funnel setup'!$K$4&amp;'Funnel setup'!$K$6,".",IF(A3431=".",1,A3431+1))</f>
        <v>.</v>
      </c>
      <c r="B3432" s="244" t="str">
        <f t="shared" si="53"/>
        <v>Total Hip ReplacementSub-ICB of GP PracticeNHS NORTH EAST AND NORTH CUMBRIA ICB - 84H (84H)EQ VAS</v>
      </c>
      <c r="C3432" t="s">
        <v>974</v>
      </c>
      <c r="D3432" t="s">
        <v>1021</v>
      </c>
      <c r="E3432" t="s">
        <v>897</v>
      </c>
      <c r="F3432" t="s">
        <v>898</v>
      </c>
      <c r="G3432" t="s">
        <v>752</v>
      </c>
      <c r="H3432">
        <v>248</v>
      </c>
      <c r="I3432">
        <v>62.201599999999999</v>
      </c>
      <c r="J3432">
        <v>73.092699999999994</v>
      </c>
      <c r="K3432">
        <v>10.8911</v>
      </c>
      <c r="L3432">
        <v>160</v>
      </c>
      <c r="M3432">
        <v>23</v>
      </c>
      <c r="N3432">
        <v>65</v>
      </c>
      <c r="O3432">
        <v>74.274500000000003</v>
      </c>
      <c r="P3432">
        <v>13.458399999999999</v>
      </c>
      <c r="Q3432">
        <v>17.347300000000001</v>
      </c>
    </row>
    <row r="3433" spans="1:17" x14ac:dyDescent="0.25">
      <c r="A3433" t="str">
        <f>IF(C3433&amp;G3433&amp;D3433&lt;&gt;'Funnel setup'!$K$3&amp;'Funnel setup'!$K$4&amp;'Funnel setup'!$K$6,".",IF(A3432=".",1,A3432+1))</f>
        <v>.</v>
      </c>
      <c r="B3433" s="244" t="str">
        <f t="shared" si="53"/>
        <v>Total Hip ReplacementSub-ICB of GP PracticeNHS NORTH EAST AND NORTH CUMBRIA ICB - 99C (99C)EQ VAS</v>
      </c>
      <c r="C3433" t="s">
        <v>974</v>
      </c>
      <c r="D3433" t="s">
        <v>1021</v>
      </c>
      <c r="E3433" t="s">
        <v>899</v>
      </c>
      <c r="F3433" t="s">
        <v>900</v>
      </c>
      <c r="G3433" t="s">
        <v>752</v>
      </c>
      <c r="H3433">
        <v>74</v>
      </c>
      <c r="I3433">
        <v>60.972999999999999</v>
      </c>
      <c r="J3433">
        <v>79.1892</v>
      </c>
      <c r="K3433">
        <v>18.216200000000001</v>
      </c>
      <c r="L3433">
        <v>58</v>
      </c>
      <c r="M3433">
        <v>10</v>
      </c>
      <c r="N3433">
        <v>6</v>
      </c>
      <c r="O3433">
        <v>79.419399999999996</v>
      </c>
      <c r="P3433">
        <v>18.603300000000001</v>
      </c>
      <c r="Q3433">
        <v>16.314800000000002</v>
      </c>
    </row>
    <row r="3434" spans="1:17" x14ac:dyDescent="0.25">
      <c r="A3434" t="str">
        <f>IF(C3434&amp;G3434&amp;D3434&lt;&gt;'Funnel setup'!$K$3&amp;'Funnel setup'!$K$4&amp;'Funnel setup'!$K$6,".",IF(A3433=".",1,A3433+1))</f>
        <v>.</v>
      </c>
      <c r="B3434" s="244" t="str">
        <f t="shared" si="53"/>
        <v>Total Hip ReplacementSub-ICB of GP PracticeNHS NORTH EAST LONDON ICB - A3A8R (A3A8R)EQ VAS</v>
      </c>
      <c r="C3434" t="s">
        <v>974</v>
      </c>
      <c r="D3434" t="s">
        <v>1021</v>
      </c>
      <c r="E3434" t="s">
        <v>901</v>
      </c>
      <c r="F3434" t="s">
        <v>902</v>
      </c>
      <c r="G3434" t="s">
        <v>752</v>
      </c>
      <c r="H3434">
        <v>155</v>
      </c>
      <c r="I3434">
        <v>61.1419</v>
      </c>
      <c r="J3434">
        <v>73.9161</v>
      </c>
      <c r="K3434">
        <v>12.7742</v>
      </c>
      <c r="L3434">
        <v>98</v>
      </c>
      <c r="M3434">
        <v>19</v>
      </c>
      <c r="N3434">
        <v>38</v>
      </c>
      <c r="O3434">
        <v>74.910600000000002</v>
      </c>
      <c r="P3434">
        <v>14.0945</v>
      </c>
      <c r="Q3434">
        <v>18.258600000000001</v>
      </c>
    </row>
    <row r="3435" spans="1:17" x14ac:dyDescent="0.25">
      <c r="A3435" t="str">
        <f>IF(C3435&amp;G3435&amp;D3435&lt;&gt;'Funnel setup'!$K$3&amp;'Funnel setup'!$K$4&amp;'Funnel setup'!$K$6,".",IF(A3434=".",1,A3434+1))</f>
        <v>.</v>
      </c>
      <c r="B3435" s="244" t="str">
        <f t="shared" si="53"/>
        <v>Total Hip ReplacementSub-ICB of GP PracticeNHS NORTH WEST LONDON ICB - W2U3Z (W2U3Z)EQ VAS</v>
      </c>
      <c r="C3435" t="s">
        <v>974</v>
      </c>
      <c r="D3435" t="s">
        <v>1021</v>
      </c>
      <c r="E3435" t="s">
        <v>903</v>
      </c>
      <c r="F3435" t="s">
        <v>904</v>
      </c>
      <c r="G3435" t="s">
        <v>752</v>
      </c>
      <c r="H3435">
        <v>146</v>
      </c>
      <c r="I3435">
        <v>63.0959</v>
      </c>
      <c r="J3435">
        <v>72.164400000000001</v>
      </c>
      <c r="K3435">
        <v>9.0684900000000006</v>
      </c>
      <c r="L3435">
        <v>93</v>
      </c>
      <c r="M3435">
        <v>16</v>
      </c>
      <c r="N3435">
        <v>37</v>
      </c>
      <c r="O3435">
        <v>71.544700000000006</v>
      </c>
      <c r="P3435">
        <v>10.7286</v>
      </c>
      <c r="Q3435">
        <v>18.21</v>
      </c>
    </row>
    <row r="3436" spans="1:17" x14ac:dyDescent="0.25">
      <c r="A3436" t="str">
        <f>IF(C3436&amp;G3436&amp;D3436&lt;&gt;'Funnel setup'!$K$3&amp;'Funnel setup'!$K$4&amp;'Funnel setup'!$K$6,".",IF(A3435=".",1,A3435+1))</f>
        <v>.</v>
      </c>
      <c r="B3436" s="244" t="str">
        <f t="shared" si="53"/>
        <v>Total Hip ReplacementSub-ICB of GP PracticeNHS NORTHAMPTONSHIRE ICB - 78H (78H)EQ VAS</v>
      </c>
      <c r="C3436" t="s">
        <v>974</v>
      </c>
      <c r="D3436" t="s">
        <v>1021</v>
      </c>
      <c r="E3436" t="s">
        <v>905</v>
      </c>
      <c r="F3436" t="s">
        <v>906</v>
      </c>
      <c r="G3436" t="s">
        <v>752</v>
      </c>
      <c r="H3436">
        <v>235</v>
      </c>
      <c r="I3436">
        <v>56.5702</v>
      </c>
      <c r="J3436">
        <v>75.153199999999998</v>
      </c>
      <c r="K3436">
        <v>18.582999999999998</v>
      </c>
      <c r="L3436">
        <v>172</v>
      </c>
      <c r="M3436">
        <v>18</v>
      </c>
      <c r="N3436">
        <v>45</v>
      </c>
      <c r="O3436">
        <v>76.127200000000002</v>
      </c>
      <c r="P3436">
        <v>15.311</v>
      </c>
      <c r="Q3436">
        <v>16.055199999999999</v>
      </c>
    </row>
    <row r="3437" spans="1:17" x14ac:dyDescent="0.25">
      <c r="A3437" t="str">
        <f>IF(C3437&amp;G3437&amp;D3437&lt;&gt;'Funnel setup'!$K$3&amp;'Funnel setup'!$K$4&amp;'Funnel setup'!$K$6,".",IF(A3436=".",1,A3436+1))</f>
        <v>.</v>
      </c>
      <c r="B3437" s="244" t="str">
        <f t="shared" si="53"/>
        <v>Total Hip ReplacementSub-ICB of GP PracticeNHS NOTTINGHAM AND NOTTINGHAMSHIRE ICB - 02Q (02Q)EQ VAS</v>
      </c>
      <c r="C3437" t="s">
        <v>974</v>
      </c>
      <c r="D3437" t="s">
        <v>1021</v>
      </c>
      <c r="E3437" t="s">
        <v>907</v>
      </c>
      <c r="F3437" t="s">
        <v>908</v>
      </c>
      <c r="G3437" t="s">
        <v>752</v>
      </c>
      <c r="H3437">
        <v>49</v>
      </c>
      <c r="I3437">
        <v>53.898000000000003</v>
      </c>
      <c r="J3437">
        <v>73.612200000000001</v>
      </c>
      <c r="K3437">
        <v>19.714300000000001</v>
      </c>
      <c r="L3437">
        <v>37</v>
      </c>
      <c r="M3437">
        <v>2</v>
      </c>
      <c r="N3437">
        <v>10</v>
      </c>
      <c r="O3437">
        <v>77.030699999999996</v>
      </c>
      <c r="P3437">
        <v>16.214600000000001</v>
      </c>
      <c r="Q3437">
        <v>13.652900000000001</v>
      </c>
    </row>
    <row r="3438" spans="1:17" x14ac:dyDescent="0.25">
      <c r="A3438" t="str">
        <f>IF(C3438&amp;G3438&amp;D3438&lt;&gt;'Funnel setup'!$K$3&amp;'Funnel setup'!$K$4&amp;'Funnel setup'!$K$6,".",IF(A3437=".",1,A3437+1))</f>
        <v>.</v>
      </c>
      <c r="B3438" s="244" t="str">
        <f t="shared" si="53"/>
        <v>Total Hip ReplacementSub-ICB of GP PracticeNHS NOTTINGHAM AND NOTTINGHAMSHIRE ICB - 52R (52R)EQ VAS</v>
      </c>
      <c r="C3438" t="s">
        <v>974</v>
      </c>
      <c r="D3438" t="s">
        <v>1021</v>
      </c>
      <c r="E3438" t="s">
        <v>909</v>
      </c>
      <c r="F3438" t="s">
        <v>910</v>
      </c>
      <c r="G3438" t="s">
        <v>752</v>
      </c>
      <c r="H3438">
        <v>133</v>
      </c>
      <c r="I3438">
        <v>54.827100000000002</v>
      </c>
      <c r="J3438">
        <v>73.8797</v>
      </c>
      <c r="K3438">
        <v>19.052600000000002</v>
      </c>
      <c r="L3438">
        <v>99</v>
      </c>
      <c r="M3438">
        <v>11</v>
      </c>
      <c r="N3438">
        <v>23</v>
      </c>
      <c r="O3438">
        <v>74.778400000000005</v>
      </c>
      <c r="P3438">
        <v>13.962300000000001</v>
      </c>
      <c r="Q3438">
        <v>16.8066</v>
      </c>
    </row>
    <row r="3439" spans="1:17" x14ac:dyDescent="0.25">
      <c r="A3439" t="str">
        <f>IF(C3439&amp;G3439&amp;D3439&lt;&gt;'Funnel setup'!$K$3&amp;'Funnel setup'!$K$4&amp;'Funnel setup'!$K$6,".",IF(A3438=".",1,A3438+1))</f>
        <v>.</v>
      </c>
      <c r="B3439" s="244" t="str">
        <f t="shared" si="53"/>
        <v>Total Hip ReplacementSub-ICB of GP PracticeNHS SHROPSHIRE, TELFORD AND WREKIN ICB - M2L0M (M2L0M)EQ VAS</v>
      </c>
      <c r="C3439" t="s">
        <v>974</v>
      </c>
      <c r="D3439" t="s">
        <v>1021</v>
      </c>
      <c r="E3439" t="s">
        <v>911</v>
      </c>
      <c r="F3439" t="s">
        <v>912</v>
      </c>
      <c r="G3439" t="s">
        <v>752</v>
      </c>
      <c r="H3439">
        <v>259</v>
      </c>
      <c r="I3439">
        <v>53.498100000000001</v>
      </c>
      <c r="J3439">
        <v>76.853300000000004</v>
      </c>
      <c r="K3439">
        <v>23.3552</v>
      </c>
      <c r="L3439">
        <v>198</v>
      </c>
      <c r="M3439">
        <v>19</v>
      </c>
      <c r="N3439">
        <v>42</v>
      </c>
      <c r="O3439">
        <v>79.193899999999999</v>
      </c>
      <c r="P3439">
        <v>18.377800000000001</v>
      </c>
      <c r="Q3439">
        <v>15.3711</v>
      </c>
    </row>
    <row r="3440" spans="1:17" x14ac:dyDescent="0.25">
      <c r="A3440" t="str">
        <f>IF(C3440&amp;G3440&amp;D3440&lt;&gt;'Funnel setup'!$K$3&amp;'Funnel setup'!$K$4&amp;'Funnel setup'!$K$6,".",IF(A3439=".",1,A3439+1))</f>
        <v>.</v>
      </c>
      <c r="B3440" s="244" t="str">
        <f t="shared" si="53"/>
        <v>Total Hip ReplacementSub-ICB of GP PracticeNHS SOMERSET ICB - 11X (11X)EQ VAS</v>
      </c>
      <c r="C3440" t="s">
        <v>974</v>
      </c>
      <c r="D3440" t="s">
        <v>1021</v>
      </c>
      <c r="E3440" t="s">
        <v>913</v>
      </c>
      <c r="F3440" t="s">
        <v>914</v>
      </c>
      <c r="G3440" t="s">
        <v>752</v>
      </c>
      <c r="H3440">
        <v>234</v>
      </c>
      <c r="I3440">
        <v>63.166699999999999</v>
      </c>
      <c r="J3440">
        <v>79.688000000000002</v>
      </c>
      <c r="K3440">
        <v>16.5214</v>
      </c>
      <c r="L3440">
        <v>169</v>
      </c>
      <c r="M3440">
        <v>24</v>
      </c>
      <c r="N3440">
        <v>41</v>
      </c>
      <c r="O3440">
        <v>77.195999999999998</v>
      </c>
      <c r="P3440">
        <v>16.379799999999999</v>
      </c>
      <c r="Q3440">
        <v>14.9818</v>
      </c>
    </row>
    <row r="3441" spans="1:17" x14ac:dyDescent="0.25">
      <c r="A3441" t="str">
        <f>IF(C3441&amp;G3441&amp;D3441&lt;&gt;'Funnel setup'!$K$3&amp;'Funnel setup'!$K$4&amp;'Funnel setup'!$K$6,".",IF(A3440=".",1,A3440+1))</f>
        <v>.</v>
      </c>
      <c r="B3441" s="244" t="str">
        <f t="shared" si="53"/>
        <v>Total Hip ReplacementSub-ICB of GP PracticeNHS SOUTH EAST LONDON ICB - 72Q (72Q)EQ VAS</v>
      </c>
      <c r="C3441" t="s">
        <v>974</v>
      </c>
      <c r="D3441" t="s">
        <v>1021</v>
      </c>
      <c r="E3441" t="s">
        <v>915</v>
      </c>
      <c r="F3441" t="s">
        <v>916</v>
      </c>
      <c r="G3441" t="s">
        <v>752</v>
      </c>
      <c r="H3441">
        <v>136</v>
      </c>
      <c r="I3441">
        <v>55.316200000000002</v>
      </c>
      <c r="J3441">
        <v>71.9191</v>
      </c>
      <c r="K3441">
        <v>16.602900000000002</v>
      </c>
      <c r="L3441">
        <v>101</v>
      </c>
      <c r="M3441">
        <v>10</v>
      </c>
      <c r="N3441">
        <v>25</v>
      </c>
      <c r="O3441">
        <v>72.369600000000005</v>
      </c>
      <c r="P3441">
        <v>11.5535</v>
      </c>
      <c r="Q3441">
        <v>15.263299999999999</v>
      </c>
    </row>
    <row r="3442" spans="1:17" x14ac:dyDescent="0.25">
      <c r="A3442" t="str">
        <f>IF(C3442&amp;G3442&amp;D3442&lt;&gt;'Funnel setup'!$K$3&amp;'Funnel setup'!$K$4&amp;'Funnel setup'!$K$6,".",IF(A3441=".",1,A3441+1))</f>
        <v>.</v>
      </c>
      <c r="B3442" s="244" t="str">
        <f t="shared" si="53"/>
        <v>Total Hip ReplacementSub-ICB of GP PracticeNHS SOUTH WEST LONDON ICB - 36L (36L)EQ VAS</v>
      </c>
      <c r="C3442" t="s">
        <v>974</v>
      </c>
      <c r="D3442" t="s">
        <v>1021</v>
      </c>
      <c r="E3442" t="s">
        <v>917</v>
      </c>
      <c r="F3442" t="s">
        <v>918</v>
      </c>
      <c r="G3442" t="s">
        <v>752</v>
      </c>
      <c r="H3442">
        <v>377</v>
      </c>
      <c r="I3442">
        <v>60.612699999999997</v>
      </c>
      <c r="J3442">
        <v>75.313000000000002</v>
      </c>
      <c r="K3442">
        <v>14.7003</v>
      </c>
      <c r="L3442">
        <v>271</v>
      </c>
      <c r="M3442">
        <v>41</v>
      </c>
      <c r="N3442">
        <v>65</v>
      </c>
      <c r="O3442">
        <v>75.709400000000002</v>
      </c>
      <c r="P3442">
        <v>14.8933</v>
      </c>
      <c r="Q3442">
        <v>17.178699999999999</v>
      </c>
    </row>
    <row r="3443" spans="1:17" x14ac:dyDescent="0.25">
      <c r="A3443" t="str">
        <f>IF(C3443&amp;G3443&amp;D3443&lt;&gt;'Funnel setup'!$K$3&amp;'Funnel setup'!$K$4&amp;'Funnel setup'!$K$6,".",IF(A3442=".",1,A3442+1))</f>
        <v>.</v>
      </c>
      <c r="B3443" s="244" t="str">
        <f t="shared" si="53"/>
        <v>Total Hip ReplacementSub-ICB of GP PracticeNHS SOUTH YORKSHIRE ICB - 02P (02P)EQ VAS</v>
      </c>
      <c r="C3443" t="s">
        <v>974</v>
      </c>
      <c r="D3443" t="s">
        <v>1021</v>
      </c>
      <c r="E3443" t="s">
        <v>919</v>
      </c>
      <c r="F3443" t="s">
        <v>920</v>
      </c>
      <c r="G3443" t="s">
        <v>752</v>
      </c>
      <c r="H3443">
        <v>43</v>
      </c>
      <c r="I3443">
        <v>53.7209</v>
      </c>
      <c r="J3443">
        <v>71.883700000000005</v>
      </c>
      <c r="K3443">
        <v>18.162800000000001</v>
      </c>
      <c r="L3443">
        <v>29</v>
      </c>
      <c r="M3443">
        <v>3</v>
      </c>
      <c r="N3443">
        <v>11</v>
      </c>
      <c r="O3443">
        <v>76.627600000000001</v>
      </c>
      <c r="P3443">
        <v>15.811500000000001</v>
      </c>
      <c r="Q3443">
        <v>15.9033</v>
      </c>
    </row>
    <row r="3444" spans="1:17" x14ac:dyDescent="0.25">
      <c r="A3444" t="str">
        <f>IF(C3444&amp;G3444&amp;D3444&lt;&gt;'Funnel setup'!$K$3&amp;'Funnel setup'!$K$4&amp;'Funnel setup'!$K$6,".",IF(A3443=".",1,A3443+1))</f>
        <v>.</v>
      </c>
      <c r="B3444" s="244" t="str">
        <f t="shared" si="53"/>
        <v>Total Hip ReplacementSub-ICB of GP PracticeNHS SOUTH YORKSHIRE ICB - 02X (02X)EQ VAS</v>
      </c>
      <c r="C3444" t="s">
        <v>974</v>
      </c>
      <c r="D3444" t="s">
        <v>1021</v>
      </c>
      <c r="E3444" t="s">
        <v>921</v>
      </c>
      <c r="F3444" t="s">
        <v>922</v>
      </c>
      <c r="G3444" t="s">
        <v>752</v>
      </c>
      <c r="H3444">
        <v>80</v>
      </c>
      <c r="I3444">
        <v>58.3</v>
      </c>
      <c r="J3444">
        <v>73.650000000000006</v>
      </c>
      <c r="K3444">
        <v>15.35</v>
      </c>
      <c r="L3444">
        <v>58</v>
      </c>
      <c r="M3444">
        <v>5</v>
      </c>
      <c r="N3444">
        <v>17</v>
      </c>
      <c r="O3444">
        <v>73.797600000000003</v>
      </c>
      <c r="P3444">
        <v>12.9815</v>
      </c>
      <c r="Q3444">
        <v>18.861000000000001</v>
      </c>
    </row>
    <row r="3445" spans="1:17" x14ac:dyDescent="0.25">
      <c r="A3445" t="str">
        <f>IF(C3445&amp;G3445&amp;D3445&lt;&gt;'Funnel setup'!$K$3&amp;'Funnel setup'!$K$4&amp;'Funnel setup'!$K$6,".",IF(A3444=".",1,A3444+1))</f>
        <v>.</v>
      </c>
      <c r="B3445" s="244" t="str">
        <f t="shared" si="53"/>
        <v>Total Hip ReplacementSub-ICB of GP PracticeNHS SOUTH YORKSHIRE ICB - 03L (03L)EQ VAS</v>
      </c>
      <c r="C3445" t="s">
        <v>974</v>
      </c>
      <c r="D3445" t="s">
        <v>1021</v>
      </c>
      <c r="E3445" t="s">
        <v>923</v>
      </c>
      <c r="F3445" t="s">
        <v>924</v>
      </c>
      <c r="G3445" t="s">
        <v>752</v>
      </c>
      <c r="H3445">
        <v>37</v>
      </c>
      <c r="I3445">
        <v>62.135100000000001</v>
      </c>
      <c r="J3445">
        <v>69.567599999999999</v>
      </c>
      <c r="K3445">
        <v>7.4324300000000001</v>
      </c>
      <c r="L3445">
        <v>19</v>
      </c>
      <c r="M3445">
        <v>3</v>
      </c>
      <c r="N3445">
        <v>15</v>
      </c>
      <c r="O3445">
        <v>70.418899999999994</v>
      </c>
      <c r="P3445">
        <v>9.6028300000000009</v>
      </c>
      <c r="Q3445">
        <v>20.095700000000001</v>
      </c>
    </row>
    <row r="3446" spans="1:17" x14ac:dyDescent="0.25">
      <c r="A3446" t="str">
        <f>IF(C3446&amp;G3446&amp;D3446&lt;&gt;'Funnel setup'!$K$3&amp;'Funnel setup'!$K$4&amp;'Funnel setup'!$K$6,".",IF(A3445=".",1,A3445+1))</f>
        <v>.</v>
      </c>
      <c r="B3446" s="244" t="str">
        <f t="shared" si="53"/>
        <v>Total Hip ReplacementSub-ICB of GP PracticeNHS SOUTH YORKSHIRE ICB - 03N (03N)EQ VAS</v>
      </c>
      <c r="C3446" t="s">
        <v>974</v>
      </c>
      <c r="D3446" t="s">
        <v>1021</v>
      </c>
      <c r="E3446" t="s">
        <v>925</v>
      </c>
      <c r="F3446" t="s">
        <v>926</v>
      </c>
      <c r="G3446" t="s">
        <v>752</v>
      </c>
      <c r="H3446">
        <v>32</v>
      </c>
      <c r="I3446">
        <v>60.625</v>
      </c>
      <c r="J3446">
        <v>76.625</v>
      </c>
      <c r="K3446">
        <v>16</v>
      </c>
      <c r="L3446">
        <v>25</v>
      </c>
      <c r="M3446">
        <v>1</v>
      </c>
      <c r="N3446">
        <v>6</v>
      </c>
      <c r="O3446">
        <v>76.2119</v>
      </c>
      <c r="P3446">
        <v>15.395799999999999</v>
      </c>
      <c r="Q3446">
        <v>15.5359</v>
      </c>
    </row>
    <row r="3447" spans="1:17" x14ac:dyDescent="0.25">
      <c r="A3447" t="str">
        <f>IF(C3447&amp;G3447&amp;D3447&lt;&gt;'Funnel setup'!$K$3&amp;'Funnel setup'!$K$4&amp;'Funnel setup'!$K$6,".",IF(A3446=".",1,A3446+1))</f>
        <v>.</v>
      </c>
      <c r="B3447" s="244" t="str">
        <f t="shared" si="53"/>
        <v>Total Hip ReplacementSub-ICB of GP PracticeNHS STAFFORDSHIRE AND STOKE-ON-TRENT ICB - 04Y (04Y)EQ VAS</v>
      </c>
      <c r="C3447" t="s">
        <v>974</v>
      </c>
      <c r="D3447" t="s">
        <v>1021</v>
      </c>
      <c r="E3447" t="s">
        <v>927</v>
      </c>
      <c r="F3447" t="s">
        <v>928</v>
      </c>
      <c r="G3447" t="s">
        <v>752</v>
      </c>
      <c r="H3447">
        <v>32</v>
      </c>
      <c r="I3447">
        <v>60.968800000000002</v>
      </c>
      <c r="J3447">
        <v>79.468800000000002</v>
      </c>
      <c r="K3447">
        <v>18.5</v>
      </c>
      <c r="L3447">
        <v>21</v>
      </c>
      <c r="M3447">
        <v>2</v>
      </c>
      <c r="N3447">
        <v>9</v>
      </c>
      <c r="O3447">
        <v>78.134200000000007</v>
      </c>
      <c r="P3447">
        <v>17.318100000000001</v>
      </c>
      <c r="Q3447">
        <v>16.137499999999999</v>
      </c>
    </row>
    <row r="3448" spans="1:17" x14ac:dyDescent="0.25">
      <c r="A3448" t="str">
        <f>IF(C3448&amp;G3448&amp;D3448&lt;&gt;'Funnel setup'!$K$3&amp;'Funnel setup'!$K$4&amp;'Funnel setup'!$K$6,".",IF(A3447=".",1,A3447+1))</f>
        <v>.</v>
      </c>
      <c r="B3448" s="244" t="str">
        <f t="shared" si="53"/>
        <v>Total Hip ReplacementSub-ICB of GP PracticeNHS STAFFORDSHIRE AND STOKE-ON-TRENT ICB - 05D (05D)EQ VAS</v>
      </c>
      <c r="C3448" t="s">
        <v>974</v>
      </c>
      <c r="D3448" t="s">
        <v>1021</v>
      </c>
      <c r="E3448" t="s">
        <v>929</v>
      </c>
      <c r="F3448" t="s">
        <v>930</v>
      </c>
      <c r="G3448" t="s">
        <v>752</v>
      </c>
      <c r="H3448">
        <v>49</v>
      </c>
      <c r="I3448">
        <v>56.5</v>
      </c>
      <c r="J3448">
        <v>75.86</v>
      </c>
      <c r="K3448">
        <v>19.36</v>
      </c>
      <c r="L3448">
        <v>37</v>
      </c>
      <c r="M3448">
        <v>6</v>
      </c>
      <c r="N3448">
        <v>6</v>
      </c>
      <c r="O3448">
        <v>77.631799999999998</v>
      </c>
      <c r="P3448">
        <v>16.8157</v>
      </c>
      <c r="Q3448">
        <v>18.189399999999999</v>
      </c>
    </row>
    <row r="3449" spans="1:17" x14ac:dyDescent="0.25">
      <c r="A3449" t="str">
        <f>IF(C3449&amp;G3449&amp;D3449&lt;&gt;'Funnel setup'!$K$3&amp;'Funnel setup'!$K$4&amp;'Funnel setup'!$K$6,".",IF(A3448=".",1,A3448+1))</f>
        <v>.</v>
      </c>
      <c r="B3449" s="244" t="str">
        <f t="shared" si="53"/>
        <v>Total Hip ReplacementSub-ICB of GP PracticeNHS STAFFORDSHIRE AND STOKE-ON-TRENT ICB - 05G (05G)EQ VAS</v>
      </c>
      <c r="C3449" t="s">
        <v>974</v>
      </c>
      <c r="D3449" t="s">
        <v>1021</v>
      </c>
      <c r="E3449" t="s">
        <v>931</v>
      </c>
      <c r="F3449" t="s">
        <v>932</v>
      </c>
      <c r="G3449" t="s">
        <v>752</v>
      </c>
      <c r="H3449">
        <v>38</v>
      </c>
      <c r="I3449">
        <v>60.263199999999998</v>
      </c>
      <c r="J3449">
        <v>75.684200000000004</v>
      </c>
      <c r="K3449">
        <v>15.421099999999999</v>
      </c>
      <c r="L3449">
        <v>26</v>
      </c>
      <c r="M3449">
        <v>5</v>
      </c>
      <c r="N3449">
        <v>7</v>
      </c>
      <c r="O3449">
        <v>74.841999999999999</v>
      </c>
      <c r="P3449">
        <v>14.0259</v>
      </c>
      <c r="Q3449">
        <v>18.9831</v>
      </c>
    </row>
    <row r="3450" spans="1:17" x14ac:dyDescent="0.25">
      <c r="A3450" t="str">
        <f>IF(C3450&amp;G3450&amp;D3450&lt;&gt;'Funnel setup'!$K$3&amp;'Funnel setup'!$K$4&amp;'Funnel setup'!$K$6,".",IF(A3449=".",1,A3449+1))</f>
        <v>.</v>
      </c>
      <c r="B3450" s="244" t="str">
        <f t="shared" si="53"/>
        <v>Total Hip ReplacementSub-ICB of GP PracticeNHS STAFFORDSHIRE AND STOKE-ON-TRENT ICB - 05Q (05Q)EQ VAS</v>
      </c>
      <c r="C3450" t="s">
        <v>974</v>
      </c>
      <c r="D3450" t="s">
        <v>1021</v>
      </c>
      <c r="E3450" t="s">
        <v>933</v>
      </c>
      <c r="F3450" t="s">
        <v>934</v>
      </c>
      <c r="G3450" t="s">
        <v>752</v>
      </c>
      <c r="H3450">
        <v>68</v>
      </c>
      <c r="I3450">
        <v>61.808799999999998</v>
      </c>
      <c r="J3450">
        <v>70.264700000000005</v>
      </c>
      <c r="K3450">
        <v>8.4558800000000005</v>
      </c>
      <c r="L3450">
        <v>40</v>
      </c>
      <c r="M3450">
        <v>8</v>
      </c>
      <c r="N3450">
        <v>20</v>
      </c>
      <c r="O3450">
        <v>70.113699999999994</v>
      </c>
      <c r="P3450">
        <v>9.2975600000000007</v>
      </c>
      <c r="Q3450">
        <v>16.7346</v>
      </c>
    </row>
    <row r="3451" spans="1:17" x14ac:dyDescent="0.25">
      <c r="A3451" t="str">
        <f>IF(C3451&amp;G3451&amp;D3451&lt;&gt;'Funnel setup'!$K$3&amp;'Funnel setup'!$K$4&amp;'Funnel setup'!$K$6,".",IF(A3450=".",1,A3450+1))</f>
        <v>.</v>
      </c>
      <c r="B3451" s="244" t="str">
        <f t="shared" si="53"/>
        <v>Total Hip ReplacementSub-ICB of GP PracticeNHS STAFFORDSHIRE AND STOKE-ON-TRENT ICB - 05V (05V)EQ VAS</v>
      </c>
      <c r="C3451" t="s">
        <v>974</v>
      </c>
      <c r="D3451" t="s">
        <v>1021</v>
      </c>
      <c r="E3451" t="s">
        <v>935</v>
      </c>
      <c r="F3451" t="s">
        <v>936</v>
      </c>
      <c r="G3451" t="s">
        <v>752</v>
      </c>
      <c r="H3451">
        <v>54</v>
      </c>
      <c r="I3451">
        <v>65.388900000000007</v>
      </c>
      <c r="J3451">
        <v>79.518500000000003</v>
      </c>
      <c r="K3451">
        <v>14.1296</v>
      </c>
      <c r="L3451">
        <v>39</v>
      </c>
      <c r="M3451">
        <v>6</v>
      </c>
      <c r="N3451">
        <v>9</v>
      </c>
      <c r="O3451">
        <v>77.292000000000002</v>
      </c>
      <c r="P3451">
        <v>16.4758</v>
      </c>
      <c r="Q3451">
        <v>11.437900000000001</v>
      </c>
    </row>
    <row r="3452" spans="1:17" x14ac:dyDescent="0.25">
      <c r="A3452" t="str">
        <f>IF(C3452&amp;G3452&amp;D3452&lt;&gt;'Funnel setup'!$K$3&amp;'Funnel setup'!$K$4&amp;'Funnel setup'!$K$6,".",IF(A3451=".",1,A3451+1))</f>
        <v>.</v>
      </c>
      <c r="B3452" s="244" t="str">
        <f t="shared" si="53"/>
        <v>Total Hip ReplacementSub-ICB of GP PracticeNHS STAFFORDSHIRE AND STOKE-ON-TRENT ICB - 05W (05W)EQ VAS</v>
      </c>
      <c r="C3452" t="s">
        <v>974</v>
      </c>
      <c r="D3452" t="s">
        <v>1021</v>
      </c>
      <c r="E3452" t="s">
        <v>937</v>
      </c>
      <c r="F3452" t="s">
        <v>938</v>
      </c>
      <c r="G3452" t="s">
        <v>752</v>
      </c>
      <c r="H3452">
        <v>33</v>
      </c>
      <c r="I3452">
        <v>59.121200000000002</v>
      </c>
      <c r="J3452">
        <v>74.787899999999993</v>
      </c>
      <c r="K3452">
        <v>15.666700000000001</v>
      </c>
      <c r="L3452">
        <v>24</v>
      </c>
      <c r="M3452">
        <v>3</v>
      </c>
      <c r="N3452">
        <v>6</v>
      </c>
      <c r="O3452">
        <v>77.443600000000004</v>
      </c>
      <c r="P3452">
        <v>16.627500000000001</v>
      </c>
      <c r="Q3452">
        <v>16.953800000000001</v>
      </c>
    </row>
    <row r="3453" spans="1:17" x14ac:dyDescent="0.25">
      <c r="A3453" t="str">
        <f>IF(C3453&amp;G3453&amp;D3453&lt;&gt;'Funnel setup'!$K$3&amp;'Funnel setup'!$K$4&amp;'Funnel setup'!$K$6,".",IF(A3452=".",1,A3452+1))</f>
        <v>.</v>
      </c>
      <c r="B3453" s="244" t="str">
        <f t="shared" si="53"/>
        <v>Total Hip ReplacementSub-ICB of GP PracticeNHS SUFFOLK AND NORTH EAST ESSEX ICB - 06L (06L)EQ VAS</v>
      </c>
      <c r="C3453" t="s">
        <v>974</v>
      </c>
      <c r="D3453" t="s">
        <v>1021</v>
      </c>
      <c r="E3453" t="s">
        <v>939</v>
      </c>
      <c r="F3453" t="s">
        <v>940</v>
      </c>
      <c r="G3453" t="s">
        <v>752</v>
      </c>
      <c r="H3453">
        <v>138</v>
      </c>
      <c r="I3453">
        <v>54.420299999999997</v>
      </c>
      <c r="J3453">
        <v>74.528999999999996</v>
      </c>
      <c r="K3453">
        <v>20.108699999999999</v>
      </c>
      <c r="L3453">
        <v>104</v>
      </c>
      <c r="M3453">
        <v>12</v>
      </c>
      <c r="N3453">
        <v>22</v>
      </c>
      <c r="O3453">
        <v>76.172499999999999</v>
      </c>
      <c r="P3453">
        <v>15.356299999999999</v>
      </c>
      <c r="Q3453">
        <v>17.052900000000001</v>
      </c>
    </row>
    <row r="3454" spans="1:17" x14ac:dyDescent="0.25">
      <c r="A3454" t="str">
        <f>IF(C3454&amp;G3454&amp;D3454&lt;&gt;'Funnel setup'!$K$3&amp;'Funnel setup'!$K$4&amp;'Funnel setup'!$K$6,".",IF(A3453=".",1,A3453+1))</f>
        <v>.</v>
      </c>
      <c r="B3454" s="244" t="str">
        <f t="shared" si="53"/>
        <v>Total Hip ReplacementSub-ICB of GP PracticeNHS SUFFOLK AND NORTH EAST ESSEX ICB - 06T (06T)EQ VAS</v>
      </c>
      <c r="C3454" t="s">
        <v>974</v>
      </c>
      <c r="D3454" t="s">
        <v>1021</v>
      </c>
      <c r="E3454" t="s">
        <v>941</v>
      </c>
      <c r="F3454" t="s">
        <v>942</v>
      </c>
      <c r="G3454" t="s">
        <v>752</v>
      </c>
      <c r="H3454">
        <v>28</v>
      </c>
      <c r="I3454">
        <v>67.857100000000003</v>
      </c>
      <c r="J3454">
        <v>79.142899999999997</v>
      </c>
      <c r="K3454">
        <v>11.2857</v>
      </c>
      <c r="L3454">
        <v>18</v>
      </c>
      <c r="M3454">
        <v>6</v>
      </c>
      <c r="N3454">
        <v>4</v>
      </c>
      <c r="O3454" t="s">
        <v>127</v>
      </c>
      <c r="P3454" t="s">
        <v>127</v>
      </c>
      <c r="Q3454" t="s">
        <v>127</v>
      </c>
    </row>
    <row r="3455" spans="1:17" x14ac:dyDescent="0.25">
      <c r="A3455" t="str">
        <f>IF(C3455&amp;G3455&amp;D3455&lt;&gt;'Funnel setup'!$K$3&amp;'Funnel setup'!$K$4&amp;'Funnel setup'!$K$6,".",IF(A3454=".",1,A3454+1))</f>
        <v>.</v>
      </c>
      <c r="B3455" s="244" t="str">
        <f t="shared" si="53"/>
        <v>Total Hip ReplacementSub-ICB of GP PracticeNHS SUFFOLK AND NORTH EAST ESSEX ICB - 07K (07K)EQ VAS</v>
      </c>
      <c r="C3455" t="s">
        <v>974</v>
      </c>
      <c r="D3455" t="s">
        <v>1021</v>
      </c>
      <c r="E3455" t="s">
        <v>943</v>
      </c>
      <c r="F3455" t="s">
        <v>944</v>
      </c>
      <c r="G3455" t="s">
        <v>752</v>
      </c>
      <c r="H3455">
        <v>138</v>
      </c>
      <c r="I3455">
        <v>55.804299999999998</v>
      </c>
      <c r="J3455">
        <v>72.804299999999998</v>
      </c>
      <c r="K3455">
        <v>17</v>
      </c>
      <c r="L3455">
        <v>94</v>
      </c>
      <c r="M3455">
        <v>10</v>
      </c>
      <c r="N3455">
        <v>34</v>
      </c>
      <c r="O3455">
        <v>73.174599999999998</v>
      </c>
      <c r="P3455">
        <v>12.358499999999999</v>
      </c>
      <c r="Q3455">
        <v>18.5291</v>
      </c>
    </row>
    <row r="3456" spans="1:17" x14ac:dyDescent="0.25">
      <c r="A3456" t="str">
        <f>IF(C3456&amp;G3456&amp;D3456&lt;&gt;'Funnel setup'!$K$3&amp;'Funnel setup'!$K$4&amp;'Funnel setup'!$K$6,".",IF(A3455=".",1,A3455+1))</f>
        <v>.</v>
      </c>
      <c r="B3456" s="244" t="str">
        <f t="shared" si="53"/>
        <v>Total Hip ReplacementSub-ICB of GP PracticeNHS SURREY HEARTLANDS ICB - 92A (92A)EQ VAS</v>
      </c>
      <c r="C3456" t="s">
        <v>974</v>
      </c>
      <c r="D3456" t="s">
        <v>1021</v>
      </c>
      <c r="E3456" t="s">
        <v>945</v>
      </c>
      <c r="F3456" t="s">
        <v>946</v>
      </c>
      <c r="G3456" t="s">
        <v>752</v>
      </c>
      <c r="H3456">
        <v>377</v>
      </c>
      <c r="I3456">
        <v>63.822299999999998</v>
      </c>
      <c r="J3456">
        <v>77.124700000000004</v>
      </c>
      <c r="K3456">
        <v>13.3024</v>
      </c>
      <c r="L3456">
        <v>258</v>
      </c>
      <c r="M3456">
        <v>42</v>
      </c>
      <c r="N3456">
        <v>77</v>
      </c>
      <c r="O3456">
        <v>75.237700000000004</v>
      </c>
      <c r="P3456">
        <v>14.4216</v>
      </c>
      <c r="Q3456">
        <v>15.376200000000001</v>
      </c>
    </row>
    <row r="3457" spans="1:17" x14ac:dyDescent="0.25">
      <c r="A3457" t="str">
        <f>IF(C3457&amp;G3457&amp;D3457&lt;&gt;'Funnel setup'!$K$3&amp;'Funnel setup'!$K$4&amp;'Funnel setup'!$K$6,".",IF(A3456=".",1,A3456+1))</f>
        <v>.</v>
      </c>
      <c r="B3457" s="244" t="str">
        <f t="shared" si="53"/>
        <v>Total Hip ReplacementSub-ICB of GP PracticeNHS SUSSEX ICB - 09D (09D)EQ VAS</v>
      </c>
      <c r="C3457" t="s">
        <v>974</v>
      </c>
      <c r="D3457" t="s">
        <v>1021</v>
      </c>
      <c r="E3457" t="s">
        <v>947</v>
      </c>
      <c r="F3457" t="s">
        <v>948</v>
      </c>
      <c r="G3457" t="s">
        <v>752</v>
      </c>
      <c r="H3457">
        <v>12</v>
      </c>
      <c r="I3457">
        <v>62.416699999999999</v>
      </c>
      <c r="J3457">
        <v>71</v>
      </c>
      <c r="K3457">
        <v>8.5833300000000001</v>
      </c>
      <c r="L3457">
        <v>8</v>
      </c>
      <c r="M3457">
        <v>0</v>
      </c>
      <c r="N3457">
        <v>4</v>
      </c>
      <c r="O3457" t="s">
        <v>127</v>
      </c>
      <c r="P3457" t="s">
        <v>127</v>
      </c>
      <c r="Q3457" t="s">
        <v>127</v>
      </c>
    </row>
    <row r="3458" spans="1:17" x14ac:dyDescent="0.25">
      <c r="A3458" t="str">
        <f>IF(C3458&amp;G3458&amp;D3458&lt;&gt;'Funnel setup'!$K$3&amp;'Funnel setup'!$K$4&amp;'Funnel setup'!$K$6,".",IF(A3457=".",1,A3457+1))</f>
        <v>.</v>
      </c>
      <c r="B3458" s="244" t="str">
        <f t="shared" ref="B3458:B3521" si="54">C3458&amp;D3458&amp;F3458&amp;G3458</f>
        <v>Total Hip ReplacementSub-ICB of GP PracticeNHS SUSSEX ICB - 70F (70F)EQ VAS</v>
      </c>
      <c r="C3458" t="s">
        <v>974</v>
      </c>
      <c r="D3458" t="s">
        <v>1021</v>
      </c>
      <c r="E3458" t="s">
        <v>949</v>
      </c>
      <c r="F3458" t="s">
        <v>950</v>
      </c>
      <c r="G3458" t="s">
        <v>752</v>
      </c>
      <c r="H3458">
        <v>258</v>
      </c>
      <c r="I3458">
        <v>60.282899999999998</v>
      </c>
      <c r="J3458">
        <v>73.251900000000006</v>
      </c>
      <c r="K3458">
        <v>12.968999999999999</v>
      </c>
      <c r="L3458">
        <v>176</v>
      </c>
      <c r="M3458">
        <v>21</v>
      </c>
      <c r="N3458">
        <v>61</v>
      </c>
      <c r="O3458">
        <v>73.334699999999998</v>
      </c>
      <c r="P3458">
        <v>12.518599999999999</v>
      </c>
      <c r="Q3458">
        <v>18.001000000000001</v>
      </c>
    </row>
    <row r="3459" spans="1:17" x14ac:dyDescent="0.25">
      <c r="A3459" t="str">
        <f>IF(C3459&amp;G3459&amp;D3459&lt;&gt;'Funnel setup'!$K$3&amp;'Funnel setup'!$K$4&amp;'Funnel setup'!$K$6,".",IF(A3458=".",1,A3458+1))</f>
        <v>.</v>
      </c>
      <c r="B3459" s="244" t="str">
        <f t="shared" si="54"/>
        <v>Total Hip ReplacementSub-ICB of GP PracticeNHS SUSSEX ICB - 97R (97R)EQ VAS</v>
      </c>
      <c r="C3459" t="s">
        <v>974</v>
      </c>
      <c r="D3459" t="s">
        <v>1021</v>
      </c>
      <c r="E3459" t="s">
        <v>951</v>
      </c>
      <c r="F3459" t="s">
        <v>952</v>
      </c>
      <c r="G3459" t="s">
        <v>752</v>
      </c>
      <c r="H3459">
        <v>273</v>
      </c>
      <c r="I3459">
        <v>64.615399999999994</v>
      </c>
      <c r="J3459">
        <v>77.047600000000003</v>
      </c>
      <c r="K3459">
        <v>12.4322</v>
      </c>
      <c r="L3459">
        <v>172</v>
      </c>
      <c r="M3459">
        <v>32</v>
      </c>
      <c r="N3459">
        <v>69</v>
      </c>
      <c r="O3459">
        <v>75.526300000000006</v>
      </c>
      <c r="P3459">
        <v>14.7102</v>
      </c>
      <c r="Q3459">
        <v>15.817500000000001</v>
      </c>
    </row>
    <row r="3460" spans="1:17" x14ac:dyDescent="0.25">
      <c r="A3460" t="str">
        <f>IF(C3460&amp;G3460&amp;D3460&lt;&gt;'Funnel setup'!$K$3&amp;'Funnel setup'!$K$4&amp;'Funnel setup'!$K$6,".",IF(A3459=".",1,A3459+1))</f>
        <v>.</v>
      </c>
      <c r="B3460" s="244" t="str">
        <f t="shared" si="54"/>
        <v>Total Hip ReplacementSub-ICB of GP PracticeNHS WEST YORKSHIRE ICB - 02T (02T)EQ VAS</v>
      </c>
      <c r="C3460" t="s">
        <v>974</v>
      </c>
      <c r="D3460" t="s">
        <v>1021</v>
      </c>
      <c r="E3460" t="s">
        <v>953</v>
      </c>
      <c r="F3460" t="s">
        <v>954</v>
      </c>
      <c r="G3460" t="s">
        <v>752</v>
      </c>
      <c r="H3460">
        <v>55</v>
      </c>
      <c r="I3460">
        <v>60.054499999999997</v>
      </c>
      <c r="J3460">
        <v>73.363600000000005</v>
      </c>
      <c r="K3460">
        <v>13.309100000000001</v>
      </c>
      <c r="L3460">
        <v>37</v>
      </c>
      <c r="M3460">
        <v>4</v>
      </c>
      <c r="N3460">
        <v>14</v>
      </c>
      <c r="O3460">
        <v>73.058899999999994</v>
      </c>
      <c r="P3460">
        <v>12.242800000000001</v>
      </c>
      <c r="Q3460">
        <v>18.784300000000002</v>
      </c>
    </row>
    <row r="3461" spans="1:17" x14ac:dyDescent="0.25">
      <c r="A3461" t="str">
        <f>IF(C3461&amp;G3461&amp;D3461&lt;&gt;'Funnel setup'!$K$3&amp;'Funnel setup'!$K$4&amp;'Funnel setup'!$K$6,".",IF(A3460=".",1,A3460+1))</f>
        <v>.</v>
      </c>
      <c r="B3461" s="244" t="str">
        <f t="shared" si="54"/>
        <v>Total Hip ReplacementSub-ICB of GP PracticeNHS WEST YORKSHIRE ICB - 03R (03R)EQ VAS</v>
      </c>
      <c r="C3461" t="s">
        <v>974</v>
      </c>
      <c r="D3461" t="s">
        <v>1021</v>
      </c>
      <c r="E3461" t="s">
        <v>955</v>
      </c>
      <c r="F3461" t="s">
        <v>956</v>
      </c>
      <c r="G3461" t="s">
        <v>752</v>
      </c>
      <c r="H3461">
        <v>163</v>
      </c>
      <c r="I3461">
        <v>58.128799999999998</v>
      </c>
      <c r="J3461">
        <v>72.638000000000005</v>
      </c>
      <c r="K3461">
        <v>14.5092</v>
      </c>
      <c r="L3461">
        <v>113</v>
      </c>
      <c r="M3461">
        <v>9</v>
      </c>
      <c r="N3461">
        <v>41</v>
      </c>
      <c r="O3461">
        <v>74.302300000000002</v>
      </c>
      <c r="P3461">
        <v>13.4862</v>
      </c>
      <c r="Q3461">
        <v>16.8172</v>
      </c>
    </row>
    <row r="3462" spans="1:17" x14ac:dyDescent="0.25">
      <c r="A3462" t="str">
        <f>IF(C3462&amp;G3462&amp;D3462&lt;&gt;'Funnel setup'!$K$3&amp;'Funnel setup'!$K$4&amp;'Funnel setup'!$K$6,".",IF(A3461=".",1,A3461+1))</f>
        <v>.</v>
      </c>
      <c r="B3462" s="244" t="str">
        <f t="shared" si="54"/>
        <v>Total Hip ReplacementSub-ICB of GP PracticeNHS WEST YORKSHIRE ICB - 15F (15F)EQ VAS</v>
      </c>
      <c r="C3462" t="s">
        <v>974</v>
      </c>
      <c r="D3462" t="s">
        <v>1021</v>
      </c>
      <c r="E3462" t="s">
        <v>957</v>
      </c>
      <c r="F3462" t="s">
        <v>958</v>
      </c>
      <c r="G3462" t="s">
        <v>752</v>
      </c>
      <c r="H3462">
        <v>221</v>
      </c>
      <c r="I3462">
        <v>61.914000000000001</v>
      </c>
      <c r="J3462">
        <v>74.547499999999999</v>
      </c>
      <c r="K3462">
        <v>12.6335</v>
      </c>
      <c r="L3462">
        <v>148</v>
      </c>
      <c r="M3462">
        <v>25</v>
      </c>
      <c r="N3462">
        <v>48</v>
      </c>
      <c r="O3462">
        <v>73.925600000000003</v>
      </c>
      <c r="P3462">
        <v>13.109500000000001</v>
      </c>
      <c r="Q3462">
        <v>16.757999999999999</v>
      </c>
    </row>
    <row r="3463" spans="1:17" x14ac:dyDescent="0.25">
      <c r="A3463" t="str">
        <f>IF(C3463&amp;G3463&amp;D3463&lt;&gt;'Funnel setup'!$K$3&amp;'Funnel setup'!$K$4&amp;'Funnel setup'!$K$6,".",IF(A3462=".",1,A3462+1))</f>
        <v>.</v>
      </c>
      <c r="B3463" s="244" t="str">
        <f t="shared" si="54"/>
        <v>Total Hip ReplacementSub-ICB of GP PracticeNHS WEST YORKSHIRE ICB - 36J (36J)EQ VAS</v>
      </c>
      <c r="C3463" t="s">
        <v>974</v>
      </c>
      <c r="D3463" t="s">
        <v>1021</v>
      </c>
      <c r="E3463" t="s">
        <v>959</v>
      </c>
      <c r="F3463" t="s">
        <v>960</v>
      </c>
      <c r="G3463" t="s">
        <v>752</v>
      </c>
      <c r="H3463">
        <v>90</v>
      </c>
      <c r="I3463">
        <v>60.7333</v>
      </c>
      <c r="J3463">
        <v>79.122200000000007</v>
      </c>
      <c r="K3463">
        <v>18.3889</v>
      </c>
      <c r="L3463">
        <v>67</v>
      </c>
      <c r="M3463">
        <v>7</v>
      </c>
      <c r="N3463">
        <v>16</v>
      </c>
      <c r="O3463">
        <v>79.452500000000001</v>
      </c>
      <c r="P3463">
        <v>18.636399999999998</v>
      </c>
      <c r="Q3463">
        <v>15.8879</v>
      </c>
    </row>
    <row r="3464" spans="1:17" x14ac:dyDescent="0.25">
      <c r="A3464" t="str">
        <f>IF(C3464&amp;G3464&amp;D3464&lt;&gt;'Funnel setup'!$K$3&amp;'Funnel setup'!$K$4&amp;'Funnel setup'!$K$6,".",IF(A3463=".",1,A3463+1))</f>
        <v>.</v>
      </c>
      <c r="B3464" s="244" t="str">
        <f t="shared" si="54"/>
        <v>Total Hip ReplacementSub-ICB of GP PracticeNHS WEST YORKSHIRE ICB - X2C4Y (X2C4Y)EQ VAS</v>
      </c>
      <c r="C3464" t="s">
        <v>974</v>
      </c>
      <c r="D3464" t="s">
        <v>1021</v>
      </c>
      <c r="E3464" t="s">
        <v>961</v>
      </c>
      <c r="F3464" t="s">
        <v>962</v>
      </c>
      <c r="G3464" t="s">
        <v>752</v>
      </c>
      <c r="H3464">
        <v>110</v>
      </c>
      <c r="I3464">
        <v>59.145499999999998</v>
      </c>
      <c r="J3464">
        <v>74.690899999999999</v>
      </c>
      <c r="K3464">
        <v>15.545500000000001</v>
      </c>
      <c r="L3464">
        <v>76</v>
      </c>
      <c r="M3464">
        <v>12</v>
      </c>
      <c r="N3464">
        <v>22</v>
      </c>
      <c r="O3464">
        <v>77.02</v>
      </c>
      <c r="P3464">
        <v>16.203900000000001</v>
      </c>
      <c r="Q3464">
        <v>16.289899999999999</v>
      </c>
    </row>
    <row r="3465" spans="1:17" x14ac:dyDescent="0.25">
      <c r="A3465" t="str">
        <f>IF(C3465&amp;G3465&amp;D3465&lt;&gt;'Funnel setup'!$K$3&amp;'Funnel setup'!$K$4&amp;'Funnel setup'!$K$6,".",IF(A3464=".",1,A3464+1))</f>
        <v>.</v>
      </c>
      <c r="B3465" s="244" t="str">
        <f t="shared" si="54"/>
        <v>Total Hip ReplacementSub-ICB of GP PracticeNHS BATH AND NORTH EAST SOMERSET, SWINDON AND WILTSHIRE ICB - 92G (92G)EQ-5D Index</v>
      </c>
      <c r="C3465" t="s">
        <v>974</v>
      </c>
      <c r="D3465" t="s">
        <v>1021</v>
      </c>
      <c r="E3465" t="s">
        <v>750</v>
      </c>
      <c r="F3465" t="s">
        <v>751</v>
      </c>
      <c r="G3465" t="s">
        <v>963</v>
      </c>
      <c r="H3465">
        <v>247</v>
      </c>
      <c r="I3465">
        <v>0.435923</v>
      </c>
      <c r="J3465">
        <v>0.82544499999999998</v>
      </c>
      <c r="K3465">
        <v>0.38952199999999998</v>
      </c>
      <c r="L3465">
        <v>222</v>
      </c>
      <c r="M3465">
        <v>13</v>
      </c>
      <c r="N3465">
        <v>12</v>
      </c>
      <c r="O3465">
        <v>0.77617499999999995</v>
      </c>
      <c r="P3465">
        <v>0.44861899999999999</v>
      </c>
      <c r="Q3465">
        <v>0.20158699999999999</v>
      </c>
    </row>
    <row r="3466" spans="1:17" x14ac:dyDescent="0.25">
      <c r="A3466" t="str">
        <f>IF(C3466&amp;G3466&amp;D3466&lt;&gt;'Funnel setup'!$K$3&amp;'Funnel setup'!$K$4&amp;'Funnel setup'!$K$6,".",IF(A3465=".",1,A3465+1))</f>
        <v>.</v>
      </c>
      <c r="B3466" s="244" t="str">
        <f t="shared" si="54"/>
        <v>Total Hip ReplacementSub-ICB of GP PracticeNHS BEDFORDSHIRE, LUTON AND MILTON KEYNES ICB - M1J4Y (M1J4Y)EQ-5D Index</v>
      </c>
      <c r="C3466" t="s">
        <v>974</v>
      </c>
      <c r="D3466" t="s">
        <v>1021</v>
      </c>
      <c r="E3466" t="s">
        <v>753</v>
      </c>
      <c r="F3466" t="s">
        <v>754</v>
      </c>
      <c r="G3466" t="s">
        <v>963</v>
      </c>
      <c r="H3466">
        <v>227</v>
      </c>
      <c r="I3466">
        <v>0.25144899999999998</v>
      </c>
      <c r="J3466">
        <v>0.74398200000000003</v>
      </c>
      <c r="K3466">
        <v>0.492533</v>
      </c>
      <c r="L3466">
        <v>203</v>
      </c>
      <c r="M3466">
        <v>14</v>
      </c>
      <c r="N3466">
        <v>10</v>
      </c>
      <c r="O3466">
        <v>0.77225900000000003</v>
      </c>
      <c r="P3466">
        <v>0.44470300000000001</v>
      </c>
      <c r="Q3466">
        <v>0.25840999999999997</v>
      </c>
    </row>
    <row r="3467" spans="1:17" x14ac:dyDescent="0.25">
      <c r="A3467" t="str">
        <f>IF(C3467&amp;G3467&amp;D3467&lt;&gt;'Funnel setup'!$K$3&amp;'Funnel setup'!$K$4&amp;'Funnel setup'!$K$6,".",IF(A3466=".",1,A3466+1))</f>
        <v>.</v>
      </c>
      <c r="B3467" s="244" t="str">
        <f t="shared" si="54"/>
        <v>Total Hip ReplacementSub-ICB of GP PracticeNHS BIRMINGHAM AND SOLIHULL ICB - 15E (15E)EQ-5D Index</v>
      </c>
      <c r="C3467" t="s">
        <v>974</v>
      </c>
      <c r="D3467" t="s">
        <v>1021</v>
      </c>
      <c r="E3467" t="s">
        <v>755</v>
      </c>
      <c r="F3467" t="s">
        <v>756</v>
      </c>
      <c r="G3467" t="s">
        <v>963</v>
      </c>
      <c r="H3467">
        <v>361</v>
      </c>
      <c r="I3467">
        <v>0.29694199999999998</v>
      </c>
      <c r="J3467">
        <v>0.80916900000000003</v>
      </c>
      <c r="K3467">
        <v>0.51222699999999999</v>
      </c>
      <c r="L3467">
        <v>339</v>
      </c>
      <c r="M3467">
        <v>6</v>
      </c>
      <c r="N3467">
        <v>16</v>
      </c>
      <c r="O3467">
        <v>0.812662</v>
      </c>
      <c r="P3467">
        <v>0.48510700000000001</v>
      </c>
      <c r="Q3467">
        <v>0.20998700000000001</v>
      </c>
    </row>
    <row r="3468" spans="1:17" x14ac:dyDescent="0.25">
      <c r="A3468" t="str">
        <f>IF(C3468&amp;G3468&amp;D3468&lt;&gt;'Funnel setup'!$K$3&amp;'Funnel setup'!$K$4&amp;'Funnel setup'!$K$6,".",IF(A3467=".",1,A3467+1))</f>
        <v>.</v>
      </c>
      <c r="B3468" s="244" t="str">
        <f t="shared" si="54"/>
        <v>Total Hip ReplacementSub-ICB of GP PracticeNHS BLACK COUNTRY ICB - D2P2L (D2P2L)EQ-5D Index</v>
      </c>
      <c r="C3468" t="s">
        <v>974</v>
      </c>
      <c r="D3468" t="s">
        <v>1021</v>
      </c>
      <c r="E3468" t="s">
        <v>757</v>
      </c>
      <c r="F3468" t="s">
        <v>758</v>
      </c>
      <c r="G3468" t="s">
        <v>963</v>
      </c>
      <c r="H3468">
        <v>259</v>
      </c>
      <c r="I3468">
        <v>0.29181499999999999</v>
      </c>
      <c r="J3468">
        <v>0.77471400000000001</v>
      </c>
      <c r="K3468">
        <v>0.4829</v>
      </c>
      <c r="L3468">
        <v>232</v>
      </c>
      <c r="M3468">
        <v>11</v>
      </c>
      <c r="N3468">
        <v>16</v>
      </c>
      <c r="O3468">
        <v>0.80023999999999995</v>
      </c>
      <c r="P3468">
        <v>0.47268399999999999</v>
      </c>
      <c r="Q3468">
        <v>0.23117799999999999</v>
      </c>
    </row>
    <row r="3469" spans="1:17" x14ac:dyDescent="0.25">
      <c r="A3469" t="str">
        <f>IF(C3469&amp;G3469&amp;D3469&lt;&gt;'Funnel setup'!$K$3&amp;'Funnel setup'!$K$4&amp;'Funnel setup'!$K$6,".",IF(A3468=".",1,A3468+1))</f>
        <v>.</v>
      </c>
      <c r="B3469" s="244" t="str">
        <f t="shared" si="54"/>
        <v>Total Hip ReplacementSub-ICB of GP PracticeNHS BRISTOL, NORTH SOMERSET AND SOUTH GLOUCESTERSHIRE ICB - 15C (15C)EQ-5D Index</v>
      </c>
      <c r="C3469" t="s">
        <v>974</v>
      </c>
      <c r="D3469" t="s">
        <v>1021</v>
      </c>
      <c r="E3469" t="s">
        <v>759</v>
      </c>
      <c r="F3469" t="s">
        <v>760</v>
      </c>
      <c r="G3469" t="s">
        <v>963</v>
      </c>
      <c r="H3469">
        <v>223</v>
      </c>
      <c r="I3469">
        <v>0.38193700000000003</v>
      </c>
      <c r="J3469">
        <v>0.84074000000000004</v>
      </c>
      <c r="K3469">
        <v>0.45880300000000002</v>
      </c>
      <c r="L3469">
        <v>206</v>
      </c>
      <c r="M3469">
        <v>10</v>
      </c>
      <c r="N3469">
        <v>7</v>
      </c>
      <c r="O3469">
        <v>0.81079299999999999</v>
      </c>
      <c r="P3469">
        <v>0.48323700000000003</v>
      </c>
      <c r="Q3469">
        <v>0.21240400000000001</v>
      </c>
    </row>
    <row r="3470" spans="1:17" x14ac:dyDescent="0.25">
      <c r="A3470" t="str">
        <f>IF(C3470&amp;G3470&amp;D3470&lt;&gt;'Funnel setup'!$K$3&amp;'Funnel setup'!$K$4&amp;'Funnel setup'!$K$6,".",IF(A3469=".",1,A3469+1))</f>
        <v>.</v>
      </c>
      <c r="B3470" s="244" t="str">
        <f t="shared" si="54"/>
        <v>Total Hip ReplacementSub-ICB of GP PracticeNHS BUCKINGHAMSHIRE, OXFORDSHIRE AND BERKSHIRE WEST ICB - 10Q (10Q)EQ-5D Index</v>
      </c>
      <c r="C3470" t="s">
        <v>974</v>
      </c>
      <c r="D3470" t="s">
        <v>1021</v>
      </c>
      <c r="E3470" t="s">
        <v>761</v>
      </c>
      <c r="F3470" t="s">
        <v>762</v>
      </c>
      <c r="G3470" t="s">
        <v>963</v>
      </c>
      <c r="H3470">
        <v>355</v>
      </c>
      <c r="I3470">
        <v>0.36388500000000001</v>
      </c>
      <c r="J3470">
        <v>0.80468200000000001</v>
      </c>
      <c r="K3470">
        <v>0.44079699999999999</v>
      </c>
      <c r="L3470">
        <v>320</v>
      </c>
      <c r="M3470">
        <v>18</v>
      </c>
      <c r="N3470">
        <v>17</v>
      </c>
      <c r="O3470">
        <v>0.78405499999999995</v>
      </c>
      <c r="P3470">
        <v>0.45650000000000002</v>
      </c>
      <c r="Q3470">
        <v>0.23813100000000001</v>
      </c>
    </row>
    <row r="3471" spans="1:17" x14ac:dyDescent="0.25">
      <c r="A3471" t="str">
        <f>IF(C3471&amp;G3471&amp;D3471&lt;&gt;'Funnel setup'!$K$3&amp;'Funnel setup'!$K$4&amp;'Funnel setup'!$K$6,".",IF(A3470=".",1,A3470+1))</f>
        <v>.</v>
      </c>
      <c r="B3471" s="244" t="str">
        <f t="shared" si="54"/>
        <v>Total Hip ReplacementSub-ICB of GP PracticeNHS BUCKINGHAMSHIRE, OXFORDSHIRE AND BERKSHIRE WEST ICB - 14Y (14Y)EQ-5D Index</v>
      </c>
      <c r="C3471" t="s">
        <v>974</v>
      </c>
      <c r="D3471" t="s">
        <v>1021</v>
      </c>
      <c r="E3471" t="s">
        <v>763</v>
      </c>
      <c r="F3471" t="s">
        <v>764</v>
      </c>
      <c r="G3471" t="s">
        <v>963</v>
      </c>
      <c r="H3471">
        <v>227</v>
      </c>
      <c r="I3471">
        <v>0.35141899999999998</v>
      </c>
      <c r="J3471">
        <v>0.768154</v>
      </c>
      <c r="K3471">
        <v>0.416736</v>
      </c>
      <c r="L3471">
        <v>202</v>
      </c>
      <c r="M3471">
        <v>11</v>
      </c>
      <c r="N3471">
        <v>14</v>
      </c>
      <c r="O3471">
        <v>0.74222200000000005</v>
      </c>
      <c r="P3471">
        <v>0.41466599999999998</v>
      </c>
      <c r="Q3471">
        <v>0.25421199999999999</v>
      </c>
    </row>
    <row r="3472" spans="1:17" x14ac:dyDescent="0.25">
      <c r="A3472" t="str">
        <f>IF(C3472&amp;G3472&amp;D3472&lt;&gt;'Funnel setup'!$K$3&amp;'Funnel setup'!$K$4&amp;'Funnel setup'!$K$6,".",IF(A3471=".",1,A3471+1))</f>
        <v>.</v>
      </c>
      <c r="B3472" s="244" t="str">
        <f t="shared" si="54"/>
        <v>Total Hip ReplacementSub-ICB of GP PracticeNHS BUCKINGHAMSHIRE, OXFORDSHIRE AND BERKSHIRE WEST ICB - 15A (15A)EQ-5D Index</v>
      </c>
      <c r="C3472" t="s">
        <v>974</v>
      </c>
      <c r="D3472" t="s">
        <v>1021</v>
      </c>
      <c r="E3472" t="s">
        <v>765</v>
      </c>
      <c r="F3472" t="s">
        <v>766</v>
      </c>
      <c r="G3472" t="s">
        <v>963</v>
      </c>
      <c r="H3472">
        <v>65</v>
      </c>
      <c r="I3472">
        <v>0.393123</v>
      </c>
      <c r="J3472">
        <v>0.83587699999999998</v>
      </c>
      <c r="K3472">
        <v>0.44275399999999998</v>
      </c>
      <c r="L3472">
        <v>55</v>
      </c>
      <c r="M3472">
        <v>9</v>
      </c>
      <c r="N3472">
        <v>1</v>
      </c>
      <c r="O3472">
        <v>0.78825800000000001</v>
      </c>
      <c r="P3472">
        <v>0.460702</v>
      </c>
      <c r="Q3472">
        <v>0.21054999999999999</v>
      </c>
    </row>
    <row r="3473" spans="1:17" x14ac:dyDescent="0.25">
      <c r="A3473" t="str">
        <f>IF(C3473&amp;G3473&amp;D3473&lt;&gt;'Funnel setup'!$K$3&amp;'Funnel setup'!$K$4&amp;'Funnel setup'!$K$6,".",IF(A3472=".",1,A3472+1))</f>
        <v>.</v>
      </c>
      <c r="B3473" s="244" t="str">
        <f t="shared" si="54"/>
        <v>Total Hip ReplacementSub-ICB of GP PracticeNHS CAMBRIDGESHIRE AND PETERBOROUGH ICB - 06H (06H)EQ-5D Index</v>
      </c>
      <c r="C3473" t="s">
        <v>974</v>
      </c>
      <c r="D3473" t="s">
        <v>1021</v>
      </c>
      <c r="E3473" t="s">
        <v>767</v>
      </c>
      <c r="F3473" t="s">
        <v>768</v>
      </c>
      <c r="G3473" t="s">
        <v>963</v>
      </c>
      <c r="H3473">
        <v>225</v>
      </c>
      <c r="I3473">
        <v>0.25650699999999999</v>
      </c>
      <c r="J3473">
        <v>0.73540000000000005</v>
      </c>
      <c r="K3473">
        <v>0.47889300000000001</v>
      </c>
      <c r="L3473">
        <v>191</v>
      </c>
      <c r="M3473">
        <v>17</v>
      </c>
      <c r="N3473">
        <v>17</v>
      </c>
      <c r="O3473">
        <v>0.75766900000000004</v>
      </c>
      <c r="P3473">
        <v>0.43011300000000002</v>
      </c>
      <c r="Q3473">
        <v>0.24571000000000001</v>
      </c>
    </row>
    <row r="3474" spans="1:17" x14ac:dyDescent="0.25">
      <c r="A3474" t="str">
        <f>IF(C3474&amp;G3474&amp;D3474&lt;&gt;'Funnel setup'!$K$3&amp;'Funnel setup'!$K$4&amp;'Funnel setup'!$K$6,".",IF(A3473=".",1,A3473+1))</f>
        <v>.</v>
      </c>
      <c r="B3474" s="244" t="str">
        <f t="shared" si="54"/>
        <v>Total Hip ReplacementSub-ICB of GP PracticeNHS CHESHIRE AND MERSEYSIDE ICB - 01F (01F)EQ-5D Index</v>
      </c>
      <c r="C3474" t="s">
        <v>974</v>
      </c>
      <c r="D3474" t="s">
        <v>1021</v>
      </c>
      <c r="E3474" t="s">
        <v>769</v>
      </c>
      <c r="F3474" t="s">
        <v>770</v>
      </c>
      <c r="G3474" t="s">
        <v>963</v>
      </c>
      <c r="H3474">
        <v>32</v>
      </c>
      <c r="I3474">
        <v>0.29909400000000003</v>
      </c>
      <c r="J3474">
        <v>0.68300000000000005</v>
      </c>
      <c r="K3474">
        <v>0.38390600000000003</v>
      </c>
      <c r="L3474">
        <v>29</v>
      </c>
      <c r="M3474">
        <v>1</v>
      </c>
      <c r="N3474">
        <v>2</v>
      </c>
      <c r="O3474">
        <v>0.72335099999999997</v>
      </c>
      <c r="P3474">
        <v>0.39579500000000001</v>
      </c>
      <c r="Q3474">
        <v>0.25573899999999999</v>
      </c>
    </row>
    <row r="3475" spans="1:17" x14ac:dyDescent="0.25">
      <c r="A3475" t="str">
        <f>IF(C3475&amp;G3475&amp;D3475&lt;&gt;'Funnel setup'!$K$3&amp;'Funnel setup'!$K$4&amp;'Funnel setup'!$K$6,".",IF(A3474=".",1,A3474+1))</f>
        <v>.</v>
      </c>
      <c r="B3475" s="244" t="str">
        <f t="shared" si="54"/>
        <v>Total Hip ReplacementSub-ICB of GP PracticeNHS CHESHIRE AND MERSEYSIDE ICB - 01J (01J)EQ-5D Index</v>
      </c>
      <c r="C3475" t="s">
        <v>974</v>
      </c>
      <c r="D3475" t="s">
        <v>1021</v>
      </c>
      <c r="E3475" t="s">
        <v>771</v>
      </c>
      <c r="F3475" t="s">
        <v>772</v>
      </c>
      <c r="G3475" t="s">
        <v>963</v>
      </c>
      <c r="H3475">
        <v>37</v>
      </c>
      <c r="I3475">
        <v>0.18740499999999999</v>
      </c>
      <c r="J3475">
        <v>0.77805400000000002</v>
      </c>
      <c r="K3475">
        <v>0.59064899999999998</v>
      </c>
      <c r="L3475">
        <v>32</v>
      </c>
      <c r="M3475">
        <v>3</v>
      </c>
      <c r="N3475">
        <v>2</v>
      </c>
      <c r="O3475">
        <v>0.83952000000000004</v>
      </c>
      <c r="P3475">
        <v>0.51196399999999997</v>
      </c>
      <c r="Q3475">
        <v>0.22932</v>
      </c>
    </row>
    <row r="3476" spans="1:17" x14ac:dyDescent="0.25">
      <c r="A3476" t="str">
        <f>IF(C3476&amp;G3476&amp;D3476&lt;&gt;'Funnel setup'!$K$3&amp;'Funnel setup'!$K$4&amp;'Funnel setup'!$K$6,".",IF(A3475=".",1,A3475+1))</f>
        <v>.</v>
      </c>
      <c r="B3476" s="244" t="str">
        <f t="shared" si="54"/>
        <v>Total Hip ReplacementSub-ICB of GP PracticeNHS CHESHIRE AND MERSEYSIDE ICB - 01T (01T)EQ-5D Index</v>
      </c>
      <c r="C3476" t="s">
        <v>974</v>
      </c>
      <c r="D3476" t="s">
        <v>1021</v>
      </c>
      <c r="E3476" t="s">
        <v>773</v>
      </c>
      <c r="F3476" t="s">
        <v>774</v>
      </c>
      <c r="G3476" t="s">
        <v>963</v>
      </c>
      <c r="H3476">
        <v>43</v>
      </c>
      <c r="I3476">
        <v>0.31095299999999998</v>
      </c>
      <c r="J3476">
        <v>0.772837</v>
      </c>
      <c r="K3476">
        <v>0.46188400000000002</v>
      </c>
      <c r="L3476">
        <v>39</v>
      </c>
      <c r="M3476">
        <v>3</v>
      </c>
      <c r="N3476">
        <v>1</v>
      </c>
      <c r="O3476">
        <v>0.775617</v>
      </c>
      <c r="P3476">
        <v>0.44806099999999999</v>
      </c>
      <c r="Q3476">
        <v>0.26979700000000001</v>
      </c>
    </row>
    <row r="3477" spans="1:17" x14ac:dyDescent="0.25">
      <c r="A3477" t="str">
        <f>IF(C3477&amp;G3477&amp;D3477&lt;&gt;'Funnel setup'!$K$3&amp;'Funnel setup'!$K$4&amp;'Funnel setup'!$K$6,".",IF(A3476=".",1,A3476+1))</f>
        <v>.</v>
      </c>
      <c r="B3477" s="244" t="str">
        <f t="shared" si="54"/>
        <v>Total Hip ReplacementSub-ICB of GP PracticeNHS CHESHIRE AND MERSEYSIDE ICB - 01V (01V)EQ-5D Index</v>
      </c>
      <c r="C3477" t="s">
        <v>974</v>
      </c>
      <c r="D3477" t="s">
        <v>1021</v>
      </c>
      <c r="E3477" t="s">
        <v>775</v>
      </c>
      <c r="F3477" t="s">
        <v>776</v>
      </c>
      <c r="G3477" t="s">
        <v>963</v>
      </c>
      <c r="H3477">
        <v>23</v>
      </c>
      <c r="I3477">
        <v>0.35178300000000001</v>
      </c>
      <c r="J3477">
        <v>0.76904300000000003</v>
      </c>
      <c r="K3477">
        <v>0.41726099999999999</v>
      </c>
      <c r="L3477">
        <v>22</v>
      </c>
      <c r="M3477">
        <v>0</v>
      </c>
      <c r="N3477">
        <v>1</v>
      </c>
      <c r="O3477" t="s">
        <v>127</v>
      </c>
      <c r="P3477" t="s">
        <v>127</v>
      </c>
      <c r="Q3477" t="s">
        <v>127</v>
      </c>
    </row>
    <row r="3478" spans="1:17" x14ac:dyDescent="0.25">
      <c r="A3478" t="str">
        <f>IF(C3478&amp;G3478&amp;D3478&lt;&gt;'Funnel setup'!$K$3&amp;'Funnel setup'!$K$4&amp;'Funnel setup'!$K$6,".",IF(A3477=".",1,A3477+1))</f>
        <v>.</v>
      </c>
      <c r="B3478" s="244" t="str">
        <f t="shared" si="54"/>
        <v>Total Hip ReplacementSub-ICB of GP PracticeNHS CHESHIRE AND MERSEYSIDE ICB - 01X (01X)EQ-5D Index</v>
      </c>
      <c r="C3478" t="s">
        <v>974</v>
      </c>
      <c r="D3478" t="s">
        <v>1021</v>
      </c>
      <c r="E3478" t="s">
        <v>777</v>
      </c>
      <c r="F3478" t="s">
        <v>778</v>
      </c>
      <c r="G3478" t="s">
        <v>963</v>
      </c>
      <c r="H3478">
        <v>60</v>
      </c>
      <c r="I3478">
        <v>0.22451699999999999</v>
      </c>
      <c r="J3478">
        <v>0.65925</v>
      </c>
      <c r="K3478">
        <v>0.43473299999999998</v>
      </c>
      <c r="L3478">
        <v>51</v>
      </c>
      <c r="M3478">
        <v>5</v>
      </c>
      <c r="N3478">
        <v>4</v>
      </c>
      <c r="O3478">
        <v>0.71500699999999995</v>
      </c>
      <c r="P3478">
        <v>0.38745099999999999</v>
      </c>
      <c r="Q3478">
        <v>0.262324</v>
      </c>
    </row>
    <row r="3479" spans="1:17" x14ac:dyDescent="0.25">
      <c r="A3479" t="str">
        <f>IF(C3479&amp;G3479&amp;D3479&lt;&gt;'Funnel setup'!$K$3&amp;'Funnel setup'!$K$4&amp;'Funnel setup'!$K$6,".",IF(A3478=".",1,A3478+1))</f>
        <v>.</v>
      </c>
      <c r="B3479" s="244" t="str">
        <f t="shared" si="54"/>
        <v>Total Hip ReplacementSub-ICB of GP PracticeNHS CHESHIRE AND MERSEYSIDE ICB - 02E (02E)EQ-5D Index</v>
      </c>
      <c r="C3479" t="s">
        <v>974</v>
      </c>
      <c r="D3479" t="s">
        <v>1021</v>
      </c>
      <c r="E3479" t="s">
        <v>779</v>
      </c>
      <c r="F3479" t="s">
        <v>780</v>
      </c>
      <c r="G3479" t="s">
        <v>963</v>
      </c>
      <c r="H3479">
        <v>32</v>
      </c>
      <c r="I3479">
        <v>0.32200000000000001</v>
      </c>
      <c r="J3479">
        <v>0.74550000000000005</v>
      </c>
      <c r="K3479">
        <v>0.42349999999999999</v>
      </c>
      <c r="L3479">
        <v>29</v>
      </c>
      <c r="M3479">
        <v>1</v>
      </c>
      <c r="N3479">
        <v>2</v>
      </c>
      <c r="O3479">
        <v>0.74266600000000005</v>
      </c>
      <c r="P3479">
        <v>0.41510999999999998</v>
      </c>
      <c r="Q3479">
        <v>0.17203199999999999</v>
      </c>
    </row>
    <row r="3480" spans="1:17" x14ac:dyDescent="0.25">
      <c r="A3480" t="str">
        <f>IF(C3480&amp;G3480&amp;D3480&lt;&gt;'Funnel setup'!$K$3&amp;'Funnel setup'!$K$4&amp;'Funnel setup'!$K$6,".",IF(A3479=".",1,A3479+1))</f>
        <v>.</v>
      </c>
      <c r="B3480" s="244" t="str">
        <f t="shared" si="54"/>
        <v>Total Hip ReplacementSub-ICB of GP PracticeNHS CHESHIRE AND MERSEYSIDE ICB - 12F (12F)EQ-5D Index</v>
      </c>
      <c r="C3480" t="s">
        <v>974</v>
      </c>
      <c r="D3480" t="s">
        <v>1021</v>
      </c>
      <c r="E3480" t="s">
        <v>781</v>
      </c>
      <c r="F3480" t="s">
        <v>782</v>
      </c>
      <c r="G3480" t="s">
        <v>963</v>
      </c>
      <c r="H3480">
        <v>89</v>
      </c>
      <c r="I3480">
        <v>0.32280900000000001</v>
      </c>
      <c r="J3480">
        <v>0.744618</v>
      </c>
      <c r="K3480">
        <v>0.42180899999999999</v>
      </c>
      <c r="L3480">
        <v>76</v>
      </c>
      <c r="M3480">
        <v>11</v>
      </c>
      <c r="N3480">
        <v>2</v>
      </c>
      <c r="O3480">
        <v>0.74427200000000004</v>
      </c>
      <c r="P3480">
        <v>0.41671599999999998</v>
      </c>
      <c r="Q3480">
        <v>0.24282300000000001</v>
      </c>
    </row>
    <row r="3481" spans="1:17" x14ac:dyDescent="0.25">
      <c r="A3481" t="str">
        <f>IF(C3481&amp;G3481&amp;D3481&lt;&gt;'Funnel setup'!$K$3&amp;'Funnel setup'!$K$4&amp;'Funnel setup'!$K$6,".",IF(A3480=".",1,A3480+1))</f>
        <v>.</v>
      </c>
      <c r="B3481" s="244" t="str">
        <f t="shared" si="54"/>
        <v>Total Hip ReplacementSub-ICB of GP PracticeNHS CHESHIRE AND MERSEYSIDE ICB - 27D (27D)EQ-5D Index</v>
      </c>
      <c r="C3481" t="s">
        <v>974</v>
      </c>
      <c r="D3481" t="s">
        <v>1021</v>
      </c>
      <c r="E3481" t="s">
        <v>783</v>
      </c>
      <c r="F3481" t="s">
        <v>784</v>
      </c>
      <c r="G3481" t="s">
        <v>963</v>
      </c>
      <c r="H3481">
        <v>265</v>
      </c>
      <c r="I3481">
        <v>0.32916200000000001</v>
      </c>
      <c r="J3481">
        <v>0.81670900000000002</v>
      </c>
      <c r="K3481">
        <v>0.48754700000000001</v>
      </c>
      <c r="L3481">
        <v>240</v>
      </c>
      <c r="M3481">
        <v>12</v>
      </c>
      <c r="N3481">
        <v>13</v>
      </c>
      <c r="O3481">
        <v>0.808786</v>
      </c>
      <c r="P3481">
        <v>0.48122999999999999</v>
      </c>
      <c r="Q3481">
        <v>0.19422700000000001</v>
      </c>
    </row>
    <row r="3482" spans="1:17" x14ac:dyDescent="0.25">
      <c r="A3482" t="str">
        <f>IF(C3482&amp;G3482&amp;D3482&lt;&gt;'Funnel setup'!$K$3&amp;'Funnel setup'!$K$4&amp;'Funnel setup'!$K$6,".",IF(A3481=".",1,A3481+1))</f>
        <v>.</v>
      </c>
      <c r="B3482" s="244" t="str">
        <f t="shared" si="54"/>
        <v>Total Hip ReplacementSub-ICB of GP PracticeNHS CHESHIRE AND MERSEYSIDE ICB - 99A (99A)EQ-5D Index</v>
      </c>
      <c r="C3482" t="s">
        <v>974</v>
      </c>
      <c r="D3482" t="s">
        <v>1021</v>
      </c>
      <c r="E3482" t="s">
        <v>785</v>
      </c>
      <c r="F3482" t="s">
        <v>786</v>
      </c>
      <c r="G3482" t="s">
        <v>963</v>
      </c>
      <c r="H3482">
        <v>83</v>
      </c>
      <c r="I3482">
        <v>0.171241</v>
      </c>
      <c r="J3482">
        <v>0.70749399999999996</v>
      </c>
      <c r="K3482">
        <v>0.53625299999999998</v>
      </c>
      <c r="L3482">
        <v>76</v>
      </c>
      <c r="M3482">
        <v>5</v>
      </c>
      <c r="N3482">
        <v>2</v>
      </c>
      <c r="O3482">
        <v>0.79805499999999996</v>
      </c>
      <c r="P3482">
        <v>0.470499</v>
      </c>
      <c r="Q3482">
        <v>0.27444000000000002</v>
      </c>
    </row>
    <row r="3483" spans="1:17" x14ac:dyDescent="0.25">
      <c r="A3483" t="str">
        <f>IF(C3483&amp;G3483&amp;D3483&lt;&gt;'Funnel setup'!$K$3&amp;'Funnel setup'!$K$4&amp;'Funnel setup'!$K$6,".",IF(A3482=".",1,A3482+1))</f>
        <v>.</v>
      </c>
      <c r="B3483" s="244" t="str">
        <f t="shared" si="54"/>
        <v>Total Hip ReplacementSub-ICB of GP PracticeNHS CORNWALL AND THE ISLES OF SCILLY ICB - 11N (11N)EQ-5D Index</v>
      </c>
      <c r="C3483" t="s">
        <v>974</v>
      </c>
      <c r="D3483" t="s">
        <v>1021</v>
      </c>
      <c r="E3483" t="s">
        <v>787</v>
      </c>
      <c r="F3483" t="s">
        <v>788</v>
      </c>
      <c r="G3483" t="s">
        <v>963</v>
      </c>
      <c r="H3483">
        <v>160</v>
      </c>
      <c r="I3483">
        <v>0.40044999999999997</v>
      </c>
      <c r="J3483">
        <v>0.83939399999999997</v>
      </c>
      <c r="K3483">
        <v>0.438944</v>
      </c>
      <c r="L3483">
        <v>147</v>
      </c>
      <c r="M3483">
        <v>5</v>
      </c>
      <c r="N3483">
        <v>8</v>
      </c>
      <c r="O3483">
        <v>0.82519500000000001</v>
      </c>
      <c r="P3483">
        <v>0.497639</v>
      </c>
      <c r="Q3483">
        <v>0.24649099999999999</v>
      </c>
    </row>
    <row r="3484" spans="1:17" x14ac:dyDescent="0.25">
      <c r="A3484" t="str">
        <f>IF(C3484&amp;G3484&amp;D3484&lt;&gt;'Funnel setup'!$K$3&amp;'Funnel setup'!$K$4&amp;'Funnel setup'!$K$6,".",IF(A3483=".",1,A3483+1))</f>
        <v>.</v>
      </c>
      <c r="B3484" s="244" t="str">
        <f t="shared" si="54"/>
        <v>Total Hip ReplacementSub-ICB of GP PracticeNHS COVENTRY AND WARWICKSHIRE ICB - B2M3M (B2M3M)EQ-5D Index</v>
      </c>
      <c r="C3484" t="s">
        <v>974</v>
      </c>
      <c r="D3484" t="s">
        <v>1021</v>
      </c>
      <c r="E3484" t="s">
        <v>789</v>
      </c>
      <c r="F3484" t="s">
        <v>790</v>
      </c>
      <c r="G3484" t="s">
        <v>963</v>
      </c>
      <c r="H3484">
        <v>263</v>
      </c>
      <c r="I3484">
        <v>0.40902300000000003</v>
      </c>
      <c r="J3484">
        <v>0.83055900000000005</v>
      </c>
      <c r="K3484">
        <v>0.42153600000000002</v>
      </c>
      <c r="L3484">
        <v>231</v>
      </c>
      <c r="M3484">
        <v>19</v>
      </c>
      <c r="N3484">
        <v>13</v>
      </c>
      <c r="O3484">
        <v>0.78751499999999997</v>
      </c>
      <c r="P3484">
        <v>0.45995900000000001</v>
      </c>
      <c r="Q3484">
        <v>0.21493899999999999</v>
      </c>
    </row>
    <row r="3485" spans="1:17" x14ac:dyDescent="0.25">
      <c r="A3485" t="str">
        <f>IF(C3485&amp;G3485&amp;D3485&lt;&gt;'Funnel setup'!$K$3&amp;'Funnel setup'!$K$4&amp;'Funnel setup'!$K$6,".",IF(A3484=".",1,A3484+1))</f>
        <v>.</v>
      </c>
      <c r="B3485" s="244" t="str">
        <f t="shared" si="54"/>
        <v>Total Hip ReplacementSub-ICB of GP PracticeNHS DERBY AND DERBYSHIRE ICB - 15M (15M)EQ-5D Index</v>
      </c>
      <c r="C3485" t="s">
        <v>974</v>
      </c>
      <c r="D3485" t="s">
        <v>1021</v>
      </c>
      <c r="E3485" t="s">
        <v>791</v>
      </c>
      <c r="F3485" t="s">
        <v>792</v>
      </c>
      <c r="G3485" t="s">
        <v>963</v>
      </c>
      <c r="H3485">
        <v>469</v>
      </c>
      <c r="I3485">
        <v>0.281362</v>
      </c>
      <c r="J3485">
        <v>0.75836899999999996</v>
      </c>
      <c r="K3485">
        <v>0.47700599999999999</v>
      </c>
      <c r="L3485">
        <v>413</v>
      </c>
      <c r="M3485">
        <v>22</v>
      </c>
      <c r="N3485">
        <v>34</v>
      </c>
      <c r="O3485">
        <v>0.77604499999999998</v>
      </c>
      <c r="P3485">
        <v>0.44848900000000003</v>
      </c>
      <c r="Q3485">
        <v>0.24310999999999999</v>
      </c>
    </row>
    <row r="3486" spans="1:17" x14ac:dyDescent="0.25">
      <c r="A3486" t="str">
        <f>IF(C3486&amp;G3486&amp;D3486&lt;&gt;'Funnel setup'!$K$3&amp;'Funnel setup'!$K$4&amp;'Funnel setup'!$K$6,".",IF(A3485=".",1,A3485+1))</f>
        <v>.</v>
      </c>
      <c r="B3486" s="244" t="str">
        <f t="shared" si="54"/>
        <v>Total Hip ReplacementSub-ICB of GP PracticeNHS DEVON ICB - 15N (15N)EQ-5D Index</v>
      </c>
      <c r="C3486" t="s">
        <v>974</v>
      </c>
      <c r="D3486" t="s">
        <v>1021</v>
      </c>
      <c r="E3486" t="s">
        <v>793</v>
      </c>
      <c r="F3486" t="s">
        <v>794</v>
      </c>
      <c r="G3486" t="s">
        <v>963</v>
      </c>
      <c r="H3486">
        <v>359</v>
      </c>
      <c r="I3486">
        <v>0.31923099999999999</v>
      </c>
      <c r="J3486">
        <v>0.811774</v>
      </c>
      <c r="K3486">
        <v>0.49254300000000001</v>
      </c>
      <c r="L3486">
        <v>324</v>
      </c>
      <c r="M3486">
        <v>14</v>
      </c>
      <c r="N3486">
        <v>21</v>
      </c>
      <c r="O3486">
        <v>0.81181199999999998</v>
      </c>
      <c r="P3486">
        <v>0.48425600000000002</v>
      </c>
      <c r="Q3486">
        <v>0.21498600000000001</v>
      </c>
    </row>
    <row r="3487" spans="1:17" x14ac:dyDescent="0.25">
      <c r="A3487" t="str">
        <f>IF(C3487&amp;G3487&amp;D3487&lt;&gt;'Funnel setup'!$K$3&amp;'Funnel setup'!$K$4&amp;'Funnel setup'!$K$6,".",IF(A3486=".",1,A3486+1))</f>
        <v>.</v>
      </c>
      <c r="B3487" s="244" t="str">
        <f t="shared" si="54"/>
        <v>Total Hip ReplacementSub-ICB of GP PracticeNHS DORSET ICB - 11J (11J)EQ-5D Index</v>
      </c>
      <c r="C3487" t="s">
        <v>974</v>
      </c>
      <c r="D3487" t="s">
        <v>1021</v>
      </c>
      <c r="E3487" t="s">
        <v>795</v>
      </c>
      <c r="F3487" t="s">
        <v>796</v>
      </c>
      <c r="G3487" t="s">
        <v>963</v>
      </c>
      <c r="H3487">
        <v>277</v>
      </c>
      <c r="I3487">
        <v>0.38672899999999999</v>
      </c>
      <c r="J3487">
        <v>0.81212600000000001</v>
      </c>
      <c r="K3487">
        <v>0.42539700000000003</v>
      </c>
      <c r="L3487">
        <v>245</v>
      </c>
      <c r="M3487">
        <v>17</v>
      </c>
      <c r="N3487">
        <v>15</v>
      </c>
      <c r="O3487">
        <v>0.79161000000000004</v>
      </c>
      <c r="P3487">
        <v>0.46405400000000002</v>
      </c>
      <c r="Q3487">
        <v>0.23991699999999999</v>
      </c>
    </row>
    <row r="3488" spans="1:17" x14ac:dyDescent="0.25">
      <c r="A3488" t="str">
        <f>IF(C3488&amp;G3488&amp;D3488&lt;&gt;'Funnel setup'!$K$3&amp;'Funnel setup'!$K$4&amp;'Funnel setup'!$K$6,".",IF(A3487=".",1,A3487+1))</f>
        <v>.</v>
      </c>
      <c r="B3488" s="244" t="str">
        <f t="shared" si="54"/>
        <v>Total Hip ReplacementSub-ICB of GP PracticeNHS FRIMLEY ICB - D4U1Y (D4U1Y)EQ-5D Index</v>
      </c>
      <c r="C3488" t="s">
        <v>974</v>
      </c>
      <c r="D3488" t="s">
        <v>1021</v>
      </c>
      <c r="E3488" t="s">
        <v>797</v>
      </c>
      <c r="F3488" t="s">
        <v>798</v>
      </c>
      <c r="G3488" t="s">
        <v>963</v>
      </c>
      <c r="H3488">
        <v>174</v>
      </c>
      <c r="I3488">
        <v>0.35222399999999998</v>
      </c>
      <c r="J3488">
        <v>0.80652900000000005</v>
      </c>
      <c r="K3488">
        <v>0.45430500000000001</v>
      </c>
      <c r="L3488">
        <v>160</v>
      </c>
      <c r="M3488">
        <v>6</v>
      </c>
      <c r="N3488">
        <v>8</v>
      </c>
      <c r="O3488">
        <v>0.79210199999999997</v>
      </c>
      <c r="P3488">
        <v>0.46454600000000001</v>
      </c>
      <c r="Q3488">
        <v>0.20605299999999999</v>
      </c>
    </row>
    <row r="3489" spans="1:17" x14ac:dyDescent="0.25">
      <c r="A3489" t="str">
        <f>IF(C3489&amp;G3489&amp;D3489&lt;&gt;'Funnel setup'!$K$3&amp;'Funnel setup'!$K$4&amp;'Funnel setup'!$K$6,".",IF(A3488=".",1,A3488+1))</f>
        <v>.</v>
      </c>
      <c r="B3489" s="244" t="str">
        <f t="shared" si="54"/>
        <v>Total Hip ReplacementSub-ICB of GP PracticeNHS GLOUCESTERSHIRE ICB - 11M (11M)EQ-5D Index</v>
      </c>
      <c r="C3489" t="s">
        <v>974</v>
      </c>
      <c r="D3489" t="s">
        <v>1021</v>
      </c>
      <c r="E3489" t="s">
        <v>799</v>
      </c>
      <c r="F3489" t="s">
        <v>800</v>
      </c>
      <c r="G3489" t="s">
        <v>963</v>
      </c>
      <c r="H3489">
        <v>166</v>
      </c>
      <c r="I3489">
        <v>0.328795</v>
      </c>
      <c r="J3489">
        <v>0.80465699999999996</v>
      </c>
      <c r="K3489">
        <v>0.47586099999999998</v>
      </c>
      <c r="L3489">
        <v>155</v>
      </c>
      <c r="M3489">
        <v>5</v>
      </c>
      <c r="N3489">
        <v>6</v>
      </c>
      <c r="O3489">
        <v>0.79203599999999996</v>
      </c>
      <c r="P3489">
        <v>0.46448</v>
      </c>
      <c r="Q3489">
        <v>0.20690700000000001</v>
      </c>
    </row>
    <row r="3490" spans="1:17" x14ac:dyDescent="0.25">
      <c r="A3490" t="str">
        <f>IF(C3490&amp;G3490&amp;D3490&lt;&gt;'Funnel setup'!$K$3&amp;'Funnel setup'!$K$4&amp;'Funnel setup'!$K$6,".",IF(A3489=".",1,A3489+1))</f>
        <v>.</v>
      </c>
      <c r="B3490" s="244" t="str">
        <f t="shared" si="54"/>
        <v>Total Hip ReplacementSub-ICB of GP PracticeNHS GREATER MANCHESTER ICB - 00T (00T)EQ-5D Index</v>
      </c>
      <c r="C3490" t="s">
        <v>974</v>
      </c>
      <c r="D3490" t="s">
        <v>1021</v>
      </c>
      <c r="E3490" t="s">
        <v>801</v>
      </c>
      <c r="F3490" t="s">
        <v>802</v>
      </c>
      <c r="G3490" t="s">
        <v>963</v>
      </c>
      <c r="H3490">
        <v>49</v>
      </c>
      <c r="I3490">
        <v>0.24804100000000001</v>
      </c>
      <c r="J3490">
        <v>0.74481600000000003</v>
      </c>
      <c r="K3490">
        <v>0.496776</v>
      </c>
      <c r="L3490">
        <v>44</v>
      </c>
      <c r="M3490">
        <v>1</v>
      </c>
      <c r="N3490">
        <v>4</v>
      </c>
      <c r="O3490">
        <v>0.79913400000000001</v>
      </c>
      <c r="P3490">
        <v>0.471578</v>
      </c>
      <c r="Q3490">
        <v>0.26017699999999999</v>
      </c>
    </row>
    <row r="3491" spans="1:17" x14ac:dyDescent="0.25">
      <c r="A3491" t="str">
        <f>IF(C3491&amp;G3491&amp;D3491&lt;&gt;'Funnel setup'!$K$3&amp;'Funnel setup'!$K$4&amp;'Funnel setup'!$K$6,".",IF(A3490=".",1,A3490+1))</f>
        <v>.</v>
      </c>
      <c r="B3491" s="244" t="str">
        <f t="shared" si="54"/>
        <v>Total Hip ReplacementSub-ICB of GP PracticeNHS GREATER MANCHESTER ICB - 00V (00V)EQ-5D Index</v>
      </c>
      <c r="C3491" t="s">
        <v>974</v>
      </c>
      <c r="D3491" t="s">
        <v>1021</v>
      </c>
      <c r="E3491" t="s">
        <v>803</v>
      </c>
      <c r="F3491" t="s">
        <v>804</v>
      </c>
      <c r="G3491" t="s">
        <v>963</v>
      </c>
      <c r="H3491">
        <v>15</v>
      </c>
      <c r="I3491">
        <v>0.235933</v>
      </c>
      <c r="J3491">
        <v>0.77573300000000001</v>
      </c>
      <c r="K3491">
        <v>0.53979999999999995</v>
      </c>
      <c r="L3491">
        <v>15</v>
      </c>
      <c r="M3491">
        <v>0</v>
      </c>
      <c r="N3491">
        <v>0</v>
      </c>
      <c r="O3491" t="s">
        <v>127</v>
      </c>
      <c r="P3491" t="s">
        <v>127</v>
      </c>
      <c r="Q3491" t="s">
        <v>127</v>
      </c>
    </row>
    <row r="3492" spans="1:17" x14ac:dyDescent="0.25">
      <c r="A3492" t="str">
        <f>IF(C3492&amp;G3492&amp;D3492&lt;&gt;'Funnel setup'!$K$3&amp;'Funnel setup'!$K$4&amp;'Funnel setup'!$K$6,".",IF(A3491=".",1,A3491+1))</f>
        <v>.</v>
      </c>
      <c r="B3492" s="244" t="str">
        <f t="shared" si="54"/>
        <v>Total Hip ReplacementSub-ICB of GP PracticeNHS GREATER MANCHESTER ICB - 00Y (00Y)EQ-5D Index</v>
      </c>
      <c r="C3492" t="s">
        <v>974</v>
      </c>
      <c r="D3492" t="s">
        <v>1021</v>
      </c>
      <c r="E3492" t="s">
        <v>805</v>
      </c>
      <c r="F3492" t="s">
        <v>806</v>
      </c>
      <c r="G3492" t="s">
        <v>963</v>
      </c>
      <c r="H3492">
        <v>66</v>
      </c>
      <c r="I3492">
        <v>0.340227</v>
      </c>
      <c r="J3492">
        <v>0.84721199999999997</v>
      </c>
      <c r="K3492">
        <v>0.50698500000000002</v>
      </c>
      <c r="L3492">
        <v>63</v>
      </c>
      <c r="M3492">
        <v>2</v>
      </c>
      <c r="N3492">
        <v>1</v>
      </c>
      <c r="O3492">
        <v>0.82295499999999999</v>
      </c>
      <c r="P3492">
        <v>0.49539899999999998</v>
      </c>
      <c r="Q3492">
        <v>0.181092</v>
      </c>
    </row>
    <row r="3493" spans="1:17" x14ac:dyDescent="0.25">
      <c r="A3493" t="str">
        <f>IF(C3493&amp;G3493&amp;D3493&lt;&gt;'Funnel setup'!$K$3&amp;'Funnel setup'!$K$4&amp;'Funnel setup'!$K$6,".",IF(A3492=".",1,A3492+1))</f>
        <v>.</v>
      </c>
      <c r="B3493" s="244" t="str">
        <f t="shared" si="54"/>
        <v>Total Hip ReplacementSub-ICB of GP PracticeNHS GREATER MANCHESTER ICB - 01D (01D)EQ-5D Index</v>
      </c>
      <c r="C3493" t="s">
        <v>974</v>
      </c>
      <c r="D3493" t="s">
        <v>1021</v>
      </c>
      <c r="E3493" t="s">
        <v>807</v>
      </c>
      <c r="F3493" t="s">
        <v>808</v>
      </c>
      <c r="G3493" t="s">
        <v>963</v>
      </c>
      <c r="H3493">
        <v>19</v>
      </c>
      <c r="I3493">
        <v>0.331737</v>
      </c>
      <c r="J3493">
        <v>0.71415799999999996</v>
      </c>
      <c r="K3493">
        <v>0.38242100000000001</v>
      </c>
      <c r="L3493">
        <v>17</v>
      </c>
      <c r="M3493">
        <v>0</v>
      </c>
      <c r="N3493">
        <v>2</v>
      </c>
      <c r="O3493" t="s">
        <v>127</v>
      </c>
      <c r="P3493" t="s">
        <v>127</v>
      </c>
      <c r="Q3493" t="s">
        <v>127</v>
      </c>
    </row>
    <row r="3494" spans="1:17" x14ac:dyDescent="0.25">
      <c r="A3494" t="str">
        <f>IF(C3494&amp;G3494&amp;D3494&lt;&gt;'Funnel setup'!$K$3&amp;'Funnel setup'!$K$4&amp;'Funnel setup'!$K$6,".",IF(A3493=".",1,A3493+1))</f>
        <v>.</v>
      </c>
      <c r="B3494" s="244" t="str">
        <f t="shared" si="54"/>
        <v>Total Hip ReplacementSub-ICB of GP PracticeNHS GREATER MANCHESTER ICB - 01G (01G)EQ-5D Index</v>
      </c>
      <c r="C3494" t="s">
        <v>974</v>
      </c>
      <c r="D3494" t="s">
        <v>1021</v>
      </c>
      <c r="E3494" t="s">
        <v>809</v>
      </c>
      <c r="F3494" t="s">
        <v>810</v>
      </c>
      <c r="G3494" t="s">
        <v>963</v>
      </c>
      <c r="H3494">
        <v>35</v>
      </c>
      <c r="I3494">
        <v>0.34548600000000002</v>
      </c>
      <c r="J3494">
        <v>0.77217100000000005</v>
      </c>
      <c r="K3494">
        <v>0.42668600000000001</v>
      </c>
      <c r="L3494">
        <v>27</v>
      </c>
      <c r="M3494">
        <v>5</v>
      </c>
      <c r="N3494">
        <v>3</v>
      </c>
      <c r="O3494">
        <v>0.78304600000000002</v>
      </c>
      <c r="P3494">
        <v>0.45549099999999998</v>
      </c>
      <c r="Q3494">
        <v>0.24240800000000001</v>
      </c>
    </row>
    <row r="3495" spans="1:17" x14ac:dyDescent="0.25">
      <c r="A3495" t="str">
        <f>IF(C3495&amp;G3495&amp;D3495&lt;&gt;'Funnel setup'!$K$3&amp;'Funnel setup'!$K$4&amp;'Funnel setup'!$K$6,".",IF(A3494=".",1,A3494+1))</f>
        <v>.</v>
      </c>
      <c r="B3495" s="244" t="str">
        <f t="shared" si="54"/>
        <v>Total Hip ReplacementSub-ICB of GP PracticeNHS GREATER MANCHESTER ICB - 01W (01W)EQ-5D Index</v>
      </c>
      <c r="C3495" t="s">
        <v>974</v>
      </c>
      <c r="D3495" t="s">
        <v>1021</v>
      </c>
      <c r="E3495" t="s">
        <v>811</v>
      </c>
      <c r="F3495" t="s">
        <v>812</v>
      </c>
      <c r="G3495" t="s">
        <v>963</v>
      </c>
      <c r="H3495">
        <v>83</v>
      </c>
      <c r="I3495">
        <v>0.32195200000000002</v>
      </c>
      <c r="J3495">
        <v>0.80144599999999999</v>
      </c>
      <c r="K3495">
        <v>0.47949399999999998</v>
      </c>
      <c r="L3495">
        <v>77</v>
      </c>
      <c r="M3495">
        <v>3</v>
      </c>
      <c r="N3495">
        <v>3</v>
      </c>
      <c r="O3495">
        <v>0.81904399999999999</v>
      </c>
      <c r="P3495">
        <v>0.49148799999999998</v>
      </c>
      <c r="Q3495">
        <v>0.194575</v>
      </c>
    </row>
    <row r="3496" spans="1:17" x14ac:dyDescent="0.25">
      <c r="A3496" t="str">
        <f>IF(C3496&amp;G3496&amp;D3496&lt;&gt;'Funnel setup'!$K$3&amp;'Funnel setup'!$K$4&amp;'Funnel setup'!$K$6,".",IF(A3495=".",1,A3495+1))</f>
        <v>.</v>
      </c>
      <c r="B3496" s="244" t="str">
        <f t="shared" si="54"/>
        <v>Total Hip ReplacementSub-ICB of GP PracticeNHS GREATER MANCHESTER ICB - 01Y (01Y)EQ-5D Index</v>
      </c>
      <c r="C3496" t="s">
        <v>974</v>
      </c>
      <c r="D3496" t="s">
        <v>1021</v>
      </c>
      <c r="E3496" t="s">
        <v>813</v>
      </c>
      <c r="F3496" t="s">
        <v>814</v>
      </c>
      <c r="G3496" t="s">
        <v>963</v>
      </c>
      <c r="H3496">
        <v>33</v>
      </c>
      <c r="I3496">
        <v>0.33700000000000002</v>
      </c>
      <c r="J3496">
        <v>0.74351500000000004</v>
      </c>
      <c r="K3496">
        <v>0.40651500000000002</v>
      </c>
      <c r="L3496">
        <v>29</v>
      </c>
      <c r="M3496">
        <v>2</v>
      </c>
      <c r="N3496">
        <v>2</v>
      </c>
      <c r="O3496">
        <v>0.73902599999999996</v>
      </c>
      <c r="P3496">
        <v>0.41147</v>
      </c>
      <c r="Q3496">
        <v>0.21974299999999999</v>
      </c>
    </row>
    <row r="3497" spans="1:17" x14ac:dyDescent="0.25">
      <c r="A3497" t="str">
        <f>IF(C3497&amp;G3497&amp;D3497&lt;&gt;'Funnel setup'!$K$3&amp;'Funnel setup'!$K$4&amp;'Funnel setup'!$K$6,".",IF(A3496=".",1,A3496+1))</f>
        <v>.</v>
      </c>
      <c r="B3497" s="244" t="str">
        <f t="shared" si="54"/>
        <v>Total Hip ReplacementSub-ICB of GP PracticeNHS GREATER MANCHESTER ICB - 02A (02A)EQ-5D Index</v>
      </c>
      <c r="C3497" t="s">
        <v>974</v>
      </c>
      <c r="D3497" t="s">
        <v>1021</v>
      </c>
      <c r="E3497" t="s">
        <v>815</v>
      </c>
      <c r="F3497" t="s">
        <v>816</v>
      </c>
      <c r="G3497" t="s">
        <v>963</v>
      </c>
      <c r="H3497">
        <v>78</v>
      </c>
      <c r="I3497">
        <v>0.31962800000000002</v>
      </c>
      <c r="J3497">
        <v>0.75156400000000001</v>
      </c>
      <c r="K3497">
        <v>0.43193599999999999</v>
      </c>
      <c r="L3497">
        <v>70</v>
      </c>
      <c r="M3497">
        <v>2</v>
      </c>
      <c r="N3497">
        <v>6</v>
      </c>
      <c r="O3497">
        <v>0.74857799999999997</v>
      </c>
      <c r="P3497">
        <v>0.42102200000000001</v>
      </c>
      <c r="Q3497">
        <v>0.217224</v>
      </c>
    </row>
    <row r="3498" spans="1:17" x14ac:dyDescent="0.25">
      <c r="A3498" t="str">
        <f>IF(C3498&amp;G3498&amp;D3498&lt;&gt;'Funnel setup'!$K$3&amp;'Funnel setup'!$K$4&amp;'Funnel setup'!$K$6,".",IF(A3497=".",1,A3497+1))</f>
        <v>.</v>
      </c>
      <c r="B3498" s="244" t="str">
        <f t="shared" si="54"/>
        <v>Total Hip ReplacementSub-ICB of GP PracticeNHS GREATER MANCHESTER ICB - 02H (02H)EQ-5D Index</v>
      </c>
      <c r="C3498" t="s">
        <v>974</v>
      </c>
      <c r="D3498" t="s">
        <v>1021</v>
      </c>
      <c r="E3498" t="s">
        <v>817</v>
      </c>
      <c r="F3498" t="s">
        <v>818</v>
      </c>
      <c r="G3498" t="s">
        <v>963</v>
      </c>
      <c r="H3498">
        <v>29</v>
      </c>
      <c r="I3498">
        <v>0.228379</v>
      </c>
      <c r="J3498">
        <v>0.73317200000000005</v>
      </c>
      <c r="K3498">
        <v>0.50479300000000005</v>
      </c>
      <c r="L3498">
        <v>25</v>
      </c>
      <c r="M3498">
        <v>2</v>
      </c>
      <c r="N3498">
        <v>2</v>
      </c>
      <c r="O3498" t="s">
        <v>127</v>
      </c>
      <c r="P3498" t="s">
        <v>127</v>
      </c>
      <c r="Q3498" t="s">
        <v>127</v>
      </c>
    </row>
    <row r="3499" spans="1:17" x14ac:dyDescent="0.25">
      <c r="A3499" t="str">
        <f>IF(C3499&amp;G3499&amp;D3499&lt;&gt;'Funnel setup'!$K$3&amp;'Funnel setup'!$K$4&amp;'Funnel setup'!$K$6,".",IF(A3498=".",1,A3498+1))</f>
        <v>.</v>
      </c>
      <c r="B3499" s="244" t="str">
        <f t="shared" si="54"/>
        <v>Total Hip ReplacementSub-ICB of GP PracticeNHS GREATER MANCHESTER ICB - 14L (14L)EQ-5D Index</v>
      </c>
      <c r="C3499" t="s">
        <v>974</v>
      </c>
      <c r="D3499" t="s">
        <v>1021</v>
      </c>
      <c r="E3499" t="s">
        <v>819</v>
      </c>
      <c r="F3499" t="s">
        <v>820</v>
      </c>
      <c r="G3499" t="s">
        <v>963</v>
      </c>
      <c r="H3499">
        <v>45</v>
      </c>
      <c r="I3499">
        <v>0.24951100000000001</v>
      </c>
      <c r="J3499">
        <v>0.69671099999999997</v>
      </c>
      <c r="K3499">
        <v>0.44719999999999999</v>
      </c>
      <c r="L3499">
        <v>36</v>
      </c>
      <c r="M3499">
        <v>4</v>
      </c>
      <c r="N3499">
        <v>5</v>
      </c>
      <c r="O3499">
        <v>0.73772700000000002</v>
      </c>
      <c r="P3499">
        <v>0.41017100000000001</v>
      </c>
      <c r="Q3499">
        <v>0.30044999999999999</v>
      </c>
    </row>
    <row r="3500" spans="1:17" x14ac:dyDescent="0.25">
      <c r="A3500" t="str">
        <f>IF(C3500&amp;G3500&amp;D3500&lt;&gt;'Funnel setup'!$K$3&amp;'Funnel setup'!$K$4&amp;'Funnel setup'!$K$6,".",IF(A3499=".",1,A3499+1))</f>
        <v>.</v>
      </c>
      <c r="B3500" s="244" t="str">
        <f t="shared" si="54"/>
        <v>Total Hip ReplacementSub-ICB of GP PracticeNHS HAMPSHIRE AND ISLE OF WIGHT ICB - 10R (10R)EQ-5D Index</v>
      </c>
      <c r="C3500" t="s">
        <v>974</v>
      </c>
      <c r="D3500" t="s">
        <v>1021</v>
      </c>
      <c r="E3500" t="s">
        <v>821</v>
      </c>
      <c r="F3500" t="s">
        <v>822</v>
      </c>
      <c r="G3500" t="s">
        <v>963</v>
      </c>
      <c r="H3500">
        <v>12</v>
      </c>
      <c r="I3500">
        <v>0.35483300000000001</v>
      </c>
      <c r="J3500">
        <v>0.723333</v>
      </c>
      <c r="K3500">
        <v>0.36849999999999999</v>
      </c>
      <c r="L3500">
        <v>11</v>
      </c>
      <c r="M3500">
        <v>1</v>
      </c>
      <c r="N3500">
        <v>0</v>
      </c>
      <c r="O3500" t="s">
        <v>127</v>
      </c>
      <c r="P3500" t="s">
        <v>127</v>
      </c>
      <c r="Q3500" t="s">
        <v>127</v>
      </c>
    </row>
    <row r="3501" spans="1:17" x14ac:dyDescent="0.25">
      <c r="A3501" t="str">
        <f>IF(C3501&amp;G3501&amp;D3501&lt;&gt;'Funnel setup'!$K$3&amp;'Funnel setup'!$K$4&amp;'Funnel setup'!$K$6,".",IF(A3500=".",1,A3500+1))</f>
        <v>.</v>
      </c>
      <c r="B3501" s="244" t="str">
        <f t="shared" si="54"/>
        <v>Total Hip ReplacementSub-ICB of GP PracticeNHS HAMPSHIRE AND ISLE OF WIGHT ICB - D9Y0V (D9Y0V)EQ-5D Index</v>
      </c>
      <c r="C3501" t="s">
        <v>974</v>
      </c>
      <c r="D3501" t="s">
        <v>1021</v>
      </c>
      <c r="E3501" t="s">
        <v>823</v>
      </c>
      <c r="F3501" t="s">
        <v>824</v>
      </c>
      <c r="G3501" t="s">
        <v>963</v>
      </c>
      <c r="H3501">
        <v>422</v>
      </c>
      <c r="I3501">
        <v>0.38518000000000002</v>
      </c>
      <c r="J3501">
        <v>0.80040299999999998</v>
      </c>
      <c r="K3501">
        <v>0.41522300000000001</v>
      </c>
      <c r="L3501">
        <v>365</v>
      </c>
      <c r="M3501">
        <v>31</v>
      </c>
      <c r="N3501">
        <v>26</v>
      </c>
      <c r="O3501">
        <v>0.77790599999999999</v>
      </c>
      <c r="P3501">
        <v>0.45034999999999997</v>
      </c>
      <c r="Q3501">
        <v>0.22089200000000001</v>
      </c>
    </row>
    <row r="3502" spans="1:17" x14ac:dyDescent="0.25">
      <c r="A3502" t="str">
        <f>IF(C3502&amp;G3502&amp;D3502&lt;&gt;'Funnel setup'!$K$3&amp;'Funnel setup'!$K$4&amp;'Funnel setup'!$K$6,".",IF(A3501=".",1,A3501+1))</f>
        <v>.</v>
      </c>
      <c r="B3502" s="244" t="str">
        <f t="shared" si="54"/>
        <v>Total Hip ReplacementSub-ICB of GP PracticeNHS HEREFORDSHIRE AND WORCESTERSHIRE ICB - 18C (18C)EQ-5D Index</v>
      </c>
      <c r="C3502" t="s">
        <v>974</v>
      </c>
      <c r="D3502" t="s">
        <v>1021</v>
      </c>
      <c r="E3502" t="s">
        <v>825</v>
      </c>
      <c r="F3502" t="s">
        <v>826</v>
      </c>
      <c r="G3502" t="s">
        <v>963</v>
      </c>
      <c r="H3502">
        <v>220</v>
      </c>
      <c r="I3502">
        <v>0.25375500000000001</v>
      </c>
      <c r="J3502">
        <v>0.77179500000000001</v>
      </c>
      <c r="K3502">
        <v>0.51804099999999997</v>
      </c>
      <c r="L3502">
        <v>201</v>
      </c>
      <c r="M3502">
        <v>6</v>
      </c>
      <c r="N3502">
        <v>13</v>
      </c>
      <c r="O3502">
        <v>0.79596299999999998</v>
      </c>
      <c r="P3502">
        <v>0.46840700000000002</v>
      </c>
      <c r="Q3502">
        <v>0.24491599999999999</v>
      </c>
    </row>
    <row r="3503" spans="1:17" x14ac:dyDescent="0.25">
      <c r="A3503" t="str">
        <f>IF(C3503&amp;G3503&amp;D3503&lt;&gt;'Funnel setup'!$K$3&amp;'Funnel setup'!$K$4&amp;'Funnel setup'!$K$6,".",IF(A3502=".",1,A3502+1))</f>
        <v>.</v>
      </c>
      <c r="B3503" s="244" t="str">
        <f t="shared" si="54"/>
        <v>Total Hip ReplacementSub-ICB of GP PracticeNHS HERTFORDSHIRE AND WEST ESSEX ICB - 06K (06K)EQ-5D Index</v>
      </c>
      <c r="C3503" t="s">
        <v>974</v>
      </c>
      <c r="D3503" t="s">
        <v>1021</v>
      </c>
      <c r="E3503" t="s">
        <v>827</v>
      </c>
      <c r="F3503" t="s">
        <v>828</v>
      </c>
      <c r="G3503" t="s">
        <v>963</v>
      </c>
      <c r="H3503">
        <v>112</v>
      </c>
      <c r="I3503">
        <v>0.32813399999999998</v>
      </c>
      <c r="J3503">
        <v>0.73290200000000005</v>
      </c>
      <c r="K3503">
        <v>0.40476800000000002</v>
      </c>
      <c r="L3503">
        <v>99</v>
      </c>
      <c r="M3503">
        <v>2</v>
      </c>
      <c r="N3503">
        <v>11</v>
      </c>
      <c r="O3503">
        <v>0.73621000000000003</v>
      </c>
      <c r="P3503">
        <v>0.40865400000000002</v>
      </c>
      <c r="Q3503">
        <v>0.26052399999999998</v>
      </c>
    </row>
    <row r="3504" spans="1:17" x14ac:dyDescent="0.25">
      <c r="A3504" t="str">
        <f>IF(C3504&amp;G3504&amp;D3504&lt;&gt;'Funnel setup'!$K$3&amp;'Funnel setup'!$K$4&amp;'Funnel setup'!$K$6,".",IF(A3503=".",1,A3503+1))</f>
        <v>.</v>
      </c>
      <c r="B3504" s="244" t="str">
        <f t="shared" si="54"/>
        <v>Total Hip ReplacementSub-ICB of GP PracticeNHS HERTFORDSHIRE AND WEST ESSEX ICB - 06N (06N)EQ-5D Index</v>
      </c>
      <c r="C3504" t="s">
        <v>974</v>
      </c>
      <c r="D3504" t="s">
        <v>1021</v>
      </c>
      <c r="E3504" t="s">
        <v>829</v>
      </c>
      <c r="F3504" t="s">
        <v>830</v>
      </c>
      <c r="G3504" t="s">
        <v>963</v>
      </c>
      <c r="H3504">
        <v>132</v>
      </c>
      <c r="I3504">
        <v>0.324515</v>
      </c>
      <c r="J3504">
        <v>0.74258299999999999</v>
      </c>
      <c r="K3504">
        <v>0.418068</v>
      </c>
      <c r="L3504">
        <v>115</v>
      </c>
      <c r="M3504">
        <v>7</v>
      </c>
      <c r="N3504">
        <v>10</v>
      </c>
      <c r="O3504">
        <v>0.73796499999999998</v>
      </c>
      <c r="P3504">
        <v>0.41040900000000002</v>
      </c>
      <c r="Q3504">
        <v>0.25375199999999998</v>
      </c>
    </row>
    <row r="3505" spans="1:17" x14ac:dyDescent="0.25">
      <c r="A3505" t="str">
        <f>IF(C3505&amp;G3505&amp;D3505&lt;&gt;'Funnel setup'!$K$3&amp;'Funnel setup'!$K$4&amp;'Funnel setup'!$K$6,".",IF(A3504=".",1,A3504+1))</f>
        <v>.</v>
      </c>
      <c r="B3505" s="244" t="str">
        <f t="shared" si="54"/>
        <v>Total Hip ReplacementSub-ICB of GP PracticeNHS HERTFORDSHIRE AND WEST ESSEX ICB - 07H (07H)EQ-5D Index</v>
      </c>
      <c r="C3505" t="s">
        <v>974</v>
      </c>
      <c r="D3505" t="s">
        <v>1021</v>
      </c>
      <c r="E3505" t="s">
        <v>831</v>
      </c>
      <c r="F3505" t="s">
        <v>832</v>
      </c>
      <c r="G3505" t="s">
        <v>963</v>
      </c>
      <c r="H3505">
        <v>78</v>
      </c>
      <c r="I3505">
        <v>0.35237200000000002</v>
      </c>
      <c r="J3505">
        <v>0.779026</v>
      </c>
      <c r="K3505">
        <v>0.42665399999999998</v>
      </c>
      <c r="L3505">
        <v>73</v>
      </c>
      <c r="M3505">
        <v>2</v>
      </c>
      <c r="N3505">
        <v>3</v>
      </c>
      <c r="O3505">
        <v>0.77216499999999999</v>
      </c>
      <c r="P3505">
        <v>0.44460899999999998</v>
      </c>
      <c r="Q3505">
        <v>0.23486199999999999</v>
      </c>
    </row>
    <row r="3506" spans="1:17" x14ac:dyDescent="0.25">
      <c r="A3506" t="str">
        <f>IF(C3506&amp;G3506&amp;D3506&lt;&gt;'Funnel setup'!$K$3&amp;'Funnel setup'!$K$4&amp;'Funnel setup'!$K$6,".",IF(A3505=".",1,A3505+1))</f>
        <v>.</v>
      </c>
      <c r="B3506" s="244" t="str">
        <f t="shared" si="54"/>
        <v>Total Hip ReplacementSub-ICB of GP PracticeNHS HUMBER AND NORTH YORKSHIRE ICB - 02Y (02Y)EQ-5D Index</v>
      </c>
      <c r="C3506" t="s">
        <v>974</v>
      </c>
      <c r="D3506" t="s">
        <v>1021</v>
      </c>
      <c r="E3506" t="s">
        <v>833</v>
      </c>
      <c r="F3506" t="s">
        <v>834</v>
      </c>
      <c r="G3506" t="s">
        <v>963</v>
      </c>
      <c r="H3506">
        <v>68</v>
      </c>
      <c r="I3506">
        <v>0.31976500000000002</v>
      </c>
      <c r="J3506">
        <v>0.80286800000000003</v>
      </c>
      <c r="K3506">
        <v>0.483103</v>
      </c>
      <c r="L3506">
        <v>61</v>
      </c>
      <c r="M3506">
        <v>2</v>
      </c>
      <c r="N3506">
        <v>5</v>
      </c>
      <c r="O3506">
        <v>0.79856799999999994</v>
      </c>
      <c r="P3506">
        <v>0.47101199999999999</v>
      </c>
      <c r="Q3506">
        <v>0.24621399999999999</v>
      </c>
    </row>
    <row r="3507" spans="1:17" x14ac:dyDescent="0.25">
      <c r="A3507" t="str">
        <f>IF(C3507&amp;G3507&amp;D3507&lt;&gt;'Funnel setup'!$K$3&amp;'Funnel setup'!$K$4&amp;'Funnel setup'!$K$6,".",IF(A3506=".",1,A3506+1))</f>
        <v>.</v>
      </c>
      <c r="B3507" s="244" t="str">
        <f t="shared" si="54"/>
        <v>Total Hip ReplacementSub-ICB of GP PracticeNHS HUMBER AND NORTH YORKSHIRE ICB - 03F (03F)EQ-5D Index</v>
      </c>
      <c r="C3507" t="s">
        <v>974</v>
      </c>
      <c r="D3507" t="s">
        <v>1021</v>
      </c>
      <c r="E3507" t="s">
        <v>835</v>
      </c>
      <c r="F3507" t="s">
        <v>836</v>
      </c>
      <c r="G3507" t="s">
        <v>963</v>
      </c>
      <c r="H3507">
        <v>26</v>
      </c>
      <c r="I3507">
        <v>0.147731</v>
      </c>
      <c r="J3507">
        <v>0.657308</v>
      </c>
      <c r="K3507">
        <v>0.50957699999999995</v>
      </c>
      <c r="L3507">
        <v>23</v>
      </c>
      <c r="M3507">
        <v>2</v>
      </c>
      <c r="N3507">
        <v>1</v>
      </c>
      <c r="O3507" t="s">
        <v>127</v>
      </c>
      <c r="P3507" t="s">
        <v>127</v>
      </c>
      <c r="Q3507" t="s">
        <v>127</v>
      </c>
    </row>
    <row r="3508" spans="1:17" x14ac:dyDescent="0.25">
      <c r="A3508" t="str">
        <f>IF(C3508&amp;G3508&amp;D3508&lt;&gt;'Funnel setup'!$K$3&amp;'Funnel setup'!$K$4&amp;'Funnel setup'!$K$6,".",IF(A3507=".",1,A3507+1))</f>
        <v>.</v>
      </c>
      <c r="B3508" s="244" t="str">
        <f t="shared" si="54"/>
        <v>Total Hip ReplacementSub-ICB of GP PracticeNHS HUMBER AND NORTH YORKSHIRE ICB - 03H (03H)EQ-5D Index</v>
      </c>
      <c r="C3508" t="s">
        <v>974</v>
      </c>
      <c r="D3508" t="s">
        <v>1021</v>
      </c>
      <c r="E3508" t="s">
        <v>837</v>
      </c>
      <c r="F3508" t="s">
        <v>838</v>
      </c>
      <c r="G3508" t="s">
        <v>963</v>
      </c>
      <c r="H3508">
        <v>73</v>
      </c>
      <c r="I3508">
        <v>0.33469900000000002</v>
      </c>
      <c r="J3508">
        <v>0.73953400000000002</v>
      </c>
      <c r="K3508">
        <v>0.40483599999999997</v>
      </c>
      <c r="L3508">
        <v>59</v>
      </c>
      <c r="M3508">
        <v>10</v>
      </c>
      <c r="N3508">
        <v>4</v>
      </c>
      <c r="O3508">
        <v>0.74176200000000003</v>
      </c>
      <c r="P3508">
        <v>0.41420699999999999</v>
      </c>
      <c r="Q3508">
        <v>0.24074100000000001</v>
      </c>
    </row>
    <row r="3509" spans="1:17" x14ac:dyDescent="0.25">
      <c r="A3509" t="str">
        <f>IF(C3509&amp;G3509&amp;D3509&lt;&gt;'Funnel setup'!$K$3&amp;'Funnel setup'!$K$4&amp;'Funnel setup'!$K$6,".",IF(A3508=".",1,A3508+1))</f>
        <v>.</v>
      </c>
      <c r="B3509" s="244" t="str">
        <f t="shared" si="54"/>
        <v>Total Hip ReplacementSub-ICB of GP PracticeNHS HUMBER AND NORTH YORKSHIRE ICB - 03K (03K)EQ-5D Index</v>
      </c>
      <c r="C3509" t="s">
        <v>974</v>
      </c>
      <c r="D3509" t="s">
        <v>1021</v>
      </c>
      <c r="E3509" t="s">
        <v>839</v>
      </c>
      <c r="F3509" t="s">
        <v>840</v>
      </c>
      <c r="G3509" t="s">
        <v>963</v>
      </c>
      <c r="H3509">
        <v>59</v>
      </c>
      <c r="I3509">
        <v>0.30033900000000002</v>
      </c>
      <c r="J3509">
        <v>0.81083099999999997</v>
      </c>
      <c r="K3509">
        <v>0.51049199999999995</v>
      </c>
      <c r="L3509">
        <v>56</v>
      </c>
      <c r="M3509">
        <v>1</v>
      </c>
      <c r="N3509">
        <v>2</v>
      </c>
      <c r="O3509">
        <v>0.80541600000000002</v>
      </c>
      <c r="P3509">
        <v>0.47786000000000001</v>
      </c>
      <c r="Q3509">
        <v>0.20692199999999999</v>
      </c>
    </row>
    <row r="3510" spans="1:17" x14ac:dyDescent="0.25">
      <c r="A3510" t="str">
        <f>IF(C3510&amp;G3510&amp;D3510&lt;&gt;'Funnel setup'!$K$3&amp;'Funnel setup'!$K$4&amp;'Funnel setup'!$K$6,".",IF(A3509=".",1,A3509+1))</f>
        <v>.</v>
      </c>
      <c r="B3510" s="244" t="str">
        <f t="shared" si="54"/>
        <v>Total Hip ReplacementSub-ICB of GP PracticeNHS HUMBER AND NORTH YORKSHIRE ICB - 03Q (03Q)EQ-5D Index</v>
      </c>
      <c r="C3510" t="s">
        <v>974</v>
      </c>
      <c r="D3510" t="s">
        <v>1021</v>
      </c>
      <c r="E3510" t="s">
        <v>841</v>
      </c>
      <c r="F3510" t="s">
        <v>842</v>
      </c>
      <c r="G3510" t="s">
        <v>963</v>
      </c>
      <c r="H3510">
        <v>79</v>
      </c>
      <c r="I3510">
        <v>0.354937</v>
      </c>
      <c r="J3510">
        <v>0.79051899999999997</v>
      </c>
      <c r="K3510">
        <v>0.43558200000000002</v>
      </c>
      <c r="L3510">
        <v>70</v>
      </c>
      <c r="M3510">
        <v>5</v>
      </c>
      <c r="N3510">
        <v>4</v>
      </c>
      <c r="O3510">
        <v>0.78142999999999996</v>
      </c>
      <c r="P3510">
        <v>0.453874</v>
      </c>
      <c r="Q3510">
        <v>0.212367</v>
      </c>
    </row>
    <row r="3511" spans="1:17" x14ac:dyDescent="0.25">
      <c r="A3511" t="str">
        <f>IF(C3511&amp;G3511&amp;D3511&lt;&gt;'Funnel setup'!$K$3&amp;'Funnel setup'!$K$4&amp;'Funnel setup'!$K$6,".",IF(A3510=".",1,A3510+1))</f>
        <v>.</v>
      </c>
      <c r="B3511" s="244" t="str">
        <f t="shared" si="54"/>
        <v>Total Hip ReplacementSub-ICB of GP PracticeNHS HUMBER AND NORTH YORKSHIRE ICB - 42D (42D)EQ-5D Index</v>
      </c>
      <c r="C3511" t="s">
        <v>974</v>
      </c>
      <c r="D3511" t="s">
        <v>1021</v>
      </c>
      <c r="E3511" t="s">
        <v>843</v>
      </c>
      <c r="F3511" t="s">
        <v>844</v>
      </c>
      <c r="G3511" t="s">
        <v>963</v>
      </c>
      <c r="H3511">
        <v>255</v>
      </c>
      <c r="I3511">
        <v>0.30598799999999998</v>
      </c>
      <c r="J3511">
        <v>0.81398400000000004</v>
      </c>
      <c r="K3511">
        <v>0.507996</v>
      </c>
      <c r="L3511">
        <v>237</v>
      </c>
      <c r="M3511">
        <v>8</v>
      </c>
      <c r="N3511">
        <v>10</v>
      </c>
      <c r="O3511">
        <v>0.82396199999999997</v>
      </c>
      <c r="P3511">
        <v>0.49640600000000001</v>
      </c>
      <c r="Q3511">
        <v>0.21981700000000001</v>
      </c>
    </row>
    <row r="3512" spans="1:17" x14ac:dyDescent="0.25">
      <c r="A3512" t="str">
        <f>IF(C3512&amp;G3512&amp;D3512&lt;&gt;'Funnel setup'!$K$3&amp;'Funnel setup'!$K$4&amp;'Funnel setup'!$K$6,".",IF(A3511=".",1,A3511+1))</f>
        <v>.</v>
      </c>
      <c r="B3512" s="244" t="str">
        <f t="shared" si="54"/>
        <v>Total Hip ReplacementSub-ICB of GP PracticeNHS KENT AND MEDWAY ICB - 91Q (91Q)EQ-5D Index</v>
      </c>
      <c r="C3512" t="s">
        <v>974</v>
      </c>
      <c r="D3512" t="s">
        <v>1021</v>
      </c>
      <c r="E3512" t="s">
        <v>845</v>
      </c>
      <c r="F3512" t="s">
        <v>846</v>
      </c>
      <c r="G3512" t="s">
        <v>963</v>
      </c>
      <c r="H3512">
        <v>501</v>
      </c>
      <c r="I3512">
        <v>0.35641299999999998</v>
      </c>
      <c r="J3512">
        <v>0.78615800000000002</v>
      </c>
      <c r="K3512">
        <v>0.42974499999999999</v>
      </c>
      <c r="L3512">
        <v>450</v>
      </c>
      <c r="M3512">
        <v>28</v>
      </c>
      <c r="N3512">
        <v>23</v>
      </c>
      <c r="O3512">
        <v>0.77323900000000001</v>
      </c>
      <c r="P3512">
        <v>0.445683</v>
      </c>
      <c r="Q3512">
        <v>0.221554</v>
      </c>
    </row>
    <row r="3513" spans="1:17" x14ac:dyDescent="0.25">
      <c r="A3513" t="str">
        <f>IF(C3513&amp;G3513&amp;D3513&lt;&gt;'Funnel setup'!$K$3&amp;'Funnel setup'!$K$4&amp;'Funnel setup'!$K$6,".",IF(A3512=".",1,A3512+1))</f>
        <v>.</v>
      </c>
      <c r="B3513" s="244" t="str">
        <f t="shared" si="54"/>
        <v>Total Hip ReplacementSub-ICB of GP PracticeNHS LANCASHIRE AND SOUTH CUMBRIA ICB - 00Q (00Q)EQ-5D Index</v>
      </c>
      <c r="C3513" t="s">
        <v>974</v>
      </c>
      <c r="D3513" t="s">
        <v>1021</v>
      </c>
      <c r="E3513" t="s">
        <v>847</v>
      </c>
      <c r="F3513" t="s">
        <v>848</v>
      </c>
      <c r="G3513" t="s">
        <v>963</v>
      </c>
      <c r="H3513">
        <v>41</v>
      </c>
      <c r="I3513">
        <v>0.36456100000000002</v>
      </c>
      <c r="J3513">
        <v>0.74673199999999995</v>
      </c>
      <c r="K3513">
        <v>0.38217099999999998</v>
      </c>
      <c r="L3513">
        <v>38</v>
      </c>
      <c r="M3513">
        <v>0</v>
      </c>
      <c r="N3513">
        <v>3</v>
      </c>
      <c r="O3513">
        <v>0.76048800000000005</v>
      </c>
      <c r="P3513">
        <v>0.43293199999999998</v>
      </c>
      <c r="Q3513">
        <v>0.22529199999999999</v>
      </c>
    </row>
    <row r="3514" spans="1:17" x14ac:dyDescent="0.25">
      <c r="A3514" t="str">
        <f>IF(C3514&amp;G3514&amp;D3514&lt;&gt;'Funnel setup'!$K$3&amp;'Funnel setup'!$K$4&amp;'Funnel setup'!$K$6,".",IF(A3513=".",1,A3513+1))</f>
        <v>.</v>
      </c>
      <c r="B3514" s="244" t="str">
        <f t="shared" si="54"/>
        <v>Total Hip ReplacementSub-ICB of GP PracticeNHS LANCASHIRE AND SOUTH CUMBRIA ICB - 00R (00R)EQ-5D Index</v>
      </c>
      <c r="C3514" t="s">
        <v>974</v>
      </c>
      <c r="D3514" t="s">
        <v>1021</v>
      </c>
      <c r="E3514" t="s">
        <v>849</v>
      </c>
      <c r="F3514" t="s">
        <v>850</v>
      </c>
      <c r="G3514" t="s">
        <v>963</v>
      </c>
      <c r="H3514">
        <v>37</v>
      </c>
      <c r="I3514">
        <v>0.35248600000000002</v>
      </c>
      <c r="J3514">
        <v>0.78927000000000003</v>
      </c>
      <c r="K3514">
        <v>0.43678400000000001</v>
      </c>
      <c r="L3514">
        <v>33</v>
      </c>
      <c r="M3514">
        <v>2</v>
      </c>
      <c r="N3514">
        <v>2</v>
      </c>
      <c r="O3514">
        <v>0.80529700000000004</v>
      </c>
      <c r="P3514">
        <v>0.477742</v>
      </c>
      <c r="Q3514">
        <v>0.232242</v>
      </c>
    </row>
    <row r="3515" spans="1:17" x14ac:dyDescent="0.25">
      <c r="A3515" t="str">
        <f>IF(C3515&amp;G3515&amp;D3515&lt;&gt;'Funnel setup'!$K$3&amp;'Funnel setup'!$K$4&amp;'Funnel setup'!$K$6,".",IF(A3514=".",1,A3514+1))</f>
        <v>.</v>
      </c>
      <c r="B3515" s="244" t="str">
        <f t="shared" si="54"/>
        <v>Total Hip ReplacementSub-ICB of GP PracticeNHS LANCASHIRE AND SOUTH CUMBRIA ICB - 00X (00X)EQ-5D Index</v>
      </c>
      <c r="C3515" t="s">
        <v>974</v>
      </c>
      <c r="D3515" t="s">
        <v>1021</v>
      </c>
      <c r="E3515" t="s">
        <v>851</v>
      </c>
      <c r="F3515" t="s">
        <v>852</v>
      </c>
      <c r="G3515" t="s">
        <v>963</v>
      </c>
      <c r="H3515">
        <v>61</v>
      </c>
      <c r="I3515">
        <v>0.27213100000000001</v>
      </c>
      <c r="J3515">
        <v>0.80945900000000004</v>
      </c>
      <c r="K3515">
        <v>0.53732800000000003</v>
      </c>
      <c r="L3515">
        <v>58</v>
      </c>
      <c r="M3515">
        <v>2</v>
      </c>
      <c r="N3515">
        <v>1</v>
      </c>
      <c r="O3515">
        <v>0.82344700000000004</v>
      </c>
      <c r="P3515">
        <v>0.49589100000000003</v>
      </c>
      <c r="Q3515">
        <v>0.20807999999999999</v>
      </c>
    </row>
    <row r="3516" spans="1:17" x14ac:dyDescent="0.25">
      <c r="A3516" t="str">
        <f>IF(C3516&amp;G3516&amp;D3516&lt;&gt;'Funnel setup'!$K$3&amp;'Funnel setup'!$K$4&amp;'Funnel setup'!$K$6,".",IF(A3515=".",1,A3515+1))</f>
        <v>.</v>
      </c>
      <c r="B3516" s="244" t="str">
        <f t="shared" si="54"/>
        <v>Total Hip ReplacementSub-ICB of GP PracticeNHS LANCASHIRE AND SOUTH CUMBRIA ICB - 01A (01A)EQ-5D Index</v>
      </c>
      <c r="C3516" t="s">
        <v>974</v>
      </c>
      <c r="D3516" t="s">
        <v>1021</v>
      </c>
      <c r="E3516" t="s">
        <v>853</v>
      </c>
      <c r="F3516" t="s">
        <v>854</v>
      </c>
      <c r="G3516" t="s">
        <v>963</v>
      </c>
      <c r="H3516">
        <v>150</v>
      </c>
      <c r="I3516">
        <v>0.34940700000000002</v>
      </c>
      <c r="J3516">
        <v>0.81202700000000005</v>
      </c>
      <c r="K3516">
        <v>0.46261999999999998</v>
      </c>
      <c r="L3516">
        <v>138</v>
      </c>
      <c r="M3516">
        <v>2</v>
      </c>
      <c r="N3516">
        <v>10</v>
      </c>
      <c r="O3516">
        <v>0.80558799999999997</v>
      </c>
      <c r="P3516">
        <v>0.47803200000000001</v>
      </c>
      <c r="Q3516">
        <v>0.243588</v>
      </c>
    </row>
    <row r="3517" spans="1:17" x14ac:dyDescent="0.25">
      <c r="A3517" t="str">
        <f>IF(C3517&amp;G3517&amp;D3517&lt;&gt;'Funnel setup'!$K$3&amp;'Funnel setup'!$K$4&amp;'Funnel setup'!$K$6,".",IF(A3516=".",1,A3516+1))</f>
        <v>.</v>
      </c>
      <c r="B3517" s="244" t="str">
        <f t="shared" si="54"/>
        <v>Total Hip ReplacementSub-ICB of GP PracticeNHS LANCASHIRE AND SOUTH CUMBRIA ICB - 01E (01E)EQ-5D Index</v>
      </c>
      <c r="C3517" t="s">
        <v>974</v>
      </c>
      <c r="D3517" t="s">
        <v>1021</v>
      </c>
      <c r="E3517" t="s">
        <v>855</v>
      </c>
      <c r="F3517" t="s">
        <v>856</v>
      </c>
      <c r="G3517" t="s">
        <v>963</v>
      </c>
      <c r="H3517">
        <v>58</v>
      </c>
      <c r="I3517">
        <v>0.40615499999999999</v>
      </c>
      <c r="J3517">
        <v>0.83008599999999999</v>
      </c>
      <c r="K3517">
        <v>0.423931</v>
      </c>
      <c r="L3517">
        <v>51</v>
      </c>
      <c r="M3517">
        <v>3</v>
      </c>
      <c r="N3517">
        <v>4</v>
      </c>
      <c r="O3517">
        <v>0.80582200000000004</v>
      </c>
      <c r="P3517">
        <v>0.47826600000000002</v>
      </c>
      <c r="Q3517">
        <v>0.22722999999999999</v>
      </c>
    </row>
    <row r="3518" spans="1:17" x14ac:dyDescent="0.25">
      <c r="A3518" t="str">
        <f>IF(C3518&amp;G3518&amp;D3518&lt;&gt;'Funnel setup'!$K$3&amp;'Funnel setup'!$K$4&amp;'Funnel setup'!$K$6,".",IF(A3517=".",1,A3517+1))</f>
        <v>.</v>
      </c>
      <c r="B3518" s="244" t="str">
        <f t="shared" si="54"/>
        <v>Total Hip ReplacementSub-ICB of GP PracticeNHS LANCASHIRE AND SOUTH CUMBRIA ICB - 01K (01K)EQ-5D Index</v>
      </c>
      <c r="C3518" t="s">
        <v>974</v>
      </c>
      <c r="D3518" t="s">
        <v>1021</v>
      </c>
      <c r="E3518" t="s">
        <v>857</v>
      </c>
      <c r="F3518" t="s">
        <v>858</v>
      </c>
      <c r="G3518" t="s">
        <v>963</v>
      </c>
      <c r="H3518">
        <v>192</v>
      </c>
      <c r="I3518">
        <v>0.32804699999999998</v>
      </c>
      <c r="J3518">
        <v>0.80043200000000003</v>
      </c>
      <c r="K3518">
        <v>0.472385</v>
      </c>
      <c r="L3518">
        <v>179</v>
      </c>
      <c r="M3518">
        <v>7</v>
      </c>
      <c r="N3518">
        <v>6</v>
      </c>
      <c r="O3518">
        <v>0.79293400000000003</v>
      </c>
      <c r="P3518">
        <v>0.46537800000000001</v>
      </c>
      <c r="Q3518">
        <v>0.19955800000000001</v>
      </c>
    </row>
    <row r="3519" spans="1:17" x14ac:dyDescent="0.25">
      <c r="A3519" t="str">
        <f>IF(C3519&amp;G3519&amp;D3519&lt;&gt;'Funnel setup'!$K$3&amp;'Funnel setup'!$K$4&amp;'Funnel setup'!$K$6,".",IF(A3518=".",1,A3518+1))</f>
        <v>.</v>
      </c>
      <c r="B3519" s="244" t="str">
        <f t="shared" si="54"/>
        <v>Total Hip ReplacementSub-ICB of GP PracticeNHS LANCASHIRE AND SOUTH CUMBRIA ICB - 02G (02G)EQ-5D Index</v>
      </c>
      <c r="C3519" t="s">
        <v>974</v>
      </c>
      <c r="D3519" t="s">
        <v>1021</v>
      </c>
      <c r="E3519" t="s">
        <v>859</v>
      </c>
      <c r="F3519" t="s">
        <v>860</v>
      </c>
      <c r="G3519" t="s">
        <v>963</v>
      </c>
      <c r="H3519">
        <v>32</v>
      </c>
      <c r="I3519">
        <v>0.28096900000000002</v>
      </c>
      <c r="J3519">
        <v>0.83387500000000003</v>
      </c>
      <c r="K3519">
        <v>0.55290600000000001</v>
      </c>
      <c r="L3519">
        <v>30</v>
      </c>
      <c r="M3519">
        <v>1</v>
      </c>
      <c r="N3519">
        <v>1</v>
      </c>
      <c r="O3519">
        <v>0.80928</v>
      </c>
      <c r="P3519">
        <v>0.48172500000000001</v>
      </c>
      <c r="Q3519">
        <v>0.25123400000000001</v>
      </c>
    </row>
    <row r="3520" spans="1:17" x14ac:dyDescent="0.25">
      <c r="A3520" t="str">
        <f>IF(C3520&amp;G3520&amp;D3520&lt;&gt;'Funnel setup'!$K$3&amp;'Funnel setup'!$K$4&amp;'Funnel setup'!$K$6,".",IF(A3519=".",1,A3519+1))</f>
        <v>.</v>
      </c>
      <c r="B3520" s="244" t="str">
        <f t="shared" si="54"/>
        <v>Total Hip ReplacementSub-ICB of GP PracticeNHS LANCASHIRE AND SOUTH CUMBRIA ICB - 02M (02M)EQ-5D Index</v>
      </c>
      <c r="C3520" t="s">
        <v>974</v>
      </c>
      <c r="D3520" t="s">
        <v>1021</v>
      </c>
      <c r="E3520" t="s">
        <v>861</v>
      </c>
      <c r="F3520" t="s">
        <v>862</v>
      </c>
      <c r="G3520" t="s">
        <v>963</v>
      </c>
      <c r="H3520">
        <v>74</v>
      </c>
      <c r="I3520">
        <v>0.43817600000000001</v>
      </c>
      <c r="J3520">
        <v>0.77762200000000004</v>
      </c>
      <c r="K3520">
        <v>0.33944600000000003</v>
      </c>
      <c r="L3520">
        <v>65</v>
      </c>
      <c r="M3520">
        <v>3</v>
      </c>
      <c r="N3520">
        <v>6</v>
      </c>
      <c r="O3520">
        <v>0.76007999999999998</v>
      </c>
      <c r="P3520">
        <v>0.43252499999999999</v>
      </c>
      <c r="Q3520">
        <v>0.22507099999999999</v>
      </c>
    </row>
    <row r="3521" spans="1:17" x14ac:dyDescent="0.25">
      <c r="A3521" t="str">
        <f>IF(C3521&amp;G3521&amp;D3521&lt;&gt;'Funnel setup'!$K$3&amp;'Funnel setup'!$K$4&amp;'Funnel setup'!$K$6,".",IF(A3520=".",1,A3520+1))</f>
        <v>.</v>
      </c>
      <c r="B3521" s="244" t="str">
        <f t="shared" si="54"/>
        <v>Total Hip ReplacementSub-ICB of GP PracticeNHS LEICESTER, LEICESTERSHIRE AND RUTLAND ICB - 03W (03W)EQ-5D Index</v>
      </c>
      <c r="C3521" t="s">
        <v>974</v>
      </c>
      <c r="D3521" t="s">
        <v>1021</v>
      </c>
      <c r="E3521" t="s">
        <v>863</v>
      </c>
      <c r="F3521" t="s">
        <v>864</v>
      </c>
      <c r="G3521" t="s">
        <v>963</v>
      </c>
      <c r="H3521">
        <v>111</v>
      </c>
      <c r="I3521">
        <v>0.32413500000000001</v>
      </c>
      <c r="J3521">
        <v>0.76270300000000002</v>
      </c>
      <c r="K3521">
        <v>0.43856800000000001</v>
      </c>
      <c r="L3521">
        <v>102</v>
      </c>
      <c r="M3521">
        <v>3</v>
      </c>
      <c r="N3521">
        <v>6</v>
      </c>
      <c r="O3521">
        <v>0.75760700000000003</v>
      </c>
      <c r="P3521">
        <v>0.43005100000000002</v>
      </c>
      <c r="Q3521">
        <v>0.225379</v>
      </c>
    </row>
    <row r="3522" spans="1:17" x14ac:dyDescent="0.25">
      <c r="A3522" t="str">
        <f>IF(C3522&amp;G3522&amp;D3522&lt;&gt;'Funnel setup'!$K$3&amp;'Funnel setup'!$K$4&amp;'Funnel setup'!$K$6,".",IF(A3521=".",1,A3521+1))</f>
        <v>.</v>
      </c>
      <c r="B3522" s="244" t="str">
        <f t="shared" ref="B3522:B3585" si="55">C3522&amp;D3522&amp;F3522&amp;G3522</f>
        <v>Total Hip ReplacementSub-ICB of GP PracticeNHS LEICESTER, LEICESTERSHIRE AND RUTLAND ICB - 04C (04C)EQ-5D Index</v>
      </c>
      <c r="C3522" t="s">
        <v>974</v>
      </c>
      <c r="D3522" t="s">
        <v>1021</v>
      </c>
      <c r="E3522" t="s">
        <v>865</v>
      </c>
      <c r="F3522" t="s">
        <v>866</v>
      </c>
      <c r="G3522" t="s">
        <v>963</v>
      </c>
      <c r="H3522">
        <v>36</v>
      </c>
      <c r="I3522">
        <v>0.243919</v>
      </c>
      <c r="J3522">
        <v>0.76497300000000001</v>
      </c>
      <c r="K3522">
        <v>0.52105400000000002</v>
      </c>
      <c r="L3522">
        <v>30</v>
      </c>
      <c r="M3522">
        <v>3</v>
      </c>
      <c r="N3522">
        <v>3</v>
      </c>
      <c r="O3522">
        <v>0.80696900000000005</v>
      </c>
      <c r="P3522">
        <v>0.47941299999999998</v>
      </c>
      <c r="Q3522">
        <v>0.21757799999999999</v>
      </c>
    </row>
    <row r="3523" spans="1:17" x14ac:dyDescent="0.25">
      <c r="A3523" t="str">
        <f>IF(C3523&amp;G3523&amp;D3523&lt;&gt;'Funnel setup'!$K$3&amp;'Funnel setup'!$K$4&amp;'Funnel setup'!$K$6,".",IF(A3522=".",1,A3522+1))</f>
        <v>.</v>
      </c>
      <c r="B3523" s="244" t="str">
        <f t="shared" si="55"/>
        <v>Total Hip ReplacementSub-ICB of GP PracticeNHS LEICESTER, LEICESTERSHIRE AND RUTLAND ICB - 04V (04V)EQ-5D Index</v>
      </c>
      <c r="C3523" t="s">
        <v>974</v>
      </c>
      <c r="D3523" t="s">
        <v>1021</v>
      </c>
      <c r="E3523" t="s">
        <v>867</v>
      </c>
      <c r="F3523" t="s">
        <v>868</v>
      </c>
      <c r="G3523" t="s">
        <v>963</v>
      </c>
      <c r="H3523">
        <v>112</v>
      </c>
      <c r="I3523">
        <v>0.35398200000000002</v>
      </c>
      <c r="J3523">
        <v>0.79049100000000005</v>
      </c>
      <c r="K3523">
        <v>0.43650899999999998</v>
      </c>
      <c r="L3523">
        <v>97</v>
      </c>
      <c r="M3523">
        <v>11</v>
      </c>
      <c r="N3523">
        <v>4</v>
      </c>
      <c r="O3523">
        <v>0.78391299999999997</v>
      </c>
      <c r="P3523">
        <v>0.45635700000000001</v>
      </c>
      <c r="Q3523">
        <v>0.21163399999999999</v>
      </c>
    </row>
    <row r="3524" spans="1:17" x14ac:dyDescent="0.25">
      <c r="A3524" t="str">
        <f>IF(C3524&amp;G3524&amp;D3524&lt;&gt;'Funnel setup'!$K$3&amp;'Funnel setup'!$K$4&amp;'Funnel setup'!$K$6,".",IF(A3523=".",1,A3523+1))</f>
        <v>.</v>
      </c>
      <c r="B3524" s="244" t="str">
        <f t="shared" si="55"/>
        <v>Total Hip ReplacementSub-ICB of GP PracticeNHS LINCOLNSHIRE ICB - 71E (71E)EQ-5D Index</v>
      </c>
      <c r="C3524" t="s">
        <v>974</v>
      </c>
      <c r="D3524" t="s">
        <v>1021</v>
      </c>
      <c r="E3524" t="s">
        <v>869</v>
      </c>
      <c r="F3524" t="s">
        <v>870</v>
      </c>
      <c r="G3524" t="s">
        <v>963</v>
      </c>
      <c r="H3524">
        <v>258</v>
      </c>
      <c r="I3524">
        <v>0.33505400000000002</v>
      </c>
      <c r="J3524">
        <v>0.80088000000000004</v>
      </c>
      <c r="K3524">
        <v>0.46582600000000002</v>
      </c>
      <c r="L3524">
        <v>230</v>
      </c>
      <c r="M3524">
        <v>15</v>
      </c>
      <c r="N3524">
        <v>13</v>
      </c>
      <c r="O3524">
        <v>0.79919799999999996</v>
      </c>
      <c r="P3524">
        <v>0.47164200000000001</v>
      </c>
      <c r="Q3524">
        <v>0.241926</v>
      </c>
    </row>
    <row r="3525" spans="1:17" x14ac:dyDescent="0.25">
      <c r="A3525" t="str">
        <f>IF(C3525&amp;G3525&amp;D3525&lt;&gt;'Funnel setup'!$K$3&amp;'Funnel setup'!$K$4&amp;'Funnel setup'!$K$6,".",IF(A3524=".",1,A3524+1))</f>
        <v>.</v>
      </c>
      <c r="B3525" s="244" t="str">
        <f t="shared" si="55"/>
        <v>Total Hip ReplacementSub-ICB of GP PracticeNHS MID AND SOUTH ESSEX ICB - 06Q (06Q)EQ-5D Index</v>
      </c>
      <c r="C3525" t="s">
        <v>974</v>
      </c>
      <c r="D3525" t="s">
        <v>1021</v>
      </c>
      <c r="E3525" t="s">
        <v>871</v>
      </c>
      <c r="F3525" t="s">
        <v>872</v>
      </c>
      <c r="G3525" t="s">
        <v>963</v>
      </c>
      <c r="H3525">
        <v>111</v>
      </c>
      <c r="I3525">
        <v>0.32561299999999999</v>
      </c>
      <c r="J3525">
        <v>0.81910799999999995</v>
      </c>
      <c r="K3525">
        <v>0.49349500000000002</v>
      </c>
      <c r="L3525">
        <v>106</v>
      </c>
      <c r="M3525">
        <v>2</v>
      </c>
      <c r="N3525">
        <v>3</v>
      </c>
      <c r="O3525">
        <v>0.812944</v>
      </c>
      <c r="P3525">
        <v>0.48538900000000001</v>
      </c>
      <c r="Q3525">
        <v>0.227071</v>
      </c>
    </row>
    <row r="3526" spans="1:17" x14ac:dyDescent="0.25">
      <c r="A3526" t="str">
        <f>IF(C3526&amp;G3526&amp;D3526&lt;&gt;'Funnel setup'!$K$3&amp;'Funnel setup'!$K$4&amp;'Funnel setup'!$K$6,".",IF(A3525=".",1,A3525+1))</f>
        <v>.</v>
      </c>
      <c r="B3526" s="244" t="str">
        <f t="shared" si="55"/>
        <v>Total Hip ReplacementSub-ICB of GP PracticeNHS MID AND SOUTH ESSEX ICB - 07G (07G)EQ-5D Index</v>
      </c>
      <c r="C3526" t="s">
        <v>974</v>
      </c>
      <c r="D3526" t="s">
        <v>1021</v>
      </c>
      <c r="E3526" t="s">
        <v>873</v>
      </c>
      <c r="F3526" t="s">
        <v>874</v>
      </c>
      <c r="G3526" t="s">
        <v>963</v>
      </c>
      <c r="H3526">
        <v>33</v>
      </c>
      <c r="I3526">
        <v>0.25212099999999998</v>
      </c>
      <c r="J3526">
        <v>0.754</v>
      </c>
      <c r="K3526">
        <v>0.50187899999999996</v>
      </c>
      <c r="L3526">
        <v>29</v>
      </c>
      <c r="M3526">
        <v>2</v>
      </c>
      <c r="N3526">
        <v>2</v>
      </c>
      <c r="O3526">
        <v>0.78993000000000002</v>
      </c>
      <c r="P3526">
        <v>0.46237400000000001</v>
      </c>
      <c r="Q3526">
        <v>0.205564</v>
      </c>
    </row>
    <row r="3527" spans="1:17" x14ac:dyDescent="0.25">
      <c r="A3527" t="str">
        <f>IF(C3527&amp;G3527&amp;D3527&lt;&gt;'Funnel setup'!$K$3&amp;'Funnel setup'!$K$4&amp;'Funnel setup'!$K$6,".",IF(A3526=".",1,A3526+1))</f>
        <v>.</v>
      </c>
      <c r="B3527" s="244" t="str">
        <f t="shared" si="55"/>
        <v>Total Hip ReplacementSub-ICB of GP PracticeNHS MID AND SOUTH ESSEX ICB - 99E (99E)EQ-5D Index</v>
      </c>
      <c r="C3527" t="s">
        <v>974</v>
      </c>
      <c r="D3527" t="s">
        <v>1021</v>
      </c>
      <c r="E3527" t="s">
        <v>875</v>
      </c>
      <c r="F3527" t="s">
        <v>876</v>
      </c>
      <c r="G3527" t="s">
        <v>963</v>
      </c>
      <c r="H3527">
        <v>43</v>
      </c>
      <c r="I3527">
        <v>0.19869800000000001</v>
      </c>
      <c r="J3527">
        <v>0.75769799999999998</v>
      </c>
      <c r="K3527">
        <v>0.55900000000000005</v>
      </c>
      <c r="L3527">
        <v>42</v>
      </c>
      <c r="M3527">
        <v>1</v>
      </c>
      <c r="N3527">
        <v>0</v>
      </c>
      <c r="O3527">
        <v>0.79110499999999995</v>
      </c>
      <c r="P3527">
        <v>0.46354899999999999</v>
      </c>
      <c r="Q3527">
        <v>0.246278</v>
      </c>
    </row>
    <row r="3528" spans="1:17" x14ac:dyDescent="0.25">
      <c r="A3528" t="str">
        <f>IF(C3528&amp;G3528&amp;D3528&lt;&gt;'Funnel setup'!$K$3&amp;'Funnel setup'!$K$4&amp;'Funnel setup'!$K$6,".",IF(A3527=".",1,A3527+1))</f>
        <v>.</v>
      </c>
      <c r="B3528" s="244" t="str">
        <f t="shared" si="55"/>
        <v>Total Hip ReplacementSub-ICB of GP PracticeNHS MID AND SOUTH ESSEX ICB - 99F (99F)EQ-5D Index</v>
      </c>
      <c r="C3528" t="s">
        <v>974</v>
      </c>
      <c r="D3528" t="s">
        <v>1021</v>
      </c>
      <c r="E3528" t="s">
        <v>877</v>
      </c>
      <c r="F3528" t="s">
        <v>878</v>
      </c>
      <c r="G3528" t="s">
        <v>963</v>
      </c>
      <c r="H3528">
        <v>28</v>
      </c>
      <c r="I3528">
        <v>0.27675</v>
      </c>
      <c r="J3528">
        <v>0.73778600000000005</v>
      </c>
      <c r="K3528">
        <v>0.461036</v>
      </c>
      <c r="L3528">
        <v>24</v>
      </c>
      <c r="M3528">
        <v>0</v>
      </c>
      <c r="N3528">
        <v>4</v>
      </c>
      <c r="O3528" t="s">
        <v>127</v>
      </c>
      <c r="P3528" t="s">
        <v>127</v>
      </c>
      <c r="Q3528" t="s">
        <v>127</v>
      </c>
    </row>
    <row r="3529" spans="1:17" x14ac:dyDescent="0.25">
      <c r="A3529" t="str">
        <f>IF(C3529&amp;G3529&amp;D3529&lt;&gt;'Funnel setup'!$K$3&amp;'Funnel setup'!$K$4&amp;'Funnel setup'!$K$6,".",IF(A3528=".",1,A3528+1))</f>
        <v>.</v>
      </c>
      <c r="B3529" s="244" t="str">
        <f t="shared" si="55"/>
        <v>Total Hip ReplacementSub-ICB of GP PracticeNHS MID AND SOUTH ESSEX ICB - 99G (99G)EQ-5D Index</v>
      </c>
      <c r="C3529" t="s">
        <v>974</v>
      </c>
      <c r="D3529" t="s">
        <v>1021</v>
      </c>
      <c r="E3529" t="s">
        <v>879</v>
      </c>
      <c r="F3529" t="s">
        <v>880</v>
      </c>
      <c r="G3529" t="s">
        <v>963</v>
      </c>
      <c r="H3529">
        <v>11</v>
      </c>
      <c r="I3529">
        <v>0.28699999999999998</v>
      </c>
      <c r="J3529">
        <v>0.76709099999999997</v>
      </c>
      <c r="K3529">
        <v>0.48009099999999999</v>
      </c>
      <c r="L3529">
        <v>11</v>
      </c>
      <c r="M3529">
        <v>0</v>
      </c>
      <c r="N3529">
        <v>0</v>
      </c>
      <c r="O3529" t="s">
        <v>127</v>
      </c>
      <c r="P3529" t="s">
        <v>127</v>
      </c>
      <c r="Q3529" t="s">
        <v>127</v>
      </c>
    </row>
    <row r="3530" spans="1:17" x14ac:dyDescent="0.25">
      <c r="A3530" t="str">
        <f>IF(C3530&amp;G3530&amp;D3530&lt;&gt;'Funnel setup'!$K$3&amp;'Funnel setup'!$K$4&amp;'Funnel setup'!$K$6,".",IF(A3529=".",1,A3529+1))</f>
        <v>.</v>
      </c>
      <c r="B3530" s="244" t="str">
        <f t="shared" si="55"/>
        <v>Total Hip ReplacementSub-ICB of GP PracticeNHS NORFOLK AND WAVENEY ICB - 26A (26A)EQ-5D Index</v>
      </c>
      <c r="C3530" t="s">
        <v>974</v>
      </c>
      <c r="D3530" t="s">
        <v>1021</v>
      </c>
      <c r="E3530" t="s">
        <v>881</v>
      </c>
      <c r="F3530" t="s">
        <v>882</v>
      </c>
      <c r="G3530" t="s">
        <v>963</v>
      </c>
      <c r="H3530">
        <v>366</v>
      </c>
      <c r="I3530">
        <v>0.29199999999999998</v>
      </c>
      <c r="J3530">
        <v>0.75936300000000001</v>
      </c>
      <c r="K3530">
        <v>0.46736299999999997</v>
      </c>
      <c r="L3530">
        <v>322</v>
      </c>
      <c r="M3530">
        <v>26</v>
      </c>
      <c r="N3530">
        <v>18</v>
      </c>
      <c r="O3530">
        <v>0.777949</v>
      </c>
      <c r="P3530">
        <v>0.45039400000000002</v>
      </c>
      <c r="Q3530">
        <v>0.26445600000000002</v>
      </c>
    </row>
    <row r="3531" spans="1:17" x14ac:dyDescent="0.25">
      <c r="A3531" t="str">
        <f>IF(C3531&amp;G3531&amp;D3531&lt;&gt;'Funnel setup'!$K$3&amp;'Funnel setup'!$K$4&amp;'Funnel setup'!$K$6,".",IF(A3530=".",1,A3530+1))</f>
        <v>.</v>
      </c>
      <c r="B3531" s="244" t="str">
        <f t="shared" si="55"/>
        <v>Total Hip ReplacementSub-ICB of GP PracticeNHS NORTH CENTRAL LONDON ICB - 93C (93C)EQ-5D Index</v>
      </c>
      <c r="C3531" t="s">
        <v>974</v>
      </c>
      <c r="D3531" t="s">
        <v>1021</v>
      </c>
      <c r="E3531" t="s">
        <v>883</v>
      </c>
      <c r="F3531" t="s">
        <v>884</v>
      </c>
      <c r="G3531" t="s">
        <v>963</v>
      </c>
      <c r="H3531">
        <v>132</v>
      </c>
      <c r="I3531">
        <v>0.35845500000000002</v>
      </c>
      <c r="J3531">
        <v>0.75121199999999999</v>
      </c>
      <c r="K3531">
        <v>0.392758</v>
      </c>
      <c r="L3531">
        <v>111</v>
      </c>
      <c r="M3531">
        <v>9</v>
      </c>
      <c r="N3531">
        <v>12</v>
      </c>
      <c r="O3531">
        <v>0.75041999999999998</v>
      </c>
      <c r="P3531">
        <v>0.42286400000000002</v>
      </c>
      <c r="Q3531">
        <v>0.25337799999999999</v>
      </c>
    </row>
    <row r="3532" spans="1:17" x14ac:dyDescent="0.25">
      <c r="A3532" t="str">
        <f>IF(C3532&amp;G3532&amp;D3532&lt;&gt;'Funnel setup'!$K$3&amp;'Funnel setup'!$K$4&amp;'Funnel setup'!$K$6,".",IF(A3531=".",1,A3531+1))</f>
        <v>.</v>
      </c>
      <c r="B3532" s="244" t="str">
        <f t="shared" si="55"/>
        <v>Total Hip ReplacementSub-ICB of GP PracticeNHS NORTH EAST AND NORTH CUMBRIA ICB - 00L (00L)EQ-5D Index</v>
      </c>
      <c r="C3532" t="s">
        <v>974</v>
      </c>
      <c r="D3532" t="s">
        <v>1021</v>
      </c>
      <c r="E3532" t="s">
        <v>885</v>
      </c>
      <c r="F3532" t="s">
        <v>886</v>
      </c>
      <c r="G3532" t="s">
        <v>963</v>
      </c>
      <c r="H3532">
        <v>155</v>
      </c>
      <c r="I3532">
        <v>0.286277</v>
      </c>
      <c r="J3532">
        <v>0.77387099999999998</v>
      </c>
      <c r="K3532">
        <v>0.48759400000000003</v>
      </c>
      <c r="L3532">
        <v>136</v>
      </c>
      <c r="M3532">
        <v>11</v>
      </c>
      <c r="N3532">
        <v>8</v>
      </c>
      <c r="O3532">
        <v>0.79146000000000005</v>
      </c>
      <c r="P3532">
        <v>0.46390399999999998</v>
      </c>
      <c r="Q3532">
        <v>0.26168200000000003</v>
      </c>
    </row>
    <row r="3533" spans="1:17" x14ac:dyDescent="0.25">
      <c r="A3533" t="str">
        <f>IF(C3533&amp;G3533&amp;D3533&lt;&gt;'Funnel setup'!$K$3&amp;'Funnel setup'!$K$4&amp;'Funnel setup'!$K$6,".",IF(A3532=".",1,A3532+1))</f>
        <v>.</v>
      </c>
      <c r="B3533" s="244" t="str">
        <f t="shared" si="55"/>
        <v>Total Hip ReplacementSub-ICB of GP PracticeNHS NORTH EAST AND NORTH CUMBRIA ICB - 00N (00N)EQ-5D Index</v>
      </c>
      <c r="C3533" t="s">
        <v>974</v>
      </c>
      <c r="D3533" t="s">
        <v>1021</v>
      </c>
      <c r="E3533" t="s">
        <v>887</v>
      </c>
      <c r="F3533" t="s">
        <v>888</v>
      </c>
      <c r="G3533" t="s">
        <v>963</v>
      </c>
      <c r="H3533">
        <v>12</v>
      </c>
      <c r="I3533">
        <v>0.20366699999999999</v>
      </c>
      <c r="J3533">
        <v>0.70341699999999996</v>
      </c>
      <c r="K3533">
        <v>0.49975000000000003</v>
      </c>
      <c r="L3533">
        <v>9</v>
      </c>
      <c r="M3533">
        <v>1</v>
      </c>
      <c r="N3533">
        <v>2</v>
      </c>
      <c r="O3533" t="s">
        <v>127</v>
      </c>
      <c r="P3533" t="s">
        <v>127</v>
      </c>
      <c r="Q3533" t="s">
        <v>127</v>
      </c>
    </row>
    <row r="3534" spans="1:17" x14ac:dyDescent="0.25">
      <c r="A3534" t="str">
        <f>IF(C3534&amp;G3534&amp;D3534&lt;&gt;'Funnel setup'!$K$3&amp;'Funnel setup'!$K$4&amp;'Funnel setup'!$K$6,".",IF(A3533=".",1,A3533+1))</f>
        <v>.</v>
      </c>
      <c r="B3534" s="244" t="str">
        <f t="shared" si="55"/>
        <v>Total Hip ReplacementSub-ICB of GP PracticeNHS NORTH EAST AND NORTH CUMBRIA ICB - 00P (00P)EQ-5D Index</v>
      </c>
      <c r="C3534" t="s">
        <v>974</v>
      </c>
      <c r="D3534" t="s">
        <v>1021</v>
      </c>
      <c r="E3534" t="s">
        <v>889</v>
      </c>
      <c r="F3534" t="s">
        <v>890</v>
      </c>
      <c r="G3534" t="s">
        <v>963</v>
      </c>
      <c r="H3534">
        <v>32</v>
      </c>
      <c r="I3534">
        <v>0.20896899999999999</v>
      </c>
      <c r="J3534">
        <v>0.59768699999999997</v>
      </c>
      <c r="K3534">
        <v>0.38871899999999998</v>
      </c>
      <c r="L3534">
        <v>23</v>
      </c>
      <c r="M3534">
        <v>3</v>
      </c>
      <c r="N3534">
        <v>6</v>
      </c>
      <c r="O3534">
        <v>0.67489299999999997</v>
      </c>
      <c r="P3534">
        <v>0.34733700000000001</v>
      </c>
      <c r="Q3534">
        <v>0.33239000000000002</v>
      </c>
    </row>
    <row r="3535" spans="1:17" x14ac:dyDescent="0.25">
      <c r="A3535" t="str">
        <f>IF(C3535&amp;G3535&amp;D3535&lt;&gt;'Funnel setup'!$K$3&amp;'Funnel setup'!$K$4&amp;'Funnel setup'!$K$6,".",IF(A3534=".",1,A3534+1))</f>
        <v>.</v>
      </c>
      <c r="B3535" s="244" t="str">
        <f t="shared" si="55"/>
        <v>Total Hip ReplacementSub-ICB of GP PracticeNHS NORTH EAST AND NORTH CUMBRIA ICB - 01H (01H)EQ-5D Index</v>
      </c>
      <c r="C3535" t="s">
        <v>974</v>
      </c>
      <c r="D3535" t="s">
        <v>1021</v>
      </c>
      <c r="E3535" t="s">
        <v>891</v>
      </c>
      <c r="F3535" t="s">
        <v>892</v>
      </c>
      <c r="G3535" t="s">
        <v>963</v>
      </c>
      <c r="H3535">
        <v>176</v>
      </c>
      <c r="I3535">
        <v>0.27824399999999999</v>
      </c>
      <c r="J3535">
        <v>0.79601100000000002</v>
      </c>
      <c r="K3535">
        <v>0.51776699999999998</v>
      </c>
      <c r="L3535">
        <v>163</v>
      </c>
      <c r="M3535">
        <v>3</v>
      </c>
      <c r="N3535">
        <v>10</v>
      </c>
      <c r="O3535">
        <v>0.81045900000000004</v>
      </c>
      <c r="P3535">
        <v>0.482904</v>
      </c>
      <c r="Q3535">
        <v>0.227802</v>
      </c>
    </row>
    <row r="3536" spans="1:17" x14ac:dyDescent="0.25">
      <c r="A3536" t="str">
        <f>IF(C3536&amp;G3536&amp;D3536&lt;&gt;'Funnel setup'!$K$3&amp;'Funnel setup'!$K$4&amp;'Funnel setup'!$K$6,".",IF(A3535=".",1,A3535+1))</f>
        <v>.</v>
      </c>
      <c r="B3536" s="244" t="str">
        <f t="shared" si="55"/>
        <v>Total Hip ReplacementSub-ICB of GP PracticeNHS NORTH EAST AND NORTH CUMBRIA ICB - 13T (13T)EQ-5D Index</v>
      </c>
      <c r="C3536" t="s">
        <v>974</v>
      </c>
      <c r="D3536" t="s">
        <v>1021</v>
      </c>
      <c r="E3536" t="s">
        <v>893</v>
      </c>
      <c r="F3536" t="s">
        <v>894</v>
      </c>
      <c r="G3536" t="s">
        <v>963</v>
      </c>
      <c r="H3536">
        <v>96</v>
      </c>
      <c r="I3536">
        <v>0.24355199999999999</v>
      </c>
      <c r="J3536">
        <v>0.77563499999999996</v>
      </c>
      <c r="K3536">
        <v>0.53208299999999997</v>
      </c>
      <c r="L3536">
        <v>92</v>
      </c>
      <c r="M3536">
        <v>3</v>
      </c>
      <c r="N3536">
        <v>1</v>
      </c>
      <c r="O3536">
        <v>0.810338</v>
      </c>
      <c r="P3536">
        <v>0.48278199999999999</v>
      </c>
      <c r="Q3536">
        <v>0.240346</v>
      </c>
    </row>
    <row r="3537" spans="1:17" x14ac:dyDescent="0.25">
      <c r="A3537" t="str">
        <f>IF(C3537&amp;G3537&amp;D3537&lt;&gt;'Funnel setup'!$K$3&amp;'Funnel setup'!$K$4&amp;'Funnel setup'!$K$6,".",IF(A3536=".",1,A3536+1))</f>
        <v>.</v>
      </c>
      <c r="B3537" s="244" t="str">
        <f t="shared" si="55"/>
        <v>Total Hip ReplacementSub-ICB of GP PracticeNHS NORTH EAST AND NORTH CUMBRIA ICB - 16C (16C)EQ-5D Index</v>
      </c>
      <c r="C3537" t="s">
        <v>974</v>
      </c>
      <c r="D3537" t="s">
        <v>1021</v>
      </c>
      <c r="E3537" t="s">
        <v>895</v>
      </c>
      <c r="F3537" t="s">
        <v>896</v>
      </c>
      <c r="G3537" t="s">
        <v>963</v>
      </c>
      <c r="H3537">
        <v>351</v>
      </c>
      <c r="I3537">
        <v>0.33914800000000001</v>
      </c>
      <c r="J3537">
        <v>0.75973500000000005</v>
      </c>
      <c r="K3537">
        <v>0.42058699999999999</v>
      </c>
      <c r="L3537">
        <v>312</v>
      </c>
      <c r="M3537">
        <v>13</v>
      </c>
      <c r="N3537">
        <v>26</v>
      </c>
      <c r="O3537">
        <v>0.77429599999999998</v>
      </c>
      <c r="P3537">
        <v>0.446741</v>
      </c>
      <c r="Q3537">
        <v>0.25054599999999999</v>
      </c>
    </row>
    <row r="3538" spans="1:17" x14ac:dyDescent="0.25">
      <c r="A3538" t="str">
        <f>IF(C3538&amp;G3538&amp;D3538&lt;&gt;'Funnel setup'!$K$3&amp;'Funnel setup'!$K$4&amp;'Funnel setup'!$K$6,".",IF(A3537=".",1,A3537+1))</f>
        <v>.</v>
      </c>
      <c r="B3538" s="244" t="str">
        <f t="shared" si="55"/>
        <v>Total Hip ReplacementSub-ICB of GP PracticeNHS NORTH EAST AND NORTH CUMBRIA ICB - 84H (84H)EQ-5D Index</v>
      </c>
      <c r="C3538" t="s">
        <v>974</v>
      </c>
      <c r="D3538" t="s">
        <v>1021</v>
      </c>
      <c r="E3538" t="s">
        <v>897</v>
      </c>
      <c r="F3538" t="s">
        <v>898</v>
      </c>
      <c r="G3538" t="s">
        <v>963</v>
      </c>
      <c r="H3538">
        <v>262</v>
      </c>
      <c r="I3538">
        <v>0.31406499999999998</v>
      </c>
      <c r="J3538">
        <v>0.76118300000000005</v>
      </c>
      <c r="K3538">
        <v>0.44711800000000002</v>
      </c>
      <c r="L3538">
        <v>233</v>
      </c>
      <c r="M3538">
        <v>15</v>
      </c>
      <c r="N3538">
        <v>14</v>
      </c>
      <c r="O3538">
        <v>0.77835100000000002</v>
      </c>
      <c r="P3538">
        <v>0.450795</v>
      </c>
      <c r="Q3538">
        <v>0.22545000000000001</v>
      </c>
    </row>
    <row r="3539" spans="1:17" x14ac:dyDescent="0.25">
      <c r="A3539" t="str">
        <f>IF(C3539&amp;G3539&amp;D3539&lt;&gt;'Funnel setup'!$K$3&amp;'Funnel setup'!$K$4&amp;'Funnel setup'!$K$6,".",IF(A3538=".",1,A3538+1))</f>
        <v>.</v>
      </c>
      <c r="B3539" s="244" t="str">
        <f t="shared" si="55"/>
        <v>Total Hip ReplacementSub-ICB of GP PracticeNHS NORTH EAST AND NORTH CUMBRIA ICB - 99C (99C)EQ-5D Index</v>
      </c>
      <c r="C3539" t="s">
        <v>974</v>
      </c>
      <c r="D3539" t="s">
        <v>1021</v>
      </c>
      <c r="E3539" t="s">
        <v>899</v>
      </c>
      <c r="F3539" t="s">
        <v>900</v>
      </c>
      <c r="G3539" t="s">
        <v>963</v>
      </c>
      <c r="H3539">
        <v>75</v>
      </c>
      <c r="I3539">
        <v>0.316747</v>
      </c>
      <c r="J3539">
        <v>0.79414700000000005</v>
      </c>
      <c r="K3539">
        <v>0.47739999999999999</v>
      </c>
      <c r="L3539">
        <v>71</v>
      </c>
      <c r="M3539">
        <v>2</v>
      </c>
      <c r="N3539">
        <v>2</v>
      </c>
      <c r="O3539">
        <v>0.79583400000000004</v>
      </c>
      <c r="P3539">
        <v>0.46827800000000003</v>
      </c>
      <c r="Q3539">
        <v>0.21881900000000001</v>
      </c>
    </row>
    <row r="3540" spans="1:17" x14ac:dyDescent="0.25">
      <c r="A3540" t="str">
        <f>IF(C3540&amp;G3540&amp;D3540&lt;&gt;'Funnel setup'!$K$3&amp;'Funnel setup'!$K$4&amp;'Funnel setup'!$K$6,".",IF(A3539=".",1,A3539+1))</f>
        <v>.</v>
      </c>
      <c r="B3540" s="244" t="str">
        <f t="shared" si="55"/>
        <v>Total Hip ReplacementSub-ICB of GP PracticeNHS NORTH EAST LONDON ICB - A3A8R (A3A8R)EQ-5D Index</v>
      </c>
      <c r="C3540" t="s">
        <v>974</v>
      </c>
      <c r="D3540" t="s">
        <v>1021</v>
      </c>
      <c r="E3540" t="s">
        <v>901</v>
      </c>
      <c r="F3540" t="s">
        <v>902</v>
      </c>
      <c r="G3540" t="s">
        <v>963</v>
      </c>
      <c r="H3540">
        <v>159</v>
      </c>
      <c r="I3540">
        <v>0.292101</v>
      </c>
      <c r="J3540">
        <v>0.73405699999999996</v>
      </c>
      <c r="K3540">
        <v>0.44195600000000002</v>
      </c>
      <c r="L3540">
        <v>140</v>
      </c>
      <c r="M3540">
        <v>10</v>
      </c>
      <c r="N3540">
        <v>9</v>
      </c>
      <c r="O3540">
        <v>0.76211200000000001</v>
      </c>
      <c r="P3540">
        <v>0.434556</v>
      </c>
      <c r="Q3540">
        <v>0.25592900000000002</v>
      </c>
    </row>
    <row r="3541" spans="1:17" x14ac:dyDescent="0.25">
      <c r="A3541" t="str">
        <f>IF(C3541&amp;G3541&amp;D3541&lt;&gt;'Funnel setup'!$K$3&amp;'Funnel setup'!$K$4&amp;'Funnel setup'!$K$6,".",IF(A3540=".",1,A3540+1))</f>
        <v>.</v>
      </c>
      <c r="B3541" s="244" t="str">
        <f t="shared" si="55"/>
        <v>Total Hip ReplacementSub-ICB of GP PracticeNHS NORTH WEST LONDON ICB - W2U3Z (W2U3Z)EQ-5D Index</v>
      </c>
      <c r="C3541" t="s">
        <v>974</v>
      </c>
      <c r="D3541" t="s">
        <v>1021</v>
      </c>
      <c r="E3541" t="s">
        <v>903</v>
      </c>
      <c r="F3541" t="s">
        <v>904</v>
      </c>
      <c r="G3541" t="s">
        <v>963</v>
      </c>
      <c r="H3541">
        <v>153</v>
      </c>
      <c r="I3541">
        <v>0.37151600000000001</v>
      </c>
      <c r="J3541">
        <v>0.78453600000000001</v>
      </c>
      <c r="K3541">
        <v>0.41302</v>
      </c>
      <c r="L3541">
        <v>134</v>
      </c>
      <c r="M3541">
        <v>10</v>
      </c>
      <c r="N3541">
        <v>9</v>
      </c>
      <c r="O3541">
        <v>0.77263300000000001</v>
      </c>
      <c r="P3541">
        <v>0.445077</v>
      </c>
      <c r="Q3541">
        <v>0.229042</v>
      </c>
    </row>
    <row r="3542" spans="1:17" x14ac:dyDescent="0.25">
      <c r="A3542" t="str">
        <f>IF(C3542&amp;G3542&amp;D3542&lt;&gt;'Funnel setup'!$K$3&amp;'Funnel setup'!$K$4&amp;'Funnel setup'!$K$6,".",IF(A3541=".",1,A3541+1))</f>
        <v>.</v>
      </c>
      <c r="B3542" s="244" t="str">
        <f t="shared" si="55"/>
        <v>Total Hip ReplacementSub-ICB of GP PracticeNHS NORTHAMPTONSHIRE ICB - 78H (78H)EQ-5D Index</v>
      </c>
      <c r="C3542" t="s">
        <v>974</v>
      </c>
      <c r="D3542" t="s">
        <v>1021</v>
      </c>
      <c r="E3542" t="s">
        <v>905</v>
      </c>
      <c r="F3542" t="s">
        <v>906</v>
      </c>
      <c r="G3542" t="s">
        <v>963</v>
      </c>
      <c r="H3542">
        <v>248</v>
      </c>
      <c r="I3542">
        <v>0.30890699999999999</v>
      </c>
      <c r="J3542">
        <v>0.78158899999999998</v>
      </c>
      <c r="K3542">
        <v>0.47268100000000002</v>
      </c>
      <c r="L3542">
        <v>220</v>
      </c>
      <c r="M3542">
        <v>13</v>
      </c>
      <c r="N3542">
        <v>15</v>
      </c>
      <c r="O3542">
        <v>0.78223799999999999</v>
      </c>
      <c r="P3542">
        <v>0.45468199999999998</v>
      </c>
      <c r="Q3542">
        <v>0.227354</v>
      </c>
    </row>
    <row r="3543" spans="1:17" x14ac:dyDescent="0.25">
      <c r="A3543" t="str">
        <f>IF(C3543&amp;G3543&amp;D3543&lt;&gt;'Funnel setup'!$K$3&amp;'Funnel setup'!$K$4&amp;'Funnel setup'!$K$6,".",IF(A3542=".",1,A3542+1))</f>
        <v>.</v>
      </c>
      <c r="B3543" s="244" t="str">
        <f t="shared" si="55"/>
        <v>Total Hip ReplacementSub-ICB of GP PracticeNHS NOTTINGHAM AND NOTTINGHAMSHIRE ICB - 02Q (02Q)EQ-5D Index</v>
      </c>
      <c r="C3543" t="s">
        <v>974</v>
      </c>
      <c r="D3543" t="s">
        <v>1021</v>
      </c>
      <c r="E3543" t="s">
        <v>907</v>
      </c>
      <c r="F3543" t="s">
        <v>908</v>
      </c>
      <c r="G3543" t="s">
        <v>963</v>
      </c>
      <c r="H3543">
        <v>47</v>
      </c>
      <c r="I3543">
        <v>0.25172299999999997</v>
      </c>
      <c r="J3543">
        <v>0.76419099999999995</v>
      </c>
      <c r="K3543">
        <v>0.51246800000000003</v>
      </c>
      <c r="L3543">
        <v>42</v>
      </c>
      <c r="M3543">
        <v>3</v>
      </c>
      <c r="N3543">
        <v>2</v>
      </c>
      <c r="O3543">
        <v>0.80249899999999996</v>
      </c>
      <c r="P3543">
        <v>0.474943</v>
      </c>
      <c r="Q3543">
        <v>0.197855</v>
      </c>
    </row>
    <row r="3544" spans="1:17" x14ac:dyDescent="0.25">
      <c r="A3544" t="str">
        <f>IF(C3544&amp;G3544&amp;D3544&lt;&gt;'Funnel setup'!$K$3&amp;'Funnel setup'!$K$4&amp;'Funnel setup'!$K$6,".",IF(A3543=".",1,A3543+1))</f>
        <v>.</v>
      </c>
      <c r="B3544" s="244" t="str">
        <f t="shared" si="55"/>
        <v>Total Hip ReplacementSub-ICB of GP PracticeNHS NOTTINGHAM AND NOTTINGHAMSHIRE ICB - 52R (52R)EQ-5D Index</v>
      </c>
      <c r="C3544" t="s">
        <v>974</v>
      </c>
      <c r="D3544" t="s">
        <v>1021</v>
      </c>
      <c r="E3544" t="s">
        <v>909</v>
      </c>
      <c r="F3544" t="s">
        <v>910</v>
      </c>
      <c r="G3544" t="s">
        <v>963</v>
      </c>
      <c r="H3544">
        <v>138</v>
      </c>
      <c r="I3544">
        <v>0.28749999999999998</v>
      </c>
      <c r="J3544">
        <v>0.76051400000000002</v>
      </c>
      <c r="K3544">
        <v>0.47301399999999999</v>
      </c>
      <c r="L3544">
        <v>126</v>
      </c>
      <c r="M3544">
        <v>4</v>
      </c>
      <c r="N3544">
        <v>8</v>
      </c>
      <c r="O3544">
        <v>0.767621</v>
      </c>
      <c r="P3544">
        <v>0.44006499999999998</v>
      </c>
      <c r="Q3544">
        <v>0.21357699999999999</v>
      </c>
    </row>
    <row r="3545" spans="1:17" x14ac:dyDescent="0.25">
      <c r="A3545" t="str">
        <f>IF(C3545&amp;G3545&amp;D3545&lt;&gt;'Funnel setup'!$K$3&amp;'Funnel setup'!$K$4&amp;'Funnel setup'!$K$6,".",IF(A3544=".",1,A3544+1))</f>
        <v>.</v>
      </c>
      <c r="B3545" s="244" t="str">
        <f t="shared" si="55"/>
        <v>Total Hip ReplacementSub-ICB of GP PracticeNHS SHROPSHIRE, TELFORD AND WREKIN ICB - M2L0M (M2L0M)EQ-5D Index</v>
      </c>
      <c r="C3545" t="s">
        <v>974</v>
      </c>
      <c r="D3545" t="s">
        <v>1021</v>
      </c>
      <c r="E3545" t="s">
        <v>911</v>
      </c>
      <c r="F3545" t="s">
        <v>912</v>
      </c>
      <c r="G3545" t="s">
        <v>963</v>
      </c>
      <c r="H3545">
        <v>255</v>
      </c>
      <c r="I3545">
        <v>0.18324299999999999</v>
      </c>
      <c r="J3545">
        <v>0.81354099999999996</v>
      </c>
      <c r="K3545">
        <v>0.63029800000000002</v>
      </c>
      <c r="L3545">
        <v>241</v>
      </c>
      <c r="M3545">
        <v>7</v>
      </c>
      <c r="N3545">
        <v>7</v>
      </c>
      <c r="O3545">
        <v>0.85172899999999996</v>
      </c>
      <c r="P3545">
        <v>0.524173</v>
      </c>
      <c r="Q3545">
        <v>0.21332999999999999</v>
      </c>
    </row>
    <row r="3546" spans="1:17" x14ac:dyDescent="0.25">
      <c r="A3546" t="str">
        <f>IF(C3546&amp;G3546&amp;D3546&lt;&gt;'Funnel setup'!$K$3&amp;'Funnel setup'!$K$4&amp;'Funnel setup'!$K$6,".",IF(A3545=".",1,A3545+1))</f>
        <v>.</v>
      </c>
      <c r="B3546" s="244" t="str">
        <f t="shared" si="55"/>
        <v>Total Hip ReplacementSub-ICB of GP PracticeNHS SOMERSET ICB - 11X (11X)EQ-5D Index</v>
      </c>
      <c r="C3546" t="s">
        <v>974</v>
      </c>
      <c r="D3546" t="s">
        <v>1021</v>
      </c>
      <c r="E3546" t="s">
        <v>913</v>
      </c>
      <c r="F3546" t="s">
        <v>914</v>
      </c>
      <c r="G3546" t="s">
        <v>963</v>
      </c>
      <c r="H3546">
        <v>240</v>
      </c>
      <c r="I3546">
        <v>0.40837899999999999</v>
      </c>
      <c r="J3546">
        <v>0.849387</v>
      </c>
      <c r="K3546">
        <v>0.44100800000000001</v>
      </c>
      <c r="L3546">
        <v>220</v>
      </c>
      <c r="M3546">
        <v>9</v>
      </c>
      <c r="N3546">
        <v>11</v>
      </c>
      <c r="O3546">
        <v>0.80860799999999999</v>
      </c>
      <c r="P3546">
        <v>0.48105199999999998</v>
      </c>
      <c r="Q3546">
        <v>0.186248</v>
      </c>
    </row>
    <row r="3547" spans="1:17" x14ac:dyDescent="0.25">
      <c r="A3547" t="str">
        <f>IF(C3547&amp;G3547&amp;D3547&lt;&gt;'Funnel setup'!$K$3&amp;'Funnel setup'!$K$4&amp;'Funnel setup'!$K$6,".",IF(A3546=".",1,A3546+1))</f>
        <v>.</v>
      </c>
      <c r="B3547" s="244" t="str">
        <f t="shared" si="55"/>
        <v>Total Hip ReplacementSub-ICB of GP PracticeNHS SOUTH EAST LONDON ICB - 72Q (72Q)EQ-5D Index</v>
      </c>
      <c r="C3547" t="s">
        <v>974</v>
      </c>
      <c r="D3547" t="s">
        <v>1021</v>
      </c>
      <c r="E3547" t="s">
        <v>915</v>
      </c>
      <c r="F3547" t="s">
        <v>916</v>
      </c>
      <c r="G3547" t="s">
        <v>963</v>
      </c>
      <c r="H3547">
        <v>139</v>
      </c>
      <c r="I3547">
        <v>0.35163299999999997</v>
      </c>
      <c r="J3547">
        <v>0.736317</v>
      </c>
      <c r="K3547">
        <v>0.384683</v>
      </c>
      <c r="L3547">
        <v>117</v>
      </c>
      <c r="M3547">
        <v>10</v>
      </c>
      <c r="N3547">
        <v>12</v>
      </c>
      <c r="O3547">
        <v>0.734518</v>
      </c>
      <c r="P3547">
        <v>0.40696199999999999</v>
      </c>
      <c r="Q3547">
        <v>0.267536</v>
      </c>
    </row>
    <row r="3548" spans="1:17" x14ac:dyDescent="0.25">
      <c r="A3548" t="str">
        <f>IF(C3548&amp;G3548&amp;D3548&lt;&gt;'Funnel setup'!$K$3&amp;'Funnel setup'!$K$4&amp;'Funnel setup'!$K$6,".",IF(A3547=".",1,A3547+1))</f>
        <v>.</v>
      </c>
      <c r="B3548" s="244" t="str">
        <f t="shared" si="55"/>
        <v>Total Hip ReplacementSub-ICB of GP PracticeNHS SOUTH WEST LONDON ICB - 36L (36L)EQ-5D Index</v>
      </c>
      <c r="C3548" t="s">
        <v>974</v>
      </c>
      <c r="D3548" t="s">
        <v>1021</v>
      </c>
      <c r="E3548" t="s">
        <v>917</v>
      </c>
      <c r="F3548" t="s">
        <v>918</v>
      </c>
      <c r="G3548" t="s">
        <v>963</v>
      </c>
      <c r="H3548">
        <v>380</v>
      </c>
      <c r="I3548">
        <v>0.37386799999999998</v>
      </c>
      <c r="J3548">
        <v>0.78831099999999998</v>
      </c>
      <c r="K3548">
        <v>0.41444199999999998</v>
      </c>
      <c r="L3548">
        <v>343</v>
      </c>
      <c r="M3548">
        <v>18</v>
      </c>
      <c r="N3548">
        <v>19</v>
      </c>
      <c r="O3548">
        <v>0.780246</v>
      </c>
      <c r="P3548">
        <v>0.45268999999999998</v>
      </c>
      <c r="Q3548">
        <v>0.22173300000000001</v>
      </c>
    </row>
    <row r="3549" spans="1:17" x14ac:dyDescent="0.25">
      <c r="A3549" t="str">
        <f>IF(C3549&amp;G3549&amp;D3549&lt;&gt;'Funnel setup'!$K$3&amp;'Funnel setup'!$K$4&amp;'Funnel setup'!$K$6,".",IF(A3548=".",1,A3548+1))</f>
        <v>.</v>
      </c>
      <c r="B3549" s="244" t="str">
        <f t="shared" si="55"/>
        <v>Total Hip ReplacementSub-ICB of GP PracticeNHS SOUTH YORKSHIRE ICB - 02P (02P)EQ-5D Index</v>
      </c>
      <c r="C3549" t="s">
        <v>974</v>
      </c>
      <c r="D3549" t="s">
        <v>1021</v>
      </c>
      <c r="E3549" t="s">
        <v>919</v>
      </c>
      <c r="F3549" t="s">
        <v>920</v>
      </c>
      <c r="G3549" t="s">
        <v>963</v>
      </c>
      <c r="H3549">
        <v>44</v>
      </c>
      <c r="I3549">
        <v>0.184364</v>
      </c>
      <c r="J3549">
        <v>0.71020499999999998</v>
      </c>
      <c r="K3549">
        <v>0.525841</v>
      </c>
      <c r="L3549">
        <v>42</v>
      </c>
      <c r="M3549">
        <v>1</v>
      </c>
      <c r="N3549">
        <v>1</v>
      </c>
      <c r="O3549">
        <v>0.77376500000000004</v>
      </c>
      <c r="P3549">
        <v>0.44620900000000002</v>
      </c>
      <c r="Q3549">
        <v>0.188304</v>
      </c>
    </row>
    <row r="3550" spans="1:17" x14ac:dyDescent="0.25">
      <c r="A3550" t="str">
        <f>IF(C3550&amp;G3550&amp;D3550&lt;&gt;'Funnel setup'!$K$3&amp;'Funnel setup'!$K$4&amp;'Funnel setup'!$K$6,".",IF(A3549=".",1,A3549+1))</f>
        <v>.</v>
      </c>
      <c r="B3550" s="244" t="str">
        <f t="shared" si="55"/>
        <v>Total Hip ReplacementSub-ICB of GP PracticeNHS SOUTH YORKSHIRE ICB - 02X (02X)EQ-5D Index</v>
      </c>
      <c r="C3550" t="s">
        <v>974</v>
      </c>
      <c r="D3550" t="s">
        <v>1021</v>
      </c>
      <c r="E3550" t="s">
        <v>921</v>
      </c>
      <c r="F3550" t="s">
        <v>922</v>
      </c>
      <c r="G3550" t="s">
        <v>963</v>
      </c>
      <c r="H3550">
        <v>84</v>
      </c>
      <c r="I3550">
        <v>0.29160700000000001</v>
      </c>
      <c r="J3550">
        <v>0.74076200000000003</v>
      </c>
      <c r="K3550">
        <v>0.44915500000000003</v>
      </c>
      <c r="L3550">
        <v>75</v>
      </c>
      <c r="M3550">
        <v>1</v>
      </c>
      <c r="N3550">
        <v>8</v>
      </c>
      <c r="O3550">
        <v>0.74579300000000004</v>
      </c>
      <c r="P3550">
        <v>0.418238</v>
      </c>
      <c r="Q3550">
        <v>0.297786</v>
      </c>
    </row>
    <row r="3551" spans="1:17" x14ac:dyDescent="0.25">
      <c r="A3551" t="str">
        <f>IF(C3551&amp;G3551&amp;D3551&lt;&gt;'Funnel setup'!$K$3&amp;'Funnel setup'!$K$4&amp;'Funnel setup'!$K$6,".",IF(A3550=".",1,A3550+1))</f>
        <v>.</v>
      </c>
      <c r="B3551" s="244" t="str">
        <f t="shared" si="55"/>
        <v>Total Hip ReplacementSub-ICB of GP PracticeNHS SOUTH YORKSHIRE ICB - 03L (03L)EQ-5D Index</v>
      </c>
      <c r="C3551" t="s">
        <v>974</v>
      </c>
      <c r="D3551" t="s">
        <v>1021</v>
      </c>
      <c r="E3551" t="s">
        <v>923</v>
      </c>
      <c r="F3551" t="s">
        <v>924</v>
      </c>
      <c r="G3551" t="s">
        <v>963</v>
      </c>
      <c r="H3551">
        <v>38</v>
      </c>
      <c r="I3551">
        <v>0.33918399999999999</v>
      </c>
      <c r="J3551">
        <v>0.79028900000000002</v>
      </c>
      <c r="K3551">
        <v>0.45110499999999998</v>
      </c>
      <c r="L3551">
        <v>32</v>
      </c>
      <c r="M3551">
        <v>4</v>
      </c>
      <c r="N3551">
        <v>2</v>
      </c>
      <c r="O3551">
        <v>0.79845600000000005</v>
      </c>
      <c r="P3551">
        <v>0.47089999999999999</v>
      </c>
      <c r="Q3551">
        <v>0.220753</v>
      </c>
    </row>
    <row r="3552" spans="1:17" x14ac:dyDescent="0.25">
      <c r="A3552" t="str">
        <f>IF(C3552&amp;G3552&amp;D3552&lt;&gt;'Funnel setup'!$K$3&amp;'Funnel setup'!$K$4&amp;'Funnel setup'!$K$6,".",IF(A3551=".",1,A3551+1))</f>
        <v>.</v>
      </c>
      <c r="B3552" s="244" t="str">
        <f t="shared" si="55"/>
        <v>Total Hip ReplacementSub-ICB of GP PracticeNHS SOUTH YORKSHIRE ICB - 03N (03N)EQ-5D Index</v>
      </c>
      <c r="C3552" t="s">
        <v>974</v>
      </c>
      <c r="D3552" t="s">
        <v>1021</v>
      </c>
      <c r="E3552" t="s">
        <v>925</v>
      </c>
      <c r="F3552" t="s">
        <v>926</v>
      </c>
      <c r="G3552" t="s">
        <v>963</v>
      </c>
      <c r="H3552">
        <v>33</v>
      </c>
      <c r="I3552">
        <v>0.40575800000000001</v>
      </c>
      <c r="J3552">
        <v>0.78318200000000004</v>
      </c>
      <c r="K3552">
        <v>0.37742399999999998</v>
      </c>
      <c r="L3552">
        <v>29</v>
      </c>
      <c r="M3552">
        <v>1</v>
      </c>
      <c r="N3552">
        <v>3</v>
      </c>
      <c r="O3552">
        <v>0.76828399999999997</v>
      </c>
      <c r="P3552">
        <v>0.44072800000000001</v>
      </c>
      <c r="Q3552">
        <v>0.289325</v>
      </c>
    </row>
    <row r="3553" spans="1:17" x14ac:dyDescent="0.25">
      <c r="A3553" t="str">
        <f>IF(C3553&amp;G3553&amp;D3553&lt;&gt;'Funnel setup'!$K$3&amp;'Funnel setup'!$K$4&amp;'Funnel setup'!$K$6,".",IF(A3552=".",1,A3552+1))</f>
        <v>.</v>
      </c>
      <c r="B3553" s="244" t="str">
        <f t="shared" si="55"/>
        <v>Total Hip ReplacementSub-ICB of GP PracticeNHS STAFFORDSHIRE AND STOKE-ON-TRENT ICB - 04Y (04Y)EQ-5D Index</v>
      </c>
      <c r="C3553" t="s">
        <v>974</v>
      </c>
      <c r="D3553" t="s">
        <v>1021</v>
      </c>
      <c r="E3553" t="s">
        <v>927</v>
      </c>
      <c r="F3553" t="s">
        <v>928</v>
      </c>
      <c r="G3553" t="s">
        <v>963</v>
      </c>
      <c r="H3553">
        <v>31</v>
      </c>
      <c r="I3553">
        <v>0.31054799999999999</v>
      </c>
      <c r="J3553">
        <v>0.854742</v>
      </c>
      <c r="K3553">
        <v>0.54419399999999996</v>
      </c>
      <c r="L3553">
        <v>28</v>
      </c>
      <c r="M3553">
        <v>2</v>
      </c>
      <c r="N3553">
        <v>1</v>
      </c>
      <c r="O3553">
        <v>0.85240000000000005</v>
      </c>
      <c r="P3553">
        <v>0.52484399999999998</v>
      </c>
      <c r="Q3553">
        <v>0.13420000000000001</v>
      </c>
    </row>
    <row r="3554" spans="1:17" x14ac:dyDescent="0.25">
      <c r="A3554" t="str">
        <f>IF(C3554&amp;G3554&amp;D3554&lt;&gt;'Funnel setup'!$K$3&amp;'Funnel setup'!$K$4&amp;'Funnel setup'!$K$6,".",IF(A3553=".",1,A3553+1))</f>
        <v>.</v>
      </c>
      <c r="B3554" s="244" t="str">
        <f t="shared" si="55"/>
        <v>Total Hip ReplacementSub-ICB of GP PracticeNHS STAFFORDSHIRE AND STOKE-ON-TRENT ICB - 05D (05D)EQ-5D Index</v>
      </c>
      <c r="C3554" t="s">
        <v>974</v>
      </c>
      <c r="D3554" t="s">
        <v>1021</v>
      </c>
      <c r="E3554" t="s">
        <v>929</v>
      </c>
      <c r="F3554" t="s">
        <v>930</v>
      </c>
      <c r="G3554" t="s">
        <v>963</v>
      </c>
      <c r="H3554">
        <v>52</v>
      </c>
      <c r="I3554">
        <v>0.30009599999999997</v>
      </c>
      <c r="J3554">
        <v>0.77182700000000004</v>
      </c>
      <c r="K3554">
        <v>0.47173100000000001</v>
      </c>
      <c r="L3554">
        <v>49</v>
      </c>
      <c r="M3554">
        <v>1</v>
      </c>
      <c r="N3554">
        <v>2</v>
      </c>
      <c r="O3554">
        <v>0.78939800000000004</v>
      </c>
      <c r="P3554">
        <v>0.46184199999999997</v>
      </c>
      <c r="Q3554">
        <v>0.237762</v>
      </c>
    </row>
    <row r="3555" spans="1:17" x14ac:dyDescent="0.25">
      <c r="A3555" t="str">
        <f>IF(C3555&amp;G3555&amp;D3555&lt;&gt;'Funnel setup'!$K$3&amp;'Funnel setup'!$K$4&amp;'Funnel setup'!$K$6,".",IF(A3554=".",1,A3554+1))</f>
        <v>.</v>
      </c>
      <c r="B3555" s="244" t="str">
        <f t="shared" si="55"/>
        <v>Total Hip ReplacementSub-ICB of GP PracticeNHS STAFFORDSHIRE AND STOKE-ON-TRENT ICB - 05G (05G)EQ-5D Index</v>
      </c>
      <c r="C3555" t="s">
        <v>974</v>
      </c>
      <c r="D3555" t="s">
        <v>1021</v>
      </c>
      <c r="E3555" t="s">
        <v>931</v>
      </c>
      <c r="F3555" t="s">
        <v>932</v>
      </c>
      <c r="G3555" t="s">
        <v>963</v>
      </c>
      <c r="H3555">
        <v>42</v>
      </c>
      <c r="I3555">
        <v>0.306452</v>
      </c>
      <c r="J3555">
        <v>0.69257100000000005</v>
      </c>
      <c r="K3555">
        <v>0.38611899999999999</v>
      </c>
      <c r="L3555">
        <v>37</v>
      </c>
      <c r="M3555">
        <v>2</v>
      </c>
      <c r="N3555">
        <v>3</v>
      </c>
      <c r="O3555">
        <v>0.69344499999999998</v>
      </c>
      <c r="P3555">
        <v>0.36588900000000002</v>
      </c>
      <c r="Q3555">
        <v>0.30223800000000001</v>
      </c>
    </row>
    <row r="3556" spans="1:17" x14ac:dyDescent="0.25">
      <c r="A3556" t="str">
        <f>IF(C3556&amp;G3556&amp;D3556&lt;&gt;'Funnel setup'!$K$3&amp;'Funnel setup'!$K$4&amp;'Funnel setup'!$K$6,".",IF(A3555=".",1,A3555+1))</f>
        <v>.</v>
      </c>
      <c r="B3556" s="244" t="str">
        <f t="shared" si="55"/>
        <v>Total Hip ReplacementSub-ICB of GP PracticeNHS STAFFORDSHIRE AND STOKE-ON-TRENT ICB - 05Q (05Q)EQ-5D Index</v>
      </c>
      <c r="C3556" t="s">
        <v>974</v>
      </c>
      <c r="D3556" t="s">
        <v>1021</v>
      </c>
      <c r="E3556" t="s">
        <v>933</v>
      </c>
      <c r="F3556" t="s">
        <v>934</v>
      </c>
      <c r="G3556" t="s">
        <v>963</v>
      </c>
      <c r="H3556">
        <v>76</v>
      </c>
      <c r="I3556">
        <v>0.34828900000000002</v>
      </c>
      <c r="J3556">
        <v>0.71453900000000004</v>
      </c>
      <c r="K3556">
        <v>0.36625000000000002</v>
      </c>
      <c r="L3556">
        <v>61</v>
      </c>
      <c r="M3556">
        <v>8</v>
      </c>
      <c r="N3556">
        <v>7</v>
      </c>
      <c r="O3556">
        <v>0.71524799999999999</v>
      </c>
      <c r="P3556">
        <v>0.38769199999999998</v>
      </c>
      <c r="Q3556">
        <v>0.24296200000000001</v>
      </c>
    </row>
    <row r="3557" spans="1:17" x14ac:dyDescent="0.25">
      <c r="A3557" t="str">
        <f>IF(C3557&amp;G3557&amp;D3557&lt;&gt;'Funnel setup'!$K$3&amp;'Funnel setup'!$K$4&amp;'Funnel setup'!$K$6,".",IF(A3556=".",1,A3556+1))</f>
        <v>.</v>
      </c>
      <c r="B3557" s="244" t="str">
        <f t="shared" si="55"/>
        <v>Total Hip ReplacementSub-ICB of GP PracticeNHS STAFFORDSHIRE AND STOKE-ON-TRENT ICB - 05V (05V)EQ-5D Index</v>
      </c>
      <c r="C3557" t="s">
        <v>974</v>
      </c>
      <c r="D3557" t="s">
        <v>1021</v>
      </c>
      <c r="E3557" t="s">
        <v>935</v>
      </c>
      <c r="F3557" t="s">
        <v>936</v>
      </c>
      <c r="G3557" t="s">
        <v>963</v>
      </c>
      <c r="H3557">
        <v>59</v>
      </c>
      <c r="I3557">
        <v>0.41737299999999999</v>
      </c>
      <c r="J3557">
        <v>0.81991499999999995</v>
      </c>
      <c r="K3557">
        <v>0.40254200000000001</v>
      </c>
      <c r="L3557">
        <v>54</v>
      </c>
      <c r="M3557">
        <v>3</v>
      </c>
      <c r="N3557">
        <v>2</v>
      </c>
      <c r="O3557">
        <v>0.78164999999999996</v>
      </c>
      <c r="P3557">
        <v>0.45409500000000003</v>
      </c>
      <c r="Q3557">
        <v>0.19463800000000001</v>
      </c>
    </row>
    <row r="3558" spans="1:17" x14ac:dyDescent="0.25">
      <c r="A3558" t="str">
        <f>IF(C3558&amp;G3558&amp;D3558&lt;&gt;'Funnel setup'!$K$3&amp;'Funnel setup'!$K$4&amp;'Funnel setup'!$K$6,".",IF(A3557=".",1,A3557+1))</f>
        <v>.</v>
      </c>
      <c r="B3558" s="244" t="str">
        <f t="shared" si="55"/>
        <v>Total Hip ReplacementSub-ICB of GP PracticeNHS STAFFORDSHIRE AND STOKE-ON-TRENT ICB - 05W (05W)EQ-5D Index</v>
      </c>
      <c r="C3558" t="s">
        <v>974</v>
      </c>
      <c r="D3558" t="s">
        <v>1021</v>
      </c>
      <c r="E3558" t="s">
        <v>937</v>
      </c>
      <c r="F3558" t="s">
        <v>938</v>
      </c>
      <c r="G3558" t="s">
        <v>963</v>
      </c>
      <c r="H3558">
        <v>32</v>
      </c>
      <c r="I3558">
        <v>0.27021899999999999</v>
      </c>
      <c r="J3558">
        <v>0.80934399999999995</v>
      </c>
      <c r="K3558">
        <v>0.53912499999999997</v>
      </c>
      <c r="L3558">
        <v>29</v>
      </c>
      <c r="M3558">
        <v>2</v>
      </c>
      <c r="N3558">
        <v>1</v>
      </c>
      <c r="O3558">
        <v>0.85396899999999998</v>
      </c>
      <c r="P3558">
        <v>0.52641300000000002</v>
      </c>
      <c r="Q3558">
        <v>0.18928300000000001</v>
      </c>
    </row>
    <row r="3559" spans="1:17" x14ac:dyDescent="0.25">
      <c r="A3559" t="str">
        <f>IF(C3559&amp;G3559&amp;D3559&lt;&gt;'Funnel setup'!$K$3&amp;'Funnel setup'!$K$4&amp;'Funnel setup'!$K$6,".",IF(A3558=".",1,A3558+1))</f>
        <v>.</v>
      </c>
      <c r="B3559" s="244" t="str">
        <f t="shared" si="55"/>
        <v>Total Hip ReplacementSub-ICB of GP PracticeNHS SUFFOLK AND NORTH EAST ESSEX ICB - 06L (06L)EQ-5D Index</v>
      </c>
      <c r="C3559" t="s">
        <v>974</v>
      </c>
      <c r="D3559" t="s">
        <v>1021</v>
      </c>
      <c r="E3559" t="s">
        <v>939</v>
      </c>
      <c r="F3559" t="s">
        <v>940</v>
      </c>
      <c r="G3559" t="s">
        <v>963</v>
      </c>
      <c r="H3559">
        <v>144</v>
      </c>
      <c r="I3559">
        <v>0.24145800000000001</v>
      </c>
      <c r="J3559">
        <v>0.761938</v>
      </c>
      <c r="K3559">
        <v>0.52047900000000002</v>
      </c>
      <c r="L3559">
        <v>134</v>
      </c>
      <c r="M3559">
        <v>7</v>
      </c>
      <c r="N3559">
        <v>3</v>
      </c>
      <c r="O3559">
        <v>0.78358000000000005</v>
      </c>
      <c r="P3559">
        <v>0.45602500000000001</v>
      </c>
      <c r="Q3559">
        <v>0.23951</v>
      </c>
    </row>
    <row r="3560" spans="1:17" x14ac:dyDescent="0.25">
      <c r="A3560" t="str">
        <f>IF(C3560&amp;G3560&amp;D3560&lt;&gt;'Funnel setup'!$K$3&amp;'Funnel setup'!$K$4&amp;'Funnel setup'!$K$6,".",IF(A3559=".",1,A3559+1))</f>
        <v>.</v>
      </c>
      <c r="B3560" s="244" t="str">
        <f t="shared" si="55"/>
        <v>Total Hip ReplacementSub-ICB of GP PracticeNHS SUFFOLK AND NORTH EAST ESSEX ICB - 06T (06T)EQ-5D Index</v>
      </c>
      <c r="C3560" t="s">
        <v>974</v>
      </c>
      <c r="D3560" t="s">
        <v>1021</v>
      </c>
      <c r="E3560" t="s">
        <v>941</v>
      </c>
      <c r="F3560" t="s">
        <v>942</v>
      </c>
      <c r="G3560" t="s">
        <v>963</v>
      </c>
      <c r="H3560">
        <v>32</v>
      </c>
      <c r="I3560">
        <v>0.402281</v>
      </c>
      <c r="J3560">
        <v>0.80025000000000002</v>
      </c>
      <c r="K3560">
        <v>0.39796900000000002</v>
      </c>
      <c r="L3560">
        <v>29</v>
      </c>
      <c r="M3560">
        <v>3</v>
      </c>
      <c r="N3560">
        <v>0</v>
      </c>
      <c r="O3560">
        <v>0.79104200000000002</v>
      </c>
      <c r="P3560">
        <v>0.46348600000000001</v>
      </c>
      <c r="Q3560">
        <v>0.157693</v>
      </c>
    </row>
    <row r="3561" spans="1:17" x14ac:dyDescent="0.25">
      <c r="A3561" t="str">
        <f>IF(C3561&amp;G3561&amp;D3561&lt;&gt;'Funnel setup'!$K$3&amp;'Funnel setup'!$K$4&amp;'Funnel setup'!$K$6,".",IF(A3560=".",1,A3560+1))</f>
        <v>.</v>
      </c>
      <c r="B3561" s="244" t="str">
        <f t="shared" si="55"/>
        <v>Total Hip ReplacementSub-ICB of GP PracticeNHS SUFFOLK AND NORTH EAST ESSEX ICB - 07K (07K)EQ-5D Index</v>
      </c>
      <c r="C3561" t="s">
        <v>974</v>
      </c>
      <c r="D3561" t="s">
        <v>1021</v>
      </c>
      <c r="E3561" t="s">
        <v>943</v>
      </c>
      <c r="F3561" t="s">
        <v>944</v>
      </c>
      <c r="G3561" t="s">
        <v>963</v>
      </c>
      <c r="H3561">
        <v>136</v>
      </c>
      <c r="I3561">
        <v>0.23858799999999999</v>
      </c>
      <c r="J3561">
        <v>0.74209599999999998</v>
      </c>
      <c r="K3561">
        <v>0.50350700000000004</v>
      </c>
      <c r="L3561">
        <v>117</v>
      </c>
      <c r="M3561">
        <v>9</v>
      </c>
      <c r="N3561">
        <v>10</v>
      </c>
      <c r="O3561">
        <v>0.75370499999999996</v>
      </c>
      <c r="P3561">
        <v>0.426149</v>
      </c>
      <c r="Q3561">
        <v>0.253023</v>
      </c>
    </row>
    <row r="3562" spans="1:17" x14ac:dyDescent="0.25">
      <c r="A3562" t="str">
        <f>IF(C3562&amp;G3562&amp;D3562&lt;&gt;'Funnel setup'!$K$3&amp;'Funnel setup'!$K$4&amp;'Funnel setup'!$K$6,".",IF(A3561=".",1,A3561+1))</f>
        <v>.</v>
      </c>
      <c r="B3562" s="244" t="str">
        <f t="shared" si="55"/>
        <v>Total Hip ReplacementSub-ICB of GP PracticeNHS SURREY HEARTLANDS ICB - 92A (92A)EQ-5D Index</v>
      </c>
      <c r="C3562" t="s">
        <v>974</v>
      </c>
      <c r="D3562" t="s">
        <v>1021</v>
      </c>
      <c r="E3562" t="s">
        <v>945</v>
      </c>
      <c r="F3562" t="s">
        <v>946</v>
      </c>
      <c r="G3562" t="s">
        <v>963</v>
      </c>
      <c r="H3562">
        <v>390</v>
      </c>
      <c r="I3562">
        <v>0.41162300000000002</v>
      </c>
      <c r="J3562">
        <v>0.82548200000000005</v>
      </c>
      <c r="K3562">
        <v>0.41385899999999998</v>
      </c>
      <c r="L3562">
        <v>352</v>
      </c>
      <c r="M3562">
        <v>20</v>
      </c>
      <c r="N3562">
        <v>18</v>
      </c>
      <c r="O3562">
        <v>0.79094200000000003</v>
      </c>
      <c r="P3562">
        <v>0.46338600000000002</v>
      </c>
      <c r="Q3562">
        <v>0.184091</v>
      </c>
    </row>
    <row r="3563" spans="1:17" x14ac:dyDescent="0.25">
      <c r="A3563" t="str">
        <f>IF(C3563&amp;G3563&amp;D3563&lt;&gt;'Funnel setup'!$K$3&amp;'Funnel setup'!$K$4&amp;'Funnel setup'!$K$6,".",IF(A3562=".",1,A3562+1))</f>
        <v>.</v>
      </c>
      <c r="B3563" s="244" t="str">
        <f t="shared" si="55"/>
        <v>Total Hip ReplacementSub-ICB of GP PracticeNHS SUSSEX ICB - 09D (09D)EQ-5D Index</v>
      </c>
      <c r="C3563" t="s">
        <v>974</v>
      </c>
      <c r="D3563" t="s">
        <v>1021</v>
      </c>
      <c r="E3563" t="s">
        <v>947</v>
      </c>
      <c r="F3563" t="s">
        <v>948</v>
      </c>
      <c r="G3563" t="s">
        <v>963</v>
      </c>
      <c r="H3563">
        <v>12</v>
      </c>
      <c r="I3563">
        <v>0.51666699999999999</v>
      </c>
      <c r="J3563">
        <v>0.74775000000000003</v>
      </c>
      <c r="K3563">
        <v>0.23108300000000001</v>
      </c>
      <c r="L3563">
        <v>10</v>
      </c>
      <c r="M3563">
        <v>2</v>
      </c>
      <c r="N3563">
        <v>0</v>
      </c>
      <c r="O3563" t="s">
        <v>127</v>
      </c>
      <c r="P3563" t="s">
        <v>127</v>
      </c>
      <c r="Q3563" t="s">
        <v>127</v>
      </c>
    </row>
    <row r="3564" spans="1:17" x14ac:dyDescent="0.25">
      <c r="A3564" t="str">
        <f>IF(C3564&amp;G3564&amp;D3564&lt;&gt;'Funnel setup'!$K$3&amp;'Funnel setup'!$K$4&amp;'Funnel setup'!$K$6,".",IF(A3563=".",1,A3563+1))</f>
        <v>.</v>
      </c>
      <c r="B3564" s="244" t="str">
        <f t="shared" si="55"/>
        <v>Total Hip ReplacementSub-ICB of GP PracticeNHS SUSSEX ICB - 70F (70F)EQ-5D Index</v>
      </c>
      <c r="C3564" t="s">
        <v>974</v>
      </c>
      <c r="D3564" t="s">
        <v>1021</v>
      </c>
      <c r="E3564" t="s">
        <v>949</v>
      </c>
      <c r="F3564" t="s">
        <v>950</v>
      </c>
      <c r="G3564" t="s">
        <v>963</v>
      </c>
      <c r="H3564">
        <v>265</v>
      </c>
      <c r="I3564">
        <v>0.32885300000000001</v>
      </c>
      <c r="J3564">
        <v>0.75442600000000004</v>
      </c>
      <c r="K3564">
        <v>0.42557400000000001</v>
      </c>
      <c r="L3564">
        <v>228</v>
      </c>
      <c r="M3564">
        <v>14</v>
      </c>
      <c r="N3564">
        <v>23</v>
      </c>
      <c r="O3564">
        <v>0.74958400000000003</v>
      </c>
      <c r="P3564">
        <v>0.42202800000000001</v>
      </c>
      <c r="Q3564">
        <v>0.26291100000000001</v>
      </c>
    </row>
    <row r="3565" spans="1:17" x14ac:dyDescent="0.25">
      <c r="A3565" t="str">
        <f>IF(C3565&amp;G3565&amp;D3565&lt;&gt;'Funnel setup'!$K$3&amp;'Funnel setup'!$K$4&amp;'Funnel setup'!$K$6,".",IF(A3564=".",1,A3564+1))</f>
        <v>.</v>
      </c>
      <c r="B3565" s="244" t="str">
        <f t="shared" si="55"/>
        <v>Total Hip ReplacementSub-ICB of GP PracticeNHS SUSSEX ICB - 97R (97R)EQ-5D Index</v>
      </c>
      <c r="C3565" t="s">
        <v>974</v>
      </c>
      <c r="D3565" t="s">
        <v>1021</v>
      </c>
      <c r="E3565" t="s">
        <v>951</v>
      </c>
      <c r="F3565" t="s">
        <v>952</v>
      </c>
      <c r="G3565" t="s">
        <v>963</v>
      </c>
      <c r="H3565">
        <v>284</v>
      </c>
      <c r="I3565">
        <v>0.38387300000000002</v>
      </c>
      <c r="J3565">
        <v>0.79366199999999998</v>
      </c>
      <c r="K3565">
        <v>0.40978900000000001</v>
      </c>
      <c r="L3565">
        <v>245</v>
      </c>
      <c r="M3565">
        <v>16</v>
      </c>
      <c r="N3565">
        <v>23</v>
      </c>
      <c r="O3565">
        <v>0.78089900000000001</v>
      </c>
      <c r="P3565">
        <v>0.45334400000000002</v>
      </c>
      <c r="Q3565">
        <v>0.27019900000000002</v>
      </c>
    </row>
    <row r="3566" spans="1:17" x14ac:dyDescent="0.25">
      <c r="A3566" t="str">
        <f>IF(C3566&amp;G3566&amp;D3566&lt;&gt;'Funnel setup'!$K$3&amp;'Funnel setup'!$K$4&amp;'Funnel setup'!$K$6,".",IF(A3565=".",1,A3565+1))</f>
        <v>.</v>
      </c>
      <c r="B3566" s="244" t="str">
        <f t="shared" si="55"/>
        <v>Total Hip ReplacementSub-ICB of GP PracticeNHS WEST YORKSHIRE ICB - 02T (02T)EQ-5D Index</v>
      </c>
      <c r="C3566" t="s">
        <v>974</v>
      </c>
      <c r="D3566" t="s">
        <v>1021</v>
      </c>
      <c r="E3566" t="s">
        <v>953</v>
      </c>
      <c r="F3566" t="s">
        <v>954</v>
      </c>
      <c r="G3566" t="s">
        <v>963</v>
      </c>
      <c r="H3566">
        <v>59</v>
      </c>
      <c r="I3566">
        <v>0.37679699999999999</v>
      </c>
      <c r="J3566">
        <v>0.79911900000000002</v>
      </c>
      <c r="K3566">
        <v>0.42232199999999998</v>
      </c>
      <c r="L3566">
        <v>55</v>
      </c>
      <c r="M3566">
        <v>2</v>
      </c>
      <c r="N3566">
        <v>2</v>
      </c>
      <c r="O3566">
        <v>0.78793899999999994</v>
      </c>
      <c r="P3566">
        <v>0.46038299999999999</v>
      </c>
      <c r="Q3566">
        <v>0.215506</v>
      </c>
    </row>
    <row r="3567" spans="1:17" x14ac:dyDescent="0.25">
      <c r="A3567" t="str">
        <f>IF(C3567&amp;G3567&amp;D3567&lt;&gt;'Funnel setup'!$K$3&amp;'Funnel setup'!$K$4&amp;'Funnel setup'!$K$6,".",IF(A3566=".",1,A3566+1))</f>
        <v>.</v>
      </c>
      <c r="B3567" s="244" t="str">
        <f t="shared" si="55"/>
        <v>Total Hip ReplacementSub-ICB of GP PracticeNHS WEST YORKSHIRE ICB - 03R (03R)EQ-5D Index</v>
      </c>
      <c r="C3567" t="s">
        <v>974</v>
      </c>
      <c r="D3567" t="s">
        <v>1021</v>
      </c>
      <c r="E3567" t="s">
        <v>955</v>
      </c>
      <c r="F3567" t="s">
        <v>956</v>
      </c>
      <c r="G3567" t="s">
        <v>963</v>
      </c>
      <c r="H3567">
        <v>171</v>
      </c>
      <c r="I3567">
        <v>0.28666700000000001</v>
      </c>
      <c r="J3567">
        <v>0.71956100000000001</v>
      </c>
      <c r="K3567">
        <v>0.43289499999999997</v>
      </c>
      <c r="L3567">
        <v>153</v>
      </c>
      <c r="M3567">
        <v>8</v>
      </c>
      <c r="N3567">
        <v>10</v>
      </c>
      <c r="O3567">
        <v>0.73956500000000003</v>
      </c>
      <c r="P3567">
        <v>0.41200900000000001</v>
      </c>
      <c r="Q3567">
        <v>0.26204699999999997</v>
      </c>
    </row>
    <row r="3568" spans="1:17" x14ac:dyDescent="0.25">
      <c r="A3568" t="str">
        <f>IF(C3568&amp;G3568&amp;D3568&lt;&gt;'Funnel setup'!$K$3&amp;'Funnel setup'!$K$4&amp;'Funnel setup'!$K$6,".",IF(A3567=".",1,A3567+1))</f>
        <v>.</v>
      </c>
      <c r="B3568" s="244" t="str">
        <f t="shared" si="55"/>
        <v>Total Hip ReplacementSub-ICB of GP PracticeNHS WEST YORKSHIRE ICB - 15F (15F)EQ-5D Index</v>
      </c>
      <c r="C3568" t="s">
        <v>974</v>
      </c>
      <c r="D3568" t="s">
        <v>1021</v>
      </c>
      <c r="E3568" t="s">
        <v>957</v>
      </c>
      <c r="F3568" t="s">
        <v>958</v>
      </c>
      <c r="G3568" t="s">
        <v>963</v>
      </c>
      <c r="H3568">
        <v>234</v>
      </c>
      <c r="I3568">
        <v>0.34049099999999999</v>
      </c>
      <c r="J3568">
        <v>0.77433799999999997</v>
      </c>
      <c r="K3568">
        <v>0.43384600000000001</v>
      </c>
      <c r="L3568">
        <v>204</v>
      </c>
      <c r="M3568">
        <v>9</v>
      </c>
      <c r="N3568">
        <v>21</v>
      </c>
      <c r="O3568">
        <v>0.769984</v>
      </c>
      <c r="P3568">
        <v>0.44242799999999999</v>
      </c>
      <c r="Q3568">
        <v>0.229352</v>
      </c>
    </row>
    <row r="3569" spans="1:17" x14ac:dyDescent="0.25">
      <c r="A3569" t="str">
        <f>IF(C3569&amp;G3569&amp;D3569&lt;&gt;'Funnel setup'!$K$3&amp;'Funnel setup'!$K$4&amp;'Funnel setup'!$K$6,".",IF(A3568=".",1,A3568+1))</f>
        <v>.</v>
      </c>
      <c r="B3569" s="244" t="str">
        <f t="shared" si="55"/>
        <v>Total Hip ReplacementSub-ICB of GP PracticeNHS WEST YORKSHIRE ICB - 36J (36J)EQ-5D Index</v>
      </c>
      <c r="C3569" t="s">
        <v>974</v>
      </c>
      <c r="D3569" t="s">
        <v>1021</v>
      </c>
      <c r="E3569" t="s">
        <v>959</v>
      </c>
      <c r="F3569" t="s">
        <v>960</v>
      </c>
      <c r="G3569" t="s">
        <v>963</v>
      </c>
      <c r="H3569">
        <v>90</v>
      </c>
      <c r="I3569">
        <v>0.33571099999999998</v>
      </c>
      <c r="J3569">
        <v>0.831044</v>
      </c>
      <c r="K3569">
        <v>0.49533300000000002</v>
      </c>
      <c r="L3569">
        <v>82</v>
      </c>
      <c r="M3569">
        <v>7</v>
      </c>
      <c r="N3569">
        <v>1</v>
      </c>
      <c r="O3569">
        <v>0.83584899999999995</v>
      </c>
      <c r="P3569">
        <v>0.50829299999999999</v>
      </c>
      <c r="Q3569">
        <v>0.19559299999999999</v>
      </c>
    </row>
    <row r="3570" spans="1:17" x14ac:dyDescent="0.25">
      <c r="A3570" t="str">
        <f>IF(C3570&amp;G3570&amp;D3570&lt;&gt;'Funnel setup'!$K$3&amp;'Funnel setup'!$K$4&amp;'Funnel setup'!$K$6,".",IF(A3569=".",1,A3569+1))</f>
        <v>.</v>
      </c>
      <c r="B3570" s="244" t="str">
        <f t="shared" si="55"/>
        <v>Total Hip ReplacementSub-ICB of GP PracticeNHS WEST YORKSHIRE ICB - X2C4Y (X2C4Y)EQ-5D Index</v>
      </c>
      <c r="C3570" t="s">
        <v>974</v>
      </c>
      <c r="D3570" t="s">
        <v>1021</v>
      </c>
      <c r="E3570" t="s">
        <v>961</v>
      </c>
      <c r="F3570" t="s">
        <v>962</v>
      </c>
      <c r="G3570" t="s">
        <v>963</v>
      </c>
      <c r="H3570">
        <v>120</v>
      </c>
      <c r="I3570">
        <v>0.30120000000000002</v>
      </c>
      <c r="J3570">
        <v>0.72283299999999995</v>
      </c>
      <c r="K3570">
        <v>0.42163299999999998</v>
      </c>
      <c r="L3570">
        <v>101</v>
      </c>
      <c r="M3570">
        <v>6</v>
      </c>
      <c r="N3570">
        <v>13</v>
      </c>
      <c r="O3570">
        <v>0.75168500000000005</v>
      </c>
      <c r="P3570">
        <v>0.42412899999999998</v>
      </c>
      <c r="Q3570">
        <v>0.27518999999999999</v>
      </c>
    </row>
    <row r="3571" spans="1:17" x14ac:dyDescent="0.25">
      <c r="A3571" t="str">
        <f>IF(C3571&amp;G3571&amp;D3571&lt;&gt;'Funnel setup'!$K$3&amp;'Funnel setup'!$K$4&amp;'Funnel setup'!$K$6,".",IF(A3570=".",1,A3570+1))</f>
        <v>.</v>
      </c>
      <c r="B3571" s="244" t="str">
        <f t="shared" si="55"/>
        <v>Total Hip ReplacementSub-ICB of GP PracticeNHS BATH AND NORTH EAST SOMERSET, SWINDON AND WILTSHIRE ICB - 92G (92G)Oxford Hip Score</v>
      </c>
      <c r="C3571" t="s">
        <v>974</v>
      </c>
      <c r="D3571" t="s">
        <v>1021</v>
      </c>
      <c r="E3571" t="s">
        <v>750</v>
      </c>
      <c r="F3571" t="s">
        <v>751</v>
      </c>
      <c r="G3571" t="s">
        <v>964</v>
      </c>
      <c r="H3571">
        <v>257</v>
      </c>
      <c r="I3571">
        <v>19.124500000000001</v>
      </c>
      <c r="J3571">
        <v>41.525300000000001</v>
      </c>
      <c r="K3571">
        <v>22.4008</v>
      </c>
      <c r="L3571">
        <v>252</v>
      </c>
      <c r="M3571">
        <v>1</v>
      </c>
      <c r="N3571">
        <v>4</v>
      </c>
      <c r="O3571">
        <v>39.6053</v>
      </c>
      <c r="P3571">
        <v>22.393799999999999</v>
      </c>
      <c r="Q3571">
        <v>7.6685299999999996</v>
      </c>
    </row>
    <row r="3572" spans="1:17" x14ac:dyDescent="0.25">
      <c r="A3572" t="str">
        <f>IF(C3572&amp;G3572&amp;D3572&lt;&gt;'Funnel setup'!$K$3&amp;'Funnel setup'!$K$4&amp;'Funnel setup'!$K$6,".",IF(A3571=".",1,A3571+1))</f>
        <v>.</v>
      </c>
      <c r="B3572" s="244" t="str">
        <f t="shared" si="55"/>
        <v>Total Hip ReplacementSub-ICB of GP PracticeNHS BEDFORDSHIRE, LUTON AND MILTON KEYNES ICB - M1J4Y (M1J4Y)Oxford Hip Score</v>
      </c>
      <c r="C3572" t="s">
        <v>974</v>
      </c>
      <c r="D3572" t="s">
        <v>1021</v>
      </c>
      <c r="E3572" t="s">
        <v>753</v>
      </c>
      <c r="F3572" t="s">
        <v>754</v>
      </c>
      <c r="G3572" t="s">
        <v>964</v>
      </c>
      <c r="H3572">
        <v>246</v>
      </c>
      <c r="I3572">
        <v>15.540699999999999</v>
      </c>
      <c r="J3572">
        <v>38.638199999999998</v>
      </c>
      <c r="K3572">
        <v>23.0976</v>
      </c>
      <c r="L3572">
        <v>240</v>
      </c>
      <c r="M3572">
        <v>0</v>
      </c>
      <c r="N3572">
        <v>6</v>
      </c>
      <c r="O3572">
        <v>39.358800000000002</v>
      </c>
      <c r="P3572">
        <v>22.147400000000001</v>
      </c>
      <c r="Q3572">
        <v>8.8901199999999996</v>
      </c>
    </row>
    <row r="3573" spans="1:17" x14ac:dyDescent="0.25">
      <c r="A3573" t="str">
        <f>IF(C3573&amp;G3573&amp;D3573&lt;&gt;'Funnel setup'!$K$3&amp;'Funnel setup'!$K$4&amp;'Funnel setup'!$K$6,".",IF(A3572=".",1,A3572+1))</f>
        <v>.</v>
      </c>
      <c r="B3573" s="244" t="str">
        <f t="shared" si="55"/>
        <v>Total Hip ReplacementSub-ICB of GP PracticeNHS BIRMINGHAM AND SOLIHULL ICB - 15E (15E)Oxford Hip Score</v>
      </c>
      <c r="C3573" t="s">
        <v>974</v>
      </c>
      <c r="D3573" t="s">
        <v>1021</v>
      </c>
      <c r="E3573" t="s">
        <v>755</v>
      </c>
      <c r="F3573" t="s">
        <v>756</v>
      </c>
      <c r="G3573" t="s">
        <v>964</v>
      </c>
      <c r="H3573">
        <v>385</v>
      </c>
      <c r="I3573">
        <v>17.389600000000002</v>
      </c>
      <c r="J3573">
        <v>40.140300000000003</v>
      </c>
      <c r="K3573">
        <v>22.750599999999999</v>
      </c>
      <c r="L3573">
        <v>378</v>
      </c>
      <c r="M3573">
        <v>1</v>
      </c>
      <c r="N3573">
        <v>6</v>
      </c>
      <c r="O3573">
        <v>39.890900000000002</v>
      </c>
      <c r="P3573">
        <v>22.679400000000001</v>
      </c>
      <c r="Q3573">
        <v>7.7816200000000002</v>
      </c>
    </row>
    <row r="3574" spans="1:17" x14ac:dyDescent="0.25">
      <c r="A3574" t="str">
        <f>IF(C3574&amp;G3574&amp;D3574&lt;&gt;'Funnel setup'!$K$3&amp;'Funnel setup'!$K$4&amp;'Funnel setup'!$K$6,".",IF(A3573=".",1,A3573+1))</f>
        <v>.</v>
      </c>
      <c r="B3574" s="244" t="str">
        <f t="shared" si="55"/>
        <v>Total Hip ReplacementSub-ICB of GP PracticeNHS BLACK COUNTRY ICB - D2P2L (D2P2L)Oxford Hip Score</v>
      </c>
      <c r="C3574" t="s">
        <v>974</v>
      </c>
      <c r="D3574" t="s">
        <v>1021</v>
      </c>
      <c r="E3574" t="s">
        <v>757</v>
      </c>
      <c r="F3574" t="s">
        <v>758</v>
      </c>
      <c r="G3574" t="s">
        <v>964</v>
      </c>
      <c r="H3574">
        <v>280</v>
      </c>
      <c r="I3574">
        <v>16.439299999999999</v>
      </c>
      <c r="J3574">
        <v>38.817900000000002</v>
      </c>
      <c r="K3574">
        <v>22.378599999999999</v>
      </c>
      <c r="L3574">
        <v>271</v>
      </c>
      <c r="M3574">
        <v>1</v>
      </c>
      <c r="N3574">
        <v>8</v>
      </c>
      <c r="O3574">
        <v>39.235199999999999</v>
      </c>
      <c r="P3574">
        <v>22.023700000000002</v>
      </c>
      <c r="Q3574">
        <v>8.9184599999999996</v>
      </c>
    </row>
    <row r="3575" spans="1:17" x14ac:dyDescent="0.25">
      <c r="A3575" t="str">
        <f>IF(C3575&amp;G3575&amp;D3575&lt;&gt;'Funnel setup'!$K$3&amp;'Funnel setup'!$K$4&amp;'Funnel setup'!$K$6,".",IF(A3574=".",1,A3574+1))</f>
        <v>.</v>
      </c>
      <c r="B3575" s="244" t="str">
        <f t="shared" si="55"/>
        <v>Total Hip ReplacementSub-ICB of GP PracticeNHS BRISTOL, NORTH SOMERSET AND SOUTH GLOUCESTERSHIRE ICB - 15C (15C)Oxford Hip Score</v>
      </c>
      <c r="C3575" t="s">
        <v>974</v>
      </c>
      <c r="D3575" t="s">
        <v>1021</v>
      </c>
      <c r="E3575" t="s">
        <v>759</v>
      </c>
      <c r="F3575" t="s">
        <v>760</v>
      </c>
      <c r="G3575" t="s">
        <v>964</v>
      </c>
      <c r="H3575">
        <v>233</v>
      </c>
      <c r="I3575">
        <v>16.965699999999998</v>
      </c>
      <c r="J3575">
        <v>42.463500000000003</v>
      </c>
      <c r="K3575">
        <v>25.497900000000001</v>
      </c>
      <c r="L3575">
        <v>231</v>
      </c>
      <c r="M3575">
        <v>1</v>
      </c>
      <c r="N3575">
        <v>1</v>
      </c>
      <c r="O3575">
        <v>41.621499999999997</v>
      </c>
      <c r="P3575">
        <v>24.4101</v>
      </c>
      <c r="Q3575">
        <v>6.7545700000000002</v>
      </c>
    </row>
    <row r="3576" spans="1:17" x14ac:dyDescent="0.25">
      <c r="A3576" t="str">
        <f>IF(C3576&amp;G3576&amp;D3576&lt;&gt;'Funnel setup'!$K$3&amp;'Funnel setup'!$K$4&amp;'Funnel setup'!$K$6,".",IF(A3575=".",1,A3575+1))</f>
        <v>.</v>
      </c>
      <c r="B3576" s="244" t="str">
        <f t="shared" si="55"/>
        <v>Total Hip ReplacementSub-ICB of GP PracticeNHS BUCKINGHAMSHIRE, OXFORDSHIRE AND BERKSHIRE WEST ICB - 10Q (10Q)Oxford Hip Score</v>
      </c>
      <c r="C3576" t="s">
        <v>974</v>
      </c>
      <c r="D3576" t="s">
        <v>1021</v>
      </c>
      <c r="E3576" t="s">
        <v>761</v>
      </c>
      <c r="F3576" t="s">
        <v>762</v>
      </c>
      <c r="G3576" t="s">
        <v>964</v>
      </c>
      <c r="H3576">
        <v>376</v>
      </c>
      <c r="I3576">
        <v>18.670200000000001</v>
      </c>
      <c r="J3576">
        <v>41.1676</v>
      </c>
      <c r="K3576">
        <v>22.497299999999999</v>
      </c>
      <c r="L3576">
        <v>366</v>
      </c>
      <c r="M3576">
        <v>1</v>
      </c>
      <c r="N3576">
        <v>9</v>
      </c>
      <c r="O3576">
        <v>40.359400000000001</v>
      </c>
      <c r="P3576">
        <v>23.148</v>
      </c>
      <c r="Q3576">
        <v>7.7651500000000002</v>
      </c>
    </row>
    <row r="3577" spans="1:17" x14ac:dyDescent="0.25">
      <c r="A3577" t="str">
        <f>IF(C3577&amp;G3577&amp;D3577&lt;&gt;'Funnel setup'!$K$3&amp;'Funnel setup'!$K$4&amp;'Funnel setup'!$K$6,".",IF(A3576=".",1,A3576+1))</f>
        <v>.</v>
      </c>
      <c r="B3577" s="244" t="str">
        <f t="shared" si="55"/>
        <v>Total Hip ReplacementSub-ICB of GP PracticeNHS BUCKINGHAMSHIRE, OXFORDSHIRE AND BERKSHIRE WEST ICB - 14Y (14Y)Oxford Hip Score</v>
      </c>
      <c r="C3577" t="s">
        <v>974</v>
      </c>
      <c r="D3577" t="s">
        <v>1021</v>
      </c>
      <c r="E3577" t="s">
        <v>763</v>
      </c>
      <c r="F3577" t="s">
        <v>764</v>
      </c>
      <c r="G3577" t="s">
        <v>964</v>
      </c>
      <c r="H3577">
        <v>240</v>
      </c>
      <c r="I3577">
        <v>17.770800000000001</v>
      </c>
      <c r="J3577">
        <v>39.629199999999997</v>
      </c>
      <c r="K3577">
        <v>21.8583</v>
      </c>
      <c r="L3577">
        <v>230</v>
      </c>
      <c r="M3577">
        <v>1</v>
      </c>
      <c r="N3577">
        <v>9</v>
      </c>
      <c r="O3577">
        <v>38.465499999999999</v>
      </c>
      <c r="P3577">
        <v>21.254100000000001</v>
      </c>
      <c r="Q3577">
        <v>8.3841999999999999</v>
      </c>
    </row>
    <row r="3578" spans="1:17" x14ac:dyDescent="0.25">
      <c r="A3578" t="str">
        <f>IF(C3578&amp;G3578&amp;D3578&lt;&gt;'Funnel setup'!$K$3&amp;'Funnel setup'!$K$4&amp;'Funnel setup'!$K$6,".",IF(A3577=".",1,A3577+1))</f>
        <v>.</v>
      </c>
      <c r="B3578" s="244" t="str">
        <f t="shared" si="55"/>
        <v>Total Hip ReplacementSub-ICB of GP PracticeNHS BUCKINGHAMSHIRE, OXFORDSHIRE AND BERKSHIRE WEST ICB - 15A (15A)Oxford Hip Score</v>
      </c>
      <c r="C3578" t="s">
        <v>974</v>
      </c>
      <c r="D3578" t="s">
        <v>1021</v>
      </c>
      <c r="E3578" t="s">
        <v>765</v>
      </c>
      <c r="F3578" t="s">
        <v>766</v>
      </c>
      <c r="G3578" t="s">
        <v>964</v>
      </c>
      <c r="H3578">
        <v>76</v>
      </c>
      <c r="I3578">
        <v>21.236799999999999</v>
      </c>
      <c r="J3578">
        <v>41.289499999999997</v>
      </c>
      <c r="K3578">
        <v>20.052600000000002</v>
      </c>
      <c r="L3578">
        <v>72</v>
      </c>
      <c r="M3578">
        <v>0</v>
      </c>
      <c r="N3578">
        <v>4</v>
      </c>
      <c r="O3578">
        <v>38.335000000000001</v>
      </c>
      <c r="P3578">
        <v>21.1235</v>
      </c>
      <c r="Q3578">
        <v>8.7634600000000002</v>
      </c>
    </row>
    <row r="3579" spans="1:17" x14ac:dyDescent="0.25">
      <c r="A3579" t="str">
        <f>IF(C3579&amp;G3579&amp;D3579&lt;&gt;'Funnel setup'!$K$3&amp;'Funnel setup'!$K$4&amp;'Funnel setup'!$K$6,".",IF(A3578=".",1,A3578+1))</f>
        <v>.</v>
      </c>
      <c r="B3579" s="244" t="str">
        <f t="shared" si="55"/>
        <v>Total Hip ReplacementSub-ICB of GP PracticeNHS CAMBRIDGESHIRE AND PETERBOROUGH ICB - 06H (06H)Oxford Hip Score</v>
      </c>
      <c r="C3579" t="s">
        <v>974</v>
      </c>
      <c r="D3579" t="s">
        <v>1021</v>
      </c>
      <c r="E3579" t="s">
        <v>767</v>
      </c>
      <c r="F3579" t="s">
        <v>768</v>
      </c>
      <c r="G3579" t="s">
        <v>964</v>
      </c>
      <c r="H3579">
        <v>239</v>
      </c>
      <c r="I3579">
        <v>14.9749</v>
      </c>
      <c r="J3579">
        <v>38.778199999999998</v>
      </c>
      <c r="K3579">
        <v>23.8033</v>
      </c>
      <c r="L3579">
        <v>233</v>
      </c>
      <c r="M3579">
        <v>3</v>
      </c>
      <c r="N3579">
        <v>3</v>
      </c>
      <c r="O3579">
        <v>39.8416</v>
      </c>
      <c r="P3579">
        <v>22.630199999999999</v>
      </c>
      <c r="Q3579">
        <v>8.5045099999999998</v>
      </c>
    </row>
    <row r="3580" spans="1:17" x14ac:dyDescent="0.25">
      <c r="A3580" t="str">
        <f>IF(C3580&amp;G3580&amp;D3580&lt;&gt;'Funnel setup'!$K$3&amp;'Funnel setup'!$K$4&amp;'Funnel setup'!$K$6,".",IF(A3579=".",1,A3579+1))</f>
        <v>.</v>
      </c>
      <c r="B3580" s="244" t="str">
        <f t="shared" si="55"/>
        <v>Total Hip ReplacementSub-ICB of GP PracticeNHS CHESHIRE AND MERSEYSIDE ICB - 01F (01F)Oxford Hip Score</v>
      </c>
      <c r="C3580" t="s">
        <v>974</v>
      </c>
      <c r="D3580" t="s">
        <v>1021</v>
      </c>
      <c r="E3580" t="s">
        <v>769</v>
      </c>
      <c r="F3580" t="s">
        <v>770</v>
      </c>
      <c r="G3580" t="s">
        <v>964</v>
      </c>
      <c r="H3580">
        <v>33</v>
      </c>
      <c r="I3580">
        <v>17.2121</v>
      </c>
      <c r="J3580">
        <v>37.757599999999996</v>
      </c>
      <c r="K3580">
        <v>20.545500000000001</v>
      </c>
      <c r="L3580">
        <v>33</v>
      </c>
      <c r="M3580">
        <v>0</v>
      </c>
      <c r="N3580">
        <v>0</v>
      </c>
      <c r="O3580">
        <v>39.609699999999997</v>
      </c>
      <c r="P3580">
        <v>22.398299999999999</v>
      </c>
      <c r="Q3580">
        <v>7.47262</v>
      </c>
    </row>
    <row r="3581" spans="1:17" x14ac:dyDescent="0.25">
      <c r="A3581" t="str">
        <f>IF(C3581&amp;G3581&amp;D3581&lt;&gt;'Funnel setup'!$K$3&amp;'Funnel setup'!$K$4&amp;'Funnel setup'!$K$6,".",IF(A3580=".",1,A3580+1))</f>
        <v>.</v>
      </c>
      <c r="B3581" s="244" t="str">
        <f t="shared" si="55"/>
        <v>Total Hip ReplacementSub-ICB of GP PracticeNHS CHESHIRE AND MERSEYSIDE ICB - 01J (01J)Oxford Hip Score</v>
      </c>
      <c r="C3581" t="s">
        <v>974</v>
      </c>
      <c r="D3581" t="s">
        <v>1021</v>
      </c>
      <c r="E3581" t="s">
        <v>771</v>
      </c>
      <c r="F3581" t="s">
        <v>772</v>
      </c>
      <c r="G3581" t="s">
        <v>964</v>
      </c>
      <c r="H3581">
        <v>38</v>
      </c>
      <c r="I3581">
        <v>13.736800000000001</v>
      </c>
      <c r="J3581">
        <v>38.289499999999997</v>
      </c>
      <c r="K3581">
        <v>24.552600000000002</v>
      </c>
      <c r="L3581">
        <v>37</v>
      </c>
      <c r="M3581">
        <v>0</v>
      </c>
      <c r="N3581">
        <v>1</v>
      </c>
      <c r="O3581">
        <v>40.776299999999999</v>
      </c>
      <c r="P3581">
        <v>23.564800000000002</v>
      </c>
      <c r="Q3581">
        <v>9.5175000000000001</v>
      </c>
    </row>
    <row r="3582" spans="1:17" x14ac:dyDescent="0.25">
      <c r="A3582" t="str">
        <f>IF(C3582&amp;G3582&amp;D3582&lt;&gt;'Funnel setup'!$K$3&amp;'Funnel setup'!$K$4&amp;'Funnel setup'!$K$6,".",IF(A3581=".",1,A3581+1))</f>
        <v>.</v>
      </c>
      <c r="B3582" s="244" t="str">
        <f t="shared" si="55"/>
        <v>Total Hip ReplacementSub-ICB of GP PracticeNHS CHESHIRE AND MERSEYSIDE ICB - 01T (01T)Oxford Hip Score</v>
      </c>
      <c r="C3582" t="s">
        <v>974</v>
      </c>
      <c r="D3582" t="s">
        <v>1021</v>
      </c>
      <c r="E3582" t="s">
        <v>773</v>
      </c>
      <c r="F3582" t="s">
        <v>774</v>
      </c>
      <c r="G3582" t="s">
        <v>964</v>
      </c>
      <c r="H3582">
        <v>46</v>
      </c>
      <c r="I3582">
        <v>17.239100000000001</v>
      </c>
      <c r="J3582">
        <v>38.282600000000002</v>
      </c>
      <c r="K3582">
        <v>21.043500000000002</v>
      </c>
      <c r="L3582">
        <v>44</v>
      </c>
      <c r="M3582">
        <v>0</v>
      </c>
      <c r="N3582">
        <v>2</v>
      </c>
      <c r="O3582">
        <v>38.593600000000002</v>
      </c>
      <c r="P3582">
        <v>21.382200000000001</v>
      </c>
      <c r="Q3582">
        <v>10.0001</v>
      </c>
    </row>
    <row r="3583" spans="1:17" x14ac:dyDescent="0.25">
      <c r="A3583" t="str">
        <f>IF(C3583&amp;G3583&amp;D3583&lt;&gt;'Funnel setup'!$K$3&amp;'Funnel setup'!$K$4&amp;'Funnel setup'!$K$6,".",IF(A3582=".",1,A3582+1))</f>
        <v>.</v>
      </c>
      <c r="B3583" s="244" t="str">
        <f t="shared" si="55"/>
        <v>Total Hip ReplacementSub-ICB of GP PracticeNHS CHESHIRE AND MERSEYSIDE ICB - 01V (01V)Oxford Hip Score</v>
      </c>
      <c r="C3583" t="s">
        <v>974</v>
      </c>
      <c r="D3583" t="s">
        <v>1021</v>
      </c>
      <c r="E3583" t="s">
        <v>775</v>
      </c>
      <c r="F3583" t="s">
        <v>776</v>
      </c>
      <c r="G3583" t="s">
        <v>964</v>
      </c>
      <c r="H3583">
        <v>25</v>
      </c>
      <c r="I3583">
        <v>16.12</v>
      </c>
      <c r="J3583">
        <v>37.92</v>
      </c>
      <c r="K3583">
        <v>21.8</v>
      </c>
      <c r="L3583">
        <v>25</v>
      </c>
      <c r="M3583">
        <v>0</v>
      </c>
      <c r="N3583">
        <v>0</v>
      </c>
      <c r="O3583" t="s">
        <v>127</v>
      </c>
      <c r="P3583" t="s">
        <v>127</v>
      </c>
      <c r="Q3583" t="s">
        <v>127</v>
      </c>
    </row>
    <row r="3584" spans="1:17" x14ac:dyDescent="0.25">
      <c r="A3584" t="str">
        <f>IF(C3584&amp;G3584&amp;D3584&lt;&gt;'Funnel setup'!$K$3&amp;'Funnel setup'!$K$4&amp;'Funnel setup'!$K$6,".",IF(A3583=".",1,A3583+1))</f>
        <v>.</v>
      </c>
      <c r="B3584" s="244" t="str">
        <f t="shared" si="55"/>
        <v>Total Hip ReplacementSub-ICB of GP PracticeNHS CHESHIRE AND MERSEYSIDE ICB - 01X (01X)Oxford Hip Score</v>
      </c>
      <c r="C3584" t="s">
        <v>974</v>
      </c>
      <c r="D3584" t="s">
        <v>1021</v>
      </c>
      <c r="E3584" t="s">
        <v>777</v>
      </c>
      <c r="F3584" t="s">
        <v>778</v>
      </c>
      <c r="G3584" t="s">
        <v>964</v>
      </c>
      <c r="H3584">
        <v>65</v>
      </c>
      <c r="I3584">
        <v>15.553800000000001</v>
      </c>
      <c r="J3584">
        <v>36.076900000000002</v>
      </c>
      <c r="K3584">
        <v>20.523099999999999</v>
      </c>
      <c r="L3584">
        <v>61</v>
      </c>
      <c r="M3584">
        <v>1</v>
      </c>
      <c r="N3584">
        <v>3</v>
      </c>
      <c r="O3584">
        <v>38.069499999999998</v>
      </c>
      <c r="P3584">
        <v>20.858000000000001</v>
      </c>
      <c r="Q3584">
        <v>9.6898599999999995</v>
      </c>
    </row>
    <row r="3585" spans="1:17" x14ac:dyDescent="0.25">
      <c r="A3585" t="str">
        <f>IF(C3585&amp;G3585&amp;D3585&lt;&gt;'Funnel setup'!$K$3&amp;'Funnel setup'!$K$4&amp;'Funnel setup'!$K$6,".",IF(A3584=".",1,A3584+1))</f>
        <v>.</v>
      </c>
      <c r="B3585" s="244" t="str">
        <f t="shared" si="55"/>
        <v>Total Hip ReplacementSub-ICB of GP PracticeNHS CHESHIRE AND MERSEYSIDE ICB - 02E (02E)Oxford Hip Score</v>
      </c>
      <c r="C3585" t="s">
        <v>974</v>
      </c>
      <c r="D3585" t="s">
        <v>1021</v>
      </c>
      <c r="E3585" t="s">
        <v>779</v>
      </c>
      <c r="F3585" t="s">
        <v>780</v>
      </c>
      <c r="G3585" t="s">
        <v>964</v>
      </c>
      <c r="H3585">
        <v>34</v>
      </c>
      <c r="I3585">
        <v>16.5</v>
      </c>
      <c r="J3585">
        <v>37.058799999999998</v>
      </c>
      <c r="K3585">
        <v>20.558800000000002</v>
      </c>
      <c r="L3585">
        <v>32</v>
      </c>
      <c r="M3585">
        <v>0</v>
      </c>
      <c r="N3585">
        <v>2</v>
      </c>
      <c r="O3585">
        <v>37.430199999999999</v>
      </c>
      <c r="P3585">
        <v>20.218699999999998</v>
      </c>
      <c r="Q3585">
        <v>8.9237300000000008</v>
      </c>
    </row>
    <row r="3586" spans="1:17" x14ac:dyDescent="0.25">
      <c r="A3586" t="str">
        <f>IF(C3586&amp;G3586&amp;D3586&lt;&gt;'Funnel setup'!$K$3&amp;'Funnel setup'!$K$4&amp;'Funnel setup'!$K$6,".",IF(A3585=".",1,A3585+1))</f>
        <v>.</v>
      </c>
      <c r="B3586" s="244" t="str">
        <f t="shared" ref="B3586:B3649" si="56">C3586&amp;D3586&amp;F3586&amp;G3586</f>
        <v>Total Hip ReplacementSub-ICB of GP PracticeNHS CHESHIRE AND MERSEYSIDE ICB - 12F (12F)Oxford Hip Score</v>
      </c>
      <c r="C3586" t="s">
        <v>974</v>
      </c>
      <c r="D3586" t="s">
        <v>1021</v>
      </c>
      <c r="E3586" t="s">
        <v>781</v>
      </c>
      <c r="F3586" t="s">
        <v>782</v>
      </c>
      <c r="G3586" t="s">
        <v>964</v>
      </c>
      <c r="H3586">
        <v>103</v>
      </c>
      <c r="I3586">
        <v>15.601900000000001</v>
      </c>
      <c r="J3586">
        <v>37.252400000000002</v>
      </c>
      <c r="K3586">
        <v>21.650500000000001</v>
      </c>
      <c r="L3586">
        <v>101</v>
      </c>
      <c r="M3586">
        <v>0</v>
      </c>
      <c r="N3586">
        <v>2</v>
      </c>
      <c r="O3586">
        <v>38.377600000000001</v>
      </c>
      <c r="P3586">
        <v>21.1661</v>
      </c>
      <c r="Q3586">
        <v>8.2125599999999999</v>
      </c>
    </row>
    <row r="3587" spans="1:17" x14ac:dyDescent="0.25">
      <c r="A3587" t="str">
        <f>IF(C3587&amp;G3587&amp;D3587&lt;&gt;'Funnel setup'!$K$3&amp;'Funnel setup'!$K$4&amp;'Funnel setup'!$K$6,".",IF(A3586=".",1,A3586+1))</f>
        <v>.</v>
      </c>
      <c r="B3587" s="244" t="str">
        <f t="shared" si="56"/>
        <v>Total Hip ReplacementSub-ICB of GP PracticeNHS CHESHIRE AND MERSEYSIDE ICB - 27D (27D)Oxford Hip Score</v>
      </c>
      <c r="C3587" t="s">
        <v>974</v>
      </c>
      <c r="D3587" t="s">
        <v>1021</v>
      </c>
      <c r="E3587" t="s">
        <v>783</v>
      </c>
      <c r="F3587" t="s">
        <v>784</v>
      </c>
      <c r="G3587" t="s">
        <v>964</v>
      </c>
      <c r="H3587">
        <v>287</v>
      </c>
      <c r="I3587">
        <v>16.661999999999999</v>
      </c>
      <c r="J3587">
        <v>40.9373</v>
      </c>
      <c r="K3587">
        <v>24.275300000000001</v>
      </c>
      <c r="L3587">
        <v>284</v>
      </c>
      <c r="M3587">
        <v>1</v>
      </c>
      <c r="N3587">
        <v>2</v>
      </c>
      <c r="O3587">
        <v>40.869100000000003</v>
      </c>
      <c r="P3587">
        <v>23.657599999999999</v>
      </c>
      <c r="Q3587">
        <v>7.1483999999999996</v>
      </c>
    </row>
    <row r="3588" spans="1:17" x14ac:dyDescent="0.25">
      <c r="A3588" t="str">
        <f>IF(C3588&amp;G3588&amp;D3588&lt;&gt;'Funnel setup'!$K$3&amp;'Funnel setup'!$K$4&amp;'Funnel setup'!$K$6,".",IF(A3587=".",1,A3587+1))</f>
        <v>.</v>
      </c>
      <c r="B3588" s="244" t="str">
        <f t="shared" si="56"/>
        <v>Total Hip ReplacementSub-ICB of GP PracticeNHS CHESHIRE AND MERSEYSIDE ICB - 99A (99A)Oxford Hip Score</v>
      </c>
      <c r="C3588" t="s">
        <v>974</v>
      </c>
      <c r="D3588" t="s">
        <v>1021</v>
      </c>
      <c r="E3588" t="s">
        <v>785</v>
      </c>
      <c r="F3588" t="s">
        <v>786</v>
      </c>
      <c r="G3588" t="s">
        <v>964</v>
      </c>
      <c r="H3588">
        <v>87</v>
      </c>
      <c r="I3588">
        <v>13.7126</v>
      </c>
      <c r="J3588">
        <v>36.747100000000003</v>
      </c>
      <c r="K3588">
        <v>23.034500000000001</v>
      </c>
      <c r="L3588">
        <v>83</v>
      </c>
      <c r="M3588">
        <v>0</v>
      </c>
      <c r="N3588">
        <v>4</v>
      </c>
      <c r="O3588">
        <v>40.241399999999999</v>
      </c>
      <c r="P3588">
        <v>23.029900000000001</v>
      </c>
      <c r="Q3588">
        <v>9.2313299999999998</v>
      </c>
    </row>
    <row r="3589" spans="1:17" x14ac:dyDescent="0.25">
      <c r="A3589" t="str">
        <f>IF(C3589&amp;G3589&amp;D3589&lt;&gt;'Funnel setup'!$K$3&amp;'Funnel setup'!$K$4&amp;'Funnel setup'!$K$6,".",IF(A3588=".",1,A3588+1))</f>
        <v>.</v>
      </c>
      <c r="B3589" s="244" t="str">
        <f t="shared" si="56"/>
        <v>Total Hip ReplacementSub-ICB of GP PracticeNHS CORNWALL AND THE ISLES OF SCILLY ICB - 11N (11N)Oxford Hip Score</v>
      </c>
      <c r="C3589" t="s">
        <v>974</v>
      </c>
      <c r="D3589" t="s">
        <v>1021</v>
      </c>
      <c r="E3589" t="s">
        <v>787</v>
      </c>
      <c r="F3589" t="s">
        <v>788</v>
      </c>
      <c r="G3589" t="s">
        <v>964</v>
      </c>
      <c r="H3589">
        <v>167</v>
      </c>
      <c r="I3589">
        <v>20.736499999999999</v>
      </c>
      <c r="J3589">
        <v>39.820399999999999</v>
      </c>
      <c r="K3589">
        <v>19.0838</v>
      </c>
      <c r="L3589">
        <v>154</v>
      </c>
      <c r="M3589">
        <v>1</v>
      </c>
      <c r="N3589">
        <v>12</v>
      </c>
      <c r="O3589">
        <v>38.905500000000004</v>
      </c>
      <c r="P3589">
        <v>21.693999999999999</v>
      </c>
      <c r="Q3589">
        <v>8.7917699999999996</v>
      </c>
    </row>
    <row r="3590" spans="1:17" x14ac:dyDescent="0.25">
      <c r="A3590" t="str">
        <f>IF(C3590&amp;G3590&amp;D3590&lt;&gt;'Funnel setup'!$K$3&amp;'Funnel setup'!$K$4&amp;'Funnel setup'!$K$6,".",IF(A3589=".",1,A3589+1))</f>
        <v>.</v>
      </c>
      <c r="B3590" s="244" t="str">
        <f t="shared" si="56"/>
        <v>Total Hip ReplacementSub-ICB of GP PracticeNHS COVENTRY AND WARWICKSHIRE ICB - B2M3M (B2M3M)Oxford Hip Score</v>
      </c>
      <c r="C3590" t="s">
        <v>974</v>
      </c>
      <c r="D3590" t="s">
        <v>1021</v>
      </c>
      <c r="E3590" t="s">
        <v>789</v>
      </c>
      <c r="F3590" t="s">
        <v>790</v>
      </c>
      <c r="G3590" t="s">
        <v>964</v>
      </c>
      <c r="H3590">
        <v>289</v>
      </c>
      <c r="I3590">
        <v>20.6678</v>
      </c>
      <c r="J3590">
        <v>41.401400000000002</v>
      </c>
      <c r="K3590">
        <v>20.733599999999999</v>
      </c>
      <c r="L3590">
        <v>281</v>
      </c>
      <c r="M3590">
        <v>1</v>
      </c>
      <c r="N3590">
        <v>7</v>
      </c>
      <c r="O3590">
        <v>38.8309</v>
      </c>
      <c r="P3590">
        <v>21.619399999999999</v>
      </c>
      <c r="Q3590">
        <v>7.1821000000000002</v>
      </c>
    </row>
    <row r="3591" spans="1:17" x14ac:dyDescent="0.25">
      <c r="A3591" t="str">
        <f>IF(C3591&amp;G3591&amp;D3591&lt;&gt;'Funnel setup'!$K$3&amp;'Funnel setup'!$K$4&amp;'Funnel setup'!$K$6,".",IF(A3590=".",1,A3590+1))</f>
        <v>.</v>
      </c>
      <c r="B3591" s="244" t="str">
        <f t="shared" si="56"/>
        <v>Total Hip ReplacementSub-ICB of GP PracticeNHS DERBY AND DERBYSHIRE ICB - 15M (15M)Oxford Hip Score</v>
      </c>
      <c r="C3591" t="s">
        <v>974</v>
      </c>
      <c r="D3591" t="s">
        <v>1021</v>
      </c>
      <c r="E3591" t="s">
        <v>791</v>
      </c>
      <c r="F3591" t="s">
        <v>792</v>
      </c>
      <c r="G3591" t="s">
        <v>964</v>
      </c>
      <c r="H3591">
        <v>489</v>
      </c>
      <c r="I3591">
        <v>16.094100000000001</v>
      </c>
      <c r="J3591">
        <v>38.644199999999998</v>
      </c>
      <c r="K3591">
        <v>22.5501</v>
      </c>
      <c r="L3591">
        <v>474</v>
      </c>
      <c r="M3591">
        <v>2</v>
      </c>
      <c r="N3591">
        <v>13</v>
      </c>
      <c r="O3591">
        <v>39.537300000000002</v>
      </c>
      <c r="P3591">
        <v>22.325800000000001</v>
      </c>
      <c r="Q3591">
        <v>8.4814799999999995</v>
      </c>
    </row>
    <row r="3592" spans="1:17" x14ac:dyDescent="0.25">
      <c r="A3592" t="str">
        <f>IF(C3592&amp;G3592&amp;D3592&lt;&gt;'Funnel setup'!$K$3&amp;'Funnel setup'!$K$4&amp;'Funnel setup'!$K$6,".",IF(A3591=".",1,A3591+1))</f>
        <v>.</v>
      </c>
      <c r="B3592" s="244" t="str">
        <f t="shared" si="56"/>
        <v>Total Hip ReplacementSub-ICB of GP PracticeNHS DEVON ICB - 15N (15N)Oxford Hip Score</v>
      </c>
      <c r="C3592" t="s">
        <v>974</v>
      </c>
      <c r="D3592" t="s">
        <v>1021</v>
      </c>
      <c r="E3592" t="s">
        <v>793</v>
      </c>
      <c r="F3592" t="s">
        <v>794</v>
      </c>
      <c r="G3592" t="s">
        <v>964</v>
      </c>
      <c r="H3592">
        <v>386</v>
      </c>
      <c r="I3592">
        <v>16.212399999999999</v>
      </c>
      <c r="J3592">
        <v>41.196899999999999</v>
      </c>
      <c r="K3592">
        <v>24.984500000000001</v>
      </c>
      <c r="L3592">
        <v>378</v>
      </c>
      <c r="M3592">
        <v>1</v>
      </c>
      <c r="N3592">
        <v>7</v>
      </c>
      <c r="O3592">
        <v>41.272500000000001</v>
      </c>
      <c r="P3592">
        <v>24.0611</v>
      </c>
      <c r="Q3592">
        <v>7.5198799999999997</v>
      </c>
    </row>
    <row r="3593" spans="1:17" x14ac:dyDescent="0.25">
      <c r="A3593" t="str">
        <f>IF(C3593&amp;G3593&amp;D3593&lt;&gt;'Funnel setup'!$K$3&amp;'Funnel setup'!$K$4&amp;'Funnel setup'!$K$6,".",IF(A3592=".",1,A3592+1))</f>
        <v>.</v>
      </c>
      <c r="B3593" s="244" t="str">
        <f t="shared" si="56"/>
        <v>Total Hip ReplacementSub-ICB of GP PracticeNHS DORSET ICB - 11J (11J)Oxford Hip Score</v>
      </c>
      <c r="C3593" t="s">
        <v>974</v>
      </c>
      <c r="D3593" t="s">
        <v>1021</v>
      </c>
      <c r="E3593" t="s">
        <v>795</v>
      </c>
      <c r="F3593" t="s">
        <v>796</v>
      </c>
      <c r="G3593" t="s">
        <v>964</v>
      </c>
      <c r="H3593">
        <v>310</v>
      </c>
      <c r="I3593">
        <v>18.0548</v>
      </c>
      <c r="J3593">
        <v>40.548400000000001</v>
      </c>
      <c r="K3593">
        <v>22.493500000000001</v>
      </c>
      <c r="L3593">
        <v>301</v>
      </c>
      <c r="M3593">
        <v>3</v>
      </c>
      <c r="N3593">
        <v>6</v>
      </c>
      <c r="O3593">
        <v>40.415700000000001</v>
      </c>
      <c r="P3593">
        <v>23.2043</v>
      </c>
      <c r="Q3593">
        <v>7.9186199999999998</v>
      </c>
    </row>
    <row r="3594" spans="1:17" x14ac:dyDescent="0.25">
      <c r="A3594" t="str">
        <f>IF(C3594&amp;G3594&amp;D3594&lt;&gt;'Funnel setup'!$K$3&amp;'Funnel setup'!$K$4&amp;'Funnel setup'!$K$6,".",IF(A3593=".",1,A3593+1))</f>
        <v>.</v>
      </c>
      <c r="B3594" s="244" t="str">
        <f t="shared" si="56"/>
        <v>Total Hip ReplacementSub-ICB of GP PracticeNHS FRIMLEY ICB - D4U1Y (D4U1Y)Oxford Hip Score</v>
      </c>
      <c r="C3594" t="s">
        <v>974</v>
      </c>
      <c r="D3594" t="s">
        <v>1021</v>
      </c>
      <c r="E3594" t="s">
        <v>797</v>
      </c>
      <c r="F3594" t="s">
        <v>798</v>
      </c>
      <c r="G3594" t="s">
        <v>964</v>
      </c>
      <c r="H3594">
        <v>185</v>
      </c>
      <c r="I3594">
        <v>17.9405</v>
      </c>
      <c r="J3594">
        <v>40.708100000000002</v>
      </c>
      <c r="K3594">
        <v>22.767600000000002</v>
      </c>
      <c r="L3594">
        <v>179</v>
      </c>
      <c r="M3594">
        <v>2</v>
      </c>
      <c r="N3594">
        <v>4</v>
      </c>
      <c r="O3594">
        <v>39.81</v>
      </c>
      <c r="P3594">
        <v>22.598500000000001</v>
      </c>
      <c r="Q3594">
        <v>8.0868699999999993</v>
      </c>
    </row>
    <row r="3595" spans="1:17" x14ac:dyDescent="0.25">
      <c r="A3595" t="str">
        <f>IF(C3595&amp;G3595&amp;D3595&lt;&gt;'Funnel setup'!$K$3&amp;'Funnel setup'!$K$4&amp;'Funnel setup'!$K$6,".",IF(A3594=".",1,A3594+1))</f>
        <v>.</v>
      </c>
      <c r="B3595" s="244" t="str">
        <f t="shared" si="56"/>
        <v>Total Hip ReplacementSub-ICB of GP PracticeNHS GLOUCESTERSHIRE ICB - 11M (11M)Oxford Hip Score</v>
      </c>
      <c r="C3595" t="s">
        <v>974</v>
      </c>
      <c r="D3595" t="s">
        <v>1021</v>
      </c>
      <c r="E3595" t="s">
        <v>799</v>
      </c>
      <c r="F3595" t="s">
        <v>800</v>
      </c>
      <c r="G3595" t="s">
        <v>964</v>
      </c>
      <c r="H3595">
        <v>178</v>
      </c>
      <c r="I3595">
        <v>16.988800000000001</v>
      </c>
      <c r="J3595">
        <v>40.696599999999997</v>
      </c>
      <c r="K3595">
        <v>23.707899999999999</v>
      </c>
      <c r="L3595">
        <v>177</v>
      </c>
      <c r="M3595">
        <v>1</v>
      </c>
      <c r="N3595">
        <v>0</v>
      </c>
      <c r="O3595">
        <v>40.3095</v>
      </c>
      <c r="P3595">
        <v>23.098099999999999</v>
      </c>
      <c r="Q3595">
        <v>7.3900699999999997</v>
      </c>
    </row>
    <row r="3596" spans="1:17" x14ac:dyDescent="0.25">
      <c r="A3596" t="str">
        <f>IF(C3596&amp;G3596&amp;D3596&lt;&gt;'Funnel setup'!$K$3&amp;'Funnel setup'!$K$4&amp;'Funnel setup'!$K$6,".",IF(A3595=".",1,A3595+1))</f>
        <v>.</v>
      </c>
      <c r="B3596" s="244" t="str">
        <f t="shared" si="56"/>
        <v>Total Hip ReplacementSub-ICB of GP PracticeNHS GREATER MANCHESTER ICB - 00T (00T)Oxford Hip Score</v>
      </c>
      <c r="C3596" t="s">
        <v>974</v>
      </c>
      <c r="D3596" t="s">
        <v>1021</v>
      </c>
      <c r="E3596" t="s">
        <v>801</v>
      </c>
      <c r="F3596" t="s">
        <v>802</v>
      </c>
      <c r="G3596" t="s">
        <v>964</v>
      </c>
      <c r="H3596">
        <v>55</v>
      </c>
      <c r="I3596">
        <v>16.163599999999999</v>
      </c>
      <c r="J3596">
        <v>38.927300000000002</v>
      </c>
      <c r="K3596">
        <v>22.7636</v>
      </c>
      <c r="L3596">
        <v>55</v>
      </c>
      <c r="M3596">
        <v>0</v>
      </c>
      <c r="N3596">
        <v>0</v>
      </c>
      <c r="O3596">
        <v>40.901299999999999</v>
      </c>
      <c r="P3596">
        <v>23.689900000000002</v>
      </c>
      <c r="Q3596">
        <v>7.5739700000000001</v>
      </c>
    </row>
    <row r="3597" spans="1:17" x14ac:dyDescent="0.25">
      <c r="A3597" t="str">
        <f>IF(C3597&amp;G3597&amp;D3597&lt;&gt;'Funnel setup'!$K$3&amp;'Funnel setup'!$K$4&amp;'Funnel setup'!$K$6,".",IF(A3596=".",1,A3596+1))</f>
        <v>.</v>
      </c>
      <c r="B3597" s="244" t="str">
        <f t="shared" si="56"/>
        <v>Total Hip ReplacementSub-ICB of GP PracticeNHS GREATER MANCHESTER ICB - 00V (00V)Oxford Hip Score</v>
      </c>
      <c r="C3597" t="s">
        <v>974</v>
      </c>
      <c r="D3597" t="s">
        <v>1021</v>
      </c>
      <c r="E3597" t="s">
        <v>803</v>
      </c>
      <c r="F3597" t="s">
        <v>804</v>
      </c>
      <c r="G3597" t="s">
        <v>964</v>
      </c>
      <c r="H3597">
        <v>18</v>
      </c>
      <c r="I3597">
        <v>16.444400000000002</v>
      </c>
      <c r="J3597">
        <v>40.6111</v>
      </c>
      <c r="K3597">
        <v>24.166699999999999</v>
      </c>
      <c r="L3597">
        <v>18</v>
      </c>
      <c r="M3597">
        <v>0</v>
      </c>
      <c r="N3597">
        <v>0</v>
      </c>
      <c r="O3597" t="s">
        <v>127</v>
      </c>
      <c r="P3597" t="s">
        <v>127</v>
      </c>
      <c r="Q3597" t="s">
        <v>127</v>
      </c>
    </row>
    <row r="3598" spans="1:17" x14ac:dyDescent="0.25">
      <c r="A3598" t="str">
        <f>IF(C3598&amp;G3598&amp;D3598&lt;&gt;'Funnel setup'!$K$3&amp;'Funnel setup'!$K$4&amp;'Funnel setup'!$K$6,".",IF(A3597=".",1,A3597+1))</f>
        <v>.</v>
      </c>
      <c r="B3598" s="244" t="str">
        <f t="shared" si="56"/>
        <v>Total Hip ReplacementSub-ICB of GP PracticeNHS GREATER MANCHESTER ICB - 00Y (00Y)Oxford Hip Score</v>
      </c>
      <c r="C3598" t="s">
        <v>974</v>
      </c>
      <c r="D3598" t="s">
        <v>1021</v>
      </c>
      <c r="E3598" t="s">
        <v>805</v>
      </c>
      <c r="F3598" t="s">
        <v>806</v>
      </c>
      <c r="G3598" t="s">
        <v>964</v>
      </c>
      <c r="H3598">
        <v>69</v>
      </c>
      <c r="I3598">
        <v>19.724599999999999</v>
      </c>
      <c r="J3598">
        <v>42.159399999999998</v>
      </c>
      <c r="K3598">
        <v>22.434799999999999</v>
      </c>
      <c r="L3598">
        <v>66</v>
      </c>
      <c r="M3598">
        <v>1</v>
      </c>
      <c r="N3598">
        <v>2</v>
      </c>
      <c r="O3598">
        <v>39.874600000000001</v>
      </c>
      <c r="P3598">
        <v>22.6632</v>
      </c>
      <c r="Q3598">
        <v>6.6473000000000004</v>
      </c>
    </row>
    <row r="3599" spans="1:17" x14ac:dyDescent="0.25">
      <c r="A3599" t="str">
        <f>IF(C3599&amp;G3599&amp;D3599&lt;&gt;'Funnel setup'!$K$3&amp;'Funnel setup'!$K$4&amp;'Funnel setup'!$K$6,".",IF(A3598=".",1,A3598+1))</f>
        <v>.</v>
      </c>
      <c r="B3599" s="244" t="str">
        <f t="shared" si="56"/>
        <v>Total Hip ReplacementSub-ICB of GP PracticeNHS GREATER MANCHESTER ICB - 01D (01D)Oxford Hip Score</v>
      </c>
      <c r="C3599" t="s">
        <v>974</v>
      </c>
      <c r="D3599" t="s">
        <v>1021</v>
      </c>
      <c r="E3599" t="s">
        <v>807</v>
      </c>
      <c r="F3599" t="s">
        <v>808</v>
      </c>
      <c r="G3599" t="s">
        <v>964</v>
      </c>
      <c r="H3599">
        <v>20</v>
      </c>
      <c r="I3599">
        <v>15.75</v>
      </c>
      <c r="J3599">
        <v>38.75</v>
      </c>
      <c r="K3599">
        <v>23</v>
      </c>
      <c r="L3599">
        <v>18</v>
      </c>
      <c r="M3599">
        <v>1</v>
      </c>
      <c r="N3599">
        <v>1</v>
      </c>
      <c r="O3599" t="s">
        <v>127</v>
      </c>
      <c r="P3599" t="s">
        <v>127</v>
      </c>
      <c r="Q3599" t="s">
        <v>127</v>
      </c>
    </row>
    <row r="3600" spans="1:17" x14ac:dyDescent="0.25">
      <c r="A3600" t="str">
        <f>IF(C3600&amp;G3600&amp;D3600&lt;&gt;'Funnel setup'!$K$3&amp;'Funnel setup'!$K$4&amp;'Funnel setup'!$K$6,".",IF(A3599=".",1,A3599+1))</f>
        <v>.</v>
      </c>
      <c r="B3600" s="244" t="str">
        <f t="shared" si="56"/>
        <v>Total Hip ReplacementSub-ICB of GP PracticeNHS GREATER MANCHESTER ICB - 01G (01G)Oxford Hip Score</v>
      </c>
      <c r="C3600" t="s">
        <v>974</v>
      </c>
      <c r="D3600" t="s">
        <v>1021</v>
      </c>
      <c r="E3600" t="s">
        <v>809</v>
      </c>
      <c r="F3600" t="s">
        <v>810</v>
      </c>
      <c r="G3600" t="s">
        <v>964</v>
      </c>
      <c r="H3600">
        <v>35</v>
      </c>
      <c r="I3600">
        <v>15.8857</v>
      </c>
      <c r="J3600">
        <v>37.314300000000003</v>
      </c>
      <c r="K3600">
        <v>21.428599999999999</v>
      </c>
      <c r="L3600">
        <v>33</v>
      </c>
      <c r="M3600">
        <v>0</v>
      </c>
      <c r="N3600">
        <v>2</v>
      </c>
      <c r="O3600">
        <v>38.318800000000003</v>
      </c>
      <c r="P3600">
        <v>21.107399999999998</v>
      </c>
      <c r="Q3600">
        <v>10.3262</v>
      </c>
    </row>
    <row r="3601" spans="1:17" x14ac:dyDescent="0.25">
      <c r="A3601" t="str">
        <f>IF(C3601&amp;G3601&amp;D3601&lt;&gt;'Funnel setup'!$K$3&amp;'Funnel setup'!$K$4&amp;'Funnel setup'!$K$6,".",IF(A3600=".",1,A3600+1))</f>
        <v>.</v>
      </c>
      <c r="B3601" s="244" t="str">
        <f t="shared" si="56"/>
        <v>Total Hip ReplacementSub-ICB of GP PracticeNHS GREATER MANCHESTER ICB - 01W (01W)Oxford Hip Score</v>
      </c>
      <c r="C3601" t="s">
        <v>974</v>
      </c>
      <c r="D3601" t="s">
        <v>1021</v>
      </c>
      <c r="E3601" t="s">
        <v>811</v>
      </c>
      <c r="F3601" t="s">
        <v>812</v>
      </c>
      <c r="G3601" t="s">
        <v>964</v>
      </c>
      <c r="H3601">
        <v>85</v>
      </c>
      <c r="I3601">
        <v>17.482399999999998</v>
      </c>
      <c r="J3601">
        <v>40.847099999999998</v>
      </c>
      <c r="K3601">
        <v>23.364699999999999</v>
      </c>
      <c r="L3601">
        <v>82</v>
      </c>
      <c r="M3601">
        <v>1</v>
      </c>
      <c r="N3601">
        <v>2</v>
      </c>
      <c r="O3601">
        <v>41.601199999999999</v>
      </c>
      <c r="P3601">
        <v>24.389800000000001</v>
      </c>
      <c r="Q3601">
        <v>7.2830599999999999</v>
      </c>
    </row>
    <row r="3602" spans="1:17" x14ac:dyDescent="0.25">
      <c r="A3602" t="str">
        <f>IF(C3602&amp;G3602&amp;D3602&lt;&gt;'Funnel setup'!$K$3&amp;'Funnel setup'!$K$4&amp;'Funnel setup'!$K$6,".",IF(A3601=".",1,A3601+1))</f>
        <v>.</v>
      </c>
      <c r="B3602" s="244" t="str">
        <f t="shared" si="56"/>
        <v>Total Hip ReplacementSub-ICB of GP PracticeNHS GREATER MANCHESTER ICB - 01Y (01Y)Oxford Hip Score</v>
      </c>
      <c r="C3602" t="s">
        <v>974</v>
      </c>
      <c r="D3602" t="s">
        <v>1021</v>
      </c>
      <c r="E3602" t="s">
        <v>813</v>
      </c>
      <c r="F3602" t="s">
        <v>814</v>
      </c>
      <c r="G3602" t="s">
        <v>964</v>
      </c>
      <c r="H3602">
        <v>33</v>
      </c>
      <c r="I3602">
        <v>15.2121</v>
      </c>
      <c r="J3602">
        <v>37.2121</v>
      </c>
      <c r="K3602">
        <v>22</v>
      </c>
      <c r="L3602">
        <v>32</v>
      </c>
      <c r="M3602">
        <v>1</v>
      </c>
      <c r="N3602">
        <v>0</v>
      </c>
      <c r="O3602">
        <v>37.082099999999997</v>
      </c>
      <c r="P3602">
        <v>19.870699999999999</v>
      </c>
      <c r="Q3602">
        <v>10.0854</v>
      </c>
    </row>
    <row r="3603" spans="1:17" x14ac:dyDescent="0.25">
      <c r="A3603" t="str">
        <f>IF(C3603&amp;G3603&amp;D3603&lt;&gt;'Funnel setup'!$K$3&amp;'Funnel setup'!$K$4&amp;'Funnel setup'!$K$6,".",IF(A3602=".",1,A3602+1))</f>
        <v>.</v>
      </c>
      <c r="B3603" s="244" t="str">
        <f t="shared" si="56"/>
        <v>Total Hip ReplacementSub-ICB of GP PracticeNHS GREATER MANCHESTER ICB - 02A (02A)Oxford Hip Score</v>
      </c>
      <c r="C3603" t="s">
        <v>974</v>
      </c>
      <c r="D3603" t="s">
        <v>1021</v>
      </c>
      <c r="E3603" t="s">
        <v>815</v>
      </c>
      <c r="F3603" t="s">
        <v>816</v>
      </c>
      <c r="G3603" t="s">
        <v>964</v>
      </c>
      <c r="H3603">
        <v>81</v>
      </c>
      <c r="I3603">
        <v>17.024699999999999</v>
      </c>
      <c r="J3603">
        <v>37.370399999999997</v>
      </c>
      <c r="K3603">
        <v>20.345700000000001</v>
      </c>
      <c r="L3603">
        <v>79</v>
      </c>
      <c r="M3603">
        <v>0</v>
      </c>
      <c r="N3603">
        <v>2</v>
      </c>
      <c r="O3603">
        <v>37.237000000000002</v>
      </c>
      <c r="P3603">
        <v>20.025600000000001</v>
      </c>
      <c r="Q3603">
        <v>9.2849599999999999</v>
      </c>
    </row>
    <row r="3604" spans="1:17" x14ac:dyDescent="0.25">
      <c r="A3604" t="str">
        <f>IF(C3604&amp;G3604&amp;D3604&lt;&gt;'Funnel setup'!$K$3&amp;'Funnel setup'!$K$4&amp;'Funnel setup'!$K$6,".",IF(A3603=".",1,A3603+1))</f>
        <v>.</v>
      </c>
      <c r="B3604" s="244" t="str">
        <f t="shared" si="56"/>
        <v>Total Hip ReplacementSub-ICB of GP PracticeNHS GREATER MANCHESTER ICB - 02H (02H)Oxford Hip Score</v>
      </c>
      <c r="C3604" t="s">
        <v>974</v>
      </c>
      <c r="D3604" t="s">
        <v>1021</v>
      </c>
      <c r="E3604" t="s">
        <v>817</v>
      </c>
      <c r="F3604" t="s">
        <v>818</v>
      </c>
      <c r="G3604" t="s">
        <v>964</v>
      </c>
      <c r="H3604">
        <v>31</v>
      </c>
      <c r="I3604">
        <v>14.7097</v>
      </c>
      <c r="J3604">
        <v>37.612900000000003</v>
      </c>
      <c r="K3604">
        <v>22.903199999999998</v>
      </c>
      <c r="L3604">
        <v>29</v>
      </c>
      <c r="M3604">
        <v>1</v>
      </c>
      <c r="N3604">
        <v>1</v>
      </c>
      <c r="O3604">
        <v>38.7607</v>
      </c>
      <c r="P3604">
        <v>21.549299999999999</v>
      </c>
      <c r="Q3604">
        <v>11.1035</v>
      </c>
    </row>
    <row r="3605" spans="1:17" x14ac:dyDescent="0.25">
      <c r="A3605" t="str">
        <f>IF(C3605&amp;G3605&amp;D3605&lt;&gt;'Funnel setup'!$K$3&amp;'Funnel setup'!$K$4&amp;'Funnel setup'!$K$6,".",IF(A3604=".",1,A3604+1))</f>
        <v>.</v>
      </c>
      <c r="B3605" s="244" t="str">
        <f t="shared" si="56"/>
        <v>Total Hip ReplacementSub-ICB of GP PracticeNHS GREATER MANCHESTER ICB - 14L (14L)Oxford Hip Score</v>
      </c>
      <c r="C3605" t="s">
        <v>974</v>
      </c>
      <c r="D3605" t="s">
        <v>1021</v>
      </c>
      <c r="E3605" t="s">
        <v>819</v>
      </c>
      <c r="F3605" t="s">
        <v>820</v>
      </c>
      <c r="G3605" t="s">
        <v>964</v>
      </c>
      <c r="H3605">
        <v>46</v>
      </c>
      <c r="I3605">
        <v>17.152200000000001</v>
      </c>
      <c r="J3605">
        <v>38</v>
      </c>
      <c r="K3605">
        <v>20.847799999999999</v>
      </c>
      <c r="L3605">
        <v>44</v>
      </c>
      <c r="M3605">
        <v>0</v>
      </c>
      <c r="N3605">
        <v>2</v>
      </c>
      <c r="O3605">
        <v>39.383499999999998</v>
      </c>
      <c r="P3605">
        <v>22.1721</v>
      </c>
      <c r="Q3605">
        <v>9.8532899999999994</v>
      </c>
    </row>
    <row r="3606" spans="1:17" x14ac:dyDescent="0.25">
      <c r="A3606" t="str">
        <f>IF(C3606&amp;G3606&amp;D3606&lt;&gt;'Funnel setup'!$K$3&amp;'Funnel setup'!$K$4&amp;'Funnel setup'!$K$6,".",IF(A3605=".",1,A3605+1))</f>
        <v>.</v>
      </c>
      <c r="B3606" s="244" t="str">
        <f t="shared" si="56"/>
        <v>Total Hip ReplacementSub-ICB of GP PracticeNHS HAMPSHIRE AND ISLE OF WIGHT ICB - 10R (10R)Oxford Hip Score</v>
      </c>
      <c r="C3606" t="s">
        <v>974</v>
      </c>
      <c r="D3606" t="s">
        <v>1021</v>
      </c>
      <c r="E3606" t="s">
        <v>821</v>
      </c>
      <c r="F3606" t="s">
        <v>822</v>
      </c>
      <c r="G3606" t="s">
        <v>964</v>
      </c>
      <c r="H3606">
        <v>13</v>
      </c>
      <c r="I3606">
        <v>18.1538</v>
      </c>
      <c r="J3606">
        <v>38.153799999999997</v>
      </c>
      <c r="K3606">
        <v>20</v>
      </c>
      <c r="L3606">
        <v>13</v>
      </c>
      <c r="M3606">
        <v>0</v>
      </c>
      <c r="N3606">
        <v>0</v>
      </c>
      <c r="O3606" t="s">
        <v>127</v>
      </c>
      <c r="P3606" t="s">
        <v>127</v>
      </c>
      <c r="Q3606" t="s">
        <v>127</v>
      </c>
    </row>
    <row r="3607" spans="1:17" x14ac:dyDescent="0.25">
      <c r="A3607" t="str">
        <f>IF(C3607&amp;G3607&amp;D3607&lt;&gt;'Funnel setup'!$K$3&amp;'Funnel setup'!$K$4&amp;'Funnel setup'!$K$6,".",IF(A3606=".",1,A3606+1))</f>
        <v>.</v>
      </c>
      <c r="B3607" s="244" t="str">
        <f t="shared" si="56"/>
        <v>Total Hip ReplacementSub-ICB of GP PracticeNHS HAMPSHIRE AND ISLE OF WIGHT ICB - D9Y0V (D9Y0V)Oxford Hip Score</v>
      </c>
      <c r="C3607" t="s">
        <v>974</v>
      </c>
      <c r="D3607" t="s">
        <v>1021</v>
      </c>
      <c r="E3607" t="s">
        <v>823</v>
      </c>
      <c r="F3607" t="s">
        <v>824</v>
      </c>
      <c r="G3607" t="s">
        <v>964</v>
      </c>
      <c r="H3607">
        <v>457</v>
      </c>
      <c r="I3607">
        <v>18.5383</v>
      </c>
      <c r="J3607">
        <v>40.334800000000001</v>
      </c>
      <c r="K3607">
        <v>21.796500000000002</v>
      </c>
      <c r="L3607">
        <v>443</v>
      </c>
      <c r="M3607">
        <v>0</v>
      </c>
      <c r="N3607">
        <v>14</v>
      </c>
      <c r="O3607">
        <v>39.68</v>
      </c>
      <c r="P3607">
        <v>22.468499999999999</v>
      </c>
      <c r="Q3607">
        <v>7.8811600000000004</v>
      </c>
    </row>
    <row r="3608" spans="1:17" x14ac:dyDescent="0.25">
      <c r="A3608" t="str">
        <f>IF(C3608&amp;G3608&amp;D3608&lt;&gt;'Funnel setup'!$K$3&amp;'Funnel setup'!$K$4&amp;'Funnel setup'!$K$6,".",IF(A3607=".",1,A3607+1))</f>
        <v>.</v>
      </c>
      <c r="B3608" s="244" t="str">
        <f t="shared" si="56"/>
        <v>Total Hip ReplacementSub-ICB of GP PracticeNHS HEREFORDSHIRE AND WORCESTERSHIRE ICB - 18C (18C)Oxford Hip Score</v>
      </c>
      <c r="C3608" t="s">
        <v>974</v>
      </c>
      <c r="D3608" t="s">
        <v>1021</v>
      </c>
      <c r="E3608" t="s">
        <v>825</v>
      </c>
      <c r="F3608" t="s">
        <v>826</v>
      </c>
      <c r="G3608" t="s">
        <v>964</v>
      </c>
      <c r="H3608">
        <v>238</v>
      </c>
      <c r="I3608">
        <v>15.4328</v>
      </c>
      <c r="J3608">
        <v>38.718499999999999</v>
      </c>
      <c r="K3608">
        <v>23.285699999999999</v>
      </c>
      <c r="L3608">
        <v>233</v>
      </c>
      <c r="M3608">
        <v>2</v>
      </c>
      <c r="N3608">
        <v>3</v>
      </c>
      <c r="O3608">
        <v>39.421599999999998</v>
      </c>
      <c r="P3608">
        <v>22.2102</v>
      </c>
      <c r="Q3608">
        <v>8.4321999999999999</v>
      </c>
    </row>
    <row r="3609" spans="1:17" x14ac:dyDescent="0.25">
      <c r="A3609" t="str">
        <f>IF(C3609&amp;G3609&amp;D3609&lt;&gt;'Funnel setup'!$K$3&amp;'Funnel setup'!$K$4&amp;'Funnel setup'!$K$6,".",IF(A3608=".",1,A3608+1))</f>
        <v>.</v>
      </c>
      <c r="B3609" s="244" t="str">
        <f t="shared" si="56"/>
        <v>Total Hip ReplacementSub-ICB of GP PracticeNHS HERTFORDSHIRE AND WEST ESSEX ICB - 06K (06K)Oxford Hip Score</v>
      </c>
      <c r="C3609" t="s">
        <v>974</v>
      </c>
      <c r="D3609" t="s">
        <v>1021</v>
      </c>
      <c r="E3609" t="s">
        <v>827</v>
      </c>
      <c r="F3609" t="s">
        <v>828</v>
      </c>
      <c r="G3609" t="s">
        <v>964</v>
      </c>
      <c r="H3609">
        <v>122</v>
      </c>
      <c r="I3609">
        <v>17.082000000000001</v>
      </c>
      <c r="J3609">
        <v>38.852499999999999</v>
      </c>
      <c r="K3609">
        <v>21.770499999999998</v>
      </c>
      <c r="L3609">
        <v>113</v>
      </c>
      <c r="M3609">
        <v>3</v>
      </c>
      <c r="N3609">
        <v>6</v>
      </c>
      <c r="O3609">
        <v>38.848399999999998</v>
      </c>
      <c r="P3609">
        <v>21.637</v>
      </c>
      <c r="Q3609">
        <v>8.9288100000000004</v>
      </c>
    </row>
    <row r="3610" spans="1:17" x14ac:dyDescent="0.25">
      <c r="A3610" t="str">
        <f>IF(C3610&amp;G3610&amp;D3610&lt;&gt;'Funnel setup'!$K$3&amp;'Funnel setup'!$K$4&amp;'Funnel setup'!$K$6,".",IF(A3609=".",1,A3609+1))</f>
        <v>.</v>
      </c>
      <c r="B3610" s="244" t="str">
        <f t="shared" si="56"/>
        <v>Total Hip ReplacementSub-ICB of GP PracticeNHS HERTFORDSHIRE AND WEST ESSEX ICB - 06N (06N)Oxford Hip Score</v>
      </c>
      <c r="C3610" t="s">
        <v>974</v>
      </c>
      <c r="D3610" t="s">
        <v>1021</v>
      </c>
      <c r="E3610" t="s">
        <v>829</v>
      </c>
      <c r="F3610" t="s">
        <v>830</v>
      </c>
      <c r="G3610" t="s">
        <v>964</v>
      </c>
      <c r="H3610">
        <v>143</v>
      </c>
      <c r="I3610">
        <v>18.069900000000001</v>
      </c>
      <c r="J3610">
        <v>39.223799999999997</v>
      </c>
      <c r="K3610">
        <v>21.1538</v>
      </c>
      <c r="L3610">
        <v>139</v>
      </c>
      <c r="M3610">
        <v>1</v>
      </c>
      <c r="N3610">
        <v>3</v>
      </c>
      <c r="O3610">
        <v>38.407699999999998</v>
      </c>
      <c r="P3610">
        <v>21.196300000000001</v>
      </c>
      <c r="Q3610">
        <v>9.0195500000000006</v>
      </c>
    </row>
    <row r="3611" spans="1:17" x14ac:dyDescent="0.25">
      <c r="A3611" t="str">
        <f>IF(C3611&amp;G3611&amp;D3611&lt;&gt;'Funnel setup'!$K$3&amp;'Funnel setup'!$K$4&amp;'Funnel setup'!$K$6,".",IF(A3610=".",1,A3610+1))</f>
        <v>.</v>
      </c>
      <c r="B3611" s="244" t="str">
        <f t="shared" si="56"/>
        <v>Total Hip ReplacementSub-ICB of GP PracticeNHS HERTFORDSHIRE AND WEST ESSEX ICB - 07H (07H)Oxford Hip Score</v>
      </c>
      <c r="C3611" t="s">
        <v>974</v>
      </c>
      <c r="D3611" t="s">
        <v>1021</v>
      </c>
      <c r="E3611" t="s">
        <v>831</v>
      </c>
      <c r="F3611" t="s">
        <v>832</v>
      </c>
      <c r="G3611" t="s">
        <v>964</v>
      </c>
      <c r="H3611">
        <v>79</v>
      </c>
      <c r="I3611">
        <v>18.3797</v>
      </c>
      <c r="J3611">
        <v>39.468400000000003</v>
      </c>
      <c r="K3611">
        <v>21.0886</v>
      </c>
      <c r="L3611">
        <v>73</v>
      </c>
      <c r="M3611">
        <v>1</v>
      </c>
      <c r="N3611">
        <v>5</v>
      </c>
      <c r="O3611">
        <v>38.675400000000003</v>
      </c>
      <c r="P3611">
        <v>21.463999999999999</v>
      </c>
      <c r="Q3611">
        <v>8.7886399999999991</v>
      </c>
    </row>
    <row r="3612" spans="1:17" x14ac:dyDescent="0.25">
      <c r="A3612" t="str">
        <f>IF(C3612&amp;G3612&amp;D3612&lt;&gt;'Funnel setup'!$K$3&amp;'Funnel setup'!$K$4&amp;'Funnel setup'!$K$6,".",IF(A3611=".",1,A3611+1))</f>
        <v>.</v>
      </c>
      <c r="B3612" s="244" t="str">
        <f t="shared" si="56"/>
        <v>Total Hip ReplacementSub-ICB of GP PracticeNHS HUMBER AND NORTH YORKSHIRE ICB - 02Y (02Y)Oxford Hip Score</v>
      </c>
      <c r="C3612" t="s">
        <v>974</v>
      </c>
      <c r="D3612" t="s">
        <v>1021</v>
      </c>
      <c r="E3612" t="s">
        <v>833</v>
      </c>
      <c r="F3612" t="s">
        <v>834</v>
      </c>
      <c r="G3612" t="s">
        <v>964</v>
      </c>
      <c r="H3612">
        <v>71</v>
      </c>
      <c r="I3612">
        <v>17.169</v>
      </c>
      <c r="J3612">
        <v>40.436599999999999</v>
      </c>
      <c r="K3612">
        <v>23.267600000000002</v>
      </c>
      <c r="L3612">
        <v>69</v>
      </c>
      <c r="M3612">
        <v>0</v>
      </c>
      <c r="N3612">
        <v>2</v>
      </c>
      <c r="O3612">
        <v>39.966999999999999</v>
      </c>
      <c r="P3612">
        <v>22.755600000000001</v>
      </c>
      <c r="Q3612">
        <v>8.8958200000000005</v>
      </c>
    </row>
    <row r="3613" spans="1:17" x14ac:dyDescent="0.25">
      <c r="A3613" t="str">
        <f>IF(C3613&amp;G3613&amp;D3613&lt;&gt;'Funnel setup'!$K$3&amp;'Funnel setup'!$K$4&amp;'Funnel setup'!$K$6,".",IF(A3612=".",1,A3612+1))</f>
        <v>.</v>
      </c>
      <c r="B3613" s="244" t="str">
        <f t="shared" si="56"/>
        <v>Total Hip ReplacementSub-ICB of GP PracticeNHS HUMBER AND NORTH YORKSHIRE ICB - 03F (03F)Oxford Hip Score</v>
      </c>
      <c r="C3613" t="s">
        <v>974</v>
      </c>
      <c r="D3613" t="s">
        <v>1021</v>
      </c>
      <c r="E3613" t="s">
        <v>835</v>
      </c>
      <c r="F3613" t="s">
        <v>836</v>
      </c>
      <c r="G3613" t="s">
        <v>964</v>
      </c>
      <c r="H3613">
        <v>29</v>
      </c>
      <c r="I3613">
        <v>12.620699999999999</v>
      </c>
      <c r="J3613">
        <v>35</v>
      </c>
      <c r="K3613">
        <v>22.379300000000001</v>
      </c>
      <c r="L3613">
        <v>29</v>
      </c>
      <c r="M3613">
        <v>0</v>
      </c>
      <c r="N3613">
        <v>0</v>
      </c>
      <c r="O3613" t="s">
        <v>127</v>
      </c>
      <c r="P3613" t="s">
        <v>127</v>
      </c>
      <c r="Q3613" t="s">
        <v>127</v>
      </c>
    </row>
    <row r="3614" spans="1:17" x14ac:dyDescent="0.25">
      <c r="A3614" t="str">
        <f>IF(C3614&amp;G3614&amp;D3614&lt;&gt;'Funnel setup'!$K$3&amp;'Funnel setup'!$K$4&amp;'Funnel setup'!$K$6,".",IF(A3613=".",1,A3613+1))</f>
        <v>.</v>
      </c>
      <c r="B3614" s="244" t="str">
        <f t="shared" si="56"/>
        <v>Total Hip ReplacementSub-ICB of GP PracticeNHS HUMBER AND NORTH YORKSHIRE ICB - 03H (03H)Oxford Hip Score</v>
      </c>
      <c r="C3614" t="s">
        <v>974</v>
      </c>
      <c r="D3614" t="s">
        <v>1021</v>
      </c>
      <c r="E3614" t="s">
        <v>837</v>
      </c>
      <c r="F3614" t="s">
        <v>838</v>
      </c>
      <c r="G3614" t="s">
        <v>964</v>
      </c>
      <c r="H3614">
        <v>80</v>
      </c>
      <c r="I3614">
        <v>17.6875</v>
      </c>
      <c r="J3614">
        <v>38.15</v>
      </c>
      <c r="K3614">
        <v>20.462499999999999</v>
      </c>
      <c r="L3614">
        <v>76</v>
      </c>
      <c r="M3614">
        <v>0</v>
      </c>
      <c r="N3614">
        <v>4</v>
      </c>
      <c r="O3614">
        <v>37.996099999999998</v>
      </c>
      <c r="P3614">
        <v>20.784600000000001</v>
      </c>
      <c r="Q3614">
        <v>8.94008</v>
      </c>
    </row>
    <row r="3615" spans="1:17" x14ac:dyDescent="0.25">
      <c r="A3615" t="str">
        <f>IF(C3615&amp;G3615&amp;D3615&lt;&gt;'Funnel setup'!$K$3&amp;'Funnel setup'!$K$4&amp;'Funnel setup'!$K$6,".",IF(A3614=".",1,A3614+1))</f>
        <v>.</v>
      </c>
      <c r="B3615" s="244" t="str">
        <f t="shared" si="56"/>
        <v>Total Hip ReplacementSub-ICB of GP PracticeNHS HUMBER AND NORTH YORKSHIRE ICB - 03K (03K)Oxford Hip Score</v>
      </c>
      <c r="C3615" t="s">
        <v>974</v>
      </c>
      <c r="D3615" t="s">
        <v>1021</v>
      </c>
      <c r="E3615" t="s">
        <v>839</v>
      </c>
      <c r="F3615" t="s">
        <v>840</v>
      </c>
      <c r="G3615" t="s">
        <v>964</v>
      </c>
      <c r="H3615">
        <v>62</v>
      </c>
      <c r="I3615">
        <v>15.967700000000001</v>
      </c>
      <c r="J3615">
        <v>40.145200000000003</v>
      </c>
      <c r="K3615">
        <v>24.177399999999999</v>
      </c>
      <c r="L3615">
        <v>61</v>
      </c>
      <c r="M3615">
        <v>1</v>
      </c>
      <c r="N3615">
        <v>0</v>
      </c>
      <c r="O3615">
        <v>39.771799999999999</v>
      </c>
      <c r="P3615">
        <v>22.560400000000001</v>
      </c>
      <c r="Q3615">
        <v>7.3721300000000003</v>
      </c>
    </row>
    <row r="3616" spans="1:17" x14ac:dyDescent="0.25">
      <c r="A3616" t="str">
        <f>IF(C3616&amp;G3616&amp;D3616&lt;&gt;'Funnel setup'!$K$3&amp;'Funnel setup'!$K$4&amp;'Funnel setup'!$K$6,".",IF(A3615=".",1,A3615+1))</f>
        <v>.</v>
      </c>
      <c r="B3616" s="244" t="str">
        <f t="shared" si="56"/>
        <v>Total Hip ReplacementSub-ICB of GP PracticeNHS HUMBER AND NORTH YORKSHIRE ICB - 03Q (03Q)Oxford Hip Score</v>
      </c>
      <c r="C3616" t="s">
        <v>974</v>
      </c>
      <c r="D3616" t="s">
        <v>1021</v>
      </c>
      <c r="E3616" t="s">
        <v>841</v>
      </c>
      <c r="F3616" t="s">
        <v>842</v>
      </c>
      <c r="G3616" t="s">
        <v>964</v>
      </c>
      <c r="H3616">
        <v>87</v>
      </c>
      <c r="I3616">
        <v>20.2989</v>
      </c>
      <c r="J3616">
        <v>36.321800000000003</v>
      </c>
      <c r="K3616">
        <v>16.023</v>
      </c>
      <c r="L3616">
        <v>72</v>
      </c>
      <c r="M3616">
        <v>2</v>
      </c>
      <c r="N3616">
        <v>13</v>
      </c>
      <c r="O3616">
        <v>35.283900000000003</v>
      </c>
      <c r="P3616">
        <v>18.072399999999998</v>
      </c>
      <c r="Q3616">
        <v>10.551399999999999</v>
      </c>
    </row>
    <row r="3617" spans="1:17" x14ac:dyDescent="0.25">
      <c r="A3617" t="str">
        <f>IF(C3617&amp;G3617&amp;D3617&lt;&gt;'Funnel setup'!$K$3&amp;'Funnel setup'!$K$4&amp;'Funnel setup'!$K$6,".",IF(A3616=".",1,A3616+1))</f>
        <v>.</v>
      </c>
      <c r="B3617" s="244" t="str">
        <f t="shared" si="56"/>
        <v>Total Hip ReplacementSub-ICB of GP PracticeNHS HUMBER AND NORTH YORKSHIRE ICB - 42D (42D)Oxford Hip Score</v>
      </c>
      <c r="C3617" t="s">
        <v>974</v>
      </c>
      <c r="D3617" t="s">
        <v>1021</v>
      </c>
      <c r="E3617" t="s">
        <v>843</v>
      </c>
      <c r="F3617" t="s">
        <v>844</v>
      </c>
      <c r="G3617" t="s">
        <v>964</v>
      </c>
      <c r="H3617">
        <v>271</v>
      </c>
      <c r="I3617">
        <v>16.6494</v>
      </c>
      <c r="J3617">
        <v>40.354199999999999</v>
      </c>
      <c r="K3617">
        <v>23.704799999999999</v>
      </c>
      <c r="L3617">
        <v>264</v>
      </c>
      <c r="M3617">
        <v>2</v>
      </c>
      <c r="N3617">
        <v>5</v>
      </c>
      <c r="O3617">
        <v>40.850200000000001</v>
      </c>
      <c r="P3617">
        <v>23.6387</v>
      </c>
      <c r="Q3617">
        <v>8.1422899999999991</v>
      </c>
    </row>
    <row r="3618" spans="1:17" x14ac:dyDescent="0.25">
      <c r="A3618" t="str">
        <f>IF(C3618&amp;G3618&amp;D3618&lt;&gt;'Funnel setup'!$K$3&amp;'Funnel setup'!$K$4&amp;'Funnel setup'!$K$6,".",IF(A3617=".",1,A3617+1))</f>
        <v>.</v>
      </c>
      <c r="B3618" s="244" t="str">
        <f t="shared" si="56"/>
        <v>Total Hip ReplacementSub-ICB of GP PracticeNHS KENT AND MEDWAY ICB - 91Q (91Q)Oxford Hip Score</v>
      </c>
      <c r="C3618" t="s">
        <v>974</v>
      </c>
      <c r="D3618" t="s">
        <v>1021</v>
      </c>
      <c r="E3618" t="s">
        <v>845</v>
      </c>
      <c r="F3618" t="s">
        <v>846</v>
      </c>
      <c r="G3618" t="s">
        <v>964</v>
      </c>
      <c r="H3618">
        <v>529</v>
      </c>
      <c r="I3618">
        <v>17.816600000000001</v>
      </c>
      <c r="J3618">
        <v>40.499099999999999</v>
      </c>
      <c r="K3618">
        <v>22.682400000000001</v>
      </c>
      <c r="L3618">
        <v>519</v>
      </c>
      <c r="M3618">
        <v>3</v>
      </c>
      <c r="N3618">
        <v>7</v>
      </c>
      <c r="O3618">
        <v>39.378100000000003</v>
      </c>
      <c r="P3618">
        <v>22.166599999999999</v>
      </c>
      <c r="Q3618">
        <v>7.4535299999999998</v>
      </c>
    </row>
    <row r="3619" spans="1:17" x14ac:dyDescent="0.25">
      <c r="A3619" t="str">
        <f>IF(C3619&amp;G3619&amp;D3619&lt;&gt;'Funnel setup'!$K$3&amp;'Funnel setup'!$K$4&amp;'Funnel setup'!$K$6,".",IF(A3618=".",1,A3618+1))</f>
        <v>.</v>
      </c>
      <c r="B3619" s="244" t="str">
        <f t="shared" si="56"/>
        <v>Total Hip ReplacementSub-ICB of GP PracticeNHS LANCASHIRE AND SOUTH CUMBRIA ICB - 00Q (00Q)Oxford Hip Score</v>
      </c>
      <c r="C3619" t="s">
        <v>974</v>
      </c>
      <c r="D3619" t="s">
        <v>1021</v>
      </c>
      <c r="E3619" t="s">
        <v>847</v>
      </c>
      <c r="F3619" t="s">
        <v>848</v>
      </c>
      <c r="G3619" t="s">
        <v>964</v>
      </c>
      <c r="H3619">
        <v>47</v>
      </c>
      <c r="I3619">
        <v>16.765999999999998</v>
      </c>
      <c r="J3619">
        <v>39.4255</v>
      </c>
      <c r="K3619">
        <v>22.659600000000001</v>
      </c>
      <c r="L3619">
        <v>46</v>
      </c>
      <c r="M3619">
        <v>0</v>
      </c>
      <c r="N3619">
        <v>1</v>
      </c>
      <c r="O3619">
        <v>40.253999999999998</v>
      </c>
      <c r="P3619">
        <v>23.0425</v>
      </c>
      <c r="Q3619">
        <v>7.7909899999999999</v>
      </c>
    </row>
    <row r="3620" spans="1:17" x14ac:dyDescent="0.25">
      <c r="A3620" t="str">
        <f>IF(C3620&amp;G3620&amp;D3620&lt;&gt;'Funnel setup'!$K$3&amp;'Funnel setup'!$K$4&amp;'Funnel setup'!$K$6,".",IF(A3619=".",1,A3619+1))</f>
        <v>.</v>
      </c>
      <c r="B3620" s="244" t="str">
        <f t="shared" si="56"/>
        <v>Total Hip ReplacementSub-ICB of GP PracticeNHS LANCASHIRE AND SOUTH CUMBRIA ICB - 00R (00R)Oxford Hip Score</v>
      </c>
      <c r="C3620" t="s">
        <v>974</v>
      </c>
      <c r="D3620" t="s">
        <v>1021</v>
      </c>
      <c r="E3620" t="s">
        <v>849</v>
      </c>
      <c r="F3620" t="s">
        <v>850</v>
      </c>
      <c r="G3620" t="s">
        <v>964</v>
      </c>
      <c r="H3620">
        <v>39</v>
      </c>
      <c r="I3620">
        <v>17.769200000000001</v>
      </c>
      <c r="J3620">
        <v>38.538499999999999</v>
      </c>
      <c r="K3620">
        <v>20.769200000000001</v>
      </c>
      <c r="L3620">
        <v>38</v>
      </c>
      <c r="M3620">
        <v>0</v>
      </c>
      <c r="N3620">
        <v>1</v>
      </c>
      <c r="O3620">
        <v>39.589700000000001</v>
      </c>
      <c r="P3620">
        <v>22.378299999999999</v>
      </c>
      <c r="Q3620">
        <v>9.2431199999999993</v>
      </c>
    </row>
    <row r="3621" spans="1:17" x14ac:dyDescent="0.25">
      <c r="A3621" t="str">
        <f>IF(C3621&amp;G3621&amp;D3621&lt;&gt;'Funnel setup'!$K$3&amp;'Funnel setup'!$K$4&amp;'Funnel setup'!$K$6,".",IF(A3620=".",1,A3620+1))</f>
        <v>.</v>
      </c>
      <c r="B3621" s="244" t="str">
        <f t="shared" si="56"/>
        <v>Total Hip ReplacementSub-ICB of GP PracticeNHS LANCASHIRE AND SOUTH CUMBRIA ICB - 00X (00X)Oxford Hip Score</v>
      </c>
      <c r="C3621" t="s">
        <v>974</v>
      </c>
      <c r="D3621" t="s">
        <v>1021</v>
      </c>
      <c r="E3621" t="s">
        <v>851</v>
      </c>
      <c r="F3621" t="s">
        <v>852</v>
      </c>
      <c r="G3621" t="s">
        <v>964</v>
      </c>
      <c r="H3621">
        <v>65</v>
      </c>
      <c r="I3621">
        <v>16.8308</v>
      </c>
      <c r="J3621">
        <v>40.569200000000002</v>
      </c>
      <c r="K3621">
        <v>23.738499999999998</v>
      </c>
      <c r="L3621">
        <v>63</v>
      </c>
      <c r="M3621">
        <v>0</v>
      </c>
      <c r="N3621">
        <v>2</v>
      </c>
      <c r="O3621">
        <v>40.9803</v>
      </c>
      <c r="P3621">
        <v>23.768799999999999</v>
      </c>
      <c r="Q3621">
        <v>8.9360900000000001</v>
      </c>
    </row>
    <row r="3622" spans="1:17" x14ac:dyDescent="0.25">
      <c r="A3622" t="str">
        <f>IF(C3622&amp;G3622&amp;D3622&lt;&gt;'Funnel setup'!$K$3&amp;'Funnel setup'!$K$4&amp;'Funnel setup'!$K$6,".",IF(A3621=".",1,A3621+1))</f>
        <v>.</v>
      </c>
      <c r="B3622" s="244" t="str">
        <f t="shared" si="56"/>
        <v>Total Hip ReplacementSub-ICB of GP PracticeNHS LANCASHIRE AND SOUTH CUMBRIA ICB - 01A (01A)Oxford Hip Score</v>
      </c>
      <c r="C3622" t="s">
        <v>974</v>
      </c>
      <c r="D3622" t="s">
        <v>1021</v>
      </c>
      <c r="E3622" t="s">
        <v>853</v>
      </c>
      <c r="F3622" t="s">
        <v>854</v>
      </c>
      <c r="G3622" t="s">
        <v>964</v>
      </c>
      <c r="H3622">
        <v>160</v>
      </c>
      <c r="I3622">
        <v>17.406300000000002</v>
      </c>
      <c r="J3622">
        <v>40.493699999999997</v>
      </c>
      <c r="K3622">
        <v>23.087499999999999</v>
      </c>
      <c r="L3622">
        <v>154</v>
      </c>
      <c r="M3622">
        <v>2</v>
      </c>
      <c r="N3622">
        <v>4</v>
      </c>
      <c r="O3622">
        <v>40.477699999999999</v>
      </c>
      <c r="P3622">
        <v>23.266200000000001</v>
      </c>
      <c r="Q3622">
        <v>7.2047400000000001</v>
      </c>
    </row>
    <row r="3623" spans="1:17" x14ac:dyDescent="0.25">
      <c r="A3623" t="str">
        <f>IF(C3623&amp;G3623&amp;D3623&lt;&gt;'Funnel setup'!$K$3&amp;'Funnel setup'!$K$4&amp;'Funnel setup'!$K$6,".",IF(A3622=".",1,A3622+1))</f>
        <v>.</v>
      </c>
      <c r="B3623" s="244" t="str">
        <f t="shared" si="56"/>
        <v>Total Hip ReplacementSub-ICB of GP PracticeNHS LANCASHIRE AND SOUTH CUMBRIA ICB - 01E (01E)Oxford Hip Score</v>
      </c>
      <c r="C3623" t="s">
        <v>974</v>
      </c>
      <c r="D3623" t="s">
        <v>1021</v>
      </c>
      <c r="E3623" t="s">
        <v>855</v>
      </c>
      <c r="F3623" t="s">
        <v>856</v>
      </c>
      <c r="G3623" t="s">
        <v>964</v>
      </c>
      <c r="H3623">
        <v>65</v>
      </c>
      <c r="I3623">
        <v>20.246200000000002</v>
      </c>
      <c r="J3623">
        <v>40.907699999999998</v>
      </c>
      <c r="K3623">
        <v>20.6615</v>
      </c>
      <c r="L3623">
        <v>65</v>
      </c>
      <c r="M3623">
        <v>0</v>
      </c>
      <c r="N3623">
        <v>0</v>
      </c>
      <c r="O3623">
        <v>39.831400000000002</v>
      </c>
      <c r="P3623">
        <v>22.62</v>
      </c>
      <c r="Q3623">
        <v>7.3146000000000004</v>
      </c>
    </row>
    <row r="3624" spans="1:17" x14ac:dyDescent="0.25">
      <c r="A3624" t="str">
        <f>IF(C3624&amp;G3624&amp;D3624&lt;&gt;'Funnel setup'!$K$3&amp;'Funnel setup'!$K$4&amp;'Funnel setup'!$K$6,".",IF(A3623=".",1,A3623+1))</f>
        <v>.</v>
      </c>
      <c r="B3624" s="244" t="str">
        <f t="shared" si="56"/>
        <v>Total Hip ReplacementSub-ICB of GP PracticeNHS LANCASHIRE AND SOUTH CUMBRIA ICB - 01K (01K)Oxford Hip Score</v>
      </c>
      <c r="C3624" t="s">
        <v>974</v>
      </c>
      <c r="D3624" t="s">
        <v>1021</v>
      </c>
      <c r="E3624" t="s">
        <v>857</v>
      </c>
      <c r="F3624" t="s">
        <v>858</v>
      </c>
      <c r="G3624" t="s">
        <v>964</v>
      </c>
      <c r="H3624">
        <v>210</v>
      </c>
      <c r="I3624">
        <v>17.676200000000001</v>
      </c>
      <c r="J3624">
        <v>40.4</v>
      </c>
      <c r="K3624">
        <v>22.723800000000001</v>
      </c>
      <c r="L3624">
        <v>206</v>
      </c>
      <c r="M3624">
        <v>1</v>
      </c>
      <c r="N3624">
        <v>3</v>
      </c>
      <c r="O3624">
        <v>39.899299999999997</v>
      </c>
      <c r="P3624">
        <v>22.687899999999999</v>
      </c>
      <c r="Q3624">
        <v>7.18018</v>
      </c>
    </row>
    <row r="3625" spans="1:17" x14ac:dyDescent="0.25">
      <c r="A3625" t="str">
        <f>IF(C3625&amp;G3625&amp;D3625&lt;&gt;'Funnel setup'!$K$3&amp;'Funnel setup'!$K$4&amp;'Funnel setup'!$K$6,".",IF(A3624=".",1,A3624+1))</f>
        <v>.</v>
      </c>
      <c r="B3625" s="244" t="str">
        <f t="shared" si="56"/>
        <v>Total Hip ReplacementSub-ICB of GP PracticeNHS LANCASHIRE AND SOUTH CUMBRIA ICB - 02G (02G)Oxford Hip Score</v>
      </c>
      <c r="C3625" t="s">
        <v>974</v>
      </c>
      <c r="D3625" t="s">
        <v>1021</v>
      </c>
      <c r="E3625" t="s">
        <v>859</v>
      </c>
      <c r="F3625" t="s">
        <v>860</v>
      </c>
      <c r="G3625" t="s">
        <v>964</v>
      </c>
      <c r="H3625">
        <v>34</v>
      </c>
      <c r="I3625">
        <v>16.411799999999999</v>
      </c>
      <c r="J3625">
        <v>41.235300000000002</v>
      </c>
      <c r="K3625">
        <v>24.823499999999999</v>
      </c>
      <c r="L3625">
        <v>34</v>
      </c>
      <c r="M3625">
        <v>0</v>
      </c>
      <c r="N3625">
        <v>0</v>
      </c>
      <c r="O3625">
        <v>41.137700000000002</v>
      </c>
      <c r="P3625">
        <v>23.926200000000001</v>
      </c>
      <c r="Q3625">
        <v>7.7863199999999999</v>
      </c>
    </row>
    <row r="3626" spans="1:17" x14ac:dyDescent="0.25">
      <c r="A3626" t="str">
        <f>IF(C3626&amp;G3626&amp;D3626&lt;&gt;'Funnel setup'!$K$3&amp;'Funnel setup'!$K$4&amp;'Funnel setup'!$K$6,".",IF(A3625=".",1,A3625+1))</f>
        <v>.</v>
      </c>
      <c r="B3626" s="244" t="str">
        <f t="shared" si="56"/>
        <v>Total Hip ReplacementSub-ICB of GP PracticeNHS LANCASHIRE AND SOUTH CUMBRIA ICB - 02M (02M)Oxford Hip Score</v>
      </c>
      <c r="C3626" t="s">
        <v>974</v>
      </c>
      <c r="D3626" t="s">
        <v>1021</v>
      </c>
      <c r="E3626" t="s">
        <v>861</v>
      </c>
      <c r="F3626" t="s">
        <v>862</v>
      </c>
      <c r="G3626" t="s">
        <v>964</v>
      </c>
      <c r="H3626">
        <v>74</v>
      </c>
      <c r="I3626">
        <v>20.918900000000001</v>
      </c>
      <c r="J3626">
        <v>38.351399999999998</v>
      </c>
      <c r="K3626">
        <v>17.432400000000001</v>
      </c>
      <c r="L3626">
        <v>70</v>
      </c>
      <c r="M3626">
        <v>0</v>
      </c>
      <c r="N3626">
        <v>4</v>
      </c>
      <c r="O3626">
        <v>37.584000000000003</v>
      </c>
      <c r="P3626">
        <v>20.372599999999998</v>
      </c>
      <c r="Q3626">
        <v>8.1648300000000003</v>
      </c>
    </row>
    <row r="3627" spans="1:17" x14ac:dyDescent="0.25">
      <c r="A3627" t="str">
        <f>IF(C3627&amp;G3627&amp;D3627&lt;&gt;'Funnel setup'!$K$3&amp;'Funnel setup'!$K$4&amp;'Funnel setup'!$K$6,".",IF(A3626=".",1,A3626+1))</f>
        <v>.</v>
      </c>
      <c r="B3627" s="244" t="str">
        <f t="shared" si="56"/>
        <v>Total Hip ReplacementSub-ICB of GP PracticeNHS LEICESTER, LEICESTERSHIRE AND RUTLAND ICB - 03W (03W)Oxford Hip Score</v>
      </c>
      <c r="C3627" t="s">
        <v>974</v>
      </c>
      <c r="D3627" t="s">
        <v>1021</v>
      </c>
      <c r="E3627" t="s">
        <v>863</v>
      </c>
      <c r="F3627" t="s">
        <v>864</v>
      </c>
      <c r="G3627" t="s">
        <v>964</v>
      </c>
      <c r="H3627">
        <v>125</v>
      </c>
      <c r="I3627">
        <v>16.712</v>
      </c>
      <c r="J3627">
        <v>38.536000000000001</v>
      </c>
      <c r="K3627">
        <v>21.824000000000002</v>
      </c>
      <c r="L3627">
        <v>119</v>
      </c>
      <c r="M3627">
        <v>0</v>
      </c>
      <c r="N3627">
        <v>6</v>
      </c>
      <c r="O3627">
        <v>38.944800000000001</v>
      </c>
      <c r="P3627">
        <v>21.7334</v>
      </c>
      <c r="Q3627">
        <v>8.3444199999999995</v>
      </c>
    </row>
    <row r="3628" spans="1:17" x14ac:dyDescent="0.25">
      <c r="A3628" t="str">
        <f>IF(C3628&amp;G3628&amp;D3628&lt;&gt;'Funnel setup'!$K$3&amp;'Funnel setup'!$K$4&amp;'Funnel setup'!$K$6,".",IF(A3627=".",1,A3627+1))</f>
        <v>.</v>
      </c>
      <c r="B3628" s="244" t="str">
        <f t="shared" si="56"/>
        <v>Total Hip ReplacementSub-ICB of GP PracticeNHS LEICESTER, LEICESTERSHIRE AND RUTLAND ICB - 04C (04C)Oxford Hip Score</v>
      </c>
      <c r="C3628" t="s">
        <v>974</v>
      </c>
      <c r="D3628" t="s">
        <v>1021</v>
      </c>
      <c r="E3628" t="s">
        <v>865</v>
      </c>
      <c r="F3628" t="s">
        <v>866</v>
      </c>
      <c r="G3628" t="s">
        <v>964</v>
      </c>
      <c r="H3628">
        <v>39</v>
      </c>
      <c r="I3628">
        <v>14.025</v>
      </c>
      <c r="J3628">
        <v>36.725000000000001</v>
      </c>
      <c r="K3628">
        <v>22.7</v>
      </c>
      <c r="L3628">
        <v>37</v>
      </c>
      <c r="M3628">
        <v>0</v>
      </c>
      <c r="N3628">
        <v>2</v>
      </c>
      <c r="O3628">
        <v>39.797800000000002</v>
      </c>
      <c r="P3628">
        <v>22.586400000000001</v>
      </c>
      <c r="Q3628">
        <v>10.410500000000001</v>
      </c>
    </row>
    <row r="3629" spans="1:17" x14ac:dyDescent="0.25">
      <c r="A3629" t="str">
        <f>IF(C3629&amp;G3629&amp;D3629&lt;&gt;'Funnel setup'!$K$3&amp;'Funnel setup'!$K$4&amp;'Funnel setup'!$K$6,".",IF(A3628=".",1,A3628+1))</f>
        <v>.</v>
      </c>
      <c r="B3629" s="244" t="str">
        <f t="shared" si="56"/>
        <v>Total Hip ReplacementSub-ICB of GP PracticeNHS LEICESTER, LEICESTERSHIRE AND RUTLAND ICB - 04V (04V)Oxford Hip Score</v>
      </c>
      <c r="C3629" t="s">
        <v>974</v>
      </c>
      <c r="D3629" t="s">
        <v>1021</v>
      </c>
      <c r="E3629" t="s">
        <v>867</v>
      </c>
      <c r="F3629" t="s">
        <v>868</v>
      </c>
      <c r="G3629" t="s">
        <v>964</v>
      </c>
      <c r="H3629">
        <v>118</v>
      </c>
      <c r="I3629">
        <v>16.779699999999998</v>
      </c>
      <c r="J3629">
        <v>40.152500000000003</v>
      </c>
      <c r="K3629">
        <v>23.372900000000001</v>
      </c>
      <c r="L3629">
        <v>115</v>
      </c>
      <c r="M3629">
        <v>3</v>
      </c>
      <c r="N3629">
        <v>0</v>
      </c>
      <c r="O3629">
        <v>40.314799999999998</v>
      </c>
      <c r="P3629">
        <v>23.103300000000001</v>
      </c>
      <c r="Q3629">
        <v>8.3300900000000002</v>
      </c>
    </row>
    <row r="3630" spans="1:17" x14ac:dyDescent="0.25">
      <c r="A3630" t="str">
        <f>IF(C3630&amp;G3630&amp;D3630&lt;&gt;'Funnel setup'!$K$3&amp;'Funnel setup'!$K$4&amp;'Funnel setup'!$K$6,".",IF(A3629=".",1,A3629+1))</f>
        <v>.</v>
      </c>
      <c r="B3630" s="244" t="str">
        <f t="shared" si="56"/>
        <v>Total Hip ReplacementSub-ICB of GP PracticeNHS LINCOLNSHIRE ICB - 71E (71E)Oxford Hip Score</v>
      </c>
      <c r="C3630" t="s">
        <v>974</v>
      </c>
      <c r="D3630" t="s">
        <v>1021</v>
      </c>
      <c r="E3630" t="s">
        <v>869</v>
      </c>
      <c r="F3630" t="s">
        <v>870</v>
      </c>
      <c r="G3630" t="s">
        <v>964</v>
      </c>
      <c r="H3630">
        <v>267</v>
      </c>
      <c r="I3630">
        <v>17.149799999999999</v>
      </c>
      <c r="J3630">
        <v>40.857700000000001</v>
      </c>
      <c r="K3630">
        <v>23.707899999999999</v>
      </c>
      <c r="L3630">
        <v>260</v>
      </c>
      <c r="M3630">
        <v>3</v>
      </c>
      <c r="N3630">
        <v>4</v>
      </c>
      <c r="O3630">
        <v>40.844099999999997</v>
      </c>
      <c r="P3630">
        <v>23.6326</v>
      </c>
      <c r="Q3630">
        <v>7.2000599999999997</v>
      </c>
    </row>
    <row r="3631" spans="1:17" x14ac:dyDescent="0.25">
      <c r="A3631" t="str">
        <f>IF(C3631&amp;G3631&amp;D3631&lt;&gt;'Funnel setup'!$K$3&amp;'Funnel setup'!$K$4&amp;'Funnel setup'!$K$6,".",IF(A3630=".",1,A3630+1))</f>
        <v>.</v>
      </c>
      <c r="B3631" s="244" t="str">
        <f t="shared" si="56"/>
        <v>Total Hip ReplacementSub-ICB of GP PracticeNHS MID AND SOUTH ESSEX ICB - 06Q (06Q)Oxford Hip Score</v>
      </c>
      <c r="C3631" t="s">
        <v>974</v>
      </c>
      <c r="D3631" t="s">
        <v>1021</v>
      </c>
      <c r="E3631" t="s">
        <v>871</v>
      </c>
      <c r="F3631" t="s">
        <v>872</v>
      </c>
      <c r="G3631" t="s">
        <v>964</v>
      </c>
      <c r="H3631">
        <v>119</v>
      </c>
      <c r="I3631">
        <v>15.478999999999999</v>
      </c>
      <c r="J3631">
        <v>41.285699999999999</v>
      </c>
      <c r="K3631">
        <v>25.806699999999999</v>
      </c>
      <c r="L3631">
        <v>117</v>
      </c>
      <c r="M3631">
        <v>0</v>
      </c>
      <c r="N3631">
        <v>2</v>
      </c>
      <c r="O3631">
        <v>41.527299999999997</v>
      </c>
      <c r="P3631">
        <v>24.315899999999999</v>
      </c>
      <c r="Q3631">
        <v>7.2725400000000002</v>
      </c>
    </row>
    <row r="3632" spans="1:17" x14ac:dyDescent="0.25">
      <c r="A3632" t="str">
        <f>IF(C3632&amp;G3632&amp;D3632&lt;&gt;'Funnel setup'!$K$3&amp;'Funnel setup'!$K$4&amp;'Funnel setup'!$K$6,".",IF(A3631=".",1,A3631+1))</f>
        <v>.</v>
      </c>
      <c r="B3632" s="244" t="str">
        <f t="shared" si="56"/>
        <v>Total Hip ReplacementSub-ICB of GP PracticeNHS MID AND SOUTH ESSEX ICB - 07G (07G)Oxford Hip Score</v>
      </c>
      <c r="C3632" t="s">
        <v>974</v>
      </c>
      <c r="D3632" t="s">
        <v>1021</v>
      </c>
      <c r="E3632" t="s">
        <v>873</v>
      </c>
      <c r="F3632" t="s">
        <v>874</v>
      </c>
      <c r="G3632" t="s">
        <v>964</v>
      </c>
      <c r="H3632">
        <v>35</v>
      </c>
      <c r="I3632">
        <v>13.7714</v>
      </c>
      <c r="J3632">
        <v>37.428600000000003</v>
      </c>
      <c r="K3632">
        <v>23.6571</v>
      </c>
      <c r="L3632">
        <v>35</v>
      </c>
      <c r="M3632">
        <v>0</v>
      </c>
      <c r="N3632">
        <v>0</v>
      </c>
      <c r="O3632">
        <v>38.7423</v>
      </c>
      <c r="P3632">
        <v>21.530899999999999</v>
      </c>
      <c r="Q3632">
        <v>7.8510799999999996</v>
      </c>
    </row>
    <row r="3633" spans="1:17" x14ac:dyDescent="0.25">
      <c r="A3633" t="str">
        <f>IF(C3633&amp;G3633&amp;D3633&lt;&gt;'Funnel setup'!$K$3&amp;'Funnel setup'!$K$4&amp;'Funnel setup'!$K$6,".",IF(A3632=".",1,A3632+1))</f>
        <v>.</v>
      </c>
      <c r="B3633" s="244" t="str">
        <f t="shared" si="56"/>
        <v>Total Hip ReplacementSub-ICB of GP PracticeNHS MID AND SOUTH ESSEX ICB - 99E (99E)Oxford Hip Score</v>
      </c>
      <c r="C3633" t="s">
        <v>974</v>
      </c>
      <c r="D3633" t="s">
        <v>1021</v>
      </c>
      <c r="E3633" t="s">
        <v>875</v>
      </c>
      <c r="F3633" t="s">
        <v>876</v>
      </c>
      <c r="G3633" t="s">
        <v>964</v>
      </c>
      <c r="H3633">
        <v>48</v>
      </c>
      <c r="I3633">
        <v>15.145799999999999</v>
      </c>
      <c r="J3633">
        <v>40.458300000000001</v>
      </c>
      <c r="K3633">
        <v>25.3125</v>
      </c>
      <c r="L3633">
        <v>48</v>
      </c>
      <c r="M3633">
        <v>0</v>
      </c>
      <c r="N3633">
        <v>0</v>
      </c>
      <c r="O3633">
        <v>41.355400000000003</v>
      </c>
      <c r="P3633">
        <v>24.143999999999998</v>
      </c>
      <c r="Q3633">
        <v>8.1419300000000003</v>
      </c>
    </row>
    <row r="3634" spans="1:17" x14ac:dyDescent="0.25">
      <c r="A3634" t="str">
        <f>IF(C3634&amp;G3634&amp;D3634&lt;&gt;'Funnel setup'!$K$3&amp;'Funnel setup'!$K$4&amp;'Funnel setup'!$K$6,".",IF(A3633=".",1,A3633+1))</f>
        <v>.</v>
      </c>
      <c r="B3634" s="244" t="str">
        <f t="shared" si="56"/>
        <v>Total Hip ReplacementSub-ICB of GP PracticeNHS MID AND SOUTH ESSEX ICB - 99F (99F)Oxford Hip Score</v>
      </c>
      <c r="C3634" t="s">
        <v>974</v>
      </c>
      <c r="D3634" t="s">
        <v>1021</v>
      </c>
      <c r="E3634" t="s">
        <v>877</v>
      </c>
      <c r="F3634" t="s">
        <v>878</v>
      </c>
      <c r="G3634" t="s">
        <v>964</v>
      </c>
      <c r="H3634">
        <v>28</v>
      </c>
      <c r="I3634">
        <v>15.7857</v>
      </c>
      <c r="J3634">
        <v>40.392899999999997</v>
      </c>
      <c r="K3634">
        <v>24.607099999999999</v>
      </c>
      <c r="L3634">
        <v>27</v>
      </c>
      <c r="M3634">
        <v>0</v>
      </c>
      <c r="N3634">
        <v>1</v>
      </c>
      <c r="O3634" t="s">
        <v>127</v>
      </c>
      <c r="P3634" t="s">
        <v>127</v>
      </c>
      <c r="Q3634" t="s">
        <v>127</v>
      </c>
    </row>
    <row r="3635" spans="1:17" x14ac:dyDescent="0.25">
      <c r="A3635" t="str">
        <f>IF(C3635&amp;G3635&amp;D3635&lt;&gt;'Funnel setup'!$K$3&amp;'Funnel setup'!$K$4&amp;'Funnel setup'!$K$6,".",IF(A3634=".",1,A3634+1))</f>
        <v>.</v>
      </c>
      <c r="B3635" s="244" t="str">
        <f t="shared" si="56"/>
        <v>Total Hip ReplacementSub-ICB of GP PracticeNHS MID AND SOUTH ESSEX ICB - 99G (99G)Oxford Hip Score</v>
      </c>
      <c r="C3635" t="s">
        <v>974</v>
      </c>
      <c r="D3635" t="s">
        <v>1021</v>
      </c>
      <c r="E3635" t="s">
        <v>879</v>
      </c>
      <c r="F3635" t="s">
        <v>880</v>
      </c>
      <c r="G3635" t="s">
        <v>964</v>
      </c>
      <c r="H3635">
        <v>13</v>
      </c>
      <c r="I3635">
        <v>14.9231</v>
      </c>
      <c r="J3635">
        <v>40</v>
      </c>
      <c r="K3635">
        <v>25.076899999999998</v>
      </c>
      <c r="L3635">
        <v>13</v>
      </c>
      <c r="M3635">
        <v>0</v>
      </c>
      <c r="N3635">
        <v>0</v>
      </c>
      <c r="O3635" t="s">
        <v>127</v>
      </c>
      <c r="P3635" t="s">
        <v>127</v>
      </c>
      <c r="Q3635" t="s">
        <v>127</v>
      </c>
    </row>
    <row r="3636" spans="1:17" x14ac:dyDescent="0.25">
      <c r="A3636" t="str">
        <f>IF(C3636&amp;G3636&amp;D3636&lt;&gt;'Funnel setup'!$K$3&amp;'Funnel setup'!$K$4&amp;'Funnel setup'!$K$6,".",IF(A3635=".",1,A3635+1))</f>
        <v>.</v>
      </c>
      <c r="B3636" s="244" t="str">
        <f t="shared" si="56"/>
        <v>Total Hip ReplacementSub-ICB of GP PracticeNHS NORFOLK AND WAVENEY ICB - 26A (26A)Oxford Hip Score</v>
      </c>
      <c r="C3636" t="s">
        <v>974</v>
      </c>
      <c r="D3636" t="s">
        <v>1021</v>
      </c>
      <c r="E3636" t="s">
        <v>881</v>
      </c>
      <c r="F3636" t="s">
        <v>882</v>
      </c>
      <c r="G3636" t="s">
        <v>964</v>
      </c>
      <c r="H3636">
        <v>382</v>
      </c>
      <c r="I3636">
        <v>15.2356</v>
      </c>
      <c r="J3636">
        <v>39.209400000000002</v>
      </c>
      <c r="K3636">
        <v>23.973800000000001</v>
      </c>
      <c r="L3636">
        <v>372</v>
      </c>
      <c r="M3636">
        <v>1</v>
      </c>
      <c r="N3636">
        <v>9</v>
      </c>
      <c r="O3636">
        <v>40.468800000000002</v>
      </c>
      <c r="P3636">
        <v>23.257400000000001</v>
      </c>
      <c r="Q3636">
        <v>8.50746</v>
      </c>
    </row>
    <row r="3637" spans="1:17" x14ac:dyDescent="0.25">
      <c r="A3637" t="str">
        <f>IF(C3637&amp;G3637&amp;D3637&lt;&gt;'Funnel setup'!$K$3&amp;'Funnel setup'!$K$4&amp;'Funnel setup'!$K$6,".",IF(A3636=".",1,A3636+1))</f>
        <v>.</v>
      </c>
      <c r="B3637" s="244" t="str">
        <f t="shared" si="56"/>
        <v>Total Hip ReplacementSub-ICB of GP PracticeNHS NORTH CENTRAL LONDON ICB - 93C (93C)Oxford Hip Score</v>
      </c>
      <c r="C3637" t="s">
        <v>974</v>
      </c>
      <c r="D3637" t="s">
        <v>1021</v>
      </c>
      <c r="E3637" t="s">
        <v>883</v>
      </c>
      <c r="F3637" t="s">
        <v>884</v>
      </c>
      <c r="G3637" t="s">
        <v>964</v>
      </c>
      <c r="H3637">
        <v>155</v>
      </c>
      <c r="I3637">
        <v>18.928999999999998</v>
      </c>
      <c r="J3637">
        <v>38.516100000000002</v>
      </c>
      <c r="K3637">
        <v>19.5871</v>
      </c>
      <c r="L3637">
        <v>147</v>
      </c>
      <c r="M3637">
        <v>2</v>
      </c>
      <c r="N3637">
        <v>6</v>
      </c>
      <c r="O3637">
        <v>37.896500000000003</v>
      </c>
      <c r="P3637">
        <v>20.685099999999998</v>
      </c>
      <c r="Q3637">
        <v>8.7296300000000002</v>
      </c>
    </row>
    <row r="3638" spans="1:17" x14ac:dyDescent="0.25">
      <c r="A3638" t="str">
        <f>IF(C3638&amp;G3638&amp;D3638&lt;&gt;'Funnel setup'!$K$3&amp;'Funnel setup'!$K$4&amp;'Funnel setup'!$K$6,".",IF(A3637=".",1,A3637+1))</f>
        <v>.</v>
      </c>
      <c r="B3638" s="244" t="str">
        <f t="shared" si="56"/>
        <v>Total Hip ReplacementSub-ICB of GP PracticeNHS NORTH EAST AND NORTH CUMBRIA ICB - 00L (00L)Oxford Hip Score</v>
      </c>
      <c r="C3638" t="s">
        <v>974</v>
      </c>
      <c r="D3638" t="s">
        <v>1021</v>
      </c>
      <c r="E3638" t="s">
        <v>885</v>
      </c>
      <c r="F3638" t="s">
        <v>886</v>
      </c>
      <c r="G3638" t="s">
        <v>964</v>
      </c>
      <c r="H3638">
        <v>165</v>
      </c>
      <c r="I3638">
        <v>15.806100000000001</v>
      </c>
      <c r="J3638">
        <v>39.854500000000002</v>
      </c>
      <c r="K3638">
        <v>24.048500000000001</v>
      </c>
      <c r="L3638">
        <v>162</v>
      </c>
      <c r="M3638">
        <v>0</v>
      </c>
      <c r="N3638">
        <v>3</v>
      </c>
      <c r="O3638">
        <v>41.191299999999998</v>
      </c>
      <c r="P3638">
        <v>23.979900000000001</v>
      </c>
      <c r="Q3638">
        <v>8.4079300000000003</v>
      </c>
    </row>
    <row r="3639" spans="1:17" x14ac:dyDescent="0.25">
      <c r="A3639" t="str">
        <f>IF(C3639&amp;G3639&amp;D3639&lt;&gt;'Funnel setup'!$K$3&amp;'Funnel setup'!$K$4&amp;'Funnel setup'!$K$6,".",IF(A3638=".",1,A3638+1))</f>
        <v>.</v>
      </c>
      <c r="B3639" s="244" t="str">
        <f t="shared" si="56"/>
        <v>Total Hip ReplacementSub-ICB of GP PracticeNHS NORTH EAST AND NORTH CUMBRIA ICB - 00N (00N)Oxford Hip Score</v>
      </c>
      <c r="C3639" t="s">
        <v>974</v>
      </c>
      <c r="D3639" t="s">
        <v>1021</v>
      </c>
      <c r="E3639" t="s">
        <v>887</v>
      </c>
      <c r="F3639" t="s">
        <v>888</v>
      </c>
      <c r="G3639" t="s">
        <v>964</v>
      </c>
      <c r="H3639">
        <v>11</v>
      </c>
      <c r="I3639">
        <v>13.9091</v>
      </c>
      <c r="J3639">
        <v>41.454500000000003</v>
      </c>
      <c r="K3639">
        <v>27.545500000000001</v>
      </c>
      <c r="L3639">
        <v>11</v>
      </c>
      <c r="M3639">
        <v>0</v>
      </c>
      <c r="N3639">
        <v>0</v>
      </c>
      <c r="O3639" t="s">
        <v>127</v>
      </c>
      <c r="P3639" t="s">
        <v>127</v>
      </c>
      <c r="Q3639" t="s">
        <v>127</v>
      </c>
    </row>
    <row r="3640" spans="1:17" x14ac:dyDescent="0.25">
      <c r="A3640" t="str">
        <f>IF(C3640&amp;G3640&amp;D3640&lt;&gt;'Funnel setup'!$K$3&amp;'Funnel setup'!$K$4&amp;'Funnel setup'!$K$6,".",IF(A3639=".",1,A3639+1))</f>
        <v>.</v>
      </c>
      <c r="B3640" s="244" t="str">
        <f t="shared" si="56"/>
        <v>Total Hip ReplacementSub-ICB of GP PracticeNHS NORTH EAST AND NORTH CUMBRIA ICB - 00P (00P)Oxford Hip Score</v>
      </c>
      <c r="C3640" t="s">
        <v>974</v>
      </c>
      <c r="D3640" t="s">
        <v>1021</v>
      </c>
      <c r="E3640" t="s">
        <v>889</v>
      </c>
      <c r="F3640" t="s">
        <v>890</v>
      </c>
      <c r="G3640" t="s">
        <v>964</v>
      </c>
      <c r="H3640">
        <v>36</v>
      </c>
      <c r="I3640">
        <v>14.277799999999999</v>
      </c>
      <c r="J3640">
        <v>36.055599999999998</v>
      </c>
      <c r="K3640">
        <v>21.777799999999999</v>
      </c>
      <c r="L3640">
        <v>33</v>
      </c>
      <c r="M3640">
        <v>0</v>
      </c>
      <c r="N3640">
        <v>3</v>
      </c>
      <c r="O3640">
        <v>38.777700000000003</v>
      </c>
      <c r="P3640">
        <v>21.566299999999998</v>
      </c>
      <c r="Q3640">
        <v>10.3428</v>
      </c>
    </row>
    <row r="3641" spans="1:17" x14ac:dyDescent="0.25">
      <c r="A3641" t="str">
        <f>IF(C3641&amp;G3641&amp;D3641&lt;&gt;'Funnel setup'!$K$3&amp;'Funnel setup'!$K$4&amp;'Funnel setup'!$K$6,".",IF(A3640=".",1,A3640+1))</f>
        <v>.</v>
      </c>
      <c r="B3641" s="244" t="str">
        <f t="shared" si="56"/>
        <v>Total Hip ReplacementSub-ICB of GP PracticeNHS NORTH EAST AND NORTH CUMBRIA ICB - 01H (01H)Oxford Hip Score</v>
      </c>
      <c r="C3641" t="s">
        <v>974</v>
      </c>
      <c r="D3641" t="s">
        <v>1021</v>
      </c>
      <c r="E3641" t="s">
        <v>891</v>
      </c>
      <c r="F3641" t="s">
        <v>892</v>
      </c>
      <c r="G3641" t="s">
        <v>964</v>
      </c>
      <c r="H3641">
        <v>185</v>
      </c>
      <c r="I3641">
        <v>15.3622</v>
      </c>
      <c r="J3641">
        <v>40.145899999999997</v>
      </c>
      <c r="K3641">
        <v>24.783799999999999</v>
      </c>
      <c r="L3641">
        <v>182</v>
      </c>
      <c r="M3641">
        <v>1</v>
      </c>
      <c r="N3641">
        <v>2</v>
      </c>
      <c r="O3641">
        <v>41.625999999999998</v>
      </c>
      <c r="P3641">
        <v>24.4146</v>
      </c>
      <c r="Q3641">
        <v>7.9851000000000001</v>
      </c>
    </row>
    <row r="3642" spans="1:17" x14ac:dyDescent="0.25">
      <c r="A3642" t="str">
        <f>IF(C3642&amp;G3642&amp;D3642&lt;&gt;'Funnel setup'!$K$3&amp;'Funnel setup'!$K$4&amp;'Funnel setup'!$K$6,".",IF(A3641=".",1,A3641+1))</f>
        <v>.</v>
      </c>
      <c r="B3642" s="244" t="str">
        <f t="shared" si="56"/>
        <v>Total Hip ReplacementSub-ICB of GP PracticeNHS NORTH EAST AND NORTH CUMBRIA ICB - 13T (13T)Oxford Hip Score</v>
      </c>
      <c r="C3642" t="s">
        <v>974</v>
      </c>
      <c r="D3642" t="s">
        <v>1021</v>
      </c>
      <c r="E3642" t="s">
        <v>893</v>
      </c>
      <c r="F3642" t="s">
        <v>894</v>
      </c>
      <c r="G3642" t="s">
        <v>964</v>
      </c>
      <c r="H3642">
        <v>102</v>
      </c>
      <c r="I3642">
        <v>15.392200000000001</v>
      </c>
      <c r="J3642">
        <v>39.019599999999997</v>
      </c>
      <c r="K3642">
        <v>23.627500000000001</v>
      </c>
      <c r="L3642">
        <v>100</v>
      </c>
      <c r="M3642">
        <v>0</v>
      </c>
      <c r="N3642">
        <v>2</v>
      </c>
      <c r="O3642">
        <v>40.671700000000001</v>
      </c>
      <c r="P3642">
        <v>23.4602</v>
      </c>
      <c r="Q3642">
        <v>8.2366899999999994</v>
      </c>
    </row>
    <row r="3643" spans="1:17" x14ac:dyDescent="0.25">
      <c r="A3643" t="str">
        <f>IF(C3643&amp;G3643&amp;D3643&lt;&gt;'Funnel setup'!$K$3&amp;'Funnel setup'!$K$4&amp;'Funnel setup'!$K$6,".",IF(A3642=".",1,A3642+1))</f>
        <v>.</v>
      </c>
      <c r="B3643" s="244" t="str">
        <f t="shared" si="56"/>
        <v>Total Hip ReplacementSub-ICB of GP PracticeNHS NORTH EAST AND NORTH CUMBRIA ICB - 16C (16C)Oxford Hip Score</v>
      </c>
      <c r="C3643" t="s">
        <v>974</v>
      </c>
      <c r="D3643" t="s">
        <v>1021</v>
      </c>
      <c r="E3643" t="s">
        <v>895</v>
      </c>
      <c r="F3643" t="s">
        <v>896</v>
      </c>
      <c r="G3643" t="s">
        <v>964</v>
      </c>
      <c r="H3643">
        <v>382</v>
      </c>
      <c r="I3643">
        <v>16.966000000000001</v>
      </c>
      <c r="J3643">
        <v>38.916200000000003</v>
      </c>
      <c r="K3643">
        <v>21.950299999999999</v>
      </c>
      <c r="L3643">
        <v>368</v>
      </c>
      <c r="M3643">
        <v>4</v>
      </c>
      <c r="N3643">
        <v>10</v>
      </c>
      <c r="O3643">
        <v>39.875100000000003</v>
      </c>
      <c r="P3643">
        <v>22.663699999999999</v>
      </c>
      <c r="Q3643">
        <v>8.6572899999999997</v>
      </c>
    </row>
    <row r="3644" spans="1:17" x14ac:dyDescent="0.25">
      <c r="A3644" t="str">
        <f>IF(C3644&amp;G3644&amp;D3644&lt;&gt;'Funnel setup'!$K$3&amp;'Funnel setup'!$K$4&amp;'Funnel setup'!$K$6,".",IF(A3643=".",1,A3643+1))</f>
        <v>.</v>
      </c>
      <c r="B3644" s="244" t="str">
        <f t="shared" si="56"/>
        <v>Total Hip ReplacementSub-ICB of GP PracticeNHS NORTH EAST AND NORTH CUMBRIA ICB - 84H (84H)Oxford Hip Score</v>
      </c>
      <c r="C3644" t="s">
        <v>974</v>
      </c>
      <c r="D3644" t="s">
        <v>1021</v>
      </c>
      <c r="E3644" t="s">
        <v>897</v>
      </c>
      <c r="F3644" t="s">
        <v>898</v>
      </c>
      <c r="G3644" t="s">
        <v>964</v>
      </c>
      <c r="H3644">
        <v>276</v>
      </c>
      <c r="I3644">
        <v>16.242799999999999</v>
      </c>
      <c r="J3644">
        <v>39.5</v>
      </c>
      <c r="K3644">
        <v>23.257200000000001</v>
      </c>
      <c r="L3644">
        <v>270</v>
      </c>
      <c r="M3644">
        <v>0</v>
      </c>
      <c r="N3644">
        <v>6</v>
      </c>
      <c r="O3644">
        <v>40.720399999999998</v>
      </c>
      <c r="P3644">
        <v>23.509</v>
      </c>
      <c r="Q3644">
        <v>8.5273800000000008</v>
      </c>
    </row>
    <row r="3645" spans="1:17" x14ac:dyDescent="0.25">
      <c r="A3645" t="str">
        <f>IF(C3645&amp;G3645&amp;D3645&lt;&gt;'Funnel setup'!$K$3&amp;'Funnel setup'!$K$4&amp;'Funnel setup'!$K$6,".",IF(A3644=".",1,A3644+1))</f>
        <v>.</v>
      </c>
      <c r="B3645" s="244" t="str">
        <f t="shared" si="56"/>
        <v>Total Hip ReplacementSub-ICB of GP PracticeNHS NORTH EAST AND NORTH CUMBRIA ICB - 99C (99C)Oxford Hip Score</v>
      </c>
      <c r="C3645" t="s">
        <v>974</v>
      </c>
      <c r="D3645" t="s">
        <v>1021</v>
      </c>
      <c r="E3645" t="s">
        <v>899</v>
      </c>
      <c r="F3645" t="s">
        <v>900</v>
      </c>
      <c r="G3645" t="s">
        <v>964</v>
      </c>
      <c r="H3645">
        <v>81</v>
      </c>
      <c r="I3645">
        <v>16.691400000000002</v>
      </c>
      <c r="J3645">
        <v>40.061700000000002</v>
      </c>
      <c r="K3645">
        <v>23.3704</v>
      </c>
      <c r="L3645">
        <v>79</v>
      </c>
      <c r="M3645">
        <v>0</v>
      </c>
      <c r="N3645">
        <v>2</v>
      </c>
      <c r="O3645">
        <v>41.014099999999999</v>
      </c>
      <c r="P3645">
        <v>23.802700000000002</v>
      </c>
      <c r="Q3645">
        <v>7.5499000000000001</v>
      </c>
    </row>
    <row r="3646" spans="1:17" x14ac:dyDescent="0.25">
      <c r="A3646" t="str">
        <f>IF(C3646&amp;G3646&amp;D3646&lt;&gt;'Funnel setup'!$K$3&amp;'Funnel setup'!$K$4&amp;'Funnel setup'!$K$6,".",IF(A3645=".",1,A3645+1))</f>
        <v>.</v>
      </c>
      <c r="B3646" s="244" t="str">
        <f t="shared" si="56"/>
        <v>Total Hip ReplacementSub-ICB of GP PracticeNHS NORTH EAST LONDON ICB - A3A8R (A3A8R)Oxford Hip Score</v>
      </c>
      <c r="C3646" t="s">
        <v>974</v>
      </c>
      <c r="D3646" t="s">
        <v>1021</v>
      </c>
      <c r="E3646" t="s">
        <v>901</v>
      </c>
      <c r="F3646" t="s">
        <v>902</v>
      </c>
      <c r="G3646" t="s">
        <v>964</v>
      </c>
      <c r="H3646">
        <v>176</v>
      </c>
      <c r="I3646">
        <v>15.9091</v>
      </c>
      <c r="J3646">
        <v>36.806800000000003</v>
      </c>
      <c r="K3646">
        <v>20.8977</v>
      </c>
      <c r="L3646">
        <v>170</v>
      </c>
      <c r="M3646">
        <v>0</v>
      </c>
      <c r="N3646">
        <v>6</v>
      </c>
      <c r="O3646">
        <v>37.945</v>
      </c>
      <c r="P3646">
        <v>20.733599999999999</v>
      </c>
      <c r="Q3646">
        <v>9.0016200000000008</v>
      </c>
    </row>
    <row r="3647" spans="1:17" x14ac:dyDescent="0.25">
      <c r="A3647" t="str">
        <f>IF(C3647&amp;G3647&amp;D3647&lt;&gt;'Funnel setup'!$K$3&amp;'Funnel setup'!$K$4&amp;'Funnel setup'!$K$6,".",IF(A3646=".",1,A3646+1))</f>
        <v>.</v>
      </c>
      <c r="B3647" s="244" t="str">
        <f t="shared" si="56"/>
        <v>Total Hip ReplacementSub-ICB of GP PracticeNHS NORTH WEST LONDON ICB - W2U3Z (W2U3Z)Oxford Hip Score</v>
      </c>
      <c r="C3647" t="s">
        <v>974</v>
      </c>
      <c r="D3647" t="s">
        <v>1021</v>
      </c>
      <c r="E3647" t="s">
        <v>903</v>
      </c>
      <c r="F3647" t="s">
        <v>904</v>
      </c>
      <c r="G3647" t="s">
        <v>964</v>
      </c>
      <c r="H3647">
        <v>162</v>
      </c>
      <c r="I3647">
        <v>18.228400000000001</v>
      </c>
      <c r="J3647">
        <v>40.1173</v>
      </c>
      <c r="K3647">
        <v>21.8889</v>
      </c>
      <c r="L3647">
        <v>157</v>
      </c>
      <c r="M3647">
        <v>0</v>
      </c>
      <c r="N3647">
        <v>5</v>
      </c>
      <c r="O3647">
        <v>39.564399999999999</v>
      </c>
      <c r="P3647">
        <v>22.353000000000002</v>
      </c>
      <c r="Q3647">
        <v>7.5990700000000002</v>
      </c>
    </row>
    <row r="3648" spans="1:17" x14ac:dyDescent="0.25">
      <c r="A3648" t="str">
        <f>IF(C3648&amp;G3648&amp;D3648&lt;&gt;'Funnel setup'!$K$3&amp;'Funnel setup'!$K$4&amp;'Funnel setup'!$K$6,".",IF(A3647=".",1,A3647+1))</f>
        <v>.</v>
      </c>
      <c r="B3648" s="244" t="str">
        <f t="shared" si="56"/>
        <v>Total Hip ReplacementSub-ICB of GP PracticeNHS NORTHAMPTONSHIRE ICB - 78H (78H)Oxford Hip Score</v>
      </c>
      <c r="C3648" t="s">
        <v>974</v>
      </c>
      <c r="D3648" t="s">
        <v>1021</v>
      </c>
      <c r="E3648" t="s">
        <v>905</v>
      </c>
      <c r="F3648" t="s">
        <v>906</v>
      </c>
      <c r="G3648" t="s">
        <v>964</v>
      </c>
      <c r="H3648">
        <v>266</v>
      </c>
      <c r="I3648">
        <v>16.0977</v>
      </c>
      <c r="J3648">
        <v>38.958599999999997</v>
      </c>
      <c r="K3648">
        <v>22.860900000000001</v>
      </c>
      <c r="L3648">
        <v>255</v>
      </c>
      <c r="M3648">
        <v>1</v>
      </c>
      <c r="N3648">
        <v>10</v>
      </c>
      <c r="O3648">
        <v>39.0989</v>
      </c>
      <c r="P3648">
        <v>21.8874</v>
      </c>
      <c r="Q3648">
        <v>8.9830199999999998</v>
      </c>
    </row>
    <row r="3649" spans="1:17" x14ac:dyDescent="0.25">
      <c r="A3649" t="str">
        <f>IF(C3649&amp;G3649&amp;D3649&lt;&gt;'Funnel setup'!$K$3&amp;'Funnel setup'!$K$4&amp;'Funnel setup'!$K$6,".",IF(A3648=".",1,A3648+1))</f>
        <v>.</v>
      </c>
      <c r="B3649" s="244" t="str">
        <f t="shared" si="56"/>
        <v>Total Hip ReplacementSub-ICB of GP PracticeNHS NOTTINGHAM AND NOTTINGHAMSHIRE ICB - 02Q (02Q)Oxford Hip Score</v>
      </c>
      <c r="C3649" t="s">
        <v>974</v>
      </c>
      <c r="D3649" t="s">
        <v>1021</v>
      </c>
      <c r="E3649" t="s">
        <v>907</v>
      </c>
      <c r="F3649" t="s">
        <v>908</v>
      </c>
      <c r="G3649" t="s">
        <v>964</v>
      </c>
      <c r="H3649">
        <v>53</v>
      </c>
      <c r="I3649">
        <v>15.2264</v>
      </c>
      <c r="J3649">
        <v>37.811300000000003</v>
      </c>
      <c r="K3649">
        <v>22.584900000000001</v>
      </c>
      <c r="L3649">
        <v>50</v>
      </c>
      <c r="M3649">
        <v>0</v>
      </c>
      <c r="N3649">
        <v>3</v>
      </c>
      <c r="O3649">
        <v>39.148400000000002</v>
      </c>
      <c r="P3649">
        <v>21.936900000000001</v>
      </c>
      <c r="Q3649">
        <v>7.7507299999999999</v>
      </c>
    </row>
    <row r="3650" spans="1:17" x14ac:dyDescent="0.25">
      <c r="A3650" t="str">
        <f>IF(C3650&amp;G3650&amp;D3650&lt;&gt;'Funnel setup'!$K$3&amp;'Funnel setup'!$K$4&amp;'Funnel setup'!$K$6,".",IF(A3649=".",1,A3649+1))</f>
        <v>.</v>
      </c>
      <c r="B3650" s="244" t="str">
        <f t="shared" ref="B3650:B3713" si="57">C3650&amp;D3650&amp;F3650&amp;G3650</f>
        <v>Total Hip ReplacementSub-ICB of GP PracticeNHS NOTTINGHAM AND NOTTINGHAMSHIRE ICB - 52R (52R)Oxford Hip Score</v>
      </c>
      <c r="C3650" t="s">
        <v>974</v>
      </c>
      <c r="D3650" t="s">
        <v>1021</v>
      </c>
      <c r="E3650" t="s">
        <v>909</v>
      </c>
      <c r="F3650" t="s">
        <v>910</v>
      </c>
      <c r="G3650" t="s">
        <v>964</v>
      </c>
      <c r="H3650">
        <v>149</v>
      </c>
      <c r="I3650">
        <v>15.2819</v>
      </c>
      <c r="J3650">
        <v>39.228200000000001</v>
      </c>
      <c r="K3650">
        <v>23.946300000000001</v>
      </c>
      <c r="L3650">
        <v>147</v>
      </c>
      <c r="M3650">
        <v>0</v>
      </c>
      <c r="N3650">
        <v>2</v>
      </c>
      <c r="O3650">
        <v>39.865900000000003</v>
      </c>
      <c r="P3650">
        <v>22.654499999999999</v>
      </c>
      <c r="Q3650">
        <v>7.8098400000000003</v>
      </c>
    </row>
    <row r="3651" spans="1:17" x14ac:dyDescent="0.25">
      <c r="A3651" t="str">
        <f>IF(C3651&amp;G3651&amp;D3651&lt;&gt;'Funnel setup'!$K$3&amp;'Funnel setup'!$K$4&amp;'Funnel setup'!$K$6,".",IF(A3650=".",1,A3650+1))</f>
        <v>.</v>
      </c>
      <c r="B3651" s="244" t="str">
        <f t="shared" si="57"/>
        <v>Total Hip ReplacementSub-ICB of GP PracticeNHS SHROPSHIRE, TELFORD AND WREKIN ICB - M2L0M (M2L0M)Oxford Hip Score</v>
      </c>
      <c r="C3651" t="s">
        <v>974</v>
      </c>
      <c r="D3651" t="s">
        <v>1021</v>
      </c>
      <c r="E3651" t="s">
        <v>911</v>
      </c>
      <c r="F3651" t="s">
        <v>912</v>
      </c>
      <c r="G3651" t="s">
        <v>964</v>
      </c>
      <c r="H3651">
        <v>277</v>
      </c>
      <c r="I3651">
        <v>13.086600000000001</v>
      </c>
      <c r="J3651">
        <v>40.252699999999997</v>
      </c>
      <c r="K3651">
        <v>27.1661</v>
      </c>
      <c r="L3651">
        <v>276</v>
      </c>
      <c r="M3651">
        <v>0</v>
      </c>
      <c r="N3651">
        <v>1</v>
      </c>
      <c r="O3651">
        <v>41.703800000000001</v>
      </c>
      <c r="P3651">
        <v>24.4923</v>
      </c>
      <c r="Q3651">
        <v>7.8675699999999997</v>
      </c>
    </row>
    <row r="3652" spans="1:17" x14ac:dyDescent="0.25">
      <c r="A3652" t="str">
        <f>IF(C3652&amp;G3652&amp;D3652&lt;&gt;'Funnel setup'!$K$3&amp;'Funnel setup'!$K$4&amp;'Funnel setup'!$K$6,".",IF(A3651=".",1,A3651+1))</f>
        <v>.</v>
      </c>
      <c r="B3652" s="244" t="str">
        <f t="shared" si="57"/>
        <v>Total Hip ReplacementSub-ICB of GP PracticeNHS SOMERSET ICB - 11X (11X)Oxford Hip Score</v>
      </c>
      <c r="C3652" t="s">
        <v>974</v>
      </c>
      <c r="D3652" t="s">
        <v>1021</v>
      </c>
      <c r="E3652" t="s">
        <v>913</v>
      </c>
      <c r="F3652" t="s">
        <v>914</v>
      </c>
      <c r="G3652" t="s">
        <v>964</v>
      </c>
      <c r="H3652">
        <v>259</v>
      </c>
      <c r="I3652">
        <v>18.127400000000002</v>
      </c>
      <c r="J3652">
        <v>41.830100000000002</v>
      </c>
      <c r="K3652">
        <v>23.7027</v>
      </c>
      <c r="L3652">
        <v>256</v>
      </c>
      <c r="M3652">
        <v>0</v>
      </c>
      <c r="N3652">
        <v>3</v>
      </c>
      <c r="O3652">
        <v>40.2057</v>
      </c>
      <c r="P3652">
        <v>22.994299999999999</v>
      </c>
      <c r="Q3652">
        <v>7.2792599999999998</v>
      </c>
    </row>
    <row r="3653" spans="1:17" x14ac:dyDescent="0.25">
      <c r="A3653" t="str">
        <f>IF(C3653&amp;G3653&amp;D3653&lt;&gt;'Funnel setup'!$K$3&amp;'Funnel setup'!$K$4&amp;'Funnel setup'!$K$6,".",IF(A3652=".",1,A3652+1))</f>
        <v>.</v>
      </c>
      <c r="B3653" s="244" t="str">
        <f t="shared" si="57"/>
        <v>Total Hip ReplacementSub-ICB of GP PracticeNHS SOUTH EAST LONDON ICB - 72Q (72Q)Oxford Hip Score</v>
      </c>
      <c r="C3653" t="s">
        <v>974</v>
      </c>
      <c r="D3653" t="s">
        <v>1021</v>
      </c>
      <c r="E3653" t="s">
        <v>915</v>
      </c>
      <c r="F3653" t="s">
        <v>916</v>
      </c>
      <c r="G3653" t="s">
        <v>964</v>
      </c>
      <c r="H3653">
        <v>146</v>
      </c>
      <c r="I3653">
        <v>18.4315</v>
      </c>
      <c r="J3653">
        <v>39.184899999999999</v>
      </c>
      <c r="K3653">
        <v>20.753399999999999</v>
      </c>
      <c r="L3653">
        <v>141</v>
      </c>
      <c r="M3653">
        <v>1</v>
      </c>
      <c r="N3653">
        <v>4</v>
      </c>
      <c r="O3653">
        <v>38.283900000000003</v>
      </c>
      <c r="P3653">
        <v>21.072500000000002</v>
      </c>
      <c r="Q3653">
        <v>8.8574900000000003</v>
      </c>
    </row>
    <row r="3654" spans="1:17" x14ac:dyDescent="0.25">
      <c r="A3654" t="str">
        <f>IF(C3654&amp;G3654&amp;D3654&lt;&gt;'Funnel setup'!$K$3&amp;'Funnel setup'!$K$4&amp;'Funnel setup'!$K$6,".",IF(A3653=".",1,A3653+1))</f>
        <v>.</v>
      </c>
      <c r="B3654" s="244" t="str">
        <f t="shared" si="57"/>
        <v>Total Hip ReplacementSub-ICB of GP PracticeNHS SOUTH WEST LONDON ICB - 36L (36L)Oxford Hip Score</v>
      </c>
      <c r="C3654" t="s">
        <v>974</v>
      </c>
      <c r="D3654" t="s">
        <v>1021</v>
      </c>
      <c r="E3654" t="s">
        <v>917</v>
      </c>
      <c r="F3654" t="s">
        <v>918</v>
      </c>
      <c r="G3654" t="s">
        <v>964</v>
      </c>
      <c r="H3654">
        <v>403</v>
      </c>
      <c r="I3654">
        <v>18.630299999999998</v>
      </c>
      <c r="J3654">
        <v>39.667499999999997</v>
      </c>
      <c r="K3654">
        <v>21.037199999999999</v>
      </c>
      <c r="L3654">
        <v>394</v>
      </c>
      <c r="M3654">
        <v>1</v>
      </c>
      <c r="N3654">
        <v>8</v>
      </c>
      <c r="O3654">
        <v>39.460299999999997</v>
      </c>
      <c r="P3654">
        <v>22.248799999999999</v>
      </c>
      <c r="Q3654">
        <v>8.0034100000000006</v>
      </c>
    </row>
    <row r="3655" spans="1:17" x14ac:dyDescent="0.25">
      <c r="A3655" t="str">
        <f>IF(C3655&amp;G3655&amp;D3655&lt;&gt;'Funnel setup'!$K$3&amp;'Funnel setup'!$K$4&amp;'Funnel setup'!$K$6,".",IF(A3654=".",1,A3654+1))</f>
        <v>.</v>
      </c>
      <c r="B3655" s="244" t="str">
        <f t="shared" si="57"/>
        <v>Total Hip ReplacementSub-ICB of GP PracticeNHS SOUTH YORKSHIRE ICB - 02P (02P)Oxford Hip Score</v>
      </c>
      <c r="C3655" t="s">
        <v>974</v>
      </c>
      <c r="D3655" t="s">
        <v>1021</v>
      </c>
      <c r="E3655" t="s">
        <v>919</v>
      </c>
      <c r="F3655" t="s">
        <v>920</v>
      </c>
      <c r="G3655" t="s">
        <v>964</v>
      </c>
      <c r="H3655">
        <v>46</v>
      </c>
      <c r="I3655">
        <v>13.434799999999999</v>
      </c>
      <c r="J3655">
        <v>36.434800000000003</v>
      </c>
      <c r="K3655">
        <v>23</v>
      </c>
      <c r="L3655">
        <v>44</v>
      </c>
      <c r="M3655">
        <v>0</v>
      </c>
      <c r="N3655">
        <v>2</v>
      </c>
      <c r="O3655">
        <v>39.450899999999997</v>
      </c>
      <c r="P3655">
        <v>22.2395</v>
      </c>
      <c r="Q3655">
        <v>9.0214200000000009</v>
      </c>
    </row>
    <row r="3656" spans="1:17" x14ac:dyDescent="0.25">
      <c r="A3656" t="str">
        <f>IF(C3656&amp;G3656&amp;D3656&lt;&gt;'Funnel setup'!$K$3&amp;'Funnel setup'!$K$4&amp;'Funnel setup'!$K$6,".",IF(A3655=".",1,A3655+1))</f>
        <v>.</v>
      </c>
      <c r="B3656" s="244" t="str">
        <f t="shared" si="57"/>
        <v>Total Hip ReplacementSub-ICB of GP PracticeNHS SOUTH YORKSHIRE ICB - 02X (02X)Oxford Hip Score</v>
      </c>
      <c r="C3656" t="s">
        <v>974</v>
      </c>
      <c r="D3656" t="s">
        <v>1021</v>
      </c>
      <c r="E3656" t="s">
        <v>921</v>
      </c>
      <c r="F3656" t="s">
        <v>922</v>
      </c>
      <c r="G3656" t="s">
        <v>964</v>
      </c>
      <c r="H3656">
        <v>91</v>
      </c>
      <c r="I3656">
        <v>15.3626</v>
      </c>
      <c r="J3656">
        <v>36.988999999999997</v>
      </c>
      <c r="K3656">
        <v>21.6264</v>
      </c>
      <c r="L3656">
        <v>83</v>
      </c>
      <c r="M3656">
        <v>0</v>
      </c>
      <c r="N3656">
        <v>8</v>
      </c>
      <c r="O3656">
        <v>37.543300000000002</v>
      </c>
      <c r="P3656">
        <v>20.331900000000001</v>
      </c>
      <c r="Q3656">
        <v>10.8742</v>
      </c>
    </row>
    <row r="3657" spans="1:17" x14ac:dyDescent="0.25">
      <c r="A3657" t="str">
        <f>IF(C3657&amp;G3657&amp;D3657&lt;&gt;'Funnel setup'!$K$3&amp;'Funnel setup'!$K$4&amp;'Funnel setup'!$K$6,".",IF(A3656=".",1,A3656+1))</f>
        <v>.</v>
      </c>
      <c r="B3657" s="244" t="str">
        <f t="shared" si="57"/>
        <v>Total Hip ReplacementSub-ICB of GP PracticeNHS SOUTH YORKSHIRE ICB - 03L (03L)Oxford Hip Score</v>
      </c>
      <c r="C3657" t="s">
        <v>974</v>
      </c>
      <c r="D3657" t="s">
        <v>1021</v>
      </c>
      <c r="E3657" t="s">
        <v>923</v>
      </c>
      <c r="F3657" t="s">
        <v>924</v>
      </c>
      <c r="G3657" t="s">
        <v>964</v>
      </c>
      <c r="H3657">
        <v>40</v>
      </c>
      <c r="I3657">
        <v>16.3</v>
      </c>
      <c r="J3657">
        <v>37.950000000000003</v>
      </c>
      <c r="K3657">
        <v>21.65</v>
      </c>
      <c r="L3657">
        <v>40</v>
      </c>
      <c r="M3657">
        <v>0</v>
      </c>
      <c r="N3657">
        <v>0</v>
      </c>
      <c r="O3657">
        <v>38.831499999999998</v>
      </c>
      <c r="P3657">
        <v>21.620100000000001</v>
      </c>
      <c r="Q3657">
        <v>9.8761100000000006</v>
      </c>
    </row>
    <row r="3658" spans="1:17" x14ac:dyDescent="0.25">
      <c r="A3658" t="str">
        <f>IF(C3658&amp;G3658&amp;D3658&lt;&gt;'Funnel setup'!$K$3&amp;'Funnel setup'!$K$4&amp;'Funnel setup'!$K$6,".",IF(A3657=".",1,A3657+1))</f>
        <v>.</v>
      </c>
      <c r="B3658" s="244" t="str">
        <f t="shared" si="57"/>
        <v>Total Hip ReplacementSub-ICB of GP PracticeNHS SOUTH YORKSHIRE ICB - 03N (03N)Oxford Hip Score</v>
      </c>
      <c r="C3658" t="s">
        <v>974</v>
      </c>
      <c r="D3658" t="s">
        <v>1021</v>
      </c>
      <c r="E3658" t="s">
        <v>925</v>
      </c>
      <c r="F3658" t="s">
        <v>926</v>
      </c>
      <c r="G3658" t="s">
        <v>964</v>
      </c>
      <c r="H3658">
        <v>35</v>
      </c>
      <c r="I3658">
        <v>18.457100000000001</v>
      </c>
      <c r="J3658">
        <v>41.1143</v>
      </c>
      <c r="K3658">
        <v>22.6571</v>
      </c>
      <c r="L3658">
        <v>34</v>
      </c>
      <c r="M3658">
        <v>0</v>
      </c>
      <c r="N3658">
        <v>1</v>
      </c>
      <c r="O3658">
        <v>40.1556</v>
      </c>
      <c r="P3658">
        <v>22.944199999999999</v>
      </c>
      <c r="Q3658">
        <v>8.1837999999999997</v>
      </c>
    </row>
    <row r="3659" spans="1:17" x14ac:dyDescent="0.25">
      <c r="A3659" t="str">
        <f>IF(C3659&amp;G3659&amp;D3659&lt;&gt;'Funnel setup'!$K$3&amp;'Funnel setup'!$K$4&amp;'Funnel setup'!$K$6,".",IF(A3658=".",1,A3658+1))</f>
        <v>.</v>
      </c>
      <c r="B3659" s="244" t="str">
        <f t="shared" si="57"/>
        <v>Total Hip ReplacementSub-ICB of GP PracticeNHS STAFFORDSHIRE AND STOKE-ON-TRENT ICB - 04Y (04Y)Oxford Hip Score</v>
      </c>
      <c r="C3659" t="s">
        <v>974</v>
      </c>
      <c r="D3659" t="s">
        <v>1021</v>
      </c>
      <c r="E3659" t="s">
        <v>927</v>
      </c>
      <c r="F3659" t="s">
        <v>928</v>
      </c>
      <c r="G3659" t="s">
        <v>964</v>
      </c>
      <c r="H3659">
        <v>34</v>
      </c>
      <c r="I3659">
        <v>18.235299999999999</v>
      </c>
      <c r="J3659">
        <v>41.617600000000003</v>
      </c>
      <c r="K3659">
        <v>23.382400000000001</v>
      </c>
      <c r="L3659">
        <v>34</v>
      </c>
      <c r="M3659">
        <v>0</v>
      </c>
      <c r="N3659">
        <v>0</v>
      </c>
      <c r="O3659">
        <v>41.0107</v>
      </c>
      <c r="P3659">
        <v>23.799299999999999</v>
      </c>
      <c r="Q3659">
        <v>6.3585900000000004</v>
      </c>
    </row>
    <row r="3660" spans="1:17" x14ac:dyDescent="0.25">
      <c r="A3660" t="str">
        <f>IF(C3660&amp;G3660&amp;D3660&lt;&gt;'Funnel setup'!$K$3&amp;'Funnel setup'!$K$4&amp;'Funnel setup'!$K$6,".",IF(A3659=".",1,A3659+1))</f>
        <v>.</v>
      </c>
      <c r="B3660" s="244" t="str">
        <f t="shared" si="57"/>
        <v>Total Hip ReplacementSub-ICB of GP PracticeNHS STAFFORDSHIRE AND STOKE-ON-TRENT ICB - 05D (05D)Oxford Hip Score</v>
      </c>
      <c r="C3660" t="s">
        <v>974</v>
      </c>
      <c r="D3660" t="s">
        <v>1021</v>
      </c>
      <c r="E3660" t="s">
        <v>929</v>
      </c>
      <c r="F3660" t="s">
        <v>930</v>
      </c>
      <c r="G3660" t="s">
        <v>964</v>
      </c>
      <c r="H3660">
        <v>54</v>
      </c>
      <c r="I3660">
        <v>18.2364</v>
      </c>
      <c r="J3660">
        <v>39.436399999999999</v>
      </c>
      <c r="K3660">
        <v>21.2</v>
      </c>
      <c r="L3660">
        <v>53</v>
      </c>
      <c r="M3660">
        <v>0</v>
      </c>
      <c r="N3660">
        <v>1</v>
      </c>
      <c r="O3660">
        <v>39.874000000000002</v>
      </c>
      <c r="P3660">
        <v>22.662500000000001</v>
      </c>
      <c r="Q3660">
        <v>7.4219900000000001</v>
      </c>
    </row>
    <row r="3661" spans="1:17" x14ac:dyDescent="0.25">
      <c r="A3661" t="str">
        <f>IF(C3661&amp;G3661&amp;D3661&lt;&gt;'Funnel setup'!$K$3&amp;'Funnel setup'!$K$4&amp;'Funnel setup'!$K$6,".",IF(A3660=".",1,A3660+1))</f>
        <v>.</v>
      </c>
      <c r="B3661" s="244" t="str">
        <f t="shared" si="57"/>
        <v>Total Hip ReplacementSub-ICB of GP PracticeNHS STAFFORDSHIRE AND STOKE-ON-TRENT ICB - 05G (05G)Oxford Hip Score</v>
      </c>
      <c r="C3661" t="s">
        <v>974</v>
      </c>
      <c r="D3661" t="s">
        <v>1021</v>
      </c>
      <c r="E3661" t="s">
        <v>931</v>
      </c>
      <c r="F3661" t="s">
        <v>932</v>
      </c>
      <c r="G3661" t="s">
        <v>964</v>
      </c>
      <c r="H3661">
        <v>45</v>
      </c>
      <c r="I3661">
        <v>15.5778</v>
      </c>
      <c r="J3661">
        <v>37.933300000000003</v>
      </c>
      <c r="K3661">
        <v>22.355599999999999</v>
      </c>
      <c r="L3661">
        <v>43</v>
      </c>
      <c r="M3661">
        <v>0</v>
      </c>
      <c r="N3661">
        <v>2</v>
      </c>
      <c r="O3661">
        <v>37.584299999999999</v>
      </c>
      <c r="P3661">
        <v>20.372800000000002</v>
      </c>
      <c r="Q3661">
        <v>9.8380100000000006</v>
      </c>
    </row>
    <row r="3662" spans="1:17" x14ac:dyDescent="0.25">
      <c r="A3662" t="str">
        <f>IF(C3662&amp;G3662&amp;D3662&lt;&gt;'Funnel setup'!$K$3&amp;'Funnel setup'!$K$4&amp;'Funnel setup'!$K$6,".",IF(A3661=".",1,A3661+1))</f>
        <v>.</v>
      </c>
      <c r="B3662" s="244" t="str">
        <f t="shared" si="57"/>
        <v>Total Hip ReplacementSub-ICB of GP PracticeNHS STAFFORDSHIRE AND STOKE-ON-TRENT ICB - 05Q (05Q)Oxford Hip Score</v>
      </c>
      <c r="C3662" t="s">
        <v>974</v>
      </c>
      <c r="D3662" t="s">
        <v>1021</v>
      </c>
      <c r="E3662" t="s">
        <v>933</v>
      </c>
      <c r="F3662" t="s">
        <v>934</v>
      </c>
      <c r="G3662" t="s">
        <v>964</v>
      </c>
      <c r="H3662">
        <v>75</v>
      </c>
      <c r="I3662">
        <v>19.013300000000001</v>
      </c>
      <c r="J3662">
        <v>38.200000000000003</v>
      </c>
      <c r="K3662">
        <v>19.186699999999998</v>
      </c>
      <c r="L3662">
        <v>69</v>
      </c>
      <c r="M3662">
        <v>1</v>
      </c>
      <c r="N3662">
        <v>5</v>
      </c>
      <c r="O3662">
        <v>37.805799999999998</v>
      </c>
      <c r="P3662">
        <v>20.5944</v>
      </c>
      <c r="Q3662">
        <v>8.9917800000000003</v>
      </c>
    </row>
    <row r="3663" spans="1:17" x14ac:dyDescent="0.25">
      <c r="A3663" t="str">
        <f>IF(C3663&amp;G3663&amp;D3663&lt;&gt;'Funnel setup'!$K$3&amp;'Funnel setup'!$K$4&amp;'Funnel setup'!$K$6,".",IF(A3662=".",1,A3662+1))</f>
        <v>.</v>
      </c>
      <c r="B3663" s="244" t="str">
        <f t="shared" si="57"/>
        <v>Total Hip ReplacementSub-ICB of GP PracticeNHS STAFFORDSHIRE AND STOKE-ON-TRENT ICB - 05V (05V)Oxford Hip Score</v>
      </c>
      <c r="C3663" t="s">
        <v>974</v>
      </c>
      <c r="D3663" t="s">
        <v>1021</v>
      </c>
      <c r="E3663" t="s">
        <v>935</v>
      </c>
      <c r="F3663" t="s">
        <v>936</v>
      </c>
      <c r="G3663" t="s">
        <v>964</v>
      </c>
      <c r="H3663">
        <v>62</v>
      </c>
      <c r="I3663">
        <v>19.596800000000002</v>
      </c>
      <c r="J3663">
        <v>42.709699999999998</v>
      </c>
      <c r="K3663">
        <v>23.1129</v>
      </c>
      <c r="L3663">
        <v>62</v>
      </c>
      <c r="M3663">
        <v>0</v>
      </c>
      <c r="N3663">
        <v>0</v>
      </c>
      <c r="O3663">
        <v>40.904400000000003</v>
      </c>
      <c r="P3663">
        <v>23.693000000000001</v>
      </c>
      <c r="Q3663">
        <v>6.0838400000000004</v>
      </c>
    </row>
    <row r="3664" spans="1:17" x14ac:dyDescent="0.25">
      <c r="A3664" t="str">
        <f>IF(C3664&amp;G3664&amp;D3664&lt;&gt;'Funnel setup'!$K$3&amp;'Funnel setup'!$K$4&amp;'Funnel setup'!$K$6,".",IF(A3663=".",1,A3663+1))</f>
        <v>.</v>
      </c>
      <c r="B3664" s="244" t="str">
        <f t="shared" si="57"/>
        <v>Total Hip ReplacementSub-ICB of GP PracticeNHS STAFFORDSHIRE AND STOKE-ON-TRENT ICB - 05W (05W)Oxford Hip Score</v>
      </c>
      <c r="C3664" t="s">
        <v>974</v>
      </c>
      <c r="D3664" t="s">
        <v>1021</v>
      </c>
      <c r="E3664" t="s">
        <v>937</v>
      </c>
      <c r="F3664" t="s">
        <v>938</v>
      </c>
      <c r="G3664" t="s">
        <v>964</v>
      </c>
      <c r="H3664">
        <v>36</v>
      </c>
      <c r="I3664">
        <v>15.222200000000001</v>
      </c>
      <c r="J3664">
        <v>40.277799999999999</v>
      </c>
      <c r="K3664">
        <v>25.055599999999998</v>
      </c>
      <c r="L3664">
        <v>36</v>
      </c>
      <c r="M3664">
        <v>0</v>
      </c>
      <c r="N3664">
        <v>0</v>
      </c>
      <c r="O3664">
        <v>40.869799999999998</v>
      </c>
      <c r="P3664">
        <v>23.6584</v>
      </c>
      <c r="Q3664">
        <v>6.383</v>
      </c>
    </row>
    <row r="3665" spans="1:17" x14ac:dyDescent="0.25">
      <c r="A3665" t="str">
        <f>IF(C3665&amp;G3665&amp;D3665&lt;&gt;'Funnel setup'!$K$3&amp;'Funnel setup'!$K$4&amp;'Funnel setup'!$K$6,".",IF(A3664=".",1,A3664+1))</f>
        <v>.</v>
      </c>
      <c r="B3665" s="244" t="str">
        <f t="shared" si="57"/>
        <v>Total Hip ReplacementSub-ICB of GP PracticeNHS SUFFOLK AND NORTH EAST ESSEX ICB - 06L (06L)Oxford Hip Score</v>
      </c>
      <c r="C3665" t="s">
        <v>974</v>
      </c>
      <c r="D3665" t="s">
        <v>1021</v>
      </c>
      <c r="E3665" t="s">
        <v>939</v>
      </c>
      <c r="F3665" t="s">
        <v>940</v>
      </c>
      <c r="G3665" t="s">
        <v>964</v>
      </c>
      <c r="H3665">
        <v>152</v>
      </c>
      <c r="I3665">
        <v>14.703900000000001</v>
      </c>
      <c r="J3665">
        <v>39.3947</v>
      </c>
      <c r="K3665">
        <v>24.690799999999999</v>
      </c>
      <c r="L3665">
        <v>151</v>
      </c>
      <c r="M3665">
        <v>0</v>
      </c>
      <c r="N3665">
        <v>1</v>
      </c>
      <c r="O3665">
        <v>40.630699999999997</v>
      </c>
      <c r="P3665">
        <v>23.4193</v>
      </c>
      <c r="Q3665">
        <v>7.8176399999999999</v>
      </c>
    </row>
    <row r="3666" spans="1:17" x14ac:dyDescent="0.25">
      <c r="A3666" t="str">
        <f>IF(C3666&amp;G3666&amp;D3666&lt;&gt;'Funnel setup'!$K$3&amp;'Funnel setup'!$K$4&amp;'Funnel setup'!$K$6,".",IF(A3665=".",1,A3665+1))</f>
        <v>.</v>
      </c>
      <c r="B3666" s="244" t="str">
        <f t="shared" si="57"/>
        <v>Total Hip ReplacementSub-ICB of GP PracticeNHS SUFFOLK AND NORTH EAST ESSEX ICB - 06T (06T)Oxford Hip Score</v>
      </c>
      <c r="C3666" t="s">
        <v>974</v>
      </c>
      <c r="D3666" t="s">
        <v>1021</v>
      </c>
      <c r="E3666" t="s">
        <v>941</v>
      </c>
      <c r="F3666" t="s">
        <v>942</v>
      </c>
      <c r="G3666" t="s">
        <v>964</v>
      </c>
      <c r="H3666">
        <v>36</v>
      </c>
      <c r="I3666">
        <v>17.416699999999999</v>
      </c>
      <c r="J3666">
        <v>39.333300000000001</v>
      </c>
      <c r="K3666">
        <v>21.916699999999999</v>
      </c>
      <c r="L3666">
        <v>35</v>
      </c>
      <c r="M3666">
        <v>0</v>
      </c>
      <c r="N3666">
        <v>1</v>
      </c>
      <c r="O3666">
        <v>39.387099999999997</v>
      </c>
      <c r="P3666">
        <v>22.175599999999999</v>
      </c>
      <c r="Q3666">
        <v>6.9161400000000004</v>
      </c>
    </row>
    <row r="3667" spans="1:17" x14ac:dyDescent="0.25">
      <c r="A3667" t="str">
        <f>IF(C3667&amp;G3667&amp;D3667&lt;&gt;'Funnel setup'!$K$3&amp;'Funnel setup'!$K$4&amp;'Funnel setup'!$K$6,".",IF(A3666=".",1,A3666+1))</f>
        <v>.</v>
      </c>
      <c r="B3667" s="244" t="str">
        <f t="shared" si="57"/>
        <v>Total Hip ReplacementSub-ICB of GP PracticeNHS SUFFOLK AND NORTH EAST ESSEX ICB - 07K (07K)Oxford Hip Score</v>
      </c>
      <c r="C3667" t="s">
        <v>974</v>
      </c>
      <c r="D3667" t="s">
        <v>1021</v>
      </c>
      <c r="E3667" t="s">
        <v>943</v>
      </c>
      <c r="F3667" t="s">
        <v>944</v>
      </c>
      <c r="G3667" t="s">
        <v>964</v>
      </c>
      <c r="H3667">
        <v>134</v>
      </c>
      <c r="I3667">
        <v>14.7463</v>
      </c>
      <c r="J3667">
        <v>37.7761</v>
      </c>
      <c r="K3667">
        <v>23.029900000000001</v>
      </c>
      <c r="L3667">
        <v>129</v>
      </c>
      <c r="M3667">
        <v>1</v>
      </c>
      <c r="N3667">
        <v>4</v>
      </c>
      <c r="O3667">
        <v>38.7316</v>
      </c>
      <c r="P3667">
        <v>21.520199999999999</v>
      </c>
      <c r="Q3667">
        <v>9.2869899999999994</v>
      </c>
    </row>
    <row r="3668" spans="1:17" x14ac:dyDescent="0.25">
      <c r="A3668" t="str">
        <f>IF(C3668&amp;G3668&amp;D3668&lt;&gt;'Funnel setup'!$K$3&amp;'Funnel setup'!$K$4&amp;'Funnel setup'!$K$6,".",IF(A3667=".",1,A3667+1))</f>
        <v>.</v>
      </c>
      <c r="B3668" s="244" t="str">
        <f t="shared" si="57"/>
        <v>Total Hip ReplacementSub-ICB of GP PracticeNHS SURREY HEARTLANDS ICB - 92A (92A)Oxford Hip Score</v>
      </c>
      <c r="C3668" t="s">
        <v>974</v>
      </c>
      <c r="D3668" t="s">
        <v>1021</v>
      </c>
      <c r="E3668" t="s">
        <v>945</v>
      </c>
      <c r="F3668" t="s">
        <v>946</v>
      </c>
      <c r="G3668" t="s">
        <v>964</v>
      </c>
      <c r="H3668">
        <v>416</v>
      </c>
      <c r="I3668">
        <v>20.192299999999999</v>
      </c>
      <c r="J3668">
        <v>41.846200000000003</v>
      </c>
      <c r="K3668">
        <v>21.6538</v>
      </c>
      <c r="L3668">
        <v>402</v>
      </c>
      <c r="M3668">
        <v>4</v>
      </c>
      <c r="N3668">
        <v>10</v>
      </c>
      <c r="O3668">
        <v>40.298900000000003</v>
      </c>
      <c r="P3668">
        <v>23.087399999999999</v>
      </c>
      <c r="Q3668">
        <v>6.7982899999999997</v>
      </c>
    </row>
    <row r="3669" spans="1:17" x14ac:dyDescent="0.25">
      <c r="A3669" t="str">
        <f>IF(C3669&amp;G3669&amp;D3669&lt;&gt;'Funnel setup'!$K$3&amp;'Funnel setup'!$K$4&amp;'Funnel setup'!$K$6,".",IF(A3668=".",1,A3668+1))</f>
        <v>.</v>
      </c>
      <c r="B3669" s="244" t="str">
        <f t="shared" si="57"/>
        <v>Total Hip ReplacementSub-ICB of GP PracticeNHS SUSSEX ICB - 09D (09D)Oxford Hip Score</v>
      </c>
      <c r="C3669" t="s">
        <v>974</v>
      </c>
      <c r="D3669" t="s">
        <v>1021</v>
      </c>
      <c r="E3669" t="s">
        <v>947</v>
      </c>
      <c r="F3669" t="s">
        <v>948</v>
      </c>
      <c r="G3669" t="s">
        <v>964</v>
      </c>
      <c r="H3669">
        <v>13</v>
      </c>
      <c r="I3669">
        <v>21.076899999999998</v>
      </c>
      <c r="J3669">
        <v>38</v>
      </c>
      <c r="K3669">
        <v>16.923100000000002</v>
      </c>
      <c r="L3669">
        <v>13</v>
      </c>
      <c r="M3669">
        <v>0</v>
      </c>
      <c r="N3669">
        <v>0</v>
      </c>
      <c r="O3669" t="s">
        <v>127</v>
      </c>
      <c r="P3669" t="s">
        <v>127</v>
      </c>
      <c r="Q3669" t="s">
        <v>127</v>
      </c>
    </row>
    <row r="3670" spans="1:17" x14ac:dyDescent="0.25">
      <c r="A3670" t="str">
        <f>IF(C3670&amp;G3670&amp;D3670&lt;&gt;'Funnel setup'!$K$3&amp;'Funnel setup'!$K$4&amp;'Funnel setup'!$K$6,".",IF(A3669=".",1,A3669+1))</f>
        <v>.</v>
      </c>
      <c r="B3670" s="244" t="str">
        <f t="shared" si="57"/>
        <v>Total Hip ReplacementSub-ICB of GP PracticeNHS SUSSEX ICB - 70F (70F)Oxford Hip Score</v>
      </c>
      <c r="C3670" t="s">
        <v>974</v>
      </c>
      <c r="D3670" t="s">
        <v>1021</v>
      </c>
      <c r="E3670" t="s">
        <v>949</v>
      </c>
      <c r="F3670" t="s">
        <v>950</v>
      </c>
      <c r="G3670" t="s">
        <v>964</v>
      </c>
      <c r="H3670">
        <v>287</v>
      </c>
      <c r="I3670">
        <v>17.059200000000001</v>
      </c>
      <c r="J3670">
        <v>38.066200000000002</v>
      </c>
      <c r="K3670">
        <v>21.007000000000001</v>
      </c>
      <c r="L3670">
        <v>272</v>
      </c>
      <c r="M3670">
        <v>2</v>
      </c>
      <c r="N3670">
        <v>13</v>
      </c>
      <c r="O3670">
        <v>37.994599999999998</v>
      </c>
      <c r="P3670">
        <v>20.783200000000001</v>
      </c>
      <c r="Q3670">
        <v>9.6064100000000003</v>
      </c>
    </row>
    <row r="3671" spans="1:17" x14ac:dyDescent="0.25">
      <c r="A3671" t="str">
        <f>IF(C3671&amp;G3671&amp;D3671&lt;&gt;'Funnel setup'!$K$3&amp;'Funnel setup'!$K$4&amp;'Funnel setup'!$K$6,".",IF(A3670=".",1,A3670+1))</f>
        <v>.</v>
      </c>
      <c r="B3671" s="244" t="str">
        <f t="shared" si="57"/>
        <v>Total Hip ReplacementSub-ICB of GP PracticeNHS SUSSEX ICB - 97R (97R)Oxford Hip Score</v>
      </c>
      <c r="C3671" t="s">
        <v>974</v>
      </c>
      <c r="D3671" t="s">
        <v>1021</v>
      </c>
      <c r="E3671" t="s">
        <v>951</v>
      </c>
      <c r="F3671" t="s">
        <v>952</v>
      </c>
      <c r="G3671" t="s">
        <v>964</v>
      </c>
      <c r="H3671">
        <v>308</v>
      </c>
      <c r="I3671">
        <v>19.483799999999999</v>
      </c>
      <c r="J3671">
        <v>41.558399999999999</v>
      </c>
      <c r="K3671">
        <v>22.0747</v>
      </c>
      <c r="L3671">
        <v>293</v>
      </c>
      <c r="M3671">
        <v>3</v>
      </c>
      <c r="N3671">
        <v>12</v>
      </c>
      <c r="O3671">
        <v>40.636699999999998</v>
      </c>
      <c r="P3671">
        <v>23.4252</v>
      </c>
      <c r="Q3671">
        <v>8.0121699999999993</v>
      </c>
    </row>
    <row r="3672" spans="1:17" x14ac:dyDescent="0.25">
      <c r="A3672" t="str">
        <f>IF(C3672&amp;G3672&amp;D3672&lt;&gt;'Funnel setup'!$K$3&amp;'Funnel setup'!$K$4&amp;'Funnel setup'!$K$6,".",IF(A3671=".",1,A3671+1))</f>
        <v>.</v>
      </c>
      <c r="B3672" s="244" t="str">
        <f t="shared" si="57"/>
        <v>Total Hip ReplacementSub-ICB of GP PracticeNHS WEST YORKSHIRE ICB - 02T (02T)Oxford Hip Score</v>
      </c>
      <c r="C3672" t="s">
        <v>974</v>
      </c>
      <c r="D3672" t="s">
        <v>1021</v>
      </c>
      <c r="E3672" t="s">
        <v>953</v>
      </c>
      <c r="F3672" t="s">
        <v>954</v>
      </c>
      <c r="G3672" t="s">
        <v>964</v>
      </c>
      <c r="H3672">
        <v>64</v>
      </c>
      <c r="I3672">
        <v>18.265599999999999</v>
      </c>
      <c r="J3672">
        <v>40.3125</v>
      </c>
      <c r="K3672">
        <v>22.046900000000001</v>
      </c>
      <c r="L3672">
        <v>63</v>
      </c>
      <c r="M3672">
        <v>1</v>
      </c>
      <c r="N3672">
        <v>0</v>
      </c>
      <c r="O3672">
        <v>40.454000000000001</v>
      </c>
      <c r="P3672">
        <v>23.2425</v>
      </c>
      <c r="Q3672">
        <v>7.73325</v>
      </c>
    </row>
    <row r="3673" spans="1:17" x14ac:dyDescent="0.25">
      <c r="A3673" t="str">
        <f>IF(C3673&amp;G3673&amp;D3673&lt;&gt;'Funnel setup'!$K$3&amp;'Funnel setup'!$K$4&amp;'Funnel setup'!$K$6,".",IF(A3672=".",1,A3672+1))</f>
        <v>.</v>
      </c>
      <c r="B3673" s="244" t="str">
        <f t="shared" si="57"/>
        <v>Total Hip ReplacementSub-ICB of GP PracticeNHS WEST YORKSHIRE ICB - 03R (03R)Oxford Hip Score</v>
      </c>
      <c r="C3673" t="s">
        <v>974</v>
      </c>
      <c r="D3673" t="s">
        <v>1021</v>
      </c>
      <c r="E3673" t="s">
        <v>955</v>
      </c>
      <c r="F3673" t="s">
        <v>956</v>
      </c>
      <c r="G3673" t="s">
        <v>964</v>
      </c>
      <c r="H3673">
        <v>176</v>
      </c>
      <c r="I3673">
        <v>16.420500000000001</v>
      </c>
      <c r="J3673">
        <v>38.9602</v>
      </c>
      <c r="K3673">
        <v>22.5398</v>
      </c>
      <c r="L3673">
        <v>174</v>
      </c>
      <c r="M3673">
        <v>0</v>
      </c>
      <c r="N3673">
        <v>2</v>
      </c>
      <c r="O3673">
        <v>39.610199999999999</v>
      </c>
      <c r="P3673">
        <v>22.398800000000001</v>
      </c>
      <c r="Q3673">
        <v>8.6040299999999998</v>
      </c>
    </row>
    <row r="3674" spans="1:17" x14ac:dyDescent="0.25">
      <c r="A3674" t="str">
        <f>IF(C3674&amp;G3674&amp;D3674&lt;&gt;'Funnel setup'!$K$3&amp;'Funnel setup'!$K$4&amp;'Funnel setup'!$K$6,".",IF(A3673=".",1,A3673+1))</f>
        <v>.</v>
      </c>
      <c r="B3674" s="244" t="str">
        <f t="shared" si="57"/>
        <v>Total Hip ReplacementSub-ICB of GP PracticeNHS WEST YORKSHIRE ICB - 15F (15F)Oxford Hip Score</v>
      </c>
      <c r="C3674" t="s">
        <v>974</v>
      </c>
      <c r="D3674" t="s">
        <v>1021</v>
      </c>
      <c r="E3674" t="s">
        <v>957</v>
      </c>
      <c r="F3674" t="s">
        <v>958</v>
      </c>
      <c r="G3674" t="s">
        <v>964</v>
      </c>
      <c r="H3674">
        <v>251</v>
      </c>
      <c r="I3674">
        <v>18.0837</v>
      </c>
      <c r="J3674">
        <v>39.171300000000002</v>
      </c>
      <c r="K3674">
        <v>21.087599999999998</v>
      </c>
      <c r="L3674">
        <v>236</v>
      </c>
      <c r="M3674">
        <v>1</v>
      </c>
      <c r="N3674">
        <v>14</v>
      </c>
      <c r="O3674">
        <v>39.112400000000001</v>
      </c>
      <c r="P3674">
        <v>21.9009</v>
      </c>
      <c r="Q3674">
        <v>8.4693000000000005</v>
      </c>
    </row>
    <row r="3675" spans="1:17" x14ac:dyDescent="0.25">
      <c r="A3675" t="str">
        <f>IF(C3675&amp;G3675&amp;D3675&lt;&gt;'Funnel setup'!$K$3&amp;'Funnel setup'!$K$4&amp;'Funnel setup'!$K$6,".",IF(A3674=".",1,A3674+1))</f>
        <v>.</v>
      </c>
      <c r="B3675" s="244" t="str">
        <f t="shared" si="57"/>
        <v>Total Hip ReplacementSub-ICB of GP PracticeNHS WEST YORKSHIRE ICB - 36J (36J)Oxford Hip Score</v>
      </c>
      <c r="C3675" t="s">
        <v>974</v>
      </c>
      <c r="D3675" t="s">
        <v>1021</v>
      </c>
      <c r="E3675" t="s">
        <v>959</v>
      </c>
      <c r="F3675" t="s">
        <v>960</v>
      </c>
      <c r="G3675" t="s">
        <v>964</v>
      </c>
      <c r="H3675">
        <v>93</v>
      </c>
      <c r="I3675">
        <v>21.827999999999999</v>
      </c>
      <c r="J3675">
        <v>33.4086</v>
      </c>
      <c r="K3675">
        <v>11.5806</v>
      </c>
      <c r="L3675">
        <v>73</v>
      </c>
      <c r="M3675">
        <v>7</v>
      </c>
      <c r="N3675">
        <v>13</v>
      </c>
      <c r="O3675">
        <v>32.392000000000003</v>
      </c>
      <c r="P3675">
        <v>15.1806</v>
      </c>
      <c r="Q3675">
        <v>10.581799999999999</v>
      </c>
    </row>
    <row r="3676" spans="1:17" x14ac:dyDescent="0.25">
      <c r="A3676" t="str">
        <f>IF(C3676&amp;G3676&amp;D3676&lt;&gt;'Funnel setup'!$K$3&amp;'Funnel setup'!$K$4&amp;'Funnel setup'!$K$6,".",IF(A3675=".",1,A3675+1))</f>
        <v>.</v>
      </c>
      <c r="B3676" s="244" t="str">
        <f t="shared" si="57"/>
        <v>Total Hip ReplacementSub-ICB of GP PracticeNHS WEST YORKSHIRE ICB - X2C4Y (X2C4Y)Oxford Hip Score</v>
      </c>
      <c r="C3676" t="s">
        <v>974</v>
      </c>
      <c r="D3676" t="s">
        <v>1021</v>
      </c>
      <c r="E3676" t="s">
        <v>961</v>
      </c>
      <c r="F3676" t="s">
        <v>962</v>
      </c>
      <c r="G3676" t="s">
        <v>964</v>
      </c>
      <c r="H3676">
        <v>124</v>
      </c>
      <c r="I3676">
        <v>17.5565</v>
      </c>
      <c r="J3676">
        <v>38.4758</v>
      </c>
      <c r="K3676">
        <v>20.9194</v>
      </c>
      <c r="L3676">
        <v>120</v>
      </c>
      <c r="M3676">
        <v>1</v>
      </c>
      <c r="N3676">
        <v>3</v>
      </c>
      <c r="O3676">
        <v>39.421199999999999</v>
      </c>
      <c r="P3676">
        <v>22.209700000000002</v>
      </c>
      <c r="Q3676">
        <v>9.1647499999999997</v>
      </c>
    </row>
    <row r="3677" spans="1:17" x14ac:dyDescent="0.25">
      <c r="A3677" t="str">
        <f>IF(C3677&amp;G3677&amp;D3677&lt;&gt;'Funnel setup'!$K$3&amp;'Funnel setup'!$K$4&amp;'Funnel setup'!$K$6,".",IF(A3676=".",1,A3676+1))</f>
        <v>.</v>
      </c>
      <c r="B3677" s="244" t="str">
        <f t="shared" si="57"/>
        <v>Total Hip ReplacementEnglandEnglandEQ VAS</v>
      </c>
      <c r="C3677" t="s">
        <v>974</v>
      </c>
      <c r="D3677" t="s">
        <v>122</v>
      </c>
      <c r="E3677" t="s">
        <v>122</v>
      </c>
      <c r="F3677" t="s">
        <v>122</v>
      </c>
      <c r="G3677" t="s">
        <v>752</v>
      </c>
      <c r="H3677">
        <v>14133</v>
      </c>
      <c r="I3677">
        <v>60.816099999999999</v>
      </c>
      <c r="J3677">
        <v>75.532700000000006</v>
      </c>
      <c r="K3677">
        <v>14.7166</v>
      </c>
      <c r="L3677">
        <v>9866</v>
      </c>
      <c r="M3677">
        <v>1206</v>
      </c>
      <c r="N3677">
        <v>3061</v>
      </c>
      <c r="O3677">
        <v>75.532700000000006</v>
      </c>
      <c r="P3677">
        <v>14.7166</v>
      </c>
      <c r="Q3677">
        <v>16.761500000000002</v>
      </c>
    </row>
    <row r="3678" spans="1:17" x14ac:dyDescent="0.25">
      <c r="A3678" t="str">
        <f>IF(C3678&amp;G3678&amp;D3678&lt;&gt;'Funnel setup'!$K$3&amp;'Funnel setup'!$K$4&amp;'Funnel setup'!$K$6,".",IF(A3677=".",1,A3677+1))</f>
        <v>.</v>
      </c>
      <c r="B3678" s="244" t="str">
        <f t="shared" si="57"/>
        <v>Total Hip ReplacementEnglandEnglandEQ-5D Index</v>
      </c>
      <c r="C3678" t="s">
        <v>974</v>
      </c>
      <c r="D3678" t="s">
        <v>122</v>
      </c>
      <c r="E3678" t="s">
        <v>122</v>
      </c>
      <c r="F3678" t="s">
        <v>122</v>
      </c>
      <c r="G3678" t="s">
        <v>963</v>
      </c>
      <c r="H3678">
        <v>14627</v>
      </c>
      <c r="I3678">
        <v>0.32755600000000001</v>
      </c>
      <c r="J3678">
        <v>0.78361499999999995</v>
      </c>
      <c r="K3678">
        <v>0.45605899999999999</v>
      </c>
      <c r="L3678">
        <v>13096</v>
      </c>
      <c r="M3678">
        <v>727</v>
      </c>
      <c r="N3678">
        <v>804</v>
      </c>
      <c r="O3678">
        <v>0.78361499999999995</v>
      </c>
      <c r="P3678">
        <v>0.45605899999999999</v>
      </c>
      <c r="Q3678">
        <v>0.23358000000000001</v>
      </c>
    </row>
    <row r="3679" spans="1:17" x14ac:dyDescent="0.25">
      <c r="A3679" t="str">
        <f>IF(C3679&amp;G3679&amp;D3679&lt;&gt;'Funnel setup'!$K$3&amp;'Funnel setup'!$K$4&amp;'Funnel setup'!$K$6,".",IF(A3678=".",1,A3678+1))</f>
        <v>.</v>
      </c>
      <c r="B3679" s="244" t="str">
        <f t="shared" si="57"/>
        <v>Total Hip ReplacementEnglandEnglandOxford Hip Score</v>
      </c>
      <c r="C3679" t="s">
        <v>974</v>
      </c>
      <c r="D3679" t="s">
        <v>122</v>
      </c>
      <c r="E3679" t="s">
        <v>122</v>
      </c>
      <c r="F3679" t="s">
        <v>122</v>
      </c>
      <c r="G3679" t="s">
        <v>964</v>
      </c>
      <c r="H3679">
        <v>15626</v>
      </c>
      <c r="I3679">
        <v>17.211400000000001</v>
      </c>
      <c r="J3679">
        <v>39.726799999999997</v>
      </c>
      <c r="K3679">
        <v>22.5154</v>
      </c>
      <c r="L3679">
        <v>15136</v>
      </c>
      <c r="M3679">
        <v>85</v>
      </c>
      <c r="N3679">
        <v>405</v>
      </c>
      <c r="O3679">
        <v>39.726799999999997</v>
      </c>
      <c r="P3679">
        <v>22.5154</v>
      </c>
      <c r="Q3679">
        <v>8.2790099999999995</v>
      </c>
    </row>
    <row r="3680" spans="1:17" x14ac:dyDescent="0.25">
      <c r="A3680" t="str">
        <f>IF(C3680&amp;G3680&amp;D3680&lt;&gt;'Funnel setup'!$K$3&amp;'Funnel setup'!$K$4&amp;'Funnel setup'!$K$6,".",IF(A3679=".",1,A3679+1))</f>
        <v>.</v>
      </c>
      <c r="B3680" s="244" t="str">
        <f t="shared" si="57"/>
        <v>Total Hip ReplacementProviderSULIS HOSPITAL BATHEQ VAS</v>
      </c>
      <c r="C3680" t="s">
        <v>974</v>
      </c>
      <c r="D3680" t="s">
        <v>965</v>
      </c>
      <c r="E3680" t="s">
        <v>732</v>
      </c>
      <c r="F3680" t="s">
        <v>1325</v>
      </c>
      <c r="G3680" t="s">
        <v>752</v>
      </c>
      <c r="H3680">
        <v>34</v>
      </c>
      <c r="I3680">
        <v>57.2059</v>
      </c>
      <c r="J3680">
        <v>80.411799999999999</v>
      </c>
      <c r="K3680">
        <v>23.2059</v>
      </c>
      <c r="L3680">
        <v>30</v>
      </c>
      <c r="M3680">
        <v>3</v>
      </c>
      <c r="N3680">
        <v>1</v>
      </c>
      <c r="O3680">
        <v>79.834400000000002</v>
      </c>
      <c r="P3680">
        <v>19.0183</v>
      </c>
      <c r="Q3680">
        <v>13.0326</v>
      </c>
    </row>
    <row r="3681" spans="1:17" x14ac:dyDescent="0.25">
      <c r="A3681" t="str">
        <f>IF(C3681&amp;G3681&amp;D3681&lt;&gt;'Funnel setup'!$K$3&amp;'Funnel setup'!$K$4&amp;'Funnel setup'!$K$6,".",IF(A3680=".",1,A3680+1))</f>
        <v>.</v>
      </c>
      <c r="B3681" s="244" t="str">
        <f t="shared" si="57"/>
        <v>Total Hip ReplacementProviderAIREDALE NHS FOUNDATION TRUST (RCF)EQ VAS</v>
      </c>
      <c r="C3681" t="s">
        <v>974</v>
      </c>
      <c r="D3681" t="s">
        <v>965</v>
      </c>
      <c r="E3681" t="s">
        <v>125</v>
      </c>
      <c r="F3681" t="s">
        <v>126</v>
      </c>
      <c r="G3681" t="s">
        <v>752</v>
      </c>
      <c r="H3681">
        <v>33</v>
      </c>
      <c r="I3681">
        <v>63.5152</v>
      </c>
      <c r="J3681">
        <v>77.697000000000003</v>
      </c>
      <c r="K3681">
        <v>14.181800000000001</v>
      </c>
      <c r="L3681">
        <v>20</v>
      </c>
      <c r="M3681">
        <v>4</v>
      </c>
      <c r="N3681">
        <v>9</v>
      </c>
      <c r="O3681">
        <v>77.185299999999998</v>
      </c>
      <c r="P3681">
        <v>16.369199999999999</v>
      </c>
      <c r="Q3681">
        <v>15.9588</v>
      </c>
    </row>
    <row r="3682" spans="1:17" x14ac:dyDescent="0.25">
      <c r="A3682" t="str">
        <f>IF(C3682&amp;G3682&amp;D3682&lt;&gt;'Funnel setup'!$K$3&amp;'Funnel setup'!$K$4&amp;'Funnel setup'!$K$6,".",IF(A3681=".",1,A3681+1))</f>
        <v>.</v>
      </c>
      <c r="B3682" s="244" t="str">
        <f t="shared" si="57"/>
        <v>Total Hip ReplacementProviderALEXANDRA HOSPITAL (NT401)EQ VAS</v>
      </c>
      <c r="C3682" t="s">
        <v>974</v>
      </c>
      <c r="D3682" t="s">
        <v>965</v>
      </c>
      <c r="E3682" t="s">
        <v>130</v>
      </c>
      <c r="F3682" t="s">
        <v>131</v>
      </c>
      <c r="G3682" t="s">
        <v>752</v>
      </c>
      <c r="H3682">
        <v>26</v>
      </c>
      <c r="I3682">
        <v>61.807699999999997</v>
      </c>
      <c r="J3682">
        <v>78.461500000000001</v>
      </c>
      <c r="K3682">
        <v>16.6538</v>
      </c>
      <c r="L3682">
        <v>21</v>
      </c>
      <c r="M3682">
        <v>3</v>
      </c>
      <c r="N3682">
        <v>2</v>
      </c>
      <c r="O3682" t="s">
        <v>127</v>
      </c>
      <c r="P3682" t="s">
        <v>127</v>
      </c>
      <c r="Q3682" t="s">
        <v>127</v>
      </c>
    </row>
    <row r="3683" spans="1:17" x14ac:dyDescent="0.25">
      <c r="A3683" t="str">
        <f>IF(C3683&amp;G3683&amp;D3683&lt;&gt;'Funnel setup'!$K$3&amp;'Funnel setup'!$K$4&amp;'Funnel setup'!$K$6,".",IF(A3682=".",1,A3682+1))</f>
        <v>.</v>
      </c>
      <c r="B3683" s="244" t="str">
        <f t="shared" si="57"/>
        <v>Total Hip ReplacementProviderASHFORD AND ST PETER'S HOSPITALS NHS FOUNDATION TRUST (RTK)EQ VAS</v>
      </c>
      <c r="C3683" t="s">
        <v>974</v>
      </c>
      <c r="D3683" t="s">
        <v>965</v>
      </c>
      <c r="E3683" t="s">
        <v>132</v>
      </c>
      <c r="F3683" t="s">
        <v>133</v>
      </c>
      <c r="G3683" t="s">
        <v>752</v>
      </c>
      <c r="H3683">
        <v>63</v>
      </c>
      <c r="I3683">
        <v>71.317499999999995</v>
      </c>
      <c r="J3683">
        <v>78.444400000000002</v>
      </c>
      <c r="K3683">
        <v>7.1269799999999996</v>
      </c>
      <c r="L3683">
        <v>34</v>
      </c>
      <c r="M3683">
        <v>12</v>
      </c>
      <c r="N3683">
        <v>17</v>
      </c>
      <c r="O3683">
        <v>74.487499999999997</v>
      </c>
      <c r="P3683">
        <v>13.6714</v>
      </c>
      <c r="Q3683">
        <v>14.7262</v>
      </c>
    </row>
    <row r="3684" spans="1:17" x14ac:dyDescent="0.25">
      <c r="A3684" t="str">
        <f>IF(C3684&amp;G3684&amp;D3684&lt;&gt;'Funnel setup'!$K$3&amp;'Funnel setup'!$K$4&amp;'Funnel setup'!$K$6,".",IF(A3683=".",1,A3683+1))</f>
        <v>.</v>
      </c>
      <c r="B3684" s="244" t="str">
        <f t="shared" si="57"/>
        <v>Total Hip ReplacementProviderASHTEAD HOSPITAL (NVC01)EQ VAS</v>
      </c>
      <c r="C3684" t="s">
        <v>974</v>
      </c>
      <c r="D3684" t="s">
        <v>965</v>
      </c>
      <c r="E3684" t="s">
        <v>134</v>
      </c>
      <c r="F3684" t="s">
        <v>135</v>
      </c>
      <c r="G3684" t="s">
        <v>752</v>
      </c>
      <c r="H3684">
        <v>11</v>
      </c>
      <c r="I3684">
        <v>65.181799999999996</v>
      </c>
      <c r="J3684">
        <v>80.090900000000005</v>
      </c>
      <c r="K3684">
        <v>14.9091</v>
      </c>
      <c r="L3684">
        <v>8</v>
      </c>
      <c r="M3684">
        <v>1</v>
      </c>
      <c r="N3684">
        <v>2</v>
      </c>
      <c r="O3684" t="s">
        <v>127</v>
      </c>
      <c r="P3684" t="s">
        <v>127</v>
      </c>
      <c r="Q3684" t="s">
        <v>127</v>
      </c>
    </row>
    <row r="3685" spans="1:17" x14ac:dyDescent="0.25">
      <c r="A3685" t="str">
        <f>IF(C3685&amp;G3685&amp;D3685&lt;&gt;'Funnel setup'!$K$3&amp;'Funnel setup'!$K$4&amp;'Funnel setup'!$K$6,".",IF(A3684=".",1,A3684+1))</f>
        <v>.</v>
      </c>
      <c r="B3685" s="244" t="str">
        <f t="shared" si="57"/>
        <v>Total Hip ReplacementProviderBARKING, HAVERING AND REDBRIDGE UNIVERSITY HOSPITALS NHS TRUST (RF4)EQ VAS</v>
      </c>
      <c r="C3685" t="s">
        <v>974</v>
      </c>
      <c r="D3685" t="s">
        <v>965</v>
      </c>
      <c r="E3685" t="s">
        <v>144</v>
      </c>
      <c r="F3685" t="s">
        <v>145</v>
      </c>
      <c r="G3685" t="s">
        <v>752</v>
      </c>
      <c r="H3685">
        <v>49</v>
      </c>
      <c r="I3685">
        <v>53.816299999999998</v>
      </c>
      <c r="J3685">
        <v>69</v>
      </c>
      <c r="K3685">
        <v>15.1837</v>
      </c>
      <c r="L3685">
        <v>30</v>
      </c>
      <c r="M3685">
        <v>7</v>
      </c>
      <c r="N3685">
        <v>12</v>
      </c>
      <c r="O3685">
        <v>71.546400000000006</v>
      </c>
      <c r="P3685">
        <v>10.7303</v>
      </c>
      <c r="Q3685">
        <v>20.834299999999999</v>
      </c>
    </row>
    <row r="3686" spans="1:17" x14ac:dyDescent="0.25">
      <c r="A3686" t="str">
        <f>IF(C3686&amp;G3686&amp;D3686&lt;&gt;'Funnel setup'!$K$3&amp;'Funnel setup'!$K$4&amp;'Funnel setup'!$K$6,".",IF(A3685=".",1,A3685+1))</f>
        <v>.</v>
      </c>
      <c r="B3686" s="244" t="str">
        <f t="shared" si="57"/>
        <v>Total Hip ReplacementProviderBARNSLEY HOSPITAL NHS FOUNDATION TRUST (RFF)EQ VAS</v>
      </c>
      <c r="C3686" t="s">
        <v>974</v>
      </c>
      <c r="D3686" t="s">
        <v>965</v>
      </c>
      <c r="E3686" t="s">
        <v>146</v>
      </c>
      <c r="F3686" t="s">
        <v>147</v>
      </c>
      <c r="G3686" t="s">
        <v>752</v>
      </c>
      <c r="H3686">
        <v>39</v>
      </c>
      <c r="I3686">
        <v>53.307699999999997</v>
      </c>
      <c r="J3686">
        <v>71.538499999999999</v>
      </c>
      <c r="K3686">
        <v>18.230799999999999</v>
      </c>
      <c r="L3686">
        <v>26</v>
      </c>
      <c r="M3686">
        <v>3</v>
      </c>
      <c r="N3686">
        <v>10</v>
      </c>
      <c r="O3686">
        <v>75.703800000000001</v>
      </c>
      <c r="P3686">
        <v>14.887700000000001</v>
      </c>
      <c r="Q3686">
        <v>15.485200000000001</v>
      </c>
    </row>
    <row r="3687" spans="1:17" x14ac:dyDescent="0.25">
      <c r="A3687" t="str">
        <f>IF(C3687&amp;G3687&amp;D3687&lt;&gt;'Funnel setup'!$K$3&amp;'Funnel setup'!$K$4&amp;'Funnel setup'!$K$6,".",IF(A3686=".",1,A3686+1))</f>
        <v>.</v>
      </c>
      <c r="B3687" s="244" t="str">
        <f t="shared" si="57"/>
        <v>Total Hip ReplacementProviderBARTS HEALTH NHS TRUST (R1H)EQ VAS</v>
      </c>
      <c r="C3687" t="s">
        <v>974</v>
      </c>
      <c r="D3687" t="s">
        <v>965</v>
      </c>
      <c r="E3687" t="s">
        <v>148</v>
      </c>
      <c r="F3687" t="s">
        <v>149</v>
      </c>
      <c r="G3687" t="s">
        <v>752</v>
      </c>
      <c r="H3687">
        <v>41</v>
      </c>
      <c r="I3687">
        <v>56.780500000000004</v>
      </c>
      <c r="J3687">
        <v>76.731700000000004</v>
      </c>
      <c r="K3687">
        <v>19.9512</v>
      </c>
      <c r="L3687">
        <v>31</v>
      </c>
      <c r="M3687">
        <v>4</v>
      </c>
      <c r="N3687">
        <v>6</v>
      </c>
      <c r="O3687">
        <v>78.245599999999996</v>
      </c>
      <c r="P3687">
        <v>17.429500000000001</v>
      </c>
      <c r="Q3687">
        <v>16.610099999999999</v>
      </c>
    </row>
    <row r="3688" spans="1:17" x14ac:dyDescent="0.25">
      <c r="A3688" t="str">
        <f>IF(C3688&amp;G3688&amp;D3688&lt;&gt;'Funnel setup'!$K$3&amp;'Funnel setup'!$K$4&amp;'Funnel setup'!$K$6,".",IF(A3687=".",1,A3687+1))</f>
        <v>.</v>
      </c>
      <c r="B3688" s="244" t="str">
        <f t="shared" si="57"/>
        <v>Total Hip ReplacementProviderBATH CLINIC (NT402)EQ VAS</v>
      </c>
      <c r="C3688" t="s">
        <v>974</v>
      </c>
      <c r="D3688" t="s">
        <v>965</v>
      </c>
      <c r="E3688" t="s">
        <v>152</v>
      </c>
      <c r="F3688" t="s">
        <v>153</v>
      </c>
      <c r="G3688" t="s">
        <v>752</v>
      </c>
      <c r="H3688">
        <v>77</v>
      </c>
      <c r="I3688">
        <v>71.259699999999995</v>
      </c>
      <c r="J3688">
        <v>78.064899999999994</v>
      </c>
      <c r="K3688">
        <v>6.8051899999999996</v>
      </c>
      <c r="L3688">
        <v>46</v>
      </c>
      <c r="M3688">
        <v>5</v>
      </c>
      <c r="N3688">
        <v>26</v>
      </c>
      <c r="O3688">
        <v>71.504599999999996</v>
      </c>
      <c r="P3688">
        <v>10.688499999999999</v>
      </c>
      <c r="Q3688">
        <v>18.701000000000001</v>
      </c>
    </row>
    <row r="3689" spans="1:17" x14ac:dyDescent="0.25">
      <c r="A3689" t="str">
        <f>IF(C3689&amp;G3689&amp;D3689&lt;&gt;'Funnel setup'!$K$3&amp;'Funnel setup'!$K$4&amp;'Funnel setup'!$K$6,".",IF(A3688=".",1,A3688+1))</f>
        <v>.</v>
      </c>
      <c r="B3689" s="244" t="str">
        <f t="shared" si="57"/>
        <v>Total Hip ReplacementProviderBEARDWOOD HOSPITAL (NT403)EQ VAS</v>
      </c>
      <c r="C3689" t="s">
        <v>974</v>
      </c>
      <c r="D3689" t="s">
        <v>965</v>
      </c>
      <c r="E3689" t="s">
        <v>154</v>
      </c>
      <c r="F3689" t="s">
        <v>155</v>
      </c>
      <c r="G3689" t="s">
        <v>752</v>
      </c>
      <c r="H3689">
        <v>73</v>
      </c>
      <c r="I3689">
        <v>61.9863</v>
      </c>
      <c r="J3689">
        <v>79.246600000000001</v>
      </c>
      <c r="K3689">
        <v>17.260300000000001</v>
      </c>
      <c r="L3689">
        <v>50</v>
      </c>
      <c r="M3689">
        <v>6</v>
      </c>
      <c r="N3689">
        <v>17</v>
      </c>
      <c r="O3689">
        <v>75.755399999999995</v>
      </c>
      <c r="P3689">
        <v>14.939299999999999</v>
      </c>
      <c r="Q3689">
        <v>14.4129</v>
      </c>
    </row>
    <row r="3690" spans="1:17" x14ac:dyDescent="0.25">
      <c r="A3690" t="str">
        <f>IF(C3690&amp;G3690&amp;D3690&lt;&gt;'Funnel setup'!$K$3&amp;'Funnel setup'!$K$4&amp;'Funnel setup'!$K$6,".",IF(A3689=".",1,A3689+1))</f>
        <v>.</v>
      </c>
      <c r="B3690" s="244" t="str">
        <f t="shared" si="57"/>
        <v>Total Hip ReplacementProviderBEAUMONT HOSPITAL (NT404)EQ VAS</v>
      </c>
      <c r="C3690" t="s">
        <v>974</v>
      </c>
      <c r="D3690" t="s">
        <v>965</v>
      </c>
      <c r="E3690" t="s">
        <v>156</v>
      </c>
      <c r="F3690" t="s">
        <v>157</v>
      </c>
      <c r="G3690" t="s">
        <v>752</v>
      </c>
      <c r="H3690">
        <v>12</v>
      </c>
      <c r="I3690">
        <v>65.833299999999994</v>
      </c>
      <c r="J3690">
        <v>86.25</v>
      </c>
      <c r="K3690">
        <v>20.416699999999999</v>
      </c>
      <c r="L3690">
        <v>11</v>
      </c>
      <c r="M3690">
        <v>0</v>
      </c>
      <c r="N3690">
        <v>1</v>
      </c>
      <c r="O3690" t="s">
        <v>127</v>
      </c>
      <c r="P3690" t="s">
        <v>127</v>
      </c>
      <c r="Q3690" t="s">
        <v>127</v>
      </c>
    </row>
    <row r="3691" spans="1:17" x14ac:dyDescent="0.25">
      <c r="A3691" t="str">
        <f>IF(C3691&amp;G3691&amp;D3691&lt;&gt;'Funnel setup'!$K$3&amp;'Funnel setup'!$K$4&amp;'Funnel setup'!$K$6,".",IF(A3690=".",1,A3690+1))</f>
        <v>.</v>
      </c>
      <c r="B3691" s="244" t="str">
        <f t="shared" si="57"/>
        <v>Total Hip ReplacementProviderBEDFORDSHIRE HOSPITALS NHS FOUNDATION TRUST (RC9)EQ VAS</v>
      </c>
      <c r="C3691" t="s">
        <v>974</v>
      </c>
      <c r="D3691" t="s">
        <v>965</v>
      </c>
      <c r="E3691" t="s">
        <v>158</v>
      </c>
      <c r="F3691" t="s">
        <v>159</v>
      </c>
      <c r="G3691" t="s">
        <v>752</v>
      </c>
      <c r="H3691">
        <v>112</v>
      </c>
      <c r="I3691">
        <v>57.196399999999997</v>
      </c>
      <c r="J3691">
        <v>70.008899999999997</v>
      </c>
      <c r="K3691">
        <v>12.8125</v>
      </c>
      <c r="L3691">
        <v>74</v>
      </c>
      <c r="M3691">
        <v>11</v>
      </c>
      <c r="N3691">
        <v>27</v>
      </c>
      <c r="O3691">
        <v>73.309399999999997</v>
      </c>
      <c r="P3691">
        <v>12.4933</v>
      </c>
      <c r="Q3691">
        <v>19.5793</v>
      </c>
    </row>
    <row r="3692" spans="1:17" x14ac:dyDescent="0.25">
      <c r="A3692" t="str">
        <f>IF(C3692&amp;G3692&amp;D3692&lt;&gt;'Funnel setup'!$K$3&amp;'Funnel setup'!$K$4&amp;'Funnel setup'!$K$6,".",IF(A3691=".",1,A3691+1))</f>
        <v>.</v>
      </c>
      <c r="B3692" s="244" t="str">
        <f t="shared" si="57"/>
        <v>Total Hip ReplacementProviderBENENDEN HOSPITAL (NWF01)EQ VAS</v>
      </c>
      <c r="C3692" t="s">
        <v>974</v>
      </c>
      <c r="D3692" t="s">
        <v>965</v>
      </c>
      <c r="E3692" t="s">
        <v>160</v>
      </c>
      <c r="F3692" t="s">
        <v>161</v>
      </c>
      <c r="G3692" t="s">
        <v>752</v>
      </c>
      <c r="H3692">
        <v>18</v>
      </c>
      <c r="I3692">
        <v>60.833300000000001</v>
      </c>
      <c r="J3692">
        <v>78.111099999999993</v>
      </c>
      <c r="K3692">
        <v>17.277799999999999</v>
      </c>
      <c r="L3692">
        <v>15</v>
      </c>
      <c r="M3692">
        <v>1</v>
      </c>
      <c r="N3692">
        <v>2</v>
      </c>
      <c r="O3692" t="s">
        <v>127</v>
      </c>
      <c r="P3692" t="s">
        <v>127</v>
      </c>
      <c r="Q3692" t="s">
        <v>127</v>
      </c>
    </row>
    <row r="3693" spans="1:17" x14ac:dyDescent="0.25">
      <c r="A3693" t="str">
        <f>IF(C3693&amp;G3693&amp;D3693&lt;&gt;'Funnel setup'!$K$3&amp;'Funnel setup'!$K$4&amp;'Funnel setup'!$K$6,".",IF(A3692=".",1,A3692+1))</f>
        <v>.</v>
      </c>
      <c r="B3693" s="244" t="str">
        <f t="shared" si="57"/>
        <v>Total Hip ReplacementProviderBISHOPS WOOD HOSPITAL (NT405)EQ VAS</v>
      </c>
      <c r="C3693" t="s">
        <v>974</v>
      </c>
      <c r="D3693" t="s">
        <v>965</v>
      </c>
      <c r="E3693" t="s">
        <v>166</v>
      </c>
      <c r="F3693" t="s">
        <v>167</v>
      </c>
      <c r="G3693" t="s">
        <v>752</v>
      </c>
      <c r="H3693">
        <v>3</v>
      </c>
      <c r="I3693">
        <v>76.666700000000006</v>
      </c>
      <c r="J3693">
        <v>85</v>
      </c>
      <c r="K3693">
        <v>8.3333300000000001</v>
      </c>
      <c r="L3693">
        <v>3</v>
      </c>
      <c r="M3693">
        <v>0</v>
      </c>
      <c r="N3693">
        <v>0</v>
      </c>
      <c r="O3693" t="s">
        <v>127</v>
      </c>
      <c r="P3693" t="s">
        <v>127</v>
      </c>
      <c r="Q3693" t="s">
        <v>127</v>
      </c>
    </row>
    <row r="3694" spans="1:17" x14ac:dyDescent="0.25">
      <c r="A3694" t="str">
        <f>IF(C3694&amp;G3694&amp;D3694&lt;&gt;'Funnel setup'!$K$3&amp;'Funnel setup'!$K$4&amp;'Funnel setup'!$K$6,".",IF(A3693=".",1,A3693+1))</f>
        <v>.</v>
      </c>
      <c r="B3694" s="244" t="str">
        <f t="shared" si="57"/>
        <v>Total Hip ReplacementProviderBLACKHEATH HOSPITAL (NT406)EQ VAS</v>
      </c>
      <c r="C3694" t="s">
        <v>974</v>
      </c>
      <c r="D3694" t="s">
        <v>965</v>
      </c>
      <c r="E3694" t="s">
        <v>168</v>
      </c>
      <c r="F3694" t="s">
        <v>169</v>
      </c>
      <c r="G3694" t="s">
        <v>752</v>
      </c>
      <c r="H3694">
        <v>13</v>
      </c>
      <c r="I3694">
        <v>46.538499999999999</v>
      </c>
      <c r="J3694">
        <v>73.461500000000001</v>
      </c>
      <c r="K3694">
        <v>26.923100000000002</v>
      </c>
      <c r="L3694">
        <v>12</v>
      </c>
      <c r="M3694">
        <v>1</v>
      </c>
      <c r="N3694">
        <v>0</v>
      </c>
      <c r="O3694" t="s">
        <v>127</v>
      </c>
      <c r="P3694" t="s">
        <v>127</v>
      </c>
      <c r="Q3694" t="s">
        <v>127</v>
      </c>
    </row>
    <row r="3695" spans="1:17" x14ac:dyDescent="0.25">
      <c r="A3695" t="str">
        <f>IF(C3695&amp;G3695&amp;D3695&lt;&gt;'Funnel setup'!$K$3&amp;'Funnel setup'!$K$4&amp;'Funnel setup'!$K$6,".",IF(A3694=".",1,A3694+1))</f>
        <v>.</v>
      </c>
      <c r="B3695" s="244" t="str">
        <f t="shared" si="57"/>
        <v>Total Hip ReplacementProviderBLACKPOOL TEACHING HOSPITALS NHS FOUNDATION TRUST (RXL)EQ VAS</v>
      </c>
      <c r="C3695" t="s">
        <v>974</v>
      </c>
      <c r="D3695" t="s">
        <v>965</v>
      </c>
      <c r="E3695" t="s">
        <v>170</v>
      </c>
      <c r="F3695" t="s">
        <v>171</v>
      </c>
      <c r="G3695" t="s">
        <v>752</v>
      </c>
      <c r="H3695">
        <v>49</v>
      </c>
      <c r="I3695">
        <v>61.551000000000002</v>
      </c>
      <c r="J3695">
        <v>72.346900000000005</v>
      </c>
      <c r="K3695">
        <v>10.7959</v>
      </c>
      <c r="L3695">
        <v>35</v>
      </c>
      <c r="M3695">
        <v>2</v>
      </c>
      <c r="N3695">
        <v>12</v>
      </c>
      <c r="O3695">
        <v>74.710099999999997</v>
      </c>
      <c r="P3695">
        <v>13.894</v>
      </c>
      <c r="Q3695">
        <v>16.406199999999998</v>
      </c>
    </row>
    <row r="3696" spans="1:17" x14ac:dyDescent="0.25">
      <c r="A3696" t="str">
        <f>IF(C3696&amp;G3696&amp;D3696&lt;&gt;'Funnel setup'!$K$3&amp;'Funnel setup'!$K$4&amp;'Funnel setup'!$K$6,".",IF(A3695=".",1,A3695+1))</f>
        <v>.</v>
      </c>
      <c r="B3696" s="244" t="str">
        <f t="shared" si="57"/>
        <v>Total Hip ReplacementProviderBOLTON NHS FOUNDATION TRUST (RMC)EQ VAS</v>
      </c>
      <c r="C3696" t="s">
        <v>974</v>
      </c>
      <c r="D3696" t="s">
        <v>965</v>
      </c>
      <c r="E3696" t="s">
        <v>172</v>
      </c>
      <c r="F3696" t="s">
        <v>173</v>
      </c>
      <c r="G3696" t="s">
        <v>752</v>
      </c>
      <c r="H3696">
        <v>42</v>
      </c>
      <c r="I3696">
        <v>64.785700000000006</v>
      </c>
      <c r="J3696">
        <v>71.428600000000003</v>
      </c>
      <c r="K3696">
        <v>6.6428599999999998</v>
      </c>
      <c r="L3696">
        <v>26</v>
      </c>
      <c r="M3696">
        <v>4</v>
      </c>
      <c r="N3696">
        <v>12</v>
      </c>
      <c r="O3696">
        <v>74.517799999999994</v>
      </c>
      <c r="P3696">
        <v>13.701700000000001</v>
      </c>
      <c r="Q3696">
        <v>18.967099999999999</v>
      </c>
    </row>
    <row r="3697" spans="1:17" x14ac:dyDescent="0.25">
      <c r="A3697" t="str">
        <f>IF(C3697&amp;G3697&amp;D3697&lt;&gt;'Funnel setup'!$K$3&amp;'Funnel setup'!$K$4&amp;'Funnel setup'!$K$6,".",IF(A3696=".",1,A3696+1))</f>
        <v>.</v>
      </c>
      <c r="B3697" s="244" t="str">
        <f t="shared" si="57"/>
        <v>Total Hip ReplacementProviderBRADFORD TEACHING HOSPITALS NHS FOUNDATION TRUST (RAE)EQ VAS</v>
      </c>
      <c r="C3697" t="s">
        <v>974</v>
      </c>
      <c r="D3697" t="s">
        <v>965</v>
      </c>
      <c r="E3697" t="s">
        <v>174</v>
      </c>
      <c r="F3697" t="s">
        <v>175</v>
      </c>
      <c r="G3697" t="s">
        <v>752</v>
      </c>
      <c r="H3697">
        <v>4</v>
      </c>
      <c r="I3697">
        <v>42.5</v>
      </c>
      <c r="J3697">
        <v>74.5</v>
      </c>
      <c r="K3697">
        <v>32</v>
      </c>
      <c r="L3697">
        <v>4</v>
      </c>
      <c r="M3697">
        <v>0</v>
      </c>
      <c r="N3697">
        <v>0</v>
      </c>
      <c r="O3697" t="s">
        <v>127</v>
      </c>
      <c r="P3697" t="s">
        <v>127</v>
      </c>
      <c r="Q3697" t="s">
        <v>127</v>
      </c>
    </row>
    <row r="3698" spans="1:17" x14ac:dyDescent="0.25">
      <c r="A3698" t="str">
        <f>IF(C3698&amp;G3698&amp;D3698&lt;&gt;'Funnel setup'!$K$3&amp;'Funnel setup'!$K$4&amp;'Funnel setup'!$K$6,".",IF(A3697=".",1,A3697+1))</f>
        <v>.</v>
      </c>
      <c r="B3698" s="244" t="str">
        <f t="shared" si="57"/>
        <v>Total Hip ReplacementProviderBUCKINGHAMSHIRE HEALTHCARE NHS TRUST (RXQ)EQ VAS</v>
      </c>
      <c r="C3698" t="s">
        <v>974</v>
      </c>
      <c r="D3698" t="s">
        <v>965</v>
      </c>
      <c r="E3698" t="s">
        <v>178</v>
      </c>
      <c r="F3698" t="s">
        <v>179</v>
      </c>
      <c r="G3698" t="s">
        <v>752</v>
      </c>
      <c r="H3698">
        <v>88</v>
      </c>
      <c r="I3698">
        <v>57.7273</v>
      </c>
      <c r="J3698">
        <v>70.204499999999996</v>
      </c>
      <c r="K3698">
        <v>12.4773</v>
      </c>
      <c r="L3698">
        <v>61</v>
      </c>
      <c r="M3698">
        <v>4</v>
      </c>
      <c r="N3698">
        <v>23</v>
      </c>
      <c r="O3698">
        <v>71.973299999999995</v>
      </c>
      <c r="P3698">
        <v>11.1572</v>
      </c>
      <c r="Q3698">
        <v>21.036999999999999</v>
      </c>
    </row>
    <row r="3699" spans="1:17" x14ac:dyDescent="0.25">
      <c r="A3699" t="str">
        <f>IF(C3699&amp;G3699&amp;D3699&lt;&gt;'Funnel setup'!$K$3&amp;'Funnel setup'!$K$4&amp;'Funnel setup'!$K$6,".",IF(A3698=".",1,A3698+1))</f>
        <v>.</v>
      </c>
      <c r="B3699" s="244" t="str">
        <f t="shared" si="57"/>
        <v>Total Hip ReplacementProviderCALDERDALE AND HUDDERSFIELD NHS FOUNDATION TRUST (RWY)EQ VAS</v>
      </c>
      <c r="C3699" t="s">
        <v>974</v>
      </c>
      <c r="D3699" t="s">
        <v>965</v>
      </c>
      <c r="E3699" t="s">
        <v>180</v>
      </c>
      <c r="F3699" t="s">
        <v>181</v>
      </c>
      <c r="G3699" t="s">
        <v>752</v>
      </c>
      <c r="H3699">
        <v>87</v>
      </c>
      <c r="I3699">
        <v>58.218400000000003</v>
      </c>
      <c r="J3699">
        <v>71.218400000000003</v>
      </c>
      <c r="K3699">
        <v>13</v>
      </c>
      <c r="L3699">
        <v>59</v>
      </c>
      <c r="M3699">
        <v>9</v>
      </c>
      <c r="N3699">
        <v>19</v>
      </c>
      <c r="O3699">
        <v>72.724699999999999</v>
      </c>
      <c r="P3699">
        <v>11.9086</v>
      </c>
      <c r="Q3699">
        <v>17.978000000000002</v>
      </c>
    </row>
    <row r="3700" spans="1:17" x14ac:dyDescent="0.25">
      <c r="A3700" t="str">
        <f>IF(C3700&amp;G3700&amp;D3700&lt;&gt;'Funnel setup'!$K$3&amp;'Funnel setup'!$K$4&amp;'Funnel setup'!$K$6,".",IF(A3699=".",1,A3699+1))</f>
        <v>.</v>
      </c>
      <c r="B3700" s="244" t="str">
        <f t="shared" si="57"/>
        <v>Total Hip ReplacementProviderCAMBRIDGE UNIVERSITY HOSPITALS NHS FOUNDATION TRUST (RGT)EQ VAS</v>
      </c>
      <c r="C3700" t="s">
        <v>974</v>
      </c>
      <c r="D3700" t="s">
        <v>965</v>
      </c>
      <c r="E3700" t="s">
        <v>182</v>
      </c>
      <c r="F3700" t="s">
        <v>183</v>
      </c>
      <c r="G3700" t="s">
        <v>752</v>
      </c>
      <c r="H3700">
        <v>75</v>
      </c>
      <c r="I3700">
        <v>50.96</v>
      </c>
      <c r="J3700">
        <v>70.466700000000003</v>
      </c>
      <c r="K3700">
        <v>19.506699999999999</v>
      </c>
      <c r="L3700">
        <v>56</v>
      </c>
      <c r="M3700">
        <v>2</v>
      </c>
      <c r="N3700">
        <v>17</v>
      </c>
      <c r="O3700">
        <v>74.503600000000006</v>
      </c>
      <c r="P3700">
        <v>13.6875</v>
      </c>
      <c r="Q3700">
        <v>18.195499999999999</v>
      </c>
    </row>
    <row r="3701" spans="1:17" x14ac:dyDescent="0.25">
      <c r="A3701" t="str">
        <f>IF(C3701&amp;G3701&amp;D3701&lt;&gt;'Funnel setup'!$K$3&amp;'Funnel setup'!$K$4&amp;'Funnel setup'!$K$6,".",IF(A3700=".",1,A3700+1))</f>
        <v>.</v>
      </c>
      <c r="B3701" s="244" t="str">
        <f t="shared" si="57"/>
        <v>Total Hip ReplacementProviderCAVELL HOSPITAL (NT451)EQ VAS</v>
      </c>
      <c r="C3701" t="s">
        <v>974</v>
      </c>
      <c r="D3701" t="s">
        <v>965</v>
      </c>
      <c r="E3701" t="s">
        <v>184</v>
      </c>
      <c r="F3701" t="s">
        <v>185</v>
      </c>
      <c r="G3701" t="s">
        <v>752</v>
      </c>
      <c r="H3701">
        <v>15</v>
      </c>
      <c r="I3701">
        <v>54.533299999999997</v>
      </c>
      <c r="J3701">
        <v>74.8</v>
      </c>
      <c r="K3701">
        <v>20.2667</v>
      </c>
      <c r="L3701">
        <v>11</v>
      </c>
      <c r="M3701">
        <v>1</v>
      </c>
      <c r="N3701">
        <v>3</v>
      </c>
      <c r="O3701" t="s">
        <v>127</v>
      </c>
      <c r="P3701" t="s">
        <v>127</v>
      </c>
      <c r="Q3701" t="s">
        <v>127</v>
      </c>
    </row>
    <row r="3702" spans="1:17" x14ac:dyDescent="0.25">
      <c r="A3702" t="str">
        <f>IF(C3702&amp;G3702&amp;D3702&lt;&gt;'Funnel setup'!$K$3&amp;'Funnel setup'!$K$4&amp;'Funnel setup'!$K$6,".",IF(A3701=".",1,A3701+1))</f>
        <v>.</v>
      </c>
      <c r="B3702" s="244" t="str">
        <f t="shared" si="57"/>
        <v>Total Hip ReplacementProviderCHAUCER HOSPITAL (NT408)EQ VAS</v>
      </c>
      <c r="C3702" t="s">
        <v>974</v>
      </c>
      <c r="D3702" t="s">
        <v>965</v>
      </c>
      <c r="E3702" t="s">
        <v>186</v>
      </c>
      <c r="F3702" t="s">
        <v>187</v>
      </c>
      <c r="G3702" t="s">
        <v>752</v>
      </c>
      <c r="H3702">
        <v>27</v>
      </c>
      <c r="I3702">
        <v>72.481499999999997</v>
      </c>
      <c r="J3702">
        <v>74.111099999999993</v>
      </c>
      <c r="K3702">
        <v>1.6296299999999999</v>
      </c>
      <c r="L3702">
        <v>13</v>
      </c>
      <c r="M3702">
        <v>1</v>
      </c>
      <c r="N3702">
        <v>13</v>
      </c>
      <c r="O3702" t="s">
        <v>127</v>
      </c>
      <c r="P3702" t="s">
        <v>127</v>
      </c>
      <c r="Q3702" t="s">
        <v>127</v>
      </c>
    </row>
    <row r="3703" spans="1:17" x14ac:dyDescent="0.25">
      <c r="A3703" t="str">
        <f>IF(C3703&amp;G3703&amp;D3703&lt;&gt;'Funnel setup'!$K$3&amp;'Funnel setup'!$K$4&amp;'Funnel setup'!$K$6,".",IF(A3702=".",1,A3702+1))</f>
        <v>.</v>
      </c>
      <c r="B3703" s="244" t="str">
        <f t="shared" si="57"/>
        <v>Total Hip ReplacementProviderCHELSEA AND WESTMINSTER HOSPITAL NHS FOUNDATION TRUST (RQM)EQ VAS</v>
      </c>
      <c r="C3703" t="s">
        <v>974</v>
      </c>
      <c r="D3703" t="s">
        <v>965</v>
      </c>
      <c r="E3703" t="s">
        <v>188</v>
      </c>
      <c r="F3703" t="s">
        <v>189</v>
      </c>
      <c r="G3703" t="s">
        <v>752</v>
      </c>
      <c r="H3703">
        <v>18</v>
      </c>
      <c r="I3703">
        <v>57.444400000000002</v>
      </c>
      <c r="J3703">
        <v>71.444400000000002</v>
      </c>
      <c r="K3703">
        <v>14</v>
      </c>
      <c r="L3703">
        <v>12</v>
      </c>
      <c r="M3703">
        <v>2</v>
      </c>
      <c r="N3703">
        <v>4</v>
      </c>
      <c r="O3703" t="s">
        <v>127</v>
      </c>
      <c r="P3703" t="s">
        <v>127</v>
      </c>
      <c r="Q3703" t="s">
        <v>127</v>
      </c>
    </row>
    <row r="3704" spans="1:17" x14ac:dyDescent="0.25">
      <c r="A3704" t="str">
        <f>IF(C3704&amp;G3704&amp;D3704&lt;&gt;'Funnel setup'!$K$3&amp;'Funnel setup'!$K$4&amp;'Funnel setup'!$K$6,".",IF(A3703=".",1,A3703+1))</f>
        <v>.</v>
      </c>
      <c r="B3704" s="244" t="str">
        <f t="shared" si="57"/>
        <v>Total Hip ReplacementProviderCHELSFIELD PARK HOSPITAL (NT409)EQ VAS</v>
      </c>
      <c r="C3704" t="s">
        <v>974</v>
      </c>
      <c r="D3704" t="s">
        <v>965</v>
      </c>
      <c r="E3704" t="s">
        <v>190</v>
      </c>
      <c r="F3704" t="s">
        <v>191</v>
      </c>
      <c r="G3704" t="s">
        <v>752</v>
      </c>
      <c r="H3704">
        <v>28</v>
      </c>
      <c r="I3704">
        <v>65.535700000000006</v>
      </c>
      <c r="J3704">
        <v>80.464299999999994</v>
      </c>
      <c r="K3704">
        <v>14.928599999999999</v>
      </c>
      <c r="L3704">
        <v>18</v>
      </c>
      <c r="M3704">
        <v>3</v>
      </c>
      <c r="N3704">
        <v>7</v>
      </c>
      <c r="O3704" t="s">
        <v>127</v>
      </c>
      <c r="P3704" t="s">
        <v>127</v>
      </c>
      <c r="Q3704" t="s">
        <v>127</v>
      </c>
    </row>
    <row r="3705" spans="1:17" x14ac:dyDescent="0.25">
      <c r="A3705" t="str">
        <f>IF(C3705&amp;G3705&amp;D3705&lt;&gt;'Funnel setup'!$K$3&amp;'Funnel setup'!$K$4&amp;'Funnel setup'!$K$6,".",IF(A3704=".",1,A3704+1))</f>
        <v>.</v>
      </c>
      <c r="B3705" s="244" t="str">
        <f t="shared" si="57"/>
        <v>Total Hip ReplacementProviderCHESTERFIELD ROYAL HOSPITAL NHS FOUNDATION TRUST (RFS)EQ VAS</v>
      </c>
      <c r="C3705" t="s">
        <v>974</v>
      </c>
      <c r="D3705" t="s">
        <v>965</v>
      </c>
      <c r="E3705" t="s">
        <v>192</v>
      </c>
      <c r="F3705" t="s">
        <v>193</v>
      </c>
      <c r="G3705" t="s">
        <v>752</v>
      </c>
      <c r="H3705">
        <v>62</v>
      </c>
      <c r="I3705">
        <v>57.7258</v>
      </c>
      <c r="J3705">
        <v>69.3065</v>
      </c>
      <c r="K3705">
        <v>11.5806</v>
      </c>
      <c r="L3705">
        <v>38</v>
      </c>
      <c r="M3705">
        <v>7</v>
      </c>
      <c r="N3705">
        <v>17</v>
      </c>
      <c r="O3705">
        <v>72.404399999999995</v>
      </c>
      <c r="P3705">
        <v>11.5883</v>
      </c>
      <c r="Q3705">
        <v>20.424299999999999</v>
      </c>
    </row>
    <row r="3706" spans="1:17" x14ac:dyDescent="0.25">
      <c r="A3706" t="str">
        <f>IF(C3706&amp;G3706&amp;D3706&lt;&gt;'Funnel setup'!$K$3&amp;'Funnel setup'!$K$4&amp;'Funnel setup'!$K$6,".",IF(A3705=".",1,A3705+1))</f>
        <v>.</v>
      </c>
      <c r="B3706" s="244" t="str">
        <f t="shared" si="57"/>
        <v>Total Hip ReplacementProviderCHILTERN HOSPITAL (NT410)EQ VAS</v>
      </c>
      <c r="C3706" t="s">
        <v>974</v>
      </c>
      <c r="D3706" t="s">
        <v>965</v>
      </c>
      <c r="E3706" t="s">
        <v>194</v>
      </c>
      <c r="F3706" t="s">
        <v>195</v>
      </c>
      <c r="G3706" t="s">
        <v>752</v>
      </c>
      <c r="H3706">
        <v>75</v>
      </c>
      <c r="I3706">
        <v>66.893299999999996</v>
      </c>
      <c r="J3706">
        <v>82.2667</v>
      </c>
      <c r="K3706">
        <v>15.3733</v>
      </c>
      <c r="L3706">
        <v>55</v>
      </c>
      <c r="M3706">
        <v>3</v>
      </c>
      <c r="N3706">
        <v>17</v>
      </c>
      <c r="O3706">
        <v>77.323800000000006</v>
      </c>
      <c r="P3706">
        <v>16.5077</v>
      </c>
      <c r="Q3706">
        <v>15.167299999999999</v>
      </c>
    </row>
    <row r="3707" spans="1:17" x14ac:dyDescent="0.25">
      <c r="A3707" t="str">
        <f>IF(C3707&amp;G3707&amp;D3707&lt;&gt;'Funnel setup'!$K$3&amp;'Funnel setup'!$K$4&amp;'Funnel setup'!$K$6,".",IF(A3706=".",1,A3706+1))</f>
        <v>.</v>
      </c>
      <c r="B3707" s="244" t="str">
        <f t="shared" si="57"/>
        <v>Total Hip ReplacementProviderCIRCLE BATH HOSPITAL (NV302)EQ VAS</v>
      </c>
      <c r="C3707" t="s">
        <v>974</v>
      </c>
      <c r="D3707" t="s">
        <v>965</v>
      </c>
      <c r="E3707" t="s">
        <v>196</v>
      </c>
      <c r="F3707" t="s">
        <v>197</v>
      </c>
      <c r="G3707" t="s">
        <v>752</v>
      </c>
      <c r="H3707">
        <v>11</v>
      </c>
      <c r="I3707">
        <v>64.818200000000004</v>
      </c>
      <c r="J3707">
        <v>83.7273</v>
      </c>
      <c r="K3707">
        <v>18.909099999999999</v>
      </c>
      <c r="L3707">
        <v>9</v>
      </c>
      <c r="M3707">
        <v>1</v>
      </c>
      <c r="N3707">
        <v>1</v>
      </c>
      <c r="O3707" t="s">
        <v>127</v>
      </c>
      <c r="P3707" t="s">
        <v>127</v>
      </c>
      <c r="Q3707" t="s">
        <v>127</v>
      </c>
    </row>
    <row r="3708" spans="1:17" x14ac:dyDescent="0.25">
      <c r="A3708" t="str">
        <f>IF(C3708&amp;G3708&amp;D3708&lt;&gt;'Funnel setup'!$K$3&amp;'Funnel setup'!$K$4&amp;'Funnel setup'!$K$6,".",IF(A3707=".",1,A3707+1))</f>
        <v>.</v>
      </c>
      <c r="B3708" s="244" t="str">
        <f t="shared" si="57"/>
        <v>Total Hip ReplacementProviderCIRCLE READING HOSPITAL (NV323)EQ VAS</v>
      </c>
      <c r="C3708" t="s">
        <v>974</v>
      </c>
      <c r="D3708" t="s">
        <v>965</v>
      </c>
      <c r="E3708" t="s">
        <v>198</v>
      </c>
      <c r="F3708" t="s">
        <v>199</v>
      </c>
      <c r="G3708" t="s">
        <v>752</v>
      </c>
      <c r="H3708">
        <v>63</v>
      </c>
      <c r="I3708">
        <v>43.904800000000002</v>
      </c>
      <c r="J3708">
        <v>79.206299999999999</v>
      </c>
      <c r="K3708">
        <v>35.301600000000001</v>
      </c>
      <c r="L3708">
        <v>57</v>
      </c>
      <c r="M3708">
        <v>1</v>
      </c>
      <c r="N3708">
        <v>5</v>
      </c>
      <c r="O3708">
        <v>78.618700000000004</v>
      </c>
      <c r="P3708">
        <v>17.802600000000002</v>
      </c>
      <c r="Q3708">
        <v>17.310199999999998</v>
      </c>
    </row>
    <row r="3709" spans="1:17" x14ac:dyDescent="0.25">
      <c r="A3709" t="str">
        <f>IF(C3709&amp;G3709&amp;D3709&lt;&gt;'Funnel setup'!$K$3&amp;'Funnel setup'!$K$4&amp;'Funnel setup'!$K$6,".",IF(A3708=".",1,A3708+1))</f>
        <v>.</v>
      </c>
      <c r="B3709" s="244" t="str">
        <f t="shared" si="57"/>
        <v>Total Hip ReplacementProviderCLEMENTINE CHURCHILL HOSPITAL (NT411)EQ VAS</v>
      </c>
      <c r="C3709" t="s">
        <v>974</v>
      </c>
      <c r="D3709" t="s">
        <v>965</v>
      </c>
      <c r="E3709" t="s">
        <v>200</v>
      </c>
      <c r="F3709" t="s">
        <v>201</v>
      </c>
      <c r="G3709" t="s">
        <v>752</v>
      </c>
      <c r="H3709">
        <v>21</v>
      </c>
      <c r="I3709">
        <v>59.285699999999999</v>
      </c>
      <c r="J3709">
        <v>68.666700000000006</v>
      </c>
      <c r="K3709">
        <v>9.3809500000000003</v>
      </c>
      <c r="L3709">
        <v>13</v>
      </c>
      <c r="M3709">
        <v>0</v>
      </c>
      <c r="N3709">
        <v>8</v>
      </c>
      <c r="O3709" t="s">
        <v>127</v>
      </c>
      <c r="P3709" t="s">
        <v>127</v>
      </c>
      <c r="Q3709" t="s">
        <v>127</v>
      </c>
    </row>
    <row r="3710" spans="1:17" x14ac:dyDescent="0.25">
      <c r="A3710" t="str">
        <f>IF(C3710&amp;G3710&amp;D3710&lt;&gt;'Funnel setup'!$K$3&amp;'Funnel setup'!$K$4&amp;'Funnel setup'!$K$6,".",IF(A3709=".",1,A3709+1))</f>
        <v>.</v>
      </c>
      <c r="B3710" s="244" t="str">
        <f t="shared" si="57"/>
        <v>Total Hip ReplacementProviderCLIFTON PARK HOSPITAL (NVC28)EQ VAS</v>
      </c>
      <c r="C3710" t="s">
        <v>974</v>
      </c>
      <c r="D3710" t="s">
        <v>965</v>
      </c>
      <c r="E3710" t="s">
        <v>202</v>
      </c>
      <c r="F3710" t="s">
        <v>203</v>
      </c>
      <c r="G3710" t="s">
        <v>752</v>
      </c>
      <c r="H3710">
        <v>39</v>
      </c>
      <c r="I3710">
        <v>51.666699999999999</v>
      </c>
      <c r="J3710">
        <v>73.974400000000003</v>
      </c>
      <c r="K3710">
        <v>22.307700000000001</v>
      </c>
      <c r="L3710">
        <v>32</v>
      </c>
      <c r="M3710">
        <v>0</v>
      </c>
      <c r="N3710">
        <v>7</v>
      </c>
      <c r="O3710">
        <v>74.514300000000006</v>
      </c>
      <c r="P3710">
        <v>13.6982</v>
      </c>
      <c r="Q3710">
        <v>21.895900000000001</v>
      </c>
    </row>
    <row r="3711" spans="1:17" x14ac:dyDescent="0.25">
      <c r="A3711" t="str">
        <f>IF(C3711&amp;G3711&amp;D3711&lt;&gt;'Funnel setup'!$K$3&amp;'Funnel setup'!$K$4&amp;'Funnel setup'!$K$6,".",IF(A3710=".",1,A3710+1))</f>
        <v>.</v>
      </c>
      <c r="B3711" s="244" t="str">
        <f t="shared" si="57"/>
        <v>Total Hip ReplacementProviderCOUNTESS OF CHESTER HOSPITAL NHS FOUNDATION TRUST (RJR)EQ VAS</v>
      </c>
      <c r="C3711" t="s">
        <v>974</v>
      </c>
      <c r="D3711" t="s">
        <v>965</v>
      </c>
      <c r="E3711" t="s">
        <v>204</v>
      </c>
      <c r="F3711" t="s">
        <v>205</v>
      </c>
      <c r="G3711" t="s">
        <v>752</v>
      </c>
      <c r="H3711">
        <v>23</v>
      </c>
      <c r="I3711">
        <v>63</v>
      </c>
      <c r="J3711">
        <v>77.782600000000002</v>
      </c>
      <c r="K3711">
        <v>14.7826</v>
      </c>
      <c r="L3711">
        <v>17</v>
      </c>
      <c r="M3711">
        <v>0</v>
      </c>
      <c r="N3711">
        <v>6</v>
      </c>
      <c r="O3711" t="s">
        <v>127</v>
      </c>
      <c r="P3711" t="s">
        <v>127</v>
      </c>
      <c r="Q3711" t="s">
        <v>127</v>
      </c>
    </row>
    <row r="3712" spans="1:17" x14ac:dyDescent="0.25">
      <c r="A3712" t="str">
        <f>IF(C3712&amp;G3712&amp;D3712&lt;&gt;'Funnel setup'!$K$3&amp;'Funnel setup'!$K$4&amp;'Funnel setup'!$K$6,".",IF(A3711=".",1,A3711+1))</f>
        <v>.</v>
      </c>
      <c r="B3712" s="244" t="str">
        <f t="shared" si="57"/>
        <v>Total Hip ReplacementProviderCOUNTY DURHAM AND DARLINGTON NHS FOUNDATION TRUST (RXP)EQ VAS</v>
      </c>
      <c r="C3712" t="s">
        <v>974</v>
      </c>
      <c r="D3712" t="s">
        <v>965</v>
      </c>
      <c r="E3712" t="s">
        <v>206</v>
      </c>
      <c r="F3712" t="s">
        <v>207</v>
      </c>
      <c r="G3712" t="s">
        <v>752</v>
      </c>
      <c r="H3712">
        <v>148</v>
      </c>
      <c r="I3712">
        <v>61.972999999999999</v>
      </c>
      <c r="J3712">
        <v>70.554100000000005</v>
      </c>
      <c r="K3712">
        <v>8.58108</v>
      </c>
      <c r="L3712">
        <v>83</v>
      </c>
      <c r="M3712">
        <v>17</v>
      </c>
      <c r="N3712">
        <v>48</v>
      </c>
      <c r="O3712">
        <v>72.020300000000006</v>
      </c>
      <c r="P3712">
        <v>11.2042</v>
      </c>
      <c r="Q3712">
        <v>19.273399999999999</v>
      </c>
    </row>
    <row r="3713" spans="1:17" x14ac:dyDescent="0.25">
      <c r="A3713" t="str">
        <f>IF(C3713&amp;G3713&amp;D3713&lt;&gt;'Funnel setup'!$K$3&amp;'Funnel setup'!$K$4&amp;'Funnel setup'!$K$6,".",IF(A3712=".",1,A3712+1))</f>
        <v>.</v>
      </c>
      <c r="B3713" s="244" t="str">
        <f t="shared" si="57"/>
        <v>Total Hip ReplacementProviderDONCASTER AND BASSETLAW TEACHING HOSPITALS NHS FOUNDATION TRUST (RP5)EQ VAS</v>
      </c>
      <c r="C3713" t="s">
        <v>974</v>
      </c>
      <c r="D3713" t="s">
        <v>965</v>
      </c>
      <c r="E3713" t="s">
        <v>212</v>
      </c>
      <c r="F3713" t="s">
        <v>213</v>
      </c>
      <c r="G3713" t="s">
        <v>752</v>
      </c>
      <c r="H3713">
        <v>60</v>
      </c>
      <c r="I3713">
        <v>52.966700000000003</v>
      </c>
      <c r="J3713">
        <v>69.666700000000006</v>
      </c>
      <c r="K3713">
        <v>16.7</v>
      </c>
      <c r="L3713">
        <v>44</v>
      </c>
      <c r="M3713">
        <v>4</v>
      </c>
      <c r="N3713">
        <v>12</v>
      </c>
      <c r="O3713">
        <v>75.171800000000005</v>
      </c>
      <c r="P3713">
        <v>14.355700000000001</v>
      </c>
      <c r="Q3713">
        <v>17.542100000000001</v>
      </c>
    </row>
    <row r="3714" spans="1:17" x14ac:dyDescent="0.25">
      <c r="A3714" t="str">
        <f>IF(C3714&amp;G3714&amp;D3714&lt;&gt;'Funnel setup'!$K$3&amp;'Funnel setup'!$K$4&amp;'Funnel setup'!$K$6,".",IF(A3713=".",1,A3713+1))</f>
        <v>.</v>
      </c>
      <c r="B3714" s="244" t="str">
        <f t="shared" ref="B3714:B3777" si="58">C3714&amp;D3714&amp;F3714&amp;G3714</f>
        <v>Total Hip ReplacementProviderDORSET COUNTY HOSPITAL NHS FOUNDATION TRUST (RBD)EQ VAS</v>
      </c>
      <c r="C3714" t="s">
        <v>974</v>
      </c>
      <c r="D3714" t="s">
        <v>965</v>
      </c>
      <c r="E3714" t="s">
        <v>214</v>
      </c>
      <c r="F3714" t="s">
        <v>215</v>
      </c>
      <c r="G3714" t="s">
        <v>752</v>
      </c>
      <c r="H3714">
        <v>12</v>
      </c>
      <c r="I3714">
        <v>62.666699999999999</v>
      </c>
      <c r="J3714">
        <v>77.083299999999994</v>
      </c>
      <c r="K3714">
        <v>14.416700000000001</v>
      </c>
      <c r="L3714">
        <v>10</v>
      </c>
      <c r="M3714">
        <v>0</v>
      </c>
      <c r="N3714">
        <v>2</v>
      </c>
      <c r="O3714" t="s">
        <v>127</v>
      </c>
      <c r="P3714" t="s">
        <v>127</v>
      </c>
      <c r="Q3714" t="s">
        <v>127</v>
      </c>
    </row>
    <row r="3715" spans="1:17" x14ac:dyDescent="0.25">
      <c r="A3715" t="str">
        <f>IF(C3715&amp;G3715&amp;D3715&lt;&gt;'Funnel setup'!$K$3&amp;'Funnel setup'!$K$4&amp;'Funnel setup'!$K$6,".",IF(A3714=".",1,A3714+1))</f>
        <v>.</v>
      </c>
      <c r="B3715" s="244" t="str">
        <f t="shared" si="58"/>
        <v>Total Hip ReplacementProviderDROITWICH SPA HOSPITAL (NT412)EQ VAS</v>
      </c>
      <c r="C3715" t="s">
        <v>974</v>
      </c>
      <c r="D3715" t="s">
        <v>965</v>
      </c>
      <c r="E3715" t="s">
        <v>216</v>
      </c>
      <c r="F3715" t="s">
        <v>217</v>
      </c>
      <c r="G3715" t="s">
        <v>752</v>
      </c>
      <c r="H3715">
        <v>24</v>
      </c>
      <c r="I3715">
        <v>56.958300000000001</v>
      </c>
      <c r="J3715">
        <v>80.083299999999994</v>
      </c>
      <c r="K3715">
        <v>23.125</v>
      </c>
      <c r="L3715">
        <v>19</v>
      </c>
      <c r="M3715">
        <v>2</v>
      </c>
      <c r="N3715">
        <v>3</v>
      </c>
      <c r="O3715" t="s">
        <v>127</v>
      </c>
      <c r="P3715" t="s">
        <v>127</v>
      </c>
      <c r="Q3715" t="s">
        <v>127</v>
      </c>
    </row>
    <row r="3716" spans="1:17" x14ac:dyDescent="0.25">
      <c r="A3716" t="str">
        <f>IF(C3716&amp;G3716&amp;D3716&lt;&gt;'Funnel setup'!$K$3&amp;'Funnel setup'!$K$4&amp;'Funnel setup'!$K$6,".",IF(A3715=".",1,A3715+1))</f>
        <v>.</v>
      </c>
      <c r="B3716" s="244" t="str">
        <f t="shared" si="58"/>
        <v>Total Hip ReplacementProviderDUCHY HOSPITAL (NT447)EQ VAS</v>
      </c>
      <c r="C3716" t="s">
        <v>974</v>
      </c>
      <c r="D3716" t="s">
        <v>965</v>
      </c>
      <c r="E3716" t="s">
        <v>218</v>
      </c>
      <c r="F3716" t="s">
        <v>219</v>
      </c>
      <c r="G3716" t="s">
        <v>752</v>
      </c>
      <c r="H3716">
        <v>27</v>
      </c>
      <c r="I3716">
        <v>64.185199999999995</v>
      </c>
      <c r="J3716">
        <v>81.074100000000001</v>
      </c>
      <c r="K3716">
        <v>16.8889</v>
      </c>
      <c r="L3716">
        <v>18</v>
      </c>
      <c r="M3716">
        <v>2</v>
      </c>
      <c r="N3716">
        <v>7</v>
      </c>
      <c r="O3716" t="s">
        <v>127</v>
      </c>
      <c r="P3716" t="s">
        <v>127</v>
      </c>
      <c r="Q3716" t="s">
        <v>127</v>
      </c>
    </row>
    <row r="3717" spans="1:17" x14ac:dyDescent="0.25">
      <c r="A3717" t="str">
        <f>IF(C3717&amp;G3717&amp;D3717&lt;&gt;'Funnel setup'!$K$3&amp;'Funnel setup'!$K$4&amp;'Funnel setup'!$K$6,".",IF(A3716=".",1,A3716+1))</f>
        <v>.</v>
      </c>
      <c r="B3717" s="244" t="str">
        <f t="shared" si="58"/>
        <v>Total Hip ReplacementProviderDUCHY HOSPITAL (NVC04)EQ VAS</v>
      </c>
      <c r="C3717" t="s">
        <v>974</v>
      </c>
      <c r="D3717" t="s">
        <v>965</v>
      </c>
      <c r="E3717" t="s">
        <v>220</v>
      </c>
      <c r="F3717" t="s">
        <v>221</v>
      </c>
      <c r="G3717" t="s">
        <v>752</v>
      </c>
      <c r="H3717">
        <v>25</v>
      </c>
      <c r="I3717">
        <v>50</v>
      </c>
      <c r="J3717">
        <v>71.959999999999994</v>
      </c>
      <c r="K3717">
        <v>21.96</v>
      </c>
      <c r="L3717">
        <v>20</v>
      </c>
      <c r="M3717">
        <v>3</v>
      </c>
      <c r="N3717">
        <v>2</v>
      </c>
      <c r="O3717" t="s">
        <v>127</v>
      </c>
      <c r="P3717" t="s">
        <v>127</v>
      </c>
      <c r="Q3717" t="s">
        <v>127</v>
      </c>
    </row>
    <row r="3718" spans="1:17" x14ac:dyDescent="0.25">
      <c r="A3718" t="str">
        <f>IF(C3718&amp;G3718&amp;D3718&lt;&gt;'Funnel setup'!$K$3&amp;'Funnel setup'!$K$4&amp;'Funnel setup'!$K$6,".",IF(A3717=".",1,A3717+1))</f>
        <v>.</v>
      </c>
      <c r="B3718" s="244" t="str">
        <f t="shared" si="58"/>
        <v>Total Hip ReplacementProviderEAST AND NORTH HERTFORDSHIRE NHS TRUST (RWH)EQ VAS</v>
      </c>
      <c r="C3718" t="s">
        <v>974</v>
      </c>
      <c r="D3718" t="s">
        <v>965</v>
      </c>
      <c r="E3718" t="s">
        <v>224</v>
      </c>
      <c r="F3718" t="s">
        <v>225</v>
      </c>
      <c r="G3718" t="s">
        <v>752</v>
      </c>
      <c r="H3718">
        <v>41</v>
      </c>
      <c r="I3718">
        <v>59.439</v>
      </c>
      <c r="J3718">
        <v>77.682900000000004</v>
      </c>
      <c r="K3718">
        <v>18.2439</v>
      </c>
      <c r="L3718">
        <v>29</v>
      </c>
      <c r="M3718">
        <v>4</v>
      </c>
      <c r="N3718">
        <v>8</v>
      </c>
      <c r="O3718">
        <v>78.168800000000005</v>
      </c>
      <c r="P3718">
        <v>17.352699999999999</v>
      </c>
      <c r="Q3718">
        <v>15.5006</v>
      </c>
    </row>
    <row r="3719" spans="1:17" x14ac:dyDescent="0.25">
      <c r="A3719" t="str">
        <f>IF(C3719&amp;G3719&amp;D3719&lt;&gt;'Funnel setup'!$K$3&amp;'Funnel setup'!$K$4&amp;'Funnel setup'!$K$6,".",IF(A3718=".",1,A3718+1))</f>
        <v>.</v>
      </c>
      <c r="B3719" s="244" t="str">
        <f t="shared" si="58"/>
        <v>Total Hip ReplacementProviderEAST CHESHIRE NHS TRUST (RJN)EQ VAS</v>
      </c>
      <c r="C3719" t="s">
        <v>974</v>
      </c>
      <c r="D3719" t="s">
        <v>965</v>
      </c>
      <c r="E3719" t="s">
        <v>226</v>
      </c>
      <c r="F3719" t="s">
        <v>227</v>
      </c>
      <c r="G3719" t="s">
        <v>752</v>
      </c>
      <c r="H3719">
        <v>4</v>
      </c>
      <c r="I3719">
        <v>72.5</v>
      </c>
      <c r="J3719">
        <v>63.75</v>
      </c>
      <c r="K3719">
        <v>-8.75</v>
      </c>
      <c r="L3719">
        <v>1</v>
      </c>
      <c r="M3719">
        <v>1</v>
      </c>
      <c r="N3719">
        <v>2</v>
      </c>
      <c r="O3719" t="s">
        <v>127</v>
      </c>
      <c r="P3719" t="s">
        <v>127</v>
      </c>
      <c r="Q3719" t="s">
        <v>127</v>
      </c>
    </row>
    <row r="3720" spans="1:17" x14ac:dyDescent="0.25">
      <c r="A3720" t="str">
        <f>IF(C3720&amp;G3720&amp;D3720&lt;&gt;'Funnel setup'!$K$3&amp;'Funnel setup'!$K$4&amp;'Funnel setup'!$K$6,".",IF(A3719=".",1,A3719+1))</f>
        <v>.</v>
      </c>
      <c r="B3720" s="244" t="str">
        <f t="shared" si="58"/>
        <v>Total Hip ReplacementProviderEAST KENT HOSPITALS UNIVERSITY NHS FOUNDATION TRUST (RVV)EQ VAS</v>
      </c>
      <c r="C3720" t="s">
        <v>974</v>
      </c>
      <c r="D3720" t="s">
        <v>965</v>
      </c>
      <c r="E3720" t="s">
        <v>228</v>
      </c>
      <c r="F3720" t="s">
        <v>229</v>
      </c>
      <c r="G3720" t="s">
        <v>752</v>
      </c>
      <c r="H3720">
        <v>92</v>
      </c>
      <c r="I3720">
        <v>57.630400000000002</v>
      </c>
      <c r="J3720">
        <v>71.706500000000005</v>
      </c>
      <c r="K3720">
        <v>14.0761</v>
      </c>
      <c r="L3720">
        <v>65</v>
      </c>
      <c r="M3720">
        <v>6</v>
      </c>
      <c r="N3720">
        <v>21</v>
      </c>
      <c r="O3720">
        <v>75.429599999999994</v>
      </c>
      <c r="P3720">
        <v>14.6135</v>
      </c>
      <c r="Q3720">
        <v>17.0274</v>
      </c>
    </row>
    <row r="3721" spans="1:17" x14ac:dyDescent="0.25">
      <c r="A3721" t="str">
        <f>IF(C3721&amp;G3721&amp;D3721&lt;&gt;'Funnel setup'!$K$3&amp;'Funnel setup'!$K$4&amp;'Funnel setup'!$K$6,".",IF(A3720=".",1,A3720+1))</f>
        <v>.</v>
      </c>
      <c r="B3721" s="244" t="str">
        <f t="shared" si="58"/>
        <v>Total Hip ReplacementProviderEAST LANCASHIRE HOSPITALS NHS TRUST (RXR)EQ VAS</v>
      </c>
      <c r="C3721" t="s">
        <v>974</v>
      </c>
      <c r="D3721" t="s">
        <v>965</v>
      </c>
      <c r="E3721" t="s">
        <v>230</v>
      </c>
      <c r="F3721" t="s">
        <v>231</v>
      </c>
      <c r="G3721" t="s">
        <v>752</v>
      </c>
      <c r="H3721">
        <v>81</v>
      </c>
      <c r="I3721">
        <v>61.320999999999998</v>
      </c>
      <c r="J3721">
        <v>73.172799999999995</v>
      </c>
      <c r="K3721">
        <v>11.851900000000001</v>
      </c>
      <c r="L3721">
        <v>49</v>
      </c>
      <c r="M3721">
        <v>6</v>
      </c>
      <c r="N3721">
        <v>26</v>
      </c>
      <c r="O3721">
        <v>75.071200000000005</v>
      </c>
      <c r="P3721">
        <v>14.255100000000001</v>
      </c>
      <c r="Q3721">
        <v>15.4528</v>
      </c>
    </row>
    <row r="3722" spans="1:17" x14ac:dyDescent="0.25">
      <c r="A3722" t="str">
        <f>IF(C3722&amp;G3722&amp;D3722&lt;&gt;'Funnel setup'!$K$3&amp;'Funnel setup'!$K$4&amp;'Funnel setup'!$K$6,".",IF(A3721=".",1,A3721+1))</f>
        <v>.</v>
      </c>
      <c r="B3722" s="244" t="str">
        <f t="shared" si="58"/>
        <v>Total Hip ReplacementProviderEAST SUFFOLK AND NORTH ESSEX NHS FOUNDATION TRUST (RDE)EQ VAS</v>
      </c>
      <c r="C3722" t="s">
        <v>974</v>
      </c>
      <c r="D3722" t="s">
        <v>965</v>
      </c>
      <c r="E3722" t="s">
        <v>232</v>
      </c>
      <c r="F3722" t="s">
        <v>233</v>
      </c>
      <c r="G3722" t="s">
        <v>752</v>
      </c>
      <c r="H3722">
        <v>127</v>
      </c>
      <c r="I3722">
        <v>56.551200000000001</v>
      </c>
      <c r="J3722">
        <v>76.196899999999999</v>
      </c>
      <c r="K3722">
        <v>19.645700000000001</v>
      </c>
      <c r="L3722">
        <v>97</v>
      </c>
      <c r="M3722">
        <v>13</v>
      </c>
      <c r="N3722">
        <v>17</v>
      </c>
      <c r="O3722">
        <v>77.639399999999995</v>
      </c>
      <c r="P3722">
        <v>16.8233</v>
      </c>
      <c r="Q3722">
        <v>16.0626</v>
      </c>
    </row>
    <row r="3723" spans="1:17" x14ac:dyDescent="0.25">
      <c r="A3723" t="str">
        <f>IF(C3723&amp;G3723&amp;D3723&lt;&gt;'Funnel setup'!$K$3&amp;'Funnel setup'!$K$4&amp;'Funnel setup'!$K$6,".",IF(A3722=".",1,A3722+1))</f>
        <v>.</v>
      </c>
      <c r="B3723" s="244" t="str">
        <f t="shared" si="58"/>
        <v>Total Hip ReplacementProviderEAST SUSSEX HEALTHCARE NHS TRUST (RXC)EQ VAS</v>
      </c>
      <c r="C3723" t="s">
        <v>974</v>
      </c>
      <c r="D3723" t="s">
        <v>965</v>
      </c>
      <c r="E3723" t="s">
        <v>234</v>
      </c>
      <c r="F3723" t="s">
        <v>235</v>
      </c>
      <c r="G3723" t="s">
        <v>752</v>
      </c>
      <c r="H3723">
        <v>85</v>
      </c>
      <c r="I3723">
        <v>63.058799999999998</v>
      </c>
      <c r="J3723">
        <v>74.494100000000003</v>
      </c>
      <c r="K3723">
        <v>11.4353</v>
      </c>
      <c r="L3723">
        <v>54</v>
      </c>
      <c r="M3723">
        <v>12</v>
      </c>
      <c r="N3723">
        <v>19</v>
      </c>
      <c r="O3723">
        <v>75.185000000000002</v>
      </c>
      <c r="P3723">
        <v>14.3689</v>
      </c>
      <c r="Q3723">
        <v>17.2088</v>
      </c>
    </row>
    <row r="3724" spans="1:17" x14ac:dyDescent="0.25">
      <c r="A3724" t="str">
        <f>IF(C3724&amp;G3724&amp;D3724&lt;&gt;'Funnel setup'!$K$3&amp;'Funnel setup'!$K$4&amp;'Funnel setup'!$K$6,".",IF(A3723=".",1,A3723+1))</f>
        <v>.</v>
      </c>
      <c r="B3724" s="244" t="str">
        <f t="shared" si="58"/>
        <v>Total Hip ReplacementProviderEPSOM AND ST HELIER UNIVERSITY HOSPITALS NHS TRUST (RVR)EQ VAS</v>
      </c>
      <c r="C3724" t="s">
        <v>974</v>
      </c>
      <c r="D3724" t="s">
        <v>965</v>
      </c>
      <c r="E3724" t="s">
        <v>238</v>
      </c>
      <c r="F3724" t="s">
        <v>239</v>
      </c>
      <c r="G3724" t="s">
        <v>752</v>
      </c>
      <c r="H3724">
        <v>527</v>
      </c>
      <c r="I3724">
        <v>59.783700000000003</v>
      </c>
      <c r="J3724">
        <v>76.282700000000006</v>
      </c>
      <c r="K3724">
        <v>16.499099999999999</v>
      </c>
      <c r="L3724">
        <v>391</v>
      </c>
      <c r="M3724">
        <v>59</v>
      </c>
      <c r="N3724">
        <v>77</v>
      </c>
      <c r="O3724">
        <v>76.635900000000007</v>
      </c>
      <c r="P3724">
        <v>15.819800000000001</v>
      </c>
      <c r="Q3724">
        <v>16.000699999999998</v>
      </c>
    </row>
    <row r="3725" spans="1:17" x14ac:dyDescent="0.25">
      <c r="A3725" t="str">
        <f>IF(C3725&amp;G3725&amp;D3725&lt;&gt;'Funnel setup'!$K$3&amp;'Funnel setup'!$K$4&amp;'Funnel setup'!$K$6,".",IF(A3724=".",1,A3724+1))</f>
        <v>.</v>
      </c>
      <c r="B3725" s="244" t="str">
        <f t="shared" si="58"/>
        <v>Total Hip ReplacementProviderEUXTON HALL HOSPITAL (NVC05)EQ VAS</v>
      </c>
      <c r="C3725" t="s">
        <v>974</v>
      </c>
      <c r="D3725" t="s">
        <v>965</v>
      </c>
      <c r="E3725" t="s">
        <v>240</v>
      </c>
      <c r="F3725" t="s">
        <v>241</v>
      </c>
      <c r="G3725" t="s">
        <v>752</v>
      </c>
      <c r="H3725">
        <v>52</v>
      </c>
      <c r="I3725">
        <v>62.076900000000002</v>
      </c>
      <c r="J3725">
        <v>78.615399999999994</v>
      </c>
      <c r="K3725">
        <v>16.538499999999999</v>
      </c>
      <c r="L3725">
        <v>43</v>
      </c>
      <c r="M3725">
        <v>4</v>
      </c>
      <c r="N3725">
        <v>5</v>
      </c>
      <c r="O3725">
        <v>78.552199999999999</v>
      </c>
      <c r="P3725">
        <v>17.7361</v>
      </c>
      <c r="Q3725">
        <v>16.146000000000001</v>
      </c>
    </row>
    <row r="3726" spans="1:17" x14ac:dyDescent="0.25">
      <c r="A3726" t="str">
        <f>IF(C3726&amp;G3726&amp;D3726&lt;&gt;'Funnel setup'!$K$3&amp;'Funnel setup'!$K$4&amp;'Funnel setup'!$K$6,".",IF(A3725=".",1,A3725+1))</f>
        <v>.</v>
      </c>
      <c r="B3726" s="244" t="str">
        <f t="shared" si="58"/>
        <v>Total Hip ReplacementProviderFAIRFIELD HOSPITAL (NVG01)EQ VAS</v>
      </c>
      <c r="C3726" t="s">
        <v>974</v>
      </c>
      <c r="D3726" t="s">
        <v>965</v>
      </c>
      <c r="E3726" t="s">
        <v>242</v>
      </c>
      <c r="F3726" t="s">
        <v>243</v>
      </c>
      <c r="G3726" t="s">
        <v>752</v>
      </c>
      <c r="H3726">
        <v>40</v>
      </c>
      <c r="I3726">
        <v>61.424999999999997</v>
      </c>
      <c r="J3726">
        <v>68.674999999999997</v>
      </c>
      <c r="K3726">
        <v>7.25</v>
      </c>
      <c r="L3726">
        <v>25</v>
      </c>
      <c r="M3726">
        <v>2</v>
      </c>
      <c r="N3726">
        <v>13</v>
      </c>
      <c r="O3726">
        <v>68.696600000000004</v>
      </c>
      <c r="P3726">
        <v>7.8805100000000001</v>
      </c>
      <c r="Q3726">
        <v>19.490200000000002</v>
      </c>
    </row>
    <row r="3727" spans="1:17" x14ac:dyDescent="0.25">
      <c r="A3727" t="str">
        <f>IF(C3727&amp;G3727&amp;D3727&lt;&gt;'Funnel setup'!$K$3&amp;'Funnel setup'!$K$4&amp;'Funnel setup'!$K$6,".",IF(A3726=".",1,A3726+1))</f>
        <v>.</v>
      </c>
      <c r="B3727" s="244" t="str">
        <f t="shared" si="58"/>
        <v>Total Hip ReplacementProviderFITZWILLIAM HOSPITAL (NVC06)EQ VAS</v>
      </c>
      <c r="C3727" t="s">
        <v>974</v>
      </c>
      <c r="D3727" t="s">
        <v>965</v>
      </c>
      <c r="E3727" t="s">
        <v>244</v>
      </c>
      <c r="F3727" t="s">
        <v>245</v>
      </c>
      <c r="G3727" t="s">
        <v>752</v>
      </c>
      <c r="H3727">
        <v>52</v>
      </c>
      <c r="I3727">
        <v>64.207499999999996</v>
      </c>
      <c r="J3727">
        <v>76.490600000000001</v>
      </c>
      <c r="K3727">
        <v>12.282999999999999</v>
      </c>
      <c r="L3727">
        <v>38</v>
      </c>
      <c r="M3727">
        <v>2</v>
      </c>
      <c r="N3727">
        <v>12</v>
      </c>
      <c r="O3727">
        <v>75.503399999999999</v>
      </c>
      <c r="P3727">
        <v>14.6873</v>
      </c>
      <c r="Q3727">
        <v>14.963800000000001</v>
      </c>
    </row>
    <row r="3728" spans="1:17" x14ac:dyDescent="0.25">
      <c r="A3728" t="str">
        <f>IF(C3728&amp;G3728&amp;D3728&lt;&gt;'Funnel setup'!$K$3&amp;'Funnel setup'!$K$4&amp;'Funnel setup'!$K$6,".",IF(A3727=".",1,A3727+1))</f>
        <v>.</v>
      </c>
      <c r="B3728" s="244" t="str">
        <f t="shared" si="58"/>
        <v>Total Hip ReplacementProviderFRIMLEY HEALTH NHS FOUNDATION TRUST (RDU)EQ VAS</v>
      </c>
      <c r="C3728" t="s">
        <v>974</v>
      </c>
      <c r="D3728" t="s">
        <v>965</v>
      </c>
      <c r="E3728" t="s">
        <v>248</v>
      </c>
      <c r="F3728" t="s">
        <v>249</v>
      </c>
      <c r="G3728" t="s">
        <v>752</v>
      </c>
      <c r="H3728">
        <v>161</v>
      </c>
      <c r="I3728">
        <v>63.770200000000003</v>
      </c>
      <c r="J3728">
        <v>75.701899999999995</v>
      </c>
      <c r="K3728">
        <v>11.931699999999999</v>
      </c>
      <c r="L3728">
        <v>110</v>
      </c>
      <c r="M3728">
        <v>14</v>
      </c>
      <c r="N3728">
        <v>37</v>
      </c>
      <c r="O3728">
        <v>73.967200000000005</v>
      </c>
      <c r="P3728">
        <v>13.1511</v>
      </c>
      <c r="Q3728">
        <v>17.743099999999998</v>
      </c>
    </row>
    <row r="3729" spans="1:17" x14ac:dyDescent="0.25">
      <c r="A3729" t="str">
        <f>IF(C3729&amp;G3729&amp;D3729&lt;&gt;'Funnel setup'!$K$3&amp;'Funnel setup'!$K$4&amp;'Funnel setup'!$K$6,".",IF(A3728=".",1,A3728+1))</f>
        <v>.</v>
      </c>
      <c r="B3729" s="244" t="str">
        <f t="shared" si="58"/>
        <v>Total Hip ReplacementProviderFULWOOD HALL HOSPITAL (NVC07)EQ VAS</v>
      </c>
      <c r="C3729" t="s">
        <v>974</v>
      </c>
      <c r="D3729" t="s">
        <v>965</v>
      </c>
      <c r="E3729" t="s">
        <v>250</v>
      </c>
      <c r="F3729" t="s">
        <v>251</v>
      </c>
      <c r="G3729" t="s">
        <v>752</v>
      </c>
      <c r="H3729">
        <v>67</v>
      </c>
      <c r="I3729">
        <v>70.059700000000007</v>
      </c>
      <c r="J3729">
        <v>80.089600000000004</v>
      </c>
      <c r="K3729">
        <v>10.0299</v>
      </c>
      <c r="L3729">
        <v>48</v>
      </c>
      <c r="M3729">
        <v>3</v>
      </c>
      <c r="N3729">
        <v>16</v>
      </c>
      <c r="O3729">
        <v>76.719700000000003</v>
      </c>
      <c r="P3729">
        <v>15.903600000000001</v>
      </c>
      <c r="Q3729">
        <v>12.8101</v>
      </c>
    </row>
    <row r="3730" spans="1:17" x14ac:dyDescent="0.25">
      <c r="A3730" t="str">
        <f>IF(C3730&amp;G3730&amp;D3730&lt;&gt;'Funnel setup'!$K$3&amp;'Funnel setup'!$K$4&amp;'Funnel setup'!$K$6,".",IF(A3729=".",1,A3729+1))</f>
        <v>.</v>
      </c>
      <c r="B3730" s="244" t="str">
        <f t="shared" si="58"/>
        <v>Total Hip ReplacementProviderGATESHEAD HEALTH NHS FOUNDATION TRUST (RR7)EQ VAS</v>
      </c>
      <c r="C3730" t="s">
        <v>974</v>
      </c>
      <c r="D3730" t="s">
        <v>965</v>
      </c>
      <c r="E3730" t="s">
        <v>252</v>
      </c>
      <c r="F3730" t="s">
        <v>253</v>
      </c>
      <c r="G3730" t="s">
        <v>752</v>
      </c>
      <c r="H3730">
        <v>55</v>
      </c>
      <c r="I3730">
        <v>50.618200000000002</v>
      </c>
      <c r="J3730">
        <v>72.581800000000001</v>
      </c>
      <c r="K3730">
        <v>21.9636</v>
      </c>
      <c r="L3730">
        <v>41</v>
      </c>
      <c r="M3730">
        <v>5</v>
      </c>
      <c r="N3730">
        <v>9</v>
      </c>
      <c r="O3730">
        <v>78.127300000000005</v>
      </c>
      <c r="P3730">
        <v>17.311199999999999</v>
      </c>
      <c r="Q3730">
        <v>19.226600000000001</v>
      </c>
    </row>
    <row r="3731" spans="1:17" x14ac:dyDescent="0.25">
      <c r="A3731" t="str">
        <f>IF(C3731&amp;G3731&amp;D3731&lt;&gt;'Funnel setup'!$K$3&amp;'Funnel setup'!$K$4&amp;'Funnel setup'!$K$6,".",IF(A3730=".",1,A3730+1))</f>
        <v>.</v>
      </c>
      <c r="B3731" s="244" t="str">
        <f t="shared" si="58"/>
        <v>Total Hip ReplacementProviderGLOUCESTERSHIRE HOSPITALS NHS FOUNDATION TRUST (RTE)EQ VAS</v>
      </c>
      <c r="C3731" t="s">
        <v>974</v>
      </c>
      <c r="D3731" t="s">
        <v>965</v>
      </c>
      <c r="E3731" t="s">
        <v>256</v>
      </c>
      <c r="F3731" t="s">
        <v>257</v>
      </c>
      <c r="G3731" t="s">
        <v>752</v>
      </c>
      <c r="H3731">
        <v>67</v>
      </c>
      <c r="I3731">
        <v>49.656700000000001</v>
      </c>
      <c r="J3731">
        <v>71.641800000000003</v>
      </c>
      <c r="K3731">
        <v>21.985099999999999</v>
      </c>
      <c r="L3731">
        <v>51</v>
      </c>
      <c r="M3731">
        <v>3</v>
      </c>
      <c r="N3731">
        <v>13</v>
      </c>
      <c r="O3731">
        <v>75.0501</v>
      </c>
      <c r="P3731">
        <v>14.234</v>
      </c>
      <c r="Q3731">
        <v>17.465599999999998</v>
      </c>
    </row>
    <row r="3732" spans="1:17" x14ac:dyDescent="0.25">
      <c r="A3732" t="str">
        <f>IF(C3732&amp;G3732&amp;D3732&lt;&gt;'Funnel setup'!$K$3&amp;'Funnel setup'!$K$4&amp;'Funnel setup'!$K$6,".",IF(A3731=".",1,A3731+1))</f>
        <v>.</v>
      </c>
      <c r="B3732" s="244" t="str">
        <f t="shared" si="58"/>
        <v>Total Hip ReplacementProviderGORING HALL HOSPITAL (NT417)EQ VAS</v>
      </c>
      <c r="C3732" t="s">
        <v>974</v>
      </c>
      <c r="D3732" t="s">
        <v>965</v>
      </c>
      <c r="E3732" t="s">
        <v>258</v>
      </c>
      <c r="F3732" t="s">
        <v>259</v>
      </c>
      <c r="G3732" t="s">
        <v>752</v>
      </c>
      <c r="H3732">
        <v>23</v>
      </c>
      <c r="I3732">
        <v>64.173900000000003</v>
      </c>
      <c r="J3732">
        <v>73.695700000000002</v>
      </c>
      <c r="K3732">
        <v>9.5217399999999994</v>
      </c>
      <c r="L3732">
        <v>14</v>
      </c>
      <c r="M3732">
        <v>2</v>
      </c>
      <c r="N3732">
        <v>7</v>
      </c>
      <c r="O3732" t="s">
        <v>127</v>
      </c>
      <c r="P3732" t="s">
        <v>127</v>
      </c>
      <c r="Q3732" t="s">
        <v>127</v>
      </c>
    </row>
    <row r="3733" spans="1:17" x14ac:dyDescent="0.25">
      <c r="A3733" t="str">
        <f>IF(C3733&amp;G3733&amp;D3733&lt;&gt;'Funnel setup'!$K$3&amp;'Funnel setup'!$K$4&amp;'Funnel setup'!$K$6,".",IF(A3732=".",1,A3732+1))</f>
        <v>.</v>
      </c>
      <c r="B3733" s="244" t="str">
        <f t="shared" si="58"/>
        <v>Total Hip ReplacementProviderGUY'S AND ST THOMAS' NHS FOUNDATION TRUST (RJ1)EQ VAS</v>
      </c>
      <c r="C3733" t="s">
        <v>974</v>
      </c>
      <c r="D3733" t="s">
        <v>965</v>
      </c>
      <c r="E3733" t="s">
        <v>262</v>
      </c>
      <c r="F3733" t="s">
        <v>263</v>
      </c>
      <c r="G3733" t="s">
        <v>752</v>
      </c>
      <c r="H3733">
        <v>83</v>
      </c>
      <c r="I3733">
        <v>55.734900000000003</v>
      </c>
      <c r="J3733">
        <v>68.915700000000001</v>
      </c>
      <c r="K3733">
        <v>13.1807</v>
      </c>
      <c r="L3733">
        <v>65</v>
      </c>
      <c r="M3733">
        <v>4</v>
      </c>
      <c r="N3733">
        <v>14</v>
      </c>
      <c r="O3733">
        <v>70.156599999999997</v>
      </c>
      <c r="P3733">
        <v>9.3405400000000007</v>
      </c>
      <c r="Q3733">
        <v>15.6374</v>
      </c>
    </row>
    <row r="3734" spans="1:17" x14ac:dyDescent="0.25">
      <c r="A3734" t="str">
        <f>IF(C3734&amp;G3734&amp;D3734&lt;&gt;'Funnel setup'!$K$3&amp;'Funnel setup'!$K$4&amp;'Funnel setup'!$K$6,".",IF(A3733=".",1,A3733+1))</f>
        <v>.</v>
      </c>
      <c r="B3734" s="244" t="str">
        <f t="shared" si="58"/>
        <v>Total Hip ReplacementProviderHAMPSHIRE CLINIC (NT418)EQ VAS</v>
      </c>
      <c r="C3734" t="s">
        <v>974</v>
      </c>
      <c r="D3734" t="s">
        <v>965</v>
      </c>
      <c r="E3734" t="s">
        <v>264</v>
      </c>
      <c r="F3734" t="s">
        <v>265</v>
      </c>
      <c r="G3734" t="s">
        <v>752</v>
      </c>
      <c r="H3734">
        <v>25</v>
      </c>
      <c r="I3734">
        <v>67.040000000000006</v>
      </c>
      <c r="J3734">
        <v>81.64</v>
      </c>
      <c r="K3734">
        <v>14.6</v>
      </c>
      <c r="L3734">
        <v>18</v>
      </c>
      <c r="M3734">
        <v>3</v>
      </c>
      <c r="N3734">
        <v>4</v>
      </c>
      <c r="O3734" t="s">
        <v>127</v>
      </c>
      <c r="P3734" t="s">
        <v>127</v>
      </c>
      <c r="Q3734" t="s">
        <v>127</v>
      </c>
    </row>
    <row r="3735" spans="1:17" x14ac:dyDescent="0.25">
      <c r="A3735" t="str">
        <f>IF(C3735&amp;G3735&amp;D3735&lt;&gt;'Funnel setup'!$K$3&amp;'Funnel setup'!$K$4&amp;'Funnel setup'!$K$6,".",IF(A3734=".",1,A3734+1))</f>
        <v>.</v>
      </c>
      <c r="B3735" s="244" t="str">
        <f t="shared" si="58"/>
        <v>Total Hip ReplacementProviderHAMPSHIRE HOSPITALS NHS FOUNDATION TRUST (RN5)EQ VAS</v>
      </c>
      <c r="C3735" t="s">
        <v>974</v>
      </c>
      <c r="D3735" t="s">
        <v>965</v>
      </c>
      <c r="E3735" t="s">
        <v>266</v>
      </c>
      <c r="F3735" t="s">
        <v>267</v>
      </c>
      <c r="G3735" t="s">
        <v>752</v>
      </c>
      <c r="H3735">
        <v>34</v>
      </c>
      <c r="I3735">
        <v>54.558799999999998</v>
      </c>
      <c r="J3735">
        <v>72.882400000000004</v>
      </c>
      <c r="K3735">
        <v>18.323499999999999</v>
      </c>
      <c r="L3735">
        <v>23</v>
      </c>
      <c r="M3735">
        <v>5</v>
      </c>
      <c r="N3735">
        <v>6</v>
      </c>
      <c r="O3735">
        <v>75.905199999999994</v>
      </c>
      <c r="P3735">
        <v>15.0891</v>
      </c>
      <c r="Q3735">
        <v>19.041399999999999</v>
      </c>
    </row>
    <row r="3736" spans="1:17" x14ac:dyDescent="0.25">
      <c r="A3736" t="str">
        <f>IF(C3736&amp;G3736&amp;D3736&lt;&gt;'Funnel setup'!$K$3&amp;'Funnel setup'!$K$4&amp;'Funnel setup'!$K$6,".",IF(A3735=".",1,A3735+1))</f>
        <v>.</v>
      </c>
      <c r="B3736" s="244" t="str">
        <f t="shared" si="58"/>
        <v>Total Hip ReplacementProviderHARBOUR HOSPITAL (NT419)EQ VAS</v>
      </c>
      <c r="C3736" t="s">
        <v>974</v>
      </c>
      <c r="D3736" t="s">
        <v>965</v>
      </c>
      <c r="E3736" t="s">
        <v>268</v>
      </c>
      <c r="F3736" t="s">
        <v>269</v>
      </c>
      <c r="G3736" t="s">
        <v>752</v>
      </c>
      <c r="H3736">
        <v>10</v>
      </c>
      <c r="I3736">
        <v>63</v>
      </c>
      <c r="J3736">
        <v>84.2</v>
      </c>
      <c r="K3736">
        <v>21.2</v>
      </c>
      <c r="L3736">
        <v>9</v>
      </c>
      <c r="M3736">
        <v>1</v>
      </c>
      <c r="N3736">
        <v>0</v>
      </c>
      <c r="O3736" t="s">
        <v>127</v>
      </c>
      <c r="P3736" t="s">
        <v>127</v>
      </c>
      <c r="Q3736" t="s">
        <v>127</v>
      </c>
    </row>
    <row r="3737" spans="1:17" x14ac:dyDescent="0.25">
      <c r="A3737" t="str">
        <f>IF(C3737&amp;G3737&amp;D3737&lt;&gt;'Funnel setup'!$K$3&amp;'Funnel setup'!$K$4&amp;'Funnel setup'!$K$6,".",IF(A3736=".",1,A3736+1))</f>
        <v>.</v>
      </c>
      <c r="B3737" s="244" t="str">
        <f t="shared" si="58"/>
        <v>Total Hip ReplacementProviderHARROGATE AND DISTRICT NHS FOUNDATION TRUST (RCD)EQ VAS</v>
      </c>
      <c r="C3737" t="s">
        <v>974</v>
      </c>
      <c r="D3737" t="s">
        <v>965</v>
      </c>
      <c r="E3737" t="s">
        <v>270</v>
      </c>
      <c r="F3737" t="s">
        <v>271</v>
      </c>
      <c r="G3737" t="s">
        <v>752</v>
      </c>
      <c r="H3737">
        <v>73</v>
      </c>
      <c r="I3737">
        <v>61.616399999999999</v>
      </c>
      <c r="J3737">
        <v>76.780799999999999</v>
      </c>
      <c r="K3737">
        <v>15.164400000000001</v>
      </c>
      <c r="L3737">
        <v>47</v>
      </c>
      <c r="M3737">
        <v>8</v>
      </c>
      <c r="N3737">
        <v>18</v>
      </c>
      <c r="O3737">
        <v>77.721699999999998</v>
      </c>
      <c r="P3737">
        <v>16.9056</v>
      </c>
      <c r="Q3737">
        <v>16.2529</v>
      </c>
    </row>
    <row r="3738" spans="1:17" x14ac:dyDescent="0.25">
      <c r="A3738" t="str">
        <f>IF(C3738&amp;G3738&amp;D3738&lt;&gt;'Funnel setup'!$K$3&amp;'Funnel setup'!$K$4&amp;'Funnel setup'!$K$6,".",IF(A3737=".",1,A3737+1))</f>
        <v>.</v>
      </c>
      <c r="B3738" s="244" t="str">
        <f t="shared" si="58"/>
        <v>Total Hip ReplacementProviderHIGHFIELD HOSPITAL (NT420)EQ VAS</v>
      </c>
      <c r="C3738" t="s">
        <v>974</v>
      </c>
      <c r="D3738" t="s">
        <v>965</v>
      </c>
      <c r="E3738" t="s">
        <v>272</v>
      </c>
      <c r="F3738" t="s">
        <v>273</v>
      </c>
      <c r="G3738" t="s">
        <v>752</v>
      </c>
      <c r="H3738">
        <v>137</v>
      </c>
      <c r="I3738">
        <v>62.313899999999997</v>
      </c>
      <c r="J3738">
        <v>78.503600000000006</v>
      </c>
      <c r="K3738">
        <v>16.189800000000002</v>
      </c>
      <c r="L3738">
        <v>101</v>
      </c>
      <c r="M3738">
        <v>8</v>
      </c>
      <c r="N3738">
        <v>28</v>
      </c>
      <c r="O3738">
        <v>76.977800000000002</v>
      </c>
      <c r="P3738">
        <v>16.1617</v>
      </c>
      <c r="Q3738">
        <v>14.979799999999999</v>
      </c>
    </row>
    <row r="3739" spans="1:17" x14ac:dyDescent="0.25">
      <c r="A3739" t="str">
        <f>IF(C3739&amp;G3739&amp;D3739&lt;&gt;'Funnel setup'!$K$3&amp;'Funnel setup'!$K$4&amp;'Funnel setup'!$K$6,".",IF(A3738=".",1,A3738+1))</f>
        <v>.</v>
      </c>
      <c r="B3739" s="244" t="str">
        <f t="shared" si="58"/>
        <v>Total Hip ReplacementProviderHOMERTON HEALTHCARE NHS FOUNDATION TRUST (RQX)EQ VAS</v>
      </c>
      <c r="C3739" t="s">
        <v>974</v>
      </c>
      <c r="D3739" t="s">
        <v>965</v>
      </c>
      <c r="E3739" t="s">
        <v>274</v>
      </c>
      <c r="F3739" t="s">
        <v>275</v>
      </c>
      <c r="G3739" t="s">
        <v>752</v>
      </c>
      <c r="H3739">
        <v>4</v>
      </c>
      <c r="I3739">
        <v>52.75</v>
      </c>
      <c r="J3739">
        <v>65</v>
      </c>
      <c r="K3739">
        <v>12.25</v>
      </c>
      <c r="L3739">
        <v>4</v>
      </c>
      <c r="M3739">
        <v>0</v>
      </c>
      <c r="N3739">
        <v>0</v>
      </c>
      <c r="O3739" t="s">
        <v>127</v>
      </c>
      <c r="P3739" t="s">
        <v>127</v>
      </c>
      <c r="Q3739" t="s">
        <v>127</v>
      </c>
    </row>
    <row r="3740" spans="1:17" x14ac:dyDescent="0.25">
      <c r="A3740" t="str">
        <f>IF(C3740&amp;G3740&amp;D3740&lt;&gt;'Funnel setup'!$K$3&amp;'Funnel setup'!$K$4&amp;'Funnel setup'!$K$6,".",IF(A3739=".",1,A3739+1))</f>
        <v>.</v>
      </c>
      <c r="B3740" s="244" t="str">
        <f t="shared" si="58"/>
        <v>Total Hip ReplacementProviderHUDDERSFIELD HOSPITAL (NT448)EQ VAS</v>
      </c>
      <c r="C3740" t="s">
        <v>974</v>
      </c>
      <c r="D3740" t="s">
        <v>965</v>
      </c>
      <c r="E3740" t="s">
        <v>276</v>
      </c>
      <c r="F3740" t="s">
        <v>277</v>
      </c>
      <c r="G3740" t="s">
        <v>752</v>
      </c>
      <c r="H3740">
        <v>8</v>
      </c>
      <c r="I3740">
        <v>57.375</v>
      </c>
      <c r="J3740">
        <v>80.625</v>
      </c>
      <c r="K3740">
        <v>23.25</v>
      </c>
      <c r="L3740">
        <v>6</v>
      </c>
      <c r="M3740">
        <v>1</v>
      </c>
      <c r="N3740">
        <v>1</v>
      </c>
      <c r="O3740" t="s">
        <v>127</v>
      </c>
      <c r="P3740" t="s">
        <v>127</v>
      </c>
      <c r="Q3740" t="s">
        <v>127</v>
      </c>
    </row>
    <row r="3741" spans="1:17" x14ac:dyDescent="0.25">
      <c r="A3741" t="str">
        <f>IF(C3741&amp;G3741&amp;D3741&lt;&gt;'Funnel setup'!$K$3&amp;'Funnel setup'!$K$4&amp;'Funnel setup'!$K$6,".",IF(A3740=".",1,A3740+1))</f>
        <v>.</v>
      </c>
      <c r="B3741" s="244" t="str">
        <f t="shared" si="58"/>
        <v>Total Hip ReplacementProviderHULL UNIVERSITY TEACHING HOSPITALS NHS TRUST (RWA)EQ VAS</v>
      </c>
      <c r="C3741" t="s">
        <v>974</v>
      </c>
      <c r="D3741" t="s">
        <v>965</v>
      </c>
      <c r="E3741" t="s">
        <v>278</v>
      </c>
      <c r="F3741" t="s">
        <v>279</v>
      </c>
      <c r="G3741" t="s">
        <v>752</v>
      </c>
      <c r="H3741">
        <v>31</v>
      </c>
      <c r="I3741">
        <v>55.7742</v>
      </c>
      <c r="J3741">
        <v>65.580600000000004</v>
      </c>
      <c r="K3741">
        <v>9.8064499999999999</v>
      </c>
      <c r="L3741">
        <v>20</v>
      </c>
      <c r="M3741">
        <v>3</v>
      </c>
      <c r="N3741">
        <v>8</v>
      </c>
      <c r="O3741">
        <v>72.023499999999999</v>
      </c>
      <c r="P3741">
        <v>11.2074</v>
      </c>
      <c r="Q3741">
        <v>23.874300000000002</v>
      </c>
    </row>
    <row r="3742" spans="1:17" x14ac:dyDescent="0.25">
      <c r="A3742" t="str">
        <f>IF(C3742&amp;G3742&amp;D3742&lt;&gt;'Funnel setup'!$K$3&amp;'Funnel setup'!$K$4&amp;'Funnel setup'!$K$6,".",IF(A3741=".",1,A3741+1))</f>
        <v>.</v>
      </c>
      <c r="B3742" s="244" t="str">
        <f t="shared" si="58"/>
        <v>Total Hip ReplacementProviderIMPERIAL COLLEGE HEALTHCARE NHS TRUST (RYJ)EQ VAS</v>
      </c>
      <c r="C3742" t="s">
        <v>974</v>
      </c>
      <c r="D3742" t="s">
        <v>965</v>
      </c>
      <c r="E3742" t="s">
        <v>280</v>
      </c>
      <c r="F3742" t="s">
        <v>281</v>
      </c>
      <c r="G3742" t="s">
        <v>752</v>
      </c>
      <c r="H3742">
        <v>23</v>
      </c>
      <c r="I3742">
        <v>63.608699999999999</v>
      </c>
      <c r="J3742">
        <v>68</v>
      </c>
      <c r="K3742">
        <v>4.3913000000000002</v>
      </c>
      <c r="L3742">
        <v>12</v>
      </c>
      <c r="M3742">
        <v>4</v>
      </c>
      <c r="N3742">
        <v>7</v>
      </c>
      <c r="O3742" t="s">
        <v>127</v>
      </c>
      <c r="P3742" t="s">
        <v>127</v>
      </c>
      <c r="Q3742" t="s">
        <v>127</v>
      </c>
    </row>
    <row r="3743" spans="1:17" x14ac:dyDescent="0.25">
      <c r="A3743" t="str">
        <f>IF(C3743&amp;G3743&amp;D3743&lt;&gt;'Funnel setup'!$K$3&amp;'Funnel setup'!$K$4&amp;'Funnel setup'!$K$6,".",IF(A3742=".",1,A3742+1))</f>
        <v>.</v>
      </c>
      <c r="B3743" s="244" t="str">
        <f t="shared" si="58"/>
        <v>Total Hip ReplacementProviderISLE OF WIGHT NHS TRUST (R1F)EQ VAS</v>
      </c>
      <c r="C3743" t="s">
        <v>974</v>
      </c>
      <c r="D3743" t="s">
        <v>965</v>
      </c>
      <c r="E3743" t="s">
        <v>282</v>
      </c>
      <c r="F3743" t="s">
        <v>283</v>
      </c>
      <c r="G3743" t="s">
        <v>752</v>
      </c>
      <c r="H3743">
        <v>1</v>
      </c>
      <c r="I3743">
        <v>95</v>
      </c>
      <c r="J3743">
        <v>81</v>
      </c>
      <c r="K3743">
        <v>-14</v>
      </c>
      <c r="L3743">
        <v>0</v>
      </c>
      <c r="M3743">
        <v>0</v>
      </c>
      <c r="N3743">
        <v>1</v>
      </c>
      <c r="O3743" t="s">
        <v>127</v>
      </c>
      <c r="P3743" t="s">
        <v>127</v>
      </c>
      <c r="Q3743" t="s">
        <v>127</v>
      </c>
    </row>
    <row r="3744" spans="1:17" x14ac:dyDescent="0.25">
      <c r="A3744" t="str">
        <f>IF(C3744&amp;G3744&amp;D3744&lt;&gt;'Funnel setup'!$K$3&amp;'Funnel setup'!$K$4&amp;'Funnel setup'!$K$6,".",IF(A3743=".",1,A3743+1))</f>
        <v>.</v>
      </c>
      <c r="B3744" s="244" t="str">
        <f t="shared" si="58"/>
        <v>Total Hip ReplacementProviderJAMES PAGET UNIVERSITY HOSPITALS NHS FOUNDATION TRUST (RGP)EQ VAS</v>
      </c>
      <c r="C3744" t="s">
        <v>974</v>
      </c>
      <c r="D3744" t="s">
        <v>965</v>
      </c>
      <c r="E3744" t="s">
        <v>284</v>
      </c>
      <c r="F3744" t="s">
        <v>285</v>
      </c>
      <c r="G3744" t="s">
        <v>752</v>
      </c>
      <c r="H3744">
        <v>63</v>
      </c>
      <c r="I3744">
        <v>61.492100000000001</v>
      </c>
      <c r="J3744">
        <v>78.8095</v>
      </c>
      <c r="K3744">
        <v>17.317499999999999</v>
      </c>
      <c r="L3744">
        <v>43</v>
      </c>
      <c r="M3744">
        <v>5</v>
      </c>
      <c r="N3744">
        <v>15</v>
      </c>
      <c r="O3744">
        <v>77.860600000000005</v>
      </c>
      <c r="P3744">
        <v>17.044499999999999</v>
      </c>
      <c r="Q3744">
        <v>17.432700000000001</v>
      </c>
    </row>
    <row r="3745" spans="1:17" x14ac:dyDescent="0.25">
      <c r="A3745" t="str">
        <f>IF(C3745&amp;G3745&amp;D3745&lt;&gt;'Funnel setup'!$K$3&amp;'Funnel setup'!$K$4&amp;'Funnel setup'!$K$6,".",IF(A3744=".",1,A3744+1))</f>
        <v>.</v>
      </c>
      <c r="B3745" s="244" t="str">
        <f t="shared" si="58"/>
        <v>Total Hip ReplacementProviderKETTERING GENERAL HOSPITAL NHS FOUNDATION TRUST (RNQ)EQ VAS</v>
      </c>
      <c r="C3745" t="s">
        <v>974</v>
      </c>
      <c r="D3745" t="s">
        <v>965</v>
      </c>
      <c r="E3745" t="s">
        <v>286</v>
      </c>
      <c r="F3745" t="s">
        <v>287</v>
      </c>
      <c r="G3745" t="s">
        <v>752</v>
      </c>
      <c r="H3745">
        <v>32</v>
      </c>
      <c r="I3745">
        <v>35.4375</v>
      </c>
      <c r="J3745">
        <v>75.843800000000002</v>
      </c>
      <c r="K3745">
        <v>40.406300000000002</v>
      </c>
      <c r="L3745">
        <v>28</v>
      </c>
      <c r="M3745">
        <v>1</v>
      </c>
      <c r="N3745">
        <v>3</v>
      </c>
      <c r="O3745">
        <v>84.447999999999993</v>
      </c>
      <c r="P3745">
        <v>23.631900000000002</v>
      </c>
      <c r="Q3745">
        <v>14.5267</v>
      </c>
    </row>
    <row r="3746" spans="1:17" x14ac:dyDescent="0.25">
      <c r="A3746" t="str">
        <f>IF(C3746&amp;G3746&amp;D3746&lt;&gt;'Funnel setup'!$K$3&amp;'Funnel setup'!$K$4&amp;'Funnel setup'!$K$6,".",IF(A3745=".",1,A3745+1))</f>
        <v>.</v>
      </c>
      <c r="B3746" s="244" t="str">
        <f t="shared" si="58"/>
        <v>Total Hip ReplacementProviderKIMS HOSPITAL (NEWNHAM COURT) (ADP02)EQ VAS</v>
      </c>
      <c r="C3746" t="s">
        <v>974</v>
      </c>
      <c r="D3746" t="s">
        <v>965</v>
      </c>
      <c r="E3746" t="s">
        <v>288</v>
      </c>
      <c r="F3746" t="s">
        <v>289</v>
      </c>
      <c r="G3746" t="s">
        <v>752</v>
      </c>
      <c r="H3746">
        <v>93</v>
      </c>
      <c r="I3746">
        <v>66.516099999999994</v>
      </c>
      <c r="J3746">
        <v>79.1828</v>
      </c>
      <c r="K3746">
        <v>12.666700000000001</v>
      </c>
      <c r="L3746">
        <v>70</v>
      </c>
      <c r="M3746">
        <v>5</v>
      </c>
      <c r="N3746">
        <v>18</v>
      </c>
      <c r="O3746">
        <v>75.694999999999993</v>
      </c>
      <c r="P3746">
        <v>14.8789</v>
      </c>
      <c r="Q3746">
        <v>14.8773</v>
      </c>
    </row>
    <row r="3747" spans="1:17" x14ac:dyDescent="0.25">
      <c r="A3747" t="str">
        <f>IF(C3747&amp;G3747&amp;D3747&lt;&gt;'Funnel setup'!$K$3&amp;'Funnel setup'!$K$4&amp;'Funnel setup'!$K$6,".",IF(A3746=".",1,A3746+1))</f>
        <v>.</v>
      </c>
      <c r="B3747" s="244" t="str">
        <f t="shared" si="58"/>
        <v>Total Hip ReplacementProviderKING'S COLLEGE HOSPITAL NHS FOUNDATION TRUST (RJZ)EQ VAS</v>
      </c>
      <c r="C3747" t="s">
        <v>974</v>
      </c>
      <c r="D3747" t="s">
        <v>965</v>
      </c>
      <c r="E3747" t="s">
        <v>290</v>
      </c>
      <c r="F3747" t="s">
        <v>291</v>
      </c>
      <c r="G3747" t="s">
        <v>752</v>
      </c>
      <c r="H3747">
        <v>15</v>
      </c>
      <c r="I3747">
        <v>56.2</v>
      </c>
      <c r="J3747">
        <v>70.2</v>
      </c>
      <c r="K3747">
        <v>14</v>
      </c>
      <c r="L3747">
        <v>14</v>
      </c>
      <c r="M3747">
        <v>0</v>
      </c>
      <c r="N3747">
        <v>1</v>
      </c>
      <c r="O3747" t="s">
        <v>127</v>
      </c>
      <c r="P3747" t="s">
        <v>127</v>
      </c>
      <c r="Q3747" t="s">
        <v>127</v>
      </c>
    </row>
    <row r="3748" spans="1:17" x14ac:dyDescent="0.25">
      <c r="A3748" t="str">
        <f>IF(C3748&amp;G3748&amp;D3748&lt;&gt;'Funnel setup'!$K$3&amp;'Funnel setup'!$K$4&amp;'Funnel setup'!$K$6,".",IF(A3747=".",1,A3747+1))</f>
        <v>.</v>
      </c>
      <c r="B3748" s="244" t="str">
        <f t="shared" si="58"/>
        <v>Total Hip ReplacementProviderKINGS OAK HOSPITAL (NT421)EQ VAS</v>
      </c>
      <c r="C3748" t="s">
        <v>974</v>
      </c>
      <c r="D3748" t="s">
        <v>965</v>
      </c>
      <c r="E3748" t="s">
        <v>292</v>
      </c>
      <c r="F3748" t="s">
        <v>293</v>
      </c>
      <c r="G3748" t="s">
        <v>752</v>
      </c>
      <c r="H3748">
        <v>15</v>
      </c>
      <c r="I3748">
        <v>67.066699999999997</v>
      </c>
      <c r="J3748">
        <v>78.933300000000003</v>
      </c>
      <c r="K3748">
        <v>11.8667</v>
      </c>
      <c r="L3748">
        <v>11</v>
      </c>
      <c r="M3748">
        <v>1</v>
      </c>
      <c r="N3748">
        <v>3</v>
      </c>
      <c r="O3748" t="s">
        <v>127</v>
      </c>
      <c r="P3748" t="s">
        <v>127</v>
      </c>
      <c r="Q3748" t="s">
        <v>127</v>
      </c>
    </row>
    <row r="3749" spans="1:17" x14ac:dyDescent="0.25">
      <c r="A3749" t="str">
        <f>IF(C3749&amp;G3749&amp;D3749&lt;&gt;'Funnel setup'!$K$3&amp;'Funnel setup'!$K$4&amp;'Funnel setup'!$K$6,".",IF(A3748=".",1,A3748+1))</f>
        <v>.</v>
      </c>
      <c r="B3749" s="244" t="str">
        <f t="shared" si="58"/>
        <v>Total Hip ReplacementProviderLANCASHIRE TEACHING HOSPITALS NHS FOUNDATION TRUST (RXN)EQ VAS</v>
      </c>
      <c r="C3749" t="s">
        <v>974</v>
      </c>
      <c r="D3749" t="s">
        <v>965</v>
      </c>
      <c r="E3749" t="s">
        <v>296</v>
      </c>
      <c r="F3749" t="s">
        <v>297</v>
      </c>
      <c r="G3749" t="s">
        <v>752</v>
      </c>
      <c r="H3749">
        <v>32</v>
      </c>
      <c r="I3749">
        <v>65.125</v>
      </c>
      <c r="J3749">
        <v>68.6875</v>
      </c>
      <c r="K3749">
        <v>3.5625</v>
      </c>
      <c r="L3749">
        <v>17</v>
      </c>
      <c r="M3749">
        <v>5</v>
      </c>
      <c r="N3749">
        <v>10</v>
      </c>
      <c r="O3749">
        <v>72.491900000000001</v>
      </c>
      <c r="P3749">
        <v>11.675800000000001</v>
      </c>
      <c r="Q3749">
        <v>21.113399999999999</v>
      </c>
    </row>
    <row r="3750" spans="1:17" x14ac:dyDescent="0.25">
      <c r="A3750" t="str">
        <f>IF(C3750&amp;G3750&amp;D3750&lt;&gt;'Funnel setup'!$K$3&amp;'Funnel setup'!$K$4&amp;'Funnel setup'!$K$6,".",IF(A3749=".",1,A3749+1))</f>
        <v>.</v>
      </c>
      <c r="B3750" s="244" t="str">
        <f t="shared" si="58"/>
        <v>Total Hip ReplacementProviderLANCASTER HOSPITAL (NT449)EQ VAS</v>
      </c>
      <c r="C3750" t="s">
        <v>974</v>
      </c>
      <c r="D3750" t="s">
        <v>965</v>
      </c>
      <c r="E3750" t="s">
        <v>298</v>
      </c>
      <c r="F3750" t="s">
        <v>299</v>
      </c>
      <c r="G3750" t="s">
        <v>752</v>
      </c>
      <c r="H3750">
        <v>20</v>
      </c>
      <c r="I3750">
        <v>65.75</v>
      </c>
      <c r="J3750">
        <v>80.7</v>
      </c>
      <c r="K3750">
        <v>14.95</v>
      </c>
      <c r="L3750">
        <v>16</v>
      </c>
      <c r="M3750">
        <v>1</v>
      </c>
      <c r="N3750">
        <v>3</v>
      </c>
      <c r="O3750" t="s">
        <v>127</v>
      </c>
      <c r="P3750" t="s">
        <v>127</v>
      </c>
      <c r="Q3750" t="s">
        <v>127</v>
      </c>
    </row>
    <row r="3751" spans="1:17" x14ac:dyDescent="0.25">
      <c r="A3751" t="str">
        <f>IF(C3751&amp;G3751&amp;D3751&lt;&gt;'Funnel setup'!$K$3&amp;'Funnel setup'!$K$4&amp;'Funnel setup'!$K$6,".",IF(A3750=".",1,A3750+1))</f>
        <v>.</v>
      </c>
      <c r="B3751" s="244" t="str">
        <f t="shared" si="58"/>
        <v>Total Hip ReplacementProviderLEEDS TEACHING HOSPITALS NHS TRUST (RR8)EQ VAS</v>
      </c>
      <c r="C3751" t="s">
        <v>974</v>
      </c>
      <c r="D3751" t="s">
        <v>965</v>
      </c>
      <c r="E3751" t="s">
        <v>300</v>
      </c>
      <c r="F3751" t="s">
        <v>301</v>
      </c>
      <c r="G3751" t="s">
        <v>752</v>
      </c>
      <c r="H3751">
        <v>110</v>
      </c>
      <c r="I3751">
        <v>59.863599999999998</v>
      </c>
      <c r="J3751">
        <v>70.590900000000005</v>
      </c>
      <c r="K3751">
        <v>10.7273</v>
      </c>
      <c r="L3751">
        <v>76</v>
      </c>
      <c r="M3751">
        <v>9</v>
      </c>
      <c r="N3751">
        <v>25</v>
      </c>
      <c r="O3751">
        <v>71.319500000000005</v>
      </c>
      <c r="P3751">
        <v>10.503399999999999</v>
      </c>
      <c r="Q3751">
        <v>19.8871</v>
      </c>
    </row>
    <row r="3752" spans="1:17" x14ac:dyDescent="0.25">
      <c r="A3752" t="str">
        <f>IF(C3752&amp;G3752&amp;D3752&lt;&gt;'Funnel setup'!$K$3&amp;'Funnel setup'!$K$4&amp;'Funnel setup'!$K$6,".",IF(A3751=".",1,A3751+1))</f>
        <v>.</v>
      </c>
      <c r="B3752" s="244" t="str">
        <f t="shared" si="58"/>
        <v>Total Hip ReplacementProviderLEWISHAM AND GREENWICH NHS TRUST (RJ2)EQ VAS</v>
      </c>
      <c r="C3752" t="s">
        <v>974</v>
      </c>
      <c r="D3752" t="s">
        <v>965</v>
      </c>
      <c r="E3752" t="s">
        <v>302</v>
      </c>
      <c r="F3752" t="s">
        <v>303</v>
      </c>
      <c r="G3752" t="s">
        <v>752</v>
      </c>
      <c r="H3752">
        <v>2</v>
      </c>
      <c r="I3752">
        <v>71</v>
      </c>
      <c r="J3752">
        <v>86</v>
      </c>
      <c r="K3752">
        <v>15</v>
      </c>
      <c r="L3752">
        <v>2</v>
      </c>
      <c r="M3752">
        <v>0</v>
      </c>
      <c r="N3752">
        <v>0</v>
      </c>
      <c r="O3752" t="s">
        <v>127</v>
      </c>
      <c r="P3752" t="s">
        <v>127</v>
      </c>
      <c r="Q3752" t="s">
        <v>127</v>
      </c>
    </row>
    <row r="3753" spans="1:17" x14ac:dyDescent="0.25">
      <c r="A3753" t="str">
        <f>IF(C3753&amp;G3753&amp;D3753&lt;&gt;'Funnel setup'!$K$3&amp;'Funnel setup'!$K$4&amp;'Funnel setup'!$K$6,".",IF(A3752=".",1,A3752+1))</f>
        <v>.</v>
      </c>
      <c r="B3753" s="244" t="str">
        <f t="shared" si="58"/>
        <v>Total Hip ReplacementProviderLINCOLN HOSPITAL (NT450)EQ VAS</v>
      </c>
      <c r="C3753" t="s">
        <v>974</v>
      </c>
      <c r="D3753" t="s">
        <v>965</v>
      </c>
      <c r="E3753" t="s">
        <v>304</v>
      </c>
      <c r="F3753" t="s">
        <v>305</v>
      </c>
      <c r="G3753" t="s">
        <v>752</v>
      </c>
      <c r="H3753">
        <v>66</v>
      </c>
      <c r="I3753">
        <v>66.197000000000003</v>
      </c>
      <c r="J3753">
        <v>76.212100000000007</v>
      </c>
      <c r="K3753">
        <v>10.0152</v>
      </c>
      <c r="L3753">
        <v>43</v>
      </c>
      <c r="M3753">
        <v>8</v>
      </c>
      <c r="N3753">
        <v>15</v>
      </c>
      <c r="O3753">
        <v>75.388999999999996</v>
      </c>
      <c r="P3753">
        <v>14.572900000000001</v>
      </c>
      <c r="Q3753">
        <v>18.2014</v>
      </c>
    </row>
    <row r="3754" spans="1:17" x14ac:dyDescent="0.25">
      <c r="A3754" t="str">
        <f>IF(C3754&amp;G3754&amp;D3754&lt;&gt;'Funnel setup'!$K$3&amp;'Funnel setup'!$K$4&amp;'Funnel setup'!$K$6,".",IF(A3753=".",1,A3753+1))</f>
        <v>.</v>
      </c>
      <c r="B3754" s="244" t="str">
        <f t="shared" si="58"/>
        <v>Total Hip ReplacementProviderLIVERPOOL UNIVERSITY HOSPITALS NHS FOUNDATION TRUST (REM)EQ VAS</v>
      </c>
      <c r="C3754" t="s">
        <v>974</v>
      </c>
      <c r="D3754" t="s">
        <v>965</v>
      </c>
      <c r="E3754" t="s">
        <v>306</v>
      </c>
      <c r="F3754" t="s">
        <v>307</v>
      </c>
      <c r="G3754" t="s">
        <v>752</v>
      </c>
      <c r="H3754">
        <v>86</v>
      </c>
      <c r="I3754">
        <v>53.616300000000003</v>
      </c>
      <c r="J3754">
        <v>71.848799999999997</v>
      </c>
      <c r="K3754">
        <v>18.232600000000001</v>
      </c>
      <c r="L3754">
        <v>61</v>
      </c>
      <c r="M3754">
        <v>7</v>
      </c>
      <c r="N3754">
        <v>18</v>
      </c>
      <c r="O3754">
        <v>78.381500000000003</v>
      </c>
      <c r="P3754">
        <v>17.5654</v>
      </c>
      <c r="Q3754">
        <v>17.3553</v>
      </c>
    </row>
    <row r="3755" spans="1:17" x14ac:dyDescent="0.25">
      <c r="A3755" t="str">
        <f>IF(C3755&amp;G3755&amp;D3755&lt;&gt;'Funnel setup'!$K$3&amp;'Funnel setup'!$K$4&amp;'Funnel setup'!$K$6,".",IF(A3754=".",1,A3754+1))</f>
        <v>.</v>
      </c>
      <c r="B3755" s="244" t="str">
        <f t="shared" si="58"/>
        <v>Total Hip ReplacementProviderLONDON INDEPENDENT HOSPITAL (NT422)EQ VAS</v>
      </c>
      <c r="C3755" t="s">
        <v>974</v>
      </c>
      <c r="D3755" t="s">
        <v>965</v>
      </c>
      <c r="E3755" t="s">
        <v>308</v>
      </c>
      <c r="F3755" t="s">
        <v>309</v>
      </c>
      <c r="G3755" t="s">
        <v>752</v>
      </c>
      <c r="H3755">
        <v>8</v>
      </c>
      <c r="I3755">
        <v>66.25</v>
      </c>
      <c r="J3755">
        <v>70</v>
      </c>
      <c r="K3755">
        <v>3.75</v>
      </c>
      <c r="L3755">
        <v>3</v>
      </c>
      <c r="M3755">
        <v>0</v>
      </c>
      <c r="N3755">
        <v>5</v>
      </c>
      <c r="O3755" t="s">
        <v>127</v>
      </c>
      <c r="P3755" t="s">
        <v>127</v>
      </c>
      <c r="Q3755" t="s">
        <v>127</v>
      </c>
    </row>
    <row r="3756" spans="1:17" x14ac:dyDescent="0.25">
      <c r="A3756" t="str">
        <f>IF(C3756&amp;G3756&amp;D3756&lt;&gt;'Funnel setup'!$K$3&amp;'Funnel setup'!$K$4&amp;'Funnel setup'!$K$6,".",IF(A3755=".",1,A3755+1))</f>
        <v>.</v>
      </c>
      <c r="B3756" s="244" t="str">
        <f t="shared" si="58"/>
        <v>Total Hip ReplacementProviderMAIDSTONE AND TUNBRIDGE WELLS NHS TRUST (RWF)EQ VAS</v>
      </c>
      <c r="C3756" t="s">
        <v>974</v>
      </c>
      <c r="D3756" t="s">
        <v>965</v>
      </c>
      <c r="E3756" t="s">
        <v>312</v>
      </c>
      <c r="F3756" t="s">
        <v>313</v>
      </c>
      <c r="G3756" t="s">
        <v>752</v>
      </c>
      <c r="H3756">
        <v>109</v>
      </c>
      <c r="I3756">
        <v>61.4587</v>
      </c>
      <c r="J3756">
        <v>76.990799999999993</v>
      </c>
      <c r="K3756">
        <v>15.5321</v>
      </c>
      <c r="L3756">
        <v>82</v>
      </c>
      <c r="M3756">
        <v>7</v>
      </c>
      <c r="N3756">
        <v>20</v>
      </c>
      <c r="O3756">
        <v>75.0518</v>
      </c>
      <c r="P3756">
        <v>14.2357</v>
      </c>
      <c r="Q3756">
        <v>17.7272</v>
      </c>
    </row>
    <row r="3757" spans="1:17" x14ac:dyDescent="0.25">
      <c r="A3757" t="str">
        <f>IF(C3757&amp;G3757&amp;D3757&lt;&gt;'Funnel setup'!$K$3&amp;'Funnel setup'!$K$4&amp;'Funnel setup'!$K$6,".",IF(A3756=".",1,A3756+1))</f>
        <v>.</v>
      </c>
      <c r="B3757" s="244" t="str">
        <f t="shared" si="58"/>
        <v>Total Hip ReplacementProviderMANCHESTER UNIVERSITY NHS FOUNDATION TRUST (R0A)EQ VAS</v>
      </c>
      <c r="C3757" t="s">
        <v>974</v>
      </c>
      <c r="D3757" t="s">
        <v>965</v>
      </c>
      <c r="E3757" t="s">
        <v>316</v>
      </c>
      <c r="F3757" t="s">
        <v>317</v>
      </c>
      <c r="G3757" t="s">
        <v>752</v>
      </c>
      <c r="H3757">
        <v>89</v>
      </c>
      <c r="I3757">
        <v>55.752800000000001</v>
      </c>
      <c r="J3757">
        <v>68.2697</v>
      </c>
      <c r="K3757">
        <v>12.5169</v>
      </c>
      <c r="L3757">
        <v>58</v>
      </c>
      <c r="M3757">
        <v>3</v>
      </c>
      <c r="N3757">
        <v>28</v>
      </c>
      <c r="O3757">
        <v>70.840299999999999</v>
      </c>
      <c r="P3757">
        <v>10.0242</v>
      </c>
      <c r="Q3757">
        <v>21.639299999999999</v>
      </c>
    </row>
    <row r="3758" spans="1:17" x14ac:dyDescent="0.25">
      <c r="A3758" t="str">
        <f>IF(C3758&amp;G3758&amp;D3758&lt;&gt;'Funnel setup'!$K$3&amp;'Funnel setup'!$K$4&amp;'Funnel setup'!$K$6,".",IF(A3757=".",1,A3757+1))</f>
        <v>.</v>
      </c>
      <c r="B3758" s="244" t="str">
        <f t="shared" si="58"/>
        <v>Total Hip ReplacementProviderMANOR HOSPITAL (NT423)EQ VAS</v>
      </c>
      <c r="C3758" t="s">
        <v>974</v>
      </c>
      <c r="D3758" t="s">
        <v>965</v>
      </c>
      <c r="E3758" t="s">
        <v>318</v>
      </c>
      <c r="F3758" t="s">
        <v>319</v>
      </c>
      <c r="G3758" t="s">
        <v>752</v>
      </c>
      <c r="H3758">
        <v>14</v>
      </c>
      <c r="I3758">
        <v>67.071399999999997</v>
      </c>
      <c r="J3758">
        <v>82.5</v>
      </c>
      <c r="K3758">
        <v>15.428599999999999</v>
      </c>
      <c r="L3758">
        <v>9</v>
      </c>
      <c r="M3758">
        <v>2</v>
      </c>
      <c r="N3758">
        <v>3</v>
      </c>
      <c r="O3758" t="s">
        <v>127</v>
      </c>
      <c r="P3758" t="s">
        <v>127</v>
      </c>
      <c r="Q3758" t="s">
        <v>127</v>
      </c>
    </row>
    <row r="3759" spans="1:17" x14ac:dyDescent="0.25">
      <c r="A3759" t="str">
        <f>IF(C3759&amp;G3759&amp;D3759&lt;&gt;'Funnel setup'!$K$3&amp;'Funnel setup'!$K$4&amp;'Funnel setup'!$K$6,".",IF(A3758=".",1,A3758+1))</f>
        <v>.</v>
      </c>
      <c r="B3759" s="244" t="str">
        <f t="shared" si="58"/>
        <v>Total Hip ReplacementProviderMEDWAY NHS FOUNDATION TRUST (RPA)EQ VAS</v>
      </c>
      <c r="C3759" t="s">
        <v>974</v>
      </c>
      <c r="D3759" t="s">
        <v>965</v>
      </c>
      <c r="E3759" t="s">
        <v>320</v>
      </c>
      <c r="F3759" t="s">
        <v>321</v>
      </c>
      <c r="G3759" t="s">
        <v>752</v>
      </c>
      <c r="H3759">
        <v>42</v>
      </c>
      <c r="I3759">
        <v>59.666699999999999</v>
      </c>
      <c r="J3759">
        <v>74.428600000000003</v>
      </c>
      <c r="K3759">
        <v>14.761900000000001</v>
      </c>
      <c r="L3759">
        <v>28</v>
      </c>
      <c r="M3759">
        <v>2</v>
      </c>
      <c r="N3759">
        <v>12</v>
      </c>
      <c r="O3759">
        <v>77.456100000000006</v>
      </c>
      <c r="P3759">
        <v>16.64</v>
      </c>
      <c r="Q3759">
        <v>15.8028</v>
      </c>
    </row>
    <row r="3760" spans="1:17" x14ac:dyDescent="0.25">
      <c r="A3760" t="str">
        <f>IF(C3760&amp;G3760&amp;D3760&lt;&gt;'Funnel setup'!$K$3&amp;'Funnel setup'!$K$4&amp;'Funnel setup'!$K$6,".",IF(A3759=".",1,A3759+1))</f>
        <v>.</v>
      </c>
      <c r="B3760" s="244" t="str">
        <f t="shared" si="58"/>
        <v>Total Hip ReplacementProviderMERIDEN HOSPITAL (NT424)EQ VAS</v>
      </c>
      <c r="C3760" t="s">
        <v>974</v>
      </c>
      <c r="D3760" t="s">
        <v>965</v>
      </c>
      <c r="E3760" t="s">
        <v>322</v>
      </c>
      <c r="F3760" t="s">
        <v>323</v>
      </c>
      <c r="G3760" t="s">
        <v>752</v>
      </c>
      <c r="H3760">
        <v>6</v>
      </c>
      <c r="I3760">
        <v>59.666699999999999</v>
      </c>
      <c r="J3760">
        <v>72.833299999999994</v>
      </c>
      <c r="K3760">
        <v>13.166700000000001</v>
      </c>
      <c r="L3760">
        <v>4</v>
      </c>
      <c r="M3760">
        <v>1</v>
      </c>
      <c r="N3760">
        <v>1</v>
      </c>
      <c r="O3760" t="s">
        <v>127</v>
      </c>
      <c r="P3760" t="s">
        <v>127</v>
      </c>
      <c r="Q3760" t="s">
        <v>127</v>
      </c>
    </row>
    <row r="3761" spans="1:17" x14ac:dyDescent="0.25">
      <c r="A3761" t="str">
        <f>IF(C3761&amp;G3761&amp;D3761&lt;&gt;'Funnel setup'!$K$3&amp;'Funnel setup'!$K$4&amp;'Funnel setup'!$K$6,".",IF(A3760=".",1,A3760+1))</f>
        <v>.</v>
      </c>
      <c r="B3761" s="244" t="str">
        <f t="shared" si="58"/>
        <v>Total Hip ReplacementProviderMID AND SOUTH ESSEX NHS FOUNDATION TRUST (RAJ)EQ VAS</v>
      </c>
      <c r="C3761" t="s">
        <v>974</v>
      </c>
      <c r="D3761" t="s">
        <v>965</v>
      </c>
      <c r="E3761" t="s">
        <v>324</v>
      </c>
      <c r="F3761" t="s">
        <v>325</v>
      </c>
      <c r="G3761" t="s">
        <v>752</v>
      </c>
      <c r="H3761">
        <v>113</v>
      </c>
      <c r="I3761">
        <v>51.530999999999999</v>
      </c>
      <c r="J3761">
        <v>70.194699999999997</v>
      </c>
      <c r="K3761">
        <v>18.663699999999999</v>
      </c>
      <c r="L3761">
        <v>84</v>
      </c>
      <c r="M3761">
        <v>7</v>
      </c>
      <c r="N3761">
        <v>22</v>
      </c>
      <c r="O3761">
        <v>74.3446</v>
      </c>
      <c r="P3761">
        <v>13.528499999999999</v>
      </c>
      <c r="Q3761">
        <v>18.1998</v>
      </c>
    </row>
    <row r="3762" spans="1:17" x14ac:dyDescent="0.25">
      <c r="A3762" t="str">
        <f>IF(C3762&amp;G3762&amp;D3762&lt;&gt;'Funnel setup'!$K$3&amp;'Funnel setup'!$K$4&amp;'Funnel setup'!$K$6,".",IF(A3761=".",1,A3761+1))</f>
        <v>.</v>
      </c>
      <c r="B3762" s="244" t="str">
        <f t="shared" si="58"/>
        <v>Total Hip ReplacementProviderMID CHESHIRE HOSPITALS NHS FOUNDATION TRUST (RBT)EQ VAS</v>
      </c>
      <c r="C3762" t="s">
        <v>974</v>
      </c>
      <c r="D3762" t="s">
        <v>965</v>
      </c>
      <c r="E3762" t="s">
        <v>326</v>
      </c>
      <c r="F3762" t="s">
        <v>327</v>
      </c>
      <c r="G3762" t="s">
        <v>752</v>
      </c>
      <c r="H3762">
        <v>91</v>
      </c>
      <c r="I3762">
        <v>56.9011</v>
      </c>
      <c r="J3762">
        <v>75.923100000000005</v>
      </c>
      <c r="K3762">
        <v>19.021999999999998</v>
      </c>
      <c r="L3762">
        <v>68</v>
      </c>
      <c r="M3762">
        <v>7</v>
      </c>
      <c r="N3762">
        <v>16</v>
      </c>
      <c r="O3762">
        <v>76.177999999999997</v>
      </c>
      <c r="P3762">
        <v>15.3619</v>
      </c>
      <c r="Q3762">
        <v>16.293500000000002</v>
      </c>
    </row>
    <row r="3763" spans="1:17" x14ac:dyDescent="0.25">
      <c r="A3763" t="str">
        <f>IF(C3763&amp;G3763&amp;D3763&lt;&gt;'Funnel setup'!$K$3&amp;'Funnel setup'!$K$4&amp;'Funnel setup'!$K$6,".",IF(A3762=".",1,A3762+1))</f>
        <v>.</v>
      </c>
      <c r="B3763" s="244" t="str">
        <f t="shared" si="58"/>
        <v>Total Hip ReplacementProviderMID YORKSHIRE TEACHING NHS TRUST (RXF)EQ VAS</v>
      </c>
      <c r="C3763" t="s">
        <v>974</v>
      </c>
      <c r="D3763" t="s">
        <v>965</v>
      </c>
      <c r="E3763" t="s">
        <v>330</v>
      </c>
      <c r="F3763" t="s">
        <v>331</v>
      </c>
      <c r="G3763" t="s">
        <v>752</v>
      </c>
      <c r="H3763">
        <v>170</v>
      </c>
      <c r="I3763">
        <v>57.370600000000003</v>
      </c>
      <c r="J3763">
        <v>74.123500000000007</v>
      </c>
      <c r="K3763">
        <v>16.7529</v>
      </c>
      <c r="L3763">
        <v>119</v>
      </c>
      <c r="M3763">
        <v>12</v>
      </c>
      <c r="N3763">
        <v>39</v>
      </c>
      <c r="O3763">
        <v>77.154300000000006</v>
      </c>
      <c r="P3763">
        <v>16.338200000000001</v>
      </c>
      <c r="Q3763">
        <v>17.099399999999999</v>
      </c>
    </row>
    <row r="3764" spans="1:17" x14ac:dyDescent="0.25">
      <c r="A3764" t="str">
        <f>IF(C3764&amp;G3764&amp;D3764&lt;&gt;'Funnel setup'!$K$3&amp;'Funnel setup'!$K$4&amp;'Funnel setup'!$K$6,".",IF(A3763=".",1,A3763+1))</f>
        <v>.</v>
      </c>
      <c r="B3764" s="244" t="str">
        <f t="shared" si="58"/>
        <v>Total Hip ReplacementProviderMILTON KEYNES UNIVERSITY HOSPITAL NHS FOUNDATION TRUST (RD8)EQ VAS</v>
      </c>
      <c r="C3764" t="s">
        <v>974</v>
      </c>
      <c r="D3764" t="s">
        <v>965</v>
      </c>
      <c r="E3764" t="s">
        <v>332</v>
      </c>
      <c r="F3764" t="s">
        <v>333</v>
      </c>
      <c r="G3764" t="s">
        <v>752</v>
      </c>
      <c r="H3764">
        <v>36</v>
      </c>
      <c r="I3764">
        <v>51.513500000000001</v>
      </c>
      <c r="J3764">
        <v>75.135099999999994</v>
      </c>
      <c r="K3764">
        <v>23.621600000000001</v>
      </c>
      <c r="L3764">
        <v>28</v>
      </c>
      <c r="M3764">
        <v>2</v>
      </c>
      <c r="N3764">
        <v>6</v>
      </c>
      <c r="O3764">
        <v>78.846699999999998</v>
      </c>
      <c r="P3764">
        <v>18.0306</v>
      </c>
      <c r="Q3764">
        <v>21.0731</v>
      </c>
    </row>
    <row r="3765" spans="1:17" x14ac:dyDescent="0.25">
      <c r="A3765" t="str">
        <f>IF(C3765&amp;G3765&amp;D3765&lt;&gt;'Funnel setup'!$K$3&amp;'Funnel setup'!$K$4&amp;'Funnel setup'!$K$6,".",IF(A3764=".",1,A3764+1))</f>
        <v>.</v>
      </c>
      <c r="B3765" s="244" t="str">
        <f t="shared" si="58"/>
        <v>Total Hip ReplacementProviderMOUNT ALVERNIA HOSPITAL (NT455)EQ VAS</v>
      </c>
      <c r="C3765" t="s">
        <v>974</v>
      </c>
      <c r="D3765" t="s">
        <v>965</v>
      </c>
      <c r="E3765" t="s">
        <v>334</v>
      </c>
      <c r="F3765" t="s">
        <v>335</v>
      </c>
      <c r="G3765" t="s">
        <v>752</v>
      </c>
      <c r="H3765">
        <v>7</v>
      </c>
      <c r="I3765">
        <v>61.285699999999999</v>
      </c>
      <c r="J3765">
        <v>72.428600000000003</v>
      </c>
      <c r="K3765">
        <v>11.142899999999999</v>
      </c>
      <c r="L3765">
        <v>4</v>
      </c>
      <c r="M3765">
        <v>0</v>
      </c>
      <c r="N3765">
        <v>3</v>
      </c>
      <c r="O3765" t="s">
        <v>127</v>
      </c>
      <c r="P3765" t="s">
        <v>127</v>
      </c>
      <c r="Q3765" t="s">
        <v>127</v>
      </c>
    </row>
    <row r="3766" spans="1:17" x14ac:dyDescent="0.25">
      <c r="A3766" t="str">
        <f>IF(C3766&amp;G3766&amp;D3766&lt;&gt;'Funnel setup'!$K$3&amp;'Funnel setup'!$K$4&amp;'Funnel setup'!$K$6,".",IF(A3765=".",1,A3765+1))</f>
        <v>.</v>
      </c>
      <c r="B3766" s="244" t="str">
        <f t="shared" si="58"/>
        <v>Total Hip ReplacementProviderMOUNT STUART HOSPITAL (NVC08)EQ VAS</v>
      </c>
      <c r="C3766" t="s">
        <v>974</v>
      </c>
      <c r="D3766" t="s">
        <v>965</v>
      </c>
      <c r="E3766" t="s">
        <v>336</v>
      </c>
      <c r="F3766" t="s">
        <v>337</v>
      </c>
      <c r="G3766" t="s">
        <v>752</v>
      </c>
      <c r="H3766">
        <v>85</v>
      </c>
      <c r="I3766">
        <v>71.741200000000006</v>
      </c>
      <c r="J3766">
        <v>75.682400000000001</v>
      </c>
      <c r="K3766">
        <v>3.9411800000000001</v>
      </c>
      <c r="L3766">
        <v>45</v>
      </c>
      <c r="M3766">
        <v>7</v>
      </c>
      <c r="N3766">
        <v>33</v>
      </c>
      <c r="O3766">
        <v>72.818299999999994</v>
      </c>
      <c r="P3766">
        <v>12.0022</v>
      </c>
      <c r="Q3766">
        <v>18.8384</v>
      </c>
    </row>
    <row r="3767" spans="1:17" x14ac:dyDescent="0.25">
      <c r="A3767" t="str">
        <f>IF(C3767&amp;G3767&amp;D3767&lt;&gt;'Funnel setup'!$K$3&amp;'Funnel setup'!$K$4&amp;'Funnel setup'!$K$6,".",IF(A3766=".",1,A3766+1))</f>
        <v>.</v>
      </c>
      <c r="B3767" s="244" t="str">
        <f t="shared" si="58"/>
        <v>Total Hip ReplacementProviderNEW HALL HOSPITAL (NVC09)EQ VAS</v>
      </c>
      <c r="C3767" t="s">
        <v>974</v>
      </c>
      <c r="D3767" t="s">
        <v>965</v>
      </c>
      <c r="E3767" t="s">
        <v>338</v>
      </c>
      <c r="F3767" t="s">
        <v>339</v>
      </c>
      <c r="G3767" t="s">
        <v>752</v>
      </c>
      <c r="H3767">
        <v>82</v>
      </c>
      <c r="I3767">
        <v>61.144599999999997</v>
      </c>
      <c r="J3767">
        <v>80.096400000000003</v>
      </c>
      <c r="K3767">
        <v>18.951799999999999</v>
      </c>
      <c r="L3767">
        <v>62</v>
      </c>
      <c r="M3767">
        <v>7</v>
      </c>
      <c r="N3767">
        <v>13</v>
      </c>
      <c r="O3767">
        <v>77.480500000000006</v>
      </c>
      <c r="P3767">
        <v>16.664400000000001</v>
      </c>
      <c r="Q3767">
        <v>14.793799999999999</v>
      </c>
    </row>
    <row r="3768" spans="1:17" x14ac:dyDescent="0.25">
      <c r="A3768" t="str">
        <f>IF(C3768&amp;G3768&amp;D3768&lt;&gt;'Funnel setup'!$K$3&amp;'Funnel setup'!$K$4&amp;'Funnel setup'!$K$6,".",IF(A3767=".",1,A3767+1))</f>
        <v>.</v>
      </c>
      <c r="B3768" s="244" t="str">
        <f t="shared" si="58"/>
        <v>Total Hip ReplacementProviderNORFOLK AND NORWICH UNIVERSITY HOSPITALS NHS FOUNDATION TRUST (RM1)EQ VAS</v>
      </c>
      <c r="C3768" t="s">
        <v>974</v>
      </c>
      <c r="D3768" t="s">
        <v>965</v>
      </c>
      <c r="E3768" t="s">
        <v>340</v>
      </c>
      <c r="F3768" t="s">
        <v>341</v>
      </c>
      <c r="G3768" t="s">
        <v>752</v>
      </c>
      <c r="H3768">
        <v>194</v>
      </c>
      <c r="I3768">
        <v>55.030900000000003</v>
      </c>
      <c r="J3768">
        <v>71.582499999999996</v>
      </c>
      <c r="K3768">
        <v>16.551500000000001</v>
      </c>
      <c r="L3768">
        <v>133</v>
      </c>
      <c r="M3768">
        <v>9</v>
      </c>
      <c r="N3768">
        <v>52</v>
      </c>
      <c r="O3768">
        <v>75.385499999999993</v>
      </c>
      <c r="P3768">
        <v>14.5694</v>
      </c>
      <c r="Q3768">
        <v>18.507100000000001</v>
      </c>
    </row>
    <row r="3769" spans="1:17" x14ac:dyDescent="0.25">
      <c r="A3769" t="str">
        <f>IF(C3769&amp;G3769&amp;D3769&lt;&gt;'Funnel setup'!$K$3&amp;'Funnel setup'!$K$4&amp;'Funnel setup'!$K$6,".",IF(A3768=".",1,A3768+1))</f>
        <v>.</v>
      </c>
      <c r="B3769" s="244" t="str">
        <f t="shared" si="58"/>
        <v>Total Hip ReplacementProviderNORTH BRISTOL NHS TRUST (RVJ)EQ VAS</v>
      </c>
      <c r="C3769" t="s">
        <v>974</v>
      </c>
      <c r="D3769" t="s">
        <v>965</v>
      </c>
      <c r="E3769" t="s">
        <v>342</v>
      </c>
      <c r="F3769" t="s">
        <v>343</v>
      </c>
      <c r="G3769" t="s">
        <v>752</v>
      </c>
      <c r="H3769">
        <v>9</v>
      </c>
      <c r="I3769">
        <v>55.222200000000001</v>
      </c>
      <c r="J3769">
        <v>66.888900000000007</v>
      </c>
      <c r="K3769">
        <v>11.666700000000001</v>
      </c>
      <c r="L3769">
        <v>6</v>
      </c>
      <c r="M3769">
        <v>0</v>
      </c>
      <c r="N3769">
        <v>3</v>
      </c>
      <c r="O3769" t="s">
        <v>127</v>
      </c>
      <c r="P3769" t="s">
        <v>127</v>
      </c>
      <c r="Q3769" t="s">
        <v>127</v>
      </c>
    </row>
    <row r="3770" spans="1:17" x14ac:dyDescent="0.25">
      <c r="A3770" t="str">
        <f>IF(C3770&amp;G3770&amp;D3770&lt;&gt;'Funnel setup'!$K$3&amp;'Funnel setup'!$K$4&amp;'Funnel setup'!$K$6,".",IF(A3769=".",1,A3769+1))</f>
        <v>.</v>
      </c>
      <c r="B3770" s="244" t="str">
        <f t="shared" si="58"/>
        <v>Total Hip ReplacementProviderNORTH CUMBRIA INTEGRATED CARE NHS FOUNDATION TRUST (RNN)EQ VAS</v>
      </c>
      <c r="C3770" t="s">
        <v>974</v>
      </c>
      <c r="D3770" t="s">
        <v>965</v>
      </c>
      <c r="E3770" t="s">
        <v>344</v>
      </c>
      <c r="F3770" t="s">
        <v>345</v>
      </c>
      <c r="G3770" t="s">
        <v>752</v>
      </c>
      <c r="H3770">
        <v>82</v>
      </c>
      <c r="I3770">
        <v>60.780500000000004</v>
      </c>
      <c r="J3770">
        <v>76.4756</v>
      </c>
      <c r="K3770">
        <v>15.6951</v>
      </c>
      <c r="L3770">
        <v>52</v>
      </c>
      <c r="M3770">
        <v>9</v>
      </c>
      <c r="N3770">
        <v>21</v>
      </c>
      <c r="O3770">
        <v>78.097999999999999</v>
      </c>
      <c r="P3770">
        <v>17.2819</v>
      </c>
      <c r="Q3770">
        <v>16.052399999999999</v>
      </c>
    </row>
    <row r="3771" spans="1:17" x14ac:dyDescent="0.25">
      <c r="A3771" t="str">
        <f>IF(C3771&amp;G3771&amp;D3771&lt;&gt;'Funnel setup'!$K$3&amp;'Funnel setup'!$K$4&amp;'Funnel setup'!$K$6,".",IF(A3770=".",1,A3770+1))</f>
        <v>.</v>
      </c>
      <c r="B3771" s="244" t="str">
        <f t="shared" si="58"/>
        <v>Total Hip ReplacementProviderNORTH DOWNS HOSPITAL (NVC11)EQ VAS</v>
      </c>
      <c r="C3771" t="s">
        <v>974</v>
      </c>
      <c r="D3771" t="s">
        <v>965</v>
      </c>
      <c r="E3771" t="s">
        <v>348</v>
      </c>
      <c r="F3771" t="s">
        <v>349</v>
      </c>
      <c r="G3771" t="s">
        <v>752</v>
      </c>
      <c r="H3771">
        <v>53</v>
      </c>
      <c r="I3771">
        <v>68.185199999999995</v>
      </c>
      <c r="J3771">
        <v>80.055599999999998</v>
      </c>
      <c r="K3771">
        <v>11.8704</v>
      </c>
      <c r="L3771">
        <v>34</v>
      </c>
      <c r="M3771">
        <v>7</v>
      </c>
      <c r="N3771">
        <v>12</v>
      </c>
      <c r="O3771">
        <v>75.940200000000004</v>
      </c>
      <c r="P3771">
        <v>15.1241</v>
      </c>
      <c r="Q3771">
        <v>14.239100000000001</v>
      </c>
    </row>
    <row r="3772" spans="1:17" x14ac:dyDescent="0.25">
      <c r="A3772" t="str">
        <f>IF(C3772&amp;G3772&amp;D3772&lt;&gt;'Funnel setup'!$K$3&amp;'Funnel setup'!$K$4&amp;'Funnel setup'!$K$6,".",IF(A3771=".",1,A3771+1))</f>
        <v>.</v>
      </c>
      <c r="B3772" s="244" t="str">
        <f t="shared" si="58"/>
        <v>Total Hip ReplacementProviderNORTH MIDDLESEX UNIVERSITY HOSPITAL NHS TRUST (RAP)EQ VAS</v>
      </c>
      <c r="C3772" t="s">
        <v>974</v>
      </c>
      <c r="D3772" t="s">
        <v>965</v>
      </c>
      <c r="E3772" t="s">
        <v>350</v>
      </c>
      <c r="F3772" t="s">
        <v>351</v>
      </c>
      <c r="G3772" t="s">
        <v>752</v>
      </c>
      <c r="H3772">
        <v>5</v>
      </c>
      <c r="I3772">
        <v>48</v>
      </c>
      <c r="J3772">
        <v>59</v>
      </c>
      <c r="K3772">
        <v>11</v>
      </c>
      <c r="L3772">
        <v>3</v>
      </c>
      <c r="M3772">
        <v>1</v>
      </c>
      <c r="N3772">
        <v>1</v>
      </c>
      <c r="O3772" t="s">
        <v>127</v>
      </c>
      <c r="P3772" t="s">
        <v>127</v>
      </c>
      <c r="Q3772" t="s">
        <v>127</v>
      </c>
    </row>
    <row r="3773" spans="1:17" x14ac:dyDescent="0.25">
      <c r="A3773" t="str">
        <f>IF(C3773&amp;G3773&amp;D3773&lt;&gt;'Funnel setup'!$K$3&amp;'Funnel setup'!$K$4&amp;'Funnel setup'!$K$6,".",IF(A3772=".",1,A3772+1))</f>
        <v>.</v>
      </c>
      <c r="B3773" s="244" t="str">
        <f t="shared" si="58"/>
        <v>Total Hip ReplacementProviderNORTH TEES AND HARTLEPOOL NHS FOUNDATION TRUST (RVW)EQ VAS</v>
      </c>
      <c r="C3773" t="s">
        <v>974</v>
      </c>
      <c r="D3773" t="s">
        <v>965</v>
      </c>
      <c r="E3773" t="s">
        <v>352</v>
      </c>
      <c r="F3773" t="s">
        <v>353</v>
      </c>
      <c r="G3773" t="s">
        <v>752</v>
      </c>
      <c r="H3773">
        <v>106</v>
      </c>
      <c r="I3773">
        <v>66.235799999999998</v>
      </c>
      <c r="J3773">
        <v>69.811300000000003</v>
      </c>
      <c r="K3773">
        <v>3.5754700000000001</v>
      </c>
      <c r="L3773">
        <v>54</v>
      </c>
      <c r="M3773">
        <v>10</v>
      </c>
      <c r="N3773">
        <v>42</v>
      </c>
      <c r="O3773">
        <v>73.943399999999997</v>
      </c>
      <c r="P3773">
        <v>13.1273</v>
      </c>
      <c r="Q3773">
        <v>17.688099999999999</v>
      </c>
    </row>
    <row r="3774" spans="1:17" x14ac:dyDescent="0.25">
      <c r="A3774" t="str">
        <f>IF(C3774&amp;G3774&amp;D3774&lt;&gt;'Funnel setup'!$K$3&amp;'Funnel setup'!$K$4&amp;'Funnel setup'!$K$6,".",IF(A3773=".",1,A3773+1))</f>
        <v>.</v>
      </c>
      <c r="B3774" s="244" t="str">
        <f t="shared" si="58"/>
        <v>Total Hip ReplacementProviderNORTH WEST ANGLIA NHS FOUNDATION TRUST (RGN)EQ VAS</v>
      </c>
      <c r="C3774" t="s">
        <v>974</v>
      </c>
      <c r="D3774" t="s">
        <v>965</v>
      </c>
      <c r="E3774" t="s">
        <v>354</v>
      </c>
      <c r="F3774" t="s">
        <v>355</v>
      </c>
      <c r="G3774" t="s">
        <v>752</v>
      </c>
      <c r="H3774">
        <v>160</v>
      </c>
      <c r="I3774">
        <v>58.35</v>
      </c>
      <c r="J3774">
        <v>72.881200000000007</v>
      </c>
      <c r="K3774">
        <v>14.5313</v>
      </c>
      <c r="L3774">
        <v>108</v>
      </c>
      <c r="M3774">
        <v>11</v>
      </c>
      <c r="N3774">
        <v>41</v>
      </c>
      <c r="O3774">
        <v>74.070700000000002</v>
      </c>
      <c r="P3774">
        <v>13.2546</v>
      </c>
      <c r="Q3774">
        <v>19.606000000000002</v>
      </c>
    </row>
    <row r="3775" spans="1:17" x14ac:dyDescent="0.25">
      <c r="A3775" t="str">
        <f>IF(C3775&amp;G3775&amp;D3775&lt;&gt;'Funnel setup'!$K$3&amp;'Funnel setup'!$K$4&amp;'Funnel setup'!$K$6,".",IF(A3774=".",1,A3774+1))</f>
        <v>.</v>
      </c>
      <c r="B3775" s="244" t="str">
        <f t="shared" si="58"/>
        <v>Total Hip ReplacementProviderNORTHAMPTON GENERAL HOSPITAL NHS TRUST (RNS)EQ VAS</v>
      </c>
      <c r="C3775" t="s">
        <v>974</v>
      </c>
      <c r="D3775" t="s">
        <v>965</v>
      </c>
      <c r="E3775" t="s">
        <v>356</v>
      </c>
      <c r="F3775" t="s">
        <v>357</v>
      </c>
      <c r="G3775" t="s">
        <v>752</v>
      </c>
      <c r="H3775">
        <v>42</v>
      </c>
      <c r="I3775">
        <v>62.928600000000003</v>
      </c>
      <c r="J3775">
        <v>72.095200000000006</v>
      </c>
      <c r="K3775">
        <v>9.1666699999999999</v>
      </c>
      <c r="L3775">
        <v>23</v>
      </c>
      <c r="M3775">
        <v>6</v>
      </c>
      <c r="N3775">
        <v>13</v>
      </c>
      <c r="O3775">
        <v>74.343800000000002</v>
      </c>
      <c r="P3775">
        <v>13.527699999999999</v>
      </c>
      <c r="Q3775">
        <v>15.680999999999999</v>
      </c>
    </row>
    <row r="3776" spans="1:17" x14ac:dyDescent="0.25">
      <c r="A3776" t="str">
        <f>IF(C3776&amp;G3776&amp;D3776&lt;&gt;'Funnel setup'!$K$3&amp;'Funnel setup'!$K$4&amp;'Funnel setup'!$K$6,".",IF(A3775=".",1,A3775+1))</f>
        <v>.</v>
      </c>
      <c r="B3776" s="244" t="str">
        <f t="shared" si="58"/>
        <v>Total Hip ReplacementProviderNORTHERN CARE ALLIANCE NHS FOUNDATION TRUST (RM3)EQ VAS</v>
      </c>
      <c r="C3776" t="s">
        <v>974</v>
      </c>
      <c r="D3776" t="s">
        <v>965</v>
      </c>
      <c r="E3776" t="s">
        <v>358</v>
      </c>
      <c r="F3776" t="s">
        <v>359</v>
      </c>
      <c r="G3776" t="s">
        <v>752</v>
      </c>
      <c r="H3776">
        <v>3</v>
      </c>
      <c r="I3776">
        <v>30</v>
      </c>
      <c r="J3776">
        <v>79</v>
      </c>
      <c r="K3776">
        <v>49</v>
      </c>
      <c r="L3776">
        <v>2</v>
      </c>
      <c r="M3776">
        <v>0</v>
      </c>
      <c r="N3776">
        <v>1</v>
      </c>
      <c r="O3776" t="s">
        <v>127</v>
      </c>
      <c r="P3776" t="s">
        <v>127</v>
      </c>
      <c r="Q3776" t="s">
        <v>127</v>
      </c>
    </row>
    <row r="3777" spans="1:17" x14ac:dyDescent="0.25">
      <c r="A3777" t="str">
        <f>IF(C3777&amp;G3777&amp;D3777&lt;&gt;'Funnel setup'!$K$3&amp;'Funnel setup'!$K$4&amp;'Funnel setup'!$K$6,".",IF(A3776=".",1,A3776+1))</f>
        <v>.</v>
      </c>
      <c r="B3777" s="244" t="str">
        <f t="shared" si="58"/>
        <v>Total Hip ReplacementProviderNORTHERN DEVON HEALTHCARE NHS TRUST (RBZ)EQ VAS</v>
      </c>
      <c r="C3777" t="s">
        <v>974</v>
      </c>
      <c r="D3777" t="s">
        <v>965</v>
      </c>
      <c r="E3777" t="s">
        <v>360</v>
      </c>
      <c r="F3777" t="s">
        <v>361</v>
      </c>
      <c r="G3777" t="s">
        <v>752</v>
      </c>
      <c r="H3777">
        <v>27</v>
      </c>
      <c r="I3777">
        <v>50.666699999999999</v>
      </c>
      <c r="J3777">
        <v>77.222200000000001</v>
      </c>
      <c r="K3777">
        <v>26.555599999999998</v>
      </c>
      <c r="L3777">
        <v>23</v>
      </c>
      <c r="M3777">
        <v>2</v>
      </c>
      <c r="N3777">
        <v>2</v>
      </c>
      <c r="O3777" t="s">
        <v>127</v>
      </c>
      <c r="P3777" t="s">
        <v>127</v>
      </c>
      <c r="Q3777" t="s">
        <v>127</v>
      </c>
    </row>
    <row r="3778" spans="1:17" x14ac:dyDescent="0.25">
      <c r="A3778" t="str">
        <f>IF(C3778&amp;G3778&amp;D3778&lt;&gt;'Funnel setup'!$K$3&amp;'Funnel setup'!$K$4&amp;'Funnel setup'!$K$6,".",IF(A3777=".",1,A3777+1))</f>
        <v>.</v>
      </c>
      <c r="B3778" s="244" t="str">
        <f t="shared" ref="B3778:B3841" si="59">C3778&amp;D3778&amp;F3778&amp;G3778</f>
        <v>Total Hip ReplacementProviderNORTHERN LINCOLNSHIRE AND GOOLE NHS FOUNDATION TRUST (RJL)EQ VAS</v>
      </c>
      <c r="C3778" t="s">
        <v>974</v>
      </c>
      <c r="D3778" t="s">
        <v>965</v>
      </c>
      <c r="E3778" t="s">
        <v>362</v>
      </c>
      <c r="F3778" t="s">
        <v>363</v>
      </c>
      <c r="G3778" t="s">
        <v>752</v>
      </c>
      <c r="H3778">
        <v>84</v>
      </c>
      <c r="I3778">
        <v>59.1905</v>
      </c>
      <c r="J3778">
        <v>74.607100000000003</v>
      </c>
      <c r="K3778">
        <v>15.416700000000001</v>
      </c>
      <c r="L3778">
        <v>54</v>
      </c>
      <c r="M3778">
        <v>11</v>
      </c>
      <c r="N3778">
        <v>19</v>
      </c>
      <c r="O3778">
        <v>75.401899999999998</v>
      </c>
      <c r="P3778">
        <v>14.585800000000001</v>
      </c>
      <c r="Q3778">
        <v>18.5169</v>
      </c>
    </row>
    <row r="3779" spans="1:17" x14ac:dyDescent="0.25">
      <c r="A3779" t="str">
        <f>IF(C3779&amp;G3779&amp;D3779&lt;&gt;'Funnel setup'!$K$3&amp;'Funnel setup'!$K$4&amp;'Funnel setup'!$K$6,".",IF(A3778=".",1,A3778+1))</f>
        <v>.</v>
      </c>
      <c r="B3779" s="244" t="str">
        <f t="shared" si="59"/>
        <v>Total Hip ReplacementProviderNORTHUMBRIA HEALTHCARE NHS FOUNDATION TRUST (RTF)EQ VAS</v>
      </c>
      <c r="C3779" t="s">
        <v>974</v>
      </c>
      <c r="D3779" t="s">
        <v>965</v>
      </c>
      <c r="E3779" t="s">
        <v>364</v>
      </c>
      <c r="F3779" t="s">
        <v>365</v>
      </c>
      <c r="G3779" t="s">
        <v>752</v>
      </c>
      <c r="H3779">
        <v>278</v>
      </c>
      <c r="I3779">
        <v>58.291400000000003</v>
      </c>
      <c r="J3779">
        <v>76.424499999999995</v>
      </c>
      <c r="K3779">
        <v>18.133099999999999</v>
      </c>
      <c r="L3779">
        <v>209</v>
      </c>
      <c r="M3779">
        <v>22</v>
      </c>
      <c r="N3779">
        <v>47</v>
      </c>
      <c r="O3779">
        <v>77.572100000000006</v>
      </c>
      <c r="P3779">
        <v>16.756</v>
      </c>
      <c r="Q3779">
        <v>17.009899999999998</v>
      </c>
    </row>
    <row r="3780" spans="1:17" x14ac:dyDescent="0.25">
      <c r="A3780" t="str">
        <f>IF(C3780&amp;G3780&amp;D3780&lt;&gt;'Funnel setup'!$K$3&amp;'Funnel setup'!$K$4&amp;'Funnel setup'!$K$6,".",IF(A3779=".",1,A3779+1))</f>
        <v>.</v>
      </c>
      <c r="B3780" s="244" t="str">
        <f t="shared" si="59"/>
        <v>Total Hip ReplacementProviderNOTTINGHAM UNIVERSITY HOSPITALS NHS TRUST (RX1)EQ VAS</v>
      </c>
      <c r="C3780" t="s">
        <v>974</v>
      </c>
      <c r="D3780" t="s">
        <v>965</v>
      </c>
      <c r="E3780" t="s">
        <v>366</v>
      </c>
      <c r="F3780" t="s">
        <v>367</v>
      </c>
      <c r="G3780" t="s">
        <v>752</v>
      </c>
      <c r="H3780">
        <v>3</v>
      </c>
      <c r="I3780">
        <v>53.333300000000001</v>
      </c>
      <c r="J3780">
        <v>77.666700000000006</v>
      </c>
      <c r="K3780">
        <v>24.333300000000001</v>
      </c>
      <c r="L3780">
        <v>2</v>
      </c>
      <c r="M3780">
        <v>0</v>
      </c>
      <c r="N3780">
        <v>1</v>
      </c>
      <c r="O3780" t="s">
        <v>127</v>
      </c>
      <c r="P3780" t="s">
        <v>127</v>
      </c>
      <c r="Q3780" t="s">
        <v>127</v>
      </c>
    </row>
    <row r="3781" spans="1:17" x14ac:dyDescent="0.25">
      <c r="A3781" t="str">
        <f>IF(C3781&amp;G3781&amp;D3781&lt;&gt;'Funnel setup'!$K$3&amp;'Funnel setup'!$K$4&amp;'Funnel setup'!$K$6,".",IF(A3780=".",1,A3780+1))</f>
        <v>.</v>
      </c>
      <c r="B3781" s="244" t="str">
        <f t="shared" si="59"/>
        <v>Total Hip ReplacementProviderNUFFIELD HEALTH, BOURNEMOUTH HOSPITAL (NT202)EQ VAS</v>
      </c>
      <c r="C3781" t="s">
        <v>974</v>
      </c>
      <c r="D3781" t="s">
        <v>965</v>
      </c>
      <c r="E3781" t="s">
        <v>368</v>
      </c>
      <c r="F3781" t="s">
        <v>369</v>
      </c>
      <c r="G3781" t="s">
        <v>752</v>
      </c>
      <c r="H3781">
        <v>11</v>
      </c>
      <c r="I3781">
        <v>64.2727</v>
      </c>
      <c r="J3781">
        <v>76.636399999999995</v>
      </c>
      <c r="K3781">
        <v>12.3636</v>
      </c>
      <c r="L3781">
        <v>6</v>
      </c>
      <c r="M3781">
        <v>2</v>
      </c>
      <c r="N3781">
        <v>3</v>
      </c>
      <c r="O3781" t="s">
        <v>127</v>
      </c>
      <c r="P3781" t="s">
        <v>127</v>
      </c>
      <c r="Q3781" t="s">
        <v>127</v>
      </c>
    </row>
    <row r="3782" spans="1:17" x14ac:dyDescent="0.25">
      <c r="A3782" t="str">
        <f>IF(C3782&amp;G3782&amp;D3782&lt;&gt;'Funnel setup'!$K$3&amp;'Funnel setup'!$K$4&amp;'Funnel setup'!$K$6,".",IF(A3781=".",1,A3781+1))</f>
        <v>.</v>
      </c>
      <c r="B3782" s="244" t="str">
        <f t="shared" si="59"/>
        <v>Total Hip ReplacementProviderNUFFIELD HEALTH, BRENTWOOD HOSPITAL (NT204)EQ VAS</v>
      </c>
      <c r="C3782" t="s">
        <v>974</v>
      </c>
      <c r="D3782" t="s">
        <v>965</v>
      </c>
      <c r="E3782" t="s">
        <v>370</v>
      </c>
      <c r="F3782" t="s">
        <v>371</v>
      </c>
      <c r="G3782" t="s">
        <v>752</v>
      </c>
      <c r="H3782">
        <v>15</v>
      </c>
      <c r="I3782">
        <v>70.599999999999994</v>
      </c>
      <c r="J3782">
        <v>76.666700000000006</v>
      </c>
      <c r="K3782">
        <v>6.0666700000000002</v>
      </c>
      <c r="L3782">
        <v>9</v>
      </c>
      <c r="M3782">
        <v>0</v>
      </c>
      <c r="N3782">
        <v>6</v>
      </c>
      <c r="O3782" t="s">
        <v>127</v>
      </c>
      <c r="P3782" t="s">
        <v>127</v>
      </c>
      <c r="Q3782" t="s">
        <v>127</v>
      </c>
    </row>
    <row r="3783" spans="1:17" x14ac:dyDescent="0.25">
      <c r="A3783" t="str">
        <f>IF(C3783&amp;G3783&amp;D3783&lt;&gt;'Funnel setup'!$K$3&amp;'Funnel setup'!$K$4&amp;'Funnel setup'!$K$6,".",IF(A3782=".",1,A3782+1))</f>
        <v>.</v>
      </c>
      <c r="B3783" s="244" t="str">
        <f t="shared" si="59"/>
        <v>Total Hip ReplacementProviderNUFFIELD HEALTH, BRIGHTON HOSPITAL (NT205)EQ VAS</v>
      </c>
      <c r="C3783" t="s">
        <v>974</v>
      </c>
      <c r="D3783" t="s">
        <v>965</v>
      </c>
      <c r="E3783" t="s">
        <v>372</v>
      </c>
      <c r="F3783" t="s">
        <v>373</v>
      </c>
      <c r="G3783" t="s">
        <v>752</v>
      </c>
      <c r="H3783">
        <v>3</v>
      </c>
      <c r="I3783">
        <v>50</v>
      </c>
      <c r="J3783">
        <v>68.333299999999994</v>
      </c>
      <c r="K3783">
        <v>18.333300000000001</v>
      </c>
      <c r="L3783">
        <v>3</v>
      </c>
      <c r="M3783">
        <v>0</v>
      </c>
      <c r="N3783">
        <v>0</v>
      </c>
      <c r="O3783" t="s">
        <v>127</v>
      </c>
      <c r="P3783" t="s">
        <v>127</v>
      </c>
      <c r="Q3783" t="s">
        <v>127</v>
      </c>
    </row>
    <row r="3784" spans="1:17" x14ac:dyDescent="0.25">
      <c r="A3784" t="str">
        <f>IF(C3784&amp;G3784&amp;D3784&lt;&gt;'Funnel setup'!$K$3&amp;'Funnel setup'!$K$4&amp;'Funnel setup'!$K$6,".",IF(A3783=".",1,A3783+1))</f>
        <v>.</v>
      </c>
      <c r="B3784" s="244" t="str">
        <f t="shared" si="59"/>
        <v>Total Hip ReplacementProviderNUFFIELD HEALTH, BRISTOL HOSPITAL (CHESTERFIELD) (NT206)EQ VAS</v>
      </c>
      <c r="C3784" t="s">
        <v>974</v>
      </c>
      <c r="D3784" t="s">
        <v>965</v>
      </c>
      <c r="E3784" t="s">
        <v>374</v>
      </c>
      <c r="F3784" t="s">
        <v>375</v>
      </c>
      <c r="G3784" t="s">
        <v>752</v>
      </c>
      <c r="H3784">
        <v>40</v>
      </c>
      <c r="I3784">
        <v>66.099999999999994</v>
      </c>
      <c r="J3784">
        <v>80.45</v>
      </c>
      <c r="K3784">
        <v>14.35</v>
      </c>
      <c r="L3784">
        <v>31</v>
      </c>
      <c r="M3784">
        <v>5</v>
      </c>
      <c r="N3784">
        <v>4</v>
      </c>
      <c r="O3784">
        <v>76.641300000000001</v>
      </c>
      <c r="P3784">
        <v>15.825200000000001</v>
      </c>
      <c r="Q3784">
        <v>12.1122</v>
      </c>
    </row>
    <row r="3785" spans="1:17" x14ac:dyDescent="0.25">
      <c r="A3785" t="str">
        <f>IF(C3785&amp;G3785&amp;D3785&lt;&gt;'Funnel setup'!$K$3&amp;'Funnel setup'!$K$4&amp;'Funnel setup'!$K$6,".",IF(A3784=".",1,A3784+1))</f>
        <v>.</v>
      </c>
      <c r="B3785" s="244" t="str">
        <f t="shared" si="59"/>
        <v>Total Hip ReplacementProviderNUFFIELD HEALTH, CAMBRIDGE HOSPITAL (NT209)EQ VAS</v>
      </c>
      <c r="C3785" t="s">
        <v>974</v>
      </c>
      <c r="D3785" t="s">
        <v>965</v>
      </c>
      <c r="E3785" t="s">
        <v>376</v>
      </c>
      <c r="F3785" t="s">
        <v>377</v>
      </c>
      <c r="G3785" t="s">
        <v>752</v>
      </c>
      <c r="H3785">
        <v>21</v>
      </c>
      <c r="I3785">
        <v>66.761899999999997</v>
      </c>
      <c r="J3785">
        <v>80.857100000000003</v>
      </c>
      <c r="K3785">
        <v>14.0952</v>
      </c>
      <c r="L3785">
        <v>13</v>
      </c>
      <c r="M3785">
        <v>3</v>
      </c>
      <c r="N3785">
        <v>5</v>
      </c>
      <c r="O3785" t="s">
        <v>127</v>
      </c>
      <c r="P3785" t="s">
        <v>127</v>
      </c>
      <c r="Q3785" t="s">
        <v>127</v>
      </c>
    </row>
    <row r="3786" spans="1:17" x14ac:dyDescent="0.25">
      <c r="A3786" t="str">
        <f>IF(C3786&amp;G3786&amp;D3786&lt;&gt;'Funnel setup'!$K$3&amp;'Funnel setup'!$K$4&amp;'Funnel setup'!$K$6,".",IF(A3785=".",1,A3785+1))</f>
        <v>.</v>
      </c>
      <c r="B3786" s="244" t="str">
        <f t="shared" si="59"/>
        <v>Total Hip ReplacementProviderNUFFIELD HEALTH, CHELTENHAM HOSPITAL (NT211)EQ VAS</v>
      </c>
      <c r="C3786" t="s">
        <v>974</v>
      </c>
      <c r="D3786" t="s">
        <v>965</v>
      </c>
      <c r="E3786" t="s">
        <v>378</v>
      </c>
      <c r="F3786" t="s">
        <v>379</v>
      </c>
      <c r="G3786" t="s">
        <v>752</v>
      </c>
      <c r="H3786">
        <v>1</v>
      </c>
      <c r="I3786">
        <v>73</v>
      </c>
      <c r="J3786">
        <v>70</v>
      </c>
      <c r="K3786">
        <v>-3</v>
      </c>
      <c r="L3786">
        <v>0</v>
      </c>
      <c r="M3786">
        <v>0</v>
      </c>
      <c r="N3786">
        <v>1</v>
      </c>
      <c r="O3786" t="s">
        <v>127</v>
      </c>
      <c r="P3786" t="s">
        <v>127</v>
      </c>
      <c r="Q3786" t="s">
        <v>127</v>
      </c>
    </row>
    <row r="3787" spans="1:17" x14ac:dyDescent="0.25">
      <c r="A3787" t="str">
        <f>IF(C3787&amp;G3787&amp;D3787&lt;&gt;'Funnel setup'!$K$3&amp;'Funnel setup'!$K$4&amp;'Funnel setup'!$K$6,".",IF(A3786=".",1,A3786+1))</f>
        <v>.</v>
      </c>
      <c r="B3787" s="244" t="str">
        <f t="shared" si="59"/>
        <v>Total Hip ReplacementProviderNUFFIELD HEALTH, CHICHESTER HOSPITAL (NT212)EQ VAS</v>
      </c>
      <c r="C3787" t="s">
        <v>974</v>
      </c>
      <c r="D3787" t="s">
        <v>965</v>
      </c>
      <c r="E3787" t="s">
        <v>380</v>
      </c>
      <c r="F3787" t="s">
        <v>381</v>
      </c>
      <c r="G3787" t="s">
        <v>752</v>
      </c>
      <c r="H3787">
        <v>15</v>
      </c>
      <c r="I3787">
        <v>50.4</v>
      </c>
      <c r="J3787">
        <v>73.2667</v>
      </c>
      <c r="K3787">
        <v>22.866700000000002</v>
      </c>
      <c r="L3787">
        <v>11</v>
      </c>
      <c r="M3787">
        <v>1</v>
      </c>
      <c r="N3787">
        <v>3</v>
      </c>
      <c r="O3787" t="s">
        <v>127</v>
      </c>
      <c r="P3787" t="s">
        <v>127</v>
      </c>
      <c r="Q3787" t="s">
        <v>127</v>
      </c>
    </row>
    <row r="3788" spans="1:17" x14ac:dyDescent="0.25">
      <c r="A3788" t="str">
        <f>IF(C3788&amp;G3788&amp;D3788&lt;&gt;'Funnel setup'!$K$3&amp;'Funnel setup'!$K$4&amp;'Funnel setup'!$K$6,".",IF(A3787=".",1,A3787+1))</f>
        <v>.</v>
      </c>
      <c r="B3788" s="244" t="str">
        <f t="shared" si="59"/>
        <v>Total Hip ReplacementProviderNUFFIELD HEALTH, DERBY HOSPITAL (NT213)EQ VAS</v>
      </c>
      <c r="C3788" t="s">
        <v>974</v>
      </c>
      <c r="D3788" t="s">
        <v>965</v>
      </c>
      <c r="E3788" t="s">
        <v>382</v>
      </c>
      <c r="F3788" t="s">
        <v>383</v>
      </c>
      <c r="G3788" t="s">
        <v>752</v>
      </c>
      <c r="H3788">
        <v>49</v>
      </c>
      <c r="I3788">
        <v>62.877600000000001</v>
      </c>
      <c r="J3788">
        <v>80.959199999999996</v>
      </c>
      <c r="K3788">
        <v>18.081600000000002</v>
      </c>
      <c r="L3788">
        <v>37</v>
      </c>
      <c r="M3788">
        <v>7</v>
      </c>
      <c r="N3788">
        <v>5</v>
      </c>
      <c r="O3788">
        <v>79.062100000000001</v>
      </c>
      <c r="P3788">
        <v>18.245999999999999</v>
      </c>
      <c r="Q3788">
        <v>11.4481</v>
      </c>
    </row>
    <row r="3789" spans="1:17" x14ac:dyDescent="0.25">
      <c r="A3789" t="str">
        <f>IF(C3789&amp;G3789&amp;D3789&lt;&gt;'Funnel setup'!$K$3&amp;'Funnel setup'!$K$4&amp;'Funnel setup'!$K$6,".",IF(A3788=".",1,A3788+1))</f>
        <v>.</v>
      </c>
      <c r="B3789" s="244" t="str">
        <f t="shared" si="59"/>
        <v>Total Hip ReplacementProviderNUFFIELD HEALTH, EXETER HOSPITAL (NT215)EQ VAS</v>
      </c>
      <c r="C3789" t="s">
        <v>974</v>
      </c>
      <c r="D3789" t="s">
        <v>965</v>
      </c>
      <c r="E3789" t="s">
        <v>384</v>
      </c>
      <c r="F3789" t="s">
        <v>385</v>
      </c>
      <c r="G3789" t="s">
        <v>752</v>
      </c>
      <c r="H3789">
        <v>2</v>
      </c>
      <c r="I3789">
        <v>67.5</v>
      </c>
      <c r="J3789">
        <v>92.5</v>
      </c>
      <c r="K3789">
        <v>25</v>
      </c>
      <c r="L3789">
        <v>2</v>
      </c>
      <c r="M3789">
        <v>0</v>
      </c>
      <c r="N3789">
        <v>0</v>
      </c>
      <c r="O3789" t="s">
        <v>127</v>
      </c>
      <c r="P3789" t="s">
        <v>127</v>
      </c>
      <c r="Q3789" t="s">
        <v>127</v>
      </c>
    </row>
    <row r="3790" spans="1:17" x14ac:dyDescent="0.25">
      <c r="A3790" t="str">
        <f>IF(C3790&amp;G3790&amp;D3790&lt;&gt;'Funnel setup'!$K$3&amp;'Funnel setup'!$K$4&amp;'Funnel setup'!$K$6,".",IF(A3789=".",1,A3789+1))</f>
        <v>.</v>
      </c>
      <c r="B3790" s="244" t="str">
        <f t="shared" si="59"/>
        <v>Total Hip ReplacementProviderNUFFIELD HEALTH, HAYWARDS HEATH HOSPITAL (NT218)EQ VAS</v>
      </c>
      <c r="C3790" t="s">
        <v>974</v>
      </c>
      <c r="D3790" t="s">
        <v>965</v>
      </c>
      <c r="E3790" t="s">
        <v>386</v>
      </c>
      <c r="F3790" t="s">
        <v>387</v>
      </c>
      <c r="G3790" t="s">
        <v>752</v>
      </c>
      <c r="H3790">
        <v>18</v>
      </c>
      <c r="I3790">
        <v>63.666699999999999</v>
      </c>
      <c r="J3790">
        <v>84.611099999999993</v>
      </c>
      <c r="K3790">
        <v>20.944400000000002</v>
      </c>
      <c r="L3790">
        <v>15</v>
      </c>
      <c r="M3790">
        <v>0</v>
      </c>
      <c r="N3790">
        <v>3</v>
      </c>
      <c r="O3790" t="s">
        <v>127</v>
      </c>
      <c r="P3790" t="s">
        <v>127</v>
      </c>
      <c r="Q3790" t="s">
        <v>127</v>
      </c>
    </row>
    <row r="3791" spans="1:17" x14ac:dyDescent="0.25">
      <c r="A3791" t="str">
        <f>IF(C3791&amp;G3791&amp;D3791&lt;&gt;'Funnel setup'!$K$3&amp;'Funnel setup'!$K$4&amp;'Funnel setup'!$K$6,".",IF(A3790=".",1,A3790+1))</f>
        <v>.</v>
      </c>
      <c r="B3791" s="244" t="str">
        <f t="shared" si="59"/>
        <v>Total Hip ReplacementProviderNUFFIELD HEALTH, HEREFORD HOSPITAL (NT219)EQ VAS</v>
      </c>
      <c r="C3791" t="s">
        <v>974</v>
      </c>
      <c r="D3791" t="s">
        <v>965</v>
      </c>
      <c r="E3791" t="s">
        <v>388</v>
      </c>
      <c r="F3791" t="s">
        <v>389</v>
      </c>
      <c r="G3791" t="s">
        <v>752</v>
      </c>
      <c r="H3791">
        <v>6</v>
      </c>
      <c r="I3791">
        <v>59.166699999999999</v>
      </c>
      <c r="J3791">
        <v>74.166700000000006</v>
      </c>
      <c r="K3791">
        <v>15</v>
      </c>
      <c r="L3791">
        <v>4</v>
      </c>
      <c r="M3791">
        <v>2</v>
      </c>
      <c r="N3791">
        <v>0</v>
      </c>
      <c r="O3791" t="s">
        <v>127</v>
      </c>
      <c r="P3791" t="s">
        <v>127</v>
      </c>
      <c r="Q3791" t="s">
        <v>127</v>
      </c>
    </row>
    <row r="3792" spans="1:17" x14ac:dyDescent="0.25">
      <c r="A3792" t="str">
        <f>IF(C3792&amp;G3792&amp;D3792&lt;&gt;'Funnel setup'!$K$3&amp;'Funnel setup'!$K$4&amp;'Funnel setup'!$K$6,".",IF(A3791=".",1,A3791+1))</f>
        <v>.</v>
      </c>
      <c r="B3792" s="244" t="str">
        <f t="shared" si="59"/>
        <v>Total Hip ReplacementProviderNUFFIELD HEALTH, IPSWICH HOSPITAL (NT222)EQ VAS</v>
      </c>
      <c r="C3792" t="s">
        <v>974</v>
      </c>
      <c r="D3792" t="s">
        <v>965</v>
      </c>
      <c r="E3792" t="s">
        <v>390</v>
      </c>
      <c r="F3792" t="s">
        <v>391</v>
      </c>
      <c r="G3792" t="s">
        <v>752</v>
      </c>
      <c r="H3792">
        <v>7</v>
      </c>
      <c r="I3792">
        <v>68.571399999999997</v>
      </c>
      <c r="J3792">
        <v>76.142899999999997</v>
      </c>
      <c r="K3792">
        <v>7.5714300000000003</v>
      </c>
      <c r="L3792">
        <v>5</v>
      </c>
      <c r="M3792">
        <v>0</v>
      </c>
      <c r="N3792">
        <v>2</v>
      </c>
      <c r="O3792" t="s">
        <v>127</v>
      </c>
      <c r="P3792" t="s">
        <v>127</v>
      </c>
      <c r="Q3792" t="s">
        <v>127</v>
      </c>
    </row>
    <row r="3793" spans="1:17" x14ac:dyDescent="0.25">
      <c r="A3793" t="str">
        <f>IF(C3793&amp;G3793&amp;D3793&lt;&gt;'Funnel setup'!$K$3&amp;'Funnel setup'!$K$4&amp;'Funnel setup'!$K$6,".",IF(A3792=".",1,A3792+1))</f>
        <v>.</v>
      </c>
      <c r="B3793" s="244" t="str">
        <f t="shared" si="59"/>
        <v>Total Hip ReplacementProviderNUFFIELD HEALTH, LEEDS HOSPITAL (NT225)EQ VAS</v>
      </c>
      <c r="C3793" t="s">
        <v>974</v>
      </c>
      <c r="D3793" t="s">
        <v>965</v>
      </c>
      <c r="E3793" t="s">
        <v>392</v>
      </c>
      <c r="F3793" t="s">
        <v>393</v>
      </c>
      <c r="G3793" t="s">
        <v>752</v>
      </c>
      <c r="H3793">
        <v>105</v>
      </c>
      <c r="I3793">
        <v>64</v>
      </c>
      <c r="J3793">
        <v>77.047600000000003</v>
      </c>
      <c r="K3793">
        <v>13.047599999999999</v>
      </c>
      <c r="L3793">
        <v>67</v>
      </c>
      <c r="M3793">
        <v>13</v>
      </c>
      <c r="N3793">
        <v>25</v>
      </c>
      <c r="O3793">
        <v>74.253900000000002</v>
      </c>
      <c r="P3793">
        <v>13.437799999999999</v>
      </c>
      <c r="Q3793">
        <v>15.2049</v>
      </c>
    </row>
    <row r="3794" spans="1:17" x14ac:dyDescent="0.25">
      <c r="A3794" t="str">
        <f>IF(C3794&amp;G3794&amp;D3794&lt;&gt;'Funnel setup'!$K$3&amp;'Funnel setup'!$K$4&amp;'Funnel setup'!$K$6,".",IF(A3793=".",1,A3793+1))</f>
        <v>.</v>
      </c>
      <c r="B3794" s="244" t="str">
        <f t="shared" si="59"/>
        <v>Total Hip ReplacementProviderNUFFIELD HEALTH, LEICESTER HOSPITAL (NT226)EQ VAS</v>
      </c>
      <c r="C3794" t="s">
        <v>974</v>
      </c>
      <c r="D3794" t="s">
        <v>965</v>
      </c>
      <c r="E3794" t="s">
        <v>394</v>
      </c>
      <c r="F3794" t="s">
        <v>395</v>
      </c>
      <c r="G3794" t="s">
        <v>752</v>
      </c>
      <c r="H3794">
        <v>29</v>
      </c>
      <c r="I3794">
        <v>65.965500000000006</v>
      </c>
      <c r="J3794">
        <v>77.930999999999997</v>
      </c>
      <c r="K3794">
        <v>11.9655</v>
      </c>
      <c r="L3794">
        <v>24</v>
      </c>
      <c r="M3794">
        <v>2</v>
      </c>
      <c r="N3794">
        <v>3</v>
      </c>
      <c r="O3794" t="s">
        <v>127</v>
      </c>
      <c r="P3794" t="s">
        <v>127</v>
      </c>
      <c r="Q3794" t="s">
        <v>127</v>
      </c>
    </row>
    <row r="3795" spans="1:17" x14ac:dyDescent="0.25">
      <c r="A3795" t="str">
        <f>IF(C3795&amp;G3795&amp;D3795&lt;&gt;'Funnel setup'!$K$3&amp;'Funnel setup'!$K$4&amp;'Funnel setup'!$K$6,".",IF(A3794=".",1,A3794+1))</f>
        <v>.</v>
      </c>
      <c r="B3795" s="244" t="str">
        <f t="shared" si="59"/>
        <v>Total Hip ReplacementProviderNUFFIELD HEALTH, NEWCASTLE UPON TYNE HOSPITAL (NT229)EQ VAS</v>
      </c>
      <c r="C3795" t="s">
        <v>974</v>
      </c>
      <c r="D3795" t="s">
        <v>965</v>
      </c>
      <c r="E3795" t="s">
        <v>396</v>
      </c>
      <c r="F3795" t="s">
        <v>397</v>
      </c>
      <c r="G3795" t="s">
        <v>752</v>
      </c>
      <c r="H3795">
        <v>45</v>
      </c>
      <c r="I3795">
        <v>58.488900000000001</v>
      </c>
      <c r="J3795">
        <v>76.866699999999994</v>
      </c>
      <c r="K3795">
        <v>18.377800000000001</v>
      </c>
      <c r="L3795">
        <v>31</v>
      </c>
      <c r="M3795">
        <v>7</v>
      </c>
      <c r="N3795">
        <v>7</v>
      </c>
      <c r="O3795">
        <v>76.129800000000003</v>
      </c>
      <c r="P3795">
        <v>15.313700000000001</v>
      </c>
      <c r="Q3795">
        <v>15.7035</v>
      </c>
    </row>
    <row r="3796" spans="1:17" x14ac:dyDescent="0.25">
      <c r="A3796" t="str">
        <f>IF(C3796&amp;G3796&amp;D3796&lt;&gt;'Funnel setup'!$K$3&amp;'Funnel setup'!$K$4&amp;'Funnel setup'!$K$6,".",IF(A3795=".",1,A3795+1))</f>
        <v>.</v>
      </c>
      <c r="B3796" s="244" t="str">
        <f t="shared" si="59"/>
        <v>Total Hip ReplacementProviderNUFFIELD HEALTH, NORTH STAFFORDSHIRE HOSPITAL (NT230)EQ VAS</v>
      </c>
      <c r="C3796" t="s">
        <v>974</v>
      </c>
      <c r="D3796" t="s">
        <v>965</v>
      </c>
      <c r="E3796" t="s">
        <v>398</v>
      </c>
      <c r="F3796" t="s">
        <v>399</v>
      </c>
      <c r="G3796" t="s">
        <v>752</v>
      </c>
      <c r="H3796">
        <v>34</v>
      </c>
      <c r="I3796">
        <v>64.7059</v>
      </c>
      <c r="J3796">
        <v>77.2059</v>
      </c>
      <c r="K3796">
        <v>12.5</v>
      </c>
      <c r="L3796">
        <v>22</v>
      </c>
      <c r="M3796">
        <v>3</v>
      </c>
      <c r="N3796">
        <v>9</v>
      </c>
      <c r="O3796">
        <v>75.656800000000004</v>
      </c>
      <c r="P3796">
        <v>14.8407</v>
      </c>
      <c r="Q3796">
        <v>21.233499999999999</v>
      </c>
    </row>
    <row r="3797" spans="1:17" x14ac:dyDescent="0.25">
      <c r="A3797" t="str">
        <f>IF(C3797&amp;G3797&amp;D3797&lt;&gt;'Funnel setup'!$K$3&amp;'Funnel setup'!$K$4&amp;'Funnel setup'!$K$6,".",IF(A3796=".",1,A3796+1))</f>
        <v>.</v>
      </c>
      <c r="B3797" s="244" t="str">
        <f t="shared" si="59"/>
        <v>Total Hip ReplacementProviderNUFFIELD HEALTH, PLYMOUTH HOSPITAL (NT233)EQ VAS</v>
      </c>
      <c r="C3797" t="s">
        <v>974</v>
      </c>
      <c r="D3797" t="s">
        <v>965</v>
      </c>
      <c r="E3797" t="s">
        <v>400</v>
      </c>
      <c r="F3797" t="s">
        <v>401</v>
      </c>
      <c r="G3797" t="s">
        <v>752</v>
      </c>
      <c r="H3797">
        <v>60</v>
      </c>
      <c r="I3797">
        <v>64.885199999999998</v>
      </c>
      <c r="J3797">
        <v>80.409800000000004</v>
      </c>
      <c r="K3797">
        <v>15.5246</v>
      </c>
      <c r="L3797">
        <v>46</v>
      </c>
      <c r="M3797">
        <v>4</v>
      </c>
      <c r="N3797">
        <v>10</v>
      </c>
      <c r="O3797">
        <v>76.959199999999996</v>
      </c>
      <c r="P3797">
        <v>16.1431</v>
      </c>
      <c r="Q3797">
        <v>13.144399999999999</v>
      </c>
    </row>
    <row r="3798" spans="1:17" x14ac:dyDescent="0.25">
      <c r="A3798" t="str">
        <f>IF(C3798&amp;G3798&amp;D3798&lt;&gt;'Funnel setup'!$K$3&amp;'Funnel setup'!$K$4&amp;'Funnel setup'!$K$6,".",IF(A3797=".",1,A3797+1))</f>
        <v>.</v>
      </c>
      <c r="B3798" s="244" t="str">
        <f t="shared" si="59"/>
        <v>Total Hip ReplacementProviderNUFFIELD HEALTH, SHREWSBURY HOSPITAL (NT235)EQ VAS</v>
      </c>
      <c r="C3798" t="s">
        <v>974</v>
      </c>
      <c r="D3798" t="s">
        <v>965</v>
      </c>
      <c r="E3798" t="s">
        <v>402</v>
      </c>
      <c r="F3798" t="s">
        <v>403</v>
      </c>
      <c r="G3798" t="s">
        <v>752</v>
      </c>
      <c r="H3798">
        <v>8</v>
      </c>
      <c r="I3798">
        <v>54.75</v>
      </c>
      <c r="J3798">
        <v>74</v>
      </c>
      <c r="K3798">
        <v>19.25</v>
      </c>
      <c r="L3798">
        <v>6</v>
      </c>
      <c r="M3798">
        <v>0</v>
      </c>
      <c r="N3798">
        <v>2</v>
      </c>
      <c r="O3798" t="s">
        <v>127</v>
      </c>
      <c r="P3798" t="s">
        <v>127</v>
      </c>
      <c r="Q3798" t="s">
        <v>127</v>
      </c>
    </row>
    <row r="3799" spans="1:17" x14ac:dyDescent="0.25">
      <c r="A3799" t="str">
        <f>IF(C3799&amp;G3799&amp;D3799&lt;&gt;'Funnel setup'!$K$3&amp;'Funnel setup'!$K$4&amp;'Funnel setup'!$K$6,".",IF(A3798=".",1,A3798+1))</f>
        <v>.</v>
      </c>
      <c r="B3799" s="244" t="str">
        <f t="shared" si="59"/>
        <v>Total Hip ReplacementProviderNUFFIELD HEALTH, TAUNTON HOSPITAL (NT238)EQ VAS</v>
      </c>
      <c r="C3799" t="s">
        <v>974</v>
      </c>
      <c r="D3799" t="s">
        <v>965</v>
      </c>
      <c r="E3799" t="s">
        <v>404</v>
      </c>
      <c r="F3799" t="s">
        <v>405</v>
      </c>
      <c r="G3799" t="s">
        <v>752</v>
      </c>
      <c r="H3799">
        <v>22</v>
      </c>
      <c r="I3799">
        <v>61.5</v>
      </c>
      <c r="J3799">
        <v>75.7273</v>
      </c>
      <c r="K3799">
        <v>14.2273</v>
      </c>
      <c r="L3799">
        <v>16</v>
      </c>
      <c r="M3799">
        <v>3</v>
      </c>
      <c r="N3799">
        <v>3</v>
      </c>
      <c r="O3799" t="s">
        <v>127</v>
      </c>
      <c r="P3799" t="s">
        <v>127</v>
      </c>
      <c r="Q3799" t="s">
        <v>127</v>
      </c>
    </row>
    <row r="3800" spans="1:17" x14ac:dyDescent="0.25">
      <c r="A3800" t="str">
        <f>IF(C3800&amp;G3800&amp;D3800&lt;&gt;'Funnel setup'!$K$3&amp;'Funnel setup'!$K$4&amp;'Funnel setup'!$K$6,".",IF(A3799=".",1,A3799+1))</f>
        <v>.</v>
      </c>
      <c r="B3800" s="244" t="str">
        <f t="shared" si="59"/>
        <v>Total Hip ReplacementProviderNUFFIELD HEALTH, TEES HOSPITAL (NT237)EQ VAS</v>
      </c>
      <c r="C3800" t="s">
        <v>974</v>
      </c>
      <c r="D3800" t="s">
        <v>965</v>
      </c>
      <c r="E3800" t="s">
        <v>406</v>
      </c>
      <c r="F3800" t="s">
        <v>407</v>
      </c>
      <c r="G3800" t="s">
        <v>752</v>
      </c>
      <c r="H3800">
        <v>146</v>
      </c>
      <c r="I3800">
        <v>71</v>
      </c>
      <c r="J3800">
        <v>78.691800000000001</v>
      </c>
      <c r="K3800">
        <v>7.6917799999999996</v>
      </c>
      <c r="L3800">
        <v>86</v>
      </c>
      <c r="M3800">
        <v>18</v>
      </c>
      <c r="N3800">
        <v>42</v>
      </c>
      <c r="O3800">
        <v>75.0946</v>
      </c>
      <c r="P3800">
        <v>14.278499999999999</v>
      </c>
      <c r="Q3800">
        <v>14.2211</v>
      </c>
    </row>
    <row r="3801" spans="1:17" x14ac:dyDescent="0.25">
      <c r="A3801" t="str">
        <f>IF(C3801&amp;G3801&amp;D3801&lt;&gt;'Funnel setup'!$K$3&amp;'Funnel setup'!$K$4&amp;'Funnel setup'!$K$6,".",IF(A3800=".",1,A3800+1))</f>
        <v>.</v>
      </c>
      <c r="B3801" s="244" t="str">
        <f t="shared" si="59"/>
        <v>Total Hip ReplacementProviderNUFFIELD HEALTH, THE GROSVENOR HOSPITAL, CHESTER (NT210)EQ VAS</v>
      </c>
      <c r="C3801" t="s">
        <v>974</v>
      </c>
      <c r="D3801" t="s">
        <v>965</v>
      </c>
      <c r="E3801" t="s">
        <v>408</v>
      </c>
      <c r="F3801" t="s">
        <v>409</v>
      </c>
      <c r="G3801" t="s">
        <v>752</v>
      </c>
      <c r="H3801">
        <v>14</v>
      </c>
      <c r="I3801">
        <v>73.214299999999994</v>
      </c>
      <c r="J3801">
        <v>82.071399999999997</v>
      </c>
      <c r="K3801">
        <v>8.8571399999999993</v>
      </c>
      <c r="L3801">
        <v>8</v>
      </c>
      <c r="M3801">
        <v>2</v>
      </c>
      <c r="N3801">
        <v>4</v>
      </c>
      <c r="O3801" t="s">
        <v>127</v>
      </c>
      <c r="P3801" t="s">
        <v>127</v>
      </c>
      <c r="Q3801" t="s">
        <v>127</v>
      </c>
    </row>
    <row r="3802" spans="1:17" x14ac:dyDescent="0.25">
      <c r="A3802" t="str">
        <f>IF(C3802&amp;G3802&amp;D3802&lt;&gt;'Funnel setup'!$K$3&amp;'Funnel setup'!$K$4&amp;'Funnel setup'!$K$6,".",IF(A3801=".",1,A3801+1))</f>
        <v>.</v>
      </c>
      <c r="B3802" s="244" t="str">
        <f t="shared" si="59"/>
        <v>Total Hip ReplacementProviderNUFFIELD HEALTH, TUNBRIDGE WELLS HOSPITAL (NT239)EQ VAS</v>
      </c>
      <c r="C3802" t="s">
        <v>974</v>
      </c>
      <c r="D3802" t="s">
        <v>965</v>
      </c>
      <c r="E3802" t="s">
        <v>410</v>
      </c>
      <c r="F3802" t="s">
        <v>411</v>
      </c>
      <c r="G3802" t="s">
        <v>752</v>
      </c>
      <c r="H3802">
        <v>6</v>
      </c>
      <c r="I3802">
        <v>74.166700000000006</v>
      </c>
      <c r="J3802">
        <v>75.833299999999994</v>
      </c>
      <c r="K3802">
        <v>1.6666700000000001</v>
      </c>
      <c r="L3802">
        <v>3</v>
      </c>
      <c r="M3802">
        <v>0</v>
      </c>
      <c r="N3802">
        <v>3</v>
      </c>
      <c r="O3802" t="s">
        <v>127</v>
      </c>
      <c r="P3802" t="s">
        <v>127</v>
      </c>
      <c r="Q3802" t="s">
        <v>127</v>
      </c>
    </row>
    <row r="3803" spans="1:17" x14ac:dyDescent="0.25">
      <c r="A3803" t="str">
        <f>IF(C3803&amp;G3803&amp;D3803&lt;&gt;'Funnel setup'!$K$3&amp;'Funnel setup'!$K$4&amp;'Funnel setup'!$K$6,".",IF(A3802=".",1,A3802+1))</f>
        <v>.</v>
      </c>
      <c r="B3803" s="244" t="str">
        <f t="shared" si="59"/>
        <v>Total Hip ReplacementProviderNUFFIELD HEALTH, WARWICKSHIRE HOSPITAL (NT224)EQ VAS</v>
      </c>
      <c r="C3803" t="s">
        <v>974</v>
      </c>
      <c r="D3803" t="s">
        <v>965</v>
      </c>
      <c r="E3803" t="s">
        <v>412</v>
      </c>
      <c r="F3803" t="s">
        <v>413</v>
      </c>
      <c r="G3803" t="s">
        <v>752</v>
      </c>
      <c r="H3803">
        <v>17</v>
      </c>
      <c r="I3803">
        <v>64.470600000000005</v>
      </c>
      <c r="J3803">
        <v>81.2941</v>
      </c>
      <c r="K3803">
        <v>16.823499999999999</v>
      </c>
      <c r="L3803">
        <v>13</v>
      </c>
      <c r="M3803">
        <v>1</v>
      </c>
      <c r="N3803">
        <v>3</v>
      </c>
      <c r="O3803" t="s">
        <v>127</v>
      </c>
      <c r="P3803" t="s">
        <v>127</v>
      </c>
      <c r="Q3803" t="s">
        <v>127</v>
      </c>
    </row>
    <row r="3804" spans="1:17" x14ac:dyDescent="0.25">
      <c r="A3804" t="str">
        <f>IF(C3804&amp;G3804&amp;D3804&lt;&gt;'Funnel setup'!$K$3&amp;'Funnel setup'!$K$4&amp;'Funnel setup'!$K$6,".",IF(A3803=".",1,A3803+1))</f>
        <v>.</v>
      </c>
      <c r="B3804" s="244" t="str">
        <f t="shared" si="59"/>
        <v>Total Hip ReplacementProviderNUFFIELD HEALTH, WESSEX HOSPITAL (NT214)EQ VAS</v>
      </c>
      <c r="C3804" t="s">
        <v>974</v>
      </c>
      <c r="D3804" t="s">
        <v>965</v>
      </c>
      <c r="E3804" t="s">
        <v>414</v>
      </c>
      <c r="F3804" t="s">
        <v>415</v>
      </c>
      <c r="G3804" t="s">
        <v>752</v>
      </c>
      <c r="H3804">
        <v>32</v>
      </c>
      <c r="I3804">
        <v>61.593800000000002</v>
      </c>
      <c r="J3804">
        <v>77.718800000000002</v>
      </c>
      <c r="K3804">
        <v>16.125</v>
      </c>
      <c r="L3804">
        <v>25</v>
      </c>
      <c r="M3804">
        <v>2</v>
      </c>
      <c r="N3804">
        <v>5</v>
      </c>
      <c r="O3804">
        <v>75.711799999999997</v>
      </c>
      <c r="P3804">
        <v>14.8957</v>
      </c>
      <c r="Q3804">
        <v>11.804</v>
      </c>
    </row>
    <row r="3805" spans="1:17" x14ac:dyDescent="0.25">
      <c r="A3805" t="str">
        <f>IF(C3805&amp;G3805&amp;D3805&lt;&gt;'Funnel setup'!$K$3&amp;'Funnel setup'!$K$4&amp;'Funnel setup'!$K$6,".",IF(A3804=".",1,A3804+1))</f>
        <v>.</v>
      </c>
      <c r="B3805" s="244" t="str">
        <f t="shared" si="59"/>
        <v>Total Hip ReplacementProviderNUFFIELD HEALTH, WOLVERHAMPTON HOSPITAL (NT242)EQ VAS</v>
      </c>
      <c r="C3805" t="s">
        <v>974</v>
      </c>
      <c r="D3805" t="s">
        <v>965</v>
      </c>
      <c r="E3805" t="s">
        <v>418</v>
      </c>
      <c r="F3805" t="s">
        <v>419</v>
      </c>
      <c r="G3805" t="s">
        <v>752</v>
      </c>
      <c r="H3805">
        <v>4</v>
      </c>
      <c r="I3805">
        <v>59.25</v>
      </c>
      <c r="J3805">
        <v>71.25</v>
      </c>
      <c r="K3805">
        <v>12</v>
      </c>
      <c r="L3805">
        <v>3</v>
      </c>
      <c r="M3805">
        <v>1</v>
      </c>
      <c r="N3805">
        <v>0</v>
      </c>
      <c r="O3805" t="s">
        <v>127</v>
      </c>
      <c r="P3805" t="s">
        <v>127</v>
      </c>
      <c r="Q3805" t="s">
        <v>127</v>
      </c>
    </row>
    <row r="3806" spans="1:17" x14ac:dyDescent="0.25">
      <c r="A3806" t="str">
        <f>IF(C3806&amp;G3806&amp;D3806&lt;&gt;'Funnel setup'!$K$3&amp;'Funnel setup'!$K$4&amp;'Funnel setup'!$K$6,".",IF(A3805=".",1,A3805+1))</f>
        <v>.</v>
      </c>
      <c r="B3806" s="244" t="str">
        <f t="shared" si="59"/>
        <v>Total Hip ReplacementProviderNUFFIELD HEALTH, YORK HOSPITAL (NT245)EQ VAS</v>
      </c>
      <c r="C3806" t="s">
        <v>974</v>
      </c>
      <c r="D3806" t="s">
        <v>965</v>
      </c>
      <c r="E3806" t="s">
        <v>420</v>
      </c>
      <c r="F3806" t="s">
        <v>421</v>
      </c>
      <c r="G3806" t="s">
        <v>752</v>
      </c>
      <c r="H3806">
        <v>73</v>
      </c>
      <c r="I3806">
        <v>63.773299999999999</v>
      </c>
      <c r="J3806">
        <v>79.466700000000003</v>
      </c>
      <c r="K3806">
        <v>15.693300000000001</v>
      </c>
      <c r="L3806">
        <v>57</v>
      </c>
      <c r="M3806">
        <v>4</v>
      </c>
      <c r="N3806">
        <v>12</v>
      </c>
      <c r="O3806">
        <v>78.856399999999994</v>
      </c>
      <c r="P3806">
        <v>18.040299999999998</v>
      </c>
      <c r="Q3806">
        <v>16.170300000000001</v>
      </c>
    </row>
    <row r="3807" spans="1:17" x14ac:dyDescent="0.25">
      <c r="A3807" t="str">
        <f>IF(C3807&amp;G3807&amp;D3807&lt;&gt;'Funnel setup'!$K$3&amp;'Funnel setup'!$K$4&amp;'Funnel setup'!$K$6,".",IF(A3806=".",1,A3806+1))</f>
        <v>.</v>
      </c>
      <c r="B3807" s="244" t="str">
        <f t="shared" si="59"/>
        <v>Total Hip ReplacementProviderOAKLANDS HOSPITAL (NVC12)EQ VAS</v>
      </c>
      <c r="C3807" t="s">
        <v>974</v>
      </c>
      <c r="D3807" t="s">
        <v>965</v>
      </c>
      <c r="E3807" t="s">
        <v>424</v>
      </c>
      <c r="F3807" t="s">
        <v>425</v>
      </c>
      <c r="G3807" t="s">
        <v>752</v>
      </c>
      <c r="H3807">
        <v>58</v>
      </c>
      <c r="I3807">
        <v>66.620699999999999</v>
      </c>
      <c r="J3807">
        <v>71.930999999999997</v>
      </c>
      <c r="K3807">
        <v>5.3103400000000001</v>
      </c>
      <c r="L3807">
        <v>32</v>
      </c>
      <c r="M3807">
        <v>10</v>
      </c>
      <c r="N3807">
        <v>16</v>
      </c>
      <c r="O3807">
        <v>72.128699999999995</v>
      </c>
      <c r="P3807">
        <v>11.3126</v>
      </c>
      <c r="Q3807">
        <v>19.6859</v>
      </c>
    </row>
    <row r="3808" spans="1:17" x14ac:dyDescent="0.25">
      <c r="A3808" t="str">
        <f>IF(C3808&amp;G3808&amp;D3808&lt;&gt;'Funnel setup'!$K$3&amp;'Funnel setup'!$K$4&amp;'Funnel setup'!$K$6,".",IF(A3807=".",1,A3807+1))</f>
        <v>.</v>
      </c>
      <c r="B3808" s="244" t="str">
        <f t="shared" si="59"/>
        <v>Total Hip ReplacementProviderOAKS HOSPITAL (NVC13)EQ VAS</v>
      </c>
      <c r="C3808" t="s">
        <v>974</v>
      </c>
      <c r="D3808" t="s">
        <v>965</v>
      </c>
      <c r="E3808" t="s">
        <v>426</v>
      </c>
      <c r="F3808" t="s">
        <v>427</v>
      </c>
      <c r="G3808" t="s">
        <v>752</v>
      </c>
      <c r="H3808">
        <v>6</v>
      </c>
      <c r="I3808">
        <v>76.666700000000006</v>
      </c>
      <c r="J3808">
        <v>73.5</v>
      </c>
      <c r="K3808">
        <v>-3.1666699999999999</v>
      </c>
      <c r="L3808">
        <v>2</v>
      </c>
      <c r="M3808">
        <v>1</v>
      </c>
      <c r="N3808">
        <v>3</v>
      </c>
      <c r="O3808" t="s">
        <v>127</v>
      </c>
      <c r="P3808" t="s">
        <v>127</v>
      </c>
      <c r="Q3808" t="s">
        <v>127</v>
      </c>
    </row>
    <row r="3809" spans="1:17" x14ac:dyDescent="0.25">
      <c r="A3809" t="str">
        <f>IF(C3809&amp;G3809&amp;D3809&lt;&gt;'Funnel setup'!$K$3&amp;'Funnel setup'!$K$4&amp;'Funnel setup'!$K$6,".",IF(A3808=".",1,A3808+1))</f>
        <v>.</v>
      </c>
      <c r="B3809" s="244" t="str">
        <f t="shared" si="59"/>
        <v>Total Hip ReplacementProviderONE HEALTHCARE (AVQ)EQ VAS</v>
      </c>
      <c r="C3809" t="s">
        <v>974</v>
      </c>
      <c r="D3809" t="s">
        <v>965</v>
      </c>
      <c r="E3809" t="s">
        <v>434</v>
      </c>
      <c r="F3809" t="s">
        <v>435</v>
      </c>
      <c r="G3809" t="s">
        <v>752</v>
      </c>
      <c r="H3809">
        <v>51</v>
      </c>
      <c r="I3809">
        <v>61.2941</v>
      </c>
      <c r="J3809">
        <v>79</v>
      </c>
      <c r="K3809">
        <v>17.7059</v>
      </c>
      <c r="L3809">
        <v>38</v>
      </c>
      <c r="M3809">
        <v>4</v>
      </c>
      <c r="N3809">
        <v>9</v>
      </c>
      <c r="O3809">
        <v>76.486099999999993</v>
      </c>
      <c r="P3809">
        <v>15.6699</v>
      </c>
      <c r="Q3809">
        <v>15.914099999999999</v>
      </c>
    </row>
    <row r="3810" spans="1:17" x14ac:dyDescent="0.25">
      <c r="A3810" t="str">
        <f>IF(C3810&amp;G3810&amp;D3810&lt;&gt;'Funnel setup'!$K$3&amp;'Funnel setup'!$K$4&amp;'Funnel setup'!$K$6,".",IF(A3809=".",1,A3809+1))</f>
        <v>.</v>
      </c>
      <c r="B3810" s="244" t="str">
        <f t="shared" si="59"/>
        <v>Total Hip ReplacementProviderORTHOPAEDICS &amp; SPINE SPECIALIST HOSPITAL SITE (NQM01)EQ VAS</v>
      </c>
      <c r="C3810" t="s">
        <v>974</v>
      </c>
      <c r="D3810" t="s">
        <v>965</v>
      </c>
      <c r="E3810" t="s">
        <v>436</v>
      </c>
      <c r="F3810" t="s">
        <v>437</v>
      </c>
      <c r="G3810" t="s">
        <v>752</v>
      </c>
      <c r="H3810">
        <v>7</v>
      </c>
      <c r="I3810">
        <v>77.142899999999997</v>
      </c>
      <c r="J3810">
        <v>80.714299999999994</v>
      </c>
      <c r="K3810">
        <v>3.5714299999999999</v>
      </c>
      <c r="L3810">
        <v>5</v>
      </c>
      <c r="M3810">
        <v>0</v>
      </c>
      <c r="N3810">
        <v>2</v>
      </c>
      <c r="O3810" t="s">
        <v>127</v>
      </c>
      <c r="P3810" t="s">
        <v>127</v>
      </c>
      <c r="Q3810" t="s">
        <v>127</v>
      </c>
    </row>
    <row r="3811" spans="1:17" x14ac:dyDescent="0.25">
      <c r="A3811" t="str">
        <f>IF(C3811&amp;G3811&amp;D3811&lt;&gt;'Funnel setup'!$K$3&amp;'Funnel setup'!$K$4&amp;'Funnel setup'!$K$6,".",IF(A3810=".",1,A3810+1))</f>
        <v>.</v>
      </c>
      <c r="B3811" s="244" t="str">
        <f t="shared" si="59"/>
        <v>Total Hip ReplacementProviderOXFORD UNIVERSITY HOSPITALS NHS FOUNDATION TRUST (RTH)EQ VAS</v>
      </c>
      <c r="C3811" t="s">
        <v>974</v>
      </c>
      <c r="D3811" t="s">
        <v>965</v>
      </c>
      <c r="E3811" t="s">
        <v>438</v>
      </c>
      <c r="F3811" t="s">
        <v>439</v>
      </c>
      <c r="G3811" t="s">
        <v>752</v>
      </c>
      <c r="H3811">
        <v>310</v>
      </c>
      <c r="I3811">
        <v>61.771000000000001</v>
      </c>
      <c r="J3811">
        <v>74.328999999999994</v>
      </c>
      <c r="K3811">
        <v>12.5581</v>
      </c>
      <c r="L3811">
        <v>217</v>
      </c>
      <c r="M3811">
        <v>23</v>
      </c>
      <c r="N3811">
        <v>70</v>
      </c>
      <c r="O3811">
        <v>74.170699999999997</v>
      </c>
      <c r="P3811">
        <v>13.3546</v>
      </c>
      <c r="Q3811">
        <v>16.337</v>
      </c>
    </row>
    <row r="3812" spans="1:17" x14ac:dyDescent="0.25">
      <c r="A3812" t="str">
        <f>IF(C3812&amp;G3812&amp;D3812&lt;&gt;'Funnel setup'!$K$3&amp;'Funnel setup'!$K$4&amp;'Funnel setup'!$K$6,".",IF(A3811=".",1,A3811+1))</f>
        <v>.</v>
      </c>
      <c r="B3812" s="244" t="str">
        <f t="shared" si="59"/>
        <v>Total Hip ReplacementProviderPARK HILL HOSPITAL (NVC14)EQ VAS</v>
      </c>
      <c r="C3812" t="s">
        <v>974</v>
      </c>
      <c r="D3812" t="s">
        <v>965</v>
      </c>
      <c r="E3812" t="s">
        <v>440</v>
      </c>
      <c r="F3812" t="s">
        <v>441</v>
      </c>
      <c r="G3812" t="s">
        <v>752</v>
      </c>
      <c r="H3812">
        <v>51</v>
      </c>
      <c r="I3812">
        <v>57.2941</v>
      </c>
      <c r="J3812">
        <v>74.862700000000004</v>
      </c>
      <c r="K3812">
        <v>17.5686</v>
      </c>
      <c r="L3812">
        <v>38</v>
      </c>
      <c r="M3812">
        <v>3</v>
      </c>
      <c r="N3812">
        <v>10</v>
      </c>
      <c r="O3812">
        <v>74.566800000000001</v>
      </c>
      <c r="P3812">
        <v>13.7507</v>
      </c>
      <c r="Q3812">
        <v>18.7807</v>
      </c>
    </row>
    <row r="3813" spans="1:17" x14ac:dyDescent="0.25">
      <c r="A3813" t="str">
        <f>IF(C3813&amp;G3813&amp;D3813&lt;&gt;'Funnel setup'!$K$3&amp;'Funnel setup'!$K$4&amp;'Funnel setup'!$K$6,".",IF(A3812=".",1,A3812+1))</f>
        <v>.</v>
      </c>
      <c r="B3813" s="244" t="str">
        <f t="shared" si="59"/>
        <v>Total Hip ReplacementProviderPARK HOSPITAL (NT427)EQ VAS</v>
      </c>
      <c r="C3813" t="s">
        <v>974</v>
      </c>
      <c r="D3813" t="s">
        <v>965</v>
      </c>
      <c r="E3813" t="s">
        <v>442</v>
      </c>
      <c r="F3813" t="s">
        <v>443</v>
      </c>
      <c r="G3813" t="s">
        <v>752</v>
      </c>
      <c r="H3813">
        <v>20</v>
      </c>
      <c r="I3813">
        <v>57.9</v>
      </c>
      <c r="J3813">
        <v>71.5</v>
      </c>
      <c r="K3813">
        <v>13.6</v>
      </c>
      <c r="L3813">
        <v>12</v>
      </c>
      <c r="M3813">
        <v>4</v>
      </c>
      <c r="N3813">
        <v>4</v>
      </c>
      <c r="O3813" t="s">
        <v>127</v>
      </c>
      <c r="P3813" t="s">
        <v>127</v>
      </c>
      <c r="Q3813" t="s">
        <v>127</v>
      </c>
    </row>
    <row r="3814" spans="1:17" x14ac:dyDescent="0.25">
      <c r="A3814" t="str">
        <f>IF(C3814&amp;G3814&amp;D3814&lt;&gt;'Funnel setup'!$K$3&amp;'Funnel setup'!$K$4&amp;'Funnel setup'!$K$6,".",IF(A3813=".",1,A3813+1))</f>
        <v>.</v>
      </c>
      <c r="B3814" s="244" t="str">
        <f t="shared" si="59"/>
        <v>Total Hip ReplacementProviderPENNINE ACUTE HOSPITALS NHS TRUST (RW6)EQ VAS</v>
      </c>
      <c r="C3814" t="s">
        <v>974</v>
      </c>
      <c r="D3814" t="s">
        <v>965</v>
      </c>
      <c r="E3814" t="s">
        <v>444</v>
      </c>
      <c r="F3814" t="s">
        <v>445</v>
      </c>
      <c r="G3814" t="s">
        <v>752</v>
      </c>
      <c r="H3814">
        <v>1</v>
      </c>
      <c r="I3814">
        <v>67</v>
      </c>
      <c r="J3814">
        <v>75</v>
      </c>
      <c r="K3814">
        <v>8</v>
      </c>
      <c r="L3814">
        <v>1</v>
      </c>
      <c r="M3814">
        <v>0</v>
      </c>
      <c r="N3814">
        <v>0</v>
      </c>
      <c r="O3814" t="s">
        <v>127</v>
      </c>
      <c r="P3814" t="s">
        <v>127</v>
      </c>
      <c r="Q3814" t="s">
        <v>127</v>
      </c>
    </row>
    <row r="3815" spans="1:17" x14ac:dyDescent="0.25">
      <c r="A3815" t="str">
        <f>IF(C3815&amp;G3815&amp;D3815&lt;&gt;'Funnel setup'!$K$3&amp;'Funnel setup'!$K$4&amp;'Funnel setup'!$K$6,".",IF(A3814=".",1,A3814+1))</f>
        <v>.</v>
      </c>
      <c r="B3815" s="244" t="str">
        <f t="shared" si="59"/>
        <v>Total Hip ReplacementProviderPINEHILL HOSPITAL (NVC15)EQ VAS</v>
      </c>
      <c r="C3815" t="s">
        <v>974</v>
      </c>
      <c r="D3815" t="s">
        <v>965</v>
      </c>
      <c r="E3815" t="s">
        <v>448</v>
      </c>
      <c r="F3815" t="s">
        <v>449</v>
      </c>
      <c r="G3815" t="s">
        <v>752</v>
      </c>
      <c r="H3815">
        <v>12</v>
      </c>
      <c r="I3815">
        <v>59.916699999999999</v>
      </c>
      <c r="J3815">
        <v>75.75</v>
      </c>
      <c r="K3815">
        <v>15.833299999999999</v>
      </c>
      <c r="L3815">
        <v>9</v>
      </c>
      <c r="M3815">
        <v>0</v>
      </c>
      <c r="N3815">
        <v>3</v>
      </c>
      <c r="O3815" t="s">
        <v>127</v>
      </c>
      <c r="P3815" t="s">
        <v>127</v>
      </c>
      <c r="Q3815" t="s">
        <v>127</v>
      </c>
    </row>
    <row r="3816" spans="1:17" x14ac:dyDescent="0.25">
      <c r="A3816" t="str">
        <f>IF(C3816&amp;G3816&amp;D3816&lt;&gt;'Funnel setup'!$K$3&amp;'Funnel setup'!$K$4&amp;'Funnel setup'!$K$6,".",IF(A3815=".",1,A3815+1))</f>
        <v>.</v>
      </c>
      <c r="B3816" s="244" t="str">
        <f t="shared" si="59"/>
        <v>Total Hip ReplacementProviderPORTSMOUTH HOSPITALS UNIVERSITY NATIONAL HEALTH SERVICE TRUST (RHU)EQ VAS</v>
      </c>
      <c r="C3816" t="s">
        <v>974</v>
      </c>
      <c r="D3816" t="s">
        <v>965</v>
      </c>
      <c r="E3816" t="s">
        <v>450</v>
      </c>
      <c r="F3816" t="s">
        <v>451</v>
      </c>
      <c r="G3816" t="s">
        <v>752</v>
      </c>
      <c r="H3816">
        <v>15</v>
      </c>
      <c r="I3816">
        <v>48.066699999999997</v>
      </c>
      <c r="J3816">
        <v>68</v>
      </c>
      <c r="K3816">
        <v>19.933299999999999</v>
      </c>
      <c r="L3816">
        <v>10</v>
      </c>
      <c r="M3816">
        <v>2</v>
      </c>
      <c r="N3816">
        <v>3</v>
      </c>
      <c r="O3816" t="s">
        <v>127</v>
      </c>
      <c r="P3816" t="s">
        <v>127</v>
      </c>
      <c r="Q3816" t="s">
        <v>127</v>
      </c>
    </row>
    <row r="3817" spans="1:17" x14ac:dyDescent="0.25">
      <c r="A3817" t="str">
        <f>IF(C3817&amp;G3817&amp;D3817&lt;&gt;'Funnel setup'!$K$3&amp;'Funnel setup'!$K$4&amp;'Funnel setup'!$K$6,".",IF(A3816=".",1,A3816+1))</f>
        <v>.</v>
      </c>
      <c r="B3817" s="244" t="str">
        <f t="shared" si="59"/>
        <v>Total Hip ReplacementProviderPRACTICE PLUS GROUP HOSPITAL - BARLBOROUGH (NTP13)EQ VAS</v>
      </c>
      <c r="C3817" t="s">
        <v>974</v>
      </c>
      <c r="D3817" t="s">
        <v>965</v>
      </c>
      <c r="E3817" t="s">
        <v>452</v>
      </c>
      <c r="F3817" t="s">
        <v>453</v>
      </c>
      <c r="G3817" t="s">
        <v>752</v>
      </c>
      <c r="H3817">
        <v>172</v>
      </c>
      <c r="I3817">
        <v>67.75</v>
      </c>
      <c r="J3817">
        <v>75.965100000000007</v>
      </c>
      <c r="K3817">
        <v>8.2151200000000006</v>
      </c>
      <c r="L3817">
        <v>106</v>
      </c>
      <c r="M3817">
        <v>15</v>
      </c>
      <c r="N3817">
        <v>51</v>
      </c>
      <c r="O3817">
        <v>73.735699999999994</v>
      </c>
      <c r="P3817">
        <v>12.919600000000001</v>
      </c>
      <c r="Q3817">
        <v>16.564</v>
      </c>
    </row>
    <row r="3818" spans="1:17" x14ac:dyDescent="0.25">
      <c r="A3818" t="str">
        <f>IF(C3818&amp;G3818&amp;D3818&lt;&gt;'Funnel setup'!$K$3&amp;'Funnel setup'!$K$4&amp;'Funnel setup'!$K$6,".",IF(A3817=".",1,A3817+1))</f>
        <v>.</v>
      </c>
      <c r="B3818" s="244" t="str">
        <f t="shared" si="59"/>
        <v>Total Hip ReplacementProviderPRACTICE PLUS GROUP HOSPITAL - EMERSONS GREEN (NTPH2)EQ VAS</v>
      </c>
      <c r="C3818" t="s">
        <v>974</v>
      </c>
      <c r="D3818" t="s">
        <v>965</v>
      </c>
      <c r="E3818" t="s">
        <v>454</v>
      </c>
      <c r="F3818" t="s">
        <v>455</v>
      </c>
      <c r="G3818" t="s">
        <v>752</v>
      </c>
      <c r="H3818">
        <v>141</v>
      </c>
      <c r="I3818">
        <v>57.383000000000003</v>
      </c>
      <c r="J3818">
        <v>80.758899999999997</v>
      </c>
      <c r="K3818">
        <v>23.375900000000001</v>
      </c>
      <c r="L3818">
        <v>111</v>
      </c>
      <c r="M3818">
        <v>10</v>
      </c>
      <c r="N3818">
        <v>20</v>
      </c>
      <c r="O3818">
        <v>79.624600000000001</v>
      </c>
      <c r="P3818">
        <v>18.808499999999999</v>
      </c>
      <c r="Q3818">
        <v>15.2761</v>
      </c>
    </row>
    <row r="3819" spans="1:17" x14ac:dyDescent="0.25">
      <c r="A3819" t="str">
        <f>IF(C3819&amp;G3819&amp;D3819&lt;&gt;'Funnel setup'!$K$3&amp;'Funnel setup'!$K$4&amp;'Funnel setup'!$K$6,".",IF(A3818=".",1,A3818+1))</f>
        <v>.</v>
      </c>
      <c r="B3819" s="244" t="str">
        <f t="shared" si="59"/>
        <v>Total Hip ReplacementProviderPRACTICE PLUS GROUP HOSPITAL - ILFORD (NTP15)EQ VAS</v>
      </c>
      <c r="C3819" t="s">
        <v>974</v>
      </c>
      <c r="D3819" t="s">
        <v>965</v>
      </c>
      <c r="E3819" t="s">
        <v>456</v>
      </c>
      <c r="F3819" t="s">
        <v>457</v>
      </c>
      <c r="G3819" t="s">
        <v>752</v>
      </c>
      <c r="H3819">
        <v>49</v>
      </c>
      <c r="I3819">
        <v>70.959199999999996</v>
      </c>
      <c r="J3819">
        <v>79.959199999999996</v>
      </c>
      <c r="K3819">
        <v>9</v>
      </c>
      <c r="L3819">
        <v>29</v>
      </c>
      <c r="M3819">
        <v>8</v>
      </c>
      <c r="N3819">
        <v>12</v>
      </c>
      <c r="O3819">
        <v>76.602900000000005</v>
      </c>
      <c r="P3819">
        <v>15.786799999999999</v>
      </c>
      <c r="Q3819">
        <v>16.217099999999999</v>
      </c>
    </row>
    <row r="3820" spans="1:17" x14ac:dyDescent="0.25">
      <c r="A3820" t="str">
        <f>IF(C3820&amp;G3820&amp;D3820&lt;&gt;'Funnel setup'!$K$3&amp;'Funnel setup'!$K$4&amp;'Funnel setup'!$K$6,".",IF(A3819=".",1,A3819+1))</f>
        <v>.</v>
      </c>
      <c r="B3820" s="244" t="str">
        <f t="shared" si="59"/>
        <v>Total Hip ReplacementProviderPRACTICE PLUS GROUP HOSPITAL - PLYMOUTH (NTPH5)EQ VAS</v>
      </c>
      <c r="C3820" t="s">
        <v>974</v>
      </c>
      <c r="D3820" t="s">
        <v>965</v>
      </c>
      <c r="E3820" t="s">
        <v>458</v>
      </c>
      <c r="F3820" t="s">
        <v>459</v>
      </c>
      <c r="G3820" t="s">
        <v>752</v>
      </c>
      <c r="H3820">
        <v>168</v>
      </c>
      <c r="I3820">
        <v>65.023799999999994</v>
      </c>
      <c r="J3820">
        <v>76.196399999999997</v>
      </c>
      <c r="K3820">
        <v>11.172599999999999</v>
      </c>
      <c r="L3820">
        <v>113</v>
      </c>
      <c r="M3820">
        <v>15</v>
      </c>
      <c r="N3820">
        <v>40</v>
      </c>
      <c r="O3820">
        <v>74.946299999999994</v>
      </c>
      <c r="P3820">
        <v>14.1302</v>
      </c>
      <c r="Q3820">
        <v>15.4071</v>
      </c>
    </row>
    <row r="3821" spans="1:17" x14ac:dyDescent="0.25">
      <c r="A3821" t="str">
        <f>IF(C3821&amp;G3821&amp;D3821&lt;&gt;'Funnel setup'!$K$3&amp;'Funnel setup'!$K$4&amp;'Funnel setup'!$K$6,".",IF(A3820=".",1,A3820+1))</f>
        <v>.</v>
      </c>
      <c r="B3821" s="244" t="str">
        <f t="shared" si="59"/>
        <v>Total Hip ReplacementProviderPRACTICE PLUS GROUP HOSPITAL - SHEPTON MALLET (NTPH1)EQ VAS</v>
      </c>
      <c r="C3821" t="s">
        <v>974</v>
      </c>
      <c r="D3821" t="s">
        <v>965</v>
      </c>
      <c r="E3821" t="s">
        <v>460</v>
      </c>
      <c r="F3821" t="s">
        <v>461</v>
      </c>
      <c r="G3821" t="s">
        <v>752</v>
      </c>
      <c r="H3821">
        <v>264</v>
      </c>
      <c r="I3821">
        <v>65.378799999999998</v>
      </c>
      <c r="J3821">
        <v>81.439400000000006</v>
      </c>
      <c r="K3821">
        <v>16.060600000000001</v>
      </c>
      <c r="L3821">
        <v>197</v>
      </c>
      <c r="M3821">
        <v>22</v>
      </c>
      <c r="N3821">
        <v>45</v>
      </c>
      <c r="O3821">
        <v>78.249099999999999</v>
      </c>
      <c r="P3821">
        <v>17.433</v>
      </c>
      <c r="Q3821">
        <v>13.303800000000001</v>
      </c>
    </row>
    <row r="3822" spans="1:17" x14ac:dyDescent="0.25">
      <c r="A3822" t="str">
        <f>IF(C3822&amp;G3822&amp;D3822&lt;&gt;'Funnel setup'!$K$3&amp;'Funnel setup'!$K$4&amp;'Funnel setup'!$K$6,".",IF(A3821=".",1,A3821+1))</f>
        <v>.</v>
      </c>
      <c r="B3822" s="244" t="str">
        <f t="shared" si="59"/>
        <v>Total Hip ReplacementProviderPRACTICE PLUS GROUP HOSPITAL - SOUTHAMPTON (NTP11)EQ VAS</v>
      </c>
      <c r="C3822" t="s">
        <v>974</v>
      </c>
      <c r="D3822" t="s">
        <v>965</v>
      </c>
      <c r="E3822" t="s">
        <v>462</v>
      </c>
      <c r="F3822" t="s">
        <v>463</v>
      </c>
      <c r="G3822" t="s">
        <v>752</v>
      </c>
      <c r="H3822">
        <v>61</v>
      </c>
      <c r="I3822">
        <v>65.459000000000003</v>
      </c>
      <c r="J3822">
        <v>79.442599999999999</v>
      </c>
      <c r="K3822">
        <v>13.983599999999999</v>
      </c>
      <c r="L3822">
        <v>42</v>
      </c>
      <c r="M3822">
        <v>7</v>
      </c>
      <c r="N3822">
        <v>12</v>
      </c>
      <c r="O3822">
        <v>76.124499999999998</v>
      </c>
      <c r="P3822">
        <v>15.308400000000001</v>
      </c>
      <c r="Q3822">
        <v>17.847799999999999</v>
      </c>
    </row>
    <row r="3823" spans="1:17" x14ac:dyDescent="0.25">
      <c r="A3823" t="str">
        <f>IF(C3823&amp;G3823&amp;D3823&lt;&gt;'Funnel setup'!$K$3&amp;'Funnel setup'!$K$4&amp;'Funnel setup'!$K$6,".",IF(A3822=".",1,A3822+1))</f>
        <v>.</v>
      </c>
      <c r="B3823" s="244" t="str">
        <f t="shared" si="59"/>
        <v>Total Hip ReplacementProviderPRINCESS MARGARET HOSPITAL (NT428)EQ VAS</v>
      </c>
      <c r="C3823" t="s">
        <v>974</v>
      </c>
      <c r="D3823" t="s">
        <v>965</v>
      </c>
      <c r="E3823" t="s">
        <v>464</v>
      </c>
      <c r="F3823" t="s">
        <v>465</v>
      </c>
      <c r="G3823" t="s">
        <v>752</v>
      </c>
      <c r="H3823" t="s">
        <v>127</v>
      </c>
      <c r="I3823" t="s">
        <v>127</v>
      </c>
      <c r="J3823" t="s">
        <v>127</v>
      </c>
      <c r="K3823" t="s">
        <v>127</v>
      </c>
      <c r="L3823" t="s">
        <v>127</v>
      </c>
      <c r="M3823" t="s">
        <v>127</v>
      </c>
      <c r="N3823" t="s">
        <v>127</v>
      </c>
      <c r="O3823" t="s">
        <v>127</v>
      </c>
      <c r="P3823" t="s">
        <v>127</v>
      </c>
      <c r="Q3823" t="s">
        <v>127</v>
      </c>
    </row>
    <row r="3824" spans="1:17" x14ac:dyDescent="0.25">
      <c r="A3824" t="str">
        <f>IF(C3824&amp;G3824&amp;D3824&lt;&gt;'Funnel setup'!$K$3&amp;'Funnel setup'!$K$4&amp;'Funnel setup'!$K$6,".",IF(A3823=".",1,A3823+1))</f>
        <v>.</v>
      </c>
      <c r="B3824" s="244" t="str">
        <f t="shared" si="59"/>
        <v>Total Hip ReplacementProviderPRIORY HOSPITAL (NT429)EQ VAS</v>
      </c>
      <c r="C3824" t="s">
        <v>974</v>
      </c>
      <c r="D3824" t="s">
        <v>965</v>
      </c>
      <c r="E3824" t="s">
        <v>466</v>
      </c>
      <c r="F3824" t="s">
        <v>467</v>
      </c>
      <c r="G3824" t="s">
        <v>752</v>
      </c>
      <c r="H3824">
        <v>10</v>
      </c>
      <c r="I3824">
        <v>57.9</v>
      </c>
      <c r="J3824">
        <v>75</v>
      </c>
      <c r="K3824">
        <v>17.100000000000001</v>
      </c>
      <c r="L3824">
        <v>7</v>
      </c>
      <c r="M3824">
        <v>1</v>
      </c>
      <c r="N3824">
        <v>2</v>
      </c>
      <c r="O3824" t="s">
        <v>127</v>
      </c>
      <c r="P3824" t="s">
        <v>127</v>
      </c>
      <c r="Q3824" t="s">
        <v>127</v>
      </c>
    </row>
    <row r="3825" spans="1:17" x14ac:dyDescent="0.25">
      <c r="A3825" t="str">
        <f>IF(C3825&amp;G3825&amp;D3825&lt;&gt;'Funnel setup'!$K$3&amp;'Funnel setup'!$K$4&amp;'Funnel setup'!$K$6,".",IF(A3824=".",1,A3824+1))</f>
        <v>.</v>
      </c>
      <c r="B3825" s="244" t="str">
        <f t="shared" si="59"/>
        <v>Total Hip ReplacementProviderRENACRES HOSPITAL (NVC16)EQ VAS</v>
      </c>
      <c r="C3825" t="s">
        <v>974</v>
      </c>
      <c r="D3825" t="s">
        <v>965</v>
      </c>
      <c r="E3825" t="s">
        <v>470</v>
      </c>
      <c r="F3825" t="s">
        <v>471</v>
      </c>
      <c r="G3825" t="s">
        <v>752</v>
      </c>
      <c r="H3825">
        <v>78</v>
      </c>
      <c r="I3825">
        <v>59.807699999999997</v>
      </c>
      <c r="J3825">
        <v>78.2821</v>
      </c>
      <c r="K3825">
        <v>18.474399999999999</v>
      </c>
      <c r="L3825">
        <v>59</v>
      </c>
      <c r="M3825">
        <v>10</v>
      </c>
      <c r="N3825">
        <v>9</v>
      </c>
      <c r="O3825">
        <v>77.234200000000001</v>
      </c>
      <c r="P3825">
        <v>16.418099999999999</v>
      </c>
      <c r="Q3825">
        <v>16.695499999999999</v>
      </c>
    </row>
    <row r="3826" spans="1:17" x14ac:dyDescent="0.25">
      <c r="A3826" t="str">
        <f>IF(C3826&amp;G3826&amp;D3826&lt;&gt;'Funnel setup'!$K$3&amp;'Funnel setup'!$K$4&amp;'Funnel setup'!$K$6,".",IF(A3825=".",1,A3825+1))</f>
        <v>.</v>
      </c>
      <c r="B3826" s="244" t="str">
        <f t="shared" si="59"/>
        <v>Total Hip ReplacementProviderRIDGEWAY HOSPITAL (NT430)EQ VAS</v>
      </c>
      <c r="C3826" t="s">
        <v>974</v>
      </c>
      <c r="D3826" t="s">
        <v>965</v>
      </c>
      <c r="E3826" t="s">
        <v>472</v>
      </c>
      <c r="F3826" t="s">
        <v>473</v>
      </c>
      <c r="G3826" t="s">
        <v>752</v>
      </c>
      <c r="H3826">
        <v>4</v>
      </c>
      <c r="I3826">
        <v>78.75</v>
      </c>
      <c r="J3826">
        <v>84.5</v>
      </c>
      <c r="K3826">
        <v>5.75</v>
      </c>
      <c r="L3826">
        <v>2</v>
      </c>
      <c r="M3826">
        <v>0</v>
      </c>
      <c r="N3826">
        <v>2</v>
      </c>
      <c r="O3826" t="s">
        <v>127</v>
      </c>
      <c r="P3826" t="s">
        <v>127</v>
      </c>
      <c r="Q3826" t="s">
        <v>127</v>
      </c>
    </row>
    <row r="3827" spans="1:17" x14ac:dyDescent="0.25">
      <c r="A3827" t="str">
        <f>IF(C3827&amp;G3827&amp;D3827&lt;&gt;'Funnel setup'!$K$3&amp;'Funnel setup'!$K$4&amp;'Funnel setup'!$K$6,".",IF(A3826=".",1,A3826+1))</f>
        <v>.</v>
      </c>
      <c r="B3827" s="244" t="str">
        <f t="shared" si="59"/>
        <v>Total Hip ReplacementProviderRIVERS HOSPITAL (NVC19)EQ VAS</v>
      </c>
      <c r="C3827" t="s">
        <v>974</v>
      </c>
      <c r="D3827" t="s">
        <v>965</v>
      </c>
      <c r="E3827" t="s">
        <v>474</v>
      </c>
      <c r="F3827" t="s">
        <v>475</v>
      </c>
      <c r="G3827" t="s">
        <v>752</v>
      </c>
      <c r="H3827">
        <v>54</v>
      </c>
      <c r="I3827">
        <v>65.785700000000006</v>
      </c>
      <c r="J3827">
        <v>76.571399999999997</v>
      </c>
      <c r="K3827">
        <v>10.7857</v>
      </c>
      <c r="L3827">
        <v>35</v>
      </c>
      <c r="M3827">
        <v>8</v>
      </c>
      <c r="N3827">
        <v>11</v>
      </c>
      <c r="O3827">
        <v>73.947500000000005</v>
      </c>
      <c r="P3827">
        <v>13.131399999999999</v>
      </c>
      <c r="Q3827">
        <v>18.648900000000001</v>
      </c>
    </row>
    <row r="3828" spans="1:17" x14ac:dyDescent="0.25">
      <c r="A3828" t="str">
        <f>IF(C3828&amp;G3828&amp;D3828&lt;&gt;'Funnel setup'!$K$3&amp;'Funnel setup'!$K$4&amp;'Funnel setup'!$K$6,".",IF(A3827=".",1,A3827+1))</f>
        <v>.</v>
      </c>
      <c r="B3828" s="244" t="str">
        <f t="shared" si="59"/>
        <v>Total Hip ReplacementProviderROWLEY HALL HOSPITAL (NVC17)EQ VAS</v>
      </c>
      <c r="C3828" t="s">
        <v>974</v>
      </c>
      <c r="D3828" t="s">
        <v>965</v>
      </c>
      <c r="E3828" t="s">
        <v>476</v>
      </c>
      <c r="F3828" t="s">
        <v>477</v>
      </c>
      <c r="G3828" t="s">
        <v>752</v>
      </c>
      <c r="H3828">
        <v>49</v>
      </c>
      <c r="I3828">
        <v>62.66</v>
      </c>
      <c r="J3828">
        <v>76.98</v>
      </c>
      <c r="K3828">
        <v>14.32</v>
      </c>
      <c r="L3828">
        <v>33</v>
      </c>
      <c r="M3828">
        <v>6</v>
      </c>
      <c r="N3828">
        <v>10</v>
      </c>
      <c r="O3828">
        <v>76.082700000000003</v>
      </c>
      <c r="P3828">
        <v>15.2666</v>
      </c>
      <c r="Q3828">
        <v>11.9833</v>
      </c>
    </row>
    <row r="3829" spans="1:17" x14ac:dyDescent="0.25">
      <c r="A3829" t="str">
        <f>IF(C3829&amp;G3829&amp;D3829&lt;&gt;'Funnel setup'!$K$3&amp;'Funnel setup'!$K$4&amp;'Funnel setup'!$K$6,".",IF(A3828=".",1,A3828+1))</f>
        <v>.</v>
      </c>
      <c r="B3829" s="244" t="str">
        <f t="shared" si="59"/>
        <v>Total Hip ReplacementProviderROYAL BERKSHIRE NHS FOUNDATION TRUST (RHW)EQ VAS</v>
      </c>
      <c r="C3829" t="s">
        <v>974</v>
      </c>
      <c r="D3829" t="s">
        <v>965</v>
      </c>
      <c r="E3829" t="s">
        <v>478</v>
      </c>
      <c r="F3829" t="s">
        <v>479</v>
      </c>
      <c r="G3829" t="s">
        <v>752</v>
      </c>
      <c r="H3829">
        <v>4</v>
      </c>
      <c r="I3829">
        <v>42.25</v>
      </c>
      <c r="J3829">
        <v>53.75</v>
      </c>
      <c r="K3829">
        <v>11.5</v>
      </c>
      <c r="L3829">
        <v>3</v>
      </c>
      <c r="M3829">
        <v>0</v>
      </c>
      <c r="N3829">
        <v>1</v>
      </c>
      <c r="O3829" t="s">
        <v>127</v>
      </c>
      <c r="P3829" t="s">
        <v>127</v>
      </c>
      <c r="Q3829" t="s">
        <v>127</v>
      </c>
    </row>
    <row r="3830" spans="1:17" x14ac:dyDescent="0.25">
      <c r="A3830" t="str">
        <f>IF(C3830&amp;G3830&amp;D3830&lt;&gt;'Funnel setup'!$K$3&amp;'Funnel setup'!$K$4&amp;'Funnel setup'!$K$6,".",IF(A3829=".",1,A3829+1))</f>
        <v>.</v>
      </c>
      <c r="B3830" s="244" t="str">
        <f t="shared" si="59"/>
        <v>Total Hip ReplacementProviderROYAL CORNWALL HOSPITALS NHS TRUST (REF)EQ VAS</v>
      </c>
      <c r="C3830" t="s">
        <v>974</v>
      </c>
      <c r="D3830" t="s">
        <v>965</v>
      </c>
      <c r="E3830" t="s">
        <v>480</v>
      </c>
      <c r="F3830" t="s">
        <v>481</v>
      </c>
      <c r="G3830" t="s">
        <v>752</v>
      </c>
      <c r="H3830">
        <v>52</v>
      </c>
      <c r="I3830">
        <v>68.288499999999999</v>
      </c>
      <c r="J3830">
        <v>79.942300000000003</v>
      </c>
      <c r="K3830">
        <v>11.6538</v>
      </c>
      <c r="L3830">
        <v>36</v>
      </c>
      <c r="M3830">
        <v>5</v>
      </c>
      <c r="N3830">
        <v>11</v>
      </c>
      <c r="O3830">
        <v>78.312899999999999</v>
      </c>
      <c r="P3830">
        <v>17.4968</v>
      </c>
      <c r="Q3830">
        <v>14.805099999999999</v>
      </c>
    </row>
    <row r="3831" spans="1:17" x14ac:dyDescent="0.25">
      <c r="A3831" t="str">
        <f>IF(C3831&amp;G3831&amp;D3831&lt;&gt;'Funnel setup'!$K$3&amp;'Funnel setup'!$K$4&amp;'Funnel setup'!$K$6,".",IF(A3830=".",1,A3830+1))</f>
        <v>.</v>
      </c>
      <c r="B3831" s="244" t="str">
        <f t="shared" si="59"/>
        <v>Total Hip ReplacementProviderROYAL DEVON UNIVERSITY HEALTHCARE NHS FOUNDATION TRUST (RH8)EQ VAS</v>
      </c>
      <c r="C3831" t="s">
        <v>974</v>
      </c>
      <c r="D3831" t="s">
        <v>965</v>
      </c>
      <c r="E3831" t="s">
        <v>482</v>
      </c>
      <c r="F3831" t="s">
        <v>483</v>
      </c>
      <c r="G3831" t="s">
        <v>752</v>
      </c>
      <c r="H3831">
        <v>2</v>
      </c>
      <c r="I3831">
        <v>62.5</v>
      </c>
      <c r="J3831">
        <v>70</v>
      </c>
      <c r="K3831">
        <v>7.5</v>
      </c>
      <c r="L3831">
        <v>1</v>
      </c>
      <c r="M3831">
        <v>0</v>
      </c>
      <c r="N3831">
        <v>1</v>
      </c>
      <c r="O3831" t="s">
        <v>127</v>
      </c>
      <c r="P3831" t="s">
        <v>127</v>
      </c>
      <c r="Q3831" t="s">
        <v>127</v>
      </c>
    </row>
    <row r="3832" spans="1:17" x14ac:dyDescent="0.25">
      <c r="A3832" t="str">
        <f>IF(C3832&amp;G3832&amp;D3832&lt;&gt;'Funnel setup'!$K$3&amp;'Funnel setup'!$K$4&amp;'Funnel setup'!$K$6,".",IF(A3831=".",1,A3831+1))</f>
        <v>.</v>
      </c>
      <c r="B3832" s="244" t="str">
        <f t="shared" si="59"/>
        <v>Total Hip ReplacementProviderROYAL NATIONAL ORTHOPAEDIC HOSPITAL NHS TRUST (RAN)EQ VAS</v>
      </c>
      <c r="C3832" t="s">
        <v>974</v>
      </c>
      <c r="D3832" t="s">
        <v>965</v>
      </c>
      <c r="E3832" t="s">
        <v>486</v>
      </c>
      <c r="F3832" t="s">
        <v>487</v>
      </c>
      <c r="G3832" t="s">
        <v>752</v>
      </c>
      <c r="H3832">
        <v>90</v>
      </c>
      <c r="I3832">
        <v>55.277799999999999</v>
      </c>
      <c r="J3832">
        <v>62.1111</v>
      </c>
      <c r="K3832">
        <v>6.8333300000000001</v>
      </c>
      <c r="L3832">
        <v>50</v>
      </c>
      <c r="M3832">
        <v>11</v>
      </c>
      <c r="N3832">
        <v>29</v>
      </c>
      <c r="O3832">
        <v>67.826499999999996</v>
      </c>
      <c r="P3832">
        <v>7.0103999999999997</v>
      </c>
      <c r="Q3832">
        <v>19.931899999999999</v>
      </c>
    </row>
    <row r="3833" spans="1:17" x14ac:dyDescent="0.25">
      <c r="A3833" t="str">
        <f>IF(C3833&amp;G3833&amp;D3833&lt;&gt;'Funnel setup'!$K$3&amp;'Funnel setup'!$K$4&amp;'Funnel setup'!$K$6,".",IF(A3832=".",1,A3832+1))</f>
        <v>.</v>
      </c>
      <c r="B3833" s="244" t="str">
        <f t="shared" si="59"/>
        <v>Total Hip ReplacementProviderROYAL SURREY COUNTY HOSPITAL NHS FOUNDATION TRUST (RA2)EQ VAS</v>
      </c>
      <c r="C3833" t="s">
        <v>974</v>
      </c>
      <c r="D3833" t="s">
        <v>965</v>
      </c>
      <c r="E3833" t="s">
        <v>488</v>
      </c>
      <c r="F3833" t="s">
        <v>489</v>
      </c>
      <c r="G3833" t="s">
        <v>752</v>
      </c>
      <c r="H3833">
        <v>73</v>
      </c>
      <c r="I3833">
        <v>66.274000000000001</v>
      </c>
      <c r="J3833">
        <v>76.178100000000001</v>
      </c>
      <c r="K3833">
        <v>9.9041099999999993</v>
      </c>
      <c r="L3833">
        <v>44</v>
      </c>
      <c r="M3833">
        <v>6</v>
      </c>
      <c r="N3833">
        <v>23</v>
      </c>
      <c r="O3833">
        <v>74.735500000000002</v>
      </c>
      <c r="P3833">
        <v>13.9194</v>
      </c>
      <c r="Q3833">
        <v>16.6404</v>
      </c>
    </row>
    <row r="3834" spans="1:17" x14ac:dyDescent="0.25">
      <c r="A3834" t="str">
        <f>IF(C3834&amp;G3834&amp;D3834&lt;&gt;'Funnel setup'!$K$3&amp;'Funnel setup'!$K$4&amp;'Funnel setup'!$K$6,".",IF(A3833=".",1,A3833+1))</f>
        <v>.</v>
      </c>
      <c r="B3834" s="244" t="str">
        <f t="shared" si="59"/>
        <v>Total Hip ReplacementProviderROYAL UNITED HOSPITALS BATH NHS FOUNDATION TRUST (RD1)EQ VAS</v>
      </c>
      <c r="C3834" t="s">
        <v>974</v>
      </c>
      <c r="D3834" t="s">
        <v>965</v>
      </c>
      <c r="E3834" t="s">
        <v>490</v>
      </c>
      <c r="F3834" t="s">
        <v>491</v>
      </c>
      <c r="G3834" t="s">
        <v>752</v>
      </c>
      <c r="H3834">
        <v>7</v>
      </c>
      <c r="I3834">
        <v>47.142899999999997</v>
      </c>
      <c r="J3834">
        <v>63.285699999999999</v>
      </c>
      <c r="K3834">
        <v>16.142900000000001</v>
      </c>
      <c r="L3834">
        <v>4</v>
      </c>
      <c r="M3834">
        <v>2</v>
      </c>
      <c r="N3834">
        <v>1</v>
      </c>
      <c r="O3834" t="s">
        <v>127</v>
      </c>
      <c r="P3834" t="s">
        <v>127</v>
      </c>
      <c r="Q3834" t="s">
        <v>127</v>
      </c>
    </row>
    <row r="3835" spans="1:17" x14ac:dyDescent="0.25">
      <c r="A3835" t="str">
        <f>IF(C3835&amp;G3835&amp;D3835&lt;&gt;'Funnel setup'!$K$3&amp;'Funnel setup'!$K$4&amp;'Funnel setup'!$K$6,".",IF(A3834=".",1,A3834+1))</f>
        <v>.</v>
      </c>
      <c r="B3835" s="244" t="str">
        <f t="shared" si="59"/>
        <v>Total Hip ReplacementProviderRUNNYMEDE HOSPITAL (NT431)EQ VAS</v>
      </c>
      <c r="C3835" t="s">
        <v>974</v>
      </c>
      <c r="D3835" t="s">
        <v>965</v>
      </c>
      <c r="E3835" t="s">
        <v>492</v>
      </c>
      <c r="F3835" t="s">
        <v>493</v>
      </c>
      <c r="G3835" t="s">
        <v>752</v>
      </c>
      <c r="H3835">
        <v>4</v>
      </c>
      <c r="I3835">
        <v>71.25</v>
      </c>
      <c r="J3835">
        <v>80</v>
      </c>
      <c r="K3835">
        <v>8.75</v>
      </c>
      <c r="L3835">
        <v>2</v>
      </c>
      <c r="M3835">
        <v>1</v>
      </c>
      <c r="N3835">
        <v>1</v>
      </c>
      <c r="O3835" t="s">
        <v>127</v>
      </c>
      <c r="P3835" t="s">
        <v>127</v>
      </c>
      <c r="Q3835" t="s">
        <v>127</v>
      </c>
    </row>
    <row r="3836" spans="1:17" x14ac:dyDescent="0.25">
      <c r="A3836" t="str">
        <f>IF(C3836&amp;G3836&amp;D3836&lt;&gt;'Funnel setup'!$K$3&amp;'Funnel setup'!$K$4&amp;'Funnel setup'!$K$6,".",IF(A3835=".",1,A3835+1))</f>
        <v>.</v>
      </c>
      <c r="B3836" s="244" t="str">
        <f t="shared" si="59"/>
        <v>Total Hip ReplacementProviderSALISBURY NHS FOUNDATION TRUST (RNZ)EQ VAS</v>
      </c>
      <c r="C3836" t="s">
        <v>974</v>
      </c>
      <c r="D3836" t="s">
        <v>965</v>
      </c>
      <c r="E3836" t="s">
        <v>494</v>
      </c>
      <c r="F3836" t="s">
        <v>495</v>
      </c>
      <c r="G3836" t="s">
        <v>752</v>
      </c>
      <c r="H3836">
        <v>3</v>
      </c>
      <c r="I3836">
        <v>48.333300000000001</v>
      </c>
      <c r="J3836">
        <v>74.666700000000006</v>
      </c>
      <c r="K3836">
        <v>26.333300000000001</v>
      </c>
      <c r="L3836">
        <v>3</v>
      </c>
      <c r="M3836">
        <v>0</v>
      </c>
      <c r="N3836">
        <v>0</v>
      </c>
      <c r="O3836" t="s">
        <v>127</v>
      </c>
      <c r="P3836" t="s">
        <v>127</v>
      </c>
      <c r="Q3836" t="s">
        <v>127</v>
      </c>
    </row>
    <row r="3837" spans="1:17" x14ac:dyDescent="0.25">
      <c r="A3837" t="str">
        <f>IF(C3837&amp;G3837&amp;D3837&lt;&gt;'Funnel setup'!$K$3&amp;'Funnel setup'!$K$4&amp;'Funnel setup'!$K$6,".",IF(A3836=".",1,A3836+1))</f>
        <v>.</v>
      </c>
      <c r="B3837" s="244" t="str">
        <f t="shared" si="59"/>
        <v>Total Hip ReplacementProviderSANDWELL AND WEST BIRMINGHAM HOSPITALS NHS TRUST (RXK)EQ VAS</v>
      </c>
      <c r="C3837" t="s">
        <v>974</v>
      </c>
      <c r="D3837" t="s">
        <v>965</v>
      </c>
      <c r="E3837" t="s">
        <v>496</v>
      </c>
      <c r="F3837" t="s">
        <v>497</v>
      </c>
      <c r="G3837" t="s">
        <v>752</v>
      </c>
      <c r="H3837">
        <v>40</v>
      </c>
      <c r="I3837">
        <v>63.35</v>
      </c>
      <c r="J3837">
        <v>70.900000000000006</v>
      </c>
      <c r="K3837">
        <v>7.55</v>
      </c>
      <c r="L3837">
        <v>24</v>
      </c>
      <c r="M3837">
        <v>3</v>
      </c>
      <c r="N3837">
        <v>13</v>
      </c>
      <c r="O3837">
        <v>75.080600000000004</v>
      </c>
      <c r="P3837">
        <v>14.2645</v>
      </c>
      <c r="Q3837">
        <v>16.883700000000001</v>
      </c>
    </row>
    <row r="3838" spans="1:17" x14ac:dyDescent="0.25">
      <c r="A3838" t="str">
        <f>IF(C3838&amp;G3838&amp;D3838&lt;&gt;'Funnel setup'!$K$3&amp;'Funnel setup'!$K$4&amp;'Funnel setup'!$K$6,".",IF(A3837=".",1,A3837+1))</f>
        <v>.</v>
      </c>
      <c r="B3838" s="244" t="str">
        <f t="shared" si="59"/>
        <v>Total Hip ReplacementProviderSARUM ROAD HOSPITAL (NT433)EQ VAS</v>
      </c>
      <c r="C3838" t="s">
        <v>974</v>
      </c>
      <c r="D3838" t="s">
        <v>965</v>
      </c>
      <c r="E3838" t="s">
        <v>498</v>
      </c>
      <c r="F3838" t="s">
        <v>499</v>
      </c>
      <c r="G3838" t="s">
        <v>752</v>
      </c>
      <c r="H3838">
        <v>31</v>
      </c>
      <c r="I3838">
        <v>63.967700000000001</v>
      </c>
      <c r="J3838">
        <v>82.935500000000005</v>
      </c>
      <c r="K3838">
        <v>18.967700000000001</v>
      </c>
      <c r="L3838">
        <v>25</v>
      </c>
      <c r="M3838">
        <v>1</v>
      </c>
      <c r="N3838">
        <v>5</v>
      </c>
      <c r="O3838">
        <v>78.788799999999995</v>
      </c>
      <c r="P3838">
        <v>17.9727</v>
      </c>
      <c r="Q3838">
        <v>9.9574200000000008</v>
      </c>
    </row>
    <row r="3839" spans="1:17" x14ac:dyDescent="0.25">
      <c r="A3839" t="str">
        <f>IF(C3839&amp;G3839&amp;D3839&lt;&gt;'Funnel setup'!$K$3&amp;'Funnel setup'!$K$4&amp;'Funnel setup'!$K$6,".",IF(A3838=".",1,A3838+1))</f>
        <v>.</v>
      </c>
      <c r="B3839" s="244" t="str">
        <f t="shared" si="59"/>
        <v>Total Hip ReplacementProviderSAXON CLINIC (NT434)EQ VAS</v>
      </c>
      <c r="C3839" t="s">
        <v>974</v>
      </c>
      <c r="D3839" t="s">
        <v>965</v>
      </c>
      <c r="E3839" t="s">
        <v>500</v>
      </c>
      <c r="F3839" t="s">
        <v>501</v>
      </c>
      <c r="G3839" t="s">
        <v>752</v>
      </c>
      <c r="H3839">
        <v>13</v>
      </c>
      <c r="I3839">
        <v>54.153799999999997</v>
      </c>
      <c r="J3839">
        <v>85.461500000000001</v>
      </c>
      <c r="K3839">
        <v>31.307700000000001</v>
      </c>
      <c r="L3839">
        <v>12</v>
      </c>
      <c r="M3839">
        <v>0</v>
      </c>
      <c r="N3839">
        <v>1</v>
      </c>
      <c r="O3839" t="s">
        <v>127</v>
      </c>
      <c r="P3839" t="s">
        <v>127</v>
      </c>
      <c r="Q3839" t="s">
        <v>127</v>
      </c>
    </row>
    <row r="3840" spans="1:17" x14ac:dyDescent="0.25">
      <c r="A3840" t="str">
        <f>IF(C3840&amp;G3840&amp;D3840&lt;&gt;'Funnel setup'!$K$3&amp;'Funnel setup'!$K$4&amp;'Funnel setup'!$K$6,".",IF(A3839=".",1,A3839+1))</f>
        <v>.</v>
      </c>
      <c r="B3840" s="244" t="str">
        <f t="shared" si="59"/>
        <v>Total Hip ReplacementProviderSHEFFIELD TEACHING HOSPITALS NHS FOUNDATION TRUST (RHQ)EQ VAS</v>
      </c>
      <c r="C3840" t="s">
        <v>974</v>
      </c>
      <c r="D3840" t="s">
        <v>965</v>
      </c>
      <c r="E3840" t="s">
        <v>506</v>
      </c>
      <c r="F3840" t="s">
        <v>507</v>
      </c>
      <c r="G3840" t="s">
        <v>752</v>
      </c>
      <c r="H3840">
        <v>31</v>
      </c>
      <c r="I3840">
        <v>60.741900000000001</v>
      </c>
      <c r="J3840">
        <v>75.161299999999997</v>
      </c>
      <c r="K3840">
        <v>14.4194</v>
      </c>
      <c r="L3840">
        <v>23</v>
      </c>
      <c r="M3840">
        <v>1</v>
      </c>
      <c r="N3840">
        <v>7</v>
      </c>
      <c r="O3840">
        <v>74.106999999999999</v>
      </c>
      <c r="P3840">
        <v>13.290900000000001</v>
      </c>
      <c r="Q3840">
        <v>15.901</v>
      </c>
    </row>
    <row r="3841" spans="1:17" x14ac:dyDescent="0.25">
      <c r="A3841" t="str">
        <f>IF(C3841&amp;G3841&amp;D3841&lt;&gt;'Funnel setup'!$K$3&amp;'Funnel setup'!$K$4&amp;'Funnel setup'!$K$6,".",IF(A3840=".",1,A3840+1))</f>
        <v>.</v>
      </c>
      <c r="B3841" s="244" t="str">
        <f t="shared" si="59"/>
        <v>Total Hip ReplacementProviderSHERWOOD FOREST HOSPITALS NHS FOUNDATION TRUST (RK5)EQ VAS</v>
      </c>
      <c r="C3841" t="s">
        <v>974</v>
      </c>
      <c r="D3841" t="s">
        <v>965</v>
      </c>
      <c r="E3841" t="s">
        <v>508</v>
      </c>
      <c r="F3841" t="s">
        <v>509</v>
      </c>
      <c r="G3841" t="s">
        <v>752</v>
      </c>
      <c r="H3841">
        <v>70</v>
      </c>
      <c r="I3841">
        <v>52.285699999999999</v>
      </c>
      <c r="J3841">
        <v>75.314300000000003</v>
      </c>
      <c r="K3841">
        <v>23.028600000000001</v>
      </c>
      <c r="L3841">
        <v>54</v>
      </c>
      <c r="M3841">
        <v>6</v>
      </c>
      <c r="N3841">
        <v>10</v>
      </c>
      <c r="O3841">
        <v>77.723500000000001</v>
      </c>
      <c r="P3841">
        <v>16.907299999999999</v>
      </c>
      <c r="Q3841">
        <v>16.860600000000002</v>
      </c>
    </row>
    <row r="3842" spans="1:17" x14ac:dyDescent="0.25">
      <c r="A3842" t="str">
        <f>IF(C3842&amp;G3842&amp;D3842&lt;&gt;'Funnel setup'!$K$3&amp;'Funnel setup'!$K$4&amp;'Funnel setup'!$K$6,".",IF(A3841=".",1,A3841+1))</f>
        <v>.</v>
      </c>
      <c r="B3842" s="244" t="str">
        <f t="shared" ref="B3842:B3905" si="60">C3842&amp;D3842&amp;F3842&amp;G3842</f>
        <v>Total Hip ReplacementProviderSHIRLEY OAKS HOSPITAL (NT436)EQ VAS</v>
      </c>
      <c r="C3842" t="s">
        <v>974</v>
      </c>
      <c r="D3842" t="s">
        <v>965</v>
      </c>
      <c r="E3842" t="s">
        <v>510</v>
      </c>
      <c r="F3842" t="s">
        <v>511</v>
      </c>
      <c r="G3842" t="s">
        <v>752</v>
      </c>
      <c r="H3842">
        <v>2</v>
      </c>
      <c r="I3842">
        <v>67.5</v>
      </c>
      <c r="J3842">
        <v>75</v>
      </c>
      <c r="K3842">
        <v>7.5</v>
      </c>
      <c r="L3842">
        <v>1</v>
      </c>
      <c r="M3842">
        <v>0</v>
      </c>
      <c r="N3842">
        <v>1</v>
      </c>
      <c r="O3842" t="s">
        <v>127</v>
      </c>
      <c r="P3842" t="s">
        <v>127</v>
      </c>
      <c r="Q3842" t="s">
        <v>127</v>
      </c>
    </row>
    <row r="3843" spans="1:17" x14ac:dyDescent="0.25">
      <c r="A3843" t="str">
        <f>IF(C3843&amp;G3843&amp;D3843&lt;&gt;'Funnel setup'!$K$3&amp;'Funnel setup'!$K$4&amp;'Funnel setup'!$K$6,".",IF(A3842=".",1,A3842+1))</f>
        <v>.</v>
      </c>
      <c r="B3843" s="244" t="str">
        <f t="shared" si="60"/>
        <v>Total Hip ReplacementProviderSLOANE HOSPITAL (NT437)EQ VAS</v>
      </c>
      <c r="C3843" t="s">
        <v>974</v>
      </c>
      <c r="D3843" t="s">
        <v>965</v>
      </c>
      <c r="E3843" t="s">
        <v>512</v>
      </c>
      <c r="F3843" t="s">
        <v>513</v>
      </c>
      <c r="G3843" t="s">
        <v>752</v>
      </c>
      <c r="H3843">
        <v>2</v>
      </c>
      <c r="I3843">
        <v>49.5</v>
      </c>
      <c r="J3843">
        <v>93</v>
      </c>
      <c r="K3843">
        <v>43.5</v>
      </c>
      <c r="L3843">
        <v>2</v>
      </c>
      <c r="M3843">
        <v>0</v>
      </c>
      <c r="N3843">
        <v>0</v>
      </c>
      <c r="O3843" t="s">
        <v>127</v>
      </c>
      <c r="P3843" t="s">
        <v>127</v>
      </c>
      <c r="Q3843" t="s">
        <v>127</v>
      </c>
    </row>
    <row r="3844" spans="1:17" x14ac:dyDescent="0.25">
      <c r="A3844" t="str">
        <f>IF(C3844&amp;G3844&amp;D3844&lt;&gt;'Funnel setup'!$K$3&amp;'Funnel setup'!$K$4&amp;'Funnel setup'!$K$6,".",IF(A3843=".",1,A3843+1))</f>
        <v>.</v>
      </c>
      <c r="B3844" s="244" t="str">
        <f t="shared" si="60"/>
        <v>Total Hip ReplacementProviderSOUTH TEES HOSPITALS NHS FOUNDATION TRUST (RTR)EQ VAS</v>
      </c>
      <c r="C3844" t="s">
        <v>974</v>
      </c>
      <c r="D3844" t="s">
        <v>965</v>
      </c>
      <c r="E3844" t="s">
        <v>516</v>
      </c>
      <c r="F3844" t="s">
        <v>517</v>
      </c>
      <c r="G3844" t="s">
        <v>752</v>
      </c>
      <c r="H3844">
        <v>171</v>
      </c>
      <c r="I3844">
        <v>58.877200000000002</v>
      </c>
      <c r="J3844">
        <v>74.9298</v>
      </c>
      <c r="K3844">
        <v>16.052600000000002</v>
      </c>
      <c r="L3844">
        <v>120</v>
      </c>
      <c r="M3844">
        <v>9</v>
      </c>
      <c r="N3844">
        <v>42</v>
      </c>
      <c r="O3844">
        <v>79.5398</v>
      </c>
      <c r="P3844">
        <v>18.723700000000001</v>
      </c>
      <c r="Q3844">
        <v>17.912199999999999</v>
      </c>
    </row>
    <row r="3845" spans="1:17" x14ac:dyDescent="0.25">
      <c r="A3845" t="str">
        <f>IF(C3845&amp;G3845&amp;D3845&lt;&gt;'Funnel setup'!$K$3&amp;'Funnel setup'!$K$4&amp;'Funnel setup'!$K$6,".",IF(A3844=".",1,A3844+1))</f>
        <v>.</v>
      </c>
      <c r="B3845" s="244" t="str">
        <f t="shared" si="60"/>
        <v>Total Hip ReplacementProviderSOUTH TYNESIDE AND SUNDERLAND NHS FOUNDATION TRUST (R0B)EQ VAS</v>
      </c>
      <c r="C3845" t="s">
        <v>974</v>
      </c>
      <c r="D3845" t="s">
        <v>965</v>
      </c>
      <c r="E3845" t="s">
        <v>518</v>
      </c>
      <c r="F3845" t="s">
        <v>519</v>
      </c>
      <c r="G3845" t="s">
        <v>752</v>
      </c>
      <c r="H3845">
        <v>23</v>
      </c>
      <c r="I3845">
        <v>46.565199999999997</v>
      </c>
      <c r="J3845">
        <v>64.173900000000003</v>
      </c>
      <c r="K3845">
        <v>17.608699999999999</v>
      </c>
      <c r="L3845">
        <v>17</v>
      </c>
      <c r="M3845">
        <v>1</v>
      </c>
      <c r="N3845">
        <v>5</v>
      </c>
      <c r="O3845" t="s">
        <v>127</v>
      </c>
      <c r="P3845" t="s">
        <v>127</v>
      </c>
      <c r="Q3845" t="s">
        <v>127</v>
      </c>
    </row>
    <row r="3846" spans="1:17" x14ac:dyDescent="0.25">
      <c r="A3846" t="str">
        <f>IF(C3846&amp;G3846&amp;D3846&lt;&gt;'Funnel setup'!$K$3&amp;'Funnel setup'!$K$4&amp;'Funnel setup'!$K$6,".",IF(A3845=".",1,A3845+1))</f>
        <v>.</v>
      </c>
      <c r="B3846" s="244" t="str">
        <f t="shared" si="60"/>
        <v>Total Hip ReplacementProviderSOUTH WARWICKSHIRE UNIVERSITY NHS FOUNDATION TRUST (RJC)EQ VAS</v>
      </c>
      <c r="C3846" t="s">
        <v>974</v>
      </c>
      <c r="D3846" t="s">
        <v>965</v>
      </c>
      <c r="E3846" t="s">
        <v>520</v>
      </c>
      <c r="F3846" t="s">
        <v>521</v>
      </c>
      <c r="G3846" t="s">
        <v>752</v>
      </c>
      <c r="H3846">
        <v>180</v>
      </c>
      <c r="I3846">
        <v>64.444400000000002</v>
      </c>
      <c r="J3846">
        <v>78.572199999999995</v>
      </c>
      <c r="K3846">
        <v>14.127800000000001</v>
      </c>
      <c r="L3846">
        <v>118</v>
      </c>
      <c r="M3846">
        <v>23</v>
      </c>
      <c r="N3846">
        <v>39</v>
      </c>
      <c r="O3846">
        <v>75.585599999999999</v>
      </c>
      <c r="P3846">
        <v>14.769500000000001</v>
      </c>
      <c r="Q3846">
        <v>14.308299999999999</v>
      </c>
    </row>
    <row r="3847" spans="1:17" x14ac:dyDescent="0.25">
      <c r="A3847" t="str">
        <f>IF(C3847&amp;G3847&amp;D3847&lt;&gt;'Funnel setup'!$K$3&amp;'Funnel setup'!$K$4&amp;'Funnel setup'!$K$6,".",IF(A3846=".",1,A3846+1))</f>
        <v>.</v>
      </c>
      <c r="B3847" s="244" t="str">
        <f t="shared" si="60"/>
        <v>Total Hip ReplacementProviderSOUTHPORT AND ORMSKIRK HOSPITAL NHS TRUST (RVY)EQ VAS</v>
      </c>
      <c r="C3847" t="s">
        <v>974</v>
      </c>
      <c r="D3847" t="s">
        <v>965</v>
      </c>
      <c r="E3847" t="s">
        <v>522</v>
      </c>
      <c r="F3847" t="s">
        <v>523</v>
      </c>
      <c r="G3847" t="s">
        <v>752</v>
      </c>
      <c r="H3847">
        <v>9</v>
      </c>
      <c r="I3847">
        <v>62</v>
      </c>
      <c r="J3847">
        <v>74.666700000000006</v>
      </c>
      <c r="K3847">
        <v>12.666700000000001</v>
      </c>
      <c r="L3847">
        <v>7</v>
      </c>
      <c r="M3847">
        <v>0</v>
      </c>
      <c r="N3847">
        <v>2</v>
      </c>
      <c r="O3847" t="s">
        <v>127</v>
      </c>
      <c r="P3847" t="s">
        <v>127</v>
      </c>
      <c r="Q3847" t="s">
        <v>127</v>
      </c>
    </row>
    <row r="3848" spans="1:17" x14ac:dyDescent="0.25">
      <c r="A3848" t="str">
        <f>IF(C3848&amp;G3848&amp;D3848&lt;&gt;'Funnel setup'!$K$3&amp;'Funnel setup'!$K$4&amp;'Funnel setup'!$K$6,".",IF(A3847=".",1,A3847+1))</f>
        <v>.</v>
      </c>
      <c r="B3848" s="244" t="str">
        <f t="shared" si="60"/>
        <v>Total Hip ReplacementProviderSPENCER PRIVATE HOSPITALS - MARGATE (NN801)EQ VAS</v>
      </c>
      <c r="C3848" t="s">
        <v>974</v>
      </c>
      <c r="D3848" t="s">
        <v>965</v>
      </c>
      <c r="E3848" t="s">
        <v>526</v>
      </c>
      <c r="F3848" t="s">
        <v>527</v>
      </c>
      <c r="G3848" t="s">
        <v>752</v>
      </c>
      <c r="H3848">
        <v>17</v>
      </c>
      <c r="I3848">
        <v>59.411799999999999</v>
      </c>
      <c r="J3848">
        <v>76.176500000000004</v>
      </c>
      <c r="K3848">
        <v>16.764700000000001</v>
      </c>
      <c r="L3848">
        <v>12</v>
      </c>
      <c r="M3848">
        <v>5</v>
      </c>
      <c r="N3848">
        <v>0</v>
      </c>
      <c r="O3848" t="s">
        <v>127</v>
      </c>
      <c r="P3848" t="s">
        <v>127</v>
      </c>
      <c r="Q3848" t="s">
        <v>127</v>
      </c>
    </row>
    <row r="3849" spans="1:17" x14ac:dyDescent="0.25">
      <c r="A3849" t="str">
        <f>IF(C3849&amp;G3849&amp;D3849&lt;&gt;'Funnel setup'!$K$3&amp;'Funnel setup'!$K$4&amp;'Funnel setup'!$K$6,".",IF(A3848=".",1,A3848+1))</f>
        <v>.</v>
      </c>
      <c r="B3849" s="244" t="str">
        <f t="shared" si="60"/>
        <v>Total Hip ReplacementProviderSPIRE ALEXANDRA HOSPITAL (NT312)EQ VAS</v>
      </c>
      <c r="C3849" t="s">
        <v>974</v>
      </c>
      <c r="D3849" t="s">
        <v>965</v>
      </c>
      <c r="E3849" t="s">
        <v>528</v>
      </c>
      <c r="F3849" t="s">
        <v>529</v>
      </c>
      <c r="G3849" t="s">
        <v>752</v>
      </c>
      <c r="H3849">
        <v>13</v>
      </c>
      <c r="I3849">
        <v>70.076899999999995</v>
      </c>
      <c r="J3849">
        <v>83.846199999999996</v>
      </c>
      <c r="K3849">
        <v>13.7692</v>
      </c>
      <c r="L3849">
        <v>10</v>
      </c>
      <c r="M3849">
        <v>1</v>
      </c>
      <c r="N3849">
        <v>2</v>
      </c>
      <c r="O3849" t="s">
        <v>127</v>
      </c>
      <c r="P3849" t="s">
        <v>127</v>
      </c>
      <c r="Q3849" t="s">
        <v>127</v>
      </c>
    </row>
    <row r="3850" spans="1:17" x14ac:dyDescent="0.25">
      <c r="A3850" t="str">
        <f>IF(C3850&amp;G3850&amp;D3850&lt;&gt;'Funnel setup'!$K$3&amp;'Funnel setup'!$K$4&amp;'Funnel setup'!$K$6,".",IF(A3849=".",1,A3849+1))</f>
        <v>.</v>
      </c>
      <c r="B3850" s="244" t="str">
        <f t="shared" si="60"/>
        <v>Total Hip ReplacementProviderSPIRE BRISTOL HOSPITAL (NT302)EQ VAS</v>
      </c>
      <c r="C3850" t="s">
        <v>974</v>
      </c>
      <c r="D3850" t="s">
        <v>965</v>
      </c>
      <c r="E3850" t="s">
        <v>530</v>
      </c>
      <c r="F3850" t="s">
        <v>531</v>
      </c>
      <c r="G3850" t="s">
        <v>752</v>
      </c>
      <c r="H3850">
        <v>56</v>
      </c>
      <c r="I3850">
        <v>66.285700000000006</v>
      </c>
      <c r="J3850">
        <v>76.910700000000006</v>
      </c>
      <c r="K3850">
        <v>10.625</v>
      </c>
      <c r="L3850">
        <v>41</v>
      </c>
      <c r="M3850">
        <v>4</v>
      </c>
      <c r="N3850">
        <v>11</v>
      </c>
      <c r="O3850">
        <v>73.530900000000003</v>
      </c>
      <c r="P3850">
        <v>12.7148</v>
      </c>
      <c r="Q3850">
        <v>19.909700000000001</v>
      </c>
    </row>
    <row r="3851" spans="1:17" x14ac:dyDescent="0.25">
      <c r="A3851" t="str">
        <f>IF(C3851&amp;G3851&amp;D3851&lt;&gt;'Funnel setup'!$K$3&amp;'Funnel setup'!$K$4&amp;'Funnel setup'!$K$6,".",IF(A3850=".",1,A3850+1))</f>
        <v>.</v>
      </c>
      <c r="B3851" s="244" t="str">
        <f t="shared" si="60"/>
        <v>Total Hip ReplacementProviderSPIRE BUSHEY HOSPITAL (NT315)EQ VAS</v>
      </c>
      <c r="C3851" t="s">
        <v>974</v>
      </c>
      <c r="D3851" t="s">
        <v>965</v>
      </c>
      <c r="E3851" t="s">
        <v>532</v>
      </c>
      <c r="F3851" t="s">
        <v>533</v>
      </c>
      <c r="G3851" t="s">
        <v>752</v>
      </c>
      <c r="H3851">
        <v>1</v>
      </c>
      <c r="I3851">
        <v>90</v>
      </c>
      <c r="J3851">
        <v>100</v>
      </c>
      <c r="K3851">
        <v>10</v>
      </c>
      <c r="L3851">
        <v>1</v>
      </c>
      <c r="M3851">
        <v>0</v>
      </c>
      <c r="N3851">
        <v>0</v>
      </c>
      <c r="O3851" t="s">
        <v>127</v>
      </c>
      <c r="P3851" t="s">
        <v>127</v>
      </c>
      <c r="Q3851" t="s">
        <v>127</v>
      </c>
    </row>
    <row r="3852" spans="1:17" x14ac:dyDescent="0.25">
      <c r="A3852" t="str">
        <f>IF(C3852&amp;G3852&amp;D3852&lt;&gt;'Funnel setup'!$K$3&amp;'Funnel setup'!$K$4&amp;'Funnel setup'!$K$6,".",IF(A3851=".",1,A3851+1))</f>
        <v>.</v>
      </c>
      <c r="B3852" s="244" t="str">
        <f t="shared" si="60"/>
        <v>Total Hip ReplacementProviderSPIRE CAMBRIDGE LEA HOSPITAL (NT317)EQ VAS</v>
      </c>
      <c r="C3852" t="s">
        <v>974</v>
      </c>
      <c r="D3852" t="s">
        <v>965</v>
      </c>
      <c r="E3852" t="s">
        <v>534</v>
      </c>
      <c r="F3852" t="s">
        <v>535</v>
      </c>
      <c r="G3852" t="s">
        <v>752</v>
      </c>
      <c r="H3852">
        <v>33</v>
      </c>
      <c r="I3852">
        <v>70.333299999999994</v>
      </c>
      <c r="J3852">
        <v>81.697000000000003</v>
      </c>
      <c r="K3852">
        <v>11.3636</v>
      </c>
      <c r="L3852">
        <v>21</v>
      </c>
      <c r="M3852">
        <v>4</v>
      </c>
      <c r="N3852">
        <v>8</v>
      </c>
      <c r="O3852">
        <v>77.655699999999996</v>
      </c>
      <c r="P3852">
        <v>16.839600000000001</v>
      </c>
      <c r="Q3852">
        <v>14.931800000000001</v>
      </c>
    </row>
    <row r="3853" spans="1:17" x14ac:dyDescent="0.25">
      <c r="A3853" t="str">
        <f>IF(C3853&amp;G3853&amp;D3853&lt;&gt;'Funnel setup'!$K$3&amp;'Funnel setup'!$K$4&amp;'Funnel setup'!$K$6,".",IF(A3852=".",1,A3852+1))</f>
        <v>.</v>
      </c>
      <c r="B3853" s="244" t="str">
        <f t="shared" si="60"/>
        <v>Total Hip ReplacementProviderSPIRE CHESHIRE HOSPITAL (NT324)EQ VAS</v>
      </c>
      <c r="C3853" t="s">
        <v>974</v>
      </c>
      <c r="D3853" t="s">
        <v>965</v>
      </c>
      <c r="E3853" t="s">
        <v>536</v>
      </c>
      <c r="F3853" t="s">
        <v>537</v>
      </c>
      <c r="G3853" t="s">
        <v>752</v>
      </c>
      <c r="H3853">
        <v>23</v>
      </c>
      <c r="I3853">
        <v>62.391300000000001</v>
      </c>
      <c r="J3853">
        <v>76.434799999999996</v>
      </c>
      <c r="K3853">
        <v>14.0435</v>
      </c>
      <c r="L3853">
        <v>17</v>
      </c>
      <c r="M3853">
        <v>2</v>
      </c>
      <c r="N3853">
        <v>4</v>
      </c>
      <c r="O3853" t="s">
        <v>127</v>
      </c>
      <c r="P3853" t="s">
        <v>127</v>
      </c>
      <c r="Q3853" t="s">
        <v>127</v>
      </c>
    </row>
    <row r="3854" spans="1:17" x14ac:dyDescent="0.25">
      <c r="A3854" t="str">
        <f>IF(C3854&amp;G3854&amp;D3854&lt;&gt;'Funnel setup'!$K$3&amp;'Funnel setup'!$K$4&amp;'Funnel setup'!$K$6,".",IF(A3853=".",1,A3853+1))</f>
        <v>.</v>
      </c>
      <c r="B3854" s="244" t="str">
        <f t="shared" si="60"/>
        <v>Total Hip ReplacementProviderSPIRE CLARE PARK HOSPITAL (NT345)EQ VAS</v>
      </c>
      <c r="C3854" t="s">
        <v>974</v>
      </c>
      <c r="D3854" t="s">
        <v>965</v>
      </c>
      <c r="E3854" t="s">
        <v>538</v>
      </c>
      <c r="F3854" t="s">
        <v>539</v>
      </c>
      <c r="G3854" t="s">
        <v>752</v>
      </c>
      <c r="H3854">
        <v>13</v>
      </c>
      <c r="I3854">
        <v>63.846200000000003</v>
      </c>
      <c r="J3854">
        <v>71.846199999999996</v>
      </c>
      <c r="K3854">
        <v>8</v>
      </c>
      <c r="L3854">
        <v>7</v>
      </c>
      <c r="M3854">
        <v>0</v>
      </c>
      <c r="N3854">
        <v>6</v>
      </c>
      <c r="O3854" t="s">
        <v>127</v>
      </c>
      <c r="P3854" t="s">
        <v>127</v>
      </c>
      <c r="Q3854" t="s">
        <v>127</v>
      </c>
    </row>
    <row r="3855" spans="1:17" x14ac:dyDescent="0.25">
      <c r="A3855" t="str">
        <f>IF(C3855&amp;G3855&amp;D3855&lt;&gt;'Funnel setup'!$K$3&amp;'Funnel setup'!$K$4&amp;'Funnel setup'!$K$6,".",IF(A3854=".",1,A3854+1))</f>
        <v>.</v>
      </c>
      <c r="B3855" s="244" t="str">
        <f t="shared" si="60"/>
        <v>Total Hip ReplacementProviderSPIRE DUNEDIN HOSPITAL (NT344)EQ VAS</v>
      </c>
      <c r="C3855" t="s">
        <v>974</v>
      </c>
      <c r="D3855" t="s">
        <v>965</v>
      </c>
      <c r="E3855" t="s">
        <v>540</v>
      </c>
      <c r="F3855" t="s">
        <v>541</v>
      </c>
      <c r="G3855" t="s">
        <v>752</v>
      </c>
      <c r="H3855">
        <v>1</v>
      </c>
      <c r="I3855">
        <v>50</v>
      </c>
      <c r="J3855">
        <v>60</v>
      </c>
      <c r="K3855">
        <v>10</v>
      </c>
      <c r="L3855">
        <v>1</v>
      </c>
      <c r="M3855">
        <v>0</v>
      </c>
      <c r="N3855">
        <v>0</v>
      </c>
      <c r="O3855" t="s">
        <v>127</v>
      </c>
      <c r="P3855" t="s">
        <v>127</v>
      </c>
      <c r="Q3855" t="s">
        <v>127</v>
      </c>
    </row>
    <row r="3856" spans="1:17" x14ac:dyDescent="0.25">
      <c r="A3856" t="str">
        <f>IF(C3856&amp;G3856&amp;D3856&lt;&gt;'Funnel setup'!$K$3&amp;'Funnel setup'!$K$4&amp;'Funnel setup'!$K$6,".",IF(A3855=".",1,A3855+1))</f>
        <v>.</v>
      </c>
      <c r="B3856" s="244" t="str">
        <f t="shared" si="60"/>
        <v>Total Hip ReplacementProviderSPIRE ELLAND HOSPITAL (NT348)EQ VAS</v>
      </c>
      <c r="C3856" t="s">
        <v>974</v>
      </c>
      <c r="D3856" t="s">
        <v>965</v>
      </c>
      <c r="E3856" t="s">
        <v>542</v>
      </c>
      <c r="F3856" t="s">
        <v>543</v>
      </c>
      <c r="G3856" t="s">
        <v>752</v>
      </c>
      <c r="H3856">
        <v>14</v>
      </c>
      <c r="I3856">
        <v>65.357100000000003</v>
      </c>
      <c r="J3856">
        <v>76.357100000000003</v>
      </c>
      <c r="K3856">
        <v>11</v>
      </c>
      <c r="L3856">
        <v>11</v>
      </c>
      <c r="M3856">
        <v>0</v>
      </c>
      <c r="N3856">
        <v>3</v>
      </c>
      <c r="O3856" t="s">
        <v>127</v>
      </c>
      <c r="P3856" t="s">
        <v>127</v>
      </c>
      <c r="Q3856" t="s">
        <v>127</v>
      </c>
    </row>
    <row r="3857" spans="1:17" x14ac:dyDescent="0.25">
      <c r="A3857" t="str">
        <f>IF(C3857&amp;G3857&amp;D3857&lt;&gt;'Funnel setup'!$K$3&amp;'Funnel setup'!$K$4&amp;'Funnel setup'!$K$6,".",IF(A3856=".",1,A3856+1))</f>
        <v>.</v>
      </c>
      <c r="B3857" s="244" t="str">
        <f t="shared" si="60"/>
        <v>Total Hip ReplacementProviderSPIRE FYLDE COAST HOSPITAL (NT347)EQ VAS</v>
      </c>
      <c r="C3857" t="s">
        <v>974</v>
      </c>
      <c r="D3857" t="s">
        <v>965</v>
      </c>
      <c r="E3857" t="s">
        <v>544</v>
      </c>
      <c r="F3857" t="s">
        <v>545</v>
      </c>
      <c r="G3857" t="s">
        <v>752</v>
      </c>
      <c r="H3857">
        <v>29</v>
      </c>
      <c r="I3857">
        <v>70.172399999999996</v>
      </c>
      <c r="J3857">
        <v>80.551699999999997</v>
      </c>
      <c r="K3857">
        <v>10.379300000000001</v>
      </c>
      <c r="L3857">
        <v>20</v>
      </c>
      <c r="M3857">
        <v>3</v>
      </c>
      <c r="N3857">
        <v>6</v>
      </c>
      <c r="O3857" t="s">
        <v>127</v>
      </c>
      <c r="P3857" t="s">
        <v>127</v>
      </c>
      <c r="Q3857" t="s">
        <v>127</v>
      </c>
    </row>
    <row r="3858" spans="1:17" x14ac:dyDescent="0.25">
      <c r="A3858" t="str">
        <f>IF(C3858&amp;G3858&amp;D3858&lt;&gt;'Funnel setup'!$K$3&amp;'Funnel setup'!$K$4&amp;'Funnel setup'!$K$6,".",IF(A3857=".",1,A3857+1))</f>
        <v>.</v>
      </c>
      <c r="B3858" s="244" t="str">
        <f t="shared" si="60"/>
        <v>Total Hip ReplacementProviderSPIRE GATWICK PARK HOSPITAL (NT308)EQ VAS</v>
      </c>
      <c r="C3858" t="s">
        <v>974</v>
      </c>
      <c r="D3858" t="s">
        <v>965</v>
      </c>
      <c r="E3858" t="s">
        <v>546</v>
      </c>
      <c r="F3858" t="s">
        <v>547</v>
      </c>
      <c r="G3858" t="s">
        <v>752</v>
      </c>
      <c r="H3858">
        <v>8</v>
      </c>
      <c r="I3858">
        <v>65.444400000000002</v>
      </c>
      <c r="J3858">
        <v>74.222200000000001</v>
      </c>
      <c r="K3858">
        <v>8.7777799999999999</v>
      </c>
      <c r="L3858">
        <v>6</v>
      </c>
      <c r="M3858">
        <v>1</v>
      </c>
      <c r="N3858">
        <v>1</v>
      </c>
      <c r="O3858" t="s">
        <v>127</v>
      </c>
      <c r="P3858" t="s">
        <v>127</v>
      </c>
      <c r="Q3858" t="s">
        <v>127</v>
      </c>
    </row>
    <row r="3859" spans="1:17" x14ac:dyDescent="0.25">
      <c r="A3859" t="str">
        <f>IF(C3859&amp;G3859&amp;D3859&lt;&gt;'Funnel setup'!$K$3&amp;'Funnel setup'!$K$4&amp;'Funnel setup'!$K$6,".",IF(A3858=".",1,A3858+1))</f>
        <v>.</v>
      </c>
      <c r="B3859" s="244" t="str">
        <f t="shared" si="60"/>
        <v>Total Hip ReplacementProviderSPIRE HARPENDEN HOSPITAL (NT316)EQ VAS</v>
      </c>
      <c r="C3859" t="s">
        <v>974</v>
      </c>
      <c r="D3859" t="s">
        <v>965</v>
      </c>
      <c r="E3859" t="s">
        <v>548</v>
      </c>
      <c r="F3859" t="s">
        <v>549</v>
      </c>
      <c r="G3859" t="s">
        <v>752</v>
      </c>
      <c r="H3859">
        <v>32</v>
      </c>
      <c r="I3859">
        <v>62.8125</v>
      </c>
      <c r="J3859">
        <v>74.343800000000002</v>
      </c>
      <c r="K3859">
        <v>11.5313</v>
      </c>
      <c r="L3859">
        <v>23</v>
      </c>
      <c r="M3859">
        <v>2</v>
      </c>
      <c r="N3859">
        <v>7</v>
      </c>
      <c r="O3859">
        <v>72.734999999999999</v>
      </c>
      <c r="P3859">
        <v>11.918900000000001</v>
      </c>
      <c r="Q3859">
        <v>18.646100000000001</v>
      </c>
    </row>
    <row r="3860" spans="1:17" x14ac:dyDescent="0.25">
      <c r="A3860" t="str">
        <f>IF(C3860&amp;G3860&amp;D3860&lt;&gt;'Funnel setup'!$K$3&amp;'Funnel setup'!$K$4&amp;'Funnel setup'!$K$6,".",IF(A3859=".",1,A3859+1))</f>
        <v>.</v>
      </c>
      <c r="B3860" s="244" t="str">
        <f t="shared" si="60"/>
        <v>Total Hip ReplacementProviderSPIRE HARTSWOOD HOSPITAL (NT319)EQ VAS</v>
      </c>
      <c r="C3860" t="s">
        <v>974</v>
      </c>
      <c r="D3860" t="s">
        <v>965</v>
      </c>
      <c r="E3860" t="s">
        <v>550</v>
      </c>
      <c r="F3860" t="s">
        <v>551</v>
      </c>
      <c r="G3860" t="s">
        <v>752</v>
      </c>
      <c r="H3860">
        <v>12</v>
      </c>
      <c r="I3860">
        <v>58</v>
      </c>
      <c r="J3860">
        <v>79.666700000000006</v>
      </c>
      <c r="K3860">
        <v>21.666699999999999</v>
      </c>
      <c r="L3860">
        <v>10</v>
      </c>
      <c r="M3860">
        <v>1</v>
      </c>
      <c r="N3860">
        <v>1</v>
      </c>
      <c r="O3860" t="s">
        <v>127</v>
      </c>
      <c r="P3860" t="s">
        <v>127</v>
      </c>
      <c r="Q3860" t="s">
        <v>127</v>
      </c>
    </row>
    <row r="3861" spans="1:17" x14ac:dyDescent="0.25">
      <c r="A3861" t="str">
        <f>IF(C3861&amp;G3861&amp;D3861&lt;&gt;'Funnel setup'!$K$3&amp;'Funnel setup'!$K$4&amp;'Funnel setup'!$K$6,".",IF(A3860=".",1,A3860+1))</f>
        <v>.</v>
      </c>
      <c r="B3861" s="244" t="str">
        <f t="shared" si="60"/>
        <v>Total Hip ReplacementProviderSPIRE HULL AND EAST RIDING HOSPITAL (NT351)EQ VAS</v>
      </c>
      <c r="C3861" t="s">
        <v>974</v>
      </c>
      <c r="D3861" t="s">
        <v>965</v>
      </c>
      <c r="E3861" t="s">
        <v>554</v>
      </c>
      <c r="F3861" t="s">
        <v>555</v>
      </c>
      <c r="G3861" t="s">
        <v>752</v>
      </c>
      <c r="H3861">
        <v>37</v>
      </c>
      <c r="I3861">
        <v>63.621600000000001</v>
      </c>
      <c r="J3861">
        <v>74.162199999999999</v>
      </c>
      <c r="K3861">
        <v>10.5405</v>
      </c>
      <c r="L3861">
        <v>27</v>
      </c>
      <c r="M3861">
        <v>1</v>
      </c>
      <c r="N3861">
        <v>9</v>
      </c>
      <c r="O3861">
        <v>73.587100000000007</v>
      </c>
      <c r="P3861">
        <v>12.771000000000001</v>
      </c>
      <c r="Q3861">
        <v>21.037600000000001</v>
      </c>
    </row>
    <row r="3862" spans="1:17" x14ac:dyDescent="0.25">
      <c r="A3862" t="str">
        <f>IF(C3862&amp;G3862&amp;D3862&lt;&gt;'Funnel setup'!$K$3&amp;'Funnel setup'!$K$4&amp;'Funnel setup'!$K$6,".",IF(A3861=".",1,A3861+1))</f>
        <v>.</v>
      </c>
      <c r="B3862" s="244" t="str">
        <f t="shared" si="60"/>
        <v>Total Hip ReplacementProviderSPIRE LEEDS HOSPITAL (NT332)EQ VAS</v>
      </c>
      <c r="C3862" t="s">
        <v>974</v>
      </c>
      <c r="D3862" t="s">
        <v>965</v>
      </c>
      <c r="E3862" t="s">
        <v>556</v>
      </c>
      <c r="F3862" t="s">
        <v>557</v>
      </c>
      <c r="G3862" t="s">
        <v>752</v>
      </c>
      <c r="H3862">
        <v>14</v>
      </c>
      <c r="I3862">
        <v>66.642899999999997</v>
      </c>
      <c r="J3862">
        <v>80.642899999999997</v>
      </c>
      <c r="K3862">
        <v>14</v>
      </c>
      <c r="L3862">
        <v>11</v>
      </c>
      <c r="M3862">
        <v>1</v>
      </c>
      <c r="N3862">
        <v>2</v>
      </c>
      <c r="O3862" t="s">
        <v>127</v>
      </c>
      <c r="P3862" t="s">
        <v>127</v>
      </c>
      <c r="Q3862" t="s">
        <v>127</v>
      </c>
    </row>
    <row r="3863" spans="1:17" x14ac:dyDescent="0.25">
      <c r="A3863" t="str">
        <f>IF(C3863&amp;G3863&amp;D3863&lt;&gt;'Funnel setup'!$K$3&amp;'Funnel setup'!$K$4&amp;'Funnel setup'!$K$6,".",IF(A3862=".",1,A3862+1))</f>
        <v>.</v>
      </c>
      <c r="B3863" s="244" t="str">
        <f t="shared" si="60"/>
        <v>Total Hip ReplacementProviderSPIRE LEICESTER HOSPITAL (NT322)EQ VAS</v>
      </c>
      <c r="C3863" t="s">
        <v>974</v>
      </c>
      <c r="D3863" t="s">
        <v>965</v>
      </c>
      <c r="E3863" t="s">
        <v>558</v>
      </c>
      <c r="F3863" t="s">
        <v>559</v>
      </c>
      <c r="G3863" t="s">
        <v>752</v>
      </c>
      <c r="H3863">
        <v>32</v>
      </c>
      <c r="I3863">
        <v>65.218800000000002</v>
      </c>
      <c r="J3863">
        <v>74.593800000000002</v>
      </c>
      <c r="K3863">
        <v>9.375</v>
      </c>
      <c r="L3863">
        <v>23</v>
      </c>
      <c r="M3863">
        <v>1</v>
      </c>
      <c r="N3863">
        <v>8</v>
      </c>
      <c r="O3863">
        <v>73.411900000000003</v>
      </c>
      <c r="P3863">
        <v>12.595800000000001</v>
      </c>
      <c r="Q3863">
        <v>17.3767</v>
      </c>
    </row>
    <row r="3864" spans="1:17" x14ac:dyDescent="0.25">
      <c r="A3864" t="str">
        <f>IF(C3864&amp;G3864&amp;D3864&lt;&gt;'Funnel setup'!$K$3&amp;'Funnel setup'!$K$4&amp;'Funnel setup'!$K$6,".",IF(A3863=".",1,A3863+1))</f>
        <v>.</v>
      </c>
      <c r="B3864" s="244" t="str">
        <f t="shared" si="60"/>
        <v>Total Hip ReplacementProviderSPIRE LITTLE ASTON HOSPITAL (NT321)EQ VAS</v>
      </c>
      <c r="C3864" t="s">
        <v>974</v>
      </c>
      <c r="D3864" t="s">
        <v>965</v>
      </c>
      <c r="E3864" t="s">
        <v>560</v>
      </c>
      <c r="F3864" t="s">
        <v>561</v>
      </c>
      <c r="G3864" t="s">
        <v>752</v>
      </c>
      <c r="H3864">
        <v>30</v>
      </c>
      <c r="I3864">
        <v>66.966700000000003</v>
      </c>
      <c r="J3864">
        <v>75.400000000000006</v>
      </c>
      <c r="K3864">
        <v>8.4333299999999998</v>
      </c>
      <c r="L3864">
        <v>23</v>
      </c>
      <c r="M3864">
        <v>1</v>
      </c>
      <c r="N3864">
        <v>6</v>
      </c>
      <c r="O3864">
        <v>72.384399999999999</v>
      </c>
      <c r="P3864">
        <v>11.568300000000001</v>
      </c>
      <c r="Q3864">
        <v>14.091799999999999</v>
      </c>
    </row>
    <row r="3865" spans="1:17" x14ac:dyDescent="0.25">
      <c r="A3865" t="str">
        <f>IF(C3865&amp;G3865&amp;D3865&lt;&gt;'Funnel setup'!$K$3&amp;'Funnel setup'!$K$4&amp;'Funnel setup'!$K$6,".",IF(A3864=".",1,A3864+1))</f>
        <v>.</v>
      </c>
      <c r="B3865" s="244" t="str">
        <f t="shared" si="60"/>
        <v>Total Hip ReplacementProviderSPIRE LIVERPOOL HOSPITAL (NT337)EQ VAS</v>
      </c>
      <c r="C3865" t="s">
        <v>974</v>
      </c>
      <c r="D3865" t="s">
        <v>965</v>
      </c>
      <c r="E3865" t="s">
        <v>562</v>
      </c>
      <c r="F3865" t="s">
        <v>563</v>
      </c>
      <c r="G3865" t="s">
        <v>752</v>
      </c>
      <c r="H3865">
        <v>9</v>
      </c>
      <c r="I3865">
        <v>54.777799999999999</v>
      </c>
      <c r="J3865">
        <v>78</v>
      </c>
      <c r="K3865">
        <v>23.222200000000001</v>
      </c>
      <c r="L3865">
        <v>7</v>
      </c>
      <c r="M3865">
        <v>2</v>
      </c>
      <c r="N3865">
        <v>0</v>
      </c>
      <c r="O3865" t="s">
        <v>127</v>
      </c>
      <c r="P3865" t="s">
        <v>127</v>
      </c>
      <c r="Q3865" t="s">
        <v>127</v>
      </c>
    </row>
    <row r="3866" spans="1:17" x14ac:dyDescent="0.25">
      <c r="A3866" t="str">
        <f>IF(C3866&amp;G3866&amp;D3866&lt;&gt;'Funnel setup'!$K$3&amp;'Funnel setup'!$K$4&amp;'Funnel setup'!$K$6,".",IF(A3865=".",1,A3865+1))</f>
        <v>.</v>
      </c>
      <c r="B3866" s="244" t="str">
        <f t="shared" si="60"/>
        <v>Total Hip ReplacementProviderSPIRE MANCHESTER HOSPITAL (NT327)EQ VAS</v>
      </c>
      <c r="C3866" t="s">
        <v>974</v>
      </c>
      <c r="D3866" t="s">
        <v>965</v>
      </c>
      <c r="E3866" t="s">
        <v>566</v>
      </c>
      <c r="F3866" t="s">
        <v>567</v>
      </c>
      <c r="G3866" t="s">
        <v>752</v>
      </c>
      <c r="H3866">
        <v>31</v>
      </c>
      <c r="I3866">
        <v>64.903199999999998</v>
      </c>
      <c r="J3866">
        <v>81.387100000000004</v>
      </c>
      <c r="K3866">
        <v>16.483899999999998</v>
      </c>
      <c r="L3866">
        <v>26</v>
      </c>
      <c r="M3866">
        <v>0</v>
      </c>
      <c r="N3866">
        <v>5</v>
      </c>
      <c r="O3866">
        <v>77.527000000000001</v>
      </c>
      <c r="P3866">
        <v>16.710899999999999</v>
      </c>
      <c r="Q3866">
        <v>14.978899999999999</v>
      </c>
    </row>
    <row r="3867" spans="1:17" x14ac:dyDescent="0.25">
      <c r="A3867" t="str">
        <f>IF(C3867&amp;G3867&amp;D3867&lt;&gt;'Funnel setup'!$K$3&amp;'Funnel setup'!$K$4&amp;'Funnel setup'!$K$6,".",IF(A3866=".",1,A3866+1))</f>
        <v>.</v>
      </c>
      <c r="B3867" s="244" t="str">
        <f t="shared" si="60"/>
        <v>Total Hip ReplacementProviderSPIRE METHLEY PARK HOSPITAL (NT350)EQ VAS</v>
      </c>
      <c r="C3867" t="s">
        <v>974</v>
      </c>
      <c r="D3867" t="s">
        <v>965</v>
      </c>
      <c r="E3867" t="s">
        <v>568</v>
      </c>
      <c r="F3867" t="s">
        <v>569</v>
      </c>
      <c r="G3867" t="s">
        <v>752</v>
      </c>
      <c r="H3867">
        <v>28</v>
      </c>
      <c r="I3867">
        <v>62.464300000000001</v>
      </c>
      <c r="J3867">
        <v>73.035700000000006</v>
      </c>
      <c r="K3867">
        <v>10.571400000000001</v>
      </c>
      <c r="L3867">
        <v>20</v>
      </c>
      <c r="M3867">
        <v>1</v>
      </c>
      <c r="N3867">
        <v>7</v>
      </c>
      <c r="O3867" t="s">
        <v>127</v>
      </c>
      <c r="P3867" t="s">
        <v>127</v>
      </c>
      <c r="Q3867" t="s">
        <v>127</v>
      </c>
    </row>
    <row r="3868" spans="1:17" x14ac:dyDescent="0.25">
      <c r="A3868" t="str">
        <f>IF(C3868&amp;G3868&amp;D3868&lt;&gt;'Funnel setup'!$K$3&amp;'Funnel setup'!$K$4&amp;'Funnel setup'!$K$6,".",IF(A3867=".",1,A3867+1))</f>
        <v>.</v>
      </c>
      <c r="B3868" s="244" t="str">
        <f t="shared" si="60"/>
        <v>Total Hip ReplacementProviderSPIRE MONTEFIORE HOSPITAL (NT364)EQ VAS</v>
      </c>
      <c r="C3868" t="s">
        <v>974</v>
      </c>
      <c r="D3868" t="s">
        <v>965</v>
      </c>
      <c r="E3868" t="s">
        <v>570</v>
      </c>
      <c r="F3868" t="s">
        <v>571</v>
      </c>
      <c r="G3868" t="s">
        <v>752</v>
      </c>
      <c r="H3868">
        <v>3</v>
      </c>
      <c r="I3868">
        <v>61.666699999999999</v>
      </c>
      <c r="J3868">
        <v>79.333299999999994</v>
      </c>
      <c r="K3868">
        <v>17.666699999999999</v>
      </c>
      <c r="L3868">
        <v>2</v>
      </c>
      <c r="M3868">
        <v>0</v>
      </c>
      <c r="N3868">
        <v>1</v>
      </c>
      <c r="O3868" t="s">
        <v>127</v>
      </c>
      <c r="P3868" t="s">
        <v>127</v>
      </c>
      <c r="Q3868" t="s">
        <v>127</v>
      </c>
    </row>
    <row r="3869" spans="1:17" x14ac:dyDescent="0.25">
      <c r="A3869" t="str">
        <f>IF(C3869&amp;G3869&amp;D3869&lt;&gt;'Funnel setup'!$K$3&amp;'Funnel setup'!$K$4&amp;'Funnel setup'!$K$6,".",IF(A3868=".",1,A3868+1))</f>
        <v>.</v>
      </c>
      <c r="B3869" s="244" t="str">
        <f t="shared" si="60"/>
        <v>Total Hip ReplacementProviderSPIRE MURRAYFIELD HOSPITAL (NT325)EQ VAS</v>
      </c>
      <c r="C3869" t="s">
        <v>974</v>
      </c>
      <c r="D3869" t="s">
        <v>965</v>
      </c>
      <c r="E3869" t="s">
        <v>572</v>
      </c>
      <c r="F3869" t="s">
        <v>573</v>
      </c>
      <c r="G3869" t="s">
        <v>752</v>
      </c>
      <c r="H3869">
        <v>5</v>
      </c>
      <c r="I3869">
        <v>68.400000000000006</v>
      </c>
      <c r="J3869">
        <v>90.4</v>
      </c>
      <c r="K3869">
        <v>22</v>
      </c>
      <c r="L3869">
        <v>5</v>
      </c>
      <c r="M3869">
        <v>0</v>
      </c>
      <c r="N3869">
        <v>0</v>
      </c>
      <c r="O3869" t="s">
        <v>127</v>
      </c>
      <c r="P3869" t="s">
        <v>127</v>
      </c>
      <c r="Q3869" t="s">
        <v>127</v>
      </c>
    </row>
    <row r="3870" spans="1:17" x14ac:dyDescent="0.25">
      <c r="A3870" t="str">
        <f>IF(C3870&amp;G3870&amp;D3870&lt;&gt;'Funnel setup'!$K$3&amp;'Funnel setup'!$K$4&amp;'Funnel setup'!$K$6,".",IF(A3869=".",1,A3869+1))</f>
        <v>.</v>
      </c>
      <c r="B3870" s="244" t="str">
        <f t="shared" si="60"/>
        <v>Total Hip ReplacementProviderSPIRE NOTTINGHAM HOSPITAL (NT30A)EQ VAS</v>
      </c>
      <c r="C3870" t="s">
        <v>974</v>
      </c>
      <c r="D3870" t="s">
        <v>965</v>
      </c>
      <c r="E3870" t="s">
        <v>576</v>
      </c>
      <c r="F3870" t="s">
        <v>577</v>
      </c>
      <c r="G3870" t="s">
        <v>752</v>
      </c>
      <c r="H3870">
        <v>1</v>
      </c>
      <c r="I3870">
        <v>40</v>
      </c>
      <c r="J3870">
        <v>70</v>
      </c>
      <c r="K3870">
        <v>30</v>
      </c>
      <c r="L3870">
        <v>1</v>
      </c>
      <c r="M3870">
        <v>0</v>
      </c>
      <c r="N3870">
        <v>0</v>
      </c>
      <c r="O3870" t="s">
        <v>127</v>
      </c>
      <c r="P3870" t="s">
        <v>127</v>
      </c>
      <c r="Q3870" t="s">
        <v>127</v>
      </c>
    </row>
    <row r="3871" spans="1:17" x14ac:dyDescent="0.25">
      <c r="A3871" t="str">
        <f>IF(C3871&amp;G3871&amp;D3871&lt;&gt;'Funnel setup'!$K$3&amp;'Funnel setup'!$K$4&amp;'Funnel setup'!$K$6,".",IF(A3870=".",1,A3870+1))</f>
        <v>.</v>
      </c>
      <c r="B3871" s="244" t="str">
        <f t="shared" si="60"/>
        <v>Total Hip ReplacementProviderSPIRE PARKWAY HOSPITAL (NT320)EQ VAS</v>
      </c>
      <c r="C3871" t="s">
        <v>974</v>
      </c>
      <c r="D3871" t="s">
        <v>965</v>
      </c>
      <c r="E3871" t="s">
        <v>578</v>
      </c>
      <c r="F3871" t="s">
        <v>579</v>
      </c>
      <c r="G3871" t="s">
        <v>752</v>
      </c>
      <c r="H3871">
        <v>19</v>
      </c>
      <c r="I3871">
        <v>60.1053</v>
      </c>
      <c r="J3871">
        <v>69.526300000000006</v>
      </c>
      <c r="K3871">
        <v>9.4210499999999993</v>
      </c>
      <c r="L3871">
        <v>11</v>
      </c>
      <c r="M3871">
        <v>2</v>
      </c>
      <c r="N3871">
        <v>6</v>
      </c>
      <c r="O3871" t="s">
        <v>127</v>
      </c>
      <c r="P3871" t="s">
        <v>127</v>
      </c>
      <c r="Q3871" t="s">
        <v>127</v>
      </c>
    </row>
    <row r="3872" spans="1:17" x14ac:dyDescent="0.25">
      <c r="A3872" t="str">
        <f>IF(C3872&amp;G3872&amp;D3872&lt;&gt;'Funnel setup'!$K$3&amp;'Funnel setup'!$K$4&amp;'Funnel setup'!$K$6,".",IF(A3871=".",1,A3871+1))</f>
        <v>.</v>
      </c>
      <c r="B3872" s="244" t="str">
        <f t="shared" si="60"/>
        <v>Total Hip ReplacementProviderSPIRE PORTSMOUTH HOSPITAL (NT305)EQ VAS</v>
      </c>
      <c r="C3872" t="s">
        <v>974</v>
      </c>
      <c r="D3872" t="s">
        <v>965</v>
      </c>
      <c r="E3872" t="s">
        <v>580</v>
      </c>
      <c r="F3872" t="s">
        <v>581</v>
      </c>
      <c r="G3872" t="s">
        <v>752</v>
      </c>
      <c r="H3872">
        <v>12</v>
      </c>
      <c r="I3872">
        <v>66.583299999999994</v>
      </c>
      <c r="J3872">
        <v>78.25</v>
      </c>
      <c r="K3872">
        <v>11.666700000000001</v>
      </c>
      <c r="L3872">
        <v>9</v>
      </c>
      <c r="M3872">
        <v>0</v>
      </c>
      <c r="N3872">
        <v>3</v>
      </c>
      <c r="O3872" t="s">
        <v>127</v>
      </c>
      <c r="P3872" t="s">
        <v>127</v>
      </c>
      <c r="Q3872" t="s">
        <v>127</v>
      </c>
    </row>
    <row r="3873" spans="1:17" x14ac:dyDescent="0.25">
      <c r="A3873" t="str">
        <f>IF(C3873&amp;G3873&amp;D3873&lt;&gt;'Funnel setup'!$K$3&amp;'Funnel setup'!$K$4&amp;'Funnel setup'!$K$6,".",IF(A3872=".",1,A3872+1))</f>
        <v>.</v>
      </c>
      <c r="B3873" s="244" t="str">
        <f t="shared" si="60"/>
        <v>Total Hip ReplacementProviderSPIRE REGENCY HOSPITAL (NT339)EQ VAS</v>
      </c>
      <c r="C3873" t="s">
        <v>974</v>
      </c>
      <c r="D3873" t="s">
        <v>965</v>
      </c>
      <c r="E3873" t="s">
        <v>582</v>
      </c>
      <c r="F3873" t="s">
        <v>583</v>
      </c>
      <c r="G3873" t="s">
        <v>752</v>
      </c>
      <c r="H3873">
        <v>32</v>
      </c>
      <c r="I3873">
        <v>68.468800000000002</v>
      </c>
      <c r="J3873">
        <v>79.093800000000002</v>
      </c>
      <c r="K3873">
        <v>10.625</v>
      </c>
      <c r="L3873">
        <v>24</v>
      </c>
      <c r="M3873">
        <v>2</v>
      </c>
      <c r="N3873">
        <v>6</v>
      </c>
      <c r="O3873">
        <v>75.529799999999994</v>
      </c>
      <c r="P3873">
        <v>14.713699999999999</v>
      </c>
      <c r="Q3873">
        <v>14.7775</v>
      </c>
    </row>
    <row r="3874" spans="1:17" x14ac:dyDescent="0.25">
      <c r="A3874" t="str">
        <f>IF(C3874&amp;G3874&amp;D3874&lt;&gt;'Funnel setup'!$K$3&amp;'Funnel setup'!$K$4&amp;'Funnel setup'!$K$6,".",IF(A3873=".",1,A3873+1))</f>
        <v>.</v>
      </c>
      <c r="B3874" s="244" t="str">
        <f t="shared" si="60"/>
        <v>Total Hip ReplacementProviderSPIRE SOUTHAMPTON HOSPITAL (NT304)EQ VAS</v>
      </c>
      <c r="C3874" t="s">
        <v>974</v>
      </c>
      <c r="D3874" t="s">
        <v>965</v>
      </c>
      <c r="E3874" t="s">
        <v>586</v>
      </c>
      <c r="F3874" t="s">
        <v>587</v>
      </c>
      <c r="G3874" t="s">
        <v>752</v>
      </c>
      <c r="H3874">
        <v>44</v>
      </c>
      <c r="I3874">
        <v>71.204499999999996</v>
      </c>
      <c r="J3874">
        <v>84.545500000000004</v>
      </c>
      <c r="K3874">
        <v>13.3409</v>
      </c>
      <c r="L3874">
        <v>34</v>
      </c>
      <c r="M3874">
        <v>3</v>
      </c>
      <c r="N3874">
        <v>7</v>
      </c>
      <c r="O3874">
        <v>78.906499999999994</v>
      </c>
      <c r="P3874">
        <v>18.090399999999999</v>
      </c>
      <c r="Q3874">
        <v>12.7974</v>
      </c>
    </row>
    <row r="3875" spans="1:17" x14ac:dyDescent="0.25">
      <c r="A3875" t="str">
        <f>IF(C3875&amp;G3875&amp;D3875&lt;&gt;'Funnel setup'!$K$3&amp;'Funnel setup'!$K$4&amp;'Funnel setup'!$K$6,".",IF(A3874=".",1,A3874+1))</f>
        <v>.</v>
      </c>
      <c r="B3875" s="244" t="str">
        <f t="shared" si="60"/>
        <v>Total Hip ReplacementProviderSPIRE ST ANTHONY'S HOSPITAL (NT3X3)EQ VAS</v>
      </c>
      <c r="C3875" t="s">
        <v>974</v>
      </c>
      <c r="D3875" t="s">
        <v>965</v>
      </c>
      <c r="E3875" t="s">
        <v>588</v>
      </c>
      <c r="F3875" t="s">
        <v>589</v>
      </c>
      <c r="G3875" t="s">
        <v>752</v>
      </c>
      <c r="H3875">
        <v>3</v>
      </c>
      <c r="I3875">
        <v>56.666699999999999</v>
      </c>
      <c r="J3875">
        <v>78.333299999999994</v>
      </c>
      <c r="K3875">
        <v>21.666699999999999</v>
      </c>
      <c r="L3875">
        <v>3</v>
      </c>
      <c r="M3875">
        <v>0</v>
      </c>
      <c r="N3875">
        <v>0</v>
      </c>
      <c r="O3875" t="s">
        <v>127</v>
      </c>
      <c r="P3875" t="s">
        <v>127</v>
      </c>
      <c r="Q3875" t="s">
        <v>127</v>
      </c>
    </row>
    <row r="3876" spans="1:17" x14ac:dyDescent="0.25">
      <c r="A3876" t="str">
        <f>IF(C3876&amp;G3876&amp;D3876&lt;&gt;'Funnel setup'!$K$3&amp;'Funnel setup'!$K$4&amp;'Funnel setup'!$K$6,".",IF(A3875=".",1,A3875+1))</f>
        <v>.</v>
      </c>
      <c r="B3876" s="244" t="str">
        <f t="shared" si="60"/>
        <v>Total Hip ReplacementProviderSPIRE SUSSEX HOSPITAL (NT309)EQ VAS</v>
      </c>
      <c r="C3876" t="s">
        <v>974</v>
      </c>
      <c r="D3876" t="s">
        <v>965</v>
      </c>
      <c r="E3876" t="s">
        <v>590</v>
      </c>
      <c r="F3876" t="s">
        <v>591</v>
      </c>
      <c r="G3876" t="s">
        <v>752</v>
      </c>
      <c r="H3876">
        <v>7</v>
      </c>
      <c r="I3876">
        <v>61.428600000000003</v>
      </c>
      <c r="J3876">
        <v>76.285700000000006</v>
      </c>
      <c r="K3876">
        <v>14.857100000000001</v>
      </c>
      <c r="L3876">
        <v>6</v>
      </c>
      <c r="M3876">
        <v>0</v>
      </c>
      <c r="N3876">
        <v>1</v>
      </c>
      <c r="O3876" t="s">
        <v>127</v>
      </c>
      <c r="P3876" t="s">
        <v>127</v>
      </c>
      <c r="Q3876" t="s">
        <v>127</v>
      </c>
    </row>
    <row r="3877" spans="1:17" x14ac:dyDescent="0.25">
      <c r="A3877" t="str">
        <f>IF(C3877&amp;G3877&amp;D3877&lt;&gt;'Funnel setup'!$K$3&amp;'Funnel setup'!$K$4&amp;'Funnel setup'!$K$6,".",IF(A3876=".",1,A3876+1))</f>
        <v>.</v>
      </c>
      <c r="B3877" s="244" t="str">
        <f t="shared" si="60"/>
        <v>Total Hip ReplacementProviderSPIRE THAMES VALLEY HOSPITAL (NT343)EQ VAS</v>
      </c>
      <c r="C3877" t="s">
        <v>974</v>
      </c>
      <c r="D3877" t="s">
        <v>965</v>
      </c>
      <c r="E3877" t="s">
        <v>592</v>
      </c>
      <c r="F3877" t="s">
        <v>593</v>
      </c>
      <c r="G3877" t="s">
        <v>752</v>
      </c>
      <c r="H3877">
        <v>7</v>
      </c>
      <c r="I3877">
        <v>68.571399999999997</v>
      </c>
      <c r="J3877">
        <v>87.285700000000006</v>
      </c>
      <c r="K3877">
        <v>18.714300000000001</v>
      </c>
      <c r="L3877">
        <v>5</v>
      </c>
      <c r="M3877">
        <v>1</v>
      </c>
      <c r="N3877">
        <v>1</v>
      </c>
      <c r="O3877" t="s">
        <v>127</v>
      </c>
      <c r="P3877" t="s">
        <v>127</v>
      </c>
      <c r="Q3877" t="s">
        <v>127</v>
      </c>
    </row>
    <row r="3878" spans="1:17" x14ac:dyDescent="0.25">
      <c r="A3878" t="str">
        <f>IF(C3878&amp;G3878&amp;D3878&lt;&gt;'Funnel setup'!$K$3&amp;'Funnel setup'!$K$4&amp;'Funnel setup'!$K$6,".",IF(A3877=".",1,A3877+1))</f>
        <v>.</v>
      </c>
      <c r="B3878" s="244" t="str">
        <f t="shared" si="60"/>
        <v>Total Hip ReplacementProviderSPIRE TUNBRIDGE WELLS HOSPITAL (NT310)EQ VAS</v>
      </c>
      <c r="C3878" t="s">
        <v>974</v>
      </c>
      <c r="D3878" t="s">
        <v>965</v>
      </c>
      <c r="E3878" t="s">
        <v>594</v>
      </c>
      <c r="F3878" t="s">
        <v>595</v>
      </c>
      <c r="G3878" t="s">
        <v>752</v>
      </c>
      <c r="H3878">
        <v>7</v>
      </c>
      <c r="I3878">
        <v>62.285699999999999</v>
      </c>
      <c r="J3878">
        <v>75.428600000000003</v>
      </c>
      <c r="K3878">
        <v>13.142899999999999</v>
      </c>
      <c r="L3878">
        <v>5</v>
      </c>
      <c r="M3878">
        <v>1</v>
      </c>
      <c r="N3878">
        <v>1</v>
      </c>
      <c r="O3878" t="s">
        <v>127</v>
      </c>
      <c r="P3878" t="s">
        <v>127</v>
      </c>
      <c r="Q3878" t="s">
        <v>127</v>
      </c>
    </row>
    <row r="3879" spans="1:17" x14ac:dyDescent="0.25">
      <c r="A3879" t="str">
        <f>IF(C3879&amp;G3879&amp;D3879&lt;&gt;'Funnel setup'!$K$3&amp;'Funnel setup'!$K$4&amp;'Funnel setup'!$K$6,".",IF(A3878=".",1,A3878+1))</f>
        <v>.</v>
      </c>
      <c r="B3879" s="244" t="str">
        <f t="shared" si="60"/>
        <v>Total Hip ReplacementProviderSPIRE WASHINGTON HOSPITAL (NT333)EQ VAS</v>
      </c>
      <c r="C3879" t="s">
        <v>974</v>
      </c>
      <c r="D3879" t="s">
        <v>965</v>
      </c>
      <c r="E3879" t="s">
        <v>596</v>
      </c>
      <c r="F3879" t="s">
        <v>597</v>
      </c>
      <c r="G3879" t="s">
        <v>752</v>
      </c>
      <c r="H3879">
        <v>64</v>
      </c>
      <c r="I3879">
        <v>62.5</v>
      </c>
      <c r="J3879">
        <v>76.359399999999994</v>
      </c>
      <c r="K3879">
        <v>13.859400000000001</v>
      </c>
      <c r="L3879">
        <v>49</v>
      </c>
      <c r="M3879">
        <v>3</v>
      </c>
      <c r="N3879">
        <v>12</v>
      </c>
      <c r="O3879">
        <v>76.428899999999999</v>
      </c>
      <c r="P3879">
        <v>15.6128</v>
      </c>
      <c r="Q3879">
        <v>14.517300000000001</v>
      </c>
    </row>
    <row r="3880" spans="1:17" x14ac:dyDescent="0.25">
      <c r="A3880" t="str">
        <f>IF(C3880&amp;G3880&amp;D3880&lt;&gt;'Funnel setup'!$K$3&amp;'Funnel setup'!$K$4&amp;'Funnel setup'!$K$6,".",IF(A3879=".",1,A3879+1))</f>
        <v>.</v>
      </c>
      <c r="B3880" s="244" t="str">
        <f t="shared" si="60"/>
        <v>Total Hip ReplacementProviderSPRINGFIELD HOSPITAL (NVC18)EQ VAS</v>
      </c>
      <c r="C3880" t="s">
        <v>974</v>
      </c>
      <c r="D3880" t="s">
        <v>965</v>
      </c>
      <c r="E3880" t="s">
        <v>602</v>
      </c>
      <c r="F3880" t="s">
        <v>603</v>
      </c>
      <c r="G3880" t="s">
        <v>752</v>
      </c>
      <c r="H3880">
        <v>75</v>
      </c>
      <c r="I3880">
        <v>62.578899999999997</v>
      </c>
      <c r="J3880">
        <v>79.342100000000002</v>
      </c>
      <c r="K3880">
        <v>16.763200000000001</v>
      </c>
      <c r="L3880">
        <v>54</v>
      </c>
      <c r="M3880">
        <v>5</v>
      </c>
      <c r="N3880">
        <v>16</v>
      </c>
      <c r="O3880">
        <v>76.972899999999996</v>
      </c>
      <c r="P3880">
        <v>16.1568</v>
      </c>
      <c r="Q3880">
        <v>18.1526</v>
      </c>
    </row>
    <row r="3881" spans="1:17" x14ac:dyDescent="0.25">
      <c r="A3881" t="str">
        <f>IF(C3881&amp;G3881&amp;D3881&lt;&gt;'Funnel setup'!$K$3&amp;'Funnel setup'!$K$4&amp;'Funnel setup'!$K$6,".",IF(A3880=".",1,A3880+1))</f>
        <v>.</v>
      </c>
      <c r="B3881" s="244" t="str">
        <f t="shared" si="60"/>
        <v>Total Hip ReplacementProviderST EDMUNDS HOSPITAL (NT446)EQ VAS</v>
      </c>
      <c r="C3881" t="s">
        <v>974</v>
      </c>
      <c r="D3881" t="s">
        <v>965</v>
      </c>
      <c r="E3881" t="s">
        <v>604</v>
      </c>
      <c r="F3881" t="s">
        <v>605</v>
      </c>
      <c r="G3881" t="s">
        <v>752</v>
      </c>
      <c r="H3881">
        <v>54</v>
      </c>
      <c r="I3881">
        <v>63.055599999999998</v>
      </c>
      <c r="J3881">
        <v>80.333299999999994</v>
      </c>
      <c r="K3881">
        <v>17.277799999999999</v>
      </c>
      <c r="L3881">
        <v>39</v>
      </c>
      <c r="M3881">
        <v>7</v>
      </c>
      <c r="N3881">
        <v>8</v>
      </c>
      <c r="O3881">
        <v>77.251199999999997</v>
      </c>
      <c r="P3881">
        <v>16.435099999999998</v>
      </c>
      <c r="Q3881">
        <v>13.9069</v>
      </c>
    </row>
    <row r="3882" spans="1:17" x14ac:dyDescent="0.25">
      <c r="A3882" t="str">
        <f>IF(C3882&amp;G3882&amp;D3882&lt;&gt;'Funnel setup'!$K$3&amp;'Funnel setup'!$K$4&amp;'Funnel setup'!$K$6,".",IF(A3881=".",1,A3881+1))</f>
        <v>.</v>
      </c>
      <c r="B3882" s="244" t="str">
        <f t="shared" si="60"/>
        <v>Total Hip ReplacementProviderST HELENS AND KNOWSLEY TEACHING HOSPITALS NHS TRUST (RBN)EQ VAS</v>
      </c>
      <c r="C3882" t="s">
        <v>974</v>
      </c>
      <c r="D3882" t="s">
        <v>965</v>
      </c>
      <c r="E3882" t="s">
        <v>608</v>
      </c>
      <c r="F3882" t="s">
        <v>609</v>
      </c>
      <c r="G3882" t="s">
        <v>752</v>
      </c>
      <c r="H3882">
        <v>66</v>
      </c>
      <c r="I3882">
        <v>54.757599999999996</v>
      </c>
      <c r="J3882">
        <v>70.530299999999997</v>
      </c>
      <c r="K3882">
        <v>15.7727</v>
      </c>
      <c r="L3882">
        <v>46</v>
      </c>
      <c r="M3882">
        <v>3</v>
      </c>
      <c r="N3882">
        <v>17</v>
      </c>
      <c r="O3882">
        <v>75.061899999999994</v>
      </c>
      <c r="P3882">
        <v>14.245799999999999</v>
      </c>
      <c r="Q3882">
        <v>19.246400000000001</v>
      </c>
    </row>
    <row r="3883" spans="1:17" x14ac:dyDescent="0.25">
      <c r="A3883" t="str">
        <f>IF(C3883&amp;G3883&amp;D3883&lt;&gt;'Funnel setup'!$K$3&amp;'Funnel setup'!$K$4&amp;'Funnel setup'!$K$6,".",IF(A3882=".",1,A3882+1))</f>
        <v>.</v>
      </c>
      <c r="B3883" s="244" t="str">
        <f t="shared" si="60"/>
        <v>Total Hip ReplacementProviderST HUGH'S HOSPITAL (NTE02)EQ VAS</v>
      </c>
      <c r="C3883" t="s">
        <v>974</v>
      </c>
      <c r="D3883" t="s">
        <v>965</v>
      </c>
      <c r="E3883" t="s">
        <v>610</v>
      </c>
      <c r="F3883" t="s">
        <v>611</v>
      </c>
      <c r="G3883" t="s">
        <v>752</v>
      </c>
      <c r="H3883">
        <v>90</v>
      </c>
      <c r="I3883">
        <v>65.611099999999993</v>
      </c>
      <c r="J3883">
        <v>74.033299999999997</v>
      </c>
      <c r="K3883">
        <v>8.4222199999999994</v>
      </c>
      <c r="L3883">
        <v>50</v>
      </c>
      <c r="M3883">
        <v>10</v>
      </c>
      <c r="N3883">
        <v>30</v>
      </c>
      <c r="O3883">
        <v>71.357399999999998</v>
      </c>
      <c r="P3883">
        <v>10.5413</v>
      </c>
      <c r="Q3883">
        <v>17.6417</v>
      </c>
    </row>
    <row r="3884" spans="1:17" x14ac:dyDescent="0.25">
      <c r="A3884" t="str">
        <f>IF(C3884&amp;G3884&amp;D3884&lt;&gt;'Funnel setup'!$K$3&amp;'Funnel setup'!$K$4&amp;'Funnel setup'!$K$6,".",IF(A3883=".",1,A3883+1))</f>
        <v>.</v>
      </c>
      <c r="B3884" s="244" t="str">
        <f t="shared" si="60"/>
        <v>Total Hip ReplacementProviderSTOCKPORT NHS FOUNDATION TRUST (RWJ)EQ VAS</v>
      </c>
      <c r="C3884" t="s">
        <v>974</v>
      </c>
      <c r="D3884" t="s">
        <v>965</v>
      </c>
      <c r="E3884" t="s">
        <v>614</v>
      </c>
      <c r="F3884" t="s">
        <v>615</v>
      </c>
      <c r="G3884" t="s">
        <v>752</v>
      </c>
      <c r="H3884">
        <v>55</v>
      </c>
      <c r="I3884">
        <v>53.6</v>
      </c>
      <c r="J3884">
        <v>71.381799999999998</v>
      </c>
      <c r="K3884">
        <v>17.7818</v>
      </c>
      <c r="L3884">
        <v>36</v>
      </c>
      <c r="M3884">
        <v>8</v>
      </c>
      <c r="N3884">
        <v>11</v>
      </c>
      <c r="O3884">
        <v>74.687299999999993</v>
      </c>
      <c r="P3884">
        <v>13.8712</v>
      </c>
      <c r="Q3884">
        <v>18.627500000000001</v>
      </c>
    </row>
    <row r="3885" spans="1:17" x14ac:dyDescent="0.25">
      <c r="A3885" t="str">
        <f>IF(C3885&amp;G3885&amp;D3885&lt;&gt;'Funnel setup'!$K$3&amp;'Funnel setup'!$K$4&amp;'Funnel setup'!$K$6,".",IF(A3884=".",1,A3884+1))</f>
        <v>.</v>
      </c>
      <c r="B3885" s="244" t="str">
        <f t="shared" si="60"/>
        <v>Total Hip ReplacementProviderSURREY AND SUSSEX HEALTHCARE NHS TRUST (RTP)EQ VAS</v>
      </c>
      <c r="C3885" t="s">
        <v>974</v>
      </c>
      <c r="D3885" t="s">
        <v>965</v>
      </c>
      <c r="E3885" t="s">
        <v>618</v>
      </c>
      <c r="F3885" t="s">
        <v>619</v>
      </c>
      <c r="G3885" t="s">
        <v>752</v>
      </c>
      <c r="H3885">
        <v>46</v>
      </c>
      <c r="I3885">
        <v>60.195700000000002</v>
      </c>
      <c r="J3885">
        <v>70.217399999999998</v>
      </c>
      <c r="K3885">
        <v>10.021699999999999</v>
      </c>
      <c r="L3885">
        <v>34</v>
      </c>
      <c r="M3885">
        <v>3</v>
      </c>
      <c r="N3885">
        <v>9</v>
      </c>
      <c r="O3885">
        <v>71.215699999999998</v>
      </c>
      <c r="P3885">
        <v>10.3996</v>
      </c>
      <c r="Q3885">
        <v>19.883600000000001</v>
      </c>
    </row>
    <row r="3886" spans="1:17" x14ac:dyDescent="0.25">
      <c r="A3886" t="str">
        <f>IF(C3886&amp;G3886&amp;D3886&lt;&gt;'Funnel setup'!$K$3&amp;'Funnel setup'!$K$4&amp;'Funnel setup'!$K$6,".",IF(A3885=".",1,A3885+1))</f>
        <v>.</v>
      </c>
      <c r="B3886" s="244" t="str">
        <f t="shared" si="60"/>
        <v>Total Hip ReplacementProviderTAMESIDE AND GLOSSOP INTEGRATED CARE NHS FOUNDATION TRUST (RMP)EQ VAS</v>
      </c>
      <c r="C3886" t="s">
        <v>974</v>
      </c>
      <c r="D3886" t="s">
        <v>965</v>
      </c>
      <c r="E3886" t="s">
        <v>620</v>
      </c>
      <c r="F3886" t="s">
        <v>621</v>
      </c>
      <c r="G3886" t="s">
        <v>752</v>
      </c>
      <c r="H3886">
        <v>2</v>
      </c>
      <c r="I3886">
        <v>55</v>
      </c>
      <c r="J3886">
        <v>15</v>
      </c>
      <c r="K3886">
        <v>-40</v>
      </c>
      <c r="L3886">
        <v>0</v>
      </c>
      <c r="M3886">
        <v>0</v>
      </c>
      <c r="N3886">
        <v>2</v>
      </c>
      <c r="O3886" t="s">
        <v>127</v>
      </c>
      <c r="P3886" t="s">
        <v>127</v>
      </c>
      <c r="Q3886" t="s">
        <v>127</v>
      </c>
    </row>
    <row r="3887" spans="1:17" x14ac:dyDescent="0.25">
      <c r="A3887" t="str">
        <f>IF(C3887&amp;G3887&amp;D3887&lt;&gt;'Funnel setup'!$K$3&amp;'Funnel setup'!$K$4&amp;'Funnel setup'!$K$6,".",IF(A3886=".",1,A3886+1))</f>
        <v>.</v>
      </c>
      <c r="B3887" s="244" t="str">
        <f t="shared" si="60"/>
        <v>Total Hip ReplacementProviderTEES VALLEY HOSPITAL (NVC0R)EQ VAS</v>
      </c>
      <c r="C3887" t="s">
        <v>974</v>
      </c>
      <c r="D3887" t="s">
        <v>965</v>
      </c>
      <c r="E3887" t="s">
        <v>624</v>
      </c>
      <c r="F3887" t="s">
        <v>625</v>
      </c>
      <c r="G3887" t="s">
        <v>752</v>
      </c>
      <c r="H3887">
        <v>43</v>
      </c>
      <c r="I3887">
        <v>67.883700000000005</v>
      </c>
      <c r="J3887">
        <v>77.372100000000003</v>
      </c>
      <c r="K3887">
        <v>9.4883699999999997</v>
      </c>
      <c r="L3887">
        <v>26</v>
      </c>
      <c r="M3887">
        <v>4</v>
      </c>
      <c r="N3887">
        <v>13</v>
      </c>
      <c r="O3887">
        <v>75.302599999999998</v>
      </c>
      <c r="P3887">
        <v>14.486499999999999</v>
      </c>
      <c r="Q3887">
        <v>14.354799999999999</v>
      </c>
    </row>
    <row r="3888" spans="1:17" x14ac:dyDescent="0.25">
      <c r="A3888" t="str">
        <f>IF(C3888&amp;G3888&amp;D3888&lt;&gt;'Funnel setup'!$K$3&amp;'Funnel setup'!$K$4&amp;'Funnel setup'!$K$6,".",IF(A3887=".",1,A3887+1))</f>
        <v>.</v>
      </c>
      <c r="B3888" s="244" t="str">
        <f t="shared" si="60"/>
        <v>Total Hip ReplacementProviderTHE BERKSHIRE INDEPENDENT HOSPITAL (NVC02)EQ VAS</v>
      </c>
      <c r="C3888" t="s">
        <v>974</v>
      </c>
      <c r="D3888" t="s">
        <v>965</v>
      </c>
      <c r="E3888" t="s">
        <v>626</v>
      </c>
      <c r="F3888" t="s">
        <v>627</v>
      </c>
      <c r="G3888" t="s">
        <v>752</v>
      </c>
      <c r="H3888">
        <v>10</v>
      </c>
      <c r="I3888">
        <v>70</v>
      </c>
      <c r="J3888">
        <v>82</v>
      </c>
      <c r="K3888">
        <v>12</v>
      </c>
      <c r="L3888">
        <v>7</v>
      </c>
      <c r="M3888">
        <v>0</v>
      </c>
      <c r="N3888">
        <v>3</v>
      </c>
      <c r="O3888" t="s">
        <v>127</v>
      </c>
      <c r="P3888" t="s">
        <v>127</v>
      </c>
      <c r="Q3888" t="s">
        <v>127</v>
      </c>
    </row>
    <row r="3889" spans="1:17" x14ac:dyDescent="0.25">
      <c r="A3889" t="str">
        <f>IF(C3889&amp;G3889&amp;D3889&lt;&gt;'Funnel setup'!$K$3&amp;'Funnel setup'!$K$4&amp;'Funnel setup'!$K$6,".",IF(A3888=".",1,A3888+1))</f>
        <v>.</v>
      </c>
      <c r="B3889" s="244" t="str">
        <f t="shared" si="60"/>
        <v>Total Hip ReplacementProviderTHE CHERWELL HOSPITAL (NVC25)EQ VAS</v>
      </c>
      <c r="C3889" t="s">
        <v>974</v>
      </c>
      <c r="D3889" t="s">
        <v>965</v>
      </c>
      <c r="E3889" t="s">
        <v>628</v>
      </c>
      <c r="F3889" t="s">
        <v>629</v>
      </c>
      <c r="G3889" t="s">
        <v>752</v>
      </c>
      <c r="H3889">
        <v>199</v>
      </c>
      <c r="I3889">
        <v>66.412099999999995</v>
      </c>
      <c r="J3889">
        <v>79.185900000000004</v>
      </c>
      <c r="K3889">
        <v>12.773899999999999</v>
      </c>
      <c r="L3889">
        <v>135</v>
      </c>
      <c r="M3889">
        <v>24</v>
      </c>
      <c r="N3889">
        <v>40</v>
      </c>
      <c r="O3889">
        <v>75.778899999999993</v>
      </c>
      <c r="P3889">
        <v>14.9628</v>
      </c>
      <c r="Q3889">
        <v>15.3513</v>
      </c>
    </row>
    <row r="3890" spans="1:17" x14ac:dyDescent="0.25">
      <c r="A3890" t="str">
        <f>IF(C3890&amp;G3890&amp;D3890&lt;&gt;'Funnel setup'!$K$3&amp;'Funnel setup'!$K$4&amp;'Funnel setup'!$K$6,".",IF(A3889=".",1,A3889+1))</f>
        <v>.</v>
      </c>
      <c r="B3890" s="244" t="str">
        <f t="shared" si="60"/>
        <v>Total Hip ReplacementProviderTHE DUDLEY GROUP NHS FOUNDATION TRUST (RNA)EQ VAS</v>
      </c>
      <c r="C3890" t="s">
        <v>974</v>
      </c>
      <c r="D3890" t="s">
        <v>965</v>
      </c>
      <c r="E3890" t="s">
        <v>630</v>
      </c>
      <c r="F3890" t="s">
        <v>631</v>
      </c>
      <c r="G3890" t="s">
        <v>752</v>
      </c>
      <c r="H3890">
        <v>1</v>
      </c>
      <c r="I3890">
        <v>90</v>
      </c>
      <c r="J3890">
        <v>100</v>
      </c>
      <c r="K3890">
        <v>10</v>
      </c>
      <c r="L3890">
        <v>1</v>
      </c>
      <c r="M3890">
        <v>0</v>
      </c>
      <c r="N3890">
        <v>0</v>
      </c>
      <c r="O3890" t="s">
        <v>127</v>
      </c>
      <c r="P3890" t="s">
        <v>127</v>
      </c>
      <c r="Q3890" t="s">
        <v>127</v>
      </c>
    </row>
    <row r="3891" spans="1:17" x14ac:dyDescent="0.25">
      <c r="A3891" t="str">
        <f>IF(C3891&amp;G3891&amp;D3891&lt;&gt;'Funnel setup'!$K$3&amp;'Funnel setup'!$K$4&amp;'Funnel setup'!$K$6,".",IF(A3890=".",1,A3890+1))</f>
        <v>.</v>
      </c>
      <c r="B3891" s="244" t="str">
        <f t="shared" si="60"/>
        <v>Total Hip ReplacementProviderTHE HILLINGDON HOSPITALS NHS FOUNDATION TRUST (RAS)EQ VAS</v>
      </c>
      <c r="C3891" t="s">
        <v>974</v>
      </c>
      <c r="D3891" t="s">
        <v>965</v>
      </c>
      <c r="E3891" t="s">
        <v>632</v>
      </c>
      <c r="F3891" t="s">
        <v>633</v>
      </c>
      <c r="G3891" t="s">
        <v>752</v>
      </c>
      <c r="H3891">
        <v>65</v>
      </c>
      <c r="I3891">
        <v>64.907700000000006</v>
      </c>
      <c r="J3891">
        <v>74.584599999999995</v>
      </c>
      <c r="K3891">
        <v>9.6769200000000009</v>
      </c>
      <c r="L3891">
        <v>41</v>
      </c>
      <c r="M3891">
        <v>10</v>
      </c>
      <c r="N3891">
        <v>14</v>
      </c>
      <c r="O3891">
        <v>73.104200000000006</v>
      </c>
      <c r="P3891">
        <v>12.2881</v>
      </c>
      <c r="Q3891">
        <v>18.7072</v>
      </c>
    </row>
    <row r="3892" spans="1:17" x14ac:dyDescent="0.25">
      <c r="A3892" t="str">
        <f>IF(C3892&amp;G3892&amp;D3892&lt;&gt;'Funnel setup'!$K$3&amp;'Funnel setup'!$K$4&amp;'Funnel setup'!$K$6,".",IF(A3891=".",1,A3891+1))</f>
        <v>.</v>
      </c>
      <c r="B3892" s="244" t="str">
        <f t="shared" si="60"/>
        <v>Total Hip ReplacementProviderTHE HORDER CENTRE - ST JOHNS ROAD (NXM01)EQ VAS</v>
      </c>
      <c r="C3892" t="s">
        <v>974</v>
      </c>
      <c r="D3892" t="s">
        <v>965</v>
      </c>
      <c r="E3892" t="s">
        <v>634</v>
      </c>
      <c r="F3892" t="s">
        <v>635</v>
      </c>
      <c r="G3892" t="s">
        <v>752</v>
      </c>
      <c r="H3892">
        <v>245</v>
      </c>
      <c r="I3892">
        <v>66.4816</v>
      </c>
      <c r="J3892">
        <v>78.857100000000003</v>
      </c>
      <c r="K3892">
        <v>12.375500000000001</v>
      </c>
      <c r="L3892">
        <v>160</v>
      </c>
      <c r="M3892">
        <v>23</v>
      </c>
      <c r="N3892">
        <v>62</v>
      </c>
      <c r="O3892">
        <v>75.584800000000001</v>
      </c>
      <c r="P3892">
        <v>14.768700000000001</v>
      </c>
      <c r="Q3892">
        <v>15.4786</v>
      </c>
    </row>
    <row r="3893" spans="1:17" x14ac:dyDescent="0.25">
      <c r="A3893" t="str">
        <f>IF(C3893&amp;G3893&amp;D3893&lt;&gt;'Funnel setup'!$K$3&amp;'Funnel setup'!$K$4&amp;'Funnel setup'!$K$6,".",IF(A3892=".",1,A3892+1))</f>
        <v>.</v>
      </c>
      <c r="B3893" s="244" t="str">
        <f t="shared" si="60"/>
        <v>Total Hip ReplacementProviderTHE NEWCASTLE UPON TYNE HOSPITALS NHS FOUNDATION TRUST (RTD)EQ VAS</v>
      </c>
      <c r="C3893" t="s">
        <v>974</v>
      </c>
      <c r="D3893" t="s">
        <v>965</v>
      </c>
      <c r="E3893" t="s">
        <v>638</v>
      </c>
      <c r="F3893" t="s">
        <v>639</v>
      </c>
      <c r="G3893" t="s">
        <v>752</v>
      </c>
      <c r="H3893">
        <v>39</v>
      </c>
      <c r="I3893">
        <v>58.384599999999999</v>
      </c>
      <c r="J3893">
        <v>68.948700000000002</v>
      </c>
      <c r="K3893">
        <v>10.5641</v>
      </c>
      <c r="L3893">
        <v>25</v>
      </c>
      <c r="M3893">
        <v>4</v>
      </c>
      <c r="N3893">
        <v>10</v>
      </c>
      <c r="O3893">
        <v>72.929299999999998</v>
      </c>
      <c r="P3893">
        <v>12.113200000000001</v>
      </c>
      <c r="Q3893">
        <v>14.3491</v>
      </c>
    </row>
    <row r="3894" spans="1:17" x14ac:dyDescent="0.25">
      <c r="A3894" t="str">
        <f>IF(C3894&amp;G3894&amp;D3894&lt;&gt;'Funnel setup'!$K$3&amp;'Funnel setup'!$K$4&amp;'Funnel setup'!$K$6,".",IF(A3893=".",1,A3893+1))</f>
        <v>.</v>
      </c>
      <c r="B3894" s="244" t="str">
        <f t="shared" si="60"/>
        <v>Total Hip ReplacementProviderTHE PRINCESS ALEXANDRA HOSPITAL NHS TRUST (RQW)EQ VAS</v>
      </c>
      <c r="C3894" t="s">
        <v>974</v>
      </c>
      <c r="D3894" t="s">
        <v>965</v>
      </c>
      <c r="E3894" t="s">
        <v>640</v>
      </c>
      <c r="F3894" t="s">
        <v>641</v>
      </c>
      <c r="G3894" t="s">
        <v>752</v>
      </c>
      <c r="H3894">
        <v>22</v>
      </c>
      <c r="I3894">
        <v>53.090899999999998</v>
      </c>
      <c r="J3894">
        <v>67.136399999999995</v>
      </c>
      <c r="K3894">
        <v>14.045500000000001</v>
      </c>
      <c r="L3894">
        <v>14</v>
      </c>
      <c r="M3894">
        <v>1</v>
      </c>
      <c r="N3894">
        <v>7</v>
      </c>
      <c r="O3894" t="s">
        <v>127</v>
      </c>
      <c r="P3894" t="s">
        <v>127</v>
      </c>
      <c r="Q3894" t="s">
        <v>127</v>
      </c>
    </row>
    <row r="3895" spans="1:17" x14ac:dyDescent="0.25">
      <c r="A3895" t="str">
        <f>IF(C3895&amp;G3895&amp;D3895&lt;&gt;'Funnel setup'!$K$3&amp;'Funnel setup'!$K$4&amp;'Funnel setup'!$K$6,".",IF(A3894=".",1,A3894+1))</f>
        <v>.</v>
      </c>
      <c r="B3895" s="244" t="str">
        <f t="shared" si="60"/>
        <v>Total Hip ReplacementProviderTHE QUEEN ELIZABETH HOSPITAL, KING'S LYNN, NHS FOUNDATION TRUST (RCX)EQ VAS</v>
      </c>
      <c r="C3895" t="s">
        <v>974</v>
      </c>
      <c r="D3895" t="s">
        <v>965</v>
      </c>
      <c r="E3895" t="s">
        <v>644</v>
      </c>
      <c r="F3895" t="s">
        <v>645</v>
      </c>
      <c r="G3895" t="s">
        <v>752</v>
      </c>
      <c r="H3895">
        <v>65</v>
      </c>
      <c r="I3895">
        <v>58.153799999999997</v>
      </c>
      <c r="J3895">
        <v>76.5077</v>
      </c>
      <c r="K3895">
        <v>18.3538</v>
      </c>
      <c r="L3895">
        <v>49</v>
      </c>
      <c r="M3895">
        <v>4</v>
      </c>
      <c r="N3895">
        <v>12</v>
      </c>
      <c r="O3895">
        <v>78.523300000000006</v>
      </c>
      <c r="P3895">
        <v>17.7072</v>
      </c>
      <c r="Q3895">
        <v>15.8748</v>
      </c>
    </row>
    <row r="3896" spans="1:17" x14ac:dyDescent="0.25">
      <c r="A3896" t="str">
        <f>IF(C3896&amp;G3896&amp;D3896&lt;&gt;'Funnel setup'!$K$3&amp;'Funnel setup'!$K$4&amp;'Funnel setup'!$K$6,".",IF(A3895=".",1,A3895+1))</f>
        <v>.</v>
      </c>
      <c r="B3896" s="244" t="str">
        <f t="shared" si="60"/>
        <v>Total Hip ReplacementProviderTHE ROBERT JONES AND AGNES HUNT ORTHOPAEDIC HOSPITAL NHS FOUNDATION TRUST (RL1)EQ VAS</v>
      </c>
      <c r="C3896" t="s">
        <v>974</v>
      </c>
      <c r="D3896" t="s">
        <v>965</v>
      </c>
      <c r="E3896" t="s">
        <v>646</v>
      </c>
      <c r="F3896" t="s">
        <v>647</v>
      </c>
      <c r="G3896" t="s">
        <v>752</v>
      </c>
      <c r="H3896">
        <v>349</v>
      </c>
      <c r="I3896">
        <v>54.822299999999998</v>
      </c>
      <c r="J3896">
        <v>77.280799999999999</v>
      </c>
      <c r="K3896">
        <v>22.458500000000001</v>
      </c>
      <c r="L3896">
        <v>268</v>
      </c>
      <c r="M3896">
        <v>30</v>
      </c>
      <c r="N3896">
        <v>51</v>
      </c>
      <c r="O3896">
        <v>79.249399999999994</v>
      </c>
      <c r="P3896">
        <v>18.433299999999999</v>
      </c>
      <c r="Q3896">
        <v>15.0975</v>
      </c>
    </row>
    <row r="3897" spans="1:17" x14ac:dyDescent="0.25">
      <c r="A3897" t="str">
        <f>IF(C3897&amp;G3897&amp;D3897&lt;&gt;'Funnel setup'!$K$3&amp;'Funnel setup'!$K$4&amp;'Funnel setup'!$K$6,".",IF(A3896=".",1,A3896+1))</f>
        <v>.</v>
      </c>
      <c r="B3897" s="244" t="str">
        <f t="shared" si="60"/>
        <v>Total Hip ReplacementProviderTHE ROTHERHAM NHS FOUNDATION TRUST (RFR)EQ VAS</v>
      </c>
      <c r="C3897" t="s">
        <v>974</v>
      </c>
      <c r="D3897" t="s">
        <v>965</v>
      </c>
      <c r="E3897" t="s">
        <v>648</v>
      </c>
      <c r="F3897" t="s">
        <v>649</v>
      </c>
      <c r="G3897" t="s">
        <v>752</v>
      </c>
      <c r="H3897">
        <v>17</v>
      </c>
      <c r="I3897">
        <v>51.2941</v>
      </c>
      <c r="J3897">
        <v>74.176500000000004</v>
      </c>
      <c r="K3897">
        <v>22.882400000000001</v>
      </c>
      <c r="L3897">
        <v>13</v>
      </c>
      <c r="M3897">
        <v>0</v>
      </c>
      <c r="N3897">
        <v>4</v>
      </c>
      <c r="O3897" t="s">
        <v>127</v>
      </c>
      <c r="P3897" t="s">
        <v>127</v>
      </c>
      <c r="Q3897" t="s">
        <v>127</v>
      </c>
    </row>
    <row r="3898" spans="1:17" x14ac:dyDescent="0.25">
      <c r="A3898" t="str">
        <f>IF(C3898&amp;G3898&amp;D3898&lt;&gt;'Funnel setup'!$K$3&amp;'Funnel setup'!$K$4&amp;'Funnel setup'!$K$6,".",IF(A3897=".",1,A3897+1))</f>
        <v>.</v>
      </c>
      <c r="B3898" s="244" t="str">
        <f t="shared" si="60"/>
        <v>Total Hip ReplacementProviderTHE ROYAL ORTHOPAEDIC HOSPITAL NHS FOUNDATION TRUST (RRJ)EQ VAS</v>
      </c>
      <c r="C3898" t="s">
        <v>974</v>
      </c>
      <c r="D3898" t="s">
        <v>965</v>
      </c>
      <c r="E3898" t="s">
        <v>652</v>
      </c>
      <c r="F3898" t="s">
        <v>653</v>
      </c>
      <c r="G3898" t="s">
        <v>752</v>
      </c>
      <c r="H3898">
        <v>579</v>
      </c>
      <c r="I3898">
        <v>62.806600000000003</v>
      </c>
      <c r="J3898">
        <v>75.858400000000003</v>
      </c>
      <c r="K3898">
        <v>13.0518</v>
      </c>
      <c r="L3898">
        <v>399</v>
      </c>
      <c r="M3898">
        <v>48</v>
      </c>
      <c r="N3898">
        <v>132</v>
      </c>
      <c r="O3898">
        <v>75.228200000000001</v>
      </c>
      <c r="P3898">
        <v>14.412100000000001</v>
      </c>
      <c r="Q3898">
        <v>17.959900000000001</v>
      </c>
    </row>
    <row r="3899" spans="1:17" x14ac:dyDescent="0.25">
      <c r="A3899" t="str">
        <f>IF(C3899&amp;G3899&amp;D3899&lt;&gt;'Funnel setup'!$K$3&amp;'Funnel setup'!$K$4&amp;'Funnel setup'!$K$6,".",IF(A3898=".",1,A3898+1))</f>
        <v>.</v>
      </c>
      <c r="B3899" s="244" t="str">
        <f t="shared" si="60"/>
        <v>Total Hip ReplacementProviderTHE ROYAL WOLVERHAMPTON NHS TRUST (RL4)EQ VAS</v>
      </c>
      <c r="C3899" t="s">
        <v>974</v>
      </c>
      <c r="D3899" t="s">
        <v>965</v>
      </c>
      <c r="E3899" t="s">
        <v>654</v>
      </c>
      <c r="F3899" t="s">
        <v>655</v>
      </c>
      <c r="G3899" t="s">
        <v>752</v>
      </c>
      <c r="H3899">
        <v>17</v>
      </c>
      <c r="I3899">
        <v>59.411799999999999</v>
      </c>
      <c r="J3899">
        <v>77.117599999999996</v>
      </c>
      <c r="K3899">
        <v>17.7059</v>
      </c>
      <c r="L3899">
        <v>12</v>
      </c>
      <c r="M3899">
        <v>1</v>
      </c>
      <c r="N3899">
        <v>4</v>
      </c>
      <c r="O3899" t="s">
        <v>127</v>
      </c>
      <c r="P3899" t="s">
        <v>127</v>
      </c>
      <c r="Q3899" t="s">
        <v>127</v>
      </c>
    </row>
    <row r="3900" spans="1:17" x14ac:dyDescent="0.25">
      <c r="A3900" t="str">
        <f>IF(C3900&amp;G3900&amp;D3900&lt;&gt;'Funnel setup'!$K$3&amp;'Funnel setup'!$K$4&amp;'Funnel setup'!$K$6,".",IF(A3899=".",1,A3899+1))</f>
        <v>.</v>
      </c>
      <c r="B3900" s="244" t="str">
        <f t="shared" si="60"/>
        <v>Total Hip ReplacementProviderTHE SHREWSBURY AND TELFORD HOSPITAL NHS TRUST (RXW)EQ VAS</v>
      </c>
      <c r="C3900" t="s">
        <v>974</v>
      </c>
      <c r="D3900" t="s">
        <v>965</v>
      </c>
      <c r="E3900" t="s">
        <v>656</v>
      </c>
      <c r="F3900" t="s">
        <v>657</v>
      </c>
      <c r="G3900" t="s">
        <v>752</v>
      </c>
      <c r="H3900">
        <v>16</v>
      </c>
      <c r="I3900">
        <v>55.5</v>
      </c>
      <c r="J3900">
        <v>71.5</v>
      </c>
      <c r="K3900">
        <v>16</v>
      </c>
      <c r="L3900">
        <v>9</v>
      </c>
      <c r="M3900">
        <v>1</v>
      </c>
      <c r="N3900">
        <v>6</v>
      </c>
      <c r="O3900" t="s">
        <v>127</v>
      </c>
      <c r="P3900" t="s">
        <v>127</v>
      </c>
      <c r="Q3900" t="s">
        <v>127</v>
      </c>
    </row>
    <row r="3901" spans="1:17" x14ac:dyDescent="0.25">
      <c r="A3901" t="str">
        <f>IF(C3901&amp;G3901&amp;D3901&lt;&gt;'Funnel setup'!$K$3&amp;'Funnel setup'!$K$4&amp;'Funnel setup'!$K$6,".",IF(A3900=".",1,A3900+1))</f>
        <v>.</v>
      </c>
      <c r="B3901" s="244" t="str">
        <f t="shared" si="60"/>
        <v>Total Hip ReplacementProviderTHE YORKSHIRE CLINIC (NVC20)EQ VAS</v>
      </c>
      <c r="C3901" t="s">
        <v>974</v>
      </c>
      <c r="D3901" t="s">
        <v>965</v>
      </c>
      <c r="E3901" t="s">
        <v>662</v>
      </c>
      <c r="F3901" t="s">
        <v>663</v>
      </c>
      <c r="G3901" t="s">
        <v>752</v>
      </c>
      <c r="H3901">
        <v>64</v>
      </c>
      <c r="I3901">
        <v>59.734400000000001</v>
      </c>
      <c r="J3901">
        <v>79.5625</v>
      </c>
      <c r="K3901">
        <v>19.828099999999999</v>
      </c>
      <c r="L3901">
        <v>51</v>
      </c>
      <c r="M3901">
        <v>2</v>
      </c>
      <c r="N3901">
        <v>11</v>
      </c>
      <c r="O3901">
        <v>79.091700000000003</v>
      </c>
      <c r="P3901">
        <v>18.275600000000001</v>
      </c>
      <c r="Q3901">
        <v>16.116499999999998</v>
      </c>
    </row>
    <row r="3902" spans="1:17" x14ac:dyDescent="0.25">
      <c r="A3902" t="str">
        <f>IF(C3902&amp;G3902&amp;D3902&lt;&gt;'Funnel setup'!$K$3&amp;'Funnel setup'!$K$4&amp;'Funnel setup'!$K$6,".",IF(A3901=".",1,A3901+1))</f>
        <v>.</v>
      </c>
      <c r="B3902" s="244" t="str">
        <f t="shared" si="60"/>
        <v>Total Hip ReplacementProviderTHORNBURY HOSPITAL (NT440)EQ VAS</v>
      </c>
      <c r="C3902" t="s">
        <v>974</v>
      </c>
      <c r="D3902" t="s">
        <v>965</v>
      </c>
      <c r="E3902" t="s">
        <v>664</v>
      </c>
      <c r="F3902" t="s">
        <v>665</v>
      </c>
      <c r="G3902" t="s">
        <v>752</v>
      </c>
      <c r="H3902">
        <v>3</v>
      </c>
      <c r="I3902">
        <v>56.666699999999999</v>
      </c>
      <c r="J3902">
        <v>72</v>
      </c>
      <c r="K3902">
        <v>15.333299999999999</v>
      </c>
      <c r="L3902">
        <v>2</v>
      </c>
      <c r="M3902">
        <v>0</v>
      </c>
      <c r="N3902">
        <v>1</v>
      </c>
      <c r="O3902" t="s">
        <v>127</v>
      </c>
      <c r="P3902" t="s">
        <v>127</v>
      </c>
      <c r="Q3902" t="s">
        <v>127</v>
      </c>
    </row>
    <row r="3903" spans="1:17" x14ac:dyDescent="0.25">
      <c r="A3903" t="str">
        <f>IF(C3903&amp;G3903&amp;D3903&lt;&gt;'Funnel setup'!$K$3&amp;'Funnel setup'!$K$4&amp;'Funnel setup'!$K$6,".",IF(A3902=".",1,A3902+1))</f>
        <v>.</v>
      </c>
      <c r="B3903" s="244" t="str">
        <f t="shared" si="60"/>
        <v>Total Hip ReplacementProviderTHREE SHIRES HOSPITAL (NT441)EQ VAS</v>
      </c>
      <c r="C3903" t="s">
        <v>974</v>
      </c>
      <c r="D3903" t="s">
        <v>965</v>
      </c>
      <c r="E3903" t="s">
        <v>666</v>
      </c>
      <c r="F3903" t="s">
        <v>667</v>
      </c>
      <c r="G3903" t="s">
        <v>752</v>
      </c>
      <c r="H3903">
        <v>55</v>
      </c>
      <c r="I3903">
        <v>66.7273</v>
      </c>
      <c r="J3903">
        <v>83.290899999999993</v>
      </c>
      <c r="K3903">
        <v>16.563600000000001</v>
      </c>
      <c r="L3903">
        <v>42</v>
      </c>
      <c r="M3903">
        <v>2</v>
      </c>
      <c r="N3903">
        <v>11</v>
      </c>
      <c r="O3903">
        <v>77.882000000000005</v>
      </c>
      <c r="P3903">
        <v>17.065899999999999</v>
      </c>
      <c r="Q3903">
        <v>11.0886</v>
      </c>
    </row>
    <row r="3904" spans="1:17" x14ac:dyDescent="0.25">
      <c r="A3904" t="str">
        <f>IF(C3904&amp;G3904&amp;D3904&lt;&gt;'Funnel setup'!$K$3&amp;'Funnel setup'!$K$4&amp;'Funnel setup'!$K$6,".",IF(A3903=".",1,A3903+1))</f>
        <v>.</v>
      </c>
      <c r="B3904" s="244" t="str">
        <f t="shared" si="60"/>
        <v>Total Hip ReplacementProviderTORBAY AND SOUTH DEVON NHS FOUNDATION TRUST (RA9)EQ VAS</v>
      </c>
      <c r="C3904" t="s">
        <v>974</v>
      </c>
      <c r="D3904" t="s">
        <v>965</v>
      </c>
      <c r="E3904" t="s">
        <v>668</v>
      </c>
      <c r="F3904" t="s">
        <v>669</v>
      </c>
      <c r="G3904" t="s">
        <v>752</v>
      </c>
      <c r="H3904">
        <v>10</v>
      </c>
      <c r="I3904">
        <v>57</v>
      </c>
      <c r="J3904">
        <v>75.900000000000006</v>
      </c>
      <c r="K3904">
        <v>18.899999999999999</v>
      </c>
      <c r="L3904">
        <v>6</v>
      </c>
      <c r="M3904">
        <v>3</v>
      </c>
      <c r="N3904">
        <v>1</v>
      </c>
      <c r="O3904" t="s">
        <v>127</v>
      </c>
      <c r="P3904" t="s">
        <v>127</v>
      </c>
      <c r="Q3904" t="s">
        <v>127</v>
      </c>
    </row>
    <row r="3905" spans="1:17" x14ac:dyDescent="0.25">
      <c r="A3905" t="str">
        <f>IF(C3905&amp;G3905&amp;D3905&lt;&gt;'Funnel setup'!$K$3&amp;'Funnel setup'!$K$4&amp;'Funnel setup'!$K$6,".",IF(A3904=".",1,A3904+1))</f>
        <v>.</v>
      </c>
      <c r="B3905" s="244" t="str">
        <f t="shared" si="60"/>
        <v>Total Hip ReplacementProviderUNITED LINCOLNSHIRE HOSPITALS NHS TRUST (RWD)EQ VAS</v>
      </c>
      <c r="C3905" t="s">
        <v>974</v>
      </c>
      <c r="D3905" t="s">
        <v>965</v>
      </c>
      <c r="E3905" t="s">
        <v>672</v>
      </c>
      <c r="F3905" t="s">
        <v>673</v>
      </c>
      <c r="G3905" t="s">
        <v>752</v>
      </c>
      <c r="H3905">
        <v>20</v>
      </c>
      <c r="I3905">
        <v>58.95</v>
      </c>
      <c r="J3905">
        <v>75.05</v>
      </c>
      <c r="K3905">
        <v>16.100000000000001</v>
      </c>
      <c r="L3905">
        <v>13</v>
      </c>
      <c r="M3905">
        <v>0</v>
      </c>
      <c r="N3905">
        <v>7</v>
      </c>
      <c r="O3905" t="s">
        <v>127</v>
      </c>
      <c r="P3905" t="s">
        <v>127</v>
      </c>
      <c r="Q3905" t="s">
        <v>127</v>
      </c>
    </row>
    <row r="3906" spans="1:17" x14ac:dyDescent="0.25">
      <c r="A3906" t="str">
        <f>IF(C3906&amp;G3906&amp;D3906&lt;&gt;'Funnel setup'!$K$3&amp;'Funnel setup'!$K$4&amp;'Funnel setup'!$K$6,".",IF(A3905=".",1,A3905+1))</f>
        <v>.</v>
      </c>
      <c r="B3906" s="244" t="str">
        <f t="shared" ref="B3906:B3969" si="61">C3906&amp;D3906&amp;F3906&amp;G3906</f>
        <v>Total Hip ReplacementProviderUNIVERSITY COLLEGE LONDON HOSPITALS NHS FOUNDATION TRUST (RRV)EQ VAS</v>
      </c>
      <c r="C3906" t="s">
        <v>974</v>
      </c>
      <c r="D3906" t="s">
        <v>965</v>
      </c>
      <c r="E3906" t="s">
        <v>674</v>
      </c>
      <c r="F3906" t="s">
        <v>675</v>
      </c>
      <c r="G3906" t="s">
        <v>752</v>
      </c>
      <c r="H3906">
        <v>146</v>
      </c>
      <c r="I3906">
        <v>64.0822</v>
      </c>
      <c r="J3906">
        <v>76.869900000000001</v>
      </c>
      <c r="K3906">
        <v>12.787699999999999</v>
      </c>
      <c r="L3906">
        <v>101</v>
      </c>
      <c r="M3906">
        <v>14</v>
      </c>
      <c r="N3906">
        <v>31</v>
      </c>
      <c r="O3906">
        <v>75.634</v>
      </c>
      <c r="P3906">
        <v>14.8179</v>
      </c>
      <c r="Q3906">
        <v>15.603899999999999</v>
      </c>
    </row>
    <row r="3907" spans="1:17" x14ac:dyDescent="0.25">
      <c r="A3907" t="str">
        <f>IF(C3907&amp;G3907&amp;D3907&lt;&gt;'Funnel setup'!$K$3&amp;'Funnel setup'!$K$4&amp;'Funnel setup'!$K$6,".",IF(A3906=".",1,A3906+1))</f>
        <v>.</v>
      </c>
      <c r="B3907" s="244" t="str">
        <f t="shared" si="61"/>
        <v>Total Hip ReplacementProviderUNIVERSITY HOSPITAL SOUTHAMPTON NHS FOUNDATION TRUST (RHM)EQ VAS</v>
      </c>
      <c r="C3907" t="s">
        <v>974</v>
      </c>
      <c r="D3907" t="s">
        <v>965</v>
      </c>
      <c r="E3907" t="s">
        <v>676</v>
      </c>
      <c r="F3907" t="s">
        <v>677</v>
      </c>
      <c r="G3907" t="s">
        <v>752</v>
      </c>
      <c r="H3907">
        <v>101</v>
      </c>
      <c r="I3907">
        <v>57.217799999999997</v>
      </c>
      <c r="J3907">
        <v>69.900999999999996</v>
      </c>
      <c r="K3907">
        <v>12.683199999999999</v>
      </c>
      <c r="L3907">
        <v>64</v>
      </c>
      <c r="M3907">
        <v>10</v>
      </c>
      <c r="N3907">
        <v>27</v>
      </c>
      <c r="O3907">
        <v>73.193700000000007</v>
      </c>
      <c r="P3907">
        <v>12.377599999999999</v>
      </c>
      <c r="Q3907">
        <v>18.4574</v>
      </c>
    </row>
    <row r="3908" spans="1:17" x14ac:dyDescent="0.25">
      <c r="A3908" t="str">
        <f>IF(C3908&amp;G3908&amp;D3908&lt;&gt;'Funnel setup'!$K$3&amp;'Funnel setup'!$K$4&amp;'Funnel setup'!$K$6,".",IF(A3907=".",1,A3907+1))</f>
        <v>.</v>
      </c>
      <c r="B3908" s="244" t="str">
        <f t="shared" si="61"/>
        <v>Total Hip ReplacementProviderUNIVERSITY HOSPITALS BRISTOL AND WESTON NHS FOUNDATION TRUST (RA7)EQ VAS</v>
      </c>
      <c r="C3908" t="s">
        <v>974</v>
      </c>
      <c r="D3908" t="s">
        <v>965</v>
      </c>
      <c r="E3908" t="s">
        <v>680</v>
      </c>
      <c r="F3908" t="s">
        <v>681</v>
      </c>
      <c r="G3908" t="s">
        <v>752</v>
      </c>
      <c r="H3908">
        <v>17</v>
      </c>
      <c r="I3908">
        <v>47.421100000000003</v>
      </c>
      <c r="J3908">
        <v>69.842100000000002</v>
      </c>
      <c r="K3908">
        <v>22.421099999999999</v>
      </c>
      <c r="L3908">
        <v>12</v>
      </c>
      <c r="M3908">
        <v>3</v>
      </c>
      <c r="N3908">
        <v>2</v>
      </c>
      <c r="O3908" t="s">
        <v>127</v>
      </c>
      <c r="P3908" t="s">
        <v>127</v>
      </c>
      <c r="Q3908" t="s">
        <v>127</v>
      </c>
    </row>
    <row r="3909" spans="1:17" x14ac:dyDescent="0.25">
      <c r="A3909" t="str">
        <f>IF(C3909&amp;G3909&amp;D3909&lt;&gt;'Funnel setup'!$K$3&amp;'Funnel setup'!$K$4&amp;'Funnel setup'!$K$6,".",IF(A3908=".",1,A3908+1))</f>
        <v>.</v>
      </c>
      <c r="B3909" s="244" t="str">
        <f t="shared" si="61"/>
        <v>Total Hip ReplacementProviderUNIVERSITY HOSPITALS COVENTRY AND WARWICKSHIRE NHS TRUST (RKB)EQ VAS</v>
      </c>
      <c r="C3909" t="s">
        <v>974</v>
      </c>
      <c r="D3909" t="s">
        <v>965</v>
      </c>
      <c r="E3909" t="s">
        <v>682</v>
      </c>
      <c r="F3909" t="s">
        <v>683</v>
      </c>
      <c r="G3909" t="s">
        <v>752</v>
      </c>
      <c r="H3909">
        <v>26</v>
      </c>
      <c r="I3909">
        <v>63.115400000000001</v>
      </c>
      <c r="J3909">
        <v>76.576899999999995</v>
      </c>
      <c r="K3909">
        <v>13.461499999999999</v>
      </c>
      <c r="L3909">
        <v>21</v>
      </c>
      <c r="M3909">
        <v>0</v>
      </c>
      <c r="N3909">
        <v>5</v>
      </c>
      <c r="O3909" t="s">
        <v>127</v>
      </c>
      <c r="P3909" t="s">
        <v>127</v>
      </c>
      <c r="Q3909" t="s">
        <v>127</v>
      </c>
    </row>
    <row r="3910" spans="1:17" x14ac:dyDescent="0.25">
      <c r="A3910" t="str">
        <f>IF(C3910&amp;G3910&amp;D3910&lt;&gt;'Funnel setup'!$K$3&amp;'Funnel setup'!$K$4&amp;'Funnel setup'!$K$6,".",IF(A3909=".",1,A3909+1))</f>
        <v>.</v>
      </c>
      <c r="B3910" s="244" t="str">
        <f t="shared" si="61"/>
        <v>Total Hip ReplacementProviderUNIVERSITY HOSPITAL DORSET NHS FUNDATION TRUST (R0D)EQ VAS</v>
      </c>
      <c r="C3910" t="s">
        <v>974</v>
      </c>
      <c r="D3910" t="s">
        <v>965</v>
      </c>
      <c r="E3910" t="s">
        <v>684</v>
      </c>
      <c r="F3910" t="s">
        <v>966</v>
      </c>
      <c r="G3910" t="s">
        <v>752</v>
      </c>
      <c r="H3910">
        <v>216</v>
      </c>
      <c r="I3910">
        <v>65.731499999999997</v>
      </c>
      <c r="J3910">
        <v>77.277799999999999</v>
      </c>
      <c r="K3910">
        <v>11.5463</v>
      </c>
      <c r="L3910">
        <v>154</v>
      </c>
      <c r="M3910">
        <v>18</v>
      </c>
      <c r="N3910">
        <v>44</v>
      </c>
      <c r="O3910">
        <v>75.580799999999996</v>
      </c>
      <c r="P3910">
        <v>14.764699999999999</v>
      </c>
      <c r="Q3910">
        <v>15.361000000000001</v>
      </c>
    </row>
    <row r="3911" spans="1:17" x14ac:dyDescent="0.25">
      <c r="A3911" t="str">
        <f>IF(C3911&amp;G3911&amp;D3911&lt;&gt;'Funnel setup'!$K$3&amp;'Funnel setup'!$K$4&amp;'Funnel setup'!$K$6,".",IF(A3910=".",1,A3910+1))</f>
        <v>.</v>
      </c>
      <c r="B3911" s="244" t="str">
        <f t="shared" si="61"/>
        <v>Total Hip ReplacementProviderUNIVERSITY HOSPITALS OF DERBY AND BURTON NHS FOUNDATION TRUST (RTG)EQ VAS</v>
      </c>
      <c r="C3911" t="s">
        <v>974</v>
      </c>
      <c r="D3911" t="s">
        <v>965</v>
      </c>
      <c r="E3911" t="s">
        <v>686</v>
      </c>
      <c r="F3911" t="s">
        <v>687</v>
      </c>
      <c r="G3911" t="s">
        <v>752</v>
      </c>
      <c r="H3911">
        <v>336</v>
      </c>
      <c r="I3911">
        <v>55.1815</v>
      </c>
      <c r="J3911">
        <v>73.217299999999994</v>
      </c>
      <c r="K3911">
        <v>18.035699999999999</v>
      </c>
      <c r="L3911">
        <v>233</v>
      </c>
      <c r="M3911">
        <v>28</v>
      </c>
      <c r="N3911">
        <v>75</v>
      </c>
      <c r="O3911">
        <v>75.595200000000006</v>
      </c>
      <c r="P3911">
        <v>14.7791</v>
      </c>
      <c r="Q3911">
        <v>17.0093</v>
      </c>
    </row>
    <row r="3912" spans="1:17" x14ac:dyDescent="0.25">
      <c r="A3912" t="str">
        <f>IF(C3912&amp;G3912&amp;D3912&lt;&gt;'Funnel setup'!$K$3&amp;'Funnel setup'!$K$4&amp;'Funnel setup'!$K$6,".",IF(A3911=".",1,A3911+1))</f>
        <v>.</v>
      </c>
      <c r="B3912" s="244" t="str">
        <f t="shared" si="61"/>
        <v>Total Hip ReplacementProviderUNIVERSITY HOSPITALS OF LEICESTER NHS TRUST (RWE)EQ VAS</v>
      </c>
      <c r="C3912" t="s">
        <v>974</v>
      </c>
      <c r="D3912" t="s">
        <v>965</v>
      </c>
      <c r="E3912" t="s">
        <v>688</v>
      </c>
      <c r="F3912" t="s">
        <v>689</v>
      </c>
      <c r="G3912" t="s">
        <v>752</v>
      </c>
      <c r="H3912">
        <v>116</v>
      </c>
      <c r="I3912">
        <v>54.577599999999997</v>
      </c>
      <c r="J3912">
        <v>70.870699999999999</v>
      </c>
      <c r="K3912">
        <v>16.293099999999999</v>
      </c>
      <c r="L3912">
        <v>86</v>
      </c>
      <c r="M3912">
        <v>5</v>
      </c>
      <c r="N3912">
        <v>25</v>
      </c>
      <c r="O3912">
        <v>74.927999999999997</v>
      </c>
      <c r="P3912">
        <v>14.1119</v>
      </c>
      <c r="Q3912">
        <v>15.2738</v>
      </c>
    </row>
    <row r="3913" spans="1:17" x14ac:dyDescent="0.25">
      <c r="A3913" t="str">
        <f>IF(C3913&amp;G3913&amp;D3913&lt;&gt;'Funnel setup'!$K$3&amp;'Funnel setup'!$K$4&amp;'Funnel setup'!$K$6,".",IF(A3912=".",1,A3912+1))</f>
        <v>.</v>
      </c>
      <c r="B3913" s="244" t="str">
        <f t="shared" si="61"/>
        <v>Total Hip ReplacementProviderUNIVERSITY HOSPITALS OF MORECAMBE BAY NHS FOUNDATION TRUST (RTX)EQ VAS</v>
      </c>
      <c r="C3913" t="s">
        <v>974</v>
      </c>
      <c r="D3913" t="s">
        <v>965</v>
      </c>
      <c r="E3913" t="s">
        <v>690</v>
      </c>
      <c r="F3913" t="s">
        <v>691</v>
      </c>
      <c r="G3913" t="s">
        <v>752</v>
      </c>
      <c r="H3913">
        <v>173</v>
      </c>
      <c r="I3913">
        <v>59.173400000000001</v>
      </c>
      <c r="J3913">
        <v>75.283199999999994</v>
      </c>
      <c r="K3913">
        <v>16.1098</v>
      </c>
      <c r="L3913">
        <v>119</v>
      </c>
      <c r="M3913">
        <v>13</v>
      </c>
      <c r="N3913">
        <v>41</v>
      </c>
      <c r="O3913">
        <v>75.300799999999995</v>
      </c>
      <c r="P3913">
        <v>14.4847</v>
      </c>
      <c r="Q3913">
        <v>16.0945</v>
      </c>
    </row>
    <row r="3914" spans="1:17" x14ac:dyDescent="0.25">
      <c r="A3914" t="str">
        <f>IF(C3914&amp;G3914&amp;D3914&lt;&gt;'Funnel setup'!$K$3&amp;'Funnel setup'!$K$4&amp;'Funnel setup'!$K$6,".",IF(A3913=".",1,A3913+1))</f>
        <v>.</v>
      </c>
      <c r="B3914" s="244" t="str">
        <f t="shared" si="61"/>
        <v>Total Hip ReplacementProviderUNIVERSITY HOSPITALS OF NORTH MIDLANDS NHS TRUST (RJE)EQ VAS</v>
      </c>
      <c r="C3914" t="s">
        <v>974</v>
      </c>
      <c r="D3914" t="s">
        <v>965</v>
      </c>
      <c r="E3914" t="s">
        <v>692</v>
      </c>
      <c r="F3914" t="s">
        <v>693</v>
      </c>
      <c r="G3914" t="s">
        <v>752</v>
      </c>
      <c r="H3914">
        <v>28</v>
      </c>
      <c r="I3914">
        <v>58.428600000000003</v>
      </c>
      <c r="J3914">
        <v>77.607100000000003</v>
      </c>
      <c r="K3914">
        <v>19.178599999999999</v>
      </c>
      <c r="L3914">
        <v>22</v>
      </c>
      <c r="M3914">
        <v>2</v>
      </c>
      <c r="N3914">
        <v>4</v>
      </c>
      <c r="O3914" t="s">
        <v>127</v>
      </c>
      <c r="P3914" t="s">
        <v>127</v>
      </c>
      <c r="Q3914" t="s">
        <v>127</v>
      </c>
    </row>
    <row r="3915" spans="1:17" x14ac:dyDescent="0.25">
      <c r="A3915" t="str">
        <f>IF(C3915&amp;G3915&amp;D3915&lt;&gt;'Funnel setup'!$K$3&amp;'Funnel setup'!$K$4&amp;'Funnel setup'!$K$6,".",IF(A3914=".",1,A3914+1))</f>
        <v>.</v>
      </c>
      <c r="B3915" s="244" t="str">
        <f t="shared" si="61"/>
        <v>Total Hip ReplacementProviderUNIVERSITY HOSPITALS PLYMOUTH NHS TRUST (RK9)EQ VAS</v>
      </c>
      <c r="C3915" t="s">
        <v>974</v>
      </c>
      <c r="D3915" t="s">
        <v>965</v>
      </c>
      <c r="E3915" t="s">
        <v>694</v>
      </c>
      <c r="F3915" t="s">
        <v>695</v>
      </c>
      <c r="G3915" t="s">
        <v>752</v>
      </c>
      <c r="H3915">
        <v>6</v>
      </c>
      <c r="I3915">
        <v>47.5</v>
      </c>
      <c r="J3915">
        <v>56.833300000000001</v>
      </c>
      <c r="K3915">
        <v>9.3333300000000001</v>
      </c>
      <c r="L3915">
        <v>2</v>
      </c>
      <c r="M3915">
        <v>2</v>
      </c>
      <c r="N3915">
        <v>2</v>
      </c>
      <c r="O3915" t="s">
        <v>127</v>
      </c>
      <c r="P3915" t="s">
        <v>127</v>
      </c>
      <c r="Q3915" t="s">
        <v>127</v>
      </c>
    </row>
    <row r="3916" spans="1:17" x14ac:dyDescent="0.25">
      <c r="A3916" t="str">
        <f>IF(C3916&amp;G3916&amp;D3916&lt;&gt;'Funnel setup'!$K$3&amp;'Funnel setup'!$K$4&amp;'Funnel setup'!$K$6,".",IF(A3915=".",1,A3915+1))</f>
        <v>.</v>
      </c>
      <c r="B3916" s="244" t="str">
        <f t="shared" si="61"/>
        <v>Total Hip ReplacementProviderUNIVERSITY HOSPITALS SUSSEX NHS FOUNDATION TRUST (RYR)EQ VAS</v>
      </c>
      <c r="C3916" t="s">
        <v>974</v>
      </c>
      <c r="D3916" t="s">
        <v>965</v>
      </c>
      <c r="E3916" t="s">
        <v>696</v>
      </c>
      <c r="F3916" t="s">
        <v>697</v>
      </c>
      <c r="G3916" t="s">
        <v>752</v>
      </c>
      <c r="H3916">
        <v>144</v>
      </c>
      <c r="I3916">
        <v>60.284700000000001</v>
      </c>
      <c r="J3916">
        <v>70.097200000000001</v>
      </c>
      <c r="K3916">
        <v>9.8125</v>
      </c>
      <c r="L3916">
        <v>87</v>
      </c>
      <c r="M3916">
        <v>14</v>
      </c>
      <c r="N3916">
        <v>43</v>
      </c>
      <c r="O3916">
        <v>71.176299999999998</v>
      </c>
      <c r="P3916">
        <v>10.360200000000001</v>
      </c>
      <c r="Q3916">
        <v>18.330300000000001</v>
      </c>
    </row>
    <row r="3917" spans="1:17" x14ac:dyDescent="0.25">
      <c r="A3917" t="str">
        <f>IF(C3917&amp;G3917&amp;D3917&lt;&gt;'Funnel setup'!$K$3&amp;'Funnel setup'!$K$4&amp;'Funnel setup'!$K$6,".",IF(A3916=".",1,A3916+1))</f>
        <v>.</v>
      </c>
      <c r="B3917" s="244" t="str">
        <f t="shared" si="61"/>
        <v>Total Hip ReplacementProviderWALSALL HEALTHCARE NHS TRUST (RBK)EQ VAS</v>
      </c>
      <c r="C3917" t="s">
        <v>974</v>
      </c>
      <c r="D3917" t="s">
        <v>965</v>
      </c>
      <c r="E3917" t="s">
        <v>698</v>
      </c>
      <c r="F3917" t="s">
        <v>699</v>
      </c>
      <c r="G3917" t="s">
        <v>752</v>
      </c>
      <c r="H3917">
        <v>13</v>
      </c>
      <c r="I3917">
        <v>64.923100000000005</v>
      </c>
      <c r="J3917">
        <v>66.615399999999994</v>
      </c>
      <c r="K3917">
        <v>1.69231</v>
      </c>
      <c r="L3917">
        <v>8</v>
      </c>
      <c r="M3917">
        <v>0</v>
      </c>
      <c r="N3917">
        <v>5</v>
      </c>
      <c r="O3917" t="s">
        <v>127</v>
      </c>
      <c r="P3917" t="s">
        <v>127</v>
      </c>
      <c r="Q3917" t="s">
        <v>127</v>
      </c>
    </row>
    <row r="3918" spans="1:17" x14ac:dyDescent="0.25">
      <c r="A3918" t="str">
        <f>IF(C3918&amp;G3918&amp;D3918&lt;&gt;'Funnel setup'!$K$3&amp;'Funnel setup'!$K$4&amp;'Funnel setup'!$K$6,".",IF(A3917=".",1,A3917+1))</f>
        <v>.</v>
      </c>
      <c r="B3918" s="244" t="str">
        <f t="shared" si="61"/>
        <v>Total Hip ReplacementProviderWARRINGTON AND HALTON TEACHING HOSPITALS NHS FOUNDATION TRUST (RWW)EQ VAS</v>
      </c>
      <c r="C3918" t="s">
        <v>974</v>
      </c>
      <c r="D3918" t="s">
        <v>965</v>
      </c>
      <c r="E3918" t="s">
        <v>700</v>
      </c>
      <c r="F3918" t="s">
        <v>701</v>
      </c>
      <c r="G3918" t="s">
        <v>752</v>
      </c>
      <c r="H3918">
        <v>29</v>
      </c>
      <c r="I3918">
        <v>56.103400000000001</v>
      </c>
      <c r="J3918">
        <v>76.551699999999997</v>
      </c>
      <c r="K3918">
        <v>20.4483</v>
      </c>
      <c r="L3918">
        <v>22</v>
      </c>
      <c r="M3918">
        <v>1</v>
      </c>
      <c r="N3918">
        <v>6</v>
      </c>
      <c r="O3918" t="s">
        <v>127</v>
      </c>
      <c r="P3918" t="s">
        <v>127</v>
      </c>
      <c r="Q3918" t="s">
        <v>127</v>
      </c>
    </row>
    <row r="3919" spans="1:17" x14ac:dyDescent="0.25">
      <c r="A3919" t="str">
        <f>IF(C3919&amp;G3919&amp;D3919&lt;&gt;'Funnel setup'!$K$3&amp;'Funnel setup'!$K$4&amp;'Funnel setup'!$K$6,".",IF(A3918=".",1,A3918+1))</f>
        <v>.</v>
      </c>
      <c r="B3919" s="244" t="str">
        <f t="shared" si="61"/>
        <v>Total Hip ReplacementProviderWEST HERTFORDSHIRE TEACHING HOSPITALS NHS TRUST (RWG)EQ VAS</v>
      </c>
      <c r="C3919" t="s">
        <v>974</v>
      </c>
      <c r="D3919" t="s">
        <v>965</v>
      </c>
      <c r="E3919" t="s">
        <v>702</v>
      </c>
      <c r="F3919" t="s">
        <v>703</v>
      </c>
      <c r="G3919" t="s">
        <v>752</v>
      </c>
      <c r="H3919">
        <v>85</v>
      </c>
      <c r="I3919">
        <v>56.788200000000003</v>
      </c>
      <c r="J3919">
        <v>75.023499999999999</v>
      </c>
      <c r="K3919">
        <v>18.235299999999999</v>
      </c>
      <c r="L3919">
        <v>66</v>
      </c>
      <c r="M3919">
        <v>3</v>
      </c>
      <c r="N3919">
        <v>16</v>
      </c>
      <c r="O3919">
        <v>75.614699999999999</v>
      </c>
      <c r="P3919">
        <v>14.7986</v>
      </c>
      <c r="Q3919">
        <v>19.090199999999999</v>
      </c>
    </row>
    <row r="3920" spans="1:17" x14ac:dyDescent="0.25">
      <c r="A3920" t="str">
        <f>IF(C3920&amp;G3920&amp;D3920&lt;&gt;'Funnel setup'!$K$3&amp;'Funnel setup'!$K$4&amp;'Funnel setup'!$K$6,".",IF(A3919=".",1,A3919+1))</f>
        <v>.</v>
      </c>
      <c r="B3920" s="244" t="str">
        <f t="shared" si="61"/>
        <v>Total Hip ReplacementProviderWEST MIDLANDS HOSPITAL (NVC21)EQ VAS</v>
      </c>
      <c r="C3920" t="s">
        <v>974</v>
      </c>
      <c r="D3920" t="s">
        <v>965</v>
      </c>
      <c r="E3920" t="s">
        <v>704</v>
      </c>
      <c r="F3920" t="s">
        <v>705</v>
      </c>
      <c r="G3920" t="s">
        <v>752</v>
      </c>
      <c r="H3920">
        <v>77</v>
      </c>
      <c r="I3920">
        <v>60.584400000000002</v>
      </c>
      <c r="J3920">
        <v>78.480500000000006</v>
      </c>
      <c r="K3920">
        <v>17.896100000000001</v>
      </c>
      <c r="L3920">
        <v>62</v>
      </c>
      <c r="M3920">
        <v>4</v>
      </c>
      <c r="N3920">
        <v>11</v>
      </c>
      <c r="O3920">
        <v>78.797799999999995</v>
      </c>
      <c r="P3920">
        <v>17.9817</v>
      </c>
      <c r="Q3920">
        <v>14.4307</v>
      </c>
    </row>
    <row r="3921" spans="1:17" x14ac:dyDescent="0.25">
      <c r="A3921" t="str">
        <f>IF(C3921&amp;G3921&amp;D3921&lt;&gt;'Funnel setup'!$K$3&amp;'Funnel setup'!$K$4&amp;'Funnel setup'!$K$6,".",IF(A3920=".",1,A3920+1))</f>
        <v>.</v>
      </c>
      <c r="B3921" s="244" t="str">
        <f t="shared" si="61"/>
        <v>Total Hip ReplacementProviderWEST SUFFOLK NHS FOUNDATION TRUST (RGR)EQ VAS</v>
      </c>
      <c r="C3921" t="s">
        <v>974</v>
      </c>
      <c r="D3921" t="s">
        <v>965</v>
      </c>
      <c r="E3921" t="s">
        <v>706</v>
      </c>
      <c r="F3921" t="s">
        <v>707</v>
      </c>
      <c r="G3921" t="s">
        <v>752</v>
      </c>
      <c r="H3921">
        <v>121</v>
      </c>
      <c r="I3921">
        <v>55.454500000000003</v>
      </c>
      <c r="J3921">
        <v>73.123999999999995</v>
      </c>
      <c r="K3921">
        <v>17.6694</v>
      </c>
      <c r="L3921">
        <v>79</v>
      </c>
      <c r="M3921">
        <v>11</v>
      </c>
      <c r="N3921">
        <v>31</v>
      </c>
      <c r="O3921">
        <v>73.158500000000004</v>
      </c>
      <c r="P3921">
        <v>12.3423</v>
      </c>
      <c r="Q3921">
        <v>18.7151</v>
      </c>
    </row>
    <row r="3922" spans="1:17" x14ac:dyDescent="0.25">
      <c r="A3922" t="str">
        <f>IF(C3922&amp;G3922&amp;D3922&lt;&gt;'Funnel setup'!$K$3&amp;'Funnel setup'!$K$4&amp;'Funnel setup'!$K$6,".",IF(A3921=".",1,A3921+1))</f>
        <v>.</v>
      </c>
      <c r="B3922" s="244" t="str">
        <f t="shared" si="61"/>
        <v>Total Hip ReplacementProviderWINFIELD HOSPITAL (NVC22)EQ VAS</v>
      </c>
      <c r="C3922" t="s">
        <v>974</v>
      </c>
      <c r="D3922" t="s">
        <v>965</v>
      </c>
      <c r="E3922" t="s">
        <v>710</v>
      </c>
      <c r="F3922" t="s">
        <v>711</v>
      </c>
      <c r="G3922" t="s">
        <v>752</v>
      </c>
      <c r="H3922">
        <v>45</v>
      </c>
      <c r="I3922">
        <v>56.444400000000002</v>
      </c>
      <c r="J3922">
        <v>76.755600000000001</v>
      </c>
      <c r="K3922">
        <v>20.3111</v>
      </c>
      <c r="L3922">
        <v>35</v>
      </c>
      <c r="M3922">
        <v>7</v>
      </c>
      <c r="N3922">
        <v>3</v>
      </c>
      <c r="O3922">
        <v>76.453199999999995</v>
      </c>
      <c r="P3922">
        <v>15.6371</v>
      </c>
      <c r="Q3922">
        <v>14.754200000000001</v>
      </c>
    </row>
    <row r="3923" spans="1:17" x14ac:dyDescent="0.25">
      <c r="A3923" t="str">
        <f>IF(C3923&amp;G3923&amp;D3923&lt;&gt;'Funnel setup'!$K$3&amp;'Funnel setup'!$K$4&amp;'Funnel setup'!$K$6,".",IF(A3922=".",1,A3922+1))</f>
        <v>.</v>
      </c>
      <c r="B3923" s="244" t="str">
        <f t="shared" si="61"/>
        <v>Total Hip ReplacementProviderWINTERBOURNE HOSPITAL (NT443)EQ VAS</v>
      </c>
      <c r="C3923" t="s">
        <v>974</v>
      </c>
      <c r="D3923" t="s">
        <v>965</v>
      </c>
      <c r="E3923" t="s">
        <v>712</v>
      </c>
      <c r="F3923" t="s">
        <v>713</v>
      </c>
      <c r="G3923" t="s">
        <v>752</v>
      </c>
      <c r="H3923">
        <v>46</v>
      </c>
      <c r="I3923">
        <v>63.912999999999997</v>
      </c>
      <c r="J3923">
        <v>81.347800000000007</v>
      </c>
      <c r="K3923">
        <v>17.434799999999999</v>
      </c>
      <c r="L3923">
        <v>36</v>
      </c>
      <c r="M3923">
        <v>4</v>
      </c>
      <c r="N3923">
        <v>6</v>
      </c>
      <c r="O3923">
        <v>79.0655</v>
      </c>
      <c r="P3923">
        <v>18.249400000000001</v>
      </c>
      <c r="Q3923">
        <v>15.833500000000001</v>
      </c>
    </row>
    <row r="3924" spans="1:17" x14ac:dyDescent="0.25">
      <c r="A3924" t="str">
        <f>IF(C3924&amp;G3924&amp;D3924&lt;&gt;'Funnel setup'!$K$3&amp;'Funnel setup'!$K$4&amp;'Funnel setup'!$K$6,".",IF(A3923=".",1,A3923+1))</f>
        <v>.</v>
      </c>
      <c r="B3924" s="244" t="str">
        <f t="shared" si="61"/>
        <v>Total Hip ReplacementProviderWIRRAL UNIVERSITY TEACHING HOSPITAL NHS FOUNDATION TRUST (RBL)EQ VAS</v>
      </c>
      <c r="C3924" t="s">
        <v>974</v>
      </c>
      <c r="D3924" t="s">
        <v>965</v>
      </c>
      <c r="E3924" t="s">
        <v>714</v>
      </c>
      <c r="F3924" t="s">
        <v>715</v>
      </c>
      <c r="G3924" t="s">
        <v>752</v>
      </c>
      <c r="H3924">
        <v>98</v>
      </c>
      <c r="I3924">
        <v>59.448999999999998</v>
      </c>
      <c r="J3924">
        <v>76.224500000000006</v>
      </c>
      <c r="K3924">
        <v>16.775500000000001</v>
      </c>
      <c r="L3924">
        <v>70</v>
      </c>
      <c r="M3924">
        <v>8</v>
      </c>
      <c r="N3924">
        <v>20</v>
      </c>
      <c r="O3924">
        <v>76.491799999999998</v>
      </c>
      <c r="P3924">
        <v>15.675700000000001</v>
      </c>
      <c r="Q3924">
        <v>15.3644</v>
      </c>
    </row>
    <row r="3925" spans="1:17" x14ac:dyDescent="0.25">
      <c r="A3925" t="str">
        <f>IF(C3925&amp;G3925&amp;D3925&lt;&gt;'Funnel setup'!$K$3&amp;'Funnel setup'!$K$4&amp;'Funnel setup'!$K$6,".",IF(A3924=".",1,A3924+1))</f>
        <v>.</v>
      </c>
      <c r="B3925" s="244" t="str">
        <f t="shared" si="61"/>
        <v>Total Hip ReplacementProviderWOODLAND HOSPITAL (NVC23)EQ VAS</v>
      </c>
      <c r="C3925" t="s">
        <v>974</v>
      </c>
      <c r="D3925" t="s">
        <v>965</v>
      </c>
      <c r="E3925" t="s">
        <v>716</v>
      </c>
      <c r="F3925" t="s">
        <v>717</v>
      </c>
      <c r="G3925" t="s">
        <v>752</v>
      </c>
      <c r="H3925">
        <v>75</v>
      </c>
      <c r="I3925">
        <v>57</v>
      </c>
      <c r="J3925">
        <v>74.368399999999994</v>
      </c>
      <c r="K3925">
        <v>17.368400000000001</v>
      </c>
      <c r="L3925">
        <v>55</v>
      </c>
      <c r="M3925">
        <v>7</v>
      </c>
      <c r="N3925">
        <v>13</v>
      </c>
      <c r="O3925">
        <v>73.871300000000005</v>
      </c>
      <c r="P3925">
        <v>13.055199999999999</v>
      </c>
      <c r="Q3925">
        <v>15.685700000000001</v>
      </c>
    </row>
    <row r="3926" spans="1:17" x14ac:dyDescent="0.25">
      <c r="A3926" t="str">
        <f>IF(C3926&amp;G3926&amp;D3926&lt;&gt;'Funnel setup'!$K$3&amp;'Funnel setup'!$K$4&amp;'Funnel setup'!$K$6,".",IF(A3925=".",1,A3925+1))</f>
        <v>.</v>
      </c>
      <c r="B3926" s="244" t="str">
        <f t="shared" si="61"/>
        <v>Total Hip ReplacementProviderWOODLANDS HOSPITAL (NT457)EQ VAS</v>
      </c>
      <c r="C3926" t="s">
        <v>974</v>
      </c>
      <c r="D3926" t="s">
        <v>965</v>
      </c>
      <c r="E3926" t="s">
        <v>718</v>
      </c>
      <c r="F3926" t="s">
        <v>719</v>
      </c>
      <c r="G3926" t="s">
        <v>752</v>
      </c>
      <c r="H3926">
        <v>66</v>
      </c>
      <c r="I3926">
        <v>64.044799999999995</v>
      </c>
      <c r="J3926">
        <v>78.985100000000003</v>
      </c>
      <c r="K3926">
        <v>14.940300000000001</v>
      </c>
      <c r="L3926">
        <v>43</v>
      </c>
      <c r="M3926">
        <v>10</v>
      </c>
      <c r="N3926">
        <v>13</v>
      </c>
      <c r="O3926">
        <v>74.2697</v>
      </c>
      <c r="P3926">
        <v>13.4536</v>
      </c>
      <c r="Q3926">
        <v>16.163599999999999</v>
      </c>
    </row>
    <row r="3927" spans="1:17" x14ac:dyDescent="0.25">
      <c r="A3927" t="str">
        <f>IF(C3927&amp;G3927&amp;D3927&lt;&gt;'Funnel setup'!$K$3&amp;'Funnel setup'!$K$4&amp;'Funnel setup'!$K$6,".",IF(A3926=".",1,A3926+1))</f>
        <v>.</v>
      </c>
      <c r="B3927" s="244" t="str">
        <f t="shared" si="61"/>
        <v>Total Hip ReplacementProviderWOODTHORPE HOSPITAL (NVC40)EQ VAS</v>
      </c>
      <c r="C3927" t="s">
        <v>974</v>
      </c>
      <c r="D3927" t="s">
        <v>965</v>
      </c>
      <c r="E3927" t="s">
        <v>720</v>
      </c>
      <c r="F3927" t="s">
        <v>721</v>
      </c>
      <c r="G3927" t="s">
        <v>752</v>
      </c>
      <c r="H3927">
        <v>87</v>
      </c>
      <c r="I3927">
        <v>57.264400000000002</v>
      </c>
      <c r="J3927">
        <v>74.206900000000005</v>
      </c>
      <c r="K3927">
        <v>16.942499999999999</v>
      </c>
      <c r="L3927">
        <v>65</v>
      </c>
      <c r="M3927">
        <v>8</v>
      </c>
      <c r="N3927">
        <v>14</v>
      </c>
      <c r="O3927">
        <v>73.058000000000007</v>
      </c>
      <c r="P3927">
        <v>12.241899999999999</v>
      </c>
      <c r="Q3927">
        <v>15.733499999999999</v>
      </c>
    </row>
    <row r="3928" spans="1:17" x14ac:dyDescent="0.25">
      <c r="A3928" t="str">
        <f>IF(C3928&amp;G3928&amp;D3928&lt;&gt;'Funnel setup'!$K$3&amp;'Funnel setup'!$K$4&amp;'Funnel setup'!$K$6,".",IF(A3927=".",1,A3927+1))</f>
        <v>.</v>
      </c>
      <c r="B3928" s="244" t="str">
        <f t="shared" si="61"/>
        <v>Total Hip ReplacementProviderWORCESTERSHIRE ACUTE HOSPITALS NHS TRUST (RWP)EQ VAS</v>
      </c>
      <c r="C3928" t="s">
        <v>974</v>
      </c>
      <c r="D3928" t="s">
        <v>965</v>
      </c>
      <c r="E3928" t="s">
        <v>722</v>
      </c>
      <c r="F3928" t="s">
        <v>723</v>
      </c>
      <c r="G3928" t="s">
        <v>752</v>
      </c>
      <c r="H3928">
        <v>56</v>
      </c>
      <c r="I3928">
        <v>56.071399999999997</v>
      </c>
      <c r="J3928">
        <v>70.803600000000003</v>
      </c>
      <c r="K3928">
        <v>14.732100000000001</v>
      </c>
      <c r="L3928">
        <v>38</v>
      </c>
      <c r="M3928">
        <v>5</v>
      </c>
      <c r="N3928">
        <v>13</v>
      </c>
      <c r="O3928">
        <v>75.4084</v>
      </c>
      <c r="P3928">
        <v>14.5923</v>
      </c>
      <c r="Q3928">
        <v>13.9674</v>
      </c>
    </row>
    <row r="3929" spans="1:17" x14ac:dyDescent="0.25">
      <c r="A3929" t="str">
        <f>IF(C3929&amp;G3929&amp;D3929&lt;&gt;'Funnel setup'!$K$3&amp;'Funnel setup'!$K$4&amp;'Funnel setup'!$K$6,".",IF(A3928=".",1,A3928+1))</f>
        <v>.</v>
      </c>
      <c r="B3929" s="244" t="str">
        <f t="shared" si="61"/>
        <v>Total Hip ReplacementProviderWRIGHTINGTON, WIGAN AND LEIGH NHS FOUNDATION TRUST (RRF)EQ VAS</v>
      </c>
      <c r="C3929" t="s">
        <v>974</v>
      </c>
      <c r="D3929" t="s">
        <v>965</v>
      </c>
      <c r="E3929" t="s">
        <v>724</v>
      </c>
      <c r="F3929" t="s">
        <v>725</v>
      </c>
      <c r="G3929" t="s">
        <v>752</v>
      </c>
      <c r="H3929">
        <v>11</v>
      </c>
      <c r="I3929">
        <v>62.909100000000002</v>
      </c>
      <c r="J3929">
        <v>83.363600000000005</v>
      </c>
      <c r="K3929">
        <v>20.454499999999999</v>
      </c>
      <c r="L3929">
        <v>7</v>
      </c>
      <c r="M3929">
        <v>1</v>
      </c>
      <c r="N3929">
        <v>3</v>
      </c>
      <c r="O3929" t="s">
        <v>127</v>
      </c>
      <c r="P3929" t="s">
        <v>127</v>
      </c>
      <c r="Q3929" t="s">
        <v>127</v>
      </c>
    </row>
    <row r="3930" spans="1:17" x14ac:dyDescent="0.25">
      <c r="A3930" t="str">
        <f>IF(C3930&amp;G3930&amp;D3930&lt;&gt;'Funnel setup'!$K$3&amp;'Funnel setup'!$K$4&amp;'Funnel setup'!$K$6,".",IF(A3929=".",1,A3929+1))</f>
        <v>.</v>
      </c>
      <c r="B3930" s="244" t="str">
        <f t="shared" si="61"/>
        <v>Total Hip ReplacementProviderWYE VALLEY NHS TRUST (RLQ)EQ VAS</v>
      </c>
      <c r="C3930" t="s">
        <v>974</v>
      </c>
      <c r="D3930" t="s">
        <v>965</v>
      </c>
      <c r="E3930" t="s">
        <v>726</v>
      </c>
      <c r="F3930" t="s">
        <v>727</v>
      </c>
      <c r="G3930" t="s">
        <v>752</v>
      </c>
      <c r="H3930">
        <v>20</v>
      </c>
      <c r="I3930">
        <v>54.45</v>
      </c>
      <c r="J3930">
        <v>76.8</v>
      </c>
      <c r="K3930">
        <v>22.35</v>
      </c>
      <c r="L3930">
        <v>17</v>
      </c>
      <c r="M3930">
        <v>3</v>
      </c>
      <c r="N3930">
        <v>0</v>
      </c>
      <c r="O3930" t="s">
        <v>127</v>
      </c>
      <c r="P3930" t="s">
        <v>127</v>
      </c>
      <c r="Q3930" t="s">
        <v>127</v>
      </c>
    </row>
    <row r="3931" spans="1:17" x14ac:dyDescent="0.25">
      <c r="A3931" t="str">
        <f>IF(C3931&amp;G3931&amp;D3931&lt;&gt;'Funnel setup'!$K$3&amp;'Funnel setup'!$K$4&amp;'Funnel setup'!$K$6,".",IF(A3930=".",1,A3930+1))</f>
        <v>.</v>
      </c>
      <c r="B3931" s="244" t="str">
        <f t="shared" si="61"/>
        <v>Total Hip ReplacementProviderYORK AND SCARBOROUGH TEACHING HOSPITALS NHS FOUNDATION TRUST (RCB)EQ VAS</v>
      </c>
      <c r="C3931" t="s">
        <v>974</v>
      </c>
      <c r="D3931" t="s">
        <v>965</v>
      </c>
      <c r="E3931" t="s">
        <v>730</v>
      </c>
      <c r="F3931" t="s">
        <v>731</v>
      </c>
      <c r="G3931" t="s">
        <v>752</v>
      </c>
      <c r="H3931">
        <v>1</v>
      </c>
      <c r="I3931">
        <v>70</v>
      </c>
      <c r="J3931">
        <v>70</v>
      </c>
      <c r="K3931">
        <v>0</v>
      </c>
      <c r="L3931">
        <v>0</v>
      </c>
      <c r="M3931">
        <v>1</v>
      </c>
      <c r="N3931">
        <v>0</v>
      </c>
      <c r="O3931" t="s">
        <v>127</v>
      </c>
      <c r="P3931" t="s">
        <v>127</v>
      </c>
      <c r="Q3931" t="s">
        <v>127</v>
      </c>
    </row>
    <row r="3932" spans="1:17" x14ac:dyDescent="0.25">
      <c r="A3932" t="str">
        <f>IF(C3932&amp;G3932&amp;D3932&lt;&gt;'Funnel setup'!$K$3&amp;'Funnel setup'!$K$4&amp;'Funnel setup'!$K$6,".",IF(A3931=".",1,A3931+1))</f>
        <v>.</v>
      </c>
      <c r="B3932" s="244" t="str">
        <f t="shared" si="61"/>
        <v>Total Hip ReplacementProviderSULIS HOSPITAL BATHEQ-5D Index</v>
      </c>
      <c r="C3932" t="s">
        <v>974</v>
      </c>
      <c r="D3932" t="s">
        <v>965</v>
      </c>
      <c r="E3932" t="s">
        <v>732</v>
      </c>
      <c r="F3932" t="s">
        <v>1325</v>
      </c>
      <c r="G3932" t="s">
        <v>963</v>
      </c>
      <c r="H3932">
        <v>36</v>
      </c>
      <c r="I3932">
        <v>0.34949999999999998</v>
      </c>
      <c r="J3932">
        <v>0.83625000000000005</v>
      </c>
      <c r="K3932">
        <v>0.48675000000000002</v>
      </c>
      <c r="L3932">
        <v>33</v>
      </c>
      <c r="M3932">
        <v>2</v>
      </c>
      <c r="N3932">
        <v>1</v>
      </c>
      <c r="O3932">
        <v>0.81732499999999997</v>
      </c>
      <c r="P3932">
        <v>0.48976900000000001</v>
      </c>
      <c r="Q3932">
        <v>0.209948</v>
      </c>
    </row>
    <row r="3933" spans="1:17" x14ac:dyDescent="0.25">
      <c r="A3933" t="str">
        <f>IF(C3933&amp;G3933&amp;D3933&lt;&gt;'Funnel setup'!$K$3&amp;'Funnel setup'!$K$4&amp;'Funnel setup'!$K$6,".",IF(A3932=".",1,A3932+1))</f>
        <v>.</v>
      </c>
      <c r="B3933" s="244" t="str">
        <f t="shared" si="61"/>
        <v>Total Hip ReplacementProviderAIREDALE NHS FOUNDATION TRUST (RCF)EQ-5D Index</v>
      </c>
      <c r="C3933" t="s">
        <v>974</v>
      </c>
      <c r="D3933" t="s">
        <v>965</v>
      </c>
      <c r="E3933" t="s">
        <v>125</v>
      </c>
      <c r="F3933" t="s">
        <v>126</v>
      </c>
      <c r="G3933" t="s">
        <v>963</v>
      </c>
      <c r="H3933">
        <v>40</v>
      </c>
      <c r="I3933">
        <v>0.32487500000000002</v>
      </c>
      <c r="J3933">
        <v>0.83774999999999999</v>
      </c>
      <c r="K3933">
        <v>0.51287499999999997</v>
      </c>
      <c r="L3933">
        <v>38</v>
      </c>
      <c r="M3933">
        <v>1</v>
      </c>
      <c r="N3933">
        <v>1</v>
      </c>
      <c r="O3933">
        <v>0.82575900000000002</v>
      </c>
      <c r="P3933">
        <v>0.49820300000000001</v>
      </c>
      <c r="Q3933">
        <v>0.17091300000000001</v>
      </c>
    </row>
    <row r="3934" spans="1:17" x14ac:dyDescent="0.25">
      <c r="A3934" t="str">
        <f>IF(C3934&amp;G3934&amp;D3934&lt;&gt;'Funnel setup'!$K$3&amp;'Funnel setup'!$K$4&amp;'Funnel setup'!$K$6,".",IF(A3933=".",1,A3933+1))</f>
        <v>.</v>
      </c>
      <c r="B3934" s="244" t="str">
        <f t="shared" si="61"/>
        <v>Total Hip ReplacementProviderALEXANDRA HOSPITAL (NT401)EQ-5D Index</v>
      </c>
      <c r="C3934" t="s">
        <v>974</v>
      </c>
      <c r="D3934" t="s">
        <v>965</v>
      </c>
      <c r="E3934" t="s">
        <v>130</v>
      </c>
      <c r="F3934" t="s">
        <v>131</v>
      </c>
      <c r="G3934" t="s">
        <v>963</v>
      </c>
      <c r="H3934">
        <v>30</v>
      </c>
      <c r="I3934">
        <v>0.37283300000000003</v>
      </c>
      <c r="J3934">
        <v>0.79490000000000005</v>
      </c>
      <c r="K3934">
        <v>0.42206700000000003</v>
      </c>
      <c r="L3934">
        <v>28</v>
      </c>
      <c r="M3934">
        <v>1</v>
      </c>
      <c r="N3934">
        <v>1</v>
      </c>
      <c r="O3934">
        <v>0.76344699999999999</v>
      </c>
      <c r="P3934">
        <v>0.43589099999999997</v>
      </c>
      <c r="Q3934">
        <v>0.21543899999999999</v>
      </c>
    </row>
    <row r="3935" spans="1:17" x14ac:dyDescent="0.25">
      <c r="A3935" t="str">
        <f>IF(C3935&amp;G3935&amp;D3935&lt;&gt;'Funnel setup'!$K$3&amp;'Funnel setup'!$K$4&amp;'Funnel setup'!$K$6,".",IF(A3934=".",1,A3934+1))</f>
        <v>.</v>
      </c>
      <c r="B3935" s="244" t="str">
        <f t="shared" si="61"/>
        <v>Total Hip ReplacementProviderASHFORD AND ST PETER'S HOSPITALS NHS FOUNDATION TRUST (RTK)EQ-5D Index</v>
      </c>
      <c r="C3935" t="s">
        <v>974</v>
      </c>
      <c r="D3935" t="s">
        <v>965</v>
      </c>
      <c r="E3935" t="s">
        <v>132</v>
      </c>
      <c r="F3935" t="s">
        <v>133</v>
      </c>
      <c r="G3935" t="s">
        <v>963</v>
      </c>
      <c r="H3935">
        <v>63</v>
      </c>
      <c r="I3935">
        <v>0.36922199999999999</v>
      </c>
      <c r="J3935">
        <v>0.82309500000000002</v>
      </c>
      <c r="K3935">
        <v>0.45387300000000003</v>
      </c>
      <c r="L3935">
        <v>56</v>
      </c>
      <c r="M3935">
        <v>2</v>
      </c>
      <c r="N3935">
        <v>5</v>
      </c>
      <c r="O3935">
        <v>0.7883</v>
      </c>
      <c r="P3935">
        <v>0.46074399999999999</v>
      </c>
      <c r="Q3935">
        <v>0.19447900000000001</v>
      </c>
    </row>
    <row r="3936" spans="1:17" x14ac:dyDescent="0.25">
      <c r="A3936" t="str">
        <f>IF(C3936&amp;G3936&amp;D3936&lt;&gt;'Funnel setup'!$K$3&amp;'Funnel setup'!$K$4&amp;'Funnel setup'!$K$6,".",IF(A3935=".",1,A3935+1))</f>
        <v>.</v>
      </c>
      <c r="B3936" s="244" t="str">
        <f t="shared" si="61"/>
        <v>Total Hip ReplacementProviderASHTEAD HOSPITAL (NVC01)EQ-5D Index</v>
      </c>
      <c r="C3936" t="s">
        <v>974</v>
      </c>
      <c r="D3936" t="s">
        <v>965</v>
      </c>
      <c r="E3936" t="s">
        <v>134</v>
      </c>
      <c r="F3936" t="s">
        <v>135</v>
      </c>
      <c r="G3936" t="s">
        <v>963</v>
      </c>
      <c r="H3936">
        <v>12</v>
      </c>
      <c r="I3936">
        <v>0.32574999999999998</v>
      </c>
      <c r="J3936">
        <v>0.89866699999999999</v>
      </c>
      <c r="K3936">
        <v>0.57291700000000001</v>
      </c>
      <c r="L3936">
        <v>12</v>
      </c>
      <c r="M3936">
        <v>0</v>
      </c>
      <c r="N3936">
        <v>0</v>
      </c>
      <c r="O3936" t="s">
        <v>127</v>
      </c>
      <c r="P3936" t="s">
        <v>127</v>
      </c>
      <c r="Q3936" t="s">
        <v>127</v>
      </c>
    </row>
    <row r="3937" spans="1:17" x14ac:dyDescent="0.25">
      <c r="A3937" t="str">
        <f>IF(C3937&amp;G3937&amp;D3937&lt;&gt;'Funnel setup'!$K$3&amp;'Funnel setup'!$K$4&amp;'Funnel setup'!$K$6,".",IF(A3936=".",1,A3936+1))</f>
        <v>.</v>
      </c>
      <c r="B3937" s="244" t="str">
        <f t="shared" si="61"/>
        <v>Total Hip ReplacementProviderBARKING, HAVERING AND REDBRIDGE UNIVERSITY HOSPITALS NHS TRUST (RF4)EQ-5D Index</v>
      </c>
      <c r="C3937" t="s">
        <v>974</v>
      </c>
      <c r="D3937" t="s">
        <v>965</v>
      </c>
      <c r="E3937" t="s">
        <v>144</v>
      </c>
      <c r="F3937" t="s">
        <v>145</v>
      </c>
      <c r="G3937" t="s">
        <v>963</v>
      </c>
      <c r="H3937">
        <v>51</v>
      </c>
      <c r="I3937">
        <v>0.19633300000000001</v>
      </c>
      <c r="J3937">
        <v>0.695627</v>
      </c>
      <c r="K3937">
        <v>0.49929400000000002</v>
      </c>
      <c r="L3937">
        <v>45</v>
      </c>
      <c r="M3937">
        <v>4</v>
      </c>
      <c r="N3937">
        <v>2</v>
      </c>
      <c r="O3937">
        <v>0.74532500000000002</v>
      </c>
      <c r="P3937">
        <v>0.417769</v>
      </c>
      <c r="Q3937">
        <v>0.28366000000000002</v>
      </c>
    </row>
    <row r="3938" spans="1:17" x14ac:dyDescent="0.25">
      <c r="A3938" t="str">
        <f>IF(C3938&amp;G3938&amp;D3938&lt;&gt;'Funnel setup'!$K$3&amp;'Funnel setup'!$K$4&amp;'Funnel setup'!$K$6,".",IF(A3937=".",1,A3937+1))</f>
        <v>.</v>
      </c>
      <c r="B3938" s="244" t="str">
        <f t="shared" si="61"/>
        <v>Total Hip ReplacementProviderBARNSLEY HOSPITAL NHS FOUNDATION TRUST (RFF)EQ-5D Index</v>
      </c>
      <c r="C3938" t="s">
        <v>974</v>
      </c>
      <c r="D3938" t="s">
        <v>965</v>
      </c>
      <c r="E3938" t="s">
        <v>146</v>
      </c>
      <c r="F3938" t="s">
        <v>147</v>
      </c>
      <c r="G3938" t="s">
        <v>963</v>
      </c>
      <c r="H3938">
        <v>41</v>
      </c>
      <c r="I3938">
        <v>0.237293</v>
      </c>
      <c r="J3938">
        <v>0.71826800000000002</v>
      </c>
      <c r="K3938">
        <v>0.48097600000000001</v>
      </c>
      <c r="L3938">
        <v>38</v>
      </c>
      <c r="M3938">
        <v>1</v>
      </c>
      <c r="N3938">
        <v>2</v>
      </c>
      <c r="O3938">
        <v>0.76245300000000005</v>
      </c>
      <c r="P3938">
        <v>0.43489699999999998</v>
      </c>
      <c r="Q3938">
        <v>0.15207499999999999</v>
      </c>
    </row>
    <row r="3939" spans="1:17" x14ac:dyDescent="0.25">
      <c r="A3939" t="str">
        <f>IF(C3939&amp;G3939&amp;D3939&lt;&gt;'Funnel setup'!$K$3&amp;'Funnel setup'!$K$4&amp;'Funnel setup'!$K$6,".",IF(A3938=".",1,A3938+1))</f>
        <v>.</v>
      </c>
      <c r="B3939" s="244" t="str">
        <f t="shared" si="61"/>
        <v>Total Hip ReplacementProviderBARTS HEALTH NHS TRUST (R1H)EQ-5D Index</v>
      </c>
      <c r="C3939" t="s">
        <v>974</v>
      </c>
      <c r="D3939" t="s">
        <v>965</v>
      </c>
      <c r="E3939" t="s">
        <v>148</v>
      </c>
      <c r="F3939" t="s">
        <v>149</v>
      </c>
      <c r="G3939" t="s">
        <v>963</v>
      </c>
      <c r="H3939">
        <v>39</v>
      </c>
      <c r="I3939">
        <v>0.33959</v>
      </c>
      <c r="J3939">
        <v>0.76084600000000002</v>
      </c>
      <c r="K3939">
        <v>0.42125600000000002</v>
      </c>
      <c r="L3939">
        <v>34</v>
      </c>
      <c r="M3939">
        <v>2</v>
      </c>
      <c r="N3939">
        <v>3</v>
      </c>
      <c r="O3939">
        <v>0.77072300000000005</v>
      </c>
      <c r="P3939">
        <v>0.44316699999999998</v>
      </c>
      <c r="Q3939">
        <v>0.241921</v>
      </c>
    </row>
    <row r="3940" spans="1:17" x14ac:dyDescent="0.25">
      <c r="A3940" t="str">
        <f>IF(C3940&amp;G3940&amp;D3940&lt;&gt;'Funnel setup'!$K$3&amp;'Funnel setup'!$K$4&amp;'Funnel setup'!$K$6,".",IF(A3939=".",1,A3939+1))</f>
        <v>.</v>
      </c>
      <c r="B3940" s="244" t="str">
        <f t="shared" si="61"/>
        <v>Total Hip ReplacementProviderBATH CLINIC (NT402)EQ-5D Index</v>
      </c>
      <c r="C3940" t="s">
        <v>974</v>
      </c>
      <c r="D3940" t="s">
        <v>965</v>
      </c>
      <c r="E3940" t="s">
        <v>152</v>
      </c>
      <c r="F3940" t="s">
        <v>153</v>
      </c>
      <c r="G3940" t="s">
        <v>963</v>
      </c>
      <c r="H3940">
        <v>76</v>
      </c>
      <c r="I3940">
        <v>0.47964499999999999</v>
      </c>
      <c r="J3940">
        <v>0.83648699999999998</v>
      </c>
      <c r="K3940">
        <v>0.35684199999999999</v>
      </c>
      <c r="L3940">
        <v>67</v>
      </c>
      <c r="M3940">
        <v>4</v>
      </c>
      <c r="N3940">
        <v>5</v>
      </c>
      <c r="O3940">
        <v>0.75047600000000003</v>
      </c>
      <c r="P3940">
        <v>0.42292000000000002</v>
      </c>
      <c r="Q3940">
        <v>0.190133</v>
      </c>
    </row>
    <row r="3941" spans="1:17" x14ac:dyDescent="0.25">
      <c r="A3941" t="str">
        <f>IF(C3941&amp;G3941&amp;D3941&lt;&gt;'Funnel setup'!$K$3&amp;'Funnel setup'!$K$4&amp;'Funnel setup'!$K$6,".",IF(A3940=".",1,A3940+1))</f>
        <v>.</v>
      </c>
      <c r="B3941" s="244" t="str">
        <f t="shared" si="61"/>
        <v>Total Hip ReplacementProviderBEARDWOOD HOSPITAL (NT403)EQ-5D Index</v>
      </c>
      <c r="C3941" t="s">
        <v>974</v>
      </c>
      <c r="D3941" t="s">
        <v>965</v>
      </c>
      <c r="E3941" t="s">
        <v>154</v>
      </c>
      <c r="F3941" t="s">
        <v>155</v>
      </c>
      <c r="G3941" t="s">
        <v>963</v>
      </c>
      <c r="H3941">
        <v>79</v>
      </c>
      <c r="I3941">
        <v>0.42408899999999999</v>
      </c>
      <c r="J3941">
        <v>0.83927799999999997</v>
      </c>
      <c r="K3941">
        <v>0.41519</v>
      </c>
      <c r="L3941">
        <v>75</v>
      </c>
      <c r="M3941">
        <v>0</v>
      </c>
      <c r="N3941">
        <v>4</v>
      </c>
      <c r="O3941">
        <v>0.78774500000000003</v>
      </c>
      <c r="P3941">
        <v>0.46018999999999999</v>
      </c>
      <c r="Q3941">
        <v>0.20316000000000001</v>
      </c>
    </row>
    <row r="3942" spans="1:17" x14ac:dyDescent="0.25">
      <c r="A3942" t="str">
        <f>IF(C3942&amp;G3942&amp;D3942&lt;&gt;'Funnel setup'!$K$3&amp;'Funnel setup'!$K$4&amp;'Funnel setup'!$K$6,".",IF(A3941=".",1,A3941+1))</f>
        <v>.</v>
      </c>
      <c r="B3942" s="244" t="str">
        <f t="shared" si="61"/>
        <v>Total Hip ReplacementProviderBEAUMONT HOSPITAL (NT404)EQ-5D Index</v>
      </c>
      <c r="C3942" t="s">
        <v>974</v>
      </c>
      <c r="D3942" t="s">
        <v>965</v>
      </c>
      <c r="E3942" t="s">
        <v>156</v>
      </c>
      <c r="F3942" t="s">
        <v>157</v>
      </c>
      <c r="G3942" t="s">
        <v>963</v>
      </c>
      <c r="H3942">
        <v>13</v>
      </c>
      <c r="I3942">
        <v>0.47353800000000001</v>
      </c>
      <c r="J3942">
        <v>0.89238499999999998</v>
      </c>
      <c r="K3942">
        <v>0.418846</v>
      </c>
      <c r="L3942">
        <v>13</v>
      </c>
      <c r="M3942">
        <v>0</v>
      </c>
      <c r="N3942">
        <v>0</v>
      </c>
      <c r="O3942" t="s">
        <v>127</v>
      </c>
      <c r="P3942" t="s">
        <v>127</v>
      </c>
      <c r="Q3942" t="s">
        <v>127</v>
      </c>
    </row>
    <row r="3943" spans="1:17" x14ac:dyDescent="0.25">
      <c r="A3943" t="str">
        <f>IF(C3943&amp;G3943&amp;D3943&lt;&gt;'Funnel setup'!$K$3&amp;'Funnel setup'!$K$4&amp;'Funnel setup'!$K$6,".",IF(A3942=".",1,A3942+1))</f>
        <v>.</v>
      </c>
      <c r="B3943" s="244" t="str">
        <f t="shared" si="61"/>
        <v>Total Hip ReplacementProviderBEDFORDSHIRE HOSPITALS NHS FOUNDATION TRUST (RC9)EQ-5D Index</v>
      </c>
      <c r="C3943" t="s">
        <v>974</v>
      </c>
      <c r="D3943" t="s">
        <v>965</v>
      </c>
      <c r="E3943" t="s">
        <v>158</v>
      </c>
      <c r="F3943" t="s">
        <v>159</v>
      </c>
      <c r="G3943" t="s">
        <v>963</v>
      </c>
      <c r="H3943">
        <v>124</v>
      </c>
      <c r="I3943">
        <v>0.238177</v>
      </c>
      <c r="J3943">
        <v>0.70150000000000001</v>
      </c>
      <c r="K3943">
        <v>0.46332299999999998</v>
      </c>
      <c r="L3943">
        <v>108</v>
      </c>
      <c r="M3943">
        <v>9</v>
      </c>
      <c r="N3943">
        <v>7</v>
      </c>
      <c r="O3943">
        <v>0.73919000000000001</v>
      </c>
      <c r="P3943">
        <v>0.411634</v>
      </c>
      <c r="Q3943">
        <v>0.26210800000000001</v>
      </c>
    </row>
    <row r="3944" spans="1:17" x14ac:dyDescent="0.25">
      <c r="A3944" t="str">
        <f>IF(C3944&amp;G3944&amp;D3944&lt;&gt;'Funnel setup'!$K$3&amp;'Funnel setup'!$K$4&amp;'Funnel setup'!$K$6,".",IF(A3943=".",1,A3943+1))</f>
        <v>.</v>
      </c>
      <c r="B3944" s="244" t="str">
        <f t="shared" si="61"/>
        <v>Total Hip ReplacementProviderBENENDEN HOSPITAL (NWF01)EQ-5D Index</v>
      </c>
      <c r="C3944" t="s">
        <v>974</v>
      </c>
      <c r="D3944" t="s">
        <v>965</v>
      </c>
      <c r="E3944" t="s">
        <v>160</v>
      </c>
      <c r="F3944" t="s">
        <v>161</v>
      </c>
      <c r="G3944" t="s">
        <v>963</v>
      </c>
      <c r="H3944">
        <v>20</v>
      </c>
      <c r="I3944">
        <v>0.36704999999999999</v>
      </c>
      <c r="J3944">
        <v>0.74209999999999998</v>
      </c>
      <c r="K3944">
        <v>0.37504999999999999</v>
      </c>
      <c r="L3944">
        <v>19</v>
      </c>
      <c r="M3944">
        <v>0</v>
      </c>
      <c r="N3944">
        <v>1</v>
      </c>
      <c r="O3944" t="s">
        <v>127</v>
      </c>
      <c r="P3944" t="s">
        <v>127</v>
      </c>
      <c r="Q3944" t="s">
        <v>127</v>
      </c>
    </row>
    <row r="3945" spans="1:17" x14ac:dyDescent="0.25">
      <c r="A3945" t="str">
        <f>IF(C3945&amp;G3945&amp;D3945&lt;&gt;'Funnel setup'!$K$3&amp;'Funnel setup'!$K$4&amp;'Funnel setup'!$K$6,".",IF(A3944=".",1,A3944+1))</f>
        <v>.</v>
      </c>
      <c r="B3945" s="244" t="str">
        <f t="shared" si="61"/>
        <v>Total Hip ReplacementProviderBISHOPS WOOD HOSPITAL (NT405)EQ-5D Index</v>
      </c>
      <c r="C3945" t="s">
        <v>974</v>
      </c>
      <c r="D3945" t="s">
        <v>965</v>
      </c>
      <c r="E3945" t="s">
        <v>166</v>
      </c>
      <c r="F3945" t="s">
        <v>167</v>
      </c>
      <c r="G3945" t="s">
        <v>963</v>
      </c>
      <c r="H3945">
        <v>3</v>
      </c>
      <c r="I3945">
        <v>0.71399999999999997</v>
      </c>
      <c r="J3945">
        <v>1</v>
      </c>
      <c r="K3945">
        <v>0.28599999999999998</v>
      </c>
      <c r="L3945">
        <v>3</v>
      </c>
      <c r="M3945">
        <v>0</v>
      </c>
      <c r="N3945">
        <v>0</v>
      </c>
      <c r="O3945" t="s">
        <v>127</v>
      </c>
      <c r="P3945" t="s">
        <v>127</v>
      </c>
      <c r="Q3945" t="s">
        <v>127</v>
      </c>
    </row>
    <row r="3946" spans="1:17" x14ac:dyDescent="0.25">
      <c r="A3946" t="str">
        <f>IF(C3946&amp;G3946&amp;D3946&lt;&gt;'Funnel setup'!$K$3&amp;'Funnel setup'!$K$4&amp;'Funnel setup'!$K$6,".",IF(A3945=".",1,A3945+1))</f>
        <v>.</v>
      </c>
      <c r="B3946" s="244" t="str">
        <f t="shared" si="61"/>
        <v>Total Hip ReplacementProviderBLACKHEATH HOSPITAL (NT406)EQ-5D Index</v>
      </c>
      <c r="C3946" t="s">
        <v>974</v>
      </c>
      <c r="D3946" t="s">
        <v>965</v>
      </c>
      <c r="E3946" t="s">
        <v>168</v>
      </c>
      <c r="F3946" t="s">
        <v>169</v>
      </c>
      <c r="G3946" t="s">
        <v>963</v>
      </c>
      <c r="H3946">
        <v>13</v>
      </c>
      <c r="I3946">
        <v>0.32938499999999998</v>
      </c>
      <c r="J3946">
        <v>0.856846</v>
      </c>
      <c r="K3946">
        <v>0.52746199999999999</v>
      </c>
      <c r="L3946">
        <v>11</v>
      </c>
      <c r="M3946">
        <v>2</v>
      </c>
      <c r="N3946">
        <v>0</v>
      </c>
      <c r="O3946" t="s">
        <v>127</v>
      </c>
      <c r="P3946" t="s">
        <v>127</v>
      </c>
      <c r="Q3946" t="s">
        <v>127</v>
      </c>
    </row>
    <row r="3947" spans="1:17" x14ac:dyDescent="0.25">
      <c r="A3947" t="str">
        <f>IF(C3947&amp;G3947&amp;D3947&lt;&gt;'Funnel setup'!$K$3&amp;'Funnel setup'!$K$4&amp;'Funnel setup'!$K$6,".",IF(A3946=".",1,A3946+1))</f>
        <v>.</v>
      </c>
      <c r="B3947" s="244" t="str">
        <f t="shared" si="61"/>
        <v>Total Hip ReplacementProviderBLACKPOOL TEACHING HOSPITALS NHS FOUNDATION TRUST (RXL)EQ-5D Index</v>
      </c>
      <c r="C3947" t="s">
        <v>974</v>
      </c>
      <c r="D3947" t="s">
        <v>965</v>
      </c>
      <c r="E3947" t="s">
        <v>170</v>
      </c>
      <c r="F3947" t="s">
        <v>171</v>
      </c>
      <c r="G3947" t="s">
        <v>963</v>
      </c>
      <c r="H3947">
        <v>56</v>
      </c>
      <c r="I3947">
        <v>0.41198200000000001</v>
      </c>
      <c r="J3947">
        <v>0.73260700000000001</v>
      </c>
      <c r="K3947">
        <v>0.32062499999999999</v>
      </c>
      <c r="L3947">
        <v>47</v>
      </c>
      <c r="M3947">
        <v>3</v>
      </c>
      <c r="N3947">
        <v>6</v>
      </c>
      <c r="O3947">
        <v>0.74851100000000004</v>
      </c>
      <c r="P3947">
        <v>0.420956</v>
      </c>
      <c r="Q3947">
        <v>0.23810100000000001</v>
      </c>
    </row>
    <row r="3948" spans="1:17" x14ac:dyDescent="0.25">
      <c r="A3948" t="str">
        <f>IF(C3948&amp;G3948&amp;D3948&lt;&gt;'Funnel setup'!$K$3&amp;'Funnel setup'!$K$4&amp;'Funnel setup'!$K$6,".",IF(A3947=".",1,A3947+1))</f>
        <v>.</v>
      </c>
      <c r="B3948" s="244" t="str">
        <f t="shared" si="61"/>
        <v>Total Hip ReplacementProviderBOLTON NHS FOUNDATION TRUST (RMC)EQ-5D Index</v>
      </c>
      <c r="C3948" t="s">
        <v>974</v>
      </c>
      <c r="D3948" t="s">
        <v>965</v>
      </c>
      <c r="E3948" t="s">
        <v>172</v>
      </c>
      <c r="F3948" t="s">
        <v>173</v>
      </c>
      <c r="G3948" t="s">
        <v>963</v>
      </c>
      <c r="H3948">
        <v>40</v>
      </c>
      <c r="I3948">
        <v>0.18429999999999999</v>
      </c>
      <c r="J3948">
        <v>0.70427499999999998</v>
      </c>
      <c r="K3948">
        <v>0.51997499999999997</v>
      </c>
      <c r="L3948">
        <v>35</v>
      </c>
      <c r="M3948">
        <v>1</v>
      </c>
      <c r="N3948">
        <v>4</v>
      </c>
      <c r="O3948">
        <v>0.774613</v>
      </c>
      <c r="P3948">
        <v>0.44705699999999998</v>
      </c>
      <c r="Q3948">
        <v>0.27319199999999999</v>
      </c>
    </row>
    <row r="3949" spans="1:17" x14ac:dyDescent="0.25">
      <c r="A3949" t="str">
        <f>IF(C3949&amp;G3949&amp;D3949&lt;&gt;'Funnel setup'!$K$3&amp;'Funnel setup'!$K$4&amp;'Funnel setup'!$K$6,".",IF(A3948=".",1,A3948+1))</f>
        <v>.</v>
      </c>
      <c r="B3949" s="244" t="str">
        <f t="shared" si="61"/>
        <v>Total Hip ReplacementProviderBRADFORD TEACHING HOSPITALS NHS FOUNDATION TRUST (RAE)EQ-5D Index</v>
      </c>
      <c r="C3949" t="s">
        <v>974</v>
      </c>
      <c r="D3949" t="s">
        <v>965</v>
      </c>
      <c r="E3949" t="s">
        <v>174</v>
      </c>
      <c r="F3949" t="s">
        <v>175</v>
      </c>
      <c r="G3949" t="s">
        <v>963</v>
      </c>
      <c r="H3949">
        <v>4</v>
      </c>
      <c r="I3949">
        <v>0.13500000000000001</v>
      </c>
      <c r="J3949">
        <v>0.879</v>
      </c>
      <c r="K3949">
        <v>0.74399999999999999</v>
      </c>
      <c r="L3949">
        <v>4</v>
      </c>
      <c r="M3949">
        <v>0</v>
      </c>
      <c r="N3949">
        <v>0</v>
      </c>
      <c r="O3949" t="s">
        <v>127</v>
      </c>
      <c r="P3949" t="s">
        <v>127</v>
      </c>
      <c r="Q3949" t="s">
        <v>127</v>
      </c>
    </row>
    <row r="3950" spans="1:17" x14ac:dyDescent="0.25">
      <c r="A3950" t="str">
        <f>IF(C3950&amp;G3950&amp;D3950&lt;&gt;'Funnel setup'!$K$3&amp;'Funnel setup'!$K$4&amp;'Funnel setup'!$K$6,".",IF(A3949=".",1,A3949+1))</f>
        <v>.</v>
      </c>
      <c r="B3950" s="244" t="str">
        <f t="shared" si="61"/>
        <v>Total Hip ReplacementProviderBUCKINGHAMSHIRE HEALTHCARE NHS TRUST (RXQ)EQ-5D Index</v>
      </c>
      <c r="C3950" t="s">
        <v>974</v>
      </c>
      <c r="D3950" t="s">
        <v>965</v>
      </c>
      <c r="E3950" t="s">
        <v>178</v>
      </c>
      <c r="F3950" t="s">
        <v>179</v>
      </c>
      <c r="G3950" t="s">
        <v>963</v>
      </c>
      <c r="H3950">
        <v>92</v>
      </c>
      <c r="I3950">
        <v>0.28141300000000002</v>
      </c>
      <c r="J3950">
        <v>0.68431500000000001</v>
      </c>
      <c r="K3950">
        <v>0.40290199999999998</v>
      </c>
      <c r="L3950">
        <v>77</v>
      </c>
      <c r="M3950">
        <v>7</v>
      </c>
      <c r="N3950">
        <v>8</v>
      </c>
      <c r="O3950">
        <v>0.70580299999999996</v>
      </c>
      <c r="P3950">
        <v>0.378247</v>
      </c>
      <c r="Q3950">
        <v>0.298373</v>
      </c>
    </row>
    <row r="3951" spans="1:17" x14ac:dyDescent="0.25">
      <c r="A3951" t="str">
        <f>IF(C3951&amp;G3951&amp;D3951&lt;&gt;'Funnel setup'!$K$3&amp;'Funnel setup'!$K$4&amp;'Funnel setup'!$K$6,".",IF(A3950=".",1,A3950+1))</f>
        <v>.</v>
      </c>
      <c r="B3951" s="244" t="str">
        <f t="shared" si="61"/>
        <v>Total Hip ReplacementProviderCALDERDALE AND HUDDERSFIELD NHS FOUNDATION TRUST (RWY)EQ-5D Index</v>
      </c>
      <c r="C3951" t="s">
        <v>974</v>
      </c>
      <c r="D3951" t="s">
        <v>965</v>
      </c>
      <c r="E3951" t="s">
        <v>180</v>
      </c>
      <c r="F3951" t="s">
        <v>181</v>
      </c>
      <c r="G3951" t="s">
        <v>963</v>
      </c>
      <c r="H3951">
        <v>97</v>
      </c>
      <c r="I3951">
        <v>0.33282499999999998</v>
      </c>
      <c r="J3951">
        <v>0.781196</v>
      </c>
      <c r="K3951">
        <v>0.44837100000000002</v>
      </c>
      <c r="L3951">
        <v>86</v>
      </c>
      <c r="M3951">
        <v>4</v>
      </c>
      <c r="N3951">
        <v>7</v>
      </c>
      <c r="O3951">
        <v>0.78602399999999994</v>
      </c>
      <c r="P3951">
        <v>0.45846799999999999</v>
      </c>
      <c r="Q3951">
        <v>0.227549</v>
      </c>
    </row>
    <row r="3952" spans="1:17" x14ac:dyDescent="0.25">
      <c r="A3952" t="str">
        <f>IF(C3952&amp;G3952&amp;D3952&lt;&gt;'Funnel setup'!$K$3&amp;'Funnel setup'!$K$4&amp;'Funnel setup'!$K$6,".",IF(A3951=".",1,A3951+1))</f>
        <v>.</v>
      </c>
      <c r="B3952" s="244" t="str">
        <f t="shared" si="61"/>
        <v>Total Hip ReplacementProviderCAMBRIDGE UNIVERSITY HOSPITALS NHS FOUNDATION TRUST (RGT)EQ-5D Index</v>
      </c>
      <c r="C3952" t="s">
        <v>974</v>
      </c>
      <c r="D3952" t="s">
        <v>965</v>
      </c>
      <c r="E3952" t="s">
        <v>182</v>
      </c>
      <c r="F3952" t="s">
        <v>183</v>
      </c>
      <c r="G3952" t="s">
        <v>963</v>
      </c>
      <c r="H3952">
        <v>76</v>
      </c>
      <c r="I3952">
        <v>0.19797400000000001</v>
      </c>
      <c r="J3952">
        <v>0.70115799999999995</v>
      </c>
      <c r="K3952">
        <v>0.50318399999999996</v>
      </c>
      <c r="L3952">
        <v>62</v>
      </c>
      <c r="M3952">
        <v>8</v>
      </c>
      <c r="N3952">
        <v>6</v>
      </c>
      <c r="O3952">
        <v>0.75763899999999995</v>
      </c>
      <c r="P3952">
        <v>0.43008299999999999</v>
      </c>
      <c r="Q3952">
        <v>0.25067800000000001</v>
      </c>
    </row>
    <row r="3953" spans="1:17" x14ac:dyDescent="0.25">
      <c r="A3953" t="str">
        <f>IF(C3953&amp;G3953&amp;D3953&lt;&gt;'Funnel setup'!$K$3&amp;'Funnel setup'!$K$4&amp;'Funnel setup'!$K$6,".",IF(A3952=".",1,A3952+1))</f>
        <v>.</v>
      </c>
      <c r="B3953" s="244" t="str">
        <f t="shared" si="61"/>
        <v>Total Hip ReplacementProviderCAVELL HOSPITAL (NT451)EQ-5D Index</v>
      </c>
      <c r="C3953" t="s">
        <v>974</v>
      </c>
      <c r="D3953" t="s">
        <v>965</v>
      </c>
      <c r="E3953" t="s">
        <v>184</v>
      </c>
      <c r="F3953" t="s">
        <v>185</v>
      </c>
      <c r="G3953" t="s">
        <v>963</v>
      </c>
      <c r="H3953">
        <v>17</v>
      </c>
      <c r="I3953">
        <v>0.36535299999999998</v>
      </c>
      <c r="J3953">
        <v>0.84629399999999999</v>
      </c>
      <c r="K3953">
        <v>0.48094100000000001</v>
      </c>
      <c r="L3953">
        <v>15</v>
      </c>
      <c r="M3953">
        <v>1</v>
      </c>
      <c r="N3953">
        <v>1</v>
      </c>
      <c r="O3953" t="s">
        <v>127</v>
      </c>
      <c r="P3953" t="s">
        <v>127</v>
      </c>
      <c r="Q3953" t="s">
        <v>127</v>
      </c>
    </row>
    <row r="3954" spans="1:17" x14ac:dyDescent="0.25">
      <c r="A3954" t="str">
        <f>IF(C3954&amp;G3954&amp;D3954&lt;&gt;'Funnel setup'!$K$3&amp;'Funnel setup'!$K$4&amp;'Funnel setup'!$K$6,".",IF(A3953=".",1,A3953+1))</f>
        <v>.</v>
      </c>
      <c r="B3954" s="244" t="str">
        <f t="shared" si="61"/>
        <v>Total Hip ReplacementProviderCHAUCER HOSPITAL (NT408)EQ-5D Index</v>
      </c>
      <c r="C3954" t="s">
        <v>974</v>
      </c>
      <c r="D3954" t="s">
        <v>965</v>
      </c>
      <c r="E3954" t="s">
        <v>186</v>
      </c>
      <c r="F3954" t="s">
        <v>187</v>
      </c>
      <c r="G3954" t="s">
        <v>963</v>
      </c>
      <c r="H3954">
        <v>29</v>
      </c>
      <c r="I3954">
        <v>0.41903400000000002</v>
      </c>
      <c r="J3954">
        <v>0.772621</v>
      </c>
      <c r="K3954">
        <v>0.35358600000000001</v>
      </c>
      <c r="L3954">
        <v>25</v>
      </c>
      <c r="M3954">
        <v>2</v>
      </c>
      <c r="N3954">
        <v>2</v>
      </c>
      <c r="O3954" t="s">
        <v>127</v>
      </c>
      <c r="P3954" t="s">
        <v>127</v>
      </c>
      <c r="Q3954" t="s">
        <v>127</v>
      </c>
    </row>
    <row r="3955" spans="1:17" x14ac:dyDescent="0.25">
      <c r="A3955" t="str">
        <f>IF(C3955&amp;G3955&amp;D3955&lt;&gt;'Funnel setup'!$K$3&amp;'Funnel setup'!$K$4&amp;'Funnel setup'!$K$6,".",IF(A3954=".",1,A3954+1))</f>
        <v>.</v>
      </c>
      <c r="B3955" s="244" t="str">
        <f t="shared" si="61"/>
        <v>Total Hip ReplacementProviderCHELSEA AND WESTMINSTER HOSPITAL NHS FOUNDATION TRUST (RQM)EQ-5D Index</v>
      </c>
      <c r="C3955" t="s">
        <v>974</v>
      </c>
      <c r="D3955" t="s">
        <v>965</v>
      </c>
      <c r="E3955" t="s">
        <v>188</v>
      </c>
      <c r="F3955" t="s">
        <v>189</v>
      </c>
      <c r="G3955" t="s">
        <v>963</v>
      </c>
      <c r="H3955">
        <v>18</v>
      </c>
      <c r="I3955">
        <v>0.27411099999999999</v>
      </c>
      <c r="J3955">
        <v>0.80466700000000002</v>
      </c>
      <c r="K3955">
        <v>0.53055600000000003</v>
      </c>
      <c r="L3955">
        <v>17</v>
      </c>
      <c r="M3955">
        <v>1</v>
      </c>
      <c r="N3955">
        <v>0</v>
      </c>
      <c r="O3955" t="s">
        <v>127</v>
      </c>
      <c r="P3955" t="s">
        <v>127</v>
      </c>
      <c r="Q3955" t="s">
        <v>127</v>
      </c>
    </row>
    <row r="3956" spans="1:17" x14ac:dyDescent="0.25">
      <c r="A3956" t="str">
        <f>IF(C3956&amp;G3956&amp;D3956&lt;&gt;'Funnel setup'!$K$3&amp;'Funnel setup'!$K$4&amp;'Funnel setup'!$K$6,".",IF(A3955=".",1,A3955+1))</f>
        <v>.</v>
      </c>
      <c r="B3956" s="244" t="str">
        <f t="shared" si="61"/>
        <v>Total Hip ReplacementProviderCHELSFIELD PARK HOSPITAL (NT409)EQ-5D Index</v>
      </c>
      <c r="C3956" t="s">
        <v>974</v>
      </c>
      <c r="D3956" t="s">
        <v>965</v>
      </c>
      <c r="E3956" t="s">
        <v>190</v>
      </c>
      <c r="F3956" t="s">
        <v>191</v>
      </c>
      <c r="G3956" t="s">
        <v>963</v>
      </c>
      <c r="H3956">
        <v>30</v>
      </c>
      <c r="I3956">
        <v>0.47836699999999999</v>
      </c>
      <c r="J3956">
        <v>0.86699999999999999</v>
      </c>
      <c r="K3956">
        <v>0.38863300000000001</v>
      </c>
      <c r="L3956">
        <v>26</v>
      </c>
      <c r="M3956">
        <v>2</v>
      </c>
      <c r="N3956">
        <v>2</v>
      </c>
      <c r="O3956">
        <v>0.79225500000000004</v>
      </c>
      <c r="P3956">
        <v>0.46469899999999997</v>
      </c>
      <c r="Q3956">
        <v>0.18621399999999999</v>
      </c>
    </row>
    <row r="3957" spans="1:17" x14ac:dyDescent="0.25">
      <c r="A3957" t="str">
        <f>IF(C3957&amp;G3957&amp;D3957&lt;&gt;'Funnel setup'!$K$3&amp;'Funnel setup'!$K$4&amp;'Funnel setup'!$K$6,".",IF(A3956=".",1,A3956+1))</f>
        <v>.</v>
      </c>
      <c r="B3957" s="244" t="str">
        <f t="shared" si="61"/>
        <v>Total Hip ReplacementProviderCHESTERFIELD ROYAL HOSPITAL NHS FOUNDATION TRUST (RFS)EQ-5D Index</v>
      </c>
      <c r="C3957" t="s">
        <v>974</v>
      </c>
      <c r="D3957" t="s">
        <v>965</v>
      </c>
      <c r="E3957" t="s">
        <v>192</v>
      </c>
      <c r="F3957" t="s">
        <v>193</v>
      </c>
      <c r="G3957" t="s">
        <v>963</v>
      </c>
      <c r="H3957">
        <v>63</v>
      </c>
      <c r="I3957">
        <v>0.27428599999999997</v>
      </c>
      <c r="J3957">
        <v>0.66654000000000002</v>
      </c>
      <c r="K3957">
        <v>0.39225399999999999</v>
      </c>
      <c r="L3957">
        <v>52</v>
      </c>
      <c r="M3957">
        <v>1</v>
      </c>
      <c r="N3957">
        <v>10</v>
      </c>
      <c r="O3957">
        <v>0.70995399999999997</v>
      </c>
      <c r="P3957">
        <v>0.38239800000000002</v>
      </c>
      <c r="Q3957">
        <v>0.28556399999999998</v>
      </c>
    </row>
    <row r="3958" spans="1:17" x14ac:dyDescent="0.25">
      <c r="A3958" t="str">
        <f>IF(C3958&amp;G3958&amp;D3958&lt;&gt;'Funnel setup'!$K$3&amp;'Funnel setup'!$K$4&amp;'Funnel setup'!$K$6,".",IF(A3957=".",1,A3957+1))</f>
        <v>.</v>
      </c>
      <c r="B3958" s="244" t="str">
        <f t="shared" si="61"/>
        <v>Total Hip ReplacementProviderCHILTERN HOSPITAL (NT410)EQ-5D Index</v>
      </c>
      <c r="C3958" t="s">
        <v>974</v>
      </c>
      <c r="D3958" t="s">
        <v>965</v>
      </c>
      <c r="E3958" t="s">
        <v>194</v>
      </c>
      <c r="F3958" t="s">
        <v>195</v>
      </c>
      <c r="G3958" t="s">
        <v>963</v>
      </c>
      <c r="H3958">
        <v>74</v>
      </c>
      <c r="I3958">
        <v>0.38620300000000002</v>
      </c>
      <c r="J3958">
        <v>0.84375699999999998</v>
      </c>
      <c r="K3958">
        <v>0.45755400000000002</v>
      </c>
      <c r="L3958">
        <v>68</v>
      </c>
      <c r="M3958">
        <v>2</v>
      </c>
      <c r="N3958">
        <v>4</v>
      </c>
      <c r="O3958">
        <v>0.78325999999999996</v>
      </c>
      <c r="P3958">
        <v>0.455704</v>
      </c>
      <c r="Q3958">
        <v>0.21559300000000001</v>
      </c>
    </row>
    <row r="3959" spans="1:17" x14ac:dyDescent="0.25">
      <c r="A3959" t="str">
        <f>IF(C3959&amp;G3959&amp;D3959&lt;&gt;'Funnel setup'!$K$3&amp;'Funnel setup'!$K$4&amp;'Funnel setup'!$K$6,".",IF(A3958=".",1,A3958+1))</f>
        <v>.</v>
      </c>
      <c r="B3959" s="244" t="str">
        <f t="shared" si="61"/>
        <v>Total Hip ReplacementProviderCIRCLE BATH HOSPITAL (NV302)EQ-5D Index</v>
      </c>
      <c r="C3959" t="s">
        <v>974</v>
      </c>
      <c r="D3959" t="s">
        <v>965</v>
      </c>
      <c r="E3959" t="s">
        <v>196</v>
      </c>
      <c r="F3959" t="s">
        <v>197</v>
      </c>
      <c r="G3959" t="s">
        <v>963</v>
      </c>
      <c r="H3959">
        <v>12</v>
      </c>
      <c r="I3959">
        <v>0.57091700000000001</v>
      </c>
      <c r="J3959">
        <v>0.93433299999999997</v>
      </c>
      <c r="K3959">
        <v>0.36341699999999999</v>
      </c>
      <c r="L3959">
        <v>11</v>
      </c>
      <c r="M3959">
        <v>1</v>
      </c>
      <c r="N3959">
        <v>0</v>
      </c>
      <c r="O3959" t="s">
        <v>127</v>
      </c>
      <c r="P3959" t="s">
        <v>127</v>
      </c>
      <c r="Q3959" t="s">
        <v>127</v>
      </c>
    </row>
    <row r="3960" spans="1:17" x14ac:dyDescent="0.25">
      <c r="A3960" t="str">
        <f>IF(C3960&amp;G3960&amp;D3960&lt;&gt;'Funnel setup'!$K$3&amp;'Funnel setup'!$K$4&amp;'Funnel setup'!$K$6,".",IF(A3959=".",1,A3959+1))</f>
        <v>.</v>
      </c>
      <c r="B3960" s="244" t="str">
        <f t="shared" si="61"/>
        <v>Total Hip ReplacementProviderCIRCLE READING HOSPITAL (NV323)EQ-5D Index</v>
      </c>
      <c r="C3960" t="s">
        <v>974</v>
      </c>
      <c r="D3960" t="s">
        <v>965</v>
      </c>
      <c r="E3960" t="s">
        <v>198</v>
      </c>
      <c r="F3960" t="s">
        <v>199</v>
      </c>
      <c r="G3960" t="s">
        <v>963</v>
      </c>
      <c r="H3960">
        <v>60</v>
      </c>
      <c r="I3960">
        <v>0.373367</v>
      </c>
      <c r="J3960">
        <v>0.87773299999999999</v>
      </c>
      <c r="K3960">
        <v>0.50436700000000001</v>
      </c>
      <c r="L3960">
        <v>57</v>
      </c>
      <c r="M3960">
        <v>3</v>
      </c>
      <c r="N3960">
        <v>0</v>
      </c>
      <c r="O3960">
        <v>0.824542</v>
      </c>
      <c r="P3960">
        <v>0.49698599999999998</v>
      </c>
      <c r="Q3960">
        <v>0.20444399999999999</v>
      </c>
    </row>
    <row r="3961" spans="1:17" x14ac:dyDescent="0.25">
      <c r="A3961" t="str">
        <f>IF(C3961&amp;G3961&amp;D3961&lt;&gt;'Funnel setup'!$K$3&amp;'Funnel setup'!$K$4&amp;'Funnel setup'!$K$6,".",IF(A3960=".",1,A3960+1))</f>
        <v>.</v>
      </c>
      <c r="B3961" s="244" t="str">
        <f t="shared" si="61"/>
        <v>Total Hip ReplacementProviderCLEMENTINE CHURCHILL HOSPITAL (NT411)EQ-5D Index</v>
      </c>
      <c r="C3961" t="s">
        <v>974</v>
      </c>
      <c r="D3961" t="s">
        <v>965</v>
      </c>
      <c r="E3961" t="s">
        <v>200</v>
      </c>
      <c r="F3961" t="s">
        <v>201</v>
      </c>
      <c r="G3961" t="s">
        <v>963</v>
      </c>
      <c r="H3961">
        <v>23</v>
      </c>
      <c r="I3961">
        <v>0.476435</v>
      </c>
      <c r="J3961">
        <v>0.77130399999999999</v>
      </c>
      <c r="K3961">
        <v>0.29487000000000002</v>
      </c>
      <c r="L3961">
        <v>19</v>
      </c>
      <c r="M3961">
        <v>2</v>
      </c>
      <c r="N3961">
        <v>2</v>
      </c>
      <c r="O3961" t="s">
        <v>127</v>
      </c>
      <c r="P3961" t="s">
        <v>127</v>
      </c>
      <c r="Q3961" t="s">
        <v>127</v>
      </c>
    </row>
    <row r="3962" spans="1:17" x14ac:dyDescent="0.25">
      <c r="A3962" t="str">
        <f>IF(C3962&amp;G3962&amp;D3962&lt;&gt;'Funnel setup'!$K$3&amp;'Funnel setup'!$K$4&amp;'Funnel setup'!$K$6,".",IF(A3961=".",1,A3961+1))</f>
        <v>.</v>
      </c>
      <c r="B3962" s="244" t="str">
        <f t="shared" si="61"/>
        <v>Total Hip ReplacementProviderCLIFTON PARK HOSPITAL (NVC28)EQ-5D Index</v>
      </c>
      <c r="C3962" t="s">
        <v>974</v>
      </c>
      <c r="D3962" t="s">
        <v>965</v>
      </c>
      <c r="E3962" t="s">
        <v>202</v>
      </c>
      <c r="F3962" t="s">
        <v>203</v>
      </c>
      <c r="G3962" t="s">
        <v>963</v>
      </c>
      <c r="H3962">
        <v>39</v>
      </c>
      <c r="I3962">
        <v>0.32430799999999999</v>
      </c>
      <c r="J3962">
        <v>0.77576900000000004</v>
      </c>
      <c r="K3962">
        <v>0.45146199999999997</v>
      </c>
      <c r="L3962">
        <v>32</v>
      </c>
      <c r="M3962">
        <v>4</v>
      </c>
      <c r="N3962">
        <v>3</v>
      </c>
      <c r="O3962">
        <v>0.77256899999999995</v>
      </c>
      <c r="P3962">
        <v>0.44501299999999999</v>
      </c>
      <c r="Q3962">
        <v>0.23680300000000001</v>
      </c>
    </row>
    <row r="3963" spans="1:17" x14ac:dyDescent="0.25">
      <c r="A3963" t="str">
        <f>IF(C3963&amp;G3963&amp;D3963&lt;&gt;'Funnel setup'!$K$3&amp;'Funnel setup'!$K$4&amp;'Funnel setup'!$K$6,".",IF(A3962=".",1,A3962+1))</f>
        <v>.</v>
      </c>
      <c r="B3963" s="244" t="str">
        <f t="shared" si="61"/>
        <v>Total Hip ReplacementProviderCOUNTESS OF CHESTER HOSPITAL NHS FOUNDATION TRUST (RJR)EQ-5D Index</v>
      </c>
      <c r="C3963" t="s">
        <v>974</v>
      </c>
      <c r="D3963" t="s">
        <v>965</v>
      </c>
      <c r="E3963" t="s">
        <v>204</v>
      </c>
      <c r="F3963" t="s">
        <v>205</v>
      </c>
      <c r="G3963" t="s">
        <v>963</v>
      </c>
      <c r="H3963">
        <v>25</v>
      </c>
      <c r="I3963">
        <v>0.29948000000000002</v>
      </c>
      <c r="J3963">
        <v>0.73675999999999997</v>
      </c>
      <c r="K3963">
        <v>0.43728</v>
      </c>
      <c r="L3963">
        <v>22</v>
      </c>
      <c r="M3963">
        <v>1</v>
      </c>
      <c r="N3963">
        <v>2</v>
      </c>
      <c r="O3963" t="s">
        <v>127</v>
      </c>
      <c r="P3963" t="s">
        <v>127</v>
      </c>
      <c r="Q3963" t="s">
        <v>127</v>
      </c>
    </row>
    <row r="3964" spans="1:17" x14ac:dyDescent="0.25">
      <c r="A3964" t="str">
        <f>IF(C3964&amp;G3964&amp;D3964&lt;&gt;'Funnel setup'!$K$3&amp;'Funnel setup'!$K$4&amp;'Funnel setup'!$K$6,".",IF(A3963=".",1,A3963+1))</f>
        <v>.</v>
      </c>
      <c r="B3964" s="244" t="str">
        <f t="shared" si="61"/>
        <v>Total Hip ReplacementProviderCOUNTY DURHAM AND DARLINGTON NHS FOUNDATION TRUST (RXP)EQ-5D Index</v>
      </c>
      <c r="C3964" t="s">
        <v>974</v>
      </c>
      <c r="D3964" t="s">
        <v>965</v>
      </c>
      <c r="E3964" t="s">
        <v>206</v>
      </c>
      <c r="F3964" t="s">
        <v>207</v>
      </c>
      <c r="G3964" t="s">
        <v>963</v>
      </c>
      <c r="H3964">
        <v>160</v>
      </c>
      <c r="I3964">
        <v>0.31869999999999998</v>
      </c>
      <c r="J3964">
        <v>0.73195600000000005</v>
      </c>
      <c r="K3964">
        <v>0.41325600000000001</v>
      </c>
      <c r="L3964">
        <v>142</v>
      </c>
      <c r="M3964">
        <v>9</v>
      </c>
      <c r="N3964">
        <v>9</v>
      </c>
      <c r="O3964">
        <v>0.75585500000000005</v>
      </c>
      <c r="P3964">
        <v>0.42829899999999999</v>
      </c>
      <c r="Q3964">
        <v>0.222917</v>
      </c>
    </row>
    <row r="3965" spans="1:17" x14ac:dyDescent="0.25">
      <c r="A3965" t="str">
        <f>IF(C3965&amp;G3965&amp;D3965&lt;&gt;'Funnel setup'!$K$3&amp;'Funnel setup'!$K$4&amp;'Funnel setup'!$K$6,".",IF(A3964=".",1,A3964+1))</f>
        <v>.</v>
      </c>
      <c r="B3965" s="244" t="str">
        <f t="shared" si="61"/>
        <v>Total Hip ReplacementProviderDONCASTER AND BASSETLAW TEACHING HOSPITALS NHS FOUNDATION TRUST (RP5)EQ-5D Index</v>
      </c>
      <c r="C3965" t="s">
        <v>974</v>
      </c>
      <c r="D3965" t="s">
        <v>965</v>
      </c>
      <c r="E3965" t="s">
        <v>212</v>
      </c>
      <c r="F3965" t="s">
        <v>213</v>
      </c>
      <c r="G3965" t="s">
        <v>963</v>
      </c>
      <c r="H3965">
        <v>59</v>
      </c>
      <c r="I3965">
        <v>0.21001700000000001</v>
      </c>
      <c r="J3965">
        <v>0.68830499999999994</v>
      </c>
      <c r="K3965">
        <v>0.47828799999999999</v>
      </c>
      <c r="L3965">
        <v>52</v>
      </c>
      <c r="M3965">
        <v>1</v>
      </c>
      <c r="N3965">
        <v>6</v>
      </c>
      <c r="O3965">
        <v>0.75424899999999995</v>
      </c>
      <c r="P3965">
        <v>0.42669400000000002</v>
      </c>
      <c r="Q3965">
        <v>0.297759</v>
      </c>
    </row>
    <row r="3966" spans="1:17" x14ac:dyDescent="0.25">
      <c r="A3966" t="str">
        <f>IF(C3966&amp;G3966&amp;D3966&lt;&gt;'Funnel setup'!$K$3&amp;'Funnel setup'!$K$4&amp;'Funnel setup'!$K$6,".",IF(A3965=".",1,A3965+1))</f>
        <v>.</v>
      </c>
      <c r="B3966" s="244" t="str">
        <f t="shared" si="61"/>
        <v>Total Hip ReplacementProviderDORSET COUNTY HOSPITAL NHS FOUNDATION TRUST (RBD)EQ-5D Index</v>
      </c>
      <c r="C3966" t="s">
        <v>974</v>
      </c>
      <c r="D3966" t="s">
        <v>965</v>
      </c>
      <c r="E3966" t="s">
        <v>214</v>
      </c>
      <c r="F3966" t="s">
        <v>215</v>
      </c>
      <c r="G3966" t="s">
        <v>963</v>
      </c>
      <c r="H3966">
        <v>13</v>
      </c>
      <c r="I3966">
        <v>0.359846</v>
      </c>
      <c r="J3966">
        <v>0.79084600000000005</v>
      </c>
      <c r="K3966">
        <v>0.43099999999999999</v>
      </c>
      <c r="L3966">
        <v>11</v>
      </c>
      <c r="M3966">
        <v>0</v>
      </c>
      <c r="N3966">
        <v>2</v>
      </c>
      <c r="O3966" t="s">
        <v>127</v>
      </c>
      <c r="P3966" t="s">
        <v>127</v>
      </c>
      <c r="Q3966" t="s">
        <v>127</v>
      </c>
    </row>
    <row r="3967" spans="1:17" x14ac:dyDescent="0.25">
      <c r="A3967" t="str">
        <f>IF(C3967&amp;G3967&amp;D3967&lt;&gt;'Funnel setup'!$K$3&amp;'Funnel setup'!$K$4&amp;'Funnel setup'!$K$6,".",IF(A3966=".",1,A3966+1))</f>
        <v>.</v>
      </c>
      <c r="B3967" s="244" t="str">
        <f t="shared" si="61"/>
        <v>Total Hip ReplacementProviderDROITWICH SPA HOSPITAL (NT412)EQ-5D Index</v>
      </c>
      <c r="C3967" t="s">
        <v>974</v>
      </c>
      <c r="D3967" t="s">
        <v>965</v>
      </c>
      <c r="E3967" t="s">
        <v>216</v>
      </c>
      <c r="F3967" t="s">
        <v>217</v>
      </c>
      <c r="G3967" t="s">
        <v>963</v>
      </c>
      <c r="H3967">
        <v>27</v>
      </c>
      <c r="I3967">
        <v>0.31474099999999999</v>
      </c>
      <c r="J3967">
        <v>0.825963</v>
      </c>
      <c r="K3967">
        <v>0.51122199999999995</v>
      </c>
      <c r="L3967">
        <v>27</v>
      </c>
      <c r="M3967">
        <v>0</v>
      </c>
      <c r="N3967">
        <v>0</v>
      </c>
      <c r="O3967" t="s">
        <v>127</v>
      </c>
      <c r="P3967" t="s">
        <v>127</v>
      </c>
      <c r="Q3967" t="s">
        <v>127</v>
      </c>
    </row>
    <row r="3968" spans="1:17" x14ac:dyDescent="0.25">
      <c r="A3968" t="str">
        <f>IF(C3968&amp;G3968&amp;D3968&lt;&gt;'Funnel setup'!$K$3&amp;'Funnel setup'!$K$4&amp;'Funnel setup'!$K$6,".",IF(A3967=".",1,A3967+1))</f>
        <v>.</v>
      </c>
      <c r="B3968" s="244" t="str">
        <f t="shared" si="61"/>
        <v>Total Hip ReplacementProviderDUCHY HOSPITAL (NT447)EQ-5D Index</v>
      </c>
      <c r="C3968" t="s">
        <v>974</v>
      </c>
      <c r="D3968" t="s">
        <v>965</v>
      </c>
      <c r="E3968" t="s">
        <v>218</v>
      </c>
      <c r="F3968" t="s">
        <v>219</v>
      </c>
      <c r="G3968" t="s">
        <v>963</v>
      </c>
      <c r="H3968">
        <v>27</v>
      </c>
      <c r="I3968">
        <v>0.40403699999999998</v>
      </c>
      <c r="J3968">
        <v>0.82207399999999997</v>
      </c>
      <c r="K3968">
        <v>0.41803699999999999</v>
      </c>
      <c r="L3968">
        <v>25</v>
      </c>
      <c r="M3968">
        <v>0</v>
      </c>
      <c r="N3968">
        <v>2</v>
      </c>
      <c r="O3968" t="s">
        <v>127</v>
      </c>
      <c r="P3968" t="s">
        <v>127</v>
      </c>
      <c r="Q3968" t="s">
        <v>127</v>
      </c>
    </row>
    <row r="3969" spans="1:17" x14ac:dyDescent="0.25">
      <c r="A3969" t="str">
        <f>IF(C3969&amp;G3969&amp;D3969&lt;&gt;'Funnel setup'!$K$3&amp;'Funnel setup'!$K$4&amp;'Funnel setup'!$K$6,".",IF(A3968=".",1,A3968+1))</f>
        <v>.</v>
      </c>
      <c r="B3969" s="244" t="str">
        <f t="shared" si="61"/>
        <v>Total Hip ReplacementProviderDUCHY HOSPITAL (NVC04)EQ-5D Index</v>
      </c>
      <c r="C3969" t="s">
        <v>974</v>
      </c>
      <c r="D3969" t="s">
        <v>965</v>
      </c>
      <c r="E3969" t="s">
        <v>220</v>
      </c>
      <c r="F3969" t="s">
        <v>221</v>
      </c>
      <c r="G3969" t="s">
        <v>963</v>
      </c>
      <c r="H3969">
        <v>25</v>
      </c>
      <c r="I3969">
        <v>0.31584000000000001</v>
      </c>
      <c r="J3969">
        <v>0.88448000000000004</v>
      </c>
      <c r="K3969">
        <v>0.56864000000000003</v>
      </c>
      <c r="L3969">
        <v>23</v>
      </c>
      <c r="M3969">
        <v>2</v>
      </c>
      <c r="N3969">
        <v>0</v>
      </c>
      <c r="O3969" t="s">
        <v>127</v>
      </c>
      <c r="P3969" t="s">
        <v>127</v>
      </c>
      <c r="Q3969" t="s">
        <v>127</v>
      </c>
    </row>
    <row r="3970" spans="1:17" x14ac:dyDescent="0.25">
      <c r="A3970" t="str">
        <f>IF(C3970&amp;G3970&amp;D3970&lt;&gt;'Funnel setup'!$K$3&amp;'Funnel setup'!$K$4&amp;'Funnel setup'!$K$6,".",IF(A3969=".",1,A3969+1))</f>
        <v>.</v>
      </c>
      <c r="B3970" s="244" t="str">
        <f t="shared" ref="B3970:B4033" si="62">C3970&amp;D3970&amp;F3970&amp;G3970</f>
        <v>Total Hip ReplacementProviderEAST AND NORTH HERTFORDSHIRE NHS TRUST (RWH)EQ-5D Index</v>
      </c>
      <c r="C3970" t="s">
        <v>974</v>
      </c>
      <c r="D3970" t="s">
        <v>965</v>
      </c>
      <c r="E3970" t="s">
        <v>224</v>
      </c>
      <c r="F3970" t="s">
        <v>225</v>
      </c>
      <c r="G3970" t="s">
        <v>963</v>
      </c>
      <c r="H3970">
        <v>38</v>
      </c>
      <c r="I3970">
        <v>0.32292100000000001</v>
      </c>
      <c r="J3970">
        <v>0.78857900000000003</v>
      </c>
      <c r="K3970">
        <v>0.46565800000000002</v>
      </c>
      <c r="L3970">
        <v>36</v>
      </c>
      <c r="M3970">
        <v>0</v>
      </c>
      <c r="N3970">
        <v>2</v>
      </c>
      <c r="O3970">
        <v>0.77615500000000004</v>
      </c>
      <c r="P3970">
        <v>0.44859900000000003</v>
      </c>
      <c r="Q3970">
        <v>0.24077299999999999</v>
      </c>
    </row>
    <row r="3971" spans="1:17" x14ac:dyDescent="0.25">
      <c r="A3971" t="str">
        <f>IF(C3971&amp;G3971&amp;D3971&lt;&gt;'Funnel setup'!$K$3&amp;'Funnel setup'!$K$4&amp;'Funnel setup'!$K$6,".",IF(A3970=".",1,A3970+1))</f>
        <v>.</v>
      </c>
      <c r="B3971" s="244" t="str">
        <f t="shared" si="62"/>
        <v>Total Hip ReplacementProviderEAST CHESHIRE NHS TRUST (RJN)EQ-5D Index</v>
      </c>
      <c r="C3971" t="s">
        <v>974</v>
      </c>
      <c r="D3971" t="s">
        <v>965</v>
      </c>
      <c r="E3971" t="s">
        <v>226</v>
      </c>
      <c r="F3971" t="s">
        <v>227</v>
      </c>
      <c r="G3971" t="s">
        <v>963</v>
      </c>
      <c r="H3971">
        <v>4</v>
      </c>
      <c r="I3971">
        <v>0.49099999999999999</v>
      </c>
      <c r="J3971">
        <v>0.79449999999999998</v>
      </c>
      <c r="K3971">
        <v>0.30349999999999999</v>
      </c>
      <c r="L3971">
        <v>4</v>
      </c>
      <c r="M3971">
        <v>0</v>
      </c>
      <c r="N3971">
        <v>0</v>
      </c>
      <c r="O3971" t="s">
        <v>127</v>
      </c>
      <c r="P3971" t="s">
        <v>127</v>
      </c>
      <c r="Q3971" t="s">
        <v>127</v>
      </c>
    </row>
    <row r="3972" spans="1:17" x14ac:dyDescent="0.25">
      <c r="A3972" t="str">
        <f>IF(C3972&amp;G3972&amp;D3972&lt;&gt;'Funnel setup'!$K$3&amp;'Funnel setup'!$K$4&amp;'Funnel setup'!$K$6,".",IF(A3971=".",1,A3971+1))</f>
        <v>.</v>
      </c>
      <c r="B3972" s="244" t="str">
        <f t="shared" si="62"/>
        <v>Total Hip ReplacementProviderEAST KENT HOSPITALS UNIVERSITY NHS FOUNDATION TRUST (RVV)EQ-5D Index</v>
      </c>
      <c r="C3972" t="s">
        <v>974</v>
      </c>
      <c r="D3972" t="s">
        <v>965</v>
      </c>
      <c r="E3972" t="s">
        <v>228</v>
      </c>
      <c r="F3972" t="s">
        <v>229</v>
      </c>
      <c r="G3972" t="s">
        <v>963</v>
      </c>
      <c r="H3972">
        <v>93</v>
      </c>
      <c r="I3972">
        <v>0.237957</v>
      </c>
      <c r="J3972">
        <v>0.714032</v>
      </c>
      <c r="K3972">
        <v>0.47607500000000003</v>
      </c>
      <c r="L3972">
        <v>81</v>
      </c>
      <c r="M3972">
        <v>8</v>
      </c>
      <c r="N3972">
        <v>4</v>
      </c>
      <c r="O3972">
        <v>0.76274799999999998</v>
      </c>
      <c r="P3972">
        <v>0.43519200000000002</v>
      </c>
      <c r="Q3972">
        <v>0.25107299999999999</v>
      </c>
    </row>
    <row r="3973" spans="1:17" x14ac:dyDescent="0.25">
      <c r="A3973" t="str">
        <f>IF(C3973&amp;G3973&amp;D3973&lt;&gt;'Funnel setup'!$K$3&amp;'Funnel setup'!$K$4&amp;'Funnel setup'!$K$6,".",IF(A3972=".",1,A3972+1))</f>
        <v>.</v>
      </c>
      <c r="B3973" s="244" t="str">
        <f t="shared" si="62"/>
        <v>Total Hip ReplacementProviderEAST LANCASHIRE HOSPITALS NHS TRUST (RXR)EQ-5D Index</v>
      </c>
      <c r="C3973" t="s">
        <v>974</v>
      </c>
      <c r="D3973" t="s">
        <v>965</v>
      </c>
      <c r="E3973" t="s">
        <v>230</v>
      </c>
      <c r="F3973" t="s">
        <v>231</v>
      </c>
      <c r="G3973" t="s">
        <v>963</v>
      </c>
      <c r="H3973">
        <v>86</v>
      </c>
      <c r="I3973">
        <v>0.26237199999999999</v>
      </c>
      <c r="J3973">
        <v>0.73350000000000004</v>
      </c>
      <c r="K3973">
        <v>0.47112799999999999</v>
      </c>
      <c r="L3973">
        <v>76</v>
      </c>
      <c r="M3973">
        <v>2</v>
      </c>
      <c r="N3973">
        <v>8</v>
      </c>
      <c r="O3973">
        <v>0.77476400000000001</v>
      </c>
      <c r="P3973">
        <v>0.44720799999999999</v>
      </c>
      <c r="Q3973">
        <v>0.27765600000000001</v>
      </c>
    </row>
    <row r="3974" spans="1:17" x14ac:dyDescent="0.25">
      <c r="A3974" t="str">
        <f>IF(C3974&amp;G3974&amp;D3974&lt;&gt;'Funnel setup'!$K$3&amp;'Funnel setup'!$K$4&amp;'Funnel setup'!$K$6,".",IF(A3973=".",1,A3973+1))</f>
        <v>.</v>
      </c>
      <c r="B3974" s="244" t="str">
        <f t="shared" si="62"/>
        <v>Total Hip ReplacementProviderEAST SUFFOLK AND NORTH ESSEX NHS FOUNDATION TRUST (RDE)EQ-5D Index</v>
      </c>
      <c r="C3974" t="s">
        <v>974</v>
      </c>
      <c r="D3974" t="s">
        <v>965</v>
      </c>
      <c r="E3974" t="s">
        <v>232</v>
      </c>
      <c r="F3974" t="s">
        <v>233</v>
      </c>
      <c r="G3974" t="s">
        <v>963</v>
      </c>
      <c r="H3974">
        <v>137</v>
      </c>
      <c r="I3974">
        <v>0.26896399999999998</v>
      </c>
      <c r="J3974">
        <v>0.76224800000000004</v>
      </c>
      <c r="K3974">
        <v>0.49328499999999997</v>
      </c>
      <c r="L3974">
        <v>128</v>
      </c>
      <c r="M3974">
        <v>6</v>
      </c>
      <c r="N3974">
        <v>3</v>
      </c>
      <c r="O3974">
        <v>0.78399700000000005</v>
      </c>
      <c r="P3974">
        <v>0.45644099999999999</v>
      </c>
      <c r="Q3974">
        <v>0.24664900000000001</v>
      </c>
    </row>
    <row r="3975" spans="1:17" x14ac:dyDescent="0.25">
      <c r="A3975" t="str">
        <f>IF(C3975&amp;G3975&amp;D3975&lt;&gt;'Funnel setup'!$K$3&amp;'Funnel setup'!$K$4&amp;'Funnel setup'!$K$6,".",IF(A3974=".",1,A3974+1))</f>
        <v>.</v>
      </c>
      <c r="B3975" s="244" t="str">
        <f t="shared" si="62"/>
        <v>Total Hip ReplacementProviderEAST SUSSEX HEALTHCARE NHS TRUST (RXC)EQ-5D Index</v>
      </c>
      <c r="C3975" t="s">
        <v>974</v>
      </c>
      <c r="D3975" t="s">
        <v>965</v>
      </c>
      <c r="E3975" t="s">
        <v>234</v>
      </c>
      <c r="F3975" t="s">
        <v>235</v>
      </c>
      <c r="G3975" t="s">
        <v>963</v>
      </c>
      <c r="H3975">
        <v>96</v>
      </c>
      <c r="I3975">
        <v>0.33507300000000001</v>
      </c>
      <c r="J3975">
        <v>0.75066699999999997</v>
      </c>
      <c r="K3975">
        <v>0.41559400000000002</v>
      </c>
      <c r="L3975">
        <v>81</v>
      </c>
      <c r="M3975">
        <v>7</v>
      </c>
      <c r="N3975">
        <v>8</v>
      </c>
      <c r="O3975">
        <v>0.76757799999999998</v>
      </c>
      <c r="P3975">
        <v>0.44002200000000002</v>
      </c>
      <c r="Q3975">
        <v>0.27975299999999997</v>
      </c>
    </row>
    <row r="3976" spans="1:17" x14ac:dyDescent="0.25">
      <c r="A3976" t="str">
        <f>IF(C3976&amp;G3976&amp;D3976&lt;&gt;'Funnel setup'!$K$3&amp;'Funnel setup'!$K$4&amp;'Funnel setup'!$K$6,".",IF(A3975=".",1,A3975+1))</f>
        <v>.</v>
      </c>
      <c r="B3976" s="244" t="str">
        <f t="shared" si="62"/>
        <v>Total Hip ReplacementProviderEPSOM AND ST HELIER UNIVERSITY HOSPITALS NHS TRUST (RVR)EQ-5D Index</v>
      </c>
      <c r="C3976" t="s">
        <v>974</v>
      </c>
      <c r="D3976" t="s">
        <v>965</v>
      </c>
      <c r="E3976" t="s">
        <v>238</v>
      </c>
      <c r="F3976" t="s">
        <v>239</v>
      </c>
      <c r="G3976" t="s">
        <v>963</v>
      </c>
      <c r="H3976">
        <v>541</v>
      </c>
      <c r="I3976">
        <v>0.38616099999999998</v>
      </c>
      <c r="J3976">
        <v>0.806392</v>
      </c>
      <c r="K3976">
        <v>0.42023100000000002</v>
      </c>
      <c r="L3976">
        <v>495</v>
      </c>
      <c r="M3976">
        <v>23</v>
      </c>
      <c r="N3976">
        <v>23</v>
      </c>
      <c r="O3976">
        <v>0.794184</v>
      </c>
      <c r="P3976">
        <v>0.46662799999999999</v>
      </c>
      <c r="Q3976">
        <v>0.20470099999999999</v>
      </c>
    </row>
    <row r="3977" spans="1:17" x14ac:dyDescent="0.25">
      <c r="A3977" t="str">
        <f>IF(C3977&amp;G3977&amp;D3977&lt;&gt;'Funnel setup'!$K$3&amp;'Funnel setup'!$K$4&amp;'Funnel setup'!$K$6,".",IF(A3976=".",1,A3976+1))</f>
        <v>.</v>
      </c>
      <c r="B3977" s="244" t="str">
        <f t="shared" si="62"/>
        <v>Total Hip ReplacementProviderEUXTON HALL HOSPITAL (NVC05)EQ-5D Index</v>
      </c>
      <c r="C3977" t="s">
        <v>974</v>
      </c>
      <c r="D3977" t="s">
        <v>965</v>
      </c>
      <c r="E3977" t="s">
        <v>240</v>
      </c>
      <c r="F3977" t="s">
        <v>241</v>
      </c>
      <c r="G3977" t="s">
        <v>963</v>
      </c>
      <c r="H3977">
        <v>56</v>
      </c>
      <c r="I3977">
        <v>0.29519600000000001</v>
      </c>
      <c r="J3977">
        <v>0.83523199999999997</v>
      </c>
      <c r="K3977">
        <v>0.54003599999999996</v>
      </c>
      <c r="L3977">
        <v>54</v>
      </c>
      <c r="M3977">
        <v>2</v>
      </c>
      <c r="N3977">
        <v>0</v>
      </c>
      <c r="O3977">
        <v>0.83628199999999997</v>
      </c>
      <c r="P3977">
        <v>0.50872600000000001</v>
      </c>
      <c r="Q3977">
        <v>0.17622099999999999</v>
      </c>
    </row>
    <row r="3978" spans="1:17" x14ac:dyDescent="0.25">
      <c r="A3978" t="str">
        <f>IF(C3978&amp;G3978&amp;D3978&lt;&gt;'Funnel setup'!$K$3&amp;'Funnel setup'!$K$4&amp;'Funnel setup'!$K$6,".",IF(A3977=".",1,A3977+1))</f>
        <v>.</v>
      </c>
      <c r="B3978" s="244" t="str">
        <f t="shared" si="62"/>
        <v>Total Hip ReplacementProviderFAIRFIELD HOSPITAL (NVG01)EQ-5D Index</v>
      </c>
      <c r="C3978" t="s">
        <v>974</v>
      </c>
      <c r="D3978" t="s">
        <v>965</v>
      </c>
      <c r="E3978" t="s">
        <v>242</v>
      </c>
      <c r="F3978" t="s">
        <v>243</v>
      </c>
      <c r="G3978" t="s">
        <v>963</v>
      </c>
      <c r="H3978">
        <v>41</v>
      </c>
      <c r="I3978">
        <v>0.320878</v>
      </c>
      <c r="J3978">
        <v>0.70821999999999996</v>
      </c>
      <c r="K3978">
        <v>0.38734099999999999</v>
      </c>
      <c r="L3978">
        <v>36</v>
      </c>
      <c r="M3978">
        <v>1</v>
      </c>
      <c r="N3978">
        <v>4</v>
      </c>
      <c r="O3978">
        <v>0.70478700000000005</v>
      </c>
      <c r="P3978">
        <v>0.37723099999999998</v>
      </c>
      <c r="Q3978">
        <v>0.27696199999999999</v>
      </c>
    </row>
    <row r="3979" spans="1:17" x14ac:dyDescent="0.25">
      <c r="A3979" t="str">
        <f>IF(C3979&amp;G3979&amp;D3979&lt;&gt;'Funnel setup'!$K$3&amp;'Funnel setup'!$K$4&amp;'Funnel setup'!$K$6,".",IF(A3978=".",1,A3978+1))</f>
        <v>.</v>
      </c>
      <c r="B3979" s="244" t="str">
        <f t="shared" si="62"/>
        <v>Total Hip ReplacementProviderFITZWILLIAM HOSPITAL (NVC06)EQ-5D Index</v>
      </c>
      <c r="C3979" t="s">
        <v>974</v>
      </c>
      <c r="D3979" t="s">
        <v>965</v>
      </c>
      <c r="E3979" t="s">
        <v>244</v>
      </c>
      <c r="F3979" t="s">
        <v>245</v>
      </c>
      <c r="G3979" t="s">
        <v>963</v>
      </c>
      <c r="H3979">
        <v>58</v>
      </c>
      <c r="I3979">
        <v>0.34908499999999998</v>
      </c>
      <c r="J3979">
        <v>0.802508</v>
      </c>
      <c r="K3979">
        <v>0.45342399999999999</v>
      </c>
      <c r="L3979">
        <v>53</v>
      </c>
      <c r="M3979">
        <v>3</v>
      </c>
      <c r="N3979">
        <v>2</v>
      </c>
      <c r="O3979">
        <v>0.79490400000000005</v>
      </c>
      <c r="P3979">
        <v>0.46734799999999999</v>
      </c>
      <c r="Q3979">
        <v>0.19978699999999999</v>
      </c>
    </row>
    <row r="3980" spans="1:17" x14ac:dyDescent="0.25">
      <c r="A3980" t="str">
        <f>IF(C3980&amp;G3980&amp;D3980&lt;&gt;'Funnel setup'!$K$3&amp;'Funnel setup'!$K$4&amp;'Funnel setup'!$K$6,".",IF(A3979=".",1,A3979+1))</f>
        <v>.</v>
      </c>
      <c r="B3980" s="244" t="str">
        <f t="shared" si="62"/>
        <v>Total Hip ReplacementProviderFRIMLEY HEALTH NHS FOUNDATION TRUST (RDU)EQ-5D Index</v>
      </c>
      <c r="C3980" t="s">
        <v>974</v>
      </c>
      <c r="D3980" t="s">
        <v>965</v>
      </c>
      <c r="E3980" t="s">
        <v>248</v>
      </c>
      <c r="F3980" t="s">
        <v>249</v>
      </c>
      <c r="G3980" t="s">
        <v>963</v>
      </c>
      <c r="H3980">
        <v>179</v>
      </c>
      <c r="I3980">
        <v>0.35877700000000001</v>
      </c>
      <c r="J3980">
        <v>0.81384900000000004</v>
      </c>
      <c r="K3980">
        <v>0.45507300000000001</v>
      </c>
      <c r="L3980">
        <v>164</v>
      </c>
      <c r="M3980">
        <v>7</v>
      </c>
      <c r="N3980">
        <v>8</v>
      </c>
      <c r="O3980">
        <v>0.79409799999999997</v>
      </c>
      <c r="P3980">
        <v>0.46654200000000001</v>
      </c>
      <c r="Q3980">
        <v>0.20389399999999999</v>
      </c>
    </row>
    <row r="3981" spans="1:17" x14ac:dyDescent="0.25">
      <c r="A3981" t="str">
        <f>IF(C3981&amp;G3981&amp;D3981&lt;&gt;'Funnel setup'!$K$3&amp;'Funnel setup'!$K$4&amp;'Funnel setup'!$K$6,".",IF(A3980=".",1,A3980+1))</f>
        <v>.</v>
      </c>
      <c r="B3981" s="244" t="str">
        <f t="shared" si="62"/>
        <v>Total Hip ReplacementProviderFULWOOD HALL HOSPITAL (NVC07)EQ-5D Index</v>
      </c>
      <c r="C3981" t="s">
        <v>974</v>
      </c>
      <c r="D3981" t="s">
        <v>965</v>
      </c>
      <c r="E3981" t="s">
        <v>250</v>
      </c>
      <c r="F3981" t="s">
        <v>251</v>
      </c>
      <c r="G3981" t="s">
        <v>963</v>
      </c>
      <c r="H3981">
        <v>65</v>
      </c>
      <c r="I3981">
        <v>0.48353800000000002</v>
      </c>
      <c r="J3981">
        <v>0.86980000000000002</v>
      </c>
      <c r="K3981">
        <v>0.38626199999999999</v>
      </c>
      <c r="L3981">
        <v>59</v>
      </c>
      <c r="M3981">
        <v>3</v>
      </c>
      <c r="N3981">
        <v>3</v>
      </c>
      <c r="O3981">
        <v>0.81417799999999996</v>
      </c>
      <c r="P3981">
        <v>0.486622</v>
      </c>
      <c r="Q3981">
        <v>0.16322500000000001</v>
      </c>
    </row>
    <row r="3982" spans="1:17" x14ac:dyDescent="0.25">
      <c r="A3982" t="str">
        <f>IF(C3982&amp;G3982&amp;D3982&lt;&gt;'Funnel setup'!$K$3&amp;'Funnel setup'!$K$4&amp;'Funnel setup'!$K$6,".",IF(A3981=".",1,A3981+1))</f>
        <v>.</v>
      </c>
      <c r="B3982" s="244" t="str">
        <f t="shared" si="62"/>
        <v>Total Hip ReplacementProviderGATESHEAD HEALTH NHS FOUNDATION TRUST (RR7)EQ-5D Index</v>
      </c>
      <c r="C3982" t="s">
        <v>974</v>
      </c>
      <c r="D3982" t="s">
        <v>965</v>
      </c>
      <c r="E3982" t="s">
        <v>252</v>
      </c>
      <c r="F3982" t="s">
        <v>253</v>
      </c>
      <c r="G3982" t="s">
        <v>963</v>
      </c>
      <c r="H3982">
        <v>51</v>
      </c>
      <c r="I3982">
        <v>0.18229400000000001</v>
      </c>
      <c r="J3982">
        <v>0.71135300000000001</v>
      </c>
      <c r="K3982">
        <v>0.52905899999999995</v>
      </c>
      <c r="L3982">
        <v>46</v>
      </c>
      <c r="M3982">
        <v>2</v>
      </c>
      <c r="N3982">
        <v>3</v>
      </c>
      <c r="O3982">
        <v>0.78806200000000004</v>
      </c>
      <c r="P3982">
        <v>0.460507</v>
      </c>
      <c r="Q3982">
        <v>0.28148000000000001</v>
      </c>
    </row>
    <row r="3983" spans="1:17" x14ac:dyDescent="0.25">
      <c r="A3983" t="str">
        <f>IF(C3983&amp;G3983&amp;D3983&lt;&gt;'Funnel setup'!$K$3&amp;'Funnel setup'!$K$4&amp;'Funnel setup'!$K$6,".",IF(A3982=".",1,A3982+1))</f>
        <v>.</v>
      </c>
      <c r="B3983" s="244" t="str">
        <f t="shared" si="62"/>
        <v>Total Hip ReplacementProviderGLOUCESTERSHIRE HOSPITALS NHS FOUNDATION TRUST (RTE)EQ-5D Index</v>
      </c>
      <c r="C3983" t="s">
        <v>974</v>
      </c>
      <c r="D3983" t="s">
        <v>965</v>
      </c>
      <c r="E3983" t="s">
        <v>256</v>
      </c>
      <c r="F3983" t="s">
        <v>257</v>
      </c>
      <c r="G3983" t="s">
        <v>963</v>
      </c>
      <c r="H3983">
        <v>70</v>
      </c>
      <c r="I3983">
        <v>0.23888599999999999</v>
      </c>
      <c r="J3983">
        <v>0.75177099999999997</v>
      </c>
      <c r="K3983">
        <v>0.51288599999999995</v>
      </c>
      <c r="L3983">
        <v>61</v>
      </c>
      <c r="M3983">
        <v>5</v>
      </c>
      <c r="N3983">
        <v>4</v>
      </c>
      <c r="O3983">
        <v>0.77935699999999997</v>
      </c>
      <c r="P3983">
        <v>0.45180100000000001</v>
      </c>
      <c r="Q3983">
        <v>0.23264599999999999</v>
      </c>
    </row>
    <row r="3984" spans="1:17" x14ac:dyDescent="0.25">
      <c r="A3984" t="str">
        <f>IF(C3984&amp;G3984&amp;D3984&lt;&gt;'Funnel setup'!$K$3&amp;'Funnel setup'!$K$4&amp;'Funnel setup'!$K$6,".",IF(A3983=".",1,A3983+1))</f>
        <v>.</v>
      </c>
      <c r="B3984" s="244" t="str">
        <f t="shared" si="62"/>
        <v>Total Hip ReplacementProviderGORING HALL HOSPITAL (NT417)EQ-5D Index</v>
      </c>
      <c r="C3984" t="s">
        <v>974</v>
      </c>
      <c r="D3984" t="s">
        <v>965</v>
      </c>
      <c r="E3984" t="s">
        <v>258</v>
      </c>
      <c r="F3984" t="s">
        <v>259</v>
      </c>
      <c r="G3984" t="s">
        <v>963</v>
      </c>
      <c r="H3984">
        <v>25</v>
      </c>
      <c r="I3984">
        <v>0.38932</v>
      </c>
      <c r="J3984">
        <v>0.84052000000000004</v>
      </c>
      <c r="K3984">
        <v>0.45119999999999999</v>
      </c>
      <c r="L3984">
        <v>21</v>
      </c>
      <c r="M3984">
        <v>2</v>
      </c>
      <c r="N3984">
        <v>2</v>
      </c>
      <c r="O3984" t="s">
        <v>127</v>
      </c>
      <c r="P3984" t="s">
        <v>127</v>
      </c>
      <c r="Q3984" t="s">
        <v>127</v>
      </c>
    </row>
    <row r="3985" spans="1:17" x14ac:dyDescent="0.25">
      <c r="A3985" t="str">
        <f>IF(C3985&amp;G3985&amp;D3985&lt;&gt;'Funnel setup'!$K$3&amp;'Funnel setup'!$K$4&amp;'Funnel setup'!$K$6,".",IF(A3984=".",1,A3984+1))</f>
        <v>.</v>
      </c>
      <c r="B3985" s="244" t="str">
        <f t="shared" si="62"/>
        <v>Total Hip ReplacementProviderGUY'S AND ST THOMAS' NHS FOUNDATION TRUST (RJ1)EQ-5D Index</v>
      </c>
      <c r="C3985" t="s">
        <v>974</v>
      </c>
      <c r="D3985" t="s">
        <v>965</v>
      </c>
      <c r="E3985" t="s">
        <v>262</v>
      </c>
      <c r="F3985" t="s">
        <v>263</v>
      </c>
      <c r="G3985" t="s">
        <v>963</v>
      </c>
      <c r="H3985">
        <v>82</v>
      </c>
      <c r="I3985">
        <v>0.33976800000000001</v>
      </c>
      <c r="J3985">
        <v>0.67076800000000003</v>
      </c>
      <c r="K3985">
        <v>0.33100000000000002</v>
      </c>
      <c r="L3985">
        <v>67</v>
      </c>
      <c r="M3985">
        <v>5</v>
      </c>
      <c r="N3985">
        <v>10</v>
      </c>
      <c r="O3985">
        <v>0.68104600000000004</v>
      </c>
      <c r="P3985">
        <v>0.35349000000000003</v>
      </c>
      <c r="Q3985">
        <v>0.307226</v>
      </c>
    </row>
    <row r="3986" spans="1:17" x14ac:dyDescent="0.25">
      <c r="A3986" t="str">
        <f>IF(C3986&amp;G3986&amp;D3986&lt;&gt;'Funnel setup'!$K$3&amp;'Funnel setup'!$K$4&amp;'Funnel setup'!$K$6,".",IF(A3985=".",1,A3985+1))</f>
        <v>.</v>
      </c>
      <c r="B3986" s="244" t="str">
        <f t="shared" si="62"/>
        <v>Total Hip ReplacementProviderHAMPSHIRE CLINIC (NT418)EQ-5D Index</v>
      </c>
      <c r="C3986" t="s">
        <v>974</v>
      </c>
      <c r="D3986" t="s">
        <v>965</v>
      </c>
      <c r="E3986" t="s">
        <v>264</v>
      </c>
      <c r="F3986" t="s">
        <v>265</v>
      </c>
      <c r="G3986" t="s">
        <v>963</v>
      </c>
      <c r="H3986">
        <v>27</v>
      </c>
      <c r="I3986">
        <v>0.52533300000000005</v>
      </c>
      <c r="J3986">
        <v>0.85003700000000004</v>
      </c>
      <c r="K3986">
        <v>0.32470399999999999</v>
      </c>
      <c r="L3986">
        <v>22</v>
      </c>
      <c r="M3986">
        <v>4</v>
      </c>
      <c r="N3986">
        <v>1</v>
      </c>
      <c r="O3986" t="s">
        <v>127</v>
      </c>
      <c r="P3986" t="s">
        <v>127</v>
      </c>
      <c r="Q3986" t="s">
        <v>127</v>
      </c>
    </row>
    <row r="3987" spans="1:17" x14ac:dyDescent="0.25">
      <c r="A3987" t="str">
        <f>IF(C3987&amp;G3987&amp;D3987&lt;&gt;'Funnel setup'!$K$3&amp;'Funnel setup'!$K$4&amp;'Funnel setup'!$K$6,".",IF(A3986=".",1,A3986+1))</f>
        <v>.</v>
      </c>
      <c r="B3987" s="244" t="str">
        <f t="shared" si="62"/>
        <v>Total Hip ReplacementProviderHAMPSHIRE HOSPITALS NHS FOUNDATION TRUST (RN5)EQ-5D Index</v>
      </c>
      <c r="C3987" t="s">
        <v>974</v>
      </c>
      <c r="D3987" t="s">
        <v>965</v>
      </c>
      <c r="E3987" t="s">
        <v>266</v>
      </c>
      <c r="F3987" t="s">
        <v>267</v>
      </c>
      <c r="G3987" t="s">
        <v>963</v>
      </c>
      <c r="H3987">
        <v>33</v>
      </c>
      <c r="I3987">
        <v>0.26824199999999998</v>
      </c>
      <c r="J3987">
        <v>0.77793900000000005</v>
      </c>
      <c r="K3987">
        <v>0.50969699999999996</v>
      </c>
      <c r="L3987">
        <v>31</v>
      </c>
      <c r="M3987">
        <v>2</v>
      </c>
      <c r="N3987">
        <v>0</v>
      </c>
      <c r="O3987">
        <v>0.80158300000000005</v>
      </c>
      <c r="P3987">
        <v>0.47402699999999998</v>
      </c>
      <c r="Q3987">
        <v>0.22452900000000001</v>
      </c>
    </row>
    <row r="3988" spans="1:17" x14ac:dyDescent="0.25">
      <c r="A3988" t="str">
        <f>IF(C3988&amp;G3988&amp;D3988&lt;&gt;'Funnel setup'!$K$3&amp;'Funnel setup'!$K$4&amp;'Funnel setup'!$K$6,".",IF(A3987=".",1,A3987+1))</f>
        <v>.</v>
      </c>
      <c r="B3988" s="244" t="str">
        <f t="shared" si="62"/>
        <v>Total Hip ReplacementProviderHARBOUR HOSPITAL (NT419)EQ-5D Index</v>
      </c>
      <c r="C3988" t="s">
        <v>974</v>
      </c>
      <c r="D3988" t="s">
        <v>965</v>
      </c>
      <c r="E3988" t="s">
        <v>268</v>
      </c>
      <c r="F3988" t="s">
        <v>269</v>
      </c>
      <c r="G3988" t="s">
        <v>963</v>
      </c>
      <c r="H3988">
        <v>10</v>
      </c>
      <c r="I3988">
        <v>0.46539999999999998</v>
      </c>
      <c r="J3988">
        <v>0.88749999999999996</v>
      </c>
      <c r="K3988">
        <v>0.42209999999999998</v>
      </c>
      <c r="L3988">
        <v>9</v>
      </c>
      <c r="M3988">
        <v>1</v>
      </c>
      <c r="N3988">
        <v>0</v>
      </c>
      <c r="O3988" t="s">
        <v>127</v>
      </c>
      <c r="P3988" t="s">
        <v>127</v>
      </c>
      <c r="Q3988" t="s">
        <v>127</v>
      </c>
    </row>
    <row r="3989" spans="1:17" x14ac:dyDescent="0.25">
      <c r="A3989" t="str">
        <f>IF(C3989&amp;G3989&amp;D3989&lt;&gt;'Funnel setup'!$K$3&amp;'Funnel setup'!$K$4&amp;'Funnel setup'!$K$6,".",IF(A3988=".",1,A3988+1))</f>
        <v>.</v>
      </c>
      <c r="B3989" s="244" t="str">
        <f t="shared" si="62"/>
        <v>Total Hip ReplacementProviderHARROGATE AND DISTRICT NHS FOUNDATION TRUST (RCD)EQ-5D Index</v>
      </c>
      <c r="C3989" t="s">
        <v>974</v>
      </c>
      <c r="D3989" t="s">
        <v>965</v>
      </c>
      <c r="E3989" t="s">
        <v>270</v>
      </c>
      <c r="F3989" t="s">
        <v>271</v>
      </c>
      <c r="G3989" t="s">
        <v>963</v>
      </c>
      <c r="H3989">
        <v>81</v>
      </c>
      <c r="I3989">
        <v>0.32182699999999997</v>
      </c>
      <c r="J3989">
        <v>0.81465399999999999</v>
      </c>
      <c r="K3989">
        <v>0.49282700000000002</v>
      </c>
      <c r="L3989">
        <v>76</v>
      </c>
      <c r="M3989">
        <v>3</v>
      </c>
      <c r="N3989">
        <v>2</v>
      </c>
      <c r="O3989">
        <v>0.83125099999999996</v>
      </c>
      <c r="P3989">
        <v>0.50369600000000003</v>
      </c>
      <c r="Q3989">
        <v>0.21335299999999999</v>
      </c>
    </row>
    <row r="3990" spans="1:17" x14ac:dyDescent="0.25">
      <c r="A3990" t="str">
        <f>IF(C3990&amp;G3990&amp;D3990&lt;&gt;'Funnel setup'!$K$3&amp;'Funnel setup'!$K$4&amp;'Funnel setup'!$K$6,".",IF(A3989=".",1,A3989+1))</f>
        <v>.</v>
      </c>
      <c r="B3990" s="244" t="str">
        <f t="shared" si="62"/>
        <v>Total Hip ReplacementProviderHIGHFIELD HOSPITAL (NT420)EQ-5D Index</v>
      </c>
      <c r="C3990" t="s">
        <v>974</v>
      </c>
      <c r="D3990" t="s">
        <v>965</v>
      </c>
      <c r="E3990" t="s">
        <v>272</v>
      </c>
      <c r="F3990" t="s">
        <v>273</v>
      </c>
      <c r="G3990" t="s">
        <v>963</v>
      </c>
      <c r="H3990">
        <v>141</v>
      </c>
      <c r="I3990">
        <v>0.37060300000000002</v>
      </c>
      <c r="J3990">
        <v>0.84458900000000003</v>
      </c>
      <c r="K3990">
        <v>0.47398600000000002</v>
      </c>
      <c r="L3990">
        <v>132</v>
      </c>
      <c r="M3990">
        <v>5</v>
      </c>
      <c r="N3990">
        <v>4</v>
      </c>
      <c r="O3990">
        <v>0.81853900000000002</v>
      </c>
      <c r="P3990">
        <v>0.490983</v>
      </c>
      <c r="Q3990">
        <v>0.19597200000000001</v>
      </c>
    </row>
    <row r="3991" spans="1:17" x14ac:dyDescent="0.25">
      <c r="A3991" t="str">
        <f>IF(C3991&amp;G3991&amp;D3991&lt;&gt;'Funnel setup'!$K$3&amp;'Funnel setup'!$K$4&amp;'Funnel setup'!$K$6,".",IF(A3990=".",1,A3990+1))</f>
        <v>.</v>
      </c>
      <c r="B3991" s="244" t="str">
        <f t="shared" si="62"/>
        <v>Total Hip ReplacementProviderHOMERTON HEALTHCARE NHS FOUNDATION TRUST (RQX)EQ-5D Index</v>
      </c>
      <c r="C3991" t="s">
        <v>974</v>
      </c>
      <c r="D3991" t="s">
        <v>965</v>
      </c>
      <c r="E3991" t="s">
        <v>274</v>
      </c>
      <c r="F3991" t="s">
        <v>275</v>
      </c>
      <c r="G3991" t="s">
        <v>963</v>
      </c>
      <c r="H3991">
        <v>4</v>
      </c>
      <c r="I3991">
        <v>0.18124999999999999</v>
      </c>
      <c r="J3991">
        <v>0.72399999999999998</v>
      </c>
      <c r="K3991">
        <v>0.54274999999999995</v>
      </c>
      <c r="L3991">
        <v>4</v>
      </c>
      <c r="M3991">
        <v>0</v>
      </c>
      <c r="N3991">
        <v>0</v>
      </c>
      <c r="O3991" t="s">
        <v>127</v>
      </c>
      <c r="P3991" t="s">
        <v>127</v>
      </c>
      <c r="Q3991" t="s">
        <v>127</v>
      </c>
    </row>
    <row r="3992" spans="1:17" x14ac:dyDescent="0.25">
      <c r="A3992" t="str">
        <f>IF(C3992&amp;G3992&amp;D3992&lt;&gt;'Funnel setup'!$K$3&amp;'Funnel setup'!$K$4&amp;'Funnel setup'!$K$6,".",IF(A3991=".",1,A3991+1))</f>
        <v>.</v>
      </c>
      <c r="B3992" s="244" t="str">
        <f t="shared" si="62"/>
        <v>Total Hip ReplacementProviderHUDDERSFIELD HOSPITAL (NT448)EQ-5D Index</v>
      </c>
      <c r="C3992" t="s">
        <v>974</v>
      </c>
      <c r="D3992" t="s">
        <v>965</v>
      </c>
      <c r="E3992" t="s">
        <v>276</v>
      </c>
      <c r="F3992" t="s">
        <v>277</v>
      </c>
      <c r="G3992" t="s">
        <v>963</v>
      </c>
      <c r="H3992">
        <v>8</v>
      </c>
      <c r="I3992">
        <v>0.40737499999999999</v>
      </c>
      <c r="J3992">
        <v>0.84775</v>
      </c>
      <c r="K3992">
        <v>0.44037500000000002</v>
      </c>
      <c r="L3992">
        <v>8</v>
      </c>
      <c r="M3992">
        <v>0</v>
      </c>
      <c r="N3992">
        <v>0</v>
      </c>
      <c r="O3992" t="s">
        <v>127</v>
      </c>
      <c r="P3992" t="s">
        <v>127</v>
      </c>
      <c r="Q3992" t="s">
        <v>127</v>
      </c>
    </row>
    <row r="3993" spans="1:17" x14ac:dyDescent="0.25">
      <c r="A3993" t="str">
        <f>IF(C3993&amp;G3993&amp;D3993&lt;&gt;'Funnel setup'!$K$3&amp;'Funnel setup'!$K$4&amp;'Funnel setup'!$K$6,".",IF(A3992=".",1,A3992+1))</f>
        <v>.</v>
      </c>
      <c r="B3993" s="244" t="str">
        <f t="shared" si="62"/>
        <v>Total Hip ReplacementProviderHULL UNIVERSITY TEACHING HOSPITALS NHS TRUST (RWA)EQ-5D Index</v>
      </c>
      <c r="C3993" t="s">
        <v>974</v>
      </c>
      <c r="D3993" t="s">
        <v>965</v>
      </c>
      <c r="E3993" t="s">
        <v>278</v>
      </c>
      <c r="F3993" t="s">
        <v>279</v>
      </c>
      <c r="G3993" t="s">
        <v>963</v>
      </c>
      <c r="H3993">
        <v>35</v>
      </c>
      <c r="I3993">
        <v>0.19511400000000001</v>
      </c>
      <c r="J3993">
        <v>0.64759999999999995</v>
      </c>
      <c r="K3993">
        <v>0.452486</v>
      </c>
      <c r="L3993">
        <v>30</v>
      </c>
      <c r="M3993">
        <v>3</v>
      </c>
      <c r="N3993">
        <v>2</v>
      </c>
      <c r="O3993">
        <v>0.72048699999999999</v>
      </c>
      <c r="P3993">
        <v>0.39293099999999997</v>
      </c>
      <c r="Q3993">
        <v>0.309834</v>
      </c>
    </row>
    <row r="3994" spans="1:17" x14ac:dyDescent="0.25">
      <c r="A3994" t="str">
        <f>IF(C3994&amp;G3994&amp;D3994&lt;&gt;'Funnel setup'!$K$3&amp;'Funnel setup'!$K$4&amp;'Funnel setup'!$K$6,".",IF(A3993=".",1,A3993+1))</f>
        <v>.</v>
      </c>
      <c r="B3994" s="244" t="str">
        <f t="shared" si="62"/>
        <v>Total Hip ReplacementProviderIMPERIAL COLLEGE HEALTHCARE NHS TRUST (RYJ)EQ-5D Index</v>
      </c>
      <c r="C3994" t="s">
        <v>974</v>
      </c>
      <c r="D3994" t="s">
        <v>965</v>
      </c>
      <c r="E3994" t="s">
        <v>280</v>
      </c>
      <c r="F3994" t="s">
        <v>281</v>
      </c>
      <c r="G3994" t="s">
        <v>963</v>
      </c>
      <c r="H3994">
        <v>23</v>
      </c>
      <c r="I3994">
        <v>0.18099999999999999</v>
      </c>
      <c r="J3994">
        <v>0.84695699999999996</v>
      </c>
      <c r="K3994">
        <v>0.66595700000000002</v>
      </c>
      <c r="L3994">
        <v>23</v>
      </c>
      <c r="M3994">
        <v>0</v>
      </c>
      <c r="N3994">
        <v>0</v>
      </c>
      <c r="O3994" t="s">
        <v>127</v>
      </c>
      <c r="P3994" t="s">
        <v>127</v>
      </c>
      <c r="Q3994" t="s">
        <v>127</v>
      </c>
    </row>
    <row r="3995" spans="1:17" x14ac:dyDescent="0.25">
      <c r="A3995" t="str">
        <f>IF(C3995&amp;G3995&amp;D3995&lt;&gt;'Funnel setup'!$K$3&amp;'Funnel setup'!$K$4&amp;'Funnel setup'!$K$6,".",IF(A3994=".",1,A3994+1))</f>
        <v>.</v>
      </c>
      <c r="B3995" s="244" t="str">
        <f t="shared" si="62"/>
        <v>Total Hip ReplacementProviderISLE OF WIGHT NHS TRUST (R1F)EQ-5D Index</v>
      </c>
      <c r="C3995" t="s">
        <v>974</v>
      </c>
      <c r="D3995" t="s">
        <v>965</v>
      </c>
      <c r="E3995" t="s">
        <v>282</v>
      </c>
      <c r="F3995" t="s">
        <v>283</v>
      </c>
      <c r="G3995" t="s">
        <v>963</v>
      </c>
      <c r="H3995">
        <v>2</v>
      </c>
      <c r="I3995">
        <v>0.38950000000000001</v>
      </c>
      <c r="J3995">
        <v>0.85499999999999998</v>
      </c>
      <c r="K3995">
        <v>0.46550000000000002</v>
      </c>
      <c r="L3995">
        <v>2</v>
      </c>
      <c r="M3995">
        <v>0</v>
      </c>
      <c r="N3995">
        <v>0</v>
      </c>
      <c r="O3995" t="s">
        <v>127</v>
      </c>
      <c r="P3995" t="s">
        <v>127</v>
      </c>
      <c r="Q3995" t="s">
        <v>127</v>
      </c>
    </row>
    <row r="3996" spans="1:17" x14ac:dyDescent="0.25">
      <c r="A3996" t="str">
        <f>IF(C3996&amp;G3996&amp;D3996&lt;&gt;'Funnel setup'!$K$3&amp;'Funnel setup'!$K$4&amp;'Funnel setup'!$K$6,".",IF(A3995=".",1,A3995+1))</f>
        <v>.</v>
      </c>
      <c r="B3996" s="244" t="str">
        <f t="shared" si="62"/>
        <v>Total Hip ReplacementProviderJAMES PAGET UNIVERSITY HOSPITALS NHS FOUNDATION TRUST (RGP)EQ-5D Index</v>
      </c>
      <c r="C3996" t="s">
        <v>974</v>
      </c>
      <c r="D3996" t="s">
        <v>965</v>
      </c>
      <c r="E3996" t="s">
        <v>284</v>
      </c>
      <c r="F3996" t="s">
        <v>285</v>
      </c>
      <c r="G3996" t="s">
        <v>963</v>
      </c>
      <c r="H3996">
        <v>67</v>
      </c>
      <c r="I3996">
        <v>0.238507</v>
      </c>
      <c r="J3996">
        <v>0.73773100000000003</v>
      </c>
      <c r="K3996">
        <v>0.499224</v>
      </c>
      <c r="L3996">
        <v>61</v>
      </c>
      <c r="M3996">
        <v>3</v>
      </c>
      <c r="N3996">
        <v>3</v>
      </c>
      <c r="O3996">
        <v>0.75262799999999996</v>
      </c>
      <c r="P3996">
        <v>0.42507200000000001</v>
      </c>
      <c r="Q3996">
        <v>0.29257899999999998</v>
      </c>
    </row>
    <row r="3997" spans="1:17" x14ac:dyDescent="0.25">
      <c r="A3997" t="str">
        <f>IF(C3997&amp;G3997&amp;D3997&lt;&gt;'Funnel setup'!$K$3&amp;'Funnel setup'!$K$4&amp;'Funnel setup'!$K$6,".",IF(A3996=".",1,A3996+1))</f>
        <v>.</v>
      </c>
      <c r="B3997" s="244" t="str">
        <f t="shared" si="62"/>
        <v>Total Hip ReplacementProviderKETTERING GENERAL HOSPITAL NHS FOUNDATION TRUST (RNQ)EQ-5D Index</v>
      </c>
      <c r="C3997" t="s">
        <v>974</v>
      </c>
      <c r="D3997" t="s">
        <v>965</v>
      </c>
      <c r="E3997" t="s">
        <v>286</v>
      </c>
      <c r="F3997" t="s">
        <v>287</v>
      </c>
      <c r="G3997" t="s">
        <v>963</v>
      </c>
      <c r="H3997">
        <v>32</v>
      </c>
      <c r="I3997">
        <v>0.213281</v>
      </c>
      <c r="J3997">
        <v>0.71943699999999999</v>
      </c>
      <c r="K3997">
        <v>0.50615600000000005</v>
      </c>
      <c r="L3997">
        <v>26</v>
      </c>
      <c r="M3997">
        <v>3</v>
      </c>
      <c r="N3997">
        <v>3</v>
      </c>
      <c r="O3997">
        <v>0.78396200000000005</v>
      </c>
      <c r="P3997">
        <v>0.45640700000000001</v>
      </c>
      <c r="Q3997">
        <v>0.20106599999999999</v>
      </c>
    </row>
    <row r="3998" spans="1:17" x14ac:dyDescent="0.25">
      <c r="A3998" t="str">
        <f>IF(C3998&amp;G3998&amp;D3998&lt;&gt;'Funnel setup'!$K$3&amp;'Funnel setup'!$K$4&amp;'Funnel setup'!$K$6,".",IF(A3997=".",1,A3997+1))</f>
        <v>.</v>
      </c>
      <c r="B3998" s="244" t="str">
        <f t="shared" si="62"/>
        <v>Total Hip ReplacementProviderKIMS HOSPITAL (NEWNHAM COURT) (ADP02)EQ-5D Index</v>
      </c>
      <c r="C3998" t="s">
        <v>974</v>
      </c>
      <c r="D3998" t="s">
        <v>965</v>
      </c>
      <c r="E3998" t="s">
        <v>288</v>
      </c>
      <c r="F3998" t="s">
        <v>289</v>
      </c>
      <c r="G3998" t="s">
        <v>963</v>
      </c>
      <c r="H3998">
        <v>102</v>
      </c>
      <c r="I3998">
        <v>0.41298000000000001</v>
      </c>
      <c r="J3998">
        <v>0.82252899999999995</v>
      </c>
      <c r="K3998">
        <v>0.409549</v>
      </c>
      <c r="L3998">
        <v>95</v>
      </c>
      <c r="M3998">
        <v>4</v>
      </c>
      <c r="N3998">
        <v>3</v>
      </c>
      <c r="O3998">
        <v>0.77697400000000005</v>
      </c>
      <c r="P3998">
        <v>0.44941799999999998</v>
      </c>
      <c r="Q3998">
        <v>0.19447200000000001</v>
      </c>
    </row>
    <row r="3999" spans="1:17" x14ac:dyDescent="0.25">
      <c r="A3999" t="str">
        <f>IF(C3999&amp;G3999&amp;D3999&lt;&gt;'Funnel setup'!$K$3&amp;'Funnel setup'!$K$4&amp;'Funnel setup'!$K$6,".",IF(A3998=".",1,A3998+1))</f>
        <v>.</v>
      </c>
      <c r="B3999" s="244" t="str">
        <f t="shared" si="62"/>
        <v>Total Hip ReplacementProviderKING'S COLLEGE HOSPITAL NHS FOUNDATION TRUST (RJZ)EQ-5D Index</v>
      </c>
      <c r="C3999" t="s">
        <v>974</v>
      </c>
      <c r="D3999" t="s">
        <v>965</v>
      </c>
      <c r="E3999" t="s">
        <v>290</v>
      </c>
      <c r="F3999" t="s">
        <v>291</v>
      </c>
      <c r="G3999" t="s">
        <v>963</v>
      </c>
      <c r="H3999">
        <v>15</v>
      </c>
      <c r="I3999">
        <v>0.4088</v>
      </c>
      <c r="J3999">
        <v>0.62333300000000003</v>
      </c>
      <c r="K3999">
        <v>0.214533</v>
      </c>
      <c r="L3999">
        <v>9</v>
      </c>
      <c r="M3999">
        <v>4</v>
      </c>
      <c r="N3999">
        <v>2</v>
      </c>
      <c r="O3999" t="s">
        <v>127</v>
      </c>
      <c r="P3999" t="s">
        <v>127</v>
      </c>
      <c r="Q3999" t="s">
        <v>127</v>
      </c>
    </row>
    <row r="4000" spans="1:17" x14ac:dyDescent="0.25">
      <c r="A4000" t="str">
        <f>IF(C4000&amp;G4000&amp;D4000&lt;&gt;'Funnel setup'!$K$3&amp;'Funnel setup'!$K$4&amp;'Funnel setup'!$K$6,".",IF(A3999=".",1,A3999+1))</f>
        <v>.</v>
      </c>
      <c r="B4000" s="244" t="str">
        <f t="shared" si="62"/>
        <v>Total Hip ReplacementProviderKINGS OAK HOSPITAL (NT421)EQ-5D Index</v>
      </c>
      <c r="C4000" t="s">
        <v>974</v>
      </c>
      <c r="D4000" t="s">
        <v>965</v>
      </c>
      <c r="E4000" t="s">
        <v>292</v>
      </c>
      <c r="F4000" t="s">
        <v>293</v>
      </c>
      <c r="G4000" t="s">
        <v>963</v>
      </c>
      <c r="H4000">
        <v>15</v>
      </c>
      <c r="I4000">
        <v>0.32553300000000002</v>
      </c>
      <c r="J4000">
        <v>0.849333</v>
      </c>
      <c r="K4000">
        <v>0.52380000000000004</v>
      </c>
      <c r="L4000">
        <v>14</v>
      </c>
      <c r="M4000">
        <v>0</v>
      </c>
      <c r="N4000">
        <v>1</v>
      </c>
      <c r="O4000" t="s">
        <v>127</v>
      </c>
      <c r="P4000" t="s">
        <v>127</v>
      </c>
      <c r="Q4000" t="s">
        <v>127</v>
      </c>
    </row>
    <row r="4001" spans="1:17" x14ac:dyDescent="0.25">
      <c r="A4001" t="str">
        <f>IF(C4001&amp;G4001&amp;D4001&lt;&gt;'Funnel setup'!$K$3&amp;'Funnel setup'!$K$4&amp;'Funnel setup'!$K$6,".",IF(A4000=".",1,A4000+1))</f>
        <v>.</v>
      </c>
      <c r="B4001" s="244" t="str">
        <f t="shared" si="62"/>
        <v>Total Hip ReplacementProviderLANCASHIRE TEACHING HOSPITALS NHS FOUNDATION TRUST (RXN)EQ-5D Index</v>
      </c>
      <c r="C4001" t="s">
        <v>974</v>
      </c>
      <c r="D4001" t="s">
        <v>965</v>
      </c>
      <c r="E4001" t="s">
        <v>296</v>
      </c>
      <c r="F4001" t="s">
        <v>297</v>
      </c>
      <c r="G4001" t="s">
        <v>963</v>
      </c>
      <c r="H4001">
        <v>35</v>
      </c>
      <c r="I4001">
        <v>0.20468600000000001</v>
      </c>
      <c r="J4001">
        <v>0.64408600000000005</v>
      </c>
      <c r="K4001">
        <v>0.43940000000000001</v>
      </c>
      <c r="L4001">
        <v>29</v>
      </c>
      <c r="M4001">
        <v>2</v>
      </c>
      <c r="N4001">
        <v>4</v>
      </c>
      <c r="O4001">
        <v>0.73284099999999996</v>
      </c>
      <c r="P4001">
        <v>0.40528599999999998</v>
      </c>
      <c r="Q4001">
        <v>0.35245199999999999</v>
      </c>
    </row>
    <row r="4002" spans="1:17" x14ac:dyDescent="0.25">
      <c r="A4002" t="str">
        <f>IF(C4002&amp;G4002&amp;D4002&lt;&gt;'Funnel setup'!$K$3&amp;'Funnel setup'!$K$4&amp;'Funnel setup'!$K$6,".",IF(A4001=".",1,A4001+1))</f>
        <v>.</v>
      </c>
      <c r="B4002" s="244" t="str">
        <f t="shared" si="62"/>
        <v>Total Hip ReplacementProviderLANCASTER HOSPITAL (NT449)EQ-5D Index</v>
      </c>
      <c r="C4002" t="s">
        <v>974</v>
      </c>
      <c r="D4002" t="s">
        <v>965</v>
      </c>
      <c r="E4002" t="s">
        <v>298</v>
      </c>
      <c r="F4002" t="s">
        <v>299</v>
      </c>
      <c r="G4002" t="s">
        <v>963</v>
      </c>
      <c r="H4002">
        <v>22</v>
      </c>
      <c r="I4002">
        <v>0.43490899999999999</v>
      </c>
      <c r="J4002">
        <v>0.90104499999999998</v>
      </c>
      <c r="K4002">
        <v>0.46613599999999999</v>
      </c>
      <c r="L4002">
        <v>21</v>
      </c>
      <c r="M4002">
        <v>1</v>
      </c>
      <c r="N4002">
        <v>0</v>
      </c>
      <c r="O4002" t="s">
        <v>127</v>
      </c>
      <c r="P4002" t="s">
        <v>127</v>
      </c>
      <c r="Q4002" t="s">
        <v>127</v>
      </c>
    </row>
    <row r="4003" spans="1:17" x14ac:dyDescent="0.25">
      <c r="A4003" t="str">
        <f>IF(C4003&amp;G4003&amp;D4003&lt;&gt;'Funnel setup'!$K$3&amp;'Funnel setup'!$K$4&amp;'Funnel setup'!$K$6,".",IF(A4002=".",1,A4002+1))</f>
        <v>.</v>
      </c>
      <c r="B4003" s="244" t="str">
        <f t="shared" si="62"/>
        <v>Total Hip ReplacementProviderLEEDS TEACHING HOSPITALS NHS TRUST (RR8)EQ-5D Index</v>
      </c>
      <c r="C4003" t="s">
        <v>974</v>
      </c>
      <c r="D4003" t="s">
        <v>965</v>
      </c>
      <c r="E4003" t="s">
        <v>300</v>
      </c>
      <c r="F4003" t="s">
        <v>301</v>
      </c>
      <c r="G4003" t="s">
        <v>963</v>
      </c>
      <c r="H4003">
        <v>114</v>
      </c>
      <c r="I4003">
        <v>0.363728</v>
      </c>
      <c r="J4003">
        <v>0.74777199999999999</v>
      </c>
      <c r="K4003">
        <v>0.384044</v>
      </c>
      <c r="L4003">
        <v>90</v>
      </c>
      <c r="M4003">
        <v>10</v>
      </c>
      <c r="N4003">
        <v>14</v>
      </c>
      <c r="O4003">
        <v>0.76015999999999995</v>
      </c>
      <c r="P4003">
        <v>0.43260399999999999</v>
      </c>
      <c r="Q4003">
        <v>0.223941</v>
      </c>
    </row>
    <row r="4004" spans="1:17" x14ac:dyDescent="0.25">
      <c r="A4004" t="str">
        <f>IF(C4004&amp;G4004&amp;D4004&lt;&gt;'Funnel setup'!$K$3&amp;'Funnel setup'!$K$4&amp;'Funnel setup'!$K$6,".",IF(A4003=".",1,A4003+1))</f>
        <v>.</v>
      </c>
      <c r="B4004" s="244" t="str">
        <f t="shared" si="62"/>
        <v>Total Hip ReplacementProviderLEWISHAM AND GREENWICH NHS TRUST (RJ2)EQ-5D Index</v>
      </c>
      <c r="C4004" t="s">
        <v>974</v>
      </c>
      <c r="D4004" t="s">
        <v>965</v>
      </c>
      <c r="E4004" t="s">
        <v>302</v>
      </c>
      <c r="F4004" t="s">
        <v>303</v>
      </c>
      <c r="G4004" t="s">
        <v>963</v>
      </c>
      <c r="H4004">
        <v>2</v>
      </c>
      <c r="I4004">
        <v>0.69</v>
      </c>
      <c r="J4004">
        <v>1</v>
      </c>
      <c r="K4004">
        <v>0.31</v>
      </c>
      <c r="L4004">
        <v>2</v>
      </c>
      <c r="M4004">
        <v>0</v>
      </c>
      <c r="N4004">
        <v>0</v>
      </c>
      <c r="O4004" t="s">
        <v>127</v>
      </c>
      <c r="P4004" t="s">
        <v>127</v>
      </c>
      <c r="Q4004" t="s">
        <v>127</v>
      </c>
    </row>
    <row r="4005" spans="1:17" x14ac:dyDescent="0.25">
      <c r="A4005" t="str">
        <f>IF(C4005&amp;G4005&amp;D4005&lt;&gt;'Funnel setup'!$K$3&amp;'Funnel setup'!$K$4&amp;'Funnel setup'!$K$6,".",IF(A4004=".",1,A4004+1))</f>
        <v>.</v>
      </c>
      <c r="B4005" s="244" t="str">
        <f t="shared" si="62"/>
        <v>Total Hip ReplacementProviderLINCOLN HOSPITAL (NT450)EQ-5D Index</v>
      </c>
      <c r="C4005" t="s">
        <v>974</v>
      </c>
      <c r="D4005" t="s">
        <v>965</v>
      </c>
      <c r="E4005" t="s">
        <v>304</v>
      </c>
      <c r="F4005" t="s">
        <v>305</v>
      </c>
      <c r="G4005" t="s">
        <v>963</v>
      </c>
      <c r="H4005">
        <v>67</v>
      </c>
      <c r="I4005">
        <v>0.38647799999999999</v>
      </c>
      <c r="J4005">
        <v>0.816299</v>
      </c>
      <c r="K4005">
        <v>0.42982100000000001</v>
      </c>
      <c r="L4005">
        <v>57</v>
      </c>
      <c r="M4005">
        <v>5</v>
      </c>
      <c r="N4005">
        <v>5</v>
      </c>
      <c r="O4005">
        <v>0.80115199999999998</v>
      </c>
      <c r="P4005">
        <v>0.47359699999999999</v>
      </c>
      <c r="Q4005">
        <v>0.27355099999999999</v>
      </c>
    </row>
    <row r="4006" spans="1:17" x14ac:dyDescent="0.25">
      <c r="A4006" t="str">
        <f>IF(C4006&amp;G4006&amp;D4006&lt;&gt;'Funnel setup'!$K$3&amp;'Funnel setup'!$K$4&amp;'Funnel setup'!$K$6,".",IF(A4005=".",1,A4005+1))</f>
        <v>.</v>
      </c>
      <c r="B4006" s="244" t="str">
        <f t="shared" si="62"/>
        <v>Total Hip ReplacementProviderLIVERPOOL UNIVERSITY HOSPITALS NHS FOUNDATION TRUST (REM)EQ-5D Index</v>
      </c>
      <c r="C4006" t="s">
        <v>974</v>
      </c>
      <c r="D4006" t="s">
        <v>965</v>
      </c>
      <c r="E4006" t="s">
        <v>306</v>
      </c>
      <c r="F4006" t="s">
        <v>307</v>
      </c>
      <c r="G4006" t="s">
        <v>963</v>
      </c>
      <c r="H4006">
        <v>91</v>
      </c>
      <c r="I4006">
        <v>0.14626400000000001</v>
      </c>
      <c r="J4006">
        <v>0.707901</v>
      </c>
      <c r="K4006">
        <v>0.56163700000000005</v>
      </c>
      <c r="L4006">
        <v>83</v>
      </c>
      <c r="M4006">
        <v>6</v>
      </c>
      <c r="N4006">
        <v>2</v>
      </c>
      <c r="O4006">
        <v>0.80653600000000003</v>
      </c>
      <c r="P4006">
        <v>0.47898099999999999</v>
      </c>
      <c r="Q4006">
        <v>0.272843</v>
      </c>
    </row>
    <row r="4007" spans="1:17" x14ac:dyDescent="0.25">
      <c r="A4007" t="str">
        <f>IF(C4007&amp;G4007&amp;D4007&lt;&gt;'Funnel setup'!$K$3&amp;'Funnel setup'!$K$4&amp;'Funnel setup'!$K$6,".",IF(A4006=".",1,A4006+1))</f>
        <v>.</v>
      </c>
      <c r="B4007" s="244" t="str">
        <f t="shared" si="62"/>
        <v>Total Hip ReplacementProviderLONDON INDEPENDENT HOSPITAL (NT422)EQ-5D Index</v>
      </c>
      <c r="C4007" t="s">
        <v>974</v>
      </c>
      <c r="D4007" t="s">
        <v>965</v>
      </c>
      <c r="E4007" t="s">
        <v>308</v>
      </c>
      <c r="F4007" t="s">
        <v>309</v>
      </c>
      <c r="G4007" t="s">
        <v>963</v>
      </c>
      <c r="H4007">
        <v>8</v>
      </c>
      <c r="I4007">
        <v>0.23874999999999999</v>
      </c>
      <c r="J4007">
        <v>0.82887500000000003</v>
      </c>
      <c r="K4007">
        <v>0.59012500000000001</v>
      </c>
      <c r="L4007">
        <v>8</v>
      </c>
      <c r="M4007">
        <v>0</v>
      </c>
      <c r="N4007">
        <v>0</v>
      </c>
      <c r="O4007" t="s">
        <v>127</v>
      </c>
      <c r="P4007" t="s">
        <v>127</v>
      </c>
      <c r="Q4007" t="s">
        <v>127</v>
      </c>
    </row>
    <row r="4008" spans="1:17" x14ac:dyDescent="0.25">
      <c r="A4008" t="str">
        <f>IF(C4008&amp;G4008&amp;D4008&lt;&gt;'Funnel setup'!$K$3&amp;'Funnel setup'!$K$4&amp;'Funnel setup'!$K$6,".",IF(A4007=".",1,A4007+1))</f>
        <v>.</v>
      </c>
      <c r="B4008" s="244" t="str">
        <f t="shared" si="62"/>
        <v>Total Hip ReplacementProviderMAIDSTONE AND TUNBRIDGE WELLS NHS TRUST (RWF)EQ-5D Index</v>
      </c>
      <c r="C4008" t="s">
        <v>974</v>
      </c>
      <c r="D4008" t="s">
        <v>965</v>
      </c>
      <c r="E4008" t="s">
        <v>312</v>
      </c>
      <c r="F4008" t="s">
        <v>313</v>
      </c>
      <c r="G4008" t="s">
        <v>963</v>
      </c>
      <c r="H4008">
        <v>119</v>
      </c>
      <c r="I4008">
        <v>0.42520200000000002</v>
      </c>
      <c r="J4008">
        <v>0.83015099999999997</v>
      </c>
      <c r="K4008">
        <v>0.40494999999999998</v>
      </c>
      <c r="L4008">
        <v>108</v>
      </c>
      <c r="M4008">
        <v>5</v>
      </c>
      <c r="N4008">
        <v>6</v>
      </c>
      <c r="O4008">
        <v>0.79312800000000006</v>
      </c>
      <c r="P4008">
        <v>0.46557199999999999</v>
      </c>
      <c r="Q4008">
        <v>0.17793500000000001</v>
      </c>
    </row>
    <row r="4009" spans="1:17" x14ac:dyDescent="0.25">
      <c r="A4009" t="str">
        <f>IF(C4009&amp;G4009&amp;D4009&lt;&gt;'Funnel setup'!$K$3&amp;'Funnel setup'!$K$4&amp;'Funnel setup'!$K$6,".",IF(A4008=".",1,A4008+1))</f>
        <v>.</v>
      </c>
      <c r="B4009" s="244" t="str">
        <f t="shared" si="62"/>
        <v>Total Hip ReplacementProviderMANCHESTER UNIVERSITY NHS FOUNDATION TRUST (R0A)EQ-5D Index</v>
      </c>
      <c r="C4009" t="s">
        <v>974</v>
      </c>
      <c r="D4009" t="s">
        <v>965</v>
      </c>
      <c r="E4009" t="s">
        <v>316</v>
      </c>
      <c r="F4009" t="s">
        <v>317</v>
      </c>
      <c r="G4009" t="s">
        <v>963</v>
      </c>
      <c r="H4009">
        <v>100</v>
      </c>
      <c r="I4009">
        <v>0.27066000000000001</v>
      </c>
      <c r="J4009">
        <v>0.72419</v>
      </c>
      <c r="K4009">
        <v>0.45352999999999999</v>
      </c>
      <c r="L4009">
        <v>87</v>
      </c>
      <c r="M4009">
        <v>5</v>
      </c>
      <c r="N4009">
        <v>8</v>
      </c>
      <c r="O4009">
        <v>0.75675899999999996</v>
      </c>
      <c r="P4009">
        <v>0.429203</v>
      </c>
      <c r="Q4009">
        <v>0.27047900000000002</v>
      </c>
    </row>
    <row r="4010" spans="1:17" x14ac:dyDescent="0.25">
      <c r="A4010" t="str">
        <f>IF(C4010&amp;G4010&amp;D4010&lt;&gt;'Funnel setup'!$K$3&amp;'Funnel setup'!$K$4&amp;'Funnel setup'!$K$6,".",IF(A4009=".",1,A4009+1))</f>
        <v>.</v>
      </c>
      <c r="B4010" s="244" t="str">
        <f t="shared" si="62"/>
        <v>Total Hip ReplacementProviderMANOR HOSPITAL (NT423)EQ-5D Index</v>
      </c>
      <c r="C4010" t="s">
        <v>974</v>
      </c>
      <c r="D4010" t="s">
        <v>965</v>
      </c>
      <c r="E4010" t="s">
        <v>318</v>
      </c>
      <c r="F4010" t="s">
        <v>319</v>
      </c>
      <c r="G4010" t="s">
        <v>963</v>
      </c>
      <c r="H4010">
        <v>16</v>
      </c>
      <c r="I4010">
        <v>0.34549999999999997</v>
      </c>
      <c r="J4010">
        <v>0.85006300000000001</v>
      </c>
      <c r="K4010">
        <v>0.50456299999999998</v>
      </c>
      <c r="L4010">
        <v>16</v>
      </c>
      <c r="M4010">
        <v>0</v>
      </c>
      <c r="N4010">
        <v>0</v>
      </c>
      <c r="O4010" t="s">
        <v>127</v>
      </c>
      <c r="P4010" t="s">
        <v>127</v>
      </c>
      <c r="Q4010" t="s">
        <v>127</v>
      </c>
    </row>
    <row r="4011" spans="1:17" x14ac:dyDescent="0.25">
      <c r="A4011" t="str">
        <f>IF(C4011&amp;G4011&amp;D4011&lt;&gt;'Funnel setup'!$K$3&amp;'Funnel setup'!$K$4&amp;'Funnel setup'!$K$6,".",IF(A4010=".",1,A4010+1))</f>
        <v>.</v>
      </c>
      <c r="B4011" s="244" t="str">
        <f t="shared" si="62"/>
        <v>Total Hip ReplacementProviderMEDWAY NHS FOUNDATION TRUST (RPA)EQ-5D Index</v>
      </c>
      <c r="C4011" t="s">
        <v>974</v>
      </c>
      <c r="D4011" t="s">
        <v>965</v>
      </c>
      <c r="E4011" t="s">
        <v>320</v>
      </c>
      <c r="F4011" t="s">
        <v>321</v>
      </c>
      <c r="G4011" t="s">
        <v>963</v>
      </c>
      <c r="H4011">
        <v>41</v>
      </c>
      <c r="I4011">
        <v>0.23143900000000001</v>
      </c>
      <c r="J4011">
        <v>0.75970700000000002</v>
      </c>
      <c r="K4011">
        <v>0.52826799999999996</v>
      </c>
      <c r="L4011">
        <v>38</v>
      </c>
      <c r="M4011">
        <v>1</v>
      </c>
      <c r="N4011">
        <v>2</v>
      </c>
      <c r="O4011">
        <v>0.79510199999999998</v>
      </c>
      <c r="P4011">
        <v>0.46754600000000002</v>
      </c>
      <c r="Q4011">
        <v>0.224664</v>
      </c>
    </row>
    <row r="4012" spans="1:17" x14ac:dyDescent="0.25">
      <c r="A4012" t="str">
        <f>IF(C4012&amp;G4012&amp;D4012&lt;&gt;'Funnel setup'!$K$3&amp;'Funnel setup'!$K$4&amp;'Funnel setup'!$K$6,".",IF(A4011=".",1,A4011+1))</f>
        <v>.</v>
      </c>
      <c r="B4012" s="244" t="str">
        <f t="shared" si="62"/>
        <v>Total Hip ReplacementProviderMERIDEN HOSPITAL (NT424)EQ-5D Index</v>
      </c>
      <c r="C4012" t="s">
        <v>974</v>
      </c>
      <c r="D4012" t="s">
        <v>965</v>
      </c>
      <c r="E4012" t="s">
        <v>322</v>
      </c>
      <c r="F4012" t="s">
        <v>323</v>
      </c>
      <c r="G4012" t="s">
        <v>963</v>
      </c>
      <c r="H4012">
        <v>5</v>
      </c>
      <c r="I4012">
        <v>0.26</v>
      </c>
      <c r="J4012">
        <v>0.92400000000000004</v>
      </c>
      <c r="K4012">
        <v>0.66400000000000003</v>
      </c>
      <c r="L4012">
        <v>5</v>
      </c>
      <c r="M4012">
        <v>0</v>
      </c>
      <c r="N4012">
        <v>0</v>
      </c>
      <c r="O4012" t="s">
        <v>127</v>
      </c>
      <c r="P4012" t="s">
        <v>127</v>
      </c>
      <c r="Q4012" t="s">
        <v>127</v>
      </c>
    </row>
    <row r="4013" spans="1:17" x14ac:dyDescent="0.25">
      <c r="A4013" t="str">
        <f>IF(C4013&amp;G4013&amp;D4013&lt;&gt;'Funnel setup'!$K$3&amp;'Funnel setup'!$K$4&amp;'Funnel setup'!$K$6,".",IF(A4012=".",1,A4012+1))</f>
        <v>.</v>
      </c>
      <c r="B4013" s="244" t="str">
        <f t="shared" si="62"/>
        <v>Total Hip ReplacementProviderMID AND SOUTH ESSEX NHS FOUNDATION TRUST (RAJ)EQ-5D Index</v>
      </c>
      <c r="C4013" t="s">
        <v>974</v>
      </c>
      <c r="D4013" t="s">
        <v>965</v>
      </c>
      <c r="E4013" t="s">
        <v>324</v>
      </c>
      <c r="F4013" t="s">
        <v>325</v>
      </c>
      <c r="G4013" t="s">
        <v>963</v>
      </c>
      <c r="H4013">
        <v>113</v>
      </c>
      <c r="I4013">
        <v>0.23797299999999999</v>
      </c>
      <c r="J4013">
        <v>0.73339799999999999</v>
      </c>
      <c r="K4013">
        <v>0.495425</v>
      </c>
      <c r="L4013">
        <v>104</v>
      </c>
      <c r="M4013">
        <v>2</v>
      </c>
      <c r="N4013">
        <v>7</v>
      </c>
      <c r="O4013">
        <v>0.77659999999999996</v>
      </c>
      <c r="P4013">
        <v>0.449044</v>
      </c>
      <c r="Q4013">
        <v>0.24969</v>
      </c>
    </row>
    <row r="4014" spans="1:17" x14ac:dyDescent="0.25">
      <c r="A4014" t="str">
        <f>IF(C4014&amp;G4014&amp;D4014&lt;&gt;'Funnel setup'!$K$3&amp;'Funnel setup'!$K$4&amp;'Funnel setup'!$K$6,".",IF(A4013=".",1,A4013+1))</f>
        <v>.</v>
      </c>
      <c r="B4014" s="244" t="str">
        <f t="shared" si="62"/>
        <v>Total Hip ReplacementProviderMID CHESHIRE HOSPITALS NHS FOUNDATION TRUST (RBT)EQ-5D Index</v>
      </c>
      <c r="C4014" t="s">
        <v>974</v>
      </c>
      <c r="D4014" t="s">
        <v>965</v>
      </c>
      <c r="E4014" t="s">
        <v>326</v>
      </c>
      <c r="F4014" t="s">
        <v>327</v>
      </c>
      <c r="G4014" t="s">
        <v>963</v>
      </c>
      <c r="H4014">
        <v>98</v>
      </c>
      <c r="I4014">
        <v>0.30466300000000002</v>
      </c>
      <c r="J4014">
        <v>0.80640800000000001</v>
      </c>
      <c r="K4014">
        <v>0.501745</v>
      </c>
      <c r="L4014">
        <v>89</v>
      </c>
      <c r="M4014">
        <v>6</v>
      </c>
      <c r="N4014">
        <v>3</v>
      </c>
      <c r="O4014">
        <v>0.80016500000000002</v>
      </c>
      <c r="P4014">
        <v>0.47260999999999997</v>
      </c>
      <c r="Q4014">
        <v>0.18884400000000001</v>
      </c>
    </row>
    <row r="4015" spans="1:17" x14ac:dyDescent="0.25">
      <c r="A4015" t="str">
        <f>IF(C4015&amp;G4015&amp;D4015&lt;&gt;'Funnel setup'!$K$3&amp;'Funnel setup'!$K$4&amp;'Funnel setup'!$K$6,".",IF(A4014=".",1,A4014+1))</f>
        <v>.</v>
      </c>
      <c r="B4015" s="244" t="str">
        <f t="shared" si="62"/>
        <v>Total Hip ReplacementProviderMID YORKSHIRE TEACHING NHS TRUST (RXF)EQ-5D Index</v>
      </c>
      <c r="C4015" t="s">
        <v>974</v>
      </c>
      <c r="D4015" t="s">
        <v>965</v>
      </c>
      <c r="E4015" t="s">
        <v>330</v>
      </c>
      <c r="F4015" t="s">
        <v>331</v>
      </c>
      <c r="G4015" t="s">
        <v>963</v>
      </c>
      <c r="H4015">
        <v>179</v>
      </c>
      <c r="I4015">
        <v>0.271235</v>
      </c>
      <c r="J4015">
        <v>0.70138</v>
      </c>
      <c r="K4015">
        <v>0.430145</v>
      </c>
      <c r="L4015">
        <v>156</v>
      </c>
      <c r="M4015">
        <v>7</v>
      </c>
      <c r="N4015">
        <v>16</v>
      </c>
      <c r="O4015">
        <v>0.73835200000000001</v>
      </c>
      <c r="P4015">
        <v>0.41079599999999999</v>
      </c>
      <c r="Q4015">
        <v>0.28565499999999999</v>
      </c>
    </row>
    <row r="4016" spans="1:17" x14ac:dyDescent="0.25">
      <c r="A4016" t="str">
        <f>IF(C4016&amp;G4016&amp;D4016&lt;&gt;'Funnel setup'!$K$3&amp;'Funnel setup'!$K$4&amp;'Funnel setup'!$K$6,".",IF(A4015=".",1,A4015+1))</f>
        <v>.</v>
      </c>
      <c r="B4016" s="244" t="str">
        <f t="shared" si="62"/>
        <v>Total Hip ReplacementProviderMILTON KEYNES UNIVERSITY HOSPITAL NHS FOUNDATION TRUST (RD8)EQ-5D Index</v>
      </c>
      <c r="C4016" t="s">
        <v>974</v>
      </c>
      <c r="D4016" t="s">
        <v>965</v>
      </c>
      <c r="E4016" t="s">
        <v>332</v>
      </c>
      <c r="F4016" t="s">
        <v>333</v>
      </c>
      <c r="G4016" t="s">
        <v>963</v>
      </c>
      <c r="H4016">
        <v>33</v>
      </c>
      <c r="I4016">
        <v>0.21567600000000001</v>
      </c>
      <c r="J4016">
        <v>0.81008800000000003</v>
      </c>
      <c r="K4016">
        <v>0.59441200000000005</v>
      </c>
      <c r="L4016">
        <v>32</v>
      </c>
      <c r="M4016">
        <v>0</v>
      </c>
      <c r="N4016">
        <v>1</v>
      </c>
      <c r="O4016">
        <v>0.87160000000000004</v>
      </c>
      <c r="P4016">
        <v>0.54404399999999997</v>
      </c>
      <c r="Q4016">
        <v>0.24884200000000001</v>
      </c>
    </row>
    <row r="4017" spans="1:17" x14ac:dyDescent="0.25">
      <c r="A4017" t="str">
        <f>IF(C4017&amp;G4017&amp;D4017&lt;&gt;'Funnel setup'!$K$3&amp;'Funnel setup'!$K$4&amp;'Funnel setup'!$K$6,".",IF(A4016=".",1,A4016+1))</f>
        <v>.</v>
      </c>
      <c r="B4017" s="244" t="str">
        <f t="shared" si="62"/>
        <v>Total Hip ReplacementProviderMOUNT ALVERNIA HOSPITAL (NT455)EQ-5D Index</v>
      </c>
      <c r="C4017" t="s">
        <v>974</v>
      </c>
      <c r="D4017" t="s">
        <v>965</v>
      </c>
      <c r="E4017" t="s">
        <v>334</v>
      </c>
      <c r="F4017" t="s">
        <v>335</v>
      </c>
      <c r="G4017" t="s">
        <v>963</v>
      </c>
      <c r="H4017">
        <v>8</v>
      </c>
      <c r="I4017">
        <v>0.51424999999999998</v>
      </c>
      <c r="J4017">
        <v>0.89575000000000005</v>
      </c>
      <c r="K4017">
        <v>0.38150000000000001</v>
      </c>
      <c r="L4017">
        <v>8</v>
      </c>
      <c r="M4017">
        <v>0</v>
      </c>
      <c r="N4017">
        <v>0</v>
      </c>
      <c r="O4017" t="s">
        <v>127</v>
      </c>
      <c r="P4017" t="s">
        <v>127</v>
      </c>
      <c r="Q4017" t="s">
        <v>127</v>
      </c>
    </row>
    <row r="4018" spans="1:17" x14ac:dyDescent="0.25">
      <c r="A4018" t="str">
        <f>IF(C4018&amp;G4018&amp;D4018&lt;&gt;'Funnel setup'!$K$3&amp;'Funnel setup'!$K$4&amp;'Funnel setup'!$K$6,".",IF(A4017=".",1,A4017+1))</f>
        <v>.</v>
      </c>
      <c r="B4018" s="244" t="str">
        <f t="shared" si="62"/>
        <v>Total Hip ReplacementProviderMOUNT STUART HOSPITAL (NVC08)EQ-5D Index</v>
      </c>
      <c r="C4018" t="s">
        <v>974</v>
      </c>
      <c r="D4018" t="s">
        <v>965</v>
      </c>
      <c r="E4018" t="s">
        <v>336</v>
      </c>
      <c r="F4018" t="s">
        <v>337</v>
      </c>
      <c r="G4018" t="s">
        <v>963</v>
      </c>
      <c r="H4018">
        <v>84</v>
      </c>
      <c r="I4018">
        <v>0.26645200000000002</v>
      </c>
      <c r="J4018">
        <v>0.81183300000000003</v>
      </c>
      <c r="K4018">
        <v>0.545381</v>
      </c>
      <c r="L4018">
        <v>79</v>
      </c>
      <c r="M4018">
        <v>2</v>
      </c>
      <c r="N4018">
        <v>3</v>
      </c>
      <c r="O4018">
        <v>0.82339200000000001</v>
      </c>
      <c r="P4018">
        <v>0.495836</v>
      </c>
      <c r="Q4018">
        <v>0.20630299999999999</v>
      </c>
    </row>
    <row r="4019" spans="1:17" x14ac:dyDescent="0.25">
      <c r="A4019" t="str">
        <f>IF(C4019&amp;G4019&amp;D4019&lt;&gt;'Funnel setup'!$K$3&amp;'Funnel setup'!$K$4&amp;'Funnel setup'!$K$6,".",IF(A4018=".",1,A4018+1))</f>
        <v>.</v>
      </c>
      <c r="B4019" s="244" t="str">
        <f t="shared" si="62"/>
        <v>Total Hip ReplacementProviderNEW HALL HOSPITAL (NVC09)EQ-5D Index</v>
      </c>
      <c r="C4019" t="s">
        <v>974</v>
      </c>
      <c r="D4019" t="s">
        <v>965</v>
      </c>
      <c r="E4019" t="s">
        <v>338</v>
      </c>
      <c r="F4019" t="s">
        <v>339</v>
      </c>
      <c r="G4019" t="s">
        <v>963</v>
      </c>
      <c r="H4019">
        <v>82</v>
      </c>
      <c r="I4019">
        <v>0.38832499999999998</v>
      </c>
      <c r="J4019">
        <v>0.82804800000000001</v>
      </c>
      <c r="K4019">
        <v>0.43972299999999997</v>
      </c>
      <c r="L4019">
        <v>74</v>
      </c>
      <c r="M4019">
        <v>6</v>
      </c>
      <c r="N4019">
        <v>2</v>
      </c>
      <c r="O4019">
        <v>0.78212899999999996</v>
      </c>
      <c r="P4019">
        <v>0.454573</v>
      </c>
      <c r="Q4019">
        <v>0.236762</v>
      </c>
    </row>
    <row r="4020" spans="1:17" x14ac:dyDescent="0.25">
      <c r="A4020" t="str">
        <f>IF(C4020&amp;G4020&amp;D4020&lt;&gt;'Funnel setup'!$K$3&amp;'Funnel setup'!$K$4&amp;'Funnel setup'!$K$6,".",IF(A4019=".",1,A4019+1))</f>
        <v>.</v>
      </c>
      <c r="B4020" s="244" t="str">
        <f t="shared" si="62"/>
        <v>Total Hip ReplacementProviderNORFOLK AND NORWICH UNIVERSITY HOSPITALS NHS FOUNDATION TRUST (RM1)EQ-5D Index</v>
      </c>
      <c r="C4020" t="s">
        <v>974</v>
      </c>
      <c r="D4020" t="s">
        <v>965</v>
      </c>
      <c r="E4020" t="s">
        <v>340</v>
      </c>
      <c r="F4020" t="s">
        <v>341</v>
      </c>
      <c r="G4020" t="s">
        <v>963</v>
      </c>
      <c r="H4020">
        <v>192</v>
      </c>
      <c r="I4020">
        <v>0.28282800000000002</v>
      </c>
      <c r="J4020">
        <v>0.72958299999999998</v>
      </c>
      <c r="K4020">
        <v>0.44675500000000001</v>
      </c>
      <c r="L4020">
        <v>165</v>
      </c>
      <c r="M4020">
        <v>16</v>
      </c>
      <c r="N4020">
        <v>11</v>
      </c>
      <c r="O4020">
        <v>0.769679</v>
      </c>
      <c r="P4020">
        <v>0.44212299999999999</v>
      </c>
      <c r="Q4020">
        <v>0.28035100000000002</v>
      </c>
    </row>
    <row r="4021" spans="1:17" x14ac:dyDescent="0.25">
      <c r="A4021" t="str">
        <f>IF(C4021&amp;G4021&amp;D4021&lt;&gt;'Funnel setup'!$K$3&amp;'Funnel setup'!$K$4&amp;'Funnel setup'!$K$6,".",IF(A4020=".",1,A4020+1))</f>
        <v>.</v>
      </c>
      <c r="B4021" s="244" t="str">
        <f t="shared" si="62"/>
        <v>Total Hip ReplacementProviderNORTH BRISTOL NHS TRUST (RVJ)EQ-5D Index</v>
      </c>
      <c r="C4021" t="s">
        <v>974</v>
      </c>
      <c r="D4021" t="s">
        <v>965</v>
      </c>
      <c r="E4021" t="s">
        <v>342</v>
      </c>
      <c r="F4021" t="s">
        <v>343</v>
      </c>
      <c r="G4021" t="s">
        <v>963</v>
      </c>
      <c r="H4021">
        <v>9</v>
      </c>
      <c r="I4021">
        <v>6.4111100000000004E-2</v>
      </c>
      <c r="J4021">
        <v>0.69777800000000001</v>
      </c>
      <c r="K4021">
        <v>0.63366699999999998</v>
      </c>
      <c r="L4021">
        <v>9</v>
      </c>
      <c r="M4021">
        <v>0</v>
      </c>
      <c r="N4021">
        <v>0</v>
      </c>
      <c r="O4021" t="s">
        <v>127</v>
      </c>
      <c r="P4021" t="s">
        <v>127</v>
      </c>
      <c r="Q4021" t="s">
        <v>127</v>
      </c>
    </row>
    <row r="4022" spans="1:17" x14ac:dyDescent="0.25">
      <c r="A4022" t="str">
        <f>IF(C4022&amp;G4022&amp;D4022&lt;&gt;'Funnel setup'!$K$3&amp;'Funnel setup'!$K$4&amp;'Funnel setup'!$K$6,".",IF(A4021=".",1,A4021+1))</f>
        <v>.</v>
      </c>
      <c r="B4022" s="244" t="str">
        <f t="shared" si="62"/>
        <v>Total Hip ReplacementProviderNORTH CUMBRIA INTEGRATED CARE NHS FOUNDATION TRUST (RNN)EQ-5D Index</v>
      </c>
      <c r="C4022" t="s">
        <v>974</v>
      </c>
      <c r="D4022" t="s">
        <v>965</v>
      </c>
      <c r="E4022" t="s">
        <v>344</v>
      </c>
      <c r="F4022" t="s">
        <v>345</v>
      </c>
      <c r="G4022" t="s">
        <v>963</v>
      </c>
      <c r="H4022">
        <v>84</v>
      </c>
      <c r="I4022">
        <v>0.19326199999999999</v>
      </c>
      <c r="J4022">
        <v>0.76768999999999998</v>
      </c>
      <c r="K4022">
        <v>0.57442899999999997</v>
      </c>
      <c r="L4022">
        <v>79</v>
      </c>
      <c r="M4022">
        <v>2</v>
      </c>
      <c r="N4022">
        <v>3</v>
      </c>
      <c r="O4022">
        <v>0.81314500000000001</v>
      </c>
      <c r="P4022">
        <v>0.48558899999999999</v>
      </c>
      <c r="Q4022">
        <v>0.23306199999999999</v>
      </c>
    </row>
    <row r="4023" spans="1:17" x14ac:dyDescent="0.25">
      <c r="A4023" t="str">
        <f>IF(C4023&amp;G4023&amp;D4023&lt;&gt;'Funnel setup'!$K$3&amp;'Funnel setup'!$K$4&amp;'Funnel setup'!$K$6,".",IF(A4022=".",1,A4022+1))</f>
        <v>.</v>
      </c>
      <c r="B4023" s="244" t="str">
        <f t="shared" si="62"/>
        <v>Total Hip ReplacementProviderNORTH DOWNS HOSPITAL (NVC11)EQ-5D Index</v>
      </c>
      <c r="C4023" t="s">
        <v>974</v>
      </c>
      <c r="D4023" t="s">
        <v>965</v>
      </c>
      <c r="E4023" t="s">
        <v>348</v>
      </c>
      <c r="F4023" t="s">
        <v>349</v>
      </c>
      <c r="G4023" t="s">
        <v>963</v>
      </c>
      <c r="H4023">
        <v>55</v>
      </c>
      <c r="I4023">
        <v>0.44575900000000002</v>
      </c>
      <c r="J4023">
        <v>0.83855199999999996</v>
      </c>
      <c r="K4023">
        <v>0.392793</v>
      </c>
      <c r="L4023">
        <v>51</v>
      </c>
      <c r="M4023">
        <v>1</v>
      </c>
      <c r="N4023">
        <v>3</v>
      </c>
      <c r="O4023">
        <v>0.77954800000000002</v>
      </c>
      <c r="P4023">
        <v>0.451992</v>
      </c>
      <c r="Q4023">
        <v>0.19386</v>
      </c>
    </row>
    <row r="4024" spans="1:17" x14ac:dyDescent="0.25">
      <c r="A4024" t="str">
        <f>IF(C4024&amp;G4024&amp;D4024&lt;&gt;'Funnel setup'!$K$3&amp;'Funnel setup'!$K$4&amp;'Funnel setup'!$K$6,".",IF(A4023=".",1,A4023+1))</f>
        <v>.</v>
      </c>
      <c r="B4024" s="244" t="str">
        <f t="shared" si="62"/>
        <v>Total Hip ReplacementProviderNORTH MIDDLESEX UNIVERSITY HOSPITAL NHS TRUST (RAP)EQ-5D Index</v>
      </c>
      <c r="C4024" t="s">
        <v>974</v>
      </c>
      <c r="D4024" t="s">
        <v>965</v>
      </c>
      <c r="E4024" t="s">
        <v>350</v>
      </c>
      <c r="F4024" t="s">
        <v>351</v>
      </c>
      <c r="G4024" t="s">
        <v>963</v>
      </c>
      <c r="H4024">
        <v>7</v>
      </c>
      <c r="I4024">
        <v>0.223714</v>
      </c>
      <c r="J4024">
        <v>0.623</v>
      </c>
      <c r="K4024">
        <v>0.39928599999999997</v>
      </c>
      <c r="L4024">
        <v>6</v>
      </c>
      <c r="M4024">
        <v>0</v>
      </c>
      <c r="N4024">
        <v>1</v>
      </c>
      <c r="O4024" t="s">
        <v>127</v>
      </c>
      <c r="P4024" t="s">
        <v>127</v>
      </c>
      <c r="Q4024" t="s">
        <v>127</v>
      </c>
    </row>
    <row r="4025" spans="1:17" x14ac:dyDescent="0.25">
      <c r="A4025" t="str">
        <f>IF(C4025&amp;G4025&amp;D4025&lt;&gt;'Funnel setup'!$K$3&amp;'Funnel setup'!$K$4&amp;'Funnel setup'!$K$6,".",IF(A4024=".",1,A4024+1))</f>
        <v>.</v>
      </c>
      <c r="B4025" s="244" t="str">
        <f t="shared" si="62"/>
        <v>Total Hip ReplacementProviderNORTH TEES AND HARTLEPOOL NHS FOUNDATION TRUST (RVW)EQ-5D Index</v>
      </c>
      <c r="C4025" t="s">
        <v>974</v>
      </c>
      <c r="D4025" t="s">
        <v>965</v>
      </c>
      <c r="E4025" t="s">
        <v>352</v>
      </c>
      <c r="F4025" t="s">
        <v>353</v>
      </c>
      <c r="G4025" t="s">
        <v>963</v>
      </c>
      <c r="H4025">
        <v>107</v>
      </c>
      <c r="I4025">
        <v>0.181953</v>
      </c>
      <c r="J4025">
        <v>0.694299</v>
      </c>
      <c r="K4025">
        <v>0.51234599999999997</v>
      </c>
      <c r="L4025">
        <v>94</v>
      </c>
      <c r="M4025">
        <v>5</v>
      </c>
      <c r="N4025">
        <v>8</v>
      </c>
      <c r="O4025">
        <v>0.77636700000000003</v>
      </c>
      <c r="P4025">
        <v>0.44881100000000002</v>
      </c>
      <c r="Q4025">
        <v>0.28271299999999999</v>
      </c>
    </row>
    <row r="4026" spans="1:17" x14ac:dyDescent="0.25">
      <c r="A4026" t="str">
        <f>IF(C4026&amp;G4026&amp;D4026&lt;&gt;'Funnel setup'!$K$3&amp;'Funnel setup'!$K$4&amp;'Funnel setup'!$K$6,".",IF(A4025=".",1,A4025+1))</f>
        <v>.</v>
      </c>
      <c r="B4026" s="244" t="str">
        <f t="shared" si="62"/>
        <v>Total Hip ReplacementProviderNORTH WEST ANGLIA NHS FOUNDATION TRUST (RGN)EQ-5D Index</v>
      </c>
      <c r="C4026" t="s">
        <v>974</v>
      </c>
      <c r="D4026" t="s">
        <v>965</v>
      </c>
      <c r="E4026" t="s">
        <v>354</v>
      </c>
      <c r="F4026" t="s">
        <v>355</v>
      </c>
      <c r="G4026" t="s">
        <v>963</v>
      </c>
      <c r="H4026">
        <v>168</v>
      </c>
      <c r="I4026">
        <v>0.239899</v>
      </c>
      <c r="J4026">
        <v>0.74975599999999998</v>
      </c>
      <c r="K4026">
        <v>0.509857</v>
      </c>
      <c r="L4026">
        <v>145</v>
      </c>
      <c r="M4026">
        <v>14</v>
      </c>
      <c r="N4026">
        <v>9</v>
      </c>
      <c r="O4026">
        <v>0.77612199999999998</v>
      </c>
      <c r="P4026">
        <v>0.44856600000000002</v>
      </c>
      <c r="Q4026">
        <v>0.25110500000000002</v>
      </c>
    </row>
    <row r="4027" spans="1:17" x14ac:dyDescent="0.25">
      <c r="A4027" t="str">
        <f>IF(C4027&amp;G4027&amp;D4027&lt;&gt;'Funnel setup'!$K$3&amp;'Funnel setup'!$K$4&amp;'Funnel setup'!$K$6,".",IF(A4026=".",1,A4026+1))</f>
        <v>.</v>
      </c>
      <c r="B4027" s="244" t="str">
        <f t="shared" si="62"/>
        <v>Total Hip ReplacementProviderNORTHAMPTON GENERAL HOSPITAL NHS TRUST (RNS)EQ-5D Index</v>
      </c>
      <c r="C4027" t="s">
        <v>974</v>
      </c>
      <c r="D4027" t="s">
        <v>965</v>
      </c>
      <c r="E4027" t="s">
        <v>356</v>
      </c>
      <c r="F4027" t="s">
        <v>357</v>
      </c>
      <c r="G4027" t="s">
        <v>963</v>
      </c>
      <c r="H4027">
        <v>44</v>
      </c>
      <c r="I4027">
        <v>0.25579499999999999</v>
      </c>
      <c r="J4027">
        <v>0.79070499999999999</v>
      </c>
      <c r="K4027">
        <v>0.53490899999999997</v>
      </c>
      <c r="L4027">
        <v>39</v>
      </c>
      <c r="M4027">
        <v>3</v>
      </c>
      <c r="N4027">
        <v>2</v>
      </c>
      <c r="O4027">
        <v>0.835175</v>
      </c>
      <c r="P4027">
        <v>0.50761900000000004</v>
      </c>
      <c r="Q4027">
        <v>0.272596</v>
      </c>
    </row>
    <row r="4028" spans="1:17" x14ac:dyDescent="0.25">
      <c r="A4028" t="str">
        <f>IF(C4028&amp;G4028&amp;D4028&lt;&gt;'Funnel setup'!$K$3&amp;'Funnel setup'!$K$4&amp;'Funnel setup'!$K$6,".",IF(A4027=".",1,A4027+1))</f>
        <v>.</v>
      </c>
      <c r="B4028" s="244" t="str">
        <f t="shared" si="62"/>
        <v>Total Hip ReplacementProviderNORTHERN CARE ALLIANCE NHS FOUNDATION TRUST (RM3)EQ-5D Index</v>
      </c>
      <c r="C4028" t="s">
        <v>974</v>
      </c>
      <c r="D4028" t="s">
        <v>965</v>
      </c>
      <c r="E4028" t="s">
        <v>358</v>
      </c>
      <c r="F4028" t="s">
        <v>359</v>
      </c>
      <c r="G4028" t="s">
        <v>963</v>
      </c>
      <c r="H4028">
        <v>3</v>
      </c>
      <c r="I4028">
        <v>0.06</v>
      </c>
      <c r="J4028">
        <v>0.83866700000000005</v>
      </c>
      <c r="K4028">
        <v>0.778667</v>
      </c>
      <c r="L4028">
        <v>3</v>
      </c>
      <c r="M4028">
        <v>0</v>
      </c>
      <c r="N4028">
        <v>0</v>
      </c>
      <c r="O4028" t="s">
        <v>127</v>
      </c>
      <c r="P4028" t="s">
        <v>127</v>
      </c>
      <c r="Q4028" t="s">
        <v>127</v>
      </c>
    </row>
    <row r="4029" spans="1:17" x14ac:dyDescent="0.25">
      <c r="A4029" t="str">
        <f>IF(C4029&amp;G4029&amp;D4029&lt;&gt;'Funnel setup'!$K$3&amp;'Funnel setup'!$K$4&amp;'Funnel setup'!$K$6,".",IF(A4028=".",1,A4028+1))</f>
        <v>.</v>
      </c>
      <c r="B4029" s="244" t="str">
        <f t="shared" si="62"/>
        <v>Total Hip ReplacementProviderNORTHERN DEVON HEALTHCARE NHS TRUST (RBZ)EQ-5D Index</v>
      </c>
      <c r="C4029" t="s">
        <v>974</v>
      </c>
      <c r="D4029" t="s">
        <v>965</v>
      </c>
      <c r="E4029" t="s">
        <v>360</v>
      </c>
      <c r="F4029" t="s">
        <v>361</v>
      </c>
      <c r="G4029" t="s">
        <v>963</v>
      </c>
      <c r="H4029">
        <v>30</v>
      </c>
      <c r="I4029">
        <v>0.24296699999999999</v>
      </c>
      <c r="J4029">
        <v>0.77096699999999996</v>
      </c>
      <c r="K4029">
        <v>0.52800000000000002</v>
      </c>
      <c r="L4029">
        <v>28</v>
      </c>
      <c r="M4029">
        <v>0</v>
      </c>
      <c r="N4029">
        <v>2</v>
      </c>
      <c r="O4029">
        <v>0.83499000000000001</v>
      </c>
      <c r="P4029">
        <v>0.50743499999999997</v>
      </c>
      <c r="Q4029">
        <v>0.22537599999999999</v>
      </c>
    </row>
    <row r="4030" spans="1:17" x14ac:dyDescent="0.25">
      <c r="A4030" t="str">
        <f>IF(C4030&amp;G4030&amp;D4030&lt;&gt;'Funnel setup'!$K$3&amp;'Funnel setup'!$K$4&amp;'Funnel setup'!$K$6,".",IF(A4029=".",1,A4029+1))</f>
        <v>.</v>
      </c>
      <c r="B4030" s="244" t="str">
        <f t="shared" si="62"/>
        <v>Total Hip ReplacementProviderNORTHERN LINCOLNSHIRE AND GOOLE NHS FOUNDATION TRUST (RJL)EQ-5D Index</v>
      </c>
      <c r="C4030" t="s">
        <v>974</v>
      </c>
      <c r="D4030" t="s">
        <v>965</v>
      </c>
      <c r="E4030" t="s">
        <v>362</v>
      </c>
      <c r="F4030" t="s">
        <v>363</v>
      </c>
      <c r="G4030" t="s">
        <v>963</v>
      </c>
      <c r="H4030">
        <v>89</v>
      </c>
      <c r="I4030">
        <v>0.26122499999999998</v>
      </c>
      <c r="J4030">
        <v>0.77040399999999998</v>
      </c>
      <c r="K4030">
        <v>0.50917999999999997</v>
      </c>
      <c r="L4030">
        <v>79</v>
      </c>
      <c r="M4030">
        <v>7</v>
      </c>
      <c r="N4030">
        <v>3</v>
      </c>
      <c r="O4030">
        <v>0.78530299999999997</v>
      </c>
      <c r="P4030">
        <v>0.45774700000000001</v>
      </c>
      <c r="Q4030">
        <v>0.23760000000000001</v>
      </c>
    </row>
    <row r="4031" spans="1:17" x14ac:dyDescent="0.25">
      <c r="A4031" t="str">
        <f>IF(C4031&amp;G4031&amp;D4031&lt;&gt;'Funnel setup'!$K$3&amp;'Funnel setup'!$K$4&amp;'Funnel setup'!$K$6,".",IF(A4030=".",1,A4030+1))</f>
        <v>.</v>
      </c>
      <c r="B4031" s="244" t="str">
        <f t="shared" si="62"/>
        <v>Total Hip ReplacementProviderNORTHUMBRIA HEALTHCARE NHS FOUNDATION TRUST (RTF)EQ-5D Index</v>
      </c>
      <c r="C4031" t="s">
        <v>974</v>
      </c>
      <c r="D4031" t="s">
        <v>965</v>
      </c>
      <c r="E4031" t="s">
        <v>364</v>
      </c>
      <c r="F4031" t="s">
        <v>365</v>
      </c>
      <c r="G4031" t="s">
        <v>963</v>
      </c>
      <c r="H4031">
        <v>293</v>
      </c>
      <c r="I4031">
        <v>0.30526300000000001</v>
      </c>
      <c r="J4031">
        <v>0.79997300000000005</v>
      </c>
      <c r="K4031">
        <v>0.49470999999999998</v>
      </c>
      <c r="L4031">
        <v>268</v>
      </c>
      <c r="M4031">
        <v>12</v>
      </c>
      <c r="N4031">
        <v>13</v>
      </c>
      <c r="O4031">
        <v>0.80728</v>
      </c>
      <c r="P4031">
        <v>0.47972399999999998</v>
      </c>
      <c r="Q4031">
        <v>0.23880899999999999</v>
      </c>
    </row>
    <row r="4032" spans="1:17" x14ac:dyDescent="0.25">
      <c r="A4032" t="str">
        <f>IF(C4032&amp;G4032&amp;D4032&lt;&gt;'Funnel setup'!$K$3&amp;'Funnel setup'!$K$4&amp;'Funnel setup'!$K$6,".",IF(A4031=".",1,A4031+1))</f>
        <v>.</v>
      </c>
      <c r="B4032" s="244" t="str">
        <f t="shared" si="62"/>
        <v>Total Hip ReplacementProviderNOTTINGHAM UNIVERSITY HOSPITALS NHS TRUST (RX1)EQ-5D Index</v>
      </c>
      <c r="C4032" t="s">
        <v>974</v>
      </c>
      <c r="D4032" t="s">
        <v>965</v>
      </c>
      <c r="E4032" t="s">
        <v>366</v>
      </c>
      <c r="F4032" t="s">
        <v>367</v>
      </c>
      <c r="G4032" t="s">
        <v>963</v>
      </c>
      <c r="H4032">
        <v>3</v>
      </c>
      <c r="I4032">
        <v>0.42066700000000001</v>
      </c>
      <c r="J4032">
        <v>0.73566699999999996</v>
      </c>
      <c r="K4032">
        <v>0.315</v>
      </c>
      <c r="L4032">
        <v>2</v>
      </c>
      <c r="M4032">
        <v>1</v>
      </c>
      <c r="N4032">
        <v>0</v>
      </c>
      <c r="O4032" t="s">
        <v>127</v>
      </c>
      <c r="P4032" t="s">
        <v>127</v>
      </c>
      <c r="Q4032" t="s">
        <v>127</v>
      </c>
    </row>
    <row r="4033" spans="1:17" x14ac:dyDescent="0.25">
      <c r="A4033" t="str">
        <f>IF(C4033&amp;G4033&amp;D4033&lt;&gt;'Funnel setup'!$K$3&amp;'Funnel setup'!$K$4&amp;'Funnel setup'!$K$6,".",IF(A4032=".",1,A4032+1))</f>
        <v>.</v>
      </c>
      <c r="B4033" s="244" t="str">
        <f t="shared" si="62"/>
        <v>Total Hip ReplacementProviderNUFFIELD HEALTH, BOURNEMOUTH HOSPITAL (NT202)EQ-5D Index</v>
      </c>
      <c r="C4033" t="s">
        <v>974</v>
      </c>
      <c r="D4033" t="s">
        <v>965</v>
      </c>
      <c r="E4033" t="s">
        <v>368</v>
      </c>
      <c r="F4033" t="s">
        <v>369</v>
      </c>
      <c r="G4033" t="s">
        <v>963</v>
      </c>
      <c r="H4033">
        <v>12</v>
      </c>
      <c r="I4033">
        <v>0.36375000000000002</v>
      </c>
      <c r="J4033">
        <v>0.89175000000000004</v>
      </c>
      <c r="K4033">
        <v>0.52800000000000002</v>
      </c>
      <c r="L4033">
        <v>12</v>
      </c>
      <c r="M4033">
        <v>0</v>
      </c>
      <c r="N4033">
        <v>0</v>
      </c>
      <c r="O4033" t="s">
        <v>127</v>
      </c>
      <c r="P4033" t="s">
        <v>127</v>
      </c>
      <c r="Q4033" t="s">
        <v>127</v>
      </c>
    </row>
    <row r="4034" spans="1:17" x14ac:dyDescent="0.25">
      <c r="A4034" t="str">
        <f>IF(C4034&amp;G4034&amp;D4034&lt;&gt;'Funnel setup'!$K$3&amp;'Funnel setup'!$K$4&amp;'Funnel setup'!$K$6,".",IF(A4033=".",1,A4033+1))</f>
        <v>.</v>
      </c>
      <c r="B4034" s="244" t="str">
        <f t="shared" ref="B4034:B4097" si="63">C4034&amp;D4034&amp;F4034&amp;G4034</f>
        <v>Total Hip ReplacementProviderNUFFIELD HEALTH, BRENTWOOD HOSPITAL (NT204)EQ-5D Index</v>
      </c>
      <c r="C4034" t="s">
        <v>974</v>
      </c>
      <c r="D4034" t="s">
        <v>965</v>
      </c>
      <c r="E4034" t="s">
        <v>370</v>
      </c>
      <c r="F4034" t="s">
        <v>371</v>
      </c>
      <c r="G4034" t="s">
        <v>963</v>
      </c>
      <c r="H4034">
        <v>16</v>
      </c>
      <c r="I4034">
        <v>0.19931299999999999</v>
      </c>
      <c r="J4034">
        <v>0.74737500000000001</v>
      </c>
      <c r="K4034">
        <v>0.54806299999999997</v>
      </c>
      <c r="L4034">
        <v>14</v>
      </c>
      <c r="M4034">
        <v>1</v>
      </c>
      <c r="N4034">
        <v>1</v>
      </c>
      <c r="O4034" t="s">
        <v>127</v>
      </c>
      <c r="P4034" t="s">
        <v>127</v>
      </c>
      <c r="Q4034" t="s">
        <v>127</v>
      </c>
    </row>
    <row r="4035" spans="1:17" x14ac:dyDescent="0.25">
      <c r="A4035" t="str">
        <f>IF(C4035&amp;G4035&amp;D4035&lt;&gt;'Funnel setup'!$K$3&amp;'Funnel setup'!$K$4&amp;'Funnel setup'!$K$6,".",IF(A4034=".",1,A4034+1))</f>
        <v>.</v>
      </c>
      <c r="B4035" s="244" t="str">
        <f t="shared" si="63"/>
        <v>Total Hip ReplacementProviderNUFFIELD HEALTH, BRIGHTON HOSPITAL (NT205)EQ-5D Index</v>
      </c>
      <c r="C4035" t="s">
        <v>974</v>
      </c>
      <c r="D4035" t="s">
        <v>965</v>
      </c>
      <c r="E4035" t="s">
        <v>372</v>
      </c>
      <c r="F4035" t="s">
        <v>373</v>
      </c>
      <c r="G4035" t="s">
        <v>963</v>
      </c>
      <c r="H4035">
        <v>3</v>
      </c>
      <c r="I4035">
        <v>0.110667</v>
      </c>
      <c r="J4035">
        <v>0.69399999999999995</v>
      </c>
      <c r="K4035">
        <v>0.58333299999999999</v>
      </c>
      <c r="L4035">
        <v>3</v>
      </c>
      <c r="M4035">
        <v>0</v>
      </c>
      <c r="N4035">
        <v>0</v>
      </c>
      <c r="O4035" t="s">
        <v>127</v>
      </c>
      <c r="P4035" t="s">
        <v>127</v>
      </c>
      <c r="Q4035" t="s">
        <v>127</v>
      </c>
    </row>
    <row r="4036" spans="1:17" x14ac:dyDescent="0.25">
      <c r="A4036" t="str">
        <f>IF(C4036&amp;G4036&amp;D4036&lt;&gt;'Funnel setup'!$K$3&amp;'Funnel setup'!$K$4&amp;'Funnel setup'!$K$6,".",IF(A4035=".",1,A4035+1))</f>
        <v>.</v>
      </c>
      <c r="B4036" s="244" t="str">
        <f t="shared" si="63"/>
        <v>Total Hip ReplacementProviderNUFFIELD HEALTH, BRISTOL HOSPITAL (CHESTERFIELD) (NT206)EQ-5D Index</v>
      </c>
      <c r="C4036" t="s">
        <v>974</v>
      </c>
      <c r="D4036" t="s">
        <v>965</v>
      </c>
      <c r="E4036" t="s">
        <v>374</v>
      </c>
      <c r="F4036" t="s">
        <v>375</v>
      </c>
      <c r="G4036" t="s">
        <v>963</v>
      </c>
      <c r="H4036">
        <v>49</v>
      </c>
      <c r="I4036">
        <v>0.41602</v>
      </c>
      <c r="J4036">
        <v>0.84387800000000002</v>
      </c>
      <c r="K4036">
        <v>0.42785699999999999</v>
      </c>
      <c r="L4036">
        <v>45</v>
      </c>
      <c r="M4036">
        <v>2</v>
      </c>
      <c r="N4036">
        <v>2</v>
      </c>
      <c r="O4036">
        <v>0.80145599999999995</v>
      </c>
      <c r="P4036">
        <v>0.47389999999999999</v>
      </c>
      <c r="Q4036">
        <v>0.2021</v>
      </c>
    </row>
    <row r="4037" spans="1:17" x14ac:dyDescent="0.25">
      <c r="A4037" t="str">
        <f>IF(C4037&amp;G4037&amp;D4037&lt;&gt;'Funnel setup'!$K$3&amp;'Funnel setup'!$K$4&amp;'Funnel setup'!$K$6,".",IF(A4036=".",1,A4036+1))</f>
        <v>.</v>
      </c>
      <c r="B4037" s="244" t="str">
        <f t="shared" si="63"/>
        <v>Total Hip ReplacementProviderNUFFIELD HEALTH, CAMBRIDGE HOSPITAL (NT209)EQ-5D Index</v>
      </c>
      <c r="C4037" t="s">
        <v>974</v>
      </c>
      <c r="D4037" t="s">
        <v>965</v>
      </c>
      <c r="E4037" t="s">
        <v>376</v>
      </c>
      <c r="F4037" t="s">
        <v>377</v>
      </c>
      <c r="G4037" t="s">
        <v>963</v>
      </c>
      <c r="H4037">
        <v>19</v>
      </c>
      <c r="I4037">
        <v>0.28010499999999999</v>
      </c>
      <c r="J4037">
        <v>0.89742100000000002</v>
      </c>
      <c r="K4037">
        <v>0.61731599999999998</v>
      </c>
      <c r="L4037">
        <v>18</v>
      </c>
      <c r="M4037">
        <v>0</v>
      </c>
      <c r="N4037">
        <v>1</v>
      </c>
      <c r="O4037" t="s">
        <v>127</v>
      </c>
      <c r="P4037" t="s">
        <v>127</v>
      </c>
      <c r="Q4037" t="s">
        <v>127</v>
      </c>
    </row>
    <row r="4038" spans="1:17" x14ac:dyDescent="0.25">
      <c r="A4038" t="str">
        <f>IF(C4038&amp;G4038&amp;D4038&lt;&gt;'Funnel setup'!$K$3&amp;'Funnel setup'!$K$4&amp;'Funnel setup'!$K$6,".",IF(A4037=".",1,A4037+1))</f>
        <v>.</v>
      </c>
      <c r="B4038" s="244" t="str">
        <f t="shared" si="63"/>
        <v>Total Hip ReplacementProviderNUFFIELD HEALTH, CHELTENHAM HOSPITAL (NT211)EQ-5D Index</v>
      </c>
      <c r="C4038" t="s">
        <v>974</v>
      </c>
      <c r="D4038" t="s">
        <v>965</v>
      </c>
      <c r="E4038" t="s">
        <v>378</v>
      </c>
      <c r="F4038" t="s">
        <v>379</v>
      </c>
      <c r="G4038" t="s">
        <v>963</v>
      </c>
      <c r="H4038">
        <v>1</v>
      </c>
      <c r="I4038">
        <v>0.58699999999999997</v>
      </c>
      <c r="J4038">
        <v>1</v>
      </c>
      <c r="K4038">
        <v>0.41299999999999998</v>
      </c>
      <c r="L4038">
        <v>1</v>
      </c>
      <c r="M4038">
        <v>0</v>
      </c>
      <c r="N4038">
        <v>0</v>
      </c>
      <c r="O4038" t="s">
        <v>127</v>
      </c>
      <c r="P4038" t="s">
        <v>127</v>
      </c>
      <c r="Q4038" t="s">
        <v>127</v>
      </c>
    </row>
    <row r="4039" spans="1:17" x14ac:dyDescent="0.25">
      <c r="A4039" t="str">
        <f>IF(C4039&amp;G4039&amp;D4039&lt;&gt;'Funnel setup'!$K$3&amp;'Funnel setup'!$K$4&amp;'Funnel setup'!$K$6,".",IF(A4038=".",1,A4038+1))</f>
        <v>.</v>
      </c>
      <c r="B4039" s="244" t="str">
        <f t="shared" si="63"/>
        <v>Total Hip ReplacementProviderNUFFIELD HEALTH, CHICHESTER HOSPITAL (NT212)EQ-5D Index</v>
      </c>
      <c r="C4039" t="s">
        <v>974</v>
      </c>
      <c r="D4039" t="s">
        <v>965</v>
      </c>
      <c r="E4039" t="s">
        <v>380</v>
      </c>
      <c r="F4039" t="s">
        <v>381</v>
      </c>
      <c r="G4039" t="s">
        <v>963</v>
      </c>
      <c r="H4039">
        <v>17</v>
      </c>
      <c r="I4039">
        <v>0.39229399999999998</v>
      </c>
      <c r="J4039">
        <v>0.80341200000000002</v>
      </c>
      <c r="K4039">
        <v>0.41111799999999998</v>
      </c>
      <c r="L4039">
        <v>14</v>
      </c>
      <c r="M4039">
        <v>1</v>
      </c>
      <c r="N4039">
        <v>2</v>
      </c>
      <c r="O4039" t="s">
        <v>127</v>
      </c>
      <c r="P4039" t="s">
        <v>127</v>
      </c>
      <c r="Q4039" t="s">
        <v>127</v>
      </c>
    </row>
    <row r="4040" spans="1:17" x14ac:dyDescent="0.25">
      <c r="A4040" t="str">
        <f>IF(C4040&amp;G4040&amp;D4040&lt;&gt;'Funnel setup'!$K$3&amp;'Funnel setup'!$K$4&amp;'Funnel setup'!$K$6,".",IF(A4039=".",1,A4039+1))</f>
        <v>.</v>
      </c>
      <c r="B4040" s="244" t="str">
        <f t="shared" si="63"/>
        <v>Total Hip ReplacementProviderNUFFIELD HEALTH, DERBY HOSPITAL (NT213)EQ-5D Index</v>
      </c>
      <c r="C4040" t="s">
        <v>974</v>
      </c>
      <c r="D4040" t="s">
        <v>965</v>
      </c>
      <c r="E4040" t="s">
        <v>382</v>
      </c>
      <c r="F4040" t="s">
        <v>383</v>
      </c>
      <c r="G4040" t="s">
        <v>963</v>
      </c>
      <c r="H4040">
        <v>53</v>
      </c>
      <c r="I4040">
        <v>0.46090599999999998</v>
      </c>
      <c r="J4040">
        <v>0.85577400000000003</v>
      </c>
      <c r="K4040">
        <v>0.394868</v>
      </c>
      <c r="L4040">
        <v>47</v>
      </c>
      <c r="M4040">
        <v>4</v>
      </c>
      <c r="N4040">
        <v>2</v>
      </c>
      <c r="O4040">
        <v>0.81166499999999997</v>
      </c>
      <c r="P4040">
        <v>0.48410900000000001</v>
      </c>
      <c r="Q4040">
        <v>0.19158900000000001</v>
      </c>
    </row>
    <row r="4041" spans="1:17" x14ac:dyDescent="0.25">
      <c r="A4041" t="str">
        <f>IF(C4041&amp;G4041&amp;D4041&lt;&gt;'Funnel setup'!$K$3&amp;'Funnel setup'!$K$4&amp;'Funnel setup'!$K$6,".",IF(A4040=".",1,A4040+1))</f>
        <v>.</v>
      </c>
      <c r="B4041" s="244" t="str">
        <f t="shared" si="63"/>
        <v>Total Hip ReplacementProviderNUFFIELD HEALTH, EXETER HOSPITAL (NT215)EQ-5D Index</v>
      </c>
      <c r="C4041" t="s">
        <v>974</v>
      </c>
      <c r="D4041" t="s">
        <v>965</v>
      </c>
      <c r="E4041" t="s">
        <v>384</v>
      </c>
      <c r="F4041" t="s">
        <v>385</v>
      </c>
      <c r="G4041" t="s">
        <v>963</v>
      </c>
      <c r="H4041">
        <v>3</v>
      </c>
      <c r="I4041">
        <v>0.23233300000000001</v>
      </c>
      <c r="J4041">
        <v>1</v>
      </c>
      <c r="K4041">
        <v>0.76766699999999999</v>
      </c>
      <c r="L4041">
        <v>3</v>
      </c>
      <c r="M4041">
        <v>0</v>
      </c>
      <c r="N4041">
        <v>0</v>
      </c>
      <c r="O4041" t="s">
        <v>127</v>
      </c>
      <c r="P4041" t="s">
        <v>127</v>
      </c>
      <c r="Q4041" t="s">
        <v>127</v>
      </c>
    </row>
    <row r="4042" spans="1:17" x14ac:dyDescent="0.25">
      <c r="A4042" t="str">
        <f>IF(C4042&amp;G4042&amp;D4042&lt;&gt;'Funnel setup'!$K$3&amp;'Funnel setup'!$K$4&amp;'Funnel setup'!$K$6,".",IF(A4041=".",1,A4041+1))</f>
        <v>.</v>
      </c>
      <c r="B4042" s="244" t="str">
        <f t="shared" si="63"/>
        <v>Total Hip ReplacementProviderNUFFIELD HEALTH, HAYWARDS HEATH HOSPITAL (NT218)EQ-5D Index</v>
      </c>
      <c r="C4042" t="s">
        <v>974</v>
      </c>
      <c r="D4042" t="s">
        <v>965</v>
      </c>
      <c r="E4042" t="s">
        <v>386</v>
      </c>
      <c r="F4042" t="s">
        <v>387</v>
      </c>
      <c r="G4042" t="s">
        <v>963</v>
      </c>
      <c r="H4042">
        <v>18</v>
      </c>
      <c r="I4042">
        <v>0.41955599999999998</v>
      </c>
      <c r="J4042">
        <v>0.92255600000000004</v>
      </c>
      <c r="K4042">
        <v>0.503</v>
      </c>
      <c r="L4042">
        <v>18</v>
      </c>
      <c r="M4042">
        <v>0</v>
      </c>
      <c r="N4042">
        <v>0</v>
      </c>
      <c r="O4042" t="s">
        <v>127</v>
      </c>
      <c r="P4042" t="s">
        <v>127</v>
      </c>
      <c r="Q4042" t="s">
        <v>127</v>
      </c>
    </row>
    <row r="4043" spans="1:17" x14ac:dyDescent="0.25">
      <c r="A4043" t="str">
        <f>IF(C4043&amp;G4043&amp;D4043&lt;&gt;'Funnel setup'!$K$3&amp;'Funnel setup'!$K$4&amp;'Funnel setup'!$K$6,".",IF(A4042=".",1,A4042+1))</f>
        <v>.</v>
      </c>
      <c r="B4043" s="244" t="str">
        <f t="shared" si="63"/>
        <v>Total Hip ReplacementProviderNUFFIELD HEALTH, HEREFORD HOSPITAL (NT219)EQ-5D Index</v>
      </c>
      <c r="C4043" t="s">
        <v>974</v>
      </c>
      <c r="D4043" t="s">
        <v>965</v>
      </c>
      <c r="E4043" t="s">
        <v>388</v>
      </c>
      <c r="F4043" t="s">
        <v>389</v>
      </c>
      <c r="G4043" t="s">
        <v>963</v>
      </c>
      <c r="H4043">
        <v>7</v>
      </c>
      <c r="I4043">
        <v>0.35471399999999997</v>
      </c>
      <c r="J4043">
        <v>0.83671399999999996</v>
      </c>
      <c r="K4043">
        <v>0.48199999999999998</v>
      </c>
      <c r="L4043">
        <v>7</v>
      </c>
      <c r="M4043">
        <v>0</v>
      </c>
      <c r="N4043">
        <v>0</v>
      </c>
      <c r="O4043" t="s">
        <v>127</v>
      </c>
      <c r="P4043" t="s">
        <v>127</v>
      </c>
      <c r="Q4043" t="s">
        <v>127</v>
      </c>
    </row>
    <row r="4044" spans="1:17" x14ac:dyDescent="0.25">
      <c r="A4044" t="str">
        <f>IF(C4044&amp;G4044&amp;D4044&lt;&gt;'Funnel setup'!$K$3&amp;'Funnel setup'!$K$4&amp;'Funnel setup'!$K$6,".",IF(A4043=".",1,A4043+1))</f>
        <v>.</v>
      </c>
      <c r="B4044" s="244" t="str">
        <f t="shared" si="63"/>
        <v>Total Hip ReplacementProviderNUFFIELD HEALTH, IPSWICH HOSPITAL (NT222)EQ-5D Index</v>
      </c>
      <c r="C4044" t="s">
        <v>974</v>
      </c>
      <c r="D4044" t="s">
        <v>965</v>
      </c>
      <c r="E4044" t="s">
        <v>390</v>
      </c>
      <c r="F4044" t="s">
        <v>391</v>
      </c>
      <c r="G4044" t="s">
        <v>963</v>
      </c>
      <c r="H4044">
        <v>7</v>
      </c>
      <c r="I4044">
        <v>0.331571</v>
      </c>
      <c r="J4044">
        <v>0.86057099999999997</v>
      </c>
      <c r="K4044">
        <v>0.52900000000000003</v>
      </c>
      <c r="L4044">
        <v>7</v>
      </c>
      <c r="M4044">
        <v>0</v>
      </c>
      <c r="N4044">
        <v>0</v>
      </c>
      <c r="O4044" t="s">
        <v>127</v>
      </c>
      <c r="P4044" t="s">
        <v>127</v>
      </c>
      <c r="Q4044" t="s">
        <v>127</v>
      </c>
    </row>
    <row r="4045" spans="1:17" x14ac:dyDescent="0.25">
      <c r="A4045" t="str">
        <f>IF(C4045&amp;G4045&amp;D4045&lt;&gt;'Funnel setup'!$K$3&amp;'Funnel setup'!$K$4&amp;'Funnel setup'!$K$6,".",IF(A4044=".",1,A4044+1))</f>
        <v>.</v>
      </c>
      <c r="B4045" s="244" t="str">
        <f t="shared" si="63"/>
        <v>Total Hip ReplacementProviderNUFFIELD HEALTH, LEEDS HOSPITAL (NT225)EQ-5D Index</v>
      </c>
      <c r="C4045" t="s">
        <v>974</v>
      </c>
      <c r="D4045" t="s">
        <v>965</v>
      </c>
      <c r="E4045" t="s">
        <v>392</v>
      </c>
      <c r="F4045" t="s">
        <v>393</v>
      </c>
      <c r="G4045" t="s">
        <v>963</v>
      </c>
      <c r="H4045">
        <v>115</v>
      </c>
      <c r="I4045">
        <v>0.36487000000000003</v>
      </c>
      <c r="J4045">
        <v>0.79802600000000001</v>
      </c>
      <c r="K4045">
        <v>0.43315700000000001</v>
      </c>
      <c r="L4045">
        <v>106</v>
      </c>
      <c r="M4045">
        <v>4</v>
      </c>
      <c r="N4045">
        <v>5</v>
      </c>
      <c r="O4045">
        <v>0.76348199999999999</v>
      </c>
      <c r="P4045">
        <v>0.43592599999999998</v>
      </c>
      <c r="Q4045">
        <v>0.22616</v>
      </c>
    </row>
    <row r="4046" spans="1:17" x14ac:dyDescent="0.25">
      <c r="A4046" t="str">
        <f>IF(C4046&amp;G4046&amp;D4046&lt;&gt;'Funnel setup'!$K$3&amp;'Funnel setup'!$K$4&amp;'Funnel setup'!$K$6,".",IF(A4045=".",1,A4045+1))</f>
        <v>.</v>
      </c>
      <c r="B4046" s="244" t="str">
        <f t="shared" si="63"/>
        <v>Total Hip ReplacementProviderNUFFIELD HEALTH, LEICESTER HOSPITAL (NT226)EQ-5D Index</v>
      </c>
      <c r="C4046" t="s">
        <v>974</v>
      </c>
      <c r="D4046" t="s">
        <v>965</v>
      </c>
      <c r="E4046" t="s">
        <v>394</v>
      </c>
      <c r="F4046" t="s">
        <v>395</v>
      </c>
      <c r="G4046" t="s">
        <v>963</v>
      </c>
      <c r="H4046">
        <v>31</v>
      </c>
      <c r="I4046">
        <v>0.37683899999999998</v>
      </c>
      <c r="J4046">
        <v>0.83851600000000004</v>
      </c>
      <c r="K4046">
        <v>0.461677</v>
      </c>
      <c r="L4046">
        <v>28</v>
      </c>
      <c r="M4046">
        <v>0</v>
      </c>
      <c r="N4046">
        <v>3</v>
      </c>
      <c r="O4046">
        <v>0.81638100000000002</v>
      </c>
      <c r="P4046">
        <v>0.48882500000000001</v>
      </c>
      <c r="Q4046">
        <v>0.20580300000000001</v>
      </c>
    </row>
    <row r="4047" spans="1:17" x14ac:dyDescent="0.25">
      <c r="A4047" t="str">
        <f>IF(C4047&amp;G4047&amp;D4047&lt;&gt;'Funnel setup'!$K$3&amp;'Funnel setup'!$K$4&amp;'Funnel setup'!$K$6,".",IF(A4046=".",1,A4046+1))</f>
        <v>.</v>
      </c>
      <c r="B4047" s="244" t="str">
        <f t="shared" si="63"/>
        <v>Total Hip ReplacementProviderNUFFIELD HEALTH, NEWCASTLE UPON TYNE HOSPITAL (NT229)EQ-5D Index</v>
      </c>
      <c r="C4047" t="s">
        <v>974</v>
      </c>
      <c r="D4047" t="s">
        <v>965</v>
      </c>
      <c r="E4047" t="s">
        <v>396</v>
      </c>
      <c r="F4047" t="s">
        <v>397</v>
      </c>
      <c r="G4047" t="s">
        <v>963</v>
      </c>
      <c r="H4047">
        <v>45</v>
      </c>
      <c r="I4047">
        <v>0.30962200000000001</v>
      </c>
      <c r="J4047">
        <v>0.79528900000000002</v>
      </c>
      <c r="K4047">
        <v>0.48566700000000002</v>
      </c>
      <c r="L4047">
        <v>42</v>
      </c>
      <c r="M4047">
        <v>1</v>
      </c>
      <c r="N4047">
        <v>2</v>
      </c>
      <c r="O4047">
        <v>0.78519399999999995</v>
      </c>
      <c r="P4047">
        <v>0.45763799999999999</v>
      </c>
      <c r="Q4047">
        <v>0.26128699999999999</v>
      </c>
    </row>
    <row r="4048" spans="1:17" x14ac:dyDescent="0.25">
      <c r="A4048" t="str">
        <f>IF(C4048&amp;G4048&amp;D4048&lt;&gt;'Funnel setup'!$K$3&amp;'Funnel setup'!$K$4&amp;'Funnel setup'!$K$6,".",IF(A4047=".",1,A4047+1))</f>
        <v>.</v>
      </c>
      <c r="B4048" s="244" t="str">
        <f t="shared" si="63"/>
        <v>Total Hip ReplacementProviderNUFFIELD HEALTH, NORTH STAFFORDSHIRE HOSPITAL (NT230)EQ-5D Index</v>
      </c>
      <c r="C4048" t="s">
        <v>974</v>
      </c>
      <c r="D4048" t="s">
        <v>965</v>
      </c>
      <c r="E4048" t="s">
        <v>398</v>
      </c>
      <c r="F4048" t="s">
        <v>399</v>
      </c>
      <c r="G4048" t="s">
        <v>963</v>
      </c>
      <c r="H4048">
        <v>31</v>
      </c>
      <c r="I4048">
        <v>0.29345199999999999</v>
      </c>
      <c r="J4048">
        <v>0.73038700000000001</v>
      </c>
      <c r="K4048">
        <v>0.43693500000000002</v>
      </c>
      <c r="L4048">
        <v>26</v>
      </c>
      <c r="M4048">
        <v>1</v>
      </c>
      <c r="N4048">
        <v>4</v>
      </c>
      <c r="O4048">
        <v>0.72428800000000004</v>
      </c>
      <c r="P4048">
        <v>0.39673199999999997</v>
      </c>
      <c r="Q4048">
        <v>0.31170399999999998</v>
      </c>
    </row>
    <row r="4049" spans="1:17" x14ac:dyDescent="0.25">
      <c r="A4049" t="str">
        <f>IF(C4049&amp;G4049&amp;D4049&lt;&gt;'Funnel setup'!$K$3&amp;'Funnel setup'!$K$4&amp;'Funnel setup'!$K$6,".",IF(A4048=".",1,A4048+1))</f>
        <v>.</v>
      </c>
      <c r="B4049" s="244" t="str">
        <f t="shared" si="63"/>
        <v>Total Hip ReplacementProviderNUFFIELD HEALTH, PLYMOUTH HOSPITAL (NT233)EQ-5D Index</v>
      </c>
      <c r="C4049" t="s">
        <v>974</v>
      </c>
      <c r="D4049" t="s">
        <v>965</v>
      </c>
      <c r="E4049" t="s">
        <v>400</v>
      </c>
      <c r="F4049" t="s">
        <v>401</v>
      </c>
      <c r="G4049" t="s">
        <v>963</v>
      </c>
      <c r="H4049">
        <v>61</v>
      </c>
      <c r="I4049">
        <v>0.383548</v>
      </c>
      <c r="J4049">
        <v>0.83199999999999996</v>
      </c>
      <c r="K4049">
        <v>0.44845200000000002</v>
      </c>
      <c r="L4049">
        <v>56</v>
      </c>
      <c r="M4049">
        <v>1</v>
      </c>
      <c r="N4049">
        <v>4</v>
      </c>
      <c r="O4049">
        <v>0.79478300000000002</v>
      </c>
      <c r="P4049">
        <v>0.467227</v>
      </c>
      <c r="Q4049">
        <v>0.24370600000000001</v>
      </c>
    </row>
    <row r="4050" spans="1:17" x14ac:dyDescent="0.25">
      <c r="A4050" t="str">
        <f>IF(C4050&amp;G4050&amp;D4050&lt;&gt;'Funnel setup'!$K$3&amp;'Funnel setup'!$K$4&amp;'Funnel setup'!$K$6,".",IF(A4049=".",1,A4049+1))</f>
        <v>.</v>
      </c>
      <c r="B4050" s="244" t="str">
        <f t="shared" si="63"/>
        <v>Total Hip ReplacementProviderNUFFIELD HEALTH, SHREWSBURY HOSPITAL (NT235)EQ-5D Index</v>
      </c>
      <c r="C4050" t="s">
        <v>974</v>
      </c>
      <c r="D4050" t="s">
        <v>965</v>
      </c>
      <c r="E4050" t="s">
        <v>402</v>
      </c>
      <c r="F4050" t="s">
        <v>403</v>
      </c>
      <c r="G4050" t="s">
        <v>963</v>
      </c>
      <c r="H4050">
        <v>6</v>
      </c>
      <c r="I4050">
        <v>0.22</v>
      </c>
      <c r="J4050">
        <v>0.82599999999999996</v>
      </c>
      <c r="K4050">
        <v>0.60599999999999998</v>
      </c>
      <c r="L4050">
        <v>6</v>
      </c>
      <c r="M4050">
        <v>0</v>
      </c>
      <c r="N4050">
        <v>0</v>
      </c>
      <c r="O4050" t="s">
        <v>127</v>
      </c>
      <c r="P4050" t="s">
        <v>127</v>
      </c>
      <c r="Q4050" t="s">
        <v>127</v>
      </c>
    </row>
    <row r="4051" spans="1:17" x14ac:dyDescent="0.25">
      <c r="A4051" t="str">
        <f>IF(C4051&amp;G4051&amp;D4051&lt;&gt;'Funnel setup'!$K$3&amp;'Funnel setup'!$K$4&amp;'Funnel setup'!$K$6,".",IF(A4050=".",1,A4050+1))</f>
        <v>.</v>
      </c>
      <c r="B4051" s="244" t="str">
        <f t="shared" si="63"/>
        <v>Total Hip ReplacementProviderNUFFIELD HEALTH, TAUNTON HOSPITAL (NT238)EQ-5D Index</v>
      </c>
      <c r="C4051" t="s">
        <v>974</v>
      </c>
      <c r="D4051" t="s">
        <v>965</v>
      </c>
      <c r="E4051" t="s">
        <v>404</v>
      </c>
      <c r="F4051" t="s">
        <v>405</v>
      </c>
      <c r="G4051" t="s">
        <v>963</v>
      </c>
      <c r="H4051">
        <v>22</v>
      </c>
      <c r="I4051">
        <v>0.36386400000000002</v>
      </c>
      <c r="J4051">
        <v>0.83377299999999999</v>
      </c>
      <c r="K4051">
        <v>0.46990900000000002</v>
      </c>
      <c r="L4051">
        <v>21</v>
      </c>
      <c r="M4051">
        <v>1</v>
      </c>
      <c r="N4051">
        <v>0</v>
      </c>
      <c r="O4051" t="s">
        <v>127</v>
      </c>
      <c r="P4051" t="s">
        <v>127</v>
      </c>
      <c r="Q4051" t="s">
        <v>127</v>
      </c>
    </row>
    <row r="4052" spans="1:17" x14ac:dyDescent="0.25">
      <c r="A4052" t="str">
        <f>IF(C4052&amp;G4052&amp;D4052&lt;&gt;'Funnel setup'!$K$3&amp;'Funnel setup'!$K$4&amp;'Funnel setup'!$K$6,".",IF(A4051=".",1,A4051+1))</f>
        <v>.</v>
      </c>
      <c r="B4052" s="244" t="str">
        <f t="shared" si="63"/>
        <v>Total Hip ReplacementProviderNUFFIELD HEALTH, TEES HOSPITAL (NT237)EQ-5D Index</v>
      </c>
      <c r="C4052" t="s">
        <v>974</v>
      </c>
      <c r="D4052" t="s">
        <v>965</v>
      </c>
      <c r="E4052" t="s">
        <v>406</v>
      </c>
      <c r="F4052" t="s">
        <v>407</v>
      </c>
      <c r="G4052" t="s">
        <v>963</v>
      </c>
      <c r="H4052">
        <v>148</v>
      </c>
      <c r="I4052">
        <v>0.46299299999999999</v>
      </c>
      <c r="J4052">
        <v>0.81345299999999998</v>
      </c>
      <c r="K4052">
        <v>0.35045900000000002</v>
      </c>
      <c r="L4052">
        <v>128</v>
      </c>
      <c r="M4052">
        <v>8</v>
      </c>
      <c r="N4052">
        <v>12</v>
      </c>
      <c r="O4052">
        <v>0.77098599999999995</v>
      </c>
      <c r="P4052">
        <v>0.44342999999999999</v>
      </c>
      <c r="Q4052">
        <v>0.237841</v>
      </c>
    </row>
    <row r="4053" spans="1:17" x14ac:dyDescent="0.25">
      <c r="A4053" t="str">
        <f>IF(C4053&amp;G4053&amp;D4053&lt;&gt;'Funnel setup'!$K$3&amp;'Funnel setup'!$K$4&amp;'Funnel setup'!$K$6,".",IF(A4052=".",1,A4052+1))</f>
        <v>.</v>
      </c>
      <c r="B4053" s="244" t="str">
        <f t="shared" si="63"/>
        <v>Total Hip ReplacementProviderNUFFIELD HEALTH, THE GROSVENOR HOSPITAL, CHESTER (NT210)EQ-5D Index</v>
      </c>
      <c r="C4053" t="s">
        <v>974</v>
      </c>
      <c r="D4053" t="s">
        <v>965</v>
      </c>
      <c r="E4053" t="s">
        <v>408</v>
      </c>
      <c r="F4053" t="s">
        <v>409</v>
      </c>
      <c r="G4053" t="s">
        <v>963</v>
      </c>
      <c r="H4053">
        <v>13</v>
      </c>
      <c r="I4053">
        <v>0.346692</v>
      </c>
      <c r="J4053">
        <v>0.872</v>
      </c>
      <c r="K4053">
        <v>0.525308</v>
      </c>
      <c r="L4053">
        <v>12</v>
      </c>
      <c r="M4053">
        <v>0</v>
      </c>
      <c r="N4053">
        <v>1</v>
      </c>
      <c r="O4053" t="s">
        <v>127</v>
      </c>
      <c r="P4053" t="s">
        <v>127</v>
      </c>
      <c r="Q4053" t="s">
        <v>127</v>
      </c>
    </row>
    <row r="4054" spans="1:17" x14ac:dyDescent="0.25">
      <c r="A4054" t="str">
        <f>IF(C4054&amp;G4054&amp;D4054&lt;&gt;'Funnel setup'!$K$3&amp;'Funnel setup'!$K$4&amp;'Funnel setup'!$K$6,".",IF(A4053=".",1,A4053+1))</f>
        <v>.</v>
      </c>
      <c r="B4054" s="244" t="str">
        <f t="shared" si="63"/>
        <v>Total Hip ReplacementProviderNUFFIELD HEALTH, TUNBRIDGE WELLS HOSPITAL (NT239)EQ-5D Index</v>
      </c>
      <c r="C4054" t="s">
        <v>974</v>
      </c>
      <c r="D4054" t="s">
        <v>965</v>
      </c>
      <c r="E4054" t="s">
        <v>410</v>
      </c>
      <c r="F4054" t="s">
        <v>411</v>
      </c>
      <c r="G4054" t="s">
        <v>963</v>
      </c>
      <c r="H4054">
        <v>6</v>
      </c>
      <c r="I4054">
        <v>0.20799999999999999</v>
      </c>
      <c r="J4054">
        <v>0.79649999999999999</v>
      </c>
      <c r="K4054">
        <v>0.58850000000000002</v>
      </c>
      <c r="L4054">
        <v>6</v>
      </c>
      <c r="M4054">
        <v>0</v>
      </c>
      <c r="N4054">
        <v>0</v>
      </c>
      <c r="O4054" t="s">
        <v>127</v>
      </c>
      <c r="P4054" t="s">
        <v>127</v>
      </c>
      <c r="Q4054" t="s">
        <v>127</v>
      </c>
    </row>
    <row r="4055" spans="1:17" x14ac:dyDescent="0.25">
      <c r="A4055" t="str">
        <f>IF(C4055&amp;G4055&amp;D4055&lt;&gt;'Funnel setup'!$K$3&amp;'Funnel setup'!$K$4&amp;'Funnel setup'!$K$6,".",IF(A4054=".",1,A4054+1))</f>
        <v>.</v>
      </c>
      <c r="B4055" s="244" t="str">
        <f t="shared" si="63"/>
        <v>Total Hip ReplacementProviderNUFFIELD HEALTH, WARWICKSHIRE HOSPITAL (NT224)EQ-5D Index</v>
      </c>
      <c r="C4055" t="s">
        <v>974</v>
      </c>
      <c r="D4055" t="s">
        <v>965</v>
      </c>
      <c r="E4055" t="s">
        <v>412</v>
      </c>
      <c r="F4055" t="s">
        <v>413</v>
      </c>
      <c r="G4055" t="s">
        <v>963</v>
      </c>
      <c r="H4055">
        <v>18</v>
      </c>
      <c r="I4055">
        <v>0.34427799999999997</v>
      </c>
      <c r="J4055">
        <v>0.845889</v>
      </c>
      <c r="K4055">
        <v>0.50161100000000003</v>
      </c>
      <c r="L4055">
        <v>18</v>
      </c>
      <c r="M4055">
        <v>0</v>
      </c>
      <c r="N4055">
        <v>0</v>
      </c>
      <c r="O4055" t="s">
        <v>127</v>
      </c>
      <c r="P4055" t="s">
        <v>127</v>
      </c>
      <c r="Q4055" t="s">
        <v>127</v>
      </c>
    </row>
    <row r="4056" spans="1:17" x14ac:dyDescent="0.25">
      <c r="A4056" t="str">
        <f>IF(C4056&amp;G4056&amp;D4056&lt;&gt;'Funnel setup'!$K$3&amp;'Funnel setup'!$K$4&amp;'Funnel setup'!$K$6,".",IF(A4055=".",1,A4055+1))</f>
        <v>.</v>
      </c>
      <c r="B4056" s="244" t="str">
        <f t="shared" si="63"/>
        <v>Total Hip ReplacementProviderNUFFIELD HEALTH, WESSEX HOSPITAL (NT214)EQ-5D Index</v>
      </c>
      <c r="C4056" t="s">
        <v>974</v>
      </c>
      <c r="D4056" t="s">
        <v>965</v>
      </c>
      <c r="E4056" t="s">
        <v>414</v>
      </c>
      <c r="F4056" t="s">
        <v>415</v>
      </c>
      <c r="G4056" t="s">
        <v>963</v>
      </c>
      <c r="H4056">
        <v>33</v>
      </c>
      <c r="I4056">
        <v>0.43233300000000002</v>
      </c>
      <c r="J4056">
        <v>0.82924200000000003</v>
      </c>
      <c r="K4056">
        <v>0.39690900000000001</v>
      </c>
      <c r="L4056">
        <v>28</v>
      </c>
      <c r="M4056">
        <v>3</v>
      </c>
      <c r="N4056">
        <v>2</v>
      </c>
      <c r="O4056">
        <v>0.78200599999999998</v>
      </c>
      <c r="P4056">
        <v>0.45445000000000002</v>
      </c>
      <c r="Q4056">
        <v>0.20643</v>
      </c>
    </row>
    <row r="4057" spans="1:17" x14ac:dyDescent="0.25">
      <c r="A4057" t="str">
        <f>IF(C4057&amp;G4057&amp;D4057&lt;&gt;'Funnel setup'!$K$3&amp;'Funnel setup'!$K$4&amp;'Funnel setup'!$K$6,".",IF(A4056=".",1,A4056+1))</f>
        <v>.</v>
      </c>
      <c r="B4057" s="244" t="str">
        <f t="shared" si="63"/>
        <v>Total Hip ReplacementProviderNUFFIELD HEALTH, WOLVERHAMPTON HOSPITAL (NT242)EQ-5D Index</v>
      </c>
      <c r="C4057" t="s">
        <v>974</v>
      </c>
      <c r="D4057" t="s">
        <v>965</v>
      </c>
      <c r="E4057" t="s">
        <v>418</v>
      </c>
      <c r="F4057" t="s">
        <v>419</v>
      </c>
      <c r="G4057" t="s">
        <v>963</v>
      </c>
      <c r="H4057">
        <v>4</v>
      </c>
      <c r="I4057">
        <v>0.63924999999999998</v>
      </c>
      <c r="J4057">
        <v>0.84575</v>
      </c>
      <c r="K4057">
        <v>0.20649999999999999</v>
      </c>
      <c r="L4057">
        <v>3</v>
      </c>
      <c r="M4057">
        <v>1</v>
      </c>
      <c r="N4057">
        <v>0</v>
      </c>
      <c r="O4057" t="s">
        <v>127</v>
      </c>
      <c r="P4057" t="s">
        <v>127</v>
      </c>
      <c r="Q4057" t="s">
        <v>127</v>
      </c>
    </row>
    <row r="4058" spans="1:17" x14ac:dyDescent="0.25">
      <c r="A4058" t="str">
        <f>IF(C4058&amp;G4058&amp;D4058&lt;&gt;'Funnel setup'!$K$3&amp;'Funnel setup'!$K$4&amp;'Funnel setup'!$K$6,".",IF(A4057=".",1,A4057+1))</f>
        <v>.</v>
      </c>
      <c r="B4058" s="244" t="str">
        <f t="shared" si="63"/>
        <v>Total Hip ReplacementProviderNUFFIELD HEALTH, YORK HOSPITAL (NT245)EQ-5D Index</v>
      </c>
      <c r="C4058" t="s">
        <v>974</v>
      </c>
      <c r="D4058" t="s">
        <v>965</v>
      </c>
      <c r="E4058" t="s">
        <v>420</v>
      </c>
      <c r="F4058" t="s">
        <v>421</v>
      </c>
      <c r="G4058" t="s">
        <v>963</v>
      </c>
      <c r="H4058">
        <v>75</v>
      </c>
      <c r="I4058">
        <v>0.37120799999999998</v>
      </c>
      <c r="J4058">
        <v>0.84702599999999995</v>
      </c>
      <c r="K4058">
        <v>0.47581800000000002</v>
      </c>
      <c r="L4058">
        <v>70</v>
      </c>
      <c r="M4058">
        <v>4</v>
      </c>
      <c r="N4058">
        <v>1</v>
      </c>
      <c r="O4058">
        <v>0.83646600000000004</v>
      </c>
      <c r="P4058">
        <v>0.50890999999999997</v>
      </c>
      <c r="Q4058">
        <v>0.19936300000000001</v>
      </c>
    </row>
    <row r="4059" spans="1:17" x14ac:dyDescent="0.25">
      <c r="A4059" t="str">
        <f>IF(C4059&amp;G4059&amp;D4059&lt;&gt;'Funnel setup'!$K$3&amp;'Funnel setup'!$K$4&amp;'Funnel setup'!$K$6,".",IF(A4058=".",1,A4058+1))</f>
        <v>.</v>
      </c>
      <c r="B4059" s="244" t="str">
        <f t="shared" si="63"/>
        <v>Total Hip ReplacementProviderOAKLANDS HOSPITAL (NVC12)EQ-5D Index</v>
      </c>
      <c r="C4059" t="s">
        <v>974</v>
      </c>
      <c r="D4059" t="s">
        <v>965</v>
      </c>
      <c r="E4059" t="s">
        <v>424</v>
      </c>
      <c r="F4059" t="s">
        <v>425</v>
      </c>
      <c r="G4059" t="s">
        <v>963</v>
      </c>
      <c r="H4059">
        <v>63</v>
      </c>
      <c r="I4059">
        <v>0.36803200000000003</v>
      </c>
      <c r="J4059">
        <v>0.75103200000000003</v>
      </c>
      <c r="K4059">
        <v>0.38300000000000001</v>
      </c>
      <c r="L4059">
        <v>50</v>
      </c>
      <c r="M4059">
        <v>6</v>
      </c>
      <c r="N4059">
        <v>7</v>
      </c>
      <c r="O4059">
        <v>0.75783100000000003</v>
      </c>
      <c r="P4059">
        <v>0.43027500000000002</v>
      </c>
      <c r="Q4059">
        <v>0.26577899999999999</v>
      </c>
    </row>
    <row r="4060" spans="1:17" x14ac:dyDescent="0.25">
      <c r="A4060" t="str">
        <f>IF(C4060&amp;G4060&amp;D4060&lt;&gt;'Funnel setup'!$K$3&amp;'Funnel setup'!$K$4&amp;'Funnel setup'!$K$6,".",IF(A4059=".",1,A4059+1))</f>
        <v>.</v>
      </c>
      <c r="B4060" s="244" t="str">
        <f t="shared" si="63"/>
        <v>Total Hip ReplacementProviderOAKS HOSPITAL (NVC13)EQ-5D Index</v>
      </c>
      <c r="C4060" t="s">
        <v>974</v>
      </c>
      <c r="D4060" t="s">
        <v>965</v>
      </c>
      <c r="E4060" t="s">
        <v>426</v>
      </c>
      <c r="F4060" t="s">
        <v>427</v>
      </c>
      <c r="G4060" t="s">
        <v>963</v>
      </c>
      <c r="H4060">
        <v>7</v>
      </c>
      <c r="I4060">
        <v>0.51871400000000001</v>
      </c>
      <c r="J4060">
        <v>0.741429</v>
      </c>
      <c r="K4060">
        <v>0.222714</v>
      </c>
      <c r="L4060">
        <v>6</v>
      </c>
      <c r="M4060">
        <v>1</v>
      </c>
      <c r="N4060">
        <v>0</v>
      </c>
      <c r="O4060" t="s">
        <v>127</v>
      </c>
      <c r="P4060" t="s">
        <v>127</v>
      </c>
      <c r="Q4060" t="s">
        <v>127</v>
      </c>
    </row>
    <row r="4061" spans="1:17" x14ac:dyDescent="0.25">
      <c r="A4061" t="str">
        <f>IF(C4061&amp;G4061&amp;D4061&lt;&gt;'Funnel setup'!$K$3&amp;'Funnel setup'!$K$4&amp;'Funnel setup'!$K$6,".",IF(A4060=".",1,A4060+1))</f>
        <v>.</v>
      </c>
      <c r="B4061" s="244" t="str">
        <f t="shared" si="63"/>
        <v>Total Hip ReplacementProviderONE HEALTHCARE (AVQ)EQ-5D Index</v>
      </c>
      <c r="C4061" t="s">
        <v>974</v>
      </c>
      <c r="D4061" t="s">
        <v>965</v>
      </c>
      <c r="E4061" t="s">
        <v>434</v>
      </c>
      <c r="F4061" t="s">
        <v>435</v>
      </c>
      <c r="G4061" t="s">
        <v>963</v>
      </c>
      <c r="H4061">
        <v>51</v>
      </c>
      <c r="I4061">
        <v>0.36213699999999999</v>
      </c>
      <c r="J4061">
        <v>0.85878399999999999</v>
      </c>
      <c r="K4061">
        <v>0.49664700000000001</v>
      </c>
      <c r="L4061">
        <v>46</v>
      </c>
      <c r="M4061">
        <v>3</v>
      </c>
      <c r="N4061">
        <v>2</v>
      </c>
      <c r="O4061">
        <v>0.82176199999999999</v>
      </c>
      <c r="P4061">
        <v>0.49420599999999998</v>
      </c>
      <c r="Q4061">
        <v>0.198988</v>
      </c>
    </row>
    <row r="4062" spans="1:17" x14ac:dyDescent="0.25">
      <c r="A4062" t="str">
        <f>IF(C4062&amp;G4062&amp;D4062&lt;&gt;'Funnel setup'!$K$3&amp;'Funnel setup'!$K$4&amp;'Funnel setup'!$K$6,".",IF(A4061=".",1,A4061+1))</f>
        <v>.</v>
      </c>
      <c r="B4062" s="244" t="str">
        <f t="shared" si="63"/>
        <v>Total Hip ReplacementProviderORTHOPAEDICS &amp; SPINE SPECIALIST HOSPITAL SITE (NQM01)EQ-5D Index</v>
      </c>
      <c r="C4062" t="s">
        <v>974</v>
      </c>
      <c r="D4062" t="s">
        <v>965</v>
      </c>
      <c r="E4062" t="s">
        <v>436</v>
      </c>
      <c r="F4062" t="s">
        <v>437</v>
      </c>
      <c r="G4062" t="s">
        <v>963</v>
      </c>
      <c r="H4062">
        <v>7</v>
      </c>
      <c r="I4062">
        <v>0.47928599999999999</v>
      </c>
      <c r="J4062">
        <v>0.79671400000000003</v>
      </c>
      <c r="K4062">
        <v>0.31742900000000002</v>
      </c>
      <c r="L4062">
        <v>6</v>
      </c>
      <c r="M4062">
        <v>0</v>
      </c>
      <c r="N4062">
        <v>1</v>
      </c>
      <c r="O4062" t="s">
        <v>127</v>
      </c>
      <c r="P4062" t="s">
        <v>127</v>
      </c>
      <c r="Q4062" t="s">
        <v>127</v>
      </c>
    </row>
    <row r="4063" spans="1:17" x14ac:dyDescent="0.25">
      <c r="A4063" t="str">
        <f>IF(C4063&amp;G4063&amp;D4063&lt;&gt;'Funnel setup'!$K$3&amp;'Funnel setup'!$K$4&amp;'Funnel setup'!$K$6,".",IF(A4062=".",1,A4062+1))</f>
        <v>.</v>
      </c>
      <c r="B4063" s="244" t="str">
        <f t="shared" si="63"/>
        <v>Total Hip ReplacementProviderOXFORD UNIVERSITY HOSPITALS NHS FOUNDATION TRUST (RTH)EQ-5D Index</v>
      </c>
      <c r="C4063" t="s">
        <v>974</v>
      </c>
      <c r="D4063" t="s">
        <v>965</v>
      </c>
      <c r="E4063" t="s">
        <v>438</v>
      </c>
      <c r="F4063" t="s">
        <v>439</v>
      </c>
      <c r="G4063" t="s">
        <v>963</v>
      </c>
      <c r="H4063">
        <v>310</v>
      </c>
      <c r="I4063">
        <v>0.32450299999999999</v>
      </c>
      <c r="J4063">
        <v>0.76080999999999999</v>
      </c>
      <c r="K4063">
        <v>0.43630600000000003</v>
      </c>
      <c r="L4063">
        <v>275</v>
      </c>
      <c r="M4063">
        <v>19</v>
      </c>
      <c r="N4063">
        <v>16</v>
      </c>
      <c r="O4063">
        <v>0.76355200000000001</v>
      </c>
      <c r="P4063">
        <v>0.43599599999999999</v>
      </c>
      <c r="Q4063">
        <v>0.25747399999999998</v>
      </c>
    </row>
    <row r="4064" spans="1:17" x14ac:dyDescent="0.25">
      <c r="A4064" t="str">
        <f>IF(C4064&amp;G4064&amp;D4064&lt;&gt;'Funnel setup'!$K$3&amp;'Funnel setup'!$K$4&amp;'Funnel setup'!$K$6,".",IF(A4063=".",1,A4063+1))</f>
        <v>.</v>
      </c>
      <c r="B4064" s="244" t="str">
        <f t="shared" si="63"/>
        <v>Total Hip ReplacementProviderPARK HILL HOSPITAL (NVC14)EQ-5D Index</v>
      </c>
      <c r="C4064" t="s">
        <v>974</v>
      </c>
      <c r="D4064" t="s">
        <v>965</v>
      </c>
      <c r="E4064" t="s">
        <v>440</v>
      </c>
      <c r="F4064" t="s">
        <v>441</v>
      </c>
      <c r="G4064" t="s">
        <v>963</v>
      </c>
      <c r="H4064">
        <v>51</v>
      </c>
      <c r="I4064">
        <v>0.274451</v>
      </c>
      <c r="J4064">
        <v>0.77337299999999998</v>
      </c>
      <c r="K4064">
        <v>0.49892199999999998</v>
      </c>
      <c r="L4064">
        <v>45</v>
      </c>
      <c r="M4064">
        <v>1</v>
      </c>
      <c r="N4064">
        <v>5</v>
      </c>
      <c r="O4064">
        <v>0.76900299999999999</v>
      </c>
      <c r="P4064">
        <v>0.44144800000000001</v>
      </c>
      <c r="Q4064">
        <v>0.27050800000000003</v>
      </c>
    </row>
    <row r="4065" spans="1:17" x14ac:dyDescent="0.25">
      <c r="A4065" t="str">
        <f>IF(C4065&amp;G4065&amp;D4065&lt;&gt;'Funnel setup'!$K$3&amp;'Funnel setup'!$K$4&amp;'Funnel setup'!$K$6,".",IF(A4064=".",1,A4064+1))</f>
        <v>.</v>
      </c>
      <c r="B4065" s="244" t="str">
        <f t="shared" si="63"/>
        <v>Total Hip ReplacementProviderPARK HOSPITAL (NT427)EQ-5D Index</v>
      </c>
      <c r="C4065" t="s">
        <v>974</v>
      </c>
      <c r="D4065" t="s">
        <v>965</v>
      </c>
      <c r="E4065" t="s">
        <v>442</v>
      </c>
      <c r="F4065" t="s">
        <v>443</v>
      </c>
      <c r="G4065" t="s">
        <v>963</v>
      </c>
      <c r="H4065">
        <v>23</v>
      </c>
      <c r="I4065">
        <v>0.34787000000000001</v>
      </c>
      <c r="J4065">
        <v>0.74195699999999998</v>
      </c>
      <c r="K4065">
        <v>0.39408700000000002</v>
      </c>
      <c r="L4065">
        <v>19</v>
      </c>
      <c r="M4065">
        <v>1</v>
      </c>
      <c r="N4065">
        <v>3</v>
      </c>
      <c r="O4065" t="s">
        <v>127</v>
      </c>
      <c r="P4065" t="s">
        <v>127</v>
      </c>
      <c r="Q4065" t="s">
        <v>127</v>
      </c>
    </row>
    <row r="4066" spans="1:17" x14ac:dyDescent="0.25">
      <c r="A4066" t="str">
        <f>IF(C4066&amp;G4066&amp;D4066&lt;&gt;'Funnel setup'!$K$3&amp;'Funnel setup'!$K$4&amp;'Funnel setup'!$K$6,".",IF(A4065=".",1,A4065+1))</f>
        <v>.</v>
      </c>
      <c r="B4066" s="244" t="str">
        <f t="shared" si="63"/>
        <v>Total Hip ReplacementProviderPENNINE ACUTE HOSPITALS NHS TRUST (RW6)EQ-5D Index</v>
      </c>
      <c r="C4066" t="s">
        <v>974</v>
      </c>
      <c r="D4066" t="s">
        <v>965</v>
      </c>
      <c r="E4066" t="s">
        <v>444</v>
      </c>
      <c r="F4066" t="s">
        <v>445</v>
      </c>
      <c r="G4066" t="s">
        <v>963</v>
      </c>
      <c r="H4066">
        <v>2</v>
      </c>
      <c r="I4066">
        <v>0.1905</v>
      </c>
      <c r="J4066">
        <v>0.38650000000000001</v>
      </c>
      <c r="K4066">
        <v>0.19600000000000001</v>
      </c>
      <c r="L4066">
        <v>2</v>
      </c>
      <c r="M4066">
        <v>0</v>
      </c>
      <c r="N4066">
        <v>0</v>
      </c>
      <c r="O4066" t="s">
        <v>127</v>
      </c>
      <c r="P4066" t="s">
        <v>127</v>
      </c>
      <c r="Q4066" t="s">
        <v>127</v>
      </c>
    </row>
    <row r="4067" spans="1:17" x14ac:dyDescent="0.25">
      <c r="A4067" t="str">
        <f>IF(C4067&amp;G4067&amp;D4067&lt;&gt;'Funnel setup'!$K$3&amp;'Funnel setup'!$K$4&amp;'Funnel setup'!$K$6,".",IF(A4066=".",1,A4066+1))</f>
        <v>.</v>
      </c>
      <c r="B4067" s="244" t="str">
        <f t="shared" si="63"/>
        <v>Total Hip ReplacementProviderPINEHILL HOSPITAL (NVC15)EQ-5D Index</v>
      </c>
      <c r="C4067" t="s">
        <v>974</v>
      </c>
      <c r="D4067" t="s">
        <v>965</v>
      </c>
      <c r="E4067" t="s">
        <v>448</v>
      </c>
      <c r="F4067" t="s">
        <v>449</v>
      </c>
      <c r="G4067" t="s">
        <v>963</v>
      </c>
      <c r="H4067">
        <v>12</v>
      </c>
      <c r="I4067">
        <v>0.48775000000000002</v>
      </c>
      <c r="J4067">
        <v>0.87350000000000005</v>
      </c>
      <c r="K4067">
        <v>0.38574999999999998</v>
      </c>
      <c r="L4067">
        <v>12</v>
      </c>
      <c r="M4067">
        <v>0</v>
      </c>
      <c r="N4067">
        <v>0</v>
      </c>
      <c r="O4067" t="s">
        <v>127</v>
      </c>
      <c r="P4067" t="s">
        <v>127</v>
      </c>
      <c r="Q4067" t="s">
        <v>127</v>
      </c>
    </row>
    <row r="4068" spans="1:17" x14ac:dyDescent="0.25">
      <c r="A4068" t="str">
        <f>IF(C4068&amp;G4068&amp;D4068&lt;&gt;'Funnel setup'!$K$3&amp;'Funnel setup'!$K$4&amp;'Funnel setup'!$K$6,".",IF(A4067=".",1,A4067+1))</f>
        <v>.</v>
      </c>
      <c r="B4068" s="244" t="str">
        <f t="shared" si="63"/>
        <v>Total Hip ReplacementProviderPORTSMOUTH HOSPITALS UNIVERSITY NATIONAL HEALTH SERVICE TRUST (RHU)EQ-5D Index</v>
      </c>
      <c r="C4068" t="s">
        <v>974</v>
      </c>
      <c r="D4068" t="s">
        <v>965</v>
      </c>
      <c r="E4068" t="s">
        <v>450</v>
      </c>
      <c r="F4068" t="s">
        <v>451</v>
      </c>
      <c r="G4068" t="s">
        <v>963</v>
      </c>
      <c r="H4068">
        <v>14</v>
      </c>
      <c r="I4068">
        <v>8.5142899999999994E-2</v>
      </c>
      <c r="J4068">
        <v>0.614286</v>
      </c>
      <c r="K4068">
        <v>0.52914300000000003</v>
      </c>
      <c r="L4068">
        <v>12</v>
      </c>
      <c r="M4068">
        <v>0</v>
      </c>
      <c r="N4068">
        <v>2</v>
      </c>
      <c r="O4068" t="s">
        <v>127</v>
      </c>
      <c r="P4068" t="s">
        <v>127</v>
      </c>
      <c r="Q4068" t="s">
        <v>127</v>
      </c>
    </row>
    <row r="4069" spans="1:17" x14ac:dyDescent="0.25">
      <c r="A4069" t="str">
        <f>IF(C4069&amp;G4069&amp;D4069&lt;&gt;'Funnel setup'!$K$3&amp;'Funnel setup'!$K$4&amp;'Funnel setup'!$K$6,".",IF(A4068=".",1,A4068+1))</f>
        <v>.</v>
      </c>
      <c r="B4069" s="244" t="str">
        <f t="shared" si="63"/>
        <v>Total Hip ReplacementProviderPRACTICE PLUS GROUP HOSPITAL - BARLBOROUGH (NTP13)EQ-5D Index</v>
      </c>
      <c r="C4069" t="s">
        <v>974</v>
      </c>
      <c r="D4069" t="s">
        <v>965</v>
      </c>
      <c r="E4069" t="s">
        <v>452</v>
      </c>
      <c r="F4069" t="s">
        <v>453</v>
      </c>
      <c r="G4069" t="s">
        <v>963</v>
      </c>
      <c r="H4069">
        <v>179</v>
      </c>
      <c r="I4069">
        <v>0.34151999999999999</v>
      </c>
      <c r="J4069">
        <v>0.79517899999999997</v>
      </c>
      <c r="K4069">
        <v>0.45365899999999998</v>
      </c>
      <c r="L4069">
        <v>160</v>
      </c>
      <c r="M4069">
        <v>8</v>
      </c>
      <c r="N4069">
        <v>11</v>
      </c>
      <c r="O4069">
        <v>0.78373999999999999</v>
      </c>
      <c r="P4069">
        <v>0.45618399999999998</v>
      </c>
      <c r="Q4069">
        <v>0.23627999999999999</v>
      </c>
    </row>
    <row r="4070" spans="1:17" x14ac:dyDescent="0.25">
      <c r="A4070" t="str">
        <f>IF(C4070&amp;G4070&amp;D4070&lt;&gt;'Funnel setup'!$K$3&amp;'Funnel setup'!$K$4&amp;'Funnel setup'!$K$6,".",IF(A4069=".",1,A4069+1))</f>
        <v>.</v>
      </c>
      <c r="B4070" s="244" t="str">
        <f t="shared" si="63"/>
        <v>Total Hip ReplacementProviderPRACTICE PLUS GROUP HOSPITAL - EMERSONS GREEN (NTPH2)EQ-5D Index</v>
      </c>
      <c r="C4070" t="s">
        <v>974</v>
      </c>
      <c r="D4070" t="s">
        <v>965</v>
      </c>
      <c r="E4070" t="s">
        <v>454</v>
      </c>
      <c r="F4070" t="s">
        <v>455</v>
      </c>
      <c r="G4070" t="s">
        <v>963</v>
      </c>
      <c r="H4070">
        <v>142</v>
      </c>
      <c r="I4070">
        <v>0.39661999999999997</v>
      </c>
      <c r="J4070">
        <v>0.85040099999999996</v>
      </c>
      <c r="K4070">
        <v>0.45378200000000002</v>
      </c>
      <c r="L4070">
        <v>130</v>
      </c>
      <c r="M4070">
        <v>7</v>
      </c>
      <c r="N4070">
        <v>5</v>
      </c>
      <c r="O4070">
        <v>0.80520000000000003</v>
      </c>
      <c r="P4070">
        <v>0.47764400000000001</v>
      </c>
      <c r="Q4070">
        <v>0.17758099999999999</v>
      </c>
    </row>
    <row r="4071" spans="1:17" x14ac:dyDescent="0.25">
      <c r="A4071" t="str">
        <f>IF(C4071&amp;G4071&amp;D4071&lt;&gt;'Funnel setup'!$K$3&amp;'Funnel setup'!$K$4&amp;'Funnel setup'!$K$6,".",IF(A4070=".",1,A4070+1))</f>
        <v>.</v>
      </c>
      <c r="B4071" s="244" t="str">
        <f t="shared" si="63"/>
        <v>Total Hip ReplacementProviderPRACTICE PLUS GROUP HOSPITAL - ILFORD (NTP15)EQ-5D Index</v>
      </c>
      <c r="C4071" t="s">
        <v>974</v>
      </c>
      <c r="D4071" t="s">
        <v>965</v>
      </c>
      <c r="E4071" t="s">
        <v>456</v>
      </c>
      <c r="F4071" t="s">
        <v>457</v>
      </c>
      <c r="G4071" t="s">
        <v>963</v>
      </c>
      <c r="H4071">
        <v>54</v>
      </c>
      <c r="I4071">
        <v>0.35437000000000002</v>
      </c>
      <c r="J4071">
        <v>0.80688899999999997</v>
      </c>
      <c r="K4071">
        <v>0.452519</v>
      </c>
      <c r="L4071">
        <v>51</v>
      </c>
      <c r="M4071">
        <v>1</v>
      </c>
      <c r="N4071">
        <v>2</v>
      </c>
      <c r="O4071">
        <v>0.79085499999999997</v>
      </c>
      <c r="P4071">
        <v>0.46329900000000002</v>
      </c>
      <c r="Q4071">
        <v>0.20966699999999999</v>
      </c>
    </row>
    <row r="4072" spans="1:17" x14ac:dyDescent="0.25">
      <c r="A4072" t="str">
        <f>IF(C4072&amp;G4072&amp;D4072&lt;&gt;'Funnel setup'!$K$3&amp;'Funnel setup'!$K$4&amp;'Funnel setup'!$K$6,".",IF(A4071=".",1,A4071+1))</f>
        <v>.</v>
      </c>
      <c r="B4072" s="244" t="str">
        <f t="shared" si="63"/>
        <v>Total Hip ReplacementProviderPRACTICE PLUS GROUP HOSPITAL - PLYMOUTH (NTPH5)EQ-5D Index</v>
      </c>
      <c r="C4072" t="s">
        <v>974</v>
      </c>
      <c r="D4072" t="s">
        <v>965</v>
      </c>
      <c r="E4072" t="s">
        <v>458</v>
      </c>
      <c r="F4072" t="s">
        <v>459</v>
      </c>
      <c r="G4072" t="s">
        <v>963</v>
      </c>
      <c r="H4072">
        <v>183</v>
      </c>
      <c r="I4072">
        <v>0.37532799999999999</v>
      </c>
      <c r="J4072">
        <v>0.83033299999999999</v>
      </c>
      <c r="K4072">
        <v>0.45500499999999999</v>
      </c>
      <c r="L4072">
        <v>165</v>
      </c>
      <c r="M4072">
        <v>9</v>
      </c>
      <c r="N4072">
        <v>9</v>
      </c>
      <c r="O4072">
        <v>0.82256200000000002</v>
      </c>
      <c r="P4072">
        <v>0.49500699999999997</v>
      </c>
      <c r="Q4072">
        <v>0.22636899999999999</v>
      </c>
    </row>
    <row r="4073" spans="1:17" x14ac:dyDescent="0.25">
      <c r="A4073" t="str">
        <f>IF(C4073&amp;G4073&amp;D4073&lt;&gt;'Funnel setup'!$K$3&amp;'Funnel setup'!$K$4&amp;'Funnel setup'!$K$6,".",IF(A4072=".",1,A4072+1))</f>
        <v>.</v>
      </c>
      <c r="B4073" s="244" t="str">
        <f t="shared" si="63"/>
        <v>Total Hip ReplacementProviderPRACTICE PLUS GROUP HOSPITAL - SHEPTON MALLET (NTPH1)EQ-5D Index</v>
      </c>
      <c r="C4073" t="s">
        <v>974</v>
      </c>
      <c r="D4073" t="s">
        <v>965</v>
      </c>
      <c r="E4073" t="s">
        <v>460</v>
      </c>
      <c r="F4073" t="s">
        <v>461</v>
      </c>
      <c r="G4073" t="s">
        <v>963</v>
      </c>
      <c r="H4073">
        <v>273</v>
      </c>
      <c r="I4073">
        <v>0.42285</v>
      </c>
      <c r="J4073">
        <v>0.85709500000000005</v>
      </c>
      <c r="K4073">
        <v>0.43424499999999999</v>
      </c>
      <c r="L4073">
        <v>247</v>
      </c>
      <c r="M4073">
        <v>11</v>
      </c>
      <c r="N4073">
        <v>15</v>
      </c>
      <c r="O4073">
        <v>0.80937999999999999</v>
      </c>
      <c r="P4073">
        <v>0.48182399999999997</v>
      </c>
      <c r="Q4073">
        <v>0.18390699999999999</v>
      </c>
    </row>
    <row r="4074" spans="1:17" x14ac:dyDescent="0.25">
      <c r="A4074" t="str">
        <f>IF(C4074&amp;G4074&amp;D4074&lt;&gt;'Funnel setup'!$K$3&amp;'Funnel setup'!$K$4&amp;'Funnel setup'!$K$6,".",IF(A4073=".",1,A4073+1))</f>
        <v>.</v>
      </c>
      <c r="B4074" s="244" t="str">
        <f t="shared" si="63"/>
        <v>Total Hip ReplacementProviderPRACTICE PLUS GROUP HOSPITAL - SOUTHAMPTON (NTP11)EQ-5D Index</v>
      </c>
      <c r="C4074" t="s">
        <v>974</v>
      </c>
      <c r="D4074" t="s">
        <v>965</v>
      </c>
      <c r="E4074" t="s">
        <v>462</v>
      </c>
      <c r="F4074" t="s">
        <v>463</v>
      </c>
      <c r="G4074" t="s">
        <v>963</v>
      </c>
      <c r="H4074">
        <v>70</v>
      </c>
      <c r="I4074">
        <v>0.36872899999999997</v>
      </c>
      <c r="J4074">
        <v>0.84181399999999995</v>
      </c>
      <c r="K4074">
        <v>0.47308600000000001</v>
      </c>
      <c r="L4074">
        <v>63</v>
      </c>
      <c r="M4074">
        <v>3</v>
      </c>
      <c r="N4074">
        <v>4</v>
      </c>
      <c r="O4074">
        <v>0.81138999999999994</v>
      </c>
      <c r="P4074">
        <v>0.48383399999999999</v>
      </c>
      <c r="Q4074">
        <v>0.21362500000000001</v>
      </c>
    </row>
    <row r="4075" spans="1:17" x14ac:dyDescent="0.25">
      <c r="A4075" t="str">
        <f>IF(C4075&amp;G4075&amp;D4075&lt;&gt;'Funnel setup'!$K$3&amp;'Funnel setup'!$K$4&amp;'Funnel setup'!$K$6,".",IF(A4074=".",1,A4074+1))</f>
        <v>.</v>
      </c>
      <c r="B4075" s="244" t="str">
        <f t="shared" si="63"/>
        <v>Total Hip ReplacementProviderPRINCESS MARGARET HOSPITAL (NT428)EQ-5D Index</v>
      </c>
      <c r="C4075" t="s">
        <v>974</v>
      </c>
      <c r="D4075" t="s">
        <v>965</v>
      </c>
      <c r="E4075" t="s">
        <v>464</v>
      </c>
      <c r="F4075" t="s">
        <v>465</v>
      </c>
      <c r="G4075" t="s">
        <v>963</v>
      </c>
      <c r="H4075" t="s">
        <v>127</v>
      </c>
      <c r="I4075" t="s">
        <v>127</v>
      </c>
      <c r="J4075" t="s">
        <v>127</v>
      </c>
      <c r="K4075" t="s">
        <v>127</v>
      </c>
      <c r="L4075" t="s">
        <v>127</v>
      </c>
      <c r="M4075" t="s">
        <v>127</v>
      </c>
      <c r="N4075" t="s">
        <v>127</v>
      </c>
      <c r="O4075" t="s">
        <v>127</v>
      </c>
      <c r="P4075" t="s">
        <v>127</v>
      </c>
      <c r="Q4075" t="s">
        <v>127</v>
      </c>
    </row>
    <row r="4076" spans="1:17" x14ac:dyDescent="0.25">
      <c r="A4076" t="str">
        <f>IF(C4076&amp;G4076&amp;D4076&lt;&gt;'Funnel setup'!$K$3&amp;'Funnel setup'!$K$4&amp;'Funnel setup'!$K$6,".",IF(A4075=".",1,A4075+1))</f>
        <v>.</v>
      </c>
      <c r="B4076" s="244" t="str">
        <f t="shared" si="63"/>
        <v>Total Hip ReplacementProviderPRIORY HOSPITAL (NT429)EQ-5D Index</v>
      </c>
      <c r="C4076" t="s">
        <v>974</v>
      </c>
      <c r="D4076" t="s">
        <v>965</v>
      </c>
      <c r="E4076" t="s">
        <v>466</v>
      </c>
      <c r="F4076" t="s">
        <v>467</v>
      </c>
      <c r="G4076" t="s">
        <v>963</v>
      </c>
      <c r="H4076">
        <v>10</v>
      </c>
      <c r="I4076">
        <v>0.33289999999999997</v>
      </c>
      <c r="J4076">
        <v>0.83020000000000005</v>
      </c>
      <c r="K4076">
        <v>0.49730000000000002</v>
      </c>
      <c r="L4076">
        <v>9</v>
      </c>
      <c r="M4076">
        <v>0</v>
      </c>
      <c r="N4076">
        <v>1</v>
      </c>
      <c r="O4076" t="s">
        <v>127</v>
      </c>
      <c r="P4076" t="s">
        <v>127</v>
      </c>
      <c r="Q4076" t="s">
        <v>127</v>
      </c>
    </row>
    <row r="4077" spans="1:17" x14ac:dyDescent="0.25">
      <c r="A4077" t="str">
        <f>IF(C4077&amp;G4077&amp;D4077&lt;&gt;'Funnel setup'!$K$3&amp;'Funnel setup'!$K$4&amp;'Funnel setup'!$K$6,".",IF(A4076=".",1,A4076+1))</f>
        <v>.</v>
      </c>
      <c r="B4077" s="244" t="str">
        <f t="shared" si="63"/>
        <v>Total Hip ReplacementProviderRENACRES HOSPITAL (NVC16)EQ-5D Index</v>
      </c>
      <c r="C4077" t="s">
        <v>974</v>
      </c>
      <c r="D4077" t="s">
        <v>965</v>
      </c>
      <c r="E4077" t="s">
        <v>470</v>
      </c>
      <c r="F4077" t="s">
        <v>471</v>
      </c>
      <c r="G4077" t="s">
        <v>963</v>
      </c>
      <c r="H4077">
        <v>79</v>
      </c>
      <c r="I4077">
        <v>0.32577200000000001</v>
      </c>
      <c r="J4077">
        <v>0.81430400000000003</v>
      </c>
      <c r="K4077">
        <v>0.48853200000000002</v>
      </c>
      <c r="L4077">
        <v>74</v>
      </c>
      <c r="M4077">
        <v>2</v>
      </c>
      <c r="N4077">
        <v>3</v>
      </c>
      <c r="O4077">
        <v>0.79546899999999998</v>
      </c>
      <c r="P4077">
        <v>0.46791300000000002</v>
      </c>
      <c r="Q4077">
        <v>0.24223500000000001</v>
      </c>
    </row>
    <row r="4078" spans="1:17" x14ac:dyDescent="0.25">
      <c r="A4078" t="str">
        <f>IF(C4078&amp;G4078&amp;D4078&lt;&gt;'Funnel setup'!$K$3&amp;'Funnel setup'!$K$4&amp;'Funnel setup'!$K$6,".",IF(A4077=".",1,A4077+1))</f>
        <v>.</v>
      </c>
      <c r="B4078" s="244" t="str">
        <f t="shared" si="63"/>
        <v>Total Hip ReplacementProviderRIDGEWAY HOSPITAL (NT430)EQ-5D Index</v>
      </c>
      <c r="C4078" t="s">
        <v>974</v>
      </c>
      <c r="D4078" t="s">
        <v>965</v>
      </c>
      <c r="E4078" t="s">
        <v>472</v>
      </c>
      <c r="F4078" t="s">
        <v>473</v>
      </c>
      <c r="G4078" t="s">
        <v>963</v>
      </c>
      <c r="H4078">
        <v>4</v>
      </c>
      <c r="I4078">
        <v>0.58299999999999996</v>
      </c>
      <c r="J4078">
        <v>0.64400000000000002</v>
      </c>
      <c r="K4078">
        <v>6.0999999999999999E-2</v>
      </c>
      <c r="L4078">
        <v>2</v>
      </c>
      <c r="M4078">
        <v>0</v>
      </c>
      <c r="N4078">
        <v>2</v>
      </c>
      <c r="O4078" t="s">
        <v>127</v>
      </c>
      <c r="P4078" t="s">
        <v>127</v>
      </c>
      <c r="Q4078" t="s">
        <v>127</v>
      </c>
    </row>
    <row r="4079" spans="1:17" x14ac:dyDescent="0.25">
      <c r="A4079" t="str">
        <f>IF(C4079&amp;G4079&amp;D4079&lt;&gt;'Funnel setup'!$K$3&amp;'Funnel setup'!$K$4&amp;'Funnel setup'!$K$6,".",IF(A4078=".",1,A4078+1))</f>
        <v>.</v>
      </c>
      <c r="B4079" s="244" t="str">
        <f t="shared" si="63"/>
        <v>Total Hip ReplacementProviderRIVERS HOSPITAL (NVC19)EQ-5D Index</v>
      </c>
      <c r="C4079" t="s">
        <v>974</v>
      </c>
      <c r="D4079" t="s">
        <v>965</v>
      </c>
      <c r="E4079" t="s">
        <v>474</v>
      </c>
      <c r="F4079" t="s">
        <v>475</v>
      </c>
      <c r="G4079" t="s">
        <v>963</v>
      </c>
      <c r="H4079">
        <v>56</v>
      </c>
      <c r="I4079">
        <v>0.400621</v>
      </c>
      <c r="J4079">
        <v>0.77463800000000005</v>
      </c>
      <c r="K4079">
        <v>0.37401699999999999</v>
      </c>
      <c r="L4079">
        <v>52</v>
      </c>
      <c r="M4079">
        <v>2</v>
      </c>
      <c r="N4079">
        <v>2</v>
      </c>
      <c r="O4079">
        <v>0.74271100000000001</v>
      </c>
      <c r="P4079">
        <v>0.415155</v>
      </c>
      <c r="Q4079">
        <v>0.24901400000000001</v>
      </c>
    </row>
    <row r="4080" spans="1:17" x14ac:dyDescent="0.25">
      <c r="A4080" t="str">
        <f>IF(C4080&amp;G4080&amp;D4080&lt;&gt;'Funnel setup'!$K$3&amp;'Funnel setup'!$K$4&amp;'Funnel setup'!$K$6,".",IF(A4079=".",1,A4079+1))</f>
        <v>.</v>
      </c>
      <c r="B4080" s="244" t="str">
        <f t="shared" si="63"/>
        <v>Total Hip ReplacementProviderROWLEY HALL HOSPITAL (NVC17)EQ-5D Index</v>
      </c>
      <c r="C4080" t="s">
        <v>974</v>
      </c>
      <c r="D4080" t="s">
        <v>965</v>
      </c>
      <c r="E4080" t="s">
        <v>476</v>
      </c>
      <c r="F4080" t="s">
        <v>477</v>
      </c>
      <c r="G4080" t="s">
        <v>963</v>
      </c>
      <c r="H4080">
        <v>52</v>
      </c>
      <c r="I4080">
        <v>0.389208</v>
      </c>
      <c r="J4080">
        <v>0.79562299999999997</v>
      </c>
      <c r="K4080">
        <v>0.40641500000000003</v>
      </c>
      <c r="L4080">
        <v>45</v>
      </c>
      <c r="M4080">
        <v>4</v>
      </c>
      <c r="N4080">
        <v>3</v>
      </c>
      <c r="O4080">
        <v>0.77496299999999996</v>
      </c>
      <c r="P4080">
        <v>0.44740799999999997</v>
      </c>
      <c r="Q4080">
        <v>0.202345</v>
      </c>
    </row>
    <row r="4081" spans="1:17" x14ac:dyDescent="0.25">
      <c r="A4081" t="str">
        <f>IF(C4081&amp;G4081&amp;D4081&lt;&gt;'Funnel setup'!$K$3&amp;'Funnel setup'!$K$4&amp;'Funnel setup'!$K$6,".",IF(A4080=".",1,A4080+1))</f>
        <v>.</v>
      </c>
      <c r="B4081" s="244" t="str">
        <f t="shared" si="63"/>
        <v>Total Hip ReplacementProviderROYAL BERKSHIRE NHS FOUNDATION TRUST (RHW)EQ-5D Index</v>
      </c>
      <c r="C4081" t="s">
        <v>974</v>
      </c>
      <c r="D4081" t="s">
        <v>965</v>
      </c>
      <c r="E4081" t="s">
        <v>478</v>
      </c>
      <c r="F4081" t="s">
        <v>479</v>
      </c>
      <c r="G4081" t="s">
        <v>963</v>
      </c>
      <c r="H4081">
        <v>4</v>
      </c>
      <c r="I4081">
        <v>0.20499999999999999</v>
      </c>
      <c r="J4081">
        <v>0.47925000000000001</v>
      </c>
      <c r="K4081">
        <v>0.27424999999999999</v>
      </c>
      <c r="L4081">
        <v>3</v>
      </c>
      <c r="M4081">
        <v>0</v>
      </c>
      <c r="N4081">
        <v>1</v>
      </c>
      <c r="O4081" t="s">
        <v>127</v>
      </c>
      <c r="P4081" t="s">
        <v>127</v>
      </c>
      <c r="Q4081" t="s">
        <v>127</v>
      </c>
    </row>
    <row r="4082" spans="1:17" x14ac:dyDescent="0.25">
      <c r="A4082" t="str">
        <f>IF(C4082&amp;G4082&amp;D4082&lt;&gt;'Funnel setup'!$K$3&amp;'Funnel setup'!$K$4&amp;'Funnel setup'!$K$6,".",IF(A4081=".",1,A4081+1))</f>
        <v>.</v>
      </c>
      <c r="B4082" s="244" t="str">
        <f t="shared" si="63"/>
        <v>Total Hip ReplacementProviderROYAL CORNWALL HOSPITALS NHS TRUST (REF)EQ-5D Index</v>
      </c>
      <c r="C4082" t="s">
        <v>974</v>
      </c>
      <c r="D4082" t="s">
        <v>965</v>
      </c>
      <c r="E4082" t="s">
        <v>480</v>
      </c>
      <c r="F4082" t="s">
        <v>481</v>
      </c>
      <c r="G4082" t="s">
        <v>963</v>
      </c>
      <c r="H4082">
        <v>53</v>
      </c>
      <c r="I4082">
        <v>0.44971699999999998</v>
      </c>
      <c r="J4082">
        <v>0.79073599999999999</v>
      </c>
      <c r="K4082">
        <v>0.34101900000000002</v>
      </c>
      <c r="L4082">
        <v>46</v>
      </c>
      <c r="M4082">
        <v>2</v>
      </c>
      <c r="N4082">
        <v>5</v>
      </c>
      <c r="O4082">
        <v>0.764683</v>
      </c>
      <c r="P4082">
        <v>0.43712800000000002</v>
      </c>
      <c r="Q4082">
        <v>0.27037699999999998</v>
      </c>
    </row>
    <row r="4083" spans="1:17" x14ac:dyDescent="0.25">
      <c r="A4083" t="str">
        <f>IF(C4083&amp;G4083&amp;D4083&lt;&gt;'Funnel setup'!$K$3&amp;'Funnel setup'!$K$4&amp;'Funnel setup'!$K$6,".",IF(A4082=".",1,A4082+1))</f>
        <v>.</v>
      </c>
      <c r="B4083" s="244" t="str">
        <f t="shared" si="63"/>
        <v>Total Hip ReplacementProviderROYAL DEVON UNIVERSITY HEALTHCARE NHS FOUNDATION TRUST (RH8)EQ-5D Index</v>
      </c>
      <c r="C4083" t="s">
        <v>974</v>
      </c>
      <c r="D4083" t="s">
        <v>965</v>
      </c>
      <c r="E4083" t="s">
        <v>482</v>
      </c>
      <c r="F4083" t="s">
        <v>483</v>
      </c>
      <c r="G4083" t="s">
        <v>963</v>
      </c>
      <c r="H4083">
        <v>3</v>
      </c>
      <c r="I4083">
        <v>0.42066700000000001</v>
      </c>
      <c r="J4083">
        <v>0.82899999999999996</v>
      </c>
      <c r="K4083">
        <v>0.408333</v>
      </c>
      <c r="L4083">
        <v>2</v>
      </c>
      <c r="M4083">
        <v>1</v>
      </c>
      <c r="N4083">
        <v>0</v>
      </c>
      <c r="O4083" t="s">
        <v>127</v>
      </c>
      <c r="P4083" t="s">
        <v>127</v>
      </c>
      <c r="Q4083" t="s">
        <v>127</v>
      </c>
    </row>
    <row r="4084" spans="1:17" x14ac:dyDescent="0.25">
      <c r="A4084" t="str">
        <f>IF(C4084&amp;G4084&amp;D4084&lt;&gt;'Funnel setup'!$K$3&amp;'Funnel setup'!$K$4&amp;'Funnel setup'!$K$6,".",IF(A4083=".",1,A4083+1))</f>
        <v>.</v>
      </c>
      <c r="B4084" s="244" t="str">
        <f t="shared" si="63"/>
        <v>Total Hip ReplacementProviderROYAL NATIONAL ORTHOPAEDIC HOSPITAL NHS TRUST (RAN)EQ-5D Index</v>
      </c>
      <c r="C4084" t="s">
        <v>974</v>
      </c>
      <c r="D4084" t="s">
        <v>965</v>
      </c>
      <c r="E4084" t="s">
        <v>486</v>
      </c>
      <c r="F4084" t="s">
        <v>487</v>
      </c>
      <c r="G4084" t="s">
        <v>963</v>
      </c>
      <c r="H4084">
        <v>90</v>
      </c>
      <c r="I4084">
        <v>0.29055599999999998</v>
      </c>
      <c r="J4084">
        <v>0.60638899999999996</v>
      </c>
      <c r="K4084">
        <v>0.31583299999999997</v>
      </c>
      <c r="L4084">
        <v>71</v>
      </c>
      <c r="M4084">
        <v>5</v>
      </c>
      <c r="N4084">
        <v>14</v>
      </c>
      <c r="O4084">
        <v>0.67380600000000002</v>
      </c>
      <c r="P4084">
        <v>0.34625</v>
      </c>
      <c r="Q4084">
        <v>0.30536200000000002</v>
      </c>
    </row>
    <row r="4085" spans="1:17" x14ac:dyDescent="0.25">
      <c r="A4085" t="str">
        <f>IF(C4085&amp;G4085&amp;D4085&lt;&gt;'Funnel setup'!$K$3&amp;'Funnel setup'!$K$4&amp;'Funnel setup'!$K$6,".",IF(A4084=".",1,A4084+1))</f>
        <v>.</v>
      </c>
      <c r="B4085" s="244" t="str">
        <f t="shared" si="63"/>
        <v>Total Hip ReplacementProviderROYAL SURREY COUNTY HOSPITAL NHS FOUNDATION TRUST (RA2)EQ-5D Index</v>
      </c>
      <c r="C4085" t="s">
        <v>974</v>
      </c>
      <c r="D4085" t="s">
        <v>965</v>
      </c>
      <c r="E4085" t="s">
        <v>488</v>
      </c>
      <c r="F4085" t="s">
        <v>489</v>
      </c>
      <c r="G4085" t="s">
        <v>963</v>
      </c>
      <c r="H4085">
        <v>71</v>
      </c>
      <c r="I4085">
        <v>0.41156300000000001</v>
      </c>
      <c r="J4085">
        <v>0.81040800000000002</v>
      </c>
      <c r="K4085">
        <v>0.39884500000000001</v>
      </c>
      <c r="L4085">
        <v>63</v>
      </c>
      <c r="M4085">
        <v>5</v>
      </c>
      <c r="N4085">
        <v>3</v>
      </c>
      <c r="O4085">
        <v>0.78193800000000002</v>
      </c>
      <c r="P4085">
        <v>0.45438200000000001</v>
      </c>
      <c r="Q4085">
        <v>0.158169</v>
      </c>
    </row>
    <row r="4086" spans="1:17" x14ac:dyDescent="0.25">
      <c r="A4086" t="str">
        <f>IF(C4086&amp;G4086&amp;D4086&lt;&gt;'Funnel setup'!$K$3&amp;'Funnel setup'!$K$4&amp;'Funnel setup'!$K$6,".",IF(A4085=".",1,A4085+1))</f>
        <v>.</v>
      </c>
      <c r="B4086" s="244" t="str">
        <f t="shared" si="63"/>
        <v>Total Hip ReplacementProviderROYAL UNITED HOSPITALS BATH NHS FOUNDATION TRUST (RD1)EQ-5D Index</v>
      </c>
      <c r="C4086" t="s">
        <v>974</v>
      </c>
      <c r="D4086" t="s">
        <v>965</v>
      </c>
      <c r="E4086" t="s">
        <v>490</v>
      </c>
      <c r="F4086" t="s">
        <v>491</v>
      </c>
      <c r="G4086" t="s">
        <v>963</v>
      </c>
      <c r="H4086">
        <v>7</v>
      </c>
      <c r="I4086">
        <v>0.35</v>
      </c>
      <c r="J4086">
        <v>0.498143</v>
      </c>
      <c r="K4086">
        <v>0.148143</v>
      </c>
      <c r="L4086">
        <v>6</v>
      </c>
      <c r="M4086">
        <v>0</v>
      </c>
      <c r="N4086">
        <v>1</v>
      </c>
      <c r="O4086" t="s">
        <v>127</v>
      </c>
      <c r="P4086" t="s">
        <v>127</v>
      </c>
      <c r="Q4086" t="s">
        <v>127</v>
      </c>
    </row>
    <row r="4087" spans="1:17" x14ac:dyDescent="0.25">
      <c r="A4087" t="str">
        <f>IF(C4087&amp;G4087&amp;D4087&lt;&gt;'Funnel setup'!$K$3&amp;'Funnel setup'!$K$4&amp;'Funnel setup'!$K$6,".",IF(A4086=".",1,A4086+1))</f>
        <v>.</v>
      </c>
      <c r="B4087" s="244" t="str">
        <f t="shared" si="63"/>
        <v>Total Hip ReplacementProviderRUNNYMEDE HOSPITAL (NT431)EQ-5D Index</v>
      </c>
      <c r="C4087" t="s">
        <v>974</v>
      </c>
      <c r="D4087" t="s">
        <v>965</v>
      </c>
      <c r="E4087" t="s">
        <v>492</v>
      </c>
      <c r="F4087" t="s">
        <v>493</v>
      </c>
      <c r="G4087" t="s">
        <v>963</v>
      </c>
      <c r="H4087">
        <v>5</v>
      </c>
      <c r="I4087">
        <v>0.45700000000000002</v>
      </c>
      <c r="J4087">
        <v>0.85360000000000003</v>
      </c>
      <c r="K4087">
        <v>0.39660000000000001</v>
      </c>
      <c r="L4087">
        <v>4</v>
      </c>
      <c r="M4087">
        <v>1</v>
      </c>
      <c r="N4087">
        <v>0</v>
      </c>
      <c r="O4087" t="s">
        <v>127</v>
      </c>
      <c r="P4087" t="s">
        <v>127</v>
      </c>
      <c r="Q4087" t="s">
        <v>127</v>
      </c>
    </row>
    <row r="4088" spans="1:17" x14ac:dyDescent="0.25">
      <c r="A4088" t="str">
        <f>IF(C4088&amp;G4088&amp;D4088&lt;&gt;'Funnel setup'!$K$3&amp;'Funnel setup'!$K$4&amp;'Funnel setup'!$K$6,".",IF(A4087=".",1,A4087+1))</f>
        <v>.</v>
      </c>
      <c r="B4088" s="244" t="str">
        <f t="shared" si="63"/>
        <v>Total Hip ReplacementProviderSALISBURY NHS FOUNDATION TRUST (RNZ)EQ-5D Index</v>
      </c>
      <c r="C4088" t="s">
        <v>974</v>
      </c>
      <c r="D4088" t="s">
        <v>965</v>
      </c>
      <c r="E4088" t="s">
        <v>494</v>
      </c>
      <c r="F4088" t="s">
        <v>495</v>
      </c>
      <c r="G4088" t="s">
        <v>963</v>
      </c>
      <c r="H4088">
        <v>3</v>
      </c>
      <c r="I4088">
        <v>0.16566700000000001</v>
      </c>
      <c r="J4088">
        <v>0.93200000000000005</v>
      </c>
      <c r="K4088">
        <v>0.76633300000000004</v>
      </c>
      <c r="L4088">
        <v>3</v>
      </c>
      <c r="M4088">
        <v>0</v>
      </c>
      <c r="N4088">
        <v>0</v>
      </c>
      <c r="O4088" t="s">
        <v>127</v>
      </c>
      <c r="P4088" t="s">
        <v>127</v>
      </c>
      <c r="Q4088" t="s">
        <v>127</v>
      </c>
    </row>
    <row r="4089" spans="1:17" x14ac:dyDescent="0.25">
      <c r="A4089" t="str">
        <f>IF(C4089&amp;G4089&amp;D4089&lt;&gt;'Funnel setup'!$K$3&amp;'Funnel setup'!$K$4&amp;'Funnel setup'!$K$6,".",IF(A4088=".",1,A4088+1))</f>
        <v>.</v>
      </c>
      <c r="B4089" s="244" t="str">
        <f t="shared" si="63"/>
        <v>Total Hip ReplacementProviderSANDWELL AND WEST BIRMINGHAM HOSPITALS NHS TRUST (RXK)EQ-5D Index</v>
      </c>
      <c r="C4089" t="s">
        <v>974</v>
      </c>
      <c r="D4089" t="s">
        <v>965</v>
      </c>
      <c r="E4089" t="s">
        <v>496</v>
      </c>
      <c r="F4089" t="s">
        <v>497</v>
      </c>
      <c r="G4089" t="s">
        <v>963</v>
      </c>
      <c r="H4089">
        <v>41</v>
      </c>
      <c r="I4089">
        <v>0.19522</v>
      </c>
      <c r="J4089">
        <v>0.70195099999999999</v>
      </c>
      <c r="K4089">
        <v>0.50673199999999996</v>
      </c>
      <c r="L4089">
        <v>37</v>
      </c>
      <c r="M4089">
        <v>3</v>
      </c>
      <c r="N4089">
        <v>1</v>
      </c>
      <c r="O4089">
        <v>0.79168000000000005</v>
      </c>
      <c r="P4089">
        <v>0.46412500000000001</v>
      </c>
      <c r="Q4089">
        <v>0.24234</v>
      </c>
    </row>
    <row r="4090" spans="1:17" x14ac:dyDescent="0.25">
      <c r="A4090" t="str">
        <f>IF(C4090&amp;G4090&amp;D4090&lt;&gt;'Funnel setup'!$K$3&amp;'Funnel setup'!$K$4&amp;'Funnel setup'!$K$6,".",IF(A4089=".",1,A4089+1))</f>
        <v>.</v>
      </c>
      <c r="B4090" s="244" t="str">
        <f t="shared" si="63"/>
        <v>Total Hip ReplacementProviderSARUM ROAD HOSPITAL (NT433)EQ-5D Index</v>
      </c>
      <c r="C4090" t="s">
        <v>974</v>
      </c>
      <c r="D4090" t="s">
        <v>965</v>
      </c>
      <c r="E4090" t="s">
        <v>498</v>
      </c>
      <c r="F4090" t="s">
        <v>499</v>
      </c>
      <c r="G4090" t="s">
        <v>963</v>
      </c>
      <c r="H4090">
        <v>35</v>
      </c>
      <c r="I4090">
        <v>0.48771399999999998</v>
      </c>
      <c r="J4090">
        <v>0.85185699999999998</v>
      </c>
      <c r="K4090">
        <v>0.36414299999999999</v>
      </c>
      <c r="L4090">
        <v>31</v>
      </c>
      <c r="M4090">
        <v>1</v>
      </c>
      <c r="N4090">
        <v>3</v>
      </c>
      <c r="O4090">
        <v>0.76970499999999997</v>
      </c>
      <c r="P4090">
        <v>0.44214900000000001</v>
      </c>
      <c r="Q4090">
        <v>0.18134800000000001</v>
      </c>
    </row>
    <row r="4091" spans="1:17" x14ac:dyDescent="0.25">
      <c r="A4091" t="str">
        <f>IF(C4091&amp;G4091&amp;D4091&lt;&gt;'Funnel setup'!$K$3&amp;'Funnel setup'!$K$4&amp;'Funnel setup'!$K$6,".",IF(A4090=".",1,A4090+1))</f>
        <v>.</v>
      </c>
      <c r="B4091" s="244" t="str">
        <f t="shared" si="63"/>
        <v>Total Hip ReplacementProviderSAXON CLINIC (NT434)EQ-5D Index</v>
      </c>
      <c r="C4091" t="s">
        <v>974</v>
      </c>
      <c r="D4091" t="s">
        <v>965</v>
      </c>
      <c r="E4091" t="s">
        <v>500</v>
      </c>
      <c r="F4091" t="s">
        <v>501</v>
      </c>
      <c r="G4091" t="s">
        <v>963</v>
      </c>
      <c r="H4091">
        <v>16</v>
      </c>
      <c r="I4091">
        <v>0.378</v>
      </c>
      <c r="J4091">
        <v>0.89606200000000003</v>
      </c>
      <c r="K4091">
        <v>0.51806300000000005</v>
      </c>
      <c r="L4091">
        <v>15</v>
      </c>
      <c r="M4091">
        <v>0</v>
      </c>
      <c r="N4091">
        <v>1</v>
      </c>
      <c r="O4091" t="s">
        <v>127</v>
      </c>
      <c r="P4091" t="s">
        <v>127</v>
      </c>
      <c r="Q4091" t="s">
        <v>127</v>
      </c>
    </row>
    <row r="4092" spans="1:17" x14ac:dyDescent="0.25">
      <c r="A4092" t="str">
        <f>IF(C4092&amp;G4092&amp;D4092&lt;&gt;'Funnel setup'!$K$3&amp;'Funnel setup'!$K$4&amp;'Funnel setup'!$K$6,".",IF(A4091=".",1,A4091+1))</f>
        <v>.</v>
      </c>
      <c r="B4092" s="244" t="str">
        <f t="shared" si="63"/>
        <v>Total Hip ReplacementProviderSHEFFIELD TEACHING HOSPITALS NHS FOUNDATION TRUST (RHQ)EQ-5D Index</v>
      </c>
      <c r="C4092" t="s">
        <v>974</v>
      </c>
      <c r="D4092" t="s">
        <v>965</v>
      </c>
      <c r="E4092" t="s">
        <v>506</v>
      </c>
      <c r="F4092" t="s">
        <v>507</v>
      </c>
      <c r="G4092" t="s">
        <v>963</v>
      </c>
      <c r="H4092">
        <v>32</v>
      </c>
      <c r="I4092">
        <v>0.39265600000000001</v>
      </c>
      <c r="J4092">
        <v>0.77537500000000004</v>
      </c>
      <c r="K4092">
        <v>0.38271899999999998</v>
      </c>
      <c r="L4092">
        <v>28</v>
      </c>
      <c r="M4092">
        <v>1</v>
      </c>
      <c r="N4092">
        <v>3</v>
      </c>
      <c r="O4092">
        <v>0.75596300000000005</v>
      </c>
      <c r="P4092">
        <v>0.42840800000000001</v>
      </c>
      <c r="Q4092">
        <v>0.29710700000000001</v>
      </c>
    </row>
    <row r="4093" spans="1:17" x14ac:dyDescent="0.25">
      <c r="A4093" t="str">
        <f>IF(C4093&amp;G4093&amp;D4093&lt;&gt;'Funnel setup'!$K$3&amp;'Funnel setup'!$K$4&amp;'Funnel setup'!$K$6,".",IF(A4092=".",1,A4092+1))</f>
        <v>.</v>
      </c>
      <c r="B4093" s="244" t="str">
        <f t="shared" si="63"/>
        <v>Total Hip ReplacementProviderSHERWOOD FOREST HOSPITALS NHS FOUNDATION TRUST (RK5)EQ-5D Index</v>
      </c>
      <c r="C4093" t="s">
        <v>974</v>
      </c>
      <c r="D4093" t="s">
        <v>965</v>
      </c>
      <c r="E4093" t="s">
        <v>508</v>
      </c>
      <c r="F4093" t="s">
        <v>509</v>
      </c>
      <c r="G4093" t="s">
        <v>963</v>
      </c>
      <c r="H4093">
        <v>71</v>
      </c>
      <c r="I4093">
        <v>0.24595800000000001</v>
      </c>
      <c r="J4093">
        <v>0.75922500000000004</v>
      </c>
      <c r="K4093">
        <v>0.51326799999999995</v>
      </c>
      <c r="L4093">
        <v>66</v>
      </c>
      <c r="M4093">
        <v>3</v>
      </c>
      <c r="N4093">
        <v>2</v>
      </c>
      <c r="O4093">
        <v>0.78468899999999997</v>
      </c>
      <c r="P4093">
        <v>0.45713300000000001</v>
      </c>
      <c r="Q4093">
        <v>0.19748399999999999</v>
      </c>
    </row>
    <row r="4094" spans="1:17" x14ac:dyDescent="0.25">
      <c r="A4094" t="str">
        <f>IF(C4094&amp;G4094&amp;D4094&lt;&gt;'Funnel setup'!$K$3&amp;'Funnel setup'!$K$4&amp;'Funnel setup'!$K$6,".",IF(A4093=".",1,A4093+1))</f>
        <v>.</v>
      </c>
      <c r="B4094" s="244" t="str">
        <f t="shared" si="63"/>
        <v>Total Hip ReplacementProviderSHIRLEY OAKS HOSPITAL (NT436)EQ-5D Index</v>
      </c>
      <c r="C4094" t="s">
        <v>974</v>
      </c>
      <c r="D4094" t="s">
        <v>965</v>
      </c>
      <c r="E4094" t="s">
        <v>510</v>
      </c>
      <c r="F4094" t="s">
        <v>511</v>
      </c>
      <c r="G4094" t="s">
        <v>963</v>
      </c>
      <c r="H4094">
        <v>2</v>
      </c>
      <c r="I4094">
        <v>0.60350000000000004</v>
      </c>
      <c r="J4094">
        <v>0.56850000000000001</v>
      </c>
      <c r="K4094">
        <v>-3.5000000000000003E-2</v>
      </c>
      <c r="L4094">
        <v>1</v>
      </c>
      <c r="M4094">
        <v>0</v>
      </c>
      <c r="N4094">
        <v>1</v>
      </c>
      <c r="O4094" t="s">
        <v>127</v>
      </c>
      <c r="P4094" t="s">
        <v>127</v>
      </c>
      <c r="Q4094" t="s">
        <v>127</v>
      </c>
    </row>
    <row r="4095" spans="1:17" x14ac:dyDescent="0.25">
      <c r="A4095" t="str">
        <f>IF(C4095&amp;G4095&amp;D4095&lt;&gt;'Funnel setup'!$K$3&amp;'Funnel setup'!$K$4&amp;'Funnel setup'!$K$6,".",IF(A4094=".",1,A4094+1))</f>
        <v>.</v>
      </c>
      <c r="B4095" s="244" t="str">
        <f t="shared" si="63"/>
        <v>Total Hip ReplacementProviderSLOANE HOSPITAL (NT437)EQ-5D Index</v>
      </c>
      <c r="C4095" t="s">
        <v>974</v>
      </c>
      <c r="D4095" t="s">
        <v>965</v>
      </c>
      <c r="E4095" t="s">
        <v>512</v>
      </c>
      <c r="F4095" t="s">
        <v>513</v>
      </c>
      <c r="G4095" t="s">
        <v>963</v>
      </c>
      <c r="H4095">
        <v>2</v>
      </c>
      <c r="I4095">
        <v>0.28549999999999998</v>
      </c>
      <c r="J4095">
        <v>1</v>
      </c>
      <c r="K4095">
        <v>0.71450000000000002</v>
      </c>
      <c r="L4095">
        <v>2</v>
      </c>
      <c r="M4095">
        <v>0</v>
      </c>
      <c r="N4095">
        <v>0</v>
      </c>
      <c r="O4095" t="s">
        <v>127</v>
      </c>
      <c r="P4095" t="s">
        <v>127</v>
      </c>
      <c r="Q4095" t="s">
        <v>127</v>
      </c>
    </row>
    <row r="4096" spans="1:17" x14ac:dyDescent="0.25">
      <c r="A4096" t="str">
        <f>IF(C4096&amp;G4096&amp;D4096&lt;&gt;'Funnel setup'!$K$3&amp;'Funnel setup'!$K$4&amp;'Funnel setup'!$K$6,".",IF(A4095=".",1,A4095+1))</f>
        <v>.</v>
      </c>
      <c r="B4096" s="244" t="str">
        <f t="shared" si="63"/>
        <v>Total Hip ReplacementProviderSOUTH TEES HOSPITALS NHS FOUNDATION TRUST (RTR)EQ-5D Index</v>
      </c>
      <c r="C4096" t="s">
        <v>974</v>
      </c>
      <c r="D4096" t="s">
        <v>965</v>
      </c>
      <c r="E4096" t="s">
        <v>516</v>
      </c>
      <c r="F4096" t="s">
        <v>517</v>
      </c>
      <c r="G4096" t="s">
        <v>963</v>
      </c>
      <c r="H4096">
        <v>172</v>
      </c>
      <c r="I4096">
        <v>0.193442</v>
      </c>
      <c r="J4096">
        <v>0.753355</v>
      </c>
      <c r="K4096">
        <v>0.55991299999999999</v>
      </c>
      <c r="L4096">
        <v>160</v>
      </c>
      <c r="M4096">
        <v>2</v>
      </c>
      <c r="N4096">
        <v>10</v>
      </c>
      <c r="O4096">
        <v>0.82034399999999996</v>
      </c>
      <c r="P4096">
        <v>0.49278899999999998</v>
      </c>
      <c r="Q4096">
        <v>0.24929399999999999</v>
      </c>
    </row>
    <row r="4097" spans="1:17" x14ac:dyDescent="0.25">
      <c r="A4097" t="str">
        <f>IF(C4097&amp;G4097&amp;D4097&lt;&gt;'Funnel setup'!$K$3&amp;'Funnel setup'!$K$4&amp;'Funnel setup'!$K$6,".",IF(A4096=".",1,A4096+1))</f>
        <v>.</v>
      </c>
      <c r="B4097" s="244" t="str">
        <f t="shared" si="63"/>
        <v>Total Hip ReplacementProviderSOUTH TYNESIDE AND SUNDERLAND NHS FOUNDATION TRUST (R0B)EQ-5D Index</v>
      </c>
      <c r="C4097" t="s">
        <v>974</v>
      </c>
      <c r="D4097" t="s">
        <v>965</v>
      </c>
      <c r="E4097" t="s">
        <v>518</v>
      </c>
      <c r="F4097" t="s">
        <v>519</v>
      </c>
      <c r="G4097" t="s">
        <v>963</v>
      </c>
      <c r="H4097">
        <v>23</v>
      </c>
      <c r="I4097">
        <v>0.12156500000000001</v>
      </c>
      <c r="J4097">
        <v>0.55334799999999995</v>
      </c>
      <c r="K4097">
        <v>0.43178299999999997</v>
      </c>
      <c r="L4097">
        <v>18</v>
      </c>
      <c r="M4097">
        <v>1</v>
      </c>
      <c r="N4097">
        <v>4</v>
      </c>
      <c r="O4097" t="s">
        <v>127</v>
      </c>
      <c r="P4097" t="s">
        <v>127</v>
      </c>
      <c r="Q4097" t="s">
        <v>127</v>
      </c>
    </row>
    <row r="4098" spans="1:17" x14ac:dyDescent="0.25">
      <c r="A4098" t="str">
        <f>IF(C4098&amp;G4098&amp;D4098&lt;&gt;'Funnel setup'!$K$3&amp;'Funnel setup'!$K$4&amp;'Funnel setup'!$K$6,".",IF(A4097=".",1,A4097+1))</f>
        <v>.</v>
      </c>
      <c r="B4098" s="244" t="str">
        <f t="shared" ref="B4098:B4161" si="64">C4098&amp;D4098&amp;F4098&amp;G4098</f>
        <v>Total Hip ReplacementProviderSOUTH WARWICKSHIRE UNIVERSITY NHS FOUNDATION TRUST (RJC)EQ-5D Index</v>
      </c>
      <c r="C4098" t="s">
        <v>974</v>
      </c>
      <c r="D4098" t="s">
        <v>965</v>
      </c>
      <c r="E4098" t="s">
        <v>520</v>
      </c>
      <c r="F4098" t="s">
        <v>521</v>
      </c>
      <c r="G4098" t="s">
        <v>963</v>
      </c>
      <c r="H4098">
        <v>184</v>
      </c>
      <c r="I4098">
        <v>0.42918499999999998</v>
      </c>
      <c r="J4098">
        <v>0.83435300000000001</v>
      </c>
      <c r="K4098">
        <v>0.40516799999999997</v>
      </c>
      <c r="L4098">
        <v>161</v>
      </c>
      <c r="M4098">
        <v>12</v>
      </c>
      <c r="N4098">
        <v>11</v>
      </c>
      <c r="O4098">
        <v>0.78564400000000001</v>
      </c>
      <c r="P4098">
        <v>0.458088</v>
      </c>
      <c r="Q4098">
        <v>0.21426000000000001</v>
      </c>
    </row>
    <row r="4099" spans="1:17" x14ac:dyDescent="0.25">
      <c r="A4099" t="str">
        <f>IF(C4099&amp;G4099&amp;D4099&lt;&gt;'Funnel setup'!$K$3&amp;'Funnel setup'!$K$4&amp;'Funnel setup'!$K$6,".",IF(A4098=".",1,A4098+1))</f>
        <v>.</v>
      </c>
      <c r="B4099" s="244" t="str">
        <f t="shared" si="64"/>
        <v>Total Hip ReplacementProviderSOUTHPORT AND ORMSKIRK HOSPITAL NHS TRUST (RVY)EQ-5D Index</v>
      </c>
      <c r="C4099" t="s">
        <v>974</v>
      </c>
      <c r="D4099" t="s">
        <v>965</v>
      </c>
      <c r="E4099" t="s">
        <v>522</v>
      </c>
      <c r="F4099" t="s">
        <v>523</v>
      </c>
      <c r="G4099" t="s">
        <v>963</v>
      </c>
      <c r="H4099">
        <v>10</v>
      </c>
      <c r="I4099">
        <v>0.30359999999999998</v>
      </c>
      <c r="J4099">
        <v>0.83550000000000002</v>
      </c>
      <c r="K4099">
        <v>0.53190000000000004</v>
      </c>
      <c r="L4099">
        <v>10</v>
      </c>
      <c r="M4099">
        <v>0</v>
      </c>
      <c r="N4099">
        <v>0</v>
      </c>
      <c r="O4099" t="s">
        <v>127</v>
      </c>
      <c r="P4099" t="s">
        <v>127</v>
      </c>
      <c r="Q4099" t="s">
        <v>127</v>
      </c>
    </row>
    <row r="4100" spans="1:17" x14ac:dyDescent="0.25">
      <c r="A4100" t="str">
        <f>IF(C4100&amp;G4100&amp;D4100&lt;&gt;'Funnel setup'!$K$3&amp;'Funnel setup'!$K$4&amp;'Funnel setup'!$K$6,".",IF(A4099=".",1,A4099+1))</f>
        <v>.</v>
      </c>
      <c r="B4100" s="244" t="str">
        <f t="shared" si="64"/>
        <v>Total Hip ReplacementProviderSPENCER PRIVATE HOSPITALS - MARGATE (NN801)EQ-5D Index</v>
      </c>
      <c r="C4100" t="s">
        <v>974</v>
      </c>
      <c r="D4100" t="s">
        <v>965</v>
      </c>
      <c r="E4100" t="s">
        <v>526</v>
      </c>
      <c r="F4100" t="s">
        <v>527</v>
      </c>
      <c r="G4100" t="s">
        <v>963</v>
      </c>
      <c r="H4100">
        <v>18</v>
      </c>
      <c r="I4100">
        <v>0.28177799999999997</v>
      </c>
      <c r="J4100">
        <v>0.88211099999999998</v>
      </c>
      <c r="K4100">
        <v>0.60033300000000001</v>
      </c>
      <c r="L4100">
        <v>17</v>
      </c>
      <c r="M4100">
        <v>1</v>
      </c>
      <c r="N4100">
        <v>0</v>
      </c>
      <c r="O4100" t="s">
        <v>127</v>
      </c>
      <c r="P4100" t="s">
        <v>127</v>
      </c>
      <c r="Q4100" t="s">
        <v>127</v>
      </c>
    </row>
    <row r="4101" spans="1:17" x14ac:dyDescent="0.25">
      <c r="A4101" t="str">
        <f>IF(C4101&amp;G4101&amp;D4101&lt;&gt;'Funnel setup'!$K$3&amp;'Funnel setup'!$K$4&amp;'Funnel setup'!$K$6,".",IF(A4100=".",1,A4100+1))</f>
        <v>.</v>
      </c>
      <c r="B4101" s="244" t="str">
        <f t="shared" si="64"/>
        <v>Total Hip ReplacementProviderSPIRE ALEXANDRA HOSPITAL (NT312)EQ-5D Index</v>
      </c>
      <c r="C4101" t="s">
        <v>974</v>
      </c>
      <c r="D4101" t="s">
        <v>965</v>
      </c>
      <c r="E4101" t="s">
        <v>528</v>
      </c>
      <c r="F4101" t="s">
        <v>529</v>
      </c>
      <c r="G4101" t="s">
        <v>963</v>
      </c>
      <c r="H4101">
        <v>13</v>
      </c>
      <c r="I4101">
        <v>0.27100000000000002</v>
      </c>
      <c r="J4101">
        <v>0.68815400000000004</v>
      </c>
      <c r="K4101">
        <v>0.41715400000000002</v>
      </c>
      <c r="L4101">
        <v>11</v>
      </c>
      <c r="M4101">
        <v>2</v>
      </c>
      <c r="N4101">
        <v>0</v>
      </c>
      <c r="O4101" t="s">
        <v>127</v>
      </c>
      <c r="P4101" t="s">
        <v>127</v>
      </c>
      <c r="Q4101" t="s">
        <v>127</v>
      </c>
    </row>
    <row r="4102" spans="1:17" x14ac:dyDescent="0.25">
      <c r="A4102" t="str">
        <f>IF(C4102&amp;G4102&amp;D4102&lt;&gt;'Funnel setup'!$K$3&amp;'Funnel setup'!$K$4&amp;'Funnel setup'!$K$6,".",IF(A4101=".",1,A4101+1))</f>
        <v>.</v>
      </c>
      <c r="B4102" s="244" t="str">
        <f t="shared" si="64"/>
        <v>Total Hip ReplacementProviderSPIRE BRISTOL HOSPITAL (NT302)EQ-5D Index</v>
      </c>
      <c r="C4102" t="s">
        <v>974</v>
      </c>
      <c r="D4102" t="s">
        <v>965</v>
      </c>
      <c r="E4102" t="s">
        <v>530</v>
      </c>
      <c r="F4102" t="s">
        <v>531</v>
      </c>
      <c r="G4102" t="s">
        <v>963</v>
      </c>
      <c r="H4102">
        <v>56</v>
      </c>
      <c r="I4102">
        <v>0.43325000000000002</v>
      </c>
      <c r="J4102">
        <v>0.80682100000000001</v>
      </c>
      <c r="K4102">
        <v>0.37357099999999999</v>
      </c>
      <c r="L4102">
        <v>51</v>
      </c>
      <c r="M4102">
        <v>3</v>
      </c>
      <c r="N4102">
        <v>2</v>
      </c>
      <c r="O4102">
        <v>0.75885400000000003</v>
      </c>
      <c r="P4102">
        <v>0.43129800000000001</v>
      </c>
      <c r="Q4102">
        <v>0.26500099999999999</v>
      </c>
    </row>
    <row r="4103" spans="1:17" x14ac:dyDescent="0.25">
      <c r="A4103" t="str">
        <f>IF(C4103&amp;G4103&amp;D4103&lt;&gt;'Funnel setup'!$K$3&amp;'Funnel setup'!$K$4&amp;'Funnel setup'!$K$6,".",IF(A4102=".",1,A4102+1))</f>
        <v>.</v>
      </c>
      <c r="B4103" s="244" t="str">
        <f t="shared" si="64"/>
        <v>Total Hip ReplacementProviderSPIRE BUSHEY HOSPITAL (NT315)EQ-5D Index</v>
      </c>
      <c r="C4103" t="s">
        <v>974</v>
      </c>
      <c r="D4103" t="s">
        <v>965</v>
      </c>
      <c r="E4103" t="s">
        <v>532</v>
      </c>
      <c r="F4103" t="s">
        <v>533</v>
      </c>
      <c r="G4103" t="s">
        <v>963</v>
      </c>
      <c r="H4103">
        <v>1</v>
      </c>
      <c r="I4103">
        <v>0.72699999999999998</v>
      </c>
      <c r="J4103">
        <v>1</v>
      </c>
      <c r="K4103">
        <v>0.27300000000000002</v>
      </c>
      <c r="L4103">
        <v>1</v>
      </c>
      <c r="M4103">
        <v>0</v>
      </c>
      <c r="N4103">
        <v>0</v>
      </c>
      <c r="O4103" t="s">
        <v>127</v>
      </c>
      <c r="P4103" t="s">
        <v>127</v>
      </c>
      <c r="Q4103" t="s">
        <v>127</v>
      </c>
    </row>
    <row r="4104" spans="1:17" x14ac:dyDescent="0.25">
      <c r="A4104" t="str">
        <f>IF(C4104&amp;G4104&amp;D4104&lt;&gt;'Funnel setup'!$K$3&amp;'Funnel setup'!$K$4&amp;'Funnel setup'!$K$6,".",IF(A4103=".",1,A4103+1))</f>
        <v>.</v>
      </c>
      <c r="B4104" s="244" t="str">
        <f t="shared" si="64"/>
        <v>Total Hip ReplacementProviderSPIRE CAMBRIDGE LEA HOSPITAL (NT317)EQ-5D Index</v>
      </c>
      <c r="C4104" t="s">
        <v>974</v>
      </c>
      <c r="D4104" t="s">
        <v>965</v>
      </c>
      <c r="E4104" t="s">
        <v>534</v>
      </c>
      <c r="F4104" t="s">
        <v>535</v>
      </c>
      <c r="G4104" t="s">
        <v>963</v>
      </c>
      <c r="H4104">
        <v>33</v>
      </c>
      <c r="I4104">
        <v>0.42099999999999999</v>
      </c>
      <c r="J4104">
        <v>0.84499999999999997</v>
      </c>
      <c r="K4104">
        <v>0.42399999999999999</v>
      </c>
      <c r="L4104">
        <v>31</v>
      </c>
      <c r="M4104">
        <v>2</v>
      </c>
      <c r="N4104">
        <v>0</v>
      </c>
      <c r="O4104">
        <v>0.81786099999999995</v>
      </c>
      <c r="P4104">
        <v>0.49030499999999999</v>
      </c>
      <c r="Q4104">
        <v>0.210339</v>
      </c>
    </row>
    <row r="4105" spans="1:17" x14ac:dyDescent="0.25">
      <c r="A4105" t="str">
        <f>IF(C4105&amp;G4105&amp;D4105&lt;&gt;'Funnel setup'!$K$3&amp;'Funnel setup'!$K$4&amp;'Funnel setup'!$K$6,".",IF(A4104=".",1,A4104+1))</f>
        <v>.</v>
      </c>
      <c r="B4105" s="244" t="str">
        <f t="shared" si="64"/>
        <v>Total Hip ReplacementProviderSPIRE CHESHIRE HOSPITAL (NT324)EQ-5D Index</v>
      </c>
      <c r="C4105" t="s">
        <v>974</v>
      </c>
      <c r="D4105" t="s">
        <v>965</v>
      </c>
      <c r="E4105" t="s">
        <v>536</v>
      </c>
      <c r="F4105" t="s">
        <v>537</v>
      </c>
      <c r="G4105" t="s">
        <v>963</v>
      </c>
      <c r="H4105">
        <v>23</v>
      </c>
      <c r="I4105">
        <v>0.25286999999999998</v>
      </c>
      <c r="J4105">
        <v>0.73373900000000003</v>
      </c>
      <c r="K4105">
        <v>0.48087000000000002</v>
      </c>
      <c r="L4105">
        <v>22</v>
      </c>
      <c r="M4105">
        <v>0</v>
      </c>
      <c r="N4105">
        <v>1</v>
      </c>
      <c r="O4105" t="s">
        <v>127</v>
      </c>
      <c r="P4105" t="s">
        <v>127</v>
      </c>
      <c r="Q4105" t="s">
        <v>127</v>
      </c>
    </row>
    <row r="4106" spans="1:17" x14ac:dyDescent="0.25">
      <c r="A4106" t="str">
        <f>IF(C4106&amp;G4106&amp;D4106&lt;&gt;'Funnel setup'!$K$3&amp;'Funnel setup'!$K$4&amp;'Funnel setup'!$K$6,".",IF(A4105=".",1,A4105+1))</f>
        <v>.</v>
      </c>
      <c r="B4106" s="244" t="str">
        <f t="shared" si="64"/>
        <v>Total Hip ReplacementProviderSPIRE CLARE PARK HOSPITAL (NT345)EQ-5D Index</v>
      </c>
      <c r="C4106" t="s">
        <v>974</v>
      </c>
      <c r="D4106" t="s">
        <v>965</v>
      </c>
      <c r="E4106" t="s">
        <v>538</v>
      </c>
      <c r="F4106" t="s">
        <v>539</v>
      </c>
      <c r="G4106" t="s">
        <v>963</v>
      </c>
      <c r="H4106">
        <v>13</v>
      </c>
      <c r="I4106">
        <v>0.48707699999999998</v>
      </c>
      <c r="J4106">
        <v>0.79192300000000004</v>
      </c>
      <c r="K4106">
        <v>0.30484600000000001</v>
      </c>
      <c r="L4106">
        <v>10</v>
      </c>
      <c r="M4106">
        <v>3</v>
      </c>
      <c r="N4106">
        <v>0</v>
      </c>
      <c r="O4106" t="s">
        <v>127</v>
      </c>
      <c r="P4106" t="s">
        <v>127</v>
      </c>
      <c r="Q4106" t="s">
        <v>127</v>
      </c>
    </row>
    <row r="4107" spans="1:17" x14ac:dyDescent="0.25">
      <c r="A4107" t="str">
        <f>IF(C4107&amp;G4107&amp;D4107&lt;&gt;'Funnel setup'!$K$3&amp;'Funnel setup'!$K$4&amp;'Funnel setup'!$K$6,".",IF(A4106=".",1,A4106+1))</f>
        <v>.</v>
      </c>
      <c r="B4107" s="244" t="str">
        <f t="shared" si="64"/>
        <v>Total Hip ReplacementProviderSPIRE DUNEDIN HOSPITAL (NT344)EQ-5D Index</v>
      </c>
      <c r="C4107" t="s">
        <v>974</v>
      </c>
      <c r="D4107" t="s">
        <v>965</v>
      </c>
      <c r="E4107" t="s">
        <v>540</v>
      </c>
      <c r="F4107" t="s">
        <v>541</v>
      </c>
      <c r="G4107" t="s">
        <v>963</v>
      </c>
      <c r="H4107">
        <v>1</v>
      </c>
      <c r="I4107">
        <v>0.62</v>
      </c>
      <c r="J4107">
        <v>0.74299999999999999</v>
      </c>
      <c r="K4107">
        <v>0.123</v>
      </c>
      <c r="L4107">
        <v>1</v>
      </c>
      <c r="M4107">
        <v>0</v>
      </c>
      <c r="N4107">
        <v>0</v>
      </c>
      <c r="O4107" t="s">
        <v>127</v>
      </c>
      <c r="P4107" t="s">
        <v>127</v>
      </c>
      <c r="Q4107" t="s">
        <v>127</v>
      </c>
    </row>
    <row r="4108" spans="1:17" x14ac:dyDescent="0.25">
      <c r="A4108" t="str">
        <f>IF(C4108&amp;G4108&amp;D4108&lt;&gt;'Funnel setup'!$K$3&amp;'Funnel setup'!$K$4&amp;'Funnel setup'!$K$6,".",IF(A4107=".",1,A4107+1))</f>
        <v>.</v>
      </c>
      <c r="B4108" s="244" t="str">
        <f t="shared" si="64"/>
        <v>Total Hip ReplacementProviderSPIRE ELLAND HOSPITAL (NT348)EQ-5D Index</v>
      </c>
      <c r="C4108" t="s">
        <v>974</v>
      </c>
      <c r="D4108" t="s">
        <v>965</v>
      </c>
      <c r="E4108" t="s">
        <v>542</v>
      </c>
      <c r="F4108" t="s">
        <v>543</v>
      </c>
      <c r="G4108" t="s">
        <v>963</v>
      </c>
      <c r="H4108">
        <v>14</v>
      </c>
      <c r="I4108">
        <v>0.40607100000000002</v>
      </c>
      <c r="J4108">
        <v>0.71157099999999995</v>
      </c>
      <c r="K4108">
        <v>0.30549999999999999</v>
      </c>
      <c r="L4108">
        <v>13</v>
      </c>
      <c r="M4108">
        <v>0</v>
      </c>
      <c r="N4108">
        <v>1</v>
      </c>
      <c r="O4108" t="s">
        <v>127</v>
      </c>
      <c r="P4108" t="s">
        <v>127</v>
      </c>
      <c r="Q4108" t="s">
        <v>127</v>
      </c>
    </row>
    <row r="4109" spans="1:17" x14ac:dyDescent="0.25">
      <c r="A4109" t="str">
        <f>IF(C4109&amp;G4109&amp;D4109&lt;&gt;'Funnel setup'!$K$3&amp;'Funnel setup'!$K$4&amp;'Funnel setup'!$K$6,".",IF(A4108=".",1,A4108+1))</f>
        <v>.</v>
      </c>
      <c r="B4109" s="244" t="str">
        <f t="shared" si="64"/>
        <v>Total Hip ReplacementProviderSPIRE FYLDE COAST HOSPITAL (NT347)EQ-5D Index</v>
      </c>
      <c r="C4109" t="s">
        <v>974</v>
      </c>
      <c r="D4109" t="s">
        <v>965</v>
      </c>
      <c r="E4109" t="s">
        <v>544</v>
      </c>
      <c r="F4109" t="s">
        <v>545</v>
      </c>
      <c r="G4109" t="s">
        <v>963</v>
      </c>
      <c r="H4109">
        <v>29</v>
      </c>
      <c r="I4109">
        <v>0.39658599999999999</v>
      </c>
      <c r="J4109">
        <v>0.87037900000000001</v>
      </c>
      <c r="K4109">
        <v>0.47379300000000002</v>
      </c>
      <c r="L4109">
        <v>28</v>
      </c>
      <c r="M4109">
        <v>0</v>
      </c>
      <c r="N4109">
        <v>1</v>
      </c>
      <c r="O4109" t="s">
        <v>127</v>
      </c>
      <c r="P4109" t="s">
        <v>127</v>
      </c>
      <c r="Q4109" t="s">
        <v>127</v>
      </c>
    </row>
    <row r="4110" spans="1:17" x14ac:dyDescent="0.25">
      <c r="A4110" t="str">
        <f>IF(C4110&amp;G4110&amp;D4110&lt;&gt;'Funnel setup'!$K$3&amp;'Funnel setup'!$K$4&amp;'Funnel setup'!$K$6,".",IF(A4109=".",1,A4109+1))</f>
        <v>.</v>
      </c>
      <c r="B4110" s="244" t="str">
        <f t="shared" si="64"/>
        <v>Total Hip ReplacementProviderSPIRE GATWICK PARK HOSPITAL (NT308)EQ-5D Index</v>
      </c>
      <c r="C4110" t="s">
        <v>974</v>
      </c>
      <c r="D4110" t="s">
        <v>965</v>
      </c>
      <c r="E4110" t="s">
        <v>546</v>
      </c>
      <c r="F4110" t="s">
        <v>547</v>
      </c>
      <c r="G4110" t="s">
        <v>963</v>
      </c>
      <c r="H4110">
        <v>8</v>
      </c>
      <c r="I4110">
        <v>0.45922200000000002</v>
      </c>
      <c r="J4110">
        <v>0.70288899999999999</v>
      </c>
      <c r="K4110">
        <v>0.24366699999999999</v>
      </c>
      <c r="L4110">
        <v>8</v>
      </c>
      <c r="M4110">
        <v>0</v>
      </c>
      <c r="N4110">
        <v>0</v>
      </c>
      <c r="O4110" t="s">
        <v>127</v>
      </c>
      <c r="P4110" t="s">
        <v>127</v>
      </c>
      <c r="Q4110" t="s">
        <v>127</v>
      </c>
    </row>
    <row r="4111" spans="1:17" x14ac:dyDescent="0.25">
      <c r="A4111" t="str">
        <f>IF(C4111&amp;G4111&amp;D4111&lt;&gt;'Funnel setup'!$K$3&amp;'Funnel setup'!$K$4&amp;'Funnel setup'!$K$6,".",IF(A4110=".",1,A4110+1))</f>
        <v>.</v>
      </c>
      <c r="B4111" s="244" t="str">
        <f t="shared" si="64"/>
        <v>Total Hip ReplacementProviderSPIRE HARPENDEN HOSPITAL (NT316)EQ-5D Index</v>
      </c>
      <c r="C4111" t="s">
        <v>974</v>
      </c>
      <c r="D4111" t="s">
        <v>965</v>
      </c>
      <c r="E4111" t="s">
        <v>548</v>
      </c>
      <c r="F4111" t="s">
        <v>549</v>
      </c>
      <c r="G4111" t="s">
        <v>963</v>
      </c>
      <c r="H4111">
        <v>32</v>
      </c>
      <c r="I4111">
        <v>0.33446900000000002</v>
      </c>
      <c r="J4111">
        <v>0.73968800000000001</v>
      </c>
      <c r="K4111">
        <v>0.405219</v>
      </c>
      <c r="L4111">
        <v>29</v>
      </c>
      <c r="M4111">
        <v>1</v>
      </c>
      <c r="N4111">
        <v>2</v>
      </c>
      <c r="O4111">
        <v>0.72511800000000004</v>
      </c>
      <c r="P4111">
        <v>0.39756200000000003</v>
      </c>
      <c r="Q4111">
        <v>0.25121199999999999</v>
      </c>
    </row>
    <row r="4112" spans="1:17" x14ac:dyDescent="0.25">
      <c r="A4112" t="str">
        <f>IF(C4112&amp;G4112&amp;D4112&lt;&gt;'Funnel setup'!$K$3&amp;'Funnel setup'!$K$4&amp;'Funnel setup'!$K$6,".",IF(A4111=".",1,A4111+1))</f>
        <v>.</v>
      </c>
      <c r="B4112" s="244" t="str">
        <f t="shared" si="64"/>
        <v>Total Hip ReplacementProviderSPIRE HARTSWOOD HOSPITAL (NT319)EQ-5D Index</v>
      </c>
      <c r="C4112" t="s">
        <v>974</v>
      </c>
      <c r="D4112" t="s">
        <v>965</v>
      </c>
      <c r="E4112" t="s">
        <v>550</v>
      </c>
      <c r="F4112" t="s">
        <v>551</v>
      </c>
      <c r="G4112" t="s">
        <v>963</v>
      </c>
      <c r="H4112">
        <v>12</v>
      </c>
      <c r="I4112">
        <v>0.32066699999999998</v>
      </c>
      <c r="J4112">
        <v>0.82958299999999996</v>
      </c>
      <c r="K4112">
        <v>0.50891699999999995</v>
      </c>
      <c r="L4112">
        <v>12</v>
      </c>
      <c r="M4112">
        <v>0</v>
      </c>
      <c r="N4112">
        <v>0</v>
      </c>
      <c r="O4112" t="s">
        <v>127</v>
      </c>
      <c r="P4112" t="s">
        <v>127</v>
      </c>
      <c r="Q4112" t="s">
        <v>127</v>
      </c>
    </row>
    <row r="4113" spans="1:17" x14ac:dyDescent="0.25">
      <c r="A4113" t="str">
        <f>IF(C4113&amp;G4113&amp;D4113&lt;&gt;'Funnel setup'!$K$3&amp;'Funnel setup'!$K$4&amp;'Funnel setup'!$K$6,".",IF(A4112=".",1,A4112+1))</f>
        <v>.</v>
      </c>
      <c r="B4113" s="244" t="str">
        <f t="shared" si="64"/>
        <v>Total Hip ReplacementProviderSPIRE HULL AND EAST RIDING HOSPITAL (NT351)EQ-5D Index</v>
      </c>
      <c r="C4113" t="s">
        <v>974</v>
      </c>
      <c r="D4113" t="s">
        <v>965</v>
      </c>
      <c r="E4113" t="s">
        <v>554</v>
      </c>
      <c r="F4113" t="s">
        <v>555</v>
      </c>
      <c r="G4113" t="s">
        <v>963</v>
      </c>
      <c r="H4113">
        <v>37</v>
      </c>
      <c r="I4113">
        <v>0.304811</v>
      </c>
      <c r="J4113">
        <v>0.77689200000000003</v>
      </c>
      <c r="K4113">
        <v>0.47208099999999997</v>
      </c>
      <c r="L4113">
        <v>35</v>
      </c>
      <c r="M4113">
        <v>0</v>
      </c>
      <c r="N4113">
        <v>2</v>
      </c>
      <c r="O4113">
        <v>0.78411900000000001</v>
      </c>
      <c r="P4113">
        <v>0.456563</v>
      </c>
      <c r="Q4113">
        <v>0.23810600000000001</v>
      </c>
    </row>
    <row r="4114" spans="1:17" x14ac:dyDescent="0.25">
      <c r="A4114" t="str">
        <f>IF(C4114&amp;G4114&amp;D4114&lt;&gt;'Funnel setup'!$K$3&amp;'Funnel setup'!$K$4&amp;'Funnel setup'!$K$6,".",IF(A4113=".",1,A4113+1))</f>
        <v>.</v>
      </c>
      <c r="B4114" s="244" t="str">
        <f t="shared" si="64"/>
        <v>Total Hip ReplacementProviderSPIRE LEEDS HOSPITAL (NT332)EQ-5D Index</v>
      </c>
      <c r="C4114" t="s">
        <v>974</v>
      </c>
      <c r="D4114" t="s">
        <v>965</v>
      </c>
      <c r="E4114" t="s">
        <v>556</v>
      </c>
      <c r="F4114" t="s">
        <v>557</v>
      </c>
      <c r="G4114" t="s">
        <v>963</v>
      </c>
      <c r="H4114">
        <v>14</v>
      </c>
      <c r="I4114">
        <v>0.27400000000000002</v>
      </c>
      <c r="J4114">
        <v>0.85221400000000003</v>
      </c>
      <c r="K4114">
        <v>0.57821400000000001</v>
      </c>
      <c r="L4114">
        <v>14</v>
      </c>
      <c r="M4114">
        <v>0</v>
      </c>
      <c r="N4114">
        <v>0</v>
      </c>
      <c r="O4114" t="s">
        <v>127</v>
      </c>
      <c r="P4114" t="s">
        <v>127</v>
      </c>
      <c r="Q4114" t="s">
        <v>127</v>
      </c>
    </row>
    <row r="4115" spans="1:17" x14ac:dyDescent="0.25">
      <c r="A4115" t="str">
        <f>IF(C4115&amp;G4115&amp;D4115&lt;&gt;'Funnel setup'!$K$3&amp;'Funnel setup'!$K$4&amp;'Funnel setup'!$K$6,".",IF(A4114=".",1,A4114+1))</f>
        <v>.</v>
      </c>
      <c r="B4115" s="244" t="str">
        <f t="shared" si="64"/>
        <v>Total Hip ReplacementProviderSPIRE LEICESTER HOSPITAL (NT322)EQ-5D Index</v>
      </c>
      <c r="C4115" t="s">
        <v>974</v>
      </c>
      <c r="D4115" t="s">
        <v>965</v>
      </c>
      <c r="E4115" t="s">
        <v>558</v>
      </c>
      <c r="F4115" t="s">
        <v>559</v>
      </c>
      <c r="G4115" t="s">
        <v>963</v>
      </c>
      <c r="H4115">
        <v>32</v>
      </c>
      <c r="I4115">
        <v>0.41049999999999998</v>
      </c>
      <c r="J4115">
        <v>0.77393699999999999</v>
      </c>
      <c r="K4115">
        <v>0.36343700000000001</v>
      </c>
      <c r="L4115">
        <v>28</v>
      </c>
      <c r="M4115">
        <v>2</v>
      </c>
      <c r="N4115">
        <v>2</v>
      </c>
      <c r="O4115">
        <v>0.76917400000000002</v>
      </c>
      <c r="P4115">
        <v>0.44161800000000001</v>
      </c>
      <c r="Q4115">
        <v>0.26017400000000002</v>
      </c>
    </row>
    <row r="4116" spans="1:17" x14ac:dyDescent="0.25">
      <c r="A4116" t="str">
        <f>IF(C4116&amp;G4116&amp;D4116&lt;&gt;'Funnel setup'!$K$3&amp;'Funnel setup'!$K$4&amp;'Funnel setup'!$K$6,".",IF(A4115=".",1,A4115+1))</f>
        <v>.</v>
      </c>
      <c r="B4116" s="244" t="str">
        <f t="shared" si="64"/>
        <v>Total Hip ReplacementProviderSPIRE LITTLE ASTON HOSPITAL (NT321)EQ-5D Index</v>
      </c>
      <c r="C4116" t="s">
        <v>974</v>
      </c>
      <c r="D4116" t="s">
        <v>965</v>
      </c>
      <c r="E4116" t="s">
        <v>560</v>
      </c>
      <c r="F4116" t="s">
        <v>561</v>
      </c>
      <c r="G4116" t="s">
        <v>963</v>
      </c>
      <c r="H4116">
        <v>30</v>
      </c>
      <c r="I4116">
        <v>0.39279999999999998</v>
      </c>
      <c r="J4116">
        <v>0.72819999999999996</v>
      </c>
      <c r="K4116">
        <v>0.33539999999999998</v>
      </c>
      <c r="L4116">
        <v>27</v>
      </c>
      <c r="M4116">
        <v>2</v>
      </c>
      <c r="N4116">
        <v>1</v>
      </c>
      <c r="O4116">
        <v>0.69017399999999995</v>
      </c>
      <c r="P4116">
        <v>0.362618</v>
      </c>
      <c r="Q4116">
        <v>0.22201699999999999</v>
      </c>
    </row>
    <row r="4117" spans="1:17" x14ac:dyDescent="0.25">
      <c r="A4117" t="str">
        <f>IF(C4117&amp;G4117&amp;D4117&lt;&gt;'Funnel setup'!$K$3&amp;'Funnel setup'!$K$4&amp;'Funnel setup'!$K$6,".",IF(A4116=".",1,A4116+1))</f>
        <v>.</v>
      </c>
      <c r="B4117" s="244" t="str">
        <f t="shared" si="64"/>
        <v>Total Hip ReplacementProviderSPIRE LIVERPOOL HOSPITAL (NT337)EQ-5D Index</v>
      </c>
      <c r="C4117" t="s">
        <v>974</v>
      </c>
      <c r="D4117" t="s">
        <v>965</v>
      </c>
      <c r="E4117" t="s">
        <v>562</v>
      </c>
      <c r="F4117" t="s">
        <v>563</v>
      </c>
      <c r="G4117" t="s">
        <v>963</v>
      </c>
      <c r="H4117">
        <v>9</v>
      </c>
      <c r="I4117">
        <v>0.13611100000000001</v>
      </c>
      <c r="J4117">
        <v>0.75111099999999997</v>
      </c>
      <c r="K4117">
        <v>0.61499999999999999</v>
      </c>
      <c r="L4117">
        <v>9</v>
      </c>
      <c r="M4117">
        <v>0</v>
      </c>
      <c r="N4117">
        <v>0</v>
      </c>
      <c r="O4117" t="s">
        <v>127</v>
      </c>
      <c r="P4117" t="s">
        <v>127</v>
      </c>
      <c r="Q4117" t="s">
        <v>127</v>
      </c>
    </row>
    <row r="4118" spans="1:17" x14ac:dyDescent="0.25">
      <c r="A4118" t="str">
        <f>IF(C4118&amp;G4118&amp;D4118&lt;&gt;'Funnel setup'!$K$3&amp;'Funnel setup'!$K$4&amp;'Funnel setup'!$K$6,".",IF(A4117=".",1,A4117+1))</f>
        <v>.</v>
      </c>
      <c r="B4118" s="244" t="str">
        <f t="shared" si="64"/>
        <v>Total Hip ReplacementProviderSPIRE MANCHESTER HOSPITAL (NT327)EQ-5D Index</v>
      </c>
      <c r="C4118" t="s">
        <v>974</v>
      </c>
      <c r="D4118" t="s">
        <v>965</v>
      </c>
      <c r="E4118" t="s">
        <v>566</v>
      </c>
      <c r="F4118" t="s">
        <v>567</v>
      </c>
      <c r="G4118" t="s">
        <v>963</v>
      </c>
      <c r="H4118">
        <v>31</v>
      </c>
      <c r="I4118">
        <v>0.43412899999999999</v>
      </c>
      <c r="J4118">
        <v>0.80900000000000005</v>
      </c>
      <c r="K4118">
        <v>0.37487100000000001</v>
      </c>
      <c r="L4118">
        <v>27</v>
      </c>
      <c r="M4118">
        <v>1</v>
      </c>
      <c r="N4118">
        <v>3</v>
      </c>
      <c r="O4118">
        <v>0.75244699999999998</v>
      </c>
      <c r="P4118">
        <v>0.42489100000000002</v>
      </c>
      <c r="Q4118">
        <v>0.1678</v>
      </c>
    </row>
    <row r="4119" spans="1:17" x14ac:dyDescent="0.25">
      <c r="A4119" t="str">
        <f>IF(C4119&amp;G4119&amp;D4119&lt;&gt;'Funnel setup'!$K$3&amp;'Funnel setup'!$K$4&amp;'Funnel setup'!$K$6,".",IF(A4118=".",1,A4118+1))</f>
        <v>.</v>
      </c>
      <c r="B4119" s="244" t="str">
        <f t="shared" si="64"/>
        <v>Total Hip ReplacementProviderSPIRE METHLEY PARK HOSPITAL (NT350)EQ-5D Index</v>
      </c>
      <c r="C4119" t="s">
        <v>974</v>
      </c>
      <c r="D4119" t="s">
        <v>965</v>
      </c>
      <c r="E4119" t="s">
        <v>568</v>
      </c>
      <c r="F4119" t="s">
        <v>569</v>
      </c>
      <c r="G4119" t="s">
        <v>963</v>
      </c>
      <c r="H4119">
        <v>28</v>
      </c>
      <c r="I4119">
        <v>0.280607</v>
      </c>
      <c r="J4119">
        <v>0.75289300000000003</v>
      </c>
      <c r="K4119">
        <v>0.47228599999999998</v>
      </c>
      <c r="L4119">
        <v>25</v>
      </c>
      <c r="M4119">
        <v>2</v>
      </c>
      <c r="N4119">
        <v>1</v>
      </c>
      <c r="O4119" t="s">
        <v>127</v>
      </c>
      <c r="P4119" t="s">
        <v>127</v>
      </c>
      <c r="Q4119" t="s">
        <v>127</v>
      </c>
    </row>
    <row r="4120" spans="1:17" x14ac:dyDescent="0.25">
      <c r="A4120" t="str">
        <f>IF(C4120&amp;G4120&amp;D4120&lt;&gt;'Funnel setup'!$K$3&amp;'Funnel setup'!$K$4&amp;'Funnel setup'!$K$6,".",IF(A4119=".",1,A4119+1))</f>
        <v>.</v>
      </c>
      <c r="B4120" s="244" t="str">
        <f t="shared" si="64"/>
        <v>Total Hip ReplacementProviderSPIRE MONTEFIORE HOSPITAL (NT364)EQ-5D Index</v>
      </c>
      <c r="C4120" t="s">
        <v>974</v>
      </c>
      <c r="D4120" t="s">
        <v>965</v>
      </c>
      <c r="E4120" t="s">
        <v>570</v>
      </c>
      <c r="F4120" t="s">
        <v>571</v>
      </c>
      <c r="G4120" t="s">
        <v>963</v>
      </c>
      <c r="H4120">
        <v>3</v>
      </c>
      <c r="I4120">
        <v>0.30099999999999999</v>
      </c>
      <c r="J4120">
        <v>0.89866699999999999</v>
      </c>
      <c r="K4120">
        <v>0.59766699999999995</v>
      </c>
      <c r="L4120">
        <v>3</v>
      </c>
      <c r="M4120">
        <v>0</v>
      </c>
      <c r="N4120">
        <v>0</v>
      </c>
      <c r="O4120" t="s">
        <v>127</v>
      </c>
      <c r="P4120" t="s">
        <v>127</v>
      </c>
      <c r="Q4120" t="s">
        <v>127</v>
      </c>
    </row>
    <row r="4121" spans="1:17" x14ac:dyDescent="0.25">
      <c r="A4121" t="str">
        <f>IF(C4121&amp;G4121&amp;D4121&lt;&gt;'Funnel setup'!$K$3&amp;'Funnel setup'!$K$4&amp;'Funnel setup'!$K$6,".",IF(A4120=".",1,A4120+1))</f>
        <v>.</v>
      </c>
      <c r="B4121" s="244" t="str">
        <f t="shared" si="64"/>
        <v>Total Hip ReplacementProviderSPIRE MURRAYFIELD HOSPITAL (NT325)EQ-5D Index</v>
      </c>
      <c r="C4121" t="s">
        <v>974</v>
      </c>
      <c r="D4121" t="s">
        <v>965</v>
      </c>
      <c r="E4121" t="s">
        <v>572</v>
      </c>
      <c r="F4121" t="s">
        <v>573</v>
      </c>
      <c r="G4121" t="s">
        <v>963</v>
      </c>
      <c r="H4121">
        <v>5</v>
      </c>
      <c r="I4121">
        <v>0.55640000000000001</v>
      </c>
      <c r="J4121">
        <v>0.88380000000000003</v>
      </c>
      <c r="K4121">
        <v>0.32740000000000002</v>
      </c>
      <c r="L4121">
        <v>4</v>
      </c>
      <c r="M4121">
        <v>0</v>
      </c>
      <c r="N4121">
        <v>1</v>
      </c>
      <c r="O4121" t="s">
        <v>127</v>
      </c>
      <c r="P4121" t="s">
        <v>127</v>
      </c>
      <c r="Q4121" t="s">
        <v>127</v>
      </c>
    </row>
    <row r="4122" spans="1:17" x14ac:dyDescent="0.25">
      <c r="A4122" t="str">
        <f>IF(C4122&amp;G4122&amp;D4122&lt;&gt;'Funnel setup'!$K$3&amp;'Funnel setup'!$K$4&amp;'Funnel setup'!$K$6,".",IF(A4121=".",1,A4121+1))</f>
        <v>.</v>
      </c>
      <c r="B4122" s="244" t="str">
        <f t="shared" si="64"/>
        <v>Total Hip ReplacementProviderSPIRE NOTTINGHAM HOSPITAL (NT30A)EQ-5D Index</v>
      </c>
      <c r="C4122" t="s">
        <v>974</v>
      </c>
      <c r="D4122" t="s">
        <v>965</v>
      </c>
      <c r="E4122" t="s">
        <v>576</v>
      </c>
      <c r="F4122" t="s">
        <v>577</v>
      </c>
      <c r="G4122" t="s">
        <v>963</v>
      </c>
      <c r="H4122">
        <v>1</v>
      </c>
      <c r="I4122">
        <v>-1.6E-2</v>
      </c>
      <c r="J4122">
        <v>0.69099999999999995</v>
      </c>
      <c r="K4122">
        <v>0.70699999999999996</v>
      </c>
      <c r="L4122">
        <v>1</v>
      </c>
      <c r="M4122">
        <v>0</v>
      </c>
      <c r="N4122">
        <v>0</v>
      </c>
      <c r="O4122" t="s">
        <v>127</v>
      </c>
      <c r="P4122" t="s">
        <v>127</v>
      </c>
      <c r="Q4122" t="s">
        <v>127</v>
      </c>
    </row>
    <row r="4123" spans="1:17" x14ac:dyDescent="0.25">
      <c r="A4123" t="str">
        <f>IF(C4123&amp;G4123&amp;D4123&lt;&gt;'Funnel setup'!$K$3&amp;'Funnel setup'!$K$4&amp;'Funnel setup'!$K$6,".",IF(A4122=".",1,A4122+1))</f>
        <v>.</v>
      </c>
      <c r="B4123" s="244" t="str">
        <f t="shared" si="64"/>
        <v>Total Hip ReplacementProviderSPIRE PARKWAY HOSPITAL (NT320)EQ-5D Index</v>
      </c>
      <c r="C4123" t="s">
        <v>974</v>
      </c>
      <c r="D4123" t="s">
        <v>965</v>
      </c>
      <c r="E4123" t="s">
        <v>578</v>
      </c>
      <c r="F4123" t="s">
        <v>579</v>
      </c>
      <c r="G4123" t="s">
        <v>963</v>
      </c>
      <c r="H4123">
        <v>19</v>
      </c>
      <c r="I4123">
        <v>0.34778900000000001</v>
      </c>
      <c r="J4123">
        <v>0.69052599999999997</v>
      </c>
      <c r="K4123">
        <v>0.34273700000000001</v>
      </c>
      <c r="L4123">
        <v>17</v>
      </c>
      <c r="M4123">
        <v>1</v>
      </c>
      <c r="N4123">
        <v>1</v>
      </c>
      <c r="O4123" t="s">
        <v>127</v>
      </c>
      <c r="P4123" t="s">
        <v>127</v>
      </c>
      <c r="Q4123" t="s">
        <v>127</v>
      </c>
    </row>
    <row r="4124" spans="1:17" x14ac:dyDescent="0.25">
      <c r="A4124" t="str">
        <f>IF(C4124&amp;G4124&amp;D4124&lt;&gt;'Funnel setup'!$K$3&amp;'Funnel setup'!$K$4&amp;'Funnel setup'!$K$6,".",IF(A4123=".",1,A4123+1))</f>
        <v>.</v>
      </c>
      <c r="B4124" s="244" t="str">
        <f t="shared" si="64"/>
        <v>Total Hip ReplacementProviderSPIRE PORTSMOUTH HOSPITAL (NT305)EQ-5D Index</v>
      </c>
      <c r="C4124" t="s">
        <v>974</v>
      </c>
      <c r="D4124" t="s">
        <v>965</v>
      </c>
      <c r="E4124" t="s">
        <v>580</v>
      </c>
      <c r="F4124" t="s">
        <v>581</v>
      </c>
      <c r="G4124" t="s">
        <v>963</v>
      </c>
      <c r="H4124">
        <v>12</v>
      </c>
      <c r="I4124">
        <v>0.310083</v>
      </c>
      <c r="J4124">
        <v>0.68700000000000006</v>
      </c>
      <c r="K4124">
        <v>0.376917</v>
      </c>
      <c r="L4124">
        <v>11</v>
      </c>
      <c r="M4124">
        <v>1</v>
      </c>
      <c r="N4124">
        <v>0</v>
      </c>
      <c r="O4124" t="s">
        <v>127</v>
      </c>
      <c r="P4124" t="s">
        <v>127</v>
      </c>
      <c r="Q4124" t="s">
        <v>127</v>
      </c>
    </row>
    <row r="4125" spans="1:17" x14ac:dyDescent="0.25">
      <c r="A4125" t="str">
        <f>IF(C4125&amp;G4125&amp;D4125&lt;&gt;'Funnel setup'!$K$3&amp;'Funnel setup'!$K$4&amp;'Funnel setup'!$K$6,".",IF(A4124=".",1,A4124+1))</f>
        <v>.</v>
      </c>
      <c r="B4125" s="244" t="str">
        <f t="shared" si="64"/>
        <v>Total Hip ReplacementProviderSPIRE REGENCY HOSPITAL (NT339)EQ-5D Index</v>
      </c>
      <c r="C4125" t="s">
        <v>974</v>
      </c>
      <c r="D4125" t="s">
        <v>965</v>
      </c>
      <c r="E4125" t="s">
        <v>582</v>
      </c>
      <c r="F4125" t="s">
        <v>583</v>
      </c>
      <c r="G4125" t="s">
        <v>963</v>
      </c>
      <c r="H4125">
        <v>32</v>
      </c>
      <c r="I4125">
        <v>0.45678099999999999</v>
      </c>
      <c r="J4125">
        <v>0.79015599999999997</v>
      </c>
      <c r="K4125">
        <v>0.33337499999999998</v>
      </c>
      <c r="L4125">
        <v>30</v>
      </c>
      <c r="M4125">
        <v>0</v>
      </c>
      <c r="N4125">
        <v>2</v>
      </c>
      <c r="O4125">
        <v>0.743676</v>
      </c>
      <c r="P4125">
        <v>0.41611999999999999</v>
      </c>
      <c r="Q4125">
        <v>0.16633300000000001</v>
      </c>
    </row>
    <row r="4126" spans="1:17" x14ac:dyDescent="0.25">
      <c r="A4126" t="str">
        <f>IF(C4126&amp;G4126&amp;D4126&lt;&gt;'Funnel setup'!$K$3&amp;'Funnel setup'!$K$4&amp;'Funnel setup'!$K$6,".",IF(A4125=".",1,A4125+1))</f>
        <v>.</v>
      </c>
      <c r="B4126" s="244" t="str">
        <f t="shared" si="64"/>
        <v>Total Hip ReplacementProviderSPIRE SOUTHAMPTON HOSPITAL (NT304)EQ-5D Index</v>
      </c>
      <c r="C4126" t="s">
        <v>974</v>
      </c>
      <c r="D4126" t="s">
        <v>965</v>
      </c>
      <c r="E4126" t="s">
        <v>586</v>
      </c>
      <c r="F4126" t="s">
        <v>587</v>
      </c>
      <c r="G4126" t="s">
        <v>963</v>
      </c>
      <c r="H4126">
        <v>44</v>
      </c>
      <c r="I4126">
        <v>0.49784099999999998</v>
      </c>
      <c r="J4126">
        <v>0.82313599999999998</v>
      </c>
      <c r="K4126">
        <v>0.325295</v>
      </c>
      <c r="L4126">
        <v>34</v>
      </c>
      <c r="M4126">
        <v>8</v>
      </c>
      <c r="N4126">
        <v>2</v>
      </c>
      <c r="O4126">
        <v>0.74870000000000003</v>
      </c>
      <c r="P4126">
        <v>0.42114499999999999</v>
      </c>
      <c r="Q4126">
        <v>0.19636700000000001</v>
      </c>
    </row>
    <row r="4127" spans="1:17" x14ac:dyDescent="0.25">
      <c r="A4127" t="str">
        <f>IF(C4127&amp;G4127&amp;D4127&lt;&gt;'Funnel setup'!$K$3&amp;'Funnel setup'!$K$4&amp;'Funnel setup'!$K$6,".",IF(A4126=".",1,A4126+1))</f>
        <v>.</v>
      </c>
      <c r="B4127" s="244" t="str">
        <f t="shared" si="64"/>
        <v>Total Hip ReplacementProviderSPIRE ST ANTHONY'S HOSPITAL (NT3X3)EQ-5D Index</v>
      </c>
      <c r="C4127" t="s">
        <v>974</v>
      </c>
      <c r="D4127" t="s">
        <v>965</v>
      </c>
      <c r="E4127" t="s">
        <v>588</v>
      </c>
      <c r="F4127" t="s">
        <v>589</v>
      </c>
      <c r="G4127" t="s">
        <v>963</v>
      </c>
      <c r="H4127">
        <v>3</v>
      </c>
      <c r="I4127">
        <v>0.21299999999999999</v>
      </c>
      <c r="J4127">
        <v>0.82899999999999996</v>
      </c>
      <c r="K4127">
        <v>0.61599999999999999</v>
      </c>
      <c r="L4127">
        <v>3</v>
      </c>
      <c r="M4127">
        <v>0</v>
      </c>
      <c r="N4127">
        <v>0</v>
      </c>
      <c r="O4127" t="s">
        <v>127</v>
      </c>
      <c r="P4127" t="s">
        <v>127</v>
      </c>
      <c r="Q4127" t="s">
        <v>127</v>
      </c>
    </row>
    <row r="4128" spans="1:17" x14ac:dyDescent="0.25">
      <c r="A4128" t="str">
        <f>IF(C4128&amp;G4128&amp;D4128&lt;&gt;'Funnel setup'!$K$3&amp;'Funnel setup'!$K$4&amp;'Funnel setup'!$K$6,".",IF(A4127=".",1,A4127+1))</f>
        <v>.</v>
      </c>
      <c r="B4128" s="244" t="str">
        <f t="shared" si="64"/>
        <v>Total Hip ReplacementProviderSPIRE SUSSEX HOSPITAL (NT309)EQ-5D Index</v>
      </c>
      <c r="C4128" t="s">
        <v>974</v>
      </c>
      <c r="D4128" t="s">
        <v>965</v>
      </c>
      <c r="E4128" t="s">
        <v>590</v>
      </c>
      <c r="F4128" t="s">
        <v>591</v>
      </c>
      <c r="G4128" t="s">
        <v>963</v>
      </c>
      <c r="H4128">
        <v>7</v>
      </c>
      <c r="I4128">
        <v>0.50557099999999999</v>
      </c>
      <c r="J4128">
        <v>0.87542900000000001</v>
      </c>
      <c r="K4128">
        <v>0.36985699999999999</v>
      </c>
      <c r="L4128">
        <v>6</v>
      </c>
      <c r="M4128">
        <v>0</v>
      </c>
      <c r="N4128">
        <v>1</v>
      </c>
      <c r="O4128" t="s">
        <v>127</v>
      </c>
      <c r="P4128" t="s">
        <v>127</v>
      </c>
      <c r="Q4128" t="s">
        <v>127</v>
      </c>
    </row>
    <row r="4129" spans="1:17" x14ac:dyDescent="0.25">
      <c r="A4129" t="str">
        <f>IF(C4129&amp;G4129&amp;D4129&lt;&gt;'Funnel setup'!$K$3&amp;'Funnel setup'!$K$4&amp;'Funnel setup'!$K$6,".",IF(A4128=".",1,A4128+1))</f>
        <v>.</v>
      </c>
      <c r="B4129" s="244" t="str">
        <f t="shared" si="64"/>
        <v>Total Hip ReplacementProviderSPIRE THAMES VALLEY HOSPITAL (NT343)EQ-5D Index</v>
      </c>
      <c r="C4129" t="s">
        <v>974</v>
      </c>
      <c r="D4129" t="s">
        <v>965</v>
      </c>
      <c r="E4129" t="s">
        <v>592</v>
      </c>
      <c r="F4129" t="s">
        <v>593</v>
      </c>
      <c r="G4129" t="s">
        <v>963</v>
      </c>
      <c r="H4129">
        <v>7</v>
      </c>
      <c r="I4129">
        <v>0.60771399999999998</v>
      </c>
      <c r="J4129">
        <v>0.70814299999999997</v>
      </c>
      <c r="K4129">
        <v>0.100429</v>
      </c>
      <c r="L4129">
        <v>6</v>
      </c>
      <c r="M4129">
        <v>0</v>
      </c>
      <c r="N4129">
        <v>1</v>
      </c>
      <c r="O4129" t="s">
        <v>127</v>
      </c>
      <c r="P4129" t="s">
        <v>127</v>
      </c>
      <c r="Q4129" t="s">
        <v>127</v>
      </c>
    </row>
    <row r="4130" spans="1:17" x14ac:dyDescent="0.25">
      <c r="A4130" t="str">
        <f>IF(C4130&amp;G4130&amp;D4130&lt;&gt;'Funnel setup'!$K$3&amp;'Funnel setup'!$K$4&amp;'Funnel setup'!$K$6,".",IF(A4129=".",1,A4129+1))</f>
        <v>.</v>
      </c>
      <c r="B4130" s="244" t="str">
        <f t="shared" si="64"/>
        <v>Total Hip ReplacementProviderSPIRE TUNBRIDGE WELLS HOSPITAL (NT310)EQ-5D Index</v>
      </c>
      <c r="C4130" t="s">
        <v>974</v>
      </c>
      <c r="D4130" t="s">
        <v>965</v>
      </c>
      <c r="E4130" t="s">
        <v>594</v>
      </c>
      <c r="F4130" t="s">
        <v>595</v>
      </c>
      <c r="G4130" t="s">
        <v>963</v>
      </c>
      <c r="H4130">
        <v>7</v>
      </c>
      <c r="I4130">
        <v>0.13328599999999999</v>
      </c>
      <c r="J4130">
        <v>0.65528600000000004</v>
      </c>
      <c r="K4130">
        <v>0.52200000000000002</v>
      </c>
      <c r="L4130">
        <v>6</v>
      </c>
      <c r="M4130">
        <v>0</v>
      </c>
      <c r="N4130">
        <v>1</v>
      </c>
      <c r="O4130" t="s">
        <v>127</v>
      </c>
      <c r="P4130" t="s">
        <v>127</v>
      </c>
      <c r="Q4130" t="s">
        <v>127</v>
      </c>
    </row>
    <row r="4131" spans="1:17" x14ac:dyDescent="0.25">
      <c r="A4131" t="str">
        <f>IF(C4131&amp;G4131&amp;D4131&lt;&gt;'Funnel setup'!$K$3&amp;'Funnel setup'!$K$4&amp;'Funnel setup'!$K$6,".",IF(A4130=".",1,A4130+1))</f>
        <v>.</v>
      </c>
      <c r="B4131" s="244" t="str">
        <f t="shared" si="64"/>
        <v>Total Hip ReplacementProviderSPIRE WASHINGTON HOSPITAL (NT333)EQ-5D Index</v>
      </c>
      <c r="C4131" t="s">
        <v>974</v>
      </c>
      <c r="D4131" t="s">
        <v>965</v>
      </c>
      <c r="E4131" t="s">
        <v>596</v>
      </c>
      <c r="F4131" t="s">
        <v>597</v>
      </c>
      <c r="G4131" t="s">
        <v>963</v>
      </c>
      <c r="H4131">
        <v>64</v>
      </c>
      <c r="I4131">
        <v>0.32942199999999999</v>
      </c>
      <c r="J4131">
        <v>0.81517200000000001</v>
      </c>
      <c r="K4131">
        <v>0.48575000000000002</v>
      </c>
      <c r="L4131">
        <v>54</v>
      </c>
      <c r="M4131">
        <v>6</v>
      </c>
      <c r="N4131">
        <v>4</v>
      </c>
      <c r="O4131">
        <v>0.81736399999999998</v>
      </c>
      <c r="P4131">
        <v>0.48980800000000002</v>
      </c>
      <c r="Q4131">
        <v>0.20600599999999999</v>
      </c>
    </row>
    <row r="4132" spans="1:17" x14ac:dyDescent="0.25">
      <c r="A4132" t="str">
        <f>IF(C4132&amp;G4132&amp;D4132&lt;&gt;'Funnel setup'!$K$3&amp;'Funnel setup'!$K$4&amp;'Funnel setup'!$K$6,".",IF(A4131=".",1,A4131+1))</f>
        <v>.</v>
      </c>
      <c r="B4132" s="244" t="str">
        <f t="shared" si="64"/>
        <v>Total Hip ReplacementProviderSPRINGFIELD HOSPITAL (NVC18)EQ-5D Index</v>
      </c>
      <c r="C4132" t="s">
        <v>974</v>
      </c>
      <c r="D4132" t="s">
        <v>965</v>
      </c>
      <c r="E4132" t="s">
        <v>602</v>
      </c>
      <c r="F4132" t="s">
        <v>603</v>
      </c>
      <c r="G4132" t="s">
        <v>963</v>
      </c>
      <c r="H4132">
        <v>79</v>
      </c>
      <c r="I4132">
        <v>0.30973699999999998</v>
      </c>
      <c r="J4132">
        <v>0.838337</v>
      </c>
      <c r="K4132">
        <v>0.52859999999999996</v>
      </c>
      <c r="L4132">
        <v>75</v>
      </c>
      <c r="M4132">
        <v>2</v>
      </c>
      <c r="N4132">
        <v>2</v>
      </c>
      <c r="O4132">
        <v>0.82169400000000004</v>
      </c>
      <c r="P4132">
        <v>0.49413800000000002</v>
      </c>
      <c r="Q4132">
        <v>0.23638999999999999</v>
      </c>
    </row>
    <row r="4133" spans="1:17" x14ac:dyDescent="0.25">
      <c r="A4133" t="str">
        <f>IF(C4133&amp;G4133&amp;D4133&lt;&gt;'Funnel setup'!$K$3&amp;'Funnel setup'!$K$4&amp;'Funnel setup'!$K$6,".",IF(A4132=".",1,A4132+1))</f>
        <v>.</v>
      </c>
      <c r="B4133" s="244" t="str">
        <f t="shared" si="64"/>
        <v>Total Hip ReplacementProviderST EDMUNDS HOSPITAL (NT446)EQ-5D Index</v>
      </c>
      <c r="C4133" t="s">
        <v>974</v>
      </c>
      <c r="D4133" t="s">
        <v>965</v>
      </c>
      <c r="E4133" t="s">
        <v>604</v>
      </c>
      <c r="F4133" t="s">
        <v>605</v>
      </c>
      <c r="G4133" t="s">
        <v>963</v>
      </c>
      <c r="H4133">
        <v>53</v>
      </c>
      <c r="I4133">
        <v>0.36050900000000002</v>
      </c>
      <c r="J4133">
        <v>0.84937700000000005</v>
      </c>
      <c r="K4133">
        <v>0.48886800000000002</v>
      </c>
      <c r="L4133">
        <v>47</v>
      </c>
      <c r="M4133">
        <v>3</v>
      </c>
      <c r="N4133">
        <v>3</v>
      </c>
      <c r="O4133">
        <v>0.80799699999999997</v>
      </c>
      <c r="P4133">
        <v>0.48044100000000001</v>
      </c>
      <c r="Q4133">
        <v>0.20923800000000001</v>
      </c>
    </row>
    <row r="4134" spans="1:17" x14ac:dyDescent="0.25">
      <c r="A4134" t="str">
        <f>IF(C4134&amp;G4134&amp;D4134&lt;&gt;'Funnel setup'!$K$3&amp;'Funnel setup'!$K$4&amp;'Funnel setup'!$K$6,".",IF(A4133=".",1,A4133+1))</f>
        <v>.</v>
      </c>
      <c r="B4134" s="244" t="str">
        <f t="shared" si="64"/>
        <v>Total Hip ReplacementProviderST HELENS AND KNOWSLEY TEACHING HOSPITALS NHS TRUST (RBN)EQ-5D Index</v>
      </c>
      <c r="C4134" t="s">
        <v>974</v>
      </c>
      <c r="D4134" t="s">
        <v>965</v>
      </c>
      <c r="E4134" t="s">
        <v>608</v>
      </c>
      <c r="F4134" t="s">
        <v>609</v>
      </c>
      <c r="G4134" t="s">
        <v>963</v>
      </c>
      <c r="H4134">
        <v>72</v>
      </c>
      <c r="I4134">
        <v>0.23252800000000001</v>
      </c>
      <c r="J4134">
        <v>0.66783300000000001</v>
      </c>
      <c r="K4134">
        <v>0.43530600000000003</v>
      </c>
      <c r="L4134">
        <v>59</v>
      </c>
      <c r="M4134">
        <v>8</v>
      </c>
      <c r="N4134">
        <v>5</v>
      </c>
      <c r="O4134">
        <v>0.73250599999999999</v>
      </c>
      <c r="P4134">
        <v>0.40494999999999998</v>
      </c>
      <c r="Q4134">
        <v>0.273509</v>
      </c>
    </row>
    <row r="4135" spans="1:17" x14ac:dyDescent="0.25">
      <c r="A4135" t="str">
        <f>IF(C4135&amp;G4135&amp;D4135&lt;&gt;'Funnel setup'!$K$3&amp;'Funnel setup'!$K$4&amp;'Funnel setup'!$K$6,".",IF(A4134=".",1,A4134+1))</f>
        <v>.</v>
      </c>
      <c r="B4135" s="244" t="str">
        <f t="shared" si="64"/>
        <v>Total Hip ReplacementProviderST HUGH'S HOSPITAL (NTE02)EQ-5D Index</v>
      </c>
      <c r="C4135" t="s">
        <v>974</v>
      </c>
      <c r="D4135" t="s">
        <v>965</v>
      </c>
      <c r="E4135" t="s">
        <v>610</v>
      </c>
      <c r="F4135" t="s">
        <v>611</v>
      </c>
      <c r="G4135" t="s">
        <v>963</v>
      </c>
      <c r="H4135">
        <v>94</v>
      </c>
      <c r="I4135">
        <v>0.36860599999999999</v>
      </c>
      <c r="J4135">
        <v>0.78854299999999999</v>
      </c>
      <c r="K4135">
        <v>0.41993599999999998</v>
      </c>
      <c r="L4135">
        <v>84</v>
      </c>
      <c r="M4135">
        <v>5</v>
      </c>
      <c r="N4135">
        <v>5</v>
      </c>
      <c r="O4135">
        <v>0.76339699999999999</v>
      </c>
      <c r="P4135">
        <v>0.43584099999999998</v>
      </c>
      <c r="Q4135">
        <v>0.205072</v>
      </c>
    </row>
    <row r="4136" spans="1:17" x14ac:dyDescent="0.25">
      <c r="A4136" t="str">
        <f>IF(C4136&amp;G4136&amp;D4136&lt;&gt;'Funnel setup'!$K$3&amp;'Funnel setup'!$K$4&amp;'Funnel setup'!$K$6,".",IF(A4135=".",1,A4135+1))</f>
        <v>.</v>
      </c>
      <c r="B4136" s="244" t="str">
        <f t="shared" si="64"/>
        <v>Total Hip ReplacementProviderSTOCKPORT NHS FOUNDATION TRUST (RWJ)EQ-5D Index</v>
      </c>
      <c r="C4136" t="s">
        <v>974</v>
      </c>
      <c r="D4136" t="s">
        <v>965</v>
      </c>
      <c r="E4136" t="s">
        <v>614</v>
      </c>
      <c r="F4136" t="s">
        <v>615</v>
      </c>
      <c r="G4136" t="s">
        <v>963</v>
      </c>
      <c r="H4136">
        <v>56</v>
      </c>
      <c r="I4136">
        <v>0.21401800000000001</v>
      </c>
      <c r="J4136">
        <v>0.73005399999999998</v>
      </c>
      <c r="K4136">
        <v>0.51603600000000005</v>
      </c>
      <c r="L4136">
        <v>49</v>
      </c>
      <c r="M4136">
        <v>4</v>
      </c>
      <c r="N4136">
        <v>3</v>
      </c>
      <c r="O4136">
        <v>0.78146300000000002</v>
      </c>
      <c r="P4136">
        <v>0.453907</v>
      </c>
      <c r="Q4136">
        <v>0.23030999999999999</v>
      </c>
    </row>
    <row r="4137" spans="1:17" x14ac:dyDescent="0.25">
      <c r="A4137" t="str">
        <f>IF(C4137&amp;G4137&amp;D4137&lt;&gt;'Funnel setup'!$K$3&amp;'Funnel setup'!$K$4&amp;'Funnel setup'!$K$6,".",IF(A4136=".",1,A4136+1))</f>
        <v>.</v>
      </c>
      <c r="B4137" s="244" t="str">
        <f t="shared" si="64"/>
        <v>Total Hip ReplacementProviderSURREY AND SUSSEX HEALTHCARE NHS TRUST (RTP)EQ-5D Index</v>
      </c>
      <c r="C4137" t="s">
        <v>974</v>
      </c>
      <c r="D4137" t="s">
        <v>965</v>
      </c>
      <c r="E4137" t="s">
        <v>618</v>
      </c>
      <c r="F4137" t="s">
        <v>619</v>
      </c>
      <c r="G4137" t="s">
        <v>963</v>
      </c>
      <c r="H4137">
        <v>52</v>
      </c>
      <c r="I4137">
        <v>0.26976899999999998</v>
      </c>
      <c r="J4137">
        <v>0.70092299999999996</v>
      </c>
      <c r="K4137">
        <v>0.43115399999999998</v>
      </c>
      <c r="L4137">
        <v>46</v>
      </c>
      <c r="M4137">
        <v>3</v>
      </c>
      <c r="N4137">
        <v>3</v>
      </c>
      <c r="O4137">
        <v>0.71527799999999997</v>
      </c>
      <c r="P4137">
        <v>0.38772200000000001</v>
      </c>
      <c r="Q4137">
        <v>0.246143</v>
      </c>
    </row>
    <row r="4138" spans="1:17" x14ac:dyDescent="0.25">
      <c r="A4138" t="str">
        <f>IF(C4138&amp;G4138&amp;D4138&lt;&gt;'Funnel setup'!$K$3&amp;'Funnel setup'!$K$4&amp;'Funnel setup'!$K$6,".",IF(A4137=".",1,A4137+1))</f>
        <v>.</v>
      </c>
      <c r="B4138" s="244" t="str">
        <f t="shared" si="64"/>
        <v>Total Hip ReplacementProviderTAMESIDE AND GLOSSOP INTEGRATED CARE NHS FOUNDATION TRUST (RMP)EQ-5D Index</v>
      </c>
      <c r="C4138" t="s">
        <v>974</v>
      </c>
      <c r="D4138" t="s">
        <v>965</v>
      </c>
      <c r="E4138" t="s">
        <v>620</v>
      </c>
      <c r="F4138" t="s">
        <v>621</v>
      </c>
      <c r="G4138" t="s">
        <v>963</v>
      </c>
      <c r="H4138">
        <v>3</v>
      </c>
      <c r="I4138">
        <v>0.115</v>
      </c>
      <c r="J4138">
        <v>0.51733300000000004</v>
      </c>
      <c r="K4138">
        <v>0.402333</v>
      </c>
      <c r="L4138">
        <v>3</v>
      </c>
      <c r="M4138">
        <v>0</v>
      </c>
      <c r="N4138">
        <v>0</v>
      </c>
      <c r="O4138" t="s">
        <v>127</v>
      </c>
      <c r="P4138" t="s">
        <v>127</v>
      </c>
      <c r="Q4138" t="s">
        <v>127</v>
      </c>
    </row>
    <row r="4139" spans="1:17" x14ac:dyDescent="0.25">
      <c r="A4139" t="str">
        <f>IF(C4139&amp;G4139&amp;D4139&lt;&gt;'Funnel setup'!$K$3&amp;'Funnel setup'!$K$4&amp;'Funnel setup'!$K$6,".",IF(A4138=".",1,A4138+1))</f>
        <v>.</v>
      </c>
      <c r="B4139" s="244" t="str">
        <f t="shared" si="64"/>
        <v>Total Hip ReplacementProviderTEES VALLEY HOSPITAL (NVC0R)EQ-5D Index</v>
      </c>
      <c r="C4139" t="s">
        <v>974</v>
      </c>
      <c r="D4139" t="s">
        <v>965</v>
      </c>
      <c r="E4139" t="s">
        <v>624</v>
      </c>
      <c r="F4139" t="s">
        <v>625</v>
      </c>
      <c r="G4139" t="s">
        <v>963</v>
      </c>
      <c r="H4139">
        <v>43</v>
      </c>
      <c r="I4139">
        <v>0.44453500000000001</v>
      </c>
      <c r="J4139">
        <v>0.76407000000000003</v>
      </c>
      <c r="K4139">
        <v>0.31953500000000001</v>
      </c>
      <c r="L4139">
        <v>40</v>
      </c>
      <c r="M4139">
        <v>0</v>
      </c>
      <c r="N4139">
        <v>3</v>
      </c>
      <c r="O4139">
        <v>0.73242200000000002</v>
      </c>
      <c r="P4139">
        <v>0.404866</v>
      </c>
      <c r="Q4139">
        <v>0.22062599999999999</v>
      </c>
    </row>
    <row r="4140" spans="1:17" x14ac:dyDescent="0.25">
      <c r="A4140" t="str">
        <f>IF(C4140&amp;G4140&amp;D4140&lt;&gt;'Funnel setup'!$K$3&amp;'Funnel setup'!$K$4&amp;'Funnel setup'!$K$6,".",IF(A4139=".",1,A4139+1))</f>
        <v>.</v>
      </c>
      <c r="B4140" s="244" t="str">
        <f t="shared" si="64"/>
        <v>Total Hip ReplacementProviderTHE BERKSHIRE INDEPENDENT HOSPITAL (NVC02)EQ-5D Index</v>
      </c>
      <c r="C4140" t="s">
        <v>974</v>
      </c>
      <c r="D4140" t="s">
        <v>965</v>
      </c>
      <c r="E4140" t="s">
        <v>626</v>
      </c>
      <c r="F4140" t="s">
        <v>627</v>
      </c>
      <c r="G4140" t="s">
        <v>963</v>
      </c>
      <c r="H4140">
        <v>12</v>
      </c>
      <c r="I4140">
        <v>0.35516700000000001</v>
      </c>
      <c r="J4140">
        <v>0.875583</v>
      </c>
      <c r="K4140">
        <v>0.52041700000000002</v>
      </c>
      <c r="L4140">
        <v>10</v>
      </c>
      <c r="M4140">
        <v>2</v>
      </c>
      <c r="N4140">
        <v>0</v>
      </c>
      <c r="O4140" t="s">
        <v>127</v>
      </c>
      <c r="P4140" t="s">
        <v>127</v>
      </c>
      <c r="Q4140" t="s">
        <v>127</v>
      </c>
    </row>
    <row r="4141" spans="1:17" x14ac:dyDescent="0.25">
      <c r="A4141" t="str">
        <f>IF(C4141&amp;G4141&amp;D4141&lt;&gt;'Funnel setup'!$K$3&amp;'Funnel setup'!$K$4&amp;'Funnel setup'!$K$6,".",IF(A4140=".",1,A4140+1))</f>
        <v>.</v>
      </c>
      <c r="B4141" s="244" t="str">
        <f t="shared" si="64"/>
        <v>Total Hip ReplacementProviderTHE CHERWELL HOSPITAL (NVC25)EQ-5D Index</v>
      </c>
      <c r="C4141" t="s">
        <v>974</v>
      </c>
      <c r="D4141" t="s">
        <v>965</v>
      </c>
      <c r="E4141" t="s">
        <v>628</v>
      </c>
      <c r="F4141" t="s">
        <v>629</v>
      </c>
      <c r="G4141" t="s">
        <v>963</v>
      </c>
      <c r="H4141">
        <v>207</v>
      </c>
      <c r="I4141">
        <v>0.43490800000000002</v>
      </c>
      <c r="J4141">
        <v>0.83384100000000005</v>
      </c>
      <c r="K4141">
        <v>0.39893200000000001</v>
      </c>
      <c r="L4141">
        <v>186</v>
      </c>
      <c r="M4141">
        <v>11</v>
      </c>
      <c r="N4141">
        <v>10</v>
      </c>
      <c r="O4141">
        <v>0.78348899999999999</v>
      </c>
      <c r="P4141">
        <v>0.45593299999999998</v>
      </c>
      <c r="Q4141">
        <v>0.216007</v>
      </c>
    </row>
    <row r="4142" spans="1:17" x14ac:dyDescent="0.25">
      <c r="A4142" t="str">
        <f>IF(C4142&amp;G4142&amp;D4142&lt;&gt;'Funnel setup'!$K$3&amp;'Funnel setup'!$K$4&amp;'Funnel setup'!$K$6,".",IF(A4141=".",1,A4141+1))</f>
        <v>.</v>
      </c>
      <c r="B4142" s="244" t="str">
        <f t="shared" si="64"/>
        <v>Total Hip ReplacementProviderTHE DUDLEY GROUP NHS FOUNDATION TRUST (RNA)EQ-5D Index</v>
      </c>
      <c r="C4142" t="s">
        <v>974</v>
      </c>
      <c r="D4142" t="s">
        <v>965</v>
      </c>
      <c r="E4142" t="s">
        <v>630</v>
      </c>
      <c r="F4142" t="s">
        <v>631</v>
      </c>
      <c r="G4142" t="s">
        <v>963</v>
      </c>
      <c r="H4142">
        <v>1</v>
      </c>
      <c r="I4142">
        <v>0.186</v>
      </c>
      <c r="J4142">
        <v>0.79600000000000004</v>
      </c>
      <c r="K4142">
        <v>0.61</v>
      </c>
      <c r="L4142">
        <v>1</v>
      </c>
      <c r="M4142">
        <v>0</v>
      </c>
      <c r="N4142">
        <v>0</v>
      </c>
      <c r="O4142" t="s">
        <v>127</v>
      </c>
      <c r="P4142" t="s">
        <v>127</v>
      </c>
      <c r="Q4142" t="s">
        <v>127</v>
      </c>
    </row>
    <row r="4143" spans="1:17" x14ac:dyDescent="0.25">
      <c r="A4143" t="str">
        <f>IF(C4143&amp;G4143&amp;D4143&lt;&gt;'Funnel setup'!$K$3&amp;'Funnel setup'!$K$4&amp;'Funnel setup'!$K$6,".",IF(A4142=".",1,A4142+1))</f>
        <v>.</v>
      </c>
      <c r="B4143" s="244" t="str">
        <f t="shared" si="64"/>
        <v>Total Hip ReplacementProviderTHE HILLINGDON HOSPITALS NHS FOUNDATION TRUST (RAS)EQ-5D Index</v>
      </c>
      <c r="C4143" t="s">
        <v>974</v>
      </c>
      <c r="D4143" t="s">
        <v>965</v>
      </c>
      <c r="E4143" t="s">
        <v>632</v>
      </c>
      <c r="F4143" t="s">
        <v>633</v>
      </c>
      <c r="G4143" t="s">
        <v>963</v>
      </c>
      <c r="H4143">
        <v>69</v>
      </c>
      <c r="I4143">
        <v>0.43152200000000002</v>
      </c>
      <c r="J4143">
        <v>0.78162299999999996</v>
      </c>
      <c r="K4143">
        <v>0.350101</v>
      </c>
      <c r="L4143">
        <v>59</v>
      </c>
      <c r="M4143">
        <v>5</v>
      </c>
      <c r="N4143">
        <v>5</v>
      </c>
      <c r="O4143">
        <v>0.75174300000000005</v>
      </c>
      <c r="P4143">
        <v>0.42418699999999998</v>
      </c>
      <c r="Q4143">
        <v>0.24327499999999999</v>
      </c>
    </row>
    <row r="4144" spans="1:17" x14ac:dyDescent="0.25">
      <c r="A4144" t="str">
        <f>IF(C4144&amp;G4144&amp;D4144&lt;&gt;'Funnel setup'!$K$3&amp;'Funnel setup'!$K$4&amp;'Funnel setup'!$K$6,".",IF(A4143=".",1,A4143+1))</f>
        <v>.</v>
      </c>
      <c r="B4144" s="244" t="str">
        <f t="shared" si="64"/>
        <v>Total Hip ReplacementProviderTHE HORDER CENTRE - ST JOHNS ROAD (NXM01)EQ-5D Index</v>
      </c>
      <c r="C4144" t="s">
        <v>974</v>
      </c>
      <c r="D4144" t="s">
        <v>965</v>
      </c>
      <c r="E4144" t="s">
        <v>634</v>
      </c>
      <c r="F4144" t="s">
        <v>635</v>
      </c>
      <c r="G4144" t="s">
        <v>963</v>
      </c>
      <c r="H4144">
        <v>245</v>
      </c>
      <c r="I4144">
        <v>0.42910599999999999</v>
      </c>
      <c r="J4144">
        <v>0.83252700000000002</v>
      </c>
      <c r="K4144">
        <v>0.40342</v>
      </c>
      <c r="L4144">
        <v>218</v>
      </c>
      <c r="M4144">
        <v>13</v>
      </c>
      <c r="N4144">
        <v>14</v>
      </c>
      <c r="O4144">
        <v>0.79308000000000001</v>
      </c>
      <c r="P4144">
        <v>0.46552399999999999</v>
      </c>
      <c r="Q4144">
        <v>0.24122399999999999</v>
      </c>
    </row>
    <row r="4145" spans="1:17" x14ac:dyDescent="0.25">
      <c r="A4145" t="str">
        <f>IF(C4145&amp;G4145&amp;D4145&lt;&gt;'Funnel setup'!$K$3&amp;'Funnel setup'!$K$4&amp;'Funnel setup'!$K$6,".",IF(A4144=".",1,A4144+1))</f>
        <v>.</v>
      </c>
      <c r="B4145" s="244" t="str">
        <f t="shared" si="64"/>
        <v>Total Hip ReplacementProviderTHE NEWCASTLE UPON TYNE HOSPITALS NHS FOUNDATION TRUST (RTD)EQ-5D Index</v>
      </c>
      <c r="C4145" t="s">
        <v>974</v>
      </c>
      <c r="D4145" t="s">
        <v>965</v>
      </c>
      <c r="E4145" t="s">
        <v>638</v>
      </c>
      <c r="F4145" t="s">
        <v>639</v>
      </c>
      <c r="G4145" t="s">
        <v>963</v>
      </c>
      <c r="H4145">
        <v>37</v>
      </c>
      <c r="I4145">
        <v>0.28967599999999999</v>
      </c>
      <c r="J4145">
        <v>0.73691899999999999</v>
      </c>
      <c r="K4145">
        <v>0.447243</v>
      </c>
      <c r="L4145">
        <v>33</v>
      </c>
      <c r="M4145">
        <v>2</v>
      </c>
      <c r="N4145">
        <v>2</v>
      </c>
      <c r="O4145">
        <v>0.78619399999999995</v>
      </c>
      <c r="P4145">
        <v>0.45863799999999999</v>
      </c>
      <c r="Q4145">
        <v>0.22850899999999999</v>
      </c>
    </row>
    <row r="4146" spans="1:17" x14ac:dyDescent="0.25">
      <c r="A4146" t="str">
        <f>IF(C4146&amp;G4146&amp;D4146&lt;&gt;'Funnel setup'!$K$3&amp;'Funnel setup'!$K$4&amp;'Funnel setup'!$K$6,".",IF(A4145=".",1,A4145+1))</f>
        <v>.</v>
      </c>
      <c r="B4146" s="244" t="str">
        <f t="shared" si="64"/>
        <v>Total Hip ReplacementProviderTHE PRINCESS ALEXANDRA HOSPITAL NHS TRUST (RQW)EQ-5D Index</v>
      </c>
      <c r="C4146" t="s">
        <v>974</v>
      </c>
      <c r="D4146" t="s">
        <v>965</v>
      </c>
      <c r="E4146" t="s">
        <v>640</v>
      </c>
      <c r="F4146" t="s">
        <v>641</v>
      </c>
      <c r="G4146" t="s">
        <v>963</v>
      </c>
      <c r="H4146">
        <v>27</v>
      </c>
      <c r="I4146">
        <v>0.163407</v>
      </c>
      <c r="J4146">
        <v>0.64329599999999998</v>
      </c>
      <c r="K4146">
        <v>0.47988900000000001</v>
      </c>
      <c r="L4146">
        <v>26</v>
      </c>
      <c r="M4146">
        <v>0</v>
      </c>
      <c r="N4146">
        <v>1</v>
      </c>
      <c r="O4146" t="s">
        <v>127</v>
      </c>
      <c r="P4146" t="s">
        <v>127</v>
      </c>
      <c r="Q4146" t="s">
        <v>127</v>
      </c>
    </row>
    <row r="4147" spans="1:17" x14ac:dyDescent="0.25">
      <c r="A4147" t="str">
        <f>IF(C4147&amp;G4147&amp;D4147&lt;&gt;'Funnel setup'!$K$3&amp;'Funnel setup'!$K$4&amp;'Funnel setup'!$K$6,".",IF(A4146=".",1,A4146+1))</f>
        <v>.</v>
      </c>
      <c r="B4147" s="244" t="str">
        <f t="shared" si="64"/>
        <v>Total Hip ReplacementProviderTHE QUEEN ELIZABETH HOSPITAL, KING'S LYNN, NHS FOUNDATION TRUST (RCX)EQ-5D Index</v>
      </c>
      <c r="C4147" t="s">
        <v>974</v>
      </c>
      <c r="D4147" t="s">
        <v>965</v>
      </c>
      <c r="E4147" t="s">
        <v>644</v>
      </c>
      <c r="F4147" t="s">
        <v>645</v>
      </c>
      <c r="G4147" t="s">
        <v>963</v>
      </c>
      <c r="H4147">
        <v>65</v>
      </c>
      <c r="I4147">
        <v>0.31921500000000003</v>
      </c>
      <c r="J4147">
        <v>0.74123099999999997</v>
      </c>
      <c r="K4147">
        <v>0.42201499999999997</v>
      </c>
      <c r="L4147">
        <v>57</v>
      </c>
      <c r="M4147">
        <v>4</v>
      </c>
      <c r="N4147">
        <v>4</v>
      </c>
      <c r="O4147">
        <v>0.75779099999999999</v>
      </c>
      <c r="P4147">
        <v>0.43023600000000001</v>
      </c>
      <c r="Q4147">
        <v>0.259712</v>
      </c>
    </row>
    <row r="4148" spans="1:17" x14ac:dyDescent="0.25">
      <c r="A4148" t="str">
        <f>IF(C4148&amp;G4148&amp;D4148&lt;&gt;'Funnel setup'!$K$3&amp;'Funnel setup'!$K$4&amp;'Funnel setup'!$K$6,".",IF(A4147=".",1,A4147+1))</f>
        <v>.</v>
      </c>
      <c r="B4148" s="244" t="str">
        <f t="shared" si="64"/>
        <v>Total Hip ReplacementProviderTHE ROBERT JONES AND AGNES HUNT ORTHOPAEDIC HOSPITAL NHS FOUNDATION TRUST (RL1)EQ-5D Index</v>
      </c>
      <c r="C4148" t="s">
        <v>974</v>
      </c>
      <c r="D4148" t="s">
        <v>965</v>
      </c>
      <c r="E4148" t="s">
        <v>646</v>
      </c>
      <c r="F4148" t="s">
        <v>647</v>
      </c>
      <c r="G4148" t="s">
        <v>963</v>
      </c>
      <c r="H4148">
        <v>347</v>
      </c>
      <c r="I4148">
        <v>0.215389</v>
      </c>
      <c r="J4148">
        <v>0.81505499999999997</v>
      </c>
      <c r="K4148">
        <v>0.59966600000000003</v>
      </c>
      <c r="L4148">
        <v>325</v>
      </c>
      <c r="M4148">
        <v>13</v>
      </c>
      <c r="N4148">
        <v>9</v>
      </c>
      <c r="O4148">
        <v>0.84574300000000002</v>
      </c>
      <c r="P4148">
        <v>0.51818699999999995</v>
      </c>
      <c r="Q4148">
        <v>0.20610300000000001</v>
      </c>
    </row>
    <row r="4149" spans="1:17" x14ac:dyDescent="0.25">
      <c r="A4149" t="str">
        <f>IF(C4149&amp;G4149&amp;D4149&lt;&gt;'Funnel setup'!$K$3&amp;'Funnel setup'!$K$4&amp;'Funnel setup'!$K$6,".",IF(A4148=".",1,A4148+1))</f>
        <v>.</v>
      </c>
      <c r="B4149" s="244" t="str">
        <f t="shared" si="64"/>
        <v>Total Hip ReplacementProviderTHE ROTHERHAM NHS FOUNDATION TRUST (RFR)EQ-5D Index</v>
      </c>
      <c r="C4149" t="s">
        <v>974</v>
      </c>
      <c r="D4149" t="s">
        <v>965</v>
      </c>
      <c r="E4149" t="s">
        <v>648</v>
      </c>
      <c r="F4149" t="s">
        <v>649</v>
      </c>
      <c r="G4149" t="s">
        <v>963</v>
      </c>
      <c r="H4149">
        <v>18</v>
      </c>
      <c r="I4149">
        <v>0.31866699999999998</v>
      </c>
      <c r="J4149">
        <v>0.82099999999999995</v>
      </c>
      <c r="K4149">
        <v>0.50233300000000003</v>
      </c>
      <c r="L4149">
        <v>15</v>
      </c>
      <c r="M4149">
        <v>3</v>
      </c>
      <c r="N4149">
        <v>0</v>
      </c>
      <c r="O4149" t="s">
        <v>127</v>
      </c>
      <c r="P4149" t="s">
        <v>127</v>
      </c>
      <c r="Q4149" t="s">
        <v>127</v>
      </c>
    </row>
    <row r="4150" spans="1:17" x14ac:dyDescent="0.25">
      <c r="A4150" t="str">
        <f>IF(C4150&amp;G4150&amp;D4150&lt;&gt;'Funnel setup'!$K$3&amp;'Funnel setup'!$K$4&amp;'Funnel setup'!$K$6,".",IF(A4149=".",1,A4149+1))</f>
        <v>.</v>
      </c>
      <c r="B4150" s="244" t="str">
        <f t="shared" si="64"/>
        <v>Total Hip ReplacementProviderTHE ROYAL ORTHOPAEDIC HOSPITAL NHS FOUNDATION TRUST (RRJ)EQ-5D Index</v>
      </c>
      <c r="C4150" t="s">
        <v>974</v>
      </c>
      <c r="D4150" t="s">
        <v>965</v>
      </c>
      <c r="E4150" t="s">
        <v>652</v>
      </c>
      <c r="F4150" t="s">
        <v>653</v>
      </c>
      <c r="G4150" t="s">
        <v>963</v>
      </c>
      <c r="H4150">
        <v>589</v>
      </c>
      <c r="I4150">
        <v>0.30134499999999997</v>
      </c>
      <c r="J4150">
        <v>0.80768099999999998</v>
      </c>
      <c r="K4150">
        <v>0.50633600000000001</v>
      </c>
      <c r="L4150">
        <v>542</v>
      </c>
      <c r="M4150">
        <v>14</v>
      </c>
      <c r="N4150">
        <v>33</v>
      </c>
      <c r="O4150">
        <v>0.81510700000000003</v>
      </c>
      <c r="P4150">
        <v>0.48755100000000001</v>
      </c>
      <c r="Q4150">
        <v>0.22423399999999999</v>
      </c>
    </row>
    <row r="4151" spans="1:17" x14ac:dyDescent="0.25">
      <c r="A4151" t="str">
        <f>IF(C4151&amp;G4151&amp;D4151&lt;&gt;'Funnel setup'!$K$3&amp;'Funnel setup'!$K$4&amp;'Funnel setup'!$K$6,".",IF(A4150=".",1,A4150+1))</f>
        <v>.</v>
      </c>
      <c r="B4151" s="244" t="str">
        <f t="shared" si="64"/>
        <v>Total Hip ReplacementProviderTHE ROYAL WOLVERHAMPTON NHS TRUST (RL4)EQ-5D Index</v>
      </c>
      <c r="C4151" t="s">
        <v>974</v>
      </c>
      <c r="D4151" t="s">
        <v>965</v>
      </c>
      <c r="E4151" t="s">
        <v>654</v>
      </c>
      <c r="F4151" t="s">
        <v>655</v>
      </c>
      <c r="G4151" t="s">
        <v>963</v>
      </c>
      <c r="H4151">
        <v>17</v>
      </c>
      <c r="I4151">
        <v>0.29105900000000001</v>
      </c>
      <c r="J4151">
        <v>0.89317599999999997</v>
      </c>
      <c r="K4151">
        <v>0.60211800000000004</v>
      </c>
      <c r="L4151">
        <v>16</v>
      </c>
      <c r="M4151">
        <v>1</v>
      </c>
      <c r="N4151">
        <v>0</v>
      </c>
      <c r="O4151" t="s">
        <v>127</v>
      </c>
      <c r="P4151" t="s">
        <v>127</v>
      </c>
      <c r="Q4151" t="s">
        <v>127</v>
      </c>
    </row>
    <row r="4152" spans="1:17" x14ac:dyDescent="0.25">
      <c r="A4152" t="str">
        <f>IF(C4152&amp;G4152&amp;D4152&lt;&gt;'Funnel setup'!$K$3&amp;'Funnel setup'!$K$4&amp;'Funnel setup'!$K$6,".",IF(A4151=".",1,A4151+1))</f>
        <v>.</v>
      </c>
      <c r="B4152" s="244" t="str">
        <f t="shared" si="64"/>
        <v>Total Hip ReplacementProviderTHE SHREWSBURY AND TELFORD HOSPITAL NHS TRUST (RXW)EQ-5D Index</v>
      </c>
      <c r="C4152" t="s">
        <v>974</v>
      </c>
      <c r="D4152" t="s">
        <v>965</v>
      </c>
      <c r="E4152" t="s">
        <v>656</v>
      </c>
      <c r="F4152" t="s">
        <v>657</v>
      </c>
      <c r="G4152" t="s">
        <v>963</v>
      </c>
      <c r="H4152">
        <v>17</v>
      </c>
      <c r="I4152">
        <v>3.8176500000000002E-2</v>
      </c>
      <c r="J4152">
        <v>0.75770599999999999</v>
      </c>
      <c r="K4152">
        <v>0.71952899999999997</v>
      </c>
      <c r="L4152">
        <v>16</v>
      </c>
      <c r="M4152">
        <v>0</v>
      </c>
      <c r="N4152">
        <v>1</v>
      </c>
      <c r="O4152" t="s">
        <v>127</v>
      </c>
      <c r="P4152" t="s">
        <v>127</v>
      </c>
      <c r="Q4152" t="s">
        <v>127</v>
      </c>
    </row>
    <row r="4153" spans="1:17" x14ac:dyDescent="0.25">
      <c r="A4153" t="str">
        <f>IF(C4153&amp;G4153&amp;D4153&lt;&gt;'Funnel setup'!$K$3&amp;'Funnel setup'!$K$4&amp;'Funnel setup'!$K$6,".",IF(A4152=".",1,A4152+1))</f>
        <v>.</v>
      </c>
      <c r="B4153" s="244" t="str">
        <f t="shared" si="64"/>
        <v>Total Hip ReplacementProviderTHE YORKSHIRE CLINIC (NVC20)EQ-5D Index</v>
      </c>
      <c r="C4153" t="s">
        <v>974</v>
      </c>
      <c r="D4153" t="s">
        <v>965</v>
      </c>
      <c r="E4153" t="s">
        <v>662</v>
      </c>
      <c r="F4153" t="s">
        <v>663</v>
      </c>
      <c r="G4153" t="s">
        <v>963</v>
      </c>
      <c r="H4153">
        <v>63</v>
      </c>
      <c r="I4153">
        <v>0.33745999999999998</v>
      </c>
      <c r="J4153">
        <v>0.85593699999999995</v>
      </c>
      <c r="K4153">
        <v>0.51847600000000005</v>
      </c>
      <c r="L4153">
        <v>57</v>
      </c>
      <c r="M4153">
        <v>6</v>
      </c>
      <c r="N4153">
        <v>0</v>
      </c>
      <c r="O4153">
        <v>0.85572999999999999</v>
      </c>
      <c r="P4153">
        <v>0.52817400000000003</v>
      </c>
      <c r="Q4153">
        <v>0.18958900000000001</v>
      </c>
    </row>
    <row r="4154" spans="1:17" x14ac:dyDescent="0.25">
      <c r="A4154" t="str">
        <f>IF(C4154&amp;G4154&amp;D4154&lt;&gt;'Funnel setup'!$K$3&amp;'Funnel setup'!$K$4&amp;'Funnel setup'!$K$6,".",IF(A4153=".",1,A4153+1))</f>
        <v>.</v>
      </c>
      <c r="B4154" s="244" t="str">
        <f t="shared" si="64"/>
        <v>Total Hip ReplacementProviderTHORNBURY HOSPITAL (NT440)EQ-5D Index</v>
      </c>
      <c r="C4154" t="s">
        <v>974</v>
      </c>
      <c r="D4154" t="s">
        <v>965</v>
      </c>
      <c r="E4154" t="s">
        <v>664</v>
      </c>
      <c r="F4154" t="s">
        <v>665</v>
      </c>
      <c r="G4154" t="s">
        <v>963</v>
      </c>
      <c r="H4154">
        <v>2</v>
      </c>
      <c r="I4154">
        <v>0.25</v>
      </c>
      <c r="J4154">
        <v>0.35099999999999998</v>
      </c>
      <c r="K4154">
        <v>0.10100000000000001</v>
      </c>
      <c r="L4154">
        <v>2</v>
      </c>
      <c r="M4154">
        <v>0</v>
      </c>
      <c r="N4154">
        <v>0</v>
      </c>
      <c r="O4154" t="s">
        <v>127</v>
      </c>
      <c r="P4154" t="s">
        <v>127</v>
      </c>
      <c r="Q4154" t="s">
        <v>127</v>
      </c>
    </row>
    <row r="4155" spans="1:17" x14ac:dyDescent="0.25">
      <c r="A4155" t="str">
        <f>IF(C4155&amp;G4155&amp;D4155&lt;&gt;'Funnel setup'!$K$3&amp;'Funnel setup'!$K$4&amp;'Funnel setup'!$K$6,".",IF(A4154=".",1,A4154+1))</f>
        <v>.</v>
      </c>
      <c r="B4155" s="244" t="str">
        <f t="shared" si="64"/>
        <v>Total Hip ReplacementProviderTHREE SHIRES HOSPITAL (NT441)EQ-5D Index</v>
      </c>
      <c r="C4155" t="s">
        <v>974</v>
      </c>
      <c r="D4155" t="s">
        <v>965</v>
      </c>
      <c r="E4155" t="s">
        <v>666</v>
      </c>
      <c r="F4155" t="s">
        <v>667</v>
      </c>
      <c r="G4155" t="s">
        <v>963</v>
      </c>
      <c r="H4155">
        <v>63</v>
      </c>
      <c r="I4155">
        <v>0.43349199999999999</v>
      </c>
      <c r="J4155">
        <v>0.88460300000000003</v>
      </c>
      <c r="K4155">
        <v>0.45111099999999998</v>
      </c>
      <c r="L4155">
        <v>58</v>
      </c>
      <c r="M4155">
        <v>4</v>
      </c>
      <c r="N4155">
        <v>1</v>
      </c>
      <c r="O4155">
        <v>0.81385799999999997</v>
      </c>
      <c r="P4155">
        <v>0.48630200000000001</v>
      </c>
      <c r="Q4155">
        <v>0.15009600000000001</v>
      </c>
    </row>
    <row r="4156" spans="1:17" x14ac:dyDescent="0.25">
      <c r="A4156" t="str">
        <f>IF(C4156&amp;G4156&amp;D4156&lt;&gt;'Funnel setup'!$K$3&amp;'Funnel setup'!$K$4&amp;'Funnel setup'!$K$6,".",IF(A4155=".",1,A4155+1))</f>
        <v>.</v>
      </c>
      <c r="B4156" s="244" t="str">
        <f t="shared" si="64"/>
        <v>Total Hip ReplacementProviderTORBAY AND SOUTH DEVON NHS FOUNDATION TRUST (RA9)EQ-5D Index</v>
      </c>
      <c r="C4156" t="s">
        <v>974</v>
      </c>
      <c r="D4156" t="s">
        <v>965</v>
      </c>
      <c r="E4156" t="s">
        <v>668</v>
      </c>
      <c r="F4156" t="s">
        <v>669</v>
      </c>
      <c r="G4156" t="s">
        <v>963</v>
      </c>
      <c r="H4156">
        <v>12</v>
      </c>
      <c r="I4156">
        <v>0.129333</v>
      </c>
      <c r="J4156">
        <v>0.75216700000000003</v>
      </c>
      <c r="K4156">
        <v>0.62283299999999997</v>
      </c>
      <c r="L4156">
        <v>11</v>
      </c>
      <c r="M4156">
        <v>0</v>
      </c>
      <c r="N4156">
        <v>1</v>
      </c>
      <c r="O4156" t="s">
        <v>127</v>
      </c>
      <c r="P4156" t="s">
        <v>127</v>
      </c>
      <c r="Q4156" t="s">
        <v>127</v>
      </c>
    </row>
    <row r="4157" spans="1:17" x14ac:dyDescent="0.25">
      <c r="A4157" t="str">
        <f>IF(C4157&amp;G4157&amp;D4157&lt;&gt;'Funnel setup'!$K$3&amp;'Funnel setup'!$K$4&amp;'Funnel setup'!$K$6,".",IF(A4156=".",1,A4156+1))</f>
        <v>.</v>
      </c>
      <c r="B4157" s="244" t="str">
        <f t="shared" si="64"/>
        <v>Total Hip ReplacementProviderUNITED LINCOLNSHIRE HOSPITALS NHS TRUST (RWD)EQ-5D Index</v>
      </c>
      <c r="C4157" t="s">
        <v>974</v>
      </c>
      <c r="D4157" t="s">
        <v>965</v>
      </c>
      <c r="E4157" t="s">
        <v>672</v>
      </c>
      <c r="F4157" t="s">
        <v>673</v>
      </c>
      <c r="G4157" t="s">
        <v>963</v>
      </c>
      <c r="H4157">
        <v>22</v>
      </c>
      <c r="I4157">
        <v>0.212227</v>
      </c>
      <c r="J4157">
        <v>0.75781799999999999</v>
      </c>
      <c r="K4157">
        <v>0.54559100000000005</v>
      </c>
      <c r="L4157">
        <v>19</v>
      </c>
      <c r="M4157">
        <v>2</v>
      </c>
      <c r="N4157">
        <v>1</v>
      </c>
      <c r="O4157" t="s">
        <v>127</v>
      </c>
      <c r="P4157" t="s">
        <v>127</v>
      </c>
      <c r="Q4157" t="s">
        <v>127</v>
      </c>
    </row>
    <row r="4158" spans="1:17" x14ac:dyDescent="0.25">
      <c r="A4158" t="str">
        <f>IF(C4158&amp;G4158&amp;D4158&lt;&gt;'Funnel setup'!$K$3&amp;'Funnel setup'!$K$4&amp;'Funnel setup'!$K$6,".",IF(A4157=".",1,A4157+1))</f>
        <v>.</v>
      </c>
      <c r="B4158" s="244" t="str">
        <f t="shared" si="64"/>
        <v>Total Hip ReplacementProviderUNIVERSITY COLLEGE LONDON HOSPITALS NHS FOUNDATION TRUST (RRV)EQ-5D Index</v>
      </c>
      <c r="C4158" t="s">
        <v>974</v>
      </c>
      <c r="D4158" t="s">
        <v>965</v>
      </c>
      <c r="E4158" t="s">
        <v>674</v>
      </c>
      <c r="F4158" t="s">
        <v>675</v>
      </c>
      <c r="G4158" t="s">
        <v>963</v>
      </c>
      <c r="H4158">
        <v>147</v>
      </c>
      <c r="I4158">
        <v>0.41571399999999997</v>
      </c>
      <c r="J4158">
        <v>0.79021799999999998</v>
      </c>
      <c r="K4158">
        <v>0.37450299999999997</v>
      </c>
      <c r="L4158">
        <v>124</v>
      </c>
      <c r="M4158">
        <v>14</v>
      </c>
      <c r="N4158">
        <v>9</v>
      </c>
      <c r="O4158">
        <v>0.77756499999999995</v>
      </c>
      <c r="P4158">
        <v>0.45000899999999999</v>
      </c>
      <c r="Q4158">
        <v>0.23924300000000001</v>
      </c>
    </row>
    <row r="4159" spans="1:17" x14ac:dyDescent="0.25">
      <c r="A4159" t="str">
        <f>IF(C4159&amp;G4159&amp;D4159&lt;&gt;'Funnel setup'!$K$3&amp;'Funnel setup'!$K$4&amp;'Funnel setup'!$K$6,".",IF(A4158=".",1,A4158+1))</f>
        <v>.</v>
      </c>
      <c r="B4159" s="244" t="str">
        <f t="shared" si="64"/>
        <v>Total Hip ReplacementProviderUNIVERSITY HOSPITAL SOUTHAMPTON NHS FOUNDATION TRUST (RHM)EQ-5D Index</v>
      </c>
      <c r="C4159" t="s">
        <v>974</v>
      </c>
      <c r="D4159" t="s">
        <v>965</v>
      </c>
      <c r="E4159" t="s">
        <v>676</v>
      </c>
      <c r="F4159" t="s">
        <v>677</v>
      </c>
      <c r="G4159" t="s">
        <v>963</v>
      </c>
      <c r="H4159">
        <v>104</v>
      </c>
      <c r="I4159">
        <v>0.32726899999999998</v>
      </c>
      <c r="J4159">
        <v>0.74083699999999997</v>
      </c>
      <c r="K4159">
        <v>0.41356700000000002</v>
      </c>
      <c r="L4159">
        <v>85</v>
      </c>
      <c r="M4159">
        <v>9</v>
      </c>
      <c r="N4159">
        <v>10</v>
      </c>
      <c r="O4159">
        <v>0.76822699999999999</v>
      </c>
      <c r="P4159">
        <v>0.44067099999999998</v>
      </c>
      <c r="Q4159">
        <v>0.244973</v>
      </c>
    </row>
    <row r="4160" spans="1:17" x14ac:dyDescent="0.25">
      <c r="A4160" t="str">
        <f>IF(C4160&amp;G4160&amp;D4160&lt;&gt;'Funnel setup'!$K$3&amp;'Funnel setup'!$K$4&amp;'Funnel setup'!$K$6,".",IF(A4159=".",1,A4159+1))</f>
        <v>.</v>
      </c>
      <c r="B4160" s="244" t="str">
        <f t="shared" si="64"/>
        <v>Total Hip ReplacementProviderUNIVERSITY HOSPITALS BRISTOL AND WESTON NHS FOUNDATION TRUST (RA7)EQ-5D Index</v>
      </c>
      <c r="C4160" t="s">
        <v>974</v>
      </c>
      <c r="D4160" t="s">
        <v>965</v>
      </c>
      <c r="E4160" t="s">
        <v>680</v>
      </c>
      <c r="F4160" t="s">
        <v>681</v>
      </c>
      <c r="G4160" t="s">
        <v>963</v>
      </c>
      <c r="H4160">
        <v>15</v>
      </c>
      <c r="I4160">
        <v>0.18241199999999999</v>
      </c>
      <c r="J4160">
        <v>0.79217599999999999</v>
      </c>
      <c r="K4160">
        <v>0.609765</v>
      </c>
      <c r="L4160">
        <v>15</v>
      </c>
      <c r="M4160">
        <v>0</v>
      </c>
      <c r="N4160">
        <v>0</v>
      </c>
      <c r="O4160" t="s">
        <v>127</v>
      </c>
      <c r="P4160" t="s">
        <v>127</v>
      </c>
      <c r="Q4160" t="s">
        <v>127</v>
      </c>
    </row>
    <row r="4161" spans="1:17" x14ac:dyDescent="0.25">
      <c r="A4161" t="str">
        <f>IF(C4161&amp;G4161&amp;D4161&lt;&gt;'Funnel setup'!$K$3&amp;'Funnel setup'!$K$4&amp;'Funnel setup'!$K$6,".",IF(A4160=".",1,A4160+1))</f>
        <v>.</v>
      </c>
      <c r="B4161" s="244" t="str">
        <f t="shared" si="64"/>
        <v>Total Hip ReplacementProviderUNIVERSITY HOSPITALS COVENTRY AND WARWICKSHIRE NHS TRUST (RKB)EQ-5D Index</v>
      </c>
      <c r="C4161" t="s">
        <v>974</v>
      </c>
      <c r="D4161" t="s">
        <v>965</v>
      </c>
      <c r="E4161" t="s">
        <v>682</v>
      </c>
      <c r="F4161" t="s">
        <v>683</v>
      </c>
      <c r="G4161" t="s">
        <v>963</v>
      </c>
      <c r="H4161">
        <v>25</v>
      </c>
      <c r="I4161">
        <v>0.33800000000000002</v>
      </c>
      <c r="J4161">
        <v>0.76712000000000002</v>
      </c>
      <c r="K4161">
        <v>0.42912</v>
      </c>
      <c r="L4161">
        <v>21</v>
      </c>
      <c r="M4161">
        <v>3</v>
      </c>
      <c r="N4161">
        <v>1</v>
      </c>
      <c r="O4161" t="s">
        <v>127</v>
      </c>
      <c r="P4161" t="s">
        <v>127</v>
      </c>
      <c r="Q4161" t="s">
        <v>127</v>
      </c>
    </row>
    <row r="4162" spans="1:17" x14ac:dyDescent="0.25">
      <c r="A4162" t="str">
        <f>IF(C4162&amp;G4162&amp;D4162&lt;&gt;'Funnel setup'!$K$3&amp;'Funnel setup'!$K$4&amp;'Funnel setup'!$K$6,".",IF(A4161=".",1,A4161+1))</f>
        <v>.</v>
      </c>
      <c r="B4162" s="244" t="str">
        <f t="shared" ref="B4162:B4225" si="65">C4162&amp;D4162&amp;F4162&amp;G4162</f>
        <v>Total Hip ReplacementProviderUNIVERSITY HOSPITAL DORSET NHS FUNDATION TRUST (R0D)EQ-5D Index</v>
      </c>
      <c r="C4162" t="s">
        <v>974</v>
      </c>
      <c r="D4162" t="s">
        <v>965</v>
      </c>
      <c r="E4162" t="s">
        <v>684</v>
      </c>
      <c r="F4162" t="s">
        <v>966</v>
      </c>
      <c r="G4162" t="s">
        <v>963</v>
      </c>
      <c r="H4162">
        <v>216</v>
      </c>
      <c r="I4162">
        <v>0.35422199999999998</v>
      </c>
      <c r="J4162">
        <v>0.81228199999999995</v>
      </c>
      <c r="K4162">
        <v>0.45806000000000002</v>
      </c>
      <c r="L4162">
        <v>196</v>
      </c>
      <c r="M4162">
        <v>12</v>
      </c>
      <c r="N4162">
        <v>8</v>
      </c>
      <c r="O4162">
        <v>0.80107200000000001</v>
      </c>
      <c r="P4162">
        <v>0.47351599999999999</v>
      </c>
      <c r="Q4162">
        <v>0.22423000000000001</v>
      </c>
    </row>
    <row r="4163" spans="1:17" x14ac:dyDescent="0.25">
      <c r="A4163" t="str">
        <f>IF(C4163&amp;G4163&amp;D4163&lt;&gt;'Funnel setup'!$K$3&amp;'Funnel setup'!$K$4&amp;'Funnel setup'!$K$6,".",IF(A4162=".",1,A4162+1))</f>
        <v>.</v>
      </c>
      <c r="B4163" s="244" t="str">
        <f t="shared" si="65"/>
        <v>Total Hip ReplacementProviderUNIVERSITY HOSPITALS OF DERBY AND BURTON NHS FOUNDATION TRUST (RTG)EQ-5D Index</v>
      </c>
      <c r="C4163" t="s">
        <v>974</v>
      </c>
      <c r="D4163" t="s">
        <v>965</v>
      </c>
      <c r="E4163" t="s">
        <v>686</v>
      </c>
      <c r="F4163" t="s">
        <v>687</v>
      </c>
      <c r="G4163" t="s">
        <v>963</v>
      </c>
      <c r="H4163">
        <v>348</v>
      </c>
      <c r="I4163">
        <v>0.27051399999999998</v>
      </c>
      <c r="J4163">
        <v>0.75164900000000001</v>
      </c>
      <c r="K4163">
        <v>0.48113499999999998</v>
      </c>
      <c r="L4163">
        <v>308</v>
      </c>
      <c r="M4163">
        <v>20</v>
      </c>
      <c r="N4163">
        <v>20</v>
      </c>
      <c r="O4163">
        <v>0.77763899999999997</v>
      </c>
      <c r="P4163">
        <v>0.45008300000000001</v>
      </c>
      <c r="Q4163">
        <v>0.227822</v>
      </c>
    </row>
    <row r="4164" spans="1:17" x14ac:dyDescent="0.25">
      <c r="A4164" t="str">
        <f>IF(C4164&amp;G4164&amp;D4164&lt;&gt;'Funnel setup'!$K$3&amp;'Funnel setup'!$K$4&amp;'Funnel setup'!$K$6,".",IF(A4163=".",1,A4163+1))</f>
        <v>.</v>
      </c>
      <c r="B4164" s="244" t="str">
        <f t="shared" si="65"/>
        <v>Total Hip ReplacementProviderUNIVERSITY HOSPITALS OF LEICESTER NHS TRUST (RWE)EQ-5D Index</v>
      </c>
      <c r="C4164" t="s">
        <v>974</v>
      </c>
      <c r="D4164" t="s">
        <v>965</v>
      </c>
      <c r="E4164" t="s">
        <v>688</v>
      </c>
      <c r="F4164" t="s">
        <v>689</v>
      </c>
      <c r="G4164" t="s">
        <v>963</v>
      </c>
      <c r="H4164">
        <v>111</v>
      </c>
      <c r="I4164">
        <v>0.22923399999999999</v>
      </c>
      <c r="J4164">
        <v>0.73596399999999995</v>
      </c>
      <c r="K4164">
        <v>0.50673000000000001</v>
      </c>
      <c r="L4164">
        <v>100</v>
      </c>
      <c r="M4164">
        <v>6</v>
      </c>
      <c r="N4164">
        <v>5</v>
      </c>
      <c r="O4164">
        <v>0.77989600000000003</v>
      </c>
      <c r="P4164">
        <v>0.45234000000000002</v>
      </c>
      <c r="Q4164">
        <v>0.23327200000000001</v>
      </c>
    </row>
    <row r="4165" spans="1:17" x14ac:dyDescent="0.25">
      <c r="A4165" t="str">
        <f>IF(C4165&amp;G4165&amp;D4165&lt;&gt;'Funnel setup'!$K$3&amp;'Funnel setup'!$K$4&amp;'Funnel setup'!$K$6,".",IF(A4164=".",1,A4164+1))</f>
        <v>.</v>
      </c>
      <c r="B4165" s="244" t="str">
        <f t="shared" si="65"/>
        <v>Total Hip ReplacementProviderUNIVERSITY HOSPITALS OF MORECAMBE BAY NHS FOUNDATION TRUST (RTX)EQ-5D Index</v>
      </c>
      <c r="C4165" t="s">
        <v>974</v>
      </c>
      <c r="D4165" t="s">
        <v>965</v>
      </c>
      <c r="E4165" t="s">
        <v>690</v>
      </c>
      <c r="F4165" t="s">
        <v>691</v>
      </c>
      <c r="G4165" t="s">
        <v>963</v>
      </c>
      <c r="H4165">
        <v>179</v>
      </c>
      <c r="I4165">
        <v>0.31189899999999998</v>
      </c>
      <c r="J4165">
        <v>0.78591100000000003</v>
      </c>
      <c r="K4165">
        <v>0.47401100000000002</v>
      </c>
      <c r="L4165">
        <v>166</v>
      </c>
      <c r="M4165">
        <v>6</v>
      </c>
      <c r="N4165">
        <v>7</v>
      </c>
      <c r="O4165">
        <v>0.78405599999999998</v>
      </c>
      <c r="P4165">
        <v>0.45650000000000002</v>
      </c>
      <c r="Q4165">
        <v>0.20675099999999999</v>
      </c>
    </row>
    <row r="4166" spans="1:17" x14ac:dyDescent="0.25">
      <c r="A4166" t="str">
        <f>IF(C4166&amp;G4166&amp;D4166&lt;&gt;'Funnel setup'!$K$3&amp;'Funnel setup'!$K$4&amp;'Funnel setup'!$K$6,".",IF(A4165=".",1,A4165+1))</f>
        <v>.</v>
      </c>
      <c r="B4166" s="244" t="str">
        <f t="shared" si="65"/>
        <v>Total Hip ReplacementProviderUNIVERSITY HOSPITALS OF NORTH MIDLANDS NHS TRUST (RJE)EQ-5D Index</v>
      </c>
      <c r="C4166" t="s">
        <v>974</v>
      </c>
      <c r="D4166" t="s">
        <v>965</v>
      </c>
      <c r="E4166" t="s">
        <v>692</v>
      </c>
      <c r="F4166" t="s">
        <v>693</v>
      </c>
      <c r="G4166" t="s">
        <v>963</v>
      </c>
      <c r="H4166">
        <v>31</v>
      </c>
      <c r="I4166">
        <v>0.220806</v>
      </c>
      <c r="J4166">
        <v>0.75896799999999998</v>
      </c>
      <c r="K4166">
        <v>0.538161</v>
      </c>
      <c r="L4166">
        <v>29</v>
      </c>
      <c r="M4166">
        <v>2</v>
      </c>
      <c r="N4166">
        <v>0</v>
      </c>
      <c r="O4166">
        <v>0.80419399999999996</v>
      </c>
      <c r="P4166">
        <v>0.47663800000000001</v>
      </c>
      <c r="Q4166">
        <v>0.23269100000000001</v>
      </c>
    </row>
    <row r="4167" spans="1:17" x14ac:dyDescent="0.25">
      <c r="A4167" t="str">
        <f>IF(C4167&amp;G4167&amp;D4167&lt;&gt;'Funnel setup'!$K$3&amp;'Funnel setup'!$K$4&amp;'Funnel setup'!$K$6,".",IF(A4166=".",1,A4166+1))</f>
        <v>.</v>
      </c>
      <c r="B4167" s="244" t="str">
        <f t="shared" si="65"/>
        <v>Total Hip ReplacementProviderUNIVERSITY HOSPITALS PLYMOUTH NHS TRUST (RK9)EQ-5D Index</v>
      </c>
      <c r="C4167" t="s">
        <v>974</v>
      </c>
      <c r="D4167" t="s">
        <v>965</v>
      </c>
      <c r="E4167" t="s">
        <v>694</v>
      </c>
      <c r="F4167" t="s">
        <v>695</v>
      </c>
      <c r="G4167" t="s">
        <v>963</v>
      </c>
      <c r="H4167">
        <v>7</v>
      </c>
      <c r="I4167">
        <v>1.3428600000000001E-2</v>
      </c>
      <c r="J4167">
        <v>0.44228600000000001</v>
      </c>
      <c r="K4167">
        <v>0.42885699999999999</v>
      </c>
      <c r="L4167">
        <v>5</v>
      </c>
      <c r="M4167">
        <v>0</v>
      </c>
      <c r="N4167">
        <v>2</v>
      </c>
      <c r="O4167" t="s">
        <v>127</v>
      </c>
      <c r="P4167" t="s">
        <v>127</v>
      </c>
      <c r="Q4167" t="s">
        <v>127</v>
      </c>
    </row>
    <row r="4168" spans="1:17" x14ac:dyDescent="0.25">
      <c r="A4168" t="str">
        <f>IF(C4168&amp;G4168&amp;D4168&lt;&gt;'Funnel setup'!$K$3&amp;'Funnel setup'!$K$4&amp;'Funnel setup'!$K$6,".",IF(A4167=".",1,A4167+1))</f>
        <v>.</v>
      </c>
      <c r="B4168" s="244" t="str">
        <f t="shared" si="65"/>
        <v>Total Hip ReplacementProviderUNIVERSITY HOSPITALS SUSSEX NHS FOUNDATION TRUST (RYR)EQ-5D Index</v>
      </c>
      <c r="C4168" t="s">
        <v>974</v>
      </c>
      <c r="D4168" t="s">
        <v>965</v>
      </c>
      <c r="E4168" t="s">
        <v>696</v>
      </c>
      <c r="F4168" t="s">
        <v>697</v>
      </c>
      <c r="G4168" t="s">
        <v>963</v>
      </c>
      <c r="H4168">
        <v>145</v>
      </c>
      <c r="I4168">
        <v>0.31686199999999998</v>
      </c>
      <c r="J4168">
        <v>0.69716599999999995</v>
      </c>
      <c r="K4168">
        <v>0.380303</v>
      </c>
      <c r="L4168">
        <v>119</v>
      </c>
      <c r="M4168">
        <v>8</v>
      </c>
      <c r="N4168">
        <v>18</v>
      </c>
      <c r="O4168">
        <v>0.711843</v>
      </c>
      <c r="P4168">
        <v>0.38428699999999999</v>
      </c>
      <c r="Q4168">
        <v>0.27591900000000003</v>
      </c>
    </row>
    <row r="4169" spans="1:17" x14ac:dyDescent="0.25">
      <c r="A4169" t="str">
        <f>IF(C4169&amp;G4169&amp;D4169&lt;&gt;'Funnel setup'!$K$3&amp;'Funnel setup'!$K$4&amp;'Funnel setup'!$K$6,".",IF(A4168=".",1,A4168+1))</f>
        <v>.</v>
      </c>
      <c r="B4169" s="244" t="str">
        <f t="shared" si="65"/>
        <v>Total Hip ReplacementProviderWALSALL HEALTHCARE NHS TRUST (RBK)EQ-5D Index</v>
      </c>
      <c r="C4169" t="s">
        <v>974</v>
      </c>
      <c r="D4169" t="s">
        <v>965</v>
      </c>
      <c r="E4169" t="s">
        <v>698</v>
      </c>
      <c r="F4169" t="s">
        <v>699</v>
      </c>
      <c r="G4169" t="s">
        <v>963</v>
      </c>
      <c r="H4169">
        <v>14</v>
      </c>
      <c r="I4169">
        <v>0.27900000000000003</v>
      </c>
      <c r="J4169">
        <v>0.62107100000000004</v>
      </c>
      <c r="K4169">
        <v>0.34207100000000001</v>
      </c>
      <c r="L4169">
        <v>11</v>
      </c>
      <c r="M4169">
        <v>2</v>
      </c>
      <c r="N4169">
        <v>1</v>
      </c>
      <c r="O4169" t="s">
        <v>127</v>
      </c>
      <c r="P4169" t="s">
        <v>127</v>
      </c>
      <c r="Q4169" t="s">
        <v>127</v>
      </c>
    </row>
    <row r="4170" spans="1:17" x14ac:dyDescent="0.25">
      <c r="A4170" t="str">
        <f>IF(C4170&amp;G4170&amp;D4170&lt;&gt;'Funnel setup'!$K$3&amp;'Funnel setup'!$K$4&amp;'Funnel setup'!$K$6,".",IF(A4169=".",1,A4169+1))</f>
        <v>.</v>
      </c>
      <c r="B4170" s="244" t="str">
        <f t="shared" si="65"/>
        <v>Total Hip ReplacementProviderWARRINGTON AND HALTON TEACHING HOSPITALS NHS FOUNDATION TRUST (RWW)EQ-5D Index</v>
      </c>
      <c r="C4170" t="s">
        <v>974</v>
      </c>
      <c r="D4170" t="s">
        <v>965</v>
      </c>
      <c r="E4170" t="s">
        <v>700</v>
      </c>
      <c r="F4170" t="s">
        <v>701</v>
      </c>
      <c r="G4170" t="s">
        <v>963</v>
      </c>
      <c r="H4170">
        <v>32</v>
      </c>
      <c r="I4170">
        <v>0.31962499999999999</v>
      </c>
      <c r="J4170">
        <v>0.73003099999999999</v>
      </c>
      <c r="K4170">
        <v>0.41040599999999999</v>
      </c>
      <c r="L4170">
        <v>28</v>
      </c>
      <c r="M4170">
        <v>2</v>
      </c>
      <c r="N4170">
        <v>2</v>
      </c>
      <c r="O4170">
        <v>0.74730700000000005</v>
      </c>
      <c r="P4170">
        <v>0.41975200000000001</v>
      </c>
      <c r="Q4170">
        <v>0.22936200000000001</v>
      </c>
    </row>
    <row r="4171" spans="1:17" x14ac:dyDescent="0.25">
      <c r="A4171" t="str">
        <f>IF(C4171&amp;G4171&amp;D4171&lt;&gt;'Funnel setup'!$K$3&amp;'Funnel setup'!$K$4&amp;'Funnel setup'!$K$6,".",IF(A4170=".",1,A4170+1))</f>
        <v>.</v>
      </c>
      <c r="B4171" s="244" t="str">
        <f t="shared" si="65"/>
        <v>Total Hip ReplacementProviderWEST HERTFORDSHIRE TEACHING HOSPITALS NHS TRUST (RWG)EQ-5D Index</v>
      </c>
      <c r="C4171" t="s">
        <v>974</v>
      </c>
      <c r="D4171" t="s">
        <v>965</v>
      </c>
      <c r="E4171" t="s">
        <v>702</v>
      </c>
      <c r="F4171" t="s">
        <v>703</v>
      </c>
      <c r="G4171" t="s">
        <v>963</v>
      </c>
      <c r="H4171">
        <v>91</v>
      </c>
      <c r="I4171">
        <v>0.27798899999999999</v>
      </c>
      <c r="J4171">
        <v>0.76051599999999997</v>
      </c>
      <c r="K4171">
        <v>0.48252699999999998</v>
      </c>
      <c r="L4171">
        <v>79</v>
      </c>
      <c r="M4171">
        <v>5</v>
      </c>
      <c r="N4171">
        <v>7</v>
      </c>
      <c r="O4171">
        <v>0.76602599999999998</v>
      </c>
      <c r="P4171">
        <v>0.43847000000000003</v>
      </c>
      <c r="Q4171">
        <v>0.24598700000000001</v>
      </c>
    </row>
    <row r="4172" spans="1:17" x14ac:dyDescent="0.25">
      <c r="A4172" t="str">
        <f>IF(C4172&amp;G4172&amp;D4172&lt;&gt;'Funnel setup'!$K$3&amp;'Funnel setup'!$K$4&amp;'Funnel setup'!$K$6,".",IF(A4171=".",1,A4171+1))</f>
        <v>.</v>
      </c>
      <c r="B4172" s="244" t="str">
        <f t="shared" si="65"/>
        <v>Total Hip ReplacementProviderWEST MIDLANDS HOSPITAL (NVC21)EQ-5D Index</v>
      </c>
      <c r="C4172" t="s">
        <v>974</v>
      </c>
      <c r="D4172" t="s">
        <v>965</v>
      </c>
      <c r="E4172" t="s">
        <v>704</v>
      </c>
      <c r="F4172" t="s">
        <v>705</v>
      </c>
      <c r="G4172" t="s">
        <v>963</v>
      </c>
      <c r="H4172">
        <v>79</v>
      </c>
      <c r="I4172">
        <v>0.34810099999999999</v>
      </c>
      <c r="J4172">
        <v>0.80641799999999997</v>
      </c>
      <c r="K4172">
        <v>0.458316</v>
      </c>
      <c r="L4172">
        <v>71</v>
      </c>
      <c r="M4172">
        <v>2</v>
      </c>
      <c r="N4172">
        <v>6</v>
      </c>
      <c r="O4172">
        <v>0.79765200000000003</v>
      </c>
      <c r="P4172">
        <v>0.47009600000000001</v>
      </c>
      <c r="Q4172">
        <v>0.220472</v>
      </c>
    </row>
    <row r="4173" spans="1:17" x14ac:dyDescent="0.25">
      <c r="A4173" t="str">
        <f>IF(C4173&amp;G4173&amp;D4173&lt;&gt;'Funnel setup'!$K$3&amp;'Funnel setup'!$K$4&amp;'Funnel setup'!$K$6,".",IF(A4172=".",1,A4172+1))</f>
        <v>.</v>
      </c>
      <c r="B4173" s="244" t="str">
        <f t="shared" si="65"/>
        <v>Total Hip ReplacementProviderWEST SUFFOLK NHS FOUNDATION TRUST (RGR)EQ-5D Index</v>
      </c>
      <c r="C4173" t="s">
        <v>974</v>
      </c>
      <c r="D4173" t="s">
        <v>965</v>
      </c>
      <c r="E4173" t="s">
        <v>706</v>
      </c>
      <c r="F4173" t="s">
        <v>707</v>
      </c>
      <c r="G4173" t="s">
        <v>963</v>
      </c>
      <c r="H4173">
        <v>121</v>
      </c>
      <c r="I4173">
        <v>0.23461199999999999</v>
      </c>
      <c r="J4173">
        <v>0.76266900000000004</v>
      </c>
      <c r="K4173">
        <v>0.52805800000000003</v>
      </c>
      <c r="L4173">
        <v>104</v>
      </c>
      <c r="M4173">
        <v>9</v>
      </c>
      <c r="N4173">
        <v>8</v>
      </c>
      <c r="O4173">
        <v>0.76318200000000003</v>
      </c>
      <c r="P4173">
        <v>0.43562600000000001</v>
      </c>
      <c r="Q4173">
        <v>0.24340700000000001</v>
      </c>
    </row>
    <row r="4174" spans="1:17" x14ac:dyDescent="0.25">
      <c r="A4174" t="str">
        <f>IF(C4174&amp;G4174&amp;D4174&lt;&gt;'Funnel setup'!$K$3&amp;'Funnel setup'!$K$4&amp;'Funnel setup'!$K$6,".",IF(A4173=".",1,A4173+1))</f>
        <v>.</v>
      </c>
      <c r="B4174" s="244" t="str">
        <f t="shared" si="65"/>
        <v>Total Hip ReplacementProviderWINFIELD HOSPITAL (NVC22)EQ-5D Index</v>
      </c>
      <c r="C4174" t="s">
        <v>974</v>
      </c>
      <c r="D4174" t="s">
        <v>965</v>
      </c>
      <c r="E4174" t="s">
        <v>710</v>
      </c>
      <c r="F4174" t="s">
        <v>711</v>
      </c>
      <c r="G4174" t="s">
        <v>963</v>
      </c>
      <c r="H4174">
        <v>46</v>
      </c>
      <c r="I4174">
        <v>0.33534799999999998</v>
      </c>
      <c r="J4174">
        <v>0.79056499999999996</v>
      </c>
      <c r="K4174">
        <v>0.45521699999999998</v>
      </c>
      <c r="L4174">
        <v>44</v>
      </c>
      <c r="M4174">
        <v>0</v>
      </c>
      <c r="N4174">
        <v>2</v>
      </c>
      <c r="O4174">
        <v>0.76391600000000004</v>
      </c>
      <c r="P4174">
        <v>0.436361</v>
      </c>
      <c r="Q4174">
        <v>0.219417</v>
      </c>
    </row>
    <row r="4175" spans="1:17" x14ac:dyDescent="0.25">
      <c r="A4175" t="str">
        <f>IF(C4175&amp;G4175&amp;D4175&lt;&gt;'Funnel setup'!$K$3&amp;'Funnel setup'!$K$4&amp;'Funnel setup'!$K$6,".",IF(A4174=".",1,A4174+1))</f>
        <v>.</v>
      </c>
      <c r="B4175" s="244" t="str">
        <f t="shared" si="65"/>
        <v>Total Hip ReplacementProviderWINTERBOURNE HOSPITAL (NT443)EQ-5D Index</v>
      </c>
      <c r="C4175" t="s">
        <v>974</v>
      </c>
      <c r="D4175" t="s">
        <v>965</v>
      </c>
      <c r="E4175" t="s">
        <v>712</v>
      </c>
      <c r="F4175" t="s">
        <v>713</v>
      </c>
      <c r="G4175" t="s">
        <v>963</v>
      </c>
      <c r="H4175">
        <v>50</v>
      </c>
      <c r="I4175">
        <v>0.48409999999999997</v>
      </c>
      <c r="J4175">
        <v>0.83486000000000005</v>
      </c>
      <c r="K4175">
        <v>0.35076000000000002</v>
      </c>
      <c r="L4175">
        <v>42</v>
      </c>
      <c r="M4175">
        <v>3</v>
      </c>
      <c r="N4175">
        <v>5</v>
      </c>
      <c r="O4175">
        <v>0.787609</v>
      </c>
      <c r="P4175">
        <v>0.46005400000000002</v>
      </c>
      <c r="Q4175">
        <v>0.24721199999999999</v>
      </c>
    </row>
    <row r="4176" spans="1:17" x14ac:dyDescent="0.25">
      <c r="A4176" t="str">
        <f>IF(C4176&amp;G4176&amp;D4176&lt;&gt;'Funnel setup'!$K$3&amp;'Funnel setup'!$K$4&amp;'Funnel setup'!$K$6,".",IF(A4175=".",1,A4175+1))</f>
        <v>.</v>
      </c>
      <c r="B4176" s="244" t="str">
        <f t="shared" si="65"/>
        <v>Total Hip ReplacementProviderWIRRAL UNIVERSITY TEACHING HOSPITAL NHS FOUNDATION TRUST (RBL)EQ-5D Index</v>
      </c>
      <c r="C4176" t="s">
        <v>974</v>
      </c>
      <c r="D4176" t="s">
        <v>965</v>
      </c>
      <c r="E4176" t="s">
        <v>714</v>
      </c>
      <c r="F4176" t="s">
        <v>715</v>
      </c>
      <c r="G4176" t="s">
        <v>963</v>
      </c>
      <c r="H4176">
        <v>98</v>
      </c>
      <c r="I4176">
        <v>0.33984700000000001</v>
      </c>
      <c r="J4176">
        <v>0.76151000000000002</v>
      </c>
      <c r="K4176">
        <v>0.42166300000000001</v>
      </c>
      <c r="L4176">
        <v>85</v>
      </c>
      <c r="M4176">
        <v>11</v>
      </c>
      <c r="N4176">
        <v>2</v>
      </c>
      <c r="O4176">
        <v>0.75263100000000005</v>
      </c>
      <c r="P4176">
        <v>0.42507499999999998</v>
      </c>
      <c r="Q4176">
        <v>0.23458699999999999</v>
      </c>
    </row>
    <row r="4177" spans="1:17" x14ac:dyDescent="0.25">
      <c r="A4177" t="str">
        <f>IF(C4177&amp;G4177&amp;D4177&lt;&gt;'Funnel setup'!$K$3&amp;'Funnel setup'!$K$4&amp;'Funnel setup'!$K$6,".",IF(A4176=".",1,A4176+1))</f>
        <v>.</v>
      </c>
      <c r="B4177" s="244" t="str">
        <f t="shared" si="65"/>
        <v>Total Hip ReplacementProviderWOODLAND HOSPITAL (NVC23)EQ-5D Index</v>
      </c>
      <c r="C4177" t="s">
        <v>974</v>
      </c>
      <c r="D4177" t="s">
        <v>965</v>
      </c>
      <c r="E4177" t="s">
        <v>716</v>
      </c>
      <c r="F4177" t="s">
        <v>717</v>
      </c>
      <c r="G4177" t="s">
        <v>963</v>
      </c>
      <c r="H4177">
        <v>78</v>
      </c>
      <c r="I4177">
        <v>0.28784799999999999</v>
      </c>
      <c r="J4177">
        <v>0.74053199999999997</v>
      </c>
      <c r="K4177">
        <v>0.45268399999999998</v>
      </c>
      <c r="L4177">
        <v>70</v>
      </c>
      <c r="M4177">
        <v>3</v>
      </c>
      <c r="N4177">
        <v>5</v>
      </c>
      <c r="O4177">
        <v>0.72887599999999997</v>
      </c>
      <c r="P4177">
        <v>0.40132000000000001</v>
      </c>
      <c r="Q4177">
        <v>0.22615099999999999</v>
      </c>
    </row>
    <row r="4178" spans="1:17" x14ac:dyDescent="0.25">
      <c r="A4178" t="str">
        <f>IF(C4178&amp;G4178&amp;D4178&lt;&gt;'Funnel setup'!$K$3&amp;'Funnel setup'!$K$4&amp;'Funnel setup'!$K$6,".",IF(A4177=".",1,A4177+1))</f>
        <v>.</v>
      </c>
      <c r="B4178" s="244" t="str">
        <f t="shared" si="65"/>
        <v>Total Hip ReplacementProviderWOODLANDS HOSPITAL (NT457)EQ-5D Index</v>
      </c>
      <c r="C4178" t="s">
        <v>974</v>
      </c>
      <c r="D4178" t="s">
        <v>965</v>
      </c>
      <c r="E4178" t="s">
        <v>718</v>
      </c>
      <c r="F4178" t="s">
        <v>719</v>
      </c>
      <c r="G4178" t="s">
        <v>963</v>
      </c>
      <c r="H4178">
        <v>70</v>
      </c>
      <c r="I4178">
        <v>0.463563</v>
      </c>
      <c r="J4178">
        <v>0.85752099999999998</v>
      </c>
      <c r="K4178">
        <v>0.39395799999999997</v>
      </c>
      <c r="L4178">
        <v>64</v>
      </c>
      <c r="M4178">
        <v>4</v>
      </c>
      <c r="N4178">
        <v>2</v>
      </c>
      <c r="O4178">
        <v>0.78720999999999997</v>
      </c>
      <c r="P4178">
        <v>0.45965400000000001</v>
      </c>
      <c r="Q4178">
        <v>0.20289599999999999</v>
      </c>
    </row>
    <row r="4179" spans="1:17" x14ac:dyDescent="0.25">
      <c r="A4179" t="str">
        <f>IF(C4179&amp;G4179&amp;D4179&lt;&gt;'Funnel setup'!$K$3&amp;'Funnel setup'!$K$4&amp;'Funnel setup'!$K$6,".",IF(A4178=".",1,A4178+1))</f>
        <v>.</v>
      </c>
      <c r="B4179" s="244" t="str">
        <f t="shared" si="65"/>
        <v>Total Hip ReplacementProviderWOODTHORPE HOSPITAL (NVC40)EQ-5D Index</v>
      </c>
      <c r="C4179" t="s">
        <v>974</v>
      </c>
      <c r="D4179" t="s">
        <v>965</v>
      </c>
      <c r="E4179" t="s">
        <v>720</v>
      </c>
      <c r="F4179" t="s">
        <v>721</v>
      </c>
      <c r="G4179" t="s">
        <v>963</v>
      </c>
      <c r="H4179">
        <v>91</v>
      </c>
      <c r="I4179">
        <v>0.32559300000000002</v>
      </c>
      <c r="J4179">
        <v>0.78248399999999996</v>
      </c>
      <c r="K4179">
        <v>0.45689000000000002</v>
      </c>
      <c r="L4179">
        <v>82</v>
      </c>
      <c r="M4179">
        <v>4</v>
      </c>
      <c r="N4179">
        <v>5</v>
      </c>
      <c r="O4179">
        <v>0.765741</v>
      </c>
      <c r="P4179">
        <v>0.43818499999999999</v>
      </c>
      <c r="Q4179">
        <v>0.20947099999999999</v>
      </c>
    </row>
    <row r="4180" spans="1:17" x14ac:dyDescent="0.25">
      <c r="A4180" t="str">
        <f>IF(C4180&amp;G4180&amp;D4180&lt;&gt;'Funnel setup'!$K$3&amp;'Funnel setup'!$K$4&amp;'Funnel setup'!$K$6,".",IF(A4179=".",1,A4179+1))</f>
        <v>.</v>
      </c>
      <c r="B4180" s="244" t="str">
        <f t="shared" si="65"/>
        <v>Total Hip ReplacementProviderWORCESTERSHIRE ACUTE HOSPITALS NHS TRUST (RWP)EQ-5D Index</v>
      </c>
      <c r="C4180" t="s">
        <v>974</v>
      </c>
      <c r="D4180" t="s">
        <v>965</v>
      </c>
      <c r="E4180" t="s">
        <v>722</v>
      </c>
      <c r="F4180" t="s">
        <v>723</v>
      </c>
      <c r="G4180" t="s">
        <v>963</v>
      </c>
      <c r="H4180">
        <v>63</v>
      </c>
      <c r="I4180">
        <v>0.17399999999999999</v>
      </c>
      <c r="J4180">
        <v>0.71652400000000005</v>
      </c>
      <c r="K4180">
        <v>0.54252400000000001</v>
      </c>
      <c r="L4180">
        <v>55</v>
      </c>
      <c r="M4180">
        <v>3</v>
      </c>
      <c r="N4180">
        <v>5</v>
      </c>
      <c r="O4180">
        <v>0.78887200000000002</v>
      </c>
      <c r="P4180">
        <v>0.461316</v>
      </c>
      <c r="Q4180">
        <v>0.245336</v>
      </c>
    </row>
    <row r="4181" spans="1:17" x14ac:dyDescent="0.25">
      <c r="A4181" t="str">
        <f>IF(C4181&amp;G4181&amp;D4181&lt;&gt;'Funnel setup'!$K$3&amp;'Funnel setup'!$K$4&amp;'Funnel setup'!$K$6,".",IF(A4180=".",1,A4180+1))</f>
        <v>.</v>
      </c>
      <c r="B4181" s="244" t="str">
        <f t="shared" si="65"/>
        <v>Total Hip ReplacementProviderWRIGHTINGTON, WIGAN AND LEIGH NHS FOUNDATION TRUST (RRF)EQ-5D Index</v>
      </c>
      <c r="C4181" t="s">
        <v>974</v>
      </c>
      <c r="D4181" t="s">
        <v>965</v>
      </c>
      <c r="E4181" t="s">
        <v>724</v>
      </c>
      <c r="F4181" t="s">
        <v>725</v>
      </c>
      <c r="G4181" t="s">
        <v>963</v>
      </c>
      <c r="H4181">
        <v>17</v>
      </c>
      <c r="I4181">
        <v>0.26011800000000002</v>
      </c>
      <c r="J4181">
        <v>0.94023500000000004</v>
      </c>
      <c r="K4181">
        <v>0.680118</v>
      </c>
      <c r="L4181">
        <v>17</v>
      </c>
      <c r="M4181">
        <v>0</v>
      </c>
      <c r="N4181">
        <v>0</v>
      </c>
      <c r="O4181" t="s">
        <v>127</v>
      </c>
      <c r="P4181" t="s">
        <v>127</v>
      </c>
      <c r="Q4181" t="s">
        <v>127</v>
      </c>
    </row>
    <row r="4182" spans="1:17" x14ac:dyDescent="0.25">
      <c r="A4182" t="str">
        <f>IF(C4182&amp;G4182&amp;D4182&lt;&gt;'Funnel setup'!$K$3&amp;'Funnel setup'!$K$4&amp;'Funnel setup'!$K$6,".",IF(A4181=".",1,A4181+1))</f>
        <v>.</v>
      </c>
      <c r="B4182" s="244" t="str">
        <f t="shared" si="65"/>
        <v>Total Hip ReplacementProviderWYE VALLEY NHS TRUST (RLQ)EQ-5D Index</v>
      </c>
      <c r="C4182" t="s">
        <v>974</v>
      </c>
      <c r="D4182" t="s">
        <v>965</v>
      </c>
      <c r="E4182" t="s">
        <v>726</v>
      </c>
      <c r="F4182" t="s">
        <v>727</v>
      </c>
      <c r="G4182" t="s">
        <v>963</v>
      </c>
      <c r="H4182">
        <v>23</v>
      </c>
      <c r="I4182">
        <v>0.14047799999999999</v>
      </c>
      <c r="J4182">
        <v>0.73787000000000003</v>
      </c>
      <c r="K4182">
        <v>0.59739100000000001</v>
      </c>
      <c r="L4182">
        <v>22</v>
      </c>
      <c r="M4182">
        <v>1</v>
      </c>
      <c r="N4182">
        <v>0</v>
      </c>
      <c r="O4182" t="s">
        <v>127</v>
      </c>
      <c r="P4182" t="s">
        <v>127</v>
      </c>
      <c r="Q4182" t="s">
        <v>127</v>
      </c>
    </row>
    <row r="4183" spans="1:17" x14ac:dyDescent="0.25">
      <c r="A4183" t="str">
        <f>IF(C4183&amp;G4183&amp;D4183&lt;&gt;'Funnel setup'!$K$3&amp;'Funnel setup'!$K$4&amp;'Funnel setup'!$K$6,".",IF(A4182=".",1,A4182+1))</f>
        <v>.</v>
      </c>
      <c r="B4183" s="244" t="str">
        <f t="shared" si="65"/>
        <v>Total Hip ReplacementProviderYORK AND SCARBOROUGH TEACHING HOSPITALS NHS FOUNDATION TRUST (RCB)EQ-5D Index</v>
      </c>
      <c r="C4183" t="s">
        <v>974</v>
      </c>
      <c r="D4183" t="s">
        <v>965</v>
      </c>
      <c r="E4183" t="s">
        <v>730</v>
      </c>
      <c r="F4183" t="s">
        <v>731</v>
      </c>
      <c r="G4183" t="s">
        <v>963</v>
      </c>
      <c r="H4183">
        <v>1</v>
      </c>
      <c r="I4183">
        <v>-1.6E-2</v>
      </c>
      <c r="J4183">
        <v>0.62</v>
      </c>
      <c r="K4183">
        <v>0.63600000000000001</v>
      </c>
      <c r="L4183">
        <v>1</v>
      </c>
      <c r="M4183">
        <v>0</v>
      </c>
      <c r="N4183">
        <v>0</v>
      </c>
      <c r="O4183" t="s">
        <v>127</v>
      </c>
      <c r="P4183" t="s">
        <v>127</v>
      </c>
      <c r="Q4183" t="s">
        <v>127</v>
      </c>
    </row>
    <row r="4184" spans="1:17" x14ac:dyDescent="0.25">
      <c r="A4184">
        <f>IF(C4184&amp;G4184&amp;D4184&lt;&gt;'Funnel setup'!$K$3&amp;'Funnel setup'!$K$4&amp;'Funnel setup'!$K$6,".",IF(A4183=".",1,A4183+1))</f>
        <v>1</v>
      </c>
      <c r="B4184" s="244" t="str">
        <f t="shared" si="65"/>
        <v>Total Hip ReplacementProviderSULIS HOSPITAL BATHOxford Hip Score</v>
      </c>
      <c r="C4184" t="s">
        <v>974</v>
      </c>
      <c r="D4184" t="s">
        <v>965</v>
      </c>
      <c r="E4184" t="s">
        <v>732</v>
      </c>
      <c r="F4184" t="s">
        <v>1325</v>
      </c>
      <c r="G4184" t="s">
        <v>964</v>
      </c>
      <c r="H4184">
        <v>37</v>
      </c>
      <c r="I4184">
        <v>17.216200000000001</v>
      </c>
      <c r="J4184">
        <v>41.378399999999999</v>
      </c>
      <c r="K4184">
        <v>24.162199999999999</v>
      </c>
      <c r="L4184">
        <v>37</v>
      </c>
      <c r="M4184">
        <v>0</v>
      </c>
      <c r="N4184">
        <v>0</v>
      </c>
      <c r="O4184">
        <v>40.436599999999999</v>
      </c>
      <c r="P4184">
        <v>23.225100000000001</v>
      </c>
      <c r="Q4184">
        <v>7.6871200000000002</v>
      </c>
    </row>
    <row r="4185" spans="1:17" x14ac:dyDescent="0.25">
      <c r="A4185">
        <f>IF(C4185&amp;G4185&amp;D4185&lt;&gt;'Funnel setup'!$K$3&amp;'Funnel setup'!$K$4&amp;'Funnel setup'!$K$6,".",IF(A4184=".",1,A4184+1))</f>
        <v>2</v>
      </c>
      <c r="B4185" s="244" t="str">
        <f t="shared" si="65"/>
        <v>Total Hip ReplacementProviderAIREDALE NHS FOUNDATION TRUST (RCF)Oxford Hip Score</v>
      </c>
      <c r="C4185" t="s">
        <v>974</v>
      </c>
      <c r="D4185" t="s">
        <v>965</v>
      </c>
      <c r="E4185" t="s">
        <v>125</v>
      </c>
      <c r="F4185" t="s">
        <v>126</v>
      </c>
      <c r="G4185" t="s">
        <v>964</v>
      </c>
      <c r="H4185">
        <v>42</v>
      </c>
      <c r="I4185">
        <v>16.619</v>
      </c>
      <c r="J4185">
        <v>39.381</v>
      </c>
      <c r="K4185">
        <v>22.761900000000001</v>
      </c>
      <c r="L4185">
        <v>40</v>
      </c>
      <c r="M4185">
        <v>0</v>
      </c>
      <c r="N4185">
        <v>2</v>
      </c>
      <c r="O4185">
        <v>39.961599999999997</v>
      </c>
      <c r="P4185">
        <v>22.7502</v>
      </c>
      <c r="Q4185">
        <v>9.0234799999999993</v>
      </c>
    </row>
    <row r="4186" spans="1:17" x14ac:dyDescent="0.25">
      <c r="A4186">
        <f>IF(C4186&amp;G4186&amp;D4186&lt;&gt;'Funnel setup'!$K$3&amp;'Funnel setup'!$K$4&amp;'Funnel setup'!$K$6,".",IF(A4185=".",1,A4185+1))</f>
        <v>3</v>
      </c>
      <c r="B4186" s="244" t="str">
        <f t="shared" si="65"/>
        <v>Total Hip ReplacementProviderALEXANDRA HOSPITAL (NT401)Oxford Hip Score</v>
      </c>
      <c r="C4186" t="s">
        <v>974</v>
      </c>
      <c r="D4186" t="s">
        <v>965</v>
      </c>
      <c r="E4186" t="s">
        <v>130</v>
      </c>
      <c r="F4186" t="s">
        <v>131</v>
      </c>
      <c r="G4186" t="s">
        <v>964</v>
      </c>
      <c r="H4186">
        <v>30</v>
      </c>
      <c r="I4186">
        <v>18.7</v>
      </c>
      <c r="J4186">
        <v>42.133299999999998</v>
      </c>
      <c r="K4186">
        <v>23.433299999999999</v>
      </c>
      <c r="L4186">
        <v>30</v>
      </c>
      <c r="M4186">
        <v>0</v>
      </c>
      <c r="N4186">
        <v>0</v>
      </c>
      <c r="O4186">
        <v>40.639600000000002</v>
      </c>
      <c r="P4186">
        <v>23.428100000000001</v>
      </c>
      <c r="Q4186">
        <v>6.1445400000000001</v>
      </c>
    </row>
    <row r="4187" spans="1:17" x14ac:dyDescent="0.25">
      <c r="A4187">
        <f>IF(C4187&amp;G4187&amp;D4187&lt;&gt;'Funnel setup'!$K$3&amp;'Funnel setup'!$K$4&amp;'Funnel setup'!$K$6,".",IF(A4186=".",1,A4186+1))</f>
        <v>4</v>
      </c>
      <c r="B4187" s="244" t="str">
        <f t="shared" si="65"/>
        <v>Total Hip ReplacementProviderASHFORD AND ST PETER'S HOSPITALS NHS FOUNDATION TRUST (RTK)Oxford Hip Score</v>
      </c>
      <c r="C4187" t="s">
        <v>974</v>
      </c>
      <c r="D4187" t="s">
        <v>965</v>
      </c>
      <c r="E4187" t="s">
        <v>132</v>
      </c>
      <c r="F4187" t="s">
        <v>133</v>
      </c>
      <c r="G4187" t="s">
        <v>964</v>
      </c>
      <c r="H4187">
        <v>68</v>
      </c>
      <c r="I4187">
        <v>18.720600000000001</v>
      </c>
      <c r="J4187">
        <v>41.985300000000002</v>
      </c>
      <c r="K4187">
        <v>23.264700000000001</v>
      </c>
      <c r="L4187">
        <v>67</v>
      </c>
      <c r="M4187">
        <v>1</v>
      </c>
      <c r="N4187">
        <v>0</v>
      </c>
      <c r="O4187">
        <v>40.5137</v>
      </c>
      <c r="P4187">
        <v>23.302299999999999</v>
      </c>
      <c r="Q4187">
        <v>6.2040699999999998</v>
      </c>
    </row>
    <row r="4188" spans="1:17" x14ac:dyDescent="0.25">
      <c r="A4188">
        <f>IF(C4188&amp;G4188&amp;D4188&lt;&gt;'Funnel setup'!$K$3&amp;'Funnel setup'!$K$4&amp;'Funnel setup'!$K$6,".",IF(A4187=".",1,A4187+1))</f>
        <v>5</v>
      </c>
      <c r="B4188" s="244" t="str">
        <f t="shared" si="65"/>
        <v>Total Hip ReplacementProviderASHTEAD HOSPITAL (NVC01)Oxford Hip Score</v>
      </c>
      <c r="C4188" t="s">
        <v>974</v>
      </c>
      <c r="D4188" t="s">
        <v>965</v>
      </c>
      <c r="E4188" t="s">
        <v>134</v>
      </c>
      <c r="F4188" t="s">
        <v>135</v>
      </c>
      <c r="G4188" t="s">
        <v>964</v>
      </c>
      <c r="H4188">
        <v>12</v>
      </c>
      <c r="I4188">
        <v>20.083300000000001</v>
      </c>
      <c r="J4188">
        <v>44.333300000000001</v>
      </c>
      <c r="K4188">
        <v>24.25</v>
      </c>
      <c r="L4188">
        <v>12</v>
      </c>
      <c r="M4188">
        <v>0</v>
      </c>
      <c r="N4188">
        <v>0</v>
      </c>
      <c r="O4188" t="s">
        <v>127</v>
      </c>
      <c r="P4188" t="s">
        <v>127</v>
      </c>
      <c r="Q4188" t="s">
        <v>127</v>
      </c>
    </row>
    <row r="4189" spans="1:17" x14ac:dyDescent="0.25">
      <c r="A4189">
        <f>IF(C4189&amp;G4189&amp;D4189&lt;&gt;'Funnel setup'!$K$3&amp;'Funnel setup'!$K$4&amp;'Funnel setup'!$K$6,".",IF(A4188=".",1,A4188+1))</f>
        <v>6</v>
      </c>
      <c r="B4189" s="244" t="str">
        <f t="shared" si="65"/>
        <v>Total Hip ReplacementProviderBARKING, HAVERING AND REDBRIDGE UNIVERSITY HOSPITALS NHS TRUST (RF4)Oxford Hip Score</v>
      </c>
      <c r="C4189" t="s">
        <v>974</v>
      </c>
      <c r="D4189" t="s">
        <v>965</v>
      </c>
      <c r="E4189" t="s">
        <v>144</v>
      </c>
      <c r="F4189" t="s">
        <v>145</v>
      </c>
      <c r="G4189" t="s">
        <v>964</v>
      </c>
      <c r="H4189">
        <v>57</v>
      </c>
      <c r="I4189">
        <v>12.807</v>
      </c>
      <c r="J4189">
        <v>34.280700000000003</v>
      </c>
      <c r="K4189">
        <v>21.473700000000001</v>
      </c>
      <c r="L4189">
        <v>57</v>
      </c>
      <c r="M4189">
        <v>0</v>
      </c>
      <c r="N4189">
        <v>0</v>
      </c>
      <c r="O4189">
        <v>36.7502</v>
      </c>
      <c r="P4189">
        <v>19.538699999999999</v>
      </c>
      <c r="Q4189">
        <v>9.7624200000000005</v>
      </c>
    </row>
    <row r="4190" spans="1:17" x14ac:dyDescent="0.25">
      <c r="A4190">
        <f>IF(C4190&amp;G4190&amp;D4190&lt;&gt;'Funnel setup'!$K$3&amp;'Funnel setup'!$K$4&amp;'Funnel setup'!$K$6,".",IF(A4189=".",1,A4189+1))</f>
        <v>7</v>
      </c>
      <c r="B4190" s="244" t="str">
        <f t="shared" si="65"/>
        <v>Total Hip ReplacementProviderBARNSLEY HOSPITAL NHS FOUNDATION TRUST (RFF)Oxford Hip Score</v>
      </c>
      <c r="C4190" t="s">
        <v>974</v>
      </c>
      <c r="D4190" t="s">
        <v>965</v>
      </c>
      <c r="E4190" t="s">
        <v>146</v>
      </c>
      <c r="F4190" t="s">
        <v>147</v>
      </c>
      <c r="G4190" t="s">
        <v>964</v>
      </c>
      <c r="H4190">
        <v>45</v>
      </c>
      <c r="I4190">
        <v>14.3111</v>
      </c>
      <c r="J4190">
        <v>35.977800000000002</v>
      </c>
      <c r="K4190">
        <v>21.666699999999999</v>
      </c>
      <c r="L4190">
        <v>43</v>
      </c>
      <c r="M4190">
        <v>0</v>
      </c>
      <c r="N4190">
        <v>2</v>
      </c>
      <c r="O4190">
        <v>38.479500000000002</v>
      </c>
      <c r="P4190">
        <v>21.2681</v>
      </c>
      <c r="Q4190">
        <v>8.7171900000000004</v>
      </c>
    </row>
    <row r="4191" spans="1:17" x14ac:dyDescent="0.25">
      <c r="A4191">
        <f>IF(C4191&amp;G4191&amp;D4191&lt;&gt;'Funnel setup'!$K$3&amp;'Funnel setup'!$K$4&amp;'Funnel setup'!$K$6,".",IF(A4190=".",1,A4190+1))</f>
        <v>8</v>
      </c>
      <c r="B4191" s="244" t="str">
        <f t="shared" si="65"/>
        <v>Total Hip ReplacementProviderBARTS HEALTH NHS TRUST (R1H)Oxford Hip Score</v>
      </c>
      <c r="C4191" t="s">
        <v>974</v>
      </c>
      <c r="D4191" t="s">
        <v>965</v>
      </c>
      <c r="E4191" t="s">
        <v>148</v>
      </c>
      <c r="F4191" t="s">
        <v>149</v>
      </c>
      <c r="G4191" t="s">
        <v>964</v>
      </c>
      <c r="H4191">
        <v>41</v>
      </c>
      <c r="I4191">
        <v>18.2683</v>
      </c>
      <c r="J4191">
        <v>38.0732</v>
      </c>
      <c r="K4191">
        <v>19.8049</v>
      </c>
      <c r="L4191">
        <v>40</v>
      </c>
      <c r="M4191">
        <v>0</v>
      </c>
      <c r="N4191">
        <v>1</v>
      </c>
      <c r="O4191">
        <v>38.071199999999997</v>
      </c>
      <c r="P4191">
        <v>20.8598</v>
      </c>
      <c r="Q4191">
        <v>8.3608600000000006</v>
      </c>
    </row>
    <row r="4192" spans="1:17" x14ac:dyDescent="0.25">
      <c r="A4192">
        <f>IF(C4192&amp;G4192&amp;D4192&lt;&gt;'Funnel setup'!$K$3&amp;'Funnel setup'!$K$4&amp;'Funnel setup'!$K$6,".",IF(A4191=".",1,A4191+1))</f>
        <v>9</v>
      </c>
      <c r="B4192" s="244" t="str">
        <f t="shared" si="65"/>
        <v>Total Hip ReplacementProviderBATH CLINIC (NT402)Oxford Hip Score</v>
      </c>
      <c r="C4192" t="s">
        <v>974</v>
      </c>
      <c r="D4192" t="s">
        <v>965</v>
      </c>
      <c r="E4192" t="s">
        <v>152</v>
      </c>
      <c r="F4192" t="s">
        <v>153</v>
      </c>
      <c r="G4192" t="s">
        <v>964</v>
      </c>
      <c r="H4192">
        <v>79</v>
      </c>
      <c r="I4192">
        <v>17.518999999999998</v>
      </c>
      <c r="J4192">
        <v>42.113900000000001</v>
      </c>
      <c r="K4192">
        <v>24.594899999999999</v>
      </c>
      <c r="L4192">
        <v>78</v>
      </c>
      <c r="M4192">
        <v>0</v>
      </c>
      <c r="N4192">
        <v>1</v>
      </c>
      <c r="O4192">
        <v>38.880800000000001</v>
      </c>
      <c r="P4192">
        <v>21.6694</v>
      </c>
      <c r="Q4192">
        <v>7.6151</v>
      </c>
    </row>
    <row r="4193" spans="1:17" x14ac:dyDescent="0.25">
      <c r="A4193">
        <f>IF(C4193&amp;G4193&amp;D4193&lt;&gt;'Funnel setup'!$K$3&amp;'Funnel setup'!$K$4&amp;'Funnel setup'!$K$6,".",IF(A4192=".",1,A4192+1))</f>
        <v>10</v>
      </c>
      <c r="B4193" s="244" t="str">
        <f t="shared" si="65"/>
        <v>Total Hip ReplacementProviderBEARDWOOD HOSPITAL (NT403)Oxford Hip Score</v>
      </c>
      <c r="C4193" t="s">
        <v>974</v>
      </c>
      <c r="D4193" t="s">
        <v>965</v>
      </c>
      <c r="E4193" t="s">
        <v>154</v>
      </c>
      <c r="F4193" t="s">
        <v>155</v>
      </c>
      <c r="G4193" t="s">
        <v>964</v>
      </c>
      <c r="H4193">
        <v>86</v>
      </c>
      <c r="I4193">
        <v>19.2791</v>
      </c>
      <c r="J4193">
        <v>41.7791</v>
      </c>
      <c r="K4193">
        <v>22.5</v>
      </c>
      <c r="L4193">
        <v>83</v>
      </c>
      <c r="M4193">
        <v>1</v>
      </c>
      <c r="N4193">
        <v>2</v>
      </c>
      <c r="O4193">
        <v>40.052100000000003</v>
      </c>
      <c r="P4193">
        <v>22.840599999999998</v>
      </c>
      <c r="Q4193">
        <v>6.8842800000000004</v>
      </c>
    </row>
    <row r="4194" spans="1:17" x14ac:dyDescent="0.25">
      <c r="A4194">
        <f>IF(C4194&amp;G4194&amp;D4194&lt;&gt;'Funnel setup'!$K$3&amp;'Funnel setup'!$K$4&amp;'Funnel setup'!$K$6,".",IF(A4193=".",1,A4193+1))</f>
        <v>11</v>
      </c>
      <c r="B4194" s="244" t="str">
        <f t="shared" si="65"/>
        <v>Total Hip ReplacementProviderBEAUMONT HOSPITAL (NT404)Oxford Hip Score</v>
      </c>
      <c r="C4194" t="s">
        <v>974</v>
      </c>
      <c r="D4194" t="s">
        <v>965</v>
      </c>
      <c r="E4194" t="s">
        <v>156</v>
      </c>
      <c r="F4194" t="s">
        <v>157</v>
      </c>
      <c r="G4194" t="s">
        <v>964</v>
      </c>
      <c r="H4194">
        <v>15</v>
      </c>
      <c r="I4194">
        <v>19.866700000000002</v>
      </c>
      <c r="J4194">
        <v>43.2</v>
      </c>
      <c r="K4194">
        <v>23.333300000000001</v>
      </c>
      <c r="L4194">
        <v>15</v>
      </c>
      <c r="M4194">
        <v>0</v>
      </c>
      <c r="N4194">
        <v>0</v>
      </c>
      <c r="O4194" t="s">
        <v>127</v>
      </c>
      <c r="P4194" t="s">
        <v>127</v>
      </c>
      <c r="Q4194" t="s">
        <v>127</v>
      </c>
    </row>
    <row r="4195" spans="1:17" x14ac:dyDescent="0.25">
      <c r="A4195">
        <f>IF(C4195&amp;G4195&amp;D4195&lt;&gt;'Funnel setup'!$K$3&amp;'Funnel setup'!$K$4&amp;'Funnel setup'!$K$6,".",IF(A4194=".",1,A4194+1))</f>
        <v>12</v>
      </c>
      <c r="B4195" s="244" t="str">
        <f t="shared" si="65"/>
        <v>Total Hip ReplacementProviderBEDFORDSHIRE HOSPITALS NHS FOUNDATION TRUST (RC9)Oxford Hip Score</v>
      </c>
      <c r="C4195" t="s">
        <v>974</v>
      </c>
      <c r="D4195" t="s">
        <v>965</v>
      </c>
      <c r="E4195" t="s">
        <v>158</v>
      </c>
      <c r="F4195" t="s">
        <v>159</v>
      </c>
      <c r="G4195" t="s">
        <v>964</v>
      </c>
      <c r="H4195">
        <v>131</v>
      </c>
      <c r="I4195">
        <v>15.6183</v>
      </c>
      <c r="J4195">
        <v>36.961799999999997</v>
      </c>
      <c r="K4195">
        <v>21.343499999999999</v>
      </c>
      <c r="L4195">
        <v>126</v>
      </c>
      <c r="M4195">
        <v>0</v>
      </c>
      <c r="N4195">
        <v>5</v>
      </c>
      <c r="O4195">
        <v>37.973199999999999</v>
      </c>
      <c r="P4195">
        <v>20.761800000000001</v>
      </c>
      <c r="Q4195">
        <v>9.4748599999999996</v>
      </c>
    </row>
    <row r="4196" spans="1:17" x14ac:dyDescent="0.25">
      <c r="A4196">
        <f>IF(C4196&amp;G4196&amp;D4196&lt;&gt;'Funnel setup'!$K$3&amp;'Funnel setup'!$K$4&amp;'Funnel setup'!$K$6,".",IF(A4195=".",1,A4195+1))</f>
        <v>13</v>
      </c>
      <c r="B4196" s="244" t="str">
        <f t="shared" si="65"/>
        <v>Total Hip ReplacementProviderBENENDEN HOSPITAL (NWF01)Oxford Hip Score</v>
      </c>
      <c r="C4196" t="s">
        <v>974</v>
      </c>
      <c r="D4196" t="s">
        <v>965</v>
      </c>
      <c r="E4196" t="s">
        <v>160</v>
      </c>
      <c r="F4196" t="s">
        <v>161</v>
      </c>
      <c r="G4196" t="s">
        <v>964</v>
      </c>
      <c r="H4196">
        <v>20</v>
      </c>
      <c r="I4196">
        <v>19.149999999999999</v>
      </c>
      <c r="J4196">
        <v>39.299999999999997</v>
      </c>
      <c r="K4196">
        <v>20.149999999999999</v>
      </c>
      <c r="L4196">
        <v>20</v>
      </c>
      <c r="M4196">
        <v>0</v>
      </c>
      <c r="N4196">
        <v>0</v>
      </c>
      <c r="O4196" t="s">
        <v>127</v>
      </c>
      <c r="P4196" t="s">
        <v>127</v>
      </c>
      <c r="Q4196" t="s">
        <v>127</v>
      </c>
    </row>
    <row r="4197" spans="1:17" x14ac:dyDescent="0.25">
      <c r="A4197">
        <f>IF(C4197&amp;G4197&amp;D4197&lt;&gt;'Funnel setup'!$K$3&amp;'Funnel setup'!$K$4&amp;'Funnel setup'!$K$6,".",IF(A4196=".",1,A4196+1))</f>
        <v>14</v>
      </c>
      <c r="B4197" s="244" t="str">
        <f t="shared" si="65"/>
        <v>Total Hip ReplacementProviderBISHOPS WOOD HOSPITAL (NT405)Oxford Hip Score</v>
      </c>
      <c r="C4197" t="s">
        <v>974</v>
      </c>
      <c r="D4197" t="s">
        <v>965</v>
      </c>
      <c r="E4197" t="s">
        <v>166</v>
      </c>
      <c r="F4197" t="s">
        <v>167</v>
      </c>
      <c r="G4197" t="s">
        <v>964</v>
      </c>
      <c r="H4197">
        <v>4</v>
      </c>
      <c r="I4197">
        <v>23.25</v>
      </c>
      <c r="J4197">
        <v>39.75</v>
      </c>
      <c r="K4197">
        <v>16.5</v>
      </c>
      <c r="L4197">
        <v>4</v>
      </c>
      <c r="M4197">
        <v>0</v>
      </c>
      <c r="N4197">
        <v>0</v>
      </c>
      <c r="O4197" t="s">
        <v>127</v>
      </c>
      <c r="P4197" t="s">
        <v>127</v>
      </c>
      <c r="Q4197" t="s">
        <v>127</v>
      </c>
    </row>
    <row r="4198" spans="1:17" x14ac:dyDescent="0.25">
      <c r="A4198">
        <f>IF(C4198&amp;G4198&amp;D4198&lt;&gt;'Funnel setup'!$K$3&amp;'Funnel setup'!$K$4&amp;'Funnel setup'!$K$6,".",IF(A4197=".",1,A4197+1))</f>
        <v>15</v>
      </c>
      <c r="B4198" s="244" t="str">
        <f t="shared" si="65"/>
        <v>Total Hip ReplacementProviderBLACKHEATH HOSPITAL (NT406)Oxford Hip Score</v>
      </c>
      <c r="C4198" t="s">
        <v>974</v>
      </c>
      <c r="D4198" t="s">
        <v>965</v>
      </c>
      <c r="E4198" t="s">
        <v>168</v>
      </c>
      <c r="F4198" t="s">
        <v>169</v>
      </c>
      <c r="G4198" t="s">
        <v>964</v>
      </c>
      <c r="H4198">
        <v>14</v>
      </c>
      <c r="I4198">
        <v>17.214300000000001</v>
      </c>
      <c r="J4198">
        <v>40.642899999999997</v>
      </c>
      <c r="K4198">
        <v>23.428599999999999</v>
      </c>
      <c r="L4198">
        <v>13</v>
      </c>
      <c r="M4198">
        <v>0</v>
      </c>
      <c r="N4198">
        <v>1</v>
      </c>
      <c r="O4198" t="s">
        <v>127</v>
      </c>
      <c r="P4198" t="s">
        <v>127</v>
      </c>
      <c r="Q4198" t="s">
        <v>127</v>
      </c>
    </row>
    <row r="4199" spans="1:17" x14ac:dyDescent="0.25">
      <c r="A4199">
        <f>IF(C4199&amp;G4199&amp;D4199&lt;&gt;'Funnel setup'!$K$3&amp;'Funnel setup'!$K$4&amp;'Funnel setup'!$K$6,".",IF(A4198=".",1,A4198+1))</f>
        <v>16</v>
      </c>
      <c r="B4199" s="244" t="str">
        <f t="shared" si="65"/>
        <v>Total Hip ReplacementProviderBLACKPOOL TEACHING HOSPITALS NHS FOUNDATION TRUST (RXL)Oxford Hip Score</v>
      </c>
      <c r="C4199" t="s">
        <v>974</v>
      </c>
      <c r="D4199" t="s">
        <v>965</v>
      </c>
      <c r="E4199" t="s">
        <v>170</v>
      </c>
      <c r="F4199" t="s">
        <v>171</v>
      </c>
      <c r="G4199" t="s">
        <v>964</v>
      </c>
      <c r="H4199">
        <v>56</v>
      </c>
      <c r="I4199">
        <v>19.660699999999999</v>
      </c>
      <c r="J4199">
        <v>36.464300000000001</v>
      </c>
      <c r="K4199">
        <v>16.803599999999999</v>
      </c>
      <c r="L4199">
        <v>53</v>
      </c>
      <c r="M4199">
        <v>0</v>
      </c>
      <c r="N4199">
        <v>3</v>
      </c>
      <c r="O4199">
        <v>37.186300000000003</v>
      </c>
      <c r="P4199">
        <v>19.974900000000002</v>
      </c>
      <c r="Q4199">
        <v>8.5836199999999998</v>
      </c>
    </row>
    <row r="4200" spans="1:17" x14ac:dyDescent="0.25">
      <c r="A4200">
        <f>IF(C4200&amp;G4200&amp;D4200&lt;&gt;'Funnel setup'!$K$3&amp;'Funnel setup'!$K$4&amp;'Funnel setup'!$K$6,".",IF(A4199=".",1,A4199+1))</f>
        <v>17</v>
      </c>
      <c r="B4200" s="244" t="str">
        <f t="shared" si="65"/>
        <v>Total Hip ReplacementProviderBOLTON NHS FOUNDATION TRUST (RMC)Oxford Hip Score</v>
      </c>
      <c r="C4200" t="s">
        <v>974</v>
      </c>
      <c r="D4200" t="s">
        <v>965</v>
      </c>
      <c r="E4200" t="s">
        <v>172</v>
      </c>
      <c r="F4200" t="s">
        <v>173</v>
      </c>
      <c r="G4200" t="s">
        <v>964</v>
      </c>
      <c r="H4200">
        <v>44</v>
      </c>
      <c r="I4200">
        <v>15.931800000000001</v>
      </c>
      <c r="J4200">
        <v>37.181800000000003</v>
      </c>
      <c r="K4200">
        <v>21.25</v>
      </c>
      <c r="L4200">
        <v>44</v>
      </c>
      <c r="M4200">
        <v>0</v>
      </c>
      <c r="N4200">
        <v>0</v>
      </c>
      <c r="O4200">
        <v>39.593200000000003</v>
      </c>
      <c r="P4200">
        <v>22.381799999999998</v>
      </c>
      <c r="Q4200">
        <v>8.6106300000000005</v>
      </c>
    </row>
    <row r="4201" spans="1:17" x14ac:dyDescent="0.25">
      <c r="A4201">
        <f>IF(C4201&amp;G4201&amp;D4201&lt;&gt;'Funnel setup'!$K$3&amp;'Funnel setup'!$K$4&amp;'Funnel setup'!$K$6,".",IF(A4200=".",1,A4200+1))</f>
        <v>18</v>
      </c>
      <c r="B4201" s="244" t="str">
        <f t="shared" si="65"/>
        <v>Total Hip ReplacementProviderBRADFORD TEACHING HOSPITALS NHS FOUNDATION TRUST (RAE)Oxford Hip Score</v>
      </c>
      <c r="C4201" t="s">
        <v>974</v>
      </c>
      <c r="D4201" t="s">
        <v>965</v>
      </c>
      <c r="E4201" t="s">
        <v>174</v>
      </c>
      <c r="F4201" t="s">
        <v>175</v>
      </c>
      <c r="G4201" t="s">
        <v>964</v>
      </c>
      <c r="H4201">
        <v>4</v>
      </c>
      <c r="I4201">
        <v>11.25</v>
      </c>
      <c r="J4201">
        <v>40.75</v>
      </c>
      <c r="K4201">
        <v>29.5</v>
      </c>
      <c r="L4201">
        <v>4</v>
      </c>
      <c r="M4201">
        <v>0</v>
      </c>
      <c r="N4201">
        <v>0</v>
      </c>
      <c r="O4201" t="s">
        <v>127</v>
      </c>
      <c r="P4201" t="s">
        <v>127</v>
      </c>
      <c r="Q4201" t="s">
        <v>127</v>
      </c>
    </row>
    <row r="4202" spans="1:17" x14ac:dyDescent="0.25">
      <c r="A4202">
        <f>IF(C4202&amp;G4202&amp;D4202&lt;&gt;'Funnel setup'!$K$3&amp;'Funnel setup'!$K$4&amp;'Funnel setup'!$K$6,".",IF(A4201=".",1,A4201+1))</f>
        <v>19</v>
      </c>
      <c r="B4202" s="244" t="str">
        <f t="shared" si="65"/>
        <v>Total Hip ReplacementProviderBUCKINGHAMSHIRE HEALTHCARE NHS TRUST (RXQ)Oxford Hip Score</v>
      </c>
      <c r="C4202" t="s">
        <v>974</v>
      </c>
      <c r="D4202" t="s">
        <v>965</v>
      </c>
      <c r="E4202" t="s">
        <v>178</v>
      </c>
      <c r="F4202" t="s">
        <v>179</v>
      </c>
      <c r="G4202" t="s">
        <v>964</v>
      </c>
      <c r="H4202">
        <v>97</v>
      </c>
      <c r="I4202">
        <v>15.793799999999999</v>
      </c>
      <c r="J4202">
        <v>36.8247</v>
      </c>
      <c r="K4202">
        <v>21.030899999999999</v>
      </c>
      <c r="L4202">
        <v>90</v>
      </c>
      <c r="M4202">
        <v>0</v>
      </c>
      <c r="N4202">
        <v>7</v>
      </c>
      <c r="O4202">
        <v>37.559699999999999</v>
      </c>
      <c r="P4202">
        <v>20.348299999999998</v>
      </c>
      <c r="Q4202">
        <v>10.2143</v>
      </c>
    </row>
    <row r="4203" spans="1:17" x14ac:dyDescent="0.25">
      <c r="A4203">
        <f>IF(C4203&amp;G4203&amp;D4203&lt;&gt;'Funnel setup'!$K$3&amp;'Funnel setup'!$K$4&amp;'Funnel setup'!$K$6,".",IF(A4202=".",1,A4202+1))</f>
        <v>20</v>
      </c>
      <c r="B4203" s="244" t="str">
        <f t="shared" si="65"/>
        <v>Total Hip ReplacementProviderCALDERDALE AND HUDDERSFIELD NHS FOUNDATION TRUST (RWY)Oxford Hip Score</v>
      </c>
      <c r="C4203" t="s">
        <v>974</v>
      </c>
      <c r="D4203" t="s">
        <v>965</v>
      </c>
      <c r="E4203" t="s">
        <v>180</v>
      </c>
      <c r="F4203" t="s">
        <v>181</v>
      </c>
      <c r="G4203" t="s">
        <v>964</v>
      </c>
      <c r="H4203">
        <v>104</v>
      </c>
      <c r="I4203">
        <v>17.567299999999999</v>
      </c>
      <c r="J4203">
        <v>40</v>
      </c>
      <c r="K4203">
        <v>22.432700000000001</v>
      </c>
      <c r="L4203">
        <v>102</v>
      </c>
      <c r="M4203">
        <v>2</v>
      </c>
      <c r="N4203">
        <v>0</v>
      </c>
      <c r="O4203">
        <v>40.767899999999997</v>
      </c>
      <c r="P4203">
        <v>23.5565</v>
      </c>
      <c r="Q4203">
        <v>7.5259200000000002</v>
      </c>
    </row>
    <row r="4204" spans="1:17" x14ac:dyDescent="0.25">
      <c r="A4204">
        <f>IF(C4204&amp;G4204&amp;D4204&lt;&gt;'Funnel setup'!$K$3&amp;'Funnel setup'!$K$4&amp;'Funnel setup'!$K$6,".",IF(A4203=".",1,A4203+1))</f>
        <v>21</v>
      </c>
      <c r="B4204" s="244" t="str">
        <f t="shared" si="65"/>
        <v>Total Hip ReplacementProviderCAMBRIDGE UNIVERSITY HOSPITALS NHS FOUNDATION TRUST (RGT)Oxford Hip Score</v>
      </c>
      <c r="C4204" t="s">
        <v>974</v>
      </c>
      <c r="D4204" t="s">
        <v>965</v>
      </c>
      <c r="E4204" t="s">
        <v>182</v>
      </c>
      <c r="F4204" t="s">
        <v>183</v>
      </c>
      <c r="G4204" t="s">
        <v>964</v>
      </c>
      <c r="H4204">
        <v>79</v>
      </c>
      <c r="I4204">
        <v>14.759499999999999</v>
      </c>
      <c r="J4204">
        <v>38.759500000000003</v>
      </c>
      <c r="K4204">
        <v>24</v>
      </c>
      <c r="L4204">
        <v>77</v>
      </c>
      <c r="M4204">
        <v>2</v>
      </c>
      <c r="N4204">
        <v>0</v>
      </c>
      <c r="O4204">
        <v>41.0839</v>
      </c>
      <c r="P4204">
        <v>23.872399999999999</v>
      </c>
      <c r="Q4204">
        <v>7.62988</v>
      </c>
    </row>
    <row r="4205" spans="1:17" x14ac:dyDescent="0.25">
      <c r="A4205">
        <f>IF(C4205&amp;G4205&amp;D4205&lt;&gt;'Funnel setup'!$K$3&amp;'Funnel setup'!$K$4&amp;'Funnel setup'!$K$6,".",IF(A4204=".",1,A4204+1))</f>
        <v>22</v>
      </c>
      <c r="B4205" s="244" t="str">
        <f t="shared" si="65"/>
        <v>Total Hip ReplacementProviderCAVELL HOSPITAL (NT451)Oxford Hip Score</v>
      </c>
      <c r="C4205" t="s">
        <v>974</v>
      </c>
      <c r="D4205" t="s">
        <v>965</v>
      </c>
      <c r="E4205" t="s">
        <v>184</v>
      </c>
      <c r="F4205" t="s">
        <v>185</v>
      </c>
      <c r="G4205" t="s">
        <v>964</v>
      </c>
      <c r="H4205">
        <v>17</v>
      </c>
      <c r="I4205">
        <v>17.588200000000001</v>
      </c>
      <c r="J4205">
        <v>41.411799999999999</v>
      </c>
      <c r="K4205">
        <v>23.823499999999999</v>
      </c>
      <c r="L4205">
        <v>17</v>
      </c>
      <c r="M4205">
        <v>0</v>
      </c>
      <c r="N4205">
        <v>0</v>
      </c>
      <c r="O4205" t="s">
        <v>127</v>
      </c>
      <c r="P4205" t="s">
        <v>127</v>
      </c>
      <c r="Q4205" t="s">
        <v>127</v>
      </c>
    </row>
    <row r="4206" spans="1:17" x14ac:dyDescent="0.25">
      <c r="A4206">
        <f>IF(C4206&amp;G4206&amp;D4206&lt;&gt;'Funnel setup'!$K$3&amp;'Funnel setup'!$K$4&amp;'Funnel setup'!$K$6,".",IF(A4205=".",1,A4205+1))</f>
        <v>23</v>
      </c>
      <c r="B4206" s="244" t="str">
        <f t="shared" si="65"/>
        <v>Total Hip ReplacementProviderCHAUCER HOSPITAL (NT408)Oxford Hip Score</v>
      </c>
      <c r="C4206" t="s">
        <v>974</v>
      </c>
      <c r="D4206" t="s">
        <v>965</v>
      </c>
      <c r="E4206" t="s">
        <v>186</v>
      </c>
      <c r="F4206" t="s">
        <v>187</v>
      </c>
      <c r="G4206" t="s">
        <v>964</v>
      </c>
      <c r="H4206">
        <v>31</v>
      </c>
      <c r="I4206">
        <v>18.645199999999999</v>
      </c>
      <c r="J4206">
        <v>42.258099999999999</v>
      </c>
      <c r="K4206">
        <v>23.6129</v>
      </c>
      <c r="L4206">
        <v>30</v>
      </c>
      <c r="M4206">
        <v>1</v>
      </c>
      <c r="N4206">
        <v>0</v>
      </c>
      <c r="O4206">
        <v>39.7453</v>
      </c>
      <c r="P4206">
        <v>22.533899999999999</v>
      </c>
      <c r="Q4206">
        <v>6.7716799999999999</v>
      </c>
    </row>
    <row r="4207" spans="1:17" x14ac:dyDescent="0.25">
      <c r="A4207">
        <f>IF(C4207&amp;G4207&amp;D4207&lt;&gt;'Funnel setup'!$K$3&amp;'Funnel setup'!$K$4&amp;'Funnel setup'!$K$6,".",IF(A4206=".",1,A4206+1))</f>
        <v>24</v>
      </c>
      <c r="B4207" s="244" t="str">
        <f t="shared" si="65"/>
        <v>Total Hip ReplacementProviderCHELSEA AND WESTMINSTER HOSPITAL NHS FOUNDATION TRUST (RQM)Oxford Hip Score</v>
      </c>
      <c r="C4207" t="s">
        <v>974</v>
      </c>
      <c r="D4207" t="s">
        <v>965</v>
      </c>
      <c r="E4207" t="s">
        <v>188</v>
      </c>
      <c r="F4207" t="s">
        <v>189</v>
      </c>
      <c r="G4207" t="s">
        <v>964</v>
      </c>
      <c r="H4207">
        <v>19</v>
      </c>
      <c r="I4207">
        <v>15</v>
      </c>
      <c r="J4207">
        <v>40.421100000000003</v>
      </c>
      <c r="K4207">
        <v>25.421099999999999</v>
      </c>
      <c r="L4207">
        <v>19</v>
      </c>
      <c r="M4207">
        <v>0</v>
      </c>
      <c r="N4207">
        <v>0</v>
      </c>
      <c r="O4207" t="s">
        <v>127</v>
      </c>
      <c r="P4207" t="s">
        <v>127</v>
      </c>
      <c r="Q4207" t="s">
        <v>127</v>
      </c>
    </row>
    <row r="4208" spans="1:17" x14ac:dyDescent="0.25">
      <c r="A4208">
        <f>IF(C4208&amp;G4208&amp;D4208&lt;&gt;'Funnel setup'!$K$3&amp;'Funnel setup'!$K$4&amp;'Funnel setup'!$K$6,".",IF(A4207=".",1,A4207+1))</f>
        <v>25</v>
      </c>
      <c r="B4208" s="244" t="str">
        <f t="shared" si="65"/>
        <v>Total Hip ReplacementProviderCHELSFIELD PARK HOSPITAL (NT409)Oxford Hip Score</v>
      </c>
      <c r="C4208" t="s">
        <v>974</v>
      </c>
      <c r="D4208" t="s">
        <v>965</v>
      </c>
      <c r="E4208" t="s">
        <v>190</v>
      </c>
      <c r="F4208" t="s">
        <v>191</v>
      </c>
      <c r="G4208" t="s">
        <v>964</v>
      </c>
      <c r="H4208">
        <v>34</v>
      </c>
      <c r="I4208">
        <v>21.176500000000001</v>
      </c>
      <c r="J4208">
        <v>42.529400000000003</v>
      </c>
      <c r="K4208">
        <v>21.352900000000002</v>
      </c>
      <c r="L4208">
        <v>34</v>
      </c>
      <c r="M4208">
        <v>0</v>
      </c>
      <c r="N4208">
        <v>0</v>
      </c>
      <c r="O4208">
        <v>39.248199999999997</v>
      </c>
      <c r="P4208">
        <v>22.036799999999999</v>
      </c>
      <c r="Q4208">
        <v>8.1075900000000001</v>
      </c>
    </row>
    <row r="4209" spans="1:17" x14ac:dyDescent="0.25">
      <c r="A4209">
        <f>IF(C4209&amp;G4209&amp;D4209&lt;&gt;'Funnel setup'!$K$3&amp;'Funnel setup'!$K$4&amp;'Funnel setup'!$K$6,".",IF(A4208=".",1,A4208+1))</f>
        <v>26</v>
      </c>
      <c r="B4209" s="244" t="str">
        <f t="shared" si="65"/>
        <v>Total Hip ReplacementProviderCHESTERFIELD ROYAL HOSPITAL NHS FOUNDATION TRUST (RFS)Oxford Hip Score</v>
      </c>
      <c r="C4209" t="s">
        <v>974</v>
      </c>
      <c r="D4209" t="s">
        <v>965</v>
      </c>
      <c r="E4209" t="s">
        <v>192</v>
      </c>
      <c r="F4209" t="s">
        <v>193</v>
      </c>
      <c r="G4209" t="s">
        <v>964</v>
      </c>
      <c r="H4209">
        <v>65</v>
      </c>
      <c r="I4209">
        <v>14.553800000000001</v>
      </c>
      <c r="J4209">
        <v>35.907699999999998</v>
      </c>
      <c r="K4209">
        <v>21.3538</v>
      </c>
      <c r="L4209">
        <v>62</v>
      </c>
      <c r="M4209">
        <v>0</v>
      </c>
      <c r="N4209">
        <v>3</v>
      </c>
      <c r="O4209">
        <v>38.571599999999997</v>
      </c>
      <c r="P4209">
        <v>21.360099999999999</v>
      </c>
      <c r="Q4209">
        <v>9.9224999999999994</v>
      </c>
    </row>
    <row r="4210" spans="1:17" x14ac:dyDescent="0.25">
      <c r="A4210">
        <f>IF(C4210&amp;G4210&amp;D4210&lt;&gt;'Funnel setup'!$K$3&amp;'Funnel setup'!$K$4&amp;'Funnel setup'!$K$6,".",IF(A4209=".",1,A4209+1))</f>
        <v>27</v>
      </c>
      <c r="B4210" s="244" t="str">
        <f t="shared" si="65"/>
        <v>Total Hip ReplacementProviderCHILTERN HOSPITAL (NT410)Oxford Hip Score</v>
      </c>
      <c r="C4210" t="s">
        <v>974</v>
      </c>
      <c r="D4210" t="s">
        <v>965</v>
      </c>
      <c r="E4210" t="s">
        <v>194</v>
      </c>
      <c r="F4210" t="s">
        <v>195</v>
      </c>
      <c r="G4210" t="s">
        <v>964</v>
      </c>
      <c r="H4210">
        <v>78</v>
      </c>
      <c r="I4210">
        <v>19.359000000000002</v>
      </c>
      <c r="J4210">
        <v>41.538499999999999</v>
      </c>
      <c r="K4210">
        <v>22.179500000000001</v>
      </c>
      <c r="L4210">
        <v>76</v>
      </c>
      <c r="M4210">
        <v>1</v>
      </c>
      <c r="N4210">
        <v>1</v>
      </c>
      <c r="O4210">
        <v>38.528599999999997</v>
      </c>
      <c r="P4210">
        <v>21.3172</v>
      </c>
      <c r="Q4210">
        <v>6.5716999999999999</v>
      </c>
    </row>
    <row r="4211" spans="1:17" x14ac:dyDescent="0.25">
      <c r="A4211">
        <f>IF(C4211&amp;G4211&amp;D4211&lt;&gt;'Funnel setup'!$K$3&amp;'Funnel setup'!$K$4&amp;'Funnel setup'!$K$6,".",IF(A4210=".",1,A4210+1))</f>
        <v>28</v>
      </c>
      <c r="B4211" s="244" t="str">
        <f t="shared" si="65"/>
        <v>Total Hip ReplacementProviderCIRCLE BATH HOSPITAL (NV302)Oxford Hip Score</v>
      </c>
      <c r="C4211" t="s">
        <v>974</v>
      </c>
      <c r="D4211" t="s">
        <v>965</v>
      </c>
      <c r="E4211" t="s">
        <v>196</v>
      </c>
      <c r="F4211" t="s">
        <v>197</v>
      </c>
      <c r="G4211" t="s">
        <v>964</v>
      </c>
      <c r="H4211">
        <v>12</v>
      </c>
      <c r="I4211">
        <v>23.583300000000001</v>
      </c>
      <c r="J4211">
        <v>45.166699999999999</v>
      </c>
      <c r="K4211">
        <v>21.583300000000001</v>
      </c>
      <c r="L4211">
        <v>12</v>
      </c>
      <c r="M4211">
        <v>0</v>
      </c>
      <c r="N4211">
        <v>0</v>
      </c>
      <c r="O4211" t="s">
        <v>127</v>
      </c>
      <c r="P4211" t="s">
        <v>127</v>
      </c>
      <c r="Q4211" t="s">
        <v>127</v>
      </c>
    </row>
    <row r="4212" spans="1:17" x14ac:dyDescent="0.25">
      <c r="A4212">
        <f>IF(C4212&amp;G4212&amp;D4212&lt;&gt;'Funnel setup'!$K$3&amp;'Funnel setup'!$K$4&amp;'Funnel setup'!$K$6,".",IF(A4211=".",1,A4211+1))</f>
        <v>29</v>
      </c>
      <c r="B4212" s="244" t="str">
        <f t="shared" si="65"/>
        <v>Total Hip ReplacementProviderCIRCLE READING HOSPITAL (NV323)Oxford Hip Score</v>
      </c>
      <c r="C4212" t="s">
        <v>974</v>
      </c>
      <c r="D4212" t="s">
        <v>965</v>
      </c>
      <c r="E4212" t="s">
        <v>198</v>
      </c>
      <c r="F4212" t="s">
        <v>199</v>
      </c>
      <c r="G4212" t="s">
        <v>964</v>
      </c>
      <c r="H4212">
        <v>74</v>
      </c>
      <c r="I4212">
        <v>20.824300000000001</v>
      </c>
      <c r="J4212">
        <v>43.027000000000001</v>
      </c>
      <c r="K4212">
        <v>22.2027</v>
      </c>
      <c r="L4212">
        <v>71</v>
      </c>
      <c r="M4212">
        <v>0</v>
      </c>
      <c r="N4212">
        <v>3</v>
      </c>
      <c r="O4212">
        <v>39.841299999999997</v>
      </c>
      <c r="P4212">
        <v>22.629899999999999</v>
      </c>
      <c r="Q4212">
        <v>7.74444</v>
      </c>
    </row>
    <row r="4213" spans="1:17" x14ac:dyDescent="0.25">
      <c r="A4213">
        <f>IF(C4213&amp;G4213&amp;D4213&lt;&gt;'Funnel setup'!$K$3&amp;'Funnel setup'!$K$4&amp;'Funnel setup'!$K$6,".",IF(A4212=".",1,A4212+1))</f>
        <v>30</v>
      </c>
      <c r="B4213" s="244" t="str">
        <f t="shared" si="65"/>
        <v>Total Hip ReplacementProviderCLEMENTINE CHURCHILL HOSPITAL (NT411)Oxford Hip Score</v>
      </c>
      <c r="C4213" t="s">
        <v>974</v>
      </c>
      <c r="D4213" t="s">
        <v>965</v>
      </c>
      <c r="E4213" t="s">
        <v>200</v>
      </c>
      <c r="F4213" t="s">
        <v>201</v>
      </c>
      <c r="G4213" t="s">
        <v>964</v>
      </c>
      <c r="H4213">
        <v>25</v>
      </c>
      <c r="I4213">
        <v>21.68</v>
      </c>
      <c r="J4213">
        <v>40.56</v>
      </c>
      <c r="K4213">
        <v>18.88</v>
      </c>
      <c r="L4213">
        <v>24</v>
      </c>
      <c r="M4213">
        <v>0</v>
      </c>
      <c r="N4213">
        <v>1</v>
      </c>
      <c r="O4213" t="s">
        <v>127</v>
      </c>
      <c r="P4213" t="s">
        <v>127</v>
      </c>
      <c r="Q4213" t="s">
        <v>127</v>
      </c>
    </row>
    <row r="4214" spans="1:17" x14ac:dyDescent="0.25">
      <c r="A4214">
        <f>IF(C4214&amp;G4214&amp;D4214&lt;&gt;'Funnel setup'!$K$3&amp;'Funnel setup'!$K$4&amp;'Funnel setup'!$K$6,".",IF(A4213=".",1,A4213+1))</f>
        <v>31</v>
      </c>
      <c r="B4214" s="244" t="str">
        <f t="shared" si="65"/>
        <v>Total Hip ReplacementProviderCLIFTON PARK HOSPITAL (NVC28)Oxford Hip Score</v>
      </c>
      <c r="C4214" t="s">
        <v>974</v>
      </c>
      <c r="D4214" t="s">
        <v>965</v>
      </c>
      <c r="E4214" t="s">
        <v>202</v>
      </c>
      <c r="F4214" t="s">
        <v>203</v>
      </c>
      <c r="G4214" t="s">
        <v>964</v>
      </c>
      <c r="H4214">
        <v>42</v>
      </c>
      <c r="I4214">
        <v>24.285699999999999</v>
      </c>
      <c r="J4214">
        <v>29.142900000000001</v>
      </c>
      <c r="K4214">
        <v>4.8571400000000002</v>
      </c>
      <c r="L4214">
        <v>24</v>
      </c>
      <c r="M4214">
        <v>4</v>
      </c>
      <c r="N4214">
        <v>14</v>
      </c>
      <c r="O4214">
        <v>26.6755</v>
      </c>
      <c r="P4214">
        <v>9.4640500000000003</v>
      </c>
      <c r="Q4214">
        <v>8.4944199999999999</v>
      </c>
    </row>
    <row r="4215" spans="1:17" x14ac:dyDescent="0.25">
      <c r="A4215">
        <f>IF(C4215&amp;G4215&amp;D4215&lt;&gt;'Funnel setup'!$K$3&amp;'Funnel setup'!$K$4&amp;'Funnel setup'!$K$6,".",IF(A4214=".",1,A4214+1))</f>
        <v>32</v>
      </c>
      <c r="B4215" s="244" t="str">
        <f t="shared" si="65"/>
        <v>Total Hip ReplacementProviderCOUNTESS OF CHESTER HOSPITAL NHS FOUNDATION TRUST (RJR)Oxford Hip Score</v>
      </c>
      <c r="C4215" t="s">
        <v>974</v>
      </c>
      <c r="D4215" t="s">
        <v>965</v>
      </c>
      <c r="E4215" t="s">
        <v>204</v>
      </c>
      <c r="F4215" t="s">
        <v>205</v>
      </c>
      <c r="G4215" t="s">
        <v>964</v>
      </c>
      <c r="H4215">
        <v>29</v>
      </c>
      <c r="I4215">
        <v>15.4483</v>
      </c>
      <c r="J4215">
        <v>39.827599999999997</v>
      </c>
      <c r="K4215">
        <v>24.379300000000001</v>
      </c>
      <c r="L4215">
        <v>29</v>
      </c>
      <c r="M4215">
        <v>0</v>
      </c>
      <c r="N4215">
        <v>0</v>
      </c>
      <c r="O4215" t="s">
        <v>127</v>
      </c>
      <c r="P4215" t="s">
        <v>127</v>
      </c>
      <c r="Q4215" t="s">
        <v>127</v>
      </c>
    </row>
    <row r="4216" spans="1:17" x14ac:dyDescent="0.25">
      <c r="A4216">
        <f>IF(C4216&amp;G4216&amp;D4216&lt;&gt;'Funnel setup'!$K$3&amp;'Funnel setup'!$K$4&amp;'Funnel setup'!$K$6,".",IF(A4215=".",1,A4215+1))</f>
        <v>33</v>
      </c>
      <c r="B4216" s="244" t="str">
        <f t="shared" si="65"/>
        <v>Total Hip ReplacementProviderCOUNTY DURHAM AND DARLINGTON NHS FOUNDATION TRUST (RXP)Oxford Hip Score</v>
      </c>
      <c r="C4216" t="s">
        <v>974</v>
      </c>
      <c r="D4216" t="s">
        <v>965</v>
      </c>
      <c r="E4216" t="s">
        <v>206</v>
      </c>
      <c r="F4216" t="s">
        <v>207</v>
      </c>
      <c r="G4216" t="s">
        <v>964</v>
      </c>
      <c r="H4216">
        <v>174</v>
      </c>
      <c r="I4216">
        <v>16.8218</v>
      </c>
      <c r="J4216">
        <v>37.896599999999999</v>
      </c>
      <c r="K4216">
        <v>21.0747</v>
      </c>
      <c r="L4216">
        <v>166</v>
      </c>
      <c r="M4216">
        <v>0</v>
      </c>
      <c r="N4216">
        <v>8</v>
      </c>
      <c r="O4216">
        <v>39.317599999999999</v>
      </c>
      <c r="P4216">
        <v>22.106200000000001</v>
      </c>
      <c r="Q4216">
        <v>9.1710499999999993</v>
      </c>
    </row>
    <row r="4217" spans="1:17" x14ac:dyDescent="0.25">
      <c r="A4217">
        <f>IF(C4217&amp;G4217&amp;D4217&lt;&gt;'Funnel setup'!$K$3&amp;'Funnel setup'!$K$4&amp;'Funnel setup'!$K$6,".",IF(A4216=".",1,A4216+1))</f>
        <v>34</v>
      </c>
      <c r="B4217" s="244" t="str">
        <f t="shared" si="65"/>
        <v>Total Hip ReplacementProviderDONCASTER AND BASSETLAW TEACHING HOSPITALS NHS FOUNDATION TRUST (RP5)Oxford Hip Score</v>
      </c>
      <c r="C4217" t="s">
        <v>974</v>
      </c>
      <c r="D4217" t="s">
        <v>965</v>
      </c>
      <c r="E4217" t="s">
        <v>212</v>
      </c>
      <c r="F4217" t="s">
        <v>213</v>
      </c>
      <c r="G4217" t="s">
        <v>964</v>
      </c>
      <c r="H4217">
        <v>64</v>
      </c>
      <c r="I4217">
        <v>13.859400000000001</v>
      </c>
      <c r="J4217">
        <v>33.3125</v>
      </c>
      <c r="K4217">
        <v>19.453099999999999</v>
      </c>
      <c r="L4217">
        <v>56</v>
      </c>
      <c r="M4217">
        <v>0</v>
      </c>
      <c r="N4217">
        <v>8</v>
      </c>
      <c r="O4217">
        <v>36.309800000000003</v>
      </c>
      <c r="P4217">
        <v>19.098299999999998</v>
      </c>
      <c r="Q4217">
        <v>11.202199999999999</v>
      </c>
    </row>
    <row r="4218" spans="1:17" x14ac:dyDescent="0.25">
      <c r="A4218">
        <f>IF(C4218&amp;G4218&amp;D4218&lt;&gt;'Funnel setup'!$K$3&amp;'Funnel setup'!$K$4&amp;'Funnel setup'!$K$6,".",IF(A4217=".",1,A4217+1))</f>
        <v>35</v>
      </c>
      <c r="B4218" s="244" t="str">
        <f t="shared" si="65"/>
        <v>Total Hip ReplacementProviderDORSET COUNTY HOSPITAL NHS FOUNDATION TRUST (RBD)Oxford Hip Score</v>
      </c>
      <c r="C4218" t="s">
        <v>974</v>
      </c>
      <c r="D4218" t="s">
        <v>965</v>
      </c>
      <c r="E4218" t="s">
        <v>214</v>
      </c>
      <c r="F4218" t="s">
        <v>215</v>
      </c>
      <c r="G4218" t="s">
        <v>964</v>
      </c>
      <c r="H4218">
        <v>14</v>
      </c>
      <c r="I4218">
        <v>17</v>
      </c>
      <c r="J4218">
        <v>39.714300000000001</v>
      </c>
      <c r="K4218">
        <v>22.714300000000001</v>
      </c>
      <c r="L4218">
        <v>13</v>
      </c>
      <c r="M4218">
        <v>0</v>
      </c>
      <c r="N4218">
        <v>1</v>
      </c>
      <c r="O4218" t="s">
        <v>127</v>
      </c>
      <c r="P4218" t="s">
        <v>127</v>
      </c>
      <c r="Q4218" t="s">
        <v>127</v>
      </c>
    </row>
    <row r="4219" spans="1:17" x14ac:dyDescent="0.25">
      <c r="A4219">
        <f>IF(C4219&amp;G4219&amp;D4219&lt;&gt;'Funnel setup'!$K$3&amp;'Funnel setup'!$K$4&amp;'Funnel setup'!$K$6,".",IF(A4218=".",1,A4218+1))</f>
        <v>36</v>
      </c>
      <c r="B4219" s="244" t="str">
        <f t="shared" si="65"/>
        <v>Total Hip ReplacementProviderDROITWICH SPA HOSPITAL (NT412)Oxford Hip Score</v>
      </c>
      <c r="C4219" t="s">
        <v>974</v>
      </c>
      <c r="D4219" t="s">
        <v>965</v>
      </c>
      <c r="E4219" t="s">
        <v>216</v>
      </c>
      <c r="F4219" t="s">
        <v>217</v>
      </c>
      <c r="G4219" t="s">
        <v>964</v>
      </c>
      <c r="H4219">
        <v>25</v>
      </c>
      <c r="I4219">
        <v>16.48</v>
      </c>
      <c r="J4219">
        <v>42.32</v>
      </c>
      <c r="K4219">
        <v>25.84</v>
      </c>
      <c r="L4219">
        <v>25</v>
      </c>
      <c r="M4219">
        <v>0</v>
      </c>
      <c r="N4219">
        <v>0</v>
      </c>
      <c r="O4219" t="s">
        <v>127</v>
      </c>
      <c r="P4219" t="s">
        <v>127</v>
      </c>
      <c r="Q4219" t="s">
        <v>127</v>
      </c>
    </row>
    <row r="4220" spans="1:17" x14ac:dyDescent="0.25">
      <c r="A4220">
        <f>IF(C4220&amp;G4220&amp;D4220&lt;&gt;'Funnel setup'!$K$3&amp;'Funnel setup'!$K$4&amp;'Funnel setup'!$K$6,".",IF(A4219=".",1,A4219+1))</f>
        <v>37</v>
      </c>
      <c r="B4220" s="244" t="str">
        <f t="shared" si="65"/>
        <v>Total Hip ReplacementProviderDUCHY HOSPITAL (NT447)Oxford Hip Score</v>
      </c>
      <c r="C4220" t="s">
        <v>974</v>
      </c>
      <c r="D4220" t="s">
        <v>965</v>
      </c>
      <c r="E4220" t="s">
        <v>218</v>
      </c>
      <c r="F4220" t="s">
        <v>219</v>
      </c>
      <c r="G4220" t="s">
        <v>964</v>
      </c>
      <c r="H4220">
        <v>29</v>
      </c>
      <c r="I4220">
        <v>19.896599999999999</v>
      </c>
      <c r="J4220">
        <v>42.586199999999998</v>
      </c>
      <c r="K4220">
        <v>22.689699999999998</v>
      </c>
      <c r="L4220">
        <v>29</v>
      </c>
      <c r="M4220">
        <v>0</v>
      </c>
      <c r="N4220">
        <v>0</v>
      </c>
      <c r="O4220" t="s">
        <v>127</v>
      </c>
      <c r="P4220" t="s">
        <v>127</v>
      </c>
      <c r="Q4220" t="s">
        <v>127</v>
      </c>
    </row>
    <row r="4221" spans="1:17" x14ac:dyDescent="0.25">
      <c r="A4221">
        <f>IF(C4221&amp;G4221&amp;D4221&lt;&gt;'Funnel setup'!$K$3&amp;'Funnel setup'!$K$4&amp;'Funnel setup'!$K$6,".",IF(A4220=".",1,A4220+1))</f>
        <v>38</v>
      </c>
      <c r="B4221" s="244" t="str">
        <f t="shared" si="65"/>
        <v>Total Hip ReplacementProviderDUCHY HOSPITAL (NVC04)Oxford Hip Score</v>
      </c>
      <c r="C4221" t="s">
        <v>974</v>
      </c>
      <c r="D4221" t="s">
        <v>965</v>
      </c>
      <c r="E4221" t="s">
        <v>220</v>
      </c>
      <c r="F4221" t="s">
        <v>221</v>
      </c>
      <c r="G4221" t="s">
        <v>964</v>
      </c>
      <c r="H4221">
        <v>25</v>
      </c>
      <c r="I4221">
        <v>26.4</v>
      </c>
      <c r="J4221">
        <v>27.36</v>
      </c>
      <c r="K4221">
        <v>0.96</v>
      </c>
      <c r="L4221">
        <v>15</v>
      </c>
      <c r="M4221">
        <v>1</v>
      </c>
      <c r="N4221">
        <v>9</v>
      </c>
      <c r="O4221" t="s">
        <v>127</v>
      </c>
      <c r="P4221" t="s">
        <v>127</v>
      </c>
      <c r="Q4221" t="s">
        <v>127</v>
      </c>
    </row>
    <row r="4222" spans="1:17" x14ac:dyDescent="0.25">
      <c r="A4222">
        <f>IF(C4222&amp;G4222&amp;D4222&lt;&gt;'Funnel setup'!$K$3&amp;'Funnel setup'!$K$4&amp;'Funnel setup'!$K$6,".",IF(A4221=".",1,A4221+1))</f>
        <v>39</v>
      </c>
      <c r="B4222" s="244" t="str">
        <f t="shared" si="65"/>
        <v>Total Hip ReplacementProviderEAST AND NORTH HERTFORDSHIRE NHS TRUST (RWH)Oxford Hip Score</v>
      </c>
      <c r="C4222" t="s">
        <v>974</v>
      </c>
      <c r="D4222" t="s">
        <v>965</v>
      </c>
      <c r="E4222" t="s">
        <v>224</v>
      </c>
      <c r="F4222" t="s">
        <v>225</v>
      </c>
      <c r="G4222" t="s">
        <v>964</v>
      </c>
      <c r="H4222">
        <v>44</v>
      </c>
      <c r="I4222">
        <v>17.386399999999998</v>
      </c>
      <c r="J4222">
        <v>39.7727</v>
      </c>
      <c r="K4222">
        <v>22.386399999999998</v>
      </c>
      <c r="L4222">
        <v>43</v>
      </c>
      <c r="M4222">
        <v>0</v>
      </c>
      <c r="N4222">
        <v>1</v>
      </c>
      <c r="O4222">
        <v>40.003399999999999</v>
      </c>
      <c r="P4222">
        <v>22.792000000000002</v>
      </c>
      <c r="Q4222">
        <v>7.8142899999999997</v>
      </c>
    </row>
    <row r="4223" spans="1:17" x14ac:dyDescent="0.25">
      <c r="A4223">
        <f>IF(C4223&amp;G4223&amp;D4223&lt;&gt;'Funnel setup'!$K$3&amp;'Funnel setup'!$K$4&amp;'Funnel setup'!$K$6,".",IF(A4222=".",1,A4222+1))</f>
        <v>40</v>
      </c>
      <c r="B4223" s="244" t="str">
        <f t="shared" si="65"/>
        <v>Total Hip ReplacementProviderEAST CHESHIRE NHS TRUST (RJN)Oxford Hip Score</v>
      </c>
      <c r="C4223" t="s">
        <v>974</v>
      </c>
      <c r="D4223" t="s">
        <v>965</v>
      </c>
      <c r="E4223" t="s">
        <v>226</v>
      </c>
      <c r="F4223" t="s">
        <v>227</v>
      </c>
      <c r="G4223" t="s">
        <v>964</v>
      </c>
      <c r="H4223">
        <v>5</v>
      </c>
      <c r="I4223">
        <v>19</v>
      </c>
      <c r="J4223">
        <v>37.4</v>
      </c>
      <c r="K4223">
        <v>18.399999999999999</v>
      </c>
      <c r="L4223">
        <v>5</v>
      </c>
      <c r="M4223">
        <v>0</v>
      </c>
      <c r="N4223">
        <v>0</v>
      </c>
      <c r="O4223" t="s">
        <v>127</v>
      </c>
      <c r="P4223" t="s">
        <v>127</v>
      </c>
      <c r="Q4223" t="s">
        <v>127</v>
      </c>
    </row>
    <row r="4224" spans="1:17" x14ac:dyDescent="0.25">
      <c r="A4224">
        <f>IF(C4224&amp;G4224&amp;D4224&lt;&gt;'Funnel setup'!$K$3&amp;'Funnel setup'!$K$4&amp;'Funnel setup'!$K$6,".",IF(A4223=".",1,A4223+1))</f>
        <v>41</v>
      </c>
      <c r="B4224" s="244" t="str">
        <f t="shared" si="65"/>
        <v>Total Hip ReplacementProviderEAST KENT HOSPITALS UNIVERSITY NHS FOUNDATION TRUST (RVV)Oxford Hip Score</v>
      </c>
      <c r="C4224" t="s">
        <v>974</v>
      </c>
      <c r="D4224" t="s">
        <v>965</v>
      </c>
      <c r="E4224" t="s">
        <v>228</v>
      </c>
      <c r="F4224" t="s">
        <v>229</v>
      </c>
      <c r="G4224" t="s">
        <v>964</v>
      </c>
      <c r="H4224">
        <v>100</v>
      </c>
      <c r="I4224">
        <v>15.45</v>
      </c>
      <c r="J4224">
        <v>39.270000000000003</v>
      </c>
      <c r="K4224">
        <v>23.82</v>
      </c>
      <c r="L4224">
        <v>98</v>
      </c>
      <c r="M4224">
        <v>0</v>
      </c>
      <c r="N4224">
        <v>2</v>
      </c>
      <c r="O4224">
        <v>40.505899999999997</v>
      </c>
      <c r="P4224">
        <v>23.294499999999999</v>
      </c>
      <c r="Q4224">
        <v>7.68492</v>
      </c>
    </row>
    <row r="4225" spans="1:17" x14ac:dyDescent="0.25">
      <c r="A4225">
        <f>IF(C4225&amp;G4225&amp;D4225&lt;&gt;'Funnel setup'!$K$3&amp;'Funnel setup'!$K$4&amp;'Funnel setup'!$K$6,".",IF(A4224=".",1,A4224+1))</f>
        <v>42</v>
      </c>
      <c r="B4225" s="244" t="str">
        <f t="shared" si="65"/>
        <v>Total Hip ReplacementProviderEAST LANCASHIRE HOSPITALS NHS TRUST (RXR)Oxford Hip Score</v>
      </c>
      <c r="C4225" t="s">
        <v>974</v>
      </c>
      <c r="D4225" t="s">
        <v>965</v>
      </c>
      <c r="E4225" t="s">
        <v>230</v>
      </c>
      <c r="F4225" t="s">
        <v>231</v>
      </c>
      <c r="G4225" t="s">
        <v>964</v>
      </c>
      <c r="H4225">
        <v>96</v>
      </c>
      <c r="I4225">
        <v>14.833299999999999</v>
      </c>
      <c r="J4225">
        <v>39.666699999999999</v>
      </c>
      <c r="K4225">
        <v>24.833300000000001</v>
      </c>
      <c r="L4225">
        <v>94</v>
      </c>
      <c r="M4225">
        <v>1</v>
      </c>
      <c r="N4225">
        <v>1</v>
      </c>
      <c r="O4225">
        <v>41.476700000000001</v>
      </c>
      <c r="P4225">
        <v>24.2653</v>
      </c>
      <c r="Q4225">
        <v>6.97776</v>
      </c>
    </row>
    <row r="4226" spans="1:17" x14ac:dyDescent="0.25">
      <c r="A4226">
        <f>IF(C4226&amp;G4226&amp;D4226&lt;&gt;'Funnel setup'!$K$3&amp;'Funnel setup'!$K$4&amp;'Funnel setup'!$K$6,".",IF(A4225=".",1,A4225+1))</f>
        <v>43</v>
      </c>
      <c r="B4226" s="244" t="str">
        <f t="shared" ref="B4226:B4289" si="66">C4226&amp;D4226&amp;F4226&amp;G4226</f>
        <v>Total Hip ReplacementProviderEAST SUFFOLK AND NORTH ESSEX NHS FOUNDATION TRUST (RDE)Oxford Hip Score</v>
      </c>
      <c r="C4226" t="s">
        <v>974</v>
      </c>
      <c r="D4226" t="s">
        <v>965</v>
      </c>
      <c r="E4226" t="s">
        <v>232</v>
      </c>
      <c r="F4226" t="s">
        <v>233</v>
      </c>
      <c r="G4226" t="s">
        <v>964</v>
      </c>
      <c r="H4226">
        <v>147</v>
      </c>
      <c r="I4226">
        <v>15.3741</v>
      </c>
      <c r="J4226">
        <v>39.387799999999999</v>
      </c>
      <c r="K4226">
        <v>24.0136</v>
      </c>
      <c r="L4226">
        <v>146</v>
      </c>
      <c r="M4226">
        <v>0</v>
      </c>
      <c r="N4226">
        <v>1</v>
      </c>
      <c r="O4226">
        <v>40.570900000000002</v>
      </c>
      <c r="P4226">
        <v>23.359400000000001</v>
      </c>
      <c r="Q4226">
        <v>7.7240500000000001</v>
      </c>
    </row>
    <row r="4227" spans="1:17" x14ac:dyDescent="0.25">
      <c r="A4227">
        <f>IF(C4227&amp;G4227&amp;D4227&lt;&gt;'Funnel setup'!$K$3&amp;'Funnel setup'!$K$4&amp;'Funnel setup'!$K$6,".",IF(A4226=".",1,A4226+1))</f>
        <v>44</v>
      </c>
      <c r="B4227" s="244" t="str">
        <f t="shared" si="66"/>
        <v>Total Hip ReplacementProviderEAST SUSSEX HEALTHCARE NHS TRUST (RXC)Oxford Hip Score</v>
      </c>
      <c r="C4227" t="s">
        <v>974</v>
      </c>
      <c r="D4227" t="s">
        <v>965</v>
      </c>
      <c r="E4227" t="s">
        <v>234</v>
      </c>
      <c r="F4227" t="s">
        <v>235</v>
      </c>
      <c r="G4227" t="s">
        <v>964</v>
      </c>
      <c r="H4227">
        <v>101</v>
      </c>
      <c r="I4227">
        <v>18.0198</v>
      </c>
      <c r="J4227">
        <v>39.831699999999998</v>
      </c>
      <c r="K4227">
        <v>21.811900000000001</v>
      </c>
      <c r="L4227">
        <v>94</v>
      </c>
      <c r="M4227">
        <v>1</v>
      </c>
      <c r="N4227">
        <v>6</v>
      </c>
      <c r="O4227">
        <v>40.5319</v>
      </c>
      <c r="P4227">
        <v>23.320399999999999</v>
      </c>
      <c r="Q4227">
        <v>8.4855199999999993</v>
      </c>
    </row>
    <row r="4228" spans="1:17" x14ac:dyDescent="0.25">
      <c r="A4228">
        <f>IF(C4228&amp;G4228&amp;D4228&lt;&gt;'Funnel setup'!$K$3&amp;'Funnel setup'!$K$4&amp;'Funnel setup'!$K$6,".",IF(A4227=".",1,A4227+1))</f>
        <v>45</v>
      </c>
      <c r="B4228" s="244" t="str">
        <f t="shared" si="66"/>
        <v>Total Hip ReplacementProviderEPSOM AND ST HELIER UNIVERSITY HOSPITALS NHS TRUST (RVR)Oxford Hip Score</v>
      </c>
      <c r="C4228" t="s">
        <v>974</v>
      </c>
      <c r="D4228" t="s">
        <v>965</v>
      </c>
      <c r="E4228" t="s">
        <v>238</v>
      </c>
      <c r="F4228" t="s">
        <v>239</v>
      </c>
      <c r="G4228" t="s">
        <v>964</v>
      </c>
      <c r="H4228">
        <v>568</v>
      </c>
      <c r="I4228">
        <v>19.338000000000001</v>
      </c>
      <c r="J4228">
        <v>40.456000000000003</v>
      </c>
      <c r="K4228">
        <v>21.117999999999999</v>
      </c>
      <c r="L4228">
        <v>553</v>
      </c>
      <c r="M4228">
        <v>3</v>
      </c>
      <c r="N4228">
        <v>12</v>
      </c>
      <c r="O4228">
        <v>39.9876</v>
      </c>
      <c r="P4228">
        <v>22.7761</v>
      </c>
      <c r="Q4228">
        <v>7.3856400000000004</v>
      </c>
    </row>
    <row r="4229" spans="1:17" x14ac:dyDescent="0.25">
      <c r="A4229">
        <f>IF(C4229&amp;G4229&amp;D4229&lt;&gt;'Funnel setup'!$K$3&amp;'Funnel setup'!$K$4&amp;'Funnel setup'!$K$6,".",IF(A4228=".",1,A4228+1))</f>
        <v>46</v>
      </c>
      <c r="B4229" s="244" t="str">
        <f t="shared" si="66"/>
        <v>Total Hip ReplacementProviderEUXTON HALL HOSPITAL (NVC05)Oxford Hip Score</v>
      </c>
      <c r="C4229" t="s">
        <v>974</v>
      </c>
      <c r="D4229" t="s">
        <v>965</v>
      </c>
      <c r="E4229" t="s">
        <v>240</v>
      </c>
      <c r="F4229" t="s">
        <v>241</v>
      </c>
      <c r="G4229" t="s">
        <v>964</v>
      </c>
      <c r="H4229">
        <v>59</v>
      </c>
      <c r="I4229">
        <v>16.1525</v>
      </c>
      <c r="J4229">
        <v>40.9831</v>
      </c>
      <c r="K4229">
        <v>24.830500000000001</v>
      </c>
      <c r="L4229">
        <v>58</v>
      </c>
      <c r="M4229">
        <v>0</v>
      </c>
      <c r="N4229">
        <v>1</v>
      </c>
      <c r="O4229">
        <v>41.532299999999999</v>
      </c>
      <c r="P4229">
        <v>24.320900000000002</v>
      </c>
      <c r="Q4229">
        <v>8.1784199999999991</v>
      </c>
    </row>
    <row r="4230" spans="1:17" x14ac:dyDescent="0.25">
      <c r="A4230">
        <f>IF(C4230&amp;G4230&amp;D4230&lt;&gt;'Funnel setup'!$K$3&amp;'Funnel setup'!$K$4&amp;'Funnel setup'!$K$6,".",IF(A4229=".",1,A4229+1))</f>
        <v>47</v>
      </c>
      <c r="B4230" s="244" t="str">
        <f t="shared" si="66"/>
        <v>Total Hip ReplacementProviderFAIRFIELD HOSPITAL (NVG01)Oxford Hip Score</v>
      </c>
      <c r="C4230" t="s">
        <v>974</v>
      </c>
      <c r="D4230" t="s">
        <v>965</v>
      </c>
      <c r="E4230" t="s">
        <v>242</v>
      </c>
      <c r="F4230" t="s">
        <v>243</v>
      </c>
      <c r="G4230" t="s">
        <v>964</v>
      </c>
      <c r="H4230">
        <v>42</v>
      </c>
      <c r="I4230">
        <v>17.119</v>
      </c>
      <c r="J4230">
        <v>37.6905</v>
      </c>
      <c r="K4230">
        <v>20.571400000000001</v>
      </c>
      <c r="L4230">
        <v>40</v>
      </c>
      <c r="M4230">
        <v>0</v>
      </c>
      <c r="N4230">
        <v>2</v>
      </c>
      <c r="O4230">
        <v>37.749499999999998</v>
      </c>
      <c r="P4230">
        <v>20.5381</v>
      </c>
      <c r="Q4230">
        <v>10.2554</v>
      </c>
    </row>
    <row r="4231" spans="1:17" x14ac:dyDescent="0.25">
      <c r="A4231">
        <f>IF(C4231&amp;G4231&amp;D4231&lt;&gt;'Funnel setup'!$K$3&amp;'Funnel setup'!$K$4&amp;'Funnel setup'!$K$6,".",IF(A4230=".",1,A4230+1))</f>
        <v>48</v>
      </c>
      <c r="B4231" s="244" t="str">
        <f t="shared" si="66"/>
        <v>Total Hip ReplacementProviderFITZWILLIAM HOSPITAL (NVC06)Oxford Hip Score</v>
      </c>
      <c r="C4231" t="s">
        <v>974</v>
      </c>
      <c r="D4231" t="s">
        <v>965</v>
      </c>
      <c r="E4231" t="s">
        <v>244</v>
      </c>
      <c r="F4231" t="s">
        <v>245</v>
      </c>
      <c r="G4231" t="s">
        <v>964</v>
      </c>
      <c r="H4231">
        <v>60</v>
      </c>
      <c r="I4231">
        <v>17.245899999999999</v>
      </c>
      <c r="J4231">
        <v>40.426200000000001</v>
      </c>
      <c r="K4231">
        <v>23.180299999999999</v>
      </c>
      <c r="L4231">
        <v>59</v>
      </c>
      <c r="M4231">
        <v>0</v>
      </c>
      <c r="N4231">
        <v>1</v>
      </c>
      <c r="O4231">
        <v>40.205100000000002</v>
      </c>
      <c r="P4231">
        <v>22.9937</v>
      </c>
      <c r="Q4231">
        <v>7.0202099999999996</v>
      </c>
    </row>
    <row r="4232" spans="1:17" x14ac:dyDescent="0.25">
      <c r="A4232">
        <f>IF(C4232&amp;G4232&amp;D4232&lt;&gt;'Funnel setup'!$K$3&amp;'Funnel setup'!$K$4&amp;'Funnel setup'!$K$6,".",IF(A4231=".",1,A4231+1))</f>
        <v>49</v>
      </c>
      <c r="B4232" s="244" t="str">
        <f t="shared" si="66"/>
        <v>Total Hip ReplacementProviderFRIMLEY HEALTH NHS FOUNDATION TRUST (RDU)Oxford Hip Score</v>
      </c>
      <c r="C4232" t="s">
        <v>974</v>
      </c>
      <c r="D4232" t="s">
        <v>965</v>
      </c>
      <c r="E4232" t="s">
        <v>248</v>
      </c>
      <c r="F4232" t="s">
        <v>249</v>
      </c>
      <c r="G4232" t="s">
        <v>964</v>
      </c>
      <c r="H4232">
        <v>191</v>
      </c>
      <c r="I4232">
        <v>18.403099999999998</v>
      </c>
      <c r="J4232">
        <v>40.8063</v>
      </c>
      <c r="K4232">
        <v>22.403099999999998</v>
      </c>
      <c r="L4232">
        <v>187</v>
      </c>
      <c r="M4232">
        <v>2</v>
      </c>
      <c r="N4232">
        <v>2</v>
      </c>
      <c r="O4232">
        <v>39.689300000000003</v>
      </c>
      <c r="P4232">
        <v>22.477799999999998</v>
      </c>
      <c r="Q4232">
        <v>8.0012799999999995</v>
      </c>
    </row>
    <row r="4233" spans="1:17" x14ac:dyDescent="0.25">
      <c r="A4233">
        <f>IF(C4233&amp;G4233&amp;D4233&lt;&gt;'Funnel setup'!$K$3&amp;'Funnel setup'!$K$4&amp;'Funnel setup'!$K$6,".",IF(A4232=".",1,A4232+1))</f>
        <v>50</v>
      </c>
      <c r="B4233" s="244" t="str">
        <f t="shared" si="66"/>
        <v>Total Hip ReplacementProviderFULWOOD HALL HOSPITAL (NVC07)Oxford Hip Score</v>
      </c>
      <c r="C4233" t="s">
        <v>974</v>
      </c>
      <c r="D4233" t="s">
        <v>965</v>
      </c>
      <c r="E4233" t="s">
        <v>250</v>
      </c>
      <c r="F4233" t="s">
        <v>251</v>
      </c>
      <c r="G4233" t="s">
        <v>964</v>
      </c>
      <c r="H4233">
        <v>72</v>
      </c>
      <c r="I4233">
        <v>21.166699999999999</v>
      </c>
      <c r="J4233">
        <v>42.3889</v>
      </c>
      <c r="K4233">
        <v>21.222200000000001</v>
      </c>
      <c r="L4233">
        <v>72</v>
      </c>
      <c r="M4233">
        <v>0</v>
      </c>
      <c r="N4233">
        <v>0</v>
      </c>
      <c r="O4233">
        <v>40.726300000000002</v>
      </c>
      <c r="P4233">
        <v>23.514800000000001</v>
      </c>
      <c r="Q4233">
        <v>6.1913799999999997</v>
      </c>
    </row>
    <row r="4234" spans="1:17" x14ac:dyDescent="0.25">
      <c r="A4234">
        <f>IF(C4234&amp;G4234&amp;D4234&lt;&gt;'Funnel setup'!$K$3&amp;'Funnel setup'!$K$4&amp;'Funnel setup'!$K$6,".",IF(A4233=".",1,A4233+1))</f>
        <v>51</v>
      </c>
      <c r="B4234" s="244" t="str">
        <f t="shared" si="66"/>
        <v>Total Hip ReplacementProviderGATESHEAD HEALTH NHS FOUNDATION TRUST (RR7)Oxford Hip Score</v>
      </c>
      <c r="C4234" t="s">
        <v>974</v>
      </c>
      <c r="D4234" t="s">
        <v>965</v>
      </c>
      <c r="E4234" t="s">
        <v>252</v>
      </c>
      <c r="F4234" t="s">
        <v>253</v>
      </c>
      <c r="G4234" t="s">
        <v>964</v>
      </c>
      <c r="H4234">
        <v>51</v>
      </c>
      <c r="I4234">
        <v>14.0784</v>
      </c>
      <c r="J4234">
        <v>38.764699999999998</v>
      </c>
      <c r="K4234">
        <v>24.686299999999999</v>
      </c>
      <c r="L4234">
        <v>49</v>
      </c>
      <c r="M4234">
        <v>0</v>
      </c>
      <c r="N4234">
        <v>2</v>
      </c>
      <c r="O4234">
        <v>41.509799999999998</v>
      </c>
      <c r="P4234">
        <v>24.298400000000001</v>
      </c>
      <c r="Q4234">
        <v>9.7101699999999997</v>
      </c>
    </row>
    <row r="4235" spans="1:17" x14ac:dyDescent="0.25">
      <c r="A4235">
        <f>IF(C4235&amp;G4235&amp;D4235&lt;&gt;'Funnel setup'!$K$3&amp;'Funnel setup'!$K$4&amp;'Funnel setup'!$K$6,".",IF(A4234=".",1,A4234+1))</f>
        <v>52</v>
      </c>
      <c r="B4235" s="244" t="str">
        <f t="shared" si="66"/>
        <v>Total Hip ReplacementProviderGLOUCESTERSHIRE HOSPITALS NHS FOUNDATION TRUST (RTE)Oxford Hip Score</v>
      </c>
      <c r="C4235" t="s">
        <v>974</v>
      </c>
      <c r="D4235" t="s">
        <v>965</v>
      </c>
      <c r="E4235" t="s">
        <v>256</v>
      </c>
      <c r="F4235" t="s">
        <v>257</v>
      </c>
      <c r="G4235" t="s">
        <v>964</v>
      </c>
      <c r="H4235">
        <v>79</v>
      </c>
      <c r="I4235">
        <v>15.0886</v>
      </c>
      <c r="J4235">
        <v>38.329099999999997</v>
      </c>
      <c r="K4235">
        <v>23.240500000000001</v>
      </c>
      <c r="L4235">
        <v>79</v>
      </c>
      <c r="M4235">
        <v>0</v>
      </c>
      <c r="N4235">
        <v>0</v>
      </c>
      <c r="O4235">
        <v>39.616300000000003</v>
      </c>
      <c r="P4235">
        <v>22.404800000000002</v>
      </c>
      <c r="Q4235">
        <v>8.37974</v>
      </c>
    </row>
    <row r="4236" spans="1:17" x14ac:dyDescent="0.25">
      <c r="A4236">
        <f>IF(C4236&amp;G4236&amp;D4236&lt;&gt;'Funnel setup'!$K$3&amp;'Funnel setup'!$K$4&amp;'Funnel setup'!$K$6,".",IF(A4235=".",1,A4235+1))</f>
        <v>53</v>
      </c>
      <c r="B4236" s="244" t="str">
        <f t="shared" si="66"/>
        <v>Total Hip ReplacementProviderGORING HALL HOSPITAL (NT417)Oxford Hip Score</v>
      </c>
      <c r="C4236" t="s">
        <v>974</v>
      </c>
      <c r="D4236" t="s">
        <v>965</v>
      </c>
      <c r="E4236" t="s">
        <v>258</v>
      </c>
      <c r="F4236" t="s">
        <v>259</v>
      </c>
      <c r="G4236" t="s">
        <v>964</v>
      </c>
      <c r="H4236">
        <v>28</v>
      </c>
      <c r="I4236">
        <v>19.642900000000001</v>
      </c>
      <c r="J4236">
        <v>39.607100000000003</v>
      </c>
      <c r="K4236">
        <v>19.964300000000001</v>
      </c>
      <c r="L4236">
        <v>25</v>
      </c>
      <c r="M4236">
        <v>0</v>
      </c>
      <c r="N4236">
        <v>3</v>
      </c>
      <c r="O4236" t="s">
        <v>127</v>
      </c>
      <c r="P4236" t="s">
        <v>127</v>
      </c>
      <c r="Q4236" t="s">
        <v>127</v>
      </c>
    </row>
    <row r="4237" spans="1:17" x14ac:dyDescent="0.25">
      <c r="A4237">
        <f>IF(C4237&amp;G4237&amp;D4237&lt;&gt;'Funnel setup'!$K$3&amp;'Funnel setup'!$K$4&amp;'Funnel setup'!$K$6,".",IF(A4236=".",1,A4236+1))</f>
        <v>54</v>
      </c>
      <c r="B4237" s="244" t="str">
        <f t="shared" si="66"/>
        <v>Total Hip ReplacementProviderGUY'S AND ST THOMAS' NHS FOUNDATION TRUST (RJ1)Oxford Hip Score</v>
      </c>
      <c r="C4237" t="s">
        <v>974</v>
      </c>
      <c r="D4237" t="s">
        <v>965</v>
      </c>
      <c r="E4237" t="s">
        <v>262</v>
      </c>
      <c r="F4237" t="s">
        <v>263</v>
      </c>
      <c r="G4237" t="s">
        <v>964</v>
      </c>
      <c r="H4237">
        <v>81</v>
      </c>
      <c r="I4237">
        <v>17.6296</v>
      </c>
      <c r="J4237">
        <v>37.296300000000002</v>
      </c>
      <c r="K4237">
        <v>19.666699999999999</v>
      </c>
      <c r="L4237">
        <v>78</v>
      </c>
      <c r="M4237">
        <v>0</v>
      </c>
      <c r="N4237">
        <v>3</v>
      </c>
      <c r="O4237">
        <v>37.011499999999998</v>
      </c>
      <c r="P4237">
        <v>19.8</v>
      </c>
      <c r="Q4237">
        <v>9.8006600000000006</v>
      </c>
    </row>
    <row r="4238" spans="1:17" x14ac:dyDescent="0.25">
      <c r="A4238">
        <f>IF(C4238&amp;G4238&amp;D4238&lt;&gt;'Funnel setup'!$K$3&amp;'Funnel setup'!$K$4&amp;'Funnel setup'!$K$6,".",IF(A4237=".",1,A4237+1))</f>
        <v>55</v>
      </c>
      <c r="B4238" s="244" t="str">
        <f t="shared" si="66"/>
        <v>Total Hip ReplacementProviderHAMPSHIRE CLINIC (NT418)Oxford Hip Score</v>
      </c>
      <c r="C4238" t="s">
        <v>974</v>
      </c>
      <c r="D4238" t="s">
        <v>965</v>
      </c>
      <c r="E4238" t="s">
        <v>264</v>
      </c>
      <c r="F4238" t="s">
        <v>265</v>
      </c>
      <c r="G4238" t="s">
        <v>964</v>
      </c>
      <c r="H4238">
        <v>28</v>
      </c>
      <c r="I4238">
        <v>21.607099999999999</v>
      </c>
      <c r="J4238">
        <v>41.892899999999997</v>
      </c>
      <c r="K4238">
        <v>20.285699999999999</v>
      </c>
      <c r="L4238">
        <v>28</v>
      </c>
      <c r="M4238">
        <v>0</v>
      </c>
      <c r="N4238">
        <v>0</v>
      </c>
      <c r="O4238" t="s">
        <v>127</v>
      </c>
      <c r="P4238" t="s">
        <v>127</v>
      </c>
      <c r="Q4238" t="s">
        <v>127</v>
      </c>
    </row>
    <row r="4239" spans="1:17" x14ac:dyDescent="0.25">
      <c r="A4239">
        <f>IF(C4239&amp;G4239&amp;D4239&lt;&gt;'Funnel setup'!$K$3&amp;'Funnel setup'!$K$4&amp;'Funnel setup'!$K$6,".",IF(A4238=".",1,A4238+1))</f>
        <v>56</v>
      </c>
      <c r="B4239" s="244" t="str">
        <f t="shared" si="66"/>
        <v>Total Hip ReplacementProviderHAMPSHIRE HOSPITALS NHS FOUNDATION TRUST (RN5)Oxford Hip Score</v>
      </c>
      <c r="C4239" t="s">
        <v>974</v>
      </c>
      <c r="D4239" t="s">
        <v>965</v>
      </c>
      <c r="E4239" t="s">
        <v>266</v>
      </c>
      <c r="F4239" t="s">
        <v>267</v>
      </c>
      <c r="G4239" t="s">
        <v>964</v>
      </c>
      <c r="H4239">
        <v>38</v>
      </c>
      <c r="I4239">
        <v>16.184200000000001</v>
      </c>
      <c r="J4239">
        <v>39.736800000000002</v>
      </c>
      <c r="K4239">
        <v>23.552600000000002</v>
      </c>
      <c r="L4239">
        <v>37</v>
      </c>
      <c r="M4239">
        <v>0</v>
      </c>
      <c r="N4239">
        <v>1</v>
      </c>
      <c r="O4239">
        <v>40.000999999999998</v>
      </c>
      <c r="P4239">
        <v>22.7896</v>
      </c>
      <c r="Q4239">
        <v>7.7477799999999997</v>
      </c>
    </row>
    <row r="4240" spans="1:17" x14ac:dyDescent="0.25">
      <c r="A4240">
        <f>IF(C4240&amp;G4240&amp;D4240&lt;&gt;'Funnel setup'!$K$3&amp;'Funnel setup'!$K$4&amp;'Funnel setup'!$K$6,".",IF(A4239=".",1,A4239+1))</f>
        <v>57</v>
      </c>
      <c r="B4240" s="244" t="str">
        <f t="shared" si="66"/>
        <v>Total Hip ReplacementProviderHARBOUR HOSPITAL (NT419)Oxford Hip Score</v>
      </c>
      <c r="C4240" t="s">
        <v>974</v>
      </c>
      <c r="D4240" t="s">
        <v>965</v>
      </c>
      <c r="E4240" t="s">
        <v>268</v>
      </c>
      <c r="F4240" t="s">
        <v>269</v>
      </c>
      <c r="G4240" t="s">
        <v>964</v>
      </c>
      <c r="H4240">
        <v>10</v>
      </c>
      <c r="I4240">
        <v>19</v>
      </c>
      <c r="J4240">
        <v>42.8</v>
      </c>
      <c r="K4240">
        <v>23.8</v>
      </c>
      <c r="L4240">
        <v>10</v>
      </c>
      <c r="M4240">
        <v>0</v>
      </c>
      <c r="N4240">
        <v>0</v>
      </c>
      <c r="O4240" t="s">
        <v>127</v>
      </c>
      <c r="P4240" t="s">
        <v>127</v>
      </c>
      <c r="Q4240" t="s">
        <v>127</v>
      </c>
    </row>
    <row r="4241" spans="1:17" x14ac:dyDescent="0.25">
      <c r="A4241">
        <f>IF(C4241&amp;G4241&amp;D4241&lt;&gt;'Funnel setup'!$K$3&amp;'Funnel setup'!$K$4&amp;'Funnel setup'!$K$6,".",IF(A4240=".",1,A4240+1))</f>
        <v>58</v>
      </c>
      <c r="B4241" s="244" t="str">
        <f t="shared" si="66"/>
        <v>Total Hip ReplacementProviderHARROGATE AND DISTRICT NHS FOUNDATION TRUST (RCD)Oxford Hip Score</v>
      </c>
      <c r="C4241" t="s">
        <v>974</v>
      </c>
      <c r="D4241" t="s">
        <v>965</v>
      </c>
      <c r="E4241" t="s">
        <v>270</v>
      </c>
      <c r="F4241" t="s">
        <v>271</v>
      </c>
      <c r="G4241" t="s">
        <v>964</v>
      </c>
      <c r="H4241">
        <v>90</v>
      </c>
      <c r="I4241">
        <v>17.622199999999999</v>
      </c>
      <c r="J4241">
        <v>39.700000000000003</v>
      </c>
      <c r="K4241">
        <v>22.0778</v>
      </c>
      <c r="L4241">
        <v>87</v>
      </c>
      <c r="M4241">
        <v>0</v>
      </c>
      <c r="N4241">
        <v>3</v>
      </c>
      <c r="O4241">
        <v>40.372799999999998</v>
      </c>
      <c r="P4241">
        <v>23.161300000000001</v>
      </c>
      <c r="Q4241">
        <v>8.1364800000000006</v>
      </c>
    </row>
    <row r="4242" spans="1:17" x14ac:dyDescent="0.25">
      <c r="A4242">
        <f>IF(C4242&amp;G4242&amp;D4242&lt;&gt;'Funnel setup'!$K$3&amp;'Funnel setup'!$K$4&amp;'Funnel setup'!$K$6,".",IF(A4241=".",1,A4241+1))</f>
        <v>59</v>
      </c>
      <c r="B4242" s="244" t="str">
        <f t="shared" si="66"/>
        <v>Total Hip ReplacementProviderHIGHFIELD HOSPITAL (NT420)Oxford Hip Score</v>
      </c>
      <c r="C4242" t="s">
        <v>974</v>
      </c>
      <c r="D4242" t="s">
        <v>965</v>
      </c>
      <c r="E4242" t="s">
        <v>272</v>
      </c>
      <c r="F4242" t="s">
        <v>273</v>
      </c>
      <c r="G4242" t="s">
        <v>964</v>
      </c>
      <c r="H4242">
        <v>143</v>
      </c>
      <c r="I4242">
        <v>18.601400000000002</v>
      </c>
      <c r="J4242">
        <v>41.349699999999999</v>
      </c>
      <c r="K4242">
        <v>22.7483</v>
      </c>
      <c r="L4242">
        <v>139</v>
      </c>
      <c r="M4242">
        <v>3</v>
      </c>
      <c r="N4242">
        <v>1</v>
      </c>
      <c r="O4242">
        <v>39.617600000000003</v>
      </c>
      <c r="P4242">
        <v>22.406099999999999</v>
      </c>
      <c r="Q4242">
        <v>7.4760900000000001</v>
      </c>
    </row>
    <row r="4243" spans="1:17" x14ac:dyDescent="0.25">
      <c r="A4243">
        <f>IF(C4243&amp;G4243&amp;D4243&lt;&gt;'Funnel setup'!$K$3&amp;'Funnel setup'!$K$4&amp;'Funnel setup'!$K$6,".",IF(A4242=".",1,A4242+1))</f>
        <v>60</v>
      </c>
      <c r="B4243" s="244" t="str">
        <f t="shared" si="66"/>
        <v>Total Hip ReplacementProviderHOMERTON HEALTHCARE NHS FOUNDATION TRUST (RQX)Oxford Hip Score</v>
      </c>
      <c r="C4243" t="s">
        <v>974</v>
      </c>
      <c r="D4243" t="s">
        <v>965</v>
      </c>
      <c r="E4243" t="s">
        <v>274</v>
      </c>
      <c r="F4243" t="s">
        <v>275</v>
      </c>
      <c r="G4243" t="s">
        <v>964</v>
      </c>
      <c r="H4243">
        <v>5</v>
      </c>
      <c r="I4243">
        <v>15.2</v>
      </c>
      <c r="J4243">
        <v>34.4</v>
      </c>
      <c r="K4243">
        <v>19.2</v>
      </c>
      <c r="L4243">
        <v>5</v>
      </c>
      <c r="M4243">
        <v>0</v>
      </c>
      <c r="N4243">
        <v>0</v>
      </c>
      <c r="O4243" t="s">
        <v>127</v>
      </c>
      <c r="P4243" t="s">
        <v>127</v>
      </c>
      <c r="Q4243" t="s">
        <v>127</v>
      </c>
    </row>
    <row r="4244" spans="1:17" x14ac:dyDescent="0.25">
      <c r="A4244">
        <f>IF(C4244&amp;G4244&amp;D4244&lt;&gt;'Funnel setup'!$K$3&amp;'Funnel setup'!$K$4&amp;'Funnel setup'!$K$6,".",IF(A4243=".",1,A4243+1))</f>
        <v>61</v>
      </c>
      <c r="B4244" s="244" t="str">
        <f t="shared" si="66"/>
        <v>Total Hip ReplacementProviderHUDDERSFIELD HOSPITAL (NT448)Oxford Hip Score</v>
      </c>
      <c r="C4244" t="s">
        <v>974</v>
      </c>
      <c r="D4244" t="s">
        <v>965</v>
      </c>
      <c r="E4244" t="s">
        <v>276</v>
      </c>
      <c r="F4244" t="s">
        <v>277</v>
      </c>
      <c r="G4244" t="s">
        <v>964</v>
      </c>
      <c r="H4244">
        <v>8</v>
      </c>
      <c r="I4244">
        <v>20.375</v>
      </c>
      <c r="J4244">
        <v>42</v>
      </c>
      <c r="K4244">
        <v>21.625</v>
      </c>
      <c r="L4244">
        <v>8</v>
      </c>
      <c r="M4244">
        <v>0</v>
      </c>
      <c r="N4244">
        <v>0</v>
      </c>
      <c r="O4244" t="s">
        <v>127</v>
      </c>
      <c r="P4244" t="s">
        <v>127</v>
      </c>
      <c r="Q4244" t="s">
        <v>127</v>
      </c>
    </row>
    <row r="4245" spans="1:17" x14ac:dyDescent="0.25">
      <c r="A4245">
        <f>IF(C4245&amp;G4245&amp;D4245&lt;&gt;'Funnel setup'!$K$3&amp;'Funnel setup'!$K$4&amp;'Funnel setup'!$K$6,".",IF(A4244=".",1,A4244+1))</f>
        <v>62</v>
      </c>
      <c r="B4245" s="244" t="str">
        <f t="shared" si="66"/>
        <v>Total Hip ReplacementProviderHULL UNIVERSITY TEACHING HOSPITALS NHS TRUST (RWA)Oxford Hip Score</v>
      </c>
      <c r="C4245" t="s">
        <v>974</v>
      </c>
      <c r="D4245" t="s">
        <v>965</v>
      </c>
      <c r="E4245" t="s">
        <v>278</v>
      </c>
      <c r="F4245" t="s">
        <v>279</v>
      </c>
      <c r="G4245" t="s">
        <v>964</v>
      </c>
      <c r="H4245">
        <v>40</v>
      </c>
      <c r="I4245">
        <v>14.1</v>
      </c>
      <c r="J4245">
        <v>35.375</v>
      </c>
      <c r="K4245">
        <v>21.274999999999999</v>
      </c>
      <c r="L4245">
        <v>40</v>
      </c>
      <c r="M4245">
        <v>0</v>
      </c>
      <c r="N4245">
        <v>0</v>
      </c>
      <c r="O4245">
        <v>38.1113</v>
      </c>
      <c r="P4245">
        <v>20.899899999999999</v>
      </c>
      <c r="Q4245">
        <v>9.2251100000000008</v>
      </c>
    </row>
    <row r="4246" spans="1:17" x14ac:dyDescent="0.25">
      <c r="A4246">
        <f>IF(C4246&amp;G4246&amp;D4246&lt;&gt;'Funnel setup'!$K$3&amp;'Funnel setup'!$K$4&amp;'Funnel setup'!$K$6,".",IF(A4245=".",1,A4245+1))</f>
        <v>63</v>
      </c>
      <c r="B4246" s="244" t="str">
        <f t="shared" si="66"/>
        <v>Total Hip ReplacementProviderIMPERIAL COLLEGE HEALTHCARE NHS TRUST (RYJ)Oxford Hip Score</v>
      </c>
      <c r="C4246" t="s">
        <v>974</v>
      </c>
      <c r="D4246" t="s">
        <v>965</v>
      </c>
      <c r="E4246" t="s">
        <v>280</v>
      </c>
      <c r="F4246" t="s">
        <v>281</v>
      </c>
      <c r="G4246" t="s">
        <v>964</v>
      </c>
      <c r="H4246">
        <v>23</v>
      </c>
      <c r="I4246">
        <v>15.521699999999999</v>
      </c>
      <c r="J4246">
        <v>42.304299999999998</v>
      </c>
      <c r="K4246">
        <v>26.782599999999999</v>
      </c>
      <c r="L4246">
        <v>23</v>
      </c>
      <c r="M4246">
        <v>0</v>
      </c>
      <c r="N4246">
        <v>0</v>
      </c>
      <c r="O4246" t="s">
        <v>127</v>
      </c>
      <c r="P4246" t="s">
        <v>127</v>
      </c>
      <c r="Q4246" t="s">
        <v>127</v>
      </c>
    </row>
    <row r="4247" spans="1:17" x14ac:dyDescent="0.25">
      <c r="A4247">
        <f>IF(C4247&amp;G4247&amp;D4247&lt;&gt;'Funnel setup'!$K$3&amp;'Funnel setup'!$K$4&amp;'Funnel setup'!$K$6,".",IF(A4246=".",1,A4246+1))</f>
        <v>64</v>
      </c>
      <c r="B4247" s="244" t="str">
        <f t="shared" si="66"/>
        <v>Total Hip ReplacementProviderISLE OF WIGHT NHS TRUST (R1F)Oxford Hip Score</v>
      </c>
      <c r="C4247" t="s">
        <v>974</v>
      </c>
      <c r="D4247" t="s">
        <v>965</v>
      </c>
      <c r="E4247" t="s">
        <v>282</v>
      </c>
      <c r="F4247" t="s">
        <v>283</v>
      </c>
      <c r="G4247" t="s">
        <v>964</v>
      </c>
      <c r="H4247">
        <v>2</v>
      </c>
      <c r="I4247">
        <v>17.5</v>
      </c>
      <c r="J4247">
        <v>45</v>
      </c>
      <c r="K4247">
        <v>27.5</v>
      </c>
      <c r="L4247">
        <v>2</v>
      </c>
      <c r="M4247">
        <v>0</v>
      </c>
      <c r="N4247">
        <v>0</v>
      </c>
      <c r="O4247" t="s">
        <v>127</v>
      </c>
      <c r="P4247" t="s">
        <v>127</v>
      </c>
      <c r="Q4247" t="s">
        <v>127</v>
      </c>
    </row>
    <row r="4248" spans="1:17" x14ac:dyDescent="0.25">
      <c r="A4248">
        <f>IF(C4248&amp;G4248&amp;D4248&lt;&gt;'Funnel setup'!$K$3&amp;'Funnel setup'!$K$4&amp;'Funnel setup'!$K$6,".",IF(A4247=".",1,A4247+1))</f>
        <v>65</v>
      </c>
      <c r="B4248" s="244" t="str">
        <f t="shared" si="66"/>
        <v>Total Hip ReplacementProviderJAMES PAGET UNIVERSITY HOSPITALS NHS FOUNDATION TRUST (RGP)Oxford Hip Score</v>
      </c>
      <c r="C4248" t="s">
        <v>974</v>
      </c>
      <c r="D4248" t="s">
        <v>965</v>
      </c>
      <c r="E4248" t="s">
        <v>284</v>
      </c>
      <c r="F4248" t="s">
        <v>285</v>
      </c>
      <c r="G4248" t="s">
        <v>964</v>
      </c>
      <c r="H4248">
        <v>69</v>
      </c>
      <c r="I4248">
        <v>13.7536</v>
      </c>
      <c r="J4248">
        <v>38.869599999999998</v>
      </c>
      <c r="K4248">
        <v>25.1159</v>
      </c>
      <c r="L4248">
        <v>68</v>
      </c>
      <c r="M4248">
        <v>0</v>
      </c>
      <c r="N4248">
        <v>1</v>
      </c>
      <c r="O4248">
        <v>39.156199999999998</v>
      </c>
      <c r="P4248">
        <v>21.944800000000001</v>
      </c>
      <c r="Q4248">
        <v>9.3584200000000006</v>
      </c>
    </row>
    <row r="4249" spans="1:17" x14ac:dyDescent="0.25">
      <c r="A4249">
        <f>IF(C4249&amp;G4249&amp;D4249&lt;&gt;'Funnel setup'!$K$3&amp;'Funnel setup'!$K$4&amp;'Funnel setup'!$K$6,".",IF(A4248=".",1,A4248+1))</f>
        <v>66</v>
      </c>
      <c r="B4249" s="244" t="str">
        <f t="shared" si="66"/>
        <v>Total Hip ReplacementProviderKETTERING GENERAL HOSPITAL NHS FOUNDATION TRUST (RNQ)Oxford Hip Score</v>
      </c>
      <c r="C4249" t="s">
        <v>974</v>
      </c>
      <c r="D4249" t="s">
        <v>965</v>
      </c>
      <c r="E4249" t="s">
        <v>286</v>
      </c>
      <c r="F4249" t="s">
        <v>287</v>
      </c>
      <c r="G4249" t="s">
        <v>964</v>
      </c>
      <c r="H4249">
        <v>33</v>
      </c>
      <c r="I4249">
        <v>13.8788</v>
      </c>
      <c r="J4249">
        <v>37.2121</v>
      </c>
      <c r="K4249">
        <v>23.333300000000001</v>
      </c>
      <c r="L4249">
        <v>30</v>
      </c>
      <c r="M4249">
        <v>1</v>
      </c>
      <c r="N4249">
        <v>2</v>
      </c>
      <c r="O4249">
        <v>40.305100000000003</v>
      </c>
      <c r="P4249">
        <v>23.093699999999998</v>
      </c>
      <c r="Q4249">
        <v>7.9183700000000004</v>
      </c>
    </row>
    <row r="4250" spans="1:17" x14ac:dyDescent="0.25">
      <c r="A4250">
        <f>IF(C4250&amp;G4250&amp;D4250&lt;&gt;'Funnel setup'!$K$3&amp;'Funnel setup'!$K$4&amp;'Funnel setup'!$K$6,".",IF(A4249=".",1,A4249+1))</f>
        <v>67</v>
      </c>
      <c r="B4250" s="244" t="str">
        <f t="shared" si="66"/>
        <v>Total Hip ReplacementProviderKIMS HOSPITAL (NEWNHAM COURT) (ADP02)Oxford Hip Score</v>
      </c>
      <c r="C4250" t="s">
        <v>974</v>
      </c>
      <c r="D4250" t="s">
        <v>965</v>
      </c>
      <c r="E4250" t="s">
        <v>288</v>
      </c>
      <c r="F4250" t="s">
        <v>289</v>
      </c>
      <c r="G4250" t="s">
        <v>964</v>
      </c>
      <c r="H4250">
        <v>108</v>
      </c>
      <c r="I4250">
        <v>18.8704</v>
      </c>
      <c r="J4250">
        <v>42.351900000000001</v>
      </c>
      <c r="K4250">
        <v>23.4815</v>
      </c>
      <c r="L4250">
        <v>107</v>
      </c>
      <c r="M4250">
        <v>1</v>
      </c>
      <c r="N4250">
        <v>0</v>
      </c>
      <c r="O4250">
        <v>39.725900000000003</v>
      </c>
      <c r="P4250">
        <v>22.514399999999998</v>
      </c>
      <c r="Q4250">
        <v>7.3276899999999996</v>
      </c>
    </row>
    <row r="4251" spans="1:17" x14ac:dyDescent="0.25">
      <c r="A4251">
        <f>IF(C4251&amp;G4251&amp;D4251&lt;&gt;'Funnel setup'!$K$3&amp;'Funnel setup'!$K$4&amp;'Funnel setup'!$K$6,".",IF(A4250=".",1,A4250+1))</f>
        <v>68</v>
      </c>
      <c r="B4251" s="244" t="str">
        <f t="shared" si="66"/>
        <v>Total Hip ReplacementProviderKING'S COLLEGE HOSPITAL NHS FOUNDATION TRUST (RJZ)Oxford Hip Score</v>
      </c>
      <c r="C4251" t="s">
        <v>974</v>
      </c>
      <c r="D4251" t="s">
        <v>965</v>
      </c>
      <c r="E4251" t="s">
        <v>290</v>
      </c>
      <c r="F4251" t="s">
        <v>291</v>
      </c>
      <c r="G4251" t="s">
        <v>964</v>
      </c>
      <c r="H4251">
        <v>15</v>
      </c>
      <c r="I4251">
        <v>18.466699999999999</v>
      </c>
      <c r="J4251">
        <v>38.066699999999997</v>
      </c>
      <c r="K4251">
        <v>19.600000000000001</v>
      </c>
      <c r="L4251">
        <v>15</v>
      </c>
      <c r="M4251">
        <v>0</v>
      </c>
      <c r="N4251">
        <v>0</v>
      </c>
      <c r="O4251" t="s">
        <v>127</v>
      </c>
      <c r="P4251" t="s">
        <v>127</v>
      </c>
      <c r="Q4251" t="s">
        <v>127</v>
      </c>
    </row>
    <row r="4252" spans="1:17" x14ac:dyDescent="0.25">
      <c r="A4252">
        <f>IF(C4252&amp;G4252&amp;D4252&lt;&gt;'Funnel setup'!$K$3&amp;'Funnel setup'!$K$4&amp;'Funnel setup'!$K$6,".",IF(A4251=".",1,A4251+1))</f>
        <v>69</v>
      </c>
      <c r="B4252" s="244" t="str">
        <f t="shared" si="66"/>
        <v>Total Hip ReplacementProviderKINGS OAK HOSPITAL (NT421)Oxford Hip Score</v>
      </c>
      <c r="C4252" t="s">
        <v>974</v>
      </c>
      <c r="D4252" t="s">
        <v>965</v>
      </c>
      <c r="E4252" t="s">
        <v>292</v>
      </c>
      <c r="F4252" t="s">
        <v>293</v>
      </c>
      <c r="G4252" t="s">
        <v>964</v>
      </c>
      <c r="H4252">
        <v>14</v>
      </c>
      <c r="I4252">
        <v>19.785699999999999</v>
      </c>
      <c r="J4252">
        <v>41.357100000000003</v>
      </c>
      <c r="K4252">
        <v>21.571400000000001</v>
      </c>
      <c r="L4252">
        <v>14</v>
      </c>
      <c r="M4252">
        <v>0</v>
      </c>
      <c r="N4252">
        <v>0</v>
      </c>
      <c r="O4252" t="s">
        <v>127</v>
      </c>
      <c r="P4252" t="s">
        <v>127</v>
      </c>
      <c r="Q4252" t="s">
        <v>127</v>
      </c>
    </row>
    <row r="4253" spans="1:17" x14ac:dyDescent="0.25">
      <c r="A4253">
        <f>IF(C4253&amp;G4253&amp;D4253&lt;&gt;'Funnel setup'!$K$3&amp;'Funnel setup'!$K$4&amp;'Funnel setup'!$K$6,".",IF(A4252=".",1,A4252+1))</f>
        <v>70</v>
      </c>
      <c r="B4253" s="244" t="str">
        <f t="shared" si="66"/>
        <v>Total Hip ReplacementProviderLANCASHIRE TEACHING HOSPITALS NHS FOUNDATION TRUST (RXN)Oxford Hip Score</v>
      </c>
      <c r="C4253" t="s">
        <v>974</v>
      </c>
      <c r="D4253" t="s">
        <v>965</v>
      </c>
      <c r="E4253" t="s">
        <v>296</v>
      </c>
      <c r="F4253" t="s">
        <v>297</v>
      </c>
      <c r="G4253" t="s">
        <v>964</v>
      </c>
      <c r="H4253">
        <v>37</v>
      </c>
      <c r="I4253">
        <v>17.945900000000002</v>
      </c>
      <c r="J4253">
        <v>34.162199999999999</v>
      </c>
      <c r="K4253">
        <v>16.216200000000001</v>
      </c>
      <c r="L4253">
        <v>34</v>
      </c>
      <c r="M4253">
        <v>0</v>
      </c>
      <c r="N4253">
        <v>3</v>
      </c>
      <c r="O4253">
        <v>35.998699999999999</v>
      </c>
      <c r="P4253">
        <v>18.787299999999998</v>
      </c>
      <c r="Q4253">
        <v>10.6877</v>
      </c>
    </row>
    <row r="4254" spans="1:17" x14ac:dyDescent="0.25">
      <c r="A4254">
        <f>IF(C4254&amp;G4254&amp;D4254&lt;&gt;'Funnel setup'!$K$3&amp;'Funnel setup'!$K$4&amp;'Funnel setup'!$K$6,".",IF(A4253=".",1,A4253+1))</f>
        <v>71</v>
      </c>
      <c r="B4254" s="244" t="str">
        <f t="shared" si="66"/>
        <v>Total Hip ReplacementProviderLANCASTER HOSPITAL (NT449)Oxford Hip Score</v>
      </c>
      <c r="C4254" t="s">
        <v>974</v>
      </c>
      <c r="D4254" t="s">
        <v>965</v>
      </c>
      <c r="E4254" t="s">
        <v>298</v>
      </c>
      <c r="F4254" t="s">
        <v>299</v>
      </c>
      <c r="G4254" t="s">
        <v>964</v>
      </c>
      <c r="H4254">
        <v>23</v>
      </c>
      <c r="I4254">
        <v>21.391300000000001</v>
      </c>
      <c r="J4254">
        <v>42.565199999999997</v>
      </c>
      <c r="K4254">
        <v>21.1739</v>
      </c>
      <c r="L4254">
        <v>22</v>
      </c>
      <c r="M4254">
        <v>0</v>
      </c>
      <c r="N4254">
        <v>1</v>
      </c>
      <c r="O4254" t="s">
        <v>127</v>
      </c>
      <c r="P4254" t="s">
        <v>127</v>
      </c>
      <c r="Q4254" t="s">
        <v>127</v>
      </c>
    </row>
    <row r="4255" spans="1:17" x14ac:dyDescent="0.25">
      <c r="A4255">
        <f>IF(C4255&amp;G4255&amp;D4255&lt;&gt;'Funnel setup'!$K$3&amp;'Funnel setup'!$K$4&amp;'Funnel setup'!$K$6,".",IF(A4254=".",1,A4254+1))</f>
        <v>72</v>
      </c>
      <c r="B4255" s="244" t="str">
        <f t="shared" si="66"/>
        <v>Total Hip ReplacementProviderLEEDS TEACHING HOSPITALS NHS TRUST (RR8)Oxford Hip Score</v>
      </c>
      <c r="C4255" t="s">
        <v>974</v>
      </c>
      <c r="D4255" t="s">
        <v>965</v>
      </c>
      <c r="E4255" t="s">
        <v>300</v>
      </c>
      <c r="F4255" t="s">
        <v>301</v>
      </c>
      <c r="G4255" t="s">
        <v>964</v>
      </c>
      <c r="H4255">
        <v>124</v>
      </c>
      <c r="I4255">
        <v>18.846800000000002</v>
      </c>
      <c r="J4255">
        <v>37.991900000000001</v>
      </c>
      <c r="K4255">
        <v>19.145199999999999</v>
      </c>
      <c r="L4255">
        <v>113</v>
      </c>
      <c r="M4255">
        <v>1</v>
      </c>
      <c r="N4255">
        <v>10</v>
      </c>
      <c r="O4255">
        <v>38.695999999999998</v>
      </c>
      <c r="P4255">
        <v>21.484500000000001</v>
      </c>
      <c r="Q4255">
        <v>8.6430100000000003</v>
      </c>
    </row>
    <row r="4256" spans="1:17" x14ac:dyDescent="0.25">
      <c r="A4256">
        <f>IF(C4256&amp;G4256&amp;D4256&lt;&gt;'Funnel setup'!$K$3&amp;'Funnel setup'!$K$4&amp;'Funnel setup'!$K$6,".",IF(A4255=".",1,A4255+1))</f>
        <v>73</v>
      </c>
      <c r="B4256" s="244" t="str">
        <f t="shared" si="66"/>
        <v>Total Hip ReplacementProviderLEWISHAM AND GREENWICH NHS TRUST (RJ2)Oxford Hip Score</v>
      </c>
      <c r="C4256" t="s">
        <v>974</v>
      </c>
      <c r="D4256" t="s">
        <v>965</v>
      </c>
      <c r="E4256" t="s">
        <v>302</v>
      </c>
      <c r="F4256" t="s">
        <v>303</v>
      </c>
      <c r="G4256" t="s">
        <v>964</v>
      </c>
      <c r="H4256">
        <v>2</v>
      </c>
      <c r="I4256">
        <v>23.5</v>
      </c>
      <c r="J4256">
        <v>46.5</v>
      </c>
      <c r="K4256">
        <v>23</v>
      </c>
      <c r="L4256">
        <v>2</v>
      </c>
      <c r="M4256">
        <v>0</v>
      </c>
      <c r="N4256">
        <v>0</v>
      </c>
      <c r="O4256" t="s">
        <v>127</v>
      </c>
      <c r="P4256" t="s">
        <v>127</v>
      </c>
      <c r="Q4256" t="s">
        <v>127</v>
      </c>
    </row>
    <row r="4257" spans="1:17" x14ac:dyDescent="0.25">
      <c r="A4257">
        <f>IF(C4257&amp;G4257&amp;D4257&lt;&gt;'Funnel setup'!$K$3&amp;'Funnel setup'!$K$4&amp;'Funnel setup'!$K$6,".",IF(A4256=".",1,A4256+1))</f>
        <v>74</v>
      </c>
      <c r="B4257" s="244" t="str">
        <f t="shared" si="66"/>
        <v>Total Hip ReplacementProviderLINCOLN HOSPITAL (NT450)Oxford Hip Score</v>
      </c>
      <c r="C4257" t="s">
        <v>974</v>
      </c>
      <c r="D4257" t="s">
        <v>965</v>
      </c>
      <c r="E4257" t="s">
        <v>304</v>
      </c>
      <c r="F4257" t="s">
        <v>305</v>
      </c>
      <c r="G4257" t="s">
        <v>964</v>
      </c>
      <c r="H4257">
        <v>67</v>
      </c>
      <c r="I4257">
        <v>18.791</v>
      </c>
      <c r="J4257">
        <v>42.731299999999997</v>
      </c>
      <c r="K4257">
        <v>23.940300000000001</v>
      </c>
      <c r="L4257">
        <v>65</v>
      </c>
      <c r="M4257">
        <v>1</v>
      </c>
      <c r="N4257">
        <v>1</v>
      </c>
      <c r="O4257">
        <v>41.976300000000002</v>
      </c>
      <c r="P4257">
        <v>24.764800000000001</v>
      </c>
      <c r="Q4257">
        <v>6.7172299999999998</v>
      </c>
    </row>
    <row r="4258" spans="1:17" x14ac:dyDescent="0.25">
      <c r="A4258">
        <f>IF(C4258&amp;G4258&amp;D4258&lt;&gt;'Funnel setup'!$K$3&amp;'Funnel setup'!$K$4&amp;'Funnel setup'!$K$6,".",IF(A4257=".",1,A4257+1))</f>
        <v>75</v>
      </c>
      <c r="B4258" s="244" t="str">
        <f t="shared" si="66"/>
        <v>Total Hip ReplacementProviderLIVERPOOL UNIVERSITY HOSPITALS NHS FOUNDATION TRUST (REM)Oxford Hip Score</v>
      </c>
      <c r="C4258" t="s">
        <v>974</v>
      </c>
      <c r="D4258" t="s">
        <v>965</v>
      </c>
      <c r="E4258" t="s">
        <v>306</v>
      </c>
      <c r="F4258" t="s">
        <v>307</v>
      </c>
      <c r="G4258" t="s">
        <v>964</v>
      </c>
      <c r="H4258">
        <v>97</v>
      </c>
      <c r="I4258">
        <v>13.2577</v>
      </c>
      <c r="J4258">
        <v>36.092799999999997</v>
      </c>
      <c r="K4258">
        <v>22.835100000000001</v>
      </c>
      <c r="L4258">
        <v>93</v>
      </c>
      <c r="M4258">
        <v>0</v>
      </c>
      <c r="N4258">
        <v>4</v>
      </c>
      <c r="O4258">
        <v>39.662100000000002</v>
      </c>
      <c r="P4258">
        <v>22.450700000000001</v>
      </c>
      <c r="Q4258">
        <v>9.6781199999999998</v>
      </c>
    </row>
    <row r="4259" spans="1:17" x14ac:dyDescent="0.25">
      <c r="A4259">
        <f>IF(C4259&amp;G4259&amp;D4259&lt;&gt;'Funnel setup'!$K$3&amp;'Funnel setup'!$K$4&amp;'Funnel setup'!$K$6,".",IF(A4258=".",1,A4258+1))</f>
        <v>76</v>
      </c>
      <c r="B4259" s="244" t="str">
        <f t="shared" si="66"/>
        <v>Total Hip ReplacementProviderLONDON INDEPENDENT HOSPITAL (NT422)Oxford Hip Score</v>
      </c>
      <c r="C4259" t="s">
        <v>974</v>
      </c>
      <c r="D4259" t="s">
        <v>965</v>
      </c>
      <c r="E4259" t="s">
        <v>308</v>
      </c>
      <c r="F4259" t="s">
        <v>309</v>
      </c>
      <c r="G4259" t="s">
        <v>964</v>
      </c>
      <c r="H4259">
        <v>8</v>
      </c>
      <c r="I4259">
        <v>16.5</v>
      </c>
      <c r="J4259">
        <v>38.125</v>
      </c>
      <c r="K4259">
        <v>21.625</v>
      </c>
      <c r="L4259">
        <v>8</v>
      </c>
      <c r="M4259">
        <v>0</v>
      </c>
      <c r="N4259">
        <v>0</v>
      </c>
      <c r="O4259" t="s">
        <v>127</v>
      </c>
      <c r="P4259" t="s">
        <v>127</v>
      </c>
      <c r="Q4259" t="s">
        <v>127</v>
      </c>
    </row>
    <row r="4260" spans="1:17" x14ac:dyDescent="0.25">
      <c r="A4260">
        <f>IF(C4260&amp;G4260&amp;D4260&lt;&gt;'Funnel setup'!$K$3&amp;'Funnel setup'!$K$4&amp;'Funnel setup'!$K$6,".",IF(A4259=".",1,A4259+1))</f>
        <v>77</v>
      </c>
      <c r="B4260" s="244" t="str">
        <f t="shared" si="66"/>
        <v>Total Hip ReplacementProviderMAIDSTONE AND TUNBRIDGE WELLS NHS TRUST (RWF)Oxford Hip Score</v>
      </c>
      <c r="C4260" t="s">
        <v>974</v>
      </c>
      <c r="D4260" t="s">
        <v>965</v>
      </c>
      <c r="E4260" t="s">
        <v>312</v>
      </c>
      <c r="F4260" t="s">
        <v>313</v>
      </c>
      <c r="G4260" t="s">
        <v>964</v>
      </c>
      <c r="H4260">
        <v>124</v>
      </c>
      <c r="I4260">
        <v>19.1935</v>
      </c>
      <c r="J4260">
        <v>40.532299999999999</v>
      </c>
      <c r="K4260">
        <v>21.338699999999999</v>
      </c>
      <c r="L4260">
        <v>120</v>
      </c>
      <c r="M4260">
        <v>0</v>
      </c>
      <c r="N4260">
        <v>4</v>
      </c>
      <c r="O4260">
        <v>38.865499999999997</v>
      </c>
      <c r="P4260">
        <v>21.6541</v>
      </c>
      <c r="Q4260">
        <v>7.5328900000000001</v>
      </c>
    </row>
    <row r="4261" spans="1:17" x14ac:dyDescent="0.25">
      <c r="A4261">
        <f>IF(C4261&amp;G4261&amp;D4261&lt;&gt;'Funnel setup'!$K$3&amp;'Funnel setup'!$K$4&amp;'Funnel setup'!$K$6,".",IF(A4260=".",1,A4260+1))</f>
        <v>78</v>
      </c>
      <c r="B4261" s="244" t="str">
        <f t="shared" si="66"/>
        <v>Total Hip ReplacementProviderMANCHESTER UNIVERSITY NHS FOUNDATION TRUST (R0A)Oxford Hip Score</v>
      </c>
      <c r="C4261" t="s">
        <v>974</v>
      </c>
      <c r="D4261" t="s">
        <v>965</v>
      </c>
      <c r="E4261" t="s">
        <v>316</v>
      </c>
      <c r="F4261" t="s">
        <v>317</v>
      </c>
      <c r="G4261" t="s">
        <v>964</v>
      </c>
      <c r="H4261">
        <v>103</v>
      </c>
      <c r="I4261">
        <v>17.058299999999999</v>
      </c>
      <c r="J4261">
        <v>37.475700000000003</v>
      </c>
      <c r="K4261">
        <v>20.4175</v>
      </c>
      <c r="L4261">
        <v>98</v>
      </c>
      <c r="M4261">
        <v>0</v>
      </c>
      <c r="N4261">
        <v>5</v>
      </c>
      <c r="O4261">
        <v>38.485999999999997</v>
      </c>
      <c r="P4261">
        <v>21.2746</v>
      </c>
      <c r="Q4261">
        <v>9.7058199999999992</v>
      </c>
    </row>
    <row r="4262" spans="1:17" x14ac:dyDescent="0.25">
      <c r="A4262">
        <f>IF(C4262&amp;G4262&amp;D4262&lt;&gt;'Funnel setup'!$K$3&amp;'Funnel setup'!$K$4&amp;'Funnel setup'!$K$6,".",IF(A4261=".",1,A4261+1))</f>
        <v>79</v>
      </c>
      <c r="B4262" s="244" t="str">
        <f t="shared" si="66"/>
        <v>Total Hip ReplacementProviderMANOR HOSPITAL (NT423)Oxford Hip Score</v>
      </c>
      <c r="C4262" t="s">
        <v>974</v>
      </c>
      <c r="D4262" t="s">
        <v>965</v>
      </c>
      <c r="E4262" t="s">
        <v>318</v>
      </c>
      <c r="F4262" t="s">
        <v>319</v>
      </c>
      <c r="G4262" t="s">
        <v>964</v>
      </c>
      <c r="H4262">
        <v>17</v>
      </c>
      <c r="I4262">
        <v>20.235299999999999</v>
      </c>
      <c r="J4262">
        <v>41.941200000000002</v>
      </c>
      <c r="K4262">
        <v>21.7059</v>
      </c>
      <c r="L4262">
        <v>16</v>
      </c>
      <c r="M4262">
        <v>0</v>
      </c>
      <c r="N4262">
        <v>1</v>
      </c>
      <c r="O4262" t="s">
        <v>127</v>
      </c>
      <c r="P4262" t="s">
        <v>127</v>
      </c>
      <c r="Q4262" t="s">
        <v>127</v>
      </c>
    </row>
    <row r="4263" spans="1:17" x14ac:dyDescent="0.25">
      <c r="A4263">
        <f>IF(C4263&amp;G4263&amp;D4263&lt;&gt;'Funnel setup'!$K$3&amp;'Funnel setup'!$K$4&amp;'Funnel setup'!$K$6,".",IF(A4262=".",1,A4262+1))</f>
        <v>80</v>
      </c>
      <c r="B4263" s="244" t="str">
        <f t="shared" si="66"/>
        <v>Total Hip ReplacementProviderMEDWAY NHS FOUNDATION TRUST (RPA)Oxford Hip Score</v>
      </c>
      <c r="C4263" t="s">
        <v>974</v>
      </c>
      <c r="D4263" t="s">
        <v>965</v>
      </c>
      <c r="E4263" t="s">
        <v>320</v>
      </c>
      <c r="F4263" t="s">
        <v>321</v>
      </c>
      <c r="G4263" t="s">
        <v>964</v>
      </c>
      <c r="H4263">
        <v>48</v>
      </c>
      <c r="I4263">
        <v>14.375</v>
      </c>
      <c r="J4263">
        <v>37.645800000000001</v>
      </c>
      <c r="K4263">
        <v>23.270800000000001</v>
      </c>
      <c r="L4263">
        <v>47</v>
      </c>
      <c r="M4263">
        <v>0</v>
      </c>
      <c r="N4263">
        <v>1</v>
      </c>
      <c r="O4263">
        <v>38.678699999999999</v>
      </c>
      <c r="P4263">
        <v>21.467300000000002</v>
      </c>
      <c r="Q4263">
        <v>8.1486199999999993</v>
      </c>
    </row>
    <row r="4264" spans="1:17" x14ac:dyDescent="0.25">
      <c r="A4264">
        <f>IF(C4264&amp;G4264&amp;D4264&lt;&gt;'Funnel setup'!$K$3&amp;'Funnel setup'!$K$4&amp;'Funnel setup'!$K$6,".",IF(A4263=".",1,A4263+1))</f>
        <v>81</v>
      </c>
      <c r="B4264" s="244" t="str">
        <f t="shared" si="66"/>
        <v>Total Hip ReplacementProviderMERIDEN HOSPITAL (NT424)Oxford Hip Score</v>
      </c>
      <c r="C4264" t="s">
        <v>974</v>
      </c>
      <c r="D4264" t="s">
        <v>965</v>
      </c>
      <c r="E4264" t="s">
        <v>322</v>
      </c>
      <c r="F4264" t="s">
        <v>323</v>
      </c>
      <c r="G4264" t="s">
        <v>964</v>
      </c>
      <c r="H4264">
        <v>6</v>
      </c>
      <c r="I4264">
        <v>15.333299999999999</v>
      </c>
      <c r="J4264">
        <v>43.833300000000001</v>
      </c>
      <c r="K4264">
        <v>28.5</v>
      </c>
      <c r="L4264">
        <v>6</v>
      </c>
      <c r="M4264">
        <v>0</v>
      </c>
      <c r="N4264">
        <v>0</v>
      </c>
      <c r="O4264" t="s">
        <v>127</v>
      </c>
      <c r="P4264" t="s">
        <v>127</v>
      </c>
      <c r="Q4264" t="s">
        <v>127</v>
      </c>
    </row>
    <row r="4265" spans="1:17" x14ac:dyDescent="0.25">
      <c r="A4265">
        <f>IF(C4265&amp;G4265&amp;D4265&lt;&gt;'Funnel setup'!$K$3&amp;'Funnel setup'!$K$4&amp;'Funnel setup'!$K$6,".",IF(A4264=".",1,A4264+1))</f>
        <v>82</v>
      </c>
      <c r="B4265" s="244" t="str">
        <f t="shared" si="66"/>
        <v>Total Hip ReplacementProviderMID AND SOUTH ESSEX NHS FOUNDATION TRUST (RAJ)Oxford Hip Score</v>
      </c>
      <c r="C4265" t="s">
        <v>974</v>
      </c>
      <c r="D4265" t="s">
        <v>965</v>
      </c>
      <c r="E4265" t="s">
        <v>324</v>
      </c>
      <c r="F4265" t="s">
        <v>325</v>
      </c>
      <c r="G4265" t="s">
        <v>964</v>
      </c>
      <c r="H4265">
        <v>127</v>
      </c>
      <c r="I4265">
        <v>14.1417</v>
      </c>
      <c r="J4265">
        <v>39.133899999999997</v>
      </c>
      <c r="K4265">
        <v>24.992100000000001</v>
      </c>
      <c r="L4265">
        <v>126</v>
      </c>
      <c r="M4265">
        <v>0</v>
      </c>
      <c r="N4265">
        <v>1</v>
      </c>
      <c r="O4265">
        <v>40.532800000000002</v>
      </c>
      <c r="P4265">
        <v>23.321400000000001</v>
      </c>
      <c r="Q4265">
        <v>7.6601900000000001</v>
      </c>
    </row>
    <row r="4266" spans="1:17" x14ac:dyDescent="0.25">
      <c r="A4266">
        <f>IF(C4266&amp;G4266&amp;D4266&lt;&gt;'Funnel setup'!$K$3&amp;'Funnel setup'!$K$4&amp;'Funnel setup'!$K$6,".",IF(A4265=".",1,A4265+1))</f>
        <v>83</v>
      </c>
      <c r="B4266" s="244" t="str">
        <f t="shared" si="66"/>
        <v>Total Hip ReplacementProviderMID CHESHIRE HOSPITALS NHS FOUNDATION TRUST (RBT)Oxford Hip Score</v>
      </c>
      <c r="C4266" t="s">
        <v>974</v>
      </c>
      <c r="D4266" t="s">
        <v>965</v>
      </c>
      <c r="E4266" t="s">
        <v>326</v>
      </c>
      <c r="F4266" t="s">
        <v>327</v>
      </c>
      <c r="G4266" t="s">
        <v>964</v>
      </c>
      <c r="H4266">
        <v>112</v>
      </c>
      <c r="I4266">
        <v>16.401800000000001</v>
      </c>
      <c r="J4266">
        <v>40.616100000000003</v>
      </c>
      <c r="K4266">
        <v>24.214300000000001</v>
      </c>
      <c r="L4266">
        <v>111</v>
      </c>
      <c r="M4266">
        <v>1</v>
      </c>
      <c r="N4266">
        <v>0</v>
      </c>
      <c r="O4266">
        <v>40.838700000000003</v>
      </c>
      <c r="P4266">
        <v>23.627300000000002</v>
      </c>
      <c r="Q4266">
        <v>7.5113300000000001</v>
      </c>
    </row>
    <row r="4267" spans="1:17" x14ac:dyDescent="0.25">
      <c r="A4267">
        <f>IF(C4267&amp;G4267&amp;D4267&lt;&gt;'Funnel setup'!$K$3&amp;'Funnel setup'!$K$4&amp;'Funnel setup'!$K$6,".",IF(A4266=".",1,A4266+1))</f>
        <v>84</v>
      </c>
      <c r="B4267" s="244" t="str">
        <f t="shared" si="66"/>
        <v>Total Hip ReplacementProviderMID YORKSHIRE TEACHING NHS TRUST (RXF)Oxford Hip Score</v>
      </c>
      <c r="C4267" t="s">
        <v>974</v>
      </c>
      <c r="D4267" t="s">
        <v>965</v>
      </c>
      <c r="E4267" t="s">
        <v>330</v>
      </c>
      <c r="F4267" t="s">
        <v>331</v>
      </c>
      <c r="G4267" t="s">
        <v>964</v>
      </c>
      <c r="H4267">
        <v>187</v>
      </c>
      <c r="I4267">
        <v>16.507999999999999</v>
      </c>
      <c r="J4267">
        <v>37.855600000000003</v>
      </c>
      <c r="K4267">
        <v>21.3476</v>
      </c>
      <c r="L4267">
        <v>182</v>
      </c>
      <c r="M4267">
        <v>0</v>
      </c>
      <c r="N4267">
        <v>5</v>
      </c>
      <c r="O4267">
        <v>39.020800000000001</v>
      </c>
      <c r="P4267">
        <v>21.8094</v>
      </c>
      <c r="Q4267">
        <v>9.5394699999999997</v>
      </c>
    </row>
    <row r="4268" spans="1:17" x14ac:dyDescent="0.25">
      <c r="A4268">
        <f>IF(C4268&amp;G4268&amp;D4268&lt;&gt;'Funnel setup'!$K$3&amp;'Funnel setup'!$K$4&amp;'Funnel setup'!$K$6,".",IF(A4267=".",1,A4267+1))</f>
        <v>85</v>
      </c>
      <c r="B4268" s="244" t="str">
        <f t="shared" si="66"/>
        <v>Total Hip ReplacementProviderMILTON KEYNES UNIVERSITY HOSPITAL NHS FOUNDATION TRUST (RD8)Oxford Hip Score</v>
      </c>
      <c r="C4268" t="s">
        <v>974</v>
      </c>
      <c r="D4268" t="s">
        <v>965</v>
      </c>
      <c r="E4268" t="s">
        <v>332</v>
      </c>
      <c r="F4268" t="s">
        <v>333</v>
      </c>
      <c r="G4268" t="s">
        <v>964</v>
      </c>
      <c r="H4268">
        <v>39</v>
      </c>
      <c r="I4268">
        <v>12.225</v>
      </c>
      <c r="J4268">
        <v>39.325000000000003</v>
      </c>
      <c r="K4268">
        <v>27.1</v>
      </c>
      <c r="L4268">
        <v>39</v>
      </c>
      <c r="M4268">
        <v>0</v>
      </c>
      <c r="N4268">
        <v>0</v>
      </c>
      <c r="O4268">
        <v>42.176600000000001</v>
      </c>
      <c r="P4268">
        <v>24.965199999999999</v>
      </c>
      <c r="Q4268">
        <v>8.8437900000000003</v>
      </c>
    </row>
    <row r="4269" spans="1:17" x14ac:dyDescent="0.25">
      <c r="A4269">
        <f>IF(C4269&amp;G4269&amp;D4269&lt;&gt;'Funnel setup'!$K$3&amp;'Funnel setup'!$K$4&amp;'Funnel setup'!$K$6,".",IF(A4268=".",1,A4268+1))</f>
        <v>86</v>
      </c>
      <c r="B4269" s="244" t="str">
        <f t="shared" si="66"/>
        <v>Total Hip ReplacementProviderMOUNT ALVERNIA HOSPITAL (NT455)Oxford Hip Score</v>
      </c>
      <c r="C4269" t="s">
        <v>974</v>
      </c>
      <c r="D4269" t="s">
        <v>965</v>
      </c>
      <c r="E4269" t="s">
        <v>334</v>
      </c>
      <c r="F4269" t="s">
        <v>335</v>
      </c>
      <c r="G4269" t="s">
        <v>964</v>
      </c>
      <c r="H4269">
        <v>8</v>
      </c>
      <c r="I4269">
        <v>23.25</v>
      </c>
      <c r="J4269">
        <v>46.25</v>
      </c>
      <c r="K4269">
        <v>23</v>
      </c>
      <c r="L4269">
        <v>8</v>
      </c>
      <c r="M4269">
        <v>0</v>
      </c>
      <c r="N4269">
        <v>0</v>
      </c>
      <c r="O4269" t="s">
        <v>127</v>
      </c>
      <c r="P4269" t="s">
        <v>127</v>
      </c>
      <c r="Q4269" t="s">
        <v>127</v>
      </c>
    </row>
    <row r="4270" spans="1:17" x14ac:dyDescent="0.25">
      <c r="A4270">
        <f>IF(C4270&amp;G4270&amp;D4270&lt;&gt;'Funnel setup'!$K$3&amp;'Funnel setup'!$K$4&amp;'Funnel setup'!$K$6,".",IF(A4269=".",1,A4269+1))</f>
        <v>87</v>
      </c>
      <c r="B4270" s="244" t="str">
        <f t="shared" si="66"/>
        <v>Total Hip ReplacementProviderMOUNT STUART HOSPITAL (NVC08)Oxford Hip Score</v>
      </c>
      <c r="C4270" t="s">
        <v>974</v>
      </c>
      <c r="D4270" t="s">
        <v>965</v>
      </c>
      <c r="E4270" t="s">
        <v>336</v>
      </c>
      <c r="F4270" t="s">
        <v>337</v>
      </c>
      <c r="G4270" t="s">
        <v>964</v>
      </c>
      <c r="H4270">
        <v>88</v>
      </c>
      <c r="I4270">
        <v>16.329499999999999</v>
      </c>
      <c r="J4270">
        <v>40.8977</v>
      </c>
      <c r="K4270">
        <v>24.568200000000001</v>
      </c>
      <c r="L4270">
        <v>87</v>
      </c>
      <c r="M4270">
        <v>0</v>
      </c>
      <c r="N4270">
        <v>1</v>
      </c>
      <c r="O4270">
        <v>41.337699999999998</v>
      </c>
      <c r="P4270">
        <v>24.126200000000001</v>
      </c>
      <c r="Q4270">
        <v>7.7504200000000001</v>
      </c>
    </row>
    <row r="4271" spans="1:17" x14ac:dyDescent="0.25">
      <c r="A4271">
        <f>IF(C4271&amp;G4271&amp;D4271&lt;&gt;'Funnel setup'!$K$3&amp;'Funnel setup'!$K$4&amp;'Funnel setup'!$K$6,".",IF(A4270=".",1,A4270+1))</f>
        <v>88</v>
      </c>
      <c r="B4271" s="244" t="str">
        <f t="shared" si="66"/>
        <v>Total Hip ReplacementProviderNEW HALL HOSPITAL (NVC09)Oxford Hip Score</v>
      </c>
      <c r="C4271" t="s">
        <v>974</v>
      </c>
      <c r="D4271" t="s">
        <v>965</v>
      </c>
      <c r="E4271" t="s">
        <v>338</v>
      </c>
      <c r="F4271" t="s">
        <v>339</v>
      </c>
      <c r="G4271" t="s">
        <v>964</v>
      </c>
      <c r="H4271">
        <v>94</v>
      </c>
      <c r="I4271">
        <v>18.052600000000002</v>
      </c>
      <c r="J4271">
        <v>41.547400000000003</v>
      </c>
      <c r="K4271">
        <v>23.494700000000002</v>
      </c>
      <c r="L4271">
        <v>94</v>
      </c>
      <c r="M4271">
        <v>0</v>
      </c>
      <c r="N4271">
        <v>0</v>
      </c>
      <c r="O4271">
        <v>40.186300000000003</v>
      </c>
      <c r="P4271">
        <v>22.974900000000002</v>
      </c>
      <c r="Q4271">
        <v>7.4834399999999999</v>
      </c>
    </row>
    <row r="4272" spans="1:17" x14ac:dyDescent="0.25">
      <c r="A4272">
        <f>IF(C4272&amp;G4272&amp;D4272&lt;&gt;'Funnel setup'!$K$3&amp;'Funnel setup'!$K$4&amp;'Funnel setup'!$K$6,".",IF(A4271=".",1,A4271+1))</f>
        <v>89</v>
      </c>
      <c r="B4272" s="244" t="str">
        <f t="shared" si="66"/>
        <v>Total Hip ReplacementProviderNORFOLK AND NORWICH UNIVERSITY HOSPITALS NHS FOUNDATION TRUST (RM1)Oxford Hip Score</v>
      </c>
      <c r="C4272" t="s">
        <v>974</v>
      </c>
      <c r="D4272" t="s">
        <v>965</v>
      </c>
      <c r="E4272" t="s">
        <v>340</v>
      </c>
      <c r="F4272" t="s">
        <v>341</v>
      </c>
      <c r="G4272" t="s">
        <v>964</v>
      </c>
      <c r="H4272">
        <v>202</v>
      </c>
      <c r="I4272">
        <v>14.7822</v>
      </c>
      <c r="J4272">
        <v>37.792099999999998</v>
      </c>
      <c r="K4272">
        <v>23.009899999999998</v>
      </c>
      <c r="L4272">
        <v>194</v>
      </c>
      <c r="M4272">
        <v>1</v>
      </c>
      <c r="N4272">
        <v>7</v>
      </c>
      <c r="O4272">
        <v>40.155200000000001</v>
      </c>
      <c r="P4272">
        <v>22.9438</v>
      </c>
      <c r="Q4272">
        <v>9.2104099999999995</v>
      </c>
    </row>
    <row r="4273" spans="1:17" x14ac:dyDescent="0.25">
      <c r="A4273">
        <f>IF(C4273&amp;G4273&amp;D4273&lt;&gt;'Funnel setup'!$K$3&amp;'Funnel setup'!$K$4&amp;'Funnel setup'!$K$6,".",IF(A4272=".",1,A4272+1))</f>
        <v>90</v>
      </c>
      <c r="B4273" s="244" t="str">
        <f t="shared" si="66"/>
        <v>Total Hip ReplacementProviderNORTH BRISTOL NHS TRUST (RVJ)Oxford Hip Score</v>
      </c>
      <c r="C4273" t="s">
        <v>974</v>
      </c>
      <c r="D4273" t="s">
        <v>965</v>
      </c>
      <c r="E4273" t="s">
        <v>342</v>
      </c>
      <c r="F4273" t="s">
        <v>343</v>
      </c>
      <c r="G4273" t="s">
        <v>964</v>
      </c>
      <c r="H4273">
        <v>9</v>
      </c>
      <c r="I4273">
        <v>11.4444</v>
      </c>
      <c r="J4273">
        <v>35.333300000000001</v>
      </c>
      <c r="K4273">
        <v>23.8889</v>
      </c>
      <c r="L4273">
        <v>9</v>
      </c>
      <c r="M4273">
        <v>0</v>
      </c>
      <c r="N4273">
        <v>0</v>
      </c>
      <c r="O4273" t="s">
        <v>127</v>
      </c>
      <c r="P4273" t="s">
        <v>127</v>
      </c>
      <c r="Q4273" t="s">
        <v>127</v>
      </c>
    </row>
    <row r="4274" spans="1:17" x14ac:dyDescent="0.25">
      <c r="A4274">
        <f>IF(C4274&amp;G4274&amp;D4274&lt;&gt;'Funnel setup'!$K$3&amp;'Funnel setup'!$K$4&amp;'Funnel setup'!$K$6,".",IF(A4273=".",1,A4273+1))</f>
        <v>91</v>
      </c>
      <c r="B4274" s="244" t="str">
        <f t="shared" si="66"/>
        <v>Total Hip ReplacementProviderNORTH CUMBRIA INTEGRATED CARE NHS FOUNDATION TRUST (RNN)Oxford Hip Score</v>
      </c>
      <c r="C4274" t="s">
        <v>974</v>
      </c>
      <c r="D4274" t="s">
        <v>965</v>
      </c>
      <c r="E4274" t="s">
        <v>344</v>
      </c>
      <c r="F4274" t="s">
        <v>345</v>
      </c>
      <c r="G4274" t="s">
        <v>964</v>
      </c>
      <c r="H4274">
        <v>90</v>
      </c>
      <c r="I4274">
        <v>12.3889</v>
      </c>
      <c r="J4274">
        <v>38.6</v>
      </c>
      <c r="K4274">
        <v>26.211099999999998</v>
      </c>
      <c r="L4274">
        <v>89</v>
      </c>
      <c r="M4274">
        <v>0</v>
      </c>
      <c r="N4274">
        <v>1</v>
      </c>
      <c r="O4274">
        <v>41.608400000000003</v>
      </c>
      <c r="P4274">
        <v>24.396999999999998</v>
      </c>
      <c r="Q4274">
        <v>8.2959300000000002</v>
      </c>
    </row>
    <row r="4275" spans="1:17" x14ac:dyDescent="0.25">
      <c r="A4275">
        <f>IF(C4275&amp;G4275&amp;D4275&lt;&gt;'Funnel setup'!$K$3&amp;'Funnel setup'!$K$4&amp;'Funnel setup'!$K$6,".",IF(A4274=".",1,A4274+1))</f>
        <v>92</v>
      </c>
      <c r="B4275" s="244" t="str">
        <f t="shared" si="66"/>
        <v>Total Hip ReplacementProviderNORTH DOWNS HOSPITAL (NVC11)Oxford Hip Score</v>
      </c>
      <c r="C4275" t="s">
        <v>974</v>
      </c>
      <c r="D4275" t="s">
        <v>965</v>
      </c>
      <c r="E4275" t="s">
        <v>348</v>
      </c>
      <c r="F4275" t="s">
        <v>349</v>
      </c>
      <c r="G4275" t="s">
        <v>964</v>
      </c>
      <c r="H4275">
        <v>60</v>
      </c>
      <c r="I4275">
        <v>20.571400000000001</v>
      </c>
      <c r="J4275">
        <v>43.095199999999998</v>
      </c>
      <c r="K4275">
        <v>22.523800000000001</v>
      </c>
      <c r="L4275">
        <v>59</v>
      </c>
      <c r="M4275">
        <v>0</v>
      </c>
      <c r="N4275">
        <v>1</v>
      </c>
      <c r="O4275">
        <v>40.416699999999999</v>
      </c>
      <c r="P4275">
        <v>23.205300000000001</v>
      </c>
      <c r="Q4275">
        <v>6.2107999999999999</v>
      </c>
    </row>
    <row r="4276" spans="1:17" x14ac:dyDescent="0.25">
      <c r="A4276">
        <f>IF(C4276&amp;G4276&amp;D4276&lt;&gt;'Funnel setup'!$K$3&amp;'Funnel setup'!$K$4&amp;'Funnel setup'!$K$6,".",IF(A4275=".",1,A4275+1))</f>
        <v>93</v>
      </c>
      <c r="B4276" s="244" t="str">
        <f t="shared" si="66"/>
        <v>Total Hip ReplacementProviderNORTH MIDDLESEX UNIVERSITY HOSPITAL NHS TRUST (RAP)Oxford Hip Score</v>
      </c>
      <c r="C4276" t="s">
        <v>974</v>
      </c>
      <c r="D4276" t="s">
        <v>965</v>
      </c>
      <c r="E4276" t="s">
        <v>350</v>
      </c>
      <c r="F4276" t="s">
        <v>351</v>
      </c>
      <c r="G4276" t="s">
        <v>964</v>
      </c>
      <c r="H4276">
        <v>8</v>
      </c>
      <c r="I4276">
        <v>12.5</v>
      </c>
      <c r="J4276">
        <v>26.25</v>
      </c>
      <c r="K4276">
        <v>13.75</v>
      </c>
      <c r="L4276">
        <v>6</v>
      </c>
      <c r="M4276">
        <v>1</v>
      </c>
      <c r="N4276">
        <v>1</v>
      </c>
      <c r="O4276" t="s">
        <v>127</v>
      </c>
      <c r="P4276" t="s">
        <v>127</v>
      </c>
      <c r="Q4276" t="s">
        <v>127</v>
      </c>
    </row>
    <row r="4277" spans="1:17" x14ac:dyDescent="0.25">
      <c r="A4277">
        <f>IF(C4277&amp;G4277&amp;D4277&lt;&gt;'Funnel setup'!$K$3&amp;'Funnel setup'!$K$4&amp;'Funnel setup'!$K$6,".",IF(A4276=".",1,A4276+1))</f>
        <v>94</v>
      </c>
      <c r="B4277" s="244" t="str">
        <f t="shared" si="66"/>
        <v>Total Hip ReplacementProviderNORTH TEES AND HARTLEPOOL NHS FOUNDATION TRUST (RVW)Oxford Hip Score</v>
      </c>
      <c r="C4277" t="s">
        <v>974</v>
      </c>
      <c r="D4277" t="s">
        <v>965</v>
      </c>
      <c r="E4277" t="s">
        <v>352</v>
      </c>
      <c r="F4277" t="s">
        <v>353</v>
      </c>
      <c r="G4277" t="s">
        <v>964</v>
      </c>
      <c r="H4277">
        <v>116</v>
      </c>
      <c r="I4277">
        <v>14</v>
      </c>
      <c r="J4277">
        <v>36.948300000000003</v>
      </c>
      <c r="K4277">
        <v>22.9483</v>
      </c>
      <c r="L4277">
        <v>115</v>
      </c>
      <c r="M4277">
        <v>0</v>
      </c>
      <c r="N4277">
        <v>1</v>
      </c>
      <c r="O4277">
        <v>39.9437</v>
      </c>
      <c r="P4277">
        <v>22.732199999999999</v>
      </c>
      <c r="Q4277">
        <v>8.9224999999999994</v>
      </c>
    </row>
    <row r="4278" spans="1:17" x14ac:dyDescent="0.25">
      <c r="A4278">
        <f>IF(C4278&amp;G4278&amp;D4278&lt;&gt;'Funnel setup'!$K$3&amp;'Funnel setup'!$K$4&amp;'Funnel setup'!$K$6,".",IF(A4277=".",1,A4277+1))</f>
        <v>95</v>
      </c>
      <c r="B4278" s="244" t="str">
        <f t="shared" si="66"/>
        <v>Total Hip ReplacementProviderNORTH WEST ANGLIA NHS FOUNDATION TRUST (RGN)Oxford Hip Score</v>
      </c>
      <c r="C4278" t="s">
        <v>974</v>
      </c>
      <c r="D4278" t="s">
        <v>965</v>
      </c>
      <c r="E4278" t="s">
        <v>354</v>
      </c>
      <c r="F4278" t="s">
        <v>355</v>
      </c>
      <c r="G4278" t="s">
        <v>964</v>
      </c>
      <c r="H4278">
        <v>175</v>
      </c>
      <c r="I4278">
        <v>13.902900000000001</v>
      </c>
      <c r="J4278">
        <v>38.645699999999998</v>
      </c>
      <c r="K4278">
        <v>24.742899999999999</v>
      </c>
      <c r="L4278">
        <v>172</v>
      </c>
      <c r="M4278">
        <v>0</v>
      </c>
      <c r="N4278">
        <v>3</v>
      </c>
      <c r="O4278">
        <v>40.102400000000003</v>
      </c>
      <c r="P4278">
        <v>22.890999999999998</v>
      </c>
      <c r="Q4278">
        <v>8.7929499999999994</v>
      </c>
    </row>
    <row r="4279" spans="1:17" x14ac:dyDescent="0.25">
      <c r="A4279">
        <f>IF(C4279&amp;G4279&amp;D4279&lt;&gt;'Funnel setup'!$K$3&amp;'Funnel setup'!$K$4&amp;'Funnel setup'!$K$6,".",IF(A4278=".",1,A4278+1))</f>
        <v>96</v>
      </c>
      <c r="B4279" s="244" t="str">
        <f t="shared" si="66"/>
        <v>Total Hip ReplacementProviderNORTHAMPTON GENERAL HOSPITAL NHS TRUST (RNS)Oxford Hip Score</v>
      </c>
      <c r="C4279" t="s">
        <v>974</v>
      </c>
      <c r="D4279" t="s">
        <v>965</v>
      </c>
      <c r="E4279" t="s">
        <v>356</v>
      </c>
      <c r="F4279" t="s">
        <v>357</v>
      </c>
      <c r="G4279" t="s">
        <v>964</v>
      </c>
      <c r="H4279">
        <v>45</v>
      </c>
      <c r="I4279">
        <v>14.2889</v>
      </c>
      <c r="J4279">
        <v>38.488900000000001</v>
      </c>
      <c r="K4279">
        <v>24.2</v>
      </c>
      <c r="L4279">
        <v>44</v>
      </c>
      <c r="M4279">
        <v>0</v>
      </c>
      <c r="N4279">
        <v>1</v>
      </c>
      <c r="O4279">
        <v>40.747799999999998</v>
      </c>
      <c r="P4279">
        <v>23.5364</v>
      </c>
      <c r="Q4279">
        <v>8.8865300000000005</v>
      </c>
    </row>
    <row r="4280" spans="1:17" x14ac:dyDescent="0.25">
      <c r="A4280">
        <f>IF(C4280&amp;G4280&amp;D4280&lt;&gt;'Funnel setup'!$K$3&amp;'Funnel setup'!$K$4&amp;'Funnel setup'!$K$6,".",IF(A4279=".",1,A4279+1))</f>
        <v>97</v>
      </c>
      <c r="B4280" s="244" t="str">
        <f t="shared" si="66"/>
        <v>Total Hip ReplacementProviderNORTHERN CARE ALLIANCE NHS FOUNDATION TRUST (RM3)Oxford Hip Score</v>
      </c>
      <c r="C4280" t="s">
        <v>974</v>
      </c>
      <c r="D4280" t="s">
        <v>965</v>
      </c>
      <c r="E4280" t="s">
        <v>358</v>
      </c>
      <c r="F4280" t="s">
        <v>359</v>
      </c>
      <c r="G4280" t="s">
        <v>964</v>
      </c>
      <c r="H4280">
        <v>5</v>
      </c>
      <c r="I4280">
        <v>11.2</v>
      </c>
      <c r="J4280">
        <v>43.4</v>
      </c>
      <c r="K4280">
        <v>32.200000000000003</v>
      </c>
      <c r="L4280">
        <v>5</v>
      </c>
      <c r="M4280">
        <v>0</v>
      </c>
      <c r="N4280">
        <v>0</v>
      </c>
      <c r="O4280" t="s">
        <v>127</v>
      </c>
      <c r="P4280" t="s">
        <v>127</v>
      </c>
      <c r="Q4280" t="s">
        <v>127</v>
      </c>
    </row>
    <row r="4281" spans="1:17" x14ac:dyDescent="0.25">
      <c r="A4281">
        <f>IF(C4281&amp;G4281&amp;D4281&lt;&gt;'Funnel setup'!$K$3&amp;'Funnel setup'!$K$4&amp;'Funnel setup'!$K$6,".",IF(A4280=".",1,A4280+1))</f>
        <v>98</v>
      </c>
      <c r="B4281" s="244" t="str">
        <f t="shared" si="66"/>
        <v>Total Hip ReplacementProviderNORTHERN DEVON HEALTHCARE NHS TRUST (RBZ)Oxford Hip Score</v>
      </c>
      <c r="C4281" t="s">
        <v>974</v>
      </c>
      <c r="D4281" t="s">
        <v>965</v>
      </c>
      <c r="E4281" t="s">
        <v>360</v>
      </c>
      <c r="F4281" t="s">
        <v>361</v>
      </c>
      <c r="G4281" t="s">
        <v>964</v>
      </c>
      <c r="H4281">
        <v>34</v>
      </c>
      <c r="I4281">
        <v>15.029400000000001</v>
      </c>
      <c r="J4281">
        <v>40.882399999999997</v>
      </c>
      <c r="K4281">
        <v>25.852900000000002</v>
      </c>
      <c r="L4281">
        <v>34</v>
      </c>
      <c r="M4281">
        <v>0</v>
      </c>
      <c r="N4281">
        <v>0</v>
      </c>
      <c r="O4281">
        <v>43.398499999999999</v>
      </c>
      <c r="P4281">
        <v>26.187100000000001</v>
      </c>
      <c r="Q4281">
        <v>6.6360999999999999</v>
      </c>
    </row>
    <row r="4282" spans="1:17" x14ac:dyDescent="0.25">
      <c r="A4282">
        <f>IF(C4282&amp;G4282&amp;D4282&lt;&gt;'Funnel setup'!$K$3&amp;'Funnel setup'!$K$4&amp;'Funnel setup'!$K$6,".",IF(A4281=".",1,A4281+1))</f>
        <v>99</v>
      </c>
      <c r="B4282" s="244" t="str">
        <f t="shared" si="66"/>
        <v>Total Hip ReplacementProviderNORTHERN LINCOLNSHIRE AND GOOLE NHS FOUNDATION TRUST (RJL)Oxford Hip Score</v>
      </c>
      <c r="C4282" t="s">
        <v>974</v>
      </c>
      <c r="D4282" t="s">
        <v>965</v>
      </c>
      <c r="E4282" t="s">
        <v>362</v>
      </c>
      <c r="F4282" t="s">
        <v>363</v>
      </c>
      <c r="G4282" t="s">
        <v>964</v>
      </c>
      <c r="H4282">
        <v>95</v>
      </c>
      <c r="I4282">
        <v>14.4316</v>
      </c>
      <c r="J4282">
        <v>38.2211</v>
      </c>
      <c r="K4282">
        <v>23.7895</v>
      </c>
      <c r="L4282">
        <v>91</v>
      </c>
      <c r="M4282">
        <v>1</v>
      </c>
      <c r="N4282">
        <v>3</v>
      </c>
      <c r="O4282">
        <v>39.234499999999997</v>
      </c>
      <c r="P4282">
        <v>22.023099999999999</v>
      </c>
      <c r="Q4282">
        <v>9.2396100000000008</v>
      </c>
    </row>
    <row r="4283" spans="1:17" x14ac:dyDescent="0.25">
      <c r="A4283">
        <f>IF(C4283&amp;G4283&amp;D4283&lt;&gt;'Funnel setup'!$K$3&amp;'Funnel setup'!$K$4&amp;'Funnel setup'!$K$6,".",IF(A4282=".",1,A4282+1))</f>
        <v>100</v>
      </c>
      <c r="B4283" s="244" t="str">
        <f t="shared" si="66"/>
        <v>Total Hip ReplacementProviderNORTHUMBRIA HEALTHCARE NHS FOUNDATION TRUST (RTF)Oxford Hip Score</v>
      </c>
      <c r="C4283" t="s">
        <v>974</v>
      </c>
      <c r="D4283" t="s">
        <v>965</v>
      </c>
      <c r="E4283" t="s">
        <v>364</v>
      </c>
      <c r="F4283" t="s">
        <v>365</v>
      </c>
      <c r="G4283" t="s">
        <v>964</v>
      </c>
      <c r="H4283">
        <v>310</v>
      </c>
      <c r="I4283">
        <v>16.2226</v>
      </c>
      <c r="J4283">
        <v>40.651600000000002</v>
      </c>
      <c r="K4283">
        <v>24.428999999999998</v>
      </c>
      <c r="L4283">
        <v>304</v>
      </c>
      <c r="M4283">
        <v>1</v>
      </c>
      <c r="N4283">
        <v>5</v>
      </c>
      <c r="O4283">
        <v>41.751800000000003</v>
      </c>
      <c r="P4283">
        <v>24.540400000000002</v>
      </c>
      <c r="Q4283">
        <v>8.0442800000000005</v>
      </c>
    </row>
    <row r="4284" spans="1:17" x14ac:dyDescent="0.25">
      <c r="A4284">
        <f>IF(C4284&amp;G4284&amp;D4284&lt;&gt;'Funnel setup'!$K$3&amp;'Funnel setup'!$K$4&amp;'Funnel setup'!$K$6,".",IF(A4283=".",1,A4283+1))</f>
        <v>101</v>
      </c>
      <c r="B4284" s="244" t="str">
        <f t="shared" si="66"/>
        <v>Total Hip ReplacementProviderNOTTINGHAM UNIVERSITY HOSPITALS NHS TRUST (RX1)Oxford Hip Score</v>
      </c>
      <c r="C4284" t="s">
        <v>974</v>
      </c>
      <c r="D4284" t="s">
        <v>965</v>
      </c>
      <c r="E4284" t="s">
        <v>366</v>
      </c>
      <c r="F4284" t="s">
        <v>367</v>
      </c>
      <c r="G4284" t="s">
        <v>964</v>
      </c>
      <c r="H4284">
        <v>3</v>
      </c>
      <c r="I4284">
        <v>17.666699999999999</v>
      </c>
      <c r="J4284">
        <v>38.666699999999999</v>
      </c>
      <c r="K4284">
        <v>21</v>
      </c>
      <c r="L4284">
        <v>3</v>
      </c>
      <c r="M4284">
        <v>0</v>
      </c>
      <c r="N4284">
        <v>0</v>
      </c>
      <c r="O4284" t="s">
        <v>127</v>
      </c>
      <c r="P4284" t="s">
        <v>127</v>
      </c>
      <c r="Q4284" t="s">
        <v>127</v>
      </c>
    </row>
    <row r="4285" spans="1:17" x14ac:dyDescent="0.25">
      <c r="A4285">
        <f>IF(C4285&amp;G4285&amp;D4285&lt;&gt;'Funnel setup'!$K$3&amp;'Funnel setup'!$K$4&amp;'Funnel setup'!$K$6,".",IF(A4284=".",1,A4284+1))</f>
        <v>102</v>
      </c>
      <c r="B4285" s="244" t="str">
        <f t="shared" si="66"/>
        <v>Total Hip ReplacementProviderNUFFIELD HEALTH, BOURNEMOUTH HOSPITAL (NT202)Oxford Hip Score</v>
      </c>
      <c r="C4285" t="s">
        <v>974</v>
      </c>
      <c r="D4285" t="s">
        <v>965</v>
      </c>
      <c r="E4285" t="s">
        <v>368</v>
      </c>
      <c r="F4285" t="s">
        <v>369</v>
      </c>
      <c r="G4285" t="s">
        <v>964</v>
      </c>
      <c r="H4285">
        <v>14</v>
      </c>
      <c r="I4285">
        <v>16.357099999999999</v>
      </c>
      <c r="J4285">
        <v>43.285699999999999</v>
      </c>
      <c r="K4285">
        <v>26.928599999999999</v>
      </c>
      <c r="L4285">
        <v>14</v>
      </c>
      <c r="M4285">
        <v>0</v>
      </c>
      <c r="N4285">
        <v>0</v>
      </c>
      <c r="O4285" t="s">
        <v>127</v>
      </c>
      <c r="P4285" t="s">
        <v>127</v>
      </c>
      <c r="Q4285" t="s">
        <v>127</v>
      </c>
    </row>
    <row r="4286" spans="1:17" x14ac:dyDescent="0.25">
      <c r="A4286">
        <f>IF(C4286&amp;G4286&amp;D4286&lt;&gt;'Funnel setup'!$K$3&amp;'Funnel setup'!$K$4&amp;'Funnel setup'!$K$6,".",IF(A4285=".",1,A4285+1))</f>
        <v>103</v>
      </c>
      <c r="B4286" s="244" t="str">
        <f t="shared" si="66"/>
        <v>Total Hip ReplacementProviderNUFFIELD HEALTH, BRENTWOOD HOSPITAL (NT204)Oxford Hip Score</v>
      </c>
      <c r="C4286" t="s">
        <v>974</v>
      </c>
      <c r="D4286" t="s">
        <v>965</v>
      </c>
      <c r="E4286" t="s">
        <v>370</v>
      </c>
      <c r="F4286" t="s">
        <v>371</v>
      </c>
      <c r="G4286" t="s">
        <v>964</v>
      </c>
      <c r="H4286">
        <v>16</v>
      </c>
      <c r="I4286">
        <v>14.375</v>
      </c>
      <c r="J4286">
        <v>42.875</v>
      </c>
      <c r="K4286">
        <v>28.5</v>
      </c>
      <c r="L4286">
        <v>16</v>
      </c>
      <c r="M4286">
        <v>0</v>
      </c>
      <c r="N4286">
        <v>0</v>
      </c>
      <c r="O4286" t="s">
        <v>127</v>
      </c>
      <c r="P4286" t="s">
        <v>127</v>
      </c>
      <c r="Q4286" t="s">
        <v>127</v>
      </c>
    </row>
    <row r="4287" spans="1:17" x14ac:dyDescent="0.25">
      <c r="A4287">
        <f>IF(C4287&amp;G4287&amp;D4287&lt;&gt;'Funnel setup'!$K$3&amp;'Funnel setup'!$K$4&amp;'Funnel setup'!$K$6,".",IF(A4286=".",1,A4286+1))</f>
        <v>104</v>
      </c>
      <c r="B4287" s="244" t="str">
        <f t="shared" si="66"/>
        <v>Total Hip ReplacementProviderNUFFIELD HEALTH, BRIGHTON HOSPITAL (NT205)Oxford Hip Score</v>
      </c>
      <c r="C4287" t="s">
        <v>974</v>
      </c>
      <c r="D4287" t="s">
        <v>965</v>
      </c>
      <c r="E4287" t="s">
        <v>372</v>
      </c>
      <c r="F4287" t="s">
        <v>373</v>
      </c>
      <c r="G4287" t="s">
        <v>964</v>
      </c>
      <c r="H4287">
        <v>3</v>
      </c>
      <c r="I4287">
        <v>12.333299999999999</v>
      </c>
      <c r="J4287">
        <v>37</v>
      </c>
      <c r="K4287">
        <v>24.666699999999999</v>
      </c>
      <c r="L4287">
        <v>3</v>
      </c>
      <c r="M4287">
        <v>0</v>
      </c>
      <c r="N4287">
        <v>0</v>
      </c>
      <c r="O4287" t="s">
        <v>127</v>
      </c>
      <c r="P4287" t="s">
        <v>127</v>
      </c>
      <c r="Q4287" t="s">
        <v>127</v>
      </c>
    </row>
    <row r="4288" spans="1:17" x14ac:dyDescent="0.25">
      <c r="A4288">
        <f>IF(C4288&amp;G4288&amp;D4288&lt;&gt;'Funnel setup'!$K$3&amp;'Funnel setup'!$K$4&amp;'Funnel setup'!$K$6,".",IF(A4287=".",1,A4287+1))</f>
        <v>105</v>
      </c>
      <c r="B4288" s="244" t="str">
        <f t="shared" si="66"/>
        <v>Total Hip ReplacementProviderNUFFIELD HEALTH, BRISTOL HOSPITAL (CHESTERFIELD) (NT206)Oxford Hip Score</v>
      </c>
      <c r="C4288" t="s">
        <v>974</v>
      </c>
      <c r="D4288" t="s">
        <v>965</v>
      </c>
      <c r="E4288" t="s">
        <v>374</v>
      </c>
      <c r="F4288" t="s">
        <v>375</v>
      </c>
      <c r="G4288" t="s">
        <v>964</v>
      </c>
      <c r="H4288">
        <v>53</v>
      </c>
      <c r="I4288">
        <v>17.735800000000001</v>
      </c>
      <c r="J4288">
        <v>43.867899999999999</v>
      </c>
      <c r="K4288">
        <v>26.132100000000001</v>
      </c>
      <c r="L4288">
        <v>53</v>
      </c>
      <c r="M4288">
        <v>0</v>
      </c>
      <c r="N4288">
        <v>0</v>
      </c>
      <c r="O4288">
        <v>42.178100000000001</v>
      </c>
      <c r="P4288">
        <v>24.9666</v>
      </c>
      <c r="Q4288">
        <v>5.3614800000000002</v>
      </c>
    </row>
    <row r="4289" spans="1:17" x14ac:dyDescent="0.25">
      <c r="A4289">
        <f>IF(C4289&amp;G4289&amp;D4289&lt;&gt;'Funnel setup'!$K$3&amp;'Funnel setup'!$K$4&amp;'Funnel setup'!$K$6,".",IF(A4288=".",1,A4288+1))</f>
        <v>106</v>
      </c>
      <c r="B4289" s="244" t="str">
        <f t="shared" si="66"/>
        <v>Total Hip ReplacementProviderNUFFIELD HEALTH, CAMBRIDGE HOSPITAL (NT209)Oxford Hip Score</v>
      </c>
      <c r="C4289" t="s">
        <v>974</v>
      </c>
      <c r="D4289" t="s">
        <v>965</v>
      </c>
      <c r="E4289" t="s">
        <v>376</v>
      </c>
      <c r="F4289" t="s">
        <v>377</v>
      </c>
      <c r="G4289" t="s">
        <v>964</v>
      </c>
      <c r="H4289">
        <v>22</v>
      </c>
      <c r="I4289">
        <v>17</v>
      </c>
      <c r="J4289">
        <v>42.909100000000002</v>
      </c>
      <c r="K4289">
        <v>25.909099999999999</v>
      </c>
      <c r="L4289">
        <v>22</v>
      </c>
      <c r="M4289">
        <v>0</v>
      </c>
      <c r="N4289">
        <v>0</v>
      </c>
      <c r="O4289" t="s">
        <v>127</v>
      </c>
      <c r="P4289" t="s">
        <v>127</v>
      </c>
      <c r="Q4289" t="s">
        <v>127</v>
      </c>
    </row>
    <row r="4290" spans="1:17" x14ac:dyDescent="0.25">
      <c r="A4290">
        <f>IF(C4290&amp;G4290&amp;D4290&lt;&gt;'Funnel setup'!$K$3&amp;'Funnel setup'!$K$4&amp;'Funnel setup'!$K$6,".",IF(A4289=".",1,A4289+1))</f>
        <v>107</v>
      </c>
      <c r="B4290" s="244" t="str">
        <f t="shared" ref="B4290:B4353" si="67">C4290&amp;D4290&amp;F4290&amp;G4290</f>
        <v>Total Hip ReplacementProviderNUFFIELD HEALTH, CHELTENHAM HOSPITAL (NT211)Oxford Hip Score</v>
      </c>
      <c r="C4290" t="s">
        <v>974</v>
      </c>
      <c r="D4290" t="s">
        <v>965</v>
      </c>
      <c r="E4290" t="s">
        <v>378</v>
      </c>
      <c r="F4290" t="s">
        <v>379</v>
      </c>
      <c r="G4290" t="s">
        <v>964</v>
      </c>
      <c r="H4290">
        <v>1</v>
      </c>
      <c r="I4290">
        <v>18</v>
      </c>
      <c r="J4290">
        <v>46</v>
      </c>
      <c r="K4290">
        <v>28</v>
      </c>
      <c r="L4290">
        <v>1</v>
      </c>
      <c r="M4290">
        <v>0</v>
      </c>
      <c r="N4290">
        <v>0</v>
      </c>
      <c r="O4290" t="s">
        <v>127</v>
      </c>
      <c r="P4290" t="s">
        <v>127</v>
      </c>
      <c r="Q4290" t="s">
        <v>127</v>
      </c>
    </row>
    <row r="4291" spans="1:17" x14ac:dyDescent="0.25">
      <c r="A4291">
        <f>IF(C4291&amp;G4291&amp;D4291&lt;&gt;'Funnel setup'!$K$3&amp;'Funnel setup'!$K$4&amp;'Funnel setup'!$K$6,".",IF(A4290=".",1,A4290+1))</f>
        <v>108</v>
      </c>
      <c r="B4291" s="244" t="str">
        <f t="shared" si="67"/>
        <v>Total Hip ReplacementProviderNUFFIELD HEALTH, CHICHESTER HOSPITAL (NT212)Oxford Hip Score</v>
      </c>
      <c r="C4291" t="s">
        <v>974</v>
      </c>
      <c r="D4291" t="s">
        <v>965</v>
      </c>
      <c r="E4291" t="s">
        <v>380</v>
      </c>
      <c r="F4291" t="s">
        <v>381</v>
      </c>
      <c r="G4291" t="s">
        <v>964</v>
      </c>
      <c r="H4291">
        <v>20</v>
      </c>
      <c r="I4291">
        <v>16.95</v>
      </c>
      <c r="J4291">
        <v>39.5</v>
      </c>
      <c r="K4291">
        <v>22.55</v>
      </c>
      <c r="L4291">
        <v>20</v>
      </c>
      <c r="M4291">
        <v>0</v>
      </c>
      <c r="N4291">
        <v>0</v>
      </c>
      <c r="O4291" t="s">
        <v>127</v>
      </c>
      <c r="P4291" t="s">
        <v>127</v>
      </c>
      <c r="Q4291" t="s">
        <v>127</v>
      </c>
    </row>
    <row r="4292" spans="1:17" x14ac:dyDescent="0.25">
      <c r="A4292">
        <f>IF(C4292&amp;G4292&amp;D4292&lt;&gt;'Funnel setup'!$K$3&amp;'Funnel setup'!$K$4&amp;'Funnel setup'!$K$6,".",IF(A4291=".",1,A4291+1))</f>
        <v>109</v>
      </c>
      <c r="B4292" s="244" t="str">
        <f t="shared" si="67"/>
        <v>Total Hip ReplacementProviderNUFFIELD HEALTH, DERBY HOSPITAL (NT213)Oxford Hip Score</v>
      </c>
      <c r="C4292" t="s">
        <v>974</v>
      </c>
      <c r="D4292" t="s">
        <v>965</v>
      </c>
      <c r="E4292" t="s">
        <v>382</v>
      </c>
      <c r="F4292" t="s">
        <v>383</v>
      </c>
      <c r="G4292" t="s">
        <v>964</v>
      </c>
      <c r="H4292">
        <v>53</v>
      </c>
      <c r="I4292">
        <v>19.113199999999999</v>
      </c>
      <c r="J4292">
        <v>42.320799999999998</v>
      </c>
      <c r="K4292">
        <v>23.2075</v>
      </c>
      <c r="L4292">
        <v>53</v>
      </c>
      <c r="M4292">
        <v>0</v>
      </c>
      <c r="N4292">
        <v>0</v>
      </c>
      <c r="O4292">
        <v>41.337400000000002</v>
      </c>
      <c r="P4292">
        <v>24.125900000000001</v>
      </c>
      <c r="Q4292">
        <v>6.0900499999999997</v>
      </c>
    </row>
    <row r="4293" spans="1:17" x14ac:dyDescent="0.25">
      <c r="A4293">
        <f>IF(C4293&amp;G4293&amp;D4293&lt;&gt;'Funnel setup'!$K$3&amp;'Funnel setup'!$K$4&amp;'Funnel setup'!$K$6,".",IF(A4292=".",1,A4292+1))</f>
        <v>110</v>
      </c>
      <c r="B4293" s="244" t="str">
        <f t="shared" si="67"/>
        <v>Total Hip ReplacementProviderNUFFIELD HEALTH, EXETER HOSPITAL (NT215)Oxford Hip Score</v>
      </c>
      <c r="C4293" t="s">
        <v>974</v>
      </c>
      <c r="D4293" t="s">
        <v>965</v>
      </c>
      <c r="E4293" t="s">
        <v>384</v>
      </c>
      <c r="F4293" t="s">
        <v>385</v>
      </c>
      <c r="G4293" t="s">
        <v>964</v>
      </c>
      <c r="H4293">
        <v>3</v>
      </c>
      <c r="I4293">
        <v>15</v>
      </c>
      <c r="J4293">
        <v>47</v>
      </c>
      <c r="K4293">
        <v>32</v>
      </c>
      <c r="L4293">
        <v>3</v>
      </c>
      <c r="M4293">
        <v>0</v>
      </c>
      <c r="N4293">
        <v>0</v>
      </c>
      <c r="O4293" t="s">
        <v>127</v>
      </c>
      <c r="P4293" t="s">
        <v>127</v>
      </c>
      <c r="Q4293" t="s">
        <v>127</v>
      </c>
    </row>
    <row r="4294" spans="1:17" x14ac:dyDescent="0.25">
      <c r="A4294">
        <f>IF(C4294&amp;G4294&amp;D4294&lt;&gt;'Funnel setup'!$K$3&amp;'Funnel setup'!$K$4&amp;'Funnel setup'!$K$6,".",IF(A4293=".",1,A4293+1))</f>
        <v>111</v>
      </c>
      <c r="B4294" s="244" t="str">
        <f t="shared" si="67"/>
        <v>Total Hip ReplacementProviderNUFFIELD HEALTH, HAYWARDS HEATH HOSPITAL (NT218)Oxford Hip Score</v>
      </c>
      <c r="C4294" t="s">
        <v>974</v>
      </c>
      <c r="D4294" t="s">
        <v>965</v>
      </c>
      <c r="E4294" t="s">
        <v>386</v>
      </c>
      <c r="F4294" t="s">
        <v>387</v>
      </c>
      <c r="G4294" t="s">
        <v>964</v>
      </c>
      <c r="H4294">
        <v>21</v>
      </c>
      <c r="I4294">
        <v>17.8095</v>
      </c>
      <c r="J4294">
        <v>44.285699999999999</v>
      </c>
      <c r="K4294">
        <v>26.476199999999999</v>
      </c>
      <c r="L4294">
        <v>21</v>
      </c>
      <c r="M4294">
        <v>0</v>
      </c>
      <c r="N4294">
        <v>0</v>
      </c>
      <c r="O4294" t="s">
        <v>127</v>
      </c>
      <c r="P4294" t="s">
        <v>127</v>
      </c>
      <c r="Q4294" t="s">
        <v>127</v>
      </c>
    </row>
    <row r="4295" spans="1:17" x14ac:dyDescent="0.25">
      <c r="A4295">
        <f>IF(C4295&amp;G4295&amp;D4295&lt;&gt;'Funnel setup'!$K$3&amp;'Funnel setup'!$K$4&amp;'Funnel setup'!$K$6,".",IF(A4294=".",1,A4294+1))</f>
        <v>112</v>
      </c>
      <c r="B4295" s="244" t="str">
        <f t="shared" si="67"/>
        <v>Total Hip ReplacementProviderNUFFIELD HEALTH, HEREFORD HOSPITAL (NT219)Oxford Hip Score</v>
      </c>
      <c r="C4295" t="s">
        <v>974</v>
      </c>
      <c r="D4295" t="s">
        <v>965</v>
      </c>
      <c r="E4295" t="s">
        <v>388</v>
      </c>
      <c r="F4295" t="s">
        <v>389</v>
      </c>
      <c r="G4295" t="s">
        <v>964</v>
      </c>
      <c r="H4295">
        <v>8</v>
      </c>
      <c r="I4295">
        <v>18.625</v>
      </c>
      <c r="J4295">
        <v>41.375</v>
      </c>
      <c r="K4295">
        <v>22.75</v>
      </c>
      <c r="L4295">
        <v>8</v>
      </c>
      <c r="M4295">
        <v>0</v>
      </c>
      <c r="N4295">
        <v>0</v>
      </c>
      <c r="O4295" t="s">
        <v>127</v>
      </c>
      <c r="P4295" t="s">
        <v>127</v>
      </c>
      <c r="Q4295" t="s">
        <v>127</v>
      </c>
    </row>
    <row r="4296" spans="1:17" x14ac:dyDescent="0.25">
      <c r="A4296">
        <f>IF(C4296&amp;G4296&amp;D4296&lt;&gt;'Funnel setup'!$K$3&amp;'Funnel setup'!$K$4&amp;'Funnel setup'!$K$6,".",IF(A4295=".",1,A4295+1))</f>
        <v>113</v>
      </c>
      <c r="B4296" s="244" t="str">
        <f t="shared" si="67"/>
        <v>Total Hip ReplacementProviderNUFFIELD HEALTH, IPSWICH HOSPITAL (NT222)Oxford Hip Score</v>
      </c>
      <c r="C4296" t="s">
        <v>974</v>
      </c>
      <c r="D4296" t="s">
        <v>965</v>
      </c>
      <c r="E4296" t="s">
        <v>390</v>
      </c>
      <c r="F4296" t="s">
        <v>391</v>
      </c>
      <c r="G4296" t="s">
        <v>964</v>
      </c>
      <c r="H4296">
        <v>8</v>
      </c>
      <c r="I4296">
        <v>17.375</v>
      </c>
      <c r="J4296">
        <v>41.875</v>
      </c>
      <c r="K4296">
        <v>24.5</v>
      </c>
      <c r="L4296">
        <v>8</v>
      </c>
      <c r="M4296">
        <v>0</v>
      </c>
      <c r="N4296">
        <v>0</v>
      </c>
      <c r="O4296" t="s">
        <v>127</v>
      </c>
      <c r="P4296" t="s">
        <v>127</v>
      </c>
      <c r="Q4296" t="s">
        <v>127</v>
      </c>
    </row>
    <row r="4297" spans="1:17" x14ac:dyDescent="0.25">
      <c r="A4297">
        <f>IF(C4297&amp;G4297&amp;D4297&lt;&gt;'Funnel setup'!$K$3&amp;'Funnel setup'!$K$4&amp;'Funnel setup'!$K$6,".",IF(A4296=".",1,A4296+1))</f>
        <v>114</v>
      </c>
      <c r="B4297" s="244" t="str">
        <f t="shared" si="67"/>
        <v>Total Hip ReplacementProviderNUFFIELD HEALTH, LEEDS HOSPITAL (NT225)Oxford Hip Score</v>
      </c>
      <c r="C4297" t="s">
        <v>974</v>
      </c>
      <c r="D4297" t="s">
        <v>965</v>
      </c>
      <c r="E4297" t="s">
        <v>392</v>
      </c>
      <c r="F4297" t="s">
        <v>393</v>
      </c>
      <c r="G4297" t="s">
        <v>964</v>
      </c>
      <c r="H4297">
        <v>118</v>
      </c>
      <c r="I4297">
        <v>18.050799999999999</v>
      </c>
      <c r="J4297">
        <v>41.254199999999997</v>
      </c>
      <c r="K4297">
        <v>23.203399999999998</v>
      </c>
      <c r="L4297">
        <v>117</v>
      </c>
      <c r="M4297">
        <v>0</v>
      </c>
      <c r="N4297">
        <v>1</v>
      </c>
      <c r="O4297">
        <v>39.850499999999997</v>
      </c>
      <c r="P4297">
        <v>22.639099999999999</v>
      </c>
      <c r="Q4297">
        <v>7.5097800000000001</v>
      </c>
    </row>
    <row r="4298" spans="1:17" x14ac:dyDescent="0.25">
      <c r="A4298">
        <f>IF(C4298&amp;G4298&amp;D4298&lt;&gt;'Funnel setup'!$K$3&amp;'Funnel setup'!$K$4&amp;'Funnel setup'!$K$6,".",IF(A4297=".",1,A4297+1))</f>
        <v>115</v>
      </c>
      <c r="B4298" s="244" t="str">
        <f t="shared" si="67"/>
        <v>Total Hip ReplacementProviderNUFFIELD HEALTH, LEICESTER HOSPITAL (NT226)Oxford Hip Score</v>
      </c>
      <c r="C4298" t="s">
        <v>974</v>
      </c>
      <c r="D4298" t="s">
        <v>965</v>
      </c>
      <c r="E4298" t="s">
        <v>394</v>
      </c>
      <c r="F4298" t="s">
        <v>395</v>
      </c>
      <c r="G4298" t="s">
        <v>964</v>
      </c>
      <c r="H4298">
        <v>34</v>
      </c>
      <c r="I4298">
        <v>17.735299999999999</v>
      </c>
      <c r="J4298">
        <v>40.588200000000001</v>
      </c>
      <c r="K4298">
        <v>22.852900000000002</v>
      </c>
      <c r="L4298">
        <v>32</v>
      </c>
      <c r="M4298">
        <v>0</v>
      </c>
      <c r="N4298">
        <v>2</v>
      </c>
      <c r="O4298">
        <v>40.800800000000002</v>
      </c>
      <c r="P4298">
        <v>23.589400000000001</v>
      </c>
      <c r="Q4298">
        <v>8.3738100000000006</v>
      </c>
    </row>
    <row r="4299" spans="1:17" x14ac:dyDescent="0.25">
      <c r="A4299">
        <f>IF(C4299&amp;G4299&amp;D4299&lt;&gt;'Funnel setup'!$K$3&amp;'Funnel setup'!$K$4&amp;'Funnel setup'!$K$6,".",IF(A4298=".",1,A4298+1))</f>
        <v>116</v>
      </c>
      <c r="B4299" s="244" t="str">
        <f t="shared" si="67"/>
        <v>Total Hip ReplacementProviderNUFFIELD HEALTH, NEWCASTLE UPON TYNE HOSPITAL (NT229)Oxford Hip Score</v>
      </c>
      <c r="C4299" t="s">
        <v>974</v>
      </c>
      <c r="D4299" t="s">
        <v>965</v>
      </c>
      <c r="E4299" t="s">
        <v>396</v>
      </c>
      <c r="F4299" t="s">
        <v>397</v>
      </c>
      <c r="G4299" t="s">
        <v>964</v>
      </c>
      <c r="H4299">
        <v>50</v>
      </c>
      <c r="I4299">
        <v>17.899999999999999</v>
      </c>
      <c r="J4299">
        <v>40.880000000000003</v>
      </c>
      <c r="K4299">
        <v>22.98</v>
      </c>
      <c r="L4299">
        <v>50</v>
      </c>
      <c r="M4299">
        <v>0</v>
      </c>
      <c r="N4299">
        <v>0</v>
      </c>
      <c r="O4299">
        <v>40.645499999999998</v>
      </c>
      <c r="P4299">
        <v>23.434100000000001</v>
      </c>
      <c r="Q4299">
        <v>7.2182199999999996</v>
      </c>
    </row>
    <row r="4300" spans="1:17" x14ac:dyDescent="0.25">
      <c r="A4300">
        <f>IF(C4300&amp;G4300&amp;D4300&lt;&gt;'Funnel setup'!$K$3&amp;'Funnel setup'!$K$4&amp;'Funnel setup'!$K$6,".",IF(A4299=".",1,A4299+1))</f>
        <v>117</v>
      </c>
      <c r="B4300" s="244" t="str">
        <f t="shared" si="67"/>
        <v>Total Hip ReplacementProviderNUFFIELD HEALTH, NORTH STAFFORDSHIRE HOSPITAL (NT230)Oxford Hip Score</v>
      </c>
      <c r="C4300" t="s">
        <v>974</v>
      </c>
      <c r="D4300" t="s">
        <v>965</v>
      </c>
      <c r="E4300" t="s">
        <v>398</v>
      </c>
      <c r="F4300" t="s">
        <v>399</v>
      </c>
      <c r="G4300" t="s">
        <v>964</v>
      </c>
      <c r="H4300">
        <v>35</v>
      </c>
      <c r="I4300">
        <v>16.857099999999999</v>
      </c>
      <c r="J4300">
        <v>39.4</v>
      </c>
      <c r="K4300">
        <v>22.542899999999999</v>
      </c>
      <c r="L4300">
        <v>34</v>
      </c>
      <c r="M4300">
        <v>0</v>
      </c>
      <c r="N4300">
        <v>1</v>
      </c>
      <c r="O4300">
        <v>38.028100000000002</v>
      </c>
      <c r="P4300">
        <v>20.816600000000001</v>
      </c>
      <c r="Q4300">
        <v>9.67807</v>
      </c>
    </row>
    <row r="4301" spans="1:17" x14ac:dyDescent="0.25">
      <c r="A4301">
        <f>IF(C4301&amp;G4301&amp;D4301&lt;&gt;'Funnel setup'!$K$3&amp;'Funnel setup'!$K$4&amp;'Funnel setup'!$K$6,".",IF(A4300=".",1,A4300+1))</f>
        <v>118</v>
      </c>
      <c r="B4301" s="244" t="str">
        <f t="shared" si="67"/>
        <v>Total Hip ReplacementProviderNUFFIELD HEALTH, PLYMOUTH HOSPITAL (NT233)Oxford Hip Score</v>
      </c>
      <c r="C4301" t="s">
        <v>974</v>
      </c>
      <c r="D4301" t="s">
        <v>965</v>
      </c>
      <c r="E4301" t="s">
        <v>400</v>
      </c>
      <c r="F4301" t="s">
        <v>401</v>
      </c>
      <c r="G4301" t="s">
        <v>964</v>
      </c>
      <c r="H4301">
        <v>66</v>
      </c>
      <c r="I4301">
        <v>17.238800000000001</v>
      </c>
      <c r="J4301">
        <v>42.089599999999997</v>
      </c>
      <c r="K4301">
        <v>24.8507</v>
      </c>
      <c r="L4301">
        <v>66</v>
      </c>
      <c r="M4301">
        <v>0</v>
      </c>
      <c r="N4301">
        <v>0</v>
      </c>
      <c r="O4301">
        <v>40.773299999999999</v>
      </c>
      <c r="P4301">
        <v>23.561800000000002</v>
      </c>
      <c r="Q4301">
        <v>7.5172699999999999</v>
      </c>
    </row>
    <row r="4302" spans="1:17" x14ac:dyDescent="0.25">
      <c r="A4302">
        <f>IF(C4302&amp;G4302&amp;D4302&lt;&gt;'Funnel setup'!$K$3&amp;'Funnel setup'!$K$4&amp;'Funnel setup'!$K$6,".",IF(A4301=".",1,A4301+1))</f>
        <v>119</v>
      </c>
      <c r="B4302" s="244" t="str">
        <f t="shared" si="67"/>
        <v>Total Hip ReplacementProviderNUFFIELD HEALTH, SHREWSBURY HOSPITAL (NT235)Oxford Hip Score</v>
      </c>
      <c r="C4302" t="s">
        <v>974</v>
      </c>
      <c r="D4302" t="s">
        <v>965</v>
      </c>
      <c r="E4302" t="s">
        <v>402</v>
      </c>
      <c r="F4302" t="s">
        <v>403</v>
      </c>
      <c r="G4302" t="s">
        <v>964</v>
      </c>
      <c r="H4302">
        <v>8</v>
      </c>
      <c r="I4302">
        <v>13.75</v>
      </c>
      <c r="J4302">
        <v>41.75</v>
      </c>
      <c r="K4302">
        <v>28</v>
      </c>
      <c r="L4302">
        <v>8</v>
      </c>
      <c r="M4302">
        <v>0</v>
      </c>
      <c r="N4302">
        <v>0</v>
      </c>
      <c r="O4302" t="s">
        <v>127</v>
      </c>
      <c r="P4302" t="s">
        <v>127</v>
      </c>
      <c r="Q4302" t="s">
        <v>127</v>
      </c>
    </row>
    <row r="4303" spans="1:17" x14ac:dyDescent="0.25">
      <c r="A4303">
        <f>IF(C4303&amp;G4303&amp;D4303&lt;&gt;'Funnel setup'!$K$3&amp;'Funnel setup'!$K$4&amp;'Funnel setup'!$K$6,".",IF(A4302=".",1,A4302+1))</f>
        <v>120</v>
      </c>
      <c r="B4303" s="244" t="str">
        <f t="shared" si="67"/>
        <v>Total Hip ReplacementProviderNUFFIELD HEALTH, TAUNTON HOSPITAL (NT238)Oxford Hip Score</v>
      </c>
      <c r="C4303" t="s">
        <v>974</v>
      </c>
      <c r="D4303" t="s">
        <v>965</v>
      </c>
      <c r="E4303" t="s">
        <v>404</v>
      </c>
      <c r="F4303" t="s">
        <v>405</v>
      </c>
      <c r="G4303" t="s">
        <v>964</v>
      </c>
      <c r="H4303">
        <v>22</v>
      </c>
      <c r="I4303">
        <v>17.2727</v>
      </c>
      <c r="J4303">
        <v>42.863599999999998</v>
      </c>
      <c r="K4303">
        <v>25.590900000000001</v>
      </c>
      <c r="L4303">
        <v>22</v>
      </c>
      <c r="M4303">
        <v>0</v>
      </c>
      <c r="N4303">
        <v>0</v>
      </c>
      <c r="O4303" t="s">
        <v>127</v>
      </c>
      <c r="P4303" t="s">
        <v>127</v>
      </c>
      <c r="Q4303" t="s">
        <v>127</v>
      </c>
    </row>
    <row r="4304" spans="1:17" x14ac:dyDescent="0.25">
      <c r="A4304">
        <f>IF(C4304&amp;G4304&amp;D4304&lt;&gt;'Funnel setup'!$K$3&amp;'Funnel setup'!$K$4&amp;'Funnel setup'!$K$6,".",IF(A4303=".",1,A4303+1))</f>
        <v>121</v>
      </c>
      <c r="B4304" s="244" t="str">
        <f t="shared" si="67"/>
        <v>Total Hip ReplacementProviderNUFFIELD HEALTH, TEES HOSPITAL (NT237)Oxford Hip Score</v>
      </c>
      <c r="C4304" t="s">
        <v>974</v>
      </c>
      <c r="D4304" t="s">
        <v>965</v>
      </c>
      <c r="E4304" t="s">
        <v>406</v>
      </c>
      <c r="F4304" t="s">
        <v>407</v>
      </c>
      <c r="G4304" t="s">
        <v>964</v>
      </c>
      <c r="H4304">
        <v>150</v>
      </c>
      <c r="I4304">
        <v>18.506699999999999</v>
      </c>
      <c r="J4304">
        <v>40.813299999999998</v>
      </c>
      <c r="K4304">
        <v>22.306699999999999</v>
      </c>
      <c r="L4304">
        <v>145</v>
      </c>
      <c r="M4304">
        <v>3</v>
      </c>
      <c r="N4304">
        <v>2</v>
      </c>
      <c r="O4304">
        <v>40.277200000000001</v>
      </c>
      <c r="P4304">
        <v>23.0657</v>
      </c>
      <c r="Q4304">
        <v>7.7728200000000003</v>
      </c>
    </row>
    <row r="4305" spans="1:17" x14ac:dyDescent="0.25">
      <c r="A4305">
        <f>IF(C4305&amp;G4305&amp;D4305&lt;&gt;'Funnel setup'!$K$3&amp;'Funnel setup'!$K$4&amp;'Funnel setup'!$K$6,".",IF(A4304=".",1,A4304+1))</f>
        <v>122</v>
      </c>
      <c r="B4305" s="244" t="str">
        <f t="shared" si="67"/>
        <v>Total Hip ReplacementProviderNUFFIELD HEALTH, THE GROSVENOR HOSPITAL, CHESTER (NT210)Oxford Hip Score</v>
      </c>
      <c r="C4305" t="s">
        <v>974</v>
      </c>
      <c r="D4305" t="s">
        <v>965</v>
      </c>
      <c r="E4305" t="s">
        <v>408</v>
      </c>
      <c r="F4305" t="s">
        <v>409</v>
      </c>
      <c r="G4305" t="s">
        <v>964</v>
      </c>
      <c r="H4305">
        <v>14</v>
      </c>
      <c r="I4305">
        <v>16.642900000000001</v>
      </c>
      <c r="J4305">
        <v>41.785699999999999</v>
      </c>
      <c r="K4305">
        <v>25.142900000000001</v>
      </c>
      <c r="L4305">
        <v>14</v>
      </c>
      <c r="M4305">
        <v>0</v>
      </c>
      <c r="N4305">
        <v>0</v>
      </c>
      <c r="O4305" t="s">
        <v>127</v>
      </c>
      <c r="P4305" t="s">
        <v>127</v>
      </c>
      <c r="Q4305" t="s">
        <v>127</v>
      </c>
    </row>
    <row r="4306" spans="1:17" x14ac:dyDescent="0.25">
      <c r="A4306">
        <f>IF(C4306&amp;G4306&amp;D4306&lt;&gt;'Funnel setup'!$K$3&amp;'Funnel setup'!$K$4&amp;'Funnel setup'!$K$6,".",IF(A4305=".",1,A4305+1))</f>
        <v>123</v>
      </c>
      <c r="B4306" s="244" t="str">
        <f t="shared" si="67"/>
        <v>Total Hip ReplacementProviderNUFFIELD HEALTH, TUNBRIDGE WELLS HOSPITAL (NT239)Oxford Hip Score</v>
      </c>
      <c r="C4306" t="s">
        <v>974</v>
      </c>
      <c r="D4306" t="s">
        <v>965</v>
      </c>
      <c r="E4306" t="s">
        <v>410</v>
      </c>
      <c r="F4306" t="s">
        <v>411</v>
      </c>
      <c r="G4306" t="s">
        <v>964</v>
      </c>
      <c r="H4306">
        <v>6</v>
      </c>
      <c r="I4306">
        <v>18.833300000000001</v>
      </c>
      <c r="J4306">
        <v>37.166699999999999</v>
      </c>
      <c r="K4306">
        <v>18.333300000000001</v>
      </c>
      <c r="L4306">
        <v>6</v>
      </c>
      <c r="M4306">
        <v>0</v>
      </c>
      <c r="N4306">
        <v>0</v>
      </c>
      <c r="O4306" t="s">
        <v>127</v>
      </c>
      <c r="P4306" t="s">
        <v>127</v>
      </c>
      <c r="Q4306" t="s">
        <v>127</v>
      </c>
    </row>
    <row r="4307" spans="1:17" x14ac:dyDescent="0.25">
      <c r="A4307">
        <f>IF(C4307&amp;G4307&amp;D4307&lt;&gt;'Funnel setup'!$K$3&amp;'Funnel setup'!$K$4&amp;'Funnel setup'!$K$6,".",IF(A4306=".",1,A4306+1))</f>
        <v>124</v>
      </c>
      <c r="B4307" s="244" t="str">
        <f t="shared" si="67"/>
        <v>Total Hip ReplacementProviderNUFFIELD HEALTH, WARWICKSHIRE HOSPITAL (NT224)Oxford Hip Score</v>
      </c>
      <c r="C4307" t="s">
        <v>974</v>
      </c>
      <c r="D4307" t="s">
        <v>965</v>
      </c>
      <c r="E4307" t="s">
        <v>412</v>
      </c>
      <c r="F4307" t="s">
        <v>413</v>
      </c>
      <c r="G4307" t="s">
        <v>964</v>
      </c>
      <c r="H4307">
        <v>19</v>
      </c>
      <c r="I4307">
        <v>21.684200000000001</v>
      </c>
      <c r="J4307">
        <v>41.684199999999997</v>
      </c>
      <c r="K4307">
        <v>20</v>
      </c>
      <c r="L4307">
        <v>18</v>
      </c>
      <c r="M4307">
        <v>0</v>
      </c>
      <c r="N4307">
        <v>1</v>
      </c>
      <c r="O4307" t="s">
        <v>127</v>
      </c>
      <c r="P4307" t="s">
        <v>127</v>
      </c>
      <c r="Q4307" t="s">
        <v>127</v>
      </c>
    </row>
    <row r="4308" spans="1:17" x14ac:dyDescent="0.25">
      <c r="A4308">
        <f>IF(C4308&amp;G4308&amp;D4308&lt;&gt;'Funnel setup'!$K$3&amp;'Funnel setup'!$K$4&amp;'Funnel setup'!$K$6,".",IF(A4307=".",1,A4307+1))</f>
        <v>125</v>
      </c>
      <c r="B4308" s="244" t="str">
        <f t="shared" si="67"/>
        <v>Total Hip ReplacementProviderNUFFIELD HEALTH, WESSEX HOSPITAL (NT214)Oxford Hip Score</v>
      </c>
      <c r="C4308" t="s">
        <v>974</v>
      </c>
      <c r="D4308" t="s">
        <v>965</v>
      </c>
      <c r="E4308" t="s">
        <v>414</v>
      </c>
      <c r="F4308" t="s">
        <v>415</v>
      </c>
      <c r="G4308" t="s">
        <v>964</v>
      </c>
      <c r="H4308">
        <v>35</v>
      </c>
      <c r="I4308">
        <v>20.485700000000001</v>
      </c>
      <c r="J4308">
        <v>41.6571</v>
      </c>
      <c r="K4308">
        <v>21.171399999999998</v>
      </c>
      <c r="L4308">
        <v>35</v>
      </c>
      <c r="M4308">
        <v>0</v>
      </c>
      <c r="N4308">
        <v>0</v>
      </c>
      <c r="O4308">
        <v>39.716799999999999</v>
      </c>
      <c r="P4308">
        <v>22.505400000000002</v>
      </c>
      <c r="Q4308">
        <v>6.0927699999999998</v>
      </c>
    </row>
    <row r="4309" spans="1:17" x14ac:dyDescent="0.25">
      <c r="A4309">
        <f>IF(C4309&amp;G4309&amp;D4309&lt;&gt;'Funnel setup'!$K$3&amp;'Funnel setup'!$K$4&amp;'Funnel setup'!$K$6,".",IF(A4308=".",1,A4308+1))</f>
        <v>126</v>
      </c>
      <c r="B4309" s="244" t="str">
        <f t="shared" si="67"/>
        <v>Total Hip ReplacementProviderNUFFIELD HEALTH, WOLVERHAMPTON HOSPITAL (NT242)Oxford Hip Score</v>
      </c>
      <c r="C4309" t="s">
        <v>974</v>
      </c>
      <c r="D4309" t="s">
        <v>965</v>
      </c>
      <c r="E4309" t="s">
        <v>418</v>
      </c>
      <c r="F4309" t="s">
        <v>419</v>
      </c>
      <c r="G4309" t="s">
        <v>964</v>
      </c>
      <c r="H4309">
        <v>4</v>
      </c>
      <c r="I4309">
        <v>22.75</v>
      </c>
      <c r="J4309">
        <v>40.75</v>
      </c>
      <c r="K4309">
        <v>18</v>
      </c>
      <c r="L4309">
        <v>4</v>
      </c>
      <c r="M4309">
        <v>0</v>
      </c>
      <c r="N4309">
        <v>0</v>
      </c>
      <c r="O4309" t="s">
        <v>127</v>
      </c>
      <c r="P4309" t="s">
        <v>127</v>
      </c>
      <c r="Q4309" t="s">
        <v>127</v>
      </c>
    </row>
    <row r="4310" spans="1:17" x14ac:dyDescent="0.25">
      <c r="A4310">
        <f>IF(C4310&amp;G4310&amp;D4310&lt;&gt;'Funnel setup'!$K$3&amp;'Funnel setup'!$K$4&amp;'Funnel setup'!$K$6,".",IF(A4309=".",1,A4309+1))</f>
        <v>127</v>
      </c>
      <c r="B4310" s="244" t="str">
        <f t="shared" si="67"/>
        <v>Total Hip ReplacementProviderNUFFIELD HEALTH, YORK HOSPITAL (NT245)Oxford Hip Score</v>
      </c>
      <c r="C4310" t="s">
        <v>974</v>
      </c>
      <c r="D4310" t="s">
        <v>965</v>
      </c>
      <c r="E4310" t="s">
        <v>420</v>
      </c>
      <c r="F4310" t="s">
        <v>421</v>
      </c>
      <c r="G4310" t="s">
        <v>964</v>
      </c>
      <c r="H4310">
        <v>80</v>
      </c>
      <c r="I4310">
        <v>17.2683</v>
      </c>
      <c r="J4310">
        <v>42.134099999999997</v>
      </c>
      <c r="K4310">
        <v>24.8659</v>
      </c>
      <c r="L4310">
        <v>79</v>
      </c>
      <c r="M4310">
        <v>0</v>
      </c>
      <c r="N4310">
        <v>1</v>
      </c>
      <c r="O4310">
        <v>42.397500000000001</v>
      </c>
      <c r="P4310">
        <v>25.1861</v>
      </c>
      <c r="Q4310">
        <v>7.5375500000000004</v>
      </c>
    </row>
    <row r="4311" spans="1:17" x14ac:dyDescent="0.25">
      <c r="A4311">
        <f>IF(C4311&amp;G4311&amp;D4311&lt;&gt;'Funnel setup'!$K$3&amp;'Funnel setup'!$K$4&amp;'Funnel setup'!$K$6,".",IF(A4310=".",1,A4310+1))</f>
        <v>128</v>
      </c>
      <c r="B4311" s="244" t="str">
        <f t="shared" si="67"/>
        <v>Total Hip ReplacementProviderOAKLANDS HOSPITAL (NVC12)Oxford Hip Score</v>
      </c>
      <c r="C4311" t="s">
        <v>974</v>
      </c>
      <c r="D4311" t="s">
        <v>965</v>
      </c>
      <c r="E4311" t="s">
        <v>424</v>
      </c>
      <c r="F4311" t="s">
        <v>425</v>
      </c>
      <c r="G4311" t="s">
        <v>964</v>
      </c>
      <c r="H4311">
        <v>65</v>
      </c>
      <c r="I4311">
        <v>15.9846</v>
      </c>
      <c r="J4311">
        <v>37.830800000000004</v>
      </c>
      <c r="K4311">
        <v>21.8462</v>
      </c>
      <c r="L4311">
        <v>62</v>
      </c>
      <c r="M4311">
        <v>0</v>
      </c>
      <c r="N4311">
        <v>3</v>
      </c>
      <c r="O4311">
        <v>38.837299999999999</v>
      </c>
      <c r="P4311">
        <v>21.625900000000001</v>
      </c>
      <c r="Q4311">
        <v>9.3262400000000003</v>
      </c>
    </row>
    <row r="4312" spans="1:17" x14ac:dyDescent="0.25">
      <c r="A4312">
        <f>IF(C4312&amp;G4312&amp;D4312&lt;&gt;'Funnel setup'!$K$3&amp;'Funnel setup'!$K$4&amp;'Funnel setup'!$K$6,".",IF(A4311=".",1,A4311+1))</f>
        <v>129</v>
      </c>
      <c r="B4312" s="244" t="str">
        <f t="shared" si="67"/>
        <v>Total Hip ReplacementProviderOAKS HOSPITAL (NVC13)Oxford Hip Score</v>
      </c>
      <c r="C4312" t="s">
        <v>974</v>
      </c>
      <c r="D4312" t="s">
        <v>965</v>
      </c>
      <c r="E4312" t="s">
        <v>426</v>
      </c>
      <c r="F4312" t="s">
        <v>427</v>
      </c>
      <c r="G4312" t="s">
        <v>964</v>
      </c>
      <c r="H4312">
        <v>7</v>
      </c>
      <c r="I4312">
        <v>21.142900000000001</v>
      </c>
      <c r="J4312">
        <v>42.285699999999999</v>
      </c>
      <c r="K4312">
        <v>21.142900000000001</v>
      </c>
      <c r="L4312">
        <v>7</v>
      </c>
      <c r="M4312">
        <v>0</v>
      </c>
      <c r="N4312">
        <v>0</v>
      </c>
      <c r="O4312" t="s">
        <v>127</v>
      </c>
      <c r="P4312" t="s">
        <v>127</v>
      </c>
      <c r="Q4312" t="s">
        <v>127</v>
      </c>
    </row>
    <row r="4313" spans="1:17" x14ac:dyDescent="0.25">
      <c r="A4313">
        <f>IF(C4313&amp;G4313&amp;D4313&lt;&gt;'Funnel setup'!$K$3&amp;'Funnel setup'!$K$4&amp;'Funnel setup'!$K$6,".",IF(A4312=".",1,A4312+1))</f>
        <v>130</v>
      </c>
      <c r="B4313" s="244" t="str">
        <f t="shared" si="67"/>
        <v>Total Hip ReplacementProviderONE HEALTHCARE (AVQ)Oxford Hip Score</v>
      </c>
      <c r="C4313" t="s">
        <v>974</v>
      </c>
      <c r="D4313" t="s">
        <v>965</v>
      </c>
      <c r="E4313" t="s">
        <v>434</v>
      </c>
      <c r="F4313" t="s">
        <v>435</v>
      </c>
      <c r="G4313" t="s">
        <v>964</v>
      </c>
      <c r="H4313">
        <v>53</v>
      </c>
      <c r="I4313">
        <v>18.132100000000001</v>
      </c>
      <c r="J4313">
        <v>42.660400000000003</v>
      </c>
      <c r="K4313">
        <v>24.528300000000002</v>
      </c>
      <c r="L4313">
        <v>51</v>
      </c>
      <c r="M4313">
        <v>1</v>
      </c>
      <c r="N4313">
        <v>1</v>
      </c>
      <c r="O4313">
        <v>40.263500000000001</v>
      </c>
      <c r="P4313">
        <v>23.052099999999999</v>
      </c>
      <c r="Q4313">
        <v>7.4431500000000002</v>
      </c>
    </row>
    <row r="4314" spans="1:17" x14ac:dyDescent="0.25">
      <c r="A4314">
        <f>IF(C4314&amp;G4314&amp;D4314&lt;&gt;'Funnel setup'!$K$3&amp;'Funnel setup'!$K$4&amp;'Funnel setup'!$K$6,".",IF(A4313=".",1,A4313+1))</f>
        <v>131</v>
      </c>
      <c r="B4314" s="244" t="str">
        <f t="shared" si="67"/>
        <v>Total Hip ReplacementProviderORTHOPAEDICS &amp; SPINE SPECIALIST HOSPITAL SITE (NQM01)Oxford Hip Score</v>
      </c>
      <c r="C4314" t="s">
        <v>974</v>
      </c>
      <c r="D4314" t="s">
        <v>965</v>
      </c>
      <c r="E4314" t="s">
        <v>436</v>
      </c>
      <c r="F4314" t="s">
        <v>437</v>
      </c>
      <c r="G4314" t="s">
        <v>964</v>
      </c>
      <c r="H4314">
        <v>7</v>
      </c>
      <c r="I4314">
        <v>21.857099999999999</v>
      </c>
      <c r="J4314">
        <v>41.571399999999997</v>
      </c>
      <c r="K4314">
        <v>19.714300000000001</v>
      </c>
      <c r="L4314">
        <v>7</v>
      </c>
      <c r="M4314">
        <v>0</v>
      </c>
      <c r="N4314">
        <v>0</v>
      </c>
      <c r="O4314" t="s">
        <v>127</v>
      </c>
      <c r="P4314" t="s">
        <v>127</v>
      </c>
      <c r="Q4314" t="s">
        <v>127</v>
      </c>
    </row>
    <row r="4315" spans="1:17" x14ac:dyDescent="0.25">
      <c r="A4315">
        <f>IF(C4315&amp;G4315&amp;D4315&lt;&gt;'Funnel setup'!$K$3&amp;'Funnel setup'!$K$4&amp;'Funnel setup'!$K$6,".",IF(A4314=".",1,A4314+1))</f>
        <v>132</v>
      </c>
      <c r="B4315" s="244" t="str">
        <f t="shared" si="67"/>
        <v>Total Hip ReplacementProviderOXFORD UNIVERSITY HOSPITALS NHS FOUNDATION TRUST (RTH)Oxford Hip Score</v>
      </c>
      <c r="C4315" t="s">
        <v>974</v>
      </c>
      <c r="D4315" t="s">
        <v>965</v>
      </c>
      <c r="E4315" t="s">
        <v>438</v>
      </c>
      <c r="F4315" t="s">
        <v>439</v>
      </c>
      <c r="G4315" t="s">
        <v>964</v>
      </c>
      <c r="H4315">
        <v>328</v>
      </c>
      <c r="I4315">
        <v>17.6555</v>
      </c>
      <c r="J4315">
        <v>39.783499999999997</v>
      </c>
      <c r="K4315">
        <v>22.128</v>
      </c>
      <c r="L4315">
        <v>316</v>
      </c>
      <c r="M4315">
        <v>1</v>
      </c>
      <c r="N4315">
        <v>11</v>
      </c>
      <c r="O4315">
        <v>39.902900000000002</v>
      </c>
      <c r="P4315">
        <v>22.691400000000002</v>
      </c>
      <c r="Q4315">
        <v>8.4452700000000007</v>
      </c>
    </row>
    <row r="4316" spans="1:17" x14ac:dyDescent="0.25">
      <c r="A4316">
        <f>IF(C4316&amp;G4316&amp;D4316&lt;&gt;'Funnel setup'!$K$3&amp;'Funnel setup'!$K$4&amp;'Funnel setup'!$K$6,".",IF(A4315=".",1,A4315+1))</f>
        <v>133</v>
      </c>
      <c r="B4316" s="244" t="str">
        <f t="shared" si="67"/>
        <v>Total Hip ReplacementProviderPARK HILL HOSPITAL (NVC14)Oxford Hip Score</v>
      </c>
      <c r="C4316" t="s">
        <v>974</v>
      </c>
      <c r="D4316" t="s">
        <v>965</v>
      </c>
      <c r="E4316" t="s">
        <v>440</v>
      </c>
      <c r="F4316" t="s">
        <v>441</v>
      </c>
      <c r="G4316" t="s">
        <v>964</v>
      </c>
      <c r="H4316">
        <v>59</v>
      </c>
      <c r="I4316">
        <v>14.4068</v>
      </c>
      <c r="J4316">
        <v>39.220300000000002</v>
      </c>
      <c r="K4316">
        <v>24.813600000000001</v>
      </c>
      <c r="L4316">
        <v>57</v>
      </c>
      <c r="M4316">
        <v>0</v>
      </c>
      <c r="N4316">
        <v>2</v>
      </c>
      <c r="O4316">
        <v>39.546300000000002</v>
      </c>
      <c r="P4316">
        <v>22.334800000000001</v>
      </c>
      <c r="Q4316">
        <v>8.5760100000000001</v>
      </c>
    </row>
    <row r="4317" spans="1:17" x14ac:dyDescent="0.25">
      <c r="A4317">
        <f>IF(C4317&amp;G4317&amp;D4317&lt;&gt;'Funnel setup'!$K$3&amp;'Funnel setup'!$K$4&amp;'Funnel setup'!$K$6,".",IF(A4316=".",1,A4316+1))</f>
        <v>134</v>
      </c>
      <c r="B4317" s="244" t="str">
        <f t="shared" si="67"/>
        <v>Total Hip ReplacementProviderPARK HOSPITAL (NT427)Oxford Hip Score</v>
      </c>
      <c r="C4317" t="s">
        <v>974</v>
      </c>
      <c r="D4317" t="s">
        <v>965</v>
      </c>
      <c r="E4317" t="s">
        <v>442</v>
      </c>
      <c r="F4317" t="s">
        <v>443</v>
      </c>
      <c r="G4317" t="s">
        <v>964</v>
      </c>
      <c r="H4317">
        <v>25</v>
      </c>
      <c r="I4317">
        <v>14.72</v>
      </c>
      <c r="J4317">
        <v>38</v>
      </c>
      <c r="K4317">
        <v>23.28</v>
      </c>
      <c r="L4317">
        <v>24</v>
      </c>
      <c r="M4317">
        <v>1</v>
      </c>
      <c r="N4317">
        <v>0</v>
      </c>
      <c r="O4317" t="s">
        <v>127</v>
      </c>
      <c r="P4317" t="s">
        <v>127</v>
      </c>
      <c r="Q4317" t="s">
        <v>127</v>
      </c>
    </row>
    <row r="4318" spans="1:17" x14ac:dyDescent="0.25">
      <c r="A4318">
        <f>IF(C4318&amp;G4318&amp;D4318&lt;&gt;'Funnel setup'!$K$3&amp;'Funnel setup'!$K$4&amp;'Funnel setup'!$K$6,".",IF(A4317=".",1,A4317+1))</f>
        <v>135</v>
      </c>
      <c r="B4318" s="244" t="str">
        <f t="shared" si="67"/>
        <v>Total Hip ReplacementProviderPENNINE ACUTE HOSPITALS NHS TRUST (RW6)Oxford Hip Score</v>
      </c>
      <c r="C4318" t="s">
        <v>974</v>
      </c>
      <c r="D4318" t="s">
        <v>965</v>
      </c>
      <c r="E4318" t="s">
        <v>444</v>
      </c>
      <c r="F4318" t="s">
        <v>445</v>
      </c>
      <c r="G4318" t="s">
        <v>964</v>
      </c>
      <c r="H4318">
        <v>3</v>
      </c>
      <c r="I4318">
        <v>11</v>
      </c>
      <c r="J4318">
        <v>29</v>
      </c>
      <c r="K4318">
        <v>18</v>
      </c>
      <c r="L4318">
        <v>3</v>
      </c>
      <c r="M4318">
        <v>0</v>
      </c>
      <c r="N4318">
        <v>0</v>
      </c>
      <c r="O4318" t="s">
        <v>127</v>
      </c>
      <c r="P4318" t="s">
        <v>127</v>
      </c>
      <c r="Q4318" t="s">
        <v>127</v>
      </c>
    </row>
    <row r="4319" spans="1:17" x14ac:dyDescent="0.25">
      <c r="A4319">
        <f>IF(C4319&amp;G4319&amp;D4319&lt;&gt;'Funnel setup'!$K$3&amp;'Funnel setup'!$K$4&amp;'Funnel setup'!$K$6,".",IF(A4318=".",1,A4318+1))</f>
        <v>136</v>
      </c>
      <c r="B4319" s="244" t="str">
        <f t="shared" si="67"/>
        <v>Total Hip ReplacementProviderPINEHILL HOSPITAL (NVC15)Oxford Hip Score</v>
      </c>
      <c r="C4319" t="s">
        <v>974</v>
      </c>
      <c r="D4319" t="s">
        <v>965</v>
      </c>
      <c r="E4319" t="s">
        <v>448</v>
      </c>
      <c r="F4319" t="s">
        <v>449</v>
      </c>
      <c r="G4319" t="s">
        <v>964</v>
      </c>
      <c r="H4319">
        <v>12</v>
      </c>
      <c r="I4319">
        <v>27.416699999999999</v>
      </c>
      <c r="J4319">
        <v>28.5</v>
      </c>
      <c r="K4319">
        <v>1.0833299999999999</v>
      </c>
      <c r="L4319">
        <v>7</v>
      </c>
      <c r="M4319">
        <v>2</v>
      </c>
      <c r="N4319">
        <v>3</v>
      </c>
      <c r="O4319" t="s">
        <v>127</v>
      </c>
      <c r="P4319" t="s">
        <v>127</v>
      </c>
      <c r="Q4319" t="s">
        <v>127</v>
      </c>
    </row>
    <row r="4320" spans="1:17" x14ac:dyDescent="0.25">
      <c r="A4320">
        <f>IF(C4320&amp;G4320&amp;D4320&lt;&gt;'Funnel setup'!$K$3&amp;'Funnel setup'!$K$4&amp;'Funnel setup'!$K$6,".",IF(A4319=".",1,A4319+1))</f>
        <v>137</v>
      </c>
      <c r="B4320" s="244" t="str">
        <f t="shared" si="67"/>
        <v>Total Hip ReplacementProviderPORTSMOUTH HOSPITALS UNIVERSITY NATIONAL HEALTH SERVICE TRUST (RHU)Oxford Hip Score</v>
      </c>
      <c r="C4320" t="s">
        <v>974</v>
      </c>
      <c r="D4320" t="s">
        <v>965</v>
      </c>
      <c r="E4320" t="s">
        <v>450</v>
      </c>
      <c r="F4320" t="s">
        <v>451</v>
      </c>
      <c r="G4320" t="s">
        <v>964</v>
      </c>
      <c r="H4320">
        <v>14</v>
      </c>
      <c r="I4320">
        <v>12</v>
      </c>
      <c r="J4320">
        <v>37.571399999999997</v>
      </c>
      <c r="K4320">
        <v>25.571400000000001</v>
      </c>
      <c r="L4320">
        <v>14</v>
      </c>
      <c r="M4320">
        <v>0</v>
      </c>
      <c r="N4320">
        <v>0</v>
      </c>
      <c r="O4320" t="s">
        <v>127</v>
      </c>
      <c r="P4320" t="s">
        <v>127</v>
      </c>
      <c r="Q4320" t="s">
        <v>127</v>
      </c>
    </row>
    <row r="4321" spans="1:17" x14ac:dyDescent="0.25">
      <c r="A4321">
        <f>IF(C4321&amp;G4321&amp;D4321&lt;&gt;'Funnel setup'!$K$3&amp;'Funnel setup'!$K$4&amp;'Funnel setup'!$K$6,".",IF(A4320=".",1,A4320+1))</f>
        <v>138</v>
      </c>
      <c r="B4321" s="244" t="str">
        <f t="shared" si="67"/>
        <v>Total Hip ReplacementProviderPRACTICE PLUS GROUP HOSPITAL - BARLBOROUGH (NTP13)Oxford Hip Score</v>
      </c>
      <c r="C4321" t="s">
        <v>974</v>
      </c>
      <c r="D4321" t="s">
        <v>965</v>
      </c>
      <c r="E4321" t="s">
        <v>452</v>
      </c>
      <c r="F4321" t="s">
        <v>453</v>
      </c>
      <c r="G4321" t="s">
        <v>964</v>
      </c>
      <c r="H4321">
        <v>183</v>
      </c>
      <c r="I4321">
        <v>17.797799999999999</v>
      </c>
      <c r="J4321">
        <v>40.666699999999999</v>
      </c>
      <c r="K4321">
        <v>22.8689</v>
      </c>
      <c r="L4321">
        <v>178</v>
      </c>
      <c r="M4321">
        <v>1</v>
      </c>
      <c r="N4321">
        <v>4</v>
      </c>
      <c r="O4321">
        <v>39.680500000000002</v>
      </c>
      <c r="P4321">
        <v>22.469100000000001</v>
      </c>
      <c r="Q4321">
        <v>8.2129700000000003</v>
      </c>
    </row>
    <row r="4322" spans="1:17" x14ac:dyDescent="0.25">
      <c r="A4322">
        <f>IF(C4322&amp;G4322&amp;D4322&lt;&gt;'Funnel setup'!$K$3&amp;'Funnel setup'!$K$4&amp;'Funnel setup'!$K$6,".",IF(A4321=".",1,A4321+1))</f>
        <v>139</v>
      </c>
      <c r="B4322" s="244" t="str">
        <f t="shared" si="67"/>
        <v>Total Hip ReplacementProviderPRACTICE PLUS GROUP HOSPITAL - EMERSONS GREEN (NTPH2)Oxford Hip Score</v>
      </c>
      <c r="C4322" t="s">
        <v>974</v>
      </c>
      <c r="D4322" t="s">
        <v>965</v>
      </c>
      <c r="E4322" t="s">
        <v>454</v>
      </c>
      <c r="F4322" t="s">
        <v>455</v>
      </c>
      <c r="G4322" t="s">
        <v>964</v>
      </c>
      <c r="H4322">
        <v>145</v>
      </c>
      <c r="I4322">
        <v>18.034500000000001</v>
      </c>
      <c r="J4322">
        <v>42.496600000000001</v>
      </c>
      <c r="K4322">
        <v>24.4621</v>
      </c>
      <c r="L4322">
        <v>145</v>
      </c>
      <c r="M4322">
        <v>0</v>
      </c>
      <c r="N4322">
        <v>0</v>
      </c>
      <c r="O4322">
        <v>40.807499999999997</v>
      </c>
      <c r="P4322">
        <v>23.5961</v>
      </c>
      <c r="Q4322">
        <v>6.2077999999999998</v>
      </c>
    </row>
    <row r="4323" spans="1:17" x14ac:dyDescent="0.25">
      <c r="A4323">
        <f>IF(C4323&amp;G4323&amp;D4323&lt;&gt;'Funnel setup'!$K$3&amp;'Funnel setup'!$K$4&amp;'Funnel setup'!$K$6,".",IF(A4322=".",1,A4322+1))</f>
        <v>140</v>
      </c>
      <c r="B4323" s="244" t="str">
        <f t="shared" si="67"/>
        <v>Total Hip ReplacementProviderPRACTICE PLUS GROUP HOSPITAL - ILFORD (NTP15)Oxford Hip Score</v>
      </c>
      <c r="C4323" t="s">
        <v>974</v>
      </c>
      <c r="D4323" t="s">
        <v>965</v>
      </c>
      <c r="E4323" t="s">
        <v>456</v>
      </c>
      <c r="F4323" t="s">
        <v>457</v>
      </c>
      <c r="G4323" t="s">
        <v>964</v>
      </c>
      <c r="H4323">
        <v>61</v>
      </c>
      <c r="I4323">
        <v>17.180299999999999</v>
      </c>
      <c r="J4323">
        <v>40.147500000000001</v>
      </c>
      <c r="K4323">
        <v>22.967199999999998</v>
      </c>
      <c r="L4323">
        <v>58</v>
      </c>
      <c r="M4323">
        <v>0</v>
      </c>
      <c r="N4323">
        <v>3</v>
      </c>
      <c r="O4323">
        <v>39.704900000000002</v>
      </c>
      <c r="P4323">
        <v>22.493400000000001</v>
      </c>
      <c r="Q4323">
        <v>7.6871099999999997</v>
      </c>
    </row>
    <row r="4324" spans="1:17" x14ac:dyDescent="0.25">
      <c r="A4324">
        <f>IF(C4324&amp;G4324&amp;D4324&lt;&gt;'Funnel setup'!$K$3&amp;'Funnel setup'!$K$4&amp;'Funnel setup'!$K$6,".",IF(A4323=".",1,A4323+1))</f>
        <v>141</v>
      </c>
      <c r="B4324" s="244" t="str">
        <f t="shared" si="67"/>
        <v>Total Hip ReplacementProviderPRACTICE PLUS GROUP HOSPITAL - PLYMOUTH (NTPH5)Oxford Hip Score</v>
      </c>
      <c r="C4324" t="s">
        <v>974</v>
      </c>
      <c r="D4324" t="s">
        <v>965</v>
      </c>
      <c r="E4324" t="s">
        <v>458</v>
      </c>
      <c r="F4324" t="s">
        <v>459</v>
      </c>
      <c r="G4324" t="s">
        <v>964</v>
      </c>
      <c r="H4324">
        <v>190</v>
      </c>
      <c r="I4324">
        <v>17.9526</v>
      </c>
      <c r="J4324">
        <v>41.578899999999997</v>
      </c>
      <c r="K4324">
        <v>23.626300000000001</v>
      </c>
      <c r="L4324">
        <v>182</v>
      </c>
      <c r="M4324">
        <v>1</v>
      </c>
      <c r="N4324">
        <v>7</v>
      </c>
      <c r="O4324">
        <v>41.084600000000002</v>
      </c>
      <c r="P4324">
        <v>23.873100000000001</v>
      </c>
      <c r="Q4324">
        <v>7.8652800000000003</v>
      </c>
    </row>
    <row r="4325" spans="1:17" x14ac:dyDescent="0.25">
      <c r="A4325">
        <f>IF(C4325&amp;G4325&amp;D4325&lt;&gt;'Funnel setup'!$K$3&amp;'Funnel setup'!$K$4&amp;'Funnel setup'!$K$6,".",IF(A4324=".",1,A4324+1))</f>
        <v>142</v>
      </c>
      <c r="B4325" s="244" t="str">
        <f t="shared" si="67"/>
        <v>Total Hip ReplacementProviderPRACTICE PLUS GROUP HOSPITAL - SHEPTON MALLET (NTPH1)Oxford Hip Score</v>
      </c>
      <c r="C4325" t="s">
        <v>974</v>
      </c>
      <c r="D4325" t="s">
        <v>965</v>
      </c>
      <c r="E4325" t="s">
        <v>460</v>
      </c>
      <c r="F4325" t="s">
        <v>461</v>
      </c>
      <c r="G4325" t="s">
        <v>964</v>
      </c>
      <c r="H4325">
        <v>300</v>
      </c>
      <c r="I4325">
        <v>18.046700000000001</v>
      </c>
      <c r="J4325">
        <v>42.16</v>
      </c>
      <c r="K4325">
        <v>24.113299999999999</v>
      </c>
      <c r="L4325">
        <v>296</v>
      </c>
      <c r="M4325">
        <v>1</v>
      </c>
      <c r="N4325">
        <v>3</v>
      </c>
      <c r="O4325">
        <v>40.399299999999997</v>
      </c>
      <c r="P4325">
        <v>23.187799999999999</v>
      </c>
      <c r="Q4325">
        <v>7.0406300000000002</v>
      </c>
    </row>
    <row r="4326" spans="1:17" x14ac:dyDescent="0.25">
      <c r="A4326">
        <f>IF(C4326&amp;G4326&amp;D4326&lt;&gt;'Funnel setup'!$K$3&amp;'Funnel setup'!$K$4&amp;'Funnel setup'!$K$6,".",IF(A4325=".",1,A4325+1))</f>
        <v>143</v>
      </c>
      <c r="B4326" s="244" t="str">
        <f t="shared" si="67"/>
        <v>Total Hip ReplacementProviderPRACTICE PLUS GROUP HOSPITAL - SOUTHAMPTON (NTP11)Oxford Hip Score</v>
      </c>
      <c r="C4326" t="s">
        <v>974</v>
      </c>
      <c r="D4326" t="s">
        <v>965</v>
      </c>
      <c r="E4326" t="s">
        <v>462</v>
      </c>
      <c r="F4326" t="s">
        <v>463</v>
      </c>
      <c r="G4326" t="s">
        <v>964</v>
      </c>
      <c r="H4326">
        <v>79</v>
      </c>
      <c r="I4326">
        <v>17.4177</v>
      </c>
      <c r="J4326">
        <v>40.037999999999997</v>
      </c>
      <c r="K4326">
        <v>22.6203</v>
      </c>
      <c r="L4326">
        <v>74</v>
      </c>
      <c r="M4326">
        <v>0</v>
      </c>
      <c r="N4326">
        <v>5</v>
      </c>
      <c r="O4326">
        <v>39.494100000000003</v>
      </c>
      <c r="P4326">
        <v>22.282599999999999</v>
      </c>
      <c r="Q4326">
        <v>9.5923400000000001</v>
      </c>
    </row>
    <row r="4327" spans="1:17" x14ac:dyDescent="0.25">
      <c r="A4327">
        <f>IF(C4327&amp;G4327&amp;D4327&lt;&gt;'Funnel setup'!$K$3&amp;'Funnel setup'!$K$4&amp;'Funnel setup'!$K$6,".",IF(A4326=".",1,A4326+1))</f>
        <v>144</v>
      </c>
      <c r="B4327" s="244" t="str">
        <f t="shared" si="67"/>
        <v>Total Hip ReplacementProviderPRINCESS MARGARET HOSPITAL (NT428)Oxford Hip Score</v>
      </c>
      <c r="C4327" t="s">
        <v>974</v>
      </c>
      <c r="D4327" t="s">
        <v>965</v>
      </c>
      <c r="E4327" t="s">
        <v>464</v>
      </c>
      <c r="F4327" t="s">
        <v>465</v>
      </c>
      <c r="G4327" t="s">
        <v>964</v>
      </c>
      <c r="H4327" t="s">
        <v>127</v>
      </c>
      <c r="I4327" t="s">
        <v>127</v>
      </c>
      <c r="J4327" t="s">
        <v>127</v>
      </c>
      <c r="K4327" t="s">
        <v>127</v>
      </c>
      <c r="L4327" t="s">
        <v>127</v>
      </c>
      <c r="M4327" t="s">
        <v>127</v>
      </c>
      <c r="N4327" t="s">
        <v>127</v>
      </c>
      <c r="O4327" t="s">
        <v>127</v>
      </c>
      <c r="P4327" t="s">
        <v>127</v>
      </c>
      <c r="Q4327" t="s">
        <v>127</v>
      </c>
    </row>
    <row r="4328" spans="1:17" x14ac:dyDescent="0.25">
      <c r="A4328">
        <f>IF(C4328&amp;G4328&amp;D4328&lt;&gt;'Funnel setup'!$K$3&amp;'Funnel setup'!$K$4&amp;'Funnel setup'!$K$6,".",IF(A4327=".",1,A4327+1))</f>
        <v>145</v>
      </c>
      <c r="B4328" s="244" t="str">
        <f t="shared" si="67"/>
        <v>Total Hip ReplacementProviderPRIORY HOSPITAL (NT429)Oxford Hip Score</v>
      </c>
      <c r="C4328" t="s">
        <v>974</v>
      </c>
      <c r="D4328" t="s">
        <v>965</v>
      </c>
      <c r="E4328" t="s">
        <v>466</v>
      </c>
      <c r="F4328" t="s">
        <v>467</v>
      </c>
      <c r="G4328" t="s">
        <v>964</v>
      </c>
      <c r="H4328">
        <v>11</v>
      </c>
      <c r="I4328">
        <v>16</v>
      </c>
      <c r="J4328">
        <v>42.7273</v>
      </c>
      <c r="K4328">
        <v>26.7273</v>
      </c>
      <c r="L4328">
        <v>10</v>
      </c>
      <c r="M4328">
        <v>0</v>
      </c>
      <c r="N4328">
        <v>1</v>
      </c>
      <c r="O4328" t="s">
        <v>127</v>
      </c>
      <c r="P4328" t="s">
        <v>127</v>
      </c>
      <c r="Q4328" t="s">
        <v>127</v>
      </c>
    </row>
    <row r="4329" spans="1:17" x14ac:dyDescent="0.25">
      <c r="A4329">
        <f>IF(C4329&amp;G4329&amp;D4329&lt;&gt;'Funnel setup'!$K$3&amp;'Funnel setup'!$K$4&amp;'Funnel setup'!$K$6,".",IF(A4328=".",1,A4328+1))</f>
        <v>146</v>
      </c>
      <c r="B4329" s="244" t="str">
        <f t="shared" si="67"/>
        <v>Total Hip ReplacementProviderRENACRES HOSPITAL (NVC16)Oxford Hip Score</v>
      </c>
      <c r="C4329" t="s">
        <v>974</v>
      </c>
      <c r="D4329" t="s">
        <v>965</v>
      </c>
      <c r="E4329" t="s">
        <v>470</v>
      </c>
      <c r="F4329" t="s">
        <v>471</v>
      </c>
      <c r="G4329" t="s">
        <v>964</v>
      </c>
      <c r="H4329">
        <v>83</v>
      </c>
      <c r="I4329">
        <v>17.2651</v>
      </c>
      <c r="J4329">
        <v>40.530099999999997</v>
      </c>
      <c r="K4329">
        <v>23.2651</v>
      </c>
      <c r="L4329">
        <v>82</v>
      </c>
      <c r="M4329">
        <v>0</v>
      </c>
      <c r="N4329">
        <v>1</v>
      </c>
      <c r="O4329">
        <v>40.450099999999999</v>
      </c>
      <c r="P4329">
        <v>23.238700000000001</v>
      </c>
      <c r="Q4329">
        <v>8.5668399999999991</v>
      </c>
    </row>
    <row r="4330" spans="1:17" x14ac:dyDescent="0.25">
      <c r="A4330">
        <f>IF(C4330&amp;G4330&amp;D4330&lt;&gt;'Funnel setup'!$K$3&amp;'Funnel setup'!$K$4&amp;'Funnel setup'!$K$6,".",IF(A4329=".",1,A4329+1))</f>
        <v>147</v>
      </c>
      <c r="B4330" s="244" t="str">
        <f t="shared" si="67"/>
        <v>Total Hip ReplacementProviderRIDGEWAY HOSPITAL (NT430)Oxford Hip Score</v>
      </c>
      <c r="C4330" t="s">
        <v>974</v>
      </c>
      <c r="D4330" t="s">
        <v>965</v>
      </c>
      <c r="E4330" t="s">
        <v>472</v>
      </c>
      <c r="F4330" t="s">
        <v>473</v>
      </c>
      <c r="G4330" t="s">
        <v>964</v>
      </c>
      <c r="H4330">
        <v>5</v>
      </c>
      <c r="I4330">
        <v>23.2</v>
      </c>
      <c r="J4330">
        <v>43.8</v>
      </c>
      <c r="K4330">
        <v>20.6</v>
      </c>
      <c r="L4330">
        <v>5</v>
      </c>
      <c r="M4330">
        <v>0</v>
      </c>
      <c r="N4330">
        <v>0</v>
      </c>
      <c r="O4330" t="s">
        <v>127</v>
      </c>
      <c r="P4330" t="s">
        <v>127</v>
      </c>
      <c r="Q4330" t="s">
        <v>127</v>
      </c>
    </row>
    <row r="4331" spans="1:17" x14ac:dyDescent="0.25">
      <c r="A4331">
        <f>IF(C4331&amp;G4331&amp;D4331&lt;&gt;'Funnel setup'!$K$3&amp;'Funnel setup'!$K$4&amp;'Funnel setup'!$K$6,".",IF(A4330=".",1,A4330+1))</f>
        <v>148</v>
      </c>
      <c r="B4331" s="244" t="str">
        <f t="shared" si="67"/>
        <v>Total Hip ReplacementProviderRIVERS HOSPITAL (NVC19)Oxford Hip Score</v>
      </c>
      <c r="C4331" t="s">
        <v>974</v>
      </c>
      <c r="D4331" t="s">
        <v>965</v>
      </c>
      <c r="E4331" t="s">
        <v>474</v>
      </c>
      <c r="F4331" t="s">
        <v>475</v>
      </c>
      <c r="G4331" t="s">
        <v>964</v>
      </c>
      <c r="H4331">
        <v>58</v>
      </c>
      <c r="I4331">
        <v>19.100000000000001</v>
      </c>
      <c r="J4331">
        <v>42.1</v>
      </c>
      <c r="K4331">
        <v>23</v>
      </c>
      <c r="L4331">
        <v>57</v>
      </c>
      <c r="M4331">
        <v>0</v>
      </c>
      <c r="N4331">
        <v>1</v>
      </c>
      <c r="O4331">
        <v>40.840400000000002</v>
      </c>
      <c r="P4331">
        <v>23.629000000000001</v>
      </c>
      <c r="Q4331">
        <v>6.9366700000000003</v>
      </c>
    </row>
    <row r="4332" spans="1:17" x14ac:dyDescent="0.25">
      <c r="A4332">
        <f>IF(C4332&amp;G4332&amp;D4332&lt;&gt;'Funnel setup'!$K$3&amp;'Funnel setup'!$K$4&amp;'Funnel setup'!$K$6,".",IF(A4331=".",1,A4331+1))</f>
        <v>149</v>
      </c>
      <c r="B4332" s="244" t="str">
        <f t="shared" si="67"/>
        <v>Total Hip ReplacementProviderROWLEY HALL HOSPITAL (NVC17)Oxford Hip Score</v>
      </c>
      <c r="C4332" t="s">
        <v>974</v>
      </c>
      <c r="D4332" t="s">
        <v>965</v>
      </c>
      <c r="E4332" t="s">
        <v>476</v>
      </c>
      <c r="F4332" t="s">
        <v>477</v>
      </c>
      <c r="G4332" t="s">
        <v>964</v>
      </c>
      <c r="H4332">
        <v>56</v>
      </c>
      <c r="I4332">
        <v>17.421099999999999</v>
      </c>
      <c r="J4332">
        <v>40.877200000000002</v>
      </c>
      <c r="K4332">
        <v>23.456099999999999</v>
      </c>
      <c r="L4332">
        <v>56</v>
      </c>
      <c r="M4332">
        <v>0</v>
      </c>
      <c r="N4332">
        <v>0</v>
      </c>
      <c r="O4332">
        <v>40.206699999999998</v>
      </c>
      <c r="P4332">
        <v>22.995200000000001</v>
      </c>
      <c r="Q4332">
        <v>7.10128</v>
      </c>
    </row>
    <row r="4333" spans="1:17" x14ac:dyDescent="0.25">
      <c r="A4333">
        <f>IF(C4333&amp;G4333&amp;D4333&lt;&gt;'Funnel setup'!$K$3&amp;'Funnel setup'!$K$4&amp;'Funnel setup'!$K$6,".",IF(A4332=".",1,A4332+1))</f>
        <v>150</v>
      </c>
      <c r="B4333" s="244" t="str">
        <f t="shared" si="67"/>
        <v>Total Hip ReplacementProviderROYAL BERKSHIRE NHS FOUNDATION TRUST (RHW)Oxford Hip Score</v>
      </c>
      <c r="C4333" t="s">
        <v>974</v>
      </c>
      <c r="D4333" t="s">
        <v>965</v>
      </c>
      <c r="E4333" t="s">
        <v>478</v>
      </c>
      <c r="F4333" t="s">
        <v>479</v>
      </c>
      <c r="G4333" t="s">
        <v>964</v>
      </c>
      <c r="H4333">
        <v>4</v>
      </c>
      <c r="I4333">
        <v>15</v>
      </c>
      <c r="J4333">
        <v>34.25</v>
      </c>
      <c r="K4333">
        <v>19.25</v>
      </c>
      <c r="L4333">
        <v>4</v>
      </c>
      <c r="M4333">
        <v>0</v>
      </c>
      <c r="N4333">
        <v>0</v>
      </c>
      <c r="O4333" t="s">
        <v>127</v>
      </c>
      <c r="P4333" t="s">
        <v>127</v>
      </c>
      <c r="Q4333" t="s">
        <v>127</v>
      </c>
    </row>
    <row r="4334" spans="1:17" x14ac:dyDescent="0.25">
      <c r="A4334">
        <f>IF(C4334&amp;G4334&amp;D4334&lt;&gt;'Funnel setup'!$K$3&amp;'Funnel setup'!$K$4&amp;'Funnel setup'!$K$6,".",IF(A4333=".",1,A4333+1))</f>
        <v>151</v>
      </c>
      <c r="B4334" s="244" t="str">
        <f t="shared" si="67"/>
        <v>Total Hip ReplacementProviderROYAL CORNWALL HOSPITALS NHS TRUST (REF)Oxford Hip Score</v>
      </c>
      <c r="C4334" t="s">
        <v>974</v>
      </c>
      <c r="D4334" t="s">
        <v>965</v>
      </c>
      <c r="E4334" t="s">
        <v>480</v>
      </c>
      <c r="F4334" t="s">
        <v>481</v>
      </c>
      <c r="G4334" t="s">
        <v>964</v>
      </c>
      <c r="H4334">
        <v>57</v>
      </c>
      <c r="I4334">
        <v>20.701799999999999</v>
      </c>
      <c r="J4334">
        <v>40.877200000000002</v>
      </c>
      <c r="K4334">
        <v>20.1754</v>
      </c>
      <c r="L4334">
        <v>55</v>
      </c>
      <c r="M4334">
        <v>0</v>
      </c>
      <c r="N4334">
        <v>2</v>
      </c>
      <c r="O4334">
        <v>40.267299999999999</v>
      </c>
      <c r="P4334">
        <v>23.055800000000001</v>
      </c>
      <c r="Q4334">
        <v>7.3868999999999998</v>
      </c>
    </row>
    <row r="4335" spans="1:17" x14ac:dyDescent="0.25">
      <c r="A4335">
        <f>IF(C4335&amp;G4335&amp;D4335&lt;&gt;'Funnel setup'!$K$3&amp;'Funnel setup'!$K$4&amp;'Funnel setup'!$K$6,".",IF(A4334=".",1,A4334+1))</f>
        <v>152</v>
      </c>
      <c r="B4335" s="244" t="str">
        <f t="shared" si="67"/>
        <v>Total Hip ReplacementProviderROYAL DEVON UNIVERSITY HEALTHCARE NHS FOUNDATION TRUST (RH8)Oxford Hip Score</v>
      </c>
      <c r="C4335" t="s">
        <v>974</v>
      </c>
      <c r="D4335" t="s">
        <v>965</v>
      </c>
      <c r="E4335" t="s">
        <v>482</v>
      </c>
      <c r="F4335" t="s">
        <v>483</v>
      </c>
      <c r="G4335" t="s">
        <v>964</v>
      </c>
      <c r="H4335">
        <v>4</v>
      </c>
      <c r="I4335">
        <v>15.25</v>
      </c>
      <c r="J4335">
        <v>46.5</v>
      </c>
      <c r="K4335">
        <v>31.25</v>
      </c>
      <c r="L4335">
        <v>4</v>
      </c>
      <c r="M4335">
        <v>0</v>
      </c>
      <c r="N4335">
        <v>0</v>
      </c>
      <c r="O4335" t="s">
        <v>127</v>
      </c>
      <c r="P4335" t="s">
        <v>127</v>
      </c>
      <c r="Q4335" t="s">
        <v>127</v>
      </c>
    </row>
    <row r="4336" spans="1:17" x14ac:dyDescent="0.25">
      <c r="A4336">
        <f>IF(C4336&amp;G4336&amp;D4336&lt;&gt;'Funnel setup'!$K$3&amp;'Funnel setup'!$K$4&amp;'Funnel setup'!$K$6,".",IF(A4335=".",1,A4335+1))</f>
        <v>153</v>
      </c>
      <c r="B4336" s="244" t="str">
        <f t="shared" si="67"/>
        <v>Total Hip ReplacementProviderROYAL NATIONAL ORTHOPAEDIC HOSPITAL NHS TRUST (RAN)Oxford Hip Score</v>
      </c>
      <c r="C4336" t="s">
        <v>974</v>
      </c>
      <c r="D4336" t="s">
        <v>965</v>
      </c>
      <c r="E4336" t="s">
        <v>486</v>
      </c>
      <c r="F4336" t="s">
        <v>487</v>
      </c>
      <c r="G4336" t="s">
        <v>964</v>
      </c>
      <c r="H4336">
        <v>93</v>
      </c>
      <c r="I4336">
        <v>16.881699999999999</v>
      </c>
      <c r="J4336">
        <v>35.064500000000002</v>
      </c>
      <c r="K4336">
        <v>18.1828</v>
      </c>
      <c r="L4336">
        <v>88</v>
      </c>
      <c r="M4336">
        <v>0</v>
      </c>
      <c r="N4336">
        <v>5</v>
      </c>
      <c r="O4336">
        <v>36.963500000000003</v>
      </c>
      <c r="P4336">
        <v>19.752099999999999</v>
      </c>
      <c r="Q4336">
        <v>10.1312</v>
      </c>
    </row>
    <row r="4337" spans="1:17" x14ac:dyDescent="0.25">
      <c r="A4337">
        <f>IF(C4337&amp;G4337&amp;D4337&lt;&gt;'Funnel setup'!$K$3&amp;'Funnel setup'!$K$4&amp;'Funnel setup'!$K$6,".",IF(A4336=".",1,A4336+1))</f>
        <v>154</v>
      </c>
      <c r="B4337" s="244" t="str">
        <f t="shared" si="67"/>
        <v>Total Hip ReplacementProviderROYAL SURREY COUNTY HOSPITAL NHS FOUNDATION TRUST (RA2)Oxford Hip Score</v>
      </c>
      <c r="C4337" t="s">
        <v>974</v>
      </c>
      <c r="D4337" t="s">
        <v>965</v>
      </c>
      <c r="E4337" t="s">
        <v>488</v>
      </c>
      <c r="F4337" t="s">
        <v>489</v>
      </c>
      <c r="G4337" t="s">
        <v>964</v>
      </c>
      <c r="H4337">
        <v>80</v>
      </c>
      <c r="I4337">
        <v>20.612500000000001</v>
      </c>
      <c r="J4337">
        <v>40.012500000000003</v>
      </c>
      <c r="K4337">
        <v>19.399999999999999</v>
      </c>
      <c r="L4337">
        <v>73</v>
      </c>
      <c r="M4337">
        <v>1</v>
      </c>
      <c r="N4337">
        <v>6</v>
      </c>
      <c r="O4337">
        <v>39.195</v>
      </c>
      <c r="P4337">
        <v>21.983499999999999</v>
      </c>
      <c r="Q4337">
        <v>8.1081800000000008</v>
      </c>
    </row>
    <row r="4338" spans="1:17" x14ac:dyDescent="0.25">
      <c r="A4338">
        <f>IF(C4338&amp;G4338&amp;D4338&lt;&gt;'Funnel setup'!$K$3&amp;'Funnel setup'!$K$4&amp;'Funnel setup'!$K$6,".",IF(A4337=".",1,A4337+1))</f>
        <v>155</v>
      </c>
      <c r="B4338" s="244" t="str">
        <f t="shared" si="67"/>
        <v>Total Hip ReplacementProviderROYAL UNITED HOSPITALS BATH NHS FOUNDATION TRUST (RD1)Oxford Hip Score</v>
      </c>
      <c r="C4338" t="s">
        <v>974</v>
      </c>
      <c r="D4338" t="s">
        <v>965</v>
      </c>
      <c r="E4338" t="s">
        <v>490</v>
      </c>
      <c r="F4338" t="s">
        <v>491</v>
      </c>
      <c r="G4338" t="s">
        <v>964</v>
      </c>
      <c r="H4338">
        <v>8</v>
      </c>
      <c r="I4338">
        <v>16.125</v>
      </c>
      <c r="J4338">
        <v>32.25</v>
      </c>
      <c r="K4338">
        <v>16.125</v>
      </c>
      <c r="L4338">
        <v>7</v>
      </c>
      <c r="M4338">
        <v>0</v>
      </c>
      <c r="N4338">
        <v>1</v>
      </c>
      <c r="O4338" t="s">
        <v>127</v>
      </c>
      <c r="P4338" t="s">
        <v>127</v>
      </c>
      <c r="Q4338" t="s">
        <v>127</v>
      </c>
    </row>
    <row r="4339" spans="1:17" x14ac:dyDescent="0.25">
      <c r="A4339">
        <f>IF(C4339&amp;G4339&amp;D4339&lt;&gt;'Funnel setup'!$K$3&amp;'Funnel setup'!$K$4&amp;'Funnel setup'!$K$6,".",IF(A4338=".",1,A4338+1))</f>
        <v>156</v>
      </c>
      <c r="B4339" s="244" t="str">
        <f t="shared" si="67"/>
        <v>Total Hip ReplacementProviderRUNNYMEDE HOSPITAL (NT431)Oxford Hip Score</v>
      </c>
      <c r="C4339" t="s">
        <v>974</v>
      </c>
      <c r="D4339" t="s">
        <v>965</v>
      </c>
      <c r="E4339" t="s">
        <v>492</v>
      </c>
      <c r="F4339" t="s">
        <v>493</v>
      </c>
      <c r="G4339" t="s">
        <v>964</v>
      </c>
      <c r="H4339">
        <v>6</v>
      </c>
      <c r="I4339">
        <v>21.333300000000001</v>
      </c>
      <c r="J4339">
        <v>46.5</v>
      </c>
      <c r="K4339">
        <v>25.166699999999999</v>
      </c>
      <c r="L4339">
        <v>6</v>
      </c>
      <c r="M4339">
        <v>0</v>
      </c>
      <c r="N4339">
        <v>0</v>
      </c>
      <c r="O4339" t="s">
        <v>127</v>
      </c>
      <c r="P4339" t="s">
        <v>127</v>
      </c>
      <c r="Q4339" t="s">
        <v>127</v>
      </c>
    </row>
    <row r="4340" spans="1:17" x14ac:dyDescent="0.25">
      <c r="A4340">
        <f>IF(C4340&amp;G4340&amp;D4340&lt;&gt;'Funnel setup'!$K$3&amp;'Funnel setup'!$K$4&amp;'Funnel setup'!$K$6,".",IF(A4339=".",1,A4339+1))</f>
        <v>157</v>
      </c>
      <c r="B4340" s="244" t="str">
        <f t="shared" si="67"/>
        <v>Total Hip ReplacementProviderSALISBURY NHS FOUNDATION TRUST (RNZ)Oxford Hip Score</v>
      </c>
      <c r="C4340" t="s">
        <v>974</v>
      </c>
      <c r="D4340" t="s">
        <v>965</v>
      </c>
      <c r="E4340" t="s">
        <v>494</v>
      </c>
      <c r="F4340" t="s">
        <v>495</v>
      </c>
      <c r="G4340" t="s">
        <v>964</v>
      </c>
      <c r="H4340">
        <v>3</v>
      </c>
      <c r="I4340">
        <v>12.333299999999999</v>
      </c>
      <c r="J4340">
        <v>42.333300000000001</v>
      </c>
      <c r="K4340">
        <v>30</v>
      </c>
      <c r="L4340">
        <v>3</v>
      </c>
      <c r="M4340">
        <v>0</v>
      </c>
      <c r="N4340">
        <v>0</v>
      </c>
      <c r="O4340" t="s">
        <v>127</v>
      </c>
      <c r="P4340" t="s">
        <v>127</v>
      </c>
      <c r="Q4340" t="s">
        <v>127</v>
      </c>
    </row>
    <row r="4341" spans="1:17" x14ac:dyDescent="0.25">
      <c r="A4341">
        <f>IF(C4341&amp;G4341&amp;D4341&lt;&gt;'Funnel setup'!$K$3&amp;'Funnel setup'!$K$4&amp;'Funnel setup'!$K$6,".",IF(A4340=".",1,A4340+1))</f>
        <v>158</v>
      </c>
      <c r="B4341" s="244" t="str">
        <f t="shared" si="67"/>
        <v>Total Hip ReplacementProviderSANDWELL AND WEST BIRMINGHAM HOSPITALS NHS TRUST (RXK)Oxford Hip Score</v>
      </c>
      <c r="C4341" t="s">
        <v>974</v>
      </c>
      <c r="D4341" t="s">
        <v>965</v>
      </c>
      <c r="E4341" t="s">
        <v>496</v>
      </c>
      <c r="F4341" t="s">
        <v>497</v>
      </c>
      <c r="G4341" t="s">
        <v>964</v>
      </c>
      <c r="H4341">
        <v>44</v>
      </c>
      <c r="I4341">
        <v>12.431800000000001</v>
      </c>
      <c r="J4341">
        <v>36.681800000000003</v>
      </c>
      <c r="K4341">
        <v>24.25</v>
      </c>
      <c r="L4341">
        <v>44</v>
      </c>
      <c r="M4341">
        <v>0</v>
      </c>
      <c r="N4341">
        <v>0</v>
      </c>
      <c r="O4341">
        <v>40.477699999999999</v>
      </c>
      <c r="P4341">
        <v>23.266300000000001</v>
      </c>
      <c r="Q4341">
        <v>9.1951300000000007</v>
      </c>
    </row>
    <row r="4342" spans="1:17" x14ac:dyDescent="0.25">
      <c r="A4342">
        <f>IF(C4342&amp;G4342&amp;D4342&lt;&gt;'Funnel setup'!$K$3&amp;'Funnel setup'!$K$4&amp;'Funnel setup'!$K$6,".",IF(A4341=".",1,A4341+1))</f>
        <v>159</v>
      </c>
      <c r="B4342" s="244" t="str">
        <f t="shared" si="67"/>
        <v>Total Hip ReplacementProviderSARUM ROAD HOSPITAL (NT433)Oxford Hip Score</v>
      </c>
      <c r="C4342" t="s">
        <v>974</v>
      </c>
      <c r="D4342" t="s">
        <v>965</v>
      </c>
      <c r="E4342" t="s">
        <v>498</v>
      </c>
      <c r="F4342" t="s">
        <v>499</v>
      </c>
      <c r="G4342" t="s">
        <v>964</v>
      </c>
      <c r="H4342">
        <v>36</v>
      </c>
      <c r="I4342">
        <v>21.416699999999999</v>
      </c>
      <c r="J4342">
        <v>43</v>
      </c>
      <c r="K4342">
        <v>21.583300000000001</v>
      </c>
      <c r="L4342">
        <v>36</v>
      </c>
      <c r="M4342">
        <v>0</v>
      </c>
      <c r="N4342">
        <v>0</v>
      </c>
      <c r="O4342">
        <v>39.578699999999998</v>
      </c>
      <c r="P4342">
        <v>22.3673</v>
      </c>
      <c r="Q4342">
        <v>4.9612400000000001</v>
      </c>
    </row>
    <row r="4343" spans="1:17" x14ac:dyDescent="0.25">
      <c r="A4343">
        <f>IF(C4343&amp;G4343&amp;D4343&lt;&gt;'Funnel setup'!$K$3&amp;'Funnel setup'!$K$4&amp;'Funnel setup'!$K$6,".",IF(A4342=".",1,A4342+1))</f>
        <v>160</v>
      </c>
      <c r="B4343" s="244" t="str">
        <f t="shared" si="67"/>
        <v>Total Hip ReplacementProviderSAXON CLINIC (NT434)Oxford Hip Score</v>
      </c>
      <c r="C4343" t="s">
        <v>974</v>
      </c>
      <c r="D4343" t="s">
        <v>965</v>
      </c>
      <c r="E4343" t="s">
        <v>500</v>
      </c>
      <c r="F4343" t="s">
        <v>501</v>
      </c>
      <c r="G4343" t="s">
        <v>964</v>
      </c>
      <c r="H4343">
        <v>19</v>
      </c>
      <c r="I4343">
        <v>16.947399999999998</v>
      </c>
      <c r="J4343">
        <v>43.736800000000002</v>
      </c>
      <c r="K4343">
        <v>26.7895</v>
      </c>
      <c r="L4343">
        <v>19</v>
      </c>
      <c r="M4343">
        <v>0</v>
      </c>
      <c r="N4343">
        <v>0</v>
      </c>
      <c r="O4343" t="s">
        <v>127</v>
      </c>
      <c r="P4343" t="s">
        <v>127</v>
      </c>
      <c r="Q4343" t="s">
        <v>127</v>
      </c>
    </row>
    <row r="4344" spans="1:17" x14ac:dyDescent="0.25">
      <c r="A4344">
        <f>IF(C4344&amp;G4344&amp;D4344&lt;&gt;'Funnel setup'!$K$3&amp;'Funnel setup'!$K$4&amp;'Funnel setup'!$K$6,".",IF(A4343=".",1,A4343+1))</f>
        <v>161</v>
      </c>
      <c r="B4344" s="244" t="str">
        <f t="shared" si="67"/>
        <v>Total Hip ReplacementProviderSHEFFIELD TEACHING HOSPITALS NHS FOUNDATION TRUST (RHQ)Oxford Hip Score</v>
      </c>
      <c r="C4344" t="s">
        <v>974</v>
      </c>
      <c r="D4344" t="s">
        <v>965</v>
      </c>
      <c r="E4344" t="s">
        <v>506</v>
      </c>
      <c r="F4344" t="s">
        <v>507</v>
      </c>
      <c r="G4344" t="s">
        <v>964</v>
      </c>
      <c r="H4344">
        <v>34</v>
      </c>
      <c r="I4344">
        <v>18.235299999999999</v>
      </c>
      <c r="J4344">
        <v>39.970599999999997</v>
      </c>
      <c r="K4344">
        <v>21.735299999999999</v>
      </c>
      <c r="L4344">
        <v>33</v>
      </c>
      <c r="M4344">
        <v>0</v>
      </c>
      <c r="N4344">
        <v>1</v>
      </c>
      <c r="O4344">
        <v>38.875599999999999</v>
      </c>
      <c r="P4344">
        <v>21.664100000000001</v>
      </c>
      <c r="Q4344">
        <v>9.3816199999999998</v>
      </c>
    </row>
    <row r="4345" spans="1:17" x14ac:dyDescent="0.25">
      <c r="A4345">
        <f>IF(C4345&amp;G4345&amp;D4345&lt;&gt;'Funnel setup'!$K$3&amp;'Funnel setup'!$K$4&amp;'Funnel setup'!$K$6,".",IF(A4344=".",1,A4344+1))</f>
        <v>162</v>
      </c>
      <c r="B4345" s="244" t="str">
        <f t="shared" si="67"/>
        <v>Total Hip ReplacementProviderSHERWOOD FOREST HOSPITALS NHS FOUNDATION TRUST (RK5)Oxford Hip Score</v>
      </c>
      <c r="C4345" t="s">
        <v>974</v>
      </c>
      <c r="D4345" t="s">
        <v>965</v>
      </c>
      <c r="E4345" t="s">
        <v>508</v>
      </c>
      <c r="F4345" t="s">
        <v>509</v>
      </c>
      <c r="G4345" t="s">
        <v>964</v>
      </c>
      <c r="H4345">
        <v>77</v>
      </c>
      <c r="I4345">
        <v>14.7662</v>
      </c>
      <c r="J4345">
        <v>39.207799999999999</v>
      </c>
      <c r="K4345">
        <v>24.441600000000001</v>
      </c>
      <c r="L4345">
        <v>76</v>
      </c>
      <c r="M4345">
        <v>1</v>
      </c>
      <c r="N4345">
        <v>0</v>
      </c>
      <c r="O4345">
        <v>40.757800000000003</v>
      </c>
      <c r="P4345">
        <v>23.546399999999998</v>
      </c>
      <c r="Q4345">
        <v>7.9378700000000002</v>
      </c>
    </row>
    <row r="4346" spans="1:17" x14ac:dyDescent="0.25">
      <c r="A4346">
        <f>IF(C4346&amp;G4346&amp;D4346&lt;&gt;'Funnel setup'!$K$3&amp;'Funnel setup'!$K$4&amp;'Funnel setup'!$K$6,".",IF(A4345=".",1,A4345+1))</f>
        <v>163</v>
      </c>
      <c r="B4346" s="244" t="str">
        <f t="shared" si="67"/>
        <v>Total Hip ReplacementProviderSHIRLEY OAKS HOSPITAL (NT436)Oxford Hip Score</v>
      </c>
      <c r="C4346" t="s">
        <v>974</v>
      </c>
      <c r="D4346" t="s">
        <v>965</v>
      </c>
      <c r="E4346" t="s">
        <v>510</v>
      </c>
      <c r="F4346" t="s">
        <v>511</v>
      </c>
      <c r="G4346" t="s">
        <v>964</v>
      </c>
      <c r="H4346">
        <v>2</v>
      </c>
      <c r="I4346">
        <v>24.5</v>
      </c>
      <c r="J4346">
        <v>25</v>
      </c>
      <c r="K4346">
        <v>0.5</v>
      </c>
      <c r="L4346">
        <v>1</v>
      </c>
      <c r="M4346">
        <v>0</v>
      </c>
      <c r="N4346">
        <v>1</v>
      </c>
      <c r="O4346" t="s">
        <v>127</v>
      </c>
      <c r="P4346" t="s">
        <v>127</v>
      </c>
      <c r="Q4346" t="s">
        <v>127</v>
      </c>
    </row>
    <row r="4347" spans="1:17" x14ac:dyDescent="0.25">
      <c r="A4347">
        <f>IF(C4347&amp;G4347&amp;D4347&lt;&gt;'Funnel setup'!$K$3&amp;'Funnel setup'!$K$4&amp;'Funnel setup'!$K$6,".",IF(A4346=".",1,A4346+1))</f>
        <v>164</v>
      </c>
      <c r="B4347" s="244" t="str">
        <f t="shared" si="67"/>
        <v>Total Hip ReplacementProviderSLOANE HOSPITAL (NT437)Oxford Hip Score</v>
      </c>
      <c r="C4347" t="s">
        <v>974</v>
      </c>
      <c r="D4347" t="s">
        <v>965</v>
      </c>
      <c r="E4347" t="s">
        <v>512</v>
      </c>
      <c r="F4347" t="s">
        <v>513</v>
      </c>
      <c r="G4347" t="s">
        <v>964</v>
      </c>
      <c r="H4347">
        <v>2</v>
      </c>
      <c r="I4347">
        <v>12</v>
      </c>
      <c r="J4347">
        <v>46</v>
      </c>
      <c r="K4347">
        <v>34</v>
      </c>
      <c r="L4347">
        <v>2</v>
      </c>
      <c r="M4347">
        <v>0</v>
      </c>
      <c r="N4347">
        <v>0</v>
      </c>
      <c r="O4347" t="s">
        <v>127</v>
      </c>
      <c r="P4347" t="s">
        <v>127</v>
      </c>
      <c r="Q4347" t="s">
        <v>127</v>
      </c>
    </row>
    <row r="4348" spans="1:17" x14ac:dyDescent="0.25">
      <c r="A4348">
        <f>IF(C4348&amp;G4348&amp;D4348&lt;&gt;'Funnel setup'!$K$3&amp;'Funnel setup'!$K$4&amp;'Funnel setup'!$K$6,".",IF(A4347=".",1,A4347+1))</f>
        <v>165</v>
      </c>
      <c r="B4348" s="244" t="str">
        <f t="shared" si="67"/>
        <v>Total Hip ReplacementProviderSOUTH TEES HOSPITALS NHS FOUNDATION TRUST (RTR)Oxford Hip Score</v>
      </c>
      <c r="C4348" t="s">
        <v>974</v>
      </c>
      <c r="D4348" t="s">
        <v>965</v>
      </c>
      <c r="E4348" t="s">
        <v>516</v>
      </c>
      <c r="F4348" t="s">
        <v>517</v>
      </c>
      <c r="G4348" t="s">
        <v>964</v>
      </c>
      <c r="H4348">
        <v>192</v>
      </c>
      <c r="I4348">
        <v>13.974</v>
      </c>
      <c r="J4348">
        <v>38.677100000000003</v>
      </c>
      <c r="K4348">
        <v>24.703099999999999</v>
      </c>
      <c r="L4348">
        <v>188</v>
      </c>
      <c r="M4348">
        <v>0</v>
      </c>
      <c r="N4348">
        <v>4</v>
      </c>
      <c r="O4348">
        <v>41.282299999999999</v>
      </c>
      <c r="P4348">
        <v>24.070900000000002</v>
      </c>
      <c r="Q4348">
        <v>8.8240800000000004</v>
      </c>
    </row>
    <row r="4349" spans="1:17" x14ac:dyDescent="0.25">
      <c r="A4349">
        <f>IF(C4349&amp;G4349&amp;D4349&lt;&gt;'Funnel setup'!$K$3&amp;'Funnel setup'!$K$4&amp;'Funnel setup'!$K$6,".",IF(A4348=".",1,A4348+1))</f>
        <v>166</v>
      </c>
      <c r="B4349" s="244" t="str">
        <f t="shared" si="67"/>
        <v>Total Hip ReplacementProviderSOUTH TYNESIDE AND SUNDERLAND NHS FOUNDATION TRUST (R0B)Oxford Hip Score</v>
      </c>
      <c r="C4349" t="s">
        <v>974</v>
      </c>
      <c r="D4349" t="s">
        <v>965</v>
      </c>
      <c r="E4349" t="s">
        <v>518</v>
      </c>
      <c r="F4349" t="s">
        <v>519</v>
      </c>
      <c r="G4349" t="s">
        <v>964</v>
      </c>
      <c r="H4349">
        <v>28</v>
      </c>
      <c r="I4349">
        <v>12.357100000000001</v>
      </c>
      <c r="J4349">
        <v>34.321399999999997</v>
      </c>
      <c r="K4349">
        <v>21.964300000000001</v>
      </c>
      <c r="L4349">
        <v>26</v>
      </c>
      <c r="M4349">
        <v>0</v>
      </c>
      <c r="N4349">
        <v>2</v>
      </c>
      <c r="O4349" t="s">
        <v>127</v>
      </c>
      <c r="P4349" t="s">
        <v>127</v>
      </c>
      <c r="Q4349" t="s">
        <v>127</v>
      </c>
    </row>
    <row r="4350" spans="1:17" x14ac:dyDescent="0.25">
      <c r="A4350">
        <f>IF(C4350&amp;G4350&amp;D4350&lt;&gt;'Funnel setup'!$K$3&amp;'Funnel setup'!$K$4&amp;'Funnel setup'!$K$6,".",IF(A4349=".",1,A4349+1))</f>
        <v>167</v>
      </c>
      <c r="B4350" s="244" t="str">
        <f t="shared" si="67"/>
        <v>Total Hip ReplacementProviderSOUTH WARWICKSHIRE UNIVERSITY NHS FOUNDATION TRUST (RJC)Oxford Hip Score</v>
      </c>
      <c r="C4350" t="s">
        <v>974</v>
      </c>
      <c r="D4350" t="s">
        <v>965</v>
      </c>
      <c r="E4350" t="s">
        <v>520</v>
      </c>
      <c r="F4350" t="s">
        <v>521</v>
      </c>
      <c r="G4350" t="s">
        <v>964</v>
      </c>
      <c r="H4350">
        <v>196</v>
      </c>
      <c r="I4350">
        <v>20.520399999999999</v>
      </c>
      <c r="J4350">
        <v>41.362200000000001</v>
      </c>
      <c r="K4350">
        <v>20.841799999999999</v>
      </c>
      <c r="L4350">
        <v>190</v>
      </c>
      <c r="M4350">
        <v>2</v>
      </c>
      <c r="N4350">
        <v>4</v>
      </c>
      <c r="O4350">
        <v>38.496699999999997</v>
      </c>
      <c r="P4350">
        <v>21.2852</v>
      </c>
      <c r="Q4350">
        <v>7.5869900000000001</v>
      </c>
    </row>
    <row r="4351" spans="1:17" x14ac:dyDescent="0.25">
      <c r="A4351">
        <f>IF(C4351&amp;G4351&amp;D4351&lt;&gt;'Funnel setup'!$K$3&amp;'Funnel setup'!$K$4&amp;'Funnel setup'!$K$6,".",IF(A4350=".",1,A4350+1))</f>
        <v>168</v>
      </c>
      <c r="B4351" s="244" t="str">
        <f t="shared" si="67"/>
        <v>Total Hip ReplacementProviderSOUTHPORT AND ORMSKIRK HOSPITAL NHS TRUST (RVY)Oxford Hip Score</v>
      </c>
      <c r="C4351" t="s">
        <v>974</v>
      </c>
      <c r="D4351" t="s">
        <v>965</v>
      </c>
      <c r="E4351" t="s">
        <v>522</v>
      </c>
      <c r="F4351" t="s">
        <v>523</v>
      </c>
      <c r="G4351" t="s">
        <v>964</v>
      </c>
      <c r="H4351">
        <v>10</v>
      </c>
      <c r="I4351">
        <v>16.600000000000001</v>
      </c>
      <c r="J4351">
        <v>36.9</v>
      </c>
      <c r="K4351">
        <v>20.3</v>
      </c>
      <c r="L4351">
        <v>10</v>
      </c>
      <c r="M4351">
        <v>0</v>
      </c>
      <c r="N4351">
        <v>0</v>
      </c>
      <c r="O4351" t="s">
        <v>127</v>
      </c>
      <c r="P4351" t="s">
        <v>127</v>
      </c>
      <c r="Q4351" t="s">
        <v>127</v>
      </c>
    </row>
    <row r="4352" spans="1:17" x14ac:dyDescent="0.25">
      <c r="A4352">
        <f>IF(C4352&amp;G4352&amp;D4352&lt;&gt;'Funnel setup'!$K$3&amp;'Funnel setup'!$K$4&amp;'Funnel setup'!$K$6,".",IF(A4351=".",1,A4351+1))</f>
        <v>169</v>
      </c>
      <c r="B4352" s="244" t="str">
        <f t="shared" si="67"/>
        <v>Total Hip ReplacementProviderSPENCER PRIVATE HOSPITALS - MARGATE (NN801)Oxford Hip Score</v>
      </c>
      <c r="C4352" t="s">
        <v>974</v>
      </c>
      <c r="D4352" t="s">
        <v>965</v>
      </c>
      <c r="E4352" t="s">
        <v>526</v>
      </c>
      <c r="F4352" t="s">
        <v>527</v>
      </c>
      <c r="G4352" t="s">
        <v>964</v>
      </c>
      <c r="H4352">
        <v>19</v>
      </c>
      <c r="I4352">
        <v>18.052600000000002</v>
      </c>
      <c r="J4352">
        <v>42.789499999999997</v>
      </c>
      <c r="K4352">
        <v>24.736799999999999</v>
      </c>
      <c r="L4352">
        <v>19</v>
      </c>
      <c r="M4352">
        <v>0</v>
      </c>
      <c r="N4352">
        <v>0</v>
      </c>
      <c r="O4352" t="s">
        <v>127</v>
      </c>
      <c r="P4352" t="s">
        <v>127</v>
      </c>
      <c r="Q4352" t="s">
        <v>127</v>
      </c>
    </row>
    <row r="4353" spans="1:17" x14ac:dyDescent="0.25">
      <c r="A4353">
        <f>IF(C4353&amp;G4353&amp;D4353&lt;&gt;'Funnel setup'!$K$3&amp;'Funnel setup'!$K$4&amp;'Funnel setup'!$K$6,".",IF(A4352=".",1,A4352+1))</f>
        <v>170</v>
      </c>
      <c r="B4353" s="244" t="str">
        <f t="shared" si="67"/>
        <v>Total Hip ReplacementProviderSPIRE ALEXANDRA HOSPITAL (NT312)Oxford Hip Score</v>
      </c>
      <c r="C4353" t="s">
        <v>974</v>
      </c>
      <c r="D4353" t="s">
        <v>965</v>
      </c>
      <c r="E4353" t="s">
        <v>528</v>
      </c>
      <c r="F4353" t="s">
        <v>529</v>
      </c>
      <c r="G4353" t="s">
        <v>964</v>
      </c>
      <c r="H4353">
        <v>13</v>
      </c>
      <c r="I4353">
        <v>16</v>
      </c>
      <c r="J4353">
        <v>41</v>
      </c>
      <c r="K4353">
        <v>25</v>
      </c>
      <c r="L4353">
        <v>13</v>
      </c>
      <c r="M4353">
        <v>0</v>
      </c>
      <c r="N4353">
        <v>0</v>
      </c>
      <c r="O4353" t="s">
        <v>127</v>
      </c>
      <c r="P4353" t="s">
        <v>127</v>
      </c>
      <c r="Q4353" t="s">
        <v>127</v>
      </c>
    </row>
    <row r="4354" spans="1:17" x14ac:dyDescent="0.25">
      <c r="A4354">
        <f>IF(C4354&amp;G4354&amp;D4354&lt;&gt;'Funnel setup'!$K$3&amp;'Funnel setup'!$K$4&amp;'Funnel setup'!$K$6,".",IF(A4353=".",1,A4353+1))</f>
        <v>171</v>
      </c>
      <c r="B4354" s="244" t="str">
        <f t="shared" ref="B4354:B4417" si="68">C4354&amp;D4354&amp;F4354&amp;G4354</f>
        <v>Total Hip ReplacementProviderSPIRE BRISTOL HOSPITAL (NT302)Oxford Hip Score</v>
      </c>
      <c r="C4354" t="s">
        <v>974</v>
      </c>
      <c r="D4354" t="s">
        <v>965</v>
      </c>
      <c r="E4354" t="s">
        <v>530</v>
      </c>
      <c r="F4354" t="s">
        <v>531</v>
      </c>
      <c r="G4354" t="s">
        <v>964</v>
      </c>
      <c r="H4354">
        <v>56</v>
      </c>
      <c r="I4354">
        <v>18.660699999999999</v>
      </c>
      <c r="J4354">
        <v>42.607100000000003</v>
      </c>
      <c r="K4354">
        <v>23.946400000000001</v>
      </c>
      <c r="L4354">
        <v>54</v>
      </c>
      <c r="M4354">
        <v>1</v>
      </c>
      <c r="N4354">
        <v>1</v>
      </c>
      <c r="O4354">
        <v>41.239699999999999</v>
      </c>
      <c r="P4354">
        <v>24.028199999999998</v>
      </c>
      <c r="Q4354">
        <v>7.6894</v>
      </c>
    </row>
    <row r="4355" spans="1:17" x14ac:dyDescent="0.25">
      <c r="A4355">
        <f>IF(C4355&amp;G4355&amp;D4355&lt;&gt;'Funnel setup'!$K$3&amp;'Funnel setup'!$K$4&amp;'Funnel setup'!$K$6,".",IF(A4354=".",1,A4354+1))</f>
        <v>172</v>
      </c>
      <c r="B4355" s="244" t="str">
        <f t="shared" si="68"/>
        <v>Total Hip ReplacementProviderSPIRE BUSHEY HOSPITAL (NT315)Oxford Hip Score</v>
      </c>
      <c r="C4355" t="s">
        <v>974</v>
      </c>
      <c r="D4355" t="s">
        <v>965</v>
      </c>
      <c r="E4355" t="s">
        <v>532</v>
      </c>
      <c r="F4355" t="s">
        <v>533</v>
      </c>
      <c r="G4355" t="s">
        <v>964</v>
      </c>
      <c r="H4355">
        <v>1</v>
      </c>
      <c r="I4355">
        <v>21</v>
      </c>
      <c r="J4355">
        <v>44</v>
      </c>
      <c r="K4355">
        <v>23</v>
      </c>
      <c r="L4355">
        <v>1</v>
      </c>
      <c r="M4355">
        <v>0</v>
      </c>
      <c r="N4355">
        <v>0</v>
      </c>
      <c r="O4355" t="s">
        <v>127</v>
      </c>
      <c r="P4355" t="s">
        <v>127</v>
      </c>
      <c r="Q4355" t="s">
        <v>127</v>
      </c>
    </row>
    <row r="4356" spans="1:17" x14ac:dyDescent="0.25">
      <c r="A4356">
        <f>IF(C4356&amp;G4356&amp;D4356&lt;&gt;'Funnel setup'!$K$3&amp;'Funnel setup'!$K$4&amp;'Funnel setup'!$K$6,".",IF(A4355=".",1,A4355+1))</f>
        <v>173</v>
      </c>
      <c r="B4356" s="244" t="str">
        <f t="shared" si="68"/>
        <v>Total Hip ReplacementProviderSPIRE CAMBRIDGE LEA HOSPITAL (NT317)Oxford Hip Score</v>
      </c>
      <c r="C4356" t="s">
        <v>974</v>
      </c>
      <c r="D4356" t="s">
        <v>965</v>
      </c>
      <c r="E4356" t="s">
        <v>534</v>
      </c>
      <c r="F4356" t="s">
        <v>535</v>
      </c>
      <c r="G4356" t="s">
        <v>964</v>
      </c>
      <c r="H4356">
        <v>33</v>
      </c>
      <c r="I4356">
        <v>18.454499999999999</v>
      </c>
      <c r="J4356">
        <v>42.939399999999999</v>
      </c>
      <c r="K4356">
        <v>24.4848</v>
      </c>
      <c r="L4356">
        <v>32</v>
      </c>
      <c r="M4356">
        <v>0</v>
      </c>
      <c r="N4356">
        <v>1</v>
      </c>
      <c r="O4356">
        <v>42.042400000000001</v>
      </c>
      <c r="P4356">
        <v>24.831</v>
      </c>
      <c r="Q4356">
        <v>5.9782400000000004</v>
      </c>
    </row>
    <row r="4357" spans="1:17" x14ac:dyDescent="0.25">
      <c r="A4357">
        <f>IF(C4357&amp;G4357&amp;D4357&lt;&gt;'Funnel setup'!$K$3&amp;'Funnel setup'!$K$4&amp;'Funnel setup'!$K$6,".",IF(A4356=".",1,A4356+1))</f>
        <v>174</v>
      </c>
      <c r="B4357" s="244" t="str">
        <f t="shared" si="68"/>
        <v>Total Hip ReplacementProviderSPIRE CHESHIRE HOSPITAL (NT324)Oxford Hip Score</v>
      </c>
      <c r="C4357" t="s">
        <v>974</v>
      </c>
      <c r="D4357" t="s">
        <v>965</v>
      </c>
      <c r="E4357" t="s">
        <v>536</v>
      </c>
      <c r="F4357" t="s">
        <v>537</v>
      </c>
      <c r="G4357" t="s">
        <v>964</v>
      </c>
      <c r="H4357">
        <v>23</v>
      </c>
      <c r="I4357">
        <v>15.608700000000001</v>
      </c>
      <c r="J4357">
        <v>38.260899999999999</v>
      </c>
      <c r="K4357">
        <v>22.652200000000001</v>
      </c>
      <c r="L4357">
        <v>22</v>
      </c>
      <c r="M4357">
        <v>0</v>
      </c>
      <c r="N4357">
        <v>1</v>
      </c>
      <c r="O4357" t="s">
        <v>127</v>
      </c>
      <c r="P4357" t="s">
        <v>127</v>
      </c>
      <c r="Q4357" t="s">
        <v>127</v>
      </c>
    </row>
    <row r="4358" spans="1:17" x14ac:dyDescent="0.25">
      <c r="A4358">
        <f>IF(C4358&amp;G4358&amp;D4358&lt;&gt;'Funnel setup'!$K$3&amp;'Funnel setup'!$K$4&amp;'Funnel setup'!$K$6,".",IF(A4357=".",1,A4357+1))</f>
        <v>175</v>
      </c>
      <c r="B4358" s="244" t="str">
        <f t="shared" si="68"/>
        <v>Total Hip ReplacementProviderSPIRE CLARE PARK HOSPITAL (NT345)Oxford Hip Score</v>
      </c>
      <c r="C4358" t="s">
        <v>974</v>
      </c>
      <c r="D4358" t="s">
        <v>965</v>
      </c>
      <c r="E4358" t="s">
        <v>538</v>
      </c>
      <c r="F4358" t="s">
        <v>539</v>
      </c>
      <c r="G4358" t="s">
        <v>964</v>
      </c>
      <c r="H4358">
        <v>13</v>
      </c>
      <c r="I4358">
        <v>22.1538</v>
      </c>
      <c r="J4358">
        <v>40.846200000000003</v>
      </c>
      <c r="K4358">
        <v>18.692299999999999</v>
      </c>
      <c r="L4358">
        <v>13</v>
      </c>
      <c r="M4358">
        <v>0</v>
      </c>
      <c r="N4358">
        <v>0</v>
      </c>
      <c r="O4358" t="s">
        <v>127</v>
      </c>
      <c r="P4358" t="s">
        <v>127</v>
      </c>
      <c r="Q4358" t="s">
        <v>127</v>
      </c>
    </row>
    <row r="4359" spans="1:17" x14ac:dyDescent="0.25">
      <c r="A4359">
        <f>IF(C4359&amp;G4359&amp;D4359&lt;&gt;'Funnel setup'!$K$3&amp;'Funnel setup'!$K$4&amp;'Funnel setup'!$K$6,".",IF(A4358=".",1,A4358+1))</f>
        <v>176</v>
      </c>
      <c r="B4359" s="244" t="str">
        <f t="shared" si="68"/>
        <v>Total Hip ReplacementProviderSPIRE DUNEDIN HOSPITAL (NT344)Oxford Hip Score</v>
      </c>
      <c r="C4359" t="s">
        <v>974</v>
      </c>
      <c r="D4359" t="s">
        <v>965</v>
      </c>
      <c r="E4359" t="s">
        <v>540</v>
      </c>
      <c r="F4359" t="s">
        <v>541</v>
      </c>
      <c r="G4359" t="s">
        <v>964</v>
      </c>
      <c r="H4359">
        <v>1</v>
      </c>
      <c r="I4359">
        <v>33</v>
      </c>
      <c r="J4359">
        <v>35</v>
      </c>
      <c r="K4359">
        <v>2</v>
      </c>
      <c r="L4359">
        <v>1</v>
      </c>
      <c r="M4359">
        <v>0</v>
      </c>
      <c r="N4359">
        <v>0</v>
      </c>
      <c r="O4359" t="s">
        <v>127</v>
      </c>
      <c r="P4359" t="s">
        <v>127</v>
      </c>
      <c r="Q4359" t="s">
        <v>127</v>
      </c>
    </row>
    <row r="4360" spans="1:17" x14ac:dyDescent="0.25">
      <c r="A4360">
        <f>IF(C4360&amp;G4360&amp;D4360&lt;&gt;'Funnel setup'!$K$3&amp;'Funnel setup'!$K$4&amp;'Funnel setup'!$K$6,".",IF(A4359=".",1,A4359+1))</f>
        <v>177</v>
      </c>
      <c r="B4360" s="244" t="str">
        <f t="shared" si="68"/>
        <v>Total Hip ReplacementProviderSPIRE ELLAND HOSPITAL (NT348)Oxford Hip Score</v>
      </c>
      <c r="C4360" t="s">
        <v>974</v>
      </c>
      <c r="D4360" t="s">
        <v>965</v>
      </c>
      <c r="E4360" t="s">
        <v>542</v>
      </c>
      <c r="F4360" t="s">
        <v>543</v>
      </c>
      <c r="G4360" t="s">
        <v>964</v>
      </c>
      <c r="H4360">
        <v>14</v>
      </c>
      <c r="I4360">
        <v>16.928599999999999</v>
      </c>
      <c r="J4360">
        <v>38.571399999999997</v>
      </c>
      <c r="K4360">
        <v>21.642900000000001</v>
      </c>
      <c r="L4360">
        <v>14</v>
      </c>
      <c r="M4360">
        <v>0</v>
      </c>
      <c r="N4360">
        <v>0</v>
      </c>
      <c r="O4360" t="s">
        <v>127</v>
      </c>
      <c r="P4360" t="s">
        <v>127</v>
      </c>
      <c r="Q4360" t="s">
        <v>127</v>
      </c>
    </row>
    <row r="4361" spans="1:17" x14ac:dyDescent="0.25">
      <c r="A4361">
        <f>IF(C4361&amp;G4361&amp;D4361&lt;&gt;'Funnel setup'!$K$3&amp;'Funnel setup'!$K$4&amp;'Funnel setup'!$K$6,".",IF(A4360=".",1,A4360+1))</f>
        <v>178</v>
      </c>
      <c r="B4361" s="244" t="str">
        <f t="shared" si="68"/>
        <v>Total Hip ReplacementProviderSPIRE FYLDE COAST HOSPITAL (NT347)Oxford Hip Score</v>
      </c>
      <c r="C4361" t="s">
        <v>974</v>
      </c>
      <c r="D4361" t="s">
        <v>965</v>
      </c>
      <c r="E4361" t="s">
        <v>544</v>
      </c>
      <c r="F4361" t="s">
        <v>545</v>
      </c>
      <c r="G4361" t="s">
        <v>964</v>
      </c>
      <c r="H4361">
        <v>29</v>
      </c>
      <c r="I4361">
        <v>19.862100000000002</v>
      </c>
      <c r="J4361">
        <v>41.413800000000002</v>
      </c>
      <c r="K4361">
        <v>21.5517</v>
      </c>
      <c r="L4361">
        <v>28</v>
      </c>
      <c r="M4361">
        <v>0</v>
      </c>
      <c r="N4361">
        <v>1</v>
      </c>
      <c r="O4361" t="s">
        <v>127</v>
      </c>
      <c r="P4361" t="s">
        <v>127</v>
      </c>
      <c r="Q4361" t="s">
        <v>127</v>
      </c>
    </row>
    <row r="4362" spans="1:17" x14ac:dyDescent="0.25">
      <c r="A4362">
        <f>IF(C4362&amp;G4362&amp;D4362&lt;&gt;'Funnel setup'!$K$3&amp;'Funnel setup'!$K$4&amp;'Funnel setup'!$K$6,".",IF(A4361=".",1,A4361+1))</f>
        <v>179</v>
      </c>
      <c r="B4362" s="244" t="str">
        <f t="shared" si="68"/>
        <v>Total Hip ReplacementProviderSPIRE GATWICK PARK HOSPITAL (NT308)Oxford Hip Score</v>
      </c>
      <c r="C4362" t="s">
        <v>974</v>
      </c>
      <c r="D4362" t="s">
        <v>965</v>
      </c>
      <c r="E4362" t="s">
        <v>546</v>
      </c>
      <c r="F4362" t="s">
        <v>547</v>
      </c>
      <c r="G4362" t="s">
        <v>964</v>
      </c>
      <c r="H4362">
        <v>8</v>
      </c>
      <c r="I4362">
        <v>19.8889</v>
      </c>
      <c r="J4362">
        <v>38.444400000000002</v>
      </c>
      <c r="K4362">
        <v>18.555599999999998</v>
      </c>
      <c r="L4362">
        <v>8</v>
      </c>
      <c r="M4362">
        <v>0</v>
      </c>
      <c r="N4362">
        <v>0</v>
      </c>
      <c r="O4362" t="s">
        <v>127</v>
      </c>
      <c r="P4362" t="s">
        <v>127</v>
      </c>
      <c r="Q4362" t="s">
        <v>127</v>
      </c>
    </row>
    <row r="4363" spans="1:17" x14ac:dyDescent="0.25">
      <c r="A4363">
        <f>IF(C4363&amp;G4363&amp;D4363&lt;&gt;'Funnel setup'!$K$3&amp;'Funnel setup'!$K$4&amp;'Funnel setup'!$K$6,".",IF(A4362=".",1,A4362+1))</f>
        <v>180</v>
      </c>
      <c r="B4363" s="244" t="str">
        <f t="shared" si="68"/>
        <v>Total Hip ReplacementProviderSPIRE HARPENDEN HOSPITAL (NT316)Oxford Hip Score</v>
      </c>
      <c r="C4363" t="s">
        <v>974</v>
      </c>
      <c r="D4363" t="s">
        <v>965</v>
      </c>
      <c r="E4363" t="s">
        <v>548</v>
      </c>
      <c r="F4363" t="s">
        <v>549</v>
      </c>
      <c r="G4363" t="s">
        <v>964</v>
      </c>
      <c r="H4363">
        <v>32</v>
      </c>
      <c r="I4363">
        <v>16.281300000000002</v>
      </c>
      <c r="J4363">
        <v>40.843800000000002</v>
      </c>
      <c r="K4363">
        <v>24.5625</v>
      </c>
      <c r="L4363">
        <v>32</v>
      </c>
      <c r="M4363">
        <v>0</v>
      </c>
      <c r="N4363">
        <v>0</v>
      </c>
      <c r="O4363">
        <v>40.072699999999998</v>
      </c>
      <c r="P4363">
        <v>22.8613</v>
      </c>
      <c r="Q4363">
        <v>6.3998699999999999</v>
      </c>
    </row>
    <row r="4364" spans="1:17" x14ac:dyDescent="0.25">
      <c r="A4364">
        <f>IF(C4364&amp;G4364&amp;D4364&lt;&gt;'Funnel setup'!$K$3&amp;'Funnel setup'!$K$4&amp;'Funnel setup'!$K$6,".",IF(A4363=".",1,A4363+1))</f>
        <v>181</v>
      </c>
      <c r="B4364" s="244" t="str">
        <f t="shared" si="68"/>
        <v>Total Hip ReplacementProviderSPIRE HARTSWOOD HOSPITAL (NT319)Oxford Hip Score</v>
      </c>
      <c r="C4364" t="s">
        <v>974</v>
      </c>
      <c r="D4364" t="s">
        <v>965</v>
      </c>
      <c r="E4364" t="s">
        <v>550</v>
      </c>
      <c r="F4364" t="s">
        <v>551</v>
      </c>
      <c r="G4364" t="s">
        <v>964</v>
      </c>
      <c r="H4364">
        <v>12</v>
      </c>
      <c r="I4364">
        <v>15.083299999999999</v>
      </c>
      <c r="J4364">
        <v>42.333300000000001</v>
      </c>
      <c r="K4364">
        <v>27.25</v>
      </c>
      <c r="L4364">
        <v>12</v>
      </c>
      <c r="M4364">
        <v>0</v>
      </c>
      <c r="N4364">
        <v>0</v>
      </c>
      <c r="O4364" t="s">
        <v>127</v>
      </c>
      <c r="P4364" t="s">
        <v>127</v>
      </c>
      <c r="Q4364" t="s">
        <v>127</v>
      </c>
    </row>
    <row r="4365" spans="1:17" x14ac:dyDescent="0.25">
      <c r="A4365">
        <f>IF(C4365&amp;G4365&amp;D4365&lt;&gt;'Funnel setup'!$K$3&amp;'Funnel setup'!$K$4&amp;'Funnel setup'!$K$6,".",IF(A4364=".",1,A4364+1))</f>
        <v>182</v>
      </c>
      <c r="B4365" s="244" t="str">
        <f t="shared" si="68"/>
        <v>Total Hip ReplacementProviderSPIRE HULL AND EAST RIDING HOSPITAL (NT351)Oxford Hip Score</v>
      </c>
      <c r="C4365" t="s">
        <v>974</v>
      </c>
      <c r="D4365" t="s">
        <v>965</v>
      </c>
      <c r="E4365" t="s">
        <v>554</v>
      </c>
      <c r="F4365" t="s">
        <v>555</v>
      </c>
      <c r="G4365" t="s">
        <v>964</v>
      </c>
      <c r="H4365">
        <v>37</v>
      </c>
      <c r="I4365">
        <v>16.270299999999999</v>
      </c>
      <c r="J4365">
        <v>40.216200000000001</v>
      </c>
      <c r="K4365">
        <v>23.945900000000002</v>
      </c>
      <c r="L4365">
        <v>37</v>
      </c>
      <c r="M4365">
        <v>0</v>
      </c>
      <c r="N4365">
        <v>0</v>
      </c>
      <c r="O4365">
        <v>40.125900000000001</v>
      </c>
      <c r="P4365">
        <v>22.914400000000001</v>
      </c>
      <c r="Q4365">
        <v>7.0212899999999996</v>
      </c>
    </row>
    <row r="4366" spans="1:17" x14ac:dyDescent="0.25">
      <c r="A4366">
        <f>IF(C4366&amp;G4366&amp;D4366&lt;&gt;'Funnel setup'!$K$3&amp;'Funnel setup'!$K$4&amp;'Funnel setup'!$K$6,".",IF(A4365=".",1,A4365+1))</f>
        <v>183</v>
      </c>
      <c r="B4366" s="244" t="str">
        <f t="shared" si="68"/>
        <v>Total Hip ReplacementProviderSPIRE LEEDS HOSPITAL (NT332)Oxford Hip Score</v>
      </c>
      <c r="C4366" t="s">
        <v>974</v>
      </c>
      <c r="D4366" t="s">
        <v>965</v>
      </c>
      <c r="E4366" t="s">
        <v>556</v>
      </c>
      <c r="F4366" t="s">
        <v>557</v>
      </c>
      <c r="G4366" t="s">
        <v>964</v>
      </c>
      <c r="H4366">
        <v>14</v>
      </c>
      <c r="I4366">
        <v>18.071400000000001</v>
      </c>
      <c r="J4366">
        <v>42.785699999999999</v>
      </c>
      <c r="K4366">
        <v>24.714300000000001</v>
      </c>
      <c r="L4366">
        <v>13</v>
      </c>
      <c r="M4366">
        <v>0</v>
      </c>
      <c r="N4366">
        <v>1</v>
      </c>
      <c r="O4366" t="s">
        <v>127</v>
      </c>
      <c r="P4366" t="s">
        <v>127</v>
      </c>
      <c r="Q4366" t="s">
        <v>127</v>
      </c>
    </row>
    <row r="4367" spans="1:17" x14ac:dyDescent="0.25">
      <c r="A4367">
        <f>IF(C4367&amp;G4367&amp;D4367&lt;&gt;'Funnel setup'!$K$3&amp;'Funnel setup'!$K$4&amp;'Funnel setup'!$K$6,".",IF(A4366=".",1,A4366+1))</f>
        <v>184</v>
      </c>
      <c r="B4367" s="244" t="str">
        <f t="shared" si="68"/>
        <v>Total Hip ReplacementProviderSPIRE LEICESTER HOSPITAL (NT322)Oxford Hip Score</v>
      </c>
      <c r="C4367" t="s">
        <v>974</v>
      </c>
      <c r="D4367" t="s">
        <v>965</v>
      </c>
      <c r="E4367" t="s">
        <v>558</v>
      </c>
      <c r="F4367" t="s">
        <v>559</v>
      </c>
      <c r="G4367" t="s">
        <v>964</v>
      </c>
      <c r="H4367">
        <v>32</v>
      </c>
      <c r="I4367">
        <v>18</v>
      </c>
      <c r="J4367">
        <v>41.5</v>
      </c>
      <c r="K4367">
        <v>23.5</v>
      </c>
      <c r="L4367">
        <v>31</v>
      </c>
      <c r="M4367">
        <v>0</v>
      </c>
      <c r="N4367">
        <v>1</v>
      </c>
      <c r="O4367">
        <v>41.5473</v>
      </c>
      <c r="P4367">
        <v>24.335799999999999</v>
      </c>
      <c r="Q4367">
        <v>7.5665500000000003</v>
      </c>
    </row>
    <row r="4368" spans="1:17" x14ac:dyDescent="0.25">
      <c r="A4368">
        <f>IF(C4368&amp;G4368&amp;D4368&lt;&gt;'Funnel setup'!$K$3&amp;'Funnel setup'!$K$4&amp;'Funnel setup'!$K$6,".",IF(A4367=".",1,A4367+1))</f>
        <v>185</v>
      </c>
      <c r="B4368" s="244" t="str">
        <f t="shared" si="68"/>
        <v>Total Hip ReplacementProviderSPIRE LITTLE ASTON HOSPITAL (NT321)Oxford Hip Score</v>
      </c>
      <c r="C4368" t="s">
        <v>974</v>
      </c>
      <c r="D4368" t="s">
        <v>965</v>
      </c>
      <c r="E4368" t="s">
        <v>560</v>
      </c>
      <c r="F4368" t="s">
        <v>561</v>
      </c>
      <c r="G4368" t="s">
        <v>964</v>
      </c>
      <c r="H4368">
        <v>30</v>
      </c>
      <c r="I4368">
        <v>18.7</v>
      </c>
      <c r="J4368">
        <v>37</v>
      </c>
      <c r="K4368">
        <v>18.3</v>
      </c>
      <c r="L4368">
        <v>30</v>
      </c>
      <c r="M4368">
        <v>0</v>
      </c>
      <c r="N4368">
        <v>0</v>
      </c>
      <c r="O4368">
        <v>34.976300000000002</v>
      </c>
      <c r="P4368">
        <v>17.764800000000001</v>
      </c>
      <c r="Q4368">
        <v>7.6356200000000003</v>
      </c>
    </row>
    <row r="4369" spans="1:17" x14ac:dyDescent="0.25">
      <c r="A4369">
        <f>IF(C4369&amp;G4369&amp;D4369&lt;&gt;'Funnel setup'!$K$3&amp;'Funnel setup'!$K$4&amp;'Funnel setup'!$K$6,".",IF(A4368=".",1,A4368+1))</f>
        <v>186</v>
      </c>
      <c r="B4369" s="244" t="str">
        <f t="shared" si="68"/>
        <v>Total Hip ReplacementProviderSPIRE LIVERPOOL HOSPITAL (NT337)Oxford Hip Score</v>
      </c>
      <c r="C4369" t="s">
        <v>974</v>
      </c>
      <c r="D4369" t="s">
        <v>965</v>
      </c>
      <c r="E4369" t="s">
        <v>562</v>
      </c>
      <c r="F4369" t="s">
        <v>563</v>
      </c>
      <c r="G4369" t="s">
        <v>964</v>
      </c>
      <c r="H4369">
        <v>9</v>
      </c>
      <c r="I4369">
        <v>14.1111</v>
      </c>
      <c r="J4369">
        <v>43</v>
      </c>
      <c r="K4369">
        <v>28.8889</v>
      </c>
      <c r="L4369">
        <v>9</v>
      </c>
      <c r="M4369">
        <v>0</v>
      </c>
      <c r="N4369">
        <v>0</v>
      </c>
      <c r="O4369" t="s">
        <v>127</v>
      </c>
      <c r="P4369" t="s">
        <v>127</v>
      </c>
      <c r="Q4369" t="s">
        <v>127</v>
      </c>
    </row>
    <row r="4370" spans="1:17" x14ac:dyDescent="0.25">
      <c r="A4370">
        <f>IF(C4370&amp;G4370&amp;D4370&lt;&gt;'Funnel setup'!$K$3&amp;'Funnel setup'!$K$4&amp;'Funnel setup'!$K$6,".",IF(A4369=".",1,A4369+1))</f>
        <v>187</v>
      </c>
      <c r="B4370" s="244" t="str">
        <f t="shared" si="68"/>
        <v>Total Hip ReplacementProviderSPIRE MANCHESTER HOSPITAL (NT327)Oxford Hip Score</v>
      </c>
      <c r="C4370" t="s">
        <v>974</v>
      </c>
      <c r="D4370" t="s">
        <v>965</v>
      </c>
      <c r="E4370" t="s">
        <v>566</v>
      </c>
      <c r="F4370" t="s">
        <v>567</v>
      </c>
      <c r="G4370" t="s">
        <v>964</v>
      </c>
      <c r="H4370">
        <v>31</v>
      </c>
      <c r="I4370">
        <v>18.709700000000002</v>
      </c>
      <c r="J4370">
        <v>40.451599999999999</v>
      </c>
      <c r="K4370">
        <v>21.741900000000001</v>
      </c>
      <c r="L4370">
        <v>31</v>
      </c>
      <c r="M4370">
        <v>0</v>
      </c>
      <c r="N4370">
        <v>0</v>
      </c>
      <c r="O4370">
        <v>38.3703</v>
      </c>
      <c r="P4370">
        <v>21.158899999999999</v>
      </c>
      <c r="Q4370">
        <v>8.2557500000000008</v>
      </c>
    </row>
    <row r="4371" spans="1:17" x14ac:dyDescent="0.25">
      <c r="A4371">
        <f>IF(C4371&amp;G4371&amp;D4371&lt;&gt;'Funnel setup'!$K$3&amp;'Funnel setup'!$K$4&amp;'Funnel setup'!$K$6,".",IF(A4370=".",1,A4370+1))</f>
        <v>188</v>
      </c>
      <c r="B4371" s="244" t="str">
        <f t="shared" si="68"/>
        <v>Total Hip ReplacementProviderSPIRE METHLEY PARK HOSPITAL (NT350)Oxford Hip Score</v>
      </c>
      <c r="C4371" t="s">
        <v>974</v>
      </c>
      <c r="D4371" t="s">
        <v>965</v>
      </c>
      <c r="E4371" t="s">
        <v>568</v>
      </c>
      <c r="F4371" t="s">
        <v>569</v>
      </c>
      <c r="G4371" t="s">
        <v>964</v>
      </c>
      <c r="H4371">
        <v>28</v>
      </c>
      <c r="I4371">
        <v>16.392900000000001</v>
      </c>
      <c r="J4371">
        <v>39.928600000000003</v>
      </c>
      <c r="K4371">
        <v>23.535699999999999</v>
      </c>
      <c r="L4371">
        <v>28</v>
      </c>
      <c r="M4371">
        <v>0</v>
      </c>
      <c r="N4371">
        <v>0</v>
      </c>
      <c r="O4371" t="s">
        <v>127</v>
      </c>
      <c r="P4371" t="s">
        <v>127</v>
      </c>
      <c r="Q4371" t="s">
        <v>127</v>
      </c>
    </row>
    <row r="4372" spans="1:17" x14ac:dyDescent="0.25">
      <c r="A4372">
        <f>IF(C4372&amp;G4372&amp;D4372&lt;&gt;'Funnel setup'!$K$3&amp;'Funnel setup'!$K$4&amp;'Funnel setup'!$K$6,".",IF(A4371=".",1,A4371+1))</f>
        <v>189</v>
      </c>
      <c r="B4372" s="244" t="str">
        <f t="shared" si="68"/>
        <v>Total Hip ReplacementProviderSPIRE MONTEFIORE HOSPITAL (NT364)Oxford Hip Score</v>
      </c>
      <c r="C4372" t="s">
        <v>974</v>
      </c>
      <c r="D4372" t="s">
        <v>965</v>
      </c>
      <c r="E4372" t="s">
        <v>570</v>
      </c>
      <c r="F4372" t="s">
        <v>571</v>
      </c>
      <c r="G4372" t="s">
        <v>964</v>
      </c>
      <c r="H4372">
        <v>3</v>
      </c>
      <c r="I4372">
        <v>20.333300000000001</v>
      </c>
      <c r="J4372">
        <v>48</v>
      </c>
      <c r="K4372">
        <v>27.666699999999999</v>
      </c>
      <c r="L4372">
        <v>3</v>
      </c>
      <c r="M4372">
        <v>0</v>
      </c>
      <c r="N4372">
        <v>0</v>
      </c>
      <c r="O4372" t="s">
        <v>127</v>
      </c>
      <c r="P4372" t="s">
        <v>127</v>
      </c>
      <c r="Q4372" t="s">
        <v>127</v>
      </c>
    </row>
    <row r="4373" spans="1:17" x14ac:dyDescent="0.25">
      <c r="A4373">
        <f>IF(C4373&amp;G4373&amp;D4373&lt;&gt;'Funnel setup'!$K$3&amp;'Funnel setup'!$K$4&amp;'Funnel setup'!$K$6,".",IF(A4372=".",1,A4372+1))</f>
        <v>190</v>
      </c>
      <c r="B4373" s="244" t="str">
        <f t="shared" si="68"/>
        <v>Total Hip ReplacementProviderSPIRE MURRAYFIELD HOSPITAL (NT325)Oxford Hip Score</v>
      </c>
      <c r="C4373" t="s">
        <v>974</v>
      </c>
      <c r="D4373" t="s">
        <v>965</v>
      </c>
      <c r="E4373" t="s">
        <v>572</v>
      </c>
      <c r="F4373" t="s">
        <v>573</v>
      </c>
      <c r="G4373" t="s">
        <v>964</v>
      </c>
      <c r="H4373">
        <v>5</v>
      </c>
      <c r="I4373">
        <v>23</v>
      </c>
      <c r="J4373">
        <v>43</v>
      </c>
      <c r="K4373">
        <v>20</v>
      </c>
      <c r="L4373">
        <v>5</v>
      </c>
      <c r="M4373">
        <v>0</v>
      </c>
      <c r="N4373">
        <v>0</v>
      </c>
      <c r="O4373" t="s">
        <v>127</v>
      </c>
      <c r="P4373" t="s">
        <v>127</v>
      </c>
      <c r="Q4373" t="s">
        <v>127</v>
      </c>
    </row>
    <row r="4374" spans="1:17" x14ac:dyDescent="0.25">
      <c r="A4374">
        <f>IF(C4374&amp;G4374&amp;D4374&lt;&gt;'Funnel setup'!$K$3&amp;'Funnel setup'!$K$4&amp;'Funnel setup'!$K$6,".",IF(A4373=".",1,A4373+1))</f>
        <v>191</v>
      </c>
      <c r="B4374" s="244" t="str">
        <f t="shared" si="68"/>
        <v>Total Hip ReplacementProviderSPIRE NOTTINGHAM HOSPITAL (NT30A)Oxford Hip Score</v>
      </c>
      <c r="C4374" t="s">
        <v>974</v>
      </c>
      <c r="D4374" t="s">
        <v>965</v>
      </c>
      <c r="E4374" t="s">
        <v>576</v>
      </c>
      <c r="F4374" t="s">
        <v>577</v>
      </c>
      <c r="G4374" t="s">
        <v>964</v>
      </c>
      <c r="H4374">
        <v>1</v>
      </c>
      <c r="I4374">
        <v>17</v>
      </c>
      <c r="J4374">
        <v>38</v>
      </c>
      <c r="K4374">
        <v>21</v>
      </c>
      <c r="L4374">
        <v>1</v>
      </c>
      <c r="M4374">
        <v>0</v>
      </c>
      <c r="N4374">
        <v>0</v>
      </c>
      <c r="O4374" t="s">
        <v>127</v>
      </c>
      <c r="P4374" t="s">
        <v>127</v>
      </c>
      <c r="Q4374" t="s">
        <v>127</v>
      </c>
    </row>
    <row r="4375" spans="1:17" x14ac:dyDescent="0.25">
      <c r="A4375">
        <f>IF(C4375&amp;G4375&amp;D4375&lt;&gt;'Funnel setup'!$K$3&amp;'Funnel setup'!$K$4&amp;'Funnel setup'!$K$6,".",IF(A4374=".",1,A4374+1))</f>
        <v>192</v>
      </c>
      <c r="B4375" s="244" t="str">
        <f t="shared" si="68"/>
        <v>Total Hip ReplacementProviderSPIRE PARKWAY HOSPITAL (NT320)Oxford Hip Score</v>
      </c>
      <c r="C4375" t="s">
        <v>974</v>
      </c>
      <c r="D4375" t="s">
        <v>965</v>
      </c>
      <c r="E4375" t="s">
        <v>578</v>
      </c>
      <c r="F4375" t="s">
        <v>579</v>
      </c>
      <c r="G4375" t="s">
        <v>964</v>
      </c>
      <c r="H4375">
        <v>19</v>
      </c>
      <c r="I4375">
        <v>18.842099999999999</v>
      </c>
      <c r="J4375">
        <v>39.263199999999998</v>
      </c>
      <c r="K4375">
        <v>20.421099999999999</v>
      </c>
      <c r="L4375">
        <v>17</v>
      </c>
      <c r="M4375">
        <v>0</v>
      </c>
      <c r="N4375">
        <v>2</v>
      </c>
      <c r="O4375" t="s">
        <v>127</v>
      </c>
      <c r="P4375" t="s">
        <v>127</v>
      </c>
      <c r="Q4375" t="s">
        <v>127</v>
      </c>
    </row>
    <row r="4376" spans="1:17" x14ac:dyDescent="0.25">
      <c r="A4376">
        <f>IF(C4376&amp;G4376&amp;D4376&lt;&gt;'Funnel setup'!$K$3&amp;'Funnel setup'!$K$4&amp;'Funnel setup'!$K$6,".",IF(A4375=".",1,A4375+1))</f>
        <v>193</v>
      </c>
      <c r="B4376" s="244" t="str">
        <f t="shared" si="68"/>
        <v>Total Hip ReplacementProviderSPIRE PORTSMOUTH HOSPITAL (NT305)Oxford Hip Score</v>
      </c>
      <c r="C4376" t="s">
        <v>974</v>
      </c>
      <c r="D4376" t="s">
        <v>965</v>
      </c>
      <c r="E4376" t="s">
        <v>580</v>
      </c>
      <c r="F4376" t="s">
        <v>581</v>
      </c>
      <c r="G4376" t="s">
        <v>964</v>
      </c>
      <c r="H4376">
        <v>12</v>
      </c>
      <c r="I4376">
        <v>18.5</v>
      </c>
      <c r="J4376">
        <v>36.333300000000001</v>
      </c>
      <c r="K4376">
        <v>17.833300000000001</v>
      </c>
      <c r="L4376">
        <v>11</v>
      </c>
      <c r="M4376">
        <v>0</v>
      </c>
      <c r="N4376">
        <v>1</v>
      </c>
      <c r="O4376" t="s">
        <v>127</v>
      </c>
      <c r="P4376" t="s">
        <v>127</v>
      </c>
      <c r="Q4376" t="s">
        <v>127</v>
      </c>
    </row>
    <row r="4377" spans="1:17" x14ac:dyDescent="0.25">
      <c r="A4377">
        <f>IF(C4377&amp;G4377&amp;D4377&lt;&gt;'Funnel setup'!$K$3&amp;'Funnel setup'!$K$4&amp;'Funnel setup'!$K$6,".",IF(A4376=".",1,A4376+1))</f>
        <v>194</v>
      </c>
      <c r="B4377" s="244" t="str">
        <f t="shared" si="68"/>
        <v>Total Hip ReplacementProviderSPIRE REGENCY HOSPITAL (NT339)Oxford Hip Score</v>
      </c>
      <c r="C4377" t="s">
        <v>974</v>
      </c>
      <c r="D4377" t="s">
        <v>965</v>
      </c>
      <c r="E4377" t="s">
        <v>582</v>
      </c>
      <c r="F4377" t="s">
        <v>583</v>
      </c>
      <c r="G4377" t="s">
        <v>964</v>
      </c>
      <c r="H4377">
        <v>32</v>
      </c>
      <c r="I4377">
        <v>20.468800000000002</v>
      </c>
      <c r="J4377">
        <v>39.8125</v>
      </c>
      <c r="K4377">
        <v>19.343800000000002</v>
      </c>
      <c r="L4377">
        <v>31</v>
      </c>
      <c r="M4377">
        <v>0</v>
      </c>
      <c r="N4377">
        <v>1</v>
      </c>
      <c r="O4377">
        <v>37.599200000000003</v>
      </c>
      <c r="P4377">
        <v>20.387799999999999</v>
      </c>
      <c r="Q4377">
        <v>7.6331800000000003</v>
      </c>
    </row>
    <row r="4378" spans="1:17" x14ac:dyDescent="0.25">
      <c r="A4378">
        <f>IF(C4378&amp;G4378&amp;D4378&lt;&gt;'Funnel setup'!$K$3&amp;'Funnel setup'!$K$4&amp;'Funnel setup'!$K$6,".",IF(A4377=".",1,A4377+1))</f>
        <v>195</v>
      </c>
      <c r="B4378" s="244" t="str">
        <f t="shared" si="68"/>
        <v>Total Hip ReplacementProviderSPIRE SOUTHAMPTON HOSPITAL (NT304)Oxford Hip Score</v>
      </c>
      <c r="C4378" t="s">
        <v>974</v>
      </c>
      <c r="D4378" t="s">
        <v>965</v>
      </c>
      <c r="E4378" t="s">
        <v>586</v>
      </c>
      <c r="F4378" t="s">
        <v>587</v>
      </c>
      <c r="G4378" t="s">
        <v>964</v>
      </c>
      <c r="H4378">
        <v>44</v>
      </c>
      <c r="I4378">
        <v>20.818200000000001</v>
      </c>
      <c r="J4378">
        <v>42.704500000000003</v>
      </c>
      <c r="K4378">
        <v>21.886399999999998</v>
      </c>
      <c r="L4378">
        <v>43</v>
      </c>
      <c r="M4378">
        <v>0</v>
      </c>
      <c r="N4378">
        <v>1</v>
      </c>
      <c r="O4378">
        <v>40.423999999999999</v>
      </c>
      <c r="P4378">
        <v>23.212499999999999</v>
      </c>
      <c r="Q4378">
        <v>5.8747699999999998</v>
      </c>
    </row>
    <row r="4379" spans="1:17" x14ac:dyDescent="0.25">
      <c r="A4379">
        <f>IF(C4379&amp;G4379&amp;D4379&lt;&gt;'Funnel setup'!$K$3&amp;'Funnel setup'!$K$4&amp;'Funnel setup'!$K$6,".",IF(A4378=".",1,A4378+1))</f>
        <v>196</v>
      </c>
      <c r="B4379" s="244" t="str">
        <f t="shared" si="68"/>
        <v>Total Hip ReplacementProviderSPIRE ST ANTHONY'S HOSPITAL (NT3X3)Oxford Hip Score</v>
      </c>
      <c r="C4379" t="s">
        <v>974</v>
      </c>
      <c r="D4379" t="s">
        <v>965</v>
      </c>
      <c r="E4379" t="s">
        <v>588</v>
      </c>
      <c r="F4379" t="s">
        <v>589</v>
      </c>
      <c r="G4379" t="s">
        <v>964</v>
      </c>
      <c r="H4379">
        <v>3</v>
      </c>
      <c r="I4379">
        <v>14</v>
      </c>
      <c r="J4379">
        <v>35.666699999999999</v>
      </c>
      <c r="K4379">
        <v>21.666699999999999</v>
      </c>
      <c r="L4379">
        <v>3</v>
      </c>
      <c r="M4379">
        <v>0</v>
      </c>
      <c r="N4379">
        <v>0</v>
      </c>
      <c r="O4379" t="s">
        <v>127</v>
      </c>
      <c r="P4379" t="s">
        <v>127</v>
      </c>
      <c r="Q4379" t="s">
        <v>127</v>
      </c>
    </row>
    <row r="4380" spans="1:17" x14ac:dyDescent="0.25">
      <c r="A4380">
        <f>IF(C4380&amp;G4380&amp;D4380&lt;&gt;'Funnel setup'!$K$3&amp;'Funnel setup'!$K$4&amp;'Funnel setup'!$K$6,".",IF(A4379=".",1,A4379+1))</f>
        <v>197</v>
      </c>
      <c r="B4380" s="244" t="str">
        <f t="shared" si="68"/>
        <v>Total Hip ReplacementProviderSPIRE SUSSEX HOSPITAL (NT309)Oxford Hip Score</v>
      </c>
      <c r="C4380" t="s">
        <v>974</v>
      </c>
      <c r="D4380" t="s">
        <v>965</v>
      </c>
      <c r="E4380" t="s">
        <v>590</v>
      </c>
      <c r="F4380" t="s">
        <v>591</v>
      </c>
      <c r="G4380" t="s">
        <v>964</v>
      </c>
      <c r="H4380">
        <v>7</v>
      </c>
      <c r="I4380">
        <v>21.428599999999999</v>
      </c>
      <c r="J4380">
        <v>42</v>
      </c>
      <c r="K4380">
        <v>20.571400000000001</v>
      </c>
      <c r="L4380">
        <v>7</v>
      </c>
      <c r="M4380">
        <v>0</v>
      </c>
      <c r="N4380">
        <v>0</v>
      </c>
      <c r="O4380" t="s">
        <v>127</v>
      </c>
      <c r="P4380" t="s">
        <v>127</v>
      </c>
      <c r="Q4380" t="s">
        <v>127</v>
      </c>
    </row>
    <row r="4381" spans="1:17" x14ac:dyDescent="0.25">
      <c r="A4381">
        <f>IF(C4381&amp;G4381&amp;D4381&lt;&gt;'Funnel setup'!$K$3&amp;'Funnel setup'!$K$4&amp;'Funnel setup'!$K$6,".",IF(A4380=".",1,A4380+1))</f>
        <v>198</v>
      </c>
      <c r="B4381" s="244" t="str">
        <f t="shared" si="68"/>
        <v>Total Hip ReplacementProviderSPIRE THAMES VALLEY HOSPITAL (NT343)Oxford Hip Score</v>
      </c>
      <c r="C4381" t="s">
        <v>974</v>
      </c>
      <c r="D4381" t="s">
        <v>965</v>
      </c>
      <c r="E4381" t="s">
        <v>592</v>
      </c>
      <c r="F4381" t="s">
        <v>593</v>
      </c>
      <c r="G4381" t="s">
        <v>964</v>
      </c>
      <c r="H4381">
        <v>7</v>
      </c>
      <c r="I4381">
        <v>20</v>
      </c>
      <c r="J4381">
        <v>44.571399999999997</v>
      </c>
      <c r="K4381">
        <v>24.571400000000001</v>
      </c>
      <c r="L4381">
        <v>7</v>
      </c>
      <c r="M4381">
        <v>0</v>
      </c>
      <c r="N4381">
        <v>0</v>
      </c>
      <c r="O4381" t="s">
        <v>127</v>
      </c>
      <c r="P4381" t="s">
        <v>127</v>
      </c>
      <c r="Q4381" t="s">
        <v>127</v>
      </c>
    </row>
    <row r="4382" spans="1:17" x14ac:dyDescent="0.25">
      <c r="A4382">
        <f>IF(C4382&amp;G4382&amp;D4382&lt;&gt;'Funnel setup'!$K$3&amp;'Funnel setup'!$K$4&amp;'Funnel setup'!$K$6,".",IF(A4381=".",1,A4381+1))</f>
        <v>199</v>
      </c>
      <c r="B4382" s="244" t="str">
        <f t="shared" si="68"/>
        <v>Total Hip ReplacementProviderSPIRE TUNBRIDGE WELLS HOSPITAL (NT310)Oxford Hip Score</v>
      </c>
      <c r="C4382" t="s">
        <v>974</v>
      </c>
      <c r="D4382" t="s">
        <v>965</v>
      </c>
      <c r="E4382" t="s">
        <v>594</v>
      </c>
      <c r="F4382" t="s">
        <v>595</v>
      </c>
      <c r="G4382" t="s">
        <v>964</v>
      </c>
      <c r="H4382">
        <v>7</v>
      </c>
      <c r="I4382">
        <v>12.857100000000001</v>
      </c>
      <c r="J4382">
        <v>36.142899999999997</v>
      </c>
      <c r="K4382">
        <v>23.285699999999999</v>
      </c>
      <c r="L4382">
        <v>7</v>
      </c>
      <c r="M4382">
        <v>0</v>
      </c>
      <c r="N4382">
        <v>0</v>
      </c>
      <c r="O4382" t="s">
        <v>127</v>
      </c>
      <c r="P4382" t="s">
        <v>127</v>
      </c>
      <c r="Q4382" t="s">
        <v>127</v>
      </c>
    </row>
    <row r="4383" spans="1:17" x14ac:dyDescent="0.25">
      <c r="A4383">
        <f>IF(C4383&amp;G4383&amp;D4383&lt;&gt;'Funnel setup'!$K$3&amp;'Funnel setup'!$K$4&amp;'Funnel setup'!$K$6,".",IF(A4382=".",1,A4382+1))</f>
        <v>200</v>
      </c>
      <c r="B4383" s="244" t="str">
        <f t="shared" si="68"/>
        <v>Total Hip ReplacementProviderSPIRE WASHINGTON HOSPITAL (NT333)Oxford Hip Score</v>
      </c>
      <c r="C4383" t="s">
        <v>974</v>
      </c>
      <c r="D4383" t="s">
        <v>965</v>
      </c>
      <c r="E4383" t="s">
        <v>596</v>
      </c>
      <c r="F4383" t="s">
        <v>597</v>
      </c>
      <c r="G4383" t="s">
        <v>964</v>
      </c>
      <c r="H4383">
        <v>64</v>
      </c>
      <c r="I4383">
        <v>16.265599999999999</v>
      </c>
      <c r="J4383">
        <v>42.875</v>
      </c>
      <c r="K4383">
        <v>26.609400000000001</v>
      </c>
      <c r="L4383">
        <v>64</v>
      </c>
      <c r="M4383">
        <v>0</v>
      </c>
      <c r="N4383">
        <v>0</v>
      </c>
      <c r="O4383">
        <v>43.815300000000001</v>
      </c>
      <c r="P4383">
        <v>26.6038</v>
      </c>
      <c r="Q4383">
        <v>6.2274200000000004</v>
      </c>
    </row>
    <row r="4384" spans="1:17" x14ac:dyDescent="0.25">
      <c r="A4384">
        <f>IF(C4384&amp;G4384&amp;D4384&lt;&gt;'Funnel setup'!$K$3&amp;'Funnel setup'!$K$4&amp;'Funnel setup'!$K$6,".",IF(A4383=".",1,A4383+1))</f>
        <v>201</v>
      </c>
      <c r="B4384" s="244" t="str">
        <f t="shared" si="68"/>
        <v>Total Hip ReplacementProviderSPRINGFIELD HOSPITAL (NVC18)Oxford Hip Score</v>
      </c>
      <c r="C4384" t="s">
        <v>974</v>
      </c>
      <c r="D4384" t="s">
        <v>965</v>
      </c>
      <c r="E4384" t="s">
        <v>602</v>
      </c>
      <c r="F4384" t="s">
        <v>603</v>
      </c>
      <c r="G4384" t="s">
        <v>964</v>
      </c>
      <c r="H4384">
        <v>81</v>
      </c>
      <c r="I4384">
        <v>15.5244</v>
      </c>
      <c r="J4384">
        <v>42.0976</v>
      </c>
      <c r="K4384">
        <v>26.5732</v>
      </c>
      <c r="L4384">
        <v>79</v>
      </c>
      <c r="M4384">
        <v>1</v>
      </c>
      <c r="N4384">
        <v>1</v>
      </c>
      <c r="O4384">
        <v>42.007800000000003</v>
      </c>
      <c r="P4384">
        <v>24.796299999999999</v>
      </c>
      <c r="Q4384">
        <v>7.0066300000000004</v>
      </c>
    </row>
    <row r="4385" spans="1:17" x14ac:dyDescent="0.25">
      <c r="A4385">
        <f>IF(C4385&amp;G4385&amp;D4385&lt;&gt;'Funnel setup'!$K$3&amp;'Funnel setup'!$K$4&amp;'Funnel setup'!$K$6,".",IF(A4384=".",1,A4384+1))</f>
        <v>202</v>
      </c>
      <c r="B4385" s="244" t="str">
        <f t="shared" si="68"/>
        <v>Total Hip ReplacementProviderST EDMUNDS HOSPITAL (NT446)Oxford Hip Score</v>
      </c>
      <c r="C4385" t="s">
        <v>974</v>
      </c>
      <c r="D4385" t="s">
        <v>965</v>
      </c>
      <c r="E4385" t="s">
        <v>604</v>
      </c>
      <c r="F4385" t="s">
        <v>605</v>
      </c>
      <c r="G4385" t="s">
        <v>964</v>
      </c>
      <c r="H4385">
        <v>55</v>
      </c>
      <c r="I4385">
        <v>17.672699999999999</v>
      </c>
      <c r="J4385">
        <v>42.854500000000002</v>
      </c>
      <c r="K4385">
        <v>25.181799999999999</v>
      </c>
      <c r="L4385">
        <v>55</v>
      </c>
      <c r="M4385">
        <v>0</v>
      </c>
      <c r="N4385">
        <v>0</v>
      </c>
      <c r="O4385">
        <v>41.327500000000001</v>
      </c>
      <c r="P4385">
        <v>24.116099999999999</v>
      </c>
      <c r="Q4385">
        <v>6.9168399999999997</v>
      </c>
    </row>
    <row r="4386" spans="1:17" x14ac:dyDescent="0.25">
      <c r="A4386">
        <f>IF(C4386&amp;G4386&amp;D4386&lt;&gt;'Funnel setup'!$K$3&amp;'Funnel setup'!$K$4&amp;'Funnel setup'!$K$6,".",IF(A4385=".",1,A4385+1))</f>
        <v>203</v>
      </c>
      <c r="B4386" s="244" t="str">
        <f t="shared" si="68"/>
        <v>Total Hip ReplacementProviderST HELENS AND KNOWSLEY TEACHING HOSPITALS NHS TRUST (RBN)Oxford Hip Score</v>
      </c>
      <c r="C4386" t="s">
        <v>974</v>
      </c>
      <c r="D4386" t="s">
        <v>965</v>
      </c>
      <c r="E4386" t="s">
        <v>608</v>
      </c>
      <c r="F4386" t="s">
        <v>609</v>
      </c>
      <c r="G4386" t="s">
        <v>964</v>
      </c>
      <c r="H4386">
        <v>78</v>
      </c>
      <c r="I4386">
        <v>15.141</v>
      </c>
      <c r="J4386">
        <v>36.076900000000002</v>
      </c>
      <c r="K4386">
        <v>20.9359</v>
      </c>
      <c r="L4386">
        <v>73</v>
      </c>
      <c r="M4386">
        <v>2</v>
      </c>
      <c r="N4386">
        <v>3</v>
      </c>
      <c r="O4386">
        <v>38.763199999999998</v>
      </c>
      <c r="P4386">
        <v>21.5517</v>
      </c>
      <c r="Q4386">
        <v>9.4716900000000006</v>
      </c>
    </row>
    <row r="4387" spans="1:17" x14ac:dyDescent="0.25">
      <c r="A4387">
        <f>IF(C4387&amp;G4387&amp;D4387&lt;&gt;'Funnel setup'!$K$3&amp;'Funnel setup'!$K$4&amp;'Funnel setup'!$K$6,".",IF(A4386=".",1,A4386+1))</f>
        <v>204</v>
      </c>
      <c r="B4387" s="244" t="str">
        <f t="shared" si="68"/>
        <v>Total Hip ReplacementProviderST HUGH'S HOSPITAL (NTE02)Oxford Hip Score</v>
      </c>
      <c r="C4387" t="s">
        <v>974</v>
      </c>
      <c r="D4387" t="s">
        <v>965</v>
      </c>
      <c r="E4387" t="s">
        <v>610</v>
      </c>
      <c r="F4387" t="s">
        <v>611</v>
      </c>
      <c r="G4387" t="s">
        <v>964</v>
      </c>
      <c r="H4387">
        <v>99</v>
      </c>
      <c r="I4387">
        <v>18.979800000000001</v>
      </c>
      <c r="J4387">
        <v>40.525300000000001</v>
      </c>
      <c r="K4387">
        <v>21.545500000000001</v>
      </c>
      <c r="L4387">
        <v>96</v>
      </c>
      <c r="M4387">
        <v>0</v>
      </c>
      <c r="N4387">
        <v>3</v>
      </c>
      <c r="O4387">
        <v>38.9482</v>
      </c>
      <c r="P4387">
        <v>21.736799999999999</v>
      </c>
      <c r="Q4387">
        <v>7.5975099999999998</v>
      </c>
    </row>
    <row r="4388" spans="1:17" x14ac:dyDescent="0.25">
      <c r="A4388">
        <f>IF(C4388&amp;G4388&amp;D4388&lt;&gt;'Funnel setup'!$K$3&amp;'Funnel setup'!$K$4&amp;'Funnel setup'!$K$6,".",IF(A4387=".",1,A4387+1))</f>
        <v>205</v>
      </c>
      <c r="B4388" s="244" t="str">
        <f t="shared" si="68"/>
        <v>Total Hip ReplacementProviderSTOCKPORT NHS FOUNDATION TRUST (RWJ)Oxford Hip Score</v>
      </c>
      <c r="C4388" t="s">
        <v>974</v>
      </c>
      <c r="D4388" t="s">
        <v>965</v>
      </c>
      <c r="E4388" t="s">
        <v>614</v>
      </c>
      <c r="F4388" t="s">
        <v>615</v>
      </c>
      <c r="G4388" t="s">
        <v>964</v>
      </c>
      <c r="H4388">
        <v>60</v>
      </c>
      <c r="I4388">
        <v>15.65</v>
      </c>
      <c r="J4388">
        <v>38.4</v>
      </c>
      <c r="K4388">
        <v>22.75</v>
      </c>
      <c r="L4388">
        <v>56</v>
      </c>
      <c r="M4388">
        <v>1</v>
      </c>
      <c r="N4388">
        <v>3</v>
      </c>
      <c r="O4388">
        <v>40.447299999999998</v>
      </c>
      <c r="P4388">
        <v>23.235800000000001</v>
      </c>
      <c r="Q4388">
        <v>8.8873300000000004</v>
      </c>
    </row>
    <row r="4389" spans="1:17" x14ac:dyDescent="0.25">
      <c r="A4389">
        <f>IF(C4389&amp;G4389&amp;D4389&lt;&gt;'Funnel setup'!$K$3&amp;'Funnel setup'!$K$4&amp;'Funnel setup'!$K$6,".",IF(A4388=".",1,A4388+1))</f>
        <v>206</v>
      </c>
      <c r="B4389" s="244" t="str">
        <f t="shared" si="68"/>
        <v>Total Hip ReplacementProviderSURREY AND SUSSEX HEALTHCARE NHS TRUST (RTP)Oxford Hip Score</v>
      </c>
      <c r="C4389" t="s">
        <v>974</v>
      </c>
      <c r="D4389" t="s">
        <v>965</v>
      </c>
      <c r="E4389" t="s">
        <v>618</v>
      </c>
      <c r="F4389" t="s">
        <v>619</v>
      </c>
      <c r="G4389" t="s">
        <v>964</v>
      </c>
      <c r="H4389">
        <v>56</v>
      </c>
      <c r="I4389">
        <v>15.321400000000001</v>
      </c>
      <c r="J4389">
        <v>38.017899999999997</v>
      </c>
      <c r="K4389">
        <v>22.696400000000001</v>
      </c>
      <c r="L4389">
        <v>54</v>
      </c>
      <c r="M4389">
        <v>0</v>
      </c>
      <c r="N4389">
        <v>2</v>
      </c>
      <c r="O4389">
        <v>38.631399999999999</v>
      </c>
      <c r="P4389">
        <v>21.419899999999998</v>
      </c>
      <c r="Q4389">
        <v>9.2059700000000007</v>
      </c>
    </row>
    <row r="4390" spans="1:17" x14ac:dyDescent="0.25">
      <c r="A4390">
        <f>IF(C4390&amp;G4390&amp;D4390&lt;&gt;'Funnel setup'!$K$3&amp;'Funnel setup'!$K$4&amp;'Funnel setup'!$K$6,".",IF(A4389=".",1,A4389+1))</f>
        <v>207</v>
      </c>
      <c r="B4390" s="244" t="str">
        <f t="shared" si="68"/>
        <v>Total Hip ReplacementProviderTAMESIDE AND GLOSSOP INTEGRATED CARE NHS FOUNDATION TRUST (RMP)Oxford Hip Score</v>
      </c>
      <c r="C4390" t="s">
        <v>974</v>
      </c>
      <c r="D4390" t="s">
        <v>965</v>
      </c>
      <c r="E4390" t="s">
        <v>620</v>
      </c>
      <c r="F4390" t="s">
        <v>621</v>
      </c>
      <c r="G4390" t="s">
        <v>964</v>
      </c>
      <c r="H4390">
        <v>3</v>
      </c>
      <c r="I4390">
        <v>10.666700000000001</v>
      </c>
      <c r="J4390">
        <v>39.333300000000001</v>
      </c>
      <c r="K4390">
        <v>28.666699999999999</v>
      </c>
      <c r="L4390">
        <v>3</v>
      </c>
      <c r="M4390">
        <v>0</v>
      </c>
      <c r="N4390">
        <v>0</v>
      </c>
      <c r="O4390" t="s">
        <v>127</v>
      </c>
      <c r="P4390" t="s">
        <v>127</v>
      </c>
      <c r="Q4390" t="s">
        <v>127</v>
      </c>
    </row>
    <row r="4391" spans="1:17" x14ac:dyDescent="0.25">
      <c r="A4391">
        <f>IF(C4391&amp;G4391&amp;D4391&lt;&gt;'Funnel setup'!$K$3&amp;'Funnel setup'!$K$4&amp;'Funnel setup'!$K$6,".",IF(A4390=".",1,A4390+1))</f>
        <v>208</v>
      </c>
      <c r="B4391" s="244" t="str">
        <f t="shared" si="68"/>
        <v>Total Hip ReplacementProviderTEES VALLEY HOSPITAL (NVC0R)Oxford Hip Score</v>
      </c>
      <c r="C4391" t="s">
        <v>974</v>
      </c>
      <c r="D4391" t="s">
        <v>965</v>
      </c>
      <c r="E4391" t="s">
        <v>624</v>
      </c>
      <c r="F4391" t="s">
        <v>625</v>
      </c>
      <c r="G4391" t="s">
        <v>964</v>
      </c>
      <c r="H4391">
        <v>47</v>
      </c>
      <c r="I4391">
        <v>19.148900000000001</v>
      </c>
      <c r="J4391">
        <v>40.255299999999998</v>
      </c>
      <c r="K4391">
        <v>21.106400000000001</v>
      </c>
      <c r="L4391">
        <v>46</v>
      </c>
      <c r="M4391">
        <v>0</v>
      </c>
      <c r="N4391">
        <v>1</v>
      </c>
      <c r="O4391">
        <v>39.1449</v>
      </c>
      <c r="P4391">
        <v>21.933499999999999</v>
      </c>
      <c r="Q4391">
        <v>8.5860500000000002</v>
      </c>
    </row>
    <row r="4392" spans="1:17" x14ac:dyDescent="0.25">
      <c r="A4392">
        <f>IF(C4392&amp;G4392&amp;D4392&lt;&gt;'Funnel setup'!$K$3&amp;'Funnel setup'!$K$4&amp;'Funnel setup'!$K$6,".",IF(A4391=".",1,A4391+1))</f>
        <v>209</v>
      </c>
      <c r="B4392" s="244" t="str">
        <f t="shared" si="68"/>
        <v>Total Hip ReplacementProviderTHE BERKSHIRE INDEPENDENT HOSPITAL (NVC02)Oxford Hip Score</v>
      </c>
      <c r="C4392" t="s">
        <v>974</v>
      </c>
      <c r="D4392" t="s">
        <v>965</v>
      </c>
      <c r="E4392" t="s">
        <v>626</v>
      </c>
      <c r="F4392" t="s">
        <v>627</v>
      </c>
      <c r="G4392" t="s">
        <v>964</v>
      </c>
      <c r="H4392">
        <v>11</v>
      </c>
      <c r="I4392">
        <v>20</v>
      </c>
      <c r="J4392">
        <v>43.181800000000003</v>
      </c>
      <c r="K4392">
        <v>23.181799999999999</v>
      </c>
      <c r="L4392">
        <v>10</v>
      </c>
      <c r="M4392">
        <v>0</v>
      </c>
      <c r="N4392">
        <v>1</v>
      </c>
      <c r="O4392" t="s">
        <v>127</v>
      </c>
      <c r="P4392" t="s">
        <v>127</v>
      </c>
      <c r="Q4392" t="s">
        <v>127</v>
      </c>
    </row>
    <row r="4393" spans="1:17" x14ac:dyDescent="0.25">
      <c r="A4393">
        <f>IF(C4393&amp;G4393&amp;D4393&lt;&gt;'Funnel setup'!$K$3&amp;'Funnel setup'!$K$4&amp;'Funnel setup'!$K$6,".",IF(A4392=".",1,A4392+1))</f>
        <v>210</v>
      </c>
      <c r="B4393" s="244" t="str">
        <f t="shared" si="68"/>
        <v>Total Hip ReplacementProviderTHE CHERWELL HOSPITAL (NVC25)Oxford Hip Score</v>
      </c>
      <c r="C4393" t="s">
        <v>974</v>
      </c>
      <c r="D4393" t="s">
        <v>965</v>
      </c>
      <c r="E4393" t="s">
        <v>628</v>
      </c>
      <c r="F4393" t="s">
        <v>629</v>
      </c>
      <c r="G4393" t="s">
        <v>964</v>
      </c>
      <c r="H4393">
        <v>226</v>
      </c>
      <c r="I4393">
        <v>19.977900000000002</v>
      </c>
      <c r="J4393">
        <v>41.6327</v>
      </c>
      <c r="K4393">
        <v>21.654900000000001</v>
      </c>
      <c r="L4393">
        <v>220</v>
      </c>
      <c r="M4393">
        <v>1</v>
      </c>
      <c r="N4393">
        <v>5</v>
      </c>
      <c r="O4393">
        <v>39.8626</v>
      </c>
      <c r="P4393">
        <v>22.651199999999999</v>
      </c>
      <c r="Q4393">
        <v>7.6551900000000002</v>
      </c>
    </row>
    <row r="4394" spans="1:17" x14ac:dyDescent="0.25">
      <c r="A4394">
        <f>IF(C4394&amp;G4394&amp;D4394&lt;&gt;'Funnel setup'!$K$3&amp;'Funnel setup'!$K$4&amp;'Funnel setup'!$K$6,".",IF(A4393=".",1,A4393+1))</f>
        <v>211</v>
      </c>
      <c r="B4394" s="244" t="str">
        <f t="shared" si="68"/>
        <v>Total Hip ReplacementProviderTHE DUDLEY GROUP NHS FOUNDATION TRUST (RNA)Oxford Hip Score</v>
      </c>
      <c r="C4394" t="s">
        <v>974</v>
      </c>
      <c r="D4394" t="s">
        <v>965</v>
      </c>
      <c r="E4394" t="s">
        <v>630</v>
      </c>
      <c r="F4394" t="s">
        <v>631</v>
      </c>
      <c r="G4394" t="s">
        <v>964</v>
      </c>
      <c r="H4394">
        <v>1</v>
      </c>
      <c r="I4394">
        <v>16</v>
      </c>
      <c r="J4394">
        <v>46</v>
      </c>
      <c r="K4394">
        <v>30</v>
      </c>
      <c r="L4394">
        <v>1</v>
      </c>
      <c r="M4394">
        <v>0</v>
      </c>
      <c r="N4394">
        <v>0</v>
      </c>
      <c r="O4394" t="s">
        <v>127</v>
      </c>
      <c r="P4394" t="s">
        <v>127</v>
      </c>
      <c r="Q4394" t="s">
        <v>127</v>
      </c>
    </row>
    <row r="4395" spans="1:17" x14ac:dyDescent="0.25">
      <c r="A4395">
        <f>IF(C4395&amp;G4395&amp;D4395&lt;&gt;'Funnel setup'!$K$3&amp;'Funnel setup'!$K$4&amp;'Funnel setup'!$K$6,".",IF(A4394=".",1,A4394+1))</f>
        <v>212</v>
      </c>
      <c r="B4395" s="244" t="str">
        <f t="shared" si="68"/>
        <v>Total Hip ReplacementProviderTHE HILLINGDON HOSPITALS NHS FOUNDATION TRUST (RAS)Oxford Hip Score</v>
      </c>
      <c r="C4395" t="s">
        <v>974</v>
      </c>
      <c r="D4395" t="s">
        <v>965</v>
      </c>
      <c r="E4395" t="s">
        <v>632</v>
      </c>
      <c r="F4395" t="s">
        <v>633</v>
      </c>
      <c r="G4395" t="s">
        <v>964</v>
      </c>
      <c r="H4395">
        <v>73</v>
      </c>
      <c r="I4395">
        <v>19.137</v>
      </c>
      <c r="J4395">
        <v>39.863</v>
      </c>
      <c r="K4395">
        <v>20.725999999999999</v>
      </c>
      <c r="L4395">
        <v>70</v>
      </c>
      <c r="M4395">
        <v>0</v>
      </c>
      <c r="N4395">
        <v>3</v>
      </c>
      <c r="O4395">
        <v>38.316000000000003</v>
      </c>
      <c r="P4395">
        <v>21.104600000000001</v>
      </c>
      <c r="Q4395">
        <v>7.4913699999999999</v>
      </c>
    </row>
    <row r="4396" spans="1:17" x14ac:dyDescent="0.25">
      <c r="A4396">
        <f>IF(C4396&amp;G4396&amp;D4396&lt;&gt;'Funnel setup'!$K$3&amp;'Funnel setup'!$K$4&amp;'Funnel setup'!$K$6,".",IF(A4395=".",1,A4395+1))</f>
        <v>213</v>
      </c>
      <c r="B4396" s="244" t="str">
        <f t="shared" si="68"/>
        <v>Total Hip ReplacementProviderTHE HORDER CENTRE - ST JOHNS ROAD (NXM01)Oxford Hip Score</v>
      </c>
      <c r="C4396" t="s">
        <v>974</v>
      </c>
      <c r="D4396" t="s">
        <v>965</v>
      </c>
      <c r="E4396" t="s">
        <v>634</v>
      </c>
      <c r="F4396" t="s">
        <v>635</v>
      </c>
      <c r="G4396" t="s">
        <v>964</v>
      </c>
      <c r="H4396">
        <v>273</v>
      </c>
      <c r="I4396">
        <v>20.7546</v>
      </c>
      <c r="J4396">
        <v>42.359000000000002</v>
      </c>
      <c r="K4396">
        <v>21.604399999999998</v>
      </c>
      <c r="L4396">
        <v>262</v>
      </c>
      <c r="M4396">
        <v>3</v>
      </c>
      <c r="N4396">
        <v>8</v>
      </c>
      <c r="O4396">
        <v>40.118200000000002</v>
      </c>
      <c r="P4396">
        <v>22.906700000000001</v>
      </c>
      <c r="Q4396">
        <v>7.6849600000000002</v>
      </c>
    </row>
    <row r="4397" spans="1:17" x14ac:dyDescent="0.25">
      <c r="A4397">
        <f>IF(C4397&amp;G4397&amp;D4397&lt;&gt;'Funnel setup'!$K$3&amp;'Funnel setup'!$K$4&amp;'Funnel setup'!$K$6,".",IF(A4396=".",1,A4396+1))</f>
        <v>214</v>
      </c>
      <c r="B4397" s="244" t="str">
        <f t="shared" si="68"/>
        <v>Total Hip ReplacementProviderTHE NEWCASTLE UPON TYNE HOSPITALS NHS FOUNDATION TRUST (RTD)Oxford Hip Score</v>
      </c>
      <c r="C4397" t="s">
        <v>974</v>
      </c>
      <c r="D4397" t="s">
        <v>965</v>
      </c>
      <c r="E4397" t="s">
        <v>638</v>
      </c>
      <c r="F4397" t="s">
        <v>639</v>
      </c>
      <c r="G4397" t="s">
        <v>964</v>
      </c>
      <c r="H4397">
        <v>40</v>
      </c>
      <c r="I4397">
        <v>16.149999999999999</v>
      </c>
      <c r="J4397">
        <v>35.825000000000003</v>
      </c>
      <c r="K4397">
        <v>19.675000000000001</v>
      </c>
      <c r="L4397">
        <v>38</v>
      </c>
      <c r="M4397">
        <v>0</v>
      </c>
      <c r="N4397">
        <v>2</v>
      </c>
      <c r="O4397">
        <v>38.217700000000001</v>
      </c>
      <c r="P4397">
        <v>21.0063</v>
      </c>
      <c r="Q4397">
        <v>9.0444800000000001</v>
      </c>
    </row>
    <row r="4398" spans="1:17" x14ac:dyDescent="0.25">
      <c r="A4398">
        <f>IF(C4398&amp;G4398&amp;D4398&lt;&gt;'Funnel setup'!$K$3&amp;'Funnel setup'!$K$4&amp;'Funnel setup'!$K$6,".",IF(A4397=".",1,A4397+1))</f>
        <v>215</v>
      </c>
      <c r="B4398" s="244" t="str">
        <f t="shared" si="68"/>
        <v>Total Hip ReplacementProviderTHE PRINCESS ALEXANDRA HOSPITAL NHS TRUST (RQW)Oxford Hip Score</v>
      </c>
      <c r="C4398" t="s">
        <v>974</v>
      </c>
      <c r="D4398" t="s">
        <v>965</v>
      </c>
      <c r="E4398" t="s">
        <v>640</v>
      </c>
      <c r="F4398" t="s">
        <v>641</v>
      </c>
      <c r="G4398" t="s">
        <v>964</v>
      </c>
      <c r="H4398">
        <v>28</v>
      </c>
      <c r="I4398">
        <v>11.857100000000001</v>
      </c>
      <c r="J4398">
        <v>34.5</v>
      </c>
      <c r="K4398">
        <v>22.642900000000001</v>
      </c>
      <c r="L4398">
        <v>27</v>
      </c>
      <c r="M4398">
        <v>0</v>
      </c>
      <c r="N4398">
        <v>1</v>
      </c>
      <c r="O4398" t="s">
        <v>127</v>
      </c>
      <c r="P4398" t="s">
        <v>127</v>
      </c>
      <c r="Q4398" t="s">
        <v>127</v>
      </c>
    </row>
    <row r="4399" spans="1:17" x14ac:dyDescent="0.25">
      <c r="A4399">
        <f>IF(C4399&amp;G4399&amp;D4399&lt;&gt;'Funnel setup'!$K$3&amp;'Funnel setup'!$K$4&amp;'Funnel setup'!$K$6,".",IF(A4398=".",1,A4398+1))</f>
        <v>216</v>
      </c>
      <c r="B4399" s="244" t="str">
        <f t="shared" si="68"/>
        <v>Total Hip ReplacementProviderTHE QUEEN ELIZABETH HOSPITAL, KING'S LYNN, NHS FOUNDATION TRUST (RCX)Oxford Hip Score</v>
      </c>
      <c r="C4399" t="s">
        <v>974</v>
      </c>
      <c r="D4399" t="s">
        <v>965</v>
      </c>
      <c r="E4399" t="s">
        <v>644</v>
      </c>
      <c r="F4399" t="s">
        <v>645</v>
      </c>
      <c r="G4399" t="s">
        <v>964</v>
      </c>
      <c r="H4399">
        <v>71</v>
      </c>
      <c r="I4399">
        <v>16.070399999999999</v>
      </c>
      <c r="J4399">
        <v>39.732399999999998</v>
      </c>
      <c r="K4399">
        <v>23.661999999999999</v>
      </c>
      <c r="L4399">
        <v>69</v>
      </c>
      <c r="M4399">
        <v>1</v>
      </c>
      <c r="N4399">
        <v>1</v>
      </c>
      <c r="O4399">
        <v>40.928899999999999</v>
      </c>
      <c r="P4399">
        <v>23.717500000000001</v>
      </c>
      <c r="Q4399">
        <v>7.1513999999999998</v>
      </c>
    </row>
    <row r="4400" spans="1:17" x14ac:dyDescent="0.25">
      <c r="A4400">
        <f>IF(C4400&amp;G4400&amp;D4400&lt;&gt;'Funnel setup'!$K$3&amp;'Funnel setup'!$K$4&amp;'Funnel setup'!$K$6,".",IF(A4399=".",1,A4399+1))</f>
        <v>217</v>
      </c>
      <c r="B4400" s="244" t="str">
        <f t="shared" si="68"/>
        <v>Total Hip ReplacementProviderTHE ROBERT JONES AND AGNES HUNT ORTHOPAEDIC HOSPITAL NHS FOUNDATION TRUST (RL1)Oxford Hip Score</v>
      </c>
      <c r="C4400" t="s">
        <v>974</v>
      </c>
      <c r="D4400" t="s">
        <v>965</v>
      </c>
      <c r="E4400" t="s">
        <v>646</v>
      </c>
      <c r="F4400" t="s">
        <v>647</v>
      </c>
      <c r="G4400" t="s">
        <v>964</v>
      </c>
      <c r="H4400">
        <v>373</v>
      </c>
      <c r="I4400">
        <v>13.8767</v>
      </c>
      <c r="J4400">
        <v>40.581800000000001</v>
      </c>
      <c r="K4400">
        <v>26.705100000000002</v>
      </c>
      <c r="L4400">
        <v>371</v>
      </c>
      <c r="M4400">
        <v>0</v>
      </c>
      <c r="N4400">
        <v>2</v>
      </c>
      <c r="O4400">
        <v>41.632399999999997</v>
      </c>
      <c r="P4400">
        <v>24.420999999999999</v>
      </c>
      <c r="Q4400">
        <v>7.7759299999999998</v>
      </c>
    </row>
    <row r="4401" spans="1:17" x14ac:dyDescent="0.25">
      <c r="A4401">
        <f>IF(C4401&amp;G4401&amp;D4401&lt;&gt;'Funnel setup'!$K$3&amp;'Funnel setup'!$K$4&amp;'Funnel setup'!$K$6,".",IF(A4400=".",1,A4400+1))</f>
        <v>218</v>
      </c>
      <c r="B4401" s="244" t="str">
        <f t="shared" si="68"/>
        <v>Total Hip ReplacementProviderTHE ROTHERHAM NHS FOUNDATION TRUST (RFR)Oxford Hip Score</v>
      </c>
      <c r="C4401" t="s">
        <v>974</v>
      </c>
      <c r="D4401" t="s">
        <v>965</v>
      </c>
      <c r="E4401" t="s">
        <v>648</v>
      </c>
      <c r="F4401" t="s">
        <v>649</v>
      </c>
      <c r="G4401" t="s">
        <v>964</v>
      </c>
      <c r="H4401">
        <v>18</v>
      </c>
      <c r="I4401">
        <v>14.9444</v>
      </c>
      <c r="J4401">
        <v>38.1111</v>
      </c>
      <c r="K4401">
        <v>23.166699999999999</v>
      </c>
      <c r="L4401">
        <v>18</v>
      </c>
      <c r="M4401">
        <v>0</v>
      </c>
      <c r="N4401">
        <v>0</v>
      </c>
      <c r="O4401" t="s">
        <v>127</v>
      </c>
      <c r="P4401" t="s">
        <v>127</v>
      </c>
      <c r="Q4401" t="s">
        <v>127</v>
      </c>
    </row>
    <row r="4402" spans="1:17" x14ac:dyDescent="0.25">
      <c r="A4402">
        <f>IF(C4402&amp;G4402&amp;D4402&lt;&gt;'Funnel setup'!$K$3&amp;'Funnel setup'!$K$4&amp;'Funnel setup'!$K$6,".",IF(A4401=".",1,A4401+1))</f>
        <v>219</v>
      </c>
      <c r="B4402" s="244" t="str">
        <f t="shared" si="68"/>
        <v>Total Hip ReplacementProviderTHE ROYAL ORTHOPAEDIC HOSPITAL NHS FOUNDATION TRUST (RRJ)Oxford Hip Score</v>
      </c>
      <c r="C4402" t="s">
        <v>974</v>
      </c>
      <c r="D4402" t="s">
        <v>965</v>
      </c>
      <c r="E4402" t="s">
        <v>652</v>
      </c>
      <c r="F4402" t="s">
        <v>653</v>
      </c>
      <c r="G4402" t="s">
        <v>964</v>
      </c>
      <c r="H4402">
        <v>644</v>
      </c>
      <c r="I4402">
        <v>17.930099999999999</v>
      </c>
      <c r="J4402">
        <v>39.853999999999999</v>
      </c>
      <c r="K4402">
        <v>21.9239</v>
      </c>
      <c r="L4402">
        <v>628</v>
      </c>
      <c r="M4402">
        <v>2</v>
      </c>
      <c r="N4402">
        <v>14</v>
      </c>
      <c r="O4402">
        <v>39.369199999999999</v>
      </c>
      <c r="P4402">
        <v>22.157800000000002</v>
      </c>
      <c r="Q4402">
        <v>8.3444599999999998</v>
      </c>
    </row>
    <row r="4403" spans="1:17" x14ac:dyDescent="0.25">
      <c r="A4403">
        <f>IF(C4403&amp;G4403&amp;D4403&lt;&gt;'Funnel setup'!$K$3&amp;'Funnel setup'!$K$4&amp;'Funnel setup'!$K$6,".",IF(A4402=".",1,A4402+1))</f>
        <v>220</v>
      </c>
      <c r="B4403" s="244" t="str">
        <f t="shared" si="68"/>
        <v>Total Hip ReplacementProviderTHE ROYAL WOLVERHAMPTON NHS TRUST (RL4)Oxford Hip Score</v>
      </c>
      <c r="C4403" t="s">
        <v>974</v>
      </c>
      <c r="D4403" t="s">
        <v>965</v>
      </c>
      <c r="E4403" t="s">
        <v>654</v>
      </c>
      <c r="F4403" t="s">
        <v>655</v>
      </c>
      <c r="G4403" t="s">
        <v>964</v>
      </c>
      <c r="H4403">
        <v>18</v>
      </c>
      <c r="I4403">
        <v>15.722200000000001</v>
      </c>
      <c r="J4403">
        <v>43.055599999999998</v>
      </c>
      <c r="K4403">
        <v>27.333300000000001</v>
      </c>
      <c r="L4403">
        <v>18</v>
      </c>
      <c r="M4403">
        <v>0</v>
      </c>
      <c r="N4403">
        <v>0</v>
      </c>
      <c r="O4403" t="s">
        <v>127</v>
      </c>
      <c r="P4403" t="s">
        <v>127</v>
      </c>
      <c r="Q4403" t="s">
        <v>127</v>
      </c>
    </row>
    <row r="4404" spans="1:17" x14ac:dyDescent="0.25">
      <c r="A4404">
        <f>IF(C4404&amp;G4404&amp;D4404&lt;&gt;'Funnel setup'!$K$3&amp;'Funnel setup'!$K$4&amp;'Funnel setup'!$K$6,".",IF(A4403=".",1,A4403+1))</f>
        <v>221</v>
      </c>
      <c r="B4404" s="244" t="str">
        <f t="shared" si="68"/>
        <v>Total Hip ReplacementProviderTHE SHREWSBURY AND TELFORD HOSPITAL NHS TRUST (RXW)Oxford Hip Score</v>
      </c>
      <c r="C4404" t="s">
        <v>974</v>
      </c>
      <c r="D4404" t="s">
        <v>965</v>
      </c>
      <c r="E4404" t="s">
        <v>656</v>
      </c>
      <c r="F4404" t="s">
        <v>657</v>
      </c>
      <c r="G4404" t="s">
        <v>964</v>
      </c>
      <c r="H4404">
        <v>20</v>
      </c>
      <c r="I4404">
        <v>8.85</v>
      </c>
      <c r="J4404">
        <v>35.35</v>
      </c>
      <c r="K4404">
        <v>26.5</v>
      </c>
      <c r="L4404">
        <v>20</v>
      </c>
      <c r="M4404">
        <v>0</v>
      </c>
      <c r="N4404">
        <v>0</v>
      </c>
      <c r="O4404" t="s">
        <v>127</v>
      </c>
      <c r="P4404" t="s">
        <v>127</v>
      </c>
      <c r="Q4404" t="s">
        <v>127</v>
      </c>
    </row>
    <row r="4405" spans="1:17" x14ac:dyDescent="0.25">
      <c r="A4405">
        <f>IF(C4405&amp;G4405&amp;D4405&lt;&gt;'Funnel setup'!$K$3&amp;'Funnel setup'!$K$4&amp;'Funnel setup'!$K$6,".",IF(A4404=".",1,A4404+1))</f>
        <v>222</v>
      </c>
      <c r="B4405" s="244" t="str">
        <f t="shared" si="68"/>
        <v>Total Hip ReplacementProviderTHE YORKSHIRE CLINIC (NVC20)Oxford Hip Score</v>
      </c>
      <c r="C4405" t="s">
        <v>974</v>
      </c>
      <c r="D4405" t="s">
        <v>965</v>
      </c>
      <c r="E4405" t="s">
        <v>662</v>
      </c>
      <c r="F4405" t="s">
        <v>663</v>
      </c>
      <c r="G4405" t="s">
        <v>964</v>
      </c>
      <c r="H4405">
        <v>65</v>
      </c>
      <c r="I4405">
        <v>25.692299999999999</v>
      </c>
      <c r="J4405">
        <v>26.784600000000001</v>
      </c>
      <c r="K4405">
        <v>1.0923099999999999</v>
      </c>
      <c r="L4405">
        <v>39</v>
      </c>
      <c r="M4405">
        <v>9</v>
      </c>
      <c r="N4405">
        <v>17</v>
      </c>
      <c r="O4405">
        <v>24.164000000000001</v>
      </c>
      <c r="P4405">
        <v>6.9525399999999999</v>
      </c>
      <c r="Q4405">
        <v>3.3675600000000001</v>
      </c>
    </row>
    <row r="4406" spans="1:17" x14ac:dyDescent="0.25">
      <c r="A4406">
        <f>IF(C4406&amp;G4406&amp;D4406&lt;&gt;'Funnel setup'!$K$3&amp;'Funnel setup'!$K$4&amp;'Funnel setup'!$K$6,".",IF(A4405=".",1,A4405+1))</f>
        <v>223</v>
      </c>
      <c r="B4406" s="244" t="str">
        <f t="shared" si="68"/>
        <v>Total Hip ReplacementProviderTHORNBURY HOSPITAL (NT440)Oxford Hip Score</v>
      </c>
      <c r="C4406" t="s">
        <v>974</v>
      </c>
      <c r="D4406" t="s">
        <v>965</v>
      </c>
      <c r="E4406" t="s">
        <v>664</v>
      </c>
      <c r="F4406" t="s">
        <v>665</v>
      </c>
      <c r="G4406" t="s">
        <v>964</v>
      </c>
      <c r="H4406">
        <v>3</v>
      </c>
      <c r="I4406">
        <v>14.333299999999999</v>
      </c>
      <c r="J4406">
        <v>40.333300000000001</v>
      </c>
      <c r="K4406">
        <v>26</v>
      </c>
      <c r="L4406">
        <v>3</v>
      </c>
      <c r="M4406">
        <v>0</v>
      </c>
      <c r="N4406">
        <v>0</v>
      </c>
      <c r="O4406" t="s">
        <v>127</v>
      </c>
      <c r="P4406" t="s">
        <v>127</v>
      </c>
      <c r="Q4406" t="s">
        <v>127</v>
      </c>
    </row>
    <row r="4407" spans="1:17" x14ac:dyDescent="0.25">
      <c r="A4407">
        <f>IF(C4407&amp;G4407&amp;D4407&lt;&gt;'Funnel setup'!$K$3&amp;'Funnel setup'!$K$4&amp;'Funnel setup'!$K$6,".",IF(A4406=".",1,A4406+1))</f>
        <v>224</v>
      </c>
      <c r="B4407" s="244" t="str">
        <f t="shared" si="68"/>
        <v>Total Hip ReplacementProviderTHREE SHIRES HOSPITAL (NT441)Oxford Hip Score</v>
      </c>
      <c r="C4407" t="s">
        <v>974</v>
      </c>
      <c r="D4407" t="s">
        <v>965</v>
      </c>
      <c r="E4407" t="s">
        <v>666</v>
      </c>
      <c r="F4407" t="s">
        <v>667</v>
      </c>
      <c r="G4407" t="s">
        <v>964</v>
      </c>
      <c r="H4407">
        <v>67</v>
      </c>
      <c r="I4407">
        <v>18.4328</v>
      </c>
      <c r="J4407">
        <v>42.134300000000003</v>
      </c>
      <c r="K4407">
        <v>23.701499999999999</v>
      </c>
      <c r="L4407">
        <v>65</v>
      </c>
      <c r="M4407">
        <v>0</v>
      </c>
      <c r="N4407">
        <v>2</v>
      </c>
      <c r="O4407">
        <v>39.589399999999998</v>
      </c>
      <c r="P4407">
        <v>22.378</v>
      </c>
      <c r="Q4407">
        <v>8.0985300000000002</v>
      </c>
    </row>
    <row r="4408" spans="1:17" x14ac:dyDescent="0.25">
      <c r="A4408">
        <f>IF(C4408&amp;G4408&amp;D4408&lt;&gt;'Funnel setup'!$K$3&amp;'Funnel setup'!$K$4&amp;'Funnel setup'!$K$6,".",IF(A4407=".",1,A4407+1))</f>
        <v>225</v>
      </c>
      <c r="B4408" s="244" t="str">
        <f t="shared" si="68"/>
        <v>Total Hip ReplacementProviderTORBAY AND SOUTH DEVON NHS FOUNDATION TRUST (RA9)Oxford Hip Score</v>
      </c>
      <c r="C4408" t="s">
        <v>974</v>
      </c>
      <c r="D4408" t="s">
        <v>965</v>
      </c>
      <c r="E4408" t="s">
        <v>668</v>
      </c>
      <c r="F4408" t="s">
        <v>669</v>
      </c>
      <c r="G4408" t="s">
        <v>964</v>
      </c>
      <c r="H4408">
        <v>12</v>
      </c>
      <c r="I4408">
        <v>13.833299999999999</v>
      </c>
      <c r="J4408">
        <v>37.5</v>
      </c>
      <c r="K4408">
        <v>23.666699999999999</v>
      </c>
      <c r="L4408">
        <v>12</v>
      </c>
      <c r="M4408">
        <v>0</v>
      </c>
      <c r="N4408">
        <v>0</v>
      </c>
      <c r="O4408" t="s">
        <v>127</v>
      </c>
      <c r="P4408" t="s">
        <v>127</v>
      </c>
      <c r="Q4408" t="s">
        <v>127</v>
      </c>
    </row>
    <row r="4409" spans="1:17" x14ac:dyDescent="0.25">
      <c r="A4409">
        <f>IF(C4409&amp;G4409&amp;D4409&lt;&gt;'Funnel setup'!$K$3&amp;'Funnel setup'!$K$4&amp;'Funnel setup'!$K$6,".",IF(A4408=".",1,A4408+1))</f>
        <v>226</v>
      </c>
      <c r="B4409" s="244" t="str">
        <f t="shared" si="68"/>
        <v>Total Hip ReplacementProviderUNITED LINCOLNSHIRE HOSPITALS NHS TRUST (RWD)Oxford Hip Score</v>
      </c>
      <c r="C4409" t="s">
        <v>974</v>
      </c>
      <c r="D4409" t="s">
        <v>965</v>
      </c>
      <c r="E4409" t="s">
        <v>672</v>
      </c>
      <c r="F4409" t="s">
        <v>673</v>
      </c>
      <c r="G4409" t="s">
        <v>964</v>
      </c>
      <c r="H4409">
        <v>26</v>
      </c>
      <c r="I4409">
        <v>14.384600000000001</v>
      </c>
      <c r="J4409">
        <v>37.884599999999999</v>
      </c>
      <c r="K4409">
        <v>23.5</v>
      </c>
      <c r="L4409">
        <v>25</v>
      </c>
      <c r="M4409">
        <v>1</v>
      </c>
      <c r="N4409">
        <v>0</v>
      </c>
      <c r="O4409" t="s">
        <v>127</v>
      </c>
      <c r="P4409" t="s">
        <v>127</v>
      </c>
      <c r="Q4409" t="s">
        <v>127</v>
      </c>
    </row>
    <row r="4410" spans="1:17" x14ac:dyDescent="0.25">
      <c r="A4410">
        <f>IF(C4410&amp;G4410&amp;D4410&lt;&gt;'Funnel setup'!$K$3&amp;'Funnel setup'!$K$4&amp;'Funnel setup'!$K$6,".",IF(A4409=".",1,A4409+1))</f>
        <v>227</v>
      </c>
      <c r="B4410" s="244" t="str">
        <f t="shared" si="68"/>
        <v>Total Hip ReplacementProviderUNIVERSITY COLLEGE LONDON HOSPITALS NHS FOUNDATION TRUST (RRV)Oxford Hip Score</v>
      </c>
      <c r="C4410" t="s">
        <v>974</v>
      </c>
      <c r="D4410" t="s">
        <v>965</v>
      </c>
      <c r="E4410" t="s">
        <v>674</v>
      </c>
      <c r="F4410" t="s">
        <v>675</v>
      </c>
      <c r="G4410" t="s">
        <v>964</v>
      </c>
      <c r="H4410">
        <v>175</v>
      </c>
      <c r="I4410">
        <v>20.148599999999998</v>
      </c>
      <c r="J4410">
        <v>40.222900000000003</v>
      </c>
      <c r="K4410">
        <v>20.074300000000001</v>
      </c>
      <c r="L4410">
        <v>166</v>
      </c>
      <c r="M4410">
        <v>2</v>
      </c>
      <c r="N4410">
        <v>7</v>
      </c>
      <c r="O4410">
        <v>39.184399999999997</v>
      </c>
      <c r="P4410">
        <v>21.972899999999999</v>
      </c>
      <c r="Q4410">
        <v>7.8812899999999999</v>
      </c>
    </row>
    <row r="4411" spans="1:17" x14ac:dyDescent="0.25">
      <c r="A4411">
        <f>IF(C4411&amp;G4411&amp;D4411&lt;&gt;'Funnel setup'!$K$3&amp;'Funnel setup'!$K$4&amp;'Funnel setup'!$K$6,".",IF(A4410=".",1,A4410+1))</f>
        <v>228</v>
      </c>
      <c r="B4411" s="244" t="str">
        <f t="shared" si="68"/>
        <v>Total Hip ReplacementProviderUNIVERSITY HOSPITAL SOUTHAMPTON NHS FOUNDATION TRUST (RHM)Oxford Hip Score</v>
      </c>
      <c r="C4411" t="s">
        <v>974</v>
      </c>
      <c r="D4411" t="s">
        <v>965</v>
      </c>
      <c r="E4411" t="s">
        <v>676</v>
      </c>
      <c r="F4411" t="s">
        <v>677</v>
      </c>
      <c r="G4411" t="s">
        <v>964</v>
      </c>
      <c r="H4411">
        <v>118</v>
      </c>
      <c r="I4411">
        <v>17.432200000000002</v>
      </c>
      <c r="J4411">
        <v>38.720300000000002</v>
      </c>
      <c r="K4411">
        <v>21.2881</v>
      </c>
      <c r="L4411">
        <v>112</v>
      </c>
      <c r="M4411">
        <v>0</v>
      </c>
      <c r="N4411">
        <v>6</v>
      </c>
      <c r="O4411">
        <v>39.938400000000001</v>
      </c>
      <c r="P4411">
        <v>22.727</v>
      </c>
      <c r="Q4411">
        <v>8.8166399999999996</v>
      </c>
    </row>
    <row r="4412" spans="1:17" x14ac:dyDescent="0.25">
      <c r="A4412">
        <f>IF(C4412&amp;G4412&amp;D4412&lt;&gt;'Funnel setup'!$K$3&amp;'Funnel setup'!$K$4&amp;'Funnel setup'!$K$6,".",IF(A4411=".",1,A4411+1))</f>
        <v>229</v>
      </c>
      <c r="B4412" s="244" t="str">
        <f t="shared" si="68"/>
        <v>Total Hip ReplacementProviderUNIVERSITY HOSPITALS BRISTOL AND WESTON NHS FOUNDATION TRUST (RA7)Oxford Hip Score</v>
      </c>
      <c r="C4412" t="s">
        <v>974</v>
      </c>
      <c r="D4412" t="s">
        <v>965</v>
      </c>
      <c r="E4412" t="s">
        <v>680</v>
      </c>
      <c r="F4412" t="s">
        <v>681</v>
      </c>
      <c r="G4412" t="s">
        <v>964</v>
      </c>
      <c r="H4412">
        <v>17</v>
      </c>
      <c r="I4412">
        <v>12.9474</v>
      </c>
      <c r="J4412">
        <v>38.421100000000003</v>
      </c>
      <c r="K4412">
        <v>25.473700000000001</v>
      </c>
      <c r="L4412">
        <v>17</v>
      </c>
      <c r="M4412">
        <v>0</v>
      </c>
      <c r="N4412">
        <v>0</v>
      </c>
      <c r="O4412" t="s">
        <v>127</v>
      </c>
      <c r="P4412" t="s">
        <v>127</v>
      </c>
      <c r="Q4412" t="s">
        <v>127</v>
      </c>
    </row>
    <row r="4413" spans="1:17" x14ac:dyDescent="0.25">
      <c r="A4413">
        <f>IF(C4413&amp;G4413&amp;D4413&lt;&gt;'Funnel setup'!$K$3&amp;'Funnel setup'!$K$4&amp;'Funnel setup'!$K$6,".",IF(A4412=".",1,A4412+1))</f>
        <v>230</v>
      </c>
      <c r="B4413" s="244" t="str">
        <f t="shared" si="68"/>
        <v>Total Hip ReplacementProviderUNIVERSITY HOSPITALS COVENTRY AND WARWICKSHIRE NHS TRUST (RKB)Oxford Hip Score</v>
      </c>
      <c r="C4413" t="s">
        <v>974</v>
      </c>
      <c r="D4413" t="s">
        <v>965</v>
      </c>
      <c r="E4413" t="s">
        <v>682</v>
      </c>
      <c r="F4413" t="s">
        <v>683</v>
      </c>
      <c r="G4413" t="s">
        <v>964</v>
      </c>
      <c r="H4413">
        <v>30</v>
      </c>
      <c r="I4413">
        <v>19.2667</v>
      </c>
      <c r="J4413">
        <v>40.433300000000003</v>
      </c>
      <c r="K4413">
        <v>21.166699999999999</v>
      </c>
      <c r="L4413">
        <v>28</v>
      </c>
      <c r="M4413">
        <v>0</v>
      </c>
      <c r="N4413">
        <v>2</v>
      </c>
      <c r="O4413">
        <v>39.918599999999998</v>
      </c>
      <c r="P4413">
        <v>22.7072</v>
      </c>
      <c r="Q4413">
        <v>7.5177300000000002</v>
      </c>
    </row>
    <row r="4414" spans="1:17" x14ac:dyDescent="0.25">
      <c r="A4414">
        <f>IF(C4414&amp;G4414&amp;D4414&lt;&gt;'Funnel setup'!$K$3&amp;'Funnel setup'!$K$4&amp;'Funnel setup'!$K$6,".",IF(A4413=".",1,A4413+1))</f>
        <v>231</v>
      </c>
      <c r="B4414" s="244" t="str">
        <f t="shared" si="68"/>
        <v>Total Hip ReplacementProviderUNIVERSITY HOSPITAL DORSET NHS FUNDATION TRUST (R0D)Oxford Hip Score</v>
      </c>
      <c r="C4414" t="s">
        <v>974</v>
      </c>
      <c r="D4414" t="s">
        <v>965</v>
      </c>
      <c r="E4414" t="s">
        <v>684</v>
      </c>
      <c r="F4414" t="s">
        <v>966</v>
      </c>
      <c r="G4414" t="s">
        <v>964</v>
      </c>
      <c r="H4414">
        <v>242</v>
      </c>
      <c r="I4414">
        <v>17.2149</v>
      </c>
      <c r="J4414">
        <v>39.735500000000002</v>
      </c>
      <c r="K4414">
        <v>22.520700000000001</v>
      </c>
      <c r="L4414">
        <v>234</v>
      </c>
      <c r="M4414">
        <v>3</v>
      </c>
      <c r="N4414">
        <v>5</v>
      </c>
      <c r="O4414">
        <v>40.2361</v>
      </c>
      <c r="P4414">
        <v>23.0246</v>
      </c>
      <c r="Q4414">
        <v>8.1595499999999994</v>
      </c>
    </row>
    <row r="4415" spans="1:17" x14ac:dyDescent="0.25">
      <c r="A4415">
        <f>IF(C4415&amp;G4415&amp;D4415&lt;&gt;'Funnel setup'!$K$3&amp;'Funnel setup'!$K$4&amp;'Funnel setup'!$K$6,".",IF(A4414=".",1,A4414+1))</f>
        <v>232</v>
      </c>
      <c r="B4415" s="244" t="str">
        <f t="shared" si="68"/>
        <v>Total Hip ReplacementProviderUNIVERSITY HOSPITALS OF DERBY AND BURTON NHS FOUNDATION TRUST (RTG)Oxford Hip Score</v>
      </c>
      <c r="C4415" t="s">
        <v>974</v>
      </c>
      <c r="D4415" t="s">
        <v>965</v>
      </c>
      <c r="E4415" t="s">
        <v>686</v>
      </c>
      <c r="F4415" t="s">
        <v>687</v>
      </c>
      <c r="G4415" t="s">
        <v>964</v>
      </c>
      <c r="H4415">
        <v>364</v>
      </c>
      <c r="I4415">
        <v>16.302199999999999</v>
      </c>
      <c r="J4415">
        <v>38.315899999999999</v>
      </c>
      <c r="K4415">
        <v>22.0137</v>
      </c>
      <c r="L4415">
        <v>349</v>
      </c>
      <c r="M4415">
        <v>1</v>
      </c>
      <c r="N4415">
        <v>14</v>
      </c>
      <c r="O4415">
        <v>39.556199999999997</v>
      </c>
      <c r="P4415">
        <v>22.3447</v>
      </c>
      <c r="Q4415">
        <v>8.1291600000000006</v>
      </c>
    </row>
    <row r="4416" spans="1:17" x14ac:dyDescent="0.25">
      <c r="A4416">
        <f>IF(C4416&amp;G4416&amp;D4416&lt;&gt;'Funnel setup'!$K$3&amp;'Funnel setup'!$K$4&amp;'Funnel setup'!$K$6,".",IF(A4415=".",1,A4415+1))</f>
        <v>233</v>
      </c>
      <c r="B4416" s="244" t="str">
        <f t="shared" si="68"/>
        <v>Total Hip ReplacementProviderUNIVERSITY HOSPITALS OF LEICESTER NHS TRUST (RWE)Oxford Hip Score</v>
      </c>
      <c r="C4416" t="s">
        <v>974</v>
      </c>
      <c r="D4416" t="s">
        <v>965</v>
      </c>
      <c r="E4416" t="s">
        <v>688</v>
      </c>
      <c r="F4416" t="s">
        <v>689</v>
      </c>
      <c r="G4416" t="s">
        <v>964</v>
      </c>
      <c r="H4416">
        <v>123</v>
      </c>
      <c r="I4416">
        <v>14.6911</v>
      </c>
      <c r="J4416">
        <v>37.577199999999998</v>
      </c>
      <c r="K4416">
        <v>22.886199999999999</v>
      </c>
      <c r="L4416">
        <v>119</v>
      </c>
      <c r="M4416">
        <v>1</v>
      </c>
      <c r="N4416">
        <v>3</v>
      </c>
      <c r="O4416">
        <v>39.96</v>
      </c>
      <c r="P4416">
        <v>22.7486</v>
      </c>
      <c r="Q4416">
        <v>9.34361</v>
      </c>
    </row>
    <row r="4417" spans="1:17" x14ac:dyDescent="0.25">
      <c r="A4417">
        <f>IF(C4417&amp;G4417&amp;D4417&lt;&gt;'Funnel setup'!$K$3&amp;'Funnel setup'!$K$4&amp;'Funnel setup'!$K$6,".",IF(A4416=".",1,A4416+1))</f>
        <v>234</v>
      </c>
      <c r="B4417" s="244" t="str">
        <f t="shared" si="68"/>
        <v>Total Hip ReplacementProviderUNIVERSITY HOSPITALS OF MORECAMBE BAY NHS FOUNDATION TRUST (RTX)Oxford Hip Score</v>
      </c>
      <c r="C4417" t="s">
        <v>974</v>
      </c>
      <c r="D4417" t="s">
        <v>965</v>
      </c>
      <c r="E4417" t="s">
        <v>690</v>
      </c>
      <c r="F4417" t="s">
        <v>691</v>
      </c>
      <c r="G4417" t="s">
        <v>964</v>
      </c>
      <c r="H4417">
        <v>195</v>
      </c>
      <c r="I4417">
        <v>17.2821</v>
      </c>
      <c r="J4417">
        <v>40.092300000000002</v>
      </c>
      <c r="K4417">
        <v>22.810300000000002</v>
      </c>
      <c r="L4417">
        <v>192</v>
      </c>
      <c r="M4417">
        <v>1</v>
      </c>
      <c r="N4417">
        <v>2</v>
      </c>
      <c r="O4417">
        <v>39.789700000000003</v>
      </c>
      <c r="P4417">
        <v>22.578199999999999</v>
      </c>
      <c r="Q4417">
        <v>7.3647900000000002</v>
      </c>
    </row>
    <row r="4418" spans="1:17" x14ac:dyDescent="0.25">
      <c r="A4418">
        <f>IF(C4418&amp;G4418&amp;D4418&lt;&gt;'Funnel setup'!$K$3&amp;'Funnel setup'!$K$4&amp;'Funnel setup'!$K$6,".",IF(A4417=".",1,A4417+1))</f>
        <v>235</v>
      </c>
      <c r="B4418" s="244" t="str">
        <f t="shared" ref="B4418:B4481" si="69">C4418&amp;D4418&amp;F4418&amp;G4418</f>
        <v>Total Hip ReplacementProviderUNIVERSITY HOSPITALS OF NORTH MIDLANDS NHS TRUST (RJE)Oxford Hip Score</v>
      </c>
      <c r="C4418" t="s">
        <v>974</v>
      </c>
      <c r="D4418" t="s">
        <v>965</v>
      </c>
      <c r="E4418" t="s">
        <v>692</v>
      </c>
      <c r="F4418" t="s">
        <v>693</v>
      </c>
      <c r="G4418" t="s">
        <v>964</v>
      </c>
      <c r="H4418">
        <v>34</v>
      </c>
      <c r="I4418">
        <v>14.235300000000001</v>
      </c>
      <c r="J4418">
        <v>40.5</v>
      </c>
      <c r="K4418">
        <v>26.264700000000001</v>
      </c>
      <c r="L4418">
        <v>34</v>
      </c>
      <c r="M4418">
        <v>0</v>
      </c>
      <c r="N4418">
        <v>0</v>
      </c>
      <c r="O4418">
        <v>41.578099999999999</v>
      </c>
      <c r="P4418">
        <v>24.366700000000002</v>
      </c>
      <c r="Q4418">
        <v>5.8881500000000004</v>
      </c>
    </row>
    <row r="4419" spans="1:17" x14ac:dyDescent="0.25">
      <c r="A4419">
        <f>IF(C4419&amp;G4419&amp;D4419&lt;&gt;'Funnel setup'!$K$3&amp;'Funnel setup'!$K$4&amp;'Funnel setup'!$K$6,".",IF(A4418=".",1,A4418+1))</f>
        <v>236</v>
      </c>
      <c r="B4419" s="244" t="str">
        <f t="shared" si="69"/>
        <v>Total Hip ReplacementProviderUNIVERSITY HOSPITALS PLYMOUTH NHS TRUST (RK9)Oxford Hip Score</v>
      </c>
      <c r="C4419" t="s">
        <v>974</v>
      </c>
      <c r="D4419" t="s">
        <v>965</v>
      </c>
      <c r="E4419" t="s">
        <v>694</v>
      </c>
      <c r="F4419" t="s">
        <v>695</v>
      </c>
      <c r="G4419" t="s">
        <v>964</v>
      </c>
      <c r="H4419">
        <v>7</v>
      </c>
      <c r="I4419">
        <v>10</v>
      </c>
      <c r="J4419">
        <v>31.571400000000001</v>
      </c>
      <c r="K4419">
        <v>21.571400000000001</v>
      </c>
      <c r="L4419">
        <v>6</v>
      </c>
      <c r="M4419">
        <v>0</v>
      </c>
      <c r="N4419">
        <v>1</v>
      </c>
      <c r="O4419" t="s">
        <v>127</v>
      </c>
      <c r="P4419" t="s">
        <v>127</v>
      </c>
      <c r="Q4419" t="s">
        <v>127</v>
      </c>
    </row>
    <row r="4420" spans="1:17" x14ac:dyDescent="0.25">
      <c r="A4420">
        <f>IF(C4420&amp;G4420&amp;D4420&lt;&gt;'Funnel setup'!$K$3&amp;'Funnel setup'!$K$4&amp;'Funnel setup'!$K$6,".",IF(A4419=".",1,A4419+1))</f>
        <v>237</v>
      </c>
      <c r="B4420" s="244" t="str">
        <f t="shared" si="69"/>
        <v>Total Hip ReplacementProviderUNIVERSITY HOSPITALS SUSSEX NHS FOUNDATION TRUST (RYR)Oxford Hip Score</v>
      </c>
      <c r="C4420" t="s">
        <v>974</v>
      </c>
      <c r="D4420" t="s">
        <v>965</v>
      </c>
      <c r="E4420" t="s">
        <v>696</v>
      </c>
      <c r="F4420" t="s">
        <v>697</v>
      </c>
      <c r="G4420" t="s">
        <v>964</v>
      </c>
      <c r="H4420">
        <v>151</v>
      </c>
      <c r="I4420">
        <v>15.7881</v>
      </c>
      <c r="J4420">
        <v>35.688699999999997</v>
      </c>
      <c r="K4420">
        <v>19.900700000000001</v>
      </c>
      <c r="L4420">
        <v>143</v>
      </c>
      <c r="M4420">
        <v>2</v>
      </c>
      <c r="N4420">
        <v>6</v>
      </c>
      <c r="O4420">
        <v>36.8369</v>
      </c>
      <c r="P4420">
        <v>19.625499999999999</v>
      </c>
      <c r="Q4420">
        <v>9.90639</v>
      </c>
    </row>
    <row r="4421" spans="1:17" x14ac:dyDescent="0.25">
      <c r="A4421">
        <f>IF(C4421&amp;G4421&amp;D4421&lt;&gt;'Funnel setup'!$K$3&amp;'Funnel setup'!$K$4&amp;'Funnel setup'!$K$6,".",IF(A4420=".",1,A4420+1))</f>
        <v>238</v>
      </c>
      <c r="B4421" s="244" t="str">
        <f t="shared" si="69"/>
        <v>Total Hip ReplacementProviderWALSALL HEALTHCARE NHS TRUST (RBK)Oxford Hip Score</v>
      </c>
      <c r="C4421" t="s">
        <v>974</v>
      </c>
      <c r="D4421" t="s">
        <v>965</v>
      </c>
      <c r="E4421" t="s">
        <v>698</v>
      </c>
      <c r="F4421" t="s">
        <v>699</v>
      </c>
      <c r="G4421" t="s">
        <v>964</v>
      </c>
      <c r="H4421">
        <v>14</v>
      </c>
      <c r="I4421">
        <v>15.857100000000001</v>
      </c>
      <c r="J4421">
        <v>34.5</v>
      </c>
      <c r="K4421">
        <v>18.642900000000001</v>
      </c>
      <c r="L4421">
        <v>12</v>
      </c>
      <c r="M4421">
        <v>1</v>
      </c>
      <c r="N4421">
        <v>1</v>
      </c>
      <c r="O4421" t="s">
        <v>127</v>
      </c>
      <c r="P4421" t="s">
        <v>127</v>
      </c>
      <c r="Q4421" t="s">
        <v>127</v>
      </c>
    </row>
    <row r="4422" spans="1:17" x14ac:dyDescent="0.25">
      <c r="A4422">
        <f>IF(C4422&amp;G4422&amp;D4422&lt;&gt;'Funnel setup'!$K$3&amp;'Funnel setup'!$K$4&amp;'Funnel setup'!$K$6,".",IF(A4421=".",1,A4421+1))</f>
        <v>239</v>
      </c>
      <c r="B4422" s="244" t="str">
        <f t="shared" si="69"/>
        <v>Total Hip ReplacementProviderWARRINGTON AND HALTON TEACHING HOSPITALS NHS FOUNDATION TRUST (RWW)Oxford Hip Score</v>
      </c>
      <c r="C4422" t="s">
        <v>974</v>
      </c>
      <c r="D4422" t="s">
        <v>965</v>
      </c>
      <c r="E4422" t="s">
        <v>700</v>
      </c>
      <c r="F4422" t="s">
        <v>701</v>
      </c>
      <c r="G4422" t="s">
        <v>964</v>
      </c>
      <c r="H4422">
        <v>34</v>
      </c>
      <c r="I4422">
        <v>15.911799999999999</v>
      </c>
      <c r="J4422">
        <v>38.117600000000003</v>
      </c>
      <c r="K4422">
        <v>22.2059</v>
      </c>
      <c r="L4422">
        <v>33</v>
      </c>
      <c r="M4422">
        <v>0</v>
      </c>
      <c r="N4422">
        <v>1</v>
      </c>
      <c r="O4422">
        <v>39.404000000000003</v>
      </c>
      <c r="P4422">
        <v>22.192499999999999</v>
      </c>
      <c r="Q4422">
        <v>8.4657800000000005</v>
      </c>
    </row>
    <row r="4423" spans="1:17" x14ac:dyDescent="0.25">
      <c r="A4423">
        <f>IF(C4423&amp;G4423&amp;D4423&lt;&gt;'Funnel setup'!$K$3&amp;'Funnel setup'!$K$4&amp;'Funnel setup'!$K$6,".",IF(A4422=".",1,A4422+1))</f>
        <v>240</v>
      </c>
      <c r="B4423" s="244" t="str">
        <f t="shared" si="69"/>
        <v>Total Hip ReplacementProviderWEST HERTFORDSHIRE TEACHING HOSPITALS NHS TRUST (RWG)Oxford Hip Score</v>
      </c>
      <c r="C4423" t="s">
        <v>974</v>
      </c>
      <c r="D4423" t="s">
        <v>965</v>
      </c>
      <c r="E4423" t="s">
        <v>702</v>
      </c>
      <c r="F4423" t="s">
        <v>703</v>
      </c>
      <c r="G4423" t="s">
        <v>964</v>
      </c>
      <c r="H4423">
        <v>100</v>
      </c>
      <c r="I4423">
        <v>17.440000000000001</v>
      </c>
      <c r="J4423">
        <v>39.369999999999997</v>
      </c>
      <c r="K4423">
        <v>21.93</v>
      </c>
      <c r="L4423">
        <v>95</v>
      </c>
      <c r="M4423">
        <v>1</v>
      </c>
      <c r="N4423">
        <v>4</v>
      </c>
      <c r="O4423">
        <v>38.809600000000003</v>
      </c>
      <c r="P4423">
        <v>21.598099999999999</v>
      </c>
      <c r="Q4423">
        <v>9.0450700000000008</v>
      </c>
    </row>
    <row r="4424" spans="1:17" x14ac:dyDescent="0.25">
      <c r="A4424">
        <f>IF(C4424&amp;G4424&amp;D4424&lt;&gt;'Funnel setup'!$K$3&amp;'Funnel setup'!$K$4&amp;'Funnel setup'!$K$6,".",IF(A4423=".",1,A4423+1))</f>
        <v>241</v>
      </c>
      <c r="B4424" s="244" t="str">
        <f t="shared" si="69"/>
        <v>Total Hip ReplacementProviderWEST MIDLANDS HOSPITAL (NVC21)Oxford Hip Score</v>
      </c>
      <c r="C4424" t="s">
        <v>974</v>
      </c>
      <c r="D4424" t="s">
        <v>965</v>
      </c>
      <c r="E4424" t="s">
        <v>704</v>
      </c>
      <c r="F4424" t="s">
        <v>705</v>
      </c>
      <c r="G4424" t="s">
        <v>964</v>
      </c>
      <c r="H4424">
        <v>85</v>
      </c>
      <c r="I4424">
        <v>17.423500000000001</v>
      </c>
      <c r="J4424">
        <v>40.6706</v>
      </c>
      <c r="K4424">
        <v>23.2471</v>
      </c>
      <c r="L4424">
        <v>84</v>
      </c>
      <c r="M4424">
        <v>0</v>
      </c>
      <c r="N4424">
        <v>1</v>
      </c>
      <c r="O4424">
        <v>39.909300000000002</v>
      </c>
      <c r="P4424">
        <v>22.697800000000001</v>
      </c>
      <c r="Q4424">
        <v>6.7319100000000001</v>
      </c>
    </row>
    <row r="4425" spans="1:17" x14ac:dyDescent="0.25">
      <c r="A4425">
        <f>IF(C4425&amp;G4425&amp;D4425&lt;&gt;'Funnel setup'!$K$3&amp;'Funnel setup'!$K$4&amp;'Funnel setup'!$K$6,".",IF(A4424=".",1,A4424+1))</f>
        <v>242</v>
      </c>
      <c r="B4425" s="244" t="str">
        <f t="shared" si="69"/>
        <v>Total Hip ReplacementProviderWEST SUFFOLK NHS FOUNDATION TRUST (RGR)Oxford Hip Score</v>
      </c>
      <c r="C4425" t="s">
        <v>974</v>
      </c>
      <c r="D4425" t="s">
        <v>965</v>
      </c>
      <c r="E4425" t="s">
        <v>706</v>
      </c>
      <c r="F4425" t="s">
        <v>707</v>
      </c>
      <c r="G4425" t="s">
        <v>964</v>
      </c>
      <c r="H4425">
        <v>116</v>
      </c>
      <c r="I4425">
        <v>14.3879</v>
      </c>
      <c r="J4425">
        <v>37.491399999999999</v>
      </c>
      <c r="K4425">
        <v>23.103400000000001</v>
      </c>
      <c r="L4425">
        <v>111</v>
      </c>
      <c r="M4425">
        <v>1</v>
      </c>
      <c r="N4425">
        <v>4</v>
      </c>
      <c r="O4425">
        <v>38.394799999999996</v>
      </c>
      <c r="P4425">
        <v>21.183299999999999</v>
      </c>
      <c r="Q4425">
        <v>9.6232699999999998</v>
      </c>
    </row>
    <row r="4426" spans="1:17" x14ac:dyDescent="0.25">
      <c r="A4426">
        <f>IF(C4426&amp;G4426&amp;D4426&lt;&gt;'Funnel setup'!$K$3&amp;'Funnel setup'!$K$4&amp;'Funnel setup'!$K$6,".",IF(A4425=".",1,A4425+1))</f>
        <v>243</v>
      </c>
      <c r="B4426" s="244" t="str">
        <f t="shared" si="69"/>
        <v>Total Hip ReplacementProviderWINFIELD HOSPITAL (NVC22)Oxford Hip Score</v>
      </c>
      <c r="C4426" t="s">
        <v>974</v>
      </c>
      <c r="D4426" t="s">
        <v>965</v>
      </c>
      <c r="E4426" t="s">
        <v>710</v>
      </c>
      <c r="F4426" t="s">
        <v>711</v>
      </c>
      <c r="G4426" t="s">
        <v>964</v>
      </c>
      <c r="H4426">
        <v>49</v>
      </c>
      <c r="I4426">
        <v>16.510200000000001</v>
      </c>
      <c r="J4426">
        <v>41</v>
      </c>
      <c r="K4426">
        <v>24.489799999999999</v>
      </c>
      <c r="L4426">
        <v>49</v>
      </c>
      <c r="M4426">
        <v>0</v>
      </c>
      <c r="N4426">
        <v>0</v>
      </c>
      <c r="O4426">
        <v>40.2515</v>
      </c>
      <c r="P4426">
        <v>23.040099999999999</v>
      </c>
      <c r="Q4426">
        <v>7.7689700000000004</v>
      </c>
    </row>
    <row r="4427" spans="1:17" x14ac:dyDescent="0.25">
      <c r="A4427">
        <f>IF(C4427&amp;G4427&amp;D4427&lt;&gt;'Funnel setup'!$K$3&amp;'Funnel setup'!$K$4&amp;'Funnel setup'!$K$6,".",IF(A4426=".",1,A4426+1))</f>
        <v>244</v>
      </c>
      <c r="B4427" s="244" t="str">
        <f t="shared" si="69"/>
        <v>Total Hip ReplacementProviderWINTERBOURNE HOSPITAL (NT443)Oxford Hip Score</v>
      </c>
      <c r="C4427" t="s">
        <v>974</v>
      </c>
      <c r="D4427" t="s">
        <v>965</v>
      </c>
      <c r="E4427" t="s">
        <v>712</v>
      </c>
      <c r="F4427" t="s">
        <v>713</v>
      </c>
      <c r="G4427" t="s">
        <v>964</v>
      </c>
      <c r="H4427">
        <v>53</v>
      </c>
      <c r="I4427">
        <v>21.434000000000001</v>
      </c>
      <c r="J4427">
        <v>43.169800000000002</v>
      </c>
      <c r="K4427">
        <v>21.735800000000001</v>
      </c>
      <c r="L4427">
        <v>53</v>
      </c>
      <c r="M4427">
        <v>0</v>
      </c>
      <c r="N4427">
        <v>0</v>
      </c>
      <c r="O4427">
        <v>40.866300000000003</v>
      </c>
      <c r="P4427">
        <v>23.654800000000002</v>
      </c>
      <c r="Q4427">
        <v>6.7466499999999998</v>
      </c>
    </row>
    <row r="4428" spans="1:17" x14ac:dyDescent="0.25">
      <c r="A4428">
        <f>IF(C4428&amp;G4428&amp;D4428&lt;&gt;'Funnel setup'!$K$3&amp;'Funnel setup'!$K$4&amp;'Funnel setup'!$K$6,".",IF(A4427=".",1,A4427+1))</f>
        <v>245</v>
      </c>
      <c r="B4428" s="244" t="str">
        <f t="shared" si="69"/>
        <v>Total Hip ReplacementProviderWIRRAL UNIVERSITY TEACHING HOSPITAL NHS FOUNDATION TRUST (RBL)Oxford Hip Score</v>
      </c>
      <c r="C4428" t="s">
        <v>974</v>
      </c>
      <c r="D4428" t="s">
        <v>965</v>
      </c>
      <c r="E4428" t="s">
        <v>714</v>
      </c>
      <c r="F4428" t="s">
        <v>715</v>
      </c>
      <c r="G4428" t="s">
        <v>964</v>
      </c>
      <c r="H4428">
        <v>111</v>
      </c>
      <c r="I4428">
        <v>15.9459</v>
      </c>
      <c r="J4428">
        <v>37.882899999999999</v>
      </c>
      <c r="K4428">
        <v>21.936900000000001</v>
      </c>
      <c r="L4428">
        <v>109</v>
      </c>
      <c r="M4428">
        <v>0</v>
      </c>
      <c r="N4428">
        <v>2</v>
      </c>
      <c r="O4428">
        <v>38.7029</v>
      </c>
      <c r="P4428">
        <v>21.491499999999998</v>
      </c>
      <c r="Q4428">
        <v>8.0312000000000001</v>
      </c>
    </row>
    <row r="4429" spans="1:17" x14ac:dyDescent="0.25">
      <c r="A4429">
        <f>IF(C4429&amp;G4429&amp;D4429&lt;&gt;'Funnel setup'!$K$3&amp;'Funnel setup'!$K$4&amp;'Funnel setup'!$K$6,".",IF(A4428=".",1,A4428+1))</f>
        <v>246</v>
      </c>
      <c r="B4429" s="244" t="str">
        <f t="shared" si="69"/>
        <v>Total Hip ReplacementProviderWOODLAND HOSPITAL (NVC23)Oxford Hip Score</v>
      </c>
      <c r="C4429" t="s">
        <v>974</v>
      </c>
      <c r="D4429" t="s">
        <v>965</v>
      </c>
      <c r="E4429" t="s">
        <v>716</v>
      </c>
      <c r="F4429" t="s">
        <v>717</v>
      </c>
      <c r="G4429" t="s">
        <v>964</v>
      </c>
      <c r="H4429">
        <v>85</v>
      </c>
      <c r="I4429">
        <v>15.569800000000001</v>
      </c>
      <c r="J4429">
        <v>36.744199999999999</v>
      </c>
      <c r="K4429">
        <v>21.174399999999999</v>
      </c>
      <c r="L4429">
        <v>81</v>
      </c>
      <c r="M4429">
        <v>0</v>
      </c>
      <c r="N4429">
        <v>4</v>
      </c>
      <c r="O4429">
        <v>36.2896</v>
      </c>
      <c r="P4429">
        <v>19.078199999999999</v>
      </c>
      <c r="Q4429">
        <v>8.9606700000000004</v>
      </c>
    </row>
    <row r="4430" spans="1:17" x14ac:dyDescent="0.25">
      <c r="A4430">
        <f>IF(C4430&amp;G4430&amp;D4430&lt;&gt;'Funnel setup'!$K$3&amp;'Funnel setup'!$K$4&amp;'Funnel setup'!$K$6,".",IF(A4429=".",1,A4429+1))</f>
        <v>247</v>
      </c>
      <c r="B4430" s="244" t="str">
        <f t="shared" si="69"/>
        <v>Total Hip ReplacementProviderWOODLANDS HOSPITAL (NT457)Oxford Hip Score</v>
      </c>
      <c r="C4430" t="s">
        <v>974</v>
      </c>
      <c r="D4430" t="s">
        <v>965</v>
      </c>
      <c r="E4430" t="s">
        <v>718</v>
      </c>
      <c r="F4430" t="s">
        <v>719</v>
      </c>
      <c r="G4430" t="s">
        <v>964</v>
      </c>
      <c r="H4430">
        <v>74</v>
      </c>
      <c r="I4430">
        <v>21.093299999999999</v>
      </c>
      <c r="J4430">
        <v>42.466700000000003</v>
      </c>
      <c r="K4430">
        <v>21.3733</v>
      </c>
      <c r="L4430">
        <v>71</v>
      </c>
      <c r="M4430">
        <v>1</v>
      </c>
      <c r="N4430">
        <v>2</v>
      </c>
      <c r="O4430">
        <v>39.296599999999998</v>
      </c>
      <c r="P4430">
        <v>22.0852</v>
      </c>
      <c r="Q4430">
        <v>7.2329499999999998</v>
      </c>
    </row>
    <row r="4431" spans="1:17" x14ac:dyDescent="0.25">
      <c r="A4431">
        <f>IF(C4431&amp;G4431&amp;D4431&lt;&gt;'Funnel setup'!$K$3&amp;'Funnel setup'!$K$4&amp;'Funnel setup'!$K$6,".",IF(A4430=".",1,A4430+1))</f>
        <v>248</v>
      </c>
      <c r="B4431" s="244" t="str">
        <f t="shared" si="69"/>
        <v>Total Hip ReplacementProviderWOODTHORPE HOSPITAL (NVC40)Oxford Hip Score</v>
      </c>
      <c r="C4431" t="s">
        <v>974</v>
      </c>
      <c r="D4431" t="s">
        <v>965</v>
      </c>
      <c r="E4431" t="s">
        <v>720</v>
      </c>
      <c r="F4431" t="s">
        <v>721</v>
      </c>
      <c r="G4431" t="s">
        <v>964</v>
      </c>
      <c r="H4431">
        <v>98</v>
      </c>
      <c r="I4431">
        <v>16.275500000000001</v>
      </c>
      <c r="J4431">
        <v>38.887799999999999</v>
      </c>
      <c r="K4431">
        <v>22.612200000000001</v>
      </c>
      <c r="L4431">
        <v>95</v>
      </c>
      <c r="M4431">
        <v>1</v>
      </c>
      <c r="N4431">
        <v>2</v>
      </c>
      <c r="O4431">
        <v>38.774900000000002</v>
      </c>
      <c r="P4431">
        <v>21.563500000000001</v>
      </c>
      <c r="Q4431">
        <v>8.4169900000000002</v>
      </c>
    </row>
    <row r="4432" spans="1:17" x14ac:dyDescent="0.25">
      <c r="A4432">
        <f>IF(C4432&amp;G4432&amp;D4432&lt;&gt;'Funnel setup'!$K$3&amp;'Funnel setup'!$K$4&amp;'Funnel setup'!$K$6,".",IF(A4431=".",1,A4431+1))</f>
        <v>249</v>
      </c>
      <c r="B4432" s="244" t="str">
        <f t="shared" si="69"/>
        <v>Total Hip ReplacementProviderWORCESTERSHIRE ACUTE HOSPITALS NHS TRUST (RWP)Oxford Hip Score</v>
      </c>
      <c r="C4432" t="s">
        <v>974</v>
      </c>
      <c r="D4432" t="s">
        <v>965</v>
      </c>
      <c r="E4432" t="s">
        <v>722</v>
      </c>
      <c r="F4432" t="s">
        <v>723</v>
      </c>
      <c r="G4432" t="s">
        <v>964</v>
      </c>
      <c r="H4432">
        <v>64</v>
      </c>
      <c r="I4432">
        <v>13.4688</v>
      </c>
      <c r="J4432">
        <v>36.031300000000002</v>
      </c>
      <c r="K4432">
        <v>22.5625</v>
      </c>
      <c r="L4432">
        <v>62</v>
      </c>
      <c r="M4432">
        <v>1</v>
      </c>
      <c r="N4432">
        <v>1</v>
      </c>
      <c r="O4432">
        <v>38.847999999999999</v>
      </c>
      <c r="P4432">
        <v>21.636500000000002</v>
      </c>
      <c r="Q4432">
        <v>8.5583600000000004</v>
      </c>
    </row>
    <row r="4433" spans="1:17" x14ac:dyDescent="0.25">
      <c r="A4433">
        <f>IF(C4433&amp;G4433&amp;D4433&lt;&gt;'Funnel setup'!$K$3&amp;'Funnel setup'!$K$4&amp;'Funnel setup'!$K$6,".",IF(A4432=".",1,A4432+1))</f>
        <v>250</v>
      </c>
      <c r="B4433" s="244" t="str">
        <f t="shared" si="69"/>
        <v>Total Hip ReplacementProviderWRIGHTINGTON, WIGAN AND LEIGH NHS FOUNDATION TRUST (RRF)Oxford Hip Score</v>
      </c>
      <c r="C4433" t="s">
        <v>974</v>
      </c>
      <c r="D4433" t="s">
        <v>965</v>
      </c>
      <c r="E4433" t="s">
        <v>724</v>
      </c>
      <c r="F4433" t="s">
        <v>725</v>
      </c>
      <c r="G4433" t="s">
        <v>964</v>
      </c>
      <c r="H4433">
        <v>19</v>
      </c>
      <c r="I4433">
        <v>14.526300000000001</v>
      </c>
      <c r="J4433">
        <v>42.052599999999998</v>
      </c>
      <c r="K4433">
        <v>27.526299999999999</v>
      </c>
      <c r="L4433">
        <v>19</v>
      </c>
      <c r="M4433">
        <v>0</v>
      </c>
      <c r="N4433">
        <v>0</v>
      </c>
      <c r="O4433" t="s">
        <v>127</v>
      </c>
      <c r="P4433" t="s">
        <v>127</v>
      </c>
      <c r="Q4433" t="s">
        <v>127</v>
      </c>
    </row>
    <row r="4434" spans="1:17" x14ac:dyDescent="0.25">
      <c r="A4434">
        <f>IF(C4434&amp;G4434&amp;D4434&lt;&gt;'Funnel setup'!$K$3&amp;'Funnel setup'!$K$4&amp;'Funnel setup'!$K$6,".",IF(A4433=".",1,A4433+1))</f>
        <v>251</v>
      </c>
      <c r="B4434" s="244" t="str">
        <f t="shared" si="69"/>
        <v>Total Hip ReplacementProviderWYE VALLEY NHS TRUST (RLQ)Oxford Hip Score</v>
      </c>
      <c r="C4434" t="s">
        <v>974</v>
      </c>
      <c r="D4434" t="s">
        <v>965</v>
      </c>
      <c r="E4434" t="s">
        <v>726</v>
      </c>
      <c r="F4434" t="s">
        <v>727</v>
      </c>
      <c r="G4434" t="s">
        <v>964</v>
      </c>
      <c r="H4434">
        <v>24</v>
      </c>
      <c r="I4434">
        <v>14.583299999999999</v>
      </c>
      <c r="J4434">
        <v>40</v>
      </c>
      <c r="K4434">
        <v>25.416699999999999</v>
      </c>
      <c r="L4434">
        <v>24</v>
      </c>
      <c r="M4434">
        <v>0</v>
      </c>
      <c r="N4434">
        <v>0</v>
      </c>
      <c r="O4434" t="s">
        <v>127</v>
      </c>
      <c r="P4434" t="s">
        <v>127</v>
      </c>
      <c r="Q4434" t="s">
        <v>127</v>
      </c>
    </row>
    <row r="4435" spans="1:17" x14ac:dyDescent="0.25">
      <c r="A4435">
        <f>IF(C4435&amp;G4435&amp;D4435&lt;&gt;'Funnel setup'!$K$3&amp;'Funnel setup'!$K$4&amp;'Funnel setup'!$K$6,".",IF(A4434=".",1,A4434+1))</f>
        <v>252</v>
      </c>
      <c r="B4435" s="244" t="str">
        <f t="shared" si="69"/>
        <v>Total Hip ReplacementProviderYORK AND SCARBOROUGH TEACHING HOSPITALS NHS FOUNDATION TRUST (RCB)Oxford Hip Score</v>
      </c>
      <c r="C4435" t="s">
        <v>974</v>
      </c>
      <c r="D4435" t="s">
        <v>965</v>
      </c>
      <c r="E4435" t="s">
        <v>730</v>
      </c>
      <c r="F4435" t="s">
        <v>731</v>
      </c>
      <c r="G4435" t="s">
        <v>964</v>
      </c>
      <c r="H4435">
        <v>1</v>
      </c>
      <c r="I4435">
        <v>10</v>
      </c>
      <c r="J4435">
        <v>37</v>
      </c>
      <c r="K4435">
        <v>27</v>
      </c>
      <c r="L4435">
        <v>1</v>
      </c>
      <c r="M4435">
        <v>0</v>
      </c>
      <c r="N4435">
        <v>0</v>
      </c>
      <c r="O4435" t="s">
        <v>127</v>
      </c>
      <c r="P4435" t="s">
        <v>127</v>
      </c>
      <c r="Q4435" t="s">
        <v>127</v>
      </c>
    </row>
    <row r="4436" spans="1:17" x14ac:dyDescent="0.25">
      <c r="A4436" t="str">
        <f>IF(C4436&amp;G4436&amp;D4436&lt;&gt;'Funnel setup'!$K$3&amp;'Funnel setup'!$K$4&amp;'Funnel setup'!$K$6,".",IF(A4435=".",1,A4435+1))</f>
        <v>.</v>
      </c>
      <c r="B4436" s="244" t="str">
        <f t="shared" si="69"/>
        <v>Total Knee ReplacementSub-ICB of GP PracticeNATIONAL COMMISSIONING HUB 1 (13Q)EQ VAS</v>
      </c>
      <c r="C4436" t="s">
        <v>975</v>
      </c>
      <c r="D4436" t="s">
        <v>1021</v>
      </c>
      <c r="E4436" t="s">
        <v>970</v>
      </c>
      <c r="F4436" t="s">
        <v>971</v>
      </c>
      <c r="G4436" t="s">
        <v>752</v>
      </c>
      <c r="H4436" t="s">
        <v>968</v>
      </c>
      <c r="I4436" t="s">
        <v>968</v>
      </c>
      <c r="J4436" t="s">
        <v>968</v>
      </c>
      <c r="K4436" t="s">
        <v>968</v>
      </c>
      <c r="L4436" t="s">
        <v>968</v>
      </c>
      <c r="M4436" t="s">
        <v>968</v>
      </c>
      <c r="N4436" t="s">
        <v>968</v>
      </c>
      <c r="O4436" t="s">
        <v>968</v>
      </c>
      <c r="P4436" t="s">
        <v>968</v>
      </c>
      <c r="Q4436" t="s">
        <v>968</v>
      </c>
    </row>
    <row r="4437" spans="1:17" x14ac:dyDescent="0.25">
      <c r="A4437" t="str">
        <f>IF(C4437&amp;G4437&amp;D4437&lt;&gt;'Funnel setup'!$K$3&amp;'Funnel setup'!$K$4&amp;'Funnel setup'!$K$6,".",IF(A4436=".",1,A4436+1))</f>
        <v>.</v>
      </c>
      <c r="B4437" s="244" t="str">
        <f t="shared" si="69"/>
        <v>Total Knee ReplacementSub-ICB of GP PracticeNHS BATH AND NORTH EAST SOMERSET, SWINDON AND WILTSHIRE ICB - 92G (92G)EQ VAS</v>
      </c>
      <c r="C4437" t="s">
        <v>975</v>
      </c>
      <c r="D4437" t="s">
        <v>1021</v>
      </c>
      <c r="E4437" t="s">
        <v>750</v>
      </c>
      <c r="F4437" t="s">
        <v>751</v>
      </c>
      <c r="G4437" t="s">
        <v>752</v>
      </c>
      <c r="H4437">
        <v>253</v>
      </c>
      <c r="I4437">
        <v>67.924899999999994</v>
      </c>
      <c r="J4437">
        <v>76.150199999999998</v>
      </c>
      <c r="K4437">
        <v>8.2253000000000007</v>
      </c>
      <c r="L4437">
        <v>158</v>
      </c>
      <c r="M4437">
        <v>33</v>
      </c>
      <c r="N4437">
        <v>62</v>
      </c>
      <c r="O4437">
        <v>73.333399999999997</v>
      </c>
      <c r="P4437">
        <v>8.0276399999999999</v>
      </c>
      <c r="Q4437">
        <v>16.614999999999998</v>
      </c>
    </row>
    <row r="4438" spans="1:17" x14ac:dyDescent="0.25">
      <c r="A4438" t="str">
        <f>IF(C4438&amp;G4438&amp;D4438&lt;&gt;'Funnel setup'!$K$3&amp;'Funnel setup'!$K$4&amp;'Funnel setup'!$K$6,".",IF(A4437=".",1,A4437+1))</f>
        <v>.</v>
      </c>
      <c r="B4438" s="244" t="str">
        <f t="shared" si="69"/>
        <v>Total Knee ReplacementSub-ICB of GP PracticeNHS BEDFORDSHIRE, LUTON AND MILTON KEYNES ICB - M1J4Y (M1J4Y)EQ VAS</v>
      </c>
      <c r="C4438" t="s">
        <v>975</v>
      </c>
      <c r="D4438" t="s">
        <v>1021</v>
      </c>
      <c r="E4438" t="s">
        <v>753</v>
      </c>
      <c r="F4438" t="s">
        <v>754</v>
      </c>
      <c r="G4438" t="s">
        <v>752</v>
      </c>
      <c r="H4438">
        <v>221</v>
      </c>
      <c r="I4438">
        <v>62.877800000000001</v>
      </c>
      <c r="J4438">
        <v>69.113100000000003</v>
      </c>
      <c r="K4438">
        <v>6.23529</v>
      </c>
      <c r="L4438">
        <v>127</v>
      </c>
      <c r="M4438">
        <v>24</v>
      </c>
      <c r="N4438">
        <v>70</v>
      </c>
      <c r="O4438">
        <v>70.244</v>
      </c>
      <c r="P4438">
        <v>4.93832</v>
      </c>
      <c r="Q4438">
        <v>18.693000000000001</v>
      </c>
    </row>
    <row r="4439" spans="1:17" x14ac:dyDescent="0.25">
      <c r="A4439" t="str">
        <f>IF(C4439&amp;G4439&amp;D4439&lt;&gt;'Funnel setup'!$K$3&amp;'Funnel setup'!$K$4&amp;'Funnel setup'!$K$6,".",IF(A4438=".",1,A4438+1))</f>
        <v>.</v>
      </c>
      <c r="B4439" s="244" t="str">
        <f t="shared" si="69"/>
        <v>Total Knee ReplacementSub-ICB of GP PracticeNHS BIRMINGHAM AND SOLIHULL ICB - 15E (15E)EQ VAS</v>
      </c>
      <c r="C4439" t="s">
        <v>975</v>
      </c>
      <c r="D4439" t="s">
        <v>1021</v>
      </c>
      <c r="E4439" t="s">
        <v>755</v>
      </c>
      <c r="F4439" t="s">
        <v>756</v>
      </c>
      <c r="G4439" t="s">
        <v>752</v>
      </c>
      <c r="H4439">
        <v>315</v>
      </c>
      <c r="I4439">
        <v>64.511099999999999</v>
      </c>
      <c r="J4439">
        <v>71.339699999999993</v>
      </c>
      <c r="K4439">
        <v>6.82857</v>
      </c>
      <c r="L4439">
        <v>180</v>
      </c>
      <c r="M4439">
        <v>29</v>
      </c>
      <c r="N4439">
        <v>106</v>
      </c>
      <c r="O4439">
        <v>72.771900000000002</v>
      </c>
      <c r="P4439">
        <v>7.46617</v>
      </c>
      <c r="Q4439">
        <v>17.162400000000002</v>
      </c>
    </row>
    <row r="4440" spans="1:17" x14ac:dyDescent="0.25">
      <c r="A4440" t="str">
        <f>IF(C4440&amp;G4440&amp;D4440&lt;&gt;'Funnel setup'!$K$3&amp;'Funnel setup'!$K$4&amp;'Funnel setup'!$K$6,".",IF(A4439=".",1,A4439+1))</f>
        <v>.</v>
      </c>
      <c r="B4440" s="244" t="str">
        <f t="shared" si="69"/>
        <v>Total Knee ReplacementSub-ICB of GP PracticeNHS BLACK COUNTRY ICB - D2P2L (D2P2L)EQ VAS</v>
      </c>
      <c r="C4440" t="s">
        <v>975</v>
      </c>
      <c r="D4440" t="s">
        <v>1021</v>
      </c>
      <c r="E4440" t="s">
        <v>757</v>
      </c>
      <c r="F4440" t="s">
        <v>758</v>
      </c>
      <c r="G4440" t="s">
        <v>752</v>
      </c>
      <c r="H4440">
        <v>197</v>
      </c>
      <c r="I4440">
        <v>63.634500000000003</v>
      </c>
      <c r="J4440">
        <v>72.329899999999995</v>
      </c>
      <c r="K4440">
        <v>8.69543</v>
      </c>
      <c r="L4440">
        <v>120</v>
      </c>
      <c r="M4440">
        <v>19</v>
      </c>
      <c r="N4440">
        <v>58</v>
      </c>
      <c r="O4440">
        <v>75.176500000000004</v>
      </c>
      <c r="P4440">
        <v>9.8707499999999992</v>
      </c>
      <c r="Q4440">
        <v>17.601299999999998</v>
      </c>
    </row>
    <row r="4441" spans="1:17" x14ac:dyDescent="0.25">
      <c r="A4441" t="str">
        <f>IF(C4441&amp;G4441&amp;D4441&lt;&gt;'Funnel setup'!$K$3&amp;'Funnel setup'!$K$4&amp;'Funnel setup'!$K$6,".",IF(A4440=".",1,A4440+1))</f>
        <v>.</v>
      </c>
      <c r="B4441" s="244" t="str">
        <f t="shared" si="69"/>
        <v>Total Knee ReplacementSub-ICB of GP PracticeNHS BRISTOL, NORTH SOMERSET AND SOUTH GLOUCESTERSHIRE ICB - 15C (15C)EQ VAS</v>
      </c>
      <c r="C4441" t="s">
        <v>975</v>
      </c>
      <c r="D4441" t="s">
        <v>1021</v>
      </c>
      <c r="E4441" t="s">
        <v>759</v>
      </c>
      <c r="F4441" t="s">
        <v>760</v>
      </c>
      <c r="G4441" t="s">
        <v>752</v>
      </c>
      <c r="H4441">
        <v>211</v>
      </c>
      <c r="I4441">
        <v>65.061599999999999</v>
      </c>
      <c r="J4441">
        <v>74.919399999999996</v>
      </c>
      <c r="K4441">
        <v>9.8578200000000002</v>
      </c>
      <c r="L4441">
        <v>132</v>
      </c>
      <c r="M4441">
        <v>22</v>
      </c>
      <c r="N4441">
        <v>57</v>
      </c>
      <c r="O4441">
        <v>74.586500000000001</v>
      </c>
      <c r="P4441">
        <v>9.2807399999999998</v>
      </c>
      <c r="Q4441">
        <v>15.6974</v>
      </c>
    </row>
    <row r="4442" spans="1:17" x14ac:dyDescent="0.25">
      <c r="A4442" t="str">
        <f>IF(C4442&amp;G4442&amp;D4442&lt;&gt;'Funnel setup'!$K$3&amp;'Funnel setup'!$K$4&amp;'Funnel setup'!$K$6,".",IF(A4441=".",1,A4441+1))</f>
        <v>.</v>
      </c>
      <c r="B4442" s="244" t="str">
        <f t="shared" si="69"/>
        <v>Total Knee ReplacementSub-ICB of GP PracticeNHS BUCKINGHAMSHIRE, OXFORDSHIRE AND BERKSHIRE WEST ICB - 10Q (10Q)EQ VAS</v>
      </c>
      <c r="C4442" t="s">
        <v>975</v>
      </c>
      <c r="D4442" t="s">
        <v>1021</v>
      </c>
      <c r="E4442" t="s">
        <v>761</v>
      </c>
      <c r="F4442" t="s">
        <v>762</v>
      </c>
      <c r="G4442" t="s">
        <v>752</v>
      </c>
      <c r="H4442">
        <v>290</v>
      </c>
      <c r="I4442">
        <v>65.841399999999993</v>
      </c>
      <c r="J4442">
        <v>76.1828</v>
      </c>
      <c r="K4442">
        <v>10.3414</v>
      </c>
      <c r="L4442">
        <v>176</v>
      </c>
      <c r="M4442">
        <v>41</v>
      </c>
      <c r="N4442">
        <v>73</v>
      </c>
      <c r="O4442">
        <v>75.006500000000003</v>
      </c>
      <c r="P4442">
        <v>9.7007399999999997</v>
      </c>
      <c r="Q4442">
        <v>16.108499999999999</v>
      </c>
    </row>
    <row r="4443" spans="1:17" x14ac:dyDescent="0.25">
      <c r="A4443" t="str">
        <f>IF(C4443&amp;G4443&amp;D4443&lt;&gt;'Funnel setup'!$K$3&amp;'Funnel setup'!$K$4&amp;'Funnel setup'!$K$6,".",IF(A4442=".",1,A4442+1))</f>
        <v>.</v>
      </c>
      <c r="B4443" s="244" t="str">
        <f t="shared" si="69"/>
        <v>Total Knee ReplacementSub-ICB of GP PracticeNHS BUCKINGHAMSHIRE, OXFORDSHIRE AND BERKSHIRE WEST ICB - 14Y (14Y)EQ VAS</v>
      </c>
      <c r="C4443" t="s">
        <v>975</v>
      </c>
      <c r="D4443" t="s">
        <v>1021</v>
      </c>
      <c r="E4443" t="s">
        <v>763</v>
      </c>
      <c r="F4443" t="s">
        <v>764</v>
      </c>
      <c r="G4443" t="s">
        <v>752</v>
      </c>
      <c r="H4443">
        <v>201</v>
      </c>
      <c r="I4443">
        <v>69.144300000000001</v>
      </c>
      <c r="J4443">
        <v>77.467699999999994</v>
      </c>
      <c r="K4443">
        <v>8.3233800000000002</v>
      </c>
      <c r="L4443">
        <v>122</v>
      </c>
      <c r="M4443">
        <v>24</v>
      </c>
      <c r="N4443">
        <v>55</v>
      </c>
      <c r="O4443">
        <v>74.463300000000004</v>
      </c>
      <c r="P4443">
        <v>9.15761</v>
      </c>
      <c r="Q4443">
        <v>16.473099999999999</v>
      </c>
    </row>
    <row r="4444" spans="1:17" x14ac:dyDescent="0.25">
      <c r="A4444" t="str">
        <f>IF(C4444&amp;G4444&amp;D4444&lt;&gt;'Funnel setup'!$K$3&amp;'Funnel setup'!$K$4&amp;'Funnel setup'!$K$6,".",IF(A4443=".",1,A4443+1))</f>
        <v>.</v>
      </c>
      <c r="B4444" s="244" t="str">
        <f t="shared" si="69"/>
        <v>Total Knee ReplacementSub-ICB of GP PracticeNHS BUCKINGHAMSHIRE, OXFORDSHIRE AND BERKSHIRE WEST ICB - 15A (15A)EQ VAS</v>
      </c>
      <c r="C4444" t="s">
        <v>975</v>
      </c>
      <c r="D4444" t="s">
        <v>1021</v>
      </c>
      <c r="E4444" t="s">
        <v>765</v>
      </c>
      <c r="F4444" t="s">
        <v>766</v>
      </c>
      <c r="G4444" t="s">
        <v>752</v>
      </c>
      <c r="H4444">
        <v>71</v>
      </c>
      <c r="I4444">
        <v>53.718299999999999</v>
      </c>
      <c r="J4444">
        <v>76.845100000000002</v>
      </c>
      <c r="K4444">
        <v>23.126799999999999</v>
      </c>
      <c r="L4444">
        <v>58</v>
      </c>
      <c r="M4444">
        <v>4</v>
      </c>
      <c r="N4444">
        <v>9</v>
      </c>
      <c r="O4444">
        <v>77.708500000000001</v>
      </c>
      <c r="P4444">
        <v>12.402799999999999</v>
      </c>
      <c r="Q4444">
        <v>15.261100000000001</v>
      </c>
    </row>
    <row r="4445" spans="1:17" x14ac:dyDescent="0.25">
      <c r="A4445" t="str">
        <f>IF(C4445&amp;G4445&amp;D4445&lt;&gt;'Funnel setup'!$K$3&amp;'Funnel setup'!$K$4&amp;'Funnel setup'!$K$6,".",IF(A4444=".",1,A4444+1))</f>
        <v>.</v>
      </c>
      <c r="B4445" s="244" t="str">
        <f t="shared" si="69"/>
        <v>Total Knee ReplacementSub-ICB of GP PracticeNHS CAMBRIDGESHIRE AND PETERBOROUGH ICB - 06H (06H)EQ VAS</v>
      </c>
      <c r="C4445" t="s">
        <v>975</v>
      </c>
      <c r="D4445" t="s">
        <v>1021</v>
      </c>
      <c r="E4445" t="s">
        <v>767</v>
      </c>
      <c r="F4445" t="s">
        <v>768</v>
      </c>
      <c r="G4445" t="s">
        <v>752</v>
      </c>
      <c r="H4445">
        <v>197</v>
      </c>
      <c r="I4445">
        <v>65.6447</v>
      </c>
      <c r="J4445">
        <v>72.157399999999996</v>
      </c>
      <c r="K4445">
        <v>6.5126900000000001</v>
      </c>
      <c r="L4445">
        <v>114</v>
      </c>
      <c r="M4445">
        <v>17</v>
      </c>
      <c r="N4445">
        <v>66</v>
      </c>
      <c r="O4445">
        <v>72.116</v>
      </c>
      <c r="P4445">
        <v>6.8102900000000002</v>
      </c>
      <c r="Q4445">
        <v>16.945399999999999</v>
      </c>
    </row>
    <row r="4446" spans="1:17" x14ac:dyDescent="0.25">
      <c r="A4446" t="str">
        <f>IF(C4446&amp;G4446&amp;D4446&lt;&gt;'Funnel setup'!$K$3&amp;'Funnel setup'!$K$4&amp;'Funnel setup'!$K$6,".",IF(A4445=".",1,A4445+1))</f>
        <v>.</v>
      </c>
      <c r="B4446" s="244" t="str">
        <f t="shared" si="69"/>
        <v>Total Knee ReplacementSub-ICB of GP PracticeNHS CHESHIRE AND MERSEYSIDE ICB - 01F (01F)EQ VAS</v>
      </c>
      <c r="C4446" t="s">
        <v>975</v>
      </c>
      <c r="D4446" t="s">
        <v>1021</v>
      </c>
      <c r="E4446" t="s">
        <v>769</v>
      </c>
      <c r="F4446" t="s">
        <v>770</v>
      </c>
      <c r="G4446" t="s">
        <v>752</v>
      </c>
      <c r="H4446">
        <v>25</v>
      </c>
      <c r="I4446">
        <v>66.680000000000007</v>
      </c>
      <c r="J4446">
        <v>70.92</v>
      </c>
      <c r="K4446">
        <v>4.24</v>
      </c>
      <c r="L4446">
        <v>12</v>
      </c>
      <c r="M4446">
        <v>4</v>
      </c>
      <c r="N4446">
        <v>9</v>
      </c>
      <c r="O4446" t="s">
        <v>127</v>
      </c>
      <c r="P4446" t="s">
        <v>127</v>
      </c>
      <c r="Q4446" t="s">
        <v>127</v>
      </c>
    </row>
    <row r="4447" spans="1:17" x14ac:dyDescent="0.25">
      <c r="A4447" t="str">
        <f>IF(C4447&amp;G4447&amp;D4447&lt;&gt;'Funnel setup'!$K$3&amp;'Funnel setup'!$K$4&amp;'Funnel setup'!$K$6,".",IF(A4446=".",1,A4446+1))</f>
        <v>.</v>
      </c>
      <c r="B4447" s="244" t="str">
        <f t="shared" si="69"/>
        <v>Total Knee ReplacementSub-ICB of GP PracticeNHS CHESHIRE AND MERSEYSIDE ICB - 01J (01J)EQ VAS</v>
      </c>
      <c r="C4447" t="s">
        <v>975</v>
      </c>
      <c r="D4447" t="s">
        <v>1021</v>
      </c>
      <c r="E4447" t="s">
        <v>771</v>
      </c>
      <c r="F4447" t="s">
        <v>772</v>
      </c>
      <c r="G4447" t="s">
        <v>752</v>
      </c>
      <c r="H4447">
        <v>28</v>
      </c>
      <c r="I4447">
        <v>67.214299999999994</v>
      </c>
      <c r="J4447">
        <v>63.785699999999999</v>
      </c>
      <c r="K4447">
        <v>-3.4285700000000001</v>
      </c>
      <c r="L4447">
        <v>12</v>
      </c>
      <c r="M4447">
        <v>4</v>
      </c>
      <c r="N4447">
        <v>12</v>
      </c>
      <c r="O4447" t="s">
        <v>127</v>
      </c>
      <c r="P4447" t="s">
        <v>127</v>
      </c>
      <c r="Q4447" t="s">
        <v>127</v>
      </c>
    </row>
    <row r="4448" spans="1:17" x14ac:dyDescent="0.25">
      <c r="A4448" t="str">
        <f>IF(C4448&amp;G4448&amp;D4448&lt;&gt;'Funnel setup'!$K$3&amp;'Funnel setup'!$K$4&amp;'Funnel setup'!$K$6,".",IF(A4447=".",1,A4447+1))</f>
        <v>.</v>
      </c>
      <c r="B4448" s="244" t="str">
        <f t="shared" si="69"/>
        <v>Total Knee ReplacementSub-ICB of GP PracticeNHS CHESHIRE AND MERSEYSIDE ICB - 01T (01T)EQ VAS</v>
      </c>
      <c r="C4448" t="s">
        <v>975</v>
      </c>
      <c r="D4448" t="s">
        <v>1021</v>
      </c>
      <c r="E4448" t="s">
        <v>773</v>
      </c>
      <c r="F4448" t="s">
        <v>774</v>
      </c>
      <c r="G4448" t="s">
        <v>752</v>
      </c>
      <c r="H4448">
        <v>46</v>
      </c>
      <c r="I4448">
        <v>70.434799999999996</v>
      </c>
      <c r="J4448">
        <v>77.739099999999993</v>
      </c>
      <c r="K4448">
        <v>7.3043500000000003</v>
      </c>
      <c r="L4448">
        <v>27</v>
      </c>
      <c r="M4448">
        <v>6</v>
      </c>
      <c r="N4448">
        <v>13</v>
      </c>
      <c r="O4448">
        <v>75.341700000000003</v>
      </c>
      <c r="P4448">
        <v>10.036</v>
      </c>
      <c r="Q4448">
        <v>14.2096</v>
      </c>
    </row>
    <row r="4449" spans="1:17" x14ac:dyDescent="0.25">
      <c r="A4449" t="str">
        <f>IF(C4449&amp;G4449&amp;D4449&lt;&gt;'Funnel setup'!$K$3&amp;'Funnel setup'!$K$4&amp;'Funnel setup'!$K$6,".",IF(A4448=".",1,A4448+1))</f>
        <v>.</v>
      </c>
      <c r="B4449" s="244" t="str">
        <f t="shared" si="69"/>
        <v>Total Knee ReplacementSub-ICB of GP PracticeNHS CHESHIRE AND MERSEYSIDE ICB - 01V (01V)EQ VAS</v>
      </c>
      <c r="C4449" t="s">
        <v>975</v>
      </c>
      <c r="D4449" t="s">
        <v>1021</v>
      </c>
      <c r="E4449" t="s">
        <v>775</v>
      </c>
      <c r="F4449" t="s">
        <v>776</v>
      </c>
      <c r="G4449" t="s">
        <v>752</v>
      </c>
      <c r="H4449">
        <v>25</v>
      </c>
      <c r="I4449">
        <v>61.92</v>
      </c>
      <c r="J4449">
        <v>70.239999999999995</v>
      </c>
      <c r="K4449">
        <v>8.32</v>
      </c>
      <c r="L4449">
        <v>17</v>
      </c>
      <c r="M4449">
        <v>2</v>
      </c>
      <c r="N4449">
        <v>6</v>
      </c>
      <c r="O4449" t="s">
        <v>127</v>
      </c>
      <c r="P4449" t="s">
        <v>127</v>
      </c>
      <c r="Q4449" t="s">
        <v>127</v>
      </c>
    </row>
    <row r="4450" spans="1:17" x14ac:dyDescent="0.25">
      <c r="A4450" t="str">
        <f>IF(C4450&amp;G4450&amp;D4450&lt;&gt;'Funnel setup'!$K$3&amp;'Funnel setup'!$K$4&amp;'Funnel setup'!$K$6,".",IF(A4449=".",1,A4449+1))</f>
        <v>.</v>
      </c>
      <c r="B4450" s="244" t="str">
        <f t="shared" si="69"/>
        <v>Total Knee ReplacementSub-ICB of GP PracticeNHS CHESHIRE AND MERSEYSIDE ICB - 01X (01X)EQ VAS</v>
      </c>
      <c r="C4450" t="s">
        <v>975</v>
      </c>
      <c r="D4450" t="s">
        <v>1021</v>
      </c>
      <c r="E4450" t="s">
        <v>777</v>
      </c>
      <c r="F4450" t="s">
        <v>778</v>
      </c>
      <c r="G4450" t="s">
        <v>752</v>
      </c>
      <c r="H4450">
        <v>61</v>
      </c>
      <c r="I4450">
        <v>67.475399999999993</v>
      </c>
      <c r="J4450">
        <v>71.426199999999994</v>
      </c>
      <c r="K4450">
        <v>3.9508200000000002</v>
      </c>
      <c r="L4450">
        <v>33</v>
      </c>
      <c r="M4450">
        <v>5</v>
      </c>
      <c r="N4450">
        <v>23</v>
      </c>
      <c r="O4450">
        <v>70.618700000000004</v>
      </c>
      <c r="P4450">
        <v>5.3129299999999997</v>
      </c>
      <c r="Q4450">
        <v>20.0946</v>
      </c>
    </row>
    <row r="4451" spans="1:17" x14ac:dyDescent="0.25">
      <c r="A4451" t="str">
        <f>IF(C4451&amp;G4451&amp;D4451&lt;&gt;'Funnel setup'!$K$3&amp;'Funnel setup'!$K$4&amp;'Funnel setup'!$K$6,".",IF(A4450=".",1,A4450+1))</f>
        <v>.</v>
      </c>
      <c r="B4451" s="244" t="str">
        <f t="shared" si="69"/>
        <v>Total Knee ReplacementSub-ICB of GP PracticeNHS CHESHIRE AND MERSEYSIDE ICB - 02E (02E)EQ VAS</v>
      </c>
      <c r="C4451" t="s">
        <v>975</v>
      </c>
      <c r="D4451" t="s">
        <v>1021</v>
      </c>
      <c r="E4451" t="s">
        <v>779</v>
      </c>
      <c r="F4451" t="s">
        <v>780</v>
      </c>
      <c r="G4451" t="s">
        <v>752</v>
      </c>
      <c r="H4451">
        <v>41</v>
      </c>
      <c r="I4451">
        <v>74.463399999999993</v>
      </c>
      <c r="J4451">
        <v>79.463399999999993</v>
      </c>
      <c r="K4451">
        <v>5</v>
      </c>
      <c r="L4451">
        <v>21</v>
      </c>
      <c r="M4451">
        <v>7</v>
      </c>
      <c r="N4451">
        <v>13</v>
      </c>
      <c r="O4451">
        <v>75.042900000000003</v>
      </c>
      <c r="P4451">
        <v>9.7371400000000001</v>
      </c>
      <c r="Q4451">
        <v>13.7288</v>
      </c>
    </row>
    <row r="4452" spans="1:17" x14ac:dyDescent="0.25">
      <c r="A4452" t="str">
        <f>IF(C4452&amp;G4452&amp;D4452&lt;&gt;'Funnel setup'!$K$3&amp;'Funnel setup'!$K$4&amp;'Funnel setup'!$K$6,".",IF(A4451=".",1,A4451+1))</f>
        <v>.</v>
      </c>
      <c r="B4452" s="244" t="str">
        <f t="shared" si="69"/>
        <v>Total Knee ReplacementSub-ICB of GP PracticeNHS CHESHIRE AND MERSEYSIDE ICB - 12F (12F)EQ VAS</v>
      </c>
      <c r="C4452" t="s">
        <v>975</v>
      </c>
      <c r="D4452" t="s">
        <v>1021</v>
      </c>
      <c r="E4452" t="s">
        <v>781</v>
      </c>
      <c r="F4452" t="s">
        <v>782</v>
      </c>
      <c r="G4452" t="s">
        <v>752</v>
      </c>
      <c r="H4452">
        <v>75</v>
      </c>
      <c r="I4452">
        <v>69.333299999999994</v>
      </c>
      <c r="J4452">
        <v>73.186700000000002</v>
      </c>
      <c r="K4452">
        <v>3.8533300000000001</v>
      </c>
      <c r="L4452">
        <v>39</v>
      </c>
      <c r="M4452">
        <v>6</v>
      </c>
      <c r="N4452">
        <v>30</v>
      </c>
      <c r="O4452">
        <v>71.324100000000001</v>
      </c>
      <c r="P4452">
        <v>6.01837</v>
      </c>
      <c r="Q4452">
        <v>19.7395</v>
      </c>
    </row>
    <row r="4453" spans="1:17" x14ac:dyDescent="0.25">
      <c r="A4453" t="str">
        <f>IF(C4453&amp;G4453&amp;D4453&lt;&gt;'Funnel setup'!$K$3&amp;'Funnel setup'!$K$4&amp;'Funnel setup'!$K$6,".",IF(A4452=".",1,A4452+1))</f>
        <v>.</v>
      </c>
      <c r="B4453" s="244" t="str">
        <f t="shared" si="69"/>
        <v>Total Knee ReplacementSub-ICB of GP PracticeNHS CHESHIRE AND MERSEYSIDE ICB - 27D (27D)EQ VAS</v>
      </c>
      <c r="C4453" t="s">
        <v>975</v>
      </c>
      <c r="D4453" t="s">
        <v>1021</v>
      </c>
      <c r="E4453" t="s">
        <v>783</v>
      </c>
      <c r="F4453" t="s">
        <v>784</v>
      </c>
      <c r="G4453" t="s">
        <v>752</v>
      </c>
      <c r="H4453">
        <v>239</v>
      </c>
      <c r="I4453">
        <v>66.953999999999994</v>
      </c>
      <c r="J4453">
        <v>75.0167</v>
      </c>
      <c r="K4453">
        <v>8.0627600000000008</v>
      </c>
      <c r="L4453">
        <v>154</v>
      </c>
      <c r="M4453">
        <v>21</v>
      </c>
      <c r="N4453">
        <v>64</v>
      </c>
      <c r="O4453">
        <v>74.332700000000003</v>
      </c>
      <c r="P4453">
        <v>9.0269600000000008</v>
      </c>
      <c r="Q4453">
        <v>15.559100000000001</v>
      </c>
    </row>
    <row r="4454" spans="1:17" x14ac:dyDescent="0.25">
      <c r="A4454" t="str">
        <f>IF(C4454&amp;G4454&amp;D4454&lt;&gt;'Funnel setup'!$K$3&amp;'Funnel setup'!$K$4&amp;'Funnel setup'!$K$6,".",IF(A4453=".",1,A4453+1))</f>
        <v>.</v>
      </c>
      <c r="B4454" s="244" t="str">
        <f t="shared" si="69"/>
        <v>Total Knee ReplacementSub-ICB of GP PracticeNHS CHESHIRE AND MERSEYSIDE ICB - 99A (99A)EQ VAS</v>
      </c>
      <c r="C4454" t="s">
        <v>975</v>
      </c>
      <c r="D4454" t="s">
        <v>1021</v>
      </c>
      <c r="E4454" t="s">
        <v>785</v>
      </c>
      <c r="F4454" t="s">
        <v>786</v>
      </c>
      <c r="G4454" t="s">
        <v>752</v>
      </c>
      <c r="H4454">
        <v>47</v>
      </c>
      <c r="I4454">
        <v>65.021299999999997</v>
      </c>
      <c r="J4454">
        <v>71.872299999999996</v>
      </c>
      <c r="K4454">
        <v>6.8510600000000004</v>
      </c>
      <c r="L4454">
        <v>23</v>
      </c>
      <c r="M4454">
        <v>6</v>
      </c>
      <c r="N4454">
        <v>18</v>
      </c>
      <c r="O4454">
        <v>74.389600000000002</v>
      </c>
      <c r="P4454">
        <v>9.0838800000000006</v>
      </c>
      <c r="Q4454">
        <v>17.320799999999998</v>
      </c>
    </row>
    <row r="4455" spans="1:17" x14ac:dyDescent="0.25">
      <c r="A4455" t="str">
        <f>IF(C4455&amp;G4455&amp;D4455&lt;&gt;'Funnel setup'!$K$3&amp;'Funnel setup'!$K$4&amp;'Funnel setup'!$K$6,".",IF(A4454=".",1,A4454+1))</f>
        <v>.</v>
      </c>
      <c r="B4455" s="244" t="str">
        <f t="shared" si="69"/>
        <v>Total Knee ReplacementSub-ICB of GP PracticeNHS CORNWALL AND THE ISLES OF SCILLY ICB - 11N (11N)EQ VAS</v>
      </c>
      <c r="C4455" t="s">
        <v>975</v>
      </c>
      <c r="D4455" t="s">
        <v>1021</v>
      </c>
      <c r="E4455" t="s">
        <v>787</v>
      </c>
      <c r="F4455" t="s">
        <v>788</v>
      </c>
      <c r="G4455" t="s">
        <v>752</v>
      </c>
      <c r="H4455">
        <v>147</v>
      </c>
      <c r="I4455">
        <v>66.163300000000007</v>
      </c>
      <c r="J4455">
        <v>74.8095</v>
      </c>
      <c r="K4455">
        <v>8.6462599999999998</v>
      </c>
      <c r="L4455">
        <v>86</v>
      </c>
      <c r="M4455">
        <v>18</v>
      </c>
      <c r="N4455">
        <v>43</v>
      </c>
      <c r="O4455">
        <v>74.324200000000005</v>
      </c>
      <c r="P4455">
        <v>9.0185300000000002</v>
      </c>
      <c r="Q4455">
        <v>16.4544</v>
      </c>
    </row>
    <row r="4456" spans="1:17" x14ac:dyDescent="0.25">
      <c r="A4456" t="str">
        <f>IF(C4456&amp;G4456&amp;D4456&lt;&gt;'Funnel setup'!$K$3&amp;'Funnel setup'!$K$4&amp;'Funnel setup'!$K$6,".",IF(A4455=".",1,A4455+1))</f>
        <v>.</v>
      </c>
      <c r="B4456" s="244" t="str">
        <f t="shared" si="69"/>
        <v>Total Knee ReplacementSub-ICB of GP PracticeNHS COVENTRY AND WARWICKSHIRE ICB - B2M3M (B2M3M)EQ VAS</v>
      </c>
      <c r="C4456" t="s">
        <v>975</v>
      </c>
      <c r="D4456" t="s">
        <v>1021</v>
      </c>
      <c r="E4456" t="s">
        <v>789</v>
      </c>
      <c r="F4456" t="s">
        <v>790</v>
      </c>
      <c r="G4456" t="s">
        <v>752</v>
      </c>
      <c r="H4456">
        <v>210</v>
      </c>
      <c r="I4456">
        <v>68.238100000000003</v>
      </c>
      <c r="J4456">
        <v>76.6952</v>
      </c>
      <c r="K4456">
        <v>8.4571400000000008</v>
      </c>
      <c r="L4456">
        <v>133</v>
      </c>
      <c r="M4456">
        <v>32</v>
      </c>
      <c r="N4456">
        <v>45</v>
      </c>
      <c r="O4456">
        <v>74.874099999999999</v>
      </c>
      <c r="P4456">
        <v>9.5684000000000005</v>
      </c>
      <c r="Q4456">
        <v>16.102699999999999</v>
      </c>
    </row>
    <row r="4457" spans="1:17" x14ac:dyDescent="0.25">
      <c r="A4457" t="str">
        <f>IF(C4457&amp;G4457&amp;D4457&lt;&gt;'Funnel setup'!$K$3&amp;'Funnel setup'!$K$4&amp;'Funnel setup'!$K$6,".",IF(A4456=".",1,A4456+1))</f>
        <v>.</v>
      </c>
      <c r="B4457" s="244" t="str">
        <f t="shared" si="69"/>
        <v>Total Knee ReplacementSub-ICB of GP PracticeNHS DERBY AND DERBYSHIRE ICB - 15M (15M)EQ VAS</v>
      </c>
      <c r="C4457" t="s">
        <v>975</v>
      </c>
      <c r="D4457" t="s">
        <v>1021</v>
      </c>
      <c r="E4457" t="s">
        <v>791</v>
      </c>
      <c r="F4457" t="s">
        <v>792</v>
      </c>
      <c r="G4457" t="s">
        <v>752</v>
      </c>
      <c r="H4457">
        <v>480</v>
      </c>
      <c r="I4457">
        <v>62.616700000000002</v>
      </c>
      <c r="J4457">
        <v>72.179199999999994</v>
      </c>
      <c r="K4457">
        <v>9.5625</v>
      </c>
      <c r="L4457">
        <v>300</v>
      </c>
      <c r="M4457">
        <v>58</v>
      </c>
      <c r="N4457">
        <v>122</v>
      </c>
      <c r="O4457">
        <v>73.513999999999996</v>
      </c>
      <c r="P4457">
        <v>8.2083300000000001</v>
      </c>
      <c r="Q4457">
        <v>17.522099999999998</v>
      </c>
    </row>
    <row r="4458" spans="1:17" x14ac:dyDescent="0.25">
      <c r="A4458" t="str">
        <f>IF(C4458&amp;G4458&amp;D4458&lt;&gt;'Funnel setup'!$K$3&amp;'Funnel setup'!$K$4&amp;'Funnel setup'!$K$6,".",IF(A4457=".",1,A4457+1))</f>
        <v>.</v>
      </c>
      <c r="B4458" s="244" t="str">
        <f t="shared" si="69"/>
        <v>Total Knee ReplacementSub-ICB of GP PracticeNHS DEVON ICB - 15N (15N)EQ VAS</v>
      </c>
      <c r="C4458" t="s">
        <v>975</v>
      </c>
      <c r="D4458" t="s">
        <v>1021</v>
      </c>
      <c r="E4458" t="s">
        <v>793</v>
      </c>
      <c r="F4458" t="s">
        <v>794</v>
      </c>
      <c r="G4458" t="s">
        <v>752</v>
      </c>
      <c r="H4458">
        <v>368</v>
      </c>
      <c r="I4458">
        <v>66.334199999999996</v>
      </c>
      <c r="J4458">
        <v>74.923900000000003</v>
      </c>
      <c r="K4458">
        <v>8.5896699999999999</v>
      </c>
      <c r="L4458">
        <v>230</v>
      </c>
      <c r="M4458">
        <v>41</v>
      </c>
      <c r="N4458">
        <v>97</v>
      </c>
      <c r="O4458">
        <v>74.439499999999995</v>
      </c>
      <c r="P4458">
        <v>9.1337600000000005</v>
      </c>
      <c r="Q4458">
        <v>15.9099</v>
      </c>
    </row>
    <row r="4459" spans="1:17" x14ac:dyDescent="0.25">
      <c r="A4459" t="str">
        <f>IF(C4459&amp;G4459&amp;D4459&lt;&gt;'Funnel setup'!$K$3&amp;'Funnel setup'!$K$4&amp;'Funnel setup'!$K$6,".",IF(A4458=".",1,A4458+1))</f>
        <v>.</v>
      </c>
      <c r="B4459" s="244" t="str">
        <f t="shared" si="69"/>
        <v>Total Knee ReplacementSub-ICB of GP PracticeNHS DORSET ICB - 11J (11J)EQ VAS</v>
      </c>
      <c r="C4459" t="s">
        <v>975</v>
      </c>
      <c r="D4459" t="s">
        <v>1021</v>
      </c>
      <c r="E4459" t="s">
        <v>795</v>
      </c>
      <c r="F4459" t="s">
        <v>796</v>
      </c>
      <c r="G4459" t="s">
        <v>752</v>
      </c>
      <c r="H4459">
        <v>261</v>
      </c>
      <c r="I4459">
        <v>66.168599999999998</v>
      </c>
      <c r="J4459">
        <v>74.624499999999998</v>
      </c>
      <c r="K4459">
        <v>8.45594</v>
      </c>
      <c r="L4459">
        <v>153</v>
      </c>
      <c r="M4459">
        <v>36</v>
      </c>
      <c r="N4459">
        <v>72</v>
      </c>
      <c r="O4459">
        <v>73.938599999999994</v>
      </c>
      <c r="P4459">
        <v>8.6328399999999998</v>
      </c>
      <c r="Q4459">
        <v>16.525200000000002</v>
      </c>
    </row>
    <row r="4460" spans="1:17" x14ac:dyDescent="0.25">
      <c r="A4460" t="str">
        <f>IF(C4460&amp;G4460&amp;D4460&lt;&gt;'Funnel setup'!$K$3&amp;'Funnel setup'!$K$4&amp;'Funnel setup'!$K$6,".",IF(A4459=".",1,A4459+1))</f>
        <v>.</v>
      </c>
      <c r="B4460" s="244" t="str">
        <f t="shared" si="69"/>
        <v>Total Knee ReplacementSub-ICB of GP PracticeNHS FRIMLEY ICB - D4U1Y (D4U1Y)EQ VAS</v>
      </c>
      <c r="C4460" t="s">
        <v>975</v>
      </c>
      <c r="D4460" t="s">
        <v>1021</v>
      </c>
      <c r="E4460" t="s">
        <v>797</v>
      </c>
      <c r="F4460" t="s">
        <v>798</v>
      </c>
      <c r="G4460" t="s">
        <v>752</v>
      </c>
      <c r="H4460">
        <v>168</v>
      </c>
      <c r="I4460">
        <v>67.660700000000006</v>
      </c>
      <c r="J4460">
        <v>73.488100000000003</v>
      </c>
      <c r="K4460">
        <v>5.8273799999999998</v>
      </c>
      <c r="L4460">
        <v>91</v>
      </c>
      <c r="M4460">
        <v>21</v>
      </c>
      <c r="N4460">
        <v>56</v>
      </c>
      <c r="O4460">
        <v>71.907700000000006</v>
      </c>
      <c r="P4460">
        <v>6.6020099999999999</v>
      </c>
      <c r="Q4460">
        <v>16.644600000000001</v>
      </c>
    </row>
    <row r="4461" spans="1:17" x14ac:dyDescent="0.25">
      <c r="A4461" t="str">
        <f>IF(C4461&amp;G4461&amp;D4461&lt;&gt;'Funnel setup'!$K$3&amp;'Funnel setup'!$K$4&amp;'Funnel setup'!$K$6,".",IF(A4460=".",1,A4460+1))</f>
        <v>.</v>
      </c>
      <c r="B4461" s="244" t="str">
        <f t="shared" si="69"/>
        <v>Total Knee ReplacementSub-ICB of GP PracticeNHS GLOUCESTERSHIRE ICB - 11M (11M)EQ VAS</v>
      </c>
      <c r="C4461" t="s">
        <v>975</v>
      </c>
      <c r="D4461" t="s">
        <v>1021</v>
      </c>
      <c r="E4461" t="s">
        <v>799</v>
      </c>
      <c r="F4461" t="s">
        <v>800</v>
      </c>
      <c r="G4461" t="s">
        <v>752</v>
      </c>
      <c r="H4461">
        <v>149</v>
      </c>
      <c r="I4461">
        <v>66.778499999999994</v>
      </c>
      <c r="J4461">
        <v>77.597300000000004</v>
      </c>
      <c r="K4461">
        <v>10.8188</v>
      </c>
      <c r="L4461">
        <v>98</v>
      </c>
      <c r="M4461">
        <v>15</v>
      </c>
      <c r="N4461">
        <v>36</v>
      </c>
      <c r="O4461">
        <v>76.290499999999994</v>
      </c>
      <c r="P4461">
        <v>10.9847</v>
      </c>
      <c r="Q4461">
        <v>15.0021</v>
      </c>
    </row>
    <row r="4462" spans="1:17" x14ac:dyDescent="0.25">
      <c r="A4462" t="str">
        <f>IF(C4462&amp;G4462&amp;D4462&lt;&gt;'Funnel setup'!$K$3&amp;'Funnel setup'!$K$4&amp;'Funnel setup'!$K$6,".",IF(A4461=".",1,A4461+1))</f>
        <v>.</v>
      </c>
      <c r="B4462" s="244" t="str">
        <f t="shared" si="69"/>
        <v>Total Knee ReplacementSub-ICB of GP PracticeNHS GREATER MANCHESTER ICB - 00T (00T)EQ VAS</v>
      </c>
      <c r="C4462" t="s">
        <v>975</v>
      </c>
      <c r="D4462" t="s">
        <v>1021</v>
      </c>
      <c r="E4462" t="s">
        <v>801</v>
      </c>
      <c r="F4462" t="s">
        <v>802</v>
      </c>
      <c r="G4462" t="s">
        <v>752</v>
      </c>
      <c r="H4462">
        <v>92</v>
      </c>
      <c r="I4462">
        <v>67.771699999999996</v>
      </c>
      <c r="J4462">
        <v>73.793499999999995</v>
      </c>
      <c r="K4462">
        <v>6.0217400000000003</v>
      </c>
      <c r="L4462">
        <v>50</v>
      </c>
      <c r="M4462">
        <v>15</v>
      </c>
      <c r="N4462">
        <v>27</v>
      </c>
      <c r="O4462">
        <v>73.743099999999998</v>
      </c>
      <c r="P4462">
        <v>8.43736</v>
      </c>
      <c r="Q4462">
        <v>15.3887</v>
      </c>
    </row>
    <row r="4463" spans="1:17" x14ac:dyDescent="0.25">
      <c r="A4463" t="str">
        <f>IF(C4463&amp;G4463&amp;D4463&lt;&gt;'Funnel setup'!$K$3&amp;'Funnel setup'!$K$4&amp;'Funnel setup'!$K$6,".",IF(A4462=".",1,A4462+1))</f>
        <v>.</v>
      </c>
      <c r="B4463" s="244" t="str">
        <f t="shared" si="69"/>
        <v>Total Knee ReplacementSub-ICB of GP PracticeNHS GREATER MANCHESTER ICB - 00V (00V)EQ VAS</v>
      </c>
      <c r="C4463" t="s">
        <v>975</v>
      </c>
      <c r="D4463" t="s">
        <v>1021</v>
      </c>
      <c r="E4463" t="s">
        <v>803</v>
      </c>
      <c r="F4463" t="s">
        <v>804</v>
      </c>
      <c r="G4463" t="s">
        <v>752</v>
      </c>
      <c r="H4463">
        <v>15</v>
      </c>
      <c r="I4463">
        <v>63.2667</v>
      </c>
      <c r="J4463">
        <v>74</v>
      </c>
      <c r="K4463">
        <v>10.7333</v>
      </c>
      <c r="L4463">
        <v>11</v>
      </c>
      <c r="M4463">
        <v>0</v>
      </c>
      <c r="N4463">
        <v>4</v>
      </c>
      <c r="O4463" t="s">
        <v>127</v>
      </c>
      <c r="P4463" t="s">
        <v>127</v>
      </c>
      <c r="Q4463" t="s">
        <v>127</v>
      </c>
    </row>
    <row r="4464" spans="1:17" x14ac:dyDescent="0.25">
      <c r="A4464" t="str">
        <f>IF(C4464&amp;G4464&amp;D4464&lt;&gt;'Funnel setup'!$K$3&amp;'Funnel setup'!$K$4&amp;'Funnel setup'!$K$6,".",IF(A4463=".",1,A4463+1))</f>
        <v>.</v>
      </c>
      <c r="B4464" s="244" t="str">
        <f t="shared" si="69"/>
        <v>Total Knee ReplacementSub-ICB of GP PracticeNHS GREATER MANCHESTER ICB - 00Y (00Y)EQ VAS</v>
      </c>
      <c r="C4464" t="s">
        <v>975</v>
      </c>
      <c r="D4464" t="s">
        <v>1021</v>
      </c>
      <c r="E4464" t="s">
        <v>805</v>
      </c>
      <c r="F4464" t="s">
        <v>806</v>
      </c>
      <c r="G4464" t="s">
        <v>752</v>
      </c>
      <c r="H4464">
        <v>58</v>
      </c>
      <c r="I4464">
        <v>67.413799999999995</v>
      </c>
      <c r="J4464">
        <v>74.206900000000005</v>
      </c>
      <c r="K4464">
        <v>6.7930999999999999</v>
      </c>
      <c r="L4464">
        <v>32</v>
      </c>
      <c r="M4464">
        <v>6</v>
      </c>
      <c r="N4464">
        <v>20</v>
      </c>
      <c r="O4464">
        <v>71.100899999999996</v>
      </c>
      <c r="P4464">
        <v>5.7952000000000004</v>
      </c>
      <c r="Q4464">
        <v>18.348600000000001</v>
      </c>
    </row>
    <row r="4465" spans="1:17" x14ac:dyDescent="0.25">
      <c r="A4465" t="str">
        <f>IF(C4465&amp;G4465&amp;D4465&lt;&gt;'Funnel setup'!$K$3&amp;'Funnel setup'!$K$4&amp;'Funnel setup'!$K$6,".",IF(A4464=".",1,A4464+1))</f>
        <v>.</v>
      </c>
      <c r="B4465" s="244" t="str">
        <f t="shared" si="69"/>
        <v>Total Knee ReplacementSub-ICB of GP PracticeNHS GREATER MANCHESTER ICB - 01D (01D)EQ VAS</v>
      </c>
      <c r="C4465" t="s">
        <v>975</v>
      </c>
      <c r="D4465" t="s">
        <v>1021</v>
      </c>
      <c r="E4465" t="s">
        <v>807</v>
      </c>
      <c r="F4465" t="s">
        <v>808</v>
      </c>
      <c r="G4465" t="s">
        <v>752</v>
      </c>
      <c r="H4465">
        <v>17</v>
      </c>
      <c r="I4465">
        <v>72.058800000000005</v>
      </c>
      <c r="J4465">
        <v>78</v>
      </c>
      <c r="K4465">
        <v>5.9411800000000001</v>
      </c>
      <c r="L4465">
        <v>8</v>
      </c>
      <c r="M4465">
        <v>2</v>
      </c>
      <c r="N4465">
        <v>7</v>
      </c>
      <c r="O4465" t="s">
        <v>127</v>
      </c>
      <c r="P4465" t="s">
        <v>127</v>
      </c>
      <c r="Q4465" t="s">
        <v>127</v>
      </c>
    </row>
    <row r="4466" spans="1:17" x14ac:dyDescent="0.25">
      <c r="A4466" t="str">
        <f>IF(C4466&amp;G4466&amp;D4466&lt;&gt;'Funnel setup'!$K$3&amp;'Funnel setup'!$K$4&amp;'Funnel setup'!$K$6,".",IF(A4465=".",1,A4465+1))</f>
        <v>.</v>
      </c>
      <c r="B4466" s="244" t="str">
        <f t="shared" si="69"/>
        <v>Total Knee ReplacementSub-ICB of GP PracticeNHS GREATER MANCHESTER ICB - 01G (01G)EQ VAS</v>
      </c>
      <c r="C4466" t="s">
        <v>975</v>
      </c>
      <c r="D4466" t="s">
        <v>1021</v>
      </c>
      <c r="E4466" t="s">
        <v>809</v>
      </c>
      <c r="F4466" t="s">
        <v>810</v>
      </c>
      <c r="G4466" t="s">
        <v>752</v>
      </c>
      <c r="H4466">
        <v>60</v>
      </c>
      <c r="I4466">
        <v>69.783299999999997</v>
      </c>
      <c r="J4466">
        <v>74.599999999999994</v>
      </c>
      <c r="K4466">
        <v>4.8166700000000002</v>
      </c>
      <c r="L4466">
        <v>31</v>
      </c>
      <c r="M4466">
        <v>8</v>
      </c>
      <c r="N4466">
        <v>21</v>
      </c>
      <c r="O4466">
        <v>74.674300000000002</v>
      </c>
      <c r="P4466">
        <v>9.3686100000000003</v>
      </c>
      <c r="Q4466">
        <v>17.270099999999999</v>
      </c>
    </row>
    <row r="4467" spans="1:17" x14ac:dyDescent="0.25">
      <c r="A4467" t="str">
        <f>IF(C4467&amp;G4467&amp;D4467&lt;&gt;'Funnel setup'!$K$3&amp;'Funnel setup'!$K$4&amp;'Funnel setup'!$K$6,".",IF(A4466=".",1,A4466+1))</f>
        <v>.</v>
      </c>
      <c r="B4467" s="244" t="str">
        <f t="shared" si="69"/>
        <v>Total Knee ReplacementSub-ICB of GP PracticeNHS GREATER MANCHESTER ICB - 01W (01W)EQ VAS</v>
      </c>
      <c r="C4467" t="s">
        <v>975</v>
      </c>
      <c r="D4467" t="s">
        <v>1021</v>
      </c>
      <c r="E4467" t="s">
        <v>811</v>
      </c>
      <c r="F4467" t="s">
        <v>812</v>
      </c>
      <c r="G4467" t="s">
        <v>752</v>
      </c>
      <c r="H4467">
        <v>52</v>
      </c>
      <c r="I4467">
        <v>67.269199999999998</v>
      </c>
      <c r="J4467">
        <v>76.730800000000002</v>
      </c>
      <c r="K4467">
        <v>9.4615399999999994</v>
      </c>
      <c r="L4467">
        <v>34</v>
      </c>
      <c r="M4467">
        <v>3</v>
      </c>
      <c r="N4467">
        <v>15</v>
      </c>
      <c r="O4467">
        <v>75.791300000000007</v>
      </c>
      <c r="P4467">
        <v>10.4856</v>
      </c>
      <c r="Q4467">
        <v>19.53</v>
      </c>
    </row>
    <row r="4468" spans="1:17" x14ac:dyDescent="0.25">
      <c r="A4468" t="str">
        <f>IF(C4468&amp;G4468&amp;D4468&lt;&gt;'Funnel setup'!$K$3&amp;'Funnel setup'!$K$4&amp;'Funnel setup'!$K$6,".",IF(A4467=".",1,A4467+1))</f>
        <v>.</v>
      </c>
      <c r="B4468" s="244" t="str">
        <f t="shared" si="69"/>
        <v>Total Knee ReplacementSub-ICB of GP PracticeNHS GREATER MANCHESTER ICB - 01Y (01Y)EQ VAS</v>
      </c>
      <c r="C4468" t="s">
        <v>975</v>
      </c>
      <c r="D4468" t="s">
        <v>1021</v>
      </c>
      <c r="E4468" t="s">
        <v>813</v>
      </c>
      <c r="F4468" t="s">
        <v>814</v>
      </c>
      <c r="G4468" t="s">
        <v>752</v>
      </c>
      <c r="H4468">
        <v>23</v>
      </c>
      <c r="I4468">
        <v>67</v>
      </c>
      <c r="J4468">
        <v>78.869600000000005</v>
      </c>
      <c r="K4468">
        <v>11.8696</v>
      </c>
      <c r="L4468">
        <v>17</v>
      </c>
      <c r="M4468">
        <v>1</v>
      </c>
      <c r="N4468">
        <v>5</v>
      </c>
      <c r="O4468" t="s">
        <v>127</v>
      </c>
      <c r="P4468" t="s">
        <v>127</v>
      </c>
      <c r="Q4468" t="s">
        <v>127</v>
      </c>
    </row>
    <row r="4469" spans="1:17" x14ac:dyDescent="0.25">
      <c r="A4469" t="str">
        <f>IF(C4469&amp;G4469&amp;D4469&lt;&gt;'Funnel setup'!$K$3&amp;'Funnel setup'!$K$4&amp;'Funnel setup'!$K$6,".",IF(A4468=".",1,A4468+1))</f>
        <v>.</v>
      </c>
      <c r="B4469" s="244" t="str">
        <f t="shared" si="69"/>
        <v>Total Knee ReplacementSub-ICB of GP PracticeNHS GREATER MANCHESTER ICB - 02A (02A)EQ VAS</v>
      </c>
      <c r="C4469" t="s">
        <v>975</v>
      </c>
      <c r="D4469" t="s">
        <v>1021</v>
      </c>
      <c r="E4469" t="s">
        <v>815</v>
      </c>
      <c r="F4469" t="s">
        <v>816</v>
      </c>
      <c r="G4469" t="s">
        <v>752</v>
      </c>
      <c r="H4469">
        <v>78</v>
      </c>
      <c r="I4469">
        <v>64.397400000000005</v>
      </c>
      <c r="J4469">
        <v>70.846199999999996</v>
      </c>
      <c r="K4469">
        <v>6.4487199999999998</v>
      </c>
      <c r="L4469">
        <v>43</v>
      </c>
      <c r="M4469">
        <v>7</v>
      </c>
      <c r="N4469">
        <v>28</v>
      </c>
      <c r="O4469">
        <v>71.102400000000003</v>
      </c>
      <c r="P4469">
        <v>5.7967300000000002</v>
      </c>
      <c r="Q4469">
        <v>18.508900000000001</v>
      </c>
    </row>
    <row r="4470" spans="1:17" x14ac:dyDescent="0.25">
      <c r="A4470" t="str">
        <f>IF(C4470&amp;G4470&amp;D4470&lt;&gt;'Funnel setup'!$K$3&amp;'Funnel setup'!$K$4&amp;'Funnel setup'!$K$6,".",IF(A4469=".",1,A4469+1))</f>
        <v>.</v>
      </c>
      <c r="B4470" s="244" t="str">
        <f t="shared" si="69"/>
        <v>Total Knee ReplacementSub-ICB of GP PracticeNHS GREATER MANCHESTER ICB - 02H (02H)EQ VAS</v>
      </c>
      <c r="C4470" t="s">
        <v>975</v>
      </c>
      <c r="D4470" t="s">
        <v>1021</v>
      </c>
      <c r="E4470" t="s">
        <v>817</v>
      </c>
      <c r="F4470" t="s">
        <v>818</v>
      </c>
      <c r="G4470" t="s">
        <v>752</v>
      </c>
      <c r="H4470">
        <v>26</v>
      </c>
      <c r="I4470">
        <v>66.038499999999999</v>
      </c>
      <c r="J4470">
        <v>74</v>
      </c>
      <c r="K4470">
        <v>7.9615400000000003</v>
      </c>
      <c r="L4470">
        <v>14</v>
      </c>
      <c r="M4470">
        <v>3</v>
      </c>
      <c r="N4470">
        <v>9</v>
      </c>
      <c r="O4470" t="s">
        <v>127</v>
      </c>
      <c r="P4470" t="s">
        <v>127</v>
      </c>
      <c r="Q4470" t="s">
        <v>127</v>
      </c>
    </row>
    <row r="4471" spans="1:17" x14ac:dyDescent="0.25">
      <c r="A4471" t="str">
        <f>IF(C4471&amp;G4471&amp;D4471&lt;&gt;'Funnel setup'!$K$3&amp;'Funnel setup'!$K$4&amp;'Funnel setup'!$K$6,".",IF(A4470=".",1,A4470+1))</f>
        <v>.</v>
      </c>
      <c r="B4471" s="244" t="str">
        <f t="shared" si="69"/>
        <v>Total Knee ReplacementSub-ICB of GP PracticeNHS GREATER MANCHESTER ICB - 14L (14L)EQ VAS</v>
      </c>
      <c r="C4471" t="s">
        <v>975</v>
      </c>
      <c r="D4471" t="s">
        <v>1021</v>
      </c>
      <c r="E4471" t="s">
        <v>819</v>
      </c>
      <c r="F4471" t="s">
        <v>820</v>
      </c>
      <c r="G4471" t="s">
        <v>752</v>
      </c>
      <c r="H4471">
        <v>48</v>
      </c>
      <c r="I4471">
        <v>60.291699999999999</v>
      </c>
      <c r="J4471">
        <v>73.020799999999994</v>
      </c>
      <c r="K4471">
        <v>12.729200000000001</v>
      </c>
      <c r="L4471">
        <v>28</v>
      </c>
      <c r="M4471">
        <v>6</v>
      </c>
      <c r="N4471">
        <v>14</v>
      </c>
      <c r="O4471">
        <v>77.135800000000003</v>
      </c>
      <c r="P4471">
        <v>11.8301</v>
      </c>
      <c r="Q4471">
        <v>18.1448</v>
      </c>
    </row>
    <row r="4472" spans="1:17" x14ac:dyDescent="0.25">
      <c r="A4472" t="str">
        <f>IF(C4472&amp;G4472&amp;D4472&lt;&gt;'Funnel setup'!$K$3&amp;'Funnel setup'!$K$4&amp;'Funnel setup'!$K$6,".",IF(A4471=".",1,A4471+1))</f>
        <v>.</v>
      </c>
      <c r="B4472" s="244" t="str">
        <f t="shared" si="69"/>
        <v>Total Knee ReplacementSub-ICB of GP PracticeNHS HAMPSHIRE AND ISLE OF WIGHT ICB - 10R (10R)EQ VAS</v>
      </c>
      <c r="C4472" t="s">
        <v>975</v>
      </c>
      <c r="D4472" t="s">
        <v>1021</v>
      </c>
      <c r="E4472" t="s">
        <v>821</v>
      </c>
      <c r="F4472" t="s">
        <v>822</v>
      </c>
      <c r="G4472" t="s">
        <v>752</v>
      </c>
      <c r="H4472">
        <v>9</v>
      </c>
      <c r="I4472">
        <v>73.555599999999998</v>
      </c>
      <c r="J4472">
        <v>72.777799999999999</v>
      </c>
      <c r="K4472">
        <v>-0.77777799999999997</v>
      </c>
      <c r="L4472">
        <v>3</v>
      </c>
      <c r="M4472">
        <v>2</v>
      </c>
      <c r="N4472">
        <v>4</v>
      </c>
      <c r="O4472" t="s">
        <v>127</v>
      </c>
      <c r="P4472" t="s">
        <v>127</v>
      </c>
      <c r="Q4472" t="s">
        <v>127</v>
      </c>
    </row>
    <row r="4473" spans="1:17" x14ac:dyDescent="0.25">
      <c r="A4473" t="str">
        <f>IF(C4473&amp;G4473&amp;D4473&lt;&gt;'Funnel setup'!$K$3&amp;'Funnel setup'!$K$4&amp;'Funnel setup'!$K$6,".",IF(A4472=".",1,A4472+1))</f>
        <v>.</v>
      </c>
      <c r="B4473" s="244" t="str">
        <f t="shared" si="69"/>
        <v>Total Knee ReplacementSub-ICB of GP PracticeNHS HAMPSHIRE AND ISLE OF WIGHT ICB - D9Y0V (D9Y0V)EQ VAS</v>
      </c>
      <c r="C4473" t="s">
        <v>975</v>
      </c>
      <c r="D4473" t="s">
        <v>1021</v>
      </c>
      <c r="E4473" t="s">
        <v>823</v>
      </c>
      <c r="F4473" t="s">
        <v>824</v>
      </c>
      <c r="G4473" t="s">
        <v>752</v>
      </c>
      <c r="H4473">
        <v>346</v>
      </c>
      <c r="I4473">
        <v>66.939300000000003</v>
      </c>
      <c r="J4473">
        <v>73.959500000000006</v>
      </c>
      <c r="K4473">
        <v>7.0202299999999997</v>
      </c>
      <c r="L4473">
        <v>213</v>
      </c>
      <c r="M4473">
        <v>30</v>
      </c>
      <c r="N4473">
        <v>103</v>
      </c>
      <c r="O4473">
        <v>73.058700000000002</v>
      </c>
      <c r="P4473">
        <v>7.7530200000000002</v>
      </c>
      <c r="Q4473">
        <v>17.1051</v>
      </c>
    </row>
    <row r="4474" spans="1:17" x14ac:dyDescent="0.25">
      <c r="A4474" t="str">
        <f>IF(C4474&amp;G4474&amp;D4474&lt;&gt;'Funnel setup'!$K$3&amp;'Funnel setup'!$K$4&amp;'Funnel setup'!$K$6,".",IF(A4473=".",1,A4473+1))</f>
        <v>.</v>
      </c>
      <c r="B4474" s="244" t="str">
        <f t="shared" si="69"/>
        <v>Total Knee ReplacementSub-ICB of GP PracticeNHS HEREFORDSHIRE AND WORCESTERSHIRE ICB - 18C (18C)EQ VAS</v>
      </c>
      <c r="C4474" t="s">
        <v>975</v>
      </c>
      <c r="D4474" t="s">
        <v>1021</v>
      </c>
      <c r="E4474" t="s">
        <v>825</v>
      </c>
      <c r="F4474" t="s">
        <v>826</v>
      </c>
      <c r="G4474" t="s">
        <v>752</v>
      </c>
      <c r="H4474">
        <v>207</v>
      </c>
      <c r="I4474">
        <v>66.289900000000003</v>
      </c>
      <c r="J4474">
        <v>72.372</v>
      </c>
      <c r="K4474">
        <v>6.0821300000000003</v>
      </c>
      <c r="L4474">
        <v>113</v>
      </c>
      <c r="M4474">
        <v>23</v>
      </c>
      <c r="N4474">
        <v>71</v>
      </c>
      <c r="O4474">
        <v>72.004099999999994</v>
      </c>
      <c r="P4474">
        <v>6.69834</v>
      </c>
      <c r="Q4474">
        <v>18.4741</v>
      </c>
    </row>
    <row r="4475" spans="1:17" x14ac:dyDescent="0.25">
      <c r="A4475" t="str">
        <f>IF(C4475&amp;G4475&amp;D4475&lt;&gt;'Funnel setup'!$K$3&amp;'Funnel setup'!$K$4&amp;'Funnel setup'!$K$6,".",IF(A4474=".",1,A4474+1))</f>
        <v>.</v>
      </c>
      <c r="B4475" s="244" t="str">
        <f t="shared" si="69"/>
        <v>Total Knee ReplacementSub-ICB of GP PracticeNHS HERTFORDSHIRE AND WEST ESSEX ICB - 06K (06K)EQ VAS</v>
      </c>
      <c r="C4475" t="s">
        <v>975</v>
      </c>
      <c r="D4475" t="s">
        <v>1021</v>
      </c>
      <c r="E4475" t="s">
        <v>827</v>
      </c>
      <c r="F4475" t="s">
        <v>828</v>
      </c>
      <c r="G4475" t="s">
        <v>752</v>
      </c>
      <c r="H4475">
        <v>89</v>
      </c>
      <c r="I4475">
        <v>65.763999999999996</v>
      </c>
      <c r="J4475">
        <v>74.943799999999996</v>
      </c>
      <c r="K4475">
        <v>9.1797799999999992</v>
      </c>
      <c r="L4475">
        <v>54</v>
      </c>
      <c r="M4475">
        <v>11</v>
      </c>
      <c r="N4475">
        <v>24</v>
      </c>
      <c r="O4475">
        <v>74.348799999999997</v>
      </c>
      <c r="P4475">
        <v>9.0430700000000002</v>
      </c>
      <c r="Q4475">
        <v>17.1538</v>
      </c>
    </row>
    <row r="4476" spans="1:17" x14ac:dyDescent="0.25">
      <c r="A4476" t="str">
        <f>IF(C4476&amp;G4476&amp;D4476&lt;&gt;'Funnel setup'!$K$3&amp;'Funnel setup'!$K$4&amp;'Funnel setup'!$K$6,".",IF(A4475=".",1,A4475+1))</f>
        <v>.</v>
      </c>
      <c r="B4476" s="244" t="str">
        <f t="shared" si="69"/>
        <v>Total Knee ReplacementSub-ICB of GP PracticeNHS HERTFORDSHIRE AND WEST ESSEX ICB - 06N (06N)EQ VAS</v>
      </c>
      <c r="C4476" t="s">
        <v>975</v>
      </c>
      <c r="D4476" t="s">
        <v>1021</v>
      </c>
      <c r="E4476" t="s">
        <v>829</v>
      </c>
      <c r="F4476" t="s">
        <v>830</v>
      </c>
      <c r="G4476" t="s">
        <v>752</v>
      </c>
      <c r="H4476">
        <v>115</v>
      </c>
      <c r="I4476">
        <v>64</v>
      </c>
      <c r="J4476">
        <v>71.634799999999998</v>
      </c>
      <c r="K4476">
        <v>7.6347800000000001</v>
      </c>
      <c r="L4476">
        <v>66</v>
      </c>
      <c r="M4476">
        <v>16</v>
      </c>
      <c r="N4476">
        <v>33</v>
      </c>
      <c r="O4476">
        <v>72.295900000000003</v>
      </c>
      <c r="P4476">
        <v>6.9901400000000002</v>
      </c>
      <c r="Q4476">
        <v>16.961099999999998</v>
      </c>
    </row>
    <row r="4477" spans="1:17" x14ac:dyDescent="0.25">
      <c r="A4477" t="str">
        <f>IF(C4477&amp;G4477&amp;D4477&lt;&gt;'Funnel setup'!$K$3&amp;'Funnel setup'!$K$4&amp;'Funnel setup'!$K$6,".",IF(A4476=".",1,A4476+1))</f>
        <v>.</v>
      </c>
      <c r="B4477" s="244" t="str">
        <f t="shared" si="69"/>
        <v>Total Knee ReplacementSub-ICB of GP PracticeNHS HERTFORDSHIRE AND WEST ESSEX ICB - 07H (07H)EQ VAS</v>
      </c>
      <c r="C4477" t="s">
        <v>975</v>
      </c>
      <c r="D4477" t="s">
        <v>1021</v>
      </c>
      <c r="E4477" t="s">
        <v>831</v>
      </c>
      <c r="F4477" t="s">
        <v>832</v>
      </c>
      <c r="G4477" t="s">
        <v>752</v>
      </c>
      <c r="H4477">
        <v>67</v>
      </c>
      <c r="I4477">
        <v>62.029899999999998</v>
      </c>
      <c r="J4477">
        <v>70.790999999999997</v>
      </c>
      <c r="K4477">
        <v>8.7611899999999991</v>
      </c>
      <c r="L4477">
        <v>43</v>
      </c>
      <c r="M4477">
        <v>5</v>
      </c>
      <c r="N4477">
        <v>19</v>
      </c>
      <c r="O4477">
        <v>71.327299999999994</v>
      </c>
      <c r="P4477">
        <v>6.0215500000000004</v>
      </c>
      <c r="Q4477">
        <v>18.471599999999999</v>
      </c>
    </row>
    <row r="4478" spans="1:17" x14ac:dyDescent="0.25">
      <c r="A4478" t="str">
        <f>IF(C4478&amp;G4478&amp;D4478&lt;&gt;'Funnel setup'!$K$3&amp;'Funnel setup'!$K$4&amp;'Funnel setup'!$K$6,".",IF(A4477=".",1,A4477+1))</f>
        <v>.</v>
      </c>
      <c r="B4478" s="244" t="str">
        <f t="shared" si="69"/>
        <v>Total Knee ReplacementSub-ICB of GP PracticeNHS HUMBER AND NORTH YORKSHIRE ICB - 02Y (02Y)EQ VAS</v>
      </c>
      <c r="C4478" t="s">
        <v>975</v>
      </c>
      <c r="D4478" t="s">
        <v>1021</v>
      </c>
      <c r="E4478" t="s">
        <v>833</v>
      </c>
      <c r="F4478" t="s">
        <v>834</v>
      </c>
      <c r="G4478" t="s">
        <v>752</v>
      </c>
      <c r="H4478">
        <v>75</v>
      </c>
      <c r="I4478">
        <v>64.413300000000007</v>
      </c>
      <c r="J4478">
        <v>70.88</v>
      </c>
      <c r="K4478">
        <v>6.4666699999999997</v>
      </c>
      <c r="L4478">
        <v>45</v>
      </c>
      <c r="M4478">
        <v>6</v>
      </c>
      <c r="N4478">
        <v>24</v>
      </c>
      <c r="O4478">
        <v>70.130799999999994</v>
      </c>
      <c r="P4478">
        <v>4.8251099999999996</v>
      </c>
      <c r="Q4478">
        <v>15.1076</v>
      </c>
    </row>
    <row r="4479" spans="1:17" x14ac:dyDescent="0.25">
      <c r="A4479" t="str">
        <f>IF(C4479&amp;G4479&amp;D4479&lt;&gt;'Funnel setup'!$K$3&amp;'Funnel setup'!$K$4&amp;'Funnel setup'!$K$6,".",IF(A4478=".",1,A4478+1))</f>
        <v>.</v>
      </c>
      <c r="B4479" s="244" t="str">
        <f t="shared" si="69"/>
        <v>Total Knee ReplacementSub-ICB of GP PracticeNHS HUMBER AND NORTH YORKSHIRE ICB - 03F (03F)EQ VAS</v>
      </c>
      <c r="C4479" t="s">
        <v>975</v>
      </c>
      <c r="D4479" t="s">
        <v>1021</v>
      </c>
      <c r="E4479" t="s">
        <v>835</v>
      </c>
      <c r="F4479" t="s">
        <v>836</v>
      </c>
      <c r="G4479" t="s">
        <v>752</v>
      </c>
      <c r="H4479">
        <v>26</v>
      </c>
      <c r="I4479">
        <v>64.423100000000005</v>
      </c>
      <c r="J4479">
        <v>72.076899999999995</v>
      </c>
      <c r="K4479">
        <v>7.6538500000000003</v>
      </c>
      <c r="L4479">
        <v>16</v>
      </c>
      <c r="M4479">
        <v>5</v>
      </c>
      <c r="N4479">
        <v>5</v>
      </c>
      <c r="O4479" t="s">
        <v>127</v>
      </c>
      <c r="P4479" t="s">
        <v>127</v>
      </c>
      <c r="Q4479" t="s">
        <v>127</v>
      </c>
    </row>
    <row r="4480" spans="1:17" x14ac:dyDescent="0.25">
      <c r="A4480" t="str">
        <f>IF(C4480&amp;G4480&amp;D4480&lt;&gt;'Funnel setup'!$K$3&amp;'Funnel setup'!$K$4&amp;'Funnel setup'!$K$6,".",IF(A4479=".",1,A4479+1))</f>
        <v>.</v>
      </c>
      <c r="B4480" s="244" t="str">
        <f t="shared" si="69"/>
        <v>Total Knee ReplacementSub-ICB of GP PracticeNHS HUMBER AND NORTH YORKSHIRE ICB - 03H (03H)EQ VAS</v>
      </c>
      <c r="C4480" t="s">
        <v>975</v>
      </c>
      <c r="D4480" t="s">
        <v>1021</v>
      </c>
      <c r="E4480" t="s">
        <v>837</v>
      </c>
      <c r="F4480" t="s">
        <v>838</v>
      </c>
      <c r="G4480" t="s">
        <v>752</v>
      </c>
      <c r="H4480">
        <v>68</v>
      </c>
      <c r="I4480">
        <v>69.5441</v>
      </c>
      <c r="J4480">
        <v>71.397099999999995</v>
      </c>
      <c r="K4480">
        <v>1.85294</v>
      </c>
      <c r="L4480">
        <v>35</v>
      </c>
      <c r="M4480">
        <v>10</v>
      </c>
      <c r="N4480">
        <v>23</v>
      </c>
      <c r="O4480">
        <v>69.644400000000005</v>
      </c>
      <c r="P4480">
        <v>4.3386899999999997</v>
      </c>
      <c r="Q4480">
        <v>19.9404</v>
      </c>
    </row>
    <row r="4481" spans="1:17" x14ac:dyDescent="0.25">
      <c r="A4481" t="str">
        <f>IF(C4481&amp;G4481&amp;D4481&lt;&gt;'Funnel setup'!$K$3&amp;'Funnel setup'!$K$4&amp;'Funnel setup'!$K$6,".",IF(A4480=".",1,A4480+1))</f>
        <v>.</v>
      </c>
      <c r="B4481" s="244" t="str">
        <f t="shared" si="69"/>
        <v>Total Knee ReplacementSub-ICB of GP PracticeNHS HUMBER AND NORTH YORKSHIRE ICB - 03K (03K)EQ VAS</v>
      </c>
      <c r="C4481" t="s">
        <v>975</v>
      </c>
      <c r="D4481" t="s">
        <v>1021</v>
      </c>
      <c r="E4481" t="s">
        <v>839</v>
      </c>
      <c r="F4481" t="s">
        <v>840</v>
      </c>
      <c r="G4481" t="s">
        <v>752</v>
      </c>
      <c r="H4481">
        <v>63</v>
      </c>
      <c r="I4481">
        <v>64.301599999999993</v>
      </c>
      <c r="J4481">
        <v>68.650800000000004</v>
      </c>
      <c r="K4481">
        <v>4.3492100000000002</v>
      </c>
      <c r="L4481">
        <v>33</v>
      </c>
      <c r="M4481">
        <v>8</v>
      </c>
      <c r="N4481">
        <v>22</v>
      </c>
      <c r="O4481">
        <v>68.723399999999998</v>
      </c>
      <c r="P4481">
        <v>3.41771</v>
      </c>
      <c r="Q4481">
        <v>17.157599999999999</v>
      </c>
    </row>
    <row r="4482" spans="1:17" x14ac:dyDescent="0.25">
      <c r="A4482" t="str">
        <f>IF(C4482&amp;G4482&amp;D4482&lt;&gt;'Funnel setup'!$K$3&amp;'Funnel setup'!$K$4&amp;'Funnel setup'!$K$6,".",IF(A4481=".",1,A4481+1))</f>
        <v>.</v>
      </c>
      <c r="B4482" s="244" t="str">
        <f t="shared" ref="B4482:B4545" si="70">C4482&amp;D4482&amp;F4482&amp;G4482</f>
        <v>Total Knee ReplacementSub-ICB of GP PracticeNHS HUMBER AND NORTH YORKSHIRE ICB - 03Q (03Q)EQ VAS</v>
      </c>
      <c r="C4482" t="s">
        <v>975</v>
      </c>
      <c r="D4482" t="s">
        <v>1021</v>
      </c>
      <c r="E4482" t="s">
        <v>841</v>
      </c>
      <c r="F4482" t="s">
        <v>842</v>
      </c>
      <c r="G4482" t="s">
        <v>752</v>
      </c>
      <c r="H4482">
        <v>73</v>
      </c>
      <c r="I4482">
        <v>62.0822</v>
      </c>
      <c r="J4482">
        <v>76.698599999999999</v>
      </c>
      <c r="K4482">
        <v>14.616400000000001</v>
      </c>
      <c r="L4482">
        <v>48</v>
      </c>
      <c r="M4482">
        <v>4</v>
      </c>
      <c r="N4482">
        <v>21</v>
      </c>
      <c r="O4482">
        <v>75.524199999999993</v>
      </c>
      <c r="P4482">
        <v>10.218500000000001</v>
      </c>
      <c r="Q4482">
        <v>17.058599999999998</v>
      </c>
    </row>
    <row r="4483" spans="1:17" x14ac:dyDescent="0.25">
      <c r="A4483" t="str">
        <f>IF(C4483&amp;G4483&amp;D4483&lt;&gt;'Funnel setup'!$K$3&amp;'Funnel setup'!$K$4&amp;'Funnel setup'!$K$6,".",IF(A4482=".",1,A4482+1))</f>
        <v>.</v>
      </c>
      <c r="B4483" s="244" t="str">
        <f t="shared" si="70"/>
        <v>Total Knee ReplacementSub-ICB of GP PracticeNHS HUMBER AND NORTH YORKSHIRE ICB - 42D (42D)EQ VAS</v>
      </c>
      <c r="C4483" t="s">
        <v>975</v>
      </c>
      <c r="D4483" t="s">
        <v>1021</v>
      </c>
      <c r="E4483" t="s">
        <v>843</v>
      </c>
      <c r="F4483" t="s">
        <v>844</v>
      </c>
      <c r="G4483" t="s">
        <v>752</v>
      </c>
      <c r="H4483">
        <v>204</v>
      </c>
      <c r="I4483">
        <v>63.225499999999997</v>
      </c>
      <c r="J4483">
        <v>74.215699999999998</v>
      </c>
      <c r="K4483">
        <v>10.9902</v>
      </c>
      <c r="L4483">
        <v>139</v>
      </c>
      <c r="M4483">
        <v>15</v>
      </c>
      <c r="N4483">
        <v>50</v>
      </c>
      <c r="O4483">
        <v>74.662000000000006</v>
      </c>
      <c r="P4483">
        <v>9.3562499999999993</v>
      </c>
      <c r="Q4483">
        <v>17.733899999999998</v>
      </c>
    </row>
    <row r="4484" spans="1:17" x14ac:dyDescent="0.25">
      <c r="A4484" t="str">
        <f>IF(C4484&amp;G4484&amp;D4484&lt;&gt;'Funnel setup'!$K$3&amp;'Funnel setup'!$K$4&amp;'Funnel setup'!$K$6,".",IF(A4483=".",1,A4483+1))</f>
        <v>.</v>
      </c>
      <c r="B4484" s="244" t="str">
        <f t="shared" si="70"/>
        <v>Total Knee ReplacementSub-ICB of GP PracticeNHS KENT AND MEDWAY ICB - 91Q (91Q)EQ VAS</v>
      </c>
      <c r="C4484" t="s">
        <v>975</v>
      </c>
      <c r="D4484" t="s">
        <v>1021</v>
      </c>
      <c r="E4484" t="s">
        <v>845</v>
      </c>
      <c r="F4484" t="s">
        <v>846</v>
      </c>
      <c r="G4484" t="s">
        <v>752</v>
      </c>
      <c r="H4484">
        <v>554</v>
      </c>
      <c r="I4484">
        <v>66.897099999999995</v>
      </c>
      <c r="J4484">
        <v>76.229200000000006</v>
      </c>
      <c r="K4484">
        <v>9.3321299999999994</v>
      </c>
      <c r="L4484">
        <v>360</v>
      </c>
      <c r="M4484">
        <v>45</v>
      </c>
      <c r="N4484">
        <v>149</v>
      </c>
      <c r="O4484">
        <v>75.3292</v>
      </c>
      <c r="P4484">
        <v>10.0235</v>
      </c>
      <c r="Q4484">
        <v>15.7814</v>
      </c>
    </row>
    <row r="4485" spans="1:17" x14ac:dyDescent="0.25">
      <c r="A4485" t="str">
        <f>IF(C4485&amp;G4485&amp;D4485&lt;&gt;'Funnel setup'!$K$3&amp;'Funnel setup'!$K$4&amp;'Funnel setup'!$K$6,".",IF(A4484=".",1,A4484+1))</f>
        <v>.</v>
      </c>
      <c r="B4485" s="244" t="str">
        <f t="shared" si="70"/>
        <v>Total Knee ReplacementSub-ICB of GP PracticeNHS LANCASHIRE AND SOUTH CUMBRIA ICB - 00Q (00Q)EQ VAS</v>
      </c>
      <c r="C4485" t="s">
        <v>975</v>
      </c>
      <c r="D4485" t="s">
        <v>1021</v>
      </c>
      <c r="E4485" t="s">
        <v>847</v>
      </c>
      <c r="F4485" t="s">
        <v>848</v>
      </c>
      <c r="G4485" t="s">
        <v>752</v>
      </c>
      <c r="H4485">
        <v>48</v>
      </c>
      <c r="I4485">
        <v>65.3125</v>
      </c>
      <c r="J4485">
        <v>72.645799999999994</v>
      </c>
      <c r="K4485">
        <v>7.3333300000000001</v>
      </c>
      <c r="L4485">
        <v>29</v>
      </c>
      <c r="M4485">
        <v>3</v>
      </c>
      <c r="N4485">
        <v>16</v>
      </c>
      <c r="O4485">
        <v>72.661000000000001</v>
      </c>
      <c r="P4485">
        <v>7.35527</v>
      </c>
      <c r="Q4485">
        <v>18.665299999999998</v>
      </c>
    </row>
    <row r="4486" spans="1:17" x14ac:dyDescent="0.25">
      <c r="A4486" t="str">
        <f>IF(C4486&amp;G4486&amp;D4486&lt;&gt;'Funnel setup'!$K$3&amp;'Funnel setup'!$K$4&amp;'Funnel setup'!$K$6,".",IF(A4485=".",1,A4485+1))</f>
        <v>.</v>
      </c>
      <c r="B4486" s="244" t="str">
        <f t="shared" si="70"/>
        <v>Total Knee ReplacementSub-ICB of GP PracticeNHS LANCASHIRE AND SOUTH CUMBRIA ICB - 00R (00R)EQ VAS</v>
      </c>
      <c r="C4486" t="s">
        <v>975</v>
      </c>
      <c r="D4486" t="s">
        <v>1021</v>
      </c>
      <c r="E4486" t="s">
        <v>849</v>
      </c>
      <c r="F4486" t="s">
        <v>850</v>
      </c>
      <c r="G4486" t="s">
        <v>752</v>
      </c>
      <c r="H4486">
        <v>46</v>
      </c>
      <c r="I4486">
        <v>68.847800000000007</v>
      </c>
      <c r="J4486">
        <v>68.717399999999998</v>
      </c>
      <c r="K4486">
        <v>-0.130435</v>
      </c>
      <c r="L4486">
        <v>23</v>
      </c>
      <c r="M4486">
        <v>7</v>
      </c>
      <c r="N4486">
        <v>16</v>
      </c>
      <c r="O4486">
        <v>71.012699999999995</v>
      </c>
      <c r="P4486">
        <v>5.7069700000000001</v>
      </c>
      <c r="Q4486">
        <v>18.574100000000001</v>
      </c>
    </row>
    <row r="4487" spans="1:17" x14ac:dyDescent="0.25">
      <c r="A4487" t="str">
        <f>IF(C4487&amp;G4487&amp;D4487&lt;&gt;'Funnel setup'!$K$3&amp;'Funnel setup'!$K$4&amp;'Funnel setup'!$K$6,".",IF(A4486=".",1,A4486+1))</f>
        <v>.</v>
      </c>
      <c r="B4487" s="244" t="str">
        <f t="shared" si="70"/>
        <v>Total Knee ReplacementSub-ICB of GP PracticeNHS LANCASHIRE AND SOUTH CUMBRIA ICB - 00X (00X)EQ VAS</v>
      </c>
      <c r="C4487" t="s">
        <v>975</v>
      </c>
      <c r="D4487" t="s">
        <v>1021</v>
      </c>
      <c r="E4487" t="s">
        <v>851</v>
      </c>
      <c r="F4487" t="s">
        <v>852</v>
      </c>
      <c r="G4487" t="s">
        <v>752</v>
      </c>
      <c r="H4487">
        <v>66</v>
      </c>
      <c r="I4487">
        <v>64.424199999999999</v>
      </c>
      <c r="J4487">
        <v>73.681799999999996</v>
      </c>
      <c r="K4487">
        <v>9.2575800000000008</v>
      </c>
      <c r="L4487">
        <v>47</v>
      </c>
      <c r="M4487">
        <v>2</v>
      </c>
      <c r="N4487">
        <v>17</v>
      </c>
      <c r="O4487">
        <v>73.814099999999996</v>
      </c>
      <c r="P4487">
        <v>8.5083599999999997</v>
      </c>
      <c r="Q4487">
        <v>18.9985</v>
      </c>
    </row>
    <row r="4488" spans="1:17" x14ac:dyDescent="0.25">
      <c r="A4488" t="str">
        <f>IF(C4488&amp;G4488&amp;D4488&lt;&gt;'Funnel setup'!$K$3&amp;'Funnel setup'!$K$4&amp;'Funnel setup'!$K$6,".",IF(A4487=".",1,A4487+1))</f>
        <v>.</v>
      </c>
      <c r="B4488" s="244" t="str">
        <f t="shared" si="70"/>
        <v>Total Knee ReplacementSub-ICB of GP PracticeNHS LANCASHIRE AND SOUTH CUMBRIA ICB - 01A (01A)EQ VAS</v>
      </c>
      <c r="C4488" t="s">
        <v>975</v>
      </c>
      <c r="D4488" t="s">
        <v>1021</v>
      </c>
      <c r="E4488" t="s">
        <v>853</v>
      </c>
      <c r="F4488" t="s">
        <v>854</v>
      </c>
      <c r="G4488" t="s">
        <v>752</v>
      </c>
      <c r="H4488">
        <v>125</v>
      </c>
      <c r="I4488">
        <v>69.591999999999999</v>
      </c>
      <c r="J4488">
        <v>73.872</v>
      </c>
      <c r="K4488">
        <v>4.28</v>
      </c>
      <c r="L4488">
        <v>67</v>
      </c>
      <c r="M4488">
        <v>16</v>
      </c>
      <c r="N4488">
        <v>42</v>
      </c>
      <c r="O4488">
        <v>71.980900000000005</v>
      </c>
      <c r="P4488">
        <v>6.67516</v>
      </c>
      <c r="Q4488">
        <v>18.267499999999998</v>
      </c>
    </row>
    <row r="4489" spans="1:17" x14ac:dyDescent="0.25">
      <c r="A4489" t="str">
        <f>IF(C4489&amp;G4489&amp;D4489&lt;&gt;'Funnel setup'!$K$3&amp;'Funnel setup'!$K$4&amp;'Funnel setup'!$K$6,".",IF(A4488=".",1,A4488+1))</f>
        <v>.</v>
      </c>
      <c r="B4489" s="244" t="str">
        <f t="shared" si="70"/>
        <v>Total Knee ReplacementSub-ICB of GP PracticeNHS LANCASHIRE AND SOUTH CUMBRIA ICB - 01E (01E)EQ VAS</v>
      </c>
      <c r="C4489" t="s">
        <v>975</v>
      </c>
      <c r="D4489" t="s">
        <v>1021</v>
      </c>
      <c r="E4489" t="s">
        <v>855</v>
      </c>
      <c r="F4489" t="s">
        <v>856</v>
      </c>
      <c r="G4489" t="s">
        <v>752</v>
      </c>
      <c r="H4489">
        <v>66</v>
      </c>
      <c r="I4489">
        <v>63.560600000000001</v>
      </c>
      <c r="J4489">
        <v>77.348500000000001</v>
      </c>
      <c r="K4489">
        <v>13.7879</v>
      </c>
      <c r="L4489">
        <v>47</v>
      </c>
      <c r="M4489">
        <v>4</v>
      </c>
      <c r="N4489">
        <v>15</v>
      </c>
      <c r="O4489">
        <v>77.889799999999994</v>
      </c>
      <c r="P4489">
        <v>12.584099999999999</v>
      </c>
      <c r="Q4489">
        <v>15.6311</v>
      </c>
    </row>
    <row r="4490" spans="1:17" x14ac:dyDescent="0.25">
      <c r="A4490" t="str">
        <f>IF(C4490&amp;G4490&amp;D4490&lt;&gt;'Funnel setup'!$K$3&amp;'Funnel setup'!$K$4&amp;'Funnel setup'!$K$6,".",IF(A4489=".",1,A4489+1))</f>
        <v>.</v>
      </c>
      <c r="B4490" s="244" t="str">
        <f t="shared" si="70"/>
        <v>Total Knee ReplacementSub-ICB of GP PracticeNHS LANCASHIRE AND SOUTH CUMBRIA ICB - 01K (01K)EQ VAS</v>
      </c>
      <c r="C4490" t="s">
        <v>975</v>
      </c>
      <c r="D4490" t="s">
        <v>1021</v>
      </c>
      <c r="E4490" t="s">
        <v>857</v>
      </c>
      <c r="F4490" t="s">
        <v>858</v>
      </c>
      <c r="G4490" t="s">
        <v>752</v>
      </c>
      <c r="H4490">
        <v>175</v>
      </c>
      <c r="I4490">
        <v>65.731399999999994</v>
      </c>
      <c r="J4490">
        <v>74.3429</v>
      </c>
      <c r="K4490">
        <v>8.6114300000000004</v>
      </c>
      <c r="L4490">
        <v>110</v>
      </c>
      <c r="M4490">
        <v>16</v>
      </c>
      <c r="N4490">
        <v>49</v>
      </c>
      <c r="O4490">
        <v>73.766400000000004</v>
      </c>
      <c r="P4490">
        <v>8.4606600000000007</v>
      </c>
      <c r="Q4490">
        <v>16.632899999999999</v>
      </c>
    </row>
    <row r="4491" spans="1:17" x14ac:dyDescent="0.25">
      <c r="A4491" t="str">
        <f>IF(C4491&amp;G4491&amp;D4491&lt;&gt;'Funnel setup'!$K$3&amp;'Funnel setup'!$K$4&amp;'Funnel setup'!$K$6,".",IF(A4490=".",1,A4490+1))</f>
        <v>.</v>
      </c>
      <c r="B4491" s="244" t="str">
        <f t="shared" si="70"/>
        <v>Total Knee ReplacementSub-ICB of GP PracticeNHS LANCASHIRE AND SOUTH CUMBRIA ICB - 02G (02G)EQ VAS</v>
      </c>
      <c r="C4491" t="s">
        <v>975</v>
      </c>
      <c r="D4491" t="s">
        <v>1021</v>
      </c>
      <c r="E4491" t="s">
        <v>859</v>
      </c>
      <c r="F4491" t="s">
        <v>860</v>
      </c>
      <c r="G4491" t="s">
        <v>752</v>
      </c>
      <c r="H4491">
        <v>23</v>
      </c>
      <c r="I4491">
        <v>70.956500000000005</v>
      </c>
      <c r="J4491">
        <v>78.782600000000002</v>
      </c>
      <c r="K4491">
        <v>7.8260899999999998</v>
      </c>
      <c r="L4491">
        <v>16</v>
      </c>
      <c r="M4491">
        <v>2</v>
      </c>
      <c r="N4491">
        <v>5</v>
      </c>
      <c r="O4491" t="s">
        <v>127</v>
      </c>
      <c r="P4491" t="s">
        <v>127</v>
      </c>
      <c r="Q4491" t="s">
        <v>127</v>
      </c>
    </row>
    <row r="4492" spans="1:17" x14ac:dyDescent="0.25">
      <c r="A4492" t="str">
        <f>IF(C4492&amp;G4492&amp;D4492&lt;&gt;'Funnel setup'!$K$3&amp;'Funnel setup'!$K$4&amp;'Funnel setup'!$K$6,".",IF(A4491=".",1,A4491+1))</f>
        <v>.</v>
      </c>
      <c r="B4492" s="244" t="str">
        <f t="shared" si="70"/>
        <v>Total Knee ReplacementSub-ICB of GP PracticeNHS LANCASHIRE AND SOUTH CUMBRIA ICB - 02M (02M)EQ VAS</v>
      </c>
      <c r="C4492" t="s">
        <v>975</v>
      </c>
      <c r="D4492" t="s">
        <v>1021</v>
      </c>
      <c r="E4492" t="s">
        <v>861</v>
      </c>
      <c r="F4492" t="s">
        <v>862</v>
      </c>
      <c r="G4492" t="s">
        <v>752</v>
      </c>
      <c r="H4492">
        <v>60</v>
      </c>
      <c r="I4492">
        <v>69.966700000000003</v>
      </c>
      <c r="J4492">
        <v>74.383300000000006</v>
      </c>
      <c r="K4492">
        <v>4.4166699999999999</v>
      </c>
      <c r="L4492">
        <v>30</v>
      </c>
      <c r="M4492">
        <v>8</v>
      </c>
      <c r="N4492">
        <v>22</v>
      </c>
      <c r="O4492">
        <v>73.191100000000006</v>
      </c>
      <c r="P4492">
        <v>7.8854100000000003</v>
      </c>
      <c r="Q4492">
        <v>14.5139</v>
      </c>
    </row>
    <row r="4493" spans="1:17" x14ac:dyDescent="0.25">
      <c r="A4493" t="str">
        <f>IF(C4493&amp;G4493&amp;D4493&lt;&gt;'Funnel setup'!$K$3&amp;'Funnel setup'!$K$4&amp;'Funnel setup'!$K$6,".",IF(A4492=".",1,A4492+1))</f>
        <v>.</v>
      </c>
      <c r="B4493" s="244" t="str">
        <f t="shared" si="70"/>
        <v>Total Knee ReplacementSub-ICB of GP PracticeNHS LEICESTER, LEICESTERSHIRE AND RUTLAND ICB - 03W (03W)EQ VAS</v>
      </c>
      <c r="C4493" t="s">
        <v>975</v>
      </c>
      <c r="D4493" t="s">
        <v>1021</v>
      </c>
      <c r="E4493" t="s">
        <v>863</v>
      </c>
      <c r="F4493" t="s">
        <v>864</v>
      </c>
      <c r="G4493" t="s">
        <v>752</v>
      </c>
      <c r="H4493">
        <v>146</v>
      </c>
      <c r="I4493">
        <v>62.9315</v>
      </c>
      <c r="J4493">
        <v>75.246600000000001</v>
      </c>
      <c r="K4493">
        <v>12.315099999999999</v>
      </c>
      <c r="L4493">
        <v>89</v>
      </c>
      <c r="M4493">
        <v>15</v>
      </c>
      <c r="N4493">
        <v>42</v>
      </c>
      <c r="O4493">
        <v>75.444599999999994</v>
      </c>
      <c r="P4493">
        <v>10.1389</v>
      </c>
      <c r="Q4493">
        <v>14.4803</v>
      </c>
    </row>
    <row r="4494" spans="1:17" x14ac:dyDescent="0.25">
      <c r="A4494" t="str">
        <f>IF(C4494&amp;G4494&amp;D4494&lt;&gt;'Funnel setup'!$K$3&amp;'Funnel setup'!$K$4&amp;'Funnel setup'!$K$6,".",IF(A4493=".",1,A4493+1))</f>
        <v>.</v>
      </c>
      <c r="B4494" s="244" t="str">
        <f t="shared" si="70"/>
        <v>Total Knee ReplacementSub-ICB of GP PracticeNHS LEICESTER, LEICESTERSHIRE AND RUTLAND ICB - 04C (04C)EQ VAS</v>
      </c>
      <c r="C4494" t="s">
        <v>975</v>
      </c>
      <c r="D4494" t="s">
        <v>1021</v>
      </c>
      <c r="E4494" t="s">
        <v>865</v>
      </c>
      <c r="F4494" t="s">
        <v>866</v>
      </c>
      <c r="G4494" t="s">
        <v>752</v>
      </c>
      <c r="H4494">
        <v>42</v>
      </c>
      <c r="I4494">
        <v>60.8095</v>
      </c>
      <c r="J4494">
        <v>66.071399999999997</v>
      </c>
      <c r="K4494">
        <v>5.2618999999999998</v>
      </c>
      <c r="L4494">
        <v>24</v>
      </c>
      <c r="M4494">
        <v>5</v>
      </c>
      <c r="N4494">
        <v>13</v>
      </c>
      <c r="O4494">
        <v>71.579599999999999</v>
      </c>
      <c r="P4494">
        <v>6.2738399999999999</v>
      </c>
      <c r="Q4494">
        <v>16.5776</v>
      </c>
    </row>
    <row r="4495" spans="1:17" x14ac:dyDescent="0.25">
      <c r="A4495" t="str">
        <f>IF(C4495&amp;G4495&amp;D4495&lt;&gt;'Funnel setup'!$K$3&amp;'Funnel setup'!$K$4&amp;'Funnel setup'!$K$6,".",IF(A4494=".",1,A4494+1))</f>
        <v>.</v>
      </c>
      <c r="B4495" s="244" t="str">
        <f t="shared" si="70"/>
        <v>Total Knee ReplacementSub-ICB of GP PracticeNHS LEICESTER, LEICESTERSHIRE AND RUTLAND ICB - 04V (04V)EQ VAS</v>
      </c>
      <c r="C4495" t="s">
        <v>975</v>
      </c>
      <c r="D4495" t="s">
        <v>1021</v>
      </c>
      <c r="E4495" t="s">
        <v>867</v>
      </c>
      <c r="F4495" t="s">
        <v>868</v>
      </c>
      <c r="G4495" t="s">
        <v>752</v>
      </c>
      <c r="H4495">
        <v>156</v>
      </c>
      <c r="I4495">
        <v>61.538499999999999</v>
      </c>
      <c r="J4495">
        <v>74.237200000000001</v>
      </c>
      <c r="K4495">
        <v>12.698700000000001</v>
      </c>
      <c r="L4495">
        <v>105</v>
      </c>
      <c r="M4495">
        <v>16</v>
      </c>
      <c r="N4495">
        <v>35</v>
      </c>
      <c r="O4495">
        <v>76.297899999999998</v>
      </c>
      <c r="P4495">
        <v>10.9922</v>
      </c>
      <c r="Q4495">
        <v>16.810600000000001</v>
      </c>
    </row>
    <row r="4496" spans="1:17" x14ac:dyDescent="0.25">
      <c r="A4496" t="str">
        <f>IF(C4496&amp;G4496&amp;D4496&lt;&gt;'Funnel setup'!$K$3&amp;'Funnel setup'!$K$4&amp;'Funnel setup'!$K$6,".",IF(A4495=".",1,A4495+1))</f>
        <v>.</v>
      </c>
      <c r="B4496" s="244" t="str">
        <f t="shared" si="70"/>
        <v>Total Knee ReplacementSub-ICB of GP PracticeNHS LINCOLNSHIRE ICB - 71E (71E)EQ VAS</v>
      </c>
      <c r="C4496" t="s">
        <v>975</v>
      </c>
      <c r="D4496" t="s">
        <v>1021</v>
      </c>
      <c r="E4496" t="s">
        <v>869</v>
      </c>
      <c r="F4496" t="s">
        <v>870</v>
      </c>
      <c r="G4496" t="s">
        <v>752</v>
      </c>
      <c r="H4496">
        <v>280</v>
      </c>
      <c r="I4496">
        <v>67.817899999999995</v>
      </c>
      <c r="J4496">
        <v>75.439300000000003</v>
      </c>
      <c r="K4496">
        <v>7.6214300000000001</v>
      </c>
      <c r="L4496">
        <v>165</v>
      </c>
      <c r="M4496">
        <v>32</v>
      </c>
      <c r="N4496">
        <v>83</v>
      </c>
      <c r="O4496">
        <v>73.524500000000003</v>
      </c>
      <c r="P4496">
        <v>8.2187999999999999</v>
      </c>
      <c r="Q4496">
        <v>16.304500000000001</v>
      </c>
    </row>
    <row r="4497" spans="1:17" x14ac:dyDescent="0.25">
      <c r="A4497" t="str">
        <f>IF(C4497&amp;G4497&amp;D4497&lt;&gt;'Funnel setup'!$K$3&amp;'Funnel setup'!$K$4&amp;'Funnel setup'!$K$6,".",IF(A4496=".",1,A4496+1))</f>
        <v>.</v>
      </c>
      <c r="B4497" s="244" t="str">
        <f t="shared" si="70"/>
        <v>Total Knee ReplacementSub-ICB of GP PracticeNHS MID AND SOUTH ESSEX ICB - 06Q (06Q)EQ VAS</v>
      </c>
      <c r="C4497" t="s">
        <v>975</v>
      </c>
      <c r="D4497" t="s">
        <v>1021</v>
      </c>
      <c r="E4497" t="s">
        <v>871</v>
      </c>
      <c r="F4497" t="s">
        <v>872</v>
      </c>
      <c r="G4497" t="s">
        <v>752</v>
      </c>
      <c r="H4497">
        <v>120</v>
      </c>
      <c r="I4497">
        <v>65.825000000000003</v>
      </c>
      <c r="J4497">
        <v>74.166700000000006</v>
      </c>
      <c r="K4497">
        <v>8.3416700000000006</v>
      </c>
      <c r="L4497">
        <v>76</v>
      </c>
      <c r="M4497">
        <v>11</v>
      </c>
      <c r="N4497">
        <v>33</v>
      </c>
      <c r="O4497">
        <v>72.857100000000003</v>
      </c>
      <c r="P4497">
        <v>7.5514200000000002</v>
      </c>
      <c r="Q4497">
        <v>16.998200000000001</v>
      </c>
    </row>
    <row r="4498" spans="1:17" x14ac:dyDescent="0.25">
      <c r="A4498" t="str">
        <f>IF(C4498&amp;G4498&amp;D4498&lt;&gt;'Funnel setup'!$K$3&amp;'Funnel setup'!$K$4&amp;'Funnel setup'!$K$6,".",IF(A4497=".",1,A4497+1))</f>
        <v>.</v>
      </c>
      <c r="B4498" s="244" t="str">
        <f t="shared" si="70"/>
        <v>Total Knee ReplacementSub-ICB of GP PracticeNHS MID AND SOUTH ESSEX ICB - 07G (07G)EQ VAS</v>
      </c>
      <c r="C4498" t="s">
        <v>975</v>
      </c>
      <c r="D4498" t="s">
        <v>1021</v>
      </c>
      <c r="E4498" t="s">
        <v>873</v>
      </c>
      <c r="F4498" t="s">
        <v>874</v>
      </c>
      <c r="G4498" t="s">
        <v>752</v>
      </c>
      <c r="H4498">
        <v>19</v>
      </c>
      <c r="I4498">
        <v>67.368399999999994</v>
      </c>
      <c r="J4498">
        <v>73.368399999999994</v>
      </c>
      <c r="K4498">
        <v>6</v>
      </c>
      <c r="L4498">
        <v>11</v>
      </c>
      <c r="M4498">
        <v>3</v>
      </c>
      <c r="N4498">
        <v>5</v>
      </c>
      <c r="O4498" t="s">
        <v>127</v>
      </c>
      <c r="P4498" t="s">
        <v>127</v>
      </c>
      <c r="Q4498" t="s">
        <v>127</v>
      </c>
    </row>
    <row r="4499" spans="1:17" x14ac:dyDescent="0.25">
      <c r="A4499" t="str">
        <f>IF(C4499&amp;G4499&amp;D4499&lt;&gt;'Funnel setup'!$K$3&amp;'Funnel setup'!$K$4&amp;'Funnel setup'!$K$6,".",IF(A4498=".",1,A4498+1))</f>
        <v>.</v>
      </c>
      <c r="B4499" s="244" t="str">
        <f t="shared" si="70"/>
        <v>Total Knee ReplacementSub-ICB of GP PracticeNHS MID AND SOUTH ESSEX ICB - 99E (99E)EQ VAS</v>
      </c>
      <c r="C4499" t="s">
        <v>975</v>
      </c>
      <c r="D4499" t="s">
        <v>1021</v>
      </c>
      <c r="E4499" t="s">
        <v>875</v>
      </c>
      <c r="F4499" t="s">
        <v>876</v>
      </c>
      <c r="G4499" t="s">
        <v>752</v>
      </c>
      <c r="H4499">
        <v>51</v>
      </c>
      <c r="I4499">
        <v>61.784300000000002</v>
      </c>
      <c r="J4499">
        <v>67.549000000000007</v>
      </c>
      <c r="K4499">
        <v>5.76471</v>
      </c>
      <c r="L4499">
        <v>31</v>
      </c>
      <c r="M4499">
        <v>3</v>
      </c>
      <c r="N4499">
        <v>17</v>
      </c>
      <c r="O4499">
        <v>69.602400000000003</v>
      </c>
      <c r="P4499">
        <v>4.29671</v>
      </c>
      <c r="Q4499">
        <v>19.0685</v>
      </c>
    </row>
    <row r="4500" spans="1:17" x14ac:dyDescent="0.25">
      <c r="A4500" t="str">
        <f>IF(C4500&amp;G4500&amp;D4500&lt;&gt;'Funnel setup'!$K$3&amp;'Funnel setup'!$K$4&amp;'Funnel setup'!$K$6,".",IF(A4499=".",1,A4499+1))</f>
        <v>.</v>
      </c>
      <c r="B4500" s="244" t="str">
        <f t="shared" si="70"/>
        <v>Total Knee ReplacementSub-ICB of GP PracticeNHS MID AND SOUTH ESSEX ICB - 99F (99F)EQ VAS</v>
      </c>
      <c r="C4500" t="s">
        <v>975</v>
      </c>
      <c r="D4500" t="s">
        <v>1021</v>
      </c>
      <c r="E4500" t="s">
        <v>877</v>
      </c>
      <c r="F4500" t="s">
        <v>878</v>
      </c>
      <c r="G4500" t="s">
        <v>752</v>
      </c>
      <c r="H4500">
        <v>33</v>
      </c>
      <c r="I4500">
        <v>61.333300000000001</v>
      </c>
      <c r="J4500">
        <v>69.484800000000007</v>
      </c>
      <c r="K4500">
        <v>8.1515199999999997</v>
      </c>
      <c r="L4500">
        <v>21</v>
      </c>
      <c r="M4500">
        <v>3</v>
      </c>
      <c r="N4500">
        <v>9</v>
      </c>
      <c r="O4500">
        <v>71.235500000000002</v>
      </c>
      <c r="P4500">
        <v>5.9298099999999998</v>
      </c>
      <c r="Q4500">
        <v>17.782499999999999</v>
      </c>
    </row>
    <row r="4501" spans="1:17" x14ac:dyDescent="0.25">
      <c r="A4501" t="str">
        <f>IF(C4501&amp;G4501&amp;D4501&lt;&gt;'Funnel setup'!$K$3&amp;'Funnel setup'!$K$4&amp;'Funnel setup'!$K$6,".",IF(A4500=".",1,A4500+1))</f>
        <v>.</v>
      </c>
      <c r="B4501" s="244" t="str">
        <f t="shared" si="70"/>
        <v>Total Knee ReplacementSub-ICB of GP PracticeNHS MID AND SOUTH ESSEX ICB - 99G (99G)EQ VAS</v>
      </c>
      <c r="C4501" t="s">
        <v>975</v>
      </c>
      <c r="D4501" t="s">
        <v>1021</v>
      </c>
      <c r="E4501" t="s">
        <v>879</v>
      </c>
      <c r="F4501" t="s">
        <v>880</v>
      </c>
      <c r="G4501" t="s">
        <v>752</v>
      </c>
      <c r="H4501">
        <v>12</v>
      </c>
      <c r="I4501">
        <v>71.25</v>
      </c>
      <c r="J4501">
        <v>69.916700000000006</v>
      </c>
      <c r="K4501">
        <v>-1.3333299999999999</v>
      </c>
      <c r="L4501">
        <v>6</v>
      </c>
      <c r="M4501">
        <v>1</v>
      </c>
      <c r="N4501">
        <v>5</v>
      </c>
      <c r="O4501" t="s">
        <v>127</v>
      </c>
      <c r="P4501" t="s">
        <v>127</v>
      </c>
      <c r="Q4501" t="s">
        <v>127</v>
      </c>
    </row>
    <row r="4502" spans="1:17" x14ac:dyDescent="0.25">
      <c r="A4502" t="str">
        <f>IF(C4502&amp;G4502&amp;D4502&lt;&gt;'Funnel setup'!$K$3&amp;'Funnel setup'!$K$4&amp;'Funnel setup'!$K$6,".",IF(A4501=".",1,A4501+1))</f>
        <v>.</v>
      </c>
      <c r="B4502" s="244" t="str">
        <f t="shared" si="70"/>
        <v>Total Knee ReplacementSub-ICB of GP PracticeNHS NORFOLK AND WAVENEY ICB - 26A (26A)EQ VAS</v>
      </c>
      <c r="C4502" t="s">
        <v>975</v>
      </c>
      <c r="D4502" t="s">
        <v>1021</v>
      </c>
      <c r="E4502" t="s">
        <v>881</v>
      </c>
      <c r="F4502" t="s">
        <v>882</v>
      </c>
      <c r="G4502" t="s">
        <v>752</v>
      </c>
      <c r="H4502">
        <v>308</v>
      </c>
      <c r="I4502">
        <v>60.720799999999997</v>
      </c>
      <c r="J4502">
        <v>70.6721</v>
      </c>
      <c r="K4502">
        <v>9.9512999999999998</v>
      </c>
      <c r="L4502">
        <v>190</v>
      </c>
      <c r="M4502">
        <v>36</v>
      </c>
      <c r="N4502">
        <v>82</v>
      </c>
      <c r="O4502">
        <v>73.242000000000004</v>
      </c>
      <c r="P4502">
        <v>7.9363000000000001</v>
      </c>
      <c r="Q4502">
        <v>16.975200000000001</v>
      </c>
    </row>
    <row r="4503" spans="1:17" x14ac:dyDescent="0.25">
      <c r="A4503" t="str">
        <f>IF(C4503&amp;G4503&amp;D4503&lt;&gt;'Funnel setup'!$K$3&amp;'Funnel setup'!$K$4&amp;'Funnel setup'!$K$6,".",IF(A4502=".",1,A4502+1))</f>
        <v>.</v>
      </c>
      <c r="B4503" s="244" t="str">
        <f t="shared" si="70"/>
        <v>Total Knee ReplacementSub-ICB of GP PracticeNHS NORTH CENTRAL LONDON ICB - 93C (93C)EQ VAS</v>
      </c>
      <c r="C4503" t="s">
        <v>975</v>
      </c>
      <c r="D4503" t="s">
        <v>1021</v>
      </c>
      <c r="E4503" t="s">
        <v>883</v>
      </c>
      <c r="F4503" t="s">
        <v>884</v>
      </c>
      <c r="G4503" t="s">
        <v>752</v>
      </c>
      <c r="H4503">
        <v>148</v>
      </c>
      <c r="I4503">
        <v>65.385099999999994</v>
      </c>
      <c r="J4503">
        <v>72.702699999999993</v>
      </c>
      <c r="K4503">
        <v>7.3175699999999999</v>
      </c>
      <c r="L4503">
        <v>84</v>
      </c>
      <c r="M4503">
        <v>20</v>
      </c>
      <c r="N4503">
        <v>44</v>
      </c>
      <c r="O4503">
        <v>73.9649</v>
      </c>
      <c r="P4503">
        <v>8.6591900000000006</v>
      </c>
      <c r="Q4503">
        <v>16.3765</v>
      </c>
    </row>
    <row r="4504" spans="1:17" x14ac:dyDescent="0.25">
      <c r="A4504" t="str">
        <f>IF(C4504&amp;G4504&amp;D4504&lt;&gt;'Funnel setup'!$K$3&amp;'Funnel setup'!$K$4&amp;'Funnel setup'!$K$6,".",IF(A4503=".",1,A4503+1))</f>
        <v>.</v>
      </c>
      <c r="B4504" s="244" t="str">
        <f t="shared" si="70"/>
        <v>Total Knee ReplacementSub-ICB of GP PracticeNHS NORTH EAST AND NORTH CUMBRIA ICB - 00L (00L)EQ VAS</v>
      </c>
      <c r="C4504" t="s">
        <v>975</v>
      </c>
      <c r="D4504" t="s">
        <v>1021</v>
      </c>
      <c r="E4504" t="s">
        <v>885</v>
      </c>
      <c r="F4504" t="s">
        <v>886</v>
      </c>
      <c r="G4504" t="s">
        <v>752</v>
      </c>
      <c r="H4504">
        <v>198</v>
      </c>
      <c r="I4504">
        <v>62.459600000000002</v>
      </c>
      <c r="J4504">
        <v>72.358599999999996</v>
      </c>
      <c r="K4504">
        <v>9.8989899999999995</v>
      </c>
      <c r="L4504">
        <v>128</v>
      </c>
      <c r="M4504">
        <v>19</v>
      </c>
      <c r="N4504">
        <v>51</v>
      </c>
      <c r="O4504">
        <v>73.645899999999997</v>
      </c>
      <c r="P4504">
        <v>8.3401300000000003</v>
      </c>
      <c r="Q4504">
        <v>16.7209</v>
      </c>
    </row>
    <row r="4505" spans="1:17" x14ac:dyDescent="0.25">
      <c r="A4505" t="str">
        <f>IF(C4505&amp;G4505&amp;D4505&lt;&gt;'Funnel setup'!$K$3&amp;'Funnel setup'!$K$4&amp;'Funnel setup'!$K$6,".",IF(A4504=".",1,A4504+1))</f>
        <v>.</v>
      </c>
      <c r="B4505" s="244" t="str">
        <f t="shared" si="70"/>
        <v>Total Knee ReplacementSub-ICB of GP PracticeNHS NORTH EAST AND NORTH CUMBRIA ICB - 00N (00N)EQ VAS</v>
      </c>
      <c r="C4505" t="s">
        <v>975</v>
      </c>
      <c r="D4505" t="s">
        <v>1021</v>
      </c>
      <c r="E4505" t="s">
        <v>887</v>
      </c>
      <c r="F4505" t="s">
        <v>888</v>
      </c>
      <c r="G4505" t="s">
        <v>752</v>
      </c>
      <c r="H4505">
        <v>9</v>
      </c>
      <c r="I4505">
        <v>73.444400000000002</v>
      </c>
      <c r="J4505">
        <v>86.777799999999999</v>
      </c>
      <c r="K4505">
        <v>13.333299999999999</v>
      </c>
      <c r="L4505">
        <v>5</v>
      </c>
      <c r="M4505">
        <v>0</v>
      </c>
      <c r="N4505">
        <v>4</v>
      </c>
      <c r="O4505" t="s">
        <v>127</v>
      </c>
      <c r="P4505" t="s">
        <v>127</v>
      </c>
      <c r="Q4505" t="s">
        <v>127</v>
      </c>
    </row>
    <row r="4506" spans="1:17" x14ac:dyDescent="0.25">
      <c r="A4506" t="str">
        <f>IF(C4506&amp;G4506&amp;D4506&lt;&gt;'Funnel setup'!$K$3&amp;'Funnel setup'!$K$4&amp;'Funnel setup'!$K$6,".",IF(A4505=".",1,A4505+1))</f>
        <v>.</v>
      </c>
      <c r="B4506" s="244" t="str">
        <f t="shared" si="70"/>
        <v>Total Knee ReplacementSub-ICB of GP PracticeNHS NORTH EAST AND NORTH CUMBRIA ICB - 00P (00P)EQ VAS</v>
      </c>
      <c r="C4506" t="s">
        <v>975</v>
      </c>
      <c r="D4506" t="s">
        <v>1021</v>
      </c>
      <c r="E4506" t="s">
        <v>889</v>
      </c>
      <c r="F4506" t="s">
        <v>890</v>
      </c>
      <c r="G4506" t="s">
        <v>752</v>
      </c>
      <c r="H4506">
        <v>26</v>
      </c>
      <c r="I4506">
        <v>65.153800000000004</v>
      </c>
      <c r="J4506">
        <v>71.769199999999998</v>
      </c>
      <c r="K4506">
        <v>6.61538</v>
      </c>
      <c r="L4506">
        <v>17</v>
      </c>
      <c r="M4506">
        <v>2</v>
      </c>
      <c r="N4506">
        <v>7</v>
      </c>
      <c r="O4506" t="s">
        <v>127</v>
      </c>
      <c r="P4506" t="s">
        <v>127</v>
      </c>
      <c r="Q4506" t="s">
        <v>127</v>
      </c>
    </row>
    <row r="4507" spans="1:17" x14ac:dyDescent="0.25">
      <c r="A4507" t="str">
        <f>IF(C4507&amp;G4507&amp;D4507&lt;&gt;'Funnel setup'!$K$3&amp;'Funnel setup'!$K$4&amp;'Funnel setup'!$K$6,".",IF(A4506=".",1,A4506+1))</f>
        <v>.</v>
      </c>
      <c r="B4507" s="244" t="str">
        <f t="shared" si="70"/>
        <v>Total Knee ReplacementSub-ICB of GP PracticeNHS NORTH EAST AND NORTH CUMBRIA ICB - 01H (01H)EQ VAS</v>
      </c>
      <c r="C4507" t="s">
        <v>975</v>
      </c>
      <c r="D4507" t="s">
        <v>1021</v>
      </c>
      <c r="E4507" t="s">
        <v>891</v>
      </c>
      <c r="F4507" t="s">
        <v>892</v>
      </c>
      <c r="G4507" t="s">
        <v>752</v>
      </c>
      <c r="H4507">
        <v>201</v>
      </c>
      <c r="I4507">
        <v>67.383099999999999</v>
      </c>
      <c r="J4507">
        <v>75.865700000000004</v>
      </c>
      <c r="K4507">
        <v>8.4825900000000001</v>
      </c>
      <c r="L4507">
        <v>122</v>
      </c>
      <c r="M4507">
        <v>23</v>
      </c>
      <c r="N4507">
        <v>56</v>
      </c>
      <c r="O4507">
        <v>74.677700000000002</v>
      </c>
      <c r="P4507">
        <v>9.3720300000000005</v>
      </c>
      <c r="Q4507">
        <v>17.039200000000001</v>
      </c>
    </row>
    <row r="4508" spans="1:17" x14ac:dyDescent="0.25">
      <c r="A4508" t="str">
        <f>IF(C4508&amp;G4508&amp;D4508&lt;&gt;'Funnel setup'!$K$3&amp;'Funnel setup'!$K$4&amp;'Funnel setup'!$K$6,".",IF(A4507=".",1,A4507+1))</f>
        <v>.</v>
      </c>
      <c r="B4508" s="244" t="str">
        <f t="shared" si="70"/>
        <v>Total Knee ReplacementSub-ICB of GP PracticeNHS NORTH EAST AND NORTH CUMBRIA ICB - 13T (13T)EQ VAS</v>
      </c>
      <c r="C4508" t="s">
        <v>975</v>
      </c>
      <c r="D4508" t="s">
        <v>1021</v>
      </c>
      <c r="E4508" t="s">
        <v>893</v>
      </c>
      <c r="F4508" t="s">
        <v>894</v>
      </c>
      <c r="G4508" t="s">
        <v>752</v>
      </c>
      <c r="H4508">
        <v>65</v>
      </c>
      <c r="I4508">
        <v>61.230800000000002</v>
      </c>
      <c r="J4508">
        <v>73.0154</v>
      </c>
      <c r="K4508">
        <v>11.784599999999999</v>
      </c>
      <c r="L4508">
        <v>48</v>
      </c>
      <c r="M4508">
        <v>5</v>
      </c>
      <c r="N4508">
        <v>12</v>
      </c>
      <c r="O4508">
        <v>75.648899999999998</v>
      </c>
      <c r="P4508">
        <v>10.3432</v>
      </c>
      <c r="Q4508">
        <v>15.4801</v>
      </c>
    </row>
    <row r="4509" spans="1:17" x14ac:dyDescent="0.25">
      <c r="A4509" t="str">
        <f>IF(C4509&amp;G4509&amp;D4509&lt;&gt;'Funnel setup'!$K$3&amp;'Funnel setup'!$K$4&amp;'Funnel setup'!$K$6,".",IF(A4508=".",1,A4508+1))</f>
        <v>.</v>
      </c>
      <c r="B4509" s="244" t="str">
        <f t="shared" si="70"/>
        <v>Total Knee ReplacementSub-ICB of GP PracticeNHS NORTH EAST AND NORTH CUMBRIA ICB - 16C (16C)EQ VAS</v>
      </c>
      <c r="C4509" t="s">
        <v>975</v>
      </c>
      <c r="D4509" t="s">
        <v>1021</v>
      </c>
      <c r="E4509" t="s">
        <v>895</v>
      </c>
      <c r="F4509" t="s">
        <v>896</v>
      </c>
      <c r="G4509" t="s">
        <v>752</v>
      </c>
      <c r="H4509">
        <v>380</v>
      </c>
      <c r="I4509">
        <v>69.021100000000004</v>
      </c>
      <c r="J4509">
        <v>72.931600000000003</v>
      </c>
      <c r="K4509">
        <v>3.9105300000000001</v>
      </c>
      <c r="L4509">
        <v>209</v>
      </c>
      <c r="M4509">
        <v>47</v>
      </c>
      <c r="N4509">
        <v>124</v>
      </c>
      <c r="O4509">
        <v>72.927899999999994</v>
      </c>
      <c r="P4509">
        <v>7.6221800000000002</v>
      </c>
      <c r="Q4509">
        <v>17.965599999999998</v>
      </c>
    </row>
    <row r="4510" spans="1:17" x14ac:dyDescent="0.25">
      <c r="A4510" t="str">
        <f>IF(C4510&amp;G4510&amp;D4510&lt;&gt;'Funnel setup'!$K$3&amp;'Funnel setup'!$K$4&amp;'Funnel setup'!$K$6,".",IF(A4509=".",1,A4509+1))</f>
        <v>.</v>
      </c>
      <c r="B4510" s="244" t="str">
        <f t="shared" si="70"/>
        <v>Total Knee ReplacementSub-ICB of GP PracticeNHS NORTH EAST AND NORTH CUMBRIA ICB - 84H (84H)EQ VAS</v>
      </c>
      <c r="C4510" t="s">
        <v>975</v>
      </c>
      <c r="D4510" t="s">
        <v>1021</v>
      </c>
      <c r="E4510" t="s">
        <v>897</v>
      </c>
      <c r="F4510" t="s">
        <v>898</v>
      </c>
      <c r="G4510" t="s">
        <v>752</v>
      </c>
      <c r="H4510">
        <v>276</v>
      </c>
      <c r="I4510">
        <v>67.514499999999998</v>
      </c>
      <c r="J4510">
        <v>74.188400000000001</v>
      </c>
      <c r="K4510">
        <v>6.6739100000000002</v>
      </c>
      <c r="L4510">
        <v>166</v>
      </c>
      <c r="M4510">
        <v>25</v>
      </c>
      <c r="N4510">
        <v>85</v>
      </c>
      <c r="O4510">
        <v>73.820800000000006</v>
      </c>
      <c r="P4510">
        <v>8.5151000000000003</v>
      </c>
      <c r="Q4510">
        <v>14.7057</v>
      </c>
    </row>
    <row r="4511" spans="1:17" x14ac:dyDescent="0.25">
      <c r="A4511" t="str">
        <f>IF(C4511&amp;G4511&amp;D4511&lt;&gt;'Funnel setup'!$K$3&amp;'Funnel setup'!$K$4&amp;'Funnel setup'!$K$6,".",IF(A4510=".",1,A4510+1))</f>
        <v>.</v>
      </c>
      <c r="B4511" s="244" t="str">
        <f t="shared" si="70"/>
        <v>Total Knee ReplacementSub-ICB of GP PracticeNHS NORTH EAST AND NORTH CUMBRIA ICB - 99C (99C)EQ VAS</v>
      </c>
      <c r="C4511" t="s">
        <v>975</v>
      </c>
      <c r="D4511" t="s">
        <v>1021</v>
      </c>
      <c r="E4511" t="s">
        <v>899</v>
      </c>
      <c r="F4511" t="s">
        <v>900</v>
      </c>
      <c r="G4511" t="s">
        <v>752</v>
      </c>
      <c r="H4511">
        <v>101</v>
      </c>
      <c r="I4511">
        <v>62.603999999999999</v>
      </c>
      <c r="J4511">
        <v>75.455399999999997</v>
      </c>
      <c r="K4511">
        <v>12.8515</v>
      </c>
      <c r="L4511">
        <v>70</v>
      </c>
      <c r="M4511">
        <v>10</v>
      </c>
      <c r="N4511">
        <v>21</v>
      </c>
      <c r="O4511">
        <v>76.597200000000001</v>
      </c>
      <c r="P4511">
        <v>11.291499999999999</v>
      </c>
      <c r="Q4511">
        <v>14.356</v>
      </c>
    </row>
    <row r="4512" spans="1:17" x14ac:dyDescent="0.25">
      <c r="A4512" t="str">
        <f>IF(C4512&amp;G4512&amp;D4512&lt;&gt;'Funnel setup'!$K$3&amp;'Funnel setup'!$K$4&amp;'Funnel setup'!$K$6,".",IF(A4511=".",1,A4511+1))</f>
        <v>.</v>
      </c>
      <c r="B4512" s="244" t="str">
        <f t="shared" si="70"/>
        <v>Total Knee ReplacementSub-ICB of GP PracticeNHS NORTH EAST LONDON ICB - A3A8R (A3A8R)EQ VAS</v>
      </c>
      <c r="C4512" t="s">
        <v>975</v>
      </c>
      <c r="D4512" t="s">
        <v>1021</v>
      </c>
      <c r="E4512" t="s">
        <v>901</v>
      </c>
      <c r="F4512" t="s">
        <v>902</v>
      </c>
      <c r="G4512" t="s">
        <v>752</v>
      </c>
      <c r="H4512">
        <v>218</v>
      </c>
      <c r="I4512">
        <v>61.692700000000002</v>
      </c>
      <c r="J4512">
        <v>69.463300000000004</v>
      </c>
      <c r="K4512">
        <v>7.7706400000000002</v>
      </c>
      <c r="L4512">
        <v>133</v>
      </c>
      <c r="M4512">
        <v>20</v>
      </c>
      <c r="N4512">
        <v>65</v>
      </c>
      <c r="O4512">
        <v>73.1357</v>
      </c>
      <c r="P4512">
        <v>7.8299599999999998</v>
      </c>
      <c r="Q4512">
        <v>17.1157</v>
      </c>
    </row>
    <row r="4513" spans="1:17" x14ac:dyDescent="0.25">
      <c r="A4513" t="str">
        <f>IF(C4513&amp;G4513&amp;D4513&lt;&gt;'Funnel setup'!$K$3&amp;'Funnel setup'!$K$4&amp;'Funnel setup'!$K$6,".",IF(A4512=".",1,A4512+1))</f>
        <v>.</v>
      </c>
      <c r="B4513" s="244" t="str">
        <f t="shared" si="70"/>
        <v>Total Knee ReplacementSub-ICB of GP PracticeNHS NORTH WEST LONDON ICB - W2U3Z (W2U3Z)EQ VAS</v>
      </c>
      <c r="C4513" t="s">
        <v>975</v>
      </c>
      <c r="D4513" t="s">
        <v>1021</v>
      </c>
      <c r="E4513" t="s">
        <v>903</v>
      </c>
      <c r="F4513" t="s">
        <v>904</v>
      </c>
      <c r="G4513" t="s">
        <v>752</v>
      </c>
      <c r="H4513">
        <v>201</v>
      </c>
      <c r="I4513">
        <v>63.860700000000001</v>
      </c>
      <c r="J4513">
        <v>70.3035</v>
      </c>
      <c r="K4513">
        <v>6.4427899999999996</v>
      </c>
      <c r="L4513">
        <v>118</v>
      </c>
      <c r="M4513">
        <v>22</v>
      </c>
      <c r="N4513">
        <v>61</v>
      </c>
      <c r="O4513">
        <v>71.869799999999998</v>
      </c>
      <c r="P4513">
        <v>6.5640599999999996</v>
      </c>
      <c r="Q4513">
        <v>18.8826</v>
      </c>
    </row>
    <row r="4514" spans="1:17" x14ac:dyDescent="0.25">
      <c r="A4514" t="str">
        <f>IF(C4514&amp;G4514&amp;D4514&lt;&gt;'Funnel setup'!$K$3&amp;'Funnel setup'!$K$4&amp;'Funnel setup'!$K$6,".",IF(A4513=".",1,A4513+1))</f>
        <v>.</v>
      </c>
      <c r="B4514" s="244" t="str">
        <f t="shared" si="70"/>
        <v>Total Knee ReplacementSub-ICB of GP PracticeNHS NORTHAMPTONSHIRE ICB - 78H (78H)EQ VAS</v>
      </c>
      <c r="C4514" t="s">
        <v>975</v>
      </c>
      <c r="D4514" t="s">
        <v>1021</v>
      </c>
      <c r="E4514" t="s">
        <v>905</v>
      </c>
      <c r="F4514" t="s">
        <v>906</v>
      </c>
      <c r="G4514" t="s">
        <v>752</v>
      </c>
      <c r="H4514">
        <v>225</v>
      </c>
      <c r="I4514">
        <v>60.168900000000001</v>
      </c>
      <c r="J4514">
        <v>72.653300000000002</v>
      </c>
      <c r="K4514">
        <v>12.484400000000001</v>
      </c>
      <c r="L4514">
        <v>145</v>
      </c>
      <c r="M4514">
        <v>19</v>
      </c>
      <c r="N4514">
        <v>61</v>
      </c>
      <c r="O4514">
        <v>73.419700000000006</v>
      </c>
      <c r="P4514">
        <v>8.1140299999999996</v>
      </c>
      <c r="Q4514">
        <v>18.024799999999999</v>
      </c>
    </row>
    <row r="4515" spans="1:17" x14ac:dyDescent="0.25">
      <c r="A4515" t="str">
        <f>IF(C4515&amp;G4515&amp;D4515&lt;&gt;'Funnel setup'!$K$3&amp;'Funnel setup'!$K$4&amp;'Funnel setup'!$K$6,".",IF(A4514=".",1,A4514+1))</f>
        <v>.</v>
      </c>
      <c r="B4515" s="244" t="str">
        <f t="shared" si="70"/>
        <v>Total Knee ReplacementSub-ICB of GP PracticeNHS NOTTINGHAM AND NOTTINGHAMSHIRE ICB - 02Q (02Q)EQ VAS</v>
      </c>
      <c r="C4515" t="s">
        <v>975</v>
      </c>
      <c r="D4515" t="s">
        <v>1021</v>
      </c>
      <c r="E4515" t="s">
        <v>907</v>
      </c>
      <c r="F4515" t="s">
        <v>908</v>
      </c>
      <c r="G4515" t="s">
        <v>752</v>
      </c>
      <c r="H4515">
        <v>45</v>
      </c>
      <c r="I4515">
        <v>63.222200000000001</v>
      </c>
      <c r="J4515">
        <v>72.755600000000001</v>
      </c>
      <c r="K4515">
        <v>9.5333299999999994</v>
      </c>
      <c r="L4515">
        <v>32</v>
      </c>
      <c r="M4515">
        <v>2</v>
      </c>
      <c r="N4515">
        <v>11</v>
      </c>
      <c r="O4515">
        <v>75.559600000000003</v>
      </c>
      <c r="P4515">
        <v>10.2538</v>
      </c>
      <c r="Q4515">
        <v>17.3901</v>
      </c>
    </row>
    <row r="4516" spans="1:17" x14ac:dyDescent="0.25">
      <c r="A4516" t="str">
        <f>IF(C4516&amp;G4516&amp;D4516&lt;&gt;'Funnel setup'!$K$3&amp;'Funnel setup'!$K$4&amp;'Funnel setup'!$K$6,".",IF(A4515=".",1,A4515+1))</f>
        <v>.</v>
      </c>
      <c r="B4516" s="244" t="str">
        <f t="shared" si="70"/>
        <v>Total Knee ReplacementSub-ICB of GP PracticeNHS NOTTINGHAM AND NOTTINGHAMSHIRE ICB - 52R (52R)EQ VAS</v>
      </c>
      <c r="C4516" t="s">
        <v>975</v>
      </c>
      <c r="D4516" t="s">
        <v>1021</v>
      </c>
      <c r="E4516" t="s">
        <v>909</v>
      </c>
      <c r="F4516" t="s">
        <v>910</v>
      </c>
      <c r="G4516" t="s">
        <v>752</v>
      </c>
      <c r="H4516">
        <v>195</v>
      </c>
      <c r="I4516">
        <v>65.769199999999998</v>
      </c>
      <c r="J4516">
        <v>73.7179</v>
      </c>
      <c r="K4516">
        <v>7.9487199999999998</v>
      </c>
      <c r="L4516">
        <v>123</v>
      </c>
      <c r="M4516">
        <v>19</v>
      </c>
      <c r="N4516">
        <v>53</v>
      </c>
      <c r="O4516">
        <v>72.326099999999997</v>
      </c>
      <c r="P4516">
        <v>7.0203899999999999</v>
      </c>
      <c r="Q4516">
        <v>17.980599999999999</v>
      </c>
    </row>
    <row r="4517" spans="1:17" x14ac:dyDescent="0.25">
      <c r="A4517" t="str">
        <f>IF(C4517&amp;G4517&amp;D4517&lt;&gt;'Funnel setup'!$K$3&amp;'Funnel setup'!$K$4&amp;'Funnel setup'!$K$6,".",IF(A4516=".",1,A4516+1))</f>
        <v>.</v>
      </c>
      <c r="B4517" s="244" t="str">
        <f t="shared" si="70"/>
        <v>Total Knee ReplacementSub-ICB of GP PracticeNHS SHROPSHIRE, TELFORD AND WREKIN ICB - M2L0M (M2L0M)EQ VAS</v>
      </c>
      <c r="C4517" t="s">
        <v>975</v>
      </c>
      <c r="D4517" t="s">
        <v>1021</v>
      </c>
      <c r="E4517" t="s">
        <v>911</v>
      </c>
      <c r="F4517" t="s">
        <v>912</v>
      </c>
      <c r="G4517" t="s">
        <v>752</v>
      </c>
      <c r="H4517">
        <v>194</v>
      </c>
      <c r="I4517">
        <v>60.231999999999999</v>
      </c>
      <c r="J4517">
        <v>72.788700000000006</v>
      </c>
      <c r="K4517">
        <v>12.556699999999999</v>
      </c>
      <c r="L4517">
        <v>133</v>
      </c>
      <c r="M4517">
        <v>14</v>
      </c>
      <c r="N4517">
        <v>47</v>
      </c>
      <c r="O4517">
        <v>75.248699999999999</v>
      </c>
      <c r="P4517">
        <v>9.94299</v>
      </c>
      <c r="Q4517">
        <v>15.5787</v>
      </c>
    </row>
    <row r="4518" spans="1:17" x14ac:dyDescent="0.25">
      <c r="A4518" t="str">
        <f>IF(C4518&amp;G4518&amp;D4518&lt;&gt;'Funnel setup'!$K$3&amp;'Funnel setup'!$K$4&amp;'Funnel setup'!$K$6,".",IF(A4517=".",1,A4517+1))</f>
        <v>.</v>
      </c>
      <c r="B4518" s="244" t="str">
        <f t="shared" si="70"/>
        <v>Total Knee ReplacementSub-ICB of GP PracticeNHS SOMERSET ICB - 11X (11X)EQ VAS</v>
      </c>
      <c r="C4518" t="s">
        <v>975</v>
      </c>
      <c r="D4518" t="s">
        <v>1021</v>
      </c>
      <c r="E4518" t="s">
        <v>913</v>
      </c>
      <c r="F4518" t="s">
        <v>914</v>
      </c>
      <c r="G4518" t="s">
        <v>752</v>
      </c>
      <c r="H4518">
        <v>192</v>
      </c>
      <c r="I4518">
        <v>67.416700000000006</v>
      </c>
      <c r="J4518">
        <v>76.0625</v>
      </c>
      <c r="K4518">
        <v>8.6458300000000001</v>
      </c>
      <c r="L4518">
        <v>123</v>
      </c>
      <c r="M4518">
        <v>23</v>
      </c>
      <c r="N4518">
        <v>46</v>
      </c>
      <c r="O4518">
        <v>74.167500000000004</v>
      </c>
      <c r="P4518">
        <v>8.8618000000000006</v>
      </c>
      <c r="Q4518">
        <v>18.0608</v>
      </c>
    </row>
    <row r="4519" spans="1:17" x14ac:dyDescent="0.25">
      <c r="A4519" t="str">
        <f>IF(C4519&amp;G4519&amp;D4519&lt;&gt;'Funnel setup'!$K$3&amp;'Funnel setup'!$K$4&amp;'Funnel setup'!$K$6,".",IF(A4518=".",1,A4518+1))</f>
        <v>.</v>
      </c>
      <c r="B4519" s="244" t="str">
        <f t="shared" si="70"/>
        <v>Total Knee ReplacementSub-ICB of GP PracticeNHS SOUTH EAST LONDON ICB - 72Q (72Q)EQ VAS</v>
      </c>
      <c r="C4519" t="s">
        <v>975</v>
      </c>
      <c r="D4519" t="s">
        <v>1021</v>
      </c>
      <c r="E4519" t="s">
        <v>915</v>
      </c>
      <c r="F4519" t="s">
        <v>916</v>
      </c>
      <c r="G4519" t="s">
        <v>752</v>
      </c>
      <c r="H4519">
        <v>127</v>
      </c>
      <c r="I4519">
        <v>64.992099999999994</v>
      </c>
      <c r="J4519">
        <v>71.897599999999997</v>
      </c>
      <c r="K4519">
        <v>6.9055099999999996</v>
      </c>
      <c r="L4519">
        <v>76</v>
      </c>
      <c r="M4519">
        <v>11</v>
      </c>
      <c r="N4519">
        <v>40</v>
      </c>
      <c r="O4519">
        <v>72.491</v>
      </c>
      <c r="P4519">
        <v>7.1852999999999998</v>
      </c>
      <c r="Q4519">
        <v>14.298</v>
      </c>
    </row>
    <row r="4520" spans="1:17" x14ac:dyDescent="0.25">
      <c r="A4520" t="str">
        <f>IF(C4520&amp;G4520&amp;D4520&lt;&gt;'Funnel setup'!$K$3&amp;'Funnel setup'!$K$4&amp;'Funnel setup'!$K$6,".",IF(A4519=".",1,A4519+1))</f>
        <v>.</v>
      </c>
      <c r="B4520" s="244" t="str">
        <f t="shared" si="70"/>
        <v>Total Knee ReplacementSub-ICB of GP PracticeNHS SOUTH WEST LONDON ICB - 36L (36L)EQ VAS</v>
      </c>
      <c r="C4520" t="s">
        <v>975</v>
      </c>
      <c r="D4520" t="s">
        <v>1021</v>
      </c>
      <c r="E4520" t="s">
        <v>917</v>
      </c>
      <c r="F4520" t="s">
        <v>918</v>
      </c>
      <c r="G4520" t="s">
        <v>752</v>
      </c>
      <c r="H4520">
        <v>485</v>
      </c>
      <c r="I4520">
        <v>63.428899999999999</v>
      </c>
      <c r="J4520">
        <v>73.175299999999993</v>
      </c>
      <c r="K4520">
        <v>9.7463899999999999</v>
      </c>
      <c r="L4520">
        <v>317</v>
      </c>
      <c r="M4520">
        <v>46</v>
      </c>
      <c r="N4520">
        <v>122</v>
      </c>
      <c r="O4520">
        <v>74.300700000000006</v>
      </c>
      <c r="P4520">
        <v>8.99498</v>
      </c>
      <c r="Q4520">
        <v>18.488199999999999</v>
      </c>
    </row>
    <row r="4521" spans="1:17" x14ac:dyDescent="0.25">
      <c r="A4521" t="str">
        <f>IF(C4521&amp;G4521&amp;D4521&lt;&gt;'Funnel setup'!$K$3&amp;'Funnel setup'!$K$4&amp;'Funnel setup'!$K$6,".",IF(A4520=".",1,A4520+1))</f>
        <v>.</v>
      </c>
      <c r="B4521" s="244" t="str">
        <f t="shared" si="70"/>
        <v>Total Knee ReplacementSub-ICB of GP PracticeNHS SOUTH YORKSHIRE ICB - 02P (02P)EQ VAS</v>
      </c>
      <c r="C4521" t="s">
        <v>975</v>
      </c>
      <c r="D4521" t="s">
        <v>1021</v>
      </c>
      <c r="E4521" t="s">
        <v>919</v>
      </c>
      <c r="F4521" t="s">
        <v>920</v>
      </c>
      <c r="G4521" t="s">
        <v>752</v>
      </c>
      <c r="H4521">
        <v>50</v>
      </c>
      <c r="I4521">
        <v>66.14</v>
      </c>
      <c r="J4521">
        <v>74.400000000000006</v>
      </c>
      <c r="K4521">
        <v>8.26</v>
      </c>
      <c r="L4521">
        <v>32</v>
      </c>
      <c r="M4521">
        <v>4</v>
      </c>
      <c r="N4521">
        <v>14</v>
      </c>
      <c r="O4521">
        <v>75.168400000000005</v>
      </c>
      <c r="P4521">
        <v>9.8626799999999992</v>
      </c>
      <c r="Q4521">
        <v>17.022099999999998</v>
      </c>
    </row>
    <row r="4522" spans="1:17" x14ac:dyDescent="0.25">
      <c r="A4522" t="str">
        <f>IF(C4522&amp;G4522&amp;D4522&lt;&gt;'Funnel setup'!$K$3&amp;'Funnel setup'!$K$4&amp;'Funnel setup'!$K$6,".",IF(A4521=".",1,A4521+1))</f>
        <v>.</v>
      </c>
      <c r="B4522" s="244" t="str">
        <f t="shared" si="70"/>
        <v>Total Knee ReplacementSub-ICB of GP PracticeNHS SOUTH YORKSHIRE ICB - 02X (02X)EQ VAS</v>
      </c>
      <c r="C4522" t="s">
        <v>975</v>
      </c>
      <c r="D4522" t="s">
        <v>1021</v>
      </c>
      <c r="E4522" t="s">
        <v>921</v>
      </c>
      <c r="F4522" t="s">
        <v>922</v>
      </c>
      <c r="G4522" t="s">
        <v>752</v>
      </c>
      <c r="H4522">
        <v>110</v>
      </c>
      <c r="I4522">
        <v>63.427300000000002</v>
      </c>
      <c r="J4522">
        <v>67.163600000000002</v>
      </c>
      <c r="K4522">
        <v>3.7363599999999999</v>
      </c>
      <c r="L4522">
        <v>59</v>
      </c>
      <c r="M4522">
        <v>11</v>
      </c>
      <c r="N4522">
        <v>40</v>
      </c>
      <c r="O4522">
        <v>68.443600000000004</v>
      </c>
      <c r="P4522">
        <v>3.1378499999999998</v>
      </c>
      <c r="Q4522">
        <v>18.5242</v>
      </c>
    </row>
    <row r="4523" spans="1:17" x14ac:dyDescent="0.25">
      <c r="A4523" t="str">
        <f>IF(C4523&amp;G4523&amp;D4523&lt;&gt;'Funnel setup'!$K$3&amp;'Funnel setup'!$K$4&amp;'Funnel setup'!$K$6,".",IF(A4522=".",1,A4522+1))</f>
        <v>.</v>
      </c>
      <c r="B4523" s="244" t="str">
        <f t="shared" si="70"/>
        <v>Total Knee ReplacementSub-ICB of GP PracticeNHS SOUTH YORKSHIRE ICB - 03L (03L)EQ VAS</v>
      </c>
      <c r="C4523" t="s">
        <v>975</v>
      </c>
      <c r="D4523" t="s">
        <v>1021</v>
      </c>
      <c r="E4523" t="s">
        <v>923</v>
      </c>
      <c r="F4523" t="s">
        <v>924</v>
      </c>
      <c r="G4523" t="s">
        <v>752</v>
      </c>
      <c r="H4523">
        <v>34</v>
      </c>
      <c r="I4523">
        <v>64.529399999999995</v>
      </c>
      <c r="J4523">
        <v>73.352900000000005</v>
      </c>
      <c r="K4523">
        <v>8.8235299999999999</v>
      </c>
      <c r="L4523">
        <v>23</v>
      </c>
      <c r="M4523">
        <v>3</v>
      </c>
      <c r="N4523">
        <v>8</v>
      </c>
      <c r="O4523">
        <v>73.854900000000001</v>
      </c>
      <c r="P4523">
        <v>8.54922</v>
      </c>
      <c r="Q4523">
        <v>15.9008</v>
      </c>
    </row>
    <row r="4524" spans="1:17" x14ac:dyDescent="0.25">
      <c r="A4524" t="str">
        <f>IF(C4524&amp;G4524&amp;D4524&lt;&gt;'Funnel setup'!$K$3&amp;'Funnel setup'!$K$4&amp;'Funnel setup'!$K$6,".",IF(A4523=".",1,A4523+1))</f>
        <v>.</v>
      </c>
      <c r="B4524" s="244" t="str">
        <f t="shared" si="70"/>
        <v>Total Knee ReplacementSub-ICB of GP PracticeNHS SOUTH YORKSHIRE ICB - 03N (03N)EQ VAS</v>
      </c>
      <c r="C4524" t="s">
        <v>975</v>
      </c>
      <c r="D4524" t="s">
        <v>1021</v>
      </c>
      <c r="E4524" t="s">
        <v>925</v>
      </c>
      <c r="F4524" t="s">
        <v>926</v>
      </c>
      <c r="G4524" t="s">
        <v>752</v>
      </c>
      <c r="H4524">
        <v>37</v>
      </c>
      <c r="I4524">
        <v>62.945900000000002</v>
      </c>
      <c r="J4524">
        <v>73.108099999999993</v>
      </c>
      <c r="K4524">
        <v>10.1622</v>
      </c>
      <c r="L4524">
        <v>25</v>
      </c>
      <c r="M4524">
        <v>4</v>
      </c>
      <c r="N4524">
        <v>8</v>
      </c>
      <c r="O4524">
        <v>72.092699999999994</v>
      </c>
      <c r="P4524">
        <v>6.7869599999999997</v>
      </c>
      <c r="Q4524">
        <v>18.347999999999999</v>
      </c>
    </row>
    <row r="4525" spans="1:17" x14ac:dyDescent="0.25">
      <c r="A4525" t="str">
        <f>IF(C4525&amp;G4525&amp;D4525&lt;&gt;'Funnel setup'!$K$3&amp;'Funnel setup'!$K$4&amp;'Funnel setup'!$K$6,".",IF(A4524=".",1,A4524+1))</f>
        <v>.</v>
      </c>
      <c r="B4525" s="244" t="str">
        <f t="shared" si="70"/>
        <v>Total Knee ReplacementSub-ICB of GP PracticeNHS STAFFORDSHIRE AND STOKE-ON-TRENT ICB - 04Y (04Y)EQ VAS</v>
      </c>
      <c r="C4525" t="s">
        <v>975</v>
      </c>
      <c r="D4525" t="s">
        <v>1021</v>
      </c>
      <c r="E4525" t="s">
        <v>927</v>
      </c>
      <c r="F4525" t="s">
        <v>928</v>
      </c>
      <c r="G4525" t="s">
        <v>752</v>
      </c>
      <c r="H4525">
        <v>22</v>
      </c>
      <c r="I4525">
        <v>70.318200000000004</v>
      </c>
      <c r="J4525">
        <v>84.590900000000005</v>
      </c>
      <c r="K4525">
        <v>14.2727</v>
      </c>
      <c r="L4525">
        <v>19</v>
      </c>
      <c r="M4525">
        <v>0</v>
      </c>
      <c r="N4525">
        <v>3</v>
      </c>
      <c r="O4525" t="s">
        <v>127</v>
      </c>
      <c r="P4525" t="s">
        <v>127</v>
      </c>
      <c r="Q4525" t="s">
        <v>127</v>
      </c>
    </row>
    <row r="4526" spans="1:17" x14ac:dyDescent="0.25">
      <c r="A4526" t="str">
        <f>IF(C4526&amp;G4526&amp;D4526&lt;&gt;'Funnel setup'!$K$3&amp;'Funnel setup'!$K$4&amp;'Funnel setup'!$K$6,".",IF(A4525=".",1,A4525+1))</f>
        <v>.</v>
      </c>
      <c r="B4526" s="244" t="str">
        <f t="shared" si="70"/>
        <v>Total Knee ReplacementSub-ICB of GP PracticeNHS STAFFORDSHIRE AND STOKE-ON-TRENT ICB - 05D (05D)EQ VAS</v>
      </c>
      <c r="C4526" t="s">
        <v>975</v>
      </c>
      <c r="D4526" t="s">
        <v>1021</v>
      </c>
      <c r="E4526" t="s">
        <v>929</v>
      </c>
      <c r="F4526" t="s">
        <v>930</v>
      </c>
      <c r="G4526" t="s">
        <v>752</v>
      </c>
      <c r="H4526">
        <v>65</v>
      </c>
      <c r="I4526">
        <v>62.307699999999997</v>
      </c>
      <c r="J4526">
        <v>71.523099999999999</v>
      </c>
      <c r="K4526">
        <v>9.2153799999999997</v>
      </c>
      <c r="L4526">
        <v>39</v>
      </c>
      <c r="M4526">
        <v>9</v>
      </c>
      <c r="N4526">
        <v>17</v>
      </c>
      <c r="O4526">
        <v>72.600399999999993</v>
      </c>
      <c r="P4526">
        <v>7.2946299999999997</v>
      </c>
      <c r="Q4526">
        <v>17.283100000000001</v>
      </c>
    </row>
    <row r="4527" spans="1:17" x14ac:dyDescent="0.25">
      <c r="A4527" t="str">
        <f>IF(C4527&amp;G4527&amp;D4527&lt;&gt;'Funnel setup'!$K$3&amp;'Funnel setup'!$K$4&amp;'Funnel setup'!$K$6,".",IF(A4526=".",1,A4526+1))</f>
        <v>.</v>
      </c>
      <c r="B4527" s="244" t="str">
        <f t="shared" si="70"/>
        <v>Total Knee ReplacementSub-ICB of GP PracticeNHS STAFFORDSHIRE AND STOKE-ON-TRENT ICB - 05G (05G)EQ VAS</v>
      </c>
      <c r="C4527" t="s">
        <v>975</v>
      </c>
      <c r="D4527" t="s">
        <v>1021</v>
      </c>
      <c r="E4527" t="s">
        <v>931</v>
      </c>
      <c r="F4527" t="s">
        <v>932</v>
      </c>
      <c r="G4527" t="s">
        <v>752</v>
      </c>
      <c r="H4527">
        <v>45</v>
      </c>
      <c r="I4527">
        <v>60.688899999999997</v>
      </c>
      <c r="J4527">
        <v>69.688900000000004</v>
      </c>
      <c r="K4527">
        <v>9</v>
      </c>
      <c r="L4527">
        <v>28</v>
      </c>
      <c r="M4527">
        <v>4</v>
      </c>
      <c r="N4527">
        <v>13</v>
      </c>
      <c r="O4527">
        <v>71.517799999999994</v>
      </c>
      <c r="P4527">
        <v>6.2120899999999999</v>
      </c>
      <c r="Q4527">
        <v>15.681100000000001</v>
      </c>
    </row>
    <row r="4528" spans="1:17" x14ac:dyDescent="0.25">
      <c r="A4528" t="str">
        <f>IF(C4528&amp;G4528&amp;D4528&lt;&gt;'Funnel setup'!$K$3&amp;'Funnel setup'!$K$4&amp;'Funnel setup'!$K$6,".",IF(A4527=".",1,A4527+1))</f>
        <v>.</v>
      </c>
      <c r="B4528" s="244" t="str">
        <f t="shared" si="70"/>
        <v>Total Knee ReplacementSub-ICB of GP PracticeNHS STAFFORDSHIRE AND STOKE-ON-TRENT ICB - 05Q (05Q)EQ VAS</v>
      </c>
      <c r="C4528" t="s">
        <v>975</v>
      </c>
      <c r="D4528" t="s">
        <v>1021</v>
      </c>
      <c r="E4528" t="s">
        <v>933</v>
      </c>
      <c r="F4528" t="s">
        <v>934</v>
      </c>
      <c r="G4528" t="s">
        <v>752</v>
      </c>
      <c r="H4528">
        <v>84</v>
      </c>
      <c r="I4528">
        <v>64.357100000000003</v>
      </c>
      <c r="J4528">
        <v>73.702399999999997</v>
      </c>
      <c r="K4528">
        <v>9.3452400000000004</v>
      </c>
      <c r="L4528">
        <v>51</v>
      </c>
      <c r="M4528">
        <v>11</v>
      </c>
      <c r="N4528">
        <v>22</v>
      </c>
      <c r="O4528">
        <v>73.694599999999994</v>
      </c>
      <c r="P4528">
        <v>8.3888700000000007</v>
      </c>
      <c r="Q4528">
        <v>18.3155</v>
      </c>
    </row>
    <row r="4529" spans="1:17" x14ac:dyDescent="0.25">
      <c r="A4529" t="str">
        <f>IF(C4529&amp;G4529&amp;D4529&lt;&gt;'Funnel setup'!$K$3&amp;'Funnel setup'!$K$4&amp;'Funnel setup'!$K$6,".",IF(A4528=".",1,A4528+1))</f>
        <v>.</v>
      </c>
      <c r="B4529" s="244" t="str">
        <f t="shared" si="70"/>
        <v>Total Knee ReplacementSub-ICB of GP PracticeNHS STAFFORDSHIRE AND STOKE-ON-TRENT ICB - 05V (05V)EQ VAS</v>
      </c>
      <c r="C4529" t="s">
        <v>975</v>
      </c>
      <c r="D4529" t="s">
        <v>1021</v>
      </c>
      <c r="E4529" t="s">
        <v>935</v>
      </c>
      <c r="F4529" t="s">
        <v>936</v>
      </c>
      <c r="G4529" t="s">
        <v>752</v>
      </c>
      <c r="H4529">
        <v>31</v>
      </c>
      <c r="I4529">
        <v>69.451599999999999</v>
      </c>
      <c r="J4529">
        <v>78.322599999999994</v>
      </c>
      <c r="K4529">
        <v>8.8709699999999998</v>
      </c>
      <c r="L4529">
        <v>19</v>
      </c>
      <c r="M4529">
        <v>7</v>
      </c>
      <c r="N4529">
        <v>5</v>
      </c>
      <c r="O4529">
        <v>75.2637</v>
      </c>
      <c r="P4529">
        <v>9.9580099999999998</v>
      </c>
      <c r="Q4529">
        <v>12.8786</v>
      </c>
    </row>
    <row r="4530" spans="1:17" x14ac:dyDescent="0.25">
      <c r="A4530" t="str">
        <f>IF(C4530&amp;G4530&amp;D4530&lt;&gt;'Funnel setup'!$K$3&amp;'Funnel setup'!$K$4&amp;'Funnel setup'!$K$6,".",IF(A4529=".",1,A4529+1))</f>
        <v>.</v>
      </c>
      <c r="B4530" s="244" t="str">
        <f t="shared" si="70"/>
        <v>Total Knee ReplacementSub-ICB of GP PracticeNHS STAFFORDSHIRE AND STOKE-ON-TRENT ICB - 05W (05W)EQ VAS</v>
      </c>
      <c r="C4530" t="s">
        <v>975</v>
      </c>
      <c r="D4530" t="s">
        <v>1021</v>
      </c>
      <c r="E4530" t="s">
        <v>937</v>
      </c>
      <c r="F4530" t="s">
        <v>938</v>
      </c>
      <c r="G4530" t="s">
        <v>752</v>
      </c>
      <c r="H4530">
        <v>42</v>
      </c>
      <c r="I4530">
        <v>59.904800000000002</v>
      </c>
      <c r="J4530">
        <v>71.976200000000006</v>
      </c>
      <c r="K4530">
        <v>12.071400000000001</v>
      </c>
      <c r="L4530">
        <v>26</v>
      </c>
      <c r="M4530">
        <v>5</v>
      </c>
      <c r="N4530">
        <v>11</v>
      </c>
      <c r="O4530">
        <v>75.689300000000003</v>
      </c>
      <c r="P4530">
        <v>10.383599999999999</v>
      </c>
      <c r="Q4530">
        <v>17.6922</v>
      </c>
    </row>
    <row r="4531" spans="1:17" x14ac:dyDescent="0.25">
      <c r="A4531" t="str">
        <f>IF(C4531&amp;G4531&amp;D4531&lt;&gt;'Funnel setup'!$K$3&amp;'Funnel setup'!$K$4&amp;'Funnel setup'!$K$6,".",IF(A4530=".",1,A4530+1))</f>
        <v>.</v>
      </c>
      <c r="B4531" s="244" t="str">
        <f t="shared" si="70"/>
        <v>Total Knee ReplacementSub-ICB of GP PracticeNHS SUFFOLK AND NORTH EAST ESSEX ICB - 06L (06L)EQ VAS</v>
      </c>
      <c r="C4531" t="s">
        <v>975</v>
      </c>
      <c r="D4531" t="s">
        <v>1021</v>
      </c>
      <c r="E4531" t="s">
        <v>939</v>
      </c>
      <c r="F4531" t="s">
        <v>940</v>
      </c>
      <c r="G4531" t="s">
        <v>752</v>
      </c>
      <c r="H4531">
        <v>109</v>
      </c>
      <c r="I4531">
        <v>63.779800000000002</v>
      </c>
      <c r="J4531">
        <v>74.220200000000006</v>
      </c>
      <c r="K4531">
        <v>10.4404</v>
      </c>
      <c r="L4531">
        <v>63</v>
      </c>
      <c r="M4531">
        <v>8</v>
      </c>
      <c r="N4531">
        <v>38</v>
      </c>
      <c r="O4531">
        <v>75.380099999999999</v>
      </c>
      <c r="P4531">
        <v>10.074400000000001</v>
      </c>
      <c r="Q4531">
        <v>17.0274</v>
      </c>
    </row>
    <row r="4532" spans="1:17" x14ac:dyDescent="0.25">
      <c r="A4532" t="str">
        <f>IF(C4532&amp;G4532&amp;D4532&lt;&gt;'Funnel setup'!$K$3&amp;'Funnel setup'!$K$4&amp;'Funnel setup'!$K$6,".",IF(A4531=".",1,A4531+1))</f>
        <v>.</v>
      </c>
      <c r="B4532" s="244" t="str">
        <f t="shared" si="70"/>
        <v>Total Knee ReplacementSub-ICB of GP PracticeNHS SUFFOLK AND NORTH EAST ESSEX ICB - 06T (06T)EQ VAS</v>
      </c>
      <c r="C4532" t="s">
        <v>975</v>
      </c>
      <c r="D4532" t="s">
        <v>1021</v>
      </c>
      <c r="E4532" t="s">
        <v>941</v>
      </c>
      <c r="F4532" t="s">
        <v>942</v>
      </c>
      <c r="G4532" t="s">
        <v>752</v>
      </c>
      <c r="H4532">
        <v>29</v>
      </c>
      <c r="I4532">
        <v>62.758600000000001</v>
      </c>
      <c r="J4532">
        <v>72.517200000000003</v>
      </c>
      <c r="K4532">
        <v>9.7586200000000005</v>
      </c>
      <c r="L4532">
        <v>21</v>
      </c>
      <c r="M4532">
        <v>2</v>
      </c>
      <c r="N4532">
        <v>6</v>
      </c>
      <c r="O4532" t="s">
        <v>127</v>
      </c>
      <c r="P4532" t="s">
        <v>127</v>
      </c>
      <c r="Q4532" t="s">
        <v>127</v>
      </c>
    </row>
    <row r="4533" spans="1:17" x14ac:dyDescent="0.25">
      <c r="A4533" t="str">
        <f>IF(C4533&amp;G4533&amp;D4533&lt;&gt;'Funnel setup'!$K$3&amp;'Funnel setup'!$K$4&amp;'Funnel setup'!$K$6,".",IF(A4532=".",1,A4532+1))</f>
        <v>.</v>
      </c>
      <c r="B4533" s="244" t="str">
        <f t="shared" si="70"/>
        <v>Total Knee ReplacementSub-ICB of GP PracticeNHS SUFFOLK AND NORTH EAST ESSEX ICB - 07K (07K)EQ VAS</v>
      </c>
      <c r="C4533" t="s">
        <v>975</v>
      </c>
      <c r="D4533" t="s">
        <v>1021</v>
      </c>
      <c r="E4533" t="s">
        <v>943</v>
      </c>
      <c r="F4533" t="s">
        <v>944</v>
      </c>
      <c r="G4533" t="s">
        <v>752</v>
      </c>
      <c r="H4533">
        <v>90</v>
      </c>
      <c r="I4533">
        <v>64.822199999999995</v>
      </c>
      <c r="J4533">
        <v>74.088899999999995</v>
      </c>
      <c r="K4533">
        <v>9.2666699999999995</v>
      </c>
      <c r="L4533">
        <v>57</v>
      </c>
      <c r="M4533">
        <v>14</v>
      </c>
      <c r="N4533">
        <v>19</v>
      </c>
      <c r="O4533">
        <v>73.645399999999995</v>
      </c>
      <c r="P4533">
        <v>8.3396699999999999</v>
      </c>
      <c r="Q4533">
        <v>15.9221</v>
      </c>
    </row>
    <row r="4534" spans="1:17" x14ac:dyDescent="0.25">
      <c r="A4534" t="str">
        <f>IF(C4534&amp;G4534&amp;D4534&lt;&gt;'Funnel setup'!$K$3&amp;'Funnel setup'!$K$4&amp;'Funnel setup'!$K$6,".",IF(A4533=".",1,A4533+1))</f>
        <v>.</v>
      </c>
      <c r="B4534" s="244" t="str">
        <f t="shared" si="70"/>
        <v>Total Knee ReplacementSub-ICB of GP PracticeNHS SURREY HEARTLANDS ICB - 92A (92A)EQ VAS</v>
      </c>
      <c r="C4534" t="s">
        <v>975</v>
      </c>
      <c r="D4534" t="s">
        <v>1021</v>
      </c>
      <c r="E4534" t="s">
        <v>945</v>
      </c>
      <c r="F4534" t="s">
        <v>946</v>
      </c>
      <c r="G4534" t="s">
        <v>752</v>
      </c>
      <c r="H4534">
        <v>329</v>
      </c>
      <c r="I4534">
        <v>65.933099999999996</v>
      </c>
      <c r="J4534">
        <v>74.671700000000001</v>
      </c>
      <c r="K4534">
        <v>8.7385999999999999</v>
      </c>
      <c r="L4534">
        <v>203</v>
      </c>
      <c r="M4534">
        <v>38</v>
      </c>
      <c r="N4534">
        <v>88</v>
      </c>
      <c r="O4534">
        <v>73.054900000000004</v>
      </c>
      <c r="P4534">
        <v>7.7492299999999998</v>
      </c>
      <c r="Q4534">
        <v>17.099900000000002</v>
      </c>
    </row>
    <row r="4535" spans="1:17" x14ac:dyDescent="0.25">
      <c r="A4535" t="str">
        <f>IF(C4535&amp;G4535&amp;D4535&lt;&gt;'Funnel setup'!$K$3&amp;'Funnel setup'!$K$4&amp;'Funnel setup'!$K$6,".",IF(A4534=".",1,A4534+1))</f>
        <v>.</v>
      </c>
      <c r="B4535" s="244" t="str">
        <f t="shared" si="70"/>
        <v>Total Knee ReplacementSub-ICB of GP PracticeNHS SUSSEX ICB - 09D (09D)EQ VAS</v>
      </c>
      <c r="C4535" t="s">
        <v>975</v>
      </c>
      <c r="D4535" t="s">
        <v>1021</v>
      </c>
      <c r="E4535" t="s">
        <v>947</v>
      </c>
      <c r="F4535" t="s">
        <v>948</v>
      </c>
      <c r="G4535" t="s">
        <v>752</v>
      </c>
      <c r="H4535">
        <v>25</v>
      </c>
      <c r="I4535">
        <v>70.239999999999995</v>
      </c>
      <c r="J4535">
        <v>81.16</v>
      </c>
      <c r="K4535">
        <v>10.92</v>
      </c>
      <c r="L4535">
        <v>16</v>
      </c>
      <c r="M4535">
        <v>5</v>
      </c>
      <c r="N4535">
        <v>4</v>
      </c>
      <c r="O4535" t="s">
        <v>127</v>
      </c>
      <c r="P4535" t="s">
        <v>127</v>
      </c>
      <c r="Q4535" t="s">
        <v>127</v>
      </c>
    </row>
    <row r="4536" spans="1:17" x14ac:dyDescent="0.25">
      <c r="A4536" t="str">
        <f>IF(C4536&amp;G4536&amp;D4536&lt;&gt;'Funnel setup'!$K$3&amp;'Funnel setup'!$K$4&amp;'Funnel setup'!$K$6,".",IF(A4535=".",1,A4535+1))</f>
        <v>.</v>
      </c>
      <c r="B4536" s="244" t="str">
        <f t="shared" si="70"/>
        <v>Total Knee ReplacementSub-ICB of GP PracticeNHS SUSSEX ICB - 70F (70F)EQ VAS</v>
      </c>
      <c r="C4536" t="s">
        <v>975</v>
      </c>
      <c r="D4536" t="s">
        <v>1021</v>
      </c>
      <c r="E4536" t="s">
        <v>949</v>
      </c>
      <c r="F4536" t="s">
        <v>950</v>
      </c>
      <c r="G4536" t="s">
        <v>752</v>
      </c>
      <c r="H4536">
        <v>225</v>
      </c>
      <c r="I4536">
        <v>66.897800000000004</v>
      </c>
      <c r="J4536">
        <v>74.364400000000003</v>
      </c>
      <c r="K4536">
        <v>7.4666699999999997</v>
      </c>
      <c r="L4536">
        <v>138</v>
      </c>
      <c r="M4536">
        <v>22</v>
      </c>
      <c r="N4536">
        <v>65</v>
      </c>
      <c r="O4536">
        <v>72.902000000000001</v>
      </c>
      <c r="P4536">
        <v>7.5963099999999999</v>
      </c>
      <c r="Q4536">
        <v>16.1309</v>
      </c>
    </row>
    <row r="4537" spans="1:17" x14ac:dyDescent="0.25">
      <c r="A4537" t="str">
        <f>IF(C4537&amp;G4537&amp;D4537&lt;&gt;'Funnel setup'!$K$3&amp;'Funnel setup'!$K$4&amp;'Funnel setup'!$K$6,".",IF(A4536=".",1,A4536+1))</f>
        <v>.</v>
      </c>
      <c r="B4537" s="244" t="str">
        <f t="shared" si="70"/>
        <v>Total Knee ReplacementSub-ICB of GP PracticeNHS SUSSEX ICB - 97R (97R)EQ VAS</v>
      </c>
      <c r="C4537" t="s">
        <v>975</v>
      </c>
      <c r="D4537" t="s">
        <v>1021</v>
      </c>
      <c r="E4537" t="s">
        <v>951</v>
      </c>
      <c r="F4537" t="s">
        <v>952</v>
      </c>
      <c r="G4537" t="s">
        <v>752</v>
      </c>
      <c r="H4537">
        <v>292</v>
      </c>
      <c r="I4537">
        <v>65.8048</v>
      </c>
      <c r="J4537">
        <v>75.3767</v>
      </c>
      <c r="K4537">
        <v>9.5719200000000004</v>
      </c>
      <c r="L4537">
        <v>188</v>
      </c>
      <c r="M4537">
        <v>30</v>
      </c>
      <c r="N4537">
        <v>74</v>
      </c>
      <c r="O4537">
        <v>74.892700000000005</v>
      </c>
      <c r="P4537">
        <v>9.5870300000000004</v>
      </c>
      <c r="Q4537">
        <v>15.587899999999999</v>
      </c>
    </row>
    <row r="4538" spans="1:17" x14ac:dyDescent="0.25">
      <c r="A4538" t="str">
        <f>IF(C4538&amp;G4538&amp;D4538&lt;&gt;'Funnel setup'!$K$3&amp;'Funnel setup'!$K$4&amp;'Funnel setup'!$K$6,".",IF(A4537=".",1,A4537+1))</f>
        <v>.</v>
      </c>
      <c r="B4538" s="244" t="str">
        <f t="shared" si="70"/>
        <v>Total Knee ReplacementSub-ICB of GP PracticeNHS WEST YORKSHIRE ICB - 02T (02T)EQ VAS</v>
      </c>
      <c r="C4538" t="s">
        <v>975</v>
      </c>
      <c r="D4538" t="s">
        <v>1021</v>
      </c>
      <c r="E4538" t="s">
        <v>953</v>
      </c>
      <c r="F4538" t="s">
        <v>954</v>
      </c>
      <c r="G4538" t="s">
        <v>752</v>
      </c>
      <c r="H4538">
        <v>39</v>
      </c>
      <c r="I4538">
        <v>69.615399999999994</v>
      </c>
      <c r="J4538">
        <v>74.410300000000007</v>
      </c>
      <c r="K4538">
        <v>4.7948700000000004</v>
      </c>
      <c r="L4538">
        <v>19</v>
      </c>
      <c r="M4538">
        <v>6</v>
      </c>
      <c r="N4538">
        <v>14</v>
      </c>
      <c r="O4538">
        <v>73.695599999999999</v>
      </c>
      <c r="P4538">
        <v>8.3898399999999995</v>
      </c>
      <c r="Q4538">
        <v>15.3733</v>
      </c>
    </row>
    <row r="4539" spans="1:17" x14ac:dyDescent="0.25">
      <c r="A4539" t="str">
        <f>IF(C4539&amp;G4539&amp;D4539&lt;&gt;'Funnel setup'!$K$3&amp;'Funnel setup'!$K$4&amp;'Funnel setup'!$K$6,".",IF(A4538=".",1,A4538+1))</f>
        <v>.</v>
      </c>
      <c r="B4539" s="244" t="str">
        <f t="shared" si="70"/>
        <v>Total Knee ReplacementSub-ICB of GP PracticeNHS WEST YORKSHIRE ICB - 03R (03R)EQ VAS</v>
      </c>
      <c r="C4539" t="s">
        <v>975</v>
      </c>
      <c r="D4539" t="s">
        <v>1021</v>
      </c>
      <c r="E4539" t="s">
        <v>955</v>
      </c>
      <c r="F4539" t="s">
        <v>956</v>
      </c>
      <c r="G4539" t="s">
        <v>752</v>
      </c>
      <c r="H4539">
        <v>171</v>
      </c>
      <c r="I4539">
        <v>63.877200000000002</v>
      </c>
      <c r="J4539">
        <v>73.204700000000003</v>
      </c>
      <c r="K4539">
        <v>9.3274899999999992</v>
      </c>
      <c r="L4539">
        <v>112</v>
      </c>
      <c r="M4539">
        <v>7</v>
      </c>
      <c r="N4539">
        <v>52</v>
      </c>
      <c r="O4539">
        <v>74.615099999999998</v>
      </c>
      <c r="P4539">
        <v>9.3094300000000008</v>
      </c>
      <c r="Q4539">
        <v>17.191299999999998</v>
      </c>
    </row>
    <row r="4540" spans="1:17" x14ac:dyDescent="0.25">
      <c r="A4540" t="str">
        <f>IF(C4540&amp;G4540&amp;D4540&lt;&gt;'Funnel setup'!$K$3&amp;'Funnel setup'!$K$4&amp;'Funnel setup'!$K$6,".",IF(A4539=".",1,A4539+1))</f>
        <v>.</v>
      </c>
      <c r="B4540" s="244" t="str">
        <f t="shared" si="70"/>
        <v>Total Knee ReplacementSub-ICB of GP PracticeNHS WEST YORKSHIRE ICB - 15F (15F)EQ VAS</v>
      </c>
      <c r="C4540" t="s">
        <v>975</v>
      </c>
      <c r="D4540" t="s">
        <v>1021</v>
      </c>
      <c r="E4540" t="s">
        <v>957</v>
      </c>
      <c r="F4540" t="s">
        <v>958</v>
      </c>
      <c r="G4540" t="s">
        <v>752</v>
      </c>
      <c r="H4540">
        <v>243</v>
      </c>
      <c r="I4540">
        <v>64.465000000000003</v>
      </c>
      <c r="J4540">
        <v>72.448599999999999</v>
      </c>
      <c r="K4540">
        <v>7.9835399999999996</v>
      </c>
      <c r="L4540">
        <v>148</v>
      </c>
      <c r="M4540">
        <v>31</v>
      </c>
      <c r="N4540">
        <v>64</v>
      </c>
      <c r="O4540">
        <v>72.895300000000006</v>
      </c>
      <c r="P4540">
        <v>7.5895900000000003</v>
      </c>
      <c r="Q4540">
        <v>16.468599999999999</v>
      </c>
    </row>
    <row r="4541" spans="1:17" x14ac:dyDescent="0.25">
      <c r="A4541" t="str">
        <f>IF(C4541&amp;G4541&amp;D4541&lt;&gt;'Funnel setup'!$K$3&amp;'Funnel setup'!$K$4&amp;'Funnel setup'!$K$6,".",IF(A4540=".",1,A4540+1))</f>
        <v>.</v>
      </c>
      <c r="B4541" s="244" t="str">
        <f t="shared" si="70"/>
        <v>Total Knee ReplacementSub-ICB of GP PracticeNHS WEST YORKSHIRE ICB - 36J (36J)EQ VAS</v>
      </c>
      <c r="C4541" t="s">
        <v>975</v>
      </c>
      <c r="D4541" t="s">
        <v>1021</v>
      </c>
      <c r="E4541" t="s">
        <v>959</v>
      </c>
      <c r="F4541" t="s">
        <v>960</v>
      </c>
      <c r="G4541" t="s">
        <v>752</v>
      </c>
      <c r="H4541">
        <v>66</v>
      </c>
      <c r="I4541">
        <v>65.545500000000004</v>
      </c>
      <c r="J4541">
        <v>72.318200000000004</v>
      </c>
      <c r="K4541">
        <v>6.7727300000000001</v>
      </c>
      <c r="L4541">
        <v>40</v>
      </c>
      <c r="M4541">
        <v>6</v>
      </c>
      <c r="N4541">
        <v>20</v>
      </c>
      <c r="O4541">
        <v>73.819900000000004</v>
      </c>
      <c r="P4541">
        <v>8.5142299999999995</v>
      </c>
      <c r="Q4541">
        <v>15.588800000000001</v>
      </c>
    </row>
    <row r="4542" spans="1:17" x14ac:dyDescent="0.25">
      <c r="A4542" t="str">
        <f>IF(C4542&amp;G4542&amp;D4542&lt;&gt;'Funnel setup'!$K$3&amp;'Funnel setup'!$K$4&amp;'Funnel setup'!$K$6,".",IF(A4541=".",1,A4541+1))</f>
        <v>.</v>
      </c>
      <c r="B4542" s="244" t="str">
        <f t="shared" si="70"/>
        <v>Total Knee ReplacementSub-ICB of GP PracticeNHS WEST YORKSHIRE ICB - X2C4Y (X2C4Y)EQ VAS</v>
      </c>
      <c r="C4542" t="s">
        <v>975</v>
      </c>
      <c r="D4542" t="s">
        <v>1021</v>
      </c>
      <c r="E4542" t="s">
        <v>961</v>
      </c>
      <c r="F4542" t="s">
        <v>962</v>
      </c>
      <c r="G4542" t="s">
        <v>752</v>
      </c>
      <c r="H4542">
        <v>101</v>
      </c>
      <c r="I4542">
        <v>66.9208</v>
      </c>
      <c r="J4542">
        <v>71.197999999999993</v>
      </c>
      <c r="K4542">
        <v>4.2772300000000003</v>
      </c>
      <c r="L4542">
        <v>47</v>
      </c>
      <c r="M4542">
        <v>11</v>
      </c>
      <c r="N4542">
        <v>43</v>
      </c>
      <c r="O4542">
        <v>71.0244</v>
      </c>
      <c r="P4542">
        <v>5.7186899999999996</v>
      </c>
      <c r="Q4542">
        <v>16.582799999999999</v>
      </c>
    </row>
    <row r="4543" spans="1:17" x14ac:dyDescent="0.25">
      <c r="A4543" t="str">
        <f>IF(C4543&amp;G4543&amp;D4543&lt;&gt;'Funnel setup'!$K$3&amp;'Funnel setup'!$K$4&amp;'Funnel setup'!$K$6,".",IF(A4542=".",1,A4542+1))</f>
        <v>.</v>
      </c>
      <c r="B4543" s="244" t="str">
        <f t="shared" si="70"/>
        <v>Total Knee ReplacementSub-ICB of GP PracticeNATIONAL COMMISSIONING HUB 1 (13Q)EQ-5D Index</v>
      </c>
      <c r="C4543" t="s">
        <v>975</v>
      </c>
      <c r="D4543" t="s">
        <v>1021</v>
      </c>
      <c r="E4543" t="s">
        <v>970</v>
      </c>
      <c r="F4543" t="s">
        <v>971</v>
      </c>
      <c r="G4543" t="s">
        <v>963</v>
      </c>
      <c r="H4543">
        <v>1</v>
      </c>
      <c r="I4543">
        <v>0.85</v>
      </c>
      <c r="J4543">
        <v>1</v>
      </c>
      <c r="K4543">
        <v>0.15</v>
      </c>
      <c r="L4543">
        <v>1</v>
      </c>
      <c r="M4543">
        <v>0</v>
      </c>
      <c r="N4543">
        <v>0</v>
      </c>
      <c r="O4543" t="s">
        <v>127</v>
      </c>
      <c r="P4543" t="s">
        <v>127</v>
      </c>
      <c r="Q4543" t="s">
        <v>127</v>
      </c>
    </row>
    <row r="4544" spans="1:17" x14ac:dyDescent="0.25">
      <c r="A4544" t="str">
        <f>IF(C4544&amp;G4544&amp;D4544&lt;&gt;'Funnel setup'!$K$3&amp;'Funnel setup'!$K$4&amp;'Funnel setup'!$K$6,".",IF(A4543=".",1,A4543+1))</f>
        <v>.</v>
      </c>
      <c r="B4544" s="244" t="str">
        <f t="shared" si="70"/>
        <v>Total Knee ReplacementSub-ICB of GP PracticeNHS BATH AND NORTH EAST SOMERSET, SWINDON AND WILTSHIRE ICB - 92G (92G)EQ-5D Index</v>
      </c>
      <c r="C4544" t="s">
        <v>975</v>
      </c>
      <c r="D4544" t="s">
        <v>1021</v>
      </c>
      <c r="E4544" t="s">
        <v>750</v>
      </c>
      <c r="F4544" t="s">
        <v>751</v>
      </c>
      <c r="G4544" t="s">
        <v>963</v>
      </c>
      <c r="H4544">
        <v>255</v>
      </c>
      <c r="I4544">
        <v>0.46415299999999998</v>
      </c>
      <c r="J4544">
        <v>0.80049000000000003</v>
      </c>
      <c r="K4544">
        <v>0.336337</v>
      </c>
      <c r="L4544">
        <v>216</v>
      </c>
      <c r="M4544">
        <v>20</v>
      </c>
      <c r="N4544">
        <v>19</v>
      </c>
      <c r="O4544">
        <v>0.76860700000000004</v>
      </c>
      <c r="P4544">
        <v>0.34431</v>
      </c>
      <c r="Q4544">
        <v>0.214277</v>
      </c>
    </row>
    <row r="4545" spans="1:17" x14ac:dyDescent="0.25">
      <c r="A4545" t="str">
        <f>IF(C4545&amp;G4545&amp;D4545&lt;&gt;'Funnel setup'!$K$3&amp;'Funnel setup'!$K$4&amp;'Funnel setup'!$K$6,".",IF(A4544=".",1,A4544+1))</f>
        <v>.</v>
      </c>
      <c r="B4545" s="244" t="str">
        <f t="shared" si="70"/>
        <v>Total Knee ReplacementSub-ICB of GP PracticeNHS BEDFORDSHIRE, LUTON AND MILTON KEYNES ICB - M1J4Y (M1J4Y)EQ-5D Index</v>
      </c>
      <c r="C4545" t="s">
        <v>975</v>
      </c>
      <c r="D4545" t="s">
        <v>1021</v>
      </c>
      <c r="E4545" t="s">
        <v>753</v>
      </c>
      <c r="F4545" t="s">
        <v>754</v>
      </c>
      <c r="G4545" t="s">
        <v>963</v>
      </c>
      <c r="H4545">
        <v>233</v>
      </c>
      <c r="I4545">
        <v>0.36608600000000002</v>
      </c>
      <c r="J4545">
        <v>0.70893600000000001</v>
      </c>
      <c r="K4545">
        <v>0.34284999999999999</v>
      </c>
      <c r="L4545">
        <v>183</v>
      </c>
      <c r="M4545">
        <v>23</v>
      </c>
      <c r="N4545">
        <v>27</v>
      </c>
      <c r="O4545">
        <v>0.72345599999999999</v>
      </c>
      <c r="P4545">
        <v>0.29915900000000001</v>
      </c>
      <c r="Q4545">
        <v>0.26023600000000002</v>
      </c>
    </row>
    <row r="4546" spans="1:17" x14ac:dyDescent="0.25">
      <c r="A4546" t="str">
        <f>IF(C4546&amp;G4546&amp;D4546&lt;&gt;'Funnel setup'!$K$3&amp;'Funnel setup'!$K$4&amp;'Funnel setup'!$K$6,".",IF(A4545=".",1,A4545+1))</f>
        <v>.</v>
      </c>
      <c r="B4546" s="244" t="str">
        <f t="shared" ref="B4546:B4609" si="71">C4546&amp;D4546&amp;F4546&amp;G4546</f>
        <v>Total Knee ReplacementSub-ICB of GP PracticeNHS BIRMINGHAM AND SOLIHULL ICB - 15E (15E)EQ-5D Index</v>
      </c>
      <c r="C4546" t="s">
        <v>975</v>
      </c>
      <c r="D4546" t="s">
        <v>1021</v>
      </c>
      <c r="E4546" t="s">
        <v>755</v>
      </c>
      <c r="F4546" t="s">
        <v>756</v>
      </c>
      <c r="G4546" t="s">
        <v>963</v>
      </c>
      <c r="H4546">
        <v>320</v>
      </c>
      <c r="I4546">
        <v>0.37028100000000003</v>
      </c>
      <c r="J4546">
        <v>0.71445599999999998</v>
      </c>
      <c r="K4546">
        <v>0.34417500000000001</v>
      </c>
      <c r="L4546">
        <v>267</v>
      </c>
      <c r="M4546">
        <v>14</v>
      </c>
      <c r="N4546">
        <v>39</v>
      </c>
      <c r="O4546">
        <v>0.73860300000000001</v>
      </c>
      <c r="P4546">
        <v>0.31430599999999997</v>
      </c>
      <c r="Q4546">
        <v>0.245837</v>
      </c>
    </row>
    <row r="4547" spans="1:17" x14ac:dyDescent="0.25">
      <c r="A4547" t="str">
        <f>IF(C4547&amp;G4547&amp;D4547&lt;&gt;'Funnel setup'!$K$3&amp;'Funnel setup'!$K$4&amp;'Funnel setup'!$K$6,".",IF(A4546=".",1,A4546+1))</f>
        <v>.</v>
      </c>
      <c r="B4547" s="244" t="str">
        <f t="shared" si="71"/>
        <v>Total Knee ReplacementSub-ICB of GP PracticeNHS BLACK COUNTRY ICB - D2P2L (D2P2L)EQ-5D Index</v>
      </c>
      <c r="C4547" t="s">
        <v>975</v>
      </c>
      <c r="D4547" t="s">
        <v>1021</v>
      </c>
      <c r="E4547" t="s">
        <v>757</v>
      </c>
      <c r="F4547" t="s">
        <v>758</v>
      </c>
      <c r="G4547" t="s">
        <v>963</v>
      </c>
      <c r="H4547">
        <v>210</v>
      </c>
      <c r="I4547">
        <v>0.34637600000000002</v>
      </c>
      <c r="J4547">
        <v>0.70495200000000002</v>
      </c>
      <c r="K4547">
        <v>0.35857600000000001</v>
      </c>
      <c r="L4547">
        <v>171</v>
      </c>
      <c r="M4547">
        <v>15</v>
      </c>
      <c r="N4547">
        <v>24</v>
      </c>
      <c r="O4547">
        <v>0.75657399999999997</v>
      </c>
      <c r="P4547">
        <v>0.33227699999999999</v>
      </c>
      <c r="Q4547">
        <v>0.26639699999999999</v>
      </c>
    </row>
    <row r="4548" spans="1:17" x14ac:dyDescent="0.25">
      <c r="A4548" t="str">
        <f>IF(C4548&amp;G4548&amp;D4548&lt;&gt;'Funnel setup'!$K$3&amp;'Funnel setup'!$K$4&amp;'Funnel setup'!$K$6,".",IF(A4547=".",1,A4547+1))</f>
        <v>.</v>
      </c>
      <c r="B4548" s="244" t="str">
        <f t="shared" si="71"/>
        <v>Total Knee ReplacementSub-ICB of GP PracticeNHS BRISTOL, NORTH SOMERSET AND SOUTH GLOUCESTERSHIRE ICB - 15C (15C)EQ-5D Index</v>
      </c>
      <c r="C4548" t="s">
        <v>975</v>
      </c>
      <c r="D4548" t="s">
        <v>1021</v>
      </c>
      <c r="E4548" t="s">
        <v>759</v>
      </c>
      <c r="F4548" t="s">
        <v>760</v>
      </c>
      <c r="G4548" t="s">
        <v>963</v>
      </c>
      <c r="H4548">
        <v>219</v>
      </c>
      <c r="I4548">
        <v>0.45599099999999998</v>
      </c>
      <c r="J4548">
        <v>0.75701399999999996</v>
      </c>
      <c r="K4548">
        <v>0.30102299999999999</v>
      </c>
      <c r="L4548">
        <v>178</v>
      </c>
      <c r="M4548">
        <v>19</v>
      </c>
      <c r="N4548">
        <v>22</v>
      </c>
      <c r="O4548">
        <v>0.74141100000000004</v>
      </c>
      <c r="P4548">
        <v>0.31711299999999998</v>
      </c>
      <c r="Q4548">
        <v>0.21934200000000001</v>
      </c>
    </row>
    <row r="4549" spans="1:17" x14ac:dyDescent="0.25">
      <c r="A4549" t="str">
        <f>IF(C4549&amp;G4549&amp;D4549&lt;&gt;'Funnel setup'!$K$3&amp;'Funnel setup'!$K$4&amp;'Funnel setup'!$K$6,".",IF(A4548=".",1,A4548+1))</f>
        <v>.</v>
      </c>
      <c r="B4549" s="244" t="str">
        <f t="shared" si="71"/>
        <v>Total Knee ReplacementSub-ICB of GP PracticeNHS BUCKINGHAMSHIRE, OXFORDSHIRE AND BERKSHIRE WEST ICB - 10Q (10Q)EQ-5D Index</v>
      </c>
      <c r="C4549" t="s">
        <v>975</v>
      </c>
      <c r="D4549" t="s">
        <v>1021</v>
      </c>
      <c r="E4549" t="s">
        <v>761</v>
      </c>
      <c r="F4549" t="s">
        <v>762</v>
      </c>
      <c r="G4549" t="s">
        <v>963</v>
      </c>
      <c r="H4549">
        <v>287</v>
      </c>
      <c r="I4549">
        <v>0.45688899999999999</v>
      </c>
      <c r="J4549">
        <v>0.76774600000000004</v>
      </c>
      <c r="K4549">
        <v>0.31085699999999999</v>
      </c>
      <c r="L4549">
        <v>243</v>
      </c>
      <c r="M4549">
        <v>26</v>
      </c>
      <c r="N4549">
        <v>18</v>
      </c>
      <c r="O4549">
        <v>0.747865</v>
      </c>
      <c r="P4549">
        <v>0.32356800000000002</v>
      </c>
      <c r="Q4549">
        <v>0.22108</v>
      </c>
    </row>
    <row r="4550" spans="1:17" x14ac:dyDescent="0.25">
      <c r="A4550" t="str">
        <f>IF(C4550&amp;G4550&amp;D4550&lt;&gt;'Funnel setup'!$K$3&amp;'Funnel setup'!$K$4&amp;'Funnel setup'!$K$6,".",IF(A4549=".",1,A4549+1))</f>
        <v>.</v>
      </c>
      <c r="B4550" s="244" t="str">
        <f t="shared" si="71"/>
        <v>Total Knee ReplacementSub-ICB of GP PracticeNHS BUCKINGHAMSHIRE, OXFORDSHIRE AND BERKSHIRE WEST ICB - 14Y (14Y)EQ-5D Index</v>
      </c>
      <c r="C4550" t="s">
        <v>975</v>
      </c>
      <c r="D4550" t="s">
        <v>1021</v>
      </c>
      <c r="E4550" t="s">
        <v>763</v>
      </c>
      <c r="F4550" t="s">
        <v>764</v>
      </c>
      <c r="G4550" t="s">
        <v>963</v>
      </c>
      <c r="H4550">
        <v>212</v>
      </c>
      <c r="I4550">
        <v>0.50333499999999998</v>
      </c>
      <c r="J4550">
        <v>0.80938699999999997</v>
      </c>
      <c r="K4550">
        <v>0.30605199999999999</v>
      </c>
      <c r="L4550">
        <v>177</v>
      </c>
      <c r="M4550">
        <v>20</v>
      </c>
      <c r="N4550">
        <v>15</v>
      </c>
      <c r="O4550">
        <v>0.75949900000000004</v>
      </c>
      <c r="P4550">
        <v>0.335202</v>
      </c>
      <c r="Q4550">
        <v>0.19758700000000001</v>
      </c>
    </row>
    <row r="4551" spans="1:17" x14ac:dyDescent="0.25">
      <c r="A4551" t="str">
        <f>IF(C4551&amp;G4551&amp;D4551&lt;&gt;'Funnel setup'!$K$3&amp;'Funnel setup'!$K$4&amp;'Funnel setup'!$K$6,".",IF(A4550=".",1,A4550+1))</f>
        <v>.</v>
      </c>
      <c r="B4551" s="244" t="str">
        <f t="shared" si="71"/>
        <v>Total Knee ReplacementSub-ICB of GP PracticeNHS BUCKINGHAMSHIRE, OXFORDSHIRE AND BERKSHIRE WEST ICB - 15A (15A)EQ-5D Index</v>
      </c>
      <c r="C4551" t="s">
        <v>975</v>
      </c>
      <c r="D4551" t="s">
        <v>1021</v>
      </c>
      <c r="E4551" t="s">
        <v>765</v>
      </c>
      <c r="F4551" t="s">
        <v>766</v>
      </c>
      <c r="G4551" t="s">
        <v>963</v>
      </c>
      <c r="H4551">
        <v>76</v>
      </c>
      <c r="I4551">
        <v>0.45874999999999999</v>
      </c>
      <c r="J4551">
        <v>0.74299999999999999</v>
      </c>
      <c r="K4551">
        <v>0.28425</v>
      </c>
      <c r="L4551">
        <v>57</v>
      </c>
      <c r="M4551">
        <v>15</v>
      </c>
      <c r="N4551">
        <v>4</v>
      </c>
      <c r="O4551">
        <v>0.70726199999999995</v>
      </c>
      <c r="P4551">
        <v>0.28296399999999999</v>
      </c>
      <c r="Q4551">
        <v>0.252328</v>
      </c>
    </row>
    <row r="4552" spans="1:17" x14ac:dyDescent="0.25">
      <c r="A4552" t="str">
        <f>IF(C4552&amp;G4552&amp;D4552&lt;&gt;'Funnel setup'!$K$3&amp;'Funnel setup'!$K$4&amp;'Funnel setup'!$K$6,".",IF(A4551=".",1,A4551+1))</f>
        <v>.</v>
      </c>
      <c r="B4552" s="244" t="str">
        <f t="shared" si="71"/>
        <v>Total Knee ReplacementSub-ICB of GP PracticeNHS CAMBRIDGESHIRE AND PETERBOROUGH ICB - 06H (06H)EQ-5D Index</v>
      </c>
      <c r="C4552" t="s">
        <v>975</v>
      </c>
      <c r="D4552" t="s">
        <v>1021</v>
      </c>
      <c r="E4552" t="s">
        <v>767</v>
      </c>
      <c r="F4552" t="s">
        <v>768</v>
      </c>
      <c r="G4552" t="s">
        <v>963</v>
      </c>
      <c r="H4552">
        <v>197</v>
      </c>
      <c r="I4552">
        <v>0.41936499999999999</v>
      </c>
      <c r="J4552">
        <v>0.72510699999999995</v>
      </c>
      <c r="K4552">
        <v>0.30574099999999999</v>
      </c>
      <c r="L4552">
        <v>162</v>
      </c>
      <c r="M4552">
        <v>16</v>
      </c>
      <c r="N4552">
        <v>19</v>
      </c>
      <c r="O4552">
        <v>0.71789400000000003</v>
      </c>
      <c r="P4552">
        <v>0.293597</v>
      </c>
      <c r="Q4552">
        <v>0.22625400000000001</v>
      </c>
    </row>
    <row r="4553" spans="1:17" x14ac:dyDescent="0.25">
      <c r="A4553" t="str">
        <f>IF(C4553&amp;G4553&amp;D4553&lt;&gt;'Funnel setup'!$K$3&amp;'Funnel setup'!$K$4&amp;'Funnel setup'!$K$6,".",IF(A4552=".",1,A4552+1))</f>
        <v>.</v>
      </c>
      <c r="B4553" s="244" t="str">
        <f t="shared" si="71"/>
        <v>Total Knee ReplacementSub-ICB of GP PracticeNHS CHESHIRE AND MERSEYSIDE ICB - 01F (01F)EQ-5D Index</v>
      </c>
      <c r="C4553" t="s">
        <v>975</v>
      </c>
      <c r="D4553" t="s">
        <v>1021</v>
      </c>
      <c r="E4553" t="s">
        <v>769</v>
      </c>
      <c r="F4553" t="s">
        <v>770</v>
      </c>
      <c r="G4553" t="s">
        <v>963</v>
      </c>
      <c r="H4553">
        <v>31</v>
      </c>
      <c r="I4553">
        <v>0.40790300000000002</v>
      </c>
      <c r="J4553">
        <v>0.70496800000000004</v>
      </c>
      <c r="K4553">
        <v>0.29706500000000002</v>
      </c>
      <c r="L4553">
        <v>23</v>
      </c>
      <c r="M4553">
        <v>2</v>
      </c>
      <c r="N4553">
        <v>6</v>
      </c>
      <c r="O4553">
        <v>0.70991899999999997</v>
      </c>
      <c r="P4553">
        <v>0.28562100000000001</v>
      </c>
      <c r="Q4553">
        <v>0.29781000000000002</v>
      </c>
    </row>
    <row r="4554" spans="1:17" x14ac:dyDescent="0.25">
      <c r="A4554" t="str">
        <f>IF(C4554&amp;G4554&amp;D4554&lt;&gt;'Funnel setup'!$K$3&amp;'Funnel setup'!$K$4&amp;'Funnel setup'!$K$6,".",IF(A4553=".",1,A4553+1))</f>
        <v>.</v>
      </c>
      <c r="B4554" s="244" t="str">
        <f t="shared" si="71"/>
        <v>Total Knee ReplacementSub-ICB of GP PracticeNHS CHESHIRE AND MERSEYSIDE ICB - 01J (01J)EQ-5D Index</v>
      </c>
      <c r="C4554" t="s">
        <v>975</v>
      </c>
      <c r="D4554" t="s">
        <v>1021</v>
      </c>
      <c r="E4554" t="s">
        <v>771</v>
      </c>
      <c r="F4554" t="s">
        <v>772</v>
      </c>
      <c r="G4554" t="s">
        <v>963</v>
      </c>
      <c r="H4554">
        <v>32</v>
      </c>
      <c r="I4554">
        <v>0.284188</v>
      </c>
      <c r="J4554">
        <v>0.574125</v>
      </c>
      <c r="K4554">
        <v>0.28993799999999997</v>
      </c>
      <c r="L4554">
        <v>27</v>
      </c>
      <c r="M4554">
        <v>2</v>
      </c>
      <c r="N4554">
        <v>3</v>
      </c>
      <c r="O4554">
        <v>0.66885600000000001</v>
      </c>
      <c r="P4554">
        <v>0.244558</v>
      </c>
      <c r="Q4554">
        <v>0.31125900000000001</v>
      </c>
    </row>
    <row r="4555" spans="1:17" x14ac:dyDescent="0.25">
      <c r="A4555" t="str">
        <f>IF(C4555&amp;G4555&amp;D4555&lt;&gt;'Funnel setup'!$K$3&amp;'Funnel setup'!$K$4&amp;'Funnel setup'!$K$6,".",IF(A4554=".",1,A4554+1))</f>
        <v>.</v>
      </c>
      <c r="B4555" s="244" t="str">
        <f t="shared" si="71"/>
        <v>Total Knee ReplacementSub-ICB of GP PracticeNHS CHESHIRE AND MERSEYSIDE ICB - 01T (01T)EQ-5D Index</v>
      </c>
      <c r="C4555" t="s">
        <v>975</v>
      </c>
      <c r="D4555" t="s">
        <v>1021</v>
      </c>
      <c r="E4555" t="s">
        <v>773</v>
      </c>
      <c r="F4555" t="s">
        <v>774</v>
      </c>
      <c r="G4555" t="s">
        <v>963</v>
      </c>
      <c r="H4555">
        <v>51</v>
      </c>
      <c r="I4555">
        <v>0.38125500000000001</v>
      </c>
      <c r="J4555">
        <v>0.77047100000000002</v>
      </c>
      <c r="K4555">
        <v>0.38921600000000001</v>
      </c>
      <c r="L4555">
        <v>42</v>
      </c>
      <c r="M4555">
        <v>6</v>
      </c>
      <c r="N4555">
        <v>3</v>
      </c>
      <c r="O4555">
        <v>0.76876999999999995</v>
      </c>
      <c r="P4555">
        <v>0.34447299999999997</v>
      </c>
      <c r="Q4555">
        <v>0.26177499999999998</v>
      </c>
    </row>
    <row r="4556" spans="1:17" x14ac:dyDescent="0.25">
      <c r="A4556" t="str">
        <f>IF(C4556&amp;G4556&amp;D4556&lt;&gt;'Funnel setup'!$K$3&amp;'Funnel setup'!$K$4&amp;'Funnel setup'!$K$6,".",IF(A4555=".",1,A4555+1))</f>
        <v>.</v>
      </c>
      <c r="B4556" s="244" t="str">
        <f t="shared" si="71"/>
        <v>Total Knee ReplacementSub-ICB of GP PracticeNHS CHESHIRE AND MERSEYSIDE ICB - 01V (01V)EQ-5D Index</v>
      </c>
      <c r="C4556" t="s">
        <v>975</v>
      </c>
      <c r="D4556" t="s">
        <v>1021</v>
      </c>
      <c r="E4556" t="s">
        <v>775</v>
      </c>
      <c r="F4556" t="s">
        <v>776</v>
      </c>
      <c r="G4556" t="s">
        <v>963</v>
      </c>
      <c r="H4556">
        <v>28</v>
      </c>
      <c r="I4556">
        <v>0.45535700000000001</v>
      </c>
      <c r="J4556">
        <v>0.79996400000000001</v>
      </c>
      <c r="K4556">
        <v>0.344607</v>
      </c>
      <c r="L4556">
        <v>25</v>
      </c>
      <c r="M4556">
        <v>1</v>
      </c>
      <c r="N4556">
        <v>2</v>
      </c>
      <c r="O4556" t="s">
        <v>127</v>
      </c>
      <c r="P4556" t="s">
        <v>127</v>
      </c>
      <c r="Q4556" t="s">
        <v>127</v>
      </c>
    </row>
    <row r="4557" spans="1:17" x14ac:dyDescent="0.25">
      <c r="A4557" t="str">
        <f>IF(C4557&amp;G4557&amp;D4557&lt;&gt;'Funnel setup'!$K$3&amp;'Funnel setup'!$K$4&amp;'Funnel setup'!$K$6,".",IF(A4556=".",1,A4556+1))</f>
        <v>.</v>
      </c>
      <c r="B4557" s="244" t="str">
        <f t="shared" si="71"/>
        <v>Total Knee ReplacementSub-ICB of GP PracticeNHS CHESHIRE AND MERSEYSIDE ICB - 01X (01X)EQ-5D Index</v>
      </c>
      <c r="C4557" t="s">
        <v>975</v>
      </c>
      <c r="D4557" t="s">
        <v>1021</v>
      </c>
      <c r="E4557" t="s">
        <v>777</v>
      </c>
      <c r="F4557" t="s">
        <v>778</v>
      </c>
      <c r="G4557" t="s">
        <v>963</v>
      </c>
      <c r="H4557">
        <v>65</v>
      </c>
      <c r="I4557">
        <v>0.338169</v>
      </c>
      <c r="J4557">
        <v>0.64980000000000004</v>
      </c>
      <c r="K4557">
        <v>0.31163099999999999</v>
      </c>
      <c r="L4557">
        <v>53</v>
      </c>
      <c r="M4557">
        <v>3</v>
      </c>
      <c r="N4557">
        <v>9</v>
      </c>
      <c r="O4557">
        <v>0.67161499999999996</v>
      </c>
      <c r="P4557">
        <v>0.24731700000000001</v>
      </c>
      <c r="Q4557">
        <v>0.26924300000000001</v>
      </c>
    </row>
    <row r="4558" spans="1:17" x14ac:dyDescent="0.25">
      <c r="A4558" t="str">
        <f>IF(C4558&amp;G4558&amp;D4558&lt;&gt;'Funnel setup'!$K$3&amp;'Funnel setup'!$K$4&amp;'Funnel setup'!$K$6,".",IF(A4557=".",1,A4557+1))</f>
        <v>.</v>
      </c>
      <c r="B4558" s="244" t="str">
        <f t="shared" si="71"/>
        <v>Total Knee ReplacementSub-ICB of GP PracticeNHS CHESHIRE AND MERSEYSIDE ICB - 02E (02E)EQ-5D Index</v>
      </c>
      <c r="C4558" t="s">
        <v>975</v>
      </c>
      <c r="D4558" t="s">
        <v>1021</v>
      </c>
      <c r="E4558" t="s">
        <v>779</v>
      </c>
      <c r="F4558" t="s">
        <v>780</v>
      </c>
      <c r="G4558" t="s">
        <v>963</v>
      </c>
      <c r="H4558">
        <v>40</v>
      </c>
      <c r="I4558">
        <v>0.56420000000000003</v>
      </c>
      <c r="J4558">
        <v>0.79362500000000002</v>
      </c>
      <c r="K4558">
        <v>0.22942499999999999</v>
      </c>
      <c r="L4558">
        <v>30</v>
      </c>
      <c r="M4558">
        <v>5</v>
      </c>
      <c r="N4558">
        <v>5</v>
      </c>
      <c r="O4558">
        <v>0.74012599999999995</v>
      </c>
      <c r="P4558">
        <v>0.31582900000000003</v>
      </c>
      <c r="Q4558">
        <v>0.172597</v>
      </c>
    </row>
    <row r="4559" spans="1:17" x14ac:dyDescent="0.25">
      <c r="A4559" t="str">
        <f>IF(C4559&amp;G4559&amp;D4559&lt;&gt;'Funnel setup'!$K$3&amp;'Funnel setup'!$K$4&amp;'Funnel setup'!$K$6,".",IF(A4558=".",1,A4558+1))</f>
        <v>.</v>
      </c>
      <c r="B4559" s="244" t="str">
        <f t="shared" si="71"/>
        <v>Total Knee ReplacementSub-ICB of GP PracticeNHS CHESHIRE AND MERSEYSIDE ICB - 12F (12F)EQ-5D Index</v>
      </c>
      <c r="C4559" t="s">
        <v>975</v>
      </c>
      <c r="D4559" t="s">
        <v>1021</v>
      </c>
      <c r="E4559" t="s">
        <v>781</v>
      </c>
      <c r="F4559" t="s">
        <v>782</v>
      </c>
      <c r="G4559" t="s">
        <v>963</v>
      </c>
      <c r="H4559">
        <v>78</v>
      </c>
      <c r="I4559">
        <v>0.401615</v>
      </c>
      <c r="J4559">
        <v>0.75358999999999998</v>
      </c>
      <c r="K4559">
        <v>0.35197400000000001</v>
      </c>
      <c r="L4559">
        <v>66</v>
      </c>
      <c r="M4559">
        <v>2</v>
      </c>
      <c r="N4559">
        <v>10</v>
      </c>
      <c r="O4559">
        <v>0.74753800000000004</v>
      </c>
      <c r="P4559">
        <v>0.323241</v>
      </c>
      <c r="Q4559">
        <v>0.25600200000000001</v>
      </c>
    </row>
    <row r="4560" spans="1:17" x14ac:dyDescent="0.25">
      <c r="A4560" t="str">
        <f>IF(C4560&amp;G4560&amp;D4560&lt;&gt;'Funnel setup'!$K$3&amp;'Funnel setup'!$K$4&amp;'Funnel setup'!$K$6,".",IF(A4559=".",1,A4559+1))</f>
        <v>.</v>
      </c>
      <c r="B4560" s="244" t="str">
        <f t="shared" si="71"/>
        <v>Total Knee ReplacementSub-ICB of GP PracticeNHS CHESHIRE AND MERSEYSIDE ICB - 27D (27D)EQ-5D Index</v>
      </c>
      <c r="C4560" t="s">
        <v>975</v>
      </c>
      <c r="D4560" t="s">
        <v>1021</v>
      </c>
      <c r="E4560" t="s">
        <v>783</v>
      </c>
      <c r="F4560" t="s">
        <v>784</v>
      </c>
      <c r="G4560" t="s">
        <v>963</v>
      </c>
      <c r="H4560">
        <v>249</v>
      </c>
      <c r="I4560">
        <v>0.42054200000000003</v>
      </c>
      <c r="J4560">
        <v>0.760791</v>
      </c>
      <c r="K4560">
        <v>0.34024900000000002</v>
      </c>
      <c r="L4560">
        <v>211</v>
      </c>
      <c r="M4560">
        <v>24</v>
      </c>
      <c r="N4560">
        <v>14</v>
      </c>
      <c r="O4560">
        <v>0.760405</v>
      </c>
      <c r="P4560">
        <v>0.33610800000000002</v>
      </c>
      <c r="Q4560">
        <v>0.22082499999999999</v>
      </c>
    </row>
    <row r="4561" spans="1:17" x14ac:dyDescent="0.25">
      <c r="A4561" t="str">
        <f>IF(C4561&amp;G4561&amp;D4561&lt;&gt;'Funnel setup'!$K$3&amp;'Funnel setup'!$K$4&amp;'Funnel setup'!$K$6,".",IF(A4560=".",1,A4560+1))</f>
        <v>.</v>
      </c>
      <c r="B4561" s="244" t="str">
        <f t="shared" si="71"/>
        <v>Total Knee ReplacementSub-ICB of GP PracticeNHS CHESHIRE AND MERSEYSIDE ICB - 99A (99A)EQ-5D Index</v>
      </c>
      <c r="C4561" t="s">
        <v>975</v>
      </c>
      <c r="D4561" t="s">
        <v>1021</v>
      </c>
      <c r="E4561" t="s">
        <v>785</v>
      </c>
      <c r="F4561" t="s">
        <v>786</v>
      </c>
      <c r="G4561" t="s">
        <v>963</v>
      </c>
      <c r="H4561">
        <v>48</v>
      </c>
      <c r="I4561">
        <v>0.22375</v>
      </c>
      <c r="J4561">
        <v>0.638042</v>
      </c>
      <c r="K4561">
        <v>0.41429199999999999</v>
      </c>
      <c r="L4561">
        <v>40</v>
      </c>
      <c r="M4561">
        <v>4</v>
      </c>
      <c r="N4561">
        <v>4</v>
      </c>
      <c r="O4561">
        <v>0.71581799999999995</v>
      </c>
      <c r="P4561">
        <v>0.29152</v>
      </c>
      <c r="Q4561">
        <v>0.25892900000000002</v>
      </c>
    </row>
    <row r="4562" spans="1:17" x14ac:dyDescent="0.25">
      <c r="A4562" t="str">
        <f>IF(C4562&amp;G4562&amp;D4562&lt;&gt;'Funnel setup'!$K$3&amp;'Funnel setup'!$K$4&amp;'Funnel setup'!$K$6,".",IF(A4561=".",1,A4561+1))</f>
        <v>.</v>
      </c>
      <c r="B4562" s="244" t="str">
        <f t="shared" si="71"/>
        <v>Total Knee ReplacementSub-ICB of GP PracticeNHS CORNWALL AND THE ISLES OF SCILLY ICB - 11N (11N)EQ-5D Index</v>
      </c>
      <c r="C4562" t="s">
        <v>975</v>
      </c>
      <c r="D4562" t="s">
        <v>1021</v>
      </c>
      <c r="E4562" t="s">
        <v>787</v>
      </c>
      <c r="F4562" t="s">
        <v>788</v>
      </c>
      <c r="G4562" t="s">
        <v>963</v>
      </c>
      <c r="H4562">
        <v>151</v>
      </c>
      <c r="I4562">
        <v>0.49240400000000001</v>
      </c>
      <c r="J4562">
        <v>0.75819899999999996</v>
      </c>
      <c r="K4562">
        <v>0.265795</v>
      </c>
      <c r="L4562">
        <v>122</v>
      </c>
      <c r="M4562">
        <v>15</v>
      </c>
      <c r="N4562">
        <v>14</v>
      </c>
      <c r="O4562">
        <v>0.75373599999999996</v>
      </c>
      <c r="P4562">
        <v>0.32943899999999998</v>
      </c>
      <c r="Q4562">
        <v>0.210646</v>
      </c>
    </row>
    <row r="4563" spans="1:17" x14ac:dyDescent="0.25">
      <c r="A4563" t="str">
        <f>IF(C4563&amp;G4563&amp;D4563&lt;&gt;'Funnel setup'!$K$3&amp;'Funnel setup'!$K$4&amp;'Funnel setup'!$K$6,".",IF(A4562=".",1,A4562+1))</f>
        <v>.</v>
      </c>
      <c r="B4563" s="244" t="str">
        <f t="shared" si="71"/>
        <v>Total Knee ReplacementSub-ICB of GP PracticeNHS COVENTRY AND WARWICKSHIRE ICB - B2M3M (B2M3M)EQ-5D Index</v>
      </c>
      <c r="C4563" t="s">
        <v>975</v>
      </c>
      <c r="D4563" t="s">
        <v>1021</v>
      </c>
      <c r="E4563" t="s">
        <v>789</v>
      </c>
      <c r="F4563" t="s">
        <v>790</v>
      </c>
      <c r="G4563" t="s">
        <v>963</v>
      </c>
      <c r="H4563">
        <v>228</v>
      </c>
      <c r="I4563">
        <v>0.46212300000000001</v>
      </c>
      <c r="J4563">
        <v>0.78378099999999995</v>
      </c>
      <c r="K4563">
        <v>0.321658</v>
      </c>
      <c r="L4563">
        <v>192</v>
      </c>
      <c r="M4563">
        <v>19</v>
      </c>
      <c r="N4563">
        <v>17</v>
      </c>
      <c r="O4563">
        <v>0.76572799999999996</v>
      </c>
      <c r="P4563">
        <v>0.34143099999999998</v>
      </c>
      <c r="Q4563">
        <v>0.230684</v>
      </c>
    </row>
    <row r="4564" spans="1:17" x14ac:dyDescent="0.25">
      <c r="A4564" t="str">
        <f>IF(C4564&amp;G4564&amp;D4564&lt;&gt;'Funnel setup'!$K$3&amp;'Funnel setup'!$K$4&amp;'Funnel setup'!$K$6,".",IF(A4563=".",1,A4563+1))</f>
        <v>.</v>
      </c>
      <c r="B4564" s="244" t="str">
        <f t="shared" si="71"/>
        <v>Total Knee ReplacementSub-ICB of GP PracticeNHS DERBY AND DERBYSHIRE ICB - 15M (15M)EQ-5D Index</v>
      </c>
      <c r="C4564" t="s">
        <v>975</v>
      </c>
      <c r="D4564" t="s">
        <v>1021</v>
      </c>
      <c r="E4564" t="s">
        <v>791</v>
      </c>
      <c r="F4564" t="s">
        <v>792</v>
      </c>
      <c r="G4564" t="s">
        <v>963</v>
      </c>
      <c r="H4564">
        <v>517</v>
      </c>
      <c r="I4564">
        <v>0.40847</v>
      </c>
      <c r="J4564">
        <v>0.73361900000000002</v>
      </c>
      <c r="K4564">
        <v>0.32514900000000002</v>
      </c>
      <c r="L4564">
        <v>430</v>
      </c>
      <c r="M4564">
        <v>45</v>
      </c>
      <c r="N4564">
        <v>42</v>
      </c>
      <c r="O4564">
        <v>0.74719400000000002</v>
      </c>
      <c r="P4564">
        <v>0.32289699999999999</v>
      </c>
      <c r="Q4564">
        <v>0.22949600000000001</v>
      </c>
    </row>
    <row r="4565" spans="1:17" x14ac:dyDescent="0.25">
      <c r="A4565" t="str">
        <f>IF(C4565&amp;G4565&amp;D4565&lt;&gt;'Funnel setup'!$K$3&amp;'Funnel setup'!$K$4&amp;'Funnel setup'!$K$6,".",IF(A4564=".",1,A4564+1))</f>
        <v>.</v>
      </c>
      <c r="B4565" s="244" t="str">
        <f t="shared" si="71"/>
        <v>Total Knee ReplacementSub-ICB of GP PracticeNHS DEVON ICB - 15N (15N)EQ-5D Index</v>
      </c>
      <c r="C4565" t="s">
        <v>975</v>
      </c>
      <c r="D4565" t="s">
        <v>1021</v>
      </c>
      <c r="E4565" t="s">
        <v>793</v>
      </c>
      <c r="F4565" t="s">
        <v>794</v>
      </c>
      <c r="G4565" t="s">
        <v>963</v>
      </c>
      <c r="H4565">
        <v>384</v>
      </c>
      <c r="I4565">
        <v>0.44983099999999998</v>
      </c>
      <c r="J4565">
        <v>0.76651599999999998</v>
      </c>
      <c r="K4565">
        <v>0.31668499999999999</v>
      </c>
      <c r="L4565">
        <v>325</v>
      </c>
      <c r="M4565">
        <v>31</v>
      </c>
      <c r="N4565">
        <v>28</v>
      </c>
      <c r="O4565">
        <v>0.75942200000000004</v>
      </c>
      <c r="P4565">
        <v>0.33512399999999998</v>
      </c>
      <c r="Q4565">
        <v>0.213869</v>
      </c>
    </row>
    <row r="4566" spans="1:17" x14ac:dyDescent="0.25">
      <c r="A4566" t="str">
        <f>IF(C4566&amp;G4566&amp;D4566&lt;&gt;'Funnel setup'!$K$3&amp;'Funnel setup'!$K$4&amp;'Funnel setup'!$K$6,".",IF(A4565=".",1,A4565+1))</f>
        <v>.</v>
      </c>
      <c r="B4566" s="244" t="str">
        <f t="shared" si="71"/>
        <v>Total Knee ReplacementSub-ICB of GP PracticeNHS DORSET ICB - 11J (11J)EQ-5D Index</v>
      </c>
      <c r="C4566" t="s">
        <v>975</v>
      </c>
      <c r="D4566" t="s">
        <v>1021</v>
      </c>
      <c r="E4566" t="s">
        <v>795</v>
      </c>
      <c r="F4566" t="s">
        <v>796</v>
      </c>
      <c r="G4566" t="s">
        <v>963</v>
      </c>
      <c r="H4566">
        <v>277</v>
      </c>
      <c r="I4566">
        <v>0.492477</v>
      </c>
      <c r="J4566">
        <v>0.77368599999999998</v>
      </c>
      <c r="K4566">
        <v>0.28120899999999999</v>
      </c>
      <c r="L4566">
        <v>228</v>
      </c>
      <c r="M4566">
        <v>21</v>
      </c>
      <c r="N4566">
        <v>28</v>
      </c>
      <c r="O4566">
        <v>0.75761900000000004</v>
      </c>
      <c r="P4566">
        <v>0.33332099999999998</v>
      </c>
      <c r="Q4566">
        <v>0.21501999999999999</v>
      </c>
    </row>
    <row r="4567" spans="1:17" x14ac:dyDescent="0.25">
      <c r="A4567" t="str">
        <f>IF(C4567&amp;G4567&amp;D4567&lt;&gt;'Funnel setup'!$K$3&amp;'Funnel setup'!$K$4&amp;'Funnel setup'!$K$6,".",IF(A4566=".",1,A4566+1))</f>
        <v>.</v>
      </c>
      <c r="B4567" s="244" t="str">
        <f t="shared" si="71"/>
        <v>Total Knee ReplacementSub-ICB of GP PracticeNHS FRIMLEY ICB - D4U1Y (D4U1Y)EQ-5D Index</v>
      </c>
      <c r="C4567" t="s">
        <v>975</v>
      </c>
      <c r="D4567" t="s">
        <v>1021</v>
      </c>
      <c r="E4567" t="s">
        <v>797</v>
      </c>
      <c r="F4567" t="s">
        <v>798</v>
      </c>
      <c r="G4567" t="s">
        <v>963</v>
      </c>
      <c r="H4567">
        <v>182</v>
      </c>
      <c r="I4567">
        <v>0.47592299999999998</v>
      </c>
      <c r="J4567">
        <v>0.73885199999999995</v>
      </c>
      <c r="K4567">
        <v>0.26292900000000002</v>
      </c>
      <c r="L4567">
        <v>144</v>
      </c>
      <c r="M4567">
        <v>13</v>
      </c>
      <c r="N4567">
        <v>25</v>
      </c>
      <c r="O4567">
        <v>0.71701899999999996</v>
      </c>
      <c r="P4567">
        <v>0.29272199999999998</v>
      </c>
      <c r="Q4567">
        <v>0.22275600000000001</v>
      </c>
    </row>
    <row r="4568" spans="1:17" x14ac:dyDescent="0.25">
      <c r="A4568" t="str">
        <f>IF(C4568&amp;G4568&amp;D4568&lt;&gt;'Funnel setup'!$K$3&amp;'Funnel setup'!$K$4&amp;'Funnel setup'!$K$6,".",IF(A4567=".",1,A4567+1))</f>
        <v>.</v>
      </c>
      <c r="B4568" s="244" t="str">
        <f t="shared" si="71"/>
        <v>Total Knee ReplacementSub-ICB of GP PracticeNHS GLOUCESTERSHIRE ICB - 11M (11M)EQ-5D Index</v>
      </c>
      <c r="C4568" t="s">
        <v>975</v>
      </c>
      <c r="D4568" t="s">
        <v>1021</v>
      </c>
      <c r="E4568" t="s">
        <v>799</v>
      </c>
      <c r="F4568" t="s">
        <v>800</v>
      </c>
      <c r="G4568" t="s">
        <v>963</v>
      </c>
      <c r="H4568">
        <v>155</v>
      </c>
      <c r="I4568">
        <v>0.47175499999999998</v>
      </c>
      <c r="J4568">
        <v>0.765845</v>
      </c>
      <c r="K4568">
        <v>0.29409000000000002</v>
      </c>
      <c r="L4568">
        <v>128</v>
      </c>
      <c r="M4568">
        <v>17</v>
      </c>
      <c r="N4568">
        <v>10</v>
      </c>
      <c r="O4568">
        <v>0.74402999999999997</v>
      </c>
      <c r="P4568">
        <v>0.31973299999999999</v>
      </c>
      <c r="Q4568">
        <v>0.24759999999999999</v>
      </c>
    </row>
    <row r="4569" spans="1:17" x14ac:dyDescent="0.25">
      <c r="A4569" t="str">
        <f>IF(C4569&amp;G4569&amp;D4569&lt;&gt;'Funnel setup'!$K$3&amp;'Funnel setup'!$K$4&amp;'Funnel setup'!$K$6,".",IF(A4568=".",1,A4568+1))</f>
        <v>.</v>
      </c>
      <c r="B4569" s="244" t="str">
        <f t="shared" si="71"/>
        <v>Total Knee ReplacementSub-ICB of GP PracticeNHS GREATER MANCHESTER ICB - 00T (00T)EQ-5D Index</v>
      </c>
      <c r="C4569" t="s">
        <v>975</v>
      </c>
      <c r="D4569" t="s">
        <v>1021</v>
      </c>
      <c r="E4569" t="s">
        <v>801</v>
      </c>
      <c r="F4569" t="s">
        <v>802</v>
      </c>
      <c r="G4569" t="s">
        <v>963</v>
      </c>
      <c r="H4569">
        <v>92</v>
      </c>
      <c r="I4569">
        <v>0.42083700000000002</v>
      </c>
      <c r="J4569">
        <v>0.74576100000000001</v>
      </c>
      <c r="K4569">
        <v>0.32492399999999999</v>
      </c>
      <c r="L4569">
        <v>77</v>
      </c>
      <c r="M4569">
        <v>7</v>
      </c>
      <c r="N4569">
        <v>8</v>
      </c>
      <c r="O4569">
        <v>0.750776</v>
      </c>
      <c r="P4569">
        <v>0.32647900000000002</v>
      </c>
      <c r="Q4569">
        <v>0.25098700000000002</v>
      </c>
    </row>
    <row r="4570" spans="1:17" x14ac:dyDescent="0.25">
      <c r="A4570" t="str">
        <f>IF(C4570&amp;G4570&amp;D4570&lt;&gt;'Funnel setup'!$K$3&amp;'Funnel setup'!$K$4&amp;'Funnel setup'!$K$6,".",IF(A4569=".",1,A4569+1))</f>
        <v>.</v>
      </c>
      <c r="B4570" s="244" t="str">
        <f t="shared" si="71"/>
        <v>Total Knee ReplacementSub-ICB of GP PracticeNHS GREATER MANCHESTER ICB - 00V (00V)EQ-5D Index</v>
      </c>
      <c r="C4570" t="s">
        <v>975</v>
      </c>
      <c r="D4570" t="s">
        <v>1021</v>
      </c>
      <c r="E4570" t="s">
        <v>803</v>
      </c>
      <c r="F4570" t="s">
        <v>804</v>
      </c>
      <c r="G4570" t="s">
        <v>963</v>
      </c>
      <c r="H4570">
        <v>17</v>
      </c>
      <c r="I4570">
        <v>0.45617600000000003</v>
      </c>
      <c r="J4570">
        <v>0.71099999999999997</v>
      </c>
      <c r="K4570">
        <v>0.25482399999999999</v>
      </c>
      <c r="L4570">
        <v>13</v>
      </c>
      <c r="M4570">
        <v>2</v>
      </c>
      <c r="N4570">
        <v>2</v>
      </c>
      <c r="O4570" t="s">
        <v>127</v>
      </c>
      <c r="P4570" t="s">
        <v>127</v>
      </c>
      <c r="Q4570" t="s">
        <v>127</v>
      </c>
    </row>
    <row r="4571" spans="1:17" x14ac:dyDescent="0.25">
      <c r="A4571" t="str">
        <f>IF(C4571&amp;G4571&amp;D4571&lt;&gt;'Funnel setup'!$K$3&amp;'Funnel setup'!$K$4&amp;'Funnel setup'!$K$6,".",IF(A4570=".",1,A4570+1))</f>
        <v>.</v>
      </c>
      <c r="B4571" s="244" t="str">
        <f t="shared" si="71"/>
        <v>Total Knee ReplacementSub-ICB of GP PracticeNHS GREATER MANCHESTER ICB - 00Y (00Y)EQ-5D Index</v>
      </c>
      <c r="C4571" t="s">
        <v>975</v>
      </c>
      <c r="D4571" t="s">
        <v>1021</v>
      </c>
      <c r="E4571" t="s">
        <v>805</v>
      </c>
      <c r="F4571" t="s">
        <v>806</v>
      </c>
      <c r="G4571" t="s">
        <v>963</v>
      </c>
      <c r="H4571">
        <v>63</v>
      </c>
      <c r="I4571">
        <v>0.45006299999999999</v>
      </c>
      <c r="J4571">
        <v>0.79885700000000004</v>
      </c>
      <c r="K4571">
        <v>0.34879399999999999</v>
      </c>
      <c r="L4571">
        <v>55</v>
      </c>
      <c r="M4571">
        <v>5</v>
      </c>
      <c r="N4571">
        <v>3</v>
      </c>
      <c r="O4571">
        <v>0.76255600000000001</v>
      </c>
      <c r="P4571">
        <v>0.33825899999999998</v>
      </c>
      <c r="Q4571">
        <v>0.17857600000000001</v>
      </c>
    </row>
    <row r="4572" spans="1:17" x14ac:dyDescent="0.25">
      <c r="A4572" t="str">
        <f>IF(C4572&amp;G4572&amp;D4572&lt;&gt;'Funnel setup'!$K$3&amp;'Funnel setup'!$K$4&amp;'Funnel setup'!$K$6,".",IF(A4571=".",1,A4571+1))</f>
        <v>.</v>
      </c>
      <c r="B4572" s="244" t="str">
        <f t="shared" si="71"/>
        <v>Total Knee ReplacementSub-ICB of GP PracticeNHS GREATER MANCHESTER ICB - 01D (01D)EQ-5D Index</v>
      </c>
      <c r="C4572" t="s">
        <v>975</v>
      </c>
      <c r="D4572" t="s">
        <v>1021</v>
      </c>
      <c r="E4572" t="s">
        <v>807</v>
      </c>
      <c r="F4572" t="s">
        <v>808</v>
      </c>
      <c r="G4572" t="s">
        <v>963</v>
      </c>
      <c r="H4572">
        <v>22</v>
      </c>
      <c r="I4572">
        <v>0.43968200000000002</v>
      </c>
      <c r="J4572">
        <v>0.733545</v>
      </c>
      <c r="K4572">
        <v>0.29386400000000001</v>
      </c>
      <c r="L4572">
        <v>17</v>
      </c>
      <c r="M4572">
        <v>3</v>
      </c>
      <c r="N4572">
        <v>2</v>
      </c>
      <c r="O4572" t="s">
        <v>127</v>
      </c>
      <c r="P4572" t="s">
        <v>127</v>
      </c>
      <c r="Q4572" t="s">
        <v>127</v>
      </c>
    </row>
    <row r="4573" spans="1:17" x14ac:dyDescent="0.25">
      <c r="A4573" t="str">
        <f>IF(C4573&amp;G4573&amp;D4573&lt;&gt;'Funnel setup'!$K$3&amp;'Funnel setup'!$K$4&amp;'Funnel setup'!$K$6,".",IF(A4572=".",1,A4572+1))</f>
        <v>.</v>
      </c>
      <c r="B4573" s="244" t="str">
        <f t="shared" si="71"/>
        <v>Total Knee ReplacementSub-ICB of GP PracticeNHS GREATER MANCHESTER ICB - 01G (01G)EQ-5D Index</v>
      </c>
      <c r="C4573" t="s">
        <v>975</v>
      </c>
      <c r="D4573" t="s">
        <v>1021</v>
      </c>
      <c r="E4573" t="s">
        <v>809</v>
      </c>
      <c r="F4573" t="s">
        <v>810</v>
      </c>
      <c r="G4573" t="s">
        <v>963</v>
      </c>
      <c r="H4573">
        <v>56</v>
      </c>
      <c r="I4573">
        <v>0.35103600000000001</v>
      </c>
      <c r="J4573">
        <v>0.73244600000000004</v>
      </c>
      <c r="K4573">
        <v>0.381411</v>
      </c>
      <c r="L4573">
        <v>44</v>
      </c>
      <c r="M4573">
        <v>6</v>
      </c>
      <c r="N4573">
        <v>6</v>
      </c>
      <c r="O4573">
        <v>0.75647699999999996</v>
      </c>
      <c r="P4573">
        <v>0.332179</v>
      </c>
      <c r="Q4573">
        <v>0.26302900000000001</v>
      </c>
    </row>
    <row r="4574" spans="1:17" x14ac:dyDescent="0.25">
      <c r="A4574" t="str">
        <f>IF(C4574&amp;G4574&amp;D4574&lt;&gt;'Funnel setup'!$K$3&amp;'Funnel setup'!$K$4&amp;'Funnel setup'!$K$6,".",IF(A4573=".",1,A4573+1))</f>
        <v>.</v>
      </c>
      <c r="B4574" s="244" t="str">
        <f t="shared" si="71"/>
        <v>Total Knee ReplacementSub-ICB of GP PracticeNHS GREATER MANCHESTER ICB - 01W (01W)EQ-5D Index</v>
      </c>
      <c r="C4574" t="s">
        <v>975</v>
      </c>
      <c r="D4574" t="s">
        <v>1021</v>
      </c>
      <c r="E4574" t="s">
        <v>811</v>
      </c>
      <c r="F4574" t="s">
        <v>812</v>
      </c>
      <c r="G4574" t="s">
        <v>963</v>
      </c>
      <c r="H4574">
        <v>55</v>
      </c>
      <c r="I4574">
        <v>0.43589099999999997</v>
      </c>
      <c r="J4574">
        <v>0.75925500000000001</v>
      </c>
      <c r="K4574">
        <v>0.32336399999999998</v>
      </c>
      <c r="L4574">
        <v>46</v>
      </c>
      <c r="M4574">
        <v>2</v>
      </c>
      <c r="N4574">
        <v>7</v>
      </c>
      <c r="O4574">
        <v>0.75274799999999997</v>
      </c>
      <c r="P4574">
        <v>0.32845000000000002</v>
      </c>
      <c r="Q4574">
        <v>0.23683899999999999</v>
      </c>
    </row>
    <row r="4575" spans="1:17" x14ac:dyDescent="0.25">
      <c r="A4575" t="str">
        <f>IF(C4575&amp;G4575&amp;D4575&lt;&gt;'Funnel setup'!$K$3&amp;'Funnel setup'!$K$4&amp;'Funnel setup'!$K$6,".",IF(A4574=".",1,A4574+1))</f>
        <v>.</v>
      </c>
      <c r="B4575" s="244" t="str">
        <f t="shared" si="71"/>
        <v>Total Knee ReplacementSub-ICB of GP PracticeNHS GREATER MANCHESTER ICB - 01Y (01Y)EQ-5D Index</v>
      </c>
      <c r="C4575" t="s">
        <v>975</v>
      </c>
      <c r="D4575" t="s">
        <v>1021</v>
      </c>
      <c r="E4575" t="s">
        <v>813</v>
      </c>
      <c r="F4575" t="s">
        <v>814</v>
      </c>
      <c r="G4575" t="s">
        <v>963</v>
      </c>
      <c r="H4575">
        <v>23</v>
      </c>
      <c r="I4575">
        <v>0.44560899999999998</v>
      </c>
      <c r="J4575">
        <v>0.765652</v>
      </c>
      <c r="K4575">
        <v>0.32004300000000002</v>
      </c>
      <c r="L4575">
        <v>20</v>
      </c>
      <c r="M4575">
        <v>0</v>
      </c>
      <c r="N4575">
        <v>3</v>
      </c>
      <c r="O4575" t="s">
        <v>127</v>
      </c>
      <c r="P4575" t="s">
        <v>127</v>
      </c>
      <c r="Q4575" t="s">
        <v>127</v>
      </c>
    </row>
    <row r="4576" spans="1:17" x14ac:dyDescent="0.25">
      <c r="A4576" t="str">
        <f>IF(C4576&amp;G4576&amp;D4576&lt;&gt;'Funnel setup'!$K$3&amp;'Funnel setup'!$K$4&amp;'Funnel setup'!$K$6,".",IF(A4575=".",1,A4575+1))</f>
        <v>.</v>
      </c>
      <c r="B4576" s="244" t="str">
        <f t="shared" si="71"/>
        <v>Total Knee ReplacementSub-ICB of GP PracticeNHS GREATER MANCHESTER ICB - 02A (02A)EQ-5D Index</v>
      </c>
      <c r="C4576" t="s">
        <v>975</v>
      </c>
      <c r="D4576" t="s">
        <v>1021</v>
      </c>
      <c r="E4576" t="s">
        <v>815</v>
      </c>
      <c r="F4576" t="s">
        <v>816</v>
      </c>
      <c r="G4576" t="s">
        <v>963</v>
      </c>
      <c r="H4576">
        <v>82</v>
      </c>
      <c r="I4576">
        <v>0.378085</v>
      </c>
      <c r="J4576">
        <v>0.690805</v>
      </c>
      <c r="K4576">
        <v>0.31272</v>
      </c>
      <c r="L4576">
        <v>61</v>
      </c>
      <c r="M4576">
        <v>11</v>
      </c>
      <c r="N4576">
        <v>10</v>
      </c>
      <c r="O4576">
        <v>0.69474899999999995</v>
      </c>
      <c r="P4576">
        <v>0.27045200000000003</v>
      </c>
      <c r="Q4576">
        <v>0.27338899999999999</v>
      </c>
    </row>
    <row r="4577" spans="1:17" x14ac:dyDescent="0.25">
      <c r="A4577" t="str">
        <f>IF(C4577&amp;G4577&amp;D4577&lt;&gt;'Funnel setup'!$K$3&amp;'Funnel setup'!$K$4&amp;'Funnel setup'!$K$6,".",IF(A4576=".",1,A4576+1))</f>
        <v>.</v>
      </c>
      <c r="B4577" s="244" t="str">
        <f t="shared" si="71"/>
        <v>Total Knee ReplacementSub-ICB of GP PracticeNHS GREATER MANCHESTER ICB - 02H (02H)EQ-5D Index</v>
      </c>
      <c r="C4577" t="s">
        <v>975</v>
      </c>
      <c r="D4577" t="s">
        <v>1021</v>
      </c>
      <c r="E4577" t="s">
        <v>817</v>
      </c>
      <c r="F4577" t="s">
        <v>818</v>
      </c>
      <c r="G4577" t="s">
        <v>963</v>
      </c>
      <c r="H4577">
        <v>28</v>
      </c>
      <c r="I4577">
        <v>0.389679</v>
      </c>
      <c r="J4577">
        <v>0.72467899999999996</v>
      </c>
      <c r="K4577">
        <v>0.33500000000000002</v>
      </c>
      <c r="L4577">
        <v>23</v>
      </c>
      <c r="M4577">
        <v>3</v>
      </c>
      <c r="N4577">
        <v>2</v>
      </c>
      <c r="O4577" t="s">
        <v>127</v>
      </c>
      <c r="P4577" t="s">
        <v>127</v>
      </c>
      <c r="Q4577" t="s">
        <v>127</v>
      </c>
    </row>
    <row r="4578" spans="1:17" x14ac:dyDescent="0.25">
      <c r="A4578" t="str">
        <f>IF(C4578&amp;G4578&amp;D4578&lt;&gt;'Funnel setup'!$K$3&amp;'Funnel setup'!$K$4&amp;'Funnel setup'!$K$6,".",IF(A4577=".",1,A4577+1))</f>
        <v>.</v>
      </c>
      <c r="B4578" s="244" t="str">
        <f t="shared" si="71"/>
        <v>Total Knee ReplacementSub-ICB of GP PracticeNHS GREATER MANCHESTER ICB - 14L (14L)EQ-5D Index</v>
      </c>
      <c r="C4578" t="s">
        <v>975</v>
      </c>
      <c r="D4578" t="s">
        <v>1021</v>
      </c>
      <c r="E4578" t="s">
        <v>819</v>
      </c>
      <c r="F4578" t="s">
        <v>820</v>
      </c>
      <c r="G4578" t="s">
        <v>963</v>
      </c>
      <c r="H4578">
        <v>57</v>
      </c>
      <c r="I4578">
        <v>0.28694700000000001</v>
      </c>
      <c r="J4578">
        <v>0.68242100000000006</v>
      </c>
      <c r="K4578">
        <v>0.39547399999999999</v>
      </c>
      <c r="L4578">
        <v>49</v>
      </c>
      <c r="M4578">
        <v>2</v>
      </c>
      <c r="N4578">
        <v>6</v>
      </c>
      <c r="O4578">
        <v>0.75609800000000005</v>
      </c>
      <c r="P4578">
        <v>0.33180100000000001</v>
      </c>
      <c r="Q4578">
        <v>0.27586300000000002</v>
      </c>
    </row>
    <row r="4579" spans="1:17" x14ac:dyDescent="0.25">
      <c r="A4579" t="str">
        <f>IF(C4579&amp;G4579&amp;D4579&lt;&gt;'Funnel setup'!$K$3&amp;'Funnel setup'!$K$4&amp;'Funnel setup'!$K$6,".",IF(A4578=".",1,A4578+1))</f>
        <v>.</v>
      </c>
      <c r="B4579" s="244" t="str">
        <f t="shared" si="71"/>
        <v>Total Knee ReplacementSub-ICB of GP PracticeNHS HAMPSHIRE AND ISLE OF WIGHT ICB - 10R (10R)EQ-5D Index</v>
      </c>
      <c r="C4579" t="s">
        <v>975</v>
      </c>
      <c r="D4579" t="s">
        <v>1021</v>
      </c>
      <c r="E4579" t="s">
        <v>821</v>
      </c>
      <c r="F4579" t="s">
        <v>822</v>
      </c>
      <c r="G4579" t="s">
        <v>963</v>
      </c>
      <c r="H4579">
        <v>11</v>
      </c>
      <c r="I4579">
        <v>0.361182</v>
      </c>
      <c r="J4579">
        <v>0.68336399999999997</v>
      </c>
      <c r="K4579">
        <v>0.32218200000000002</v>
      </c>
      <c r="L4579">
        <v>9</v>
      </c>
      <c r="M4579">
        <v>1</v>
      </c>
      <c r="N4579">
        <v>1</v>
      </c>
      <c r="O4579" t="s">
        <v>127</v>
      </c>
      <c r="P4579" t="s">
        <v>127</v>
      </c>
      <c r="Q4579" t="s">
        <v>127</v>
      </c>
    </row>
    <row r="4580" spans="1:17" x14ac:dyDescent="0.25">
      <c r="A4580" t="str">
        <f>IF(C4580&amp;G4580&amp;D4580&lt;&gt;'Funnel setup'!$K$3&amp;'Funnel setup'!$K$4&amp;'Funnel setup'!$K$6,".",IF(A4579=".",1,A4579+1))</f>
        <v>.</v>
      </c>
      <c r="B4580" s="244" t="str">
        <f t="shared" si="71"/>
        <v>Total Knee ReplacementSub-ICB of GP PracticeNHS HAMPSHIRE AND ISLE OF WIGHT ICB - D9Y0V (D9Y0V)EQ-5D Index</v>
      </c>
      <c r="C4580" t="s">
        <v>975</v>
      </c>
      <c r="D4580" t="s">
        <v>1021</v>
      </c>
      <c r="E4580" t="s">
        <v>823</v>
      </c>
      <c r="F4580" t="s">
        <v>824</v>
      </c>
      <c r="G4580" t="s">
        <v>963</v>
      </c>
      <c r="H4580">
        <v>371</v>
      </c>
      <c r="I4580">
        <v>0.45484400000000003</v>
      </c>
      <c r="J4580">
        <v>0.76218600000000003</v>
      </c>
      <c r="K4580">
        <v>0.307342</v>
      </c>
      <c r="L4580">
        <v>303</v>
      </c>
      <c r="M4580">
        <v>33</v>
      </c>
      <c r="N4580">
        <v>35</v>
      </c>
      <c r="O4580">
        <v>0.75405999999999995</v>
      </c>
      <c r="P4580">
        <v>0.32976299999999997</v>
      </c>
      <c r="Q4580">
        <v>0.237845</v>
      </c>
    </row>
    <row r="4581" spans="1:17" x14ac:dyDescent="0.25">
      <c r="A4581" t="str">
        <f>IF(C4581&amp;G4581&amp;D4581&lt;&gt;'Funnel setup'!$K$3&amp;'Funnel setup'!$K$4&amp;'Funnel setup'!$K$6,".",IF(A4580=".",1,A4580+1))</f>
        <v>.</v>
      </c>
      <c r="B4581" s="244" t="str">
        <f t="shared" si="71"/>
        <v>Total Knee ReplacementSub-ICB of GP PracticeNHS HEREFORDSHIRE AND WORCESTERSHIRE ICB - 18C (18C)EQ-5D Index</v>
      </c>
      <c r="C4581" t="s">
        <v>975</v>
      </c>
      <c r="D4581" t="s">
        <v>1021</v>
      </c>
      <c r="E4581" t="s">
        <v>825</v>
      </c>
      <c r="F4581" t="s">
        <v>826</v>
      </c>
      <c r="G4581" t="s">
        <v>963</v>
      </c>
      <c r="H4581">
        <v>211</v>
      </c>
      <c r="I4581">
        <v>0.40913699999999997</v>
      </c>
      <c r="J4581">
        <v>0.76213299999999995</v>
      </c>
      <c r="K4581">
        <v>0.352995</v>
      </c>
      <c r="L4581">
        <v>177</v>
      </c>
      <c r="M4581">
        <v>14</v>
      </c>
      <c r="N4581">
        <v>20</v>
      </c>
      <c r="O4581">
        <v>0.76487799999999995</v>
      </c>
      <c r="P4581">
        <v>0.34058100000000002</v>
      </c>
      <c r="Q4581">
        <v>0.23841399999999999</v>
      </c>
    </row>
    <row r="4582" spans="1:17" x14ac:dyDescent="0.25">
      <c r="A4582" t="str">
        <f>IF(C4582&amp;G4582&amp;D4582&lt;&gt;'Funnel setup'!$K$3&amp;'Funnel setup'!$K$4&amp;'Funnel setup'!$K$6,".",IF(A4581=".",1,A4581+1))</f>
        <v>.</v>
      </c>
      <c r="B4582" s="244" t="str">
        <f t="shared" si="71"/>
        <v>Total Knee ReplacementSub-ICB of GP PracticeNHS HERTFORDSHIRE AND WEST ESSEX ICB - 06K (06K)EQ-5D Index</v>
      </c>
      <c r="C4582" t="s">
        <v>975</v>
      </c>
      <c r="D4582" t="s">
        <v>1021</v>
      </c>
      <c r="E4582" t="s">
        <v>827</v>
      </c>
      <c r="F4582" t="s">
        <v>828</v>
      </c>
      <c r="G4582" t="s">
        <v>963</v>
      </c>
      <c r="H4582">
        <v>91</v>
      </c>
      <c r="I4582">
        <v>0.42816500000000002</v>
      </c>
      <c r="J4582">
        <v>0.72693399999999997</v>
      </c>
      <c r="K4582">
        <v>0.29876900000000001</v>
      </c>
      <c r="L4582">
        <v>72</v>
      </c>
      <c r="M4582">
        <v>9</v>
      </c>
      <c r="N4582">
        <v>10</v>
      </c>
      <c r="O4582">
        <v>0.71453100000000003</v>
      </c>
      <c r="P4582">
        <v>0.29023300000000002</v>
      </c>
      <c r="Q4582">
        <v>0.25183299999999997</v>
      </c>
    </row>
    <row r="4583" spans="1:17" x14ac:dyDescent="0.25">
      <c r="A4583" t="str">
        <f>IF(C4583&amp;G4583&amp;D4583&lt;&gt;'Funnel setup'!$K$3&amp;'Funnel setup'!$K$4&amp;'Funnel setup'!$K$6,".",IF(A4582=".",1,A4582+1))</f>
        <v>.</v>
      </c>
      <c r="B4583" s="244" t="str">
        <f t="shared" si="71"/>
        <v>Total Knee ReplacementSub-ICB of GP PracticeNHS HERTFORDSHIRE AND WEST ESSEX ICB - 06N (06N)EQ-5D Index</v>
      </c>
      <c r="C4583" t="s">
        <v>975</v>
      </c>
      <c r="D4583" t="s">
        <v>1021</v>
      </c>
      <c r="E4583" t="s">
        <v>829</v>
      </c>
      <c r="F4583" t="s">
        <v>830</v>
      </c>
      <c r="G4583" t="s">
        <v>963</v>
      </c>
      <c r="H4583">
        <v>123</v>
      </c>
      <c r="I4583">
        <v>0.44339800000000001</v>
      </c>
      <c r="J4583">
        <v>0.71505700000000005</v>
      </c>
      <c r="K4583">
        <v>0.27165899999999998</v>
      </c>
      <c r="L4583">
        <v>92</v>
      </c>
      <c r="M4583">
        <v>16</v>
      </c>
      <c r="N4583">
        <v>15</v>
      </c>
      <c r="O4583">
        <v>0.71294900000000005</v>
      </c>
      <c r="P4583">
        <v>0.28865099999999999</v>
      </c>
      <c r="Q4583">
        <v>0.24515400000000001</v>
      </c>
    </row>
    <row r="4584" spans="1:17" x14ac:dyDescent="0.25">
      <c r="A4584" t="str">
        <f>IF(C4584&amp;G4584&amp;D4584&lt;&gt;'Funnel setup'!$K$3&amp;'Funnel setup'!$K$4&amp;'Funnel setup'!$K$6,".",IF(A4583=".",1,A4583+1))</f>
        <v>.</v>
      </c>
      <c r="B4584" s="244" t="str">
        <f t="shared" si="71"/>
        <v>Total Knee ReplacementSub-ICB of GP PracticeNHS HERTFORDSHIRE AND WEST ESSEX ICB - 07H (07H)EQ-5D Index</v>
      </c>
      <c r="C4584" t="s">
        <v>975</v>
      </c>
      <c r="D4584" t="s">
        <v>1021</v>
      </c>
      <c r="E4584" t="s">
        <v>831</v>
      </c>
      <c r="F4584" t="s">
        <v>832</v>
      </c>
      <c r="G4584" t="s">
        <v>963</v>
      </c>
      <c r="H4584">
        <v>67</v>
      </c>
      <c r="I4584">
        <v>0.45814899999999997</v>
      </c>
      <c r="J4584">
        <v>0.76813399999999998</v>
      </c>
      <c r="K4584">
        <v>0.30998500000000001</v>
      </c>
      <c r="L4584">
        <v>50</v>
      </c>
      <c r="M4584">
        <v>11</v>
      </c>
      <c r="N4584">
        <v>6</v>
      </c>
      <c r="O4584">
        <v>0.746062</v>
      </c>
      <c r="P4584">
        <v>0.32176399999999999</v>
      </c>
      <c r="Q4584">
        <v>0.223385</v>
      </c>
    </row>
    <row r="4585" spans="1:17" x14ac:dyDescent="0.25">
      <c r="A4585" t="str">
        <f>IF(C4585&amp;G4585&amp;D4585&lt;&gt;'Funnel setup'!$K$3&amp;'Funnel setup'!$K$4&amp;'Funnel setup'!$K$6,".",IF(A4584=".",1,A4584+1))</f>
        <v>.</v>
      </c>
      <c r="B4585" s="244" t="str">
        <f t="shared" si="71"/>
        <v>Total Knee ReplacementSub-ICB of GP PracticeNHS HUMBER AND NORTH YORKSHIRE ICB - 02Y (02Y)EQ-5D Index</v>
      </c>
      <c r="C4585" t="s">
        <v>975</v>
      </c>
      <c r="D4585" t="s">
        <v>1021</v>
      </c>
      <c r="E4585" t="s">
        <v>833</v>
      </c>
      <c r="F4585" t="s">
        <v>834</v>
      </c>
      <c r="G4585" t="s">
        <v>963</v>
      </c>
      <c r="H4585">
        <v>75</v>
      </c>
      <c r="I4585">
        <v>0.46955999999999998</v>
      </c>
      <c r="J4585">
        <v>0.72241299999999997</v>
      </c>
      <c r="K4585">
        <v>0.25285299999999999</v>
      </c>
      <c r="L4585">
        <v>54</v>
      </c>
      <c r="M4585">
        <v>12</v>
      </c>
      <c r="N4585">
        <v>9</v>
      </c>
      <c r="O4585">
        <v>0.70502200000000004</v>
      </c>
      <c r="P4585">
        <v>0.280725</v>
      </c>
      <c r="Q4585">
        <v>0.221832</v>
      </c>
    </row>
    <row r="4586" spans="1:17" x14ac:dyDescent="0.25">
      <c r="A4586" t="str">
        <f>IF(C4586&amp;G4586&amp;D4586&lt;&gt;'Funnel setup'!$K$3&amp;'Funnel setup'!$K$4&amp;'Funnel setup'!$K$6,".",IF(A4585=".",1,A4585+1))</f>
        <v>.</v>
      </c>
      <c r="B4586" s="244" t="str">
        <f t="shared" si="71"/>
        <v>Total Knee ReplacementSub-ICB of GP PracticeNHS HUMBER AND NORTH YORKSHIRE ICB - 03F (03F)EQ-5D Index</v>
      </c>
      <c r="C4586" t="s">
        <v>975</v>
      </c>
      <c r="D4586" t="s">
        <v>1021</v>
      </c>
      <c r="E4586" t="s">
        <v>835</v>
      </c>
      <c r="F4586" t="s">
        <v>836</v>
      </c>
      <c r="G4586" t="s">
        <v>963</v>
      </c>
      <c r="H4586">
        <v>27</v>
      </c>
      <c r="I4586">
        <v>0.36733300000000002</v>
      </c>
      <c r="J4586">
        <v>0.72692599999999996</v>
      </c>
      <c r="K4586">
        <v>0.359593</v>
      </c>
      <c r="L4586">
        <v>24</v>
      </c>
      <c r="M4586">
        <v>1</v>
      </c>
      <c r="N4586">
        <v>2</v>
      </c>
      <c r="O4586" t="s">
        <v>127</v>
      </c>
      <c r="P4586" t="s">
        <v>127</v>
      </c>
      <c r="Q4586" t="s">
        <v>127</v>
      </c>
    </row>
    <row r="4587" spans="1:17" x14ac:dyDescent="0.25">
      <c r="A4587" t="str">
        <f>IF(C4587&amp;G4587&amp;D4587&lt;&gt;'Funnel setup'!$K$3&amp;'Funnel setup'!$K$4&amp;'Funnel setup'!$K$6,".",IF(A4586=".",1,A4586+1))</f>
        <v>.</v>
      </c>
      <c r="B4587" s="244" t="str">
        <f t="shared" si="71"/>
        <v>Total Knee ReplacementSub-ICB of GP PracticeNHS HUMBER AND NORTH YORKSHIRE ICB - 03H (03H)EQ-5D Index</v>
      </c>
      <c r="C4587" t="s">
        <v>975</v>
      </c>
      <c r="D4587" t="s">
        <v>1021</v>
      </c>
      <c r="E4587" t="s">
        <v>837</v>
      </c>
      <c r="F4587" t="s">
        <v>838</v>
      </c>
      <c r="G4587" t="s">
        <v>963</v>
      </c>
      <c r="H4587">
        <v>81</v>
      </c>
      <c r="I4587">
        <v>0.414383</v>
      </c>
      <c r="J4587">
        <v>0.77248099999999997</v>
      </c>
      <c r="K4587">
        <v>0.358099</v>
      </c>
      <c r="L4587">
        <v>68</v>
      </c>
      <c r="M4587">
        <v>5</v>
      </c>
      <c r="N4587">
        <v>8</v>
      </c>
      <c r="O4587">
        <v>0.75736800000000004</v>
      </c>
      <c r="P4587">
        <v>0.33306999999999998</v>
      </c>
      <c r="Q4587">
        <v>0.193025</v>
      </c>
    </row>
    <row r="4588" spans="1:17" x14ac:dyDescent="0.25">
      <c r="A4588" t="str">
        <f>IF(C4588&amp;G4588&amp;D4588&lt;&gt;'Funnel setup'!$K$3&amp;'Funnel setup'!$K$4&amp;'Funnel setup'!$K$6,".",IF(A4587=".",1,A4587+1))</f>
        <v>.</v>
      </c>
      <c r="B4588" s="244" t="str">
        <f t="shared" si="71"/>
        <v>Total Knee ReplacementSub-ICB of GP PracticeNHS HUMBER AND NORTH YORKSHIRE ICB - 03K (03K)EQ-5D Index</v>
      </c>
      <c r="C4588" t="s">
        <v>975</v>
      </c>
      <c r="D4588" t="s">
        <v>1021</v>
      </c>
      <c r="E4588" t="s">
        <v>839</v>
      </c>
      <c r="F4588" t="s">
        <v>840</v>
      </c>
      <c r="G4588" t="s">
        <v>963</v>
      </c>
      <c r="H4588">
        <v>69</v>
      </c>
      <c r="I4588">
        <v>0.407362</v>
      </c>
      <c r="J4588">
        <v>0.70901400000000003</v>
      </c>
      <c r="K4588">
        <v>0.30165199999999998</v>
      </c>
      <c r="L4588">
        <v>51</v>
      </c>
      <c r="M4588">
        <v>5</v>
      </c>
      <c r="N4588">
        <v>13</v>
      </c>
      <c r="O4588">
        <v>0.70935000000000004</v>
      </c>
      <c r="P4588">
        <v>0.285053</v>
      </c>
      <c r="Q4588">
        <v>0.26500200000000002</v>
      </c>
    </row>
    <row r="4589" spans="1:17" x14ac:dyDescent="0.25">
      <c r="A4589" t="str">
        <f>IF(C4589&amp;G4589&amp;D4589&lt;&gt;'Funnel setup'!$K$3&amp;'Funnel setup'!$K$4&amp;'Funnel setup'!$K$6,".",IF(A4588=".",1,A4588+1))</f>
        <v>.</v>
      </c>
      <c r="B4589" s="244" t="str">
        <f t="shared" si="71"/>
        <v>Total Knee ReplacementSub-ICB of GP PracticeNHS HUMBER AND NORTH YORKSHIRE ICB - 03Q (03Q)EQ-5D Index</v>
      </c>
      <c r="C4589" t="s">
        <v>975</v>
      </c>
      <c r="D4589" t="s">
        <v>1021</v>
      </c>
      <c r="E4589" t="s">
        <v>841</v>
      </c>
      <c r="F4589" t="s">
        <v>842</v>
      </c>
      <c r="G4589" t="s">
        <v>963</v>
      </c>
      <c r="H4589">
        <v>75</v>
      </c>
      <c r="I4589">
        <v>0.47504000000000002</v>
      </c>
      <c r="J4589">
        <v>0.76342699999999997</v>
      </c>
      <c r="K4589">
        <v>0.288387</v>
      </c>
      <c r="L4589">
        <v>61</v>
      </c>
      <c r="M4589">
        <v>8</v>
      </c>
      <c r="N4589">
        <v>6</v>
      </c>
      <c r="O4589">
        <v>0.739541</v>
      </c>
      <c r="P4589">
        <v>0.31524400000000002</v>
      </c>
      <c r="Q4589">
        <v>0.21241599999999999</v>
      </c>
    </row>
    <row r="4590" spans="1:17" x14ac:dyDescent="0.25">
      <c r="A4590" t="str">
        <f>IF(C4590&amp;G4590&amp;D4590&lt;&gt;'Funnel setup'!$K$3&amp;'Funnel setup'!$K$4&amp;'Funnel setup'!$K$6,".",IF(A4589=".",1,A4589+1))</f>
        <v>.</v>
      </c>
      <c r="B4590" s="244" t="str">
        <f t="shared" si="71"/>
        <v>Total Knee ReplacementSub-ICB of GP PracticeNHS HUMBER AND NORTH YORKSHIRE ICB - 42D (42D)EQ-5D Index</v>
      </c>
      <c r="C4590" t="s">
        <v>975</v>
      </c>
      <c r="D4590" t="s">
        <v>1021</v>
      </c>
      <c r="E4590" t="s">
        <v>843</v>
      </c>
      <c r="F4590" t="s">
        <v>844</v>
      </c>
      <c r="G4590" t="s">
        <v>963</v>
      </c>
      <c r="H4590">
        <v>204</v>
      </c>
      <c r="I4590">
        <v>0.390461</v>
      </c>
      <c r="J4590">
        <v>0.78866199999999997</v>
      </c>
      <c r="K4590">
        <v>0.39820100000000003</v>
      </c>
      <c r="L4590">
        <v>179</v>
      </c>
      <c r="M4590">
        <v>8</v>
      </c>
      <c r="N4590">
        <v>17</v>
      </c>
      <c r="O4590">
        <v>0.78900999999999999</v>
      </c>
      <c r="P4590">
        <v>0.36471300000000001</v>
      </c>
      <c r="Q4590">
        <v>0.22900100000000001</v>
      </c>
    </row>
    <row r="4591" spans="1:17" x14ac:dyDescent="0.25">
      <c r="A4591" t="str">
        <f>IF(C4591&amp;G4591&amp;D4591&lt;&gt;'Funnel setup'!$K$3&amp;'Funnel setup'!$K$4&amp;'Funnel setup'!$K$6,".",IF(A4590=".",1,A4590+1))</f>
        <v>.</v>
      </c>
      <c r="B4591" s="244" t="str">
        <f t="shared" si="71"/>
        <v>Total Knee ReplacementSub-ICB of GP PracticeNHS KENT AND MEDWAY ICB - 91Q (91Q)EQ-5D Index</v>
      </c>
      <c r="C4591" t="s">
        <v>975</v>
      </c>
      <c r="D4591" t="s">
        <v>1021</v>
      </c>
      <c r="E4591" t="s">
        <v>845</v>
      </c>
      <c r="F4591" t="s">
        <v>846</v>
      </c>
      <c r="G4591" t="s">
        <v>963</v>
      </c>
      <c r="H4591">
        <v>577</v>
      </c>
      <c r="I4591">
        <v>0.47151999999999999</v>
      </c>
      <c r="J4591">
        <v>0.79136399999999996</v>
      </c>
      <c r="K4591">
        <v>0.31984400000000002</v>
      </c>
      <c r="L4591">
        <v>481</v>
      </c>
      <c r="M4591">
        <v>50</v>
      </c>
      <c r="N4591">
        <v>46</v>
      </c>
      <c r="O4591">
        <v>0.77596500000000002</v>
      </c>
      <c r="P4591">
        <v>0.35166799999999998</v>
      </c>
      <c r="Q4591">
        <v>0.20652999999999999</v>
      </c>
    </row>
    <row r="4592" spans="1:17" x14ac:dyDescent="0.25">
      <c r="A4592" t="str">
        <f>IF(C4592&amp;G4592&amp;D4592&lt;&gt;'Funnel setup'!$K$3&amp;'Funnel setup'!$K$4&amp;'Funnel setup'!$K$6,".",IF(A4591=".",1,A4591+1))</f>
        <v>.</v>
      </c>
      <c r="B4592" s="244" t="str">
        <f t="shared" si="71"/>
        <v>Total Knee ReplacementSub-ICB of GP PracticeNHS LANCASHIRE AND SOUTH CUMBRIA ICB - 00Q (00Q)EQ-5D Index</v>
      </c>
      <c r="C4592" t="s">
        <v>975</v>
      </c>
      <c r="D4592" t="s">
        <v>1021</v>
      </c>
      <c r="E4592" t="s">
        <v>847</v>
      </c>
      <c r="F4592" t="s">
        <v>848</v>
      </c>
      <c r="G4592" t="s">
        <v>963</v>
      </c>
      <c r="H4592">
        <v>48</v>
      </c>
      <c r="I4592">
        <v>0.43487500000000001</v>
      </c>
      <c r="J4592">
        <v>0.65479200000000004</v>
      </c>
      <c r="K4592">
        <v>0.219917</v>
      </c>
      <c r="L4592">
        <v>35</v>
      </c>
      <c r="M4592">
        <v>8</v>
      </c>
      <c r="N4592">
        <v>5</v>
      </c>
      <c r="O4592">
        <v>0.658412</v>
      </c>
      <c r="P4592">
        <v>0.23411399999999999</v>
      </c>
      <c r="Q4592">
        <v>0.26086900000000002</v>
      </c>
    </row>
    <row r="4593" spans="1:17" x14ac:dyDescent="0.25">
      <c r="A4593" t="str">
        <f>IF(C4593&amp;G4593&amp;D4593&lt;&gt;'Funnel setup'!$K$3&amp;'Funnel setup'!$K$4&amp;'Funnel setup'!$K$6,".",IF(A4592=".",1,A4592+1))</f>
        <v>.</v>
      </c>
      <c r="B4593" s="244" t="str">
        <f t="shared" si="71"/>
        <v>Total Knee ReplacementSub-ICB of GP PracticeNHS LANCASHIRE AND SOUTH CUMBRIA ICB - 00R (00R)EQ-5D Index</v>
      </c>
      <c r="C4593" t="s">
        <v>975</v>
      </c>
      <c r="D4593" t="s">
        <v>1021</v>
      </c>
      <c r="E4593" t="s">
        <v>849</v>
      </c>
      <c r="F4593" t="s">
        <v>850</v>
      </c>
      <c r="G4593" t="s">
        <v>963</v>
      </c>
      <c r="H4593">
        <v>47</v>
      </c>
      <c r="I4593">
        <v>0.43870199999999998</v>
      </c>
      <c r="J4593">
        <v>0.70876600000000001</v>
      </c>
      <c r="K4593">
        <v>0.27006400000000003</v>
      </c>
      <c r="L4593">
        <v>37</v>
      </c>
      <c r="M4593">
        <v>5</v>
      </c>
      <c r="N4593">
        <v>5</v>
      </c>
      <c r="O4593">
        <v>0.75668000000000002</v>
      </c>
      <c r="P4593">
        <v>0.33238200000000001</v>
      </c>
      <c r="Q4593">
        <v>0.240564</v>
      </c>
    </row>
    <row r="4594" spans="1:17" x14ac:dyDescent="0.25">
      <c r="A4594" t="str">
        <f>IF(C4594&amp;G4594&amp;D4594&lt;&gt;'Funnel setup'!$K$3&amp;'Funnel setup'!$K$4&amp;'Funnel setup'!$K$6,".",IF(A4593=".",1,A4593+1))</f>
        <v>.</v>
      </c>
      <c r="B4594" s="244" t="str">
        <f t="shared" si="71"/>
        <v>Total Knee ReplacementSub-ICB of GP PracticeNHS LANCASHIRE AND SOUTH CUMBRIA ICB - 00X (00X)EQ-5D Index</v>
      </c>
      <c r="C4594" t="s">
        <v>975</v>
      </c>
      <c r="D4594" t="s">
        <v>1021</v>
      </c>
      <c r="E4594" t="s">
        <v>851</v>
      </c>
      <c r="F4594" t="s">
        <v>852</v>
      </c>
      <c r="G4594" t="s">
        <v>963</v>
      </c>
      <c r="H4594">
        <v>65</v>
      </c>
      <c r="I4594">
        <v>0.356215</v>
      </c>
      <c r="J4594">
        <v>0.77964599999999995</v>
      </c>
      <c r="K4594">
        <v>0.423431</v>
      </c>
      <c r="L4594">
        <v>61</v>
      </c>
      <c r="M4594">
        <v>3</v>
      </c>
      <c r="N4594">
        <v>1</v>
      </c>
      <c r="O4594">
        <v>0.80242100000000005</v>
      </c>
      <c r="P4594">
        <v>0.37812400000000002</v>
      </c>
      <c r="Q4594">
        <v>0.20901800000000001</v>
      </c>
    </row>
    <row r="4595" spans="1:17" x14ac:dyDescent="0.25">
      <c r="A4595" t="str">
        <f>IF(C4595&amp;G4595&amp;D4595&lt;&gt;'Funnel setup'!$K$3&amp;'Funnel setup'!$K$4&amp;'Funnel setup'!$K$6,".",IF(A4594=".",1,A4594+1))</f>
        <v>.</v>
      </c>
      <c r="B4595" s="244" t="str">
        <f t="shared" si="71"/>
        <v>Total Knee ReplacementSub-ICB of GP PracticeNHS LANCASHIRE AND SOUTH CUMBRIA ICB - 01A (01A)EQ-5D Index</v>
      </c>
      <c r="C4595" t="s">
        <v>975</v>
      </c>
      <c r="D4595" t="s">
        <v>1021</v>
      </c>
      <c r="E4595" t="s">
        <v>853</v>
      </c>
      <c r="F4595" t="s">
        <v>854</v>
      </c>
      <c r="G4595" t="s">
        <v>963</v>
      </c>
      <c r="H4595">
        <v>129</v>
      </c>
      <c r="I4595">
        <v>0.47544999999999998</v>
      </c>
      <c r="J4595">
        <v>0.77159699999999998</v>
      </c>
      <c r="K4595">
        <v>0.29614699999999999</v>
      </c>
      <c r="L4595">
        <v>106</v>
      </c>
      <c r="M4595">
        <v>9</v>
      </c>
      <c r="N4595">
        <v>14</v>
      </c>
      <c r="O4595">
        <v>0.76115600000000005</v>
      </c>
      <c r="P4595">
        <v>0.33685900000000002</v>
      </c>
      <c r="Q4595">
        <v>0.21947</v>
      </c>
    </row>
    <row r="4596" spans="1:17" x14ac:dyDescent="0.25">
      <c r="A4596" t="str">
        <f>IF(C4596&amp;G4596&amp;D4596&lt;&gt;'Funnel setup'!$K$3&amp;'Funnel setup'!$K$4&amp;'Funnel setup'!$K$6,".",IF(A4595=".",1,A4595+1))</f>
        <v>.</v>
      </c>
      <c r="B4596" s="244" t="str">
        <f t="shared" si="71"/>
        <v>Total Knee ReplacementSub-ICB of GP PracticeNHS LANCASHIRE AND SOUTH CUMBRIA ICB - 01E (01E)EQ-5D Index</v>
      </c>
      <c r="C4596" t="s">
        <v>975</v>
      </c>
      <c r="D4596" t="s">
        <v>1021</v>
      </c>
      <c r="E4596" t="s">
        <v>855</v>
      </c>
      <c r="F4596" t="s">
        <v>856</v>
      </c>
      <c r="G4596" t="s">
        <v>963</v>
      </c>
      <c r="H4596">
        <v>70</v>
      </c>
      <c r="I4596">
        <v>0.46975699999999998</v>
      </c>
      <c r="J4596">
        <v>0.80735699999999999</v>
      </c>
      <c r="K4596">
        <v>0.33760000000000001</v>
      </c>
      <c r="L4596">
        <v>59</v>
      </c>
      <c r="M4596">
        <v>6</v>
      </c>
      <c r="N4596">
        <v>5</v>
      </c>
      <c r="O4596">
        <v>0.79436099999999998</v>
      </c>
      <c r="P4596">
        <v>0.370064</v>
      </c>
      <c r="Q4596">
        <v>0.26058700000000001</v>
      </c>
    </row>
    <row r="4597" spans="1:17" x14ac:dyDescent="0.25">
      <c r="A4597" t="str">
        <f>IF(C4597&amp;G4597&amp;D4597&lt;&gt;'Funnel setup'!$K$3&amp;'Funnel setup'!$K$4&amp;'Funnel setup'!$K$6,".",IF(A4596=".",1,A4596+1))</f>
        <v>.</v>
      </c>
      <c r="B4597" s="244" t="str">
        <f t="shared" si="71"/>
        <v>Total Knee ReplacementSub-ICB of GP PracticeNHS LANCASHIRE AND SOUTH CUMBRIA ICB - 01K (01K)EQ-5D Index</v>
      </c>
      <c r="C4597" t="s">
        <v>975</v>
      </c>
      <c r="D4597" t="s">
        <v>1021</v>
      </c>
      <c r="E4597" t="s">
        <v>857</v>
      </c>
      <c r="F4597" t="s">
        <v>858</v>
      </c>
      <c r="G4597" t="s">
        <v>963</v>
      </c>
      <c r="H4597">
        <v>183</v>
      </c>
      <c r="I4597">
        <v>0.41653600000000002</v>
      </c>
      <c r="J4597">
        <v>0.74827299999999997</v>
      </c>
      <c r="K4597">
        <v>0.33173799999999998</v>
      </c>
      <c r="L4597">
        <v>148</v>
      </c>
      <c r="M4597">
        <v>14</v>
      </c>
      <c r="N4597">
        <v>21</v>
      </c>
      <c r="O4597">
        <v>0.74251400000000001</v>
      </c>
      <c r="P4597">
        <v>0.318216</v>
      </c>
      <c r="Q4597">
        <v>0.229327</v>
      </c>
    </row>
    <row r="4598" spans="1:17" x14ac:dyDescent="0.25">
      <c r="A4598" t="str">
        <f>IF(C4598&amp;G4598&amp;D4598&lt;&gt;'Funnel setup'!$K$3&amp;'Funnel setup'!$K$4&amp;'Funnel setup'!$K$6,".",IF(A4597=".",1,A4597+1))</f>
        <v>.</v>
      </c>
      <c r="B4598" s="244" t="str">
        <f t="shared" si="71"/>
        <v>Total Knee ReplacementSub-ICB of GP PracticeNHS LANCASHIRE AND SOUTH CUMBRIA ICB - 02G (02G)EQ-5D Index</v>
      </c>
      <c r="C4598" t="s">
        <v>975</v>
      </c>
      <c r="D4598" t="s">
        <v>1021</v>
      </c>
      <c r="E4598" t="s">
        <v>859</v>
      </c>
      <c r="F4598" t="s">
        <v>860</v>
      </c>
      <c r="G4598" t="s">
        <v>963</v>
      </c>
      <c r="H4598">
        <v>23</v>
      </c>
      <c r="I4598">
        <v>0.315913</v>
      </c>
      <c r="J4598">
        <v>0.85365199999999997</v>
      </c>
      <c r="K4598">
        <v>0.53773899999999997</v>
      </c>
      <c r="L4598">
        <v>22</v>
      </c>
      <c r="M4598">
        <v>1</v>
      </c>
      <c r="N4598">
        <v>0</v>
      </c>
      <c r="O4598" t="s">
        <v>127</v>
      </c>
      <c r="P4598" t="s">
        <v>127</v>
      </c>
      <c r="Q4598" t="s">
        <v>127</v>
      </c>
    </row>
    <row r="4599" spans="1:17" x14ac:dyDescent="0.25">
      <c r="A4599" t="str">
        <f>IF(C4599&amp;G4599&amp;D4599&lt;&gt;'Funnel setup'!$K$3&amp;'Funnel setup'!$K$4&amp;'Funnel setup'!$K$6,".",IF(A4598=".",1,A4598+1))</f>
        <v>.</v>
      </c>
      <c r="B4599" s="244" t="str">
        <f t="shared" si="71"/>
        <v>Total Knee ReplacementSub-ICB of GP PracticeNHS LANCASHIRE AND SOUTH CUMBRIA ICB - 02M (02M)EQ-5D Index</v>
      </c>
      <c r="C4599" t="s">
        <v>975</v>
      </c>
      <c r="D4599" t="s">
        <v>1021</v>
      </c>
      <c r="E4599" t="s">
        <v>861</v>
      </c>
      <c r="F4599" t="s">
        <v>862</v>
      </c>
      <c r="G4599" t="s">
        <v>963</v>
      </c>
      <c r="H4599">
        <v>65</v>
      </c>
      <c r="I4599">
        <v>0.51892300000000002</v>
      </c>
      <c r="J4599">
        <v>0.77473800000000004</v>
      </c>
      <c r="K4599">
        <v>0.25581500000000001</v>
      </c>
      <c r="L4599">
        <v>53</v>
      </c>
      <c r="M4599">
        <v>2</v>
      </c>
      <c r="N4599">
        <v>10</v>
      </c>
      <c r="O4599">
        <v>0.74836199999999997</v>
      </c>
      <c r="P4599">
        <v>0.32406499999999999</v>
      </c>
      <c r="Q4599">
        <v>0.180063</v>
      </c>
    </row>
    <row r="4600" spans="1:17" x14ac:dyDescent="0.25">
      <c r="A4600" t="str">
        <f>IF(C4600&amp;G4600&amp;D4600&lt;&gt;'Funnel setup'!$K$3&amp;'Funnel setup'!$K$4&amp;'Funnel setup'!$K$6,".",IF(A4599=".",1,A4599+1))</f>
        <v>.</v>
      </c>
      <c r="B4600" s="244" t="str">
        <f t="shared" si="71"/>
        <v>Total Knee ReplacementSub-ICB of GP PracticeNHS LEICESTER, LEICESTERSHIRE AND RUTLAND ICB - 03W (03W)EQ-5D Index</v>
      </c>
      <c r="C4600" t="s">
        <v>975</v>
      </c>
      <c r="D4600" t="s">
        <v>1021</v>
      </c>
      <c r="E4600" t="s">
        <v>863</v>
      </c>
      <c r="F4600" t="s">
        <v>864</v>
      </c>
      <c r="G4600" t="s">
        <v>963</v>
      </c>
      <c r="H4600">
        <v>148</v>
      </c>
      <c r="I4600">
        <v>0.430122</v>
      </c>
      <c r="J4600">
        <v>0.77343200000000001</v>
      </c>
      <c r="K4600">
        <v>0.34331099999999998</v>
      </c>
      <c r="L4600">
        <v>125</v>
      </c>
      <c r="M4600">
        <v>14</v>
      </c>
      <c r="N4600">
        <v>9</v>
      </c>
      <c r="O4600">
        <v>0.76503200000000005</v>
      </c>
      <c r="P4600">
        <v>0.34073500000000001</v>
      </c>
      <c r="Q4600">
        <v>0.188753</v>
      </c>
    </row>
    <row r="4601" spans="1:17" x14ac:dyDescent="0.25">
      <c r="A4601" t="str">
        <f>IF(C4601&amp;G4601&amp;D4601&lt;&gt;'Funnel setup'!$K$3&amp;'Funnel setup'!$K$4&amp;'Funnel setup'!$K$6,".",IF(A4600=".",1,A4600+1))</f>
        <v>.</v>
      </c>
      <c r="B4601" s="244" t="str">
        <f t="shared" si="71"/>
        <v>Total Knee ReplacementSub-ICB of GP PracticeNHS LEICESTER, LEICESTERSHIRE AND RUTLAND ICB - 04C (04C)EQ-5D Index</v>
      </c>
      <c r="C4601" t="s">
        <v>975</v>
      </c>
      <c r="D4601" t="s">
        <v>1021</v>
      </c>
      <c r="E4601" t="s">
        <v>865</v>
      </c>
      <c r="F4601" t="s">
        <v>866</v>
      </c>
      <c r="G4601" t="s">
        <v>963</v>
      </c>
      <c r="H4601">
        <v>48</v>
      </c>
      <c r="I4601">
        <v>0.34018700000000002</v>
      </c>
      <c r="J4601">
        <v>0.58360400000000001</v>
      </c>
      <c r="K4601">
        <v>0.24341699999999999</v>
      </c>
      <c r="L4601">
        <v>35</v>
      </c>
      <c r="M4601">
        <v>4</v>
      </c>
      <c r="N4601">
        <v>9</v>
      </c>
      <c r="O4601">
        <v>0.65018600000000004</v>
      </c>
      <c r="P4601">
        <v>0.22588800000000001</v>
      </c>
      <c r="Q4601">
        <v>0.26802500000000001</v>
      </c>
    </row>
    <row r="4602" spans="1:17" x14ac:dyDescent="0.25">
      <c r="A4602" t="str">
        <f>IF(C4602&amp;G4602&amp;D4602&lt;&gt;'Funnel setup'!$K$3&amp;'Funnel setup'!$K$4&amp;'Funnel setup'!$K$6,".",IF(A4601=".",1,A4601+1))</f>
        <v>.</v>
      </c>
      <c r="B4602" s="244" t="str">
        <f t="shared" si="71"/>
        <v>Total Knee ReplacementSub-ICB of GP PracticeNHS LEICESTER, LEICESTERSHIRE AND RUTLAND ICB - 04V (04V)EQ-5D Index</v>
      </c>
      <c r="C4602" t="s">
        <v>975</v>
      </c>
      <c r="D4602" t="s">
        <v>1021</v>
      </c>
      <c r="E4602" t="s">
        <v>867</v>
      </c>
      <c r="F4602" t="s">
        <v>868</v>
      </c>
      <c r="G4602" t="s">
        <v>963</v>
      </c>
      <c r="H4602">
        <v>160</v>
      </c>
      <c r="I4602">
        <v>0.41296899999999997</v>
      </c>
      <c r="J4602">
        <v>0.73913099999999998</v>
      </c>
      <c r="K4602">
        <v>0.32616200000000001</v>
      </c>
      <c r="L4602">
        <v>130</v>
      </c>
      <c r="M4602">
        <v>14</v>
      </c>
      <c r="N4602">
        <v>16</v>
      </c>
      <c r="O4602">
        <v>0.74789099999999997</v>
      </c>
      <c r="P4602">
        <v>0.32359399999999999</v>
      </c>
      <c r="Q4602">
        <v>0.228376</v>
      </c>
    </row>
    <row r="4603" spans="1:17" x14ac:dyDescent="0.25">
      <c r="A4603" t="str">
        <f>IF(C4603&amp;G4603&amp;D4603&lt;&gt;'Funnel setup'!$K$3&amp;'Funnel setup'!$K$4&amp;'Funnel setup'!$K$6,".",IF(A4602=".",1,A4602+1))</f>
        <v>.</v>
      </c>
      <c r="B4603" s="244" t="str">
        <f t="shared" si="71"/>
        <v>Total Knee ReplacementSub-ICB of GP PracticeNHS LINCOLNSHIRE ICB - 71E (71E)EQ-5D Index</v>
      </c>
      <c r="C4603" t="s">
        <v>975</v>
      </c>
      <c r="D4603" t="s">
        <v>1021</v>
      </c>
      <c r="E4603" t="s">
        <v>869</v>
      </c>
      <c r="F4603" t="s">
        <v>870</v>
      </c>
      <c r="G4603" t="s">
        <v>963</v>
      </c>
      <c r="H4603">
        <v>287</v>
      </c>
      <c r="I4603">
        <v>0.44613599999999998</v>
      </c>
      <c r="J4603">
        <v>0.78563799999999995</v>
      </c>
      <c r="K4603">
        <v>0.33950200000000003</v>
      </c>
      <c r="L4603">
        <v>252</v>
      </c>
      <c r="M4603">
        <v>20</v>
      </c>
      <c r="N4603">
        <v>15</v>
      </c>
      <c r="O4603">
        <v>0.763046</v>
      </c>
      <c r="P4603">
        <v>0.33874799999999999</v>
      </c>
      <c r="Q4603">
        <v>0.19708800000000001</v>
      </c>
    </row>
    <row r="4604" spans="1:17" x14ac:dyDescent="0.25">
      <c r="A4604" t="str">
        <f>IF(C4604&amp;G4604&amp;D4604&lt;&gt;'Funnel setup'!$K$3&amp;'Funnel setup'!$K$4&amp;'Funnel setup'!$K$6,".",IF(A4603=".",1,A4603+1))</f>
        <v>.</v>
      </c>
      <c r="B4604" s="244" t="str">
        <f t="shared" si="71"/>
        <v>Total Knee ReplacementSub-ICB of GP PracticeNHS MID AND SOUTH ESSEX ICB - 06Q (06Q)EQ-5D Index</v>
      </c>
      <c r="C4604" t="s">
        <v>975</v>
      </c>
      <c r="D4604" t="s">
        <v>1021</v>
      </c>
      <c r="E4604" t="s">
        <v>871</v>
      </c>
      <c r="F4604" t="s">
        <v>872</v>
      </c>
      <c r="G4604" t="s">
        <v>963</v>
      </c>
      <c r="H4604">
        <v>126</v>
      </c>
      <c r="I4604">
        <v>0.40637299999999998</v>
      </c>
      <c r="J4604">
        <v>0.77023799999999998</v>
      </c>
      <c r="K4604">
        <v>0.36386499999999999</v>
      </c>
      <c r="L4604">
        <v>106</v>
      </c>
      <c r="M4604">
        <v>9</v>
      </c>
      <c r="N4604">
        <v>11</v>
      </c>
      <c r="O4604">
        <v>0.75499700000000003</v>
      </c>
      <c r="P4604">
        <v>0.33069999999999999</v>
      </c>
      <c r="Q4604">
        <v>0.24837600000000001</v>
      </c>
    </row>
    <row r="4605" spans="1:17" x14ac:dyDescent="0.25">
      <c r="A4605" t="str">
        <f>IF(C4605&amp;G4605&amp;D4605&lt;&gt;'Funnel setup'!$K$3&amp;'Funnel setup'!$K$4&amp;'Funnel setup'!$K$6,".",IF(A4604=".",1,A4604+1))</f>
        <v>.</v>
      </c>
      <c r="B4605" s="244" t="str">
        <f t="shared" si="71"/>
        <v>Total Knee ReplacementSub-ICB of GP PracticeNHS MID AND SOUTH ESSEX ICB - 07G (07G)EQ-5D Index</v>
      </c>
      <c r="C4605" t="s">
        <v>975</v>
      </c>
      <c r="D4605" t="s">
        <v>1021</v>
      </c>
      <c r="E4605" t="s">
        <v>873</v>
      </c>
      <c r="F4605" t="s">
        <v>874</v>
      </c>
      <c r="G4605" t="s">
        <v>963</v>
      </c>
      <c r="H4605">
        <v>25</v>
      </c>
      <c r="I4605">
        <v>0.33200000000000002</v>
      </c>
      <c r="J4605">
        <v>0.75392000000000003</v>
      </c>
      <c r="K4605">
        <v>0.42192000000000002</v>
      </c>
      <c r="L4605">
        <v>20</v>
      </c>
      <c r="M4605">
        <v>3</v>
      </c>
      <c r="N4605">
        <v>2</v>
      </c>
      <c r="O4605" t="s">
        <v>127</v>
      </c>
      <c r="P4605" t="s">
        <v>127</v>
      </c>
      <c r="Q4605" t="s">
        <v>127</v>
      </c>
    </row>
    <row r="4606" spans="1:17" x14ac:dyDescent="0.25">
      <c r="A4606" t="str">
        <f>IF(C4606&amp;G4606&amp;D4606&lt;&gt;'Funnel setup'!$K$3&amp;'Funnel setup'!$K$4&amp;'Funnel setup'!$K$6,".",IF(A4605=".",1,A4605+1))</f>
        <v>.</v>
      </c>
      <c r="B4606" s="244" t="str">
        <f t="shared" si="71"/>
        <v>Total Knee ReplacementSub-ICB of GP PracticeNHS MID AND SOUTH ESSEX ICB - 99E (99E)EQ-5D Index</v>
      </c>
      <c r="C4606" t="s">
        <v>975</v>
      </c>
      <c r="D4606" t="s">
        <v>1021</v>
      </c>
      <c r="E4606" t="s">
        <v>875</v>
      </c>
      <c r="F4606" t="s">
        <v>876</v>
      </c>
      <c r="G4606" t="s">
        <v>963</v>
      </c>
      <c r="H4606">
        <v>60</v>
      </c>
      <c r="I4606">
        <v>0.352717</v>
      </c>
      <c r="J4606">
        <v>0.690917</v>
      </c>
      <c r="K4606">
        <v>0.3382</v>
      </c>
      <c r="L4606">
        <v>49</v>
      </c>
      <c r="M4606">
        <v>2</v>
      </c>
      <c r="N4606">
        <v>9</v>
      </c>
      <c r="O4606">
        <v>0.71013199999999999</v>
      </c>
      <c r="P4606">
        <v>0.28583500000000001</v>
      </c>
      <c r="Q4606">
        <v>0.30531999999999998</v>
      </c>
    </row>
    <row r="4607" spans="1:17" x14ac:dyDescent="0.25">
      <c r="A4607" t="str">
        <f>IF(C4607&amp;G4607&amp;D4607&lt;&gt;'Funnel setup'!$K$3&amp;'Funnel setup'!$K$4&amp;'Funnel setup'!$K$6,".",IF(A4606=".",1,A4606+1))</f>
        <v>.</v>
      </c>
      <c r="B4607" s="244" t="str">
        <f t="shared" si="71"/>
        <v>Total Knee ReplacementSub-ICB of GP PracticeNHS MID AND SOUTH ESSEX ICB - 99F (99F)EQ-5D Index</v>
      </c>
      <c r="C4607" t="s">
        <v>975</v>
      </c>
      <c r="D4607" t="s">
        <v>1021</v>
      </c>
      <c r="E4607" t="s">
        <v>877</v>
      </c>
      <c r="F4607" t="s">
        <v>878</v>
      </c>
      <c r="G4607" t="s">
        <v>963</v>
      </c>
      <c r="H4607">
        <v>34</v>
      </c>
      <c r="I4607">
        <v>0.37558799999999998</v>
      </c>
      <c r="J4607">
        <v>0.677647</v>
      </c>
      <c r="K4607">
        <v>0.30205900000000002</v>
      </c>
      <c r="L4607">
        <v>25</v>
      </c>
      <c r="M4607">
        <v>3</v>
      </c>
      <c r="N4607">
        <v>6</v>
      </c>
      <c r="O4607">
        <v>0.68911699999999998</v>
      </c>
      <c r="P4607">
        <v>0.26481900000000003</v>
      </c>
      <c r="Q4607">
        <v>0.348968</v>
      </c>
    </row>
    <row r="4608" spans="1:17" x14ac:dyDescent="0.25">
      <c r="A4608" t="str">
        <f>IF(C4608&amp;G4608&amp;D4608&lt;&gt;'Funnel setup'!$K$3&amp;'Funnel setup'!$K$4&amp;'Funnel setup'!$K$6,".",IF(A4607=".",1,A4607+1))</f>
        <v>.</v>
      </c>
      <c r="B4608" s="244" t="str">
        <f t="shared" si="71"/>
        <v>Total Knee ReplacementSub-ICB of GP PracticeNHS MID AND SOUTH ESSEX ICB - 99G (99G)EQ-5D Index</v>
      </c>
      <c r="C4608" t="s">
        <v>975</v>
      </c>
      <c r="D4608" t="s">
        <v>1021</v>
      </c>
      <c r="E4608" t="s">
        <v>879</v>
      </c>
      <c r="F4608" t="s">
        <v>880</v>
      </c>
      <c r="G4608" t="s">
        <v>963</v>
      </c>
      <c r="H4608">
        <v>12</v>
      </c>
      <c r="I4608">
        <v>0.37824999999999998</v>
      </c>
      <c r="J4608">
        <v>0.67333299999999996</v>
      </c>
      <c r="K4608">
        <v>0.29508299999999998</v>
      </c>
      <c r="L4608">
        <v>11</v>
      </c>
      <c r="M4608">
        <v>0</v>
      </c>
      <c r="N4608">
        <v>1</v>
      </c>
      <c r="O4608" t="s">
        <v>127</v>
      </c>
      <c r="P4608" t="s">
        <v>127</v>
      </c>
      <c r="Q4608" t="s">
        <v>127</v>
      </c>
    </row>
    <row r="4609" spans="1:17" x14ac:dyDescent="0.25">
      <c r="A4609" t="str">
        <f>IF(C4609&amp;G4609&amp;D4609&lt;&gt;'Funnel setup'!$K$3&amp;'Funnel setup'!$K$4&amp;'Funnel setup'!$K$6,".",IF(A4608=".",1,A4608+1))</f>
        <v>.</v>
      </c>
      <c r="B4609" s="244" t="str">
        <f t="shared" si="71"/>
        <v>Total Knee ReplacementSub-ICB of GP PracticeNHS NORFOLK AND WAVENEY ICB - 26A (26A)EQ-5D Index</v>
      </c>
      <c r="C4609" t="s">
        <v>975</v>
      </c>
      <c r="D4609" t="s">
        <v>1021</v>
      </c>
      <c r="E4609" t="s">
        <v>881</v>
      </c>
      <c r="F4609" t="s">
        <v>882</v>
      </c>
      <c r="G4609" t="s">
        <v>963</v>
      </c>
      <c r="H4609">
        <v>315</v>
      </c>
      <c r="I4609">
        <v>0.359705</v>
      </c>
      <c r="J4609">
        <v>0.68935900000000006</v>
      </c>
      <c r="K4609">
        <v>0.329654</v>
      </c>
      <c r="L4609">
        <v>253</v>
      </c>
      <c r="M4609">
        <v>33</v>
      </c>
      <c r="N4609">
        <v>29</v>
      </c>
      <c r="O4609">
        <v>0.72291000000000005</v>
      </c>
      <c r="P4609">
        <v>0.29861300000000002</v>
      </c>
      <c r="Q4609">
        <v>0.25100600000000001</v>
      </c>
    </row>
    <row r="4610" spans="1:17" x14ac:dyDescent="0.25">
      <c r="A4610" t="str">
        <f>IF(C4610&amp;G4610&amp;D4610&lt;&gt;'Funnel setup'!$K$3&amp;'Funnel setup'!$K$4&amp;'Funnel setup'!$K$6,".",IF(A4609=".",1,A4609+1))</f>
        <v>.</v>
      </c>
      <c r="B4610" s="244" t="str">
        <f t="shared" ref="B4610:B4673" si="72">C4610&amp;D4610&amp;F4610&amp;G4610</f>
        <v>Total Knee ReplacementSub-ICB of GP PracticeNHS NORTH CENTRAL LONDON ICB - 93C (93C)EQ-5D Index</v>
      </c>
      <c r="C4610" t="s">
        <v>975</v>
      </c>
      <c r="D4610" t="s">
        <v>1021</v>
      </c>
      <c r="E4610" t="s">
        <v>883</v>
      </c>
      <c r="F4610" t="s">
        <v>884</v>
      </c>
      <c r="G4610" t="s">
        <v>963</v>
      </c>
      <c r="H4610">
        <v>165</v>
      </c>
      <c r="I4610">
        <v>0.45040599999999997</v>
      </c>
      <c r="J4610">
        <v>0.68776999999999999</v>
      </c>
      <c r="K4610">
        <v>0.23736399999999999</v>
      </c>
      <c r="L4610">
        <v>124</v>
      </c>
      <c r="M4610">
        <v>19</v>
      </c>
      <c r="N4610">
        <v>22</v>
      </c>
      <c r="O4610">
        <v>0.70516400000000001</v>
      </c>
      <c r="P4610">
        <v>0.280866</v>
      </c>
      <c r="Q4610">
        <v>0.237454</v>
      </c>
    </row>
    <row r="4611" spans="1:17" x14ac:dyDescent="0.25">
      <c r="A4611" t="str">
        <f>IF(C4611&amp;G4611&amp;D4611&lt;&gt;'Funnel setup'!$K$3&amp;'Funnel setup'!$K$4&amp;'Funnel setup'!$K$6,".",IF(A4610=".",1,A4610+1))</f>
        <v>.</v>
      </c>
      <c r="B4611" s="244" t="str">
        <f t="shared" si="72"/>
        <v>Total Knee ReplacementSub-ICB of GP PracticeNHS NORTH EAST AND NORTH CUMBRIA ICB - 00L (00L)EQ-5D Index</v>
      </c>
      <c r="C4611" t="s">
        <v>975</v>
      </c>
      <c r="D4611" t="s">
        <v>1021</v>
      </c>
      <c r="E4611" t="s">
        <v>885</v>
      </c>
      <c r="F4611" t="s">
        <v>886</v>
      </c>
      <c r="G4611" t="s">
        <v>963</v>
      </c>
      <c r="H4611">
        <v>202</v>
      </c>
      <c r="I4611">
        <v>0.37247999999999998</v>
      </c>
      <c r="J4611">
        <v>0.75666299999999997</v>
      </c>
      <c r="K4611">
        <v>0.384183</v>
      </c>
      <c r="L4611">
        <v>175</v>
      </c>
      <c r="M4611">
        <v>17</v>
      </c>
      <c r="N4611">
        <v>10</v>
      </c>
      <c r="O4611">
        <v>0.77425500000000003</v>
      </c>
      <c r="P4611">
        <v>0.34995700000000002</v>
      </c>
      <c r="Q4611">
        <v>0.21634900000000001</v>
      </c>
    </row>
    <row r="4612" spans="1:17" x14ac:dyDescent="0.25">
      <c r="A4612" t="str">
        <f>IF(C4612&amp;G4612&amp;D4612&lt;&gt;'Funnel setup'!$K$3&amp;'Funnel setup'!$K$4&amp;'Funnel setup'!$K$6,".",IF(A4611=".",1,A4611+1))</f>
        <v>.</v>
      </c>
      <c r="B4612" s="244" t="str">
        <f t="shared" si="72"/>
        <v>Total Knee ReplacementSub-ICB of GP PracticeNHS NORTH EAST AND NORTH CUMBRIA ICB - 00N (00N)EQ-5D Index</v>
      </c>
      <c r="C4612" t="s">
        <v>975</v>
      </c>
      <c r="D4612" t="s">
        <v>1021</v>
      </c>
      <c r="E4612" t="s">
        <v>887</v>
      </c>
      <c r="F4612" t="s">
        <v>888</v>
      </c>
      <c r="G4612" t="s">
        <v>963</v>
      </c>
      <c r="H4612">
        <v>9</v>
      </c>
      <c r="I4612">
        <v>0.46822200000000003</v>
      </c>
      <c r="J4612">
        <v>0.86511099999999996</v>
      </c>
      <c r="K4612">
        <v>0.39688899999999999</v>
      </c>
      <c r="L4612">
        <v>7</v>
      </c>
      <c r="M4612">
        <v>1</v>
      </c>
      <c r="N4612">
        <v>1</v>
      </c>
      <c r="O4612" t="s">
        <v>127</v>
      </c>
      <c r="P4612" t="s">
        <v>127</v>
      </c>
      <c r="Q4612" t="s">
        <v>127</v>
      </c>
    </row>
    <row r="4613" spans="1:17" x14ac:dyDescent="0.25">
      <c r="A4613" t="str">
        <f>IF(C4613&amp;G4613&amp;D4613&lt;&gt;'Funnel setup'!$K$3&amp;'Funnel setup'!$K$4&amp;'Funnel setup'!$K$6,".",IF(A4612=".",1,A4612+1))</f>
        <v>.</v>
      </c>
      <c r="B4613" s="244" t="str">
        <f t="shared" si="72"/>
        <v>Total Knee ReplacementSub-ICB of GP PracticeNHS NORTH EAST AND NORTH CUMBRIA ICB - 00P (00P)EQ-5D Index</v>
      </c>
      <c r="C4613" t="s">
        <v>975</v>
      </c>
      <c r="D4613" t="s">
        <v>1021</v>
      </c>
      <c r="E4613" t="s">
        <v>889</v>
      </c>
      <c r="F4613" t="s">
        <v>890</v>
      </c>
      <c r="G4613" t="s">
        <v>963</v>
      </c>
      <c r="H4613">
        <v>25</v>
      </c>
      <c r="I4613">
        <v>0.27788000000000002</v>
      </c>
      <c r="J4613">
        <v>0.69484000000000001</v>
      </c>
      <c r="K4613">
        <v>0.41696</v>
      </c>
      <c r="L4613">
        <v>22</v>
      </c>
      <c r="M4613">
        <v>1</v>
      </c>
      <c r="N4613">
        <v>2</v>
      </c>
      <c r="O4613" t="s">
        <v>127</v>
      </c>
      <c r="P4613" t="s">
        <v>127</v>
      </c>
      <c r="Q4613" t="s">
        <v>127</v>
      </c>
    </row>
    <row r="4614" spans="1:17" x14ac:dyDescent="0.25">
      <c r="A4614" t="str">
        <f>IF(C4614&amp;G4614&amp;D4614&lt;&gt;'Funnel setup'!$K$3&amp;'Funnel setup'!$K$4&amp;'Funnel setup'!$K$6,".",IF(A4613=".",1,A4613+1))</f>
        <v>.</v>
      </c>
      <c r="B4614" s="244" t="str">
        <f t="shared" si="72"/>
        <v>Total Knee ReplacementSub-ICB of GP PracticeNHS NORTH EAST AND NORTH CUMBRIA ICB - 01H (01H)EQ-5D Index</v>
      </c>
      <c r="C4614" t="s">
        <v>975</v>
      </c>
      <c r="D4614" t="s">
        <v>1021</v>
      </c>
      <c r="E4614" t="s">
        <v>891</v>
      </c>
      <c r="F4614" t="s">
        <v>892</v>
      </c>
      <c r="G4614" t="s">
        <v>963</v>
      </c>
      <c r="H4614">
        <v>215</v>
      </c>
      <c r="I4614">
        <v>0.38542300000000002</v>
      </c>
      <c r="J4614">
        <v>0.78299099999999999</v>
      </c>
      <c r="K4614">
        <v>0.397567</v>
      </c>
      <c r="L4614">
        <v>187</v>
      </c>
      <c r="M4614">
        <v>15</v>
      </c>
      <c r="N4614">
        <v>13</v>
      </c>
      <c r="O4614">
        <v>0.78227800000000003</v>
      </c>
      <c r="P4614">
        <v>0.35798099999999999</v>
      </c>
      <c r="Q4614">
        <v>0.21152599999999999</v>
      </c>
    </row>
    <row r="4615" spans="1:17" x14ac:dyDescent="0.25">
      <c r="A4615" t="str">
        <f>IF(C4615&amp;G4615&amp;D4615&lt;&gt;'Funnel setup'!$K$3&amp;'Funnel setup'!$K$4&amp;'Funnel setup'!$K$6,".",IF(A4614=".",1,A4614+1))</f>
        <v>.</v>
      </c>
      <c r="B4615" s="244" t="str">
        <f t="shared" si="72"/>
        <v>Total Knee ReplacementSub-ICB of GP PracticeNHS NORTH EAST AND NORTH CUMBRIA ICB - 13T (13T)EQ-5D Index</v>
      </c>
      <c r="C4615" t="s">
        <v>975</v>
      </c>
      <c r="D4615" t="s">
        <v>1021</v>
      </c>
      <c r="E4615" t="s">
        <v>893</v>
      </c>
      <c r="F4615" t="s">
        <v>894</v>
      </c>
      <c r="G4615" t="s">
        <v>963</v>
      </c>
      <c r="H4615">
        <v>70</v>
      </c>
      <c r="I4615">
        <v>0.36070000000000002</v>
      </c>
      <c r="J4615">
        <v>0.716229</v>
      </c>
      <c r="K4615">
        <v>0.35552899999999998</v>
      </c>
      <c r="L4615">
        <v>58</v>
      </c>
      <c r="M4615">
        <v>5</v>
      </c>
      <c r="N4615">
        <v>7</v>
      </c>
      <c r="O4615">
        <v>0.74903600000000004</v>
      </c>
      <c r="P4615">
        <v>0.324739</v>
      </c>
      <c r="Q4615">
        <v>0.272839</v>
      </c>
    </row>
    <row r="4616" spans="1:17" x14ac:dyDescent="0.25">
      <c r="A4616" t="str">
        <f>IF(C4616&amp;G4616&amp;D4616&lt;&gt;'Funnel setup'!$K$3&amp;'Funnel setup'!$K$4&amp;'Funnel setup'!$K$6,".",IF(A4615=".",1,A4615+1))</f>
        <v>.</v>
      </c>
      <c r="B4616" s="244" t="str">
        <f t="shared" si="72"/>
        <v>Total Knee ReplacementSub-ICB of GP PracticeNHS NORTH EAST AND NORTH CUMBRIA ICB - 16C (16C)EQ-5D Index</v>
      </c>
      <c r="C4616" t="s">
        <v>975</v>
      </c>
      <c r="D4616" t="s">
        <v>1021</v>
      </c>
      <c r="E4616" t="s">
        <v>895</v>
      </c>
      <c r="F4616" t="s">
        <v>896</v>
      </c>
      <c r="G4616" t="s">
        <v>963</v>
      </c>
      <c r="H4616">
        <v>400</v>
      </c>
      <c r="I4616">
        <v>0.37886300000000001</v>
      </c>
      <c r="J4616">
        <v>0.72614500000000004</v>
      </c>
      <c r="K4616">
        <v>0.34728199999999998</v>
      </c>
      <c r="L4616">
        <v>338</v>
      </c>
      <c r="M4616">
        <v>16</v>
      </c>
      <c r="N4616">
        <v>46</v>
      </c>
      <c r="O4616">
        <v>0.74715200000000004</v>
      </c>
      <c r="P4616">
        <v>0.322855</v>
      </c>
      <c r="Q4616">
        <v>0.26113900000000001</v>
      </c>
    </row>
    <row r="4617" spans="1:17" x14ac:dyDescent="0.25">
      <c r="A4617" t="str">
        <f>IF(C4617&amp;G4617&amp;D4617&lt;&gt;'Funnel setup'!$K$3&amp;'Funnel setup'!$K$4&amp;'Funnel setup'!$K$6,".",IF(A4616=".",1,A4616+1))</f>
        <v>.</v>
      </c>
      <c r="B4617" s="244" t="str">
        <f t="shared" si="72"/>
        <v>Total Knee ReplacementSub-ICB of GP PracticeNHS NORTH EAST AND NORTH CUMBRIA ICB - 84H (84H)EQ-5D Index</v>
      </c>
      <c r="C4617" t="s">
        <v>975</v>
      </c>
      <c r="D4617" t="s">
        <v>1021</v>
      </c>
      <c r="E4617" t="s">
        <v>897</v>
      </c>
      <c r="F4617" t="s">
        <v>898</v>
      </c>
      <c r="G4617" t="s">
        <v>963</v>
      </c>
      <c r="H4617">
        <v>294</v>
      </c>
      <c r="I4617">
        <v>0.44009900000000002</v>
      </c>
      <c r="J4617">
        <v>0.73850300000000002</v>
      </c>
      <c r="K4617">
        <v>0.29840499999999998</v>
      </c>
      <c r="L4617">
        <v>230</v>
      </c>
      <c r="M4617">
        <v>24</v>
      </c>
      <c r="N4617">
        <v>40</v>
      </c>
      <c r="O4617">
        <v>0.74055499999999996</v>
      </c>
      <c r="P4617">
        <v>0.31625700000000001</v>
      </c>
      <c r="Q4617">
        <v>0.245481</v>
      </c>
    </row>
    <row r="4618" spans="1:17" x14ac:dyDescent="0.25">
      <c r="A4618" t="str">
        <f>IF(C4618&amp;G4618&amp;D4618&lt;&gt;'Funnel setup'!$K$3&amp;'Funnel setup'!$K$4&amp;'Funnel setup'!$K$6,".",IF(A4617=".",1,A4617+1))</f>
        <v>.</v>
      </c>
      <c r="B4618" s="244" t="str">
        <f t="shared" si="72"/>
        <v>Total Knee ReplacementSub-ICB of GP PracticeNHS NORTH EAST AND NORTH CUMBRIA ICB - 99C (99C)EQ-5D Index</v>
      </c>
      <c r="C4618" t="s">
        <v>975</v>
      </c>
      <c r="D4618" t="s">
        <v>1021</v>
      </c>
      <c r="E4618" t="s">
        <v>899</v>
      </c>
      <c r="F4618" t="s">
        <v>900</v>
      </c>
      <c r="G4618" t="s">
        <v>963</v>
      </c>
      <c r="H4618">
        <v>102</v>
      </c>
      <c r="I4618">
        <v>0.40678399999999998</v>
      </c>
      <c r="J4618">
        <v>0.79449000000000003</v>
      </c>
      <c r="K4618">
        <v>0.387706</v>
      </c>
      <c r="L4618">
        <v>88</v>
      </c>
      <c r="M4618">
        <v>9</v>
      </c>
      <c r="N4618">
        <v>5</v>
      </c>
      <c r="O4618">
        <v>0.80505499999999997</v>
      </c>
      <c r="P4618">
        <v>0.38075700000000001</v>
      </c>
      <c r="Q4618">
        <v>0.16769500000000001</v>
      </c>
    </row>
    <row r="4619" spans="1:17" x14ac:dyDescent="0.25">
      <c r="A4619" t="str">
        <f>IF(C4619&amp;G4619&amp;D4619&lt;&gt;'Funnel setup'!$K$3&amp;'Funnel setup'!$K$4&amp;'Funnel setup'!$K$6,".",IF(A4618=".",1,A4618+1))</f>
        <v>.</v>
      </c>
      <c r="B4619" s="244" t="str">
        <f t="shared" si="72"/>
        <v>Total Knee ReplacementSub-ICB of GP PracticeNHS NORTH EAST LONDON ICB - A3A8R (A3A8R)EQ-5D Index</v>
      </c>
      <c r="C4619" t="s">
        <v>975</v>
      </c>
      <c r="D4619" t="s">
        <v>1021</v>
      </c>
      <c r="E4619" t="s">
        <v>901</v>
      </c>
      <c r="F4619" t="s">
        <v>902</v>
      </c>
      <c r="G4619" t="s">
        <v>963</v>
      </c>
      <c r="H4619">
        <v>231</v>
      </c>
      <c r="I4619">
        <v>0.38652799999999998</v>
      </c>
      <c r="J4619">
        <v>0.68146300000000004</v>
      </c>
      <c r="K4619">
        <v>0.294935</v>
      </c>
      <c r="L4619">
        <v>180</v>
      </c>
      <c r="M4619">
        <v>20</v>
      </c>
      <c r="N4619">
        <v>31</v>
      </c>
      <c r="O4619">
        <v>0.72689899999999996</v>
      </c>
      <c r="P4619">
        <v>0.30260199999999998</v>
      </c>
      <c r="Q4619">
        <v>0.240563</v>
      </c>
    </row>
    <row r="4620" spans="1:17" x14ac:dyDescent="0.25">
      <c r="A4620" t="str">
        <f>IF(C4620&amp;G4620&amp;D4620&lt;&gt;'Funnel setup'!$K$3&amp;'Funnel setup'!$K$4&amp;'Funnel setup'!$K$6,".",IF(A4619=".",1,A4619+1))</f>
        <v>.</v>
      </c>
      <c r="B4620" s="244" t="str">
        <f t="shared" si="72"/>
        <v>Total Knee ReplacementSub-ICB of GP PracticeNHS NORTH WEST LONDON ICB - W2U3Z (W2U3Z)EQ-5D Index</v>
      </c>
      <c r="C4620" t="s">
        <v>975</v>
      </c>
      <c r="D4620" t="s">
        <v>1021</v>
      </c>
      <c r="E4620" t="s">
        <v>903</v>
      </c>
      <c r="F4620" t="s">
        <v>904</v>
      </c>
      <c r="G4620" t="s">
        <v>963</v>
      </c>
      <c r="H4620">
        <v>206</v>
      </c>
      <c r="I4620">
        <v>0.43522300000000003</v>
      </c>
      <c r="J4620">
        <v>0.72978600000000005</v>
      </c>
      <c r="K4620">
        <v>0.29456300000000002</v>
      </c>
      <c r="L4620">
        <v>158</v>
      </c>
      <c r="M4620">
        <v>26</v>
      </c>
      <c r="N4620">
        <v>22</v>
      </c>
      <c r="O4620">
        <v>0.73670899999999995</v>
      </c>
      <c r="P4620">
        <v>0.31241099999999999</v>
      </c>
      <c r="Q4620">
        <v>0.22896900000000001</v>
      </c>
    </row>
    <row r="4621" spans="1:17" x14ac:dyDescent="0.25">
      <c r="A4621" t="str">
        <f>IF(C4621&amp;G4621&amp;D4621&lt;&gt;'Funnel setup'!$K$3&amp;'Funnel setup'!$K$4&amp;'Funnel setup'!$K$6,".",IF(A4620=".",1,A4620+1))</f>
        <v>.</v>
      </c>
      <c r="B4621" s="244" t="str">
        <f t="shared" si="72"/>
        <v>Total Knee ReplacementSub-ICB of GP PracticeNHS NORTHAMPTONSHIRE ICB - 78H (78H)EQ-5D Index</v>
      </c>
      <c r="C4621" t="s">
        <v>975</v>
      </c>
      <c r="D4621" t="s">
        <v>1021</v>
      </c>
      <c r="E4621" t="s">
        <v>905</v>
      </c>
      <c r="F4621" t="s">
        <v>906</v>
      </c>
      <c r="G4621" t="s">
        <v>963</v>
      </c>
      <c r="H4621">
        <v>246</v>
      </c>
      <c r="I4621">
        <v>0.37922800000000001</v>
      </c>
      <c r="J4621">
        <v>0.73972000000000004</v>
      </c>
      <c r="K4621">
        <v>0.36049199999999998</v>
      </c>
      <c r="L4621">
        <v>197</v>
      </c>
      <c r="M4621">
        <v>25</v>
      </c>
      <c r="N4621">
        <v>24</v>
      </c>
      <c r="O4621">
        <v>0.74478500000000003</v>
      </c>
      <c r="P4621">
        <v>0.32048700000000002</v>
      </c>
      <c r="Q4621">
        <v>0.24285999999999999</v>
      </c>
    </row>
    <row r="4622" spans="1:17" x14ac:dyDescent="0.25">
      <c r="A4622" t="str">
        <f>IF(C4622&amp;G4622&amp;D4622&lt;&gt;'Funnel setup'!$K$3&amp;'Funnel setup'!$K$4&amp;'Funnel setup'!$K$6,".",IF(A4621=".",1,A4621+1))</f>
        <v>.</v>
      </c>
      <c r="B4622" s="244" t="str">
        <f t="shared" si="72"/>
        <v>Total Knee ReplacementSub-ICB of GP PracticeNHS NOTTINGHAM AND NOTTINGHAMSHIRE ICB - 02Q (02Q)EQ-5D Index</v>
      </c>
      <c r="C4622" t="s">
        <v>975</v>
      </c>
      <c r="D4622" t="s">
        <v>1021</v>
      </c>
      <c r="E4622" t="s">
        <v>907</v>
      </c>
      <c r="F4622" t="s">
        <v>908</v>
      </c>
      <c r="G4622" t="s">
        <v>963</v>
      </c>
      <c r="H4622">
        <v>47</v>
      </c>
      <c r="I4622">
        <v>0.38480900000000001</v>
      </c>
      <c r="J4622">
        <v>0.73510600000000004</v>
      </c>
      <c r="K4622">
        <v>0.350298</v>
      </c>
      <c r="L4622">
        <v>38</v>
      </c>
      <c r="M4622">
        <v>2</v>
      </c>
      <c r="N4622">
        <v>7</v>
      </c>
      <c r="O4622">
        <v>0.760409</v>
      </c>
      <c r="P4622">
        <v>0.33611099999999999</v>
      </c>
      <c r="Q4622">
        <v>0.24121100000000001</v>
      </c>
    </row>
    <row r="4623" spans="1:17" x14ac:dyDescent="0.25">
      <c r="A4623" t="str">
        <f>IF(C4623&amp;G4623&amp;D4623&lt;&gt;'Funnel setup'!$K$3&amp;'Funnel setup'!$K$4&amp;'Funnel setup'!$K$6,".",IF(A4622=".",1,A4622+1))</f>
        <v>.</v>
      </c>
      <c r="B4623" s="244" t="str">
        <f t="shared" si="72"/>
        <v>Total Knee ReplacementSub-ICB of GP PracticeNHS NOTTINGHAM AND NOTTINGHAMSHIRE ICB - 52R (52R)EQ-5D Index</v>
      </c>
      <c r="C4623" t="s">
        <v>975</v>
      </c>
      <c r="D4623" t="s">
        <v>1021</v>
      </c>
      <c r="E4623" t="s">
        <v>909</v>
      </c>
      <c r="F4623" t="s">
        <v>910</v>
      </c>
      <c r="G4623" t="s">
        <v>963</v>
      </c>
      <c r="H4623">
        <v>208</v>
      </c>
      <c r="I4623">
        <v>0.44429299999999999</v>
      </c>
      <c r="J4623">
        <v>0.74973100000000004</v>
      </c>
      <c r="K4623">
        <v>0.30543700000000001</v>
      </c>
      <c r="L4623">
        <v>162</v>
      </c>
      <c r="M4623">
        <v>19</v>
      </c>
      <c r="N4623">
        <v>27</v>
      </c>
      <c r="O4623">
        <v>0.724109</v>
      </c>
      <c r="P4623">
        <v>0.29981099999999999</v>
      </c>
      <c r="Q4623">
        <v>0.23641499999999999</v>
      </c>
    </row>
    <row r="4624" spans="1:17" x14ac:dyDescent="0.25">
      <c r="A4624" t="str">
        <f>IF(C4624&amp;G4624&amp;D4624&lt;&gt;'Funnel setup'!$K$3&amp;'Funnel setup'!$K$4&amp;'Funnel setup'!$K$6,".",IF(A4623=".",1,A4623+1))</f>
        <v>.</v>
      </c>
      <c r="B4624" s="244" t="str">
        <f t="shared" si="72"/>
        <v>Total Knee ReplacementSub-ICB of GP PracticeNHS SHROPSHIRE, TELFORD AND WREKIN ICB - M2L0M (M2L0M)EQ-5D Index</v>
      </c>
      <c r="C4624" t="s">
        <v>975</v>
      </c>
      <c r="D4624" t="s">
        <v>1021</v>
      </c>
      <c r="E4624" t="s">
        <v>911</v>
      </c>
      <c r="F4624" t="s">
        <v>912</v>
      </c>
      <c r="G4624" t="s">
        <v>963</v>
      </c>
      <c r="H4624">
        <v>192</v>
      </c>
      <c r="I4624">
        <v>0.36171900000000001</v>
      </c>
      <c r="J4624">
        <v>0.73521400000000003</v>
      </c>
      <c r="K4624">
        <v>0.37349500000000002</v>
      </c>
      <c r="L4624">
        <v>158</v>
      </c>
      <c r="M4624">
        <v>20</v>
      </c>
      <c r="N4624">
        <v>14</v>
      </c>
      <c r="O4624">
        <v>0.76666199999999995</v>
      </c>
      <c r="P4624">
        <v>0.342364</v>
      </c>
      <c r="Q4624">
        <v>0.22558900000000001</v>
      </c>
    </row>
    <row r="4625" spans="1:17" x14ac:dyDescent="0.25">
      <c r="A4625" t="str">
        <f>IF(C4625&amp;G4625&amp;D4625&lt;&gt;'Funnel setup'!$K$3&amp;'Funnel setup'!$K$4&amp;'Funnel setup'!$K$6,".",IF(A4624=".",1,A4624+1))</f>
        <v>.</v>
      </c>
      <c r="B4625" s="244" t="str">
        <f t="shared" si="72"/>
        <v>Total Knee ReplacementSub-ICB of GP PracticeNHS SOMERSET ICB - 11X (11X)EQ-5D Index</v>
      </c>
      <c r="C4625" t="s">
        <v>975</v>
      </c>
      <c r="D4625" t="s">
        <v>1021</v>
      </c>
      <c r="E4625" t="s">
        <v>913</v>
      </c>
      <c r="F4625" t="s">
        <v>914</v>
      </c>
      <c r="G4625" t="s">
        <v>963</v>
      </c>
      <c r="H4625">
        <v>201</v>
      </c>
      <c r="I4625">
        <v>0.47096500000000002</v>
      </c>
      <c r="J4625">
        <v>0.77579600000000004</v>
      </c>
      <c r="K4625">
        <v>0.30483100000000002</v>
      </c>
      <c r="L4625">
        <v>171</v>
      </c>
      <c r="M4625">
        <v>13</v>
      </c>
      <c r="N4625">
        <v>17</v>
      </c>
      <c r="O4625">
        <v>0.75132699999999997</v>
      </c>
      <c r="P4625">
        <v>0.32702900000000001</v>
      </c>
      <c r="Q4625">
        <v>0.21123600000000001</v>
      </c>
    </row>
    <row r="4626" spans="1:17" x14ac:dyDescent="0.25">
      <c r="A4626" t="str">
        <f>IF(C4626&amp;G4626&amp;D4626&lt;&gt;'Funnel setup'!$K$3&amp;'Funnel setup'!$K$4&amp;'Funnel setup'!$K$6,".",IF(A4625=".",1,A4625+1))</f>
        <v>.</v>
      </c>
      <c r="B4626" s="244" t="str">
        <f t="shared" si="72"/>
        <v>Total Knee ReplacementSub-ICB of GP PracticeNHS SOUTH EAST LONDON ICB - 72Q (72Q)EQ-5D Index</v>
      </c>
      <c r="C4626" t="s">
        <v>975</v>
      </c>
      <c r="D4626" t="s">
        <v>1021</v>
      </c>
      <c r="E4626" t="s">
        <v>915</v>
      </c>
      <c r="F4626" t="s">
        <v>916</v>
      </c>
      <c r="G4626" t="s">
        <v>963</v>
      </c>
      <c r="H4626">
        <v>136</v>
      </c>
      <c r="I4626">
        <v>0.42083100000000001</v>
      </c>
      <c r="J4626">
        <v>0.68239000000000005</v>
      </c>
      <c r="K4626">
        <v>0.26155899999999999</v>
      </c>
      <c r="L4626">
        <v>105</v>
      </c>
      <c r="M4626">
        <v>10</v>
      </c>
      <c r="N4626">
        <v>21</v>
      </c>
      <c r="O4626">
        <v>0.69436100000000001</v>
      </c>
      <c r="P4626">
        <v>0.27006400000000003</v>
      </c>
      <c r="Q4626">
        <v>0.271957</v>
      </c>
    </row>
    <row r="4627" spans="1:17" x14ac:dyDescent="0.25">
      <c r="A4627" t="str">
        <f>IF(C4627&amp;G4627&amp;D4627&lt;&gt;'Funnel setup'!$K$3&amp;'Funnel setup'!$K$4&amp;'Funnel setup'!$K$6,".",IF(A4626=".",1,A4626+1))</f>
        <v>.</v>
      </c>
      <c r="B4627" s="244" t="str">
        <f t="shared" si="72"/>
        <v>Total Knee ReplacementSub-ICB of GP PracticeNHS SOUTH WEST LONDON ICB - 36L (36L)EQ-5D Index</v>
      </c>
      <c r="C4627" t="s">
        <v>975</v>
      </c>
      <c r="D4627" t="s">
        <v>1021</v>
      </c>
      <c r="E4627" t="s">
        <v>917</v>
      </c>
      <c r="F4627" t="s">
        <v>918</v>
      </c>
      <c r="G4627" t="s">
        <v>963</v>
      </c>
      <c r="H4627">
        <v>487</v>
      </c>
      <c r="I4627">
        <v>0.41293200000000002</v>
      </c>
      <c r="J4627">
        <v>0.73663400000000001</v>
      </c>
      <c r="K4627">
        <v>0.32370199999999999</v>
      </c>
      <c r="L4627">
        <v>403</v>
      </c>
      <c r="M4627">
        <v>43</v>
      </c>
      <c r="N4627">
        <v>41</v>
      </c>
      <c r="O4627">
        <v>0.74124599999999996</v>
      </c>
      <c r="P4627">
        <v>0.31694899999999998</v>
      </c>
      <c r="Q4627">
        <v>0.22361200000000001</v>
      </c>
    </row>
    <row r="4628" spans="1:17" x14ac:dyDescent="0.25">
      <c r="A4628" t="str">
        <f>IF(C4628&amp;G4628&amp;D4628&lt;&gt;'Funnel setup'!$K$3&amp;'Funnel setup'!$K$4&amp;'Funnel setup'!$K$6,".",IF(A4627=".",1,A4627+1))</f>
        <v>.</v>
      </c>
      <c r="B4628" s="244" t="str">
        <f t="shared" si="72"/>
        <v>Total Knee ReplacementSub-ICB of GP PracticeNHS SOUTH YORKSHIRE ICB - 02P (02P)EQ-5D Index</v>
      </c>
      <c r="C4628" t="s">
        <v>975</v>
      </c>
      <c r="D4628" t="s">
        <v>1021</v>
      </c>
      <c r="E4628" t="s">
        <v>919</v>
      </c>
      <c r="F4628" t="s">
        <v>920</v>
      </c>
      <c r="G4628" t="s">
        <v>963</v>
      </c>
      <c r="H4628">
        <v>51</v>
      </c>
      <c r="I4628">
        <v>0.366647</v>
      </c>
      <c r="J4628">
        <v>0.64041199999999998</v>
      </c>
      <c r="K4628">
        <v>0.27376499999999998</v>
      </c>
      <c r="L4628">
        <v>36</v>
      </c>
      <c r="M4628">
        <v>7</v>
      </c>
      <c r="N4628">
        <v>8</v>
      </c>
      <c r="O4628">
        <v>0.67616299999999996</v>
      </c>
      <c r="P4628">
        <v>0.25186500000000001</v>
      </c>
      <c r="Q4628">
        <v>0.30153799999999997</v>
      </c>
    </row>
    <row r="4629" spans="1:17" x14ac:dyDescent="0.25">
      <c r="A4629" t="str">
        <f>IF(C4629&amp;G4629&amp;D4629&lt;&gt;'Funnel setup'!$K$3&amp;'Funnel setup'!$K$4&amp;'Funnel setup'!$K$6,".",IF(A4628=".",1,A4628+1))</f>
        <v>.</v>
      </c>
      <c r="B4629" s="244" t="str">
        <f t="shared" si="72"/>
        <v>Total Knee ReplacementSub-ICB of GP PracticeNHS SOUTH YORKSHIRE ICB - 02X (02X)EQ-5D Index</v>
      </c>
      <c r="C4629" t="s">
        <v>975</v>
      </c>
      <c r="D4629" t="s">
        <v>1021</v>
      </c>
      <c r="E4629" t="s">
        <v>921</v>
      </c>
      <c r="F4629" t="s">
        <v>922</v>
      </c>
      <c r="G4629" t="s">
        <v>963</v>
      </c>
      <c r="H4629">
        <v>113</v>
      </c>
      <c r="I4629">
        <v>0.40519500000000003</v>
      </c>
      <c r="J4629">
        <v>0.70895600000000003</v>
      </c>
      <c r="K4629">
        <v>0.303761</v>
      </c>
      <c r="L4629">
        <v>88</v>
      </c>
      <c r="M4629">
        <v>14</v>
      </c>
      <c r="N4629">
        <v>11</v>
      </c>
      <c r="O4629">
        <v>0.72042200000000001</v>
      </c>
      <c r="P4629">
        <v>0.29612500000000003</v>
      </c>
      <c r="Q4629">
        <v>0.26155699999999998</v>
      </c>
    </row>
    <row r="4630" spans="1:17" x14ac:dyDescent="0.25">
      <c r="A4630" t="str">
        <f>IF(C4630&amp;G4630&amp;D4630&lt;&gt;'Funnel setup'!$K$3&amp;'Funnel setup'!$K$4&amp;'Funnel setup'!$K$6,".",IF(A4629=".",1,A4629+1))</f>
        <v>.</v>
      </c>
      <c r="B4630" s="244" t="str">
        <f t="shared" si="72"/>
        <v>Total Knee ReplacementSub-ICB of GP PracticeNHS SOUTH YORKSHIRE ICB - 03L (03L)EQ-5D Index</v>
      </c>
      <c r="C4630" t="s">
        <v>975</v>
      </c>
      <c r="D4630" t="s">
        <v>1021</v>
      </c>
      <c r="E4630" t="s">
        <v>923</v>
      </c>
      <c r="F4630" t="s">
        <v>924</v>
      </c>
      <c r="G4630" t="s">
        <v>963</v>
      </c>
      <c r="H4630">
        <v>37</v>
      </c>
      <c r="I4630">
        <v>0.30410799999999999</v>
      </c>
      <c r="J4630">
        <v>0.76729700000000001</v>
      </c>
      <c r="K4630">
        <v>0.46318900000000002</v>
      </c>
      <c r="L4630">
        <v>32</v>
      </c>
      <c r="M4630">
        <v>3</v>
      </c>
      <c r="N4630">
        <v>2</v>
      </c>
      <c r="O4630">
        <v>0.79886199999999996</v>
      </c>
      <c r="P4630">
        <v>0.37456499999999998</v>
      </c>
      <c r="Q4630">
        <v>0.20965200000000001</v>
      </c>
    </row>
    <row r="4631" spans="1:17" x14ac:dyDescent="0.25">
      <c r="A4631" t="str">
        <f>IF(C4631&amp;G4631&amp;D4631&lt;&gt;'Funnel setup'!$K$3&amp;'Funnel setup'!$K$4&amp;'Funnel setup'!$K$6,".",IF(A4630=".",1,A4630+1))</f>
        <v>.</v>
      </c>
      <c r="B4631" s="244" t="str">
        <f t="shared" si="72"/>
        <v>Total Knee ReplacementSub-ICB of GP PracticeNHS SOUTH YORKSHIRE ICB - 03N (03N)EQ-5D Index</v>
      </c>
      <c r="C4631" t="s">
        <v>975</v>
      </c>
      <c r="D4631" t="s">
        <v>1021</v>
      </c>
      <c r="E4631" t="s">
        <v>925</v>
      </c>
      <c r="F4631" t="s">
        <v>926</v>
      </c>
      <c r="G4631" t="s">
        <v>963</v>
      </c>
      <c r="H4631">
        <v>37</v>
      </c>
      <c r="I4631">
        <v>0.45943200000000001</v>
      </c>
      <c r="J4631">
        <v>0.79045900000000002</v>
      </c>
      <c r="K4631">
        <v>0.33102700000000002</v>
      </c>
      <c r="L4631">
        <v>31</v>
      </c>
      <c r="M4631">
        <v>3</v>
      </c>
      <c r="N4631">
        <v>3</v>
      </c>
      <c r="O4631">
        <v>0.77671500000000004</v>
      </c>
      <c r="P4631">
        <v>0.35241699999999998</v>
      </c>
      <c r="Q4631">
        <v>0.19339300000000001</v>
      </c>
    </row>
    <row r="4632" spans="1:17" x14ac:dyDescent="0.25">
      <c r="A4632" t="str">
        <f>IF(C4632&amp;G4632&amp;D4632&lt;&gt;'Funnel setup'!$K$3&amp;'Funnel setup'!$K$4&amp;'Funnel setup'!$K$6,".",IF(A4631=".",1,A4631+1))</f>
        <v>.</v>
      </c>
      <c r="B4632" s="244" t="str">
        <f t="shared" si="72"/>
        <v>Total Knee ReplacementSub-ICB of GP PracticeNHS STAFFORDSHIRE AND STOKE-ON-TRENT ICB - 04Y (04Y)EQ-5D Index</v>
      </c>
      <c r="C4632" t="s">
        <v>975</v>
      </c>
      <c r="D4632" t="s">
        <v>1021</v>
      </c>
      <c r="E4632" t="s">
        <v>927</v>
      </c>
      <c r="F4632" t="s">
        <v>928</v>
      </c>
      <c r="G4632" t="s">
        <v>963</v>
      </c>
      <c r="H4632">
        <v>24</v>
      </c>
      <c r="I4632">
        <v>0.40962500000000002</v>
      </c>
      <c r="J4632">
        <v>0.82804199999999994</v>
      </c>
      <c r="K4632">
        <v>0.41841699999999998</v>
      </c>
      <c r="L4632">
        <v>22</v>
      </c>
      <c r="M4632">
        <v>1</v>
      </c>
      <c r="N4632">
        <v>1</v>
      </c>
      <c r="O4632" t="s">
        <v>127</v>
      </c>
      <c r="P4632" t="s">
        <v>127</v>
      </c>
      <c r="Q4632" t="s">
        <v>127</v>
      </c>
    </row>
    <row r="4633" spans="1:17" x14ac:dyDescent="0.25">
      <c r="A4633" t="str">
        <f>IF(C4633&amp;G4633&amp;D4633&lt;&gt;'Funnel setup'!$K$3&amp;'Funnel setup'!$K$4&amp;'Funnel setup'!$K$6,".",IF(A4632=".",1,A4632+1))</f>
        <v>.</v>
      </c>
      <c r="B4633" s="244" t="str">
        <f t="shared" si="72"/>
        <v>Total Knee ReplacementSub-ICB of GP PracticeNHS STAFFORDSHIRE AND STOKE-ON-TRENT ICB - 05D (05D)EQ-5D Index</v>
      </c>
      <c r="C4633" t="s">
        <v>975</v>
      </c>
      <c r="D4633" t="s">
        <v>1021</v>
      </c>
      <c r="E4633" t="s">
        <v>929</v>
      </c>
      <c r="F4633" t="s">
        <v>930</v>
      </c>
      <c r="G4633" t="s">
        <v>963</v>
      </c>
      <c r="H4633">
        <v>67</v>
      </c>
      <c r="I4633">
        <v>0.42613400000000001</v>
      </c>
      <c r="J4633">
        <v>0.73659699999999995</v>
      </c>
      <c r="K4633">
        <v>0.31046299999999999</v>
      </c>
      <c r="L4633">
        <v>52</v>
      </c>
      <c r="M4633">
        <v>5</v>
      </c>
      <c r="N4633">
        <v>10</v>
      </c>
      <c r="O4633">
        <v>0.73891899999999999</v>
      </c>
      <c r="P4633">
        <v>0.31462099999999998</v>
      </c>
      <c r="Q4633">
        <v>0.25182500000000002</v>
      </c>
    </row>
    <row r="4634" spans="1:17" x14ac:dyDescent="0.25">
      <c r="A4634" t="str">
        <f>IF(C4634&amp;G4634&amp;D4634&lt;&gt;'Funnel setup'!$K$3&amp;'Funnel setup'!$K$4&amp;'Funnel setup'!$K$6,".",IF(A4633=".",1,A4633+1))</f>
        <v>.</v>
      </c>
      <c r="B4634" s="244" t="str">
        <f t="shared" si="72"/>
        <v>Total Knee ReplacementSub-ICB of GP PracticeNHS STAFFORDSHIRE AND STOKE-ON-TRENT ICB - 05G (05G)EQ-5D Index</v>
      </c>
      <c r="C4634" t="s">
        <v>975</v>
      </c>
      <c r="D4634" t="s">
        <v>1021</v>
      </c>
      <c r="E4634" t="s">
        <v>931</v>
      </c>
      <c r="F4634" t="s">
        <v>932</v>
      </c>
      <c r="G4634" t="s">
        <v>963</v>
      </c>
      <c r="H4634">
        <v>49</v>
      </c>
      <c r="I4634">
        <v>0.35957099999999997</v>
      </c>
      <c r="J4634">
        <v>0.69718400000000003</v>
      </c>
      <c r="K4634">
        <v>0.33761200000000002</v>
      </c>
      <c r="L4634">
        <v>43</v>
      </c>
      <c r="M4634">
        <v>2</v>
      </c>
      <c r="N4634">
        <v>4</v>
      </c>
      <c r="O4634">
        <v>0.72021100000000005</v>
      </c>
      <c r="P4634">
        <v>0.29591400000000001</v>
      </c>
      <c r="Q4634">
        <v>0.23249400000000001</v>
      </c>
    </row>
    <row r="4635" spans="1:17" x14ac:dyDescent="0.25">
      <c r="A4635" t="str">
        <f>IF(C4635&amp;G4635&amp;D4635&lt;&gt;'Funnel setup'!$K$3&amp;'Funnel setup'!$K$4&amp;'Funnel setup'!$K$6,".",IF(A4634=".",1,A4634+1))</f>
        <v>.</v>
      </c>
      <c r="B4635" s="244" t="str">
        <f t="shared" si="72"/>
        <v>Total Knee ReplacementSub-ICB of GP PracticeNHS STAFFORDSHIRE AND STOKE-ON-TRENT ICB - 05Q (05Q)EQ-5D Index</v>
      </c>
      <c r="C4635" t="s">
        <v>975</v>
      </c>
      <c r="D4635" t="s">
        <v>1021</v>
      </c>
      <c r="E4635" t="s">
        <v>933</v>
      </c>
      <c r="F4635" t="s">
        <v>934</v>
      </c>
      <c r="G4635" t="s">
        <v>963</v>
      </c>
      <c r="H4635">
        <v>87</v>
      </c>
      <c r="I4635">
        <v>0.42366700000000002</v>
      </c>
      <c r="J4635">
        <v>0.73156299999999996</v>
      </c>
      <c r="K4635">
        <v>0.30789699999999998</v>
      </c>
      <c r="L4635">
        <v>67</v>
      </c>
      <c r="M4635">
        <v>13</v>
      </c>
      <c r="N4635">
        <v>7</v>
      </c>
      <c r="O4635">
        <v>0.73058100000000004</v>
      </c>
      <c r="P4635">
        <v>0.306284</v>
      </c>
      <c r="Q4635">
        <v>0.227188</v>
      </c>
    </row>
    <row r="4636" spans="1:17" x14ac:dyDescent="0.25">
      <c r="A4636" t="str">
        <f>IF(C4636&amp;G4636&amp;D4636&lt;&gt;'Funnel setup'!$K$3&amp;'Funnel setup'!$K$4&amp;'Funnel setup'!$K$6,".",IF(A4635=".",1,A4635+1))</f>
        <v>.</v>
      </c>
      <c r="B4636" s="244" t="str">
        <f t="shared" si="72"/>
        <v>Total Knee ReplacementSub-ICB of GP PracticeNHS STAFFORDSHIRE AND STOKE-ON-TRENT ICB - 05V (05V)EQ-5D Index</v>
      </c>
      <c r="C4636" t="s">
        <v>975</v>
      </c>
      <c r="D4636" t="s">
        <v>1021</v>
      </c>
      <c r="E4636" t="s">
        <v>935</v>
      </c>
      <c r="F4636" t="s">
        <v>936</v>
      </c>
      <c r="G4636" t="s">
        <v>963</v>
      </c>
      <c r="H4636">
        <v>32</v>
      </c>
      <c r="I4636">
        <v>0.55478099999999997</v>
      </c>
      <c r="J4636">
        <v>0.81596900000000006</v>
      </c>
      <c r="K4636">
        <v>0.26118799999999998</v>
      </c>
      <c r="L4636">
        <v>28</v>
      </c>
      <c r="M4636">
        <v>2</v>
      </c>
      <c r="N4636">
        <v>2</v>
      </c>
      <c r="O4636">
        <v>0.75670099999999996</v>
      </c>
      <c r="P4636">
        <v>0.33240399999999998</v>
      </c>
      <c r="Q4636">
        <v>0.19497700000000001</v>
      </c>
    </row>
    <row r="4637" spans="1:17" x14ac:dyDescent="0.25">
      <c r="A4637" t="str">
        <f>IF(C4637&amp;G4637&amp;D4637&lt;&gt;'Funnel setup'!$K$3&amp;'Funnel setup'!$K$4&amp;'Funnel setup'!$K$6,".",IF(A4636=".",1,A4636+1))</f>
        <v>.</v>
      </c>
      <c r="B4637" s="244" t="str">
        <f t="shared" si="72"/>
        <v>Total Knee ReplacementSub-ICB of GP PracticeNHS STAFFORDSHIRE AND STOKE-ON-TRENT ICB - 05W (05W)EQ-5D Index</v>
      </c>
      <c r="C4637" t="s">
        <v>975</v>
      </c>
      <c r="D4637" t="s">
        <v>1021</v>
      </c>
      <c r="E4637" t="s">
        <v>937</v>
      </c>
      <c r="F4637" t="s">
        <v>938</v>
      </c>
      <c r="G4637" t="s">
        <v>963</v>
      </c>
      <c r="H4637">
        <v>42</v>
      </c>
      <c r="I4637">
        <v>0.35381000000000001</v>
      </c>
      <c r="J4637">
        <v>0.70578600000000002</v>
      </c>
      <c r="K4637">
        <v>0.35197600000000001</v>
      </c>
      <c r="L4637">
        <v>32</v>
      </c>
      <c r="M4637">
        <v>5</v>
      </c>
      <c r="N4637">
        <v>5</v>
      </c>
      <c r="O4637">
        <v>0.75835399999999997</v>
      </c>
      <c r="P4637">
        <v>0.33405699999999999</v>
      </c>
      <c r="Q4637">
        <v>0.234597</v>
      </c>
    </row>
    <row r="4638" spans="1:17" x14ac:dyDescent="0.25">
      <c r="A4638" t="str">
        <f>IF(C4638&amp;G4638&amp;D4638&lt;&gt;'Funnel setup'!$K$3&amp;'Funnel setup'!$K$4&amp;'Funnel setup'!$K$6,".",IF(A4637=".",1,A4637+1))</f>
        <v>.</v>
      </c>
      <c r="B4638" s="244" t="str">
        <f t="shared" si="72"/>
        <v>Total Knee ReplacementSub-ICB of GP PracticeNHS SUFFOLK AND NORTH EAST ESSEX ICB - 06L (06L)EQ-5D Index</v>
      </c>
      <c r="C4638" t="s">
        <v>975</v>
      </c>
      <c r="D4638" t="s">
        <v>1021</v>
      </c>
      <c r="E4638" t="s">
        <v>939</v>
      </c>
      <c r="F4638" t="s">
        <v>940</v>
      </c>
      <c r="G4638" t="s">
        <v>963</v>
      </c>
      <c r="H4638">
        <v>112</v>
      </c>
      <c r="I4638">
        <v>0.41298200000000002</v>
      </c>
      <c r="J4638">
        <v>0.76866999999999996</v>
      </c>
      <c r="K4638">
        <v>0.35568699999999998</v>
      </c>
      <c r="L4638">
        <v>99</v>
      </c>
      <c r="M4638">
        <v>7</v>
      </c>
      <c r="N4638">
        <v>6</v>
      </c>
      <c r="O4638">
        <v>0.77863899999999997</v>
      </c>
      <c r="P4638">
        <v>0.35434199999999999</v>
      </c>
      <c r="Q4638">
        <v>0.208616</v>
      </c>
    </row>
    <row r="4639" spans="1:17" x14ac:dyDescent="0.25">
      <c r="A4639" t="str">
        <f>IF(C4639&amp;G4639&amp;D4639&lt;&gt;'Funnel setup'!$K$3&amp;'Funnel setup'!$K$4&amp;'Funnel setup'!$K$6,".",IF(A4638=".",1,A4638+1))</f>
        <v>.</v>
      </c>
      <c r="B4639" s="244" t="str">
        <f t="shared" si="72"/>
        <v>Total Knee ReplacementSub-ICB of GP PracticeNHS SUFFOLK AND NORTH EAST ESSEX ICB - 06T (06T)EQ-5D Index</v>
      </c>
      <c r="C4639" t="s">
        <v>975</v>
      </c>
      <c r="D4639" t="s">
        <v>1021</v>
      </c>
      <c r="E4639" t="s">
        <v>941</v>
      </c>
      <c r="F4639" t="s">
        <v>942</v>
      </c>
      <c r="G4639" t="s">
        <v>963</v>
      </c>
      <c r="H4639">
        <v>32</v>
      </c>
      <c r="I4639">
        <v>0.376469</v>
      </c>
      <c r="J4639">
        <v>0.70221900000000004</v>
      </c>
      <c r="K4639">
        <v>0.32574999999999998</v>
      </c>
      <c r="L4639">
        <v>30</v>
      </c>
      <c r="M4639">
        <v>1</v>
      </c>
      <c r="N4639">
        <v>1</v>
      </c>
      <c r="O4639">
        <v>0.72800299999999996</v>
      </c>
      <c r="P4639">
        <v>0.30370599999999998</v>
      </c>
      <c r="Q4639">
        <v>0.17103399999999999</v>
      </c>
    </row>
    <row r="4640" spans="1:17" x14ac:dyDescent="0.25">
      <c r="A4640" t="str">
        <f>IF(C4640&amp;G4640&amp;D4640&lt;&gt;'Funnel setup'!$K$3&amp;'Funnel setup'!$K$4&amp;'Funnel setup'!$K$6,".",IF(A4639=".",1,A4639+1))</f>
        <v>.</v>
      </c>
      <c r="B4640" s="244" t="str">
        <f t="shared" si="72"/>
        <v>Total Knee ReplacementSub-ICB of GP PracticeNHS SUFFOLK AND NORTH EAST ESSEX ICB - 07K (07K)EQ-5D Index</v>
      </c>
      <c r="C4640" t="s">
        <v>975</v>
      </c>
      <c r="D4640" t="s">
        <v>1021</v>
      </c>
      <c r="E4640" t="s">
        <v>943</v>
      </c>
      <c r="F4640" t="s">
        <v>944</v>
      </c>
      <c r="G4640" t="s">
        <v>963</v>
      </c>
      <c r="H4640">
        <v>94</v>
      </c>
      <c r="I4640">
        <v>0.38035099999999999</v>
      </c>
      <c r="J4640">
        <v>0.77540399999999998</v>
      </c>
      <c r="K4640">
        <v>0.39505299999999999</v>
      </c>
      <c r="L4640">
        <v>78</v>
      </c>
      <c r="M4640">
        <v>9</v>
      </c>
      <c r="N4640">
        <v>7</v>
      </c>
      <c r="O4640">
        <v>0.75917500000000004</v>
      </c>
      <c r="P4640">
        <v>0.33487800000000001</v>
      </c>
      <c r="Q4640">
        <v>0.22720399999999999</v>
      </c>
    </row>
    <row r="4641" spans="1:17" x14ac:dyDescent="0.25">
      <c r="A4641" t="str">
        <f>IF(C4641&amp;G4641&amp;D4641&lt;&gt;'Funnel setup'!$K$3&amp;'Funnel setup'!$K$4&amp;'Funnel setup'!$K$6,".",IF(A4640=".",1,A4640+1))</f>
        <v>.</v>
      </c>
      <c r="B4641" s="244" t="str">
        <f t="shared" si="72"/>
        <v>Total Knee ReplacementSub-ICB of GP PracticeNHS SURREY HEARTLANDS ICB - 92A (92A)EQ-5D Index</v>
      </c>
      <c r="C4641" t="s">
        <v>975</v>
      </c>
      <c r="D4641" t="s">
        <v>1021</v>
      </c>
      <c r="E4641" t="s">
        <v>945</v>
      </c>
      <c r="F4641" t="s">
        <v>946</v>
      </c>
      <c r="G4641" t="s">
        <v>963</v>
      </c>
      <c r="H4641">
        <v>328</v>
      </c>
      <c r="I4641">
        <v>0.48092099999999999</v>
      </c>
      <c r="J4641">
        <v>0.78753700000000004</v>
      </c>
      <c r="K4641">
        <v>0.306616</v>
      </c>
      <c r="L4641">
        <v>276</v>
      </c>
      <c r="M4641">
        <v>30</v>
      </c>
      <c r="N4641">
        <v>22</v>
      </c>
      <c r="O4641">
        <v>0.75450399999999995</v>
      </c>
      <c r="P4641">
        <v>0.330206</v>
      </c>
      <c r="Q4641">
        <v>0.21542700000000001</v>
      </c>
    </row>
    <row r="4642" spans="1:17" x14ac:dyDescent="0.25">
      <c r="A4642" t="str">
        <f>IF(C4642&amp;G4642&amp;D4642&lt;&gt;'Funnel setup'!$K$3&amp;'Funnel setup'!$K$4&amp;'Funnel setup'!$K$6,".",IF(A4641=".",1,A4641+1))</f>
        <v>.</v>
      </c>
      <c r="B4642" s="244" t="str">
        <f t="shared" si="72"/>
        <v>Total Knee ReplacementSub-ICB of GP PracticeNHS SUSSEX ICB - 09D (09D)EQ-5D Index</v>
      </c>
      <c r="C4642" t="s">
        <v>975</v>
      </c>
      <c r="D4642" t="s">
        <v>1021</v>
      </c>
      <c r="E4642" t="s">
        <v>947</v>
      </c>
      <c r="F4642" t="s">
        <v>948</v>
      </c>
      <c r="G4642" t="s">
        <v>963</v>
      </c>
      <c r="H4642">
        <v>28</v>
      </c>
      <c r="I4642">
        <v>0.56214299999999995</v>
      </c>
      <c r="J4642">
        <v>0.81892900000000002</v>
      </c>
      <c r="K4642">
        <v>0.25678600000000001</v>
      </c>
      <c r="L4642">
        <v>22</v>
      </c>
      <c r="M4642">
        <v>4</v>
      </c>
      <c r="N4642">
        <v>2</v>
      </c>
      <c r="O4642" t="s">
        <v>127</v>
      </c>
      <c r="P4642" t="s">
        <v>127</v>
      </c>
      <c r="Q4642" t="s">
        <v>127</v>
      </c>
    </row>
    <row r="4643" spans="1:17" x14ac:dyDescent="0.25">
      <c r="A4643" t="str">
        <f>IF(C4643&amp;G4643&amp;D4643&lt;&gt;'Funnel setup'!$K$3&amp;'Funnel setup'!$K$4&amp;'Funnel setup'!$K$6,".",IF(A4642=".",1,A4642+1))</f>
        <v>.</v>
      </c>
      <c r="B4643" s="244" t="str">
        <f t="shared" si="72"/>
        <v>Total Knee ReplacementSub-ICB of GP PracticeNHS SUSSEX ICB - 70F (70F)EQ-5D Index</v>
      </c>
      <c r="C4643" t="s">
        <v>975</v>
      </c>
      <c r="D4643" t="s">
        <v>1021</v>
      </c>
      <c r="E4643" t="s">
        <v>949</v>
      </c>
      <c r="F4643" t="s">
        <v>950</v>
      </c>
      <c r="G4643" t="s">
        <v>963</v>
      </c>
      <c r="H4643">
        <v>225</v>
      </c>
      <c r="I4643">
        <v>0.41169800000000001</v>
      </c>
      <c r="J4643">
        <v>0.75247600000000003</v>
      </c>
      <c r="K4643">
        <v>0.34077800000000003</v>
      </c>
      <c r="L4643">
        <v>186</v>
      </c>
      <c r="M4643">
        <v>22</v>
      </c>
      <c r="N4643">
        <v>17</v>
      </c>
      <c r="O4643">
        <v>0.74150300000000002</v>
      </c>
      <c r="P4643">
        <v>0.31720599999999999</v>
      </c>
      <c r="Q4643">
        <v>0.229239</v>
      </c>
    </row>
    <row r="4644" spans="1:17" x14ac:dyDescent="0.25">
      <c r="A4644" t="str">
        <f>IF(C4644&amp;G4644&amp;D4644&lt;&gt;'Funnel setup'!$K$3&amp;'Funnel setup'!$K$4&amp;'Funnel setup'!$K$6,".",IF(A4643=".",1,A4643+1))</f>
        <v>.</v>
      </c>
      <c r="B4644" s="244" t="str">
        <f t="shared" si="72"/>
        <v>Total Knee ReplacementSub-ICB of GP PracticeNHS SUSSEX ICB - 97R (97R)EQ-5D Index</v>
      </c>
      <c r="C4644" t="s">
        <v>975</v>
      </c>
      <c r="D4644" t="s">
        <v>1021</v>
      </c>
      <c r="E4644" t="s">
        <v>951</v>
      </c>
      <c r="F4644" t="s">
        <v>952</v>
      </c>
      <c r="G4644" t="s">
        <v>963</v>
      </c>
      <c r="H4644">
        <v>293</v>
      </c>
      <c r="I4644">
        <v>0.49953199999999998</v>
      </c>
      <c r="J4644">
        <v>0.79028299999999996</v>
      </c>
      <c r="K4644">
        <v>0.29075099999999998</v>
      </c>
      <c r="L4644">
        <v>233</v>
      </c>
      <c r="M4644">
        <v>35</v>
      </c>
      <c r="N4644">
        <v>25</v>
      </c>
      <c r="O4644">
        <v>0.76831000000000005</v>
      </c>
      <c r="P4644">
        <v>0.34401199999999998</v>
      </c>
      <c r="Q4644">
        <v>0.22224099999999999</v>
      </c>
    </row>
    <row r="4645" spans="1:17" x14ac:dyDescent="0.25">
      <c r="A4645" t="str">
        <f>IF(C4645&amp;G4645&amp;D4645&lt;&gt;'Funnel setup'!$K$3&amp;'Funnel setup'!$K$4&amp;'Funnel setup'!$K$6,".",IF(A4644=".",1,A4644+1))</f>
        <v>.</v>
      </c>
      <c r="B4645" s="244" t="str">
        <f t="shared" si="72"/>
        <v>Total Knee ReplacementSub-ICB of GP PracticeNHS WEST YORKSHIRE ICB - 02T (02T)EQ-5D Index</v>
      </c>
      <c r="C4645" t="s">
        <v>975</v>
      </c>
      <c r="D4645" t="s">
        <v>1021</v>
      </c>
      <c r="E4645" t="s">
        <v>953</v>
      </c>
      <c r="F4645" t="s">
        <v>954</v>
      </c>
      <c r="G4645" t="s">
        <v>963</v>
      </c>
      <c r="H4645">
        <v>45</v>
      </c>
      <c r="I4645">
        <v>0.50648899999999997</v>
      </c>
      <c r="J4645">
        <v>0.77184399999999997</v>
      </c>
      <c r="K4645">
        <v>0.26535599999999998</v>
      </c>
      <c r="L4645">
        <v>34</v>
      </c>
      <c r="M4645">
        <v>5</v>
      </c>
      <c r="N4645">
        <v>6</v>
      </c>
      <c r="O4645">
        <v>0.75649</v>
      </c>
      <c r="P4645">
        <v>0.33219199999999999</v>
      </c>
      <c r="Q4645">
        <v>0.23286599999999999</v>
      </c>
    </row>
    <row r="4646" spans="1:17" x14ac:dyDescent="0.25">
      <c r="A4646" t="str">
        <f>IF(C4646&amp;G4646&amp;D4646&lt;&gt;'Funnel setup'!$K$3&amp;'Funnel setup'!$K$4&amp;'Funnel setup'!$K$6,".",IF(A4645=".",1,A4645+1))</f>
        <v>.</v>
      </c>
      <c r="B4646" s="244" t="str">
        <f t="shared" si="72"/>
        <v>Total Knee ReplacementSub-ICB of GP PracticeNHS WEST YORKSHIRE ICB - 03R (03R)EQ-5D Index</v>
      </c>
      <c r="C4646" t="s">
        <v>975</v>
      </c>
      <c r="D4646" t="s">
        <v>1021</v>
      </c>
      <c r="E4646" t="s">
        <v>955</v>
      </c>
      <c r="F4646" t="s">
        <v>956</v>
      </c>
      <c r="G4646" t="s">
        <v>963</v>
      </c>
      <c r="H4646">
        <v>185</v>
      </c>
      <c r="I4646">
        <v>0.381027</v>
      </c>
      <c r="J4646">
        <v>0.71371399999999996</v>
      </c>
      <c r="K4646">
        <v>0.33268599999999998</v>
      </c>
      <c r="L4646">
        <v>147</v>
      </c>
      <c r="M4646">
        <v>17</v>
      </c>
      <c r="N4646">
        <v>21</v>
      </c>
      <c r="O4646">
        <v>0.73791899999999999</v>
      </c>
      <c r="P4646">
        <v>0.31362200000000001</v>
      </c>
      <c r="Q4646">
        <v>0.262874</v>
      </c>
    </row>
    <row r="4647" spans="1:17" x14ac:dyDescent="0.25">
      <c r="A4647" t="str">
        <f>IF(C4647&amp;G4647&amp;D4647&lt;&gt;'Funnel setup'!$K$3&amp;'Funnel setup'!$K$4&amp;'Funnel setup'!$K$6,".",IF(A4646=".",1,A4646+1))</f>
        <v>.</v>
      </c>
      <c r="B4647" s="244" t="str">
        <f t="shared" si="72"/>
        <v>Total Knee ReplacementSub-ICB of GP PracticeNHS WEST YORKSHIRE ICB - 15F (15F)EQ-5D Index</v>
      </c>
      <c r="C4647" t="s">
        <v>975</v>
      </c>
      <c r="D4647" t="s">
        <v>1021</v>
      </c>
      <c r="E4647" t="s">
        <v>957</v>
      </c>
      <c r="F4647" t="s">
        <v>958</v>
      </c>
      <c r="G4647" t="s">
        <v>963</v>
      </c>
      <c r="H4647">
        <v>257</v>
      </c>
      <c r="I4647">
        <v>0.44448599999999999</v>
      </c>
      <c r="J4647">
        <v>0.74599199999999999</v>
      </c>
      <c r="K4647">
        <v>0.301506</v>
      </c>
      <c r="L4647">
        <v>207</v>
      </c>
      <c r="M4647">
        <v>26</v>
      </c>
      <c r="N4647">
        <v>24</v>
      </c>
      <c r="O4647">
        <v>0.741699</v>
      </c>
      <c r="P4647">
        <v>0.31740200000000002</v>
      </c>
      <c r="Q4647">
        <v>0.21052299999999999</v>
      </c>
    </row>
    <row r="4648" spans="1:17" x14ac:dyDescent="0.25">
      <c r="A4648" t="str">
        <f>IF(C4648&amp;G4648&amp;D4648&lt;&gt;'Funnel setup'!$K$3&amp;'Funnel setup'!$K$4&amp;'Funnel setup'!$K$6,".",IF(A4647=".",1,A4647+1))</f>
        <v>.</v>
      </c>
      <c r="B4648" s="244" t="str">
        <f t="shared" si="72"/>
        <v>Total Knee ReplacementSub-ICB of GP PracticeNHS WEST YORKSHIRE ICB - 36J (36J)EQ-5D Index</v>
      </c>
      <c r="C4648" t="s">
        <v>975</v>
      </c>
      <c r="D4648" t="s">
        <v>1021</v>
      </c>
      <c r="E4648" t="s">
        <v>959</v>
      </c>
      <c r="F4648" t="s">
        <v>960</v>
      </c>
      <c r="G4648" t="s">
        <v>963</v>
      </c>
      <c r="H4648">
        <v>66</v>
      </c>
      <c r="I4648">
        <v>0.41456100000000001</v>
      </c>
      <c r="J4648">
        <v>0.72260599999999997</v>
      </c>
      <c r="K4648">
        <v>0.30804500000000001</v>
      </c>
      <c r="L4648">
        <v>58</v>
      </c>
      <c r="M4648">
        <v>2</v>
      </c>
      <c r="N4648">
        <v>6</v>
      </c>
      <c r="O4648">
        <v>0.74434100000000003</v>
      </c>
      <c r="P4648">
        <v>0.32004300000000002</v>
      </c>
      <c r="Q4648">
        <v>0.25906200000000001</v>
      </c>
    </row>
    <row r="4649" spans="1:17" x14ac:dyDescent="0.25">
      <c r="A4649" t="str">
        <f>IF(C4649&amp;G4649&amp;D4649&lt;&gt;'Funnel setup'!$K$3&amp;'Funnel setup'!$K$4&amp;'Funnel setup'!$K$6,".",IF(A4648=".",1,A4648+1))</f>
        <v>.</v>
      </c>
      <c r="B4649" s="244" t="str">
        <f t="shared" si="72"/>
        <v>Total Knee ReplacementSub-ICB of GP PracticeNHS WEST YORKSHIRE ICB - X2C4Y (X2C4Y)EQ-5D Index</v>
      </c>
      <c r="C4649" t="s">
        <v>975</v>
      </c>
      <c r="D4649" t="s">
        <v>1021</v>
      </c>
      <c r="E4649" t="s">
        <v>961</v>
      </c>
      <c r="F4649" t="s">
        <v>962</v>
      </c>
      <c r="G4649" t="s">
        <v>963</v>
      </c>
      <c r="H4649">
        <v>105</v>
      </c>
      <c r="I4649">
        <v>0.39960000000000001</v>
      </c>
      <c r="J4649">
        <v>0.76138099999999997</v>
      </c>
      <c r="K4649">
        <v>0.36178100000000002</v>
      </c>
      <c r="L4649">
        <v>88</v>
      </c>
      <c r="M4649">
        <v>12</v>
      </c>
      <c r="N4649">
        <v>5</v>
      </c>
      <c r="O4649">
        <v>0.77011300000000005</v>
      </c>
      <c r="P4649">
        <v>0.34581600000000001</v>
      </c>
      <c r="Q4649">
        <v>0.20630799999999999</v>
      </c>
    </row>
    <row r="4650" spans="1:17" x14ac:dyDescent="0.25">
      <c r="A4650" t="str">
        <f>IF(C4650&amp;G4650&amp;D4650&lt;&gt;'Funnel setup'!$K$3&amp;'Funnel setup'!$K$4&amp;'Funnel setup'!$K$6,".",IF(A4649=".",1,A4649+1))</f>
        <v>.</v>
      </c>
      <c r="B4650" s="244" t="str">
        <f t="shared" si="72"/>
        <v>Total Knee ReplacementSub-ICB of GP PracticeNATIONAL COMMISSIONING HUB 1 (13Q)Oxford Knee Score</v>
      </c>
      <c r="C4650" t="s">
        <v>975</v>
      </c>
      <c r="D4650" t="s">
        <v>1021</v>
      </c>
      <c r="E4650" t="s">
        <v>970</v>
      </c>
      <c r="F4650" t="s">
        <v>971</v>
      </c>
      <c r="G4650" t="s">
        <v>972</v>
      </c>
      <c r="H4650">
        <v>1</v>
      </c>
      <c r="I4650">
        <v>34</v>
      </c>
      <c r="J4650">
        <v>44</v>
      </c>
      <c r="K4650">
        <v>10</v>
      </c>
      <c r="L4650">
        <v>1</v>
      </c>
      <c r="M4650">
        <v>0</v>
      </c>
      <c r="N4650">
        <v>0</v>
      </c>
      <c r="O4650" t="s">
        <v>127</v>
      </c>
      <c r="P4650" t="s">
        <v>127</v>
      </c>
      <c r="Q4650" t="s">
        <v>127</v>
      </c>
    </row>
    <row r="4651" spans="1:17" x14ac:dyDescent="0.25">
      <c r="A4651" t="str">
        <f>IF(C4651&amp;G4651&amp;D4651&lt;&gt;'Funnel setup'!$K$3&amp;'Funnel setup'!$K$4&amp;'Funnel setup'!$K$6,".",IF(A4650=".",1,A4650+1))</f>
        <v>.</v>
      </c>
      <c r="B4651" s="244" t="str">
        <f t="shared" si="72"/>
        <v>Total Knee ReplacementSub-ICB of GP PracticeNHS BATH AND NORTH EAST SOMERSET, SWINDON AND WILTSHIRE ICB - 92G (92G)Oxford Knee Score</v>
      </c>
      <c r="C4651" t="s">
        <v>975</v>
      </c>
      <c r="D4651" t="s">
        <v>1021</v>
      </c>
      <c r="E4651" t="s">
        <v>750</v>
      </c>
      <c r="F4651" t="s">
        <v>751</v>
      </c>
      <c r="G4651" t="s">
        <v>972</v>
      </c>
      <c r="H4651">
        <v>274</v>
      </c>
      <c r="I4651">
        <v>19.587599999999998</v>
      </c>
      <c r="J4651">
        <v>39.124099999999999</v>
      </c>
      <c r="K4651">
        <v>19.5365</v>
      </c>
      <c r="L4651">
        <v>265</v>
      </c>
      <c r="M4651">
        <v>1</v>
      </c>
      <c r="N4651">
        <v>8</v>
      </c>
      <c r="O4651">
        <v>38.1004</v>
      </c>
      <c r="P4651">
        <v>18.831800000000001</v>
      </c>
      <c r="Q4651">
        <v>8.1001700000000003</v>
      </c>
    </row>
    <row r="4652" spans="1:17" x14ac:dyDescent="0.25">
      <c r="A4652" t="str">
        <f>IF(C4652&amp;G4652&amp;D4652&lt;&gt;'Funnel setup'!$K$3&amp;'Funnel setup'!$K$4&amp;'Funnel setup'!$K$6,".",IF(A4651=".",1,A4651+1))</f>
        <v>.</v>
      </c>
      <c r="B4652" s="244" t="str">
        <f t="shared" si="72"/>
        <v>Total Knee ReplacementSub-ICB of GP PracticeNHS BEDFORDSHIRE, LUTON AND MILTON KEYNES ICB - M1J4Y (M1J4Y)Oxford Knee Score</v>
      </c>
      <c r="C4652" t="s">
        <v>975</v>
      </c>
      <c r="D4652" t="s">
        <v>1021</v>
      </c>
      <c r="E4652" t="s">
        <v>753</v>
      </c>
      <c r="F4652" t="s">
        <v>754</v>
      </c>
      <c r="G4652" t="s">
        <v>972</v>
      </c>
      <c r="H4652">
        <v>252</v>
      </c>
      <c r="I4652">
        <v>17.095199999999998</v>
      </c>
      <c r="J4652">
        <v>34.539700000000003</v>
      </c>
      <c r="K4652">
        <v>17.444400000000002</v>
      </c>
      <c r="L4652">
        <v>226</v>
      </c>
      <c r="M4652">
        <v>5</v>
      </c>
      <c r="N4652">
        <v>21</v>
      </c>
      <c r="O4652">
        <v>35.4726</v>
      </c>
      <c r="P4652">
        <v>16.204000000000001</v>
      </c>
      <c r="Q4652">
        <v>9.8278800000000004</v>
      </c>
    </row>
    <row r="4653" spans="1:17" x14ac:dyDescent="0.25">
      <c r="A4653" t="str">
        <f>IF(C4653&amp;G4653&amp;D4653&lt;&gt;'Funnel setup'!$K$3&amp;'Funnel setup'!$K$4&amp;'Funnel setup'!$K$6,".",IF(A4652=".",1,A4652+1))</f>
        <v>.</v>
      </c>
      <c r="B4653" s="244" t="str">
        <f t="shared" si="72"/>
        <v>Total Knee ReplacementSub-ICB of GP PracticeNHS BIRMINGHAM AND SOLIHULL ICB - 15E (15E)Oxford Knee Score</v>
      </c>
      <c r="C4653" t="s">
        <v>975</v>
      </c>
      <c r="D4653" t="s">
        <v>1021</v>
      </c>
      <c r="E4653" t="s">
        <v>755</v>
      </c>
      <c r="F4653" t="s">
        <v>756</v>
      </c>
      <c r="G4653" t="s">
        <v>972</v>
      </c>
      <c r="H4653">
        <v>354</v>
      </c>
      <c r="I4653">
        <v>18.087599999999998</v>
      </c>
      <c r="J4653">
        <v>33.951999999999998</v>
      </c>
      <c r="K4653">
        <v>15.8644</v>
      </c>
      <c r="L4653">
        <v>330</v>
      </c>
      <c r="M4653">
        <v>3</v>
      </c>
      <c r="N4653">
        <v>21</v>
      </c>
      <c r="O4653">
        <v>35.2211</v>
      </c>
      <c r="P4653">
        <v>15.952500000000001</v>
      </c>
      <c r="Q4653">
        <v>8.9759200000000003</v>
      </c>
    </row>
    <row r="4654" spans="1:17" x14ac:dyDescent="0.25">
      <c r="A4654" t="str">
        <f>IF(C4654&amp;G4654&amp;D4654&lt;&gt;'Funnel setup'!$K$3&amp;'Funnel setup'!$K$4&amp;'Funnel setup'!$K$6,".",IF(A4653=".",1,A4653+1))</f>
        <v>.</v>
      </c>
      <c r="B4654" s="244" t="str">
        <f t="shared" si="72"/>
        <v>Total Knee ReplacementSub-ICB of GP PracticeNHS BLACK COUNTRY ICB - D2P2L (D2P2L)Oxford Knee Score</v>
      </c>
      <c r="C4654" t="s">
        <v>975</v>
      </c>
      <c r="D4654" t="s">
        <v>1021</v>
      </c>
      <c r="E4654" t="s">
        <v>757</v>
      </c>
      <c r="F4654" t="s">
        <v>758</v>
      </c>
      <c r="G4654" t="s">
        <v>972</v>
      </c>
      <c r="H4654">
        <v>226</v>
      </c>
      <c r="I4654">
        <v>16.946899999999999</v>
      </c>
      <c r="J4654">
        <v>34.721200000000003</v>
      </c>
      <c r="K4654">
        <v>17.7743</v>
      </c>
      <c r="L4654">
        <v>214</v>
      </c>
      <c r="M4654">
        <v>2</v>
      </c>
      <c r="N4654">
        <v>10</v>
      </c>
      <c r="O4654">
        <v>36.857399999999998</v>
      </c>
      <c r="P4654">
        <v>17.588699999999999</v>
      </c>
      <c r="Q4654">
        <v>8.8469200000000008</v>
      </c>
    </row>
    <row r="4655" spans="1:17" x14ac:dyDescent="0.25">
      <c r="A4655" t="str">
        <f>IF(C4655&amp;G4655&amp;D4655&lt;&gt;'Funnel setup'!$K$3&amp;'Funnel setup'!$K$4&amp;'Funnel setup'!$K$6,".",IF(A4654=".",1,A4654+1))</f>
        <v>.</v>
      </c>
      <c r="B4655" s="244" t="str">
        <f t="shared" si="72"/>
        <v>Total Knee ReplacementSub-ICB of GP PracticeNHS BRISTOL, NORTH SOMERSET AND SOUTH GLOUCESTERSHIRE ICB - 15C (15C)Oxford Knee Score</v>
      </c>
      <c r="C4655" t="s">
        <v>975</v>
      </c>
      <c r="D4655" t="s">
        <v>1021</v>
      </c>
      <c r="E4655" t="s">
        <v>759</v>
      </c>
      <c r="F4655" t="s">
        <v>760</v>
      </c>
      <c r="G4655" t="s">
        <v>972</v>
      </c>
      <c r="H4655">
        <v>223</v>
      </c>
      <c r="I4655">
        <v>19.201799999999999</v>
      </c>
      <c r="J4655">
        <v>37.569499999999998</v>
      </c>
      <c r="K4655">
        <v>18.367699999999999</v>
      </c>
      <c r="L4655">
        <v>214</v>
      </c>
      <c r="M4655">
        <v>3</v>
      </c>
      <c r="N4655">
        <v>6</v>
      </c>
      <c r="O4655">
        <v>37.362099999999998</v>
      </c>
      <c r="P4655">
        <v>18.093499999999999</v>
      </c>
      <c r="Q4655">
        <v>8.0338399999999996</v>
      </c>
    </row>
    <row r="4656" spans="1:17" x14ac:dyDescent="0.25">
      <c r="A4656" t="str">
        <f>IF(C4656&amp;G4656&amp;D4656&lt;&gt;'Funnel setup'!$K$3&amp;'Funnel setup'!$K$4&amp;'Funnel setup'!$K$6,".",IF(A4655=".",1,A4655+1))</f>
        <v>.</v>
      </c>
      <c r="B4656" s="244" t="str">
        <f t="shared" si="72"/>
        <v>Total Knee ReplacementSub-ICB of GP PracticeNHS BUCKINGHAMSHIRE, OXFORDSHIRE AND BERKSHIRE WEST ICB - 10Q (10Q)Oxford Knee Score</v>
      </c>
      <c r="C4656" t="s">
        <v>975</v>
      </c>
      <c r="D4656" t="s">
        <v>1021</v>
      </c>
      <c r="E4656" t="s">
        <v>761</v>
      </c>
      <c r="F4656" t="s">
        <v>762</v>
      </c>
      <c r="G4656" t="s">
        <v>972</v>
      </c>
      <c r="H4656">
        <v>307</v>
      </c>
      <c r="I4656">
        <v>20.661200000000001</v>
      </c>
      <c r="J4656">
        <v>37.905500000000004</v>
      </c>
      <c r="K4656">
        <v>17.244299999999999</v>
      </c>
      <c r="L4656">
        <v>293</v>
      </c>
      <c r="M4656">
        <v>1</v>
      </c>
      <c r="N4656">
        <v>13</v>
      </c>
      <c r="O4656">
        <v>36.888599999999997</v>
      </c>
      <c r="P4656">
        <v>17.619900000000001</v>
      </c>
      <c r="Q4656">
        <v>8.1697299999999995</v>
      </c>
    </row>
    <row r="4657" spans="1:17" x14ac:dyDescent="0.25">
      <c r="A4657" t="str">
        <f>IF(C4657&amp;G4657&amp;D4657&lt;&gt;'Funnel setup'!$K$3&amp;'Funnel setup'!$K$4&amp;'Funnel setup'!$K$6,".",IF(A4656=".",1,A4656+1))</f>
        <v>.</v>
      </c>
      <c r="B4657" s="244" t="str">
        <f t="shared" si="72"/>
        <v>Total Knee ReplacementSub-ICB of GP PracticeNHS BUCKINGHAMSHIRE, OXFORDSHIRE AND BERKSHIRE WEST ICB - 14Y (14Y)Oxford Knee Score</v>
      </c>
      <c r="C4657" t="s">
        <v>975</v>
      </c>
      <c r="D4657" t="s">
        <v>1021</v>
      </c>
      <c r="E4657" t="s">
        <v>763</v>
      </c>
      <c r="F4657" t="s">
        <v>764</v>
      </c>
      <c r="G4657" t="s">
        <v>972</v>
      </c>
      <c r="H4657">
        <v>231</v>
      </c>
      <c r="I4657">
        <v>21.8658</v>
      </c>
      <c r="J4657">
        <v>38.779200000000003</v>
      </c>
      <c r="K4657">
        <v>16.913399999999999</v>
      </c>
      <c r="L4657">
        <v>220</v>
      </c>
      <c r="M4657">
        <v>3</v>
      </c>
      <c r="N4657">
        <v>8</v>
      </c>
      <c r="O4657">
        <v>36.758800000000001</v>
      </c>
      <c r="P4657">
        <v>17.490200000000002</v>
      </c>
      <c r="Q4657">
        <v>7.4839799999999999</v>
      </c>
    </row>
    <row r="4658" spans="1:17" x14ac:dyDescent="0.25">
      <c r="A4658" t="str">
        <f>IF(C4658&amp;G4658&amp;D4658&lt;&gt;'Funnel setup'!$K$3&amp;'Funnel setup'!$K$4&amp;'Funnel setup'!$K$6,".",IF(A4657=".",1,A4657+1))</f>
        <v>.</v>
      </c>
      <c r="B4658" s="244" t="str">
        <f t="shared" si="72"/>
        <v>Total Knee ReplacementSub-ICB of GP PracticeNHS BUCKINGHAMSHIRE, OXFORDSHIRE AND BERKSHIRE WEST ICB - 15A (15A)Oxford Knee Score</v>
      </c>
      <c r="C4658" t="s">
        <v>975</v>
      </c>
      <c r="D4658" t="s">
        <v>1021</v>
      </c>
      <c r="E4658" t="s">
        <v>765</v>
      </c>
      <c r="F4658" t="s">
        <v>766</v>
      </c>
      <c r="G4658" t="s">
        <v>972</v>
      </c>
      <c r="H4658">
        <v>79</v>
      </c>
      <c r="I4658">
        <v>21.063300000000002</v>
      </c>
      <c r="J4658">
        <v>36.531599999999997</v>
      </c>
      <c r="K4658">
        <v>15.468400000000001</v>
      </c>
      <c r="L4658">
        <v>73</v>
      </c>
      <c r="M4658">
        <v>1</v>
      </c>
      <c r="N4658">
        <v>5</v>
      </c>
      <c r="O4658">
        <v>34.946100000000001</v>
      </c>
      <c r="P4658">
        <v>15.6775</v>
      </c>
      <c r="Q4658">
        <v>8.54894</v>
      </c>
    </row>
    <row r="4659" spans="1:17" x14ac:dyDescent="0.25">
      <c r="A4659" t="str">
        <f>IF(C4659&amp;G4659&amp;D4659&lt;&gt;'Funnel setup'!$K$3&amp;'Funnel setup'!$K$4&amp;'Funnel setup'!$K$6,".",IF(A4658=".",1,A4658+1))</f>
        <v>.</v>
      </c>
      <c r="B4659" s="244" t="str">
        <f t="shared" si="72"/>
        <v>Total Knee ReplacementSub-ICB of GP PracticeNHS CAMBRIDGESHIRE AND PETERBOROUGH ICB - 06H (06H)Oxford Knee Score</v>
      </c>
      <c r="C4659" t="s">
        <v>975</v>
      </c>
      <c r="D4659" t="s">
        <v>1021</v>
      </c>
      <c r="E4659" t="s">
        <v>767</v>
      </c>
      <c r="F4659" t="s">
        <v>768</v>
      </c>
      <c r="G4659" t="s">
        <v>972</v>
      </c>
      <c r="H4659">
        <v>210</v>
      </c>
      <c r="I4659">
        <v>17.814299999999999</v>
      </c>
      <c r="J4659">
        <v>35.714300000000001</v>
      </c>
      <c r="K4659">
        <v>17.899999999999999</v>
      </c>
      <c r="L4659">
        <v>202</v>
      </c>
      <c r="M4659">
        <v>0</v>
      </c>
      <c r="N4659">
        <v>8</v>
      </c>
      <c r="O4659">
        <v>36.056600000000003</v>
      </c>
      <c r="P4659">
        <v>16.788</v>
      </c>
      <c r="Q4659">
        <v>8.7654399999999999</v>
      </c>
    </row>
    <row r="4660" spans="1:17" x14ac:dyDescent="0.25">
      <c r="A4660" t="str">
        <f>IF(C4660&amp;G4660&amp;D4660&lt;&gt;'Funnel setup'!$K$3&amp;'Funnel setup'!$K$4&amp;'Funnel setup'!$K$6,".",IF(A4659=".",1,A4659+1))</f>
        <v>.</v>
      </c>
      <c r="B4660" s="244" t="str">
        <f t="shared" si="72"/>
        <v>Total Knee ReplacementSub-ICB of GP PracticeNHS CHESHIRE AND MERSEYSIDE ICB - 01F (01F)Oxford Knee Score</v>
      </c>
      <c r="C4660" t="s">
        <v>975</v>
      </c>
      <c r="D4660" t="s">
        <v>1021</v>
      </c>
      <c r="E4660" t="s">
        <v>769</v>
      </c>
      <c r="F4660" t="s">
        <v>770</v>
      </c>
      <c r="G4660" t="s">
        <v>972</v>
      </c>
      <c r="H4660">
        <v>33</v>
      </c>
      <c r="I4660">
        <v>18.121200000000002</v>
      </c>
      <c r="J4660">
        <v>34.939399999999999</v>
      </c>
      <c r="K4660">
        <v>16.818200000000001</v>
      </c>
      <c r="L4660">
        <v>31</v>
      </c>
      <c r="M4660">
        <v>0</v>
      </c>
      <c r="N4660">
        <v>2</v>
      </c>
      <c r="O4660">
        <v>35.671599999999998</v>
      </c>
      <c r="P4660">
        <v>16.402999999999999</v>
      </c>
      <c r="Q4660">
        <v>10.278600000000001</v>
      </c>
    </row>
    <row r="4661" spans="1:17" x14ac:dyDescent="0.25">
      <c r="A4661" t="str">
        <f>IF(C4661&amp;G4661&amp;D4661&lt;&gt;'Funnel setup'!$K$3&amp;'Funnel setup'!$K$4&amp;'Funnel setup'!$K$6,".",IF(A4660=".",1,A4660+1))</f>
        <v>.</v>
      </c>
      <c r="B4661" s="244" t="str">
        <f t="shared" si="72"/>
        <v>Total Knee ReplacementSub-ICB of GP PracticeNHS CHESHIRE AND MERSEYSIDE ICB - 01J (01J)Oxford Knee Score</v>
      </c>
      <c r="C4661" t="s">
        <v>975</v>
      </c>
      <c r="D4661" t="s">
        <v>1021</v>
      </c>
      <c r="E4661" t="s">
        <v>771</v>
      </c>
      <c r="F4661" t="s">
        <v>772</v>
      </c>
      <c r="G4661" t="s">
        <v>972</v>
      </c>
      <c r="H4661">
        <v>34</v>
      </c>
      <c r="I4661">
        <v>15.5</v>
      </c>
      <c r="J4661">
        <v>31.588200000000001</v>
      </c>
      <c r="K4661">
        <v>16.088200000000001</v>
      </c>
      <c r="L4661">
        <v>31</v>
      </c>
      <c r="M4661">
        <v>0</v>
      </c>
      <c r="N4661">
        <v>3</v>
      </c>
      <c r="O4661">
        <v>35.330300000000001</v>
      </c>
      <c r="P4661">
        <v>16.061599999999999</v>
      </c>
      <c r="Q4661">
        <v>8.9546500000000009</v>
      </c>
    </row>
    <row r="4662" spans="1:17" x14ac:dyDescent="0.25">
      <c r="A4662" t="str">
        <f>IF(C4662&amp;G4662&amp;D4662&lt;&gt;'Funnel setup'!$K$3&amp;'Funnel setup'!$K$4&amp;'Funnel setup'!$K$6,".",IF(A4661=".",1,A4661+1))</f>
        <v>.</v>
      </c>
      <c r="B4662" s="244" t="str">
        <f t="shared" si="72"/>
        <v>Total Knee ReplacementSub-ICB of GP PracticeNHS CHESHIRE AND MERSEYSIDE ICB - 01T (01T)Oxford Knee Score</v>
      </c>
      <c r="C4662" t="s">
        <v>975</v>
      </c>
      <c r="D4662" t="s">
        <v>1021</v>
      </c>
      <c r="E4662" t="s">
        <v>773</v>
      </c>
      <c r="F4662" t="s">
        <v>774</v>
      </c>
      <c r="G4662" t="s">
        <v>972</v>
      </c>
      <c r="H4662">
        <v>48</v>
      </c>
      <c r="I4662">
        <v>19.3125</v>
      </c>
      <c r="J4662">
        <v>37.625</v>
      </c>
      <c r="K4662">
        <v>18.3125</v>
      </c>
      <c r="L4662">
        <v>45</v>
      </c>
      <c r="M4662">
        <v>0</v>
      </c>
      <c r="N4662">
        <v>3</v>
      </c>
      <c r="O4662">
        <v>37.6265</v>
      </c>
      <c r="P4662">
        <v>18.357800000000001</v>
      </c>
      <c r="Q4662">
        <v>8.8660200000000007</v>
      </c>
    </row>
    <row r="4663" spans="1:17" x14ac:dyDescent="0.25">
      <c r="A4663" t="str">
        <f>IF(C4663&amp;G4663&amp;D4663&lt;&gt;'Funnel setup'!$K$3&amp;'Funnel setup'!$K$4&amp;'Funnel setup'!$K$6,".",IF(A4662=".",1,A4662+1))</f>
        <v>.</v>
      </c>
      <c r="B4663" s="244" t="str">
        <f t="shared" si="72"/>
        <v>Total Knee ReplacementSub-ICB of GP PracticeNHS CHESHIRE AND MERSEYSIDE ICB - 01V (01V)Oxford Knee Score</v>
      </c>
      <c r="C4663" t="s">
        <v>975</v>
      </c>
      <c r="D4663" t="s">
        <v>1021</v>
      </c>
      <c r="E4663" t="s">
        <v>775</v>
      </c>
      <c r="F4663" t="s">
        <v>776</v>
      </c>
      <c r="G4663" t="s">
        <v>972</v>
      </c>
      <c r="H4663">
        <v>30</v>
      </c>
      <c r="I4663">
        <v>19.166699999999999</v>
      </c>
      <c r="J4663">
        <v>38.533299999999997</v>
      </c>
      <c r="K4663">
        <v>19.366700000000002</v>
      </c>
      <c r="L4663">
        <v>29</v>
      </c>
      <c r="M4663">
        <v>0</v>
      </c>
      <c r="N4663">
        <v>1</v>
      </c>
      <c r="O4663">
        <v>38.33</v>
      </c>
      <c r="P4663">
        <v>19.061299999999999</v>
      </c>
      <c r="Q4663">
        <v>7.9565799999999998</v>
      </c>
    </row>
    <row r="4664" spans="1:17" x14ac:dyDescent="0.25">
      <c r="A4664" t="str">
        <f>IF(C4664&amp;G4664&amp;D4664&lt;&gt;'Funnel setup'!$K$3&amp;'Funnel setup'!$K$4&amp;'Funnel setup'!$K$6,".",IF(A4663=".",1,A4663+1))</f>
        <v>.</v>
      </c>
      <c r="B4664" s="244" t="str">
        <f t="shared" si="72"/>
        <v>Total Knee ReplacementSub-ICB of GP PracticeNHS CHESHIRE AND MERSEYSIDE ICB - 01X (01X)Oxford Knee Score</v>
      </c>
      <c r="C4664" t="s">
        <v>975</v>
      </c>
      <c r="D4664" t="s">
        <v>1021</v>
      </c>
      <c r="E4664" t="s">
        <v>777</v>
      </c>
      <c r="F4664" t="s">
        <v>778</v>
      </c>
      <c r="G4664" t="s">
        <v>972</v>
      </c>
      <c r="H4664">
        <v>68</v>
      </c>
      <c r="I4664">
        <v>17.573499999999999</v>
      </c>
      <c r="J4664">
        <v>36.852899999999998</v>
      </c>
      <c r="K4664">
        <v>19.279399999999999</v>
      </c>
      <c r="L4664">
        <v>65</v>
      </c>
      <c r="M4664">
        <v>1</v>
      </c>
      <c r="N4664">
        <v>2</v>
      </c>
      <c r="O4664">
        <v>37.843899999999998</v>
      </c>
      <c r="P4664">
        <v>18.575299999999999</v>
      </c>
      <c r="Q4664">
        <v>8.7825500000000005</v>
      </c>
    </row>
    <row r="4665" spans="1:17" x14ac:dyDescent="0.25">
      <c r="A4665" t="str">
        <f>IF(C4665&amp;G4665&amp;D4665&lt;&gt;'Funnel setup'!$K$3&amp;'Funnel setup'!$K$4&amp;'Funnel setup'!$K$6,".",IF(A4664=".",1,A4664+1))</f>
        <v>.</v>
      </c>
      <c r="B4665" s="244" t="str">
        <f t="shared" si="72"/>
        <v>Total Knee ReplacementSub-ICB of GP PracticeNHS CHESHIRE AND MERSEYSIDE ICB - 02E (02E)Oxford Knee Score</v>
      </c>
      <c r="C4665" t="s">
        <v>975</v>
      </c>
      <c r="D4665" t="s">
        <v>1021</v>
      </c>
      <c r="E4665" t="s">
        <v>779</v>
      </c>
      <c r="F4665" t="s">
        <v>780</v>
      </c>
      <c r="G4665" t="s">
        <v>972</v>
      </c>
      <c r="H4665">
        <v>42</v>
      </c>
      <c r="I4665">
        <v>20.428599999999999</v>
      </c>
      <c r="J4665">
        <v>38.1905</v>
      </c>
      <c r="K4665">
        <v>17.761900000000001</v>
      </c>
      <c r="L4665">
        <v>41</v>
      </c>
      <c r="M4665">
        <v>0</v>
      </c>
      <c r="N4665">
        <v>1</v>
      </c>
      <c r="O4665">
        <v>36.820399999999999</v>
      </c>
      <c r="P4665">
        <v>17.5518</v>
      </c>
      <c r="Q4665">
        <v>6.8048700000000002</v>
      </c>
    </row>
    <row r="4666" spans="1:17" x14ac:dyDescent="0.25">
      <c r="A4666" t="str">
        <f>IF(C4666&amp;G4666&amp;D4666&lt;&gt;'Funnel setup'!$K$3&amp;'Funnel setup'!$K$4&amp;'Funnel setup'!$K$6,".",IF(A4665=".",1,A4665+1))</f>
        <v>.</v>
      </c>
      <c r="B4666" s="244" t="str">
        <f t="shared" si="72"/>
        <v>Total Knee ReplacementSub-ICB of GP PracticeNHS CHESHIRE AND MERSEYSIDE ICB - 12F (12F)Oxford Knee Score</v>
      </c>
      <c r="C4666" t="s">
        <v>975</v>
      </c>
      <c r="D4666" t="s">
        <v>1021</v>
      </c>
      <c r="E4666" t="s">
        <v>781</v>
      </c>
      <c r="F4666" t="s">
        <v>782</v>
      </c>
      <c r="G4666" t="s">
        <v>972</v>
      </c>
      <c r="H4666">
        <v>87</v>
      </c>
      <c r="I4666">
        <v>18.896599999999999</v>
      </c>
      <c r="J4666">
        <v>38.069000000000003</v>
      </c>
      <c r="K4666">
        <v>19.1724</v>
      </c>
      <c r="L4666">
        <v>82</v>
      </c>
      <c r="M4666">
        <v>0</v>
      </c>
      <c r="N4666">
        <v>5</v>
      </c>
      <c r="O4666">
        <v>38.1892</v>
      </c>
      <c r="P4666">
        <v>18.9206</v>
      </c>
      <c r="Q4666">
        <v>8.7132199999999997</v>
      </c>
    </row>
    <row r="4667" spans="1:17" x14ac:dyDescent="0.25">
      <c r="A4667" t="str">
        <f>IF(C4667&amp;G4667&amp;D4667&lt;&gt;'Funnel setup'!$K$3&amp;'Funnel setup'!$K$4&amp;'Funnel setup'!$K$6,".",IF(A4666=".",1,A4666+1))</f>
        <v>.</v>
      </c>
      <c r="B4667" s="244" t="str">
        <f t="shared" si="72"/>
        <v>Total Knee ReplacementSub-ICB of GP PracticeNHS CHESHIRE AND MERSEYSIDE ICB - 27D (27D)Oxford Knee Score</v>
      </c>
      <c r="C4667" t="s">
        <v>975</v>
      </c>
      <c r="D4667" t="s">
        <v>1021</v>
      </c>
      <c r="E4667" t="s">
        <v>783</v>
      </c>
      <c r="F4667" t="s">
        <v>784</v>
      </c>
      <c r="G4667" t="s">
        <v>972</v>
      </c>
      <c r="H4667">
        <v>255</v>
      </c>
      <c r="I4667">
        <v>20.231400000000001</v>
      </c>
      <c r="J4667">
        <v>38.235300000000002</v>
      </c>
      <c r="K4667">
        <v>18.003900000000002</v>
      </c>
      <c r="L4667">
        <v>245</v>
      </c>
      <c r="M4667">
        <v>2</v>
      </c>
      <c r="N4667">
        <v>8</v>
      </c>
      <c r="O4667">
        <v>37.665700000000001</v>
      </c>
      <c r="P4667">
        <v>18.397099999999998</v>
      </c>
      <c r="Q4667">
        <v>7.4646999999999997</v>
      </c>
    </row>
    <row r="4668" spans="1:17" x14ac:dyDescent="0.25">
      <c r="A4668" t="str">
        <f>IF(C4668&amp;G4668&amp;D4668&lt;&gt;'Funnel setup'!$K$3&amp;'Funnel setup'!$K$4&amp;'Funnel setup'!$K$6,".",IF(A4667=".",1,A4667+1))</f>
        <v>.</v>
      </c>
      <c r="B4668" s="244" t="str">
        <f t="shared" si="72"/>
        <v>Total Knee ReplacementSub-ICB of GP PracticeNHS CHESHIRE AND MERSEYSIDE ICB - 99A (99A)Oxford Knee Score</v>
      </c>
      <c r="C4668" t="s">
        <v>975</v>
      </c>
      <c r="D4668" t="s">
        <v>1021</v>
      </c>
      <c r="E4668" t="s">
        <v>785</v>
      </c>
      <c r="F4668" t="s">
        <v>786</v>
      </c>
      <c r="G4668" t="s">
        <v>972</v>
      </c>
      <c r="H4668">
        <v>50</v>
      </c>
      <c r="I4668">
        <v>15.42</v>
      </c>
      <c r="J4668">
        <v>33.14</v>
      </c>
      <c r="K4668">
        <v>17.72</v>
      </c>
      <c r="L4668">
        <v>48</v>
      </c>
      <c r="M4668">
        <v>0</v>
      </c>
      <c r="N4668">
        <v>2</v>
      </c>
      <c r="O4668">
        <v>35.736600000000003</v>
      </c>
      <c r="P4668">
        <v>16.4679</v>
      </c>
      <c r="Q4668">
        <v>9.1914499999999997</v>
      </c>
    </row>
    <row r="4669" spans="1:17" x14ac:dyDescent="0.25">
      <c r="A4669" t="str">
        <f>IF(C4669&amp;G4669&amp;D4669&lt;&gt;'Funnel setup'!$K$3&amp;'Funnel setup'!$K$4&amp;'Funnel setup'!$K$6,".",IF(A4668=".",1,A4668+1))</f>
        <v>.</v>
      </c>
      <c r="B4669" s="244" t="str">
        <f t="shared" si="72"/>
        <v>Total Knee ReplacementSub-ICB of GP PracticeNHS CORNWALL AND THE ISLES OF SCILLY ICB - 11N (11N)Oxford Knee Score</v>
      </c>
      <c r="C4669" t="s">
        <v>975</v>
      </c>
      <c r="D4669" t="s">
        <v>1021</v>
      </c>
      <c r="E4669" t="s">
        <v>787</v>
      </c>
      <c r="F4669" t="s">
        <v>788</v>
      </c>
      <c r="G4669" t="s">
        <v>972</v>
      </c>
      <c r="H4669">
        <v>159</v>
      </c>
      <c r="I4669">
        <v>21.434000000000001</v>
      </c>
      <c r="J4669">
        <v>38.075499999999998</v>
      </c>
      <c r="K4669">
        <v>16.641500000000001</v>
      </c>
      <c r="L4669">
        <v>155</v>
      </c>
      <c r="M4669">
        <v>0</v>
      </c>
      <c r="N4669">
        <v>4</v>
      </c>
      <c r="O4669">
        <v>37.513300000000001</v>
      </c>
      <c r="P4669">
        <v>18.244599999999998</v>
      </c>
      <c r="Q4669">
        <v>7.0770499999999998</v>
      </c>
    </row>
    <row r="4670" spans="1:17" x14ac:dyDescent="0.25">
      <c r="A4670" t="str">
        <f>IF(C4670&amp;G4670&amp;D4670&lt;&gt;'Funnel setup'!$K$3&amp;'Funnel setup'!$K$4&amp;'Funnel setup'!$K$6,".",IF(A4669=".",1,A4669+1))</f>
        <v>.</v>
      </c>
      <c r="B4670" s="244" t="str">
        <f t="shared" si="72"/>
        <v>Total Knee ReplacementSub-ICB of GP PracticeNHS COVENTRY AND WARWICKSHIRE ICB - B2M3M (B2M3M)Oxford Knee Score</v>
      </c>
      <c r="C4670" t="s">
        <v>975</v>
      </c>
      <c r="D4670" t="s">
        <v>1021</v>
      </c>
      <c r="E4670" t="s">
        <v>789</v>
      </c>
      <c r="F4670" t="s">
        <v>790</v>
      </c>
      <c r="G4670" t="s">
        <v>972</v>
      </c>
      <c r="H4670">
        <v>241</v>
      </c>
      <c r="I4670">
        <v>20.8216</v>
      </c>
      <c r="J4670">
        <v>38.141100000000002</v>
      </c>
      <c r="K4670">
        <v>17.319500000000001</v>
      </c>
      <c r="L4670">
        <v>232</v>
      </c>
      <c r="M4670">
        <v>1</v>
      </c>
      <c r="N4670">
        <v>8</v>
      </c>
      <c r="O4670">
        <v>37.320700000000002</v>
      </c>
      <c r="P4670">
        <v>18.052099999999999</v>
      </c>
      <c r="Q4670">
        <v>8.2475900000000006</v>
      </c>
    </row>
    <row r="4671" spans="1:17" x14ac:dyDescent="0.25">
      <c r="A4671" t="str">
        <f>IF(C4671&amp;G4671&amp;D4671&lt;&gt;'Funnel setup'!$K$3&amp;'Funnel setup'!$K$4&amp;'Funnel setup'!$K$6,".",IF(A4670=".",1,A4670+1))</f>
        <v>.</v>
      </c>
      <c r="B4671" s="244" t="str">
        <f t="shared" si="72"/>
        <v>Total Knee ReplacementSub-ICB of GP PracticeNHS DERBY AND DERBYSHIRE ICB - 15M (15M)Oxford Knee Score</v>
      </c>
      <c r="C4671" t="s">
        <v>975</v>
      </c>
      <c r="D4671" t="s">
        <v>1021</v>
      </c>
      <c r="E4671" t="s">
        <v>791</v>
      </c>
      <c r="F4671" t="s">
        <v>792</v>
      </c>
      <c r="G4671" t="s">
        <v>972</v>
      </c>
      <c r="H4671">
        <v>541</v>
      </c>
      <c r="I4671">
        <v>18.717199999999998</v>
      </c>
      <c r="J4671">
        <v>36.449199999999998</v>
      </c>
      <c r="K4671">
        <v>17.731999999999999</v>
      </c>
      <c r="L4671">
        <v>524</v>
      </c>
      <c r="M4671">
        <v>5</v>
      </c>
      <c r="N4671">
        <v>12</v>
      </c>
      <c r="O4671">
        <v>36.930300000000003</v>
      </c>
      <c r="P4671">
        <v>17.6617</v>
      </c>
      <c r="Q4671">
        <v>8.3516700000000004</v>
      </c>
    </row>
    <row r="4672" spans="1:17" x14ac:dyDescent="0.25">
      <c r="A4672" t="str">
        <f>IF(C4672&amp;G4672&amp;D4672&lt;&gt;'Funnel setup'!$K$3&amp;'Funnel setup'!$K$4&amp;'Funnel setup'!$K$6,".",IF(A4671=".",1,A4671+1))</f>
        <v>.</v>
      </c>
      <c r="B4672" s="244" t="str">
        <f t="shared" si="72"/>
        <v>Total Knee ReplacementSub-ICB of GP PracticeNHS DEVON ICB - 15N (15N)Oxford Knee Score</v>
      </c>
      <c r="C4672" t="s">
        <v>975</v>
      </c>
      <c r="D4672" t="s">
        <v>1021</v>
      </c>
      <c r="E4672" t="s">
        <v>793</v>
      </c>
      <c r="F4672" t="s">
        <v>794</v>
      </c>
      <c r="G4672" t="s">
        <v>972</v>
      </c>
      <c r="H4672">
        <v>399</v>
      </c>
      <c r="I4672">
        <v>19.8797</v>
      </c>
      <c r="J4672">
        <v>38.137799999999999</v>
      </c>
      <c r="K4672">
        <v>18.258099999999999</v>
      </c>
      <c r="L4672">
        <v>382</v>
      </c>
      <c r="M4672">
        <v>2</v>
      </c>
      <c r="N4672">
        <v>15</v>
      </c>
      <c r="O4672">
        <v>37.706400000000002</v>
      </c>
      <c r="P4672">
        <v>18.437799999999999</v>
      </c>
      <c r="Q4672">
        <v>8.1058599999999998</v>
      </c>
    </row>
    <row r="4673" spans="1:17" x14ac:dyDescent="0.25">
      <c r="A4673" t="str">
        <f>IF(C4673&amp;G4673&amp;D4673&lt;&gt;'Funnel setup'!$K$3&amp;'Funnel setup'!$K$4&amp;'Funnel setup'!$K$6,".",IF(A4672=".",1,A4672+1))</f>
        <v>.</v>
      </c>
      <c r="B4673" s="244" t="str">
        <f t="shared" si="72"/>
        <v>Total Knee ReplacementSub-ICB of GP PracticeNHS DORSET ICB - 11J (11J)Oxford Knee Score</v>
      </c>
      <c r="C4673" t="s">
        <v>975</v>
      </c>
      <c r="D4673" t="s">
        <v>1021</v>
      </c>
      <c r="E4673" t="s">
        <v>795</v>
      </c>
      <c r="F4673" t="s">
        <v>796</v>
      </c>
      <c r="G4673" t="s">
        <v>972</v>
      </c>
      <c r="H4673">
        <v>287</v>
      </c>
      <c r="I4673">
        <v>20.456399999999999</v>
      </c>
      <c r="J4673">
        <v>38.174199999999999</v>
      </c>
      <c r="K4673">
        <v>17.7178</v>
      </c>
      <c r="L4673">
        <v>274</v>
      </c>
      <c r="M4673">
        <v>1</v>
      </c>
      <c r="N4673">
        <v>12</v>
      </c>
      <c r="O4673">
        <v>37.436599999999999</v>
      </c>
      <c r="P4673">
        <v>18.167999999999999</v>
      </c>
      <c r="Q4673">
        <v>7.8025399999999996</v>
      </c>
    </row>
    <row r="4674" spans="1:17" x14ac:dyDescent="0.25">
      <c r="A4674" t="str">
        <f>IF(C4674&amp;G4674&amp;D4674&lt;&gt;'Funnel setup'!$K$3&amp;'Funnel setup'!$K$4&amp;'Funnel setup'!$K$6,".",IF(A4673=".",1,A4673+1))</f>
        <v>.</v>
      </c>
      <c r="B4674" s="244" t="str">
        <f t="shared" ref="B4674:B4737" si="73">C4674&amp;D4674&amp;F4674&amp;G4674</f>
        <v>Total Knee ReplacementSub-ICB of GP PracticeNHS FRIMLEY ICB - D4U1Y (D4U1Y)Oxford Knee Score</v>
      </c>
      <c r="C4674" t="s">
        <v>975</v>
      </c>
      <c r="D4674" t="s">
        <v>1021</v>
      </c>
      <c r="E4674" t="s">
        <v>797</v>
      </c>
      <c r="F4674" t="s">
        <v>798</v>
      </c>
      <c r="G4674" t="s">
        <v>972</v>
      </c>
      <c r="H4674">
        <v>197</v>
      </c>
      <c r="I4674">
        <v>21.456900000000001</v>
      </c>
      <c r="J4674">
        <v>35.822299999999998</v>
      </c>
      <c r="K4674">
        <v>14.365500000000001</v>
      </c>
      <c r="L4674">
        <v>180</v>
      </c>
      <c r="M4674">
        <v>5</v>
      </c>
      <c r="N4674">
        <v>12</v>
      </c>
      <c r="O4674">
        <v>34.707700000000003</v>
      </c>
      <c r="P4674">
        <v>15.4391</v>
      </c>
      <c r="Q4674">
        <v>8.3651800000000005</v>
      </c>
    </row>
    <row r="4675" spans="1:17" x14ac:dyDescent="0.25">
      <c r="A4675" t="str">
        <f>IF(C4675&amp;G4675&amp;D4675&lt;&gt;'Funnel setup'!$K$3&amp;'Funnel setup'!$K$4&amp;'Funnel setup'!$K$6,".",IF(A4674=".",1,A4674+1))</f>
        <v>.</v>
      </c>
      <c r="B4675" s="244" t="str">
        <f t="shared" si="73"/>
        <v>Total Knee ReplacementSub-ICB of GP PracticeNHS GLOUCESTERSHIRE ICB - 11M (11M)Oxford Knee Score</v>
      </c>
      <c r="C4675" t="s">
        <v>975</v>
      </c>
      <c r="D4675" t="s">
        <v>1021</v>
      </c>
      <c r="E4675" t="s">
        <v>799</v>
      </c>
      <c r="F4675" t="s">
        <v>800</v>
      </c>
      <c r="G4675" t="s">
        <v>972</v>
      </c>
      <c r="H4675">
        <v>163</v>
      </c>
      <c r="I4675">
        <v>19.214700000000001</v>
      </c>
      <c r="J4675">
        <v>38.128799999999998</v>
      </c>
      <c r="K4675">
        <v>18.914100000000001</v>
      </c>
      <c r="L4675">
        <v>156</v>
      </c>
      <c r="M4675">
        <v>0</v>
      </c>
      <c r="N4675">
        <v>7</v>
      </c>
      <c r="O4675">
        <v>37.654600000000002</v>
      </c>
      <c r="P4675">
        <v>18.385999999999999</v>
      </c>
      <c r="Q4675">
        <v>7.9822699999999998</v>
      </c>
    </row>
    <row r="4676" spans="1:17" x14ac:dyDescent="0.25">
      <c r="A4676" t="str">
        <f>IF(C4676&amp;G4676&amp;D4676&lt;&gt;'Funnel setup'!$K$3&amp;'Funnel setup'!$K$4&amp;'Funnel setup'!$K$6,".",IF(A4675=".",1,A4675+1))</f>
        <v>.</v>
      </c>
      <c r="B4676" s="244" t="str">
        <f t="shared" si="73"/>
        <v>Total Knee ReplacementSub-ICB of GP PracticeNHS GREATER MANCHESTER ICB - 00T (00T)Oxford Knee Score</v>
      </c>
      <c r="C4676" t="s">
        <v>975</v>
      </c>
      <c r="D4676" t="s">
        <v>1021</v>
      </c>
      <c r="E4676" t="s">
        <v>801</v>
      </c>
      <c r="F4676" t="s">
        <v>802</v>
      </c>
      <c r="G4676" t="s">
        <v>972</v>
      </c>
      <c r="H4676">
        <v>96</v>
      </c>
      <c r="I4676">
        <v>20.229199999999999</v>
      </c>
      <c r="J4676">
        <v>36.781300000000002</v>
      </c>
      <c r="K4676">
        <v>16.552099999999999</v>
      </c>
      <c r="L4676">
        <v>91</v>
      </c>
      <c r="M4676">
        <v>0</v>
      </c>
      <c r="N4676">
        <v>5</v>
      </c>
      <c r="O4676">
        <v>36.633400000000002</v>
      </c>
      <c r="P4676">
        <v>17.364799999999999</v>
      </c>
      <c r="Q4676">
        <v>8.7370199999999993</v>
      </c>
    </row>
    <row r="4677" spans="1:17" x14ac:dyDescent="0.25">
      <c r="A4677" t="str">
        <f>IF(C4677&amp;G4677&amp;D4677&lt;&gt;'Funnel setup'!$K$3&amp;'Funnel setup'!$K$4&amp;'Funnel setup'!$K$6,".",IF(A4676=".",1,A4676+1))</f>
        <v>.</v>
      </c>
      <c r="B4677" s="244" t="str">
        <f t="shared" si="73"/>
        <v>Total Knee ReplacementSub-ICB of GP PracticeNHS GREATER MANCHESTER ICB - 00V (00V)Oxford Knee Score</v>
      </c>
      <c r="C4677" t="s">
        <v>975</v>
      </c>
      <c r="D4677" t="s">
        <v>1021</v>
      </c>
      <c r="E4677" t="s">
        <v>803</v>
      </c>
      <c r="F4677" t="s">
        <v>804</v>
      </c>
      <c r="G4677" t="s">
        <v>972</v>
      </c>
      <c r="H4677">
        <v>18</v>
      </c>
      <c r="I4677">
        <v>18.166699999999999</v>
      </c>
      <c r="J4677">
        <v>34.666699999999999</v>
      </c>
      <c r="K4677">
        <v>16.5</v>
      </c>
      <c r="L4677">
        <v>17</v>
      </c>
      <c r="M4677">
        <v>1</v>
      </c>
      <c r="N4677">
        <v>0</v>
      </c>
      <c r="O4677" t="s">
        <v>127</v>
      </c>
      <c r="P4677" t="s">
        <v>127</v>
      </c>
      <c r="Q4677" t="s">
        <v>127</v>
      </c>
    </row>
    <row r="4678" spans="1:17" x14ac:dyDescent="0.25">
      <c r="A4678" t="str">
        <f>IF(C4678&amp;G4678&amp;D4678&lt;&gt;'Funnel setup'!$K$3&amp;'Funnel setup'!$K$4&amp;'Funnel setup'!$K$6,".",IF(A4677=".",1,A4677+1))</f>
        <v>.</v>
      </c>
      <c r="B4678" s="244" t="str">
        <f t="shared" si="73"/>
        <v>Total Knee ReplacementSub-ICB of GP PracticeNHS GREATER MANCHESTER ICB - 00Y (00Y)Oxford Knee Score</v>
      </c>
      <c r="C4678" t="s">
        <v>975</v>
      </c>
      <c r="D4678" t="s">
        <v>1021</v>
      </c>
      <c r="E4678" t="s">
        <v>805</v>
      </c>
      <c r="F4678" t="s">
        <v>806</v>
      </c>
      <c r="G4678" t="s">
        <v>972</v>
      </c>
      <c r="H4678">
        <v>68</v>
      </c>
      <c r="I4678">
        <v>19.485299999999999</v>
      </c>
      <c r="J4678">
        <v>36.9559</v>
      </c>
      <c r="K4678">
        <v>17.470600000000001</v>
      </c>
      <c r="L4678">
        <v>63</v>
      </c>
      <c r="M4678">
        <v>0</v>
      </c>
      <c r="N4678">
        <v>5</v>
      </c>
      <c r="O4678">
        <v>36.179099999999998</v>
      </c>
      <c r="P4678">
        <v>16.910399999999999</v>
      </c>
      <c r="Q4678">
        <v>8.8875499999999992</v>
      </c>
    </row>
    <row r="4679" spans="1:17" x14ac:dyDescent="0.25">
      <c r="A4679" t="str">
        <f>IF(C4679&amp;G4679&amp;D4679&lt;&gt;'Funnel setup'!$K$3&amp;'Funnel setup'!$K$4&amp;'Funnel setup'!$K$6,".",IF(A4678=".",1,A4678+1))</f>
        <v>.</v>
      </c>
      <c r="B4679" s="244" t="str">
        <f t="shared" si="73"/>
        <v>Total Knee ReplacementSub-ICB of GP PracticeNHS GREATER MANCHESTER ICB - 01D (01D)Oxford Knee Score</v>
      </c>
      <c r="C4679" t="s">
        <v>975</v>
      </c>
      <c r="D4679" t="s">
        <v>1021</v>
      </c>
      <c r="E4679" t="s">
        <v>807</v>
      </c>
      <c r="F4679" t="s">
        <v>808</v>
      </c>
      <c r="G4679" t="s">
        <v>972</v>
      </c>
      <c r="H4679">
        <v>21</v>
      </c>
      <c r="I4679">
        <v>20.8095</v>
      </c>
      <c r="J4679">
        <v>36.714300000000001</v>
      </c>
      <c r="K4679">
        <v>15.9048</v>
      </c>
      <c r="L4679">
        <v>20</v>
      </c>
      <c r="M4679">
        <v>0</v>
      </c>
      <c r="N4679">
        <v>1</v>
      </c>
      <c r="O4679" t="s">
        <v>127</v>
      </c>
      <c r="P4679" t="s">
        <v>127</v>
      </c>
      <c r="Q4679" t="s">
        <v>127</v>
      </c>
    </row>
    <row r="4680" spans="1:17" x14ac:dyDescent="0.25">
      <c r="A4680" t="str">
        <f>IF(C4680&amp;G4680&amp;D4680&lt;&gt;'Funnel setup'!$K$3&amp;'Funnel setup'!$K$4&amp;'Funnel setup'!$K$6,".",IF(A4679=".",1,A4679+1))</f>
        <v>.</v>
      </c>
      <c r="B4680" s="244" t="str">
        <f t="shared" si="73"/>
        <v>Total Knee ReplacementSub-ICB of GP PracticeNHS GREATER MANCHESTER ICB - 01G (01G)Oxford Knee Score</v>
      </c>
      <c r="C4680" t="s">
        <v>975</v>
      </c>
      <c r="D4680" t="s">
        <v>1021</v>
      </c>
      <c r="E4680" t="s">
        <v>809</v>
      </c>
      <c r="F4680" t="s">
        <v>810</v>
      </c>
      <c r="G4680" t="s">
        <v>972</v>
      </c>
      <c r="H4680">
        <v>62</v>
      </c>
      <c r="I4680">
        <v>17.629000000000001</v>
      </c>
      <c r="J4680">
        <v>35.403199999999998</v>
      </c>
      <c r="K4680">
        <v>17.7742</v>
      </c>
      <c r="L4680">
        <v>60</v>
      </c>
      <c r="M4680">
        <v>0</v>
      </c>
      <c r="N4680">
        <v>2</v>
      </c>
      <c r="O4680">
        <v>36.410899999999998</v>
      </c>
      <c r="P4680">
        <v>17.142199999999999</v>
      </c>
      <c r="Q4680">
        <v>9.4318899999999992</v>
      </c>
    </row>
    <row r="4681" spans="1:17" x14ac:dyDescent="0.25">
      <c r="A4681" t="str">
        <f>IF(C4681&amp;G4681&amp;D4681&lt;&gt;'Funnel setup'!$K$3&amp;'Funnel setup'!$K$4&amp;'Funnel setup'!$K$6,".",IF(A4680=".",1,A4680+1))</f>
        <v>.</v>
      </c>
      <c r="B4681" s="244" t="str">
        <f t="shared" si="73"/>
        <v>Total Knee ReplacementSub-ICB of GP PracticeNHS GREATER MANCHESTER ICB - 01W (01W)Oxford Knee Score</v>
      </c>
      <c r="C4681" t="s">
        <v>975</v>
      </c>
      <c r="D4681" t="s">
        <v>1021</v>
      </c>
      <c r="E4681" t="s">
        <v>811</v>
      </c>
      <c r="F4681" t="s">
        <v>812</v>
      </c>
      <c r="G4681" t="s">
        <v>972</v>
      </c>
      <c r="H4681">
        <v>60</v>
      </c>
      <c r="I4681">
        <v>20.216699999999999</v>
      </c>
      <c r="J4681">
        <v>37.066699999999997</v>
      </c>
      <c r="K4681">
        <v>16.850000000000001</v>
      </c>
      <c r="L4681">
        <v>58</v>
      </c>
      <c r="M4681">
        <v>0</v>
      </c>
      <c r="N4681">
        <v>2</v>
      </c>
      <c r="O4681">
        <v>36.400100000000002</v>
      </c>
      <c r="P4681">
        <v>17.131499999999999</v>
      </c>
      <c r="Q4681">
        <v>8.6316100000000002</v>
      </c>
    </row>
    <row r="4682" spans="1:17" x14ac:dyDescent="0.25">
      <c r="A4682" t="str">
        <f>IF(C4682&amp;G4682&amp;D4682&lt;&gt;'Funnel setup'!$K$3&amp;'Funnel setup'!$K$4&amp;'Funnel setup'!$K$6,".",IF(A4681=".",1,A4681+1))</f>
        <v>.</v>
      </c>
      <c r="B4682" s="244" t="str">
        <f t="shared" si="73"/>
        <v>Total Knee ReplacementSub-ICB of GP PracticeNHS GREATER MANCHESTER ICB - 01Y (01Y)Oxford Knee Score</v>
      </c>
      <c r="C4682" t="s">
        <v>975</v>
      </c>
      <c r="D4682" t="s">
        <v>1021</v>
      </c>
      <c r="E4682" t="s">
        <v>813</v>
      </c>
      <c r="F4682" t="s">
        <v>814</v>
      </c>
      <c r="G4682" t="s">
        <v>972</v>
      </c>
      <c r="H4682">
        <v>28</v>
      </c>
      <c r="I4682">
        <v>17.571400000000001</v>
      </c>
      <c r="J4682">
        <v>35.5</v>
      </c>
      <c r="K4682">
        <v>17.928599999999999</v>
      </c>
      <c r="L4682">
        <v>26</v>
      </c>
      <c r="M4682">
        <v>0</v>
      </c>
      <c r="N4682">
        <v>2</v>
      </c>
      <c r="O4682" t="s">
        <v>127</v>
      </c>
      <c r="P4682" t="s">
        <v>127</v>
      </c>
      <c r="Q4682" t="s">
        <v>127</v>
      </c>
    </row>
    <row r="4683" spans="1:17" x14ac:dyDescent="0.25">
      <c r="A4683" t="str">
        <f>IF(C4683&amp;G4683&amp;D4683&lt;&gt;'Funnel setup'!$K$3&amp;'Funnel setup'!$K$4&amp;'Funnel setup'!$K$6,".",IF(A4682=".",1,A4682+1))</f>
        <v>.</v>
      </c>
      <c r="B4683" s="244" t="str">
        <f t="shared" si="73"/>
        <v>Total Knee ReplacementSub-ICB of GP PracticeNHS GREATER MANCHESTER ICB - 02A (02A)Oxford Knee Score</v>
      </c>
      <c r="C4683" t="s">
        <v>975</v>
      </c>
      <c r="D4683" t="s">
        <v>1021</v>
      </c>
      <c r="E4683" t="s">
        <v>815</v>
      </c>
      <c r="F4683" t="s">
        <v>816</v>
      </c>
      <c r="G4683" t="s">
        <v>972</v>
      </c>
      <c r="H4683">
        <v>90</v>
      </c>
      <c r="I4683">
        <v>18.122199999999999</v>
      </c>
      <c r="J4683">
        <v>34.133299999999998</v>
      </c>
      <c r="K4683">
        <v>16.011099999999999</v>
      </c>
      <c r="L4683">
        <v>83</v>
      </c>
      <c r="M4683">
        <v>0</v>
      </c>
      <c r="N4683">
        <v>7</v>
      </c>
      <c r="O4683">
        <v>34.477499999999999</v>
      </c>
      <c r="P4683">
        <v>15.2089</v>
      </c>
      <c r="Q4683">
        <v>9.6820299999999992</v>
      </c>
    </row>
    <row r="4684" spans="1:17" x14ac:dyDescent="0.25">
      <c r="A4684" t="str">
        <f>IF(C4684&amp;G4684&amp;D4684&lt;&gt;'Funnel setup'!$K$3&amp;'Funnel setup'!$K$4&amp;'Funnel setup'!$K$6,".",IF(A4683=".",1,A4683+1))</f>
        <v>.</v>
      </c>
      <c r="B4684" s="244" t="str">
        <f t="shared" si="73"/>
        <v>Total Knee ReplacementSub-ICB of GP PracticeNHS GREATER MANCHESTER ICB - 02H (02H)Oxford Knee Score</v>
      </c>
      <c r="C4684" t="s">
        <v>975</v>
      </c>
      <c r="D4684" t="s">
        <v>1021</v>
      </c>
      <c r="E4684" t="s">
        <v>817</v>
      </c>
      <c r="F4684" t="s">
        <v>818</v>
      </c>
      <c r="G4684" t="s">
        <v>972</v>
      </c>
      <c r="H4684">
        <v>29</v>
      </c>
      <c r="I4684">
        <v>18.655200000000001</v>
      </c>
      <c r="J4684">
        <v>37.172400000000003</v>
      </c>
      <c r="K4684">
        <v>18.517199999999999</v>
      </c>
      <c r="L4684">
        <v>28</v>
      </c>
      <c r="M4684">
        <v>0</v>
      </c>
      <c r="N4684">
        <v>1</v>
      </c>
      <c r="O4684" t="s">
        <v>127</v>
      </c>
      <c r="P4684" t="s">
        <v>127</v>
      </c>
      <c r="Q4684" t="s">
        <v>127</v>
      </c>
    </row>
    <row r="4685" spans="1:17" x14ac:dyDescent="0.25">
      <c r="A4685" t="str">
        <f>IF(C4685&amp;G4685&amp;D4685&lt;&gt;'Funnel setup'!$K$3&amp;'Funnel setup'!$K$4&amp;'Funnel setup'!$K$6,".",IF(A4684=".",1,A4684+1))</f>
        <v>.</v>
      </c>
      <c r="B4685" s="244" t="str">
        <f t="shared" si="73"/>
        <v>Total Knee ReplacementSub-ICB of GP PracticeNHS GREATER MANCHESTER ICB - 14L (14L)Oxford Knee Score</v>
      </c>
      <c r="C4685" t="s">
        <v>975</v>
      </c>
      <c r="D4685" t="s">
        <v>1021</v>
      </c>
      <c r="E4685" t="s">
        <v>819</v>
      </c>
      <c r="F4685" t="s">
        <v>820</v>
      </c>
      <c r="G4685" t="s">
        <v>972</v>
      </c>
      <c r="H4685">
        <v>59</v>
      </c>
      <c r="I4685">
        <v>17.1525</v>
      </c>
      <c r="J4685">
        <v>33.4407</v>
      </c>
      <c r="K4685">
        <v>16.2881</v>
      </c>
      <c r="L4685">
        <v>55</v>
      </c>
      <c r="M4685">
        <v>0</v>
      </c>
      <c r="N4685">
        <v>4</v>
      </c>
      <c r="O4685">
        <v>36.2605</v>
      </c>
      <c r="P4685">
        <v>16.991900000000001</v>
      </c>
      <c r="Q4685">
        <v>8.5133700000000001</v>
      </c>
    </row>
    <row r="4686" spans="1:17" x14ac:dyDescent="0.25">
      <c r="A4686" t="str">
        <f>IF(C4686&amp;G4686&amp;D4686&lt;&gt;'Funnel setup'!$K$3&amp;'Funnel setup'!$K$4&amp;'Funnel setup'!$K$6,".",IF(A4685=".",1,A4685+1))</f>
        <v>.</v>
      </c>
      <c r="B4686" s="244" t="str">
        <f t="shared" si="73"/>
        <v>Total Knee ReplacementSub-ICB of GP PracticeNHS HAMPSHIRE AND ISLE OF WIGHT ICB - 10R (10R)Oxford Knee Score</v>
      </c>
      <c r="C4686" t="s">
        <v>975</v>
      </c>
      <c r="D4686" t="s">
        <v>1021</v>
      </c>
      <c r="E4686" t="s">
        <v>821</v>
      </c>
      <c r="F4686" t="s">
        <v>822</v>
      </c>
      <c r="G4686" t="s">
        <v>972</v>
      </c>
      <c r="H4686">
        <v>12</v>
      </c>
      <c r="I4686">
        <v>19.416699999999999</v>
      </c>
      <c r="J4686">
        <v>33.833300000000001</v>
      </c>
      <c r="K4686">
        <v>14.416700000000001</v>
      </c>
      <c r="L4686">
        <v>12</v>
      </c>
      <c r="M4686">
        <v>0</v>
      </c>
      <c r="N4686">
        <v>0</v>
      </c>
      <c r="O4686" t="s">
        <v>127</v>
      </c>
      <c r="P4686" t="s">
        <v>127</v>
      </c>
      <c r="Q4686" t="s">
        <v>127</v>
      </c>
    </row>
    <row r="4687" spans="1:17" x14ac:dyDescent="0.25">
      <c r="A4687" t="str">
        <f>IF(C4687&amp;G4687&amp;D4687&lt;&gt;'Funnel setup'!$K$3&amp;'Funnel setup'!$K$4&amp;'Funnel setup'!$K$6,".",IF(A4686=".",1,A4686+1))</f>
        <v>.</v>
      </c>
      <c r="B4687" s="244" t="str">
        <f t="shared" si="73"/>
        <v>Total Knee ReplacementSub-ICB of GP PracticeNHS HAMPSHIRE AND ISLE OF WIGHT ICB - D9Y0V (D9Y0V)Oxford Knee Score</v>
      </c>
      <c r="C4687" t="s">
        <v>975</v>
      </c>
      <c r="D4687" t="s">
        <v>1021</v>
      </c>
      <c r="E4687" t="s">
        <v>823</v>
      </c>
      <c r="F4687" t="s">
        <v>824</v>
      </c>
      <c r="G4687" t="s">
        <v>972</v>
      </c>
      <c r="H4687">
        <v>389</v>
      </c>
      <c r="I4687">
        <v>20.7712</v>
      </c>
      <c r="J4687">
        <v>37.825200000000002</v>
      </c>
      <c r="K4687">
        <v>17.053999999999998</v>
      </c>
      <c r="L4687">
        <v>367</v>
      </c>
      <c r="M4687">
        <v>4</v>
      </c>
      <c r="N4687">
        <v>18</v>
      </c>
      <c r="O4687">
        <v>36.890700000000002</v>
      </c>
      <c r="P4687">
        <v>17.6221</v>
      </c>
      <c r="Q4687">
        <v>8.0791799999999991</v>
      </c>
    </row>
    <row r="4688" spans="1:17" x14ac:dyDescent="0.25">
      <c r="A4688" t="str">
        <f>IF(C4688&amp;G4688&amp;D4688&lt;&gt;'Funnel setup'!$K$3&amp;'Funnel setup'!$K$4&amp;'Funnel setup'!$K$6,".",IF(A4687=".",1,A4687+1))</f>
        <v>.</v>
      </c>
      <c r="B4688" s="244" t="str">
        <f t="shared" si="73"/>
        <v>Total Knee ReplacementSub-ICB of GP PracticeNHS HEREFORDSHIRE AND WORCESTERSHIRE ICB - 18C (18C)Oxford Knee Score</v>
      </c>
      <c r="C4688" t="s">
        <v>975</v>
      </c>
      <c r="D4688" t="s">
        <v>1021</v>
      </c>
      <c r="E4688" t="s">
        <v>825</v>
      </c>
      <c r="F4688" t="s">
        <v>826</v>
      </c>
      <c r="G4688" t="s">
        <v>972</v>
      </c>
      <c r="H4688">
        <v>220</v>
      </c>
      <c r="I4688">
        <v>18.0045</v>
      </c>
      <c r="J4688">
        <v>37</v>
      </c>
      <c r="K4688">
        <v>18.9955</v>
      </c>
      <c r="L4688">
        <v>211</v>
      </c>
      <c r="M4688">
        <v>1</v>
      </c>
      <c r="N4688">
        <v>8</v>
      </c>
      <c r="O4688">
        <v>37.371899999999997</v>
      </c>
      <c r="P4688">
        <v>18.103200000000001</v>
      </c>
      <c r="Q4688">
        <v>8.2281600000000008</v>
      </c>
    </row>
    <row r="4689" spans="1:17" x14ac:dyDescent="0.25">
      <c r="A4689" t="str">
        <f>IF(C4689&amp;G4689&amp;D4689&lt;&gt;'Funnel setup'!$K$3&amp;'Funnel setup'!$K$4&amp;'Funnel setup'!$K$6,".",IF(A4688=".",1,A4688+1))</f>
        <v>.</v>
      </c>
      <c r="B4689" s="244" t="str">
        <f t="shared" si="73"/>
        <v>Total Knee ReplacementSub-ICB of GP PracticeNHS HERTFORDSHIRE AND WEST ESSEX ICB - 06K (06K)Oxford Knee Score</v>
      </c>
      <c r="C4689" t="s">
        <v>975</v>
      </c>
      <c r="D4689" t="s">
        <v>1021</v>
      </c>
      <c r="E4689" t="s">
        <v>827</v>
      </c>
      <c r="F4689" t="s">
        <v>828</v>
      </c>
      <c r="G4689" t="s">
        <v>972</v>
      </c>
      <c r="H4689">
        <v>101</v>
      </c>
      <c r="I4689">
        <v>19.8416</v>
      </c>
      <c r="J4689">
        <v>36.7624</v>
      </c>
      <c r="K4689">
        <v>16.9208</v>
      </c>
      <c r="L4689">
        <v>91</v>
      </c>
      <c r="M4689">
        <v>2</v>
      </c>
      <c r="N4689">
        <v>8</v>
      </c>
      <c r="O4689">
        <v>36.015099999999997</v>
      </c>
      <c r="P4689">
        <v>16.746500000000001</v>
      </c>
      <c r="Q4689">
        <v>9.4278600000000008</v>
      </c>
    </row>
    <row r="4690" spans="1:17" x14ac:dyDescent="0.25">
      <c r="A4690" t="str">
        <f>IF(C4690&amp;G4690&amp;D4690&lt;&gt;'Funnel setup'!$K$3&amp;'Funnel setup'!$K$4&amp;'Funnel setup'!$K$6,".",IF(A4689=".",1,A4689+1))</f>
        <v>.</v>
      </c>
      <c r="B4690" s="244" t="str">
        <f t="shared" si="73"/>
        <v>Total Knee ReplacementSub-ICB of GP PracticeNHS HERTFORDSHIRE AND WEST ESSEX ICB - 06N (06N)Oxford Knee Score</v>
      </c>
      <c r="C4690" t="s">
        <v>975</v>
      </c>
      <c r="D4690" t="s">
        <v>1021</v>
      </c>
      <c r="E4690" t="s">
        <v>829</v>
      </c>
      <c r="F4690" t="s">
        <v>830</v>
      </c>
      <c r="G4690" t="s">
        <v>972</v>
      </c>
      <c r="H4690">
        <v>124</v>
      </c>
      <c r="I4690">
        <v>20.596800000000002</v>
      </c>
      <c r="J4690">
        <v>36.112900000000003</v>
      </c>
      <c r="K4690">
        <v>15.5161</v>
      </c>
      <c r="L4690">
        <v>114</v>
      </c>
      <c r="M4690">
        <v>2</v>
      </c>
      <c r="N4690">
        <v>8</v>
      </c>
      <c r="O4690">
        <v>35.430199999999999</v>
      </c>
      <c r="P4690">
        <v>16.1615</v>
      </c>
      <c r="Q4690">
        <v>8.6840499999999992</v>
      </c>
    </row>
    <row r="4691" spans="1:17" x14ac:dyDescent="0.25">
      <c r="A4691" t="str">
        <f>IF(C4691&amp;G4691&amp;D4691&lt;&gt;'Funnel setup'!$K$3&amp;'Funnel setup'!$K$4&amp;'Funnel setup'!$K$6,".",IF(A4690=".",1,A4690+1))</f>
        <v>.</v>
      </c>
      <c r="B4691" s="244" t="str">
        <f t="shared" si="73"/>
        <v>Total Knee ReplacementSub-ICB of GP PracticeNHS HERTFORDSHIRE AND WEST ESSEX ICB - 07H (07H)Oxford Knee Score</v>
      </c>
      <c r="C4691" t="s">
        <v>975</v>
      </c>
      <c r="D4691" t="s">
        <v>1021</v>
      </c>
      <c r="E4691" t="s">
        <v>831</v>
      </c>
      <c r="F4691" t="s">
        <v>832</v>
      </c>
      <c r="G4691" t="s">
        <v>972</v>
      </c>
      <c r="H4691">
        <v>67</v>
      </c>
      <c r="I4691">
        <v>17.940300000000001</v>
      </c>
      <c r="J4691">
        <v>36.388100000000001</v>
      </c>
      <c r="K4691">
        <v>18.447800000000001</v>
      </c>
      <c r="L4691">
        <v>66</v>
      </c>
      <c r="M4691">
        <v>0</v>
      </c>
      <c r="N4691">
        <v>1</v>
      </c>
      <c r="O4691">
        <v>36.277900000000002</v>
      </c>
      <c r="P4691">
        <v>17.0093</v>
      </c>
      <c r="Q4691">
        <v>8.10947</v>
      </c>
    </row>
    <row r="4692" spans="1:17" x14ac:dyDescent="0.25">
      <c r="A4692" t="str">
        <f>IF(C4692&amp;G4692&amp;D4692&lt;&gt;'Funnel setup'!$K$3&amp;'Funnel setup'!$K$4&amp;'Funnel setup'!$K$6,".",IF(A4691=".",1,A4691+1))</f>
        <v>.</v>
      </c>
      <c r="B4692" s="244" t="str">
        <f t="shared" si="73"/>
        <v>Total Knee ReplacementSub-ICB of GP PracticeNHS HUMBER AND NORTH YORKSHIRE ICB - 02Y (02Y)Oxford Knee Score</v>
      </c>
      <c r="C4692" t="s">
        <v>975</v>
      </c>
      <c r="D4692" t="s">
        <v>1021</v>
      </c>
      <c r="E4692" t="s">
        <v>833</v>
      </c>
      <c r="F4692" t="s">
        <v>834</v>
      </c>
      <c r="G4692" t="s">
        <v>972</v>
      </c>
      <c r="H4692">
        <v>81</v>
      </c>
      <c r="I4692">
        <v>20.530899999999999</v>
      </c>
      <c r="J4692">
        <v>35.1111</v>
      </c>
      <c r="K4692">
        <v>14.5802</v>
      </c>
      <c r="L4692">
        <v>74</v>
      </c>
      <c r="M4692">
        <v>1</v>
      </c>
      <c r="N4692">
        <v>6</v>
      </c>
      <c r="O4692">
        <v>34.456200000000003</v>
      </c>
      <c r="P4692">
        <v>15.1875</v>
      </c>
      <c r="Q4692">
        <v>9.8175000000000008</v>
      </c>
    </row>
    <row r="4693" spans="1:17" x14ac:dyDescent="0.25">
      <c r="A4693" t="str">
        <f>IF(C4693&amp;G4693&amp;D4693&lt;&gt;'Funnel setup'!$K$3&amp;'Funnel setup'!$K$4&amp;'Funnel setup'!$K$6,".",IF(A4692=".",1,A4692+1))</f>
        <v>.</v>
      </c>
      <c r="B4693" s="244" t="str">
        <f t="shared" si="73"/>
        <v>Total Knee ReplacementSub-ICB of GP PracticeNHS HUMBER AND NORTH YORKSHIRE ICB - 03F (03F)Oxford Knee Score</v>
      </c>
      <c r="C4693" t="s">
        <v>975</v>
      </c>
      <c r="D4693" t="s">
        <v>1021</v>
      </c>
      <c r="E4693" t="s">
        <v>835</v>
      </c>
      <c r="F4693" t="s">
        <v>836</v>
      </c>
      <c r="G4693" t="s">
        <v>972</v>
      </c>
      <c r="H4693">
        <v>27</v>
      </c>
      <c r="I4693">
        <v>17.555599999999998</v>
      </c>
      <c r="J4693">
        <v>36.555599999999998</v>
      </c>
      <c r="K4693">
        <v>19</v>
      </c>
      <c r="L4693">
        <v>27</v>
      </c>
      <c r="M4693">
        <v>0</v>
      </c>
      <c r="N4693">
        <v>0</v>
      </c>
      <c r="O4693" t="s">
        <v>127</v>
      </c>
      <c r="P4693" t="s">
        <v>127</v>
      </c>
      <c r="Q4693" t="s">
        <v>127</v>
      </c>
    </row>
    <row r="4694" spans="1:17" x14ac:dyDescent="0.25">
      <c r="A4694" t="str">
        <f>IF(C4694&amp;G4694&amp;D4694&lt;&gt;'Funnel setup'!$K$3&amp;'Funnel setup'!$K$4&amp;'Funnel setup'!$K$6,".",IF(A4693=".",1,A4693+1))</f>
        <v>.</v>
      </c>
      <c r="B4694" s="244" t="str">
        <f t="shared" si="73"/>
        <v>Total Knee ReplacementSub-ICB of GP PracticeNHS HUMBER AND NORTH YORKSHIRE ICB - 03H (03H)Oxford Knee Score</v>
      </c>
      <c r="C4694" t="s">
        <v>975</v>
      </c>
      <c r="D4694" t="s">
        <v>1021</v>
      </c>
      <c r="E4694" t="s">
        <v>837</v>
      </c>
      <c r="F4694" t="s">
        <v>838</v>
      </c>
      <c r="G4694" t="s">
        <v>972</v>
      </c>
      <c r="H4694">
        <v>82</v>
      </c>
      <c r="I4694">
        <v>19.8659</v>
      </c>
      <c r="J4694">
        <v>36.5854</v>
      </c>
      <c r="K4694">
        <v>16.7195</v>
      </c>
      <c r="L4694">
        <v>78</v>
      </c>
      <c r="M4694">
        <v>2</v>
      </c>
      <c r="N4694">
        <v>2</v>
      </c>
      <c r="O4694">
        <v>35.9574</v>
      </c>
      <c r="P4694">
        <v>16.688700000000001</v>
      </c>
      <c r="Q4694">
        <v>7.6070799999999998</v>
      </c>
    </row>
    <row r="4695" spans="1:17" x14ac:dyDescent="0.25">
      <c r="A4695" t="str">
        <f>IF(C4695&amp;G4695&amp;D4695&lt;&gt;'Funnel setup'!$K$3&amp;'Funnel setup'!$K$4&amp;'Funnel setup'!$K$6,".",IF(A4694=".",1,A4694+1))</f>
        <v>.</v>
      </c>
      <c r="B4695" s="244" t="str">
        <f t="shared" si="73"/>
        <v>Total Knee ReplacementSub-ICB of GP PracticeNHS HUMBER AND NORTH YORKSHIRE ICB - 03K (03K)Oxford Knee Score</v>
      </c>
      <c r="C4695" t="s">
        <v>975</v>
      </c>
      <c r="D4695" t="s">
        <v>1021</v>
      </c>
      <c r="E4695" t="s">
        <v>839</v>
      </c>
      <c r="F4695" t="s">
        <v>840</v>
      </c>
      <c r="G4695" t="s">
        <v>972</v>
      </c>
      <c r="H4695">
        <v>70</v>
      </c>
      <c r="I4695">
        <v>18.514299999999999</v>
      </c>
      <c r="J4695">
        <v>36.1571</v>
      </c>
      <c r="K4695">
        <v>17.642900000000001</v>
      </c>
      <c r="L4695">
        <v>65</v>
      </c>
      <c r="M4695">
        <v>1</v>
      </c>
      <c r="N4695">
        <v>4</v>
      </c>
      <c r="O4695">
        <v>36.432000000000002</v>
      </c>
      <c r="P4695">
        <v>17.1633</v>
      </c>
      <c r="Q4695">
        <v>8.6451399999999996</v>
      </c>
    </row>
    <row r="4696" spans="1:17" x14ac:dyDescent="0.25">
      <c r="A4696" t="str">
        <f>IF(C4696&amp;G4696&amp;D4696&lt;&gt;'Funnel setup'!$K$3&amp;'Funnel setup'!$K$4&amp;'Funnel setup'!$K$6,".",IF(A4695=".",1,A4695+1))</f>
        <v>.</v>
      </c>
      <c r="B4696" s="244" t="str">
        <f t="shared" si="73"/>
        <v>Total Knee ReplacementSub-ICB of GP PracticeNHS HUMBER AND NORTH YORKSHIRE ICB - 03Q (03Q)Oxford Knee Score</v>
      </c>
      <c r="C4696" t="s">
        <v>975</v>
      </c>
      <c r="D4696" t="s">
        <v>1021</v>
      </c>
      <c r="E4696" t="s">
        <v>841</v>
      </c>
      <c r="F4696" t="s">
        <v>842</v>
      </c>
      <c r="G4696" t="s">
        <v>972</v>
      </c>
      <c r="H4696">
        <v>75</v>
      </c>
      <c r="I4696">
        <v>19.079999999999998</v>
      </c>
      <c r="J4696">
        <v>35.666699999999999</v>
      </c>
      <c r="K4696">
        <v>16.5867</v>
      </c>
      <c r="L4696">
        <v>73</v>
      </c>
      <c r="M4696">
        <v>0</v>
      </c>
      <c r="N4696">
        <v>2</v>
      </c>
      <c r="O4696">
        <v>35.1569</v>
      </c>
      <c r="P4696">
        <v>15.888299999999999</v>
      </c>
      <c r="Q4696">
        <v>8.6416000000000004</v>
      </c>
    </row>
    <row r="4697" spans="1:17" x14ac:dyDescent="0.25">
      <c r="A4697" t="str">
        <f>IF(C4697&amp;G4697&amp;D4697&lt;&gt;'Funnel setup'!$K$3&amp;'Funnel setup'!$K$4&amp;'Funnel setup'!$K$6,".",IF(A4696=".",1,A4696+1))</f>
        <v>.</v>
      </c>
      <c r="B4697" s="244" t="str">
        <f t="shared" si="73"/>
        <v>Total Knee ReplacementSub-ICB of GP PracticeNHS HUMBER AND NORTH YORKSHIRE ICB - 42D (42D)Oxford Knee Score</v>
      </c>
      <c r="C4697" t="s">
        <v>975</v>
      </c>
      <c r="D4697" t="s">
        <v>1021</v>
      </c>
      <c r="E4697" t="s">
        <v>843</v>
      </c>
      <c r="F4697" t="s">
        <v>844</v>
      </c>
      <c r="G4697" t="s">
        <v>972</v>
      </c>
      <c r="H4697">
        <v>215</v>
      </c>
      <c r="I4697">
        <v>18.213999999999999</v>
      </c>
      <c r="J4697">
        <v>38.023299999999999</v>
      </c>
      <c r="K4697">
        <v>19.8093</v>
      </c>
      <c r="L4697">
        <v>210</v>
      </c>
      <c r="M4697">
        <v>3</v>
      </c>
      <c r="N4697">
        <v>2</v>
      </c>
      <c r="O4697">
        <v>38.066299999999998</v>
      </c>
      <c r="P4697">
        <v>18.797699999999999</v>
      </c>
      <c r="Q4697">
        <v>7.8346099999999996</v>
      </c>
    </row>
    <row r="4698" spans="1:17" x14ac:dyDescent="0.25">
      <c r="A4698" t="str">
        <f>IF(C4698&amp;G4698&amp;D4698&lt;&gt;'Funnel setup'!$K$3&amp;'Funnel setup'!$K$4&amp;'Funnel setup'!$K$6,".",IF(A4697=".",1,A4697+1))</f>
        <v>.</v>
      </c>
      <c r="B4698" s="244" t="str">
        <f t="shared" si="73"/>
        <v>Total Knee ReplacementSub-ICB of GP PracticeNHS KENT AND MEDWAY ICB - 91Q (91Q)Oxford Knee Score</v>
      </c>
      <c r="C4698" t="s">
        <v>975</v>
      </c>
      <c r="D4698" t="s">
        <v>1021</v>
      </c>
      <c r="E4698" t="s">
        <v>845</v>
      </c>
      <c r="F4698" t="s">
        <v>846</v>
      </c>
      <c r="G4698" t="s">
        <v>972</v>
      </c>
      <c r="H4698">
        <v>614</v>
      </c>
      <c r="I4698">
        <v>21.267099999999999</v>
      </c>
      <c r="J4698">
        <v>38.123800000000003</v>
      </c>
      <c r="K4698">
        <v>16.8567</v>
      </c>
      <c r="L4698">
        <v>580</v>
      </c>
      <c r="M4698">
        <v>5</v>
      </c>
      <c r="N4698">
        <v>29</v>
      </c>
      <c r="O4698">
        <v>37.204999999999998</v>
      </c>
      <c r="P4698">
        <v>17.936399999999999</v>
      </c>
      <c r="Q4698">
        <v>7.8980499999999996</v>
      </c>
    </row>
    <row r="4699" spans="1:17" x14ac:dyDescent="0.25">
      <c r="A4699" t="str">
        <f>IF(C4699&amp;G4699&amp;D4699&lt;&gt;'Funnel setup'!$K$3&amp;'Funnel setup'!$K$4&amp;'Funnel setup'!$K$6,".",IF(A4698=".",1,A4698+1))</f>
        <v>.</v>
      </c>
      <c r="B4699" s="244" t="str">
        <f t="shared" si="73"/>
        <v>Total Knee ReplacementSub-ICB of GP PracticeNHS LANCASHIRE AND SOUTH CUMBRIA ICB - 00Q (00Q)Oxford Knee Score</v>
      </c>
      <c r="C4699" t="s">
        <v>975</v>
      </c>
      <c r="D4699" t="s">
        <v>1021</v>
      </c>
      <c r="E4699" t="s">
        <v>847</v>
      </c>
      <c r="F4699" t="s">
        <v>848</v>
      </c>
      <c r="G4699" t="s">
        <v>972</v>
      </c>
      <c r="H4699">
        <v>51</v>
      </c>
      <c r="I4699">
        <v>19.039200000000001</v>
      </c>
      <c r="J4699">
        <v>32.431399999999996</v>
      </c>
      <c r="K4699">
        <v>13.392200000000001</v>
      </c>
      <c r="L4699">
        <v>44</v>
      </c>
      <c r="M4699">
        <v>2</v>
      </c>
      <c r="N4699">
        <v>5</v>
      </c>
      <c r="O4699">
        <v>32.802700000000002</v>
      </c>
      <c r="P4699">
        <v>13.5341</v>
      </c>
      <c r="Q4699">
        <v>10.6083</v>
      </c>
    </row>
    <row r="4700" spans="1:17" x14ac:dyDescent="0.25">
      <c r="A4700" t="str">
        <f>IF(C4700&amp;G4700&amp;D4700&lt;&gt;'Funnel setup'!$K$3&amp;'Funnel setup'!$K$4&amp;'Funnel setup'!$K$6,".",IF(A4699=".",1,A4699+1))</f>
        <v>.</v>
      </c>
      <c r="B4700" s="244" t="str">
        <f t="shared" si="73"/>
        <v>Total Knee ReplacementSub-ICB of GP PracticeNHS LANCASHIRE AND SOUTH CUMBRIA ICB - 00R (00R)Oxford Knee Score</v>
      </c>
      <c r="C4700" t="s">
        <v>975</v>
      </c>
      <c r="D4700" t="s">
        <v>1021</v>
      </c>
      <c r="E4700" t="s">
        <v>849</v>
      </c>
      <c r="F4700" t="s">
        <v>850</v>
      </c>
      <c r="G4700" t="s">
        <v>972</v>
      </c>
      <c r="H4700">
        <v>48</v>
      </c>
      <c r="I4700">
        <v>19.791699999999999</v>
      </c>
      <c r="J4700">
        <v>35</v>
      </c>
      <c r="K4700">
        <v>15.208299999999999</v>
      </c>
      <c r="L4700">
        <v>46</v>
      </c>
      <c r="M4700">
        <v>0</v>
      </c>
      <c r="N4700">
        <v>2</v>
      </c>
      <c r="O4700">
        <v>36.387099999999997</v>
      </c>
      <c r="P4700">
        <v>17.118400000000001</v>
      </c>
      <c r="Q4700">
        <v>8.3534500000000005</v>
      </c>
    </row>
    <row r="4701" spans="1:17" x14ac:dyDescent="0.25">
      <c r="A4701" t="str">
        <f>IF(C4701&amp;G4701&amp;D4701&lt;&gt;'Funnel setup'!$K$3&amp;'Funnel setup'!$K$4&amp;'Funnel setup'!$K$6,".",IF(A4700=".",1,A4700+1))</f>
        <v>.</v>
      </c>
      <c r="B4701" s="244" t="str">
        <f t="shared" si="73"/>
        <v>Total Knee ReplacementSub-ICB of GP PracticeNHS LANCASHIRE AND SOUTH CUMBRIA ICB - 00X (00X)Oxford Knee Score</v>
      </c>
      <c r="C4701" t="s">
        <v>975</v>
      </c>
      <c r="D4701" t="s">
        <v>1021</v>
      </c>
      <c r="E4701" t="s">
        <v>851</v>
      </c>
      <c r="F4701" t="s">
        <v>852</v>
      </c>
      <c r="G4701" t="s">
        <v>972</v>
      </c>
      <c r="H4701">
        <v>71</v>
      </c>
      <c r="I4701">
        <v>19</v>
      </c>
      <c r="J4701">
        <v>37.9437</v>
      </c>
      <c r="K4701">
        <v>18.9437</v>
      </c>
      <c r="L4701">
        <v>67</v>
      </c>
      <c r="M4701">
        <v>2</v>
      </c>
      <c r="N4701">
        <v>2</v>
      </c>
      <c r="O4701">
        <v>37.788499999999999</v>
      </c>
      <c r="P4701">
        <v>18.5199</v>
      </c>
      <c r="Q4701">
        <v>9.2505199999999999</v>
      </c>
    </row>
    <row r="4702" spans="1:17" x14ac:dyDescent="0.25">
      <c r="A4702" t="str">
        <f>IF(C4702&amp;G4702&amp;D4702&lt;&gt;'Funnel setup'!$K$3&amp;'Funnel setup'!$K$4&amp;'Funnel setup'!$K$6,".",IF(A4701=".",1,A4701+1))</f>
        <v>.</v>
      </c>
      <c r="B4702" s="244" t="str">
        <f t="shared" si="73"/>
        <v>Total Knee ReplacementSub-ICB of GP PracticeNHS LANCASHIRE AND SOUTH CUMBRIA ICB - 01A (01A)Oxford Knee Score</v>
      </c>
      <c r="C4702" t="s">
        <v>975</v>
      </c>
      <c r="D4702" t="s">
        <v>1021</v>
      </c>
      <c r="E4702" t="s">
        <v>853</v>
      </c>
      <c r="F4702" t="s">
        <v>854</v>
      </c>
      <c r="G4702" t="s">
        <v>972</v>
      </c>
      <c r="H4702">
        <v>146</v>
      </c>
      <c r="I4702">
        <v>19.911000000000001</v>
      </c>
      <c r="J4702">
        <v>37.828800000000001</v>
      </c>
      <c r="K4702">
        <v>17.9178</v>
      </c>
      <c r="L4702">
        <v>138</v>
      </c>
      <c r="M4702">
        <v>1</v>
      </c>
      <c r="N4702">
        <v>7</v>
      </c>
      <c r="O4702">
        <v>37.753500000000003</v>
      </c>
      <c r="P4702">
        <v>18.4849</v>
      </c>
      <c r="Q4702">
        <v>8.4833800000000004</v>
      </c>
    </row>
    <row r="4703" spans="1:17" x14ac:dyDescent="0.25">
      <c r="A4703" t="str">
        <f>IF(C4703&amp;G4703&amp;D4703&lt;&gt;'Funnel setup'!$K$3&amp;'Funnel setup'!$K$4&amp;'Funnel setup'!$K$6,".",IF(A4702=".",1,A4702+1))</f>
        <v>.</v>
      </c>
      <c r="B4703" s="244" t="str">
        <f t="shared" si="73"/>
        <v>Total Knee ReplacementSub-ICB of GP PracticeNHS LANCASHIRE AND SOUTH CUMBRIA ICB - 01E (01E)Oxford Knee Score</v>
      </c>
      <c r="C4703" t="s">
        <v>975</v>
      </c>
      <c r="D4703" t="s">
        <v>1021</v>
      </c>
      <c r="E4703" t="s">
        <v>855</v>
      </c>
      <c r="F4703" t="s">
        <v>856</v>
      </c>
      <c r="G4703" t="s">
        <v>972</v>
      </c>
      <c r="H4703">
        <v>75</v>
      </c>
      <c r="I4703">
        <v>19.7867</v>
      </c>
      <c r="J4703">
        <v>39.293300000000002</v>
      </c>
      <c r="K4703">
        <v>19.506699999999999</v>
      </c>
      <c r="L4703">
        <v>72</v>
      </c>
      <c r="M4703">
        <v>1</v>
      </c>
      <c r="N4703">
        <v>2</v>
      </c>
      <c r="O4703">
        <v>39.228900000000003</v>
      </c>
      <c r="P4703">
        <v>19.9603</v>
      </c>
      <c r="Q4703">
        <v>8.9538799999999998</v>
      </c>
    </row>
    <row r="4704" spans="1:17" x14ac:dyDescent="0.25">
      <c r="A4704" t="str">
        <f>IF(C4704&amp;G4704&amp;D4704&lt;&gt;'Funnel setup'!$K$3&amp;'Funnel setup'!$K$4&amp;'Funnel setup'!$K$6,".",IF(A4703=".",1,A4703+1))</f>
        <v>.</v>
      </c>
      <c r="B4704" s="244" t="str">
        <f t="shared" si="73"/>
        <v>Total Knee ReplacementSub-ICB of GP PracticeNHS LANCASHIRE AND SOUTH CUMBRIA ICB - 01K (01K)Oxford Knee Score</v>
      </c>
      <c r="C4704" t="s">
        <v>975</v>
      </c>
      <c r="D4704" t="s">
        <v>1021</v>
      </c>
      <c r="E4704" t="s">
        <v>857</v>
      </c>
      <c r="F4704" t="s">
        <v>858</v>
      </c>
      <c r="G4704" t="s">
        <v>972</v>
      </c>
      <c r="H4704">
        <v>191</v>
      </c>
      <c r="I4704">
        <v>20.329799999999999</v>
      </c>
      <c r="J4704">
        <v>37.911000000000001</v>
      </c>
      <c r="K4704">
        <v>17.581199999999999</v>
      </c>
      <c r="L4704">
        <v>179</v>
      </c>
      <c r="M4704">
        <v>1</v>
      </c>
      <c r="N4704">
        <v>11</v>
      </c>
      <c r="O4704">
        <v>37.232100000000003</v>
      </c>
      <c r="P4704">
        <v>17.9635</v>
      </c>
      <c r="Q4704">
        <v>7.7560599999999997</v>
      </c>
    </row>
    <row r="4705" spans="1:17" x14ac:dyDescent="0.25">
      <c r="A4705" t="str">
        <f>IF(C4705&amp;G4705&amp;D4705&lt;&gt;'Funnel setup'!$K$3&amp;'Funnel setup'!$K$4&amp;'Funnel setup'!$K$6,".",IF(A4704=".",1,A4704+1))</f>
        <v>.</v>
      </c>
      <c r="B4705" s="244" t="str">
        <f t="shared" si="73"/>
        <v>Total Knee ReplacementSub-ICB of GP PracticeNHS LANCASHIRE AND SOUTH CUMBRIA ICB - 02G (02G)Oxford Knee Score</v>
      </c>
      <c r="C4705" t="s">
        <v>975</v>
      </c>
      <c r="D4705" t="s">
        <v>1021</v>
      </c>
      <c r="E4705" t="s">
        <v>859</v>
      </c>
      <c r="F4705" t="s">
        <v>860</v>
      </c>
      <c r="G4705" t="s">
        <v>972</v>
      </c>
      <c r="H4705">
        <v>22</v>
      </c>
      <c r="I4705">
        <v>15.818199999999999</v>
      </c>
      <c r="J4705">
        <v>39.636400000000002</v>
      </c>
      <c r="K4705">
        <v>23.818200000000001</v>
      </c>
      <c r="L4705">
        <v>22</v>
      </c>
      <c r="M4705">
        <v>0</v>
      </c>
      <c r="N4705">
        <v>0</v>
      </c>
      <c r="O4705" t="s">
        <v>127</v>
      </c>
      <c r="P4705" t="s">
        <v>127</v>
      </c>
      <c r="Q4705" t="s">
        <v>127</v>
      </c>
    </row>
    <row r="4706" spans="1:17" x14ac:dyDescent="0.25">
      <c r="A4706" t="str">
        <f>IF(C4706&amp;G4706&amp;D4706&lt;&gt;'Funnel setup'!$K$3&amp;'Funnel setup'!$K$4&amp;'Funnel setup'!$K$6,".",IF(A4705=".",1,A4705+1))</f>
        <v>.</v>
      </c>
      <c r="B4706" s="244" t="str">
        <f t="shared" si="73"/>
        <v>Total Knee ReplacementSub-ICB of GP PracticeNHS LANCASHIRE AND SOUTH CUMBRIA ICB - 02M (02M)Oxford Knee Score</v>
      </c>
      <c r="C4706" t="s">
        <v>975</v>
      </c>
      <c r="D4706" t="s">
        <v>1021</v>
      </c>
      <c r="E4706" t="s">
        <v>861</v>
      </c>
      <c r="F4706" t="s">
        <v>862</v>
      </c>
      <c r="G4706" t="s">
        <v>972</v>
      </c>
      <c r="H4706">
        <v>71</v>
      </c>
      <c r="I4706">
        <v>22.126799999999999</v>
      </c>
      <c r="J4706">
        <v>37.549300000000002</v>
      </c>
      <c r="K4706">
        <v>15.422499999999999</v>
      </c>
      <c r="L4706">
        <v>65</v>
      </c>
      <c r="M4706">
        <v>1</v>
      </c>
      <c r="N4706">
        <v>5</v>
      </c>
      <c r="O4706">
        <v>36.148899999999998</v>
      </c>
      <c r="P4706">
        <v>16.880199999999999</v>
      </c>
      <c r="Q4706">
        <v>8.1343800000000002</v>
      </c>
    </row>
    <row r="4707" spans="1:17" x14ac:dyDescent="0.25">
      <c r="A4707" t="str">
        <f>IF(C4707&amp;G4707&amp;D4707&lt;&gt;'Funnel setup'!$K$3&amp;'Funnel setup'!$K$4&amp;'Funnel setup'!$K$6,".",IF(A4706=".",1,A4706+1))</f>
        <v>.</v>
      </c>
      <c r="B4707" s="244" t="str">
        <f t="shared" si="73"/>
        <v>Total Knee ReplacementSub-ICB of GP PracticeNHS LEICESTER, LEICESTERSHIRE AND RUTLAND ICB - 03W (03W)Oxford Knee Score</v>
      </c>
      <c r="C4707" t="s">
        <v>975</v>
      </c>
      <c r="D4707" t="s">
        <v>1021</v>
      </c>
      <c r="E4707" t="s">
        <v>863</v>
      </c>
      <c r="F4707" t="s">
        <v>864</v>
      </c>
      <c r="G4707" t="s">
        <v>972</v>
      </c>
      <c r="H4707">
        <v>151</v>
      </c>
      <c r="I4707">
        <v>18.542999999999999</v>
      </c>
      <c r="J4707">
        <v>37.006599999999999</v>
      </c>
      <c r="K4707">
        <v>18.4636</v>
      </c>
      <c r="L4707">
        <v>145</v>
      </c>
      <c r="M4707">
        <v>1</v>
      </c>
      <c r="N4707">
        <v>5</v>
      </c>
      <c r="O4707">
        <v>37.006100000000004</v>
      </c>
      <c r="P4707">
        <v>17.737400000000001</v>
      </c>
      <c r="Q4707">
        <v>7.5447499999999996</v>
      </c>
    </row>
    <row r="4708" spans="1:17" x14ac:dyDescent="0.25">
      <c r="A4708" t="str">
        <f>IF(C4708&amp;G4708&amp;D4708&lt;&gt;'Funnel setup'!$K$3&amp;'Funnel setup'!$K$4&amp;'Funnel setup'!$K$6,".",IF(A4707=".",1,A4707+1))</f>
        <v>.</v>
      </c>
      <c r="B4708" s="244" t="str">
        <f t="shared" si="73"/>
        <v>Total Knee ReplacementSub-ICB of GP PracticeNHS LEICESTER, LEICESTERSHIRE AND RUTLAND ICB - 04C (04C)Oxford Knee Score</v>
      </c>
      <c r="C4708" t="s">
        <v>975</v>
      </c>
      <c r="D4708" t="s">
        <v>1021</v>
      </c>
      <c r="E4708" t="s">
        <v>865</v>
      </c>
      <c r="F4708" t="s">
        <v>866</v>
      </c>
      <c r="G4708" t="s">
        <v>972</v>
      </c>
      <c r="H4708">
        <v>49</v>
      </c>
      <c r="I4708">
        <v>16.918399999999998</v>
      </c>
      <c r="J4708">
        <v>29.2041</v>
      </c>
      <c r="K4708">
        <v>12.2857</v>
      </c>
      <c r="L4708">
        <v>43</v>
      </c>
      <c r="M4708">
        <v>1</v>
      </c>
      <c r="N4708">
        <v>5</v>
      </c>
      <c r="O4708">
        <v>32.586199999999998</v>
      </c>
      <c r="P4708">
        <v>13.317500000000001</v>
      </c>
      <c r="Q4708">
        <v>8.9499600000000008</v>
      </c>
    </row>
    <row r="4709" spans="1:17" x14ac:dyDescent="0.25">
      <c r="A4709" t="str">
        <f>IF(C4709&amp;G4709&amp;D4709&lt;&gt;'Funnel setup'!$K$3&amp;'Funnel setup'!$K$4&amp;'Funnel setup'!$K$6,".",IF(A4708=".",1,A4708+1))</f>
        <v>.</v>
      </c>
      <c r="B4709" s="244" t="str">
        <f t="shared" si="73"/>
        <v>Total Knee ReplacementSub-ICB of GP PracticeNHS LEICESTER, LEICESTERSHIRE AND RUTLAND ICB - 04V (04V)Oxford Knee Score</v>
      </c>
      <c r="C4709" t="s">
        <v>975</v>
      </c>
      <c r="D4709" t="s">
        <v>1021</v>
      </c>
      <c r="E4709" t="s">
        <v>867</v>
      </c>
      <c r="F4709" t="s">
        <v>868</v>
      </c>
      <c r="G4709" t="s">
        <v>972</v>
      </c>
      <c r="H4709">
        <v>170</v>
      </c>
      <c r="I4709">
        <v>17.6647</v>
      </c>
      <c r="J4709">
        <v>35.688200000000002</v>
      </c>
      <c r="K4709">
        <v>18.023499999999999</v>
      </c>
      <c r="L4709">
        <v>162</v>
      </c>
      <c r="M4709">
        <v>2</v>
      </c>
      <c r="N4709">
        <v>6</v>
      </c>
      <c r="O4709">
        <v>36.3245</v>
      </c>
      <c r="P4709">
        <v>17.055900000000001</v>
      </c>
      <c r="Q4709">
        <v>8.2380600000000008</v>
      </c>
    </row>
    <row r="4710" spans="1:17" x14ac:dyDescent="0.25">
      <c r="A4710" t="str">
        <f>IF(C4710&amp;G4710&amp;D4710&lt;&gt;'Funnel setup'!$K$3&amp;'Funnel setup'!$K$4&amp;'Funnel setup'!$K$6,".",IF(A4709=".",1,A4709+1))</f>
        <v>.</v>
      </c>
      <c r="B4710" s="244" t="str">
        <f t="shared" si="73"/>
        <v>Total Knee ReplacementSub-ICB of GP PracticeNHS LINCOLNSHIRE ICB - 71E (71E)Oxford Knee Score</v>
      </c>
      <c r="C4710" t="s">
        <v>975</v>
      </c>
      <c r="D4710" t="s">
        <v>1021</v>
      </c>
      <c r="E4710" t="s">
        <v>869</v>
      </c>
      <c r="F4710" t="s">
        <v>870</v>
      </c>
      <c r="G4710" t="s">
        <v>972</v>
      </c>
      <c r="H4710">
        <v>302</v>
      </c>
      <c r="I4710">
        <v>20.1556</v>
      </c>
      <c r="J4710">
        <v>38.042999999999999</v>
      </c>
      <c r="K4710">
        <v>17.8874</v>
      </c>
      <c r="L4710">
        <v>291</v>
      </c>
      <c r="M4710">
        <v>4</v>
      </c>
      <c r="N4710">
        <v>7</v>
      </c>
      <c r="O4710">
        <v>37.091799999999999</v>
      </c>
      <c r="P4710">
        <v>17.8232</v>
      </c>
      <c r="Q4710">
        <v>7.3430900000000001</v>
      </c>
    </row>
    <row r="4711" spans="1:17" x14ac:dyDescent="0.25">
      <c r="A4711" t="str">
        <f>IF(C4711&amp;G4711&amp;D4711&lt;&gt;'Funnel setup'!$K$3&amp;'Funnel setup'!$K$4&amp;'Funnel setup'!$K$6,".",IF(A4710=".",1,A4710+1))</f>
        <v>.</v>
      </c>
      <c r="B4711" s="244" t="str">
        <f t="shared" si="73"/>
        <v>Total Knee ReplacementSub-ICB of GP PracticeNHS MID AND SOUTH ESSEX ICB - 06Q (06Q)Oxford Knee Score</v>
      </c>
      <c r="C4711" t="s">
        <v>975</v>
      </c>
      <c r="D4711" t="s">
        <v>1021</v>
      </c>
      <c r="E4711" t="s">
        <v>871</v>
      </c>
      <c r="F4711" t="s">
        <v>872</v>
      </c>
      <c r="G4711" t="s">
        <v>972</v>
      </c>
      <c r="H4711">
        <v>132</v>
      </c>
      <c r="I4711">
        <v>18.068200000000001</v>
      </c>
      <c r="J4711">
        <v>37.060600000000001</v>
      </c>
      <c r="K4711">
        <v>18.9924</v>
      </c>
      <c r="L4711">
        <v>125</v>
      </c>
      <c r="M4711">
        <v>1</v>
      </c>
      <c r="N4711">
        <v>6</v>
      </c>
      <c r="O4711">
        <v>36.696899999999999</v>
      </c>
      <c r="P4711">
        <v>17.4282</v>
      </c>
      <c r="Q4711">
        <v>9.8477700000000006</v>
      </c>
    </row>
    <row r="4712" spans="1:17" x14ac:dyDescent="0.25">
      <c r="A4712" t="str">
        <f>IF(C4712&amp;G4712&amp;D4712&lt;&gt;'Funnel setup'!$K$3&amp;'Funnel setup'!$K$4&amp;'Funnel setup'!$K$6,".",IF(A4711=".",1,A4711+1))</f>
        <v>.</v>
      </c>
      <c r="B4712" s="244" t="str">
        <f t="shared" si="73"/>
        <v>Total Knee ReplacementSub-ICB of GP PracticeNHS MID AND SOUTH ESSEX ICB - 07G (07G)Oxford Knee Score</v>
      </c>
      <c r="C4712" t="s">
        <v>975</v>
      </c>
      <c r="D4712" t="s">
        <v>1021</v>
      </c>
      <c r="E4712" t="s">
        <v>873</v>
      </c>
      <c r="F4712" t="s">
        <v>874</v>
      </c>
      <c r="G4712" t="s">
        <v>972</v>
      </c>
      <c r="H4712">
        <v>31</v>
      </c>
      <c r="I4712">
        <v>15.129</v>
      </c>
      <c r="J4712">
        <v>36.258099999999999</v>
      </c>
      <c r="K4712">
        <v>21.129000000000001</v>
      </c>
      <c r="L4712">
        <v>30</v>
      </c>
      <c r="M4712">
        <v>0</v>
      </c>
      <c r="N4712">
        <v>1</v>
      </c>
      <c r="O4712">
        <v>39.159300000000002</v>
      </c>
      <c r="P4712">
        <v>19.890699999999999</v>
      </c>
      <c r="Q4712">
        <v>9.1222999999999992</v>
      </c>
    </row>
    <row r="4713" spans="1:17" x14ac:dyDescent="0.25">
      <c r="A4713" t="str">
        <f>IF(C4713&amp;G4713&amp;D4713&lt;&gt;'Funnel setup'!$K$3&amp;'Funnel setup'!$K$4&amp;'Funnel setup'!$K$6,".",IF(A4712=".",1,A4712+1))</f>
        <v>.</v>
      </c>
      <c r="B4713" s="244" t="str">
        <f t="shared" si="73"/>
        <v>Total Knee ReplacementSub-ICB of GP PracticeNHS MID AND SOUTH ESSEX ICB - 99E (99E)Oxford Knee Score</v>
      </c>
      <c r="C4713" t="s">
        <v>975</v>
      </c>
      <c r="D4713" t="s">
        <v>1021</v>
      </c>
      <c r="E4713" t="s">
        <v>875</v>
      </c>
      <c r="F4713" t="s">
        <v>876</v>
      </c>
      <c r="G4713" t="s">
        <v>972</v>
      </c>
      <c r="H4713">
        <v>61</v>
      </c>
      <c r="I4713">
        <v>16.721299999999999</v>
      </c>
      <c r="J4713">
        <v>35.360700000000001</v>
      </c>
      <c r="K4713">
        <v>18.639299999999999</v>
      </c>
      <c r="L4713">
        <v>56</v>
      </c>
      <c r="M4713">
        <v>0</v>
      </c>
      <c r="N4713">
        <v>5</v>
      </c>
      <c r="O4713">
        <v>36.603200000000001</v>
      </c>
      <c r="P4713">
        <v>17.334599999999998</v>
      </c>
      <c r="Q4713">
        <v>11.2173</v>
      </c>
    </row>
    <row r="4714" spans="1:17" x14ac:dyDescent="0.25">
      <c r="A4714" t="str">
        <f>IF(C4714&amp;G4714&amp;D4714&lt;&gt;'Funnel setup'!$K$3&amp;'Funnel setup'!$K$4&amp;'Funnel setup'!$K$6,".",IF(A4713=".",1,A4713+1))</f>
        <v>.</v>
      </c>
      <c r="B4714" s="244" t="str">
        <f t="shared" si="73"/>
        <v>Total Knee ReplacementSub-ICB of GP PracticeNHS MID AND SOUTH ESSEX ICB - 99F (99F)Oxford Knee Score</v>
      </c>
      <c r="C4714" t="s">
        <v>975</v>
      </c>
      <c r="D4714" t="s">
        <v>1021</v>
      </c>
      <c r="E4714" t="s">
        <v>877</v>
      </c>
      <c r="F4714" t="s">
        <v>878</v>
      </c>
      <c r="G4714" t="s">
        <v>972</v>
      </c>
      <c r="H4714">
        <v>36</v>
      </c>
      <c r="I4714">
        <v>18</v>
      </c>
      <c r="J4714">
        <v>33.694400000000002</v>
      </c>
      <c r="K4714">
        <v>15.6944</v>
      </c>
      <c r="L4714">
        <v>32</v>
      </c>
      <c r="M4714">
        <v>1</v>
      </c>
      <c r="N4714">
        <v>3</v>
      </c>
      <c r="O4714">
        <v>34.019199999999998</v>
      </c>
      <c r="P4714">
        <v>14.750500000000001</v>
      </c>
      <c r="Q4714">
        <v>10.6492</v>
      </c>
    </row>
    <row r="4715" spans="1:17" x14ac:dyDescent="0.25">
      <c r="A4715" t="str">
        <f>IF(C4715&amp;G4715&amp;D4715&lt;&gt;'Funnel setup'!$K$3&amp;'Funnel setup'!$K$4&amp;'Funnel setup'!$K$6,".",IF(A4714=".",1,A4714+1))</f>
        <v>.</v>
      </c>
      <c r="B4715" s="244" t="str">
        <f t="shared" si="73"/>
        <v>Total Knee ReplacementSub-ICB of GP PracticeNHS MID AND SOUTH ESSEX ICB - 99G (99G)Oxford Knee Score</v>
      </c>
      <c r="C4715" t="s">
        <v>975</v>
      </c>
      <c r="D4715" t="s">
        <v>1021</v>
      </c>
      <c r="E4715" t="s">
        <v>879</v>
      </c>
      <c r="F4715" t="s">
        <v>880</v>
      </c>
      <c r="G4715" t="s">
        <v>972</v>
      </c>
      <c r="H4715">
        <v>13</v>
      </c>
      <c r="I4715">
        <v>19.692299999999999</v>
      </c>
      <c r="J4715">
        <v>36.923099999999998</v>
      </c>
      <c r="K4715">
        <v>17.230799999999999</v>
      </c>
      <c r="L4715">
        <v>11</v>
      </c>
      <c r="M4715">
        <v>0</v>
      </c>
      <c r="N4715">
        <v>2</v>
      </c>
      <c r="O4715" t="s">
        <v>127</v>
      </c>
      <c r="P4715" t="s">
        <v>127</v>
      </c>
      <c r="Q4715" t="s">
        <v>127</v>
      </c>
    </row>
    <row r="4716" spans="1:17" x14ac:dyDescent="0.25">
      <c r="A4716" t="str">
        <f>IF(C4716&amp;G4716&amp;D4716&lt;&gt;'Funnel setup'!$K$3&amp;'Funnel setup'!$K$4&amp;'Funnel setup'!$K$6,".",IF(A4715=".",1,A4715+1))</f>
        <v>.</v>
      </c>
      <c r="B4716" s="244" t="str">
        <f t="shared" si="73"/>
        <v>Total Knee ReplacementSub-ICB of GP PracticeNHS NORFOLK AND WAVENEY ICB - 26A (26A)Oxford Knee Score</v>
      </c>
      <c r="C4716" t="s">
        <v>975</v>
      </c>
      <c r="D4716" t="s">
        <v>1021</v>
      </c>
      <c r="E4716" t="s">
        <v>881</v>
      </c>
      <c r="F4716" t="s">
        <v>882</v>
      </c>
      <c r="G4716" t="s">
        <v>972</v>
      </c>
      <c r="H4716">
        <v>339</v>
      </c>
      <c r="I4716">
        <v>17.244800000000001</v>
      </c>
      <c r="J4716">
        <v>34.914499999999997</v>
      </c>
      <c r="K4716">
        <v>17.669599999999999</v>
      </c>
      <c r="L4716">
        <v>322</v>
      </c>
      <c r="M4716">
        <v>4</v>
      </c>
      <c r="N4716">
        <v>13</v>
      </c>
      <c r="O4716">
        <v>36.28</v>
      </c>
      <c r="P4716">
        <v>17.011399999999998</v>
      </c>
      <c r="Q4716">
        <v>8.7979599999999998</v>
      </c>
    </row>
    <row r="4717" spans="1:17" x14ac:dyDescent="0.25">
      <c r="A4717" t="str">
        <f>IF(C4717&amp;G4717&amp;D4717&lt;&gt;'Funnel setup'!$K$3&amp;'Funnel setup'!$K$4&amp;'Funnel setup'!$K$6,".",IF(A4716=".",1,A4716+1))</f>
        <v>.</v>
      </c>
      <c r="B4717" s="244" t="str">
        <f t="shared" si="73"/>
        <v>Total Knee ReplacementSub-ICB of GP PracticeNHS NORTH CENTRAL LONDON ICB - 93C (93C)Oxford Knee Score</v>
      </c>
      <c r="C4717" t="s">
        <v>975</v>
      </c>
      <c r="D4717" t="s">
        <v>1021</v>
      </c>
      <c r="E4717" t="s">
        <v>883</v>
      </c>
      <c r="F4717" t="s">
        <v>884</v>
      </c>
      <c r="G4717" t="s">
        <v>972</v>
      </c>
      <c r="H4717">
        <v>172</v>
      </c>
      <c r="I4717">
        <v>20.924399999999999</v>
      </c>
      <c r="J4717">
        <v>35.232599999999998</v>
      </c>
      <c r="K4717">
        <v>14.3081</v>
      </c>
      <c r="L4717">
        <v>154</v>
      </c>
      <c r="M4717">
        <v>2</v>
      </c>
      <c r="N4717">
        <v>16</v>
      </c>
      <c r="O4717">
        <v>35.519500000000001</v>
      </c>
      <c r="P4717">
        <v>16.250900000000001</v>
      </c>
      <c r="Q4717">
        <v>8.6821699999999993</v>
      </c>
    </row>
    <row r="4718" spans="1:17" x14ac:dyDescent="0.25">
      <c r="A4718" t="str">
        <f>IF(C4718&amp;G4718&amp;D4718&lt;&gt;'Funnel setup'!$K$3&amp;'Funnel setup'!$K$4&amp;'Funnel setup'!$K$6,".",IF(A4717=".",1,A4717+1))</f>
        <v>.</v>
      </c>
      <c r="B4718" s="244" t="str">
        <f t="shared" si="73"/>
        <v>Total Knee ReplacementSub-ICB of GP PracticeNHS NORTH EAST AND NORTH CUMBRIA ICB - 00L (00L)Oxford Knee Score</v>
      </c>
      <c r="C4718" t="s">
        <v>975</v>
      </c>
      <c r="D4718" t="s">
        <v>1021</v>
      </c>
      <c r="E4718" t="s">
        <v>885</v>
      </c>
      <c r="F4718" t="s">
        <v>886</v>
      </c>
      <c r="G4718" t="s">
        <v>972</v>
      </c>
      <c r="H4718">
        <v>211</v>
      </c>
      <c r="I4718">
        <v>18.554500000000001</v>
      </c>
      <c r="J4718">
        <v>38.246400000000001</v>
      </c>
      <c r="K4718">
        <v>19.6919</v>
      </c>
      <c r="L4718">
        <v>208</v>
      </c>
      <c r="M4718">
        <v>0</v>
      </c>
      <c r="N4718">
        <v>3</v>
      </c>
      <c r="O4718">
        <v>38.451799999999999</v>
      </c>
      <c r="P4718">
        <v>19.183199999999999</v>
      </c>
      <c r="Q4718">
        <v>7.8397300000000003</v>
      </c>
    </row>
    <row r="4719" spans="1:17" x14ac:dyDescent="0.25">
      <c r="A4719" t="str">
        <f>IF(C4719&amp;G4719&amp;D4719&lt;&gt;'Funnel setup'!$K$3&amp;'Funnel setup'!$K$4&amp;'Funnel setup'!$K$6,".",IF(A4718=".",1,A4718+1))</f>
        <v>.</v>
      </c>
      <c r="B4719" s="244" t="str">
        <f t="shared" si="73"/>
        <v>Total Knee ReplacementSub-ICB of GP PracticeNHS NORTH EAST AND NORTH CUMBRIA ICB - 00N (00N)Oxford Knee Score</v>
      </c>
      <c r="C4719" t="s">
        <v>975</v>
      </c>
      <c r="D4719" t="s">
        <v>1021</v>
      </c>
      <c r="E4719" t="s">
        <v>887</v>
      </c>
      <c r="F4719" t="s">
        <v>888</v>
      </c>
      <c r="G4719" t="s">
        <v>972</v>
      </c>
      <c r="H4719">
        <v>9</v>
      </c>
      <c r="I4719">
        <v>17.555599999999998</v>
      </c>
      <c r="J4719">
        <v>41.333300000000001</v>
      </c>
      <c r="K4719">
        <v>23.777799999999999</v>
      </c>
      <c r="L4719">
        <v>9</v>
      </c>
      <c r="M4719">
        <v>0</v>
      </c>
      <c r="N4719">
        <v>0</v>
      </c>
      <c r="O4719" t="s">
        <v>127</v>
      </c>
      <c r="P4719" t="s">
        <v>127</v>
      </c>
      <c r="Q4719" t="s">
        <v>127</v>
      </c>
    </row>
    <row r="4720" spans="1:17" x14ac:dyDescent="0.25">
      <c r="A4720" t="str">
        <f>IF(C4720&amp;G4720&amp;D4720&lt;&gt;'Funnel setup'!$K$3&amp;'Funnel setup'!$K$4&amp;'Funnel setup'!$K$6,".",IF(A4719=".",1,A4719+1))</f>
        <v>.</v>
      </c>
      <c r="B4720" s="244" t="str">
        <f t="shared" si="73"/>
        <v>Total Knee ReplacementSub-ICB of GP PracticeNHS NORTH EAST AND NORTH CUMBRIA ICB - 00P (00P)Oxford Knee Score</v>
      </c>
      <c r="C4720" t="s">
        <v>975</v>
      </c>
      <c r="D4720" t="s">
        <v>1021</v>
      </c>
      <c r="E4720" t="s">
        <v>889</v>
      </c>
      <c r="F4720" t="s">
        <v>890</v>
      </c>
      <c r="G4720" t="s">
        <v>972</v>
      </c>
      <c r="H4720">
        <v>25</v>
      </c>
      <c r="I4720">
        <v>16.04</v>
      </c>
      <c r="J4720">
        <v>35.6</v>
      </c>
      <c r="K4720">
        <v>19.559999999999999</v>
      </c>
      <c r="L4720">
        <v>24</v>
      </c>
      <c r="M4720">
        <v>0</v>
      </c>
      <c r="N4720">
        <v>1</v>
      </c>
      <c r="O4720" t="s">
        <v>127</v>
      </c>
      <c r="P4720" t="s">
        <v>127</v>
      </c>
      <c r="Q4720" t="s">
        <v>127</v>
      </c>
    </row>
    <row r="4721" spans="1:17" x14ac:dyDescent="0.25">
      <c r="A4721" t="str">
        <f>IF(C4721&amp;G4721&amp;D4721&lt;&gt;'Funnel setup'!$K$3&amp;'Funnel setup'!$K$4&amp;'Funnel setup'!$K$6,".",IF(A4720=".",1,A4720+1))</f>
        <v>.</v>
      </c>
      <c r="B4721" s="244" t="str">
        <f t="shared" si="73"/>
        <v>Total Knee ReplacementSub-ICB of GP PracticeNHS NORTH EAST AND NORTH CUMBRIA ICB - 01H (01H)Oxford Knee Score</v>
      </c>
      <c r="C4721" t="s">
        <v>975</v>
      </c>
      <c r="D4721" t="s">
        <v>1021</v>
      </c>
      <c r="E4721" t="s">
        <v>891</v>
      </c>
      <c r="F4721" t="s">
        <v>892</v>
      </c>
      <c r="G4721" t="s">
        <v>972</v>
      </c>
      <c r="H4721">
        <v>229</v>
      </c>
      <c r="I4721">
        <v>18.458500000000001</v>
      </c>
      <c r="J4721">
        <v>37.886499999999998</v>
      </c>
      <c r="K4721">
        <v>19.427900000000001</v>
      </c>
      <c r="L4721">
        <v>225</v>
      </c>
      <c r="M4721">
        <v>0</v>
      </c>
      <c r="N4721">
        <v>4</v>
      </c>
      <c r="O4721">
        <v>37.940600000000003</v>
      </c>
      <c r="P4721">
        <v>18.672000000000001</v>
      </c>
      <c r="Q4721">
        <v>7.5828699999999998</v>
      </c>
    </row>
    <row r="4722" spans="1:17" x14ac:dyDescent="0.25">
      <c r="A4722" t="str">
        <f>IF(C4722&amp;G4722&amp;D4722&lt;&gt;'Funnel setup'!$K$3&amp;'Funnel setup'!$K$4&amp;'Funnel setup'!$K$6,".",IF(A4721=".",1,A4721+1))</f>
        <v>.</v>
      </c>
      <c r="B4722" s="244" t="str">
        <f t="shared" si="73"/>
        <v>Total Knee ReplacementSub-ICB of GP PracticeNHS NORTH EAST AND NORTH CUMBRIA ICB - 13T (13T)Oxford Knee Score</v>
      </c>
      <c r="C4722" t="s">
        <v>975</v>
      </c>
      <c r="D4722" t="s">
        <v>1021</v>
      </c>
      <c r="E4722" t="s">
        <v>893</v>
      </c>
      <c r="F4722" t="s">
        <v>894</v>
      </c>
      <c r="G4722" t="s">
        <v>972</v>
      </c>
      <c r="H4722">
        <v>69</v>
      </c>
      <c r="I4722">
        <v>17.536200000000001</v>
      </c>
      <c r="J4722">
        <v>35.724600000000002</v>
      </c>
      <c r="K4722">
        <v>18.188400000000001</v>
      </c>
      <c r="L4722">
        <v>66</v>
      </c>
      <c r="M4722">
        <v>0</v>
      </c>
      <c r="N4722">
        <v>3</v>
      </c>
      <c r="O4722">
        <v>36.962000000000003</v>
      </c>
      <c r="P4722">
        <v>17.693300000000001</v>
      </c>
      <c r="Q4722">
        <v>9.2876300000000001</v>
      </c>
    </row>
    <row r="4723" spans="1:17" x14ac:dyDescent="0.25">
      <c r="A4723" t="str">
        <f>IF(C4723&amp;G4723&amp;D4723&lt;&gt;'Funnel setup'!$K$3&amp;'Funnel setup'!$K$4&amp;'Funnel setup'!$K$6,".",IF(A4722=".",1,A4722+1))</f>
        <v>.</v>
      </c>
      <c r="B4723" s="244" t="str">
        <f t="shared" si="73"/>
        <v>Total Knee ReplacementSub-ICB of GP PracticeNHS NORTH EAST AND NORTH CUMBRIA ICB - 16C (16C)Oxford Knee Score</v>
      </c>
      <c r="C4723" t="s">
        <v>975</v>
      </c>
      <c r="D4723" t="s">
        <v>1021</v>
      </c>
      <c r="E4723" t="s">
        <v>895</v>
      </c>
      <c r="F4723" t="s">
        <v>896</v>
      </c>
      <c r="G4723" t="s">
        <v>972</v>
      </c>
      <c r="H4723">
        <v>426</v>
      </c>
      <c r="I4723">
        <v>17.819199999999999</v>
      </c>
      <c r="J4723">
        <v>36.4131</v>
      </c>
      <c r="K4723">
        <v>18.593900000000001</v>
      </c>
      <c r="L4723">
        <v>401</v>
      </c>
      <c r="M4723">
        <v>4</v>
      </c>
      <c r="N4723">
        <v>21</v>
      </c>
      <c r="O4723">
        <v>37.304200000000002</v>
      </c>
      <c r="P4723">
        <v>18.035599999999999</v>
      </c>
      <c r="Q4723">
        <v>9.2078799999999994</v>
      </c>
    </row>
    <row r="4724" spans="1:17" x14ac:dyDescent="0.25">
      <c r="A4724" t="str">
        <f>IF(C4724&amp;G4724&amp;D4724&lt;&gt;'Funnel setup'!$K$3&amp;'Funnel setup'!$K$4&amp;'Funnel setup'!$K$6,".",IF(A4723=".",1,A4723+1))</f>
        <v>.</v>
      </c>
      <c r="B4724" s="244" t="str">
        <f t="shared" si="73"/>
        <v>Total Knee ReplacementSub-ICB of GP PracticeNHS NORTH EAST AND NORTH CUMBRIA ICB - 84H (84H)Oxford Knee Score</v>
      </c>
      <c r="C4724" t="s">
        <v>975</v>
      </c>
      <c r="D4724" t="s">
        <v>1021</v>
      </c>
      <c r="E4724" t="s">
        <v>897</v>
      </c>
      <c r="F4724" t="s">
        <v>898</v>
      </c>
      <c r="G4724" t="s">
        <v>972</v>
      </c>
      <c r="H4724">
        <v>308</v>
      </c>
      <c r="I4724">
        <v>18.769500000000001</v>
      </c>
      <c r="J4724">
        <v>36.704500000000003</v>
      </c>
      <c r="K4724">
        <v>17.935099999999998</v>
      </c>
      <c r="L4724">
        <v>295</v>
      </c>
      <c r="M4724">
        <v>3</v>
      </c>
      <c r="N4724">
        <v>10</v>
      </c>
      <c r="O4724">
        <v>37.059800000000003</v>
      </c>
      <c r="P4724">
        <v>17.7912</v>
      </c>
      <c r="Q4724">
        <v>8.4618500000000001</v>
      </c>
    </row>
    <row r="4725" spans="1:17" x14ac:dyDescent="0.25">
      <c r="A4725" t="str">
        <f>IF(C4725&amp;G4725&amp;D4725&lt;&gt;'Funnel setup'!$K$3&amp;'Funnel setup'!$K$4&amp;'Funnel setup'!$K$6,".",IF(A4724=".",1,A4724+1))</f>
        <v>.</v>
      </c>
      <c r="B4725" s="244" t="str">
        <f t="shared" si="73"/>
        <v>Total Knee ReplacementSub-ICB of GP PracticeNHS NORTH EAST AND NORTH CUMBRIA ICB - 99C (99C)Oxford Knee Score</v>
      </c>
      <c r="C4725" t="s">
        <v>975</v>
      </c>
      <c r="D4725" t="s">
        <v>1021</v>
      </c>
      <c r="E4725" t="s">
        <v>899</v>
      </c>
      <c r="F4725" t="s">
        <v>900</v>
      </c>
      <c r="G4725" t="s">
        <v>972</v>
      </c>
      <c r="H4725">
        <v>107</v>
      </c>
      <c r="I4725">
        <v>19.542100000000001</v>
      </c>
      <c r="J4725">
        <v>37.485999999999997</v>
      </c>
      <c r="K4725">
        <v>17.943899999999999</v>
      </c>
      <c r="L4725">
        <v>104</v>
      </c>
      <c r="M4725">
        <v>0</v>
      </c>
      <c r="N4725">
        <v>3</v>
      </c>
      <c r="O4725">
        <v>37.569600000000001</v>
      </c>
      <c r="P4725">
        <v>18.300999999999998</v>
      </c>
      <c r="Q4725">
        <v>7.9435700000000002</v>
      </c>
    </row>
    <row r="4726" spans="1:17" x14ac:dyDescent="0.25">
      <c r="A4726" t="str">
        <f>IF(C4726&amp;G4726&amp;D4726&lt;&gt;'Funnel setup'!$K$3&amp;'Funnel setup'!$K$4&amp;'Funnel setup'!$K$6,".",IF(A4725=".",1,A4725+1))</f>
        <v>.</v>
      </c>
      <c r="B4726" s="244" t="str">
        <f t="shared" si="73"/>
        <v>Total Knee ReplacementSub-ICB of GP PracticeNHS NORTH EAST LONDON ICB - A3A8R (A3A8R)Oxford Knee Score</v>
      </c>
      <c r="C4726" t="s">
        <v>975</v>
      </c>
      <c r="D4726" t="s">
        <v>1021</v>
      </c>
      <c r="E4726" t="s">
        <v>901</v>
      </c>
      <c r="F4726" t="s">
        <v>902</v>
      </c>
      <c r="G4726" t="s">
        <v>972</v>
      </c>
      <c r="H4726">
        <v>249</v>
      </c>
      <c r="I4726">
        <v>17.501999999999999</v>
      </c>
      <c r="J4726">
        <v>33.080300000000001</v>
      </c>
      <c r="K4726">
        <v>15.5783</v>
      </c>
      <c r="L4726">
        <v>227</v>
      </c>
      <c r="M4726">
        <v>0</v>
      </c>
      <c r="N4726">
        <v>22</v>
      </c>
      <c r="O4726">
        <v>35.205800000000004</v>
      </c>
      <c r="P4726">
        <v>15.937200000000001</v>
      </c>
      <c r="Q4726">
        <v>9.3843200000000007</v>
      </c>
    </row>
    <row r="4727" spans="1:17" x14ac:dyDescent="0.25">
      <c r="A4727" t="str">
        <f>IF(C4727&amp;G4727&amp;D4727&lt;&gt;'Funnel setup'!$K$3&amp;'Funnel setup'!$K$4&amp;'Funnel setup'!$K$6,".",IF(A4726=".",1,A4726+1))</f>
        <v>.</v>
      </c>
      <c r="B4727" s="244" t="str">
        <f t="shared" si="73"/>
        <v>Total Knee ReplacementSub-ICB of GP PracticeNHS NORTH WEST LONDON ICB - W2U3Z (W2U3Z)Oxford Knee Score</v>
      </c>
      <c r="C4727" t="s">
        <v>975</v>
      </c>
      <c r="D4727" t="s">
        <v>1021</v>
      </c>
      <c r="E4727" t="s">
        <v>903</v>
      </c>
      <c r="F4727" t="s">
        <v>904</v>
      </c>
      <c r="G4727" t="s">
        <v>972</v>
      </c>
      <c r="H4727">
        <v>213</v>
      </c>
      <c r="I4727">
        <v>19.9343</v>
      </c>
      <c r="J4727">
        <v>34.506999999999998</v>
      </c>
      <c r="K4727">
        <v>14.572800000000001</v>
      </c>
      <c r="L4727">
        <v>202</v>
      </c>
      <c r="M4727">
        <v>2</v>
      </c>
      <c r="N4727">
        <v>9</v>
      </c>
      <c r="O4727">
        <v>35.067500000000003</v>
      </c>
      <c r="P4727">
        <v>15.7989</v>
      </c>
      <c r="Q4727">
        <v>8.3043899999999997</v>
      </c>
    </row>
    <row r="4728" spans="1:17" x14ac:dyDescent="0.25">
      <c r="A4728" t="str">
        <f>IF(C4728&amp;G4728&amp;D4728&lt;&gt;'Funnel setup'!$K$3&amp;'Funnel setup'!$K$4&amp;'Funnel setup'!$K$6,".",IF(A4727=".",1,A4727+1))</f>
        <v>.</v>
      </c>
      <c r="B4728" s="244" t="str">
        <f t="shared" si="73"/>
        <v>Total Knee ReplacementSub-ICB of GP PracticeNHS NORTHAMPTONSHIRE ICB - 78H (78H)Oxford Knee Score</v>
      </c>
      <c r="C4728" t="s">
        <v>975</v>
      </c>
      <c r="D4728" t="s">
        <v>1021</v>
      </c>
      <c r="E4728" t="s">
        <v>905</v>
      </c>
      <c r="F4728" t="s">
        <v>906</v>
      </c>
      <c r="G4728" t="s">
        <v>972</v>
      </c>
      <c r="H4728">
        <v>254</v>
      </c>
      <c r="I4728">
        <v>17.878</v>
      </c>
      <c r="J4728">
        <v>36.602400000000003</v>
      </c>
      <c r="K4728">
        <v>18.724399999999999</v>
      </c>
      <c r="L4728">
        <v>244</v>
      </c>
      <c r="M4728">
        <v>3</v>
      </c>
      <c r="N4728">
        <v>7</v>
      </c>
      <c r="O4728">
        <v>36.851999999999997</v>
      </c>
      <c r="P4728">
        <v>17.583300000000001</v>
      </c>
      <c r="Q4728">
        <v>8.7824100000000005</v>
      </c>
    </row>
    <row r="4729" spans="1:17" x14ac:dyDescent="0.25">
      <c r="A4729" t="str">
        <f>IF(C4729&amp;G4729&amp;D4729&lt;&gt;'Funnel setup'!$K$3&amp;'Funnel setup'!$K$4&amp;'Funnel setup'!$K$6,".",IF(A4728=".",1,A4728+1))</f>
        <v>.</v>
      </c>
      <c r="B4729" s="244" t="str">
        <f t="shared" si="73"/>
        <v>Total Knee ReplacementSub-ICB of GP PracticeNHS NOTTINGHAM AND NOTTINGHAMSHIRE ICB - 02Q (02Q)Oxford Knee Score</v>
      </c>
      <c r="C4729" t="s">
        <v>975</v>
      </c>
      <c r="D4729" t="s">
        <v>1021</v>
      </c>
      <c r="E4729" t="s">
        <v>907</v>
      </c>
      <c r="F4729" t="s">
        <v>908</v>
      </c>
      <c r="G4729" t="s">
        <v>972</v>
      </c>
      <c r="H4729">
        <v>52</v>
      </c>
      <c r="I4729">
        <v>18</v>
      </c>
      <c r="J4729">
        <v>35.557699999999997</v>
      </c>
      <c r="K4729">
        <v>17.557700000000001</v>
      </c>
      <c r="L4729">
        <v>49</v>
      </c>
      <c r="M4729">
        <v>0</v>
      </c>
      <c r="N4729">
        <v>3</v>
      </c>
      <c r="O4729">
        <v>36.609299999999998</v>
      </c>
      <c r="P4729">
        <v>17.340599999999998</v>
      </c>
      <c r="Q4729">
        <v>9.2987099999999998</v>
      </c>
    </row>
    <row r="4730" spans="1:17" x14ac:dyDescent="0.25">
      <c r="A4730" t="str">
        <f>IF(C4730&amp;G4730&amp;D4730&lt;&gt;'Funnel setup'!$K$3&amp;'Funnel setup'!$K$4&amp;'Funnel setup'!$K$6,".",IF(A4729=".",1,A4729+1))</f>
        <v>.</v>
      </c>
      <c r="B4730" s="244" t="str">
        <f t="shared" si="73"/>
        <v>Total Knee ReplacementSub-ICB of GP PracticeNHS NOTTINGHAM AND NOTTINGHAMSHIRE ICB - 52R (52R)Oxford Knee Score</v>
      </c>
      <c r="C4730" t="s">
        <v>975</v>
      </c>
      <c r="D4730" t="s">
        <v>1021</v>
      </c>
      <c r="E4730" t="s">
        <v>909</v>
      </c>
      <c r="F4730" t="s">
        <v>910</v>
      </c>
      <c r="G4730" t="s">
        <v>972</v>
      </c>
      <c r="H4730">
        <v>222</v>
      </c>
      <c r="I4730">
        <v>19.171199999999999</v>
      </c>
      <c r="J4730">
        <v>36.648600000000002</v>
      </c>
      <c r="K4730">
        <v>17.477499999999999</v>
      </c>
      <c r="L4730">
        <v>210</v>
      </c>
      <c r="M4730">
        <v>0</v>
      </c>
      <c r="N4730">
        <v>12</v>
      </c>
      <c r="O4730">
        <v>36.076500000000003</v>
      </c>
      <c r="P4730">
        <v>16.8079</v>
      </c>
      <c r="Q4730">
        <v>8.6857900000000008</v>
      </c>
    </row>
    <row r="4731" spans="1:17" x14ac:dyDescent="0.25">
      <c r="A4731" t="str">
        <f>IF(C4731&amp;G4731&amp;D4731&lt;&gt;'Funnel setup'!$K$3&amp;'Funnel setup'!$K$4&amp;'Funnel setup'!$K$6,".",IF(A4730=".",1,A4730+1))</f>
        <v>.</v>
      </c>
      <c r="B4731" s="244" t="str">
        <f t="shared" si="73"/>
        <v>Total Knee ReplacementSub-ICB of GP PracticeNHS SHROPSHIRE, TELFORD AND WREKIN ICB - M2L0M (M2L0M)Oxford Knee Score</v>
      </c>
      <c r="C4731" t="s">
        <v>975</v>
      </c>
      <c r="D4731" t="s">
        <v>1021</v>
      </c>
      <c r="E4731" t="s">
        <v>911</v>
      </c>
      <c r="F4731" t="s">
        <v>912</v>
      </c>
      <c r="G4731" t="s">
        <v>972</v>
      </c>
      <c r="H4731">
        <v>204</v>
      </c>
      <c r="I4731">
        <v>16.558800000000002</v>
      </c>
      <c r="J4731">
        <v>36.573500000000003</v>
      </c>
      <c r="K4731">
        <v>20.014700000000001</v>
      </c>
      <c r="L4731">
        <v>199</v>
      </c>
      <c r="M4731">
        <v>1</v>
      </c>
      <c r="N4731">
        <v>4</v>
      </c>
      <c r="O4731">
        <v>38.1188</v>
      </c>
      <c r="P4731">
        <v>18.850200000000001</v>
      </c>
      <c r="Q4731">
        <v>7.9798999999999998</v>
      </c>
    </row>
    <row r="4732" spans="1:17" x14ac:dyDescent="0.25">
      <c r="A4732" t="str">
        <f>IF(C4732&amp;G4732&amp;D4732&lt;&gt;'Funnel setup'!$K$3&amp;'Funnel setup'!$K$4&amp;'Funnel setup'!$K$6,".",IF(A4731=".",1,A4731+1))</f>
        <v>.</v>
      </c>
      <c r="B4732" s="244" t="str">
        <f t="shared" si="73"/>
        <v>Total Knee ReplacementSub-ICB of GP PracticeNHS SOMERSET ICB - 11X (11X)Oxford Knee Score</v>
      </c>
      <c r="C4732" t="s">
        <v>975</v>
      </c>
      <c r="D4732" t="s">
        <v>1021</v>
      </c>
      <c r="E4732" t="s">
        <v>913</v>
      </c>
      <c r="F4732" t="s">
        <v>914</v>
      </c>
      <c r="G4732" t="s">
        <v>972</v>
      </c>
      <c r="H4732">
        <v>212</v>
      </c>
      <c r="I4732">
        <v>19.589600000000001</v>
      </c>
      <c r="J4732">
        <v>38.033000000000001</v>
      </c>
      <c r="K4732">
        <v>18.4434</v>
      </c>
      <c r="L4732">
        <v>202</v>
      </c>
      <c r="M4732">
        <v>1</v>
      </c>
      <c r="N4732">
        <v>9</v>
      </c>
      <c r="O4732">
        <v>37.3855</v>
      </c>
      <c r="P4732">
        <v>18.116900000000001</v>
      </c>
      <c r="Q4732">
        <v>8.2173200000000008</v>
      </c>
    </row>
    <row r="4733" spans="1:17" x14ac:dyDescent="0.25">
      <c r="A4733" t="str">
        <f>IF(C4733&amp;G4733&amp;D4733&lt;&gt;'Funnel setup'!$K$3&amp;'Funnel setup'!$K$4&amp;'Funnel setup'!$K$6,".",IF(A4732=".",1,A4732+1))</f>
        <v>.</v>
      </c>
      <c r="B4733" s="244" t="str">
        <f t="shared" si="73"/>
        <v>Total Knee ReplacementSub-ICB of GP PracticeNHS SOUTH EAST LONDON ICB - 72Q (72Q)Oxford Knee Score</v>
      </c>
      <c r="C4733" t="s">
        <v>975</v>
      </c>
      <c r="D4733" t="s">
        <v>1021</v>
      </c>
      <c r="E4733" t="s">
        <v>915</v>
      </c>
      <c r="F4733" t="s">
        <v>916</v>
      </c>
      <c r="G4733" t="s">
        <v>972</v>
      </c>
      <c r="H4733">
        <v>141</v>
      </c>
      <c r="I4733">
        <v>20.234000000000002</v>
      </c>
      <c r="J4733">
        <v>34.248199999999997</v>
      </c>
      <c r="K4733">
        <v>14.014200000000001</v>
      </c>
      <c r="L4733">
        <v>127</v>
      </c>
      <c r="M4733">
        <v>5</v>
      </c>
      <c r="N4733">
        <v>9</v>
      </c>
      <c r="O4733">
        <v>34.563899999999997</v>
      </c>
      <c r="P4733">
        <v>15.295299999999999</v>
      </c>
      <c r="Q4733">
        <v>8.9196100000000005</v>
      </c>
    </row>
    <row r="4734" spans="1:17" x14ac:dyDescent="0.25">
      <c r="A4734" t="str">
        <f>IF(C4734&amp;G4734&amp;D4734&lt;&gt;'Funnel setup'!$K$3&amp;'Funnel setup'!$K$4&amp;'Funnel setup'!$K$6,".",IF(A4733=".",1,A4733+1))</f>
        <v>.</v>
      </c>
      <c r="B4734" s="244" t="str">
        <f t="shared" si="73"/>
        <v>Total Knee ReplacementSub-ICB of GP PracticeNHS SOUTH WEST LONDON ICB - 36L (36L)Oxford Knee Score</v>
      </c>
      <c r="C4734" t="s">
        <v>975</v>
      </c>
      <c r="D4734" t="s">
        <v>1021</v>
      </c>
      <c r="E4734" t="s">
        <v>917</v>
      </c>
      <c r="F4734" t="s">
        <v>918</v>
      </c>
      <c r="G4734" t="s">
        <v>972</v>
      </c>
      <c r="H4734">
        <v>506</v>
      </c>
      <c r="I4734">
        <v>19.770800000000001</v>
      </c>
      <c r="J4734">
        <v>36.047400000000003</v>
      </c>
      <c r="K4734">
        <v>16.276700000000002</v>
      </c>
      <c r="L4734">
        <v>479</v>
      </c>
      <c r="M4734">
        <v>2</v>
      </c>
      <c r="N4734">
        <v>25</v>
      </c>
      <c r="O4734">
        <v>36.054099999999998</v>
      </c>
      <c r="P4734">
        <v>16.785499999999999</v>
      </c>
      <c r="Q4734">
        <v>8.3311600000000006</v>
      </c>
    </row>
    <row r="4735" spans="1:17" x14ac:dyDescent="0.25">
      <c r="A4735" t="str">
        <f>IF(C4735&amp;G4735&amp;D4735&lt;&gt;'Funnel setup'!$K$3&amp;'Funnel setup'!$K$4&amp;'Funnel setup'!$K$6,".",IF(A4734=".",1,A4734+1))</f>
        <v>.</v>
      </c>
      <c r="B4735" s="244" t="str">
        <f t="shared" si="73"/>
        <v>Total Knee ReplacementSub-ICB of GP PracticeNHS SOUTH YORKSHIRE ICB - 02P (02P)Oxford Knee Score</v>
      </c>
      <c r="C4735" t="s">
        <v>975</v>
      </c>
      <c r="D4735" t="s">
        <v>1021</v>
      </c>
      <c r="E4735" t="s">
        <v>919</v>
      </c>
      <c r="F4735" t="s">
        <v>920</v>
      </c>
      <c r="G4735" t="s">
        <v>972</v>
      </c>
      <c r="H4735">
        <v>57</v>
      </c>
      <c r="I4735">
        <v>18.052600000000002</v>
      </c>
      <c r="J4735">
        <v>34.245600000000003</v>
      </c>
      <c r="K4735">
        <v>16.193000000000001</v>
      </c>
      <c r="L4735">
        <v>51</v>
      </c>
      <c r="M4735">
        <v>2</v>
      </c>
      <c r="N4735">
        <v>4</v>
      </c>
      <c r="O4735">
        <v>35.751899999999999</v>
      </c>
      <c r="P4735">
        <v>16.4833</v>
      </c>
      <c r="Q4735">
        <v>9.6230899999999995</v>
      </c>
    </row>
    <row r="4736" spans="1:17" x14ac:dyDescent="0.25">
      <c r="A4736" t="str">
        <f>IF(C4736&amp;G4736&amp;D4736&lt;&gt;'Funnel setup'!$K$3&amp;'Funnel setup'!$K$4&amp;'Funnel setup'!$K$6,".",IF(A4735=".",1,A4735+1))</f>
        <v>.</v>
      </c>
      <c r="B4736" s="244" t="str">
        <f t="shared" si="73"/>
        <v>Total Knee ReplacementSub-ICB of GP PracticeNHS SOUTH YORKSHIRE ICB - 02X (02X)Oxford Knee Score</v>
      </c>
      <c r="C4736" t="s">
        <v>975</v>
      </c>
      <c r="D4736" t="s">
        <v>1021</v>
      </c>
      <c r="E4736" t="s">
        <v>921</v>
      </c>
      <c r="F4736" t="s">
        <v>922</v>
      </c>
      <c r="G4736" t="s">
        <v>972</v>
      </c>
      <c r="H4736">
        <v>125</v>
      </c>
      <c r="I4736">
        <v>18.295999999999999</v>
      </c>
      <c r="J4736">
        <v>35.415999999999997</v>
      </c>
      <c r="K4736">
        <v>17.12</v>
      </c>
      <c r="L4736">
        <v>116</v>
      </c>
      <c r="M4736">
        <v>0</v>
      </c>
      <c r="N4736">
        <v>9</v>
      </c>
      <c r="O4736">
        <v>36.2423</v>
      </c>
      <c r="P4736">
        <v>16.973700000000001</v>
      </c>
      <c r="Q4736">
        <v>9.3193400000000004</v>
      </c>
    </row>
    <row r="4737" spans="1:17" x14ac:dyDescent="0.25">
      <c r="A4737" t="str">
        <f>IF(C4737&amp;G4737&amp;D4737&lt;&gt;'Funnel setup'!$K$3&amp;'Funnel setup'!$K$4&amp;'Funnel setup'!$K$6,".",IF(A4736=".",1,A4736+1))</f>
        <v>.</v>
      </c>
      <c r="B4737" s="244" t="str">
        <f t="shared" si="73"/>
        <v>Total Knee ReplacementSub-ICB of GP PracticeNHS SOUTH YORKSHIRE ICB - 03L (03L)Oxford Knee Score</v>
      </c>
      <c r="C4737" t="s">
        <v>975</v>
      </c>
      <c r="D4737" t="s">
        <v>1021</v>
      </c>
      <c r="E4737" t="s">
        <v>923</v>
      </c>
      <c r="F4737" t="s">
        <v>924</v>
      </c>
      <c r="G4737" t="s">
        <v>972</v>
      </c>
      <c r="H4737">
        <v>39</v>
      </c>
      <c r="I4737">
        <v>15.743600000000001</v>
      </c>
      <c r="J4737">
        <v>37.487200000000001</v>
      </c>
      <c r="K4737">
        <v>21.743600000000001</v>
      </c>
      <c r="L4737">
        <v>37</v>
      </c>
      <c r="M4737">
        <v>0</v>
      </c>
      <c r="N4737">
        <v>2</v>
      </c>
      <c r="O4737">
        <v>39.002200000000002</v>
      </c>
      <c r="P4737">
        <v>19.733599999999999</v>
      </c>
      <c r="Q4737">
        <v>9.5967500000000001</v>
      </c>
    </row>
    <row r="4738" spans="1:17" x14ac:dyDescent="0.25">
      <c r="A4738" t="str">
        <f>IF(C4738&amp;G4738&amp;D4738&lt;&gt;'Funnel setup'!$K$3&amp;'Funnel setup'!$K$4&amp;'Funnel setup'!$K$6,".",IF(A4737=".",1,A4737+1))</f>
        <v>.</v>
      </c>
      <c r="B4738" s="244" t="str">
        <f t="shared" ref="B4738:B4801" si="74">C4738&amp;D4738&amp;F4738&amp;G4738</f>
        <v>Total Knee ReplacementSub-ICB of GP PracticeNHS SOUTH YORKSHIRE ICB - 03N (03N)Oxford Knee Score</v>
      </c>
      <c r="C4738" t="s">
        <v>975</v>
      </c>
      <c r="D4738" t="s">
        <v>1021</v>
      </c>
      <c r="E4738" t="s">
        <v>925</v>
      </c>
      <c r="F4738" t="s">
        <v>926</v>
      </c>
      <c r="G4738" t="s">
        <v>972</v>
      </c>
      <c r="H4738">
        <v>40</v>
      </c>
      <c r="I4738">
        <v>19.625</v>
      </c>
      <c r="J4738">
        <v>38.15</v>
      </c>
      <c r="K4738">
        <v>18.524999999999999</v>
      </c>
      <c r="L4738">
        <v>38</v>
      </c>
      <c r="M4738">
        <v>0</v>
      </c>
      <c r="N4738">
        <v>2</v>
      </c>
      <c r="O4738">
        <v>37.619300000000003</v>
      </c>
      <c r="P4738">
        <v>18.3506</v>
      </c>
      <c r="Q4738">
        <v>7.7571300000000001</v>
      </c>
    </row>
    <row r="4739" spans="1:17" x14ac:dyDescent="0.25">
      <c r="A4739" t="str">
        <f>IF(C4739&amp;G4739&amp;D4739&lt;&gt;'Funnel setup'!$K$3&amp;'Funnel setup'!$K$4&amp;'Funnel setup'!$K$6,".",IF(A4738=".",1,A4738+1))</f>
        <v>.</v>
      </c>
      <c r="B4739" s="244" t="str">
        <f t="shared" si="74"/>
        <v>Total Knee ReplacementSub-ICB of GP PracticeNHS STAFFORDSHIRE AND STOKE-ON-TRENT ICB - 04Y (04Y)Oxford Knee Score</v>
      </c>
      <c r="C4739" t="s">
        <v>975</v>
      </c>
      <c r="D4739" t="s">
        <v>1021</v>
      </c>
      <c r="E4739" t="s">
        <v>927</v>
      </c>
      <c r="F4739" t="s">
        <v>928</v>
      </c>
      <c r="G4739" t="s">
        <v>972</v>
      </c>
      <c r="H4739">
        <v>25</v>
      </c>
      <c r="I4739">
        <v>19.88</v>
      </c>
      <c r="J4739">
        <v>38.840000000000003</v>
      </c>
      <c r="K4739">
        <v>18.96</v>
      </c>
      <c r="L4739">
        <v>24</v>
      </c>
      <c r="M4739">
        <v>0</v>
      </c>
      <c r="N4739">
        <v>1</v>
      </c>
      <c r="O4739" t="s">
        <v>127</v>
      </c>
      <c r="P4739" t="s">
        <v>127</v>
      </c>
      <c r="Q4739" t="s">
        <v>127</v>
      </c>
    </row>
    <row r="4740" spans="1:17" x14ac:dyDescent="0.25">
      <c r="A4740" t="str">
        <f>IF(C4740&amp;G4740&amp;D4740&lt;&gt;'Funnel setup'!$K$3&amp;'Funnel setup'!$K$4&amp;'Funnel setup'!$K$6,".",IF(A4739=".",1,A4739+1))</f>
        <v>.</v>
      </c>
      <c r="B4740" s="244" t="str">
        <f t="shared" si="74"/>
        <v>Total Knee ReplacementSub-ICB of GP PracticeNHS STAFFORDSHIRE AND STOKE-ON-TRENT ICB - 05D (05D)Oxford Knee Score</v>
      </c>
      <c r="C4740" t="s">
        <v>975</v>
      </c>
      <c r="D4740" t="s">
        <v>1021</v>
      </c>
      <c r="E4740" t="s">
        <v>929</v>
      </c>
      <c r="F4740" t="s">
        <v>930</v>
      </c>
      <c r="G4740" t="s">
        <v>972</v>
      </c>
      <c r="H4740">
        <v>69</v>
      </c>
      <c r="I4740">
        <v>19.521699999999999</v>
      </c>
      <c r="J4740">
        <v>34.782600000000002</v>
      </c>
      <c r="K4740">
        <v>15.260899999999999</v>
      </c>
      <c r="L4740">
        <v>64</v>
      </c>
      <c r="M4740">
        <v>0</v>
      </c>
      <c r="N4740">
        <v>5</v>
      </c>
      <c r="O4740">
        <v>34.921900000000001</v>
      </c>
      <c r="P4740">
        <v>15.6532</v>
      </c>
      <c r="Q4740">
        <v>9.89724</v>
      </c>
    </row>
    <row r="4741" spans="1:17" x14ac:dyDescent="0.25">
      <c r="A4741" t="str">
        <f>IF(C4741&amp;G4741&amp;D4741&lt;&gt;'Funnel setup'!$K$3&amp;'Funnel setup'!$K$4&amp;'Funnel setup'!$K$6,".",IF(A4740=".",1,A4740+1))</f>
        <v>.</v>
      </c>
      <c r="B4741" s="244" t="str">
        <f t="shared" si="74"/>
        <v>Total Knee ReplacementSub-ICB of GP PracticeNHS STAFFORDSHIRE AND STOKE-ON-TRENT ICB - 05G (05G)Oxford Knee Score</v>
      </c>
      <c r="C4741" t="s">
        <v>975</v>
      </c>
      <c r="D4741" t="s">
        <v>1021</v>
      </c>
      <c r="E4741" t="s">
        <v>931</v>
      </c>
      <c r="F4741" t="s">
        <v>932</v>
      </c>
      <c r="G4741" t="s">
        <v>972</v>
      </c>
      <c r="H4741">
        <v>49</v>
      </c>
      <c r="I4741">
        <v>17.938800000000001</v>
      </c>
      <c r="J4741">
        <v>35.081600000000002</v>
      </c>
      <c r="K4741">
        <v>17.142900000000001</v>
      </c>
      <c r="L4741">
        <v>46</v>
      </c>
      <c r="M4741">
        <v>0</v>
      </c>
      <c r="N4741">
        <v>3</v>
      </c>
      <c r="O4741">
        <v>35.610900000000001</v>
      </c>
      <c r="P4741">
        <v>16.342300000000002</v>
      </c>
      <c r="Q4741">
        <v>8.4879800000000003</v>
      </c>
    </row>
    <row r="4742" spans="1:17" x14ac:dyDescent="0.25">
      <c r="A4742" t="str">
        <f>IF(C4742&amp;G4742&amp;D4742&lt;&gt;'Funnel setup'!$K$3&amp;'Funnel setup'!$K$4&amp;'Funnel setup'!$K$6,".",IF(A4741=".",1,A4741+1))</f>
        <v>.</v>
      </c>
      <c r="B4742" s="244" t="str">
        <f t="shared" si="74"/>
        <v>Total Knee ReplacementSub-ICB of GP PracticeNHS STAFFORDSHIRE AND STOKE-ON-TRENT ICB - 05Q (05Q)Oxford Knee Score</v>
      </c>
      <c r="C4742" t="s">
        <v>975</v>
      </c>
      <c r="D4742" t="s">
        <v>1021</v>
      </c>
      <c r="E4742" t="s">
        <v>933</v>
      </c>
      <c r="F4742" t="s">
        <v>934</v>
      </c>
      <c r="G4742" t="s">
        <v>972</v>
      </c>
      <c r="H4742">
        <v>90</v>
      </c>
      <c r="I4742">
        <v>19.0778</v>
      </c>
      <c r="J4742">
        <v>35.6556</v>
      </c>
      <c r="K4742">
        <v>16.5778</v>
      </c>
      <c r="L4742">
        <v>85</v>
      </c>
      <c r="M4742">
        <v>1</v>
      </c>
      <c r="N4742">
        <v>4</v>
      </c>
      <c r="O4742">
        <v>35.691699999999997</v>
      </c>
      <c r="P4742">
        <v>16.422999999999998</v>
      </c>
      <c r="Q4742">
        <v>8.9042999999999992</v>
      </c>
    </row>
    <row r="4743" spans="1:17" x14ac:dyDescent="0.25">
      <c r="A4743" t="str">
        <f>IF(C4743&amp;G4743&amp;D4743&lt;&gt;'Funnel setup'!$K$3&amp;'Funnel setup'!$K$4&amp;'Funnel setup'!$K$6,".",IF(A4742=".",1,A4742+1))</f>
        <v>.</v>
      </c>
      <c r="B4743" s="244" t="str">
        <f t="shared" si="74"/>
        <v>Total Knee ReplacementSub-ICB of GP PracticeNHS STAFFORDSHIRE AND STOKE-ON-TRENT ICB - 05V (05V)Oxford Knee Score</v>
      </c>
      <c r="C4743" t="s">
        <v>975</v>
      </c>
      <c r="D4743" t="s">
        <v>1021</v>
      </c>
      <c r="E4743" t="s">
        <v>935</v>
      </c>
      <c r="F4743" t="s">
        <v>936</v>
      </c>
      <c r="G4743" t="s">
        <v>972</v>
      </c>
      <c r="H4743">
        <v>36</v>
      </c>
      <c r="I4743">
        <v>19.6389</v>
      </c>
      <c r="J4743">
        <v>39.1389</v>
      </c>
      <c r="K4743">
        <v>19.5</v>
      </c>
      <c r="L4743">
        <v>35</v>
      </c>
      <c r="M4743">
        <v>0</v>
      </c>
      <c r="N4743">
        <v>1</v>
      </c>
      <c r="O4743">
        <v>37.6751</v>
      </c>
      <c r="P4743">
        <v>18.406500000000001</v>
      </c>
      <c r="Q4743">
        <v>7.5230100000000002</v>
      </c>
    </row>
    <row r="4744" spans="1:17" x14ac:dyDescent="0.25">
      <c r="A4744" t="str">
        <f>IF(C4744&amp;G4744&amp;D4744&lt;&gt;'Funnel setup'!$K$3&amp;'Funnel setup'!$K$4&amp;'Funnel setup'!$K$6,".",IF(A4743=".",1,A4743+1))</f>
        <v>.</v>
      </c>
      <c r="B4744" s="244" t="str">
        <f t="shared" si="74"/>
        <v>Total Knee ReplacementSub-ICB of GP PracticeNHS STAFFORDSHIRE AND STOKE-ON-TRENT ICB - 05W (05W)Oxford Knee Score</v>
      </c>
      <c r="C4744" t="s">
        <v>975</v>
      </c>
      <c r="D4744" t="s">
        <v>1021</v>
      </c>
      <c r="E4744" t="s">
        <v>937</v>
      </c>
      <c r="F4744" t="s">
        <v>938</v>
      </c>
      <c r="G4744" t="s">
        <v>972</v>
      </c>
      <c r="H4744">
        <v>46</v>
      </c>
      <c r="I4744">
        <v>17.065200000000001</v>
      </c>
      <c r="J4744">
        <v>34.282600000000002</v>
      </c>
      <c r="K4744">
        <v>17.217400000000001</v>
      </c>
      <c r="L4744">
        <v>42</v>
      </c>
      <c r="M4744">
        <v>0</v>
      </c>
      <c r="N4744">
        <v>4</v>
      </c>
      <c r="O4744">
        <v>36.214700000000001</v>
      </c>
      <c r="P4744">
        <v>16.946100000000001</v>
      </c>
      <c r="Q4744">
        <v>8.4333600000000004</v>
      </c>
    </row>
    <row r="4745" spans="1:17" x14ac:dyDescent="0.25">
      <c r="A4745" t="str">
        <f>IF(C4745&amp;G4745&amp;D4745&lt;&gt;'Funnel setup'!$K$3&amp;'Funnel setup'!$K$4&amp;'Funnel setup'!$K$6,".",IF(A4744=".",1,A4744+1))</f>
        <v>.</v>
      </c>
      <c r="B4745" s="244" t="str">
        <f t="shared" si="74"/>
        <v>Total Knee ReplacementSub-ICB of GP PracticeNHS SUFFOLK AND NORTH EAST ESSEX ICB - 06L (06L)Oxford Knee Score</v>
      </c>
      <c r="C4745" t="s">
        <v>975</v>
      </c>
      <c r="D4745" t="s">
        <v>1021</v>
      </c>
      <c r="E4745" t="s">
        <v>939</v>
      </c>
      <c r="F4745" t="s">
        <v>940</v>
      </c>
      <c r="G4745" t="s">
        <v>972</v>
      </c>
      <c r="H4745">
        <v>124</v>
      </c>
      <c r="I4745">
        <v>17.75</v>
      </c>
      <c r="J4745">
        <v>37.572600000000001</v>
      </c>
      <c r="K4745">
        <v>19.822600000000001</v>
      </c>
      <c r="L4745">
        <v>121</v>
      </c>
      <c r="M4745">
        <v>0</v>
      </c>
      <c r="N4745">
        <v>3</v>
      </c>
      <c r="O4745">
        <v>38.114199999999997</v>
      </c>
      <c r="P4745">
        <v>18.845500000000001</v>
      </c>
      <c r="Q4745">
        <v>7.8466199999999997</v>
      </c>
    </row>
    <row r="4746" spans="1:17" x14ac:dyDescent="0.25">
      <c r="A4746" t="str">
        <f>IF(C4746&amp;G4746&amp;D4746&lt;&gt;'Funnel setup'!$K$3&amp;'Funnel setup'!$K$4&amp;'Funnel setup'!$K$6,".",IF(A4745=".",1,A4745+1))</f>
        <v>.</v>
      </c>
      <c r="B4746" s="244" t="str">
        <f t="shared" si="74"/>
        <v>Total Knee ReplacementSub-ICB of GP PracticeNHS SUFFOLK AND NORTH EAST ESSEX ICB - 06T (06T)Oxford Knee Score</v>
      </c>
      <c r="C4746" t="s">
        <v>975</v>
      </c>
      <c r="D4746" t="s">
        <v>1021</v>
      </c>
      <c r="E4746" t="s">
        <v>941</v>
      </c>
      <c r="F4746" t="s">
        <v>942</v>
      </c>
      <c r="G4746" t="s">
        <v>972</v>
      </c>
      <c r="H4746">
        <v>32</v>
      </c>
      <c r="I4746">
        <v>17.5</v>
      </c>
      <c r="J4746">
        <v>33.6875</v>
      </c>
      <c r="K4746">
        <v>16.1875</v>
      </c>
      <c r="L4746">
        <v>30</v>
      </c>
      <c r="M4746">
        <v>0</v>
      </c>
      <c r="N4746">
        <v>2</v>
      </c>
      <c r="O4746">
        <v>34.707700000000003</v>
      </c>
      <c r="P4746">
        <v>15.4391</v>
      </c>
      <c r="Q4746">
        <v>7.0355800000000004</v>
      </c>
    </row>
    <row r="4747" spans="1:17" x14ac:dyDescent="0.25">
      <c r="A4747" t="str">
        <f>IF(C4747&amp;G4747&amp;D4747&lt;&gt;'Funnel setup'!$K$3&amp;'Funnel setup'!$K$4&amp;'Funnel setup'!$K$6,".",IF(A4746=".",1,A4746+1))</f>
        <v>.</v>
      </c>
      <c r="B4747" s="244" t="str">
        <f t="shared" si="74"/>
        <v>Total Knee ReplacementSub-ICB of GP PracticeNHS SUFFOLK AND NORTH EAST ESSEX ICB - 07K (07K)Oxford Knee Score</v>
      </c>
      <c r="C4747" t="s">
        <v>975</v>
      </c>
      <c r="D4747" t="s">
        <v>1021</v>
      </c>
      <c r="E4747" t="s">
        <v>943</v>
      </c>
      <c r="F4747" t="s">
        <v>944</v>
      </c>
      <c r="G4747" t="s">
        <v>972</v>
      </c>
      <c r="H4747">
        <v>96</v>
      </c>
      <c r="I4747">
        <v>17.25</v>
      </c>
      <c r="J4747">
        <v>35.802100000000003</v>
      </c>
      <c r="K4747">
        <v>18.552099999999999</v>
      </c>
      <c r="L4747">
        <v>92</v>
      </c>
      <c r="M4747">
        <v>1</v>
      </c>
      <c r="N4747">
        <v>3</v>
      </c>
      <c r="O4747">
        <v>35.942399999999999</v>
      </c>
      <c r="P4747">
        <v>16.6738</v>
      </c>
      <c r="Q4747">
        <v>8.1546400000000006</v>
      </c>
    </row>
    <row r="4748" spans="1:17" x14ac:dyDescent="0.25">
      <c r="A4748" t="str">
        <f>IF(C4748&amp;G4748&amp;D4748&lt;&gt;'Funnel setup'!$K$3&amp;'Funnel setup'!$K$4&amp;'Funnel setup'!$K$6,".",IF(A4747=".",1,A4747+1))</f>
        <v>.</v>
      </c>
      <c r="B4748" s="244" t="str">
        <f t="shared" si="74"/>
        <v>Total Knee ReplacementSub-ICB of GP PracticeNHS SURREY HEARTLANDS ICB - 92A (92A)Oxford Knee Score</v>
      </c>
      <c r="C4748" t="s">
        <v>975</v>
      </c>
      <c r="D4748" t="s">
        <v>1021</v>
      </c>
      <c r="E4748" t="s">
        <v>945</v>
      </c>
      <c r="F4748" t="s">
        <v>946</v>
      </c>
      <c r="G4748" t="s">
        <v>972</v>
      </c>
      <c r="H4748">
        <v>343</v>
      </c>
      <c r="I4748">
        <v>21.7638</v>
      </c>
      <c r="J4748">
        <v>38.291499999999999</v>
      </c>
      <c r="K4748">
        <v>16.527699999999999</v>
      </c>
      <c r="L4748">
        <v>324</v>
      </c>
      <c r="M4748">
        <v>3</v>
      </c>
      <c r="N4748">
        <v>16</v>
      </c>
      <c r="O4748">
        <v>36.543399999999998</v>
      </c>
      <c r="P4748">
        <v>17.274699999999999</v>
      </c>
      <c r="Q4748">
        <v>7.8942600000000001</v>
      </c>
    </row>
    <row r="4749" spans="1:17" x14ac:dyDescent="0.25">
      <c r="A4749" t="str">
        <f>IF(C4749&amp;G4749&amp;D4749&lt;&gt;'Funnel setup'!$K$3&amp;'Funnel setup'!$K$4&amp;'Funnel setup'!$K$6,".",IF(A4748=".",1,A4748+1))</f>
        <v>.</v>
      </c>
      <c r="B4749" s="244" t="str">
        <f t="shared" si="74"/>
        <v>Total Knee ReplacementSub-ICB of GP PracticeNHS SUSSEX ICB - 09D (09D)Oxford Knee Score</v>
      </c>
      <c r="C4749" t="s">
        <v>975</v>
      </c>
      <c r="D4749" t="s">
        <v>1021</v>
      </c>
      <c r="E4749" t="s">
        <v>947</v>
      </c>
      <c r="F4749" t="s">
        <v>948</v>
      </c>
      <c r="G4749" t="s">
        <v>972</v>
      </c>
      <c r="H4749">
        <v>28</v>
      </c>
      <c r="I4749">
        <v>22.5</v>
      </c>
      <c r="J4749">
        <v>39.107100000000003</v>
      </c>
      <c r="K4749">
        <v>16.607099999999999</v>
      </c>
      <c r="L4749">
        <v>27</v>
      </c>
      <c r="M4749">
        <v>1</v>
      </c>
      <c r="N4749">
        <v>0</v>
      </c>
      <c r="O4749" t="s">
        <v>127</v>
      </c>
      <c r="P4749" t="s">
        <v>127</v>
      </c>
      <c r="Q4749" t="s">
        <v>127</v>
      </c>
    </row>
    <row r="4750" spans="1:17" x14ac:dyDescent="0.25">
      <c r="A4750" t="str">
        <f>IF(C4750&amp;G4750&amp;D4750&lt;&gt;'Funnel setup'!$K$3&amp;'Funnel setup'!$K$4&amp;'Funnel setup'!$K$6,".",IF(A4749=".",1,A4749+1))</f>
        <v>.</v>
      </c>
      <c r="B4750" s="244" t="str">
        <f t="shared" si="74"/>
        <v>Total Knee ReplacementSub-ICB of GP PracticeNHS SUSSEX ICB - 70F (70F)Oxford Knee Score</v>
      </c>
      <c r="C4750" t="s">
        <v>975</v>
      </c>
      <c r="D4750" t="s">
        <v>1021</v>
      </c>
      <c r="E4750" t="s">
        <v>949</v>
      </c>
      <c r="F4750" t="s">
        <v>950</v>
      </c>
      <c r="G4750" t="s">
        <v>972</v>
      </c>
      <c r="H4750">
        <v>235</v>
      </c>
      <c r="I4750">
        <v>19.1404</v>
      </c>
      <c r="J4750">
        <v>37.0383</v>
      </c>
      <c r="K4750">
        <v>17.8979</v>
      </c>
      <c r="L4750">
        <v>224</v>
      </c>
      <c r="M4750">
        <v>2</v>
      </c>
      <c r="N4750">
        <v>9</v>
      </c>
      <c r="O4750">
        <v>36.656599999999997</v>
      </c>
      <c r="P4750">
        <v>17.388000000000002</v>
      </c>
      <c r="Q4750">
        <v>8.2719900000000006</v>
      </c>
    </row>
    <row r="4751" spans="1:17" x14ac:dyDescent="0.25">
      <c r="A4751" t="str">
        <f>IF(C4751&amp;G4751&amp;D4751&lt;&gt;'Funnel setup'!$K$3&amp;'Funnel setup'!$K$4&amp;'Funnel setup'!$K$6,".",IF(A4750=".",1,A4750+1))</f>
        <v>.</v>
      </c>
      <c r="B4751" s="244" t="str">
        <f t="shared" si="74"/>
        <v>Total Knee ReplacementSub-ICB of GP PracticeNHS SUSSEX ICB - 97R (97R)Oxford Knee Score</v>
      </c>
      <c r="C4751" t="s">
        <v>975</v>
      </c>
      <c r="D4751" t="s">
        <v>1021</v>
      </c>
      <c r="E4751" t="s">
        <v>951</v>
      </c>
      <c r="F4751" t="s">
        <v>952</v>
      </c>
      <c r="G4751" t="s">
        <v>972</v>
      </c>
      <c r="H4751">
        <v>320</v>
      </c>
      <c r="I4751">
        <v>21.6219</v>
      </c>
      <c r="J4751">
        <v>38.218800000000002</v>
      </c>
      <c r="K4751">
        <v>16.596900000000002</v>
      </c>
      <c r="L4751">
        <v>305</v>
      </c>
      <c r="M4751">
        <v>0</v>
      </c>
      <c r="N4751">
        <v>15</v>
      </c>
      <c r="O4751">
        <v>37.122799999999998</v>
      </c>
      <c r="P4751">
        <v>17.854199999999999</v>
      </c>
      <c r="Q4751">
        <v>8.1812299999999993</v>
      </c>
    </row>
    <row r="4752" spans="1:17" x14ac:dyDescent="0.25">
      <c r="A4752" t="str">
        <f>IF(C4752&amp;G4752&amp;D4752&lt;&gt;'Funnel setup'!$K$3&amp;'Funnel setup'!$K$4&amp;'Funnel setup'!$K$6,".",IF(A4751=".",1,A4751+1))</f>
        <v>.</v>
      </c>
      <c r="B4752" s="244" t="str">
        <f t="shared" si="74"/>
        <v>Total Knee ReplacementSub-ICB of GP PracticeNHS WEST YORKSHIRE ICB - 02T (02T)Oxford Knee Score</v>
      </c>
      <c r="C4752" t="s">
        <v>975</v>
      </c>
      <c r="D4752" t="s">
        <v>1021</v>
      </c>
      <c r="E4752" t="s">
        <v>953</v>
      </c>
      <c r="F4752" t="s">
        <v>954</v>
      </c>
      <c r="G4752" t="s">
        <v>972</v>
      </c>
      <c r="H4752">
        <v>47</v>
      </c>
      <c r="I4752">
        <v>19.617000000000001</v>
      </c>
      <c r="J4752">
        <v>37.319099999999999</v>
      </c>
      <c r="K4752">
        <v>17.702100000000002</v>
      </c>
      <c r="L4752">
        <v>44</v>
      </c>
      <c r="M4752">
        <v>0</v>
      </c>
      <c r="N4752">
        <v>3</v>
      </c>
      <c r="O4752">
        <v>37.2121</v>
      </c>
      <c r="P4752">
        <v>17.9435</v>
      </c>
      <c r="Q4752">
        <v>9.4316899999999997</v>
      </c>
    </row>
    <row r="4753" spans="1:17" x14ac:dyDescent="0.25">
      <c r="A4753" t="str">
        <f>IF(C4753&amp;G4753&amp;D4753&lt;&gt;'Funnel setup'!$K$3&amp;'Funnel setup'!$K$4&amp;'Funnel setup'!$K$6,".",IF(A4752=".",1,A4752+1))</f>
        <v>.</v>
      </c>
      <c r="B4753" s="244" t="str">
        <f t="shared" si="74"/>
        <v>Total Knee ReplacementSub-ICB of GP PracticeNHS WEST YORKSHIRE ICB - 03R (03R)Oxford Knee Score</v>
      </c>
      <c r="C4753" t="s">
        <v>975</v>
      </c>
      <c r="D4753" t="s">
        <v>1021</v>
      </c>
      <c r="E4753" t="s">
        <v>955</v>
      </c>
      <c r="F4753" t="s">
        <v>956</v>
      </c>
      <c r="G4753" t="s">
        <v>972</v>
      </c>
      <c r="H4753">
        <v>198</v>
      </c>
      <c r="I4753">
        <v>18.560600000000001</v>
      </c>
      <c r="J4753">
        <v>35.994900000000001</v>
      </c>
      <c r="K4753">
        <v>17.4343</v>
      </c>
      <c r="L4753">
        <v>182</v>
      </c>
      <c r="M4753">
        <v>1</v>
      </c>
      <c r="N4753">
        <v>15</v>
      </c>
      <c r="O4753">
        <v>36.595199999999998</v>
      </c>
      <c r="P4753">
        <v>17.326499999999999</v>
      </c>
      <c r="Q4753">
        <v>9.4944299999999995</v>
      </c>
    </row>
    <row r="4754" spans="1:17" x14ac:dyDescent="0.25">
      <c r="A4754" t="str">
        <f>IF(C4754&amp;G4754&amp;D4754&lt;&gt;'Funnel setup'!$K$3&amp;'Funnel setup'!$K$4&amp;'Funnel setup'!$K$6,".",IF(A4753=".",1,A4753+1))</f>
        <v>.</v>
      </c>
      <c r="B4754" s="244" t="str">
        <f t="shared" si="74"/>
        <v>Total Knee ReplacementSub-ICB of GP PracticeNHS WEST YORKSHIRE ICB - 15F (15F)Oxford Knee Score</v>
      </c>
      <c r="C4754" t="s">
        <v>975</v>
      </c>
      <c r="D4754" t="s">
        <v>1021</v>
      </c>
      <c r="E4754" t="s">
        <v>957</v>
      </c>
      <c r="F4754" t="s">
        <v>958</v>
      </c>
      <c r="G4754" t="s">
        <v>972</v>
      </c>
      <c r="H4754">
        <v>277</v>
      </c>
      <c r="I4754">
        <v>19.740100000000002</v>
      </c>
      <c r="J4754">
        <v>37.054200000000002</v>
      </c>
      <c r="K4754">
        <v>17.3141</v>
      </c>
      <c r="L4754">
        <v>269</v>
      </c>
      <c r="M4754">
        <v>2</v>
      </c>
      <c r="N4754">
        <v>6</v>
      </c>
      <c r="O4754">
        <v>36.813600000000001</v>
      </c>
      <c r="P4754">
        <v>17.545000000000002</v>
      </c>
      <c r="Q4754">
        <v>8.2192100000000003</v>
      </c>
    </row>
    <row r="4755" spans="1:17" x14ac:dyDescent="0.25">
      <c r="A4755" t="str">
        <f>IF(C4755&amp;G4755&amp;D4755&lt;&gt;'Funnel setup'!$K$3&amp;'Funnel setup'!$K$4&amp;'Funnel setup'!$K$6,".",IF(A4754=".",1,A4754+1))</f>
        <v>.</v>
      </c>
      <c r="B4755" s="244" t="str">
        <f t="shared" si="74"/>
        <v>Total Knee ReplacementSub-ICB of GP PracticeNHS WEST YORKSHIRE ICB - 36J (36J)Oxford Knee Score</v>
      </c>
      <c r="C4755" t="s">
        <v>975</v>
      </c>
      <c r="D4755" t="s">
        <v>1021</v>
      </c>
      <c r="E4755" t="s">
        <v>959</v>
      </c>
      <c r="F4755" t="s">
        <v>960</v>
      </c>
      <c r="G4755" t="s">
        <v>972</v>
      </c>
      <c r="H4755">
        <v>72</v>
      </c>
      <c r="I4755">
        <v>19.791699999999999</v>
      </c>
      <c r="J4755">
        <v>36.083300000000001</v>
      </c>
      <c r="K4755">
        <v>16.291699999999999</v>
      </c>
      <c r="L4755">
        <v>66</v>
      </c>
      <c r="M4755">
        <v>2</v>
      </c>
      <c r="N4755">
        <v>4</v>
      </c>
      <c r="O4755">
        <v>36.463900000000002</v>
      </c>
      <c r="P4755">
        <v>17.1953</v>
      </c>
      <c r="Q4755">
        <v>9.2549299999999999</v>
      </c>
    </row>
    <row r="4756" spans="1:17" x14ac:dyDescent="0.25">
      <c r="A4756" t="str">
        <f>IF(C4756&amp;G4756&amp;D4756&lt;&gt;'Funnel setup'!$K$3&amp;'Funnel setup'!$K$4&amp;'Funnel setup'!$K$6,".",IF(A4755=".",1,A4755+1))</f>
        <v>.</v>
      </c>
      <c r="B4756" s="244" t="str">
        <f t="shared" si="74"/>
        <v>Total Knee ReplacementSub-ICB of GP PracticeNHS WEST YORKSHIRE ICB - X2C4Y (X2C4Y)Oxford Knee Score</v>
      </c>
      <c r="C4756" t="s">
        <v>975</v>
      </c>
      <c r="D4756" t="s">
        <v>1021</v>
      </c>
      <c r="E4756" t="s">
        <v>961</v>
      </c>
      <c r="F4756" t="s">
        <v>962</v>
      </c>
      <c r="G4756" t="s">
        <v>972</v>
      </c>
      <c r="H4756">
        <v>119</v>
      </c>
      <c r="I4756">
        <v>20.025200000000002</v>
      </c>
      <c r="J4756">
        <v>36.453800000000001</v>
      </c>
      <c r="K4756">
        <v>16.428599999999999</v>
      </c>
      <c r="L4756">
        <v>107</v>
      </c>
      <c r="M4756">
        <v>2</v>
      </c>
      <c r="N4756">
        <v>10</v>
      </c>
      <c r="O4756">
        <v>36.518700000000003</v>
      </c>
      <c r="P4756">
        <v>17.2501</v>
      </c>
      <c r="Q4756">
        <v>9.6315000000000008</v>
      </c>
    </row>
    <row r="4757" spans="1:17" x14ac:dyDescent="0.25">
      <c r="A4757" t="str">
        <f>IF(C4757&amp;G4757&amp;D4757&lt;&gt;'Funnel setup'!$K$3&amp;'Funnel setup'!$K$4&amp;'Funnel setup'!$K$6,".",IF(A4756=".",1,A4756+1))</f>
        <v>.</v>
      </c>
      <c r="B4757" s="244" t="str">
        <f t="shared" si="74"/>
        <v>Total Knee ReplacementEnglandEnglandEQ VAS</v>
      </c>
      <c r="C4757" t="s">
        <v>975</v>
      </c>
      <c r="D4757" t="s">
        <v>122</v>
      </c>
      <c r="E4757" t="s">
        <v>122</v>
      </c>
      <c r="F4757" t="s">
        <v>122</v>
      </c>
      <c r="G4757" t="s">
        <v>752</v>
      </c>
      <c r="H4757">
        <v>14170</v>
      </c>
      <c r="I4757">
        <v>65.305700000000002</v>
      </c>
      <c r="J4757">
        <v>73.665800000000004</v>
      </c>
      <c r="K4757">
        <v>8.3600600000000007</v>
      </c>
      <c r="L4757">
        <v>8669</v>
      </c>
      <c r="M4757">
        <v>1505</v>
      </c>
      <c r="N4757">
        <v>3996</v>
      </c>
      <c r="O4757">
        <v>73.665800000000004</v>
      </c>
      <c r="P4757">
        <v>8.3600600000000007</v>
      </c>
      <c r="Q4757">
        <v>16.915500000000002</v>
      </c>
    </row>
    <row r="4758" spans="1:17" x14ac:dyDescent="0.25">
      <c r="A4758" t="str">
        <f>IF(C4758&amp;G4758&amp;D4758&lt;&gt;'Funnel setup'!$K$3&amp;'Funnel setup'!$K$4&amp;'Funnel setup'!$K$6,".",IF(A4757=".",1,A4757+1))</f>
        <v>.</v>
      </c>
      <c r="B4758" s="244" t="str">
        <f t="shared" si="74"/>
        <v>Total Knee ReplacementEnglandEnglandEQ-5D Index</v>
      </c>
      <c r="C4758" t="s">
        <v>975</v>
      </c>
      <c r="D4758" t="s">
        <v>122</v>
      </c>
      <c r="E4758" t="s">
        <v>122</v>
      </c>
      <c r="F4758" t="s">
        <v>122</v>
      </c>
      <c r="G4758" t="s">
        <v>963</v>
      </c>
      <c r="H4758">
        <v>14779</v>
      </c>
      <c r="I4758">
        <v>0.42429699999999998</v>
      </c>
      <c r="J4758">
        <v>0.74787899999999996</v>
      </c>
      <c r="K4758">
        <v>0.32358199999999998</v>
      </c>
      <c r="L4758">
        <v>12132</v>
      </c>
      <c r="M4758">
        <v>1275</v>
      </c>
      <c r="N4758">
        <v>1372</v>
      </c>
      <c r="O4758">
        <v>0.74787899999999996</v>
      </c>
      <c r="P4758">
        <v>0.32358199999999998</v>
      </c>
      <c r="Q4758">
        <v>0.23147699999999999</v>
      </c>
    </row>
    <row r="4759" spans="1:17" x14ac:dyDescent="0.25">
      <c r="A4759" t="str">
        <f>IF(C4759&amp;G4759&amp;D4759&lt;&gt;'Funnel setup'!$K$3&amp;'Funnel setup'!$K$4&amp;'Funnel setup'!$K$6,".",IF(A4758=".",1,A4758+1))</f>
        <v>.</v>
      </c>
      <c r="B4759" s="244" t="str">
        <f t="shared" si="74"/>
        <v>Total Knee ReplacementEnglandEnglandOxford Knee Score</v>
      </c>
      <c r="C4759" t="s">
        <v>975</v>
      </c>
      <c r="D4759" t="s">
        <v>122</v>
      </c>
      <c r="E4759" t="s">
        <v>122</v>
      </c>
      <c r="F4759" t="s">
        <v>122</v>
      </c>
      <c r="G4759" t="s">
        <v>972</v>
      </c>
      <c r="H4759">
        <v>15627</v>
      </c>
      <c r="I4759">
        <v>19.268599999999999</v>
      </c>
      <c r="J4759">
        <v>36.750399999999999</v>
      </c>
      <c r="K4759">
        <v>17.4818</v>
      </c>
      <c r="L4759">
        <v>14821</v>
      </c>
      <c r="M4759">
        <v>121</v>
      </c>
      <c r="N4759">
        <v>685</v>
      </c>
      <c r="O4759">
        <v>36.750399999999999</v>
      </c>
      <c r="P4759">
        <v>17.4818</v>
      </c>
      <c r="Q4759">
        <v>8.4698100000000007</v>
      </c>
    </row>
    <row r="4760" spans="1:17" x14ac:dyDescent="0.25">
      <c r="A4760" t="str">
        <f>IF(C4760&amp;G4760&amp;D4760&lt;&gt;'Funnel setup'!$K$3&amp;'Funnel setup'!$K$4&amp;'Funnel setup'!$K$6,".",IF(A4759=".",1,A4759+1))</f>
        <v>.</v>
      </c>
      <c r="B4760" s="244" t="str">
        <f t="shared" si="74"/>
        <v>Total Knee ReplacementProviderSULIS HOSPITAL BATHEQ VAS</v>
      </c>
      <c r="C4760" t="s">
        <v>975</v>
      </c>
      <c r="D4760" t="s">
        <v>965</v>
      </c>
      <c r="E4760" t="s">
        <v>732</v>
      </c>
      <c r="F4760" t="s">
        <v>1325</v>
      </c>
      <c r="G4760" t="s">
        <v>752</v>
      </c>
      <c r="H4760">
        <v>35</v>
      </c>
      <c r="I4760">
        <v>64.857100000000003</v>
      </c>
      <c r="J4760">
        <v>73.6571</v>
      </c>
      <c r="K4760">
        <v>8.8000000000000007</v>
      </c>
      <c r="L4760">
        <v>22</v>
      </c>
      <c r="M4760">
        <v>5</v>
      </c>
      <c r="N4760">
        <v>8</v>
      </c>
      <c r="O4760">
        <v>71.985500000000002</v>
      </c>
      <c r="P4760">
        <v>6.6798000000000002</v>
      </c>
      <c r="Q4760">
        <v>13.946999999999999</v>
      </c>
    </row>
    <row r="4761" spans="1:17" x14ac:dyDescent="0.25">
      <c r="A4761" t="str">
        <f>IF(C4761&amp;G4761&amp;D4761&lt;&gt;'Funnel setup'!$K$3&amp;'Funnel setup'!$K$4&amp;'Funnel setup'!$K$6,".",IF(A4760=".",1,A4760+1))</f>
        <v>.</v>
      </c>
      <c r="B4761" s="244" t="str">
        <f t="shared" si="74"/>
        <v>Total Knee ReplacementProviderAIREDALE NHS FOUNDATION TRUST (RCF)EQ VAS</v>
      </c>
      <c r="C4761" t="s">
        <v>975</v>
      </c>
      <c r="D4761" t="s">
        <v>965</v>
      </c>
      <c r="E4761" t="s">
        <v>125</v>
      </c>
      <c r="F4761" t="s">
        <v>126</v>
      </c>
      <c r="G4761" t="s">
        <v>752</v>
      </c>
      <c r="H4761">
        <v>29</v>
      </c>
      <c r="I4761">
        <v>70.241399999999999</v>
      </c>
      <c r="J4761">
        <v>78.413799999999995</v>
      </c>
      <c r="K4761">
        <v>8.1724099999999993</v>
      </c>
      <c r="L4761">
        <v>14</v>
      </c>
      <c r="M4761">
        <v>7</v>
      </c>
      <c r="N4761">
        <v>8</v>
      </c>
      <c r="O4761" t="s">
        <v>127</v>
      </c>
      <c r="P4761" t="s">
        <v>127</v>
      </c>
      <c r="Q4761" t="s">
        <v>127</v>
      </c>
    </row>
    <row r="4762" spans="1:17" x14ac:dyDescent="0.25">
      <c r="A4762" t="str">
        <f>IF(C4762&amp;G4762&amp;D4762&lt;&gt;'Funnel setup'!$K$3&amp;'Funnel setup'!$K$4&amp;'Funnel setup'!$K$6,".",IF(A4761=".",1,A4761+1))</f>
        <v>.</v>
      </c>
      <c r="B4762" s="244" t="str">
        <f t="shared" si="74"/>
        <v>Total Knee ReplacementProviderALEXANDRA HOSPITAL (NT401)EQ VAS</v>
      </c>
      <c r="C4762" t="s">
        <v>975</v>
      </c>
      <c r="D4762" t="s">
        <v>965</v>
      </c>
      <c r="E4762" t="s">
        <v>130</v>
      </c>
      <c r="F4762" t="s">
        <v>131</v>
      </c>
      <c r="G4762" t="s">
        <v>752</v>
      </c>
      <c r="H4762">
        <v>44</v>
      </c>
      <c r="I4762">
        <v>63.636400000000002</v>
      </c>
      <c r="J4762">
        <v>73.25</v>
      </c>
      <c r="K4762">
        <v>9.6136400000000002</v>
      </c>
      <c r="L4762">
        <v>30</v>
      </c>
      <c r="M4762">
        <v>2</v>
      </c>
      <c r="N4762">
        <v>12</v>
      </c>
      <c r="O4762">
        <v>72.6083</v>
      </c>
      <c r="P4762">
        <v>7.3025799999999998</v>
      </c>
      <c r="Q4762">
        <v>18.6495</v>
      </c>
    </row>
    <row r="4763" spans="1:17" x14ac:dyDescent="0.25">
      <c r="A4763" t="str">
        <f>IF(C4763&amp;G4763&amp;D4763&lt;&gt;'Funnel setup'!$K$3&amp;'Funnel setup'!$K$4&amp;'Funnel setup'!$K$6,".",IF(A4762=".",1,A4762+1))</f>
        <v>.</v>
      </c>
      <c r="B4763" s="244" t="str">
        <f t="shared" si="74"/>
        <v>Total Knee ReplacementProviderASHFORD AND ST PETER'S HOSPITALS NHS FOUNDATION TRUST (RTK)EQ VAS</v>
      </c>
      <c r="C4763" t="s">
        <v>975</v>
      </c>
      <c r="D4763" t="s">
        <v>965</v>
      </c>
      <c r="E4763" t="s">
        <v>132</v>
      </c>
      <c r="F4763" t="s">
        <v>133</v>
      </c>
      <c r="G4763" t="s">
        <v>752</v>
      </c>
      <c r="H4763">
        <v>29</v>
      </c>
      <c r="I4763">
        <v>72.103399999999993</v>
      </c>
      <c r="J4763">
        <v>75.206900000000005</v>
      </c>
      <c r="K4763">
        <v>3.10345</v>
      </c>
      <c r="L4763">
        <v>16</v>
      </c>
      <c r="M4763">
        <v>2</v>
      </c>
      <c r="N4763">
        <v>11</v>
      </c>
      <c r="O4763" t="s">
        <v>127</v>
      </c>
      <c r="P4763" t="s">
        <v>127</v>
      </c>
      <c r="Q4763" t="s">
        <v>127</v>
      </c>
    </row>
    <row r="4764" spans="1:17" x14ac:dyDescent="0.25">
      <c r="A4764" t="str">
        <f>IF(C4764&amp;G4764&amp;D4764&lt;&gt;'Funnel setup'!$K$3&amp;'Funnel setup'!$K$4&amp;'Funnel setup'!$K$6,".",IF(A4763=".",1,A4763+1))</f>
        <v>.</v>
      </c>
      <c r="B4764" s="244" t="str">
        <f t="shared" si="74"/>
        <v>Total Knee ReplacementProviderASHTEAD HOSPITAL (NVC01)EQ VAS</v>
      </c>
      <c r="C4764" t="s">
        <v>975</v>
      </c>
      <c r="D4764" t="s">
        <v>965</v>
      </c>
      <c r="E4764" t="s">
        <v>134</v>
      </c>
      <c r="F4764" t="s">
        <v>135</v>
      </c>
      <c r="G4764" t="s">
        <v>752</v>
      </c>
      <c r="H4764">
        <v>4</v>
      </c>
      <c r="I4764">
        <v>70</v>
      </c>
      <c r="J4764">
        <v>90.5</v>
      </c>
      <c r="K4764">
        <v>20.5</v>
      </c>
      <c r="L4764">
        <v>3</v>
      </c>
      <c r="M4764">
        <v>0</v>
      </c>
      <c r="N4764">
        <v>1</v>
      </c>
      <c r="O4764" t="s">
        <v>127</v>
      </c>
      <c r="P4764" t="s">
        <v>127</v>
      </c>
      <c r="Q4764" t="s">
        <v>127</v>
      </c>
    </row>
    <row r="4765" spans="1:17" x14ac:dyDescent="0.25">
      <c r="A4765" t="str">
        <f>IF(C4765&amp;G4765&amp;D4765&lt;&gt;'Funnel setup'!$K$3&amp;'Funnel setup'!$K$4&amp;'Funnel setup'!$K$6,".",IF(A4764=".",1,A4764+1))</f>
        <v>.</v>
      </c>
      <c r="B4765" s="244" t="str">
        <f t="shared" si="74"/>
        <v>Total Knee ReplacementProviderBARKING, HAVERING AND REDBRIDGE UNIVERSITY HOSPITALS NHS TRUST (RF4)EQ VAS</v>
      </c>
      <c r="C4765" t="s">
        <v>975</v>
      </c>
      <c r="D4765" t="s">
        <v>965</v>
      </c>
      <c r="E4765" t="s">
        <v>144</v>
      </c>
      <c r="F4765" t="s">
        <v>145</v>
      </c>
      <c r="G4765" t="s">
        <v>752</v>
      </c>
      <c r="H4765">
        <v>53</v>
      </c>
      <c r="I4765">
        <v>60.924500000000002</v>
      </c>
      <c r="J4765">
        <v>71.792500000000004</v>
      </c>
      <c r="K4765">
        <v>10.867900000000001</v>
      </c>
      <c r="L4765">
        <v>38</v>
      </c>
      <c r="M4765">
        <v>5</v>
      </c>
      <c r="N4765">
        <v>10</v>
      </c>
      <c r="O4765">
        <v>75.143500000000003</v>
      </c>
      <c r="P4765">
        <v>9.8377599999999994</v>
      </c>
      <c r="Q4765">
        <v>14.6774</v>
      </c>
    </row>
    <row r="4766" spans="1:17" x14ac:dyDescent="0.25">
      <c r="A4766" t="str">
        <f>IF(C4766&amp;G4766&amp;D4766&lt;&gt;'Funnel setup'!$K$3&amp;'Funnel setup'!$K$4&amp;'Funnel setup'!$K$6,".",IF(A4765=".",1,A4765+1))</f>
        <v>.</v>
      </c>
      <c r="B4766" s="244" t="str">
        <f t="shared" si="74"/>
        <v>Total Knee ReplacementProviderBARNSLEY HOSPITAL NHS FOUNDATION TRUST (RFF)EQ VAS</v>
      </c>
      <c r="C4766" t="s">
        <v>975</v>
      </c>
      <c r="D4766" t="s">
        <v>965</v>
      </c>
      <c r="E4766" t="s">
        <v>146</v>
      </c>
      <c r="F4766" t="s">
        <v>147</v>
      </c>
      <c r="G4766" t="s">
        <v>752</v>
      </c>
      <c r="H4766">
        <v>48</v>
      </c>
      <c r="I4766">
        <v>68.416700000000006</v>
      </c>
      <c r="J4766">
        <v>76.104200000000006</v>
      </c>
      <c r="K4766">
        <v>7.6875</v>
      </c>
      <c r="L4766">
        <v>31</v>
      </c>
      <c r="M4766">
        <v>4</v>
      </c>
      <c r="N4766">
        <v>13</v>
      </c>
      <c r="O4766">
        <v>75.058800000000005</v>
      </c>
      <c r="P4766">
        <v>9.7531099999999995</v>
      </c>
      <c r="Q4766">
        <v>16.7668</v>
      </c>
    </row>
    <row r="4767" spans="1:17" x14ac:dyDescent="0.25">
      <c r="A4767" t="str">
        <f>IF(C4767&amp;G4767&amp;D4767&lt;&gt;'Funnel setup'!$K$3&amp;'Funnel setup'!$K$4&amp;'Funnel setup'!$K$6,".",IF(A4766=".",1,A4766+1))</f>
        <v>.</v>
      </c>
      <c r="B4767" s="244" t="str">
        <f t="shared" si="74"/>
        <v>Total Knee ReplacementProviderBARTS HEALTH NHS TRUST (R1H)EQ VAS</v>
      </c>
      <c r="C4767" t="s">
        <v>975</v>
      </c>
      <c r="D4767" t="s">
        <v>965</v>
      </c>
      <c r="E4767" t="s">
        <v>148</v>
      </c>
      <c r="F4767" t="s">
        <v>149</v>
      </c>
      <c r="G4767" t="s">
        <v>752</v>
      </c>
      <c r="H4767">
        <v>68</v>
      </c>
      <c r="I4767">
        <v>59.088200000000001</v>
      </c>
      <c r="J4767">
        <v>67.7059</v>
      </c>
      <c r="K4767">
        <v>8.6176499999999994</v>
      </c>
      <c r="L4767">
        <v>43</v>
      </c>
      <c r="M4767">
        <v>4</v>
      </c>
      <c r="N4767">
        <v>21</v>
      </c>
      <c r="O4767">
        <v>73.443100000000001</v>
      </c>
      <c r="P4767">
        <v>8.1373800000000003</v>
      </c>
      <c r="Q4767">
        <v>20.1511</v>
      </c>
    </row>
    <row r="4768" spans="1:17" x14ac:dyDescent="0.25">
      <c r="A4768" t="str">
        <f>IF(C4768&amp;G4768&amp;D4768&lt;&gt;'Funnel setup'!$K$3&amp;'Funnel setup'!$K$4&amp;'Funnel setup'!$K$6,".",IF(A4767=".",1,A4767+1))</f>
        <v>.</v>
      </c>
      <c r="B4768" s="244" t="str">
        <f t="shared" si="74"/>
        <v>Total Knee ReplacementProviderBATH CLINIC (NT402)EQ VAS</v>
      </c>
      <c r="C4768" t="s">
        <v>975</v>
      </c>
      <c r="D4768" t="s">
        <v>965</v>
      </c>
      <c r="E4768" t="s">
        <v>152</v>
      </c>
      <c r="F4768" t="s">
        <v>153</v>
      </c>
      <c r="G4768" t="s">
        <v>752</v>
      </c>
      <c r="H4768">
        <v>54</v>
      </c>
      <c r="I4768">
        <v>77.277799999999999</v>
      </c>
      <c r="J4768">
        <v>78.425899999999999</v>
      </c>
      <c r="K4768">
        <v>1.14815</v>
      </c>
      <c r="L4768">
        <v>28</v>
      </c>
      <c r="M4768">
        <v>5</v>
      </c>
      <c r="N4768">
        <v>21</v>
      </c>
      <c r="O4768">
        <v>71.584100000000007</v>
      </c>
      <c r="P4768">
        <v>6.2783499999999997</v>
      </c>
      <c r="Q4768">
        <v>16.302399999999999</v>
      </c>
    </row>
    <row r="4769" spans="1:17" x14ac:dyDescent="0.25">
      <c r="A4769" t="str">
        <f>IF(C4769&amp;G4769&amp;D4769&lt;&gt;'Funnel setup'!$K$3&amp;'Funnel setup'!$K$4&amp;'Funnel setup'!$K$6,".",IF(A4768=".",1,A4768+1))</f>
        <v>.</v>
      </c>
      <c r="B4769" s="244" t="str">
        <f t="shared" si="74"/>
        <v>Total Knee ReplacementProviderBEARDWOOD HOSPITAL (NT403)EQ VAS</v>
      </c>
      <c r="C4769" t="s">
        <v>975</v>
      </c>
      <c r="D4769" t="s">
        <v>965</v>
      </c>
      <c r="E4769" t="s">
        <v>154</v>
      </c>
      <c r="F4769" t="s">
        <v>155</v>
      </c>
      <c r="G4769" t="s">
        <v>752</v>
      </c>
      <c r="H4769">
        <v>69</v>
      </c>
      <c r="I4769">
        <v>71.971000000000004</v>
      </c>
      <c r="J4769">
        <v>75.318799999999996</v>
      </c>
      <c r="K4769">
        <v>3.3478300000000001</v>
      </c>
      <c r="L4769">
        <v>35</v>
      </c>
      <c r="M4769">
        <v>12</v>
      </c>
      <c r="N4769">
        <v>22</v>
      </c>
      <c r="O4769">
        <v>71.0745</v>
      </c>
      <c r="P4769">
        <v>5.7688100000000002</v>
      </c>
      <c r="Q4769">
        <v>15.9383</v>
      </c>
    </row>
    <row r="4770" spans="1:17" x14ac:dyDescent="0.25">
      <c r="A4770" t="str">
        <f>IF(C4770&amp;G4770&amp;D4770&lt;&gt;'Funnel setup'!$K$3&amp;'Funnel setup'!$K$4&amp;'Funnel setup'!$K$6,".",IF(A4769=".",1,A4769+1))</f>
        <v>.</v>
      </c>
      <c r="B4770" s="244" t="str">
        <f t="shared" si="74"/>
        <v>Total Knee ReplacementProviderBEAUMONT HOSPITAL (NT404)EQ VAS</v>
      </c>
      <c r="C4770" t="s">
        <v>975</v>
      </c>
      <c r="D4770" t="s">
        <v>965</v>
      </c>
      <c r="E4770" t="s">
        <v>156</v>
      </c>
      <c r="F4770" t="s">
        <v>157</v>
      </c>
      <c r="G4770" t="s">
        <v>752</v>
      </c>
      <c r="H4770">
        <v>42</v>
      </c>
      <c r="I4770">
        <v>67.860500000000002</v>
      </c>
      <c r="J4770">
        <v>77.790700000000001</v>
      </c>
      <c r="K4770">
        <v>9.9302299999999999</v>
      </c>
      <c r="L4770">
        <v>27</v>
      </c>
      <c r="M4770">
        <v>5</v>
      </c>
      <c r="N4770">
        <v>10</v>
      </c>
      <c r="O4770">
        <v>75.995000000000005</v>
      </c>
      <c r="P4770">
        <v>10.689299999999999</v>
      </c>
      <c r="Q4770">
        <v>15.185600000000001</v>
      </c>
    </row>
    <row r="4771" spans="1:17" x14ac:dyDescent="0.25">
      <c r="A4771" t="str">
        <f>IF(C4771&amp;G4771&amp;D4771&lt;&gt;'Funnel setup'!$K$3&amp;'Funnel setup'!$K$4&amp;'Funnel setup'!$K$6,".",IF(A4770=".",1,A4770+1))</f>
        <v>.</v>
      </c>
      <c r="B4771" s="244" t="str">
        <f t="shared" si="74"/>
        <v>Total Knee ReplacementProviderBEDFORDSHIRE HOSPITALS NHS FOUNDATION TRUST (RC9)EQ VAS</v>
      </c>
      <c r="C4771" t="s">
        <v>975</v>
      </c>
      <c r="D4771" t="s">
        <v>965</v>
      </c>
      <c r="E4771" t="s">
        <v>158</v>
      </c>
      <c r="F4771" t="s">
        <v>159</v>
      </c>
      <c r="G4771" t="s">
        <v>752</v>
      </c>
      <c r="H4771">
        <v>136</v>
      </c>
      <c r="I4771">
        <v>62.985300000000002</v>
      </c>
      <c r="J4771">
        <v>68.897099999999995</v>
      </c>
      <c r="K4771">
        <v>5.9117600000000001</v>
      </c>
      <c r="L4771">
        <v>76</v>
      </c>
      <c r="M4771">
        <v>14</v>
      </c>
      <c r="N4771">
        <v>46</v>
      </c>
      <c r="O4771">
        <v>70.450999999999993</v>
      </c>
      <c r="P4771">
        <v>5.1453100000000003</v>
      </c>
      <c r="Q4771">
        <v>20.345300000000002</v>
      </c>
    </row>
    <row r="4772" spans="1:17" x14ac:dyDescent="0.25">
      <c r="A4772" t="str">
        <f>IF(C4772&amp;G4772&amp;D4772&lt;&gt;'Funnel setup'!$K$3&amp;'Funnel setup'!$K$4&amp;'Funnel setup'!$K$6,".",IF(A4771=".",1,A4771+1))</f>
        <v>.</v>
      </c>
      <c r="B4772" s="244" t="str">
        <f t="shared" si="74"/>
        <v>Total Knee ReplacementProviderBENENDEN HOSPITAL (NWF01)EQ VAS</v>
      </c>
      <c r="C4772" t="s">
        <v>975</v>
      </c>
      <c r="D4772" t="s">
        <v>965</v>
      </c>
      <c r="E4772" t="s">
        <v>160</v>
      </c>
      <c r="F4772" t="s">
        <v>161</v>
      </c>
      <c r="G4772" t="s">
        <v>752</v>
      </c>
      <c r="H4772">
        <v>25</v>
      </c>
      <c r="I4772">
        <v>68.12</v>
      </c>
      <c r="J4772">
        <v>78.040000000000006</v>
      </c>
      <c r="K4772">
        <v>9.92</v>
      </c>
      <c r="L4772">
        <v>20</v>
      </c>
      <c r="M4772">
        <v>1</v>
      </c>
      <c r="N4772">
        <v>4</v>
      </c>
      <c r="O4772" t="s">
        <v>127</v>
      </c>
      <c r="P4772" t="s">
        <v>127</v>
      </c>
      <c r="Q4772" t="s">
        <v>127</v>
      </c>
    </row>
    <row r="4773" spans="1:17" x14ac:dyDescent="0.25">
      <c r="A4773" t="str">
        <f>IF(C4773&amp;G4773&amp;D4773&lt;&gt;'Funnel setup'!$K$3&amp;'Funnel setup'!$K$4&amp;'Funnel setup'!$K$6,".",IF(A4772=".",1,A4772+1))</f>
        <v>.</v>
      </c>
      <c r="B4773" s="244" t="str">
        <f t="shared" si="74"/>
        <v>Total Knee ReplacementProviderBLACKHEATH HOSPITAL (NT406)EQ VAS</v>
      </c>
      <c r="C4773" t="s">
        <v>975</v>
      </c>
      <c r="D4773" t="s">
        <v>965</v>
      </c>
      <c r="E4773" t="s">
        <v>168</v>
      </c>
      <c r="F4773" t="s">
        <v>169</v>
      </c>
      <c r="G4773" t="s">
        <v>752</v>
      </c>
      <c r="H4773">
        <v>17</v>
      </c>
      <c r="I4773">
        <v>71.235299999999995</v>
      </c>
      <c r="J4773">
        <v>78.235299999999995</v>
      </c>
      <c r="K4773">
        <v>7</v>
      </c>
      <c r="L4773">
        <v>11</v>
      </c>
      <c r="M4773">
        <v>3</v>
      </c>
      <c r="N4773">
        <v>3</v>
      </c>
      <c r="O4773" t="s">
        <v>127</v>
      </c>
      <c r="P4773" t="s">
        <v>127</v>
      </c>
      <c r="Q4773" t="s">
        <v>127</v>
      </c>
    </row>
    <row r="4774" spans="1:17" x14ac:dyDescent="0.25">
      <c r="A4774" t="str">
        <f>IF(C4774&amp;G4774&amp;D4774&lt;&gt;'Funnel setup'!$K$3&amp;'Funnel setup'!$K$4&amp;'Funnel setup'!$K$6,".",IF(A4773=".",1,A4773+1))</f>
        <v>.</v>
      </c>
      <c r="B4774" s="244" t="str">
        <f t="shared" si="74"/>
        <v>Total Knee ReplacementProviderBLACKPOOL TEACHING HOSPITALS NHS FOUNDATION TRUST (RXL)EQ VAS</v>
      </c>
      <c r="C4774" t="s">
        <v>975</v>
      </c>
      <c r="D4774" t="s">
        <v>965</v>
      </c>
      <c r="E4774" t="s">
        <v>170</v>
      </c>
      <c r="F4774" t="s">
        <v>171</v>
      </c>
      <c r="G4774" t="s">
        <v>752</v>
      </c>
      <c r="H4774">
        <v>55</v>
      </c>
      <c r="I4774">
        <v>67.2727</v>
      </c>
      <c r="J4774">
        <v>69.181799999999996</v>
      </c>
      <c r="K4774">
        <v>1.90909</v>
      </c>
      <c r="L4774">
        <v>24</v>
      </c>
      <c r="M4774">
        <v>9</v>
      </c>
      <c r="N4774">
        <v>22</v>
      </c>
      <c r="O4774">
        <v>72.753200000000007</v>
      </c>
      <c r="P4774">
        <v>7.4474900000000002</v>
      </c>
      <c r="Q4774">
        <v>17.017199999999999</v>
      </c>
    </row>
    <row r="4775" spans="1:17" x14ac:dyDescent="0.25">
      <c r="A4775" t="str">
        <f>IF(C4775&amp;G4775&amp;D4775&lt;&gt;'Funnel setup'!$K$3&amp;'Funnel setup'!$K$4&amp;'Funnel setup'!$K$6,".",IF(A4774=".",1,A4774+1))</f>
        <v>.</v>
      </c>
      <c r="B4775" s="244" t="str">
        <f t="shared" si="74"/>
        <v>Total Knee ReplacementProviderBOLTON NHS FOUNDATION TRUST (RMC)EQ VAS</v>
      </c>
      <c r="C4775" t="s">
        <v>975</v>
      </c>
      <c r="D4775" t="s">
        <v>965</v>
      </c>
      <c r="E4775" t="s">
        <v>172</v>
      </c>
      <c r="F4775" t="s">
        <v>173</v>
      </c>
      <c r="G4775" t="s">
        <v>752</v>
      </c>
      <c r="H4775">
        <v>51</v>
      </c>
      <c r="I4775">
        <v>68.039199999999994</v>
      </c>
      <c r="J4775">
        <v>72.352900000000005</v>
      </c>
      <c r="K4775">
        <v>4.3137299999999996</v>
      </c>
      <c r="L4775">
        <v>25</v>
      </c>
      <c r="M4775">
        <v>10</v>
      </c>
      <c r="N4775">
        <v>16</v>
      </c>
      <c r="O4775">
        <v>74.100999999999999</v>
      </c>
      <c r="P4775">
        <v>8.7952999999999992</v>
      </c>
      <c r="Q4775">
        <v>15.664199999999999</v>
      </c>
    </row>
    <row r="4776" spans="1:17" x14ac:dyDescent="0.25">
      <c r="A4776" t="str">
        <f>IF(C4776&amp;G4776&amp;D4776&lt;&gt;'Funnel setup'!$K$3&amp;'Funnel setup'!$K$4&amp;'Funnel setup'!$K$6,".",IF(A4775=".",1,A4775+1))</f>
        <v>.</v>
      </c>
      <c r="B4776" s="244" t="str">
        <f t="shared" si="74"/>
        <v>Total Knee ReplacementProviderBRADFORD TEACHING HOSPITALS NHS FOUNDATION TRUST (RAE)EQ VAS</v>
      </c>
      <c r="C4776" t="s">
        <v>975</v>
      </c>
      <c r="D4776" t="s">
        <v>965</v>
      </c>
      <c r="E4776" t="s">
        <v>174</v>
      </c>
      <c r="F4776" t="s">
        <v>175</v>
      </c>
      <c r="G4776" t="s">
        <v>752</v>
      </c>
      <c r="H4776">
        <v>5</v>
      </c>
      <c r="I4776">
        <v>60</v>
      </c>
      <c r="J4776">
        <v>72.2</v>
      </c>
      <c r="K4776">
        <v>12.2</v>
      </c>
      <c r="L4776">
        <v>4</v>
      </c>
      <c r="M4776">
        <v>0</v>
      </c>
      <c r="N4776">
        <v>1</v>
      </c>
      <c r="O4776" t="s">
        <v>127</v>
      </c>
      <c r="P4776" t="s">
        <v>127</v>
      </c>
      <c r="Q4776" t="s">
        <v>127</v>
      </c>
    </row>
    <row r="4777" spans="1:17" x14ac:dyDescent="0.25">
      <c r="A4777" t="str">
        <f>IF(C4777&amp;G4777&amp;D4777&lt;&gt;'Funnel setup'!$K$3&amp;'Funnel setup'!$K$4&amp;'Funnel setup'!$K$6,".",IF(A4776=".",1,A4776+1))</f>
        <v>.</v>
      </c>
      <c r="B4777" s="244" t="str">
        <f t="shared" si="74"/>
        <v>Total Knee ReplacementProviderBUCKINGHAMSHIRE HEALTHCARE NHS TRUST (RXQ)EQ VAS</v>
      </c>
      <c r="C4777" t="s">
        <v>975</v>
      </c>
      <c r="D4777" t="s">
        <v>965</v>
      </c>
      <c r="E4777" t="s">
        <v>178</v>
      </c>
      <c r="F4777" t="s">
        <v>179</v>
      </c>
      <c r="G4777" t="s">
        <v>752</v>
      </c>
      <c r="H4777">
        <v>74</v>
      </c>
      <c r="I4777">
        <v>64.891900000000007</v>
      </c>
      <c r="J4777">
        <v>71.716200000000001</v>
      </c>
      <c r="K4777">
        <v>6.8243200000000002</v>
      </c>
      <c r="L4777">
        <v>44</v>
      </c>
      <c r="M4777">
        <v>6</v>
      </c>
      <c r="N4777">
        <v>24</v>
      </c>
      <c r="O4777">
        <v>71.342299999999994</v>
      </c>
      <c r="P4777">
        <v>6.0365500000000001</v>
      </c>
      <c r="Q4777">
        <v>18.458200000000001</v>
      </c>
    </row>
    <row r="4778" spans="1:17" x14ac:dyDescent="0.25">
      <c r="A4778" t="str">
        <f>IF(C4778&amp;G4778&amp;D4778&lt;&gt;'Funnel setup'!$K$3&amp;'Funnel setup'!$K$4&amp;'Funnel setup'!$K$6,".",IF(A4777=".",1,A4777+1))</f>
        <v>.</v>
      </c>
      <c r="B4778" s="244" t="str">
        <f t="shared" si="74"/>
        <v>Total Knee ReplacementProviderCALDERDALE AND HUDDERSFIELD NHS FOUNDATION TRUST (RWY)EQ VAS</v>
      </c>
      <c r="C4778" t="s">
        <v>975</v>
      </c>
      <c r="D4778" t="s">
        <v>965</v>
      </c>
      <c r="E4778" t="s">
        <v>180</v>
      </c>
      <c r="F4778" t="s">
        <v>181</v>
      </c>
      <c r="G4778" t="s">
        <v>752</v>
      </c>
      <c r="H4778">
        <v>55</v>
      </c>
      <c r="I4778">
        <v>66.636399999999995</v>
      </c>
      <c r="J4778">
        <v>69.127300000000005</v>
      </c>
      <c r="K4778">
        <v>2.49091</v>
      </c>
      <c r="L4778">
        <v>26</v>
      </c>
      <c r="M4778">
        <v>6</v>
      </c>
      <c r="N4778">
        <v>23</v>
      </c>
      <c r="O4778">
        <v>69.4846</v>
      </c>
      <c r="P4778">
        <v>4.1788600000000002</v>
      </c>
      <c r="Q4778">
        <v>17.477399999999999</v>
      </c>
    </row>
    <row r="4779" spans="1:17" x14ac:dyDescent="0.25">
      <c r="A4779" t="str">
        <f>IF(C4779&amp;G4779&amp;D4779&lt;&gt;'Funnel setup'!$K$3&amp;'Funnel setup'!$K$4&amp;'Funnel setup'!$K$6,".",IF(A4778=".",1,A4778+1))</f>
        <v>.</v>
      </c>
      <c r="B4779" s="244" t="str">
        <f t="shared" si="74"/>
        <v>Total Knee ReplacementProviderCAMBRIDGE UNIVERSITY HOSPITALS NHS FOUNDATION TRUST (RGT)EQ VAS</v>
      </c>
      <c r="C4779" t="s">
        <v>975</v>
      </c>
      <c r="D4779" t="s">
        <v>965</v>
      </c>
      <c r="E4779" t="s">
        <v>182</v>
      </c>
      <c r="F4779" t="s">
        <v>183</v>
      </c>
      <c r="G4779" t="s">
        <v>752</v>
      </c>
      <c r="H4779">
        <v>51</v>
      </c>
      <c r="I4779">
        <v>52.882399999999997</v>
      </c>
      <c r="J4779">
        <v>63.235300000000002</v>
      </c>
      <c r="K4779">
        <v>10.3529</v>
      </c>
      <c r="L4779">
        <v>29</v>
      </c>
      <c r="M4779">
        <v>5</v>
      </c>
      <c r="N4779">
        <v>17</v>
      </c>
      <c r="O4779">
        <v>71.662199999999999</v>
      </c>
      <c r="P4779">
        <v>6.3565199999999997</v>
      </c>
      <c r="Q4779">
        <v>21.79</v>
      </c>
    </row>
    <row r="4780" spans="1:17" x14ac:dyDescent="0.25">
      <c r="A4780" t="str">
        <f>IF(C4780&amp;G4780&amp;D4780&lt;&gt;'Funnel setup'!$K$3&amp;'Funnel setup'!$K$4&amp;'Funnel setup'!$K$6,".",IF(A4779=".",1,A4779+1))</f>
        <v>.</v>
      </c>
      <c r="B4780" s="244" t="str">
        <f t="shared" si="74"/>
        <v>Total Knee ReplacementProviderCAVELL HOSPITAL (NT451)EQ VAS</v>
      </c>
      <c r="C4780" t="s">
        <v>975</v>
      </c>
      <c r="D4780" t="s">
        <v>965</v>
      </c>
      <c r="E4780" t="s">
        <v>184</v>
      </c>
      <c r="F4780" t="s">
        <v>185</v>
      </c>
      <c r="G4780" t="s">
        <v>752</v>
      </c>
      <c r="H4780">
        <v>35</v>
      </c>
      <c r="I4780">
        <v>65.2286</v>
      </c>
      <c r="J4780">
        <v>76.971400000000003</v>
      </c>
      <c r="K4780">
        <v>11.742900000000001</v>
      </c>
      <c r="L4780">
        <v>23</v>
      </c>
      <c r="M4780">
        <v>4</v>
      </c>
      <c r="N4780">
        <v>8</v>
      </c>
      <c r="O4780">
        <v>75.630499999999998</v>
      </c>
      <c r="P4780">
        <v>10.3248</v>
      </c>
      <c r="Q4780">
        <v>14.6228</v>
      </c>
    </row>
    <row r="4781" spans="1:17" x14ac:dyDescent="0.25">
      <c r="A4781" t="str">
        <f>IF(C4781&amp;G4781&amp;D4781&lt;&gt;'Funnel setup'!$K$3&amp;'Funnel setup'!$K$4&amp;'Funnel setup'!$K$6,".",IF(A4780=".",1,A4780+1))</f>
        <v>.</v>
      </c>
      <c r="B4781" s="244" t="str">
        <f t="shared" si="74"/>
        <v>Total Knee ReplacementProviderCHAUCER HOSPITAL (NT408)EQ VAS</v>
      </c>
      <c r="C4781" t="s">
        <v>975</v>
      </c>
      <c r="D4781" t="s">
        <v>965</v>
      </c>
      <c r="E4781" t="s">
        <v>186</v>
      </c>
      <c r="F4781" t="s">
        <v>187</v>
      </c>
      <c r="G4781" t="s">
        <v>752</v>
      </c>
      <c r="H4781">
        <v>43</v>
      </c>
      <c r="I4781">
        <v>68.604699999999994</v>
      </c>
      <c r="J4781">
        <v>78.441900000000004</v>
      </c>
      <c r="K4781">
        <v>9.8372100000000007</v>
      </c>
      <c r="L4781">
        <v>24</v>
      </c>
      <c r="M4781">
        <v>6</v>
      </c>
      <c r="N4781">
        <v>13</v>
      </c>
      <c r="O4781">
        <v>75.405500000000004</v>
      </c>
      <c r="P4781">
        <v>10.0998</v>
      </c>
      <c r="Q4781">
        <v>11.905799999999999</v>
      </c>
    </row>
    <row r="4782" spans="1:17" x14ac:dyDescent="0.25">
      <c r="A4782" t="str">
        <f>IF(C4782&amp;G4782&amp;D4782&lt;&gt;'Funnel setup'!$K$3&amp;'Funnel setup'!$K$4&amp;'Funnel setup'!$K$6,".",IF(A4781=".",1,A4781+1))</f>
        <v>.</v>
      </c>
      <c r="B4782" s="244" t="str">
        <f t="shared" si="74"/>
        <v>Total Knee ReplacementProviderCHELSEA AND WESTMINSTER HOSPITAL NHS FOUNDATION TRUST (RQM)EQ VAS</v>
      </c>
      <c r="C4782" t="s">
        <v>975</v>
      </c>
      <c r="D4782" t="s">
        <v>965</v>
      </c>
      <c r="E4782" t="s">
        <v>188</v>
      </c>
      <c r="F4782" t="s">
        <v>189</v>
      </c>
      <c r="G4782" t="s">
        <v>752</v>
      </c>
      <c r="H4782">
        <v>6</v>
      </c>
      <c r="I4782">
        <v>77.5</v>
      </c>
      <c r="J4782">
        <v>70</v>
      </c>
      <c r="K4782">
        <v>-7.5</v>
      </c>
      <c r="L4782">
        <v>4</v>
      </c>
      <c r="M4782">
        <v>0</v>
      </c>
      <c r="N4782">
        <v>2</v>
      </c>
      <c r="O4782" t="s">
        <v>127</v>
      </c>
      <c r="P4782" t="s">
        <v>127</v>
      </c>
      <c r="Q4782" t="s">
        <v>127</v>
      </c>
    </row>
    <row r="4783" spans="1:17" x14ac:dyDescent="0.25">
      <c r="A4783" t="str">
        <f>IF(C4783&amp;G4783&amp;D4783&lt;&gt;'Funnel setup'!$K$3&amp;'Funnel setup'!$K$4&amp;'Funnel setup'!$K$6,".",IF(A4782=".",1,A4782+1))</f>
        <v>.</v>
      </c>
      <c r="B4783" s="244" t="str">
        <f t="shared" si="74"/>
        <v>Total Knee ReplacementProviderCHELSFIELD PARK HOSPITAL (NT409)EQ VAS</v>
      </c>
      <c r="C4783" t="s">
        <v>975</v>
      </c>
      <c r="D4783" t="s">
        <v>965</v>
      </c>
      <c r="E4783" t="s">
        <v>190</v>
      </c>
      <c r="F4783" t="s">
        <v>191</v>
      </c>
      <c r="G4783" t="s">
        <v>752</v>
      </c>
      <c r="H4783">
        <v>28</v>
      </c>
      <c r="I4783">
        <v>72.142899999999997</v>
      </c>
      <c r="J4783">
        <v>85</v>
      </c>
      <c r="K4783">
        <v>12.857100000000001</v>
      </c>
      <c r="L4783">
        <v>20</v>
      </c>
      <c r="M4783">
        <v>3</v>
      </c>
      <c r="N4783">
        <v>5</v>
      </c>
      <c r="O4783" t="s">
        <v>127</v>
      </c>
      <c r="P4783" t="s">
        <v>127</v>
      </c>
      <c r="Q4783" t="s">
        <v>127</v>
      </c>
    </row>
    <row r="4784" spans="1:17" x14ac:dyDescent="0.25">
      <c r="A4784" t="str">
        <f>IF(C4784&amp;G4784&amp;D4784&lt;&gt;'Funnel setup'!$K$3&amp;'Funnel setup'!$K$4&amp;'Funnel setup'!$K$6,".",IF(A4783=".",1,A4783+1))</f>
        <v>.</v>
      </c>
      <c r="B4784" s="244" t="str">
        <f t="shared" si="74"/>
        <v>Total Knee ReplacementProviderCHESTERFIELD ROYAL HOSPITAL NHS FOUNDATION TRUST (RFS)EQ VAS</v>
      </c>
      <c r="C4784" t="s">
        <v>975</v>
      </c>
      <c r="D4784" t="s">
        <v>965</v>
      </c>
      <c r="E4784" t="s">
        <v>192</v>
      </c>
      <c r="F4784" t="s">
        <v>193</v>
      </c>
      <c r="G4784" t="s">
        <v>752</v>
      </c>
      <c r="H4784">
        <v>57</v>
      </c>
      <c r="I4784">
        <v>64.982500000000002</v>
      </c>
      <c r="J4784">
        <v>66.754400000000004</v>
      </c>
      <c r="K4784">
        <v>1.77193</v>
      </c>
      <c r="L4784">
        <v>32</v>
      </c>
      <c r="M4784">
        <v>4</v>
      </c>
      <c r="N4784">
        <v>21</v>
      </c>
      <c r="O4784">
        <v>70.077100000000002</v>
      </c>
      <c r="P4784">
        <v>4.7713999999999999</v>
      </c>
      <c r="Q4784">
        <v>22.0884</v>
      </c>
    </row>
    <row r="4785" spans="1:17" x14ac:dyDescent="0.25">
      <c r="A4785" t="str">
        <f>IF(C4785&amp;G4785&amp;D4785&lt;&gt;'Funnel setup'!$K$3&amp;'Funnel setup'!$K$4&amp;'Funnel setup'!$K$6,".",IF(A4784=".",1,A4784+1))</f>
        <v>.</v>
      </c>
      <c r="B4785" s="244" t="str">
        <f t="shared" si="74"/>
        <v>Total Knee ReplacementProviderCHILTERN HOSPITAL (NT410)EQ VAS</v>
      </c>
      <c r="C4785" t="s">
        <v>975</v>
      </c>
      <c r="D4785" t="s">
        <v>965</v>
      </c>
      <c r="E4785" t="s">
        <v>194</v>
      </c>
      <c r="F4785" t="s">
        <v>195</v>
      </c>
      <c r="G4785" t="s">
        <v>752</v>
      </c>
      <c r="H4785">
        <v>71</v>
      </c>
      <c r="I4785">
        <v>72.056299999999993</v>
      </c>
      <c r="J4785">
        <v>82.422499999999999</v>
      </c>
      <c r="K4785">
        <v>10.366199999999999</v>
      </c>
      <c r="L4785">
        <v>47</v>
      </c>
      <c r="M4785">
        <v>9</v>
      </c>
      <c r="N4785">
        <v>15</v>
      </c>
      <c r="O4785">
        <v>76.936800000000005</v>
      </c>
      <c r="P4785">
        <v>11.6311</v>
      </c>
      <c r="Q4785">
        <v>13.7164</v>
      </c>
    </row>
    <row r="4786" spans="1:17" x14ac:dyDescent="0.25">
      <c r="A4786" t="str">
        <f>IF(C4786&amp;G4786&amp;D4786&lt;&gt;'Funnel setup'!$K$3&amp;'Funnel setup'!$K$4&amp;'Funnel setup'!$K$6,".",IF(A4785=".",1,A4785+1))</f>
        <v>.</v>
      </c>
      <c r="B4786" s="244" t="str">
        <f t="shared" si="74"/>
        <v>Total Knee ReplacementProviderCIRCLE BATH HOSPITAL (NV302)EQ VAS</v>
      </c>
      <c r="C4786" t="s">
        <v>975</v>
      </c>
      <c r="D4786" t="s">
        <v>965</v>
      </c>
      <c r="E4786" t="s">
        <v>196</v>
      </c>
      <c r="F4786" t="s">
        <v>197</v>
      </c>
      <c r="G4786" t="s">
        <v>752</v>
      </c>
      <c r="H4786">
        <v>12</v>
      </c>
      <c r="I4786">
        <v>65.5</v>
      </c>
      <c r="J4786">
        <v>77.333299999999994</v>
      </c>
      <c r="K4786">
        <v>11.833299999999999</v>
      </c>
      <c r="L4786">
        <v>7</v>
      </c>
      <c r="M4786">
        <v>2</v>
      </c>
      <c r="N4786">
        <v>3</v>
      </c>
      <c r="O4786" t="s">
        <v>127</v>
      </c>
      <c r="P4786" t="s">
        <v>127</v>
      </c>
      <c r="Q4786" t="s">
        <v>127</v>
      </c>
    </row>
    <row r="4787" spans="1:17" x14ac:dyDescent="0.25">
      <c r="A4787" t="str">
        <f>IF(C4787&amp;G4787&amp;D4787&lt;&gt;'Funnel setup'!$K$3&amp;'Funnel setup'!$K$4&amp;'Funnel setup'!$K$6,".",IF(A4786=".",1,A4786+1))</f>
        <v>.</v>
      </c>
      <c r="B4787" s="244" t="str">
        <f t="shared" si="74"/>
        <v>Total Knee ReplacementProviderCIRCLE READING HOSPITAL (NV323)EQ VAS</v>
      </c>
      <c r="C4787" t="s">
        <v>975</v>
      </c>
      <c r="D4787" t="s">
        <v>965</v>
      </c>
      <c r="E4787" t="s">
        <v>198</v>
      </c>
      <c r="F4787" t="s">
        <v>199</v>
      </c>
      <c r="G4787" t="s">
        <v>752</v>
      </c>
      <c r="H4787">
        <v>59</v>
      </c>
      <c r="I4787">
        <v>45.694899999999997</v>
      </c>
      <c r="J4787">
        <v>80.423699999999997</v>
      </c>
      <c r="K4787">
        <v>34.7288</v>
      </c>
      <c r="L4787">
        <v>56</v>
      </c>
      <c r="M4787">
        <v>2</v>
      </c>
      <c r="N4787">
        <v>1</v>
      </c>
      <c r="O4787">
        <v>81.257400000000004</v>
      </c>
      <c r="P4787">
        <v>15.951700000000001</v>
      </c>
      <c r="Q4787">
        <v>12.944800000000001</v>
      </c>
    </row>
    <row r="4788" spans="1:17" x14ac:dyDescent="0.25">
      <c r="A4788" t="str">
        <f>IF(C4788&amp;G4788&amp;D4788&lt;&gt;'Funnel setup'!$K$3&amp;'Funnel setup'!$K$4&amp;'Funnel setup'!$K$6,".",IF(A4787=".",1,A4787+1))</f>
        <v>.</v>
      </c>
      <c r="B4788" s="244" t="str">
        <f t="shared" si="74"/>
        <v>Total Knee ReplacementProviderCLEMENTINE CHURCHILL HOSPITAL (NT411)EQ VAS</v>
      </c>
      <c r="C4788" t="s">
        <v>975</v>
      </c>
      <c r="D4788" t="s">
        <v>965</v>
      </c>
      <c r="E4788" t="s">
        <v>200</v>
      </c>
      <c r="F4788" t="s">
        <v>201</v>
      </c>
      <c r="G4788" t="s">
        <v>752</v>
      </c>
      <c r="H4788">
        <v>27</v>
      </c>
      <c r="I4788">
        <v>60.964300000000001</v>
      </c>
      <c r="J4788">
        <v>72.392899999999997</v>
      </c>
      <c r="K4788">
        <v>11.428599999999999</v>
      </c>
      <c r="L4788">
        <v>18</v>
      </c>
      <c r="M4788">
        <v>0</v>
      </c>
      <c r="N4788">
        <v>9</v>
      </c>
      <c r="O4788" t="s">
        <v>127</v>
      </c>
      <c r="P4788" t="s">
        <v>127</v>
      </c>
      <c r="Q4788" t="s">
        <v>127</v>
      </c>
    </row>
    <row r="4789" spans="1:17" x14ac:dyDescent="0.25">
      <c r="A4789" t="str">
        <f>IF(C4789&amp;G4789&amp;D4789&lt;&gt;'Funnel setup'!$K$3&amp;'Funnel setup'!$K$4&amp;'Funnel setup'!$K$6,".",IF(A4788=".",1,A4788+1))</f>
        <v>.</v>
      </c>
      <c r="B4789" s="244" t="str">
        <f t="shared" si="74"/>
        <v>Total Knee ReplacementProviderCLIFTON PARK HOSPITAL (NVC28)EQ VAS</v>
      </c>
      <c r="C4789" t="s">
        <v>975</v>
      </c>
      <c r="D4789" t="s">
        <v>965</v>
      </c>
      <c r="E4789" t="s">
        <v>202</v>
      </c>
      <c r="F4789" t="s">
        <v>203</v>
      </c>
      <c r="G4789" t="s">
        <v>752</v>
      </c>
      <c r="H4789">
        <v>63</v>
      </c>
      <c r="I4789">
        <v>55.587299999999999</v>
      </c>
      <c r="J4789">
        <v>74.825400000000002</v>
      </c>
      <c r="K4789">
        <v>19.238099999999999</v>
      </c>
      <c r="L4789">
        <v>47</v>
      </c>
      <c r="M4789">
        <v>0</v>
      </c>
      <c r="N4789">
        <v>16</v>
      </c>
      <c r="O4789">
        <v>75.207999999999998</v>
      </c>
      <c r="P4789">
        <v>9.9023299999999992</v>
      </c>
      <c r="Q4789">
        <v>17.318899999999999</v>
      </c>
    </row>
    <row r="4790" spans="1:17" x14ac:dyDescent="0.25">
      <c r="A4790" t="str">
        <f>IF(C4790&amp;G4790&amp;D4790&lt;&gt;'Funnel setup'!$K$3&amp;'Funnel setup'!$K$4&amp;'Funnel setup'!$K$6,".",IF(A4789=".",1,A4789+1))</f>
        <v>.</v>
      </c>
      <c r="B4790" s="244" t="str">
        <f t="shared" si="74"/>
        <v>Total Knee ReplacementProviderCOUNTESS OF CHESTER HOSPITAL NHS FOUNDATION TRUST (RJR)EQ VAS</v>
      </c>
      <c r="C4790" t="s">
        <v>975</v>
      </c>
      <c r="D4790" t="s">
        <v>965</v>
      </c>
      <c r="E4790" t="s">
        <v>204</v>
      </c>
      <c r="F4790" t="s">
        <v>205</v>
      </c>
      <c r="G4790" t="s">
        <v>752</v>
      </c>
      <c r="H4790">
        <v>25</v>
      </c>
      <c r="I4790">
        <v>76.44</v>
      </c>
      <c r="J4790">
        <v>75.319999999999993</v>
      </c>
      <c r="K4790">
        <v>-1.1200000000000001</v>
      </c>
      <c r="L4790">
        <v>11</v>
      </c>
      <c r="M4790">
        <v>5</v>
      </c>
      <c r="N4790">
        <v>9</v>
      </c>
      <c r="O4790" t="s">
        <v>127</v>
      </c>
      <c r="P4790" t="s">
        <v>127</v>
      </c>
      <c r="Q4790" t="s">
        <v>127</v>
      </c>
    </row>
    <row r="4791" spans="1:17" x14ac:dyDescent="0.25">
      <c r="A4791" t="str">
        <f>IF(C4791&amp;G4791&amp;D4791&lt;&gt;'Funnel setup'!$K$3&amp;'Funnel setup'!$K$4&amp;'Funnel setup'!$K$6,".",IF(A4790=".",1,A4790+1))</f>
        <v>.</v>
      </c>
      <c r="B4791" s="244" t="str">
        <f t="shared" si="74"/>
        <v>Total Knee ReplacementProviderCOUNTY DURHAM AND DARLINGTON NHS FOUNDATION TRUST (RXP)EQ VAS</v>
      </c>
      <c r="C4791" t="s">
        <v>975</v>
      </c>
      <c r="D4791" t="s">
        <v>965</v>
      </c>
      <c r="E4791" t="s">
        <v>206</v>
      </c>
      <c r="F4791" t="s">
        <v>207</v>
      </c>
      <c r="G4791" t="s">
        <v>752</v>
      </c>
      <c r="H4791">
        <v>124</v>
      </c>
      <c r="I4791">
        <v>64.741900000000001</v>
      </c>
      <c r="J4791">
        <v>73.887100000000004</v>
      </c>
      <c r="K4791">
        <v>9.1451600000000006</v>
      </c>
      <c r="L4791">
        <v>72</v>
      </c>
      <c r="M4791">
        <v>13</v>
      </c>
      <c r="N4791">
        <v>39</v>
      </c>
      <c r="O4791">
        <v>73.858199999999997</v>
      </c>
      <c r="P4791">
        <v>8.5524500000000003</v>
      </c>
      <c r="Q4791">
        <v>15.9657</v>
      </c>
    </row>
    <row r="4792" spans="1:17" x14ac:dyDescent="0.25">
      <c r="A4792" t="str">
        <f>IF(C4792&amp;G4792&amp;D4792&lt;&gt;'Funnel setup'!$K$3&amp;'Funnel setup'!$K$4&amp;'Funnel setup'!$K$6,".",IF(A4791=".",1,A4791+1))</f>
        <v>.</v>
      </c>
      <c r="B4792" s="244" t="str">
        <f t="shared" si="74"/>
        <v>Total Knee ReplacementProviderDONCASTER AND BASSETLAW TEACHING HOSPITALS NHS FOUNDATION TRUST (RP5)EQ VAS</v>
      </c>
      <c r="C4792" t="s">
        <v>975</v>
      </c>
      <c r="D4792" t="s">
        <v>965</v>
      </c>
      <c r="E4792" t="s">
        <v>212</v>
      </c>
      <c r="F4792" t="s">
        <v>213</v>
      </c>
      <c r="G4792" t="s">
        <v>752</v>
      </c>
      <c r="H4792">
        <v>80</v>
      </c>
      <c r="I4792">
        <v>59.35</v>
      </c>
      <c r="J4792">
        <v>64.737499999999997</v>
      </c>
      <c r="K4792">
        <v>5.3875000000000002</v>
      </c>
      <c r="L4792">
        <v>50</v>
      </c>
      <c r="M4792">
        <v>6</v>
      </c>
      <c r="N4792">
        <v>24</v>
      </c>
      <c r="O4792">
        <v>69.5702</v>
      </c>
      <c r="P4792">
        <v>4.2644500000000001</v>
      </c>
      <c r="Q4792">
        <v>20.420999999999999</v>
      </c>
    </row>
    <row r="4793" spans="1:17" x14ac:dyDescent="0.25">
      <c r="A4793" t="str">
        <f>IF(C4793&amp;G4793&amp;D4793&lt;&gt;'Funnel setup'!$K$3&amp;'Funnel setup'!$K$4&amp;'Funnel setup'!$K$6,".",IF(A4792=".",1,A4792+1))</f>
        <v>.</v>
      </c>
      <c r="B4793" s="244" t="str">
        <f t="shared" si="74"/>
        <v>Total Knee ReplacementProviderDORSET COUNTY HOSPITAL NHS FOUNDATION TRUST (RBD)EQ VAS</v>
      </c>
      <c r="C4793" t="s">
        <v>975</v>
      </c>
      <c r="D4793" t="s">
        <v>965</v>
      </c>
      <c r="E4793" t="s">
        <v>214</v>
      </c>
      <c r="F4793" t="s">
        <v>215</v>
      </c>
      <c r="G4793" t="s">
        <v>752</v>
      </c>
      <c r="H4793">
        <v>13</v>
      </c>
      <c r="I4793">
        <v>66.769199999999998</v>
      </c>
      <c r="J4793">
        <v>74.923100000000005</v>
      </c>
      <c r="K4793">
        <v>8.1538500000000003</v>
      </c>
      <c r="L4793">
        <v>6</v>
      </c>
      <c r="M4793">
        <v>3</v>
      </c>
      <c r="N4793">
        <v>4</v>
      </c>
      <c r="O4793" t="s">
        <v>127</v>
      </c>
      <c r="P4793" t="s">
        <v>127</v>
      </c>
      <c r="Q4793" t="s">
        <v>127</v>
      </c>
    </row>
    <row r="4794" spans="1:17" x14ac:dyDescent="0.25">
      <c r="A4794" t="str">
        <f>IF(C4794&amp;G4794&amp;D4794&lt;&gt;'Funnel setup'!$K$3&amp;'Funnel setup'!$K$4&amp;'Funnel setup'!$K$6,".",IF(A4793=".",1,A4793+1))</f>
        <v>.</v>
      </c>
      <c r="B4794" s="244" t="str">
        <f t="shared" si="74"/>
        <v>Total Knee ReplacementProviderDROITWICH SPA HOSPITAL (NT412)EQ VAS</v>
      </c>
      <c r="C4794" t="s">
        <v>975</v>
      </c>
      <c r="D4794" t="s">
        <v>965</v>
      </c>
      <c r="E4794" t="s">
        <v>216</v>
      </c>
      <c r="F4794" t="s">
        <v>217</v>
      </c>
      <c r="G4794" t="s">
        <v>752</v>
      </c>
      <c r="H4794">
        <v>21</v>
      </c>
      <c r="I4794">
        <v>68.095200000000006</v>
      </c>
      <c r="J4794">
        <v>77.142899999999997</v>
      </c>
      <c r="K4794">
        <v>9.0476200000000002</v>
      </c>
      <c r="L4794">
        <v>13</v>
      </c>
      <c r="M4794">
        <v>1</v>
      </c>
      <c r="N4794">
        <v>7</v>
      </c>
      <c r="O4794" t="s">
        <v>127</v>
      </c>
      <c r="P4794" t="s">
        <v>127</v>
      </c>
      <c r="Q4794" t="s">
        <v>127</v>
      </c>
    </row>
    <row r="4795" spans="1:17" x14ac:dyDescent="0.25">
      <c r="A4795" t="str">
        <f>IF(C4795&amp;G4795&amp;D4795&lt;&gt;'Funnel setup'!$K$3&amp;'Funnel setup'!$K$4&amp;'Funnel setup'!$K$6,".",IF(A4794=".",1,A4794+1))</f>
        <v>.</v>
      </c>
      <c r="B4795" s="244" t="str">
        <f t="shared" si="74"/>
        <v>Total Knee ReplacementProviderDUCHY HOSPITAL (NT447)EQ VAS</v>
      </c>
      <c r="C4795" t="s">
        <v>975</v>
      </c>
      <c r="D4795" t="s">
        <v>965</v>
      </c>
      <c r="E4795" t="s">
        <v>218</v>
      </c>
      <c r="F4795" t="s">
        <v>219</v>
      </c>
      <c r="G4795" t="s">
        <v>752</v>
      </c>
      <c r="H4795">
        <v>28</v>
      </c>
      <c r="I4795">
        <v>68.285700000000006</v>
      </c>
      <c r="J4795">
        <v>81.678600000000003</v>
      </c>
      <c r="K4795">
        <v>13.392899999999999</v>
      </c>
      <c r="L4795">
        <v>19</v>
      </c>
      <c r="M4795">
        <v>4</v>
      </c>
      <c r="N4795">
        <v>5</v>
      </c>
      <c r="O4795" t="s">
        <v>127</v>
      </c>
      <c r="P4795" t="s">
        <v>127</v>
      </c>
      <c r="Q4795" t="s">
        <v>127</v>
      </c>
    </row>
    <row r="4796" spans="1:17" x14ac:dyDescent="0.25">
      <c r="A4796" t="str">
        <f>IF(C4796&amp;G4796&amp;D4796&lt;&gt;'Funnel setup'!$K$3&amp;'Funnel setup'!$K$4&amp;'Funnel setup'!$K$6,".",IF(A4795=".",1,A4795+1))</f>
        <v>.</v>
      </c>
      <c r="B4796" s="244" t="str">
        <f t="shared" si="74"/>
        <v>Total Knee ReplacementProviderDUCHY HOSPITAL (NVC04)EQ VAS</v>
      </c>
      <c r="C4796" t="s">
        <v>975</v>
      </c>
      <c r="D4796" t="s">
        <v>965</v>
      </c>
      <c r="E4796" t="s">
        <v>220</v>
      </c>
      <c r="F4796" t="s">
        <v>221</v>
      </c>
      <c r="G4796" t="s">
        <v>752</v>
      </c>
      <c r="H4796">
        <v>29</v>
      </c>
      <c r="I4796">
        <v>56.344799999999999</v>
      </c>
      <c r="J4796">
        <v>74.896600000000007</v>
      </c>
      <c r="K4796">
        <v>18.5517</v>
      </c>
      <c r="L4796">
        <v>21</v>
      </c>
      <c r="M4796">
        <v>3</v>
      </c>
      <c r="N4796">
        <v>5</v>
      </c>
      <c r="O4796" t="s">
        <v>127</v>
      </c>
      <c r="P4796" t="s">
        <v>127</v>
      </c>
      <c r="Q4796" t="s">
        <v>127</v>
      </c>
    </row>
    <row r="4797" spans="1:17" x14ac:dyDescent="0.25">
      <c r="A4797" t="str">
        <f>IF(C4797&amp;G4797&amp;D4797&lt;&gt;'Funnel setup'!$K$3&amp;'Funnel setup'!$K$4&amp;'Funnel setup'!$K$6,".",IF(A4796=".",1,A4796+1))</f>
        <v>.</v>
      </c>
      <c r="B4797" s="244" t="str">
        <f t="shared" si="74"/>
        <v>Total Knee ReplacementProviderEAST AND NORTH HERTFORDSHIRE NHS TRUST (RWH)EQ VAS</v>
      </c>
      <c r="C4797" t="s">
        <v>975</v>
      </c>
      <c r="D4797" t="s">
        <v>965</v>
      </c>
      <c r="E4797" t="s">
        <v>224</v>
      </c>
      <c r="F4797" t="s">
        <v>225</v>
      </c>
      <c r="G4797" t="s">
        <v>752</v>
      </c>
      <c r="H4797">
        <v>25</v>
      </c>
      <c r="I4797">
        <v>58.16</v>
      </c>
      <c r="J4797">
        <v>70.8</v>
      </c>
      <c r="K4797">
        <v>12.64</v>
      </c>
      <c r="L4797">
        <v>19</v>
      </c>
      <c r="M4797">
        <v>2</v>
      </c>
      <c r="N4797">
        <v>4</v>
      </c>
      <c r="O4797" t="s">
        <v>127</v>
      </c>
      <c r="P4797" t="s">
        <v>127</v>
      </c>
      <c r="Q4797" t="s">
        <v>127</v>
      </c>
    </row>
    <row r="4798" spans="1:17" x14ac:dyDescent="0.25">
      <c r="A4798" t="str">
        <f>IF(C4798&amp;G4798&amp;D4798&lt;&gt;'Funnel setup'!$K$3&amp;'Funnel setup'!$K$4&amp;'Funnel setup'!$K$6,".",IF(A4797=".",1,A4797+1))</f>
        <v>.</v>
      </c>
      <c r="B4798" s="244" t="str">
        <f t="shared" si="74"/>
        <v>Total Knee ReplacementProviderEAST CHESHIRE NHS TRUST (RJN)EQ VAS</v>
      </c>
      <c r="C4798" t="s">
        <v>975</v>
      </c>
      <c r="D4798" t="s">
        <v>965</v>
      </c>
      <c r="E4798" t="s">
        <v>226</v>
      </c>
      <c r="F4798" t="s">
        <v>227</v>
      </c>
      <c r="G4798" t="s">
        <v>752</v>
      </c>
      <c r="H4798">
        <v>5</v>
      </c>
      <c r="I4798">
        <v>48</v>
      </c>
      <c r="J4798">
        <v>68.8</v>
      </c>
      <c r="K4798">
        <v>20.8</v>
      </c>
      <c r="L4798">
        <v>4</v>
      </c>
      <c r="M4798">
        <v>0</v>
      </c>
      <c r="N4798">
        <v>1</v>
      </c>
      <c r="O4798" t="s">
        <v>127</v>
      </c>
      <c r="P4798" t="s">
        <v>127</v>
      </c>
      <c r="Q4798" t="s">
        <v>127</v>
      </c>
    </row>
    <row r="4799" spans="1:17" x14ac:dyDescent="0.25">
      <c r="A4799" t="str">
        <f>IF(C4799&amp;G4799&amp;D4799&lt;&gt;'Funnel setup'!$K$3&amp;'Funnel setup'!$K$4&amp;'Funnel setup'!$K$6,".",IF(A4798=".",1,A4798+1))</f>
        <v>.</v>
      </c>
      <c r="B4799" s="244" t="str">
        <f t="shared" si="74"/>
        <v>Total Knee ReplacementProviderEAST KENT HOSPITALS UNIVERSITY NHS FOUNDATION TRUST (RVV)EQ VAS</v>
      </c>
      <c r="C4799" t="s">
        <v>975</v>
      </c>
      <c r="D4799" t="s">
        <v>965</v>
      </c>
      <c r="E4799" t="s">
        <v>228</v>
      </c>
      <c r="F4799" t="s">
        <v>229</v>
      </c>
      <c r="G4799" t="s">
        <v>752</v>
      </c>
      <c r="H4799">
        <v>90</v>
      </c>
      <c r="I4799">
        <v>62.877800000000001</v>
      </c>
      <c r="J4799">
        <v>71.900000000000006</v>
      </c>
      <c r="K4799">
        <v>9.0222200000000008</v>
      </c>
      <c r="L4799">
        <v>59</v>
      </c>
      <c r="M4799">
        <v>7</v>
      </c>
      <c r="N4799">
        <v>24</v>
      </c>
      <c r="O4799">
        <v>75.874300000000005</v>
      </c>
      <c r="P4799">
        <v>10.5686</v>
      </c>
      <c r="Q4799">
        <v>18.058</v>
      </c>
    </row>
    <row r="4800" spans="1:17" x14ac:dyDescent="0.25">
      <c r="A4800" t="str">
        <f>IF(C4800&amp;G4800&amp;D4800&lt;&gt;'Funnel setup'!$K$3&amp;'Funnel setup'!$K$4&amp;'Funnel setup'!$K$6,".",IF(A4799=".",1,A4799+1))</f>
        <v>.</v>
      </c>
      <c r="B4800" s="244" t="str">
        <f t="shared" si="74"/>
        <v>Total Knee ReplacementProviderEAST LANCASHIRE HOSPITALS NHS TRUST (RXR)EQ VAS</v>
      </c>
      <c r="C4800" t="s">
        <v>975</v>
      </c>
      <c r="D4800" t="s">
        <v>965</v>
      </c>
      <c r="E4800" t="s">
        <v>230</v>
      </c>
      <c r="F4800" t="s">
        <v>231</v>
      </c>
      <c r="G4800" t="s">
        <v>752</v>
      </c>
      <c r="H4800">
        <v>83</v>
      </c>
      <c r="I4800">
        <v>64.807199999999995</v>
      </c>
      <c r="J4800">
        <v>72.530100000000004</v>
      </c>
      <c r="K4800">
        <v>7.7228899999999996</v>
      </c>
      <c r="L4800">
        <v>50</v>
      </c>
      <c r="M4800">
        <v>8</v>
      </c>
      <c r="N4800">
        <v>25</v>
      </c>
      <c r="O4800">
        <v>73.033199999999994</v>
      </c>
      <c r="P4800">
        <v>7.7274799999999999</v>
      </c>
      <c r="Q4800">
        <v>21.0276</v>
      </c>
    </row>
    <row r="4801" spans="1:17" x14ac:dyDescent="0.25">
      <c r="A4801" t="str">
        <f>IF(C4801&amp;G4801&amp;D4801&lt;&gt;'Funnel setup'!$K$3&amp;'Funnel setup'!$K$4&amp;'Funnel setup'!$K$6,".",IF(A4800=".",1,A4800+1))</f>
        <v>.</v>
      </c>
      <c r="B4801" s="244" t="str">
        <f t="shared" si="74"/>
        <v>Total Knee ReplacementProviderEAST SUFFOLK AND NORTH ESSEX NHS FOUNDATION TRUST (RDE)EQ VAS</v>
      </c>
      <c r="C4801" t="s">
        <v>975</v>
      </c>
      <c r="D4801" t="s">
        <v>965</v>
      </c>
      <c r="E4801" t="s">
        <v>232</v>
      </c>
      <c r="F4801" t="s">
        <v>233</v>
      </c>
      <c r="G4801" t="s">
        <v>752</v>
      </c>
      <c r="H4801">
        <v>122</v>
      </c>
      <c r="I4801">
        <v>60.967199999999998</v>
      </c>
      <c r="J4801">
        <v>74.426199999999994</v>
      </c>
      <c r="K4801">
        <v>13.459</v>
      </c>
      <c r="L4801">
        <v>76</v>
      </c>
      <c r="M4801">
        <v>9</v>
      </c>
      <c r="N4801">
        <v>37</v>
      </c>
      <c r="O4801">
        <v>76.150300000000001</v>
      </c>
      <c r="P4801">
        <v>10.8446</v>
      </c>
      <c r="Q4801">
        <v>16.372199999999999</v>
      </c>
    </row>
    <row r="4802" spans="1:17" x14ac:dyDescent="0.25">
      <c r="A4802" t="str">
        <f>IF(C4802&amp;G4802&amp;D4802&lt;&gt;'Funnel setup'!$K$3&amp;'Funnel setup'!$K$4&amp;'Funnel setup'!$K$6,".",IF(A4801=".",1,A4801+1))</f>
        <v>.</v>
      </c>
      <c r="B4802" s="244" t="str">
        <f t="shared" ref="B4802:B4865" si="75">C4802&amp;D4802&amp;F4802&amp;G4802</f>
        <v>Total Knee ReplacementProviderEAST SUSSEX HEALTHCARE NHS TRUST (RXC)EQ VAS</v>
      </c>
      <c r="C4802" t="s">
        <v>975</v>
      </c>
      <c r="D4802" t="s">
        <v>965</v>
      </c>
      <c r="E4802" t="s">
        <v>234</v>
      </c>
      <c r="F4802" t="s">
        <v>235</v>
      </c>
      <c r="G4802" t="s">
        <v>752</v>
      </c>
      <c r="H4802">
        <v>76</v>
      </c>
      <c r="I4802">
        <v>61.197400000000002</v>
      </c>
      <c r="J4802">
        <v>68.552599999999998</v>
      </c>
      <c r="K4802">
        <v>7.3552600000000004</v>
      </c>
      <c r="L4802">
        <v>45</v>
      </c>
      <c r="M4802">
        <v>7</v>
      </c>
      <c r="N4802">
        <v>24</v>
      </c>
      <c r="O4802">
        <v>71.430700000000002</v>
      </c>
      <c r="P4802">
        <v>6.1249700000000002</v>
      </c>
      <c r="Q4802">
        <v>16.027000000000001</v>
      </c>
    </row>
    <row r="4803" spans="1:17" x14ac:dyDescent="0.25">
      <c r="A4803" t="str">
        <f>IF(C4803&amp;G4803&amp;D4803&lt;&gt;'Funnel setup'!$K$3&amp;'Funnel setup'!$K$4&amp;'Funnel setup'!$K$6,".",IF(A4802=".",1,A4802+1))</f>
        <v>.</v>
      </c>
      <c r="B4803" s="244" t="str">
        <f t="shared" si="75"/>
        <v>Total Knee ReplacementProviderEPSOM AND ST HELIER UNIVERSITY HOSPITALS NHS TRUST (RVR)EQ VAS</v>
      </c>
      <c r="C4803" t="s">
        <v>975</v>
      </c>
      <c r="D4803" t="s">
        <v>965</v>
      </c>
      <c r="E4803" t="s">
        <v>238</v>
      </c>
      <c r="F4803" t="s">
        <v>239</v>
      </c>
      <c r="G4803" t="s">
        <v>752</v>
      </c>
      <c r="H4803">
        <v>665</v>
      </c>
      <c r="I4803">
        <v>63.953400000000002</v>
      </c>
      <c r="J4803">
        <v>74.006</v>
      </c>
      <c r="K4803">
        <v>10.0526</v>
      </c>
      <c r="L4803">
        <v>432</v>
      </c>
      <c r="M4803">
        <v>67</v>
      </c>
      <c r="N4803">
        <v>166</v>
      </c>
      <c r="O4803">
        <v>74.401399999999995</v>
      </c>
      <c r="P4803">
        <v>9.0956600000000005</v>
      </c>
      <c r="Q4803">
        <v>18.157599999999999</v>
      </c>
    </row>
    <row r="4804" spans="1:17" x14ac:dyDescent="0.25">
      <c r="A4804" t="str">
        <f>IF(C4804&amp;G4804&amp;D4804&lt;&gt;'Funnel setup'!$K$3&amp;'Funnel setup'!$K$4&amp;'Funnel setup'!$K$6,".",IF(A4803=".",1,A4803+1))</f>
        <v>.</v>
      </c>
      <c r="B4804" s="244" t="str">
        <f t="shared" si="75"/>
        <v>Total Knee ReplacementProviderEUXTON HALL HOSPITAL (NVC05)EQ VAS</v>
      </c>
      <c r="C4804" t="s">
        <v>975</v>
      </c>
      <c r="D4804" t="s">
        <v>965</v>
      </c>
      <c r="E4804" t="s">
        <v>240</v>
      </c>
      <c r="F4804" t="s">
        <v>241</v>
      </c>
      <c r="G4804" t="s">
        <v>752</v>
      </c>
      <c r="H4804">
        <v>52</v>
      </c>
      <c r="I4804">
        <v>61.679200000000002</v>
      </c>
      <c r="J4804">
        <v>78.283000000000001</v>
      </c>
      <c r="K4804">
        <v>16.6038</v>
      </c>
      <c r="L4804">
        <v>42</v>
      </c>
      <c r="M4804">
        <v>3</v>
      </c>
      <c r="N4804">
        <v>7</v>
      </c>
      <c r="O4804">
        <v>78.076599999999999</v>
      </c>
      <c r="P4804">
        <v>12.770899999999999</v>
      </c>
      <c r="Q4804">
        <v>16.085599999999999</v>
      </c>
    </row>
    <row r="4805" spans="1:17" x14ac:dyDescent="0.25">
      <c r="A4805" t="str">
        <f>IF(C4805&amp;G4805&amp;D4805&lt;&gt;'Funnel setup'!$K$3&amp;'Funnel setup'!$K$4&amp;'Funnel setup'!$K$6,".",IF(A4804=".",1,A4804+1))</f>
        <v>.</v>
      </c>
      <c r="B4805" s="244" t="str">
        <f t="shared" si="75"/>
        <v>Total Knee ReplacementProviderFAIRFIELD HOSPITAL (NVG01)EQ VAS</v>
      </c>
      <c r="C4805" t="s">
        <v>975</v>
      </c>
      <c r="D4805" t="s">
        <v>965</v>
      </c>
      <c r="E4805" t="s">
        <v>242</v>
      </c>
      <c r="F4805" t="s">
        <v>243</v>
      </c>
      <c r="G4805" t="s">
        <v>752</v>
      </c>
      <c r="H4805">
        <v>47</v>
      </c>
      <c r="I4805">
        <v>69.233999999999995</v>
      </c>
      <c r="J4805">
        <v>68.531899999999993</v>
      </c>
      <c r="K4805">
        <v>-0.70212799999999997</v>
      </c>
      <c r="L4805">
        <v>21</v>
      </c>
      <c r="M4805">
        <v>5</v>
      </c>
      <c r="N4805">
        <v>21</v>
      </c>
      <c r="O4805">
        <v>66.601200000000006</v>
      </c>
      <c r="P4805">
        <v>1.2954600000000001</v>
      </c>
      <c r="Q4805">
        <v>19.7288</v>
      </c>
    </row>
    <row r="4806" spans="1:17" x14ac:dyDescent="0.25">
      <c r="A4806" t="str">
        <f>IF(C4806&amp;G4806&amp;D4806&lt;&gt;'Funnel setup'!$K$3&amp;'Funnel setup'!$K$4&amp;'Funnel setup'!$K$6,".",IF(A4805=".",1,A4805+1))</f>
        <v>.</v>
      </c>
      <c r="B4806" s="244" t="str">
        <f t="shared" si="75"/>
        <v>Total Knee ReplacementProviderFITZWILLIAM HOSPITAL (NVC06)EQ VAS</v>
      </c>
      <c r="C4806" t="s">
        <v>975</v>
      </c>
      <c r="D4806" t="s">
        <v>965</v>
      </c>
      <c r="E4806" t="s">
        <v>244</v>
      </c>
      <c r="F4806" t="s">
        <v>245</v>
      </c>
      <c r="G4806" t="s">
        <v>752</v>
      </c>
      <c r="H4806">
        <v>89</v>
      </c>
      <c r="I4806">
        <v>73.404499999999999</v>
      </c>
      <c r="J4806">
        <v>76.0899</v>
      </c>
      <c r="K4806">
        <v>2.6853899999999999</v>
      </c>
      <c r="L4806">
        <v>44</v>
      </c>
      <c r="M4806">
        <v>14</v>
      </c>
      <c r="N4806">
        <v>31</v>
      </c>
      <c r="O4806">
        <v>72.174700000000001</v>
      </c>
      <c r="P4806">
        <v>6.8690300000000004</v>
      </c>
      <c r="Q4806">
        <v>14.5875</v>
      </c>
    </row>
    <row r="4807" spans="1:17" x14ac:dyDescent="0.25">
      <c r="A4807" t="str">
        <f>IF(C4807&amp;G4807&amp;D4807&lt;&gt;'Funnel setup'!$K$3&amp;'Funnel setup'!$K$4&amp;'Funnel setup'!$K$6,".",IF(A4806=".",1,A4806+1))</f>
        <v>.</v>
      </c>
      <c r="B4807" s="244" t="str">
        <f t="shared" si="75"/>
        <v>Total Knee ReplacementProviderFRIMLEY HEALTH NHS FOUNDATION TRUST (RDU)EQ VAS</v>
      </c>
      <c r="C4807" t="s">
        <v>975</v>
      </c>
      <c r="D4807" t="s">
        <v>965</v>
      </c>
      <c r="E4807" t="s">
        <v>248</v>
      </c>
      <c r="F4807" t="s">
        <v>249</v>
      </c>
      <c r="G4807" t="s">
        <v>752</v>
      </c>
      <c r="H4807">
        <v>171</v>
      </c>
      <c r="I4807">
        <v>67.304100000000005</v>
      </c>
      <c r="J4807">
        <v>73.578900000000004</v>
      </c>
      <c r="K4807">
        <v>6.2748499999999998</v>
      </c>
      <c r="L4807">
        <v>95</v>
      </c>
      <c r="M4807">
        <v>18</v>
      </c>
      <c r="N4807">
        <v>58</v>
      </c>
      <c r="O4807">
        <v>72.164599999999993</v>
      </c>
      <c r="P4807">
        <v>6.8589200000000003</v>
      </c>
      <c r="Q4807">
        <v>16.7773</v>
      </c>
    </row>
    <row r="4808" spans="1:17" x14ac:dyDescent="0.25">
      <c r="A4808" t="str">
        <f>IF(C4808&amp;G4808&amp;D4808&lt;&gt;'Funnel setup'!$K$3&amp;'Funnel setup'!$K$4&amp;'Funnel setup'!$K$6,".",IF(A4807=".",1,A4807+1))</f>
        <v>.</v>
      </c>
      <c r="B4808" s="244" t="str">
        <f t="shared" si="75"/>
        <v>Total Knee ReplacementProviderFULWOOD HALL HOSPITAL (NVC07)EQ VAS</v>
      </c>
      <c r="C4808" t="s">
        <v>975</v>
      </c>
      <c r="D4808" t="s">
        <v>965</v>
      </c>
      <c r="E4808" t="s">
        <v>250</v>
      </c>
      <c r="F4808" t="s">
        <v>251</v>
      </c>
      <c r="G4808" t="s">
        <v>752</v>
      </c>
      <c r="H4808">
        <v>75</v>
      </c>
      <c r="I4808">
        <v>65.680000000000007</v>
      </c>
      <c r="J4808">
        <v>77.306700000000006</v>
      </c>
      <c r="K4808">
        <v>11.6267</v>
      </c>
      <c r="L4808">
        <v>55</v>
      </c>
      <c r="M4808">
        <v>4</v>
      </c>
      <c r="N4808">
        <v>16</v>
      </c>
      <c r="O4808">
        <v>75.833200000000005</v>
      </c>
      <c r="P4808">
        <v>10.5275</v>
      </c>
      <c r="Q4808">
        <v>16.088200000000001</v>
      </c>
    </row>
    <row r="4809" spans="1:17" x14ac:dyDescent="0.25">
      <c r="A4809" t="str">
        <f>IF(C4809&amp;G4809&amp;D4809&lt;&gt;'Funnel setup'!$K$3&amp;'Funnel setup'!$K$4&amp;'Funnel setup'!$K$6,".",IF(A4808=".",1,A4808+1))</f>
        <v>.</v>
      </c>
      <c r="B4809" s="244" t="str">
        <f t="shared" si="75"/>
        <v>Total Knee ReplacementProviderGATESHEAD HEALTH NHS FOUNDATION TRUST (RR7)EQ VAS</v>
      </c>
      <c r="C4809" t="s">
        <v>975</v>
      </c>
      <c r="D4809" t="s">
        <v>965</v>
      </c>
      <c r="E4809" t="s">
        <v>252</v>
      </c>
      <c r="F4809" t="s">
        <v>253</v>
      </c>
      <c r="G4809" t="s">
        <v>752</v>
      </c>
      <c r="H4809">
        <v>40</v>
      </c>
      <c r="I4809">
        <v>57.6</v>
      </c>
      <c r="J4809">
        <v>73.275000000000006</v>
      </c>
      <c r="K4809">
        <v>15.675000000000001</v>
      </c>
      <c r="L4809">
        <v>29</v>
      </c>
      <c r="M4809">
        <v>4</v>
      </c>
      <c r="N4809">
        <v>7</v>
      </c>
      <c r="O4809">
        <v>79.364599999999996</v>
      </c>
      <c r="P4809">
        <v>14.0588</v>
      </c>
      <c r="Q4809">
        <v>16.9528</v>
      </c>
    </row>
    <row r="4810" spans="1:17" x14ac:dyDescent="0.25">
      <c r="A4810" t="str">
        <f>IF(C4810&amp;G4810&amp;D4810&lt;&gt;'Funnel setup'!$K$3&amp;'Funnel setup'!$K$4&amp;'Funnel setup'!$K$6,".",IF(A4809=".",1,A4809+1))</f>
        <v>.</v>
      </c>
      <c r="B4810" s="244" t="str">
        <f t="shared" si="75"/>
        <v>Total Knee ReplacementProviderGLOUCESTERSHIRE HOSPITALS NHS FOUNDATION TRUST (RTE)EQ VAS</v>
      </c>
      <c r="C4810" t="s">
        <v>975</v>
      </c>
      <c r="D4810" t="s">
        <v>965</v>
      </c>
      <c r="E4810" t="s">
        <v>256</v>
      </c>
      <c r="F4810" t="s">
        <v>257</v>
      </c>
      <c r="G4810" t="s">
        <v>752</v>
      </c>
      <c r="H4810">
        <v>63</v>
      </c>
      <c r="I4810">
        <v>63.460299999999997</v>
      </c>
      <c r="J4810">
        <v>73.015900000000002</v>
      </c>
      <c r="K4810">
        <v>9.5555599999999998</v>
      </c>
      <c r="L4810">
        <v>38</v>
      </c>
      <c r="M4810">
        <v>9</v>
      </c>
      <c r="N4810">
        <v>16</v>
      </c>
      <c r="O4810">
        <v>75.510199999999998</v>
      </c>
      <c r="P4810">
        <v>10.204499999999999</v>
      </c>
      <c r="Q4810">
        <v>16.175000000000001</v>
      </c>
    </row>
    <row r="4811" spans="1:17" x14ac:dyDescent="0.25">
      <c r="A4811" t="str">
        <f>IF(C4811&amp;G4811&amp;D4811&lt;&gt;'Funnel setup'!$K$3&amp;'Funnel setup'!$K$4&amp;'Funnel setup'!$K$6,".",IF(A4810=".",1,A4810+1))</f>
        <v>.</v>
      </c>
      <c r="B4811" s="244" t="str">
        <f t="shared" si="75"/>
        <v>Total Knee ReplacementProviderGORING HALL HOSPITAL (NT417)EQ VAS</v>
      </c>
      <c r="C4811" t="s">
        <v>975</v>
      </c>
      <c r="D4811" t="s">
        <v>965</v>
      </c>
      <c r="E4811" t="s">
        <v>258</v>
      </c>
      <c r="F4811" t="s">
        <v>259</v>
      </c>
      <c r="G4811" t="s">
        <v>752</v>
      </c>
      <c r="H4811">
        <v>24</v>
      </c>
      <c r="I4811">
        <v>64.708299999999994</v>
      </c>
      <c r="J4811">
        <v>69.166700000000006</v>
      </c>
      <c r="K4811">
        <v>4.4583300000000001</v>
      </c>
      <c r="L4811">
        <v>12</v>
      </c>
      <c r="M4811">
        <v>3</v>
      </c>
      <c r="N4811">
        <v>9</v>
      </c>
      <c r="O4811" t="s">
        <v>127</v>
      </c>
      <c r="P4811" t="s">
        <v>127</v>
      </c>
      <c r="Q4811" t="s">
        <v>127</v>
      </c>
    </row>
    <row r="4812" spans="1:17" x14ac:dyDescent="0.25">
      <c r="A4812" t="str">
        <f>IF(C4812&amp;G4812&amp;D4812&lt;&gt;'Funnel setup'!$K$3&amp;'Funnel setup'!$K$4&amp;'Funnel setup'!$K$6,".",IF(A4811=".",1,A4811+1))</f>
        <v>.</v>
      </c>
      <c r="B4812" s="244" t="str">
        <f t="shared" si="75"/>
        <v>Total Knee ReplacementProviderGUY'S AND ST THOMAS' NHS FOUNDATION TRUST (RJ1)EQ VAS</v>
      </c>
      <c r="C4812" t="s">
        <v>975</v>
      </c>
      <c r="D4812" t="s">
        <v>965</v>
      </c>
      <c r="E4812" t="s">
        <v>262</v>
      </c>
      <c r="F4812" t="s">
        <v>263</v>
      </c>
      <c r="G4812" t="s">
        <v>752</v>
      </c>
      <c r="H4812">
        <v>71</v>
      </c>
      <c r="I4812">
        <v>59.408499999999997</v>
      </c>
      <c r="J4812">
        <v>67.549300000000002</v>
      </c>
      <c r="K4812">
        <v>8.1408500000000004</v>
      </c>
      <c r="L4812">
        <v>45</v>
      </c>
      <c r="M4812">
        <v>7</v>
      </c>
      <c r="N4812">
        <v>19</v>
      </c>
      <c r="O4812">
        <v>72.607600000000005</v>
      </c>
      <c r="P4812">
        <v>7.30192</v>
      </c>
      <c r="Q4812">
        <v>16.296800000000001</v>
      </c>
    </row>
    <row r="4813" spans="1:17" x14ac:dyDescent="0.25">
      <c r="A4813" t="str">
        <f>IF(C4813&amp;G4813&amp;D4813&lt;&gt;'Funnel setup'!$K$3&amp;'Funnel setup'!$K$4&amp;'Funnel setup'!$K$6,".",IF(A4812=".",1,A4812+1))</f>
        <v>.</v>
      </c>
      <c r="B4813" s="244" t="str">
        <f t="shared" si="75"/>
        <v>Total Knee ReplacementProviderHAMPSHIRE CLINIC (NT418)EQ VAS</v>
      </c>
      <c r="C4813" t="s">
        <v>975</v>
      </c>
      <c r="D4813" t="s">
        <v>965</v>
      </c>
      <c r="E4813" t="s">
        <v>264</v>
      </c>
      <c r="F4813" t="s">
        <v>265</v>
      </c>
      <c r="G4813" t="s">
        <v>752</v>
      </c>
      <c r="H4813">
        <v>18</v>
      </c>
      <c r="I4813">
        <v>77.888900000000007</v>
      </c>
      <c r="J4813">
        <v>82.611099999999993</v>
      </c>
      <c r="K4813">
        <v>4.7222200000000001</v>
      </c>
      <c r="L4813">
        <v>9</v>
      </c>
      <c r="M4813">
        <v>5</v>
      </c>
      <c r="N4813">
        <v>4</v>
      </c>
      <c r="O4813" t="s">
        <v>127</v>
      </c>
      <c r="P4813" t="s">
        <v>127</v>
      </c>
      <c r="Q4813" t="s">
        <v>127</v>
      </c>
    </row>
    <row r="4814" spans="1:17" x14ac:dyDescent="0.25">
      <c r="A4814" t="str">
        <f>IF(C4814&amp;G4814&amp;D4814&lt;&gt;'Funnel setup'!$K$3&amp;'Funnel setup'!$K$4&amp;'Funnel setup'!$K$6,".",IF(A4813=".",1,A4813+1))</f>
        <v>.</v>
      </c>
      <c r="B4814" s="244" t="str">
        <f t="shared" si="75"/>
        <v>Total Knee ReplacementProviderHAMPSHIRE HOSPITALS NHS FOUNDATION TRUST (RN5)EQ VAS</v>
      </c>
      <c r="C4814" t="s">
        <v>975</v>
      </c>
      <c r="D4814" t="s">
        <v>965</v>
      </c>
      <c r="E4814" t="s">
        <v>266</v>
      </c>
      <c r="F4814" t="s">
        <v>267</v>
      </c>
      <c r="G4814" t="s">
        <v>752</v>
      </c>
      <c r="H4814">
        <v>21</v>
      </c>
      <c r="I4814">
        <v>67.285700000000006</v>
      </c>
      <c r="J4814">
        <v>68.333299999999994</v>
      </c>
      <c r="K4814">
        <v>1.04762</v>
      </c>
      <c r="L4814">
        <v>10</v>
      </c>
      <c r="M4814">
        <v>1</v>
      </c>
      <c r="N4814">
        <v>10</v>
      </c>
      <c r="O4814" t="s">
        <v>127</v>
      </c>
      <c r="P4814" t="s">
        <v>127</v>
      </c>
      <c r="Q4814" t="s">
        <v>127</v>
      </c>
    </row>
    <row r="4815" spans="1:17" x14ac:dyDescent="0.25">
      <c r="A4815" t="str">
        <f>IF(C4815&amp;G4815&amp;D4815&lt;&gt;'Funnel setup'!$K$3&amp;'Funnel setup'!$K$4&amp;'Funnel setup'!$K$6,".",IF(A4814=".",1,A4814+1))</f>
        <v>.</v>
      </c>
      <c r="B4815" s="244" t="str">
        <f t="shared" si="75"/>
        <v>Total Knee ReplacementProviderHARROGATE AND DISTRICT NHS FOUNDATION TRUST (RCD)EQ VAS</v>
      </c>
      <c r="C4815" t="s">
        <v>975</v>
      </c>
      <c r="D4815" t="s">
        <v>965</v>
      </c>
      <c r="E4815" t="s">
        <v>270</v>
      </c>
      <c r="F4815" t="s">
        <v>271</v>
      </c>
      <c r="G4815" t="s">
        <v>752</v>
      </c>
      <c r="H4815">
        <v>84</v>
      </c>
      <c r="I4815">
        <v>63.226199999999999</v>
      </c>
      <c r="J4815">
        <v>70.047600000000003</v>
      </c>
      <c r="K4815">
        <v>6.8214300000000003</v>
      </c>
      <c r="L4815">
        <v>47</v>
      </c>
      <c r="M4815">
        <v>13</v>
      </c>
      <c r="N4815">
        <v>24</v>
      </c>
      <c r="O4815">
        <v>71.628100000000003</v>
      </c>
      <c r="P4815">
        <v>6.3224299999999998</v>
      </c>
      <c r="Q4815">
        <v>18.749199999999998</v>
      </c>
    </row>
    <row r="4816" spans="1:17" x14ac:dyDescent="0.25">
      <c r="A4816" t="str">
        <f>IF(C4816&amp;G4816&amp;D4816&lt;&gt;'Funnel setup'!$K$3&amp;'Funnel setup'!$K$4&amp;'Funnel setup'!$K$6,".",IF(A4815=".",1,A4815+1))</f>
        <v>.</v>
      </c>
      <c r="B4816" s="244" t="str">
        <f t="shared" si="75"/>
        <v>Total Knee ReplacementProviderHIGHFIELD HOSPITAL (NT420)EQ VAS</v>
      </c>
      <c r="C4816" t="s">
        <v>975</v>
      </c>
      <c r="D4816" t="s">
        <v>965</v>
      </c>
      <c r="E4816" t="s">
        <v>272</v>
      </c>
      <c r="F4816" t="s">
        <v>273</v>
      </c>
      <c r="G4816" t="s">
        <v>752</v>
      </c>
      <c r="H4816">
        <v>107</v>
      </c>
      <c r="I4816">
        <v>69.607500000000002</v>
      </c>
      <c r="J4816">
        <v>74.355099999999993</v>
      </c>
      <c r="K4816">
        <v>4.7476599999999998</v>
      </c>
      <c r="L4816">
        <v>55</v>
      </c>
      <c r="M4816">
        <v>10</v>
      </c>
      <c r="N4816">
        <v>42</v>
      </c>
      <c r="O4816">
        <v>70.883799999999994</v>
      </c>
      <c r="P4816">
        <v>5.5780700000000003</v>
      </c>
      <c r="Q4816">
        <v>18.545400000000001</v>
      </c>
    </row>
    <row r="4817" spans="1:17" x14ac:dyDescent="0.25">
      <c r="A4817" t="str">
        <f>IF(C4817&amp;G4817&amp;D4817&lt;&gt;'Funnel setup'!$K$3&amp;'Funnel setup'!$K$4&amp;'Funnel setup'!$K$6,".",IF(A4816=".",1,A4816+1))</f>
        <v>.</v>
      </c>
      <c r="B4817" s="244" t="str">
        <f t="shared" si="75"/>
        <v>Total Knee ReplacementProviderHOMERTON HEALTHCARE NHS FOUNDATION TRUST (RQX)EQ VAS</v>
      </c>
      <c r="C4817" t="s">
        <v>975</v>
      </c>
      <c r="D4817" t="s">
        <v>965</v>
      </c>
      <c r="E4817" t="s">
        <v>274</v>
      </c>
      <c r="F4817" t="s">
        <v>275</v>
      </c>
      <c r="G4817" t="s">
        <v>752</v>
      </c>
      <c r="H4817">
        <v>3</v>
      </c>
      <c r="I4817">
        <v>61.666699999999999</v>
      </c>
      <c r="J4817">
        <v>81</v>
      </c>
      <c r="K4817">
        <v>19.333300000000001</v>
      </c>
      <c r="L4817">
        <v>3</v>
      </c>
      <c r="M4817">
        <v>0</v>
      </c>
      <c r="N4817">
        <v>0</v>
      </c>
      <c r="O4817" t="s">
        <v>127</v>
      </c>
      <c r="P4817" t="s">
        <v>127</v>
      </c>
      <c r="Q4817" t="s">
        <v>127</v>
      </c>
    </row>
    <row r="4818" spans="1:17" x14ac:dyDescent="0.25">
      <c r="A4818" t="str">
        <f>IF(C4818&amp;G4818&amp;D4818&lt;&gt;'Funnel setup'!$K$3&amp;'Funnel setup'!$K$4&amp;'Funnel setup'!$K$6,".",IF(A4817=".",1,A4817+1))</f>
        <v>.</v>
      </c>
      <c r="B4818" s="244" t="str">
        <f t="shared" si="75"/>
        <v>Total Knee ReplacementProviderHUDDERSFIELD HOSPITAL (NT448)EQ VAS</v>
      </c>
      <c r="C4818" t="s">
        <v>975</v>
      </c>
      <c r="D4818" t="s">
        <v>965</v>
      </c>
      <c r="E4818" t="s">
        <v>276</v>
      </c>
      <c r="F4818" t="s">
        <v>277</v>
      </c>
      <c r="G4818" t="s">
        <v>752</v>
      </c>
      <c r="H4818">
        <v>2</v>
      </c>
      <c r="I4818">
        <v>72.5</v>
      </c>
      <c r="J4818">
        <v>58</v>
      </c>
      <c r="K4818">
        <v>-14.5</v>
      </c>
      <c r="L4818">
        <v>0</v>
      </c>
      <c r="M4818">
        <v>0</v>
      </c>
      <c r="N4818">
        <v>2</v>
      </c>
      <c r="O4818" t="s">
        <v>127</v>
      </c>
      <c r="P4818" t="s">
        <v>127</v>
      </c>
      <c r="Q4818" t="s">
        <v>127</v>
      </c>
    </row>
    <row r="4819" spans="1:17" x14ac:dyDescent="0.25">
      <c r="A4819" t="str">
        <f>IF(C4819&amp;G4819&amp;D4819&lt;&gt;'Funnel setup'!$K$3&amp;'Funnel setup'!$K$4&amp;'Funnel setup'!$K$6,".",IF(A4818=".",1,A4818+1))</f>
        <v>.</v>
      </c>
      <c r="B4819" s="244" t="str">
        <f t="shared" si="75"/>
        <v>Total Knee ReplacementProviderHULL UNIVERSITY TEACHING HOSPITALS NHS TRUST (RWA)EQ VAS</v>
      </c>
      <c r="C4819" t="s">
        <v>975</v>
      </c>
      <c r="D4819" t="s">
        <v>965</v>
      </c>
      <c r="E4819" t="s">
        <v>278</v>
      </c>
      <c r="F4819" t="s">
        <v>279</v>
      </c>
      <c r="G4819" t="s">
        <v>752</v>
      </c>
      <c r="H4819">
        <v>30</v>
      </c>
      <c r="I4819">
        <v>65.166700000000006</v>
      </c>
      <c r="J4819">
        <v>72.2667</v>
      </c>
      <c r="K4819">
        <v>7.1</v>
      </c>
      <c r="L4819">
        <v>18</v>
      </c>
      <c r="M4819">
        <v>3</v>
      </c>
      <c r="N4819">
        <v>9</v>
      </c>
      <c r="O4819">
        <v>74.363299999999995</v>
      </c>
      <c r="P4819">
        <v>9.0575899999999994</v>
      </c>
      <c r="Q4819">
        <v>12.680099999999999</v>
      </c>
    </row>
    <row r="4820" spans="1:17" x14ac:dyDescent="0.25">
      <c r="A4820" t="str">
        <f>IF(C4820&amp;G4820&amp;D4820&lt;&gt;'Funnel setup'!$K$3&amp;'Funnel setup'!$K$4&amp;'Funnel setup'!$K$6,".",IF(A4819=".",1,A4819+1))</f>
        <v>.</v>
      </c>
      <c r="B4820" s="244" t="str">
        <f t="shared" si="75"/>
        <v>Total Knee ReplacementProviderIMPERIAL COLLEGE HEALTHCARE NHS TRUST (RYJ)EQ VAS</v>
      </c>
      <c r="C4820" t="s">
        <v>975</v>
      </c>
      <c r="D4820" t="s">
        <v>965</v>
      </c>
      <c r="E4820" t="s">
        <v>280</v>
      </c>
      <c r="F4820" t="s">
        <v>281</v>
      </c>
      <c r="G4820" t="s">
        <v>752</v>
      </c>
      <c r="H4820">
        <v>22</v>
      </c>
      <c r="I4820">
        <v>62.5</v>
      </c>
      <c r="J4820">
        <v>69.045500000000004</v>
      </c>
      <c r="K4820">
        <v>6.5454499999999998</v>
      </c>
      <c r="L4820">
        <v>15</v>
      </c>
      <c r="M4820">
        <v>1</v>
      </c>
      <c r="N4820">
        <v>6</v>
      </c>
      <c r="O4820" t="s">
        <v>127</v>
      </c>
      <c r="P4820" t="s">
        <v>127</v>
      </c>
      <c r="Q4820" t="s">
        <v>127</v>
      </c>
    </row>
    <row r="4821" spans="1:17" x14ac:dyDescent="0.25">
      <c r="A4821" t="str">
        <f>IF(C4821&amp;G4821&amp;D4821&lt;&gt;'Funnel setup'!$K$3&amp;'Funnel setup'!$K$4&amp;'Funnel setup'!$K$6,".",IF(A4820=".",1,A4820+1))</f>
        <v>.</v>
      </c>
      <c r="B4821" s="244" t="str">
        <f t="shared" si="75"/>
        <v>Total Knee ReplacementProviderISLE OF WIGHT NHS TRUST (R1F)EQ VAS</v>
      </c>
      <c r="C4821" t="s">
        <v>975</v>
      </c>
      <c r="D4821" t="s">
        <v>965</v>
      </c>
      <c r="E4821" t="s">
        <v>282</v>
      </c>
      <c r="F4821" t="s">
        <v>283</v>
      </c>
      <c r="G4821" t="s">
        <v>752</v>
      </c>
      <c r="H4821">
        <v>3</v>
      </c>
      <c r="I4821">
        <v>66.666700000000006</v>
      </c>
      <c r="J4821">
        <v>73</v>
      </c>
      <c r="K4821">
        <v>6.3333300000000001</v>
      </c>
      <c r="L4821">
        <v>2</v>
      </c>
      <c r="M4821">
        <v>1</v>
      </c>
      <c r="N4821">
        <v>0</v>
      </c>
      <c r="O4821" t="s">
        <v>127</v>
      </c>
      <c r="P4821" t="s">
        <v>127</v>
      </c>
      <c r="Q4821" t="s">
        <v>127</v>
      </c>
    </row>
    <row r="4822" spans="1:17" x14ac:dyDescent="0.25">
      <c r="A4822" t="str">
        <f>IF(C4822&amp;G4822&amp;D4822&lt;&gt;'Funnel setup'!$K$3&amp;'Funnel setup'!$K$4&amp;'Funnel setup'!$K$6,".",IF(A4821=".",1,A4821+1))</f>
        <v>.</v>
      </c>
      <c r="B4822" s="244" t="str">
        <f t="shared" si="75"/>
        <v>Total Knee ReplacementProviderJAMES PAGET UNIVERSITY HOSPITALS NHS FOUNDATION TRUST (RGP)EQ VAS</v>
      </c>
      <c r="C4822" t="s">
        <v>975</v>
      </c>
      <c r="D4822" t="s">
        <v>965</v>
      </c>
      <c r="E4822" t="s">
        <v>284</v>
      </c>
      <c r="F4822" t="s">
        <v>285</v>
      </c>
      <c r="G4822" t="s">
        <v>752</v>
      </c>
      <c r="H4822">
        <v>55</v>
      </c>
      <c r="I4822">
        <v>61.672699999999999</v>
      </c>
      <c r="J4822">
        <v>75.381799999999998</v>
      </c>
      <c r="K4822">
        <v>13.709099999999999</v>
      </c>
      <c r="L4822">
        <v>40</v>
      </c>
      <c r="M4822">
        <v>4</v>
      </c>
      <c r="N4822">
        <v>11</v>
      </c>
      <c r="O4822">
        <v>77.846599999999995</v>
      </c>
      <c r="P4822">
        <v>12.540900000000001</v>
      </c>
      <c r="Q4822">
        <v>14.6608</v>
      </c>
    </row>
    <row r="4823" spans="1:17" x14ac:dyDescent="0.25">
      <c r="A4823" t="str">
        <f>IF(C4823&amp;G4823&amp;D4823&lt;&gt;'Funnel setup'!$K$3&amp;'Funnel setup'!$K$4&amp;'Funnel setup'!$K$6,".",IF(A4822=".",1,A4822+1))</f>
        <v>.</v>
      </c>
      <c r="B4823" s="244" t="str">
        <f t="shared" si="75"/>
        <v>Total Knee ReplacementProviderKETTERING GENERAL HOSPITAL NHS FOUNDATION TRUST (RNQ)EQ VAS</v>
      </c>
      <c r="C4823" t="s">
        <v>975</v>
      </c>
      <c r="D4823" t="s">
        <v>965</v>
      </c>
      <c r="E4823" t="s">
        <v>286</v>
      </c>
      <c r="F4823" t="s">
        <v>287</v>
      </c>
      <c r="G4823" t="s">
        <v>752</v>
      </c>
      <c r="H4823">
        <v>30</v>
      </c>
      <c r="I4823">
        <v>33.799999999999997</v>
      </c>
      <c r="J4823">
        <v>70.366699999999994</v>
      </c>
      <c r="K4823">
        <v>36.566699999999997</v>
      </c>
      <c r="L4823">
        <v>28</v>
      </c>
      <c r="M4823">
        <v>0</v>
      </c>
      <c r="N4823">
        <v>2</v>
      </c>
      <c r="O4823">
        <v>81.457899999999995</v>
      </c>
      <c r="P4823">
        <v>16.152200000000001</v>
      </c>
      <c r="Q4823">
        <v>20.463799999999999</v>
      </c>
    </row>
    <row r="4824" spans="1:17" x14ac:dyDescent="0.25">
      <c r="A4824" t="str">
        <f>IF(C4824&amp;G4824&amp;D4824&lt;&gt;'Funnel setup'!$K$3&amp;'Funnel setup'!$K$4&amp;'Funnel setup'!$K$6,".",IF(A4823=".",1,A4823+1))</f>
        <v>.</v>
      </c>
      <c r="B4824" s="244" t="str">
        <f t="shared" si="75"/>
        <v>Total Knee ReplacementProviderKIMS HOSPITAL (NEWNHAM COURT) (ADP02)EQ VAS</v>
      </c>
      <c r="C4824" t="s">
        <v>975</v>
      </c>
      <c r="D4824" t="s">
        <v>965</v>
      </c>
      <c r="E4824" t="s">
        <v>288</v>
      </c>
      <c r="F4824" t="s">
        <v>289</v>
      </c>
      <c r="G4824" t="s">
        <v>752</v>
      </c>
      <c r="H4824">
        <v>130</v>
      </c>
      <c r="I4824">
        <v>67.261499999999998</v>
      </c>
      <c r="J4824">
        <v>77.953800000000001</v>
      </c>
      <c r="K4824">
        <v>10.692299999999999</v>
      </c>
      <c r="L4824">
        <v>92</v>
      </c>
      <c r="M4824">
        <v>12</v>
      </c>
      <c r="N4824">
        <v>26</v>
      </c>
      <c r="O4824">
        <v>76.027199999999993</v>
      </c>
      <c r="P4824">
        <v>10.721500000000001</v>
      </c>
      <c r="Q4824">
        <v>15.4603</v>
      </c>
    </row>
    <row r="4825" spans="1:17" x14ac:dyDescent="0.25">
      <c r="A4825" t="str">
        <f>IF(C4825&amp;G4825&amp;D4825&lt;&gt;'Funnel setup'!$K$3&amp;'Funnel setup'!$K$4&amp;'Funnel setup'!$K$6,".",IF(A4824=".",1,A4824+1))</f>
        <v>.</v>
      </c>
      <c r="B4825" s="244" t="str">
        <f t="shared" si="75"/>
        <v>Total Knee ReplacementProviderKING'S COLLEGE HOSPITAL NHS FOUNDATION TRUST (RJZ)EQ VAS</v>
      </c>
      <c r="C4825" t="s">
        <v>975</v>
      </c>
      <c r="D4825" t="s">
        <v>965</v>
      </c>
      <c r="E4825" t="s">
        <v>290</v>
      </c>
      <c r="F4825" t="s">
        <v>291</v>
      </c>
      <c r="G4825" t="s">
        <v>752</v>
      </c>
      <c r="H4825">
        <v>14</v>
      </c>
      <c r="I4825">
        <v>65.5</v>
      </c>
      <c r="J4825">
        <v>66.142899999999997</v>
      </c>
      <c r="K4825">
        <v>0.64285700000000001</v>
      </c>
      <c r="L4825">
        <v>6</v>
      </c>
      <c r="M4825">
        <v>0</v>
      </c>
      <c r="N4825">
        <v>8</v>
      </c>
      <c r="O4825" t="s">
        <v>127</v>
      </c>
      <c r="P4825" t="s">
        <v>127</v>
      </c>
      <c r="Q4825" t="s">
        <v>127</v>
      </c>
    </row>
    <row r="4826" spans="1:17" x14ac:dyDescent="0.25">
      <c r="A4826" t="str">
        <f>IF(C4826&amp;G4826&amp;D4826&lt;&gt;'Funnel setup'!$K$3&amp;'Funnel setup'!$K$4&amp;'Funnel setup'!$K$6,".",IF(A4825=".",1,A4825+1))</f>
        <v>.</v>
      </c>
      <c r="B4826" s="244" t="str">
        <f t="shared" si="75"/>
        <v>Total Knee ReplacementProviderKINGS OAK HOSPITAL (NT421)EQ VAS</v>
      </c>
      <c r="C4826" t="s">
        <v>975</v>
      </c>
      <c r="D4826" t="s">
        <v>965</v>
      </c>
      <c r="E4826" t="s">
        <v>292</v>
      </c>
      <c r="F4826" t="s">
        <v>293</v>
      </c>
      <c r="G4826" t="s">
        <v>752</v>
      </c>
      <c r="H4826">
        <v>6</v>
      </c>
      <c r="I4826">
        <v>54.166699999999999</v>
      </c>
      <c r="J4826">
        <v>68</v>
      </c>
      <c r="K4826">
        <v>13.833299999999999</v>
      </c>
      <c r="L4826">
        <v>4</v>
      </c>
      <c r="M4826">
        <v>1</v>
      </c>
      <c r="N4826">
        <v>1</v>
      </c>
      <c r="O4826" t="s">
        <v>127</v>
      </c>
      <c r="P4826" t="s">
        <v>127</v>
      </c>
      <c r="Q4826" t="s">
        <v>127</v>
      </c>
    </row>
    <row r="4827" spans="1:17" x14ac:dyDescent="0.25">
      <c r="A4827" t="str">
        <f>IF(C4827&amp;G4827&amp;D4827&lt;&gt;'Funnel setup'!$K$3&amp;'Funnel setup'!$K$4&amp;'Funnel setup'!$K$6,".",IF(A4826=".",1,A4826+1))</f>
        <v>.</v>
      </c>
      <c r="B4827" s="244" t="str">
        <f t="shared" si="75"/>
        <v>Total Knee ReplacementProviderLANCASHIRE TEACHING HOSPITALS NHS FOUNDATION TRUST (RXN)EQ VAS</v>
      </c>
      <c r="C4827" t="s">
        <v>975</v>
      </c>
      <c r="D4827" t="s">
        <v>965</v>
      </c>
      <c r="E4827" t="s">
        <v>296</v>
      </c>
      <c r="F4827" t="s">
        <v>297</v>
      </c>
      <c r="G4827" t="s">
        <v>752</v>
      </c>
      <c r="H4827">
        <v>42</v>
      </c>
      <c r="I4827">
        <v>66.476200000000006</v>
      </c>
      <c r="J4827">
        <v>70.976200000000006</v>
      </c>
      <c r="K4827">
        <v>4.5</v>
      </c>
      <c r="L4827">
        <v>25</v>
      </c>
      <c r="M4827">
        <v>3</v>
      </c>
      <c r="N4827">
        <v>14</v>
      </c>
      <c r="O4827">
        <v>74.048599999999993</v>
      </c>
      <c r="P4827">
        <v>8.7428600000000003</v>
      </c>
      <c r="Q4827">
        <v>17.7181</v>
      </c>
    </row>
    <row r="4828" spans="1:17" x14ac:dyDescent="0.25">
      <c r="A4828" t="str">
        <f>IF(C4828&amp;G4828&amp;D4828&lt;&gt;'Funnel setup'!$K$3&amp;'Funnel setup'!$K$4&amp;'Funnel setup'!$K$6,".",IF(A4827=".",1,A4827+1))</f>
        <v>.</v>
      </c>
      <c r="B4828" s="244" t="str">
        <f t="shared" si="75"/>
        <v>Total Knee ReplacementProviderLANCASTER HOSPITAL (NT449)EQ VAS</v>
      </c>
      <c r="C4828" t="s">
        <v>975</v>
      </c>
      <c r="D4828" t="s">
        <v>965</v>
      </c>
      <c r="E4828" t="s">
        <v>298</v>
      </c>
      <c r="F4828" t="s">
        <v>299</v>
      </c>
      <c r="G4828" t="s">
        <v>752</v>
      </c>
      <c r="H4828">
        <v>30</v>
      </c>
      <c r="I4828">
        <v>69.433300000000003</v>
      </c>
      <c r="J4828">
        <v>81.566699999999997</v>
      </c>
      <c r="K4828">
        <v>12.1333</v>
      </c>
      <c r="L4828">
        <v>22</v>
      </c>
      <c r="M4828">
        <v>2</v>
      </c>
      <c r="N4828">
        <v>6</v>
      </c>
      <c r="O4828">
        <v>77.962400000000002</v>
      </c>
      <c r="P4828">
        <v>12.656700000000001</v>
      </c>
      <c r="Q4828">
        <v>10.7936</v>
      </c>
    </row>
    <row r="4829" spans="1:17" x14ac:dyDescent="0.25">
      <c r="A4829" t="str">
        <f>IF(C4829&amp;G4829&amp;D4829&lt;&gt;'Funnel setup'!$K$3&amp;'Funnel setup'!$K$4&amp;'Funnel setup'!$K$6,".",IF(A4828=".",1,A4828+1))</f>
        <v>.</v>
      </c>
      <c r="B4829" s="244" t="str">
        <f t="shared" si="75"/>
        <v>Total Knee ReplacementProviderLEEDS TEACHING HOSPITALS NHS TRUST (RR8)EQ VAS</v>
      </c>
      <c r="C4829" t="s">
        <v>975</v>
      </c>
      <c r="D4829" t="s">
        <v>965</v>
      </c>
      <c r="E4829" t="s">
        <v>300</v>
      </c>
      <c r="F4829" t="s">
        <v>301</v>
      </c>
      <c r="G4829" t="s">
        <v>752</v>
      </c>
      <c r="H4829">
        <v>101</v>
      </c>
      <c r="I4829">
        <v>59.8416</v>
      </c>
      <c r="J4829">
        <v>70.594099999999997</v>
      </c>
      <c r="K4829">
        <v>10.7525</v>
      </c>
      <c r="L4829">
        <v>66</v>
      </c>
      <c r="M4829">
        <v>13</v>
      </c>
      <c r="N4829">
        <v>22</v>
      </c>
      <c r="O4829">
        <v>74.066900000000004</v>
      </c>
      <c r="P4829">
        <v>8.7611600000000003</v>
      </c>
      <c r="Q4829">
        <v>15.829599999999999</v>
      </c>
    </row>
    <row r="4830" spans="1:17" x14ac:dyDescent="0.25">
      <c r="A4830" t="str">
        <f>IF(C4830&amp;G4830&amp;D4830&lt;&gt;'Funnel setup'!$K$3&amp;'Funnel setup'!$K$4&amp;'Funnel setup'!$K$6,".",IF(A4829=".",1,A4829+1))</f>
        <v>.</v>
      </c>
      <c r="B4830" s="244" t="str">
        <f t="shared" si="75"/>
        <v>Total Knee ReplacementProviderLINCOLN HOSPITAL (NT450)EQ VAS</v>
      </c>
      <c r="C4830" t="s">
        <v>975</v>
      </c>
      <c r="D4830" t="s">
        <v>965</v>
      </c>
      <c r="E4830" t="s">
        <v>304</v>
      </c>
      <c r="F4830" t="s">
        <v>305</v>
      </c>
      <c r="G4830" t="s">
        <v>752</v>
      </c>
      <c r="H4830">
        <v>66</v>
      </c>
      <c r="I4830">
        <v>65.477599999999995</v>
      </c>
      <c r="J4830">
        <v>77.537300000000002</v>
      </c>
      <c r="K4830">
        <v>12.059699999999999</v>
      </c>
      <c r="L4830">
        <v>45</v>
      </c>
      <c r="M4830">
        <v>4</v>
      </c>
      <c r="N4830">
        <v>17</v>
      </c>
      <c r="O4830">
        <v>76.681700000000006</v>
      </c>
      <c r="P4830">
        <v>11.375999999999999</v>
      </c>
      <c r="Q4830">
        <v>15.3766</v>
      </c>
    </row>
    <row r="4831" spans="1:17" x14ac:dyDescent="0.25">
      <c r="A4831" t="str">
        <f>IF(C4831&amp;G4831&amp;D4831&lt;&gt;'Funnel setup'!$K$3&amp;'Funnel setup'!$K$4&amp;'Funnel setup'!$K$6,".",IF(A4830=".",1,A4830+1))</f>
        <v>.</v>
      </c>
      <c r="B4831" s="244" t="str">
        <f t="shared" si="75"/>
        <v>Total Knee ReplacementProviderLIVERPOOL UNIVERSITY HOSPITALS NHS FOUNDATION TRUST (REM)EQ VAS</v>
      </c>
      <c r="C4831" t="s">
        <v>975</v>
      </c>
      <c r="D4831" t="s">
        <v>965</v>
      </c>
      <c r="E4831" t="s">
        <v>306</v>
      </c>
      <c r="F4831" t="s">
        <v>307</v>
      </c>
      <c r="G4831" t="s">
        <v>752</v>
      </c>
      <c r="H4831">
        <v>58</v>
      </c>
      <c r="I4831">
        <v>63.948300000000003</v>
      </c>
      <c r="J4831">
        <v>71.793099999999995</v>
      </c>
      <c r="K4831">
        <v>7.84483</v>
      </c>
      <c r="L4831">
        <v>32</v>
      </c>
      <c r="M4831">
        <v>6</v>
      </c>
      <c r="N4831">
        <v>20</v>
      </c>
      <c r="O4831">
        <v>74.184700000000007</v>
      </c>
      <c r="P4831">
        <v>8.8789700000000007</v>
      </c>
      <c r="Q4831">
        <v>16.6966</v>
      </c>
    </row>
    <row r="4832" spans="1:17" x14ac:dyDescent="0.25">
      <c r="A4832" t="str">
        <f>IF(C4832&amp;G4832&amp;D4832&lt;&gt;'Funnel setup'!$K$3&amp;'Funnel setup'!$K$4&amp;'Funnel setup'!$K$6,".",IF(A4831=".",1,A4831+1))</f>
        <v>.</v>
      </c>
      <c r="B4832" s="244" t="str">
        <f t="shared" si="75"/>
        <v>Total Knee ReplacementProviderLONDON INDEPENDENT HOSPITAL (NT422)EQ VAS</v>
      </c>
      <c r="C4832" t="s">
        <v>975</v>
      </c>
      <c r="D4832" t="s">
        <v>965</v>
      </c>
      <c r="E4832" t="s">
        <v>308</v>
      </c>
      <c r="F4832" t="s">
        <v>309</v>
      </c>
      <c r="G4832" t="s">
        <v>752</v>
      </c>
      <c r="H4832">
        <v>8</v>
      </c>
      <c r="I4832">
        <v>56.25</v>
      </c>
      <c r="J4832">
        <v>57.25</v>
      </c>
      <c r="K4832">
        <v>1</v>
      </c>
      <c r="L4832">
        <v>4</v>
      </c>
      <c r="M4832">
        <v>0</v>
      </c>
      <c r="N4832">
        <v>4</v>
      </c>
      <c r="O4832" t="s">
        <v>127</v>
      </c>
      <c r="P4832" t="s">
        <v>127</v>
      </c>
      <c r="Q4832" t="s">
        <v>127</v>
      </c>
    </row>
    <row r="4833" spans="1:17" x14ac:dyDescent="0.25">
      <c r="A4833" t="str">
        <f>IF(C4833&amp;G4833&amp;D4833&lt;&gt;'Funnel setup'!$K$3&amp;'Funnel setup'!$K$4&amp;'Funnel setup'!$K$6,".",IF(A4832=".",1,A4832+1))</f>
        <v>.</v>
      </c>
      <c r="B4833" s="244" t="str">
        <f t="shared" si="75"/>
        <v>Total Knee ReplacementProviderMAIDSTONE AND TUNBRIDGE WELLS NHS TRUST (RWF)EQ VAS</v>
      </c>
      <c r="C4833" t="s">
        <v>975</v>
      </c>
      <c r="D4833" t="s">
        <v>965</v>
      </c>
      <c r="E4833" t="s">
        <v>312</v>
      </c>
      <c r="F4833" t="s">
        <v>313</v>
      </c>
      <c r="G4833" t="s">
        <v>752</v>
      </c>
      <c r="H4833">
        <v>130</v>
      </c>
      <c r="I4833">
        <v>67.476900000000001</v>
      </c>
      <c r="J4833">
        <v>76.784599999999998</v>
      </c>
      <c r="K4833">
        <v>9.3076899999999991</v>
      </c>
      <c r="L4833">
        <v>81</v>
      </c>
      <c r="M4833">
        <v>12</v>
      </c>
      <c r="N4833">
        <v>37</v>
      </c>
      <c r="O4833">
        <v>75.228499999999997</v>
      </c>
      <c r="P4833">
        <v>9.9227500000000006</v>
      </c>
      <c r="Q4833">
        <v>15.595000000000001</v>
      </c>
    </row>
    <row r="4834" spans="1:17" x14ac:dyDescent="0.25">
      <c r="A4834" t="str">
        <f>IF(C4834&amp;G4834&amp;D4834&lt;&gt;'Funnel setup'!$K$3&amp;'Funnel setup'!$K$4&amp;'Funnel setup'!$K$6,".",IF(A4833=".",1,A4833+1))</f>
        <v>.</v>
      </c>
      <c r="B4834" s="244" t="str">
        <f t="shared" si="75"/>
        <v>Total Knee ReplacementProviderMANCHESTER UNIVERSITY NHS FOUNDATION TRUST (R0A)EQ VAS</v>
      </c>
      <c r="C4834" t="s">
        <v>975</v>
      </c>
      <c r="D4834" t="s">
        <v>965</v>
      </c>
      <c r="E4834" t="s">
        <v>316</v>
      </c>
      <c r="F4834" t="s">
        <v>317</v>
      </c>
      <c r="G4834" t="s">
        <v>752</v>
      </c>
      <c r="H4834">
        <v>94</v>
      </c>
      <c r="I4834">
        <v>60.212800000000001</v>
      </c>
      <c r="J4834">
        <v>70.638300000000001</v>
      </c>
      <c r="K4834">
        <v>10.4255</v>
      </c>
      <c r="L4834">
        <v>57</v>
      </c>
      <c r="M4834">
        <v>11</v>
      </c>
      <c r="N4834">
        <v>26</v>
      </c>
      <c r="O4834">
        <v>73.279899999999998</v>
      </c>
      <c r="P4834">
        <v>7.9741900000000001</v>
      </c>
      <c r="Q4834">
        <v>20.444199999999999</v>
      </c>
    </row>
    <row r="4835" spans="1:17" x14ac:dyDescent="0.25">
      <c r="A4835" t="str">
        <f>IF(C4835&amp;G4835&amp;D4835&lt;&gt;'Funnel setup'!$K$3&amp;'Funnel setup'!$K$4&amp;'Funnel setup'!$K$6,".",IF(A4834=".",1,A4834+1))</f>
        <v>.</v>
      </c>
      <c r="B4835" s="244" t="str">
        <f t="shared" si="75"/>
        <v>Total Knee ReplacementProviderMANOR HOSPITAL (NT423)EQ VAS</v>
      </c>
      <c r="C4835" t="s">
        <v>975</v>
      </c>
      <c r="D4835" t="s">
        <v>965</v>
      </c>
      <c r="E4835" t="s">
        <v>318</v>
      </c>
      <c r="F4835" t="s">
        <v>319</v>
      </c>
      <c r="G4835" t="s">
        <v>752</v>
      </c>
      <c r="H4835">
        <v>13</v>
      </c>
      <c r="I4835">
        <v>69</v>
      </c>
      <c r="J4835">
        <v>72.461500000000001</v>
      </c>
      <c r="K4835">
        <v>3.4615399999999998</v>
      </c>
      <c r="L4835">
        <v>8</v>
      </c>
      <c r="M4835">
        <v>2</v>
      </c>
      <c r="N4835">
        <v>3</v>
      </c>
      <c r="O4835" t="s">
        <v>127</v>
      </c>
      <c r="P4835" t="s">
        <v>127</v>
      </c>
      <c r="Q4835" t="s">
        <v>127</v>
      </c>
    </row>
    <row r="4836" spans="1:17" x14ac:dyDescent="0.25">
      <c r="A4836" t="str">
        <f>IF(C4836&amp;G4836&amp;D4836&lt;&gt;'Funnel setup'!$K$3&amp;'Funnel setup'!$K$4&amp;'Funnel setup'!$K$6,".",IF(A4835=".",1,A4835+1))</f>
        <v>.</v>
      </c>
      <c r="B4836" s="244" t="str">
        <f t="shared" si="75"/>
        <v>Total Knee ReplacementProviderMEDWAY NHS FOUNDATION TRUST (RPA)EQ VAS</v>
      </c>
      <c r="C4836" t="s">
        <v>975</v>
      </c>
      <c r="D4836" t="s">
        <v>965</v>
      </c>
      <c r="E4836" t="s">
        <v>320</v>
      </c>
      <c r="F4836" t="s">
        <v>321</v>
      </c>
      <c r="G4836" t="s">
        <v>752</v>
      </c>
      <c r="H4836">
        <v>42</v>
      </c>
      <c r="I4836">
        <v>66.595200000000006</v>
      </c>
      <c r="J4836">
        <v>75.238100000000003</v>
      </c>
      <c r="K4836">
        <v>8.6428600000000007</v>
      </c>
      <c r="L4836">
        <v>29</v>
      </c>
      <c r="M4836">
        <v>2</v>
      </c>
      <c r="N4836">
        <v>11</v>
      </c>
      <c r="O4836">
        <v>75.516499999999994</v>
      </c>
      <c r="P4836">
        <v>10.210800000000001</v>
      </c>
      <c r="Q4836">
        <v>16.779</v>
      </c>
    </row>
    <row r="4837" spans="1:17" x14ac:dyDescent="0.25">
      <c r="A4837" t="str">
        <f>IF(C4837&amp;G4837&amp;D4837&lt;&gt;'Funnel setup'!$K$3&amp;'Funnel setup'!$K$4&amp;'Funnel setup'!$K$6,".",IF(A4836=".",1,A4836+1))</f>
        <v>.</v>
      </c>
      <c r="B4837" s="244" t="str">
        <f t="shared" si="75"/>
        <v>Total Knee ReplacementProviderMERIDEN HOSPITAL (NT424)EQ VAS</v>
      </c>
      <c r="C4837" t="s">
        <v>975</v>
      </c>
      <c r="D4837" t="s">
        <v>965</v>
      </c>
      <c r="E4837" t="s">
        <v>322</v>
      </c>
      <c r="F4837" t="s">
        <v>323</v>
      </c>
      <c r="G4837" t="s">
        <v>752</v>
      </c>
      <c r="H4837">
        <v>7</v>
      </c>
      <c r="I4837">
        <v>68.571399999999997</v>
      </c>
      <c r="J4837">
        <v>80</v>
      </c>
      <c r="K4837">
        <v>11.428599999999999</v>
      </c>
      <c r="L4837">
        <v>5</v>
      </c>
      <c r="M4837">
        <v>1</v>
      </c>
      <c r="N4837">
        <v>1</v>
      </c>
      <c r="O4837" t="s">
        <v>127</v>
      </c>
      <c r="P4837" t="s">
        <v>127</v>
      </c>
      <c r="Q4837" t="s">
        <v>127</v>
      </c>
    </row>
    <row r="4838" spans="1:17" x14ac:dyDescent="0.25">
      <c r="A4838" t="str">
        <f>IF(C4838&amp;G4838&amp;D4838&lt;&gt;'Funnel setup'!$K$3&amp;'Funnel setup'!$K$4&amp;'Funnel setup'!$K$6,".",IF(A4837=".",1,A4837+1))</f>
        <v>.</v>
      </c>
      <c r="B4838" s="244" t="str">
        <f t="shared" si="75"/>
        <v>Total Knee ReplacementProviderMID AND SOUTH ESSEX NHS FOUNDATION TRUST (RAJ)EQ VAS</v>
      </c>
      <c r="C4838" t="s">
        <v>975</v>
      </c>
      <c r="D4838" t="s">
        <v>965</v>
      </c>
      <c r="E4838" t="s">
        <v>324</v>
      </c>
      <c r="F4838" t="s">
        <v>325</v>
      </c>
      <c r="G4838" t="s">
        <v>752</v>
      </c>
      <c r="H4838">
        <v>118</v>
      </c>
      <c r="I4838">
        <v>64.406800000000004</v>
      </c>
      <c r="J4838">
        <v>69.745800000000003</v>
      </c>
      <c r="K4838">
        <v>5.3389800000000003</v>
      </c>
      <c r="L4838">
        <v>71</v>
      </c>
      <c r="M4838">
        <v>13</v>
      </c>
      <c r="N4838">
        <v>34</v>
      </c>
      <c r="O4838">
        <v>71.167599999999993</v>
      </c>
      <c r="P4838">
        <v>5.8619000000000003</v>
      </c>
      <c r="Q4838">
        <v>18.666499999999999</v>
      </c>
    </row>
    <row r="4839" spans="1:17" x14ac:dyDescent="0.25">
      <c r="A4839" t="str">
        <f>IF(C4839&amp;G4839&amp;D4839&lt;&gt;'Funnel setup'!$K$3&amp;'Funnel setup'!$K$4&amp;'Funnel setup'!$K$6,".",IF(A4838=".",1,A4838+1))</f>
        <v>.</v>
      </c>
      <c r="B4839" s="244" t="str">
        <f t="shared" si="75"/>
        <v>Total Knee ReplacementProviderMID CHESHIRE HOSPITALS NHS FOUNDATION TRUST (RBT)EQ VAS</v>
      </c>
      <c r="C4839" t="s">
        <v>975</v>
      </c>
      <c r="D4839" t="s">
        <v>965</v>
      </c>
      <c r="E4839" t="s">
        <v>326</v>
      </c>
      <c r="F4839" t="s">
        <v>327</v>
      </c>
      <c r="G4839" t="s">
        <v>752</v>
      </c>
      <c r="H4839">
        <v>81</v>
      </c>
      <c r="I4839">
        <v>63.6173</v>
      </c>
      <c r="J4839">
        <v>75.2346</v>
      </c>
      <c r="K4839">
        <v>11.6173</v>
      </c>
      <c r="L4839">
        <v>51</v>
      </c>
      <c r="M4839">
        <v>7</v>
      </c>
      <c r="N4839">
        <v>23</v>
      </c>
      <c r="O4839">
        <v>75.667699999999996</v>
      </c>
      <c r="P4839">
        <v>10.362</v>
      </c>
      <c r="Q4839">
        <v>15.535399999999999</v>
      </c>
    </row>
    <row r="4840" spans="1:17" x14ac:dyDescent="0.25">
      <c r="A4840" t="str">
        <f>IF(C4840&amp;G4840&amp;D4840&lt;&gt;'Funnel setup'!$K$3&amp;'Funnel setup'!$K$4&amp;'Funnel setup'!$K$6,".",IF(A4839=".",1,A4839+1))</f>
        <v>.</v>
      </c>
      <c r="B4840" s="244" t="str">
        <f t="shared" si="75"/>
        <v>Total Knee ReplacementProviderMID YORKSHIRE TEACHING NHS TRUST (RXF)EQ VAS</v>
      </c>
      <c r="C4840" t="s">
        <v>975</v>
      </c>
      <c r="D4840" t="s">
        <v>965</v>
      </c>
      <c r="E4840" t="s">
        <v>330</v>
      </c>
      <c r="F4840" t="s">
        <v>331</v>
      </c>
      <c r="G4840" t="s">
        <v>752</v>
      </c>
      <c r="H4840">
        <v>186</v>
      </c>
      <c r="I4840">
        <v>62.440899999999999</v>
      </c>
      <c r="J4840">
        <v>70.521500000000003</v>
      </c>
      <c r="K4840">
        <v>8.0806500000000003</v>
      </c>
      <c r="L4840">
        <v>108</v>
      </c>
      <c r="M4840">
        <v>15</v>
      </c>
      <c r="N4840">
        <v>63</v>
      </c>
      <c r="O4840">
        <v>73.722099999999998</v>
      </c>
      <c r="P4840">
        <v>8.4163700000000006</v>
      </c>
      <c r="Q4840">
        <v>18.197199999999999</v>
      </c>
    </row>
    <row r="4841" spans="1:17" x14ac:dyDescent="0.25">
      <c r="A4841" t="str">
        <f>IF(C4841&amp;G4841&amp;D4841&lt;&gt;'Funnel setup'!$K$3&amp;'Funnel setup'!$K$4&amp;'Funnel setup'!$K$6,".",IF(A4840=".",1,A4840+1))</f>
        <v>.</v>
      </c>
      <c r="B4841" s="244" t="str">
        <f t="shared" si="75"/>
        <v>Total Knee ReplacementProviderMILTON KEYNES UNIVERSITY HOSPITAL NHS FOUNDATION TRUST (RD8)EQ VAS</v>
      </c>
      <c r="C4841" t="s">
        <v>975</v>
      </c>
      <c r="D4841" t="s">
        <v>965</v>
      </c>
      <c r="E4841" t="s">
        <v>332</v>
      </c>
      <c r="F4841" t="s">
        <v>333</v>
      </c>
      <c r="G4841" t="s">
        <v>752</v>
      </c>
      <c r="H4841">
        <v>31</v>
      </c>
      <c r="I4841">
        <v>53.032299999999999</v>
      </c>
      <c r="J4841">
        <v>67.967699999999994</v>
      </c>
      <c r="K4841">
        <v>14.935499999999999</v>
      </c>
      <c r="L4841">
        <v>22</v>
      </c>
      <c r="M4841">
        <v>4</v>
      </c>
      <c r="N4841">
        <v>5</v>
      </c>
      <c r="O4841">
        <v>71.320599999999999</v>
      </c>
      <c r="P4841">
        <v>6.01492</v>
      </c>
      <c r="Q4841">
        <v>15.6609</v>
      </c>
    </row>
    <row r="4842" spans="1:17" x14ac:dyDescent="0.25">
      <c r="A4842" t="str">
        <f>IF(C4842&amp;G4842&amp;D4842&lt;&gt;'Funnel setup'!$K$3&amp;'Funnel setup'!$K$4&amp;'Funnel setup'!$K$6,".",IF(A4841=".",1,A4841+1))</f>
        <v>.</v>
      </c>
      <c r="B4842" s="244" t="str">
        <f t="shared" si="75"/>
        <v>Total Knee ReplacementProviderMOUNT ALVERNIA HOSPITAL (NT455)EQ VAS</v>
      </c>
      <c r="C4842" t="s">
        <v>975</v>
      </c>
      <c r="D4842" t="s">
        <v>965</v>
      </c>
      <c r="E4842" t="s">
        <v>334</v>
      </c>
      <c r="F4842" t="s">
        <v>335</v>
      </c>
      <c r="G4842" t="s">
        <v>752</v>
      </c>
      <c r="H4842">
        <v>7</v>
      </c>
      <c r="I4842">
        <v>83.142899999999997</v>
      </c>
      <c r="J4842">
        <v>72.285700000000006</v>
      </c>
      <c r="K4842">
        <v>-10.857100000000001</v>
      </c>
      <c r="L4842">
        <v>4</v>
      </c>
      <c r="M4842">
        <v>0</v>
      </c>
      <c r="N4842">
        <v>3</v>
      </c>
      <c r="O4842" t="s">
        <v>127</v>
      </c>
      <c r="P4842" t="s">
        <v>127</v>
      </c>
      <c r="Q4842" t="s">
        <v>127</v>
      </c>
    </row>
    <row r="4843" spans="1:17" x14ac:dyDescent="0.25">
      <c r="A4843" t="str">
        <f>IF(C4843&amp;G4843&amp;D4843&lt;&gt;'Funnel setup'!$K$3&amp;'Funnel setup'!$K$4&amp;'Funnel setup'!$K$6,".",IF(A4842=".",1,A4842+1))</f>
        <v>.</v>
      </c>
      <c r="B4843" s="244" t="str">
        <f t="shared" si="75"/>
        <v>Total Knee ReplacementProviderMOUNT STUART HOSPITAL (NVC08)EQ VAS</v>
      </c>
      <c r="C4843" t="s">
        <v>975</v>
      </c>
      <c r="D4843" t="s">
        <v>965</v>
      </c>
      <c r="E4843" t="s">
        <v>336</v>
      </c>
      <c r="F4843" t="s">
        <v>337</v>
      </c>
      <c r="G4843" t="s">
        <v>752</v>
      </c>
      <c r="H4843">
        <v>101</v>
      </c>
      <c r="I4843">
        <v>69.715699999999998</v>
      </c>
      <c r="J4843">
        <v>74.362700000000004</v>
      </c>
      <c r="K4843">
        <v>4.6470599999999997</v>
      </c>
      <c r="L4843">
        <v>56</v>
      </c>
      <c r="M4843">
        <v>13</v>
      </c>
      <c r="N4843">
        <v>32</v>
      </c>
      <c r="O4843">
        <v>72.180300000000003</v>
      </c>
      <c r="P4843">
        <v>6.8745599999999998</v>
      </c>
      <c r="Q4843">
        <v>16.585599999999999</v>
      </c>
    </row>
    <row r="4844" spans="1:17" x14ac:dyDescent="0.25">
      <c r="A4844" t="str">
        <f>IF(C4844&amp;G4844&amp;D4844&lt;&gt;'Funnel setup'!$K$3&amp;'Funnel setup'!$K$4&amp;'Funnel setup'!$K$6,".",IF(A4843=".",1,A4843+1))</f>
        <v>.</v>
      </c>
      <c r="B4844" s="244" t="str">
        <f t="shared" si="75"/>
        <v>Total Knee ReplacementProviderNEW HALL HOSPITAL (NVC09)EQ VAS</v>
      </c>
      <c r="C4844" t="s">
        <v>975</v>
      </c>
      <c r="D4844" t="s">
        <v>965</v>
      </c>
      <c r="E4844" t="s">
        <v>338</v>
      </c>
      <c r="F4844" t="s">
        <v>339</v>
      </c>
      <c r="G4844" t="s">
        <v>752</v>
      </c>
      <c r="H4844">
        <v>96</v>
      </c>
      <c r="I4844">
        <v>65.625</v>
      </c>
      <c r="J4844">
        <v>79.406300000000002</v>
      </c>
      <c r="K4844">
        <v>13.7813</v>
      </c>
      <c r="L4844">
        <v>65</v>
      </c>
      <c r="M4844">
        <v>12</v>
      </c>
      <c r="N4844">
        <v>19</v>
      </c>
      <c r="O4844">
        <v>77.183300000000003</v>
      </c>
      <c r="P4844">
        <v>11.877599999999999</v>
      </c>
      <c r="Q4844">
        <v>14.073499999999999</v>
      </c>
    </row>
    <row r="4845" spans="1:17" x14ac:dyDescent="0.25">
      <c r="A4845" t="str">
        <f>IF(C4845&amp;G4845&amp;D4845&lt;&gt;'Funnel setup'!$K$3&amp;'Funnel setup'!$K$4&amp;'Funnel setup'!$K$6,".",IF(A4844=".",1,A4844+1))</f>
        <v>.</v>
      </c>
      <c r="B4845" s="244" t="str">
        <f t="shared" si="75"/>
        <v>Total Knee ReplacementProviderNORFOLK AND NORWICH UNIVERSITY HOSPITALS NHS FOUNDATION TRUST (RM1)EQ VAS</v>
      </c>
      <c r="C4845" t="s">
        <v>975</v>
      </c>
      <c r="D4845" t="s">
        <v>965</v>
      </c>
      <c r="E4845" t="s">
        <v>340</v>
      </c>
      <c r="F4845" t="s">
        <v>341</v>
      </c>
      <c r="G4845" t="s">
        <v>752</v>
      </c>
      <c r="H4845">
        <v>144</v>
      </c>
      <c r="I4845">
        <v>58.8125</v>
      </c>
      <c r="J4845">
        <v>67.895799999999994</v>
      </c>
      <c r="K4845">
        <v>9.0833300000000001</v>
      </c>
      <c r="L4845">
        <v>84</v>
      </c>
      <c r="M4845">
        <v>17</v>
      </c>
      <c r="N4845">
        <v>43</v>
      </c>
      <c r="O4845">
        <v>71.966099999999997</v>
      </c>
      <c r="P4845">
        <v>6.6604099999999997</v>
      </c>
      <c r="Q4845">
        <v>17.8262</v>
      </c>
    </row>
    <row r="4846" spans="1:17" x14ac:dyDescent="0.25">
      <c r="A4846" t="str">
        <f>IF(C4846&amp;G4846&amp;D4846&lt;&gt;'Funnel setup'!$K$3&amp;'Funnel setup'!$K$4&amp;'Funnel setup'!$K$6,".",IF(A4845=".",1,A4845+1))</f>
        <v>.</v>
      </c>
      <c r="B4846" s="244" t="str">
        <f t="shared" si="75"/>
        <v>Total Knee ReplacementProviderNORTH BRISTOL NHS TRUST (RVJ)EQ VAS</v>
      </c>
      <c r="C4846" t="s">
        <v>975</v>
      </c>
      <c r="D4846" t="s">
        <v>965</v>
      </c>
      <c r="E4846" t="s">
        <v>342</v>
      </c>
      <c r="F4846" t="s">
        <v>343</v>
      </c>
      <c r="G4846" t="s">
        <v>752</v>
      </c>
      <c r="H4846">
        <v>7</v>
      </c>
      <c r="I4846">
        <v>67.142899999999997</v>
      </c>
      <c r="J4846">
        <v>86.571399999999997</v>
      </c>
      <c r="K4846">
        <v>19.428599999999999</v>
      </c>
      <c r="L4846">
        <v>6</v>
      </c>
      <c r="M4846">
        <v>0</v>
      </c>
      <c r="N4846">
        <v>1</v>
      </c>
      <c r="O4846" t="s">
        <v>127</v>
      </c>
      <c r="P4846" t="s">
        <v>127</v>
      </c>
      <c r="Q4846" t="s">
        <v>127</v>
      </c>
    </row>
    <row r="4847" spans="1:17" x14ac:dyDescent="0.25">
      <c r="A4847" t="str">
        <f>IF(C4847&amp;G4847&amp;D4847&lt;&gt;'Funnel setup'!$K$3&amp;'Funnel setup'!$K$4&amp;'Funnel setup'!$K$6,".",IF(A4846=".",1,A4846+1))</f>
        <v>.</v>
      </c>
      <c r="B4847" s="244" t="str">
        <f t="shared" si="75"/>
        <v>Total Knee ReplacementProviderNORTH CUMBRIA INTEGRATED CARE NHS FOUNDATION TRUST (RNN)EQ VAS</v>
      </c>
      <c r="C4847" t="s">
        <v>975</v>
      </c>
      <c r="D4847" t="s">
        <v>965</v>
      </c>
      <c r="E4847" t="s">
        <v>344</v>
      </c>
      <c r="F4847" t="s">
        <v>345</v>
      </c>
      <c r="G4847" t="s">
        <v>752</v>
      </c>
      <c r="H4847">
        <v>123</v>
      </c>
      <c r="I4847">
        <v>65.528499999999994</v>
      </c>
      <c r="J4847">
        <v>75.154499999999999</v>
      </c>
      <c r="K4847">
        <v>9.6260200000000005</v>
      </c>
      <c r="L4847">
        <v>76</v>
      </c>
      <c r="M4847">
        <v>12</v>
      </c>
      <c r="N4847">
        <v>35</v>
      </c>
      <c r="O4847">
        <v>74.9756</v>
      </c>
      <c r="P4847">
        <v>9.6698599999999999</v>
      </c>
      <c r="Q4847">
        <v>18.113</v>
      </c>
    </row>
    <row r="4848" spans="1:17" x14ac:dyDescent="0.25">
      <c r="A4848" t="str">
        <f>IF(C4848&amp;G4848&amp;D4848&lt;&gt;'Funnel setup'!$K$3&amp;'Funnel setup'!$K$4&amp;'Funnel setup'!$K$6,".",IF(A4847=".",1,A4847+1))</f>
        <v>.</v>
      </c>
      <c r="B4848" s="244" t="str">
        <f t="shared" si="75"/>
        <v>Total Knee ReplacementProviderNORTH DOWNS HOSPITAL (NVC11)EQ VAS</v>
      </c>
      <c r="C4848" t="s">
        <v>975</v>
      </c>
      <c r="D4848" t="s">
        <v>965</v>
      </c>
      <c r="E4848" t="s">
        <v>348</v>
      </c>
      <c r="F4848" t="s">
        <v>349</v>
      </c>
      <c r="G4848" t="s">
        <v>752</v>
      </c>
      <c r="H4848">
        <v>28</v>
      </c>
      <c r="I4848">
        <v>64.633300000000006</v>
      </c>
      <c r="J4848">
        <v>70.599999999999994</v>
      </c>
      <c r="K4848">
        <v>5.9666699999999997</v>
      </c>
      <c r="L4848">
        <v>15</v>
      </c>
      <c r="M4848">
        <v>4</v>
      </c>
      <c r="N4848">
        <v>9</v>
      </c>
      <c r="O4848">
        <v>68.906999999999996</v>
      </c>
      <c r="P4848">
        <v>3.6012599999999999</v>
      </c>
      <c r="Q4848">
        <v>18.267800000000001</v>
      </c>
    </row>
    <row r="4849" spans="1:17" x14ac:dyDescent="0.25">
      <c r="A4849" t="str">
        <f>IF(C4849&amp;G4849&amp;D4849&lt;&gt;'Funnel setup'!$K$3&amp;'Funnel setup'!$K$4&amp;'Funnel setup'!$K$6,".",IF(A4848=".",1,A4848+1))</f>
        <v>.</v>
      </c>
      <c r="B4849" s="244" t="str">
        <f t="shared" si="75"/>
        <v>Total Knee ReplacementProviderNORTH MIDDLESEX UNIVERSITY HOSPITAL NHS TRUST (RAP)EQ VAS</v>
      </c>
      <c r="C4849" t="s">
        <v>975</v>
      </c>
      <c r="D4849" t="s">
        <v>965</v>
      </c>
      <c r="E4849" t="s">
        <v>350</v>
      </c>
      <c r="F4849" t="s">
        <v>351</v>
      </c>
      <c r="G4849" t="s">
        <v>752</v>
      </c>
      <c r="H4849">
        <v>7</v>
      </c>
      <c r="I4849">
        <v>49.285699999999999</v>
      </c>
      <c r="J4849">
        <v>67.142899999999997</v>
      </c>
      <c r="K4849">
        <v>17.857099999999999</v>
      </c>
      <c r="L4849">
        <v>5</v>
      </c>
      <c r="M4849">
        <v>0</v>
      </c>
      <c r="N4849">
        <v>2</v>
      </c>
      <c r="O4849" t="s">
        <v>127</v>
      </c>
      <c r="P4849" t="s">
        <v>127</v>
      </c>
      <c r="Q4849" t="s">
        <v>127</v>
      </c>
    </row>
    <row r="4850" spans="1:17" x14ac:dyDescent="0.25">
      <c r="A4850" t="str">
        <f>IF(C4850&amp;G4850&amp;D4850&lt;&gt;'Funnel setup'!$K$3&amp;'Funnel setup'!$K$4&amp;'Funnel setup'!$K$6,".",IF(A4849=".",1,A4849+1))</f>
        <v>.</v>
      </c>
      <c r="B4850" s="244" t="str">
        <f t="shared" si="75"/>
        <v>Total Knee ReplacementProviderNORTH TEES AND HARTLEPOOL NHS FOUNDATION TRUST (RVW)EQ VAS</v>
      </c>
      <c r="C4850" t="s">
        <v>975</v>
      </c>
      <c r="D4850" t="s">
        <v>965</v>
      </c>
      <c r="E4850" t="s">
        <v>352</v>
      </c>
      <c r="F4850" t="s">
        <v>353</v>
      </c>
      <c r="G4850" t="s">
        <v>752</v>
      </c>
      <c r="H4850">
        <v>92</v>
      </c>
      <c r="I4850">
        <v>70.380399999999995</v>
      </c>
      <c r="J4850">
        <v>67.228300000000004</v>
      </c>
      <c r="K4850">
        <v>-3.1521699999999999</v>
      </c>
      <c r="L4850">
        <v>41</v>
      </c>
      <c r="M4850">
        <v>11</v>
      </c>
      <c r="N4850">
        <v>40</v>
      </c>
      <c r="O4850">
        <v>71.877499999999998</v>
      </c>
      <c r="P4850">
        <v>6.5717600000000003</v>
      </c>
      <c r="Q4850">
        <v>18.1327</v>
      </c>
    </row>
    <row r="4851" spans="1:17" x14ac:dyDescent="0.25">
      <c r="A4851" t="str">
        <f>IF(C4851&amp;G4851&amp;D4851&lt;&gt;'Funnel setup'!$K$3&amp;'Funnel setup'!$K$4&amp;'Funnel setup'!$K$6,".",IF(A4850=".",1,A4850+1))</f>
        <v>.</v>
      </c>
      <c r="B4851" s="244" t="str">
        <f t="shared" si="75"/>
        <v>Total Knee ReplacementProviderNORTH WEST ANGLIA NHS FOUNDATION TRUST (RGN)EQ VAS</v>
      </c>
      <c r="C4851" t="s">
        <v>975</v>
      </c>
      <c r="D4851" t="s">
        <v>965</v>
      </c>
      <c r="E4851" t="s">
        <v>354</v>
      </c>
      <c r="F4851" t="s">
        <v>355</v>
      </c>
      <c r="G4851" t="s">
        <v>752</v>
      </c>
      <c r="H4851">
        <v>131</v>
      </c>
      <c r="I4851">
        <v>65.885499999999993</v>
      </c>
      <c r="J4851">
        <v>71.839699999999993</v>
      </c>
      <c r="K4851">
        <v>5.9542000000000002</v>
      </c>
      <c r="L4851">
        <v>73</v>
      </c>
      <c r="M4851">
        <v>13</v>
      </c>
      <c r="N4851">
        <v>45</v>
      </c>
      <c r="O4851">
        <v>72.048400000000001</v>
      </c>
      <c r="P4851">
        <v>6.7427099999999998</v>
      </c>
      <c r="Q4851">
        <v>16.1508</v>
      </c>
    </row>
    <row r="4852" spans="1:17" x14ac:dyDescent="0.25">
      <c r="A4852" t="str">
        <f>IF(C4852&amp;G4852&amp;D4852&lt;&gt;'Funnel setup'!$K$3&amp;'Funnel setup'!$K$4&amp;'Funnel setup'!$K$6,".",IF(A4851=".",1,A4851+1))</f>
        <v>.</v>
      </c>
      <c r="B4852" s="244" t="str">
        <f t="shared" si="75"/>
        <v>Total Knee ReplacementProviderNORTHAMPTON GENERAL HOSPITAL NHS TRUST (RNS)EQ VAS</v>
      </c>
      <c r="C4852" t="s">
        <v>975</v>
      </c>
      <c r="D4852" t="s">
        <v>965</v>
      </c>
      <c r="E4852" t="s">
        <v>356</v>
      </c>
      <c r="F4852" t="s">
        <v>357</v>
      </c>
      <c r="G4852" t="s">
        <v>752</v>
      </c>
      <c r="H4852">
        <v>39</v>
      </c>
      <c r="I4852">
        <v>65.820499999999996</v>
      </c>
      <c r="J4852">
        <v>69.410300000000007</v>
      </c>
      <c r="K4852">
        <v>3.5897399999999999</v>
      </c>
      <c r="L4852">
        <v>19</v>
      </c>
      <c r="M4852">
        <v>5</v>
      </c>
      <c r="N4852">
        <v>15</v>
      </c>
      <c r="O4852">
        <v>71.071600000000004</v>
      </c>
      <c r="P4852">
        <v>5.76593</v>
      </c>
      <c r="Q4852">
        <v>19.920999999999999</v>
      </c>
    </row>
    <row r="4853" spans="1:17" x14ac:dyDescent="0.25">
      <c r="A4853" t="str">
        <f>IF(C4853&amp;G4853&amp;D4853&lt;&gt;'Funnel setup'!$K$3&amp;'Funnel setup'!$K$4&amp;'Funnel setup'!$K$6,".",IF(A4852=".",1,A4852+1))</f>
        <v>.</v>
      </c>
      <c r="B4853" s="244" t="str">
        <f t="shared" si="75"/>
        <v>Total Knee ReplacementProviderNORTHERN CARE ALLIANCE NHS FOUNDATION TRUST (RM3)EQ VAS</v>
      </c>
      <c r="C4853" t="s">
        <v>975</v>
      </c>
      <c r="D4853" t="s">
        <v>965</v>
      </c>
      <c r="E4853" t="s">
        <v>358</v>
      </c>
      <c r="F4853" t="s">
        <v>359</v>
      </c>
      <c r="G4853" t="s">
        <v>752</v>
      </c>
      <c r="H4853">
        <v>6</v>
      </c>
      <c r="I4853">
        <v>55.5</v>
      </c>
      <c r="J4853">
        <v>59.833300000000001</v>
      </c>
      <c r="K4853">
        <v>4.3333300000000001</v>
      </c>
      <c r="L4853">
        <v>4</v>
      </c>
      <c r="M4853">
        <v>0</v>
      </c>
      <c r="N4853">
        <v>2</v>
      </c>
      <c r="O4853" t="s">
        <v>127</v>
      </c>
      <c r="P4853" t="s">
        <v>127</v>
      </c>
      <c r="Q4853" t="s">
        <v>127</v>
      </c>
    </row>
    <row r="4854" spans="1:17" x14ac:dyDescent="0.25">
      <c r="A4854" t="str">
        <f>IF(C4854&amp;G4854&amp;D4854&lt;&gt;'Funnel setup'!$K$3&amp;'Funnel setup'!$K$4&amp;'Funnel setup'!$K$6,".",IF(A4853=".",1,A4853+1))</f>
        <v>.</v>
      </c>
      <c r="B4854" s="244" t="str">
        <f t="shared" si="75"/>
        <v>Total Knee ReplacementProviderNORTHERN DEVON HEALTHCARE NHS TRUST (RBZ)EQ VAS</v>
      </c>
      <c r="C4854" t="s">
        <v>975</v>
      </c>
      <c r="D4854" t="s">
        <v>965</v>
      </c>
      <c r="E4854" t="s">
        <v>360</v>
      </c>
      <c r="F4854" t="s">
        <v>361</v>
      </c>
      <c r="G4854" t="s">
        <v>752</v>
      </c>
      <c r="H4854">
        <v>35</v>
      </c>
      <c r="I4854">
        <v>55.142899999999997</v>
      </c>
      <c r="J4854">
        <v>65.8</v>
      </c>
      <c r="K4854">
        <v>10.6571</v>
      </c>
      <c r="L4854">
        <v>23</v>
      </c>
      <c r="M4854">
        <v>5</v>
      </c>
      <c r="N4854">
        <v>7</v>
      </c>
      <c r="O4854">
        <v>72.679500000000004</v>
      </c>
      <c r="P4854">
        <v>7.3738200000000003</v>
      </c>
      <c r="Q4854">
        <v>17.2178</v>
      </c>
    </row>
    <row r="4855" spans="1:17" x14ac:dyDescent="0.25">
      <c r="A4855" t="str">
        <f>IF(C4855&amp;G4855&amp;D4855&lt;&gt;'Funnel setup'!$K$3&amp;'Funnel setup'!$K$4&amp;'Funnel setup'!$K$6,".",IF(A4854=".",1,A4854+1))</f>
        <v>.</v>
      </c>
      <c r="B4855" s="244" t="str">
        <f t="shared" si="75"/>
        <v>Total Knee ReplacementProviderNORTHERN LINCOLNSHIRE AND GOOLE NHS FOUNDATION TRUST (RJL)EQ VAS</v>
      </c>
      <c r="C4855" t="s">
        <v>975</v>
      </c>
      <c r="D4855" t="s">
        <v>965</v>
      </c>
      <c r="E4855" t="s">
        <v>362</v>
      </c>
      <c r="F4855" t="s">
        <v>363</v>
      </c>
      <c r="G4855" t="s">
        <v>752</v>
      </c>
      <c r="H4855">
        <v>66</v>
      </c>
      <c r="I4855">
        <v>61.833300000000001</v>
      </c>
      <c r="J4855">
        <v>66.2273</v>
      </c>
      <c r="K4855">
        <v>4.3939399999999997</v>
      </c>
      <c r="L4855">
        <v>35</v>
      </c>
      <c r="M4855">
        <v>8</v>
      </c>
      <c r="N4855">
        <v>23</v>
      </c>
      <c r="O4855">
        <v>67.855500000000006</v>
      </c>
      <c r="P4855">
        <v>2.5497800000000002</v>
      </c>
      <c r="Q4855">
        <v>17.302299999999999</v>
      </c>
    </row>
    <row r="4856" spans="1:17" x14ac:dyDescent="0.25">
      <c r="A4856" t="str">
        <f>IF(C4856&amp;G4856&amp;D4856&lt;&gt;'Funnel setup'!$K$3&amp;'Funnel setup'!$K$4&amp;'Funnel setup'!$K$6,".",IF(A4855=".",1,A4855+1))</f>
        <v>.</v>
      </c>
      <c r="B4856" s="244" t="str">
        <f t="shared" si="75"/>
        <v>Total Knee ReplacementProviderNORTHUMBRIA HEALTHCARE NHS FOUNDATION TRUST (RTF)EQ VAS</v>
      </c>
      <c r="C4856" t="s">
        <v>975</v>
      </c>
      <c r="D4856" t="s">
        <v>965</v>
      </c>
      <c r="E4856" t="s">
        <v>364</v>
      </c>
      <c r="F4856" t="s">
        <v>365</v>
      </c>
      <c r="G4856" t="s">
        <v>752</v>
      </c>
      <c r="H4856">
        <v>363</v>
      </c>
      <c r="I4856">
        <v>64.192800000000005</v>
      </c>
      <c r="J4856">
        <v>73.6006</v>
      </c>
      <c r="K4856">
        <v>9.4077099999999998</v>
      </c>
      <c r="L4856">
        <v>232</v>
      </c>
      <c r="M4856">
        <v>40</v>
      </c>
      <c r="N4856">
        <v>91</v>
      </c>
      <c r="O4856">
        <v>74.139600000000002</v>
      </c>
      <c r="P4856">
        <v>8.8338999999999999</v>
      </c>
      <c r="Q4856">
        <v>16.052399999999999</v>
      </c>
    </row>
    <row r="4857" spans="1:17" x14ac:dyDescent="0.25">
      <c r="A4857" t="str">
        <f>IF(C4857&amp;G4857&amp;D4857&lt;&gt;'Funnel setup'!$K$3&amp;'Funnel setup'!$K$4&amp;'Funnel setup'!$K$6,".",IF(A4856=".",1,A4856+1))</f>
        <v>.</v>
      </c>
      <c r="B4857" s="244" t="str">
        <f t="shared" si="75"/>
        <v>Total Knee ReplacementProviderNOTTINGHAM UNIVERSITY HOSPITALS NHS TRUST (RX1)EQ VAS</v>
      </c>
      <c r="C4857" t="s">
        <v>975</v>
      </c>
      <c r="D4857" t="s">
        <v>965</v>
      </c>
      <c r="E4857" t="s">
        <v>366</v>
      </c>
      <c r="F4857" t="s">
        <v>367</v>
      </c>
      <c r="G4857" t="s">
        <v>752</v>
      </c>
      <c r="H4857">
        <v>3</v>
      </c>
      <c r="I4857">
        <v>56.666699999999999</v>
      </c>
      <c r="J4857">
        <v>86.333299999999994</v>
      </c>
      <c r="K4857">
        <v>29.666699999999999</v>
      </c>
      <c r="L4857">
        <v>3</v>
      </c>
      <c r="M4857">
        <v>0</v>
      </c>
      <c r="N4857">
        <v>0</v>
      </c>
      <c r="O4857" t="s">
        <v>127</v>
      </c>
      <c r="P4857" t="s">
        <v>127</v>
      </c>
      <c r="Q4857" t="s">
        <v>127</v>
      </c>
    </row>
    <row r="4858" spans="1:17" x14ac:dyDescent="0.25">
      <c r="A4858" t="str">
        <f>IF(C4858&amp;G4858&amp;D4858&lt;&gt;'Funnel setup'!$K$3&amp;'Funnel setup'!$K$4&amp;'Funnel setup'!$K$6,".",IF(A4857=".",1,A4857+1))</f>
        <v>.</v>
      </c>
      <c r="B4858" s="244" t="str">
        <f t="shared" si="75"/>
        <v>Total Knee ReplacementProviderNUFFIELD HEALTH, BOURNEMOUTH HOSPITAL (NT202)EQ VAS</v>
      </c>
      <c r="C4858" t="s">
        <v>975</v>
      </c>
      <c r="D4858" t="s">
        <v>965</v>
      </c>
      <c r="E4858" t="s">
        <v>368</v>
      </c>
      <c r="F4858" t="s">
        <v>369</v>
      </c>
      <c r="G4858" t="s">
        <v>752</v>
      </c>
      <c r="H4858">
        <v>21</v>
      </c>
      <c r="I4858">
        <v>67.428600000000003</v>
      </c>
      <c r="J4858">
        <v>75.666700000000006</v>
      </c>
      <c r="K4858">
        <v>8.2380999999999993</v>
      </c>
      <c r="L4858">
        <v>13</v>
      </c>
      <c r="M4858">
        <v>1</v>
      </c>
      <c r="N4858">
        <v>7</v>
      </c>
      <c r="O4858" t="s">
        <v>127</v>
      </c>
      <c r="P4858" t="s">
        <v>127</v>
      </c>
      <c r="Q4858" t="s">
        <v>127</v>
      </c>
    </row>
    <row r="4859" spans="1:17" x14ac:dyDescent="0.25">
      <c r="A4859" t="str">
        <f>IF(C4859&amp;G4859&amp;D4859&lt;&gt;'Funnel setup'!$K$3&amp;'Funnel setup'!$K$4&amp;'Funnel setup'!$K$6,".",IF(A4858=".",1,A4858+1))</f>
        <v>.</v>
      </c>
      <c r="B4859" s="244" t="str">
        <f t="shared" si="75"/>
        <v>Total Knee ReplacementProviderNUFFIELD HEALTH, BRENTWOOD HOSPITAL (NT204)EQ VAS</v>
      </c>
      <c r="C4859" t="s">
        <v>975</v>
      </c>
      <c r="D4859" t="s">
        <v>965</v>
      </c>
      <c r="E4859" t="s">
        <v>370</v>
      </c>
      <c r="F4859" t="s">
        <v>371</v>
      </c>
      <c r="G4859" t="s">
        <v>752</v>
      </c>
      <c r="H4859">
        <v>14</v>
      </c>
      <c r="I4859">
        <v>68.428600000000003</v>
      </c>
      <c r="J4859">
        <v>75</v>
      </c>
      <c r="K4859">
        <v>6.5714300000000003</v>
      </c>
      <c r="L4859">
        <v>9</v>
      </c>
      <c r="M4859">
        <v>1</v>
      </c>
      <c r="N4859">
        <v>4</v>
      </c>
      <c r="O4859" t="s">
        <v>127</v>
      </c>
      <c r="P4859" t="s">
        <v>127</v>
      </c>
      <c r="Q4859" t="s">
        <v>127</v>
      </c>
    </row>
    <row r="4860" spans="1:17" x14ac:dyDescent="0.25">
      <c r="A4860" t="str">
        <f>IF(C4860&amp;G4860&amp;D4860&lt;&gt;'Funnel setup'!$K$3&amp;'Funnel setup'!$K$4&amp;'Funnel setup'!$K$6,".",IF(A4859=".",1,A4859+1))</f>
        <v>.</v>
      </c>
      <c r="B4860" s="244" t="str">
        <f t="shared" si="75"/>
        <v>Total Knee ReplacementProviderNUFFIELD HEALTH, BRIGHTON HOSPITAL (NT205)EQ VAS</v>
      </c>
      <c r="C4860" t="s">
        <v>975</v>
      </c>
      <c r="D4860" t="s">
        <v>965</v>
      </c>
      <c r="E4860" t="s">
        <v>372</v>
      </c>
      <c r="F4860" t="s">
        <v>373</v>
      </c>
      <c r="G4860" t="s">
        <v>752</v>
      </c>
      <c r="H4860">
        <v>9</v>
      </c>
      <c r="I4860">
        <v>68.888900000000007</v>
      </c>
      <c r="J4860">
        <v>82.111099999999993</v>
      </c>
      <c r="K4860">
        <v>13.222200000000001</v>
      </c>
      <c r="L4860">
        <v>4</v>
      </c>
      <c r="M4860">
        <v>4</v>
      </c>
      <c r="N4860">
        <v>1</v>
      </c>
      <c r="O4860" t="s">
        <v>127</v>
      </c>
      <c r="P4860" t="s">
        <v>127</v>
      </c>
      <c r="Q4860" t="s">
        <v>127</v>
      </c>
    </row>
    <row r="4861" spans="1:17" x14ac:dyDescent="0.25">
      <c r="A4861" t="str">
        <f>IF(C4861&amp;G4861&amp;D4861&lt;&gt;'Funnel setup'!$K$3&amp;'Funnel setup'!$K$4&amp;'Funnel setup'!$K$6,".",IF(A4860=".",1,A4860+1))</f>
        <v>.</v>
      </c>
      <c r="B4861" s="244" t="str">
        <f t="shared" si="75"/>
        <v>Total Knee ReplacementProviderNUFFIELD HEALTH, BRISTOL HOSPITAL (CHESTERFIELD) (NT206)EQ VAS</v>
      </c>
      <c r="C4861" t="s">
        <v>975</v>
      </c>
      <c r="D4861" t="s">
        <v>965</v>
      </c>
      <c r="E4861" t="s">
        <v>374</v>
      </c>
      <c r="F4861" t="s">
        <v>375</v>
      </c>
      <c r="G4861" t="s">
        <v>752</v>
      </c>
      <c r="H4861">
        <v>25</v>
      </c>
      <c r="I4861">
        <v>69.56</v>
      </c>
      <c r="J4861">
        <v>77.08</v>
      </c>
      <c r="K4861">
        <v>7.52</v>
      </c>
      <c r="L4861">
        <v>12</v>
      </c>
      <c r="M4861">
        <v>4</v>
      </c>
      <c r="N4861">
        <v>9</v>
      </c>
      <c r="O4861" t="s">
        <v>127</v>
      </c>
      <c r="P4861" t="s">
        <v>127</v>
      </c>
      <c r="Q4861" t="s">
        <v>127</v>
      </c>
    </row>
    <row r="4862" spans="1:17" x14ac:dyDescent="0.25">
      <c r="A4862" t="str">
        <f>IF(C4862&amp;G4862&amp;D4862&lt;&gt;'Funnel setup'!$K$3&amp;'Funnel setup'!$K$4&amp;'Funnel setup'!$K$6,".",IF(A4861=".",1,A4861+1))</f>
        <v>.</v>
      </c>
      <c r="B4862" s="244" t="str">
        <f t="shared" si="75"/>
        <v>Total Knee ReplacementProviderNUFFIELD HEALTH, CAMBRIDGE HOSPITAL (NT209)EQ VAS</v>
      </c>
      <c r="C4862" t="s">
        <v>975</v>
      </c>
      <c r="D4862" t="s">
        <v>965</v>
      </c>
      <c r="E4862" t="s">
        <v>376</v>
      </c>
      <c r="F4862" t="s">
        <v>377</v>
      </c>
      <c r="G4862" t="s">
        <v>752</v>
      </c>
      <c r="H4862">
        <v>35</v>
      </c>
      <c r="I4862">
        <v>65.942899999999995</v>
      </c>
      <c r="J4862">
        <v>74.371399999999994</v>
      </c>
      <c r="K4862">
        <v>8.4285700000000006</v>
      </c>
      <c r="L4862">
        <v>22</v>
      </c>
      <c r="M4862">
        <v>5</v>
      </c>
      <c r="N4862">
        <v>8</v>
      </c>
      <c r="O4862">
        <v>72.129199999999997</v>
      </c>
      <c r="P4862">
        <v>6.82348</v>
      </c>
      <c r="Q4862">
        <v>14.612500000000001</v>
      </c>
    </row>
    <row r="4863" spans="1:17" x14ac:dyDescent="0.25">
      <c r="A4863" t="str">
        <f>IF(C4863&amp;G4863&amp;D4863&lt;&gt;'Funnel setup'!$K$3&amp;'Funnel setup'!$K$4&amp;'Funnel setup'!$K$6,".",IF(A4862=".",1,A4862+1))</f>
        <v>.</v>
      </c>
      <c r="B4863" s="244" t="str">
        <f t="shared" si="75"/>
        <v>Total Knee ReplacementProviderNUFFIELD HEALTH, CHELTENHAM HOSPITAL (NT211)EQ VAS</v>
      </c>
      <c r="C4863" t="s">
        <v>975</v>
      </c>
      <c r="D4863" t="s">
        <v>965</v>
      </c>
      <c r="E4863" t="s">
        <v>378</v>
      </c>
      <c r="F4863" t="s">
        <v>379</v>
      </c>
      <c r="G4863" t="s">
        <v>752</v>
      </c>
      <c r="H4863">
        <v>6</v>
      </c>
      <c r="I4863">
        <v>70</v>
      </c>
      <c r="J4863">
        <v>81.333299999999994</v>
      </c>
      <c r="K4863">
        <v>11.333299999999999</v>
      </c>
      <c r="L4863">
        <v>4</v>
      </c>
      <c r="M4863">
        <v>1</v>
      </c>
      <c r="N4863">
        <v>1</v>
      </c>
      <c r="O4863" t="s">
        <v>127</v>
      </c>
      <c r="P4863" t="s">
        <v>127</v>
      </c>
      <c r="Q4863" t="s">
        <v>127</v>
      </c>
    </row>
    <row r="4864" spans="1:17" x14ac:dyDescent="0.25">
      <c r="A4864" t="str">
        <f>IF(C4864&amp;G4864&amp;D4864&lt;&gt;'Funnel setup'!$K$3&amp;'Funnel setup'!$K$4&amp;'Funnel setup'!$K$6,".",IF(A4863=".",1,A4863+1))</f>
        <v>.</v>
      </c>
      <c r="B4864" s="244" t="str">
        <f t="shared" si="75"/>
        <v>Total Knee ReplacementProviderNUFFIELD HEALTH, CHICHESTER HOSPITAL (NT212)EQ VAS</v>
      </c>
      <c r="C4864" t="s">
        <v>975</v>
      </c>
      <c r="D4864" t="s">
        <v>965</v>
      </c>
      <c r="E4864" t="s">
        <v>380</v>
      </c>
      <c r="F4864" t="s">
        <v>381</v>
      </c>
      <c r="G4864" t="s">
        <v>752</v>
      </c>
      <c r="H4864">
        <v>18</v>
      </c>
      <c r="I4864">
        <v>76.722200000000001</v>
      </c>
      <c r="J4864">
        <v>79.666700000000006</v>
      </c>
      <c r="K4864">
        <v>2.9444400000000002</v>
      </c>
      <c r="L4864">
        <v>10</v>
      </c>
      <c r="M4864">
        <v>2</v>
      </c>
      <c r="N4864">
        <v>6</v>
      </c>
      <c r="O4864" t="s">
        <v>127</v>
      </c>
      <c r="P4864" t="s">
        <v>127</v>
      </c>
      <c r="Q4864" t="s">
        <v>127</v>
      </c>
    </row>
    <row r="4865" spans="1:17" x14ac:dyDescent="0.25">
      <c r="A4865" t="str">
        <f>IF(C4865&amp;G4865&amp;D4865&lt;&gt;'Funnel setup'!$K$3&amp;'Funnel setup'!$K$4&amp;'Funnel setup'!$K$6,".",IF(A4864=".",1,A4864+1))</f>
        <v>.</v>
      </c>
      <c r="B4865" s="244" t="str">
        <f t="shared" si="75"/>
        <v>Total Knee ReplacementProviderNUFFIELD HEALTH, DERBY HOSPITAL (NT213)EQ VAS</v>
      </c>
      <c r="C4865" t="s">
        <v>975</v>
      </c>
      <c r="D4865" t="s">
        <v>965</v>
      </c>
      <c r="E4865" t="s">
        <v>382</v>
      </c>
      <c r="F4865" t="s">
        <v>383</v>
      </c>
      <c r="G4865" t="s">
        <v>752</v>
      </c>
      <c r="H4865">
        <v>103</v>
      </c>
      <c r="I4865">
        <v>57.718400000000003</v>
      </c>
      <c r="J4865">
        <v>73.524299999999997</v>
      </c>
      <c r="K4865">
        <v>15.8058</v>
      </c>
      <c r="L4865">
        <v>71</v>
      </c>
      <c r="M4865">
        <v>16</v>
      </c>
      <c r="N4865">
        <v>16</v>
      </c>
      <c r="O4865">
        <v>74.724699999999999</v>
      </c>
      <c r="P4865">
        <v>9.4189500000000006</v>
      </c>
      <c r="Q4865">
        <v>15.515700000000001</v>
      </c>
    </row>
    <row r="4866" spans="1:17" x14ac:dyDescent="0.25">
      <c r="A4866" t="str">
        <f>IF(C4866&amp;G4866&amp;D4866&lt;&gt;'Funnel setup'!$K$3&amp;'Funnel setup'!$K$4&amp;'Funnel setup'!$K$6,".",IF(A4865=".",1,A4865+1))</f>
        <v>.</v>
      </c>
      <c r="B4866" s="244" t="str">
        <f t="shared" ref="B4866:B4929" si="76">C4866&amp;D4866&amp;F4866&amp;G4866</f>
        <v>Total Knee ReplacementProviderNUFFIELD HEALTH, EXETER HOSPITAL (NT215)EQ VAS</v>
      </c>
      <c r="C4866" t="s">
        <v>975</v>
      </c>
      <c r="D4866" t="s">
        <v>965</v>
      </c>
      <c r="E4866" t="s">
        <v>384</v>
      </c>
      <c r="F4866" t="s">
        <v>385</v>
      </c>
      <c r="G4866" t="s">
        <v>752</v>
      </c>
      <c r="H4866">
        <v>1</v>
      </c>
      <c r="I4866">
        <v>80</v>
      </c>
      <c r="J4866">
        <v>89</v>
      </c>
      <c r="K4866">
        <v>9</v>
      </c>
      <c r="L4866">
        <v>1</v>
      </c>
      <c r="M4866">
        <v>0</v>
      </c>
      <c r="N4866">
        <v>0</v>
      </c>
      <c r="O4866" t="s">
        <v>127</v>
      </c>
      <c r="P4866" t="s">
        <v>127</v>
      </c>
      <c r="Q4866" t="s">
        <v>127</v>
      </c>
    </row>
    <row r="4867" spans="1:17" x14ac:dyDescent="0.25">
      <c r="A4867" t="str">
        <f>IF(C4867&amp;G4867&amp;D4867&lt;&gt;'Funnel setup'!$K$3&amp;'Funnel setup'!$K$4&amp;'Funnel setup'!$K$6,".",IF(A4866=".",1,A4866+1))</f>
        <v>.</v>
      </c>
      <c r="B4867" s="244" t="str">
        <f t="shared" si="76"/>
        <v>Total Knee ReplacementProviderNUFFIELD HEALTH, HAYWARDS HEATH HOSPITAL (NT218)EQ VAS</v>
      </c>
      <c r="C4867" t="s">
        <v>975</v>
      </c>
      <c r="D4867" t="s">
        <v>965</v>
      </c>
      <c r="E4867" t="s">
        <v>386</v>
      </c>
      <c r="F4867" t="s">
        <v>387</v>
      </c>
      <c r="G4867" t="s">
        <v>752</v>
      </c>
      <c r="H4867">
        <v>17</v>
      </c>
      <c r="I4867">
        <v>72.470600000000005</v>
      </c>
      <c r="J4867">
        <v>82.588200000000001</v>
      </c>
      <c r="K4867">
        <v>10.117599999999999</v>
      </c>
      <c r="L4867">
        <v>10</v>
      </c>
      <c r="M4867">
        <v>2</v>
      </c>
      <c r="N4867">
        <v>5</v>
      </c>
      <c r="O4867" t="s">
        <v>127</v>
      </c>
      <c r="P4867" t="s">
        <v>127</v>
      </c>
      <c r="Q4867" t="s">
        <v>127</v>
      </c>
    </row>
    <row r="4868" spans="1:17" x14ac:dyDescent="0.25">
      <c r="A4868" t="str">
        <f>IF(C4868&amp;G4868&amp;D4868&lt;&gt;'Funnel setup'!$K$3&amp;'Funnel setup'!$K$4&amp;'Funnel setup'!$K$6,".",IF(A4867=".",1,A4867+1))</f>
        <v>.</v>
      </c>
      <c r="B4868" s="244" t="str">
        <f t="shared" si="76"/>
        <v>Total Knee ReplacementProviderNUFFIELD HEALTH, HEREFORD HOSPITAL (NT219)EQ VAS</v>
      </c>
      <c r="C4868" t="s">
        <v>975</v>
      </c>
      <c r="D4868" t="s">
        <v>965</v>
      </c>
      <c r="E4868" t="s">
        <v>388</v>
      </c>
      <c r="F4868" t="s">
        <v>389</v>
      </c>
      <c r="G4868" t="s">
        <v>752</v>
      </c>
      <c r="H4868">
        <v>9</v>
      </c>
      <c r="I4868">
        <v>62</v>
      </c>
      <c r="J4868">
        <v>80</v>
      </c>
      <c r="K4868">
        <v>18</v>
      </c>
      <c r="L4868">
        <v>5</v>
      </c>
      <c r="M4868">
        <v>2</v>
      </c>
      <c r="N4868">
        <v>2</v>
      </c>
      <c r="O4868" t="s">
        <v>127</v>
      </c>
      <c r="P4868" t="s">
        <v>127</v>
      </c>
      <c r="Q4868" t="s">
        <v>127</v>
      </c>
    </row>
    <row r="4869" spans="1:17" x14ac:dyDescent="0.25">
      <c r="A4869" t="str">
        <f>IF(C4869&amp;G4869&amp;D4869&lt;&gt;'Funnel setup'!$K$3&amp;'Funnel setup'!$K$4&amp;'Funnel setup'!$K$6,".",IF(A4868=".",1,A4868+1))</f>
        <v>.</v>
      </c>
      <c r="B4869" s="244" t="str">
        <f t="shared" si="76"/>
        <v>Total Knee ReplacementProviderNUFFIELD HEALTH, IPSWICH HOSPITAL (NT222)EQ VAS</v>
      </c>
      <c r="C4869" t="s">
        <v>975</v>
      </c>
      <c r="D4869" t="s">
        <v>965</v>
      </c>
      <c r="E4869" t="s">
        <v>390</v>
      </c>
      <c r="F4869" t="s">
        <v>391</v>
      </c>
      <c r="G4869" t="s">
        <v>752</v>
      </c>
      <c r="H4869">
        <v>4</v>
      </c>
      <c r="I4869">
        <v>77.75</v>
      </c>
      <c r="J4869">
        <v>78</v>
      </c>
      <c r="K4869">
        <v>0.25</v>
      </c>
      <c r="L4869">
        <v>2</v>
      </c>
      <c r="M4869">
        <v>0</v>
      </c>
      <c r="N4869">
        <v>2</v>
      </c>
      <c r="O4869" t="s">
        <v>127</v>
      </c>
      <c r="P4869" t="s">
        <v>127</v>
      </c>
      <c r="Q4869" t="s">
        <v>127</v>
      </c>
    </row>
    <row r="4870" spans="1:17" x14ac:dyDescent="0.25">
      <c r="A4870" t="str">
        <f>IF(C4870&amp;G4870&amp;D4870&lt;&gt;'Funnel setup'!$K$3&amp;'Funnel setup'!$K$4&amp;'Funnel setup'!$K$6,".",IF(A4869=".",1,A4869+1))</f>
        <v>.</v>
      </c>
      <c r="B4870" s="244" t="str">
        <f t="shared" si="76"/>
        <v>Total Knee ReplacementProviderNUFFIELD HEALTH, LEEDS HOSPITAL (NT225)EQ VAS</v>
      </c>
      <c r="C4870" t="s">
        <v>975</v>
      </c>
      <c r="D4870" t="s">
        <v>965</v>
      </c>
      <c r="E4870" t="s">
        <v>392</v>
      </c>
      <c r="F4870" t="s">
        <v>393</v>
      </c>
      <c r="G4870" t="s">
        <v>752</v>
      </c>
      <c r="H4870">
        <v>118</v>
      </c>
      <c r="I4870">
        <v>65.815100000000001</v>
      </c>
      <c r="J4870">
        <v>72.672300000000007</v>
      </c>
      <c r="K4870">
        <v>6.8571400000000002</v>
      </c>
      <c r="L4870">
        <v>69</v>
      </c>
      <c r="M4870">
        <v>13</v>
      </c>
      <c r="N4870">
        <v>36</v>
      </c>
      <c r="O4870">
        <v>70.811499999999995</v>
      </c>
      <c r="P4870">
        <v>5.5057499999999999</v>
      </c>
      <c r="Q4870">
        <v>16.854500000000002</v>
      </c>
    </row>
    <row r="4871" spans="1:17" x14ac:dyDescent="0.25">
      <c r="A4871" t="str">
        <f>IF(C4871&amp;G4871&amp;D4871&lt;&gt;'Funnel setup'!$K$3&amp;'Funnel setup'!$K$4&amp;'Funnel setup'!$K$6,".",IF(A4870=".",1,A4870+1))</f>
        <v>.</v>
      </c>
      <c r="B4871" s="244" t="str">
        <f t="shared" si="76"/>
        <v>Total Knee ReplacementProviderNUFFIELD HEALTH, LEICESTER HOSPITAL (NT226)EQ VAS</v>
      </c>
      <c r="C4871" t="s">
        <v>975</v>
      </c>
      <c r="D4871" t="s">
        <v>965</v>
      </c>
      <c r="E4871" t="s">
        <v>394</v>
      </c>
      <c r="F4871" t="s">
        <v>395</v>
      </c>
      <c r="G4871" t="s">
        <v>752</v>
      </c>
      <c r="H4871">
        <v>23</v>
      </c>
      <c r="I4871">
        <v>71</v>
      </c>
      <c r="J4871">
        <v>81.956500000000005</v>
      </c>
      <c r="K4871">
        <v>10.9565</v>
      </c>
      <c r="L4871">
        <v>15</v>
      </c>
      <c r="M4871">
        <v>2</v>
      </c>
      <c r="N4871">
        <v>6</v>
      </c>
      <c r="O4871" t="s">
        <v>127</v>
      </c>
      <c r="P4871" t="s">
        <v>127</v>
      </c>
      <c r="Q4871" t="s">
        <v>127</v>
      </c>
    </row>
    <row r="4872" spans="1:17" x14ac:dyDescent="0.25">
      <c r="A4872" t="str">
        <f>IF(C4872&amp;G4872&amp;D4872&lt;&gt;'Funnel setup'!$K$3&amp;'Funnel setup'!$K$4&amp;'Funnel setup'!$K$6,".",IF(A4871=".",1,A4871+1))</f>
        <v>.</v>
      </c>
      <c r="B4872" s="244" t="str">
        <f t="shared" si="76"/>
        <v>Total Knee ReplacementProviderNUFFIELD HEALTH, NEWCASTLE UPON TYNE HOSPITAL (NT229)EQ VAS</v>
      </c>
      <c r="C4872" t="s">
        <v>975</v>
      </c>
      <c r="D4872" t="s">
        <v>965</v>
      </c>
      <c r="E4872" t="s">
        <v>396</v>
      </c>
      <c r="F4872" t="s">
        <v>397</v>
      </c>
      <c r="G4872" t="s">
        <v>752</v>
      </c>
      <c r="H4872">
        <v>26</v>
      </c>
      <c r="I4872">
        <v>66.269199999999998</v>
      </c>
      <c r="J4872">
        <v>75.807699999999997</v>
      </c>
      <c r="K4872">
        <v>9.5384600000000006</v>
      </c>
      <c r="L4872">
        <v>19</v>
      </c>
      <c r="M4872">
        <v>0</v>
      </c>
      <c r="N4872">
        <v>7</v>
      </c>
      <c r="O4872" t="s">
        <v>127</v>
      </c>
      <c r="P4872" t="s">
        <v>127</v>
      </c>
      <c r="Q4872" t="s">
        <v>127</v>
      </c>
    </row>
    <row r="4873" spans="1:17" x14ac:dyDescent="0.25">
      <c r="A4873" t="str">
        <f>IF(C4873&amp;G4873&amp;D4873&lt;&gt;'Funnel setup'!$K$3&amp;'Funnel setup'!$K$4&amp;'Funnel setup'!$K$6,".",IF(A4872=".",1,A4872+1))</f>
        <v>.</v>
      </c>
      <c r="B4873" s="244" t="str">
        <f t="shared" si="76"/>
        <v>Total Knee ReplacementProviderNUFFIELD HEALTH, NORTH STAFFORDSHIRE HOSPITAL (NT230)EQ VAS</v>
      </c>
      <c r="C4873" t="s">
        <v>975</v>
      </c>
      <c r="D4873" t="s">
        <v>965</v>
      </c>
      <c r="E4873" t="s">
        <v>398</v>
      </c>
      <c r="F4873" t="s">
        <v>399</v>
      </c>
      <c r="G4873" t="s">
        <v>752</v>
      </c>
      <c r="H4873">
        <v>43</v>
      </c>
      <c r="I4873">
        <v>63.204500000000003</v>
      </c>
      <c r="J4873">
        <v>74.5227</v>
      </c>
      <c r="K4873">
        <v>11.318199999999999</v>
      </c>
      <c r="L4873">
        <v>24</v>
      </c>
      <c r="M4873">
        <v>7</v>
      </c>
      <c r="N4873">
        <v>12</v>
      </c>
      <c r="O4873">
        <v>75.766000000000005</v>
      </c>
      <c r="P4873">
        <v>10.4603</v>
      </c>
      <c r="Q4873">
        <v>14.954000000000001</v>
      </c>
    </row>
    <row r="4874" spans="1:17" x14ac:dyDescent="0.25">
      <c r="A4874" t="str">
        <f>IF(C4874&amp;G4874&amp;D4874&lt;&gt;'Funnel setup'!$K$3&amp;'Funnel setup'!$K$4&amp;'Funnel setup'!$K$6,".",IF(A4873=".",1,A4873+1))</f>
        <v>.</v>
      </c>
      <c r="B4874" s="244" t="str">
        <f t="shared" si="76"/>
        <v>Total Knee ReplacementProviderNUFFIELD HEALTH, PLYMOUTH HOSPITAL (NT233)EQ VAS</v>
      </c>
      <c r="C4874" t="s">
        <v>975</v>
      </c>
      <c r="D4874" t="s">
        <v>965</v>
      </c>
      <c r="E4874" t="s">
        <v>400</v>
      </c>
      <c r="F4874" t="s">
        <v>401</v>
      </c>
      <c r="G4874" t="s">
        <v>752</v>
      </c>
      <c r="H4874">
        <v>41</v>
      </c>
      <c r="I4874">
        <v>67.372100000000003</v>
      </c>
      <c r="J4874">
        <v>75.2791</v>
      </c>
      <c r="K4874">
        <v>7.9069799999999999</v>
      </c>
      <c r="L4874">
        <v>24</v>
      </c>
      <c r="M4874">
        <v>5</v>
      </c>
      <c r="N4874">
        <v>12</v>
      </c>
      <c r="O4874">
        <v>74.272300000000001</v>
      </c>
      <c r="P4874">
        <v>8.9665400000000002</v>
      </c>
      <c r="Q4874">
        <v>17.663499999999999</v>
      </c>
    </row>
    <row r="4875" spans="1:17" x14ac:dyDescent="0.25">
      <c r="A4875" t="str">
        <f>IF(C4875&amp;G4875&amp;D4875&lt;&gt;'Funnel setup'!$K$3&amp;'Funnel setup'!$K$4&amp;'Funnel setup'!$K$6,".",IF(A4874=".",1,A4874+1))</f>
        <v>.</v>
      </c>
      <c r="B4875" s="244" t="str">
        <f t="shared" si="76"/>
        <v>Total Knee ReplacementProviderNUFFIELD HEALTH, SHREWSBURY HOSPITAL (NT235)EQ VAS</v>
      </c>
      <c r="C4875" t="s">
        <v>975</v>
      </c>
      <c r="D4875" t="s">
        <v>965</v>
      </c>
      <c r="E4875" t="s">
        <v>402</v>
      </c>
      <c r="F4875" t="s">
        <v>403</v>
      </c>
      <c r="G4875" t="s">
        <v>752</v>
      </c>
      <c r="H4875">
        <v>2</v>
      </c>
      <c r="I4875">
        <v>57.5</v>
      </c>
      <c r="J4875">
        <v>50</v>
      </c>
      <c r="K4875">
        <v>-7.5</v>
      </c>
      <c r="L4875">
        <v>0</v>
      </c>
      <c r="M4875">
        <v>0</v>
      </c>
      <c r="N4875">
        <v>2</v>
      </c>
      <c r="O4875" t="s">
        <v>127</v>
      </c>
      <c r="P4875" t="s">
        <v>127</v>
      </c>
      <c r="Q4875" t="s">
        <v>127</v>
      </c>
    </row>
    <row r="4876" spans="1:17" x14ac:dyDescent="0.25">
      <c r="A4876" t="str">
        <f>IF(C4876&amp;G4876&amp;D4876&lt;&gt;'Funnel setup'!$K$3&amp;'Funnel setup'!$K$4&amp;'Funnel setup'!$K$6,".",IF(A4875=".",1,A4875+1))</f>
        <v>.</v>
      </c>
      <c r="B4876" s="244" t="str">
        <f t="shared" si="76"/>
        <v>Total Knee ReplacementProviderNUFFIELD HEALTH, TAUNTON HOSPITAL (NT238)EQ VAS</v>
      </c>
      <c r="C4876" t="s">
        <v>975</v>
      </c>
      <c r="D4876" t="s">
        <v>965</v>
      </c>
      <c r="E4876" t="s">
        <v>404</v>
      </c>
      <c r="F4876" t="s">
        <v>405</v>
      </c>
      <c r="G4876" t="s">
        <v>752</v>
      </c>
      <c r="H4876">
        <v>25</v>
      </c>
      <c r="I4876">
        <v>64.48</v>
      </c>
      <c r="J4876">
        <v>73.16</v>
      </c>
      <c r="K4876">
        <v>8.68</v>
      </c>
      <c r="L4876">
        <v>15</v>
      </c>
      <c r="M4876">
        <v>3</v>
      </c>
      <c r="N4876">
        <v>7</v>
      </c>
      <c r="O4876" t="s">
        <v>127</v>
      </c>
      <c r="P4876" t="s">
        <v>127</v>
      </c>
      <c r="Q4876" t="s">
        <v>127</v>
      </c>
    </row>
    <row r="4877" spans="1:17" x14ac:dyDescent="0.25">
      <c r="A4877" t="str">
        <f>IF(C4877&amp;G4877&amp;D4877&lt;&gt;'Funnel setup'!$K$3&amp;'Funnel setup'!$K$4&amp;'Funnel setup'!$K$6,".",IF(A4876=".",1,A4876+1))</f>
        <v>.</v>
      </c>
      <c r="B4877" s="244" t="str">
        <f t="shared" si="76"/>
        <v>Total Knee ReplacementProviderNUFFIELD HEALTH, TEES HOSPITAL (NT237)EQ VAS</v>
      </c>
      <c r="C4877" t="s">
        <v>975</v>
      </c>
      <c r="D4877" t="s">
        <v>965</v>
      </c>
      <c r="E4877" t="s">
        <v>406</v>
      </c>
      <c r="F4877" t="s">
        <v>407</v>
      </c>
      <c r="G4877" t="s">
        <v>752</v>
      </c>
      <c r="H4877">
        <v>208</v>
      </c>
      <c r="I4877">
        <v>73.459699999999998</v>
      </c>
      <c r="J4877">
        <v>76.772499999999994</v>
      </c>
      <c r="K4877">
        <v>3.3128000000000002</v>
      </c>
      <c r="L4877">
        <v>118</v>
      </c>
      <c r="M4877">
        <v>23</v>
      </c>
      <c r="N4877">
        <v>67</v>
      </c>
      <c r="O4877">
        <v>73.315600000000003</v>
      </c>
      <c r="P4877">
        <v>8.0098900000000004</v>
      </c>
      <c r="Q4877">
        <v>16.845500000000001</v>
      </c>
    </row>
    <row r="4878" spans="1:17" x14ac:dyDescent="0.25">
      <c r="A4878" t="str">
        <f>IF(C4878&amp;G4878&amp;D4878&lt;&gt;'Funnel setup'!$K$3&amp;'Funnel setup'!$K$4&amp;'Funnel setup'!$K$6,".",IF(A4877=".",1,A4877+1))</f>
        <v>.</v>
      </c>
      <c r="B4878" s="244" t="str">
        <f t="shared" si="76"/>
        <v>Total Knee ReplacementProviderNUFFIELD HEALTH, THE GROSVENOR HOSPITAL, CHESTER (NT210)EQ VAS</v>
      </c>
      <c r="C4878" t="s">
        <v>975</v>
      </c>
      <c r="D4878" t="s">
        <v>965</v>
      </c>
      <c r="E4878" t="s">
        <v>408</v>
      </c>
      <c r="F4878" t="s">
        <v>409</v>
      </c>
      <c r="G4878" t="s">
        <v>752</v>
      </c>
      <c r="H4878">
        <v>13</v>
      </c>
      <c r="I4878">
        <v>66.692300000000003</v>
      </c>
      <c r="J4878">
        <v>72.538499999999999</v>
      </c>
      <c r="K4878">
        <v>5.8461499999999997</v>
      </c>
      <c r="L4878">
        <v>10</v>
      </c>
      <c r="M4878">
        <v>1</v>
      </c>
      <c r="N4878">
        <v>2</v>
      </c>
      <c r="O4878" t="s">
        <v>127</v>
      </c>
      <c r="P4878" t="s">
        <v>127</v>
      </c>
      <c r="Q4878" t="s">
        <v>127</v>
      </c>
    </row>
    <row r="4879" spans="1:17" x14ac:dyDescent="0.25">
      <c r="A4879" t="str">
        <f>IF(C4879&amp;G4879&amp;D4879&lt;&gt;'Funnel setup'!$K$3&amp;'Funnel setup'!$K$4&amp;'Funnel setup'!$K$6,".",IF(A4878=".",1,A4878+1))</f>
        <v>.</v>
      </c>
      <c r="B4879" s="244" t="str">
        <f t="shared" si="76"/>
        <v>Total Knee ReplacementProviderNUFFIELD HEALTH, TUNBRIDGE WELLS HOSPITAL (NT239)EQ VAS</v>
      </c>
      <c r="C4879" t="s">
        <v>975</v>
      </c>
      <c r="D4879" t="s">
        <v>965</v>
      </c>
      <c r="E4879" t="s">
        <v>410</v>
      </c>
      <c r="F4879" t="s">
        <v>411</v>
      </c>
      <c r="G4879" t="s">
        <v>752</v>
      </c>
      <c r="H4879">
        <v>5</v>
      </c>
      <c r="I4879">
        <v>82</v>
      </c>
      <c r="J4879">
        <v>93.6</v>
      </c>
      <c r="K4879">
        <v>11.6</v>
      </c>
      <c r="L4879">
        <v>5</v>
      </c>
      <c r="M4879">
        <v>0</v>
      </c>
      <c r="N4879">
        <v>0</v>
      </c>
      <c r="O4879" t="s">
        <v>127</v>
      </c>
      <c r="P4879" t="s">
        <v>127</v>
      </c>
      <c r="Q4879" t="s">
        <v>127</v>
      </c>
    </row>
    <row r="4880" spans="1:17" x14ac:dyDescent="0.25">
      <c r="A4880" t="str">
        <f>IF(C4880&amp;G4880&amp;D4880&lt;&gt;'Funnel setup'!$K$3&amp;'Funnel setup'!$K$4&amp;'Funnel setup'!$K$6,".",IF(A4879=".",1,A4879+1))</f>
        <v>.</v>
      </c>
      <c r="B4880" s="244" t="str">
        <f t="shared" si="76"/>
        <v>Total Knee ReplacementProviderNUFFIELD HEALTH, WARWICKSHIRE HOSPITAL (NT224)EQ VAS</v>
      </c>
      <c r="C4880" t="s">
        <v>975</v>
      </c>
      <c r="D4880" t="s">
        <v>965</v>
      </c>
      <c r="E4880" t="s">
        <v>412</v>
      </c>
      <c r="F4880" t="s">
        <v>413</v>
      </c>
      <c r="G4880" t="s">
        <v>752</v>
      </c>
      <c r="H4880">
        <v>10</v>
      </c>
      <c r="I4880">
        <v>67.909099999999995</v>
      </c>
      <c r="J4880">
        <v>81.7273</v>
      </c>
      <c r="K4880">
        <v>13.818199999999999</v>
      </c>
      <c r="L4880">
        <v>5</v>
      </c>
      <c r="M4880">
        <v>4</v>
      </c>
      <c r="N4880">
        <v>1</v>
      </c>
      <c r="O4880" t="s">
        <v>127</v>
      </c>
      <c r="P4880" t="s">
        <v>127</v>
      </c>
      <c r="Q4880" t="s">
        <v>127</v>
      </c>
    </row>
    <row r="4881" spans="1:17" x14ac:dyDescent="0.25">
      <c r="A4881" t="str">
        <f>IF(C4881&amp;G4881&amp;D4881&lt;&gt;'Funnel setup'!$K$3&amp;'Funnel setup'!$K$4&amp;'Funnel setup'!$K$6,".",IF(A4880=".",1,A4880+1))</f>
        <v>.</v>
      </c>
      <c r="B4881" s="244" t="str">
        <f t="shared" si="76"/>
        <v>Total Knee ReplacementProviderNUFFIELD HEALTH, WESSEX HOSPITAL (NT214)EQ VAS</v>
      </c>
      <c r="C4881" t="s">
        <v>975</v>
      </c>
      <c r="D4881" t="s">
        <v>965</v>
      </c>
      <c r="E4881" t="s">
        <v>414</v>
      </c>
      <c r="F4881" t="s">
        <v>415</v>
      </c>
      <c r="G4881" t="s">
        <v>752</v>
      </c>
      <c r="H4881">
        <v>26</v>
      </c>
      <c r="I4881">
        <v>61.5</v>
      </c>
      <c r="J4881">
        <v>69.692300000000003</v>
      </c>
      <c r="K4881">
        <v>8.1923100000000009</v>
      </c>
      <c r="L4881">
        <v>16</v>
      </c>
      <c r="M4881">
        <v>2</v>
      </c>
      <c r="N4881">
        <v>8</v>
      </c>
      <c r="O4881" t="s">
        <v>127</v>
      </c>
      <c r="P4881" t="s">
        <v>127</v>
      </c>
      <c r="Q4881" t="s">
        <v>127</v>
      </c>
    </row>
    <row r="4882" spans="1:17" x14ac:dyDescent="0.25">
      <c r="A4882" t="str">
        <f>IF(C4882&amp;G4882&amp;D4882&lt;&gt;'Funnel setup'!$K$3&amp;'Funnel setup'!$K$4&amp;'Funnel setup'!$K$6,".",IF(A4881=".",1,A4881+1))</f>
        <v>.</v>
      </c>
      <c r="B4882" s="244" t="str">
        <f t="shared" si="76"/>
        <v>Total Knee ReplacementProviderNUFFIELD HEALTH, WOLVERHAMPTON HOSPITAL (NT242)EQ VAS</v>
      </c>
      <c r="C4882" t="s">
        <v>975</v>
      </c>
      <c r="D4882" t="s">
        <v>965</v>
      </c>
      <c r="E4882" t="s">
        <v>418</v>
      </c>
      <c r="F4882" t="s">
        <v>419</v>
      </c>
      <c r="G4882" t="s">
        <v>752</v>
      </c>
      <c r="H4882">
        <v>12</v>
      </c>
      <c r="I4882">
        <v>63.833300000000001</v>
      </c>
      <c r="J4882">
        <v>75.416700000000006</v>
      </c>
      <c r="K4882">
        <v>11.583299999999999</v>
      </c>
      <c r="L4882">
        <v>7</v>
      </c>
      <c r="M4882">
        <v>3</v>
      </c>
      <c r="N4882">
        <v>2</v>
      </c>
      <c r="O4882" t="s">
        <v>127</v>
      </c>
      <c r="P4882" t="s">
        <v>127</v>
      </c>
      <c r="Q4882" t="s">
        <v>127</v>
      </c>
    </row>
    <row r="4883" spans="1:17" x14ac:dyDescent="0.25">
      <c r="A4883" t="str">
        <f>IF(C4883&amp;G4883&amp;D4883&lt;&gt;'Funnel setup'!$K$3&amp;'Funnel setup'!$K$4&amp;'Funnel setup'!$K$6,".",IF(A4882=".",1,A4882+1))</f>
        <v>.</v>
      </c>
      <c r="B4883" s="244" t="str">
        <f t="shared" si="76"/>
        <v>Total Knee ReplacementProviderNUFFIELD HEALTH, YORK HOSPITAL (NT245)EQ VAS</v>
      </c>
      <c r="C4883" t="s">
        <v>975</v>
      </c>
      <c r="D4883" t="s">
        <v>965</v>
      </c>
      <c r="E4883" t="s">
        <v>420</v>
      </c>
      <c r="F4883" t="s">
        <v>421</v>
      </c>
      <c r="G4883" t="s">
        <v>752</v>
      </c>
      <c r="H4883">
        <v>57</v>
      </c>
      <c r="I4883">
        <v>70.9649</v>
      </c>
      <c r="J4883">
        <v>73.192999999999998</v>
      </c>
      <c r="K4883">
        <v>2.2280700000000002</v>
      </c>
      <c r="L4883">
        <v>27</v>
      </c>
      <c r="M4883">
        <v>6</v>
      </c>
      <c r="N4883">
        <v>24</v>
      </c>
      <c r="O4883">
        <v>70.1571</v>
      </c>
      <c r="P4883">
        <v>4.8513999999999999</v>
      </c>
      <c r="Q4883">
        <v>19.101299999999998</v>
      </c>
    </row>
    <row r="4884" spans="1:17" x14ac:dyDescent="0.25">
      <c r="A4884" t="str">
        <f>IF(C4884&amp;G4884&amp;D4884&lt;&gt;'Funnel setup'!$K$3&amp;'Funnel setup'!$K$4&amp;'Funnel setup'!$K$6,".",IF(A4883=".",1,A4883+1))</f>
        <v>.</v>
      </c>
      <c r="B4884" s="244" t="str">
        <f t="shared" si="76"/>
        <v>Total Knee ReplacementProviderOAKLANDS HOSPITAL (NVC12)EQ VAS</v>
      </c>
      <c r="C4884" t="s">
        <v>975</v>
      </c>
      <c r="D4884" t="s">
        <v>965</v>
      </c>
      <c r="E4884" t="s">
        <v>424</v>
      </c>
      <c r="F4884" t="s">
        <v>425</v>
      </c>
      <c r="G4884" t="s">
        <v>752</v>
      </c>
      <c r="H4884">
        <v>80</v>
      </c>
      <c r="I4884">
        <v>70.337500000000006</v>
      </c>
      <c r="J4884">
        <v>74.825000000000003</v>
      </c>
      <c r="K4884">
        <v>4.4874999999999998</v>
      </c>
      <c r="L4884">
        <v>42</v>
      </c>
      <c r="M4884">
        <v>8</v>
      </c>
      <c r="N4884">
        <v>30</v>
      </c>
      <c r="O4884">
        <v>74.546899999999994</v>
      </c>
      <c r="P4884">
        <v>9.2411300000000001</v>
      </c>
      <c r="Q4884">
        <v>15.8287</v>
      </c>
    </row>
    <row r="4885" spans="1:17" x14ac:dyDescent="0.25">
      <c r="A4885" t="str">
        <f>IF(C4885&amp;G4885&amp;D4885&lt;&gt;'Funnel setup'!$K$3&amp;'Funnel setup'!$K$4&amp;'Funnel setup'!$K$6,".",IF(A4884=".",1,A4884+1))</f>
        <v>.</v>
      </c>
      <c r="B4885" s="244" t="str">
        <f t="shared" si="76"/>
        <v>Total Knee ReplacementProviderOAKS HOSPITAL (NVC13)EQ VAS</v>
      </c>
      <c r="C4885" t="s">
        <v>975</v>
      </c>
      <c r="D4885" t="s">
        <v>965</v>
      </c>
      <c r="E4885" t="s">
        <v>426</v>
      </c>
      <c r="F4885" t="s">
        <v>427</v>
      </c>
      <c r="G4885" t="s">
        <v>752</v>
      </c>
      <c r="H4885">
        <v>4</v>
      </c>
      <c r="I4885">
        <v>64.25</v>
      </c>
      <c r="J4885">
        <v>83.5</v>
      </c>
      <c r="K4885">
        <v>19.25</v>
      </c>
      <c r="L4885">
        <v>4</v>
      </c>
      <c r="M4885">
        <v>0</v>
      </c>
      <c r="N4885">
        <v>0</v>
      </c>
      <c r="O4885" t="s">
        <v>127</v>
      </c>
      <c r="P4885" t="s">
        <v>127</v>
      </c>
      <c r="Q4885" t="s">
        <v>127</v>
      </c>
    </row>
    <row r="4886" spans="1:17" x14ac:dyDescent="0.25">
      <c r="A4886" t="str">
        <f>IF(C4886&amp;G4886&amp;D4886&lt;&gt;'Funnel setup'!$K$3&amp;'Funnel setup'!$K$4&amp;'Funnel setup'!$K$6,".",IF(A4885=".",1,A4885+1))</f>
        <v>.</v>
      </c>
      <c r="B4886" s="244" t="str">
        <f t="shared" si="76"/>
        <v>Total Knee ReplacementProviderONE HEALTHCARE (AVQ)EQ VAS</v>
      </c>
      <c r="C4886" t="s">
        <v>975</v>
      </c>
      <c r="D4886" t="s">
        <v>965</v>
      </c>
      <c r="E4886" t="s">
        <v>434</v>
      </c>
      <c r="F4886" t="s">
        <v>435</v>
      </c>
      <c r="G4886" t="s">
        <v>752</v>
      </c>
      <c r="H4886">
        <v>58</v>
      </c>
      <c r="I4886">
        <v>68.413799999999995</v>
      </c>
      <c r="J4886">
        <v>74.758600000000001</v>
      </c>
      <c r="K4886">
        <v>6.34483</v>
      </c>
      <c r="L4886">
        <v>33</v>
      </c>
      <c r="M4886">
        <v>4</v>
      </c>
      <c r="N4886">
        <v>21</v>
      </c>
      <c r="O4886">
        <v>70.968500000000006</v>
      </c>
      <c r="P4886">
        <v>5.6628299999999996</v>
      </c>
      <c r="Q4886">
        <v>18.1813</v>
      </c>
    </row>
    <row r="4887" spans="1:17" x14ac:dyDescent="0.25">
      <c r="A4887" t="str">
        <f>IF(C4887&amp;G4887&amp;D4887&lt;&gt;'Funnel setup'!$K$3&amp;'Funnel setup'!$K$4&amp;'Funnel setup'!$K$6,".",IF(A4886=".",1,A4886+1))</f>
        <v>.</v>
      </c>
      <c r="B4887" s="244" t="str">
        <f t="shared" si="76"/>
        <v>Total Knee ReplacementProviderORTHOPAEDICS &amp; SPINE SPECIALIST HOSPITAL SITE (NQM01)EQ VAS</v>
      </c>
      <c r="C4887" t="s">
        <v>975</v>
      </c>
      <c r="D4887" t="s">
        <v>965</v>
      </c>
      <c r="E4887" t="s">
        <v>436</v>
      </c>
      <c r="F4887" t="s">
        <v>437</v>
      </c>
      <c r="G4887" t="s">
        <v>752</v>
      </c>
      <c r="H4887">
        <v>5</v>
      </c>
      <c r="I4887">
        <v>64.599999999999994</v>
      </c>
      <c r="J4887">
        <v>57.4</v>
      </c>
      <c r="K4887">
        <v>-7.2</v>
      </c>
      <c r="L4887">
        <v>3</v>
      </c>
      <c r="M4887">
        <v>0</v>
      </c>
      <c r="N4887">
        <v>2</v>
      </c>
      <c r="O4887" t="s">
        <v>127</v>
      </c>
      <c r="P4887" t="s">
        <v>127</v>
      </c>
      <c r="Q4887" t="s">
        <v>127</v>
      </c>
    </row>
    <row r="4888" spans="1:17" x14ac:dyDescent="0.25">
      <c r="A4888" t="str">
        <f>IF(C4888&amp;G4888&amp;D4888&lt;&gt;'Funnel setup'!$K$3&amp;'Funnel setup'!$K$4&amp;'Funnel setup'!$K$6,".",IF(A4887=".",1,A4887+1))</f>
        <v>.</v>
      </c>
      <c r="B4888" s="244" t="str">
        <f t="shared" si="76"/>
        <v>Total Knee ReplacementProviderOXFORD UNIVERSITY HOSPITALS NHS FOUNDATION TRUST (RTH)EQ VAS</v>
      </c>
      <c r="C4888" t="s">
        <v>975</v>
      </c>
      <c r="D4888" t="s">
        <v>965</v>
      </c>
      <c r="E4888" t="s">
        <v>438</v>
      </c>
      <c r="F4888" t="s">
        <v>439</v>
      </c>
      <c r="G4888" t="s">
        <v>752</v>
      </c>
      <c r="H4888">
        <v>271</v>
      </c>
      <c r="I4888">
        <v>65.1661</v>
      </c>
      <c r="J4888">
        <v>74.582999999999998</v>
      </c>
      <c r="K4888">
        <v>9.4169699999999992</v>
      </c>
      <c r="L4888">
        <v>168</v>
      </c>
      <c r="M4888">
        <v>35</v>
      </c>
      <c r="N4888">
        <v>68</v>
      </c>
      <c r="O4888">
        <v>75.048900000000003</v>
      </c>
      <c r="P4888">
        <v>9.7431800000000006</v>
      </c>
      <c r="Q4888">
        <v>16.755400000000002</v>
      </c>
    </row>
    <row r="4889" spans="1:17" x14ac:dyDescent="0.25">
      <c r="A4889" t="str">
        <f>IF(C4889&amp;G4889&amp;D4889&lt;&gt;'Funnel setup'!$K$3&amp;'Funnel setup'!$K$4&amp;'Funnel setup'!$K$6,".",IF(A4888=".",1,A4888+1))</f>
        <v>.</v>
      </c>
      <c r="B4889" s="244" t="str">
        <f t="shared" si="76"/>
        <v>Total Knee ReplacementProviderPARK HILL HOSPITAL (NVC14)EQ VAS</v>
      </c>
      <c r="C4889" t="s">
        <v>975</v>
      </c>
      <c r="D4889" t="s">
        <v>965</v>
      </c>
      <c r="E4889" t="s">
        <v>440</v>
      </c>
      <c r="F4889" t="s">
        <v>441</v>
      </c>
      <c r="G4889" t="s">
        <v>752</v>
      </c>
      <c r="H4889">
        <v>33</v>
      </c>
      <c r="I4889">
        <v>69.264700000000005</v>
      </c>
      <c r="J4889">
        <v>69.2059</v>
      </c>
      <c r="K4889">
        <v>-5.8823500000000001E-2</v>
      </c>
      <c r="L4889">
        <v>15</v>
      </c>
      <c r="M4889">
        <v>6</v>
      </c>
      <c r="N4889">
        <v>12</v>
      </c>
      <c r="O4889">
        <v>68.459800000000001</v>
      </c>
      <c r="P4889">
        <v>3.1540699999999999</v>
      </c>
      <c r="Q4889">
        <v>14.759499999999999</v>
      </c>
    </row>
    <row r="4890" spans="1:17" x14ac:dyDescent="0.25">
      <c r="A4890" t="str">
        <f>IF(C4890&amp;G4890&amp;D4890&lt;&gt;'Funnel setup'!$K$3&amp;'Funnel setup'!$K$4&amp;'Funnel setup'!$K$6,".",IF(A4889=".",1,A4889+1))</f>
        <v>.</v>
      </c>
      <c r="B4890" s="244" t="str">
        <f t="shared" si="76"/>
        <v>Total Knee ReplacementProviderPARK HOSPITAL (NT427)EQ VAS</v>
      </c>
      <c r="C4890" t="s">
        <v>975</v>
      </c>
      <c r="D4890" t="s">
        <v>965</v>
      </c>
      <c r="E4890" t="s">
        <v>442</v>
      </c>
      <c r="F4890" t="s">
        <v>443</v>
      </c>
      <c r="G4890" t="s">
        <v>752</v>
      </c>
      <c r="H4890">
        <v>48</v>
      </c>
      <c r="I4890">
        <v>69.291700000000006</v>
      </c>
      <c r="J4890">
        <v>76.104200000000006</v>
      </c>
      <c r="K4890">
        <v>6.8125</v>
      </c>
      <c r="L4890">
        <v>29</v>
      </c>
      <c r="M4890">
        <v>4</v>
      </c>
      <c r="N4890">
        <v>15</v>
      </c>
      <c r="O4890">
        <v>73.012</v>
      </c>
      <c r="P4890">
        <v>7.7062600000000003</v>
      </c>
      <c r="Q4890">
        <v>18.884799999999998</v>
      </c>
    </row>
    <row r="4891" spans="1:17" x14ac:dyDescent="0.25">
      <c r="A4891" t="str">
        <f>IF(C4891&amp;G4891&amp;D4891&lt;&gt;'Funnel setup'!$K$3&amp;'Funnel setup'!$K$4&amp;'Funnel setup'!$K$6,".",IF(A4890=".",1,A4890+1))</f>
        <v>.</v>
      </c>
      <c r="B4891" s="244" t="str">
        <f t="shared" si="76"/>
        <v>Total Knee ReplacementProviderPENNINE ACUTE HOSPITALS NHS TRUST (RW6)EQ VAS</v>
      </c>
      <c r="C4891" t="s">
        <v>975</v>
      </c>
      <c r="D4891" t="s">
        <v>965</v>
      </c>
      <c r="E4891" t="s">
        <v>444</v>
      </c>
      <c r="F4891" t="s">
        <v>445</v>
      </c>
      <c r="G4891" t="s">
        <v>752</v>
      </c>
      <c r="H4891">
        <v>3</v>
      </c>
      <c r="I4891">
        <v>53.333300000000001</v>
      </c>
      <c r="J4891">
        <v>86</v>
      </c>
      <c r="K4891">
        <v>32.666699999999999</v>
      </c>
      <c r="L4891">
        <v>3</v>
      </c>
      <c r="M4891">
        <v>0</v>
      </c>
      <c r="N4891">
        <v>0</v>
      </c>
      <c r="O4891" t="s">
        <v>127</v>
      </c>
      <c r="P4891" t="s">
        <v>127</v>
      </c>
      <c r="Q4891" t="s">
        <v>127</v>
      </c>
    </row>
    <row r="4892" spans="1:17" x14ac:dyDescent="0.25">
      <c r="A4892" t="str">
        <f>IF(C4892&amp;G4892&amp;D4892&lt;&gt;'Funnel setup'!$K$3&amp;'Funnel setup'!$K$4&amp;'Funnel setup'!$K$6,".",IF(A4891=".",1,A4891+1))</f>
        <v>.</v>
      </c>
      <c r="B4892" s="244" t="str">
        <f t="shared" si="76"/>
        <v>Total Knee ReplacementProviderPINEHILL HOSPITAL (NVC15)EQ VAS</v>
      </c>
      <c r="C4892" t="s">
        <v>975</v>
      </c>
      <c r="D4892" t="s">
        <v>965</v>
      </c>
      <c r="E4892" t="s">
        <v>448</v>
      </c>
      <c r="F4892" t="s">
        <v>449</v>
      </c>
      <c r="G4892" t="s">
        <v>752</v>
      </c>
      <c r="H4892">
        <v>7</v>
      </c>
      <c r="I4892">
        <v>55.142899999999997</v>
      </c>
      <c r="J4892">
        <v>80</v>
      </c>
      <c r="K4892">
        <v>24.857099999999999</v>
      </c>
      <c r="L4892">
        <v>6</v>
      </c>
      <c r="M4892">
        <v>0</v>
      </c>
      <c r="N4892">
        <v>1</v>
      </c>
      <c r="O4892" t="s">
        <v>127</v>
      </c>
      <c r="P4892" t="s">
        <v>127</v>
      </c>
      <c r="Q4892" t="s">
        <v>127</v>
      </c>
    </row>
    <row r="4893" spans="1:17" x14ac:dyDescent="0.25">
      <c r="A4893" t="str">
        <f>IF(C4893&amp;G4893&amp;D4893&lt;&gt;'Funnel setup'!$K$3&amp;'Funnel setup'!$K$4&amp;'Funnel setup'!$K$6,".",IF(A4892=".",1,A4892+1))</f>
        <v>.</v>
      </c>
      <c r="B4893" s="244" t="str">
        <f t="shared" si="76"/>
        <v>Total Knee ReplacementProviderPORTSMOUTH HOSPITALS UNIVERSITY NATIONAL HEALTH SERVICE TRUST (RHU)EQ VAS</v>
      </c>
      <c r="C4893" t="s">
        <v>975</v>
      </c>
      <c r="D4893" t="s">
        <v>965</v>
      </c>
      <c r="E4893" t="s">
        <v>450</v>
      </c>
      <c r="F4893" t="s">
        <v>451</v>
      </c>
      <c r="G4893" t="s">
        <v>752</v>
      </c>
      <c r="H4893">
        <v>11</v>
      </c>
      <c r="I4893">
        <v>60.454500000000003</v>
      </c>
      <c r="J4893">
        <v>78.2727</v>
      </c>
      <c r="K4893">
        <v>17.818200000000001</v>
      </c>
      <c r="L4893">
        <v>7</v>
      </c>
      <c r="M4893">
        <v>1</v>
      </c>
      <c r="N4893">
        <v>3</v>
      </c>
      <c r="O4893" t="s">
        <v>127</v>
      </c>
      <c r="P4893" t="s">
        <v>127</v>
      </c>
      <c r="Q4893" t="s">
        <v>127</v>
      </c>
    </row>
    <row r="4894" spans="1:17" x14ac:dyDescent="0.25">
      <c r="A4894" t="str">
        <f>IF(C4894&amp;G4894&amp;D4894&lt;&gt;'Funnel setup'!$K$3&amp;'Funnel setup'!$K$4&amp;'Funnel setup'!$K$6,".",IF(A4893=".",1,A4893+1))</f>
        <v>.</v>
      </c>
      <c r="B4894" s="244" t="str">
        <f t="shared" si="76"/>
        <v>Total Knee ReplacementProviderPRACTICE PLUS GROUP HOSPITAL - BARLBOROUGH (NTP13)EQ VAS</v>
      </c>
      <c r="C4894" t="s">
        <v>975</v>
      </c>
      <c r="D4894" t="s">
        <v>965</v>
      </c>
      <c r="E4894" t="s">
        <v>452</v>
      </c>
      <c r="F4894" t="s">
        <v>453</v>
      </c>
      <c r="G4894" t="s">
        <v>752</v>
      </c>
      <c r="H4894">
        <v>230</v>
      </c>
      <c r="I4894">
        <v>69.454899999999995</v>
      </c>
      <c r="J4894">
        <v>75.708200000000005</v>
      </c>
      <c r="K4894">
        <v>6.2532199999999998</v>
      </c>
      <c r="L4894">
        <v>138</v>
      </c>
      <c r="M4894">
        <v>19</v>
      </c>
      <c r="N4894">
        <v>73</v>
      </c>
      <c r="O4894">
        <v>73.3202</v>
      </c>
      <c r="P4894">
        <v>8.0144699999999993</v>
      </c>
      <c r="Q4894">
        <v>17.5578</v>
      </c>
    </row>
    <row r="4895" spans="1:17" x14ac:dyDescent="0.25">
      <c r="A4895" t="str">
        <f>IF(C4895&amp;G4895&amp;D4895&lt;&gt;'Funnel setup'!$K$3&amp;'Funnel setup'!$K$4&amp;'Funnel setup'!$K$6,".",IF(A4894=".",1,A4894+1))</f>
        <v>.</v>
      </c>
      <c r="B4895" s="244" t="str">
        <f t="shared" si="76"/>
        <v>Total Knee ReplacementProviderPRACTICE PLUS GROUP HOSPITAL - EMERSONS GREEN (NTPH2)EQ VAS</v>
      </c>
      <c r="C4895" t="s">
        <v>975</v>
      </c>
      <c r="D4895" t="s">
        <v>965</v>
      </c>
      <c r="E4895" t="s">
        <v>454</v>
      </c>
      <c r="F4895" t="s">
        <v>455</v>
      </c>
      <c r="G4895" t="s">
        <v>752</v>
      </c>
      <c r="H4895">
        <v>134</v>
      </c>
      <c r="I4895">
        <v>62.2836</v>
      </c>
      <c r="J4895">
        <v>75.880600000000001</v>
      </c>
      <c r="K4895">
        <v>13.597</v>
      </c>
      <c r="L4895">
        <v>94</v>
      </c>
      <c r="M4895">
        <v>14</v>
      </c>
      <c r="N4895">
        <v>26</v>
      </c>
      <c r="O4895">
        <v>75.119600000000005</v>
      </c>
      <c r="P4895">
        <v>9.8139099999999999</v>
      </c>
      <c r="Q4895">
        <v>16.1341</v>
      </c>
    </row>
    <row r="4896" spans="1:17" x14ac:dyDescent="0.25">
      <c r="A4896" t="str">
        <f>IF(C4896&amp;G4896&amp;D4896&lt;&gt;'Funnel setup'!$K$3&amp;'Funnel setup'!$K$4&amp;'Funnel setup'!$K$6,".",IF(A4895=".",1,A4895+1))</f>
        <v>.</v>
      </c>
      <c r="B4896" s="244" t="str">
        <f t="shared" si="76"/>
        <v>Total Knee ReplacementProviderPRACTICE PLUS GROUP HOSPITAL - ILFORD (NTP15)EQ VAS</v>
      </c>
      <c r="C4896" t="s">
        <v>975</v>
      </c>
      <c r="D4896" t="s">
        <v>965</v>
      </c>
      <c r="E4896" t="s">
        <v>456</v>
      </c>
      <c r="F4896" t="s">
        <v>457</v>
      </c>
      <c r="G4896" t="s">
        <v>752</v>
      </c>
      <c r="H4896">
        <v>72</v>
      </c>
      <c r="I4896">
        <v>63.2639</v>
      </c>
      <c r="J4896">
        <v>70.152799999999999</v>
      </c>
      <c r="K4896">
        <v>6.88889</v>
      </c>
      <c r="L4896">
        <v>40</v>
      </c>
      <c r="M4896">
        <v>8</v>
      </c>
      <c r="N4896">
        <v>24</v>
      </c>
      <c r="O4896">
        <v>71.022499999999994</v>
      </c>
      <c r="P4896">
        <v>5.7168000000000001</v>
      </c>
      <c r="Q4896">
        <v>16.7818</v>
      </c>
    </row>
    <row r="4897" spans="1:17" x14ac:dyDescent="0.25">
      <c r="A4897" t="str">
        <f>IF(C4897&amp;G4897&amp;D4897&lt;&gt;'Funnel setup'!$K$3&amp;'Funnel setup'!$K$4&amp;'Funnel setup'!$K$6,".",IF(A4896=".",1,A4896+1))</f>
        <v>.</v>
      </c>
      <c r="B4897" s="244" t="str">
        <f t="shared" si="76"/>
        <v>Total Knee ReplacementProviderPRACTICE PLUS GROUP HOSPITAL - PLYMOUTH (NTPH5)EQ VAS</v>
      </c>
      <c r="C4897" t="s">
        <v>975</v>
      </c>
      <c r="D4897" t="s">
        <v>965</v>
      </c>
      <c r="E4897" t="s">
        <v>458</v>
      </c>
      <c r="F4897" t="s">
        <v>459</v>
      </c>
      <c r="G4897" t="s">
        <v>752</v>
      </c>
      <c r="H4897">
        <v>188</v>
      </c>
      <c r="I4897">
        <v>68.989400000000003</v>
      </c>
      <c r="J4897">
        <v>76.233999999999995</v>
      </c>
      <c r="K4897">
        <v>7.2446799999999998</v>
      </c>
      <c r="L4897">
        <v>112</v>
      </c>
      <c r="M4897">
        <v>21</v>
      </c>
      <c r="N4897">
        <v>55</v>
      </c>
      <c r="O4897">
        <v>74.185599999999994</v>
      </c>
      <c r="P4897">
        <v>8.87988</v>
      </c>
      <c r="Q4897">
        <v>15.327400000000001</v>
      </c>
    </row>
    <row r="4898" spans="1:17" x14ac:dyDescent="0.25">
      <c r="A4898" t="str">
        <f>IF(C4898&amp;G4898&amp;D4898&lt;&gt;'Funnel setup'!$K$3&amp;'Funnel setup'!$K$4&amp;'Funnel setup'!$K$6,".",IF(A4897=".",1,A4897+1))</f>
        <v>.</v>
      </c>
      <c r="B4898" s="244" t="str">
        <f t="shared" si="76"/>
        <v>Total Knee ReplacementProviderPRACTICE PLUS GROUP HOSPITAL - SHEPTON MALLET (NTPH1)EQ VAS</v>
      </c>
      <c r="C4898" t="s">
        <v>975</v>
      </c>
      <c r="D4898" t="s">
        <v>965</v>
      </c>
      <c r="E4898" t="s">
        <v>460</v>
      </c>
      <c r="F4898" t="s">
        <v>461</v>
      </c>
      <c r="G4898" t="s">
        <v>752</v>
      </c>
      <c r="H4898">
        <v>206</v>
      </c>
      <c r="I4898">
        <v>66.679599999999994</v>
      </c>
      <c r="J4898">
        <v>77.325199999999995</v>
      </c>
      <c r="K4898">
        <v>10.6456</v>
      </c>
      <c r="L4898">
        <v>138</v>
      </c>
      <c r="M4898">
        <v>23</v>
      </c>
      <c r="N4898">
        <v>45</v>
      </c>
      <c r="O4898">
        <v>75.608199999999997</v>
      </c>
      <c r="P4898">
        <v>10.3025</v>
      </c>
      <c r="Q4898">
        <v>16.017099999999999</v>
      </c>
    </row>
    <row r="4899" spans="1:17" x14ac:dyDescent="0.25">
      <c r="A4899" t="str">
        <f>IF(C4899&amp;G4899&amp;D4899&lt;&gt;'Funnel setup'!$K$3&amp;'Funnel setup'!$K$4&amp;'Funnel setup'!$K$6,".",IF(A4898=".",1,A4898+1))</f>
        <v>.</v>
      </c>
      <c r="B4899" s="244" t="str">
        <f t="shared" si="76"/>
        <v>Total Knee ReplacementProviderPRACTICE PLUS GROUP HOSPITAL - SOUTHAMPTON (NTP11)EQ VAS</v>
      </c>
      <c r="C4899" t="s">
        <v>975</v>
      </c>
      <c r="D4899" t="s">
        <v>965</v>
      </c>
      <c r="E4899" t="s">
        <v>462</v>
      </c>
      <c r="F4899" t="s">
        <v>463</v>
      </c>
      <c r="G4899" t="s">
        <v>752</v>
      </c>
      <c r="H4899">
        <v>63</v>
      </c>
      <c r="I4899">
        <v>66.031700000000001</v>
      </c>
      <c r="J4899">
        <v>72.698400000000007</v>
      </c>
      <c r="K4899">
        <v>6.6666699999999999</v>
      </c>
      <c r="L4899">
        <v>37</v>
      </c>
      <c r="M4899">
        <v>4</v>
      </c>
      <c r="N4899">
        <v>22</v>
      </c>
      <c r="O4899">
        <v>71.933599999999998</v>
      </c>
      <c r="P4899">
        <v>6.6278699999999997</v>
      </c>
      <c r="Q4899">
        <v>16.689599999999999</v>
      </c>
    </row>
    <row r="4900" spans="1:17" x14ac:dyDescent="0.25">
      <c r="A4900" t="str">
        <f>IF(C4900&amp;G4900&amp;D4900&lt;&gt;'Funnel setup'!$K$3&amp;'Funnel setup'!$K$4&amp;'Funnel setup'!$K$6,".",IF(A4899=".",1,A4899+1))</f>
        <v>.</v>
      </c>
      <c r="B4900" s="244" t="str">
        <f t="shared" si="76"/>
        <v>Total Knee ReplacementProviderPRINCESS MARGARET HOSPITAL (NT428)EQ VAS</v>
      </c>
      <c r="C4900" t="s">
        <v>975</v>
      </c>
      <c r="D4900" t="s">
        <v>965</v>
      </c>
      <c r="E4900" t="s">
        <v>464</v>
      </c>
      <c r="F4900" t="s">
        <v>465</v>
      </c>
      <c r="G4900" t="s">
        <v>752</v>
      </c>
      <c r="H4900" t="s">
        <v>127</v>
      </c>
      <c r="I4900" t="s">
        <v>127</v>
      </c>
      <c r="J4900" t="s">
        <v>127</v>
      </c>
      <c r="K4900" t="s">
        <v>127</v>
      </c>
      <c r="L4900" t="s">
        <v>127</v>
      </c>
      <c r="M4900" t="s">
        <v>127</v>
      </c>
      <c r="N4900" t="s">
        <v>127</v>
      </c>
      <c r="O4900" t="s">
        <v>127</v>
      </c>
      <c r="P4900" t="s">
        <v>127</v>
      </c>
      <c r="Q4900" t="s">
        <v>127</v>
      </c>
    </row>
    <row r="4901" spans="1:17" x14ac:dyDescent="0.25">
      <c r="A4901" t="str">
        <f>IF(C4901&amp;G4901&amp;D4901&lt;&gt;'Funnel setup'!$K$3&amp;'Funnel setup'!$K$4&amp;'Funnel setup'!$K$6,".",IF(A4900=".",1,A4900+1))</f>
        <v>.</v>
      </c>
      <c r="B4901" s="244" t="str">
        <f t="shared" si="76"/>
        <v>Total Knee ReplacementProviderPRIORY HOSPITAL (NT429)EQ VAS</v>
      </c>
      <c r="C4901" t="s">
        <v>975</v>
      </c>
      <c r="D4901" t="s">
        <v>965</v>
      </c>
      <c r="E4901" t="s">
        <v>466</v>
      </c>
      <c r="F4901" t="s">
        <v>467</v>
      </c>
      <c r="G4901" t="s">
        <v>752</v>
      </c>
      <c r="H4901">
        <v>23</v>
      </c>
      <c r="I4901">
        <v>74.760000000000005</v>
      </c>
      <c r="J4901">
        <v>77.12</v>
      </c>
      <c r="K4901">
        <v>2.36</v>
      </c>
      <c r="L4901">
        <v>11</v>
      </c>
      <c r="M4901">
        <v>3</v>
      </c>
      <c r="N4901">
        <v>9</v>
      </c>
      <c r="O4901" t="s">
        <v>127</v>
      </c>
      <c r="P4901" t="s">
        <v>127</v>
      </c>
      <c r="Q4901" t="s">
        <v>127</v>
      </c>
    </row>
    <row r="4902" spans="1:17" x14ac:dyDescent="0.25">
      <c r="A4902" t="str">
        <f>IF(C4902&amp;G4902&amp;D4902&lt;&gt;'Funnel setup'!$K$3&amp;'Funnel setup'!$K$4&amp;'Funnel setup'!$K$6,".",IF(A4901=".",1,A4901+1))</f>
        <v>.</v>
      </c>
      <c r="B4902" s="244" t="str">
        <f t="shared" si="76"/>
        <v>Total Knee ReplacementProviderRENACRES HOSPITAL (NVC16)EQ VAS</v>
      </c>
      <c r="C4902" t="s">
        <v>975</v>
      </c>
      <c r="D4902" t="s">
        <v>965</v>
      </c>
      <c r="E4902" t="s">
        <v>470</v>
      </c>
      <c r="F4902" t="s">
        <v>471</v>
      </c>
      <c r="G4902" t="s">
        <v>752</v>
      </c>
      <c r="H4902">
        <v>62</v>
      </c>
      <c r="I4902">
        <v>70.951599999999999</v>
      </c>
      <c r="J4902">
        <v>76.225800000000007</v>
      </c>
      <c r="K4902">
        <v>5.2741899999999999</v>
      </c>
      <c r="L4902">
        <v>37</v>
      </c>
      <c r="M4902">
        <v>8</v>
      </c>
      <c r="N4902">
        <v>17</v>
      </c>
      <c r="O4902">
        <v>73.001800000000003</v>
      </c>
      <c r="P4902">
        <v>7.6961000000000004</v>
      </c>
      <c r="Q4902">
        <v>14.7506</v>
      </c>
    </row>
    <row r="4903" spans="1:17" x14ac:dyDescent="0.25">
      <c r="A4903" t="str">
        <f>IF(C4903&amp;G4903&amp;D4903&lt;&gt;'Funnel setup'!$K$3&amp;'Funnel setup'!$K$4&amp;'Funnel setup'!$K$6,".",IF(A4902=".",1,A4902+1))</f>
        <v>.</v>
      </c>
      <c r="B4903" s="244" t="str">
        <f t="shared" si="76"/>
        <v>Total Knee ReplacementProviderRIDGEWAY HOSPITAL (NT430)EQ VAS</v>
      </c>
      <c r="C4903" t="s">
        <v>975</v>
      </c>
      <c r="D4903" t="s">
        <v>965</v>
      </c>
      <c r="E4903" t="s">
        <v>472</v>
      </c>
      <c r="F4903" t="s">
        <v>473</v>
      </c>
      <c r="G4903" t="s">
        <v>752</v>
      </c>
      <c r="H4903">
        <v>1</v>
      </c>
      <c r="I4903">
        <v>78</v>
      </c>
      <c r="J4903">
        <v>83</v>
      </c>
      <c r="K4903">
        <v>5</v>
      </c>
      <c r="L4903">
        <v>1</v>
      </c>
      <c r="M4903">
        <v>0</v>
      </c>
      <c r="N4903">
        <v>0</v>
      </c>
      <c r="O4903" t="s">
        <v>127</v>
      </c>
      <c r="P4903" t="s">
        <v>127</v>
      </c>
      <c r="Q4903" t="s">
        <v>127</v>
      </c>
    </row>
    <row r="4904" spans="1:17" x14ac:dyDescent="0.25">
      <c r="A4904" t="str">
        <f>IF(C4904&amp;G4904&amp;D4904&lt;&gt;'Funnel setup'!$K$3&amp;'Funnel setup'!$K$4&amp;'Funnel setup'!$K$6,".",IF(A4903=".",1,A4903+1))</f>
        <v>.</v>
      </c>
      <c r="B4904" s="244" t="str">
        <f t="shared" si="76"/>
        <v>Total Knee ReplacementProviderRIVERS HOSPITAL (NVC19)EQ VAS</v>
      </c>
      <c r="C4904" t="s">
        <v>975</v>
      </c>
      <c r="D4904" t="s">
        <v>965</v>
      </c>
      <c r="E4904" t="s">
        <v>474</v>
      </c>
      <c r="F4904" t="s">
        <v>475</v>
      </c>
      <c r="G4904" t="s">
        <v>752</v>
      </c>
      <c r="H4904">
        <v>37</v>
      </c>
      <c r="I4904">
        <v>71.243200000000002</v>
      </c>
      <c r="J4904">
        <v>78.081100000000006</v>
      </c>
      <c r="K4904">
        <v>6.8378399999999999</v>
      </c>
      <c r="L4904">
        <v>22</v>
      </c>
      <c r="M4904">
        <v>3</v>
      </c>
      <c r="N4904">
        <v>12</v>
      </c>
      <c r="O4904">
        <v>73.540899999999993</v>
      </c>
      <c r="P4904">
        <v>8.2352299999999996</v>
      </c>
      <c r="Q4904">
        <v>16.665500000000002</v>
      </c>
    </row>
    <row r="4905" spans="1:17" x14ac:dyDescent="0.25">
      <c r="A4905" t="str">
        <f>IF(C4905&amp;G4905&amp;D4905&lt;&gt;'Funnel setup'!$K$3&amp;'Funnel setup'!$K$4&amp;'Funnel setup'!$K$6,".",IF(A4904=".",1,A4904+1))</f>
        <v>.</v>
      </c>
      <c r="B4905" s="244" t="str">
        <f t="shared" si="76"/>
        <v>Total Knee ReplacementProviderROWLEY HALL HOSPITAL (NVC17)EQ VAS</v>
      </c>
      <c r="C4905" t="s">
        <v>975</v>
      </c>
      <c r="D4905" t="s">
        <v>965</v>
      </c>
      <c r="E4905" t="s">
        <v>476</v>
      </c>
      <c r="F4905" t="s">
        <v>477</v>
      </c>
      <c r="G4905" t="s">
        <v>752</v>
      </c>
      <c r="H4905">
        <v>38</v>
      </c>
      <c r="I4905">
        <v>61.359000000000002</v>
      </c>
      <c r="J4905">
        <v>77.230800000000002</v>
      </c>
      <c r="K4905">
        <v>15.8718</v>
      </c>
      <c r="L4905">
        <v>26</v>
      </c>
      <c r="M4905">
        <v>5</v>
      </c>
      <c r="N4905">
        <v>7</v>
      </c>
      <c r="O4905">
        <v>77.581199999999995</v>
      </c>
      <c r="P4905">
        <v>12.275499999999999</v>
      </c>
      <c r="Q4905">
        <v>16.889600000000002</v>
      </c>
    </row>
    <row r="4906" spans="1:17" x14ac:dyDescent="0.25">
      <c r="A4906" t="str">
        <f>IF(C4906&amp;G4906&amp;D4906&lt;&gt;'Funnel setup'!$K$3&amp;'Funnel setup'!$K$4&amp;'Funnel setup'!$K$6,".",IF(A4905=".",1,A4905+1))</f>
        <v>.</v>
      </c>
      <c r="B4906" s="244" t="str">
        <f t="shared" si="76"/>
        <v>Total Knee ReplacementProviderROYAL BERKSHIRE NHS FOUNDATION TRUST (RHW)EQ VAS</v>
      </c>
      <c r="C4906" t="s">
        <v>975</v>
      </c>
      <c r="D4906" t="s">
        <v>965</v>
      </c>
      <c r="E4906" t="s">
        <v>478</v>
      </c>
      <c r="F4906" t="s">
        <v>479</v>
      </c>
      <c r="G4906" t="s">
        <v>752</v>
      </c>
      <c r="H4906">
        <v>7</v>
      </c>
      <c r="I4906">
        <v>63.857100000000003</v>
      </c>
      <c r="J4906">
        <v>68.857100000000003</v>
      </c>
      <c r="K4906">
        <v>5</v>
      </c>
      <c r="L4906">
        <v>5</v>
      </c>
      <c r="M4906">
        <v>0</v>
      </c>
      <c r="N4906">
        <v>2</v>
      </c>
      <c r="O4906" t="s">
        <v>127</v>
      </c>
      <c r="P4906" t="s">
        <v>127</v>
      </c>
      <c r="Q4906" t="s">
        <v>127</v>
      </c>
    </row>
    <row r="4907" spans="1:17" x14ac:dyDescent="0.25">
      <c r="A4907" t="str">
        <f>IF(C4907&amp;G4907&amp;D4907&lt;&gt;'Funnel setup'!$K$3&amp;'Funnel setup'!$K$4&amp;'Funnel setup'!$K$6,".",IF(A4906=".",1,A4906+1))</f>
        <v>.</v>
      </c>
      <c r="B4907" s="244" t="str">
        <f t="shared" si="76"/>
        <v>Total Knee ReplacementProviderROYAL CORNWALL HOSPITALS NHS TRUST (REF)EQ VAS</v>
      </c>
      <c r="C4907" t="s">
        <v>975</v>
      </c>
      <c r="D4907" t="s">
        <v>965</v>
      </c>
      <c r="E4907" t="s">
        <v>480</v>
      </c>
      <c r="F4907" t="s">
        <v>481</v>
      </c>
      <c r="G4907" t="s">
        <v>752</v>
      </c>
      <c r="H4907">
        <v>35</v>
      </c>
      <c r="I4907">
        <v>67.8857</v>
      </c>
      <c r="J4907">
        <v>76.400000000000006</v>
      </c>
      <c r="K4907">
        <v>8.5142900000000008</v>
      </c>
      <c r="L4907">
        <v>22</v>
      </c>
      <c r="M4907">
        <v>4</v>
      </c>
      <c r="N4907">
        <v>9</v>
      </c>
      <c r="O4907">
        <v>75.5154</v>
      </c>
      <c r="P4907">
        <v>10.2097</v>
      </c>
      <c r="Q4907">
        <v>17.132999999999999</v>
      </c>
    </row>
    <row r="4908" spans="1:17" x14ac:dyDescent="0.25">
      <c r="A4908" t="str">
        <f>IF(C4908&amp;G4908&amp;D4908&lt;&gt;'Funnel setup'!$K$3&amp;'Funnel setup'!$K$4&amp;'Funnel setup'!$K$6,".",IF(A4907=".",1,A4907+1))</f>
        <v>.</v>
      </c>
      <c r="B4908" s="244" t="str">
        <f t="shared" si="76"/>
        <v>Total Knee ReplacementProviderROYAL DEVON UNIVERSITY HEALTHCARE NHS FOUNDATION TRUST (RH8)EQ VAS</v>
      </c>
      <c r="C4908" t="s">
        <v>975</v>
      </c>
      <c r="D4908" t="s">
        <v>965</v>
      </c>
      <c r="E4908" t="s">
        <v>482</v>
      </c>
      <c r="F4908" t="s">
        <v>483</v>
      </c>
      <c r="G4908" t="s">
        <v>752</v>
      </c>
      <c r="H4908">
        <v>31</v>
      </c>
      <c r="I4908">
        <v>59.838700000000003</v>
      </c>
      <c r="J4908">
        <v>74.032300000000006</v>
      </c>
      <c r="K4908">
        <v>14.1935</v>
      </c>
      <c r="L4908">
        <v>23</v>
      </c>
      <c r="M4908">
        <v>2</v>
      </c>
      <c r="N4908">
        <v>6</v>
      </c>
      <c r="O4908">
        <v>77.859200000000001</v>
      </c>
      <c r="P4908">
        <v>12.5535</v>
      </c>
      <c r="Q4908">
        <v>17.091000000000001</v>
      </c>
    </row>
    <row r="4909" spans="1:17" x14ac:dyDescent="0.25">
      <c r="A4909" t="str">
        <f>IF(C4909&amp;G4909&amp;D4909&lt;&gt;'Funnel setup'!$K$3&amp;'Funnel setup'!$K$4&amp;'Funnel setup'!$K$6,".",IF(A4908=".",1,A4908+1))</f>
        <v>.</v>
      </c>
      <c r="B4909" s="244" t="str">
        <f t="shared" si="76"/>
        <v>Total Knee ReplacementProviderROYAL NATIONAL ORTHOPAEDIC HOSPITAL NHS TRUST (RAN)EQ VAS</v>
      </c>
      <c r="C4909" t="s">
        <v>975</v>
      </c>
      <c r="D4909" t="s">
        <v>965</v>
      </c>
      <c r="E4909" t="s">
        <v>486</v>
      </c>
      <c r="F4909" t="s">
        <v>487</v>
      </c>
      <c r="G4909" t="s">
        <v>752</v>
      </c>
      <c r="H4909">
        <v>101</v>
      </c>
      <c r="I4909">
        <v>63.415799999999997</v>
      </c>
      <c r="J4909">
        <v>66.960400000000007</v>
      </c>
      <c r="K4909">
        <v>3.5445500000000001</v>
      </c>
      <c r="L4909">
        <v>57</v>
      </c>
      <c r="M4909">
        <v>13</v>
      </c>
      <c r="N4909">
        <v>31</v>
      </c>
      <c r="O4909">
        <v>73.503900000000002</v>
      </c>
      <c r="P4909">
        <v>8.1981400000000004</v>
      </c>
      <c r="Q4909">
        <v>19.245200000000001</v>
      </c>
    </row>
    <row r="4910" spans="1:17" x14ac:dyDescent="0.25">
      <c r="A4910" t="str">
        <f>IF(C4910&amp;G4910&amp;D4910&lt;&gt;'Funnel setup'!$K$3&amp;'Funnel setup'!$K$4&amp;'Funnel setup'!$K$6,".",IF(A4909=".",1,A4909+1))</f>
        <v>.</v>
      </c>
      <c r="B4910" s="244" t="str">
        <f t="shared" si="76"/>
        <v>Total Knee ReplacementProviderROYAL SURREY COUNTY HOSPITAL NHS FOUNDATION TRUST (RA2)EQ VAS</v>
      </c>
      <c r="C4910" t="s">
        <v>975</v>
      </c>
      <c r="D4910" t="s">
        <v>965</v>
      </c>
      <c r="E4910" t="s">
        <v>488</v>
      </c>
      <c r="F4910" t="s">
        <v>489</v>
      </c>
      <c r="G4910" t="s">
        <v>752</v>
      </c>
      <c r="H4910">
        <v>48</v>
      </c>
      <c r="I4910">
        <v>62.1875</v>
      </c>
      <c r="J4910">
        <v>67.604200000000006</v>
      </c>
      <c r="K4910">
        <v>5.4166699999999999</v>
      </c>
      <c r="L4910">
        <v>25</v>
      </c>
      <c r="M4910">
        <v>8</v>
      </c>
      <c r="N4910">
        <v>15</v>
      </c>
      <c r="O4910">
        <v>67.178100000000001</v>
      </c>
      <c r="P4910">
        <v>1.8723399999999999</v>
      </c>
      <c r="Q4910">
        <v>17.607299999999999</v>
      </c>
    </row>
    <row r="4911" spans="1:17" x14ac:dyDescent="0.25">
      <c r="A4911" t="str">
        <f>IF(C4911&amp;G4911&amp;D4911&lt;&gt;'Funnel setup'!$K$3&amp;'Funnel setup'!$K$4&amp;'Funnel setup'!$K$6,".",IF(A4910=".",1,A4910+1))</f>
        <v>.</v>
      </c>
      <c r="B4911" s="244" t="str">
        <f t="shared" si="76"/>
        <v>Total Knee ReplacementProviderROYAL UNITED HOSPITALS BATH NHS FOUNDATION TRUST (RD1)EQ VAS</v>
      </c>
      <c r="C4911" t="s">
        <v>975</v>
      </c>
      <c r="D4911" t="s">
        <v>965</v>
      </c>
      <c r="E4911" t="s">
        <v>490</v>
      </c>
      <c r="F4911" t="s">
        <v>491</v>
      </c>
      <c r="G4911" t="s">
        <v>752</v>
      </c>
      <c r="H4911">
        <v>13</v>
      </c>
      <c r="I4911">
        <v>54.230800000000002</v>
      </c>
      <c r="J4911">
        <v>66.384600000000006</v>
      </c>
      <c r="K4911">
        <v>12.1538</v>
      </c>
      <c r="L4911">
        <v>9</v>
      </c>
      <c r="M4911">
        <v>2</v>
      </c>
      <c r="N4911">
        <v>2</v>
      </c>
      <c r="O4911" t="s">
        <v>127</v>
      </c>
      <c r="P4911" t="s">
        <v>127</v>
      </c>
      <c r="Q4911" t="s">
        <v>127</v>
      </c>
    </row>
    <row r="4912" spans="1:17" x14ac:dyDescent="0.25">
      <c r="A4912" t="str">
        <f>IF(C4912&amp;G4912&amp;D4912&lt;&gt;'Funnel setup'!$K$3&amp;'Funnel setup'!$K$4&amp;'Funnel setup'!$K$6,".",IF(A4911=".",1,A4911+1))</f>
        <v>.</v>
      </c>
      <c r="B4912" s="244" t="str">
        <f t="shared" si="76"/>
        <v>Total Knee ReplacementProviderRUNNYMEDE HOSPITAL (NT431)EQ VAS</v>
      </c>
      <c r="C4912" t="s">
        <v>975</v>
      </c>
      <c r="D4912" t="s">
        <v>965</v>
      </c>
      <c r="E4912" t="s">
        <v>492</v>
      </c>
      <c r="F4912" t="s">
        <v>493</v>
      </c>
      <c r="G4912" t="s">
        <v>752</v>
      </c>
      <c r="H4912">
        <v>6</v>
      </c>
      <c r="I4912">
        <v>69.166700000000006</v>
      </c>
      <c r="J4912">
        <v>82.166700000000006</v>
      </c>
      <c r="K4912">
        <v>13</v>
      </c>
      <c r="L4912">
        <v>4</v>
      </c>
      <c r="M4912">
        <v>1</v>
      </c>
      <c r="N4912">
        <v>1</v>
      </c>
      <c r="O4912" t="s">
        <v>127</v>
      </c>
      <c r="P4912" t="s">
        <v>127</v>
      </c>
      <c r="Q4912" t="s">
        <v>127</v>
      </c>
    </row>
    <row r="4913" spans="1:17" x14ac:dyDescent="0.25">
      <c r="A4913" t="str">
        <f>IF(C4913&amp;G4913&amp;D4913&lt;&gt;'Funnel setup'!$K$3&amp;'Funnel setup'!$K$4&amp;'Funnel setup'!$K$6,".",IF(A4912=".",1,A4912+1))</f>
        <v>.</v>
      </c>
      <c r="B4913" s="244" t="str">
        <f t="shared" si="76"/>
        <v>Total Knee ReplacementProviderSALISBURY NHS FOUNDATION TRUST (RNZ)EQ VAS</v>
      </c>
      <c r="C4913" t="s">
        <v>975</v>
      </c>
      <c r="D4913" t="s">
        <v>965</v>
      </c>
      <c r="E4913" t="s">
        <v>494</v>
      </c>
      <c r="F4913" t="s">
        <v>495</v>
      </c>
      <c r="G4913" t="s">
        <v>752</v>
      </c>
      <c r="H4913">
        <v>1</v>
      </c>
      <c r="I4913">
        <v>80</v>
      </c>
      <c r="J4913">
        <v>100</v>
      </c>
      <c r="K4913">
        <v>20</v>
      </c>
      <c r="L4913">
        <v>1</v>
      </c>
      <c r="M4913">
        <v>0</v>
      </c>
      <c r="N4913">
        <v>0</v>
      </c>
      <c r="O4913" t="s">
        <v>127</v>
      </c>
      <c r="P4913" t="s">
        <v>127</v>
      </c>
      <c r="Q4913" t="s">
        <v>127</v>
      </c>
    </row>
    <row r="4914" spans="1:17" x14ac:dyDescent="0.25">
      <c r="A4914" t="str">
        <f>IF(C4914&amp;G4914&amp;D4914&lt;&gt;'Funnel setup'!$K$3&amp;'Funnel setup'!$K$4&amp;'Funnel setup'!$K$6,".",IF(A4913=".",1,A4913+1))</f>
        <v>.</v>
      </c>
      <c r="B4914" s="244" t="str">
        <f t="shared" si="76"/>
        <v>Total Knee ReplacementProviderSANDWELL AND WEST BIRMINGHAM HOSPITALS NHS TRUST (RXK)EQ VAS</v>
      </c>
      <c r="C4914" t="s">
        <v>975</v>
      </c>
      <c r="D4914" t="s">
        <v>965</v>
      </c>
      <c r="E4914" t="s">
        <v>496</v>
      </c>
      <c r="F4914" t="s">
        <v>497</v>
      </c>
      <c r="G4914" t="s">
        <v>752</v>
      </c>
      <c r="H4914">
        <v>69</v>
      </c>
      <c r="I4914">
        <v>65.666700000000006</v>
      </c>
      <c r="J4914">
        <v>70.507199999999997</v>
      </c>
      <c r="K4914">
        <v>4.8405800000000001</v>
      </c>
      <c r="L4914">
        <v>36</v>
      </c>
      <c r="M4914">
        <v>7</v>
      </c>
      <c r="N4914">
        <v>26</v>
      </c>
      <c r="O4914">
        <v>73.583200000000005</v>
      </c>
      <c r="P4914">
        <v>8.2774400000000004</v>
      </c>
      <c r="Q4914">
        <v>18.8125</v>
      </c>
    </row>
    <row r="4915" spans="1:17" x14ac:dyDescent="0.25">
      <c r="A4915" t="str">
        <f>IF(C4915&amp;G4915&amp;D4915&lt;&gt;'Funnel setup'!$K$3&amp;'Funnel setup'!$K$4&amp;'Funnel setup'!$K$6,".",IF(A4914=".",1,A4914+1))</f>
        <v>.</v>
      </c>
      <c r="B4915" s="244" t="str">
        <f t="shared" si="76"/>
        <v>Total Knee ReplacementProviderSARUM ROAD HOSPITAL (NT433)EQ VAS</v>
      </c>
      <c r="C4915" t="s">
        <v>975</v>
      </c>
      <c r="D4915" t="s">
        <v>965</v>
      </c>
      <c r="E4915" t="s">
        <v>498</v>
      </c>
      <c r="F4915" t="s">
        <v>499</v>
      </c>
      <c r="G4915" t="s">
        <v>752</v>
      </c>
      <c r="H4915">
        <v>26</v>
      </c>
      <c r="I4915">
        <v>69.846199999999996</v>
      </c>
      <c r="J4915">
        <v>79.461500000000001</v>
      </c>
      <c r="K4915">
        <v>9.61538</v>
      </c>
      <c r="L4915">
        <v>13</v>
      </c>
      <c r="M4915">
        <v>2</v>
      </c>
      <c r="N4915">
        <v>11</v>
      </c>
      <c r="O4915" t="s">
        <v>127</v>
      </c>
      <c r="P4915" t="s">
        <v>127</v>
      </c>
      <c r="Q4915" t="s">
        <v>127</v>
      </c>
    </row>
    <row r="4916" spans="1:17" x14ac:dyDescent="0.25">
      <c r="A4916" t="str">
        <f>IF(C4916&amp;G4916&amp;D4916&lt;&gt;'Funnel setup'!$K$3&amp;'Funnel setup'!$K$4&amp;'Funnel setup'!$K$6,".",IF(A4915=".",1,A4915+1))</f>
        <v>.</v>
      </c>
      <c r="B4916" s="244" t="str">
        <f t="shared" si="76"/>
        <v>Total Knee ReplacementProviderSAXON CLINIC (NT434)EQ VAS</v>
      </c>
      <c r="C4916" t="s">
        <v>975</v>
      </c>
      <c r="D4916" t="s">
        <v>965</v>
      </c>
      <c r="E4916" t="s">
        <v>500</v>
      </c>
      <c r="F4916" t="s">
        <v>501</v>
      </c>
      <c r="G4916" t="s">
        <v>752</v>
      </c>
      <c r="H4916">
        <v>12</v>
      </c>
      <c r="I4916">
        <v>63.666699999999999</v>
      </c>
      <c r="J4916">
        <v>72.5</v>
      </c>
      <c r="K4916">
        <v>8.8333300000000001</v>
      </c>
      <c r="L4916">
        <v>7</v>
      </c>
      <c r="M4916">
        <v>1</v>
      </c>
      <c r="N4916">
        <v>4</v>
      </c>
      <c r="O4916" t="s">
        <v>127</v>
      </c>
      <c r="P4916" t="s">
        <v>127</v>
      </c>
      <c r="Q4916" t="s">
        <v>127</v>
      </c>
    </row>
    <row r="4917" spans="1:17" x14ac:dyDescent="0.25">
      <c r="A4917" t="str">
        <f>IF(C4917&amp;G4917&amp;D4917&lt;&gt;'Funnel setup'!$K$3&amp;'Funnel setup'!$K$4&amp;'Funnel setup'!$K$6,".",IF(A4916=".",1,A4916+1))</f>
        <v>.</v>
      </c>
      <c r="B4917" s="244" t="str">
        <f t="shared" si="76"/>
        <v>Total Knee ReplacementProviderSHEFFIELD TEACHING HOSPITALS NHS FOUNDATION TRUST (RHQ)EQ VAS</v>
      </c>
      <c r="C4917" t="s">
        <v>975</v>
      </c>
      <c r="D4917" t="s">
        <v>965</v>
      </c>
      <c r="E4917" t="s">
        <v>506</v>
      </c>
      <c r="F4917" t="s">
        <v>507</v>
      </c>
      <c r="G4917" t="s">
        <v>752</v>
      </c>
      <c r="H4917">
        <v>34</v>
      </c>
      <c r="I4917">
        <v>62.911799999999999</v>
      </c>
      <c r="J4917">
        <v>72.2059</v>
      </c>
      <c r="K4917">
        <v>9.2941199999999995</v>
      </c>
      <c r="L4917">
        <v>22</v>
      </c>
      <c r="M4917">
        <v>4</v>
      </c>
      <c r="N4917">
        <v>8</v>
      </c>
      <c r="O4917">
        <v>71.272499999999994</v>
      </c>
      <c r="P4917">
        <v>5.9667899999999996</v>
      </c>
      <c r="Q4917">
        <v>18.918399999999998</v>
      </c>
    </row>
    <row r="4918" spans="1:17" x14ac:dyDescent="0.25">
      <c r="A4918" t="str">
        <f>IF(C4918&amp;G4918&amp;D4918&lt;&gt;'Funnel setup'!$K$3&amp;'Funnel setup'!$K$4&amp;'Funnel setup'!$K$6,".",IF(A4917=".",1,A4917+1))</f>
        <v>.</v>
      </c>
      <c r="B4918" s="244" t="str">
        <f t="shared" si="76"/>
        <v>Total Knee ReplacementProviderSHERWOOD FOREST HOSPITALS NHS FOUNDATION TRUST (RK5)EQ VAS</v>
      </c>
      <c r="C4918" t="s">
        <v>975</v>
      </c>
      <c r="D4918" t="s">
        <v>965</v>
      </c>
      <c r="E4918" t="s">
        <v>508</v>
      </c>
      <c r="F4918" t="s">
        <v>509</v>
      </c>
      <c r="G4918" t="s">
        <v>752</v>
      </c>
      <c r="H4918">
        <v>61</v>
      </c>
      <c r="I4918">
        <v>64.344300000000004</v>
      </c>
      <c r="J4918">
        <v>72.6066</v>
      </c>
      <c r="K4918">
        <v>8.2622999999999998</v>
      </c>
      <c r="L4918">
        <v>38</v>
      </c>
      <c r="M4918">
        <v>7</v>
      </c>
      <c r="N4918">
        <v>16</v>
      </c>
      <c r="O4918">
        <v>72.640600000000006</v>
      </c>
      <c r="P4918">
        <v>7.3348899999999997</v>
      </c>
      <c r="Q4918">
        <v>16.849499999999999</v>
      </c>
    </row>
    <row r="4919" spans="1:17" x14ac:dyDescent="0.25">
      <c r="A4919" t="str">
        <f>IF(C4919&amp;G4919&amp;D4919&lt;&gt;'Funnel setup'!$K$3&amp;'Funnel setup'!$K$4&amp;'Funnel setup'!$K$6,".",IF(A4918=".",1,A4918+1))</f>
        <v>.</v>
      </c>
      <c r="B4919" s="244" t="str">
        <f t="shared" si="76"/>
        <v>Total Knee ReplacementProviderSHIRLEY OAKS HOSPITAL (NT436)EQ VAS</v>
      </c>
      <c r="C4919" t="s">
        <v>975</v>
      </c>
      <c r="D4919" t="s">
        <v>965</v>
      </c>
      <c r="E4919" t="s">
        <v>510</v>
      </c>
      <c r="F4919" t="s">
        <v>511</v>
      </c>
      <c r="G4919" t="s">
        <v>752</v>
      </c>
      <c r="H4919">
        <v>3</v>
      </c>
      <c r="I4919">
        <v>80</v>
      </c>
      <c r="J4919">
        <v>73</v>
      </c>
      <c r="K4919">
        <v>-7</v>
      </c>
      <c r="L4919">
        <v>1</v>
      </c>
      <c r="M4919">
        <v>0</v>
      </c>
      <c r="N4919">
        <v>2</v>
      </c>
      <c r="O4919" t="s">
        <v>127</v>
      </c>
      <c r="P4919" t="s">
        <v>127</v>
      </c>
      <c r="Q4919" t="s">
        <v>127</v>
      </c>
    </row>
    <row r="4920" spans="1:17" x14ac:dyDescent="0.25">
      <c r="A4920" t="str">
        <f>IF(C4920&amp;G4920&amp;D4920&lt;&gt;'Funnel setup'!$K$3&amp;'Funnel setup'!$K$4&amp;'Funnel setup'!$K$6,".",IF(A4919=".",1,A4919+1))</f>
        <v>.</v>
      </c>
      <c r="B4920" s="244" t="str">
        <f t="shared" si="76"/>
        <v>Total Knee ReplacementProviderSOUTH TEES HOSPITALS NHS FOUNDATION TRUST (RTR)EQ VAS</v>
      </c>
      <c r="C4920" t="s">
        <v>975</v>
      </c>
      <c r="D4920" t="s">
        <v>965</v>
      </c>
      <c r="E4920" t="s">
        <v>516</v>
      </c>
      <c r="F4920" t="s">
        <v>517</v>
      </c>
      <c r="G4920" t="s">
        <v>752</v>
      </c>
      <c r="H4920">
        <v>120</v>
      </c>
      <c r="I4920">
        <v>59.508299999999998</v>
      </c>
      <c r="J4920">
        <v>71.8</v>
      </c>
      <c r="K4920">
        <v>12.291700000000001</v>
      </c>
      <c r="L4920">
        <v>84</v>
      </c>
      <c r="M4920">
        <v>7</v>
      </c>
      <c r="N4920">
        <v>29</v>
      </c>
      <c r="O4920">
        <v>76.310500000000005</v>
      </c>
      <c r="P4920">
        <v>11.004799999999999</v>
      </c>
      <c r="Q4920">
        <v>18.868600000000001</v>
      </c>
    </row>
    <row r="4921" spans="1:17" x14ac:dyDescent="0.25">
      <c r="A4921" t="str">
        <f>IF(C4921&amp;G4921&amp;D4921&lt;&gt;'Funnel setup'!$K$3&amp;'Funnel setup'!$K$4&amp;'Funnel setup'!$K$6,".",IF(A4920=".",1,A4920+1))</f>
        <v>.</v>
      </c>
      <c r="B4921" s="244" t="str">
        <f t="shared" si="76"/>
        <v>Total Knee ReplacementProviderSOUTH TYNESIDE AND SUNDERLAND NHS FOUNDATION TRUST (R0B)EQ VAS</v>
      </c>
      <c r="C4921" t="s">
        <v>975</v>
      </c>
      <c r="D4921" t="s">
        <v>965</v>
      </c>
      <c r="E4921" t="s">
        <v>518</v>
      </c>
      <c r="F4921" t="s">
        <v>519</v>
      </c>
      <c r="G4921" t="s">
        <v>752</v>
      </c>
      <c r="H4921">
        <v>8</v>
      </c>
      <c r="I4921">
        <v>67.625</v>
      </c>
      <c r="J4921">
        <v>62.25</v>
      </c>
      <c r="K4921">
        <v>-5.375</v>
      </c>
      <c r="L4921">
        <v>5</v>
      </c>
      <c r="M4921">
        <v>0</v>
      </c>
      <c r="N4921">
        <v>3</v>
      </c>
      <c r="O4921" t="s">
        <v>127</v>
      </c>
      <c r="P4921" t="s">
        <v>127</v>
      </c>
      <c r="Q4921" t="s">
        <v>127</v>
      </c>
    </row>
    <row r="4922" spans="1:17" x14ac:dyDescent="0.25">
      <c r="A4922" t="str">
        <f>IF(C4922&amp;G4922&amp;D4922&lt;&gt;'Funnel setup'!$K$3&amp;'Funnel setup'!$K$4&amp;'Funnel setup'!$K$6,".",IF(A4921=".",1,A4921+1))</f>
        <v>.</v>
      </c>
      <c r="B4922" s="244" t="str">
        <f t="shared" si="76"/>
        <v>Total Knee ReplacementProviderSOUTH WARWICKSHIRE UNIVERSITY NHS FOUNDATION TRUST (RJC)EQ VAS</v>
      </c>
      <c r="C4922" t="s">
        <v>975</v>
      </c>
      <c r="D4922" t="s">
        <v>965</v>
      </c>
      <c r="E4922" t="s">
        <v>520</v>
      </c>
      <c r="F4922" t="s">
        <v>521</v>
      </c>
      <c r="G4922" t="s">
        <v>752</v>
      </c>
      <c r="H4922">
        <v>136</v>
      </c>
      <c r="I4922">
        <v>68.25</v>
      </c>
      <c r="J4922">
        <v>75.426500000000004</v>
      </c>
      <c r="K4922">
        <v>7.1764700000000001</v>
      </c>
      <c r="L4922">
        <v>83</v>
      </c>
      <c r="M4922">
        <v>26</v>
      </c>
      <c r="N4922">
        <v>27</v>
      </c>
      <c r="O4922">
        <v>73.493200000000002</v>
      </c>
      <c r="P4922">
        <v>8.1874699999999994</v>
      </c>
      <c r="Q4922">
        <v>17.454799999999999</v>
      </c>
    </row>
    <row r="4923" spans="1:17" x14ac:dyDescent="0.25">
      <c r="A4923" t="str">
        <f>IF(C4923&amp;G4923&amp;D4923&lt;&gt;'Funnel setup'!$K$3&amp;'Funnel setup'!$K$4&amp;'Funnel setup'!$K$6,".",IF(A4922=".",1,A4922+1))</f>
        <v>.</v>
      </c>
      <c r="B4923" s="244" t="str">
        <f t="shared" si="76"/>
        <v>Total Knee ReplacementProviderSOUTHPORT AND ORMSKIRK HOSPITAL NHS TRUST (RVY)EQ VAS</v>
      </c>
      <c r="C4923" t="s">
        <v>975</v>
      </c>
      <c r="D4923" t="s">
        <v>965</v>
      </c>
      <c r="E4923" t="s">
        <v>522</v>
      </c>
      <c r="F4923" t="s">
        <v>523</v>
      </c>
      <c r="G4923" t="s">
        <v>752</v>
      </c>
      <c r="H4923">
        <v>9</v>
      </c>
      <c r="I4923">
        <v>64.444400000000002</v>
      </c>
      <c r="J4923">
        <v>74.555599999999998</v>
      </c>
      <c r="K4923">
        <v>10.1111</v>
      </c>
      <c r="L4923">
        <v>5</v>
      </c>
      <c r="M4923">
        <v>3</v>
      </c>
      <c r="N4923">
        <v>1</v>
      </c>
      <c r="O4923" t="s">
        <v>127</v>
      </c>
      <c r="P4923" t="s">
        <v>127</v>
      </c>
      <c r="Q4923" t="s">
        <v>127</v>
      </c>
    </row>
    <row r="4924" spans="1:17" x14ac:dyDescent="0.25">
      <c r="A4924" t="str">
        <f>IF(C4924&amp;G4924&amp;D4924&lt;&gt;'Funnel setup'!$K$3&amp;'Funnel setup'!$K$4&amp;'Funnel setup'!$K$6,".",IF(A4923=".",1,A4923+1))</f>
        <v>.</v>
      </c>
      <c r="B4924" s="244" t="str">
        <f t="shared" si="76"/>
        <v>Total Knee ReplacementProviderSPENCER PRIVATE HOSPITALS - MARGATE (NN801)EQ VAS</v>
      </c>
      <c r="C4924" t="s">
        <v>975</v>
      </c>
      <c r="D4924" t="s">
        <v>965</v>
      </c>
      <c r="E4924" t="s">
        <v>526</v>
      </c>
      <c r="F4924" t="s">
        <v>527</v>
      </c>
      <c r="G4924" t="s">
        <v>752</v>
      </c>
      <c r="H4924">
        <v>17</v>
      </c>
      <c r="I4924">
        <v>58.823500000000003</v>
      </c>
      <c r="J4924">
        <v>75.882400000000004</v>
      </c>
      <c r="K4924">
        <v>17.058800000000002</v>
      </c>
      <c r="L4924">
        <v>13</v>
      </c>
      <c r="M4924">
        <v>1</v>
      </c>
      <c r="N4924">
        <v>3</v>
      </c>
      <c r="O4924" t="s">
        <v>127</v>
      </c>
      <c r="P4924" t="s">
        <v>127</v>
      </c>
      <c r="Q4924" t="s">
        <v>127</v>
      </c>
    </row>
    <row r="4925" spans="1:17" x14ac:dyDescent="0.25">
      <c r="A4925" t="str">
        <f>IF(C4925&amp;G4925&amp;D4925&lt;&gt;'Funnel setup'!$K$3&amp;'Funnel setup'!$K$4&amp;'Funnel setup'!$K$6,".",IF(A4924=".",1,A4924+1))</f>
        <v>.</v>
      </c>
      <c r="B4925" s="244" t="str">
        <f t="shared" si="76"/>
        <v>Total Knee ReplacementProviderSPIRE ALEXANDRA HOSPITAL (NT312)EQ VAS</v>
      </c>
      <c r="C4925" t="s">
        <v>975</v>
      </c>
      <c r="D4925" t="s">
        <v>965</v>
      </c>
      <c r="E4925" t="s">
        <v>528</v>
      </c>
      <c r="F4925" t="s">
        <v>529</v>
      </c>
      <c r="G4925" t="s">
        <v>752</v>
      </c>
      <c r="H4925">
        <v>26</v>
      </c>
      <c r="I4925">
        <v>71.538499999999999</v>
      </c>
      <c r="J4925">
        <v>75.615399999999994</v>
      </c>
      <c r="K4925">
        <v>4.0769200000000003</v>
      </c>
      <c r="L4925">
        <v>12</v>
      </c>
      <c r="M4925">
        <v>0</v>
      </c>
      <c r="N4925">
        <v>14</v>
      </c>
      <c r="O4925" t="s">
        <v>127</v>
      </c>
      <c r="P4925" t="s">
        <v>127</v>
      </c>
      <c r="Q4925" t="s">
        <v>127</v>
      </c>
    </row>
    <row r="4926" spans="1:17" x14ac:dyDescent="0.25">
      <c r="A4926" t="str">
        <f>IF(C4926&amp;G4926&amp;D4926&lt;&gt;'Funnel setup'!$K$3&amp;'Funnel setup'!$K$4&amp;'Funnel setup'!$K$6,".",IF(A4925=".",1,A4925+1))</f>
        <v>.</v>
      </c>
      <c r="B4926" s="244" t="str">
        <f t="shared" si="76"/>
        <v>Total Knee ReplacementProviderSPIRE BRISTOL HOSPITAL (NT302)EQ VAS</v>
      </c>
      <c r="C4926" t="s">
        <v>975</v>
      </c>
      <c r="D4926" t="s">
        <v>965</v>
      </c>
      <c r="E4926" t="s">
        <v>530</v>
      </c>
      <c r="F4926" t="s">
        <v>531</v>
      </c>
      <c r="G4926" t="s">
        <v>752</v>
      </c>
      <c r="H4926">
        <v>59</v>
      </c>
      <c r="I4926">
        <v>71.474599999999995</v>
      </c>
      <c r="J4926">
        <v>75.898300000000006</v>
      </c>
      <c r="K4926">
        <v>4.4237299999999999</v>
      </c>
      <c r="L4926">
        <v>34</v>
      </c>
      <c r="M4926">
        <v>4</v>
      </c>
      <c r="N4926">
        <v>21</v>
      </c>
      <c r="O4926">
        <v>73.096299999999999</v>
      </c>
      <c r="P4926">
        <v>7.7905699999999998</v>
      </c>
      <c r="Q4926">
        <v>14.396699999999999</v>
      </c>
    </row>
    <row r="4927" spans="1:17" x14ac:dyDescent="0.25">
      <c r="A4927" t="str">
        <f>IF(C4927&amp;G4927&amp;D4927&lt;&gt;'Funnel setup'!$K$3&amp;'Funnel setup'!$K$4&amp;'Funnel setup'!$K$6,".",IF(A4926=".",1,A4926+1))</f>
        <v>.</v>
      </c>
      <c r="B4927" s="244" t="str">
        <f t="shared" si="76"/>
        <v>Total Knee ReplacementProviderSPIRE BUSHEY HOSPITAL (NT315)EQ VAS</v>
      </c>
      <c r="C4927" t="s">
        <v>975</v>
      </c>
      <c r="D4927" t="s">
        <v>965</v>
      </c>
      <c r="E4927" t="s">
        <v>532</v>
      </c>
      <c r="F4927" t="s">
        <v>533</v>
      </c>
      <c r="G4927" t="s">
        <v>752</v>
      </c>
      <c r="H4927">
        <v>5</v>
      </c>
      <c r="I4927">
        <v>67.400000000000006</v>
      </c>
      <c r="J4927">
        <v>76.400000000000006</v>
      </c>
      <c r="K4927">
        <v>9</v>
      </c>
      <c r="L4927">
        <v>4</v>
      </c>
      <c r="M4927">
        <v>0</v>
      </c>
      <c r="N4927">
        <v>1</v>
      </c>
      <c r="O4927" t="s">
        <v>127</v>
      </c>
      <c r="P4927" t="s">
        <v>127</v>
      </c>
      <c r="Q4927" t="s">
        <v>127</v>
      </c>
    </row>
    <row r="4928" spans="1:17" x14ac:dyDescent="0.25">
      <c r="A4928" t="str">
        <f>IF(C4928&amp;G4928&amp;D4928&lt;&gt;'Funnel setup'!$K$3&amp;'Funnel setup'!$K$4&amp;'Funnel setup'!$K$6,".",IF(A4927=".",1,A4927+1))</f>
        <v>.</v>
      </c>
      <c r="B4928" s="244" t="str">
        <f t="shared" si="76"/>
        <v>Total Knee ReplacementProviderSPIRE CAMBRIDGE LEA HOSPITAL (NT317)EQ VAS</v>
      </c>
      <c r="C4928" t="s">
        <v>975</v>
      </c>
      <c r="D4928" t="s">
        <v>965</v>
      </c>
      <c r="E4928" t="s">
        <v>534</v>
      </c>
      <c r="F4928" t="s">
        <v>535</v>
      </c>
      <c r="G4928" t="s">
        <v>752</v>
      </c>
      <c r="H4928">
        <v>29</v>
      </c>
      <c r="I4928">
        <v>69.206900000000005</v>
      </c>
      <c r="J4928">
        <v>72.310299999999998</v>
      </c>
      <c r="K4928">
        <v>3.10345</v>
      </c>
      <c r="L4928">
        <v>13</v>
      </c>
      <c r="M4928">
        <v>6</v>
      </c>
      <c r="N4928">
        <v>10</v>
      </c>
      <c r="O4928" t="s">
        <v>127</v>
      </c>
      <c r="P4928" t="s">
        <v>127</v>
      </c>
      <c r="Q4928" t="s">
        <v>127</v>
      </c>
    </row>
    <row r="4929" spans="1:17" x14ac:dyDescent="0.25">
      <c r="A4929" t="str">
        <f>IF(C4929&amp;G4929&amp;D4929&lt;&gt;'Funnel setup'!$K$3&amp;'Funnel setup'!$K$4&amp;'Funnel setup'!$K$6,".",IF(A4928=".",1,A4928+1))</f>
        <v>.</v>
      </c>
      <c r="B4929" s="244" t="str">
        <f t="shared" si="76"/>
        <v>Total Knee ReplacementProviderSPIRE CHESHIRE HOSPITAL (NT324)EQ VAS</v>
      </c>
      <c r="C4929" t="s">
        <v>975</v>
      </c>
      <c r="D4929" t="s">
        <v>965</v>
      </c>
      <c r="E4929" t="s">
        <v>536</v>
      </c>
      <c r="F4929" t="s">
        <v>537</v>
      </c>
      <c r="G4929" t="s">
        <v>752</v>
      </c>
      <c r="H4929">
        <v>31</v>
      </c>
      <c r="I4929">
        <v>75.064499999999995</v>
      </c>
      <c r="J4929">
        <v>84.645200000000003</v>
      </c>
      <c r="K4929">
        <v>9.5806500000000003</v>
      </c>
      <c r="L4929">
        <v>20</v>
      </c>
      <c r="M4929">
        <v>5</v>
      </c>
      <c r="N4929">
        <v>6</v>
      </c>
      <c r="O4929">
        <v>79.367999999999995</v>
      </c>
      <c r="P4929">
        <v>14.0623</v>
      </c>
      <c r="Q4929">
        <v>9.20763</v>
      </c>
    </row>
    <row r="4930" spans="1:17" x14ac:dyDescent="0.25">
      <c r="A4930" t="str">
        <f>IF(C4930&amp;G4930&amp;D4930&lt;&gt;'Funnel setup'!$K$3&amp;'Funnel setup'!$K$4&amp;'Funnel setup'!$K$6,".",IF(A4929=".",1,A4929+1))</f>
        <v>.</v>
      </c>
      <c r="B4930" s="244" t="str">
        <f t="shared" ref="B4930:B4993" si="77">C4930&amp;D4930&amp;F4930&amp;G4930</f>
        <v>Total Knee ReplacementProviderSPIRE CLARE PARK HOSPITAL (NT345)EQ VAS</v>
      </c>
      <c r="C4930" t="s">
        <v>975</v>
      </c>
      <c r="D4930" t="s">
        <v>965</v>
      </c>
      <c r="E4930" t="s">
        <v>538</v>
      </c>
      <c r="F4930" t="s">
        <v>539</v>
      </c>
      <c r="G4930" t="s">
        <v>752</v>
      </c>
      <c r="H4930">
        <v>15</v>
      </c>
      <c r="I4930">
        <v>73.8</v>
      </c>
      <c r="J4930">
        <v>74.933300000000003</v>
      </c>
      <c r="K4930">
        <v>1.1333299999999999</v>
      </c>
      <c r="L4930">
        <v>4</v>
      </c>
      <c r="M4930">
        <v>5</v>
      </c>
      <c r="N4930">
        <v>6</v>
      </c>
      <c r="O4930" t="s">
        <v>127</v>
      </c>
      <c r="P4930" t="s">
        <v>127</v>
      </c>
      <c r="Q4930" t="s">
        <v>127</v>
      </c>
    </row>
    <row r="4931" spans="1:17" x14ac:dyDescent="0.25">
      <c r="A4931" t="str">
        <f>IF(C4931&amp;G4931&amp;D4931&lt;&gt;'Funnel setup'!$K$3&amp;'Funnel setup'!$K$4&amp;'Funnel setup'!$K$6,".",IF(A4930=".",1,A4930+1))</f>
        <v>.</v>
      </c>
      <c r="B4931" s="244" t="str">
        <f t="shared" si="77"/>
        <v>Total Knee ReplacementProviderSPIRE DUNEDIN HOSPITAL (NT344)EQ VAS</v>
      </c>
      <c r="C4931" t="s">
        <v>975</v>
      </c>
      <c r="D4931" t="s">
        <v>965</v>
      </c>
      <c r="E4931" t="s">
        <v>540</v>
      </c>
      <c r="F4931" t="s">
        <v>541</v>
      </c>
      <c r="G4931" t="s">
        <v>752</v>
      </c>
      <c r="H4931">
        <v>2</v>
      </c>
      <c r="I4931">
        <v>72.5</v>
      </c>
      <c r="J4931">
        <v>55</v>
      </c>
      <c r="K4931">
        <v>-17.5</v>
      </c>
      <c r="L4931">
        <v>1</v>
      </c>
      <c r="M4931">
        <v>0</v>
      </c>
      <c r="N4931">
        <v>1</v>
      </c>
      <c r="O4931" t="s">
        <v>127</v>
      </c>
      <c r="P4931" t="s">
        <v>127</v>
      </c>
      <c r="Q4931" t="s">
        <v>127</v>
      </c>
    </row>
    <row r="4932" spans="1:17" x14ac:dyDescent="0.25">
      <c r="A4932" t="str">
        <f>IF(C4932&amp;G4932&amp;D4932&lt;&gt;'Funnel setup'!$K$3&amp;'Funnel setup'!$K$4&amp;'Funnel setup'!$K$6,".",IF(A4931=".",1,A4931+1))</f>
        <v>.</v>
      </c>
      <c r="B4932" s="244" t="str">
        <f t="shared" si="77"/>
        <v>Total Knee ReplacementProviderSPIRE ELLAND HOSPITAL (NT348)EQ VAS</v>
      </c>
      <c r="C4932" t="s">
        <v>975</v>
      </c>
      <c r="D4932" t="s">
        <v>965</v>
      </c>
      <c r="E4932" t="s">
        <v>542</v>
      </c>
      <c r="F4932" t="s">
        <v>543</v>
      </c>
      <c r="G4932" t="s">
        <v>752</v>
      </c>
      <c r="H4932">
        <v>19</v>
      </c>
      <c r="I4932">
        <v>79.157899999999998</v>
      </c>
      <c r="J4932">
        <v>75.368399999999994</v>
      </c>
      <c r="K4932">
        <v>-3.7894700000000001</v>
      </c>
      <c r="L4932">
        <v>8</v>
      </c>
      <c r="M4932">
        <v>0</v>
      </c>
      <c r="N4932">
        <v>11</v>
      </c>
      <c r="O4932" t="s">
        <v>127</v>
      </c>
      <c r="P4932" t="s">
        <v>127</v>
      </c>
      <c r="Q4932" t="s">
        <v>127</v>
      </c>
    </row>
    <row r="4933" spans="1:17" x14ac:dyDescent="0.25">
      <c r="A4933" t="str">
        <f>IF(C4933&amp;G4933&amp;D4933&lt;&gt;'Funnel setup'!$K$3&amp;'Funnel setup'!$K$4&amp;'Funnel setup'!$K$6,".",IF(A4932=".",1,A4932+1))</f>
        <v>.</v>
      </c>
      <c r="B4933" s="244" t="str">
        <f t="shared" si="77"/>
        <v>Total Knee ReplacementProviderSPIRE FYLDE COAST HOSPITAL (NT347)EQ VAS</v>
      </c>
      <c r="C4933" t="s">
        <v>975</v>
      </c>
      <c r="D4933" t="s">
        <v>965</v>
      </c>
      <c r="E4933" t="s">
        <v>544</v>
      </c>
      <c r="F4933" t="s">
        <v>545</v>
      </c>
      <c r="G4933" t="s">
        <v>752</v>
      </c>
      <c r="H4933">
        <v>27</v>
      </c>
      <c r="I4933">
        <v>75.142899999999997</v>
      </c>
      <c r="J4933">
        <v>72.892899999999997</v>
      </c>
      <c r="K4933">
        <v>-2.25</v>
      </c>
      <c r="L4933">
        <v>12</v>
      </c>
      <c r="M4933">
        <v>4</v>
      </c>
      <c r="N4933">
        <v>11</v>
      </c>
      <c r="O4933" t="s">
        <v>127</v>
      </c>
      <c r="P4933" t="s">
        <v>127</v>
      </c>
      <c r="Q4933" t="s">
        <v>127</v>
      </c>
    </row>
    <row r="4934" spans="1:17" x14ac:dyDescent="0.25">
      <c r="A4934" t="str">
        <f>IF(C4934&amp;G4934&amp;D4934&lt;&gt;'Funnel setup'!$K$3&amp;'Funnel setup'!$K$4&amp;'Funnel setup'!$K$6,".",IF(A4933=".",1,A4933+1))</f>
        <v>.</v>
      </c>
      <c r="B4934" s="244" t="str">
        <f t="shared" si="77"/>
        <v>Total Knee ReplacementProviderSPIRE GATWICK PARK HOSPITAL (NT308)EQ VAS</v>
      </c>
      <c r="C4934" t="s">
        <v>975</v>
      </c>
      <c r="D4934" t="s">
        <v>965</v>
      </c>
      <c r="E4934" t="s">
        <v>546</v>
      </c>
      <c r="F4934" t="s">
        <v>547</v>
      </c>
      <c r="G4934" t="s">
        <v>752</v>
      </c>
      <c r="H4934">
        <v>6</v>
      </c>
      <c r="I4934">
        <v>71.5</v>
      </c>
      <c r="J4934">
        <v>68.333299999999994</v>
      </c>
      <c r="K4934">
        <v>-3.1666699999999999</v>
      </c>
      <c r="L4934">
        <v>3</v>
      </c>
      <c r="M4934">
        <v>1</v>
      </c>
      <c r="N4934">
        <v>2</v>
      </c>
      <c r="O4934" t="s">
        <v>127</v>
      </c>
      <c r="P4934" t="s">
        <v>127</v>
      </c>
      <c r="Q4934" t="s">
        <v>127</v>
      </c>
    </row>
    <row r="4935" spans="1:17" x14ac:dyDescent="0.25">
      <c r="A4935" t="str">
        <f>IF(C4935&amp;G4935&amp;D4935&lt;&gt;'Funnel setup'!$K$3&amp;'Funnel setup'!$K$4&amp;'Funnel setup'!$K$6,".",IF(A4934=".",1,A4934+1))</f>
        <v>.</v>
      </c>
      <c r="B4935" s="244" t="str">
        <f t="shared" si="77"/>
        <v>Total Knee ReplacementProviderSPIRE HARPENDEN HOSPITAL (NT316)EQ VAS</v>
      </c>
      <c r="C4935" t="s">
        <v>975</v>
      </c>
      <c r="D4935" t="s">
        <v>965</v>
      </c>
      <c r="E4935" t="s">
        <v>548</v>
      </c>
      <c r="F4935" t="s">
        <v>549</v>
      </c>
      <c r="G4935" t="s">
        <v>752</v>
      </c>
      <c r="H4935">
        <v>19</v>
      </c>
      <c r="I4935">
        <v>73.947400000000002</v>
      </c>
      <c r="J4935">
        <v>70.1053</v>
      </c>
      <c r="K4935">
        <v>-3.8421099999999999</v>
      </c>
      <c r="L4935">
        <v>7</v>
      </c>
      <c r="M4935">
        <v>4</v>
      </c>
      <c r="N4935">
        <v>8</v>
      </c>
      <c r="O4935" t="s">
        <v>127</v>
      </c>
      <c r="P4935" t="s">
        <v>127</v>
      </c>
      <c r="Q4935" t="s">
        <v>127</v>
      </c>
    </row>
    <row r="4936" spans="1:17" x14ac:dyDescent="0.25">
      <c r="A4936" t="str">
        <f>IF(C4936&amp;G4936&amp;D4936&lt;&gt;'Funnel setup'!$K$3&amp;'Funnel setup'!$K$4&amp;'Funnel setup'!$K$6,".",IF(A4935=".",1,A4935+1))</f>
        <v>.</v>
      </c>
      <c r="B4936" s="244" t="str">
        <f t="shared" si="77"/>
        <v>Total Knee ReplacementProviderSPIRE HARTSWOOD HOSPITAL (NT319)EQ VAS</v>
      </c>
      <c r="C4936" t="s">
        <v>975</v>
      </c>
      <c r="D4936" t="s">
        <v>965</v>
      </c>
      <c r="E4936" t="s">
        <v>550</v>
      </c>
      <c r="F4936" t="s">
        <v>551</v>
      </c>
      <c r="G4936" t="s">
        <v>752</v>
      </c>
      <c r="H4936">
        <v>12</v>
      </c>
      <c r="I4936">
        <v>62.5</v>
      </c>
      <c r="J4936">
        <v>68.583299999999994</v>
      </c>
      <c r="K4936">
        <v>6.0833300000000001</v>
      </c>
      <c r="L4936">
        <v>7</v>
      </c>
      <c r="M4936">
        <v>2</v>
      </c>
      <c r="N4936">
        <v>3</v>
      </c>
      <c r="O4936" t="s">
        <v>127</v>
      </c>
      <c r="P4936" t="s">
        <v>127</v>
      </c>
      <c r="Q4936" t="s">
        <v>127</v>
      </c>
    </row>
    <row r="4937" spans="1:17" x14ac:dyDescent="0.25">
      <c r="A4937" t="str">
        <f>IF(C4937&amp;G4937&amp;D4937&lt;&gt;'Funnel setup'!$K$3&amp;'Funnel setup'!$K$4&amp;'Funnel setup'!$K$6,".",IF(A4936=".",1,A4936+1))</f>
        <v>.</v>
      </c>
      <c r="B4937" s="244" t="str">
        <f t="shared" si="77"/>
        <v>Total Knee ReplacementProviderSPIRE HULL AND EAST RIDING HOSPITAL (NT351)EQ VAS</v>
      </c>
      <c r="C4937" t="s">
        <v>975</v>
      </c>
      <c r="D4937" t="s">
        <v>965</v>
      </c>
      <c r="E4937" t="s">
        <v>554</v>
      </c>
      <c r="F4937" t="s">
        <v>555</v>
      </c>
      <c r="G4937" t="s">
        <v>752</v>
      </c>
      <c r="H4937">
        <v>37</v>
      </c>
      <c r="I4937">
        <v>64.756799999999998</v>
      </c>
      <c r="J4937">
        <v>71.621600000000001</v>
      </c>
      <c r="K4937">
        <v>6.8648600000000002</v>
      </c>
      <c r="L4937">
        <v>25</v>
      </c>
      <c r="M4937">
        <v>2</v>
      </c>
      <c r="N4937">
        <v>10</v>
      </c>
      <c r="O4937">
        <v>71.141099999999994</v>
      </c>
      <c r="P4937">
        <v>5.8353900000000003</v>
      </c>
      <c r="Q4937">
        <v>15.267899999999999</v>
      </c>
    </row>
    <row r="4938" spans="1:17" x14ac:dyDescent="0.25">
      <c r="A4938" t="str">
        <f>IF(C4938&amp;G4938&amp;D4938&lt;&gt;'Funnel setup'!$K$3&amp;'Funnel setup'!$K$4&amp;'Funnel setup'!$K$6,".",IF(A4937=".",1,A4937+1))</f>
        <v>.</v>
      </c>
      <c r="B4938" s="244" t="str">
        <f t="shared" si="77"/>
        <v>Total Knee ReplacementProviderSPIRE LEEDS HOSPITAL (NT332)EQ VAS</v>
      </c>
      <c r="C4938" t="s">
        <v>975</v>
      </c>
      <c r="D4938" t="s">
        <v>965</v>
      </c>
      <c r="E4938" t="s">
        <v>556</v>
      </c>
      <c r="F4938" t="s">
        <v>557</v>
      </c>
      <c r="G4938" t="s">
        <v>752</v>
      </c>
      <c r="H4938">
        <v>14</v>
      </c>
      <c r="I4938">
        <v>72.571399999999997</v>
      </c>
      <c r="J4938">
        <v>79.142899999999997</v>
      </c>
      <c r="K4938">
        <v>6.5714300000000003</v>
      </c>
      <c r="L4938">
        <v>8</v>
      </c>
      <c r="M4938">
        <v>0</v>
      </c>
      <c r="N4938">
        <v>6</v>
      </c>
      <c r="O4938" t="s">
        <v>127</v>
      </c>
      <c r="P4938" t="s">
        <v>127</v>
      </c>
      <c r="Q4938" t="s">
        <v>127</v>
      </c>
    </row>
    <row r="4939" spans="1:17" x14ac:dyDescent="0.25">
      <c r="A4939" t="str">
        <f>IF(C4939&amp;G4939&amp;D4939&lt;&gt;'Funnel setup'!$K$3&amp;'Funnel setup'!$K$4&amp;'Funnel setup'!$K$6,".",IF(A4938=".",1,A4938+1))</f>
        <v>.</v>
      </c>
      <c r="B4939" s="244" t="str">
        <f t="shared" si="77"/>
        <v>Total Knee ReplacementProviderSPIRE LEICESTER HOSPITAL (NT322)EQ VAS</v>
      </c>
      <c r="C4939" t="s">
        <v>975</v>
      </c>
      <c r="D4939" t="s">
        <v>965</v>
      </c>
      <c r="E4939" t="s">
        <v>558</v>
      </c>
      <c r="F4939" t="s">
        <v>559</v>
      </c>
      <c r="G4939" t="s">
        <v>752</v>
      </c>
      <c r="H4939">
        <v>58</v>
      </c>
      <c r="I4939">
        <v>66.103399999999993</v>
      </c>
      <c r="J4939">
        <v>77.689700000000002</v>
      </c>
      <c r="K4939">
        <v>11.5862</v>
      </c>
      <c r="L4939">
        <v>39</v>
      </c>
      <c r="M4939">
        <v>3</v>
      </c>
      <c r="N4939">
        <v>16</v>
      </c>
      <c r="O4939">
        <v>76.858900000000006</v>
      </c>
      <c r="P4939">
        <v>11.553100000000001</v>
      </c>
      <c r="Q4939">
        <v>11.310600000000001</v>
      </c>
    </row>
    <row r="4940" spans="1:17" x14ac:dyDescent="0.25">
      <c r="A4940" t="str">
        <f>IF(C4940&amp;G4940&amp;D4940&lt;&gt;'Funnel setup'!$K$3&amp;'Funnel setup'!$K$4&amp;'Funnel setup'!$K$6,".",IF(A4939=".",1,A4939+1))</f>
        <v>.</v>
      </c>
      <c r="B4940" s="244" t="str">
        <f t="shared" si="77"/>
        <v>Total Knee ReplacementProviderSPIRE LITTLE ASTON HOSPITAL (NT321)EQ VAS</v>
      </c>
      <c r="C4940" t="s">
        <v>975</v>
      </c>
      <c r="D4940" t="s">
        <v>965</v>
      </c>
      <c r="E4940" t="s">
        <v>560</v>
      </c>
      <c r="F4940" t="s">
        <v>561</v>
      </c>
      <c r="G4940" t="s">
        <v>752</v>
      </c>
      <c r="H4940">
        <v>21</v>
      </c>
      <c r="I4940">
        <v>69.1905</v>
      </c>
      <c r="J4940">
        <v>78.8095</v>
      </c>
      <c r="K4940">
        <v>9.6190499999999997</v>
      </c>
      <c r="L4940">
        <v>14</v>
      </c>
      <c r="M4940">
        <v>3</v>
      </c>
      <c r="N4940">
        <v>4</v>
      </c>
      <c r="O4940" t="s">
        <v>127</v>
      </c>
      <c r="P4940" t="s">
        <v>127</v>
      </c>
      <c r="Q4940" t="s">
        <v>127</v>
      </c>
    </row>
    <row r="4941" spans="1:17" x14ac:dyDescent="0.25">
      <c r="A4941" t="str">
        <f>IF(C4941&amp;G4941&amp;D4941&lt;&gt;'Funnel setup'!$K$3&amp;'Funnel setup'!$K$4&amp;'Funnel setup'!$K$6,".",IF(A4940=".",1,A4940+1))</f>
        <v>.</v>
      </c>
      <c r="B4941" s="244" t="str">
        <f t="shared" si="77"/>
        <v>Total Knee ReplacementProviderSPIRE LIVERPOOL HOSPITAL (NT337)EQ VAS</v>
      </c>
      <c r="C4941" t="s">
        <v>975</v>
      </c>
      <c r="D4941" t="s">
        <v>965</v>
      </c>
      <c r="E4941" t="s">
        <v>562</v>
      </c>
      <c r="F4941" t="s">
        <v>563</v>
      </c>
      <c r="G4941" t="s">
        <v>752</v>
      </c>
      <c r="H4941">
        <v>13</v>
      </c>
      <c r="I4941">
        <v>70.846199999999996</v>
      </c>
      <c r="J4941">
        <v>74.538499999999999</v>
      </c>
      <c r="K4941">
        <v>3.69231</v>
      </c>
      <c r="L4941">
        <v>6</v>
      </c>
      <c r="M4941">
        <v>0</v>
      </c>
      <c r="N4941">
        <v>7</v>
      </c>
      <c r="O4941" t="s">
        <v>127</v>
      </c>
      <c r="P4941" t="s">
        <v>127</v>
      </c>
      <c r="Q4941" t="s">
        <v>127</v>
      </c>
    </row>
    <row r="4942" spans="1:17" x14ac:dyDescent="0.25">
      <c r="A4942" t="str">
        <f>IF(C4942&amp;G4942&amp;D4942&lt;&gt;'Funnel setup'!$K$3&amp;'Funnel setup'!$K$4&amp;'Funnel setup'!$K$6,".",IF(A4941=".",1,A4941+1))</f>
        <v>.</v>
      </c>
      <c r="B4942" s="244" t="str">
        <f t="shared" si="77"/>
        <v>Total Knee ReplacementProviderSPIRE MANCHESTER HOSPITAL (NT327)EQ VAS</v>
      </c>
      <c r="C4942" t="s">
        <v>975</v>
      </c>
      <c r="D4942" t="s">
        <v>965</v>
      </c>
      <c r="E4942" t="s">
        <v>566</v>
      </c>
      <c r="F4942" t="s">
        <v>567</v>
      </c>
      <c r="G4942" t="s">
        <v>752</v>
      </c>
      <c r="H4942">
        <v>37</v>
      </c>
      <c r="I4942">
        <v>68.054100000000005</v>
      </c>
      <c r="J4942">
        <v>74.567599999999999</v>
      </c>
      <c r="K4942">
        <v>6.5135100000000001</v>
      </c>
      <c r="L4942">
        <v>21</v>
      </c>
      <c r="M4942">
        <v>3</v>
      </c>
      <c r="N4942">
        <v>13</v>
      </c>
      <c r="O4942">
        <v>73.437899999999999</v>
      </c>
      <c r="P4942">
        <v>8.1321700000000003</v>
      </c>
      <c r="Q4942">
        <v>14.3505</v>
      </c>
    </row>
    <row r="4943" spans="1:17" x14ac:dyDescent="0.25">
      <c r="A4943" t="str">
        <f>IF(C4943&amp;G4943&amp;D4943&lt;&gt;'Funnel setup'!$K$3&amp;'Funnel setup'!$K$4&amp;'Funnel setup'!$K$6,".",IF(A4942=".",1,A4942+1))</f>
        <v>.</v>
      </c>
      <c r="B4943" s="244" t="str">
        <f t="shared" si="77"/>
        <v>Total Knee ReplacementProviderSPIRE METHLEY PARK HOSPITAL (NT350)EQ VAS</v>
      </c>
      <c r="C4943" t="s">
        <v>975</v>
      </c>
      <c r="D4943" t="s">
        <v>965</v>
      </c>
      <c r="E4943" t="s">
        <v>568</v>
      </c>
      <c r="F4943" t="s">
        <v>569</v>
      </c>
      <c r="G4943" t="s">
        <v>752</v>
      </c>
      <c r="H4943">
        <v>32</v>
      </c>
      <c r="I4943">
        <v>69.093800000000002</v>
      </c>
      <c r="J4943">
        <v>81.9375</v>
      </c>
      <c r="K4943">
        <v>12.8438</v>
      </c>
      <c r="L4943">
        <v>26</v>
      </c>
      <c r="M4943">
        <v>2</v>
      </c>
      <c r="N4943">
        <v>4</v>
      </c>
      <c r="O4943">
        <v>78.505899999999997</v>
      </c>
      <c r="P4943">
        <v>13.200100000000001</v>
      </c>
      <c r="Q4943">
        <v>13.428100000000001</v>
      </c>
    </row>
    <row r="4944" spans="1:17" x14ac:dyDescent="0.25">
      <c r="A4944" t="str">
        <f>IF(C4944&amp;G4944&amp;D4944&lt;&gt;'Funnel setup'!$K$3&amp;'Funnel setup'!$K$4&amp;'Funnel setup'!$K$6,".",IF(A4943=".",1,A4943+1))</f>
        <v>.</v>
      </c>
      <c r="B4944" s="244" t="str">
        <f t="shared" si="77"/>
        <v>Total Knee ReplacementProviderSPIRE MONTEFIORE HOSPITAL (NT364)EQ VAS</v>
      </c>
      <c r="C4944" t="s">
        <v>975</v>
      </c>
      <c r="D4944" t="s">
        <v>965</v>
      </c>
      <c r="E4944" t="s">
        <v>570</v>
      </c>
      <c r="F4944" t="s">
        <v>571</v>
      </c>
      <c r="G4944" t="s">
        <v>752</v>
      </c>
      <c r="H4944">
        <v>10</v>
      </c>
      <c r="I4944">
        <v>71.7</v>
      </c>
      <c r="J4944">
        <v>81.2</v>
      </c>
      <c r="K4944">
        <v>9.5</v>
      </c>
      <c r="L4944">
        <v>8</v>
      </c>
      <c r="M4944">
        <v>0</v>
      </c>
      <c r="N4944">
        <v>2</v>
      </c>
      <c r="O4944" t="s">
        <v>127</v>
      </c>
      <c r="P4944" t="s">
        <v>127</v>
      </c>
      <c r="Q4944" t="s">
        <v>127</v>
      </c>
    </row>
    <row r="4945" spans="1:17" x14ac:dyDescent="0.25">
      <c r="A4945" t="str">
        <f>IF(C4945&amp;G4945&amp;D4945&lt;&gt;'Funnel setup'!$K$3&amp;'Funnel setup'!$K$4&amp;'Funnel setup'!$K$6,".",IF(A4944=".",1,A4944+1))</f>
        <v>.</v>
      </c>
      <c r="B4945" s="244" t="str">
        <f t="shared" si="77"/>
        <v>Total Knee ReplacementProviderSPIRE MURRAYFIELD HOSPITAL (NT325)EQ VAS</v>
      </c>
      <c r="C4945" t="s">
        <v>975</v>
      </c>
      <c r="D4945" t="s">
        <v>965</v>
      </c>
      <c r="E4945" t="s">
        <v>572</v>
      </c>
      <c r="F4945" t="s">
        <v>573</v>
      </c>
      <c r="G4945" t="s">
        <v>752</v>
      </c>
      <c r="H4945">
        <v>3</v>
      </c>
      <c r="I4945">
        <v>65.333299999999994</v>
      </c>
      <c r="J4945">
        <v>87.333299999999994</v>
      </c>
      <c r="K4945">
        <v>22</v>
      </c>
      <c r="L4945">
        <v>3</v>
      </c>
      <c r="M4945">
        <v>0</v>
      </c>
      <c r="N4945">
        <v>0</v>
      </c>
      <c r="O4945" t="s">
        <v>127</v>
      </c>
      <c r="P4945" t="s">
        <v>127</v>
      </c>
      <c r="Q4945" t="s">
        <v>127</v>
      </c>
    </row>
    <row r="4946" spans="1:17" x14ac:dyDescent="0.25">
      <c r="A4946" t="str">
        <f>IF(C4946&amp;G4946&amp;D4946&lt;&gt;'Funnel setup'!$K$3&amp;'Funnel setup'!$K$4&amp;'Funnel setup'!$K$6,".",IF(A4945=".",1,A4945+1))</f>
        <v>.</v>
      </c>
      <c r="B4946" s="244" t="str">
        <f t="shared" si="77"/>
        <v>Total Knee ReplacementProviderSPIRE NOTTINGHAM HOSPITAL (NT30A)EQ VAS</v>
      </c>
      <c r="C4946" t="s">
        <v>975</v>
      </c>
      <c r="D4946" t="s">
        <v>965</v>
      </c>
      <c r="E4946" t="s">
        <v>576</v>
      </c>
      <c r="F4946" t="s">
        <v>577</v>
      </c>
      <c r="G4946" t="s">
        <v>752</v>
      </c>
      <c r="H4946">
        <v>10</v>
      </c>
      <c r="I4946">
        <v>75.3</v>
      </c>
      <c r="J4946">
        <v>80</v>
      </c>
      <c r="K4946">
        <v>4.7</v>
      </c>
      <c r="L4946">
        <v>7</v>
      </c>
      <c r="M4946">
        <v>0</v>
      </c>
      <c r="N4946">
        <v>3</v>
      </c>
      <c r="O4946" t="s">
        <v>127</v>
      </c>
      <c r="P4946" t="s">
        <v>127</v>
      </c>
      <c r="Q4946" t="s">
        <v>127</v>
      </c>
    </row>
    <row r="4947" spans="1:17" x14ac:dyDescent="0.25">
      <c r="A4947" t="str">
        <f>IF(C4947&amp;G4947&amp;D4947&lt;&gt;'Funnel setup'!$K$3&amp;'Funnel setup'!$K$4&amp;'Funnel setup'!$K$6,".",IF(A4946=".",1,A4946+1))</f>
        <v>.</v>
      </c>
      <c r="B4947" s="244" t="str">
        <f t="shared" si="77"/>
        <v>Total Knee ReplacementProviderSPIRE PARKWAY HOSPITAL (NT320)EQ VAS</v>
      </c>
      <c r="C4947" t="s">
        <v>975</v>
      </c>
      <c r="D4947" t="s">
        <v>965</v>
      </c>
      <c r="E4947" t="s">
        <v>578</v>
      </c>
      <c r="F4947" t="s">
        <v>579</v>
      </c>
      <c r="G4947" t="s">
        <v>752</v>
      </c>
      <c r="H4947">
        <v>16</v>
      </c>
      <c r="I4947">
        <v>66</v>
      </c>
      <c r="J4947">
        <v>76.875</v>
      </c>
      <c r="K4947">
        <v>10.875</v>
      </c>
      <c r="L4947">
        <v>11</v>
      </c>
      <c r="M4947">
        <v>1</v>
      </c>
      <c r="N4947">
        <v>4</v>
      </c>
      <c r="O4947" t="s">
        <v>127</v>
      </c>
      <c r="P4947" t="s">
        <v>127</v>
      </c>
      <c r="Q4947" t="s">
        <v>127</v>
      </c>
    </row>
    <row r="4948" spans="1:17" x14ac:dyDescent="0.25">
      <c r="A4948" t="str">
        <f>IF(C4948&amp;G4948&amp;D4948&lt;&gt;'Funnel setup'!$K$3&amp;'Funnel setup'!$K$4&amp;'Funnel setup'!$K$6,".",IF(A4947=".",1,A4947+1))</f>
        <v>.</v>
      </c>
      <c r="B4948" s="244" t="str">
        <f t="shared" si="77"/>
        <v>Total Knee ReplacementProviderSPIRE PORTSMOUTH HOSPITAL (NT305)EQ VAS</v>
      </c>
      <c r="C4948" t="s">
        <v>975</v>
      </c>
      <c r="D4948" t="s">
        <v>965</v>
      </c>
      <c r="E4948" t="s">
        <v>580</v>
      </c>
      <c r="F4948" t="s">
        <v>581</v>
      </c>
      <c r="G4948" t="s">
        <v>752</v>
      </c>
      <c r="H4948">
        <v>15</v>
      </c>
      <c r="I4948">
        <v>71.2</v>
      </c>
      <c r="J4948">
        <v>69.333299999999994</v>
      </c>
      <c r="K4948">
        <v>-1.8666700000000001</v>
      </c>
      <c r="L4948">
        <v>8</v>
      </c>
      <c r="M4948">
        <v>2</v>
      </c>
      <c r="N4948">
        <v>5</v>
      </c>
      <c r="O4948" t="s">
        <v>127</v>
      </c>
      <c r="P4948" t="s">
        <v>127</v>
      </c>
      <c r="Q4948" t="s">
        <v>127</v>
      </c>
    </row>
    <row r="4949" spans="1:17" x14ac:dyDescent="0.25">
      <c r="A4949" t="str">
        <f>IF(C4949&amp;G4949&amp;D4949&lt;&gt;'Funnel setup'!$K$3&amp;'Funnel setup'!$K$4&amp;'Funnel setup'!$K$6,".",IF(A4948=".",1,A4948+1))</f>
        <v>.</v>
      </c>
      <c r="B4949" s="244" t="str">
        <f t="shared" si="77"/>
        <v>Total Knee ReplacementProviderSPIRE REGENCY HOSPITAL (NT339)EQ VAS</v>
      </c>
      <c r="C4949" t="s">
        <v>975</v>
      </c>
      <c r="D4949" t="s">
        <v>965</v>
      </c>
      <c r="E4949" t="s">
        <v>582</v>
      </c>
      <c r="F4949" t="s">
        <v>583</v>
      </c>
      <c r="G4949" t="s">
        <v>752</v>
      </c>
      <c r="H4949">
        <v>43</v>
      </c>
      <c r="I4949">
        <v>73.465100000000007</v>
      </c>
      <c r="J4949">
        <v>77.767399999999995</v>
      </c>
      <c r="K4949">
        <v>4.3023300000000004</v>
      </c>
      <c r="L4949">
        <v>25</v>
      </c>
      <c r="M4949">
        <v>4</v>
      </c>
      <c r="N4949">
        <v>14</v>
      </c>
      <c r="O4949">
        <v>72.790700000000001</v>
      </c>
      <c r="P4949">
        <v>7.4849600000000001</v>
      </c>
      <c r="Q4949">
        <v>14.077199999999999</v>
      </c>
    </row>
    <row r="4950" spans="1:17" x14ac:dyDescent="0.25">
      <c r="A4950" t="str">
        <f>IF(C4950&amp;G4950&amp;D4950&lt;&gt;'Funnel setup'!$K$3&amp;'Funnel setup'!$K$4&amp;'Funnel setup'!$K$6,".",IF(A4949=".",1,A4949+1))</f>
        <v>.</v>
      </c>
      <c r="B4950" s="244" t="str">
        <f t="shared" si="77"/>
        <v>Total Knee ReplacementProviderSPIRE SOUTHAMPTON HOSPITAL (NT304)EQ VAS</v>
      </c>
      <c r="C4950" t="s">
        <v>975</v>
      </c>
      <c r="D4950" t="s">
        <v>965</v>
      </c>
      <c r="E4950" t="s">
        <v>586</v>
      </c>
      <c r="F4950" t="s">
        <v>587</v>
      </c>
      <c r="G4950" t="s">
        <v>752</v>
      </c>
      <c r="H4950">
        <v>20</v>
      </c>
      <c r="I4950">
        <v>70.95</v>
      </c>
      <c r="J4950">
        <v>77.7</v>
      </c>
      <c r="K4950">
        <v>6.75</v>
      </c>
      <c r="L4950">
        <v>14</v>
      </c>
      <c r="M4950">
        <v>1</v>
      </c>
      <c r="N4950">
        <v>5</v>
      </c>
      <c r="O4950" t="s">
        <v>127</v>
      </c>
      <c r="P4950" t="s">
        <v>127</v>
      </c>
      <c r="Q4950" t="s">
        <v>127</v>
      </c>
    </row>
    <row r="4951" spans="1:17" x14ac:dyDescent="0.25">
      <c r="A4951" t="str">
        <f>IF(C4951&amp;G4951&amp;D4951&lt;&gt;'Funnel setup'!$K$3&amp;'Funnel setup'!$K$4&amp;'Funnel setup'!$K$6,".",IF(A4950=".",1,A4950+1))</f>
        <v>.</v>
      </c>
      <c r="B4951" s="244" t="str">
        <f t="shared" si="77"/>
        <v>Total Knee ReplacementProviderSPIRE ST ANTHONY'S HOSPITAL (NT3X3)EQ VAS</v>
      </c>
      <c r="C4951" t="s">
        <v>975</v>
      </c>
      <c r="D4951" t="s">
        <v>965</v>
      </c>
      <c r="E4951" t="s">
        <v>588</v>
      </c>
      <c r="F4951" t="s">
        <v>589</v>
      </c>
      <c r="G4951" t="s">
        <v>752</v>
      </c>
      <c r="H4951">
        <v>4</v>
      </c>
      <c r="I4951">
        <v>65</v>
      </c>
      <c r="J4951">
        <v>73.75</v>
      </c>
      <c r="K4951">
        <v>8.75</v>
      </c>
      <c r="L4951">
        <v>3</v>
      </c>
      <c r="M4951">
        <v>0</v>
      </c>
      <c r="N4951">
        <v>1</v>
      </c>
      <c r="O4951" t="s">
        <v>127</v>
      </c>
      <c r="P4951" t="s">
        <v>127</v>
      </c>
      <c r="Q4951" t="s">
        <v>127</v>
      </c>
    </row>
    <row r="4952" spans="1:17" x14ac:dyDescent="0.25">
      <c r="A4952" t="str">
        <f>IF(C4952&amp;G4952&amp;D4952&lt;&gt;'Funnel setup'!$K$3&amp;'Funnel setup'!$K$4&amp;'Funnel setup'!$K$6,".",IF(A4951=".",1,A4951+1))</f>
        <v>.</v>
      </c>
      <c r="B4952" s="244" t="str">
        <f t="shared" si="77"/>
        <v>Total Knee ReplacementProviderSPIRE SUSSEX HOSPITAL (NT309)EQ VAS</v>
      </c>
      <c r="C4952" t="s">
        <v>975</v>
      </c>
      <c r="D4952" t="s">
        <v>965</v>
      </c>
      <c r="E4952" t="s">
        <v>590</v>
      </c>
      <c r="F4952" t="s">
        <v>591</v>
      </c>
      <c r="G4952" t="s">
        <v>752</v>
      </c>
      <c r="H4952">
        <v>24</v>
      </c>
      <c r="I4952">
        <v>71.208299999999994</v>
      </c>
      <c r="J4952">
        <v>77.25</v>
      </c>
      <c r="K4952">
        <v>6.0416699999999999</v>
      </c>
      <c r="L4952">
        <v>16</v>
      </c>
      <c r="M4952">
        <v>1</v>
      </c>
      <c r="N4952">
        <v>7</v>
      </c>
      <c r="O4952" t="s">
        <v>127</v>
      </c>
      <c r="P4952" t="s">
        <v>127</v>
      </c>
      <c r="Q4952" t="s">
        <v>127</v>
      </c>
    </row>
    <row r="4953" spans="1:17" x14ac:dyDescent="0.25">
      <c r="A4953" t="str">
        <f>IF(C4953&amp;G4953&amp;D4953&lt;&gt;'Funnel setup'!$K$3&amp;'Funnel setup'!$K$4&amp;'Funnel setup'!$K$6,".",IF(A4952=".",1,A4952+1))</f>
        <v>.</v>
      </c>
      <c r="B4953" s="244" t="str">
        <f t="shared" si="77"/>
        <v>Total Knee ReplacementProviderSPIRE THAMES VALLEY HOSPITAL (NT343)EQ VAS</v>
      </c>
      <c r="C4953" t="s">
        <v>975</v>
      </c>
      <c r="D4953" t="s">
        <v>965</v>
      </c>
      <c r="E4953" t="s">
        <v>592</v>
      </c>
      <c r="F4953" t="s">
        <v>593</v>
      </c>
      <c r="G4953" t="s">
        <v>752</v>
      </c>
      <c r="H4953">
        <v>1</v>
      </c>
      <c r="I4953">
        <v>75</v>
      </c>
      <c r="J4953">
        <v>81</v>
      </c>
      <c r="K4953">
        <v>6</v>
      </c>
      <c r="L4953">
        <v>1</v>
      </c>
      <c r="M4953">
        <v>0</v>
      </c>
      <c r="N4953">
        <v>0</v>
      </c>
      <c r="O4953" t="s">
        <v>127</v>
      </c>
      <c r="P4953" t="s">
        <v>127</v>
      </c>
      <c r="Q4953" t="s">
        <v>127</v>
      </c>
    </row>
    <row r="4954" spans="1:17" x14ac:dyDescent="0.25">
      <c r="A4954" t="str">
        <f>IF(C4954&amp;G4954&amp;D4954&lt;&gt;'Funnel setup'!$K$3&amp;'Funnel setup'!$K$4&amp;'Funnel setup'!$K$6,".",IF(A4953=".",1,A4953+1))</f>
        <v>.</v>
      </c>
      <c r="B4954" s="244" t="str">
        <f t="shared" si="77"/>
        <v>Total Knee ReplacementProviderSPIRE TUNBRIDGE WELLS HOSPITAL (NT310)EQ VAS</v>
      </c>
      <c r="C4954" t="s">
        <v>975</v>
      </c>
      <c r="D4954" t="s">
        <v>965</v>
      </c>
      <c r="E4954" t="s">
        <v>594</v>
      </c>
      <c r="F4954" t="s">
        <v>595</v>
      </c>
      <c r="G4954" t="s">
        <v>752</v>
      </c>
      <c r="H4954">
        <v>1</v>
      </c>
      <c r="I4954">
        <v>60</v>
      </c>
      <c r="J4954">
        <v>74</v>
      </c>
      <c r="K4954">
        <v>14</v>
      </c>
      <c r="L4954">
        <v>1</v>
      </c>
      <c r="M4954">
        <v>0</v>
      </c>
      <c r="N4954">
        <v>0</v>
      </c>
      <c r="O4954" t="s">
        <v>127</v>
      </c>
      <c r="P4954" t="s">
        <v>127</v>
      </c>
      <c r="Q4954" t="s">
        <v>127</v>
      </c>
    </row>
    <row r="4955" spans="1:17" x14ac:dyDescent="0.25">
      <c r="A4955" t="str">
        <f>IF(C4955&amp;G4955&amp;D4955&lt;&gt;'Funnel setup'!$K$3&amp;'Funnel setup'!$K$4&amp;'Funnel setup'!$K$6,".",IF(A4954=".",1,A4954+1))</f>
        <v>.</v>
      </c>
      <c r="B4955" s="244" t="str">
        <f t="shared" si="77"/>
        <v>Total Knee ReplacementProviderSPIRE WASHINGTON HOSPITAL (NT333)EQ VAS</v>
      </c>
      <c r="C4955" t="s">
        <v>975</v>
      </c>
      <c r="D4955" t="s">
        <v>965</v>
      </c>
      <c r="E4955" t="s">
        <v>596</v>
      </c>
      <c r="F4955" t="s">
        <v>597</v>
      </c>
      <c r="G4955" t="s">
        <v>752</v>
      </c>
      <c r="H4955">
        <v>101</v>
      </c>
      <c r="I4955">
        <v>70.883499999999998</v>
      </c>
      <c r="J4955">
        <v>76.553399999999996</v>
      </c>
      <c r="K4955">
        <v>5.6699000000000002</v>
      </c>
      <c r="L4955">
        <v>62</v>
      </c>
      <c r="M4955">
        <v>7</v>
      </c>
      <c r="N4955">
        <v>32</v>
      </c>
      <c r="O4955">
        <v>74.554699999999997</v>
      </c>
      <c r="P4955">
        <v>9.2489899999999992</v>
      </c>
      <c r="Q4955">
        <v>13.4895</v>
      </c>
    </row>
    <row r="4956" spans="1:17" x14ac:dyDescent="0.25">
      <c r="A4956" t="str">
        <f>IF(C4956&amp;G4956&amp;D4956&lt;&gt;'Funnel setup'!$K$3&amp;'Funnel setup'!$K$4&amp;'Funnel setup'!$K$6,".",IF(A4955=".",1,A4955+1))</f>
        <v>.</v>
      </c>
      <c r="B4956" s="244" t="str">
        <f t="shared" si="77"/>
        <v>Total Knee ReplacementProviderSPRINGFIELD HOSPITAL (NVC18)EQ VAS</v>
      </c>
      <c r="C4956" t="s">
        <v>975</v>
      </c>
      <c r="D4956" t="s">
        <v>965</v>
      </c>
      <c r="E4956" t="s">
        <v>602</v>
      </c>
      <c r="F4956" t="s">
        <v>603</v>
      </c>
      <c r="G4956" t="s">
        <v>752</v>
      </c>
      <c r="H4956">
        <v>87</v>
      </c>
      <c r="I4956">
        <v>69.818200000000004</v>
      </c>
      <c r="J4956">
        <v>77.568200000000004</v>
      </c>
      <c r="K4956">
        <v>7.75</v>
      </c>
      <c r="L4956">
        <v>57</v>
      </c>
      <c r="M4956">
        <v>8</v>
      </c>
      <c r="N4956">
        <v>22</v>
      </c>
      <c r="O4956">
        <v>73.758099999999999</v>
      </c>
      <c r="P4956">
        <v>8.4523600000000005</v>
      </c>
      <c r="Q4956">
        <v>14.6495</v>
      </c>
    </row>
    <row r="4957" spans="1:17" x14ac:dyDescent="0.25">
      <c r="A4957" t="str">
        <f>IF(C4957&amp;G4957&amp;D4957&lt;&gt;'Funnel setup'!$K$3&amp;'Funnel setup'!$K$4&amp;'Funnel setup'!$K$6,".",IF(A4956=".",1,A4956+1))</f>
        <v>.</v>
      </c>
      <c r="B4957" s="244" t="str">
        <f t="shared" si="77"/>
        <v>Total Knee ReplacementProviderST EDMUNDS HOSPITAL (NT446)EQ VAS</v>
      </c>
      <c r="C4957" t="s">
        <v>975</v>
      </c>
      <c r="D4957" t="s">
        <v>965</v>
      </c>
      <c r="E4957" t="s">
        <v>604</v>
      </c>
      <c r="F4957" t="s">
        <v>605</v>
      </c>
      <c r="G4957" t="s">
        <v>752</v>
      </c>
      <c r="H4957">
        <v>24</v>
      </c>
      <c r="I4957">
        <v>70.583299999999994</v>
      </c>
      <c r="J4957">
        <v>79.041700000000006</v>
      </c>
      <c r="K4957">
        <v>8.4583300000000001</v>
      </c>
      <c r="L4957">
        <v>18</v>
      </c>
      <c r="M4957">
        <v>2</v>
      </c>
      <c r="N4957">
        <v>4</v>
      </c>
      <c r="O4957" t="s">
        <v>127</v>
      </c>
      <c r="P4957" t="s">
        <v>127</v>
      </c>
      <c r="Q4957" t="s">
        <v>127</v>
      </c>
    </row>
    <row r="4958" spans="1:17" x14ac:dyDescent="0.25">
      <c r="A4958" t="str">
        <f>IF(C4958&amp;G4958&amp;D4958&lt;&gt;'Funnel setup'!$K$3&amp;'Funnel setup'!$K$4&amp;'Funnel setup'!$K$6,".",IF(A4957=".",1,A4957+1))</f>
        <v>.</v>
      </c>
      <c r="B4958" s="244" t="str">
        <f t="shared" si="77"/>
        <v>Total Knee ReplacementProviderST HELENS AND KNOWSLEY TEACHING HOSPITALS NHS TRUST (RBN)EQ VAS</v>
      </c>
      <c r="C4958" t="s">
        <v>975</v>
      </c>
      <c r="D4958" t="s">
        <v>965</v>
      </c>
      <c r="E4958" t="s">
        <v>608</v>
      </c>
      <c r="F4958" t="s">
        <v>609</v>
      </c>
      <c r="G4958" t="s">
        <v>752</v>
      </c>
      <c r="H4958">
        <v>62</v>
      </c>
      <c r="I4958">
        <v>66.919399999999996</v>
      </c>
      <c r="J4958">
        <v>70.790300000000002</v>
      </c>
      <c r="K4958">
        <v>3.8709699999999998</v>
      </c>
      <c r="L4958">
        <v>33</v>
      </c>
      <c r="M4958">
        <v>9</v>
      </c>
      <c r="N4958">
        <v>20</v>
      </c>
      <c r="O4958">
        <v>72.837100000000007</v>
      </c>
      <c r="P4958">
        <v>7.5314199999999998</v>
      </c>
      <c r="Q4958">
        <v>19.810400000000001</v>
      </c>
    </row>
    <row r="4959" spans="1:17" x14ac:dyDescent="0.25">
      <c r="A4959" t="str">
        <f>IF(C4959&amp;G4959&amp;D4959&lt;&gt;'Funnel setup'!$K$3&amp;'Funnel setup'!$K$4&amp;'Funnel setup'!$K$6,".",IF(A4958=".",1,A4958+1))</f>
        <v>.</v>
      </c>
      <c r="B4959" s="244" t="str">
        <f t="shared" si="77"/>
        <v>Total Knee ReplacementProviderST HUGH'S HOSPITAL (NTE02)EQ VAS</v>
      </c>
      <c r="C4959" t="s">
        <v>975</v>
      </c>
      <c r="D4959" t="s">
        <v>965</v>
      </c>
      <c r="E4959" t="s">
        <v>610</v>
      </c>
      <c r="F4959" t="s">
        <v>611</v>
      </c>
      <c r="G4959" t="s">
        <v>752</v>
      </c>
      <c r="H4959">
        <v>110</v>
      </c>
      <c r="I4959">
        <v>70.990899999999996</v>
      </c>
      <c r="J4959">
        <v>73.945499999999996</v>
      </c>
      <c r="K4959">
        <v>2.9545499999999998</v>
      </c>
      <c r="L4959">
        <v>58</v>
      </c>
      <c r="M4959">
        <v>18</v>
      </c>
      <c r="N4959">
        <v>34</v>
      </c>
      <c r="O4959">
        <v>70.523799999999994</v>
      </c>
      <c r="P4959">
        <v>5.2181300000000004</v>
      </c>
      <c r="Q4959">
        <v>18.826899999999998</v>
      </c>
    </row>
    <row r="4960" spans="1:17" x14ac:dyDescent="0.25">
      <c r="A4960" t="str">
        <f>IF(C4960&amp;G4960&amp;D4960&lt;&gt;'Funnel setup'!$K$3&amp;'Funnel setup'!$K$4&amp;'Funnel setup'!$K$6,".",IF(A4959=".",1,A4959+1))</f>
        <v>.</v>
      </c>
      <c r="B4960" s="244" t="str">
        <f t="shared" si="77"/>
        <v>Total Knee ReplacementProviderSTOCKPORT NHS FOUNDATION TRUST (RWJ)EQ VAS</v>
      </c>
      <c r="C4960" t="s">
        <v>975</v>
      </c>
      <c r="D4960" t="s">
        <v>965</v>
      </c>
      <c r="E4960" t="s">
        <v>614</v>
      </c>
      <c r="F4960" t="s">
        <v>615</v>
      </c>
      <c r="G4960" t="s">
        <v>752</v>
      </c>
      <c r="H4960">
        <v>26</v>
      </c>
      <c r="I4960">
        <v>70.5</v>
      </c>
      <c r="J4960">
        <v>80.576899999999995</v>
      </c>
      <c r="K4960">
        <v>10.0769</v>
      </c>
      <c r="L4960">
        <v>16</v>
      </c>
      <c r="M4960">
        <v>1</v>
      </c>
      <c r="N4960">
        <v>9</v>
      </c>
      <c r="O4960" t="s">
        <v>127</v>
      </c>
      <c r="P4960" t="s">
        <v>127</v>
      </c>
      <c r="Q4960" t="s">
        <v>127</v>
      </c>
    </row>
    <row r="4961" spans="1:17" x14ac:dyDescent="0.25">
      <c r="A4961" t="str">
        <f>IF(C4961&amp;G4961&amp;D4961&lt;&gt;'Funnel setup'!$K$3&amp;'Funnel setup'!$K$4&amp;'Funnel setup'!$K$6,".",IF(A4960=".",1,A4960+1))</f>
        <v>.</v>
      </c>
      <c r="B4961" s="244" t="str">
        <f t="shared" si="77"/>
        <v>Total Knee ReplacementProviderSURREY AND SUSSEX HEALTHCARE NHS TRUST (RTP)EQ VAS</v>
      </c>
      <c r="C4961" t="s">
        <v>975</v>
      </c>
      <c r="D4961" t="s">
        <v>965</v>
      </c>
      <c r="E4961" t="s">
        <v>618</v>
      </c>
      <c r="F4961" t="s">
        <v>619</v>
      </c>
      <c r="G4961" t="s">
        <v>752</v>
      </c>
      <c r="H4961">
        <v>32</v>
      </c>
      <c r="I4961">
        <v>65.625</v>
      </c>
      <c r="J4961">
        <v>73.281300000000002</v>
      </c>
      <c r="K4961">
        <v>7.65625</v>
      </c>
      <c r="L4961">
        <v>20</v>
      </c>
      <c r="M4961">
        <v>1</v>
      </c>
      <c r="N4961">
        <v>11</v>
      </c>
      <c r="O4961">
        <v>74.796800000000005</v>
      </c>
      <c r="P4961">
        <v>9.4911100000000008</v>
      </c>
      <c r="Q4961">
        <v>13.0989</v>
      </c>
    </row>
    <row r="4962" spans="1:17" x14ac:dyDescent="0.25">
      <c r="A4962" t="str">
        <f>IF(C4962&amp;G4962&amp;D4962&lt;&gt;'Funnel setup'!$K$3&amp;'Funnel setup'!$K$4&amp;'Funnel setup'!$K$6,".",IF(A4961=".",1,A4961+1))</f>
        <v>.</v>
      </c>
      <c r="B4962" s="244" t="str">
        <f t="shared" si="77"/>
        <v>Total Knee ReplacementProviderTEES VALLEY HOSPITAL (NVC0R)EQ VAS</v>
      </c>
      <c r="C4962" t="s">
        <v>975</v>
      </c>
      <c r="D4962" t="s">
        <v>965</v>
      </c>
      <c r="E4962" t="s">
        <v>624</v>
      </c>
      <c r="F4962" t="s">
        <v>625</v>
      </c>
      <c r="G4962" t="s">
        <v>752</v>
      </c>
      <c r="H4962">
        <v>46</v>
      </c>
      <c r="I4962">
        <v>70.446799999999996</v>
      </c>
      <c r="J4962">
        <v>77.170199999999994</v>
      </c>
      <c r="K4962">
        <v>6.7233999999999998</v>
      </c>
      <c r="L4962">
        <v>31</v>
      </c>
      <c r="M4962">
        <v>3</v>
      </c>
      <c r="N4962">
        <v>12</v>
      </c>
      <c r="O4962">
        <v>74.577200000000005</v>
      </c>
      <c r="P4962">
        <v>9.27149</v>
      </c>
      <c r="Q4962">
        <v>16.3812</v>
      </c>
    </row>
    <row r="4963" spans="1:17" x14ac:dyDescent="0.25">
      <c r="A4963" t="str">
        <f>IF(C4963&amp;G4963&amp;D4963&lt;&gt;'Funnel setup'!$K$3&amp;'Funnel setup'!$K$4&amp;'Funnel setup'!$K$6,".",IF(A4962=".",1,A4962+1))</f>
        <v>.</v>
      </c>
      <c r="B4963" s="244" t="str">
        <f t="shared" si="77"/>
        <v>Total Knee ReplacementProviderTHE BERKSHIRE INDEPENDENT HOSPITAL (NVC02)EQ VAS</v>
      </c>
      <c r="C4963" t="s">
        <v>975</v>
      </c>
      <c r="D4963" t="s">
        <v>965</v>
      </c>
      <c r="E4963" t="s">
        <v>626</v>
      </c>
      <c r="F4963" t="s">
        <v>627</v>
      </c>
      <c r="G4963" t="s">
        <v>752</v>
      </c>
      <c r="H4963">
        <v>12</v>
      </c>
      <c r="I4963">
        <v>77.333299999999994</v>
      </c>
      <c r="J4963">
        <v>82.083299999999994</v>
      </c>
      <c r="K4963">
        <v>4.75</v>
      </c>
      <c r="L4963">
        <v>6</v>
      </c>
      <c r="M4963">
        <v>3</v>
      </c>
      <c r="N4963">
        <v>3</v>
      </c>
      <c r="O4963" t="s">
        <v>127</v>
      </c>
      <c r="P4963" t="s">
        <v>127</v>
      </c>
      <c r="Q4963" t="s">
        <v>127</v>
      </c>
    </row>
    <row r="4964" spans="1:17" x14ac:dyDescent="0.25">
      <c r="A4964" t="str">
        <f>IF(C4964&amp;G4964&amp;D4964&lt;&gt;'Funnel setup'!$K$3&amp;'Funnel setup'!$K$4&amp;'Funnel setup'!$K$6,".",IF(A4963=".",1,A4963+1))</f>
        <v>.</v>
      </c>
      <c r="B4964" s="244" t="str">
        <f t="shared" si="77"/>
        <v>Total Knee ReplacementProviderTHE CHERWELL HOSPITAL (NVC25)EQ VAS</v>
      </c>
      <c r="C4964" t="s">
        <v>975</v>
      </c>
      <c r="D4964" t="s">
        <v>965</v>
      </c>
      <c r="E4964" t="s">
        <v>628</v>
      </c>
      <c r="F4964" t="s">
        <v>629</v>
      </c>
      <c r="G4964" t="s">
        <v>752</v>
      </c>
      <c r="H4964">
        <v>248</v>
      </c>
      <c r="I4964">
        <v>68.137100000000004</v>
      </c>
      <c r="J4964">
        <v>75.604799999999997</v>
      </c>
      <c r="K4964">
        <v>7.46774</v>
      </c>
      <c r="L4964">
        <v>145</v>
      </c>
      <c r="M4964">
        <v>35</v>
      </c>
      <c r="N4964">
        <v>68</v>
      </c>
      <c r="O4964">
        <v>73.439099999999996</v>
      </c>
      <c r="P4964">
        <v>8.1333699999999993</v>
      </c>
      <c r="Q4964">
        <v>15.9618</v>
      </c>
    </row>
    <row r="4965" spans="1:17" x14ac:dyDescent="0.25">
      <c r="A4965" t="str">
        <f>IF(C4965&amp;G4965&amp;D4965&lt;&gt;'Funnel setup'!$K$3&amp;'Funnel setup'!$K$4&amp;'Funnel setup'!$K$6,".",IF(A4964=".",1,A4964+1))</f>
        <v>.</v>
      </c>
      <c r="B4965" s="244" t="str">
        <f t="shared" si="77"/>
        <v>Total Knee ReplacementProviderTHE DUDLEY GROUP NHS FOUNDATION TRUST (RNA)EQ VAS</v>
      </c>
      <c r="C4965" t="s">
        <v>975</v>
      </c>
      <c r="D4965" t="s">
        <v>965</v>
      </c>
      <c r="E4965" t="s">
        <v>630</v>
      </c>
      <c r="F4965" t="s">
        <v>631</v>
      </c>
      <c r="G4965" t="s">
        <v>752</v>
      </c>
      <c r="H4965">
        <v>1</v>
      </c>
      <c r="I4965">
        <v>80</v>
      </c>
      <c r="J4965">
        <v>80</v>
      </c>
      <c r="K4965">
        <v>0</v>
      </c>
      <c r="L4965">
        <v>0</v>
      </c>
      <c r="M4965">
        <v>1</v>
      </c>
      <c r="N4965">
        <v>0</v>
      </c>
      <c r="O4965" t="s">
        <v>127</v>
      </c>
      <c r="P4965" t="s">
        <v>127</v>
      </c>
      <c r="Q4965" t="s">
        <v>127</v>
      </c>
    </row>
    <row r="4966" spans="1:17" x14ac:dyDescent="0.25">
      <c r="A4966" t="str">
        <f>IF(C4966&amp;G4966&amp;D4966&lt;&gt;'Funnel setup'!$K$3&amp;'Funnel setup'!$K$4&amp;'Funnel setup'!$K$6,".",IF(A4965=".",1,A4965+1))</f>
        <v>.</v>
      </c>
      <c r="B4966" s="244" t="str">
        <f t="shared" si="77"/>
        <v>Total Knee ReplacementProviderTHE HILLINGDON HOSPITALS NHS FOUNDATION TRUST (RAS)EQ VAS</v>
      </c>
      <c r="C4966" t="s">
        <v>975</v>
      </c>
      <c r="D4966" t="s">
        <v>965</v>
      </c>
      <c r="E4966" t="s">
        <v>632</v>
      </c>
      <c r="F4966" t="s">
        <v>633</v>
      </c>
      <c r="G4966" t="s">
        <v>752</v>
      </c>
      <c r="H4966">
        <v>110</v>
      </c>
      <c r="I4966">
        <v>63.127299999999998</v>
      </c>
      <c r="J4966">
        <v>70.3</v>
      </c>
      <c r="K4966">
        <v>7.1727299999999996</v>
      </c>
      <c r="L4966">
        <v>63</v>
      </c>
      <c r="M4966">
        <v>15</v>
      </c>
      <c r="N4966">
        <v>32</v>
      </c>
      <c r="O4966">
        <v>70.855099999999993</v>
      </c>
      <c r="P4966">
        <v>5.5494300000000001</v>
      </c>
      <c r="Q4966">
        <v>18.443200000000001</v>
      </c>
    </row>
    <row r="4967" spans="1:17" x14ac:dyDescent="0.25">
      <c r="A4967" t="str">
        <f>IF(C4967&amp;G4967&amp;D4967&lt;&gt;'Funnel setup'!$K$3&amp;'Funnel setup'!$K$4&amp;'Funnel setup'!$K$6,".",IF(A4966=".",1,A4966+1))</f>
        <v>.</v>
      </c>
      <c r="B4967" s="244" t="str">
        <f t="shared" si="77"/>
        <v>Total Knee ReplacementProviderTHE HORDER CENTRE - ST JOHNS ROAD (NXM01)EQ VAS</v>
      </c>
      <c r="C4967" t="s">
        <v>975</v>
      </c>
      <c r="D4967" t="s">
        <v>965</v>
      </c>
      <c r="E4967" t="s">
        <v>634</v>
      </c>
      <c r="F4967" t="s">
        <v>635</v>
      </c>
      <c r="G4967" t="s">
        <v>752</v>
      </c>
      <c r="H4967">
        <v>245</v>
      </c>
      <c r="I4967">
        <v>70.599999999999994</v>
      </c>
      <c r="J4967">
        <v>79.040800000000004</v>
      </c>
      <c r="K4967">
        <v>8.4408200000000004</v>
      </c>
      <c r="L4967">
        <v>152</v>
      </c>
      <c r="M4967">
        <v>31</v>
      </c>
      <c r="N4967">
        <v>62</v>
      </c>
      <c r="O4967">
        <v>76.219899999999996</v>
      </c>
      <c r="P4967">
        <v>10.914199999999999</v>
      </c>
      <c r="Q4967">
        <v>14.927</v>
      </c>
    </row>
    <row r="4968" spans="1:17" x14ac:dyDescent="0.25">
      <c r="A4968" t="str">
        <f>IF(C4968&amp;G4968&amp;D4968&lt;&gt;'Funnel setup'!$K$3&amp;'Funnel setup'!$K$4&amp;'Funnel setup'!$K$6,".",IF(A4967=".",1,A4967+1))</f>
        <v>.</v>
      </c>
      <c r="B4968" s="244" t="str">
        <f t="shared" si="77"/>
        <v>Total Knee ReplacementProviderTHE NEWCASTLE UPON TYNE HOSPITALS NHS FOUNDATION TRUST (RTD)EQ VAS</v>
      </c>
      <c r="C4968" t="s">
        <v>975</v>
      </c>
      <c r="D4968" t="s">
        <v>965</v>
      </c>
      <c r="E4968" t="s">
        <v>638</v>
      </c>
      <c r="F4968" t="s">
        <v>639</v>
      </c>
      <c r="G4968" t="s">
        <v>752</v>
      </c>
      <c r="H4968">
        <v>26</v>
      </c>
      <c r="I4968">
        <v>56.961500000000001</v>
      </c>
      <c r="J4968">
        <v>74.692300000000003</v>
      </c>
      <c r="K4968">
        <v>17.730799999999999</v>
      </c>
      <c r="L4968">
        <v>20</v>
      </c>
      <c r="M4968">
        <v>2</v>
      </c>
      <c r="N4968">
        <v>4</v>
      </c>
      <c r="O4968" t="s">
        <v>127</v>
      </c>
      <c r="P4968" t="s">
        <v>127</v>
      </c>
      <c r="Q4968" t="s">
        <v>127</v>
      </c>
    </row>
    <row r="4969" spans="1:17" x14ac:dyDescent="0.25">
      <c r="A4969" t="str">
        <f>IF(C4969&amp;G4969&amp;D4969&lt;&gt;'Funnel setup'!$K$3&amp;'Funnel setup'!$K$4&amp;'Funnel setup'!$K$6,".",IF(A4968=".",1,A4968+1))</f>
        <v>.</v>
      </c>
      <c r="B4969" s="244" t="str">
        <f t="shared" si="77"/>
        <v>Total Knee ReplacementProviderTHE PRINCESS ALEXANDRA HOSPITAL NHS TRUST (RQW)EQ VAS</v>
      </c>
      <c r="C4969" t="s">
        <v>975</v>
      </c>
      <c r="D4969" t="s">
        <v>965</v>
      </c>
      <c r="E4969" t="s">
        <v>640</v>
      </c>
      <c r="F4969" t="s">
        <v>641</v>
      </c>
      <c r="G4969" t="s">
        <v>752</v>
      </c>
      <c r="H4969">
        <v>28</v>
      </c>
      <c r="I4969">
        <v>54</v>
      </c>
      <c r="J4969">
        <v>64.678600000000003</v>
      </c>
      <c r="K4969">
        <v>10.678599999999999</v>
      </c>
      <c r="L4969">
        <v>17</v>
      </c>
      <c r="M4969">
        <v>3</v>
      </c>
      <c r="N4969">
        <v>8</v>
      </c>
      <c r="O4969" t="s">
        <v>127</v>
      </c>
      <c r="P4969" t="s">
        <v>127</v>
      </c>
      <c r="Q4969" t="s">
        <v>127</v>
      </c>
    </row>
    <row r="4970" spans="1:17" x14ac:dyDescent="0.25">
      <c r="A4970" t="str">
        <f>IF(C4970&amp;G4970&amp;D4970&lt;&gt;'Funnel setup'!$K$3&amp;'Funnel setup'!$K$4&amp;'Funnel setup'!$K$6,".",IF(A4969=".",1,A4969+1))</f>
        <v>.</v>
      </c>
      <c r="B4970" s="244" t="str">
        <f t="shared" si="77"/>
        <v>Total Knee ReplacementProviderTHE QUEEN ELIZABETH HOSPITAL, KING'S LYNN, NHS FOUNDATION TRUST (RCX)EQ VAS</v>
      </c>
      <c r="C4970" t="s">
        <v>975</v>
      </c>
      <c r="D4970" t="s">
        <v>965</v>
      </c>
      <c r="E4970" t="s">
        <v>644</v>
      </c>
      <c r="F4970" t="s">
        <v>645</v>
      </c>
      <c r="G4970" t="s">
        <v>752</v>
      </c>
      <c r="H4970">
        <v>78</v>
      </c>
      <c r="I4970">
        <v>62.807699999999997</v>
      </c>
      <c r="J4970">
        <v>72.115399999999994</v>
      </c>
      <c r="K4970">
        <v>9.3076899999999991</v>
      </c>
      <c r="L4970">
        <v>45</v>
      </c>
      <c r="M4970">
        <v>9</v>
      </c>
      <c r="N4970">
        <v>24</v>
      </c>
      <c r="O4970">
        <v>73.33</v>
      </c>
      <c r="P4970">
        <v>8.0243199999999995</v>
      </c>
      <c r="Q4970">
        <v>17.716799999999999</v>
      </c>
    </row>
    <row r="4971" spans="1:17" x14ac:dyDescent="0.25">
      <c r="A4971" t="str">
        <f>IF(C4971&amp;G4971&amp;D4971&lt;&gt;'Funnel setup'!$K$3&amp;'Funnel setup'!$K$4&amp;'Funnel setup'!$K$6,".",IF(A4970=".",1,A4970+1))</f>
        <v>.</v>
      </c>
      <c r="B4971" s="244" t="str">
        <f t="shared" si="77"/>
        <v>Total Knee ReplacementProviderTHE ROBERT JONES AND AGNES HUNT ORTHOPAEDIC HOSPITAL NHS FOUNDATION TRUST (RL1)EQ VAS</v>
      </c>
      <c r="C4971" t="s">
        <v>975</v>
      </c>
      <c r="D4971" t="s">
        <v>965</v>
      </c>
      <c r="E4971" t="s">
        <v>646</v>
      </c>
      <c r="F4971" t="s">
        <v>647</v>
      </c>
      <c r="G4971" t="s">
        <v>752</v>
      </c>
      <c r="H4971">
        <v>323</v>
      </c>
      <c r="I4971">
        <v>61.077399999999997</v>
      </c>
      <c r="J4971">
        <v>74.083600000000004</v>
      </c>
      <c r="K4971">
        <v>13.0062</v>
      </c>
      <c r="L4971">
        <v>229</v>
      </c>
      <c r="M4971">
        <v>26</v>
      </c>
      <c r="N4971">
        <v>68</v>
      </c>
      <c r="O4971">
        <v>76.493499999999997</v>
      </c>
      <c r="P4971">
        <v>11.1877</v>
      </c>
      <c r="Q4971">
        <v>15.327</v>
      </c>
    </row>
    <row r="4972" spans="1:17" x14ac:dyDescent="0.25">
      <c r="A4972" t="str">
        <f>IF(C4972&amp;G4972&amp;D4972&lt;&gt;'Funnel setup'!$K$3&amp;'Funnel setup'!$K$4&amp;'Funnel setup'!$K$6,".",IF(A4971=".",1,A4971+1))</f>
        <v>.</v>
      </c>
      <c r="B4972" s="244" t="str">
        <f t="shared" si="77"/>
        <v>Total Knee ReplacementProviderTHE ROTHERHAM NHS FOUNDATION TRUST (RFR)EQ VAS</v>
      </c>
      <c r="C4972" t="s">
        <v>975</v>
      </c>
      <c r="D4972" t="s">
        <v>965</v>
      </c>
      <c r="E4972" t="s">
        <v>648</v>
      </c>
      <c r="F4972" t="s">
        <v>649</v>
      </c>
      <c r="G4972" t="s">
        <v>752</v>
      </c>
      <c r="H4972">
        <v>26</v>
      </c>
      <c r="I4972">
        <v>64.807699999999997</v>
      </c>
      <c r="J4972">
        <v>73.807699999999997</v>
      </c>
      <c r="K4972">
        <v>9</v>
      </c>
      <c r="L4972">
        <v>16</v>
      </c>
      <c r="M4972">
        <v>3</v>
      </c>
      <c r="N4972">
        <v>7</v>
      </c>
      <c r="O4972" t="s">
        <v>127</v>
      </c>
      <c r="P4972" t="s">
        <v>127</v>
      </c>
      <c r="Q4972" t="s">
        <v>127</v>
      </c>
    </row>
    <row r="4973" spans="1:17" x14ac:dyDescent="0.25">
      <c r="A4973" t="str">
        <f>IF(C4973&amp;G4973&amp;D4973&lt;&gt;'Funnel setup'!$K$3&amp;'Funnel setup'!$K$4&amp;'Funnel setup'!$K$6,".",IF(A4972=".",1,A4972+1))</f>
        <v>.</v>
      </c>
      <c r="B4973" s="244" t="str">
        <f t="shared" si="77"/>
        <v>Total Knee ReplacementProviderTHE ROYAL ORTHOPAEDIC HOSPITAL NHS FOUNDATION TRUST (RRJ)EQ VAS</v>
      </c>
      <c r="C4973" t="s">
        <v>975</v>
      </c>
      <c r="D4973" t="s">
        <v>965</v>
      </c>
      <c r="E4973" t="s">
        <v>652</v>
      </c>
      <c r="F4973" t="s">
        <v>653</v>
      </c>
      <c r="G4973" t="s">
        <v>752</v>
      </c>
      <c r="H4973">
        <v>419</v>
      </c>
      <c r="I4973">
        <v>64.940299999999993</v>
      </c>
      <c r="J4973">
        <v>71.451099999999997</v>
      </c>
      <c r="K4973">
        <v>6.5107400000000002</v>
      </c>
      <c r="L4973">
        <v>236</v>
      </c>
      <c r="M4973">
        <v>43</v>
      </c>
      <c r="N4973">
        <v>140</v>
      </c>
      <c r="O4973">
        <v>72.751099999999994</v>
      </c>
      <c r="P4973">
        <v>7.4453899999999997</v>
      </c>
      <c r="Q4973">
        <v>17.7287</v>
      </c>
    </row>
    <row r="4974" spans="1:17" x14ac:dyDescent="0.25">
      <c r="A4974" t="str">
        <f>IF(C4974&amp;G4974&amp;D4974&lt;&gt;'Funnel setup'!$K$3&amp;'Funnel setup'!$K$4&amp;'Funnel setup'!$K$6,".",IF(A4973=".",1,A4973+1))</f>
        <v>.</v>
      </c>
      <c r="B4974" s="244" t="str">
        <f t="shared" si="77"/>
        <v>Total Knee ReplacementProviderTHE ROYAL WOLVERHAMPTON NHS TRUST (RL4)EQ VAS</v>
      </c>
      <c r="C4974" t="s">
        <v>975</v>
      </c>
      <c r="D4974" t="s">
        <v>965</v>
      </c>
      <c r="E4974" t="s">
        <v>654</v>
      </c>
      <c r="F4974" t="s">
        <v>655</v>
      </c>
      <c r="G4974" t="s">
        <v>752</v>
      </c>
      <c r="H4974">
        <v>20</v>
      </c>
      <c r="I4974">
        <v>67.400000000000006</v>
      </c>
      <c r="J4974">
        <v>77.650000000000006</v>
      </c>
      <c r="K4974">
        <v>10.25</v>
      </c>
      <c r="L4974">
        <v>16</v>
      </c>
      <c r="M4974">
        <v>0</v>
      </c>
      <c r="N4974">
        <v>4</v>
      </c>
      <c r="O4974" t="s">
        <v>127</v>
      </c>
      <c r="P4974" t="s">
        <v>127</v>
      </c>
      <c r="Q4974" t="s">
        <v>127</v>
      </c>
    </row>
    <row r="4975" spans="1:17" x14ac:dyDescent="0.25">
      <c r="A4975" t="str">
        <f>IF(C4975&amp;G4975&amp;D4975&lt;&gt;'Funnel setup'!$K$3&amp;'Funnel setup'!$K$4&amp;'Funnel setup'!$K$6,".",IF(A4974=".",1,A4974+1))</f>
        <v>.</v>
      </c>
      <c r="B4975" s="244" t="str">
        <f t="shared" si="77"/>
        <v>Total Knee ReplacementProviderTHE SHREWSBURY AND TELFORD HOSPITAL NHS TRUST (RXW)EQ VAS</v>
      </c>
      <c r="C4975" t="s">
        <v>975</v>
      </c>
      <c r="D4975" t="s">
        <v>965</v>
      </c>
      <c r="E4975" t="s">
        <v>656</v>
      </c>
      <c r="F4975" t="s">
        <v>657</v>
      </c>
      <c r="G4975" t="s">
        <v>752</v>
      </c>
      <c r="H4975">
        <v>12</v>
      </c>
      <c r="I4975">
        <v>66.5</v>
      </c>
      <c r="J4975">
        <v>64.916700000000006</v>
      </c>
      <c r="K4975">
        <v>-1.5833299999999999</v>
      </c>
      <c r="L4975">
        <v>7</v>
      </c>
      <c r="M4975">
        <v>0</v>
      </c>
      <c r="N4975">
        <v>5</v>
      </c>
      <c r="O4975" t="s">
        <v>127</v>
      </c>
      <c r="P4975" t="s">
        <v>127</v>
      </c>
      <c r="Q4975" t="s">
        <v>127</v>
      </c>
    </row>
    <row r="4976" spans="1:17" x14ac:dyDescent="0.25">
      <c r="A4976" t="str">
        <f>IF(C4976&amp;G4976&amp;D4976&lt;&gt;'Funnel setup'!$K$3&amp;'Funnel setup'!$K$4&amp;'Funnel setup'!$K$6,".",IF(A4975=".",1,A4975+1))</f>
        <v>.</v>
      </c>
      <c r="B4976" s="244" t="str">
        <f t="shared" si="77"/>
        <v>Total Knee ReplacementProviderTHE YORKSHIRE CLINIC (NVC20)EQ VAS</v>
      </c>
      <c r="C4976" t="s">
        <v>975</v>
      </c>
      <c r="D4976" t="s">
        <v>965</v>
      </c>
      <c r="E4976" t="s">
        <v>662</v>
      </c>
      <c r="F4976" t="s">
        <v>663</v>
      </c>
      <c r="G4976" t="s">
        <v>752</v>
      </c>
      <c r="H4976">
        <v>35</v>
      </c>
      <c r="I4976">
        <v>63.1143</v>
      </c>
      <c r="J4976">
        <v>71.599999999999994</v>
      </c>
      <c r="K4976">
        <v>8.4857099999999992</v>
      </c>
      <c r="L4976">
        <v>25</v>
      </c>
      <c r="M4976">
        <v>2</v>
      </c>
      <c r="N4976">
        <v>8</v>
      </c>
      <c r="O4976">
        <v>74.413700000000006</v>
      </c>
      <c r="P4976">
        <v>9.1080100000000002</v>
      </c>
      <c r="Q4976">
        <v>15.639799999999999</v>
      </c>
    </row>
    <row r="4977" spans="1:17" x14ac:dyDescent="0.25">
      <c r="A4977" t="str">
        <f>IF(C4977&amp;G4977&amp;D4977&lt;&gt;'Funnel setup'!$K$3&amp;'Funnel setup'!$K$4&amp;'Funnel setup'!$K$6,".",IF(A4976=".",1,A4976+1))</f>
        <v>.</v>
      </c>
      <c r="B4977" s="244" t="str">
        <f t="shared" si="77"/>
        <v>Total Knee ReplacementProviderTHORNBURY HOSPITAL (NT440)EQ VAS</v>
      </c>
      <c r="C4977" t="s">
        <v>975</v>
      </c>
      <c r="D4977" t="s">
        <v>965</v>
      </c>
      <c r="E4977" t="s">
        <v>664</v>
      </c>
      <c r="F4977" t="s">
        <v>665</v>
      </c>
      <c r="G4977" t="s">
        <v>752</v>
      </c>
      <c r="H4977">
        <v>4</v>
      </c>
      <c r="I4977">
        <v>69.5</v>
      </c>
      <c r="J4977">
        <v>72</v>
      </c>
      <c r="K4977">
        <v>2.5</v>
      </c>
      <c r="L4977">
        <v>2</v>
      </c>
      <c r="M4977">
        <v>0</v>
      </c>
      <c r="N4977">
        <v>2</v>
      </c>
      <c r="O4977" t="s">
        <v>127</v>
      </c>
      <c r="P4977" t="s">
        <v>127</v>
      </c>
      <c r="Q4977" t="s">
        <v>127</v>
      </c>
    </row>
    <row r="4978" spans="1:17" x14ac:dyDescent="0.25">
      <c r="A4978" t="str">
        <f>IF(C4978&amp;G4978&amp;D4978&lt;&gt;'Funnel setup'!$K$3&amp;'Funnel setup'!$K$4&amp;'Funnel setup'!$K$6,".",IF(A4977=".",1,A4977+1))</f>
        <v>.</v>
      </c>
      <c r="B4978" s="244" t="str">
        <f t="shared" si="77"/>
        <v>Total Knee ReplacementProviderTHREE SHIRES HOSPITAL (NT441)EQ VAS</v>
      </c>
      <c r="C4978" t="s">
        <v>975</v>
      </c>
      <c r="D4978" t="s">
        <v>965</v>
      </c>
      <c r="E4978" t="s">
        <v>666</v>
      </c>
      <c r="F4978" t="s">
        <v>667</v>
      </c>
      <c r="G4978" t="s">
        <v>752</v>
      </c>
      <c r="H4978">
        <v>67</v>
      </c>
      <c r="I4978">
        <v>67.253699999999995</v>
      </c>
      <c r="J4978">
        <v>76.955200000000005</v>
      </c>
      <c r="K4978">
        <v>9.7014899999999997</v>
      </c>
      <c r="L4978">
        <v>42</v>
      </c>
      <c r="M4978">
        <v>3</v>
      </c>
      <c r="N4978">
        <v>22</v>
      </c>
      <c r="O4978">
        <v>73.152299999999997</v>
      </c>
      <c r="P4978">
        <v>7.8465999999999996</v>
      </c>
      <c r="Q4978">
        <v>16.202400000000001</v>
      </c>
    </row>
    <row r="4979" spans="1:17" x14ac:dyDescent="0.25">
      <c r="A4979" t="str">
        <f>IF(C4979&amp;G4979&amp;D4979&lt;&gt;'Funnel setup'!$K$3&amp;'Funnel setup'!$K$4&amp;'Funnel setup'!$K$6,".",IF(A4978=".",1,A4978+1))</f>
        <v>.</v>
      </c>
      <c r="B4979" s="244" t="str">
        <f t="shared" si="77"/>
        <v>Total Knee ReplacementProviderTORBAY AND SOUTH DEVON NHS FOUNDATION TRUST (RA9)EQ VAS</v>
      </c>
      <c r="C4979" t="s">
        <v>975</v>
      </c>
      <c r="D4979" t="s">
        <v>965</v>
      </c>
      <c r="E4979" t="s">
        <v>668</v>
      </c>
      <c r="F4979" t="s">
        <v>669</v>
      </c>
      <c r="G4979" t="s">
        <v>752</v>
      </c>
      <c r="H4979">
        <v>7</v>
      </c>
      <c r="I4979">
        <v>56.285699999999999</v>
      </c>
      <c r="J4979">
        <v>60.857100000000003</v>
      </c>
      <c r="K4979">
        <v>4.5714300000000003</v>
      </c>
      <c r="L4979">
        <v>3</v>
      </c>
      <c r="M4979">
        <v>1</v>
      </c>
      <c r="N4979">
        <v>3</v>
      </c>
      <c r="O4979" t="s">
        <v>127</v>
      </c>
      <c r="P4979" t="s">
        <v>127</v>
      </c>
      <c r="Q4979" t="s">
        <v>127</v>
      </c>
    </row>
    <row r="4980" spans="1:17" x14ac:dyDescent="0.25">
      <c r="A4980" t="str">
        <f>IF(C4980&amp;G4980&amp;D4980&lt;&gt;'Funnel setup'!$K$3&amp;'Funnel setup'!$K$4&amp;'Funnel setup'!$K$6,".",IF(A4979=".",1,A4979+1))</f>
        <v>.</v>
      </c>
      <c r="B4980" s="244" t="str">
        <f t="shared" si="77"/>
        <v>Total Knee ReplacementProviderUNITED LINCOLNSHIRE HOSPITALS NHS TRUST (RWD)EQ VAS</v>
      </c>
      <c r="C4980" t="s">
        <v>975</v>
      </c>
      <c r="D4980" t="s">
        <v>965</v>
      </c>
      <c r="E4980" t="s">
        <v>672</v>
      </c>
      <c r="F4980" t="s">
        <v>673</v>
      </c>
      <c r="G4980" t="s">
        <v>752</v>
      </c>
      <c r="H4980">
        <v>33</v>
      </c>
      <c r="I4980">
        <v>62.7879</v>
      </c>
      <c r="J4980">
        <v>72.030299999999997</v>
      </c>
      <c r="K4980">
        <v>9.2424199999999992</v>
      </c>
      <c r="L4980">
        <v>20</v>
      </c>
      <c r="M4980">
        <v>5</v>
      </c>
      <c r="N4980">
        <v>8</v>
      </c>
      <c r="O4980">
        <v>73.560900000000004</v>
      </c>
      <c r="P4980">
        <v>8.2551699999999997</v>
      </c>
      <c r="Q4980">
        <v>12.876300000000001</v>
      </c>
    </row>
    <row r="4981" spans="1:17" x14ac:dyDescent="0.25">
      <c r="A4981" t="str">
        <f>IF(C4981&amp;G4981&amp;D4981&lt;&gt;'Funnel setup'!$K$3&amp;'Funnel setup'!$K$4&amp;'Funnel setup'!$K$6,".",IF(A4980=".",1,A4980+1))</f>
        <v>.</v>
      </c>
      <c r="B4981" s="244" t="str">
        <f t="shared" si="77"/>
        <v>Total Knee ReplacementProviderUNIVERSITY COLLEGE LONDON HOSPITALS NHS FOUNDATION TRUST (RRV)EQ VAS</v>
      </c>
      <c r="C4981" t="s">
        <v>975</v>
      </c>
      <c r="D4981" t="s">
        <v>965</v>
      </c>
      <c r="E4981" t="s">
        <v>674</v>
      </c>
      <c r="F4981" t="s">
        <v>675</v>
      </c>
      <c r="G4981" t="s">
        <v>752</v>
      </c>
      <c r="H4981">
        <v>149</v>
      </c>
      <c r="I4981">
        <v>67.154399999999995</v>
      </c>
      <c r="J4981">
        <v>72.308700000000002</v>
      </c>
      <c r="K4981">
        <v>5.1543599999999996</v>
      </c>
      <c r="L4981">
        <v>75</v>
      </c>
      <c r="M4981">
        <v>23</v>
      </c>
      <c r="N4981">
        <v>51</v>
      </c>
      <c r="O4981">
        <v>73.151600000000002</v>
      </c>
      <c r="P4981">
        <v>7.8459199999999996</v>
      </c>
      <c r="Q4981">
        <v>16.457599999999999</v>
      </c>
    </row>
    <row r="4982" spans="1:17" x14ac:dyDescent="0.25">
      <c r="A4982" t="str">
        <f>IF(C4982&amp;G4982&amp;D4982&lt;&gt;'Funnel setup'!$K$3&amp;'Funnel setup'!$K$4&amp;'Funnel setup'!$K$6,".",IF(A4981=".",1,A4981+1))</f>
        <v>.</v>
      </c>
      <c r="B4982" s="244" t="str">
        <f t="shared" si="77"/>
        <v>Total Knee ReplacementProviderUNIVERSITY HOSPITAL SOUTHAMPTON NHS FOUNDATION TRUST (RHM)EQ VAS</v>
      </c>
      <c r="C4982" t="s">
        <v>975</v>
      </c>
      <c r="D4982" t="s">
        <v>965</v>
      </c>
      <c r="E4982" t="s">
        <v>676</v>
      </c>
      <c r="F4982" t="s">
        <v>677</v>
      </c>
      <c r="G4982" t="s">
        <v>752</v>
      </c>
      <c r="H4982">
        <v>93</v>
      </c>
      <c r="I4982">
        <v>64.645200000000003</v>
      </c>
      <c r="J4982">
        <v>73.8172</v>
      </c>
      <c r="K4982">
        <v>9.1720400000000009</v>
      </c>
      <c r="L4982">
        <v>67</v>
      </c>
      <c r="M4982">
        <v>12</v>
      </c>
      <c r="N4982">
        <v>14</v>
      </c>
      <c r="O4982">
        <v>76.426400000000001</v>
      </c>
      <c r="P4982">
        <v>11.1206</v>
      </c>
      <c r="Q4982">
        <v>15.7273</v>
      </c>
    </row>
    <row r="4983" spans="1:17" x14ac:dyDescent="0.25">
      <c r="A4983" t="str">
        <f>IF(C4983&amp;G4983&amp;D4983&lt;&gt;'Funnel setup'!$K$3&amp;'Funnel setup'!$K$4&amp;'Funnel setup'!$K$6,".",IF(A4982=".",1,A4982+1))</f>
        <v>.</v>
      </c>
      <c r="B4983" s="244" t="str">
        <f t="shared" si="77"/>
        <v>Total Knee ReplacementProviderUNIVERSITY HOSPITALS BRISTOL AND WESTON NHS FOUNDATION TRUST (RA7)EQ VAS</v>
      </c>
      <c r="C4983" t="s">
        <v>975</v>
      </c>
      <c r="D4983" t="s">
        <v>965</v>
      </c>
      <c r="E4983" t="s">
        <v>680</v>
      </c>
      <c r="F4983" t="s">
        <v>681</v>
      </c>
      <c r="G4983" t="s">
        <v>752</v>
      </c>
      <c r="H4983">
        <v>17</v>
      </c>
      <c r="I4983">
        <v>60.529400000000003</v>
      </c>
      <c r="J4983">
        <v>68.2941</v>
      </c>
      <c r="K4983">
        <v>7.76471</v>
      </c>
      <c r="L4983">
        <v>10</v>
      </c>
      <c r="M4983">
        <v>2</v>
      </c>
      <c r="N4983">
        <v>5</v>
      </c>
      <c r="O4983" t="s">
        <v>127</v>
      </c>
      <c r="P4983" t="s">
        <v>127</v>
      </c>
      <c r="Q4983" t="s">
        <v>127</v>
      </c>
    </row>
    <row r="4984" spans="1:17" x14ac:dyDescent="0.25">
      <c r="A4984" t="str">
        <f>IF(C4984&amp;G4984&amp;D4984&lt;&gt;'Funnel setup'!$K$3&amp;'Funnel setup'!$K$4&amp;'Funnel setup'!$K$6,".",IF(A4983=".",1,A4983+1))</f>
        <v>.</v>
      </c>
      <c r="B4984" s="244" t="str">
        <f t="shared" si="77"/>
        <v>Total Knee ReplacementProviderUNIVERSITY HOSPITALS COVENTRY AND WARWICKSHIRE NHS TRUST (RKB)EQ VAS</v>
      </c>
      <c r="C4984" t="s">
        <v>975</v>
      </c>
      <c r="D4984" t="s">
        <v>965</v>
      </c>
      <c r="E4984" t="s">
        <v>682</v>
      </c>
      <c r="F4984" t="s">
        <v>683</v>
      </c>
      <c r="G4984" t="s">
        <v>752</v>
      </c>
      <c r="H4984">
        <v>19</v>
      </c>
      <c r="I4984">
        <v>65.315799999999996</v>
      </c>
      <c r="J4984">
        <v>80.789500000000004</v>
      </c>
      <c r="K4984">
        <v>15.473699999999999</v>
      </c>
      <c r="L4984">
        <v>15</v>
      </c>
      <c r="M4984">
        <v>1</v>
      </c>
      <c r="N4984">
        <v>3</v>
      </c>
      <c r="O4984" t="s">
        <v>127</v>
      </c>
      <c r="P4984" t="s">
        <v>127</v>
      </c>
      <c r="Q4984" t="s">
        <v>127</v>
      </c>
    </row>
    <row r="4985" spans="1:17" x14ac:dyDescent="0.25">
      <c r="A4985" t="str">
        <f>IF(C4985&amp;G4985&amp;D4985&lt;&gt;'Funnel setup'!$K$3&amp;'Funnel setup'!$K$4&amp;'Funnel setup'!$K$6,".",IF(A4984=".",1,A4984+1))</f>
        <v>.</v>
      </c>
      <c r="B4985" s="244" t="str">
        <f t="shared" si="77"/>
        <v>Total Knee ReplacementProviderUNIVERSITY HOSPITAL DORSET NHS FUNDATION TRUST (R0D)EQ VAS</v>
      </c>
      <c r="C4985" t="s">
        <v>975</v>
      </c>
      <c r="D4985" t="s">
        <v>965</v>
      </c>
      <c r="E4985" t="s">
        <v>684</v>
      </c>
      <c r="F4985" t="s">
        <v>966</v>
      </c>
      <c r="G4985" t="s">
        <v>752</v>
      </c>
      <c r="H4985">
        <v>184</v>
      </c>
      <c r="I4985">
        <v>66.809799999999996</v>
      </c>
      <c r="J4985">
        <v>72.760900000000007</v>
      </c>
      <c r="K4985">
        <v>5.9510899999999998</v>
      </c>
      <c r="L4985">
        <v>103</v>
      </c>
      <c r="M4985">
        <v>26</v>
      </c>
      <c r="N4985">
        <v>55</v>
      </c>
      <c r="O4985">
        <v>72.362700000000004</v>
      </c>
      <c r="P4985">
        <v>7.0569499999999996</v>
      </c>
      <c r="Q4985">
        <v>17.5002</v>
      </c>
    </row>
    <row r="4986" spans="1:17" x14ac:dyDescent="0.25">
      <c r="A4986" t="str">
        <f>IF(C4986&amp;G4986&amp;D4986&lt;&gt;'Funnel setup'!$K$3&amp;'Funnel setup'!$K$4&amp;'Funnel setup'!$K$6,".",IF(A4985=".",1,A4985+1))</f>
        <v>.</v>
      </c>
      <c r="B4986" s="244" t="str">
        <f t="shared" si="77"/>
        <v>Total Knee ReplacementProviderUNIVERSITY HOSPITALS OF DERBY AND BURTON NHS FOUNDATION TRUST (RTG)EQ VAS</v>
      </c>
      <c r="C4986" t="s">
        <v>975</v>
      </c>
      <c r="D4986" t="s">
        <v>965</v>
      </c>
      <c r="E4986" t="s">
        <v>686</v>
      </c>
      <c r="F4986" t="s">
        <v>687</v>
      </c>
      <c r="G4986" t="s">
        <v>752</v>
      </c>
      <c r="H4986">
        <v>347</v>
      </c>
      <c r="I4986">
        <v>61.020200000000003</v>
      </c>
      <c r="J4986">
        <v>72.478399999999993</v>
      </c>
      <c r="K4986">
        <v>11.4582</v>
      </c>
      <c r="L4986">
        <v>220</v>
      </c>
      <c r="M4986">
        <v>44</v>
      </c>
      <c r="N4986">
        <v>83</v>
      </c>
      <c r="O4986">
        <v>74.093400000000003</v>
      </c>
      <c r="P4986">
        <v>8.7876399999999997</v>
      </c>
      <c r="Q4986">
        <v>17</v>
      </c>
    </row>
    <row r="4987" spans="1:17" x14ac:dyDescent="0.25">
      <c r="A4987" t="str">
        <f>IF(C4987&amp;G4987&amp;D4987&lt;&gt;'Funnel setup'!$K$3&amp;'Funnel setup'!$K$4&amp;'Funnel setup'!$K$6,".",IF(A4986=".",1,A4986+1))</f>
        <v>.</v>
      </c>
      <c r="B4987" s="244" t="str">
        <f t="shared" si="77"/>
        <v>Total Knee ReplacementProviderUNIVERSITY HOSPITALS OF LEICESTER NHS TRUST (RWE)EQ VAS</v>
      </c>
      <c r="C4987" t="s">
        <v>975</v>
      </c>
      <c r="D4987" t="s">
        <v>965</v>
      </c>
      <c r="E4987" t="s">
        <v>688</v>
      </c>
      <c r="F4987" t="s">
        <v>689</v>
      </c>
      <c r="G4987" t="s">
        <v>752</v>
      </c>
      <c r="H4987">
        <v>173</v>
      </c>
      <c r="I4987">
        <v>56.531799999999997</v>
      </c>
      <c r="J4987">
        <v>68.468199999999996</v>
      </c>
      <c r="K4987">
        <v>11.936400000000001</v>
      </c>
      <c r="L4987">
        <v>109</v>
      </c>
      <c r="M4987">
        <v>18</v>
      </c>
      <c r="N4987">
        <v>46</v>
      </c>
      <c r="O4987">
        <v>73.873599999999996</v>
      </c>
      <c r="P4987">
        <v>8.5678999999999998</v>
      </c>
      <c r="Q4987">
        <v>18.765699999999999</v>
      </c>
    </row>
    <row r="4988" spans="1:17" x14ac:dyDescent="0.25">
      <c r="A4988" t="str">
        <f>IF(C4988&amp;G4988&amp;D4988&lt;&gt;'Funnel setup'!$K$3&amp;'Funnel setup'!$K$4&amp;'Funnel setup'!$K$6,".",IF(A4987=".",1,A4987+1))</f>
        <v>.</v>
      </c>
      <c r="B4988" s="244" t="str">
        <f t="shared" si="77"/>
        <v>Total Knee ReplacementProviderUNIVERSITY HOSPITALS OF MORECAMBE BAY NHS FOUNDATION TRUST (RTX)EQ VAS</v>
      </c>
      <c r="C4988" t="s">
        <v>975</v>
      </c>
      <c r="D4988" t="s">
        <v>965</v>
      </c>
      <c r="E4988" t="s">
        <v>690</v>
      </c>
      <c r="F4988" t="s">
        <v>691</v>
      </c>
      <c r="G4988" t="s">
        <v>752</v>
      </c>
      <c r="H4988">
        <v>152</v>
      </c>
      <c r="I4988">
        <v>65.289500000000004</v>
      </c>
      <c r="J4988">
        <v>73.75</v>
      </c>
      <c r="K4988">
        <v>8.4605300000000003</v>
      </c>
      <c r="L4988">
        <v>93</v>
      </c>
      <c r="M4988">
        <v>16</v>
      </c>
      <c r="N4988">
        <v>43</v>
      </c>
      <c r="O4988">
        <v>73.509600000000006</v>
      </c>
      <c r="P4988">
        <v>8.2039200000000001</v>
      </c>
      <c r="Q4988">
        <v>17.017199999999999</v>
      </c>
    </row>
    <row r="4989" spans="1:17" x14ac:dyDescent="0.25">
      <c r="A4989" t="str">
        <f>IF(C4989&amp;G4989&amp;D4989&lt;&gt;'Funnel setup'!$K$3&amp;'Funnel setup'!$K$4&amp;'Funnel setup'!$K$6,".",IF(A4988=".",1,A4988+1))</f>
        <v>.</v>
      </c>
      <c r="B4989" s="244" t="str">
        <f t="shared" si="77"/>
        <v>Total Knee ReplacementProviderUNIVERSITY HOSPITALS OF NORTH MIDLANDS NHS TRUST (RJE)EQ VAS</v>
      </c>
      <c r="C4989" t="s">
        <v>975</v>
      </c>
      <c r="D4989" t="s">
        <v>965</v>
      </c>
      <c r="E4989" t="s">
        <v>692</v>
      </c>
      <c r="F4989" t="s">
        <v>693</v>
      </c>
      <c r="G4989" t="s">
        <v>752</v>
      </c>
      <c r="H4989">
        <v>18</v>
      </c>
      <c r="I4989">
        <v>61.666699999999999</v>
      </c>
      <c r="J4989">
        <v>65.222200000000001</v>
      </c>
      <c r="K4989">
        <v>3.5555599999999998</v>
      </c>
      <c r="L4989">
        <v>11</v>
      </c>
      <c r="M4989">
        <v>1</v>
      </c>
      <c r="N4989">
        <v>6</v>
      </c>
      <c r="O4989" t="s">
        <v>127</v>
      </c>
      <c r="P4989" t="s">
        <v>127</v>
      </c>
      <c r="Q4989" t="s">
        <v>127</v>
      </c>
    </row>
    <row r="4990" spans="1:17" x14ac:dyDescent="0.25">
      <c r="A4990" t="str">
        <f>IF(C4990&amp;G4990&amp;D4990&lt;&gt;'Funnel setup'!$K$3&amp;'Funnel setup'!$K$4&amp;'Funnel setup'!$K$6,".",IF(A4989=".",1,A4989+1))</f>
        <v>.</v>
      </c>
      <c r="B4990" s="244" t="str">
        <f t="shared" si="77"/>
        <v>Total Knee ReplacementProviderUNIVERSITY HOSPITALS PLYMOUTH NHS TRUST (RK9)EQ VAS</v>
      </c>
      <c r="C4990" t="s">
        <v>975</v>
      </c>
      <c r="D4990" t="s">
        <v>965</v>
      </c>
      <c r="E4990" t="s">
        <v>694</v>
      </c>
      <c r="F4990" t="s">
        <v>695</v>
      </c>
      <c r="G4990" t="s">
        <v>752</v>
      </c>
      <c r="H4990">
        <v>4</v>
      </c>
      <c r="I4990">
        <v>32.5</v>
      </c>
      <c r="J4990">
        <v>51.25</v>
      </c>
      <c r="K4990">
        <v>18.75</v>
      </c>
      <c r="L4990">
        <v>2</v>
      </c>
      <c r="M4990">
        <v>0</v>
      </c>
      <c r="N4990">
        <v>2</v>
      </c>
      <c r="O4990" t="s">
        <v>127</v>
      </c>
      <c r="P4990" t="s">
        <v>127</v>
      </c>
      <c r="Q4990" t="s">
        <v>127</v>
      </c>
    </row>
    <row r="4991" spans="1:17" x14ac:dyDescent="0.25">
      <c r="A4991" t="str">
        <f>IF(C4991&amp;G4991&amp;D4991&lt;&gt;'Funnel setup'!$K$3&amp;'Funnel setup'!$K$4&amp;'Funnel setup'!$K$6,".",IF(A4990=".",1,A4990+1))</f>
        <v>.</v>
      </c>
      <c r="B4991" s="244" t="str">
        <f t="shared" si="77"/>
        <v>Total Knee ReplacementProviderUNIVERSITY HOSPITALS SUSSEX NHS FOUNDATION TRUST (RYR)EQ VAS</v>
      </c>
      <c r="C4991" t="s">
        <v>975</v>
      </c>
      <c r="D4991" t="s">
        <v>965</v>
      </c>
      <c r="E4991" t="s">
        <v>696</v>
      </c>
      <c r="F4991" t="s">
        <v>697</v>
      </c>
      <c r="G4991" t="s">
        <v>752</v>
      </c>
      <c r="H4991">
        <v>127</v>
      </c>
      <c r="I4991">
        <v>62.724400000000003</v>
      </c>
      <c r="J4991">
        <v>71.842500000000001</v>
      </c>
      <c r="K4991">
        <v>9.1181099999999997</v>
      </c>
      <c r="L4991">
        <v>82</v>
      </c>
      <c r="M4991">
        <v>10</v>
      </c>
      <c r="N4991">
        <v>35</v>
      </c>
      <c r="O4991">
        <v>72.328999999999994</v>
      </c>
      <c r="P4991">
        <v>7.0232700000000001</v>
      </c>
      <c r="Q4991">
        <v>17.5503</v>
      </c>
    </row>
    <row r="4992" spans="1:17" x14ac:dyDescent="0.25">
      <c r="A4992" t="str">
        <f>IF(C4992&amp;G4992&amp;D4992&lt;&gt;'Funnel setup'!$K$3&amp;'Funnel setup'!$K$4&amp;'Funnel setup'!$K$6,".",IF(A4991=".",1,A4991+1))</f>
        <v>.</v>
      </c>
      <c r="B4992" s="244" t="str">
        <f t="shared" si="77"/>
        <v>Total Knee ReplacementProviderWALSALL HEALTHCARE NHS TRUST (RBK)EQ VAS</v>
      </c>
      <c r="C4992" t="s">
        <v>975</v>
      </c>
      <c r="D4992" t="s">
        <v>965</v>
      </c>
      <c r="E4992" t="s">
        <v>698</v>
      </c>
      <c r="F4992" t="s">
        <v>699</v>
      </c>
      <c r="G4992" t="s">
        <v>752</v>
      </c>
      <c r="H4992">
        <v>8</v>
      </c>
      <c r="I4992">
        <v>77.125</v>
      </c>
      <c r="J4992">
        <v>75.5</v>
      </c>
      <c r="K4992">
        <v>-1.625</v>
      </c>
      <c r="L4992">
        <v>5</v>
      </c>
      <c r="M4992">
        <v>0</v>
      </c>
      <c r="N4992">
        <v>3</v>
      </c>
      <c r="O4992" t="s">
        <v>127</v>
      </c>
      <c r="P4992" t="s">
        <v>127</v>
      </c>
      <c r="Q4992" t="s">
        <v>127</v>
      </c>
    </row>
    <row r="4993" spans="1:17" x14ac:dyDescent="0.25">
      <c r="A4993" t="str">
        <f>IF(C4993&amp;G4993&amp;D4993&lt;&gt;'Funnel setup'!$K$3&amp;'Funnel setup'!$K$4&amp;'Funnel setup'!$K$6,".",IF(A4992=".",1,A4992+1))</f>
        <v>.</v>
      </c>
      <c r="B4993" s="244" t="str">
        <f t="shared" si="77"/>
        <v>Total Knee ReplacementProviderWARRINGTON AND HALTON TEACHING HOSPITALS NHS FOUNDATION TRUST (RWW)EQ VAS</v>
      </c>
      <c r="C4993" t="s">
        <v>975</v>
      </c>
      <c r="D4993" t="s">
        <v>965</v>
      </c>
      <c r="E4993" t="s">
        <v>700</v>
      </c>
      <c r="F4993" t="s">
        <v>701</v>
      </c>
      <c r="G4993" t="s">
        <v>752</v>
      </c>
      <c r="H4993">
        <v>29</v>
      </c>
      <c r="I4993">
        <v>66.172399999999996</v>
      </c>
      <c r="J4993">
        <v>67.793099999999995</v>
      </c>
      <c r="K4993">
        <v>1.62069</v>
      </c>
      <c r="L4993">
        <v>15</v>
      </c>
      <c r="M4993">
        <v>3</v>
      </c>
      <c r="N4993">
        <v>11</v>
      </c>
      <c r="O4993" t="s">
        <v>127</v>
      </c>
      <c r="P4993" t="s">
        <v>127</v>
      </c>
      <c r="Q4993" t="s">
        <v>127</v>
      </c>
    </row>
    <row r="4994" spans="1:17" x14ac:dyDescent="0.25">
      <c r="A4994" t="str">
        <f>IF(C4994&amp;G4994&amp;D4994&lt;&gt;'Funnel setup'!$K$3&amp;'Funnel setup'!$K$4&amp;'Funnel setup'!$K$6,".",IF(A4993=".",1,A4993+1))</f>
        <v>.</v>
      </c>
      <c r="B4994" s="244" t="str">
        <f t="shared" ref="B4994:B5057" si="78">C4994&amp;D4994&amp;F4994&amp;G4994</f>
        <v>Total Knee ReplacementProviderWEST HERTFORDSHIRE TEACHING HOSPITALS NHS TRUST (RWG)EQ VAS</v>
      </c>
      <c r="C4994" t="s">
        <v>975</v>
      </c>
      <c r="D4994" t="s">
        <v>965</v>
      </c>
      <c r="E4994" t="s">
        <v>702</v>
      </c>
      <c r="F4994" t="s">
        <v>703</v>
      </c>
      <c r="G4994" t="s">
        <v>752</v>
      </c>
      <c r="H4994">
        <v>74</v>
      </c>
      <c r="I4994">
        <v>65.621600000000001</v>
      </c>
      <c r="J4994">
        <v>72.5</v>
      </c>
      <c r="K4994">
        <v>6.8783799999999999</v>
      </c>
      <c r="L4994">
        <v>44</v>
      </c>
      <c r="M4994">
        <v>8</v>
      </c>
      <c r="N4994">
        <v>22</v>
      </c>
      <c r="O4994">
        <v>72.475300000000004</v>
      </c>
      <c r="P4994">
        <v>7.1695399999999996</v>
      </c>
      <c r="Q4994">
        <v>16.296500000000002</v>
      </c>
    </row>
    <row r="4995" spans="1:17" x14ac:dyDescent="0.25">
      <c r="A4995" t="str">
        <f>IF(C4995&amp;G4995&amp;D4995&lt;&gt;'Funnel setup'!$K$3&amp;'Funnel setup'!$K$4&amp;'Funnel setup'!$K$6,".",IF(A4994=".",1,A4994+1))</f>
        <v>.</v>
      </c>
      <c r="B4995" s="244" t="str">
        <f t="shared" si="78"/>
        <v>Total Knee ReplacementProviderWEST MIDLANDS HOSPITAL (NVC21)EQ VAS</v>
      </c>
      <c r="C4995" t="s">
        <v>975</v>
      </c>
      <c r="D4995" t="s">
        <v>965</v>
      </c>
      <c r="E4995" t="s">
        <v>704</v>
      </c>
      <c r="F4995" t="s">
        <v>705</v>
      </c>
      <c r="G4995" t="s">
        <v>752</v>
      </c>
      <c r="H4995">
        <v>61</v>
      </c>
      <c r="I4995">
        <v>57.934399999999997</v>
      </c>
      <c r="J4995">
        <v>73.147499999999994</v>
      </c>
      <c r="K4995">
        <v>15.213100000000001</v>
      </c>
      <c r="L4995">
        <v>46</v>
      </c>
      <c r="M4995">
        <v>4</v>
      </c>
      <c r="N4995">
        <v>11</v>
      </c>
      <c r="O4995">
        <v>76.521600000000007</v>
      </c>
      <c r="P4995">
        <v>11.2159</v>
      </c>
      <c r="Q4995">
        <v>18.275200000000002</v>
      </c>
    </row>
    <row r="4996" spans="1:17" x14ac:dyDescent="0.25">
      <c r="A4996" t="str">
        <f>IF(C4996&amp;G4996&amp;D4996&lt;&gt;'Funnel setup'!$K$3&amp;'Funnel setup'!$K$4&amp;'Funnel setup'!$K$6,".",IF(A4995=".",1,A4995+1))</f>
        <v>.</v>
      </c>
      <c r="B4996" s="244" t="str">
        <f t="shared" si="78"/>
        <v>Total Knee ReplacementProviderWEST SUFFOLK NHS FOUNDATION TRUST (RGR)EQ VAS</v>
      </c>
      <c r="C4996" t="s">
        <v>975</v>
      </c>
      <c r="D4996" t="s">
        <v>965</v>
      </c>
      <c r="E4996" t="s">
        <v>706</v>
      </c>
      <c r="F4996" t="s">
        <v>707</v>
      </c>
      <c r="G4996" t="s">
        <v>752</v>
      </c>
      <c r="H4996">
        <v>71</v>
      </c>
      <c r="I4996">
        <v>62.563400000000001</v>
      </c>
      <c r="J4996">
        <v>70.450699999999998</v>
      </c>
      <c r="K4996">
        <v>7.8873199999999999</v>
      </c>
      <c r="L4996">
        <v>45</v>
      </c>
      <c r="M4996">
        <v>9</v>
      </c>
      <c r="N4996">
        <v>17</v>
      </c>
      <c r="O4996">
        <v>71.787599999999998</v>
      </c>
      <c r="P4996">
        <v>6.4818499999999997</v>
      </c>
      <c r="Q4996">
        <v>17.250499999999999</v>
      </c>
    </row>
    <row r="4997" spans="1:17" x14ac:dyDescent="0.25">
      <c r="A4997" t="str">
        <f>IF(C4997&amp;G4997&amp;D4997&lt;&gt;'Funnel setup'!$K$3&amp;'Funnel setup'!$K$4&amp;'Funnel setup'!$K$6,".",IF(A4996=".",1,A4996+1))</f>
        <v>.</v>
      </c>
      <c r="B4997" s="244" t="str">
        <f t="shared" si="78"/>
        <v>Total Knee ReplacementProviderWINFIELD HOSPITAL (NVC22)EQ VAS</v>
      </c>
      <c r="C4997" t="s">
        <v>975</v>
      </c>
      <c r="D4997" t="s">
        <v>965</v>
      </c>
      <c r="E4997" t="s">
        <v>710</v>
      </c>
      <c r="F4997" t="s">
        <v>711</v>
      </c>
      <c r="G4997" t="s">
        <v>752</v>
      </c>
      <c r="H4997">
        <v>51</v>
      </c>
      <c r="I4997">
        <v>71.470600000000005</v>
      </c>
      <c r="J4997">
        <v>81.235299999999995</v>
      </c>
      <c r="K4997">
        <v>9.7647099999999991</v>
      </c>
      <c r="L4997">
        <v>34</v>
      </c>
      <c r="M4997">
        <v>6</v>
      </c>
      <c r="N4997">
        <v>11</v>
      </c>
      <c r="O4997">
        <v>76.870800000000003</v>
      </c>
      <c r="P4997">
        <v>11.565099999999999</v>
      </c>
      <c r="Q4997">
        <v>16.419699999999999</v>
      </c>
    </row>
    <row r="4998" spans="1:17" x14ac:dyDescent="0.25">
      <c r="A4998" t="str">
        <f>IF(C4998&amp;G4998&amp;D4998&lt;&gt;'Funnel setup'!$K$3&amp;'Funnel setup'!$K$4&amp;'Funnel setup'!$K$6,".",IF(A4997=".",1,A4997+1))</f>
        <v>.</v>
      </c>
      <c r="B4998" s="244" t="str">
        <f t="shared" si="78"/>
        <v>Total Knee ReplacementProviderWINTERBOURNE HOSPITAL (NT443)EQ VAS</v>
      </c>
      <c r="C4998" t="s">
        <v>975</v>
      </c>
      <c r="D4998" t="s">
        <v>965</v>
      </c>
      <c r="E4998" t="s">
        <v>712</v>
      </c>
      <c r="F4998" t="s">
        <v>713</v>
      </c>
      <c r="G4998" t="s">
        <v>752</v>
      </c>
      <c r="H4998">
        <v>35</v>
      </c>
      <c r="I4998">
        <v>65.8857</v>
      </c>
      <c r="J4998">
        <v>80.257099999999994</v>
      </c>
      <c r="K4998">
        <v>14.3714</v>
      </c>
      <c r="L4998">
        <v>23</v>
      </c>
      <c r="M4998">
        <v>7</v>
      </c>
      <c r="N4998">
        <v>5</v>
      </c>
      <c r="O4998">
        <v>78.408600000000007</v>
      </c>
      <c r="P4998">
        <v>13.1029</v>
      </c>
      <c r="Q4998">
        <v>12.6989</v>
      </c>
    </row>
    <row r="4999" spans="1:17" x14ac:dyDescent="0.25">
      <c r="A4999" t="str">
        <f>IF(C4999&amp;G4999&amp;D4999&lt;&gt;'Funnel setup'!$K$3&amp;'Funnel setup'!$K$4&amp;'Funnel setup'!$K$6,".",IF(A4998=".",1,A4998+1))</f>
        <v>.</v>
      </c>
      <c r="B4999" s="244" t="str">
        <f t="shared" si="78"/>
        <v>Total Knee ReplacementProviderWIRRAL UNIVERSITY TEACHING HOSPITAL NHS FOUNDATION TRUST (RBL)EQ VAS</v>
      </c>
      <c r="C4999" t="s">
        <v>975</v>
      </c>
      <c r="D4999" t="s">
        <v>965</v>
      </c>
      <c r="E4999" t="s">
        <v>714</v>
      </c>
      <c r="F4999" t="s">
        <v>715</v>
      </c>
      <c r="G4999" t="s">
        <v>752</v>
      </c>
      <c r="H4999">
        <v>78</v>
      </c>
      <c r="I4999">
        <v>68.935900000000004</v>
      </c>
      <c r="J4999">
        <v>73.448700000000002</v>
      </c>
      <c r="K4999">
        <v>4.5128199999999996</v>
      </c>
      <c r="L4999">
        <v>41</v>
      </c>
      <c r="M4999">
        <v>7</v>
      </c>
      <c r="N4999">
        <v>30</v>
      </c>
      <c r="O4999">
        <v>71.808499999999995</v>
      </c>
      <c r="P4999">
        <v>6.5027799999999996</v>
      </c>
      <c r="Q4999">
        <v>19.664100000000001</v>
      </c>
    </row>
    <row r="5000" spans="1:17" x14ac:dyDescent="0.25">
      <c r="A5000" t="str">
        <f>IF(C5000&amp;G5000&amp;D5000&lt;&gt;'Funnel setup'!$K$3&amp;'Funnel setup'!$K$4&amp;'Funnel setup'!$K$6,".",IF(A4999=".",1,A4999+1))</f>
        <v>.</v>
      </c>
      <c r="B5000" s="244" t="str">
        <f t="shared" si="78"/>
        <v>Total Knee ReplacementProviderWOODLAND HOSPITAL (NVC23)EQ VAS</v>
      </c>
      <c r="C5000" t="s">
        <v>975</v>
      </c>
      <c r="D5000" t="s">
        <v>965</v>
      </c>
      <c r="E5000" t="s">
        <v>716</v>
      </c>
      <c r="F5000" t="s">
        <v>717</v>
      </c>
      <c r="G5000" t="s">
        <v>752</v>
      </c>
      <c r="H5000">
        <v>58</v>
      </c>
      <c r="I5000">
        <v>57.913800000000002</v>
      </c>
      <c r="J5000">
        <v>73.948300000000003</v>
      </c>
      <c r="K5000">
        <v>16.034500000000001</v>
      </c>
      <c r="L5000">
        <v>41</v>
      </c>
      <c r="M5000">
        <v>3</v>
      </c>
      <c r="N5000">
        <v>14</v>
      </c>
      <c r="O5000">
        <v>73.598399999999998</v>
      </c>
      <c r="P5000">
        <v>8.2927</v>
      </c>
      <c r="Q5000">
        <v>18.363</v>
      </c>
    </row>
    <row r="5001" spans="1:17" x14ac:dyDescent="0.25">
      <c r="A5001" t="str">
        <f>IF(C5001&amp;G5001&amp;D5001&lt;&gt;'Funnel setup'!$K$3&amp;'Funnel setup'!$K$4&amp;'Funnel setup'!$K$6,".",IF(A5000=".",1,A5000+1))</f>
        <v>.</v>
      </c>
      <c r="B5001" s="244" t="str">
        <f t="shared" si="78"/>
        <v>Total Knee ReplacementProviderWOODLANDS HOSPITAL (NT457)EQ VAS</v>
      </c>
      <c r="C5001" t="s">
        <v>975</v>
      </c>
      <c r="D5001" t="s">
        <v>965</v>
      </c>
      <c r="E5001" t="s">
        <v>718</v>
      </c>
      <c r="F5001" t="s">
        <v>719</v>
      </c>
      <c r="G5001" t="s">
        <v>752</v>
      </c>
      <c r="H5001">
        <v>79</v>
      </c>
      <c r="I5001">
        <v>67.227800000000002</v>
      </c>
      <c r="J5001">
        <v>75.784800000000004</v>
      </c>
      <c r="K5001">
        <v>8.5569600000000001</v>
      </c>
      <c r="L5001">
        <v>50</v>
      </c>
      <c r="M5001">
        <v>14</v>
      </c>
      <c r="N5001">
        <v>15</v>
      </c>
      <c r="O5001">
        <v>73.193600000000004</v>
      </c>
      <c r="P5001">
        <v>7.8879000000000001</v>
      </c>
      <c r="Q5001">
        <v>13.773</v>
      </c>
    </row>
    <row r="5002" spans="1:17" x14ac:dyDescent="0.25">
      <c r="A5002" t="str">
        <f>IF(C5002&amp;G5002&amp;D5002&lt;&gt;'Funnel setup'!$K$3&amp;'Funnel setup'!$K$4&amp;'Funnel setup'!$K$6,".",IF(A5001=".",1,A5001+1))</f>
        <v>.</v>
      </c>
      <c r="B5002" s="244" t="str">
        <f t="shared" si="78"/>
        <v>Total Knee ReplacementProviderWOODTHORPE HOSPITAL (NVC40)EQ VAS</v>
      </c>
      <c r="C5002" t="s">
        <v>975</v>
      </c>
      <c r="D5002" t="s">
        <v>965</v>
      </c>
      <c r="E5002" t="s">
        <v>720</v>
      </c>
      <c r="F5002" t="s">
        <v>721</v>
      </c>
      <c r="G5002" t="s">
        <v>752</v>
      </c>
      <c r="H5002">
        <v>108</v>
      </c>
      <c r="I5002">
        <v>65.881799999999998</v>
      </c>
      <c r="J5002">
        <v>73</v>
      </c>
      <c r="K5002">
        <v>7.1181799999999997</v>
      </c>
      <c r="L5002">
        <v>64</v>
      </c>
      <c r="M5002">
        <v>14</v>
      </c>
      <c r="N5002">
        <v>30</v>
      </c>
      <c r="O5002">
        <v>71.427400000000006</v>
      </c>
      <c r="P5002">
        <v>6.1216499999999998</v>
      </c>
      <c r="Q5002">
        <v>17.590299999999999</v>
      </c>
    </row>
    <row r="5003" spans="1:17" x14ac:dyDescent="0.25">
      <c r="A5003" t="str">
        <f>IF(C5003&amp;G5003&amp;D5003&lt;&gt;'Funnel setup'!$K$3&amp;'Funnel setup'!$K$4&amp;'Funnel setup'!$K$6,".",IF(A5002=".",1,A5002+1))</f>
        <v>.</v>
      </c>
      <c r="B5003" s="244" t="str">
        <f t="shared" si="78"/>
        <v>Total Knee ReplacementProviderWORCESTERSHIRE ACUTE HOSPITALS NHS TRUST (RWP)EQ VAS</v>
      </c>
      <c r="C5003" t="s">
        <v>975</v>
      </c>
      <c r="D5003" t="s">
        <v>965</v>
      </c>
      <c r="E5003" t="s">
        <v>722</v>
      </c>
      <c r="F5003" t="s">
        <v>723</v>
      </c>
      <c r="G5003" t="s">
        <v>752</v>
      </c>
      <c r="H5003">
        <v>48</v>
      </c>
      <c r="I5003">
        <v>67.916700000000006</v>
      </c>
      <c r="J5003">
        <v>66.1875</v>
      </c>
      <c r="K5003">
        <v>-1.7291700000000001</v>
      </c>
      <c r="L5003">
        <v>21</v>
      </c>
      <c r="M5003">
        <v>3</v>
      </c>
      <c r="N5003">
        <v>24</v>
      </c>
      <c r="O5003">
        <v>65.903899999999993</v>
      </c>
      <c r="P5003">
        <v>0.59815200000000002</v>
      </c>
      <c r="Q5003">
        <v>24.579799999999999</v>
      </c>
    </row>
    <row r="5004" spans="1:17" x14ac:dyDescent="0.25">
      <c r="A5004" t="str">
        <f>IF(C5004&amp;G5004&amp;D5004&lt;&gt;'Funnel setup'!$K$3&amp;'Funnel setup'!$K$4&amp;'Funnel setup'!$K$6,".",IF(A5003=".",1,A5003+1))</f>
        <v>.</v>
      </c>
      <c r="B5004" s="244" t="str">
        <f t="shared" si="78"/>
        <v>Total Knee ReplacementProviderWRIGHTINGTON, WIGAN AND LEIGH NHS FOUNDATION TRUST (RRF)EQ VAS</v>
      </c>
      <c r="C5004" t="s">
        <v>975</v>
      </c>
      <c r="D5004" t="s">
        <v>965</v>
      </c>
      <c r="E5004" t="s">
        <v>724</v>
      </c>
      <c r="F5004" t="s">
        <v>725</v>
      </c>
      <c r="G5004" t="s">
        <v>752</v>
      </c>
      <c r="H5004">
        <v>10</v>
      </c>
      <c r="I5004">
        <v>70.099999999999994</v>
      </c>
      <c r="J5004">
        <v>73.400000000000006</v>
      </c>
      <c r="K5004">
        <v>3.3</v>
      </c>
      <c r="L5004">
        <v>5</v>
      </c>
      <c r="M5004">
        <v>0</v>
      </c>
      <c r="N5004">
        <v>5</v>
      </c>
      <c r="O5004" t="s">
        <v>127</v>
      </c>
      <c r="P5004" t="s">
        <v>127</v>
      </c>
      <c r="Q5004" t="s">
        <v>127</v>
      </c>
    </row>
    <row r="5005" spans="1:17" x14ac:dyDescent="0.25">
      <c r="A5005" t="str">
        <f>IF(C5005&amp;G5005&amp;D5005&lt;&gt;'Funnel setup'!$K$3&amp;'Funnel setup'!$K$4&amp;'Funnel setup'!$K$6,".",IF(A5004=".",1,A5004+1))</f>
        <v>.</v>
      </c>
      <c r="B5005" s="244" t="str">
        <f t="shared" si="78"/>
        <v>Total Knee ReplacementProviderWYE VALLEY NHS TRUST (RLQ)EQ VAS</v>
      </c>
      <c r="C5005" t="s">
        <v>975</v>
      </c>
      <c r="D5005" t="s">
        <v>965</v>
      </c>
      <c r="E5005" t="s">
        <v>726</v>
      </c>
      <c r="F5005" t="s">
        <v>727</v>
      </c>
      <c r="G5005" t="s">
        <v>752</v>
      </c>
      <c r="H5005">
        <v>32</v>
      </c>
      <c r="I5005">
        <v>69.406300000000002</v>
      </c>
      <c r="J5005">
        <v>74.5625</v>
      </c>
      <c r="K5005">
        <v>5.15625</v>
      </c>
      <c r="L5005">
        <v>17</v>
      </c>
      <c r="M5005">
        <v>5</v>
      </c>
      <c r="N5005">
        <v>10</v>
      </c>
      <c r="O5005">
        <v>73.116</v>
      </c>
      <c r="P5005">
        <v>7.8103300000000004</v>
      </c>
      <c r="Q5005">
        <v>17.631699999999999</v>
      </c>
    </row>
    <row r="5006" spans="1:17" x14ac:dyDescent="0.25">
      <c r="A5006" t="str">
        <f>IF(C5006&amp;G5006&amp;D5006&lt;&gt;'Funnel setup'!$K$3&amp;'Funnel setup'!$K$4&amp;'Funnel setup'!$K$6,".",IF(A5005=".",1,A5005+1))</f>
        <v>.</v>
      </c>
      <c r="B5006" s="244" t="str">
        <f t="shared" si="78"/>
        <v>Total Knee ReplacementProviderYEOVIL DISTRICT HOSPITAL NHS FOUNDATION TRUST (RA4)EQ VAS</v>
      </c>
      <c r="C5006" t="s">
        <v>975</v>
      </c>
      <c r="D5006" t="s">
        <v>965</v>
      </c>
      <c r="E5006" t="s">
        <v>728</v>
      </c>
      <c r="F5006" t="s">
        <v>729</v>
      </c>
      <c r="G5006" t="s">
        <v>752</v>
      </c>
      <c r="H5006" t="s">
        <v>968</v>
      </c>
      <c r="I5006" t="s">
        <v>968</v>
      </c>
      <c r="J5006" t="s">
        <v>968</v>
      </c>
      <c r="K5006" t="s">
        <v>968</v>
      </c>
      <c r="L5006" t="s">
        <v>968</v>
      </c>
      <c r="M5006" t="s">
        <v>968</v>
      </c>
      <c r="N5006" t="s">
        <v>968</v>
      </c>
      <c r="O5006" t="s">
        <v>968</v>
      </c>
      <c r="P5006" t="s">
        <v>968</v>
      </c>
      <c r="Q5006" t="s">
        <v>968</v>
      </c>
    </row>
    <row r="5007" spans="1:17" x14ac:dyDescent="0.25">
      <c r="A5007" t="str">
        <f>IF(C5007&amp;G5007&amp;D5007&lt;&gt;'Funnel setup'!$K$3&amp;'Funnel setup'!$K$4&amp;'Funnel setup'!$K$6,".",IF(A5006=".",1,A5006+1))</f>
        <v>.</v>
      </c>
      <c r="B5007" s="244" t="str">
        <f t="shared" si="78"/>
        <v>Total Knee ReplacementProviderSULIS HOSPITAL BATHEQ-5D Index</v>
      </c>
      <c r="C5007" t="s">
        <v>975</v>
      </c>
      <c r="D5007" t="s">
        <v>965</v>
      </c>
      <c r="E5007" t="s">
        <v>732</v>
      </c>
      <c r="F5007" t="s">
        <v>1325</v>
      </c>
      <c r="G5007" t="s">
        <v>963</v>
      </c>
      <c r="H5007">
        <v>35</v>
      </c>
      <c r="I5007">
        <v>0.49740000000000001</v>
      </c>
      <c r="J5007">
        <v>0.7742</v>
      </c>
      <c r="K5007">
        <v>0.27679999999999999</v>
      </c>
      <c r="L5007">
        <v>26</v>
      </c>
      <c r="M5007">
        <v>6</v>
      </c>
      <c r="N5007">
        <v>3</v>
      </c>
      <c r="O5007">
        <v>0.74939100000000003</v>
      </c>
      <c r="P5007">
        <v>0.32509399999999999</v>
      </c>
      <c r="Q5007">
        <v>0.17890200000000001</v>
      </c>
    </row>
    <row r="5008" spans="1:17" x14ac:dyDescent="0.25">
      <c r="A5008" t="str">
        <f>IF(C5008&amp;G5008&amp;D5008&lt;&gt;'Funnel setup'!$K$3&amp;'Funnel setup'!$K$4&amp;'Funnel setup'!$K$6,".",IF(A5007=".",1,A5007+1))</f>
        <v>.</v>
      </c>
      <c r="B5008" s="244" t="str">
        <f t="shared" si="78"/>
        <v>Total Knee ReplacementProviderAIREDALE NHS FOUNDATION TRUST (RCF)EQ-5D Index</v>
      </c>
      <c r="C5008" t="s">
        <v>975</v>
      </c>
      <c r="D5008" t="s">
        <v>965</v>
      </c>
      <c r="E5008" t="s">
        <v>125</v>
      </c>
      <c r="F5008" t="s">
        <v>126</v>
      </c>
      <c r="G5008" t="s">
        <v>963</v>
      </c>
      <c r="H5008">
        <v>31</v>
      </c>
      <c r="I5008">
        <v>0.36767699999999998</v>
      </c>
      <c r="J5008">
        <v>0.76371</v>
      </c>
      <c r="K5008">
        <v>0.396032</v>
      </c>
      <c r="L5008">
        <v>28</v>
      </c>
      <c r="M5008">
        <v>1</v>
      </c>
      <c r="N5008">
        <v>2</v>
      </c>
      <c r="O5008">
        <v>0.76301099999999999</v>
      </c>
      <c r="P5008">
        <v>0.33871400000000002</v>
      </c>
      <c r="Q5008">
        <v>0.288547</v>
      </c>
    </row>
    <row r="5009" spans="1:17" x14ac:dyDescent="0.25">
      <c r="A5009" t="str">
        <f>IF(C5009&amp;G5009&amp;D5009&lt;&gt;'Funnel setup'!$K$3&amp;'Funnel setup'!$K$4&amp;'Funnel setup'!$K$6,".",IF(A5008=".",1,A5008+1))</f>
        <v>.</v>
      </c>
      <c r="B5009" s="244" t="str">
        <f t="shared" si="78"/>
        <v>Total Knee ReplacementProviderALEXANDRA HOSPITAL (NT401)EQ-5D Index</v>
      </c>
      <c r="C5009" t="s">
        <v>975</v>
      </c>
      <c r="D5009" t="s">
        <v>965</v>
      </c>
      <c r="E5009" t="s">
        <v>130</v>
      </c>
      <c r="F5009" t="s">
        <v>131</v>
      </c>
      <c r="G5009" t="s">
        <v>963</v>
      </c>
      <c r="H5009">
        <v>46</v>
      </c>
      <c r="I5009">
        <v>0.44397799999999998</v>
      </c>
      <c r="J5009">
        <v>0.74171699999999996</v>
      </c>
      <c r="K5009">
        <v>0.29773899999999998</v>
      </c>
      <c r="L5009">
        <v>38</v>
      </c>
      <c r="M5009">
        <v>2</v>
      </c>
      <c r="N5009">
        <v>6</v>
      </c>
      <c r="O5009">
        <v>0.71784999999999999</v>
      </c>
      <c r="P5009">
        <v>0.29355300000000001</v>
      </c>
      <c r="Q5009">
        <v>0.23624400000000001</v>
      </c>
    </row>
    <row r="5010" spans="1:17" x14ac:dyDescent="0.25">
      <c r="A5010" t="str">
        <f>IF(C5010&amp;G5010&amp;D5010&lt;&gt;'Funnel setup'!$K$3&amp;'Funnel setup'!$K$4&amp;'Funnel setup'!$K$6,".",IF(A5009=".",1,A5009+1))</f>
        <v>.</v>
      </c>
      <c r="B5010" s="244" t="str">
        <f t="shared" si="78"/>
        <v>Total Knee ReplacementProviderASHFORD AND ST PETER'S HOSPITALS NHS FOUNDATION TRUST (RTK)EQ-5D Index</v>
      </c>
      <c r="C5010" t="s">
        <v>975</v>
      </c>
      <c r="D5010" t="s">
        <v>965</v>
      </c>
      <c r="E5010" t="s">
        <v>132</v>
      </c>
      <c r="F5010" t="s">
        <v>133</v>
      </c>
      <c r="G5010" t="s">
        <v>963</v>
      </c>
      <c r="H5010">
        <v>31</v>
      </c>
      <c r="I5010">
        <v>0.46100000000000002</v>
      </c>
      <c r="J5010">
        <v>0.80032300000000001</v>
      </c>
      <c r="K5010">
        <v>0.33932299999999999</v>
      </c>
      <c r="L5010">
        <v>24</v>
      </c>
      <c r="M5010">
        <v>5</v>
      </c>
      <c r="N5010">
        <v>2</v>
      </c>
      <c r="O5010">
        <v>0.77092000000000005</v>
      </c>
      <c r="P5010">
        <v>0.34662300000000001</v>
      </c>
      <c r="Q5010">
        <v>0.22237399999999999</v>
      </c>
    </row>
    <row r="5011" spans="1:17" x14ac:dyDescent="0.25">
      <c r="A5011" t="str">
        <f>IF(C5011&amp;G5011&amp;D5011&lt;&gt;'Funnel setup'!$K$3&amp;'Funnel setup'!$K$4&amp;'Funnel setup'!$K$6,".",IF(A5010=".",1,A5010+1))</f>
        <v>.</v>
      </c>
      <c r="B5011" s="244" t="str">
        <f t="shared" si="78"/>
        <v>Total Knee ReplacementProviderASHTEAD HOSPITAL (NVC01)EQ-5D Index</v>
      </c>
      <c r="C5011" t="s">
        <v>975</v>
      </c>
      <c r="D5011" t="s">
        <v>965</v>
      </c>
      <c r="E5011" t="s">
        <v>134</v>
      </c>
      <c r="F5011" t="s">
        <v>135</v>
      </c>
      <c r="G5011" t="s">
        <v>963</v>
      </c>
      <c r="H5011">
        <v>4</v>
      </c>
      <c r="I5011">
        <v>0.55200000000000005</v>
      </c>
      <c r="J5011">
        <v>1</v>
      </c>
      <c r="K5011">
        <v>0.44800000000000001</v>
      </c>
      <c r="L5011">
        <v>4</v>
      </c>
      <c r="M5011">
        <v>0</v>
      </c>
      <c r="N5011">
        <v>0</v>
      </c>
      <c r="O5011" t="s">
        <v>127</v>
      </c>
      <c r="P5011" t="s">
        <v>127</v>
      </c>
      <c r="Q5011" t="s">
        <v>127</v>
      </c>
    </row>
    <row r="5012" spans="1:17" x14ac:dyDescent="0.25">
      <c r="A5012" t="str">
        <f>IF(C5012&amp;G5012&amp;D5012&lt;&gt;'Funnel setup'!$K$3&amp;'Funnel setup'!$K$4&amp;'Funnel setup'!$K$6,".",IF(A5011=".",1,A5011+1))</f>
        <v>.</v>
      </c>
      <c r="B5012" s="244" t="str">
        <f t="shared" si="78"/>
        <v>Total Knee ReplacementProviderBARKING, HAVERING AND REDBRIDGE UNIVERSITY HOSPITALS NHS TRUST (RF4)EQ-5D Index</v>
      </c>
      <c r="C5012" t="s">
        <v>975</v>
      </c>
      <c r="D5012" t="s">
        <v>965</v>
      </c>
      <c r="E5012" t="s">
        <v>144</v>
      </c>
      <c r="F5012" t="s">
        <v>145</v>
      </c>
      <c r="G5012" t="s">
        <v>963</v>
      </c>
      <c r="H5012">
        <v>61</v>
      </c>
      <c r="I5012">
        <v>0.39750799999999997</v>
      </c>
      <c r="J5012">
        <v>0.71191800000000005</v>
      </c>
      <c r="K5012">
        <v>0.31441000000000002</v>
      </c>
      <c r="L5012">
        <v>44</v>
      </c>
      <c r="M5012">
        <v>10</v>
      </c>
      <c r="N5012">
        <v>7</v>
      </c>
      <c r="O5012">
        <v>0.74049200000000004</v>
      </c>
      <c r="P5012">
        <v>0.316195</v>
      </c>
      <c r="Q5012">
        <v>0.216192</v>
      </c>
    </row>
    <row r="5013" spans="1:17" x14ac:dyDescent="0.25">
      <c r="A5013" t="str">
        <f>IF(C5013&amp;G5013&amp;D5013&lt;&gt;'Funnel setup'!$K$3&amp;'Funnel setup'!$K$4&amp;'Funnel setup'!$K$6,".",IF(A5012=".",1,A5012+1))</f>
        <v>.</v>
      </c>
      <c r="B5013" s="244" t="str">
        <f t="shared" si="78"/>
        <v>Total Knee ReplacementProviderBARNSLEY HOSPITAL NHS FOUNDATION TRUST (RFF)EQ-5D Index</v>
      </c>
      <c r="C5013" t="s">
        <v>975</v>
      </c>
      <c r="D5013" t="s">
        <v>965</v>
      </c>
      <c r="E5013" t="s">
        <v>146</v>
      </c>
      <c r="F5013" t="s">
        <v>147</v>
      </c>
      <c r="G5013" t="s">
        <v>963</v>
      </c>
      <c r="H5013">
        <v>50</v>
      </c>
      <c r="I5013">
        <v>0.37019999999999997</v>
      </c>
      <c r="J5013">
        <v>0.65188000000000001</v>
      </c>
      <c r="K5013">
        <v>0.28167999999999999</v>
      </c>
      <c r="L5013">
        <v>36</v>
      </c>
      <c r="M5013">
        <v>6</v>
      </c>
      <c r="N5013">
        <v>8</v>
      </c>
      <c r="O5013">
        <v>0.67388599999999999</v>
      </c>
      <c r="P5013">
        <v>0.24958900000000001</v>
      </c>
      <c r="Q5013">
        <v>0.303037</v>
      </c>
    </row>
    <row r="5014" spans="1:17" x14ac:dyDescent="0.25">
      <c r="A5014" t="str">
        <f>IF(C5014&amp;G5014&amp;D5014&lt;&gt;'Funnel setup'!$K$3&amp;'Funnel setup'!$K$4&amp;'Funnel setup'!$K$6,".",IF(A5013=".",1,A5013+1))</f>
        <v>.</v>
      </c>
      <c r="B5014" s="244" t="str">
        <f t="shared" si="78"/>
        <v>Total Knee ReplacementProviderBARTS HEALTH NHS TRUST (R1H)EQ-5D Index</v>
      </c>
      <c r="C5014" t="s">
        <v>975</v>
      </c>
      <c r="D5014" t="s">
        <v>965</v>
      </c>
      <c r="E5014" t="s">
        <v>148</v>
      </c>
      <c r="F5014" t="s">
        <v>149</v>
      </c>
      <c r="G5014" t="s">
        <v>963</v>
      </c>
      <c r="H5014">
        <v>68</v>
      </c>
      <c r="I5014">
        <v>0.38544099999999998</v>
      </c>
      <c r="J5014">
        <v>0.67805899999999997</v>
      </c>
      <c r="K5014">
        <v>0.29261799999999999</v>
      </c>
      <c r="L5014">
        <v>51</v>
      </c>
      <c r="M5014">
        <v>8</v>
      </c>
      <c r="N5014">
        <v>9</v>
      </c>
      <c r="O5014">
        <v>0.73985500000000004</v>
      </c>
      <c r="P5014">
        <v>0.31555800000000001</v>
      </c>
      <c r="Q5014">
        <v>0.25485400000000002</v>
      </c>
    </row>
    <row r="5015" spans="1:17" x14ac:dyDescent="0.25">
      <c r="A5015" t="str">
        <f>IF(C5015&amp;G5015&amp;D5015&lt;&gt;'Funnel setup'!$K$3&amp;'Funnel setup'!$K$4&amp;'Funnel setup'!$K$6,".",IF(A5014=".",1,A5014+1))</f>
        <v>.</v>
      </c>
      <c r="B5015" s="244" t="str">
        <f t="shared" si="78"/>
        <v>Total Knee ReplacementProviderBATH CLINIC (NT402)EQ-5D Index</v>
      </c>
      <c r="C5015" t="s">
        <v>975</v>
      </c>
      <c r="D5015" t="s">
        <v>965</v>
      </c>
      <c r="E5015" t="s">
        <v>152</v>
      </c>
      <c r="F5015" t="s">
        <v>153</v>
      </c>
      <c r="G5015" t="s">
        <v>963</v>
      </c>
      <c r="H5015">
        <v>52</v>
      </c>
      <c r="I5015">
        <v>0.51667300000000005</v>
      </c>
      <c r="J5015">
        <v>0.82284599999999997</v>
      </c>
      <c r="K5015">
        <v>0.30617299999999997</v>
      </c>
      <c r="L5015">
        <v>45</v>
      </c>
      <c r="M5015">
        <v>3</v>
      </c>
      <c r="N5015">
        <v>4</v>
      </c>
      <c r="O5015">
        <v>0.75891600000000004</v>
      </c>
      <c r="P5015">
        <v>0.334619</v>
      </c>
      <c r="Q5015">
        <v>0.20508399999999999</v>
      </c>
    </row>
    <row r="5016" spans="1:17" x14ac:dyDescent="0.25">
      <c r="A5016" t="str">
        <f>IF(C5016&amp;G5016&amp;D5016&lt;&gt;'Funnel setup'!$K$3&amp;'Funnel setup'!$K$4&amp;'Funnel setup'!$K$6,".",IF(A5015=".",1,A5015+1))</f>
        <v>.</v>
      </c>
      <c r="B5016" s="244" t="str">
        <f t="shared" si="78"/>
        <v>Total Knee ReplacementProviderBEARDWOOD HOSPITAL (NT403)EQ-5D Index</v>
      </c>
      <c r="C5016" t="s">
        <v>975</v>
      </c>
      <c r="D5016" t="s">
        <v>965</v>
      </c>
      <c r="E5016" t="s">
        <v>154</v>
      </c>
      <c r="F5016" t="s">
        <v>155</v>
      </c>
      <c r="G5016" t="s">
        <v>963</v>
      </c>
      <c r="H5016">
        <v>73</v>
      </c>
      <c r="I5016">
        <v>0.52522999999999997</v>
      </c>
      <c r="J5016">
        <v>0.79067600000000005</v>
      </c>
      <c r="K5016">
        <v>0.26544600000000002</v>
      </c>
      <c r="L5016">
        <v>62</v>
      </c>
      <c r="M5016">
        <v>8</v>
      </c>
      <c r="N5016">
        <v>3</v>
      </c>
      <c r="O5016">
        <v>0.74621199999999999</v>
      </c>
      <c r="P5016">
        <v>0.32191500000000001</v>
      </c>
      <c r="Q5016">
        <v>0.18069199999999999</v>
      </c>
    </row>
    <row r="5017" spans="1:17" x14ac:dyDescent="0.25">
      <c r="A5017" t="str">
        <f>IF(C5017&amp;G5017&amp;D5017&lt;&gt;'Funnel setup'!$K$3&amp;'Funnel setup'!$K$4&amp;'Funnel setup'!$K$6,".",IF(A5016=".",1,A5016+1))</f>
        <v>.</v>
      </c>
      <c r="B5017" s="244" t="str">
        <f t="shared" si="78"/>
        <v>Total Knee ReplacementProviderBEAUMONT HOSPITAL (NT404)EQ-5D Index</v>
      </c>
      <c r="C5017" t="s">
        <v>975</v>
      </c>
      <c r="D5017" t="s">
        <v>965</v>
      </c>
      <c r="E5017" t="s">
        <v>156</v>
      </c>
      <c r="F5017" t="s">
        <v>157</v>
      </c>
      <c r="G5017" t="s">
        <v>963</v>
      </c>
      <c r="H5017">
        <v>43</v>
      </c>
      <c r="I5017">
        <v>0.52759100000000003</v>
      </c>
      <c r="J5017">
        <v>0.79784100000000002</v>
      </c>
      <c r="K5017">
        <v>0.27024999999999999</v>
      </c>
      <c r="L5017">
        <v>38</v>
      </c>
      <c r="M5017">
        <v>1</v>
      </c>
      <c r="N5017">
        <v>4</v>
      </c>
      <c r="O5017">
        <v>0.75932100000000002</v>
      </c>
      <c r="P5017">
        <v>0.33502399999999999</v>
      </c>
      <c r="Q5017">
        <v>0.24094299999999999</v>
      </c>
    </row>
    <row r="5018" spans="1:17" x14ac:dyDescent="0.25">
      <c r="A5018" t="str">
        <f>IF(C5018&amp;G5018&amp;D5018&lt;&gt;'Funnel setup'!$K$3&amp;'Funnel setup'!$K$4&amp;'Funnel setup'!$K$6,".",IF(A5017=".",1,A5017+1))</f>
        <v>.</v>
      </c>
      <c r="B5018" s="244" t="str">
        <f t="shared" si="78"/>
        <v>Total Knee ReplacementProviderBEDFORDSHIRE HOSPITALS NHS FOUNDATION TRUST (RC9)EQ-5D Index</v>
      </c>
      <c r="C5018" t="s">
        <v>975</v>
      </c>
      <c r="D5018" t="s">
        <v>965</v>
      </c>
      <c r="E5018" t="s">
        <v>158</v>
      </c>
      <c r="F5018" t="s">
        <v>159</v>
      </c>
      <c r="G5018" t="s">
        <v>963</v>
      </c>
      <c r="H5018">
        <v>150</v>
      </c>
      <c r="I5018">
        <v>0.3674</v>
      </c>
      <c r="J5018">
        <v>0.70669300000000002</v>
      </c>
      <c r="K5018">
        <v>0.33929300000000001</v>
      </c>
      <c r="L5018">
        <v>122</v>
      </c>
      <c r="M5018">
        <v>9</v>
      </c>
      <c r="N5018">
        <v>19</v>
      </c>
      <c r="O5018">
        <v>0.72906800000000005</v>
      </c>
      <c r="P5018">
        <v>0.30476999999999999</v>
      </c>
      <c r="Q5018">
        <v>0.26357999999999998</v>
      </c>
    </row>
    <row r="5019" spans="1:17" x14ac:dyDescent="0.25">
      <c r="A5019" t="str">
        <f>IF(C5019&amp;G5019&amp;D5019&lt;&gt;'Funnel setup'!$K$3&amp;'Funnel setup'!$K$4&amp;'Funnel setup'!$K$6,".",IF(A5018=".",1,A5018+1))</f>
        <v>.</v>
      </c>
      <c r="B5019" s="244" t="str">
        <f t="shared" si="78"/>
        <v>Total Knee ReplacementProviderBENENDEN HOSPITAL (NWF01)EQ-5D Index</v>
      </c>
      <c r="C5019" t="s">
        <v>975</v>
      </c>
      <c r="D5019" t="s">
        <v>965</v>
      </c>
      <c r="E5019" t="s">
        <v>160</v>
      </c>
      <c r="F5019" t="s">
        <v>161</v>
      </c>
      <c r="G5019" t="s">
        <v>963</v>
      </c>
      <c r="H5019">
        <v>25</v>
      </c>
      <c r="I5019">
        <v>0.57732000000000006</v>
      </c>
      <c r="J5019">
        <v>0.81364000000000003</v>
      </c>
      <c r="K5019">
        <v>0.23632</v>
      </c>
      <c r="L5019">
        <v>19</v>
      </c>
      <c r="M5019">
        <v>3</v>
      </c>
      <c r="N5019">
        <v>3</v>
      </c>
      <c r="O5019" t="s">
        <v>127</v>
      </c>
      <c r="P5019" t="s">
        <v>127</v>
      </c>
      <c r="Q5019" t="s">
        <v>127</v>
      </c>
    </row>
    <row r="5020" spans="1:17" x14ac:dyDescent="0.25">
      <c r="A5020" t="str">
        <f>IF(C5020&amp;G5020&amp;D5020&lt;&gt;'Funnel setup'!$K$3&amp;'Funnel setup'!$K$4&amp;'Funnel setup'!$K$6,".",IF(A5019=".",1,A5019+1))</f>
        <v>.</v>
      </c>
      <c r="B5020" s="244" t="str">
        <f t="shared" si="78"/>
        <v>Total Knee ReplacementProviderBLACKHEATH HOSPITAL (NT406)EQ-5D Index</v>
      </c>
      <c r="C5020" t="s">
        <v>975</v>
      </c>
      <c r="D5020" t="s">
        <v>965</v>
      </c>
      <c r="E5020" t="s">
        <v>168</v>
      </c>
      <c r="F5020" t="s">
        <v>169</v>
      </c>
      <c r="G5020" t="s">
        <v>963</v>
      </c>
      <c r="H5020">
        <v>20</v>
      </c>
      <c r="I5020">
        <v>0.45074999999999998</v>
      </c>
      <c r="J5020">
        <v>0.76195000000000002</v>
      </c>
      <c r="K5020">
        <v>0.31119999999999998</v>
      </c>
      <c r="L5020">
        <v>17</v>
      </c>
      <c r="M5020">
        <v>0</v>
      </c>
      <c r="N5020">
        <v>3</v>
      </c>
      <c r="O5020" t="s">
        <v>127</v>
      </c>
      <c r="P5020" t="s">
        <v>127</v>
      </c>
      <c r="Q5020" t="s">
        <v>127</v>
      </c>
    </row>
    <row r="5021" spans="1:17" x14ac:dyDescent="0.25">
      <c r="A5021" t="str">
        <f>IF(C5021&amp;G5021&amp;D5021&lt;&gt;'Funnel setup'!$K$3&amp;'Funnel setup'!$K$4&amp;'Funnel setup'!$K$6,".",IF(A5020=".",1,A5020+1))</f>
        <v>.</v>
      </c>
      <c r="B5021" s="244" t="str">
        <f t="shared" si="78"/>
        <v>Total Knee ReplacementProviderBLACKPOOL TEACHING HOSPITALS NHS FOUNDATION TRUST (RXL)EQ-5D Index</v>
      </c>
      <c r="C5021" t="s">
        <v>975</v>
      </c>
      <c r="D5021" t="s">
        <v>965</v>
      </c>
      <c r="E5021" t="s">
        <v>170</v>
      </c>
      <c r="F5021" t="s">
        <v>171</v>
      </c>
      <c r="G5021" t="s">
        <v>963</v>
      </c>
      <c r="H5021">
        <v>60</v>
      </c>
      <c r="I5021">
        <v>0.45565</v>
      </c>
      <c r="J5021">
        <v>0.73238300000000001</v>
      </c>
      <c r="K5021">
        <v>0.27673300000000001</v>
      </c>
      <c r="L5021">
        <v>48</v>
      </c>
      <c r="M5021">
        <v>4</v>
      </c>
      <c r="N5021">
        <v>8</v>
      </c>
      <c r="O5021">
        <v>0.76902899999999996</v>
      </c>
      <c r="P5021">
        <v>0.34473199999999998</v>
      </c>
      <c r="Q5021">
        <v>0.22317500000000001</v>
      </c>
    </row>
    <row r="5022" spans="1:17" x14ac:dyDescent="0.25">
      <c r="A5022" t="str">
        <f>IF(C5022&amp;G5022&amp;D5022&lt;&gt;'Funnel setup'!$K$3&amp;'Funnel setup'!$K$4&amp;'Funnel setup'!$K$6,".",IF(A5021=".",1,A5021+1))</f>
        <v>.</v>
      </c>
      <c r="B5022" s="244" t="str">
        <f t="shared" si="78"/>
        <v>Total Knee ReplacementProviderBOLTON NHS FOUNDATION TRUST (RMC)EQ-5D Index</v>
      </c>
      <c r="C5022" t="s">
        <v>975</v>
      </c>
      <c r="D5022" t="s">
        <v>965</v>
      </c>
      <c r="E5022" t="s">
        <v>172</v>
      </c>
      <c r="F5022" t="s">
        <v>173</v>
      </c>
      <c r="G5022" t="s">
        <v>963</v>
      </c>
      <c r="H5022">
        <v>47</v>
      </c>
      <c r="I5022">
        <v>0.318021</v>
      </c>
      <c r="J5022">
        <v>0.718638</v>
      </c>
      <c r="K5022">
        <v>0.400617</v>
      </c>
      <c r="L5022">
        <v>40</v>
      </c>
      <c r="M5022">
        <v>5</v>
      </c>
      <c r="N5022">
        <v>2</v>
      </c>
      <c r="O5022">
        <v>0.767042</v>
      </c>
      <c r="P5022">
        <v>0.34274399999999999</v>
      </c>
      <c r="Q5022">
        <v>0.25602900000000001</v>
      </c>
    </row>
    <row r="5023" spans="1:17" x14ac:dyDescent="0.25">
      <c r="A5023" t="str">
        <f>IF(C5023&amp;G5023&amp;D5023&lt;&gt;'Funnel setup'!$K$3&amp;'Funnel setup'!$K$4&amp;'Funnel setup'!$K$6,".",IF(A5022=".",1,A5022+1))</f>
        <v>.</v>
      </c>
      <c r="B5023" s="244" t="str">
        <f t="shared" si="78"/>
        <v>Total Knee ReplacementProviderBRADFORD TEACHING HOSPITALS NHS FOUNDATION TRUST (RAE)EQ-5D Index</v>
      </c>
      <c r="C5023" t="s">
        <v>975</v>
      </c>
      <c r="D5023" t="s">
        <v>965</v>
      </c>
      <c r="E5023" t="s">
        <v>174</v>
      </c>
      <c r="F5023" t="s">
        <v>175</v>
      </c>
      <c r="G5023" t="s">
        <v>963</v>
      </c>
      <c r="H5023">
        <v>5</v>
      </c>
      <c r="I5023">
        <v>0.4602</v>
      </c>
      <c r="J5023">
        <v>0.75319999999999998</v>
      </c>
      <c r="K5023">
        <v>0.29299999999999998</v>
      </c>
      <c r="L5023">
        <v>5</v>
      </c>
      <c r="M5023">
        <v>0</v>
      </c>
      <c r="N5023">
        <v>0</v>
      </c>
      <c r="O5023" t="s">
        <v>127</v>
      </c>
      <c r="P5023" t="s">
        <v>127</v>
      </c>
      <c r="Q5023" t="s">
        <v>127</v>
      </c>
    </row>
    <row r="5024" spans="1:17" x14ac:dyDescent="0.25">
      <c r="A5024" t="str">
        <f>IF(C5024&amp;G5024&amp;D5024&lt;&gt;'Funnel setup'!$K$3&amp;'Funnel setup'!$K$4&amp;'Funnel setup'!$K$6,".",IF(A5023=".",1,A5023+1))</f>
        <v>.</v>
      </c>
      <c r="B5024" s="244" t="str">
        <f t="shared" si="78"/>
        <v>Total Knee ReplacementProviderBUCKINGHAMSHIRE HEALTHCARE NHS TRUST (RXQ)EQ-5D Index</v>
      </c>
      <c r="C5024" t="s">
        <v>975</v>
      </c>
      <c r="D5024" t="s">
        <v>965</v>
      </c>
      <c r="E5024" t="s">
        <v>178</v>
      </c>
      <c r="F5024" t="s">
        <v>179</v>
      </c>
      <c r="G5024" t="s">
        <v>963</v>
      </c>
      <c r="H5024">
        <v>77</v>
      </c>
      <c r="I5024">
        <v>0.394117</v>
      </c>
      <c r="J5024">
        <v>0.75376600000000005</v>
      </c>
      <c r="K5024">
        <v>0.359649</v>
      </c>
      <c r="L5024">
        <v>65</v>
      </c>
      <c r="M5024">
        <v>7</v>
      </c>
      <c r="N5024">
        <v>5</v>
      </c>
      <c r="O5024">
        <v>0.74543099999999995</v>
      </c>
      <c r="P5024">
        <v>0.32113399999999998</v>
      </c>
      <c r="Q5024">
        <v>0.21868399999999999</v>
      </c>
    </row>
    <row r="5025" spans="1:17" x14ac:dyDescent="0.25">
      <c r="A5025" t="str">
        <f>IF(C5025&amp;G5025&amp;D5025&lt;&gt;'Funnel setup'!$K$3&amp;'Funnel setup'!$K$4&amp;'Funnel setup'!$K$6,".",IF(A5024=".",1,A5024+1))</f>
        <v>.</v>
      </c>
      <c r="B5025" s="244" t="str">
        <f t="shared" si="78"/>
        <v>Total Knee ReplacementProviderCALDERDALE AND HUDDERSFIELD NHS FOUNDATION TRUST (RWY)EQ-5D Index</v>
      </c>
      <c r="C5025" t="s">
        <v>975</v>
      </c>
      <c r="D5025" t="s">
        <v>965</v>
      </c>
      <c r="E5025" t="s">
        <v>180</v>
      </c>
      <c r="F5025" t="s">
        <v>181</v>
      </c>
      <c r="G5025" t="s">
        <v>963</v>
      </c>
      <c r="H5025">
        <v>67</v>
      </c>
      <c r="I5025">
        <v>0.46952199999999999</v>
      </c>
      <c r="J5025">
        <v>0.69341799999999998</v>
      </c>
      <c r="K5025">
        <v>0.22389600000000001</v>
      </c>
      <c r="L5025">
        <v>46</v>
      </c>
      <c r="M5025">
        <v>8</v>
      </c>
      <c r="N5025">
        <v>13</v>
      </c>
      <c r="O5025">
        <v>0.68570699999999996</v>
      </c>
      <c r="P5025">
        <v>0.261409</v>
      </c>
      <c r="Q5025">
        <v>0.28731099999999998</v>
      </c>
    </row>
    <row r="5026" spans="1:17" x14ac:dyDescent="0.25">
      <c r="A5026" t="str">
        <f>IF(C5026&amp;G5026&amp;D5026&lt;&gt;'Funnel setup'!$K$3&amp;'Funnel setup'!$K$4&amp;'Funnel setup'!$K$6,".",IF(A5025=".",1,A5025+1))</f>
        <v>.</v>
      </c>
      <c r="B5026" s="244" t="str">
        <f t="shared" si="78"/>
        <v>Total Knee ReplacementProviderCAMBRIDGE UNIVERSITY HOSPITALS NHS FOUNDATION TRUST (RGT)EQ-5D Index</v>
      </c>
      <c r="C5026" t="s">
        <v>975</v>
      </c>
      <c r="D5026" t="s">
        <v>965</v>
      </c>
      <c r="E5026" t="s">
        <v>182</v>
      </c>
      <c r="F5026" t="s">
        <v>183</v>
      </c>
      <c r="G5026" t="s">
        <v>963</v>
      </c>
      <c r="H5026">
        <v>54</v>
      </c>
      <c r="I5026">
        <v>0.24479600000000001</v>
      </c>
      <c r="J5026">
        <v>0.65131499999999998</v>
      </c>
      <c r="K5026">
        <v>0.40651900000000002</v>
      </c>
      <c r="L5026">
        <v>47</v>
      </c>
      <c r="M5026">
        <v>4</v>
      </c>
      <c r="N5026">
        <v>3</v>
      </c>
      <c r="O5026">
        <v>0.73784099999999997</v>
      </c>
      <c r="P5026">
        <v>0.31354399999999999</v>
      </c>
      <c r="Q5026">
        <v>0.25000299999999998</v>
      </c>
    </row>
    <row r="5027" spans="1:17" x14ac:dyDescent="0.25">
      <c r="A5027" t="str">
        <f>IF(C5027&amp;G5027&amp;D5027&lt;&gt;'Funnel setup'!$K$3&amp;'Funnel setup'!$K$4&amp;'Funnel setup'!$K$6,".",IF(A5026=".",1,A5026+1))</f>
        <v>.</v>
      </c>
      <c r="B5027" s="244" t="str">
        <f t="shared" si="78"/>
        <v>Total Knee ReplacementProviderCAVELL HOSPITAL (NT451)EQ-5D Index</v>
      </c>
      <c r="C5027" t="s">
        <v>975</v>
      </c>
      <c r="D5027" t="s">
        <v>965</v>
      </c>
      <c r="E5027" t="s">
        <v>184</v>
      </c>
      <c r="F5027" t="s">
        <v>185</v>
      </c>
      <c r="G5027" t="s">
        <v>963</v>
      </c>
      <c r="H5027">
        <v>39</v>
      </c>
      <c r="I5027">
        <v>0.40305099999999999</v>
      </c>
      <c r="J5027">
        <v>0.69902600000000004</v>
      </c>
      <c r="K5027">
        <v>0.29597400000000001</v>
      </c>
      <c r="L5027">
        <v>31</v>
      </c>
      <c r="M5027">
        <v>4</v>
      </c>
      <c r="N5027">
        <v>4</v>
      </c>
      <c r="O5027">
        <v>0.67808999999999997</v>
      </c>
      <c r="P5027">
        <v>0.25379200000000002</v>
      </c>
      <c r="Q5027">
        <v>0.233289</v>
      </c>
    </row>
    <row r="5028" spans="1:17" x14ac:dyDescent="0.25">
      <c r="A5028" t="str">
        <f>IF(C5028&amp;G5028&amp;D5028&lt;&gt;'Funnel setup'!$K$3&amp;'Funnel setup'!$K$4&amp;'Funnel setup'!$K$6,".",IF(A5027=".",1,A5027+1))</f>
        <v>.</v>
      </c>
      <c r="B5028" s="244" t="str">
        <f t="shared" si="78"/>
        <v>Total Knee ReplacementProviderCHAUCER HOSPITAL (NT408)EQ-5D Index</v>
      </c>
      <c r="C5028" t="s">
        <v>975</v>
      </c>
      <c r="D5028" t="s">
        <v>965</v>
      </c>
      <c r="E5028" t="s">
        <v>186</v>
      </c>
      <c r="F5028" t="s">
        <v>187</v>
      </c>
      <c r="G5028" t="s">
        <v>963</v>
      </c>
      <c r="H5028">
        <v>45</v>
      </c>
      <c r="I5028">
        <v>0.50364399999999998</v>
      </c>
      <c r="J5028">
        <v>0.81293300000000002</v>
      </c>
      <c r="K5028">
        <v>0.30928899999999998</v>
      </c>
      <c r="L5028">
        <v>39</v>
      </c>
      <c r="M5028">
        <v>4</v>
      </c>
      <c r="N5028">
        <v>2</v>
      </c>
      <c r="O5028">
        <v>0.77515299999999998</v>
      </c>
      <c r="P5028">
        <v>0.350856</v>
      </c>
      <c r="Q5028">
        <v>0.14713899999999999</v>
      </c>
    </row>
    <row r="5029" spans="1:17" x14ac:dyDescent="0.25">
      <c r="A5029" t="str">
        <f>IF(C5029&amp;G5029&amp;D5029&lt;&gt;'Funnel setup'!$K$3&amp;'Funnel setup'!$K$4&amp;'Funnel setup'!$K$6,".",IF(A5028=".",1,A5028+1))</f>
        <v>.</v>
      </c>
      <c r="B5029" s="244" t="str">
        <f t="shared" si="78"/>
        <v>Total Knee ReplacementProviderCHELSEA AND WESTMINSTER HOSPITAL NHS FOUNDATION TRUST (RQM)EQ-5D Index</v>
      </c>
      <c r="C5029" t="s">
        <v>975</v>
      </c>
      <c r="D5029" t="s">
        <v>965</v>
      </c>
      <c r="E5029" t="s">
        <v>188</v>
      </c>
      <c r="F5029" t="s">
        <v>189</v>
      </c>
      <c r="G5029" t="s">
        <v>963</v>
      </c>
      <c r="H5029">
        <v>6</v>
      </c>
      <c r="I5029">
        <v>0.43383300000000002</v>
      </c>
      <c r="J5029">
        <v>0.68216699999999997</v>
      </c>
      <c r="K5029">
        <v>0.248333</v>
      </c>
      <c r="L5029">
        <v>4</v>
      </c>
      <c r="M5029">
        <v>1</v>
      </c>
      <c r="N5029">
        <v>1</v>
      </c>
      <c r="O5029" t="s">
        <v>127</v>
      </c>
      <c r="P5029" t="s">
        <v>127</v>
      </c>
      <c r="Q5029" t="s">
        <v>127</v>
      </c>
    </row>
    <row r="5030" spans="1:17" x14ac:dyDescent="0.25">
      <c r="A5030" t="str">
        <f>IF(C5030&amp;G5030&amp;D5030&lt;&gt;'Funnel setup'!$K$3&amp;'Funnel setup'!$K$4&amp;'Funnel setup'!$K$6,".",IF(A5029=".",1,A5029+1))</f>
        <v>.</v>
      </c>
      <c r="B5030" s="244" t="str">
        <f t="shared" si="78"/>
        <v>Total Knee ReplacementProviderCHELSFIELD PARK HOSPITAL (NT409)EQ-5D Index</v>
      </c>
      <c r="C5030" t="s">
        <v>975</v>
      </c>
      <c r="D5030" t="s">
        <v>965</v>
      </c>
      <c r="E5030" t="s">
        <v>190</v>
      </c>
      <c r="F5030" t="s">
        <v>191</v>
      </c>
      <c r="G5030" t="s">
        <v>963</v>
      </c>
      <c r="H5030">
        <v>31</v>
      </c>
      <c r="I5030">
        <v>0.59170999999999996</v>
      </c>
      <c r="J5030">
        <v>0.90441899999999997</v>
      </c>
      <c r="K5030">
        <v>0.31270999999999999</v>
      </c>
      <c r="L5030">
        <v>29</v>
      </c>
      <c r="M5030">
        <v>0</v>
      </c>
      <c r="N5030">
        <v>2</v>
      </c>
      <c r="O5030">
        <v>0.84529900000000002</v>
      </c>
      <c r="P5030">
        <v>0.42100199999999999</v>
      </c>
      <c r="Q5030">
        <v>0.11923300000000001</v>
      </c>
    </row>
    <row r="5031" spans="1:17" x14ac:dyDescent="0.25">
      <c r="A5031" t="str">
        <f>IF(C5031&amp;G5031&amp;D5031&lt;&gt;'Funnel setup'!$K$3&amp;'Funnel setup'!$K$4&amp;'Funnel setup'!$K$6,".",IF(A5030=".",1,A5030+1))</f>
        <v>.</v>
      </c>
      <c r="B5031" s="244" t="str">
        <f t="shared" si="78"/>
        <v>Total Knee ReplacementProviderCHESTERFIELD ROYAL HOSPITAL NHS FOUNDATION TRUST (RFS)EQ-5D Index</v>
      </c>
      <c r="C5031" t="s">
        <v>975</v>
      </c>
      <c r="D5031" t="s">
        <v>965</v>
      </c>
      <c r="E5031" t="s">
        <v>192</v>
      </c>
      <c r="F5031" t="s">
        <v>193</v>
      </c>
      <c r="G5031" t="s">
        <v>963</v>
      </c>
      <c r="H5031">
        <v>58</v>
      </c>
      <c r="I5031">
        <v>0.29656900000000003</v>
      </c>
      <c r="J5031">
        <v>0.67837899999999995</v>
      </c>
      <c r="K5031">
        <v>0.38180999999999998</v>
      </c>
      <c r="L5031">
        <v>51</v>
      </c>
      <c r="M5031">
        <v>3</v>
      </c>
      <c r="N5031">
        <v>4</v>
      </c>
      <c r="O5031">
        <v>0.74104599999999998</v>
      </c>
      <c r="P5031">
        <v>0.316749</v>
      </c>
      <c r="Q5031">
        <v>0.25990799999999997</v>
      </c>
    </row>
    <row r="5032" spans="1:17" x14ac:dyDescent="0.25">
      <c r="A5032" t="str">
        <f>IF(C5032&amp;G5032&amp;D5032&lt;&gt;'Funnel setup'!$K$3&amp;'Funnel setup'!$K$4&amp;'Funnel setup'!$K$6,".",IF(A5031=".",1,A5031+1))</f>
        <v>.</v>
      </c>
      <c r="B5032" s="244" t="str">
        <f t="shared" si="78"/>
        <v>Total Knee ReplacementProviderCHILTERN HOSPITAL (NT410)EQ-5D Index</v>
      </c>
      <c r="C5032" t="s">
        <v>975</v>
      </c>
      <c r="D5032" t="s">
        <v>965</v>
      </c>
      <c r="E5032" t="s">
        <v>194</v>
      </c>
      <c r="F5032" t="s">
        <v>195</v>
      </c>
      <c r="G5032" t="s">
        <v>963</v>
      </c>
      <c r="H5032">
        <v>79</v>
      </c>
      <c r="I5032">
        <v>0.57970900000000003</v>
      </c>
      <c r="J5032">
        <v>0.82007600000000003</v>
      </c>
      <c r="K5032">
        <v>0.240367</v>
      </c>
      <c r="L5032">
        <v>61</v>
      </c>
      <c r="M5032">
        <v>8</v>
      </c>
      <c r="N5032">
        <v>10</v>
      </c>
      <c r="O5032">
        <v>0.73162099999999997</v>
      </c>
      <c r="P5032">
        <v>0.30732399999999999</v>
      </c>
      <c r="Q5032">
        <v>0.21002100000000001</v>
      </c>
    </row>
    <row r="5033" spans="1:17" x14ac:dyDescent="0.25">
      <c r="A5033" t="str">
        <f>IF(C5033&amp;G5033&amp;D5033&lt;&gt;'Funnel setup'!$K$3&amp;'Funnel setup'!$K$4&amp;'Funnel setup'!$K$6,".",IF(A5032=".",1,A5032+1))</f>
        <v>.</v>
      </c>
      <c r="B5033" s="244" t="str">
        <f t="shared" si="78"/>
        <v>Total Knee ReplacementProviderCIRCLE BATH HOSPITAL (NV302)EQ-5D Index</v>
      </c>
      <c r="C5033" t="s">
        <v>975</v>
      </c>
      <c r="D5033" t="s">
        <v>965</v>
      </c>
      <c r="E5033" t="s">
        <v>196</v>
      </c>
      <c r="F5033" t="s">
        <v>197</v>
      </c>
      <c r="G5033" t="s">
        <v>963</v>
      </c>
      <c r="H5033">
        <v>13</v>
      </c>
      <c r="I5033">
        <v>0.41869200000000001</v>
      </c>
      <c r="J5033">
        <v>0.78807700000000003</v>
      </c>
      <c r="K5033">
        <v>0.36938500000000002</v>
      </c>
      <c r="L5033">
        <v>11</v>
      </c>
      <c r="M5033">
        <v>1</v>
      </c>
      <c r="N5033">
        <v>1</v>
      </c>
      <c r="O5033" t="s">
        <v>127</v>
      </c>
      <c r="P5033" t="s">
        <v>127</v>
      </c>
      <c r="Q5033" t="s">
        <v>127</v>
      </c>
    </row>
    <row r="5034" spans="1:17" x14ac:dyDescent="0.25">
      <c r="A5034" t="str">
        <f>IF(C5034&amp;G5034&amp;D5034&lt;&gt;'Funnel setup'!$K$3&amp;'Funnel setup'!$K$4&amp;'Funnel setup'!$K$6,".",IF(A5033=".",1,A5033+1))</f>
        <v>.</v>
      </c>
      <c r="B5034" s="244" t="str">
        <f t="shared" si="78"/>
        <v>Total Knee ReplacementProviderCIRCLE READING HOSPITAL (NV323)EQ-5D Index</v>
      </c>
      <c r="C5034" t="s">
        <v>975</v>
      </c>
      <c r="D5034" t="s">
        <v>965</v>
      </c>
      <c r="E5034" t="s">
        <v>198</v>
      </c>
      <c r="F5034" t="s">
        <v>199</v>
      </c>
      <c r="G5034" t="s">
        <v>963</v>
      </c>
      <c r="H5034">
        <v>61</v>
      </c>
      <c r="I5034">
        <v>0.49829499999999999</v>
      </c>
      <c r="J5034">
        <v>0.78847500000000004</v>
      </c>
      <c r="K5034">
        <v>0.29017999999999999</v>
      </c>
      <c r="L5034">
        <v>47</v>
      </c>
      <c r="M5034">
        <v>11</v>
      </c>
      <c r="N5034">
        <v>3</v>
      </c>
      <c r="O5034">
        <v>0.72188200000000002</v>
      </c>
      <c r="P5034">
        <v>0.29758400000000002</v>
      </c>
      <c r="Q5034">
        <v>0.25949</v>
      </c>
    </row>
    <row r="5035" spans="1:17" x14ac:dyDescent="0.25">
      <c r="A5035" t="str">
        <f>IF(C5035&amp;G5035&amp;D5035&lt;&gt;'Funnel setup'!$K$3&amp;'Funnel setup'!$K$4&amp;'Funnel setup'!$K$6,".",IF(A5034=".",1,A5034+1))</f>
        <v>.</v>
      </c>
      <c r="B5035" s="244" t="str">
        <f t="shared" si="78"/>
        <v>Total Knee ReplacementProviderCLEMENTINE CHURCHILL HOSPITAL (NT411)EQ-5D Index</v>
      </c>
      <c r="C5035" t="s">
        <v>975</v>
      </c>
      <c r="D5035" t="s">
        <v>965</v>
      </c>
      <c r="E5035" t="s">
        <v>200</v>
      </c>
      <c r="F5035" t="s">
        <v>201</v>
      </c>
      <c r="G5035" t="s">
        <v>963</v>
      </c>
      <c r="H5035">
        <v>31</v>
      </c>
      <c r="I5035">
        <v>0.49612499999999998</v>
      </c>
      <c r="J5035">
        <v>0.71725000000000005</v>
      </c>
      <c r="K5035">
        <v>0.22112499999999999</v>
      </c>
      <c r="L5035">
        <v>25</v>
      </c>
      <c r="M5035">
        <v>2</v>
      </c>
      <c r="N5035">
        <v>4</v>
      </c>
      <c r="O5035">
        <v>0.71046900000000002</v>
      </c>
      <c r="P5035">
        <v>0.28617199999999998</v>
      </c>
      <c r="Q5035">
        <v>0.19337099999999999</v>
      </c>
    </row>
    <row r="5036" spans="1:17" x14ac:dyDescent="0.25">
      <c r="A5036" t="str">
        <f>IF(C5036&amp;G5036&amp;D5036&lt;&gt;'Funnel setup'!$K$3&amp;'Funnel setup'!$K$4&amp;'Funnel setup'!$K$6,".",IF(A5035=".",1,A5035+1))</f>
        <v>.</v>
      </c>
      <c r="B5036" s="244" t="str">
        <f t="shared" si="78"/>
        <v>Total Knee ReplacementProviderCLIFTON PARK HOSPITAL (NVC28)EQ-5D Index</v>
      </c>
      <c r="C5036" t="s">
        <v>975</v>
      </c>
      <c r="D5036" t="s">
        <v>965</v>
      </c>
      <c r="E5036" t="s">
        <v>202</v>
      </c>
      <c r="F5036" t="s">
        <v>203</v>
      </c>
      <c r="G5036" t="s">
        <v>963</v>
      </c>
      <c r="H5036">
        <v>63</v>
      </c>
      <c r="I5036">
        <v>0.45687299999999997</v>
      </c>
      <c r="J5036">
        <v>0.73903200000000002</v>
      </c>
      <c r="K5036">
        <v>0.28215899999999999</v>
      </c>
      <c r="L5036">
        <v>51</v>
      </c>
      <c r="M5036">
        <v>6</v>
      </c>
      <c r="N5036">
        <v>6</v>
      </c>
      <c r="O5036">
        <v>0.71264700000000003</v>
      </c>
      <c r="P5036">
        <v>0.28835</v>
      </c>
      <c r="Q5036">
        <v>0.23978099999999999</v>
      </c>
    </row>
    <row r="5037" spans="1:17" x14ac:dyDescent="0.25">
      <c r="A5037" t="str">
        <f>IF(C5037&amp;G5037&amp;D5037&lt;&gt;'Funnel setup'!$K$3&amp;'Funnel setup'!$K$4&amp;'Funnel setup'!$K$6,".",IF(A5036=".",1,A5036+1))</f>
        <v>.</v>
      </c>
      <c r="B5037" s="244" t="str">
        <f t="shared" si="78"/>
        <v>Total Knee ReplacementProviderCOUNTESS OF CHESTER HOSPITAL NHS FOUNDATION TRUST (RJR)EQ-5D Index</v>
      </c>
      <c r="C5037" t="s">
        <v>975</v>
      </c>
      <c r="D5037" t="s">
        <v>965</v>
      </c>
      <c r="E5037" t="s">
        <v>204</v>
      </c>
      <c r="F5037" t="s">
        <v>205</v>
      </c>
      <c r="G5037" t="s">
        <v>963</v>
      </c>
      <c r="H5037">
        <v>28</v>
      </c>
      <c r="I5037">
        <v>0.35810700000000001</v>
      </c>
      <c r="J5037">
        <v>0.71142899999999998</v>
      </c>
      <c r="K5037">
        <v>0.353321</v>
      </c>
      <c r="L5037">
        <v>25</v>
      </c>
      <c r="M5037">
        <v>3</v>
      </c>
      <c r="N5037">
        <v>0</v>
      </c>
      <c r="O5037" t="s">
        <v>127</v>
      </c>
      <c r="P5037" t="s">
        <v>127</v>
      </c>
      <c r="Q5037" t="s">
        <v>127</v>
      </c>
    </row>
    <row r="5038" spans="1:17" x14ac:dyDescent="0.25">
      <c r="A5038" t="str">
        <f>IF(C5038&amp;G5038&amp;D5038&lt;&gt;'Funnel setup'!$K$3&amp;'Funnel setup'!$K$4&amp;'Funnel setup'!$K$6,".",IF(A5037=".",1,A5037+1))</f>
        <v>.</v>
      </c>
      <c r="B5038" s="244" t="str">
        <f t="shared" si="78"/>
        <v>Total Knee ReplacementProviderCOUNTY DURHAM AND DARLINGTON NHS FOUNDATION TRUST (RXP)EQ-5D Index</v>
      </c>
      <c r="C5038" t="s">
        <v>975</v>
      </c>
      <c r="D5038" t="s">
        <v>965</v>
      </c>
      <c r="E5038" t="s">
        <v>206</v>
      </c>
      <c r="F5038" t="s">
        <v>207</v>
      </c>
      <c r="G5038" t="s">
        <v>963</v>
      </c>
      <c r="H5038">
        <v>135</v>
      </c>
      <c r="I5038">
        <v>0.49434099999999997</v>
      </c>
      <c r="J5038">
        <v>0.73644399999999999</v>
      </c>
      <c r="K5038">
        <v>0.24210400000000001</v>
      </c>
      <c r="L5038">
        <v>101</v>
      </c>
      <c r="M5038">
        <v>14</v>
      </c>
      <c r="N5038">
        <v>20</v>
      </c>
      <c r="O5038">
        <v>0.72251699999999996</v>
      </c>
      <c r="P5038">
        <v>0.29821999999999999</v>
      </c>
      <c r="Q5038">
        <v>0.217555</v>
      </c>
    </row>
    <row r="5039" spans="1:17" x14ac:dyDescent="0.25">
      <c r="A5039" t="str">
        <f>IF(C5039&amp;G5039&amp;D5039&lt;&gt;'Funnel setup'!$K$3&amp;'Funnel setup'!$K$4&amp;'Funnel setup'!$K$6,".",IF(A5038=".",1,A5038+1))</f>
        <v>.</v>
      </c>
      <c r="B5039" s="244" t="str">
        <f t="shared" si="78"/>
        <v>Total Knee ReplacementProviderDONCASTER AND BASSETLAW TEACHING HOSPITALS NHS FOUNDATION TRUST (RP5)EQ-5D Index</v>
      </c>
      <c r="C5039" t="s">
        <v>975</v>
      </c>
      <c r="D5039" t="s">
        <v>965</v>
      </c>
      <c r="E5039" t="s">
        <v>212</v>
      </c>
      <c r="F5039" t="s">
        <v>213</v>
      </c>
      <c r="G5039" t="s">
        <v>963</v>
      </c>
      <c r="H5039">
        <v>79</v>
      </c>
      <c r="I5039">
        <v>0.34973399999999999</v>
      </c>
      <c r="J5039">
        <v>0.63708900000000002</v>
      </c>
      <c r="K5039">
        <v>0.287354</v>
      </c>
      <c r="L5039">
        <v>59</v>
      </c>
      <c r="M5039">
        <v>7</v>
      </c>
      <c r="N5039">
        <v>13</v>
      </c>
      <c r="O5039">
        <v>0.68696299999999999</v>
      </c>
      <c r="P5039">
        <v>0.26266600000000001</v>
      </c>
      <c r="Q5039">
        <v>0.30355399999999999</v>
      </c>
    </row>
    <row r="5040" spans="1:17" x14ac:dyDescent="0.25">
      <c r="A5040" t="str">
        <f>IF(C5040&amp;G5040&amp;D5040&lt;&gt;'Funnel setup'!$K$3&amp;'Funnel setup'!$K$4&amp;'Funnel setup'!$K$6,".",IF(A5039=".",1,A5039+1))</f>
        <v>.</v>
      </c>
      <c r="B5040" s="244" t="str">
        <f t="shared" si="78"/>
        <v>Total Knee ReplacementProviderDORSET COUNTY HOSPITAL NHS FOUNDATION TRUST (RBD)EQ-5D Index</v>
      </c>
      <c r="C5040" t="s">
        <v>975</v>
      </c>
      <c r="D5040" t="s">
        <v>965</v>
      </c>
      <c r="E5040" t="s">
        <v>214</v>
      </c>
      <c r="F5040" t="s">
        <v>215</v>
      </c>
      <c r="G5040" t="s">
        <v>963</v>
      </c>
      <c r="H5040">
        <v>15</v>
      </c>
      <c r="I5040">
        <v>0.496867</v>
      </c>
      <c r="J5040">
        <v>0.75513300000000005</v>
      </c>
      <c r="K5040">
        <v>0.25826700000000002</v>
      </c>
      <c r="L5040">
        <v>12</v>
      </c>
      <c r="M5040">
        <v>2</v>
      </c>
      <c r="N5040">
        <v>1</v>
      </c>
      <c r="O5040" t="s">
        <v>127</v>
      </c>
      <c r="P5040" t="s">
        <v>127</v>
      </c>
      <c r="Q5040" t="s">
        <v>127</v>
      </c>
    </row>
    <row r="5041" spans="1:17" x14ac:dyDescent="0.25">
      <c r="A5041" t="str">
        <f>IF(C5041&amp;G5041&amp;D5041&lt;&gt;'Funnel setup'!$K$3&amp;'Funnel setup'!$K$4&amp;'Funnel setup'!$K$6,".",IF(A5040=".",1,A5040+1))</f>
        <v>.</v>
      </c>
      <c r="B5041" s="244" t="str">
        <f t="shared" si="78"/>
        <v>Total Knee ReplacementProviderDROITWICH SPA HOSPITAL (NT412)EQ-5D Index</v>
      </c>
      <c r="C5041" t="s">
        <v>975</v>
      </c>
      <c r="D5041" t="s">
        <v>965</v>
      </c>
      <c r="E5041" t="s">
        <v>216</v>
      </c>
      <c r="F5041" t="s">
        <v>217</v>
      </c>
      <c r="G5041" t="s">
        <v>963</v>
      </c>
      <c r="H5041">
        <v>23</v>
      </c>
      <c r="I5041">
        <v>0.54391299999999998</v>
      </c>
      <c r="J5041">
        <v>0.79004300000000005</v>
      </c>
      <c r="K5041">
        <v>0.24612999999999999</v>
      </c>
      <c r="L5041">
        <v>18</v>
      </c>
      <c r="M5041">
        <v>4</v>
      </c>
      <c r="N5041">
        <v>1</v>
      </c>
      <c r="O5041" t="s">
        <v>127</v>
      </c>
      <c r="P5041" t="s">
        <v>127</v>
      </c>
      <c r="Q5041" t="s">
        <v>127</v>
      </c>
    </row>
    <row r="5042" spans="1:17" x14ac:dyDescent="0.25">
      <c r="A5042" t="str">
        <f>IF(C5042&amp;G5042&amp;D5042&lt;&gt;'Funnel setup'!$K$3&amp;'Funnel setup'!$K$4&amp;'Funnel setup'!$K$6,".",IF(A5041=".",1,A5041+1))</f>
        <v>.</v>
      </c>
      <c r="B5042" s="244" t="str">
        <f t="shared" si="78"/>
        <v>Total Knee ReplacementProviderDUCHY HOSPITAL (NT447)EQ-5D Index</v>
      </c>
      <c r="C5042" t="s">
        <v>975</v>
      </c>
      <c r="D5042" t="s">
        <v>965</v>
      </c>
      <c r="E5042" t="s">
        <v>218</v>
      </c>
      <c r="F5042" t="s">
        <v>219</v>
      </c>
      <c r="G5042" t="s">
        <v>963</v>
      </c>
      <c r="H5042">
        <v>29</v>
      </c>
      <c r="I5042">
        <v>0.50451699999999999</v>
      </c>
      <c r="J5042">
        <v>0.88417199999999996</v>
      </c>
      <c r="K5042">
        <v>0.37965500000000002</v>
      </c>
      <c r="L5042">
        <v>27</v>
      </c>
      <c r="M5042">
        <v>0</v>
      </c>
      <c r="N5042">
        <v>2</v>
      </c>
      <c r="O5042" t="s">
        <v>127</v>
      </c>
      <c r="P5042" t="s">
        <v>127</v>
      </c>
      <c r="Q5042" t="s">
        <v>127</v>
      </c>
    </row>
    <row r="5043" spans="1:17" x14ac:dyDescent="0.25">
      <c r="A5043" t="str">
        <f>IF(C5043&amp;G5043&amp;D5043&lt;&gt;'Funnel setup'!$K$3&amp;'Funnel setup'!$K$4&amp;'Funnel setup'!$K$6,".",IF(A5042=".",1,A5042+1))</f>
        <v>.</v>
      </c>
      <c r="B5043" s="244" t="str">
        <f t="shared" si="78"/>
        <v>Total Knee ReplacementProviderDUCHY HOSPITAL (NVC04)EQ-5D Index</v>
      </c>
      <c r="C5043" t="s">
        <v>975</v>
      </c>
      <c r="D5043" t="s">
        <v>965</v>
      </c>
      <c r="E5043" t="s">
        <v>220</v>
      </c>
      <c r="F5043" t="s">
        <v>221</v>
      </c>
      <c r="G5043" t="s">
        <v>963</v>
      </c>
      <c r="H5043">
        <v>29</v>
      </c>
      <c r="I5043">
        <v>0.55144800000000005</v>
      </c>
      <c r="J5043">
        <v>0.76455200000000001</v>
      </c>
      <c r="K5043">
        <v>0.21310299999999999</v>
      </c>
      <c r="L5043">
        <v>24</v>
      </c>
      <c r="M5043">
        <v>4</v>
      </c>
      <c r="N5043">
        <v>1</v>
      </c>
      <c r="O5043" t="s">
        <v>127</v>
      </c>
      <c r="P5043" t="s">
        <v>127</v>
      </c>
      <c r="Q5043" t="s">
        <v>127</v>
      </c>
    </row>
    <row r="5044" spans="1:17" x14ac:dyDescent="0.25">
      <c r="A5044" t="str">
        <f>IF(C5044&amp;G5044&amp;D5044&lt;&gt;'Funnel setup'!$K$3&amp;'Funnel setup'!$K$4&amp;'Funnel setup'!$K$6,".",IF(A5043=".",1,A5043+1))</f>
        <v>.</v>
      </c>
      <c r="B5044" s="244" t="str">
        <f t="shared" si="78"/>
        <v>Total Knee ReplacementProviderEAST AND NORTH HERTFORDSHIRE NHS TRUST (RWH)EQ-5D Index</v>
      </c>
      <c r="C5044" t="s">
        <v>975</v>
      </c>
      <c r="D5044" t="s">
        <v>965</v>
      </c>
      <c r="E5044" t="s">
        <v>224</v>
      </c>
      <c r="F5044" t="s">
        <v>225</v>
      </c>
      <c r="G5044" t="s">
        <v>963</v>
      </c>
      <c r="H5044">
        <v>28</v>
      </c>
      <c r="I5044">
        <v>0.38396400000000003</v>
      </c>
      <c r="J5044">
        <v>0.68117899999999998</v>
      </c>
      <c r="K5044">
        <v>0.29721399999999998</v>
      </c>
      <c r="L5044">
        <v>22</v>
      </c>
      <c r="M5044">
        <v>2</v>
      </c>
      <c r="N5044">
        <v>4</v>
      </c>
      <c r="O5044" t="s">
        <v>127</v>
      </c>
      <c r="P5044" t="s">
        <v>127</v>
      </c>
      <c r="Q5044" t="s">
        <v>127</v>
      </c>
    </row>
    <row r="5045" spans="1:17" x14ac:dyDescent="0.25">
      <c r="A5045" t="str">
        <f>IF(C5045&amp;G5045&amp;D5045&lt;&gt;'Funnel setup'!$K$3&amp;'Funnel setup'!$K$4&amp;'Funnel setup'!$K$6,".",IF(A5044=".",1,A5044+1))</f>
        <v>.</v>
      </c>
      <c r="B5045" s="244" t="str">
        <f t="shared" si="78"/>
        <v>Total Knee ReplacementProviderEAST CHESHIRE NHS TRUST (RJN)EQ-5D Index</v>
      </c>
      <c r="C5045" t="s">
        <v>975</v>
      </c>
      <c r="D5045" t="s">
        <v>965</v>
      </c>
      <c r="E5045" t="s">
        <v>226</v>
      </c>
      <c r="F5045" t="s">
        <v>227</v>
      </c>
      <c r="G5045" t="s">
        <v>963</v>
      </c>
      <c r="H5045">
        <v>5</v>
      </c>
      <c r="I5045">
        <v>0.17499999999999999</v>
      </c>
      <c r="J5045">
        <v>0.56699999999999995</v>
      </c>
      <c r="K5045">
        <v>0.39200000000000002</v>
      </c>
      <c r="L5045">
        <v>5</v>
      </c>
      <c r="M5045">
        <v>0</v>
      </c>
      <c r="N5045">
        <v>0</v>
      </c>
      <c r="O5045" t="s">
        <v>127</v>
      </c>
      <c r="P5045" t="s">
        <v>127</v>
      </c>
      <c r="Q5045" t="s">
        <v>127</v>
      </c>
    </row>
    <row r="5046" spans="1:17" x14ac:dyDescent="0.25">
      <c r="A5046" t="str">
        <f>IF(C5046&amp;G5046&amp;D5046&lt;&gt;'Funnel setup'!$K$3&amp;'Funnel setup'!$K$4&amp;'Funnel setup'!$K$6,".",IF(A5045=".",1,A5045+1))</f>
        <v>.</v>
      </c>
      <c r="B5046" s="244" t="str">
        <f t="shared" si="78"/>
        <v>Total Knee ReplacementProviderEAST KENT HOSPITALS UNIVERSITY NHS FOUNDATION TRUST (RVV)EQ-5D Index</v>
      </c>
      <c r="C5046" t="s">
        <v>975</v>
      </c>
      <c r="D5046" t="s">
        <v>965</v>
      </c>
      <c r="E5046" t="s">
        <v>228</v>
      </c>
      <c r="F5046" t="s">
        <v>229</v>
      </c>
      <c r="G5046" t="s">
        <v>963</v>
      </c>
      <c r="H5046">
        <v>94</v>
      </c>
      <c r="I5046">
        <v>0.40429799999999999</v>
      </c>
      <c r="J5046">
        <v>0.73934</v>
      </c>
      <c r="K5046">
        <v>0.33504299999999998</v>
      </c>
      <c r="L5046">
        <v>78</v>
      </c>
      <c r="M5046">
        <v>7</v>
      </c>
      <c r="N5046">
        <v>9</v>
      </c>
      <c r="O5046">
        <v>0.78892700000000004</v>
      </c>
      <c r="P5046">
        <v>0.36463000000000001</v>
      </c>
      <c r="Q5046">
        <v>0.224909</v>
      </c>
    </row>
    <row r="5047" spans="1:17" x14ac:dyDescent="0.25">
      <c r="A5047" t="str">
        <f>IF(C5047&amp;G5047&amp;D5047&lt;&gt;'Funnel setup'!$K$3&amp;'Funnel setup'!$K$4&amp;'Funnel setup'!$K$6,".",IF(A5046=".",1,A5046+1))</f>
        <v>.</v>
      </c>
      <c r="B5047" s="244" t="str">
        <f t="shared" si="78"/>
        <v>Total Knee ReplacementProviderEAST LANCASHIRE HOSPITALS NHS TRUST (RXR)EQ-5D Index</v>
      </c>
      <c r="C5047" t="s">
        <v>975</v>
      </c>
      <c r="D5047" t="s">
        <v>965</v>
      </c>
      <c r="E5047" t="s">
        <v>230</v>
      </c>
      <c r="F5047" t="s">
        <v>231</v>
      </c>
      <c r="G5047" t="s">
        <v>963</v>
      </c>
      <c r="H5047">
        <v>85</v>
      </c>
      <c r="I5047">
        <v>0.438635</v>
      </c>
      <c r="J5047">
        <v>0.73140000000000005</v>
      </c>
      <c r="K5047">
        <v>0.292765</v>
      </c>
      <c r="L5047">
        <v>67</v>
      </c>
      <c r="M5047">
        <v>8</v>
      </c>
      <c r="N5047">
        <v>10</v>
      </c>
      <c r="O5047">
        <v>0.73944200000000004</v>
      </c>
      <c r="P5047">
        <v>0.31514500000000001</v>
      </c>
      <c r="Q5047">
        <v>0.25498700000000002</v>
      </c>
    </row>
    <row r="5048" spans="1:17" x14ac:dyDescent="0.25">
      <c r="A5048" t="str">
        <f>IF(C5048&amp;G5048&amp;D5048&lt;&gt;'Funnel setup'!$K$3&amp;'Funnel setup'!$K$4&amp;'Funnel setup'!$K$6,".",IF(A5047=".",1,A5047+1))</f>
        <v>.</v>
      </c>
      <c r="B5048" s="244" t="str">
        <f t="shared" si="78"/>
        <v>Total Knee ReplacementProviderEAST SUFFOLK AND NORTH ESSEX NHS FOUNDATION TRUST (RDE)EQ-5D Index</v>
      </c>
      <c r="C5048" t="s">
        <v>975</v>
      </c>
      <c r="D5048" t="s">
        <v>965</v>
      </c>
      <c r="E5048" t="s">
        <v>232</v>
      </c>
      <c r="F5048" t="s">
        <v>233</v>
      </c>
      <c r="G5048" t="s">
        <v>963</v>
      </c>
      <c r="H5048">
        <v>125</v>
      </c>
      <c r="I5048">
        <v>0.39456000000000002</v>
      </c>
      <c r="J5048">
        <v>0.76183199999999995</v>
      </c>
      <c r="K5048">
        <v>0.36727199999999999</v>
      </c>
      <c r="L5048">
        <v>113</v>
      </c>
      <c r="M5048">
        <v>6</v>
      </c>
      <c r="N5048">
        <v>6</v>
      </c>
      <c r="O5048">
        <v>0.77518100000000001</v>
      </c>
      <c r="P5048">
        <v>0.35088399999999997</v>
      </c>
      <c r="Q5048">
        <v>0.20771999999999999</v>
      </c>
    </row>
    <row r="5049" spans="1:17" x14ac:dyDescent="0.25">
      <c r="A5049" t="str">
        <f>IF(C5049&amp;G5049&amp;D5049&lt;&gt;'Funnel setup'!$K$3&amp;'Funnel setup'!$K$4&amp;'Funnel setup'!$K$6,".",IF(A5048=".",1,A5048+1))</f>
        <v>.</v>
      </c>
      <c r="B5049" s="244" t="str">
        <f t="shared" si="78"/>
        <v>Total Knee ReplacementProviderEAST SUSSEX HEALTHCARE NHS TRUST (RXC)EQ-5D Index</v>
      </c>
      <c r="C5049" t="s">
        <v>975</v>
      </c>
      <c r="D5049" t="s">
        <v>965</v>
      </c>
      <c r="E5049" t="s">
        <v>234</v>
      </c>
      <c r="F5049" t="s">
        <v>235</v>
      </c>
      <c r="G5049" t="s">
        <v>963</v>
      </c>
      <c r="H5049">
        <v>75</v>
      </c>
      <c r="I5049">
        <v>0.43362699999999998</v>
      </c>
      <c r="J5049">
        <v>0.75107999999999997</v>
      </c>
      <c r="K5049">
        <v>0.31745299999999999</v>
      </c>
      <c r="L5049">
        <v>59</v>
      </c>
      <c r="M5049">
        <v>9</v>
      </c>
      <c r="N5049">
        <v>7</v>
      </c>
      <c r="O5049">
        <v>0.77256499999999995</v>
      </c>
      <c r="P5049">
        <v>0.34826800000000002</v>
      </c>
      <c r="Q5049">
        <v>0.241233</v>
      </c>
    </row>
    <row r="5050" spans="1:17" x14ac:dyDescent="0.25">
      <c r="A5050" t="str">
        <f>IF(C5050&amp;G5050&amp;D5050&lt;&gt;'Funnel setup'!$K$3&amp;'Funnel setup'!$K$4&amp;'Funnel setup'!$K$6,".",IF(A5049=".",1,A5049+1))</f>
        <v>.</v>
      </c>
      <c r="B5050" s="244" t="str">
        <f t="shared" si="78"/>
        <v>Total Knee ReplacementProviderEPSOM AND ST HELIER UNIVERSITY HOSPITALS NHS TRUST (RVR)EQ-5D Index</v>
      </c>
      <c r="C5050" t="s">
        <v>975</v>
      </c>
      <c r="D5050" t="s">
        <v>965</v>
      </c>
      <c r="E5050" t="s">
        <v>238</v>
      </c>
      <c r="F5050" t="s">
        <v>239</v>
      </c>
      <c r="G5050" t="s">
        <v>963</v>
      </c>
      <c r="H5050">
        <v>667</v>
      </c>
      <c r="I5050">
        <v>0.43972699999999998</v>
      </c>
      <c r="J5050">
        <v>0.750718</v>
      </c>
      <c r="K5050">
        <v>0.31099100000000002</v>
      </c>
      <c r="L5050">
        <v>554</v>
      </c>
      <c r="M5050">
        <v>56</v>
      </c>
      <c r="N5050">
        <v>57</v>
      </c>
      <c r="O5050">
        <v>0.74261200000000005</v>
      </c>
      <c r="P5050">
        <v>0.31831399999999999</v>
      </c>
      <c r="Q5050">
        <v>0.22712599999999999</v>
      </c>
    </row>
    <row r="5051" spans="1:17" x14ac:dyDescent="0.25">
      <c r="A5051" t="str">
        <f>IF(C5051&amp;G5051&amp;D5051&lt;&gt;'Funnel setup'!$K$3&amp;'Funnel setup'!$K$4&amp;'Funnel setup'!$K$6,".",IF(A5050=".",1,A5050+1))</f>
        <v>.</v>
      </c>
      <c r="B5051" s="244" t="str">
        <f t="shared" si="78"/>
        <v>Total Knee ReplacementProviderEUXTON HALL HOSPITAL (NVC05)EQ-5D Index</v>
      </c>
      <c r="C5051" t="s">
        <v>975</v>
      </c>
      <c r="D5051" t="s">
        <v>965</v>
      </c>
      <c r="E5051" t="s">
        <v>240</v>
      </c>
      <c r="F5051" t="s">
        <v>241</v>
      </c>
      <c r="G5051" t="s">
        <v>963</v>
      </c>
      <c r="H5051">
        <v>50</v>
      </c>
      <c r="I5051">
        <v>0.39547100000000002</v>
      </c>
      <c r="J5051">
        <v>0.80574500000000004</v>
      </c>
      <c r="K5051">
        <v>0.410275</v>
      </c>
      <c r="L5051">
        <v>46</v>
      </c>
      <c r="M5051">
        <v>3</v>
      </c>
      <c r="N5051">
        <v>1</v>
      </c>
      <c r="O5051">
        <v>0.80530900000000005</v>
      </c>
      <c r="P5051">
        <v>0.38101200000000002</v>
      </c>
      <c r="Q5051">
        <v>0.17499999999999999</v>
      </c>
    </row>
    <row r="5052" spans="1:17" x14ac:dyDescent="0.25">
      <c r="A5052" t="str">
        <f>IF(C5052&amp;G5052&amp;D5052&lt;&gt;'Funnel setup'!$K$3&amp;'Funnel setup'!$K$4&amp;'Funnel setup'!$K$6,".",IF(A5051=".",1,A5051+1))</f>
        <v>.</v>
      </c>
      <c r="B5052" s="244" t="str">
        <f t="shared" si="78"/>
        <v>Total Knee ReplacementProviderFAIRFIELD HOSPITAL (NVG01)EQ-5D Index</v>
      </c>
      <c r="C5052" t="s">
        <v>975</v>
      </c>
      <c r="D5052" t="s">
        <v>965</v>
      </c>
      <c r="E5052" t="s">
        <v>242</v>
      </c>
      <c r="F5052" t="s">
        <v>243</v>
      </c>
      <c r="G5052" t="s">
        <v>963</v>
      </c>
      <c r="H5052">
        <v>49</v>
      </c>
      <c r="I5052">
        <v>0.37228600000000001</v>
      </c>
      <c r="J5052">
        <v>0.66608199999999995</v>
      </c>
      <c r="K5052">
        <v>0.293796</v>
      </c>
      <c r="L5052">
        <v>38</v>
      </c>
      <c r="M5052">
        <v>3</v>
      </c>
      <c r="N5052">
        <v>8</v>
      </c>
      <c r="O5052">
        <v>0.66301299999999996</v>
      </c>
      <c r="P5052">
        <v>0.23871600000000001</v>
      </c>
      <c r="Q5052">
        <v>0.24493999999999999</v>
      </c>
    </row>
    <row r="5053" spans="1:17" x14ac:dyDescent="0.25">
      <c r="A5053" t="str">
        <f>IF(C5053&amp;G5053&amp;D5053&lt;&gt;'Funnel setup'!$K$3&amp;'Funnel setup'!$K$4&amp;'Funnel setup'!$K$6,".",IF(A5052=".",1,A5052+1))</f>
        <v>.</v>
      </c>
      <c r="B5053" s="244" t="str">
        <f t="shared" si="78"/>
        <v>Total Knee ReplacementProviderFITZWILLIAM HOSPITAL (NVC06)EQ-5D Index</v>
      </c>
      <c r="C5053" t="s">
        <v>975</v>
      </c>
      <c r="D5053" t="s">
        <v>965</v>
      </c>
      <c r="E5053" t="s">
        <v>244</v>
      </c>
      <c r="F5053" t="s">
        <v>245</v>
      </c>
      <c r="G5053" t="s">
        <v>963</v>
      </c>
      <c r="H5053">
        <v>86</v>
      </c>
      <c r="I5053">
        <v>0.50903500000000002</v>
      </c>
      <c r="J5053">
        <v>0.81424399999999997</v>
      </c>
      <c r="K5053">
        <v>0.30520900000000001</v>
      </c>
      <c r="L5053">
        <v>73</v>
      </c>
      <c r="M5053">
        <v>6</v>
      </c>
      <c r="N5053">
        <v>7</v>
      </c>
      <c r="O5053">
        <v>0.76968499999999995</v>
      </c>
      <c r="P5053">
        <v>0.345387</v>
      </c>
      <c r="Q5053">
        <v>0.17865500000000001</v>
      </c>
    </row>
    <row r="5054" spans="1:17" x14ac:dyDescent="0.25">
      <c r="A5054" t="str">
        <f>IF(C5054&amp;G5054&amp;D5054&lt;&gt;'Funnel setup'!$K$3&amp;'Funnel setup'!$K$4&amp;'Funnel setup'!$K$6,".",IF(A5053=".",1,A5053+1))</f>
        <v>.</v>
      </c>
      <c r="B5054" s="244" t="str">
        <f t="shared" si="78"/>
        <v>Total Knee ReplacementProviderFRIMLEY HEALTH NHS FOUNDATION TRUST (RDU)EQ-5D Index</v>
      </c>
      <c r="C5054" t="s">
        <v>975</v>
      </c>
      <c r="D5054" t="s">
        <v>965</v>
      </c>
      <c r="E5054" t="s">
        <v>248</v>
      </c>
      <c r="F5054" t="s">
        <v>249</v>
      </c>
      <c r="G5054" t="s">
        <v>963</v>
      </c>
      <c r="H5054">
        <v>189</v>
      </c>
      <c r="I5054">
        <v>0.47171400000000002</v>
      </c>
      <c r="J5054">
        <v>0.75149200000000005</v>
      </c>
      <c r="K5054">
        <v>0.27977800000000003</v>
      </c>
      <c r="L5054">
        <v>153</v>
      </c>
      <c r="M5054">
        <v>14</v>
      </c>
      <c r="N5054">
        <v>22</v>
      </c>
      <c r="O5054">
        <v>0.73063800000000001</v>
      </c>
      <c r="P5054">
        <v>0.30634</v>
      </c>
      <c r="Q5054">
        <v>0.22717499999999999</v>
      </c>
    </row>
    <row r="5055" spans="1:17" x14ac:dyDescent="0.25">
      <c r="A5055" t="str">
        <f>IF(C5055&amp;G5055&amp;D5055&lt;&gt;'Funnel setup'!$K$3&amp;'Funnel setup'!$K$4&amp;'Funnel setup'!$K$6,".",IF(A5054=".",1,A5054+1))</f>
        <v>.</v>
      </c>
      <c r="B5055" s="244" t="str">
        <f t="shared" si="78"/>
        <v>Total Knee ReplacementProviderFULWOOD HALL HOSPITAL (NVC07)EQ-5D Index</v>
      </c>
      <c r="C5055" t="s">
        <v>975</v>
      </c>
      <c r="D5055" t="s">
        <v>965</v>
      </c>
      <c r="E5055" t="s">
        <v>250</v>
      </c>
      <c r="F5055" t="s">
        <v>251</v>
      </c>
      <c r="G5055" t="s">
        <v>963</v>
      </c>
      <c r="H5055">
        <v>79</v>
      </c>
      <c r="I5055">
        <v>0.52372200000000002</v>
      </c>
      <c r="J5055">
        <v>0.81083499999999997</v>
      </c>
      <c r="K5055">
        <v>0.28711399999999998</v>
      </c>
      <c r="L5055">
        <v>62</v>
      </c>
      <c r="M5055">
        <v>9</v>
      </c>
      <c r="N5055">
        <v>8</v>
      </c>
      <c r="O5055">
        <v>0.771451</v>
      </c>
      <c r="P5055">
        <v>0.34715400000000002</v>
      </c>
      <c r="Q5055">
        <v>0.22325800000000001</v>
      </c>
    </row>
    <row r="5056" spans="1:17" x14ac:dyDescent="0.25">
      <c r="A5056" t="str">
        <f>IF(C5056&amp;G5056&amp;D5056&lt;&gt;'Funnel setup'!$K$3&amp;'Funnel setup'!$K$4&amp;'Funnel setup'!$K$6,".",IF(A5055=".",1,A5055+1))</f>
        <v>.</v>
      </c>
      <c r="B5056" s="244" t="str">
        <f t="shared" si="78"/>
        <v>Total Knee ReplacementProviderGATESHEAD HEALTH NHS FOUNDATION TRUST (RR7)EQ-5D Index</v>
      </c>
      <c r="C5056" t="s">
        <v>975</v>
      </c>
      <c r="D5056" t="s">
        <v>965</v>
      </c>
      <c r="E5056" t="s">
        <v>252</v>
      </c>
      <c r="F5056" t="s">
        <v>253</v>
      </c>
      <c r="G5056" t="s">
        <v>963</v>
      </c>
      <c r="H5056">
        <v>45</v>
      </c>
      <c r="I5056">
        <v>0.220222</v>
      </c>
      <c r="J5056">
        <v>0.69493300000000002</v>
      </c>
      <c r="K5056">
        <v>0.47471099999999999</v>
      </c>
      <c r="L5056">
        <v>37</v>
      </c>
      <c r="M5056">
        <v>2</v>
      </c>
      <c r="N5056">
        <v>6</v>
      </c>
      <c r="O5056">
        <v>0.79155200000000003</v>
      </c>
      <c r="P5056">
        <v>0.36725400000000002</v>
      </c>
      <c r="Q5056">
        <v>0.30753799999999998</v>
      </c>
    </row>
    <row r="5057" spans="1:17" x14ac:dyDescent="0.25">
      <c r="A5057" t="str">
        <f>IF(C5057&amp;G5057&amp;D5057&lt;&gt;'Funnel setup'!$K$3&amp;'Funnel setup'!$K$4&amp;'Funnel setup'!$K$6,".",IF(A5056=".",1,A5056+1))</f>
        <v>.</v>
      </c>
      <c r="B5057" s="244" t="str">
        <f t="shared" si="78"/>
        <v>Total Knee ReplacementProviderGLOUCESTERSHIRE HOSPITALS NHS FOUNDATION TRUST (RTE)EQ-5D Index</v>
      </c>
      <c r="C5057" t="s">
        <v>975</v>
      </c>
      <c r="D5057" t="s">
        <v>965</v>
      </c>
      <c r="E5057" t="s">
        <v>256</v>
      </c>
      <c r="F5057" t="s">
        <v>257</v>
      </c>
      <c r="G5057" t="s">
        <v>963</v>
      </c>
      <c r="H5057">
        <v>65</v>
      </c>
      <c r="I5057">
        <v>0.33289200000000002</v>
      </c>
      <c r="J5057">
        <v>0.69384599999999996</v>
      </c>
      <c r="K5057">
        <v>0.360954</v>
      </c>
      <c r="L5057">
        <v>51</v>
      </c>
      <c r="M5057">
        <v>10</v>
      </c>
      <c r="N5057">
        <v>4</v>
      </c>
      <c r="O5057">
        <v>0.72800900000000002</v>
      </c>
      <c r="P5057">
        <v>0.30371199999999998</v>
      </c>
      <c r="Q5057">
        <v>0.28396500000000002</v>
      </c>
    </row>
    <row r="5058" spans="1:17" x14ac:dyDescent="0.25">
      <c r="A5058" t="str">
        <f>IF(C5058&amp;G5058&amp;D5058&lt;&gt;'Funnel setup'!$K$3&amp;'Funnel setup'!$K$4&amp;'Funnel setup'!$K$6,".",IF(A5057=".",1,A5057+1))</f>
        <v>.</v>
      </c>
      <c r="B5058" s="244" t="str">
        <f t="shared" ref="B5058:B5121" si="79">C5058&amp;D5058&amp;F5058&amp;G5058</f>
        <v>Total Knee ReplacementProviderGORING HALL HOSPITAL (NT417)EQ-5D Index</v>
      </c>
      <c r="C5058" t="s">
        <v>975</v>
      </c>
      <c r="D5058" t="s">
        <v>965</v>
      </c>
      <c r="E5058" t="s">
        <v>258</v>
      </c>
      <c r="F5058" t="s">
        <v>259</v>
      </c>
      <c r="G5058" t="s">
        <v>963</v>
      </c>
      <c r="H5058">
        <v>24</v>
      </c>
      <c r="I5058">
        <v>0.47437499999999999</v>
      </c>
      <c r="J5058">
        <v>0.82687500000000003</v>
      </c>
      <c r="K5058">
        <v>0.35249999999999998</v>
      </c>
      <c r="L5058">
        <v>21</v>
      </c>
      <c r="M5058">
        <v>1</v>
      </c>
      <c r="N5058">
        <v>2</v>
      </c>
      <c r="O5058" t="s">
        <v>127</v>
      </c>
      <c r="P5058" t="s">
        <v>127</v>
      </c>
      <c r="Q5058" t="s">
        <v>127</v>
      </c>
    </row>
    <row r="5059" spans="1:17" x14ac:dyDescent="0.25">
      <c r="A5059" t="str">
        <f>IF(C5059&amp;G5059&amp;D5059&lt;&gt;'Funnel setup'!$K$3&amp;'Funnel setup'!$K$4&amp;'Funnel setup'!$K$6,".",IF(A5058=".",1,A5058+1))</f>
        <v>.</v>
      </c>
      <c r="B5059" s="244" t="str">
        <f t="shared" si="79"/>
        <v>Total Knee ReplacementProviderGUY'S AND ST THOMAS' NHS FOUNDATION TRUST (RJ1)EQ-5D Index</v>
      </c>
      <c r="C5059" t="s">
        <v>975</v>
      </c>
      <c r="D5059" t="s">
        <v>965</v>
      </c>
      <c r="E5059" t="s">
        <v>262</v>
      </c>
      <c r="F5059" t="s">
        <v>263</v>
      </c>
      <c r="G5059" t="s">
        <v>963</v>
      </c>
      <c r="H5059">
        <v>71</v>
      </c>
      <c r="I5059">
        <v>0.28742299999999998</v>
      </c>
      <c r="J5059">
        <v>0.58609900000000004</v>
      </c>
      <c r="K5059">
        <v>0.298676</v>
      </c>
      <c r="L5059">
        <v>53</v>
      </c>
      <c r="M5059">
        <v>9</v>
      </c>
      <c r="N5059">
        <v>9</v>
      </c>
      <c r="O5059">
        <v>0.66854000000000002</v>
      </c>
      <c r="P5059">
        <v>0.24424299999999999</v>
      </c>
      <c r="Q5059">
        <v>0.298539</v>
      </c>
    </row>
    <row r="5060" spans="1:17" x14ac:dyDescent="0.25">
      <c r="A5060" t="str">
        <f>IF(C5060&amp;G5060&amp;D5060&lt;&gt;'Funnel setup'!$K$3&amp;'Funnel setup'!$K$4&amp;'Funnel setup'!$K$6,".",IF(A5059=".",1,A5059+1))</f>
        <v>.</v>
      </c>
      <c r="B5060" s="244" t="str">
        <f t="shared" si="79"/>
        <v>Total Knee ReplacementProviderHAMPSHIRE CLINIC (NT418)EQ-5D Index</v>
      </c>
      <c r="C5060" t="s">
        <v>975</v>
      </c>
      <c r="D5060" t="s">
        <v>965</v>
      </c>
      <c r="E5060" t="s">
        <v>264</v>
      </c>
      <c r="F5060" t="s">
        <v>265</v>
      </c>
      <c r="G5060" t="s">
        <v>963</v>
      </c>
      <c r="H5060">
        <v>21</v>
      </c>
      <c r="I5060">
        <v>0.50195500000000004</v>
      </c>
      <c r="J5060">
        <v>0.853545</v>
      </c>
      <c r="K5060">
        <v>0.35159099999999999</v>
      </c>
      <c r="L5060">
        <v>19</v>
      </c>
      <c r="M5060">
        <v>2</v>
      </c>
      <c r="N5060">
        <v>0</v>
      </c>
      <c r="O5060" t="s">
        <v>127</v>
      </c>
      <c r="P5060" t="s">
        <v>127</v>
      </c>
      <c r="Q5060" t="s">
        <v>127</v>
      </c>
    </row>
    <row r="5061" spans="1:17" x14ac:dyDescent="0.25">
      <c r="A5061" t="str">
        <f>IF(C5061&amp;G5061&amp;D5061&lt;&gt;'Funnel setup'!$K$3&amp;'Funnel setup'!$K$4&amp;'Funnel setup'!$K$6,".",IF(A5060=".",1,A5060+1))</f>
        <v>.</v>
      </c>
      <c r="B5061" s="244" t="str">
        <f t="shared" si="79"/>
        <v>Total Knee ReplacementProviderHAMPSHIRE HOSPITALS NHS FOUNDATION TRUST (RN5)EQ-5D Index</v>
      </c>
      <c r="C5061" t="s">
        <v>975</v>
      </c>
      <c r="D5061" t="s">
        <v>965</v>
      </c>
      <c r="E5061" t="s">
        <v>266</v>
      </c>
      <c r="F5061" t="s">
        <v>267</v>
      </c>
      <c r="G5061" t="s">
        <v>963</v>
      </c>
      <c r="H5061">
        <v>25</v>
      </c>
      <c r="I5061">
        <v>0.50295999999999996</v>
      </c>
      <c r="J5061">
        <v>0.74492000000000003</v>
      </c>
      <c r="K5061">
        <v>0.24196000000000001</v>
      </c>
      <c r="L5061">
        <v>18</v>
      </c>
      <c r="M5061">
        <v>4</v>
      </c>
      <c r="N5061">
        <v>3</v>
      </c>
      <c r="O5061" t="s">
        <v>127</v>
      </c>
      <c r="P5061" t="s">
        <v>127</v>
      </c>
      <c r="Q5061" t="s">
        <v>127</v>
      </c>
    </row>
    <row r="5062" spans="1:17" x14ac:dyDescent="0.25">
      <c r="A5062" t="str">
        <f>IF(C5062&amp;G5062&amp;D5062&lt;&gt;'Funnel setup'!$K$3&amp;'Funnel setup'!$K$4&amp;'Funnel setup'!$K$6,".",IF(A5061=".",1,A5061+1))</f>
        <v>.</v>
      </c>
      <c r="B5062" s="244" t="str">
        <f t="shared" si="79"/>
        <v>Total Knee ReplacementProviderHARROGATE AND DISTRICT NHS FOUNDATION TRUST (RCD)EQ-5D Index</v>
      </c>
      <c r="C5062" t="s">
        <v>975</v>
      </c>
      <c r="D5062" t="s">
        <v>965</v>
      </c>
      <c r="E5062" t="s">
        <v>270</v>
      </c>
      <c r="F5062" t="s">
        <v>271</v>
      </c>
      <c r="G5062" t="s">
        <v>963</v>
      </c>
      <c r="H5062">
        <v>89</v>
      </c>
      <c r="I5062">
        <v>0.37562899999999999</v>
      </c>
      <c r="J5062">
        <v>0.75671900000000003</v>
      </c>
      <c r="K5062">
        <v>0.38108999999999998</v>
      </c>
      <c r="L5062">
        <v>76</v>
      </c>
      <c r="M5062">
        <v>7</v>
      </c>
      <c r="N5062">
        <v>6</v>
      </c>
      <c r="O5062">
        <v>0.77940600000000004</v>
      </c>
      <c r="P5062">
        <v>0.35510900000000001</v>
      </c>
      <c r="Q5062">
        <v>0.23197999999999999</v>
      </c>
    </row>
    <row r="5063" spans="1:17" x14ac:dyDescent="0.25">
      <c r="A5063" t="str">
        <f>IF(C5063&amp;G5063&amp;D5063&lt;&gt;'Funnel setup'!$K$3&amp;'Funnel setup'!$K$4&amp;'Funnel setup'!$K$6,".",IF(A5062=".",1,A5062+1))</f>
        <v>.</v>
      </c>
      <c r="B5063" s="244" t="str">
        <f t="shared" si="79"/>
        <v>Total Knee ReplacementProviderHIGHFIELD HOSPITAL (NT420)EQ-5D Index</v>
      </c>
      <c r="C5063" t="s">
        <v>975</v>
      </c>
      <c r="D5063" t="s">
        <v>965</v>
      </c>
      <c r="E5063" t="s">
        <v>272</v>
      </c>
      <c r="F5063" t="s">
        <v>273</v>
      </c>
      <c r="G5063" t="s">
        <v>963</v>
      </c>
      <c r="H5063">
        <v>117</v>
      </c>
      <c r="I5063">
        <v>0.45982099999999998</v>
      </c>
      <c r="J5063">
        <v>0.75622199999999995</v>
      </c>
      <c r="K5063">
        <v>0.296402</v>
      </c>
      <c r="L5063">
        <v>96</v>
      </c>
      <c r="M5063">
        <v>9</v>
      </c>
      <c r="N5063">
        <v>12</v>
      </c>
      <c r="O5063">
        <v>0.72491000000000005</v>
      </c>
      <c r="P5063">
        <v>0.30061300000000002</v>
      </c>
      <c r="Q5063">
        <v>0.20543400000000001</v>
      </c>
    </row>
    <row r="5064" spans="1:17" x14ac:dyDescent="0.25">
      <c r="A5064" t="str">
        <f>IF(C5064&amp;G5064&amp;D5064&lt;&gt;'Funnel setup'!$K$3&amp;'Funnel setup'!$K$4&amp;'Funnel setup'!$K$6,".",IF(A5063=".",1,A5063+1))</f>
        <v>.</v>
      </c>
      <c r="B5064" s="244" t="str">
        <f t="shared" si="79"/>
        <v>Total Knee ReplacementProviderHOMERTON HEALTHCARE NHS FOUNDATION TRUST (RQX)EQ-5D Index</v>
      </c>
      <c r="C5064" t="s">
        <v>975</v>
      </c>
      <c r="D5064" t="s">
        <v>965</v>
      </c>
      <c r="E5064" t="s">
        <v>274</v>
      </c>
      <c r="F5064" t="s">
        <v>275</v>
      </c>
      <c r="G5064" t="s">
        <v>963</v>
      </c>
      <c r="H5064">
        <v>4</v>
      </c>
      <c r="I5064">
        <v>0.27775</v>
      </c>
      <c r="J5064">
        <v>0.82525000000000004</v>
      </c>
      <c r="K5064">
        <v>0.54749999999999999</v>
      </c>
      <c r="L5064">
        <v>4</v>
      </c>
      <c r="M5064">
        <v>0</v>
      </c>
      <c r="N5064">
        <v>0</v>
      </c>
      <c r="O5064" t="s">
        <v>127</v>
      </c>
      <c r="P5064" t="s">
        <v>127</v>
      </c>
      <c r="Q5064" t="s">
        <v>127</v>
      </c>
    </row>
    <row r="5065" spans="1:17" x14ac:dyDescent="0.25">
      <c r="A5065" t="str">
        <f>IF(C5065&amp;G5065&amp;D5065&lt;&gt;'Funnel setup'!$K$3&amp;'Funnel setup'!$K$4&amp;'Funnel setup'!$K$6,".",IF(A5064=".",1,A5064+1))</f>
        <v>.</v>
      </c>
      <c r="B5065" s="244" t="str">
        <f t="shared" si="79"/>
        <v>Total Knee ReplacementProviderHUDDERSFIELD HOSPITAL (NT448)EQ-5D Index</v>
      </c>
      <c r="C5065" t="s">
        <v>975</v>
      </c>
      <c r="D5065" t="s">
        <v>965</v>
      </c>
      <c r="E5065" t="s">
        <v>276</v>
      </c>
      <c r="F5065" t="s">
        <v>277</v>
      </c>
      <c r="G5065" t="s">
        <v>963</v>
      </c>
      <c r="H5065">
        <v>3</v>
      </c>
      <c r="I5065">
        <v>0.52500000000000002</v>
      </c>
      <c r="J5065">
        <v>0.83533299999999999</v>
      </c>
      <c r="K5065">
        <v>0.31033300000000003</v>
      </c>
      <c r="L5065">
        <v>3</v>
      </c>
      <c r="M5065">
        <v>0</v>
      </c>
      <c r="N5065">
        <v>0</v>
      </c>
      <c r="O5065" t="s">
        <v>127</v>
      </c>
      <c r="P5065" t="s">
        <v>127</v>
      </c>
      <c r="Q5065" t="s">
        <v>127</v>
      </c>
    </row>
    <row r="5066" spans="1:17" x14ac:dyDescent="0.25">
      <c r="A5066" t="str">
        <f>IF(C5066&amp;G5066&amp;D5066&lt;&gt;'Funnel setup'!$K$3&amp;'Funnel setup'!$K$4&amp;'Funnel setup'!$K$6,".",IF(A5065=".",1,A5065+1))</f>
        <v>.</v>
      </c>
      <c r="B5066" s="244" t="str">
        <f t="shared" si="79"/>
        <v>Total Knee ReplacementProviderHULL UNIVERSITY TEACHING HOSPITALS NHS TRUST (RWA)EQ-5D Index</v>
      </c>
      <c r="C5066" t="s">
        <v>975</v>
      </c>
      <c r="D5066" t="s">
        <v>965</v>
      </c>
      <c r="E5066" t="s">
        <v>278</v>
      </c>
      <c r="F5066" t="s">
        <v>279</v>
      </c>
      <c r="G5066" t="s">
        <v>963</v>
      </c>
      <c r="H5066">
        <v>29</v>
      </c>
      <c r="I5066">
        <v>0.391069</v>
      </c>
      <c r="J5066">
        <v>0.73931000000000002</v>
      </c>
      <c r="K5066">
        <v>0.34824100000000002</v>
      </c>
      <c r="L5066">
        <v>23</v>
      </c>
      <c r="M5066">
        <v>2</v>
      </c>
      <c r="N5066">
        <v>4</v>
      </c>
      <c r="O5066" t="s">
        <v>127</v>
      </c>
      <c r="P5066" t="s">
        <v>127</v>
      </c>
      <c r="Q5066" t="s">
        <v>127</v>
      </c>
    </row>
    <row r="5067" spans="1:17" x14ac:dyDescent="0.25">
      <c r="A5067" t="str">
        <f>IF(C5067&amp;G5067&amp;D5067&lt;&gt;'Funnel setup'!$K$3&amp;'Funnel setup'!$K$4&amp;'Funnel setup'!$K$6,".",IF(A5066=".",1,A5066+1))</f>
        <v>.</v>
      </c>
      <c r="B5067" s="244" t="str">
        <f t="shared" si="79"/>
        <v>Total Knee ReplacementProviderIMPERIAL COLLEGE HEALTHCARE NHS TRUST (RYJ)EQ-5D Index</v>
      </c>
      <c r="C5067" t="s">
        <v>975</v>
      </c>
      <c r="D5067" t="s">
        <v>965</v>
      </c>
      <c r="E5067" t="s">
        <v>280</v>
      </c>
      <c r="F5067" t="s">
        <v>281</v>
      </c>
      <c r="G5067" t="s">
        <v>963</v>
      </c>
      <c r="H5067">
        <v>22</v>
      </c>
      <c r="I5067">
        <v>0.187</v>
      </c>
      <c r="J5067">
        <v>0.71013599999999999</v>
      </c>
      <c r="K5067">
        <v>0.52313600000000005</v>
      </c>
      <c r="L5067">
        <v>19</v>
      </c>
      <c r="M5067">
        <v>1</v>
      </c>
      <c r="N5067">
        <v>2</v>
      </c>
      <c r="O5067" t="s">
        <v>127</v>
      </c>
      <c r="P5067" t="s">
        <v>127</v>
      </c>
      <c r="Q5067" t="s">
        <v>127</v>
      </c>
    </row>
    <row r="5068" spans="1:17" x14ac:dyDescent="0.25">
      <c r="A5068" t="str">
        <f>IF(C5068&amp;G5068&amp;D5068&lt;&gt;'Funnel setup'!$K$3&amp;'Funnel setup'!$K$4&amp;'Funnel setup'!$K$6,".",IF(A5067=".",1,A5067+1))</f>
        <v>.</v>
      </c>
      <c r="B5068" s="244" t="str">
        <f t="shared" si="79"/>
        <v>Total Knee ReplacementProviderISLE OF WIGHT NHS TRUST (R1F)EQ-5D Index</v>
      </c>
      <c r="C5068" t="s">
        <v>975</v>
      </c>
      <c r="D5068" t="s">
        <v>965</v>
      </c>
      <c r="E5068" t="s">
        <v>282</v>
      </c>
      <c r="F5068" t="s">
        <v>283</v>
      </c>
      <c r="G5068" t="s">
        <v>963</v>
      </c>
      <c r="H5068">
        <v>3</v>
      </c>
      <c r="I5068">
        <v>0.525667</v>
      </c>
      <c r="J5068">
        <v>0.49666700000000003</v>
      </c>
      <c r="K5068">
        <v>-2.9000000000000001E-2</v>
      </c>
      <c r="L5068">
        <v>1</v>
      </c>
      <c r="M5068">
        <v>1</v>
      </c>
      <c r="N5068">
        <v>1</v>
      </c>
      <c r="O5068" t="s">
        <v>127</v>
      </c>
      <c r="P5068" t="s">
        <v>127</v>
      </c>
      <c r="Q5068" t="s">
        <v>127</v>
      </c>
    </row>
    <row r="5069" spans="1:17" x14ac:dyDescent="0.25">
      <c r="A5069" t="str">
        <f>IF(C5069&amp;G5069&amp;D5069&lt;&gt;'Funnel setup'!$K$3&amp;'Funnel setup'!$K$4&amp;'Funnel setup'!$K$6,".",IF(A5068=".",1,A5068+1))</f>
        <v>.</v>
      </c>
      <c r="B5069" s="244" t="str">
        <f t="shared" si="79"/>
        <v>Total Knee ReplacementProviderJAMES PAGET UNIVERSITY HOSPITALS NHS FOUNDATION TRUST (RGP)EQ-5D Index</v>
      </c>
      <c r="C5069" t="s">
        <v>975</v>
      </c>
      <c r="D5069" t="s">
        <v>965</v>
      </c>
      <c r="E5069" t="s">
        <v>284</v>
      </c>
      <c r="F5069" t="s">
        <v>285</v>
      </c>
      <c r="G5069" t="s">
        <v>963</v>
      </c>
      <c r="H5069">
        <v>59</v>
      </c>
      <c r="I5069">
        <v>0.37513600000000002</v>
      </c>
      <c r="J5069">
        <v>0.73167800000000005</v>
      </c>
      <c r="K5069">
        <v>0.35654200000000003</v>
      </c>
      <c r="L5069">
        <v>47</v>
      </c>
      <c r="M5069">
        <v>7</v>
      </c>
      <c r="N5069">
        <v>5</v>
      </c>
      <c r="O5069">
        <v>0.76281699999999997</v>
      </c>
      <c r="P5069">
        <v>0.33851999999999999</v>
      </c>
      <c r="Q5069">
        <v>0.18856999999999999</v>
      </c>
    </row>
    <row r="5070" spans="1:17" x14ac:dyDescent="0.25">
      <c r="A5070" t="str">
        <f>IF(C5070&amp;G5070&amp;D5070&lt;&gt;'Funnel setup'!$K$3&amp;'Funnel setup'!$K$4&amp;'Funnel setup'!$K$6,".",IF(A5069=".",1,A5069+1))</f>
        <v>.</v>
      </c>
      <c r="B5070" s="244" t="str">
        <f t="shared" si="79"/>
        <v>Total Knee ReplacementProviderKETTERING GENERAL HOSPITAL NHS FOUNDATION TRUST (RNQ)EQ-5D Index</v>
      </c>
      <c r="C5070" t="s">
        <v>975</v>
      </c>
      <c r="D5070" t="s">
        <v>965</v>
      </c>
      <c r="E5070" t="s">
        <v>286</v>
      </c>
      <c r="F5070" t="s">
        <v>287</v>
      </c>
      <c r="G5070" t="s">
        <v>963</v>
      </c>
      <c r="H5070">
        <v>30</v>
      </c>
      <c r="I5070">
        <v>0.39616699999999999</v>
      </c>
      <c r="J5070">
        <v>0.72206700000000001</v>
      </c>
      <c r="K5070">
        <v>0.32590000000000002</v>
      </c>
      <c r="L5070">
        <v>23</v>
      </c>
      <c r="M5070">
        <v>2</v>
      </c>
      <c r="N5070">
        <v>5</v>
      </c>
      <c r="O5070">
        <v>0.77770099999999998</v>
      </c>
      <c r="P5070">
        <v>0.35340300000000002</v>
      </c>
      <c r="Q5070">
        <v>0.25512400000000002</v>
      </c>
    </row>
    <row r="5071" spans="1:17" x14ac:dyDescent="0.25">
      <c r="A5071" t="str">
        <f>IF(C5071&amp;G5071&amp;D5071&lt;&gt;'Funnel setup'!$K$3&amp;'Funnel setup'!$K$4&amp;'Funnel setup'!$K$6,".",IF(A5070=".",1,A5070+1))</f>
        <v>.</v>
      </c>
      <c r="B5071" s="244" t="str">
        <f t="shared" si="79"/>
        <v>Total Knee ReplacementProviderKIMS HOSPITAL (NEWNHAM COURT) (ADP02)EQ-5D Index</v>
      </c>
      <c r="C5071" t="s">
        <v>975</v>
      </c>
      <c r="D5071" t="s">
        <v>965</v>
      </c>
      <c r="E5071" t="s">
        <v>288</v>
      </c>
      <c r="F5071" t="s">
        <v>289</v>
      </c>
      <c r="G5071" t="s">
        <v>963</v>
      </c>
      <c r="H5071">
        <v>132</v>
      </c>
      <c r="I5071">
        <v>0.48353800000000002</v>
      </c>
      <c r="J5071">
        <v>0.82786400000000004</v>
      </c>
      <c r="K5071">
        <v>0.34432600000000002</v>
      </c>
      <c r="L5071">
        <v>112</v>
      </c>
      <c r="M5071">
        <v>9</v>
      </c>
      <c r="N5071">
        <v>11</v>
      </c>
      <c r="O5071">
        <v>0.80001800000000001</v>
      </c>
      <c r="P5071">
        <v>0.37572100000000003</v>
      </c>
      <c r="Q5071">
        <v>0.20364499999999999</v>
      </c>
    </row>
    <row r="5072" spans="1:17" x14ac:dyDescent="0.25">
      <c r="A5072" t="str">
        <f>IF(C5072&amp;G5072&amp;D5072&lt;&gt;'Funnel setup'!$K$3&amp;'Funnel setup'!$K$4&amp;'Funnel setup'!$K$6,".",IF(A5071=".",1,A5071+1))</f>
        <v>.</v>
      </c>
      <c r="B5072" s="244" t="str">
        <f t="shared" si="79"/>
        <v>Total Knee ReplacementProviderKING'S COLLEGE HOSPITAL NHS FOUNDATION TRUST (RJZ)EQ-5D Index</v>
      </c>
      <c r="C5072" t="s">
        <v>975</v>
      </c>
      <c r="D5072" t="s">
        <v>965</v>
      </c>
      <c r="E5072" t="s">
        <v>290</v>
      </c>
      <c r="F5072" t="s">
        <v>291</v>
      </c>
      <c r="G5072" t="s">
        <v>963</v>
      </c>
      <c r="H5072">
        <v>14</v>
      </c>
      <c r="I5072">
        <v>0.36835699999999999</v>
      </c>
      <c r="J5072">
        <v>0.53249999999999997</v>
      </c>
      <c r="K5072">
        <v>0.16414300000000001</v>
      </c>
      <c r="L5072">
        <v>9</v>
      </c>
      <c r="M5072">
        <v>0</v>
      </c>
      <c r="N5072">
        <v>5</v>
      </c>
      <c r="O5072" t="s">
        <v>127</v>
      </c>
      <c r="P5072" t="s">
        <v>127</v>
      </c>
      <c r="Q5072" t="s">
        <v>127</v>
      </c>
    </row>
    <row r="5073" spans="1:17" x14ac:dyDescent="0.25">
      <c r="A5073" t="str">
        <f>IF(C5073&amp;G5073&amp;D5073&lt;&gt;'Funnel setup'!$K$3&amp;'Funnel setup'!$K$4&amp;'Funnel setup'!$K$6,".",IF(A5072=".",1,A5072+1))</f>
        <v>.</v>
      </c>
      <c r="B5073" s="244" t="str">
        <f t="shared" si="79"/>
        <v>Total Knee ReplacementProviderKINGS OAK HOSPITAL (NT421)EQ-5D Index</v>
      </c>
      <c r="C5073" t="s">
        <v>975</v>
      </c>
      <c r="D5073" t="s">
        <v>965</v>
      </c>
      <c r="E5073" t="s">
        <v>292</v>
      </c>
      <c r="F5073" t="s">
        <v>293</v>
      </c>
      <c r="G5073" t="s">
        <v>963</v>
      </c>
      <c r="H5073">
        <v>6</v>
      </c>
      <c r="I5073">
        <v>0.29816700000000002</v>
      </c>
      <c r="J5073">
        <v>0.60666699999999996</v>
      </c>
      <c r="K5073">
        <v>0.3085</v>
      </c>
      <c r="L5073">
        <v>4</v>
      </c>
      <c r="M5073">
        <v>2</v>
      </c>
      <c r="N5073">
        <v>0</v>
      </c>
      <c r="O5073" t="s">
        <v>127</v>
      </c>
      <c r="P5073" t="s">
        <v>127</v>
      </c>
      <c r="Q5073" t="s">
        <v>127</v>
      </c>
    </row>
    <row r="5074" spans="1:17" x14ac:dyDescent="0.25">
      <c r="A5074" t="str">
        <f>IF(C5074&amp;G5074&amp;D5074&lt;&gt;'Funnel setup'!$K$3&amp;'Funnel setup'!$K$4&amp;'Funnel setup'!$K$6,".",IF(A5073=".",1,A5073+1))</f>
        <v>.</v>
      </c>
      <c r="B5074" s="244" t="str">
        <f t="shared" si="79"/>
        <v>Total Knee ReplacementProviderLANCASHIRE TEACHING HOSPITALS NHS FOUNDATION TRUST (RXN)EQ-5D Index</v>
      </c>
      <c r="C5074" t="s">
        <v>975</v>
      </c>
      <c r="D5074" t="s">
        <v>965</v>
      </c>
      <c r="E5074" t="s">
        <v>296</v>
      </c>
      <c r="F5074" t="s">
        <v>297</v>
      </c>
      <c r="G5074" t="s">
        <v>963</v>
      </c>
      <c r="H5074">
        <v>44</v>
      </c>
      <c r="I5074">
        <v>0.26906799999999997</v>
      </c>
      <c r="J5074">
        <v>0.72295500000000001</v>
      </c>
      <c r="K5074">
        <v>0.45388600000000001</v>
      </c>
      <c r="L5074">
        <v>40</v>
      </c>
      <c r="M5074">
        <v>1</v>
      </c>
      <c r="N5074">
        <v>3</v>
      </c>
      <c r="O5074">
        <v>0.80487799999999998</v>
      </c>
      <c r="P5074">
        <v>0.380581</v>
      </c>
      <c r="Q5074">
        <v>0.27782299999999999</v>
      </c>
    </row>
    <row r="5075" spans="1:17" x14ac:dyDescent="0.25">
      <c r="A5075" t="str">
        <f>IF(C5075&amp;G5075&amp;D5075&lt;&gt;'Funnel setup'!$K$3&amp;'Funnel setup'!$K$4&amp;'Funnel setup'!$K$6,".",IF(A5074=".",1,A5074+1))</f>
        <v>.</v>
      </c>
      <c r="B5075" s="244" t="str">
        <f t="shared" si="79"/>
        <v>Total Knee ReplacementProviderLANCASTER HOSPITAL (NT449)EQ-5D Index</v>
      </c>
      <c r="C5075" t="s">
        <v>975</v>
      </c>
      <c r="D5075" t="s">
        <v>965</v>
      </c>
      <c r="E5075" t="s">
        <v>298</v>
      </c>
      <c r="F5075" t="s">
        <v>299</v>
      </c>
      <c r="G5075" t="s">
        <v>963</v>
      </c>
      <c r="H5075">
        <v>31</v>
      </c>
      <c r="I5075">
        <v>0.51229000000000002</v>
      </c>
      <c r="J5075">
        <v>0.79180600000000001</v>
      </c>
      <c r="K5075">
        <v>0.27951599999999999</v>
      </c>
      <c r="L5075">
        <v>27</v>
      </c>
      <c r="M5075">
        <v>2</v>
      </c>
      <c r="N5075">
        <v>2</v>
      </c>
      <c r="O5075">
        <v>0.73801300000000003</v>
      </c>
      <c r="P5075">
        <v>0.31371500000000002</v>
      </c>
      <c r="Q5075">
        <v>0.118233</v>
      </c>
    </row>
    <row r="5076" spans="1:17" x14ac:dyDescent="0.25">
      <c r="A5076" t="str">
        <f>IF(C5076&amp;G5076&amp;D5076&lt;&gt;'Funnel setup'!$K$3&amp;'Funnel setup'!$K$4&amp;'Funnel setup'!$K$6,".",IF(A5075=".",1,A5075+1))</f>
        <v>.</v>
      </c>
      <c r="B5076" s="244" t="str">
        <f t="shared" si="79"/>
        <v>Total Knee ReplacementProviderLEEDS TEACHING HOSPITALS NHS TRUST (RR8)EQ-5D Index</v>
      </c>
      <c r="C5076" t="s">
        <v>975</v>
      </c>
      <c r="D5076" t="s">
        <v>965</v>
      </c>
      <c r="E5076" t="s">
        <v>300</v>
      </c>
      <c r="F5076" t="s">
        <v>301</v>
      </c>
      <c r="G5076" t="s">
        <v>963</v>
      </c>
      <c r="H5076">
        <v>106</v>
      </c>
      <c r="I5076">
        <v>0.42865999999999999</v>
      </c>
      <c r="J5076">
        <v>0.69358500000000001</v>
      </c>
      <c r="K5076">
        <v>0.26492500000000002</v>
      </c>
      <c r="L5076">
        <v>78</v>
      </c>
      <c r="M5076">
        <v>10</v>
      </c>
      <c r="N5076">
        <v>18</v>
      </c>
      <c r="O5076">
        <v>0.71821800000000002</v>
      </c>
      <c r="P5076">
        <v>0.29392099999999999</v>
      </c>
      <c r="Q5076">
        <v>0.22395899999999999</v>
      </c>
    </row>
    <row r="5077" spans="1:17" x14ac:dyDescent="0.25">
      <c r="A5077" t="str">
        <f>IF(C5077&amp;G5077&amp;D5077&lt;&gt;'Funnel setup'!$K$3&amp;'Funnel setup'!$K$4&amp;'Funnel setup'!$K$6,".",IF(A5076=".",1,A5076+1))</f>
        <v>.</v>
      </c>
      <c r="B5077" s="244" t="str">
        <f t="shared" si="79"/>
        <v>Total Knee ReplacementProviderLINCOLN HOSPITAL (NT450)EQ-5D Index</v>
      </c>
      <c r="C5077" t="s">
        <v>975</v>
      </c>
      <c r="D5077" t="s">
        <v>965</v>
      </c>
      <c r="E5077" t="s">
        <v>304</v>
      </c>
      <c r="F5077" t="s">
        <v>305</v>
      </c>
      <c r="G5077" t="s">
        <v>963</v>
      </c>
      <c r="H5077">
        <v>66</v>
      </c>
      <c r="I5077">
        <v>0.529254</v>
      </c>
      <c r="J5077">
        <v>0.84659700000000004</v>
      </c>
      <c r="K5077">
        <v>0.31734299999999999</v>
      </c>
      <c r="L5077">
        <v>55</v>
      </c>
      <c r="M5077">
        <v>6</v>
      </c>
      <c r="N5077">
        <v>5</v>
      </c>
      <c r="O5077">
        <v>0.80753900000000001</v>
      </c>
      <c r="P5077">
        <v>0.38324200000000003</v>
      </c>
      <c r="Q5077">
        <v>0.167271</v>
      </c>
    </row>
    <row r="5078" spans="1:17" x14ac:dyDescent="0.25">
      <c r="A5078" t="str">
        <f>IF(C5078&amp;G5078&amp;D5078&lt;&gt;'Funnel setup'!$K$3&amp;'Funnel setup'!$K$4&amp;'Funnel setup'!$K$6,".",IF(A5077=".",1,A5077+1))</f>
        <v>.</v>
      </c>
      <c r="B5078" s="244" t="str">
        <f t="shared" si="79"/>
        <v>Total Knee ReplacementProviderLIVERPOOL UNIVERSITY HOSPITALS NHS FOUNDATION TRUST (REM)EQ-5D Index</v>
      </c>
      <c r="C5078" t="s">
        <v>975</v>
      </c>
      <c r="D5078" t="s">
        <v>965</v>
      </c>
      <c r="E5078" t="s">
        <v>306</v>
      </c>
      <c r="F5078" t="s">
        <v>307</v>
      </c>
      <c r="G5078" t="s">
        <v>963</v>
      </c>
      <c r="H5078">
        <v>61</v>
      </c>
      <c r="I5078">
        <v>0.21926200000000001</v>
      </c>
      <c r="J5078">
        <v>0.68370500000000001</v>
      </c>
      <c r="K5078">
        <v>0.46444299999999999</v>
      </c>
      <c r="L5078">
        <v>53</v>
      </c>
      <c r="M5078">
        <v>4</v>
      </c>
      <c r="N5078">
        <v>4</v>
      </c>
      <c r="O5078">
        <v>0.75360700000000003</v>
      </c>
      <c r="P5078">
        <v>0.32930900000000002</v>
      </c>
      <c r="Q5078">
        <v>0.27352300000000002</v>
      </c>
    </row>
    <row r="5079" spans="1:17" x14ac:dyDescent="0.25">
      <c r="A5079" t="str">
        <f>IF(C5079&amp;G5079&amp;D5079&lt;&gt;'Funnel setup'!$K$3&amp;'Funnel setup'!$K$4&amp;'Funnel setup'!$K$6,".",IF(A5078=".",1,A5078+1))</f>
        <v>.</v>
      </c>
      <c r="B5079" s="244" t="str">
        <f t="shared" si="79"/>
        <v>Total Knee ReplacementProviderLONDON INDEPENDENT HOSPITAL (NT422)EQ-5D Index</v>
      </c>
      <c r="C5079" t="s">
        <v>975</v>
      </c>
      <c r="D5079" t="s">
        <v>965</v>
      </c>
      <c r="E5079" t="s">
        <v>308</v>
      </c>
      <c r="F5079" t="s">
        <v>309</v>
      </c>
      <c r="G5079" t="s">
        <v>963</v>
      </c>
      <c r="H5079">
        <v>8</v>
      </c>
      <c r="I5079">
        <v>0.32224999999999998</v>
      </c>
      <c r="J5079">
        <v>0.42162500000000003</v>
      </c>
      <c r="K5079">
        <v>9.9375000000000005E-2</v>
      </c>
      <c r="L5079">
        <v>4</v>
      </c>
      <c r="M5079">
        <v>1</v>
      </c>
      <c r="N5079">
        <v>3</v>
      </c>
      <c r="O5079" t="s">
        <v>127</v>
      </c>
      <c r="P5079" t="s">
        <v>127</v>
      </c>
      <c r="Q5079" t="s">
        <v>127</v>
      </c>
    </row>
    <row r="5080" spans="1:17" x14ac:dyDescent="0.25">
      <c r="A5080" t="str">
        <f>IF(C5080&amp;G5080&amp;D5080&lt;&gt;'Funnel setup'!$K$3&amp;'Funnel setup'!$K$4&amp;'Funnel setup'!$K$6,".",IF(A5079=".",1,A5079+1))</f>
        <v>.</v>
      </c>
      <c r="B5080" s="244" t="str">
        <f t="shared" si="79"/>
        <v>Total Knee ReplacementProviderMAIDSTONE AND TUNBRIDGE WELLS NHS TRUST (RWF)EQ-5D Index</v>
      </c>
      <c r="C5080" t="s">
        <v>975</v>
      </c>
      <c r="D5080" t="s">
        <v>965</v>
      </c>
      <c r="E5080" t="s">
        <v>312</v>
      </c>
      <c r="F5080" t="s">
        <v>313</v>
      </c>
      <c r="G5080" t="s">
        <v>963</v>
      </c>
      <c r="H5080">
        <v>137</v>
      </c>
      <c r="I5080">
        <v>0.47940100000000002</v>
      </c>
      <c r="J5080">
        <v>0.81040100000000004</v>
      </c>
      <c r="K5080">
        <v>0.33100000000000002</v>
      </c>
      <c r="L5080">
        <v>115</v>
      </c>
      <c r="M5080">
        <v>15</v>
      </c>
      <c r="N5080">
        <v>7</v>
      </c>
      <c r="O5080">
        <v>0.77867299999999995</v>
      </c>
      <c r="P5080">
        <v>0.35437600000000002</v>
      </c>
      <c r="Q5080">
        <v>0.18751399999999999</v>
      </c>
    </row>
    <row r="5081" spans="1:17" x14ac:dyDescent="0.25">
      <c r="A5081" t="str">
        <f>IF(C5081&amp;G5081&amp;D5081&lt;&gt;'Funnel setup'!$K$3&amp;'Funnel setup'!$K$4&amp;'Funnel setup'!$K$6,".",IF(A5080=".",1,A5080+1))</f>
        <v>.</v>
      </c>
      <c r="B5081" s="244" t="str">
        <f t="shared" si="79"/>
        <v>Total Knee ReplacementProviderMANCHESTER UNIVERSITY NHS FOUNDATION TRUST (R0A)EQ-5D Index</v>
      </c>
      <c r="C5081" t="s">
        <v>975</v>
      </c>
      <c r="D5081" t="s">
        <v>965</v>
      </c>
      <c r="E5081" t="s">
        <v>316</v>
      </c>
      <c r="F5081" t="s">
        <v>317</v>
      </c>
      <c r="G5081" t="s">
        <v>963</v>
      </c>
      <c r="H5081">
        <v>105</v>
      </c>
      <c r="I5081">
        <v>0.30526700000000001</v>
      </c>
      <c r="J5081">
        <v>0.70043800000000001</v>
      </c>
      <c r="K5081">
        <v>0.39517099999999999</v>
      </c>
      <c r="L5081">
        <v>89</v>
      </c>
      <c r="M5081">
        <v>7</v>
      </c>
      <c r="N5081">
        <v>9</v>
      </c>
      <c r="O5081">
        <v>0.73726400000000003</v>
      </c>
      <c r="P5081">
        <v>0.312967</v>
      </c>
      <c r="Q5081">
        <v>0.27988000000000002</v>
      </c>
    </row>
    <row r="5082" spans="1:17" x14ac:dyDescent="0.25">
      <c r="A5082" t="str">
        <f>IF(C5082&amp;G5082&amp;D5082&lt;&gt;'Funnel setup'!$K$3&amp;'Funnel setup'!$K$4&amp;'Funnel setup'!$K$6,".",IF(A5081=".",1,A5081+1))</f>
        <v>.</v>
      </c>
      <c r="B5082" s="244" t="str">
        <f t="shared" si="79"/>
        <v>Total Knee ReplacementProviderMANOR HOSPITAL (NT423)EQ-5D Index</v>
      </c>
      <c r="C5082" t="s">
        <v>975</v>
      </c>
      <c r="D5082" t="s">
        <v>965</v>
      </c>
      <c r="E5082" t="s">
        <v>318</v>
      </c>
      <c r="F5082" t="s">
        <v>319</v>
      </c>
      <c r="G5082" t="s">
        <v>963</v>
      </c>
      <c r="H5082">
        <v>14</v>
      </c>
      <c r="I5082">
        <v>0.40550000000000003</v>
      </c>
      <c r="J5082">
        <v>0.77</v>
      </c>
      <c r="K5082">
        <v>0.36449999999999999</v>
      </c>
      <c r="L5082">
        <v>13</v>
      </c>
      <c r="M5082">
        <v>1</v>
      </c>
      <c r="N5082">
        <v>0</v>
      </c>
      <c r="O5082" t="s">
        <v>127</v>
      </c>
      <c r="P5082" t="s">
        <v>127</v>
      </c>
      <c r="Q5082" t="s">
        <v>127</v>
      </c>
    </row>
    <row r="5083" spans="1:17" x14ac:dyDescent="0.25">
      <c r="A5083" t="str">
        <f>IF(C5083&amp;G5083&amp;D5083&lt;&gt;'Funnel setup'!$K$3&amp;'Funnel setup'!$K$4&amp;'Funnel setup'!$K$6,".",IF(A5082=".",1,A5082+1))</f>
        <v>.</v>
      </c>
      <c r="B5083" s="244" t="str">
        <f t="shared" si="79"/>
        <v>Total Knee ReplacementProviderMEDWAY NHS FOUNDATION TRUST (RPA)EQ-5D Index</v>
      </c>
      <c r="C5083" t="s">
        <v>975</v>
      </c>
      <c r="D5083" t="s">
        <v>965</v>
      </c>
      <c r="E5083" t="s">
        <v>320</v>
      </c>
      <c r="F5083" t="s">
        <v>321</v>
      </c>
      <c r="G5083" t="s">
        <v>963</v>
      </c>
      <c r="H5083">
        <v>46</v>
      </c>
      <c r="I5083">
        <v>0.486848</v>
      </c>
      <c r="J5083">
        <v>0.76802199999999998</v>
      </c>
      <c r="K5083">
        <v>0.28117399999999998</v>
      </c>
      <c r="L5083">
        <v>37</v>
      </c>
      <c r="M5083">
        <v>4</v>
      </c>
      <c r="N5083">
        <v>5</v>
      </c>
      <c r="O5083">
        <v>0.76719999999999999</v>
      </c>
      <c r="P5083">
        <v>0.34290199999999998</v>
      </c>
      <c r="Q5083">
        <v>0.253193</v>
      </c>
    </row>
    <row r="5084" spans="1:17" x14ac:dyDescent="0.25">
      <c r="A5084" t="str">
        <f>IF(C5084&amp;G5084&amp;D5084&lt;&gt;'Funnel setup'!$K$3&amp;'Funnel setup'!$K$4&amp;'Funnel setup'!$K$6,".",IF(A5083=".",1,A5083+1))</f>
        <v>.</v>
      </c>
      <c r="B5084" s="244" t="str">
        <f t="shared" si="79"/>
        <v>Total Knee ReplacementProviderMERIDEN HOSPITAL (NT424)EQ-5D Index</v>
      </c>
      <c r="C5084" t="s">
        <v>975</v>
      </c>
      <c r="D5084" t="s">
        <v>965</v>
      </c>
      <c r="E5084" t="s">
        <v>322</v>
      </c>
      <c r="F5084" t="s">
        <v>323</v>
      </c>
      <c r="G5084" t="s">
        <v>963</v>
      </c>
      <c r="H5084">
        <v>7</v>
      </c>
      <c r="I5084">
        <v>0.45214300000000002</v>
      </c>
      <c r="J5084">
        <v>0.89685700000000002</v>
      </c>
      <c r="K5084">
        <v>0.444714</v>
      </c>
      <c r="L5084">
        <v>7</v>
      </c>
      <c r="M5084">
        <v>0</v>
      </c>
      <c r="N5084">
        <v>0</v>
      </c>
      <c r="O5084" t="s">
        <v>127</v>
      </c>
      <c r="P5084" t="s">
        <v>127</v>
      </c>
      <c r="Q5084" t="s">
        <v>127</v>
      </c>
    </row>
    <row r="5085" spans="1:17" x14ac:dyDescent="0.25">
      <c r="A5085" t="str">
        <f>IF(C5085&amp;G5085&amp;D5085&lt;&gt;'Funnel setup'!$K$3&amp;'Funnel setup'!$K$4&amp;'Funnel setup'!$K$6,".",IF(A5084=".",1,A5084+1))</f>
        <v>.</v>
      </c>
      <c r="B5085" s="244" t="str">
        <f t="shared" si="79"/>
        <v>Total Knee ReplacementProviderMID AND SOUTH ESSEX NHS FOUNDATION TRUST (RAJ)EQ-5D Index</v>
      </c>
      <c r="C5085" t="s">
        <v>975</v>
      </c>
      <c r="D5085" t="s">
        <v>965</v>
      </c>
      <c r="E5085" t="s">
        <v>324</v>
      </c>
      <c r="F5085" t="s">
        <v>325</v>
      </c>
      <c r="G5085" t="s">
        <v>963</v>
      </c>
      <c r="H5085">
        <v>129</v>
      </c>
      <c r="I5085">
        <v>0.31713999999999998</v>
      </c>
      <c r="J5085">
        <v>0.70191499999999996</v>
      </c>
      <c r="K5085">
        <v>0.38477499999999998</v>
      </c>
      <c r="L5085">
        <v>106</v>
      </c>
      <c r="M5085">
        <v>7</v>
      </c>
      <c r="N5085">
        <v>16</v>
      </c>
      <c r="O5085">
        <v>0.74247399999999997</v>
      </c>
      <c r="P5085">
        <v>0.31817600000000001</v>
      </c>
      <c r="Q5085">
        <v>0.28581699999999999</v>
      </c>
    </row>
    <row r="5086" spans="1:17" x14ac:dyDescent="0.25">
      <c r="A5086" t="str">
        <f>IF(C5086&amp;G5086&amp;D5086&lt;&gt;'Funnel setup'!$K$3&amp;'Funnel setup'!$K$4&amp;'Funnel setup'!$K$6,".",IF(A5085=".",1,A5085+1))</f>
        <v>.</v>
      </c>
      <c r="B5086" s="244" t="str">
        <f t="shared" si="79"/>
        <v>Total Knee ReplacementProviderMID CHESHIRE HOSPITALS NHS FOUNDATION TRUST (RBT)EQ-5D Index</v>
      </c>
      <c r="C5086" t="s">
        <v>975</v>
      </c>
      <c r="D5086" t="s">
        <v>965</v>
      </c>
      <c r="E5086" t="s">
        <v>326</v>
      </c>
      <c r="F5086" t="s">
        <v>327</v>
      </c>
      <c r="G5086" t="s">
        <v>963</v>
      </c>
      <c r="H5086">
        <v>84</v>
      </c>
      <c r="I5086">
        <v>0.46340500000000001</v>
      </c>
      <c r="J5086">
        <v>0.77605999999999997</v>
      </c>
      <c r="K5086">
        <v>0.31265500000000002</v>
      </c>
      <c r="L5086">
        <v>69</v>
      </c>
      <c r="M5086">
        <v>7</v>
      </c>
      <c r="N5086">
        <v>8</v>
      </c>
      <c r="O5086">
        <v>0.77050600000000002</v>
      </c>
      <c r="P5086">
        <v>0.34620800000000002</v>
      </c>
      <c r="Q5086">
        <v>0.2155</v>
      </c>
    </row>
    <row r="5087" spans="1:17" x14ac:dyDescent="0.25">
      <c r="A5087" t="str">
        <f>IF(C5087&amp;G5087&amp;D5087&lt;&gt;'Funnel setup'!$K$3&amp;'Funnel setup'!$K$4&amp;'Funnel setup'!$K$6,".",IF(A5086=".",1,A5086+1))</f>
        <v>.</v>
      </c>
      <c r="B5087" s="244" t="str">
        <f t="shared" si="79"/>
        <v>Total Knee ReplacementProviderMID YORKSHIRE TEACHING NHS TRUST (RXF)EQ-5D Index</v>
      </c>
      <c r="C5087" t="s">
        <v>975</v>
      </c>
      <c r="D5087" t="s">
        <v>965</v>
      </c>
      <c r="E5087" t="s">
        <v>330</v>
      </c>
      <c r="F5087" t="s">
        <v>331</v>
      </c>
      <c r="G5087" t="s">
        <v>963</v>
      </c>
      <c r="H5087">
        <v>189</v>
      </c>
      <c r="I5087">
        <v>0.34459299999999998</v>
      </c>
      <c r="J5087">
        <v>0.70261899999999999</v>
      </c>
      <c r="K5087">
        <v>0.35802600000000001</v>
      </c>
      <c r="L5087">
        <v>154</v>
      </c>
      <c r="M5087">
        <v>16</v>
      </c>
      <c r="N5087">
        <v>19</v>
      </c>
      <c r="O5087">
        <v>0.75197700000000001</v>
      </c>
      <c r="P5087">
        <v>0.327679</v>
      </c>
      <c r="Q5087">
        <v>0.26046799999999998</v>
      </c>
    </row>
    <row r="5088" spans="1:17" x14ac:dyDescent="0.25">
      <c r="A5088" t="str">
        <f>IF(C5088&amp;G5088&amp;D5088&lt;&gt;'Funnel setup'!$K$3&amp;'Funnel setup'!$K$4&amp;'Funnel setup'!$K$6,".",IF(A5087=".",1,A5087+1))</f>
        <v>.</v>
      </c>
      <c r="B5088" s="244" t="str">
        <f t="shared" si="79"/>
        <v>Total Knee ReplacementProviderMILTON KEYNES UNIVERSITY HOSPITAL NHS FOUNDATION TRUST (RD8)EQ-5D Index</v>
      </c>
      <c r="C5088" t="s">
        <v>975</v>
      </c>
      <c r="D5088" t="s">
        <v>965</v>
      </c>
      <c r="E5088" t="s">
        <v>332</v>
      </c>
      <c r="F5088" t="s">
        <v>333</v>
      </c>
      <c r="G5088" t="s">
        <v>963</v>
      </c>
      <c r="H5088">
        <v>30</v>
      </c>
      <c r="I5088">
        <v>0.24906700000000001</v>
      </c>
      <c r="J5088">
        <v>0.6925</v>
      </c>
      <c r="K5088">
        <v>0.44343300000000002</v>
      </c>
      <c r="L5088">
        <v>25</v>
      </c>
      <c r="M5088">
        <v>1</v>
      </c>
      <c r="N5088">
        <v>4</v>
      </c>
      <c r="O5088">
        <v>0.72240599999999999</v>
      </c>
      <c r="P5088">
        <v>0.29810799999999998</v>
      </c>
      <c r="Q5088">
        <v>0.29021999999999998</v>
      </c>
    </row>
    <row r="5089" spans="1:17" x14ac:dyDescent="0.25">
      <c r="A5089" t="str">
        <f>IF(C5089&amp;G5089&amp;D5089&lt;&gt;'Funnel setup'!$K$3&amp;'Funnel setup'!$K$4&amp;'Funnel setup'!$K$6,".",IF(A5088=".",1,A5088+1))</f>
        <v>.</v>
      </c>
      <c r="B5089" s="244" t="str">
        <f t="shared" si="79"/>
        <v>Total Knee ReplacementProviderMOUNT ALVERNIA HOSPITAL (NT455)EQ-5D Index</v>
      </c>
      <c r="C5089" t="s">
        <v>975</v>
      </c>
      <c r="D5089" t="s">
        <v>965</v>
      </c>
      <c r="E5089" t="s">
        <v>334</v>
      </c>
      <c r="F5089" t="s">
        <v>335</v>
      </c>
      <c r="G5089" t="s">
        <v>963</v>
      </c>
      <c r="H5089">
        <v>7</v>
      </c>
      <c r="I5089">
        <v>0.73814299999999999</v>
      </c>
      <c r="J5089">
        <v>0.84842899999999999</v>
      </c>
      <c r="K5089">
        <v>0.110286</v>
      </c>
      <c r="L5089">
        <v>5</v>
      </c>
      <c r="M5089">
        <v>1</v>
      </c>
      <c r="N5089">
        <v>1</v>
      </c>
      <c r="O5089" t="s">
        <v>127</v>
      </c>
      <c r="P5089" t="s">
        <v>127</v>
      </c>
      <c r="Q5089" t="s">
        <v>127</v>
      </c>
    </row>
    <row r="5090" spans="1:17" x14ac:dyDescent="0.25">
      <c r="A5090" t="str">
        <f>IF(C5090&amp;G5090&amp;D5090&lt;&gt;'Funnel setup'!$K$3&amp;'Funnel setup'!$K$4&amp;'Funnel setup'!$K$6,".",IF(A5089=".",1,A5089+1))</f>
        <v>.</v>
      </c>
      <c r="B5090" s="244" t="str">
        <f t="shared" si="79"/>
        <v>Total Knee ReplacementProviderMOUNT STUART HOSPITAL (NVC08)EQ-5D Index</v>
      </c>
      <c r="C5090" t="s">
        <v>975</v>
      </c>
      <c r="D5090" t="s">
        <v>965</v>
      </c>
      <c r="E5090" t="s">
        <v>336</v>
      </c>
      <c r="F5090" t="s">
        <v>337</v>
      </c>
      <c r="G5090" t="s">
        <v>963</v>
      </c>
      <c r="H5090">
        <v>102</v>
      </c>
      <c r="I5090">
        <v>0.49986399999999998</v>
      </c>
      <c r="J5090">
        <v>0.79038799999999998</v>
      </c>
      <c r="K5090">
        <v>0.290524</v>
      </c>
      <c r="L5090">
        <v>87</v>
      </c>
      <c r="M5090">
        <v>6</v>
      </c>
      <c r="N5090">
        <v>9</v>
      </c>
      <c r="O5090">
        <v>0.76148099999999996</v>
      </c>
      <c r="P5090">
        <v>0.33718300000000001</v>
      </c>
      <c r="Q5090">
        <v>0.20577400000000001</v>
      </c>
    </row>
    <row r="5091" spans="1:17" x14ac:dyDescent="0.25">
      <c r="A5091" t="str">
        <f>IF(C5091&amp;G5091&amp;D5091&lt;&gt;'Funnel setup'!$K$3&amp;'Funnel setup'!$K$4&amp;'Funnel setup'!$K$6,".",IF(A5090=".",1,A5090+1))</f>
        <v>.</v>
      </c>
      <c r="B5091" s="244" t="str">
        <f t="shared" si="79"/>
        <v>Total Knee ReplacementProviderNEW HALL HOSPITAL (NVC09)EQ-5D Index</v>
      </c>
      <c r="C5091" t="s">
        <v>975</v>
      </c>
      <c r="D5091" t="s">
        <v>965</v>
      </c>
      <c r="E5091" t="s">
        <v>338</v>
      </c>
      <c r="F5091" t="s">
        <v>339</v>
      </c>
      <c r="G5091" t="s">
        <v>963</v>
      </c>
      <c r="H5091">
        <v>96</v>
      </c>
      <c r="I5091">
        <v>0.48583300000000001</v>
      </c>
      <c r="J5091">
        <v>0.81918800000000003</v>
      </c>
      <c r="K5091">
        <v>0.33335399999999998</v>
      </c>
      <c r="L5091">
        <v>82</v>
      </c>
      <c r="M5091">
        <v>8</v>
      </c>
      <c r="N5091">
        <v>6</v>
      </c>
      <c r="O5091">
        <v>0.78519499999999998</v>
      </c>
      <c r="P5091">
        <v>0.36089700000000002</v>
      </c>
      <c r="Q5091">
        <v>0.21302299999999999</v>
      </c>
    </row>
    <row r="5092" spans="1:17" x14ac:dyDescent="0.25">
      <c r="A5092" t="str">
        <f>IF(C5092&amp;G5092&amp;D5092&lt;&gt;'Funnel setup'!$K$3&amp;'Funnel setup'!$K$4&amp;'Funnel setup'!$K$6,".",IF(A5091=".",1,A5091+1))</f>
        <v>.</v>
      </c>
      <c r="B5092" s="244" t="str">
        <f t="shared" si="79"/>
        <v>Total Knee ReplacementProviderNORFOLK AND NORWICH UNIVERSITY HOSPITALS NHS FOUNDATION TRUST (RM1)EQ-5D Index</v>
      </c>
      <c r="C5092" t="s">
        <v>975</v>
      </c>
      <c r="D5092" t="s">
        <v>965</v>
      </c>
      <c r="E5092" t="s">
        <v>340</v>
      </c>
      <c r="F5092" t="s">
        <v>341</v>
      </c>
      <c r="G5092" t="s">
        <v>963</v>
      </c>
      <c r="H5092">
        <v>148</v>
      </c>
      <c r="I5092">
        <v>0.31733099999999997</v>
      </c>
      <c r="J5092">
        <v>0.66052</v>
      </c>
      <c r="K5092">
        <v>0.34318900000000002</v>
      </c>
      <c r="L5092">
        <v>117</v>
      </c>
      <c r="M5092">
        <v>17</v>
      </c>
      <c r="N5092">
        <v>14</v>
      </c>
      <c r="O5092">
        <v>0.71364899999999998</v>
      </c>
      <c r="P5092">
        <v>0.289352</v>
      </c>
      <c r="Q5092">
        <v>0.26346700000000001</v>
      </c>
    </row>
    <row r="5093" spans="1:17" x14ac:dyDescent="0.25">
      <c r="A5093" t="str">
        <f>IF(C5093&amp;G5093&amp;D5093&lt;&gt;'Funnel setup'!$K$3&amp;'Funnel setup'!$K$4&amp;'Funnel setup'!$K$6,".",IF(A5092=".",1,A5092+1))</f>
        <v>.</v>
      </c>
      <c r="B5093" s="244" t="str">
        <f t="shared" si="79"/>
        <v>Total Knee ReplacementProviderNORTH BRISTOL NHS TRUST (RVJ)EQ-5D Index</v>
      </c>
      <c r="C5093" t="s">
        <v>975</v>
      </c>
      <c r="D5093" t="s">
        <v>965</v>
      </c>
      <c r="E5093" t="s">
        <v>342</v>
      </c>
      <c r="F5093" t="s">
        <v>343</v>
      </c>
      <c r="G5093" t="s">
        <v>963</v>
      </c>
      <c r="H5093">
        <v>7</v>
      </c>
      <c r="I5093">
        <v>0.40771400000000002</v>
      </c>
      <c r="J5093">
        <v>0.82685699999999995</v>
      </c>
      <c r="K5093">
        <v>0.41914299999999999</v>
      </c>
      <c r="L5093">
        <v>7</v>
      </c>
      <c r="M5093">
        <v>0</v>
      </c>
      <c r="N5093">
        <v>0</v>
      </c>
      <c r="O5093" t="s">
        <v>127</v>
      </c>
      <c r="P5093" t="s">
        <v>127</v>
      </c>
      <c r="Q5093" t="s">
        <v>127</v>
      </c>
    </row>
    <row r="5094" spans="1:17" x14ac:dyDescent="0.25">
      <c r="A5094" t="str">
        <f>IF(C5094&amp;G5094&amp;D5094&lt;&gt;'Funnel setup'!$K$3&amp;'Funnel setup'!$K$4&amp;'Funnel setup'!$K$6,".",IF(A5093=".",1,A5093+1))</f>
        <v>.</v>
      </c>
      <c r="B5094" s="244" t="str">
        <f t="shared" si="79"/>
        <v>Total Knee ReplacementProviderNORTH CUMBRIA INTEGRATED CARE NHS FOUNDATION TRUST (RNN)EQ-5D Index</v>
      </c>
      <c r="C5094" t="s">
        <v>975</v>
      </c>
      <c r="D5094" t="s">
        <v>965</v>
      </c>
      <c r="E5094" t="s">
        <v>344</v>
      </c>
      <c r="F5094" t="s">
        <v>345</v>
      </c>
      <c r="G5094" t="s">
        <v>963</v>
      </c>
      <c r="H5094">
        <v>125</v>
      </c>
      <c r="I5094">
        <v>0.34211200000000003</v>
      </c>
      <c r="J5094">
        <v>0.75123200000000001</v>
      </c>
      <c r="K5094">
        <v>0.40911999999999998</v>
      </c>
      <c r="L5094">
        <v>107</v>
      </c>
      <c r="M5094">
        <v>6</v>
      </c>
      <c r="N5094">
        <v>12</v>
      </c>
      <c r="O5094">
        <v>0.77069299999999996</v>
      </c>
      <c r="P5094">
        <v>0.34639599999999998</v>
      </c>
      <c r="Q5094">
        <v>0.218802</v>
      </c>
    </row>
    <row r="5095" spans="1:17" x14ac:dyDescent="0.25">
      <c r="A5095" t="str">
        <f>IF(C5095&amp;G5095&amp;D5095&lt;&gt;'Funnel setup'!$K$3&amp;'Funnel setup'!$K$4&amp;'Funnel setup'!$K$6,".",IF(A5094=".",1,A5094+1))</f>
        <v>.</v>
      </c>
      <c r="B5095" s="244" t="str">
        <f t="shared" si="79"/>
        <v>Total Knee ReplacementProviderNORTH DOWNS HOSPITAL (NVC11)EQ-5D Index</v>
      </c>
      <c r="C5095" t="s">
        <v>975</v>
      </c>
      <c r="D5095" t="s">
        <v>965</v>
      </c>
      <c r="E5095" t="s">
        <v>348</v>
      </c>
      <c r="F5095" t="s">
        <v>349</v>
      </c>
      <c r="G5095" t="s">
        <v>963</v>
      </c>
      <c r="H5095">
        <v>29</v>
      </c>
      <c r="I5095">
        <v>0.41164499999999998</v>
      </c>
      <c r="J5095">
        <v>0.76493500000000003</v>
      </c>
      <c r="K5095">
        <v>0.35328999999999999</v>
      </c>
      <c r="L5095">
        <v>27</v>
      </c>
      <c r="M5095">
        <v>2</v>
      </c>
      <c r="N5095">
        <v>0</v>
      </c>
      <c r="O5095">
        <v>0.73926400000000003</v>
      </c>
      <c r="P5095">
        <v>0.314967</v>
      </c>
      <c r="Q5095">
        <v>0.244008</v>
      </c>
    </row>
    <row r="5096" spans="1:17" x14ac:dyDescent="0.25">
      <c r="A5096" t="str">
        <f>IF(C5096&amp;G5096&amp;D5096&lt;&gt;'Funnel setup'!$K$3&amp;'Funnel setup'!$K$4&amp;'Funnel setup'!$K$6,".",IF(A5095=".",1,A5095+1))</f>
        <v>.</v>
      </c>
      <c r="B5096" s="244" t="str">
        <f t="shared" si="79"/>
        <v>Total Knee ReplacementProviderNORTH MIDDLESEX UNIVERSITY HOSPITAL NHS TRUST (RAP)EQ-5D Index</v>
      </c>
      <c r="C5096" t="s">
        <v>975</v>
      </c>
      <c r="D5096" t="s">
        <v>965</v>
      </c>
      <c r="E5096" t="s">
        <v>350</v>
      </c>
      <c r="F5096" t="s">
        <v>351</v>
      </c>
      <c r="G5096" t="s">
        <v>963</v>
      </c>
      <c r="H5096">
        <v>7</v>
      </c>
      <c r="I5096">
        <v>0.19542899999999999</v>
      </c>
      <c r="J5096">
        <v>0.59114299999999997</v>
      </c>
      <c r="K5096">
        <v>0.39571400000000001</v>
      </c>
      <c r="L5096">
        <v>6</v>
      </c>
      <c r="M5096">
        <v>1</v>
      </c>
      <c r="N5096">
        <v>0</v>
      </c>
      <c r="O5096" t="s">
        <v>127</v>
      </c>
      <c r="P5096" t="s">
        <v>127</v>
      </c>
      <c r="Q5096" t="s">
        <v>127</v>
      </c>
    </row>
    <row r="5097" spans="1:17" x14ac:dyDescent="0.25">
      <c r="A5097" t="str">
        <f>IF(C5097&amp;G5097&amp;D5097&lt;&gt;'Funnel setup'!$K$3&amp;'Funnel setup'!$K$4&amp;'Funnel setup'!$K$6,".",IF(A5096=".",1,A5096+1))</f>
        <v>.</v>
      </c>
      <c r="B5097" s="244" t="str">
        <f t="shared" si="79"/>
        <v>Total Knee ReplacementProviderNORTH TEES AND HARTLEPOOL NHS FOUNDATION TRUST (RVW)EQ-5D Index</v>
      </c>
      <c r="C5097" t="s">
        <v>975</v>
      </c>
      <c r="D5097" t="s">
        <v>965</v>
      </c>
      <c r="E5097" t="s">
        <v>352</v>
      </c>
      <c r="F5097" t="s">
        <v>353</v>
      </c>
      <c r="G5097" t="s">
        <v>963</v>
      </c>
      <c r="H5097">
        <v>108</v>
      </c>
      <c r="I5097">
        <v>0.22132399999999999</v>
      </c>
      <c r="J5097">
        <v>0.673898</v>
      </c>
      <c r="K5097">
        <v>0.45257399999999998</v>
      </c>
      <c r="L5097">
        <v>93</v>
      </c>
      <c r="M5097">
        <v>2</v>
      </c>
      <c r="N5097">
        <v>13</v>
      </c>
      <c r="O5097">
        <v>0.777841</v>
      </c>
      <c r="P5097">
        <v>0.35354400000000002</v>
      </c>
      <c r="Q5097">
        <v>0.27873399999999998</v>
      </c>
    </row>
    <row r="5098" spans="1:17" x14ac:dyDescent="0.25">
      <c r="A5098" t="str">
        <f>IF(C5098&amp;G5098&amp;D5098&lt;&gt;'Funnel setup'!$K$3&amp;'Funnel setup'!$K$4&amp;'Funnel setup'!$K$6,".",IF(A5097=".",1,A5097+1))</f>
        <v>.</v>
      </c>
      <c r="B5098" s="244" t="str">
        <f t="shared" si="79"/>
        <v>Total Knee ReplacementProviderNORTH WEST ANGLIA NHS FOUNDATION TRUST (RGN)EQ-5D Index</v>
      </c>
      <c r="C5098" t="s">
        <v>975</v>
      </c>
      <c r="D5098" t="s">
        <v>965</v>
      </c>
      <c r="E5098" t="s">
        <v>354</v>
      </c>
      <c r="F5098" t="s">
        <v>355</v>
      </c>
      <c r="G5098" t="s">
        <v>963</v>
      </c>
      <c r="H5098">
        <v>133</v>
      </c>
      <c r="I5098">
        <v>0.38961699999999999</v>
      </c>
      <c r="J5098">
        <v>0.72914299999999999</v>
      </c>
      <c r="K5098">
        <v>0.33952599999999999</v>
      </c>
      <c r="L5098">
        <v>116</v>
      </c>
      <c r="M5098">
        <v>10</v>
      </c>
      <c r="N5098">
        <v>7</v>
      </c>
      <c r="O5098">
        <v>0.73587400000000003</v>
      </c>
      <c r="P5098">
        <v>0.31157600000000002</v>
      </c>
      <c r="Q5098">
        <v>0.20406199999999999</v>
      </c>
    </row>
    <row r="5099" spans="1:17" x14ac:dyDescent="0.25">
      <c r="A5099" t="str">
        <f>IF(C5099&amp;G5099&amp;D5099&lt;&gt;'Funnel setup'!$K$3&amp;'Funnel setup'!$K$4&amp;'Funnel setup'!$K$6,".",IF(A5098=".",1,A5098+1))</f>
        <v>.</v>
      </c>
      <c r="B5099" s="244" t="str">
        <f t="shared" si="79"/>
        <v>Total Knee ReplacementProviderNORTHAMPTON GENERAL HOSPITAL NHS TRUST (RNS)EQ-5D Index</v>
      </c>
      <c r="C5099" t="s">
        <v>975</v>
      </c>
      <c r="D5099" t="s">
        <v>965</v>
      </c>
      <c r="E5099" t="s">
        <v>356</v>
      </c>
      <c r="F5099" t="s">
        <v>357</v>
      </c>
      <c r="G5099" t="s">
        <v>963</v>
      </c>
      <c r="H5099">
        <v>45</v>
      </c>
      <c r="I5099">
        <v>0.37440000000000001</v>
      </c>
      <c r="J5099">
        <v>0.67837800000000004</v>
      </c>
      <c r="K5099">
        <v>0.30397800000000003</v>
      </c>
      <c r="L5099">
        <v>35</v>
      </c>
      <c r="M5099">
        <v>2</v>
      </c>
      <c r="N5099">
        <v>8</v>
      </c>
      <c r="O5099">
        <v>0.71146100000000001</v>
      </c>
      <c r="P5099">
        <v>0.287163</v>
      </c>
      <c r="Q5099">
        <v>0.30645800000000001</v>
      </c>
    </row>
    <row r="5100" spans="1:17" x14ac:dyDescent="0.25">
      <c r="A5100" t="str">
        <f>IF(C5100&amp;G5100&amp;D5100&lt;&gt;'Funnel setup'!$K$3&amp;'Funnel setup'!$K$4&amp;'Funnel setup'!$K$6,".",IF(A5099=".",1,A5099+1))</f>
        <v>.</v>
      </c>
      <c r="B5100" s="244" t="str">
        <f t="shared" si="79"/>
        <v>Total Knee ReplacementProviderNORTHERN CARE ALLIANCE NHS FOUNDATION TRUST (RM3)EQ-5D Index</v>
      </c>
      <c r="C5100" t="s">
        <v>975</v>
      </c>
      <c r="D5100" t="s">
        <v>965</v>
      </c>
      <c r="E5100" t="s">
        <v>358</v>
      </c>
      <c r="F5100" t="s">
        <v>359</v>
      </c>
      <c r="G5100" t="s">
        <v>963</v>
      </c>
      <c r="H5100">
        <v>7</v>
      </c>
      <c r="I5100">
        <v>0.36842900000000001</v>
      </c>
      <c r="J5100">
        <v>0.58785699999999996</v>
      </c>
      <c r="K5100">
        <v>0.21942900000000001</v>
      </c>
      <c r="L5100">
        <v>6</v>
      </c>
      <c r="M5100">
        <v>0</v>
      </c>
      <c r="N5100">
        <v>1</v>
      </c>
      <c r="O5100" t="s">
        <v>127</v>
      </c>
      <c r="P5100" t="s">
        <v>127</v>
      </c>
      <c r="Q5100" t="s">
        <v>127</v>
      </c>
    </row>
    <row r="5101" spans="1:17" x14ac:dyDescent="0.25">
      <c r="A5101" t="str">
        <f>IF(C5101&amp;G5101&amp;D5101&lt;&gt;'Funnel setup'!$K$3&amp;'Funnel setup'!$K$4&amp;'Funnel setup'!$K$6,".",IF(A5100=".",1,A5100+1))</f>
        <v>.</v>
      </c>
      <c r="B5101" s="244" t="str">
        <f t="shared" si="79"/>
        <v>Total Knee ReplacementProviderNORTHERN DEVON HEALTHCARE NHS TRUST (RBZ)EQ-5D Index</v>
      </c>
      <c r="C5101" t="s">
        <v>975</v>
      </c>
      <c r="D5101" t="s">
        <v>965</v>
      </c>
      <c r="E5101" t="s">
        <v>360</v>
      </c>
      <c r="F5101" t="s">
        <v>361</v>
      </c>
      <c r="G5101" t="s">
        <v>963</v>
      </c>
      <c r="H5101">
        <v>36</v>
      </c>
      <c r="I5101">
        <v>0.32338899999999998</v>
      </c>
      <c r="J5101">
        <v>0.67133299999999996</v>
      </c>
      <c r="K5101">
        <v>0.34794399999999998</v>
      </c>
      <c r="L5101">
        <v>30</v>
      </c>
      <c r="M5101">
        <v>3</v>
      </c>
      <c r="N5101">
        <v>3</v>
      </c>
      <c r="O5101">
        <v>0.74396399999999996</v>
      </c>
      <c r="P5101">
        <v>0.31966699999999998</v>
      </c>
      <c r="Q5101">
        <v>0.26547900000000002</v>
      </c>
    </row>
    <row r="5102" spans="1:17" x14ac:dyDescent="0.25">
      <c r="A5102" t="str">
        <f>IF(C5102&amp;G5102&amp;D5102&lt;&gt;'Funnel setup'!$K$3&amp;'Funnel setup'!$K$4&amp;'Funnel setup'!$K$6,".",IF(A5101=".",1,A5101+1))</f>
        <v>.</v>
      </c>
      <c r="B5102" s="244" t="str">
        <f t="shared" si="79"/>
        <v>Total Knee ReplacementProviderNORTHERN LINCOLNSHIRE AND GOOLE NHS FOUNDATION TRUST (RJL)EQ-5D Index</v>
      </c>
      <c r="C5102" t="s">
        <v>975</v>
      </c>
      <c r="D5102" t="s">
        <v>965</v>
      </c>
      <c r="E5102" t="s">
        <v>362</v>
      </c>
      <c r="F5102" t="s">
        <v>363</v>
      </c>
      <c r="G5102" t="s">
        <v>963</v>
      </c>
      <c r="H5102">
        <v>74</v>
      </c>
      <c r="I5102">
        <v>0.36336499999999999</v>
      </c>
      <c r="J5102">
        <v>0.68308100000000005</v>
      </c>
      <c r="K5102">
        <v>0.319716</v>
      </c>
      <c r="L5102">
        <v>55</v>
      </c>
      <c r="M5102">
        <v>6</v>
      </c>
      <c r="N5102">
        <v>13</v>
      </c>
      <c r="O5102">
        <v>0.70832600000000001</v>
      </c>
      <c r="P5102">
        <v>0.28402899999999998</v>
      </c>
      <c r="Q5102">
        <v>0.25027899999999997</v>
      </c>
    </row>
    <row r="5103" spans="1:17" x14ac:dyDescent="0.25">
      <c r="A5103" t="str">
        <f>IF(C5103&amp;G5103&amp;D5103&lt;&gt;'Funnel setup'!$K$3&amp;'Funnel setup'!$K$4&amp;'Funnel setup'!$K$6,".",IF(A5102=".",1,A5102+1))</f>
        <v>.</v>
      </c>
      <c r="B5103" s="244" t="str">
        <f t="shared" si="79"/>
        <v>Total Knee ReplacementProviderNORTHUMBRIA HEALTHCARE NHS FOUNDATION TRUST (RTF)EQ-5D Index</v>
      </c>
      <c r="C5103" t="s">
        <v>975</v>
      </c>
      <c r="D5103" t="s">
        <v>965</v>
      </c>
      <c r="E5103" t="s">
        <v>364</v>
      </c>
      <c r="F5103" t="s">
        <v>365</v>
      </c>
      <c r="G5103" t="s">
        <v>963</v>
      </c>
      <c r="H5103">
        <v>379</v>
      </c>
      <c r="I5103">
        <v>0.39646700000000001</v>
      </c>
      <c r="J5103">
        <v>0.78029800000000005</v>
      </c>
      <c r="K5103">
        <v>0.38383099999999998</v>
      </c>
      <c r="L5103">
        <v>330</v>
      </c>
      <c r="M5103">
        <v>31</v>
      </c>
      <c r="N5103">
        <v>18</v>
      </c>
      <c r="O5103">
        <v>0.78694699999999995</v>
      </c>
      <c r="P5103">
        <v>0.36264999999999997</v>
      </c>
      <c r="Q5103">
        <v>0.20543400000000001</v>
      </c>
    </row>
    <row r="5104" spans="1:17" x14ac:dyDescent="0.25">
      <c r="A5104" t="str">
        <f>IF(C5104&amp;G5104&amp;D5104&lt;&gt;'Funnel setup'!$K$3&amp;'Funnel setup'!$K$4&amp;'Funnel setup'!$K$6,".",IF(A5103=".",1,A5103+1))</f>
        <v>.</v>
      </c>
      <c r="B5104" s="244" t="str">
        <f t="shared" si="79"/>
        <v>Total Knee ReplacementProviderNOTTINGHAM UNIVERSITY HOSPITALS NHS TRUST (RX1)EQ-5D Index</v>
      </c>
      <c r="C5104" t="s">
        <v>975</v>
      </c>
      <c r="D5104" t="s">
        <v>965</v>
      </c>
      <c r="E5104" t="s">
        <v>366</v>
      </c>
      <c r="F5104" t="s">
        <v>367</v>
      </c>
      <c r="G5104" t="s">
        <v>963</v>
      </c>
      <c r="H5104">
        <v>4</v>
      </c>
      <c r="I5104">
        <v>0.24825</v>
      </c>
      <c r="J5104">
        <v>0.73724999999999996</v>
      </c>
      <c r="K5104">
        <v>0.48899999999999999</v>
      </c>
      <c r="L5104">
        <v>4</v>
      </c>
      <c r="M5104">
        <v>0</v>
      </c>
      <c r="N5104">
        <v>0</v>
      </c>
      <c r="O5104" t="s">
        <v>127</v>
      </c>
      <c r="P5104" t="s">
        <v>127</v>
      </c>
      <c r="Q5104" t="s">
        <v>127</v>
      </c>
    </row>
    <row r="5105" spans="1:17" x14ac:dyDescent="0.25">
      <c r="A5105" t="str">
        <f>IF(C5105&amp;G5105&amp;D5105&lt;&gt;'Funnel setup'!$K$3&amp;'Funnel setup'!$K$4&amp;'Funnel setup'!$K$6,".",IF(A5104=".",1,A5104+1))</f>
        <v>.</v>
      </c>
      <c r="B5105" s="244" t="str">
        <f t="shared" si="79"/>
        <v>Total Knee ReplacementProviderNUFFIELD HEALTH, BOURNEMOUTH HOSPITAL (NT202)EQ-5D Index</v>
      </c>
      <c r="C5105" t="s">
        <v>975</v>
      </c>
      <c r="D5105" t="s">
        <v>965</v>
      </c>
      <c r="E5105" t="s">
        <v>368</v>
      </c>
      <c r="F5105" t="s">
        <v>369</v>
      </c>
      <c r="G5105" t="s">
        <v>963</v>
      </c>
      <c r="H5105">
        <v>23</v>
      </c>
      <c r="I5105">
        <v>0.51887000000000005</v>
      </c>
      <c r="J5105">
        <v>0.81408700000000001</v>
      </c>
      <c r="K5105">
        <v>0.29521700000000001</v>
      </c>
      <c r="L5105">
        <v>22</v>
      </c>
      <c r="M5105">
        <v>0</v>
      </c>
      <c r="N5105">
        <v>1</v>
      </c>
      <c r="O5105" t="s">
        <v>127</v>
      </c>
      <c r="P5105" t="s">
        <v>127</v>
      </c>
      <c r="Q5105" t="s">
        <v>127</v>
      </c>
    </row>
    <row r="5106" spans="1:17" x14ac:dyDescent="0.25">
      <c r="A5106" t="str">
        <f>IF(C5106&amp;G5106&amp;D5106&lt;&gt;'Funnel setup'!$K$3&amp;'Funnel setup'!$K$4&amp;'Funnel setup'!$K$6,".",IF(A5105=".",1,A5105+1))</f>
        <v>.</v>
      </c>
      <c r="B5106" s="244" t="str">
        <f t="shared" si="79"/>
        <v>Total Knee ReplacementProviderNUFFIELD HEALTH, BRENTWOOD HOSPITAL (NT204)EQ-5D Index</v>
      </c>
      <c r="C5106" t="s">
        <v>975</v>
      </c>
      <c r="D5106" t="s">
        <v>965</v>
      </c>
      <c r="E5106" t="s">
        <v>370</v>
      </c>
      <c r="F5106" t="s">
        <v>371</v>
      </c>
      <c r="G5106" t="s">
        <v>963</v>
      </c>
      <c r="H5106">
        <v>15</v>
      </c>
      <c r="I5106">
        <v>0.42906699999999998</v>
      </c>
      <c r="J5106">
        <v>0.78086699999999998</v>
      </c>
      <c r="K5106">
        <v>0.3518</v>
      </c>
      <c r="L5106">
        <v>12</v>
      </c>
      <c r="M5106">
        <v>2</v>
      </c>
      <c r="N5106">
        <v>1</v>
      </c>
      <c r="O5106" t="s">
        <v>127</v>
      </c>
      <c r="P5106" t="s">
        <v>127</v>
      </c>
      <c r="Q5106" t="s">
        <v>127</v>
      </c>
    </row>
    <row r="5107" spans="1:17" x14ac:dyDescent="0.25">
      <c r="A5107" t="str">
        <f>IF(C5107&amp;G5107&amp;D5107&lt;&gt;'Funnel setup'!$K$3&amp;'Funnel setup'!$K$4&amp;'Funnel setup'!$K$6,".",IF(A5106=".",1,A5106+1))</f>
        <v>.</v>
      </c>
      <c r="B5107" s="244" t="str">
        <f t="shared" si="79"/>
        <v>Total Knee ReplacementProviderNUFFIELD HEALTH, BRIGHTON HOSPITAL (NT205)EQ-5D Index</v>
      </c>
      <c r="C5107" t="s">
        <v>975</v>
      </c>
      <c r="D5107" t="s">
        <v>965</v>
      </c>
      <c r="E5107" t="s">
        <v>372</v>
      </c>
      <c r="F5107" t="s">
        <v>373</v>
      </c>
      <c r="G5107" t="s">
        <v>963</v>
      </c>
      <c r="H5107">
        <v>9</v>
      </c>
      <c r="I5107">
        <v>0.53488899999999995</v>
      </c>
      <c r="J5107">
        <v>0.90844400000000003</v>
      </c>
      <c r="K5107">
        <v>0.373556</v>
      </c>
      <c r="L5107">
        <v>7</v>
      </c>
      <c r="M5107">
        <v>2</v>
      </c>
      <c r="N5107">
        <v>0</v>
      </c>
      <c r="O5107" t="s">
        <v>127</v>
      </c>
      <c r="P5107" t="s">
        <v>127</v>
      </c>
      <c r="Q5107" t="s">
        <v>127</v>
      </c>
    </row>
    <row r="5108" spans="1:17" x14ac:dyDescent="0.25">
      <c r="A5108" t="str">
        <f>IF(C5108&amp;G5108&amp;D5108&lt;&gt;'Funnel setup'!$K$3&amp;'Funnel setup'!$K$4&amp;'Funnel setup'!$K$6,".",IF(A5107=".",1,A5107+1))</f>
        <v>.</v>
      </c>
      <c r="B5108" s="244" t="str">
        <f t="shared" si="79"/>
        <v>Total Knee ReplacementProviderNUFFIELD HEALTH, BRISTOL HOSPITAL (CHESTERFIELD) (NT206)EQ-5D Index</v>
      </c>
      <c r="C5108" t="s">
        <v>975</v>
      </c>
      <c r="D5108" t="s">
        <v>965</v>
      </c>
      <c r="E5108" t="s">
        <v>374</v>
      </c>
      <c r="F5108" t="s">
        <v>375</v>
      </c>
      <c r="G5108" t="s">
        <v>963</v>
      </c>
      <c r="H5108">
        <v>29</v>
      </c>
      <c r="I5108">
        <v>0.490172</v>
      </c>
      <c r="J5108">
        <v>0.838897</v>
      </c>
      <c r="K5108">
        <v>0.34872399999999998</v>
      </c>
      <c r="L5108">
        <v>24</v>
      </c>
      <c r="M5108">
        <v>2</v>
      </c>
      <c r="N5108">
        <v>3</v>
      </c>
      <c r="O5108" t="s">
        <v>127</v>
      </c>
      <c r="P5108" t="s">
        <v>127</v>
      </c>
      <c r="Q5108" t="s">
        <v>127</v>
      </c>
    </row>
    <row r="5109" spans="1:17" x14ac:dyDescent="0.25">
      <c r="A5109" t="str">
        <f>IF(C5109&amp;G5109&amp;D5109&lt;&gt;'Funnel setup'!$K$3&amp;'Funnel setup'!$K$4&amp;'Funnel setup'!$K$6,".",IF(A5108=".",1,A5108+1))</f>
        <v>.</v>
      </c>
      <c r="B5109" s="244" t="str">
        <f t="shared" si="79"/>
        <v>Total Knee ReplacementProviderNUFFIELD HEALTH, CAMBRIDGE HOSPITAL (NT209)EQ-5D Index</v>
      </c>
      <c r="C5109" t="s">
        <v>975</v>
      </c>
      <c r="D5109" t="s">
        <v>965</v>
      </c>
      <c r="E5109" t="s">
        <v>376</v>
      </c>
      <c r="F5109" t="s">
        <v>377</v>
      </c>
      <c r="G5109" t="s">
        <v>963</v>
      </c>
      <c r="H5109">
        <v>32</v>
      </c>
      <c r="I5109">
        <v>0.52775000000000005</v>
      </c>
      <c r="J5109">
        <v>0.75284399999999996</v>
      </c>
      <c r="K5109">
        <v>0.22509399999999999</v>
      </c>
      <c r="L5109">
        <v>25</v>
      </c>
      <c r="M5109">
        <v>4</v>
      </c>
      <c r="N5109">
        <v>3</v>
      </c>
      <c r="O5109">
        <v>0.68103400000000003</v>
      </c>
      <c r="P5109">
        <v>0.25673699999999999</v>
      </c>
      <c r="Q5109">
        <v>0.247723</v>
      </c>
    </row>
    <row r="5110" spans="1:17" x14ac:dyDescent="0.25">
      <c r="A5110" t="str">
        <f>IF(C5110&amp;G5110&amp;D5110&lt;&gt;'Funnel setup'!$K$3&amp;'Funnel setup'!$K$4&amp;'Funnel setup'!$K$6,".",IF(A5109=".",1,A5109+1))</f>
        <v>.</v>
      </c>
      <c r="B5110" s="244" t="str">
        <f t="shared" si="79"/>
        <v>Total Knee ReplacementProviderNUFFIELD HEALTH, CHELTENHAM HOSPITAL (NT211)EQ-5D Index</v>
      </c>
      <c r="C5110" t="s">
        <v>975</v>
      </c>
      <c r="D5110" t="s">
        <v>965</v>
      </c>
      <c r="E5110" t="s">
        <v>378</v>
      </c>
      <c r="F5110" t="s">
        <v>379</v>
      </c>
      <c r="G5110" t="s">
        <v>963</v>
      </c>
      <c r="H5110">
        <v>7</v>
      </c>
      <c r="I5110">
        <v>0.446857</v>
      </c>
      <c r="J5110">
        <v>0.743143</v>
      </c>
      <c r="K5110">
        <v>0.29628599999999999</v>
      </c>
      <c r="L5110">
        <v>6</v>
      </c>
      <c r="M5110">
        <v>0</v>
      </c>
      <c r="N5110">
        <v>1</v>
      </c>
      <c r="O5110" t="s">
        <v>127</v>
      </c>
      <c r="P5110" t="s">
        <v>127</v>
      </c>
      <c r="Q5110" t="s">
        <v>127</v>
      </c>
    </row>
    <row r="5111" spans="1:17" x14ac:dyDescent="0.25">
      <c r="A5111" t="str">
        <f>IF(C5111&amp;G5111&amp;D5111&lt;&gt;'Funnel setup'!$K$3&amp;'Funnel setup'!$K$4&amp;'Funnel setup'!$K$6,".",IF(A5110=".",1,A5110+1))</f>
        <v>.</v>
      </c>
      <c r="B5111" s="244" t="str">
        <f t="shared" si="79"/>
        <v>Total Knee ReplacementProviderNUFFIELD HEALTH, CHICHESTER HOSPITAL (NT212)EQ-5D Index</v>
      </c>
      <c r="C5111" t="s">
        <v>975</v>
      </c>
      <c r="D5111" t="s">
        <v>965</v>
      </c>
      <c r="E5111" t="s">
        <v>380</v>
      </c>
      <c r="F5111" t="s">
        <v>381</v>
      </c>
      <c r="G5111" t="s">
        <v>963</v>
      </c>
      <c r="H5111">
        <v>18</v>
      </c>
      <c r="I5111">
        <v>0.63383299999999998</v>
      </c>
      <c r="J5111">
        <v>0.84383300000000006</v>
      </c>
      <c r="K5111">
        <v>0.21</v>
      </c>
      <c r="L5111">
        <v>12</v>
      </c>
      <c r="M5111">
        <v>1</v>
      </c>
      <c r="N5111">
        <v>5</v>
      </c>
      <c r="O5111" t="s">
        <v>127</v>
      </c>
      <c r="P5111" t="s">
        <v>127</v>
      </c>
      <c r="Q5111" t="s">
        <v>127</v>
      </c>
    </row>
    <row r="5112" spans="1:17" x14ac:dyDescent="0.25">
      <c r="A5112" t="str">
        <f>IF(C5112&amp;G5112&amp;D5112&lt;&gt;'Funnel setup'!$K$3&amp;'Funnel setup'!$K$4&amp;'Funnel setup'!$K$6,".",IF(A5111=".",1,A5111+1))</f>
        <v>.</v>
      </c>
      <c r="B5112" s="244" t="str">
        <f t="shared" si="79"/>
        <v>Total Knee ReplacementProviderNUFFIELD HEALTH, DERBY HOSPITAL (NT213)EQ-5D Index</v>
      </c>
      <c r="C5112" t="s">
        <v>975</v>
      </c>
      <c r="D5112" t="s">
        <v>965</v>
      </c>
      <c r="E5112" t="s">
        <v>382</v>
      </c>
      <c r="F5112" t="s">
        <v>383</v>
      </c>
      <c r="G5112" t="s">
        <v>963</v>
      </c>
      <c r="H5112">
        <v>107</v>
      </c>
      <c r="I5112">
        <v>0.40561700000000001</v>
      </c>
      <c r="J5112">
        <v>0.76112100000000005</v>
      </c>
      <c r="K5112">
        <v>0.35550500000000002</v>
      </c>
      <c r="L5112">
        <v>92</v>
      </c>
      <c r="M5112">
        <v>7</v>
      </c>
      <c r="N5112">
        <v>8</v>
      </c>
      <c r="O5112">
        <v>0.76063800000000004</v>
      </c>
      <c r="P5112">
        <v>0.336341</v>
      </c>
      <c r="Q5112">
        <v>0.230795</v>
      </c>
    </row>
    <row r="5113" spans="1:17" x14ac:dyDescent="0.25">
      <c r="A5113" t="str">
        <f>IF(C5113&amp;G5113&amp;D5113&lt;&gt;'Funnel setup'!$K$3&amp;'Funnel setup'!$K$4&amp;'Funnel setup'!$K$6,".",IF(A5112=".",1,A5112+1))</f>
        <v>.</v>
      </c>
      <c r="B5113" s="244" t="str">
        <f t="shared" si="79"/>
        <v>Total Knee ReplacementProviderNUFFIELD HEALTH, EXETER HOSPITAL (NT215)EQ-5D Index</v>
      </c>
      <c r="C5113" t="s">
        <v>975</v>
      </c>
      <c r="D5113" t="s">
        <v>965</v>
      </c>
      <c r="E5113" t="s">
        <v>384</v>
      </c>
      <c r="F5113" t="s">
        <v>385</v>
      </c>
      <c r="G5113" t="s">
        <v>963</v>
      </c>
      <c r="H5113">
        <v>1</v>
      </c>
      <c r="I5113">
        <v>0.58699999999999997</v>
      </c>
      <c r="J5113">
        <v>1</v>
      </c>
      <c r="K5113">
        <v>0.41299999999999998</v>
      </c>
      <c r="L5113">
        <v>1</v>
      </c>
      <c r="M5113">
        <v>0</v>
      </c>
      <c r="N5113">
        <v>0</v>
      </c>
      <c r="O5113" t="s">
        <v>127</v>
      </c>
      <c r="P5113" t="s">
        <v>127</v>
      </c>
      <c r="Q5113" t="s">
        <v>127</v>
      </c>
    </row>
    <row r="5114" spans="1:17" x14ac:dyDescent="0.25">
      <c r="A5114" t="str">
        <f>IF(C5114&amp;G5114&amp;D5114&lt;&gt;'Funnel setup'!$K$3&amp;'Funnel setup'!$K$4&amp;'Funnel setup'!$K$6,".",IF(A5113=".",1,A5113+1))</f>
        <v>.</v>
      </c>
      <c r="B5114" s="244" t="str">
        <f t="shared" si="79"/>
        <v>Total Knee ReplacementProviderNUFFIELD HEALTH, HAYWARDS HEATH HOSPITAL (NT218)EQ-5D Index</v>
      </c>
      <c r="C5114" t="s">
        <v>975</v>
      </c>
      <c r="D5114" t="s">
        <v>965</v>
      </c>
      <c r="E5114" t="s">
        <v>386</v>
      </c>
      <c r="F5114" t="s">
        <v>387</v>
      </c>
      <c r="G5114" t="s">
        <v>963</v>
      </c>
      <c r="H5114">
        <v>15</v>
      </c>
      <c r="I5114">
        <v>0.54559999999999997</v>
      </c>
      <c r="J5114">
        <v>0.84553299999999998</v>
      </c>
      <c r="K5114">
        <v>0.29993300000000001</v>
      </c>
      <c r="L5114">
        <v>11</v>
      </c>
      <c r="M5114">
        <v>1</v>
      </c>
      <c r="N5114">
        <v>3</v>
      </c>
      <c r="O5114" t="s">
        <v>127</v>
      </c>
      <c r="P5114" t="s">
        <v>127</v>
      </c>
      <c r="Q5114" t="s">
        <v>127</v>
      </c>
    </row>
    <row r="5115" spans="1:17" x14ac:dyDescent="0.25">
      <c r="A5115" t="str">
        <f>IF(C5115&amp;G5115&amp;D5115&lt;&gt;'Funnel setup'!$K$3&amp;'Funnel setup'!$K$4&amp;'Funnel setup'!$K$6,".",IF(A5114=".",1,A5114+1))</f>
        <v>.</v>
      </c>
      <c r="B5115" s="244" t="str">
        <f t="shared" si="79"/>
        <v>Total Knee ReplacementProviderNUFFIELD HEALTH, HEREFORD HOSPITAL (NT219)EQ-5D Index</v>
      </c>
      <c r="C5115" t="s">
        <v>975</v>
      </c>
      <c r="D5115" t="s">
        <v>965</v>
      </c>
      <c r="E5115" t="s">
        <v>388</v>
      </c>
      <c r="F5115" t="s">
        <v>389</v>
      </c>
      <c r="G5115" t="s">
        <v>963</v>
      </c>
      <c r="H5115">
        <v>9</v>
      </c>
      <c r="I5115">
        <v>0.47699999999999998</v>
      </c>
      <c r="J5115">
        <v>0.78955600000000004</v>
      </c>
      <c r="K5115">
        <v>0.312556</v>
      </c>
      <c r="L5115">
        <v>9</v>
      </c>
      <c r="M5115">
        <v>0</v>
      </c>
      <c r="N5115">
        <v>0</v>
      </c>
      <c r="O5115" t="s">
        <v>127</v>
      </c>
      <c r="P5115" t="s">
        <v>127</v>
      </c>
      <c r="Q5115" t="s">
        <v>127</v>
      </c>
    </row>
    <row r="5116" spans="1:17" x14ac:dyDescent="0.25">
      <c r="A5116" t="str">
        <f>IF(C5116&amp;G5116&amp;D5116&lt;&gt;'Funnel setup'!$K$3&amp;'Funnel setup'!$K$4&amp;'Funnel setup'!$K$6,".",IF(A5115=".",1,A5115+1))</f>
        <v>.</v>
      </c>
      <c r="B5116" s="244" t="str">
        <f t="shared" si="79"/>
        <v>Total Knee ReplacementProviderNUFFIELD HEALTH, IPSWICH HOSPITAL (NT222)EQ-5D Index</v>
      </c>
      <c r="C5116" t="s">
        <v>975</v>
      </c>
      <c r="D5116" t="s">
        <v>965</v>
      </c>
      <c r="E5116" t="s">
        <v>390</v>
      </c>
      <c r="F5116" t="s">
        <v>391</v>
      </c>
      <c r="G5116" t="s">
        <v>963</v>
      </c>
      <c r="H5116">
        <v>5</v>
      </c>
      <c r="I5116">
        <v>0.47960000000000003</v>
      </c>
      <c r="J5116">
        <v>0.75639999999999996</v>
      </c>
      <c r="K5116">
        <v>0.27679999999999999</v>
      </c>
      <c r="L5116">
        <v>5</v>
      </c>
      <c r="M5116">
        <v>0</v>
      </c>
      <c r="N5116">
        <v>0</v>
      </c>
      <c r="O5116" t="s">
        <v>127</v>
      </c>
      <c r="P5116" t="s">
        <v>127</v>
      </c>
      <c r="Q5116" t="s">
        <v>127</v>
      </c>
    </row>
    <row r="5117" spans="1:17" x14ac:dyDescent="0.25">
      <c r="A5117" t="str">
        <f>IF(C5117&amp;G5117&amp;D5117&lt;&gt;'Funnel setup'!$K$3&amp;'Funnel setup'!$K$4&amp;'Funnel setup'!$K$6,".",IF(A5116=".",1,A5116+1))</f>
        <v>.</v>
      </c>
      <c r="B5117" s="244" t="str">
        <f t="shared" si="79"/>
        <v>Total Knee ReplacementProviderNUFFIELD HEALTH, LEEDS HOSPITAL (NT225)EQ-5D Index</v>
      </c>
      <c r="C5117" t="s">
        <v>975</v>
      </c>
      <c r="D5117" t="s">
        <v>965</v>
      </c>
      <c r="E5117" t="s">
        <v>392</v>
      </c>
      <c r="F5117" t="s">
        <v>393</v>
      </c>
      <c r="G5117" t="s">
        <v>963</v>
      </c>
      <c r="H5117">
        <v>133</v>
      </c>
      <c r="I5117">
        <v>0.45175399999999999</v>
      </c>
      <c r="J5117">
        <v>0.79014200000000001</v>
      </c>
      <c r="K5117">
        <v>0.33838800000000002</v>
      </c>
      <c r="L5117">
        <v>107</v>
      </c>
      <c r="M5117">
        <v>18</v>
      </c>
      <c r="N5117">
        <v>8</v>
      </c>
      <c r="O5117">
        <v>0.76484600000000003</v>
      </c>
      <c r="P5117">
        <v>0.34054800000000002</v>
      </c>
      <c r="Q5117">
        <v>0.19453999999999999</v>
      </c>
    </row>
    <row r="5118" spans="1:17" x14ac:dyDescent="0.25">
      <c r="A5118" t="str">
        <f>IF(C5118&amp;G5118&amp;D5118&lt;&gt;'Funnel setup'!$K$3&amp;'Funnel setup'!$K$4&amp;'Funnel setup'!$K$6,".",IF(A5117=".",1,A5117+1))</f>
        <v>.</v>
      </c>
      <c r="B5118" s="244" t="str">
        <f t="shared" si="79"/>
        <v>Total Knee ReplacementProviderNUFFIELD HEALTH, LEICESTER HOSPITAL (NT226)EQ-5D Index</v>
      </c>
      <c r="C5118" t="s">
        <v>975</v>
      </c>
      <c r="D5118" t="s">
        <v>965</v>
      </c>
      <c r="E5118" t="s">
        <v>394</v>
      </c>
      <c r="F5118" t="s">
        <v>395</v>
      </c>
      <c r="G5118" t="s">
        <v>963</v>
      </c>
      <c r="H5118">
        <v>25</v>
      </c>
      <c r="I5118">
        <v>0.50375999999999999</v>
      </c>
      <c r="J5118">
        <v>0.76</v>
      </c>
      <c r="K5118">
        <v>0.25624000000000002</v>
      </c>
      <c r="L5118">
        <v>20</v>
      </c>
      <c r="M5118">
        <v>2</v>
      </c>
      <c r="N5118">
        <v>3</v>
      </c>
      <c r="O5118" t="s">
        <v>127</v>
      </c>
      <c r="P5118" t="s">
        <v>127</v>
      </c>
      <c r="Q5118" t="s">
        <v>127</v>
      </c>
    </row>
    <row r="5119" spans="1:17" x14ac:dyDescent="0.25">
      <c r="A5119" t="str">
        <f>IF(C5119&amp;G5119&amp;D5119&lt;&gt;'Funnel setup'!$K$3&amp;'Funnel setup'!$K$4&amp;'Funnel setup'!$K$6,".",IF(A5118=".",1,A5118+1))</f>
        <v>.</v>
      </c>
      <c r="B5119" s="244" t="str">
        <f t="shared" si="79"/>
        <v>Total Knee ReplacementProviderNUFFIELD HEALTH, NEWCASTLE UPON TYNE HOSPITAL (NT229)EQ-5D Index</v>
      </c>
      <c r="C5119" t="s">
        <v>975</v>
      </c>
      <c r="D5119" t="s">
        <v>965</v>
      </c>
      <c r="E5119" t="s">
        <v>396</v>
      </c>
      <c r="F5119" t="s">
        <v>397</v>
      </c>
      <c r="G5119" t="s">
        <v>963</v>
      </c>
      <c r="H5119">
        <v>27</v>
      </c>
      <c r="I5119">
        <v>0.51559299999999997</v>
      </c>
      <c r="J5119">
        <v>0.76566699999999999</v>
      </c>
      <c r="K5119">
        <v>0.25007400000000002</v>
      </c>
      <c r="L5119">
        <v>22</v>
      </c>
      <c r="M5119">
        <v>4</v>
      </c>
      <c r="N5119">
        <v>1</v>
      </c>
      <c r="O5119" t="s">
        <v>127</v>
      </c>
      <c r="P5119" t="s">
        <v>127</v>
      </c>
      <c r="Q5119" t="s">
        <v>127</v>
      </c>
    </row>
    <row r="5120" spans="1:17" x14ac:dyDescent="0.25">
      <c r="A5120" t="str">
        <f>IF(C5120&amp;G5120&amp;D5120&lt;&gt;'Funnel setup'!$K$3&amp;'Funnel setup'!$K$4&amp;'Funnel setup'!$K$6,".",IF(A5119=".",1,A5119+1))</f>
        <v>.</v>
      </c>
      <c r="B5120" s="244" t="str">
        <f t="shared" si="79"/>
        <v>Total Knee ReplacementProviderNUFFIELD HEALTH, NORTH STAFFORDSHIRE HOSPITAL (NT230)EQ-5D Index</v>
      </c>
      <c r="C5120" t="s">
        <v>975</v>
      </c>
      <c r="D5120" t="s">
        <v>965</v>
      </c>
      <c r="E5120" t="s">
        <v>398</v>
      </c>
      <c r="F5120" t="s">
        <v>399</v>
      </c>
      <c r="G5120" t="s">
        <v>963</v>
      </c>
      <c r="H5120">
        <v>42</v>
      </c>
      <c r="I5120">
        <v>0.38685999999999998</v>
      </c>
      <c r="J5120">
        <v>0.76572099999999998</v>
      </c>
      <c r="K5120">
        <v>0.37885999999999997</v>
      </c>
      <c r="L5120">
        <v>34</v>
      </c>
      <c r="M5120">
        <v>4</v>
      </c>
      <c r="N5120">
        <v>4</v>
      </c>
      <c r="O5120">
        <v>0.78547500000000003</v>
      </c>
      <c r="P5120">
        <v>0.361178</v>
      </c>
      <c r="Q5120">
        <v>0.18740000000000001</v>
      </c>
    </row>
    <row r="5121" spans="1:17" x14ac:dyDescent="0.25">
      <c r="A5121" t="str">
        <f>IF(C5121&amp;G5121&amp;D5121&lt;&gt;'Funnel setup'!$K$3&amp;'Funnel setup'!$K$4&amp;'Funnel setup'!$K$6,".",IF(A5120=".",1,A5120+1))</f>
        <v>.</v>
      </c>
      <c r="B5121" s="244" t="str">
        <f t="shared" si="79"/>
        <v>Total Knee ReplacementProviderNUFFIELD HEALTH, PLYMOUTH HOSPITAL (NT233)EQ-5D Index</v>
      </c>
      <c r="C5121" t="s">
        <v>975</v>
      </c>
      <c r="D5121" t="s">
        <v>965</v>
      </c>
      <c r="E5121" t="s">
        <v>400</v>
      </c>
      <c r="F5121" t="s">
        <v>401</v>
      </c>
      <c r="G5121" t="s">
        <v>963</v>
      </c>
      <c r="H5121">
        <v>44</v>
      </c>
      <c r="I5121">
        <v>0.41730400000000001</v>
      </c>
      <c r="J5121">
        <v>0.79004300000000005</v>
      </c>
      <c r="K5121">
        <v>0.37273899999999999</v>
      </c>
      <c r="L5121">
        <v>40</v>
      </c>
      <c r="M5121">
        <v>2</v>
      </c>
      <c r="N5121">
        <v>2</v>
      </c>
      <c r="O5121">
        <v>0.79939199999999999</v>
      </c>
      <c r="P5121">
        <v>0.37509399999999998</v>
      </c>
      <c r="Q5121">
        <v>0.188745</v>
      </c>
    </row>
    <row r="5122" spans="1:17" x14ac:dyDescent="0.25">
      <c r="A5122" t="str">
        <f>IF(C5122&amp;G5122&amp;D5122&lt;&gt;'Funnel setup'!$K$3&amp;'Funnel setup'!$K$4&amp;'Funnel setup'!$K$6,".",IF(A5121=".",1,A5121+1))</f>
        <v>.</v>
      </c>
      <c r="B5122" s="244" t="str">
        <f t="shared" ref="B5122:B5185" si="80">C5122&amp;D5122&amp;F5122&amp;G5122</f>
        <v>Total Knee ReplacementProviderNUFFIELD HEALTH, SHREWSBURY HOSPITAL (NT235)EQ-5D Index</v>
      </c>
      <c r="C5122" t="s">
        <v>975</v>
      </c>
      <c r="D5122" t="s">
        <v>965</v>
      </c>
      <c r="E5122" t="s">
        <v>402</v>
      </c>
      <c r="F5122" t="s">
        <v>403</v>
      </c>
      <c r="G5122" t="s">
        <v>963</v>
      </c>
      <c r="H5122">
        <v>2</v>
      </c>
      <c r="I5122">
        <v>0.30199999999999999</v>
      </c>
      <c r="J5122">
        <v>0.26800000000000002</v>
      </c>
      <c r="K5122">
        <v>-3.4000000000000002E-2</v>
      </c>
      <c r="L5122">
        <v>0</v>
      </c>
      <c r="M5122">
        <v>1</v>
      </c>
      <c r="N5122">
        <v>1</v>
      </c>
      <c r="O5122" t="s">
        <v>127</v>
      </c>
      <c r="P5122" t="s">
        <v>127</v>
      </c>
      <c r="Q5122" t="s">
        <v>127</v>
      </c>
    </row>
    <row r="5123" spans="1:17" x14ac:dyDescent="0.25">
      <c r="A5123" t="str">
        <f>IF(C5123&amp;G5123&amp;D5123&lt;&gt;'Funnel setup'!$K$3&amp;'Funnel setup'!$K$4&amp;'Funnel setup'!$K$6,".",IF(A5122=".",1,A5122+1))</f>
        <v>.</v>
      </c>
      <c r="B5123" s="244" t="str">
        <f t="shared" si="80"/>
        <v>Total Knee ReplacementProviderNUFFIELD HEALTH, TAUNTON HOSPITAL (NT238)EQ-5D Index</v>
      </c>
      <c r="C5123" t="s">
        <v>975</v>
      </c>
      <c r="D5123" t="s">
        <v>965</v>
      </c>
      <c r="E5123" t="s">
        <v>404</v>
      </c>
      <c r="F5123" t="s">
        <v>405</v>
      </c>
      <c r="G5123" t="s">
        <v>963</v>
      </c>
      <c r="H5123">
        <v>23</v>
      </c>
      <c r="I5123">
        <v>0.45534799999999997</v>
      </c>
      <c r="J5123">
        <v>0.81699999999999995</v>
      </c>
      <c r="K5123">
        <v>0.36165199999999997</v>
      </c>
      <c r="L5123">
        <v>22</v>
      </c>
      <c r="M5123">
        <v>0</v>
      </c>
      <c r="N5123">
        <v>1</v>
      </c>
      <c r="O5123" t="s">
        <v>127</v>
      </c>
      <c r="P5123" t="s">
        <v>127</v>
      </c>
      <c r="Q5123" t="s">
        <v>127</v>
      </c>
    </row>
    <row r="5124" spans="1:17" x14ac:dyDescent="0.25">
      <c r="A5124" t="str">
        <f>IF(C5124&amp;G5124&amp;D5124&lt;&gt;'Funnel setup'!$K$3&amp;'Funnel setup'!$K$4&amp;'Funnel setup'!$K$6,".",IF(A5123=".",1,A5123+1))</f>
        <v>.</v>
      </c>
      <c r="B5124" s="244" t="str">
        <f t="shared" si="80"/>
        <v>Total Knee ReplacementProviderNUFFIELD HEALTH, TEES HOSPITAL (NT237)EQ-5D Index</v>
      </c>
      <c r="C5124" t="s">
        <v>975</v>
      </c>
      <c r="D5124" t="s">
        <v>965</v>
      </c>
      <c r="E5124" t="s">
        <v>406</v>
      </c>
      <c r="F5124" t="s">
        <v>407</v>
      </c>
      <c r="G5124" t="s">
        <v>963</v>
      </c>
      <c r="H5124">
        <v>217</v>
      </c>
      <c r="I5124">
        <v>0.45150899999999999</v>
      </c>
      <c r="J5124">
        <v>0.77913200000000005</v>
      </c>
      <c r="K5124">
        <v>0.327623</v>
      </c>
      <c r="L5124">
        <v>192</v>
      </c>
      <c r="M5124">
        <v>6</v>
      </c>
      <c r="N5124">
        <v>19</v>
      </c>
      <c r="O5124">
        <v>0.75904700000000003</v>
      </c>
      <c r="P5124">
        <v>0.33474999999999999</v>
      </c>
      <c r="Q5124">
        <v>0.24024100000000001</v>
      </c>
    </row>
    <row r="5125" spans="1:17" x14ac:dyDescent="0.25">
      <c r="A5125" t="str">
        <f>IF(C5125&amp;G5125&amp;D5125&lt;&gt;'Funnel setup'!$K$3&amp;'Funnel setup'!$K$4&amp;'Funnel setup'!$K$6,".",IF(A5124=".",1,A5124+1))</f>
        <v>.</v>
      </c>
      <c r="B5125" s="244" t="str">
        <f t="shared" si="80"/>
        <v>Total Knee ReplacementProviderNUFFIELD HEALTH, THE GROSVENOR HOSPITAL, CHESTER (NT210)EQ-5D Index</v>
      </c>
      <c r="C5125" t="s">
        <v>975</v>
      </c>
      <c r="D5125" t="s">
        <v>965</v>
      </c>
      <c r="E5125" t="s">
        <v>408</v>
      </c>
      <c r="F5125" t="s">
        <v>409</v>
      </c>
      <c r="G5125" t="s">
        <v>963</v>
      </c>
      <c r="H5125">
        <v>13</v>
      </c>
      <c r="I5125">
        <v>0.492923</v>
      </c>
      <c r="J5125">
        <v>0.78061499999999995</v>
      </c>
      <c r="K5125">
        <v>0.287692</v>
      </c>
      <c r="L5125">
        <v>12</v>
      </c>
      <c r="M5125">
        <v>1</v>
      </c>
      <c r="N5125">
        <v>0</v>
      </c>
      <c r="O5125" t="s">
        <v>127</v>
      </c>
      <c r="P5125" t="s">
        <v>127</v>
      </c>
      <c r="Q5125" t="s">
        <v>127</v>
      </c>
    </row>
    <row r="5126" spans="1:17" x14ac:dyDescent="0.25">
      <c r="A5126" t="str">
        <f>IF(C5126&amp;G5126&amp;D5126&lt;&gt;'Funnel setup'!$K$3&amp;'Funnel setup'!$K$4&amp;'Funnel setup'!$K$6,".",IF(A5125=".",1,A5125+1))</f>
        <v>.</v>
      </c>
      <c r="B5126" s="244" t="str">
        <f t="shared" si="80"/>
        <v>Total Knee ReplacementProviderNUFFIELD HEALTH, TUNBRIDGE WELLS HOSPITAL (NT239)EQ-5D Index</v>
      </c>
      <c r="C5126" t="s">
        <v>975</v>
      </c>
      <c r="D5126" t="s">
        <v>965</v>
      </c>
      <c r="E5126" t="s">
        <v>410</v>
      </c>
      <c r="F5126" t="s">
        <v>411</v>
      </c>
      <c r="G5126" t="s">
        <v>963</v>
      </c>
      <c r="H5126">
        <v>6</v>
      </c>
      <c r="I5126">
        <v>0.64933300000000005</v>
      </c>
      <c r="J5126">
        <v>0.93683300000000003</v>
      </c>
      <c r="K5126">
        <v>0.28749999999999998</v>
      </c>
      <c r="L5126">
        <v>6</v>
      </c>
      <c r="M5126">
        <v>0</v>
      </c>
      <c r="N5126">
        <v>0</v>
      </c>
      <c r="O5126" t="s">
        <v>127</v>
      </c>
      <c r="P5126" t="s">
        <v>127</v>
      </c>
      <c r="Q5126" t="s">
        <v>127</v>
      </c>
    </row>
    <row r="5127" spans="1:17" x14ac:dyDescent="0.25">
      <c r="A5127" t="str">
        <f>IF(C5127&amp;G5127&amp;D5127&lt;&gt;'Funnel setup'!$K$3&amp;'Funnel setup'!$K$4&amp;'Funnel setup'!$K$6,".",IF(A5126=".",1,A5126+1))</f>
        <v>.</v>
      </c>
      <c r="B5127" s="244" t="str">
        <f t="shared" si="80"/>
        <v>Total Knee ReplacementProviderNUFFIELD HEALTH, WARWICKSHIRE HOSPITAL (NT224)EQ-5D Index</v>
      </c>
      <c r="C5127" t="s">
        <v>975</v>
      </c>
      <c r="D5127" t="s">
        <v>965</v>
      </c>
      <c r="E5127" t="s">
        <v>412</v>
      </c>
      <c r="F5127" t="s">
        <v>413</v>
      </c>
      <c r="G5127" t="s">
        <v>963</v>
      </c>
      <c r="H5127">
        <v>13</v>
      </c>
      <c r="I5127">
        <v>0.41078599999999998</v>
      </c>
      <c r="J5127">
        <v>0.74285699999999999</v>
      </c>
      <c r="K5127">
        <v>0.33207100000000001</v>
      </c>
      <c r="L5127">
        <v>9</v>
      </c>
      <c r="M5127">
        <v>3</v>
      </c>
      <c r="N5127">
        <v>1</v>
      </c>
      <c r="O5127" t="s">
        <v>127</v>
      </c>
      <c r="P5127" t="s">
        <v>127</v>
      </c>
      <c r="Q5127" t="s">
        <v>127</v>
      </c>
    </row>
    <row r="5128" spans="1:17" x14ac:dyDescent="0.25">
      <c r="A5128" t="str">
        <f>IF(C5128&amp;G5128&amp;D5128&lt;&gt;'Funnel setup'!$K$3&amp;'Funnel setup'!$K$4&amp;'Funnel setup'!$K$6,".",IF(A5127=".",1,A5127+1))</f>
        <v>.</v>
      </c>
      <c r="B5128" s="244" t="str">
        <f t="shared" si="80"/>
        <v>Total Knee ReplacementProviderNUFFIELD HEALTH, WESSEX HOSPITAL (NT214)EQ-5D Index</v>
      </c>
      <c r="C5128" t="s">
        <v>975</v>
      </c>
      <c r="D5128" t="s">
        <v>965</v>
      </c>
      <c r="E5128" t="s">
        <v>414</v>
      </c>
      <c r="F5128" t="s">
        <v>415</v>
      </c>
      <c r="G5128" t="s">
        <v>963</v>
      </c>
      <c r="H5128">
        <v>29</v>
      </c>
      <c r="I5128">
        <v>0.52662100000000001</v>
      </c>
      <c r="J5128">
        <v>0.74241400000000002</v>
      </c>
      <c r="K5128">
        <v>0.21579300000000001</v>
      </c>
      <c r="L5128">
        <v>19</v>
      </c>
      <c r="M5128">
        <v>5</v>
      </c>
      <c r="N5128">
        <v>5</v>
      </c>
      <c r="O5128" t="s">
        <v>127</v>
      </c>
      <c r="P5128" t="s">
        <v>127</v>
      </c>
      <c r="Q5128" t="s">
        <v>127</v>
      </c>
    </row>
    <row r="5129" spans="1:17" x14ac:dyDescent="0.25">
      <c r="A5129" t="str">
        <f>IF(C5129&amp;G5129&amp;D5129&lt;&gt;'Funnel setup'!$K$3&amp;'Funnel setup'!$K$4&amp;'Funnel setup'!$K$6,".",IF(A5128=".",1,A5128+1))</f>
        <v>.</v>
      </c>
      <c r="B5129" s="244" t="str">
        <f t="shared" si="80"/>
        <v>Total Knee ReplacementProviderNUFFIELD HEALTH, WOLVERHAMPTON HOSPITAL (NT242)EQ-5D Index</v>
      </c>
      <c r="C5129" t="s">
        <v>975</v>
      </c>
      <c r="D5129" t="s">
        <v>965</v>
      </c>
      <c r="E5129" t="s">
        <v>418</v>
      </c>
      <c r="F5129" t="s">
        <v>419</v>
      </c>
      <c r="G5129" t="s">
        <v>963</v>
      </c>
      <c r="H5129">
        <v>15</v>
      </c>
      <c r="I5129">
        <v>0.397067</v>
      </c>
      <c r="J5129">
        <v>0.67213299999999998</v>
      </c>
      <c r="K5129">
        <v>0.27506700000000001</v>
      </c>
      <c r="L5129">
        <v>11</v>
      </c>
      <c r="M5129">
        <v>2</v>
      </c>
      <c r="N5129">
        <v>2</v>
      </c>
      <c r="O5129" t="s">
        <v>127</v>
      </c>
      <c r="P5129" t="s">
        <v>127</v>
      </c>
      <c r="Q5129" t="s">
        <v>127</v>
      </c>
    </row>
    <row r="5130" spans="1:17" x14ac:dyDescent="0.25">
      <c r="A5130" t="str">
        <f>IF(C5130&amp;G5130&amp;D5130&lt;&gt;'Funnel setup'!$K$3&amp;'Funnel setup'!$K$4&amp;'Funnel setup'!$K$6,".",IF(A5129=".",1,A5129+1))</f>
        <v>.</v>
      </c>
      <c r="B5130" s="244" t="str">
        <f t="shared" si="80"/>
        <v>Total Knee ReplacementProviderNUFFIELD HEALTH, YORK HOSPITAL (NT245)EQ-5D Index</v>
      </c>
      <c r="C5130" t="s">
        <v>975</v>
      </c>
      <c r="D5130" t="s">
        <v>965</v>
      </c>
      <c r="E5130" t="s">
        <v>420</v>
      </c>
      <c r="F5130" t="s">
        <v>421</v>
      </c>
      <c r="G5130" t="s">
        <v>963</v>
      </c>
      <c r="H5130">
        <v>59</v>
      </c>
      <c r="I5130">
        <v>0.520339</v>
      </c>
      <c r="J5130">
        <v>0.77430500000000002</v>
      </c>
      <c r="K5130">
        <v>0.25396600000000003</v>
      </c>
      <c r="L5130">
        <v>48</v>
      </c>
      <c r="M5130">
        <v>4</v>
      </c>
      <c r="N5130">
        <v>7</v>
      </c>
      <c r="O5130">
        <v>0.74119800000000002</v>
      </c>
      <c r="P5130">
        <v>0.31690099999999999</v>
      </c>
      <c r="Q5130">
        <v>0.18724299999999999</v>
      </c>
    </row>
    <row r="5131" spans="1:17" x14ac:dyDescent="0.25">
      <c r="A5131" t="str">
        <f>IF(C5131&amp;G5131&amp;D5131&lt;&gt;'Funnel setup'!$K$3&amp;'Funnel setup'!$K$4&amp;'Funnel setup'!$K$6,".",IF(A5130=".",1,A5130+1))</f>
        <v>.</v>
      </c>
      <c r="B5131" s="244" t="str">
        <f t="shared" si="80"/>
        <v>Total Knee ReplacementProviderOAKLANDS HOSPITAL (NVC12)EQ-5D Index</v>
      </c>
      <c r="C5131" t="s">
        <v>975</v>
      </c>
      <c r="D5131" t="s">
        <v>965</v>
      </c>
      <c r="E5131" t="s">
        <v>424</v>
      </c>
      <c r="F5131" t="s">
        <v>425</v>
      </c>
      <c r="G5131" t="s">
        <v>963</v>
      </c>
      <c r="H5131">
        <v>77</v>
      </c>
      <c r="I5131">
        <v>0.35394799999999998</v>
      </c>
      <c r="J5131">
        <v>0.71116900000000005</v>
      </c>
      <c r="K5131">
        <v>0.35722100000000001</v>
      </c>
      <c r="L5131">
        <v>57</v>
      </c>
      <c r="M5131">
        <v>8</v>
      </c>
      <c r="N5131">
        <v>12</v>
      </c>
      <c r="O5131">
        <v>0.74196300000000004</v>
      </c>
      <c r="P5131">
        <v>0.317666</v>
      </c>
      <c r="Q5131">
        <v>0.256158</v>
      </c>
    </row>
    <row r="5132" spans="1:17" x14ac:dyDescent="0.25">
      <c r="A5132" t="str">
        <f>IF(C5132&amp;G5132&amp;D5132&lt;&gt;'Funnel setup'!$K$3&amp;'Funnel setup'!$K$4&amp;'Funnel setup'!$K$6,".",IF(A5131=".",1,A5131+1))</f>
        <v>.</v>
      </c>
      <c r="B5132" s="244" t="str">
        <f t="shared" si="80"/>
        <v>Total Knee ReplacementProviderOAKS HOSPITAL (NVC13)EQ-5D Index</v>
      </c>
      <c r="C5132" t="s">
        <v>975</v>
      </c>
      <c r="D5132" t="s">
        <v>965</v>
      </c>
      <c r="E5132" t="s">
        <v>426</v>
      </c>
      <c r="F5132" t="s">
        <v>427</v>
      </c>
      <c r="G5132" t="s">
        <v>963</v>
      </c>
      <c r="H5132">
        <v>4</v>
      </c>
      <c r="I5132">
        <v>0.53149999999999997</v>
      </c>
      <c r="J5132">
        <v>0.96199999999999997</v>
      </c>
      <c r="K5132">
        <v>0.43049999999999999</v>
      </c>
      <c r="L5132">
        <v>4</v>
      </c>
      <c r="M5132">
        <v>0</v>
      </c>
      <c r="N5132">
        <v>0</v>
      </c>
      <c r="O5132" t="s">
        <v>127</v>
      </c>
      <c r="P5132" t="s">
        <v>127</v>
      </c>
      <c r="Q5132" t="s">
        <v>127</v>
      </c>
    </row>
    <row r="5133" spans="1:17" x14ac:dyDescent="0.25">
      <c r="A5133" t="str">
        <f>IF(C5133&amp;G5133&amp;D5133&lt;&gt;'Funnel setup'!$K$3&amp;'Funnel setup'!$K$4&amp;'Funnel setup'!$K$6,".",IF(A5132=".",1,A5132+1))</f>
        <v>.</v>
      </c>
      <c r="B5133" s="244" t="str">
        <f t="shared" si="80"/>
        <v>Total Knee ReplacementProviderONE HEALTHCARE (AVQ)EQ-5D Index</v>
      </c>
      <c r="C5133" t="s">
        <v>975</v>
      </c>
      <c r="D5133" t="s">
        <v>965</v>
      </c>
      <c r="E5133" t="s">
        <v>434</v>
      </c>
      <c r="F5133" t="s">
        <v>435</v>
      </c>
      <c r="G5133" t="s">
        <v>963</v>
      </c>
      <c r="H5133">
        <v>61</v>
      </c>
      <c r="I5133">
        <v>0.44601600000000002</v>
      </c>
      <c r="J5133">
        <v>0.79560699999999995</v>
      </c>
      <c r="K5133">
        <v>0.34959000000000001</v>
      </c>
      <c r="L5133">
        <v>54</v>
      </c>
      <c r="M5133">
        <v>5</v>
      </c>
      <c r="N5133">
        <v>2</v>
      </c>
      <c r="O5133">
        <v>0.75290999999999997</v>
      </c>
      <c r="P5133">
        <v>0.32861299999999999</v>
      </c>
      <c r="Q5133">
        <v>0.16981499999999999</v>
      </c>
    </row>
    <row r="5134" spans="1:17" x14ac:dyDescent="0.25">
      <c r="A5134" t="str">
        <f>IF(C5134&amp;G5134&amp;D5134&lt;&gt;'Funnel setup'!$K$3&amp;'Funnel setup'!$K$4&amp;'Funnel setup'!$K$6,".",IF(A5133=".",1,A5133+1))</f>
        <v>.</v>
      </c>
      <c r="B5134" s="244" t="str">
        <f t="shared" si="80"/>
        <v>Total Knee ReplacementProviderORTHOPAEDICS &amp; SPINE SPECIALIST HOSPITAL SITE (NQM01)EQ-5D Index</v>
      </c>
      <c r="C5134" t="s">
        <v>975</v>
      </c>
      <c r="D5134" t="s">
        <v>965</v>
      </c>
      <c r="E5134" t="s">
        <v>436</v>
      </c>
      <c r="F5134" t="s">
        <v>437</v>
      </c>
      <c r="G5134" t="s">
        <v>963</v>
      </c>
      <c r="H5134">
        <v>6</v>
      </c>
      <c r="I5134">
        <v>0.17</v>
      </c>
      <c r="J5134">
        <v>0.47499999999999998</v>
      </c>
      <c r="K5134">
        <v>0.30499999999999999</v>
      </c>
      <c r="L5134">
        <v>5</v>
      </c>
      <c r="M5134">
        <v>0</v>
      </c>
      <c r="N5134">
        <v>1</v>
      </c>
      <c r="O5134" t="s">
        <v>127</v>
      </c>
      <c r="P5134" t="s">
        <v>127</v>
      </c>
      <c r="Q5134" t="s">
        <v>127</v>
      </c>
    </row>
    <row r="5135" spans="1:17" x14ac:dyDescent="0.25">
      <c r="A5135" t="str">
        <f>IF(C5135&amp;G5135&amp;D5135&lt;&gt;'Funnel setup'!$K$3&amp;'Funnel setup'!$K$4&amp;'Funnel setup'!$K$6,".",IF(A5134=".",1,A5134+1))</f>
        <v>.</v>
      </c>
      <c r="B5135" s="244" t="str">
        <f t="shared" si="80"/>
        <v>Total Knee ReplacementProviderOXFORD UNIVERSITY HOSPITALS NHS FOUNDATION TRUST (RTH)EQ-5D Index</v>
      </c>
      <c r="C5135" t="s">
        <v>975</v>
      </c>
      <c r="D5135" t="s">
        <v>965</v>
      </c>
      <c r="E5135" t="s">
        <v>438</v>
      </c>
      <c r="F5135" t="s">
        <v>439</v>
      </c>
      <c r="G5135" t="s">
        <v>963</v>
      </c>
      <c r="H5135">
        <v>269</v>
      </c>
      <c r="I5135">
        <v>0.40648299999999998</v>
      </c>
      <c r="J5135">
        <v>0.75387000000000004</v>
      </c>
      <c r="K5135">
        <v>0.347387</v>
      </c>
      <c r="L5135">
        <v>230</v>
      </c>
      <c r="M5135">
        <v>20</v>
      </c>
      <c r="N5135">
        <v>19</v>
      </c>
      <c r="O5135">
        <v>0.76354599999999995</v>
      </c>
      <c r="P5135">
        <v>0.33924799999999999</v>
      </c>
      <c r="Q5135">
        <v>0.214423</v>
      </c>
    </row>
    <row r="5136" spans="1:17" x14ac:dyDescent="0.25">
      <c r="A5136" t="str">
        <f>IF(C5136&amp;G5136&amp;D5136&lt;&gt;'Funnel setup'!$K$3&amp;'Funnel setup'!$K$4&amp;'Funnel setup'!$K$6,".",IF(A5135=".",1,A5135+1))</f>
        <v>.</v>
      </c>
      <c r="B5136" s="244" t="str">
        <f t="shared" si="80"/>
        <v>Total Knee ReplacementProviderPARK HILL HOSPITAL (NVC14)EQ-5D Index</v>
      </c>
      <c r="C5136" t="s">
        <v>975</v>
      </c>
      <c r="D5136" t="s">
        <v>965</v>
      </c>
      <c r="E5136" t="s">
        <v>440</v>
      </c>
      <c r="F5136" t="s">
        <v>441</v>
      </c>
      <c r="G5136" t="s">
        <v>963</v>
      </c>
      <c r="H5136">
        <v>36</v>
      </c>
      <c r="I5136">
        <v>0.371784</v>
      </c>
      <c r="J5136">
        <v>0.68816200000000005</v>
      </c>
      <c r="K5136">
        <v>0.31637799999999999</v>
      </c>
      <c r="L5136">
        <v>27</v>
      </c>
      <c r="M5136">
        <v>4</v>
      </c>
      <c r="N5136">
        <v>5</v>
      </c>
      <c r="O5136">
        <v>0.70254399999999995</v>
      </c>
      <c r="P5136">
        <v>0.27824599999999999</v>
      </c>
      <c r="Q5136">
        <v>0.249026</v>
      </c>
    </row>
    <row r="5137" spans="1:17" x14ac:dyDescent="0.25">
      <c r="A5137" t="str">
        <f>IF(C5137&amp;G5137&amp;D5137&lt;&gt;'Funnel setup'!$K$3&amp;'Funnel setup'!$K$4&amp;'Funnel setup'!$K$6,".",IF(A5136=".",1,A5136+1))</f>
        <v>.</v>
      </c>
      <c r="B5137" s="244" t="str">
        <f t="shared" si="80"/>
        <v>Total Knee ReplacementProviderPARK HOSPITAL (NT427)EQ-5D Index</v>
      </c>
      <c r="C5137" t="s">
        <v>975</v>
      </c>
      <c r="D5137" t="s">
        <v>965</v>
      </c>
      <c r="E5137" t="s">
        <v>442</v>
      </c>
      <c r="F5137" t="s">
        <v>443</v>
      </c>
      <c r="G5137" t="s">
        <v>963</v>
      </c>
      <c r="H5137">
        <v>56</v>
      </c>
      <c r="I5137">
        <v>0.49560700000000002</v>
      </c>
      <c r="J5137">
        <v>0.74235700000000004</v>
      </c>
      <c r="K5137">
        <v>0.24675</v>
      </c>
      <c r="L5137">
        <v>38</v>
      </c>
      <c r="M5137">
        <v>9</v>
      </c>
      <c r="N5137">
        <v>9</v>
      </c>
      <c r="O5137">
        <v>0.69791400000000003</v>
      </c>
      <c r="P5137">
        <v>0.273617</v>
      </c>
      <c r="Q5137">
        <v>0.240563</v>
      </c>
    </row>
    <row r="5138" spans="1:17" x14ac:dyDescent="0.25">
      <c r="A5138" t="str">
        <f>IF(C5138&amp;G5138&amp;D5138&lt;&gt;'Funnel setup'!$K$3&amp;'Funnel setup'!$K$4&amp;'Funnel setup'!$K$6,".",IF(A5137=".",1,A5137+1))</f>
        <v>.</v>
      </c>
      <c r="B5138" s="244" t="str">
        <f t="shared" si="80"/>
        <v>Total Knee ReplacementProviderPENNINE ACUTE HOSPITALS NHS TRUST (RW6)EQ-5D Index</v>
      </c>
      <c r="C5138" t="s">
        <v>975</v>
      </c>
      <c r="D5138" t="s">
        <v>965</v>
      </c>
      <c r="E5138" t="s">
        <v>444</v>
      </c>
      <c r="F5138" t="s">
        <v>445</v>
      </c>
      <c r="G5138" t="s">
        <v>963</v>
      </c>
      <c r="H5138">
        <v>4</v>
      </c>
      <c r="I5138">
        <v>0.48825000000000002</v>
      </c>
      <c r="J5138">
        <v>0.80274999999999996</v>
      </c>
      <c r="K5138">
        <v>0.3145</v>
      </c>
      <c r="L5138">
        <v>4</v>
      </c>
      <c r="M5138">
        <v>0</v>
      </c>
      <c r="N5138">
        <v>0</v>
      </c>
      <c r="O5138" t="s">
        <v>127</v>
      </c>
      <c r="P5138" t="s">
        <v>127</v>
      </c>
      <c r="Q5138" t="s">
        <v>127</v>
      </c>
    </row>
    <row r="5139" spans="1:17" x14ac:dyDescent="0.25">
      <c r="A5139" t="str">
        <f>IF(C5139&amp;G5139&amp;D5139&lt;&gt;'Funnel setup'!$K$3&amp;'Funnel setup'!$K$4&amp;'Funnel setup'!$K$6,".",IF(A5138=".",1,A5138+1))</f>
        <v>.</v>
      </c>
      <c r="B5139" s="244" t="str">
        <f t="shared" si="80"/>
        <v>Total Knee ReplacementProviderPINEHILL HOSPITAL (NVC15)EQ-5D Index</v>
      </c>
      <c r="C5139" t="s">
        <v>975</v>
      </c>
      <c r="D5139" t="s">
        <v>965</v>
      </c>
      <c r="E5139" t="s">
        <v>448</v>
      </c>
      <c r="F5139" t="s">
        <v>449</v>
      </c>
      <c r="G5139" t="s">
        <v>963</v>
      </c>
      <c r="H5139">
        <v>7</v>
      </c>
      <c r="I5139">
        <v>0.37757099999999999</v>
      </c>
      <c r="J5139">
        <v>0.80142899999999995</v>
      </c>
      <c r="K5139">
        <v>0.42385699999999998</v>
      </c>
      <c r="L5139">
        <v>6</v>
      </c>
      <c r="M5139">
        <v>1</v>
      </c>
      <c r="N5139">
        <v>0</v>
      </c>
      <c r="O5139" t="s">
        <v>127</v>
      </c>
      <c r="P5139" t="s">
        <v>127</v>
      </c>
      <c r="Q5139" t="s">
        <v>127</v>
      </c>
    </row>
    <row r="5140" spans="1:17" x14ac:dyDescent="0.25">
      <c r="A5140" t="str">
        <f>IF(C5140&amp;G5140&amp;D5140&lt;&gt;'Funnel setup'!$K$3&amp;'Funnel setup'!$K$4&amp;'Funnel setup'!$K$6,".",IF(A5139=".",1,A5139+1))</f>
        <v>.</v>
      </c>
      <c r="B5140" s="244" t="str">
        <f t="shared" si="80"/>
        <v>Total Knee ReplacementProviderPORTSMOUTH HOSPITALS UNIVERSITY NATIONAL HEALTH SERVICE TRUST (RHU)EQ-5D Index</v>
      </c>
      <c r="C5140" t="s">
        <v>975</v>
      </c>
      <c r="D5140" t="s">
        <v>965</v>
      </c>
      <c r="E5140" t="s">
        <v>450</v>
      </c>
      <c r="F5140" t="s">
        <v>451</v>
      </c>
      <c r="G5140" t="s">
        <v>963</v>
      </c>
      <c r="H5140">
        <v>14</v>
      </c>
      <c r="I5140">
        <v>0.15542900000000001</v>
      </c>
      <c r="J5140">
        <v>0.66535699999999998</v>
      </c>
      <c r="K5140">
        <v>0.50992899999999997</v>
      </c>
      <c r="L5140">
        <v>11</v>
      </c>
      <c r="M5140">
        <v>1</v>
      </c>
      <c r="N5140">
        <v>2</v>
      </c>
      <c r="O5140" t="s">
        <v>127</v>
      </c>
      <c r="P5140" t="s">
        <v>127</v>
      </c>
      <c r="Q5140" t="s">
        <v>127</v>
      </c>
    </row>
    <row r="5141" spans="1:17" x14ac:dyDescent="0.25">
      <c r="A5141" t="str">
        <f>IF(C5141&amp;G5141&amp;D5141&lt;&gt;'Funnel setup'!$K$3&amp;'Funnel setup'!$K$4&amp;'Funnel setup'!$K$6,".",IF(A5140=".",1,A5140+1))</f>
        <v>.</v>
      </c>
      <c r="B5141" s="244" t="str">
        <f t="shared" si="80"/>
        <v>Total Knee ReplacementProviderPRACTICE PLUS GROUP HOSPITAL - BARLBOROUGH (NTP13)EQ-5D Index</v>
      </c>
      <c r="C5141" t="s">
        <v>975</v>
      </c>
      <c r="D5141" t="s">
        <v>965</v>
      </c>
      <c r="E5141" t="s">
        <v>452</v>
      </c>
      <c r="F5141" t="s">
        <v>453</v>
      </c>
      <c r="G5141" t="s">
        <v>963</v>
      </c>
      <c r="H5141">
        <v>241</v>
      </c>
      <c r="I5141">
        <v>0.46227499999999999</v>
      </c>
      <c r="J5141">
        <v>0.79695099999999996</v>
      </c>
      <c r="K5141">
        <v>0.33467599999999997</v>
      </c>
      <c r="L5141">
        <v>203</v>
      </c>
      <c r="M5141">
        <v>21</v>
      </c>
      <c r="N5141">
        <v>17</v>
      </c>
      <c r="O5141">
        <v>0.77257299999999995</v>
      </c>
      <c r="P5141">
        <v>0.34827599999999997</v>
      </c>
      <c r="Q5141">
        <v>0.21262</v>
      </c>
    </row>
    <row r="5142" spans="1:17" x14ac:dyDescent="0.25">
      <c r="A5142" t="str">
        <f>IF(C5142&amp;G5142&amp;D5142&lt;&gt;'Funnel setup'!$K$3&amp;'Funnel setup'!$K$4&amp;'Funnel setup'!$K$6,".",IF(A5141=".",1,A5141+1))</f>
        <v>.</v>
      </c>
      <c r="B5142" s="244" t="str">
        <f t="shared" si="80"/>
        <v>Total Knee ReplacementProviderPRACTICE PLUS GROUP HOSPITAL - EMERSONS GREEN (NTPH2)EQ-5D Index</v>
      </c>
      <c r="C5142" t="s">
        <v>975</v>
      </c>
      <c r="D5142" t="s">
        <v>965</v>
      </c>
      <c r="E5142" t="s">
        <v>454</v>
      </c>
      <c r="F5142" t="s">
        <v>455</v>
      </c>
      <c r="G5142" t="s">
        <v>963</v>
      </c>
      <c r="H5142">
        <v>138</v>
      </c>
      <c r="I5142">
        <v>0.51229000000000002</v>
      </c>
      <c r="J5142">
        <v>0.76452200000000003</v>
      </c>
      <c r="K5142">
        <v>0.25223200000000001</v>
      </c>
      <c r="L5142">
        <v>110</v>
      </c>
      <c r="M5142">
        <v>14</v>
      </c>
      <c r="N5142">
        <v>14</v>
      </c>
      <c r="O5142">
        <v>0.71833999999999998</v>
      </c>
      <c r="P5142">
        <v>0.29404200000000003</v>
      </c>
      <c r="Q5142">
        <v>0.229327</v>
      </c>
    </row>
    <row r="5143" spans="1:17" x14ac:dyDescent="0.25">
      <c r="A5143" t="str">
        <f>IF(C5143&amp;G5143&amp;D5143&lt;&gt;'Funnel setup'!$K$3&amp;'Funnel setup'!$K$4&amp;'Funnel setup'!$K$6,".",IF(A5142=".",1,A5142+1))</f>
        <v>.</v>
      </c>
      <c r="B5143" s="244" t="str">
        <f t="shared" si="80"/>
        <v>Total Knee ReplacementProviderPRACTICE PLUS GROUP HOSPITAL - ILFORD (NTP15)EQ-5D Index</v>
      </c>
      <c r="C5143" t="s">
        <v>975</v>
      </c>
      <c r="D5143" t="s">
        <v>965</v>
      </c>
      <c r="E5143" t="s">
        <v>456</v>
      </c>
      <c r="F5143" t="s">
        <v>457</v>
      </c>
      <c r="G5143" t="s">
        <v>963</v>
      </c>
      <c r="H5143">
        <v>79</v>
      </c>
      <c r="I5143">
        <v>0.38686100000000001</v>
      </c>
      <c r="J5143">
        <v>0.67436700000000005</v>
      </c>
      <c r="K5143">
        <v>0.28750599999999998</v>
      </c>
      <c r="L5143">
        <v>62</v>
      </c>
      <c r="M5143">
        <v>5</v>
      </c>
      <c r="N5143">
        <v>12</v>
      </c>
      <c r="O5143">
        <v>0.69377299999999997</v>
      </c>
      <c r="P5143">
        <v>0.26947599999999999</v>
      </c>
      <c r="Q5143">
        <v>0.24629000000000001</v>
      </c>
    </row>
    <row r="5144" spans="1:17" x14ac:dyDescent="0.25">
      <c r="A5144" t="str">
        <f>IF(C5144&amp;G5144&amp;D5144&lt;&gt;'Funnel setup'!$K$3&amp;'Funnel setup'!$K$4&amp;'Funnel setup'!$K$6,".",IF(A5143=".",1,A5143+1))</f>
        <v>.</v>
      </c>
      <c r="B5144" s="244" t="str">
        <f t="shared" si="80"/>
        <v>Total Knee ReplacementProviderPRACTICE PLUS GROUP HOSPITAL - PLYMOUTH (NTPH5)EQ-5D Index</v>
      </c>
      <c r="C5144" t="s">
        <v>975</v>
      </c>
      <c r="D5144" t="s">
        <v>965</v>
      </c>
      <c r="E5144" t="s">
        <v>458</v>
      </c>
      <c r="F5144" t="s">
        <v>459</v>
      </c>
      <c r="G5144" t="s">
        <v>963</v>
      </c>
      <c r="H5144">
        <v>193</v>
      </c>
      <c r="I5144">
        <v>0.48020699999999999</v>
      </c>
      <c r="J5144">
        <v>0.76353899999999997</v>
      </c>
      <c r="K5144">
        <v>0.28333199999999997</v>
      </c>
      <c r="L5144">
        <v>156</v>
      </c>
      <c r="M5144">
        <v>19</v>
      </c>
      <c r="N5144">
        <v>18</v>
      </c>
      <c r="O5144">
        <v>0.74296899999999999</v>
      </c>
      <c r="P5144">
        <v>0.31867099999999998</v>
      </c>
      <c r="Q5144">
        <v>0.205565</v>
      </c>
    </row>
    <row r="5145" spans="1:17" x14ac:dyDescent="0.25">
      <c r="A5145" t="str">
        <f>IF(C5145&amp;G5145&amp;D5145&lt;&gt;'Funnel setup'!$K$3&amp;'Funnel setup'!$K$4&amp;'Funnel setup'!$K$6,".",IF(A5144=".",1,A5144+1))</f>
        <v>.</v>
      </c>
      <c r="B5145" s="244" t="str">
        <f t="shared" si="80"/>
        <v>Total Knee ReplacementProviderPRACTICE PLUS GROUP HOSPITAL - SHEPTON MALLET (NTPH1)EQ-5D Index</v>
      </c>
      <c r="C5145" t="s">
        <v>975</v>
      </c>
      <c r="D5145" t="s">
        <v>965</v>
      </c>
      <c r="E5145" t="s">
        <v>460</v>
      </c>
      <c r="F5145" t="s">
        <v>461</v>
      </c>
      <c r="G5145" t="s">
        <v>963</v>
      </c>
      <c r="H5145">
        <v>221</v>
      </c>
      <c r="I5145">
        <v>0.48247099999999998</v>
      </c>
      <c r="J5145">
        <v>0.797041</v>
      </c>
      <c r="K5145">
        <v>0.31457000000000002</v>
      </c>
      <c r="L5145">
        <v>193</v>
      </c>
      <c r="M5145">
        <v>15</v>
      </c>
      <c r="N5145">
        <v>13</v>
      </c>
      <c r="O5145">
        <v>0.763625</v>
      </c>
      <c r="P5145">
        <v>0.33932800000000002</v>
      </c>
      <c r="Q5145">
        <v>0.19089200000000001</v>
      </c>
    </row>
    <row r="5146" spans="1:17" x14ac:dyDescent="0.25">
      <c r="A5146" t="str">
        <f>IF(C5146&amp;G5146&amp;D5146&lt;&gt;'Funnel setup'!$K$3&amp;'Funnel setup'!$K$4&amp;'Funnel setup'!$K$6,".",IF(A5145=".",1,A5145+1))</f>
        <v>.</v>
      </c>
      <c r="B5146" s="244" t="str">
        <f t="shared" si="80"/>
        <v>Total Knee ReplacementProviderPRACTICE PLUS GROUP HOSPITAL - SOUTHAMPTON (NTP11)EQ-5D Index</v>
      </c>
      <c r="C5146" t="s">
        <v>975</v>
      </c>
      <c r="D5146" t="s">
        <v>965</v>
      </c>
      <c r="E5146" t="s">
        <v>462</v>
      </c>
      <c r="F5146" t="s">
        <v>463</v>
      </c>
      <c r="G5146" t="s">
        <v>963</v>
      </c>
      <c r="H5146">
        <v>70</v>
      </c>
      <c r="I5146">
        <v>0.42508600000000002</v>
      </c>
      <c r="J5146">
        <v>0.74715699999999996</v>
      </c>
      <c r="K5146">
        <v>0.322071</v>
      </c>
      <c r="L5146">
        <v>58</v>
      </c>
      <c r="M5146">
        <v>5</v>
      </c>
      <c r="N5146">
        <v>7</v>
      </c>
      <c r="O5146">
        <v>0.74710100000000002</v>
      </c>
      <c r="P5146">
        <v>0.32280399999999998</v>
      </c>
      <c r="Q5146">
        <v>0.25659100000000001</v>
      </c>
    </row>
    <row r="5147" spans="1:17" x14ac:dyDescent="0.25">
      <c r="A5147" t="str">
        <f>IF(C5147&amp;G5147&amp;D5147&lt;&gt;'Funnel setup'!$K$3&amp;'Funnel setup'!$K$4&amp;'Funnel setup'!$K$6,".",IF(A5146=".",1,A5146+1))</f>
        <v>.</v>
      </c>
      <c r="B5147" s="244" t="str">
        <f t="shared" si="80"/>
        <v>Total Knee ReplacementProviderPRINCESS MARGARET HOSPITAL (NT428)EQ-5D Index</v>
      </c>
      <c r="C5147" t="s">
        <v>975</v>
      </c>
      <c r="D5147" t="s">
        <v>965</v>
      </c>
      <c r="E5147" t="s">
        <v>464</v>
      </c>
      <c r="F5147" t="s">
        <v>465</v>
      </c>
      <c r="G5147" t="s">
        <v>963</v>
      </c>
      <c r="H5147" t="s">
        <v>127</v>
      </c>
      <c r="I5147" t="s">
        <v>127</v>
      </c>
      <c r="J5147" t="s">
        <v>127</v>
      </c>
      <c r="K5147" t="s">
        <v>127</v>
      </c>
      <c r="L5147" t="s">
        <v>127</v>
      </c>
      <c r="M5147" t="s">
        <v>127</v>
      </c>
      <c r="N5147" t="s">
        <v>127</v>
      </c>
      <c r="O5147" t="s">
        <v>127</v>
      </c>
      <c r="P5147" t="s">
        <v>127</v>
      </c>
      <c r="Q5147" t="s">
        <v>127</v>
      </c>
    </row>
    <row r="5148" spans="1:17" x14ac:dyDescent="0.25">
      <c r="A5148" t="str">
        <f>IF(C5148&amp;G5148&amp;D5148&lt;&gt;'Funnel setup'!$K$3&amp;'Funnel setup'!$K$4&amp;'Funnel setup'!$K$6,".",IF(A5147=".",1,A5147+1))</f>
        <v>.</v>
      </c>
      <c r="B5148" s="244" t="str">
        <f t="shared" si="80"/>
        <v>Total Knee ReplacementProviderPRIORY HOSPITAL (NT429)EQ-5D Index</v>
      </c>
      <c r="C5148" t="s">
        <v>975</v>
      </c>
      <c r="D5148" t="s">
        <v>965</v>
      </c>
      <c r="E5148" t="s">
        <v>466</v>
      </c>
      <c r="F5148" t="s">
        <v>467</v>
      </c>
      <c r="G5148" t="s">
        <v>963</v>
      </c>
      <c r="H5148">
        <v>26</v>
      </c>
      <c r="I5148">
        <v>0.44889299999999999</v>
      </c>
      <c r="J5148">
        <v>0.78460700000000005</v>
      </c>
      <c r="K5148">
        <v>0.33571400000000001</v>
      </c>
      <c r="L5148">
        <v>24</v>
      </c>
      <c r="M5148">
        <v>2</v>
      </c>
      <c r="N5148">
        <v>0</v>
      </c>
      <c r="O5148" t="s">
        <v>127</v>
      </c>
      <c r="P5148" t="s">
        <v>127</v>
      </c>
      <c r="Q5148" t="s">
        <v>127</v>
      </c>
    </row>
    <row r="5149" spans="1:17" x14ac:dyDescent="0.25">
      <c r="A5149" t="str">
        <f>IF(C5149&amp;G5149&amp;D5149&lt;&gt;'Funnel setup'!$K$3&amp;'Funnel setup'!$K$4&amp;'Funnel setup'!$K$6,".",IF(A5148=".",1,A5148+1))</f>
        <v>.</v>
      </c>
      <c r="B5149" s="244" t="str">
        <f t="shared" si="80"/>
        <v>Total Knee ReplacementProviderRENACRES HOSPITAL (NVC16)EQ-5D Index</v>
      </c>
      <c r="C5149" t="s">
        <v>975</v>
      </c>
      <c r="D5149" t="s">
        <v>965</v>
      </c>
      <c r="E5149" t="s">
        <v>470</v>
      </c>
      <c r="F5149" t="s">
        <v>471</v>
      </c>
      <c r="G5149" t="s">
        <v>963</v>
      </c>
      <c r="H5149">
        <v>67</v>
      </c>
      <c r="I5149">
        <v>0.40449299999999999</v>
      </c>
      <c r="J5149">
        <v>0.79400000000000004</v>
      </c>
      <c r="K5149">
        <v>0.38950699999999999</v>
      </c>
      <c r="L5149">
        <v>59</v>
      </c>
      <c r="M5149">
        <v>6</v>
      </c>
      <c r="N5149">
        <v>2</v>
      </c>
      <c r="O5149">
        <v>0.77322100000000005</v>
      </c>
      <c r="P5149">
        <v>0.34892400000000001</v>
      </c>
      <c r="Q5149">
        <v>0.214943</v>
      </c>
    </row>
    <row r="5150" spans="1:17" x14ac:dyDescent="0.25">
      <c r="A5150" t="str">
        <f>IF(C5150&amp;G5150&amp;D5150&lt;&gt;'Funnel setup'!$K$3&amp;'Funnel setup'!$K$4&amp;'Funnel setup'!$K$6,".",IF(A5149=".",1,A5149+1))</f>
        <v>.</v>
      </c>
      <c r="B5150" s="244" t="str">
        <f t="shared" si="80"/>
        <v>Total Knee ReplacementProviderRIDGEWAY HOSPITAL (NT430)EQ-5D Index</v>
      </c>
      <c r="C5150" t="s">
        <v>975</v>
      </c>
      <c r="D5150" t="s">
        <v>965</v>
      </c>
      <c r="E5150" t="s">
        <v>472</v>
      </c>
      <c r="F5150" t="s">
        <v>473</v>
      </c>
      <c r="G5150" t="s">
        <v>963</v>
      </c>
      <c r="H5150">
        <v>1</v>
      </c>
      <c r="I5150">
        <v>0.62</v>
      </c>
      <c r="J5150">
        <v>1</v>
      </c>
      <c r="K5150">
        <v>0.38</v>
      </c>
      <c r="L5150">
        <v>1</v>
      </c>
      <c r="M5150">
        <v>0</v>
      </c>
      <c r="N5150">
        <v>0</v>
      </c>
      <c r="O5150" t="s">
        <v>127</v>
      </c>
      <c r="P5150" t="s">
        <v>127</v>
      </c>
      <c r="Q5150" t="s">
        <v>127</v>
      </c>
    </row>
    <row r="5151" spans="1:17" x14ac:dyDescent="0.25">
      <c r="A5151" t="str">
        <f>IF(C5151&amp;G5151&amp;D5151&lt;&gt;'Funnel setup'!$K$3&amp;'Funnel setup'!$K$4&amp;'Funnel setup'!$K$6,".",IF(A5150=".",1,A5150+1))</f>
        <v>.</v>
      </c>
      <c r="B5151" s="244" t="str">
        <f t="shared" si="80"/>
        <v>Total Knee ReplacementProviderRIVERS HOSPITAL (NVC19)EQ-5D Index</v>
      </c>
      <c r="C5151" t="s">
        <v>975</v>
      </c>
      <c r="D5151" t="s">
        <v>965</v>
      </c>
      <c r="E5151" t="s">
        <v>474</v>
      </c>
      <c r="F5151" t="s">
        <v>475</v>
      </c>
      <c r="G5151" t="s">
        <v>963</v>
      </c>
      <c r="H5151">
        <v>38</v>
      </c>
      <c r="I5151">
        <v>0.51023700000000005</v>
      </c>
      <c r="J5151">
        <v>0.83865800000000001</v>
      </c>
      <c r="K5151">
        <v>0.32842100000000002</v>
      </c>
      <c r="L5151">
        <v>31</v>
      </c>
      <c r="M5151">
        <v>4</v>
      </c>
      <c r="N5151">
        <v>3</v>
      </c>
      <c r="O5151">
        <v>0.78197499999999998</v>
      </c>
      <c r="P5151">
        <v>0.357678</v>
      </c>
      <c r="Q5151">
        <v>0.237899</v>
      </c>
    </row>
    <row r="5152" spans="1:17" x14ac:dyDescent="0.25">
      <c r="A5152" t="str">
        <f>IF(C5152&amp;G5152&amp;D5152&lt;&gt;'Funnel setup'!$K$3&amp;'Funnel setup'!$K$4&amp;'Funnel setup'!$K$6,".",IF(A5151=".",1,A5151+1))</f>
        <v>.</v>
      </c>
      <c r="B5152" s="244" t="str">
        <f t="shared" si="80"/>
        <v>Total Knee ReplacementProviderROWLEY HALL HOSPITAL (NVC17)EQ-5D Index</v>
      </c>
      <c r="C5152" t="s">
        <v>975</v>
      </c>
      <c r="D5152" t="s">
        <v>965</v>
      </c>
      <c r="E5152" t="s">
        <v>476</v>
      </c>
      <c r="F5152" t="s">
        <v>477</v>
      </c>
      <c r="G5152" t="s">
        <v>963</v>
      </c>
      <c r="H5152">
        <v>42</v>
      </c>
      <c r="I5152">
        <v>0.47183700000000001</v>
      </c>
      <c r="J5152">
        <v>0.75348800000000005</v>
      </c>
      <c r="K5152">
        <v>0.28165099999999998</v>
      </c>
      <c r="L5152">
        <v>33</v>
      </c>
      <c r="M5152">
        <v>6</v>
      </c>
      <c r="N5152">
        <v>3</v>
      </c>
      <c r="O5152">
        <v>0.73193600000000003</v>
      </c>
      <c r="P5152">
        <v>0.30763800000000002</v>
      </c>
      <c r="Q5152">
        <v>0.25136199999999997</v>
      </c>
    </row>
    <row r="5153" spans="1:17" x14ac:dyDescent="0.25">
      <c r="A5153" t="str">
        <f>IF(C5153&amp;G5153&amp;D5153&lt;&gt;'Funnel setup'!$K$3&amp;'Funnel setup'!$K$4&amp;'Funnel setup'!$K$6,".",IF(A5152=".",1,A5152+1))</f>
        <v>.</v>
      </c>
      <c r="B5153" s="244" t="str">
        <f t="shared" si="80"/>
        <v>Total Knee ReplacementProviderROYAL BERKSHIRE NHS FOUNDATION TRUST (RHW)EQ-5D Index</v>
      </c>
      <c r="C5153" t="s">
        <v>975</v>
      </c>
      <c r="D5153" t="s">
        <v>965</v>
      </c>
      <c r="E5153" t="s">
        <v>478</v>
      </c>
      <c r="F5153" t="s">
        <v>479</v>
      </c>
      <c r="G5153" t="s">
        <v>963</v>
      </c>
      <c r="H5153">
        <v>7</v>
      </c>
      <c r="I5153">
        <v>0.42657099999999998</v>
      </c>
      <c r="J5153">
        <v>0.71328599999999998</v>
      </c>
      <c r="K5153">
        <v>0.28671400000000002</v>
      </c>
      <c r="L5153">
        <v>5</v>
      </c>
      <c r="M5153">
        <v>1</v>
      </c>
      <c r="N5153">
        <v>1</v>
      </c>
      <c r="O5153" t="s">
        <v>127</v>
      </c>
      <c r="P5153" t="s">
        <v>127</v>
      </c>
      <c r="Q5153" t="s">
        <v>127</v>
      </c>
    </row>
    <row r="5154" spans="1:17" x14ac:dyDescent="0.25">
      <c r="A5154" t="str">
        <f>IF(C5154&amp;G5154&amp;D5154&lt;&gt;'Funnel setup'!$K$3&amp;'Funnel setup'!$K$4&amp;'Funnel setup'!$K$6,".",IF(A5153=".",1,A5153+1))</f>
        <v>.</v>
      </c>
      <c r="B5154" s="244" t="str">
        <f t="shared" si="80"/>
        <v>Total Knee ReplacementProviderROYAL CORNWALL HOSPITALS NHS TRUST (REF)EQ-5D Index</v>
      </c>
      <c r="C5154" t="s">
        <v>975</v>
      </c>
      <c r="D5154" t="s">
        <v>965</v>
      </c>
      <c r="E5154" t="s">
        <v>480</v>
      </c>
      <c r="F5154" t="s">
        <v>481</v>
      </c>
      <c r="G5154" t="s">
        <v>963</v>
      </c>
      <c r="H5154">
        <v>39</v>
      </c>
      <c r="I5154">
        <v>0.48030800000000001</v>
      </c>
      <c r="J5154">
        <v>0.75315399999999999</v>
      </c>
      <c r="K5154">
        <v>0.27284599999999998</v>
      </c>
      <c r="L5154">
        <v>28</v>
      </c>
      <c r="M5154">
        <v>6</v>
      </c>
      <c r="N5154">
        <v>5</v>
      </c>
      <c r="O5154">
        <v>0.76106700000000005</v>
      </c>
      <c r="P5154">
        <v>0.33676899999999999</v>
      </c>
      <c r="Q5154">
        <v>0.248364</v>
      </c>
    </row>
    <row r="5155" spans="1:17" x14ac:dyDescent="0.25">
      <c r="A5155" t="str">
        <f>IF(C5155&amp;G5155&amp;D5155&lt;&gt;'Funnel setup'!$K$3&amp;'Funnel setup'!$K$4&amp;'Funnel setup'!$K$6,".",IF(A5154=".",1,A5154+1))</f>
        <v>.</v>
      </c>
      <c r="B5155" s="244" t="str">
        <f t="shared" si="80"/>
        <v>Total Knee ReplacementProviderROYAL DEVON UNIVERSITY HEALTHCARE NHS FOUNDATION TRUST (RH8)EQ-5D Index</v>
      </c>
      <c r="C5155" t="s">
        <v>975</v>
      </c>
      <c r="D5155" t="s">
        <v>965</v>
      </c>
      <c r="E5155" t="s">
        <v>482</v>
      </c>
      <c r="F5155" t="s">
        <v>483</v>
      </c>
      <c r="G5155" t="s">
        <v>963</v>
      </c>
      <c r="H5155">
        <v>30</v>
      </c>
      <c r="I5155">
        <v>0.33860000000000001</v>
      </c>
      <c r="J5155">
        <v>0.66463300000000003</v>
      </c>
      <c r="K5155">
        <v>0.32603300000000002</v>
      </c>
      <c r="L5155">
        <v>28</v>
      </c>
      <c r="M5155">
        <v>0</v>
      </c>
      <c r="N5155">
        <v>2</v>
      </c>
      <c r="O5155">
        <v>0.71565800000000002</v>
      </c>
      <c r="P5155">
        <v>0.29136099999999998</v>
      </c>
      <c r="Q5155">
        <v>0.24762999999999999</v>
      </c>
    </row>
    <row r="5156" spans="1:17" x14ac:dyDescent="0.25">
      <c r="A5156" t="str">
        <f>IF(C5156&amp;G5156&amp;D5156&lt;&gt;'Funnel setup'!$K$3&amp;'Funnel setup'!$K$4&amp;'Funnel setup'!$K$6,".",IF(A5155=".",1,A5155+1))</f>
        <v>.</v>
      </c>
      <c r="B5156" s="244" t="str">
        <f t="shared" si="80"/>
        <v>Total Knee ReplacementProviderROYAL NATIONAL ORTHOPAEDIC HOSPITAL NHS TRUST (RAN)EQ-5D Index</v>
      </c>
      <c r="C5156" t="s">
        <v>975</v>
      </c>
      <c r="D5156" t="s">
        <v>965</v>
      </c>
      <c r="E5156" t="s">
        <v>486</v>
      </c>
      <c r="F5156" t="s">
        <v>487</v>
      </c>
      <c r="G5156" t="s">
        <v>963</v>
      </c>
      <c r="H5156">
        <v>105</v>
      </c>
      <c r="I5156">
        <v>0.44839000000000001</v>
      </c>
      <c r="J5156">
        <v>0.63941899999999996</v>
      </c>
      <c r="K5156">
        <v>0.191029</v>
      </c>
      <c r="L5156">
        <v>69</v>
      </c>
      <c r="M5156">
        <v>12</v>
      </c>
      <c r="N5156">
        <v>24</v>
      </c>
      <c r="O5156">
        <v>0.71019600000000005</v>
      </c>
      <c r="P5156">
        <v>0.28589900000000001</v>
      </c>
      <c r="Q5156">
        <v>0.26891599999999999</v>
      </c>
    </row>
    <row r="5157" spans="1:17" x14ac:dyDescent="0.25">
      <c r="A5157" t="str">
        <f>IF(C5157&amp;G5157&amp;D5157&lt;&gt;'Funnel setup'!$K$3&amp;'Funnel setup'!$K$4&amp;'Funnel setup'!$K$6,".",IF(A5156=".",1,A5156+1))</f>
        <v>.</v>
      </c>
      <c r="B5157" s="244" t="str">
        <f t="shared" si="80"/>
        <v>Total Knee ReplacementProviderROYAL SURREY COUNTY HOSPITAL NHS FOUNDATION TRUST (RA2)EQ-5D Index</v>
      </c>
      <c r="C5157" t="s">
        <v>975</v>
      </c>
      <c r="D5157" t="s">
        <v>965</v>
      </c>
      <c r="E5157" t="s">
        <v>488</v>
      </c>
      <c r="F5157" t="s">
        <v>489</v>
      </c>
      <c r="G5157" t="s">
        <v>963</v>
      </c>
      <c r="H5157">
        <v>46</v>
      </c>
      <c r="I5157">
        <v>0.397478</v>
      </c>
      <c r="J5157">
        <v>0.77017400000000003</v>
      </c>
      <c r="K5157">
        <v>0.37269600000000003</v>
      </c>
      <c r="L5157">
        <v>39</v>
      </c>
      <c r="M5157">
        <v>3</v>
      </c>
      <c r="N5157">
        <v>4</v>
      </c>
      <c r="O5157">
        <v>0.76411399999999996</v>
      </c>
      <c r="P5157">
        <v>0.33981600000000001</v>
      </c>
      <c r="Q5157">
        <v>0.18193300000000001</v>
      </c>
    </row>
    <row r="5158" spans="1:17" x14ac:dyDescent="0.25">
      <c r="A5158" t="str">
        <f>IF(C5158&amp;G5158&amp;D5158&lt;&gt;'Funnel setup'!$K$3&amp;'Funnel setup'!$K$4&amp;'Funnel setup'!$K$6,".",IF(A5157=".",1,A5157+1))</f>
        <v>.</v>
      </c>
      <c r="B5158" s="244" t="str">
        <f t="shared" si="80"/>
        <v>Total Knee ReplacementProviderROYAL UNITED HOSPITALS BATH NHS FOUNDATION TRUST (RD1)EQ-5D Index</v>
      </c>
      <c r="C5158" t="s">
        <v>975</v>
      </c>
      <c r="D5158" t="s">
        <v>965</v>
      </c>
      <c r="E5158" t="s">
        <v>490</v>
      </c>
      <c r="F5158" t="s">
        <v>491</v>
      </c>
      <c r="G5158" t="s">
        <v>963</v>
      </c>
      <c r="H5158">
        <v>14</v>
      </c>
      <c r="I5158">
        <v>0.308143</v>
      </c>
      <c r="J5158">
        <v>0.65007099999999995</v>
      </c>
      <c r="K5158">
        <v>0.34192899999999998</v>
      </c>
      <c r="L5158">
        <v>12</v>
      </c>
      <c r="M5158">
        <v>0</v>
      </c>
      <c r="N5158">
        <v>2</v>
      </c>
      <c r="O5158" t="s">
        <v>127</v>
      </c>
      <c r="P5158" t="s">
        <v>127</v>
      </c>
      <c r="Q5158" t="s">
        <v>127</v>
      </c>
    </row>
    <row r="5159" spans="1:17" x14ac:dyDescent="0.25">
      <c r="A5159" t="str">
        <f>IF(C5159&amp;G5159&amp;D5159&lt;&gt;'Funnel setup'!$K$3&amp;'Funnel setup'!$K$4&amp;'Funnel setup'!$K$6,".",IF(A5158=".",1,A5158+1))</f>
        <v>.</v>
      </c>
      <c r="B5159" s="244" t="str">
        <f t="shared" si="80"/>
        <v>Total Knee ReplacementProviderRUNNYMEDE HOSPITAL (NT431)EQ-5D Index</v>
      </c>
      <c r="C5159" t="s">
        <v>975</v>
      </c>
      <c r="D5159" t="s">
        <v>965</v>
      </c>
      <c r="E5159" t="s">
        <v>492</v>
      </c>
      <c r="F5159" t="s">
        <v>493</v>
      </c>
      <c r="G5159" t="s">
        <v>963</v>
      </c>
      <c r="H5159">
        <v>6</v>
      </c>
      <c r="I5159">
        <v>0.64449999999999996</v>
      </c>
      <c r="J5159">
        <v>0.845333</v>
      </c>
      <c r="K5159">
        <v>0.20083300000000001</v>
      </c>
      <c r="L5159">
        <v>5</v>
      </c>
      <c r="M5159">
        <v>1</v>
      </c>
      <c r="N5159">
        <v>0</v>
      </c>
      <c r="O5159" t="s">
        <v>127</v>
      </c>
      <c r="P5159" t="s">
        <v>127</v>
      </c>
      <c r="Q5159" t="s">
        <v>127</v>
      </c>
    </row>
    <row r="5160" spans="1:17" x14ac:dyDescent="0.25">
      <c r="A5160" t="str">
        <f>IF(C5160&amp;G5160&amp;D5160&lt;&gt;'Funnel setup'!$K$3&amp;'Funnel setup'!$K$4&amp;'Funnel setup'!$K$6,".",IF(A5159=".",1,A5159+1))</f>
        <v>.</v>
      </c>
      <c r="B5160" s="244" t="str">
        <f t="shared" si="80"/>
        <v>Total Knee ReplacementProviderSALISBURY NHS FOUNDATION TRUST (RNZ)EQ-5D Index</v>
      </c>
      <c r="C5160" t="s">
        <v>975</v>
      </c>
      <c r="D5160" t="s">
        <v>965</v>
      </c>
      <c r="E5160" t="s">
        <v>494</v>
      </c>
      <c r="F5160" t="s">
        <v>495</v>
      </c>
      <c r="G5160" t="s">
        <v>963</v>
      </c>
      <c r="H5160">
        <v>1</v>
      </c>
      <c r="I5160">
        <v>0.26</v>
      </c>
      <c r="J5160">
        <v>1</v>
      </c>
      <c r="K5160">
        <v>0.74</v>
      </c>
      <c r="L5160">
        <v>1</v>
      </c>
      <c r="M5160">
        <v>0</v>
      </c>
      <c r="N5160">
        <v>0</v>
      </c>
      <c r="O5160" t="s">
        <v>127</v>
      </c>
      <c r="P5160" t="s">
        <v>127</v>
      </c>
      <c r="Q5160" t="s">
        <v>127</v>
      </c>
    </row>
    <row r="5161" spans="1:17" x14ac:dyDescent="0.25">
      <c r="A5161" t="str">
        <f>IF(C5161&amp;G5161&amp;D5161&lt;&gt;'Funnel setup'!$K$3&amp;'Funnel setup'!$K$4&amp;'Funnel setup'!$K$6,".",IF(A5160=".",1,A5160+1))</f>
        <v>.</v>
      </c>
      <c r="B5161" s="244" t="str">
        <f t="shared" si="80"/>
        <v>Total Knee ReplacementProviderSANDWELL AND WEST BIRMINGHAM HOSPITALS NHS TRUST (RXK)EQ-5D Index</v>
      </c>
      <c r="C5161" t="s">
        <v>975</v>
      </c>
      <c r="D5161" t="s">
        <v>965</v>
      </c>
      <c r="E5161" t="s">
        <v>496</v>
      </c>
      <c r="F5161" t="s">
        <v>497</v>
      </c>
      <c r="G5161" t="s">
        <v>963</v>
      </c>
      <c r="H5161">
        <v>71</v>
      </c>
      <c r="I5161">
        <v>0.349887</v>
      </c>
      <c r="J5161">
        <v>0.65230999999999995</v>
      </c>
      <c r="K5161">
        <v>0.302423</v>
      </c>
      <c r="L5161">
        <v>55</v>
      </c>
      <c r="M5161">
        <v>5</v>
      </c>
      <c r="N5161">
        <v>11</v>
      </c>
      <c r="O5161">
        <v>0.71353800000000001</v>
      </c>
      <c r="P5161">
        <v>0.28924</v>
      </c>
      <c r="Q5161">
        <v>0.268488</v>
      </c>
    </row>
    <row r="5162" spans="1:17" x14ac:dyDescent="0.25">
      <c r="A5162" t="str">
        <f>IF(C5162&amp;G5162&amp;D5162&lt;&gt;'Funnel setup'!$K$3&amp;'Funnel setup'!$K$4&amp;'Funnel setup'!$K$6,".",IF(A5161=".",1,A5161+1))</f>
        <v>.</v>
      </c>
      <c r="B5162" s="244" t="str">
        <f t="shared" si="80"/>
        <v>Total Knee ReplacementProviderSARUM ROAD HOSPITAL (NT433)EQ-5D Index</v>
      </c>
      <c r="C5162" t="s">
        <v>975</v>
      </c>
      <c r="D5162" t="s">
        <v>965</v>
      </c>
      <c r="E5162" t="s">
        <v>498</v>
      </c>
      <c r="F5162" t="s">
        <v>499</v>
      </c>
      <c r="G5162" t="s">
        <v>963</v>
      </c>
      <c r="H5162">
        <v>27</v>
      </c>
      <c r="I5162">
        <v>0.52963000000000005</v>
      </c>
      <c r="J5162">
        <v>0.87366699999999997</v>
      </c>
      <c r="K5162">
        <v>0.34403699999999998</v>
      </c>
      <c r="L5162">
        <v>26</v>
      </c>
      <c r="M5162">
        <v>1</v>
      </c>
      <c r="N5162">
        <v>0</v>
      </c>
      <c r="O5162" t="s">
        <v>127</v>
      </c>
      <c r="P5162" t="s">
        <v>127</v>
      </c>
      <c r="Q5162" t="s">
        <v>127</v>
      </c>
    </row>
    <row r="5163" spans="1:17" x14ac:dyDescent="0.25">
      <c r="A5163" t="str">
        <f>IF(C5163&amp;G5163&amp;D5163&lt;&gt;'Funnel setup'!$K$3&amp;'Funnel setup'!$K$4&amp;'Funnel setup'!$K$6,".",IF(A5162=".",1,A5162+1))</f>
        <v>.</v>
      </c>
      <c r="B5163" s="244" t="str">
        <f t="shared" si="80"/>
        <v>Total Knee ReplacementProviderSAXON CLINIC (NT434)EQ-5D Index</v>
      </c>
      <c r="C5163" t="s">
        <v>975</v>
      </c>
      <c r="D5163" t="s">
        <v>965</v>
      </c>
      <c r="E5163" t="s">
        <v>500</v>
      </c>
      <c r="F5163" t="s">
        <v>501</v>
      </c>
      <c r="G5163" t="s">
        <v>963</v>
      </c>
      <c r="H5163">
        <v>12</v>
      </c>
      <c r="I5163">
        <v>0.32391700000000001</v>
      </c>
      <c r="J5163">
        <v>0.811917</v>
      </c>
      <c r="K5163">
        <v>0.48799999999999999</v>
      </c>
      <c r="L5163">
        <v>11</v>
      </c>
      <c r="M5163">
        <v>1</v>
      </c>
      <c r="N5163">
        <v>0</v>
      </c>
      <c r="O5163" t="s">
        <v>127</v>
      </c>
      <c r="P5163" t="s">
        <v>127</v>
      </c>
      <c r="Q5163" t="s">
        <v>127</v>
      </c>
    </row>
    <row r="5164" spans="1:17" x14ac:dyDescent="0.25">
      <c r="A5164" t="str">
        <f>IF(C5164&amp;G5164&amp;D5164&lt;&gt;'Funnel setup'!$K$3&amp;'Funnel setup'!$K$4&amp;'Funnel setup'!$K$6,".",IF(A5163=".",1,A5163+1))</f>
        <v>.</v>
      </c>
      <c r="B5164" s="244" t="str">
        <f t="shared" si="80"/>
        <v>Total Knee ReplacementProviderSHEFFIELD TEACHING HOSPITALS NHS FOUNDATION TRUST (RHQ)EQ-5D Index</v>
      </c>
      <c r="C5164" t="s">
        <v>975</v>
      </c>
      <c r="D5164" t="s">
        <v>965</v>
      </c>
      <c r="E5164" t="s">
        <v>506</v>
      </c>
      <c r="F5164" t="s">
        <v>507</v>
      </c>
      <c r="G5164" t="s">
        <v>963</v>
      </c>
      <c r="H5164">
        <v>33</v>
      </c>
      <c r="I5164">
        <v>0.46060600000000002</v>
      </c>
      <c r="J5164">
        <v>0.77763599999999999</v>
      </c>
      <c r="K5164">
        <v>0.31702999999999998</v>
      </c>
      <c r="L5164">
        <v>27</v>
      </c>
      <c r="M5164">
        <v>3</v>
      </c>
      <c r="N5164">
        <v>3</v>
      </c>
      <c r="O5164">
        <v>0.75816099999999997</v>
      </c>
      <c r="P5164">
        <v>0.33386399999999999</v>
      </c>
      <c r="Q5164">
        <v>0.19631299999999999</v>
      </c>
    </row>
    <row r="5165" spans="1:17" x14ac:dyDescent="0.25">
      <c r="A5165" t="str">
        <f>IF(C5165&amp;G5165&amp;D5165&lt;&gt;'Funnel setup'!$K$3&amp;'Funnel setup'!$K$4&amp;'Funnel setup'!$K$6,".",IF(A5164=".",1,A5164+1))</f>
        <v>.</v>
      </c>
      <c r="B5165" s="244" t="str">
        <f t="shared" si="80"/>
        <v>Total Knee ReplacementProviderSHERWOOD FOREST HOSPITALS NHS FOUNDATION TRUST (RK5)EQ-5D Index</v>
      </c>
      <c r="C5165" t="s">
        <v>975</v>
      </c>
      <c r="D5165" t="s">
        <v>965</v>
      </c>
      <c r="E5165" t="s">
        <v>508</v>
      </c>
      <c r="F5165" t="s">
        <v>509</v>
      </c>
      <c r="G5165" t="s">
        <v>963</v>
      </c>
      <c r="H5165">
        <v>63</v>
      </c>
      <c r="I5165">
        <v>0.396397</v>
      </c>
      <c r="J5165">
        <v>0.73020600000000002</v>
      </c>
      <c r="K5165">
        <v>0.33381</v>
      </c>
      <c r="L5165">
        <v>52</v>
      </c>
      <c r="M5165">
        <v>4</v>
      </c>
      <c r="N5165">
        <v>7</v>
      </c>
      <c r="O5165">
        <v>0.74033199999999999</v>
      </c>
      <c r="P5165">
        <v>0.31603500000000001</v>
      </c>
      <c r="Q5165">
        <v>0.23057</v>
      </c>
    </row>
    <row r="5166" spans="1:17" x14ac:dyDescent="0.25">
      <c r="A5166" t="str">
        <f>IF(C5166&amp;G5166&amp;D5166&lt;&gt;'Funnel setup'!$K$3&amp;'Funnel setup'!$K$4&amp;'Funnel setup'!$K$6,".",IF(A5165=".",1,A5165+1))</f>
        <v>.</v>
      </c>
      <c r="B5166" s="244" t="str">
        <f t="shared" si="80"/>
        <v>Total Knee ReplacementProviderSHIRLEY OAKS HOSPITAL (NT436)EQ-5D Index</v>
      </c>
      <c r="C5166" t="s">
        <v>975</v>
      </c>
      <c r="D5166" t="s">
        <v>965</v>
      </c>
      <c r="E5166" t="s">
        <v>510</v>
      </c>
      <c r="F5166" t="s">
        <v>511</v>
      </c>
      <c r="G5166" t="s">
        <v>963</v>
      </c>
      <c r="H5166">
        <v>3</v>
      </c>
      <c r="I5166">
        <v>0.63266699999999998</v>
      </c>
      <c r="J5166">
        <v>0.77800000000000002</v>
      </c>
      <c r="K5166">
        <v>0.14533299999999999</v>
      </c>
      <c r="L5166">
        <v>3</v>
      </c>
      <c r="M5166">
        <v>0</v>
      </c>
      <c r="N5166">
        <v>0</v>
      </c>
      <c r="O5166" t="s">
        <v>127</v>
      </c>
      <c r="P5166" t="s">
        <v>127</v>
      </c>
      <c r="Q5166" t="s">
        <v>127</v>
      </c>
    </row>
    <row r="5167" spans="1:17" x14ac:dyDescent="0.25">
      <c r="A5167" t="str">
        <f>IF(C5167&amp;G5167&amp;D5167&lt;&gt;'Funnel setup'!$K$3&amp;'Funnel setup'!$K$4&amp;'Funnel setup'!$K$6,".",IF(A5166=".",1,A5166+1))</f>
        <v>.</v>
      </c>
      <c r="B5167" s="244" t="str">
        <f t="shared" si="80"/>
        <v>Total Knee ReplacementProviderSOUTH TEES HOSPITALS NHS FOUNDATION TRUST (RTR)EQ-5D Index</v>
      </c>
      <c r="C5167" t="s">
        <v>975</v>
      </c>
      <c r="D5167" t="s">
        <v>965</v>
      </c>
      <c r="E5167" t="s">
        <v>516</v>
      </c>
      <c r="F5167" t="s">
        <v>517</v>
      </c>
      <c r="G5167" t="s">
        <v>963</v>
      </c>
      <c r="H5167">
        <v>117</v>
      </c>
      <c r="I5167">
        <v>0.29647899999999999</v>
      </c>
      <c r="J5167">
        <v>0.72429100000000002</v>
      </c>
      <c r="K5167">
        <v>0.42781200000000003</v>
      </c>
      <c r="L5167">
        <v>101</v>
      </c>
      <c r="M5167">
        <v>6</v>
      </c>
      <c r="N5167">
        <v>10</v>
      </c>
      <c r="O5167">
        <v>0.78400499999999995</v>
      </c>
      <c r="P5167">
        <v>0.35970800000000003</v>
      </c>
      <c r="Q5167">
        <v>0.2792</v>
      </c>
    </row>
    <row r="5168" spans="1:17" x14ac:dyDescent="0.25">
      <c r="A5168" t="str">
        <f>IF(C5168&amp;G5168&amp;D5168&lt;&gt;'Funnel setup'!$K$3&amp;'Funnel setup'!$K$4&amp;'Funnel setup'!$K$6,".",IF(A5167=".",1,A5167+1))</f>
        <v>.</v>
      </c>
      <c r="B5168" s="244" t="str">
        <f t="shared" si="80"/>
        <v>Total Knee ReplacementProviderSOUTH TYNESIDE AND SUNDERLAND NHS FOUNDATION TRUST (R0B)EQ-5D Index</v>
      </c>
      <c r="C5168" t="s">
        <v>975</v>
      </c>
      <c r="D5168" t="s">
        <v>965</v>
      </c>
      <c r="E5168" t="s">
        <v>518</v>
      </c>
      <c r="F5168" t="s">
        <v>519</v>
      </c>
      <c r="G5168" t="s">
        <v>963</v>
      </c>
      <c r="H5168">
        <v>7</v>
      </c>
      <c r="I5168">
        <v>0.19728599999999999</v>
      </c>
      <c r="J5168">
        <v>0.53457100000000002</v>
      </c>
      <c r="K5168">
        <v>0.33728599999999997</v>
      </c>
      <c r="L5168">
        <v>6</v>
      </c>
      <c r="M5168">
        <v>0</v>
      </c>
      <c r="N5168">
        <v>1</v>
      </c>
      <c r="O5168" t="s">
        <v>127</v>
      </c>
      <c r="P5168" t="s">
        <v>127</v>
      </c>
      <c r="Q5168" t="s">
        <v>127</v>
      </c>
    </row>
    <row r="5169" spans="1:17" x14ac:dyDescent="0.25">
      <c r="A5169" t="str">
        <f>IF(C5169&amp;G5169&amp;D5169&lt;&gt;'Funnel setup'!$K$3&amp;'Funnel setup'!$K$4&amp;'Funnel setup'!$K$6,".",IF(A5168=".",1,A5168+1))</f>
        <v>.</v>
      </c>
      <c r="B5169" s="244" t="str">
        <f t="shared" si="80"/>
        <v>Total Knee ReplacementProviderSOUTH WARWICKSHIRE UNIVERSITY NHS FOUNDATION TRUST (RJC)EQ-5D Index</v>
      </c>
      <c r="C5169" t="s">
        <v>975</v>
      </c>
      <c r="D5169" t="s">
        <v>965</v>
      </c>
      <c r="E5169" t="s">
        <v>520</v>
      </c>
      <c r="F5169" t="s">
        <v>521</v>
      </c>
      <c r="G5169" t="s">
        <v>963</v>
      </c>
      <c r="H5169">
        <v>151</v>
      </c>
      <c r="I5169">
        <v>0.47758299999999998</v>
      </c>
      <c r="J5169">
        <v>0.77982099999999999</v>
      </c>
      <c r="K5169">
        <v>0.30223800000000001</v>
      </c>
      <c r="L5169">
        <v>127</v>
      </c>
      <c r="M5169">
        <v>11</v>
      </c>
      <c r="N5169">
        <v>13</v>
      </c>
      <c r="O5169">
        <v>0.75088299999999997</v>
      </c>
      <c r="P5169">
        <v>0.32658500000000001</v>
      </c>
      <c r="Q5169">
        <v>0.246225</v>
      </c>
    </row>
    <row r="5170" spans="1:17" x14ac:dyDescent="0.25">
      <c r="A5170" t="str">
        <f>IF(C5170&amp;G5170&amp;D5170&lt;&gt;'Funnel setup'!$K$3&amp;'Funnel setup'!$K$4&amp;'Funnel setup'!$K$6,".",IF(A5169=".",1,A5169+1))</f>
        <v>.</v>
      </c>
      <c r="B5170" s="244" t="str">
        <f t="shared" si="80"/>
        <v>Total Knee ReplacementProviderSOUTHPORT AND ORMSKIRK HOSPITAL NHS TRUST (RVY)EQ-5D Index</v>
      </c>
      <c r="C5170" t="s">
        <v>975</v>
      </c>
      <c r="D5170" t="s">
        <v>965</v>
      </c>
      <c r="E5170" t="s">
        <v>522</v>
      </c>
      <c r="F5170" t="s">
        <v>523</v>
      </c>
      <c r="G5170" t="s">
        <v>963</v>
      </c>
      <c r="H5170">
        <v>10</v>
      </c>
      <c r="I5170">
        <v>0.54620000000000002</v>
      </c>
      <c r="J5170">
        <v>0.87519999999999998</v>
      </c>
      <c r="K5170">
        <v>0.32900000000000001</v>
      </c>
      <c r="L5170">
        <v>10</v>
      </c>
      <c r="M5170">
        <v>0</v>
      </c>
      <c r="N5170">
        <v>0</v>
      </c>
      <c r="O5170" t="s">
        <v>127</v>
      </c>
      <c r="P5170" t="s">
        <v>127</v>
      </c>
      <c r="Q5170" t="s">
        <v>127</v>
      </c>
    </row>
    <row r="5171" spans="1:17" x14ac:dyDescent="0.25">
      <c r="A5171" t="str">
        <f>IF(C5171&amp;G5171&amp;D5171&lt;&gt;'Funnel setup'!$K$3&amp;'Funnel setup'!$K$4&amp;'Funnel setup'!$K$6,".",IF(A5170=".",1,A5170+1))</f>
        <v>.</v>
      </c>
      <c r="B5171" s="244" t="str">
        <f t="shared" si="80"/>
        <v>Total Knee ReplacementProviderSPENCER PRIVATE HOSPITALS - MARGATE (NN801)EQ-5D Index</v>
      </c>
      <c r="C5171" t="s">
        <v>975</v>
      </c>
      <c r="D5171" t="s">
        <v>965</v>
      </c>
      <c r="E5171" t="s">
        <v>526</v>
      </c>
      <c r="F5171" t="s">
        <v>527</v>
      </c>
      <c r="G5171" t="s">
        <v>963</v>
      </c>
      <c r="H5171">
        <v>18</v>
      </c>
      <c r="I5171">
        <v>0.373444</v>
      </c>
      <c r="J5171">
        <v>0.77361100000000005</v>
      </c>
      <c r="K5171">
        <v>0.40016699999999999</v>
      </c>
      <c r="L5171">
        <v>15</v>
      </c>
      <c r="M5171">
        <v>3</v>
      </c>
      <c r="N5171">
        <v>0</v>
      </c>
      <c r="O5171" t="s">
        <v>127</v>
      </c>
      <c r="P5171" t="s">
        <v>127</v>
      </c>
      <c r="Q5171" t="s">
        <v>127</v>
      </c>
    </row>
    <row r="5172" spans="1:17" x14ac:dyDescent="0.25">
      <c r="A5172" t="str">
        <f>IF(C5172&amp;G5172&amp;D5172&lt;&gt;'Funnel setup'!$K$3&amp;'Funnel setup'!$K$4&amp;'Funnel setup'!$K$6,".",IF(A5171=".",1,A5171+1))</f>
        <v>.</v>
      </c>
      <c r="B5172" s="244" t="str">
        <f t="shared" si="80"/>
        <v>Total Knee ReplacementProviderSPIRE ALEXANDRA HOSPITAL (NT312)EQ-5D Index</v>
      </c>
      <c r="C5172" t="s">
        <v>975</v>
      </c>
      <c r="D5172" t="s">
        <v>965</v>
      </c>
      <c r="E5172" t="s">
        <v>528</v>
      </c>
      <c r="F5172" t="s">
        <v>529</v>
      </c>
      <c r="G5172" t="s">
        <v>963</v>
      </c>
      <c r="H5172">
        <v>26</v>
      </c>
      <c r="I5172">
        <v>0.63280800000000004</v>
      </c>
      <c r="J5172">
        <v>0.79142299999999999</v>
      </c>
      <c r="K5172">
        <v>0.15861500000000001</v>
      </c>
      <c r="L5172">
        <v>17</v>
      </c>
      <c r="M5172">
        <v>4</v>
      </c>
      <c r="N5172">
        <v>5</v>
      </c>
      <c r="O5172" t="s">
        <v>127</v>
      </c>
      <c r="P5172" t="s">
        <v>127</v>
      </c>
      <c r="Q5172" t="s">
        <v>127</v>
      </c>
    </row>
    <row r="5173" spans="1:17" x14ac:dyDescent="0.25">
      <c r="A5173" t="str">
        <f>IF(C5173&amp;G5173&amp;D5173&lt;&gt;'Funnel setup'!$K$3&amp;'Funnel setup'!$K$4&amp;'Funnel setup'!$K$6,".",IF(A5172=".",1,A5172+1))</f>
        <v>.</v>
      </c>
      <c r="B5173" s="244" t="str">
        <f t="shared" si="80"/>
        <v>Total Knee ReplacementProviderSPIRE BRISTOL HOSPITAL (NT302)EQ-5D Index</v>
      </c>
      <c r="C5173" t="s">
        <v>975</v>
      </c>
      <c r="D5173" t="s">
        <v>965</v>
      </c>
      <c r="E5173" t="s">
        <v>530</v>
      </c>
      <c r="F5173" t="s">
        <v>531</v>
      </c>
      <c r="G5173" t="s">
        <v>963</v>
      </c>
      <c r="H5173">
        <v>59</v>
      </c>
      <c r="I5173">
        <v>0.45649200000000001</v>
      </c>
      <c r="J5173">
        <v>0.77874600000000005</v>
      </c>
      <c r="K5173">
        <v>0.32225399999999998</v>
      </c>
      <c r="L5173">
        <v>48</v>
      </c>
      <c r="M5173">
        <v>6</v>
      </c>
      <c r="N5173">
        <v>5</v>
      </c>
      <c r="O5173">
        <v>0.75295900000000004</v>
      </c>
      <c r="P5173">
        <v>0.32866200000000001</v>
      </c>
      <c r="Q5173">
        <v>0.18942300000000001</v>
      </c>
    </row>
    <row r="5174" spans="1:17" x14ac:dyDescent="0.25">
      <c r="A5174" t="str">
        <f>IF(C5174&amp;G5174&amp;D5174&lt;&gt;'Funnel setup'!$K$3&amp;'Funnel setup'!$K$4&amp;'Funnel setup'!$K$6,".",IF(A5173=".",1,A5173+1))</f>
        <v>.</v>
      </c>
      <c r="B5174" s="244" t="str">
        <f t="shared" si="80"/>
        <v>Total Knee ReplacementProviderSPIRE BUSHEY HOSPITAL (NT315)EQ-5D Index</v>
      </c>
      <c r="C5174" t="s">
        <v>975</v>
      </c>
      <c r="D5174" t="s">
        <v>965</v>
      </c>
      <c r="E5174" t="s">
        <v>532</v>
      </c>
      <c r="F5174" t="s">
        <v>533</v>
      </c>
      <c r="G5174" t="s">
        <v>963</v>
      </c>
      <c r="H5174">
        <v>5</v>
      </c>
      <c r="I5174">
        <v>0.56999999999999995</v>
      </c>
      <c r="J5174">
        <v>0.85019999999999996</v>
      </c>
      <c r="K5174">
        <v>0.2802</v>
      </c>
      <c r="L5174">
        <v>4</v>
      </c>
      <c r="M5174">
        <v>1</v>
      </c>
      <c r="N5174">
        <v>0</v>
      </c>
      <c r="O5174" t="s">
        <v>127</v>
      </c>
      <c r="P5174" t="s">
        <v>127</v>
      </c>
      <c r="Q5174" t="s">
        <v>127</v>
      </c>
    </row>
    <row r="5175" spans="1:17" x14ac:dyDescent="0.25">
      <c r="A5175" t="str">
        <f>IF(C5175&amp;G5175&amp;D5175&lt;&gt;'Funnel setup'!$K$3&amp;'Funnel setup'!$K$4&amp;'Funnel setup'!$K$6,".",IF(A5174=".",1,A5174+1))</f>
        <v>.</v>
      </c>
      <c r="B5175" s="244" t="str">
        <f t="shared" si="80"/>
        <v>Total Knee ReplacementProviderSPIRE CAMBRIDGE LEA HOSPITAL (NT317)EQ-5D Index</v>
      </c>
      <c r="C5175" t="s">
        <v>975</v>
      </c>
      <c r="D5175" t="s">
        <v>965</v>
      </c>
      <c r="E5175" t="s">
        <v>534</v>
      </c>
      <c r="F5175" t="s">
        <v>535</v>
      </c>
      <c r="G5175" t="s">
        <v>963</v>
      </c>
      <c r="H5175">
        <v>29</v>
      </c>
      <c r="I5175">
        <v>0.49527599999999999</v>
      </c>
      <c r="J5175">
        <v>0.732379</v>
      </c>
      <c r="K5175">
        <v>0.23710300000000001</v>
      </c>
      <c r="L5175">
        <v>25</v>
      </c>
      <c r="M5175">
        <v>1</v>
      </c>
      <c r="N5175">
        <v>3</v>
      </c>
      <c r="O5175" t="s">
        <v>127</v>
      </c>
      <c r="P5175" t="s">
        <v>127</v>
      </c>
      <c r="Q5175" t="s">
        <v>127</v>
      </c>
    </row>
    <row r="5176" spans="1:17" x14ac:dyDescent="0.25">
      <c r="A5176" t="str">
        <f>IF(C5176&amp;G5176&amp;D5176&lt;&gt;'Funnel setup'!$K$3&amp;'Funnel setup'!$K$4&amp;'Funnel setup'!$K$6,".",IF(A5175=".",1,A5175+1))</f>
        <v>.</v>
      </c>
      <c r="B5176" s="244" t="str">
        <f t="shared" si="80"/>
        <v>Total Knee ReplacementProviderSPIRE CHESHIRE HOSPITAL (NT324)EQ-5D Index</v>
      </c>
      <c r="C5176" t="s">
        <v>975</v>
      </c>
      <c r="D5176" t="s">
        <v>965</v>
      </c>
      <c r="E5176" t="s">
        <v>536</v>
      </c>
      <c r="F5176" t="s">
        <v>537</v>
      </c>
      <c r="G5176" t="s">
        <v>963</v>
      </c>
      <c r="H5176">
        <v>31</v>
      </c>
      <c r="I5176">
        <v>0.46606500000000001</v>
      </c>
      <c r="J5176">
        <v>0.81554800000000005</v>
      </c>
      <c r="K5176">
        <v>0.34948400000000002</v>
      </c>
      <c r="L5176">
        <v>26</v>
      </c>
      <c r="M5176">
        <v>2</v>
      </c>
      <c r="N5176">
        <v>3</v>
      </c>
      <c r="O5176">
        <v>0.78148499999999999</v>
      </c>
      <c r="P5176">
        <v>0.35718800000000001</v>
      </c>
      <c r="Q5176">
        <v>0.14166699999999999</v>
      </c>
    </row>
    <row r="5177" spans="1:17" x14ac:dyDescent="0.25">
      <c r="A5177" t="str">
        <f>IF(C5177&amp;G5177&amp;D5177&lt;&gt;'Funnel setup'!$K$3&amp;'Funnel setup'!$K$4&amp;'Funnel setup'!$K$6,".",IF(A5176=".",1,A5176+1))</f>
        <v>.</v>
      </c>
      <c r="B5177" s="244" t="str">
        <f t="shared" si="80"/>
        <v>Total Knee ReplacementProviderSPIRE CLARE PARK HOSPITAL (NT345)EQ-5D Index</v>
      </c>
      <c r="C5177" t="s">
        <v>975</v>
      </c>
      <c r="D5177" t="s">
        <v>965</v>
      </c>
      <c r="E5177" t="s">
        <v>538</v>
      </c>
      <c r="F5177" t="s">
        <v>539</v>
      </c>
      <c r="G5177" t="s">
        <v>963</v>
      </c>
      <c r="H5177">
        <v>15</v>
      </c>
      <c r="I5177">
        <v>0.440133</v>
      </c>
      <c r="J5177">
        <v>0.75926700000000003</v>
      </c>
      <c r="K5177">
        <v>0.319133</v>
      </c>
      <c r="L5177">
        <v>11</v>
      </c>
      <c r="M5177">
        <v>2</v>
      </c>
      <c r="N5177">
        <v>2</v>
      </c>
      <c r="O5177" t="s">
        <v>127</v>
      </c>
      <c r="P5177" t="s">
        <v>127</v>
      </c>
      <c r="Q5177" t="s">
        <v>127</v>
      </c>
    </row>
    <row r="5178" spans="1:17" x14ac:dyDescent="0.25">
      <c r="A5178" t="str">
        <f>IF(C5178&amp;G5178&amp;D5178&lt;&gt;'Funnel setup'!$K$3&amp;'Funnel setup'!$K$4&amp;'Funnel setup'!$K$6,".",IF(A5177=".",1,A5177+1))</f>
        <v>.</v>
      </c>
      <c r="B5178" s="244" t="str">
        <f t="shared" si="80"/>
        <v>Total Knee ReplacementProviderSPIRE DUNEDIN HOSPITAL (NT344)EQ-5D Index</v>
      </c>
      <c r="C5178" t="s">
        <v>975</v>
      </c>
      <c r="D5178" t="s">
        <v>965</v>
      </c>
      <c r="E5178" t="s">
        <v>540</v>
      </c>
      <c r="F5178" t="s">
        <v>541</v>
      </c>
      <c r="G5178" t="s">
        <v>963</v>
      </c>
      <c r="H5178">
        <v>2</v>
      </c>
      <c r="I5178">
        <v>0.63900000000000001</v>
      </c>
      <c r="J5178">
        <v>0.79600000000000004</v>
      </c>
      <c r="K5178">
        <v>0.157</v>
      </c>
      <c r="L5178">
        <v>2</v>
      </c>
      <c r="M5178">
        <v>0</v>
      </c>
      <c r="N5178">
        <v>0</v>
      </c>
      <c r="O5178" t="s">
        <v>127</v>
      </c>
      <c r="P5178" t="s">
        <v>127</v>
      </c>
      <c r="Q5178" t="s">
        <v>127</v>
      </c>
    </row>
    <row r="5179" spans="1:17" x14ac:dyDescent="0.25">
      <c r="A5179" t="str">
        <f>IF(C5179&amp;G5179&amp;D5179&lt;&gt;'Funnel setup'!$K$3&amp;'Funnel setup'!$K$4&amp;'Funnel setup'!$K$6,".",IF(A5178=".",1,A5178+1))</f>
        <v>.</v>
      </c>
      <c r="B5179" s="244" t="str">
        <f t="shared" si="80"/>
        <v>Total Knee ReplacementProviderSPIRE ELLAND HOSPITAL (NT348)EQ-5D Index</v>
      </c>
      <c r="C5179" t="s">
        <v>975</v>
      </c>
      <c r="D5179" t="s">
        <v>965</v>
      </c>
      <c r="E5179" t="s">
        <v>542</v>
      </c>
      <c r="F5179" t="s">
        <v>543</v>
      </c>
      <c r="G5179" t="s">
        <v>963</v>
      </c>
      <c r="H5179">
        <v>19</v>
      </c>
      <c r="I5179">
        <v>0.45389499999999999</v>
      </c>
      <c r="J5179">
        <v>0.795211</v>
      </c>
      <c r="K5179">
        <v>0.34131600000000001</v>
      </c>
      <c r="L5179">
        <v>16</v>
      </c>
      <c r="M5179">
        <v>2</v>
      </c>
      <c r="N5179">
        <v>1</v>
      </c>
      <c r="O5179" t="s">
        <v>127</v>
      </c>
      <c r="P5179" t="s">
        <v>127</v>
      </c>
      <c r="Q5179" t="s">
        <v>127</v>
      </c>
    </row>
    <row r="5180" spans="1:17" x14ac:dyDescent="0.25">
      <c r="A5180" t="str">
        <f>IF(C5180&amp;G5180&amp;D5180&lt;&gt;'Funnel setup'!$K$3&amp;'Funnel setup'!$K$4&amp;'Funnel setup'!$K$6,".",IF(A5179=".",1,A5179+1))</f>
        <v>.</v>
      </c>
      <c r="B5180" s="244" t="str">
        <f t="shared" si="80"/>
        <v>Total Knee ReplacementProviderSPIRE FYLDE COAST HOSPITAL (NT347)EQ-5D Index</v>
      </c>
      <c r="C5180" t="s">
        <v>975</v>
      </c>
      <c r="D5180" t="s">
        <v>965</v>
      </c>
      <c r="E5180" t="s">
        <v>544</v>
      </c>
      <c r="F5180" t="s">
        <v>545</v>
      </c>
      <c r="G5180" t="s">
        <v>963</v>
      </c>
      <c r="H5180">
        <v>27</v>
      </c>
      <c r="I5180">
        <v>0.52128600000000003</v>
      </c>
      <c r="J5180">
        <v>0.73685699999999998</v>
      </c>
      <c r="K5180">
        <v>0.21557100000000001</v>
      </c>
      <c r="L5180">
        <v>23</v>
      </c>
      <c r="M5180">
        <v>2</v>
      </c>
      <c r="N5180">
        <v>2</v>
      </c>
      <c r="O5180" t="s">
        <v>127</v>
      </c>
      <c r="P5180" t="s">
        <v>127</v>
      </c>
      <c r="Q5180" t="s">
        <v>127</v>
      </c>
    </row>
    <row r="5181" spans="1:17" x14ac:dyDescent="0.25">
      <c r="A5181" t="str">
        <f>IF(C5181&amp;G5181&amp;D5181&lt;&gt;'Funnel setup'!$K$3&amp;'Funnel setup'!$K$4&amp;'Funnel setup'!$K$6,".",IF(A5180=".",1,A5180+1))</f>
        <v>.</v>
      </c>
      <c r="B5181" s="244" t="str">
        <f t="shared" si="80"/>
        <v>Total Knee ReplacementProviderSPIRE GATWICK PARK HOSPITAL (NT308)EQ-5D Index</v>
      </c>
      <c r="C5181" t="s">
        <v>975</v>
      </c>
      <c r="D5181" t="s">
        <v>965</v>
      </c>
      <c r="E5181" t="s">
        <v>546</v>
      </c>
      <c r="F5181" t="s">
        <v>547</v>
      </c>
      <c r="G5181" t="s">
        <v>963</v>
      </c>
      <c r="H5181">
        <v>6</v>
      </c>
      <c r="I5181">
        <v>0.45533299999999999</v>
      </c>
      <c r="J5181">
        <v>0.65949999999999998</v>
      </c>
      <c r="K5181">
        <v>0.20416699999999999</v>
      </c>
      <c r="L5181">
        <v>5</v>
      </c>
      <c r="M5181">
        <v>1</v>
      </c>
      <c r="N5181">
        <v>0</v>
      </c>
      <c r="O5181" t="s">
        <v>127</v>
      </c>
      <c r="P5181" t="s">
        <v>127</v>
      </c>
      <c r="Q5181" t="s">
        <v>127</v>
      </c>
    </row>
    <row r="5182" spans="1:17" x14ac:dyDescent="0.25">
      <c r="A5182" t="str">
        <f>IF(C5182&amp;G5182&amp;D5182&lt;&gt;'Funnel setup'!$K$3&amp;'Funnel setup'!$K$4&amp;'Funnel setup'!$K$6,".",IF(A5181=".",1,A5181+1))</f>
        <v>.</v>
      </c>
      <c r="B5182" s="244" t="str">
        <f t="shared" si="80"/>
        <v>Total Knee ReplacementProviderSPIRE HARPENDEN HOSPITAL (NT316)EQ-5D Index</v>
      </c>
      <c r="C5182" t="s">
        <v>975</v>
      </c>
      <c r="D5182" t="s">
        <v>965</v>
      </c>
      <c r="E5182" t="s">
        <v>548</v>
      </c>
      <c r="F5182" t="s">
        <v>549</v>
      </c>
      <c r="G5182" t="s">
        <v>963</v>
      </c>
      <c r="H5182">
        <v>19</v>
      </c>
      <c r="I5182">
        <v>0.38526300000000002</v>
      </c>
      <c r="J5182">
        <v>0.77100000000000002</v>
      </c>
      <c r="K5182">
        <v>0.385737</v>
      </c>
      <c r="L5182">
        <v>14</v>
      </c>
      <c r="M5182">
        <v>4</v>
      </c>
      <c r="N5182">
        <v>1</v>
      </c>
      <c r="O5182" t="s">
        <v>127</v>
      </c>
      <c r="P5182" t="s">
        <v>127</v>
      </c>
      <c r="Q5182" t="s">
        <v>127</v>
      </c>
    </row>
    <row r="5183" spans="1:17" x14ac:dyDescent="0.25">
      <c r="A5183" t="str">
        <f>IF(C5183&amp;G5183&amp;D5183&lt;&gt;'Funnel setup'!$K$3&amp;'Funnel setup'!$K$4&amp;'Funnel setup'!$K$6,".",IF(A5182=".",1,A5182+1))</f>
        <v>.</v>
      </c>
      <c r="B5183" s="244" t="str">
        <f t="shared" si="80"/>
        <v>Total Knee ReplacementProviderSPIRE HARTSWOOD HOSPITAL (NT319)EQ-5D Index</v>
      </c>
      <c r="C5183" t="s">
        <v>975</v>
      </c>
      <c r="D5183" t="s">
        <v>965</v>
      </c>
      <c r="E5183" t="s">
        <v>550</v>
      </c>
      <c r="F5183" t="s">
        <v>551</v>
      </c>
      <c r="G5183" t="s">
        <v>963</v>
      </c>
      <c r="H5183">
        <v>12</v>
      </c>
      <c r="I5183">
        <v>0.61408300000000005</v>
      </c>
      <c r="J5183">
        <v>0.782833</v>
      </c>
      <c r="K5183">
        <v>0.16875000000000001</v>
      </c>
      <c r="L5183">
        <v>12</v>
      </c>
      <c r="M5183">
        <v>0</v>
      </c>
      <c r="N5183">
        <v>0</v>
      </c>
      <c r="O5183" t="s">
        <v>127</v>
      </c>
      <c r="P5183" t="s">
        <v>127</v>
      </c>
      <c r="Q5183" t="s">
        <v>127</v>
      </c>
    </row>
    <row r="5184" spans="1:17" x14ac:dyDescent="0.25">
      <c r="A5184" t="str">
        <f>IF(C5184&amp;G5184&amp;D5184&lt;&gt;'Funnel setup'!$K$3&amp;'Funnel setup'!$K$4&amp;'Funnel setup'!$K$6,".",IF(A5183=".",1,A5183+1))</f>
        <v>.</v>
      </c>
      <c r="B5184" s="244" t="str">
        <f t="shared" si="80"/>
        <v>Total Knee ReplacementProviderSPIRE HULL AND EAST RIDING HOSPITAL (NT351)EQ-5D Index</v>
      </c>
      <c r="C5184" t="s">
        <v>975</v>
      </c>
      <c r="D5184" t="s">
        <v>965</v>
      </c>
      <c r="E5184" t="s">
        <v>554</v>
      </c>
      <c r="F5184" t="s">
        <v>555</v>
      </c>
      <c r="G5184" t="s">
        <v>963</v>
      </c>
      <c r="H5184">
        <v>36</v>
      </c>
      <c r="I5184">
        <v>0.44230599999999998</v>
      </c>
      <c r="J5184">
        <v>0.73433300000000001</v>
      </c>
      <c r="K5184">
        <v>0.29202800000000001</v>
      </c>
      <c r="L5184">
        <v>28</v>
      </c>
      <c r="M5184">
        <v>6</v>
      </c>
      <c r="N5184">
        <v>2</v>
      </c>
      <c r="O5184">
        <v>0.71972499999999995</v>
      </c>
      <c r="P5184">
        <v>0.29542800000000002</v>
      </c>
      <c r="Q5184">
        <v>0.20269799999999999</v>
      </c>
    </row>
    <row r="5185" spans="1:17" x14ac:dyDescent="0.25">
      <c r="A5185" t="str">
        <f>IF(C5185&amp;G5185&amp;D5185&lt;&gt;'Funnel setup'!$K$3&amp;'Funnel setup'!$K$4&amp;'Funnel setup'!$K$6,".",IF(A5184=".",1,A5184+1))</f>
        <v>.</v>
      </c>
      <c r="B5185" s="244" t="str">
        <f t="shared" si="80"/>
        <v>Total Knee ReplacementProviderSPIRE LEEDS HOSPITAL (NT332)EQ-5D Index</v>
      </c>
      <c r="C5185" t="s">
        <v>975</v>
      </c>
      <c r="D5185" t="s">
        <v>965</v>
      </c>
      <c r="E5185" t="s">
        <v>556</v>
      </c>
      <c r="F5185" t="s">
        <v>557</v>
      </c>
      <c r="G5185" t="s">
        <v>963</v>
      </c>
      <c r="H5185">
        <v>14</v>
      </c>
      <c r="I5185">
        <v>0.51035699999999995</v>
      </c>
      <c r="J5185">
        <v>0.70292900000000003</v>
      </c>
      <c r="K5185">
        <v>0.19257099999999999</v>
      </c>
      <c r="L5185">
        <v>10</v>
      </c>
      <c r="M5185">
        <v>3</v>
      </c>
      <c r="N5185">
        <v>1</v>
      </c>
      <c r="O5185" t="s">
        <v>127</v>
      </c>
      <c r="P5185" t="s">
        <v>127</v>
      </c>
      <c r="Q5185" t="s">
        <v>127</v>
      </c>
    </row>
    <row r="5186" spans="1:17" x14ac:dyDescent="0.25">
      <c r="A5186" t="str">
        <f>IF(C5186&amp;G5186&amp;D5186&lt;&gt;'Funnel setup'!$K$3&amp;'Funnel setup'!$K$4&amp;'Funnel setup'!$K$6,".",IF(A5185=".",1,A5185+1))</f>
        <v>.</v>
      </c>
      <c r="B5186" s="244" t="str">
        <f t="shared" ref="B5186:B5249" si="81">C5186&amp;D5186&amp;F5186&amp;G5186</f>
        <v>Total Knee ReplacementProviderSPIRE LEICESTER HOSPITAL (NT322)EQ-5D Index</v>
      </c>
      <c r="C5186" t="s">
        <v>975</v>
      </c>
      <c r="D5186" t="s">
        <v>965</v>
      </c>
      <c r="E5186" t="s">
        <v>558</v>
      </c>
      <c r="F5186" t="s">
        <v>559</v>
      </c>
      <c r="G5186" t="s">
        <v>963</v>
      </c>
      <c r="H5186">
        <v>58</v>
      </c>
      <c r="I5186">
        <v>0.43506899999999998</v>
      </c>
      <c r="J5186">
        <v>0.75437900000000002</v>
      </c>
      <c r="K5186">
        <v>0.31930999999999998</v>
      </c>
      <c r="L5186">
        <v>48</v>
      </c>
      <c r="M5186">
        <v>6</v>
      </c>
      <c r="N5186">
        <v>4</v>
      </c>
      <c r="O5186">
        <v>0.73514599999999997</v>
      </c>
      <c r="P5186">
        <v>0.31084899999999999</v>
      </c>
      <c r="Q5186">
        <v>0.16575100000000001</v>
      </c>
    </row>
    <row r="5187" spans="1:17" x14ac:dyDescent="0.25">
      <c r="A5187" t="str">
        <f>IF(C5187&amp;G5187&amp;D5187&lt;&gt;'Funnel setup'!$K$3&amp;'Funnel setup'!$K$4&amp;'Funnel setup'!$K$6,".",IF(A5186=".",1,A5186+1))</f>
        <v>.</v>
      </c>
      <c r="B5187" s="244" t="str">
        <f t="shared" si="81"/>
        <v>Total Knee ReplacementProviderSPIRE LITTLE ASTON HOSPITAL (NT321)EQ-5D Index</v>
      </c>
      <c r="C5187" t="s">
        <v>975</v>
      </c>
      <c r="D5187" t="s">
        <v>965</v>
      </c>
      <c r="E5187" t="s">
        <v>560</v>
      </c>
      <c r="F5187" t="s">
        <v>561</v>
      </c>
      <c r="G5187" t="s">
        <v>963</v>
      </c>
      <c r="H5187">
        <v>21</v>
      </c>
      <c r="I5187">
        <v>0.47342899999999999</v>
      </c>
      <c r="J5187">
        <v>0.73933300000000002</v>
      </c>
      <c r="K5187">
        <v>0.265905</v>
      </c>
      <c r="L5187">
        <v>15</v>
      </c>
      <c r="M5187">
        <v>2</v>
      </c>
      <c r="N5187">
        <v>4</v>
      </c>
      <c r="O5187" t="s">
        <v>127</v>
      </c>
      <c r="P5187" t="s">
        <v>127</v>
      </c>
      <c r="Q5187" t="s">
        <v>127</v>
      </c>
    </row>
    <row r="5188" spans="1:17" x14ac:dyDescent="0.25">
      <c r="A5188" t="str">
        <f>IF(C5188&amp;G5188&amp;D5188&lt;&gt;'Funnel setup'!$K$3&amp;'Funnel setup'!$K$4&amp;'Funnel setup'!$K$6,".",IF(A5187=".",1,A5187+1))</f>
        <v>.</v>
      </c>
      <c r="B5188" s="244" t="str">
        <f t="shared" si="81"/>
        <v>Total Knee ReplacementProviderSPIRE LIVERPOOL HOSPITAL (NT337)EQ-5D Index</v>
      </c>
      <c r="C5188" t="s">
        <v>975</v>
      </c>
      <c r="D5188" t="s">
        <v>965</v>
      </c>
      <c r="E5188" t="s">
        <v>562</v>
      </c>
      <c r="F5188" t="s">
        <v>563</v>
      </c>
      <c r="G5188" t="s">
        <v>963</v>
      </c>
      <c r="H5188">
        <v>13</v>
      </c>
      <c r="I5188">
        <v>0.44238499999999997</v>
      </c>
      <c r="J5188">
        <v>0.61046199999999995</v>
      </c>
      <c r="K5188">
        <v>0.168077</v>
      </c>
      <c r="L5188">
        <v>9</v>
      </c>
      <c r="M5188">
        <v>3</v>
      </c>
      <c r="N5188">
        <v>1</v>
      </c>
      <c r="O5188" t="s">
        <v>127</v>
      </c>
      <c r="P5188" t="s">
        <v>127</v>
      </c>
      <c r="Q5188" t="s">
        <v>127</v>
      </c>
    </row>
    <row r="5189" spans="1:17" x14ac:dyDescent="0.25">
      <c r="A5189" t="str">
        <f>IF(C5189&amp;G5189&amp;D5189&lt;&gt;'Funnel setup'!$K$3&amp;'Funnel setup'!$K$4&amp;'Funnel setup'!$K$6,".",IF(A5188=".",1,A5188+1))</f>
        <v>.</v>
      </c>
      <c r="B5189" s="244" t="str">
        <f t="shared" si="81"/>
        <v>Total Knee ReplacementProviderSPIRE MANCHESTER HOSPITAL (NT327)EQ-5D Index</v>
      </c>
      <c r="C5189" t="s">
        <v>975</v>
      </c>
      <c r="D5189" t="s">
        <v>965</v>
      </c>
      <c r="E5189" t="s">
        <v>566</v>
      </c>
      <c r="F5189" t="s">
        <v>567</v>
      </c>
      <c r="G5189" t="s">
        <v>963</v>
      </c>
      <c r="H5189">
        <v>37</v>
      </c>
      <c r="I5189">
        <v>0.391486</v>
      </c>
      <c r="J5189">
        <v>0.69594599999999995</v>
      </c>
      <c r="K5189">
        <v>0.30445899999999998</v>
      </c>
      <c r="L5189">
        <v>26</v>
      </c>
      <c r="M5189">
        <v>8</v>
      </c>
      <c r="N5189">
        <v>3</v>
      </c>
      <c r="O5189">
        <v>0.70043599999999995</v>
      </c>
      <c r="P5189">
        <v>0.27613900000000002</v>
      </c>
      <c r="Q5189">
        <v>0.24332200000000001</v>
      </c>
    </row>
    <row r="5190" spans="1:17" x14ac:dyDescent="0.25">
      <c r="A5190" t="str">
        <f>IF(C5190&amp;G5190&amp;D5190&lt;&gt;'Funnel setup'!$K$3&amp;'Funnel setup'!$K$4&amp;'Funnel setup'!$K$6,".",IF(A5189=".",1,A5189+1))</f>
        <v>.</v>
      </c>
      <c r="B5190" s="244" t="str">
        <f t="shared" si="81"/>
        <v>Total Knee ReplacementProviderSPIRE METHLEY PARK HOSPITAL (NT350)EQ-5D Index</v>
      </c>
      <c r="C5190" t="s">
        <v>975</v>
      </c>
      <c r="D5190" t="s">
        <v>965</v>
      </c>
      <c r="E5190" t="s">
        <v>568</v>
      </c>
      <c r="F5190" t="s">
        <v>569</v>
      </c>
      <c r="G5190" t="s">
        <v>963</v>
      </c>
      <c r="H5190">
        <v>32</v>
      </c>
      <c r="I5190">
        <v>0.52293800000000001</v>
      </c>
      <c r="J5190">
        <v>0.79640599999999995</v>
      </c>
      <c r="K5190">
        <v>0.27346900000000002</v>
      </c>
      <c r="L5190">
        <v>29</v>
      </c>
      <c r="M5190">
        <v>3</v>
      </c>
      <c r="N5190">
        <v>0</v>
      </c>
      <c r="O5190">
        <v>0.74814000000000003</v>
      </c>
      <c r="P5190">
        <v>0.32384299999999999</v>
      </c>
      <c r="Q5190">
        <v>0.17239099999999999</v>
      </c>
    </row>
    <row r="5191" spans="1:17" x14ac:dyDescent="0.25">
      <c r="A5191" t="str">
        <f>IF(C5191&amp;G5191&amp;D5191&lt;&gt;'Funnel setup'!$K$3&amp;'Funnel setup'!$K$4&amp;'Funnel setup'!$K$6,".",IF(A5190=".",1,A5190+1))</f>
        <v>.</v>
      </c>
      <c r="B5191" s="244" t="str">
        <f t="shared" si="81"/>
        <v>Total Knee ReplacementProviderSPIRE MONTEFIORE HOSPITAL (NT364)EQ-5D Index</v>
      </c>
      <c r="C5191" t="s">
        <v>975</v>
      </c>
      <c r="D5191" t="s">
        <v>965</v>
      </c>
      <c r="E5191" t="s">
        <v>570</v>
      </c>
      <c r="F5191" t="s">
        <v>571</v>
      </c>
      <c r="G5191" t="s">
        <v>963</v>
      </c>
      <c r="H5191">
        <v>10</v>
      </c>
      <c r="I5191">
        <v>0.57869999999999999</v>
      </c>
      <c r="J5191">
        <v>0.89049999999999996</v>
      </c>
      <c r="K5191">
        <v>0.31180000000000002</v>
      </c>
      <c r="L5191">
        <v>9</v>
      </c>
      <c r="M5191">
        <v>1</v>
      </c>
      <c r="N5191">
        <v>0</v>
      </c>
      <c r="O5191" t="s">
        <v>127</v>
      </c>
      <c r="P5191" t="s">
        <v>127</v>
      </c>
      <c r="Q5191" t="s">
        <v>127</v>
      </c>
    </row>
    <row r="5192" spans="1:17" x14ac:dyDescent="0.25">
      <c r="A5192" t="str">
        <f>IF(C5192&amp;G5192&amp;D5192&lt;&gt;'Funnel setup'!$K$3&amp;'Funnel setup'!$K$4&amp;'Funnel setup'!$K$6,".",IF(A5191=".",1,A5191+1))</f>
        <v>.</v>
      </c>
      <c r="B5192" s="244" t="str">
        <f t="shared" si="81"/>
        <v>Total Knee ReplacementProviderSPIRE MURRAYFIELD HOSPITAL (NT325)EQ-5D Index</v>
      </c>
      <c r="C5192" t="s">
        <v>975</v>
      </c>
      <c r="D5192" t="s">
        <v>965</v>
      </c>
      <c r="E5192" t="s">
        <v>572</v>
      </c>
      <c r="F5192" t="s">
        <v>573</v>
      </c>
      <c r="G5192" t="s">
        <v>963</v>
      </c>
      <c r="H5192">
        <v>3</v>
      </c>
      <c r="I5192">
        <v>0.49433300000000002</v>
      </c>
      <c r="J5192">
        <v>1</v>
      </c>
      <c r="K5192">
        <v>0.50566699999999998</v>
      </c>
      <c r="L5192">
        <v>3</v>
      </c>
      <c r="M5192">
        <v>0</v>
      </c>
      <c r="N5192">
        <v>0</v>
      </c>
      <c r="O5192" t="s">
        <v>127</v>
      </c>
      <c r="P5192" t="s">
        <v>127</v>
      </c>
      <c r="Q5192" t="s">
        <v>127</v>
      </c>
    </row>
    <row r="5193" spans="1:17" x14ac:dyDescent="0.25">
      <c r="A5193" t="str">
        <f>IF(C5193&amp;G5193&amp;D5193&lt;&gt;'Funnel setup'!$K$3&amp;'Funnel setup'!$K$4&amp;'Funnel setup'!$K$6,".",IF(A5192=".",1,A5192+1))</f>
        <v>.</v>
      </c>
      <c r="B5193" s="244" t="str">
        <f t="shared" si="81"/>
        <v>Total Knee ReplacementProviderSPIRE NOTTINGHAM HOSPITAL (NT30A)EQ-5D Index</v>
      </c>
      <c r="C5193" t="s">
        <v>975</v>
      </c>
      <c r="D5193" t="s">
        <v>965</v>
      </c>
      <c r="E5193" t="s">
        <v>576</v>
      </c>
      <c r="F5193" t="s">
        <v>577</v>
      </c>
      <c r="G5193" t="s">
        <v>963</v>
      </c>
      <c r="H5193">
        <v>10</v>
      </c>
      <c r="I5193">
        <v>0.61819999999999997</v>
      </c>
      <c r="J5193">
        <v>0.82950000000000002</v>
      </c>
      <c r="K5193">
        <v>0.21129999999999999</v>
      </c>
      <c r="L5193">
        <v>7</v>
      </c>
      <c r="M5193">
        <v>2</v>
      </c>
      <c r="N5193">
        <v>1</v>
      </c>
      <c r="O5193" t="s">
        <v>127</v>
      </c>
      <c r="P5193" t="s">
        <v>127</v>
      </c>
      <c r="Q5193" t="s">
        <v>127</v>
      </c>
    </row>
    <row r="5194" spans="1:17" x14ac:dyDescent="0.25">
      <c r="A5194" t="str">
        <f>IF(C5194&amp;G5194&amp;D5194&lt;&gt;'Funnel setup'!$K$3&amp;'Funnel setup'!$K$4&amp;'Funnel setup'!$K$6,".",IF(A5193=".",1,A5193+1))</f>
        <v>.</v>
      </c>
      <c r="B5194" s="244" t="str">
        <f t="shared" si="81"/>
        <v>Total Knee ReplacementProviderSPIRE PARKWAY HOSPITAL (NT320)EQ-5D Index</v>
      </c>
      <c r="C5194" t="s">
        <v>975</v>
      </c>
      <c r="D5194" t="s">
        <v>965</v>
      </c>
      <c r="E5194" t="s">
        <v>578</v>
      </c>
      <c r="F5194" t="s">
        <v>579</v>
      </c>
      <c r="G5194" t="s">
        <v>963</v>
      </c>
      <c r="H5194">
        <v>16</v>
      </c>
      <c r="I5194">
        <v>0.48225000000000001</v>
      </c>
      <c r="J5194">
        <v>0.71156299999999995</v>
      </c>
      <c r="K5194">
        <v>0.22931299999999999</v>
      </c>
      <c r="L5194">
        <v>12</v>
      </c>
      <c r="M5194">
        <v>3</v>
      </c>
      <c r="N5194">
        <v>1</v>
      </c>
      <c r="O5194" t="s">
        <v>127</v>
      </c>
      <c r="P5194" t="s">
        <v>127</v>
      </c>
      <c r="Q5194" t="s">
        <v>127</v>
      </c>
    </row>
    <row r="5195" spans="1:17" x14ac:dyDescent="0.25">
      <c r="A5195" t="str">
        <f>IF(C5195&amp;G5195&amp;D5195&lt;&gt;'Funnel setup'!$K$3&amp;'Funnel setup'!$K$4&amp;'Funnel setup'!$K$6,".",IF(A5194=".",1,A5194+1))</f>
        <v>.</v>
      </c>
      <c r="B5195" s="244" t="str">
        <f t="shared" si="81"/>
        <v>Total Knee ReplacementProviderSPIRE PORTSMOUTH HOSPITAL (NT305)EQ-5D Index</v>
      </c>
      <c r="C5195" t="s">
        <v>975</v>
      </c>
      <c r="D5195" t="s">
        <v>965</v>
      </c>
      <c r="E5195" t="s">
        <v>580</v>
      </c>
      <c r="F5195" t="s">
        <v>581</v>
      </c>
      <c r="G5195" t="s">
        <v>963</v>
      </c>
      <c r="H5195">
        <v>15</v>
      </c>
      <c r="I5195">
        <v>0.42806699999999998</v>
      </c>
      <c r="J5195">
        <v>0.69320000000000004</v>
      </c>
      <c r="K5195">
        <v>0.26513300000000001</v>
      </c>
      <c r="L5195">
        <v>11</v>
      </c>
      <c r="M5195">
        <v>1</v>
      </c>
      <c r="N5195">
        <v>3</v>
      </c>
      <c r="O5195" t="s">
        <v>127</v>
      </c>
      <c r="P5195" t="s">
        <v>127</v>
      </c>
      <c r="Q5195" t="s">
        <v>127</v>
      </c>
    </row>
    <row r="5196" spans="1:17" x14ac:dyDescent="0.25">
      <c r="A5196" t="str">
        <f>IF(C5196&amp;G5196&amp;D5196&lt;&gt;'Funnel setup'!$K$3&amp;'Funnel setup'!$K$4&amp;'Funnel setup'!$K$6,".",IF(A5195=".",1,A5195+1))</f>
        <v>.</v>
      </c>
      <c r="B5196" s="244" t="str">
        <f t="shared" si="81"/>
        <v>Total Knee ReplacementProviderSPIRE REGENCY HOSPITAL (NT339)EQ-5D Index</v>
      </c>
      <c r="C5196" t="s">
        <v>975</v>
      </c>
      <c r="D5196" t="s">
        <v>965</v>
      </c>
      <c r="E5196" t="s">
        <v>582</v>
      </c>
      <c r="F5196" t="s">
        <v>583</v>
      </c>
      <c r="G5196" t="s">
        <v>963</v>
      </c>
      <c r="H5196">
        <v>43</v>
      </c>
      <c r="I5196">
        <v>0.50183699999999998</v>
      </c>
      <c r="J5196">
        <v>0.75460499999999997</v>
      </c>
      <c r="K5196">
        <v>0.25276700000000002</v>
      </c>
      <c r="L5196">
        <v>36</v>
      </c>
      <c r="M5196">
        <v>4</v>
      </c>
      <c r="N5196">
        <v>3</v>
      </c>
      <c r="O5196">
        <v>0.71044700000000005</v>
      </c>
      <c r="P5196">
        <v>0.28614899999999999</v>
      </c>
      <c r="Q5196">
        <v>0.20432500000000001</v>
      </c>
    </row>
    <row r="5197" spans="1:17" x14ac:dyDescent="0.25">
      <c r="A5197" t="str">
        <f>IF(C5197&amp;G5197&amp;D5197&lt;&gt;'Funnel setup'!$K$3&amp;'Funnel setup'!$K$4&amp;'Funnel setup'!$K$6,".",IF(A5196=".",1,A5196+1))</f>
        <v>.</v>
      </c>
      <c r="B5197" s="244" t="str">
        <f t="shared" si="81"/>
        <v>Total Knee ReplacementProviderSPIRE SOUTHAMPTON HOSPITAL (NT304)EQ-5D Index</v>
      </c>
      <c r="C5197" t="s">
        <v>975</v>
      </c>
      <c r="D5197" t="s">
        <v>965</v>
      </c>
      <c r="E5197" t="s">
        <v>586</v>
      </c>
      <c r="F5197" t="s">
        <v>587</v>
      </c>
      <c r="G5197" t="s">
        <v>963</v>
      </c>
      <c r="H5197">
        <v>20</v>
      </c>
      <c r="I5197">
        <v>0.56000000000000005</v>
      </c>
      <c r="J5197">
        <v>0.7611</v>
      </c>
      <c r="K5197">
        <v>0.2011</v>
      </c>
      <c r="L5197">
        <v>13</v>
      </c>
      <c r="M5197">
        <v>6</v>
      </c>
      <c r="N5197">
        <v>1</v>
      </c>
      <c r="O5197" t="s">
        <v>127</v>
      </c>
      <c r="P5197" t="s">
        <v>127</v>
      </c>
      <c r="Q5197" t="s">
        <v>127</v>
      </c>
    </row>
    <row r="5198" spans="1:17" x14ac:dyDescent="0.25">
      <c r="A5198" t="str">
        <f>IF(C5198&amp;G5198&amp;D5198&lt;&gt;'Funnel setup'!$K$3&amp;'Funnel setup'!$K$4&amp;'Funnel setup'!$K$6,".",IF(A5197=".",1,A5197+1))</f>
        <v>.</v>
      </c>
      <c r="B5198" s="244" t="str">
        <f t="shared" si="81"/>
        <v>Total Knee ReplacementProviderSPIRE ST ANTHONY'S HOSPITAL (NT3X3)EQ-5D Index</v>
      </c>
      <c r="C5198" t="s">
        <v>975</v>
      </c>
      <c r="D5198" t="s">
        <v>965</v>
      </c>
      <c r="E5198" t="s">
        <v>588</v>
      </c>
      <c r="F5198" t="s">
        <v>589</v>
      </c>
      <c r="G5198" t="s">
        <v>963</v>
      </c>
      <c r="H5198">
        <v>4</v>
      </c>
      <c r="I5198">
        <v>0.443</v>
      </c>
      <c r="J5198">
        <v>0.76824999999999999</v>
      </c>
      <c r="K5198">
        <v>0.32524999999999998</v>
      </c>
      <c r="L5198">
        <v>3</v>
      </c>
      <c r="M5198">
        <v>1</v>
      </c>
      <c r="N5198">
        <v>0</v>
      </c>
      <c r="O5198" t="s">
        <v>127</v>
      </c>
      <c r="P5198" t="s">
        <v>127</v>
      </c>
      <c r="Q5198" t="s">
        <v>127</v>
      </c>
    </row>
    <row r="5199" spans="1:17" x14ac:dyDescent="0.25">
      <c r="A5199" t="str">
        <f>IF(C5199&amp;G5199&amp;D5199&lt;&gt;'Funnel setup'!$K$3&amp;'Funnel setup'!$K$4&amp;'Funnel setup'!$K$6,".",IF(A5198=".",1,A5198+1))</f>
        <v>.</v>
      </c>
      <c r="B5199" s="244" t="str">
        <f t="shared" si="81"/>
        <v>Total Knee ReplacementProviderSPIRE SUSSEX HOSPITAL (NT309)EQ-5D Index</v>
      </c>
      <c r="C5199" t="s">
        <v>975</v>
      </c>
      <c r="D5199" t="s">
        <v>965</v>
      </c>
      <c r="E5199" t="s">
        <v>590</v>
      </c>
      <c r="F5199" t="s">
        <v>591</v>
      </c>
      <c r="G5199" t="s">
        <v>963</v>
      </c>
      <c r="H5199">
        <v>24</v>
      </c>
      <c r="I5199">
        <v>0.58866700000000005</v>
      </c>
      <c r="J5199">
        <v>0.74991699999999994</v>
      </c>
      <c r="K5199">
        <v>0.16125</v>
      </c>
      <c r="L5199">
        <v>19</v>
      </c>
      <c r="M5199">
        <v>2</v>
      </c>
      <c r="N5199">
        <v>3</v>
      </c>
      <c r="O5199" t="s">
        <v>127</v>
      </c>
      <c r="P5199" t="s">
        <v>127</v>
      </c>
      <c r="Q5199" t="s">
        <v>127</v>
      </c>
    </row>
    <row r="5200" spans="1:17" x14ac:dyDescent="0.25">
      <c r="A5200" t="str">
        <f>IF(C5200&amp;G5200&amp;D5200&lt;&gt;'Funnel setup'!$K$3&amp;'Funnel setup'!$K$4&amp;'Funnel setup'!$K$6,".",IF(A5199=".",1,A5199+1))</f>
        <v>.</v>
      </c>
      <c r="B5200" s="244" t="str">
        <f t="shared" si="81"/>
        <v>Total Knee ReplacementProviderSPIRE THAMES VALLEY HOSPITAL (NT343)EQ-5D Index</v>
      </c>
      <c r="C5200" t="s">
        <v>975</v>
      </c>
      <c r="D5200" t="s">
        <v>965</v>
      </c>
      <c r="E5200" t="s">
        <v>592</v>
      </c>
      <c r="F5200" t="s">
        <v>593</v>
      </c>
      <c r="G5200" t="s">
        <v>963</v>
      </c>
      <c r="H5200">
        <v>1</v>
      </c>
      <c r="I5200">
        <v>0.68899999999999995</v>
      </c>
      <c r="J5200">
        <v>0.81399999999999995</v>
      </c>
      <c r="K5200">
        <v>0.125</v>
      </c>
      <c r="L5200">
        <v>1</v>
      </c>
      <c r="M5200">
        <v>0</v>
      </c>
      <c r="N5200">
        <v>0</v>
      </c>
      <c r="O5200" t="s">
        <v>127</v>
      </c>
      <c r="P5200" t="s">
        <v>127</v>
      </c>
      <c r="Q5200" t="s">
        <v>127</v>
      </c>
    </row>
    <row r="5201" spans="1:17" x14ac:dyDescent="0.25">
      <c r="A5201" t="str">
        <f>IF(C5201&amp;G5201&amp;D5201&lt;&gt;'Funnel setup'!$K$3&amp;'Funnel setup'!$K$4&amp;'Funnel setup'!$K$6,".",IF(A5200=".",1,A5200+1))</f>
        <v>.</v>
      </c>
      <c r="B5201" s="244" t="str">
        <f t="shared" si="81"/>
        <v>Total Knee ReplacementProviderSPIRE TUNBRIDGE WELLS HOSPITAL (NT310)EQ-5D Index</v>
      </c>
      <c r="C5201" t="s">
        <v>975</v>
      </c>
      <c r="D5201" t="s">
        <v>965</v>
      </c>
      <c r="E5201" t="s">
        <v>594</v>
      </c>
      <c r="F5201" t="s">
        <v>595</v>
      </c>
      <c r="G5201" t="s">
        <v>963</v>
      </c>
      <c r="H5201">
        <v>1</v>
      </c>
      <c r="I5201">
        <v>0.159</v>
      </c>
      <c r="J5201">
        <v>0.79600000000000004</v>
      </c>
      <c r="K5201">
        <v>0.63700000000000001</v>
      </c>
      <c r="L5201">
        <v>1</v>
      </c>
      <c r="M5201">
        <v>0</v>
      </c>
      <c r="N5201">
        <v>0</v>
      </c>
      <c r="O5201" t="s">
        <v>127</v>
      </c>
      <c r="P5201" t="s">
        <v>127</v>
      </c>
      <c r="Q5201" t="s">
        <v>127</v>
      </c>
    </row>
    <row r="5202" spans="1:17" x14ac:dyDescent="0.25">
      <c r="A5202" t="str">
        <f>IF(C5202&amp;G5202&amp;D5202&lt;&gt;'Funnel setup'!$K$3&amp;'Funnel setup'!$K$4&amp;'Funnel setup'!$K$6,".",IF(A5201=".",1,A5201+1))</f>
        <v>.</v>
      </c>
      <c r="B5202" s="244" t="str">
        <f t="shared" si="81"/>
        <v>Total Knee ReplacementProviderSPIRE WASHINGTON HOSPITAL (NT333)EQ-5D Index</v>
      </c>
      <c r="C5202" t="s">
        <v>975</v>
      </c>
      <c r="D5202" t="s">
        <v>965</v>
      </c>
      <c r="E5202" t="s">
        <v>596</v>
      </c>
      <c r="F5202" t="s">
        <v>597</v>
      </c>
      <c r="G5202" t="s">
        <v>963</v>
      </c>
      <c r="H5202">
        <v>101</v>
      </c>
      <c r="I5202">
        <v>0.435311</v>
      </c>
      <c r="J5202">
        <v>0.74231999999999998</v>
      </c>
      <c r="K5202">
        <v>0.30701000000000001</v>
      </c>
      <c r="L5202">
        <v>80</v>
      </c>
      <c r="M5202">
        <v>9</v>
      </c>
      <c r="N5202">
        <v>12</v>
      </c>
      <c r="O5202">
        <v>0.73659200000000002</v>
      </c>
      <c r="P5202">
        <v>0.31229499999999999</v>
      </c>
      <c r="Q5202">
        <v>0.21630199999999999</v>
      </c>
    </row>
    <row r="5203" spans="1:17" x14ac:dyDescent="0.25">
      <c r="A5203" t="str">
        <f>IF(C5203&amp;G5203&amp;D5203&lt;&gt;'Funnel setup'!$K$3&amp;'Funnel setup'!$K$4&amp;'Funnel setup'!$K$6,".",IF(A5202=".",1,A5202+1))</f>
        <v>.</v>
      </c>
      <c r="B5203" s="244" t="str">
        <f t="shared" si="81"/>
        <v>Total Knee ReplacementProviderSPRINGFIELD HOSPITAL (NVC18)EQ-5D Index</v>
      </c>
      <c r="C5203" t="s">
        <v>975</v>
      </c>
      <c r="D5203" t="s">
        <v>965</v>
      </c>
      <c r="E5203" t="s">
        <v>602</v>
      </c>
      <c r="F5203" t="s">
        <v>603</v>
      </c>
      <c r="G5203" t="s">
        <v>963</v>
      </c>
      <c r="H5203">
        <v>95</v>
      </c>
      <c r="I5203">
        <v>0.46397899999999997</v>
      </c>
      <c r="J5203">
        <v>0.80895799999999995</v>
      </c>
      <c r="K5203">
        <v>0.34497899999999998</v>
      </c>
      <c r="L5203">
        <v>82</v>
      </c>
      <c r="M5203">
        <v>7</v>
      </c>
      <c r="N5203">
        <v>6</v>
      </c>
      <c r="O5203">
        <v>0.76291900000000001</v>
      </c>
      <c r="P5203">
        <v>0.33862100000000001</v>
      </c>
      <c r="Q5203">
        <v>0.22764699999999999</v>
      </c>
    </row>
    <row r="5204" spans="1:17" x14ac:dyDescent="0.25">
      <c r="A5204" t="str">
        <f>IF(C5204&amp;G5204&amp;D5204&lt;&gt;'Funnel setup'!$K$3&amp;'Funnel setup'!$K$4&amp;'Funnel setup'!$K$6,".",IF(A5203=".",1,A5203+1))</f>
        <v>.</v>
      </c>
      <c r="B5204" s="244" t="str">
        <f t="shared" si="81"/>
        <v>Total Knee ReplacementProviderST EDMUNDS HOSPITAL (NT446)EQ-5D Index</v>
      </c>
      <c r="C5204" t="s">
        <v>975</v>
      </c>
      <c r="D5204" t="s">
        <v>965</v>
      </c>
      <c r="E5204" t="s">
        <v>604</v>
      </c>
      <c r="F5204" t="s">
        <v>605</v>
      </c>
      <c r="G5204" t="s">
        <v>963</v>
      </c>
      <c r="H5204">
        <v>27</v>
      </c>
      <c r="I5204">
        <v>0.52407400000000004</v>
      </c>
      <c r="J5204">
        <v>0.74440700000000004</v>
      </c>
      <c r="K5204">
        <v>0.220333</v>
      </c>
      <c r="L5204">
        <v>22</v>
      </c>
      <c r="M5204">
        <v>3</v>
      </c>
      <c r="N5204">
        <v>2</v>
      </c>
      <c r="O5204" t="s">
        <v>127</v>
      </c>
      <c r="P5204" t="s">
        <v>127</v>
      </c>
      <c r="Q5204" t="s">
        <v>127</v>
      </c>
    </row>
    <row r="5205" spans="1:17" x14ac:dyDescent="0.25">
      <c r="A5205" t="str">
        <f>IF(C5205&amp;G5205&amp;D5205&lt;&gt;'Funnel setup'!$K$3&amp;'Funnel setup'!$K$4&amp;'Funnel setup'!$K$6,".",IF(A5204=".",1,A5204+1))</f>
        <v>.</v>
      </c>
      <c r="B5205" s="244" t="str">
        <f t="shared" si="81"/>
        <v>Total Knee ReplacementProviderST HELENS AND KNOWSLEY TEACHING HOSPITALS NHS TRUST (RBN)EQ-5D Index</v>
      </c>
      <c r="C5205" t="s">
        <v>975</v>
      </c>
      <c r="D5205" t="s">
        <v>965</v>
      </c>
      <c r="E5205" t="s">
        <v>608</v>
      </c>
      <c r="F5205" t="s">
        <v>609</v>
      </c>
      <c r="G5205" t="s">
        <v>963</v>
      </c>
      <c r="H5205">
        <v>72</v>
      </c>
      <c r="I5205">
        <v>0.36813899999999999</v>
      </c>
      <c r="J5205">
        <v>0.639486</v>
      </c>
      <c r="K5205">
        <v>0.271347</v>
      </c>
      <c r="L5205">
        <v>56</v>
      </c>
      <c r="M5205">
        <v>6</v>
      </c>
      <c r="N5205">
        <v>10</v>
      </c>
      <c r="O5205">
        <v>0.69212399999999996</v>
      </c>
      <c r="P5205">
        <v>0.26782600000000001</v>
      </c>
      <c r="Q5205">
        <v>0.292823</v>
      </c>
    </row>
    <row r="5206" spans="1:17" x14ac:dyDescent="0.25">
      <c r="A5206" t="str">
        <f>IF(C5206&amp;G5206&amp;D5206&lt;&gt;'Funnel setup'!$K$3&amp;'Funnel setup'!$K$4&amp;'Funnel setup'!$K$6,".",IF(A5205=".",1,A5205+1))</f>
        <v>.</v>
      </c>
      <c r="B5206" s="244" t="str">
        <f t="shared" si="81"/>
        <v>Total Knee ReplacementProviderST HUGH'S HOSPITAL (NTE02)EQ-5D Index</v>
      </c>
      <c r="C5206" t="s">
        <v>975</v>
      </c>
      <c r="D5206" t="s">
        <v>965</v>
      </c>
      <c r="E5206" t="s">
        <v>610</v>
      </c>
      <c r="F5206" t="s">
        <v>611</v>
      </c>
      <c r="G5206" t="s">
        <v>963</v>
      </c>
      <c r="H5206">
        <v>125</v>
      </c>
      <c r="I5206">
        <v>0.46620800000000001</v>
      </c>
      <c r="J5206">
        <v>0.78659199999999996</v>
      </c>
      <c r="K5206">
        <v>0.320384</v>
      </c>
      <c r="L5206">
        <v>105</v>
      </c>
      <c r="M5206">
        <v>11</v>
      </c>
      <c r="N5206">
        <v>9</v>
      </c>
      <c r="O5206">
        <v>0.75284600000000002</v>
      </c>
      <c r="P5206">
        <v>0.32854800000000001</v>
      </c>
      <c r="Q5206">
        <v>0.194332</v>
      </c>
    </row>
    <row r="5207" spans="1:17" x14ac:dyDescent="0.25">
      <c r="A5207" t="str">
        <f>IF(C5207&amp;G5207&amp;D5207&lt;&gt;'Funnel setup'!$K$3&amp;'Funnel setup'!$K$4&amp;'Funnel setup'!$K$6,".",IF(A5206=".",1,A5206+1))</f>
        <v>.</v>
      </c>
      <c r="B5207" s="244" t="str">
        <f t="shared" si="81"/>
        <v>Total Knee ReplacementProviderSTOCKPORT NHS FOUNDATION TRUST (RWJ)EQ-5D Index</v>
      </c>
      <c r="C5207" t="s">
        <v>975</v>
      </c>
      <c r="D5207" t="s">
        <v>965</v>
      </c>
      <c r="E5207" t="s">
        <v>614</v>
      </c>
      <c r="F5207" t="s">
        <v>615</v>
      </c>
      <c r="G5207" t="s">
        <v>963</v>
      </c>
      <c r="H5207">
        <v>29</v>
      </c>
      <c r="I5207">
        <v>0.44096600000000002</v>
      </c>
      <c r="J5207">
        <v>0.81762100000000004</v>
      </c>
      <c r="K5207">
        <v>0.37665500000000002</v>
      </c>
      <c r="L5207">
        <v>24</v>
      </c>
      <c r="M5207">
        <v>2</v>
      </c>
      <c r="N5207">
        <v>3</v>
      </c>
      <c r="O5207" t="s">
        <v>127</v>
      </c>
      <c r="P5207" t="s">
        <v>127</v>
      </c>
      <c r="Q5207" t="s">
        <v>127</v>
      </c>
    </row>
    <row r="5208" spans="1:17" x14ac:dyDescent="0.25">
      <c r="A5208" t="str">
        <f>IF(C5208&amp;G5208&amp;D5208&lt;&gt;'Funnel setup'!$K$3&amp;'Funnel setup'!$K$4&amp;'Funnel setup'!$K$6,".",IF(A5207=".",1,A5207+1))</f>
        <v>.</v>
      </c>
      <c r="B5208" s="244" t="str">
        <f t="shared" si="81"/>
        <v>Total Knee ReplacementProviderSURREY AND SUSSEX HEALTHCARE NHS TRUST (RTP)EQ-5D Index</v>
      </c>
      <c r="C5208" t="s">
        <v>975</v>
      </c>
      <c r="D5208" t="s">
        <v>965</v>
      </c>
      <c r="E5208" t="s">
        <v>618</v>
      </c>
      <c r="F5208" t="s">
        <v>619</v>
      </c>
      <c r="G5208" t="s">
        <v>963</v>
      </c>
      <c r="H5208">
        <v>32</v>
      </c>
      <c r="I5208">
        <v>0.40684399999999998</v>
      </c>
      <c r="J5208">
        <v>0.72662499999999997</v>
      </c>
      <c r="K5208">
        <v>0.31978099999999998</v>
      </c>
      <c r="L5208">
        <v>26</v>
      </c>
      <c r="M5208">
        <v>5</v>
      </c>
      <c r="N5208">
        <v>1</v>
      </c>
      <c r="O5208">
        <v>0.74834500000000004</v>
      </c>
      <c r="P5208">
        <v>0.324048</v>
      </c>
      <c r="Q5208">
        <v>0.18274000000000001</v>
      </c>
    </row>
    <row r="5209" spans="1:17" x14ac:dyDescent="0.25">
      <c r="A5209" t="str">
        <f>IF(C5209&amp;G5209&amp;D5209&lt;&gt;'Funnel setup'!$K$3&amp;'Funnel setup'!$K$4&amp;'Funnel setup'!$K$6,".",IF(A5208=".",1,A5208+1))</f>
        <v>.</v>
      </c>
      <c r="B5209" s="244" t="str">
        <f t="shared" si="81"/>
        <v>Total Knee ReplacementProviderTEES VALLEY HOSPITAL (NVC0R)EQ-5D Index</v>
      </c>
      <c r="C5209" t="s">
        <v>975</v>
      </c>
      <c r="D5209" t="s">
        <v>965</v>
      </c>
      <c r="E5209" t="s">
        <v>624</v>
      </c>
      <c r="F5209" t="s">
        <v>625</v>
      </c>
      <c r="G5209" t="s">
        <v>963</v>
      </c>
      <c r="H5209">
        <v>44</v>
      </c>
      <c r="I5209">
        <v>0.447911</v>
      </c>
      <c r="J5209">
        <v>0.773289</v>
      </c>
      <c r="K5209">
        <v>0.325378</v>
      </c>
      <c r="L5209">
        <v>39</v>
      </c>
      <c r="M5209">
        <v>1</v>
      </c>
      <c r="N5209">
        <v>4</v>
      </c>
      <c r="O5209">
        <v>0.75311799999999995</v>
      </c>
      <c r="P5209">
        <v>0.32882</v>
      </c>
      <c r="Q5209">
        <v>0.22150800000000001</v>
      </c>
    </row>
    <row r="5210" spans="1:17" x14ac:dyDescent="0.25">
      <c r="A5210" t="str">
        <f>IF(C5210&amp;G5210&amp;D5210&lt;&gt;'Funnel setup'!$K$3&amp;'Funnel setup'!$K$4&amp;'Funnel setup'!$K$6,".",IF(A5209=".",1,A5209+1))</f>
        <v>.</v>
      </c>
      <c r="B5210" s="244" t="str">
        <f t="shared" si="81"/>
        <v>Total Knee ReplacementProviderTHE BERKSHIRE INDEPENDENT HOSPITAL (NVC02)EQ-5D Index</v>
      </c>
      <c r="C5210" t="s">
        <v>975</v>
      </c>
      <c r="D5210" t="s">
        <v>965</v>
      </c>
      <c r="E5210" t="s">
        <v>626</v>
      </c>
      <c r="F5210" t="s">
        <v>627</v>
      </c>
      <c r="G5210" t="s">
        <v>963</v>
      </c>
      <c r="H5210">
        <v>12</v>
      </c>
      <c r="I5210">
        <v>0.47458299999999998</v>
      </c>
      <c r="J5210">
        <v>0.72266699999999995</v>
      </c>
      <c r="K5210">
        <v>0.248083</v>
      </c>
      <c r="L5210">
        <v>9</v>
      </c>
      <c r="M5210">
        <v>3</v>
      </c>
      <c r="N5210">
        <v>0</v>
      </c>
      <c r="O5210" t="s">
        <v>127</v>
      </c>
      <c r="P5210" t="s">
        <v>127</v>
      </c>
      <c r="Q5210" t="s">
        <v>127</v>
      </c>
    </row>
    <row r="5211" spans="1:17" x14ac:dyDescent="0.25">
      <c r="A5211" t="str">
        <f>IF(C5211&amp;G5211&amp;D5211&lt;&gt;'Funnel setup'!$K$3&amp;'Funnel setup'!$K$4&amp;'Funnel setup'!$K$6,".",IF(A5210=".",1,A5210+1))</f>
        <v>.</v>
      </c>
      <c r="B5211" s="244" t="str">
        <f t="shared" si="81"/>
        <v>Total Knee ReplacementProviderTHE CHERWELL HOSPITAL (NVC25)EQ-5D Index</v>
      </c>
      <c r="C5211" t="s">
        <v>975</v>
      </c>
      <c r="D5211" t="s">
        <v>965</v>
      </c>
      <c r="E5211" t="s">
        <v>628</v>
      </c>
      <c r="F5211" t="s">
        <v>629</v>
      </c>
      <c r="G5211" t="s">
        <v>963</v>
      </c>
      <c r="H5211">
        <v>248</v>
      </c>
      <c r="I5211">
        <v>0.50556500000000004</v>
      </c>
      <c r="J5211">
        <v>0.78648399999999996</v>
      </c>
      <c r="K5211">
        <v>0.28091899999999997</v>
      </c>
      <c r="L5211">
        <v>203</v>
      </c>
      <c r="M5211">
        <v>27</v>
      </c>
      <c r="N5211">
        <v>18</v>
      </c>
      <c r="O5211">
        <v>0.75592599999999999</v>
      </c>
      <c r="P5211">
        <v>0.33162799999999998</v>
      </c>
      <c r="Q5211">
        <v>0.220161</v>
      </c>
    </row>
    <row r="5212" spans="1:17" x14ac:dyDescent="0.25">
      <c r="A5212" t="str">
        <f>IF(C5212&amp;G5212&amp;D5212&lt;&gt;'Funnel setup'!$K$3&amp;'Funnel setup'!$K$4&amp;'Funnel setup'!$K$6,".",IF(A5211=".",1,A5211+1))</f>
        <v>.</v>
      </c>
      <c r="B5212" s="244" t="str">
        <f t="shared" si="81"/>
        <v>Total Knee ReplacementProviderTHE DUDLEY GROUP NHS FOUNDATION TRUST (RNA)EQ-5D Index</v>
      </c>
      <c r="C5212" t="s">
        <v>975</v>
      </c>
      <c r="D5212" t="s">
        <v>965</v>
      </c>
      <c r="E5212" t="s">
        <v>630</v>
      </c>
      <c r="F5212" t="s">
        <v>631</v>
      </c>
      <c r="G5212" t="s">
        <v>963</v>
      </c>
      <c r="H5212">
        <v>1</v>
      </c>
      <c r="I5212">
        <v>0.62</v>
      </c>
      <c r="J5212">
        <v>0.69099999999999995</v>
      </c>
      <c r="K5212">
        <v>7.0999999999999994E-2</v>
      </c>
      <c r="L5212">
        <v>1</v>
      </c>
      <c r="M5212">
        <v>0</v>
      </c>
      <c r="N5212">
        <v>0</v>
      </c>
      <c r="O5212" t="s">
        <v>127</v>
      </c>
      <c r="P5212" t="s">
        <v>127</v>
      </c>
      <c r="Q5212" t="s">
        <v>127</v>
      </c>
    </row>
    <row r="5213" spans="1:17" x14ac:dyDescent="0.25">
      <c r="A5213" t="str">
        <f>IF(C5213&amp;G5213&amp;D5213&lt;&gt;'Funnel setup'!$K$3&amp;'Funnel setup'!$K$4&amp;'Funnel setup'!$K$6,".",IF(A5212=".",1,A5212+1))</f>
        <v>.</v>
      </c>
      <c r="B5213" s="244" t="str">
        <f t="shared" si="81"/>
        <v>Total Knee ReplacementProviderTHE HILLINGDON HOSPITALS NHS FOUNDATION TRUST (RAS)EQ-5D Index</v>
      </c>
      <c r="C5213" t="s">
        <v>975</v>
      </c>
      <c r="D5213" t="s">
        <v>965</v>
      </c>
      <c r="E5213" t="s">
        <v>632</v>
      </c>
      <c r="F5213" t="s">
        <v>633</v>
      </c>
      <c r="G5213" t="s">
        <v>963</v>
      </c>
      <c r="H5213">
        <v>109</v>
      </c>
      <c r="I5213">
        <v>0.45891700000000002</v>
      </c>
      <c r="J5213">
        <v>0.74460599999999999</v>
      </c>
      <c r="K5213">
        <v>0.285688</v>
      </c>
      <c r="L5213">
        <v>82</v>
      </c>
      <c r="M5213">
        <v>16</v>
      </c>
      <c r="N5213">
        <v>11</v>
      </c>
      <c r="O5213">
        <v>0.72998600000000002</v>
      </c>
      <c r="P5213">
        <v>0.30568899999999999</v>
      </c>
      <c r="Q5213">
        <v>0.208201</v>
      </c>
    </row>
    <row r="5214" spans="1:17" x14ac:dyDescent="0.25">
      <c r="A5214" t="str">
        <f>IF(C5214&amp;G5214&amp;D5214&lt;&gt;'Funnel setup'!$K$3&amp;'Funnel setup'!$K$4&amp;'Funnel setup'!$K$6,".",IF(A5213=".",1,A5213+1))</f>
        <v>.</v>
      </c>
      <c r="B5214" s="244" t="str">
        <f t="shared" si="81"/>
        <v>Total Knee ReplacementProviderTHE HORDER CENTRE - ST JOHNS ROAD (NXM01)EQ-5D Index</v>
      </c>
      <c r="C5214" t="s">
        <v>975</v>
      </c>
      <c r="D5214" t="s">
        <v>965</v>
      </c>
      <c r="E5214" t="s">
        <v>634</v>
      </c>
      <c r="F5214" t="s">
        <v>635</v>
      </c>
      <c r="G5214" t="s">
        <v>963</v>
      </c>
      <c r="H5214">
        <v>251</v>
      </c>
      <c r="I5214">
        <v>0.50670499999999996</v>
      </c>
      <c r="J5214">
        <v>0.81300799999999995</v>
      </c>
      <c r="K5214">
        <v>0.30630299999999999</v>
      </c>
      <c r="L5214">
        <v>208</v>
      </c>
      <c r="M5214">
        <v>29</v>
      </c>
      <c r="N5214">
        <v>14</v>
      </c>
      <c r="O5214">
        <v>0.77576599999999996</v>
      </c>
      <c r="P5214">
        <v>0.351468</v>
      </c>
      <c r="Q5214">
        <v>0.21371699999999999</v>
      </c>
    </row>
    <row r="5215" spans="1:17" x14ac:dyDescent="0.25">
      <c r="A5215" t="str">
        <f>IF(C5215&amp;G5215&amp;D5215&lt;&gt;'Funnel setup'!$K$3&amp;'Funnel setup'!$K$4&amp;'Funnel setup'!$K$6,".",IF(A5214=".",1,A5214+1))</f>
        <v>.</v>
      </c>
      <c r="B5215" s="244" t="str">
        <f t="shared" si="81"/>
        <v>Total Knee ReplacementProviderTHE NEWCASTLE UPON TYNE HOSPITALS NHS FOUNDATION TRUST (RTD)EQ-5D Index</v>
      </c>
      <c r="C5215" t="s">
        <v>975</v>
      </c>
      <c r="D5215" t="s">
        <v>965</v>
      </c>
      <c r="E5215" t="s">
        <v>638</v>
      </c>
      <c r="F5215" t="s">
        <v>639</v>
      </c>
      <c r="G5215" t="s">
        <v>963</v>
      </c>
      <c r="H5215">
        <v>23</v>
      </c>
      <c r="I5215">
        <v>0.28512999999999999</v>
      </c>
      <c r="J5215">
        <v>0.72713000000000005</v>
      </c>
      <c r="K5215">
        <v>0.442</v>
      </c>
      <c r="L5215">
        <v>20</v>
      </c>
      <c r="M5215">
        <v>2</v>
      </c>
      <c r="N5215">
        <v>1</v>
      </c>
      <c r="O5215" t="s">
        <v>127</v>
      </c>
      <c r="P5215" t="s">
        <v>127</v>
      </c>
      <c r="Q5215" t="s">
        <v>127</v>
      </c>
    </row>
    <row r="5216" spans="1:17" x14ac:dyDescent="0.25">
      <c r="A5216" t="str">
        <f>IF(C5216&amp;G5216&amp;D5216&lt;&gt;'Funnel setup'!$K$3&amp;'Funnel setup'!$K$4&amp;'Funnel setup'!$K$6,".",IF(A5215=".",1,A5215+1))</f>
        <v>.</v>
      </c>
      <c r="B5216" s="244" t="str">
        <f t="shared" si="81"/>
        <v>Total Knee ReplacementProviderTHE PRINCESS ALEXANDRA HOSPITAL NHS TRUST (RQW)EQ-5D Index</v>
      </c>
      <c r="C5216" t="s">
        <v>975</v>
      </c>
      <c r="D5216" t="s">
        <v>965</v>
      </c>
      <c r="E5216" t="s">
        <v>640</v>
      </c>
      <c r="F5216" t="s">
        <v>641</v>
      </c>
      <c r="G5216" t="s">
        <v>963</v>
      </c>
      <c r="H5216">
        <v>27</v>
      </c>
      <c r="I5216">
        <v>0.38100000000000001</v>
      </c>
      <c r="J5216">
        <v>0.72599999999999998</v>
      </c>
      <c r="K5216">
        <v>0.34499999999999997</v>
      </c>
      <c r="L5216">
        <v>20</v>
      </c>
      <c r="M5216">
        <v>3</v>
      </c>
      <c r="N5216">
        <v>4</v>
      </c>
      <c r="O5216" t="s">
        <v>127</v>
      </c>
      <c r="P5216" t="s">
        <v>127</v>
      </c>
      <c r="Q5216" t="s">
        <v>127</v>
      </c>
    </row>
    <row r="5217" spans="1:17" x14ac:dyDescent="0.25">
      <c r="A5217" t="str">
        <f>IF(C5217&amp;G5217&amp;D5217&lt;&gt;'Funnel setup'!$K$3&amp;'Funnel setup'!$K$4&amp;'Funnel setup'!$K$6,".",IF(A5216=".",1,A5216+1))</f>
        <v>.</v>
      </c>
      <c r="B5217" s="244" t="str">
        <f t="shared" si="81"/>
        <v>Total Knee ReplacementProviderTHE QUEEN ELIZABETH HOSPITAL, KING'S LYNN, NHS FOUNDATION TRUST (RCX)EQ-5D Index</v>
      </c>
      <c r="C5217" t="s">
        <v>975</v>
      </c>
      <c r="D5217" t="s">
        <v>965</v>
      </c>
      <c r="E5217" t="s">
        <v>644</v>
      </c>
      <c r="F5217" t="s">
        <v>645</v>
      </c>
      <c r="G5217" t="s">
        <v>963</v>
      </c>
      <c r="H5217">
        <v>78</v>
      </c>
      <c r="I5217">
        <v>0.40911500000000001</v>
      </c>
      <c r="J5217">
        <v>0.70078200000000002</v>
      </c>
      <c r="K5217">
        <v>0.29166700000000001</v>
      </c>
      <c r="L5217">
        <v>61</v>
      </c>
      <c r="M5217">
        <v>10</v>
      </c>
      <c r="N5217">
        <v>7</v>
      </c>
      <c r="O5217">
        <v>0.71543699999999999</v>
      </c>
      <c r="P5217">
        <v>0.29114000000000001</v>
      </c>
      <c r="Q5217">
        <v>0.24976999999999999</v>
      </c>
    </row>
    <row r="5218" spans="1:17" x14ac:dyDescent="0.25">
      <c r="A5218" t="str">
        <f>IF(C5218&amp;G5218&amp;D5218&lt;&gt;'Funnel setup'!$K$3&amp;'Funnel setup'!$K$4&amp;'Funnel setup'!$K$6,".",IF(A5217=".",1,A5217+1))</f>
        <v>.</v>
      </c>
      <c r="B5218" s="244" t="str">
        <f t="shared" si="81"/>
        <v>Total Knee ReplacementProviderTHE ROBERT JONES AND AGNES HUNT ORTHOPAEDIC HOSPITAL NHS FOUNDATION TRUST (RL1)EQ-5D Index</v>
      </c>
      <c r="C5218" t="s">
        <v>975</v>
      </c>
      <c r="D5218" t="s">
        <v>965</v>
      </c>
      <c r="E5218" t="s">
        <v>646</v>
      </c>
      <c r="F5218" t="s">
        <v>647</v>
      </c>
      <c r="G5218" t="s">
        <v>963</v>
      </c>
      <c r="H5218">
        <v>323</v>
      </c>
      <c r="I5218">
        <v>0.380882</v>
      </c>
      <c r="J5218">
        <v>0.74756</v>
      </c>
      <c r="K5218">
        <v>0.366678</v>
      </c>
      <c r="L5218">
        <v>271</v>
      </c>
      <c r="M5218">
        <v>28</v>
      </c>
      <c r="N5218">
        <v>24</v>
      </c>
      <c r="O5218">
        <v>0.77409600000000001</v>
      </c>
      <c r="P5218">
        <v>0.34979900000000003</v>
      </c>
      <c r="Q5218">
        <v>0.227349</v>
      </c>
    </row>
    <row r="5219" spans="1:17" x14ac:dyDescent="0.25">
      <c r="A5219" t="str">
        <f>IF(C5219&amp;G5219&amp;D5219&lt;&gt;'Funnel setup'!$K$3&amp;'Funnel setup'!$K$4&amp;'Funnel setup'!$K$6,".",IF(A5218=".",1,A5218+1))</f>
        <v>.</v>
      </c>
      <c r="B5219" s="244" t="str">
        <f t="shared" si="81"/>
        <v>Total Knee ReplacementProviderTHE ROTHERHAM NHS FOUNDATION TRUST (RFR)EQ-5D Index</v>
      </c>
      <c r="C5219" t="s">
        <v>975</v>
      </c>
      <c r="D5219" t="s">
        <v>965</v>
      </c>
      <c r="E5219" t="s">
        <v>648</v>
      </c>
      <c r="F5219" t="s">
        <v>649</v>
      </c>
      <c r="G5219" t="s">
        <v>963</v>
      </c>
      <c r="H5219">
        <v>29</v>
      </c>
      <c r="I5219">
        <v>0.22817200000000001</v>
      </c>
      <c r="J5219">
        <v>0.76786200000000004</v>
      </c>
      <c r="K5219">
        <v>0.53969</v>
      </c>
      <c r="L5219">
        <v>27</v>
      </c>
      <c r="M5219">
        <v>2</v>
      </c>
      <c r="N5219">
        <v>0</v>
      </c>
      <c r="O5219" t="s">
        <v>127</v>
      </c>
      <c r="P5219" t="s">
        <v>127</v>
      </c>
      <c r="Q5219" t="s">
        <v>127</v>
      </c>
    </row>
    <row r="5220" spans="1:17" x14ac:dyDescent="0.25">
      <c r="A5220" t="str">
        <f>IF(C5220&amp;G5220&amp;D5220&lt;&gt;'Funnel setup'!$K$3&amp;'Funnel setup'!$K$4&amp;'Funnel setup'!$K$6,".",IF(A5219=".",1,A5219+1))</f>
        <v>.</v>
      </c>
      <c r="B5220" s="244" t="str">
        <f t="shared" si="81"/>
        <v>Total Knee ReplacementProviderTHE ROYAL ORTHOPAEDIC HOSPITAL NHS FOUNDATION TRUST (RRJ)EQ-5D Index</v>
      </c>
      <c r="C5220" t="s">
        <v>975</v>
      </c>
      <c r="D5220" t="s">
        <v>965</v>
      </c>
      <c r="E5220" t="s">
        <v>652</v>
      </c>
      <c r="F5220" t="s">
        <v>653</v>
      </c>
      <c r="G5220" t="s">
        <v>963</v>
      </c>
      <c r="H5220">
        <v>432</v>
      </c>
      <c r="I5220">
        <v>0.34412500000000001</v>
      </c>
      <c r="J5220">
        <v>0.73006899999999997</v>
      </c>
      <c r="K5220">
        <v>0.38594400000000001</v>
      </c>
      <c r="L5220">
        <v>365</v>
      </c>
      <c r="M5220">
        <v>18</v>
      </c>
      <c r="N5220">
        <v>49</v>
      </c>
      <c r="O5220">
        <v>0.76063599999999998</v>
      </c>
      <c r="P5220">
        <v>0.336339</v>
      </c>
      <c r="Q5220">
        <v>0.26290200000000002</v>
      </c>
    </row>
    <row r="5221" spans="1:17" x14ac:dyDescent="0.25">
      <c r="A5221" t="str">
        <f>IF(C5221&amp;G5221&amp;D5221&lt;&gt;'Funnel setup'!$K$3&amp;'Funnel setup'!$K$4&amp;'Funnel setup'!$K$6,".",IF(A5220=".",1,A5220+1))</f>
        <v>.</v>
      </c>
      <c r="B5221" s="244" t="str">
        <f t="shared" si="81"/>
        <v>Total Knee ReplacementProviderTHE ROYAL WOLVERHAMPTON NHS TRUST (RL4)EQ-5D Index</v>
      </c>
      <c r="C5221" t="s">
        <v>975</v>
      </c>
      <c r="D5221" t="s">
        <v>965</v>
      </c>
      <c r="E5221" t="s">
        <v>654</v>
      </c>
      <c r="F5221" t="s">
        <v>655</v>
      </c>
      <c r="G5221" t="s">
        <v>963</v>
      </c>
      <c r="H5221">
        <v>23</v>
      </c>
      <c r="I5221">
        <v>0.47556500000000002</v>
      </c>
      <c r="J5221">
        <v>0.78482600000000002</v>
      </c>
      <c r="K5221">
        <v>0.30926100000000001</v>
      </c>
      <c r="L5221">
        <v>20</v>
      </c>
      <c r="M5221">
        <v>2</v>
      </c>
      <c r="N5221">
        <v>1</v>
      </c>
      <c r="O5221" t="s">
        <v>127</v>
      </c>
      <c r="P5221" t="s">
        <v>127</v>
      </c>
      <c r="Q5221" t="s">
        <v>127</v>
      </c>
    </row>
    <row r="5222" spans="1:17" x14ac:dyDescent="0.25">
      <c r="A5222" t="str">
        <f>IF(C5222&amp;G5222&amp;D5222&lt;&gt;'Funnel setup'!$K$3&amp;'Funnel setup'!$K$4&amp;'Funnel setup'!$K$6,".",IF(A5221=".",1,A5221+1))</f>
        <v>.</v>
      </c>
      <c r="B5222" s="244" t="str">
        <f t="shared" si="81"/>
        <v>Total Knee ReplacementProviderTHE SHREWSBURY AND TELFORD HOSPITAL NHS TRUST (RXW)EQ-5D Index</v>
      </c>
      <c r="C5222" t="s">
        <v>975</v>
      </c>
      <c r="D5222" t="s">
        <v>965</v>
      </c>
      <c r="E5222" t="s">
        <v>656</v>
      </c>
      <c r="F5222" t="s">
        <v>657</v>
      </c>
      <c r="G5222" t="s">
        <v>963</v>
      </c>
      <c r="H5222">
        <v>13</v>
      </c>
      <c r="I5222">
        <v>0.41553800000000002</v>
      </c>
      <c r="J5222">
        <v>0.70215399999999994</v>
      </c>
      <c r="K5222">
        <v>0.28661500000000001</v>
      </c>
      <c r="L5222">
        <v>11</v>
      </c>
      <c r="M5222">
        <v>2</v>
      </c>
      <c r="N5222">
        <v>0</v>
      </c>
      <c r="O5222" t="s">
        <v>127</v>
      </c>
      <c r="P5222" t="s">
        <v>127</v>
      </c>
      <c r="Q5222" t="s">
        <v>127</v>
      </c>
    </row>
    <row r="5223" spans="1:17" x14ac:dyDescent="0.25">
      <c r="A5223" t="str">
        <f>IF(C5223&amp;G5223&amp;D5223&lt;&gt;'Funnel setup'!$K$3&amp;'Funnel setup'!$K$4&amp;'Funnel setup'!$K$6,".",IF(A5222=".",1,A5222+1))</f>
        <v>.</v>
      </c>
      <c r="B5223" s="244" t="str">
        <f t="shared" si="81"/>
        <v>Total Knee ReplacementProviderTHE YORKSHIRE CLINIC (NVC20)EQ-5D Index</v>
      </c>
      <c r="C5223" t="s">
        <v>975</v>
      </c>
      <c r="D5223" t="s">
        <v>965</v>
      </c>
      <c r="E5223" t="s">
        <v>662</v>
      </c>
      <c r="F5223" t="s">
        <v>663</v>
      </c>
      <c r="G5223" t="s">
        <v>963</v>
      </c>
      <c r="H5223">
        <v>33</v>
      </c>
      <c r="I5223">
        <v>0.48963600000000002</v>
      </c>
      <c r="J5223">
        <v>0.75281799999999999</v>
      </c>
      <c r="K5223">
        <v>0.26318200000000003</v>
      </c>
      <c r="L5223">
        <v>29</v>
      </c>
      <c r="M5223">
        <v>2</v>
      </c>
      <c r="N5223">
        <v>2</v>
      </c>
      <c r="O5223">
        <v>0.75629900000000005</v>
      </c>
      <c r="P5223">
        <v>0.33200200000000002</v>
      </c>
      <c r="Q5223">
        <v>0.16154499999999999</v>
      </c>
    </row>
    <row r="5224" spans="1:17" x14ac:dyDescent="0.25">
      <c r="A5224" t="str">
        <f>IF(C5224&amp;G5224&amp;D5224&lt;&gt;'Funnel setup'!$K$3&amp;'Funnel setup'!$K$4&amp;'Funnel setup'!$K$6,".",IF(A5223=".",1,A5223+1))</f>
        <v>.</v>
      </c>
      <c r="B5224" s="244" t="str">
        <f t="shared" si="81"/>
        <v>Total Knee ReplacementProviderTHORNBURY HOSPITAL (NT440)EQ-5D Index</v>
      </c>
      <c r="C5224" t="s">
        <v>975</v>
      </c>
      <c r="D5224" t="s">
        <v>965</v>
      </c>
      <c r="E5224" t="s">
        <v>664</v>
      </c>
      <c r="F5224" t="s">
        <v>665</v>
      </c>
      <c r="G5224" t="s">
        <v>963</v>
      </c>
      <c r="H5224">
        <v>4</v>
      </c>
      <c r="I5224">
        <v>0.46224999999999999</v>
      </c>
      <c r="J5224">
        <v>0.57950000000000002</v>
      </c>
      <c r="K5224">
        <v>0.11724999999999999</v>
      </c>
      <c r="L5224">
        <v>3</v>
      </c>
      <c r="M5224">
        <v>1</v>
      </c>
      <c r="N5224">
        <v>0</v>
      </c>
      <c r="O5224" t="s">
        <v>127</v>
      </c>
      <c r="P5224" t="s">
        <v>127</v>
      </c>
      <c r="Q5224" t="s">
        <v>127</v>
      </c>
    </row>
    <row r="5225" spans="1:17" x14ac:dyDescent="0.25">
      <c r="A5225" t="str">
        <f>IF(C5225&amp;G5225&amp;D5225&lt;&gt;'Funnel setup'!$K$3&amp;'Funnel setup'!$K$4&amp;'Funnel setup'!$K$6,".",IF(A5224=".",1,A5224+1))</f>
        <v>.</v>
      </c>
      <c r="B5225" s="244" t="str">
        <f t="shared" si="81"/>
        <v>Total Knee ReplacementProviderTHREE SHIRES HOSPITAL (NT441)EQ-5D Index</v>
      </c>
      <c r="C5225" t="s">
        <v>975</v>
      </c>
      <c r="D5225" t="s">
        <v>965</v>
      </c>
      <c r="E5225" t="s">
        <v>666</v>
      </c>
      <c r="F5225" t="s">
        <v>667</v>
      </c>
      <c r="G5225" t="s">
        <v>963</v>
      </c>
      <c r="H5225">
        <v>79</v>
      </c>
      <c r="I5225">
        <v>0.413684</v>
      </c>
      <c r="J5225">
        <v>0.77626600000000001</v>
      </c>
      <c r="K5225">
        <v>0.36258200000000002</v>
      </c>
      <c r="L5225">
        <v>61</v>
      </c>
      <c r="M5225">
        <v>11</v>
      </c>
      <c r="N5225">
        <v>7</v>
      </c>
      <c r="O5225">
        <v>0.73760400000000004</v>
      </c>
      <c r="P5225">
        <v>0.31330599999999997</v>
      </c>
      <c r="Q5225">
        <v>0.23177200000000001</v>
      </c>
    </row>
    <row r="5226" spans="1:17" x14ac:dyDescent="0.25">
      <c r="A5226" t="str">
        <f>IF(C5226&amp;G5226&amp;D5226&lt;&gt;'Funnel setup'!$K$3&amp;'Funnel setup'!$K$4&amp;'Funnel setup'!$K$6,".",IF(A5225=".",1,A5225+1))</f>
        <v>.</v>
      </c>
      <c r="B5226" s="244" t="str">
        <f t="shared" si="81"/>
        <v>Total Knee ReplacementProviderTORBAY AND SOUTH DEVON NHS FOUNDATION TRUST (RA9)EQ-5D Index</v>
      </c>
      <c r="C5226" t="s">
        <v>975</v>
      </c>
      <c r="D5226" t="s">
        <v>965</v>
      </c>
      <c r="E5226" t="s">
        <v>668</v>
      </c>
      <c r="F5226" t="s">
        <v>669</v>
      </c>
      <c r="G5226" t="s">
        <v>963</v>
      </c>
      <c r="H5226">
        <v>7</v>
      </c>
      <c r="I5226">
        <v>0.28799999999999998</v>
      </c>
      <c r="J5226">
        <v>0.49385699999999999</v>
      </c>
      <c r="K5226">
        <v>0.20585700000000001</v>
      </c>
      <c r="L5226">
        <v>4</v>
      </c>
      <c r="M5226">
        <v>2</v>
      </c>
      <c r="N5226">
        <v>1</v>
      </c>
      <c r="O5226" t="s">
        <v>127</v>
      </c>
      <c r="P5226" t="s">
        <v>127</v>
      </c>
      <c r="Q5226" t="s">
        <v>127</v>
      </c>
    </row>
    <row r="5227" spans="1:17" x14ac:dyDescent="0.25">
      <c r="A5227" t="str">
        <f>IF(C5227&amp;G5227&amp;D5227&lt;&gt;'Funnel setup'!$K$3&amp;'Funnel setup'!$K$4&amp;'Funnel setup'!$K$6,".",IF(A5226=".",1,A5226+1))</f>
        <v>.</v>
      </c>
      <c r="B5227" s="244" t="str">
        <f t="shared" si="81"/>
        <v>Total Knee ReplacementProviderUNITED LINCOLNSHIRE HOSPITALS NHS TRUST (RWD)EQ-5D Index</v>
      </c>
      <c r="C5227" t="s">
        <v>975</v>
      </c>
      <c r="D5227" t="s">
        <v>965</v>
      </c>
      <c r="E5227" t="s">
        <v>672</v>
      </c>
      <c r="F5227" t="s">
        <v>673</v>
      </c>
      <c r="G5227" t="s">
        <v>963</v>
      </c>
      <c r="H5227">
        <v>36</v>
      </c>
      <c r="I5227">
        <v>0.32002799999999998</v>
      </c>
      <c r="J5227">
        <v>0.68669400000000003</v>
      </c>
      <c r="K5227">
        <v>0.36666700000000002</v>
      </c>
      <c r="L5227">
        <v>35</v>
      </c>
      <c r="M5227">
        <v>0</v>
      </c>
      <c r="N5227">
        <v>1</v>
      </c>
      <c r="O5227">
        <v>0.71077900000000005</v>
      </c>
      <c r="P5227">
        <v>0.28648099999999999</v>
      </c>
      <c r="Q5227">
        <v>0.25383899999999998</v>
      </c>
    </row>
    <row r="5228" spans="1:17" x14ac:dyDescent="0.25">
      <c r="A5228" t="str">
        <f>IF(C5228&amp;G5228&amp;D5228&lt;&gt;'Funnel setup'!$K$3&amp;'Funnel setup'!$K$4&amp;'Funnel setup'!$K$6,".",IF(A5227=".",1,A5227+1))</f>
        <v>.</v>
      </c>
      <c r="B5228" s="244" t="str">
        <f t="shared" si="81"/>
        <v>Total Knee ReplacementProviderUNIVERSITY COLLEGE LONDON HOSPITALS NHS FOUNDATION TRUST (RRV)EQ-5D Index</v>
      </c>
      <c r="C5228" t="s">
        <v>975</v>
      </c>
      <c r="D5228" t="s">
        <v>965</v>
      </c>
      <c r="E5228" t="s">
        <v>674</v>
      </c>
      <c r="F5228" t="s">
        <v>675</v>
      </c>
      <c r="G5228" t="s">
        <v>963</v>
      </c>
      <c r="H5228">
        <v>162</v>
      </c>
      <c r="I5228">
        <v>0.45072800000000002</v>
      </c>
      <c r="J5228">
        <v>0.687056</v>
      </c>
      <c r="K5228">
        <v>0.23632700000000001</v>
      </c>
      <c r="L5228">
        <v>121</v>
      </c>
      <c r="M5228">
        <v>22</v>
      </c>
      <c r="N5228">
        <v>19</v>
      </c>
      <c r="O5228">
        <v>0.70924600000000004</v>
      </c>
      <c r="P5228">
        <v>0.28494900000000001</v>
      </c>
      <c r="Q5228">
        <v>0.24623300000000001</v>
      </c>
    </row>
    <row r="5229" spans="1:17" x14ac:dyDescent="0.25">
      <c r="A5229" t="str">
        <f>IF(C5229&amp;G5229&amp;D5229&lt;&gt;'Funnel setup'!$K$3&amp;'Funnel setup'!$K$4&amp;'Funnel setup'!$K$6,".",IF(A5228=".",1,A5228+1))</f>
        <v>.</v>
      </c>
      <c r="B5229" s="244" t="str">
        <f t="shared" si="81"/>
        <v>Total Knee ReplacementProviderUNIVERSITY HOSPITAL SOUTHAMPTON NHS FOUNDATION TRUST (RHM)EQ-5D Index</v>
      </c>
      <c r="C5229" t="s">
        <v>975</v>
      </c>
      <c r="D5229" t="s">
        <v>965</v>
      </c>
      <c r="E5229" t="s">
        <v>676</v>
      </c>
      <c r="F5229" t="s">
        <v>677</v>
      </c>
      <c r="G5229" t="s">
        <v>963</v>
      </c>
      <c r="H5229">
        <v>96</v>
      </c>
      <c r="I5229">
        <v>0.43843799999999999</v>
      </c>
      <c r="J5229">
        <v>0.74263500000000005</v>
      </c>
      <c r="K5229">
        <v>0.30419800000000002</v>
      </c>
      <c r="L5229">
        <v>80</v>
      </c>
      <c r="M5229">
        <v>6</v>
      </c>
      <c r="N5229">
        <v>10</v>
      </c>
      <c r="O5229">
        <v>0.77551800000000004</v>
      </c>
      <c r="P5229">
        <v>0.35122100000000001</v>
      </c>
      <c r="Q5229">
        <v>0.247088</v>
      </c>
    </row>
    <row r="5230" spans="1:17" x14ac:dyDescent="0.25">
      <c r="A5230" t="str">
        <f>IF(C5230&amp;G5230&amp;D5230&lt;&gt;'Funnel setup'!$K$3&amp;'Funnel setup'!$K$4&amp;'Funnel setup'!$K$6,".",IF(A5229=".",1,A5229+1))</f>
        <v>.</v>
      </c>
      <c r="B5230" s="244" t="str">
        <f t="shared" si="81"/>
        <v>Total Knee ReplacementProviderUNIVERSITY HOSPITALS BRISTOL AND WESTON NHS FOUNDATION TRUST (RA7)EQ-5D Index</v>
      </c>
      <c r="C5230" t="s">
        <v>975</v>
      </c>
      <c r="D5230" t="s">
        <v>965</v>
      </c>
      <c r="E5230" t="s">
        <v>680</v>
      </c>
      <c r="F5230" t="s">
        <v>681</v>
      </c>
      <c r="G5230" t="s">
        <v>963</v>
      </c>
      <c r="H5230">
        <v>17</v>
      </c>
      <c r="I5230">
        <v>0.20452899999999999</v>
      </c>
      <c r="J5230">
        <v>0.67676499999999995</v>
      </c>
      <c r="K5230">
        <v>0.47223500000000002</v>
      </c>
      <c r="L5230">
        <v>16</v>
      </c>
      <c r="M5230">
        <v>0</v>
      </c>
      <c r="N5230">
        <v>1</v>
      </c>
      <c r="O5230" t="s">
        <v>127</v>
      </c>
      <c r="P5230" t="s">
        <v>127</v>
      </c>
      <c r="Q5230" t="s">
        <v>127</v>
      </c>
    </row>
    <row r="5231" spans="1:17" x14ac:dyDescent="0.25">
      <c r="A5231" t="str">
        <f>IF(C5231&amp;G5231&amp;D5231&lt;&gt;'Funnel setup'!$K$3&amp;'Funnel setup'!$K$4&amp;'Funnel setup'!$K$6,".",IF(A5230=".",1,A5230+1))</f>
        <v>.</v>
      </c>
      <c r="B5231" s="244" t="str">
        <f t="shared" si="81"/>
        <v>Total Knee ReplacementProviderUNIVERSITY HOSPITALS COVENTRY AND WARWICKSHIRE NHS TRUST (RKB)EQ-5D Index</v>
      </c>
      <c r="C5231" t="s">
        <v>975</v>
      </c>
      <c r="D5231" t="s">
        <v>965</v>
      </c>
      <c r="E5231" t="s">
        <v>682</v>
      </c>
      <c r="F5231" t="s">
        <v>683</v>
      </c>
      <c r="G5231" t="s">
        <v>963</v>
      </c>
      <c r="H5231">
        <v>20</v>
      </c>
      <c r="I5231">
        <v>0.38285000000000002</v>
      </c>
      <c r="J5231">
        <v>0.83499999999999996</v>
      </c>
      <c r="K5231">
        <v>0.45215</v>
      </c>
      <c r="L5231">
        <v>20</v>
      </c>
      <c r="M5231">
        <v>0</v>
      </c>
      <c r="N5231">
        <v>0</v>
      </c>
      <c r="O5231" t="s">
        <v>127</v>
      </c>
      <c r="P5231" t="s">
        <v>127</v>
      </c>
      <c r="Q5231" t="s">
        <v>127</v>
      </c>
    </row>
    <row r="5232" spans="1:17" x14ac:dyDescent="0.25">
      <c r="A5232" t="str">
        <f>IF(C5232&amp;G5232&amp;D5232&lt;&gt;'Funnel setup'!$K$3&amp;'Funnel setup'!$K$4&amp;'Funnel setup'!$K$6,".",IF(A5231=".",1,A5231+1))</f>
        <v>.</v>
      </c>
      <c r="B5232" s="244" t="str">
        <f t="shared" si="81"/>
        <v>Total Knee ReplacementProviderUNIVERSITY HOSPITAL DORSET NHS FUNDATION TRUST (R0D)EQ-5D Index</v>
      </c>
      <c r="C5232" t="s">
        <v>975</v>
      </c>
      <c r="D5232" t="s">
        <v>965</v>
      </c>
      <c r="E5232" t="s">
        <v>684</v>
      </c>
      <c r="F5232" t="s">
        <v>966</v>
      </c>
      <c r="G5232" t="s">
        <v>963</v>
      </c>
      <c r="H5232">
        <v>196</v>
      </c>
      <c r="I5232">
        <v>0.49185699999999999</v>
      </c>
      <c r="J5232">
        <v>0.75099000000000005</v>
      </c>
      <c r="K5232">
        <v>0.259133</v>
      </c>
      <c r="L5232">
        <v>157</v>
      </c>
      <c r="M5232">
        <v>16</v>
      </c>
      <c r="N5232">
        <v>23</v>
      </c>
      <c r="O5232">
        <v>0.74423399999999995</v>
      </c>
      <c r="P5232">
        <v>0.31993700000000003</v>
      </c>
      <c r="Q5232">
        <v>0.217976</v>
      </c>
    </row>
    <row r="5233" spans="1:17" x14ac:dyDescent="0.25">
      <c r="A5233" t="str">
        <f>IF(C5233&amp;G5233&amp;D5233&lt;&gt;'Funnel setup'!$K$3&amp;'Funnel setup'!$K$4&amp;'Funnel setup'!$K$6,".",IF(A5232=".",1,A5232+1))</f>
        <v>.</v>
      </c>
      <c r="B5233" s="244" t="str">
        <f t="shared" si="81"/>
        <v>Total Knee ReplacementProviderUNIVERSITY HOSPITALS OF DERBY AND BURTON NHS FOUNDATION TRUST (RTG)EQ-5D Index</v>
      </c>
      <c r="C5233" t="s">
        <v>975</v>
      </c>
      <c r="D5233" t="s">
        <v>965</v>
      </c>
      <c r="E5233" t="s">
        <v>686</v>
      </c>
      <c r="F5233" t="s">
        <v>687</v>
      </c>
      <c r="G5233" t="s">
        <v>963</v>
      </c>
      <c r="H5233">
        <v>375</v>
      </c>
      <c r="I5233">
        <v>0.42997299999999999</v>
      </c>
      <c r="J5233">
        <v>0.73121599999999998</v>
      </c>
      <c r="K5233">
        <v>0.30124299999999998</v>
      </c>
      <c r="L5233">
        <v>297</v>
      </c>
      <c r="M5233">
        <v>39</v>
      </c>
      <c r="N5233">
        <v>39</v>
      </c>
      <c r="O5233">
        <v>0.74090299999999998</v>
      </c>
      <c r="P5233">
        <v>0.316606</v>
      </c>
      <c r="Q5233">
        <v>0.23977399999999999</v>
      </c>
    </row>
    <row r="5234" spans="1:17" x14ac:dyDescent="0.25">
      <c r="A5234" t="str">
        <f>IF(C5234&amp;G5234&amp;D5234&lt;&gt;'Funnel setup'!$K$3&amp;'Funnel setup'!$K$4&amp;'Funnel setup'!$K$6,".",IF(A5233=".",1,A5233+1))</f>
        <v>.</v>
      </c>
      <c r="B5234" s="244" t="str">
        <f t="shared" si="81"/>
        <v>Total Knee ReplacementProviderUNIVERSITY HOSPITALS OF LEICESTER NHS TRUST (RWE)EQ-5D Index</v>
      </c>
      <c r="C5234" t="s">
        <v>975</v>
      </c>
      <c r="D5234" t="s">
        <v>965</v>
      </c>
      <c r="E5234" t="s">
        <v>688</v>
      </c>
      <c r="F5234" t="s">
        <v>689</v>
      </c>
      <c r="G5234" t="s">
        <v>963</v>
      </c>
      <c r="H5234">
        <v>178</v>
      </c>
      <c r="I5234">
        <v>0.33224199999999998</v>
      </c>
      <c r="J5234">
        <v>0.67857900000000004</v>
      </c>
      <c r="K5234">
        <v>0.34633700000000001</v>
      </c>
      <c r="L5234">
        <v>139</v>
      </c>
      <c r="M5234">
        <v>20</v>
      </c>
      <c r="N5234">
        <v>19</v>
      </c>
      <c r="O5234">
        <v>0.73043800000000003</v>
      </c>
      <c r="P5234">
        <v>0.306141</v>
      </c>
      <c r="Q5234">
        <v>0.24732599999999999</v>
      </c>
    </row>
    <row r="5235" spans="1:17" x14ac:dyDescent="0.25">
      <c r="A5235" t="str">
        <f>IF(C5235&amp;G5235&amp;D5235&lt;&gt;'Funnel setup'!$K$3&amp;'Funnel setup'!$K$4&amp;'Funnel setup'!$K$6,".",IF(A5234=".",1,A5234+1))</f>
        <v>.</v>
      </c>
      <c r="B5235" s="244" t="str">
        <f t="shared" si="81"/>
        <v>Total Knee ReplacementProviderUNIVERSITY HOSPITALS OF MORECAMBE BAY NHS FOUNDATION TRUST (RTX)EQ-5D Index</v>
      </c>
      <c r="C5235" t="s">
        <v>975</v>
      </c>
      <c r="D5235" t="s">
        <v>965</v>
      </c>
      <c r="E5235" t="s">
        <v>690</v>
      </c>
      <c r="F5235" t="s">
        <v>691</v>
      </c>
      <c r="G5235" t="s">
        <v>963</v>
      </c>
      <c r="H5235">
        <v>160</v>
      </c>
      <c r="I5235">
        <v>0.412213</v>
      </c>
      <c r="J5235">
        <v>0.74275599999999997</v>
      </c>
      <c r="K5235">
        <v>0.330544</v>
      </c>
      <c r="L5235">
        <v>128</v>
      </c>
      <c r="M5235">
        <v>12</v>
      </c>
      <c r="N5235">
        <v>20</v>
      </c>
      <c r="O5235">
        <v>0.74026099999999995</v>
      </c>
      <c r="P5235">
        <v>0.31596400000000002</v>
      </c>
      <c r="Q5235">
        <v>0.24182300000000001</v>
      </c>
    </row>
    <row r="5236" spans="1:17" x14ac:dyDescent="0.25">
      <c r="A5236" t="str">
        <f>IF(C5236&amp;G5236&amp;D5236&lt;&gt;'Funnel setup'!$K$3&amp;'Funnel setup'!$K$4&amp;'Funnel setup'!$K$6,".",IF(A5235=".",1,A5235+1))</f>
        <v>.</v>
      </c>
      <c r="B5236" s="244" t="str">
        <f t="shared" si="81"/>
        <v>Total Knee ReplacementProviderUNIVERSITY HOSPITALS OF NORTH MIDLANDS NHS TRUST (RJE)EQ-5D Index</v>
      </c>
      <c r="C5236" t="s">
        <v>975</v>
      </c>
      <c r="D5236" t="s">
        <v>965</v>
      </c>
      <c r="E5236" t="s">
        <v>692</v>
      </c>
      <c r="F5236" t="s">
        <v>693</v>
      </c>
      <c r="G5236" t="s">
        <v>963</v>
      </c>
      <c r="H5236">
        <v>19</v>
      </c>
      <c r="I5236">
        <v>0.245474</v>
      </c>
      <c r="J5236">
        <v>0.62884200000000001</v>
      </c>
      <c r="K5236">
        <v>0.38336799999999999</v>
      </c>
      <c r="L5236">
        <v>17</v>
      </c>
      <c r="M5236">
        <v>1</v>
      </c>
      <c r="N5236">
        <v>1</v>
      </c>
      <c r="O5236" t="s">
        <v>127</v>
      </c>
      <c r="P5236" t="s">
        <v>127</v>
      </c>
      <c r="Q5236" t="s">
        <v>127</v>
      </c>
    </row>
    <row r="5237" spans="1:17" x14ac:dyDescent="0.25">
      <c r="A5237" t="str">
        <f>IF(C5237&amp;G5237&amp;D5237&lt;&gt;'Funnel setup'!$K$3&amp;'Funnel setup'!$K$4&amp;'Funnel setup'!$K$6,".",IF(A5236=".",1,A5236+1))</f>
        <v>.</v>
      </c>
      <c r="B5237" s="244" t="str">
        <f t="shared" si="81"/>
        <v>Total Knee ReplacementProviderUNIVERSITY HOSPITALS PLYMOUTH NHS TRUST (RK9)EQ-5D Index</v>
      </c>
      <c r="C5237" t="s">
        <v>975</v>
      </c>
      <c r="D5237" t="s">
        <v>965</v>
      </c>
      <c r="E5237" t="s">
        <v>694</v>
      </c>
      <c r="F5237" t="s">
        <v>695</v>
      </c>
      <c r="G5237" t="s">
        <v>963</v>
      </c>
      <c r="H5237">
        <v>4</v>
      </c>
      <c r="I5237">
        <v>0.13125000000000001</v>
      </c>
      <c r="J5237">
        <v>0.32300000000000001</v>
      </c>
      <c r="K5237">
        <v>0.19175</v>
      </c>
      <c r="L5237">
        <v>2</v>
      </c>
      <c r="M5237">
        <v>0</v>
      </c>
      <c r="N5237">
        <v>2</v>
      </c>
      <c r="O5237" t="s">
        <v>127</v>
      </c>
      <c r="P5237" t="s">
        <v>127</v>
      </c>
      <c r="Q5237" t="s">
        <v>127</v>
      </c>
    </row>
    <row r="5238" spans="1:17" x14ac:dyDescent="0.25">
      <c r="A5238" t="str">
        <f>IF(C5238&amp;G5238&amp;D5238&lt;&gt;'Funnel setup'!$K$3&amp;'Funnel setup'!$K$4&amp;'Funnel setup'!$K$6,".",IF(A5237=".",1,A5237+1))</f>
        <v>.</v>
      </c>
      <c r="B5238" s="244" t="str">
        <f t="shared" si="81"/>
        <v>Total Knee ReplacementProviderUNIVERSITY HOSPITALS SUSSEX NHS FOUNDATION TRUST (RYR)EQ-5D Index</v>
      </c>
      <c r="C5238" t="s">
        <v>975</v>
      </c>
      <c r="D5238" t="s">
        <v>965</v>
      </c>
      <c r="E5238" t="s">
        <v>696</v>
      </c>
      <c r="F5238" t="s">
        <v>697</v>
      </c>
      <c r="G5238" t="s">
        <v>963</v>
      </c>
      <c r="H5238">
        <v>129</v>
      </c>
      <c r="I5238">
        <v>0.35906199999999999</v>
      </c>
      <c r="J5238">
        <v>0.715202</v>
      </c>
      <c r="K5238">
        <v>0.35614000000000001</v>
      </c>
      <c r="L5238">
        <v>105</v>
      </c>
      <c r="M5238">
        <v>15</v>
      </c>
      <c r="N5238">
        <v>9</v>
      </c>
      <c r="O5238">
        <v>0.72320099999999998</v>
      </c>
      <c r="P5238">
        <v>0.29890299999999997</v>
      </c>
      <c r="Q5238">
        <v>0.24290400000000001</v>
      </c>
    </row>
    <row r="5239" spans="1:17" x14ac:dyDescent="0.25">
      <c r="A5239" t="str">
        <f>IF(C5239&amp;G5239&amp;D5239&lt;&gt;'Funnel setup'!$K$3&amp;'Funnel setup'!$K$4&amp;'Funnel setup'!$K$6,".",IF(A5238=".",1,A5238+1))</f>
        <v>.</v>
      </c>
      <c r="B5239" s="244" t="str">
        <f t="shared" si="81"/>
        <v>Total Knee ReplacementProviderWALSALL HEALTHCARE NHS TRUST (RBK)EQ-5D Index</v>
      </c>
      <c r="C5239" t="s">
        <v>975</v>
      </c>
      <c r="D5239" t="s">
        <v>965</v>
      </c>
      <c r="E5239" t="s">
        <v>698</v>
      </c>
      <c r="F5239" t="s">
        <v>699</v>
      </c>
      <c r="G5239" t="s">
        <v>963</v>
      </c>
      <c r="H5239">
        <v>9</v>
      </c>
      <c r="I5239">
        <v>0.42611100000000002</v>
      </c>
      <c r="J5239">
        <v>0.751</v>
      </c>
      <c r="K5239">
        <v>0.32488899999999998</v>
      </c>
      <c r="L5239">
        <v>7</v>
      </c>
      <c r="M5239">
        <v>0</v>
      </c>
      <c r="N5239">
        <v>2</v>
      </c>
      <c r="O5239" t="s">
        <v>127</v>
      </c>
      <c r="P5239" t="s">
        <v>127</v>
      </c>
      <c r="Q5239" t="s">
        <v>127</v>
      </c>
    </row>
    <row r="5240" spans="1:17" x14ac:dyDescent="0.25">
      <c r="A5240" t="str">
        <f>IF(C5240&amp;G5240&amp;D5240&lt;&gt;'Funnel setup'!$K$3&amp;'Funnel setup'!$K$4&amp;'Funnel setup'!$K$6,".",IF(A5239=".",1,A5239+1))</f>
        <v>.</v>
      </c>
      <c r="B5240" s="244" t="str">
        <f t="shared" si="81"/>
        <v>Total Knee ReplacementProviderWARRINGTON AND HALTON TEACHING HOSPITALS NHS FOUNDATION TRUST (RWW)EQ-5D Index</v>
      </c>
      <c r="C5240" t="s">
        <v>975</v>
      </c>
      <c r="D5240" t="s">
        <v>965</v>
      </c>
      <c r="E5240" t="s">
        <v>700</v>
      </c>
      <c r="F5240" t="s">
        <v>701</v>
      </c>
      <c r="G5240" t="s">
        <v>963</v>
      </c>
      <c r="H5240">
        <v>31</v>
      </c>
      <c r="I5240">
        <v>0.40516099999999999</v>
      </c>
      <c r="J5240">
        <v>0.71722600000000003</v>
      </c>
      <c r="K5240">
        <v>0.31206499999999998</v>
      </c>
      <c r="L5240">
        <v>22</v>
      </c>
      <c r="M5240">
        <v>5</v>
      </c>
      <c r="N5240">
        <v>4</v>
      </c>
      <c r="O5240">
        <v>0.73323499999999997</v>
      </c>
      <c r="P5240">
        <v>0.30893700000000002</v>
      </c>
      <c r="Q5240">
        <v>0.21428800000000001</v>
      </c>
    </row>
    <row r="5241" spans="1:17" x14ac:dyDescent="0.25">
      <c r="A5241" t="str">
        <f>IF(C5241&amp;G5241&amp;D5241&lt;&gt;'Funnel setup'!$K$3&amp;'Funnel setup'!$K$4&amp;'Funnel setup'!$K$6,".",IF(A5240=".",1,A5240+1))</f>
        <v>.</v>
      </c>
      <c r="B5241" s="244" t="str">
        <f t="shared" si="81"/>
        <v>Total Knee ReplacementProviderWEST HERTFORDSHIRE TEACHING HOSPITALS NHS TRUST (RWG)EQ-5D Index</v>
      </c>
      <c r="C5241" t="s">
        <v>975</v>
      </c>
      <c r="D5241" t="s">
        <v>965</v>
      </c>
      <c r="E5241" t="s">
        <v>702</v>
      </c>
      <c r="F5241" t="s">
        <v>703</v>
      </c>
      <c r="G5241" t="s">
        <v>963</v>
      </c>
      <c r="H5241">
        <v>81</v>
      </c>
      <c r="I5241">
        <v>0.42687700000000001</v>
      </c>
      <c r="J5241">
        <v>0.70654300000000003</v>
      </c>
      <c r="K5241">
        <v>0.279667</v>
      </c>
      <c r="L5241">
        <v>61</v>
      </c>
      <c r="M5241">
        <v>10</v>
      </c>
      <c r="N5241">
        <v>10</v>
      </c>
      <c r="O5241">
        <v>0.70517600000000003</v>
      </c>
      <c r="P5241">
        <v>0.28087800000000002</v>
      </c>
      <c r="Q5241">
        <v>0.26091599999999998</v>
      </c>
    </row>
    <row r="5242" spans="1:17" x14ac:dyDescent="0.25">
      <c r="A5242" t="str">
        <f>IF(C5242&amp;G5242&amp;D5242&lt;&gt;'Funnel setup'!$K$3&amp;'Funnel setup'!$K$4&amp;'Funnel setup'!$K$6,".",IF(A5241=".",1,A5241+1))</f>
        <v>.</v>
      </c>
      <c r="B5242" s="244" t="str">
        <f t="shared" si="81"/>
        <v>Total Knee ReplacementProviderWEST MIDLANDS HOSPITAL (NVC21)EQ-5D Index</v>
      </c>
      <c r="C5242" t="s">
        <v>975</v>
      </c>
      <c r="D5242" t="s">
        <v>965</v>
      </c>
      <c r="E5242" t="s">
        <v>704</v>
      </c>
      <c r="F5242" t="s">
        <v>705</v>
      </c>
      <c r="G5242" t="s">
        <v>963</v>
      </c>
      <c r="H5242">
        <v>61</v>
      </c>
      <c r="I5242">
        <v>0.37414799999999998</v>
      </c>
      <c r="J5242">
        <v>0.76780300000000001</v>
      </c>
      <c r="K5242">
        <v>0.39365600000000001</v>
      </c>
      <c r="L5242">
        <v>54</v>
      </c>
      <c r="M5242">
        <v>3</v>
      </c>
      <c r="N5242">
        <v>4</v>
      </c>
      <c r="O5242">
        <v>0.78772799999999998</v>
      </c>
      <c r="P5242">
        <v>0.363431</v>
      </c>
      <c r="Q5242">
        <v>0.21384900000000001</v>
      </c>
    </row>
    <row r="5243" spans="1:17" x14ac:dyDescent="0.25">
      <c r="A5243" t="str">
        <f>IF(C5243&amp;G5243&amp;D5243&lt;&gt;'Funnel setup'!$K$3&amp;'Funnel setup'!$K$4&amp;'Funnel setup'!$K$6,".",IF(A5242=".",1,A5242+1))</f>
        <v>.</v>
      </c>
      <c r="B5243" s="244" t="str">
        <f t="shared" si="81"/>
        <v>Total Knee ReplacementProviderWEST SUFFOLK NHS FOUNDATION TRUST (RGR)EQ-5D Index</v>
      </c>
      <c r="C5243" t="s">
        <v>975</v>
      </c>
      <c r="D5243" t="s">
        <v>965</v>
      </c>
      <c r="E5243" t="s">
        <v>706</v>
      </c>
      <c r="F5243" t="s">
        <v>707</v>
      </c>
      <c r="G5243" t="s">
        <v>963</v>
      </c>
      <c r="H5243">
        <v>71</v>
      </c>
      <c r="I5243">
        <v>0.370394</v>
      </c>
      <c r="J5243">
        <v>0.73671799999999998</v>
      </c>
      <c r="K5243">
        <v>0.36632399999999998</v>
      </c>
      <c r="L5243">
        <v>57</v>
      </c>
      <c r="M5243">
        <v>5</v>
      </c>
      <c r="N5243">
        <v>9</v>
      </c>
      <c r="O5243">
        <v>0.73002199999999995</v>
      </c>
      <c r="P5243">
        <v>0.30572500000000002</v>
      </c>
      <c r="Q5243">
        <v>0.250801</v>
      </c>
    </row>
    <row r="5244" spans="1:17" x14ac:dyDescent="0.25">
      <c r="A5244" t="str">
        <f>IF(C5244&amp;G5244&amp;D5244&lt;&gt;'Funnel setup'!$K$3&amp;'Funnel setup'!$K$4&amp;'Funnel setup'!$K$6,".",IF(A5243=".",1,A5243+1))</f>
        <v>.</v>
      </c>
      <c r="B5244" s="244" t="str">
        <f t="shared" si="81"/>
        <v>Total Knee ReplacementProviderWINFIELD HOSPITAL (NVC22)EQ-5D Index</v>
      </c>
      <c r="C5244" t="s">
        <v>975</v>
      </c>
      <c r="D5244" t="s">
        <v>965</v>
      </c>
      <c r="E5244" t="s">
        <v>710</v>
      </c>
      <c r="F5244" t="s">
        <v>711</v>
      </c>
      <c r="G5244" t="s">
        <v>963</v>
      </c>
      <c r="H5244">
        <v>51</v>
      </c>
      <c r="I5244">
        <v>0.55607799999999996</v>
      </c>
      <c r="J5244">
        <v>0.81566700000000003</v>
      </c>
      <c r="K5244">
        <v>0.25958799999999999</v>
      </c>
      <c r="L5244">
        <v>45</v>
      </c>
      <c r="M5244">
        <v>4</v>
      </c>
      <c r="N5244">
        <v>2</v>
      </c>
      <c r="O5244">
        <v>0.76272899999999999</v>
      </c>
      <c r="P5244">
        <v>0.33843200000000001</v>
      </c>
      <c r="Q5244">
        <v>0.22453999999999999</v>
      </c>
    </row>
    <row r="5245" spans="1:17" x14ac:dyDescent="0.25">
      <c r="A5245" t="str">
        <f>IF(C5245&amp;G5245&amp;D5245&lt;&gt;'Funnel setup'!$K$3&amp;'Funnel setup'!$K$4&amp;'Funnel setup'!$K$6,".",IF(A5244=".",1,A5244+1))</f>
        <v>.</v>
      </c>
      <c r="B5245" s="244" t="str">
        <f t="shared" si="81"/>
        <v>Total Knee ReplacementProviderWINTERBOURNE HOSPITAL (NT443)EQ-5D Index</v>
      </c>
      <c r="C5245" t="s">
        <v>975</v>
      </c>
      <c r="D5245" t="s">
        <v>965</v>
      </c>
      <c r="E5245" t="s">
        <v>712</v>
      </c>
      <c r="F5245" t="s">
        <v>713</v>
      </c>
      <c r="G5245" t="s">
        <v>963</v>
      </c>
      <c r="H5245">
        <v>39</v>
      </c>
      <c r="I5245">
        <v>0.47051300000000001</v>
      </c>
      <c r="J5245">
        <v>0.83310300000000004</v>
      </c>
      <c r="K5245">
        <v>0.36259000000000002</v>
      </c>
      <c r="L5245">
        <v>35</v>
      </c>
      <c r="M5245">
        <v>0</v>
      </c>
      <c r="N5245">
        <v>4</v>
      </c>
      <c r="O5245">
        <v>0.79154800000000003</v>
      </c>
      <c r="P5245">
        <v>0.36725000000000002</v>
      </c>
      <c r="Q5245">
        <v>0.21779100000000001</v>
      </c>
    </row>
    <row r="5246" spans="1:17" x14ac:dyDescent="0.25">
      <c r="A5246" t="str">
        <f>IF(C5246&amp;G5246&amp;D5246&lt;&gt;'Funnel setup'!$K$3&amp;'Funnel setup'!$K$4&amp;'Funnel setup'!$K$6,".",IF(A5245=".",1,A5245+1))</f>
        <v>.</v>
      </c>
      <c r="B5246" s="244" t="str">
        <f t="shared" si="81"/>
        <v>Total Knee ReplacementProviderWIRRAL UNIVERSITY TEACHING HOSPITAL NHS FOUNDATION TRUST (RBL)EQ-5D Index</v>
      </c>
      <c r="C5246" t="s">
        <v>975</v>
      </c>
      <c r="D5246" t="s">
        <v>965</v>
      </c>
      <c r="E5246" t="s">
        <v>714</v>
      </c>
      <c r="F5246" t="s">
        <v>715</v>
      </c>
      <c r="G5246" t="s">
        <v>963</v>
      </c>
      <c r="H5246">
        <v>83</v>
      </c>
      <c r="I5246">
        <v>0.39540999999999998</v>
      </c>
      <c r="J5246">
        <v>0.75295199999999995</v>
      </c>
      <c r="K5246">
        <v>0.35754200000000003</v>
      </c>
      <c r="L5246">
        <v>71</v>
      </c>
      <c r="M5246">
        <v>2</v>
      </c>
      <c r="N5246">
        <v>10</v>
      </c>
      <c r="O5246">
        <v>0.752386</v>
      </c>
      <c r="P5246">
        <v>0.32808799999999999</v>
      </c>
      <c r="Q5246">
        <v>0.250276</v>
      </c>
    </row>
    <row r="5247" spans="1:17" x14ac:dyDescent="0.25">
      <c r="A5247" t="str">
        <f>IF(C5247&amp;G5247&amp;D5247&lt;&gt;'Funnel setup'!$K$3&amp;'Funnel setup'!$K$4&amp;'Funnel setup'!$K$6,".",IF(A5246=".",1,A5246+1))</f>
        <v>.</v>
      </c>
      <c r="B5247" s="244" t="str">
        <f t="shared" si="81"/>
        <v>Total Knee ReplacementProviderWOODLAND HOSPITAL (NVC23)EQ-5D Index</v>
      </c>
      <c r="C5247" t="s">
        <v>975</v>
      </c>
      <c r="D5247" t="s">
        <v>965</v>
      </c>
      <c r="E5247" t="s">
        <v>716</v>
      </c>
      <c r="F5247" t="s">
        <v>717</v>
      </c>
      <c r="G5247" t="s">
        <v>963</v>
      </c>
      <c r="H5247">
        <v>62</v>
      </c>
      <c r="I5247">
        <v>0.277339</v>
      </c>
      <c r="J5247">
        <v>0.75059699999999996</v>
      </c>
      <c r="K5247">
        <v>0.47325800000000001</v>
      </c>
      <c r="L5247">
        <v>54</v>
      </c>
      <c r="M5247">
        <v>6</v>
      </c>
      <c r="N5247">
        <v>2</v>
      </c>
      <c r="O5247">
        <v>0.762544</v>
      </c>
      <c r="P5247">
        <v>0.33824700000000002</v>
      </c>
      <c r="Q5247">
        <v>0.22401699999999999</v>
      </c>
    </row>
    <row r="5248" spans="1:17" x14ac:dyDescent="0.25">
      <c r="A5248" t="str">
        <f>IF(C5248&amp;G5248&amp;D5248&lt;&gt;'Funnel setup'!$K$3&amp;'Funnel setup'!$K$4&amp;'Funnel setup'!$K$6,".",IF(A5247=".",1,A5247+1))</f>
        <v>.</v>
      </c>
      <c r="B5248" s="244" t="str">
        <f t="shared" si="81"/>
        <v>Total Knee ReplacementProviderWOODLANDS HOSPITAL (NT457)EQ-5D Index</v>
      </c>
      <c r="C5248" t="s">
        <v>975</v>
      </c>
      <c r="D5248" t="s">
        <v>965</v>
      </c>
      <c r="E5248" t="s">
        <v>718</v>
      </c>
      <c r="F5248" t="s">
        <v>719</v>
      </c>
      <c r="G5248" t="s">
        <v>963</v>
      </c>
      <c r="H5248">
        <v>86</v>
      </c>
      <c r="I5248">
        <v>0.46247700000000003</v>
      </c>
      <c r="J5248">
        <v>0.78100000000000003</v>
      </c>
      <c r="K5248">
        <v>0.318523</v>
      </c>
      <c r="L5248">
        <v>67</v>
      </c>
      <c r="M5248">
        <v>8</v>
      </c>
      <c r="N5248">
        <v>11</v>
      </c>
      <c r="O5248">
        <v>0.74385999999999997</v>
      </c>
      <c r="P5248">
        <v>0.31956200000000001</v>
      </c>
      <c r="Q5248">
        <v>0.26663100000000001</v>
      </c>
    </row>
    <row r="5249" spans="1:17" x14ac:dyDescent="0.25">
      <c r="A5249" t="str">
        <f>IF(C5249&amp;G5249&amp;D5249&lt;&gt;'Funnel setup'!$K$3&amp;'Funnel setup'!$K$4&amp;'Funnel setup'!$K$6,".",IF(A5248=".",1,A5248+1))</f>
        <v>.</v>
      </c>
      <c r="B5249" s="244" t="str">
        <f t="shared" si="81"/>
        <v>Total Knee ReplacementProviderWOODTHORPE HOSPITAL (NVC40)EQ-5D Index</v>
      </c>
      <c r="C5249" t="s">
        <v>975</v>
      </c>
      <c r="D5249" t="s">
        <v>965</v>
      </c>
      <c r="E5249" t="s">
        <v>720</v>
      </c>
      <c r="F5249" t="s">
        <v>721</v>
      </c>
      <c r="G5249" t="s">
        <v>963</v>
      </c>
      <c r="H5249">
        <v>116</v>
      </c>
      <c r="I5249">
        <v>0.46853400000000001</v>
      </c>
      <c r="J5249">
        <v>0.75562700000000005</v>
      </c>
      <c r="K5249">
        <v>0.28709299999999999</v>
      </c>
      <c r="L5249">
        <v>95</v>
      </c>
      <c r="M5249">
        <v>6</v>
      </c>
      <c r="N5249">
        <v>15</v>
      </c>
      <c r="O5249">
        <v>0.71878500000000001</v>
      </c>
      <c r="P5249">
        <v>0.29448800000000003</v>
      </c>
      <c r="Q5249">
        <v>0.20405400000000001</v>
      </c>
    </row>
    <row r="5250" spans="1:17" x14ac:dyDescent="0.25">
      <c r="A5250" t="str">
        <f>IF(C5250&amp;G5250&amp;D5250&lt;&gt;'Funnel setup'!$K$3&amp;'Funnel setup'!$K$4&amp;'Funnel setup'!$K$6,".",IF(A5249=".",1,A5249+1))</f>
        <v>.</v>
      </c>
      <c r="B5250" s="244" t="str">
        <f t="shared" ref="B5250:B5313" si="82">C5250&amp;D5250&amp;F5250&amp;G5250</f>
        <v>Total Knee ReplacementProviderWORCESTERSHIRE ACUTE HOSPITALS NHS TRUST (RWP)EQ-5D Index</v>
      </c>
      <c r="C5250" t="s">
        <v>975</v>
      </c>
      <c r="D5250" t="s">
        <v>965</v>
      </c>
      <c r="E5250" t="s">
        <v>722</v>
      </c>
      <c r="F5250" t="s">
        <v>723</v>
      </c>
      <c r="G5250" t="s">
        <v>963</v>
      </c>
      <c r="H5250">
        <v>49</v>
      </c>
      <c r="I5250">
        <v>0.32134699999999999</v>
      </c>
      <c r="J5250">
        <v>0.68504100000000001</v>
      </c>
      <c r="K5250">
        <v>0.36369400000000002</v>
      </c>
      <c r="L5250">
        <v>40</v>
      </c>
      <c r="M5250">
        <v>2</v>
      </c>
      <c r="N5250">
        <v>7</v>
      </c>
      <c r="O5250">
        <v>0.70919699999999997</v>
      </c>
      <c r="P5250">
        <v>0.28489900000000001</v>
      </c>
      <c r="Q5250">
        <v>0.25091999999999998</v>
      </c>
    </row>
    <row r="5251" spans="1:17" x14ac:dyDescent="0.25">
      <c r="A5251" t="str">
        <f>IF(C5251&amp;G5251&amp;D5251&lt;&gt;'Funnel setup'!$K$3&amp;'Funnel setup'!$K$4&amp;'Funnel setup'!$K$6,".",IF(A5250=".",1,A5250+1))</f>
        <v>.</v>
      </c>
      <c r="B5251" s="244" t="str">
        <f t="shared" si="82"/>
        <v>Total Knee ReplacementProviderWRIGHTINGTON, WIGAN AND LEIGH NHS FOUNDATION TRUST (RRF)EQ-5D Index</v>
      </c>
      <c r="C5251" t="s">
        <v>975</v>
      </c>
      <c r="D5251" t="s">
        <v>965</v>
      </c>
      <c r="E5251" t="s">
        <v>724</v>
      </c>
      <c r="F5251" t="s">
        <v>725</v>
      </c>
      <c r="G5251" t="s">
        <v>963</v>
      </c>
      <c r="H5251">
        <v>12</v>
      </c>
      <c r="I5251">
        <v>0.46008300000000002</v>
      </c>
      <c r="J5251">
        <v>0.73491700000000004</v>
      </c>
      <c r="K5251">
        <v>0.27483299999999999</v>
      </c>
      <c r="L5251">
        <v>8</v>
      </c>
      <c r="M5251">
        <v>1</v>
      </c>
      <c r="N5251">
        <v>3</v>
      </c>
      <c r="O5251" t="s">
        <v>127</v>
      </c>
      <c r="P5251" t="s">
        <v>127</v>
      </c>
      <c r="Q5251" t="s">
        <v>127</v>
      </c>
    </row>
    <row r="5252" spans="1:17" x14ac:dyDescent="0.25">
      <c r="A5252" t="str">
        <f>IF(C5252&amp;G5252&amp;D5252&lt;&gt;'Funnel setup'!$K$3&amp;'Funnel setup'!$K$4&amp;'Funnel setup'!$K$6,".",IF(A5251=".",1,A5251+1))</f>
        <v>.</v>
      </c>
      <c r="B5252" s="244" t="str">
        <f t="shared" si="82"/>
        <v>Total Knee ReplacementProviderWYE VALLEY NHS TRUST (RLQ)EQ-5D Index</v>
      </c>
      <c r="C5252" t="s">
        <v>975</v>
      </c>
      <c r="D5252" t="s">
        <v>965</v>
      </c>
      <c r="E5252" t="s">
        <v>726</v>
      </c>
      <c r="F5252" t="s">
        <v>727</v>
      </c>
      <c r="G5252" t="s">
        <v>963</v>
      </c>
      <c r="H5252">
        <v>33</v>
      </c>
      <c r="I5252">
        <v>0.53878800000000004</v>
      </c>
      <c r="J5252">
        <v>0.74551500000000004</v>
      </c>
      <c r="K5252">
        <v>0.20672699999999999</v>
      </c>
      <c r="L5252">
        <v>27</v>
      </c>
      <c r="M5252">
        <v>3</v>
      </c>
      <c r="N5252">
        <v>3</v>
      </c>
      <c r="O5252">
        <v>0.74237799999999998</v>
      </c>
      <c r="P5252">
        <v>0.318081</v>
      </c>
      <c r="Q5252">
        <v>0.213976</v>
      </c>
    </row>
    <row r="5253" spans="1:17" x14ac:dyDescent="0.25">
      <c r="A5253" t="str">
        <f>IF(C5253&amp;G5253&amp;D5253&lt;&gt;'Funnel setup'!$K$3&amp;'Funnel setup'!$K$4&amp;'Funnel setup'!$K$6,".",IF(A5252=".",1,A5252+1))</f>
        <v>.</v>
      </c>
      <c r="B5253" s="244" t="str">
        <f t="shared" si="82"/>
        <v>Total Knee ReplacementProviderYEOVIL DISTRICT HOSPITAL NHS FOUNDATION TRUST (RA4)EQ-5D Index</v>
      </c>
      <c r="C5253" t="s">
        <v>975</v>
      </c>
      <c r="D5253" t="s">
        <v>965</v>
      </c>
      <c r="E5253" t="s">
        <v>728</v>
      </c>
      <c r="F5253" t="s">
        <v>729</v>
      </c>
      <c r="G5253" t="s">
        <v>963</v>
      </c>
      <c r="H5253" t="s">
        <v>968</v>
      </c>
      <c r="I5253" t="s">
        <v>968</v>
      </c>
      <c r="J5253" t="s">
        <v>968</v>
      </c>
      <c r="K5253" t="s">
        <v>968</v>
      </c>
      <c r="L5253" t="s">
        <v>968</v>
      </c>
      <c r="M5253" t="s">
        <v>968</v>
      </c>
      <c r="N5253" t="s">
        <v>968</v>
      </c>
      <c r="O5253" t="s">
        <v>968</v>
      </c>
      <c r="P5253" t="s">
        <v>968</v>
      </c>
      <c r="Q5253" t="s">
        <v>968</v>
      </c>
    </row>
    <row r="5254" spans="1:17" x14ac:dyDescent="0.25">
      <c r="A5254" t="str">
        <f>IF(C5254&amp;G5254&amp;D5254&lt;&gt;'Funnel setup'!$K$3&amp;'Funnel setup'!$K$4&amp;'Funnel setup'!$K$6,".",IF(A5253=".",1,A5253+1))</f>
        <v>.</v>
      </c>
      <c r="B5254" s="244" t="str">
        <f t="shared" si="82"/>
        <v>Total Knee ReplacementProviderSULIS HOSPITAL BATHOxford Knee Score</v>
      </c>
      <c r="C5254" t="s">
        <v>975</v>
      </c>
      <c r="D5254" t="s">
        <v>965</v>
      </c>
      <c r="E5254" t="s">
        <v>732</v>
      </c>
      <c r="F5254" t="s">
        <v>1325</v>
      </c>
      <c r="G5254" t="s">
        <v>972</v>
      </c>
      <c r="H5254">
        <v>38</v>
      </c>
      <c r="I5254">
        <v>20.236799999999999</v>
      </c>
      <c r="J5254">
        <v>38.526299999999999</v>
      </c>
      <c r="K5254">
        <v>18.2895</v>
      </c>
      <c r="L5254">
        <v>34</v>
      </c>
      <c r="M5254">
        <v>1</v>
      </c>
      <c r="N5254">
        <v>3</v>
      </c>
      <c r="O5254">
        <v>37.592100000000002</v>
      </c>
      <c r="P5254">
        <v>18.323499999999999</v>
      </c>
      <c r="Q5254">
        <v>8.95364</v>
      </c>
    </row>
    <row r="5255" spans="1:17" x14ac:dyDescent="0.25">
      <c r="A5255" t="str">
        <f>IF(C5255&amp;G5255&amp;D5255&lt;&gt;'Funnel setup'!$K$3&amp;'Funnel setup'!$K$4&amp;'Funnel setup'!$K$6,".",IF(A5254=".",1,A5254+1))</f>
        <v>.</v>
      </c>
      <c r="B5255" s="244" t="str">
        <f t="shared" si="82"/>
        <v>Total Knee ReplacementProviderAIREDALE NHS FOUNDATION TRUST (RCF)Oxford Knee Score</v>
      </c>
      <c r="C5255" t="s">
        <v>975</v>
      </c>
      <c r="D5255" t="s">
        <v>965</v>
      </c>
      <c r="E5255" t="s">
        <v>125</v>
      </c>
      <c r="F5255" t="s">
        <v>126</v>
      </c>
      <c r="G5255" t="s">
        <v>972</v>
      </c>
      <c r="H5255">
        <v>36</v>
      </c>
      <c r="I5255">
        <v>18.305599999999998</v>
      </c>
      <c r="J5255">
        <v>39.777799999999999</v>
      </c>
      <c r="K5255">
        <v>21.472200000000001</v>
      </c>
      <c r="L5255">
        <v>34</v>
      </c>
      <c r="M5255">
        <v>0</v>
      </c>
      <c r="N5255">
        <v>2</v>
      </c>
      <c r="O5255">
        <v>39.756599999999999</v>
      </c>
      <c r="P5255">
        <v>20.4879</v>
      </c>
      <c r="Q5255">
        <v>9.4446300000000001</v>
      </c>
    </row>
    <row r="5256" spans="1:17" x14ac:dyDescent="0.25">
      <c r="A5256" t="str">
        <f>IF(C5256&amp;G5256&amp;D5256&lt;&gt;'Funnel setup'!$K$3&amp;'Funnel setup'!$K$4&amp;'Funnel setup'!$K$6,".",IF(A5255=".",1,A5255+1))</f>
        <v>.</v>
      </c>
      <c r="B5256" s="244" t="str">
        <f t="shared" si="82"/>
        <v>Total Knee ReplacementProviderALEXANDRA HOSPITAL (NT401)Oxford Knee Score</v>
      </c>
      <c r="C5256" t="s">
        <v>975</v>
      </c>
      <c r="D5256" t="s">
        <v>965</v>
      </c>
      <c r="E5256" t="s">
        <v>130</v>
      </c>
      <c r="F5256" t="s">
        <v>131</v>
      </c>
      <c r="G5256" t="s">
        <v>972</v>
      </c>
      <c r="H5256">
        <v>48</v>
      </c>
      <c r="I5256">
        <v>20.5</v>
      </c>
      <c r="J5256">
        <v>37.666699999999999</v>
      </c>
      <c r="K5256">
        <v>17.166699999999999</v>
      </c>
      <c r="L5256">
        <v>47</v>
      </c>
      <c r="M5256">
        <v>0</v>
      </c>
      <c r="N5256">
        <v>1</v>
      </c>
      <c r="O5256">
        <v>36.603400000000001</v>
      </c>
      <c r="P5256">
        <v>17.334800000000001</v>
      </c>
      <c r="Q5256">
        <v>6.96746</v>
      </c>
    </row>
    <row r="5257" spans="1:17" x14ac:dyDescent="0.25">
      <c r="A5257" t="str">
        <f>IF(C5257&amp;G5257&amp;D5257&lt;&gt;'Funnel setup'!$K$3&amp;'Funnel setup'!$K$4&amp;'Funnel setup'!$K$6,".",IF(A5256=".",1,A5256+1))</f>
        <v>.</v>
      </c>
      <c r="B5257" s="244" t="str">
        <f t="shared" si="82"/>
        <v>Total Knee ReplacementProviderASHFORD AND ST PETER'S HOSPITALS NHS FOUNDATION TRUST (RTK)Oxford Knee Score</v>
      </c>
      <c r="C5257" t="s">
        <v>975</v>
      </c>
      <c r="D5257" t="s">
        <v>965</v>
      </c>
      <c r="E5257" t="s">
        <v>132</v>
      </c>
      <c r="F5257" t="s">
        <v>133</v>
      </c>
      <c r="G5257" t="s">
        <v>972</v>
      </c>
      <c r="H5257">
        <v>32</v>
      </c>
      <c r="I5257">
        <v>22.8125</v>
      </c>
      <c r="J5257">
        <v>38.8125</v>
      </c>
      <c r="K5257">
        <v>16</v>
      </c>
      <c r="L5257">
        <v>29</v>
      </c>
      <c r="M5257">
        <v>1</v>
      </c>
      <c r="N5257">
        <v>2</v>
      </c>
      <c r="O5257">
        <v>36.597799999999999</v>
      </c>
      <c r="P5257">
        <v>17.3291</v>
      </c>
      <c r="Q5257">
        <v>7.9672900000000002</v>
      </c>
    </row>
    <row r="5258" spans="1:17" x14ac:dyDescent="0.25">
      <c r="A5258" t="str">
        <f>IF(C5258&amp;G5258&amp;D5258&lt;&gt;'Funnel setup'!$K$3&amp;'Funnel setup'!$K$4&amp;'Funnel setup'!$K$6,".",IF(A5257=".",1,A5257+1))</f>
        <v>.</v>
      </c>
      <c r="B5258" s="244" t="str">
        <f t="shared" si="82"/>
        <v>Total Knee ReplacementProviderASHTEAD HOSPITAL (NVC01)Oxford Knee Score</v>
      </c>
      <c r="C5258" t="s">
        <v>975</v>
      </c>
      <c r="D5258" t="s">
        <v>965</v>
      </c>
      <c r="E5258" t="s">
        <v>134</v>
      </c>
      <c r="F5258" t="s">
        <v>135</v>
      </c>
      <c r="G5258" t="s">
        <v>972</v>
      </c>
      <c r="H5258">
        <v>5</v>
      </c>
      <c r="I5258">
        <v>28</v>
      </c>
      <c r="J5258">
        <v>44.4</v>
      </c>
      <c r="K5258">
        <v>16.399999999999999</v>
      </c>
      <c r="L5258">
        <v>5</v>
      </c>
      <c r="M5258">
        <v>0</v>
      </c>
      <c r="N5258">
        <v>0</v>
      </c>
      <c r="O5258" t="s">
        <v>127</v>
      </c>
      <c r="P5258" t="s">
        <v>127</v>
      </c>
      <c r="Q5258" t="s">
        <v>127</v>
      </c>
    </row>
    <row r="5259" spans="1:17" x14ac:dyDescent="0.25">
      <c r="A5259" t="str">
        <f>IF(C5259&amp;G5259&amp;D5259&lt;&gt;'Funnel setup'!$K$3&amp;'Funnel setup'!$K$4&amp;'Funnel setup'!$K$6,".",IF(A5258=".",1,A5258+1))</f>
        <v>.</v>
      </c>
      <c r="B5259" s="244" t="str">
        <f t="shared" si="82"/>
        <v>Total Knee ReplacementProviderBARKING, HAVERING AND REDBRIDGE UNIVERSITY HOSPITALS NHS TRUST (RF4)Oxford Knee Score</v>
      </c>
      <c r="C5259" t="s">
        <v>975</v>
      </c>
      <c r="D5259" t="s">
        <v>965</v>
      </c>
      <c r="E5259" t="s">
        <v>144</v>
      </c>
      <c r="F5259" t="s">
        <v>145</v>
      </c>
      <c r="G5259" t="s">
        <v>972</v>
      </c>
      <c r="H5259">
        <v>66</v>
      </c>
      <c r="I5259">
        <v>16.954499999999999</v>
      </c>
      <c r="J5259">
        <v>33.4848</v>
      </c>
      <c r="K5259">
        <v>16.5303</v>
      </c>
      <c r="L5259">
        <v>61</v>
      </c>
      <c r="M5259">
        <v>0</v>
      </c>
      <c r="N5259">
        <v>5</v>
      </c>
      <c r="O5259">
        <v>35.482300000000002</v>
      </c>
      <c r="P5259">
        <v>16.213699999999999</v>
      </c>
      <c r="Q5259">
        <v>9.4643999999999995</v>
      </c>
    </row>
    <row r="5260" spans="1:17" x14ac:dyDescent="0.25">
      <c r="A5260" t="str">
        <f>IF(C5260&amp;G5260&amp;D5260&lt;&gt;'Funnel setup'!$K$3&amp;'Funnel setup'!$K$4&amp;'Funnel setup'!$K$6,".",IF(A5259=".",1,A5259+1))</f>
        <v>.</v>
      </c>
      <c r="B5260" s="244" t="str">
        <f t="shared" si="82"/>
        <v>Total Knee ReplacementProviderBARNSLEY HOSPITAL NHS FOUNDATION TRUST (RFF)Oxford Knee Score</v>
      </c>
      <c r="C5260" t="s">
        <v>975</v>
      </c>
      <c r="D5260" t="s">
        <v>965</v>
      </c>
      <c r="E5260" t="s">
        <v>146</v>
      </c>
      <c r="F5260" t="s">
        <v>147</v>
      </c>
      <c r="G5260" t="s">
        <v>972</v>
      </c>
      <c r="H5260">
        <v>55</v>
      </c>
      <c r="I5260">
        <v>18.145499999999998</v>
      </c>
      <c r="J5260">
        <v>35.490900000000003</v>
      </c>
      <c r="K5260">
        <v>17.345500000000001</v>
      </c>
      <c r="L5260">
        <v>49</v>
      </c>
      <c r="M5260">
        <v>1</v>
      </c>
      <c r="N5260">
        <v>5</v>
      </c>
      <c r="O5260">
        <v>36.478900000000003</v>
      </c>
      <c r="P5260">
        <v>17.2103</v>
      </c>
      <c r="Q5260">
        <v>10.187200000000001</v>
      </c>
    </row>
    <row r="5261" spans="1:17" x14ac:dyDescent="0.25">
      <c r="A5261" t="str">
        <f>IF(C5261&amp;G5261&amp;D5261&lt;&gt;'Funnel setup'!$K$3&amp;'Funnel setup'!$K$4&amp;'Funnel setup'!$K$6,".",IF(A5260=".",1,A5260+1))</f>
        <v>.</v>
      </c>
      <c r="B5261" s="244" t="str">
        <f t="shared" si="82"/>
        <v>Total Knee ReplacementProviderBARTS HEALTH NHS TRUST (R1H)Oxford Knee Score</v>
      </c>
      <c r="C5261" t="s">
        <v>975</v>
      </c>
      <c r="D5261" t="s">
        <v>965</v>
      </c>
      <c r="E5261" t="s">
        <v>148</v>
      </c>
      <c r="F5261" t="s">
        <v>149</v>
      </c>
      <c r="G5261" t="s">
        <v>972</v>
      </c>
      <c r="H5261">
        <v>71</v>
      </c>
      <c r="I5261">
        <v>17.845099999999999</v>
      </c>
      <c r="J5261">
        <v>32.394399999999997</v>
      </c>
      <c r="K5261">
        <v>14.549300000000001</v>
      </c>
      <c r="L5261">
        <v>64</v>
      </c>
      <c r="M5261">
        <v>0</v>
      </c>
      <c r="N5261">
        <v>7</v>
      </c>
      <c r="O5261">
        <v>35.198500000000003</v>
      </c>
      <c r="P5261">
        <v>15.9299</v>
      </c>
      <c r="Q5261">
        <v>9.5566700000000004</v>
      </c>
    </row>
    <row r="5262" spans="1:17" x14ac:dyDescent="0.25">
      <c r="A5262" t="str">
        <f>IF(C5262&amp;G5262&amp;D5262&lt;&gt;'Funnel setup'!$K$3&amp;'Funnel setup'!$K$4&amp;'Funnel setup'!$K$6,".",IF(A5261=".",1,A5261+1))</f>
        <v>.</v>
      </c>
      <c r="B5262" s="244" t="str">
        <f t="shared" si="82"/>
        <v>Total Knee ReplacementProviderBATH CLINIC (NT402)Oxford Knee Score</v>
      </c>
      <c r="C5262" t="s">
        <v>975</v>
      </c>
      <c r="D5262" t="s">
        <v>965</v>
      </c>
      <c r="E5262" t="s">
        <v>152</v>
      </c>
      <c r="F5262" t="s">
        <v>153</v>
      </c>
      <c r="G5262" t="s">
        <v>972</v>
      </c>
      <c r="H5262">
        <v>57</v>
      </c>
      <c r="I5262">
        <v>18.9649</v>
      </c>
      <c r="J5262">
        <v>39.192999999999998</v>
      </c>
      <c r="K5262">
        <v>20.228100000000001</v>
      </c>
      <c r="L5262">
        <v>54</v>
      </c>
      <c r="M5262">
        <v>1</v>
      </c>
      <c r="N5262">
        <v>2</v>
      </c>
      <c r="O5262">
        <v>37.660800000000002</v>
      </c>
      <c r="P5262">
        <v>18.392199999999999</v>
      </c>
      <c r="Q5262">
        <v>7.9843799999999998</v>
      </c>
    </row>
    <row r="5263" spans="1:17" x14ac:dyDescent="0.25">
      <c r="A5263" t="str">
        <f>IF(C5263&amp;G5263&amp;D5263&lt;&gt;'Funnel setup'!$K$3&amp;'Funnel setup'!$K$4&amp;'Funnel setup'!$K$6,".",IF(A5262=".",1,A5262+1))</f>
        <v>.</v>
      </c>
      <c r="B5263" s="244" t="str">
        <f t="shared" si="82"/>
        <v>Total Knee ReplacementProviderBEARDWOOD HOSPITAL (NT403)Oxford Knee Score</v>
      </c>
      <c r="C5263" t="s">
        <v>975</v>
      </c>
      <c r="D5263" t="s">
        <v>965</v>
      </c>
      <c r="E5263" t="s">
        <v>154</v>
      </c>
      <c r="F5263" t="s">
        <v>155</v>
      </c>
      <c r="G5263" t="s">
        <v>972</v>
      </c>
      <c r="H5263">
        <v>79</v>
      </c>
      <c r="I5263">
        <v>21.25</v>
      </c>
      <c r="J5263">
        <v>38.112499999999997</v>
      </c>
      <c r="K5263">
        <v>16.862500000000001</v>
      </c>
      <c r="L5263">
        <v>75</v>
      </c>
      <c r="M5263">
        <v>1</v>
      </c>
      <c r="N5263">
        <v>3</v>
      </c>
      <c r="O5263">
        <v>36.647799999999997</v>
      </c>
      <c r="P5263">
        <v>17.379200000000001</v>
      </c>
      <c r="Q5263">
        <v>8.9458199999999994</v>
      </c>
    </row>
    <row r="5264" spans="1:17" x14ac:dyDescent="0.25">
      <c r="A5264" t="str">
        <f>IF(C5264&amp;G5264&amp;D5264&lt;&gt;'Funnel setup'!$K$3&amp;'Funnel setup'!$K$4&amp;'Funnel setup'!$K$6,".",IF(A5263=".",1,A5263+1))</f>
        <v>.</v>
      </c>
      <c r="B5264" s="244" t="str">
        <f t="shared" si="82"/>
        <v>Total Knee ReplacementProviderBEAUMONT HOSPITAL (NT404)Oxford Knee Score</v>
      </c>
      <c r="C5264" t="s">
        <v>975</v>
      </c>
      <c r="D5264" t="s">
        <v>965</v>
      </c>
      <c r="E5264" t="s">
        <v>156</v>
      </c>
      <c r="F5264" t="s">
        <v>157</v>
      </c>
      <c r="G5264" t="s">
        <v>972</v>
      </c>
      <c r="H5264">
        <v>44</v>
      </c>
      <c r="I5264">
        <v>22.0444</v>
      </c>
      <c r="J5264">
        <v>38.977800000000002</v>
      </c>
      <c r="K5264">
        <v>16.933299999999999</v>
      </c>
      <c r="L5264">
        <v>42</v>
      </c>
      <c r="M5264">
        <v>0</v>
      </c>
      <c r="N5264">
        <v>2</v>
      </c>
      <c r="O5264">
        <v>37.2453</v>
      </c>
      <c r="P5264">
        <v>17.976600000000001</v>
      </c>
      <c r="Q5264">
        <v>9.0485900000000008</v>
      </c>
    </row>
    <row r="5265" spans="1:17" x14ac:dyDescent="0.25">
      <c r="A5265" t="str">
        <f>IF(C5265&amp;G5265&amp;D5265&lt;&gt;'Funnel setup'!$K$3&amp;'Funnel setup'!$K$4&amp;'Funnel setup'!$K$6,".",IF(A5264=".",1,A5264+1))</f>
        <v>.</v>
      </c>
      <c r="B5265" s="244" t="str">
        <f t="shared" si="82"/>
        <v>Total Knee ReplacementProviderBEDFORDSHIRE HOSPITALS NHS FOUNDATION TRUST (RC9)Oxford Knee Score</v>
      </c>
      <c r="C5265" t="s">
        <v>975</v>
      </c>
      <c r="D5265" t="s">
        <v>965</v>
      </c>
      <c r="E5265" t="s">
        <v>158</v>
      </c>
      <c r="F5265" t="s">
        <v>159</v>
      </c>
      <c r="G5265" t="s">
        <v>972</v>
      </c>
      <c r="H5265">
        <v>163</v>
      </c>
      <c r="I5265">
        <v>17.079799999999999</v>
      </c>
      <c r="J5265">
        <v>34.319000000000003</v>
      </c>
      <c r="K5265">
        <v>17.2393</v>
      </c>
      <c r="L5265">
        <v>145</v>
      </c>
      <c r="M5265">
        <v>5</v>
      </c>
      <c r="N5265">
        <v>13</v>
      </c>
      <c r="O5265">
        <v>35.498699999999999</v>
      </c>
      <c r="P5265">
        <v>16.2301</v>
      </c>
      <c r="Q5265">
        <v>10.0716</v>
      </c>
    </row>
    <row r="5266" spans="1:17" x14ac:dyDescent="0.25">
      <c r="A5266" t="str">
        <f>IF(C5266&amp;G5266&amp;D5266&lt;&gt;'Funnel setup'!$K$3&amp;'Funnel setup'!$K$4&amp;'Funnel setup'!$K$6,".",IF(A5265=".",1,A5265+1))</f>
        <v>.</v>
      </c>
      <c r="B5266" s="244" t="str">
        <f t="shared" si="82"/>
        <v>Total Knee ReplacementProviderBENENDEN HOSPITAL (NWF01)Oxford Knee Score</v>
      </c>
      <c r="C5266" t="s">
        <v>975</v>
      </c>
      <c r="D5266" t="s">
        <v>965</v>
      </c>
      <c r="E5266" t="s">
        <v>160</v>
      </c>
      <c r="F5266" t="s">
        <v>161</v>
      </c>
      <c r="G5266" t="s">
        <v>972</v>
      </c>
      <c r="H5266">
        <v>26</v>
      </c>
      <c r="I5266">
        <v>24.461500000000001</v>
      </c>
      <c r="J5266">
        <v>39.192300000000003</v>
      </c>
      <c r="K5266">
        <v>14.7308</v>
      </c>
      <c r="L5266">
        <v>25</v>
      </c>
      <c r="M5266">
        <v>0</v>
      </c>
      <c r="N5266">
        <v>1</v>
      </c>
      <c r="O5266" t="s">
        <v>127</v>
      </c>
      <c r="P5266" t="s">
        <v>127</v>
      </c>
      <c r="Q5266" t="s">
        <v>127</v>
      </c>
    </row>
    <row r="5267" spans="1:17" x14ac:dyDescent="0.25">
      <c r="A5267" t="str">
        <f>IF(C5267&amp;G5267&amp;D5267&lt;&gt;'Funnel setup'!$K$3&amp;'Funnel setup'!$K$4&amp;'Funnel setup'!$K$6,".",IF(A5266=".",1,A5266+1))</f>
        <v>.</v>
      </c>
      <c r="B5267" s="244" t="str">
        <f t="shared" si="82"/>
        <v>Total Knee ReplacementProviderBLACKHEATH HOSPITAL (NT406)Oxford Knee Score</v>
      </c>
      <c r="C5267" t="s">
        <v>975</v>
      </c>
      <c r="D5267" t="s">
        <v>965</v>
      </c>
      <c r="E5267" t="s">
        <v>168</v>
      </c>
      <c r="F5267" t="s">
        <v>169</v>
      </c>
      <c r="G5267" t="s">
        <v>972</v>
      </c>
      <c r="H5267">
        <v>20</v>
      </c>
      <c r="I5267">
        <v>20.95</v>
      </c>
      <c r="J5267">
        <v>35.549999999999997</v>
      </c>
      <c r="K5267">
        <v>14.6</v>
      </c>
      <c r="L5267">
        <v>18</v>
      </c>
      <c r="M5267">
        <v>1</v>
      </c>
      <c r="N5267">
        <v>1</v>
      </c>
      <c r="O5267" t="s">
        <v>127</v>
      </c>
      <c r="P5267" t="s">
        <v>127</v>
      </c>
      <c r="Q5267" t="s">
        <v>127</v>
      </c>
    </row>
    <row r="5268" spans="1:17" x14ac:dyDescent="0.25">
      <c r="A5268" t="str">
        <f>IF(C5268&amp;G5268&amp;D5268&lt;&gt;'Funnel setup'!$K$3&amp;'Funnel setup'!$K$4&amp;'Funnel setup'!$K$6,".",IF(A5267=".",1,A5267+1))</f>
        <v>.</v>
      </c>
      <c r="B5268" s="244" t="str">
        <f t="shared" si="82"/>
        <v>Total Knee ReplacementProviderBLACKPOOL TEACHING HOSPITALS NHS FOUNDATION TRUST (RXL)Oxford Knee Score</v>
      </c>
      <c r="C5268" t="s">
        <v>975</v>
      </c>
      <c r="D5268" t="s">
        <v>965</v>
      </c>
      <c r="E5268" t="s">
        <v>170</v>
      </c>
      <c r="F5268" t="s">
        <v>171</v>
      </c>
      <c r="G5268" t="s">
        <v>972</v>
      </c>
      <c r="H5268">
        <v>61</v>
      </c>
      <c r="I5268">
        <v>20.967199999999998</v>
      </c>
      <c r="J5268">
        <v>35.377000000000002</v>
      </c>
      <c r="K5268">
        <v>14.409800000000001</v>
      </c>
      <c r="L5268">
        <v>55</v>
      </c>
      <c r="M5268">
        <v>1</v>
      </c>
      <c r="N5268">
        <v>5</v>
      </c>
      <c r="O5268">
        <v>36.039099999999998</v>
      </c>
      <c r="P5268">
        <v>16.770499999999998</v>
      </c>
      <c r="Q5268">
        <v>8.7021899999999999</v>
      </c>
    </row>
    <row r="5269" spans="1:17" x14ac:dyDescent="0.25">
      <c r="A5269" t="str">
        <f>IF(C5269&amp;G5269&amp;D5269&lt;&gt;'Funnel setup'!$K$3&amp;'Funnel setup'!$K$4&amp;'Funnel setup'!$K$6,".",IF(A5268=".",1,A5268+1))</f>
        <v>.</v>
      </c>
      <c r="B5269" s="244" t="str">
        <f t="shared" si="82"/>
        <v>Total Knee ReplacementProviderBOLTON NHS FOUNDATION TRUST (RMC)Oxford Knee Score</v>
      </c>
      <c r="C5269" t="s">
        <v>975</v>
      </c>
      <c r="D5269" t="s">
        <v>965</v>
      </c>
      <c r="E5269" t="s">
        <v>172</v>
      </c>
      <c r="F5269" t="s">
        <v>173</v>
      </c>
      <c r="G5269" t="s">
        <v>972</v>
      </c>
      <c r="H5269">
        <v>52</v>
      </c>
      <c r="I5269">
        <v>19.230799999999999</v>
      </c>
      <c r="J5269">
        <v>34.788499999999999</v>
      </c>
      <c r="K5269">
        <v>15.557700000000001</v>
      </c>
      <c r="L5269">
        <v>49</v>
      </c>
      <c r="M5269">
        <v>0</v>
      </c>
      <c r="N5269">
        <v>3</v>
      </c>
      <c r="O5269">
        <v>35.695</v>
      </c>
      <c r="P5269">
        <v>16.426300000000001</v>
      </c>
      <c r="Q5269">
        <v>8.8472100000000005</v>
      </c>
    </row>
    <row r="5270" spans="1:17" x14ac:dyDescent="0.25">
      <c r="A5270" t="str">
        <f>IF(C5270&amp;G5270&amp;D5270&lt;&gt;'Funnel setup'!$K$3&amp;'Funnel setup'!$K$4&amp;'Funnel setup'!$K$6,".",IF(A5269=".",1,A5269+1))</f>
        <v>.</v>
      </c>
      <c r="B5270" s="244" t="str">
        <f t="shared" si="82"/>
        <v>Total Knee ReplacementProviderBRADFORD TEACHING HOSPITALS NHS FOUNDATION TRUST (RAE)Oxford Knee Score</v>
      </c>
      <c r="C5270" t="s">
        <v>975</v>
      </c>
      <c r="D5270" t="s">
        <v>965</v>
      </c>
      <c r="E5270" t="s">
        <v>174</v>
      </c>
      <c r="F5270" t="s">
        <v>175</v>
      </c>
      <c r="G5270" t="s">
        <v>972</v>
      </c>
      <c r="H5270">
        <v>5</v>
      </c>
      <c r="I5270">
        <v>17.600000000000001</v>
      </c>
      <c r="J5270">
        <v>35.4</v>
      </c>
      <c r="K5270">
        <v>17.8</v>
      </c>
      <c r="L5270">
        <v>5</v>
      </c>
      <c r="M5270">
        <v>0</v>
      </c>
      <c r="N5270">
        <v>0</v>
      </c>
      <c r="O5270" t="s">
        <v>127</v>
      </c>
      <c r="P5270" t="s">
        <v>127</v>
      </c>
      <c r="Q5270" t="s">
        <v>127</v>
      </c>
    </row>
    <row r="5271" spans="1:17" x14ac:dyDescent="0.25">
      <c r="A5271" t="str">
        <f>IF(C5271&amp;G5271&amp;D5271&lt;&gt;'Funnel setup'!$K$3&amp;'Funnel setup'!$K$4&amp;'Funnel setup'!$K$6,".",IF(A5270=".",1,A5270+1))</f>
        <v>.</v>
      </c>
      <c r="B5271" s="244" t="str">
        <f t="shared" si="82"/>
        <v>Total Knee ReplacementProviderBUCKINGHAMSHIRE HEALTHCARE NHS TRUST (RXQ)Oxford Knee Score</v>
      </c>
      <c r="C5271" t="s">
        <v>975</v>
      </c>
      <c r="D5271" t="s">
        <v>965</v>
      </c>
      <c r="E5271" t="s">
        <v>178</v>
      </c>
      <c r="F5271" t="s">
        <v>179</v>
      </c>
      <c r="G5271" t="s">
        <v>972</v>
      </c>
      <c r="H5271">
        <v>84</v>
      </c>
      <c r="I5271">
        <v>20.142900000000001</v>
      </c>
      <c r="J5271">
        <v>37.404800000000002</v>
      </c>
      <c r="K5271">
        <v>17.261900000000001</v>
      </c>
      <c r="L5271">
        <v>83</v>
      </c>
      <c r="M5271">
        <v>0</v>
      </c>
      <c r="N5271">
        <v>1</v>
      </c>
      <c r="O5271">
        <v>36.677799999999998</v>
      </c>
      <c r="P5271">
        <v>17.409199999999998</v>
      </c>
      <c r="Q5271">
        <v>7.5667</v>
      </c>
    </row>
    <row r="5272" spans="1:17" x14ac:dyDescent="0.25">
      <c r="A5272" t="str">
        <f>IF(C5272&amp;G5272&amp;D5272&lt;&gt;'Funnel setup'!$K$3&amp;'Funnel setup'!$K$4&amp;'Funnel setup'!$K$6,".",IF(A5271=".",1,A5271+1))</f>
        <v>.</v>
      </c>
      <c r="B5272" s="244" t="str">
        <f t="shared" si="82"/>
        <v>Total Knee ReplacementProviderCALDERDALE AND HUDDERSFIELD NHS FOUNDATION TRUST (RWY)Oxford Knee Score</v>
      </c>
      <c r="C5272" t="s">
        <v>975</v>
      </c>
      <c r="D5272" t="s">
        <v>965</v>
      </c>
      <c r="E5272" t="s">
        <v>180</v>
      </c>
      <c r="F5272" t="s">
        <v>181</v>
      </c>
      <c r="G5272" t="s">
        <v>972</v>
      </c>
      <c r="H5272">
        <v>73</v>
      </c>
      <c r="I5272">
        <v>19.424700000000001</v>
      </c>
      <c r="J5272">
        <v>33.602699999999999</v>
      </c>
      <c r="K5272">
        <v>14.178100000000001</v>
      </c>
      <c r="L5272">
        <v>62</v>
      </c>
      <c r="M5272">
        <v>4</v>
      </c>
      <c r="N5272">
        <v>7</v>
      </c>
      <c r="O5272">
        <v>33.911999999999999</v>
      </c>
      <c r="P5272">
        <v>14.6433</v>
      </c>
      <c r="Q5272">
        <v>11.538600000000001</v>
      </c>
    </row>
    <row r="5273" spans="1:17" x14ac:dyDescent="0.25">
      <c r="A5273" t="str">
        <f>IF(C5273&amp;G5273&amp;D5273&lt;&gt;'Funnel setup'!$K$3&amp;'Funnel setup'!$K$4&amp;'Funnel setup'!$K$6,".",IF(A5272=".",1,A5272+1))</f>
        <v>.</v>
      </c>
      <c r="B5273" s="244" t="str">
        <f t="shared" si="82"/>
        <v>Total Knee ReplacementProviderCAMBRIDGE UNIVERSITY HOSPITALS NHS FOUNDATION TRUST (RGT)Oxford Knee Score</v>
      </c>
      <c r="C5273" t="s">
        <v>975</v>
      </c>
      <c r="D5273" t="s">
        <v>965</v>
      </c>
      <c r="E5273" t="s">
        <v>182</v>
      </c>
      <c r="F5273" t="s">
        <v>183</v>
      </c>
      <c r="G5273" t="s">
        <v>972</v>
      </c>
      <c r="H5273">
        <v>57</v>
      </c>
      <c r="I5273">
        <v>14.0526</v>
      </c>
      <c r="J5273">
        <v>31.228100000000001</v>
      </c>
      <c r="K5273">
        <v>17.1754</v>
      </c>
      <c r="L5273">
        <v>53</v>
      </c>
      <c r="M5273">
        <v>0</v>
      </c>
      <c r="N5273">
        <v>4</v>
      </c>
      <c r="O5273">
        <v>34.758499999999998</v>
      </c>
      <c r="P5273">
        <v>15.4899</v>
      </c>
      <c r="Q5273">
        <v>9.6043099999999999</v>
      </c>
    </row>
    <row r="5274" spans="1:17" x14ac:dyDescent="0.25">
      <c r="A5274" t="str">
        <f>IF(C5274&amp;G5274&amp;D5274&lt;&gt;'Funnel setup'!$K$3&amp;'Funnel setup'!$K$4&amp;'Funnel setup'!$K$6,".",IF(A5273=".",1,A5273+1))</f>
        <v>.</v>
      </c>
      <c r="B5274" s="244" t="str">
        <f t="shared" si="82"/>
        <v>Total Knee ReplacementProviderCAVELL HOSPITAL (NT451)Oxford Knee Score</v>
      </c>
      <c r="C5274" t="s">
        <v>975</v>
      </c>
      <c r="D5274" t="s">
        <v>965</v>
      </c>
      <c r="E5274" t="s">
        <v>184</v>
      </c>
      <c r="F5274" t="s">
        <v>185</v>
      </c>
      <c r="G5274" t="s">
        <v>972</v>
      </c>
      <c r="H5274">
        <v>42</v>
      </c>
      <c r="I5274">
        <v>18.5349</v>
      </c>
      <c r="J5274">
        <v>36.814</v>
      </c>
      <c r="K5274">
        <v>18.2791</v>
      </c>
      <c r="L5274">
        <v>39</v>
      </c>
      <c r="M5274">
        <v>2</v>
      </c>
      <c r="N5274">
        <v>1</v>
      </c>
      <c r="O5274">
        <v>36.154499999999999</v>
      </c>
      <c r="P5274">
        <v>16.8858</v>
      </c>
      <c r="Q5274">
        <v>7.8898099999999998</v>
      </c>
    </row>
    <row r="5275" spans="1:17" x14ac:dyDescent="0.25">
      <c r="A5275" t="str">
        <f>IF(C5275&amp;G5275&amp;D5275&lt;&gt;'Funnel setup'!$K$3&amp;'Funnel setup'!$K$4&amp;'Funnel setup'!$K$6,".",IF(A5274=".",1,A5274+1))</f>
        <v>.</v>
      </c>
      <c r="B5275" s="244" t="str">
        <f t="shared" si="82"/>
        <v>Total Knee ReplacementProviderCHAUCER HOSPITAL (NT408)Oxford Knee Score</v>
      </c>
      <c r="C5275" t="s">
        <v>975</v>
      </c>
      <c r="D5275" t="s">
        <v>965</v>
      </c>
      <c r="E5275" t="s">
        <v>186</v>
      </c>
      <c r="F5275" t="s">
        <v>187</v>
      </c>
      <c r="G5275" t="s">
        <v>972</v>
      </c>
      <c r="H5275">
        <v>48</v>
      </c>
      <c r="I5275">
        <v>22.104199999999999</v>
      </c>
      <c r="J5275">
        <v>37.520800000000001</v>
      </c>
      <c r="K5275">
        <v>15.416700000000001</v>
      </c>
      <c r="L5275">
        <v>47</v>
      </c>
      <c r="M5275">
        <v>0</v>
      </c>
      <c r="N5275">
        <v>1</v>
      </c>
      <c r="O5275">
        <v>35.768300000000004</v>
      </c>
      <c r="P5275">
        <v>16.499600000000001</v>
      </c>
      <c r="Q5275">
        <v>7.1917099999999996</v>
      </c>
    </row>
    <row r="5276" spans="1:17" x14ac:dyDescent="0.25">
      <c r="A5276" t="str">
        <f>IF(C5276&amp;G5276&amp;D5276&lt;&gt;'Funnel setup'!$K$3&amp;'Funnel setup'!$K$4&amp;'Funnel setup'!$K$6,".",IF(A5275=".",1,A5275+1))</f>
        <v>.</v>
      </c>
      <c r="B5276" s="244" t="str">
        <f t="shared" si="82"/>
        <v>Total Knee ReplacementProviderCHELSEA AND WESTMINSTER HOSPITAL NHS FOUNDATION TRUST (RQM)Oxford Knee Score</v>
      </c>
      <c r="C5276" t="s">
        <v>975</v>
      </c>
      <c r="D5276" t="s">
        <v>965</v>
      </c>
      <c r="E5276" t="s">
        <v>188</v>
      </c>
      <c r="F5276" t="s">
        <v>189</v>
      </c>
      <c r="G5276" t="s">
        <v>972</v>
      </c>
      <c r="H5276">
        <v>6</v>
      </c>
      <c r="I5276">
        <v>18</v>
      </c>
      <c r="J5276">
        <v>32.833300000000001</v>
      </c>
      <c r="K5276">
        <v>14.833299999999999</v>
      </c>
      <c r="L5276">
        <v>6</v>
      </c>
      <c r="M5276">
        <v>0</v>
      </c>
      <c r="N5276">
        <v>0</v>
      </c>
      <c r="O5276" t="s">
        <v>127</v>
      </c>
      <c r="P5276" t="s">
        <v>127</v>
      </c>
      <c r="Q5276" t="s">
        <v>127</v>
      </c>
    </row>
    <row r="5277" spans="1:17" x14ac:dyDescent="0.25">
      <c r="A5277" t="str">
        <f>IF(C5277&amp;G5277&amp;D5277&lt;&gt;'Funnel setup'!$K$3&amp;'Funnel setup'!$K$4&amp;'Funnel setup'!$K$6,".",IF(A5276=".",1,A5276+1))</f>
        <v>.</v>
      </c>
      <c r="B5277" s="244" t="str">
        <f t="shared" si="82"/>
        <v>Total Knee ReplacementProviderCHELSFIELD PARK HOSPITAL (NT409)Oxford Knee Score</v>
      </c>
      <c r="C5277" t="s">
        <v>975</v>
      </c>
      <c r="D5277" t="s">
        <v>965</v>
      </c>
      <c r="E5277" t="s">
        <v>190</v>
      </c>
      <c r="F5277" t="s">
        <v>191</v>
      </c>
      <c r="G5277" t="s">
        <v>972</v>
      </c>
      <c r="H5277">
        <v>32</v>
      </c>
      <c r="I5277">
        <v>26.281300000000002</v>
      </c>
      <c r="J5277">
        <v>42.593800000000002</v>
      </c>
      <c r="K5277">
        <v>16.3125</v>
      </c>
      <c r="L5277">
        <v>31</v>
      </c>
      <c r="M5277">
        <v>0</v>
      </c>
      <c r="N5277">
        <v>1</v>
      </c>
      <c r="O5277">
        <v>38.989400000000003</v>
      </c>
      <c r="P5277">
        <v>19.720800000000001</v>
      </c>
      <c r="Q5277">
        <v>5.4443900000000003</v>
      </c>
    </row>
    <row r="5278" spans="1:17" x14ac:dyDescent="0.25">
      <c r="A5278" t="str">
        <f>IF(C5278&amp;G5278&amp;D5278&lt;&gt;'Funnel setup'!$K$3&amp;'Funnel setup'!$K$4&amp;'Funnel setup'!$K$6,".",IF(A5277=".",1,A5277+1))</f>
        <v>.</v>
      </c>
      <c r="B5278" s="244" t="str">
        <f t="shared" si="82"/>
        <v>Total Knee ReplacementProviderCHESTERFIELD ROYAL HOSPITAL NHS FOUNDATION TRUST (RFS)Oxford Knee Score</v>
      </c>
      <c r="C5278" t="s">
        <v>975</v>
      </c>
      <c r="D5278" t="s">
        <v>965</v>
      </c>
      <c r="E5278" t="s">
        <v>192</v>
      </c>
      <c r="F5278" t="s">
        <v>193</v>
      </c>
      <c r="G5278" t="s">
        <v>972</v>
      </c>
      <c r="H5278">
        <v>59</v>
      </c>
      <c r="I5278">
        <v>17.372900000000001</v>
      </c>
      <c r="J5278">
        <v>33.220300000000002</v>
      </c>
      <c r="K5278">
        <v>15.8475</v>
      </c>
      <c r="L5278">
        <v>54</v>
      </c>
      <c r="M5278">
        <v>3</v>
      </c>
      <c r="N5278">
        <v>2</v>
      </c>
      <c r="O5278">
        <v>34.903599999999997</v>
      </c>
      <c r="P5278">
        <v>15.6349</v>
      </c>
      <c r="Q5278">
        <v>9.1292500000000008</v>
      </c>
    </row>
    <row r="5279" spans="1:17" x14ac:dyDescent="0.25">
      <c r="A5279" t="str">
        <f>IF(C5279&amp;G5279&amp;D5279&lt;&gt;'Funnel setup'!$K$3&amp;'Funnel setup'!$K$4&amp;'Funnel setup'!$K$6,".",IF(A5278=".",1,A5278+1))</f>
        <v>.</v>
      </c>
      <c r="B5279" s="244" t="str">
        <f t="shared" si="82"/>
        <v>Total Knee ReplacementProviderCHILTERN HOSPITAL (NT410)Oxford Knee Score</v>
      </c>
      <c r="C5279" t="s">
        <v>975</v>
      </c>
      <c r="D5279" t="s">
        <v>965</v>
      </c>
      <c r="E5279" t="s">
        <v>194</v>
      </c>
      <c r="F5279" t="s">
        <v>195</v>
      </c>
      <c r="G5279" t="s">
        <v>972</v>
      </c>
      <c r="H5279">
        <v>87</v>
      </c>
      <c r="I5279">
        <v>22.988499999999998</v>
      </c>
      <c r="J5279">
        <v>39.172400000000003</v>
      </c>
      <c r="K5279">
        <v>16.183900000000001</v>
      </c>
      <c r="L5279">
        <v>80</v>
      </c>
      <c r="M5279">
        <v>1</v>
      </c>
      <c r="N5279">
        <v>6</v>
      </c>
      <c r="O5279">
        <v>36.018799999999999</v>
      </c>
      <c r="P5279">
        <v>16.7502</v>
      </c>
      <c r="Q5279">
        <v>8.0576799999999995</v>
      </c>
    </row>
    <row r="5280" spans="1:17" x14ac:dyDescent="0.25">
      <c r="A5280" t="str">
        <f>IF(C5280&amp;G5280&amp;D5280&lt;&gt;'Funnel setup'!$K$3&amp;'Funnel setup'!$K$4&amp;'Funnel setup'!$K$6,".",IF(A5279=".",1,A5279+1))</f>
        <v>.</v>
      </c>
      <c r="B5280" s="244" t="str">
        <f t="shared" si="82"/>
        <v>Total Knee ReplacementProviderCIRCLE BATH HOSPITAL (NV302)Oxford Knee Score</v>
      </c>
      <c r="C5280" t="s">
        <v>975</v>
      </c>
      <c r="D5280" t="s">
        <v>965</v>
      </c>
      <c r="E5280" t="s">
        <v>196</v>
      </c>
      <c r="F5280" t="s">
        <v>197</v>
      </c>
      <c r="G5280" t="s">
        <v>972</v>
      </c>
      <c r="H5280">
        <v>13</v>
      </c>
      <c r="I5280">
        <v>17.769200000000001</v>
      </c>
      <c r="J5280">
        <v>39.230800000000002</v>
      </c>
      <c r="K5280">
        <v>21.461500000000001</v>
      </c>
      <c r="L5280">
        <v>12</v>
      </c>
      <c r="M5280">
        <v>0</v>
      </c>
      <c r="N5280">
        <v>1</v>
      </c>
      <c r="O5280" t="s">
        <v>127</v>
      </c>
      <c r="P5280" t="s">
        <v>127</v>
      </c>
      <c r="Q5280" t="s">
        <v>127</v>
      </c>
    </row>
    <row r="5281" spans="1:17" x14ac:dyDescent="0.25">
      <c r="A5281" t="str">
        <f>IF(C5281&amp;G5281&amp;D5281&lt;&gt;'Funnel setup'!$K$3&amp;'Funnel setup'!$K$4&amp;'Funnel setup'!$K$6,".",IF(A5280=".",1,A5280+1))</f>
        <v>.</v>
      </c>
      <c r="B5281" s="244" t="str">
        <f t="shared" si="82"/>
        <v>Total Knee ReplacementProviderCIRCLE READING HOSPITAL (NV323)Oxford Knee Score</v>
      </c>
      <c r="C5281" t="s">
        <v>975</v>
      </c>
      <c r="D5281" t="s">
        <v>965</v>
      </c>
      <c r="E5281" t="s">
        <v>198</v>
      </c>
      <c r="F5281" t="s">
        <v>199</v>
      </c>
      <c r="G5281" t="s">
        <v>972</v>
      </c>
      <c r="H5281">
        <v>61</v>
      </c>
      <c r="I5281">
        <v>21.5246</v>
      </c>
      <c r="J5281">
        <v>39.245899999999999</v>
      </c>
      <c r="K5281">
        <v>17.721299999999999</v>
      </c>
      <c r="L5281">
        <v>57</v>
      </c>
      <c r="M5281">
        <v>1</v>
      </c>
      <c r="N5281">
        <v>3</v>
      </c>
      <c r="O5281">
        <v>36.810699999999997</v>
      </c>
      <c r="P5281">
        <v>17.542000000000002</v>
      </c>
      <c r="Q5281">
        <v>8.1876999999999995</v>
      </c>
    </row>
    <row r="5282" spans="1:17" x14ac:dyDescent="0.25">
      <c r="A5282" t="str">
        <f>IF(C5282&amp;G5282&amp;D5282&lt;&gt;'Funnel setup'!$K$3&amp;'Funnel setup'!$K$4&amp;'Funnel setup'!$K$6,".",IF(A5281=".",1,A5281+1))</f>
        <v>.</v>
      </c>
      <c r="B5282" s="244" t="str">
        <f t="shared" si="82"/>
        <v>Total Knee ReplacementProviderCLEMENTINE CHURCHILL HOSPITAL (NT411)Oxford Knee Score</v>
      </c>
      <c r="C5282" t="s">
        <v>975</v>
      </c>
      <c r="D5282" t="s">
        <v>965</v>
      </c>
      <c r="E5282" t="s">
        <v>200</v>
      </c>
      <c r="F5282" t="s">
        <v>201</v>
      </c>
      <c r="G5282" t="s">
        <v>972</v>
      </c>
      <c r="H5282">
        <v>32</v>
      </c>
      <c r="I5282">
        <v>23.0303</v>
      </c>
      <c r="J5282">
        <v>35.151499999999999</v>
      </c>
      <c r="K5282">
        <v>12.1212</v>
      </c>
      <c r="L5282">
        <v>31</v>
      </c>
      <c r="M5282">
        <v>0</v>
      </c>
      <c r="N5282">
        <v>1</v>
      </c>
      <c r="O5282">
        <v>34.387999999999998</v>
      </c>
      <c r="P5282">
        <v>15.119400000000001</v>
      </c>
      <c r="Q5282">
        <v>6.5516399999999999</v>
      </c>
    </row>
    <row r="5283" spans="1:17" x14ac:dyDescent="0.25">
      <c r="A5283" t="str">
        <f>IF(C5283&amp;G5283&amp;D5283&lt;&gt;'Funnel setup'!$K$3&amp;'Funnel setup'!$K$4&amp;'Funnel setup'!$K$6,".",IF(A5282=".",1,A5282+1))</f>
        <v>.</v>
      </c>
      <c r="B5283" s="244" t="str">
        <f t="shared" si="82"/>
        <v>Total Knee ReplacementProviderCLIFTON PARK HOSPITAL (NVC28)Oxford Knee Score</v>
      </c>
      <c r="C5283" t="s">
        <v>975</v>
      </c>
      <c r="D5283" t="s">
        <v>965</v>
      </c>
      <c r="E5283" t="s">
        <v>202</v>
      </c>
      <c r="F5283" t="s">
        <v>203</v>
      </c>
      <c r="G5283" t="s">
        <v>972</v>
      </c>
      <c r="H5283">
        <v>64</v>
      </c>
      <c r="I5283">
        <v>18.859400000000001</v>
      </c>
      <c r="J5283">
        <v>35.625</v>
      </c>
      <c r="K5283">
        <v>16.765599999999999</v>
      </c>
      <c r="L5283">
        <v>62</v>
      </c>
      <c r="M5283">
        <v>1</v>
      </c>
      <c r="N5283">
        <v>1</v>
      </c>
      <c r="O5283">
        <v>34.966900000000003</v>
      </c>
      <c r="P5283">
        <v>15.6982</v>
      </c>
      <c r="Q5283">
        <v>8.7844599999999993</v>
      </c>
    </row>
    <row r="5284" spans="1:17" x14ac:dyDescent="0.25">
      <c r="A5284" t="str">
        <f>IF(C5284&amp;G5284&amp;D5284&lt;&gt;'Funnel setup'!$K$3&amp;'Funnel setup'!$K$4&amp;'Funnel setup'!$K$6,".",IF(A5283=".",1,A5283+1))</f>
        <v>.</v>
      </c>
      <c r="B5284" s="244" t="str">
        <f t="shared" si="82"/>
        <v>Total Knee ReplacementProviderCOUNTESS OF CHESTER HOSPITAL NHS FOUNDATION TRUST (RJR)Oxford Knee Score</v>
      </c>
      <c r="C5284" t="s">
        <v>975</v>
      </c>
      <c r="D5284" t="s">
        <v>965</v>
      </c>
      <c r="E5284" t="s">
        <v>204</v>
      </c>
      <c r="F5284" t="s">
        <v>205</v>
      </c>
      <c r="G5284" t="s">
        <v>972</v>
      </c>
      <c r="H5284">
        <v>29</v>
      </c>
      <c r="I5284">
        <v>18.2759</v>
      </c>
      <c r="J5284">
        <v>35.965499999999999</v>
      </c>
      <c r="K5284">
        <v>17.689699999999998</v>
      </c>
      <c r="L5284">
        <v>27</v>
      </c>
      <c r="M5284">
        <v>0</v>
      </c>
      <c r="N5284">
        <v>2</v>
      </c>
      <c r="O5284" t="s">
        <v>127</v>
      </c>
      <c r="P5284" t="s">
        <v>127</v>
      </c>
      <c r="Q5284" t="s">
        <v>127</v>
      </c>
    </row>
    <row r="5285" spans="1:17" x14ac:dyDescent="0.25">
      <c r="A5285" t="str">
        <f>IF(C5285&amp;G5285&amp;D5285&lt;&gt;'Funnel setup'!$K$3&amp;'Funnel setup'!$K$4&amp;'Funnel setup'!$K$6,".",IF(A5284=".",1,A5284+1))</f>
        <v>.</v>
      </c>
      <c r="B5285" s="244" t="str">
        <f t="shared" si="82"/>
        <v>Total Knee ReplacementProviderCOUNTY DURHAM AND DARLINGTON NHS FOUNDATION TRUST (RXP)Oxford Knee Score</v>
      </c>
      <c r="C5285" t="s">
        <v>975</v>
      </c>
      <c r="D5285" t="s">
        <v>965</v>
      </c>
      <c r="E5285" t="s">
        <v>206</v>
      </c>
      <c r="F5285" t="s">
        <v>207</v>
      </c>
      <c r="G5285" t="s">
        <v>972</v>
      </c>
      <c r="H5285">
        <v>139</v>
      </c>
      <c r="I5285">
        <v>19.546800000000001</v>
      </c>
      <c r="J5285">
        <v>36.467599999999997</v>
      </c>
      <c r="K5285">
        <v>16.9209</v>
      </c>
      <c r="L5285">
        <v>133</v>
      </c>
      <c r="M5285">
        <v>1</v>
      </c>
      <c r="N5285">
        <v>5</v>
      </c>
      <c r="O5285">
        <v>36.520099999999999</v>
      </c>
      <c r="P5285">
        <v>17.2515</v>
      </c>
      <c r="Q5285">
        <v>8.40184</v>
      </c>
    </row>
    <row r="5286" spans="1:17" x14ac:dyDescent="0.25">
      <c r="A5286" t="str">
        <f>IF(C5286&amp;G5286&amp;D5286&lt;&gt;'Funnel setup'!$K$3&amp;'Funnel setup'!$K$4&amp;'Funnel setup'!$K$6,".",IF(A5285=".",1,A5285+1))</f>
        <v>.</v>
      </c>
      <c r="B5286" s="244" t="str">
        <f t="shared" si="82"/>
        <v>Total Knee ReplacementProviderDONCASTER AND BASSETLAW TEACHING HOSPITALS NHS FOUNDATION TRUST (RP5)Oxford Knee Score</v>
      </c>
      <c r="C5286" t="s">
        <v>975</v>
      </c>
      <c r="D5286" t="s">
        <v>965</v>
      </c>
      <c r="E5286" t="s">
        <v>212</v>
      </c>
      <c r="F5286" t="s">
        <v>213</v>
      </c>
      <c r="G5286" t="s">
        <v>972</v>
      </c>
      <c r="H5286">
        <v>90</v>
      </c>
      <c r="I5286">
        <v>16.722200000000001</v>
      </c>
      <c r="J5286">
        <v>32.744399999999999</v>
      </c>
      <c r="K5286">
        <v>16.022200000000002</v>
      </c>
      <c r="L5286">
        <v>82</v>
      </c>
      <c r="M5286">
        <v>0</v>
      </c>
      <c r="N5286">
        <v>8</v>
      </c>
      <c r="O5286">
        <v>35.007399999999997</v>
      </c>
      <c r="P5286">
        <v>15.7387</v>
      </c>
      <c r="Q5286">
        <v>9.9629499999999993</v>
      </c>
    </row>
    <row r="5287" spans="1:17" x14ac:dyDescent="0.25">
      <c r="A5287" t="str">
        <f>IF(C5287&amp;G5287&amp;D5287&lt;&gt;'Funnel setup'!$K$3&amp;'Funnel setup'!$K$4&amp;'Funnel setup'!$K$6,".",IF(A5286=".",1,A5286+1))</f>
        <v>.</v>
      </c>
      <c r="B5287" s="244" t="str">
        <f t="shared" si="82"/>
        <v>Total Knee ReplacementProviderDORSET COUNTY HOSPITAL NHS FOUNDATION TRUST (RBD)Oxford Knee Score</v>
      </c>
      <c r="C5287" t="s">
        <v>975</v>
      </c>
      <c r="D5287" t="s">
        <v>965</v>
      </c>
      <c r="E5287" t="s">
        <v>214</v>
      </c>
      <c r="F5287" t="s">
        <v>215</v>
      </c>
      <c r="G5287" t="s">
        <v>972</v>
      </c>
      <c r="H5287">
        <v>16</v>
      </c>
      <c r="I5287">
        <v>19.8125</v>
      </c>
      <c r="J5287">
        <v>37.4375</v>
      </c>
      <c r="K5287">
        <v>17.625</v>
      </c>
      <c r="L5287">
        <v>16</v>
      </c>
      <c r="M5287">
        <v>0</v>
      </c>
      <c r="N5287">
        <v>0</v>
      </c>
      <c r="O5287" t="s">
        <v>127</v>
      </c>
      <c r="P5287" t="s">
        <v>127</v>
      </c>
      <c r="Q5287" t="s">
        <v>127</v>
      </c>
    </row>
    <row r="5288" spans="1:17" x14ac:dyDescent="0.25">
      <c r="A5288" t="str">
        <f>IF(C5288&amp;G5288&amp;D5288&lt;&gt;'Funnel setup'!$K$3&amp;'Funnel setup'!$K$4&amp;'Funnel setup'!$K$6,".",IF(A5287=".",1,A5287+1))</f>
        <v>.</v>
      </c>
      <c r="B5288" s="244" t="str">
        <f t="shared" si="82"/>
        <v>Total Knee ReplacementProviderDROITWICH SPA HOSPITAL (NT412)Oxford Knee Score</v>
      </c>
      <c r="C5288" t="s">
        <v>975</v>
      </c>
      <c r="D5288" t="s">
        <v>965</v>
      </c>
      <c r="E5288" t="s">
        <v>216</v>
      </c>
      <c r="F5288" t="s">
        <v>217</v>
      </c>
      <c r="G5288" t="s">
        <v>972</v>
      </c>
      <c r="H5288">
        <v>25</v>
      </c>
      <c r="I5288">
        <v>20.239999999999998</v>
      </c>
      <c r="J5288">
        <v>38.520000000000003</v>
      </c>
      <c r="K5288">
        <v>18.28</v>
      </c>
      <c r="L5288">
        <v>25</v>
      </c>
      <c r="M5288">
        <v>0</v>
      </c>
      <c r="N5288">
        <v>0</v>
      </c>
      <c r="O5288" t="s">
        <v>127</v>
      </c>
      <c r="P5288" t="s">
        <v>127</v>
      </c>
      <c r="Q5288" t="s">
        <v>127</v>
      </c>
    </row>
    <row r="5289" spans="1:17" x14ac:dyDescent="0.25">
      <c r="A5289" t="str">
        <f>IF(C5289&amp;G5289&amp;D5289&lt;&gt;'Funnel setup'!$K$3&amp;'Funnel setup'!$K$4&amp;'Funnel setup'!$K$6,".",IF(A5288=".",1,A5288+1))</f>
        <v>.</v>
      </c>
      <c r="B5289" s="244" t="str">
        <f t="shared" si="82"/>
        <v>Total Knee ReplacementProviderDUCHY HOSPITAL (NT447)Oxford Knee Score</v>
      </c>
      <c r="C5289" t="s">
        <v>975</v>
      </c>
      <c r="D5289" t="s">
        <v>965</v>
      </c>
      <c r="E5289" t="s">
        <v>218</v>
      </c>
      <c r="F5289" t="s">
        <v>219</v>
      </c>
      <c r="G5289" t="s">
        <v>972</v>
      </c>
      <c r="H5289">
        <v>38</v>
      </c>
      <c r="I5289">
        <v>21.7895</v>
      </c>
      <c r="J5289">
        <v>41.631599999999999</v>
      </c>
      <c r="K5289">
        <v>19.842099999999999</v>
      </c>
      <c r="L5289">
        <v>37</v>
      </c>
      <c r="M5289">
        <v>0</v>
      </c>
      <c r="N5289">
        <v>1</v>
      </c>
      <c r="O5289">
        <v>39.157600000000002</v>
      </c>
      <c r="P5289">
        <v>19.8889</v>
      </c>
      <c r="Q5289">
        <v>4.69794</v>
      </c>
    </row>
    <row r="5290" spans="1:17" x14ac:dyDescent="0.25">
      <c r="A5290" t="str">
        <f>IF(C5290&amp;G5290&amp;D5290&lt;&gt;'Funnel setup'!$K$3&amp;'Funnel setup'!$K$4&amp;'Funnel setup'!$K$6,".",IF(A5289=".",1,A5289+1))</f>
        <v>.</v>
      </c>
      <c r="B5290" s="244" t="str">
        <f t="shared" si="82"/>
        <v>Total Knee ReplacementProviderDUCHY HOSPITAL (NVC04)Oxford Knee Score</v>
      </c>
      <c r="C5290" t="s">
        <v>975</v>
      </c>
      <c r="D5290" t="s">
        <v>965</v>
      </c>
      <c r="E5290" t="s">
        <v>220</v>
      </c>
      <c r="F5290" t="s">
        <v>221</v>
      </c>
      <c r="G5290" t="s">
        <v>972</v>
      </c>
      <c r="H5290">
        <v>29</v>
      </c>
      <c r="I5290">
        <v>22.517199999999999</v>
      </c>
      <c r="J5290">
        <v>36.827599999999997</v>
      </c>
      <c r="K5290">
        <v>14.3103</v>
      </c>
      <c r="L5290">
        <v>27</v>
      </c>
      <c r="M5290">
        <v>0</v>
      </c>
      <c r="N5290">
        <v>2</v>
      </c>
      <c r="O5290" t="s">
        <v>127</v>
      </c>
      <c r="P5290" t="s">
        <v>127</v>
      </c>
      <c r="Q5290" t="s">
        <v>127</v>
      </c>
    </row>
    <row r="5291" spans="1:17" x14ac:dyDescent="0.25">
      <c r="A5291" t="str">
        <f>IF(C5291&amp;G5291&amp;D5291&lt;&gt;'Funnel setup'!$K$3&amp;'Funnel setup'!$K$4&amp;'Funnel setup'!$K$6,".",IF(A5290=".",1,A5290+1))</f>
        <v>.</v>
      </c>
      <c r="B5291" s="244" t="str">
        <f t="shared" si="82"/>
        <v>Total Knee ReplacementProviderEAST AND NORTH HERTFORDSHIRE NHS TRUST (RWH)Oxford Knee Score</v>
      </c>
      <c r="C5291" t="s">
        <v>975</v>
      </c>
      <c r="D5291" t="s">
        <v>965</v>
      </c>
      <c r="E5291" t="s">
        <v>224</v>
      </c>
      <c r="F5291" t="s">
        <v>225</v>
      </c>
      <c r="G5291" t="s">
        <v>972</v>
      </c>
      <c r="H5291">
        <v>29</v>
      </c>
      <c r="I5291">
        <v>19.413799999999998</v>
      </c>
      <c r="J5291">
        <v>35.379300000000001</v>
      </c>
      <c r="K5291">
        <v>15.9655</v>
      </c>
      <c r="L5291">
        <v>26</v>
      </c>
      <c r="M5291">
        <v>0</v>
      </c>
      <c r="N5291">
        <v>3</v>
      </c>
      <c r="O5291" t="s">
        <v>127</v>
      </c>
      <c r="P5291" t="s">
        <v>127</v>
      </c>
      <c r="Q5291" t="s">
        <v>127</v>
      </c>
    </row>
    <row r="5292" spans="1:17" x14ac:dyDescent="0.25">
      <c r="A5292" t="str">
        <f>IF(C5292&amp;G5292&amp;D5292&lt;&gt;'Funnel setup'!$K$3&amp;'Funnel setup'!$K$4&amp;'Funnel setup'!$K$6,".",IF(A5291=".",1,A5291+1))</f>
        <v>.</v>
      </c>
      <c r="B5292" s="244" t="str">
        <f t="shared" si="82"/>
        <v>Total Knee ReplacementProviderEAST CHESHIRE NHS TRUST (RJN)Oxford Knee Score</v>
      </c>
      <c r="C5292" t="s">
        <v>975</v>
      </c>
      <c r="D5292" t="s">
        <v>965</v>
      </c>
      <c r="E5292" t="s">
        <v>226</v>
      </c>
      <c r="F5292" t="s">
        <v>227</v>
      </c>
      <c r="G5292" t="s">
        <v>972</v>
      </c>
      <c r="H5292">
        <v>6</v>
      </c>
      <c r="I5292">
        <v>11.833299999999999</v>
      </c>
      <c r="J5292">
        <v>35.166699999999999</v>
      </c>
      <c r="K5292">
        <v>23.333300000000001</v>
      </c>
      <c r="L5292">
        <v>6</v>
      </c>
      <c r="M5292">
        <v>0</v>
      </c>
      <c r="N5292">
        <v>0</v>
      </c>
      <c r="O5292" t="s">
        <v>127</v>
      </c>
      <c r="P5292" t="s">
        <v>127</v>
      </c>
      <c r="Q5292" t="s">
        <v>127</v>
      </c>
    </row>
    <row r="5293" spans="1:17" x14ac:dyDescent="0.25">
      <c r="A5293" t="str">
        <f>IF(C5293&amp;G5293&amp;D5293&lt;&gt;'Funnel setup'!$K$3&amp;'Funnel setup'!$K$4&amp;'Funnel setup'!$K$6,".",IF(A5292=".",1,A5292+1))</f>
        <v>.</v>
      </c>
      <c r="B5293" s="244" t="str">
        <f t="shared" si="82"/>
        <v>Total Knee ReplacementProviderEAST KENT HOSPITALS UNIVERSITY NHS FOUNDATION TRUST (RVV)Oxford Knee Score</v>
      </c>
      <c r="C5293" t="s">
        <v>975</v>
      </c>
      <c r="D5293" t="s">
        <v>965</v>
      </c>
      <c r="E5293" t="s">
        <v>228</v>
      </c>
      <c r="F5293" t="s">
        <v>229</v>
      </c>
      <c r="G5293" t="s">
        <v>972</v>
      </c>
      <c r="H5293">
        <v>95</v>
      </c>
      <c r="I5293">
        <v>19.168399999999998</v>
      </c>
      <c r="J5293">
        <v>36.042099999999998</v>
      </c>
      <c r="K5293">
        <v>16.873699999999999</v>
      </c>
      <c r="L5293">
        <v>88</v>
      </c>
      <c r="M5293">
        <v>1</v>
      </c>
      <c r="N5293">
        <v>6</v>
      </c>
      <c r="O5293">
        <v>37.246299999999998</v>
      </c>
      <c r="P5293">
        <v>17.977699999999999</v>
      </c>
      <c r="Q5293">
        <v>8.4136000000000006</v>
      </c>
    </row>
    <row r="5294" spans="1:17" x14ac:dyDescent="0.25">
      <c r="A5294" t="str">
        <f>IF(C5294&amp;G5294&amp;D5294&lt;&gt;'Funnel setup'!$K$3&amp;'Funnel setup'!$K$4&amp;'Funnel setup'!$K$6,".",IF(A5293=".",1,A5293+1))</f>
        <v>.</v>
      </c>
      <c r="B5294" s="244" t="str">
        <f t="shared" si="82"/>
        <v>Total Knee ReplacementProviderEAST LANCASHIRE HOSPITALS NHS TRUST (RXR)Oxford Knee Score</v>
      </c>
      <c r="C5294" t="s">
        <v>975</v>
      </c>
      <c r="D5294" t="s">
        <v>965</v>
      </c>
      <c r="E5294" t="s">
        <v>230</v>
      </c>
      <c r="F5294" t="s">
        <v>231</v>
      </c>
      <c r="G5294" t="s">
        <v>972</v>
      </c>
      <c r="H5294">
        <v>100</v>
      </c>
      <c r="I5294">
        <v>19.18</v>
      </c>
      <c r="J5294">
        <v>36.44</v>
      </c>
      <c r="K5294">
        <v>17.260000000000002</v>
      </c>
      <c r="L5294">
        <v>92</v>
      </c>
      <c r="M5294">
        <v>2</v>
      </c>
      <c r="N5294">
        <v>6</v>
      </c>
      <c r="O5294">
        <v>37.144199999999998</v>
      </c>
      <c r="P5294">
        <v>17.875599999999999</v>
      </c>
      <c r="Q5294">
        <v>9.3205200000000001</v>
      </c>
    </row>
    <row r="5295" spans="1:17" x14ac:dyDescent="0.25">
      <c r="A5295" t="str">
        <f>IF(C5295&amp;G5295&amp;D5295&lt;&gt;'Funnel setup'!$K$3&amp;'Funnel setup'!$K$4&amp;'Funnel setup'!$K$6,".",IF(A5294=".",1,A5294+1))</f>
        <v>.</v>
      </c>
      <c r="B5295" s="244" t="str">
        <f t="shared" si="82"/>
        <v>Total Knee ReplacementProviderEAST SUFFOLK AND NORTH ESSEX NHS FOUNDATION TRUST (RDE)Oxford Knee Score</v>
      </c>
      <c r="C5295" t="s">
        <v>975</v>
      </c>
      <c r="D5295" t="s">
        <v>965</v>
      </c>
      <c r="E5295" t="s">
        <v>232</v>
      </c>
      <c r="F5295" t="s">
        <v>233</v>
      </c>
      <c r="G5295" t="s">
        <v>972</v>
      </c>
      <c r="H5295">
        <v>137</v>
      </c>
      <c r="I5295">
        <v>17.970800000000001</v>
      </c>
      <c r="J5295">
        <v>37.1387</v>
      </c>
      <c r="K5295">
        <v>19.167899999999999</v>
      </c>
      <c r="L5295">
        <v>133</v>
      </c>
      <c r="M5295">
        <v>0</v>
      </c>
      <c r="N5295">
        <v>4</v>
      </c>
      <c r="O5295">
        <v>37.632199999999997</v>
      </c>
      <c r="P5295">
        <v>18.363600000000002</v>
      </c>
      <c r="Q5295">
        <v>8.1877099999999992</v>
      </c>
    </row>
    <row r="5296" spans="1:17" x14ac:dyDescent="0.25">
      <c r="A5296" t="str">
        <f>IF(C5296&amp;G5296&amp;D5296&lt;&gt;'Funnel setup'!$K$3&amp;'Funnel setup'!$K$4&amp;'Funnel setup'!$K$6,".",IF(A5295=".",1,A5295+1))</f>
        <v>.</v>
      </c>
      <c r="B5296" s="244" t="str">
        <f t="shared" si="82"/>
        <v>Total Knee ReplacementProviderEAST SUSSEX HEALTHCARE NHS TRUST (RXC)Oxford Knee Score</v>
      </c>
      <c r="C5296" t="s">
        <v>975</v>
      </c>
      <c r="D5296" t="s">
        <v>965</v>
      </c>
      <c r="E5296" t="s">
        <v>234</v>
      </c>
      <c r="F5296" t="s">
        <v>235</v>
      </c>
      <c r="G5296" t="s">
        <v>972</v>
      </c>
      <c r="H5296">
        <v>87</v>
      </c>
      <c r="I5296">
        <v>18.1494</v>
      </c>
      <c r="J5296">
        <v>36.8506</v>
      </c>
      <c r="K5296">
        <v>18.7011</v>
      </c>
      <c r="L5296">
        <v>84</v>
      </c>
      <c r="M5296">
        <v>0</v>
      </c>
      <c r="N5296">
        <v>3</v>
      </c>
      <c r="O5296">
        <v>37.810200000000002</v>
      </c>
      <c r="P5296">
        <v>18.541599999999999</v>
      </c>
      <c r="Q5296">
        <v>8.1577400000000004</v>
      </c>
    </row>
    <row r="5297" spans="1:17" x14ac:dyDescent="0.25">
      <c r="A5297" t="str">
        <f>IF(C5297&amp;G5297&amp;D5297&lt;&gt;'Funnel setup'!$K$3&amp;'Funnel setup'!$K$4&amp;'Funnel setup'!$K$6,".",IF(A5296=".",1,A5296+1))</f>
        <v>.</v>
      </c>
      <c r="B5297" s="244" t="str">
        <f t="shared" si="82"/>
        <v>Total Knee ReplacementProviderEPSOM AND ST HELIER UNIVERSITY HOSPITALS NHS TRUST (RVR)Oxford Knee Score</v>
      </c>
      <c r="C5297" t="s">
        <v>975</v>
      </c>
      <c r="D5297" t="s">
        <v>965</v>
      </c>
      <c r="E5297" t="s">
        <v>238</v>
      </c>
      <c r="F5297" t="s">
        <v>239</v>
      </c>
      <c r="G5297" t="s">
        <v>972</v>
      </c>
      <c r="H5297">
        <v>689</v>
      </c>
      <c r="I5297">
        <v>20.497800000000002</v>
      </c>
      <c r="J5297">
        <v>36.872300000000003</v>
      </c>
      <c r="K5297">
        <v>16.374500000000001</v>
      </c>
      <c r="L5297">
        <v>656</v>
      </c>
      <c r="M5297">
        <v>2</v>
      </c>
      <c r="N5297">
        <v>31</v>
      </c>
      <c r="O5297">
        <v>36.306399999999996</v>
      </c>
      <c r="P5297">
        <v>17.037700000000001</v>
      </c>
      <c r="Q5297">
        <v>8.1172000000000004</v>
      </c>
    </row>
    <row r="5298" spans="1:17" x14ac:dyDescent="0.25">
      <c r="A5298" t="str">
        <f>IF(C5298&amp;G5298&amp;D5298&lt;&gt;'Funnel setup'!$K$3&amp;'Funnel setup'!$K$4&amp;'Funnel setup'!$K$6,".",IF(A5297=".",1,A5297+1))</f>
        <v>.</v>
      </c>
      <c r="B5298" s="244" t="str">
        <f t="shared" si="82"/>
        <v>Total Knee ReplacementProviderEUXTON HALL HOSPITAL (NVC05)Oxford Knee Score</v>
      </c>
      <c r="C5298" t="s">
        <v>975</v>
      </c>
      <c r="D5298" t="s">
        <v>965</v>
      </c>
      <c r="E5298" t="s">
        <v>240</v>
      </c>
      <c r="F5298" t="s">
        <v>241</v>
      </c>
      <c r="G5298" t="s">
        <v>972</v>
      </c>
      <c r="H5298">
        <v>54</v>
      </c>
      <c r="I5298">
        <v>17.8</v>
      </c>
      <c r="J5298">
        <v>39.381799999999998</v>
      </c>
      <c r="K5298">
        <v>21.581800000000001</v>
      </c>
      <c r="L5298">
        <v>53</v>
      </c>
      <c r="M5298">
        <v>1</v>
      </c>
      <c r="N5298">
        <v>0</v>
      </c>
      <c r="O5298">
        <v>39.405700000000003</v>
      </c>
      <c r="P5298">
        <v>20.1371</v>
      </c>
      <c r="Q5298">
        <v>8.0813100000000002</v>
      </c>
    </row>
    <row r="5299" spans="1:17" x14ac:dyDescent="0.25">
      <c r="A5299" t="str">
        <f>IF(C5299&amp;G5299&amp;D5299&lt;&gt;'Funnel setup'!$K$3&amp;'Funnel setup'!$K$4&amp;'Funnel setup'!$K$6,".",IF(A5298=".",1,A5298+1))</f>
        <v>.</v>
      </c>
      <c r="B5299" s="244" t="str">
        <f t="shared" si="82"/>
        <v>Total Knee ReplacementProviderFAIRFIELD HOSPITAL (NVG01)Oxford Knee Score</v>
      </c>
      <c r="C5299" t="s">
        <v>975</v>
      </c>
      <c r="D5299" t="s">
        <v>965</v>
      </c>
      <c r="E5299" t="s">
        <v>242</v>
      </c>
      <c r="F5299" t="s">
        <v>243</v>
      </c>
      <c r="G5299" t="s">
        <v>972</v>
      </c>
      <c r="H5299">
        <v>48</v>
      </c>
      <c r="I5299">
        <v>18.583300000000001</v>
      </c>
      <c r="J5299">
        <v>35.25</v>
      </c>
      <c r="K5299">
        <v>16.666699999999999</v>
      </c>
      <c r="L5299">
        <v>44</v>
      </c>
      <c r="M5299">
        <v>1</v>
      </c>
      <c r="N5299">
        <v>3</v>
      </c>
      <c r="O5299">
        <v>35.220500000000001</v>
      </c>
      <c r="P5299">
        <v>15.9519</v>
      </c>
      <c r="Q5299">
        <v>9.0213900000000002</v>
      </c>
    </row>
    <row r="5300" spans="1:17" x14ac:dyDescent="0.25">
      <c r="A5300" t="str">
        <f>IF(C5300&amp;G5300&amp;D5300&lt;&gt;'Funnel setup'!$K$3&amp;'Funnel setup'!$K$4&amp;'Funnel setup'!$K$6,".",IF(A5299=".",1,A5299+1))</f>
        <v>.</v>
      </c>
      <c r="B5300" s="244" t="str">
        <f t="shared" si="82"/>
        <v>Total Knee ReplacementProviderFITZWILLIAM HOSPITAL (NVC06)Oxford Knee Score</v>
      </c>
      <c r="C5300" t="s">
        <v>975</v>
      </c>
      <c r="D5300" t="s">
        <v>965</v>
      </c>
      <c r="E5300" t="s">
        <v>244</v>
      </c>
      <c r="F5300" t="s">
        <v>245</v>
      </c>
      <c r="G5300" t="s">
        <v>972</v>
      </c>
      <c r="H5300">
        <v>94</v>
      </c>
      <c r="I5300">
        <v>19.617000000000001</v>
      </c>
      <c r="J5300">
        <v>39.5319</v>
      </c>
      <c r="K5300">
        <v>19.914899999999999</v>
      </c>
      <c r="L5300">
        <v>92</v>
      </c>
      <c r="M5300">
        <v>0</v>
      </c>
      <c r="N5300">
        <v>2</v>
      </c>
      <c r="O5300">
        <v>38.555900000000001</v>
      </c>
      <c r="P5300">
        <v>19.287299999999998</v>
      </c>
      <c r="Q5300">
        <v>7.2915299999999998</v>
      </c>
    </row>
    <row r="5301" spans="1:17" x14ac:dyDescent="0.25">
      <c r="A5301" t="str">
        <f>IF(C5301&amp;G5301&amp;D5301&lt;&gt;'Funnel setup'!$K$3&amp;'Funnel setup'!$K$4&amp;'Funnel setup'!$K$6,".",IF(A5300=".",1,A5300+1))</f>
        <v>.</v>
      </c>
      <c r="B5301" s="244" t="str">
        <f t="shared" si="82"/>
        <v>Total Knee ReplacementProviderFRIMLEY HEALTH NHS FOUNDATION TRUST (RDU)Oxford Knee Score</v>
      </c>
      <c r="C5301" t="s">
        <v>975</v>
      </c>
      <c r="D5301" t="s">
        <v>965</v>
      </c>
      <c r="E5301" t="s">
        <v>248</v>
      </c>
      <c r="F5301" t="s">
        <v>249</v>
      </c>
      <c r="G5301" t="s">
        <v>972</v>
      </c>
      <c r="H5301">
        <v>204</v>
      </c>
      <c r="I5301">
        <v>21.25</v>
      </c>
      <c r="J5301">
        <v>35.970599999999997</v>
      </c>
      <c r="K5301">
        <v>14.720599999999999</v>
      </c>
      <c r="L5301">
        <v>185</v>
      </c>
      <c r="M5301">
        <v>6</v>
      </c>
      <c r="N5301">
        <v>13</v>
      </c>
      <c r="O5301">
        <v>34.930199999999999</v>
      </c>
      <c r="P5301">
        <v>15.6616</v>
      </c>
      <c r="Q5301">
        <v>9.1161300000000001</v>
      </c>
    </row>
    <row r="5302" spans="1:17" x14ac:dyDescent="0.25">
      <c r="A5302" t="str">
        <f>IF(C5302&amp;G5302&amp;D5302&lt;&gt;'Funnel setup'!$K$3&amp;'Funnel setup'!$K$4&amp;'Funnel setup'!$K$6,".",IF(A5301=".",1,A5301+1))</f>
        <v>.</v>
      </c>
      <c r="B5302" s="244" t="str">
        <f t="shared" si="82"/>
        <v>Total Knee ReplacementProviderFULWOOD HALL HOSPITAL (NVC07)Oxford Knee Score</v>
      </c>
      <c r="C5302" t="s">
        <v>975</v>
      </c>
      <c r="D5302" t="s">
        <v>965</v>
      </c>
      <c r="E5302" t="s">
        <v>250</v>
      </c>
      <c r="F5302" t="s">
        <v>251</v>
      </c>
      <c r="G5302" t="s">
        <v>972</v>
      </c>
      <c r="H5302">
        <v>87</v>
      </c>
      <c r="I5302">
        <v>20.8736</v>
      </c>
      <c r="J5302">
        <v>39.8506</v>
      </c>
      <c r="K5302">
        <v>18.977</v>
      </c>
      <c r="L5302">
        <v>85</v>
      </c>
      <c r="M5302">
        <v>0</v>
      </c>
      <c r="N5302">
        <v>2</v>
      </c>
      <c r="O5302">
        <v>38.707099999999997</v>
      </c>
      <c r="P5302">
        <v>19.438500000000001</v>
      </c>
      <c r="Q5302">
        <v>8.1121200000000009</v>
      </c>
    </row>
    <row r="5303" spans="1:17" x14ac:dyDescent="0.25">
      <c r="A5303" t="str">
        <f>IF(C5303&amp;G5303&amp;D5303&lt;&gt;'Funnel setup'!$K$3&amp;'Funnel setup'!$K$4&amp;'Funnel setup'!$K$6,".",IF(A5302=".",1,A5302+1))</f>
        <v>.</v>
      </c>
      <c r="B5303" s="244" t="str">
        <f t="shared" si="82"/>
        <v>Total Knee ReplacementProviderGATESHEAD HEALTH NHS FOUNDATION TRUST (RR7)Oxford Knee Score</v>
      </c>
      <c r="C5303" t="s">
        <v>975</v>
      </c>
      <c r="D5303" t="s">
        <v>965</v>
      </c>
      <c r="E5303" t="s">
        <v>252</v>
      </c>
      <c r="F5303" t="s">
        <v>253</v>
      </c>
      <c r="G5303" t="s">
        <v>972</v>
      </c>
      <c r="H5303">
        <v>45</v>
      </c>
      <c r="I5303">
        <v>14.644399999999999</v>
      </c>
      <c r="J5303">
        <v>35.533299999999997</v>
      </c>
      <c r="K5303">
        <v>20.8889</v>
      </c>
      <c r="L5303">
        <v>44</v>
      </c>
      <c r="M5303">
        <v>0</v>
      </c>
      <c r="N5303">
        <v>1</v>
      </c>
      <c r="O5303">
        <v>38.718800000000002</v>
      </c>
      <c r="P5303">
        <v>19.450199999999999</v>
      </c>
      <c r="Q5303">
        <v>9.6973000000000003</v>
      </c>
    </row>
    <row r="5304" spans="1:17" x14ac:dyDescent="0.25">
      <c r="A5304" t="str">
        <f>IF(C5304&amp;G5304&amp;D5304&lt;&gt;'Funnel setup'!$K$3&amp;'Funnel setup'!$K$4&amp;'Funnel setup'!$K$6,".",IF(A5303=".",1,A5303+1))</f>
        <v>.</v>
      </c>
      <c r="B5304" s="244" t="str">
        <f t="shared" si="82"/>
        <v>Total Knee ReplacementProviderGLOUCESTERSHIRE HOSPITALS NHS FOUNDATION TRUST (RTE)Oxford Knee Score</v>
      </c>
      <c r="C5304" t="s">
        <v>975</v>
      </c>
      <c r="D5304" t="s">
        <v>965</v>
      </c>
      <c r="E5304" t="s">
        <v>256</v>
      </c>
      <c r="F5304" t="s">
        <v>257</v>
      </c>
      <c r="G5304" t="s">
        <v>972</v>
      </c>
      <c r="H5304">
        <v>69</v>
      </c>
      <c r="I5304">
        <v>16.275400000000001</v>
      </c>
      <c r="J5304">
        <v>36.840600000000002</v>
      </c>
      <c r="K5304">
        <v>20.565200000000001</v>
      </c>
      <c r="L5304">
        <v>68</v>
      </c>
      <c r="M5304">
        <v>0</v>
      </c>
      <c r="N5304">
        <v>1</v>
      </c>
      <c r="O5304">
        <v>38.465400000000002</v>
      </c>
      <c r="P5304">
        <v>19.1967</v>
      </c>
      <c r="Q5304">
        <v>7.8614899999999999</v>
      </c>
    </row>
    <row r="5305" spans="1:17" x14ac:dyDescent="0.25">
      <c r="A5305" t="str">
        <f>IF(C5305&amp;G5305&amp;D5305&lt;&gt;'Funnel setup'!$K$3&amp;'Funnel setup'!$K$4&amp;'Funnel setup'!$K$6,".",IF(A5304=".",1,A5304+1))</f>
        <v>.</v>
      </c>
      <c r="B5305" s="244" t="str">
        <f t="shared" si="82"/>
        <v>Total Knee ReplacementProviderGORING HALL HOSPITAL (NT417)Oxford Knee Score</v>
      </c>
      <c r="C5305" t="s">
        <v>975</v>
      </c>
      <c r="D5305" t="s">
        <v>965</v>
      </c>
      <c r="E5305" t="s">
        <v>258</v>
      </c>
      <c r="F5305" t="s">
        <v>259</v>
      </c>
      <c r="G5305" t="s">
        <v>972</v>
      </c>
      <c r="H5305">
        <v>26</v>
      </c>
      <c r="I5305">
        <v>20.461500000000001</v>
      </c>
      <c r="J5305">
        <v>39.269199999999998</v>
      </c>
      <c r="K5305">
        <v>18.807700000000001</v>
      </c>
      <c r="L5305">
        <v>24</v>
      </c>
      <c r="M5305">
        <v>0</v>
      </c>
      <c r="N5305">
        <v>2</v>
      </c>
      <c r="O5305" t="s">
        <v>127</v>
      </c>
      <c r="P5305" t="s">
        <v>127</v>
      </c>
      <c r="Q5305" t="s">
        <v>127</v>
      </c>
    </row>
    <row r="5306" spans="1:17" x14ac:dyDescent="0.25">
      <c r="A5306" t="str">
        <f>IF(C5306&amp;G5306&amp;D5306&lt;&gt;'Funnel setup'!$K$3&amp;'Funnel setup'!$K$4&amp;'Funnel setup'!$K$6,".",IF(A5305=".",1,A5305+1))</f>
        <v>.</v>
      </c>
      <c r="B5306" s="244" t="str">
        <f t="shared" si="82"/>
        <v>Total Knee ReplacementProviderGUY'S AND ST THOMAS' NHS FOUNDATION TRUST (RJ1)Oxford Knee Score</v>
      </c>
      <c r="C5306" t="s">
        <v>975</v>
      </c>
      <c r="D5306" t="s">
        <v>965</v>
      </c>
      <c r="E5306" t="s">
        <v>262</v>
      </c>
      <c r="F5306" t="s">
        <v>263</v>
      </c>
      <c r="G5306" t="s">
        <v>972</v>
      </c>
      <c r="H5306">
        <v>71</v>
      </c>
      <c r="I5306">
        <v>16.915500000000002</v>
      </c>
      <c r="J5306">
        <v>31.7042</v>
      </c>
      <c r="K5306">
        <v>14.7887</v>
      </c>
      <c r="L5306">
        <v>66</v>
      </c>
      <c r="M5306">
        <v>0</v>
      </c>
      <c r="N5306">
        <v>5</v>
      </c>
      <c r="O5306">
        <v>34.7029</v>
      </c>
      <c r="P5306">
        <v>15.4343</v>
      </c>
      <c r="Q5306">
        <v>9.1931899999999995</v>
      </c>
    </row>
    <row r="5307" spans="1:17" x14ac:dyDescent="0.25">
      <c r="A5307" t="str">
        <f>IF(C5307&amp;G5307&amp;D5307&lt;&gt;'Funnel setup'!$K$3&amp;'Funnel setup'!$K$4&amp;'Funnel setup'!$K$6,".",IF(A5306=".",1,A5306+1))</f>
        <v>.</v>
      </c>
      <c r="B5307" s="244" t="str">
        <f t="shared" si="82"/>
        <v>Total Knee ReplacementProviderHAMPSHIRE CLINIC (NT418)Oxford Knee Score</v>
      </c>
      <c r="C5307" t="s">
        <v>975</v>
      </c>
      <c r="D5307" t="s">
        <v>965</v>
      </c>
      <c r="E5307" t="s">
        <v>264</v>
      </c>
      <c r="F5307" t="s">
        <v>265</v>
      </c>
      <c r="G5307" t="s">
        <v>972</v>
      </c>
      <c r="H5307">
        <v>22</v>
      </c>
      <c r="I5307">
        <v>24.217400000000001</v>
      </c>
      <c r="J5307">
        <v>39.652200000000001</v>
      </c>
      <c r="K5307">
        <v>15.434799999999999</v>
      </c>
      <c r="L5307">
        <v>20</v>
      </c>
      <c r="M5307">
        <v>0</v>
      </c>
      <c r="N5307">
        <v>2</v>
      </c>
      <c r="O5307" t="s">
        <v>127</v>
      </c>
      <c r="P5307" t="s">
        <v>127</v>
      </c>
      <c r="Q5307" t="s">
        <v>127</v>
      </c>
    </row>
    <row r="5308" spans="1:17" x14ac:dyDescent="0.25">
      <c r="A5308" t="str">
        <f>IF(C5308&amp;G5308&amp;D5308&lt;&gt;'Funnel setup'!$K$3&amp;'Funnel setup'!$K$4&amp;'Funnel setup'!$K$6,".",IF(A5307=".",1,A5307+1))</f>
        <v>.</v>
      </c>
      <c r="B5308" s="244" t="str">
        <f t="shared" si="82"/>
        <v>Total Knee ReplacementProviderHAMPSHIRE HOSPITALS NHS FOUNDATION TRUST (RN5)Oxford Knee Score</v>
      </c>
      <c r="C5308" t="s">
        <v>975</v>
      </c>
      <c r="D5308" t="s">
        <v>965</v>
      </c>
      <c r="E5308" t="s">
        <v>266</v>
      </c>
      <c r="F5308" t="s">
        <v>267</v>
      </c>
      <c r="G5308" t="s">
        <v>972</v>
      </c>
      <c r="H5308">
        <v>28</v>
      </c>
      <c r="I5308">
        <v>21.178599999999999</v>
      </c>
      <c r="J5308">
        <v>38.535699999999999</v>
      </c>
      <c r="K5308">
        <v>17.357099999999999</v>
      </c>
      <c r="L5308">
        <v>25</v>
      </c>
      <c r="M5308">
        <v>0</v>
      </c>
      <c r="N5308">
        <v>3</v>
      </c>
      <c r="O5308" t="s">
        <v>127</v>
      </c>
      <c r="P5308" t="s">
        <v>127</v>
      </c>
      <c r="Q5308" t="s">
        <v>127</v>
      </c>
    </row>
    <row r="5309" spans="1:17" x14ac:dyDescent="0.25">
      <c r="A5309" t="str">
        <f>IF(C5309&amp;G5309&amp;D5309&lt;&gt;'Funnel setup'!$K$3&amp;'Funnel setup'!$K$4&amp;'Funnel setup'!$K$6,".",IF(A5308=".",1,A5308+1))</f>
        <v>.</v>
      </c>
      <c r="B5309" s="244" t="str">
        <f t="shared" si="82"/>
        <v>Total Knee ReplacementProviderHARROGATE AND DISTRICT NHS FOUNDATION TRUST (RCD)Oxford Knee Score</v>
      </c>
      <c r="C5309" t="s">
        <v>975</v>
      </c>
      <c r="D5309" t="s">
        <v>965</v>
      </c>
      <c r="E5309" t="s">
        <v>270</v>
      </c>
      <c r="F5309" t="s">
        <v>271</v>
      </c>
      <c r="G5309" t="s">
        <v>972</v>
      </c>
      <c r="H5309">
        <v>91</v>
      </c>
      <c r="I5309">
        <v>18.857099999999999</v>
      </c>
      <c r="J5309">
        <v>36.131900000000002</v>
      </c>
      <c r="K5309">
        <v>17.274699999999999</v>
      </c>
      <c r="L5309">
        <v>87</v>
      </c>
      <c r="M5309">
        <v>2</v>
      </c>
      <c r="N5309">
        <v>2</v>
      </c>
      <c r="O5309">
        <v>36.620100000000001</v>
      </c>
      <c r="P5309">
        <v>17.351500000000001</v>
      </c>
      <c r="Q5309">
        <v>8.48367</v>
      </c>
    </row>
    <row r="5310" spans="1:17" x14ac:dyDescent="0.25">
      <c r="A5310" t="str">
        <f>IF(C5310&amp;G5310&amp;D5310&lt;&gt;'Funnel setup'!$K$3&amp;'Funnel setup'!$K$4&amp;'Funnel setup'!$K$6,".",IF(A5309=".",1,A5309+1))</f>
        <v>.</v>
      </c>
      <c r="B5310" s="244" t="str">
        <f t="shared" si="82"/>
        <v>Total Knee ReplacementProviderHIGHFIELD HOSPITAL (NT420)Oxford Knee Score</v>
      </c>
      <c r="C5310" t="s">
        <v>975</v>
      </c>
      <c r="D5310" t="s">
        <v>965</v>
      </c>
      <c r="E5310" t="s">
        <v>272</v>
      </c>
      <c r="F5310" t="s">
        <v>273</v>
      </c>
      <c r="G5310" t="s">
        <v>972</v>
      </c>
      <c r="H5310">
        <v>128</v>
      </c>
      <c r="I5310">
        <v>19.218800000000002</v>
      </c>
      <c r="J5310">
        <v>35.867199999999997</v>
      </c>
      <c r="K5310">
        <v>16.648399999999999</v>
      </c>
      <c r="L5310">
        <v>119</v>
      </c>
      <c r="M5310">
        <v>0</v>
      </c>
      <c r="N5310">
        <v>9</v>
      </c>
      <c r="O5310">
        <v>35.552799999999998</v>
      </c>
      <c r="P5310">
        <v>16.284199999999998</v>
      </c>
      <c r="Q5310">
        <v>8.9061199999999996</v>
      </c>
    </row>
    <row r="5311" spans="1:17" x14ac:dyDescent="0.25">
      <c r="A5311" t="str">
        <f>IF(C5311&amp;G5311&amp;D5311&lt;&gt;'Funnel setup'!$K$3&amp;'Funnel setup'!$K$4&amp;'Funnel setup'!$K$6,".",IF(A5310=".",1,A5310+1))</f>
        <v>.</v>
      </c>
      <c r="B5311" s="244" t="str">
        <f t="shared" si="82"/>
        <v>Total Knee ReplacementProviderHOMERTON HEALTHCARE NHS FOUNDATION TRUST (RQX)Oxford Knee Score</v>
      </c>
      <c r="C5311" t="s">
        <v>975</v>
      </c>
      <c r="D5311" t="s">
        <v>965</v>
      </c>
      <c r="E5311" t="s">
        <v>274</v>
      </c>
      <c r="F5311" t="s">
        <v>275</v>
      </c>
      <c r="G5311" t="s">
        <v>972</v>
      </c>
      <c r="H5311">
        <v>4</v>
      </c>
      <c r="I5311">
        <v>15.5</v>
      </c>
      <c r="J5311">
        <v>36.25</v>
      </c>
      <c r="K5311">
        <v>20.75</v>
      </c>
      <c r="L5311">
        <v>4</v>
      </c>
      <c r="M5311">
        <v>0</v>
      </c>
      <c r="N5311">
        <v>0</v>
      </c>
      <c r="O5311" t="s">
        <v>127</v>
      </c>
      <c r="P5311" t="s">
        <v>127</v>
      </c>
      <c r="Q5311" t="s">
        <v>127</v>
      </c>
    </row>
    <row r="5312" spans="1:17" x14ac:dyDescent="0.25">
      <c r="A5312" t="str">
        <f>IF(C5312&amp;G5312&amp;D5312&lt;&gt;'Funnel setup'!$K$3&amp;'Funnel setup'!$K$4&amp;'Funnel setup'!$K$6,".",IF(A5311=".",1,A5311+1))</f>
        <v>.</v>
      </c>
      <c r="B5312" s="244" t="str">
        <f t="shared" si="82"/>
        <v>Total Knee ReplacementProviderHUDDERSFIELD HOSPITAL (NT448)Oxford Knee Score</v>
      </c>
      <c r="C5312" t="s">
        <v>975</v>
      </c>
      <c r="D5312" t="s">
        <v>965</v>
      </c>
      <c r="E5312" t="s">
        <v>276</v>
      </c>
      <c r="F5312" t="s">
        <v>277</v>
      </c>
      <c r="G5312" t="s">
        <v>972</v>
      </c>
      <c r="H5312">
        <v>4</v>
      </c>
      <c r="I5312">
        <v>25</v>
      </c>
      <c r="J5312">
        <v>36.75</v>
      </c>
      <c r="K5312">
        <v>11.75</v>
      </c>
      <c r="L5312">
        <v>4</v>
      </c>
      <c r="M5312">
        <v>0</v>
      </c>
      <c r="N5312">
        <v>0</v>
      </c>
      <c r="O5312" t="s">
        <v>127</v>
      </c>
      <c r="P5312" t="s">
        <v>127</v>
      </c>
      <c r="Q5312" t="s">
        <v>127</v>
      </c>
    </row>
    <row r="5313" spans="1:17" x14ac:dyDescent="0.25">
      <c r="A5313" t="str">
        <f>IF(C5313&amp;G5313&amp;D5313&lt;&gt;'Funnel setup'!$K$3&amp;'Funnel setup'!$K$4&amp;'Funnel setup'!$K$6,".",IF(A5312=".",1,A5312+1))</f>
        <v>.</v>
      </c>
      <c r="B5313" s="244" t="str">
        <f t="shared" si="82"/>
        <v>Total Knee ReplacementProviderHULL UNIVERSITY TEACHING HOSPITALS NHS TRUST (RWA)Oxford Knee Score</v>
      </c>
      <c r="C5313" t="s">
        <v>975</v>
      </c>
      <c r="D5313" t="s">
        <v>965</v>
      </c>
      <c r="E5313" t="s">
        <v>278</v>
      </c>
      <c r="F5313" t="s">
        <v>279</v>
      </c>
      <c r="G5313" t="s">
        <v>972</v>
      </c>
      <c r="H5313">
        <v>32</v>
      </c>
      <c r="I5313">
        <v>18.3125</v>
      </c>
      <c r="J5313">
        <v>32.656300000000002</v>
      </c>
      <c r="K5313">
        <v>14.3438</v>
      </c>
      <c r="L5313">
        <v>29</v>
      </c>
      <c r="M5313">
        <v>1</v>
      </c>
      <c r="N5313">
        <v>2</v>
      </c>
      <c r="O5313">
        <v>33.810899999999997</v>
      </c>
      <c r="P5313">
        <v>14.542299999999999</v>
      </c>
      <c r="Q5313">
        <v>10.3994</v>
      </c>
    </row>
    <row r="5314" spans="1:17" x14ac:dyDescent="0.25">
      <c r="A5314" t="str">
        <f>IF(C5314&amp;G5314&amp;D5314&lt;&gt;'Funnel setup'!$K$3&amp;'Funnel setup'!$K$4&amp;'Funnel setup'!$K$6,".",IF(A5313=".",1,A5313+1))</f>
        <v>.</v>
      </c>
      <c r="B5314" s="244" t="str">
        <f t="shared" ref="B5314:B5377" si="83">C5314&amp;D5314&amp;F5314&amp;G5314</f>
        <v>Total Knee ReplacementProviderIMPERIAL COLLEGE HEALTHCARE NHS TRUST (RYJ)Oxford Knee Score</v>
      </c>
      <c r="C5314" t="s">
        <v>975</v>
      </c>
      <c r="D5314" t="s">
        <v>965</v>
      </c>
      <c r="E5314" t="s">
        <v>280</v>
      </c>
      <c r="F5314" t="s">
        <v>281</v>
      </c>
      <c r="G5314" t="s">
        <v>972</v>
      </c>
      <c r="H5314">
        <v>22</v>
      </c>
      <c r="I5314">
        <v>15.2727</v>
      </c>
      <c r="J5314">
        <v>34.545499999999997</v>
      </c>
      <c r="K5314">
        <v>19.2727</v>
      </c>
      <c r="L5314">
        <v>21</v>
      </c>
      <c r="M5314">
        <v>0</v>
      </c>
      <c r="N5314">
        <v>1</v>
      </c>
      <c r="O5314" t="s">
        <v>127</v>
      </c>
      <c r="P5314" t="s">
        <v>127</v>
      </c>
      <c r="Q5314" t="s">
        <v>127</v>
      </c>
    </row>
    <row r="5315" spans="1:17" x14ac:dyDescent="0.25">
      <c r="A5315" t="str">
        <f>IF(C5315&amp;G5315&amp;D5315&lt;&gt;'Funnel setup'!$K$3&amp;'Funnel setup'!$K$4&amp;'Funnel setup'!$K$6,".",IF(A5314=".",1,A5314+1))</f>
        <v>.</v>
      </c>
      <c r="B5315" s="244" t="str">
        <f t="shared" si="83"/>
        <v>Total Knee ReplacementProviderISLE OF WIGHT NHS TRUST (R1F)Oxford Knee Score</v>
      </c>
      <c r="C5315" t="s">
        <v>975</v>
      </c>
      <c r="D5315" t="s">
        <v>965</v>
      </c>
      <c r="E5315" t="s">
        <v>282</v>
      </c>
      <c r="F5315" t="s">
        <v>283</v>
      </c>
      <c r="G5315" t="s">
        <v>972</v>
      </c>
      <c r="H5315">
        <v>3</v>
      </c>
      <c r="I5315">
        <v>22.333300000000001</v>
      </c>
      <c r="J5315">
        <v>30</v>
      </c>
      <c r="K5315">
        <v>7.6666699999999999</v>
      </c>
      <c r="L5315">
        <v>2</v>
      </c>
      <c r="M5315">
        <v>1</v>
      </c>
      <c r="N5315">
        <v>0</v>
      </c>
      <c r="O5315" t="s">
        <v>127</v>
      </c>
      <c r="P5315" t="s">
        <v>127</v>
      </c>
      <c r="Q5315" t="s">
        <v>127</v>
      </c>
    </row>
    <row r="5316" spans="1:17" x14ac:dyDescent="0.25">
      <c r="A5316" t="str">
        <f>IF(C5316&amp;G5316&amp;D5316&lt;&gt;'Funnel setup'!$K$3&amp;'Funnel setup'!$K$4&amp;'Funnel setup'!$K$6,".",IF(A5315=".",1,A5315+1))</f>
        <v>.</v>
      </c>
      <c r="B5316" s="244" t="str">
        <f t="shared" si="83"/>
        <v>Total Knee ReplacementProviderJAMES PAGET UNIVERSITY HOSPITALS NHS FOUNDATION TRUST (RGP)Oxford Knee Score</v>
      </c>
      <c r="C5316" t="s">
        <v>975</v>
      </c>
      <c r="D5316" t="s">
        <v>965</v>
      </c>
      <c r="E5316" t="s">
        <v>284</v>
      </c>
      <c r="F5316" t="s">
        <v>285</v>
      </c>
      <c r="G5316" t="s">
        <v>972</v>
      </c>
      <c r="H5316">
        <v>72</v>
      </c>
      <c r="I5316">
        <v>18.2361</v>
      </c>
      <c r="J5316">
        <v>34.944400000000002</v>
      </c>
      <c r="K5316">
        <v>16.708300000000001</v>
      </c>
      <c r="L5316">
        <v>69</v>
      </c>
      <c r="M5316">
        <v>0</v>
      </c>
      <c r="N5316">
        <v>3</v>
      </c>
      <c r="O5316">
        <v>35.984099999999998</v>
      </c>
      <c r="P5316">
        <v>16.715499999999999</v>
      </c>
      <c r="Q5316">
        <v>8.1055799999999998</v>
      </c>
    </row>
    <row r="5317" spans="1:17" x14ac:dyDescent="0.25">
      <c r="A5317" t="str">
        <f>IF(C5317&amp;G5317&amp;D5317&lt;&gt;'Funnel setup'!$K$3&amp;'Funnel setup'!$K$4&amp;'Funnel setup'!$K$6,".",IF(A5316=".",1,A5316+1))</f>
        <v>.</v>
      </c>
      <c r="B5317" s="244" t="str">
        <f t="shared" si="83"/>
        <v>Total Knee ReplacementProviderKETTERING GENERAL HOSPITAL NHS FOUNDATION TRUST (RNQ)Oxford Knee Score</v>
      </c>
      <c r="C5317" t="s">
        <v>975</v>
      </c>
      <c r="D5317" t="s">
        <v>965</v>
      </c>
      <c r="E5317" t="s">
        <v>286</v>
      </c>
      <c r="F5317" t="s">
        <v>287</v>
      </c>
      <c r="G5317" t="s">
        <v>972</v>
      </c>
      <c r="H5317">
        <v>32</v>
      </c>
      <c r="I5317">
        <v>16.968800000000002</v>
      </c>
      <c r="J5317">
        <v>33.8125</v>
      </c>
      <c r="K5317">
        <v>16.843800000000002</v>
      </c>
      <c r="L5317">
        <v>31</v>
      </c>
      <c r="M5317">
        <v>0</v>
      </c>
      <c r="N5317">
        <v>1</v>
      </c>
      <c r="O5317">
        <v>36.012</v>
      </c>
      <c r="P5317">
        <v>16.743400000000001</v>
      </c>
      <c r="Q5317">
        <v>9.8852399999999996</v>
      </c>
    </row>
    <row r="5318" spans="1:17" x14ac:dyDescent="0.25">
      <c r="A5318" t="str">
        <f>IF(C5318&amp;G5318&amp;D5318&lt;&gt;'Funnel setup'!$K$3&amp;'Funnel setup'!$K$4&amp;'Funnel setup'!$K$6,".",IF(A5317=".",1,A5317+1))</f>
        <v>.</v>
      </c>
      <c r="B5318" s="244" t="str">
        <f t="shared" si="83"/>
        <v>Total Knee ReplacementProviderKIMS HOSPITAL (NEWNHAM COURT) (ADP02)Oxford Knee Score</v>
      </c>
      <c r="C5318" t="s">
        <v>975</v>
      </c>
      <c r="D5318" t="s">
        <v>965</v>
      </c>
      <c r="E5318" t="s">
        <v>288</v>
      </c>
      <c r="F5318" t="s">
        <v>289</v>
      </c>
      <c r="G5318" t="s">
        <v>972</v>
      </c>
      <c r="H5318">
        <v>135</v>
      </c>
      <c r="I5318">
        <v>21.9556</v>
      </c>
      <c r="J5318">
        <v>39.896299999999997</v>
      </c>
      <c r="K5318">
        <v>17.9407</v>
      </c>
      <c r="L5318">
        <v>131</v>
      </c>
      <c r="M5318">
        <v>0</v>
      </c>
      <c r="N5318">
        <v>4</v>
      </c>
      <c r="O5318">
        <v>38.443899999999999</v>
      </c>
      <c r="P5318">
        <v>19.1753</v>
      </c>
      <c r="Q5318">
        <v>7.7735900000000004</v>
      </c>
    </row>
    <row r="5319" spans="1:17" x14ac:dyDescent="0.25">
      <c r="A5319" t="str">
        <f>IF(C5319&amp;G5319&amp;D5319&lt;&gt;'Funnel setup'!$K$3&amp;'Funnel setup'!$K$4&amp;'Funnel setup'!$K$6,".",IF(A5318=".",1,A5318+1))</f>
        <v>.</v>
      </c>
      <c r="B5319" s="244" t="str">
        <f t="shared" si="83"/>
        <v>Total Knee ReplacementProviderKING'S COLLEGE HOSPITAL NHS FOUNDATION TRUST (RJZ)Oxford Knee Score</v>
      </c>
      <c r="C5319" t="s">
        <v>975</v>
      </c>
      <c r="D5319" t="s">
        <v>965</v>
      </c>
      <c r="E5319" t="s">
        <v>290</v>
      </c>
      <c r="F5319" t="s">
        <v>291</v>
      </c>
      <c r="G5319" t="s">
        <v>972</v>
      </c>
      <c r="H5319">
        <v>14</v>
      </c>
      <c r="I5319">
        <v>20.214300000000001</v>
      </c>
      <c r="J5319">
        <v>30.142900000000001</v>
      </c>
      <c r="K5319">
        <v>9.9285700000000006</v>
      </c>
      <c r="L5319">
        <v>11</v>
      </c>
      <c r="M5319">
        <v>1</v>
      </c>
      <c r="N5319">
        <v>2</v>
      </c>
      <c r="O5319" t="s">
        <v>127</v>
      </c>
      <c r="P5319" t="s">
        <v>127</v>
      </c>
      <c r="Q5319" t="s">
        <v>127</v>
      </c>
    </row>
    <row r="5320" spans="1:17" x14ac:dyDescent="0.25">
      <c r="A5320" t="str">
        <f>IF(C5320&amp;G5320&amp;D5320&lt;&gt;'Funnel setup'!$K$3&amp;'Funnel setup'!$K$4&amp;'Funnel setup'!$K$6,".",IF(A5319=".",1,A5319+1))</f>
        <v>.</v>
      </c>
      <c r="B5320" s="244" t="str">
        <f t="shared" si="83"/>
        <v>Total Knee ReplacementProviderKINGS OAK HOSPITAL (NT421)Oxford Knee Score</v>
      </c>
      <c r="C5320" t="s">
        <v>975</v>
      </c>
      <c r="D5320" t="s">
        <v>965</v>
      </c>
      <c r="E5320" t="s">
        <v>292</v>
      </c>
      <c r="F5320" t="s">
        <v>293</v>
      </c>
      <c r="G5320" t="s">
        <v>972</v>
      </c>
      <c r="H5320">
        <v>6</v>
      </c>
      <c r="I5320">
        <v>14</v>
      </c>
      <c r="J5320">
        <v>29.333300000000001</v>
      </c>
      <c r="K5320">
        <v>15.333299999999999</v>
      </c>
      <c r="L5320">
        <v>6</v>
      </c>
      <c r="M5320">
        <v>0</v>
      </c>
      <c r="N5320">
        <v>0</v>
      </c>
      <c r="O5320" t="s">
        <v>127</v>
      </c>
      <c r="P5320" t="s">
        <v>127</v>
      </c>
      <c r="Q5320" t="s">
        <v>127</v>
      </c>
    </row>
    <row r="5321" spans="1:17" x14ac:dyDescent="0.25">
      <c r="A5321" t="str">
        <f>IF(C5321&amp;G5321&amp;D5321&lt;&gt;'Funnel setup'!$K$3&amp;'Funnel setup'!$K$4&amp;'Funnel setup'!$K$6,".",IF(A5320=".",1,A5320+1))</f>
        <v>.</v>
      </c>
      <c r="B5321" s="244" t="str">
        <f t="shared" si="83"/>
        <v>Total Knee ReplacementProviderLANCASHIRE TEACHING HOSPITALS NHS FOUNDATION TRUST (RXN)Oxford Knee Score</v>
      </c>
      <c r="C5321" t="s">
        <v>975</v>
      </c>
      <c r="D5321" t="s">
        <v>965</v>
      </c>
      <c r="E5321" t="s">
        <v>296</v>
      </c>
      <c r="F5321" t="s">
        <v>297</v>
      </c>
      <c r="G5321" t="s">
        <v>972</v>
      </c>
      <c r="H5321">
        <v>44</v>
      </c>
      <c r="I5321">
        <v>18.4773</v>
      </c>
      <c r="J5321">
        <v>33.340899999999998</v>
      </c>
      <c r="K5321">
        <v>14.8636</v>
      </c>
      <c r="L5321">
        <v>38</v>
      </c>
      <c r="M5321">
        <v>2</v>
      </c>
      <c r="N5321">
        <v>4</v>
      </c>
      <c r="O5321">
        <v>34.922600000000003</v>
      </c>
      <c r="P5321">
        <v>15.6539</v>
      </c>
      <c r="Q5321">
        <v>10.6829</v>
      </c>
    </row>
    <row r="5322" spans="1:17" x14ac:dyDescent="0.25">
      <c r="A5322" t="str">
        <f>IF(C5322&amp;G5322&amp;D5322&lt;&gt;'Funnel setup'!$K$3&amp;'Funnel setup'!$K$4&amp;'Funnel setup'!$K$6,".",IF(A5321=".",1,A5321+1))</f>
        <v>.</v>
      </c>
      <c r="B5322" s="244" t="str">
        <f t="shared" si="83"/>
        <v>Total Knee ReplacementProviderLANCASTER HOSPITAL (NT449)Oxford Knee Score</v>
      </c>
      <c r="C5322" t="s">
        <v>975</v>
      </c>
      <c r="D5322" t="s">
        <v>965</v>
      </c>
      <c r="E5322" t="s">
        <v>298</v>
      </c>
      <c r="F5322" t="s">
        <v>299</v>
      </c>
      <c r="G5322" t="s">
        <v>972</v>
      </c>
      <c r="H5322">
        <v>32</v>
      </c>
      <c r="I5322">
        <v>21.875</v>
      </c>
      <c r="J5322">
        <v>38.593800000000002</v>
      </c>
      <c r="K5322">
        <v>16.718800000000002</v>
      </c>
      <c r="L5322">
        <v>29</v>
      </c>
      <c r="M5322">
        <v>0</v>
      </c>
      <c r="N5322">
        <v>3</v>
      </c>
      <c r="O5322">
        <v>36.535499999999999</v>
      </c>
      <c r="P5322">
        <v>17.2669</v>
      </c>
      <c r="Q5322">
        <v>6.0920500000000004</v>
      </c>
    </row>
    <row r="5323" spans="1:17" x14ac:dyDescent="0.25">
      <c r="A5323" t="str">
        <f>IF(C5323&amp;G5323&amp;D5323&lt;&gt;'Funnel setup'!$K$3&amp;'Funnel setup'!$K$4&amp;'Funnel setup'!$K$6,".",IF(A5322=".",1,A5322+1))</f>
        <v>.</v>
      </c>
      <c r="B5323" s="244" t="str">
        <f t="shared" si="83"/>
        <v>Total Knee ReplacementProviderLEEDS TEACHING HOSPITALS NHS TRUST (RR8)Oxford Knee Score</v>
      </c>
      <c r="C5323" t="s">
        <v>975</v>
      </c>
      <c r="D5323" t="s">
        <v>965</v>
      </c>
      <c r="E5323" t="s">
        <v>300</v>
      </c>
      <c r="F5323" t="s">
        <v>301</v>
      </c>
      <c r="G5323" t="s">
        <v>972</v>
      </c>
      <c r="H5323">
        <v>112</v>
      </c>
      <c r="I5323">
        <v>19.366099999999999</v>
      </c>
      <c r="J5323">
        <v>35.8125</v>
      </c>
      <c r="K5323">
        <v>16.446400000000001</v>
      </c>
      <c r="L5323">
        <v>109</v>
      </c>
      <c r="M5323">
        <v>0</v>
      </c>
      <c r="N5323">
        <v>3</v>
      </c>
      <c r="O5323">
        <v>36.392200000000003</v>
      </c>
      <c r="P5323">
        <v>17.1236</v>
      </c>
      <c r="Q5323">
        <v>8.9610299999999992</v>
      </c>
    </row>
    <row r="5324" spans="1:17" x14ac:dyDescent="0.25">
      <c r="A5324" t="str">
        <f>IF(C5324&amp;G5324&amp;D5324&lt;&gt;'Funnel setup'!$K$3&amp;'Funnel setup'!$K$4&amp;'Funnel setup'!$K$6,".",IF(A5323=".",1,A5323+1))</f>
        <v>.</v>
      </c>
      <c r="B5324" s="244" t="str">
        <f t="shared" si="83"/>
        <v>Total Knee ReplacementProviderLINCOLN HOSPITAL (NT450)Oxford Knee Score</v>
      </c>
      <c r="C5324" t="s">
        <v>975</v>
      </c>
      <c r="D5324" t="s">
        <v>965</v>
      </c>
      <c r="E5324" t="s">
        <v>304</v>
      </c>
      <c r="F5324" t="s">
        <v>305</v>
      </c>
      <c r="G5324" t="s">
        <v>972</v>
      </c>
      <c r="H5324">
        <v>72</v>
      </c>
      <c r="I5324">
        <v>21.794499999999999</v>
      </c>
      <c r="J5324">
        <v>39.534199999999998</v>
      </c>
      <c r="K5324">
        <v>17.739699999999999</v>
      </c>
      <c r="L5324">
        <v>70</v>
      </c>
      <c r="M5324">
        <v>1</v>
      </c>
      <c r="N5324">
        <v>1</v>
      </c>
      <c r="O5324">
        <v>37.972999999999999</v>
      </c>
      <c r="P5324">
        <v>18.7044</v>
      </c>
      <c r="Q5324">
        <v>6.3727799999999997</v>
      </c>
    </row>
    <row r="5325" spans="1:17" x14ac:dyDescent="0.25">
      <c r="A5325" t="str">
        <f>IF(C5325&amp;G5325&amp;D5325&lt;&gt;'Funnel setup'!$K$3&amp;'Funnel setup'!$K$4&amp;'Funnel setup'!$K$6,".",IF(A5324=".",1,A5324+1))</f>
        <v>.</v>
      </c>
      <c r="B5325" s="244" t="str">
        <f t="shared" si="83"/>
        <v>Total Knee ReplacementProviderLIVERPOOL UNIVERSITY HOSPITALS NHS FOUNDATION TRUST (REM)Oxford Knee Score</v>
      </c>
      <c r="C5325" t="s">
        <v>975</v>
      </c>
      <c r="D5325" t="s">
        <v>965</v>
      </c>
      <c r="E5325" t="s">
        <v>306</v>
      </c>
      <c r="F5325" t="s">
        <v>307</v>
      </c>
      <c r="G5325" t="s">
        <v>972</v>
      </c>
      <c r="H5325">
        <v>60</v>
      </c>
      <c r="I5325">
        <v>16.3</v>
      </c>
      <c r="J5325">
        <v>35.1</v>
      </c>
      <c r="K5325">
        <v>18.8</v>
      </c>
      <c r="L5325">
        <v>56</v>
      </c>
      <c r="M5325">
        <v>0</v>
      </c>
      <c r="N5325">
        <v>4</v>
      </c>
      <c r="O5325">
        <v>37.122399999999999</v>
      </c>
      <c r="P5325">
        <v>17.8538</v>
      </c>
      <c r="Q5325">
        <v>9.1210100000000001</v>
      </c>
    </row>
    <row r="5326" spans="1:17" x14ac:dyDescent="0.25">
      <c r="A5326" t="str">
        <f>IF(C5326&amp;G5326&amp;D5326&lt;&gt;'Funnel setup'!$K$3&amp;'Funnel setup'!$K$4&amp;'Funnel setup'!$K$6,".",IF(A5325=".",1,A5325+1))</f>
        <v>.</v>
      </c>
      <c r="B5326" s="244" t="str">
        <f t="shared" si="83"/>
        <v>Total Knee ReplacementProviderLONDON INDEPENDENT HOSPITAL (NT422)Oxford Knee Score</v>
      </c>
      <c r="C5326" t="s">
        <v>975</v>
      </c>
      <c r="D5326" t="s">
        <v>965</v>
      </c>
      <c r="E5326" t="s">
        <v>308</v>
      </c>
      <c r="F5326" t="s">
        <v>309</v>
      </c>
      <c r="G5326" t="s">
        <v>972</v>
      </c>
      <c r="H5326">
        <v>11</v>
      </c>
      <c r="I5326">
        <v>18.363600000000002</v>
      </c>
      <c r="J5326">
        <v>25.818200000000001</v>
      </c>
      <c r="K5326">
        <v>7.4545500000000002</v>
      </c>
      <c r="L5326">
        <v>7</v>
      </c>
      <c r="M5326">
        <v>0</v>
      </c>
      <c r="N5326">
        <v>4</v>
      </c>
      <c r="O5326" t="s">
        <v>127</v>
      </c>
      <c r="P5326" t="s">
        <v>127</v>
      </c>
      <c r="Q5326" t="s">
        <v>127</v>
      </c>
    </row>
    <row r="5327" spans="1:17" x14ac:dyDescent="0.25">
      <c r="A5327" t="str">
        <f>IF(C5327&amp;G5327&amp;D5327&lt;&gt;'Funnel setup'!$K$3&amp;'Funnel setup'!$K$4&amp;'Funnel setup'!$K$6,".",IF(A5326=".",1,A5326+1))</f>
        <v>.</v>
      </c>
      <c r="B5327" s="244" t="str">
        <f t="shared" si="83"/>
        <v>Total Knee ReplacementProviderMAIDSTONE AND TUNBRIDGE WELLS NHS TRUST (RWF)Oxford Knee Score</v>
      </c>
      <c r="C5327" t="s">
        <v>975</v>
      </c>
      <c r="D5327" t="s">
        <v>965</v>
      </c>
      <c r="E5327" t="s">
        <v>312</v>
      </c>
      <c r="F5327" t="s">
        <v>313</v>
      </c>
      <c r="G5327" t="s">
        <v>972</v>
      </c>
      <c r="H5327">
        <v>159</v>
      </c>
      <c r="I5327">
        <v>21.044</v>
      </c>
      <c r="J5327">
        <v>37.956000000000003</v>
      </c>
      <c r="K5327">
        <v>16.911899999999999</v>
      </c>
      <c r="L5327">
        <v>150</v>
      </c>
      <c r="M5327">
        <v>2</v>
      </c>
      <c r="N5327">
        <v>7</v>
      </c>
      <c r="O5327">
        <v>36.860900000000001</v>
      </c>
      <c r="P5327">
        <v>17.592300000000002</v>
      </c>
      <c r="Q5327">
        <v>7.7373399999999997</v>
      </c>
    </row>
    <row r="5328" spans="1:17" x14ac:dyDescent="0.25">
      <c r="A5328" t="str">
        <f>IF(C5328&amp;G5328&amp;D5328&lt;&gt;'Funnel setup'!$K$3&amp;'Funnel setup'!$K$4&amp;'Funnel setup'!$K$6,".",IF(A5327=".",1,A5327+1))</f>
        <v>.</v>
      </c>
      <c r="B5328" s="244" t="str">
        <f t="shared" si="83"/>
        <v>Total Knee ReplacementProviderMANCHESTER UNIVERSITY NHS FOUNDATION TRUST (R0A)Oxford Knee Score</v>
      </c>
      <c r="C5328" t="s">
        <v>975</v>
      </c>
      <c r="D5328" t="s">
        <v>965</v>
      </c>
      <c r="E5328" t="s">
        <v>316</v>
      </c>
      <c r="F5328" t="s">
        <v>317</v>
      </c>
      <c r="G5328" t="s">
        <v>972</v>
      </c>
      <c r="H5328">
        <v>115</v>
      </c>
      <c r="I5328">
        <v>17.5913</v>
      </c>
      <c r="J5328">
        <v>34.043500000000002</v>
      </c>
      <c r="K5328">
        <v>16.452200000000001</v>
      </c>
      <c r="L5328">
        <v>107</v>
      </c>
      <c r="M5328">
        <v>0</v>
      </c>
      <c r="N5328">
        <v>8</v>
      </c>
      <c r="O5328">
        <v>35.260599999999997</v>
      </c>
      <c r="P5328">
        <v>15.991899999999999</v>
      </c>
      <c r="Q5328">
        <v>9.3630300000000002</v>
      </c>
    </row>
    <row r="5329" spans="1:17" x14ac:dyDescent="0.25">
      <c r="A5329" t="str">
        <f>IF(C5329&amp;G5329&amp;D5329&lt;&gt;'Funnel setup'!$K$3&amp;'Funnel setup'!$K$4&amp;'Funnel setup'!$K$6,".",IF(A5328=".",1,A5328+1))</f>
        <v>.</v>
      </c>
      <c r="B5329" s="244" t="str">
        <f t="shared" si="83"/>
        <v>Total Knee ReplacementProviderMANOR HOSPITAL (NT423)Oxford Knee Score</v>
      </c>
      <c r="C5329" t="s">
        <v>975</v>
      </c>
      <c r="D5329" t="s">
        <v>965</v>
      </c>
      <c r="E5329" t="s">
        <v>318</v>
      </c>
      <c r="F5329" t="s">
        <v>319</v>
      </c>
      <c r="G5329" t="s">
        <v>972</v>
      </c>
      <c r="H5329">
        <v>16</v>
      </c>
      <c r="I5329">
        <v>17.6875</v>
      </c>
      <c r="J5329">
        <v>37.3125</v>
      </c>
      <c r="K5329">
        <v>19.625</v>
      </c>
      <c r="L5329">
        <v>16</v>
      </c>
      <c r="M5329">
        <v>0</v>
      </c>
      <c r="N5329">
        <v>0</v>
      </c>
      <c r="O5329" t="s">
        <v>127</v>
      </c>
      <c r="P5329" t="s">
        <v>127</v>
      </c>
      <c r="Q5329" t="s">
        <v>127</v>
      </c>
    </row>
    <row r="5330" spans="1:17" x14ac:dyDescent="0.25">
      <c r="A5330" t="str">
        <f>IF(C5330&amp;G5330&amp;D5330&lt;&gt;'Funnel setup'!$K$3&amp;'Funnel setup'!$K$4&amp;'Funnel setup'!$K$6,".",IF(A5329=".",1,A5329+1))</f>
        <v>.</v>
      </c>
      <c r="B5330" s="244" t="str">
        <f t="shared" si="83"/>
        <v>Total Knee ReplacementProviderMEDWAY NHS FOUNDATION TRUST (RPA)Oxford Knee Score</v>
      </c>
      <c r="C5330" t="s">
        <v>975</v>
      </c>
      <c r="D5330" t="s">
        <v>965</v>
      </c>
      <c r="E5330" t="s">
        <v>320</v>
      </c>
      <c r="F5330" t="s">
        <v>321</v>
      </c>
      <c r="G5330" t="s">
        <v>972</v>
      </c>
      <c r="H5330">
        <v>47</v>
      </c>
      <c r="I5330">
        <v>19.872299999999999</v>
      </c>
      <c r="J5330">
        <v>37.616999999999997</v>
      </c>
      <c r="K5330">
        <v>17.744700000000002</v>
      </c>
      <c r="L5330">
        <v>42</v>
      </c>
      <c r="M5330">
        <v>1</v>
      </c>
      <c r="N5330">
        <v>4</v>
      </c>
      <c r="O5330">
        <v>37.8277</v>
      </c>
      <c r="P5330">
        <v>18.559100000000001</v>
      </c>
      <c r="Q5330">
        <v>9.4371799999999997</v>
      </c>
    </row>
    <row r="5331" spans="1:17" x14ac:dyDescent="0.25">
      <c r="A5331" t="str">
        <f>IF(C5331&amp;G5331&amp;D5331&lt;&gt;'Funnel setup'!$K$3&amp;'Funnel setup'!$K$4&amp;'Funnel setup'!$K$6,".",IF(A5330=".",1,A5330+1))</f>
        <v>.</v>
      </c>
      <c r="B5331" s="244" t="str">
        <f t="shared" si="83"/>
        <v>Total Knee ReplacementProviderMERIDEN HOSPITAL (NT424)Oxford Knee Score</v>
      </c>
      <c r="C5331" t="s">
        <v>975</v>
      </c>
      <c r="D5331" t="s">
        <v>965</v>
      </c>
      <c r="E5331" t="s">
        <v>322</v>
      </c>
      <c r="F5331" t="s">
        <v>323</v>
      </c>
      <c r="G5331" t="s">
        <v>972</v>
      </c>
      <c r="H5331">
        <v>7</v>
      </c>
      <c r="I5331">
        <v>22</v>
      </c>
      <c r="J5331">
        <v>41.857100000000003</v>
      </c>
      <c r="K5331">
        <v>19.857099999999999</v>
      </c>
      <c r="L5331">
        <v>7</v>
      </c>
      <c r="M5331">
        <v>0</v>
      </c>
      <c r="N5331">
        <v>0</v>
      </c>
      <c r="O5331" t="s">
        <v>127</v>
      </c>
      <c r="P5331" t="s">
        <v>127</v>
      </c>
      <c r="Q5331" t="s">
        <v>127</v>
      </c>
    </row>
    <row r="5332" spans="1:17" x14ac:dyDescent="0.25">
      <c r="A5332" t="str">
        <f>IF(C5332&amp;G5332&amp;D5332&lt;&gt;'Funnel setup'!$K$3&amp;'Funnel setup'!$K$4&amp;'Funnel setup'!$K$6,".",IF(A5331=".",1,A5331+1))</f>
        <v>.</v>
      </c>
      <c r="B5332" s="244" t="str">
        <f t="shared" si="83"/>
        <v>Total Knee ReplacementProviderMID AND SOUTH ESSEX NHS FOUNDATION TRUST (RAJ)Oxford Knee Score</v>
      </c>
      <c r="C5332" t="s">
        <v>975</v>
      </c>
      <c r="D5332" t="s">
        <v>965</v>
      </c>
      <c r="E5332" t="s">
        <v>324</v>
      </c>
      <c r="F5332" t="s">
        <v>325</v>
      </c>
      <c r="G5332" t="s">
        <v>972</v>
      </c>
      <c r="H5332">
        <v>144</v>
      </c>
      <c r="I5332">
        <v>16.305599999999998</v>
      </c>
      <c r="J5332">
        <v>35.3889</v>
      </c>
      <c r="K5332">
        <v>19.083300000000001</v>
      </c>
      <c r="L5332">
        <v>135</v>
      </c>
      <c r="M5332">
        <v>1</v>
      </c>
      <c r="N5332">
        <v>8</v>
      </c>
      <c r="O5332">
        <v>36.802799999999998</v>
      </c>
      <c r="P5332">
        <v>17.534199999999998</v>
      </c>
      <c r="Q5332">
        <v>10.128299999999999</v>
      </c>
    </row>
    <row r="5333" spans="1:17" x14ac:dyDescent="0.25">
      <c r="A5333" t="str">
        <f>IF(C5333&amp;G5333&amp;D5333&lt;&gt;'Funnel setup'!$K$3&amp;'Funnel setup'!$K$4&amp;'Funnel setup'!$K$6,".",IF(A5332=".",1,A5332+1))</f>
        <v>.</v>
      </c>
      <c r="B5333" s="244" t="str">
        <f t="shared" si="83"/>
        <v>Total Knee ReplacementProviderMID CHESHIRE HOSPITALS NHS FOUNDATION TRUST (RBT)Oxford Knee Score</v>
      </c>
      <c r="C5333" t="s">
        <v>975</v>
      </c>
      <c r="D5333" t="s">
        <v>965</v>
      </c>
      <c r="E5333" t="s">
        <v>326</v>
      </c>
      <c r="F5333" t="s">
        <v>327</v>
      </c>
      <c r="G5333" t="s">
        <v>972</v>
      </c>
      <c r="H5333">
        <v>88</v>
      </c>
      <c r="I5333">
        <v>21.068200000000001</v>
      </c>
      <c r="J5333">
        <v>38.886400000000002</v>
      </c>
      <c r="K5333">
        <v>17.818200000000001</v>
      </c>
      <c r="L5333">
        <v>84</v>
      </c>
      <c r="M5333">
        <v>1</v>
      </c>
      <c r="N5333">
        <v>3</v>
      </c>
      <c r="O5333">
        <v>38.082500000000003</v>
      </c>
      <c r="P5333">
        <v>18.8139</v>
      </c>
      <c r="Q5333">
        <v>6.91533</v>
      </c>
    </row>
    <row r="5334" spans="1:17" x14ac:dyDescent="0.25">
      <c r="A5334" t="str">
        <f>IF(C5334&amp;G5334&amp;D5334&lt;&gt;'Funnel setup'!$K$3&amp;'Funnel setup'!$K$4&amp;'Funnel setup'!$K$6,".",IF(A5333=".",1,A5333+1))</f>
        <v>.</v>
      </c>
      <c r="B5334" s="244" t="str">
        <f t="shared" si="83"/>
        <v>Total Knee ReplacementProviderMID YORKSHIRE TEACHING NHS TRUST (RXF)Oxford Knee Score</v>
      </c>
      <c r="C5334" t="s">
        <v>975</v>
      </c>
      <c r="D5334" t="s">
        <v>965</v>
      </c>
      <c r="E5334" t="s">
        <v>330</v>
      </c>
      <c r="F5334" t="s">
        <v>331</v>
      </c>
      <c r="G5334" t="s">
        <v>972</v>
      </c>
      <c r="H5334">
        <v>207</v>
      </c>
      <c r="I5334">
        <v>18.067599999999999</v>
      </c>
      <c r="J5334">
        <v>35.565199999999997</v>
      </c>
      <c r="K5334">
        <v>17.497599999999998</v>
      </c>
      <c r="L5334">
        <v>191</v>
      </c>
      <c r="M5334">
        <v>2</v>
      </c>
      <c r="N5334">
        <v>14</v>
      </c>
      <c r="O5334">
        <v>36.883200000000002</v>
      </c>
      <c r="P5334">
        <v>17.6145</v>
      </c>
      <c r="Q5334">
        <v>9.5978399999999997</v>
      </c>
    </row>
    <row r="5335" spans="1:17" x14ac:dyDescent="0.25">
      <c r="A5335" t="str">
        <f>IF(C5335&amp;G5335&amp;D5335&lt;&gt;'Funnel setup'!$K$3&amp;'Funnel setup'!$K$4&amp;'Funnel setup'!$K$6,".",IF(A5334=".",1,A5334+1))</f>
        <v>.</v>
      </c>
      <c r="B5335" s="244" t="str">
        <f t="shared" si="83"/>
        <v>Total Knee ReplacementProviderMILTON KEYNES UNIVERSITY HOSPITAL NHS FOUNDATION TRUST (RD8)Oxford Knee Score</v>
      </c>
      <c r="C5335" t="s">
        <v>975</v>
      </c>
      <c r="D5335" t="s">
        <v>965</v>
      </c>
      <c r="E5335" t="s">
        <v>332</v>
      </c>
      <c r="F5335" t="s">
        <v>333</v>
      </c>
      <c r="G5335" t="s">
        <v>972</v>
      </c>
      <c r="H5335">
        <v>34</v>
      </c>
      <c r="I5335">
        <v>15.529400000000001</v>
      </c>
      <c r="J5335">
        <v>34.941200000000002</v>
      </c>
      <c r="K5335">
        <v>19.411799999999999</v>
      </c>
      <c r="L5335">
        <v>32</v>
      </c>
      <c r="M5335">
        <v>0</v>
      </c>
      <c r="N5335">
        <v>2</v>
      </c>
      <c r="O5335">
        <v>36.2438</v>
      </c>
      <c r="P5335">
        <v>16.975100000000001</v>
      </c>
      <c r="Q5335">
        <v>9.5330700000000004</v>
      </c>
    </row>
    <row r="5336" spans="1:17" x14ac:dyDescent="0.25">
      <c r="A5336" t="str">
        <f>IF(C5336&amp;G5336&amp;D5336&lt;&gt;'Funnel setup'!$K$3&amp;'Funnel setup'!$K$4&amp;'Funnel setup'!$K$6,".",IF(A5335=".",1,A5335+1))</f>
        <v>.</v>
      </c>
      <c r="B5336" s="244" t="str">
        <f t="shared" si="83"/>
        <v>Total Knee ReplacementProviderMOUNT ALVERNIA HOSPITAL (NT455)Oxford Knee Score</v>
      </c>
      <c r="C5336" t="s">
        <v>975</v>
      </c>
      <c r="D5336" t="s">
        <v>965</v>
      </c>
      <c r="E5336" t="s">
        <v>334</v>
      </c>
      <c r="F5336" t="s">
        <v>335</v>
      </c>
      <c r="G5336" t="s">
        <v>972</v>
      </c>
      <c r="H5336">
        <v>7</v>
      </c>
      <c r="I5336">
        <v>27.142900000000001</v>
      </c>
      <c r="J5336">
        <v>44.714300000000001</v>
      </c>
      <c r="K5336">
        <v>17.571400000000001</v>
      </c>
      <c r="L5336">
        <v>7</v>
      </c>
      <c r="M5336">
        <v>0</v>
      </c>
      <c r="N5336">
        <v>0</v>
      </c>
      <c r="O5336" t="s">
        <v>127</v>
      </c>
      <c r="P5336" t="s">
        <v>127</v>
      </c>
      <c r="Q5336" t="s">
        <v>127</v>
      </c>
    </row>
    <row r="5337" spans="1:17" x14ac:dyDescent="0.25">
      <c r="A5337" t="str">
        <f>IF(C5337&amp;G5337&amp;D5337&lt;&gt;'Funnel setup'!$K$3&amp;'Funnel setup'!$K$4&amp;'Funnel setup'!$K$6,".",IF(A5336=".",1,A5336+1))</f>
        <v>.</v>
      </c>
      <c r="B5337" s="244" t="str">
        <f t="shared" si="83"/>
        <v>Total Knee ReplacementProviderMOUNT STUART HOSPITAL (NVC08)Oxford Knee Score</v>
      </c>
      <c r="C5337" t="s">
        <v>975</v>
      </c>
      <c r="D5337" t="s">
        <v>965</v>
      </c>
      <c r="E5337" t="s">
        <v>336</v>
      </c>
      <c r="F5337" t="s">
        <v>337</v>
      </c>
      <c r="G5337" t="s">
        <v>972</v>
      </c>
      <c r="H5337">
        <v>104</v>
      </c>
      <c r="I5337">
        <v>20.8476</v>
      </c>
      <c r="J5337">
        <v>39.6571</v>
      </c>
      <c r="K5337">
        <v>18.8095</v>
      </c>
      <c r="L5337">
        <v>101</v>
      </c>
      <c r="M5337">
        <v>1</v>
      </c>
      <c r="N5337">
        <v>2</v>
      </c>
      <c r="O5337">
        <v>38.419199999999996</v>
      </c>
      <c r="P5337">
        <v>19.150600000000001</v>
      </c>
      <c r="Q5337">
        <v>6.8696599999999997</v>
      </c>
    </row>
    <row r="5338" spans="1:17" x14ac:dyDescent="0.25">
      <c r="A5338" t="str">
        <f>IF(C5338&amp;G5338&amp;D5338&lt;&gt;'Funnel setup'!$K$3&amp;'Funnel setup'!$K$4&amp;'Funnel setup'!$K$6,".",IF(A5337=".",1,A5337+1))</f>
        <v>.</v>
      </c>
      <c r="B5338" s="244" t="str">
        <f t="shared" si="83"/>
        <v>Total Knee ReplacementProviderNEW HALL HOSPITAL (NVC09)Oxford Knee Score</v>
      </c>
      <c r="C5338" t="s">
        <v>975</v>
      </c>
      <c r="D5338" t="s">
        <v>965</v>
      </c>
      <c r="E5338" t="s">
        <v>338</v>
      </c>
      <c r="F5338" t="s">
        <v>339</v>
      </c>
      <c r="G5338" t="s">
        <v>972</v>
      </c>
      <c r="H5338">
        <v>105</v>
      </c>
      <c r="I5338">
        <v>21.371400000000001</v>
      </c>
      <c r="J5338">
        <v>39.3048</v>
      </c>
      <c r="K5338">
        <v>17.933299999999999</v>
      </c>
      <c r="L5338">
        <v>102</v>
      </c>
      <c r="M5338">
        <v>0</v>
      </c>
      <c r="N5338">
        <v>3</v>
      </c>
      <c r="O5338">
        <v>37.5458</v>
      </c>
      <c r="P5338">
        <v>18.277200000000001</v>
      </c>
      <c r="Q5338">
        <v>7.9510100000000001</v>
      </c>
    </row>
    <row r="5339" spans="1:17" x14ac:dyDescent="0.25">
      <c r="A5339" t="str">
        <f>IF(C5339&amp;G5339&amp;D5339&lt;&gt;'Funnel setup'!$K$3&amp;'Funnel setup'!$K$4&amp;'Funnel setup'!$K$6,".",IF(A5338=".",1,A5338+1))</f>
        <v>.</v>
      </c>
      <c r="B5339" s="244" t="str">
        <f t="shared" si="83"/>
        <v>Total Knee ReplacementProviderNORFOLK AND NORWICH UNIVERSITY HOSPITALS NHS FOUNDATION TRUST (RM1)Oxford Knee Score</v>
      </c>
      <c r="C5339" t="s">
        <v>975</v>
      </c>
      <c r="D5339" t="s">
        <v>965</v>
      </c>
      <c r="E5339" t="s">
        <v>340</v>
      </c>
      <c r="F5339" t="s">
        <v>341</v>
      </c>
      <c r="G5339" t="s">
        <v>972</v>
      </c>
      <c r="H5339">
        <v>154</v>
      </c>
      <c r="I5339">
        <v>16.013000000000002</v>
      </c>
      <c r="J5339">
        <v>33.493499999999997</v>
      </c>
      <c r="K5339">
        <v>17.480499999999999</v>
      </c>
      <c r="L5339">
        <v>144</v>
      </c>
      <c r="M5339">
        <v>3</v>
      </c>
      <c r="N5339">
        <v>7</v>
      </c>
      <c r="O5339">
        <v>35.593200000000003</v>
      </c>
      <c r="P5339">
        <v>16.3245</v>
      </c>
      <c r="Q5339">
        <v>9.4839699999999993</v>
      </c>
    </row>
    <row r="5340" spans="1:17" x14ac:dyDescent="0.25">
      <c r="A5340" t="str">
        <f>IF(C5340&amp;G5340&amp;D5340&lt;&gt;'Funnel setup'!$K$3&amp;'Funnel setup'!$K$4&amp;'Funnel setup'!$K$6,".",IF(A5339=".",1,A5339+1))</f>
        <v>.</v>
      </c>
      <c r="B5340" s="244" t="str">
        <f t="shared" si="83"/>
        <v>Total Knee ReplacementProviderNORTH BRISTOL NHS TRUST (RVJ)Oxford Knee Score</v>
      </c>
      <c r="C5340" t="s">
        <v>975</v>
      </c>
      <c r="D5340" t="s">
        <v>965</v>
      </c>
      <c r="E5340" t="s">
        <v>342</v>
      </c>
      <c r="F5340" t="s">
        <v>343</v>
      </c>
      <c r="G5340" t="s">
        <v>972</v>
      </c>
      <c r="H5340">
        <v>7</v>
      </c>
      <c r="I5340">
        <v>16.714300000000001</v>
      </c>
      <c r="J5340">
        <v>39.428600000000003</v>
      </c>
      <c r="K5340">
        <v>22.714300000000001</v>
      </c>
      <c r="L5340">
        <v>7</v>
      </c>
      <c r="M5340">
        <v>0</v>
      </c>
      <c r="N5340">
        <v>0</v>
      </c>
      <c r="O5340" t="s">
        <v>127</v>
      </c>
      <c r="P5340" t="s">
        <v>127</v>
      </c>
      <c r="Q5340" t="s">
        <v>127</v>
      </c>
    </row>
    <row r="5341" spans="1:17" x14ac:dyDescent="0.25">
      <c r="A5341" t="str">
        <f>IF(C5341&amp;G5341&amp;D5341&lt;&gt;'Funnel setup'!$K$3&amp;'Funnel setup'!$K$4&amp;'Funnel setup'!$K$6,".",IF(A5340=".",1,A5340+1))</f>
        <v>.</v>
      </c>
      <c r="B5341" s="244" t="str">
        <f t="shared" si="83"/>
        <v>Total Knee ReplacementProviderNORTH CUMBRIA INTEGRATED CARE NHS FOUNDATION TRUST (RNN)Oxford Knee Score</v>
      </c>
      <c r="C5341" t="s">
        <v>975</v>
      </c>
      <c r="D5341" t="s">
        <v>965</v>
      </c>
      <c r="E5341" t="s">
        <v>344</v>
      </c>
      <c r="F5341" t="s">
        <v>345</v>
      </c>
      <c r="G5341" t="s">
        <v>972</v>
      </c>
      <c r="H5341">
        <v>132</v>
      </c>
      <c r="I5341">
        <v>16.9924</v>
      </c>
      <c r="J5341">
        <v>37.052999999999997</v>
      </c>
      <c r="K5341">
        <v>20.060600000000001</v>
      </c>
      <c r="L5341">
        <v>131</v>
      </c>
      <c r="M5341">
        <v>0</v>
      </c>
      <c r="N5341">
        <v>1</v>
      </c>
      <c r="O5341">
        <v>38.048499999999997</v>
      </c>
      <c r="P5341">
        <v>18.779900000000001</v>
      </c>
      <c r="Q5341">
        <v>7.2400599999999997</v>
      </c>
    </row>
    <row r="5342" spans="1:17" x14ac:dyDescent="0.25">
      <c r="A5342" t="str">
        <f>IF(C5342&amp;G5342&amp;D5342&lt;&gt;'Funnel setup'!$K$3&amp;'Funnel setup'!$K$4&amp;'Funnel setup'!$K$6,".",IF(A5341=".",1,A5341+1))</f>
        <v>.</v>
      </c>
      <c r="B5342" s="244" t="str">
        <f t="shared" si="83"/>
        <v>Total Knee ReplacementProviderNORTH DOWNS HOSPITAL (NVC11)Oxford Knee Score</v>
      </c>
      <c r="C5342" t="s">
        <v>975</v>
      </c>
      <c r="D5342" t="s">
        <v>965</v>
      </c>
      <c r="E5342" t="s">
        <v>348</v>
      </c>
      <c r="F5342" t="s">
        <v>349</v>
      </c>
      <c r="G5342" t="s">
        <v>972</v>
      </c>
      <c r="H5342">
        <v>30</v>
      </c>
      <c r="I5342">
        <v>20.843800000000002</v>
      </c>
      <c r="J5342">
        <v>37.281300000000002</v>
      </c>
      <c r="K5342">
        <v>16.4375</v>
      </c>
      <c r="L5342">
        <v>29</v>
      </c>
      <c r="M5342">
        <v>0</v>
      </c>
      <c r="N5342">
        <v>1</v>
      </c>
      <c r="O5342">
        <v>35.933300000000003</v>
      </c>
      <c r="P5342">
        <v>16.6647</v>
      </c>
      <c r="Q5342">
        <v>9.0597499999999993</v>
      </c>
    </row>
    <row r="5343" spans="1:17" x14ac:dyDescent="0.25">
      <c r="A5343" t="str">
        <f>IF(C5343&amp;G5343&amp;D5343&lt;&gt;'Funnel setup'!$K$3&amp;'Funnel setup'!$K$4&amp;'Funnel setup'!$K$6,".",IF(A5342=".",1,A5342+1))</f>
        <v>.</v>
      </c>
      <c r="B5343" s="244" t="str">
        <f t="shared" si="83"/>
        <v>Total Knee ReplacementProviderNORTH MIDDLESEX UNIVERSITY HOSPITAL NHS TRUST (RAP)Oxford Knee Score</v>
      </c>
      <c r="C5343" t="s">
        <v>975</v>
      </c>
      <c r="D5343" t="s">
        <v>965</v>
      </c>
      <c r="E5343" t="s">
        <v>350</v>
      </c>
      <c r="F5343" t="s">
        <v>351</v>
      </c>
      <c r="G5343" t="s">
        <v>972</v>
      </c>
      <c r="H5343">
        <v>7</v>
      </c>
      <c r="I5343">
        <v>16</v>
      </c>
      <c r="J5343">
        <v>36.857100000000003</v>
      </c>
      <c r="K5343">
        <v>20.857099999999999</v>
      </c>
      <c r="L5343">
        <v>7</v>
      </c>
      <c r="M5343">
        <v>0</v>
      </c>
      <c r="N5343">
        <v>0</v>
      </c>
      <c r="O5343" t="s">
        <v>127</v>
      </c>
      <c r="P5343" t="s">
        <v>127</v>
      </c>
      <c r="Q5343" t="s">
        <v>127</v>
      </c>
    </row>
    <row r="5344" spans="1:17" x14ac:dyDescent="0.25">
      <c r="A5344" t="str">
        <f>IF(C5344&amp;G5344&amp;D5344&lt;&gt;'Funnel setup'!$K$3&amp;'Funnel setup'!$K$4&amp;'Funnel setup'!$K$6,".",IF(A5343=".",1,A5343+1))</f>
        <v>.</v>
      </c>
      <c r="B5344" s="244" t="str">
        <f t="shared" si="83"/>
        <v>Total Knee ReplacementProviderNORTH TEES AND HARTLEPOOL NHS FOUNDATION TRUST (RVW)Oxford Knee Score</v>
      </c>
      <c r="C5344" t="s">
        <v>975</v>
      </c>
      <c r="D5344" t="s">
        <v>965</v>
      </c>
      <c r="E5344" t="s">
        <v>352</v>
      </c>
      <c r="F5344" t="s">
        <v>353</v>
      </c>
      <c r="G5344" t="s">
        <v>972</v>
      </c>
      <c r="H5344">
        <v>112</v>
      </c>
      <c r="I5344">
        <v>15.875</v>
      </c>
      <c r="J5344">
        <v>33.705399999999997</v>
      </c>
      <c r="K5344">
        <v>17.830400000000001</v>
      </c>
      <c r="L5344">
        <v>105</v>
      </c>
      <c r="M5344">
        <v>1</v>
      </c>
      <c r="N5344">
        <v>6</v>
      </c>
      <c r="O5344">
        <v>36.388500000000001</v>
      </c>
      <c r="P5344">
        <v>17.119800000000001</v>
      </c>
      <c r="Q5344">
        <v>10.420500000000001</v>
      </c>
    </row>
    <row r="5345" spans="1:17" x14ac:dyDescent="0.25">
      <c r="A5345" t="str">
        <f>IF(C5345&amp;G5345&amp;D5345&lt;&gt;'Funnel setup'!$K$3&amp;'Funnel setup'!$K$4&amp;'Funnel setup'!$K$6,".",IF(A5344=".",1,A5344+1))</f>
        <v>.</v>
      </c>
      <c r="B5345" s="244" t="str">
        <f t="shared" si="83"/>
        <v>Total Knee ReplacementProviderNORTH WEST ANGLIA NHS FOUNDATION TRUST (RGN)Oxford Knee Score</v>
      </c>
      <c r="C5345" t="s">
        <v>975</v>
      </c>
      <c r="D5345" t="s">
        <v>965</v>
      </c>
      <c r="E5345" t="s">
        <v>354</v>
      </c>
      <c r="F5345" t="s">
        <v>355</v>
      </c>
      <c r="G5345" t="s">
        <v>972</v>
      </c>
      <c r="H5345">
        <v>139</v>
      </c>
      <c r="I5345">
        <v>17.582699999999999</v>
      </c>
      <c r="J5345">
        <v>36.395699999999998</v>
      </c>
      <c r="K5345">
        <v>18.812899999999999</v>
      </c>
      <c r="L5345">
        <v>137</v>
      </c>
      <c r="M5345">
        <v>1</v>
      </c>
      <c r="N5345">
        <v>1</v>
      </c>
      <c r="O5345">
        <v>37.012500000000003</v>
      </c>
      <c r="P5345">
        <v>17.7439</v>
      </c>
      <c r="Q5345">
        <v>7.9900900000000004</v>
      </c>
    </row>
    <row r="5346" spans="1:17" x14ac:dyDescent="0.25">
      <c r="A5346" t="str">
        <f>IF(C5346&amp;G5346&amp;D5346&lt;&gt;'Funnel setup'!$K$3&amp;'Funnel setup'!$K$4&amp;'Funnel setup'!$K$6,".",IF(A5345=".",1,A5345+1))</f>
        <v>.</v>
      </c>
      <c r="B5346" s="244" t="str">
        <f t="shared" si="83"/>
        <v>Total Knee ReplacementProviderNORTHAMPTON GENERAL HOSPITAL NHS TRUST (RNS)Oxford Knee Score</v>
      </c>
      <c r="C5346" t="s">
        <v>975</v>
      </c>
      <c r="D5346" t="s">
        <v>965</v>
      </c>
      <c r="E5346" t="s">
        <v>356</v>
      </c>
      <c r="F5346" t="s">
        <v>357</v>
      </c>
      <c r="G5346" t="s">
        <v>972</v>
      </c>
      <c r="H5346">
        <v>47</v>
      </c>
      <c r="I5346">
        <v>17.255299999999998</v>
      </c>
      <c r="J5346">
        <v>36.659599999999998</v>
      </c>
      <c r="K5346">
        <v>19.404299999999999</v>
      </c>
      <c r="L5346">
        <v>46</v>
      </c>
      <c r="M5346">
        <v>0</v>
      </c>
      <c r="N5346">
        <v>1</v>
      </c>
      <c r="O5346">
        <v>37.865099999999998</v>
      </c>
      <c r="P5346">
        <v>18.596399999999999</v>
      </c>
      <c r="Q5346">
        <v>8.3034700000000008</v>
      </c>
    </row>
    <row r="5347" spans="1:17" x14ac:dyDescent="0.25">
      <c r="A5347" t="str">
        <f>IF(C5347&amp;G5347&amp;D5347&lt;&gt;'Funnel setup'!$K$3&amp;'Funnel setup'!$K$4&amp;'Funnel setup'!$K$6,".",IF(A5346=".",1,A5346+1))</f>
        <v>.</v>
      </c>
      <c r="B5347" s="244" t="str">
        <f t="shared" si="83"/>
        <v>Total Knee ReplacementProviderNORTHERN CARE ALLIANCE NHS FOUNDATION TRUST (RM3)Oxford Knee Score</v>
      </c>
      <c r="C5347" t="s">
        <v>975</v>
      </c>
      <c r="D5347" t="s">
        <v>965</v>
      </c>
      <c r="E5347" t="s">
        <v>358</v>
      </c>
      <c r="F5347" t="s">
        <v>359</v>
      </c>
      <c r="G5347" t="s">
        <v>972</v>
      </c>
      <c r="H5347">
        <v>7</v>
      </c>
      <c r="I5347">
        <v>18.428599999999999</v>
      </c>
      <c r="J5347">
        <v>35.285699999999999</v>
      </c>
      <c r="K5347">
        <v>16.857099999999999</v>
      </c>
      <c r="L5347">
        <v>7</v>
      </c>
      <c r="M5347">
        <v>0</v>
      </c>
      <c r="N5347">
        <v>0</v>
      </c>
      <c r="O5347" t="s">
        <v>127</v>
      </c>
      <c r="P5347" t="s">
        <v>127</v>
      </c>
      <c r="Q5347" t="s">
        <v>127</v>
      </c>
    </row>
    <row r="5348" spans="1:17" x14ac:dyDescent="0.25">
      <c r="A5348" t="str">
        <f>IF(C5348&amp;G5348&amp;D5348&lt;&gt;'Funnel setup'!$K$3&amp;'Funnel setup'!$K$4&amp;'Funnel setup'!$K$6,".",IF(A5347=".",1,A5347+1))</f>
        <v>.</v>
      </c>
      <c r="B5348" s="244" t="str">
        <f t="shared" si="83"/>
        <v>Total Knee ReplacementProviderNORTHERN DEVON HEALTHCARE NHS TRUST (RBZ)Oxford Knee Score</v>
      </c>
      <c r="C5348" t="s">
        <v>975</v>
      </c>
      <c r="D5348" t="s">
        <v>965</v>
      </c>
      <c r="E5348" t="s">
        <v>360</v>
      </c>
      <c r="F5348" t="s">
        <v>361</v>
      </c>
      <c r="G5348" t="s">
        <v>972</v>
      </c>
      <c r="H5348">
        <v>34</v>
      </c>
      <c r="I5348">
        <v>17.314299999999999</v>
      </c>
      <c r="J5348">
        <v>36.314300000000003</v>
      </c>
      <c r="K5348">
        <v>19</v>
      </c>
      <c r="L5348">
        <v>32</v>
      </c>
      <c r="M5348">
        <v>0</v>
      </c>
      <c r="N5348">
        <v>2</v>
      </c>
      <c r="O5348">
        <v>38.2791</v>
      </c>
      <c r="P5348">
        <v>19.0105</v>
      </c>
      <c r="Q5348">
        <v>10.2317</v>
      </c>
    </row>
    <row r="5349" spans="1:17" x14ac:dyDescent="0.25">
      <c r="A5349" t="str">
        <f>IF(C5349&amp;G5349&amp;D5349&lt;&gt;'Funnel setup'!$K$3&amp;'Funnel setup'!$K$4&amp;'Funnel setup'!$K$6,".",IF(A5348=".",1,A5348+1))</f>
        <v>.</v>
      </c>
      <c r="B5349" s="244" t="str">
        <f t="shared" si="83"/>
        <v>Total Knee ReplacementProviderNORTHERN LINCOLNSHIRE AND GOOLE NHS FOUNDATION TRUST (RJL)Oxford Knee Score</v>
      </c>
      <c r="C5349" t="s">
        <v>975</v>
      </c>
      <c r="D5349" t="s">
        <v>965</v>
      </c>
      <c r="E5349" t="s">
        <v>362</v>
      </c>
      <c r="F5349" t="s">
        <v>363</v>
      </c>
      <c r="G5349" t="s">
        <v>972</v>
      </c>
      <c r="H5349">
        <v>76</v>
      </c>
      <c r="I5349">
        <v>18.184200000000001</v>
      </c>
      <c r="J5349">
        <v>34.460500000000003</v>
      </c>
      <c r="K5349">
        <v>16.276299999999999</v>
      </c>
      <c r="L5349">
        <v>70</v>
      </c>
      <c r="M5349">
        <v>1</v>
      </c>
      <c r="N5349">
        <v>5</v>
      </c>
      <c r="O5349">
        <v>35.360300000000002</v>
      </c>
      <c r="P5349">
        <v>16.0916</v>
      </c>
      <c r="Q5349">
        <v>9.8200599999999998</v>
      </c>
    </row>
    <row r="5350" spans="1:17" x14ac:dyDescent="0.25">
      <c r="A5350" t="str">
        <f>IF(C5350&amp;G5350&amp;D5350&lt;&gt;'Funnel setup'!$K$3&amp;'Funnel setup'!$K$4&amp;'Funnel setup'!$K$6,".",IF(A5349=".",1,A5349+1))</f>
        <v>.</v>
      </c>
      <c r="B5350" s="244" t="str">
        <f t="shared" si="83"/>
        <v>Total Knee ReplacementProviderNORTHUMBRIA HEALTHCARE NHS FOUNDATION TRUST (RTF)Oxford Knee Score</v>
      </c>
      <c r="C5350" t="s">
        <v>975</v>
      </c>
      <c r="D5350" t="s">
        <v>965</v>
      </c>
      <c r="E5350" t="s">
        <v>364</v>
      </c>
      <c r="F5350" t="s">
        <v>365</v>
      </c>
      <c r="G5350" t="s">
        <v>972</v>
      </c>
      <c r="H5350">
        <v>401</v>
      </c>
      <c r="I5350">
        <v>19.3416</v>
      </c>
      <c r="J5350">
        <v>38.216999999999999</v>
      </c>
      <c r="K5350">
        <v>18.875299999999999</v>
      </c>
      <c r="L5350">
        <v>392</v>
      </c>
      <c r="M5350">
        <v>0</v>
      </c>
      <c r="N5350">
        <v>9</v>
      </c>
      <c r="O5350">
        <v>38.068300000000001</v>
      </c>
      <c r="P5350">
        <v>18.799700000000001</v>
      </c>
      <c r="Q5350">
        <v>7.9655500000000004</v>
      </c>
    </row>
    <row r="5351" spans="1:17" x14ac:dyDescent="0.25">
      <c r="A5351" t="str">
        <f>IF(C5351&amp;G5351&amp;D5351&lt;&gt;'Funnel setup'!$K$3&amp;'Funnel setup'!$K$4&amp;'Funnel setup'!$K$6,".",IF(A5350=".",1,A5350+1))</f>
        <v>.</v>
      </c>
      <c r="B5351" s="244" t="str">
        <f t="shared" si="83"/>
        <v>Total Knee ReplacementProviderNOTTINGHAM UNIVERSITY HOSPITALS NHS TRUST (RX1)Oxford Knee Score</v>
      </c>
      <c r="C5351" t="s">
        <v>975</v>
      </c>
      <c r="D5351" t="s">
        <v>965</v>
      </c>
      <c r="E5351" t="s">
        <v>366</v>
      </c>
      <c r="F5351" t="s">
        <v>367</v>
      </c>
      <c r="G5351" t="s">
        <v>972</v>
      </c>
      <c r="H5351">
        <v>4</v>
      </c>
      <c r="I5351">
        <v>19</v>
      </c>
      <c r="J5351">
        <v>35.75</v>
      </c>
      <c r="K5351">
        <v>16.75</v>
      </c>
      <c r="L5351">
        <v>3</v>
      </c>
      <c r="M5351">
        <v>0</v>
      </c>
      <c r="N5351">
        <v>1</v>
      </c>
      <c r="O5351" t="s">
        <v>127</v>
      </c>
      <c r="P5351" t="s">
        <v>127</v>
      </c>
      <c r="Q5351" t="s">
        <v>127</v>
      </c>
    </row>
    <row r="5352" spans="1:17" x14ac:dyDescent="0.25">
      <c r="A5352" t="str">
        <f>IF(C5352&amp;G5352&amp;D5352&lt;&gt;'Funnel setup'!$K$3&amp;'Funnel setup'!$K$4&amp;'Funnel setup'!$K$6,".",IF(A5351=".",1,A5351+1))</f>
        <v>.</v>
      </c>
      <c r="B5352" s="244" t="str">
        <f t="shared" si="83"/>
        <v>Total Knee ReplacementProviderNUFFIELD HEALTH, BOURNEMOUTH HOSPITAL (NT202)Oxford Knee Score</v>
      </c>
      <c r="C5352" t="s">
        <v>975</v>
      </c>
      <c r="D5352" t="s">
        <v>965</v>
      </c>
      <c r="E5352" t="s">
        <v>368</v>
      </c>
      <c r="F5352" t="s">
        <v>369</v>
      </c>
      <c r="G5352" t="s">
        <v>972</v>
      </c>
      <c r="H5352">
        <v>24</v>
      </c>
      <c r="I5352">
        <v>19.416699999999999</v>
      </c>
      <c r="J5352">
        <v>40.958300000000001</v>
      </c>
      <c r="K5352">
        <v>21.541699999999999</v>
      </c>
      <c r="L5352">
        <v>24</v>
      </c>
      <c r="M5352">
        <v>0</v>
      </c>
      <c r="N5352">
        <v>0</v>
      </c>
      <c r="O5352" t="s">
        <v>127</v>
      </c>
      <c r="P5352" t="s">
        <v>127</v>
      </c>
      <c r="Q5352" t="s">
        <v>127</v>
      </c>
    </row>
    <row r="5353" spans="1:17" x14ac:dyDescent="0.25">
      <c r="A5353" t="str">
        <f>IF(C5353&amp;G5353&amp;D5353&lt;&gt;'Funnel setup'!$K$3&amp;'Funnel setup'!$K$4&amp;'Funnel setup'!$K$6,".",IF(A5352=".",1,A5352+1))</f>
        <v>.</v>
      </c>
      <c r="B5353" s="244" t="str">
        <f t="shared" si="83"/>
        <v>Total Knee ReplacementProviderNUFFIELD HEALTH, BRENTWOOD HOSPITAL (NT204)Oxford Knee Score</v>
      </c>
      <c r="C5353" t="s">
        <v>975</v>
      </c>
      <c r="D5353" t="s">
        <v>965</v>
      </c>
      <c r="E5353" t="s">
        <v>370</v>
      </c>
      <c r="F5353" t="s">
        <v>371</v>
      </c>
      <c r="G5353" t="s">
        <v>972</v>
      </c>
      <c r="H5353">
        <v>13</v>
      </c>
      <c r="I5353">
        <v>18</v>
      </c>
      <c r="J5353">
        <v>35.769199999999998</v>
      </c>
      <c r="K5353">
        <v>17.769200000000001</v>
      </c>
      <c r="L5353">
        <v>10</v>
      </c>
      <c r="M5353">
        <v>1</v>
      </c>
      <c r="N5353">
        <v>2</v>
      </c>
      <c r="O5353" t="s">
        <v>127</v>
      </c>
      <c r="P5353" t="s">
        <v>127</v>
      </c>
      <c r="Q5353" t="s">
        <v>127</v>
      </c>
    </row>
    <row r="5354" spans="1:17" x14ac:dyDescent="0.25">
      <c r="A5354" t="str">
        <f>IF(C5354&amp;G5354&amp;D5354&lt;&gt;'Funnel setup'!$K$3&amp;'Funnel setup'!$K$4&amp;'Funnel setup'!$K$6,".",IF(A5353=".",1,A5353+1))</f>
        <v>.</v>
      </c>
      <c r="B5354" s="244" t="str">
        <f t="shared" si="83"/>
        <v>Total Knee ReplacementProviderNUFFIELD HEALTH, BRIGHTON HOSPITAL (NT205)Oxford Knee Score</v>
      </c>
      <c r="C5354" t="s">
        <v>975</v>
      </c>
      <c r="D5354" t="s">
        <v>965</v>
      </c>
      <c r="E5354" t="s">
        <v>372</v>
      </c>
      <c r="F5354" t="s">
        <v>373</v>
      </c>
      <c r="G5354" t="s">
        <v>972</v>
      </c>
      <c r="H5354">
        <v>9</v>
      </c>
      <c r="I5354">
        <v>20.8889</v>
      </c>
      <c r="J5354">
        <v>40.1111</v>
      </c>
      <c r="K5354">
        <v>19.222200000000001</v>
      </c>
      <c r="L5354">
        <v>9</v>
      </c>
      <c r="M5354">
        <v>0</v>
      </c>
      <c r="N5354">
        <v>0</v>
      </c>
      <c r="O5354" t="s">
        <v>127</v>
      </c>
      <c r="P5354" t="s">
        <v>127</v>
      </c>
      <c r="Q5354" t="s">
        <v>127</v>
      </c>
    </row>
    <row r="5355" spans="1:17" x14ac:dyDescent="0.25">
      <c r="A5355" t="str">
        <f>IF(C5355&amp;G5355&amp;D5355&lt;&gt;'Funnel setup'!$K$3&amp;'Funnel setup'!$K$4&amp;'Funnel setup'!$K$6,".",IF(A5354=".",1,A5354+1))</f>
        <v>.</v>
      </c>
      <c r="B5355" s="244" t="str">
        <f t="shared" si="83"/>
        <v>Total Knee ReplacementProviderNUFFIELD HEALTH, BRISTOL HOSPITAL (CHESTERFIELD) (NT206)Oxford Knee Score</v>
      </c>
      <c r="C5355" t="s">
        <v>975</v>
      </c>
      <c r="D5355" t="s">
        <v>965</v>
      </c>
      <c r="E5355" t="s">
        <v>374</v>
      </c>
      <c r="F5355" t="s">
        <v>375</v>
      </c>
      <c r="G5355" t="s">
        <v>972</v>
      </c>
      <c r="H5355">
        <v>34</v>
      </c>
      <c r="I5355">
        <v>20.323499999999999</v>
      </c>
      <c r="J5355">
        <v>39.823500000000003</v>
      </c>
      <c r="K5355">
        <v>19.5</v>
      </c>
      <c r="L5355">
        <v>33</v>
      </c>
      <c r="M5355">
        <v>0</v>
      </c>
      <c r="N5355">
        <v>1</v>
      </c>
      <c r="O5355">
        <v>38.701500000000003</v>
      </c>
      <c r="P5355">
        <v>19.4329</v>
      </c>
      <c r="Q5355">
        <v>6.9369500000000004</v>
      </c>
    </row>
    <row r="5356" spans="1:17" x14ac:dyDescent="0.25">
      <c r="A5356" t="str">
        <f>IF(C5356&amp;G5356&amp;D5356&lt;&gt;'Funnel setup'!$K$3&amp;'Funnel setup'!$K$4&amp;'Funnel setup'!$K$6,".",IF(A5355=".",1,A5355+1))</f>
        <v>.</v>
      </c>
      <c r="B5356" s="244" t="str">
        <f t="shared" si="83"/>
        <v>Total Knee ReplacementProviderNUFFIELD HEALTH, CAMBRIDGE HOSPITAL (NT209)Oxford Knee Score</v>
      </c>
      <c r="C5356" t="s">
        <v>975</v>
      </c>
      <c r="D5356" t="s">
        <v>965</v>
      </c>
      <c r="E5356" t="s">
        <v>376</v>
      </c>
      <c r="F5356" t="s">
        <v>377</v>
      </c>
      <c r="G5356" t="s">
        <v>972</v>
      </c>
      <c r="H5356">
        <v>35</v>
      </c>
      <c r="I5356">
        <v>19.285699999999999</v>
      </c>
      <c r="J5356">
        <v>35.4</v>
      </c>
      <c r="K5356">
        <v>16.1143</v>
      </c>
      <c r="L5356">
        <v>32</v>
      </c>
      <c r="M5356">
        <v>0</v>
      </c>
      <c r="N5356">
        <v>3</v>
      </c>
      <c r="O5356">
        <v>33.306800000000003</v>
      </c>
      <c r="P5356">
        <v>14.0382</v>
      </c>
      <c r="Q5356">
        <v>8.7385199999999994</v>
      </c>
    </row>
    <row r="5357" spans="1:17" x14ac:dyDescent="0.25">
      <c r="A5357" t="str">
        <f>IF(C5357&amp;G5357&amp;D5357&lt;&gt;'Funnel setup'!$K$3&amp;'Funnel setup'!$K$4&amp;'Funnel setup'!$K$6,".",IF(A5356=".",1,A5356+1))</f>
        <v>.</v>
      </c>
      <c r="B5357" s="244" t="str">
        <f t="shared" si="83"/>
        <v>Total Knee ReplacementProviderNUFFIELD HEALTH, CHELTENHAM HOSPITAL (NT211)Oxford Knee Score</v>
      </c>
      <c r="C5357" t="s">
        <v>975</v>
      </c>
      <c r="D5357" t="s">
        <v>965</v>
      </c>
      <c r="E5357" t="s">
        <v>378</v>
      </c>
      <c r="F5357" t="s">
        <v>379</v>
      </c>
      <c r="G5357" t="s">
        <v>972</v>
      </c>
      <c r="H5357">
        <v>7</v>
      </c>
      <c r="I5357">
        <v>18.428599999999999</v>
      </c>
      <c r="J5357">
        <v>38.142899999999997</v>
      </c>
      <c r="K5357">
        <v>19.714300000000001</v>
      </c>
      <c r="L5357">
        <v>6</v>
      </c>
      <c r="M5357">
        <v>0</v>
      </c>
      <c r="N5357">
        <v>1</v>
      </c>
      <c r="O5357" t="s">
        <v>127</v>
      </c>
      <c r="P5357" t="s">
        <v>127</v>
      </c>
      <c r="Q5357" t="s">
        <v>127</v>
      </c>
    </row>
    <row r="5358" spans="1:17" x14ac:dyDescent="0.25">
      <c r="A5358" t="str">
        <f>IF(C5358&amp;G5358&amp;D5358&lt;&gt;'Funnel setup'!$K$3&amp;'Funnel setup'!$K$4&amp;'Funnel setup'!$K$6,".",IF(A5357=".",1,A5357+1))</f>
        <v>.</v>
      </c>
      <c r="B5358" s="244" t="str">
        <f t="shared" si="83"/>
        <v>Total Knee ReplacementProviderNUFFIELD HEALTH, CHICHESTER HOSPITAL (NT212)Oxford Knee Score</v>
      </c>
      <c r="C5358" t="s">
        <v>975</v>
      </c>
      <c r="D5358" t="s">
        <v>965</v>
      </c>
      <c r="E5358" t="s">
        <v>380</v>
      </c>
      <c r="F5358" t="s">
        <v>381</v>
      </c>
      <c r="G5358" t="s">
        <v>972</v>
      </c>
      <c r="H5358">
        <v>17</v>
      </c>
      <c r="I5358">
        <v>24.176500000000001</v>
      </c>
      <c r="J5358">
        <v>40.176499999999997</v>
      </c>
      <c r="K5358">
        <v>16</v>
      </c>
      <c r="L5358">
        <v>15</v>
      </c>
      <c r="M5358">
        <v>0</v>
      </c>
      <c r="N5358">
        <v>2</v>
      </c>
      <c r="O5358" t="s">
        <v>127</v>
      </c>
      <c r="P5358" t="s">
        <v>127</v>
      </c>
      <c r="Q5358" t="s">
        <v>127</v>
      </c>
    </row>
    <row r="5359" spans="1:17" x14ac:dyDescent="0.25">
      <c r="A5359" t="str">
        <f>IF(C5359&amp;G5359&amp;D5359&lt;&gt;'Funnel setup'!$K$3&amp;'Funnel setup'!$K$4&amp;'Funnel setup'!$K$6,".",IF(A5358=".",1,A5358+1))</f>
        <v>.</v>
      </c>
      <c r="B5359" s="244" t="str">
        <f t="shared" si="83"/>
        <v>Total Knee ReplacementProviderNUFFIELD HEALTH, DERBY HOSPITAL (NT213)Oxford Knee Score</v>
      </c>
      <c r="C5359" t="s">
        <v>975</v>
      </c>
      <c r="D5359" t="s">
        <v>965</v>
      </c>
      <c r="E5359" t="s">
        <v>382</v>
      </c>
      <c r="F5359" t="s">
        <v>383</v>
      </c>
      <c r="G5359" t="s">
        <v>972</v>
      </c>
      <c r="H5359">
        <v>115</v>
      </c>
      <c r="I5359">
        <v>19.0609</v>
      </c>
      <c r="J5359">
        <v>37.330399999999997</v>
      </c>
      <c r="K5359">
        <v>18.269600000000001</v>
      </c>
      <c r="L5359">
        <v>112</v>
      </c>
      <c r="M5359">
        <v>0</v>
      </c>
      <c r="N5359">
        <v>3</v>
      </c>
      <c r="O5359">
        <v>37.145299999999999</v>
      </c>
      <c r="P5359">
        <v>17.8766</v>
      </c>
      <c r="Q5359">
        <v>8.3567900000000002</v>
      </c>
    </row>
    <row r="5360" spans="1:17" x14ac:dyDescent="0.25">
      <c r="A5360" t="str">
        <f>IF(C5360&amp;G5360&amp;D5360&lt;&gt;'Funnel setup'!$K$3&amp;'Funnel setup'!$K$4&amp;'Funnel setup'!$K$6,".",IF(A5359=".",1,A5359+1))</f>
        <v>.</v>
      </c>
      <c r="B5360" s="244" t="str">
        <f t="shared" si="83"/>
        <v>Total Knee ReplacementProviderNUFFIELD HEALTH, EXETER HOSPITAL (NT215)Oxford Knee Score</v>
      </c>
      <c r="C5360" t="s">
        <v>975</v>
      </c>
      <c r="D5360" t="s">
        <v>965</v>
      </c>
      <c r="E5360" t="s">
        <v>384</v>
      </c>
      <c r="F5360" t="s">
        <v>385</v>
      </c>
      <c r="G5360" t="s">
        <v>972</v>
      </c>
      <c r="H5360">
        <v>1</v>
      </c>
      <c r="I5360">
        <v>20</v>
      </c>
      <c r="J5360">
        <v>38</v>
      </c>
      <c r="K5360">
        <v>18</v>
      </c>
      <c r="L5360">
        <v>1</v>
      </c>
      <c r="M5360">
        <v>0</v>
      </c>
      <c r="N5360">
        <v>0</v>
      </c>
      <c r="O5360" t="s">
        <v>127</v>
      </c>
      <c r="P5360" t="s">
        <v>127</v>
      </c>
      <c r="Q5360" t="s">
        <v>127</v>
      </c>
    </row>
    <row r="5361" spans="1:17" x14ac:dyDescent="0.25">
      <c r="A5361" t="str">
        <f>IF(C5361&amp;G5361&amp;D5361&lt;&gt;'Funnel setup'!$K$3&amp;'Funnel setup'!$K$4&amp;'Funnel setup'!$K$6,".",IF(A5360=".",1,A5360+1))</f>
        <v>.</v>
      </c>
      <c r="B5361" s="244" t="str">
        <f t="shared" si="83"/>
        <v>Total Knee ReplacementProviderNUFFIELD HEALTH, HAYWARDS HEATH HOSPITAL (NT218)Oxford Knee Score</v>
      </c>
      <c r="C5361" t="s">
        <v>975</v>
      </c>
      <c r="D5361" t="s">
        <v>965</v>
      </c>
      <c r="E5361" t="s">
        <v>386</v>
      </c>
      <c r="F5361" t="s">
        <v>387</v>
      </c>
      <c r="G5361" t="s">
        <v>972</v>
      </c>
      <c r="H5361">
        <v>18</v>
      </c>
      <c r="I5361">
        <v>22.8889</v>
      </c>
      <c r="J5361">
        <v>38.777799999999999</v>
      </c>
      <c r="K5361">
        <v>15.8889</v>
      </c>
      <c r="L5361">
        <v>17</v>
      </c>
      <c r="M5361">
        <v>1</v>
      </c>
      <c r="N5361">
        <v>0</v>
      </c>
      <c r="O5361" t="s">
        <v>127</v>
      </c>
      <c r="P5361" t="s">
        <v>127</v>
      </c>
      <c r="Q5361" t="s">
        <v>127</v>
      </c>
    </row>
    <row r="5362" spans="1:17" x14ac:dyDescent="0.25">
      <c r="A5362" t="str">
        <f>IF(C5362&amp;G5362&amp;D5362&lt;&gt;'Funnel setup'!$K$3&amp;'Funnel setup'!$K$4&amp;'Funnel setup'!$K$6,".",IF(A5361=".",1,A5361+1))</f>
        <v>.</v>
      </c>
      <c r="B5362" s="244" t="str">
        <f t="shared" si="83"/>
        <v>Total Knee ReplacementProviderNUFFIELD HEALTH, HEREFORD HOSPITAL (NT219)Oxford Knee Score</v>
      </c>
      <c r="C5362" t="s">
        <v>975</v>
      </c>
      <c r="D5362" t="s">
        <v>965</v>
      </c>
      <c r="E5362" t="s">
        <v>388</v>
      </c>
      <c r="F5362" t="s">
        <v>389</v>
      </c>
      <c r="G5362" t="s">
        <v>972</v>
      </c>
      <c r="H5362">
        <v>9</v>
      </c>
      <c r="I5362">
        <v>18.333300000000001</v>
      </c>
      <c r="J5362">
        <v>40.333300000000001</v>
      </c>
      <c r="K5362">
        <v>22</v>
      </c>
      <c r="L5362">
        <v>9</v>
      </c>
      <c r="M5362">
        <v>0</v>
      </c>
      <c r="N5362">
        <v>0</v>
      </c>
      <c r="O5362" t="s">
        <v>127</v>
      </c>
      <c r="P5362" t="s">
        <v>127</v>
      </c>
      <c r="Q5362" t="s">
        <v>127</v>
      </c>
    </row>
    <row r="5363" spans="1:17" x14ac:dyDescent="0.25">
      <c r="A5363" t="str">
        <f>IF(C5363&amp;G5363&amp;D5363&lt;&gt;'Funnel setup'!$K$3&amp;'Funnel setup'!$K$4&amp;'Funnel setup'!$K$6,".",IF(A5362=".",1,A5362+1))</f>
        <v>.</v>
      </c>
      <c r="B5363" s="244" t="str">
        <f t="shared" si="83"/>
        <v>Total Knee ReplacementProviderNUFFIELD HEALTH, IPSWICH HOSPITAL (NT222)Oxford Knee Score</v>
      </c>
      <c r="C5363" t="s">
        <v>975</v>
      </c>
      <c r="D5363" t="s">
        <v>965</v>
      </c>
      <c r="E5363" t="s">
        <v>390</v>
      </c>
      <c r="F5363" t="s">
        <v>391</v>
      </c>
      <c r="G5363" t="s">
        <v>972</v>
      </c>
      <c r="H5363">
        <v>4</v>
      </c>
      <c r="I5363">
        <v>21.75</v>
      </c>
      <c r="J5363">
        <v>38</v>
      </c>
      <c r="K5363">
        <v>16.25</v>
      </c>
      <c r="L5363">
        <v>4</v>
      </c>
      <c r="M5363">
        <v>0</v>
      </c>
      <c r="N5363">
        <v>0</v>
      </c>
      <c r="O5363" t="s">
        <v>127</v>
      </c>
      <c r="P5363" t="s">
        <v>127</v>
      </c>
      <c r="Q5363" t="s">
        <v>127</v>
      </c>
    </row>
    <row r="5364" spans="1:17" x14ac:dyDescent="0.25">
      <c r="A5364" t="str">
        <f>IF(C5364&amp;G5364&amp;D5364&lt;&gt;'Funnel setup'!$K$3&amp;'Funnel setup'!$K$4&amp;'Funnel setup'!$K$6,".",IF(A5363=".",1,A5363+1))</f>
        <v>.</v>
      </c>
      <c r="B5364" s="244" t="str">
        <f t="shared" si="83"/>
        <v>Total Knee ReplacementProviderNUFFIELD HEALTH, LEEDS HOSPITAL (NT225)Oxford Knee Score</v>
      </c>
      <c r="C5364" t="s">
        <v>975</v>
      </c>
      <c r="D5364" t="s">
        <v>965</v>
      </c>
      <c r="E5364" t="s">
        <v>392</v>
      </c>
      <c r="F5364" t="s">
        <v>393</v>
      </c>
      <c r="G5364" t="s">
        <v>972</v>
      </c>
      <c r="H5364">
        <v>143</v>
      </c>
      <c r="I5364">
        <v>19.6736</v>
      </c>
      <c r="J5364">
        <v>38.381900000000002</v>
      </c>
      <c r="K5364">
        <v>18.708300000000001</v>
      </c>
      <c r="L5364">
        <v>140</v>
      </c>
      <c r="M5364">
        <v>1</v>
      </c>
      <c r="N5364">
        <v>2</v>
      </c>
      <c r="O5364">
        <v>37.601300000000002</v>
      </c>
      <c r="P5364">
        <v>18.332599999999999</v>
      </c>
      <c r="Q5364">
        <v>7.27163</v>
      </c>
    </row>
    <row r="5365" spans="1:17" x14ac:dyDescent="0.25">
      <c r="A5365" t="str">
        <f>IF(C5365&amp;G5365&amp;D5365&lt;&gt;'Funnel setup'!$K$3&amp;'Funnel setup'!$K$4&amp;'Funnel setup'!$K$6,".",IF(A5364=".",1,A5364+1))</f>
        <v>.</v>
      </c>
      <c r="B5365" s="244" t="str">
        <f t="shared" si="83"/>
        <v>Total Knee ReplacementProviderNUFFIELD HEALTH, LEICESTER HOSPITAL (NT226)Oxford Knee Score</v>
      </c>
      <c r="C5365" t="s">
        <v>975</v>
      </c>
      <c r="D5365" t="s">
        <v>965</v>
      </c>
      <c r="E5365" t="s">
        <v>394</v>
      </c>
      <c r="F5365" t="s">
        <v>395</v>
      </c>
      <c r="G5365" t="s">
        <v>972</v>
      </c>
      <c r="H5365">
        <v>28</v>
      </c>
      <c r="I5365">
        <v>18.75</v>
      </c>
      <c r="J5365">
        <v>35.571399999999997</v>
      </c>
      <c r="K5365">
        <v>16.821400000000001</v>
      </c>
      <c r="L5365">
        <v>27</v>
      </c>
      <c r="M5365">
        <v>0</v>
      </c>
      <c r="N5365">
        <v>1</v>
      </c>
      <c r="O5365" t="s">
        <v>127</v>
      </c>
      <c r="P5365" t="s">
        <v>127</v>
      </c>
      <c r="Q5365" t="s">
        <v>127</v>
      </c>
    </row>
    <row r="5366" spans="1:17" x14ac:dyDescent="0.25">
      <c r="A5366" t="str">
        <f>IF(C5366&amp;G5366&amp;D5366&lt;&gt;'Funnel setup'!$K$3&amp;'Funnel setup'!$K$4&amp;'Funnel setup'!$K$6,".",IF(A5365=".",1,A5365+1))</f>
        <v>.</v>
      </c>
      <c r="B5366" s="244" t="str">
        <f t="shared" si="83"/>
        <v>Total Knee ReplacementProviderNUFFIELD HEALTH, NEWCASTLE UPON TYNE HOSPITAL (NT229)Oxford Knee Score</v>
      </c>
      <c r="C5366" t="s">
        <v>975</v>
      </c>
      <c r="D5366" t="s">
        <v>965</v>
      </c>
      <c r="E5366" t="s">
        <v>396</v>
      </c>
      <c r="F5366" t="s">
        <v>397</v>
      </c>
      <c r="G5366" t="s">
        <v>972</v>
      </c>
      <c r="H5366">
        <v>27</v>
      </c>
      <c r="I5366">
        <v>21.2593</v>
      </c>
      <c r="J5366">
        <v>37.851900000000001</v>
      </c>
      <c r="K5366">
        <v>16.592600000000001</v>
      </c>
      <c r="L5366">
        <v>27</v>
      </c>
      <c r="M5366">
        <v>0</v>
      </c>
      <c r="N5366">
        <v>0</v>
      </c>
      <c r="O5366" t="s">
        <v>127</v>
      </c>
      <c r="P5366" t="s">
        <v>127</v>
      </c>
      <c r="Q5366" t="s">
        <v>127</v>
      </c>
    </row>
    <row r="5367" spans="1:17" x14ac:dyDescent="0.25">
      <c r="A5367" t="str">
        <f>IF(C5367&amp;G5367&amp;D5367&lt;&gt;'Funnel setup'!$K$3&amp;'Funnel setup'!$K$4&amp;'Funnel setup'!$K$6,".",IF(A5366=".",1,A5366+1))</f>
        <v>.</v>
      </c>
      <c r="B5367" s="244" t="str">
        <f t="shared" si="83"/>
        <v>Total Knee ReplacementProviderNUFFIELD HEALTH, NORTH STAFFORDSHIRE HOSPITAL (NT230)Oxford Knee Score</v>
      </c>
      <c r="C5367" t="s">
        <v>975</v>
      </c>
      <c r="D5367" t="s">
        <v>965</v>
      </c>
      <c r="E5367" t="s">
        <v>398</v>
      </c>
      <c r="F5367" t="s">
        <v>399</v>
      </c>
      <c r="G5367" t="s">
        <v>972</v>
      </c>
      <c r="H5367">
        <v>45</v>
      </c>
      <c r="I5367">
        <v>19.1739</v>
      </c>
      <c r="J5367">
        <v>36.587000000000003</v>
      </c>
      <c r="K5367">
        <v>17.413</v>
      </c>
      <c r="L5367">
        <v>43</v>
      </c>
      <c r="M5367">
        <v>0</v>
      </c>
      <c r="N5367">
        <v>2</v>
      </c>
      <c r="O5367">
        <v>36.744399999999999</v>
      </c>
      <c r="P5367">
        <v>17.4758</v>
      </c>
      <c r="Q5367">
        <v>7.3956</v>
      </c>
    </row>
    <row r="5368" spans="1:17" x14ac:dyDescent="0.25">
      <c r="A5368" t="str">
        <f>IF(C5368&amp;G5368&amp;D5368&lt;&gt;'Funnel setup'!$K$3&amp;'Funnel setup'!$K$4&amp;'Funnel setup'!$K$6,".",IF(A5367=".",1,A5367+1))</f>
        <v>.</v>
      </c>
      <c r="B5368" s="244" t="str">
        <f t="shared" si="83"/>
        <v>Total Knee ReplacementProviderNUFFIELD HEALTH, PLYMOUTH HOSPITAL (NT233)Oxford Knee Score</v>
      </c>
      <c r="C5368" t="s">
        <v>975</v>
      </c>
      <c r="D5368" t="s">
        <v>965</v>
      </c>
      <c r="E5368" t="s">
        <v>400</v>
      </c>
      <c r="F5368" t="s">
        <v>401</v>
      </c>
      <c r="G5368" t="s">
        <v>972</v>
      </c>
      <c r="H5368">
        <v>45</v>
      </c>
      <c r="I5368">
        <v>20.9787</v>
      </c>
      <c r="J5368">
        <v>38.234000000000002</v>
      </c>
      <c r="K5368">
        <v>17.255299999999998</v>
      </c>
      <c r="L5368">
        <v>43</v>
      </c>
      <c r="M5368">
        <v>0</v>
      </c>
      <c r="N5368">
        <v>2</v>
      </c>
      <c r="O5368">
        <v>37.876199999999997</v>
      </c>
      <c r="P5368">
        <v>18.607600000000001</v>
      </c>
      <c r="Q5368">
        <v>9.3846699999999998</v>
      </c>
    </row>
    <row r="5369" spans="1:17" x14ac:dyDescent="0.25">
      <c r="A5369" t="str">
        <f>IF(C5369&amp;G5369&amp;D5369&lt;&gt;'Funnel setup'!$K$3&amp;'Funnel setup'!$K$4&amp;'Funnel setup'!$K$6,".",IF(A5368=".",1,A5368+1))</f>
        <v>.</v>
      </c>
      <c r="B5369" s="244" t="str">
        <f t="shared" si="83"/>
        <v>Total Knee ReplacementProviderNUFFIELD HEALTH, SHREWSBURY HOSPITAL (NT235)Oxford Knee Score</v>
      </c>
      <c r="C5369" t="s">
        <v>975</v>
      </c>
      <c r="D5369" t="s">
        <v>965</v>
      </c>
      <c r="E5369" t="s">
        <v>402</v>
      </c>
      <c r="F5369" t="s">
        <v>403</v>
      </c>
      <c r="G5369" t="s">
        <v>972</v>
      </c>
      <c r="H5369">
        <v>2</v>
      </c>
      <c r="I5369">
        <v>21</v>
      </c>
      <c r="J5369">
        <v>25</v>
      </c>
      <c r="K5369">
        <v>4</v>
      </c>
      <c r="L5369">
        <v>1</v>
      </c>
      <c r="M5369">
        <v>0</v>
      </c>
      <c r="N5369">
        <v>1</v>
      </c>
      <c r="O5369" t="s">
        <v>127</v>
      </c>
      <c r="P5369" t="s">
        <v>127</v>
      </c>
      <c r="Q5369" t="s">
        <v>127</v>
      </c>
    </row>
    <row r="5370" spans="1:17" x14ac:dyDescent="0.25">
      <c r="A5370" t="str">
        <f>IF(C5370&amp;G5370&amp;D5370&lt;&gt;'Funnel setup'!$K$3&amp;'Funnel setup'!$K$4&amp;'Funnel setup'!$K$6,".",IF(A5369=".",1,A5369+1))</f>
        <v>.</v>
      </c>
      <c r="B5370" s="244" t="str">
        <f t="shared" si="83"/>
        <v>Total Knee ReplacementProviderNUFFIELD HEALTH, TAUNTON HOSPITAL (NT238)Oxford Knee Score</v>
      </c>
      <c r="C5370" t="s">
        <v>975</v>
      </c>
      <c r="D5370" t="s">
        <v>965</v>
      </c>
      <c r="E5370" t="s">
        <v>404</v>
      </c>
      <c r="F5370" t="s">
        <v>405</v>
      </c>
      <c r="G5370" t="s">
        <v>972</v>
      </c>
      <c r="H5370">
        <v>29</v>
      </c>
      <c r="I5370">
        <v>18.4483</v>
      </c>
      <c r="J5370">
        <v>38.551699999999997</v>
      </c>
      <c r="K5370">
        <v>20.103400000000001</v>
      </c>
      <c r="L5370">
        <v>28</v>
      </c>
      <c r="M5370">
        <v>0</v>
      </c>
      <c r="N5370">
        <v>1</v>
      </c>
      <c r="O5370" t="s">
        <v>127</v>
      </c>
      <c r="P5370" t="s">
        <v>127</v>
      </c>
      <c r="Q5370" t="s">
        <v>127</v>
      </c>
    </row>
    <row r="5371" spans="1:17" x14ac:dyDescent="0.25">
      <c r="A5371" t="str">
        <f>IF(C5371&amp;G5371&amp;D5371&lt;&gt;'Funnel setup'!$K$3&amp;'Funnel setup'!$K$4&amp;'Funnel setup'!$K$6,".",IF(A5370=".",1,A5370+1))</f>
        <v>.</v>
      </c>
      <c r="B5371" s="244" t="str">
        <f t="shared" si="83"/>
        <v>Total Knee ReplacementProviderNUFFIELD HEALTH, TEES HOSPITAL (NT237)Oxford Knee Score</v>
      </c>
      <c r="C5371" t="s">
        <v>975</v>
      </c>
      <c r="D5371" t="s">
        <v>965</v>
      </c>
      <c r="E5371" t="s">
        <v>406</v>
      </c>
      <c r="F5371" t="s">
        <v>407</v>
      </c>
      <c r="G5371" t="s">
        <v>972</v>
      </c>
      <c r="H5371">
        <v>229</v>
      </c>
      <c r="I5371">
        <v>18.596599999999999</v>
      </c>
      <c r="J5371">
        <v>38.2532</v>
      </c>
      <c r="K5371">
        <v>19.656700000000001</v>
      </c>
      <c r="L5371">
        <v>223</v>
      </c>
      <c r="M5371">
        <v>0</v>
      </c>
      <c r="N5371">
        <v>6</v>
      </c>
      <c r="O5371">
        <v>38.302500000000002</v>
      </c>
      <c r="P5371">
        <v>19.033899999999999</v>
      </c>
      <c r="Q5371">
        <v>8.6504300000000001</v>
      </c>
    </row>
    <row r="5372" spans="1:17" x14ac:dyDescent="0.25">
      <c r="A5372" t="str">
        <f>IF(C5372&amp;G5372&amp;D5372&lt;&gt;'Funnel setup'!$K$3&amp;'Funnel setup'!$K$4&amp;'Funnel setup'!$K$6,".",IF(A5371=".",1,A5371+1))</f>
        <v>.</v>
      </c>
      <c r="B5372" s="244" t="str">
        <f t="shared" si="83"/>
        <v>Total Knee ReplacementProviderNUFFIELD HEALTH, THE GROSVENOR HOSPITAL, CHESTER (NT210)Oxford Knee Score</v>
      </c>
      <c r="C5372" t="s">
        <v>975</v>
      </c>
      <c r="D5372" t="s">
        <v>965</v>
      </c>
      <c r="E5372" t="s">
        <v>408</v>
      </c>
      <c r="F5372" t="s">
        <v>409</v>
      </c>
      <c r="G5372" t="s">
        <v>972</v>
      </c>
      <c r="H5372">
        <v>14</v>
      </c>
      <c r="I5372">
        <v>22.214300000000001</v>
      </c>
      <c r="J5372">
        <v>39.357100000000003</v>
      </c>
      <c r="K5372">
        <v>17.142900000000001</v>
      </c>
      <c r="L5372">
        <v>12</v>
      </c>
      <c r="M5372">
        <v>1</v>
      </c>
      <c r="N5372">
        <v>1</v>
      </c>
      <c r="O5372" t="s">
        <v>127</v>
      </c>
      <c r="P5372" t="s">
        <v>127</v>
      </c>
      <c r="Q5372" t="s">
        <v>127</v>
      </c>
    </row>
    <row r="5373" spans="1:17" x14ac:dyDescent="0.25">
      <c r="A5373" t="str">
        <f>IF(C5373&amp;G5373&amp;D5373&lt;&gt;'Funnel setup'!$K$3&amp;'Funnel setup'!$K$4&amp;'Funnel setup'!$K$6,".",IF(A5372=".",1,A5372+1))</f>
        <v>.</v>
      </c>
      <c r="B5373" s="244" t="str">
        <f t="shared" si="83"/>
        <v>Total Knee ReplacementProviderNUFFIELD HEALTH, TUNBRIDGE WELLS HOSPITAL (NT239)Oxford Knee Score</v>
      </c>
      <c r="C5373" t="s">
        <v>975</v>
      </c>
      <c r="D5373" t="s">
        <v>965</v>
      </c>
      <c r="E5373" t="s">
        <v>410</v>
      </c>
      <c r="F5373" t="s">
        <v>411</v>
      </c>
      <c r="G5373" t="s">
        <v>972</v>
      </c>
      <c r="H5373">
        <v>5</v>
      </c>
      <c r="I5373">
        <v>22.8</v>
      </c>
      <c r="J5373">
        <v>45.4</v>
      </c>
      <c r="K5373">
        <v>22.6</v>
      </c>
      <c r="L5373">
        <v>5</v>
      </c>
      <c r="M5373">
        <v>0</v>
      </c>
      <c r="N5373">
        <v>0</v>
      </c>
      <c r="O5373" t="s">
        <v>127</v>
      </c>
      <c r="P5373" t="s">
        <v>127</v>
      </c>
      <c r="Q5373" t="s">
        <v>127</v>
      </c>
    </row>
    <row r="5374" spans="1:17" x14ac:dyDescent="0.25">
      <c r="A5374" t="str">
        <f>IF(C5374&amp;G5374&amp;D5374&lt;&gt;'Funnel setup'!$K$3&amp;'Funnel setup'!$K$4&amp;'Funnel setup'!$K$6,".",IF(A5373=".",1,A5373+1))</f>
        <v>.</v>
      </c>
      <c r="B5374" s="244" t="str">
        <f t="shared" si="83"/>
        <v>Total Knee ReplacementProviderNUFFIELD HEALTH, WARWICKSHIRE HOSPITAL (NT224)Oxford Knee Score</v>
      </c>
      <c r="C5374" t="s">
        <v>975</v>
      </c>
      <c r="D5374" t="s">
        <v>965</v>
      </c>
      <c r="E5374" t="s">
        <v>412</v>
      </c>
      <c r="F5374" t="s">
        <v>413</v>
      </c>
      <c r="G5374" t="s">
        <v>972</v>
      </c>
      <c r="H5374">
        <v>14</v>
      </c>
      <c r="I5374">
        <v>20.066700000000001</v>
      </c>
      <c r="J5374">
        <v>35.933300000000003</v>
      </c>
      <c r="K5374">
        <v>15.8667</v>
      </c>
      <c r="L5374">
        <v>14</v>
      </c>
      <c r="M5374">
        <v>0</v>
      </c>
      <c r="N5374">
        <v>0</v>
      </c>
      <c r="O5374" t="s">
        <v>127</v>
      </c>
      <c r="P5374" t="s">
        <v>127</v>
      </c>
      <c r="Q5374" t="s">
        <v>127</v>
      </c>
    </row>
    <row r="5375" spans="1:17" x14ac:dyDescent="0.25">
      <c r="A5375" t="str">
        <f>IF(C5375&amp;G5375&amp;D5375&lt;&gt;'Funnel setup'!$K$3&amp;'Funnel setup'!$K$4&amp;'Funnel setup'!$K$6,".",IF(A5374=".",1,A5374+1))</f>
        <v>.</v>
      </c>
      <c r="B5375" s="244" t="str">
        <f t="shared" si="83"/>
        <v>Total Knee ReplacementProviderNUFFIELD HEALTH, WESSEX HOSPITAL (NT214)Oxford Knee Score</v>
      </c>
      <c r="C5375" t="s">
        <v>975</v>
      </c>
      <c r="D5375" t="s">
        <v>965</v>
      </c>
      <c r="E5375" t="s">
        <v>414</v>
      </c>
      <c r="F5375" t="s">
        <v>415</v>
      </c>
      <c r="G5375" t="s">
        <v>972</v>
      </c>
      <c r="H5375">
        <v>33</v>
      </c>
      <c r="I5375">
        <v>23.060600000000001</v>
      </c>
      <c r="J5375">
        <v>37.393900000000002</v>
      </c>
      <c r="K5375">
        <v>14.333299999999999</v>
      </c>
      <c r="L5375">
        <v>31</v>
      </c>
      <c r="M5375">
        <v>1</v>
      </c>
      <c r="N5375">
        <v>1</v>
      </c>
      <c r="O5375">
        <v>34.667499999999997</v>
      </c>
      <c r="P5375">
        <v>15.398899999999999</v>
      </c>
      <c r="Q5375">
        <v>6.9774799999999999</v>
      </c>
    </row>
    <row r="5376" spans="1:17" x14ac:dyDescent="0.25">
      <c r="A5376" t="str">
        <f>IF(C5376&amp;G5376&amp;D5376&lt;&gt;'Funnel setup'!$K$3&amp;'Funnel setup'!$K$4&amp;'Funnel setup'!$K$6,".",IF(A5375=".",1,A5375+1))</f>
        <v>.</v>
      </c>
      <c r="B5376" s="244" t="str">
        <f t="shared" si="83"/>
        <v>Total Knee ReplacementProviderNUFFIELD HEALTH, WOLVERHAMPTON HOSPITAL (NT242)Oxford Knee Score</v>
      </c>
      <c r="C5376" t="s">
        <v>975</v>
      </c>
      <c r="D5376" t="s">
        <v>965</v>
      </c>
      <c r="E5376" t="s">
        <v>418</v>
      </c>
      <c r="F5376" t="s">
        <v>419</v>
      </c>
      <c r="G5376" t="s">
        <v>972</v>
      </c>
      <c r="H5376">
        <v>15</v>
      </c>
      <c r="I5376">
        <v>18.666699999999999</v>
      </c>
      <c r="J5376">
        <v>33</v>
      </c>
      <c r="K5376">
        <v>14.333299999999999</v>
      </c>
      <c r="L5376">
        <v>14</v>
      </c>
      <c r="M5376">
        <v>0</v>
      </c>
      <c r="N5376">
        <v>1</v>
      </c>
      <c r="O5376" t="s">
        <v>127</v>
      </c>
      <c r="P5376" t="s">
        <v>127</v>
      </c>
      <c r="Q5376" t="s">
        <v>127</v>
      </c>
    </row>
    <row r="5377" spans="1:17" x14ac:dyDescent="0.25">
      <c r="A5377" t="str">
        <f>IF(C5377&amp;G5377&amp;D5377&lt;&gt;'Funnel setup'!$K$3&amp;'Funnel setup'!$K$4&amp;'Funnel setup'!$K$6,".",IF(A5376=".",1,A5376+1))</f>
        <v>.</v>
      </c>
      <c r="B5377" s="244" t="str">
        <f t="shared" si="83"/>
        <v>Total Knee ReplacementProviderNUFFIELD HEALTH, YORK HOSPITAL (NT245)Oxford Knee Score</v>
      </c>
      <c r="C5377" t="s">
        <v>975</v>
      </c>
      <c r="D5377" t="s">
        <v>965</v>
      </c>
      <c r="E5377" t="s">
        <v>420</v>
      </c>
      <c r="F5377" t="s">
        <v>421</v>
      </c>
      <c r="G5377" t="s">
        <v>972</v>
      </c>
      <c r="H5377">
        <v>59</v>
      </c>
      <c r="I5377">
        <v>20.8475</v>
      </c>
      <c r="J5377">
        <v>37.355899999999998</v>
      </c>
      <c r="K5377">
        <v>16.508500000000002</v>
      </c>
      <c r="L5377">
        <v>55</v>
      </c>
      <c r="M5377">
        <v>2</v>
      </c>
      <c r="N5377">
        <v>2</v>
      </c>
      <c r="O5377">
        <v>36.216900000000003</v>
      </c>
      <c r="P5377">
        <v>16.9483</v>
      </c>
      <c r="Q5377">
        <v>7.8036399999999997</v>
      </c>
    </row>
    <row r="5378" spans="1:17" x14ac:dyDescent="0.25">
      <c r="A5378" t="str">
        <f>IF(C5378&amp;G5378&amp;D5378&lt;&gt;'Funnel setup'!$K$3&amp;'Funnel setup'!$K$4&amp;'Funnel setup'!$K$6,".",IF(A5377=".",1,A5377+1))</f>
        <v>.</v>
      </c>
      <c r="B5378" s="244" t="str">
        <f t="shared" ref="B5378:B5441" si="84">C5378&amp;D5378&amp;F5378&amp;G5378</f>
        <v>Total Knee ReplacementProviderOAKLANDS HOSPITAL (NVC12)Oxford Knee Score</v>
      </c>
      <c r="C5378" t="s">
        <v>975</v>
      </c>
      <c r="D5378" t="s">
        <v>965</v>
      </c>
      <c r="E5378" t="s">
        <v>424</v>
      </c>
      <c r="F5378" t="s">
        <v>425</v>
      </c>
      <c r="G5378" t="s">
        <v>972</v>
      </c>
      <c r="H5378">
        <v>83</v>
      </c>
      <c r="I5378">
        <v>17.6145</v>
      </c>
      <c r="J5378">
        <v>35.228900000000003</v>
      </c>
      <c r="K5378">
        <v>17.6145</v>
      </c>
      <c r="L5378">
        <v>79</v>
      </c>
      <c r="M5378">
        <v>1</v>
      </c>
      <c r="N5378">
        <v>3</v>
      </c>
      <c r="O5378">
        <v>36.3874</v>
      </c>
      <c r="P5378">
        <v>17.1187</v>
      </c>
      <c r="Q5378">
        <v>9.4209700000000005</v>
      </c>
    </row>
    <row r="5379" spans="1:17" x14ac:dyDescent="0.25">
      <c r="A5379" t="str">
        <f>IF(C5379&amp;G5379&amp;D5379&lt;&gt;'Funnel setup'!$K$3&amp;'Funnel setup'!$K$4&amp;'Funnel setup'!$K$6,".",IF(A5378=".",1,A5378+1))</f>
        <v>.</v>
      </c>
      <c r="B5379" s="244" t="str">
        <f t="shared" si="84"/>
        <v>Total Knee ReplacementProviderOAKS HOSPITAL (NVC13)Oxford Knee Score</v>
      </c>
      <c r="C5379" t="s">
        <v>975</v>
      </c>
      <c r="D5379" t="s">
        <v>965</v>
      </c>
      <c r="E5379" t="s">
        <v>426</v>
      </c>
      <c r="F5379" t="s">
        <v>427</v>
      </c>
      <c r="G5379" t="s">
        <v>972</v>
      </c>
      <c r="H5379">
        <v>4</v>
      </c>
      <c r="I5379">
        <v>19.25</v>
      </c>
      <c r="J5379">
        <v>43.5</v>
      </c>
      <c r="K5379">
        <v>24.25</v>
      </c>
      <c r="L5379">
        <v>4</v>
      </c>
      <c r="M5379">
        <v>0</v>
      </c>
      <c r="N5379">
        <v>0</v>
      </c>
      <c r="O5379" t="s">
        <v>127</v>
      </c>
      <c r="P5379" t="s">
        <v>127</v>
      </c>
      <c r="Q5379" t="s">
        <v>127</v>
      </c>
    </row>
    <row r="5380" spans="1:17" x14ac:dyDescent="0.25">
      <c r="A5380" t="str">
        <f>IF(C5380&amp;G5380&amp;D5380&lt;&gt;'Funnel setup'!$K$3&amp;'Funnel setup'!$K$4&amp;'Funnel setup'!$K$6,".",IF(A5379=".",1,A5379+1))</f>
        <v>.</v>
      </c>
      <c r="B5380" s="244" t="str">
        <f t="shared" si="84"/>
        <v>Total Knee ReplacementProviderONE HEALTHCARE (AVQ)Oxford Knee Score</v>
      </c>
      <c r="C5380" t="s">
        <v>975</v>
      </c>
      <c r="D5380" t="s">
        <v>965</v>
      </c>
      <c r="E5380" t="s">
        <v>434</v>
      </c>
      <c r="F5380" t="s">
        <v>435</v>
      </c>
      <c r="G5380" t="s">
        <v>972</v>
      </c>
      <c r="H5380">
        <v>69</v>
      </c>
      <c r="I5380">
        <v>21.333300000000001</v>
      </c>
      <c r="J5380">
        <v>38.898600000000002</v>
      </c>
      <c r="K5380">
        <v>17.565200000000001</v>
      </c>
      <c r="L5380">
        <v>66</v>
      </c>
      <c r="M5380">
        <v>0</v>
      </c>
      <c r="N5380">
        <v>3</v>
      </c>
      <c r="O5380">
        <v>37.154000000000003</v>
      </c>
      <c r="P5380">
        <v>17.885300000000001</v>
      </c>
      <c r="Q5380">
        <v>7.2388899999999996</v>
      </c>
    </row>
    <row r="5381" spans="1:17" x14ac:dyDescent="0.25">
      <c r="A5381" t="str">
        <f>IF(C5381&amp;G5381&amp;D5381&lt;&gt;'Funnel setup'!$K$3&amp;'Funnel setup'!$K$4&amp;'Funnel setup'!$K$6,".",IF(A5380=".",1,A5380+1))</f>
        <v>.</v>
      </c>
      <c r="B5381" s="244" t="str">
        <f t="shared" si="84"/>
        <v>Total Knee ReplacementProviderORTHOPAEDICS &amp; SPINE SPECIALIST HOSPITAL SITE (NQM01)Oxford Knee Score</v>
      </c>
      <c r="C5381" t="s">
        <v>975</v>
      </c>
      <c r="D5381" t="s">
        <v>965</v>
      </c>
      <c r="E5381" t="s">
        <v>436</v>
      </c>
      <c r="F5381" t="s">
        <v>437</v>
      </c>
      <c r="G5381" t="s">
        <v>972</v>
      </c>
      <c r="H5381">
        <v>6</v>
      </c>
      <c r="I5381">
        <v>14.166700000000001</v>
      </c>
      <c r="J5381">
        <v>33.5</v>
      </c>
      <c r="K5381">
        <v>19.333300000000001</v>
      </c>
      <c r="L5381">
        <v>6</v>
      </c>
      <c r="M5381">
        <v>0</v>
      </c>
      <c r="N5381">
        <v>0</v>
      </c>
      <c r="O5381" t="s">
        <v>127</v>
      </c>
      <c r="P5381" t="s">
        <v>127</v>
      </c>
      <c r="Q5381" t="s">
        <v>127</v>
      </c>
    </row>
    <row r="5382" spans="1:17" x14ac:dyDescent="0.25">
      <c r="A5382" t="str">
        <f>IF(C5382&amp;G5382&amp;D5382&lt;&gt;'Funnel setup'!$K$3&amp;'Funnel setup'!$K$4&amp;'Funnel setup'!$K$6,".",IF(A5381=".",1,A5381+1))</f>
        <v>.</v>
      </c>
      <c r="B5382" s="244" t="str">
        <f t="shared" si="84"/>
        <v>Total Knee ReplacementProviderOXFORD UNIVERSITY HOSPITALS NHS FOUNDATION TRUST (RTH)Oxford Knee Score</v>
      </c>
      <c r="C5382" t="s">
        <v>975</v>
      </c>
      <c r="D5382" t="s">
        <v>965</v>
      </c>
      <c r="E5382" t="s">
        <v>438</v>
      </c>
      <c r="F5382" t="s">
        <v>439</v>
      </c>
      <c r="G5382" t="s">
        <v>972</v>
      </c>
      <c r="H5382">
        <v>285</v>
      </c>
      <c r="I5382">
        <v>19.863199999999999</v>
      </c>
      <c r="J5382">
        <v>36.926299999999998</v>
      </c>
      <c r="K5382">
        <v>17.063199999999998</v>
      </c>
      <c r="L5382">
        <v>267</v>
      </c>
      <c r="M5382">
        <v>1</v>
      </c>
      <c r="N5382">
        <v>17</v>
      </c>
      <c r="O5382">
        <v>36.828899999999997</v>
      </c>
      <c r="P5382">
        <v>17.560300000000002</v>
      </c>
      <c r="Q5382">
        <v>8.4953599999999998</v>
      </c>
    </row>
    <row r="5383" spans="1:17" x14ac:dyDescent="0.25">
      <c r="A5383" t="str">
        <f>IF(C5383&amp;G5383&amp;D5383&lt;&gt;'Funnel setup'!$K$3&amp;'Funnel setup'!$K$4&amp;'Funnel setup'!$K$6,".",IF(A5382=".",1,A5382+1))</f>
        <v>.</v>
      </c>
      <c r="B5383" s="244" t="str">
        <f t="shared" si="84"/>
        <v>Total Knee ReplacementProviderPARK HILL HOSPITAL (NVC14)Oxford Knee Score</v>
      </c>
      <c r="C5383" t="s">
        <v>975</v>
      </c>
      <c r="D5383" t="s">
        <v>965</v>
      </c>
      <c r="E5383" t="s">
        <v>440</v>
      </c>
      <c r="F5383" t="s">
        <v>441</v>
      </c>
      <c r="G5383" t="s">
        <v>972</v>
      </c>
      <c r="H5383">
        <v>36</v>
      </c>
      <c r="I5383">
        <v>17.729700000000001</v>
      </c>
      <c r="J5383">
        <v>35.513500000000001</v>
      </c>
      <c r="K5383">
        <v>17.783799999999999</v>
      </c>
      <c r="L5383">
        <v>31</v>
      </c>
      <c r="M5383">
        <v>0</v>
      </c>
      <c r="N5383">
        <v>5</v>
      </c>
      <c r="O5383">
        <v>36.542499999999997</v>
      </c>
      <c r="P5383">
        <v>17.273900000000001</v>
      </c>
      <c r="Q5383">
        <v>9.91188</v>
      </c>
    </row>
    <row r="5384" spans="1:17" x14ac:dyDescent="0.25">
      <c r="A5384" t="str">
        <f>IF(C5384&amp;G5384&amp;D5384&lt;&gt;'Funnel setup'!$K$3&amp;'Funnel setup'!$K$4&amp;'Funnel setup'!$K$6,".",IF(A5383=".",1,A5383+1))</f>
        <v>.</v>
      </c>
      <c r="B5384" s="244" t="str">
        <f t="shared" si="84"/>
        <v>Total Knee ReplacementProviderPARK HOSPITAL (NT427)Oxford Knee Score</v>
      </c>
      <c r="C5384" t="s">
        <v>975</v>
      </c>
      <c r="D5384" t="s">
        <v>965</v>
      </c>
      <c r="E5384" t="s">
        <v>442</v>
      </c>
      <c r="F5384" t="s">
        <v>443</v>
      </c>
      <c r="G5384" t="s">
        <v>972</v>
      </c>
      <c r="H5384">
        <v>56</v>
      </c>
      <c r="I5384">
        <v>20.607099999999999</v>
      </c>
      <c r="J5384">
        <v>37.142899999999997</v>
      </c>
      <c r="K5384">
        <v>16.535699999999999</v>
      </c>
      <c r="L5384">
        <v>52</v>
      </c>
      <c r="M5384">
        <v>0</v>
      </c>
      <c r="N5384">
        <v>4</v>
      </c>
      <c r="O5384">
        <v>35.733699999999999</v>
      </c>
      <c r="P5384">
        <v>16.465</v>
      </c>
      <c r="Q5384">
        <v>8.9039400000000004</v>
      </c>
    </row>
    <row r="5385" spans="1:17" x14ac:dyDescent="0.25">
      <c r="A5385" t="str">
        <f>IF(C5385&amp;G5385&amp;D5385&lt;&gt;'Funnel setup'!$K$3&amp;'Funnel setup'!$K$4&amp;'Funnel setup'!$K$6,".",IF(A5384=".",1,A5384+1))</f>
        <v>.</v>
      </c>
      <c r="B5385" s="244" t="str">
        <f t="shared" si="84"/>
        <v>Total Knee ReplacementProviderPENNINE ACUTE HOSPITALS NHS TRUST (RW6)Oxford Knee Score</v>
      </c>
      <c r="C5385" t="s">
        <v>975</v>
      </c>
      <c r="D5385" t="s">
        <v>965</v>
      </c>
      <c r="E5385" t="s">
        <v>444</v>
      </c>
      <c r="F5385" t="s">
        <v>445</v>
      </c>
      <c r="G5385" t="s">
        <v>972</v>
      </c>
      <c r="H5385">
        <v>4</v>
      </c>
      <c r="I5385">
        <v>14.75</v>
      </c>
      <c r="J5385">
        <v>37</v>
      </c>
      <c r="K5385">
        <v>22.25</v>
      </c>
      <c r="L5385">
        <v>4</v>
      </c>
      <c r="M5385">
        <v>0</v>
      </c>
      <c r="N5385">
        <v>0</v>
      </c>
      <c r="O5385" t="s">
        <v>127</v>
      </c>
      <c r="P5385" t="s">
        <v>127</v>
      </c>
      <c r="Q5385" t="s">
        <v>127</v>
      </c>
    </row>
    <row r="5386" spans="1:17" x14ac:dyDescent="0.25">
      <c r="A5386" t="str">
        <f>IF(C5386&amp;G5386&amp;D5386&lt;&gt;'Funnel setup'!$K$3&amp;'Funnel setup'!$K$4&amp;'Funnel setup'!$K$6,".",IF(A5385=".",1,A5385+1))</f>
        <v>.</v>
      </c>
      <c r="B5386" s="244" t="str">
        <f t="shared" si="84"/>
        <v>Total Knee ReplacementProviderPINEHILL HOSPITAL (NVC15)Oxford Knee Score</v>
      </c>
      <c r="C5386" t="s">
        <v>975</v>
      </c>
      <c r="D5386" t="s">
        <v>965</v>
      </c>
      <c r="E5386" t="s">
        <v>448</v>
      </c>
      <c r="F5386" t="s">
        <v>449</v>
      </c>
      <c r="G5386" t="s">
        <v>972</v>
      </c>
      <c r="H5386">
        <v>7</v>
      </c>
      <c r="I5386">
        <v>17.857099999999999</v>
      </c>
      <c r="J5386">
        <v>37.285699999999999</v>
      </c>
      <c r="K5386">
        <v>19.428599999999999</v>
      </c>
      <c r="L5386">
        <v>7</v>
      </c>
      <c r="M5386">
        <v>0</v>
      </c>
      <c r="N5386">
        <v>0</v>
      </c>
      <c r="O5386" t="s">
        <v>127</v>
      </c>
      <c r="P5386" t="s">
        <v>127</v>
      </c>
      <c r="Q5386" t="s">
        <v>127</v>
      </c>
    </row>
    <row r="5387" spans="1:17" x14ac:dyDescent="0.25">
      <c r="A5387" t="str">
        <f>IF(C5387&amp;G5387&amp;D5387&lt;&gt;'Funnel setup'!$K$3&amp;'Funnel setup'!$K$4&amp;'Funnel setup'!$K$6,".",IF(A5386=".",1,A5386+1))</f>
        <v>.</v>
      </c>
      <c r="B5387" s="244" t="str">
        <f t="shared" si="84"/>
        <v>Total Knee ReplacementProviderPORTSMOUTH HOSPITALS UNIVERSITY NATIONAL HEALTH SERVICE TRUST (RHU)Oxford Knee Score</v>
      </c>
      <c r="C5387" t="s">
        <v>975</v>
      </c>
      <c r="D5387" t="s">
        <v>965</v>
      </c>
      <c r="E5387" t="s">
        <v>450</v>
      </c>
      <c r="F5387" t="s">
        <v>451</v>
      </c>
      <c r="G5387" t="s">
        <v>972</v>
      </c>
      <c r="H5387">
        <v>16</v>
      </c>
      <c r="I5387">
        <v>14.625</v>
      </c>
      <c r="J5387">
        <v>35.0625</v>
      </c>
      <c r="K5387">
        <v>20.4375</v>
      </c>
      <c r="L5387">
        <v>15</v>
      </c>
      <c r="M5387">
        <v>0</v>
      </c>
      <c r="N5387">
        <v>1</v>
      </c>
      <c r="O5387" t="s">
        <v>127</v>
      </c>
      <c r="P5387" t="s">
        <v>127</v>
      </c>
      <c r="Q5387" t="s">
        <v>127</v>
      </c>
    </row>
    <row r="5388" spans="1:17" x14ac:dyDescent="0.25">
      <c r="A5388" t="str">
        <f>IF(C5388&amp;G5388&amp;D5388&lt;&gt;'Funnel setup'!$K$3&amp;'Funnel setup'!$K$4&amp;'Funnel setup'!$K$6,".",IF(A5387=".",1,A5387+1))</f>
        <v>.</v>
      </c>
      <c r="B5388" s="244" t="str">
        <f t="shared" si="84"/>
        <v>Total Knee ReplacementProviderPRACTICE PLUS GROUP HOSPITAL - BARLBOROUGH (NTP13)Oxford Knee Score</v>
      </c>
      <c r="C5388" t="s">
        <v>975</v>
      </c>
      <c r="D5388" t="s">
        <v>965</v>
      </c>
      <c r="E5388" t="s">
        <v>452</v>
      </c>
      <c r="F5388" t="s">
        <v>453</v>
      </c>
      <c r="G5388" t="s">
        <v>972</v>
      </c>
      <c r="H5388">
        <v>252</v>
      </c>
      <c r="I5388">
        <v>19.2</v>
      </c>
      <c r="J5388">
        <v>37.811799999999998</v>
      </c>
      <c r="K5388">
        <v>18.611799999999999</v>
      </c>
      <c r="L5388">
        <v>243</v>
      </c>
      <c r="M5388">
        <v>2</v>
      </c>
      <c r="N5388">
        <v>7</v>
      </c>
      <c r="O5388">
        <v>37.313699999999997</v>
      </c>
      <c r="P5388">
        <v>18.045000000000002</v>
      </c>
      <c r="Q5388">
        <v>8.3252299999999995</v>
      </c>
    </row>
    <row r="5389" spans="1:17" x14ac:dyDescent="0.25">
      <c r="A5389" t="str">
        <f>IF(C5389&amp;G5389&amp;D5389&lt;&gt;'Funnel setup'!$K$3&amp;'Funnel setup'!$K$4&amp;'Funnel setup'!$K$6,".",IF(A5388=".",1,A5388+1))</f>
        <v>.</v>
      </c>
      <c r="B5389" s="244" t="str">
        <f t="shared" si="84"/>
        <v>Total Knee ReplacementProviderPRACTICE PLUS GROUP HOSPITAL - EMERSONS GREEN (NTPH2)Oxford Knee Score</v>
      </c>
      <c r="C5389" t="s">
        <v>975</v>
      </c>
      <c r="D5389" t="s">
        <v>965</v>
      </c>
      <c r="E5389" t="s">
        <v>454</v>
      </c>
      <c r="F5389" t="s">
        <v>455</v>
      </c>
      <c r="G5389" t="s">
        <v>972</v>
      </c>
      <c r="H5389">
        <v>141</v>
      </c>
      <c r="I5389">
        <v>20.3901</v>
      </c>
      <c r="J5389">
        <v>37.773000000000003</v>
      </c>
      <c r="K5389">
        <v>17.382999999999999</v>
      </c>
      <c r="L5389">
        <v>135</v>
      </c>
      <c r="M5389">
        <v>1</v>
      </c>
      <c r="N5389">
        <v>5</v>
      </c>
      <c r="O5389">
        <v>36.628399999999999</v>
      </c>
      <c r="P5389">
        <v>17.3597</v>
      </c>
      <c r="Q5389">
        <v>7.8470800000000001</v>
      </c>
    </row>
    <row r="5390" spans="1:17" x14ac:dyDescent="0.25">
      <c r="A5390" t="str">
        <f>IF(C5390&amp;G5390&amp;D5390&lt;&gt;'Funnel setup'!$K$3&amp;'Funnel setup'!$K$4&amp;'Funnel setup'!$K$6,".",IF(A5389=".",1,A5389+1))</f>
        <v>.</v>
      </c>
      <c r="B5390" s="244" t="str">
        <f t="shared" si="84"/>
        <v>Total Knee ReplacementProviderPRACTICE PLUS GROUP HOSPITAL - ILFORD (NTP15)Oxford Knee Score</v>
      </c>
      <c r="C5390" t="s">
        <v>975</v>
      </c>
      <c r="D5390" t="s">
        <v>965</v>
      </c>
      <c r="E5390" t="s">
        <v>456</v>
      </c>
      <c r="F5390" t="s">
        <v>457</v>
      </c>
      <c r="G5390" t="s">
        <v>972</v>
      </c>
      <c r="H5390">
        <v>86</v>
      </c>
      <c r="I5390">
        <v>17.162800000000001</v>
      </c>
      <c r="J5390">
        <v>32.9651</v>
      </c>
      <c r="K5390">
        <v>15.802300000000001</v>
      </c>
      <c r="L5390">
        <v>79</v>
      </c>
      <c r="M5390">
        <v>1</v>
      </c>
      <c r="N5390">
        <v>6</v>
      </c>
      <c r="O5390">
        <v>34.175699999999999</v>
      </c>
      <c r="P5390">
        <v>14.9071</v>
      </c>
      <c r="Q5390">
        <v>9.625</v>
      </c>
    </row>
    <row r="5391" spans="1:17" x14ac:dyDescent="0.25">
      <c r="A5391" t="str">
        <f>IF(C5391&amp;G5391&amp;D5391&lt;&gt;'Funnel setup'!$K$3&amp;'Funnel setup'!$K$4&amp;'Funnel setup'!$K$6,".",IF(A5390=".",1,A5390+1))</f>
        <v>.</v>
      </c>
      <c r="B5391" s="244" t="str">
        <f t="shared" si="84"/>
        <v>Total Knee ReplacementProviderPRACTICE PLUS GROUP HOSPITAL - PLYMOUTH (NTPH5)Oxford Knee Score</v>
      </c>
      <c r="C5391" t="s">
        <v>975</v>
      </c>
      <c r="D5391" t="s">
        <v>965</v>
      </c>
      <c r="E5391" t="s">
        <v>458</v>
      </c>
      <c r="F5391" t="s">
        <v>459</v>
      </c>
      <c r="G5391" t="s">
        <v>972</v>
      </c>
      <c r="H5391">
        <v>205</v>
      </c>
      <c r="I5391">
        <v>20.287800000000001</v>
      </c>
      <c r="J5391">
        <v>38.185400000000001</v>
      </c>
      <c r="K5391">
        <v>17.897600000000001</v>
      </c>
      <c r="L5391">
        <v>198</v>
      </c>
      <c r="M5391">
        <v>1</v>
      </c>
      <c r="N5391">
        <v>6</v>
      </c>
      <c r="O5391">
        <v>37.469900000000003</v>
      </c>
      <c r="P5391">
        <v>18.2012</v>
      </c>
      <c r="Q5391">
        <v>7.4621899999999997</v>
      </c>
    </row>
    <row r="5392" spans="1:17" x14ac:dyDescent="0.25">
      <c r="A5392" t="str">
        <f>IF(C5392&amp;G5392&amp;D5392&lt;&gt;'Funnel setup'!$K$3&amp;'Funnel setup'!$K$4&amp;'Funnel setup'!$K$6,".",IF(A5391=".",1,A5391+1))</f>
        <v>.</v>
      </c>
      <c r="B5392" s="244" t="str">
        <f t="shared" si="84"/>
        <v>Total Knee ReplacementProviderPRACTICE PLUS GROUP HOSPITAL - SHEPTON MALLET (NTPH1)Oxford Knee Score</v>
      </c>
      <c r="C5392" t="s">
        <v>975</v>
      </c>
      <c r="D5392" t="s">
        <v>965</v>
      </c>
      <c r="E5392" t="s">
        <v>460</v>
      </c>
      <c r="F5392" t="s">
        <v>461</v>
      </c>
      <c r="G5392" t="s">
        <v>972</v>
      </c>
      <c r="H5392">
        <v>229</v>
      </c>
      <c r="I5392">
        <v>19.690000000000001</v>
      </c>
      <c r="J5392">
        <v>38.807899999999997</v>
      </c>
      <c r="K5392">
        <v>19.117899999999999</v>
      </c>
      <c r="L5392">
        <v>223</v>
      </c>
      <c r="M5392">
        <v>1</v>
      </c>
      <c r="N5392">
        <v>5</v>
      </c>
      <c r="O5392">
        <v>37.982100000000003</v>
      </c>
      <c r="P5392">
        <v>18.7135</v>
      </c>
      <c r="Q5392">
        <v>7.4113300000000004</v>
      </c>
    </row>
    <row r="5393" spans="1:17" x14ac:dyDescent="0.25">
      <c r="A5393" t="str">
        <f>IF(C5393&amp;G5393&amp;D5393&lt;&gt;'Funnel setup'!$K$3&amp;'Funnel setup'!$K$4&amp;'Funnel setup'!$K$6,".",IF(A5392=".",1,A5392+1))</f>
        <v>.</v>
      </c>
      <c r="B5393" s="244" t="str">
        <f t="shared" si="84"/>
        <v>Total Knee ReplacementProviderPRACTICE PLUS GROUP HOSPITAL - SOUTHAMPTON (NTP11)Oxford Knee Score</v>
      </c>
      <c r="C5393" t="s">
        <v>975</v>
      </c>
      <c r="D5393" t="s">
        <v>965</v>
      </c>
      <c r="E5393" t="s">
        <v>462</v>
      </c>
      <c r="F5393" t="s">
        <v>463</v>
      </c>
      <c r="G5393" t="s">
        <v>972</v>
      </c>
      <c r="H5393">
        <v>73</v>
      </c>
      <c r="I5393">
        <v>19.260300000000001</v>
      </c>
      <c r="J5393">
        <v>36.863</v>
      </c>
      <c r="K5393">
        <v>17.602699999999999</v>
      </c>
      <c r="L5393">
        <v>69</v>
      </c>
      <c r="M5393">
        <v>0</v>
      </c>
      <c r="N5393">
        <v>4</v>
      </c>
      <c r="O5393">
        <v>36.672400000000003</v>
      </c>
      <c r="P5393">
        <v>17.4038</v>
      </c>
      <c r="Q5393">
        <v>8.423</v>
      </c>
    </row>
    <row r="5394" spans="1:17" x14ac:dyDescent="0.25">
      <c r="A5394" t="str">
        <f>IF(C5394&amp;G5394&amp;D5394&lt;&gt;'Funnel setup'!$K$3&amp;'Funnel setup'!$K$4&amp;'Funnel setup'!$K$6,".",IF(A5393=".",1,A5393+1))</f>
        <v>.</v>
      </c>
      <c r="B5394" s="244" t="str">
        <f t="shared" si="84"/>
        <v>Total Knee ReplacementProviderPRINCESS MARGARET HOSPITAL (NT428)Oxford Knee Score</v>
      </c>
      <c r="C5394" t="s">
        <v>975</v>
      </c>
      <c r="D5394" t="s">
        <v>965</v>
      </c>
      <c r="E5394" t="s">
        <v>464</v>
      </c>
      <c r="F5394" t="s">
        <v>465</v>
      </c>
      <c r="G5394" t="s">
        <v>972</v>
      </c>
      <c r="H5394" t="s">
        <v>127</v>
      </c>
      <c r="I5394" t="s">
        <v>127</v>
      </c>
      <c r="J5394" t="s">
        <v>127</v>
      </c>
      <c r="K5394" t="s">
        <v>127</v>
      </c>
      <c r="L5394" t="s">
        <v>127</v>
      </c>
      <c r="M5394" t="s">
        <v>127</v>
      </c>
      <c r="N5394" t="s">
        <v>127</v>
      </c>
      <c r="O5394" t="s">
        <v>127</v>
      </c>
      <c r="P5394" t="s">
        <v>127</v>
      </c>
      <c r="Q5394" t="s">
        <v>127</v>
      </c>
    </row>
    <row r="5395" spans="1:17" x14ac:dyDescent="0.25">
      <c r="A5395" t="str">
        <f>IF(C5395&amp;G5395&amp;D5395&lt;&gt;'Funnel setup'!$K$3&amp;'Funnel setup'!$K$4&amp;'Funnel setup'!$K$6,".",IF(A5394=".",1,A5394+1))</f>
        <v>.</v>
      </c>
      <c r="B5395" s="244" t="str">
        <f t="shared" si="84"/>
        <v>Total Knee ReplacementProviderPRIORY HOSPITAL (NT429)Oxford Knee Score</v>
      </c>
      <c r="C5395" t="s">
        <v>975</v>
      </c>
      <c r="D5395" t="s">
        <v>965</v>
      </c>
      <c r="E5395" t="s">
        <v>466</v>
      </c>
      <c r="F5395" t="s">
        <v>467</v>
      </c>
      <c r="G5395" t="s">
        <v>972</v>
      </c>
      <c r="H5395">
        <v>28</v>
      </c>
      <c r="I5395">
        <v>20.433299999999999</v>
      </c>
      <c r="J5395">
        <v>37.9</v>
      </c>
      <c r="K5395">
        <v>17.466699999999999</v>
      </c>
      <c r="L5395">
        <v>28</v>
      </c>
      <c r="M5395">
        <v>0</v>
      </c>
      <c r="N5395">
        <v>0</v>
      </c>
      <c r="O5395">
        <v>37.898600000000002</v>
      </c>
      <c r="P5395">
        <v>18.63</v>
      </c>
      <c r="Q5395">
        <v>6.4585299999999997</v>
      </c>
    </row>
    <row r="5396" spans="1:17" x14ac:dyDescent="0.25">
      <c r="A5396" t="str">
        <f>IF(C5396&amp;G5396&amp;D5396&lt;&gt;'Funnel setup'!$K$3&amp;'Funnel setup'!$K$4&amp;'Funnel setup'!$K$6,".",IF(A5395=".",1,A5395+1))</f>
        <v>.</v>
      </c>
      <c r="B5396" s="244" t="str">
        <f t="shared" si="84"/>
        <v>Total Knee ReplacementProviderRENACRES HOSPITAL (NVC16)Oxford Knee Score</v>
      </c>
      <c r="C5396" t="s">
        <v>975</v>
      </c>
      <c r="D5396" t="s">
        <v>965</v>
      </c>
      <c r="E5396" t="s">
        <v>470</v>
      </c>
      <c r="F5396" t="s">
        <v>471</v>
      </c>
      <c r="G5396" t="s">
        <v>972</v>
      </c>
      <c r="H5396">
        <v>65</v>
      </c>
      <c r="I5396">
        <v>18.923100000000002</v>
      </c>
      <c r="J5396">
        <v>37.230800000000002</v>
      </c>
      <c r="K5396">
        <v>18.307700000000001</v>
      </c>
      <c r="L5396">
        <v>61</v>
      </c>
      <c r="M5396">
        <v>0</v>
      </c>
      <c r="N5396">
        <v>4</v>
      </c>
      <c r="O5396">
        <v>36.7605</v>
      </c>
      <c r="P5396">
        <v>17.491900000000001</v>
      </c>
      <c r="Q5396">
        <v>8.6319599999999994</v>
      </c>
    </row>
    <row r="5397" spans="1:17" x14ac:dyDescent="0.25">
      <c r="A5397" t="str">
        <f>IF(C5397&amp;G5397&amp;D5397&lt;&gt;'Funnel setup'!$K$3&amp;'Funnel setup'!$K$4&amp;'Funnel setup'!$K$6,".",IF(A5396=".",1,A5396+1))</f>
        <v>.</v>
      </c>
      <c r="B5397" s="244" t="str">
        <f t="shared" si="84"/>
        <v>Total Knee ReplacementProviderRIDGEWAY HOSPITAL (NT430)Oxford Knee Score</v>
      </c>
      <c r="C5397" t="s">
        <v>975</v>
      </c>
      <c r="D5397" t="s">
        <v>965</v>
      </c>
      <c r="E5397" t="s">
        <v>472</v>
      </c>
      <c r="F5397" t="s">
        <v>473</v>
      </c>
      <c r="G5397" t="s">
        <v>972</v>
      </c>
      <c r="H5397">
        <v>1</v>
      </c>
      <c r="I5397">
        <v>19</v>
      </c>
      <c r="J5397">
        <v>43</v>
      </c>
      <c r="K5397">
        <v>24</v>
      </c>
      <c r="L5397">
        <v>1</v>
      </c>
      <c r="M5397">
        <v>0</v>
      </c>
      <c r="N5397">
        <v>0</v>
      </c>
      <c r="O5397" t="s">
        <v>127</v>
      </c>
      <c r="P5397" t="s">
        <v>127</v>
      </c>
      <c r="Q5397" t="s">
        <v>127</v>
      </c>
    </row>
    <row r="5398" spans="1:17" x14ac:dyDescent="0.25">
      <c r="A5398" t="str">
        <f>IF(C5398&amp;G5398&amp;D5398&lt;&gt;'Funnel setup'!$K$3&amp;'Funnel setup'!$K$4&amp;'Funnel setup'!$K$6,".",IF(A5397=".",1,A5397+1))</f>
        <v>.</v>
      </c>
      <c r="B5398" s="244" t="str">
        <f t="shared" si="84"/>
        <v>Total Knee ReplacementProviderRIVERS HOSPITAL (NVC19)Oxford Knee Score</v>
      </c>
      <c r="C5398" t="s">
        <v>975</v>
      </c>
      <c r="D5398" t="s">
        <v>965</v>
      </c>
      <c r="E5398" t="s">
        <v>474</v>
      </c>
      <c r="F5398" t="s">
        <v>475</v>
      </c>
      <c r="G5398" t="s">
        <v>972</v>
      </c>
      <c r="H5398">
        <v>38</v>
      </c>
      <c r="I5398">
        <v>21.447399999999998</v>
      </c>
      <c r="J5398">
        <v>39.578899999999997</v>
      </c>
      <c r="K5398">
        <v>18.131599999999999</v>
      </c>
      <c r="L5398">
        <v>36</v>
      </c>
      <c r="M5398">
        <v>0</v>
      </c>
      <c r="N5398">
        <v>2</v>
      </c>
      <c r="O5398">
        <v>37.46</v>
      </c>
      <c r="P5398">
        <v>18.191400000000002</v>
      </c>
      <c r="Q5398">
        <v>8.9683399999999995</v>
      </c>
    </row>
    <row r="5399" spans="1:17" x14ac:dyDescent="0.25">
      <c r="A5399" t="str">
        <f>IF(C5399&amp;G5399&amp;D5399&lt;&gt;'Funnel setup'!$K$3&amp;'Funnel setup'!$K$4&amp;'Funnel setup'!$K$6,".",IF(A5398=".",1,A5398+1))</f>
        <v>.</v>
      </c>
      <c r="B5399" s="244" t="str">
        <f t="shared" si="84"/>
        <v>Total Knee ReplacementProviderROWLEY HALL HOSPITAL (NVC17)Oxford Knee Score</v>
      </c>
      <c r="C5399" t="s">
        <v>975</v>
      </c>
      <c r="D5399" t="s">
        <v>965</v>
      </c>
      <c r="E5399" t="s">
        <v>476</v>
      </c>
      <c r="F5399" t="s">
        <v>477</v>
      </c>
      <c r="G5399" t="s">
        <v>972</v>
      </c>
      <c r="H5399">
        <v>43</v>
      </c>
      <c r="I5399">
        <v>18.590900000000001</v>
      </c>
      <c r="J5399">
        <v>36.590899999999998</v>
      </c>
      <c r="K5399">
        <v>18</v>
      </c>
      <c r="L5399">
        <v>42</v>
      </c>
      <c r="M5399">
        <v>0</v>
      </c>
      <c r="N5399">
        <v>1</v>
      </c>
      <c r="O5399">
        <v>36.431100000000001</v>
      </c>
      <c r="P5399">
        <v>17.162500000000001</v>
      </c>
      <c r="Q5399">
        <v>8.7476099999999999</v>
      </c>
    </row>
    <row r="5400" spans="1:17" x14ac:dyDescent="0.25">
      <c r="A5400" t="str">
        <f>IF(C5400&amp;G5400&amp;D5400&lt;&gt;'Funnel setup'!$K$3&amp;'Funnel setup'!$K$4&amp;'Funnel setup'!$K$6,".",IF(A5399=".",1,A5399+1))</f>
        <v>.</v>
      </c>
      <c r="B5400" s="244" t="str">
        <f t="shared" si="84"/>
        <v>Total Knee ReplacementProviderROYAL BERKSHIRE NHS FOUNDATION TRUST (RHW)Oxford Knee Score</v>
      </c>
      <c r="C5400" t="s">
        <v>975</v>
      </c>
      <c r="D5400" t="s">
        <v>965</v>
      </c>
      <c r="E5400" t="s">
        <v>478</v>
      </c>
      <c r="F5400" t="s">
        <v>479</v>
      </c>
      <c r="G5400" t="s">
        <v>972</v>
      </c>
      <c r="H5400">
        <v>7</v>
      </c>
      <c r="I5400">
        <v>17.142900000000001</v>
      </c>
      <c r="J5400">
        <v>34.857100000000003</v>
      </c>
      <c r="K5400">
        <v>17.714300000000001</v>
      </c>
      <c r="L5400">
        <v>7</v>
      </c>
      <c r="M5400">
        <v>0</v>
      </c>
      <c r="N5400">
        <v>0</v>
      </c>
      <c r="O5400" t="s">
        <v>127</v>
      </c>
      <c r="P5400" t="s">
        <v>127</v>
      </c>
      <c r="Q5400" t="s">
        <v>127</v>
      </c>
    </row>
    <row r="5401" spans="1:17" x14ac:dyDescent="0.25">
      <c r="A5401" t="str">
        <f>IF(C5401&amp;G5401&amp;D5401&lt;&gt;'Funnel setup'!$K$3&amp;'Funnel setup'!$K$4&amp;'Funnel setup'!$K$6,".",IF(A5400=".",1,A5400+1))</f>
        <v>.</v>
      </c>
      <c r="B5401" s="244" t="str">
        <f t="shared" si="84"/>
        <v>Total Knee ReplacementProviderROYAL CORNWALL HOSPITALS NHS TRUST (REF)Oxford Knee Score</v>
      </c>
      <c r="C5401" t="s">
        <v>975</v>
      </c>
      <c r="D5401" t="s">
        <v>965</v>
      </c>
      <c r="E5401" t="s">
        <v>480</v>
      </c>
      <c r="F5401" t="s">
        <v>481</v>
      </c>
      <c r="G5401" t="s">
        <v>972</v>
      </c>
      <c r="H5401">
        <v>42</v>
      </c>
      <c r="I5401">
        <v>21.595199999999998</v>
      </c>
      <c r="J5401">
        <v>38.547600000000003</v>
      </c>
      <c r="K5401">
        <v>16.952400000000001</v>
      </c>
      <c r="L5401">
        <v>41</v>
      </c>
      <c r="M5401">
        <v>0</v>
      </c>
      <c r="N5401">
        <v>1</v>
      </c>
      <c r="O5401">
        <v>38.349299999999999</v>
      </c>
      <c r="P5401">
        <v>19.0807</v>
      </c>
      <c r="Q5401">
        <v>7.1461699999999997</v>
      </c>
    </row>
    <row r="5402" spans="1:17" x14ac:dyDescent="0.25">
      <c r="A5402" t="str">
        <f>IF(C5402&amp;G5402&amp;D5402&lt;&gt;'Funnel setup'!$K$3&amp;'Funnel setup'!$K$4&amp;'Funnel setup'!$K$6,".",IF(A5401=".",1,A5401+1))</f>
        <v>.</v>
      </c>
      <c r="B5402" s="244" t="str">
        <f t="shared" si="84"/>
        <v>Total Knee ReplacementProviderROYAL DEVON UNIVERSITY HEALTHCARE NHS FOUNDATION TRUST (RH8)Oxford Knee Score</v>
      </c>
      <c r="C5402" t="s">
        <v>975</v>
      </c>
      <c r="D5402" t="s">
        <v>965</v>
      </c>
      <c r="E5402" t="s">
        <v>482</v>
      </c>
      <c r="F5402" t="s">
        <v>483</v>
      </c>
      <c r="G5402" t="s">
        <v>972</v>
      </c>
      <c r="H5402">
        <v>32</v>
      </c>
      <c r="I5402">
        <v>18.5625</v>
      </c>
      <c r="J5402">
        <v>34.031300000000002</v>
      </c>
      <c r="K5402">
        <v>15.4688</v>
      </c>
      <c r="L5402">
        <v>30</v>
      </c>
      <c r="M5402">
        <v>0</v>
      </c>
      <c r="N5402">
        <v>2</v>
      </c>
      <c r="O5402">
        <v>35.148499999999999</v>
      </c>
      <c r="P5402">
        <v>15.879899999999999</v>
      </c>
      <c r="Q5402">
        <v>7.9433499999999997</v>
      </c>
    </row>
    <row r="5403" spans="1:17" x14ac:dyDescent="0.25">
      <c r="A5403" t="str">
        <f>IF(C5403&amp;G5403&amp;D5403&lt;&gt;'Funnel setup'!$K$3&amp;'Funnel setup'!$K$4&amp;'Funnel setup'!$K$6,".",IF(A5402=".",1,A5402+1))</f>
        <v>.</v>
      </c>
      <c r="B5403" s="244" t="str">
        <f t="shared" si="84"/>
        <v>Total Knee ReplacementProviderROYAL NATIONAL ORTHOPAEDIC HOSPITAL NHS TRUST (RAN)Oxford Knee Score</v>
      </c>
      <c r="C5403" t="s">
        <v>975</v>
      </c>
      <c r="D5403" t="s">
        <v>965</v>
      </c>
      <c r="E5403" t="s">
        <v>486</v>
      </c>
      <c r="F5403" t="s">
        <v>487</v>
      </c>
      <c r="G5403" t="s">
        <v>972</v>
      </c>
      <c r="H5403">
        <v>109</v>
      </c>
      <c r="I5403">
        <v>18.825700000000001</v>
      </c>
      <c r="J5403">
        <v>30.862400000000001</v>
      </c>
      <c r="K5403">
        <v>12.0367</v>
      </c>
      <c r="L5403">
        <v>92</v>
      </c>
      <c r="M5403">
        <v>2</v>
      </c>
      <c r="N5403">
        <v>15</v>
      </c>
      <c r="O5403">
        <v>33.121299999999998</v>
      </c>
      <c r="P5403">
        <v>13.852600000000001</v>
      </c>
      <c r="Q5403">
        <v>8.9160799999999991</v>
      </c>
    </row>
    <row r="5404" spans="1:17" x14ac:dyDescent="0.25">
      <c r="A5404" t="str">
        <f>IF(C5404&amp;G5404&amp;D5404&lt;&gt;'Funnel setup'!$K$3&amp;'Funnel setup'!$K$4&amp;'Funnel setup'!$K$6,".",IF(A5403=".",1,A5403+1))</f>
        <v>.</v>
      </c>
      <c r="B5404" s="244" t="str">
        <f t="shared" si="84"/>
        <v>Total Knee ReplacementProviderROYAL SURREY COUNTY HOSPITAL NHS FOUNDATION TRUST (RA2)Oxford Knee Score</v>
      </c>
      <c r="C5404" t="s">
        <v>975</v>
      </c>
      <c r="D5404" t="s">
        <v>965</v>
      </c>
      <c r="E5404" t="s">
        <v>488</v>
      </c>
      <c r="F5404" t="s">
        <v>489</v>
      </c>
      <c r="G5404" t="s">
        <v>972</v>
      </c>
      <c r="H5404">
        <v>52</v>
      </c>
      <c r="I5404">
        <v>19.3462</v>
      </c>
      <c r="J5404">
        <v>37.653799999999997</v>
      </c>
      <c r="K5404">
        <v>18.307700000000001</v>
      </c>
      <c r="L5404">
        <v>50</v>
      </c>
      <c r="M5404">
        <v>1</v>
      </c>
      <c r="N5404">
        <v>1</v>
      </c>
      <c r="O5404">
        <v>37.125700000000002</v>
      </c>
      <c r="P5404">
        <v>17.856999999999999</v>
      </c>
      <c r="Q5404">
        <v>7.8317699999999997</v>
      </c>
    </row>
    <row r="5405" spans="1:17" x14ac:dyDescent="0.25">
      <c r="A5405" t="str">
        <f>IF(C5405&amp;G5405&amp;D5405&lt;&gt;'Funnel setup'!$K$3&amp;'Funnel setup'!$K$4&amp;'Funnel setup'!$K$6,".",IF(A5404=".",1,A5404+1))</f>
        <v>.</v>
      </c>
      <c r="B5405" s="244" t="str">
        <f t="shared" si="84"/>
        <v>Total Knee ReplacementProviderROYAL UNITED HOSPITALS BATH NHS FOUNDATION TRUST (RD1)Oxford Knee Score</v>
      </c>
      <c r="C5405" t="s">
        <v>975</v>
      </c>
      <c r="D5405" t="s">
        <v>965</v>
      </c>
      <c r="E5405" t="s">
        <v>490</v>
      </c>
      <c r="F5405" t="s">
        <v>491</v>
      </c>
      <c r="G5405" t="s">
        <v>972</v>
      </c>
      <c r="H5405">
        <v>14</v>
      </c>
      <c r="I5405">
        <v>17</v>
      </c>
      <c r="J5405">
        <v>37.857100000000003</v>
      </c>
      <c r="K5405">
        <v>20.857099999999999</v>
      </c>
      <c r="L5405">
        <v>14</v>
      </c>
      <c r="M5405">
        <v>0</v>
      </c>
      <c r="N5405">
        <v>0</v>
      </c>
      <c r="O5405" t="s">
        <v>127</v>
      </c>
      <c r="P5405" t="s">
        <v>127</v>
      </c>
      <c r="Q5405" t="s">
        <v>127</v>
      </c>
    </row>
    <row r="5406" spans="1:17" x14ac:dyDescent="0.25">
      <c r="A5406" t="str">
        <f>IF(C5406&amp;G5406&amp;D5406&lt;&gt;'Funnel setup'!$K$3&amp;'Funnel setup'!$K$4&amp;'Funnel setup'!$K$6,".",IF(A5405=".",1,A5405+1))</f>
        <v>.</v>
      </c>
      <c r="B5406" s="244" t="str">
        <f t="shared" si="84"/>
        <v>Total Knee ReplacementProviderRUNNYMEDE HOSPITAL (NT431)Oxford Knee Score</v>
      </c>
      <c r="C5406" t="s">
        <v>975</v>
      </c>
      <c r="D5406" t="s">
        <v>965</v>
      </c>
      <c r="E5406" t="s">
        <v>492</v>
      </c>
      <c r="F5406" t="s">
        <v>493</v>
      </c>
      <c r="G5406" t="s">
        <v>972</v>
      </c>
      <c r="H5406">
        <v>6</v>
      </c>
      <c r="I5406">
        <v>20</v>
      </c>
      <c r="J5406">
        <v>39.333300000000001</v>
      </c>
      <c r="K5406">
        <v>19.333300000000001</v>
      </c>
      <c r="L5406">
        <v>6</v>
      </c>
      <c r="M5406">
        <v>0</v>
      </c>
      <c r="N5406">
        <v>0</v>
      </c>
      <c r="O5406" t="s">
        <v>127</v>
      </c>
      <c r="P5406" t="s">
        <v>127</v>
      </c>
      <c r="Q5406" t="s">
        <v>127</v>
      </c>
    </row>
    <row r="5407" spans="1:17" x14ac:dyDescent="0.25">
      <c r="A5407" t="str">
        <f>IF(C5407&amp;G5407&amp;D5407&lt;&gt;'Funnel setup'!$K$3&amp;'Funnel setup'!$K$4&amp;'Funnel setup'!$K$6,".",IF(A5406=".",1,A5406+1))</f>
        <v>.</v>
      </c>
      <c r="B5407" s="244" t="str">
        <f t="shared" si="84"/>
        <v>Total Knee ReplacementProviderSALISBURY NHS FOUNDATION TRUST (RNZ)Oxford Knee Score</v>
      </c>
      <c r="C5407" t="s">
        <v>975</v>
      </c>
      <c r="D5407" t="s">
        <v>965</v>
      </c>
      <c r="E5407" t="s">
        <v>494</v>
      </c>
      <c r="F5407" t="s">
        <v>495</v>
      </c>
      <c r="G5407" t="s">
        <v>972</v>
      </c>
      <c r="H5407">
        <v>1</v>
      </c>
      <c r="I5407">
        <v>11</v>
      </c>
      <c r="J5407">
        <v>45</v>
      </c>
      <c r="K5407">
        <v>34</v>
      </c>
      <c r="L5407">
        <v>1</v>
      </c>
      <c r="M5407">
        <v>0</v>
      </c>
      <c r="N5407">
        <v>0</v>
      </c>
      <c r="O5407" t="s">
        <v>127</v>
      </c>
      <c r="P5407" t="s">
        <v>127</v>
      </c>
      <c r="Q5407" t="s">
        <v>127</v>
      </c>
    </row>
    <row r="5408" spans="1:17" x14ac:dyDescent="0.25">
      <c r="A5408" t="str">
        <f>IF(C5408&amp;G5408&amp;D5408&lt;&gt;'Funnel setup'!$K$3&amp;'Funnel setup'!$K$4&amp;'Funnel setup'!$K$6,".",IF(A5407=".",1,A5407+1))</f>
        <v>.</v>
      </c>
      <c r="B5408" s="244" t="str">
        <f t="shared" si="84"/>
        <v>Total Knee ReplacementProviderSANDWELL AND WEST BIRMINGHAM HOSPITALS NHS TRUST (RXK)Oxford Knee Score</v>
      </c>
      <c r="C5408" t="s">
        <v>975</v>
      </c>
      <c r="D5408" t="s">
        <v>965</v>
      </c>
      <c r="E5408" t="s">
        <v>496</v>
      </c>
      <c r="F5408" t="s">
        <v>497</v>
      </c>
      <c r="G5408" t="s">
        <v>972</v>
      </c>
      <c r="H5408">
        <v>74</v>
      </c>
      <c r="I5408">
        <v>16.635100000000001</v>
      </c>
      <c r="J5408">
        <v>31.621600000000001</v>
      </c>
      <c r="K5408">
        <v>14.986499999999999</v>
      </c>
      <c r="L5408">
        <v>65</v>
      </c>
      <c r="M5408">
        <v>0</v>
      </c>
      <c r="N5408">
        <v>9</v>
      </c>
      <c r="O5408">
        <v>34.666600000000003</v>
      </c>
      <c r="P5408">
        <v>15.398</v>
      </c>
      <c r="Q5408">
        <v>9.9031699999999994</v>
      </c>
    </row>
    <row r="5409" spans="1:17" x14ac:dyDescent="0.25">
      <c r="A5409" t="str">
        <f>IF(C5409&amp;G5409&amp;D5409&lt;&gt;'Funnel setup'!$K$3&amp;'Funnel setup'!$K$4&amp;'Funnel setup'!$K$6,".",IF(A5408=".",1,A5408+1))</f>
        <v>.</v>
      </c>
      <c r="B5409" s="244" t="str">
        <f t="shared" si="84"/>
        <v>Total Knee ReplacementProviderSARUM ROAD HOSPITAL (NT433)Oxford Knee Score</v>
      </c>
      <c r="C5409" t="s">
        <v>975</v>
      </c>
      <c r="D5409" t="s">
        <v>965</v>
      </c>
      <c r="E5409" t="s">
        <v>498</v>
      </c>
      <c r="F5409" t="s">
        <v>499</v>
      </c>
      <c r="G5409" t="s">
        <v>972</v>
      </c>
      <c r="H5409">
        <v>28</v>
      </c>
      <c r="I5409">
        <v>21.857099999999999</v>
      </c>
      <c r="J5409">
        <v>41.214300000000001</v>
      </c>
      <c r="K5409">
        <v>19.357099999999999</v>
      </c>
      <c r="L5409">
        <v>28</v>
      </c>
      <c r="M5409">
        <v>0</v>
      </c>
      <c r="N5409">
        <v>0</v>
      </c>
      <c r="O5409" t="s">
        <v>127</v>
      </c>
      <c r="P5409" t="s">
        <v>127</v>
      </c>
      <c r="Q5409" t="s">
        <v>127</v>
      </c>
    </row>
    <row r="5410" spans="1:17" x14ac:dyDescent="0.25">
      <c r="A5410" t="str">
        <f>IF(C5410&amp;G5410&amp;D5410&lt;&gt;'Funnel setup'!$K$3&amp;'Funnel setup'!$K$4&amp;'Funnel setup'!$K$6,".",IF(A5409=".",1,A5409+1))</f>
        <v>.</v>
      </c>
      <c r="B5410" s="244" t="str">
        <f t="shared" si="84"/>
        <v>Total Knee ReplacementProviderSAXON CLINIC (NT434)Oxford Knee Score</v>
      </c>
      <c r="C5410" t="s">
        <v>975</v>
      </c>
      <c r="D5410" t="s">
        <v>965</v>
      </c>
      <c r="E5410" t="s">
        <v>500</v>
      </c>
      <c r="F5410" t="s">
        <v>501</v>
      </c>
      <c r="G5410" t="s">
        <v>972</v>
      </c>
      <c r="H5410">
        <v>13</v>
      </c>
      <c r="I5410">
        <v>16.384599999999999</v>
      </c>
      <c r="J5410">
        <v>35</v>
      </c>
      <c r="K5410">
        <v>18.615400000000001</v>
      </c>
      <c r="L5410">
        <v>12</v>
      </c>
      <c r="M5410">
        <v>0</v>
      </c>
      <c r="N5410">
        <v>1</v>
      </c>
      <c r="O5410" t="s">
        <v>127</v>
      </c>
      <c r="P5410" t="s">
        <v>127</v>
      </c>
      <c r="Q5410" t="s">
        <v>127</v>
      </c>
    </row>
    <row r="5411" spans="1:17" x14ac:dyDescent="0.25">
      <c r="A5411" t="str">
        <f>IF(C5411&amp;G5411&amp;D5411&lt;&gt;'Funnel setup'!$K$3&amp;'Funnel setup'!$K$4&amp;'Funnel setup'!$K$6,".",IF(A5410=".",1,A5410+1))</f>
        <v>.</v>
      </c>
      <c r="B5411" s="244" t="str">
        <f t="shared" si="84"/>
        <v>Total Knee ReplacementProviderSHEFFIELD TEACHING HOSPITALS NHS FOUNDATION TRUST (RHQ)Oxford Knee Score</v>
      </c>
      <c r="C5411" t="s">
        <v>975</v>
      </c>
      <c r="D5411" t="s">
        <v>965</v>
      </c>
      <c r="E5411" t="s">
        <v>506</v>
      </c>
      <c r="F5411" t="s">
        <v>507</v>
      </c>
      <c r="G5411" t="s">
        <v>972</v>
      </c>
      <c r="H5411">
        <v>36</v>
      </c>
      <c r="I5411">
        <v>19.6111</v>
      </c>
      <c r="J5411">
        <v>37.666699999999999</v>
      </c>
      <c r="K5411">
        <v>18.055599999999998</v>
      </c>
      <c r="L5411">
        <v>34</v>
      </c>
      <c r="M5411">
        <v>0</v>
      </c>
      <c r="N5411">
        <v>2</v>
      </c>
      <c r="O5411">
        <v>37.023000000000003</v>
      </c>
      <c r="P5411">
        <v>17.7544</v>
      </c>
      <c r="Q5411">
        <v>7.9144199999999998</v>
      </c>
    </row>
    <row r="5412" spans="1:17" x14ac:dyDescent="0.25">
      <c r="A5412" t="str">
        <f>IF(C5412&amp;G5412&amp;D5412&lt;&gt;'Funnel setup'!$K$3&amp;'Funnel setup'!$K$4&amp;'Funnel setup'!$K$6,".",IF(A5411=".",1,A5411+1))</f>
        <v>.</v>
      </c>
      <c r="B5412" s="244" t="str">
        <f t="shared" si="84"/>
        <v>Total Knee ReplacementProviderSHERWOOD FOREST HOSPITALS NHS FOUNDATION TRUST (RK5)Oxford Knee Score</v>
      </c>
      <c r="C5412" t="s">
        <v>975</v>
      </c>
      <c r="D5412" t="s">
        <v>965</v>
      </c>
      <c r="E5412" t="s">
        <v>508</v>
      </c>
      <c r="F5412" t="s">
        <v>509</v>
      </c>
      <c r="G5412" t="s">
        <v>972</v>
      </c>
      <c r="H5412">
        <v>70</v>
      </c>
      <c r="I5412">
        <v>17.485700000000001</v>
      </c>
      <c r="J5412">
        <v>35.4</v>
      </c>
      <c r="K5412">
        <v>17.914300000000001</v>
      </c>
      <c r="L5412">
        <v>67</v>
      </c>
      <c r="M5412">
        <v>0</v>
      </c>
      <c r="N5412">
        <v>3</v>
      </c>
      <c r="O5412">
        <v>36.354999999999997</v>
      </c>
      <c r="P5412">
        <v>17.086400000000001</v>
      </c>
      <c r="Q5412">
        <v>8.8945600000000002</v>
      </c>
    </row>
    <row r="5413" spans="1:17" x14ac:dyDescent="0.25">
      <c r="A5413" t="str">
        <f>IF(C5413&amp;G5413&amp;D5413&lt;&gt;'Funnel setup'!$K$3&amp;'Funnel setup'!$K$4&amp;'Funnel setup'!$K$6,".",IF(A5412=".",1,A5412+1))</f>
        <v>.</v>
      </c>
      <c r="B5413" s="244" t="str">
        <f t="shared" si="84"/>
        <v>Total Knee ReplacementProviderSHIRLEY OAKS HOSPITAL (NT436)Oxford Knee Score</v>
      </c>
      <c r="C5413" t="s">
        <v>975</v>
      </c>
      <c r="D5413" t="s">
        <v>965</v>
      </c>
      <c r="E5413" t="s">
        <v>510</v>
      </c>
      <c r="F5413" t="s">
        <v>511</v>
      </c>
      <c r="G5413" t="s">
        <v>972</v>
      </c>
      <c r="H5413">
        <v>3</v>
      </c>
      <c r="I5413">
        <v>24</v>
      </c>
      <c r="J5413">
        <v>36.333300000000001</v>
      </c>
      <c r="K5413">
        <v>12.333299999999999</v>
      </c>
      <c r="L5413">
        <v>3</v>
      </c>
      <c r="M5413">
        <v>0</v>
      </c>
      <c r="N5413">
        <v>0</v>
      </c>
      <c r="O5413" t="s">
        <v>127</v>
      </c>
      <c r="P5413" t="s">
        <v>127</v>
      </c>
      <c r="Q5413" t="s">
        <v>127</v>
      </c>
    </row>
    <row r="5414" spans="1:17" x14ac:dyDescent="0.25">
      <c r="A5414" t="str">
        <f>IF(C5414&amp;G5414&amp;D5414&lt;&gt;'Funnel setup'!$K$3&amp;'Funnel setup'!$K$4&amp;'Funnel setup'!$K$6,".",IF(A5413=".",1,A5413+1))</f>
        <v>.</v>
      </c>
      <c r="B5414" s="244" t="str">
        <f t="shared" si="84"/>
        <v>Total Knee ReplacementProviderSOUTH TEES HOSPITALS NHS FOUNDATION TRUST (RTR)Oxford Knee Score</v>
      </c>
      <c r="C5414" t="s">
        <v>975</v>
      </c>
      <c r="D5414" t="s">
        <v>965</v>
      </c>
      <c r="E5414" t="s">
        <v>516</v>
      </c>
      <c r="F5414" t="s">
        <v>517</v>
      </c>
      <c r="G5414" t="s">
        <v>972</v>
      </c>
      <c r="H5414">
        <v>129</v>
      </c>
      <c r="I5414">
        <v>15.1783</v>
      </c>
      <c r="J5414">
        <v>35.426400000000001</v>
      </c>
      <c r="K5414">
        <v>20.248100000000001</v>
      </c>
      <c r="L5414">
        <v>123</v>
      </c>
      <c r="M5414">
        <v>2</v>
      </c>
      <c r="N5414">
        <v>4</v>
      </c>
      <c r="O5414">
        <v>37.809800000000003</v>
      </c>
      <c r="P5414">
        <v>18.5411</v>
      </c>
      <c r="Q5414">
        <v>9.6609400000000001</v>
      </c>
    </row>
    <row r="5415" spans="1:17" x14ac:dyDescent="0.25">
      <c r="A5415" t="str">
        <f>IF(C5415&amp;G5415&amp;D5415&lt;&gt;'Funnel setup'!$K$3&amp;'Funnel setup'!$K$4&amp;'Funnel setup'!$K$6,".",IF(A5414=".",1,A5414+1))</f>
        <v>.</v>
      </c>
      <c r="B5415" s="244" t="str">
        <f t="shared" si="84"/>
        <v>Total Knee ReplacementProviderSOUTH TYNESIDE AND SUNDERLAND NHS FOUNDATION TRUST (R0B)Oxford Knee Score</v>
      </c>
      <c r="C5415" t="s">
        <v>975</v>
      </c>
      <c r="D5415" t="s">
        <v>965</v>
      </c>
      <c r="E5415" t="s">
        <v>518</v>
      </c>
      <c r="F5415" t="s">
        <v>519</v>
      </c>
      <c r="G5415" t="s">
        <v>972</v>
      </c>
      <c r="H5415">
        <v>7</v>
      </c>
      <c r="I5415">
        <v>16.285699999999999</v>
      </c>
      <c r="J5415">
        <v>30.428599999999999</v>
      </c>
      <c r="K5415">
        <v>14.142899999999999</v>
      </c>
      <c r="L5415">
        <v>5</v>
      </c>
      <c r="M5415">
        <v>0</v>
      </c>
      <c r="N5415">
        <v>2</v>
      </c>
      <c r="O5415" t="s">
        <v>127</v>
      </c>
      <c r="P5415" t="s">
        <v>127</v>
      </c>
      <c r="Q5415" t="s">
        <v>127</v>
      </c>
    </row>
    <row r="5416" spans="1:17" x14ac:dyDescent="0.25">
      <c r="A5416" t="str">
        <f>IF(C5416&amp;G5416&amp;D5416&lt;&gt;'Funnel setup'!$K$3&amp;'Funnel setup'!$K$4&amp;'Funnel setup'!$K$6,".",IF(A5415=".",1,A5415+1))</f>
        <v>.</v>
      </c>
      <c r="B5416" s="244" t="str">
        <f t="shared" si="84"/>
        <v>Total Knee ReplacementProviderSOUTH WARWICKSHIRE UNIVERSITY NHS FOUNDATION TRUST (RJC)Oxford Knee Score</v>
      </c>
      <c r="C5416" t="s">
        <v>975</v>
      </c>
      <c r="D5416" t="s">
        <v>965</v>
      </c>
      <c r="E5416" t="s">
        <v>520</v>
      </c>
      <c r="F5416" t="s">
        <v>521</v>
      </c>
      <c r="G5416" t="s">
        <v>972</v>
      </c>
      <c r="H5416">
        <v>157</v>
      </c>
      <c r="I5416">
        <v>21.082799999999999</v>
      </c>
      <c r="J5416">
        <v>38.528700000000001</v>
      </c>
      <c r="K5416">
        <v>17.445900000000002</v>
      </c>
      <c r="L5416">
        <v>150</v>
      </c>
      <c r="M5416">
        <v>1</v>
      </c>
      <c r="N5416">
        <v>6</v>
      </c>
      <c r="O5416">
        <v>37.543100000000003</v>
      </c>
      <c r="P5416">
        <v>18.2744</v>
      </c>
      <c r="Q5416">
        <v>8.7255000000000003</v>
      </c>
    </row>
    <row r="5417" spans="1:17" x14ac:dyDescent="0.25">
      <c r="A5417" t="str">
        <f>IF(C5417&amp;G5417&amp;D5417&lt;&gt;'Funnel setup'!$K$3&amp;'Funnel setup'!$K$4&amp;'Funnel setup'!$K$6,".",IF(A5416=".",1,A5416+1))</f>
        <v>.</v>
      </c>
      <c r="B5417" s="244" t="str">
        <f t="shared" si="84"/>
        <v>Total Knee ReplacementProviderSOUTHPORT AND ORMSKIRK HOSPITAL NHS TRUST (RVY)Oxford Knee Score</v>
      </c>
      <c r="C5417" t="s">
        <v>975</v>
      </c>
      <c r="D5417" t="s">
        <v>965</v>
      </c>
      <c r="E5417" t="s">
        <v>522</v>
      </c>
      <c r="F5417" t="s">
        <v>523</v>
      </c>
      <c r="G5417" t="s">
        <v>972</v>
      </c>
      <c r="H5417">
        <v>12</v>
      </c>
      <c r="I5417">
        <v>18.833300000000001</v>
      </c>
      <c r="J5417">
        <v>39.333300000000001</v>
      </c>
      <c r="K5417">
        <v>20.5</v>
      </c>
      <c r="L5417">
        <v>12</v>
      </c>
      <c r="M5417">
        <v>0</v>
      </c>
      <c r="N5417">
        <v>0</v>
      </c>
      <c r="O5417" t="s">
        <v>127</v>
      </c>
      <c r="P5417" t="s">
        <v>127</v>
      </c>
      <c r="Q5417" t="s">
        <v>127</v>
      </c>
    </row>
    <row r="5418" spans="1:17" x14ac:dyDescent="0.25">
      <c r="A5418" t="str">
        <f>IF(C5418&amp;G5418&amp;D5418&lt;&gt;'Funnel setup'!$K$3&amp;'Funnel setup'!$K$4&amp;'Funnel setup'!$K$6,".",IF(A5417=".",1,A5417+1))</f>
        <v>.</v>
      </c>
      <c r="B5418" s="244" t="str">
        <f t="shared" si="84"/>
        <v>Total Knee ReplacementProviderSPENCER PRIVATE HOSPITALS - MARGATE (NN801)Oxford Knee Score</v>
      </c>
      <c r="C5418" t="s">
        <v>975</v>
      </c>
      <c r="D5418" t="s">
        <v>965</v>
      </c>
      <c r="E5418" t="s">
        <v>526</v>
      </c>
      <c r="F5418" t="s">
        <v>527</v>
      </c>
      <c r="G5418" t="s">
        <v>972</v>
      </c>
      <c r="H5418">
        <v>18</v>
      </c>
      <c r="I5418">
        <v>17.6111</v>
      </c>
      <c r="J5418">
        <v>38.666699999999999</v>
      </c>
      <c r="K5418">
        <v>21.055599999999998</v>
      </c>
      <c r="L5418">
        <v>17</v>
      </c>
      <c r="M5418">
        <v>1</v>
      </c>
      <c r="N5418">
        <v>0</v>
      </c>
      <c r="O5418" t="s">
        <v>127</v>
      </c>
      <c r="P5418" t="s">
        <v>127</v>
      </c>
      <c r="Q5418" t="s">
        <v>127</v>
      </c>
    </row>
    <row r="5419" spans="1:17" x14ac:dyDescent="0.25">
      <c r="A5419" t="str">
        <f>IF(C5419&amp;G5419&amp;D5419&lt;&gt;'Funnel setup'!$K$3&amp;'Funnel setup'!$K$4&amp;'Funnel setup'!$K$6,".",IF(A5418=".",1,A5418+1))</f>
        <v>.</v>
      </c>
      <c r="B5419" s="244" t="str">
        <f t="shared" si="84"/>
        <v>Total Knee ReplacementProviderSPIRE ALEXANDRA HOSPITAL (NT312)Oxford Knee Score</v>
      </c>
      <c r="C5419" t="s">
        <v>975</v>
      </c>
      <c r="D5419" t="s">
        <v>965</v>
      </c>
      <c r="E5419" t="s">
        <v>528</v>
      </c>
      <c r="F5419" t="s">
        <v>529</v>
      </c>
      <c r="G5419" t="s">
        <v>972</v>
      </c>
      <c r="H5419">
        <v>26</v>
      </c>
      <c r="I5419">
        <v>24.8462</v>
      </c>
      <c r="J5419">
        <v>37.846200000000003</v>
      </c>
      <c r="K5419">
        <v>13</v>
      </c>
      <c r="L5419">
        <v>24</v>
      </c>
      <c r="M5419">
        <v>2</v>
      </c>
      <c r="N5419">
        <v>0</v>
      </c>
      <c r="O5419" t="s">
        <v>127</v>
      </c>
      <c r="P5419" t="s">
        <v>127</v>
      </c>
      <c r="Q5419" t="s">
        <v>127</v>
      </c>
    </row>
    <row r="5420" spans="1:17" x14ac:dyDescent="0.25">
      <c r="A5420" t="str">
        <f>IF(C5420&amp;G5420&amp;D5420&lt;&gt;'Funnel setup'!$K$3&amp;'Funnel setup'!$K$4&amp;'Funnel setup'!$K$6,".",IF(A5419=".",1,A5419+1))</f>
        <v>.</v>
      </c>
      <c r="B5420" s="244" t="str">
        <f t="shared" si="84"/>
        <v>Total Knee ReplacementProviderSPIRE BRISTOL HOSPITAL (NT302)Oxford Knee Score</v>
      </c>
      <c r="C5420" t="s">
        <v>975</v>
      </c>
      <c r="D5420" t="s">
        <v>965</v>
      </c>
      <c r="E5420" t="s">
        <v>530</v>
      </c>
      <c r="F5420" t="s">
        <v>531</v>
      </c>
      <c r="G5420" t="s">
        <v>972</v>
      </c>
      <c r="H5420">
        <v>59</v>
      </c>
      <c r="I5420">
        <v>19.915299999999998</v>
      </c>
      <c r="J5420">
        <v>38.338999999999999</v>
      </c>
      <c r="K5420">
        <v>18.4237</v>
      </c>
      <c r="L5420">
        <v>57</v>
      </c>
      <c r="M5420">
        <v>1</v>
      </c>
      <c r="N5420">
        <v>1</v>
      </c>
      <c r="O5420">
        <v>37.560400000000001</v>
      </c>
      <c r="P5420">
        <v>18.291699999999999</v>
      </c>
      <c r="Q5420">
        <v>7.8275399999999999</v>
      </c>
    </row>
    <row r="5421" spans="1:17" x14ac:dyDescent="0.25">
      <c r="A5421" t="str">
        <f>IF(C5421&amp;G5421&amp;D5421&lt;&gt;'Funnel setup'!$K$3&amp;'Funnel setup'!$K$4&amp;'Funnel setup'!$K$6,".",IF(A5420=".",1,A5420+1))</f>
        <v>.</v>
      </c>
      <c r="B5421" s="244" t="str">
        <f t="shared" si="84"/>
        <v>Total Knee ReplacementProviderSPIRE BUSHEY HOSPITAL (NT315)Oxford Knee Score</v>
      </c>
      <c r="C5421" t="s">
        <v>975</v>
      </c>
      <c r="D5421" t="s">
        <v>965</v>
      </c>
      <c r="E5421" t="s">
        <v>532</v>
      </c>
      <c r="F5421" t="s">
        <v>533</v>
      </c>
      <c r="G5421" t="s">
        <v>972</v>
      </c>
      <c r="H5421">
        <v>5</v>
      </c>
      <c r="I5421">
        <v>23.6</v>
      </c>
      <c r="J5421">
        <v>37.200000000000003</v>
      </c>
      <c r="K5421">
        <v>13.6</v>
      </c>
      <c r="L5421">
        <v>5</v>
      </c>
      <c r="M5421">
        <v>0</v>
      </c>
      <c r="N5421">
        <v>0</v>
      </c>
      <c r="O5421" t="s">
        <v>127</v>
      </c>
      <c r="P5421" t="s">
        <v>127</v>
      </c>
      <c r="Q5421" t="s">
        <v>127</v>
      </c>
    </row>
    <row r="5422" spans="1:17" x14ac:dyDescent="0.25">
      <c r="A5422" t="str">
        <f>IF(C5422&amp;G5422&amp;D5422&lt;&gt;'Funnel setup'!$K$3&amp;'Funnel setup'!$K$4&amp;'Funnel setup'!$K$6,".",IF(A5421=".",1,A5421+1))</f>
        <v>.</v>
      </c>
      <c r="B5422" s="244" t="str">
        <f t="shared" si="84"/>
        <v>Total Knee ReplacementProviderSPIRE CAMBRIDGE LEA HOSPITAL (NT317)Oxford Knee Score</v>
      </c>
      <c r="C5422" t="s">
        <v>975</v>
      </c>
      <c r="D5422" t="s">
        <v>965</v>
      </c>
      <c r="E5422" t="s">
        <v>534</v>
      </c>
      <c r="F5422" t="s">
        <v>535</v>
      </c>
      <c r="G5422" t="s">
        <v>972</v>
      </c>
      <c r="H5422">
        <v>29</v>
      </c>
      <c r="I5422">
        <v>20.103400000000001</v>
      </c>
      <c r="J5422">
        <v>35.965499999999999</v>
      </c>
      <c r="K5422">
        <v>15.8621</v>
      </c>
      <c r="L5422">
        <v>28</v>
      </c>
      <c r="M5422">
        <v>0</v>
      </c>
      <c r="N5422">
        <v>1</v>
      </c>
      <c r="O5422" t="s">
        <v>127</v>
      </c>
      <c r="P5422" t="s">
        <v>127</v>
      </c>
      <c r="Q5422" t="s">
        <v>127</v>
      </c>
    </row>
    <row r="5423" spans="1:17" x14ac:dyDescent="0.25">
      <c r="A5423" t="str">
        <f>IF(C5423&amp;G5423&amp;D5423&lt;&gt;'Funnel setup'!$K$3&amp;'Funnel setup'!$K$4&amp;'Funnel setup'!$K$6,".",IF(A5422=".",1,A5422+1))</f>
        <v>.</v>
      </c>
      <c r="B5423" s="244" t="str">
        <f t="shared" si="84"/>
        <v>Total Knee ReplacementProviderSPIRE CHESHIRE HOSPITAL (NT324)Oxford Knee Score</v>
      </c>
      <c r="C5423" t="s">
        <v>975</v>
      </c>
      <c r="D5423" t="s">
        <v>965</v>
      </c>
      <c r="E5423" t="s">
        <v>536</v>
      </c>
      <c r="F5423" t="s">
        <v>537</v>
      </c>
      <c r="G5423" t="s">
        <v>972</v>
      </c>
      <c r="H5423">
        <v>31</v>
      </c>
      <c r="I5423">
        <v>20.4194</v>
      </c>
      <c r="J5423">
        <v>40.128999999999998</v>
      </c>
      <c r="K5423">
        <v>19.709700000000002</v>
      </c>
      <c r="L5423">
        <v>30</v>
      </c>
      <c r="M5423">
        <v>0</v>
      </c>
      <c r="N5423">
        <v>1</v>
      </c>
      <c r="O5423">
        <v>38.900300000000001</v>
      </c>
      <c r="P5423">
        <v>19.631599999999999</v>
      </c>
      <c r="Q5423">
        <v>6.6405000000000003</v>
      </c>
    </row>
    <row r="5424" spans="1:17" x14ac:dyDescent="0.25">
      <c r="A5424" t="str">
        <f>IF(C5424&amp;G5424&amp;D5424&lt;&gt;'Funnel setup'!$K$3&amp;'Funnel setup'!$K$4&amp;'Funnel setup'!$K$6,".",IF(A5423=".",1,A5423+1))</f>
        <v>.</v>
      </c>
      <c r="B5424" s="244" t="str">
        <f t="shared" si="84"/>
        <v>Total Knee ReplacementProviderSPIRE CLARE PARK HOSPITAL (NT345)Oxford Knee Score</v>
      </c>
      <c r="C5424" t="s">
        <v>975</v>
      </c>
      <c r="D5424" t="s">
        <v>965</v>
      </c>
      <c r="E5424" t="s">
        <v>538</v>
      </c>
      <c r="F5424" t="s">
        <v>539</v>
      </c>
      <c r="G5424" t="s">
        <v>972</v>
      </c>
      <c r="H5424">
        <v>15</v>
      </c>
      <c r="I5424">
        <v>23.2667</v>
      </c>
      <c r="J5424">
        <v>36.7333</v>
      </c>
      <c r="K5424">
        <v>13.466699999999999</v>
      </c>
      <c r="L5424">
        <v>14</v>
      </c>
      <c r="M5424">
        <v>1</v>
      </c>
      <c r="N5424">
        <v>0</v>
      </c>
      <c r="O5424" t="s">
        <v>127</v>
      </c>
      <c r="P5424" t="s">
        <v>127</v>
      </c>
      <c r="Q5424" t="s">
        <v>127</v>
      </c>
    </row>
    <row r="5425" spans="1:17" x14ac:dyDescent="0.25">
      <c r="A5425" t="str">
        <f>IF(C5425&amp;G5425&amp;D5425&lt;&gt;'Funnel setup'!$K$3&amp;'Funnel setup'!$K$4&amp;'Funnel setup'!$K$6,".",IF(A5424=".",1,A5424+1))</f>
        <v>.</v>
      </c>
      <c r="B5425" s="244" t="str">
        <f t="shared" si="84"/>
        <v>Total Knee ReplacementProviderSPIRE DUNEDIN HOSPITAL (NT344)Oxford Knee Score</v>
      </c>
      <c r="C5425" t="s">
        <v>975</v>
      </c>
      <c r="D5425" t="s">
        <v>965</v>
      </c>
      <c r="E5425" t="s">
        <v>540</v>
      </c>
      <c r="F5425" t="s">
        <v>541</v>
      </c>
      <c r="G5425" t="s">
        <v>972</v>
      </c>
      <c r="H5425">
        <v>2</v>
      </c>
      <c r="I5425">
        <v>24.5</v>
      </c>
      <c r="J5425">
        <v>36.5</v>
      </c>
      <c r="K5425">
        <v>12</v>
      </c>
      <c r="L5425">
        <v>2</v>
      </c>
      <c r="M5425">
        <v>0</v>
      </c>
      <c r="N5425">
        <v>0</v>
      </c>
      <c r="O5425" t="s">
        <v>127</v>
      </c>
      <c r="P5425" t="s">
        <v>127</v>
      </c>
      <c r="Q5425" t="s">
        <v>127</v>
      </c>
    </row>
    <row r="5426" spans="1:17" x14ac:dyDescent="0.25">
      <c r="A5426" t="str">
        <f>IF(C5426&amp;G5426&amp;D5426&lt;&gt;'Funnel setup'!$K$3&amp;'Funnel setup'!$K$4&amp;'Funnel setup'!$K$6,".",IF(A5425=".",1,A5425+1))</f>
        <v>.</v>
      </c>
      <c r="B5426" s="244" t="str">
        <f t="shared" si="84"/>
        <v>Total Knee ReplacementProviderSPIRE ELLAND HOSPITAL (NT348)Oxford Knee Score</v>
      </c>
      <c r="C5426" t="s">
        <v>975</v>
      </c>
      <c r="D5426" t="s">
        <v>965</v>
      </c>
      <c r="E5426" t="s">
        <v>542</v>
      </c>
      <c r="F5426" t="s">
        <v>543</v>
      </c>
      <c r="G5426" t="s">
        <v>972</v>
      </c>
      <c r="H5426">
        <v>19</v>
      </c>
      <c r="I5426">
        <v>22.578900000000001</v>
      </c>
      <c r="J5426">
        <v>38.578899999999997</v>
      </c>
      <c r="K5426">
        <v>16</v>
      </c>
      <c r="L5426">
        <v>17</v>
      </c>
      <c r="M5426">
        <v>0</v>
      </c>
      <c r="N5426">
        <v>2</v>
      </c>
      <c r="O5426" t="s">
        <v>127</v>
      </c>
      <c r="P5426" t="s">
        <v>127</v>
      </c>
      <c r="Q5426" t="s">
        <v>127</v>
      </c>
    </row>
    <row r="5427" spans="1:17" x14ac:dyDescent="0.25">
      <c r="A5427" t="str">
        <f>IF(C5427&amp;G5427&amp;D5427&lt;&gt;'Funnel setup'!$K$3&amp;'Funnel setup'!$K$4&amp;'Funnel setup'!$K$6,".",IF(A5426=".",1,A5426+1))</f>
        <v>.</v>
      </c>
      <c r="B5427" s="244" t="str">
        <f t="shared" si="84"/>
        <v>Total Knee ReplacementProviderSPIRE FYLDE COAST HOSPITAL (NT347)Oxford Knee Score</v>
      </c>
      <c r="C5427" t="s">
        <v>975</v>
      </c>
      <c r="D5427" t="s">
        <v>965</v>
      </c>
      <c r="E5427" t="s">
        <v>544</v>
      </c>
      <c r="F5427" t="s">
        <v>545</v>
      </c>
      <c r="G5427" t="s">
        <v>972</v>
      </c>
      <c r="H5427">
        <v>27</v>
      </c>
      <c r="I5427">
        <v>21.857099999999999</v>
      </c>
      <c r="J5427">
        <v>36.321399999999997</v>
      </c>
      <c r="K5427">
        <v>14.4643</v>
      </c>
      <c r="L5427">
        <v>26</v>
      </c>
      <c r="M5427">
        <v>0</v>
      </c>
      <c r="N5427">
        <v>1</v>
      </c>
      <c r="O5427" t="s">
        <v>127</v>
      </c>
      <c r="P5427" t="s">
        <v>127</v>
      </c>
      <c r="Q5427" t="s">
        <v>127</v>
      </c>
    </row>
    <row r="5428" spans="1:17" x14ac:dyDescent="0.25">
      <c r="A5428" t="str">
        <f>IF(C5428&amp;G5428&amp;D5428&lt;&gt;'Funnel setup'!$K$3&amp;'Funnel setup'!$K$4&amp;'Funnel setup'!$K$6,".",IF(A5427=".",1,A5427+1))</f>
        <v>.</v>
      </c>
      <c r="B5428" s="244" t="str">
        <f t="shared" si="84"/>
        <v>Total Knee ReplacementProviderSPIRE GATWICK PARK HOSPITAL (NT308)Oxford Knee Score</v>
      </c>
      <c r="C5428" t="s">
        <v>975</v>
      </c>
      <c r="D5428" t="s">
        <v>965</v>
      </c>
      <c r="E5428" t="s">
        <v>546</v>
      </c>
      <c r="F5428" t="s">
        <v>547</v>
      </c>
      <c r="G5428" t="s">
        <v>972</v>
      </c>
      <c r="H5428">
        <v>6</v>
      </c>
      <c r="I5428">
        <v>23.5</v>
      </c>
      <c r="J5428">
        <v>36</v>
      </c>
      <c r="K5428">
        <v>12.5</v>
      </c>
      <c r="L5428">
        <v>5</v>
      </c>
      <c r="M5428">
        <v>1</v>
      </c>
      <c r="N5428">
        <v>0</v>
      </c>
      <c r="O5428" t="s">
        <v>127</v>
      </c>
      <c r="P5428" t="s">
        <v>127</v>
      </c>
      <c r="Q5428" t="s">
        <v>127</v>
      </c>
    </row>
    <row r="5429" spans="1:17" x14ac:dyDescent="0.25">
      <c r="A5429" t="str">
        <f>IF(C5429&amp;G5429&amp;D5429&lt;&gt;'Funnel setup'!$K$3&amp;'Funnel setup'!$K$4&amp;'Funnel setup'!$K$6,".",IF(A5428=".",1,A5428+1))</f>
        <v>.</v>
      </c>
      <c r="B5429" s="244" t="str">
        <f t="shared" si="84"/>
        <v>Total Knee ReplacementProviderSPIRE HARPENDEN HOSPITAL (NT316)Oxford Knee Score</v>
      </c>
      <c r="C5429" t="s">
        <v>975</v>
      </c>
      <c r="D5429" t="s">
        <v>965</v>
      </c>
      <c r="E5429" t="s">
        <v>548</v>
      </c>
      <c r="F5429" t="s">
        <v>549</v>
      </c>
      <c r="G5429" t="s">
        <v>972</v>
      </c>
      <c r="H5429">
        <v>19</v>
      </c>
      <c r="I5429">
        <v>18.631599999999999</v>
      </c>
      <c r="J5429">
        <v>39.578899999999997</v>
      </c>
      <c r="K5429">
        <v>20.947399999999998</v>
      </c>
      <c r="L5429">
        <v>17</v>
      </c>
      <c r="M5429">
        <v>0</v>
      </c>
      <c r="N5429">
        <v>2</v>
      </c>
      <c r="O5429" t="s">
        <v>127</v>
      </c>
      <c r="P5429" t="s">
        <v>127</v>
      </c>
      <c r="Q5429" t="s">
        <v>127</v>
      </c>
    </row>
    <row r="5430" spans="1:17" x14ac:dyDescent="0.25">
      <c r="A5430" t="str">
        <f>IF(C5430&amp;G5430&amp;D5430&lt;&gt;'Funnel setup'!$K$3&amp;'Funnel setup'!$K$4&amp;'Funnel setup'!$K$6,".",IF(A5429=".",1,A5429+1))</f>
        <v>.</v>
      </c>
      <c r="B5430" s="244" t="str">
        <f t="shared" si="84"/>
        <v>Total Knee ReplacementProviderSPIRE HARTSWOOD HOSPITAL (NT319)Oxford Knee Score</v>
      </c>
      <c r="C5430" t="s">
        <v>975</v>
      </c>
      <c r="D5430" t="s">
        <v>965</v>
      </c>
      <c r="E5430" t="s">
        <v>550</v>
      </c>
      <c r="F5430" t="s">
        <v>551</v>
      </c>
      <c r="G5430" t="s">
        <v>972</v>
      </c>
      <c r="H5430">
        <v>12</v>
      </c>
      <c r="I5430">
        <v>20</v>
      </c>
      <c r="J5430">
        <v>37.25</v>
      </c>
      <c r="K5430">
        <v>17.25</v>
      </c>
      <c r="L5430">
        <v>12</v>
      </c>
      <c r="M5430">
        <v>0</v>
      </c>
      <c r="N5430">
        <v>0</v>
      </c>
      <c r="O5430" t="s">
        <v>127</v>
      </c>
      <c r="P5430" t="s">
        <v>127</v>
      </c>
      <c r="Q5430" t="s">
        <v>127</v>
      </c>
    </row>
    <row r="5431" spans="1:17" x14ac:dyDescent="0.25">
      <c r="A5431" t="str">
        <f>IF(C5431&amp;G5431&amp;D5431&lt;&gt;'Funnel setup'!$K$3&amp;'Funnel setup'!$K$4&amp;'Funnel setup'!$K$6,".",IF(A5430=".",1,A5430+1))</f>
        <v>.</v>
      </c>
      <c r="B5431" s="244" t="str">
        <f t="shared" si="84"/>
        <v>Total Knee ReplacementProviderSPIRE HULL AND EAST RIDING HOSPITAL (NT351)Oxford Knee Score</v>
      </c>
      <c r="C5431" t="s">
        <v>975</v>
      </c>
      <c r="D5431" t="s">
        <v>965</v>
      </c>
      <c r="E5431" t="s">
        <v>554</v>
      </c>
      <c r="F5431" t="s">
        <v>555</v>
      </c>
      <c r="G5431" t="s">
        <v>972</v>
      </c>
      <c r="H5431">
        <v>38</v>
      </c>
      <c r="I5431">
        <v>20.157900000000001</v>
      </c>
      <c r="J5431">
        <v>38.052599999999998</v>
      </c>
      <c r="K5431">
        <v>17.8947</v>
      </c>
      <c r="L5431">
        <v>38</v>
      </c>
      <c r="M5431">
        <v>0</v>
      </c>
      <c r="N5431">
        <v>0</v>
      </c>
      <c r="O5431">
        <v>37.494300000000003</v>
      </c>
      <c r="P5431">
        <v>18.2257</v>
      </c>
      <c r="Q5431">
        <v>6.42706</v>
      </c>
    </row>
    <row r="5432" spans="1:17" x14ac:dyDescent="0.25">
      <c r="A5432" t="str">
        <f>IF(C5432&amp;G5432&amp;D5432&lt;&gt;'Funnel setup'!$K$3&amp;'Funnel setup'!$K$4&amp;'Funnel setup'!$K$6,".",IF(A5431=".",1,A5431+1))</f>
        <v>.</v>
      </c>
      <c r="B5432" s="244" t="str">
        <f t="shared" si="84"/>
        <v>Total Knee ReplacementProviderSPIRE LEEDS HOSPITAL (NT332)Oxford Knee Score</v>
      </c>
      <c r="C5432" t="s">
        <v>975</v>
      </c>
      <c r="D5432" t="s">
        <v>965</v>
      </c>
      <c r="E5432" t="s">
        <v>556</v>
      </c>
      <c r="F5432" t="s">
        <v>557</v>
      </c>
      <c r="G5432" t="s">
        <v>972</v>
      </c>
      <c r="H5432">
        <v>14</v>
      </c>
      <c r="I5432">
        <v>20.714300000000001</v>
      </c>
      <c r="J5432">
        <v>35.428600000000003</v>
      </c>
      <c r="K5432">
        <v>14.7143</v>
      </c>
      <c r="L5432">
        <v>14</v>
      </c>
      <c r="M5432">
        <v>0</v>
      </c>
      <c r="N5432">
        <v>0</v>
      </c>
      <c r="O5432" t="s">
        <v>127</v>
      </c>
      <c r="P5432" t="s">
        <v>127</v>
      </c>
      <c r="Q5432" t="s">
        <v>127</v>
      </c>
    </row>
    <row r="5433" spans="1:17" x14ac:dyDescent="0.25">
      <c r="A5433" t="str">
        <f>IF(C5433&amp;G5433&amp;D5433&lt;&gt;'Funnel setup'!$K$3&amp;'Funnel setup'!$K$4&amp;'Funnel setup'!$K$6,".",IF(A5432=".",1,A5432+1))</f>
        <v>.</v>
      </c>
      <c r="B5433" s="244" t="str">
        <f t="shared" si="84"/>
        <v>Total Knee ReplacementProviderSPIRE LEICESTER HOSPITAL (NT322)Oxford Knee Score</v>
      </c>
      <c r="C5433" t="s">
        <v>975</v>
      </c>
      <c r="D5433" t="s">
        <v>965</v>
      </c>
      <c r="E5433" t="s">
        <v>558</v>
      </c>
      <c r="F5433" t="s">
        <v>559</v>
      </c>
      <c r="G5433" t="s">
        <v>972</v>
      </c>
      <c r="H5433">
        <v>58</v>
      </c>
      <c r="I5433">
        <v>18.810300000000002</v>
      </c>
      <c r="J5433">
        <v>37.7241</v>
      </c>
      <c r="K5433">
        <v>18.913799999999998</v>
      </c>
      <c r="L5433">
        <v>57</v>
      </c>
      <c r="M5433">
        <v>1</v>
      </c>
      <c r="N5433">
        <v>0</v>
      </c>
      <c r="O5433">
        <v>37.372700000000002</v>
      </c>
      <c r="P5433">
        <v>18.104099999999999</v>
      </c>
      <c r="Q5433">
        <v>6.5004600000000003</v>
      </c>
    </row>
    <row r="5434" spans="1:17" x14ac:dyDescent="0.25">
      <c r="A5434" t="str">
        <f>IF(C5434&amp;G5434&amp;D5434&lt;&gt;'Funnel setup'!$K$3&amp;'Funnel setup'!$K$4&amp;'Funnel setup'!$K$6,".",IF(A5433=".",1,A5433+1))</f>
        <v>.</v>
      </c>
      <c r="B5434" s="244" t="str">
        <f t="shared" si="84"/>
        <v>Total Knee ReplacementProviderSPIRE LITTLE ASTON HOSPITAL (NT321)Oxford Knee Score</v>
      </c>
      <c r="C5434" t="s">
        <v>975</v>
      </c>
      <c r="D5434" t="s">
        <v>965</v>
      </c>
      <c r="E5434" t="s">
        <v>560</v>
      </c>
      <c r="F5434" t="s">
        <v>561</v>
      </c>
      <c r="G5434" t="s">
        <v>972</v>
      </c>
      <c r="H5434">
        <v>21</v>
      </c>
      <c r="I5434">
        <v>20.714300000000001</v>
      </c>
      <c r="J5434">
        <v>37.095199999999998</v>
      </c>
      <c r="K5434">
        <v>16.381</v>
      </c>
      <c r="L5434">
        <v>20</v>
      </c>
      <c r="M5434">
        <v>0</v>
      </c>
      <c r="N5434">
        <v>1</v>
      </c>
      <c r="O5434" t="s">
        <v>127</v>
      </c>
      <c r="P5434" t="s">
        <v>127</v>
      </c>
      <c r="Q5434" t="s">
        <v>127</v>
      </c>
    </row>
    <row r="5435" spans="1:17" x14ac:dyDescent="0.25">
      <c r="A5435" t="str">
        <f>IF(C5435&amp;G5435&amp;D5435&lt;&gt;'Funnel setup'!$K$3&amp;'Funnel setup'!$K$4&amp;'Funnel setup'!$K$6,".",IF(A5434=".",1,A5434+1))</f>
        <v>.</v>
      </c>
      <c r="B5435" s="244" t="str">
        <f t="shared" si="84"/>
        <v>Total Knee ReplacementProviderSPIRE LIVERPOOL HOSPITAL (NT337)Oxford Knee Score</v>
      </c>
      <c r="C5435" t="s">
        <v>975</v>
      </c>
      <c r="D5435" t="s">
        <v>965</v>
      </c>
      <c r="E5435" t="s">
        <v>562</v>
      </c>
      <c r="F5435" t="s">
        <v>563</v>
      </c>
      <c r="G5435" t="s">
        <v>972</v>
      </c>
      <c r="H5435">
        <v>13</v>
      </c>
      <c r="I5435">
        <v>16.538499999999999</v>
      </c>
      <c r="J5435">
        <v>31.384599999999999</v>
      </c>
      <c r="K5435">
        <v>14.8462</v>
      </c>
      <c r="L5435">
        <v>13</v>
      </c>
      <c r="M5435">
        <v>0</v>
      </c>
      <c r="N5435">
        <v>0</v>
      </c>
      <c r="O5435" t="s">
        <v>127</v>
      </c>
      <c r="P5435" t="s">
        <v>127</v>
      </c>
      <c r="Q5435" t="s">
        <v>127</v>
      </c>
    </row>
    <row r="5436" spans="1:17" x14ac:dyDescent="0.25">
      <c r="A5436" t="str">
        <f>IF(C5436&amp;G5436&amp;D5436&lt;&gt;'Funnel setup'!$K$3&amp;'Funnel setup'!$K$4&amp;'Funnel setup'!$K$6,".",IF(A5435=".",1,A5435+1))</f>
        <v>.</v>
      </c>
      <c r="B5436" s="244" t="str">
        <f t="shared" si="84"/>
        <v>Total Knee ReplacementProviderSPIRE MANCHESTER HOSPITAL (NT327)Oxford Knee Score</v>
      </c>
      <c r="C5436" t="s">
        <v>975</v>
      </c>
      <c r="D5436" t="s">
        <v>965</v>
      </c>
      <c r="E5436" t="s">
        <v>566</v>
      </c>
      <c r="F5436" t="s">
        <v>567</v>
      </c>
      <c r="G5436" t="s">
        <v>972</v>
      </c>
      <c r="H5436">
        <v>37</v>
      </c>
      <c r="I5436">
        <v>18.081099999999999</v>
      </c>
      <c r="J5436">
        <v>34.351399999999998</v>
      </c>
      <c r="K5436">
        <v>16.270299999999999</v>
      </c>
      <c r="L5436">
        <v>34</v>
      </c>
      <c r="M5436">
        <v>0</v>
      </c>
      <c r="N5436">
        <v>3</v>
      </c>
      <c r="O5436">
        <v>34.625599999999999</v>
      </c>
      <c r="P5436">
        <v>15.356999999999999</v>
      </c>
      <c r="Q5436">
        <v>8.8869799999999994</v>
      </c>
    </row>
    <row r="5437" spans="1:17" x14ac:dyDescent="0.25">
      <c r="A5437" t="str">
        <f>IF(C5437&amp;G5437&amp;D5437&lt;&gt;'Funnel setup'!$K$3&amp;'Funnel setup'!$K$4&amp;'Funnel setup'!$K$6,".",IF(A5436=".",1,A5436+1))</f>
        <v>.</v>
      </c>
      <c r="B5437" s="244" t="str">
        <f t="shared" si="84"/>
        <v>Total Knee ReplacementProviderSPIRE METHLEY PARK HOSPITAL (NT350)Oxford Knee Score</v>
      </c>
      <c r="C5437" t="s">
        <v>975</v>
      </c>
      <c r="D5437" t="s">
        <v>965</v>
      </c>
      <c r="E5437" t="s">
        <v>568</v>
      </c>
      <c r="F5437" t="s">
        <v>569</v>
      </c>
      <c r="G5437" t="s">
        <v>972</v>
      </c>
      <c r="H5437">
        <v>32</v>
      </c>
      <c r="I5437">
        <v>22.5</v>
      </c>
      <c r="J5437">
        <v>38.406300000000002</v>
      </c>
      <c r="K5437">
        <v>15.9063</v>
      </c>
      <c r="L5437">
        <v>29</v>
      </c>
      <c r="M5437">
        <v>0</v>
      </c>
      <c r="N5437">
        <v>3</v>
      </c>
      <c r="O5437">
        <v>36.296799999999998</v>
      </c>
      <c r="P5437">
        <v>17.028099999999998</v>
      </c>
      <c r="Q5437">
        <v>6.78369</v>
      </c>
    </row>
    <row r="5438" spans="1:17" x14ac:dyDescent="0.25">
      <c r="A5438" t="str">
        <f>IF(C5438&amp;G5438&amp;D5438&lt;&gt;'Funnel setup'!$K$3&amp;'Funnel setup'!$K$4&amp;'Funnel setup'!$K$6,".",IF(A5437=".",1,A5437+1))</f>
        <v>.</v>
      </c>
      <c r="B5438" s="244" t="str">
        <f t="shared" si="84"/>
        <v>Total Knee ReplacementProviderSPIRE MONTEFIORE HOSPITAL (NT364)Oxford Knee Score</v>
      </c>
      <c r="C5438" t="s">
        <v>975</v>
      </c>
      <c r="D5438" t="s">
        <v>965</v>
      </c>
      <c r="E5438" t="s">
        <v>570</v>
      </c>
      <c r="F5438" t="s">
        <v>571</v>
      </c>
      <c r="G5438" t="s">
        <v>972</v>
      </c>
      <c r="H5438">
        <v>10</v>
      </c>
      <c r="I5438">
        <v>24.2</v>
      </c>
      <c r="J5438">
        <v>39.700000000000003</v>
      </c>
      <c r="K5438">
        <v>15.5</v>
      </c>
      <c r="L5438">
        <v>9</v>
      </c>
      <c r="M5438">
        <v>1</v>
      </c>
      <c r="N5438">
        <v>0</v>
      </c>
      <c r="O5438" t="s">
        <v>127</v>
      </c>
      <c r="P5438" t="s">
        <v>127</v>
      </c>
      <c r="Q5438" t="s">
        <v>127</v>
      </c>
    </row>
    <row r="5439" spans="1:17" x14ac:dyDescent="0.25">
      <c r="A5439" t="str">
        <f>IF(C5439&amp;G5439&amp;D5439&lt;&gt;'Funnel setup'!$K$3&amp;'Funnel setup'!$K$4&amp;'Funnel setup'!$K$6,".",IF(A5438=".",1,A5438+1))</f>
        <v>.</v>
      </c>
      <c r="B5439" s="244" t="str">
        <f t="shared" si="84"/>
        <v>Total Knee ReplacementProviderSPIRE MURRAYFIELD HOSPITAL (NT325)Oxford Knee Score</v>
      </c>
      <c r="C5439" t="s">
        <v>975</v>
      </c>
      <c r="D5439" t="s">
        <v>965</v>
      </c>
      <c r="E5439" t="s">
        <v>572</v>
      </c>
      <c r="F5439" t="s">
        <v>573</v>
      </c>
      <c r="G5439" t="s">
        <v>972</v>
      </c>
      <c r="H5439">
        <v>3</v>
      </c>
      <c r="I5439">
        <v>18</v>
      </c>
      <c r="J5439">
        <v>44.666699999999999</v>
      </c>
      <c r="K5439">
        <v>26.666699999999999</v>
      </c>
      <c r="L5439">
        <v>3</v>
      </c>
      <c r="M5439">
        <v>0</v>
      </c>
      <c r="N5439">
        <v>0</v>
      </c>
      <c r="O5439" t="s">
        <v>127</v>
      </c>
      <c r="P5439" t="s">
        <v>127</v>
      </c>
      <c r="Q5439" t="s">
        <v>127</v>
      </c>
    </row>
    <row r="5440" spans="1:17" x14ac:dyDescent="0.25">
      <c r="A5440" t="str">
        <f>IF(C5440&amp;G5440&amp;D5440&lt;&gt;'Funnel setup'!$K$3&amp;'Funnel setup'!$K$4&amp;'Funnel setup'!$K$6,".",IF(A5439=".",1,A5439+1))</f>
        <v>.</v>
      </c>
      <c r="B5440" s="244" t="str">
        <f t="shared" si="84"/>
        <v>Total Knee ReplacementProviderSPIRE NOTTINGHAM HOSPITAL (NT30A)Oxford Knee Score</v>
      </c>
      <c r="C5440" t="s">
        <v>975</v>
      </c>
      <c r="D5440" t="s">
        <v>965</v>
      </c>
      <c r="E5440" t="s">
        <v>576</v>
      </c>
      <c r="F5440" t="s">
        <v>577</v>
      </c>
      <c r="G5440" t="s">
        <v>972</v>
      </c>
      <c r="H5440">
        <v>10</v>
      </c>
      <c r="I5440">
        <v>20.8</v>
      </c>
      <c r="J5440">
        <v>40</v>
      </c>
      <c r="K5440">
        <v>19.2</v>
      </c>
      <c r="L5440">
        <v>10</v>
      </c>
      <c r="M5440">
        <v>0</v>
      </c>
      <c r="N5440">
        <v>0</v>
      </c>
      <c r="O5440" t="s">
        <v>127</v>
      </c>
      <c r="P5440" t="s">
        <v>127</v>
      </c>
      <c r="Q5440" t="s">
        <v>127</v>
      </c>
    </row>
    <row r="5441" spans="1:17" x14ac:dyDescent="0.25">
      <c r="A5441" t="str">
        <f>IF(C5441&amp;G5441&amp;D5441&lt;&gt;'Funnel setup'!$K$3&amp;'Funnel setup'!$K$4&amp;'Funnel setup'!$K$6,".",IF(A5440=".",1,A5440+1))</f>
        <v>.</v>
      </c>
      <c r="B5441" s="244" t="str">
        <f t="shared" si="84"/>
        <v>Total Knee ReplacementProviderSPIRE PARKWAY HOSPITAL (NT320)Oxford Knee Score</v>
      </c>
      <c r="C5441" t="s">
        <v>975</v>
      </c>
      <c r="D5441" t="s">
        <v>965</v>
      </c>
      <c r="E5441" t="s">
        <v>578</v>
      </c>
      <c r="F5441" t="s">
        <v>579</v>
      </c>
      <c r="G5441" t="s">
        <v>972</v>
      </c>
      <c r="H5441">
        <v>16</v>
      </c>
      <c r="I5441">
        <v>22.3125</v>
      </c>
      <c r="J5441">
        <v>34.125</v>
      </c>
      <c r="K5441">
        <v>11.8125</v>
      </c>
      <c r="L5441">
        <v>15</v>
      </c>
      <c r="M5441">
        <v>0</v>
      </c>
      <c r="N5441">
        <v>1</v>
      </c>
      <c r="O5441" t="s">
        <v>127</v>
      </c>
      <c r="P5441" t="s">
        <v>127</v>
      </c>
      <c r="Q5441" t="s">
        <v>127</v>
      </c>
    </row>
    <row r="5442" spans="1:17" x14ac:dyDescent="0.25">
      <c r="A5442" t="str">
        <f>IF(C5442&amp;G5442&amp;D5442&lt;&gt;'Funnel setup'!$K$3&amp;'Funnel setup'!$K$4&amp;'Funnel setup'!$K$6,".",IF(A5441=".",1,A5441+1))</f>
        <v>.</v>
      </c>
      <c r="B5442" s="244" t="str">
        <f t="shared" ref="B5442:B5505" si="85">C5442&amp;D5442&amp;F5442&amp;G5442</f>
        <v>Total Knee ReplacementProviderSPIRE PORTSMOUTH HOSPITAL (NT305)Oxford Knee Score</v>
      </c>
      <c r="C5442" t="s">
        <v>975</v>
      </c>
      <c r="D5442" t="s">
        <v>965</v>
      </c>
      <c r="E5442" t="s">
        <v>580</v>
      </c>
      <c r="F5442" t="s">
        <v>581</v>
      </c>
      <c r="G5442" t="s">
        <v>972</v>
      </c>
      <c r="H5442">
        <v>15</v>
      </c>
      <c r="I5442">
        <v>21</v>
      </c>
      <c r="J5442">
        <v>37.333300000000001</v>
      </c>
      <c r="K5442">
        <v>16.333300000000001</v>
      </c>
      <c r="L5442">
        <v>15</v>
      </c>
      <c r="M5442">
        <v>0</v>
      </c>
      <c r="N5442">
        <v>0</v>
      </c>
      <c r="O5442" t="s">
        <v>127</v>
      </c>
      <c r="P5442" t="s">
        <v>127</v>
      </c>
      <c r="Q5442" t="s">
        <v>127</v>
      </c>
    </row>
    <row r="5443" spans="1:17" x14ac:dyDescent="0.25">
      <c r="A5443" t="str">
        <f>IF(C5443&amp;G5443&amp;D5443&lt;&gt;'Funnel setup'!$K$3&amp;'Funnel setup'!$K$4&amp;'Funnel setup'!$K$6,".",IF(A5442=".",1,A5442+1))</f>
        <v>.</v>
      </c>
      <c r="B5443" s="244" t="str">
        <f t="shared" si="85"/>
        <v>Total Knee ReplacementProviderSPIRE REGENCY HOSPITAL (NT339)Oxford Knee Score</v>
      </c>
      <c r="C5443" t="s">
        <v>975</v>
      </c>
      <c r="D5443" t="s">
        <v>965</v>
      </c>
      <c r="E5443" t="s">
        <v>582</v>
      </c>
      <c r="F5443" t="s">
        <v>583</v>
      </c>
      <c r="G5443" t="s">
        <v>972</v>
      </c>
      <c r="H5443">
        <v>43</v>
      </c>
      <c r="I5443">
        <v>21.395299999999999</v>
      </c>
      <c r="J5443">
        <v>37.604700000000001</v>
      </c>
      <c r="K5443">
        <v>16.209299999999999</v>
      </c>
      <c r="L5443">
        <v>43</v>
      </c>
      <c r="M5443">
        <v>0</v>
      </c>
      <c r="N5443">
        <v>0</v>
      </c>
      <c r="O5443">
        <v>35.759300000000003</v>
      </c>
      <c r="P5443">
        <v>16.490600000000001</v>
      </c>
      <c r="Q5443">
        <v>7.3404199999999999</v>
      </c>
    </row>
    <row r="5444" spans="1:17" x14ac:dyDescent="0.25">
      <c r="A5444" t="str">
        <f>IF(C5444&amp;G5444&amp;D5444&lt;&gt;'Funnel setup'!$K$3&amp;'Funnel setup'!$K$4&amp;'Funnel setup'!$K$6,".",IF(A5443=".",1,A5443+1))</f>
        <v>.</v>
      </c>
      <c r="B5444" s="244" t="str">
        <f t="shared" si="85"/>
        <v>Total Knee ReplacementProviderSPIRE SOUTHAMPTON HOSPITAL (NT304)Oxford Knee Score</v>
      </c>
      <c r="C5444" t="s">
        <v>975</v>
      </c>
      <c r="D5444" t="s">
        <v>965</v>
      </c>
      <c r="E5444" t="s">
        <v>586</v>
      </c>
      <c r="F5444" t="s">
        <v>587</v>
      </c>
      <c r="G5444" t="s">
        <v>972</v>
      </c>
      <c r="H5444">
        <v>20</v>
      </c>
      <c r="I5444">
        <v>21.95</v>
      </c>
      <c r="J5444">
        <v>38</v>
      </c>
      <c r="K5444">
        <v>16.05</v>
      </c>
      <c r="L5444">
        <v>19</v>
      </c>
      <c r="M5444">
        <v>1</v>
      </c>
      <c r="N5444">
        <v>0</v>
      </c>
      <c r="O5444" t="s">
        <v>127</v>
      </c>
      <c r="P5444" t="s">
        <v>127</v>
      </c>
      <c r="Q5444" t="s">
        <v>127</v>
      </c>
    </row>
    <row r="5445" spans="1:17" x14ac:dyDescent="0.25">
      <c r="A5445" t="str">
        <f>IF(C5445&amp;G5445&amp;D5445&lt;&gt;'Funnel setup'!$K$3&amp;'Funnel setup'!$K$4&amp;'Funnel setup'!$K$6,".",IF(A5444=".",1,A5444+1))</f>
        <v>.</v>
      </c>
      <c r="B5445" s="244" t="str">
        <f t="shared" si="85"/>
        <v>Total Knee ReplacementProviderSPIRE ST ANTHONY'S HOSPITAL (NT3X3)Oxford Knee Score</v>
      </c>
      <c r="C5445" t="s">
        <v>975</v>
      </c>
      <c r="D5445" t="s">
        <v>965</v>
      </c>
      <c r="E5445" t="s">
        <v>588</v>
      </c>
      <c r="F5445" t="s">
        <v>589</v>
      </c>
      <c r="G5445" t="s">
        <v>972</v>
      </c>
      <c r="H5445">
        <v>4</v>
      </c>
      <c r="I5445">
        <v>25.75</v>
      </c>
      <c r="J5445">
        <v>34</v>
      </c>
      <c r="K5445">
        <v>8.25</v>
      </c>
      <c r="L5445">
        <v>3</v>
      </c>
      <c r="M5445">
        <v>0</v>
      </c>
      <c r="N5445">
        <v>1</v>
      </c>
      <c r="O5445" t="s">
        <v>127</v>
      </c>
      <c r="P5445" t="s">
        <v>127</v>
      </c>
      <c r="Q5445" t="s">
        <v>127</v>
      </c>
    </row>
    <row r="5446" spans="1:17" x14ac:dyDescent="0.25">
      <c r="A5446" t="str">
        <f>IF(C5446&amp;G5446&amp;D5446&lt;&gt;'Funnel setup'!$K$3&amp;'Funnel setup'!$K$4&amp;'Funnel setup'!$K$6,".",IF(A5445=".",1,A5445+1))</f>
        <v>.</v>
      </c>
      <c r="B5446" s="244" t="str">
        <f t="shared" si="85"/>
        <v>Total Knee ReplacementProviderSPIRE SUSSEX HOSPITAL (NT309)Oxford Knee Score</v>
      </c>
      <c r="C5446" t="s">
        <v>975</v>
      </c>
      <c r="D5446" t="s">
        <v>965</v>
      </c>
      <c r="E5446" t="s">
        <v>590</v>
      </c>
      <c r="F5446" t="s">
        <v>591</v>
      </c>
      <c r="G5446" t="s">
        <v>972</v>
      </c>
      <c r="H5446">
        <v>24</v>
      </c>
      <c r="I5446">
        <v>22.958300000000001</v>
      </c>
      <c r="J5446">
        <v>37.583300000000001</v>
      </c>
      <c r="K5446">
        <v>14.625</v>
      </c>
      <c r="L5446">
        <v>24</v>
      </c>
      <c r="M5446">
        <v>0</v>
      </c>
      <c r="N5446">
        <v>0</v>
      </c>
      <c r="O5446" t="s">
        <v>127</v>
      </c>
      <c r="P5446" t="s">
        <v>127</v>
      </c>
      <c r="Q5446" t="s">
        <v>127</v>
      </c>
    </row>
    <row r="5447" spans="1:17" x14ac:dyDescent="0.25">
      <c r="A5447" t="str">
        <f>IF(C5447&amp;G5447&amp;D5447&lt;&gt;'Funnel setup'!$K$3&amp;'Funnel setup'!$K$4&amp;'Funnel setup'!$K$6,".",IF(A5446=".",1,A5446+1))</f>
        <v>.</v>
      </c>
      <c r="B5447" s="244" t="str">
        <f t="shared" si="85"/>
        <v>Total Knee ReplacementProviderSPIRE THAMES VALLEY HOSPITAL (NT343)Oxford Knee Score</v>
      </c>
      <c r="C5447" t="s">
        <v>975</v>
      </c>
      <c r="D5447" t="s">
        <v>965</v>
      </c>
      <c r="E5447" t="s">
        <v>592</v>
      </c>
      <c r="F5447" t="s">
        <v>593</v>
      </c>
      <c r="G5447" t="s">
        <v>972</v>
      </c>
      <c r="H5447">
        <v>1</v>
      </c>
      <c r="I5447">
        <v>23</v>
      </c>
      <c r="J5447">
        <v>43</v>
      </c>
      <c r="K5447">
        <v>20</v>
      </c>
      <c r="L5447">
        <v>1</v>
      </c>
      <c r="M5447">
        <v>0</v>
      </c>
      <c r="N5447">
        <v>0</v>
      </c>
      <c r="O5447" t="s">
        <v>127</v>
      </c>
      <c r="P5447" t="s">
        <v>127</v>
      </c>
      <c r="Q5447" t="s">
        <v>127</v>
      </c>
    </row>
    <row r="5448" spans="1:17" x14ac:dyDescent="0.25">
      <c r="A5448" t="str">
        <f>IF(C5448&amp;G5448&amp;D5448&lt;&gt;'Funnel setup'!$K$3&amp;'Funnel setup'!$K$4&amp;'Funnel setup'!$K$6,".",IF(A5447=".",1,A5447+1))</f>
        <v>.</v>
      </c>
      <c r="B5448" s="244" t="str">
        <f t="shared" si="85"/>
        <v>Total Knee ReplacementProviderSPIRE TUNBRIDGE WELLS HOSPITAL (NT310)Oxford Knee Score</v>
      </c>
      <c r="C5448" t="s">
        <v>975</v>
      </c>
      <c r="D5448" t="s">
        <v>965</v>
      </c>
      <c r="E5448" t="s">
        <v>594</v>
      </c>
      <c r="F5448" t="s">
        <v>595</v>
      </c>
      <c r="G5448" t="s">
        <v>972</v>
      </c>
      <c r="H5448">
        <v>1</v>
      </c>
      <c r="I5448">
        <v>24</v>
      </c>
      <c r="J5448">
        <v>43</v>
      </c>
      <c r="K5448">
        <v>19</v>
      </c>
      <c r="L5448">
        <v>1</v>
      </c>
      <c r="M5448">
        <v>0</v>
      </c>
      <c r="N5448">
        <v>0</v>
      </c>
      <c r="O5448" t="s">
        <v>127</v>
      </c>
      <c r="P5448" t="s">
        <v>127</v>
      </c>
      <c r="Q5448" t="s">
        <v>127</v>
      </c>
    </row>
    <row r="5449" spans="1:17" x14ac:dyDescent="0.25">
      <c r="A5449" t="str">
        <f>IF(C5449&amp;G5449&amp;D5449&lt;&gt;'Funnel setup'!$K$3&amp;'Funnel setup'!$K$4&amp;'Funnel setup'!$K$6,".",IF(A5448=".",1,A5448+1))</f>
        <v>.</v>
      </c>
      <c r="B5449" s="244" t="str">
        <f t="shared" si="85"/>
        <v>Total Knee ReplacementProviderSPIRE WASHINGTON HOSPITAL (NT333)Oxford Knee Score</v>
      </c>
      <c r="C5449" t="s">
        <v>975</v>
      </c>
      <c r="D5449" t="s">
        <v>965</v>
      </c>
      <c r="E5449" t="s">
        <v>596</v>
      </c>
      <c r="F5449" t="s">
        <v>597</v>
      </c>
      <c r="G5449" t="s">
        <v>972</v>
      </c>
      <c r="H5449">
        <v>101</v>
      </c>
      <c r="I5449">
        <v>17.835000000000001</v>
      </c>
      <c r="J5449">
        <v>36.698999999999998</v>
      </c>
      <c r="K5449">
        <v>18.864100000000001</v>
      </c>
      <c r="L5449">
        <v>97</v>
      </c>
      <c r="M5449">
        <v>2</v>
      </c>
      <c r="N5449">
        <v>2</v>
      </c>
      <c r="O5449">
        <v>37.186199999999999</v>
      </c>
      <c r="P5449">
        <v>17.9175</v>
      </c>
      <c r="Q5449">
        <v>7.8632400000000002</v>
      </c>
    </row>
    <row r="5450" spans="1:17" x14ac:dyDescent="0.25">
      <c r="A5450" t="str">
        <f>IF(C5450&amp;G5450&amp;D5450&lt;&gt;'Funnel setup'!$K$3&amp;'Funnel setup'!$K$4&amp;'Funnel setup'!$K$6,".",IF(A5449=".",1,A5449+1))</f>
        <v>.</v>
      </c>
      <c r="B5450" s="244" t="str">
        <f t="shared" si="85"/>
        <v>Total Knee ReplacementProviderSPRINGFIELD HOSPITAL (NVC18)Oxford Knee Score</v>
      </c>
      <c r="C5450" t="s">
        <v>975</v>
      </c>
      <c r="D5450" t="s">
        <v>965</v>
      </c>
      <c r="E5450" t="s">
        <v>602</v>
      </c>
      <c r="F5450" t="s">
        <v>603</v>
      </c>
      <c r="G5450" t="s">
        <v>972</v>
      </c>
      <c r="H5450">
        <v>96</v>
      </c>
      <c r="I5450">
        <v>19.402100000000001</v>
      </c>
      <c r="J5450">
        <v>39.391800000000003</v>
      </c>
      <c r="K5450">
        <v>19.989699999999999</v>
      </c>
      <c r="L5450">
        <v>93</v>
      </c>
      <c r="M5450">
        <v>0</v>
      </c>
      <c r="N5450">
        <v>3</v>
      </c>
      <c r="O5450">
        <v>38.027999999999999</v>
      </c>
      <c r="P5450">
        <v>18.7593</v>
      </c>
      <c r="Q5450">
        <v>8.3059600000000007</v>
      </c>
    </row>
    <row r="5451" spans="1:17" x14ac:dyDescent="0.25">
      <c r="A5451" t="str">
        <f>IF(C5451&amp;G5451&amp;D5451&lt;&gt;'Funnel setup'!$K$3&amp;'Funnel setup'!$K$4&amp;'Funnel setup'!$K$6,".",IF(A5450=".",1,A5450+1))</f>
        <v>.</v>
      </c>
      <c r="B5451" s="244" t="str">
        <f t="shared" si="85"/>
        <v>Total Knee ReplacementProviderST EDMUNDS HOSPITAL (NT446)Oxford Knee Score</v>
      </c>
      <c r="C5451" t="s">
        <v>975</v>
      </c>
      <c r="D5451" t="s">
        <v>965</v>
      </c>
      <c r="E5451" t="s">
        <v>604</v>
      </c>
      <c r="F5451" t="s">
        <v>605</v>
      </c>
      <c r="G5451" t="s">
        <v>972</v>
      </c>
      <c r="H5451">
        <v>29</v>
      </c>
      <c r="I5451">
        <v>18.793099999999999</v>
      </c>
      <c r="J5451">
        <v>39.172400000000003</v>
      </c>
      <c r="K5451">
        <v>20.379300000000001</v>
      </c>
      <c r="L5451">
        <v>27</v>
      </c>
      <c r="M5451">
        <v>1</v>
      </c>
      <c r="N5451">
        <v>1</v>
      </c>
      <c r="O5451" t="s">
        <v>127</v>
      </c>
      <c r="P5451" t="s">
        <v>127</v>
      </c>
      <c r="Q5451" t="s">
        <v>127</v>
      </c>
    </row>
    <row r="5452" spans="1:17" x14ac:dyDescent="0.25">
      <c r="A5452" t="str">
        <f>IF(C5452&amp;G5452&amp;D5452&lt;&gt;'Funnel setup'!$K$3&amp;'Funnel setup'!$K$4&amp;'Funnel setup'!$K$6,".",IF(A5451=".",1,A5451+1))</f>
        <v>.</v>
      </c>
      <c r="B5452" s="244" t="str">
        <f t="shared" si="85"/>
        <v>Total Knee ReplacementProviderST HELENS AND KNOWSLEY TEACHING HOSPITALS NHS TRUST (RBN)Oxford Knee Score</v>
      </c>
      <c r="C5452" t="s">
        <v>975</v>
      </c>
      <c r="D5452" t="s">
        <v>965</v>
      </c>
      <c r="E5452" t="s">
        <v>608</v>
      </c>
      <c r="F5452" t="s">
        <v>609</v>
      </c>
      <c r="G5452" t="s">
        <v>972</v>
      </c>
      <c r="H5452">
        <v>80</v>
      </c>
      <c r="I5452">
        <v>16.912500000000001</v>
      </c>
      <c r="J5452">
        <v>36.012500000000003</v>
      </c>
      <c r="K5452">
        <v>19.100000000000001</v>
      </c>
      <c r="L5452">
        <v>78</v>
      </c>
      <c r="M5452">
        <v>0</v>
      </c>
      <c r="N5452">
        <v>2</v>
      </c>
      <c r="O5452">
        <v>38.348199999999999</v>
      </c>
      <c r="P5452">
        <v>19.079599999999999</v>
      </c>
      <c r="Q5452">
        <v>9.0001899999999999</v>
      </c>
    </row>
    <row r="5453" spans="1:17" x14ac:dyDescent="0.25">
      <c r="A5453" t="str">
        <f>IF(C5453&amp;G5453&amp;D5453&lt;&gt;'Funnel setup'!$K$3&amp;'Funnel setup'!$K$4&amp;'Funnel setup'!$K$6,".",IF(A5452=".",1,A5452+1))</f>
        <v>.</v>
      </c>
      <c r="B5453" s="244" t="str">
        <f t="shared" si="85"/>
        <v>Total Knee ReplacementProviderST HUGH'S HOSPITAL (NTE02)Oxford Knee Score</v>
      </c>
      <c r="C5453" t="s">
        <v>975</v>
      </c>
      <c r="D5453" t="s">
        <v>965</v>
      </c>
      <c r="E5453" t="s">
        <v>610</v>
      </c>
      <c r="F5453" t="s">
        <v>611</v>
      </c>
      <c r="G5453" t="s">
        <v>972</v>
      </c>
      <c r="H5453">
        <v>129</v>
      </c>
      <c r="I5453">
        <v>21.519400000000001</v>
      </c>
      <c r="J5453">
        <v>38.038800000000002</v>
      </c>
      <c r="K5453">
        <v>16.519400000000001</v>
      </c>
      <c r="L5453">
        <v>125</v>
      </c>
      <c r="M5453">
        <v>2</v>
      </c>
      <c r="N5453">
        <v>2</v>
      </c>
      <c r="O5453">
        <v>36.490400000000001</v>
      </c>
      <c r="P5453">
        <v>17.221699999999998</v>
      </c>
      <c r="Q5453">
        <v>7.1137800000000002</v>
      </c>
    </row>
    <row r="5454" spans="1:17" x14ac:dyDescent="0.25">
      <c r="A5454" t="str">
        <f>IF(C5454&amp;G5454&amp;D5454&lt;&gt;'Funnel setup'!$K$3&amp;'Funnel setup'!$K$4&amp;'Funnel setup'!$K$6,".",IF(A5453=".",1,A5453+1))</f>
        <v>.</v>
      </c>
      <c r="B5454" s="244" t="str">
        <f t="shared" si="85"/>
        <v>Total Knee ReplacementProviderSTOCKPORT NHS FOUNDATION TRUST (RWJ)Oxford Knee Score</v>
      </c>
      <c r="C5454" t="s">
        <v>975</v>
      </c>
      <c r="D5454" t="s">
        <v>965</v>
      </c>
      <c r="E5454" t="s">
        <v>614</v>
      </c>
      <c r="F5454" t="s">
        <v>615</v>
      </c>
      <c r="G5454" t="s">
        <v>972</v>
      </c>
      <c r="H5454">
        <v>30</v>
      </c>
      <c r="I5454">
        <v>19.399999999999999</v>
      </c>
      <c r="J5454">
        <v>39.9</v>
      </c>
      <c r="K5454">
        <v>20.5</v>
      </c>
      <c r="L5454">
        <v>29</v>
      </c>
      <c r="M5454">
        <v>0</v>
      </c>
      <c r="N5454">
        <v>1</v>
      </c>
      <c r="O5454">
        <v>39.568300000000001</v>
      </c>
      <c r="P5454">
        <v>20.299600000000002</v>
      </c>
      <c r="Q5454">
        <v>7.8213400000000002</v>
      </c>
    </row>
    <row r="5455" spans="1:17" x14ac:dyDescent="0.25">
      <c r="A5455" t="str">
        <f>IF(C5455&amp;G5455&amp;D5455&lt;&gt;'Funnel setup'!$K$3&amp;'Funnel setup'!$K$4&amp;'Funnel setup'!$K$6,".",IF(A5454=".",1,A5454+1))</f>
        <v>.</v>
      </c>
      <c r="B5455" s="244" t="str">
        <f t="shared" si="85"/>
        <v>Total Knee ReplacementProviderSURREY AND SUSSEX HEALTHCARE NHS TRUST (RTP)Oxford Knee Score</v>
      </c>
      <c r="C5455" t="s">
        <v>975</v>
      </c>
      <c r="D5455" t="s">
        <v>965</v>
      </c>
      <c r="E5455" t="s">
        <v>618</v>
      </c>
      <c r="F5455" t="s">
        <v>619</v>
      </c>
      <c r="G5455" t="s">
        <v>972</v>
      </c>
      <c r="H5455">
        <v>35</v>
      </c>
      <c r="I5455">
        <v>17.285699999999999</v>
      </c>
      <c r="J5455">
        <v>34.257100000000001</v>
      </c>
      <c r="K5455">
        <v>16.971399999999999</v>
      </c>
      <c r="L5455">
        <v>31</v>
      </c>
      <c r="M5455">
        <v>0</v>
      </c>
      <c r="N5455">
        <v>4</v>
      </c>
      <c r="O5455">
        <v>35.164299999999997</v>
      </c>
      <c r="P5455">
        <v>15.8957</v>
      </c>
      <c r="Q5455">
        <v>7.5947300000000002</v>
      </c>
    </row>
    <row r="5456" spans="1:17" x14ac:dyDescent="0.25">
      <c r="A5456" t="str">
        <f>IF(C5456&amp;G5456&amp;D5456&lt;&gt;'Funnel setup'!$K$3&amp;'Funnel setup'!$K$4&amp;'Funnel setup'!$K$6,".",IF(A5455=".",1,A5455+1))</f>
        <v>.</v>
      </c>
      <c r="B5456" s="244" t="str">
        <f t="shared" si="85"/>
        <v>Total Knee ReplacementProviderTEES VALLEY HOSPITAL (NVC0R)Oxford Knee Score</v>
      </c>
      <c r="C5456" t="s">
        <v>975</v>
      </c>
      <c r="D5456" t="s">
        <v>965</v>
      </c>
      <c r="E5456" t="s">
        <v>624</v>
      </c>
      <c r="F5456" t="s">
        <v>625</v>
      </c>
      <c r="G5456" t="s">
        <v>972</v>
      </c>
      <c r="H5456">
        <v>49</v>
      </c>
      <c r="I5456">
        <v>19.86</v>
      </c>
      <c r="J5456">
        <v>38.479999999999997</v>
      </c>
      <c r="K5456">
        <v>18.62</v>
      </c>
      <c r="L5456">
        <v>48</v>
      </c>
      <c r="M5456">
        <v>1</v>
      </c>
      <c r="N5456">
        <v>0</v>
      </c>
      <c r="O5456">
        <v>37.923900000000003</v>
      </c>
      <c r="P5456">
        <v>18.655200000000001</v>
      </c>
      <c r="Q5456">
        <v>5.55647</v>
      </c>
    </row>
    <row r="5457" spans="1:17" x14ac:dyDescent="0.25">
      <c r="A5457" t="str">
        <f>IF(C5457&amp;G5457&amp;D5457&lt;&gt;'Funnel setup'!$K$3&amp;'Funnel setup'!$K$4&amp;'Funnel setup'!$K$6,".",IF(A5456=".",1,A5456+1))</f>
        <v>.</v>
      </c>
      <c r="B5457" s="244" t="str">
        <f t="shared" si="85"/>
        <v>Total Knee ReplacementProviderTHE BERKSHIRE INDEPENDENT HOSPITAL (NVC02)Oxford Knee Score</v>
      </c>
      <c r="C5457" t="s">
        <v>975</v>
      </c>
      <c r="D5457" t="s">
        <v>965</v>
      </c>
      <c r="E5457" t="s">
        <v>626</v>
      </c>
      <c r="F5457" t="s">
        <v>627</v>
      </c>
      <c r="G5457" t="s">
        <v>972</v>
      </c>
      <c r="H5457">
        <v>13</v>
      </c>
      <c r="I5457">
        <v>20.615400000000001</v>
      </c>
      <c r="J5457">
        <v>35.538499999999999</v>
      </c>
      <c r="K5457">
        <v>14.9231</v>
      </c>
      <c r="L5457">
        <v>13</v>
      </c>
      <c r="M5457">
        <v>0</v>
      </c>
      <c r="N5457">
        <v>0</v>
      </c>
      <c r="O5457" t="s">
        <v>127</v>
      </c>
      <c r="P5457" t="s">
        <v>127</v>
      </c>
      <c r="Q5457" t="s">
        <v>127</v>
      </c>
    </row>
    <row r="5458" spans="1:17" x14ac:dyDescent="0.25">
      <c r="A5458" t="str">
        <f>IF(C5458&amp;G5458&amp;D5458&lt;&gt;'Funnel setup'!$K$3&amp;'Funnel setup'!$K$4&amp;'Funnel setup'!$K$6,".",IF(A5457=".",1,A5457+1))</f>
        <v>.</v>
      </c>
      <c r="B5458" s="244" t="str">
        <f t="shared" si="85"/>
        <v>Total Knee ReplacementProviderTHE CHERWELL HOSPITAL (NVC25)Oxford Knee Score</v>
      </c>
      <c r="C5458" t="s">
        <v>975</v>
      </c>
      <c r="D5458" t="s">
        <v>965</v>
      </c>
      <c r="E5458" t="s">
        <v>628</v>
      </c>
      <c r="F5458" t="s">
        <v>629</v>
      </c>
      <c r="G5458" t="s">
        <v>972</v>
      </c>
      <c r="H5458">
        <v>271</v>
      </c>
      <c r="I5458">
        <v>20.712199999999999</v>
      </c>
      <c r="J5458">
        <v>37.974200000000003</v>
      </c>
      <c r="K5458">
        <v>17.262</v>
      </c>
      <c r="L5458">
        <v>259</v>
      </c>
      <c r="M5458">
        <v>2</v>
      </c>
      <c r="N5458">
        <v>10</v>
      </c>
      <c r="O5458">
        <v>36.773200000000003</v>
      </c>
      <c r="P5458">
        <v>17.5045</v>
      </c>
      <c r="Q5458">
        <v>8.0395000000000003</v>
      </c>
    </row>
    <row r="5459" spans="1:17" x14ac:dyDescent="0.25">
      <c r="A5459" t="str">
        <f>IF(C5459&amp;G5459&amp;D5459&lt;&gt;'Funnel setup'!$K$3&amp;'Funnel setup'!$K$4&amp;'Funnel setup'!$K$6,".",IF(A5458=".",1,A5458+1))</f>
        <v>.</v>
      </c>
      <c r="B5459" s="244" t="str">
        <f t="shared" si="85"/>
        <v>Total Knee ReplacementProviderTHE DUDLEY GROUP NHS FOUNDATION TRUST (RNA)Oxford Knee Score</v>
      </c>
      <c r="C5459" t="s">
        <v>975</v>
      </c>
      <c r="D5459" t="s">
        <v>965</v>
      </c>
      <c r="E5459" t="s">
        <v>630</v>
      </c>
      <c r="F5459" t="s">
        <v>631</v>
      </c>
      <c r="G5459" t="s">
        <v>972</v>
      </c>
      <c r="H5459">
        <v>1</v>
      </c>
      <c r="I5459">
        <v>27</v>
      </c>
      <c r="J5459">
        <v>47</v>
      </c>
      <c r="K5459">
        <v>20</v>
      </c>
      <c r="L5459">
        <v>1</v>
      </c>
      <c r="M5459">
        <v>0</v>
      </c>
      <c r="N5459">
        <v>0</v>
      </c>
      <c r="O5459" t="s">
        <v>127</v>
      </c>
      <c r="P5459" t="s">
        <v>127</v>
      </c>
      <c r="Q5459" t="s">
        <v>127</v>
      </c>
    </row>
    <row r="5460" spans="1:17" x14ac:dyDescent="0.25">
      <c r="A5460" t="str">
        <f>IF(C5460&amp;G5460&amp;D5460&lt;&gt;'Funnel setup'!$K$3&amp;'Funnel setup'!$K$4&amp;'Funnel setup'!$K$6,".",IF(A5459=".",1,A5459+1))</f>
        <v>.</v>
      </c>
      <c r="B5460" s="244" t="str">
        <f t="shared" si="85"/>
        <v>Total Knee ReplacementProviderTHE HILLINGDON HOSPITALS NHS FOUNDATION TRUST (RAS)Oxford Knee Score</v>
      </c>
      <c r="C5460" t="s">
        <v>975</v>
      </c>
      <c r="D5460" t="s">
        <v>965</v>
      </c>
      <c r="E5460" t="s">
        <v>632</v>
      </c>
      <c r="F5460" t="s">
        <v>633</v>
      </c>
      <c r="G5460" t="s">
        <v>972</v>
      </c>
      <c r="H5460">
        <v>110</v>
      </c>
      <c r="I5460">
        <v>20</v>
      </c>
      <c r="J5460">
        <v>35.672699999999999</v>
      </c>
      <c r="K5460">
        <v>15.672700000000001</v>
      </c>
      <c r="L5460">
        <v>103</v>
      </c>
      <c r="M5460">
        <v>2</v>
      </c>
      <c r="N5460">
        <v>5</v>
      </c>
      <c r="O5460">
        <v>35.530700000000003</v>
      </c>
      <c r="P5460">
        <v>16.2621</v>
      </c>
      <c r="Q5460">
        <v>8.2615599999999993</v>
      </c>
    </row>
    <row r="5461" spans="1:17" x14ac:dyDescent="0.25">
      <c r="A5461" t="str">
        <f>IF(C5461&amp;G5461&amp;D5461&lt;&gt;'Funnel setup'!$K$3&amp;'Funnel setup'!$K$4&amp;'Funnel setup'!$K$6,".",IF(A5460=".",1,A5460+1))</f>
        <v>.</v>
      </c>
      <c r="B5461" s="244" t="str">
        <f t="shared" si="85"/>
        <v>Total Knee ReplacementProviderTHE HORDER CENTRE - ST JOHNS ROAD (NXM01)Oxford Knee Score</v>
      </c>
      <c r="C5461" t="s">
        <v>975</v>
      </c>
      <c r="D5461" t="s">
        <v>965</v>
      </c>
      <c r="E5461" t="s">
        <v>634</v>
      </c>
      <c r="F5461" t="s">
        <v>635</v>
      </c>
      <c r="G5461" t="s">
        <v>972</v>
      </c>
      <c r="H5461">
        <v>270</v>
      </c>
      <c r="I5461">
        <v>23.3963</v>
      </c>
      <c r="J5461">
        <v>39.466700000000003</v>
      </c>
      <c r="K5461">
        <v>16.070399999999999</v>
      </c>
      <c r="L5461">
        <v>257</v>
      </c>
      <c r="M5461">
        <v>0</v>
      </c>
      <c r="N5461">
        <v>13</v>
      </c>
      <c r="O5461">
        <v>37.258899999999997</v>
      </c>
      <c r="P5461">
        <v>17.990300000000001</v>
      </c>
      <c r="Q5461">
        <v>7.8753700000000002</v>
      </c>
    </row>
    <row r="5462" spans="1:17" x14ac:dyDescent="0.25">
      <c r="A5462" t="str">
        <f>IF(C5462&amp;G5462&amp;D5462&lt;&gt;'Funnel setup'!$K$3&amp;'Funnel setup'!$K$4&amp;'Funnel setup'!$K$6,".",IF(A5461=".",1,A5461+1))</f>
        <v>.</v>
      </c>
      <c r="B5462" s="244" t="str">
        <f t="shared" si="85"/>
        <v>Total Knee ReplacementProviderTHE NEWCASTLE UPON TYNE HOSPITALS NHS FOUNDATION TRUST (RTD)Oxford Knee Score</v>
      </c>
      <c r="C5462" t="s">
        <v>975</v>
      </c>
      <c r="D5462" t="s">
        <v>965</v>
      </c>
      <c r="E5462" t="s">
        <v>638</v>
      </c>
      <c r="F5462" t="s">
        <v>639</v>
      </c>
      <c r="G5462" t="s">
        <v>972</v>
      </c>
      <c r="H5462">
        <v>26</v>
      </c>
      <c r="I5462">
        <v>17.1538</v>
      </c>
      <c r="J5462">
        <v>36.653799999999997</v>
      </c>
      <c r="K5462">
        <v>19.5</v>
      </c>
      <c r="L5462">
        <v>23</v>
      </c>
      <c r="M5462">
        <v>0</v>
      </c>
      <c r="N5462">
        <v>3</v>
      </c>
      <c r="O5462" t="s">
        <v>127</v>
      </c>
      <c r="P5462" t="s">
        <v>127</v>
      </c>
      <c r="Q5462" t="s">
        <v>127</v>
      </c>
    </row>
    <row r="5463" spans="1:17" x14ac:dyDescent="0.25">
      <c r="A5463" t="str">
        <f>IF(C5463&amp;G5463&amp;D5463&lt;&gt;'Funnel setup'!$K$3&amp;'Funnel setup'!$K$4&amp;'Funnel setup'!$K$6,".",IF(A5462=".",1,A5462+1))</f>
        <v>.</v>
      </c>
      <c r="B5463" s="244" t="str">
        <f t="shared" si="85"/>
        <v>Total Knee ReplacementProviderTHE PRINCESS ALEXANDRA HOSPITAL NHS TRUST (RQW)Oxford Knee Score</v>
      </c>
      <c r="C5463" t="s">
        <v>975</v>
      </c>
      <c r="D5463" t="s">
        <v>965</v>
      </c>
      <c r="E5463" t="s">
        <v>640</v>
      </c>
      <c r="F5463" t="s">
        <v>641</v>
      </c>
      <c r="G5463" t="s">
        <v>972</v>
      </c>
      <c r="H5463">
        <v>30</v>
      </c>
      <c r="I5463">
        <v>14.7333</v>
      </c>
      <c r="J5463">
        <v>35.366700000000002</v>
      </c>
      <c r="K5463">
        <v>20.633299999999998</v>
      </c>
      <c r="L5463">
        <v>30</v>
      </c>
      <c r="M5463">
        <v>0</v>
      </c>
      <c r="N5463">
        <v>0</v>
      </c>
      <c r="O5463">
        <v>37.766399999999997</v>
      </c>
      <c r="P5463">
        <v>18.497800000000002</v>
      </c>
      <c r="Q5463">
        <v>8.3791499999999992</v>
      </c>
    </row>
    <row r="5464" spans="1:17" x14ac:dyDescent="0.25">
      <c r="A5464" t="str">
        <f>IF(C5464&amp;G5464&amp;D5464&lt;&gt;'Funnel setup'!$K$3&amp;'Funnel setup'!$K$4&amp;'Funnel setup'!$K$6,".",IF(A5463=".",1,A5463+1))</f>
        <v>.</v>
      </c>
      <c r="B5464" s="244" t="str">
        <f t="shared" si="85"/>
        <v>Total Knee ReplacementProviderTHE QUEEN ELIZABETH HOSPITAL, KING'S LYNN, NHS FOUNDATION TRUST (RCX)Oxford Knee Score</v>
      </c>
      <c r="C5464" t="s">
        <v>975</v>
      </c>
      <c r="D5464" t="s">
        <v>965</v>
      </c>
      <c r="E5464" t="s">
        <v>644</v>
      </c>
      <c r="F5464" t="s">
        <v>645</v>
      </c>
      <c r="G5464" t="s">
        <v>972</v>
      </c>
      <c r="H5464">
        <v>81</v>
      </c>
      <c r="I5464">
        <v>18.8765</v>
      </c>
      <c r="J5464">
        <v>35.580199999999998</v>
      </c>
      <c r="K5464">
        <v>16.703700000000001</v>
      </c>
      <c r="L5464">
        <v>77</v>
      </c>
      <c r="M5464">
        <v>1</v>
      </c>
      <c r="N5464">
        <v>3</v>
      </c>
      <c r="O5464">
        <v>36.174100000000003</v>
      </c>
      <c r="P5464">
        <v>16.9055</v>
      </c>
      <c r="Q5464">
        <v>8.6654999999999998</v>
      </c>
    </row>
    <row r="5465" spans="1:17" x14ac:dyDescent="0.25">
      <c r="A5465" t="str">
        <f>IF(C5465&amp;G5465&amp;D5465&lt;&gt;'Funnel setup'!$K$3&amp;'Funnel setup'!$K$4&amp;'Funnel setup'!$K$6,".",IF(A5464=".",1,A5464+1))</f>
        <v>.</v>
      </c>
      <c r="B5465" s="244" t="str">
        <f t="shared" si="85"/>
        <v>Total Knee ReplacementProviderTHE ROBERT JONES AND AGNES HUNT ORTHOPAEDIC HOSPITAL NHS FOUNDATION TRUST (RL1)Oxford Knee Score</v>
      </c>
      <c r="C5465" t="s">
        <v>975</v>
      </c>
      <c r="D5465" t="s">
        <v>965</v>
      </c>
      <c r="E5465" t="s">
        <v>646</v>
      </c>
      <c r="F5465" t="s">
        <v>647</v>
      </c>
      <c r="G5465" t="s">
        <v>972</v>
      </c>
      <c r="H5465">
        <v>341</v>
      </c>
      <c r="I5465">
        <v>17.510300000000001</v>
      </c>
      <c r="J5465">
        <v>37.199399999999997</v>
      </c>
      <c r="K5465">
        <v>19.6891</v>
      </c>
      <c r="L5465">
        <v>332</v>
      </c>
      <c r="M5465">
        <v>2</v>
      </c>
      <c r="N5465">
        <v>7</v>
      </c>
      <c r="O5465">
        <v>38.293199999999999</v>
      </c>
      <c r="P5465">
        <v>19.0245</v>
      </c>
      <c r="Q5465">
        <v>8.1902100000000004</v>
      </c>
    </row>
    <row r="5466" spans="1:17" x14ac:dyDescent="0.25">
      <c r="A5466" t="str">
        <f>IF(C5466&amp;G5466&amp;D5466&lt;&gt;'Funnel setup'!$K$3&amp;'Funnel setup'!$K$4&amp;'Funnel setup'!$K$6,".",IF(A5465=".",1,A5465+1))</f>
        <v>.</v>
      </c>
      <c r="B5466" s="244" t="str">
        <f t="shared" si="85"/>
        <v>Total Knee ReplacementProviderTHE ROTHERHAM NHS FOUNDATION TRUST (RFR)Oxford Knee Score</v>
      </c>
      <c r="C5466" t="s">
        <v>975</v>
      </c>
      <c r="D5466" t="s">
        <v>965</v>
      </c>
      <c r="E5466" t="s">
        <v>648</v>
      </c>
      <c r="F5466" t="s">
        <v>649</v>
      </c>
      <c r="G5466" t="s">
        <v>972</v>
      </c>
      <c r="H5466">
        <v>31</v>
      </c>
      <c r="I5466">
        <v>14.7742</v>
      </c>
      <c r="J5466">
        <v>37.096800000000002</v>
      </c>
      <c r="K5466">
        <v>22.322600000000001</v>
      </c>
      <c r="L5466">
        <v>30</v>
      </c>
      <c r="M5466">
        <v>0</v>
      </c>
      <c r="N5466">
        <v>1</v>
      </c>
      <c r="O5466">
        <v>39.4129</v>
      </c>
      <c r="P5466">
        <v>20.144300000000001</v>
      </c>
      <c r="Q5466">
        <v>9.0316200000000002</v>
      </c>
    </row>
    <row r="5467" spans="1:17" x14ac:dyDescent="0.25">
      <c r="A5467" t="str">
        <f>IF(C5467&amp;G5467&amp;D5467&lt;&gt;'Funnel setup'!$K$3&amp;'Funnel setup'!$K$4&amp;'Funnel setup'!$K$6,".",IF(A5466=".",1,A5466+1))</f>
        <v>.</v>
      </c>
      <c r="B5467" s="244" t="str">
        <f t="shared" si="85"/>
        <v>Total Knee ReplacementProviderTHE ROYAL ORTHOPAEDIC HOSPITAL NHS FOUNDATION TRUST (RRJ)Oxford Knee Score</v>
      </c>
      <c r="C5467" t="s">
        <v>975</v>
      </c>
      <c r="D5467" t="s">
        <v>965</v>
      </c>
      <c r="E5467" t="s">
        <v>652</v>
      </c>
      <c r="F5467" t="s">
        <v>653</v>
      </c>
      <c r="G5467" t="s">
        <v>972</v>
      </c>
      <c r="H5467">
        <v>483</v>
      </c>
      <c r="I5467">
        <v>17.287800000000001</v>
      </c>
      <c r="J5467">
        <v>34.5197</v>
      </c>
      <c r="K5467">
        <v>17.2319</v>
      </c>
      <c r="L5467">
        <v>453</v>
      </c>
      <c r="M5467">
        <v>5</v>
      </c>
      <c r="N5467">
        <v>25</v>
      </c>
      <c r="O5467">
        <v>35.977699999999999</v>
      </c>
      <c r="P5467">
        <v>16.709</v>
      </c>
      <c r="Q5467">
        <v>8.9727399999999999</v>
      </c>
    </row>
    <row r="5468" spans="1:17" x14ac:dyDescent="0.25">
      <c r="A5468" t="str">
        <f>IF(C5468&amp;G5468&amp;D5468&lt;&gt;'Funnel setup'!$K$3&amp;'Funnel setup'!$K$4&amp;'Funnel setup'!$K$6,".",IF(A5467=".",1,A5467+1))</f>
        <v>.</v>
      </c>
      <c r="B5468" s="244" t="str">
        <f t="shared" si="85"/>
        <v>Total Knee ReplacementProviderTHE ROYAL WOLVERHAMPTON NHS TRUST (RL4)Oxford Knee Score</v>
      </c>
      <c r="C5468" t="s">
        <v>975</v>
      </c>
      <c r="D5468" t="s">
        <v>965</v>
      </c>
      <c r="E5468" t="s">
        <v>654</v>
      </c>
      <c r="F5468" t="s">
        <v>655</v>
      </c>
      <c r="G5468" t="s">
        <v>972</v>
      </c>
      <c r="H5468">
        <v>25</v>
      </c>
      <c r="I5468">
        <v>19.28</v>
      </c>
      <c r="J5468">
        <v>39.32</v>
      </c>
      <c r="K5468">
        <v>20.04</v>
      </c>
      <c r="L5468">
        <v>24</v>
      </c>
      <c r="M5468">
        <v>0</v>
      </c>
      <c r="N5468">
        <v>1</v>
      </c>
      <c r="O5468" t="s">
        <v>127</v>
      </c>
      <c r="P5468" t="s">
        <v>127</v>
      </c>
      <c r="Q5468" t="s">
        <v>127</v>
      </c>
    </row>
    <row r="5469" spans="1:17" x14ac:dyDescent="0.25">
      <c r="A5469" t="str">
        <f>IF(C5469&amp;G5469&amp;D5469&lt;&gt;'Funnel setup'!$K$3&amp;'Funnel setup'!$K$4&amp;'Funnel setup'!$K$6,".",IF(A5468=".",1,A5468+1))</f>
        <v>.</v>
      </c>
      <c r="B5469" s="244" t="str">
        <f t="shared" si="85"/>
        <v>Total Knee ReplacementProviderTHE SHREWSBURY AND TELFORD HOSPITAL NHS TRUST (RXW)Oxford Knee Score</v>
      </c>
      <c r="C5469" t="s">
        <v>975</v>
      </c>
      <c r="D5469" t="s">
        <v>965</v>
      </c>
      <c r="E5469" t="s">
        <v>656</v>
      </c>
      <c r="F5469" t="s">
        <v>657</v>
      </c>
      <c r="G5469" t="s">
        <v>972</v>
      </c>
      <c r="H5469">
        <v>13</v>
      </c>
      <c r="I5469">
        <v>15.692299999999999</v>
      </c>
      <c r="J5469">
        <v>30.692299999999999</v>
      </c>
      <c r="K5469">
        <v>15</v>
      </c>
      <c r="L5469">
        <v>13</v>
      </c>
      <c r="M5469">
        <v>0</v>
      </c>
      <c r="N5469">
        <v>0</v>
      </c>
      <c r="O5469" t="s">
        <v>127</v>
      </c>
      <c r="P5469" t="s">
        <v>127</v>
      </c>
      <c r="Q5469" t="s">
        <v>127</v>
      </c>
    </row>
    <row r="5470" spans="1:17" x14ac:dyDescent="0.25">
      <c r="A5470" t="str">
        <f>IF(C5470&amp;G5470&amp;D5470&lt;&gt;'Funnel setup'!$K$3&amp;'Funnel setup'!$K$4&amp;'Funnel setup'!$K$6,".",IF(A5469=".",1,A5469+1))</f>
        <v>.</v>
      </c>
      <c r="B5470" s="244" t="str">
        <f t="shared" si="85"/>
        <v>Total Knee ReplacementProviderTHE YORKSHIRE CLINIC (NVC20)Oxford Knee Score</v>
      </c>
      <c r="C5470" t="s">
        <v>975</v>
      </c>
      <c r="D5470" t="s">
        <v>965</v>
      </c>
      <c r="E5470" t="s">
        <v>662</v>
      </c>
      <c r="F5470" t="s">
        <v>663</v>
      </c>
      <c r="G5470" t="s">
        <v>972</v>
      </c>
      <c r="H5470">
        <v>36</v>
      </c>
      <c r="I5470">
        <v>21.833300000000001</v>
      </c>
      <c r="J5470">
        <v>36.3611</v>
      </c>
      <c r="K5470">
        <v>14.527799999999999</v>
      </c>
      <c r="L5470">
        <v>35</v>
      </c>
      <c r="M5470">
        <v>0</v>
      </c>
      <c r="N5470">
        <v>1</v>
      </c>
      <c r="O5470">
        <v>35.8123</v>
      </c>
      <c r="P5470">
        <v>16.543700000000001</v>
      </c>
      <c r="Q5470">
        <v>6.4590199999999998</v>
      </c>
    </row>
    <row r="5471" spans="1:17" x14ac:dyDescent="0.25">
      <c r="A5471" t="str">
        <f>IF(C5471&amp;G5471&amp;D5471&lt;&gt;'Funnel setup'!$K$3&amp;'Funnel setup'!$K$4&amp;'Funnel setup'!$K$6,".",IF(A5470=".",1,A5470+1))</f>
        <v>.</v>
      </c>
      <c r="B5471" s="244" t="str">
        <f t="shared" si="85"/>
        <v>Total Knee ReplacementProviderTHORNBURY HOSPITAL (NT440)Oxford Knee Score</v>
      </c>
      <c r="C5471" t="s">
        <v>975</v>
      </c>
      <c r="D5471" t="s">
        <v>965</v>
      </c>
      <c r="E5471" t="s">
        <v>664</v>
      </c>
      <c r="F5471" t="s">
        <v>665</v>
      </c>
      <c r="G5471" t="s">
        <v>972</v>
      </c>
      <c r="H5471">
        <v>4</v>
      </c>
      <c r="I5471">
        <v>21.75</v>
      </c>
      <c r="J5471">
        <v>30</v>
      </c>
      <c r="K5471">
        <v>8.25</v>
      </c>
      <c r="L5471">
        <v>4</v>
      </c>
      <c r="M5471">
        <v>0</v>
      </c>
      <c r="N5471">
        <v>0</v>
      </c>
      <c r="O5471" t="s">
        <v>127</v>
      </c>
      <c r="P5471" t="s">
        <v>127</v>
      </c>
      <c r="Q5471" t="s">
        <v>127</v>
      </c>
    </row>
    <row r="5472" spans="1:17" x14ac:dyDescent="0.25">
      <c r="A5472" t="str">
        <f>IF(C5472&amp;G5472&amp;D5472&lt;&gt;'Funnel setup'!$K$3&amp;'Funnel setup'!$K$4&amp;'Funnel setup'!$K$6,".",IF(A5471=".",1,A5471+1))</f>
        <v>.</v>
      </c>
      <c r="B5472" s="244" t="str">
        <f t="shared" si="85"/>
        <v>Total Knee ReplacementProviderTHREE SHIRES HOSPITAL (NT441)Oxford Knee Score</v>
      </c>
      <c r="C5472" t="s">
        <v>975</v>
      </c>
      <c r="D5472" t="s">
        <v>965</v>
      </c>
      <c r="E5472" t="s">
        <v>666</v>
      </c>
      <c r="F5472" t="s">
        <v>667</v>
      </c>
      <c r="G5472" t="s">
        <v>972</v>
      </c>
      <c r="H5472">
        <v>79</v>
      </c>
      <c r="I5472">
        <v>19.227799999999998</v>
      </c>
      <c r="J5472">
        <v>37.8354</v>
      </c>
      <c r="K5472">
        <v>18.607600000000001</v>
      </c>
      <c r="L5472">
        <v>73</v>
      </c>
      <c r="M5472">
        <v>2</v>
      </c>
      <c r="N5472">
        <v>4</v>
      </c>
      <c r="O5472">
        <v>36.453400000000002</v>
      </c>
      <c r="P5472">
        <v>17.184799999999999</v>
      </c>
      <c r="Q5472">
        <v>9.0109200000000005</v>
      </c>
    </row>
    <row r="5473" spans="1:17" x14ac:dyDescent="0.25">
      <c r="A5473" t="str">
        <f>IF(C5473&amp;G5473&amp;D5473&lt;&gt;'Funnel setup'!$K$3&amp;'Funnel setup'!$K$4&amp;'Funnel setup'!$K$6,".",IF(A5472=".",1,A5472+1))</f>
        <v>.</v>
      </c>
      <c r="B5473" s="244" t="str">
        <f t="shared" si="85"/>
        <v>Total Knee ReplacementProviderTORBAY AND SOUTH DEVON NHS FOUNDATION TRUST (RA9)Oxford Knee Score</v>
      </c>
      <c r="C5473" t="s">
        <v>975</v>
      </c>
      <c r="D5473" t="s">
        <v>965</v>
      </c>
      <c r="E5473" t="s">
        <v>668</v>
      </c>
      <c r="F5473" t="s">
        <v>669</v>
      </c>
      <c r="G5473" t="s">
        <v>972</v>
      </c>
      <c r="H5473">
        <v>8</v>
      </c>
      <c r="I5473">
        <v>14.75</v>
      </c>
      <c r="J5473">
        <v>27.5</v>
      </c>
      <c r="K5473">
        <v>12.75</v>
      </c>
      <c r="L5473">
        <v>8</v>
      </c>
      <c r="M5473">
        <v>0</v>
      </c>
      <c r="N5473">
        <v>0</v>
      </c>
      <c r="O5473" t="s">
        <v>127</v>
      </c>
      <c r="P5473" t="s">
        <v>127</v>
      </c>
      <c r="Q5473" t="s">
        <v>127</v>
      </c>
    </row>
    <row r="5474" spans="1:17" x14ac:dyDescent="0.25">
      <c r="A5474" t="str">
        <f>IF(C5474&amp;G5474&amp;D5474&lt;&gt;'Funnel setup'!$K$3&amp;'Funnel setup'!$K$4&amp;'Funnel setup'!$K$6,".",IF(A5473=".",1,A5473+1))</f>
        <v>.</v>
      </c>
      <c r="B5474" s="244" t="str">
        <f t="shared" si="85"/>
        <v>Total Knee ReplacementProviderUNITED LINCOLNSHIRE HOSPITALS NHS TRUST (RWD)Oxford Knee Score</v>
      </c>
      <c r="C5474" t="s">
        <v>975</v>
      </c>
      <c r="D5474" t="s">
        <v>965</v>
      </c>
      <c r="E5474" t="s">
        <v>672</v>
      </c>
      <c r="F5474" t="s">
        <v>673</v>
      </c>
      <c r="G5474" t="s">
        <v>972</v>
      </c>
      <c r="H5474">
        <v>34</v>
      </c>
      <c r="I5474">
        <v>16.029399999999999</v>
      </c>
      <c r="J5474">
        <v>34.470599999999997</v>
      </c>
      <c r="K5474">
        <v>18.441199999999998</v>
      </c>
      <c r="L5474">
        <v>32</v>
      </c>
      <c r="M5474">
        <v>0</v>
      </c>
      <c r="N5474">
        <v>2</v>
      </c>
      <c r="O5474">
        <v>35.597099999999998</v>
      </c>
      <c r="P5474">
        <v>16.328399999999998</v>
      </c>
      <c r="Q5474">
        <v>8.7105499999999996</v>
      </c>
    </row>
    <row r="5475" spans="1:17" x14ac:dyDescent="0.25">
      <c r="A5475" t="str">
        <f>IF(C5475&amp;G5475&amp;D5475&lt;&gt;'Funnel setup'!$K$3&amp;'Funnel setup'!$K$4&amp;'Funnel setup'!$K$6,".",IF(A5474=".",1,A5474+1))</f>
        <v>.</v>
      </c>
      <c r="B5475" s="244" t="str">
        <f t="shared" si="85"/>
        <v>Total Knee ReplacementProviderUNIVERSITY COLLEGE LONDON HOSPITALS NHS FOUNDATION TRUST (RRV)Oxford Knee Score</v>
      </c>
      <c r="C5475" t="s">
        <v>975</v>
      </c>
      <c r="D5475" t="s">
        <v>965</v>
      </c>
      <c r="E5475" t="s">
        <v>674</v>
      </c>
      <c r="F5475" t="s">
        <v>675</v>
      </c>
      <c r="G5475" t="s">
        <v>972</v>
      </c>
      <c r="H5475">
        <v>173</v>
      </c>
      <c r="I5475">
        <v>21.1676</v>
      </c>
      <c r="J5475">
        <v>34.930599999999998</v>
      </c>
      <c r="K5475">
        <v>13.763</v>
      </c>
      <c r="L5475">
        <v>157</v>
      </c>
      <c r="M5475">
        <v>0</v>
      </c>
      <c r="N5475">
        <v>16</v>
      </c>
      <c r="O5475">
        <v>35.259</v>
      </c>
      <c r="P5475">
        <v>15.990399999999999</v>
      </c>
      <c r="Q5475">
        <v>9.0836199999999998</v>
      </c>
    </row>
    <row r="5476" spans="1:17" x14ac:dyDescent="0.25">
      <c r="A5476" t="str">
        <f>IF(C5476&amp;G5476&amp;D5476&lt;&gt;'Funnel setup'!$K$3&amp;'Funnel setup'!$K$4&amp;'Funnel setup'!$K$6,".",IF(A5475=".",1,A5475+1))</f>
        <v>.</v>
      </c>
      <c r="B5476" s="244" t="str">
        <f t="shared" si="85"/>
        <v>Total Knee ReplacementProviderUNIVERSITY HOSPITAL SOUTHAMPTON NHS FOUNDATION TRUST (RHM)Oxford Knee Score</v>
      </c>
      <c r="C5476" t="s">
        <v>975</v>
      </c>
      <c r="D5476" t="s">
        <v>965</v>
      </c>
      <c r="E5476" t="s">
        <v>676</v>
      </c>
      <c r="F5476" t="s">
        <v>677</v>
      </c>
      <c r="G5476" t="s">
        <v>972</v>
      </c>
      <c r="H5476">
        <v>98</v>
      </c>
      <c r="I5476">
        <v>20.877600000000001</v>
      </c>
      <c r="J5476">
        <v>37.122399999999999</v>
      </c>
      <c r="K5476">
        <v>16.244900000000001</v>
      </c>
      <c r="L5476">
        <v>96</v>
      </c>
      <c r="M5476">
        <v>0</v>
      </c>
      <c r="N5476">
        <v>2</v>
      </c>
      <c r="O5476">
        <v>37.0886</v>
      </c>
      <c r="P5476">
        <v>17.819900000000001</v>
      </c>
      <c r="Q5476">
        <v>8.3203200000000006</v>
      </c>
    </row>
    <row r="5477" spans="1:17" x14ac:dyDescent="0.25">
      <c r="A5477" t="str">
        <f>IF(C5477&amp;G5477&amp;D5477&lt;&gt;'Funnel setup'!$K$3&amp;'Funnel setup'!$K$4&amp;'Funnel setup'!$K$6,".",IF(A5476=".",1,A5476+1))</f>
        <v>.</v>
      </c>
      <c r="B5477" s="244" t="str">
        <f t="shared" si="85"/>
        <v>Total Knee ReplacementProviderUNIVERSITY HOSPITALS BRISTOL AND WESTON NHS FOUNDATION TRUST (RA7)Oxford Knee Score</v>
      </c>
      <c r="C5477" t="s">
        <v>975</v>
      </c>
      <c r="D5477" t="s">
        <v>965</v>
      </c>
      <c r="E5477" t="s">
        <v>680</v>
      </c>
      <c r="F5477" t="s">
        <v>681</v>
      </c>
      <c r="G5477" t="s">
        <v>972</v>
      </c>
      <c r="H5477">
        <v>17</v>
      </c>
      <c r="I5477">
        <v>14.411799999999999</v>
      </c>
      <c r="J5477">
        <v>36.764699999999998</v>
      </c>
      <c r="K5477">
        <v>22.352900000000002</v>
      </c>
      <c r="L5477">
        <v>17</v>
      </c>
      <c r="M5477">
        <v>0</v>
      </c>
      <c r="N5477">
        <v>0</v>
      </c>
      <c r="O5477" t="s">
        <v>127</v>
      </c>
      <c r="P5477" t="s">
        <v>127</v>
      </c>
      <c r="Q5477" t="s">
        <v>127</v>
      </c>
    </row>
    <row r="5478" spans="1:17" x14ac:dyDescent="0.25">
      <c r="A5478" t="str">
        <f>IF(C5478&amp;G5478&amp;D5478&lt;&gt;'Funnel setup'!$K$3&amp;'Funnel setup'!$K$4&amp;'Funnel setup'!$K$6,".",IF(A5477=".",1,A5477+1))</f>
        <v>.</v>
      </c>
      <c r="B5478" s="244" t="str">
        <f t="shared" si="85"/>
        <v>Total Knee ReplacementProviderUNIVERSITY HOSPITALS COVENTRY AND WARWICKSHIRE NHS TRUST (RKB)Oxford Knee Score</v>
      </c>
      <c r="C5478" t="s">
        <v>975</v>
      </c>
      <c r="D5478" t="s">
        <v>965</v>
      </c>
      <c r="E5478" t="s">
        <v>682</v>
      </c>
      <c r="F5478" t="s">
        <v>683</v>
      </c>
      <c r="G5478" t="s">
        <v>972</v>
      </c>
      <c r="H5478">
        <v>21</v>
      </c>
      <c r="I5478">
        <v>18.714300000000001</v>
      </c>
      <c r="J5478">
        <v>38.095199999999998</v>
      </c>
      <c r="K5478">
        <v>19.381</v>
      </c>
      <c r="L5478">
        <v>21</v>
      </c>
      <c r="M5478">
        <v>0</v>
      </c>
      <c r="N5478">
        <v>0</v>
      </c>
      <c r="O5478" t="s">
        <v>127</v>
      </c>
      <c r="P5478" t="s">
        <v>127</v>
      </c>
      <c r="Q5478" t="s">
        <v>127</v>
      </c>
    </row>
    <row r="5479" spans="1:17" x14ac:dyDescent="0.25">
      <c r="A5479" t="str">
        <f>IF(C5479&amp;G5479&amp;D5479&lt;&gt;'Funnel setup'!$K$3&amp;'Funnel setup'!$K$4&amp;'Funnel setup'!$K$6,".",IF(A5478=".",1,A5478+1))</f>
        <v>.</v>
      </c>
      <c r="B5479" s="244" t="str">
        <f t="shared" si="85"/>
        <v>Total Knee ReplacementProviderUNIVERSITY HOSPITAL DORSET NHS FUNDATION TRUST (R0D)Oxford Knee Score</v>
      </c>
      <c r="C5479" t="s">
        <v>975</v>
      </c>
      <c r="D5479" t="s">
        <v>965</v>
      </c>
      <c r="E5479" t="s">
        <v>684</v>
      </c>
      <c r="F5479" t="s">
        <v>966</v>
      </c>
      <c r="G5479" t="s">
        <v>972</v>
      </c>
      <c r="H5479">
        <v>203</v>
      </c>
      <c r="I5479">
        <v>20.714300000000001</v>
      </c>
      <c r="J5479">
        <v>38.009900000000002</v>
      </c>
      <c r="K5479">
        <v>17.2956</v>
      </c>
      <c r="L5479">
        <v>190</v>
      </c>
      <c r="M5479">
        <v>1</v>
      </c>
      <c r="N5479">
        <v>12</v>
      </c>
      <c r="O5479">
        <v>37.416600000000003</v>
      </c>
      <c r="P5479">
        <v>18.1479</v>
      </c>
      <c r="Q5479">
        <v>8.2992000000000008</v>
      </c>
    </row>
    <row r="5480" spans="1:17" x14ac:dyDescent="0.25">
      <c r="A5480" t="str">
        <f>IF(C5480&amp;G5480&amp;D5480&lt;&gt;'Funnel setup'!$K$3&amp;'Funnel setup'!$K$4&amp;'Funnel setup'!$K$6,".",IF(A5479=".",1,A5479+1))</f>
        <v>.</v>
      </c>
      <c r="B5480" s="244" t="str">
        <f t="shared" si="85"/>
        <v>Total Knee ReplacementProviderUNIVERSITY HOSPITALS OF DERBY AND BURTON NHS FOUNDATION TRUST (RTG)Oxford Knee Score</v>
      </c>
      <c r="C5480" t="s">
        <v>975</v>
      </c>
      <c r="D5480" t="s">
        <v>965</v>
      </c>
      <c r="E5480" t="s">
        <v>686</v>
      </c>
      <c r="F5480" t="s">
        <v>687</v>
      </c>
      <c r="G5480" t="s">
        <v>972</v>
      </c>
      <c r="H5480">
        <v>389</v>
      </c>
      <c r="I5480">
        <v>19.025700000000001</v>
      </c>
      <c r="J5480">
        <v>36.161999999999999</v>
      </c>
      <c r="K5480">
        <v>17.136199999999999</v>
      </c>
      <c r="L5480">
        <v>371</v>
      </c>
      <c r="M5480">
        <v>3</v>
      </c>
      <c r="N5480">
        <v>15</v>
      </c>
      <c r="O5480">
        <v>36.642000000000003</v>
      </c>
      <c r="P5480">
        <v>17.3734</v>
      </c>
      <c r="Q5480">
        <v>8.8322599999999998</v>
      </c>
    </row>
    <row r="5481" spans="1:17" x14ac:dyDescent="0.25">
      <c r="A5481" t="str">
        <f>IF(C5481&amp;G5481&amp;D5481&lt;&gt;'Funnel setup'!$K$3&amp;'Funnel setup'!$K$4&amp;'Funnel setup'!$K$6,".",IF(A5480=".",1,A5480+1))</f>
        <v>.</v>
      </c>
      <c r="B5481" s="244" t="str">
        <f t="shared" si="85"/>
        <v>Total Knee ReplacementProviderUNIVERSITY HOSPITALS OF LEICESTER NHS TRUST (RWE)Oxford Knee Score</v>
      </c>
      <c r="C5481" t="s">
        <v>975</v>
      </c>
      <c r="D5481" t="s">
        <v>965</v>
      </c>
      <c r="E5481" t="s">
        <v>688</v>
      </c>
      <c r="F5481" t="s">
        <v>689</v>
      </c>
      <c r="G5481" t="s">
        <v>972</v>
      </c>
      <c r="H5481">
        <v>180</v>
      </c>
      <c r="I5481">
        <v>16.3889</v>
      </c>
      <c r="J5481">
        <v>32.961100000000002</v>
      </c>
      <c r="K5481">
        <v>16.572199999999999</v>
      </c>
      <c r="L5481">
        <v>168</v>
      </c>
      <c r="M5481">
        <v>1</v>
      </c>
      <c r="N5481">
        <v>11</v>
      </c>
      <c r="O5481">
        <v>35.074199999999998</v>
      </c>
      <c r="P5481">
        <v>15.8056</v>
      </c>
      <c r="Q5481">
        <v>8.9910499999999995</v>
      </c>
    </row>
    <row r="5482" spans="1:17" x14ac:dyDescent="0.25">
      <c r="A5482" t="str">
        <f>IF(C5482&amp;G5482&amp;D5482&lt;&gt;'Funnel setup'!$K$3&amp;'Funnel setup'!$K$4&amp;'Funnel setup'!$K$6,".",IF(A5481=".",1,A5481+1))</f>
        <v>.</v>
      </c>
      <c r="B5482" s="244" t="str">
        <f t="shared" si="85"/>
        <v>Total Knee ReplacementProviderUNIVERSITY HOSPITALS OF MORECAMBE BAY NHS FOUNDATION TRUST (RTX)Oxford Knee Score</v>
      </c>
      <c r="C5482" t="s">
        <v>975</v>
      </c>
      <c r="D5482" t="s">
        <v>965</v>
      </c>
      <c r="E5482" t="s">
        <v>690</v>
      </c>
      <c r="F5482" t="s">
        <v>691</v>
      </c>
      <c r="G5482" t="s">
        <v>972</v>
      </c>
      <c r="H5482">
        <v>169</v>
      </c>
      <c r="I5482">
        <v>20.183399999999999</v>
      </c>
      <c r="J5482">
        <v>37.609499999999997</v>
      </c>
      <c r="K5482">
        <v>17.425999999999998</v>
      </c>
      <c r="L5482">
        <v>160</v>
      </c>
      <c r="M5482">
        <v>1</v>
      </c>
      <c r="N5482">
        <v>8</v>
      </c>
      <c r="O5482">
        <v>37.077800000000003</v>
      </c>
      <c r="P5482">
        <v>17.809200000000001</v>
      </c>
      <c r="Q5482">
        <v>8.1857100000000003</v>
      </c>
    </row>
    <row r="5483" spans="1:17" x14ac:dyDescent="0.25">
      <c r="A5483" t="str">
        <f>IF(C5483&amp;G5483&amp;D5483&lt;&gt;'Funnel setup'!$K$3&amp;'Funnel setup'!$K$4&amp;'Funnel setup'!$K$6,".",IF(A5482=".",1,A5482+1))</f>
        <v>.</v>
      </c>
      <c r="B5483" s="244" t="str">
        <f t="shared" si="85"/>
        <v>Total Knee ReplacementProviderUNIVERSITY HOSPITALS OF NORTH MIDLANDS NHS TRUST (RJE)Oxford Knee Score</v>
      </c>
      <c r="C5483" t="s">
        <v>975</v>
      </c>
      <c r="D5483" t="s">
        <v>965</v>
      </c>
      <c r="E5483" t="s">
        <v>692</v>
      </c>
      <c r="F5483" t="s">
        <v>693</v>
      </c>
      <c r="G5483" t="s">
        <v>972</v>
      </c>
      <c r="H5483">
        <v>19</v>
      </c>
      <c r="I5483">
        <v>13.631600000000001</v>
      </c>
      <c r="J5483">
        <v>34.368400000000001</v>
      </c>
      <c r="K5483">
        <v>20.736799999999999</v>
      </c>
      <c r="L5483">
        <v>19</v>
      </c>
      <c r="M5483">
        <v>0</v>
      </c>
      <c r="N5483">
        <v>0</v>
      </c>
      <c r="O5483" t="s">
        <v>127</v>
      </c>
      <c r="P5483" t="s">
        <v>127</v>
      </c>
      <c r="Q5483" t="s">
        <v>127</v>
      </c>
    </row>
    <row r="5484" spans="1:17" x14ac:dyDescent="0.25">
      <c r="A5484" t="str">
        <f>IF(C5484&amp;G5484&amp;D5484&lt;&gt;'Funnel setup'!$K$3&amp;'Funnel setup'!$K$4&amp;'Funnel setup'!$K$6,".",IF(A5483=".",1,A5483+1))</f>
        <v>.</v>
      </c>
      <c r="B5484" s="244" t="str">
        <f t="shared" si="85"/>
        <v>Total Knee ReplacementProviderUNIVERSITY HOSPITALS PLYMOUTH NHS TRUST (RK9)Oxford Knee Score</v>
      </c>
      <c r="C5484" t="s">
        <v>975</v>
      </c>
      <c r="D5484" t="s">
        <v>965</v>
      </c>
      <c r="E5484" t="s">
        <v>694</v>
      </c>
      <c r="F5484" t="s">
        <v>695</v>
      </c>
      <c r="G5484" t="s">
        <v>972</v>
      </c>
      <c r="H5484">
        <v>4</v>
      </c>
      <c r="I5484">
        <v>9.75</v>
      </c>
      <c r="J5484">
        <v>23</v>
      </c>
      <c r="K5484">
        <v>13.25</v>
      </c>
      <c r="L5484">
        <v>3</v>
      </c>
      <c r="M5484">
        <v>0</v>
      </c>
      <c r="N5484">
        <v>1</v>
      </c>
      <c r="O5484" t="s">
        <v>127</v>
      </c>
      <c r="P5484" t="s">
        <v>127</v>
      </c>
      <c r="Q5484" t="s">
        <v>127</v>
      </c>
    </row>
    <row r="5485" spans="1:17" x14ac:dyDescent="0.25">
      <c r="A5485" t="str">
        <f>IF(C5485&amp;G5485&amp;D5485&lt;&gt;'Funnel setup'!$K$3&amp;'Funnel setup'!$K$4&amp;'Funnel setup'!$K$6,".",IF(A5484=".",1,A5484+1))</f>
        <v>.</v>
      </c>
      <c r="B5485" s="244" t="str">
        <f t="shared" si="85"/>
        <v>Total Knee ReplacementProviderUNIVERSITY HOSPITALS SUSSEX NHS FOUNDATION TRUST (RYR)Oxford Knee Score</v>
      </c>
      <c r="C5485" t="s">
        <v>975</v>
      </c>
      <c r="D5485" t="s">
        <v>965</v>
      </c>
      <c r="E5485" t="s">
        <v>696</v>
      </c>
      <c r="F5485" t="s">
        <v>697</v>
      </c>
      <c r="G5485" t="s">
        <v>972</v>
      </c>
      <c r="H5485">
        <v>131</v>
      </c>
      <c r="I5485">
        <v>16.9542</v>
      </c>
      <c r="J5485">
        <v>35.228999999999999</v>
      </c>
      <c r="K5485">
        <v>18.274799999999999</v>
      </c>
      <c r="L5485">
        <v>128</v>
      </c>
      <c r="M5485">
        <v>1</v>
      </c>
      <c r="N5485">
        <v>2</v>
      </c>
      <c r="O5485">
        <v>36.002800000000001</v>
      </c>
      <c r="P5485">
        <v>16.734100000000002</v>
      </c>
      <c r="Q5485">
        <v>8.5322899999999997</v>
      </c>
    </row>
    <row r="5486" spans="1:17" x14ac:dyDescent="0.25">
      <c r="A5486" t="str">
        <f>IF(C5486&amp;G5486&amp;D5486&lt;&gt;'Funnel setup'!$K$3&amp;'Funnel setup'!$K$4&amp;'Funnel setup'!$K$6,".",IF(A5485=".",1,A5485+1))</f>
        <v>.</v>
      </c>
      <c r="B5486" s="244" t="str">
        <f t="shared" si="85"/>
        <v>Total Knee ReplacementProviderWALSALL HEALTHCARE NHS TRUST (RBK)Oxford Knee Score</v>
      </c>
      <c r="C5486" t="s">
        <v>975</v>
      </c>
      <c r="D5486" t="s">
        <v>965</v>
      </c>
      <c r="E5486" t="s">
        <v>698</v>
      </c>
      <c r="F5486" t="s">
        <v>699</v>
      </c>
      <c r="G5486" t="s">
        <v>972</v>
      </c>
      <c r="H5486">
        <v>10</v>
      </c>
      <c r="I5486">
        <v>19.100000000000001</v>
      </c>
      <c r="J5486">
        <v>34.1</v>
      </c>
      <c r="K5486">
        <v>15</v>
      </c>
      <c r="L5486">
        <v>9</v>
      </c>
      <c r="M5486">
        <v>1</v>
      </c>
      <c r="N5486">
        <v>0</v>
      </c>
      <c r="O5486" t="s">
        <v>127</v>
      </c>
      <c r="P5486" t="s">
        <v>127</v>
      </c>
      <c r="Q5486" t="s">
        <v>127</v>
      </c>
    </row>
    <row r="5487" spans="1:17" x14ac:dyDescent="0.25">
      <c r="A5487" t="str">
        <f>IF(C5487&amp;G5487&amp;D5487&lt;&gt;'Funnel setup'!$K$3&amp;'Funnel setup'!$K$4&amp;'Funnel setup'!$K$6,".",IF(A5486=".",1,A5486+1))</f>
        <v>.</v>
      </c>
      <c r="B5487" s="244" t="str">
        <f t="shared" si="85"/>
        <v>Total Knee ReplacementProviderWARRINGTON AND HALTON TEACHING HOSPITALS NHS FOUNDATION TRUST (RWW)Oxford Knee Score</v>
      </c>
      <c r="C5487" t="s">
        <v>975</v>
      </c>
      <c r="D5487" t="s">
        <v>965</v>
      </c>
      <c r="E5487" t="s">
        <v>700</v>
      </c>
      <c r="F5487" t="s">
        <v>701</v>
      </c>
      <c r="G5487" t="s">
        <v>972</v>
      </c>
      <c r="H5487">
        <v>34</v>
      </c>
      <c r="I5487">
        <v>17.911799999999999</v>
      </c>
      <c r="J5487">
        <v>33.970599999999997</v>
      </c>
      <c r="K5487">
        <v>16.058800000000002</v>
      </c>
      <c r="L5487">
        <v>33</v>
      </c>
      <c r="M5487">
        <v>0</v>
      </c>
      <c r="N5487">
        <v>1</v>
      </c>
      <c r="O5487">
        <v>34.6952</v>
      </c>
      <c r="P5487">
        <v>15.426500000000001</v>
      </c>
      <c r="Q5487">
        <v>7.8618300000000003</v>
      </c>
    </row>
    <row r="5488" spans="1:17" x14ac:dyDescent="0.25">
      <c r="A5488" t="str">
        <f>IF(C5488&amp;G5488&amp;D5488&lt;&gt;'Funnel setup'!$K$3&amp;'Funnel setup'!$K$4&amp;'Funnel setup'!$K$6,".",IF(A5487=".",1,A5487+1))</f>
        <v>.</v>
      </c>
      <c r="B5488" s="244" t="str">
        <f t="shared" si="85"/>
        <v>Total Knee ReplacementProviderWEST HERTFORDSHIRE TEACHING HOSPITALS NHS TRUST (RWG)Oxford Knee Score</v>
      </c>
      <c r="C5488" t="s">
        <v>975</v>
      </c>
      <c r="D5488" t="s">
        <v>965</v>
      </c>
      <c r="E5488" t="s">
        <v>702</v>
      </c>
      <c r="F5488" t="s">
        <v>703</v>
      </c>
      <c r="G5488" t="s">
        <v>972</v>
      </c>
      <c r="H5488">
        <v>82</v>
      </c>
      <c r="I5488">
        <v>20.7195</v>
      </c>
      <c r="J5488">
        <v>36.341500000000003</v>
      </c>
      <c r="K5488">
        <v>15.622</v>
      </c>
      <c r="L5488">
        <v>76</v>
      </c>
      <c r="M5488">
        <v>1</v>
      </c>
      <c r="N5488">
        <v>5</v>
      </c>
      <c r="O5488">
        <v>35.624499999999998</v>
      </c>
      <c r="P5488">
        <v>16.355799999999999</v>
      </c>
      <c r="Q5488">
        <v>8.7148800000000008</v>
      </c>
    </row>
    <row r="5489" spans="1:17" x14ac:dyDescent="0.25">
      <c r="A5489" t="str">
        <f>IF(C5489&amp;G5489&amp;D5489&lt;&gt;'Funnel setup'!$K$3&amp;'Funnel setup'!$K$4&amp;'Funnel setup'!$K$6,".",IF(A5488=".",1,A5488+1))</f>
        <v>.</v>
      </c>
      <c r="B5489" s="244" t="str">
        <f t="shared" si="85"/>
        <v>Total Knee ReplacementProviderWEST MIDLANDS HOSPITAL (NVC21)Oxford Knee Score</v>
      </c>
      <c r="C5489" t="s">
        <v>975</v>
      </c>
      <c r="D5489" t="s">
        <v>965</v>
      </c>
      <c r="E5489" t="s">
        <v>704</v>
      </c>
      <c r="F5489" t="s">
        <v>705</v>
      </c>
      <c r="G5489" t="s">
        <v>972</v>
      </c>
      <c r="H5489">
        <v>63</v>
      </c>
      <c r="I5489">
        <v>17.968299999999999</v>
      </c>
      <c r="J5489">
        <v>38.238100000000003</v>
      </c>
      <c r="K5489">
        <v>20.2698</v>
      </c>
      <c r="L5489">
        <v>62</v>
      </c>
      <c r="M5489">
        <v>0</v>
      </c>
      <c r="N5489">
        <v>1</v>
      </c>
      <c r="O5489">
        <v>38.947699999999998</v>
      </c>
      <c r="P5489">
        <v>19.678999999999998</v>
      </c>
      <c r="Q5489">
        <v>7.5543899999999997</v>
      </c>
    </row>
    <row r="5490" spans="1:17" x14ac:dyDescent="0.25">
      <c r="A5490" t="str">
        <f>IF(C5490&amp;G5490&amp;D5490&lt;&gt;'Funnel setup'!$K$3&amp;'Funnel setup'!$K$4&amp;'Funnel setup'!$K$6,".",IF(A5489=".",1,A5489+1))</f>
        <v>.</v>
      </c>
      <c r="B5490" s="244" t="str">
        <f t="shared" si="85"/>
        <v>Total Knee ReplacementProviderWEST SUFFOLK NHS FOUNDATION TRUST (RGR)Oxford Knee Score</v>
      </c>
      <c r="C5490" t="s">
        <v>975</v>
      </c>
      <c r="D5490" t="s">
        <v>965</v>
      </c>
      <c r="E5490" t="s">
        <v>706</v>
      </c>
      <c r="F5490" t="s">
        <v>707</v>
      </c>
      <c r="G5490" t="s">
        <v>972</v>
      </c>
      <c r="H5490">
        <v>74</v>
      </c>
      <c r="I5490">
        <v>16.554099999999998</v>
      </c>
      <c r="J5490">
        <v>34.040500000000002</v>
      </c>
      <c r="K5490">
        <v>17.486499999999999</v>
      </c>
      <c r="L5490">
        <v>71</v>
      </c>
      <c r="M5490">
        <v>0</v>
      </c>
      <c r="N5490">
        <v>3</v>
      </c>
      <c r="O5490">
        <v>34.643300000000004</v>
      </c>
      <c r="P5490">
        <v>15.374700000000001</v>
      </c>
      <c r="Q5490">
        <v>8.0256399999999992</v>
      </c>
    </row>
    <row r="5491" spans="1:17" x14ac:dyDescent="0.25">
      <c r="A5491" t="str">
        <f>IF(C5491&amp;G5491&amp;D5491&lt;&gt;'Funnel setup'!$K$3&amp;'Funnel setup'!$K$4&amp;'Funnel setup'!$K$6,".",IF(A5490=".",1,A5490+1))</f>
        <v>.</v>
      </c>
      <c r="B5491" s="244" t="str">
        <f t="shared" si="85"/>
        <v>Total Knee ReplacementProviderWINFIELD HOSPITAL (NVC22)Oxford Knee Score</v>
      </c>
      <c r="C5491" t="s">
        <v>975</v>
      </c>
      <c r="D5491" t="s">
        <v>965</v>
      </c>
      <c r="E5491" t="s">
        <v>710</v>
      </c>
      <c r="F5491" t="s">
        <v>711</v>
      </c>
      <c r="G5491" t="s">
        <v>972</v>
      </c>
      <c r="H5491">
        <v>54</v>
      </c>
      <c r="I5491">
        <v>21.777799999999999</v>
      </c>
      <c r="J5491">
        <v>38.981499999999997</v>
      </c>
      <c r="K5491">
        <v>17.203700000000001</v>
      </c>
      <c r="L5491">
        <v>50</v>
      </c>
      <c r="M5491">
        <v>0</v>
      </c>
      <c r="N5491">
        <v>4</v>
      </c>
      <c r="O5491">
        <v>37.014899999999997</v>
      </c>
      <c r="P5491">
        <v>17.746200000000002</v>
      </c>
      <c r="Q5491">
        <v>8.6046700000000005</v>
      </c>
    </row>
    <row r="5492" spans="1:17" x14ac:dyDescent="0.25">
      <c r="A5492" t="str">
        <f>IF(C5492&amp;G5492&amp;D5492&lt;&gt;'Funnel setup'!$K$3&amp;'Funnel setup'!$K$4&amp;'Funnel setup'!$K$6,".",IF(A5491=".",1,A5491+1))</f>
        <v>.</v>
      </c>
      <c r="B5492" s="244" t="str">
        <f t="shared" si="85"/>
        <v>Total Knee ReplacementProviderWINTERBOURNE HOSPITAL (NT443)Oxford Knee Score</v>
      </c>
      <c r="C5492" t="s">
        <v>975</v>
      </c>
      <c r="D5492" t="s">
        <v>965</v>
      </c>
      <c r="E5492" t="s">
        <v>712</v>
      </c>
      <c r="F5492" t="s">
        <v>713</v>
      </c>
      <c r="G5492" t="s">
        <v>972</v>
      </c>
      <c r="H5492">
        <v>40</v>
      </c>
      <c r="I5492">
        <v>20.5</v>
      </c>
      <c r="J5492">
        <v>40.274999999999999</v>
      </c>
      <c r="K5492">
        <v>19.774999999999999</v>
      </c>
      <c r="L5492">
        <v>39</v>
      </c>
      <c r="M5492">
        <v>0</v>
      </c>
      <c r="N5492">
        <v>1</v>
      </c>
      <c r="O5492">
        <v>38.9041</v>
      </c>
      <c r="P5492">
        <v>19.635400000000001</v>
      </c>
      <c r="Q5492">
        <v>6.4700800000000003</v>
      </c>
    </row>
    <row r="5493" spans="1:17" x14ac:dyDescent="0.25">
      <c r="A5493" t="str">
        <f>IF(C5493&amp;G5493&amp;D5493&lt;&gt;'Funnel setup'!$K$3&amp;'Funnel setup'!$K$4&amp;'Funnel setup'!$K$6,".",IF(A5492=".",1,A5492+1))</f>
        <v>.</v>
      </c>
      <c r="B5493" s="244" t="str">
        <f t="shared" si="85"/>
        <v>Total Knee ReplacementProviderWIRRAL UNIVERSITY TEACHING HOSPITAL NHS FOUNDATION TRUST (RBL)Oxford Knee Score</v>
      </c>
      <c r="C5493" t="s">
        <v>975</v>
      </c>
      <c r="D5493" t="s">
        <v>965</v>
      </c>
      <c r="E5493" t="s">
        <v>714</v>
      </c>
      <c r="F5493" t="s">
        <v>715</v>
      </c>
      <c r="G5493" t="s">
        <v>972</v>
      </c>
      <c r="H5493">
        <v>92</v>
      </c>
      <c r="I5493">
        <v>19.195699999999999</v>
      </c>
      <c r="J5493">
        <v>38.043500000000002</v>
      </c>
      <c r="K5493">
        <v>18.847799999999999</v>
      </c>
      <c r="L5493">
        <v>86</v>
      </c>
      <c r="M5493">
        <v>0</v>
      </c>
      <c r="N5493">
        <v>6</v>
      </c>
      <c r="O5493">
        <v>38.133899999999997</v>
      </c>
      <c r="P5493">
        <v>18.865300000000001</v>
      </c>
      <c r="Q5493">
        <v>8.6602099999999993</v>
      </c>
    </row>
    <row r="5494" spans="1:17" x14ac:dyDescent="0.25">
      <c r="A5494" t="str">
        <f>IF(C5494&amp;G5494&amp;D5494&lt;&gt;'Funnel setup'!$K$3&amp;'Funnel setup'!$K$4&amp;'Funnel setup'!$K$6,".",IF(A5493=".",1,A5493+1))</f>
        <v>.</v>
      </c>
      <c r="B5494" s="244" t="str">
        <f t="shared" si="85"/>
        <v>Total Knee ReplacementProviderWOODLAND HOSPITAL (NVC23)Oxford Knee Score</v>
      </c>
      <c r="C5494" t="s">
        <v>975</v>
      </c>
      <c r="D5494" t="s">
        <v>965</v>
      </c>
      <c r="E5494" t="s">
        <v>716</v>
      </c>
      <c r="F5494" t="s">
        <v>717</v>
      </c>
      <c r="G5494" t="s">
        <v>972</v>
      </c>
      <c r="H5494">
        <v>64</v>
      </c>
      <c r="I5494">
        <v>15.875</v>
      </c>
      <c r="J5494">
        <v>36.765599999999999</v>
      </c>
      <c r="K5494">
        <v>20.890599999999999</v>
      </c>
      <c r="L5494">
        <v>63</v>
      </c>
      <c r="M5494">
        <v>0</v>
      </c>
      <c r="N5494">
        <v>1</v>
      </c>
      <c r="O5494">
        <v>37.688899999999997</v>
      </c>
      <c r="P5494">
        <v>18.420300000000001</v>
      </c>
      <c r="Q5494">
        <v>8.5985399999999998</v>
      </c>
    </row>
    <row r="5495" spans="1:17" x14ac:dyDescent="0.25">
      <c r="A5495" t="str">
        <f>IF(C5495&amp;G5495&amp;D5495&lt;&gt;'Funnel setup'!$K$3&amp;'Funnel setup'!$K$4&amp;'Funnel setup'!$K$6,".",IF(A5494=".",1,A5494+1))</f>
        <v>.</v>
      </c>
      <c r="B5495" s="244" t="str">
        <f t="shared" si="85"/>
        <v>Total Knee ReplacementProviderWOODLANDS HOSPITAL (NT457)Oxford Knee Score</v>
      </c>
      <c r="C5495" t="s">
        <v>975</v>
      </c>
      <c r="D5495" t="s">
        <v>965</v>
      </c>
      <c r="E5495" t="s">
        <v>718</v>
      </c>
      <c r="F5495" t="s">
        <v>719</v>
      </c>
      <c r="G5495" t="s">
        <v>972</v>
      </c>
      <c r="H5495">
        <v>92</v>
      </c>
      <c r="I5495">
        <v>20.456499999999998</v>
      </c>
      <c r="J5495">
        <v>39.510899999999999</v>
      </c>
      <c r="K5495">
        <v>19.054300000000001</v>
      </c>
      <c r="L5495">
        <v>88</v>
      </c>
      <c r="M5495">
        <v>0</v>
      </c>
      <c r="N5495">
        <v>4</v>
      </c>
      <c r="O5495">
        <v>38.220399999999998</v>
      </c>
      <c r="P5495">
        <v>18.951799999999999</v>
      </c>
      <c r="Q5495">
        <v>7.8057400000000001</v>
      </c>
    </row>
    <row r="5496" spans="1:17" x14ac:dyDescent="0.25">
      <c r="A5496" t="str">
        <f>IF(C5496&amp;G5496&amp;D5496&lt;&gt;'Funnel setup'!$K$3&amp;'Funnel setup'!$K$4&amp;'Funnel setup'!$K$6,".",IF(A5495=".",1,A5495+1))</f>
        <v>.</v>
      </c>
      <c r="B5496" s="244" t="str">
        <f t="shared" si="85"/>
        <v>Total Knee ReplacementProviderWOODTHORPE HOSPITAL (NVC40)Oxford Knee Score</v>
      </c>
      <c r="C5496" t="s">
        <v>975</v>
      </c>
      <c r="D5496" t="s">
        <v>965</v>
      </c>
      <c r="E5496" t="s">
        <v>720</v>
      </c>
      <c r="F5496" t="s">
        <v>721</v>
      </c>
      <c r="G5496" t="s">
        <v>972</v>
      </c>
      <c r="H5496">
        <v>128</v>
      </c>
      <c r="I5496">
        <v>20.107700000000001</v>
      </c>
      <c r="J5496">
        <v>37.238500000000002</v>
      </c>
      <c r="K5496">
        <v>17.130800000000001</v>
      </c>
      <c r="L5496">
        <v>122</v>
      </c>
      <c r="M5496">
        <v>1</v>
      </c>
      <c r="N5496">
        <v>5</v>
      </c>
      <c r="O5496">
        <v>36.005299999999998</v>
      </c>
      <c r="P5496">
        <v>16.736599999999999</v>
      </c>
      <c r="Q5496">
        <v>7.7922200000000004</v>
      </c>
    </row>
    <row r="5497" spans="1:17" x14ac:dyDescent="0.25">
      <c r="A5497" t="str">
        <f>IF(C5497&amp;G5497&amp;D5497&lt;&gt;'Funnel setup'!$K$3&amp;'Funnel setup'!$K$4&amp;'Funnel setup'!$K$6,".",IF(A5496=".",1,A5496+1))</f>
        <v>.</v>
      </c>
      <c r="B5497" s="244" t="str">
        <f t="shared" si="85"/>
        <v>Total Knee ReplacementProviderWORCESTERSHIRE ACUTE HOSPITALS NHS TRUST (RWP)Oxford Knee Score</v>
      </c>
      <c r="C5497" t="s">
        <v>975</v>
      </c>
      <c r="D5497" t="s">
        <v>965</v>
      </c>
      <c r="E5497" t="s">
        <v>722</v>
      </c>
      <c r="F5497" t="s">
        <v>723</v>
      </c>
      <c r="G5497" t="s">
        <v>972</v>
      </c>
      <c r="H5497">
        <v>48</v>
      </c>
      <c r="I5497">
        <v>15.625</v>
      </c>
      <c r="J5497">
        <v>33.604199999999999</v>
      </c>
      <c r="K5497">
        <v>17.979199999999999</v>
      </c>
      <c r="L5497">
        <v>47</v>
      </c>
      <c r="M5497">
        <v>0</v>
      </c>
      <c r="N5497">
        <v>1</v>
      </c>
      <c r="O5497">
        <v>35.302799999999998</v>
      </c>
      <c r="P5497">
        <v>16.034199999999998</v>
      </c>
      <c r="Q5497">
        <v>8.2343200000000003</v>
      </c>
    </row>
    <row r="5498" spans="1:17" x14ac:dyDescent="0.25">
      <c r="A5498" t="str">
        <f>IF(C5498&amp;G5498&amp;D5498&lt;&gt;'Funnel setup'!$K$3&amp;'Funnel setup'!$K$4&amp;'Funnel setup'!$K$6,".",IF(A5497=".",1,A5497+1))</f>
        <v>.</v>
      </c>
      <c r="B5498" s="244" t="str">
        <f t="shared" si="85"/>
        <v>Total Knee ReplacementProviderWRIGHTINGTON, WIGAN AND LEIGH NHS FOUNDATION TRUST (RRF)Oxford Knee Score</v>
      </c>
      <c r="C5498" t="s">
        <v>975</v>
      </c>
      <c r="D5498" t="s">
        <v>965</v>
      </c>
      <c r="E5498" t="s">
        <v>724</v>
      </c>
      <c r="F5498" t="s">
        <v>725</v>
      </c>
      <c r="G5498" t="s">
        <v>972</v>
      </c>
      <c r="H5498">
        <v>13</v>
      </c>
      <c r="I5498">
        <v>17.769200000000001</v>
      </c>
      <c r="J5498">
        <v>38.769199999999998</v>
      </c>
      <c r="K5498">
        <v>21</v>
      </c>
      <c r="L5498">
        <v>12</v>
      </c>
      <c r="M5498">
        <v>0</v>
      </c>
      <c r="N5498">
        <v>1</v>
      </c>
      <c r="O5498" t="s">
        <v>127</v>
      </c>
      <c r="P5498" t="s">
        <v>127</v>
      </c>
      <c r="Q5498" t="s">
        <v>127</v>
      </c>
    </row>
    <row r="5499" spans="1:17" x14ac:dyDescent="0.25">
      <c r="A5499" t="str">
        <f>IF(C5499&amp;G5499&amp;D5499&lt;&gt;'Funnel setup'!$K$3&amp;'Funnel setup'!$K$4&amp;'Funnel setup'!$K$6,".",IF(A5498=".",1,A5498+1))</f>
        <v>.</v>
      </c>
      <c r="B5499" s="244" t="str">
        <f t="shared" si="85"/>
        <v>Total Knee ReplacementProviderWYE VALLEY NHS TRUST (RLQ)Oxford Knee Score</v>
      </c>
      <c r="C5499" t="s">
        <v>975</v>
      </c>
      <c r="D5499" t="s">
        <v>965</v>
      </c>
      <c r="E5499" t="s">
        <v>726</v>
      </c>
      <c r="F5499" t="s">
        <v>727</v>
      </c>
      <c r="G5499" t="s">
        <v>972</v>
      </c>
      <c r="H5499">
        <v>37</v>
      </c>
      <c r="I5499">
        <v>22.1892</v>
      </c>
      <c r="J5499">
        <v>36</v>
      </c>
      <c r="K5499">
        <v>13.8108</v>
      </c>
      <c r="L5499">
        <v>32</v>
      </c>
      <c r="M5499">
        <v>0</v>
      </c>
      <c r="N5499">
        <v>5</v>
      </c>
      <c r="O5499">
        <v>35.126199999999997</v>
      </c>
      <c r="P5499">
        <v>15.8576</v>
      </c>
      <c r="Q5499">
        <v>9.6227199999999993</v>
      </c>
    </row>
    <row r="5500" spans="1:17" x14ac:dyDescent="0.25">
      <c r="A5500" t="str">
        <f>IF(C5500&amp;G5500&amp;D5500&lt;&gt;'Funnel setup'!$K$3&amp;'Funnel setup'!$K$4&amp;'Funnel setup'!$K$6,".",IF(A5499=".",1,A5499+1))</f>
        <v>.</v>
      </c>
      <c r="B5500" s="244" t="str">
        <f t="shared" si="85"/>
        <v>Total Knee ReplacementProviderYEOVIL DISTRICT HOSPITAL NHS FOUNDATION TRUST (RA4)Oxford Knee Score</v>
      </c>
      <c r="C5500" t="s">
        <v>975</v>
      </c>
      <c r="D5500" t="s">
        <v>965</v>
      </c>
      <c r="E5500" t="s">
        <v>728</v>
      </c>
      <c r="F5500" t="s">
        <v>729</v>
      </c>
      <c r="G5500" t="s">
        <v>972</v>
      </c>
      <c r="H5500">
        <v>1</v>
      </c>
      <c r="I5500">
        <v>27</v>
      </c>
      <c r="J5500">
        <v>32</v>
      </c>
      <c r="K5500">
        <v>5</v>
      </c>
      <c r="L5500">
        <v>1</v>
      </c>
      <c r="M5500">
        <v>0</v>
      </c>
      <c r="N5500">
        <v>0</v>
      </c>
      <c r="O5500" t="s">
        <v>127</v>
      </c>
      <c r="P5500" t="s">
        <v>127</v>
      </c>
      <c r="Q5500" t="s">
        <v>127</v>
      </c>
    </row>
    <row r="5501" spans="1:17" x14ac:dyDescent="0.25">
      <c r="A5501" t="str">
        <f>IF(C5501&amp;G5501&amp;D5501&lt;&gt;'Funnel setup'!$K$3&amp;'Funnel setup'!$K$4&amp;'Funnel setup'!$K$6,".",IF(A5500=".",1,A5500+1))</f>
        <v>.</v>
      </c>
      <c r="B5501" s="244" t="str">
        <f t="shared" si="85"/>
        <v/>
      </c>
    </row>
    <row r="5502" spans="1:17" x14ac:dyDescent="0.25">
      <c r="A5502" t="str">
        <f>IF(C5502&amp;G5502&amp;D5502&lt;&gt;'Funnel setup'!$K$3&amp;'Funnel setup'!$K$4&amp;'Funnel setup'!$K$6,".",IF(A5501=".",1,A5501+1))</f>
        <v>.</v>
      </c>
      <c r="B5502" s="244" t="str">
        <f t="shared" si="85"/>
        <v/>
      </c>
    </row>
    <row r="5503" spans="1:17" x14ac:dyDescent="0.25">
      <c r="A5503" t="str">
        <f>IF(C5503&amp;G5503&amp;D5503&lt;&gt;'Funnel setup'!$K$3&amp;'Funnel setup'!$K$4&amp;'Funnel setup'!$K$6,".",IF(A5502=".",1,A5502+1))</f>
        <v>.</v>
      </c>
      <c r="B5503" s="244" t="str">
        <f t="shared" si="85"/>
        <v/>
      </c>
    </row>
    <row r="5504" spans="1:17" x14ac:dyDescent="0.25">
      <c r="A5504" t="str">
        <f>IF(C5504&amp;G5504&amp;D5504&lt;&gt;'Funnel setup'!$K$3&amp;'Funnel setup'!$K$4&amp;'Funnel setup'!$K$6,".",IF(A5503=".",1,A5503+1))</f>
        <v>.</v>
      </c>
      <c r="B5504" s="244" t="str">
        <f t="shared" si="85"/>
        <v/>
      </c>
    </row>
    <row r="5505" spans="1:2" x14ac:dyDescent="0.25">
      <c r="A5505" t="str">
        <f>IF(C5505&amp;G5505&amp;D5505&lt;&gt;'Funnel setup'!$K$3&amp;'Funnel setup'!$K$4&amp;'Funnel setup'!$K$6,".",IF(A5504=".",1,A5504+1))</f>
        <v>.</v>
      </c>
      <c r="B5505" s="244" t="str">
        <f t="shared" si="85"/>
        <v/>
      </c>
    </row>
    <row r="5506" spans="1:2" x14ac:dyDescent="0.25">
      <c r="A5506" t="str">
        <f>IF(C5506&amp;G5506&amp;D5506&lt;&gt;'Funnel setup'!$K$3&amp;'Funnel setup'!$K$4&amp;'Funnel setup'!$K$6,".",IF(A5505=".",1,A5505+1))</f>
        <v>.</v>
      </c>
      <c r="B5506" s="244" t="str">
        <f t="shared" ref="B5506:B5569" si="86">C5506&amp;D5506&amp;F5506&amp;G5506</f>
        <v/>
      </c>
    </row>
    <row r="5507" spans="1:2" x14ac:dyDescent="0.25">
      <c r="A5507" t="str">
        <f>IF(C5507&amp;G5507&amp;D5507&lt;&gt;'Funnel setup'!$K$3&amp;'Funnel setup'!$K$4&amp;'Funnel setup'!$K$6,".",IF(A5506=".",1,A5506+1))</f>
        <v>.</v>
      </c>
      <c r="B5507" s="244" t="str">
        <f t="shared" si="86"/>
        <v/>
      </c>
    </row>
    <row r="5508" spans="1:2" x14ac:dyDescent="0.25">
      <c r="A5508" t="str">
        <f>IF(C5508&amp;G5508&amp;D5508&lt;&gt;'Funnel setup'!$K$3&amp;'Funnel setup'!$K$4&amp;'Funnel setup'!$K$6,".",IF(A5507=".",1,A5507+1))</f>
        <v>.</v>
      </c>
      <c r="B5508" s="244" t="str">
        <f t="shared" si="86"/>
        <v/>
      </c>
    </row>
    <row r="5509" spans="1:2" x14ac:dyDescent="0.25">
      <c r="A5509" t="str">
        <f>IF(C5509&amp;G5509&amp;D5509&lt;&gt;'Funnel setup'!$K$3&amp;'Funnel setup'!$K$4&amp;'Funnel setup'!$K$6,".",IF(A5508=".",1,A5508+1))</f>
        <v>.</v>
      </c>
      <c r="B5509" s="244" t="str">
        <f t="shared" si="86"/>
        <v/>
      </c>
    </row>
    <row r="5510" spans="1:2" x14ac:dyDescent="0.25">
      <c r="A5510" t="str">
        <f>IF(C5510&amp;G5510&amp;D5510&lt;&gt;'Funnel setup'!$K$3&amp;'Funnel setup'!$K$4&amp;'Funnel setup'!$K$6,".",IF(A5509=".",1,A5509+1))</f>
        <v>.</v>
      </c>
      <c r="B5510" s="244" t="str">
        <f t="shared" si="86"/>
        <v/>
      </c>
    </row>
    <row r="5511" spans="1:2" x14ac:dyDescent="0.25">
      <c r="A5511" t="str">
        <f>IF(C5511&amp;G5511&amp;D5511&lt;&gt;'Funnel setup'!$K$3&amp;'Funnel setup'!$K$4&amp;'Funnel setup'!$K$6,".",IF(A5510=".",1,A5510+1))</f>
        <v>.</v>
      </c>
      <c r="B5511" s="244" t="str">
        <f t="shared" si="86"/>
        <v/>
      </c>
    </row>
    <row r="5512" spans="1:2" x14ac:dyDescent="0.25">
      <c r="A5512" t="str">
        <f>IF(C5512&amp;G5512&amp;D5512&lt;&gt;'Funnel setup'!$K$3&amp;'Funnel setup'!$K$4&amp;'Funnel setup'!$K$6,".",IF(A5511=".",1,A5511+1))</f>
        <v>.</v>
      </c>
      <c r="B5512" s="244" t="str">
        <f t="shared" si="86"/>
        <v/>
      </c>
    </row>
    <row r="5513" spans="1:2" x14ac:dyDescent="0.25">
      <c r="A5513" t="str">
        <f>IF(C5513&amp;G5513&amp;D5513&lt;&gt;'Funnel setup'!$K$3&amp;'Funnel setup'!$K$4&amp;'Funnel setup'!$K$6,".",IF(A5512=".",1,A5512+1))</f>
        <v>.</v>
      </c>
      <c r="B5513" s="244" t="str">
        <f t="shared" si="86"/>
        <v/>
      </c>
    </row>
    <row r="5514" spans="1:2" x14ac:dyDescent="0.25">
      <c r="A5514" t="str">
        <f>IF(C5514&amp;G5514&amp;D5514&lt;&gt;'Funnel setup'!$K$3&amp;'Funnel setup'!$K$4&amp;'Funnel setup'!$K$6,".",IF(A5513=".",1,A5513+1))</f>
        <v>.</v>
      </c>
      <c r="B5514" s="244" t="str">
        <f t="shared" si="86"/>
        <v/>
      </c>
    </row>
    <row r="5515" spans="1:2" x14ac:dyDescent="0.25">
      <c r="A5515" t="str">
        <f>IF(C5515&amp;G5515&amp;D5515&lt;&gt;'Funnel setup'!$K$3&amp;'Funnel setup'!$K$4&amp;'Funnel setup'!$K$6,".",IF(A5514=".",1,A5514+1))</f>
        <v>.</v>
      </c>
      <c r="B5515" s="244" t="str">
        <f t="shared" si="86"/>
        <v/>
      </c>
    </row>
    <row r="5516" spans="1:2" x14ac:dyDescent="0.25">
      <c r="A5516" t="str">
        <f>IF(C5516&amp;G5516&amp;D5516&lt;&gt;'Funnel setup'!$K$3&amp;'Funnel setup'!$K$4&amp;'Funnel setup'!$K$6,".",IF(A5515=".",1,A5515+1))</f>
        <v>.</v>
      </c>
      <c r="B5516" s="244" t="str">
        <f t="shared" si="86"/>
        <v/>
      </c>
    </row>
    <row r="5517" spans="1:2" x14ac:dyDescent="0.25">
      <c r="A5517" t="str">
        <f>IF(C5517&amp;G5517&amp;D5517&lt;&gt;'Funnel setup'!$K$3&amp;'Funnel setup'!$K$4&amp;'Funnel setup'!$K$6,".",IF(A5516=".",1,A5516+1))</f>
        <v>.</v>
      </c>
      <c r="B5517" s="244" t="str">
        <f t="shared" si="86"/>
        <v/>
      </c>
    </row>
    <row r="5518" spans="1:2" x14ac:dyDescent="0.25">
      <c r="A5518" t="str">
        <f>IF(C5518&amp;G5518&amp;D5518&lt;&gt;'Funnel setup'!$K$3&amp;'Funnel setup'!$K$4&amp;'Funnel setup'!$K$6,".",IF(A5517=".",1,A5517+1))</f>
        <v>.</v>
      </c>
      <c r="B5518" s="244" t="str">
        <f t="shared" si="86"/>
        <v/>
      </c>
    </row>
    <row r="5519" spans="1:2" x14ac:dyDescent="0.25">
      <c r="A5519" t="str">
        <f>IF(C5519&amp;G5519&amp;D5519&lt;&gt;'Funnel setup'!$K$3&amp;'Funnel setup'!$K$4&amp;'Funnel setup'!$K$6,".",IF(A5518=".",1,A5518+1))</f>
        <v>.</v>
      </c>
      <c r="B5519" s="244" t="str">
        <f t="shared" si="86"/>
        <v/>
      </c>
    </row>
    <row r="5520" spans="1:2" x14ac:dyDescent="0.25">
      <c r="A5520" t="str">
        <f>IF(C5520&amp;G5520&amp;D5520&lt;&gt;'Funnel setup'!$K$3&amp;'Funnel setup'!$K$4&amp;'Funnel setup'!$K$6,".",IF(A5519=".",1,A5519+1))</f>
        <v>.</v>
      </c>
      <c r="B5520" s="244" t="str">
        <f t="shared" si="86"/>
        <v/>
      </c>
    </row>
    <row r="5521" spans="1:2" x14ac:dyDescent="0.25">
      <c r="A5521" t="str">
        <f>IF(C5521&amp;G5521&amp;D5521&lt;&gt;'Funnel setup'!$K$3&amp;'Funnel setup'!$K$4&amp;'Funnel setup'!$K$6,".",IF(A5520=".",1,A5520+1))</f>
        <v>.</v>
      </c>
      <c r="B5521" s="244" t="str">
        <f t="shared" si="86"/>
        <v/>
      </c>
    </row>
    <row r="5522" spans="1:2" x14ac:dyDescent="0.25">
      <c r="A5522" t="str">
        <f>IF(C5522&amp;G5522&amp;D5522&lt;&gt;'Funnel setup'!$K$3&amp;'Funnel setup'!$K$4&amp;'Funnel setup'!$K$6,".",IF(A5521=".",1,A5521+1))</f>
        <v>.</v>
      </c>
      <c r="B5522" s="244" t="str">
        <f t="shared" si="86"/>
        <v/>
      </c>
    </row>
    <row r="5523" spans="1:2" x14ac:dyDescent="0.25">
      <c r="A5523" t="str">
        <f>IF(C5523&amp;G5523&amp;D5523&lt;&gt;'Funnel setup'!$K$3&amp;'Funnel setup'!$K$4&amp;'Funnel setup'!$K$6,".",IF(A5522=".",1,A5522+1))</f>
        <v>.</v>
      </c>
      <c r="B5523" s="244" t="str">
        <f t="shared" si="86"/>
        <v/>
      </c>
    </row>
    <row r="5524" spans="1:2" x14ac:dyDescent="0.25">
      <c r="A5524" t="str">
        <f>IF(C5524&amp;G5524&amp;D5524&lt;&gt;'Funnel setup'!$K$3&amp;'Funnel setup'!$K$4&amp;'Funnel setup'!$K$6,".",IF(A5523=".",1,A5523+1))</f>
        <v>.</v>
      </c>
      <c r="B5524" s="244" t="str">
        <f t="shared" si="86"/>
        <v/>
      </c>
    </row>
    <row r="5525" spans="1:2" x14ac:dyDescent="0.25">
      <c r="A5525" t="str">
        <f>IF(C5525&amp;G5525&amp;D5525&lt;&gt;'Funnel setup'!$K$3&amp;'Funnel setup'!$K$4&amp;'Funnel setup'!$K$6,".",IF(A5524=".",1,A5524+1))</f>
        <v>.</v>
      </c>
      <c r="B5525" s="244" t="str">
        <f t="shared" si="86"/>
        <v/>
      </c>
    </row>
    <row r="5526" spans="1:2" x14ac:dyDescent="0.25">
      <c r="A5526" t="str">
        <f>IF(C5526&amp;G5526&amp;D5526&lt;&gt;'Funnel setup'!$K$3&amp;'Funnel setup'!$K$4&amp;'Funnel setup'!$K$6,".",IF(A5525=".",1,A5525+1))</f>
        <v>.</v>
      </c>
      <c r="B5526" s="244" t="str">
        <f t="shared" si="86"/>
        <v/>
      </c>
    </row>
    <row r="5527" spans="1:2" x14ac:dyDescent="0.25">
      <c r="A5527" t="str">
        <f>IF(C5527&amp;G5527&amp;D5527&lt;&gt;'Funnel setup'!$K$3&amp;'Funnel setup'!$K$4&amp;'Funnel setup'!$K$6,".",IF(A5526=".",1,A5526+1))</f>
        <v>.</v>
      </c>
      <c r="B5527" s="244" t="str">
        <f t="shared" si="86"/>
        <v/>
      </c>
    </row>
    <row r="5528" spans="1:2" x14ac:dyDescent="0.25">
      <c r="A5528" t="str">
        <f>IF(C5528&amp;G5528&amp;D5528&lt;&gt;'Funnel setup'!$K$3&amp;'Funnel setup'!$K$4&amp;'Funnel setup'!$K$6,".",IF(A5527=".",1,A5527+1))</f>
        <v>.</v>
      </c>
      <c r="B5528" s="244" t="str">
        <f t="shared" si="86"/>
        <v/>
      </c>
    </row>
    <row r="5529" spans="1:2" x14ac:dyDescent="0.25">
      <c r="A5529" t="str">
        <f>IF(C5529&amp;G5529&amp;D5529&lt;&gt;'Funnel setup'!$K$3&amp;'Funnel setup'!$K$4&amp;'Funnel setup'!$K$6,".",IF(A5528=".",1,A5528+1))</f>
        <v>.</v>
      </c>
      <c r="B5529" s="244" t="str">
        <f t="shared" si="86"/>
        <v/>
      </c>
    </row>
    <row r="5530" spans="1:2" x14ac:dyDescent="0.25">
      <c r="A5530" t="str">
        <f>IF(C5530&amp;G5530&amp;D5530&lt;&gt;'Funnel setup'!$K$3&amp;'Funnel setup'!$K$4&amp;'Funnel setup'!$K$6,".",IF(A5529=".",1,A5529+1))</f>
        <v>.</v>
      </c>
      <c r="B5530" s="244" t="str">
        <f t="shared" si="86"/>
        <v/>
      </c>
    </row>
    <row r="5531" spans="1:2" x14ac:dyDescent="0.25">
      <c r="A5531" t="str">
        <f>IF(C5531&amp;G5531&amp;D5531&lt;&gt;'Funnel setup'!$K$3&amp;'Funnel setup'!$K$4&amp;'Funnel setup'!$K$6,".",IF(A5530=".",1,A5530+1))</f>
        <v>.</v>
      </c>
      <c r="B5531" s="244" t="str">
        <f t="shared" si="86"/>
        <v/>
      </c>
    </row>
    <row r="5532" spans="1:2" x14ac:dyDescent="0.25">
      <c r="A5532" t="str">
        <f>IF(C5532&amp;G5532&amp;D5532&lt;&gt;'Funnel setup'!$K$3&amp;'Funnel setup'!$K$4&amp;'Funnel setup'!$K$6,".",IF(A5531=".",1,A5531+1))</f>
        <v>.</v>
      </c>
      <c r="B5532" s="244" t="str">
        <f t="shared" si="86"/>
        <v/>
      </c>
    </row>
    <row r="5533" spans="1:2" x14ac:dyDescent="0.25">
      <c r="A5533" t="str">
        <f>IF(C5533&amp;G5533&amp;D5533&lt;&gt;'Funnel setup'!$K$3&amp;'Funnel setup'!$K$4&amp;'Funnel setup'!$K$6,".",IF(A5532=".",1,A5532+1))</f>
        <v>.</v>
      </c>
      <c r="B5533" s="244" t="str">
        <f t="shared" si="86"/>
        <v/>
      </c>
    </row>
    <row r="5534" spans="1:2" x14ac:dyDescent="0.25">
      <c r="A5534" t="str">
        <f>IF(C5534&amp;G5534&amp;D5534&lt;&gt;'Funnel setup'!$K$3&amp;'Funnel setup'!$K$4&amp;'Funnel setup'!$K$6,".",IF(A5533=".",1,A5533+1))</f>
        <v>.</v>
      </c>
      <c r="B5534" s="244" t="str">
        <f t="shared" si="86"/>
        <v/>
      </c>
    </row>
    <row r="5535" spans="1:2" x14ac:dyDescent="0.25">
      <c r="A5535" t="str">
        <f>IF(C5535&amp;G5535&amp;D5535&lt;&gt;'Funnel setup'!$K$3&amp;'Funnel setup'!$K$4&amp;'Funnel setup'!$K$6,".",IF(A5534=".",1,A5534+1))</f>
        <v>.</v>
      </c>
      <c r="B5535" s="244" t="str">
        <f t="shared" si="86"/>
        <v/>
      </c>
    </row>
    <row r="5536" spans="1:2" x14ac:dyDescent="0.25">
      <c r="A5536" t="str">
        <f>IF(C5536&amp;G5536&amp;D5536&lt;&gt;'Funnel setup'!$K$3&amp;'Funnel setup'!$K$4&amp;'Funnel setup'!$K$6,".",IF(A5535=".",1,A5535+1))</f>
        <v>.</v>
      </c>
      <c r="B5536" s="244" t="str">
        <f t="shared" si="86"/>
        <v/>
      </c>
    </row>
    <row r="5537" spans="1:2" x14ac:dyDescent="0.25">
      <c r="A5537" t="str">
        <f>IF(C5537&amp;G5537&amp;D5537&lt;&gt;'Funnel setup'!$K$3&amp;'Funnel setup'!$K$4&amp;'Funnel setup'!$K$6,".",IF(A5536=".",1,A5536+1))</f>
        <v>.</v>
      </c>
      <c r="B5537" s="244" t="str">
        <f t="shared" si="86"/>
        <v/>
      </c>
    </row>
    <row r="5538" spans="1:2" x14ac:dyDescent="0.25">
      <c r="A5538" t="str">
        <f>IF(C5538&amp;G5538&amp;D5538&lt;&gt;'Funnel setup'!$K$3&amp;'Funnel setup'!$K$4&amp;'Funnel setup'!$K$6,".",IF(A5537=".",1,A5537+1))</f>
        <v>.</v>
      </c>
      <c r="B5538" s="244" t="str">
        <f t="shared" si="86"/>
        <v/>
      </c>
    </row>
    <row r="5539" spans="1:2" x14ac:dyDescent="0.25">
      <c r="A5539" t="str">
        <f>IF(C5539&amp;G5539&amp;D5539&lt;&gt;'Funnel setup'!$K$3&amp;'Funnel setup'!$K$4&amp;'Funnel setup'!$K$6,".",IF(A5538=".",1,A5538+1))</f>
        <v>.</v>
      </c>
      <c r="B5539" s="244" t="str">
        <f t="shared" si="86"/>
        <v/>
      </c>
    </row>
    <row r="5540" spans="1:2" x14ac:dyDescent="0.25">
      <c r="A5540" t="str">
        <f>IF(C5540&amp;G5540&amp;D5540&lt;&gt;'Funnel setup'!$K$3&amp;'Funnel setup'!$K$4&amp;'Funnel setup'!$K$6,".",IF(A5539=".",1,A5539+1))</f>
        <v>.</v>
      </c>
      <c r="B5540" s="244" t="str">
        <f t="shared" si="86"/>
        <v/>
      </c>
    </row>
    <row r="5541" spans="1:2" x14ac:dyDescent="0.25">
      <c r="A5541" t="str">
        <f>IF(C5541&amp;G5541&amp;D5541&lt;&gt;'Funnel setup'!$K$3&amp;'Funnel setup'!$K$4&amp;'Funnel setup'!$K$6,".",IF(A5540=".",1,A5540+1))</f>
        <v>.</v>
      </c>
      <c r="B5541" s="244" t="str">
        <f t="shared" si="86"/>
        <v/>
      </c>
    </row>
    <row r="5542" spans="1:2" x14ac:dyDescent="0.25">
      <c r="A5542" t="str">
        <f>IF(C5542&amp;G5542&amp;D5542&lt;&gt;'Funnel setup'!$K$3&amp;'Funnel setup'!$K$4&amp;'Funnel setup'!$K$6,".",IF(A5541=".",1,A5541+1))</f>
        <v>.</v>
      </c>
      <c r="B5542" s="244" t="str">
        <f t="shared" si="86"/>
        <v/>
      </c>
    </row>
    <row r="5543" spans="1:2" x14ac:dyDescent="0.25">
      <c r="A5543" t="str">
        <f>IF(C5543&amp;G5543&amp;D5543&lt;&gt;'Funnel setup'!$K$3&amp;'Funnel setup'!$K$4&amp;'Funnel setup'!$K$6,".",IF(A5542=".",1,A5542+1))</f>
        <v>.</v>
      </c>
      <c r="B5543" s="244" t="str">
        <f t="shared" si="86"/>
        <v/>
      </c>
    </row>
    <row r="5544" spans="1:2" x14ac:dyDescent="0.25">
      <c r="A5544" t="str">
        <f>IF(C5544&amp;G5544&amp;D5544&lt;&gt;'Funnel setup'!$K$3&amp;'Funnel setup'!$K$4&amp;'Funnel setup'!$K$6,".",IF(A5543=".",1,A5543+1))</f>
        <v>.</v>
      </c>
      <c r="B5544" s="244" t="str">
        <f t="shared" si="86"/>
        <v/>
      </c>
    </row>
    <row r="5545" spans="1:2" x14ac:dyDescent="0.25">
      <c r="A5545" t="str">
        <f>IF(C5545&amp;G5545&amp;D5545&lt;&gt;'Funnel setup'!$K$3&amp;'Funnel setup'!$K$4&amp;'Funnel setup'!$K$6,".",IF(A5544=".",1,A5544+1))</f>
        <v>.</v>
      </c>
      <c r="B5545" s="244" t="str">
        <f t="shared" si="86"/>
        <v/>
      </c>
    </row>
    <row r="5546" spans="1:2" x14ac:dyDescent="0.25">
      <c r="A5546" t="str">
        <f>IF(C5546&amp;G5546&amp;D5546&lt;&gt;'Funnel setup'!$K$3&amp;'Funnel setup'!$K$4&amp;'Funnel setup'!$K$6,".",IF(A5545=".",1,A5545+1))</f>
        <v>.</v>
      </c>
      <c r="B5546" s="244" t="str">
        <f t="shared" si="86"/>
        <v/>
      </c>
    </row>
    <row r="5547" spans="1:2" x14ac:dyDescent="0.25">
      <c r="A5547" t="str">
        <f>IF(C5547&amp;G5547&amp;D5547&lt;&gt;'Funnel setup'!$K$3&amp;'Funnel setup'!$K$4&amp;'Funnel setup'!$K$6,".",IF(A5546=".",1,A5546+1))</f>
        <v>.</v>
      </c>
      <c r="B5547" s="244" t="str">
        <f t="shared" si="86"/>
        <v/>
      </c>
    </row>
    <row r="5548" spans="1:2" x14ac:dyDescent="0.25">
      <c r="A5548" t="str">
        <f>IF(C5548&amp;G5548&amp;D5548&lt;&gt;'Funnel setup'!$K$3&amp;'Funnel setup'!$K$4&amp;'Funnel setup'!$K$6,".",IF(A5547=".",1,A5547+1))</f>
        <v>.</v>
      </c>
      <c r="B5548" s="244" t="str">
        <f t="shared" si="86"/>
        <v/>
      </c>
    </row>
    <row r="5549" spans="1:2" x14ac:dyDescent="0.25">
      <c r="A5549" t="str">
        <f>IF(C5549&amp;G5549&amp;D5549&lt;&gt;'Funnel setup'!$K$3&amp;'Funnel setup'!$K$4&amp;'Funnel setup'!$K$6,".",IF(A5548=".",1,A5548+1))</f>
        <v>.</v>
      </c>
      <c r="B5549" s="244" t="str">
        <f t="shared" si="86"/>
        <v/>
      </c>
    </row>
    <row r="5550" spans="1:2" x14ac:dyDescent="0.25">
      <c r="A5550" t="str">
        <f>IF(C5550&amp;G5550&amp;D5550&lt;&gt;'Funnel setup'!$K$3&amp;'Funnel setup'!$K$4&amp;'Funnel setup'!$K$6,".",IF(A5549=".",1,A5549+1))</f>
        <v>.</v>
      </c>
      <c r="B5550" s="244" t="str">
        <f t="shared" si="86"/>
        <v/>
      </c>
    </row>
    <row r="5551" spans="1:2" x14ac:dyDescent="0.25">
      <c r="A5551" t="str">
        <f>IF(C5551&amp;G5551&amp;D5551&lt;&gt;'Funnel setup'!$K$3&amp;'Funnel setup'!$K$4&amp;'Funnel setup'!$K$6,".",IF(A5550=".",1,A5550+1))</f>
        <v>.</v>
      </c>
      <c r="B5551" s="244" t="str">
        <f t="shared" si="86"/>
        <v/>
      </c>
    </row>
    <row r="5552" spans="1:2" x14ac:dyDescent="0.25">
      <c r="A5552" t="str">
        <f>IF(C5552&amp;G5552&amp;D5552&lt;&gt;'Funnel setup'!$K$3&amp;'Funnel setup'!$K$4&amp;'Funnel setup'!$K$6,".",IF(A5551=".",1,A5551+1))</f>
        <v>.</v>
      </c>
      <c r="B5552" s="244" t="str">
        <f t="shared" si="86"/>
        <v/>
      </c>
    </row>
    <row r="5553" spans="1:2" x14ac:dyDescent="0.25">
      <c r="A5553" t="str">
        <f>IF(C5553&amp;G5553&amp;D5553&lt;&gt;'Funnel setup'!$K$3&amp;'Funnel setup'!$K$4&amp;'Funnel setup'!$K$6,".",IF(A5552=".",1,A5552+1))</f>
        <v>.</v>
      </c>
      <c r="B5553" s="244" t="str">
        <f t="shared" si="86"/>
        <v/>
      </c>
    </row>
    <row r="5554" spans="1:2" x14ac:dyDescent="0.25">
      <c r="A5554" t="str">
        <f>IF(C5554&amp;G5554&amp;D5554&lt;&gt;'Funnel setup'!$K$3&amp;'Funnel setup'!$K$4&amp;'Funnel setup'!$K$6,".",IF(A5553=".",1,A5553+1))</f>
        <v>.</v>
      </c>
      <c r="B5554" s="244" t="str">
        <f t="shared" si="86"/>
        <v/>
      </c>
    </row>
    <row r="5555" spans="1:2" x14ac:dyDescent="0.25">
      <c r="A5555" t="str">
        <f>IF(C5555&amp;G5555&amp;D5555&lt;&gt;'Funnel setup'!$K$3&amp;'Funnel setup'!$K$4&amp;'Funnel setup'!$K$6,".",IF(A5554=".",1,A5554+1))</f>
        <v>.</v>
      </c>
      <c r="B5555" s="244" t="str">
        <f t="shared" si="86"/>
        <v/>
      </c>
    </row>
    <row r="5556" spans="1:2" x14ac:dyDescent="0.25">
      <c r="A5556" t="str">
        <f>IF(C5556&amp;G5556&amp;D5556&lt;&gt;'Funnel setup'!$K$3&amp;'Funnel setup'!$K$4&amp;'Funnel setup'!$K$6,".",IF(A5555=".",1,A5555+1))</f>
        <v>.</v>
      </c>
      <c r="B5556" s="244" t="str">
        <f t="shared" si="86"/>
        <v/>
      </c>
    </row>
    <row r="5557" spans="1:2" x14ac:dyDescent="0.25">
      <c r="A5557" t="str">
        <f>IF(C5557&amp;G5557&amp;D5557&lt;&gt;'Funnel setup'!$K$3&amp;'Funnel setup'!$K$4&amp;'Funnel setup'!$K$6,".",IF(A5556=".",1,A5556+1))</f>
        <v>.</v>
      </c>
      <c r="B5557" s="244" t="str">
        <f t="shared" si="86"/>
        <v/>
      </c>
    </row>
    <row r="5558" spans="1:2" x14ac:dyDescent="0.25">
      <c r="A5558" t="str">
        <f>IF(C5558&amp;G5558&amp;D5558&lt;&gt;'Funnel setup'!$K$3&amp;'Funnel setup'!$K$4&amp;'Funnel setup'!$K$6,".",IF(A5557=".",1,A5557+1))</f>
        <v>.</v>
      </c>
      <c r="B5558" s="244" t="str">
        <f t="shared" si="86"/>
        <v/>
      </c>
    </row>
    <row r="5559" spans="1:2" x14ac:dyDescent="0.25">
      <c r="A5559" t="str">
        <f>IF(C5559&amp;G5559&amp;D5559&lt;&gt;'Funnel setup'!$K$3&amp;'Funnel setup'!$K$4&amp;'Funnel setup'!$K$6,".",IF(A5558=".",1,A5558+1))</f>
        <v>.</v>
      </c>
      <c r="B5559" s="244" t="str">
        <f t="shared" si="86"/>
        <v/>
      </c>
    </row>
    <row r="5560" spans="1:2" x14ac:dyDescent="0.25">
      <c r="A5560" t="str">
        <f>IF(C5560&amp;G5560&amp;D5560&lt;&gt;'Funnel setup'!$K$3&amp;'Funnel setup'!$K$4&amp;'Funnel setup'!$K$6,".",IF(A5559=".",1,A5559+1))</f>
        <v>.</v>
      </c>
      <c r="B5560" s="244" t="str">
        <f t="shared" si="86"/>
        <v/>
      </c>
    </row>
    <row r="5561" spans="1:2" x14ac:dyDescent="0.25">
      <c r="A5561" t="str">
        <f>IF(C5561&amp;G5561&amp;D5561&lt;&gt;'Funnel setup'!$K$3&amp;'Funnel setup'!$K$4&amp;'Funnel setup'!$K$6,".",IF(A5560=".",1,A5560+1))</f>
        <v>.</v>
      </c>
      <c r="B5561" s="244" t="str">
        <f t="shared" si="86"/>
        <v/>
      </c>
    </row>
    <row r="5562" spans="1:2" x14ac:dyDescent="0.25">
      <c r="A5562" t="str">
        <f>IF(C5562&amp;G5562&amp;D5562&lt;&gt;'Funnel setup'!$K$3&amp;'Funnel setup'!$K$4&amp;'Funnel setup'!$K$6,".",IF(A5561=".",1,A5561+1))</f>
        <v>.</v>
      </c>
      <c r="B5562" s="244" t="str">
        <f t="shared" si="86"/>
        <v/>
      </c>
    </row>
    <row r="5563" spans="1:2" x14ac:dyDescent="0.25">
      <c r="A5563" t="str">
        <f>IF(C5563&amp;G5563&amp;D5563&lt;&gt;'Funnel setup'!$K$3&amp;'Funnel setup'!$K$4&amp;'Funnel setup'!$K$6,".",IF(A5562=".",1,A5562+1))</f>
        <v>.</v>
      </c>
      <c r="B5563" s="244" t="str">
        <f t="shared" si="86"/>
        <v/>
      </c>
    </row>
    <row r="5564" spans="1:2" x14ac:dyDescent="0.25">
      <c r="A5564" t="str">
        <f>IF(C5564&amp;G5564&amp;D5564&lt;&gt;'Funnel setup'!$K$3&amp;'Funnel setup'!$K$4&amp;'Funnel setup'!$K$6,".",IF(A5563=".",1,A5563+1))</f>
        <v>.</v>
      </c>
      <c r="B5564" s="244" t="str">
        <f t="shared" si="86"/>
        <v/>
      </c>
    </row>
    <row r="5565" spans="1:2" x14ac:dyDescent="0.25">
      <c r="A5565" t="str">
        <f>IF(C5565&amp;G5565&amp;D5565&lt;&gt;'Funnel setup'!$K$3&amp;'Funnel setup'!$K$4&amp;'Funnel setup'!$K$6,".",IF(A5564=".",1,A5564+1))</f>
        <v>.</v>
      </c>
      <c r="B5565" s="244" t="str">
        <f t="shared" si="86"/>
        <v/>
      </c>
    </row>
    <row r="5566" spans="1:2" x14ac:dyDescent="0.25">
      <c r="A5566" t="str">
        <f>IF(C5566&amp;G5566&amp;D5566&lt;&gt;'Funnel setup'!$K$3&amp;'Funnel setup'!$K$4&amp;'Funnel setup'!$K$6,".",IF(A5565=".",1,A5565+1))</f>
        <v>.</v>
      </c>
      <c r="B5566" s="244" t="str">
        <f t="shared" si="86"/>
        <v/>
      </c>
    </row>
    <row r="5567" spans="1:2" x14ac:dyDescent="0.25">
      <c r="A5567" t="str">
        <f>IF(C5567&amp;G5567&amp;D5567&lt;&gt;'Funnel setup'!$K$3&amp;'Funnel setup'!$K$4&amp;'Funnel setup'!$K$6,".",IF(A5566=".",1,A5566+1))</f>
        <v>.</v>
      </c>
      <c r="B5567" s="244" t="str">
        <f t="shared" si="86"/>
        <v/>
      </c>
    </row>
    <row r="5568" spans="1:2" x14ac:dyDescent="0.25">
      <c r="A5568" t="str">
        <f>IF(C5568&amp;G5568&amp;D5568&lt;&gt;'Funnel setup'!$K$3&amp;'Funnel setup'!$K$4&amp;'Funnel setup'!$K$6,".",IF(A5567=".",1,A5567+1))</f>
        <v>.</v>
      </c>
      <c r="B5568" s="244" t="str">
        <f t="shared" si="86"/>
        <v/>
      </c>
    </row>
    <row r="5569" spans="1:2" x14ac:dyDescent="0.25">
      <c r="A5569" t="str">
        <f>IF(C5569&amp;G5569&amp;D5569&lt;&gt;'Funnel setup'!$K$3&amp;'Funnel setup'!$K$4&amp;'Funnel setup'!$K$6,".",IF(A5568=".",1,A5568+1))</f>
        <v>.</v>
      </c>
      <c r="B5569" s="244" t="str">
        <f t="shared" si="86"/>
        <v/>
      </c>
    </row>
    <row r="5570" spans="1:2" x14ac:dyDescent="0.25">
      <c r="A5570" t="str">
        <f>IF(C5570&amp;G5570&amp;D5570&lt;&gt;'Funnel setup'!$K$3&amp;'Funnel setup'!$K$4&amp;'Funnel setup'!$K$6,".",IF(A5569=".",1,A5569+1))</f>
        <v>.</v>
      </c>
      <c r="B5570" s="244" t="str">
        <f t="shared" ref="B5570:B5633" si="87">C5570&amp;D5570&amp;F5570&amp;G5570</f>
        <v/>
      </c>
    </row>
    <row r="5571" spans="1:2" x14ac:dyDescent="0.25">
      <c r="A5571" t="str">
        <f>IF(C5571&amp;G5571&amp;D5571&lt;&gt;'Funnel setup'!$K$3&amp;'Funnel setup'!$K$4&amp;'Funnel setup'!$K$6,".",IF(A5570=".",1,A5570+1))</f>
        <v>.</v>
      </c>
      <c r="B5571" s="244" t="str">
        <f t="shared" si="87"/>
        <v/>
      </c>
    </row>
    <row r="5572" spans="1:2" x14ac:dyDescent="0.25">
      <c r="A5572" t="str">
        <f>IF(C5572&amp;G5572&amp;D5572&lt;&gt;'Funnel setup'!$K$3&amp;'Funnel setup'!$K$4&amp;'Funnel setup'!$K$6,".",IF(A5571=".",1,A5571+1))</f>
        <v>.</v>
      </c>
      <c r="B5572" s="244" t="str">
        <f t="shared" si="87"/>
        <v/>
      </c>
    </row>
    <row r="5573" spans="1:2" x14ac:dyDescent="0.25">
      <c r="A5573" t="str">
        <f>IF(C5573&amp;G5573&amp;D5573&lt;&gt;'Funnel setup'!$K$3&amp;'Funnel setup'!$K$4&amp;'Funnel setup'!$K$6,".",IF(A5572=".",1,A5572+1))</f>
        <v>.</v>
      </c>
      <c r="B5573" s="244" t="str">
        <f t="shared" si="87"/>
        <v/>
      </c>
    </row>
    <row r="5574" spans="1:2" x14ac:dyDescent="0.25">
      <c r="A5574" t="str">
        <f>IF(C5574&amp;G5574&amp;D5574&lt;&gt;'Funnel setup'!$K$3&amp;'Funnel setup'!$K$4&amp;'Funnel setup'!$K$6,".",IF(A5573=".",1,A5573+1))</f>
        <v>.</v>
      </c>
      <c r="B5574" s="244" t="str">
        <f t="shared" si="87"/>
        <v/>
      </c>
    </row>
    <row r="5575" spans="1:2" x14ac:dyDescent="0.25">
      <c r="A5575" t="str">
        <f>IF(C5575&amp;G5575&amp;D5575&lt;&gt;'Funnel setup'!$K$3&amp;'Funnel setup'!$K$4&amp;'Funnel setup'!$K$6,".",IF(A5574=".",1,A5574+1))</f>
        <v>.</v>
      </c>
      <c r="B5575" s="244" t="str">
        <f t="shared" si="87"/>
        <v/>
      </c>
    </row>
    <row r="5576" spans="1:2" x14ac:dyDescent="0.25">
      <c r="A5576" t="str">
        <f>IF(C5576&amp;G5576&amp;D5576&lt;&gt;'Funnel setup'!$K$3&amp;'Funnel setup'!$K$4&amp;'Funnel setup'!$K$6,".",IF(A5575=".",1,A5575+1))</f>
        <v>.</v>
      </c>
      <c r="B5576" s="244" t="str">
        <f t="shared" si="87"/>
        <v/>
      </c>
    </row>
    <row r="5577" spans="1:2" x14ac:dyDescent="0.25">
      <c r="A5577" t="str">
        <f>IF(C5577&amp;G5577&amp;D5577&lt;&gt;'Funnel setup'!$K$3&amp;'Funnel setup'!$K$4&amp;'Funnel setup'!$K$6,".",IF(A5576=".",1,A5576+1))</f>
        <v>.</v>
      </c>
      <c r="B5577" s="244" t="str">
        <f t="shared" si="87"/>
        <v/>
      </c>
    </row>
    <row r="5578" spans="1:2" x14ac:dyDescent="0.25">
      <c r="A5578" t="str">
        <f>IF(C5578&amp;G5578&amp;D5578&lt;&gt;'Funnel setup'!$K$3&amp;'Funnel setup'!$K$4&amp;'Funnel setup'!$K$6,".",IF(A5577=".",1,A5577+1))</f>
        <v>.</v>
      </c>
      <c r="B5578" s="244" t="str">
        <f t="shared" si="87"/>
        <v/>
      </c>
    </row>
    <row r="5579" spans="1:2" x14ac:dyDescent="0.25">
      <c r="A5579" t="str">
        <f>IF(C5579&amp;G5579&amp;D5579&lt;&gt;'Funnel setup'!$K$3&amp;'Funnel setup'!$K$4&amp;'Funnel setup'!$K$6,".",IF(A5578=".",1,A5578+1))</f>
        <v>.</v>
      </c>
      <c r="B5579" s="244" t="str">
        <f t="shared" si="87"/>
        <v/>
      </c>
    </row>
    <row r="5580" spans="1:2" x14ac:dyDescent="0.25">
      <c r="A5580" t="str">
        <f>IF(C5580&amp;G5580&amp;D5580&lt;&gt;'Funnel setup'!$K$3&amp;'Funnel setup'!$K$4&amp;'Funnel setup'!$K$6,".",IF(A5579=".",1,A5579+1))</f>
        <v>.</v>
      </c>
      <c r="B5580" s="244" t="str">
        <f t="shared" si="87"/>
        <v/>
      </c>
    </row>
    <row r="5581" spans="1:2" x14ac:dyDescent="0.25">
      <c r="A5581" t="str">
        <f>IF(C5581&amp;G5581&amp;D5581&lt;&gt;'Funnel setup'!$K$3&amp;'Funnel setup'!$K$4&amp;'Funnel setup'!$K$6,".",IF(A5580=".",1,A5580+1))</f>
        <v>.</v>
      </c>
      <c r="B5581" s="244" t="str">
        <f t="shared" si="87"/>
        <v/>
      </c>
    </row>
    <row r="5582" spans="1:2" x14ac:dyDescent="0.25">
      <c r="A5582" t="str">
        <f>IF(C5582&amp;G5582&amp;D5582&lt;&gt;'Funnel setup'!$K$3&amp;'Funnel setup'!$K$4&amp;'Funnel setup'!$K$6,".",IF(A5581=".",1,A5581+1))</f>
        <v>.</v>
      </c>
      <c r="B5582" s="244" t="str">
        <f t="shared" si="87"/>
        <v/>
      </c>
    </row>
    <row r="5583" spans="1:2" x14ac:dyDescent="0.25">
      <c r="A5583" t="str">
        <f>IF(C5583&amp;G5583&amp;D5583&lt;&gt;'Funnel setup'!$K$3&amp;'Funnel setup'!$K$4&amp;'Funnel setup'!$K$6,".",IF(A5582=".",1,A5582+1))</f>
        <v>.</v>
      </c>
      <c r="B5583" s="244" t="str">
        <f t="shared" si="87"/>
        <v/>
      </c>
    </row>
    <row r="5584" spans="1:2" x14ac:dyDescent="0.25">
      <c r="A5584" t="str">
        <f>IF(C5584&amp;G5584&amp;D5584&lt;&gt;'Funnel setup'!$K$3&amp;'Funnel setup'!$K$4&amp;'Funnel setup'!$K$6,".",IF(A5583=".",1,A5583+1))</f>
        <v>.</v>
      </c>
      <c r="B5584" s="244" t="str">
        <f t="shared" si="87"/>
        <v/>
      </c>
    </row>
    <row r="5585" spans="1:2" x14ac:dyDescent="0.25">
      <c r="A5585" t="str">
        <f>IF(C5585&amp;G5585&amp;D5585&lt;&gt;'Funnel setup'!$K$3&amp;'Funnel setup'!$K$4&amp;'Funnel setup'!$K$6,".",IF(A5584=".",1,A5584+1))</f>
        <v>.</v>
      </c>
      <c r="B5585" s="244" t="str">
        <f t="shared" si="87"/>
        <v/>
      </c>
    </row>
    <row r="5586" spans="1:2" x14ac:dyDescent="0.25">
      <c r="A5586" t="str">
        <f>IF(C5586&amp;G5586&amp;D5586&lt;&gt;'Funnel setup'!$K$3&amp;'Funnel setup'!$K$4&amp;'Funnel setup'!$K$6,".",IF(A5585=".",1,A5585+1))</f>
        <v>.</v>
      </c>
      <c r="B5586" s="244" t="str">
        <f t="shared" si="87"/>
        <v/>
      </c>
    </row>
    <row r="5587" spans="1:2" x14ac:dyDescent="0.25">
      <c r="A5587" t="str">
        <f>IF(C5587&amp;G5587&amp;D5587&lt;&gt;'Funnel setup'!$K$3&amp;'Funnel setup'!$K$4&amp;'Funnel setup'!$K$6,".",IF(A5586=".",1,A5586+1))</f>
        <v>.</v>
      </c>
      <c r="B5587" s="244" t="str">
        <f t="shared" si="87"/>
        <v/>
      </c>
    </row>
    <row r="5588" spans="1:2" x14ac:dyDescent="0.25">
      <c r="A5588" t="str">
        <f>IF(C5588&amp;G5588&amp;D5588&lt;&gt;'Funnel setup'!$K$3&amp;'Funnel setup'!$K$4&amp;'Funnel setup'!$K$6,".",IF(A5587=".",1,A5587+1))</f>
        <v>.</v>
      </c>
      <c r="B5588" s="244" t="str">
        <f t="shared" si="87"/>
        <v/>
      </c>
    </row>
    <row r="5589" spans="1:2" x14ac:dyDescent="0.25">
      <c r="A5589" t="str">
        <f>IF(C5589&amp;G5589&amp;D5589&lt;&gt;'Funnel setup'!$K$3&amp;'Funnel setup'!$K$4&amp;'Funnel setup'!$K$6,".",IF(A5588=".",1,A5588+1))</f>
        <v>.</v>
      </c>
      <c r="B5589" s="244" t="str">
        <f t="shared" si="87"/>
        <v/>
      </c>
    </row>
    <row r="5590" spans="1:2" x14ac:dyDescent="0.25">
      <c r="A5590" t="str">
        <f>IF(C5590&amp;G5590&amp;D5590&lt;&gt;'Funnel setup'!$K$3&amp;'Funnel setup'!$K$4&amp;'Funnel setup'!$K$6,".",IF(A5589=".",1,A5589+1))</f>
        <v>.</v>
      </c>
      <c r="B5590" s="244" t="str">
        <f t="shared" si="87"/>
        <v/>
      </c>
    </row>
    <row r="5591" spans="1:2" x14ac:dyDescent="0.25">
      <c r="A5591" t="str">
        <f>IF(C5591&amp;G5591&amp;D5591&lt;&gt;'Funnel setup'!$K$3&amp;'Funnel setup'!$K$4&amp;'Funnel setup'!$K$6,".",IF(A5590=".",1,A5590+1))</f>
        <v>.</v>
      </c>
      <c r="B5591" s="244" t="str">
        <f t="shared" si="87"/>
        <v/>
      </c>
    </row>
    <row r="5592" spans="1:2" x14ac:dyDescent="0.25">
      <c r="A5592" t="str">
        <f>IF(C5592&amp;G5592&amp;D5592&lt;&gt;'Funnel setup'!$K$3&amp;'Funnel setup'!$K$4&amp;'Funnel setup'!$K$6,".",IF(A5591=".",1,A5591+1))</f>
        <v>.</v>
      </c>
      <c r="B5592" s="244" t="str">
        <f t="shared" si="87"/>
        <v/>
      </c>
    </row>
    <row r="5593" spans="1:2" x14ac:dyDescent="0.25">
      <c r="A5593" t="str">
        <f>IF(C5593&amp;G5593&amp;D5593&lt;&gt;'Funnel setup'!$K$3&amp;'Funnel setup'!$K$4&amp;'Funnel setup'!$K$6,".",IF(A5592=".",1,A5592+1))</f>
        <v>.</v>
      </c>
      <c r="B5593" s="244" t="str">
        <f t="shared" si="87"/>
        <v/>
      </c>
    </row>
    <row r="5594" spans="1:2" x14ac:dyDescent="0.25">
      <c r="A5594" t="str">
        <f>IF(C5594&amp;G5594&amp;D5594&lt;&gt;'Funnel setup'!$K$3&amp;'Funnel setup'!$K$4&amp;'Funnel setup'!$K$6,".",IF(A5593=".",1,A5593+1))</f>
        <v>.</v>
      </c>
      <c r="B5594" s="244" t="str">
        <f t="shared" si="87"/>
        <v/>
      </c>
    </row>
    <row r="5595" spans="1:2" x14ac:dyDescent="0.25">
      <c r="A5595" t="str">
        <f>IF(C5595&amp;G5595&amp;D5595&lt;&gt;'Funnel setup'!$K$3&amp;'Funnel setup'!$K$4&amp;'Funnel setup'!$K$6,".",IF(A5594=".",1,A5594+1))</f>
        <v>.</v>
      </c>
      <c r="B5595" s="244" t="str">
        <f t="shared" si="87"/>
        <v/>
      </c>
    </row>
    <row r="5596" spans="1:2" x14ac:dyDescent="0.25">
      <c r="A5596" t="str">
        <f>IF(C5596&amp;G5596&amp;D5596&lt;&gt;'Funnel setup'!$K$3&amp;'Funnel setup'!$K$4&amp;'Funnel setup'!$K$6,".",IF(A5595=".",1,A5595+1))</f>
        <v>.</v>
      </c>
      <c r="B5596" s="244" t="str">
        <f t="shared" si="87"/>
        <v/>
      </c>
    </row>
    <row r="5597" spans="1:2" x14ac:dyDescent="0.25">
      <c r="A5597" t="str">
        <f>IF(C5597&amp;G5597&amp;D5597&lt;&gt;'Funnel setup'!$K$3&amp;'Funnel setup'!$K$4&amp;'Funnel setup'!$K$6,".",IF(A5596=".",1,A5596+1))</f>
        <v>.</v>
      </c>
      <c r="B5597" s="244" t="str">
        <f t="shared" si="87"/>
        <v/>
      </c>
    </row>
    <row r="5598" spans="1:2" x14ac:dyDescent="0.25">
      <c r="A5598" t="str">
        <f>IF(C5598&amp;G5598&amp;D5598&lt;&gt;'Funnel setup'!$K$3&amp;'Funnel setup'!$K$4&amp;'Funnel setup'!$K$6,".",IF(A5597=".",1,A5597+1))</f>
        <v>.</v>
      </c>
      <c r="B5598" s="244" t="str">
        <f t="shared" si="87"/>
        <v/>
      </c>
    </row>
    <row r="5599" spans="1:2" x14ac:dyDescent="0.25">
      <c r="A5599" t="str">
        <f>IF(C5599&amp;G5599&amp;D5599&lt;&gt;'Funnel setup'!$K$3&amp;'Funnel setup'!$K$4&amp;'Funnel setup'!$K$6,".",IF(A5598=".",1,A5598+1))</f>
        <v>.</v>
      </c>
      <c r="B5599" s="244" t="str">
        <f t="shared" si="87"/>
        <v/>
      </c>
    </row>
    <row r="5600" spans="1:2" x14ac:dyDescent="0.25">
      <c r="A5600" t="str">
        <f>IF(C5600&amp;G5600&amp;D5600&lt;&gt;'Funnel setup'!$K$3&amp;'Funnel setup'!$K$4&amp;'Funnel setup'!$K$6,".",IF(A5599=".",1,A5599+1))</f>
        <v>.</v>
      </c>
      <c r="B5600" s="244" t="str">
        <f t="shared" si="87"/>
        <v/>
      </c>
    </row>
    <row r="5601" spans="1:2" x14ac:dyDescent="0.25">
      <c r="A5601" t="str">
        <f>IF(C5601&amp;G5601&amp;D5601&lt;&gt;'Funnel setup'!$K$3&amp;'Funnel setup'!$K$4&amp;'Funnel setup'!$K$6,".",IF(A5600=".",1,A5600+1))</f>
        <v>.</v>
      </c>
      <c r="B5601" s="244" t="str">
        <f t="shared" si="87"/>
        <v/>
      </c>
    </row>
    <row r="5602" spans="1:2" x14ac:dyDescent="0.25">
      <c r="A5602" t="str">
        <f>IF(C5602&amp;G5602&amp;D5602&lt;&gt;'Funnel setup'!$K$3&amp;'Funnel setup'!$K$4&amp;'Funnel setup'!$K$6,".",IF(A5601=".",1,A5601+1))</f>
        <v>.</v>
      </c>
      <c r="B5602" s="244" t="str">
        <f t="shared" si="87"/>
        <v/>
      </c>
    </row>
    <row r="5603" spans="1:2" x14ac:dyDescent="0.25">
      <c r="A5603" t="str">
        <f>IF(C5603&amp;G5603&amp;D5603&lt;&gt;'Funnel setup'!$K$3&amp;'Funnel setup'!$K$4&amp;'Funnel setup'!$K$6,".",IF(A5602=".",1,A5602+1))</f>
        <v>.</v>
      </c>
      <c r="B5603" s="244" t="str">
        <f t="shared" si="87"/>
        <v/>
      </c>
    </row>
    <row r="5604" spans="1:2" x14ac:dyDescent="0.25">
      <c r="A5604" t="str">
        <f>IF(C5604&amp;G5604&amp;D5604&lt;&gt;'Funnel setup'!$K$3&amp;'Funnel setup'!$K$4&amp;'Funnel setup'!$K$6,".",IF(A5603=".",1,A5603+1))</f>
        <v>.</v>
      </c>
      <c r="B5604" s="244" t="str">
        <f t="shared" si="87"/>
        <v/>
      </c>
    </row>
    <row r="5605" spans="1:2" x14ac:dyDescent="0.25">
      <c r="A5605" t="str">
        <f>IF(C5605&amp;G5605&amp;D5605&lt;&gt;'Funnel setup'!$K$3&amp;'Funnel setup'!$K$4&amp;'Funnel setup'!$K$6,".",IF(A5604=".",1,A5604+1))</f>
        <v>.</v>
      </c>
      <c r="B5605" s="244" t="str">
        <f t="shared" si="87"/>
        <v/>
      </c>
    </row>
    <row r="5606" spans="1:2" x14ac:dyDescent="0.25">
      <c r="A5606" t="str">
        <f>IF(C5606&amp;G5606&amp;D5606&lt;&gt;'Funnel setup'!$K$3&amp;'Funnel setup'!$K$4&amp;'Funnel setup'!$K$6,".",IF(A5605=".",1,A5605+1))</f>
        <v>.</v>
      </c>
      <c r="B5606" s="244" t="str">
        <f t="shared" si="87"/>
        <v/>
      </c>
    </row>
    <row r="5607" spans="1:2" x14ac:dyDescent="0.25">
      <c r="A5607" t="str">
        <f>IF(C5607&amp;G5607&amp;D5607&lt;&gt;'Funnel setup'!$K$3&amp;'Funnel setup'!$K$4&amp;'Funnel setup'!$K$6,".",IF(A5606=".",1,A5606+1))</f>
        <v>.</v>
      </c>
      <c r="B5607" s="244" t="str">
        <f t="shared" si="87"/>
        <v/>
      </c>
    </row>
    <row r="5608" spans="1:2" x14ac:dyDescent="0.25">
      <c r="A5608" t="str">
        <f>IF(C5608&amp;G5608&amp;D5608&lt;&gt;'Funnel setup'!$K$3&amp;'Funnel setup'!$K$4&amp;'Funnel setup'!$K$6,".",IF(A5607=".",1,A5607+1))</f>
        <v>.</v>
      </c>
      <c r="B5608" s="244" t="str">
        <f t="shared" si="87"/>
        <v/>
      </c>
    </row>
    <row r="5609" spans="1:2" x14ac:dyDescent="0.25">
      <c r="A5609" t="str">
        <f>IF(C5609&amp;G5609&amp;D5609&lt;&gt;'Funnel setup'!$K$3&amp;'Funnel setup'!$K$4&amp;'Funnel setup'!$K$6,".",IF(A5608=".",1,A5608+1))</f>
        <v>.</v>
      </c>
      <c r="B5609" s="244" t="str">
        <f t="shared" si="87"/>
        <v/>
      </c>
    </row>
    <row r="5610" spans="1:2" x14ac:dyDescent="0.25">
      <c r="A5610" t="str">
        <f>IF(C5610&amp;G5610&amp;D5610&lt;&gt;'Funnel setup'!$K$3&amp;'Funnel setup'!$K$4&amp;'Funnel setup'!$K$6,".",IF(A5609=".",1,A5609+1))</f>
        <v>.</v>
      </c>
      <c r="B5610" s="244" t="str">
        <f t="shared" si="87"/>
        <v/>
      </c>
    </row>
    <row r="5611" spans="1:2" x14ac:dyDescent="0.25">
      <c r="A5611" t="str">
        <f>IF(C5611&amp;G5611&amp;D5611&lt;&gt;'Funnel setup'!$K$3&amp;'Funnel setup'!$K$4&amp;'Funnel setup'!$K$6,".",IF(A5610=".",1,A5610+1))</f>
        <v>.</v>
      </c>
      <c r="B5611" s="244" t="str">
        <f t="shared" si="87"/>
        <v/>
      </c>
    </row>
    <row r="5612" spans="1:2" x14ac:dyDescent="0.25">
      <c r="A5612" t="str">
        <f>IF(C5612&amp;G5612&amp;D5612&lt;&gt;'Funnel setup'!$K$3&amp;'Funnel setup'!$K$4&amp;'Funnel setup'!$K$6,".",IF(A5611=".",1,A5611+1))</f>
        <v>.</v>
      </c>
      <c r="B5612" s="244" t="str">
        <f t="shared" si="87"/>
        <v/>
      </c>
    </row>
    <row r="5613" spans="1:2" x14ac:dyDescent="0.25">
      <c r="A5613" t="str">
        <f>IF(C5613&amp;G5613&amp;D5613&lt;&gt;'Funnel setup'!$K$3&amp;'Funnel setup'!$K$4&amp;'Funnel setup'!$K$6,".",IF(A5612=".",1,A5612+1))</f>
        <v>.</v>
      </c>
      <c r="B5613" s="244" t="str">
        <f t="shared" si="87"/>
        <v/>
      </c>
    </row>
    <row r="5614" spans="1:2" x14ac:dyDescent="0.25">
      <c r="A5614" t="str">
        <f>IF(C5614&amp;G5614&amp;D5614&lt;&gt;'Funnel setup'!$K$3&amp;'Funnel setup'!$K$4&amp;'Funnel setup'!$K$6,".",IF(A5613=".",1,A5613+1))</f>
        <v>.</v>
      </c>
      <c r="B5614" s="244" t="str">
        <f t="shared" si="87"/>
        <v/>
      </c>
    </row>
    <row r="5615" spans="1:2" x14ac:dyDescent="0.25">
      <c r="A5615" t="str">
        <f>IF(C5615&amp;G5615&amp;D5615&lt;&gt;'Funnel setup'!$K$3&amp;'Funnel setup'!$K$4&amp;'Funnel setup'!$K$6,".",IF(A5614=".",1,A5614+1))</f>
        <v>.</v>
      </c>
      <c r="B5615" s="244" t="str">
        <f t="shared" si="87"/>
        <v/>
      </c>
    </row>
    <row r="5616" spans="1:2" x14ac:dyDescent="0.25">
      <c r="A5616" t="str">
        <f>IF(C5616&amp;G5616&amp;D5616&lt;&gt;'Funnel setup'!$K$3&amp;'Funnel setup'!$K$4&amp;'Funnel setup'!$K$6,".",IF(A5615=".",1,A5615+1))</f>
        <v>.</v>
      </c>
      <c r="B5616" s="244" t="str">
        <f t="shared" si="87"/>
        <v/>
      </c>
    </row>
    <row r="5617" spans="1:2" x14ac:dyDescent="0.25">
      <c r="A5617" t="str">
        <f>IF(C5617&amp;G5617&amp;D5617&lt;&gt;'Funnel setup'!$K$3&amp;'Funnel setup'!$K$4&amp;'Funnel setup'!$K$6,".",IF(A5616=".",1,A5616+1))</f>
        <v>.</v>
      </c>
      <c r="B5617" s="244" t="str">
        <f t="shared" si="87"/>
        <v/>
      </c>
    </row>
    <row r="5618" spans="1:2" x14ac:dyDescent="0.25">
      <c r="A5618" t="str">
        <f>IF(C5618&amp;G5618&amp;D5618&lt;&gt;'Funnel setup'!$K$3&amp;'Funnel setup'!$K$4&amp;'Funnel setup'!$K$6,".",IF(A5617=".",1,A5617+1))</f>
        <v>.</v>
      </c>
      <c r="B5618" s="244" t="str">
        <f t="shared" si="87"/>
        <v/>
      </c>
    </row>
    <row r="5619" spans="1:2" x14ac:dyDescent="0.25">
      <c r="A5619" t="str">
        <f>IF(C5619&amp;G5619&amp;D5619&lt;&gt;'Funnel setup'!$K$3&amp;'Funnel setup'!$K$4&amp;'Funnel setup'!$K$6,".",IF(A5618=".",1,A5618+1))</f>
        <v>.</v>
      </c>
      <c r="B5619" s="244" t="str">
        <f t="shared" si="87"/>
        <v/>
      </c>
    </row>
    <row r="5620" spans="1:2" x14ac:dyDescent="0.25">
      <c r="A5620" t="str">
        <f>IF(C5620&amp;G5620&amp;D5620&lt;&gt;'Funnel setup'!$K$3&amp;'Funnel setup'!$K$4&amp;'Funnel setup'!$K$6,".",IF(A5619=".",1,A5619+1))</f>
        <v>.</v>
      </c>
      <c r="B5620" s="244" t="str">
        <f t="shared" si="87"/>
        <v/>
      </c>
    </row>
    <row r="5621" spans="1:2" x14ac:dyDescent="0.25">
      <c r="A5621" t="str">
        <f>IF(C5621&amp;G5621&amp;D5621&lt;&gt;'Funnel setup'!$K$3&amp;'Funnel setup'!$K$4&amp;'Funnel setup'!$K$6,".",IF(A5620=".",1,A5620+1))</f>
        <v>.</v>
      </c>
      <c r="B5621" s="244" t="str">
        <f t="shared" si="87"/>
        <v/>
      </c>
    </row>
    <row r="5622" spans="1:2" x14ac:dyDescent="0.25">
      <c r="A5622" t="str">
        <f>IF(C5622&amp;G5622&amp;D5622&lt;&gt;'Funnel setup'!$K$3&amp;'Funnel setup'!$K$4&amp;'Funnel setup'!$K$6,".",IF(A5621=".",1,A5621+1))</f>
        <v>.</v>
      </c>
      <c r="B5622" s="244" t="str">
        <f t="shared" si="87"/>
        <v/>
      </c>
    </row>
    <row r="5623" spans="1:2" x14ac:dyDescent="0.25">
      <c r="A5623" t="str">
        <f>IF(C5623&amp;G5623&amp;D5623&lt;&gt;'Funnel setup'!$K$3&amp;'Funnel setup'!$K$4&amp;'Funnel setup'!$K$6,".",IF(A5622=".",1,A5622+1))</f>
        <v>.</v>
      </c>
      <c r="B5623" s="244" t="str">
        <f t="shared" si="87"/>
        <v/>
      </c>
    </row>
    <row r="5624" spans="1:2" x14ac:dyDescent="0.25">
      <c r="A5624" t="str">
        <f>IF(C5624&amp;G5624&amp;D5624&lt;&gt;'Funnel setup'!$K$3&amp;'Funnel setup'!$K$4&amp;'Funnel setup'!$K$6,".",IF(A5623=".",1,A5623+1))</f>
        <v>.</v>
      </c>
      <c r="B5624" s="244" t="str">
        <f t="shared" si="87"/>
        <v/>
      </c>
    </row>
    <row r="5625" spans="1:2" x14ac:dyDescent="0.25">
      <c r="A5625" t="str">
        <f>IF(C5625&amp;G5625&amp;D5625&lt;&gt;'Funnel setup'!$K$3&amp;'Funnel setup'!$K$4&amp;'Funnel setup'!$K$6,".",IF(A5624=".",1,A5624+1))</f>
        <v>.</v>
      </c>
      <c r="B5625" s="244" t="str">
        <f t="shared" si="87"/>
        <v/>
      </c>
    </row>
    <row r="5626" spans="1:2" x14ac:dyDescent="0.25">
      <c r="A5626" t="str">
        <f>IF(C5626&amp;G5626&amp;D5626&lt;&gt;'Funnel setup'!$K$3&amp;'Funnel setup'!$K$4&amp;'Funnel setup'!$K$6,".",IF(A5625=".",1,A5625+1))</f>
        <v>.</v>
      </c>
      <c r="B5626" s="244" t="str">
        <f t="shared" si="87"/>
        <v/>
      </c>
    </row>
    <row r="5627" spans="1:2" x14ac:dyDescent="0.25">
      <c r="A5627" t="str">
        <f>IF(C5627&amp;G5627&amp;D5627&lt;&gt;'Funnel setup'!$K$3&amp;'Funnel setup'!$K$4&amp;'Funnel setup'!$K$6,".",IF(A5626=".",1,A5626+1))</f>
        <v>.</v>
      </c>
      <c r="B5627" s="244" t="str">
        <f t="shared" si="87"/>
        <v/>
      </c>
    </row>
    <row r="5628" spans="1:2" x14ac:dyDescent="0.25">
      <c r="A5628" t="str">
        <f>IF(C5628&amp;G5628&amp;D5628&lt;&gt;'Funnel setup'!$K$3&amp;'Funnel setup'!$K$4&amp;'Funnel setup'!$K$6,".",IF(A5627=".",1,A5627+1))</f>
        <v>.</v>
      </c>
      <c r="B5628" s="244" t="str">
        <f t="shared" si="87"/>
        <v/>
      </c>
    </row>
    <row r="5629" spans="1:2" x14ac:dyDescent="0.25">
      <c r="A5629" t="str">
        <f>IF(C5629&amp;G5629&amp;D5629&lt;&gt;'Funnel setup'!$K$3&amp;'Funnel setup'!$K$4&amp;'Funnel setup'!$K$6,".",IF(A5628=".",1,A5628+1))</f>
        <v>.</v>
      </c>
      <c r="B5629" s="244" t="str">
        <f t="shared" si="87"/>
        <v/>
      </c>
    </row>
    <row r="5630" spans="1:2" x14ac:dyDescent="0.25">
      <c r="A5630" t="str">
        <f>IF(C5630&amp;G5630&amp;D5630&lt;&gt;'Funnel setup'!$K$3&amp;'Funnel setup'!$K$4&amp;'Funnel setup'!$K$6,".",IF(A5629=".",1,A5629+1))</f>
        <v>.</v>
      </c>
      <c r="B5630" s="244" t="str">
        <f t="shared" si="87"/>
        <v/>
      </c>
    </row>
    <row r="5631" spans="1:2" x14ac:dyDescent="0.25">
      <c r="A5631" t="str">
        <f>IF(C5631&amp;G5631&amp;D5631&lt;&gt;'Funnel setup'!$K$3&amp;'Funnel setup'!$K$4&amp;'Funnel setup'!$K$6,".",IF(A5630=".",1,A5630+1))</f>
        <v>.</v>
      </c>
      <c r="B5631" s="244" t="str">
        <f t="shared" si="87"/>
        <v/>
      </c>
    </row>
    <row r="5632" spans="1:2" x14ac:dyDescent="0.25">
      <c r="A5632" t="str">
        <f>IF(C5632&amp;G5632&amp;D5632&lt;&gt;'Funnel setup'!$K$3&amp;'Funnel setup'!$K$4&amp;'Funnel setup'!$K$6,".",IF(A5631=".",1,A5631+1))</f>
        <v>.</v>
      </c>
      <c r="B5632" s="244" t="str">
        <f t="shared" si="87"/>
        <v/>
      </c>
    </row>
    <row r="5633" spans="1:2" x14ac:dyDescent="0.25">
      <c r="A5633" t="str">
        <f>IF(C5633&amp;G5633&amp;D5633&lt;&gt;'Funnel setup'!$K$3&amp;'Funnel setup'!$K$4&amp;'Funnel setup'!$K$6,".",IF(A5632=".",1,A5632+1))</f>
        <v>.</v>
      </c>
      <c r="B5633" s="244" t="str">
        <f t="shared" si="87"/>
        <v/>
      </c>
    </row>
    <row r="5634" spans="1:2" x14ac:dyDescent="0.25">
      <c r="A5634" t="str">
        <f>IF(C5634&amp;G5634&amp;D5634&lt;&gt;'Funnel setup'!$K$3&amp;'Funnel setup'!$K$4&amp;'Funnel setup'!$K$6,".",IF(A5633=".",1,A5633+1))</f>
        <v>.</v>
      </c>
      <c r="B5634" s="244" t="str">
        <f t="shared" ref="B5634:B5697" si="88">C5634&amp;D5634&amp;F5634&amp;G5634</f>
        <v/>
      </c>
    </row>
    <row r="5635" spans="1:2" x14ac:dyDescent="0.25">
      <c r="A5635" t="str">
        <f>IF(C5635&amp;G5635&amp;D5635&lt;&gt;'Funnel setup'!$K$3&amp;'Funnel setup'!$K$4&amp;'Funnel setup'!$K$6,".",IF(A5634=".",1,A5634+1))</f>
        <v>.</v>
      </c>
      <c r="B5635" s="244" t="str">
        <f t="shared" si="88"/>
        <v/>
      </c>
    </row>
    <row r="5636" spans="1:2" x14ac:dyDescent="0.25">
      <c r="A5636" t="str">
        <f>IF(C5636&amp;G5636&amp;D5636&lt;&gt;'Funnel setup'!$K$3&amp;'Funnel setup'!$K$4&amp;'Funnel setup'!$K$6,".",IF(A5635=".",1,A5635+1))</f>
        <v>.</v>
      </c>
      <c r="B5636" s="244" t="str">
        <f t="shared" si="88"/>
        <v/>
      </c>
    </row>
    <row r="5637" spans="1:2" x14ac:dyDescent="0.25">
      <c r="A5637" t="str">
        <f>IF(C5637&amp;G5637&amp;D5637&lt;&gt;'Funnel setup'!$K$3&amp;'Funnel setup'!$K$4&amp;'Funnel setup'!$K$6,".",IF(A5636=".",1,A5636+1))</f>
        <v>.</v>
      </c>
      <c r="B5637" s="244" t="str">
        <f t="shared" si="88"/>
        <v/>
      </c>
    </row>
    <row r="5638" spans="1:2" x14ac:dyDescent="0.25">
      <c r="A5638" t="str">
        <f>IF(C5638&amp;G5638&amp;D5638&lt;&gt;'Funnel setup'!$K$3&amp;'Funnel setup'!$K$4&amp;'Funnel setup'!$K$6,".",IF(A5637=".",1,A5637+1))</f>
        <v>.</v>
      </c>
      <c r="B5638" s="244" t="str">
        <f t="shared" si="88"/>
        <v/>
      </c>
    </row>
    <row r="5639" spans="1:2" x14ac:dyDescent="0.25">
      <c r="A5639" t="str">
        <f>IF(C5639&amp;G5639&amp;D5639&lt;&gt;'Funnel setup'!$K$3&amp;'Funnel setup'!$K$4&amp;'Funnel setup'!$K$6,".",IF(A5638=".",1,A5638+1))</f>
        <v>.</v>
      </c>
      <c r="B5639" s="244" t="str">
        <f t="shared" si="88"/>
        <v/>
      </c>
    </row>
    <row r="5640" spans="1:2" x14ac:dyDescent="0.25">
      <c r="A5640" t="str">
        <f>IF(C5640&amp;G5640&amp;D5640&lt;&gt;'Funnel setup'!$K$3&amp;'Funnel setup'!$K$4&amp;'Funnel setup'!$K$6,".",IF(A5639=".",1,A5639+1))</f>
        <v>.</v>
      </c>
      <c r="B5640" s="244" t="str">
        <f t="shared" si="88"/>
        <v/>
      </c>
    </row>
    <row r="5641" spans="1:2" x14ac:dyDescent="0.25">
      <c r="A5641" t="str">
        <f>IF(C5641&amp;G5641&amp;D5641&lt;&gt;'Funnel setup'!$K$3&amp;'Funnel setup'!$K$4&amp;'Funnel setup'!$K$6,".",IF(A5640=".",1,A5640+1))</f>
        <v>.</v>
      </c>
      <c r="B5641" s="244" t="str">
        <f t="shared" si="88"/>
        <v/>
      </c>
    </row>
    <row r="5642" spans="1:2" x14ac:dyDescent="0.25">
      <c r="A5642" t="str">
        <f>IF(C5642&amp;G5642&amp;D5642&lt;&gt;'Funnel setup'!$K$3&amp;'Funnel setup'!$K$4&amp;'Funnel setup'!$K$6,".",IF(A5641=".",1,A5641+1))</f>
        <v>.</v>
      </c>
      <c r="B5642" s="244" t="str">
        <f t="shared" si="88"/>
        <v/>
      </c>
    </row>
    <row r="5643" spans="1:2" x14ac:dyDescent="0.25">
      <c r="A5643" t="str">
        <f>IF(C5643&amp;G5643&amp;D5643&lt;&gt;'Funnel setup'!$K$3&amp;'Funnel setup'!$K$4&amp;'Funnel setup'!$K$6,".",IF(A5642=".",1,A5642+1))</f>
        <v>.</v>
      </c>
      <c r="B5643" s="244" t="str">
        <f t="shared" si="88"/>
        <v/>
      </c>
    </row>
    <row r="5644" spans="1:2" x14ac:dyDescent="0.25">
      <c r="A5644" t="str">
        <f>IF(C5644&amp;G5644&amp;D5644&lt;&gt;'Funnel setup'!$K$3&amp;'Funnel setup'!$K$4&amp;'Funnel setup'!$K$6,".",IF(A5643=".",1,A5643+1))</f>
        <v>.</v>
      </c>
      <c r="B5644" s="244" t="str">
        <f t="shared" si="88"/>
        <v/>
      </c>
    </row>
    <row r="5645" spans="1:2" x14ac:dyDescent="0.25">
      <c r="A5645" t="str">
        <f>IF(C5645&amp;G5645&amp;D5645&lt;&gt;'Funnel setup'!$K$3&amp;'Funnel setup'!$K$4&amp;'Funnel setup'!$K$6,".",IF(A5644=".",1,A5644+1))</f>
        <v>.</v>
      </c>
      <c r="B5645" s="244" t="str">
        <f t="shared" si="88"/>
        <v/>
      </c>
    </row>
    <row r="5646" spans="1:2" x14ac:dyDescent="0.25">
      <c r="A5646" t="str">
        <f>IF(C5646&amp;G5646&amp;D5646&lt;&gt;'Funnel setup'!$K$3&amp;'Funnel setup'!$K$4&amp;'Funnel setup'!$K$6,".",IF(A5645=".",1,A5645+1))</f>
        <v>.</v>
      </c>
      <c r="B5646" s="244" t="str">
        <f t="shared" si="88"/>
        <v/>
      </c>
    </row>
    <row r="5647" spans="1:2" x14ac:dyDescent="0.25">
      <c r="A5647" t="str">
        <f>IF(C5647&amp;G5647&amp;D5647&lt;&gt;'Funnel setup'!$K$3&amp;'Funnel setup'!$K$4&amp;'Funnel setup'!$K$6,".",IF(A5646=".",1,A5646+1))</f>
        <v>.</v>
      </c>
      <c r="B5647" s="244" t="str">
        <f t="shared" si="88"/>
        <v/>
      </c>
    </row>
    <row r="5648" spans="1:2" x14ac:dyDescent="0.25">
      <c r="A5648" t="str">
        <f>IF(C5648&amp;G5648&amp;D5648&lt;&gt;'Funnel setup'!$K$3&amp;'Funnel setup'!$K$4&amp;'Funnel setup'!$K$6,".",IF(A5647=".",1,A5647+1))</f>
        <v>.</v>
      </c>
      <c r="B5648" s="244" t="str">
        <f t="shared" si="88"/>
        <v/>
      </c>
    </row>
    <row r="5649" spans="1:2" x14ac:dyDescent="0.25">
      <c r="A5649" t="str">
        <f>IF(C5649&amp;G5649&amp;D5649&lt;&gt;'Funnel setup'!$K$3&amp;'Funnel setup'!$K$4&amp;'Funnel setup'!$K$6,".",IF(A5648=".",1,A5648+1))</f>
        <v>.</v>
      </c>
      <c r="B5649" s="244" t="str">
        <f t="shared" si="88"/>
        <v/>
      </c>
    </row>
    <row r="5650" spans="1:2" x14ac:dyDescent="0.25">
      <c r="A5650" t="str">
        <f>IF(C5650&amp;G5650&amp;D5650&lt;&gt;'Funnel setup'!$K$3&amp;'Funnel setup'!$K$4&amp;'Funnel setup'!$K$6,".",IF(A5649=".",1,A5649+1))</f>
        <v>.</v>
      </c>
      <c r="B5650" s="244" t="str">
        <f t="shared" si="88"/>
        <v/>
      </c>
    </row>
    <row r="5651" spans="1:2" x14ac:dyDescent="0.25">
      <c r="A5651" t="str">
        <f>IF(C5651&amp;G5651&amp;D5651&lt;&gt;'Funnel setup'!$K$3&amp;'Funnel setup'!$K$4&amp;'Funnel setup'!$K$6,".",IF(A5650=".",1,A5650+1))</f>
        <v>.</v>
      </c>
      <c r="B5651" s="244" t="str">
        <f t="shared" si="88"/>
        <v/>
      </c>
    </row>
    <row r="5652" spans="1:2" x14ac:dyDescent="0.25">
      <c r="A5652" t="str">
        <f>IF(C5652&amp;G5652&amp;D5652&lt;&gt;'Funnel setup'!$K$3&amp;'Funnel setup'!$K$4&amp;'Funnel setup'!$K$6,".",IF(A5651=".",1,A5651+1))</f>
        <v>.</v>
      </c>
      <c r="B5652" s="244" t="str">
        <f t="shared" si="88"/>
        <v/>
      </c>
    </row>
    <row r="5653" spans="1:2" x14ac:dyDescent="0.25">
      <c r="A5653" t="str">
        <f>IF(C5653&amp;G5653&amp;D5653&lt;&gt;'Funnel setup'!$K$3&amp;'Funnel setup'!$K$4&amp;'Funnel setup'!$K$6,".",IF(A5652=".",1,A5652+1))</f>
        <v>.</v>
      </c>
      <c r="B5653" s="244" t="str">
        <f t="shared" si="88"/>
        <v/>
      </c>
    </row>
    <row r="5654" spans="1:2" x14ac:dyDescent="0.25">
      <c r="A5654" t="str">
        <f>IF(C5654&amp;G5654&amp;D5654&lt;&gt;'Funnel setup'!$K$3&amp;'Funnel setup'!$K$4&amp;'Funnel setup'!$K$6,".",IF(A5653=".",1,A5653+1))</f>
        <v>.</v>
      </c>
      <c r="B5654" s="244" t="str">
        <f t="shared" si="88"/>
        <v/>
      </c>
    </row>
    <row r="5655" spans="1:2" x14ac:dyDescent="0.25">
      <c r="A5655" t="str">
        <f>IF(C5655&amp;G5655&amp;D5655&lt;&gt;'Funnel setup'!$K$3&amp;'Funnel setup'!$K$4&amp;'Funnel setup'!$K$6,".",IF(A5654=".",1,A5654+1))</f>
        <v>.</v>
      </c>
      <c r="B5655" s="244" t="str">
        <f t="shared" si="88"/>
        <v/>
      </c>
    </row>
    <row r="5656" spans="1:2" x14ac:dyDescent="0.25">
      <c r="A5656" t="str">
        <f>IF(C5656&amp;G5656&amp;D5656&lt;&gt;'Funnel setup'!$K$3&amp;'Funnel setup'!$K$4&amp;'Funnel setup'!$K$6,".",IF(A5655=".",1,A5655+1))</f>
        <v>.</v>
      </c>
      <c r="B5656" s="244" t="str">
        <f t="shared" si="88"/>
        <v/>
      </c>
    </row>
    <row r="5657" spans="1:2" x14ac:dyDescent="0.25">
      <c r="A5657" t="str">
        <f>IF(C5657&amp;G5657&amp;D5657&lt;&gt;'Funnel setup'!$K$3&amp;'Funnel setup'!$K$4&amp;'Funnel setup'!$K$6,".",IF(A5656=".",1,A5656+1))</f>
        <v>.</v>
      </c>
      <c r="B5657" s="244" t="str">
        <f t="shared" si="88"/>
        <v/>
      </c>
    </row>
    <row r="5658" spans="1:2" x14ac:dyDescent="0.25">
      <c r="A5658" t="str">
        <f>IF(C5658&amp;G5658&amp;D5658&lt;&gt;'Funnel setup'!$K$3&amp;'Funnel setup'!$K$4&amp;'Funnel setup'!$K$6,".",IF(A5657=".",1,A5657+1))</f>
        <v>.</v>
      </c>
      <c r="B5658" s="244" t="str">
        <f t="shared" si="88"/>
        <v/>
      </c>
    </row>
    <row r="5659" spans="1:2" x14ac:dyDescent="0.25">
      <c r="A5659" t="str">
        <f>IF(C5659&amp;G5659&amp;D5659&lt;&gt;'Funnel setup'!$K$3&amp;'Funnel setup'!$K$4&amp;'Funnel setup'!$K$6,".",IF(A5658=".",1,A5658+1))</f>
        <v>.</v>
      </c>
      <c r="B5659" s="244" t="str">
        <f t="shared" si="88"/>
        <v/>
      </c>
    </row>
    <row r="5660" spans="1:2" x14ac:dyDescent="0.25">
      <c r="A5660" t="str">
        <f>IF(C5660&amp;G5660&amp;D5660&lt;&gt;'Funnel setup'!$K$3&amp;'Funnel setup'!$K$4&amp;'Funnel setup'!$K$6,".",IF(A5659=".",1,A5659+1))</f>
        <v>.</v>
      </c>
      <c r="B5660" s="244" t="str">
        <f t="shared" si="88"/>
        <v/>
      </c>
    </row>
    <row r="5661" spans="1:2" x14ac:dyDescent="0.25">
      <c r="A5661" t="str">
        <f>IF(C5661&amp;G5661&amp;D5661&lt;&gt;'Funnel setup'!$K$3&amp;'Funnel setup'!$K$4&amp;'Funnel setup'!$K$6,".",IF(A5660=".",1,A5660+1))</f>
        <v>.</v>
      </c>
      <c r="B5661" s="244" t="str">
        <f t="shared" si="88"/>
        <v/>
      </c>
    </row>
    <row r="5662" spans="1:2" x14ac:dyDescent="0.25">
      <c r="A5662" t="str">
        <f>IF(C5662&amp;G5662&amp;D5662&lt;&gt;'Funnel setup'!$K$3&amp;'Funnel setup'!$K$4&amp;'Funnel setup'!$K$6,".",IF(A5661=".",1,A5661+1))</f>
        <v>.</v>
      </c>
      <c r="B5662" s="244" t="str">
        <f t="shared" si="88"/>
        <v/>
      </c>
    </row>
    <row r="5663" spans="1:2" x14ac:dyDescent="0.25">
      <c r="A5663" t="str">
        <f>IF(C5663&amp;G5663&amp;D5663&lt;&gt;'Funnel setup'!$K$3&amp;'Funnel setup'!$K$4&amp;'Funnel setup'!$K$6,".",IF(A5662=".",1,A5662+1))</f>
        <v>.</v>
      </c>
      <c r="B5663" s="244" t="str">
        <f t="shared" si="88"/>
        <v/>
      </c>
    </row>
    <row r="5664" spans="1:2" x14ac:dyDescent="0.25">
      <c r="A5664" t="str">
        <f>IF(C5664&amp;G5664&amp;D5664&lt;&gt;'Funnel setup'!$K$3&amp;'Funnel setup'!$K$4&amp;'Funnel setup'!$K$6,".",IF(A5663=".",1,A5663+1))</f>
        <v>.</v>
      </c>
      <c r="B5664" s="244" t="str">
        <f t="shared" si="88"/>
        <v/>
      </c>
    </row>
    <row r="5665" spans="1:2" x14ac:dyDescent="0.25">
      <c r="A5665" t="str">
        <f>IF(C5665&amp;G5665&amp;D5665&lt;&gt;'Funnel setup'!$K$3&amp;'Funnel setup'!$K$4&amp;'Funnel setup'!$K$6,".",IF(A5664=".",1,A5664+1))</f>
        <v>.</v>
      </c>
      <c r="B5665" s="244" t="str">
        <f t="shared" si="88"/>
        <v/>
      </c>
    </row>
    <row r="5666" spans="1:2" x14ac:dyDescent="0.25">
      <c r="A5666" t="str">
        <f>IF(C5666&amp;G5666&amp;D5666&lt;&gt;'Funnel setup'!$K$3&amp;'Funnel setup'!$K$4&amp;'Funnel setup'!$K$6,".",IF(A5665=".",1,A5665+1))</f>
        <v>.</v>
      </c>
      <c r="B5666" s="244" t="str">
        <f t="shared" si="88"/>
        <v/>
      </c>
    </row>
    <row r="5667" spans="1:2" x14ac:dyDescent="0.25">
      <c r="A5667" t="str">
        <f>IF(C5667&amp;G5667&amp;D5667&lt;&gt;'Funnel setup'!$K$3&amp;'Funnel setup'!$K$4&amp;'Funnel setup'!$K$6,".",IF(A5666=".",1,A5666+1))</f>
        <v>.</v>
      </c>
      <c r="B5667" s="244" t="str">
        <f t="shared" si="88"/>
        <v/>
      </c>
    </row>
    <row r="5668" spans="1:2" x14ac:dyDescent="0.25">
      <c r="A5668" t="str">
        <f>IF(C5668&amp;G5668&amp;D5668&lt;&gt;'Funnel setup'!$K$3&amp;'Funnel setup'!$K$4&amp;'Funnel setup'!$K$6,".",IF(A5667=".",1,A5667+1))</f>
        <v>.</v>
      </c>
      <c r="B5668" s="244" t="str">
        <f t="shared" si="88"/>
        <v/>
      </c>
    </row>
    <row r="5669" spans="1:2" x14ac:dyDescent="0.25">
      <c r="A5669" t="str">
        <f>IF(C5669&amp;G5669&amp;D5669&lt;&gt;'Funnel setup'!$K$3&amp;'Funnel setup'!$K$4&amp;'Funnel setup'!$K$6,".",IF(A5668=".",1,A5668+1))</f>
        <v>.</v>
      </c>
      <c r="B5669" s="244" t="str">
        <f t="shared" si="88"/>
        <v/>
      </c>
    </row>
    <row r="5670" spans="1:2" x14ac:dyDescent="0.25">
      <c r="A5670" t="str">
        <f>IF(C5670&amp;G5670&amp;D5670&lt;&gt;'Funnel setup'!$K$3&amp;'Funnel setup'!$K$4&amp;'Funnel setup'!$K$6,".",IF(A5669=".",1,A5669+1))</f>
        <v>.</v>
      </c>
      <c r="B5670" s="244" t="str">
        <f t="shared" si="88"/>
        <v/>
      </c>
    </row>
    <row r="5671" spans="1:2" x14ac:dyDescent="0.25">
      <c r="A5671" t="str">
        <f>IF(C5671&amp;G5671&amp;D5671&lt;&gt;'Funnel setup'!$K$3&amp;'Funnel setup'!$K$4&amp;'Funnel setup'!$K$6,".",IF(A5670=".",1,A5670+1))</f>
        <v>.</v>
      </c>
      <c r="B5671" s="244" t="str">
        <f t="shared" si="88"/>
        <v/>
      </c>
    </row>
    <row r="5672" spans="1:2" x14ac:dyDescent="0.25">
      <c r="A5672" t="str">
        <f>IF(C5672&amp;G5672&amp;D5672&lt;&gt;'Funnel setup'!$K$3&amp;'Funnel setup'!$K$4&amp;'Funnel setup'!$K$6,".",IF(A5671=".",1,A5671+1))</f>
        <v>.</v>
      </c>
      <c r="B5672" s="244" t="str">
        <f t="shared" si="88"/>
        <v/>
      </c>
    </row>
    <row r="5673" spans="1:2" x14ac:dyDescent="0.25">
      <c r="A5673" t="str">
        <f>IF(C5673&amp;G5673&amp;D5673&lt;&gt;'Funnel setup'!$K$3&amp;'Funnel setup'!$K$4&amp;'Funnel setup'!$K$6,".",IF(A5672=".",1,A5672+1))</f>
        <v>.</v>
      </c>
      <c r="B5673" s="244" t="str">
        <f t="shared" si="88"/>
        <v/>
      </c>
    </row>
    <row r="5674" spans="1:2" x14ac:dyDescent="0.25">
      <c r="A5674" t="str">
        <f>IF(C5674&amp;G5674&amp;D5674&lt;&gt;'Funnel setup'!$K$3&amp;'Funnel setup'!$K$4&amp;'Funnel setup'!$K$6,".",IF(A5673=".",1,A5673+1))</f>
        <v>.</v>
      </c>
      <c r="B5674" s="244" t="str">
        <f t="shared" si="88"/>
        <v/>
      </c>
    </row>
    <row r="5675" spans="1:2" x14ac:dyDescent="0.25">
      <c r="A5675" t="str">
        <f>IF(C5675&amp;G5675&amp;D5675&lt;&gt;'Funnel setup'!$K$3&amp;'Funnel setup'!$K$4&amp;'Funnel setup'!$K$6,".",IF(A5674=".",1,A5674+1))</f>
        <v>.</v>
      </c>
      <c r="B5675" s="244" t="str">
        <f t="shared" si="88"/>
        <v/>
      </c>
    </row>
    <row r="5676" spans="1:2" x14ac:dyDescent="0.25">
      <c r="A5676" t="str">
        <f>IF(C5676&amp;G5676&amp;D5676&lt;&gt;'Funnel setup'!$K$3&amp;'Funnel setup'!$K$4&amp;'Funnel setup'!$K$6,".",IF(A5675=".",1,A5675+1))</f>
        <v>.</v>
      </c>
      <c r="B5676" s="244" t="str">
        <f t="shared" si="88"/>
        <v/>
      </c>
    </row>
    <row r="5677" spans="1:2" x14ac:dyDescent="0.25">
      <c r="A5677" t="str">
        <f>IF(C5677&amp;G5677&amp;D5677&lt;&gt;'Funnel setup'!$K$3&amp;'Funnel setup'!$K$4&amp;'Funnel setup'!$K$6,".",IF(A5676=".",1,A5676+1))</f>
        <v>.</v>
      </c>
      <c r="B5677" s="244" t="str">
        <f t="shared" si="88"/>
        <v/>
      </c>
    </row>
    <row r="5678" spans="1:2" x14ac:dyDescent="0.25">
      <c r="A5678" t="str">
        <f>IF(C5678&amp;G5678&amp;D5678&lt;&gt;'Funnel setup'!$K$3&amp;'Funnel setup'!$K$4&amp;'Funnel setup'!$K$6,".",IF(A5677=".",1,A5677+1))</f>
        <v>.</v>
      </c>
      <c r="B5678" s="244" t="str">
        <f t="shared" si="88"/>
        <v/>
      </c>
    </row>
    <row r="5679" spans="1:2" x14ac:dyDescent="0.25">
      <c r="A5679" t="str">
        <f>IF(C5679&amp;G5679&amp;D5679&lt;&gt;'Funnel setup'!$K$3&amp;'Funnel setup'!$K$4&amp;'Funnel setup'!$K$6,".",IF(A5678=".",1,A5678+1))</f>
        <v>.</v>
      </c>
      <c r="B5679" s="244" t="str">
        <f t="shared" si="88"/>
        <v/>
      </c>
    </row>
    <row r="5680" spans="1:2" x14ac:dyDescent="0.25">
      <c r="A5680" t="str">
        <f>IF(C5680&amp;G5680&amp;D5680&lt;&gt;'Funnel setup'!$K$3&amp;'Funnel setup'!$K$4&amp;'Funnel setup'!$K$6,".",IF(A5679=".",1,A5679+1))</f>
        <v>.</v>
      </c>
      <c r="B5680" s="244" t="str">
        <f t="shared" si="88"/>
        <v/>
      </c>
    </row>
    <row r="5681" spans="1:2" x14ac:dyDescent="0.25">
      <c r="A5681" t="str">
        <f>IF(C5681&amp;G5681&amp;D5681&lt;&gt;'Funnel setup'!$K$3&amp;'Funnel setup'!$K$4&amp;'Funnel setup'!$K$6,".",IF(A5680=".",1,A5680+1))</f>
        <v>.</v>
      </c>
      <c r="B5681" s="244" t="str">
        <f t="shared" si="88"/>
        <v/>
      </c>
    </row>
    <row r="5682" spans="1:2" x14ac:dyDescent="0.25">
      <c r="A5682" t="str">
        <f>IF(C5682&amp;G5682&amp;D5682&lt;&gt;'Funnel setup'!$K$3&amp;'Funnel setup'!$K$4&amp;'Funnel setup'!$K$6,".",IF(A5681=".",1,A5681+1))</f>
        <v>.</v>
      </c>
      <c r="B5682" s="244" t="str">
        <f t="shared" si="88"/>
        <v/>
      </c>
    </row>
    <row r="5683" spans="1:2" x14ac:dyDescent="0.25">
      <c r="A5683" t="str">
        <f>IF(C5683&amp;G5683&amp;D5683&lt;&gt;'Funnel setup'!$K$3&amp;'Funnel setup'!$K$4&amp;'Funnel setup'!$K$6,".",IF(A5682=".",1,A5682+1))</f>
        <v>.</v>
      </c>
      <c r="B5683" s="244" t="str">
        <f t="shared" si="88"/>
        <v/>
      </c>
    </row>
    <row r="5684" spans="1:2" x14ac:dyDescent="0.25">
      <c r="A5684" t="str">
        <f>IF(C5684&amp;G5684&amp;D5684&lt;&gt;'Funnel setup'!$K$3&amp;'Funnel setup'!$K$4&amp;'Funnel setup'!$K$6,".",IF(A5683=".",1,A5683+1))</f>
        <v>.</v>
      </c>
      <c r="B5684" s="244" t="str">
        <f t="shared" si="88"/>
        <v/>
      </c>
    </row>
    <row r="5685" spans="1:2" x14ac:dyDescent="0.25">
      <c r="A5685" t="str">
        <f>IF(C5685&amp;G5685&amp;D5685&lt;&gt;'Funnel setup'!$K$3&amp;'Funnel setup'!$K$4&amp;'Funnel setup'!$K$6,".",IF(A5684=".",1,A5684+1))</f>
        <v>.</v>
      </c>
      <c r="B5685" s="244" t="str">
        <f t="shared" si="88"/>
        <v/>
      </c>
    </row>
    <row r="5686" spans="1:2" x14ac:dyDescent="0.25">
      <c r="A5686" t="str">
        <f>IF(C5686&amp;G5686&amp;D5686&lt;&gt;'Funnel setup'!$K$3&amp;'Funnel setup'!$K$4&amp;'Funnel setup'!$K$6,".",IF(A5685=".",1,A5685+1))</f>
        <v>.</v>
      </c>
      <c r="B5686" s="244" t="str">
        <f t="shared" si="88"/>
        <v/>
      </c>
    </row>
    <row r="5687" spans="1:2" x14ac:dyDescent="0.25">
      <c r="A5687" t="str">
        <f>IF(C5687&amp;G5687&amp;D5687&lt;&gt;'Funnel setup'!$K$3&amp;'Funnel setup'!$K$4&amp;'Funnel setup'!$K$6,".",IF(A5686=".",1,A5686+1))</f>
        <v>.</v>
      </c>
      <c r="B5687" s="244" t="str">
        <f t="shared" si="88"/>
        <v/>
      </c>
    </row>
    <row r="5688" spans="1:2" x14ac:dyDescent="0.25">
      <c r="A5688" t="str">
        <f>IF(C5688&amp;G5688&amp;D5688&lt;&gt;'Funnel setup'!$K$3&amp;'Funnel setup'!$K$4&amp;'Funnel setup'!$K$6,".",IF(A5687=".",1,A5687+1))</f>
        <v>.</v>
      </c>
      <c r="B5688" s="244" t="str">
        <f t="shared" si="88"/>
        <v/>
      </c>
    </row>
    <row r="5689" spans="1:2" x14ac:dyDescent="0.25">
      <c r="A5689" t="str">
        <f>IF(C5689&amp;G5689&amp;D5689&lt;&gt;'Funnel setup'!$K$3&amp;'Funnel setup'!$K$4&amp;'Funnel setup'!$K$6,".",IF(A5688=".",1,A5688+1))</f>
        <v>.</v>
      </c>
      <c r="B5689" s="244" t="str">
        <f t="shared" si="88"/>
        <v/>
      </c>
    </row>
    <row r="5690" spans="1:2" x14ac:dyDescent="0.25">
      <c r="A5690" t="str">
        <f>IF(C5690&amp;G5690&amp;D5690&lt;&gt;'Funnel setup'!$K$3&amp;'Funnel setup'!$K$4&amp;'Funnel setup'!$K$6,".",IF(A5689=".",1,A5689+1))</f>
        <v>.</v>
      </c>
      <c r="B5690" s="244" t="str">
        <f t="shared" si="88"/>
        <v/>
      </c>
    </row>
    <row r="5691" spans="1:2" x14ac:dyDescent="0.25">
      <c r="A5691" t="str">
        <f>IF(C5691&amp;G5691&amp;D5691&lt;&gt;'Funnel setup'!$K$3&amp;'Funnel setup'!$K$4&amp;'Funnel setup'!$K$6,".",IF(A5690=".",1,A5690+1))</f>
        <v>.</v>
      </c>
      <c r="B5691" s="244" t="str">
        <f t="shared" si="88"/>
        <v/>
      </c>
    </row>
    <row r="5692" spans="1:2" x14ac:dyDescent="0.25">
      <c r="A5692" t="str">
        <f>IF(C5692&amp;G5692&amp;D5692&lt;&gt;'Funnel setup'!$K$3&amp;'Funnel setup'!$K$4&amp;'Funnel setup'!$K$6,".",IF(A5691=".",1,A5691+1))</f>
        <v>.</v>
      </c>
      <c r="B5692" s="244" t="str">
        <f t="shared" si="88"/>
        <v/>
      </c>
    </row>
    <row r="5693" spans="1:2" x14ac:dyDescent="0.25">
      <c r="A5693" t="str">
        <f>IF(C5693&amp;G5693&amp;D5693&lt;&gt;'Funnel setup'!$K$3&amp;'Funnel setup'!$K$4&amp;'Funnel setup'!$K$6,".",IF(A5692=".",1,A5692+1))</f>
        <v>.</v>
      </c>
      <c r="B5693" s="244" t="str">
        <f t="shared" si="88"/>
        <v/>
      </c>
    </row>
    <row r="5694" spans="1:2" x14ac:dyDescent="0.25">
      <c r="A5694" t="str">
        <f>IF(C5694&amp;G5694&amp;D5694&lt;&gt;'Funnel setup'!$K$3&amp;'Funnel setup'!$K$4&amp;'Funnel setup'!$K$6,".",IF(A5693=".",1,A5693+1))</f>
        <v>.</v>
      </c>
      <c r="B5694" s="244" t="str">
        <f t="shared" si="88"/>
        <v/>
      </c>
    </row>
    <row r="5695" spans="1:2" x14ac:dyDescent="0.25">
      <c r="A5695" t="str">
        <f>IF(C5695&amp;G5695&amp;D5695&lt;&gt;'Funnel setup'!$K$3&amp;'Funnel setup'!$K$4&amp;'Funnel setup'!$K$6,".",IF(A5694=".",1,A5694+1))</f>
        <v>.</v>
      </c>
      <c r="B5695" s="244" t="str">
        <f t="shared" si="88"/>
        <v/>
      </c>
    </row>
    <row r="5696" spans="1:2" x14ac:dyDescent="0.25">
      <c r="A5696" t="str">
        <f>IF(C5696&amp;G5696&amp;D5696&lt;&gt;'Funnel setup'!$K$3&amp;'Funnel setup'!$K$4&amp;'Funnel setup'!$K$6,".",IF(A5695=".",1,A5695+1))</f>
        <v>.</v>
      </c>
      <c r="B5696" s="244" t="str">
        <f t="shared" si="88"/>
        <v/>
      </c>
    </row>
    <row r="5697" spans="1:2" x14ac:dyDescent="0.25">
      <c r="A5697" t="str">
        <f>IF(C5697&amp;G5697&amp;D5697&lt;&gt;'Funnel setup'!$K$3&amp;'Funnel setup'!$K$4&amp;'Funnel setup'!$K$6,".",IF(A5696=".",1,A5696+1))</f>
        <v>.</v>
      </c>
      <c r="B5697" s="244" t="str">
        <f t="shared" si="88"/>
        <v/>
      </c>
    </row>
    <row r="5698" spans="1:2" x14ac:dyDescent="0.25">
      <c r="A5698" t="str">
        <f>IF(C5698&amp;G5698&amp;D5698&lt;&gt;'Funnel setup'!$K$3&amp;'Funnel setup'!$K$4&amp;'Funnel setup'!$K$6,".",IF(A5697=".",1,A5697+1))</f>
        <v>.</v>
      </c>
      <c r="B5698" s="244" t="str">
        <f t="shared" ref="B5698:B5761" si="89">C5698&amp;D5698&amp;F5698&amp;G5698</f>
        <v/>
      </c>
    </row>
    <row r="5699" spans="1:2" x14ac:dyDescent="0.25">
      <c r="A5699" t="str">
        <f>IF(C5699&amp;G5699&amp;D5699&lt;&gt;'Funnel setup'!$K$3&amp;'Funnel setup'!$K$4&amp;'Funnel setup'!$K$6,".",IF(A5698=".",1,A5698+1))</f>
        <v>.</v>
      </c>
      <c r="B5699" s="244" t="str">
        <f t="shared" si="89"/>
        <v/>
      </c>
    </row>
    <row r="5700" spans="1:2" x14ac:dyDescent="0.25">
      <c r="A5700" t="str">
        <f>IF(C5700&amp;G5700&amp;D5700&lt;&gt;'Funnel setup'!$K$3&amp;'Funnel setup'!$K$4&amp;'Funnel setup'!$K$6,".",IF(A5699=".",1,A5699+1))</f>
        <v>.</v>
      </c>
      <c r="B5700" s="244" t="str">
        <f t="shared" si="89"/>
        <v/>
      </c>
    </row>
    <row r="5701" spans="1:2" x14ac:dyDescent="0.25">
      <c r="A5701" t="str">
        <f>IF(C5701&amp;G5701&amp;D5701&lt;&gt;'Funnel setup'!$K$3&amp;'Funnel setup'!$K$4&amp;'Funnel setup'!$K$6,".",IF(A5700=".",1,A5700+1))</f>
        <v>.</v>
      </c>
      <c r="B5701" s="244" t="str">
        <f t="shared" si="89"/>
        <v/>
      </c>
    </row>
    <row r="5702" spans="1:2" x14ac:dyDescent="0.25">
      <c r="A5702" t="str">
        <f>IF(C5702&amp;G5702&amp;D5702&lt;&gt;'Funnel setup'!$K$3&amp;'Funnel setup'!$K$4&amp;'Funnel setup'!$K$6,".",IF(A5701=".",1,A5701+1))</f>
        <v>.</v>
      </c>
      <c r="B5702" s="244" t="str">
        <f t="shared" si="89"/>
        <v/>
      </c>
    </row>
    <row r="5703" spans="1:2" x14ac:dyDescent="0.25">
      <c r="A5703" t="str">
        <f>IF(C5703&amp;G5703&amp;D5703&lt;&gt;'Funnel setup'!$K$3&amp;'Funnel setup'!$K$4&amp;'Funnel setup'!$K$6,".",IF(A5702=".",1,A5702+1))</f>
        <v>.</v>
      </c>
      <c r="B5703" s="244" t="str">
        <f t="shared" si="89"/>
        <v/>
      </c>
    </row>
    <row r="5704" spans="1:2" x14ac:dyDescent="0.25">
      <c r="A5704" t="str">
        <f>IF(C5704&amp;G5704&amp;D5704&lt;&gt;'Funnel setup'!$K$3&amp;'Funnel setup'!$K$4&amp;'Funnel setup'!$K$6,".",IF(A5703=".",1,A5703+1))</f>
        <v>.</v>
      </c>
      <c r="B5704" s="244" t="str">
        <f t="shared" si="89"/>
        <v/>
      </c>
    </row>
    <row r="5705" spans="1:2" x14ac:dyDescent="0.25">
      <c r="A5705" t="str">
        <f>IF(C5705&amp;G5705&amp;D5705&lt;&gt;'Funnel setup'!$K$3&amp;'Funnel setup'!$K$4&amp;'Funnel setup'!$K$6,".",IF(A5704=".",1,A5704+1))</f>
        <v>.</v>
      </c>
      <c r="B5705" s="244" t="str">
        <f t="shared" si="89"/>
        <v/>
      </c>
    </row>
    <row r="5706" spans="1:2" x14ac:dyDescent="0.25">
      <c r="A5706" t="str">
        <f>IF(C5706&amp;G5706&amp;D5706&lt;&gt;'Funnel setup'!$K$3&amp;'Funnel setup'!$K$4&amp;'Funnel setup'!$K$6,".",IF(A5705=".",1,A5705+1))</f>
        <v>.</v>
      </c>
      <c r="B5706" s="244" t="str">
        <f t="shared" si="89"/>
        <v/>
      </c>
    </row>
    <row r="5707" spans="1:2" x14ac:dyDescent="0.25">
      <c r="A5707" t="str">
        <f>IF(C5707&amp;G5707&amp;D5707&lt;&gt;'Funnel setup'!$K$3&amp;'Funnel setup'!$K$4&amp;'Funnel setup'!$K$6,".",IF(A5706=".",1,A5706+1))</f>
        <v>.</v>
      </c>
      <c r="B5707" s="244" t="str">
        <f t="shared" si="89"/>
        <v/>
      </c>
    </row>
    <row r="5708" spans="1:2" x14ac:dyDescent="0.25">
      <c r="A5708" t="str">
        <f>IF(C5708&amp;G5708&amp;D5708&lt;&gt;'Funnel setup'!$K$3&amp;'Funnel setup'!$K$4&amp;'Funnel setup'!$K$6,".",IF(A5707=".",1,A5707+1))</f>
        <v>.</v>
      </c>
      <c r="B5708" s="244" t="str">
        <f t="shared" si="89"/>
        <v/>
      </c>
    </row>
    <row r="5709" spans="1:2" x14ac:dyDescent="0.25">
      <c r="A5709" t="str">
        <f>IF(C5709&amp;G5709&amp;D5709&lt;&gt;'Funnel setup'!$K$3&amp;'Funnel setup'!$K$4&amp;'Funnel setup'!$K$6,".",IF(A5708=".",1,A5708+1))</f>
        <v>.</v>
      </c>
      <c r="B5709" s="244" t="str">
        <f t="shared" si="89"/>
        <v/>
      </c>
    </row>
    <row r="5710" spans="1:2" x14ac:dyDescent="0.25">
      <c r="A5710" t="str">
        <f>IF(C5710&amp;G5710&amp;D5710&lt;&gt;'Funnel setup'!$K$3&amp;'Funnel setup'!$K$4&amp;'Funnel setup'!$K$6,".",IF(A5709=".",1,A5709+1))</f>
        <v>.</v>
      </c>
      <c r="B5710" s="244" t="str">
        <f t="shared" si="89"/>
        <v/>
      </c>
    </row>
    <row r="5711" spans="1:2" x14ac:dyDescent="0.25">
      <c r="A5711" t="str">
        <f>IF(C5711&amp;G5711&amp;D5711&lt;&gt;'Funnel setup'!$K$3&amp;'Funnel setup'!$K$4&amp;'Funnel setup'!$K$6,".",IF(A5710=".",1,A5710+1))</f>
        <v>.</v>
      </c>
      <c r="B5711" s="244" t="str">
        <f t="shared" si="89"/>
        <v/>
      </c>
    </row>
    <row r="5712" spans="1:2" x14ac:dyDescent="0.25">
      <c r="A5712" t="str">
        <f>IF(C5712&amp;G5712&amp;D5712&lt;&gt;'Funnel setup'!$K$3&amp;'Funnel setup'!$K$4&amp;'Funnel setup'!$K$6,".",IF(A5711=".",1,A5711+1))</f>
        <v>.</v>
      </c>
      <c r="B5712" s="244" t="str">
        <f t="shared" si="89"/>
        <v/>
      </c>
    </row>
    <row r="5713" spans="1:2" x14ac:dyDescent="0.25">
      <c r="A5713" t="str">
        <f>IF(C5713&amp;G5713&amp;D5713&lt;&gt;'Funnel setup'!$K$3&amp;'Funnel setup'!$K$4&amp;'Funnel setup'!$K$6,".",IF(A5712=".",1,A5712+1))</f>
        <v>.</v>
      </c>
      <c r="B5713" s="244" t="str">
        <f t="shared" si="89"/>
        <v/>
      </c>
    </row>
    <row r="5714" spans="1:2" x14ac:dyDescent="0.25">
      <c r="A5714" t="str">
        <f>IF(C5714&amp;G5714&amp;D5714&lt;&gt;'Funnel setup'!$K$3&amp;'Funnel setup'!$K$4&amp;'Funnel setup'!$K$6,".",IF(A5713=".",1,A5713+1))</f>
        <v>.</v>
      </c>
      <c r="B5714" s="244" t="str">
        <f t="shared" si="89"/>
        <v/>
      </c>
    </row>
    <row r="5715" spans="1:2" x14ac:dyDescent="0.25">
      <c r="A5715" t="str">
        <f>IF(C5715&amp;G5715&amp;D5715&lt;&gt;'Funnel setup'!$K$3&amp;'Funnel setup'!$K$4&amp;'Funnel setup'!$K$6,".",IF(A5714=".",1,A5714+1))</f>
        <v>.</v>
      </c>
      <c r="B5715" s="244" t="str">
        <f t="shared" si="89"/>
        <v/>
      </c>
    </row>
    <row r="5716" spans="1:2" x14ac:dyDescent="0.25">
      <c r="A5716" t="str">
        <f>IF(C5716&amp;G5716&amp;D5716&lt;&gt;'Funnel setup'!$K$3&amp;'Funnel setup'!$K$4&amp;'Funnel setup'!$K$6,".",IF(A5715=".",1,A5715+1))</f>
        <v>.</v>
      </c>
      <c r="B5716" s="244" t="str">
        <f t="shared" si="89"/>
        <v/>
      </c>
    </row>
    <row r="5717" spans="1:2" x14ac:dyDescent="0.25">
      <c r="A5717" t="str">
        <f>IF(C5717&amp;G5717&amp;D5717&lt;&gt;'Funnel setup'!$K$3&amp;'Funnel setup'!$K$4&amp;'Funnel setup'!$K$6,".",IF(A5716=".",1,A5716+1))</f>
        <v>.</v>
      </c>
      <c r="B5717" s="244" t="str">
        <f t="shared" si="89"/>
        <v/>
      </c>
    </row>
    <row r="5718" spans="1:2" x14ac:dyDescent="0.25">
      <c r="A5718" t="str">
        <f>IF(C5718&amp;G5718&amp;D5718&lt;&gt;'Funnel setup'!$K$3&amp;'Funnel setup'!$K$4&amp;'Funnel setup'!$K$6,".",IF(A5717=".",1,A5717+1))</f>
        <v>.</v>
      </c>
      <c r="B5718" s="244" t="str">
        <f t="shared" si="89"/>
        <v/>
      </c>
    </row>
    <row r="5719" spans="1:2" x14ac:dyDescent="0.25">
      <c r="A5719" t="str">
        <f>IF(C5719&amp;G5719&amp;D5719&lt;&gt;'Funnel setup'!$K$3&amp;'Funnel setup'!$K$4&amp;'Funnel setup'!$K$6,".",IF(A5718=".",1,A5718+1))</f>
        <v>.</v>
      </c>
      <c r="B5719" s="244" t="str">
        <f t="shared" si="89"/>
        <v/>
      </c>
    </row>
    <row r="5720" spans="1:2" x14ac:dyDescent="0.25">
      <c r="A5720" t="str">
        <f>IF(C5720&amp;G5720&amp;D5720&lt;&gt;'Funnel setup'!$K$3&amp;'Funnel setup'!$K$4&amp;'Funnel setup'!$K$6,".",IF(A5719=".",1,A5719+1))</f>
        <v>.</v>
      </c>
      <c r="B5720" s="244" t="str">
        <f t="shared" si="89"/>
        <v/>
      </c>
    </row>
    <row r="5721" spans="1:2" x14ac:dyDescent="0.25">
      <c r="A5721" t="str">
        <f>IF(C5721&amp;G5721&amp;D5721&lt;&gt;'Funnel setup'!$K$3&amp;'Funnel setup'!$K$4&amp;'Funnel setup'!$K$6,".",IF(A5720=".",1,A5720+1))</f>
        <v>.</v>
      </c>
      <c r="B5721" s="244" t="str">
        <f t="shared" si="89"/>
        <v/>
      </c>
    </row>
    <row r="5722" spans="1:2" x14ac:dyDescent="0.25">
      <c r="A5722" t="str">
        <f>IF(C5722&amp;G5722&amp;D5722&lt;&gt;'Funnel setup'!$K$3&amp;'Funnel setup'!$K$4&amp;'Funnel setup'!$K$6,".",IF(A5721=".",1,A5721+1))</f>
        <v>.</v>
      </c>
      <c r="B5722" s="244" t="str">
        <f t="shared" si="89"/>
        <v/>
      </c>
    </row>
    <row r="5723" spans="1:2" x14ac:dyDescent="0.25">
      <c r="A5723" t="str">
        <f>IF(C5723&amp;G5723&amp;D5723&lt;&gt;'Funnel setup'!$K$3&amp;'Funnel setup'!$K$4&amp;'Funnel setup'!$K$6,".",IF(A5722=".",1,A5722+1))</f>
        <v>.</v>
      </c>
      <c r="B5723" s="244" t="str">
        <f t="shared" si="89"/>
        <v/>
      </c>
    </row>
    <row r="5724" spans="1:2" x14ac:dyDescent="0.25">
      <c r="A5724" t="str">
        <f>IF(C5724&amp;G5724&amp;D5724&lt;&gt;'Funnel setup'!$K$3&amp;'Funnel setup'!$K$4&amp;'Funnel setup'!$K$6,".",IF(A5723=".",1,A5723+1))</f>
        <v>.</v>
      </c>
      <c r="B5724" s="244" t="str">
        <f t="shared" si="89"/>
        <v/>
      </c>
    </row>
    <row r="5725" spans="1:2" x14ac:dyDescent="0.25">
      <c r="A5725" t="str">
        <f>IF(C5725&amp;G5725&amp;D5725&lt;&gt;'Funnel setup'!$K$3&amp;'Funnel setup'!$K$4&amp;'Funnel setup'!$K$6,".",IF(A5724=".",1,A5724+1))</f>
        <v>.</v>
      </c>
      <c r="B5725" s="244" t="str">
        <f t="shared" si="89"/>
        <v/>
      </c>
    </row>
    <row r="5726" spans="1:2" x14ac:dyDescent="0.25">
      <c r="A5726" t="str">
        <f>IF(C5726&amp;G5726&amp;D5726&lt;&gt;'Funnel setup'!$K$3&amp;'Funnel setup'!$K$4&amp;'Funnel setup'!$K$6,".",IF(A5725=".",1,A5725+1))</f>
        <v>.</v>
      </c>
      <c r="B5726" s="244" t="str">
        <f t="shared" si="89"/>
        <v/>
      </c>
    </row>
    <row r="5727" spans="1:2" x14ac:dyDescent="0.25">
      <c r="A5727" t="str">
        <f>IF(C5727&amp;G5727&amp;D5727&lt;&gt;'Funnel setup'!$K$3&amp;'Funnel setup'!$K$4&amp;'Funnel setup'!$K$6,".",IF(A5726=".",1,A5726+1))</f>
        <v>.</v>
      </c>
      <c r="B5727" s="244" t="str">
        <f t="shared" si="89"/>
        <v/>
      </c>
    </row>
    <row r="5728" spans="1:2" x14ac:dyDescent="0.25">
      <c r="A5728" t="str">
        <f>IF(C5728&amp;G5728&amp;D5728&lt;&gt;'Funnel setup'!$K$3&amp;'Funnel setup'!$K$4&amp;'Funnel setup'!$K$6,".",IF(A5727=".",1,A5727+1))</f>
        <v>.</v>
      </c>
      <c r="B5728" s="244" t="str">
        <f t="shared" si="89"/>
        <v/>
      </c>
    </row>
    <row r="5729" spans="1:2" x14ac:dyDescent="0.25">
      <c r="A5729" t="str">
        <f>IF(C5729&amp;G5729&amp;D5729&lt;&gt;'Funnel setup'!$K$3&amp;'Funnel setup'!$K$4&amp;'Funnel setup'!$K$6,".",IF(A5728=".",1,A5728+1))</f>
        <v>.</v>
      </c>
      <c r="B5729" s="244" t="str">
        <f t="shared" si="89"/>
        <v/>
      </c>
    </row>
    <row r="5730" spans="1:2" x14ac:dyDescent="0.25">
      <c r="A5730" t="str">
        <f>IF(C5730&amp;G5730&amp;D5730&lt;&gt;'Funnel setup'!$K$3&amp;'Funnel setup'!$K$4&amp;'Funnel setup'!$K$6,".",IF(A5729=".",1,A5729+1))</f>
        <v>.</v>
      </c>
      <c r="B5730" s="244" t="str">
        <f t="shared" si="89"/>
        <v/>
      </c>
    </row>
    <row r="5731" spans="1:2" x14ac:dyDescent="0.25">
      <c r="A5731" t="str">
        <f>IF(C5731&amp;G5731&amp;D5731&lt;&gt;'Funnel setup'!$K$3&amp;'Funnel setup'!$K$4&amp;'Funnel setup'!$K$6,".",IF(A5730=".",1,A5730+1))</f>
        <v>.</v>
      </c>
      <c r="B5731" s="244" t="str">
        <f t="shared" si="89"/>
        <v/>
      </c>
    </row>
    <row r="5732" spans="1:2" x14ac:dyDescent="0.25">
      <c r="A5732" t="str">
        <f>IF(C5732&amp;G5732&amp;D5732&lt;&gt;'Funnel setup'!$K$3&amp;'Funnel setup'!$K$4&amp;'Funnel setup'!$K$6,".",IF(A5731=".",1,A5731+1))</f>
        <v>.</v>
      </c>
      <c r="B5732" s="244" t="str">
        <f t="shared" si="89"/>
        <v/>
      </c>
    </row>
    <row r="5733" spans="1:2" x14ac:dyDescent="0.25">
      <c r="A5733" t="str">
        <f>IF(C5733&amp;G5733&amp;D5733&lt;&gt;'Funnel setup'!$K$3&amp;'Funnel setup'!$K$4&amp;'Funnel setup'!$K$6,".",IF(A5732=".",1,A5732+1))</f>
        <v>.</v>
      </c>
      <c r="B5733" s="244" t="str">
        <f t="shared" si="89"/>
        <v/>
      </c>
    </row>
    <row r="5734" spans="1:2" x14ac:dyDescent="0.25">
      <c r="A5734" t="str">
        <f>IF(C5734&amp;G5734&amp;D5734&lt;&gt;'Funnel setup'!$K$3&amp;'Funnel setup'!$K$4&amp;'Funnel setup'!$K$6,".",IF(A5733=".",1,A5733+1))</f>
        <v>.</v>
      </c>
      <c r="B5734" s="244" t="str">
        <f t="shared" si="89"/>
        <v/>
      </c>
    </row>
    <row r="5735" spans="1:2" x14ac:dyDescent="0.25">
      <c r="A5735" t="str">
        <f>IF(C5735&amp;G5735&amp;D5735&lt;&gt;'Funnel setup'!$K$3&amp;'Funnel setup'!$K$4&amp;'Funnel setup'!$K$6,".",IF(A5734=".",1,A5734+1))</f>
        <v>.</v>
      </c>
      <c r="B5735" s="244" t="str">
        <f t="shared" si="89"/>
        <v/>
      </c>
    </row>
    <row r="5736" spans="1:2" x14ac:dyDescent="0.25">
      <c r="A5736" t="str">
        <f>IF(C5736&amp;G5736&amp;D5736&lt;&gt;'Funnel setup'!$K$3&amp;'Funnel setup'!$K$4&amp;'Funnel setup'!$K$6,".",IF(A5735=".",1,A5735+1))</f>
        <v>.</v>
      </c>
      <c r="B5736" s="244" t="str">
        <f t="shared" si="89"/>
        <v/>
      </c>
    </row>
    <row r="5737" spans="1:2" x14ac:dyDescent="0.25">
      <c r="A5737" t="str">
        <f>IF(C5737&amp;G5737&amp;D5737&lt;&gt;'Funnel setup'!$K$3&amp;'Funnel setup'!$K$4&amp;'Funnel setup'!$K$6,".",IF(A5736=".",1,A5736+1))</f>
        <v>.</v>
      </c>
      <c r="B5737" s="244" t="str">
        <f t="shared" si="89"/>
        <v/>
      </c>
    </row>
    <row r="5738" spans="1:2" x14ac:dyDescent="0.25">
      <c r="A5738" t="str">
        <f>IF(C5738&amp;G5738&amp;D5738&lt;&gt;'Funnel setup'!$K$3&amp;'Funnel setup'!$K$4&amp;'Funnel setup'!$K$6,".",IF(A5737=".",1,A5737+1))</f>
        <v>.</v>
      </c>
      <c r="B5738" s="244" t="str">
        <f t="shared" si="89"/>
        <v/>
      </c>
    </row>
    <row r="5739" spans="1:2" x14ac:dyDescent="0.25">
      <c r="A5739" t="str">
        <f>IF(C5739&amp;G5739&amp;D5739&lt;&gt;'Funnel setup'!$K$3&amp;'Funnel setup'!$K$4&amp;'Funnel setup'!$K$6,".",IF(A5738=".",1,A5738+1))</f>
        <v>.</v>
      </c>
      <c r="B5739" s="244" t="str">
        <f t="shared" si="89"/>
        <v/>
      </c>
    </row>
    <row r="5740" spans="1:2" x14ac:dyDescent="0.25">
      <c r="A5740" t="str">
        <f>IF(C5740&amp;G5740&amp;D5740&lt;&gt;'Funnel setup'!$K$3&amp;'Funnel setup'!$K$4&amp;'Funnel setup'!$K$6,".",IF(A5739=".",1,A5739+1))</f>
        <v>.</v>
      </c>
      <c r="B5740" s="244" t="str">
        <f t="shared" si="89"/>
        <v/>
      </c>
    </row>
    <row r="5741" spans="1:2" x14ac:dyDescent="0.25">
      <c r="A5741" t="str">
        <f>IF(C5741&amp;G5741&amp;D5741&lt;&gt;'Funnel setup'!$K$3&amp;'Funnel setup'!$K$4&amp;'Funnel setup'!$K$6,".",IF(A5740=".",1,A5740+1))</f>
        <v>.</v>
      </c>
      <c r="B5741" s="244" t="str">
        <f t="shared" si="89"/>
        <v/>
      </c>
    </row>
    <row r="5742" spans="1:2" x14ac:dyDescent="0.25">
      <c r="A5742" t="str">
        <f>IF(C5742&amp;G5742&amp;D5742&lt;&gt;'Funnel setup'!$K$3&amp;'Funnel setup'!$K$4&amp;'Funnel setup'!$K$6,".",IF(A5741=".",1,A5741+1))</f>
        <v>.</v>
      </c>
      <c r="B5742" s="244" t="str">
        <f t="shared" si="89"/>
        <v/>
      </c>
    </row>
    <row r="5743" spans="1:2" x14ac:dyDescent="0.25">
      <c r="A5743" t="str">
        <f>IF(C5743&amp;G5743&amp;D5743&lt;&gt;'Funnel setup'!$K$3&amp;'Funnel setup'!$K$4&amp;'Funnel setup'!$K$6,".",IF(A5742=".",1,A5742+1))</f>
        <v>.</v>
      </c>
      <c r="B5743" s="244" t="str">
        <f t="shared" si="89"/>
        <v/>
      </c>
    </row>
    <row r="5744" spans="1:2" x14ac:dyDescent="0.25">
      <c r="A5744" t="str">
        <f>IF(C5744&amp;G5744&amp;D5744&lt;&gt;'Funnel setup'!$K$3&amp;'Funnel setup'!$K$4&amp;'Funnel setup'!$K$6,".",IF(A5743=".",1,A5743+1))</f>
        <v>.</v>
      </c>
      <c r="B5744" s="244" t="str">
        <f t="shared" si="89"/>
        <v/>
      </c>
    </row>
    <row r="5745" spans="1:2" x14ac:dyDescent="0.25">
      <c r="A5745" t="str">
        <f>IF(C5745&amp;G5745&amp;D5745&lt;&gt;'Funnel setup'!$K$3&amp;'Funnel setup'!$K$4&amp;'Funnel setup'!$K$6,".",IF(A5744=".",1,A5744+1))</f>
        <v>.</v>
      </c>
      <c r="B5745" s="244" t="str">
        <f t="shared" si="89"/>
        <v/>
      </c>
    </row>
    <row r="5746" spans="1:2" x14ac:dyDescent="0.25">
      <c r="A5746" t="str">
        <f>IF(C5746&amp;G5746&amp;D5746&lt;&gt;'Funnel setup'!$K$3&amp;'Funnel setup'!$K$4&amp;'Funnel setup'!$K$6,".",IF(A5745=".",1,A5745+1))</f>
        <v>.</v>
      </c>
      <c r="B5746" s="244" t="str">
        <f t="shared" si="89"/>
        <v/>
      </c>
    </row>
    <row r="5747" spans="1:2" x14ac:dyDescent="0.25">
      <c r="A5747" t="str">
        <f>IF(C5747&amp;G5747&amp;D5747&lt;&gt;'Funnel setup'!$K$3&amp;'Funnel setup'!$K$4&amp;'Funnel setup'!$K$6,".",IF(A5746=".",1,A5746+1))</f>
        <v>.</v>
      </c>
      <c r="B5747" s="244" t="str">
        <f t="shared" si="89"/>
        <v/>
      </c>
    </row>
    <row r="5748" spans="1:2" x14ac:dyDescent="0.25">
      <c r="A5748" t="str">
        <f>IF(C5748&amp;G5748&amp;D5748&lt;&gt;'Funnel setup'!$K$3&amp;'Funnel setup'!$K$4&amp;'Funnel setup'!$K$6,".",IF(A5747=".",1,A5747+1))</f>
        <v>.</v>
      </c>
      <c r="B5748" s="244" t="str">
        <f t="shared" si="89"/>
        <v/>
      </c>
    </row>
    <row r="5749" spans="1:2" x14ac:dyDescent="0.25">
      <c r="A5749" t="str">
        <f>IF(C5749&amp;G5749&amp;D5749&lt;&gt;'Funnel setup'!$K$3&amp;'Funnel setup'!$K$4&amp;'Funnel setup'!$K$6,".",IF(A5748=".",1,A5748+1))</f>
        <v>.</v>
      </c>
      <c r="B5749" s="244" t="str">
        <f t="shared" si="89"/>
        <v/>
      </c>
    </row>
    <row r="5750" spans="1:2" x14ac:dyDescent="0.25">
      <c r="A5750" t="str">
        <f>IF(C5750&amp;G5750&amp;D5750&lt;&gt;'Funnel setup'!$K$3&amp;'Funnel setup'!$K$4&amp;'Funnel setup'!$K$6,".",IF(A5749=".",1,A5749+1))</f>
        <v>.</v>
      </c>
      <c r="B5750" s="244" t="str">
        <f t="shared" si="89"/>
        <v/>
      </c>
    </row>
    <row r="5751" spans="1:2" x14ac:dyDescent="0.25">
      <c r="A5751" t="str">
        <f>IF(C5751&amp;G5751&amp;D5751&lt;&gt;'Funnel setup'!$K$3&amp;'Funnel setup'!$K$4&amp;'Funnel setup'!$K$6,".",IF(A5750=".",1,A5750+1))</f>
        <v>.</v>
      </c>
      <c r="B5751" s="244" t="str">
        <f t="shared" si="89"/>
        <v/>
      </c>
    </row>
    <row r="5752" spans="1:2" x14ac:dyDescent="0.25">
      <c r="A5752" t="str">
        <f>IF(C5752&amp;G5752&amp;D5752&lt;&gt;'Funnel setup'!$K$3&amp;'Funnel setup'!$K$4&amp;'Funnel setup'!$K$6,".",IF(A5751=".",1,A5751+1))</f>
        <v>.</v>
      </c>
      <c r="B5752" s="244" t="str">
        <f t="shared" si="89"/>
        <v/>
      </c>
    </row>
    <row r="5753" spans="1:2" x14ac:dyDescent="0.25">
      <c r="A5753" t="str">
        <f>IF(C5753&amp;G5753&amp;D5753&lt;&gt;'Funnel setup'!$K$3&amp;'Funnel setup'!$K$4&amp;'Funnel setup'!$K$6,".",IF(A5752=".",1,A5752+1))</f>
        <v>.</v>
      </c>
      <c r="B5753" s="244" t="str">
        <f t="shared" si="89"/>
        <v/>
      </c>
    </row>
    <row r="5754" spans="1:2" x14ac:dyDescent="0.25">
      <c r="A5754" t="str">
        <f>IF(C5754&amp;G5754&amp;D5754&lt;&gt;'Funnel setup'!$K$3&amp;'Funnel setup'!$K$4&amp;'Funnel setup'!$K$6,".",IF(A5753=".",1,A5753+1))</f>
        <v>.</v>
      </c>
      <c r="B5754" s="244" t="str">
        <f t="shared" si="89"/>
        <v/>
      </c>
    </row>
    <row r="5755" spans="1:2" x14ac:dyDescent="0.25">
      <c r="A5755" t="str">
        <f>IF(C5755&amp;G5755&amp;D5755&lt;&gt;'Funnel setup'!$K$3&amp;'Funnel setup'!$K$4&amp;'Funnel setup'!$K$6,".",IF(A5754=".",1,A5754+1))</f>
        <v>.</v>
      </c>
      <c r="B5755" s="244" t="str">
        <f t="shared" si="89"/>
        <v/>
      </c>
    </row>
    <row r="5756" spans="1:2" x14ac:dyDescent="0.25">
      <c r="A5756" t="str">
        <f>IF(C5756&amp;G5756&amp;D5756&lt;&gt;'Funnel setup'!$K$3&amp;'Funnel setup'!$K$4&amp;'Funnel setup'!$K$6,".",IF(A5755=".",1,A5755+1))</f>
        <v>.</v>
      </c>
      <c r="B5756" s="244" t="str">
        <f t="shared" si="89"/>
        <v/>
      </c>
    </row>
    <row r="5757" spans="1:2" x14ac:dyDescent="0.25">
      <c r="A5757" t="str">
        <f>IF(C5757&amp;G5757&amp;D5757&lt;&gt;'Funnel setup'!$K$3&amp;'Funnel setup'!$K$4&amp;'Funnel setup'!$K$6,".",IF(A5756=".",1,A5756+1))</f>
        <v>.</v>
      </c>
      <c r="B5757" s="244" t="str">
        <f t="shared" si="89"/>
        <v/>
      </c>
    </row>
    <row r="5758" spans="1:2" x14ac:dyDescent="0.25">
      <c r="A5758" t="str">
        <f>IF(C5758&amp;G5758&amp;D5758&lt;&gt;'Funnel setup'!$K$3&amp;'Funnel setup'!$K$4&amp;'Funnel setup'!$K$6,".",IF(A5757=".",1,A5757+1))</f>
        <v>.</v>
      </c>
      <c r="B5758" s="244" t="str">
        <f t="shared" si="89"/>
        <v/>
      </c>
    </row>
    <row r="5759" spans="1:2" x14ac:dyDescent="0.25">
      <c r="A5759" t="str">
        <f>IF(C5759&amp;G5759&amp;D5759&lt;&gt;'Funnel setup'!$K$3&amp;'Funnel setup'!$K$4&amp;'Funnel setup'!$K$6,".",IF(A5758=".",1,A5758+1))</f>
        <v>.</v>
      </c>
      <c r="B5759" s="244" t="str">
        <f t="shared" si="89"/>
        <v/>
      </c>
    </row>
    <row r="5760" spans="1:2" x14ac:dyDescent="0.25">
      <c r="A5760" t="str">
        <f>IF(C5760&amp;G5760&amp;D5760&lt;&gt;'Funnel setup'!$K$3&amp;'Funnel setup'!$K$4&amp;'Funnel setup'!$K$6,".",IF(A5759=".",1,A5759+1))</f>
        <v>.</v>
      </c>
      <c r="B5760" s="244" t="str">
        <f t="shared" si="89"/>
        <v/>
      </c>
    </row>
    <row r="5761" spans="1:2" x14ac:dyDescent="0.25">
      <c r="A5761" t="str">
        <f>IF(C5761&amp;G5761&amp;D5761&lt;&gt;'Funnel setup'!$K$3&amp;'Funnel setup'!$K$4&amp;'Funnel setup'!$K$6,".",IF(A5760=".",1,A5760+1))</f>
        <v>.</v>
      </c>
      <c r="B5761" s="244" t="str">
        <f t="shared" si="89"/>
        <v/>
      </c>
    </row>
    <row r="5762" spans="1:2" x14ac:dyDescent="0.25">
      <c r="A5762" t="str">
        <f>IF(C5762&amp;G5762&amp;D5762&lt;&gt;'Funnel setup'!$K$3&amp;'Funnel setup'!$K$4&amp;'Funnel setup'!$K$6,".",IF(A5761=".",1,A5761+1))</f>
        <v>.</v>
      </c>
      <c r="B5762" s="244" t="str">
        <f t="shared" ref="B5762:B5825" si="90">C5762&amp;D5762&amp;F5762&amp;G5762</f>
        <v/>
      </c>
    </row>
    <row r="5763" spans="1:2" x14ac:dyDescent="0.25">
      <c r="A5763" t="str">
        <f>IF(C5763&amp;G5763&amp;D5763&lt;&gt;'Funnel setup'!$K$3&amp;'Funnel setup'!$K$4&amp;'Funnel setup'!$K$6,".",IF(A5762=".",1,A5762+1))</f>
        <v>.</v>
      </c>
      <c r="B5763" s="244" t="str">
        <f t="shared" si="90"/>
        <v/>
      </c>
    </row>
    <row r="5764" spans="1:2" x14ac:dyDescent="0.25">
      <c r="A5764" t="str">
        <f>IF(C5764&amp;G5764&amp;D5764&lt;&gt;'Funnel setup'!$K$3&amp;'Funnel setup'!$K$4&amp;'Funnel setup'!$K$6,".",IF(A5763=".",1,A5763+1))</f>
        <v>.</v>
      </c>
      <c r="B5764" s="244" t="str">
        <f t="shared" si="90"/>
        <v/>
      </c>
    </row>
    <row r="5765" spans="1:2" x14ac:dyDescent="0.25">
      <c r="A5765" t="str">
        <f>IF(C5765&amp;G5765&amp;D5765&lt;&gt;'Funnel setup'!$K$3&amp;'Funnel setup'!$K$4&amp;'Funnel setup'!$K$6,".",IF(A5764=".",1,A5764+1))</f>
        <v>.</v>
      </c>
      <c r="B5765" s="244" t="str">
        <f t="shared" si="90"/>
        <v/>
      </c>
    </row>
    <row r="5766" spans="1:2" x14ac:dyDescent="0.25">
      <c r="A5766" t="str">
        <f>IF(C5766&amp;G5766&amp;D5766&lt;&gt;'Funnel setup'!$K$3&amp;'Funnel setup'!$K$4&amp;'Funnel setup'!$K$6,".",IF(A5765=".",1,A5765+1))</f>
        <v>.</v>
      </c>
      <c r="B5766" s="244" t="str">
        <f t="shared" si="90"/>
        <v/>
      </c>
    </row>
    <row r="5767" spans="1:2" x14ac:dyDescent="0.25">
      <c r="A5767" t="str">
        <f>IF(C5767&amp;G5767&amp;D5767&lt;&gt;'Funnel setup'!$K$3&amp;'Funnel setup'!$K$4&amp;'Funnel setup'!$K$6,".",IF(A5766=".",1,A5766+1))</f>
        <v>.</v>
      </c>
      <c r="B5767" s="244" t="str">
        <f t="shared" si="90"/>
        <v/>
      </c>
    </row>
    <row r="5768" spans="1:2" x14ac:dyDescent="0.25">
      <c r="A5768" t="str">
        <f>IF(C5768&amp;G5768&amp;D5768&lt;&gt;'Funnel setup'!$K$3&amp;'Funnel setup'!$K$4&amp;'Funnel setup'!$K$6,".",IF(A5767=".",1,A5767+1))</f>
        <v>.</v>
      </c>
      <c r="B5768" s="244" t="str">
        <f t="shared" si="90"/>
        <v/>
      </c>
    </row>
    <row r="5769" spans="1:2" x14ac:dyDescent="0.25">
      <c r="A5769" t="str">
        <f>IF(C5769&amp;G5769&amp;D5769&lt;&gt;'Funnel setup'!$K$3&amp;'Funnel setup'!$K$4&amp;'Funnel setup'!$K$6,".",IF(A5768=".",1,A5768+1))</f>
        <v>.</v>
      </c>
      <c r="B5769" s="244" t="str">
        <f t="shared" si="90"/>
        <v/>
      </c>
    </row>
    <row r="5770" spans="1:2" x14ac:dyDescent="0.25">
      <c r="A5770" t="str">
        <f>IF(C5770&amp;G5770&amp;D5770&lt;&gt;'Funnel setup'!$K$3&amp;'Funnel setup'!$K$4&amp;'Funnel setup'!$K$6,".",IF(A5769=".",1,A5769+1))</f>
        <v>.</v>
      </c>
      <c r="B5770" s="244" t="str">
        <f t="shared" si="90"/>
        <v/>
      </c>
    </row>
    <row r="5771" spans="1:2" x14ac:dyDescent="0.25">
      <c r="A5771" t="str">
        <f>IF(C5771&amp;G5771&amp;D5771&lt;&gt;'Funnel setup'!$K$3&amp;'Funnel setup'!$K$4&amp;'Funnel setup'!$K$6,".",IF(A5770=".",1,A5770+1))</f>
        <v>.</v>
      </c>
      <c r="B5771" s="244" t="str">
        <f t="shared" si="90"/>
        <v/>
      </c>
    </row>
    <row r="5772" spans="1:2" x14ac:dyDescent="0.25">
      <c r="A5772" t="str">
        <f>IF(C5772&amp;G5772&amp;D5772&lt;&gt;'Funnel setup'!$K$3&amp;'Funnel setup'!$K$4&amp;'Funnel setup'!$K$6,".",IF(A5771=".",1,A5771+1))</f>
        <v>.</v>
      </c>
      <c r="B5772" s="244" t="str">
        <f t="shared" si="90"/>
        <v/>
      </c>
    </row>
    <row r="5773" spans="1:2" x14ac:dyDescent="0.25">
      <c r="A5773" t="str">
        <f>IF(C5773&amp;G5773&amp;D5773&lt;&gt;'Funnel setup'!$K$3&amp;'Funnel setup'!$K$4&amp;'Funnel setup'!$K$6,".",IF(A5772=".",1,A5772+1))</f>
        <v>.</v>
      </c>
      <c r="B5773" s="244" t="str">
        <f t="shared" si="90"/>
        <v/>
      </c>
    </row>
    <row r="5774" spans="1:2" x14ac:dyDescent="0.25">
      <c r="A5774" t="str">
        <f>IF(C5774&amp;G5774&amp;D5774&lt;&gt;'Funnel setup'!$K$3&amp;'Funnel setup'!$K$4&amp;'Funnel setup'!$K$6,".",IF(A5773=".",1,A5773+1))</f>
        <v>.</v>
      </c>
      <c r="B5774" s="244" t="str">
        <f t="shared" si="90"/>
        <v/>
      </c>
    </row>
    <row r="5775" spans="1:2" x14ac:dyDescent="0.25">
      <c r="A5775" t="str">
        <f>IF(C5775&amp;G5775&amp;D5775&lt;&gt;'Funnel setup'!$K$3&amp;'Funnel setup'!$K$4&amp;'Funnel setup'!$K$6,".",IF(A5774=".",1,A5774+1))</f>
        <v>.</v>
      </c>
      <c r="B5775" s="244" t="str">
        <f t="shared" si="90"/>
        <v/>
      </c>
    </row>
    <row r="5776" spans="1:2" x14ac:dyDescent="0.25">
      <c r="A5776" t="str">
        <f>IF(C5776&amp;G5776&amp;D5776&lt;&gt;'Funnel setup'!$K$3&amp;'Funnel setup'!$K$4&amp;'Funnel setup'!$K$6,".",IF(A5775=".",1,A5775+1))</f>
        <v>.</v>
      </c>
      <c r="B5776" s="244" t="str">
        <f t="shared" si="90"/>
        <v/>
      </c>
    </row>
    <row r="5777" spans="1:2" x14ac:dyDescent="0.25">
      <c r="A5777" t="str">
        <f>IF(C5777&amp;G5777&amp;D5777&lt;&gt;'Funnel setup'!$K$3&amp;'Funnel setup'!$K$4&amp;'Funnel setup'!$K$6,".",IF(A5776=".",1,A5776+1))</f>
        <v>.</v>
      </c>
      <c r="B5777" s="244" t="str">
        <f t="shared" si="90"/>
        <v/>
      </c>
    </row>
    <row r="5778" spans="1:2" x14ac:dyDescent="0.25">
      <c r="A5778" t="str">
        <f>IF(C5778&amp;G5778&amp;D5778&lt;&gt;'Funnel setup'!$K$3&amp;'Funnel setup'!$K$4&amp;'Funnel setup'!$K$6,".",IF(A5777=".",1,A5777+1))</f>
        <v>.</v>
      </c>
      <c r="B5778" s="244" t="str">
        <f t="shared" si="90"/>
        <v/>
      </c>
    </row>
    <row r="5779" spans="1:2" x14ac:dyDescent="0.25">
      <c r="A5779" t="str">
        <f>IF(C5779&amp;G5779&amp;D5779&lt;&gt;'Funnel setup'!$K$3&amp;'Funnel setup'!$K$4&amp;'Funnel setup'!$K$6,".",IF(A5778=".",1,A5778+1))</f>
        <v>.</v>
      </c>
      <c r="B5779" s="244" t="str">
        <f t="shared" si="90"/>
        <v/>
      </c>
    </row>
    <row r="5780" spans="1:2" x14ac:dyDescent="0.25">
      <c r="A5780" t="str">
        <f>IF(C5780&amp;G5780&amp;D5780&lt;&gt;'Funnel setup'!$K$3&amp;'Funnel setup'!$K$4&amp;'Funnel setup'!$K$6,".",IF(A5779=".",1,A5779+1))</f>
        <v>.</v>
      </c>
      <c r="B5780" s="244" t="str">
        <f t="shared" si="90"/>
        <v/>
      </c>
    </row>
    <row r="5781" spans="1:2" x14ac:dyDescent="0.25">
      <c r="A5781" t="str">
        <f>IF(C5781&amp;G5781&amp;D5781&lt;&gt;'Funnel setup'!$K$3&amp;'Funnel setup'!$K$4&amp;'Funnel setup'!$K$6,".",IF(A5780=".",1,A5780+1))</f>
        <v>.</v>
      </c>
      <c r="B5781" s="244" t="str">
        <f t="shared" si="90"/>
        <v/>
      </c>
    </row>
    <row r="5782" spans="1:2" x14ac:dyDescent="0.25">
      <c r="A5782" t="str">
        <f>IF(C5782&amp;G5782&amp;D5782&lt;&gt;'Funnel setup'!$K$3&amp;'Funnel setup'!$K$4&amp;'Funnel setup'!$K$6,".",IF(A5781=".",1,A5781+1))</f>
        <v>.</v>
      </c>
      <c r="B5782" s="244" t="str">
        <f t="shared" si="90"/>
        <v/>
      </c>
    </row>
    <row r="5783" spans="1:2" x14ac:dyDescent="0.25">
      <c r="A5783" t="str">
        <f>IF(C5783&amp;G5783&amp;D5783&lt;&gt;'Funnel setup'!$K$3&amp;'Funnel setup'!$K$4&amp;'Funnel setup'!$K$6,".",IF(A5782=".",1,A5782+1))</f>
        <v>.</v>
      </c>
      <c r="B5783" s="244" t="str">
        <f t="shared" si="90"/>
        <v/>
      </c>
    </row>
    <row r="5784" spans="1:2" x14ac:dyDescent="0.25">
      <c r="A5784" t="str">
        <f>IF(C5784&amp;G5784&amp;D5784&lt;&gt;'Funnel setup'!$K$3&amp;'Funnel setup'!$K$4&amp;'Funnel setup'!$K$6,".",IF(A5783=".",1,A5783+1))</f>
        <v>.</v>
      </c>
      <c r="B5784" s="244" t="str">
        <f t="shared" si="90"/>
        <v/>
      </c>
    </row>
    <row r="5785" spans="1:2" x14ac:dyDescent="0.25">
      <c r="A5785" t="str">
        <f>IF(C5785&amp;G5785&amp;D5785&lt;&gt;'Funnel setup'!$K$3&amp;'Funnel setup'!$K$4&amp;'Funnel setup'!$K$6,".",IF(A5784=".",1,A5784+1))</f>
        <v>.</v>
      </c>
      <c r="B5785" s="244" t="str">
        <f t="shared" si="90"/>
        <v/>
      </c>
    </row>
    <row r="5786" spans="1:2" x14ac:dyDescent="0.25">
      <c r="A5786" t="str">
        <f>IF(C5786&amp;G5786&amp;D5786&lt;&gt;'Funnel setup'!$K$3&amp;'Funnel setup'!$K$4&amp;'Funnel setup'!$K$6,".",IF(A5785=".",1,A5785+1))</f>
        <v>.</v>
      </c>
      <c r="B5786" s="244" t="str">
        <f t="shared" si="90"/>
        <v/>
      </c>
    </row>
    <row r="5787" spans="1:2" x14ac:dyDescent="0.25">
      <c r="A5787" t="str">
        <f>IF(C5787&amp;G5787&amp;D5787&lt;&gt;'Funnel setup'!$K$3&amp;'Funnel setup'!$K$4&amp;'Funnel setup'!$K$6,".",IF(A5786=".",1,A5786+1))</f>
        <v>.</v>
      </c>
      <c r="B5787" s="244" t="str">
        <f t="shared" si="90"/>
        <v/>
      </c>
    </row>
    <row r="5788" spans="1:2" x14ac:dyDescent="0.25">
      <c r="A5788" t="str">
        <f>IF(C5788&amp;G5788&amp;D5788&lt;&gt;'Funnel setup'!$K$3&amp;'Funnel setup'!$K$4&amp;'Funnel setup'!$K$6,".",IF(A5787=".",1,A5787+1))</f>
        <v>.</v>
      </c>
      <c r="B5788" s="244" t="str">
        <f t="shared" si="90"/>
        <v/>
      </c>
    </row>
    <row r="5789" spans="1:2" x14ac:dyDescent="0.25">
      <c r="A5789" t="str">
        <f>IF(C5789&amp;G5789&amp;D5789&lt;&gt;'Funnel setup'!$K$3&amp;'Funnel setup'!$K$4&amp;'Funnel setup'!$K$6,".",IF(A5788=".",1,A5788+1))</f>
        <v>.</v>
      </c>
      <c r="B5789" s="244" t="str">
        <f t="shared" si="90"/>
        <v/>
      </c>
    </row>
    <row r="5790" spans="1:2" x14ac:dyDescent="0.25">
      <c r="A5790" t="str">
        <f>IF(C5790&amp;G5790&amp;D5790&lt;&gt;'Funnel setup'!$K$3&amp;'Funnel setup'!$K$4&amp;'Funnel setup'!$K$6,".",IF(A5789=".",1,A5789+1))</f>
        <v>.</v>
      </c>
      <c r="B5790" s="244" t="str">
        <f t="shared" si="90"/>
        <v/>
      </c>
    </row>
    <row r="5791" spans="1:2" x14ac:dyDescent="0.25">
      <c r="A5791" t="str">
        <f>IF(C5791&amp;G5791&amp;D5791&lt;&gt;'Funnel setup'!$K$3&amp;'Funnel setup'!$K$4&amp;'Funnel setup'!$K$6,".",IF(A5790=".",1,A5790+1))</f>
        <v>.</v>
      </c>
      <c r="B5791" s="244" t="str">
        <f t="shared" si="90"/>
        <v/>
      </c>
    </row>
    <row r="5792" spans="1:2" x14ac:dyDescent="0.25">
      <c r="A5792" t="str">
        <f>IF(C5792&amp;G5792&amp;D5792&lt;&gt;'Funnel setup'!$K$3&amp;'Funnel setup'!$K$4&amp;'Funnel setup'!$K$6,".",IF(A5791=".",1,A5791+1))</f>
        <v>.</v>
      </c>
      <c r="B5792" s="244" t="str">
        <f t="shared" si="90"/>
        <v/>
      </c>
    </row>
    <row r="5793" spans="1:2" x14ac:dyDescent="0.25">
      <c r="A5793" t="str">
        <f>IF(C5793&amp;G5793&amp;D5793&lt;&gt;'Funnel setup'!$K$3&amp;'Funnel setup'!$K$4&amp;'Funnel setup'!$K$6,".",IF(A5792=".",1,A5792+1))</f>
        <v>.</v>
      </c>
      <c r="B5793" s="244" t="str">
        <f t="shared" si="90"/>
        <v/>
      </c>
    </row>
    <row r="5794" spans="1:2" x14ac:dyDescent="0.25">
      <c r="A5794" t="str">
        <f>IF(C5794&amp;G5794&amp;D5794&lt;&gt;'Funnel setup'!$K$3&amp;'Funnel setup'!$K$4&amp;'Funnel setup'!$K$6,".",IF(A5793=".",1,A5793+1))</f>
        <v>.</v>
      </c>
      <c r="B5794" s="244" t="str">
        <f t="shared" si="90"/>
        <v/>
      </c>
    </row>
    <row r="5795" spans="1:2" x14ac:dyDescent="0.25">
      <c r="A5795" t="str">
        <f>IF(C5795&amp;G5795&amp;D5795&lt;&gt;'Funnel setup'!$K$3&amp;'Funnel setup'!$K$4&amp;'Funnel setup'!$K$6,".",IF(A5794=".",1,A5794+1))</f>
        <v>.</v>
      </c>
      <c r="B5795" s="244" t="str">
        <f t="shared" si="90"/>
        <v/>
      </c>
    </row>
    <row r="5796" spans="1:2" x14ac:dyDescent="0.25">
      <c r="A5796" t="str">
        <f>IF(C5796&amp;G5796&amp;D5796&lt;&gt;'Funnel setup'!$K$3&amp;'Funnel setup'!$K$4&amp;'Funnel setup'!$K$6,".",IF(A5795=".",1,A5795+1))</f>
        <v>.</v>
      </c>
      <c r="B5796" s="244" t="str">
        <f t="shared" si="90"/>
        <v/>
      </c>
    </row>
    <row r="5797" spans="1:2" x14ac:dyDescent="0.25">
      <c r="A5797" t="str">
        <f>IF(C5797&amp;G5797&amp;D5797&lt;&gt;'Funnel setup'!$K$3&amp;'Funnel setup'!$K$4&amp;'Funnel setup'!$K$6,".",IF(A5796=".",1,A5796+1))</f>
        <v>.</v>
      </c>
      <c r="B5797" s="244" t="str">
        <f t="shared" si="90"/>
        <v/>
      </c>
    </row>
    <row r="5798" spans="1:2" x14ac:dyDescent="0.25">
      <c r="A5798" t="str">
        <f>IF(C5798&amp;G5798&amp;D5798&lt;&gt;'Funnel setup'!$K$3&amp;'Funnel setup'!$K$4&amp;'Funnel setup'!$K$6,".",IF(A5797=".",1,A5797+1))</f>
        <v>.</v>
      </c>
      <c r="B5798" s="244" t="str">
        <f t="shared" si="90"/>
        <v/>
      </c>
    </row>
    <row r="5799" spans="1:2" x14ac:dyDescent="0.25">
      <c r="A5799" t="str">
        <f>IF(C5799&amp;G5799&amp;D5799&lt;&gt;'Funnel setup'!$K$3&amp;'Funnel setup'!$K$4&amp;'Funnel setup'!$K$6,".",IF(A5798=".",1,A5798+1))</f>
        <v>.</v>
      </c>
      <c r="B5799" s="244" t="str">
        <f t="shared" si="90"/>
        <v/>
      </c>
    </row>
    <row r="5800" spans="1:2" x14ac:dyDescent="0.25">
      <c r="A5800" t="str">
        <f>IF(C5800&amp;G5800&amp;D5800&lt;&gt;'Funnel setup'!$K$3&amp;'Funnel setup'!$K$4&amp;'Funnel setup'!$K$6,".",IF(A5799=".",1,A5799+1))</f>
        <v>.</v>
      </c>
      <c r="B5800" s="244" t="str">
        <f t="shared" si="90"/>
        <v/>
      </c>
    </row>
    <row r="5801" spans="1:2" x14ac:dyDescent="0.25">
      <c r="A5801" t="str">
        <f>IF(C5801&amp;G5801&amp;D5801&lt;&gt;'Funnel setup'!$K$3&amp;'Funnel setup'!$K$4&amp;'Funnel setup'!$K$6,".",IF(A5800=".",1,A5800+1))</f>
        <v>.</v>
      </c>
      <c r="B5801" s="244" t="str">
        <f t="shared" si="90"/>
        <v/>
      </c>
    </row>
    <row r="5802" spans="1:2" x14ac:dyDescent="0.25">
      <c r="A5802" t="str">
        <f>IF(C5802&amp;G5802&amp;D5802&lt;&gt;'Funnel setup'!$K$3&amp;'Funnel setup'!$K$4&amp;'Funnel setup'!$K$6,".",IF(A5801=".",1,A5801+1))</f>
        <v>.</v>
      </c>
      <c r="B5802" s="244" t="str">
        <f t="shared" si="90"/>
        <v/>
      </c>
    </row>
    <row r="5803" spans="1:2" x14ac:dyDescent="0.25">
      <c r="A5803" t="str">
        <f>IF(C5803&amp;G5803&amp;D5803&lt;&gt;'Funnel setup'!$K$3&amp;'Funnel setup'!$K$4&amp;'Funnel setup'!$K$6,".",IF(A5802=".",1,A5802+1))</f>
        <v>.</v>
      </c>
      <c r="B5803" s="244" t="str">
        <f t="shared" si="90"/>
        <v/>
      </c>
    </row>
    <row r="5804" spans="1:2" x14ac:dyDescent="0.25">
      <c r="A5804" t="str">
        <f>IF(C5804&amp;G5804&amp;D5804&lt;&gt;'Funnel setup'!$K$3&amp;'Funnel setup'!$K$4&amp;'Funnel setup'!$K$6,".",IF(A5803=".",1,A5803+1))</f>
        <v>.</v>
      </c>
      <c r="B5804" s="244" t="str">
        <f t="shared" si="90"/>
        <v/>
      </c>
    </row>
    <row r="5805" spans="1:2" x14ac:dyDescent="0.25">
      <c r="A5805" t="str">
        <f>IF(C5805&amp;G5805&amp;D5805&lt;&gt;'Funnel setup'!$K$3&amp;'Funnel setup'!$K$4&amp;'Funnel setup'!$K$6,".",IF(A5804=".",1,A5804+1))</f>
        <v>.</v>
      </c>
      <c r="B5805" s="244" t="str">
        <f t="shared" si="90"/>
        <v/>
      </c>
    </row>
    <row r="5806" spans="1:2" x14ac:dyDescent="0.25">
      <c r="A5806" t="str">
        <f>IF(C5806&amp;G5806&amp;D5806&lt;&gt;'Funnel setup'!$K$3&amp;'Funnel setup'!$K$4&amp;'Funnel setup'!$K$6,".",IF(A5805=".",1,A5805+1))</f>
        <v>.</v>
      </c>
      <c r="B5806" s="244" t="str">
        <f t="shared" si="90"/>
        <v/>
      </c>
    </row>
    <row r="5807" spans="1:2" x14ac:dyDescent="0.25">
      <c r="A5807" t="str">
        <f>IF(C5807&amp;G5807&amp;D5807&lt;&gt;'Funnel setup'!$K$3&amp;'Funnel setup'!$K$4&amp;'Funnel setup'!$K$6,".",IF(A5806=".",1,A5806+1))</f>
        <v>.</v>
      </c>
      <c r="B5807" s="244" t="str">
        <f t="shared" si="90"/>
        <v/>
      </c>
    </row>
    <row r="5808" spans="1:2" x14ac:dyDescent="0.25">
      <c r="A5808" t="str">
        <f>IF(C5808&amp;G5808&amp;D5808&lt;&gt;'Funnel setup'!$K$3&amp;'Funnel setup'!$K$4&amp;'Funnel setup'!$K$6,".",IF(A5807=".",1,A5807+1))</f>
        <v>.</v>
      </c>
      <c r="B5808" s="244" t="str">
        <f t="shared" si="90"/>
        <v/>
      </c>
    </row>
    <row r="5809" spans="1:2" x14ac:dyDescent="0.25">
      <c r="A5809" t="str">
        <f>IF(C5809&amp;G5809&amp;D5809&lt;&gt;'Funnel setup'!$K$3&amp;'Funnel setup'!$K$4&amp;'Funnel setup'!$K$6,".",IF(A5808=".",1,A5808+1))</f>
        <v>.</v>
      </c>
      <c r="B5809" s="244" t="str">
        <f t="shared" si="90"/>
        <v/>
      </c>
    </row>
    <row r="5810" spans="1:2" x14ac:dyDescent="0.25">
      <c r="A5810" t="str">
        <f>IF(C5810&amp;G5810&amp;D5810&lt;&gt;'Funnel setup'!$K$3&amp;'Funnel setup'!$K$4&amp;'Funnel setup'!$K$6,".",IF(A5809=".",1,A5809+1))</f>
        <v>.</v>
      </c>
      <c r="B5810" s="244" t="str">
        <f t="shared" si="90"/>
        <v/>
      </c>
    </row>
    <row r="5811" spans="1:2" x14ac:dyDescent="0.25">
      <c r="A5811" t="str">
        <f>IF(C5811&amp;G5811&amp;D5811&lt;&gt;'Funnel setup'!$K$3&amp;'Funnel setup'!$K$4&amp;'Funnel setup'!$K$6,".",IF(A5810=".",1,A5810+1))</f>
        <v>.</v>
      </c>
      <c r="B5811" s="244" t="str">
        <f t="shared" si="90"/>
        <v/>
      </c>
    </row>
    <row r="5812" spans="1:2" x14ac:dyDescent="0.25">
      <c r="A5812" t="str">
        <f>IF(C5812&amp;G5812&amp;D5812&lt;&gt;'Funnel setup'!$K$3&amp;'Funnel setup'!$K$4&amp;'Funnel setup'!$K$6,".",IF(A5811=".",1,A5811+1))</f>
        <v>.</v>
      </c>
      <c r="B5812" s="244" t="str">
        <f t="shared" si="90"/>
        <v/>
      </c>
    </row>
    <row r="5813" spans="1:2" x14ac:dyDescent="0.25">
      <c r="A5813" t="str">
        <f>IF(C5813&amp;G5813&amp;D5813&lt;&gt;'Funnel setup'!$K$3&amp;'Funnel setup'!$K$4&amp;'Funnel setup'!$K$6,".",IF(A5812=".",1,A5812+1))</f>
        <v>.</v>
      </c>
      <c r="B5813" s="244" t="str">
        <f t="shared" si="90"/>
        <v/>
      </c>
    </row>
    <row r="5814" spans="1:2" x14ac:dyDescent="0.25">
      <c r="A5814" t="str">
        <f>IF(C5814&amp;G5814&amp;D5814&lt;&gt;'Funnel setup'!$K$3&amp;'Funnel setup'!$K$4&amp;'Funnel setup'!$K$6,".",IF(A5813=".",1,A5813+1))</f>
        <v>.</v>
      </c>
      <c r="B5814" s="244" t="str">
        <f t="shared" si="90"/>
        <v/>
      </c>
    </row>
    <row r="5815" spans="1:2" x14ac:dyDescent="0.25">
      <c r="A5815" t="str">
        <f>IF(C5815&amp;G5815&amp;D5815&lt;&gt;'Funnel setup'!$K$3&amp;'Funnel setup'!$K$4&amp;'Funnel setup'!$K$6,".",IF(A5814=".",1,A5814+1))</f>
        <v>.</v>
      </c>
      <c r="B5815" s="244" t="str">
        <f t="shared" si="90"/>
        <v/>
      </c>
    </row>
    <row r="5816" spans="1:2" x14ac:dyDescent="0.25">
      <c r="A5816" t="str">
        <f>IF(C5816&amp;G5816&amp;D5816&lt;&gt;'Funnel setup'!$K$3&amp;'Funnel setup'!$K$4&amp;'Funnel setup'!$K$6,".",IF(A5815=".",1,A5815+1))</f>
        <v>.</v>
      </c>
      <c r="B5816" s="244" t="str">
        <f t="shared" si="90"/>
        <v/>
      </c>
    </row>
    <row r="5817" spans="1:2" x14ac:dyDescent="0.25">
      <c r="A5817" t="str">
        <f>IF(C5817&amp;G5817&amp;D5817&lt;&gt;'Funnel setup'!$K$3&amp;'Funnel setup'!$K$4&amp;'Funnel setup'!$K$6,".",IF(A5816=".",1,A5816+1))</f>
        <v>.</v>
      </c>
      <c r="B5817" s="244" t="str">
        <f t="shared" si="90"/>
        <v/>
      </c>
    </row>
    <row r="5818" spans="1:2" x14ac:dyDescent="0.25">
      <c r="A5818" t="str">
        <f>IF(C5818&amp;G5818&amp;D5818&lt;&gt;'Funnel setup'!$K$3&amp;'Funnel setup'!$K$4&amp;'Funnel setup'!$K$6,".",IF(A5817=".",1,A5817+1))</f>
        <v>.</v>
      </c>
      <c r="B5818" s="244" t="str">
        <f t="shared" si="90"/>
        <v/>
      </c>
    </row>
    <row r="5819" spans="1:2" x14ac:dyDescent="0.25">
      <c r="A5819" t="str">
        <f>IF(C5819&amp;G5819&amp;D5819&lt;&gt;'Funnel setup'!$K$3&amp;'Funnel setup'!$K$4&amp;'Funnel setup'!$K$6,".",IF(A5818=".",1,A5818+1))</f>
        <v>.</v>
      </c>
      <c r="B5819" s="244" t="str">
        <f t="shared" si="90"/>
        <v/>
      </c>
    </row>
    <row r="5820" spans="1:2" x14ac:dyDescent="0.25">
      <c r="A5820" t="str">
        <f>IF(C5820&amp;G5820&amp;D5820&lt;&gt;'Funnel setup'!$K$3&amp;'Funnel setup'!$K$4&amp;'Funnel setup'!$K$6,".",IF(A5819=".",1,A5819+1))</f>
        <v>.</v>
      </c>
      <c r="B5820" s="244" t="str">
        <f t="shared" si="90"/>
        <v/>
      </c>
    </row>
    <row r="5821" spans="1:2" x14ac:dyDescent="0.25">
      <c r="A5821" t="str">
        <f>IF(C5821&amp;G5821&amp;D5821&lt;&gt;'Funnel setup'!$K$3&amp;'Funnel setup'!$K$4&amp;'Funnel setup'!$K$6,".",IF(A5820=".",1,A5820+1))</f>
        <v>.</v>
      </c>
      <c r="B5821" s="244" t="str">
        <f t="shared" si="90"/>
        <v/>
      </c>
    </row>
    <row r="5822" spans="1:2" x14ac:dyDescent="0.25">
      <c r="A5822" t="str">
        <f>IF(C5822&amp;G5822&amp;D5822&lt;&gt;'Funnel setup'!$K$3&amp;'Funnel setup'!$K$4&amp;'Funnel setup'!$K$6,".",IF(A5821=".",1,A5821+1))</f>
        <v>.</v>
      </c>
      <c r="B5822" s="244" t="str">
        <f t="shared" si="90"/>
        <v/>
      </c>
    </row>
    <row r="5823" spans="1:2" x14ac:dyDescent="0.25">
      <c r="A5823" t="str">
        <f>IF(C5823&amp;G5823&amp;D5823&lt;&gt;'Funnel setup'!$K$3&amp;'Funnel setup'!$K$4&amp;'Funnel setup'!$K$6,".",IF(A5822=".",1,A5822+1))</f>
        <v>.</v>
      </c>
      <c r="B5823" s="244" t="str">
        <f t="shared" si="90"/>
        <v/>
      </c>
    </row>
    <row r="5824" spans="1:2" x14ac:dyDescent="0.25">
      <c r="A5824" t="str">
        <f>IF(C5824&amp;G5824&amp;D5824&lt;&gt;'Funnel setup'!$K$3&amp;'Funnel setup'!$K$4&amp;'Funnel setup'!$K$6,".",IF(A5823=".",1,A5823+1))</f>
        <v>.</v>
      </c>
      <c r="B5824" s="244" t="str">
        <f t="shared" si="90"/>
        <v/>
      </c>
    </row>
    <row r="5825" spans="1:2" x14ac:dyDescent="0.25">
      <c r="A5825" t="str">
        <f>IF(C5825&amp;G5825&amp;D5825&lt;&gt;'Funnel setup'!$K$3&amp;'Funnel setup'!$K$4&amp;'Funnel setup'!$K$6,".",IF(A5824=".",1,A5824+1))</f>
        <v>.</v>
      </c>
      <c r="B5825" s="244" t="str">
        <f t="shared" si="90"/>
        <v/>
      </c>
    </row>
    <row r="5826" spans="1:2" x14ac:dyDescent="0.25">
      <c r="A5826" t="str">
        <f>IF(C5826&amp;G5826&amp;D5826&lt;&gt;'Funnel setup'!$K$3&amp;'Funnel setup'!$K$4&amp;'Funnel setup'!$K$6,".",IF(A5825=".",1,A5825+1))</f>
        <v>.</v>
      </c>
      <c r="B5826" s="244" t="str">
        <f t="shared" ref="B5826:B5889" si="91">C5826&amp;D5826&amp;F5826&amp;G5826</f>
        <v/>
      </c>
    </row>
    <row r="5827" spans="1:2" x14ac:dyDescent="0.25">
      <c r="A5827" t="str">
        <f>IF(C5827&amp;G5827&amp;D5827&lt;&gt;'Funnel setup'!$K$3&amp;'Funnel setup'!$K$4&amp;'Funnel setup'!$K$6,".",IF(A5826=".",1,A5826+1))</f>
        <v>.</v>
      </c>
      <c r="B5827" s="244" t="str">
        <f t="shared" si="91"/>
        <v/>
      </c>
    </row>
    <row r="5828" spans="1:2" x14ac:dyDescent="0.25">
      <c r="A5828" t="str">
        <f>IF(C5828&amp;G5828&amp;D5828&lt;&gt;'Funnel setup'!$K$3&amp;'Funnel setup'!$K$4&amp;'Funnel setup'!$K$6,".",IF(A5827=".",1,A5827+1))</f>
        <v>.</v>
      </c>
      <c r="B5828" s="244" t="str">
        <f t="shared" si="91"/>
        <v/>
      </c>
    </row>
    <row r="5829" spans="1:2" x14ac:dyDescent="0.25">
      <c r="A5829" t="str">
        <f>IF(C5829&amp;G5829&amp;D5829&lt;&gt;'Funnel setup'!$K$3&amp;'Funnel setup'!$K$4&amp;'Funnel setup'!$K$6,".",IF(A5828=".",1,A5828+1))</f>
        <v>.</v>
      </c>
      <c r="B5829" s="244" t="str">
        <f t="shared" si="91"/>
        <v/>
      </c>
    </row>
    <row r="5830" spans="1:2" x14ac:dyDescent="0.25">
      <c r="A5830" t="str">
        <f>IF(C5830&amp;G5830&amp;D5830&lt;&gt;'Funnel setup'!$K$3&amp;'Funnel setup'!$K$4&amp;'Funnel setup'!$K$6,".",IF(A5829=".",1,A5829+1))</f>
        <v>.</v>
      </c>
      <c r="B5830" s="244" t="str">
        <f t="shared" si="91"/>
        <v/>
      </c>
    </row>
    <row r="5831" spans="1:2" x14ac:dyDescent="0.25">
      <c r="A5831" t="str">
        <f>IF(C5831&amp;G5831&amp;D5831&lt;&gt;'Funnel setup'!$K$3&amp;'Funnel setup'!$K$4&amp;'Funnel setup'!$K$6,".",IF(A5830=".",1,A5830+1))</f>
        <v>.</v>
      </c>
      <c r="B5831" s="244" t="str">
        <f t="shared" si="91"/>
        <v/>
      </c>
    </row>
    <row r="5832" spans="1:2" x14ac:dyDescent="0.25">
      <c r="A5832" t="str">
        <f>IF(C5832&amp;G5832&amp;D5832&lt;&gt;'Funnel setup'!$K$3&amp;'Funnel setup'!$K$4&amp;'Funnel setup'!$K$6,".",IF(A5831=".",1,A5831+1))</f>
        <v>.</v>
      </c>
      <c r="B5832" s="244" t="str">
        <f t="shared" si="91"/>
        <v/>
      </c>
    </row>
    <row r="5833" spans="1:2" x14ac:dyDescent="0.25">
      <c r="A5833" t="str">
        <f>IF(C5833&amp;G5833&amp;D5833&lt;&gt;'Funnel setup'!$K$3&amp;'Funnel setup'!$K$4&amp;'Funnel setup'!$K$6,".",IF(A5832=".",1,A5832+1))</f>
        <v>.</v>
      </c>
      <c r="B5833" s="244" t="str">
        <f t="shared" si="91"/>
        <v/>
      </c>
    </row>
    <row r="5834" spans="1:2" x14ac:dyDescent="0.25">
      <c r="A5834" t="str">
        <f>IF(C5834&amp;G5834&amp;D5834&lt;&gt;'Funnel setup'!$K$3&amp;'Funnel setup'!$K$4&amp;'Funnel setup'!$K$6,".",IF(A5833=".",1,A5833+1))</f>
        <v>.</v>
      </c>
      <c r="B5834" s="244" t="str">
        <f t="shared" si="91"/>
        <v/>
      </c>
    </row>
    <row r="5835" spans="1:2" x14ac:dyDescent="0.25">
      <c r="A5835" t="str">
        <f>IF(C5835&amp;G5835&amp;D5835&lt;&gt;'Funnel setup'!$K$3&amp;'Funnel setup'!$K$4&amp;'Funnel setup'!$K$6,".",IF(A5834=".",1,A5834+1))</f>
        <v>.</v>
      </c>
      <c r="B5835" s="244" t="str">
        <f t="shared" si="91"/>
        <v/>
      </c>
    </row>
    <row r="5836" spans="1:2" x14ac:dyDescent="0.25">
      <c r="A5836" t="str">
        <f>IF(C5836&amp;G5836&amp;D5836&lt;&gt;'Funnel setup'!$K$3&amp;'Funnel setup'!$K$4&amp;'Funnel setup'!$K$6,".",IF(A5835=".",1,A5835+1))</f>
        <v>.</v>
      </c>
      <c r="B5836" s="244" t="str">
        <f t="shared" si="91"/>
        <v/>
      </c>
    </row>
    <row r="5837" spans="1:2" x14ac:dyDescent="0.25">
      <c r="A5837" t="str">
        <f>IF(C5837&amp;G5837&amp;D5837&lt;&gt;'Funnel setup'!$K$3&amp;'Funnel setup'!$K$4&amp;'Funnel setup'!$K$6,".",IF(A5836=".",1,A5836+1))</f>
        <v>.</v>
      </c>
      <c r="B5837" s="244" t="str">
        <f t="shared" si="91"/>
        <v/>
      </c>
    </row>
    <row r="5838" spans="1:2" x14ac:dyDescent="0.25">
      <c r="A5838" t="str">
        <f>IF(C5838&amp;G5838&amp;D5838&lt;&gt;'Funnel setup'!$K$3&amp;'Funnel setup'!$K$4&amp;'Funnel setup'!$K$6,".",IF(A5837=".",1,A5837+1))</f>
        <v>.</v>
      </c>
      <c r="B5838" s="244" t="str">
        <f t="shared" si="91"/>
        <v/>
      </c>
    </row>
    <row r="5839" spans="1:2" x14ac:dyDescent="0.25">
      <c r="A5839" t="str">
        <f>IF(C5839&amp;G5839&amp;D5839&lt;&gt;'Funnel setup'!$K$3&amp;'Funnel setup'!$K$4&amp;'Funnel setup'!$K$6,".",IF(A5838=".",1,A5838+1))</f>
        <v>.</v>
      </c>
      <c r="B5839" s="244" t="str">
        <f t="shared" si="91"/>
        <v/>
      </c>
    </row>
    <row r="5840" spans="1:2" x14ac:dyDescent="0.25">
      <c r="A5840" t="str">
        <f>IF(C5840&amp;G5840&amp;D5840&lt;&gt;'Funnel setup'!$K$3&amp;'Funnel setup'!$K$4&amp;'Funnel setup'!$K$6,".",IF(A5839=".",1,A5839+1))</f>
        <v>.</v>
      </c>
      <c r="B5840" s="244" t="str">
        <f t="shared" si="91"/>
        <v/>
      </c>
    </row>
    <row r="5841" spans="1:2" x14ac:dyDescent="0.25">
      <c r="A5841" t="str">
        <f>IF(C5841&amp;G5841&amp;D5841&lt;&gt;'Funnel setup'!$K$3&amp;'Funnel setup'!$K$4&amp;'Funnel setup'!$K$6,".",IF(A5840=".",1,A5840+1))</f>
        <v>.</v>
      </c>
      <c r="B5841" s="244" t="str">
        <f t="shared" si="91"/>
        <v/>
      </c>
    </row>
    <row r="5842" spans="1:2" x14ac:dyDescent="0.25">
      <c r="A5842" t="str">
        <f>IF(C5842&amp;G5842&amp;D5842&lt;&gt;'Funnel setup'!$K$3&amp;'Funnel setup'!$K$4&amp;'Funnel setup'!$K$6,".",IF(A5841=".",1,A5841+1))</f>
        <v>.</v>
      </c>
      <c r="B5842" s="244" t="str">
        <f t="shared" si="91"/>
        <v/>
      </c>
    </row>
    <row r="5843" spans="1:2" x14ac:dyDescent="0.25">
      <c r="A5843" t="str">
        <f>IF(C5843&amp;G5843&amp;D5843&lt;&gt;'Funnel setup'!$K$3&amp;'Funnel setup'!$K$4&amp;'Funnel setup'!$K$6,".",IF(A5842=".",1,A5842+1))</f>
        <v>.</v>
      </c>
      <c r="B5843" s="244" t="str">
        <f t="shared" si="91"/>
        <v/>
      </c>
    </row>
    <row r="5844" spans="1:2" x14ac:dyDescent="0.25">
      <c r="A5844" t="str">
        <f>IF(C5844&amp;G5844&amp;D5844&lt;&gt;'Funnel setup'!$K$3&amp;'Funnel setup'!$K$4&amp;'Funnel setup'!$K$6,".",IF(A5843=".",1,A5843+1))</f>
        <v>.</v>
      </c>
      <c r="B5844" s="244" t="str">
        <f t="shared" si="91"/>
        <v/>
      </c>
    </row>
    <row r="5845" spans="1:2" x14ac:dyDescent="0.25">
      <c r="A5845" t="str">
        <f>IF(C5845&amp;G5845&amp;D5845&lt;&gt;'Funnel setup'!$K$3&amp;'Funnel setup'!$K$4&amp;'Funnel setup'!$K$6,".",IF(A5844=".",1,A5844+1))</f>
        <v>.</v>
      </c>
      <c r="B5845" s="244" t="str">
        <f t="shared" si="91"/>
        <v/>
      </c>
    </row>
    <row r="5846" spans="1:2" x14ac:dyDescent="0.25">
      <c r="A5846" t="str">
        <f>IF(C5846&amp;G5846&amp;D5846&lt;&gt;'Funnel setup'!$K$3&amp;'Funnel setup'!$K$4&amp;'Funnel setup'!$K$6,".",IF(A5845=".",1,A5845+1))</f>
        <v>.</v>
      </c>
      <c r="B5846" s="244" t="str">
        <f t="shared" si="91"/>
        <v/>
      </c>
    </row>
    <row r="5847" spans="1:2" x14ac:dyDescent="0.25">
      <c r="A5847" t="str">
        <f>IF(C5847&amp;G5847&amp;D5847&lt;&gt;'Funnel setup'!$K$3&amp;'Funnel setup'!$K$4&amp;'Funnel setup'!$K$6,".",IF(A5846=".",1,A5846+1))</f>
        <v>.</v>
      </c>
      <c r="B5847" s="244" t="str">
        <f t="shared" si="91"/>
        <v/>
      </c>
    </row>
    <row r="5848" spans="1:2" x14ac:dyDescent="0.25">
      <c r="A5848" t="str">
        <f>IF(C5848&amp;G5848&amp;D5848&lt;&gt;'Funnel setup'!$K$3&amp;'Funnel setup'!$K$4&amp;'Funnel setup'!$K$6,".",IF(A5847=".",1,A5847+1))</f>
        <v>.</v>
      </c>
      <c r="B5848" s="244" t="str">
        <f t="shared" si="91"/>
        <v/>
      </c>
    </row>
    <row r="5849" spans="1:2" x14ac:dyDescent="0.25">
      <c r="A5849" t="str">
        <f>IF(C5849&amp;G5849&amp;D5849&lt;&gt;'Funnel setup'!$K$3&amp;'Funnel setup'!$K$4&amp;'Funnel setup'!$K$6,".",IF(A5848=".",1,A5848+1))</f>
        <v>.</v>
      </c>
      <c r="B5849" s="244" t="str">
        <f t="shared" si="91"/>
        <v/>
      </c>
    </row>
    <row r="5850" spans="1:2" x14ac:dyDescent="0.25">
      <c r="A5850" t="str">
        <f>IF(C5850&amp;G5850&amp;D5850&lt;&gt;'Funnel setup'!$K$3&amp;'Funnel setup'!$K$4&amp;'Funnel setup'!$K$6,".",IF(A5849=".",1,A5849+1))</f>
        <v>.</v>
      </c>
      <c r="B5850" s="244" t="str">
        <f t="shared" si="91"/>
        <v/>
      </c>
    </row>
    <row r="5851" spans="1:2" x14ac:dyDescent="0.25">
      <c r="A5851" t="str">
        <f>IF(C5851&amp;G5851&amp;D5851&lt;&gt;'Funnel setup'!$K$3&amp;'Funnel setup'!$K$4&amp;'Funnel setup'!$K$6,".",IF(A5850=".",1,A5850+1))</f>
        <v>.</v>
      </c>
      <c r="B5851" s="244" t="str">
        <f t="shared" si="91"/>
        <v/>
      </c>
    </row>
    <row r="5852" spans="1:2" x14ac:dyDescent="0.25">
      <c r="A5852" t="str">
        <f>IF(C5852&amp;G5852&amp;D5852&lt;&gt;'Funnel setup'!$K$3&amp;'Funnel setup'!$K$4&amp;'Funnel setup'!$K$6,".",IF(A5851=".",1,A5851+1))</f>
        <v>.</v>
      </c>
      <c r="B5852" s="244" t="str">
        <f t="shared" si="91"/>
        <v/>
      </c>
    </row>
    <row r="5853" spans="1:2" x14ac:dyDescent="0.25">
      <c r="A5853" t="str">
        <f>IF(C5853&amp;G5853&amp;D5853&lt;&gt;'Funnel setup'!$K$3&amp;'Funnel setup'!$K$4&amp;'Funnel setup'!$K$6,".",IF(A5852=".",1,A5852+1))</f>
        <v>.</v>
      </c>
      <c r="B5853" s="244" t="str">
        <f t="shared" si="91"/>
        <v/>
      </c>
    </row>
    <row r="5854" spans="1:2" x14ac:dyDescent="0.25">
      <c r="A5854" t="str">
        <f>IF(C5854&amp;G5854&amp;D5854&lt;&gt;'Funnel setup'!$K$3&amp;'Funnel setup'!$K$4&amp;'Funnel setup'!$K$6,".",IF(A5853=".",1,A5853+1))</f>
        <v>.</v>
      </c>
      <c r="B5854" s="244" t="str">
        <f t="shared" si="91"/>
        <v/>
      </c>
    </row>
    <row r="5855" spans="1:2" x14ac:dyDescent="0.25">
      <c r="A5855" t="str">
        <f>IF(C5855&amp;G5855&amp;D5855&lt;&gt;'Funnel setup'!$K$3&amp;'Funnel setup'!$K$4&amp;'Funnel setup'!$K$6,".",IF(A5854=".",1,A5854+1))</f>
        <v>.</v>
      </c>
      <c r="B5855" s="244" t="str">
        <f t="shared" si="91"/>
        <v/>
      </c>
    </row>
    <row r="5856" spans="1:2" x14ac:dyDescent="0.25">
      <c r="A5856" t="str">
        <f>IF(C5856&amp;G5856&amp;D5856&lt;&gt;'Funnel setup'!$K$3&amp;'Funnel setup'!$K$4&amp;'Funnel setup'!$K$6,".",IF(A5855=".",1,A5855+1))</f>
        <v>.</v>
      </c>
      <c r="B5856" s="244" t="str">
        <f t="shared" si="91"/>
        <v/>
      </c>
    </row>
    <row r="5857" spans="1:2" x14ac:dyDescent="0.25">
      <c r="A5857" t="str">
        <f>IF(C5857&amp;G5857&amp;D5857&lt;&gt;'Funnel setup'!$K$3&amp;'Funnel setup'!$K$4&amp;'Funnel setup'!$K$6,".",IF(A5856=".",1,A5856+1))</f>
        <v>.</v>
      </c>
      <c r="B5857" s="244" t="str">
        <f t="shared" si="91"/>
        <v/>
      </c>
    </row>
    <row r="5858" spans="1:2" x14ac:dyDescent="0.25">
      <c r="A5858" t="str">
        <f>IF(C5858&amp;G5858&amp;D5858&lt;&gt;'Funnel setup'!$K$3&amp;'Funnel setup'!$K$4&amp;'Funnel setup'!$K$6,".",IF(A5857=".",1,A5857+1))</f>
        <v>.</v>
      </c>
      <c r="B5858" s="244" t="str">
        <f t="shared" si="91"/>
        <v/>
      </c>
    </row>
    <row r="5859" spans="1:2" x14ac:dyDescent="0.25">
      <c r="A5859" t="str">
        <f>IF(C5859&amp;G5859&amp;D5859&lt;&gt;'Funnel setup'!$K$3&amp;'Funnel setup'!$K$4&amp;'Funnel setup'!$K$6,".",IF(A5858=".",1,A5858+1))</f>
        <v>.</v>
      </c>
      <c r="B5859" s="244" t="str">
        <f t="shared" si="91"/>
        <v/>
      </c>
    </row>
    <row r="5860" spans="1:2" x14ac:dyDescent="0.25">
      <c r="A5860" t="str">
        <f>IF(C5860&amp;G5860&amp;D5860&lt;&gt;'Funnel setup'!$K$3&amp;'Funnel setup'!$K$4&amp;'Funnel setup'!$K$6,".",IF(A5859=".",1,A5859+1))</f>
        <v>.</v>
      </c>
      <c r="B5860" s="244" t="str">
        <f t="shared" si="91"/>
        <v/>
      </c>
    </row>
    <row r="5861" spans="1:2" x14ac:dyDescent="0.25">
      <c r="A5861" t="str">
        <f>IF(C5861&amp;G5861&amp;D5861&lt;&gt;'Funnel setup'!$K$3&amp;'Funnel setup'!$K$4&amp;'Funnel setup'!$K$6,".",IF(A5860=".",1,A5860+1))</f>
        <v>.</v>
      </c>
      <c r="B5861" s="244" t="str">
        <f t="shared" si="91"/>
        <v/>
      </c>
    </row>
    <row r="5862" spans="1:2" x14ac:dyDescent="0.25">
      <c r="A5862" t="str">
        <f>IF(C5862&amp;G5862&amp;D5862&lt;&gt;'Funnel setup'!$K$3&amp;'Funnel setup'!$K$4&amp;'Funnel setup'!$K$6,".",IF(A5861=".",1,A5861+1))</f>
        <v>.</v>
      </c>
      <c r="B5862" s="244" t="str">
        <f t="shared" si="91"/>
        <v/>
      </c>
    </row>
    <row r="5863" spans="1:2" x14ac:dyDescent="0.25">
      <c r="A5863" t="str">
        <f>IF(C5863&amp;G5863&amp;D5863&lt;&gt;'Funnel setup'!$K$3&amp;'Funnel setup'!$K$4&amp;'Funnel setup'!$K$6,".",IF(A5862=".",1,A5862+1))</f>
        <v>.</v>
      </c>
      <c r="B5863" s="244" t="str">
        <f t="shared" si="91"/>
        <v/>
      </c>
    </row>
    <row r="5864" spans="1:2" x14ac:dyDescent="0.25">
      <c r="A5864" t="str">
        <f>IF(C5864&amp;G5864&amp;D5864&lt;&gt;'Funnel setup'!$K$3&amp;'Funnel setup'!$K$4&amp;'Funnel setup'!$K$6,".",IF(A5863=".",1,A5863+1))</f>
        <v>.</v>
      </c>
      <c r="B5864" s="244" t="str">
        <f t="shared" si="91"/>
        <v/>
      </c>
    </row>
    <row r="5865" spans="1:2" x14ac:dyDescent="0.25">
      <c r="A5865" t="str">
        <f>IF(C5865&amp;G5865&amp;D5865&lt;&gt;'Funnel setup'!$K$3&amp;'Funnel setup'!$K$4&amp;'Funnel setup'!$K$6,".",IF(A5864=".",1,A5864+1))</f>
        <v>.</v>
      </c>
      <c r="B5865" s="244" t="str">
        <f t="shared" si="91"/>
        <v/>
      </c>
    </row>
    <row r="5866" spans="1:2" x14ac:dyDescent="0.25">
      <c r="A5866" t="str">
        <f>IF(C5866&amp;G5866&amp;D5866&lt;&gt;'Funnel setup'!$K$3&amp;'Funnel setup'!$K$4&amp;'Funnel setup'!$K$6,".",IF(A5865=".",1,A5865+1))</f>
        <v>.</v>
      </c>
      <c r="B5866" s="244" t="str">
        <f t="shared" si="91"/>
        <v/>
      </c>
    </row>
    <row r="5867" spans="1:2" x14ac:dyDescent="0.25">
      <c r="A5867" t="str">
        <f>IF(C5867&amp;G5867&amp;D5867&lt;&gt;'Funnel setup'!$K$3&amp;'Funnel setup'!$K$4&amp;'Funnel setup'!$K$6,".",IF(A5866=".",1,A5866+1))</f>
        <v>.</v>
      </c>
      <c r="B5867" s="244" t="str">
        <f t="shared" si="91"/>
        <v/>
      </c>
    </row>
    <row r="5868" spans="1:2" x14ac:dyDescent="0.25">
      <c r="A5868" t="str">
        <f>IF(C5868&amp;G5868&amp;D5868&lt;&gt;'Funnel setup'!$K$3&amp;'Funnel setup'!$K$4&amp;'Funnel setup'!$K$6,".",IF(A5867=".",1,A5867+1))</f>
        <v>.</v>
      </c>
      <c r="B5868" s="244" t="str">
        <f t="shared" si="91"/>
        <v/>
      </c>
    </row>
    <row r="5869" spans="1:2" x14ac:dyDescent="0.25">
      <c r="A5869" t="str">
        <f>IF(C5869&amp;G5869&amp;D5869&lt;&gt;'Funnel setup'!$K$3&amp;'Funnel setup'!$K$4&amp;'Funnel setup'!$K$6,".",IF(A5868=".",1,A5868+1))</f>
        <v>.</v>
      </c>
      <c r="B5869" s="244" t="str">
        <f t="shared" si="91"/>
        <v/>
      </c>
    </row>
    <row r="5870" spans="1:2" x14ac:dyDescent="0.25">
      <c r="A5870" t="str">
        <f>IF(C5870&amp;G5870&amp;D5870&lt;&gt;'Funnel setup'!$K$3&amp;'Funnel setup'!$K$4&amp;'Funnel setup'!$K$6,".",IF(A5869=".",1,A5869+1))</f>
        <v>.</v>
      </c>
      <c r="B5870" s="244" t="str">
        <f t="shared" si="91"/>
        <v/>
      </c>
    </row>
    <row r="5871" spans="1:2" x14ac:dyDescent="0.25">
      <c r="A5871" t="str">
        <f>IF(C5871&amp;G5871&amp;D5871&lt;&gt;'Funnel setup'!$K$3&amp;'Funnel setup'!$K$4&amp;'Funnel setup'!$K$6,".",IF(A5870=".",1,A5870+1))</f>
        <v>.</v>
      </c>
      <c r="B5871" s="244" t="str">
        <f t="shared" si="91"/>
        <v/>
      </c>
    </row>
    <row r="5872" spans="1:2" x14ac:dyDescent="0.25">
      <c r="A5872" t="str">
        <f>IF(C5872&amp;G5872&amp;D5872&lt;&gt;'Funnel setup'!$K$3&amp;'Funnel setup'!$K$4&amp;'Funnel setup'!$K$6,".",IF(A5871=".",1,A5871+1))</f>
        <v>.</v>
      </c>
      <c r="B5872" s="244" t="str">
        <f t="shared" si="91"/>
        <v/>
      </c>
    </row>
    <row r="5873" spans="1:2" x14ac:dyDescent="0.25">
      <c r="A5873" t="str">
        <f>IF(C5873&amp;G5873&amp;D5873&lt;&gt;'Funnel setup'!$K$3&amp;'Funnel setup'!$K$4&amp;'Funnel setup'!$K$6,".",IF(A5872=".",1,A5872+1))</f>
        <v>.</v>
      </c>
      <c r="B5873" s="244" t="str">
        <f t="shared" si="91"/>
        <v/>
      </c>
    </row>
    <row r="5874" spans="1:2" x14ac:dyDescent="0.25">
      <c r="A5874" t="str">
        <f>IF(C5874&amp;G5874&amp;D5874&lt;&gt;'Funnel setup'!$K$3&amp;'Funnel setup'!$K$4&amp;'Funnel setup'!$K$6,".",IF(A5873=".",1,A5873+1))</f>
        <v>.</v>
      </c>
      <c r="B5874" s="244" t="str">
        <f t="shared" si="91"/>
        <v/>
      </c>
    </row>
    <row r="5875" spans="1:2" x14ac:dyDescent="0.25">
      <c r="A5875" t="str">
        <f>IF(C5875&amp;G5875&amp;D5875&lt;&gt;'Funnel setup'!$K$3&amp;'Funnel setup'!$K$4&amp;'Funnel setup'!$K$6,".",IF(A5874=".",1,A5874+1))</f>
        <v>.</v>
      </c>
      <c r="B5875" s="244" t="str">
        <f t="shared" si="91"/>
        <v/>
      </c>
    </row>
    <row r="5876" spans="1:2" x14ac:dyDescent="0.25">
      <c r="A5876" t="str">
        <f>IF(C5876&amp;G5876&amp;D5876&lt;&gt;'Funnel setup'!$K$3&amp;'Funnel setup'!$K$4&amp;'Funnel setup'!$K$6,".",IF(A5875=".",1,A5875+1))</f>
        <v>.</v>
      </c>
      <c r="B5876" s="244" t="str">
        <f t="shared" si="91"/>
        <v/>
      </c>
    </row>
    <row r="5877" spans="1:2" x14ac:dyDescent="0.25">
      <c r="A5877" t="str">
        <f>IF(C5877&amp;G5877&amp;D5877&lt;&gt;'Funnel setup'!$K$3&amp;'Funnel setup'!$K$4&amp;'Funnel setup'!$K$6,".",IF(A5876=".",1,A5876+1))</f>
        <v>.</v>
      </c>
      <c r="B5877" s="244" t="str">
        <f t="shared" si="91"/>
        <v/>
      </c>
    </row>
    <row r="5878" spans="1:2" x14ac:dyDescent="0.25">
      <c r="A5878" t="str">
        <f>IF(C5878&amp;G5878&amp;D5878&lt;&gt;'Funnel setup'!$K$3&amp;'Funnel setup'!$K$4&amp;'Funnel setup'!$K$6,".",IF(A5877=".",1,A5877+1))</f>
        <v>.</v>
      </c>
      <c r="B5878" s="244" t="str">
        <f t="shared" si="91"/>
        <v/>
      </c>
    </row>
    <row r="5879" spans="1:2" x14ac:dyDescent="0.25">
      <c r="A5879" t="str">
        <f>IF(C5879&amp;G5879&amp;D5879&lt;&gt;'Funnel setup'!$K$3&amp;'Funnel setup'!$K$4&amp;'Funnel setup'!$K$6,".",IF(A5878=".",1,A5878+1))</f>
        <v>.</v>
      </c>
      <c r="B5879" s="244" t="str">
        <f t="shared" si="91"/>
        <v/>
      </c>
    </row>
    <row r="5880" spans="1:2" x14ac:dyDescent="0.25">
      <c r="A5880" t="str">
        <f>IF(C5880&amp;G5880&amp;D5880&lt;&gt;'Funnel setup'!$K$3&amp;'Funnel setup'!$K$4&amp;'Funnel setup'!$K$6,".",IF(A5879=".",1,A5879+1))</f>
        <v>.</v>
      </c>
      <c r="B5880" s="244" t="str">
        <f t="shared" si="91"/>
        <v/>
      </c>
    </row>
    <row r="5881" spans="1:2" x14ac:dyDescent="0.25">
      <c r="A5881" t="str">
        <f>IF(C5881&amp;G5881&amp;D5881&lt;&gt;'Funnel setup'!$K$3&amp;'Funnel setup'!$K$4&amp;'Funnel setup'!$K$6,".",IF(A5880=".",1,A5880+1))</f>
        <v>.</v>
      </c>
      <c r="B5881" s="244" t="str">
        <f t="shared" si="91"/>
        <v/>
      </c>
    </row>
    <row r="5882" spans="1:2" x14ac:dyDescent="0.25">
      <c r="A5882" t="str">
        <f>IF(C5882&amp;G5882&amp;D5882&lt;&gt;'Funnel setup'!$K$3&amp;'Funnel setup'!$K$4&amp;'Funnel setup'!$K$6,".",IF(A5881=".",1,A5881+1))</f>
        <v>.</v>
      </c>
      <c r="B5882" s="244" t="str">
        <f t="shared" si="91"/>
        <v/>
      </c>
    </row>
    <row r="5883" spans="1:2" x14ac:dyDescent="0.25">
      <c r="A5883" t="str">
        <f>IF(C5883&amp;G5883&amp;D5883&lt;&gt;'Funnel setup'!$K$3&amp;'Funnel setup'!$K$4&amp;'Funnel setup'!$K$6,".",IF(A5882=".",1,A5882+1))</f>
        <v>.</v>
      </c>
      <c r="B5883" s="244" t="str">
        <f t="shared" si="91"/>
        <v/>
      </c>
    </row>
    <row r="5884" spans="1:2" x14ac:dyDescent="0.25">
      <c r="A5884" t="str">
        <f>IF(C5884&amp;G5884&amp;D5884&lt;&gt;'Funnel setup'!$K$3&amp;'Funnel setup'!$K$4&amp;'Funnel setup'!$K$6,".",IF(A5883=".",1,A5883+1))</f>
        <v>.</v>
      </c>
      <c r="B5884" s="244" t="str">
        <f t="shared" si="91"/>
        <v/>
      </c>
    </row>
    <row r="5885" spans="1:2" x14ac:dyDescent="0.25">
      <c r="A5885" t="str">
        <f>IF(C5885&amp;G5885&amp;D5885&lt;&gt;'Funnel setup'!$K$3&amp;'Funnel setup'!$K$4&amp;'Funnel setup'!$K$6,".",IF(A5884=".",1,A5884+1))</f>
        <v>.</v>
      </c>
      <c r="B5885" s="244" t="str">
        <f t="shared" si="91"/>
        <v/>
      </c>
    </row>
    <row r="5886" spans="1:2" x14ac:dyDescent="0.25">
      <c r="A5886" t="str">
        <f>IF(C5886&amp;G5886&amp;D5886&lt;&gt;'Funnel setup'!$K$3&amp;'Funnel setup'!$K$4&amp;'Funnel setup'!$K$6,".",IF(A5885=".",1,A5885+1))</f>
        <v>.</v>
      </c>
      <c r="B5886" s="244" t="str">
        <f t="shared" si="91"/>
        <v/>
      </c>
    </row>
    <row r="5887" spans="1:2" x14ac:dyDescent="0.25">
      <c r="A5887" t="str">
        <f>IF(C5887&amp;G5887&amp;D5887&lt;&gt;'Funnel setup'!$K$3&amp;'Funnel setup'!$K$4&amp;'Funnel setup'!$K$6,".",IF(A5886=".",1,A5886+1))</f>
        <v>.</v>
      </c>
      <c r="B5887" s="244" t="str">
        <f t="shared" si="91"/>
        <v/>
      </c>
    </row>
    <row r="5888" spans="1:2" x14ac:dyDescent="0.25">
      <c r="A5888" t="str">
        <f>IF(C5888&amp;G5888&amp;D5888&lt;&gt;'Funnel setup'!$K$3&amp;'Funnel setup'!$K$4&amp;'Funnel setup'!$K$6,".",IF(A5887=".",1,A5887+1))</f>
        <v>.</v>
      </c>
      <c r="B5888" s="244" t="str">
        <f t="shared" si="91"/>
        <v/>
      </c>
    </row>
    <row r="5889" spans="1:2" x14ac:dyDescent="0.25">
      <c r="A5889" t="str">
        <f>IF(C5889&amp;G5889&amp;D5889&lt;&gt;'Funnel setup'!$K$3&amp;'Funnel setup'!$K$4&amp;'Funnel setup'!$K$6,".",IF(A5888=".",1,A5888+1))</f>
        <v>.</v>
      </c>
      <c r="B5889" s="244" t="str">
        <f t="shared" si="91"/>
        <v/>
      </c>
    </row>
    <row r="5890" spans="1:2" x14ac:dyDescent="0.25">
      <c r="A5890" t="str">
        <f>IF(C5890&amp;G5890&amp;D5890&lt;&gt;'Funnel setup'!$K$3&amp;'Funnel setup'!$K$4&amp;'Funnel setup'!$K$6,".",IF(A5889=".",1,A5889+1))</f>
        <v>.</v>
      </c>
      <c r="B5890" s="244" t="str">
        <f t="shared" ref="B5890:B5953" si="92">C5890&amp;D5890&amp;F5890&amp;G5890</f>
        <v/>
      </c>
    </row>
    <row r="5891" spans="1:2" x14ac:dyDescent="0.25">
      <c r="A5891" t="str">
        <f>IF(C5891&amp;G5891&amp;D5891&lt;&gt;'Funnel setup'!$K$3&amp;'Funnel setup'!$K$4&amp;'Funnel setup'!$K$6,".",IF(A5890=".",1,A5890+1))</f>
        <v>.</v>
      </c>
      <c r="B5891" s="244" t="str">
        <f t="shared" si="92"/>
        <v/>
      </c>
    </row>
    <row r="5892" spans="1:2" x14ac:dyDescent="0.25">
      <c r="A5892" t="str">
        <f>IF(C5892&amp;G5892&amp;D5892&lt;&gt;'Funnel setup'!$K$3&amp;'Funnel setup'!$K$4&amp;'Funnel setup'!$K$6,".",IF(A5891=".",1,A5891+1))</f>
        <v>.</v>
      </c>
      <c r="B5892" s="244" t="str">
        <f t="shared" si="92"/>
        <v/>
      </c>
    </row>
    <row r="5893" spans="1:2" x14ac:dyDescent="0.25">
      <c r="A5893" t="str">
        <f>IF(C5893&amp;G5893&amp;D5893&lt;&gt;'Funnel setup'!$K$3&amp;'Funnel setup'!$K$4&amp;'Funnel setup'!$K$6,".",IF(A5892=".",1,A5892+1))</f>
        <v>.</v>
      </c>
      <c r="B5893" s="244" t="str">
        <f t="shared" si="92"/>
        <v/>
      </c>
    </row>
    <row r="5894" spans="1:2" x14ac:dyDescent="0.25">
      <c r="A5894" t="str">
        <f>IF(C5894&amp;G5894&amp;D5894&lt;&gt;'Funnel setup'!$K$3&amp;'Funnel setup'!$K$4&amp;'Funnel setup'!$K$6,".",IF(A5893=".",1,A5893+1))</f>
        <v>.</v>
      </c>
      <c r="B5894" s="244" t="str">
        <f t="shared" si="92"/>
        <v/>
      </c>
    </row>
    <row r="5895" spans="1:2" x14ac:dyDescent="0.25">
      <c r="A5895" t="str">
        <f>IF(C5895&amp;G5895&amp;D5895&lt;&gt;'Funnel setup'!$K$3&amp;'Funnel setup'!$K$4&amp;'Funnel setup'!$K$6,".",IF(A5894=".",1,A5894+1))</f>
        <v>.</v>
      </c>
      <c r="B5895" s="244" t="str">
        <f t="shared" si="92"/>
        <v/>
      </c>
    </row>
    <row r="5896" spans="1:2" x14ac:dyDescent="0.25">
      <c r="A5896" t="str">
        <f>IF(C5896&amp;G5896&amp;D5896&lt;&gt;'Funnel setup'!$K$3&amp;'Funnel setup'!$K$4&amp;'Funnel setup'!$K$6,".",IF(A5895=".",1,A5895+1))</f>
        <v>.</v>
      </c>
      <c r="B5896" s="244" t="str">
        <f t="shared" si="92"/>
        <v/>
      </c>
    </row>
    <row r="5897" spans="1:2" x14ac:dyDescent="0.25">
      <c r="A5897" t="str">
        <f>IF(C5897&amp;G5897&amp;D5897&lt;&gt;'Funnel setup'!$K$3&amp;'Funnel setup'!$K$4&amp;'Funnel setup'!$K$6,".",IF(A5896=".",1,A5896+1))</f>
        <v>.</v>
      </c>
      <c r="B5897" s="244" t="str">
        <f t="shared" si="92"/>
        <v/>
      </c>
    </row>
    <row r="5898" spans="1:2" x14ac:dyDescent="0.25">
      <c r="A5898" t="str">
        <f>IF(C5898&amp;G5898&amp;D5898&lt;&gt;'Funnel setup'!$K$3&amp;'Funnel setup'!$K$4&amp;'Funnel setup'!$K$6,".",IF(A5897=".",1,A5897+1))</f>
        <v>.</v>
      </c>
      <c r="B5898" s="244" t="str">
        <f t="shared" si="92"/>
        <v/>
      </c>
    </row>
    <row r="5899" spans="1:2" x14ac:dyDescent="0.25">
      <c r="A5899" t="str">
        <f>IF(C5899&amp;G5899&amp;D5899&lt;&gt;'Funnel setup'!$K$3&amp;'Funnel setup'!$K$4&amp;'Funnel setup'!$K$6,".",IF(A5898=".",1,A5898+1))</f>
        <v>.</v>
      </c>
      <c r="B5899" s="244" t="str">
        <f t="shared" si="92"/>
        <v/>
      </c>
    </row>
    <row r="5900" spans="1:2" x14ac:dyDescent="0.25">
      <c r="A5900" t="str">
        <f>IF(C5900&amp;G5900&amp;D5900&lt;&gt;'Funnel setup'!$K$3&amp;'Funnel setup'!$K$4&amp;'Funnel setup'!$K$6,".",IF(A5899=".",1,A5899+1))</f>
        <v>.</v>
      </c>
      <c r="B5900" s="244" t="str">
        <f t="shared" si="92"/>
        <v/>
      </c>
    </row>
    <row r="5901" spans="1:2" x14ac:dyDescent="0.25">
      <c r="A5901" t="str">
        <f>IF(C5901&amp;G5901&amp;D5901&lt;&gt;'Funnel setup'!$K$3&amp;'Funnel setup'!$K$4&amp;'Funnel setup'!$K$6,".",IF(A5900=".",1,A5900+1))</f>
        <v>.</v>
      </c>
      <c r="B5901" s="244" t="str">
        <f t="shared" si="92"/>
        <v/>
      </c>
    </row>
    <row r="5902" spans="1:2" x14ac:dyDescent="0.25">
      <c r="A5902" t="str">
        <f>IF(C5902&amp;G5902&amp;D5902&lt;&gt;'Funnel setup'!$K$3&amp;'Funnel setup'!$K$4&amp;'Funnel setup'!$K$6,".",IF(A5901=".",1,A5901+1))</f>
        <v>.</v>
      </c>
      <c r="B5902" s="244" t="str">
        <f t="shared" si="92"/>
        <v/>
      </c>
    </row>
    <row r="5903" spans="1:2" x14ac:dyDescent="0.25">
      <c r="A5903" t="str">
        <f>IF(C5903&amp;G5903&amp;D5903&lt;&gt;'Funnel setup'!$K$3&amp;'Funnel setup'!$K$4&amp;'Funnel setup'!$K$6,".",IF(A5902=".",1,A5902+1))</f>
        <v>.</v>
      </c>
      <c r="B5903" s="244" t="str">
        <f t="shared" si="92"/>
        <v/>
      </c>
    </row>
    <row r="5904" spans="1:2" x14ac:dyDescent="0.25">
      <c r="A5904" t="str">
        <f>IF(C5904&amp;G5904&amp;D5904&lt;&gt;'Funnel setup'!$K$3&amp;'Funnel setup'!$K$4&amp;'Funnel setup'!$K$6,".",IF(A5903=".",1,A5903+1))</f>
        <v>.</v>
      </c>
      <c r="B5904" s="244" t="str">
        <f t="shared" si="92"/>
        <v/>
      </c>
    </row>
    <row r="5905" spans="1:2" x14ac:dyDescent="0.25">
      <c r="A5905" t="str">
        <f>IF(C5905&amp;G5905&amp;D5905&lt;&gt;'Funnel setup'!$K$3&amp;'Funnel setup'!$K$4&amp;'Funnel setup'!$K$6,".",IF(A5904=".",1,A5904+1))</f>
        <v>.</v>
      </c>
      <c r="B5905" s="244" t="str">
        <f t="shared" si="92"/>
        <v/>
      </c>
    </row>
    <row r="5906" spans="1:2" x14ac:dyDescent="0.25">
      <c r="A5906" t="str">
        <f>IF(C5906&amp;G5906&amp;D5906&lt;&gt;'Funnel setup'!$K$3&amp;'Funnel setup'!$K$4&amp;'Funnel setup'!$K$6,".",IF(A5905=".",1,A5905+1))</f>
        <v>.</v>
      </c>
      <c r="B5906" s="244" t="str">
        <f t="shared" si="92"/>
        <v/>
      </c>
    </row>
    <row r="5907" spans="1:2" x14ac:dyDescent="0.25">
      <c r="A5907" t="str">
        <f>IF(C5907&amp;G5907&amp;D5907&lt;&gt;'Funnel setup'!$K$3&amp;'Funnel setup'!$K$4&amp;'Funnel setup'!$K$6,".",IF(A5906=".",1,A5906+1))</f>
        <v>.</v>
      </c>
      <c r="B5907" s="244" t="str">
        <f t="shared" si="92"/>
        <v/>
      </c>
    </row>
    <row r="5908" spans="1:2" x14ac:dyDescent="0.25">
      <c r="A5908" t="str">
        <f>IF(C5908&amp;G5908&amp;D5908&lt;&gt;'Funnel setup'!$K$3&amp;'Funnel setup'!$K$4&amp;'Funnel setup'!$K$6,".",IF(A5907=".",1,A5907+1))</f>
        <v>.</v>
      </c>
      <c r="B5908" s="244" t="str">
        <f t="shared" si="92"/>
        <v/>
      </c>
    </row>
    <row r="5909" spans="1:2" x14ac:dyDescent="0.25">
      <c r="A5909" t="str">
        <f>IF(C5909&amp;G5909&amp;D5909&lt;&gt;'Funnel setup'!$K$3&amp;'Funnel setup'!$K$4&amp;'Funnel setup'!$K$6,".",IF(A5908=".",1,A5908+1))</f>
        <v>.</v>
      </c>
      <c r="B5909" s="244" t="str">
        <f t="shared" si="92"/>
        <v/>
      </c>
    </row>
    <row r="5910" spans="1:2" x14ac:dyDescent="0.25">
      <c r="A5910" t="str">
        <f>IF(C5910&amp;G5910&amp;D5910&lt;&gt;'Funnel setup'!$K$3&amp;'Funnel setup'!$K$4&amp;'Funnel setup'!$K$6,".",IF(A5909=".",1,A5909+1))</f>
        <v>.</v>
      </c>
      <c r="B5910" s="244" t="str">
        <f t="shared" si="92"/>
        <v/>
      </c>
    </row>
    <row r="5911" spans="1:2" x14ac:dyDescent="0.25">
      <c r="A5911" t="str">
        <f>IF(C5911&amp;G5911&amp;D5911&lt;&gt;'Funnel setup'!$K$3&amp;'Funnel setup'!$K$4&amp;'Funnel setup'!$K$6,".",IF(A5910=".",1,A5910+1))</f>
        <v>.</v>
      </c>
      <c r="B5911" s="244" t="str">
        <f t="shared" si="92"/>
        <v/>
      </c>
    </row>
    <row r="5912" spans="1:2" x14ac:dyDescent="0.25">
      <c r="A5912" t="str">
        <f>IF(C5912&amp;G5912&amp;D5912&lt;&gt;'Funnel setup'!$K$3&amp;'Funnel setup'!$K$4&amp;'Funnel setup'!$K$6,".",IF(A5911=".",1,A5911+1))</f>
        <v>.</v>
      </c>
      <c r="B5912" s="244" t="str">
        <f t="shared" si="92"/>
        <v/>
      </c>
    </row>
    <row r="5913" spans="1:2" x14ac:dyDescent="0.25">
      <c r="A5913" t="str">
        <f>IF(C5913&amp;G5913&amp;D5913&lt;&gt;'Funnel setup'!$K$3&amp;'Funnel setup'!$K$4&amp;'Funnel setup'!$K$6,".",IF(A5912=".",1,A5912+1))</f>
        <v>.</v>
      </c>
      <c r="B5913" s="244" t="str">
        <f t="shared" si="92"/>
        <v/>
      </c>
    </row>
    <row r="5914" spans="1:2" x14ac:dyDescent="0.25">
      <c r="A5914" t="str">
        <f>IF(C5914&amp;G5914&amp;D5914&lt;&gt;'Funnel setup'!$K$3&amp;'Funnel setup'!$K$4&amp;'Funnel setup'!$K$6,".",IF(A5913=".",1,A5913+1))</f>
        <v>.</v>
      </c>
      <c r="B5914" s="244" t="str">
        <f t="shared" si="92"/>
        <v/>
      </c>
    </row>
    <row r="5915" spans="1:2" x14ac:dyDescent="0.25">
      <c r="A5915" t="str">
        <f>IF(C5915&amp;G5915&amp;D5915&lt;&gt;'Funnel setup'!$K$3&amp;'Funnel setup'!$K$4&amp;'Funnel setup'!$K$6,".",IF(A5914=".",1,A5914+1))</f>
        <v>.</v>
      </c>
      <c r="B5915" s="244" t="str">
        <f t="shared" si="92"/>
        <v/>
      </c>
    </row>
    <row r="5916" spans="1:2" x14ac:dyDescent="0.25">
      <c r="A5916" t="str">
        <f>IF(C5916&amp;G5916&amp;D5916&lt;&gt;'Funnel setup'!$K$3&amp;'Funnel setup'!$K$4&amp;'Funnel setup'!$K$6,".",IF(A5915=".",1,A5915+1))</f>
        <v>.</v>
      </c>
      <c r="B5916" s="244" t="str">
        <f t="shared" si="92"/>
        <v/>
      </c>
    </row>
    <row r="5917" spans="1:2" x14ac:dyDescent="0.25">
      <c r="A5917" t="str">
        <f>IF(C5917&amp;G5917&amp;D5917&lt;&gt;'Funnel setup'!$K$3&amp;'Funnel setup'!$K$4&amp;'Funnel setup'!$K$6,".",IF(A5916=".",1,A5916+1))</f>
        <v>.</v>
      </c>
      <c r="B5917" s="244" t="str">
        <f t="shared" si="92"/>
        <v/>
      </c>
    </row>
    <row r="5918" spans="1:2" x14ac:dyDescent="0.25">
      <c r="A5918" t="str">
        <f>IF(C5918&amp;G5918&amp;D5918&lt;&gt;'Funnel setup'!$K$3&amp;'Funnel setup'!$K$4&amp;'Funnel setup'!$K$6,".",IF(A5917=".",1,A5917+1))</f>
        <v>.</v>
      </c>
      <c r="B5918" s="244" t="str">
        <f t="shared" si="92"/>
        <v/>
      </c>
    </row>
    <row r="5919" spans="1:2" x14ac:dyDescent="0.25">
      <c r="A5919" t="str">
        <f>IF(C5919&amp;G5919&amp;D5919&lt;&gt;'Funnel setup'!$K$3&amp;'Funnel setup'!$K$4&amp;'Funnel setup'!$K$6,".",IF(A5918=".",1,A5918+1))</f>
        <v>.</v>
      </c>
      <c r="B5919" s="244" t="str">
        <f t="shared" si="92"/>
        <v/>
      </c>
    </row>
    <row r="5920" spans="1:2" x14ac:dyDescent="0.25">
      <c r="A5920" t="str">
        <f>IF(C5920&amp;G5920&amp;D5920&lt;&gt;'Funnel setup'!$K$3&amp;'Funnel setup'!$K$4&amp;'Funnel setup'!$K$6,".",IF(A5919=".",1,A5919+1))</f>
        <v>.</v>
      </c>
      <c r="B5920" s="244" t="str">
        <f t="shared" si="92"/>
        <v/>
      </c>
    </row>
    <row r="5921" spans="1:2" x14ac:dyDescent="0.25">
      <c r="A5921" t="str">
        <f>IF(C5921&amp;G5921&amp;D5921&lt;&gt;'Funnel setup'!$K$3&amp;'Funnel setup'!$K$4&amp;'Funnel setup'!$K$6,".",IF(A5920=".",1,A5920+1))</f>
        <v>.</v>
      </c>
      <c r="B5921" s="244" t="str">
        <f t="shared" si="92"/>
        <v/>
      </c>
    </row>
    <row r="5922" spans="1:2" x14ac:dyDescent="0.25">
      <c r="A5922" t="str">
        <f>IF(C5922&amp;G5922&amp;D5922&lt;&gt;'Funnel setup'!$K$3&amp;'Funnel setup'!$K$4&amp;'Funnel setup'!$K$6,".",IF(A5921=".",1,A5921+1))</f>
        <v>.</v>
      </c>
      <c r="B5922" s="244" t="str">
        <f t="shared" si="92"/>
        <v/>
      </c>
    </row>
    <row r="5923" spans="1:2" x14ac:dyDescent="0.25">
      <c r="A5923" t="str">
        <f>IF(C5923&amp;G5923&amp;D5923&lt;&gt;'Funnel setup'!$K$3&amp;'Funnel setup'!$K$4&amp;'Funnel setup'!$K$6,".",IF(A5922=".",1,A5922+1))</f>
        <v>.</v>
      </c>
      <c r="B5923" s="244" t="str">
        <f t="shared" si="92"/>
        <v/>
      </c>
    </row>
    <row r="5924" spans="1:2" x14ac:dyDescent="0.25">
      <c r="A5924" t="str">
        <f>IF(C5924&amp;G5924&amp;D5924&lt;&gt;'Funnel setup'!$K$3&amp;'Funnel setup'!$K$4&amp;'Funnel setup'!$K$6,".",IF(A5923=".",1,A5923+1))</f>
        <v>.</v>
      </c>
      <c r="B5924" s="244" t="str">
        <f t="shared" si="92"/>
        <v/>
      </c>
    </row>
    <row r="5925" spans="1:2" x14ac:dyDescent="0.25">
      <c r="A5925" t="str">
        <f>IF(C5925&amp;G5925&amp;D5925&lt;&gt;'Funnel setup'!$K$3&amp;'Funnel setup'!$K$4&amp;'Funnel setup'!$K$6,".",IF(A5924=".",1,A5924+1))</f>
        <v>.</v>
      </c>
      <c r="B5925" s="244" t="str">
        <f t="shared" si="92"/>
        <v/>
      </c>
    </row>
    <row r="5926" spans="1:2" x14ac:dyDescent="0.25">
      <c r="A5926" t="str">
        <f>IF(C5926&amp;G5926&amp;D5926&lt;&gt;'Funnel setup'!$K$3&amp;'Funnel setup'!$K$4&amp;'Funnel setup'!$K$6,".",IF(A5925=".",1,A5925+1))</f>
        <v>.</v>
      </c>
      <c r="B5926" s="244" t="str">
        <f t="shared" si="92"/>
        <v/>
      </c>
    </row>
    <row r="5927" spans="1:2" x14ac:dyDescent="0.25">
      <c r="A5927" t="str">
        <f>IF(C5927&amp;G5927&amp;D5927&lt;&gt;'Funnel setup'!$K$3&amp;'Funnel setup'!$K$4&amp;'Funnel setup'!$K$6,".",IF(A5926=".",1,A5926+1))</f>
        <v>.</v>
      </c>
      <c r="B5927" s="244" t="str">
        <f t="shared" si="92"/>
        <v/>
      </c>
    </row>
    <row r="5928" spans="1:2" x14ac:dyDescent="0.25">
      <c r="A5928" t="str">
        <f>IF(C5928&amp;G5928&amp;D5928&lt;&gt;'Funnel setup'!$K$3&amp;'Funnel setup'!$K$4&amp;'Funnel setup'!$K$6,".",IF(A5927=".",1,A5927+1))</f>
        <v>.</v>
      </c>
      <c r="B5928" s="244" t="str">
        <f t="shared" si="92"/>
        <v/>
      </c>
    </row>
    <row r="5929" spans="1:2" x14ac:dyDescent="0.25">
      <c r="A5929" t="str">
        <f>IF(C5929&amp;G5929&amp;D5929&lt;&gt;'Funnel setup'!$K$3&amp;'Funnel setup'!$K$4&amp;'Funnel setup'!$K$6,".",IF(A5928=".",1,A5928+1))</f>
        <v>.</v>
      </c>
      <c r="B5929" s="244" t="str">
        <f t="shared" si="92"/>
        <v/>
      </c>
    </row>
    <row r="5930" spans="1:2" x14ac:dyDescent="0.25">
      <c r="A5930" t="str">
        <f>IF(C5930&amp;G5930&amp;D5930&lt;&gt;'Funnel setup'!$K$3&amp;'Funnel setup'!$K$4&amp;'Funnel setup'!$K$6,".",IF(A5929=".",1,A5929+1))</f>
        <v>.</v>
      </c>
      <c r="B5930" s="244" t="str">
        <f t="shared" si="92"/>
        <v/>
      </c>
    </row>
    <row r="5931" spans="1:2" x14ac:dyDescent="0.25">
      <c r="A5931" t="str">
        <f>IF(C5931&amp;G5931&amp;D5931&lt;&gt;'Funnel setup'!$K$3&amp;'Funnel setup'!$K$4&amp;'Funnel setup'!$K$6,".",IF(A5930=".",1,A5930+1))</f>
        <v>.</v>
      </c>
      <c r="B5931" s="244" t="str">
        <f t="shared" si="92"/>
        <v/>
      </c>
    </row>
    <row r="5932" spans="1:2" x14ac:dyDescent="0.25">
      <c r="A5932" t="str">
        <f>IF(C5932&amp;G5932&amp;D5932&lt;&gt;'Funnel setup'!$K$3&amp;'Funnel setup'!$K$4&amp;'Funnel setup'!$K$6,".",IF(A5931=".",1,A5931+1))</f>
        <v>.</v>
      </c>
      <c r="B5932" s="244" t="str">
        <f t="shared" si="92"/>
        <v/>
      </c>
    </row>
    <row r="5933" spans="1:2" x14ac:dyDescent="0.25">
      <c r="A5933" t="str">
        <f>IF(C5933&amp;G5933&amp;D5933&lt;&gt;'Funnel setup'!$K$3&amp;'Funnel setup'!$K$4&amp;'Funnel setup'!$K$6,".",IF(A5932=".",1,A5932+1))</f>
        <v>.</v>
      </c>
      <c r="B5933" s="244" t="str">
        <f t="shared" si="92"/>
        <v/>
      </c>
    </row>
    <row r="5934" spans="1:2" x14ac:dyDescent="0.25">
      <c r="A5934" t="str">
        <f>IF(C5934&amp;G5934&amp;D5934&lt;&gt;'Funnel setup'!$K$3&amp;'Funnel setup'!$K$4&amp;'Funnel setup'!$K$6,".",IF(A5933=".",1,A5933+1))</f>
        <v>.</v>
      </c>
      <c r="B5934" s="244" t="str">
        <f t="shared" si="92"/>
        <v/>
      </c>
    </row>
    <row r="5935" spans="1:2" x14ac:dyDescent="0.25">
      <c r="A5935" t="str">
        <f>IF(C5935&amp;G5935&amp;D5935&lt;&gt;'Funnel setup'!$K$3&amp;'Funnel setup'!$K$4&amp;'Funnel setup'!$K$6,".",IF(A5934=".",1,A5934+1))</f>
        <v>.</v>
      </c>
      <c r="B5935" s="244" t="str">
        <f t="shared" si="92"/>
        <v/>
      </c>
    </row>
    <row r="5936" spans="1:2" x14ac:dyDescent="0.25">
      <c r="A5936" t="str">
        <f>IF(C5936&amp;G5936&amp;D5936&lt;&gt;'Funnel setup'!$K$3&amp;'Funnel setup'!$K$4&amp;'Funnel setup'!$K$6,".",IF(A5935=".",1,A5935+1))</f>
        <v>.</v>
      </c>
      <c r="B5936" s="244" t="str">
        <f t="shared" si="92"/>
        <v/>
      </c>
    </row>
    <row r="5937" spans="1:2" x14ac:dyDescent="0.25">
      <c r="A5937" t="str">
        <f>IF(C5937&amp;G5937&amp;D5937&lt;&gt;'Funnel setup'!$K$3&amp;'Funnel setup'!$K$4&amp;'Funnel setup'!$K$6,".",IF(A5936=".",1,A5936+1))</f>
        <v>.</v>
      </c>
      <c r="B5937" s="244" t="str">
        <f t="shared" si="92"/>
        <v/>
      </c>
    </row>
    <row r="5938" spans="1:2" x14ac:dyDescent="0.25">
      <c r="A5938" t="str">
        <f>IF(C5938&amp;G5938&amp;D5938&lt;&gt;'Funnel setup'!$K$3&amp;'Funnel setup'!$K$4&amp;'Funnel setup'!$K$6,".",IF(A5937=".",1,A5937+1))</f>
        <v>.</v>
      </c>
      <c r="B5938" s="244" t="str">
        <f t="shared" si="92"/>
        <v/>
      </c>
    </row>
    <row r="5939" spans="1:2" x14ac:dyDescent="0.25">
      <c r="A5939" t="str">
        <f>IF(C5939&amp;G5939&amp;D5939&lt;&gt;'Funnel setup'!$K$3&amp;'Funnel setup'!$K$4&amp;'Funnel setup'!$K$6,".",IF(A5938=".",1,A5938+1))</f>
        <v>.</v>
      </c>
      <c r="B5939" s="244" t="str">
        <f t="shared" si="92"/>
        <v/>
      </c>
    </row>
    <row r="5940" spans="1:2" x14ac:dyDescent="0.25">
      <c r="A5940" t="str">
        <f>IF(C5940&amp;G5940&amp;D5940&lt;&gt;'Funnel setup'!$K$3&amp;'Funnel setup'!$K$4&amp;'Funnel setup'!$K$6,".",IF(A5939=".",1,A5939+1))</f>
        <v>.</v>
      </c>
      <c r="B5940" s="244" t="str">
        <f t="shared" si="92"/>
        <v/>
      </c>
    </row>
    <row r="5941" spans="1:2" x14ac:dyDescent="0.25">
      <c r="A5941" t="str">
        <f>IF(C5941&amp;G5941&amp;D5941&lt;&gt;'Funnel setup'!$K$3&amp;'Funnel setup'!$K$4&amp;'Funnel setup'!$K$6,".",IF(A5940=".",1,A5940+1))</f>
        <v>.</v>
      </c>
      <c r="B5941" s="244" t="str">
        <f t="shared" si="92"/>
        <v/>
      </c>
    </row>
    <row r="5942" spans="1:2" x14ac:dyDescent="0.25">
      <c r="A5942" t="str">
        <f>IF(C5942&amp;G5942&amp;D5942&lt;&gt;'Funnel setup'!$K$3&amp;'Funnel setup'!$K$4&amp;'Funnel setup'!$K$6,".",IF(A5941=".",1,A5941+1))</f>
        <v>.</v>
      </c>
      <c r="B5942" s="244" t="str">
        <f t="shared" si="92"/>
        <v/>
      </c>
    </row>
    <row r="5943" spans="1:2" x14ac:dyDescent="0.25">
      <c r="A5943" t="str">
        <f>IF(C5943&amp;G5943&amp;D5943&lt;&gt;'Funnel setup'!$K$3&amp;'Funnel setup'!$K$4&amp;'Funnel setup'!$K$6,".",IF(A5942=".",1,A5942+1))</f>
        <v>.</v>
      </c>
      <c r="B5943" s="244" t="str">
        <f t="shared" si="92"/>
        <v/>
      </c>
    </row>
    <row r="5944" spans="1:2" x14ac:dyDescent="0.25">
      <c r="A5944" t="str">
        <f>IF(C5944&amp;G5944&amp;D5944&lt;&gt;'Funnel setup'!$K$3&amp;'Funnel setup'!$K$4&amp;'Funnel setup'!$K$6,".",IF(A5943=".",1,A5943+1))</f>
        <v>.</v>
      </c>
      <c r="B5944" s="244" t="str">
        <f t="shared" si="92"/>
        <v/>
      </c>
    </row>
    <row r="5945" spans="1:2" x14ac:dyDescent="0.25">
      <c r="A5945" t="str">
        <f>IF(C5945&amp;G5945&amp;D5945&lt;&gt;'Funnel setup'!$K$3&amp;'Funnel setup'!$K$4&amp;'Funnel setup'!$K$6,".",IF(A5944=".",1,A5944+1))</f>
        <v>.</v>
      </c>
      <c r="B5945" s="244" t="str">
        <f t="shared" si="92"/>
        <v/>
      </c>
    </row>
    <row r="5946" spans="1:2" x14ac:dyDescent="0.25">
      <c r="A5946" t="str">
        <f>IF(C5946&amp;G5946&amp;D5946&lt;&gt;'Funnel setup'!$K$3&amp;'Funnel setup'!$K$4&amp;'Funnel setup'!$K$6,".",IF(A5945=".",1,A5945+1))</f>
        <v>.</v>
      </c>
      <c r="B5946" s="244" t="str">
        <f t="shared" si="92"/>
        <v/>
      </c>
    </row>
    <row r="5947" spans="1:2" x14ac:dyDescent="0.25">
      <c r="A5947" t="str">
        <f>IF(C5947&amp;G5947&amp;D5947&lt;&gt;'Funnel setup'!$K$3&amp;'Funnel setup'!$K$4&amp;'Funnel setup'!$K$6,".",IF(A5946=".",1,A5946+1))</f>
        <v>.</v>
      </c>
      <c r="B5947" s="244" t="str">
        <f t="shared" si="92"/>
        <v/>
      </c>
    </row>
    <row r="5948" spans="1:2" x14ac:dyDescent="0.25">
      <c r="A5948" t="str">
        <f>IF(C5948&amp;G5948&amp;D5948&lt;&gt;'Funnel setup'!$K$3&amp;'Funnel setup'!$K$4&amp;'Funnel setup'!$K$6,".",IF(A5947=".",1,A5947+1))</f>
        <v>.</v>
      </c>
      <c r="B5948" s="244" t="str">
        <f t="shared" si="92"/>
        <v/>
      </c>
    </row>
    <row r="5949" spans="1:2" x14ac:dyDescent="0.25">
      <c r="A5949" t="str">
        <f>IF(C5949&amp;G5949&amp;D5949&lt;&gt;'Funnel setup'!$K$3&amp;'Funnel setup'!$K$4&amp;'Funnel setup'!$K$6,".",IF(A5948=".",1,A5948+1))</f>
        <v>.</v>
      </c>
      <c r="B5949" s="244" t="str">
        <f t="shared" si="92"/>
        <v/>
      </c>
    </row>
    <row r="5950" spans="1:2" x14ac:dyDescent="0.25">
      <c r="A5950" t="str">
        <f>IF(C5950&amp;G5950&amp;D5950&lt;&gt;'Funnel setup'!$K$3&amp;'Funnel setup'!$K$4&amp;'Funnel setup'!$K$6,".",IF(A5949=".",1,A5949+1))</f>
        <v>.</v>
      </c>
      <c r="B5950" s="244" t="str">
        <f t="shared" si="92"/>
        <v/>
      </c>
    </row>
    <row r="5951" spans="1:2" x14ac:dyDescent="0.25">
      <c r="A5951" t="str">
        <f>IF(C5951&amp;G5951&amp;D5951&lt;&gt;'Funnel setup'!$K$3&amp;'Funnel setup'!$K$4&amp;'Funnel setup'!$K$6,".",IF(A5950=".",1,A5950+1))</f>
        <v>.</v>
      </c>
      <c r="B5951" s="244" t="str">
        <f t="shared" si="92"/>
        <v/>
      </c>
    </row>
    <row r="5952" spans="1:2" x14ac:dyDescent="0.25">
      <c r="A5952" t="str">
        <f>IF(C5952&amp;G5952&amp;D5952&lt;&gt;'Funnel setup'!$K$3&amp;'Funnel setup'!$K$4&amp;'Funnel setup'!$K$6,".",IF(A5951=".",1,A5951+1))</f>
        <v>.</v>
      </c>
      <c r="B5952" s="244" t="str">
        <f t="shared" si="92"/>
        <v/>
      </c>
    </row>
    <row r="5953" spans="1:2" x14ac:dyDescent="0.25">
      <c r="A5953" t="str">
        <f>IF(C5953&amp;G5953&amp;D5953&lt;&gt;'Funnel setup'!$K$3&amp;'Funnel setup'!$K$4&amp;'Funnel setup'!$K$6,".",IF(A5952=".",1,A5952+1))</f>
        <v>.</v>
      </c>
      <c r="B5953" s="244" t="str">
        <f t="shared" si="92"/>
        <v/>
      </c>
    </row>
    <row r="5954" spans="1:2" x14ac:dyDescent="0.25">
      <c r="A5954" t="str">
        <f>IF(C5954&amp;G5954&amp;D5954&lt;&gt;'Funnel setup'!$K$3&amp;'Funnel setup'!$K$4&amp;'Funnel setup'!$K$6,".",IF(A5953=".",1,A5953+1))</f>
        <v>.</v>
      </c>
      <c r="B5954" s="244" t="str">
        <f t="shared" ref="B5954:B6017" si="93">C5954&amp;D5954&amp;F5954&amp;G5954</f>
        <v/>
      </c>
    </row>
    <row r="5955" spans="1:2" x14ac:dyDescent="0.25">
      <c r="A5955" t="str">
        <f>IF(C5955&amp;G5955&amp;D5955&lt;&gt;'Funnel setup'!$K$3&amp;'Funnel setup'!$K$4&amp;'Funnel setup'!$K$6,".",IF(A5954=".",1,A5954+1))</f>
        <v>.</v>
      </c>
      <c r="B5955" s="244" t="str">
        <f t="shared" si="93"/>
        <v/>
      </c>
    </row>
    <row r="5956" spans="1:2" x14ac:dyDescent="0.25">
      <c r="A5956" t="str">
        <f>IF(C5956&amp;G5956&amp;D5956&lt;&gt;'Funnel setup'!$K$3&amp;'Funnel setup'!$K$4&amp;'Funnel setup'!$K$6,".",IF(A5955=".",1,A5955+1))</f>
        <v>.</v>
      </c>
      <c r="B5956" s="244" t="str">
        <f t="shared" si="93"/>
        <v/>
      </c>
    </row>
    <row r="5957" spans="1:2" x14ac:dyDescent="0.25">
      <c r="A5957" t="str">
        <f>IF(C5957&amp;G5957&amp;D5957&lt;&gt;'Funnel setup'!$K$3&amp;'Funnel setup'!$K$4&amp;'Funnel setup'!$K$6,".",IF(A5956=".",1,A5956+1))</f>
        <v>.</v>
      </c>
      <c r="B5957" s="244" t="str">
        <f t="shared" si="93"/>
        <v/>
      </c>
    </row>
    <row r="5958" spans="1:2" x14ac:dyDescent="0.25">
      <c r="A5958" t="str">
        <f>IF(C5958&amp;G5958&amp;D5958&lt;&gt;'Funnel setup'!$K$3&amp;'Funnel setup'!$K$4&amp;'Funnel setup'!$K$6,".",IF(A5957=".",1,A5957+1))</f>
        <v>.</v>
      </c>
      <c r="B5958" s="244" t="str">
        <f t="shared" si="93"/>
        <v/>
      </c>
    </row>
    <row r="5959" spans="1:2" x14ac:dyDescent="0.25">
      <c r="A5959" t="str">
        <f>IF(C5959&amp;G5959&amp;D5959&lt;&gt;'Funnel setup'!$K$3&amp;'Funnel setup'!$K$4&amp;'Funnel setup'!$K$6,".",IF(A5958=".",1,A5958+1))</f>
        <v>.</v>
      </c>
      <c r="B5959" s="244" t="str">
        <f t="shared" si="93"/>
        <v/>
      </c>
    </row>
    <row r="5960" spans="1:2" x14ac:dyDescent="0.25">
      <c r="A5960" t="str">
        <f>IF(C5960&amp;G5960&amp;D5960&lt;&gt;'Funnel setup'!$K$3&amp;'Funnel setup'!$K$4&amp;'Funnel setup'!$K$6,".",IF(A5959=".",1,A5959+1))</f>
        <v>.</v>
      </c>
      <c r="B5960" s="244" t="str">
        <f t="shared" si="93"/>
        <v/>
      </c>
    </row>
    <row r="5961" spans="1:2" x14ac:dyDescent="0.25">
      <c r="A5961" t="str">
        <f>IF(C5961&amp;G5961&amp;D5961&lt;&gt;'Funnel setup'!$K$3&amp;'Funnel setup'!$K$4&amp;'Funnel setup'!$K$6,".",IF(A5960=".",1,A5960+1))</f>
        <v>.</v>
      </c>
      <c r="B5961" s="244" t="str">
        <f t="shared" si="93"/>
        <v/>
      </c>
    </row>
    <row r="5962" spans="1:2" x14ac:dyDescent="0.25">
      <c r="A5962" t="str">
        <f>IF(C5962&amp;G5962&amp;D5962&lt;&gt;'Funnel setup'!$K$3&amp;'Funnel setup'!$K$4&amp;'Funnel setup'!$K$6,".",IF(A5961=".",1,A5961+1))</f>
        <v>.</v>
      </c>
      <c r="B5962" s="244" t="str">
        <f t="shared" si="93"/>
        <v/>
      </c>
    </row>
    <row r="5963" spans="1:2" x14ac:dyDescent="0.25">
      <c r="A5963" t="str">
        <f>IF(C5963&amp;G5963&amp;D5963&lt;&gt;'Funnel setup'!$K$3&amp;'Funnel setup'!$K$4&amp;'Funnel setup'!$K$6,".",IF(A5962=".",1,A5962+1))</f>
        <v>.</v>
      </c>
      <c r="B5963" s="244" t="str">
        <f t="shared" si="93"/>
        <v/>
      </c>
    </row>
    <row r="5964" spans="1:2" x14ac:dyDescent="0.25">
      <c r="A5964" t="str">
        <f>IF(C5964&amp;G5964&amp;D5964&lt;&gt;'Funnel setup'!$K$3&amp;'Funnel setup'!$K$4&amp;'Funnel setup'!$K$6,".",IF(A5963=".",1,A5963+1))</f>
        <v>.</v>
      </c>
      <c r="B5964" s="244" t="str">
        <f t="shared" si="93"/>
        <v/>
      </c>
    </row>
    <row r="5965" spans="1:2" x14ac:dyDescent="0.25">
      <c r="A5965" t="str">
        <f>IF(C5965&amp;G5965&amp;D5965&lt;&gt;'Funnel setup'!$K$3&amp;'Funnel setup'!$K$4&amp;'Funnel setup'!$K$6,".",IF(A5964=".",1,A5964+1))</f>
        <v>.</v>
      </c>
      <c r="B5965" s="244" t="str">
        <f t="shared" si="93"/>
        <v/>
      </c>
    </row>
    <row r="5966" spans="1:2" x14ac:dyDescent="0.25">
      <c r="A5966" t="str">
        <f>IF(C5966&amp;G5966&amp;D5966&lt;&gt;'Funnel setup'!$K$3&amp;'Funnel setup'!$K$4&amp;'Funnel setup'!$K$6,".",IF(A5965=".",1,A5965+1))</f>
        <v>.</v>
      </c>
      <c r="B5966" s="244" t="str">
        <f t="shared" si="93"/>
        <v/>
      </c>
    </row>
    <row r="5967" spans="1:2" x14ac:dyDescent="0.25">
      <c r="A5967" t="str">
        <f>IF(C5967&amp;G5967&amp;D5967&lt;&gt;'Funnel setup'!$K$3&amp;'Funnel setup'!$K$4&amp;'Funnel setup'!$K$6,".",IF(A5966=".",1,A5966+1))</f>
        <v>.</v>
      </c>
      <c r="B5967" s="244" t="str">
        <f t="shared" si="93"/>
        <v/>
      </c>
    </row>
    <row r="5968" spans="1:2" x14ac:dyDescent="0.25">
      <c r="A5968" t="str">
        <f>IF(C5968&amp;G5968&amp;D5968&lt;&gt;'Funnel setup'!$K$3&amp;'Funnel setup'!$K$4&amp;'Funnel setup'!$K$6,".",IF(A5967=".",1,A5967+1))</f>
        <v>.</v>
      </c>
      <c r="B5968" s="244" t="str">
        <f t="shared" si="93"/>
        <v/>
      </c>
    </row>
    <row r="5969" spans="1:2" x14ac:dyDescent="0.25">
      <c r="A5969" t="str">
        <f>IF(C5969&amp;G5969&amp;D5969&lt;&gt;'Funnel setup'!$K$3&amp;'Funnel setup'!$K$4&amp;'Funnel setup'!$K$6,".",IF(A5968=".",1,A5968+1))</f>
        <v>.</v>
      </c>
      <c r="B5969" s="244" t="str">
        <f t="shared" si="93"/>
        <v/>
      </c>
    </row>
    <row r="5970" spans="1:2" x14ac:dyDescent="0.25">
      <c r="A5970" t="str">
        <f>IF(C5970&amp;G5970&amp;D5970&lt;&gt;'Funnel setup'!$K$3&amp;'Funnel setup'!$K$4&amp;'Funnel setup'!$K$6,".",IF(A5969=".",1,A5969+1))</f>
        <v>.</v>
      </c>
      <c r="B5970" s="244" t="str">
        <f t="shared" si="93"/>
        <v/>
      </c>
    </row>
    <row r="5971" spans="1:2" x14ac:dyDescent="0.25">
      <c r="A5971" t="str">
        <f>IF(C5971&amp;G5971&amp;D5971&lt;&gt;'Funnel setup'!$K$3&amp;'Funnel setup'!$K$4&amp;'Funnel setup'!$K$6,".",IF(A5970=".",1,A5970+1))</f>
        <v>.</v>
      </c>
      <c r="B5971" s="244" t="str">
        <f t="shared" si="93"/>
        <v/>
      </c>
    </row>
    <row r="5972" spans="1:2" x14ac:dyDescent="0.25">
      <c r="A5972" t="str">
        <f>IF(C5972&amp;G5972&amp;D5972&lt;&gt;'Funnel setup'!$K$3&amp;'Funnel setup'!$K$4&amp;'Funnel setup'!$K$6,".",IF(A5971=".",1,A5971+1))</f>
        <v>.</v>
      </c>
      <c r="B5972" s="244" t="str">
        <f t="shared" si="93"/>
        <v/>
      </c>
    </row>
    <row r="5973" spans="1:2" x14ac:dyDescent="0.25">
      <c r="A5973" t="str">
        <f>IF(C5973&amp;G5973&amp;D5973&lt;&gt;'Funnel setup'!$K$3&amp;'Funnel setup'!$K$4&amp;'Funnel setup'!$K$6,".",IF(A5972=".",1,A5972+1))</f>
        <v>.</v>
      </c>
      <c r="B5973" s="244" t="str">
        <f t="shared" si="93"/>
        <v/>
      </c>
    </row>
    <row r="5974" spans="1:2" x14ac:dyDescent="0.25">
      <c r="A5974" t="str">
        <f>IF(C5974&amp;G5974&amp;D5974&lt;&gt;'Funnel setup'!$K$3&amp;'Funnel setup'!$K$4&amp;'Funnel setup'!$K$6,".",IF(A5973=".",1,A5973+1))</f>
        <v>.</v>
      </c>
      <c r="B5974" s="244" t="str">
        <f t="shared" si="93"/>
        <v/>
      </c>
    </row>
    <row r="5975" spans="1:2" x14ac:dyDescent="0.25">
      <c r="A5975" t="str">
        <f>IF(C5975&amp;G5975&amp;D5975&lt;&gt;'Funnel setup'!$K$3&amp;'Funnel setup'!$K$4&amp;'Funnel setup'!$K$6,".",IF(A5974=".",1,A5974+1))</f>
        <v>.</v>
      </c>
      <c r="B5975" s="244" t="str">
        <f t="shared" si="93"/>
        <v/>
      </c>
    </row>
    <row r="5976" spans="1:2" x14ac:dyDescent="0.25">
      <c r="A5976" t="str">
        <f>IF(C5976&amp;G5976&amp;D5976&lt;&gt;'Funnel setup'!$K$3&amp;'Funnel setup'!$K$4&amp;'Funnel setup'!$K$6,".",IF(A5975=".",1,A5975+1))</f>
        <v>.</v>
      </c>
      <c r="B5976" s="244" t="str">
        <f t="shared" si="93"/>
        <v/>
      </c>
    </row>
    <row r="5977" spans="1:2" x14ac:dyDescent="0.25">
      <c r="A5977" t="str">
        <f>IF(C5977&amp;G5977&amp;D5977&lt;&gt;'Funnel setup'!$K$3&amp;'Funnel setup'!$K$4&amp;'Funnel setup'!$K$6,".",IF(A5976=".",1,A5976+1))</f>
        <v>.</v>
      </c>
      <c r="B5977" s="244" t="str">
        <f t="shared" si="93"/>
        <v/>
      </c>
    </row>
    <row r="5978" spans="1:2" x14ac:dyDescent="0.25">
      <c r="A5978" t="str">
        <f>IF(C5978&amp;G5978&amp;D5978&lt;&gt;'Funnel setup'!$K$3&amp;'Funnel setup'!$K$4&amp;'Funnel setup'!$K$6,".",IF(A5977=".",1,A5977+1))</f>
        <v>.</v>
      </c>
      <c r="B5978" s="244" t="str">
        <f t="shared" si="93"/>
        <v/>
      </c>
    </row>
    <row r="5979" spans="1:2" x14ac:dyDescent="0.25">
      <c r="A5979" t="str">
        <f>IF(C5979&amp;G5979&amp;D5979&lt;&gt;'Funnel setup'!$K$3&amp;'Funnel setup'!$K$4&amp;'Funnel setup'!$K$6,".",IF(A5978=".",1,A5978+1))</f>
        <v>.</v>
      </c>
      <c r="B5979" s="244" t="str">
        <f t="shared" si="93"/>
        <v/>
      </c>
    </row>
    <row r="5980" spans="1:2" x14ac:dyDescent="0.25">
      <c r="A5980" t="str">
        <f>IF(C5980&amp;G5980&amp;D5980&lt;&gt;'Funnel setup'!$K$3&amp;'Funnel setup'!$K$4&amp;'Funnel setup'!$K$6,".",IF(A5979=".",1,A5979+1))</f>
        <v>.</v>
      </c>
      <c r="B5980" s="244" t="str">
        <f t="shared" si="93"/>
        <v/>
      </c>
    </row>
    <row r="5981" spans="1:2" x14ac:dyDescent="0.25">
      <c r="A5981" t="str">
        <f>IF(C5981&amp;G5981&amp;D5981&lt;&gt;'Funnel setup'!$K$3&amp;'Funnel setup'!$K$4&amp;'Funnel setup'!$K$6,".",IF(A5980=".",1,A5980+1))</f>
        <v>.</v>
      </c>
      <c r="B5981" s="244" t="str">
        <f t="shared" si="93"/>
        <v/>
      </c>
    </row>
    <row r="5982" spans="1:2" x14ac:dyDescent="0.25">
      <c r="A5982" t="str">
        <f>IF(C5982&amp;G5982&amp;D5982&lt;&gt;'Funnel setup'!$K$3&amp;'Funnel setup'!$K$4&amp;'Funnel setup'!$K$6,".",IF(A5981=".",1,A5981+1))</f>
        <v>.</v>
      </c>
      <c r="B5982" s="244" t="str">
        <f t="shared" si="93"/>
        <v/>
      </c>
    </row>
    <row r="5983" spans="1:2" x14ac:dyDescent="0.25">
      <c r="A5983" t="str">
        <f>IF(C5983&amp;G5983&amp;D5983&lt;&gt;'Funnel setup'!$K$3&amp;'Funnel setup'!$K$4&amp;'Funnel setup'!$K$6,".",IF(A5982=".",1,A5982+1))</f>
        <v>.</v>
      </c>
      <c r="B5983" s="244" t="str">
        <f t="shared" si="93"/>
        <v/>
      </c>
    </row>
    <row r="5984" spans="1:2" x14ac:dyDescent="0.25">
      <c r="A5984" t="str">
        <f>IF(C5984&amp;G5984&amp;D5984&lt;&gt;'Funnel setup'!$K$3&amp;'Funnel setup'!$K$4&amp;'Funnel setup'!$K$6,".",IF(A5983=".",1,A5983+1))</f>
        <v>.</v>
      </c>
      <c r="B5984" s="244" t="str">
        <f t="shared" si="93"/>
        <v/>
      </c>
    </row>
    <row r="5985" spans="1:2" x14ac:dyDescent="0.25">
      <c r="A5985" t="str">
        <f>IF(C5985&amp;G5985&amp;D5985&lt;&gt;'Funnel setup'!$K$3&amp;'Funnel setup'!$K$4&amp;'Funnel setup'!$K$6,".",IF(A5984=".",1,A5984+1))</f>
        <v>.</v>
      </c>
      <c r="B5985" s="244" t="str">
        <f t="shared" si="93"/>
        <v/>
      </c>
    </row>
    <row r="5986" spans="1:2" x14ac:dyDescent="0.25">
      <c r="A5986" t="str">
        <f>IF(C5986&amp;G5986&amp;D5986&lt;&gt;'Funnel setup'!$K$3&amp;'Funnel setup'!$K$4&amp;'Funnel setup'!$K$6,".",IF(A5985=".",1,A5985+1))</f>
        <v>.</v>
      </c>
      <c r="B5986" s="244" t="str">
        <f t="shared" si="93"/>
        <v/>
      </c>
    </row>
    <row r="5987" spans="1:2" x14ac:dyDescent="0.25">
      <c r="A5987" t="str">
        <f>IF(C5987&amp;G5987&amp;D5987&lt;&gt;'Funnel setup'!$K$3&amp;'Funnel setup'!$K$4&amp;'Funnel setup'!$K$6,".",IF(A5986=".",1,A5986+1))</f>
        <v>.</v>
      </c>
      <c r="B5987" s="244" t="str">
        <f t="shared" si="93"/>
        <v/>
      </c>
    </row>
    <row r="5988" spans="1:2" x14ac:dyDescent="0.25">
      <c r="A5988" t="str">
        <f>IF(C5988&amp;G5988&amp;D5988&lt;&gt;'Funnel setup'!$K$3&amp;'Funnel setup'!$K$4&amp;'Funnel setup'!$K$6,".",IF(A5987=".",1,A5987+1))</f>
        <v>.</v>
      </c>
      <c r="B5988" s="244" t="str">
        <f t="shared" si="93"/>
        <v/>
      </c>
    </row>
    <row r="5989" spans="1:2" x14ac:dyDescent="0.25">
      <c r="A5989" t="str">
        <f>IF(C5989&amp;G5989&amp;D5989&lt;&gt;'Funnel setup'!$K$3&amp;'Funnel setup'!$K$4&amp;'Funnel setup'!$K$6,".",IF(A5988=".",1,A5988+1))</f>
        <v>.</v>
      </c>
      <c r="B5989" s="244" t="str">
        <f t="shared" si="93"/>
        <v/>
      </c>
    </row>
    <row r="5990" spans="1:2" x14ac:dyDescent="0.25">
      <c r="A5990" t="str">
        <f>IF(C5990&amp;G5990&amp;D5990&lt;&gt;'Funnel setup'!$K$3&amp;'Funnel setup'!$K$4&amp;'Funnel setup'!$K$6,".",IF(A5989=".",1,A5989+1))</f>
        <v>.</v>
      </c>
      <c r="B5990" s="244" t="str">
        <f t="shared" si="93"/>
        <v/>
      </c>
    </row>
    <row r="5991" spans="1:2" x14ac:dyDescent="0.25">
      <c r="A5991" t="str">
        <f>IF(C5991&amp;G5991&amp;D5991&lt;&gt;'Funnel setup'!$K$3&amp;'Funnel setup'!$K$4&amp;'Funnel setup'!$K$6,".",IF(A5990=".",1,A5990+1))</f>
        <v>.</v>
      </c>
      <c r="B5991" s="244" t="str">
        <f t="shared" si="93"/>
        <v/>
      </c>
    </row>
    <row r="5992" spans="1:2" x14ac:dyDescent="0.25">
      <c r="A5992" t="str">
        <f>IF(C5992&amp;G5992&amp;D5992&lt;&gt;'Funnel setup'!$K$3&amp;'Funnel setup'!$K$4&amp;'Funnel setup'!$K$6,".",IF(A5991=".",1,A5991+1))</f>
        <v>.</v>
      </c>
      <c r="B5992" s="244" t="str">
        <f t="shared" si="93"/>
        <v/>
      </c>
    </row>
    <row r="5993" spans="1:2" x14ac:dyDescent="0.25">
      <c r="A5993" t="str">
        <f>IF(C5993&amp;G5993&amp;D5993&lt;&gt;'Funnel setup'!$K$3&amp;'Funnel setup'!$K$4&amp;'Funnel setup'!$K$6,".",IF(A5992=".",1,A5992+1))</f>
        <v>.</v>
      </c>
      <c r="B5993" s="244" t="str">
        <f t="shared" si="93"/>
        <v/>
      </c>
    </row>
    <row r="5994" spans="1:2" x14ac:dyDescent="0.25">
      <c r="A5994" t="str">
        <f>IF(C5994&amp;G5994&amp;D5994&lt;&gt;'Funnel setup'!$K$3&amp;'Funnel setup'!$K$4&amp;'Funnel setup'!$K$6,".",IF(A5993=".",1,A5993+1))</f>
        <v>.</v>
      </c>
      <c r="B5994" s="244" t="str">
        <f t="shared" si="93"/>
        <v/>
      </c>
    </row>
    <row r="5995" spans="1:2" x14ac:dyDescent="0.25">
      <c r="A5995" t="str">
        <f>IF(C5995&amp;G5995&amp;D5995&lt;&gt;'Funnel setup'!$K$3&amp;'Funnel setup'!$K$4&amp;'Funnel setup'!$K$6,".",IF(A5994=".",1,A5994+1))</f>
        <v>.</v>
      </c>
      <c r="B5995" s="244" t="str">
        <f t="shared" si="93"/>
        <v/>
      </c>
    </row>
    <row r="5996" spans="1:2" x14ac:dyDescent="0.25">
      <c r="A5996" t="str">
        <f>IF(C5996&amp;G5996&amp;D5996&lt;&gt;'Funnel setup'!$K$3&amp;'Funnel setup'!$K$4&amp;'Funnel setup'!$K$6,".",IF(A5995=".",1,A5995+1))</f>
        <v>.</v>
      </c>
      <c r="B5996" s="244" t="str">
        <f t="shared" si="93"/>
        <v/>
      </c>
    </row>
    <row r="5997" spans="1:2" x14ac:dyDescent="0.25">
      <c r="A5997" t="str">
        <f>IF(C5997&amp;G5997&amp;D5997&lt;&gt;'Funnel setup'!$K$3&amp;'Funnel setup'!$K$4&amp;'Funnel setup'!$K$6,".",IF(A5996=".",1,A5996+1))</f>
        <v>.</v>
      </c>
      <c r="B5997" s="244" t="str">
        <f t="shared" si="93"/>
        <v/>
      </c>
    </row>
    <row r="5998" spans="1:2" x14ac:dyDescent="0.25">
      <c r="A5998" t="str">
        <f>IF(C5998&amp;G5998&amp;D5998&lt;&gt;'Funnel setup'!$K$3&amp;'Funnel setup'!$K$4&amp;'Funnel setup'!$K$6,".",IF(A5997=".",1,A5997+1))</f>
        <v>.</v>
      </c>
      <c r="B5998" s="244" t="str">
        <f t="shared" si="93"/>
        <v/>
      </c>
    </row>
    <row r="5999" spans="1:2" x14ac:dyDescent="0.25">
      <c r="A5999" t="str">
        <f>IF(C5999&amp;G5999&amp;D5999&lt;&gt;'Funnel setup'!$K$3&amp;'Funnel setup'!$K$4&amp;'Funnel setup'!$K$6,".",IF(A5998=".",1,A5998+1))</f>
        <v>.</v>
      </c>
      <c r="B5999" s="244" t="str">
        <f t="shared" si="93"/>
        <v/>
      </c>
    </row>
    <row r="6000" spans="1:2" x14ac:dyDescent="0.25">
      <c r="A6000" t="str">
        <f>IF(C6000&amp;G6000&amp;D6000&lt;&gt;'Funnel setup'!$K$3&amp;'Funnel setup'!$K$4&amp;'Funnel setup'!$K$6,".",IF(A5999=".",1,A5999+1))</f>
        <v>.</v>
      </c>
      <c r="B6000" s="244" t="str">
        <f t="shared" si="93"/>
        <v/>
      </c>
    </row>
    <row r="6001" spans="1:2" x14ac:dyDescent="0.25">
      <c r="A6001" t="str">
        <f>IF(C6001&amp;G6001&amp;D6001&lt;&gt;'Funnel setup'!$K$3&amp;'Funnel setup'!$K$4&amp;'Funnel setup'!$K$6,".",IF(A6000=".",1,A6000+1))</f>
        <v>.</v>
      </c>
      <c r="B6001" s="244" t="str">
        <f t="shared" si="93"/>
        <v/>
      </c>
    </row>
    <row r="6002" spans="1:2" x14ac:dyDescent="0.25">
      <c r="A6002" t="str">
        <f>IF(C6002&amp;G6002&amp;D6002&lt;&gt;'Funnel setup'!$K$3&amp;'Funnel setup'!$K$4&amp;'Funnel setup'!$K$6,".",IF(A6001=".",1,A6001+1))</f>
        <v>.</v>
      </c>
      <c r="B6002" s="244" t="str">
        <f t="shared" si="93"/>
        <v/>
      </c>
    </row>
    <row r="6003" spans="1:2" x14ac:dyDescent="0.25">
      <c r="A6003" t="str">
        <f>IF(C6003&amp;G6003&amp;D6003&lt;&gt;'Funnel setup'!$K$3&amp;'Funnel setup'!$K$4&amp;'Funnel setup'!$K$6,".",IF(A6002=".",1,A6002+1))</f>
        <v>.</v>
      </c>
      <c r="B6003" s="244" t="str">
        <f t="shared" si="93"/>
        <v/>
      </c>
    </row>
    <row r="6004" spans="1:2" x14ac:dyDescent="0.25">
      <c r="A6004" t="str">
        <f>IF(C6004&amp;G6004&amp;D6004&lt;&gt;'Funnel setup'!$K$3&amp;'Funnel setup'!$K$4&amp;'Funnel setup'!$K$6,".",IF(A6003=".",1,A6003+1))</f>
        <v>.</v>
      </c>
      <c r="B6004" s="244" t="str">
        <f t="shared" si="93"/>
        <v/>
      </c>
    </row>
    <row r="6005" spans="1:2" x14ac:dyDescent="0.25">
      <c r="A6005" t="str">
        <f>IF(C6005&amp;G6005&amp;D6005&lt;&gt;'Funnel setup'!$K$3&amp;'Funnel setup'!$K$4&amp;'Funnel setup'!$K$6,".",IF(A6004=".",1,A6004+1))</f>
        <v>.</v>
      </c>
      <c r="B6005" s="244" t="str">
        <f t="shared" si="93"/>
        <v/>
      </c>
    </row>
    <row r="6006" spans="1:2" x14ac:dyDescent="0.25">
      <c r="A6006" t="str">
        <f>IF(C6006&amp;G6006&amp;D6006&lt;&gt;'Funnel setup'!$K$3&amp;'Funnel setup'!$K$4&amp;'Funnel setup'!$K$6,".",IF(A6005=".",1,A6005+1))</f>
        <v>.</v>
      </c>
      <c r="B6006" s="244" t="str">
        <f t="shared" si="93"/>
        <v/>
      </c>
    </row>
    <row r="6007" spans="1:2" x14ac:dyDescent="0.25">
      <c r="A6007" t="str">
        <f>IF(C6007&amp;G6007&amp;D6007&lt;&gt;'Funnel setup'!$K$3&amp;'Funnel setup'!$K$4&amp;'Funnel setup'!$K$6,".",IF(A6006=".",1,A6006+1))</f>
        <v>.</v>
      </c>
      <c r="B6007" s="244" t="str">
        <f t="shared" si="93"/>
        <v/>
      </c>
    </row>
    <row r="6008" spans="1:2" x14ac:dyDescent="0.25">
      <c r="A6008" t="str">
        <f>IF(C6008&amp;G6008&amp;D6008&lt;&gt;'Funnel setup'!$K$3&amp;'Funnel setup'!$K$4&amp;'Funnel setup'!$K$6,".",IF(A6007=".",1,A6007+1))</f>
        <v>.</v>
      </c>
      <c r="B6008" s="244" t="str">
        <f t="shared" si="93"/>
        <v/>
      </c>
    </row>
    <row r="6009" spans="1:2" x14ac:dyDescent="0.25">
      <c r="A6009" t="str">
        <f>IF(C6009&amp;G6009&amp;D6009&lt;&gt;'Funnel setup'!$K$3&amp;'Funnel setup'!$K$4&amp;'Funnel setup'!$K$6,".",IF(A6008=".",1,A6008+1))</f>
        <v>.</v>
      </c>
      <c r="B6009" s="244" t="str">
        <f t="shared" si="93"/>
        <v/>
      </c>
    </row>
    <row r="6010" spans="1:2" x14ac:dyDescent="0.25">
      <c r="A6010" t="str">
        <f>IF(C6010&amp;G6010&amp;D6010&lt;&gt;'Funnel setup'!$K$3&amp;'Funnel setup'!$K$4&amp;'Funnel setup'!$K$6,".",IF(A6009=".",1,A6009+1))</f>
        <v>.</v>
      </c>
      <c r="B6010" s="244" t="str">
        <f t="shared" si="93"/>
        <v/>
      </c>
    </row>
    <row r="6011" spans="1:2" x14ac:dyDescent="0.25">
      <c r="A6011" t="str">
        <f>IF(C6011&amp;G6011&amp;D6011&lt;&gt;'Funnel setup'!$K$3&amp;'Funnel setup'!$K$4&amp;'Funnel setup'!$K$6,".",IF(A6010=".",1,A6010+1))</f>
        <v>.</v>
      </c>
      <c r="B6011" s="244" t="str">
        <f t="shared" si="93"/>
        <v/>
      </c>
    </row>
    <row r="6012" spans="1:2" x14ac:dyDescent="0.25">
      <c r="A6012" t="str">
        <f>IF(C6012&amp;G6012&amp;D6012&lt;&gt;'Funnel setup'!$K$3&amp;'Funnel setup'!$K$4&amp;'Funnel setup'!$K$6,".",IF(A6011=".",1,A6011+1))</f>
        <v>.</v>
      </c>
      <c r="B6012" s="244" t="str">
        <f t="shared" si="93"/>
        <v/>
      </c>
    </row>
    <row r="6013" spans="1:2" x14ac:dyDescent="0.25">
      <c r="A6013" t="str">
        <f>IF(C6013&amp;G6013&amp;D6013&lt;&gt;'Funnel setup'!$K$3&amp;'Funnel setup'!$K$4&amp;'Funnel setup'!$K$6,".",IF(A6012=".",1,A6012+1))</f>
        <v>.</v>
      </c>
      <c r="B6013" s="244" t="str">
        <f t="shared" si="93"/>
        <v/>
      </c>
    </row>
    <row r="6014" spans="1:2" x14ac:dyDescent="0.25">
      <c r="A6014" t="str">
        <f>IF(C6014&amp;G6014&amp;D6014&lt;&gt;'Funnel setup'!$K$3&amp;'Funnel setup'!$K$4&amp;'Funnel setup'!$K$6,".",IF(A6013=".",1,A6013+1))</f>
        <v>.</v>
      </c>
      <c r="B6014" s="244" t="str">
        <f t="shared" si="93"/>
        <v/>
      </c>
    </row>
    <row r="6015" spans="1:2" x14ac:dyDescent="0.25">
      <c r="A6015" t="str">
        <f>IF(C6015&amp;G6015&amp;D6015&lt;&gt;'Funnel setup'!$K$3&amp;'Funnel setup'!$K$4&amp;'Funnel setup'!$K$6,".",IF(A6014=".",1,A6014+1))</f>
        <v>.</v>
      </c>
      <c r="B6015" s="244" t="str">
        <f t="shared" si="93"/>
        <v/>
      </c>
    </row>
    <row r="6016" spans="1:2" x14ac:dyDescent="0.25">
      <c r="A6016" t="str">
        <f>IF(C6016&amp;G6016&amp;D6016&lt;&gt;'Funnel setup'!$K$3&amp;'Funnel setup'!$K$4&amp;'Funnel setup'!$K$6,".",IF(A6015=".",1,A6015+1))</f>
        <v>.</v>
      </c>
      <c r="B6016" s="244" t="str">
        <f t="shared" si="93"/>
        <v/>
      </c>
    </row>
    <row r="6017" spans="1:2" x14ac:dyDescent="0.25">
      <c r="A6017" t="str">
        <f>IF(C6017&amp;G6017&amp;D6017&lt;&gt;'Funnel setup'!$K$3&amp;'Funnel setup'!$K$4&amp;'Funnel setup'!$K$6,".",IF(A6016=".",1,A6016+1))</f>
        <v>.</v>
      </c>
      <c r="B6017" s="244" t="str">
        <f t="shared" si="93"/>
        <v/>
      </c>
    </row>
    <row r="6018" spans="1:2" x14ac:dyDescent="0.25">
      <c r="A6018" t="str">
        <f>IF(C6018&amp;G6018&amp;D6018&lt;&gt;'Funnel setup'!$K$3&amp;'Funnel setup'!$K$4&amp;'Funnel setup'!$K$6,".",IF(A6017=".",1,A6017+1))</f>
        <v>.</v>
      </c>
      <c r="B6018" s="244" t="str">
        <f t="shared" ref="B6018:B6081" si="94">C6018&amp;D6018&amp;F6018&amp;G6018</f>
        <v/>
      </c>
    </row>
    <row r="6019" spans="1:2" x14ac:dyDescent="0.25">
      <c r="A6019" t="str">
        <f>IF(C6019&amp;G6019&amp;D6019&lt;&gt;'Funnel setup'!$K$3&amp;'Funnel setup'!$K$4&amp;'Funnel setup'!$K$6,".",IF(A6018=".",1,A6018+1))</f>
        <v>.</v>
      </c>
      <c r="B6019" s="244" t="str">
        <f t="shared" si="94"/>
        <v/>
      </c>
    </row>
    <row r="6020" spans="1:2" x14ac:dyDescent="0.25">
      <c r="A6020" t="str">
        <f>IF(C6020&amp;G6020&amp;D6020&lt;&gt;'Funnel setup'!$K$3&amp;'Funnel setup'!$K$4&amp;'Funnel setup'!$K$6,".",IF(A6019=".",1,A6019+1))</f>
        <v>.</v>
      </c>
      <c r="B6020" s="244" t="str">
        <f t="shared" si="94"/>
        <v/>
      </c>
    </row>
    <row r="6021" spans="1:2" x14ac:dyDescent="0.25">
      <c r="A6021" t="str">
        <f>IF(C6021&amp;G6021&amp;D6021&lt;&gt;'Funnel setup'!$K$3&amp;'Funnel setup'!$K$4&amp;'Funnel setup'!$K$6,".",IF(A6020=".",1,A6020+1))</f>
        <v>.</v>
      </c>
      <c r="B6021" s="244" t="str">
        <f t="shared" si="94"/>
        <v/>
      </c>
    </row>
    <row r="6022" spans="1:2" x14ac:dyDescent="0.25">
      <c r="A6022" t="str">
        <f>IF(C6022&amp;G6022&amp;D6022&lt;&gt;'Funnel setup'!$K$3&amp;'Funnel setup'!$K$4&amp;'Funnel setup'!$K$6,".",IF(A6021=".",1,A6021+1))</f>
        <v>.</v>
      </c>
      <c r="B6022" s="244" t="str">
        <f t="shared" si="94"/>
        <v/>
      </c>
    </row>
    <row r="6023" spans="1:2" x14ac:dyDescent="0.25">
      <c r="A6023" t="str">
        <f>IF(C6023&amp;G6023&amp;D6023&lt;&gt;'Funnel setup'!$K$3&amp;'Funnel setup'!$K$4&amp;'Funnel setup'!$K$6,".",IF(A6022=".",1,A6022+1))</f>
        <v>.</v>
      </c>
      <c r="B6023" s="244" t="str">
        <f t="shared" si="94"/>
        <v/>
      </c>
    </row>
    <row r="6024" spans="1:2" x14ac:dyDescent="0.25">
      <c r="A6024" t="str">
        <f>IF(C6024&amp;G6024&amp;D6024&lt;&gt;'Funnel setup'!$K$3&amp;'Funnel setup'!$K$4&amp;'Funnel setup'!$K$6,".",IF(A6023=".",1,A6023+1))</f>
        <v>.</v>
      </c>
      <c r="B6024" s="244" t="str">
        <f t="shared" si="94"/>
        <v/>
      </c>
    </row>
    <row r="6025" spans="1:2" x14ac:dyDescent="0.25">
      <c r="A6025" t="str">
        <f>IF(C6025&amp;G6025&amp;D6025&lt;&gt;'Funnel setup'!$K$3&amp;'Funnel setup'!$K$4&amp;'Funnel setup'!$K$6,".",IF(A6024=".",1,A6024+1))</f>
        <v>.</v>
      </c>
      <c r="B6025" s="244" t="str">
        <f t="shared" si="94"/>
        <v/>
      </c>
    </row>
    <row r="6026" spans="1:2" x14ac:dyDescent="0.25">
      <c r="A6026" t="str">
        <f>IF(C6026&amp;G6026&amp;D6026&lt;&gt;'Funnel setup'!$K$3&amp;'Funnel setup'!$K$4&amp;'Funnel setup'!$K$6,".",IF(A6025=".",1,A6025+1))</f>
        <v>.</v>
      </c>
      <c r="B6026" s="244" t="str">
        <f t="shared" si="94"/>
        <v/>
      </c>
    </row>
    <row r="6027" spans="1:2" x14ac:dyDescent="0.25">
      <c r="A6027" t="str">
        <f>IF(C6027&amp;G6027&amp;D6027&lt;&gt;'Funnel setup'!$K$3&amp;'Funnel setup'!$K$4&amp;'Funnel setup'!$K$6,".",IF(A6026=".",1,A6026+1))</f>
        <v>.</v>
      </c>
      <c r="B6027" s="244" t="str">
        <f t="shared" si="94"/>
        <v/>
      </c>
    </row>
    <row r="6028" spans="1:2" x14ac:dyDescent="0.25">
      <c r="A6028" t="str">
        <f>IF(C6028&amp;G6028&amp;D6028&lt;&gt;'Funnel setup'!$K$3&amp;'Funnel setup'!$K$4&amp;'Funnel setup'!$K$6,".",IF(A6027=".",1,A6027+1))</f>
        <v>.</v>
      </c>
      <c r="B6028" s="244" t="str">
        <f t="shared" si="94"/>
        <v/>
      </c>
    </row>
    <row r="6029" spans="1:2" x14ac:dyDescent="0.25">
      <c r="A6029" t="str">
        <f>IF(C6029&amp;G6029&amp;D6029&lt;&gt;'Funnel setup'!$K$3&amp;'Funnel setup'!$K$4&amp;'Funnel setup'!$K$6,".",IF(A6028=".",1,A6028+1))</f>
        <v>.</v>
      </c>
      <c r="B6029" s="244" t="str">
        <f t="shared" si="94"/>
        <v/>
      </c>
    </row>
    <row r="6030" spans="1:2" x14ac:dyDescent="0.25">
      <c r="A6030" t="str">
        <f>IF(C6030&amp;G6030&amp;D6030&lt;&gt;'Funnel setup'!$K$3&amp;'Funnel setup'!$K$4&amp;'Funnel setup'!$K$6,".",IF(A6029=".",1,A6029+1))</f>
        <v>.</v>
      </c>
      <c r="B6030" s="244" t="str">
        <f t="shared" si="94"/>
        <v/>
      </c>
    </row>
    <row r="6031" spans="1:2" x14ac:dyDescent="0.25">
      <c r="A6031" t="str">
        <f>IF(C6031&amp;G6031&amp;D6031&lt;&gt;'Funnel setup'!$K$3&amp;'Funnel setup'!$K$4&amp;'Funnel setup'!$K$6,".",IF(A6030=".",1,A6030+1))</f>
        <v>.</v>
      </c>
      <c r="B6031" s="244" t="str">
        <f t="shared" si="94"/>
        <v/>
      </c>
    </row>
    <row r="6032" spans="1:2" x14ac:dyDescent="0.25">
      <c r="A6032" t="str">
        <f>IF(C6032&amp;G6032&amp;D6032&lt;&gt;'Funnel setup'!$K$3&amp;'Funnel setup'!$K$4&amp;'Funnel setup'!$K$6,".",IF(A6031=".",1,A6031+1))</f>
        <v>.</v>
      </c>
      <c r="B6032" s="244" t="str">
        <f t="shared" si="94"/>
        <v/>
      </c>
    </row>
    <row r="6033" spans="1:2" x14ac:dyDescent="0.25">
      <c r="A6033" t="str">
        <f>IF(C6033&amp;G6033&amp;D6033&lt;&gt;'Funnel setup'!$K$3&amp;'Funnel setup'!$K$4&amp;'Funnel setup'!$K$6,".",IF(A6032=".",1,A6032+1))</f>
        <v>.</v>
      </c>
      <c r="B6033" s="244" t="str">
        <f t="shared" si="94"/>
        <v/>
      </c>
    </row>
    <row r="6034" spans="1:2" x14ac:dyDescent="0.25">
      <c r="A6034" t="str">
        <f>IF(C6034&amp;G6034&amp;D6034&lt;&gt;'Funnel setup'!$K$3&amp;'Funnel setup'!$K$4&amp;'Funnel setup'!$K$6,".",IF(A6033=".",1,A6033+1))</f>
        <v>.</v>
      </c>
      <c r="B6034" s="244" t="str">
        <f t="shared" si="94"/>
        <v/>
      </c>
    </row>
    <row r="6035" spans="1:2" x14ac:dyDescent="0.25">
      <c r="A6035" t="str">
        <f>IF(C6035&amp;G6035&amp;D6035&lt;&gt;'Funnel setup'!$K$3&amp;'Funnel setup'!$K$4&amp;'Funnel setup'!$K$6,".",IF(A6034=".",1,A6034+1))</f>
        <v>.</v>
      </c>
      <c r="B6035" s="244" t="str">
        <f t="shared" si="94"/>
        <v/>
      </c>
    </row>
    <row r="6036" spans="1:2" x14ac:dyDescent="0.25">
      <c r="A6036" t="str">
        <f>IF(C6036&amp;G6036&amp;D6036&lt;&gt;'Funnel setup'!$K$3&amp;'Funnel setup'!$K$4&amp;'Funnel setup'!$K$6,".",IF(A6035=".",1,A6035+1))</f>
        <v>.</v>
      </c>
      <c r="B6036" s="244" t="str">
        <f t="shared" si="94"/>
        <v/>
      </c>
    </row>
    <row r="6037" spans="1:2" x14ac:dyDescent="0.25">
      <c r="A6037" t="str">
        <f>IF(C6037&amp;G6037&amp;D6037&lt;&gt;'Funnel setup'!$K$3&amp;'Funnel setup'!$K$4&amp;'Funnel setup'!$K$6,".",IF(A6036=".",1,A6036+1))</f>
        <v>.</v>
      </c>
      <c r="B6037" s="244" t="str">
        <f t="shared" si="94"/>
        <v/>
      </c>
    </row>
    <row r="6038" spans="1:2" x14ac:dyDescent="0.25">
      <c r="A6038" t="str">
        <f>IF(C6038&amp;G6038&amp;D6038&lt;&gt;'Funnel setup'!$K$3&amp;'Funnel setup'!$K$4&amp;'Funnel setup'!$K$6,".",IF(A6037=".",1,A6037+1))</f>
        <v>.</v>
      </c>
      <c r="B6038" s="244" t="str">
        <f t="shared" si="94"/>
        <v/>
      </c>
    </row>
    <row r="6039" spans="1:2" x14ac:dyDescent="0.25">
      <c r="A6039" t="str">
        <f>IF(C6039&amp;G6039&amp;D6039&lt;&gt;'Funnel setup'!$K$3&amp;'Funnel setup'!$K$4&amp;'Funnel setup'!$K$6,".",IF(A6038=".",1,A6038+1))</f>
        <v>.</v>
      </c>
      <c r="B6039" s="244" t="str">
        <f t="shared" si="94"/>
        <v/>
      </c>
    </row>
    <row r="6040" spans="1:2" x14ac:dyDescent="0.25">
      <c r="A6040" t="str">
        <f>IF(C6040&amp;G6040&amp;D6040&lt;&gt;'Funnel setup'!$K$3&amp;'Funnel setup'!$K$4&amp;'Funnel setup'!$K$6,".",IF(A6039=".",1,A6039+1))</f>
        <v>.</v>
      </c>
      <c r="B6040" s="244" t="str">
        <f t="shared" si="94"/>
        <v/>
      </c>
    </row>
    <row r="6041" spans="1:2" x14ac:dyDescent="0.25">
      <c r="A6041" t="str">
        <f>IF(C6041&amp;G6041&amp;D6041&lt;&gt;'Funnel setup'!$K$3&amp;'Funnel setup'!$K$4&amp;'Funnel setup'!$K$6,".",IF(A6040=".",1,A6040+1))</f>
        <v>.</v>
      </c>
      <c r="B6041" s="244" t="str">
        <f t="shared" si="94"/>
        <v/>
      </c>
    </row>
    <row r="6042" spans="1:2" x14ac:dyDescent="0.25">
      <c r="A6042" t="str">
        <f>IF(C6042&amp;G6042&amp;D6042&lt;&gt;'Funnel setup'!$K$3&amp;'Funnel setup'!$K$4&amp;'Funnel setup'!$K$6,".",IF(A6041=".",1,A6041+1))</f>
        <v>.</v>
      </c>
      <c r="B6042" s="244" t="str">
        <f t="shared" si="94"/>
        <v/>
      </c>
    </row>
    <row r="6043" spans="1:2" x14ac:dyDescent="0.25">
      <c r="A6043" t="str">
        <f>IF(C6043&amp;G6043&amp;D6043&lt;&gt;'Funnel setup'!$K$3&amp;'Funnel setup'!$K$4&amp;'Funnel setup'!$K$6,".",IF(A6042=".",1,A6042+1))</f>
        <v>.</v>
      </c>
      <c r="B6043" s="244" t="str">
        <f t="shared" si="94"/>
        <v/>
      </c>
    </row>
    <row r="6044" spans="1:2" x14ac:dyDescent="0.25">
      <c r="A6044" t="str">
        <f>IF(C6044&amp;G6044&amp;D6044&lt;&gt;'Funnel setup'!$K$3&amp;'Funnel setup'!$K$4&amp;'Funnel setup'!$K$6,".",IF(A6043=".",1,A6043+1))</f>
        <v>.</v>
      </c>
      <c r="B6044" s="244" t="str">
        <f t="shared" si="94"/>
        <v/>
      </c>
    </row>
    <row r="6045" spans="1:2" x14ac:dyDescent="0.25">
      <c r="A6045" t="str">
        <f>IF(C6045&amp;G6045&amp;D6045&lt;&gt;'Funnel setup'!$K$3&amp;'Funnel setup'!$K$4&amp;'Funnel setup'!$K$6,".",IF(A6044=".",1,A6044+1))</f>
        <v>.</v>
      </c>
      <c r="B6045" s="244" t="str">
        <f t="shared" si="94"/>
        <v/>
      </c>
    </row>
    <row r="6046" spans="1:2" x14ac:dyDescent="0.25">
      <c r="A6046" t="str">
        <f>IF(C6046&amp;G6046&amp;D6046&lt;&gt;'Funnel setup'!$K$3&amp;'Funnel setup'!$K$4&amp;'Funnel setup'!$K$6,".",IF(A6045=".",1,A6045+1))</f>
        <v>.</v>
      </c>
      <c r="B6046" s="244" t="str">
        <f t="shared" si="94"/>
        <v/>
      </c>
    </row>
    <row r="6047" spans="1:2" x14ac:dyDescent="0.25">
      <c r="A6047" t="str">
        <f>IF(C6047&amp;G6047&amp;D6047&lt;&gt;'Funnel setup'!$K$3&amp;'Funnel setup'!$K$4&amp;'Funnel setup'!$K$6,".",IF(A6046=".",1,A6046+1))</f>
        <v>.</v>
      </c>
      <c r="B6047" s="244" t="str">
        <f t="shared" si="94"/>
        <v/>
      </c>
    </row>
    <row r="6048" spans="1:2" x14ac:dyDescent="0.25">
      <c r="A6048" t="str">
        <f>IF(C6048&amp;G6048&amp;D6048&lt;&gt;'Funnel setup'!$K$3&amp;'Funnel setup'!$K$4&amp;'Funnel setup'!$K$6,".",IF(A6047=".",1,A6047+1))</f>
        <v>.</v>
      </c>
      <c r="B6048" s="244" t="str">
        <f t="shared" si="94"/>
        <v/>
      </c>
    </row>
    <row r="6049" spans="1:2" x14ac:dyDescent="0.25">
      <c r="A6049" t="str">
        <f>IF(C6049&amp;G6049&amp;D6049&lt;&gt;'Funnel setup'!$K$3&amp;'Funnel setup'!$K$4&amp;'Funnel setup'!$K$6,".",IF(A6048=".",1,A6048+1))</f>
        <v>.</v>
      </c>
      <c r="B6049" s="244" t="str">
        <f t="shared" si="94"/>
        <v/>
      </c>
    </row>
    <row r="6050" spans="1:2" x14ac:dyDescent="0.25">
      <c r="A6050" t="str">
        <f>IF(C6050&amp;G6050&amp;D6050&lt;&gt;'Funnel setup'!$K$3&amp;'Funnel setup'!$K$4&amp;'Funnel setup'!$K$6,".",IF(A6049=".",1,A6049+1))</f>
        <v>.</v>
      </c>
      <c r="B6050" s="244" t="str">
        <f t="shared" si="94"/>
        <v/>
      </c>
    </row>
    <row r="6051" spans="1:2" x14ac:dyDescent="0.25">
      <c r="A6051" t="str">
        <f>IF(C6051&amp;G6051&amp;D6051&lt;&gt;'Funnel setup'!$K$3&amp;'Funnel setup'!$K$4&amp;'Funnel setup'!$K$6,".",IF(A6050=".",1,A6050+1))</f>
        <v>.</v>
      </c>
      <c r="B6051" s="244" t="str">
        <f t="shared" si="94"/>
        <v/>
      </c>
    </row>
    <row r="6052" spans="1:2" x14ac:dyDescent="0.25">
      <c r="A6052" t="str">
        <f>IF(C6052&amp;G6052&amp;D6052&lt;&gt;'Funnel setup'!$K$3&amp;'Funnel setup'!$K$4&amp;'Funnel setup'!$K$6,".",IF(A6051=".",1,A6051+1))</f>
        <v>.</v>
      </c>
      <c r="B6052" s="244" t="str">
        <f t="shared" si="94"/>
        <v/>
      </c>
    </row>
    <row r="6053" spans="1:2" x14ac:dyDescent="0.25">
      <c r="A6053" t="str">
        <f>IF(C6053&amp;G6053&amp;D6053&lt;&gt;'Funnel setup'!$K$3&amp;'Funnel setup'!$K$4&amp;'Funnel setup'!$K$6,".",IF(A6052=".",1,A6052+1))</f>
        <v>.</v>
      </c>
      <c r="B6053" s="244" t="str">
        <f t="shared" si="94"/>
        <v/>
      </c>
    </row>
    <row r="6054" spans="1:2" x14ac:dyDescent="0.25">
      <c r="A6054" t="str">
        <f>IF(C6054&amp;G6054&amp;D6054&lt;&gt;'Funnel setup'!$K$3&amp;'Funnel setup'!$K$4&amp;'Funnel setup'!$K$6,".",IF(A6053=".",1,A6053+1))</f>
        <v>.</v>
      </c>
      <c r="B6054" s="244" t="str">
        <f t="shared" si="94"/>
        <v/>
      </c>
    </row>
    <row r="6055" spans="1:2" x14ac:dyDescent="0.25">
      <c r="A6055" t="str">
        <f>IF(C6055&amp;G6055&amp;D6055&lt;&gt;'Funnel setup'!$K$3&amp;'Funnel setup'!$K$4&amp;'Funnel setup'!$K$6,".",IF(A6054=".",1,A6054+1))</f>
        <v>.</v>
      </c>
      <c r="B6055" s="244" t="str">
        <f t="shared" si="94"/>
        <v/>
      </c>
    </row>
    <row r="6056" spans="1:2" x14ac:dyDescent="0.25">
      <c r="A6056" t="str">
        <f>IF(C6056&amp;G6056&amp;D6056&lt;&gt;'Funnel setup'!$K$3&amp;'Funnel setup'!$K$4&amp;'Funnel setup'!$K$6,".",IF(A6055=".",1,A6055+1))</f>
        <v>.</v>
      </c>
      <c r="B6056" s="244" t="str">
        <f t="shared" si="94"/>
        <v/>
      </c>
    </row>
    <row r="6057" spans="1:2" x14ac:dyDescent="0.25">
      <c r="A6057" t="str">
        <f>IF(C6057&amp;G6057&amp;D6057&lt;&gt;'Funnel setup'!$K$3&amp;'Funnel setup'!$K$4&amp;'Funnel setup'!$K$6,".",IF(A6056=".",1,A6056+1))</f>
        <v>.</v>
      </c>
      <c r="B6057" s="244" t="str">
        <f t="shared" si="94"/>
        <v/>
      </c>
    </row>
    <row r="6058" spans="1:2" x14ac:dyDescent="0.25">
      <c r="A6058" t="str">
        <f>IF(C6058&amp;G6058&amp;D6058&lt;&gt;'Funnel setup'!$K$3&amp;'Funnel setup'!$K$4&amp;'Funnel setup'!$K$6,".",IF(A6057=".",1,A6057+1))</f>
        <v>.</v>
      </c>
      <c r="B6058" s="244" t="str">
        <f t="shared" si="94"/>
        <v/>
      </c>
    </row>
    <row r="6059" spans="1:2" x14ac:dyDescent="0.25">
      <c r="A6059" t="str">
        <f>IF(C6059&amp;G6059&amp;D6059&lt;&gt;'Funnel setup'!$K$3&amp;'Funnel setup'!$K$4&amp;'Funnel setup'!$K$6,".",IF(A6058=".",1,A6058+1))</f>
        <v>.</v>
      </c>
      <c r="B6059" s="244" t="str">
        <f t="shared" si="94"/>
        <v/>
      </c>
    </row>
    <row r="6060" spans="1:2" x14ac:dyDescent="0.25">
      <c r="A6060" t="str">
        <f>IF(C6060&amp;G6060&amp;D6060&lt;&gt;'Funnel setup'!$K$3&amp;'Funnel setup'!$K$4&amp;'Funnel setup'!$K$6,".",IF(A6059=".",1,A6059+1))</f>
        <v>.</v>
      </c>
      <c r="B6060" s="244" t="str">
        <f t="shared" si="94"/>
        <v/>
      </c>
    </row>
    <row r="6061" spans="1:2" x14ac:dyDescent="0.25">
      <c r="A6061" t="str">
        <f>IF(C6061&amp;G6061&amp;D6061&lt;&gt;'Funnel setup'!$K$3&amp;'Funnel setup'!$K$4&amp;'Funnel setup'!$K$6,".",IF(A6060=".",1,A6060+1))</f>
        <v>.</v>
      </c>
      <c r="B6061" s="244" t="str">
        <f t="shared" si="94"/>
        <v/>
      </c>
    </row>
    <row r="6062" spans="1:2" x14ac:dyDescent="0.25">
      <c r="A6062" t="str">
        <f>IF(C6062&amp;G6062&amp;D6062&lt;&gt;'Funnel setup'!$K$3&amp;'Funnel setup'!$K$4&amp;'Funnel setup'!$K$6,".",IF(A6061=".",1,A6061+1))</f>
        <v>.</v>
      </c>
      <c r="B6062" s="244" t="str">
        <f t="shared" si="94"/>
        <v/>
      </c>
    </row>
    <row r="6063" spans="1:2" x14ac:dyDescent="0.25">
      <c r="A6063" t="str">
        <f>IF(C6063&amp;G6063&amp;D6063&lt;&gt;'Funnel setup'!$K$3&amp;'Funnel setup'!$K$4&amp;'Funnel setup'!$K$6,".",IF(A6062=".",1,A6062+1))</f>
        <v>.</v>
      </c>
      <c r="B6063" s="244" t="str">
        <f t="shared" si="94"/>
        <v/>
      </c>
    </row>
    <row r="6064" spans="1:2" x14ac:dyDescent="0.25">
      <c r="A6064" t="str">
        <f>IF(C6064&amp;G6064&amp;D6064&lt;&gt;'Funnel setup'!$K$3&amp;'Funnel setup'!$K$4&amp;'Funnel setup'!$K$6,".",IF(A6063=".",1,A6063+1))</f>
        <v>.</v>
      </c>
      <c r="B6064" s="244" t="str">
        <f t="shared" si="94"/>
        <v/>
      </c>
    </row>
    <row r="6065" spans="1:2" x14ac:dyDescent="0.25">
      <c r="A6065" t="str">
        <f>IF(C6065&amp;G6065&amp;D6065&lt;&gt;'Funnel setup'!$K$3&amp;'Funnel setup'!$K$4&amp;'Funnel setup'!$K$6,".",IF(A6064=".",1,A6064+1))</f>
        <v>.</v>
      </c>
      <c r="B6065" s="244" t="str">
        <f t="shared" si="94"/>
        <v/>
      </c>
    </row>
    <row r="6066" spans="1:2" x14ac:dyDescent="0.25">
      <c r="A6066" t="str">
        <f>IF(C6066&amp;G6066&amp;D6066&lt;&gt;'Funnel setup'!$K$3&amp;'Funnel setup'!$K$4&amp;'Funnel setup'!$K$6,".",IF(A6065=".",1,A6065+1))</f>
        <v>.</v>
      </c>
      <c r="B6066" s="244" t="str">
        <f t="shared" si="94"/>
        <v/>
      </c>
    </row>
    <row r="6067" spans="1:2" x14ac:dyDescent="0.25">
      <c r="A6067" t="str">
        <f>IF(C6067&amp;G6067&amp;D6067&lt;&gt;'Funnel setup'!$K$3&amp;'Funnel setup'!$K$4&amp;'Funnel setup'!$K$6,".",IF(A6066=".",1,A6066+1))</f>
        <v>.</v>
      </c>
      <c r="B6067" s="244" t="str">
        <f t="shared" si="94"/>
        <v/>
      </c>
    </row>
    <row r="6068" spans="1:2" x14ac:dyDescent="0.25">
      <c r="A6068" t="str">
        <f>IF(C6068&amp;G6068&amp;D6068&lt;&gt;'Funnel setup'!$K$3&amp;'Funnel setup'!$K$4&amp;'Funnel setup'!$K$6,".",IF(A6067=".",1,A6067+1))</f>
        <v>.</v>
      </c>
      <c r="B6068" s="244" t="str">
        <f t="shared" si="94"/>
        <v/>
      </c>
    </row>
    <row r="6069" spans="1:2" x14ac:dyDescent="0.25">
      <c r="A6069" t="str">
        <f>IF(C6069&amp;G6069&amp;D6069&lt;&gt;'Funnel setup'!$K$3&amp;'Funnel setup'!$K$4&amp;'Funnel setup'!$K$6,".",IF(A6068=".",1,A6068+1))</f>
        <v>.</v>
      </c>
      <c r="B6069" s="244" t="str">
        <f t="shared" si="94"/>
        <v/>
      </c>
    </row>
    <row r="6070" spans="1:2" x14ac:dyDescent="0.25">
      <c r="A6070" t="str">
        <f>IF(C6070&amp;G6070&amp;D6070&lt;&gt;'Funnel setup'!$K$3&amp;'Funnel setup'!$K$4&amp;'Funnel setup'!$K$6,".",IF(A6069=".",1,A6069+1))</f>
        <v>.</v>
      </c>
      <c r="B6070" s="244" t="str">
        <f t="shared" si="94"/>
        <v/>
      </c>
    </row>
    <row r="6071" spans="1:2" x14ac:dyDescent="0.25">
      <c r="A6071" t="str">
        <f>IF(C6071&amp;G6071&amp;D6071&lt;&gt;'Funnel setup'!$K$3&amp;'Funnel setup'!$K$4&amp;'Funnel setup'!$K$6,".",IF(A6070=".",1,A6070+1))</f>
        <v>.</v>
      </c>
      <c r="B6071" s="244" t="str">
        <f t="shared" si="94"/>
        <v/>
      </c>
    </row>
    <row r="6072" spans="1:2" x14ac:dyDescent="0.25">
      <c r="A6072" t="str">
        <f>IF(C6072&amp;G6072&amp;D6072&lt;&gt;'Funnel setup'!$K$3&amp;'Funnel setup'!$K$4&amp;'Funnel setup'!$K$6,".",IF(A6071=".",1,A6071+1))</f>
        <v>.</v>
      </c>
      <c r="B6072" s="244" t="str">
        <f t="shared" si="94"/>
        <v/>
      </c>
    </row>
    <row r="6073" spans="1:2" x14ac:dyDescent="0.25">
      <c r="A6073" t="str">
        <f>IF(C6073&amp;G6073&amp;D6073&lt;&gt;'Funnel setup'!$K$3&amp;'Funnel setup'!$K$4&amp;'Funnel setup'!$K$6,".",IF(A6072=".",1,A6072+1))</f>
        <v>.</v>
      </c>
      <c r="B6073" s="244" t="str">
        <f t="shared" si="94"/>
        <v/>
      </c>
    </row>
    <row r="6074" spans="1:2" x14ac:dyDescent="0.25">
      <c r="A6074" t="str">
        <f>IF(C6074&amp;G6074&amp;D6074&lt;&gt;'Funnel setup'!$K$3&amp;'Funnel setup'!$K$4&amp;'Funnel setup'!$K$6,".",IF(A6073=".",1,A6073+1))</f>
        <v>.</v>
      </c>
      <c r="B6074" s="244" t="str">
        <f t="shared" si="94"/>
        <v/>
      </c>
    </row>
    <row r="6075" spans="1:2" x14ac:dyDescent="0.25">
      <c r="A6075" t="str">
        <f>IF(C6075&amp;G6075&amp;D6075&lt;&gt;'Funnel setup'!$K$3&amp;'Funnel setup'!$K$4&amp;'Funnel setup'!$K$6,".",IF(A6074=".",1,A6074+1))</f>
        <v>.</v>
      </c>
      <c r="B6075" s="244" t="str">
        <f t="shared" si="94"/>
        <v/>
      </c>
    </row>
    <row r="6076" spans="1:2" x14ac:dyDescent="0.25">
      <c r="A6076" t="str">
        <f>IF(C6076&amp;G6076&amp;D6076&lt;&gt;'Funnel setup'!$K$3&amp;'Funnel setup'!$K$4&amp;'Funnel setup'!$K$6,".",IF(A6075=".",1,A6075+1))</f>
        <v>.</v>
      </c>
      <c r="B6076" s="244" t="str">
        <f t="shared" si="94"/>
        <v/>
      </c>
    </row>
    <row r="6077" spans="1:2" x14ac:dyDescent="0.25">
      <c r="A6077" t="str">
        <f>IF(C6077&amp;G6077&amp;D6077&lt;&gt;'Funnel setup'!$K$3&amp;'Funnel setup'!$K$4&amp;'Funnel setup'!$K$6,".",IF(A6076=".",1,A6076+1))</f>
        <v>.</v>
      </c>
      <c r="B6077" s="244" t="str">
        <f t="shared" si="94"/>
        <v/>
      </c>
    </row>
    <row r="6078" spans="1:2" x14ac:dyDescent="0.25">
      <c r="A6078" t="str">
        <f>IF(C6078&amp;G6078&amp;D6078&lt;&gt;'Funnel setup'!$K$3&amp;'Funnel setup'!$K$4&amp;'Funnel setup'!$K$6,".",IF(A6077=".",1,A6077+1))</f>
        <v>.</v>
      </c>
      <c r="B6078" s="244" t="str">
        <f t="shared" si="94"/>
        <v/>
      </c>
    </row>
    <row r="6079" spans="1:2" x14ac:dyDescent="0.25">
      <c r="A6079" t="str">
        <f>IF(C6079&amp;G6079&amp;D6079&lt;&gt;'Funnel setup'!$K$3&amp;'Funnel setup'!$K$4&amp;'Funnel setup'!$K$6,".",IF(A6078=".",1,A6078+1))</f>
        <v>.</v>
      </c>
      <c r="B6079" s="244" t="str">
        <f t="shared" si="94"/>
        <v/>
      </c>
    </row>
    <row r="6080" spans="1:2" x14ac:dyDescent="0.25">
      <c r="A6080" t="str">
        <f>IF(C6080&amp;G6080&amp;D6080&lt;&gt;'Funnel setup'!$K$3&amp;'Funnel setup'!$K$4&amp;'Funnel setup'!$K$6,".",IF(A6079=".",1,A6079+1))</f>
        <v>.</v>
      </c>
      <c r="B6080" s="244" t="str">
        <f t="shared" si="94"/>
        <v/>
      </c>
    </row>
    <row r="6081" spans="1:2" x14ac:dyDescent="0.25">
      <c r="A6081" t="str">
        <f>IF(C6081&amp;G6081&amp;D6081&lt;&gt;'Funnel setup'!$K$3&amp;'Funnel setup'!$K$4&amp;'Funnel setup'!$K$6,".",IF(A6080=".",1,A6080+1))</f>
        <v>.</v>
      </c>
      <c r="B6081" s="244" t="str">
        <f t="shared" si="94"/>
        <v/>
      </c>
    </row>
    <row r="6082" spans="1:2" x14ac:dyDescent="0.25">
      <c r="A6082" t="str">
        <f>IF(C6082&amp;G6082&amp;D6082&lt;&gt;'Funnel setup'!$K$3&amp;'Funnel setup'!$K$4&amp;'Funnel setup'!$K$6,".",IF(A6081=".",1,A6081+1))</f>
        <v>.</v>
      </c>
      <c r="B6082" s="244" t="str">
        <f t="shared" ref="B6082:B6145" si="95">C6082&amp;D6082&amp;F6082&amp;G6082</f>
        <v/>
      </c>
    </row>
    <row r="6083" spans="1:2" x14ac:dyDescent="0.25">
      <c r="A6083" t="str">
        <f>IF(C6083&amp;G6083&amp;D6083&lt;&gt;'Funnel setup'!$K$3&amp;'Funnel setup'!$K$4&amp;'Funnel setup'!$K$6,".",IF(A6082=".",1,A6082+1))</f>
        <v>.</v>
      </c>
      <c r="B6083" s="244" t="str">
        <f t="shared" si="95"/>
        <v/>
      </c>
    </row>
    <row r="6084" spans="1:2" x14ac:dyDescent="0.25">
      <c r="A6084" t="str">
        <f>IF(C6084&amp;G6084&amp;D6084&lt;&gt;'Funnel setup'!$K$3&amp;'Funnel setup'!$K$4&amp;'Funnel setup'!$K$6,".",IF(A6083=".",1,A6083+1))</f>
        <v>.</v>
      </c>
      <c r="B6084" s="244" t="str">
        <f t="shared" si="95"/>
        <v/>
      </c>
    </row>
    <row r="6085" spans="1:2" x14ac:dyDescent="0.25">
      <c r="A6085" t="str">
        <f>IF(C6085&amp;G6085&amp;D6085&lt;&gt;'Funnel setup'!$K$3&amp;'Funnel setup'!$K$4&amp;'Funnel setup'!$K$6,".",IF(A6084=".",1,A6084+1))</f>
        <v>.</v>
      </c>
      <c r="B6085" s="244" t="str">
        <f t="shared" si="95"/>
        <v/>
      </c>
    </row>
    <row r="6086" spans="1:2" x14ac:dyDescent="0.25">
      <c r="A6086" t="str">
        <f>IF(C6086&amp;G6086&amp;D6086&lt;&gt;'Funnel setup'!$K$3&amp;'Funnel setup'!$K$4&amp;'Funnel setup'!$K$6,".",IF(A6085=".",1,A6085+1))</f>
        <v>.</v>
      </c>
      <c r="B6086" s="244" t="str">
        <f t="shared" si="95"/>
        <v/>
      </c>
    </row>
    <row r="6087" spans="1:2" x14ac:dyDescent="0.25">
      <c r="A6087" t="str">
        <f>IF(C6087&amp;G6087&amp;D6087&lt;&gt;'Funnel setup'!$K$3&amp;'Funnel setup'!$K$4&amp;'Funnel setup'!$K$6,".",IF(A6086=".",1,A6086+1))</f>
        <v>.</v>
      </c>
      <c r="B6087" s="244" t="str">
        <f t="shared" si="95"/>
        <v/>
      </c>
    </row>
    <row r="6088" spans="1:2" x14ac:dyDescent="0.25">
      <c r="A6088" t="str">
        <f>IF(C6088&amp;G6088&amp;D6088&lt;&gt;'Funnel setup'!$K$3&amp;'Funnel setup'!$K$4&amp;'Funnel setup'!$K$6,".",IF(A6087=".",1,A6087+1))</f>
        <v>.</v>
      </c>
      <c r="B6088" s="244" t="str">
        <f t="shared" si="95"/>
        <v/>
      </c>
    </row>
    <row r="6089" spans="1:2" x14ac:dyDescent="0.25">
      <c r="A6089" t="str">
        <f>IF(C6089&amp;G6089&amp;D6089&lt;&gt;'Funnel setup'!$K$3&amp;'Funnel setup'!$K$4&amp;'Funnel setup'!$K$6,".",IF(A6088=".",1,A6088+1))</f>
        <v>.</v>
      </c>
      <c r="B6089" s="244" t="str">
        <f t="shared" si="95"/>
        <v/>
      </c>
    </row>
    <row r="6090" spans="1:2" x14ac:dyDescent="0.25">
      <c r="A6090" t="str">
        <f>IF(C6090&amp;G6090&amp;D6090&lt;&gt;'Funnel setup'!$K$3&amp;'Funnel setup'!$K$4&amp;'Funnel setup'!$K$6,".",IF(A6089=".",1,A6089+1))</f>
        <v>.</v>
      </c>
      <c r="B6090" s="244" t="str">
        <f t="shared" si="95"/>
        <v/>
      </c>
    </row>
    <row r="6091" spans="1:2" x14ac:dyDescent="0.25">
      <c r="A6091" t="str">
        <f>IF(C6091&amp;G6091&amp;D6091&lt;&gt;'Funnel setup'!$K$3&amp;'Funnel setup'!$K$4&amp;'Funnel setup'!$K$6,".",IF(A6090=".",1,A6090+1))</f>
        <v>.</v>
      </c>
      <c r="B6091" s="244" t="str">
        <f t="shared" si="95"/>
        <v/>
      </c>
    </row>
    <row r="6092" spans="1:2" x14ac:dyDescent="0.25">
      <c r="A6092" t="str">
        <f>IF(C6092&amp;G6092&amp;D6092&lt;&gt;'Funnel setup'!$K$3&amp;'Funnel setup'!$K$4&amp;'Funnel setup'!$K$6,".",IF(A6091=".",1,A6091+1))</f>
        <v>.</v>
      </c>
      <c r="B6092" s="244" t="str">
        <f t="shared" si="95"/>
        <v/>
      </c>
    </row>
    <row r="6093" spans="1:2" x14ac:dyDescent="0.25">
      <c r="A6093" t="str">
        <f>IF(C6093&amp;G6093&amp;D6093&lt;&gt;'Funnel setup'!$K$3&amp;'Funnel setup'!$K$4&amp;'Funnel setup'!$K$6,".",IF(A6092=".",1,A6092+1))</f>
        <v>.</v>
      </c>
      <c r="B6093" s="244" t="str">
        <f t="shared" si="95"/>
        <v/>
      </c>
    </row>
    <row r="6094" spans="1:2" x14ac:dyDescent="0.25">
      <c r="A6094" t="str">
        <f>IF(C6094&amp;G6094&amp;D6094&lt;&gt;'Funnel setup'!$K$3&amp;'Funnel setup'!$K$4&amp;'Funnel setup'!$K$6,".",IF(A6093=".",1,A6093+1))</f>
        <v>.</v>
      </c>
      <c r="B6094" s="244" t="str">
        <f t="shared" si="95"/>
        <v/>
      </c>
    </row>
    <row r="6095" spans="1:2" x14ac:dyDescent="0.25">
      <c r="A6095" t="str">
        <f>IF(C6095&amp;G6095&amp;D6095&lt;&gt;'Funnel setup'!$K$3&amp;'Funnel setup'!$K$4&amp;'Funnel setup'!$K$6,".",IF(A6094=".",1,A6094+1))</f>
        <v>.</v>
      </c>
      <c r="B6095" s="244" t="str">
        <f t="shared" si="95"/>
        <v/>
      </c>
    </row>
    <row r="6096" spans="1:2" x14ac:dyDescent="0.25">
      <c r="A6096" t="str">
        <f>IF(C6096&amp;G6096&amp;D6096&lt;&gt;'Funnel setup'!$K$3&amp;'Funnel setup'!$K$4&amp;'Funnel setup'!$K$6,".",IF(A6095=".",1,A6095+1))</f>
        <v>.</v>
      </c>
      <c r="B6096" s="244" t="str">
        <f t="shared" si="95"/>
        <v/>
      </c>
    </row>
    <row r="6097" spans="1:2" x14ac:dyDescent="0.25">
      <c r="A6097" t="str">
        <f>IF(C6097&amp;G6097&amp;D6097&lt;&gt;'Funnel setup'!$K$3&amp;'Funnel setup'!$K$4&amp;'Funnel setup'!$K$6,".",IF(A6096=".",1,A6096+1))</f>
        <v>.</v>
      </c>
      <c r="B6097" s="244" t="str">
        <f t="shared" si="95"/>
        <v/>
      </c>
    </row>
    <row r="6098" spans="1:2" x14ac:dyDescent="0.25">
      <c r="A6098" t="str">
        <f>IF(C6098&amp;G6098&amp;D6098&lt;&gt;'Funnel setup'!$K$3&amp;'Funnel setup'!$K$4&amp;'Funnel setup'!$K$6,".",IF(A6097=".",1,A6097+1))</f>
        <v>.</v>
      </c>
      <c r="B6098" s="244" t="str">
        <f t="shared" si="95"/>
        <v/>
      </c>
    </row>
    <row r="6099" spans="1:2" x14ac:dyDescent="0.25">
      <c r="A6099" t="str">
        <f>IF(C6099&amp;G6099&amp;D6099&lt;&gt;'Funnel setup'!$K$3&amp;'Funnel setup'!$K$4&amp;'Funnel setup'!$K$6,".",IF(A6098=".",1,A6098+1))</f>
        <v>.</v>
      </c>
      <c r="B6099" s="244" t="str">
        <f t="shared" si="95"/>
        <v/>
      </c>
    </row>
    <row r="6100" spans="1:2" x14ac:dyDescent="0.25">
      <c r="A6100" t="str">
        <f>IF(C6100&amp;G6100&amp;D6100&lt;&gt;'Funnel setup'!$K$3&amp;'Funnel setup'!$K$4&amp;'Funnel setup'!$K$6,".",IF(A6099=".",1,A6099+1))</f>
        <v>.</v>
      </c>
      <c r="B6100" s="244" t="str">
        <f t="shared" si="95"/>
        <v/>
      </c>
    </row>
    <row r="6101" spans="1:2" x14ac:dyDescent="0.25">
      <c r="A6101" t="str">
        <f>IF(C6101&amp;G6101&amp;D6101&lt;&gt;'Funnel setup'!$K$3&amp;'Funnel setup'!$K$4&amp;'Funnel setup'!$K$6,".",IF(A6100=".",1,A6100+1))</f>
        <v>.</v>
      </c>
      <c r="B6101" s="244" t="str">
        <f t="shared" si="95"/>
        <v/>
      </c>
    </row>
    <row r="6102" spans="1:2" x14ac:dyDescent="0.25">
      <c r="A6102" t="str">
        <f>IF(C6102&amp;G6102&amp;D6102&lt;&gt;'Funnel setup'!$K$3&amp;'Funnel setup'!$K$4&amp;'Funnel setup'!$K$6,".",IF(A6101=".",1,A6101+1))</f>
        <v>.</v>
      </c>
      <c r="B6102" s="244" t="str">
        <f t="shared" si="95"/>
        <v/>
      </c>
    </row>
    <row r="6103" spans="1:2" x14ac:dyDescent="0.25">
      <c r="A6103" t="str">
        <f>IF(C6103&amp;G6103&amp;D6103&lt;&gt;'Funnel setup'!$K$3&amp;'Funnel setup'!$K$4&amp;'Funnel setup'!$K$6,".",IF(A6102=".",1,A6102+1))</f>
        <v>.</v>
      </c>
      <c r="B6103" s="244" t="str">
        <f t="shared" si="95"/>
        <v/>
      </c>
    </row>
    <row r="6104" spans="1:2" x14ac:dyDescent="0.25">
      <c r="A6104" t="str">
        <f>IF(C6104&amp;G6104&amp;D6104&lt;&gt;'Funnel setup'!$K$3&amp;'Funnel setup'!$K$4&amp;'Funnel setup'!$K$6,".",IF(A6103=".",1,A6103+1))</f>
        <v>.</v>
      </c>
      <c r="B6104" s="244" t="str">
        <f t="shared" si="95"/>
        <v/>
      </c>
    </row>
    <row r="6105" spans="1:2" x14ac:dyDescent="0.25">
      <c r="A6105" t="str">
        <f>IF(C6105&amp;G6105&amp;D6105&lt;&gt;'Funnel setup'!$K$3&amp;'Funnel setup'!$K$4&amp;'Funnel setup'!$K$6,".",IF(A6104=".",1,A6104+1))</f>
        <v>.</v>
      </c>
      <c r="B6105" s="244" t="str">
        <f t="shared" si="95"/>
        <v/>
      </c>
    </row>
    <row r="6106" spans="1:2" x14ac:dyDescent="0.25">
      <c r="A6106" t="str">
        <f>IF(C6106&amp;G6106&amp;D6106&lt;&gt;'Funnel setup'!$K$3&amp;'Funnel setup'!$K$4&amp;'Funnel setup'!$K$6,".",IF(A6105=".",1,A6105+1))</f>
        <v>.</v>
      </c>
      <c r="B6106" s="244" t="str">
        <f t="shared" si="95"/>
        <v/>
      </c>
    </row>
    <row r="6107" spans="1:2" x14ac:dyDescent="0.25">
      <c r="A6107" t="str">
        <f>IF(C6107&amp;G6107&amp;D6107&lt;&gt;'Funnel setup'!$K$3&amp;'Funnel setup'!$K$4&amp;'Funnel setup'!$K$6,".",IF(A6106=".",1,A6106+1))</f>
        <v>.</v>
      </c>
      <c r="B6107" s="244" t="str">
        <f t="shared" si="95"/>
        <v/>
      </c>
    </row>
    <row r="6108" spans="1:2" x14ac:dyDescent="0.25">
      <c r="A6108" t="str">
        <f>IF(C6108&amp;G6108&amp;D6108&lt;&gt;'Funnel setup'!$K$3&amp;'Funnel setup'!$K$4&amp;'Funnel setup'!$K$6,".",IF(A6107=".",1,A6107+1))</f>
        <v>.</v>
      </c>
      <c r="B6108" s="244" t="str">
        <f t="shared" si="95"/>
        <v/>
      </c>
    </row>
    <row r="6109" spans="1:2" x14ac:dyDescent="0.25">
      <c r="A6109" t="str">
        <f>IF(C6109&amp;G6109&amp;D6109&lt;&gt;'Funnel setup'!$K$3&amp;'Funnel setup'!$K$4&amp;'Funnel setup'!$K$6,".",IF(A6108=".",1,A6108+1))</f>
        <v>.</v>
      </c>
      <c r="B6109" s="244" t="str">
        <f t="shared" si="95"/>
        <v/>
      </c>
    </row>
    <row r="6110" spans="1:2" x14ac:dyDescent="0.25">
      <c r="A6110" t="str">
        <f>IF(C6110&amp;G6110&amp;D6110&lt;&gt;'Funnel setup'!$K$3&amp;'Funnel setup'!$K$4&amp;'Funnel setup'!$K$6,".",IF(A6109=".",1,A6109+1))</f>
        <v>.</v>
      </c>
      <c r="B6110" s="244" t="str">
        <f t="shared" si="95"/>
        <v/>
      </c>
    </row>
    <row r="6111" spans="1:2" x14ac:dyDescent="0.25">
      <c r="A6111" t="str">
        <f>IF(C6111&amp;G6111&amp;D6111&lt;&gt;'Funnel setup'!$K$3&amp;'Funnel setup'!$K$4&amp;'Funnel setup'!$K$6,".",IF(A6110=".",1,A6110+1))</f>
        <v>.</v>
      </c>
      <c r="B6111" s="244" t="str">
        <f t="shared" si="95"/>
        <v/>
      </c>
    </row>
    <row r="6112" spans="1:2" x14ac:dyDescent="0.25">
      <c r="A6112" t="str">
        <f>IF(C6112&amp;G6112&amp;D6112&lt;&gt;'Funnel setup'!$K$3&amp;'Funnel setup'!$K$4&amp;'Funnel setup'!$K$6,".",IF(A6111=".",1,A6111+1))</f>
        <v>.</v>
      </c>
      <c r="B6112" s="244" t="str">
        <f t="shared" si="95"/>
        <v/>
      </c>
    </row>
    <row r="6113" spans="1:2" x14ac:dyDescent="0.25">
      <c r="A6113" t="str">
        <f>IF(C6113&amp;G6113&amp;D6113&lt;&gt;'Funnel setup'!$K$3&amp;'Funnel setup'!$K$4&amp;'Funnel setup'!$K$6,".",IF(A6112=".",1,A6112+1))</f>
        <v>.</v>
      </c>
      <c r="B6113" s="244" t="str">
        <f t="shared" si="95"/>
        <v/>
      </c>
    </row>
    <row r="6114" spans="1:2" x14ac:dyDescent="0.25">
      <c r="A6114" t="str">
        <f>IF(C6114&amp;G6114&amp;D6114&lt;&gt;'Funnel setup'!$K$3&amp;'Funnel setup'!$K$4&amp;'Funnel setup'!$K$6,".",IF(A6113=".",1,A6113+1))</f>
        <v>.</v>
      </c>
      <c r="B6114" s="244" t="str">
        <f t="shared" si="95"/>
        <v/>
      </c>
    </row>
    <row r="6115" spans="1:2" x14ac:dyDescent="0.25">
      <c r="A6115" t="str">
        <f>IF(C6115&amp;G6115&amp;D6115&lt;&gt;'Funnel setup'!$K$3&amp;'Funnel setup'!$K$4&amp;'Funnel setup'!$K$6,".",IF(A6114=".",1,A6114+1))</f>
        <v>.</v>
      </c>
      <c r="B6115" s="244" t="str">
        <f t="shared" si="95"/>
        <v/>
      </c>
    </row>
    <row r="6116" spans="1:2" x14ac:dyDescent="0.25">
      <c r="A6116" t="str">
        <f>IF(C6116&amp;G6116&amp;D6116&lt;&gt;'Funnel setup'!$K$3&amp;'Funnel setup'!$K$4&amp;'Funnel setup'!$K$6,".",IF(A6115=".",1,A6115+1))</f>
        <v>.</v>
      </c>
      <c r="B6116" s="244" t="str">
        <f t="shared" si="95"/>
        <v/>
      </c>
    </row>
    <row r="6117" spans="1:2" x14ac:dyDescent="0.25">
      <c r="A6117" t="str">
        <f>IF(C6117&amp;G6117&amp;D6117&lt;&gt;'Funnel setup'!$K$3&amp;'Funnel setup'!$K$4&amp;'Funnel setup'!$K$6,".",IF(A6116=".",1,A6116+1))</f>
        <v>.</v>
      </c>
      <c r="B6117" s="244" t="str">
        <f t="shared" si="95"/>
        <v/>
      </c>
    </row>
    <row r="6118" spans="1:2" x14ac:dyDescent="0.25">
      <c r="A6118" t="str">
        <f>IF(C6118&amp;G6118&amp;D6118&lt;&gt;'Funnel setup'!$K$3&amp;'Funnel setup'!$K$4&amp;'Funnel setup'!$K$6,".",IF(A6117=".",1,A6117+1))</f>
        <v>.</v>
      </c>
      <c r="B6118" s="244" t="str">
        <f t="shared" si="95"/>
        <v/>
      </c>
    </row>
    <row r="6119" spans="1:2" x14ac:dyDescent="0.25">
      <c r="A6119" t="str">
        <f>IF(C6119&amp;G6119&amp;D6119&lt;&gt;'Funnel setup'!$K$3&amp;'Funnel setup'!$K$4&amp;'Funnel setup'!$K$6,".",IF(A6118=".",1,A6118+1))</f>
        <v>.</v>
      </c>
      <c r="B6119" s="244" t="str">
        <f t="shared" si="95"/>
        <v/>
      </c>
    </row>
    <row r="6120" spans="1:2" x14ac:dyDescent="0.25">
      <c r="A6120" t="str">
        <f>IF(C6120&amp;G6120&amp;D6120&lt;&gt;'Funnel setup'!$K$3&amp;'Funnel setup'!$K$4&amp;'Funnel setup'!$K$6,".",IF(A6119=".",1,A6119+1))</f>
        <v>.</v>
      </c>
      <c r="B6120" s="244" t="str">
        <f t="shared" si="95"/>
        <v/>
      </c>
    </row>
    <row r="6121" spans="1:2" x14ac:dyDescent="0.25">
      <c r="A6121" t="str">
        <f>IF(C6121&amp;G6121&amp;D6121&lt;&gt;'Funnel setup'!$K$3&amp;'Funnel setup'!$K$4&amp;'Funnel setup'!$K$6,".",IF(A6120=".",1,A6120+1))</f>
        <v>.</v>
      </c>
      <c r="B6121" s="244" t="str">
        <f t="shared" si="95"/>
        <v/>
      </c>
    </row>
    <row r="6122" spans="1:2" x14ac:dyDescent="0.25">
      <c r="A6122" t="str">
        <f>IF(C6122&amp;G6122&amp;D6122&lt;&gt;'Funnel setup'!$K$3&amp;'Funnel setup'!$K$4&amp;'Funnel setup'!$K$6,".",IF(A6121=".",1,A6121+1))</f>
        <v>.</v>
      </c>
      <c r="B6122" s="244" t="str">
        <f t="shared" si="95"/>
        <v/>
      </c>
    </row>
    <row r="6123" spans="1:2" x14ac:dyDescent="0.25">
      <c r="A6123" t="str">
        <f>IF(C6123&amp;G6123&amp;D6123&lt;&gt;'Funnel setup'!$K$3&amp;'Funnel setup'!$K$4&amp;'Funnel setup'!$K$6,".",IF(A6122=".",1,A6122+1))</f>
        <v>.</v>
      </c>
      <c r="B6123" s="244" t="str">
        <f t="shared" si="95"/>
        <v/>
      </c>
    </row>
    <row r="6124" spans="1:2" x14ac:dyDescent="0.25">
      <c r="A6124" t="str">
        <f>IF(C6124&amp;G6124&amp;D6124&lt;&gt;'Funnel setup'!$K$3&amp;'Funnel setup'!$K$4&amp;'Funnel setup'!$K$6,".",IF(A6123=".",1,A6123+1))</f>
        <v>.</v>
      </c>
      <c r="B6124" s="244" t="str">
        <f t="shared" si="95"/>
        <v/>
      </c>
    </row>
    <row r="6125" spans="1:2" x14ac:dyDescent="0.25">
      <c r="A6125" t="str">
        <f>IF(C6125&amp;G6125&amp;D6125&lt;&gt;'Funnel setup'!$K$3&amp;'Funnel setup'!$K$4&amp;'Funnel setup'!$K$6,".",IF(A6124=".",1,A6124+1))</f>
        <v>.</v>
      </c>
      <c r="B6125" s="244" t="str">
        <f t="shared" si="95"/>
        <v/>
      </c>
    </row>
    <row r="6126" spans="1:2" x14ac:dyDescent="0.25">
      <c r="A6126" t="str">
        <f>IF(C6126&amp;G6126&amp;D6126&lt;&gt;'Funnel setup'!$K$3&amp;'Funnel setup'!$K$4&amp;'Funnel setup'!$K$6,".",IF(A6125=".",1,A6125+1))</f>
        <v>.</v>
      </c>
      <c r="B6126" s="244" t="str">
        <f t="shared" si="95"/>
        <v/>
      </c>
    </row>
    <row r="6127" spans="1:2" x14ac:dyDescent="0.25">
      <c r="A6127" t="str">
        <f>IF(C6127&amp;G6127&amp;D6127&lt;&gt;'Funnel setup'!$K$3&amp;'Funnel setup'!$K$4&amp;'Funnel setup'!$K$6,".",IF(A6126=".",1,A6126+1))</f>
        <v>.</v>
      </c>
      <c r="B6127" s="244" t="str">
        <f t="shared" si="95"/>
        <v/>
      </c>
    </row>
    <row r="6128" spans="1:2" x14ac:dyDescent="0.25">
      <c r="A6128" t="str">
        <f>IF(C6128&amp;G6128&amp;D6128&lt;&gt;'Funnel setup'!$K$3&amp;'Funnel setup'!$K$4&amp;'Funnel setup'!$K$6,".",IF(A6127=".",1,A6127+1))</f>
        <v>.</v>
      </c>
      <c r="B6128" s="244" t="str">
        <f t="shared" si="95"/>
        <v/>
      </c>
    </row>
    <row r="6129" spans="1:2" x14ac:dyDescent="0.25">
      <c r="A6129" t="str">
        <f>IF(C6129&amp;G6129&amp;D6129&lt;&gt;'Funnel setup'!$K$3&amp;'Funnel setup'!$K$4&amp;'Funnel setup'!$K$6,".",IF(A6128=".",1,A6128+1))</f>
        <v>.</v>
      </c>
      <c r="B6129" s="244" t="str">
        <f t="shared" si="95"/>
        <v/>
      </c>
    </row>
    <row r="6130" spans="1:2" x14ac:dyDescent="0.25">
      <c r="A6130" t="str">
        <f>IF(C6130&amp;G6130&amp;D6130&lt;&gt;'Funnel setup'!$K$3&amp;'Funnel setup'!$K$4&amp;'Funnel setup'!$K$6,".",IF(A6129=".",1,A6129+1))</f>
        <v>.</v>
      </c>
      <c r="B6130" s="244" t="str">
        <f t="shared" si="95"/>
        <v/>
      </c>
    </row>
    <row r="6131" spans="1:2" x14ac:dyDescent="0.25">
      <c r="A6131" t="str">
        <f>IF(C6131&amp;G6131&amp;D6131&lt;&gt;'Funnel setup'!$K$3&amp;'Funnel setup'!$K$4&amp;'Funnel setup'!$K$6,".",IF(A6130=".",1,A6130+1))</f>
        <v>.</v>
      </c>
      <c r="B6131" s="244" t="str">
        <f t="shared" si="95"/>
        <v/>
      </c>
    </row>
    <row r="6132" spans="1:2" x14ac:dyDescent="0.25">
      <c r="A6132" t="str">
        <f>IF(C6132&amp;G6132&amp;D6132&lt;&gt;'Funnel setup'!$K$3&amp;'Funnel setup'!$K$4&amp;'Funnel setup'!$K$6,".",IF(A6131=".",1,A6131+1))</f>
        <v>.</v>
      </c>
      <c r="B6132" s="244" t="str">
        <f t="shared" si="95"/>
        <v/>
      </c>
    </row>
    <row r="6133" spans="1:2" x14ac:dyDescent="0.25">
      <c r="A6133" t="str">
        <f>IF(C6133&amp;G6133&amp;D6133&lt;&gt;'Funnel setup'!$K$3&amp;'Funnel setup'!$K$4&amp;'Funnel setup'!$K$6,".",IF(A6132=".",1,A6132+1))</f>
        <v>.</v>
      </c>
      <c r="B6133" s="244" t="str">
        <f t="shared" si="95"/>
        <v/>
      </c>
    </row>
    <row r="6134" spans="1:2" x14ac:dyDescent="0.25">
      <c r="A6134" t="str">
        <f>IF(C6134&amp;G6134&amp;D6134&lt;&gt;'Funnel setup'!$K$3&amp;'Funnel setup'!$K$4&amp;'Funnel setup'!$K$6,".",IF(A6133=".",1,A6133+1))</f>
        <v>.</v>
      </c>
      <c r="B6134" s="244" t="str">
        <f t="shared" si="95"/>
        <v/>
      </c>
    </row>
    <row r="6135" spans="1:2" x14ac:dyDescent="0.25">
      <c r="A6135" t="str">
        <f>IF(C6135&amp;G6135&amp;D6135&lt;&gt;'Funnel setup'!$K$3&amp;'Funnel setup'!$K$4&amp;'Funnel setup'!$K$6,".",IF(A6134=".",1,A6134+1))</f>
        <v>.</v>
      </c>
      <c r="B6135" s="244" t="str">
        <f t="shared" si="95"/>
        <v/>
      </c>
    </row>
    <row r="6136" spans="1:2" x14ac:dyDescent="0.25">
      <c r="A6136" t="str">
        <f>IF(C6136&amp;G6136&amp;D6136&lt;&gt;'Funnel setup'!$K$3&amp;'Funnel setup'!$K$4&amp;'Funnel setup'!$K$6,".",IF(A6135=".",1,A6135+1))</f>
        <v>.</v>
      </c>
      <c r="B6136" s="244" t="str">
        <f t="shared" si="95"/>
        <v/>
      </c>
    </row>
    <row r="6137" spans="1:2" x14ac:dyDescent="0.25">
      <c r="A6137" t="str">
        <f>IF(C6137&amp;G6137&amp;D6137&lt;&gt;'Funnel setup'!$K$3&amp;'Funnel setup'!$K$4&amp;'Funnel setup'!$K$6,".",IF(A6136=".",1,A6136+1))</f>
        <v>.</v>
      </c>
      <c r="B6137" s="244" t="str">
        <f t="shared" si="95"/>
        <v/>
      </c>
    </row>
    <row r="6138" spans="1:2" x14ac:dyDescent="0.25">
      <c r="A6138" t="str">
        <f>IF(C6138&amp;G6138&amp;D6138&lt;&gt;'Funnel setup'!$K$3&amp;'Funnel setup'!$K$4&amp;'Funnel setup'!$K$6,".",IF(A6137=".",1,A6137+1))</f>
        <v>.</v>
      </c>
      <c r="B6138" s="244" t="str">
        <f t="shared" si="95"/>
        <v/>
      </c>
    </row>
    <row r="6139" spans="1:2" x14ac:dyDescent="0.25">
      <c r="A6139" t="str">
        <f>IF(C6139&amp;G6139&amp;D6139&lt;&gt;'Funnel setup'!$K$3&amp;'Funnel setup'!$K$4&amp;'Funnel setup'!$K$6,".",IF(A6138=".",1,A6138+1))</f>
        <v>.</v>
      </c>
      <c r="B6139" s="244" t="str">
        <f t="shared" si="95"/>
        <v/>
      </c>
    </row>
    <row r="6140" spans="1:2" x14ac:dyDescent="0.25">
      <c r="A6140" t="str">
        <f>IF(C6140&amp;G6140&amp;D6140&lt;&gt;'Funnel setup'!$K$3&amp;'Funnel setup'!$K$4&amp;'Funnel setup'!$K$6,".",IF(A6139=".",1,A6139+1))</f>
        <v>.</v>
      </c>
      <c r="B6140" s="244" t="str">
        <f t="shared" si="95"/>
        <v/>
      </c>
    </row>
    <row r="6141" spans="1:2" x14ac:dyDescent="0.25">
      <c r="A6141" t="str">
        <f>IF(C6141&amp;G6141&amp;D6141&lt;&gt;'Funnel setup'!$K$3&amp;'Funnel setup'!$K$4&amp;'Funnel setup'!$K$6,".",IF(A6140=".",1,A6140+1))</f>
        <v>.</v>
      </c>
      <c r="B6141" s="244" t="str">
        <f t="shared" si="95"/>
        <v/>
      </c>
    </row>
    <row r="6142" spans="1:2" x14ac:dyDescent="0.25">
      <c r="A6142" t="str">
        <f>IF(C6142&amp;G6142&amp;D6142&lt;&gt;'Funnel setup'!$K$3&amp;'Funnel setup'!$K$4&amp;'Funnel setup'!$K$6,".",IF(A6141=".",1,A6141+1))</f>
        <v>.</v>
      </c>
      <c r="B6142" s="244" t="str">
        <f t="shared" si="95"/>
        <v/>
      </c>
    </row>
    <row r="6143" spans="1:2" x14ac:dyDescent="0.25">
      <c r="A6143" t="str">
        <f>IF(C6143&amp;G6143&amp;D6143&lt;&gt;'Funnel setup'!$K$3&amp;'Funnel setup'!$K$4&amp;'Funnel setup'!$K$6,".",IF(A6142=".",1,A6142+1))</f>
        <v>.</v>
      </c>
      <c r="B6143" s="244" t="str">
        <f t="shared" si="95"/>
        <v/>
      </c>
    </row>
    <row r="6144" spans="1:2" x14ac:dyDescent="0.25">
      <c r="A6144" t="str">
        <f>IF(C6144&amp;G6144&amp;D6144&lt;&gt;'Funnel setup'!$K$3&amp;'Funnel setup'!$K$4&amp;'Funnel setup'!$K$6,".",IF(A6143=".",1,A6143+1))</f>
        <v>.</v>
      </c>
      <c r="B6144" s="244" t="str">
        <f t="shared" si="95"/>
        <v/>
      </c>
    </row>
    <row r="6145" spans="1:2" x14ac:dyDescent="0.25">
      <c r="A6145" t="str">
        <f>IF(C6145&amp;G6145&amp;D6145&lt;&gt;'Funnel setup'!$K$3&amp;'Funnel setup'!$K$4&amp;'Funnel setup'!$K$6,".",IF(A6144=".",1,A6144+1))</f>
        <v>.</v>
      </c>
      <c r="B6145" s="244" t="str">
        <f t="shared" si="95"/>
        <v/>
      </c>
    </row>
    <row r="6146" spans="1:2" x14ac:dyDescent="0.25">
      <c r="A6146" t="str">
        <f>IF(C6146&amp;G6146&amp;D6146&lt;&gt;'Funnel setup'!$K$3&amp;'Funnel setup'!$K$4&amp;'Funnel setup'!$K$6,".",IF(A6145=".",1,A6145+1))</f>
        <v>.</v>
      </c>
      <c r="B6146" s="244" t="str">
        <f t="shared" ref="B6146:B6209" si="96">C6146&amp;D6146&amp;F6146&amp;G6146</f>
        <v/>
      </c>
    </row>
    <row r="6147" spans="1:2" x14ac:dyDescent="0.25">
      <c r="A6147" t="str">
        <f>IF(C6147&amp;G6147&amp;D6147&lt;&gt;'Funnel setup'!$K$3&amp;'Funnel setup'!$K$4&amp;'Funnel setup'!$K$6,".",IF(A6146=".",1,A6146+1))</f>
        <v>.</v>
      </c>
      <c r="B6147" s="244" t="str">
        <f t="shared" si="96"/>
        <v/>
      </c>
    </row>
    <row r="6148" spans="1:2" x14ac:dyDescent="0.25">
      <c r="A6148" t="str">
        <f>IF(C6148&amp;G6148&amp;D6148&lt;&gt;'Funnel setup'!$K$3&amp;'Funnel setup'!$K$4&amp;'Funnel setup'!$K$6,".",IF(A6147=".",1,A6147+1))</f>
        <v>.</v>
      </c>
      <c r="B6148" s="244" t="str">
        <f t="shared" si="96"/>
        <v/>
      </c>
    </row>
    <row r="6149" spans="1:2" x14ac:dyDescent="0.25">
      <c r="A6149" t="str">
        <f>IF(C6149&amp;G6149&amp;D6149&lt;&gt;'Funnel setup'!$K$3&amp;'Funnel setup'!$K$4&amp;'Funnel setup'!$K$6,".",IF(A6148=".",1,A6148+1))</f>
        <v>.</v>
      </c>
      <c r="B6149" s="244" t="str">
        <f t="shared" si="96"/>
        <v/>
      </c>
    </row>
    <row r="6150" spans="1:2" x14ac:dyDescent="0.25">
      <c r="A6150" t="str">
        <f>IF(C6150&amp;G6150&amp;D6150&lt;&gt;'Funnel setup'!$K$3&amp;'Funnel setup'!$K$4&amp;'Funnel setup'!$K$6,".",IF(A6149=".",1,A6149+1))</f>
        <v>.</v>
      </c>
      <c r="B6150" s="244" t="str">
        <f t="shared" si="96"/>
        <v/>
      </c>
    </row>
    <row r="6151" spans="1:2" x14ac:dyDescent="0.25">
      <c r="A6151" t="str">
        <f>IF(C6151&amp;G6151&amp;D6151&lt;&gt;'Funnel setup'!$K$3&amp;'Funnel setup'!$K$4&amp;'Funnel setup'!$K$6,".",IF(A6150=".",1,A6150+1))</f>
        <v>.</v>
      </c>
      <c r="B6151" s="244" t="str">
        <f t="shared" si="96"/>
        <v/>
      </c>
    </row>
    <row r="6152" spans="1:2" x14ac:dyDescent="0.25">
      <c r="A6152" t="str">
        <f>IF(C6152&amp;G6152&amp;D6152&lt;&gt;'Funnel setup'!$K$3&amp;'Funnel setup'!$K$4&amp;'Funnel setup'!$K$6,".",IF(A6151=".",1,A6151+1))</f>
        <v>.</v>
      </c>
      <c r="B6152" s="244" t="str">
        <f t="shared" si="96"/>
        <v/>
      </c>
    </row>
    <row r="6153" spans="1:2" x14ac:dyDescent="0.25">
      <c r="A6153" t="str">
        <f>IF(C6153&amp;G6153&amp;D6153&lt;&gt;'Funnel setup'!$K$3&amp;'Funnel setup'!$K$4&amp;'Funnel setup'!$K$6,".",IF(A6152=".",1,A6152+1))</f>
        <v>.</v>
      </c>
      <c r="B6153" s="244" t="str">
        <f t="shared" si="96"/>
        <v/>
      </c>
    </row>
    <row r="6154" spans="1:2" x14ac:dyDescent="0.25">
      <c r="A6154" t="str">
        <f>IF(C6154&amp;G6154&amp;D6154&lt;&gt;'Funnel setup'!$K$3&amp;'Funnel setup'!$K$4&amp;'Funnel setup'!$K$6,".",IF(A6153=".",1,A6153+1))</f>
        <v>.</v>
      </c>
      <c r="B6154" s="244" t="str">
        <f t="shared" si="96"/>
        <v/>
      </c>
    </row>
    <row r="6155" spans="1:2" x14ac:dyDescent="0.25">
      <c r="A6155" t="str">
        <f>IF(C6155&amp;G6155&amp;D6155&lt;&gt;'Funnel setup'!$K$3&amp;'Funnel setup'!$K$4&amp;'Funnel setup'!$K$6,".",IF(A6154=".",1,A6154+1))</f>
        <v>.</v>
      </c>
      <c r="B6155" s="244" t="str">
        <f t="shared" si="96"/>
        <v/>
      </c>
    </row>
    <row r="6156" spans="1:2" x14ac:dyDescent="0.25">
      <c r="A6156" t="str">
        <f>IF(C6156&amp;G6156&amp;D6156&lt;&gt;'Funnel setup'!$K$3&amp;'Funnel setup'!$K$4&amp;'Funnel setup'!$K$6,".",IF(A6155=".",1,A6155+1))</f>
        <v>.</v>
      </c>
      <c r="B6156" s="244" t="str">
        <f t="shared" si="96"/>
        <v/>
      </c>
    </row>
    <row r="6157" spans="1:2" x14ac:dyDescent="0.25">
      <c r="A6157" t="str">
        <f>IF(C6157&amp;G6157&amp;D6157&lt;&gt;'Funnel setup'!$K$3&amp;'Funnel setup'!$K$4&amp;'Funnel setup'!$K$6,".",IF(A6156=".",1,A6156+1))</f>
        <v>.</v>
      </c>
      <c r="B6157" s="244" t="str">
        <f t="shared" si="96"/>
        <v/>
      </c>
    </row>
    <row r="6158" spans="1:2" x14ac:dyDescent="0.25">
      <c r="A6158" t="str">
        <f>IF(C6158&amp;G6158&amp;D6158&lt;&gt;'Funnel setup'!$K$3&amp;'Funnel setup'!$K$4&amp;'Funnel setup'!$K$6,".",IF(A6157=".",1,A6157+1))</f>
        <v>.</v>
      </c>
      <c r="B6158" s="244" t="str">
        <f t="shared" si="96"/>
        <v/>
      </c>
    </row>
    <row r="6159" spans="1:2" x14ac:dyDescent="0.25">
      <c r="A6159" t="str">
        <f>IF(C6159&amp;G6159&amp;D6159&lt;&gt;'Funnel setup'!$K$3&amp;'Funnel setup'!$K$4&amp;'Funnel setup'!$K$6,".",IF(A6158=".",1,A6158+1))</f>
        <v>.</v>
      </c>
      <c r="B6159" s="244" t="str">
        <f t="shared" si="96"/>
        <v/>
      </c>
    </row>
    <row r="6160" spans="1:2" x14ac:dyDescent="0.25">
      <c r="A6160" t="str">
        <f>IF(C6160&amp;G6160&amp;D6160&lt;&gt;'Funnel setup'!$K$3&amp;'Funnel setup'!$K$4&amp;'Funnel setup'!$K$6,".",IF(A6159=".",1,A6159+1))</f>
        <v>.</v>
      </c>
      <c r="B6160" s="244" t="str">
        <f t="shared" si="96"/>
        <v/>
      </c>
    </row>
    <row r="6161" spans="1:2" x14ac:dyDescent="0.25">
      <c r="A6161" t="str">
        <f>IF(C6161&amp;G6161&amp;D6161&lt;&gt;'Funnel setup'!$K$3&amp;'Funnel setup'!$K$4&amp;'Funnel setup'!$K$6,".",IF(A6160=".",1,A6160+1))</f>
        <v>.</v>
      </c>
      <c r="B6161" s="244" t="str">
        <f t="shared" si="96"/>
        <v/>
      </c>
    </row>
    <row r="6162" spans="1:2" x14ac:dyDescent="0.25">
      <c r="A6162" t="str">
        <f>IF(C6162&amp;G6162&amp;D6162&lt;&gt;'Funnel setup'!$K$3&amp;'Funnel setup'!$K$4&amp;'Funnel setup'!$K$6,".",IF(A6161=".",1,A6161+1))</f>
        <v>.</v>
      </c>
      <c r="B6162" s="244" t="str">
        <f t="shared" si="96"/>
        <v/>
      </c>
    </row>
    <row r="6163" spans="1:2" x14ac:dyDescent="0.25">
      <c r="A6163" t="str">
        <f>IF(C6163&amp;G6163&amp;D6163&lt;&gt;'Funnel setup'!$K$3&amp;'Funnel setup'!$K$4&amp;'Funnel setup'!$K$6,".",IF(A6162=".",1,A6162+1))</f>
        <v>.</v>
      </c>
      <c r="B6163" s="244" t="str">
        <f t="shared" si="96"/>
        <v/>
      </c>
    </row>
    <row r="6164" spans="1:2" x14ac:dyDescent="0.25">
      <c r="A6164" t="str">
        <f>IF(C6164&amp;G6164&amp;D6164&lt;&gt;'Funnel setup'!$K$3&amp;'Funnel setup'!$K$4&amp;'Funnel setup'!$K$6,".",IF(A6163=".",1,A6163+1))</f>
        <v>.</v>
      </c>
      <c r="B6164" s="244" t="str">
        <f t="shared" si="96"/>
        <v/>
      </c>
    </row>
    <row r="6165" spans="1:2" x14ac:dyDescent="0.25">
      <c r="A6165" t="str">
        <f>IF(C6165&amp;G6165&amp;D6165&lt;&gt;'Funnel setup'!$K$3&amp;'Funnel setup'!$K$4&amp;'Funnel setup'!$K$6,".",IF(A6164=".",1,A6164+1))</f>
        <v>.</v>
      </c>
      <c r="B6165" s="244" t="str">
        <f t="shared" si="96"/>
        <v/>
      </c>
    </row>
    <row r="6166" spans="1:2" x14ac:dyDescent="0.25">
      <c r="A6166" t="str">
        <f>IF(C6166&amp;G6166&amp;D6166&lt;&gt;'Funnel setup'!$K$3&amp;'Funnel setup'!$K$4&amp;'Funnel setup'!$K$6,".",IF(A6165=".",1,A6165+1))</f>
        <v>.</v>
      </c>
      <c r="B6166" s="244" t="str">
        <f t="shared" si="96"/>
        <v/>
      </c>
    </row>
    <row r="6167" spans="1:2" x14ac:dyDescent="0.25">
      <c r="A6167" t="str">
        <f>IF(C6167&amp;G6167&amp;D6167&lt;&gt;'Funnel setup'!$K$3&amp;'Funnel setup'!$K$4&amp;'Funnel setup'!$K$6,".",IF(A6166=".",1,A6166+1))</f>
        <v>.</v>
      </c>
      <c r="B6167" s="244" t="str">
        <f t="shared" si="96"/>
        <v/>
      </c>
    </row>
    <row r="6168" spans="1:2" x14ac:dyDescent="0.25">
      <c r="A6168" t="str">
        <f>IF(C6168&amp;G6168&amp;D6168&lt;&gt;'Funnel setup'!$K$3&amp;'Funnel setup'!$K$4&amp;'Funnel setup'!$K$6,".",IF(A6167=".",1,A6167+1))</f>
        <v>.</v>
      </c>
      <c r="B6168" s="244" t="str">
        <f t="shared" si="96"/>
        <v/>
      </c>
    </row>
    <row r="6169" spans="1:2" x14ac:dyDescent="0.25">
      <c r="A6169" t="str">
        <f>IF(C6169&amp;G6169&amp;D6169&lt;&gt;'Funnel setup'!$K$3&amp;'Funnel setup'!$K$4&amp;'Funnel setup'!$K$6,".",IF(A6168=".",1,A6168+1))</f>
        <v>.</v>
      </c>
      <c r="B6169" s="244" t="str">
        <f t="shared" si="96"/>
        <v/>
      </c>
    </row>
    <row r="6170" spans="1:2" x14ac:dyDescent="0.25">
      <c r="A6170" t="str">
        <f>IF(C6170&amp;G6170&amp;D6170&lt;&gt;'Funnel setup'!$K$3&amp;'Funnel setup'!$K$4&amp;'Funnel setup'!$K$6,".",IF(A6169=".",1,A6169+1))</f>
        <v>.</v>
      </c>
      <c r="B6170" s="244" t="str">
        <f t="shared" si="96"/>
        <v/>
      </c>
    </row>
    <row r="6171" spans="1:2" x14ac:dyDescent="0.25">
      <c r="A6171" t="str">
        <f>IF(C6171&amp;G6171&amp;D6171&lt;&gt;'Funnel setup'!$K$3&amp;'Funnel setup'!$K$4&amp;'Funnel setup'!$K$6,".",IF(A6170=".",1,A6170+1))</f>
        <v>.</v>
      </c>
      <c r="B6171" s="244" t="str">
        <f t="shared" si="96"/>
        <v/>
      </c>
    </row>
    <row r="6172" spans="1:2" x14ac:dyDescent="0.25">
      <c r="A6172" t="str">
        <f>IF(C6172&amp;G6172&amp;D6172&lt;&gt;'Funnel setup'!$K$3&amp;'Funnel setup'!$K$4&amp;'Funnel setup'!$K$6,".",IF(A6171=".",1,A6171+1))</f>
        <v>.</v>
      </c>
      <c r="B6172" s="244" t="str">
        <f t="shared" si="96"/>
        <v/>
      </c>
    </row>
    <row r="6173" spans="1:2" x14ac:dyDescent="0.25">
      <c r="A6173" t="str">
        <f>IF(C6173&amp;G6173&amp;D6173&lt;&gt;'Funnel setup'!$K$3&amp;'Funnel setup'!$K$4&amp;'Funnel setup'!$K$6,".",IF(A6172=".",1,A6172+1))</f>
        <v>.</v>
      </c>
      <c r="B6173" s="244" t="str">
        <f t="shared" si="96"/>
        <v/>
      </c>
    </row>
    <row r="6174" spans="1:2" x14ac:dyDescent="0.25">
      <c r="A6174" t="str">
        <f>IF(C6174&amp;G6174&amp;D6174&lt;&gt;'Funnel setup'!$K$3&amp;'Funnel setup'!$K$4&amp;'Funnel setup'!$K$6,".",IF(A6173=".",1,A6173+1))</f>
        <v>.</v>
      </c>
      <c r="B6174" s="244" t="str">
        <f t="shared" si="96"/>
        <v/>
      </c>
    </row>
    <row r="6175" spans="1:2" x14ac:dyDescent="0.25">
      <c r="A6175" t="str">
        <f>IF(C6175&amp;G6175&amp;D6175&lt;&gt;'Funnel setup'!$K$3&amp;'Funnel setup'!$K$4&amp;'Funnel setup'!$K$6,".",IF(A6174=".",1,A6174+1))</f>
        <v>.</v>
      </c>
      <c r="B6175" s="244" t="str">
        <f t="shared" si="96"/>
        <v/>
      </c>
    </row>
    <row r="6176" spans="1:2" x14ac:dyDescent="0.25">
      <c r="A6176" t="str">
        <f>IF(C6176&amp;G6176&amp;D6176&lt;&gt;'Funnel setup'!$K$3&amp;'Funnel setup'!$K$4&amp;'Funnel setup'!$K$6,".",IF(A6175=".",1,A6175+1))</f>
        <v>.</v>
      </c>
      <c r="B6176" s="244" t="str">
        <f t="shared" si="96"/>
        <v/>
      </c>
    </row>
    <row r="6177" spans="1:2" x14ac:dyDescent="0.25">
      <c r="A6177" t="str">
        <f>IF(C6177&amp;G6177&amp;D6177&lt;&gt;'Funnel setup'!$K$3&amp;'Funnel setup'!$K$4&amp;'Funnel setup'!$K$6,".",IF(A6176=".",1,A6176+1))</f>
        <v>.</v>
      </c>
      <c r="B6177" s="244" t="str">
        <f t="shared" si="96"/>
        <v/>
      </c>
    </row>
    <row r="6178" spans="1:2" x14ac:dyDescent="0.25">
      <c r="A6178" t="str">
        <f>IF(C6178&amp;G6178&amp;D6178&lt;&gt;'Funnel setup'!$K$3&amp;'Funnel setup'!$K$4&amp;'Funnel setup'!$K$6,".",IF(A6177=".",1,A6177+1))</f>
        <v>.</v>
      </c>
      <c r="B6178" s="244" t="str">
        <f t="shared" si="96"/>
        <v/>
      </c>
    </row>
    <row r="6179" spans="1:2" x14ac:dyDescent="0.25">
      <c r="A6179" t="str">
        <f>IF(C6179&amp;G6179&amp;D6179&lt;&gt;'Funnel setup'!$K$3&amp;'Funnel setup'!$K$4&amp;'Funnel setup'!$K$6,".",IF(A6178=".",1,A6178+1))</f>
        <v>.</v>
      </c>
      <c r="B6179" s="244" t="str">
        <f t="shared" si="96"/>
        <v/>
      </c>
    </row>
    <row r="6180" spans="1:2" x14ac:dyDescent="0.25">
      <c r="A6180" t="str">
        <f>IF(C6180&amp;G6180&amp;D6180&lt;&gt;'Funnel setup'!$K$3&amp;'Funnel setup'!$K$4&amp;'Funnel setup'!$K$6,".",IF(A6179=".",1,A6179+1))</f>
        <v>.</v>
      </c>
      <c r="B6180" s="244" t="str">
        <f t="shared" si="96"/>
        <v/>
      </c>
    </row>
    <row r="6181" spans="1:2" x14ac:dyDescent="0.25">
      <c r="A6181" t="str">
        <f>IF(C6181&amp;G6181&amp;D6181&lt;&gt;'Funnel setup'!$K$3&amp;'Funnel setup'!$K$4&amp;'Funnel setup'!$K$6,".",IF(A6180=".",1,A6180+1))</f>
        <v>.</v>
      </c>
      <c r="B6181" s="244" t="str">
        <f t="shared" si="96"/>
        <v/>
      </c>
    </row>
    <row r="6182" spans="1:2" x14ac:dyDescent="0.25">
      <c r="A6182" t="str">
        <f>IF(C6182&amp;G6182&amp;D6182&lt;&gt;'Funnel setup'!$K$3&amp;'Funnel setup'!$K$4&amp;'Funnel setup'!$K$6,".",IF(A6181=".",1,A6181+1))</f>
        <v>.</v>
      </c>
      <c r="B6182" s="244" t="str">
        <f t="shared" si="96"/>
        <v/>
      </c>
    </row>
    <row r="6183" spans="1:2" x14ac:dyDescent="0.25">
      <c r="A6183" t="str">
        <f>IF(C6183&amp;G6183&amp;D6183&lt;&gt;'Funnel setup'!$K$3&amp;'Funnel setup'!$K$4&amp;'Funnel setup'!$K$6,".",IF(A6182=".",1,A6182+1))</f>
        <v>.</v>
      </c>
      <c r="B6183" s="244" t="str">
        <f t="shared" si="96"/>
        <v/>
      </c>
    </row>
    <row r="6184" spans="1:2" x14ac:dyDescent="0.25">
      <c r="A6184" t="str">
        <f>IF(C6184&amp;G6184&amp;D6184&lt;&gt;'Funnel setup'!$K$3&amp;'Funnel setup'!$K$4&amp;'Funnel setup'!$K$6,".",IF(A6183=".",1,A6183+1))</f>
        <v>.</v>
      </c>
      <c r="B6184" s="244" t="str">
        <f t="shared" si="96"/>
        <v/>
      </c>
    </row>
    <row r="6185" spans="1:2" x14ac:dyDescent="0.25">
      <c r="A6185" t="str">
        <f>IF(C6185&amp;G6185&amp;D6185&lt;&gt;'Funnel setup'!$K$3&amp;'Funnel setup'!$K$4&amp;'Funnel setup'!$K$6,".",IF(A6184=".",1,A6184+1))</f>
        <v>.</v>
      </c>
      <c r="B6185" s="244" t="str">
        <f t="shared" si="96"/>
        <v/>
      </c>
    </row>
    <row r="6186" spans="1:2" x14ac:dyDescent="0.25">
      <c r="A6186" t="str">
        <f>IF(C6186&amp;G6186&amp;D6186&lt;&gt;'Funnel setup'!$K$3&amp;'Funnel setup'!$K$4&amp;'Funnel setup'!$K$6,".",IF(A6185=".",1,A6185+1))</f>
        <v>.</v>
      </c>
      <c r="B6186" s="244" t="str">
        <f t="shared" si="96"/>
        <v/>
      </c>
    </row>
    <row r="6187" spans="1:2" x14ac:dyDescent="0.25">
      <c r="A6187" t="str">
        <f>IF(C6187&amp;G6187&amp;D6187&lt;&gt;'Funnel setup'!$K$3&amp;'Funnel setup'!$K$4&amp;'Funnel setup'!$K$6,".",IF(A6186=".",1,A6186+1))</f>
        <v>.</v>
      </c>
      <c r="B6187" s="244" t="str">
        <f t="shared" si="96"/>
        <v/>
      </c>
    </row>
    <row r="6188" spans="1:2" x14ac:dyDescent="0.25">
      <c r="A6188" t="str">
        <f>IF(C6188&amp;G6188&amp;D6188&lt;&gt;'Funnel setup'!$K$3&amp;'Funnel setup'!$K$4&amp;'Funnel setup'!$K$6,".",IF(A6187=".",1,A6187+1))</f>
        <v>.</v>
      </c>
      <c r="B6188" s="244" t="str">
        <f t="shared" si="96"/>
        <v/>
      </c>
    </row>
    <row r="6189" spans="1:2" x14ac:dyDescent="0.25">
      <c r="A6189" t="str">
        <f>IF(C6189&amp;G6189&amp;D6189&lt;&gt;'Funnel setup'!$K$3&amp;'Funnel setup'!$K$4&amp;'Funnel setup'!$K$6,".",IF(A6188=".",1,A6188+1))</f>
        <v>.</v>
      </c>
      <c r="B6189" s="244" t="str">
        <f t="shared" si="96"/>
        <v/>
      </c>
    </row>
    <row r="6190" spans="1:2" x14ac:dyDescent="0.25">
      <c r="A6190" t="str">
        <f>IF(C6190&amp;G6190&amp;D6190&lt;&gt;'Funnel setup'!$K$3&amp;'Funnel setup'!$K$4&amp;'Funnel setup'!$K$6,".",IF(A6189=".",1,A6189+1))</f>
        <v>.</v>
      </c>
      <c r="B6190" s="244" t="str">
        <f t="shared" si="96"/>
        <v/>
      </c>
    </row>
    <row r="6191" spans="1:2" x14ac:dyDescent="0.25">
      <c r="A6191" t="str">
        <f>IF(C6191&amp;G6191&amp;D6191&lt;&gt;'Funnel setup'!$K$3&amp;'Funnel setup'!$K$4&amp;'Funnel setup'!$K$6,".",IF(A6190=".",1,A6190+1))</f>
        <v>.</v>
      </c>
      <c r="B6191" s="244" t="str">
        <f t="shared" si="96"/>
        <v/>
      </c>
    </row>
    <row r="6192" spans="1:2" x14ac:dyDescent="0.25">
      <c r="A6192" t="str">
        <f>IF(C6192&amp;G6192&amp;D6192&lt;&gt;'Funnel setup'!$K$3&amp;'Funnel setup'!$K$4&amp;'Funnel setup'!$K$6,".",IF(A6191=".",1,A6191+1))</f>
        <v>.</v>
      </c>
      <c r="B6192" s="244" t="str">
        <f t="shared" si="96"/>
        <v/>
      </c>
    </row>
    <row r="6193" spans="1:2" x14ac:dyDescent="0.25">
      <c r="A6193" t="str">
        <f>IF(C6193&amp;G6193&amp;D6193&lt;&gt;'Funnel setup'!$K$3&amp;'Funnel setup'!$K$4&amp;'Funnel setup'!$K$6,".",IF(A6192=".",1,A6192+1))</f>
        <v>.</v>
      </c>
      <c r="B6193" s="244" t="str">
        <f t="shared" si="96"/>
        <v/>
      </c>
    </row>
    <row r="6194" spans="1:2" x14ac:dyDescent="0.25">
      <c r="A6194" t="str">
        <f>IF(C6194&amp;G6194&amp;D6194&lt;&gt;'Funnel setup'!$K$3&amp;'Funnel setup'!$K$4&amp;'Funnel setup'!$K$6,".",IF(A6193=".",1,A6193+1))</f>
        <v>.</v>
      </c>
      <c r="B6194" s="244" t="str">
        <f t="shared" si="96"/>
        <v/>
      </c>
    </row>
    <row r="6195" spans="1:2" x14ac:dyDescent="0.25">
      <c r="A6195" t="str">
        <f>IF(C6195&amp;G6195&amp;D6195&lt;&gt;'Funnel setup'!$K$3&amp;'Funnel setup'!$K$4&amp;'Funnel setup'!$K$6,".",IF(A6194=".",1,A6194+1))</f>
        <v>.</v>
      </c>
      <c r="B6195" s="244" t="str">
        <f t="shared" si="96"/>
        <v/>
      </c>
    </row>
    <row r="6196" spans="1:2" x14ac:dyDescent="0.25">
      <c r="A6196" t="str">
        <f>IF(C6196&amp;G6196&amp;D6196&lt;&gt;'Funnel setup'!$K$3&amp;'Funnel setup'!$K$4&amp;'Funnel setup'!$K$6,".",IF(A6195=".",1,A6195+1))</f>
        <v>.</v>
      </c>
      <c r="B6196" s="244" t="str">
        <f t="shared" si="96"/>
        <v/>
      </c>
    </row>
    <row r="6197" spans="1:2" x14ac:dyDescent="0.25">
      <c r="A6197" t="str">
        <f>IF(C6197&amp;G6197&amp;D6197&lt;&gt;'Funnel setup'!$K$3&amp;'Funnel setup'!$K$4&amp;'Funnel setup'!$K$6,".",IF(A6196=".",1,A6196+1))</f>
        <v>.</v>
      </c>
      <c r="B6197" s="244" t="str">
        <f t="shared" si="96"/>
        <v/>
      </c>
    </row>
    <row r="6198" spans="1:2" x14ac:dyDescent="0.25">
      <c r="A6198" t="str">
        <f>IF(C6198&amp;G6198&amp;D6198&lt;&gt;'Funnel setup'!$K$3&amp;'Funnel setup'!$K$4&amp;'Funnel setup'!$K$6,".",IF(A6197=".",1,A6197+1))</f>
        <v>.</v>
      </c>
      <c r="B6198" s="244" t="str">
        <f t="shared" si="96"/>
        <v/>
      </c>
    </row>
    <row r="6199" spans="1:2" x14ac:dyDescent="0.25">
      <c r="A6199" t="str">
        <f>IF(C6199&amp;G6199&amp;D6199&lt;&gt;'Funnel setup'!$K$3&amp;'Funnel setup'!$K$4&amp;'Funnel setup'!$K$6,".",IF(A6198=".",1,A6198+1))</f>
        <v>.</v>
      </c>
      <c r="B6199" s="244" t="str">
        <f t="shared" si="96"/>
        <v/>
      </c>
    </row>
    <row r="6200" spans="1:2" x14ac:dyDescent="0.25">
      <c r="A6200" t="str">
        <f>IF(C6200&amp;G6200&amp;D6200&lt;&gt;'Funnel setup'!$K$3&amp;'Funnel setup'!$K$4&amp;'Funnel setup'!$K$6,".",IF(A6199=".",1,A6199+1))</f>
        <v>.</v>
      </c>
      <c r="B6200" s="244" t="str">
        <f t="shared" si="96"/>
        <v/>
      </c>
    </row>
    <row r="6201" spans="1:2" x14ac:dyDescent="0.25">
      <c r="A6201" t="str">
        <f>IF(C6201&amp;G6201&amp;D6201&lt;&gt;'Funnel setup'!$K$3&amp;'Funnel setup'!$K$4&amp;'Funnel setup'!$K$6,".",IF(A6200=".",1,A6200+1))</f>
        <v>.</v>
      </c>
      <c r="B6201" s="244" t="str">
        <f t="shared" si="96"/>
        <v/>
      </c>
    </row>
    <row r="6202" spans="1:2" x14ac:dyDescent="0.25">
      <c r="A6202" t="str">
        <f>IF(C6202&amp;G6202&amp;D6202&lt;&gt;'Funnel setup'!$K$3&amp;'Funnel setup'!$K$4&amp;'Funnel setup'!$K$6,".",IF(A6201=".",1,A6201+1))</f>
        <v>.</v>
      </c>
      <c r="B6202" s="244" t="str">
        <f t="shared" si="96"/>
        <v/>
      </c>
    </row>
    <row r="6203" spans="1:2" x14ac:dyDescent="0.25">
      <c r="A6203" t="str">
        <f>IF(C6203&amp;G6203&amp;D6203&lt;&gt;'Funnel setup'!$K$3&amp;'Funnel setup'!$K$4&amp;'Funnel setup'!$K$6,".",IF(A6202=".",1,A6202+1))</f>
        <v>.</v>
      </c>
      <c r="B6203" s="244" t="str">
        <f t="shared" si="96"/>
        <v/>
      </c>
    </row>
    <row r="6204" spans="1:2" x14ac:dyDescent="0.25">
      <c r="A6204" t="str">
        <f>IF(C6204&amp;G6204&amp;D6204&lt;&gt;'Funnel setup'!$K$3&amp;'Funnel setup'!$K$4&amp;'Funnel setup'!$K$6,".",IF(A6203=".",1,A6203+1))</f>
        <v>.</v>
      </c>
      <c r="B6204" s="244" t="str">
        <f t="shared" si="96"/>
        <v/>
      </c>
    </row>
    <row r="6205" spans="1:2" x14ac:dyDescent="0.25">
      <c r="A6205" t="str">
        <f>IF(C6205&amp;G6205&amp;D6205&lt;&gt;'Funnel setup'!$K$3&amp;'Funnel setup'!$K$4&amp;'Funnel setup'!$K$6,".",IF(A6204=".",1,A6204+1))</f>
        <v>.</v>
      </c>
      <c r="B6205" s="244" t="str">
        <f t="shared" si="96"/>
        <v/>
      </c>
    </row>
    <row r="6206" spans="1:2" x14ac:dyDescent="0.25">
      <c r="A6206" t="str">
        <f>IF(C6206&amp;G6206&amp;D6206&lt;&gt;'Funnel setup'!$K$3&amp;'Funnel setup'!$K$4&amp;'Funnel setup'!$K$6,".",IF(A6205=".",1,A6205+1))</f>
        <v>.</v>
      </c>
      <c r="B6206" s="244" t="str">
        <f t="shared" si="96"/>
        <v/>
      </c>
    </row>
    <row r="6207" spans="1:2" x14ac:dyDescent="0.25">
      <c r="A6207" t="str">
        <f>IF(C6207&amp;G6207&amp;D6207&lt;&gt;'Funnel setup'!$K$3&amp;'Funnel setup'!$K$4&amp;'Funnel setup'!$K$6,".",IF(A6206=".",1,A6206+1))</f>
        <v>.</v>
      </c>
      <c r="B6207" s="244" t="str">
        <f t="shared" si="96"/>
        <v/>
      </c>
    </row>
    <row r="6208" spans="1:2" x14ac:dyDescent="0.25">
      <c r="A6208" t="str">
        <f>IF(C6208&amp;G6208&amp;D6208&lt;&gt;'Funnel setup'!$K$3&amp;'Funnel setup'!$K$4&amp;'Funnel setup'!$K$6,".",IF(A6207=".",1,A6207+1))</f>
        <v>.</v>
      </c>
      <c r="B6208" s="244" t="str">
        <f t="shared" si="96"/>
        <v/>
      </c>
    </row>
    <row r="6209" spans="1:2" x14ac:dyDescent="0.25">
      <c r="A6209" t="str">
        <f>IF(C6209&amp;G6209&amp;D6209&lt;&gt;'Funnel setup'!$K$3&amp;'Funnel setup'!$K$4&amp;'Funnel setup'!$K$6,".",IF(A6208=".",1,A6208+1))</f>
        <v>.</v>
      </c>
      <c r="B6209" s="244" t="str">
        <f t="shared" si="96"/>
        <v/>
      </c>
    </row>
    <row r="6210" spans="1:2" x14ac:dyDescent="0.25">
      <c r="A6210" t="str">
        <f>IF(C6210&amp;G6210&amp;D6210&lt;&gt;'Funnel setup'!$K$3&amp;'Funnel setup'!$K$4&amp;'Funnel setup'!$K$6,".",IF(A6209=".",1,A6209+1))</f>
        <v>.</v>
      </c>
      <c r="B6210" s="244" t="str">
        <f t="shared" ref="B6210:B6273" si="97">C6210&amp;D6210&amp;F6210&amp;G6210</f>
        <v/>
      </c>
    </row>
    <row r="6211" spans="1:2" x14ac:dyDescent="0.25">
      <c r="A6211" t="str">
        <f>IF(C6211&amp;G6211&amp;D6211&lt;&gt;'Funnel setup'!$K$3&amp;'Funnel setup'!$K$4&amp;'Funnel setup'!$K$6,".",IF(A6210=".",1,A6210+1))</f>
        <v>.</v>
      </c>
      <c r="B6211" s="244" t="str">
        <f t="shared" si="97"/>
        <v/>
      </c>
    </row>
    <row r="6212" spans="1:2" x14ac:dyDescent="0.25">
      <c r="A6212" t="str">
        <f>IF(C6212&amp;G6212&amp;D6212&lt;&gt;'Funnel setup'!$K$3&amp;'Funnel setup'!$K$4&amp;'Funnel setup'!$K$6,".",IF(A6211=".",1,A6211+1))</f>
        <v>.</v>
      </c>
      <c r="B6212" s="244" t="str">
        <f t="shared" si="97"/>
        <v/>
      </c>
    </row>
    <row r="6213" spans="1:2" x14ac:dyDescent="0.25">
      <c r="A6213" t="str">
        <f>IF(C6213&amp;G6213&amp;D6213&lt;&gt;'Funnel setup'!$K$3&amp;'Funnel setup'!$K$4&amp;'Funnel setup'!$K$6,".",IF(A6212=".",1,A6212+1))</f>
        <v>.</v>
      </c>
      <c r="B6213" s="244" t="str">
        <f t="shared" si="97"/>
        <v/>
      </c>
    </row>
    <row r="6214" spans="1:2" x14ac:dyDescent="0.25">
      <c r="A6214" t="str">
        <f>IF(C6214&amp;G6214&amp;D6214&lt;&gt;'Funnel setup'!$K$3&amp;'Funnel setup'!$K$4&amp;'Funnel setup'!$K$6,".",IF(A6213=".",1,A6213+1))</f>
        <v>.</v>
      </c>
      <c r="B6214" s="244" t="str">
        <f t="shared" si="97"/>
        <v/>
      </c>
    </row>
    <row r="6215" spans="1:2" x14ac:dyDescent="0.25">
      <c r="A6215" t="str">
        <f>IF(C6215&amp;G6215&amp;D6215&lt;&gt;'Funnel setup'!$K$3&amp;'Funnel setup'!$K$4&amp;'Funnel setup'!$K$6,".",IF(A6214=".",1,A6214+1))</f>
        <v>.</v>
      </c>
      <c r="B6215" s="244" t="str">
        <f t="shared" si="97"/>
        <v/>
      </c>
    </row>
    <row r="6216" spans="1:2" x14ac:dyDescent="0.25">
      <c r="A6216" t="str">
        <f>IF(C6216&amp;G6216&amp;D6216&lt;&gt;'Funnel setup'!$K$3&amp;'Funnel setup'!$K$4&amp;'Funnel setup'!$K$6,".",IF(A6215=".",1,A6215+1))</f>
        <v>.</v>
      </c>
      <c r="B6216" s="244" t="str">
        <f t="shared" si="97"/>
        <v/>
      </c>
    </row>
    <row r="6217" spans="1:2" x14ac:dyDescent="0.25">
      <c r="A6217" t="str">
        <f>IF(C6217&amp;G6217&amp;D6217&lt;&gt;'Funnel setup'!$K$3&amp;'Funnel setup'!$K$4&amp;'Funnel setup'!$K$6,".",IF(A6216=".",1,A6216+1))</f>
        <v>.</v>
      </c>
      <c r="B6217" s="244" t="str">
        <f t="shared" si="97"/>
        <v/>
      </c>
    </row>
    <row r="6218" spans="1:2" x14ac:dyDescent="0.25">
      <c r="A6218" t="str">
        <f>IF(C6218&amp;G6218&amp;D6218&lt;&gt;'Funnel setup'!$K$3&amp;'Funnel setup'!$K$4&amp;'Funnel setup'!$K$6,".",IF(A6217=".",1,A6217+1))</f>
        <v>.</v>
      </c>
      <c r="B6218" s="244" t="str">
        <f t="shared" si="97"/>
        <v/>
      </c>
    </row>
    <row r="6219" spans="1:2" x14ac:dyDescent="0.25">
      <c r="A6219" t="str">
        <f>IF(C6219&amp;G6219&amp;D6219&lt;&gt;'Funnel setup'!$K$3&amp;'Funnel setup'!$K$4&amp;'Funnel setup'!$K$6,".",IF(A6218=".",1,A6218+1))</f>
        <v>.</v>
      </c>
      <c r="B6219" s="244" t="str">
        <f t="shared" si="97"/>
        <v/>
      </c>
    </row>
    <row r="6220" spans="1:2" x14ac:dyDescent="0.25">
      <c r="A6220" t="str">
        <f>IF(C6220&amp;G6220&amp;D6220&lt;&gt;'Funnel setup'!$K$3&amp;'Funnel setup'!$K$4&amp;'Funnel setup'!$K$6,".",IF(A6219=".",1,A6219+1))</f>
        <v>.</v>
      </c>
      <c r="B6220" s="244" t="str">
        <f t="shared" si="97"/>
        <v/>
      </c>
    </row>
    <row r="6221" spans="1:2" x14ac:dyDescent="0.25">
      <c r="A6221" t="str">
        <f>IF(C6221&amp;G6221&amp;D6221&lt;&gt;'Funnel setup'!$K$3&amp;'Funnel setup'!$K$4&amp;'Funnel setup'!$K$6,".",IF(A6220=".",1,A6220+1))</f>
        <v>.</v>
      </c>
      <c r="B6221" s="244" t="str">
        <f t="shared" si="97"/>
        <v/>
      </c>
    </row>
    <row r="6222" spans="1:2" x14ac:dyDescent="0.25">
      <c r="A6222" t="str">
        <f>IF(C6222&amp;G6222&amp;D6222&lt;&gt;'Funnel setup'!$K$3&amp;'Funnel setup'!$K$4&amp;'Funnel setup'!$K$6,".",IF(A6221=".",1,A6221+1))</f>
        <v>.</v>
      </c>
      <c r="B6222" s="244" t="str">
        <f t="shared" si="97"/>
        <v/>
      </c>
    </row>
    <row r="6223" spans="1:2" x14ac:dyDescent="0.25">
      <c r="A6223" t="str">
        <f>IF(C6223&amp;G6223&amp;D6223&lt;&gt;'Funnel setup'!$K$3&amp;'Funnel setup'!$K$4&amp;'Funnel setup'!$K$6,".",IF(A6222=".",1,A6222+1))</f>
        <v>.</v>
      </c>
      <c r="B6223" s="244" t="str">
        <f t="shared" si="97"/>
        <v/>
      </c>
    </row>
    <row r="6224" spans="1:2" x14ac:dyDescent="0.25">
      <c r="A6224" t="str">
        <f>IF(C6224&amp;G6224&amp;D6224&lt;&gt;'Funnel setup'!$K$3&amp;'Funnel setup'!$K$4&amp;'Funnel setup'!$K$6,".",IF(A6223=".",1,A6223+1))</f>
        <v>.</v>
      </c>
      <c r="B6224" s="244" t="str">
        <f t="shared" si="97"/>
        <v/>
      </c>
    </row>
    <row r="6225" spans="1:2" x14ac:dyDescent="0.25">
      <c r="A6225" t="str">
        <f>IF(C6225&amp;G6225&amp;D6225&lt;&gt;'Funnel setup'!$K$3&amp;'Funnel setup'!$K$4&amp;'Funnel setup'!$K$6,".",IF(A6224=".",1,A6224+1))</f>
        <v>.</v>
      </c>
      <c r="B6225" s="244" t="str">
        <f t="shared" si="97"/>
        <v/>
      </c>
    </row>
    <row r="6226" spans="1:2" x14ac:dyDescent="0.25">
      <c r="A6226" t="str">
        <f>IF(C6226&amp;G6226&amp;D6226&lt;&gt;'Funnel setup'!$K$3&amp;'Funnel setup'!$K$4&amp;'Funnel setup'!$K$6,".",IF(A6225=".",1,A6225+1))</f>
        <v>.</v>
      </c>
      <c r="B6226" s="244" t="str">
        <f t="shared" si="97"/>
        <v/>
      </c>
    </row>
    <row r="6227" spans="1:2" x14ac:dyDescent="0.25">
      <c r="A6227" t="str">
        <f>IF(C6227&amp;G6227&amp;D6227&lt;&gt;'Funnel setup'!$K$3&amp;'Funnel setup'!$K$4&amp;'Funnel setup'!$K$6,".",IF(A6226=".",1,A6226+1))</f>
        <v>.</v>
      </c>
      <c r="B6227" s="244" t="str">
        <f t="shared" si="97"/>
        <v/>
      </c>
    </row>
    <row r="6228" spans="1:2" x14ac:dyDescent="0.25">
      <c r="A6228" t="str">
        <f>IF(C6228&amp;G6228&amp;D6228&lt;&gt;'Funnel setup'!$K$3&amp;'Funnel setup'!$K$4&amp;'Funnel setup'!$K$6,".",IF(A6227=".",1,A6227+1))</f>
        <v>.</v>
      </c>
      <c r="B6228" s="244" t="str">
        <f t="shared" si="97"/>
        <v/>
      </c>
    </row>
    <row r="6229" spans="1:2" x14ac:dyDescent="0.25">
      <c r="A6229" t="str">
        <f>IF(C6229&amp;G6229&amp;D6229&lt;&gt;'Funnel setup'!$K$3&amp;'Funnel setup'!$K$4&amp;'Funnel setup'!$K$6,".",IF(A6228=".",1,A6228+1))</f>
        <v>.</v>
      </c>
      <c r="B6229" s="244" t="str">
        <f t="shared" si="97"/>
        <v/>
      </c>
    </row>
    <row r="6230" spans="1:2" x14ac:dyDescent="0.25">
      <c r="A6230" t="str">
        <f>IF(C6230&amp;G6230&amp;D6230&lt;&gt;'Funnel setup'!$K$3&amp;'Funnel setup'!$K$4&amp;'Funnel setup'!$K$6,".",IF(A6229=".",1,A6229+1))</f>
        <v>.</v>
      </c>
      <c r="B6230" s="244" t="str">
        <f t="shared" si="97"/>
        <v/>
      </c>
    </row>
    <row r="6231" spans="1:2" x14ac:dyDescent="0.25">
      <c r="A6231" t="str">
        <f>IF(C6231&amp;G6231&amp;D6231&lt;&gt;'Funnel setup'!$K$3&amp;'Funnel setup'!$K$4&amp;'Funnel setup'!$K$6,".",IF(A6230=".",1,A6230+1))</f>
        <v>.</v>
      </c>
      <c r="B6231" s="244" t="str">
        <f t="shared" si="97"/>
        <v/>
      </c>
    </row>
    <row r="6232" spans="1:2" x14ac:dyDescent="0.25">
      <c r="A6232" t="str">
        <f>IF(C6232&amp;G6232&amp;D6232&lt;&gt;'Funnel setup'!$K$3&amp;'Funnel setup'!$K$4&amp;'Funnel setup'!$K$6,".",IF(A6231=".",1,A6231+1))</f>
        <v>.</v>
      </c>
      <c r="B6232" s="244" t="str">
        <f t="shared" si="97"/>
        <v/>
      </c>
    </row>
    <row r="6233" spans="1:2" x14ac:dyDescent="0.25">
      <c r="A6233" t="str">
        <f>IF(C6233&amp;G6233&amp;D6233&lt;&gt;'Funnel setup'!$K$3&amp;'Funnel setup'!$K$4&amp;'Funnel setup'!$K$6,".",IF(A6232=".",1,A6232+1))</f>
        <v>.</v>
      </c>
      <c r="B6233" s="244" t="str">
        <f t="shared" si="97"/>
        <v/>
      </c>
    </row>
    <row r="6234" spans="1:2" x14ac:dyDescent="0.25">
      <c r="A6234" t="str">
        <f>IF(C6234&amp;G6234&amp;D6234&lt;&gt;'Funnel setup'!$K$3&amp;'Funnel setup'!$K$4&amp;'Funnel setup'!$K$6,".",IF(A6233=".",1,A6233+1))</f>
        <v>.</v>
      </c>
      <c r="B6234" s="244" t="str">
        <f t="shared" si="97"/>
        <v/>
      </c>
    </row>
    <row r="6235" spans="1:2" x14ac:dyDescent="0.25">
      <c r="A6235" t="str">
        <f>IF(C6235&amp;G6235&amp;D6235&lt;&gt;'Funnel setup'!$K$3&amp;'Funnel setup'!$K$4&amp;'Funnel setup'!$K$6,".",IF(A6234=".",1,A6234+1))</f>
        <v>.</v>
      </c>
      <c r="B6235" s="244" t="str">
        <f t="shared" si="97"/>
        <v/>
      </c>
    </row>
    <row r="6236" spans="1:2" x14ac:dyDescent="0.25">
      <c r="A6236" t="str">
        <f>IF(C6236&amp;G6236&amp;D6236&lt;&gt;'Funnel setup'!$K$3&amp;'Funnel setup'!$K$4&amp;'Funnel setup'!$K$6,".",IF(A6235=".",1,A6235+1))</f>
        <v>.</v>
      </c>
      <c r="B6236" s="244" t="str">
        <f t="shared" si="97"/>
        <v/>
      </c>
    </row>
    <row r="6237" spans="1:2" x14ac:dyDescent="0.25">
      <c r="A6237" t="str">
        <f>IF(C6237&amp;G6237&amp;D6237&lt;&gt;'Funnel setup'!$K$3&amp;'Funnel setup'!$K$4&amp;'Funnel setup'!$K$6,".",IF(A6236=".",1,A6236+1))</f>
        <v>.</v>
      </c>
      <c r="B6237" s="244" t="str">
        <f t="shared" si="97"/>
        <v/>
      </c>
    </row>
    <row r="6238" spans="1:2" x14ac:dyDescent="0.25">
      <c r="A6238" t="str">
        <f>IF(C6238&amp;G6238&amp;D6238&lt;&gt;'Funnel setup'!$K$3&amp;'Funnel setup'!$K$4&amp;'Funnel setup'!$K$6,".",IF(A6237=".",1,A6237+1))</f>
        <v>.</v>
      </c>
      <c r="B6238" s="244" t="str">
        <f t="shared" si="97"/>
        <v/>
      </c>
    </row>
    <row r="6239" spans="1:2" x14ac:dyDescent="0.25">
      <c r="A6239" t="str">
        <f>IF(C6239&amp;G6239&amp;D6239&lt;&gt;'Funnel setup'!$K$3&amp;'Funnel setup'!$K$4&amp;'Funnel setup'!$K$6,".",IF(A6238=".",1,A6238+1))</f>
        <v>.</v>
      </c>
      <c r="B6239" s="244" t="str">
        <f t="shared" si="97"/>
        <v/>
      </c>
    </row>
    <row r="6240" spans="1:2" x14ac:dyDescent="0.25">
      <c r="A6240" t="str">
        <f>IF(C6240&amp;G6240&amp;D6240&lt;&gt;'Funnel setup'!$K$3&amp;'Funnel setup'!$K$4&amp;'Funnel setup'!$K$6,".",IF(A6239=".",1,A6239+1))</f>
        <v>.</v>
      </c>
      <c r="B6240" s="244" t="str">
        <f t="shared" si="97"/>
        <v/>
      </c>
    </row>
    <row r="6241" spans="1:2" x14ac:dyDescent="0.25">
      <c r="A6241" t="str">
        <f>IF(C6241&amp;G6241&amp;D6241&lt;&gt;'Funnel setup'!$K$3&amp;'Funnel setup'!$K$4&amp;'Funnel setup'!$K$6,".",IF(A6240=".",1,A6240+1))</f>
        <v>.</v>
      </c>
      <c r="B6241" s="244" t="str">
        <f t="shared" si="97"/>
        <v/>
      </c>
    </row>
    <row r="6242" spans="1:2" x14ac:dyDescent="0.25">
      <c r="A6242" t="str">
        <f>IF(C6242&amp;G6242&amp;D6242&lt;&gt;'Funnel setup'!$K$3&amp;'Funnel setup'!$K$4&amp;'Funnel setup'!$K$6,".",IF(A6241=".",1,A6241+1))</f>
        <v>.</v>
      </c>
      <c r="B6242" s="244" t="str">
        <f t="shared" si="97"/>
        <v/>
      </c>
    </row>
    <row r="6243" spans="1:2" x14ac:dyDescent="0.25">
      <c r="A6243" t="str">
        <f>IF(C6243&amp;G6243&amp;D6243&lt;&gt;'Funnel setup'!$K$3&amp;'Funnel setup'!$K$4&amp;'Funnel setup'!$K$6,".",IF(A6242=".",1,A6242+1))</f>
        <v>.</v>
      </c>
      <c r="B6243" s="244" t="str">
        <f t="shared" si="97"/>
        <v/>
      </c>
    </row>
    <row r="6244" spans="1:2" x14ac:dyDescent="0.25">
      <c r="A6244" t="str">
        <f>IF(C6244&amp;G6244&amp;D6244&lt;&gt;'Funnel setup'!$K$3&amp;'Funnel setup'!$K$4&amp;'Funnel setup'!$K$6,".",IF(A6243=".",1,A6243+1))</f>
        <v>.</v>
      </c>
      <c r="B6244" s="244" t="str">
        <f t="shared" si="97"/>
        <v/>
      </c>
    </row>
    <row r="6245" spans="1:2" x14ac:dyDescent="0.25">
      <c r="A6245" t="str">
        <f>IF(C6245&amp;G6245&amp;D6245&lt;&gt;'Funnel setup'!$K$3&amp;'Funnel setup'!$K$4&amp;'Funnel setup'!$K$6,".",IF(A6244=".",1,A6244+1))</f>
        <v>.</v>
      </c>
      <c r="B6245" s="244" t="str">
        <f t="shared" si="97"/>
        <v/>
      </c>
    </row>
    <row r="6246" spans="1:2" x14ac:dyDescent="0.25">
      <c r="A6246" t="str">
        <f>IF(C6246&amp;G6246&amp;D6246&lt;&gt;'Funnel setup'!$K$3&amp;'Funnel setup'!$K$4&amp;'Funnel setup'!$K$6,".",IF(A6245=".",1,A6245+1))</f>
        <v>.</v>
      </c>
      <c r="B6246" s="244" t="str">
        <f t="shared" si="97"/>
        <v/>
      </c>
    </row>
    <row r="6247" spans="1:2" x14ac:dyDescent="0.25">
      <c r="A6247" t="str">
        <f>IF(C6247&amp;G6247&amp;D6247&lt;&gt;'Funnel setup'!$K$3&amp;'Funnel setup'!$K$4&amp;'Funnel setup'!$K$6,".",IF(A6246=".",1,A6246+1))</f>
        <v>.</v>
      </c>
      <c r="B6247" s="244" t="str">
        <f t="shared" si="97"/>
        <v/>
      </c>
    </row>
    <row r="6248" spans="1:2" x14ac:dyDescent="0.25">
      <c r="A6248" t="str">
        <f>IF(C6248&amp;G6248&amp;D6248&lt;&gt;'Funnel setup'!$K$3&amp;'Funnel setup'!$K$4&amp;'Funnel setup'!$K$6,".",IF(A6247=".",1,A6247+1))</f>
        <v>.</v>
      </c>
      <c r="B6248" s="244" t="str">
        <f t="shared" si="97"/>
        <v/>
      </c>
    </row>
    <row r="6249" spans="1:2" x14ac:dyDescent="0.25">
      <c r="A6249" t="str">
        <f>IF(C6249&amp;G6249&amp;D6249&lt;&gt;'Funnel setup'!$K$3&amp;'Funnel setup'!$K$4&amp;'Funnel setup'!$K$6,".",IF(A6248=".",1,A6248+1))</f>
        <v>.</v>
      </c>
      <c r="B6249" s="244" t="str">
        <f t="shared" si="97"/>
        <v/>
      </c>
    </row>
    <row r="6250" spans="1:2" x14ac:dyDescent="0.25">
      <c r="A6250" t="str">
        <f>IF(C6250&amp;G6250&amp;D6250&lt;&gt;'Funnel setup'!$K$3&amp;'Funnel setup'!$K$4&amp;'Funnel setup'!$K$6,".",IF(A6249=".",1,A6249+1))</f>
        <v>.</v>
      </c>
      <c r="B6250" s="244" t="str">
        <f t="shared" si="97"/>
        <v/>
      </c>
    </row>
    <row r="6251" spans="1:2" x14ac:dyDescent="0.25">
      <c r="A6251" t="str">
        <f>IF(C6251&amp;G6251&amp;D6251&lt;&gt;'Funnel setup'!$K$3&amp;'Funnel setup'!$K$4&amp;'Funnel setup'!$K$6,".",IF(A6250=".",1,A6250+1))</f>
        <v>.</v>
      </c>
      <c r="B6251" s="244" t="str">
        <f t="shared" si="97"/>
        <v/>
      </c>
    </row>
    <row r="6252" spans="1:2" x14ac:dyDescent="0.25">
      <c r="A6252" t="str">
        <f>IF(C6252&amp;G6252&amp;D6252&lt;&gt;'Funnel setup'!$K$3&amp;'Funnel setup'!$K$4&amp;'Funnel setup'!$K$6,".",IF(A6251=".",1,A6251+1))</f>
        <v>.</v>
      </c>
      <c r="B6252" s="244" t="str">
        <f t="shared" si="97"/>
        <v/>
      </c>
    </row>
    <row r="6253" spans="1:2" x14ac:dyDescent="0.25">
      <c r="A6253" t="str">
        <f>IF(C6253&amp;G6253&amp;D6253&lt;&gt;'Funnel setup'!$K$3&amp;'Funnel setup'!$K$4&amp;'Funnel setup'!$K$6,".",IF(A6252=".",1,A6252+1))</f>
        <v>.</v>
      </c>
      <c r="B6253" s="244" t="str">
        <f t="shared" si="97"/>
        <v/>
      </c>
    </row>
    <row r="6254" spans="1:2" x14ac:dyDescent="0.25">
      <c r="A6254" t="str">
        <f>IF(C6254&amp;G6254&amp;D6254&lt;&gt;'Funnel setup'!$K$3&amp;'Funnel setup'!$K$4&amp;'Funnel setup'!$K$6,".",IF(A6253=".",1,A6253+1))</f>
        <v>.</v>
      </c>
      <c r="B6254" s="244" t="str">
        <f t="shared" si="97"/>
        <v/>
      </c>
    </row>
    <row r="6255" spans="1:2" x14ac:dyDescent="0.25">
      <c r="A6255" t="str">
        <f>IF(C6255&amp;G6255&amp;D6255&lt;&gt;'Funnel setup'!$K$3&amp;'Funnel setup'!$K$4&amp;'Funnel setup'!$K$6,".",IF(A6254=".",1,A6254+1))</f>
        <v>.</v>
      </c>
      <c r="B6255" s="244" t="str">
        <f t="shared" si="97"/>
        <v/>
      </c>
    </row>
    <row r="6256" spans="1:2" x14ac:dyDescent="0.25">
      <c r="A6256" t="str">
        <f>IF(C6256&amp;G6256&amp;D6256&lt;&gt;'Funnel setup'!$K$3&amp;'Funnel setup'!$K$4&amp;'Funnel setup'!$K$6,".",IF(A6255=".",1,A6255+1))</f>
        <v>.</v>
      </c>
      <c r="B6256" s="244" t="str">
        <f t="shared" si="97"/>
        <v/>
      </c>
    </row>
    <row r="6257" spans="1:2" x14ac:dyDescent="0.25">
      <c r="A6257" t="str">
        <f>IF(C6257&amp;G6257&amp;D6257&lt;&gt;'Funnel setup'!$K$3&amp;'Funnel setup'!$K$4&amp;'Funnel setup'!$K$6,".",IF(A6256=".",1,A6256+1))</f>
        <v>.</v>
      </c>
      <c r="B6257" s="244" t="str">
        <f t="shared" si="97"/>
        <v/>
      </c>
    </row>
    <row r="6258" spans="1:2" x14ac:dyDescent="0.25">
      <c r="A6258" t="str">
        <f>IF(C6258&amp;G6258&amp;D6258&lt;&gt;'Funnel setup'!$K$3&amp;'Funnel setup'!$K$4&amp;'Funnel setup'!$K$6,".",IF(A6257=".",1,A6257+1))</f>
        <v>.</v>
      </c>
      <c r="B6258" s="244" t="str">
        <f t="shared" si="97"/>
        <v/>
      </c>
    </row>
    <row r="6259" spans="1:2" x14ac:dyDescent="0.25">
      <c r="A6259" t="str">
        <f>IF(C6259&amp;G6259&amp;D6259&lt;&gt;'Funnel setup'!$K$3&amp;'Funnel setup'!$K$4&amp;'Funnel setup'!$K$6,".",IF(A6258=".",1,A6258+1))</f>
        <v>.</v>
      </c>
      <c r="B6259" s="244" t="str">
        <f t="shared" si="97"/>
        <v/>
      </c>
    </row>
    <row r="6260" spans="1:2" x14ac:dyDescent="0.25">
      <c r="A6260" t="str">
        <f>IF(C6260&amp;G6260&amp;D6260&lt;&gt;'Funnel setup'!$K$3&amp;'Funnel setup'!$K$4&amp;'Funnel setup'!$K$6,".",IF(A6259=".",1,A6259+1))</f>
        <v>.</v>
      </c>
      <c r="B6260" s="244" t="str">
        <f t="shared" si="97"/>
        <v/>
      </c>
    </row>
    <row r="6261" spans="1:2" x14ac:dyDescent="0.25">
      <c r="A6261" t="str">
        <f>IF(C6261&amp;G6261&amp;D6261&lt;&gt;'Funnel setup'!$K$3&amp;'Funnel setup'!$K$4&amp;'Funnel setup'!$K$6,".",IF(A6260=".",1,A6260+1))</f>
        <v>.</v>
      </c>
      <c r="B6261" s="244" t="str">
        <f t="shared" si="97"/>
        <v/>
      </c>
    </row>
    <row r="6262" spans="1:2" x14ac:dyDescent="0.25">
      <c r="A6262" t="str">
        <f>IF(C6262&amp;G6262&amp;D6262&lt;&gt;'Funnel setup'!$K$3&amp;'Funnel setup'!$K$4&amp;'Funnel setup'!$K$6,".",IF(A6261=".",1,A6261+1))</f>
        <v>.</v>
      </c>
      <c r="B6262" s="244" t="str">
        <f t="shared" si="97"/>
        <v/>
      </c>
    </row>
    <row r="6263" spans="1:2" x14ac:dyDescent="0.25">
      <c r="A6263" t="str">
        <f>IF(C6263&amp;G6263&amp;D6263&lt;&gt;'Funnel setup'!$K$3&amp;'Funnel setup'!$K$4&amp;'Funnel setup'!$K$6,".",IF(A6262=".",1,A6262+1))</f>
        <v>.</v>
      </c>
      <c r="B6263" s="244" t="str">
        <f t="shared" si="97"/>
        <v/>
      </c>
    </row>
    <row r="6264" spans="1:2" x14ac:dyDescent="0.25">
      <c r="A6264" t="str">
        <f>IF(C6264&amp;G6264&amp;D6264&lt;&gt;'Funnel setup'!$K$3&amp;'Funnel setup'!$K$4&amp;'Funnel setup'!$K$6,".",IF(A6263=".",1,A6263+1))</f>
        <v>.</v>
      </c>
      <c r="B6264" s="244" t="str">
        <f t="shared" si="97"/>
        <v/>
      </c>
    </row>
    <row r="6265" spans="1:2" x14ac:dyDescent="0.25">
      <c r="A6265" t="str">
        <f>IF(C6265&amp;G6265&amp;D6265&lt;&gt;'Funnel setup'!$K$3&amp;'Funnel setup'!$K$4&amp;'Funnel setup'!$K$6,".",IF(A6264=".",1,A6264+1))</f>
        <v>.</v>
      </c>
      <c r="B6265" s="244" t="str">
        <f t="shared" si="97"/>
        <v/>
      </c>
    </row>
    <row r="6266" spans="1:2" x14ac:dyDescent="0.25">
      <c r="A6266" t="str">
        <f>IF(C6266&amp;G6266&amp;D6266&lt;&gt;'Funnel setup'!$K$3&amp;'Funnel setup'!$K$4&amp;'Funnel setup'!$K$6,".",IF(A6265=".",1,A6265+1))</f>
        <v>.</v>
      </c>
      <c r="B6266" s="244" t="str">
        <f t="shared" si="97"/>
        <v/>
      </c>
    </row>
    <row r="6267" spans="1:2" x14ac:dyDescent="0.25">
      <c r="A6267" t="str">
        <f>IF(C6267&amp;G6267&amp;D6267&lt;&gt;'Funnel setup'!$K$3&amp;'Funnel setup'!$K$4&amp;'Funnel setup'!$K$6,".",IF(A6266=".",1,A6266+1))</f>
        <v>.</v>
      </c>
      <c r="B6267" s="244" t="str">
        <f t="shared" si="97"/>
        <v/>
      </c>
    </row>
    <row r="6268" spans="1:2" x14ac:dyDescent="0.25">
      <c r="A6268" t="str">
        <f>IF(C6268&amp;G6268&amp;D6268&lt;&gt;'Funnel setup'!$K$3&amp;'Funnel setup'!$K$4&amp;'Funnel setup'!$K$6,".",IF(A6267=".",1,A6267+1))</f>
        <v>.</v>
      </c>
      <c r="B6268" s="244" t="str">
        <f t="shared" si="97"/>
        <v/>
      </c>
    </row>
    <row r="6269" spans="1:2" x14ac:dyDescent="0.25">
      <c r="A6269" t="str">
        <f>IF(C6269&amp;G6269&amp;D6269&lt;&gt;'Funnel setup'!$K$3&amp;'Funnel setup'!$K$4&amp;'Funnel setup'!$K$6,".",IF(A6268=".",1,A6268+1))</f>
        <v>.</v>
      </c>
      <c r="B6269" s="244" t="str">
        <f t="shared" si="97"/>
        <v/>
      </c>
    </row>
    <row r="6270" spans="1:2" x14ac:dyDescent="0.25">
      <c r="A6270" t="str">
        <f>IF(C6270&amp;G6270&amp;D6270&lt;&gt;'Funnel setup'!$K$3&amp;'Funnel setup'!$K$4&amp;'Funnel setup'!$K$6,".",IF(A6269=".",1,A6269+1))</f>
        <v>.</v>
      </c>
      <c r="B6270" s="244" t="str">
        <f t="shared" si="97"/>
        <v/>
      </c>
    </row>
    <row r="6271" spans="1:2" x14ac:dyDescent="0.25">
      <c r="A6271" t="str">
        <f>IF(C6271&amp;G6271&amp;D6271&lt;&gt;'Funnel setup'!$K$3&amp;'Funnel setup'!$K$4&amp;'Funnel setup'!$K$6,".",IF(A6270=".",1,A6270+1))</f>
        <v>.</v>
      </c>
      <c r="B6271" s="244" t="str">
        <f t="shared" si="97"/>
        <v/>
      </c>
    </row>
    <row r="6272" spans="1:2" x14ac:dyDescent="0.25">
      <c r="A6272" t="str">
        <f>IF(C6272&amp;G6272&amp;D6272&lt;&gt;'Funnel setup'!$K$3&amp;'Funnel setup'!$K$4&amp;'Funnel setup'!$K$6,".",IF(A6271=".",1,A6271+1))</f>
        <v>.</v>
      </c>
      <c r="B6272" s="244" t="str">
        <f t="shared" si="97"/>
        <v/>
      </c>
    </row>
    <row r="6273" spans="1:2" x14ac:dyDescent="0.25">
      <c r="A6273" t="str">
        <f>IF(C6273&amp;G6273&amp;D6273&lt;&gt;'Funnel setup'!$K$3&amp;'Funnel setup'!$K$4&amp;'Funnel setup'!$K$6,".",IF(A6272=".",1,A6272+1))</f>
        <v>.</v>
      </c>
      <c r="B6273" s="244" t="str">
        <f t="shared" si="97"/>
        <v/>
      </c>
    </row>
    <row r="6274" spans="1:2" x14ac:dyDescent="0.25">
      <c r="A6274" t="str">
        <f>IF(C6274&amp;G6274&amp;D6274&lt;&gt;'Funnel setup'!$K$3&amp;'Funnel setup'!$K$4&amp;'Funnel setup'!$K$6,".",IF(A6273=".",1,A6273+1))</f>
        <v>.</v>
      </c>
      <c r="B6274" s="244" t="str">
        <f t="shared" ref="B6274:B6337" si="98">C6274&amp;D6274&amp;F6274&amp;G6274</f>
        <v/>
      </c>
    </row>
    <row r="6275" spans="1:2" x14ac:dyDescent="0.25">
      <c r="A6275" t="str">
        <f>IF(C6275&amp;G6275&amp;D6275&lt;&gt;'Funnel setup'!$K$3&amp;'Funnel setup'!$K$4&amp;'Funnel setup'!$K$6,".",IF(A6274=".",1,A6274+1))</f>
        <v>.</v>
      </c>
      <c r="B6275" s="244" t="str">
        <f t="shared" si="98"/>
        <v/>
      </c>
    </row>
    <row r="6276" spans="1:2" x14ac:dyDescent="0.25">
      <c r="A6276" t="str">
        <f>IF(C6276&amp;G6276&amp;D6276&lt;&gt;'Funnel setup'!$K$3&amp;'Funnel setup'!$K$4&amp;'Funnel setup'!$K$6,".",IF(A6275=".",1,A6275+1))</f>
        <v>.</v>
      </c>
      <c r="B6276" s="244" t="str">
        <f t="shared" si="98"/>
        <v/>
      </c>
    </row>
    <row r="6277" spans="1:2" x14ac:dyDescent="0.25">
      <c r="A6277" t="str">
        <f>IF(C6277&amp;G6277&amp;D6277&lt;&gt;'Funnel setup'!$K$3&amp;'Funnel setup'!$K$4&amp;'Funnel setup'!$K$6,".",IF(A6276=".",1,A6276+1))</f>
        <v>.</v>
      </c>
      <c r="B6277" s="244" t="str">
        <f t="shared" si="98"/>
        <v/>
      </c>
    </row>
    <row r="6278" spans="1:2" x14ac:dyDescent="0.25">
      <c r="A6278" t="str">
        <f>IF(C6278&amp;G6278&amp;D6278&lt;&gt;'Funnel setup'!$K$3&amp;'Funnel setup'!$K$4&amp;'Funnel setup'!$K$6,".",IF(A6277=".",1,A6277+1))</f>
        <v>.</v>
      </c>
      <c r="B6278" s="244" t="str">
        <f t="shared" si="98"/>
        <v/>
      </c>
    </row>
    <row r="6279" spans="1:2" x14ac:dyDescent="0.25">
      <c r="A6279" t="str">
        <f>IF(C6279&amp;G6279&amp;D6279&lt;&gt;'Funnel setup'!$K$3&amp;'Funnel setup'!$K$4&amp;'Funnel setup'!$K$6,".",IF(A6278=".",1,A6278+1))</f>
        <v>.</v>
      </c>
      <c r="B6279" s="244" t="str">
        <f t="shared" si="98"/>
        <v/>
      </c>
    </row>
    <row r="6280" spans="1:2" x14ac:dyDescent="0.25">
      <c r="A6280" t="str">
        <f>IF(C6280&amp;G6280&amp;D6280&lt;&gt;'Funnel setup'!$K$3&amp;'Funnel setup'!$K$4&amp;'Funnel setup'!$K$6,".",IF(A6279=".",1,A6279+1))</f>
        <v>.</v>
      </c>
      <c r="B6280" s="244" t="str">
        <f t="shared" si="98"/>
        <v/>
      </c>
    </row>
    <row r="6281" spans="1:2" x14ac:dyDescent="0.25">
      <c r="A6281" t="str">
        <f>IF(C6281&amp;G6281&amp;D6281&lt;&gt;'Funnel setup'!$K$3&amp;'Funnel setup'!$K$4&amp;'Funnel setup'!$K$6,".",IF(A6280=".",1,A6280+1))</f>
        <v>.</v>
      </c>
      <c r="B6281" s="244" t="str">
        <f t="shared" si="98"/>
        <v/>
      </c>
    </row>
    <row r="6282" spans="1:2" x14ac:dyDescent="0.25">
      <c r="A6282" t="str">
        <f>IF(C6282&amp;G6282&amp;D6282&lt;&gt;'Funnel setup'!$K$3&amp;'Funnel setup'!$K$4&amp;'Funnel setup'!$K$6,".",IF(A6281=".",1,A6281+1))</f>
        <v>.</v>
      </c>
      <c r="B6282" s="244" t="str">
        <f t="shared" si="98"/>
        <v/>
      </c>
    </row>
    <row r="6283" spans="1:2" x14ac:dyDescent="0.25">
      <c r="A6283" t="str">
        <f>IF(C6283&amp;G6283&amp;D6283&lt;&gt;'Funnel setup'!$K$3&amp;'Funnel setup'!$K$4&amp;'Funnel setup'!$K$6,".",IF(A6282=".",1,A6282+1))</f>
        <v>.</v>
      </c>
      <c r="B6283" s="244" t="str">
        <f t="shared" si="98"/>
        <v/>
      </c>
    </row>
    <row r="6284" spans="1:2" x14ac:dyDescent="0.25">
      <c r="A6284" t="str">
        <f>IF(C6284&amp;G6284&amp;D6284&lt;&gt;'Funnel setup'!$K$3&amp;'Funnel setup'!$K$4&amp;'Funnel setup'!$K$6,".",IF(A6283=".",1,A6283+1))</f>
        <v>.</v>
      </c>
      <c r="B6284" s="244" t="str">
        <f t="shared" si="98"/>
        <v/>
      </c>
    </row>
    <row r="6285" spans="1:2" x14ac:dyDescent="0.25">
      <c r="A6285" t="str">
        <f>IF(C6285&amp;G6285&amp;D6285&lt;&gt;'Funnel setup'!$K$3&amp;'Funnel setup'!$K$4&amp;'Funnel setup'!$K$6,".",IF(A6284=".",1,A6284+1))</f>
        <v>.</v>
      </c>
      <c r="B6285" s="244" t="str">
        <f t="shared" si="98"/>
        <v/>
      </c>
    </row>
    <row r="6286" spans="1:2" x14ac:dyDescent="0.25">
      <c r="A6286" t="str">
        <f>IF(C6286&amp;G6286&amp;D6286&lt;&gt;'Funnel setup'!$K$3&amp;'Funnel setup'!$K$4&amp;'Funnel setup'!$K$6,".",IF(A6285=".",1,A6285+1))</f>
        <v>.</v>
      </c>
      <c r="B6286" s="244" t="str">
        <f t="shared" si="98"/>
        <v/>
      </c>
    </row>
    <row r="6287" spans="1:2" x14ac:dyDescent="0.25">
      <c r="A6287" t="str">
        <f>IF(C6287&amp;G6287&amp;D6287&lt;&gt;'Funnel setup'!$K$3&amp;'Funnel setup'!$K$4&amp;'Funnel setup'!$K$6,".",IF(A6286=".",1,A6286+1))</f>
        <v>.</v>
      </c>
      <c r="B6287" s="244" t="str">
        <f t="shared" si="98"/>
        <v/>
      </c>
    </row>
    <row r="6288" spans="1:2" x14ac:dyDescent="0.25">
      <c r="A6288" t="str">
        <f>IF(C6288&amp;G6288&amp;D6288&lt;&gt;'Funnel setup'!$K$3&amp;'Funnel setup'!$K$4&amp;'Funnel setup'!$K$6,".",IF(A6287=".",1,A6287+1))</f>
        <v>.</v>
      </c>
      <c r="B6288" s="244" t="str">
        <f t="shared" si="98"/>
        <v/>
      </c>
    </row>
    <row r="6289" spans="1:2" x14ac:dyDescent="0.25">
      <c r="A6289" t="str">
        <f>IF(C6289&amp;G6289&amp;D6289&lt;&gt;'Funnel setup'!$K$3&amp;'Funnel setup'!$K$4&amp;'Funnel setup'!$K$6,".",IF(A6288=".",1,A6288+1))</f>
        <v>.</v>
      </c>
      <c r="B6289" s="244" t="str">
        <f t="shared" si="98"/>
        <v/>
      </c>
    </row>
    <row r="6290" spans="1:2" x14ac:dyDescent="0.25">
      <c r="A6290" t="str">
        <f>IF(C6290&amp;G6290&amp;D6290&lt;&gt;'Funnel setup'!$K$3&amp;'Funnel setup'!$K$4&amp;'Funnel setup'!$K$6,".",IF(A6289=".",1,A6289+1))</f>
        <v>.</v>
      </c>
      <c r="B6290" s="244" t="str">
        <f t="shared" si="98"/>
        <v/>
      </c>
    </row>
    <row r="6291" spans="1:2" x14ac:dyDescent="0.25">
      <c r="A6291" t="str">
        <f>IF(C6291&amp;G6291&amp;D6291&lt;&gt;'Funnel setup'!$K$3&amp;'Funnel setup'!$K$4&amp;'Funnel setup'!$K$6,".",IF(A6290=".",1,A6290+1))</f>
        <v>.</v>
      </c>
      <c r="B6291" s="244" t="str">
        <f t="shared" si="98"/>
        <v/>
      </c>
    </row>
    <row r="6292" spans="1:2" x14ac:dyDescent="0.25">
      <c r="A6292" t="str">
        <f>IF(C6292&amp;G6292&amp;D6292&lt;&gt;'Funnel setup'!$K$3&amp;'Funnel setup'!$K$4&amp;'Funnel setup'!$K$6,".",IF(A6291=".",1,A6291+1))</f>
        <v>.</v>
      </c>
      <c r="B6292" s="244" t="str">
        <f t="shared" si="98"/>
        <v/>
      </c>
    </row>
    <row r="6293" spans="1:2" x14ac:dyDescent="0.25">
      <c r="A6293" t="str">
        <f>IF(C6293&amp;G6293&amp;D6293&lt;&gt;'Funnel setup'!$K$3&amp;'Funnel setup'!$K$4&amp;'Funnel setup'!$K$6,".",IF(A6292=".",1,A6292+1))</f>
        <v>.</v>
      </c>
      <c r="B6293" s="244" t="str">
        <f t="shared" si="98"/>
        <v/>
      </c>
    </row>
    <row r="6294" spans="1:2" x14ac:dyDescent="0.25">
      <c r="A6294" t="str">
        <f>IF(C6294&amp;G6294&amp;D6294&lt;&gt;'Funnel setup'!$K$3&amp;'Funnel setup'!$K$4&amp;'Funnel setup'!$K$6,".",IF(A6293=".",1,A6293+1))</f>
        <v>.</v>
      </c>
      <c r="B6294" s="244" t="str">
        <f t="shared" si="98"/>
        <v/>
      </c>
    </row>
    <row r="6295" spans="1:2" x14ac:dyDescent="0.25">
      <c r="A6295" t="str">
        <f>IF(C6295&amp;G6295&amp;D6295&lt;&gt;'Funnel setup'!$K$3&amp;'Funnel setup'!$K$4&amp;'Funnel setup'!$K$6,".",IF(A6294=".",1,A6294+1))</f>
        <v>.</v>
      </c>
      <c r="B6295" s="244" t="str">
        <f t="shared" si="98"/>
        <v/>
      </c>
    </row>
    <row r="6296" spans="1:2" x14ac:dyDescent="0.25">
      <c r="A6296" t="str">
        <f>IF(C6296&amp;G6296&amp;D6296&lt;&gt;'Funnel setup'!$K$3&amp;'Funnel setup'!$K$4&amp;'Funnel setup'!$K$6,".",IF(A6295=".",1,A6295+1))</f>
        <v>.</v>
      </c>
      <c r="B6296" s="244" t="str">
        <f t="shared" si="98"/>
        <v/>
      </c>
    </row>
    <row r="6297" spans="1:2" x14ac:dyDescent="0.25">
      <c r="A6297" t="str">
        <f>IF(C6297&amp;G6297&amp;D6297&lt;&gt;'Funnel setup'!$K$3&amp;'Funnel setup'!$K$4&amp;'Funnel setup'!$K$6,".",IF(A6296=".",1,A6296+1))</f>
        <v>.</v>
      </c>
      <c r="B6297" s="244" t="str">
        <f t="shared" si="98"/>
        <v/>
      </c>
    </row>
    <row r="6298" spans="1:2" x14ac:dyDescent="0.25">
      <c r="A6298" t="str">
        <f>IF(C6298&amp;G6298&amp;D6298&lt;&gt;'Funnel setup'!$K$3&amp;'Funnel setup'!$K$4&amp;'Funnel setup'!$K$6,".",IF(A6297=".",1,A6297+1))</f>
        <v>.</v>
      </c>
      <c r="B6298" s="244" t="str">
        <f t="shared" si="98"/>
        <v/>
      </c>
    </row>
    <row r="6299" spans="1:2" x14ac:dyDescent="0.25">
      <c r="A6299" t="str">
        <f>IF(C6299&amp;G6299&amp;D6299&lt;&gt;'Funnel setup'!$K$3&amp;'Funnel setup'!$K$4&amp;'Funnel setup'!$K$6,".",IF(A6298=".",1,A6298+1))</f>
        <v>.</v>
      </c>
      <c r="B6299" s="244" t="str">
        <f t="shared" si="98"/>
        <v/>
      </c>
    </row>
    <row r="6300" spans="1:2" x14ac:dyDescent="0.25">
      <c r="A6300" t="str">
        <f>IF(C6300&amp;G6300&amp;D6300&lt;&gt;'Funnel setup'!$K$3&amp;'Funnel setup'!$K$4&amp;'Funnel setup'!$K$6,".",IF(A6299=".",1,A6299+1))</f>
        <v>.</v>
      </c>
      <c r="B6300" s="244" t="str">
        <f t="shared" si="98"/>
        <v/>
      </c>
    </row>
    <row r="6301" spans="1:2" x14ac:dyDescent="0.25">
      <c r="A6301" t="str">
        <f>IF(C6301&amp;G6301&amp;D6301&lt;&gt;'Funnel setup'!$K$3&amp;'Funnel setup'!$K$4&amp;'Funnel setup'!$K$6,".",IF(A6300=".",1,A6300+1))</f>
        <v>.</v>
      </c>
      <c r="B6301" s="244" t="str">
        <f t="shared" si="98"/>
        <v/>
      </c>
    </row>
    <row r="6302" spans="1:2" x14ac:dyDescent="0.25">
      <c r="A6302" t="str">
        <f>IF(C6302&amp;G6302&amp;D6302&lt;&gt;'Funnel setup'!$K$3&amp;'Funnel setup'!$K$4&amp;'Funnel setup'!$K$6,".",IF(A6301=".",1,A6301+1))</f>
        <v>.</v>
      </c>
      <c r="B6302" s="244" t="str">
        <f t="shared" si="98"/>
        <v/>
      </c>
    </row>
    <row r="6303" spans="1:2" x14ac:dyDescent="0.25">
      <c r="A6303" t="str">
        <f>IF(C6303&amp;G6303&amp;D6303&lt;&gt;'Funnel setup'!$K$3&amp;'Funnel setup'!$K$4&amp;'Funnel setup'!$K$6,".",IF(A6302=".",1,A6302+1))</f>
        <v>.</v>
      </c>
      <c r="B6303" s="244" t="str">
        <f t="shared" si="98"/>
        <v/>
      </c>
    </row>
    <row r="6304" spans="1:2" x14ac:dyDescent="0.25">
      <c r="A6304" t="str">
        <f>IF(C6304&amp;G6304&amp;D6304&lt;&gt;'Funnel setup'!$K$3&amp;'Funnel setup'!$K$4&amp;'Funnel setup'!$K$6,".",IF(A6303=".",1,A6303+1))</f>
        <v>.</v>
      </c>
      <c r="B6304" s="244" t="str">
        <f t="shared" si="98"/>
        <v/>
      </c>
    </row>
    <row r="6305" spans="1:2" x14ac:dyDescent="0.25">
      <c r="A6305" t="str">
        <f>IF(C6305&amp;G6305&amp;D6305&lt;&gt;'Funnel setup'!$K$3&amp;'Funnel setup'!$K$4&amp;'Funnel setup'!$K$6,".",IF(A6304=".",1,A6304+1))</f>
        <v>.</v>
      </c>
      <c r="B6305" s="244" t="str">
        <f t="shared" si="98"/>
        <v/>
      </c>
    </row>
    <row r="6306" spans="1:2" x14ac:dyDescent="0.25">
      <c r="A6306" t="str">
        <f>IF(C6306&amp;G6306&amp;D6306&lt;&gt;'Funnel setup'!$K$3&amp;'Funnel setup'!$K$4&amp;'Funnel setup'!$K$6,".",IF(A6305=".",1,A6305+1))</f>
        <v>.</v>
      </c>
      <c r="B6306" s="244" t="str">
        <f t="shared" si="98"/>
        <v/>
      </c>
    </row>
    <row r="6307" spans="1:2" x14ac:dyDescent="0.25">
      <c r="A6307" t="str">
        <f>IF(C6307&amp;G6307&amp;D6307&lt;&gt;'Funnel setup'!$K$3&amp;'Funnel setup'!$K$4&amp;'Funnel setup'!$K$6,".",IF(A6306=".",1,A6306+1))</f>
        <v>.</v>
      </c>
      <c r="B6307" s="244" t="str">
        <f t="shared" si="98"/>
        <v/>
      </c>
    </row>
    <row r="6308" spans="1:2" x14ac:dyDescent="0.25">
      <c r="A6308" t="str">
        <f>IF(C6308&amp;G6308&amp;D6308&lt;&gt;'Funnel setup'!$K$3&amp;'Funnel setup'!$K$4&amp;'Funnel setup'!$K$6,".",IF(A6307=".",1,A6307+1))</f>
        <v>.</v>
      </c>
      <c r="B6308" s="244" t="str">
        <f t="shared" si="98"/>
        <v/>
      </c>
    </row>
    <row r="6309" spans="1:2" x14ac:dyDescent="0.25">
      <c r="A6309" t="str">
        <f>IF(C6309&amp;G6309&amp;D6309&lt;&gt;'Funnel setup'!$K$3&amp;'Funnel setup'!$K$4&amp;'Funnel setup'!$K$6,".",IF(A6308=".",1,A6308+1))</f>
        <v>.</v>
      </c>
      <c r="B6309" s="244" t="str">
        <f t="shared" si="98"/>
        <v/>
      </c>
    </row>
    <row r="6310" spans="1:2" x14ac:dyDescent="0.25">
      <c r="A6310" t="str">
        <f>IF(C6310&amp;G6310&amp;D6310&lt;&gt;'Funnel setup'!$K$3&amp;'Funnel setup'!$K$4&amp;'Funnel setup'!$K$6,".",IF(A6309=".",1,A6309+1))</f>
        <v>.</v>
      </c>
      <c r="B6310" s="244" t="str">
        <f t="shared" si="98"/>
        <v/>
      </c>
    </row>
    <row r="6311" spans="1:2" x14ac:dyDescent="0.25">
      <c r="A6311" t="str">
        <f>IF(C6311&amp;G6311&amp;D6311&lt;&gt;'Funnel setup'!$K$3&amp;'Funnel setup'!$K$4&amp;'Funnel setup'!$K$6,".",IF(A6310=".",1,A6310+1))</f>
        <v>.</v>
      </c>
      <c r="B6311" s="244" t="str">
        <f t="shared" si="98"/>
        <v/>
      </c>
    </row>
    <row r="6312" spans="1:2" x14ac:dyDescent="0.25">
      <c r="A6312" t="str">
        <f>IF(C6312&amp;G6312&amp;D6312&lt;&gt;'Funnel setup'!$K$3&amp;'Funnel setup'!$K$4&amp;'Funnel setup'!$K$6,".",IF(A6311=".",1,A6311+1))</f>
        <v>.</v>
      </c>
      <c r="B6312" s="244" t="str">
        <f t="shared" si="98"/>
        <v/>
      </c>
    </row>
    <row r="6313" spans="1:2" x14ac:dyDescent="0.25">
      <c r="A6313" t="str">
        <f>IF(C6313&amp;G6313&amp;D6313&lt;&gt;'Funnel setup'!$K$3&amp;'Funnel setup'!$K$4&amp;'Funnel setup'!$K$6,".",IF(A6312=".",1,A6312+1))</f>
        <v>.</v>
      </c>
      <c r="B6313" s="244" t="str">
        <f t="shared" si="98"/>
        <v/>
      </c>
    </row>
    <row r="6314" spans="1:2" x14ac:dyDescent="0.25">
      <c r="A6314" t="str">
        <f>IF(C6314&amp;G6314&amp;D6314&lt;&gt;'Funnel setup'!$K$3&amp;'Funnel setup'!$K$4&amp;'Funnel setup'!$K$6,".",IF(A6313=".",1,A6313+1))</f>
        <v>.</v>
      </c>
      <c r="B6314" s="244" t="str">
        <f t="shared" si="98"/>
        <v/>
      </c>
    </row>
    <row r="6315" spans="1:2" x14ac:dyDescent="0.25">
      <c r="A6315" t="str">
        <f>IF(C6315&amp;G6315&amp;D6315&lt;&gt;'Funnel setup'!$K$3&amp;'Funnel setup'!$K$4&amp;'Funnel setup'!$K$6,".",IF(A6314=".",1,A6314+1))</f>
        <v>.</v>
      </c>
      <c r="B6315" s="244" t="str">
        <f t="shared" si="98"/>
        <v/>
      </c>
    </row>
    <row r="6316" spans="1:2" x14ac:dyDescent="0.25">
      <c r="A6316" t="str">
        <f>IF(C6316&amp;G6316&amp;D6316&lt;&gt;'Funnel setup'!$K$3&amp;'Funnel setup'!$K$4&amp;'Funnel setup'!$K$6,".",IF(A6315=".",1,A6315+1))</f>
        <v>.</v>
      </c>
      <c r="B6316" s="244" t="str">
        <f t="shared" si="98"/>
        <v/>
      </c>
    </row>
    <row r="6317" spans="1:2" x14ac:dyDescent="0.25">
      <c r="A6317" t="str">
        <f>IF(C6317&amp;G6317&amp;D6317&lt;&gt;'Funnel setup'!$K$3&amp;'Funnel setup'!$K$4&amp;'Funnel setup'!$K$6,".",IF(A6316=".",1,A6316+1))</f>
        <v>.</v>
      </c>
      <c r="B6317" s="244" t="str">
        <f t="shared" si="98"/>
        <v/>
      </c>
    </row>
    <row r="6318" spans="1:2" x14ac:dyDescent="0.25">
      <c r="A6318" t="str">
        <f>IF(C6318&amp;G6318&amp;D6318&lt;&gt;'Funnel setup'!$K$3&amp;'Funnel setup'!$K$4&amp;'Funnel setup'!$K$6,".",IF(A6317=".",1,A6317+1))</f>
        <v>.</v>
      </c>
      <c r="B6318" s="244" t="str">
        <f t="shared" si="98"/>
        <v/>
      </c>
    </row>
    <row r="6319" spans="1:2" x14ac:dyDescent="0.25">
      <c r="A6319" t="str">
        <f>IF(C6319&amp;G6319&amp;D6319&lt;&gt;'Funnel setup'!$K$3&amp;'Funnel setup'!$K$4&amp;'Funnel setup'!$K$6,".",IF(A6318=".",1,A6318+1))</f>
        <v>.</v>
      </c>
      <c r="B6319" s="244" t="str">
        <f t="shared" si="98"/>
        <v/>
      </c>
    </row>
    <row r="6320" spans="1:2" x14ac:dyDescent="0.25">
      <c r="A6320" t="str">
        <f>IF(C6320&amp;G6320&amp;D6320&lt;&gt;'Funnel setup'!$K$3&amp;'Funnel setup'!$K$4&amp;'Funnel setup'!$K$6,".",IF(A6319=".",1,A6319+1))</f>
        <v>.</v>
      </c>
      <c r="B6320" s="244" t="str">
        <f t="shared" si="98"/>
        <v/>
      </c>
    </row>
    <row r="6321" spans="1:2" x14ac:dyDescent="0.25">
      <c r="A6321" t="str">
        <f>IF(C6321&amp;G6321&amp;D6321&lt;&gt;'Funnel setup'!$K$3&amp;'Funnel setup'!$K$4&amp;'Funnel setup'!$K$6,".",IF(A6320=".",1,A6320+1))</f>
        <v>.</v>
      </c>
      <c r="B6321" s="244" t="str">
        <f t="shared" si="98"/>
        <v/>
      </c>
    </row>
    <row r="6322" spans="1:2" x14ac:dyDescent="0.25">
      <c r="A6322" t="str">
        <f>IF(C6322&amp;G6322&amp;D6322&lt;&gt;'Funnel setup'!$K$3&amp;'Funnel setup'!$K$4&amp;'Funnel setup'!$K$6,".",IF(A6321=".",1,A6321+1))</f>
        <v>.</v>
      </c>
      <c r="B6322" s="244" t="str">
        <f t="shared" si="98"/>
        <v/>
      </c>
    </row>
    <row r="6323" spans="1:2" x14ac:dyDescent="0.25">
      <c r="A6323" t="str">
        <f>IF(C6323&amp;G6323&amp;D6323&lt;&gt;'Funnel setup'!$K$3&amp;'Funnel setup'!$K$4&amp;'Funnel setup'!$K$6,".",IF(A6322=".",1,A6322+1))</f>
        <v>.</v>
      </c>
      <c r="B6323" s="244" t="str">
        <f t="shared" si="98"/>
        <v/>
      </c>
    </row>
    <row r="6324" spans="1:2" x14ac:dyDescent="0.25">
      <c r="A6324" t="str">
        <f>IF(C6324&amp;G6324&amp;D6324&lt;&gt;'Funnel setup'!$K$3&amp;'Funnel setup'!$K$4&amp;'Funnel setup'!$K$6,".",IF(A6323=".",1,A6323+1))</f>
        <v>.</v>
      </c>
      <c r="B6324" s="244" t="str">
        <f t="shared" si="98"/>
        <v/>
      </c>
    </row>
    <row r="6325" spans="1:2" x14ac:dyDescent="0.25">
      <c r="A6325" t="str">
        <f>IF(C6325&amp;G6325&amp;D6325&lt;&gt;'Funnel setup'!$K$3&amp;'Funnel setup'!$K$4&amp;'Funnel setup'!$K$6,".",IF(A6324=".",1,A6324+1))</f>
        <v>.</v>
      </c>
      <c r="B6325" s="244" t="str">
        <f t="shared" si="98"/>
        <v/>
      </c>
    </row>
    <row r="6326" spans="1:2" x14ac:dyDescent="0.25">
      <c r="A6326" t="str">
        <f>IF(C6326&amp;G6326&amp;D6326&lt;&gt;'Funnel setup'!$K$3&amp;'Funnel setup'!$K$4&amp;'Funnel setup'!$K$6,".",IF(A6325=".",1,A6325+1))</f>
        <v>.</v>
      </c>
      <c r="B6326" s="244" t="str">
        <f t="shared" si="98"/>
        <v/>
      </c>
    </row>
    <row r="6327" spans="1:2" x14ac:dyDescent="0.25">
      <c r="A6327" t="str">
        <f>IF(C6327&amp;G6327&amp;D6327&lt;&gt;'Funnel setup'!$K$3&amp;'Funnel setup'!$K$4&amp;'Funnel setup'!$K$6,".",IF(A6326=".",1,A6326+1))</f>
        <v>.</v>
      </c>
      <c r="B6327" s="244" t="str">
        <f t="shared" si="98"/>
        <v/>
      </c>
    </row>
    <row r="6328" spans="1:2" x14ac:dyDescent="0.25">
      <c r="A6328" t="str">
        <f>IF(C6328&amp;G6328&amp;D6328&lt;&gt;'Funnel setup'!$K$3&amp;'Funnel setup'!$K$4&amp;'Funnel setup'!$K$6,".",IF(A6327=".",1,A6327+1))</f>
        <v>.</v>
      </c>
      <c r="B6328" s="244" t="str">
        <f t="shared" si="98"/>
        <v/>
      </c>
    </row>
    <row r="6329" spans="1:2" x14ac:dyDescent="0.25">
      <c r="A6329" t="str">
        <f>IF(C6329&amp;G6329&amp;D6329&lt;&gt;'Funnel setup'!$K$3&amp;'Funnel setup'!$K$4&amp;'Funnel setup'!$K$6,".",IF(A6328=".",1,A6328+1))</f>
        <v>.</v>
      </c>
      <c r="B6329" s="244" t="str">
        <f t="shared" si="98"/>
        <v/>
      </c>
    </row>
    <row r="6330" spans="1:2" x14ac:dyDescent="0.25">
      <c r="A6330" t="str">
        <f>IF(C6330&amp;G6330&amp;D6330&lt;&gt;'Funnel setup'!$K$3&amp;'Funnel setup'!$K$4&amp;'Funnel setup'!$K$6,".",IF(A6329=".",1,A6329+1))</f>
        <v>.</v>
      </c>
      <c r="B6330" s="244" t="str">
        <f t="shared" si="98"/>
        <v/>
      </c>
    </row>
    <row r="6331" spans="1:2" x14ac:dyDescent="0.25">
      <c r="A6331" t="str">
        <f>IF(C6331&amp;G6331&amp;D6331&lt;&gt;'Funnel setup'!$K$3&amp;'Funnel setup'!$K$4&amp;'Funnel setup'!$K$6,".",IF(A6330=".",1,A6330+1))</f>
        <v>.</v>
      </c>
      <c r="B6331" s="244" t="str">
        <f t="shared" si="98"/>
        <v/>
      </c>
    </row>
    <row r="6332" spans="1:2" x14ac:dyDescent="0.25">
      <c r="A6332" t="str">
        <f>IF(C6332&amp;G6332&amp;D6332&lt;&gt;'Funnel setup'!$K$3&amp;'Funnel setup'!$K$4&amp;'Funnel setup'!$K$6,".",IF(A6331=".",1,A6331+1))</f>
        <v>.</v>
      </c>
      <c r="B6332" s="244" t="str">
        <f t="shared" si="98"/>
        <v/>
      </c>
    </row>
    <row r="6333" spans="1:2" x14ac:dyDescent="0.25">
      <c r="A6333" t="str">
        <f>IF(C6333&amp;G6333&amp;D6333&lt;&gt;'Funnel setup'!$K$3&amp;'Funnel setup'!$K$4&amp;'Funnel setup'!$K$6,".",IF(A6332=".",1,A6332+1))</f>
        <v>.</v>
      </c>
      <c r="B6333" s="244" t="str">
        <f t="shared" si="98"/>
        <v/>
      </c>
    </row>
    <row r="6334" spans="1:2" x14ac:dyDescent="0.25">
      <c r="A6334" t="str">
        <f>IF(C6334&amp;G6334&amp;D6334&lt;&gt;'Funnel setup'!$K$3&amp;'Funnel setup'!$K$4&amp;'Funnel setup'!$K$6,".",IF(A6333=".",1,A6333+1))</f>
        <v>.</v>
      </c>
      <c r="B6334" s="244" t="str">
        <f t="shared" si="98"/>
        <v/>
      </c>
    </row>
    <row r="6335" spans="1:2" x14ac:dyDescent="0.25">
      <c r="A6335" t="str">
        <f>IF(C6335&amp;G6335&amp;D6335&lt;&gt;'Funnel setup'!$K$3&amp;'Funnel setup'!$K$4&amp;'Funnel setup'!$K$6,".",IF(A6334=".",1,A6334+1))</f>
        <v>.</v>
      </c>
      <c r="B6335" s="244" t="str">
        <f t="shared" si="98"/>
        <v/>
      </c>
    </row>
    <row r="6336" spans="1:2" x14ac:dyDescent="0.25">
      <c r="A6336" t="str">
        <f>IF(C6336&amp;G6336&amp;D6336&lt;&gt;'Funnel setup'!$K$3&amp;'Funnel setup'!$K$4&amp;'Funnel setup'!$K$6,".",IF(A6335=".",1,A6335+1))</f>
        <v>.</v>
      </c>
      <c r="B6336" s="244" t="str">
        <f t="shared" si="98"/>
        <v/>
      </c>
    </row>
    <row r="6337" spans="1:2" x14ac:dyDescent="0.25">
      <c r="A6337" t="str">
        <f>IF(C6337&amp;G6337&amp;D6337&lt;&gt;'Funnel setup'!$K$3&amp;'Funnel setup'!$K$4&amp;'Funnel setup'!$K$6,".",IF(A6336=".",1,A6336+1))</f>
        <v>.</v>
      </c>
      <c r="B6337" s="244" t="str">
        <f t="shared" si="98"/>
        <v/>
      </c>
    </row>
    <row r="6338" spans="1:2" x14ac:dyDescent="0.25">
      <c r="A6338" t="str">
        <f>IF(C6338&amp;G6338&amp;D6338&lt;&gt;'Funnel setup'!$K$3&amp;'Funnel setup'!$K$4&amp;'Funnel setup'!$K$6,".",IF(A6337=".",1,A6337+1))</f>
        <v>.</v>
      </c>
      <c r="B6338" s="244" t="str">
        <f t="shared" ref="B6338:B6401" si="99">C6338&amp;D6338&amp;F6338&amp;G6338</f>
        <v/>
      </c>
    </row>
    <row r="6339" spans="1:2" x14ac:dyDescent="0.25">
      <c r="A6339" t="str">
        <f>IF(C6339&amp;G6339&amp;D6339&lt;&gt;'Funnel setup'!$K$3&amp;'Funnel setup'!$K$4&amp;'Funnel setup'!$K$6,".",IF(A6338=".",1,A6338+1))</f>
        <v>.</v>
      </c>
      <c r="B6339" s="244" t="str">
        <f t="shared" si="99"/>
        <v/>
      </c>
    </row>
    <row r="6340" spans="1:2" x14ac:dyDescent="0.25">
      <c r="A6340" t="str">
        <f>IF(C6340&amp;G6340&amp;D6340&lt;&gt;'Funnel setup'!$K$3&amp;'Funnel setup'!$K$4&amp;'Funnel setup'!$K$6,".",IF(A6339=".",1,A6339+1))</f>
        <v>.</v>
      </c>
      <c r="B6340" s="244" t="str">
        <f t="shared" si="99"/>
        <v/>
      </c>
    </row>
    <row r="6341" spans="1:2" x14ac:dyDescent="0.25">
      <c r="A6341" t="str">
        <f>IF(C6341&amp;G6341&amp;D6341&lt;&gt;'Funnel setup'!$K$3&amp;'Funnel setup'!$K$4&amp;'Funnel setup'!$K$6,".",IF(A6340=".",1,A6340+1))</f>
        <v>.</v>
      </c>
      <c r="B6341" s="244" t="str">
        <f t="shared" si="99"/>
        <v/>
      </c>
    </row>
    <row r="6342" spans="1:2" x14ac:dyDescent="0.25">
      <c r="A6342" t="str">
        <f>IF(C6342&amp;G6342&amp;D6342&lt;&gt;'Funnel setup'!$K$3&amp;'Funnel setup'!$K$4&amp;'Funnel setup'!$K$6,".",IF(A6341=".",1,A6341+1))</f>
        <v>.</v>
      </c>
      <c r="B6342" s="244" t="str">
        <f t="shared" si="99"/>
        <v/>
      </c>
    </row>
    <row r="6343" spans="1:2" x14ac:dyDescent="0.25">
      <c r="A6343" t="str">
        <f>IF(C6343&amp;G6343&amp;D6343&lt;&gt;'Funnel setup'!$K$3&amp;'Funnel setup'!$K$4&amp;'Funnel setup'!$K$6,".",IF(A6342=".",1,A6342+1))</f>
        <v>.</v>
      </c>
      <c r="B6343" s="244" t="str">
        <f t="shared" si="99"/>
        <v/>
      </c>
    </row>
    <row r="6344" spans="1:2" x14ac:dyDescent="0.25">
      <c r="A6344" t="str">
        <f>IF(C6344&amp;G6344&amp;D6344&lt;&gt;'Funnel setup'!$K$3&amp;'Funnel setup'!$K$4&amp;'Funnel setup'!$K$6,".",IF(A6343=".",1,A6343+1))</f>
        <v>.</v>
      </c>
      <c r="B6344" s="244" t="str">
        <f t="shared" si="99"/>
        <v/>
      </c>
    </row>
    <row r="6345" spans="1:2" x14ac:dyDescent="0.25">
      <c r="A6345" t="str">
        <f>IF(C6345&amp;G6345&amp;D6345&lt;&gt;'Funnel setup'!$K$3&amp;'Funnel setup'!$K$4&amp;'Funnel setup'!$K$6,".",IF(A6344=".",1,A6344+1))</f>
        <v>.</v>
      </c>
      <c r="B6345" s="244" t="str">
        <f t="shared" si="99"/>
        <v/>
      </c>
    </row>
    <row r="6346" spans="1:2" x14ac:dyDescent="0.25">
      <c r="A6346" t="str">
        <f>IF(C6346&amp;G6346&amp;D6346&lt;&gt;'Funnel setup'!$K$3&amp;'Funnel setup'!$K$4&amp;'Funnel setup'!$K$6,".",IF(A6345=".",1,A6345+1))</f>
        <v>.</v>
      </c>
      <c r="B6346" s="244" t="str">
        <f t="shared" si="99"/>
        <v/>
      </c>
    </row>
    <row r="6347" spans="1:2" x14ac:dyDescent="0.25">
      <c r="A6347" t="str">
        <f>IF(C6347&amp;G6347&amp;D6347&lt;&gt;'Funnel setup'!$K$3&amp;'Funnel setup'!$K$4&amp;'Funnel setup'!$K$6,".",IF(A6346=".",1,A6346+1))</f>
        <v>.</v>
      </c>
      <c r="B6347" s="244" t="str">
        <f t="shared" si="99"/>
        <v/>
      </c>
    </row>
    <row r="6348" spans="1:2" x14ac:dyDescent="0.25">
      <c r="A6348" t="str">
        <f>IF(C6348&amp;G6348&amp;D6348&lt;&gt;'Funnel setup'!$K$3&amp;'Funnel setup'!$K$4&amp;'Funnel setup'!$K$6,".",IF(A6347=".",1,A6347+1))</f>
        <v>.</v>
      </c>
      <c r="B6348" s="244" t="str">
        <f t="shared" si="99"/>
        <v/>
      </c>
    </row>
    <row r="6349" spans="1:2" x14ac:dyDescent="0.25">
      <c r="A6349" t="str">
        <f>IF(C6349&amp;G6349&amp;D6349&lt;&gt;'Funnel setup'!$K$3&amp;'Funnel setup'!$K$4&amp;'Funnel setup'!$K$6,".",IF(A6348=".",1,A6348+1))</f>
        <v>.</v>
      </c>
      <c r="B6349" s="244" t="str">
        <f t="shared" si="99"/>
        <v/>
      </c>
    </row>
    <row r="6350" spans="1:2" x14ac:dyDescent="0.25">
      <c r="A6350" t="str">
        <f>IF(C6350&amp;G6350&amp;D6350&lt;&gt;'Funnel setup'!$K$3&amp;'Funnel setup'!$K$4&amp;'Funnel setup'!$K$6,".",IF(A6349=".",1,A6349+1))</f>
        <v>.</v>
      </c>
      <c r="B6350" s="244" t="str">
        <f t="shared" si="99"/>
        <v/>
      </c>
    </row>
    <row r="6351" spans="1:2" x14ac:dyDescent="0.25">
      <c r="A6351" t="str">
        <f>IF(C6351&amp;G6351&amp;D6351&lt;&gt;'Funnel setup'!$K$3&amp;'Funnel setup'!$K$4&amp;'Funnel setup'!$K$6,".",IF(A6350=".",1,A6350+1))</f>
        <v>.</v>
      </c>
      <c r="B6351" s="244" t="str">
        <f t="shared" si="99"/>
        <v/>
      </c>
    </row>
    <row r="6352" spans="1:2" x14ac:dyDescent="0.25">
      <c r="A6352" t="str">
        <f>IF(C6352&amp;G6352&amp;D6352&lt;&gt;'Funnel setup'!$K$3&amp;'Funnel setup'!$K$4&amp;'Funnel setup'!$K$6,".",IF(A6351=".",1,A6351+1))</f>
        <v>.</v>
      </c>
      <c r="B6352" s="244" t="str">
        <f t="shared" si="99"/>
        <v/>
      </c>
    </row>
    <row r="6353" spans="1:2" x14ac:dyDescent="0.25">
      <c r="A6353" t="str">
        <f>IF(C6353&amp;G6353&amp;D6353&lt;&gt;'Funnel setup'!$K$3&amp;'Funnel setup'!$K$4&amp;'Funnel setup'!$K$6,".",IF(A6352=".",1,A6352+1))</f>
        <v>.</v>
      </c>
      <c r="B6353" s="244" t="str">
        <f t="shared" si="99"/>
        <v/>
      </c>
    </row>
    <row r="6354" spans="1:2" x14ac:dyDescent="0.25">
      <c r="A6354" t="str">
        <f>IF(C6354&amp;G6354&amp;D6354&lt;&gt;'Funnel setup'!$K$3&amp;'Funnel setup'!$K$4&amp;'Funnel setup'!$K$6,".",IF(A6353=".",1,A6353+1))</f>
        <v>.</v>
      </c>
      <c r="B6354" s="244" t="str">
        <f t="shared" si="99"/>
        <v/>
      </c>
    </row>
    <row r="6355" spans="1:2" x14ac:dyDescent="0.25">
      <c r="A6355" t="str">
        <f>IF(C6355&amp;G6355&amp;D6355&lt;&gt;'Funnel setup'!$K$3&amp;'Funnel setup'!$K$4&amp;'Funnel setup'!$K$6,".",IF(A6354=".",1,A6354+1))</f>
        <v>.</v>
      </c>
      <c r="B6355" s="244" t="str">
        <f t="shared" si="99"/>
        <v/>
      </c>
    </row>
    <row r="6356" spans="1:2" x14ac:dyDescent="0.25">
      <c r="A6356" t="str">
        <f>IF(C6356&amp;G6356&amp;D6356&lt;&gt;'Funnel setup'!$K$3&amp;'Funnel setup'!$K$4&amp;'Funnel setup'!$K$6,".",IF(A6355=".",1,A6355+1))</f>
        <v>.</v>
      </c>
      <c r="B6356" s="244" t="str">
        <f t="shared" si="99"/>
        <v/>
      </c>
    </row>
    <row r="6357" spans="1:2" x14ac:dyDescent="0.25">
      <c r="A6357" t="str">
        <f>IF(C6357&amp;G6357&amp;D6357&lt;&gt;'Funnel setup'!$K$3&amp;'Funnel setup'!$K$4&amp;'Funnel setup'!$K$6,".",IF(A6356=".",1,A6356+1))</f>
        <v>.</v>
      </c>
      <c r="B6357" s="244" t="str">
        <f t="shared" si="99"/>
        <v/>
      </c>
    </row>
    <row r="6358" spans="1:2" x14ac:dyDescent="0.25">
      <c r="A6358" t="str">
        <f>IF(C6358&amp;G6358&amp;D6358&lt;&gt;'Funnel setup'!$K$3&amp;'Funnel setup'!$K$4&amp;'Funnel setup'!$K$6,".",IF(A6357=".",1,A6357+1))</f>
        <v>.</v>
      </c>
      <c r="B6358" s="244" t="str">
        <f t="shared" si="99"/>
        <v/>
      </c>
    </row>
    <row r="6359" spans="1:2" x14ac:dyDescent="0.25">
      <c r="A6359" t="str">
        <f>IF(C6359&amp;G6359&amp;D6359&lt;&gt;'Funnel setup'!$K$3&amp;'Funnel setup'!$K$4&amp;'Funnel setup'!$K$6,".",IF(A6358=".",1,A6358+1))</f>
        <v>.</v>
      </c>
      <c r="B6359" s="244" t="str">
        <f t="shared" si="99"/>
        <v/>
      </c>
    </row>
    <row r="6360" spans="1:2" x14ac:dyDescent="0.25">
      <c r="A6360" t="str">
        <f>IF(C6360&amp;G6360&amp;D6360&lt;&gt;'Funnel setup'!$K$3&amp;'Funnel setup'!$K$4&amp;'Funnel setup'!$K$6,".",IF(A6359=".",1,A6359+1))</f>
        <v>.</v>
      </c>
      <c r="B6360" s="244" t="str">
        <f t="shared" si="99"/>
        <v/>
      </c>
    </row>
    <row r="6361" spans="1:2" x14ac:dyDescent="0.25">
      <c r="A6361" t="str">
        <f>IF(C6361&amp;G6361&amp;D6361&lt;&gt;'Funnel setup'!$K$3&amp;'Funnel setup'!$K$4&amp;'Funnel setup'!$K$6,".",IF(A6360=".",1,A6360+1))</f>
        <v>.</v>
      </c>
      <c r="B6361" s="244" t="str">
        <f t="shared" si="99"/>
        <v/>
      </c>
    </row>
    <row r="6362" spans="1:2" x14ac:dyDescent="0.25">
      <c r="A6362" t="str">
        <f>IF(C6362&amp;G6362&amp;D6362&lt;&gt;'Funnel setup'!$K$3&amp;'Funnel setup'!$K$4&amp;'Funnel setup'!$K$6,".",IF(A6361=".",1,A6361+1))</f>
        <v>.</v>
      </c>
      <c r="B6362" s="244" t="str">
        <f t="shared" si="99"/>
        <v/>
      </c>
    </row>
    <row r="6363" spans="1:2" x14ac:dyDescent="0.25">
      <c r="A6363" t="str">
        <f>IF(C6363&amp;G6363&amp;D6363&lt;&gt;'Funnel setup'!$K$3&amp;'Funnel setup'!$K$4&amp;'Funnel setup'!$K$6,".",IF(A6362=".",1,A6362+1))</f>
        <v>.</v>
      </c>
      <c r="B6363" s="244" t="str">
        <f t="shared" si="99"/>
        <v/>
      </c>
    </row>
    <row r="6364" spans="1:2" x14ac:dyDescent="0.25">
      <c r="A6364" t="str">
        <f>IF(C6364&amp;G6364&amp;D6364&lt;&gt;'Funnel setup'!$K$3&amp;'Funnel setup'!$K$4&amp;'Funnel setup'!$K$6,".",IF(A6363=".",1,A6363+1))</f>
        <v>.</v>
      </c>
      <c r="B6364" s="244" t="str">
        <f t="shared" si="99"/>
        <v/>
      </c>
    </row>
    <row r="6365" spans="1:2" x14ac:dyDescent="0.25">
      <c r="A6365" t="str">
        <f>IF(C6365&amp;G6365&amp;D6365&lt;&gt;'Funnel setup'!$K$3&amp;'Funnel setup'!$K$4&amp;'Funnel setup'!$K$6,".",IF(A6364=".",1,A6364+1))</f>
        <v>.</v>
      </c>
      <c r="B6365" s="244" t="str">
        <f t="shared" si="99"/>
        <v/>
      </c>
    </row>
    <row r="6366" spans="1:2" x14ac:dyDescent="0.25">
      <c r="A6366" t="str">
        <f>IF(C6366&amp;G6366&amp;D6366&lt;&gt;'Funnel setup'!$K$3&amp;'Funnel setup'!$K$4&amp;'Funnel setup'!$K$6,".",IF(A6365=".",1,A6365+1))</f>
        <v>.</v>
      </c>
      <c r="B6366" s="244" t="str">
        <f t="shared" si="99"/>
        <v/>
      </c>
    </row>
    <row r="6367" spans="1:2" x14ac:dyDescent="0.25">
      <c r="A6367" t="str">
        <f>IF(C6367&amp;G6367&amp;D6367&lt;&gt;'Funnel setup'!$K$3&amp;'Funnel setup'!$K$4&amp;'Funnel setup'!$K$6,".",IF(A6366=".",1,A6366+1))</f>
        <v>.</v>
      </c>
      <c r="B6367" s="244" t="str">
        <f t="shared" si="99"/>
        <v/>
      </c>
    </row>
    <row r="6368" spans="1:2" x14ac:dyDescent="0.25">
      <c r="A6368" t="str">
        <f>IF(C6368&amp;G6368&amp;D6368&lt;&gt;'Funnel setup'!$K$3&amp;'Funnel setup'!$K$4&amp;'Funnel setup'!$K$6,".",IF(A6367=".",1,A6367+1))</f>
        <v>.</v>
      </c>
      <c r="B6368" s="244" t="str">
        <f t="shared" si="99"/>
        <v/>
      </c>
    </row>
    <row r="6369" spans="1:2" x14ac:dyDescent="0.25">
      <c r="A6369" t="str">
        <f>IF(C6369&amp;G6369&amp;D6369&lt;&gt;'Funnel setup'!$K$3&amp;'Funnel setup'!$K$4&amp;'Funnel setup'!$K$6,".",IF(A6368=".",1,A6368+1))</f>
        <v>.</v>
      </c>
      <c r="B6369" s="244" t="str">
        <f t="shared" si="99"/>
        <v/>
      </c>
    </row>
    <row r="6370" spans="1:2" x14ac:dyDescent="0.25">
      <c r="A6370" t="str">
        <f>IF(C6370&amp;G6370&amp;D6370&lt;&gt;'Funnel setup'!$K$3&amp;'Funnel setup'!$K$4&amp;'Funnel setup'!$K$6,".",IF(A6369=".",1,A6369+1))</f>
        <v>.</v>
      </c>
      <c r="B6370" s="244" t="str">
        <f t="shared" si="99"/>
        <v/>
      </c>
    </row>
    <row r="6371" spans="1:2" x14ac:dyDescent="0.25">
      <c r="A6371" t="str">
        <f>IF(C6371&amp;G6371&amp;D6371&lt;&gt;'Funnel setup'!$K$3&amp;'Funnel setup'!$K$4&amp;'Funnel setup'!$K$6,".",IF(A6370=".",1,A6370+1))</f>
        <v>.</v>
      </c>
      <c r="B6371" s="244" t="str">
        <f t="shared" si="99"/>
        <v/>
      </c>
    </row>
    <row r="6372" spans="1:2" x14ac:dyDescent="0.25">
      <c r="A6372" t="str">
        <f>IF(C6372&amp;G6372&amp;D6372&lt;&gt;'Funnel setup'!$K$3&amp;'Funnel setup'!$K$4&amp;'Funnel setup'!$K$6,".",IF(A6371=".",1,A6371+1))</f>
        <v>.</v>
      </c>
      <c r="B6372" s="244" t="str">
        <f t="shared" si="99"/>
        <v/>
      </c>
    </row>
    <row r="6373" spans="1:2" x14ac:dyDescent="0.25">
      <c r="A6373" t="str">
        <f>IF(C6373&amp;G6373&amp;D6373&lt;&gt;'Funnel setup'!$K$3&amp;'Funnel setup'!$K$4&amp;'Funnel setup'!$K$6,".",IF(A6372=".",1,A6372+1))</f>
        <v>.</v>
      </c>
      <c r="B6373" s="244" t="str">
        <f t="shared" si="99"/>
        <v/>
      </c>
    </row>
    <row r="6374" spans="1:2" x14ac:dyDescent="0.25">
      <c r="A6374" t="str">
        <f>IF(C6374&amp;G6374&amp;D6374&lt;&gt;'Funnel setup'!$K$3&amp;'Funnel setup'!$K$4&amp;'Funnel setup'!$K$6,".",IF(A6373=".",1,A6373+1))</f>
        <v>.</v>
      </c>
      <c r="B6374" s="244" t="str">
        <f t="shared" si="99"/>
        <v/>
      </c>
    </row>
    <row r="6375" spans="1:2" x14ac:dyDescent="0.25">
      <c r="A6375" t="str">
        <f>IF(C6375&amp;G6375&amp;D6375&lt;&gt;'Funnel setup'!$K$3&amp;'Funnel setup'!$K$4&amp;'Funnel setup'!$K$6,".",IF(A6374=".",1,A6374+1))</f>
        <v>.</v>
      </c>
      <c r="B6375" s="244" t="str">
        <f t="shared" si="99"/>
        <v/>
      </c>
    </row>
    <row r="6376" spans="1:2" x14ac:dyDescent="0.25">
      <c r="A6376" t="str">
        <f>IF(C6376&amp;G6376&amp;D6376&lt;&gt;'Funnel setup'!$K$3&amp;'Funnel setup'!$K$4&amp;'Funnel setup'!$K$6,".",IF(A6375=".",1,A6375+1))</f>
        <v>.</v>
      </c>
      <c r="B6376" s="244" t="str">
        <f t="shared" si="99"/>
        <v/>
      </c>
    </row>
    <row r="6377" spans="1:2" x14ac:dyDescent="0.25">
      <c r="A6377" t="str">
        <f>IF(C6377&amp;G6377&amp;D6377&lt;&gt;'Funnel setup'!$K$3&amp;'Funnel setup'!$K$4&amp;'Funnel setup'!$K$6,".",IF(A6376=".",1,A6376+1))</f>
        <v>.</v>
      </c>
      <c r="B6377" s="244" t="str">
        <f t="shared" si="99"/>
        <v/>
      </c>
    </row>
    <row r="6378" spans="1:2" x14ac:dyDescent="0.25">
      <c r="A6378" t="str">
        <f>IF(C6378&amp;G6378&amp;D6378&lt;&gt;'Funnel setup'!$K$3&amp;'Funnel setup'!$K$4&amp;'Funnel setup'!$K$6,".",IF(A6377=".",1,A6377+1))</f>
        <v>.</v>
      </c>
      <c r="B6378" s="244" t="str">
        <f t="shared" si="99"/>
        <v/>
      </c>
    </row>
    <row r="6379" spans="1:2" x14ac:dyDescent="0.25">
      <c r="A6379" t="str">
        <f>IF(C6379&amp;G6379&amp;D6379&lt;&gt;'Funnel setup'!$K$3&amp;'Funnel setup'!$K$4&amp;'Funnel setup'!$K$6,".",IF(A6378=".",1,A6378+1))</f>
        <v>.</v>
      </c>
      <c r="B6379" s="244" t="str">
        <f t="shared" si="99"/>
        <v/>
      </c>
    </row>
    <row r="6380" spans="1:2" x14ac:dyDescent="0.25">
      <c r="A6380" t="str">
        <f>IF(C6380&amp;G6380&amp;D6380&lt;&gt;'Funnel setup'!$K$3&amp;'Funnel setup'!$K$4&amp;'Funnel setup'!$K$6,".",IF(A6379=".",1,A6379+1))</f>
        <v>.</v>
      </c>
      <c r="B6380" s="244" t="str">
        <f t="shared" si="99"/>
        <v/>
      </c>
    </row>
    <row r="6381" spans="1:2" x14ac:dyDescent="0.25">
      <c r="A6381" t="str">
        <f>IF(C6381&amp;G6381&amp;D6381&lt;&gt;'Funnel setup'!$K$3&amp;'Funnel setup'!$K$4&amp;'Funnel setup'!$K$6,".",IF(A6380=".",1,A6380+1))</f>
        <v>.</v>
      </c>
      <c r="B6381" s="244" t="str">
        <f t="shared" si="99"/>
        <v/>
      </c>
    </row>
    <row r="6382" spans="1:2" x14ac:dyDescent="0.25">
      <c r="A6382" t="str">
        <f>IF(C6382&amp;G6382&amp;D6382&lt;&gt;'Funnel setup'!$K$3&amp;'Funnel setup'!$K$4&amp;'Funnel setup'!$K$6,".",IF(A6381=".",1,A6381+1))</f>
        <v>.</v>
      </c>
      <c r="B6382" s="244" t="str">
        <f t="shared" si="99"/>
        <v/>
      </c>
    </row>
    <row r="6383" spans="1:2" x14ac:dyDescent="0.25">
      <c r="A6383" t="str">
        <f>IF(C6383&amp;G6383&amp;D6383&lt;&gt;'Funnel setup'!$K$3&amp;'Funnel setup'!$K$4&amp;'Funnel setup'!$K$6,".",IF(A6382=".",1,A6382+1))</f>
        <v>.</v>
      </c>
      <c r="B6383" s="244" t="str">
        <f t="shared" si="99"/>
        <v/>
      </c>
    </row>
    <row r="6384" spans="1:2" x14ac:dyDescent="0.25">
      <c r="A6384" t="str">
        <f>IF(C6384&amp;G6384&amp;D6384&lt;&gt;'Funnel setup'!$K$3&amp;'Funnel setup'!$K$4&amp;'Funnel setup'!$K$6,".",IF(A6383=".",1,A6383+1))</f>
        <v>.</v>
      </c>
      <c r="B6384" s="244" t="str">
        <f t="shared" si="99"/>
        <v/>
      </c>
    </row>
    <row r="6385" spans="1:2" x14ac:dyDescent="0.25">
      <c r="A6385" t="str">
        <f>IF(C6385&amp;G6385&amp;D6385&lt;&gt;'Funnel setup'!$K$3&amp;'Funnel setup'!$K$4&amp;'Funnel setup'!$K$6,".",IF(A6384=".",1,A6384+1))</f>
        <v>.</v>
      </c>
      <c r="B6385" s="244" t="str">
        <f t="shared" si="99"/>
        <v/>
      </c>
    </row>
    <row r="6386" spans="1:2" x14ac:dyDescent="0.25">
      <c r="A6386" t="str">
        <f>IF(C6386&amp;G6386&amp;D6386&lt;&gt;'Funnel setup'!$K$3&amp;'Funnel setup'!$K$4&amp;'Funnel setup'!$K$6,".",IF(A6385=".",1,A6385+1))</f>
        <v>.</v>
      </c>
      <c r="B6386" s="244" t="str">
        <f t="shared" si="99"/>
        <v/>
      </c>
    </row>
    <row r="6387" spans="1:2" x14ac:dyDescent="0.25">
      <c r="A6387" t="str">
        <f>IF(C6387&amp;G6387&amp;D6387&lt;&gt;'Funnel setup'!$K$3&amp;'Funnel setup'!$K$4&amp;'Funnel setup'!$K$6,".",IF(A6386=".",1,A6386+1))</f>
        <v>.</v>
      </c>
      <c r="B6387" s="244" t="str">
        <f t="shared" si="99"/>
        <v/>
      </c>
    </row>
    <row r="6388" spans="1:2" x14ac:dyDescent="0.25">
      <c r="A6388" t="str">
        <f>IF(C6388&amp;G6388&amp;D6388&lt;&gt;'Funnel setup'!$K$3&amp;'Funnel setup'!$K$4&amp;'Funnel setup'!$K$6,".",IF(A6387=".",1,A6387+1))</f>
        <v>.</v>
      </c>
      <c r="B6388" s="244" t="str">
        <f t="shared" si="99"/>
        <v/>
      </c>
    </row>
    <row r="6389" spans="1:2" x14ac:dyDescent="0.25">
      <c r="A6389" t="str">
        <f>IF(C6389&amp;G6389&amp;D6389&lt;&gt;'Funnel setup'!$K$3&amp;'Funnel setup'!$K$4&amp;'Funnel setup'!$K$6,".",IF(A6388=".",1,A6388+1))</f>
        <v>.</v>
      </c>
      <c r="B6389" s="244" t="str">
        <f t="shared" si="99"/>
        <v/>
      </c>
    </row>
    <row r="6390" spans="1:2" x14ac:dyDescent="0.25">
      <c r="A6390" t="str">
        <f>IF(C6390&amp;G6390&amp;D6390&lt;&gt;'Funnel setup'!$K$3&amp;'Funnel setup'!$K$4&amp;'Funnel setup'!$K$6,".",IF(A6389=".",1,A6389+1))</f>
        <v>.</v>
      </c>
      <c r="B6390" s="244" t="str">
        <f t="shared" si="99"/>
        <v/>
      </c>
    </row>
    <row r="6391" spans="1:2" x14ac:dyDescent="0.25">
      <c r="A6391" t="str">
        <f>IF(C6391&amp;G6391&amp;D6391&lt;&gt;'Funnel setup'!$K$3&amp;'Funnel setup'!$K$4&amp;'Funnel setup'!$K$6,".",IF(A6390=".",1,A6390+1))</f>
        <v>.</v>
      </c>
      <c r="B6391" s="244" t="str">
        <f t="shared" si="99"/>
        <v/>
      </c>
    </row>
    <row r="6392" spans="1:2" x14ac:dyDescent="0.25">
      <c r="A6392" t="str">
        <f>IF(C6392&amp;G6392&amp;D6392&lt;&gt;'Funnel setup'!$K$3&amp;'Funnel setup'!$K$4&amp;'Funnel setup'!$K$6,".",IF(A6391=".",1,A6391+1))</f>
        <v>.</v>
      </c>
      <c r="B6392" s="244" t="str">
        <f t="shared" si="99"/>
        <v/>
      </c>
    </row>
    <row r="6393" spans="1:2" x14ac:dyDescent="0.25">
      <c r="A6393" t="str">
        <f>IF(C6393&amp;G6393&amp;D6393&lt;&gt;'Funnel setup'!$K$3&amp;'Funnel setup'!$K$4&amp;'Funnel setup'!$K$6,".",IF(A6392=".",1,A6392+1))</f>
        <v>.</v>
      </c>
      <c r="B6393" s="244" t="str">
        <f t="shared" si="99"/>
        <v/>
      </c>
    </row>
    <row r="6394" spans="1:2" x14ac:dyDescent="0.25">
      <c r="A6394" t="str">
        <f>IF(C6394&amp;G6394&amp;D6394&lt;&gt;'Funnel setup'!$K$3&amp;'Funnel setup'!$K$4&amp;'Funnel setup'!$K$6,".",IF(A6393=".",1,A6393+1))</f>
        <v>.</v>
      </c>
      <c r="B6394" s="244" t="str">
        <f t="shared" si="99"/>
        <v/>
      </c>
    </row>
    <row r="6395" spans="1:2" x14ac:dyDescent="0.25">
      <c r="A6395" t="str">
        <f>IF(C6395&amp;G6395&amp;D6395&lt;&gt;'Funnel setup'!$K$3&amp;'Funnel setup'!$K$4&amp;'Funnel setup'!$K$6,".",IF(A6394=".",1,A6394+1))</f>
        <v>.</v>
      </c>
      <c r="B6395" s="244" t="str">
        <f t="shared" si="99"/>
        <v/>
      </c>
    </row>
    <row r="6396" spans="1:2" x14ac:dyDescent="0.25">
      <c r="A6396" t="str">
        <f>IF(C6396&amp;G6396&amp;D6396&lt;&gt;'Funnel setup'!$K$3&amp;'Funnel setup'!$K$4&amp;'Funnel setup'!$K$6,".",IF(A6395=".",1,A6395+1))</f>
        <v>.</v>
      </c>
      <c r="B6396" s="244" t="str">
        <f t="shared" si="99"/>
        <v/>
      </c>
    </row>
    <row r="6397" spans="1:2" x14ac:dyDescent="0.25">
      <c r="A6397" t="str">
        <f>IF(C6397&amp;G6397&amp;D6397&lt;&gt;'Funnel setup'!$K$3&amp;'Funnel setup'!$K$4&amp;'Funnel setup'!$K$6,".",IF(A6396=".",1,A6396+1))</f>
        <v>.</v>
      </c>
      <c r="B6397" s="244" t="str">
        <f t="shared" si="99"/>
        <v/>
      </c>
    </row>
    <row r="6398" spans="1:2" x14ac:dyDescent="0.25">
      <c r="A6398" t="str">
        <f>IF(C6398&amp;G6398&amp;D6398&lt;&gt;'Funnel setup'!$K$3&amp;'Funnel setup'!$K$4&amp;'Funnel setup'!$K$6,".",IF(A6397=".",1,A6397+1))</f>
        <v>.</v>
      </c>
      <c r="B6398" s="244" t="str">
        <f t="shared" si="99"/>
        <v/>
      </c>
    </row>
    <row r="6399" spans="1:2" x14ac:dyDescent="0.25">
      <c r="A6399" t="str">
        <f>IF(C6399&amp;G6399&amp;D6399&lt;&gt;'Funnel setup'!$K$3&amp;'Funnel setup'!$K$4&amp;'Funnel setup'!$K$6,".",IF(A6398=".",1,A6398+1))</f>
        <v>.</v>
      </c>
      <c r="B6399" s="244" t="str">
        <f t="shared" si="99"/>
        <v/>
      </c>
    </row>
    <row r="6400" spans="1:2" x14ac:dyDescent="0.25">
      <c r="A6400" t="str">
        <f>IF(C6400&amp;G6400&amp;D6400&lt;&gt;'Funnel setup'!$K$3&amp;'Funnel setup'!$K$4&amp;'Funnel setup'!$K$6,".",IF(A6399=".",1,A6399+1))</f>
        <v>.</v>
      </c>
      <c r="B6400" s="244" t="str">
        <f t="shared" si="99"/>
        <v/>
      </c>
    </row>
    <row r="6401" spans="1:2" x14ac:dyDescent="0.25">
      <c r="A6401" t="str">
        <f>IF(C6401&amp;G6401&amp;D6401&lt;&gt;'Funnel setup'!$K$3&amp;'Funnel setup'!$K$4&amp;'Funnel setup'!$K$6,".",IF(A6400=".",1,A6400+1))</f>
        <v>.</v>
      </c>
      <c r="B6401" s="244" t="str">
        <f t="shared" si="99"/>
        <v/>
      </c>
    </row>
    <row r="6402" spans="1:2" x14ac:dyDescent="0.25">
      <c r="A6402" t="str">
        <f>IF(C6402&amp;G6402&amp;D6402&lt;&gt;'Funnel setup'!$K$3&amp;'Funnel setup'!$K$4&amp;'Funnel setup'!$K$6,".",IF(A6401=".",1,A6401+1))</f>
        <v>.</v>
      </c>
      <c r="B6402" s="244" t="str">
        <f t="shared" ref="B6402:B6465" si="100">C6402&amp;D6402&amp;F6402&amp;G6402</f>
        <v/>
      </c>
    </row>
    <row r="6403" spans="1:2" x14ac:dyDescent="0.25">
      <c r="A6403" t="str">
        <f>IF(C6403&amp;G6403&amp;D6403&lt;&gt;'Funnel setup'!$K$3&amp;'Funnel setup'!$K$4&amp;'Funnel setup'!$K$6,".",IF(A6402=".",1,A6402+1))</f>
        <v>.</v>
      </c>
      <c r="B6403" s="244" t="str">
        <f t="shared" si="100"/>
        <v/>
      </c>
    </row>
    <row r="6404" spans="1:2" x14ac:dyDescent="0.25">
      <c r="A6404" t="str">
        <f>IF(C6404&amp;G6404&amp;D6404&lt;&gt;'Funnel setup'!$K$3&amp;'Funnel setup'!$K$4&amp;'Funnel setup'!$K$6,".",IF(A6403=".",1,A6403+1))</f>
        <v>.</v>
      </c>
      <c r="B6404" s="244" t="str">
        <f t="shared" si="100"/>
        <v/>
      </c>
    </row>
    <row r="6405" spans="1:2" x14ac:dyDescent="0.25">
      <c r="A6405" t="str">
        <f>IF(C6405&amp;G6405&amp;D6405&lt;&gt;'Funnel setup'!$K$3&amp;'Funnel setup'!$K$4&amp;'Funnel setup'!$K$6,".",IF(A6404=".",1,A6404+1))</f>
        <v>.</v>
      </c>
      <c r="B6405" s="244" t="str">
        <f t="shared" si="100"/>
        <v/>
      </c>
    </row>
    <row r="6406" spans="1:2" x14ac:dyDescent="0.25">
      <c r="A6406" t="str">
        <f>IF(C6406&amp;G6406&amp;D6406&lt;&gt;'Funnel setup'!$K$3&amp;'Funnel setup'!$K$4&amp;'Funnel setup'!$K$6,".",IF(A6405=".",1,A6405+1))</f>
        <v>.</v>
      </c>
      <c r="B6406" s="244" t="str">
        <f t="shared" si="100"/>
        <v/>
      </c>
    </row>
    <row r="6407" spans="1:2" x14ac:dyDescent="0.25">
      <c r="A6407" t="str">
        <f>IF(C6407&amp;G6407&amp;D6407&lt;&gt;'Funnel setup'!$K$3&amp;'Funnel setup'!$K$4&amp;'Funnel setup'!$K$6,".",IF(A6406=".",1,A6406+1))</f>
        <v>.</v>
      </c>
      <c r="B6407" s="244" t="str">
        <f t="shared" si="100"/>
        <v/>
      </c>
    </row>
    <row r="6408" spans="1:2" x14ac:dyDescent="0.25">
      <c r="A6408" t="str">
        <f>IF(C6408&amp;G6408&amp;D6408&lt;&gt;'Funnel setup'!$K$3&amp;'Funnel setup'!$K$4&amp;'Funnel setup'!$K$6,".",IF(A6407=".",1,A6407+1))</f>
        <v>.</v>
      </c>
      <c r="B6408" s="244" t="str">
        <f t="shared" si="100"/>
        <v/>
      </c>
    </row>
    <row r="6409" spans="1:2" x14ac:dyDescent="0.25">
      <c r="A6409" t="str">
        <f>IF(C6409&amp;G6409&amp;D6409&lt;&gt;'Funnel setup'!$K$3&amp;'Funnel setup'!$K$4&amp;'Funnel setup'!$K$6,".",IF(A6408=".",1,A6408+1))</f>
        <v>.</v>
      </c>
      <c r="B6409" s="244" t="str">
        <f t="shared" si="100"/>
        <v/>
      </c>
    </row>
    <row r="6410" spans="1:2" x14ac:dyDescent="0.25">
      <c r="A6410" t="str">
        <f>IF(C6410&amp;G6410&amp;D6410&lt;&gt;'Funnel setup'!$K$3&amp;'Funnel setup'!$K$4&amp;'Funnel setup'!$K$6,".",IF(A6409=".",1,A6409+1))</f>
        <v>.</v>
      </c>
      <c r="B6410" s="244" t="str">
        <f t="shared" si="100"/>
        <v/>
      </c>
    </row>
    <row r="6411" spans="1:2" x14ac:dyDescent="0.25">
      <c r="A6411" t="str">
        <f>IF(C6411&amp;G6411&amp;D6411&lt;&gt;'Funnel setup'!$K$3&amp;'Funnel setup'!$K$4&amp;'Funnel setup'!$K$6,".",IF(A6410=".",1,A6410+1))</f>
        <v>.</v>
      </c>
      <c r="B6411" s="244" t="str">
        <f t="shared" si="100"/>
        <v/>
      </c>
    </row>
    <row r="6412" spans="1:2" x14ac:dyDescent="0.25">
      <c r="A6412" t="str">
        <f>IF(C6412&amp;G6412&amp;D6412&lt;&gt;'Funnel setup'!$K$3&amp;'Funnel setup'!$K$4&amp;'Funnel setup'!$K$6,".",IF(A6411=".",1,A6411+1))</f>
        <v>.</v>
      </c>
      <c r="B6412" s="244" t="str">
        <f t="shared" si="100"/>
        <v/>
      </c>
    </row>
    <row r="6413" spans="1:2" x14ac:dyDescent="0.25">
      <c r="A6413" t="str">
        <f>IF(C6413&amp;G6413&amp;D6413&lt;&gt;'Funnel setup'!$K$3&amp;'Funnel setup'!$K$4&amp;'Funnel setup'!$K$6,".",IF(A6412=".",1,A6412+1))</f>
        <v>.</v>
      </c>
      <c r="B6413" s="244" t="str">
        <f t="shared" si="100"/>
        <v/>
      </c>
    </row>
    <row r="6414" spans="1:2" x14ac:dyDescent="0.25">
      <c r="A6414" t="str">
        <f>IF(C6414&amp;G6414&amp;D6414&lt;&gt;'Funnel setup'!$K$3&amp;'Funnel setup'!$K$4&amp;'Funnel setup'!$K$6,".",IF(A6413=".",1,A6413+1))</f>
        <v>.</v>
      </c>
      <c r="B6414" s="244" t="str">
        <f t="shared" si="100"/>
        <v/>
      </c>
    </row>
    <row r="6415" spans="1:2" x14ac:dyDescent="0.25">
      <c r="A6415" t="str">
        <f>IF(C6415&amp;G6415&amp;D6415&lt;&gt;'Funnel setup'!$K$3&amp;'Funnel setup'!$K$4&amp;'Funnel setup'!$K$6,".",IF(A6414=".",1,A6414+1))</f>
        <v>.</v>
      </c>
      <c r="B6415" s="244" t="str">
        <f t="shared" si="100"/>
        <v/>
      </c>
    </row>
    <row r="6416" spans="1:2" x14ac:dyDescent="0.25">
      <c r="A6416" t="str">
        <f>IF(C6416&amp;G6416&amp;D6416&lt;&gt;'Funnel setup'!$K$3&amp;'Funnel setup'!$K$4&amp;'Funnel setup'!$K$6,".",IF(A6415=".",1,A6415+1))</f>
        <v>.</v>
      </c>
      <c r="B6416" s="244" t="str">
        <f t="shared" si="100"/>
        <v/>
      </c>
    </row>
    <row r="6417" spans="1:2" x14ac:dyDescent="0.25">
      <c r="A6417" t="str">
        <f>IF(C6417&amp;G6417&amp;D6417&lt;&gt;'Funnel setup'!$K$3&amp;'Funnel setup'!$K$4&amp;'Funnel setup'!$K$6,".",IF(A6416=".",1,A6416+1))</f>
        <v>.</v>
      </c>
      <c r="B6417" s="244" t="str">
        <f t="shared" si="100"/>
        <v/>
      </c>
    </row>
    <row r="6418" spans="1:2" x14ac:dyDescent="0.25">
      <c r="A6418" t="str">
        <f>IF(C6418&amp;G6418&amp;D6418&lt;&gt;'Funnel setup'!$K$3&amp;'Funnel setup'!$K$4&amp;'Funnel setup'!$K$6,".",IF(A6417=".",1,A6417+1))</f>
        <v>.</v>
      </c>
      <c r="B6418" s="244" t="str">
        <f t="shared" si="100"/>
        <v/>
      </c>
    </row>
    <row r="6419" spans="1:2" x14ac:dyDescent="0.25">
      <c r="A6419" t="str">
        <f>IF(C6419&amp;G6419&amp;D6419&lt;&gt;'Funnel setup'!$K$3&amp;'Funnel setup'!$K$4&amp;'Funnel setup'!$K$6,".",IF(A6418=".",1,A6418+1))</f>
        <v>.</v>
      </c>
      <c r="B6419" s="244" t="str">
        <f t="shared" si="100"/>
        <v/>
      </c>
    </row>
    <row r="6420" spans="1:2" x14ac:dyDescent="0.25">
      <c r="A6420" t="str">
        <f>IF(C6420&amp;G6420&amp;D6420&lt;&gt;'Funnel setup'!$K$3&amp;'Funnel setup'!$K$4&amp;'Funnel setup'!$K$6,".",IF(A6419=".",1,A6419+1))</f>
        <v>.</v>
      </c>
      <c r="B6420" s="244" t="str">
        <f t="shared" si="100"/>
        <v/>
      </c>
    </row>
    <row r="6421" spans="1:2" x14ac:dyDescent="0.25">
      <c r="A6421" t="str">
        <f>IF(C6421&amp;G6421&amp;D6421&lt;&gt;'Funnel setup'!$K$3&amp;'Funnel setup'!$K$4&amp;'Funnel setup'!$K$6,".",IF(A6420=".",1,A6420+1))</f>
        <v>.</v>
      </c>
      <c r="B6421" s="244" t="str">
        <f t="shared" si="100"/>
        <v/>
      </c>
    </row>
    <row r="6422" spans="1:2" x14ac:dyDescent="0.25">
      <c r="A6422" t="str">
        <f>IF(C6422&amp;G6422&amp;D6422&lt;&gt;'Funnel setup'!$K$3&amp;'Funnel setup'!$K$4&amp;'Funnel setup'!$K$6,".",IF(A6421=".",1,A6421+1))</f>
        <v>.</v>
      </c>
      <c r="B6422" s="244" t="str">
        <f t="shared" si="100"/>
        <v/>
      </c>
    </row>
    <row r="6423" spans="1:2" x14ac:dyDescent="0.25">
      <c r="A6423" t="str">
        <f>IF(C6423&amp;G6423&amp;D6423&lt;&gt;'Funnel setup'!$K$3&amp;'Funnel setup'!$K$4&amp;'Funnel setup'!$K$6,".",IF(A6422=".",1,A6422+1))</f>
        <v>.</v>
      </c>
      <c r="B6423" s="244" t="str">
        <f t="shared" si="100"/>
        <v/>
      </c>
    </row>
    <row r="6424" spans="1:2" x14ac:dyDescent="0.25">
      <c r="A6424" t="str">
        <f>IF(C6424&amp;G6424&amp;D6424&lt;&gt;'Funnel setup'!$K$3&amp;'Funnel setup'!$K$4&amp;'Funnel setup'!$K$6,".",IF(A6423=".",1,A6423+1))</f>
        <v>.</v>
      </c>
      <c r="B6424" s="244" t="str">
        <f t="shared" si="100"/>
        <v/>
      </c>
    </row>
    <row r="6425" spans="1:2" x14ac:dyDescent="0.25">
      <c r="A6425" t="str">
        <f>IF(C6425&amp;G6425&amp;D6425&lt;&gt;'Funnel setup'!$K$3&amp;'Funnel setup'!$K$4&amp;'Funnel setup'!$K$6,".",IF(A6424=".",1,A6424+1))</f>
        <v>.</v>
      </c>
      <c r="B6425" s="244" t="str">
        <f t="shared" si="100"/>
        <v/>
      </c>
    </row>
    <row r="6426" spans="1:2" x14ac:dyDescent="0.25">
      <c r="A6426" t="str">
        <f>IF(C6426&amp;G6426&amp;D6426&lt;&gt;'Funnel setup'!$K$3&amp;'Funnel setup'!$K$4&amp;'Funnel setup'!$K$6,".",IF(A6425=".",1,A6425+1))</f>
        <v>.</v>
      </c>
      <c r="B6426" s="244" t="str">
        <f t="shared" si="100"/>
        <v/>
      </c>
    </row>
    <row r="6427" spans="1:2" x14ac:dyDescent="0.25">
      <c r="A6427" t="str">
        <f>IF(C6427&amp;G6427&amp;D6427&lt;&gt;'Funnel setup'!$K$3&amp;'Funnel setup'!$K$4&amp;'Funnel setup'!$K$6,".",IF(A6426=".",1,A6426+1))</f>
        <v>.</v>
      </c>
      <c r="B6427" s="244" t="str">
        <f t="shared" si="100"/>
        <v/>
      </c>
    </row>
    <row r="6428" spans="1:2" x14ac:dyDescent="0.25">
      <c r="A6428" t="str">
        <f>IF(C6428&amp;G6428&amp;D6428&lt;&gt;'Funnel setup'!$K$3&amp;'Funnel setup'!$K$4&amp;'Funnel setup'!$K$6,".",IF(A6427=".",1,A6427+1))</f>
        <v>.</v>
      </c>
      <c r="B6428" s="244" t="str">
        <f t="shared" si="100"/>
        <v/>
      </c>
    </row>
    <row r="6429" spans="1:2" x14ac:dyDescent="0.25">
      <c r="A6429" t="str">
        <f>IF(C6429&amp;G6429&amp;D6429&lt;&gt;'Funnel setup'!$K$3&amp;'Funnel setup'!$K$4&amp;'Funnel setup'!$K$6,".",IF(A6428=".",1,A6428+1))</f>
        <v>.</v>
      </c>
      <c r="B6429" s="244" t="str">
        <f t="shared" si="100"/>
        <v/>
      </c>
    </row>
    <row r="6430" spans="1:2" x14ac:dyDescent="0.25">
      <c r="A6430" t="str">
        <f>IF(C6430&amp;G6430&amp;D6430&lt;&gt;'Funnel setup'!$K$3&amp;'Funnel setup'!$K$4&amp;'Funnel setup'!$K$6,".",IF(A6429=".",1,A6429+1))</f>
        <v>.</v>
      </c>
      <c r="B6430" s="244" t="str">
        <f t="shared" si="100"/>
        <v/>
      </c>
    </row>
    <row r="6431" spans="1:2" x14ac:dyDescent="0.25">
      <c r="A6431" t="str">
        <f>IF(C6431&amp;G6431&amp;D6431&lt;&gt;'Funnel setup'!$K$3&amp;'Funnel setup'!$K$4&amp;'Funnel setup'!$K$6,".",IF(A6430=".",1,A6430+1))</f>
        <v>.</v>
      </c>
      <c r="B6431" s="244" t="str">
        <f t="shared" si="100"/>
        <v/>
      </c>
    </row>
    <row r="6432" spans="1:2" x14ac:dyDescent="0.25">
      <c r="A6432" t="str">
        <f>IF(C6432&amp;G6432&amp;D6432&lt;&gt;'Funnel setup'!$K$3&amp;'Funnel setup'!$K$4&amp;'Funnel setup'!$K$6,".",IF(A6431=".",1,A6431+1))</f>
        <v>.</v>
      </c>
      <c r="B6432" s="244" t="str">
        <f t="shared" si="100"/>
        <v/>
      </c>
    </row>
    <row r="6433" spans="1:2" x14ac:dyDescent="0.25">
      <c r="A6433" t="str">
        <f>IF(C6433&amp;G6433&amp;D6433&lt;&gt;'Funnel setup'!$K$3&amp;'Funnel setup'!$K$4&amp;'Funnel setup'!$K$6,".",IF(A6432=".",1,A6432+1))</f>
        <v>.</v>
      </c>
      <c r="B6433" s="244" t="str">
        <f t="shared" si="100"/>
        <v/>
      </c>
    </row>
    <row r="6434" spans="1:2" x14ac:dyDescent="0.25">
      <c r="A6434" t="str">
        <f>IF(C6434&amp;G6434&amp;D6434&lt;&gt;'Funnel setup'!$K$3&amp;'Funnel setup'!$K$4&amp;'Funnel setup'!$K$6,".",IF(A6433=".",1,A6433+1))</f>
        <v>.</v>
      </c>
      <c r="B6434" s="244" t="str">
        <f t="shared" si="100"/>
        <v/>
      </c>
    </row>
    <row r="6435" spans="1:2" x14ac:dyDescent="0.25">
      <c r="A6435" t="str">
        <f>IF(C6435&amp;G6435&amp;D6435&lt;&gt;'Funnel setup'!$K$3&amp;'Funnel setup'!$K$4&amp;'Funnel setup'!$K$6,".",IF(A6434=".",1,A6434+1))</f>
        <v>.</v>
      </c>
      <c r="B6435" s="244" t="str">
        <f t="shared" si="100"/>
        <v/>
      </c>
    </row>
    <row r="6436" spans="1:2" x14ac:dyDescent="0.25">
      <c r="A6436" t="str">
        <f>IF(C6436&amp;G6436&amp;D6436&lt;&gt;'Funnel setup'!$K$3&amp;'Funnel setup'!$K$4&amp;'Funnel setup'!$K$6,".",IF(A6435=".",1,A6435+1))</f>
        <v>.</v>
      </c>
      <c r="B6436" s="244" t="str">
        <f t="shared" si="100"/>
        <v/>
      </c>
    </row>
    <row r="6437" spans="1:2" x14ac:dyDescent="0.25">
      <c r="A6437" t="str">
        <f>IF(C6437&amp;G6437&amp;D6437&lt;&gt;'Funnel setup'!$K$3&amp;'Funnel setup'!$K$4&amp;'Funnel setup'!$K$6,".",IF(A6436=".",1,A6436+1))</f>
        <v>.</v>
      </c>
      <c r="B6437" s="244" t="str">
        <f t="shared" si="100"/>
        <v/>
      </c>
    </row>
    <row r="6438" spans="1:2" x14ac:dyDescent="0.25">
      <c r="A6438" t="str">
        <f>IF(C6438&amp;G6438&amp;D6438&lt;&gt;'Funnel setup'!$K$3&amp;'Funnel setup'!$K$4&amp;'Funnel setup'!$K$6,".",IF(A6437=".",1,A6437+1))</f>
        <v>.</v>
      </c>
      <c r="B6438" s="244" t="str">
        <f t="shared" si="100"/>
        <v/>
      </c>
    </row>
    <row r="6439" spans="1:2" x14ac:dyDescent="0.25">
      <c r="A6439" t="str">
        <f>IF(C6439&amp;G6439&amp;D6439&lt;&gt;'Funnel setup'!$K$3&amp;'Funnel setup'!$K$4&amp;'Funnel setup'!$K$6,".",IF(A6438=".",1,A6438+1))</f>
        <v>.</v>
      </c>
      <c r="B6439" s="244" t="str">
        <f t="shared" si="100"/>
        <v/>
      </c>
    </row>
    <row r="6440" spans="1:2" x14ac:dyDescent="0.25">
      <c r="A6440" t="str">
        <f>IF(C6440&amp;G6440&amp;D6440&lt;&gt;'Funnel setup'!$K$3&amp;'Funnel setup'!$K$4&amp;'Funnel setup'!$K$6,".",IF(A6439=".",1,A6439+1))</f>
        <v>.</v>
      </c>
      <c r="B6440" s="244" t="str">
        <f t="shared" si="100"/>
        <v/>
      </c>
    </row>
    <row r="6441" spans="1:2" x14ac:dyDescent="0.25">
      <c r="A6441" t="str">
        <f>IF(C6441&amp;G6441&amp;D6441&lt;&gt;'Funnel setup'!$K$3&amp;'Funnel setup'!$K$4&amp;'Funnel setup'!$K$6,".",IF(A6440=".",1,A6440+1))</f>
        <v>.</v>
      </c>
      <c r="B6441" s="244" t="str">
        <f t="shared" si="100"/>
        <v/>
      </c>
    </row>
    <row r="6442" spans="1:2" x14ac:dyDescent="0.25">
      <c r="A6442" t="str">
        <f>IF(C6442&amp;G6442&amp;D6442&lt;&gt;'Funnel setup'!$K$3&amp;'Funnel setup'!$K$4&amp;'Funnel setup'!$K$6,".",IF(A6441=".",1,A6441+1))</f>
        <v>.</v>
      </c>
      <c r="B6442" s="244" t="str">
        <f t="shared" si="100"/>
        <v/>
      </c>
    </row>
    <row r="6443" spans="1:2" x14ac:dyDescent="0.25">
      <c r="A6443" t="str">
        <f>IF(C6443&amp;G6443&amp;D6443&lt;&gt;'Funnel setup'!$K$3&amp;'Funnel setup'!$K$4&amp;'Funnel setup'!$K$6,".",IF(A6442=".",1,A6442+1))</f>
        <v>.</v>
      </c>
      <c r="B6443" s="244" t="str">
        <f t="shared" si="100"/>
        <v/>
      </c>
    </row>
    <row r="6444" spans="1:2" x14ac:dyDescent="0.25">
      <c r="A6444" t="str">
        <f>IF(C6444&amp;G6444&amp;D6444&lt;&gt;'Funnel setup'!$K$3&amp;'Funnel setup'!$K$4&amp;'Funnel setup'!$K$6,".",IF(A6443=".",1,A6443+1))</f>
        <v>.</v>
      </c>
      <c r="B6444" s="244" t="str">
        <f t="shared" si="100"/>
        <v/>
      </c>
    </row>
    <row r="6445" spans="1:2" x14ac:dyDescent="0.25">
      <c r="A6445" t="str">
        <f>IF(C6445&amp;G6445&amp;D6445&lt;&gt;'Funnel setup'!$K$3&amp;'Funnel setup'!$K$4&amp;'Funnel setup'!$K$6,".",IF(A6444=".",1,A6444+1))</f>
        <v>.</v>
      </c>
      <c r="B6445" s="244" t="str">
        <f t="shared" si="100"/>
        <v/>
      </c>
    </row>
    <row r="6446" spans="1:2" x14ac:dyDescent="0.25">
      <c r="A6446" t="str">
        <f>IF(C6446&amp;G6446&amp;D6446&lt;&gt;'Funnel setup'!$K$3&amp;'Funnel setup'!$K$4&amp;'Funnel setup'!$K$6,".",IF(A6445=".",1,A6445+1))</f>
        <v>.</v>
      </c>
      <c r="B6446" s="244" t="str">
        <f t="shared" si="100"/>
        <v/>
      </c>
    </row>
    <row r="6447" spans="1:2" x14ac:dyDescent="0.25">
      <c r="A6447" t="str">
        <f>IF(C6447&amp;G6447&amp;D6447&lt;&gt;'Funnel setup'!$K$3&amp;'Funnel setup'!$K$4&amp;'Funnel setup'!$K$6,".",IF(A6446=".",1,A6446+1))</f>
        <v>.</v>
      </c>
      <c r="B6447" s="244" t="str">
        <f t="shared" si="100"/>
        <v/>
      </c>
    </row>
    <row r="6448" spans="1:2" x14ac:dyDescent="0.25">
      <c r="A6448" t="str">
        <f>IF(C6448&amp;G6448&amp;D6448&lt;&gt;'Funnel setup'!$K$3&amp;'Funnel setup'!$K$4&amp;'Funnel setup'!$K$6,".",IF(A6447=".",1,A6447+1))</f>
        <v>.</v>
      </c>
      <c r="B6448" s="244" t="str">
        <f t="shared" si="100"/>
        <v/>
      </c>
    </row>
    <row r="6449" spans="1:2" x14ac:dyDescent="0.25">
      <c r="A6449" t="str">
        <f>IF(C6449&amp;G6449&amp;D6449&lt;&gt;'Funnel setup'!$K$3&amp;'Funnel setup'!$K$4&amp;'Funnel setup'!$K$6,".",IF(A6448=".",1,A6448+1))</f>
        <v>.</v>
      </c>
      <c r="B6449" s="244" t="str">
        <f t="shared" si="100"/>
        <v/>
      </c>
    </row>
    <row r="6450" spans="1:2" x14ac:dyDescent="0.25">
      <c r="A6450" t="str">
        <f>IF(C6450&amp;G6450&amp;D6450&lt;&gt;'Funnel setup'!$K$3&amp;'Funnel setup'!$K$4&amp;'Funnel setup'!$K$6,".",IF(A6449=".",1,A6449+1))</f>
        <v>.</v>
      </c>
      <c r="B6450" s="244" t="str">
        <f t="shared" si="100"/>
        <v/>
      </c>
    </row>
    <row r="6451" spans="1:2" x14ac:dyDescent="0.25">
      <c r="A6451" t="str">
        <f>IF(C6451&amp;G6451&amp;D6451&lt;&gt;'Funnel setup'!$K$3&amp;'Funnel setup'!$K$4&amp;'Funnel setup'!$K$6,".",IF(A6450=".",1,A6450+1))</f>
        <v>.</v>
      </c>
      <c r="B6451" s="244" t="str">
        <f t="shared" si="100"/>
        <v/>
      </c>
    </row>
    <row r="6452" spans="1:2" x14ac:dyDescent="0.25">
      <c r="A6452" t="str">
        <f>IF(C6452&amp;G6452&amp;D6452&lt;&gt;'Funnel setup'!$K$3&amp;'Funnel setup'!$K$4&amp;'Funnel setup'!$K$6,".",IF(A6451=".",1,A6451+1))</f>
        <v>.</v>
      </c>
      <c r="B6452" s="244" t="str">
        <f t="shared" si="100"/>
        <v/>
      </c>
    </row>
    <row r="6453" spans="1:2" x14ac:dyDescent="0.25">
      <c r="A6453" t="str">
        <f>IF(C6453&amp;G6453&amp;D6453&lt;&gt;'Funnel setup'!$K$3&amp;'Funnel setup'!$K$4&amp;'Funnel setup'!$K$6,".",IF(A6452=".",1,A6452+1))</f>
        <v>.</v>
      </c>
      <c r="B6453" s="244" t="str">
        <f t="shared" si="100"/>
        <v/>
      </c>
    </row>
    <row r="6454" spans="1:2" x14ac:dyDescent="0.25">
      <c r="A6454" t="str">
        <f>IF(C6454&amp;G6454&amp;D6454&lt;&gt;'Funnel setup'!$K$3&amp;'Funnel setup'!$K$4&amp;'Funnel setup'!$K$6,".",IF(A6453=".",1,A6453+1))</f>
        <v>.</v>
      </c>
      <c r="B6454" s="244" t="str">
        <f t="shared" si="100"/>
        <v/>
      </c>
    </row>
    <row r="6455" spans="1:2" x14ac:dyDescent="0.25">
      <c r="A6455" t="str">
        <f>IF(C6455&amp;G6455&amp;D6455&lt;&gt;'Funnel setup'!$K$3&amp;'Funnel setup'!$K$4&amp;'Funnel setup'!$K$6,".",IF(A6454=".",1,A6454+1))</f>
        <v>.</v>
      </c>
      <c r="B6455" s="244" t="str">
        <f t="shared" si="100"/>
        <v/>
      </c>
    </row>
    <row r="6456" spans="1:2" x14ac:dyDescent="0.25">
      <c r="A6456" t="str">
        <f>IF(C6456&amp;G6456&amp;D6456&lt;&gt;'Funnel setup'!$K$3&amp;'Funnel setup'!$K$4&amp;'Funnel setup'!$K$6,".",IF(A6455=".",1,A6455+1))</f>
        <v>.</v>
      </c>
      <c r="B6456" s="244" t="str">
        <f t="shared" si="100"/>
        <v/>
      </c>
    </row>
    <row r="6457" spans="1:2" x14ac:dyDescent="0.25">
      <c r="A6457" t="str">
        <f>IF(C6457&amp;G6457&amp;D6457&lt;&gt;'Funnel setup'!$K$3&amp;'Funnel setup'!$K$4&amp;'Funnel setup'!$K$6,".",IF(A6456=".",1,A6456+1))</f>
        <v>.</v>
      </c>
      <c r="B6457" s="244" t="str">
        <f t="shared" si="100"/>
        <v/>
      </c>
    </row>
    <row r="6458" spans="1:2" x14ac:dyDescent="0.25">
      <c r="A6458" t="str">
        <f>IF(C6458&amp;G6458&amp;D6458&lt;&gt;'Funnel setup'!$K$3&amp;'Funnel setup'!$K$4&amp;'Funnel setup'!$K$6,".",IF(A6457=".",1,A6457+1))</f>
        <v>.</v>
      </c>
      <c r="B6458" s="244" t="str">
        <f t="shared" si="100"/>
        <v/>
      </c>
    </row>
    <row r="6459" spans="1:2" x14ac:dyDescent="0.25">
      <c r="A6459" t="str">
        <f>IF(C6459&amp;G6459&amp;D6459&lt;&gt;'Funnel setup'!$K$3&amp;'Funnel setup'!$K$4&amp;'Funnel setup'!$K$6,".",IF(A6458=".",1,A6458+1))</f>
        <v>.</v>
      </c>
      <c r="B6459" s="244" t="str">
        <f t="shared" si="100"/>
        <v/>
      </c>
    </row>
    <row r="6460" spans="1:2" x14ac:dyDescent="0.25">
      <c r="A6460" t="str">
        <f>IF(C6460&amp;G6460&amp;D6460&lt;&gt;'Funnel setup'!$K$3&amp;'Funnel setup'!$K$4&amp;'Funnel setup'!$K$6,".",IF(A6459=".",1,A6459+1))</f>
        <v>.</v>
      </c>
      <c r="B6460" s="244" t="str">
        <f t="shared" si="100"/>
        <v/>
      </c>
    </row>
    <row r="6461" spans="1:2" x14ac:dyDescent="0.25">
      <c r="A6461" t="str">
        <f>IF(C6461&amp;G6461&amp;D6461&lt;&gt;'Funnel setup'!$K$3&amp;'Funnel setup'!$K$4&amp;'Funnel setup'!$K$6,".",IF(A6460=".",1,A6460+1))</f>
        <v>.</v>
      </c>
      <c r="B6461" s="244" t="str">
        <f t="shared" si="100"/>
        <v/>
      </c>
    </row>
    <row r="6462" spans="1:2" x14ac:dyDescent="0.25">
      <c r="A6462" t="str">
        <f>IF(C6462&amp;G6462&amp;D6462&lt;&gt;'Funnel setup'!$K$3&amp;'Funnel setup'!$K$4&amp;'Funnel setup'!$K$6,".",IF(A6461=".",1,A6461+1))</f>
        <v>.</v>
      </c>
      <c r="B6462" s="244" t="str">
        <f t="shared" si="100"/>
        <v/>
      </c>
    </row>
    <row r="6463" spans="1:2" x14ac:dyDescent="0.25">
      <c r="A6463" t="str">
        <f>IF(C6463&amp;G6463&amp;D6463&lt;&gt;'Funnel setup'!$K$3&amp;'Funnel setup'!$K$4&amp;'Funnel setup'!$K$6,".",IF(A6462=".",1,A6462+1))</f>
        <v>.</v>
      </c>
      <c r="B6463" s="244" t="str">
        <f t="shared" si="100"/>
        <v/>
      </c>
    </row>
    <row r="6464" spans="1:2" x14ac:dyDescent="0.25">
      <c r="A6464" t="str">
        <f>IF(C6464&amp;G6464&amp;D6464&lt;&gt;'Funnel setup'!$K$3&amp;'Funnel setup'!$K$4&amp;'Funnel setup'!$K$6,".",IF(A6463=".",1,A6463+1))</f>
        <v>.</v>
      </c>
      <c r="B6464" s="244" t="str">
        <f t="shared" si="100"/>
        <v/>
      </c>
    </row>
    <row r="6465" spans="1:2" x14ac:dyDescent="0.25">
      <c r="A6465" t="str">
        <f>IF(C6465&amp;G6465&amp;D6465&lt;&gt;'Funnel setup'!$K$3&amp;'Funnel setup'!$K$4&amp;'Funnel setup'!$K$6,".",IF(A6464=".",1,A6464+1))</f>
        <v>.</v>
      </c>
      <c r="B6465" s="244" t="str">
        <f t="shared" si="100"/>
        <v/>
      </c>
    </row>
    <row r="6466" spans="1:2" x14ac:dyDescent="0.25">
      <c r="A6466" t="str">
        <f>IF(C6466&amp;G6466&amp;D6466&lt;&gt;'Funnel setup'!$K$3&amp;'Funnel setup'!$K$4&amp;'Funnel setup'!$K$6,".",IF(A6465=".",1,A6465+1))</f>
        <v>.</v>
      </c>
      <c r="B6466" s="244" t="str">
        <f t="shared" ref="B6466:B6529" si="101">C6466&amp;D6466&amp;F6466&amp;G6466</f>
        <v/>
      </c>
    </row>
    <row r="6467" spans="1:2" x14ac:dyDescent="0.25">
      <c r="A6467" t="str">
        <f>IF(C6467&amp;G6467&amp;D6467&lt;&gt;'Funnel setup'!$K$3&amp;'Funnel setup'!$K$4&amp;'Funnel setup'!$K$6,".",IF(A6466=".",1,A6466+1))</f>
        <v>.</v>
      </c>
      <c r="B6467" s="244" t="str">
        <f t="shared" si="101"/>
        <v/>
      </c>
    </row>
    <row r="6468" spans="1:2" x14ac:dyDescent="0.25">
      <c r="A6468" t="str">
        <f>IF(C6468&amp;G6468&amp;D6468&lt;&gt;'Funnel setup'!$K$3&amp;'Funnel setup'!$K$4&amp;'Funnel setup'!$K$6,".",IF(A6467=".",1,A6467+1))</f>
        <v>.</v>
      </c>
      <c r="B6468" s="244" t="str">
        <f t="shared" si="101"/>
        <v/>
      </c>
    </row>
    <row r="6469" spans="1:2" x14ac:dyDescent="0.25">
      <c r="A6469" t="str">
        <f>IF(C6469&amp;G6469&amp;D6469&lt;&gt;'Funnel setup'!$K$3&amp;'Funnel setup'!$K$4&amp;'Funnel setup'!$K$6,".",IF(A6468=".",1,A6468+1))</f>
        <v>.</v>
      </c>
      <c r="B6469" s="244" t="str">
        <f t="shared" si="101"/>
        <v/>
      </c>
    </row>
    <row r="6470" spans="1:2" x14ac:dyDescent="0.25">
      <c r="A6470" t="str">
        <f>IF(C6470&amp;G6470&amp;D6470&lt;&gt;'Funnel setup'!$K$3&amp;'Funnel setup'!$K$4&amp;'Funnel setup'!$K$6,".",IF(A6469=".",1,A6469+1))</f>
        <v>.</v>
      </c>
      <c r="B6470" s="244" t="str">
        <f t="shared" si="101"/>
        <v/>
      </c>
    </row>
    <row r="6471" spans="1:2" x14ac:dyDescent="0.25">
      <c r="A6471" t="str">
        <f>IF(C6471&amp;G6471&amp;D6471&lt;&gt;'Funnel setup'!$K$3&amp;'Funnel setup'!$K$4&amp;'Funnel setup'!$K$6,".",IF(A6470=".",1,A6470+1))</f>
        <v>.</v>
      </c>
      <c r="B6471" s="244" t="str">
        <f t="shared" si="101"/>
        <v/>
      </c>
    </row>
    <row r="6472" spans="1:2" x14ac:dyDescent="0.25">
      <c r="A6472" t="str">
        <f>IF(C6472&amp;G6472&amp;D6472&lt;&gt;'Funnel setup'!$K$3&amp;'Funnel setup'!$K$4&amp;'Funnel setup'!$K$6,".",IF(A6471=".",1,A6471+1))</f>
        <v>.</v>
      </c>
      <c r="B6472" s="244" t="str">
        <f t="shared" si="101"/>
        <v/>
      </c>
    </row>
    <row r="6473" spans="1:2" x14ac:dyDescent="0.25">
      <c r="A6473" t="str">
        <f>IF(C6473&amp;G6473&amp;D6473&lt;&gt;'Funnel setup'!$K$3&amp;'Funnel setup'!$K$4&amp;'Funnel setup'!$K$6,".",IF(A6472=".",1,A6472+1))</f>
        <v>.</v>
      </c>
      <c r="B6473" s="244" t="str">
        <f t="shared" si="101"/>
        <v/>
      </c>
    </row>
    <row r="6474" spans="1:2" x14ac:dyDescent="0.25">
      <c r="A6474" t="str">
        <f>IF(C6474&amp;G6474&amp;D6474&lt;&gt;'Funnel setup'!$K$3&amp;'Funnel setup'!$K$4&amp;'Funnel setup'!$K$6,".",IF(A6473=".",1,A6473+1))</f>
        <v>.</v>
      </c>
      <c r="B6474" s="244" t="str">
        <f t="shared" si="101"/>
        <v/>
      </c>
    </row>
    <row r="6475" spans="1:2" x14ac:dyDescent="0.25">
      <c r="A6475" t="str">
        <f>IF(C6475&amp;G6475&amp;D6475&lt;&gt;'Funnel setup'!$K$3&amp;'Funnel setup'!$K$4&amp;'Funnel setup'!$K$6,".",IF(A6474=".",1,A6474+1))</f>
        <v>.</v>
      </c>
      <c r="B6475" s="244" t="str">
        <f t="shared" si="101"/>
        <v/>
      </c>
    </row>
    <row r="6476" spans="1:2" x14ac:dyDescent="0.25">
      <c r="A6476" t="str">
        <f>IF(C6476&amp;G6476&amp;D6476&lt;&gt;'Funnel setup'!$K$3&amp;'Funnel setup'!$K$4&amp;'Funnel setup'!$K$6,".",IF(A6475=".",1,A6475+1))</f>
        <v>.</v>
      </c>
      <c r="B6476" s="244" t="str">
        <f t="shared" si="101"/>
        <v/>
      </c>
    </row>
    <row r="6477" spans="1:2" x14ac:dyDescent="0.25">
      <c r="A6477" t="str">
        <f>IF(C6477&amp;G6477&amp;D6477&lt;&gt;'Funnel setup'!$K$3&amp;'Funnel setup'!$K$4&amp;'Funnel setup'!$K$6,".",IF(A6476=".",1,A6476+1))</f>
        <v>.</v>
      </c>
      <c r="B6477" s="244" t="str">
        <f t="shared" si="101"/>
        <v/>
      </c>
    </row>
    <row r="6478" spans="1:2" x14ac:dyDescent="0.25">
      <c r="A6478" t="str">
        <f>IF(C6478&amp;G6478&amp;D6478&lt;&gt;'Funnel setup'!$K$3&amp;'Funnel setup'!$K$4&amp;'Funnel setup'!$K$6,".",IF(A6477=".",1,A6477+1))</f>
        <v>.</v>
      </c>
      <c r="B6478" s="244" t="str">
        <f t="shared" si="101"/>
        <v/>
      </c>
    </row>
    <row r="6479" spans="1:2" x14ac:dyDescent="0.25">
      <c r="A6479" t="str">
        <f>IF(C6479&amp;G6479&amp;D6479&lt;&gt;'Funnel setup'!$K$3&amp;'Funnel setup'!$K$4&amp;'Funnel setup'!$K$6,".",IF(A6478=".",1,A6478+1))</f>
        <v>.</v>
      </c>
      <c r="B6479" s="244" t="str">
        <f t="shared" si="101"/>
        <v/>
      </c>
    </row>
    <row r="6480" spans="1:2" x14ac:dyDescent="0.25">
      <c r="A6480" t="str">
        <f>IF(C6480&amp;G6480&amp;D6480&lt;&gt;'Funnel setup'!$K$3&amp;'Funnel setup'!$K$4&amp;'Funnel setup'!$K$6,".",IF(A6479=".",1,A6479+1))</f>
        <v>.</v>
      </c>
      <c r="B6480" s="244" t="str">
        <f t="shared" si="101"/>
        <v/>
      </c>
    </row>
    <row r="6481" spans="1:2" x14ac:dyDescent="0.25">
      <c r="A6481" t="str">
        <f>IF(C6481&amp;G6481&amp;D6481&lt;&gt;'Funnel setup'!$K$3&amp;'Funnel setup'!$K$4&amp;'Funnel setup'!$K$6,".",IF(A6480=".",1,A6480+1))</f>
        <v>.</v>
      </c>
      <c r="B6481" s="244" t="str">
        <f t="shared" si="101"/>
        <v/>
      </c>
    </row>
    <row r="6482" spans="1:2" x14ac:dyDescent="0.25">
      <c r="A6482" t="str">
        <f>IF(C6482&amp;G6482&amp;D6482&lt;&gt;'Funnel setup'!$K$3&amp;'Funnel setup'!$K$4&amp;'Funnel setup'!$K$6,".",IF(A6481=".",1,A6481+1))</f>
        <v>.</v>
      </c>
      <c r="B6482" s="244" t="str">
        <f t="shared" si="101"/>
        <v/>
      </c>
    </row>
    <row r="6483" spans="1:2" x14ac:dyDescent="0.25">
      <c r="A6483" t="str">
        <f>IF(C6483&amp;G6483&amp;D6483&lt;&gt;'Funnel setup'!$K$3&amp;'Funnel setup'!$K$4&amp;'Funnel setup'!$K$6,".",IF(A6482=".",1,A6482+1))</f>
        <v>.</v>
      </c>
      <c r="B6483" s="244" t="str">
        <f t="shared" si="101"/>
        <v/>
      </c>
    </row>
    <row r="6484" spans="1:2" x14ac:dyDescent="0.25">
      <c r="A6484" t="str">
        <f>IF(C6484&amp;G6484&amp;D6484&lt;&gt;'Funnel setup'!$K$3&amp;'Funnel setup'!$K$4&amp;'Funnel setup'!$K$6,".",IF(A6483=".",1,A6483+1))</f>
        <v>.</v>
      </c>
      <c r="B6484" s="244" t="str">
        <f t="shared" si="101"/>
        <v/>
      </c>
    </row>
    <row r="6485" spans="1:2" x14ac:dyDescent="0.25">
      <c r="A6485" t="str">
        <f>IF(C6485&amp;G6485&amp;D6485&lt;&gt;'Funnel setup'!$K$3&amp;'Funnel setup'!$K$4&amp;'Funnel setup'!$K$6,".",IF(A6484=".",1,A6484+1))</f>
        <v>.</v>
      </c>
      <c r="B6485" s="244" t="str">
        <f t="shared" si="101"/>
        <v/>
      </c>
    </row>
    <row r="6486" spans="1:2" x14ac:dyDescent="0.25">
      <c r="A6486" t="str">
        <f>IF(C6486&amp;G6486&amp;D6486&lt;&gt;'Funnel setup'!$K$3&amp;'Funnel setup'!$K$4&amp;'Funnel setup'!$K$6,".",IF(A6485=".",1,A6485+1))</f>
        <v>.</v>
      </c>
      <c r="B6486" s="244" t="str">
        <f t="shared" si="101"/>
        <v/>
      </c>
    </row>
    <row r="6487" spans="1:2" x14ac:dyDescent="0.25">
      <c r="A6487" t="str">
        <f>IF(C6487&amp;G6487&amp;D6487&lt;&gt;'Funnel setup'!$K$3&amp;'Funnel setup'!$K$4&amp;'Funnel setup'!$K$6,".",IF(A6486=".",1,A6486+1))</f>
        <v>.</v>
      </c>
      <c r="B6487" s="244" t="str">
        <f t="shared" si="101"/>
        <v/>
      </c>
    </row>
    <row r="6488" spans="1:2" x14ac:dyDescent="0.25">
      <c r="A6488" t="str">
        <f>IF(C6488&amp;G6488&amp;D6488&lt;&gt;'Funnel setup'!$K$3&amp;'Funnel setup'!$K$4&amp;'Funnel setup'!$K$6,".",IF(A6487=".",1,A6487+1))</f>
        <v>.</v>
      </c>
      <c r="B6488" s="244" t="str">
        <f t="shared" si="101"/>
        <v/>
      </c>
    </row>
    <row r="6489" spans="1:2" x14ac:dyDescent="0.25">
      <c r="A6489" t="str">
        <f>IF(C6489&amp;G6489&amp;D6489&lt;&gt;'Funnel setup'!$K$3&amp;'Funnel setup'!$K$4&amp;'Funnel setup'!$K$6,".",IF(A6488=".",1,A6488+1))</f>
        <v>.</v>
      </c>
      <c r="B6489" s="244" t="str">
        <f t="shared" si="101"/>
        <v/>
      </c>
    </row>
    <row r="6490" spans="1:2" x14ac:dyDescent="0.25">
      <c r="A6490" t="str">
        <f>IF(C6490&amp;G6490&amp;D6490&lt;&gt;'Funnel setup'!$K$3&amp;'Funnel setup'!$K$4&amp;'Funnel setup'!$K$6,".",IF(A6489=".",1,A6489+1))</f>
        <v>.</v>
      </c>
      <c r="B6490" s="244" t="str">
        <f t="shared" si="101"/>
        <v/>
      </c>
    </row>
    <row r="6491" spans="1:2" x14ac:dyDescent="0.25">
      <c r="A6491" t="str">
        <f>IF(C6491&amp;G6491&amp;D6491&lt;&gt;'Funnel setup'!$K$3&amp;'Funnel setup'!$K$4&amp;'Funnel setup'!$K$6,".",IF(A6490=".",1,A6490+1))</f>
        <v>.</v>
      </c>
      <c r="B6491" s="244" t="str">
        <f t="shared" si="101"/>
        <v/>
      </c>
    </row>
    <row r="6492" spans="1:2" x14ac:dyDescent="0.25">
      <c r="A6492" t="str">
        <f>IF(C6492&amp;G6492&amp;D6492&lt;&gt;'Funnel setup'!$K$3&amp;'Funnel setup'!$K$4&amp;'Funnel setup'!$K$6,".",IF(A6491=".",1,A6491+1))</f>
        <v>.</v>
      </c>
      <c r="B6492" s="244" t="str">
        <f t="shared" si="101"/>
        <v/>
      </c>
    </row>
    <row r="6493" spans="1:2" x14ac:dyDescent="0.25">
      <c r="A6493" t="str">
        <f>IF(C6493&amp;G6493&amp;D6493&lt;&gt;'Funnel setup'!$K$3&amp;'Funnel setup'!$K$4&amp;'Funnel setup'!$K$6,".",IF(A6492=".",1,A6492+1))</f>
        <v>.</v>
      </c>
      <c r="B6493" s="244" t="str">
        <f t="shared" si="101"/>
        <v/>
      </c>
    </row>
    <row r="6494" spans="1:2" x14ac:dyDescent="0.25">
      <c r="A6494" t="str">
        <f>IF(C6494&amp;G6494&amp;D6494&lt;&gt;'Funnel setup'!$K$3&amp;'Funnel setup'!$K$4&amp;'Funnel setup'!$K$6,".",IF(A6493=".",1,A6493+1))</f>
        <v>.</v>
      </c>
      <c r="B6494" s="244" t="str">
        <f t="shared" si="101"/>
        <v/>
      </c>
    </row>
    <row r="6495" spans="1:2" x14ac:dyDescent="0.25">
      <c r="A6495" t="str">
        <f>IF(C6495&amp;G6495&amp;D6495&lt;&gt;'Funnel setup'!$K$3&amp;'Funnel setup'!$K$4&amp;'Funnel setup'!$K$6,".",IF(A6494=".",1,A6494+1))</f>
        <v>.</v>
      </c>
      <c r="B6495" s="244" t="str">
        <f t="shared" si="101"/>
        <v/>
      </c>
    </row>
    <row r="6496" spans="1:2" x14ac:dyDescent="0.25">
      <c r="A6496" t="str">
        <f>IF(C6496&amp;G6496&amp;D6496&lt;&gt;'Funnel setup'!$K$3&amp;'Funnel setup'!$K$4&amp;'Funnel setup'!$K$6,".",IF(A6495=".",1,A6495+1))</f>
        <v>.</v>
      </c>
      <c r="B6496" s="244" t="str">
        <f t="shared" si="101"/>
        <v/>
      </c>
    </row>
    <row r="6497" spans="1:2" x14ac:dyDescent="0.25">
      <c r="A6497" t="str">
        <f>IF(C6497&amp;G6497&amp;D6497&lt;&gt;'Funnel setup'!$K$3&amp;'Funnel setup'!$K$4&amp;'Funnel setup'!$K$6,".",IF(A6496=".",1,A6496+1))</f>
        <v>.</v>
      </c>
      <c r="B6497" s="244" t="str">
        <f t="shared" si="101"/>
        <v/>
      </c>
    </row>
    <row r="6498" spans="1:2" x14ac:dyDescent="0.25">
      <c r="A6498" t="str">
        <f>IF(C6498&amp;G6498&amp;D6498&lt;&gt;'Funnel setup'!$K$3&amp;'Funnel setup'!$K$4&amp;'Funnel setup'!$K$6,".",IF(A6497=".",1,A6497+1))</f>
        <v>.</v>
      </c>
      <c r="B6498" s="244" t="str">
        <f t="shared" si="101"/>
        <v/>
      </c>
    </row>
    <row r="6499" spans="1:2" x14ac:dyDescent="0.25">
      <c r="A6499" t="str">
        <f>IF(C6499&amp;G6499&amp;D6499&lt;&gt;'Funnel setup'!$K$3&amp;'Funnel setup'!$K$4&amp;'Funnel setup'!$K$6,".",IF(A6498=".",1,A6498+1))</f>
        <v>.</v>
      </c>
      <c r="B6499" s="244" t="str">
        <f t="shared" si="101"/>
        <v/>
      </c>
    </row>
    <row r="6500" spans="1:2" x14ac:dyDescent="0.25">
      <c r="A6500" t="str">
        <f>IF(C6500&amp;G6500&amp;D6500&lt;&gt;'Funnel setup'!$K$3&amp;'Funnel setup'!$K$4&amp;'Funnel setup'!$K$6,".",IF(A6499=".",1,A6499+1))</f>
        <v>.</v>
      </c>
      <c r="B6500" s="244" t="str">
        <f t="shared" si="101"/>
        <v/>
      </c>
    </row>
    <row r="6501" spans="1:2" x14ac:dyDescent="0.25">
      <c r="A6501" t="str">
        <f>IF(C6501&amp;G6501&amp;D6501&lt;&gt;'Funnel setup'!$K$3&amp;'Funnel setup'!$K$4&amp;'Funnel setup'!$K$6,".",IF(A6500=".",1,A6500+1))</f>
        <v>.</v>
      </c>
      <c r="B6501" s="244" t="str">
        <f t="shared" si="101"/>
        <v/>
      </c>
    </row>
    <row r="6502" spans="1:2" x14ac:dyDescent="0.25">
      <c r="A6502" t="str">
        <f>IF(C6502&amp;G6502&amp;D6502&lt;&gt;'Funnel setup'!$K$3&amp;'Funnel setup'!$K$4&amp;'Funnel setup'!$K$6,".",IF(A6501=".",1,A6501+1))</f>
        <v>.</v>
      </c>
      <c r="B6502" s="244" t="str">
        <f t="shared" si="101"/>
        <v/>
      </c>
    </row>
    <row r="6503" spans="1:2" x14ac:dyDescent="0.25">
      <c r="A6503" t="str">
        <f>IF(C6503&amp;G6503&amp;D6503&lt;&gt;'Funnel setup'!$K$3&amp;'Funnel setup'!$K$4&amp;'Funnel setup'!$K$6,".",IF(A6502=".",1,A6502+1))</f>
        <v>.</v>
      </c>
      <c r="B6503" s="244" t="str">
        <f t="shared" si="101"/>
        <v/>
      </c>
    </row>
    <row r="6504" spans="1:2" x14ac:dyDescent="0.25">
      <c r="A6504" t="str">
        <f>IF(C6504&amp;G6504&amp;D6504&lt;&gt;'Funnel setup'!$K$3&amp;'Funnel setup'!$K$4&amp;'Funnel setup'!$K$6,".",IF(A6503=".",1,A6503+1))</f>
        <v>.</v>
      </c>
      <c r="B6504" s="244" t="str">
        <f t="shared" si="101"/>
        <v/>
      </c>
    </row>
    <row r="6505" spans="1:2" x14ac:dyDescent="0.25">
      <c r="A6505" t="str">
        <f>IF(C6505&amp;G6505&amp;D6505&lt;&gt;'Funnel setup'!$K$3&amp;'Funnel setup'!$K$4&amp;'Funnel setup'!$K$6,".",IF(A6504=".",1,A6504+1))</f>
        <v>.</v>
      </c>
      <c r="B6505" s="244" t="str">
        <f t="shared" si="101"/>
        <v/>
      </c>
    </row>
    <row r="6506" spans="1:2" x14ac:dyDescent="0.25">
      <c r="A6506" t="str">
        <f>IF(C6506&amp;G6506&amp;D6506&lt;&gt;'Funnel setup'!$K$3&amp;'Funnel setup'!$K$4&amp;'Funnel setup'!$K$6,".",IF(A6505=".",1,A6505+1))</f>
        <v>.</v>
      </c>
      <c r="B6506" s="244" t="str">
        <f t="shared" si="101"/>
        <v/>
      </c>
    </row>
    <row r="6507" spans="1:2" x14ac:dyDescent="0.25">
      <c r="A6507" t="str">
        <f>IF(C6507&amp;G6507&amp;D6507&lt;&gt;'Funnel setup'!$K$3&amp;'Funnel setup'!$K$4&amp;'Funnel setup'!$K$6,".",IF(A6506=".",1,A6506+1))</f>
        <v>.</v>
      </c>
      <c r="B6507" s="244" t="str">
        <f t="shared" si="101"/>
        <v/>
      </c>
    </row>
    <row r="6508" spans="1:2" x14ac:dyDescent="0.25">
      <c r="A6508" t="str">
        <f>IF(C6508&amp;G6508&amp;D6508&lt;&gt;'Funnel setup'!$K$3&amp;'Funnel setup'!$K$4&amp;'Funnel setup'!$K$6,".",IF(A6507=".",1,A6507+1))</f>
        <v>.</v>
      </c>
      <c r="B6508" s="244" t="str">
        <f t="shared" si="101"/>
        <v/>
      </c>
    </row>
    <row r="6509" spans="1:2" x14ac:dyDescent="0.25">
      <c r="A6509" t="str">
        <f>IF(C6509&amp;G6509&amp;D6509&lt;&gt;'Funnel setup'!$K$3&amp;'Funnel setup'!$K$4&amp;'Funnel setup'!$K$6,".",IF(A6508=".",1,A6508+1))</f>
        <v>.</v>
      </c>
      <c r="B6509" s="244" t="str">
        <f t="shared" si="101"/>
        <v/>
      </c>
    </row>
    <row r="6510" spans="1:2" x14ac:dyDescent="0.25">
      <c r="A6510" t="str">
        <f>IF(C6510&amp;G6510&amp;D6510&lt;&gt;'Funnel setup'!$K$3&amp;'Funnel setup'!$K$4&amp;'Funnel setup'!$K$6,".",IF(A6509=".",1,A6509+1))</f>
        <v>.</v>
      </c>
      <c r="B6510" s="244" t="str">
        <f t="shared" si="101"/>
        <v/>
      </c>
    </row>
    <row r="6511" spans="1:2" x14ac:dyDescent="0.25">
      <c r="A6511" t="str">
        <f>IF(C6511&amp;G6511&amp;D6511&lt;&gt;'Funnel setup'!$K$3&amp;'Funnel setup'!$K$4&amp;'Funnel setup'!$K$6,".",IF(A6510=".",1,A6510+1))</f>
        <v>.</v>
      </c>
      <c r="B6511" s="244" t="str">
        <f t="shared" si="101"/>
        <v/>
      </c>
    </row>
    <row r="6512" spans="1:2" x14ac:dyDescent="0.25">
      <c r="A6512" t="str">
        <f>IF(C6512&amp;G6512&amp;D6512&lt;&gt;'Funnel setup'!$K$3&amp;'Funnel setup'!$K$4&amp;'Funnel setup'!$K$6,".",IF(A6511=".",1,A6511+1))</f>
        <v>.</v>
      </c>
      <c r="B6512" s="244" t="str">
        <f t="shared" si="101"/>
        <v/>
      </c>
    </row>
    <row r="6513" spans="1:2" x14ac:dyDescent="0.25">
      <c r="A6513" t="str">
        <f>IF(C6513&amp;G6513&amp;D6513&lt;&gt;'Funnel setup'!$K$3&amp;'Funnel setup'!$K$4&amp;'Funnel setup'!$K$6,".",IF(A6512=".",1,A6512+1))</f>
        <v>.</v>
      </c>
      <c r="B6513" s="244" t="str">
        <f t="shared" si="101"/>
        <v/>
      </c>
    </row>
    <row r="6514" spans="1:2" x14ac:dyDescent="0.25">
      <c r="A6514" t="str">
        <f>IF(C6514&amp;G6514&amp;D6514&lt;&gt;'Funnel setup'!$K$3&amp;'Funnel setup'!$K$4&amp;'Funnel setup'!$K$6,".",IF(A6513=".",1,A6513+1))</f>
        <v>.</v>
      </c>
      <c r="B6514" s="244" t="str">
        <f t="shared" si="101"/>
        <v/>
      </c>
    </row>
    <row r="6515" spans="1:2" x14ac:dyDescent="0.25">
      <c r="A6515" t="str">
        <f>IF(C6515&amp;G6515&amp;D6515&lt;&gt;'Funnel setup'!$K$3&amp;'Funnel setup'!$K$4&amp;'Funnel setup'!$K$6,".",IF(A6514=".",1,A6514+1))</f>
        <v>.</v>
      </c>
      <c r="B6515" s="244" t="str">
        <f t="shared" si="101"/>
        <v/>
      </c>
    </row>
    <row r="6516" spans="1:2" x14ac:dyDescent="0.25">
      <c r="A6516" t="str">
        <f>IF(C6516&amp;G6516&amp;D6516&lt;&gt;'Funnel setup'!$K$3&amp;'Funnel setup'!$K$4&amp;'Funnel setup'!$K$6,".",IF(A6515=".",1,A6515+1))</f>
        <v>.</v>
      </c>
      <c r="B6516" s="244" t="str">
        <f t="shared" si="101"/>
        <v/>
      </c>
    </row>
    <row r="6517" spans="1:2" x14ac:dyDescent="0.25">
      <c r="A6517" t="str">
        <f>IF(C6517&amp;G6517&amp;D6517&lt;&gt;'Funnel setup'!$K$3&amp;'Funnel setup'!$K$4&amp;'Funnel setup'!$K$6,".",IF(A6516=".",1,A6516+1))</f>
        <v>.</v>
      </c>
      <c r="B6517" s="244" t="str">
        <f t="shared" si="101"/>
        <v/>
      </c>
    </row>
    <row r="6518" spans="1:2" x14ac:dyDescent="0.25">
      <c r="A6518" t="str">
        <f>IF(C6518&amp;G6518&amp;D6518&lt;&gt;'Funnel setup'!$K$3&amp;'Funnel setup'!$K$4&amp;'Funnel setup'!$K$6,".",IF(A6517=".",1,A6517+1))</f>
        <v>.</v>
      </c>
      <c r="B6518" s="244" t="str">
        <f t="shared" si="101"/>
        <v/>
      </c>
    </row>
    <row r="6519" spans="1:2" x14ac:dyDescent="0.25">
      <c r="A6519" t="str">
        <f>IF(C6519&amp;G6519&amp;D6519&lt;&gt;'Funnel setup'!$K$3&amp;'Funnel setup'!$K$4&amp;'Funnel setup'!$K$6,".",IF(A6518=".",1,A6518+1))</f>
        <v>.</v>
      </c>
      <c r="B6519" s="244" t="str">
        <f t="shared" si="101"/>
        <v/>
      </c>
    </row>
    <row r="6520" spans="1:2" x14ac:dyDescent="0.25">
      <c r="A6520" t="str">
        <f>IF(C6520&amp;G6520&amp;D6520&lt;&gt;'Funnel setup'!$K$3&amp;'Funnel setup'!$K$4&amp;'Funnel setup'!$K$6,".",IF(A6519=".",1,A6519+1))</f>
        <v>.</v>
      </c>
      <c r="B6520" s="244" t="str">
        <f t="shared" si="101"/>
        <v/>
      </c>
    </row>
    <row r="6521" spans="1:2" x14ac:dyDescent="0.25">
      <c r="A6521" t="str">
        <f>IF(C6521&amp;G6521&amp;D6521&lt;&gt;'Funnel setup'!$K$3&amp;'Funnel setup'!$K$4&amp;'Funnel setup'!$K$6,".",IF(A6520=".",1,A6520+1))</f>
        <v>.</v>
      </c>
      <c r="B6521" s="244" t="str">
        <f t="shared" si="101"/>
        <v/>
      </c>
    </row>
    <row r="6522" spans="1:2" x14ac:dyDescent="0.25">
      <c r="A6522" t="str">
        <f>IF(C6522&amp;G6522&amp;D6522&lt;&gt;'Funnel setup'!$K$3&amp;'Funnel setup'!$K$4&amp;'Funnel setup'!$K$6,".",IF(A6521=".",1,A6521+1))</f>
        <v>.</v>
      </c>
      <c r="B6522" s="244" t="str">
        <f t="shared" si="101"/>
        <v/>
      </c>
    </row>
    <row r="6523" spans="1:2" x14ac:dyDescent="0.25">
      <c r="A6523" t="str">
        <f>IF(C6523&amp;G6523&amp;D6523&lt;&gt;'Funnel setup'!$K$3&amp;'Funnel setup'!$K$4&amp;'Funnel setup'!$K$6,".",IF(A6522=".",1,A6522+1))</f>
        <v>.</v>
      </c>
      <c r="B6523" s="244" t="str">
        <f t="shared" si="101"/>
        <v/>
      </c>
    </row>
    <row r="6524" spans="1:2" x14ac:dyDescent="0.25">
      <c r="A6524" t="str">
        <f>IF(C6524&amp;G6524&amp;D6524&lt;&gt;'Funnel setup'!$K$3&amp;'Funnel setup'!$K$4&amp;'Funnel setup'!$K$6,".",IF(A6523=".",1,A6523+1))</f>
        <v>.</v>
      </c>
      <c r="B6524" s="244" t="str">
        <f t="shared" si="101"/>
        <v/>
      </c>
    </row>
    <row r="6525" spans="1:2" x14ac:dyDescent="0.25">
      <c r="A6525" t="str">
        <f>IF(C6525&amp;G6525&amp;D6525&lt;&gt;'Funnel setup'!$K$3&amp;'Funnel setup'!$K$4&amp;'Funnel setup'!$K$6,".",IF(A6524=".",1,A6524+1))</f>
        <v>.</v>
      </c>
      <c r="B6525" s="244" t="str">
        <f t="shared" si="101"/>
        <v/>
      </c>
    </row>
    <row r="6526" spans="1:2" x14ac:dyDescent="0.25">
      <c r="A6526" t="str">
        <f>IF(C6526&amp;G6526&amp;D6526&lt;&gt;'Funnel setup'!$K$3&amp;'Funnel setup'!$K$4&amp;'Funnel setup'!$K$6,".",IF(A6525=".",1,A6525+1))</f>
        <v>.</v>
      </c>
      <c r="B6526" s="244" t="str">
        <f t="shared" si="101"/>
        <v/>
      </c>
    </row>
    <row r="6527" spans="1:2" x14ac:dyDescent="0.25">
      <c r="A6527" t="str">
        <f>IF(C6527&amp;G6527&amp;D6527&lt;&gt;'Funnel setup'!$K$3&amp;'Funnel setup'!$K$4&amp;'Funnel setup'!$K$6,".",IF(A6526=".",1,A6526+1))</f>
        <v>.</v>
      </c>
      <c r="B6527" s="244" t="str">
        <f t="shared" si="101"/>
        <v/>
      </c>
    </row>
    <row r="6528" spans="1:2" x14ac:dyDescent="0.25">
      <c r="A6528" t="str">
        <f>IF(C6528&amp;G6528&amp;D6528&lt;&gt;'Funnel setup'!$K$3&amp;'Funnel setup'!$K$4&amp;'Funnel setup'!$K$6,".",IF(A6527=".",1,A6527+1))</f>
        <v>.</v>
      </c>
      <c r="B6528" s="244" t="str">
        <f t="shared" si="101"/>
        <v/>
      </c>
    </row>
    <row r="6529" spans="1:2" x14ac:dyDescent="0.25">
      <c r="A6529" t="str">
        <f>IF(C6529&amp;G6529&amp;D6529&lt;&gt;'Funnel setup'!$K$3&amp;'Funnel setup'!$K$4&amp;'Funnel setup'!$K$6,".",IF(A6528=".",1,A6528+1))</f>
        <v>.</v>
      </c>
      <c r="B6529" s="244" t="str">
        <f t="shared" si="101"/>
        <v/>
      </c>
    </row>
    <row r="6530" spans="1:2" x14ac:dyDescent="0.25">
      <c r="A6530" t="str">
        <f>IF(C6530&amp;G6530&amp;D6530&lt;&gt;'Funnel setup'!$K$3&amp;'Funnel setup'!$K$4&amp;'Funnel setup'!$K$6,".",IF(A6529=".",1,A6529+1))</f>
        <v>.</v>
      </c>
      <c r="B6530" s="244" t="str">
        <f t="shared" ref="B6530:B6593" si="102">C6530&amp;D6530&amp;F6530&amp;G6530</f>
        <v/>
      </c>
    </row>
    <row r="6531" spans="1:2" x14ac:dyDescent="0.25">
      <c r="A6531" t="str">
        <f>IF(C6531&amp;G6531&amp;D6531&lt;&gt;'Funnel setup'!$K$3&amp;'Funnel setup'!$K$4&amp;'Funnel setup'!$K$6,".",IF(A6530=".",1,A6530+1))</f>
        <v>.</v>
      </c>
      <c r="B6531" s="244" t="str">
        <f t="shared" si="102"/>
        <v/>
      </c>
    </row>
    <row r="6532" spans="1:2" x14ac:dyDescent="0.25">
      <c r="A6532" t="str">
        <f>IF(C6532&amp;G6532&amp;D6532&lt;&gt;'Funnel setup'!$K$3&amp;'Funnel setup'!$K$4&amp;'Funnel setup'!$K$6,".",IF(A6531=".",1,A6531+1))</f>
        <v>.</v>
      </c>
      <c r="B6532" s="244" t="str">
        <f t="shared" si="102"/>
        <v/>
      </c>
    </row>
    <row r="6533" spans="1:2" x14ac:dyDescent="0.25">
      <c r="A6533" t="str">
        <f>IF(C6533&amp;G6533&amp;D6533&lt;&gt;'Funnel setup'!$K$3&amp;'Funnel setup'!$K$4&amp;'Funnel setup'!$K$6,".",IF(A6532=".",1,A6532+1))</f>
        <v>.</v>
      </c>
      <c r="B6533" s="244" t="str">
        <f t="shared" si="102"/>
        <v/>
      </c>
    </row>
    <row r="6534" spans="1:2" x14ac:dyDescent="0.25">
      <c r="A6534" t="str">
        <f>IF(C6534&amp;G6534&amp;D6534&lt;&gt;'Funnel setup'!$K$3&amp;'Funnel setup'!$K$4&amp;'Funnel setup'!$K$6,".",IF(A6533=".",1,A6533+1))</f>
        <v>.</v>
      </c>
      <c r="B6534" s="244" t="str">
        <f t="shared" si="102"/>
        <v/>
      </c>
    </row>
    <row r="6535" spans="1:2" x14ac:dyDescent="0.25">
      <c r="A6535" t="str">
        <f>IF(C6535&amp;G6535&amp;D6535&lt;&gt;'Funnel setup'!$K$3&amp;'Funnel setup'!$K$4&amp;'Funnel setup'!$K$6,".",IF(A6534=".",1,A6534+1))</f>
        <v>.</v>
      </c>
      <c r="B6535" s="244" t="str">
        <f t="shared" si="102"/>
        <v/>
      </c>
    </row>
    <row r="6536" spans="1:2" x14ac:dyDescent="0.25">
      <c r="A6536" t="str">
        <f>IF(C6536&amp;G6536&amp;D6536&lt;&gt;'Funnel setup'!$K$3&amp;'Funnel setup'!$K$4&amp;'Funnel setup'!$K$6,".",IF(A6535=".",1,A6535+1))</f>
        <v>.</v>
      </c>
      <c r="B6536" s="244" t="str">
        <f t="shared" si="102"/>
        <v/>
      </c>
    </row>
    <row r="6537" spans="1:2" x14ac:dyDescent="0.25">
      <c r="A6537" t="str">
        <f>IF(C6537&amp;G6537&amp;D6537&lt;&gt;'Funnel setup'!$K$3&amp;'Funnel setup'!$K$4&amp;'Funnel setup'!$K$6,".",IF(A6536=".",1,A6536+1))</f>
        <v>.</v>
      </c>
      <c r="B6537" s="244" t="str">
        <f t="shared" si="102"/>
        <v/>
      </c>
    </row>
    <row r="6538" spans="1:2" x14ac:dyDescent="0.25">
      <c r="A6538" t="str">
        <f>IF(C6538&amp;G6538&amp;D6538&lt;&gt;'Funnel setup'!$K$3&amp;'Funnel setup'!$K$4&amp;'Funnel setup'!$K$6,".",IF(A6537=".",1,A6537+1))</f>
        <v>.</v>
      </c>
      <c r="B6538" s="244" t="str">
        <f t="shared" si="102"/>
        <v/>
      </c>
    </row>
    <row r="6539" spans="1:2" x14ac:dyDescent="0.25">
      <c r="A6539" t="str">
        <f>IF(C6539&amp;G6539&amp;D6539&lt;&gt;'Funnel setup'!$K$3&amp;'Funnel setup'!$K$4&amp;'Funnel setup'!$K$6,".",IF(A6538=".",1,A6538+1))</f>
        <v>.</v>
      </c>
      <c r="B6539" s="244" t="str">
        <f t="shared" si="102"/>
        <v/>
      </c>
    </row>
    <row r="6540" spans="1:2" x14ac:dyDescent="0.25">
      <c r="A6540" t="str">
        <f>IF(C6540&amp;G6540&amp;D6540&lt;&gt;'Funnel setup'!$K$3&amp;'Funnel setup'!$K$4&amp;'Funnel setup'!$K$6,".",IF(A6539=".",1,A6539+1))</f>
        <v>.</v>
      </c>
      <c r="B6540" s="244" t="str">
        <f t="shared" si="102"/>
        <v/>
      </c>
    </row>
    <row r="6541" spans="1:2" x14ac:dyDescent="0.25">
      <c r="A6541" t="str">
        <f>IF(C6541&amp;G6541&amp;D6541&lt;&gt;'Funnel setup'!$K$3&amp;'Funnel setup'!$K$4&amp;'Funnel setup'!$K$6,".",IF(A6540=".",1,A6540+1))</f>
        <v>.</v>
      </c>
      <c r="B6541" s="244" t="str">
        <f t="shared" si="102"/>
        <v/>
      </c>
    </row>
    <row r="6542" spans="1:2" x14ac:dyDescent="0.25">
      <c r="A6542" t="str">
        <f>IF(C6542&amp;G6542&amp;D6542&lt;&gt;'Funnel setup'!$K$3&amp;'Funnel setup'!$K$4&amp;'Funnel setup'!$K$6,".",IF(A6541=".",1,A6541+1))</f>
        <v>.</v>
      </c>
      <c r="B6542" s="244" t="str">
        <f t="shared" si="102"/>
        <v/>
      </c>
    </row>
    <row r="6543" spans="1:2" x14ac:dyDescent="0.25">
      <c r="A6543" t="str">
        <f>IF(C6543&amp;G6543&amp;D6543&lt;&gt;'Funnel setup'!$K$3&amp;'Funnel setup'!$K$4&amp;'Funnel setup'!$K$6,".",IF(A6542=".",1,A6542+1))</f>
        <v>.</v>
      </c>
      <c r="B6543" s="244" t="str">
        <f t="shared" si="102"/>
        <v/>
      </c>
    </row>
    <row r="6544" spans="1:2" x14ac:dyDescent="0.25">
      <c r="A6544" t="str">
        <f>IF(C6544&amp;G6544&amp;D6544&lt;&gt;'Funnel setup'!$K$3&amp;'Funnel setup'!$K$4&amp;'Funnel setup'!$K$6,".",IF(A6543=".",1,A6543+1))</f>
        <v>.</v>
      </c>
      <c r="B6544" s="244" t="str">
        <f t="shared" si="102"/>
        <v/>
      </c>
    </row>
    <row r="6545" spans="1:2" x14ac:dyDescent="0.25">
      <c r="A6545" t="str">
        <f>IF(C6545&amp;G6545&amp;D6545&lt;&gt;'Funnel setup'!$K$3&amp;'Funnel setup'!$K$4&amp;'Funnel setup'!$K$6,".",IF(A6544=".",1,A6544+1))</f>
        <v>.</v>
      </c>
      <c r="B6545" s="244" t="str">
        <f t="shared" si="102"/>
        <v/>
      </c>
    </row>
    <row r="6546" spans="1:2" x14ac:dyDescent="0.25">
      <c r="A6546" t="str">
        <f>IF(C6546&amp;G6546&amp;D6546&lt;&gt;'Funnel setup'!$K$3&amp;'Funnel setup'!$K$4&amp;'Funnel setup'!$K$6,".",IF(A6545=".",1,A6545+1))</f>
        <v>.</v>
      </c>
      <c r="B6546" s="244" t="str">
        <f t="shared" si="102"/>
        <v/>
      </c>
    </row>
    <row r="6547" spans="1:2" x14ac:dyDescent="0.25">
      <c r="A6547" t="str">
        <f>IF(C6547&amp;G6547&amp;D6547&lt;&gt;'Funnel setup'!$K$3&amp;'Funnel setup'!$K$4&amp;'Funnel setup'!$K$6,".",IF(A6546=".",1,A6546+1))</f>
        <v>.</v>
      </c>
      <c r="B6547" s="244" t="str">
        <f t="shared" si="102"/>
        <v/>
      </c>
    </row>
    <row r="6548" spans="1:2" x14ac:dyDescent="0.25">
      <c r="A6548" t="str">
        <f>IF(C6548&amp;G6548&amp;D6548&lt;&gt;'Funnel setup'!$K$3&amp;'Funnel setup'!$K$4&amp;'Funnel setup'!$K$6,".",IF(A6547=".",1,A6547+1))</f>
        <v>.</v>
      </c>
      <c r="B6548" s="244" t="str">
        <f t="shared" si="102"/>
        <v/>
      </c>
    </row>
    <row r="6549" spans="1:2" x14ac:dyDescent="0.25">
      <c r="A6549" t="str">
        <f>IF(C6549&amp;G6549&amp;D6549&lt;&gt;'Funnel setup'!$K$3&amp;'Funnel setup'!$K$4&amp;'Funnel setup'!$K$6,".",IF(A6548=".",1,A6548+1))</f>
        <v>.</v>
      </c>
      <c r="B6549" s="244" t="str">
        <f t="shared" si="102"/>
        <v/>
      </c>
    </row>
    <row r="6550" spans="1:2" x14ac:dyDescent="0.25">
      <c r="A6550" t="str">
        <f>IF(C6550&amp;G6550&amp;D6550&lt;&gt;'Funnel setup'!$K$3&amp;'Funnel setup'!$K$4&amp;'Funnel setup'!$K$6,".",IF(A6549=".",1,A6549+1))</f>
        <v>.</v>
      </c>
      <c r="B6550" s="244" t="str">
        <f t="shared" si="102"/>
        <v/>
      </c>
    </row>
    <row r="6551" spans="1:2" x14ac:dyDescent="0.25">
      <c r="A6551" t="str">
        <f>IF(C6551&amp;G6551&amp;D6551&lt;&gt;'Funnel setup'!$K$3&amp;'Funnel setup'!$K$4&amp;'Funnel setup'!$K$6,".",IF(A6550=".",1,A6550+1))</f>
        <v>.</v>
      </c>
      <c r="B6551" s="244" t="str">
        <f t="shared" si="102"/>
        <v/>
      </c>
    </row>
    <row r="6552" spans="1:2" x14ac:dyDescent="0.25">
      <c r="A6552" t="str">
        <f>IF(C6552&amp;G6552&amp;D6552&lt;&gt;'Funnel setup'!$K$3&amp;'Funnel setup'!$K$4&amp;'Funnel setup'!$K$6,".",IF(A6551=".",1,A6551+1))</f>
        <v>.</v>
      </c>
      <c r="B6552" s="244" t="str">
        <f t="shared" si="102"/>
        <v/>
      </c>
    </row>
    <row r="6553" spans="1:2" x14ac:dyDescent="0.25">
      <c r="A6553" t="str">
        <f>IF(C6553&amp;G6553&amp;D6553&lt;&gt;'Funnel setup'!$K$3&amp;'Funnel setup'!$K$4&amp;'Funnel setup'!$K$6,".",IF(A6552=".",1,A6552+1))</f>
        <v>.</v>
      </c>
      <c r="B6553" s="244" t="str">
        <f t="shared" si="102"/>
        <v/>
      </c>
    </row>
    <row r="6554" spans="1:2" x14ac:dyDescent="0.25">
      <c r="A6554" t="str">
        <f>IF(C6554&amp;G6554&amp;D6554&lt;&gt;'Funnel setup'!$K$3&amp;'Funnel setup'!$K$4&amp;'Funnel setup'!$K$6,".",IF(A6553=".",1,A6553+1))</f>
        <v>.</v>
      </c>
      <c r="B6554" s="244" t="str">
        <f t="shared" si="102"/>
        <v/>
      </c>
    </row>
    <row r="6555" spans="1:2" x14ac:dyDescent="0.25">
      <c r="A6555" t="str">
        <f>IF(C6555&amp;G6555&amp;D6555&lt;&gt;'Funnel setup'!$K$3&amp;'Funnel setup'!$K$4&amp;'Funnel setup'!$K$6,".",IF(A6554=".",1,A6554+1))</f>
        <v>.</v>
      </c>
      <c r="B6555" s="244" t="str">
        <f t="shared" si="102"/>
        <v/>
      </c>
    </row>
    <row r="6556" spans="1:2" x14ac:dyDescent="0.25">
      <c r="A6556" t="str">
        <f>IF(C6556&amp;G6556&amp;D6556&lt;&gt;'Funnel setup'!$K$3&amp;'Funnel setup'!$K$4&amp;'Funnel setup'!$K$6,".",IF(A6555=".",1,A6555+1))</f>
        <v>.</v>
      </c>
      <c r="B6556" s="244" t="str">
        <f t="shared" si="102"/>
        <v/>
      </c>
    </row>
    <row r="6557" spans="1:2" x14ac:dyDescent="0.25">
      <c r="A6557" t="str">
        <f>IF(C6557&amp;G6557&amp;D6557&lt;&gt;'Funnel setup'!$K$3&amp;'Funnel setup'!$K$4&amp;'Funnel setup'!$K$6,".",IF(A6556=".",1,A6556+1))</f>
        <v>.</v>
      </c>
      <c r="B6557" s="244" t="str">
        <f t="shared" si="102"/>
        <v/>
      </c>
    </row>
    <row r="6558" spans="1:2" x14ac:dyDescent="0.25">
      <c r="A6558" t="str">
        <f>IF(C6558&amp;G6558&amp;D6558&lt;&gt;'Funnel setup'!$K$3&amp;'Funnel setup'!$K$4&amp;'Funnel setup'!$K$6,".",IF(A6557=".",1,A6557+1))</f>
        <v>.</v>
      </c>
      <c r="B6558" s="244" t="str">
        <f t="shared" si="102"/>
        <v/>
      </c>
    </row>
    <row r="6559" spans="1:2" x14ac:dyDescent="0.25">
      <c r="A6559" t="str">
        <f>IF(C6559&amp;G6559&amp;D6559&lt;&gt;'Funnel setup'!$K$3&amp;'Funnel setup'!$K$4&amp;'Funnel setup'!$K$6,".",IF(A6558=".",1,A6558+1))</f>
        <v>.</v>
      </c>
      <c r="B6559" s="244" t="str">
        <f t="shared" si="102"/>
        <v/>
      </c>
    </row>
    <row r="6560" spans="1:2" x14ac:dyDescent="0.25">
      <c r="A6560" t="str">
        <f>IF(C6560&amp;G6560&amp;D6560&lt;&gt;'Funnel setup'!$K$3&amp;'Funnel setup'!$K$4&amp;'Funnel setup'!$K$6,".",IF(A6559=".",1,A6559+1))</f>
        <v>.</v>
      </c>
      <c r="B6560" s="244" t="str">
        <f t="shared" si="102"/>
        <v/>
      </c>
    </row>
    <row r="6561" spans="1:2" x14ac:dyDescent="0.25">
      <c r="A6561" t="str">
        <f>IF(C6561&amp;G6561&amp;D6561&lt;&gt;'Funnel setup'!$K$3&amp;'Funnel setup'!$K$4&amp;'Funnel setup'!$K$6,".",IF(A6560=".",1,A6560+1))</f>
        <v>.</v>
      </c>
      <c r="B6561" s="244" t="str">
        <f t="shared" si="102"/>
        <v/>
      </c>
    </row>
    <row r="6562" spans="1:2" x14ac:dyDescent="0.25">
      <c r="A6562" t="str">
        <f>IF(C6562&amp;G6562&amp;D6562&lt;&gt;'Funnel setup'!$K$3&amp;'Funnel setup'!$K$4&amp;'Funnel setup'!$K$6,".",IF(A6561=".",1,A6561+1))</f>
        <v>.</v>
      </c>
      <c r="B6562" s="244" t="str">
        <f t="shared" si="102"/>
        <v/>
      </c>
    </row>
    <row r="6563" spans="1:2" x14ac:dyDescent="0.25">
      <c r="A6563" t="str">
        <f>IF(C6563&amp;G6563&amp;D6563&lt;&gt;'Funnel setup'!$K$3&amp;'Funnel setup'!$K$4&amp;'Funnel setup'!$K$6,".",IF(A6562=".",1,A6562+1))</f>
        <v>.</v>
      </c>
      <c r="B6563" s="244" t="str">
        <f t="shared" si="102"/>
        <v/>
      </c>
    </row>
    <row r="6564" spans="1:2" x14ac:dyDescent="0.25">
      <c r="A6564" t="str">
        <f>IF(C6564&amp;G6564&amp;D6564&lt;&gt;'Funnel setup'!$K$3&amp;'Funnel setup'!$K$4&amp;'Funnel setup'!$K$6,".",IF(A6563=".",1,A6563+1))</f>
        <v>.</v>
      </c>
      <c r="B6564" s="244" t="str">
        <f t="shared" si="102"/>
        <v/>
      </c>
    </row>
    <row r="6565" spans="1:2" x14ac:dyDescent="0.25">
      <c r="A6565" t="str">
        <f>IF(C6565&amp;G6565&amp;D6565&lt;&gt;'Funnel setup'!$K$3&amp;'Funnel setup'!$K$4&amp;'Funnel setup'!$K$6,".",IF(A6564=".",1,A6564+1))</f>
        <v>.</v>
      </c>
      <c r="B6565" s="244" t="str">
        <f t="shared" si="102"/>
        <v/>
      </c>
    </row>
    <row r="6566" spans="1:2" x14ac:dyDescent="0.25">
      <c r="A6566" t="str">
        <f>IF(C6566&amp;G6566&amp;D6566&lt;&gt;'Funnel setup'!$K$3&amp;'Funnel setup'!$K$4&amp;'Funnel setup'!$K$6,".",IF(A6565=".",1,A6565+1))</f>
        <v>.</v>
      </c>
      <c r="B6566" s="244" t="str">
        <f t="shared" si="102"/>
        <v/>
      </c>
    </row>
    <row r="6567" spans="1:2" x14ac:dyDescent="0.25">
      <c r="A6567" t="str">
        <f>IF(C6567&amp;G6567&amp;D6567&lt;&gt;'Funnel setup'!$K$3&amp;'Funnel setup'!$K$4&amp;'Funnel setup'!$K$6,".",IF(A6566=".",1,A6566+1))</f>
        <v>.</v>
      </c>
      <c r="B6567" s="244" t="str">
        <f t="shared" si="102"/>
        <v/>
      </c>
    </row>
    <row r="6568" spans="1:2" x14ac:dyDescent="0.25">
      <c r="A6568" t="str">
        <f>IF(C6568&amp;G6568&amp;D6568&lt;&gt;'Funnel setup'!$K$3&amp;'Funnel setup'!$K$4&amp;'Funnel setup'!$K$6,".",IF(A6567=".",1,A6567+1))</f>
        <v>.</v>
      </c>
      <c r="B6568" s="244" t="str">
        <f t="shared" si="102"/>
        <v/>
      </c>
    </row>
    <row r="6569" spans="1:2" x14ac:dyDescent="0.25">
      <c r="A6569" t="str">
        <f>IF(C6569&amp;G6569&amp;D6569&lt;&gt;'Funnel setup'!$K$3&amp;'Funnel setup'!$K$4&amp;'Funnel setup'!$K$6,".",IF(A6568=".",1,A6568+1))</f>
        <v>.</v>
      </c>
      <c r="B6569" s="244" t="str">
        <f t="shared" si="102"/>
        <v/>
      </c>
    </row>
    <row r="6570" spans="1:2" x14ac:dyDescent="0.25">
      <c r="A6570" t="str">
        <f>IF(C6570&amp;G6570&amp;D6570&lt;&gt;'Funnel setup'!$K$3&amp;'Funnel setup'!$K$4&amp;'Funnel setup'!$K$6,".",IF(A6569=".",1,A6569+1))</f>
        <v>.</v>
      </c>
      <c r="B6570" s="244" t="str">
        <f t="shared" si="102"/>
        <v/>
      </c>
    </row>
    <row r="6571" spans="1:2" x14ac:dyDescent="0.25">
      <c r="A6571" t="str">
        <f>IF(C6571&amp;G6571&amp;D6571&lt;&gt;'Funnel setup'!$K$3&amp;'Funnel setup'!$K$4&amp;'Funnel setup'!$K$6,".",IF(A6570=".",1,A6570+1))</f>
        <v>.</v>
      </c>
      <c r="B6571" s="244" t="str">
        <f t="shared" si="102"/>
        <v/>
      </c>
    </row>
    <row r="6572" spans="1:2" x14ac:dyDescent="0.25">
      <c r="A6572" t="str">
        <f>IF(C6572&amp;G6572&amp;D6572&lt;&gt;'Funnel setup'!$K$3&amp;'Funnel setup'!$K$4&amp;'Funnel setup'!$K$6,".",IF(A6571=".",1,A6571+1))</f>
        <v>.</v>
      </c>
      <c r="B6572" s="244" t="str">
        <f t="shared" si="102"/>
        <v/>
      </c>
    </row>
    <row r="6573" spans="1:2" x14ac:dyDescent="0.25">
      <c r="A6573" t="str">
        <f>IF(C6573&amp;G6573&amp;D6573&lt;&gt;'Funnel setup'!$K$3&amp;'Funnel setup'!$K$4&amp;'Funnel setup'!$K$6,".",IF(A6572=".",1,A6572+1))</f>
        <v>.</v>
      </c>
      <c r="B6573" s="244" t="str">
        <f t="shared" si="102"/>
        <v/>
      </c>
    </row>
    <row r="6574" spans="1:2" x14ac:dyDescent="0.25">
      <c r="A6574" t="str">
        <f>IF(C6574&amp;G6574&amp;D6574&lt;&gt;'Funnel setup'!$K$3&amp;'Funnel setup'!$K$4&amp;'Funnel setup'!$K$6,".",IF(A6573=".",1,A6573+1))</f>
        <v>.</v>
      </c>
      <c r="B6574" s="244" t="str">
        <f t="shared" si="102"/>
        <v/>
      </c>
    </row>
    <row r="6575" spans="1:2" x14ac:dyDescent="0.25">
      <c r="A6575" t="str">
        <f>IF(C6575&amp;G6575&amp;D6575&lt;&gt;'Funnel setup'!$K$3&amp;'Funnel setup'!$K$4&amp;'Funnel setup'!$K$6,".",IF(A6574=".",1,A6574+1))</f>
        <v>.</v>
      </c>
      <c r="B6575" s="244" t="str">
        <f t="shared" si="102"/>
        <v/>
      </c>
    </row>
    <row r="6576" spans="1:2" x14ac:dyDescent="0.25">
      <c r="A6576" t="str">
        <f>IF(C6576&amp;G6576&amp;D6576&lt;&gt;'Funnel setup'!$K$3&amp;'Funnel setup'!$K$4&amp;'Funnel setup'!$K$6,".",IF(A6575=".",1,A6575+1))</f>
        <v>.</v>
      </c>
      <c r="B6576" s="244" t="str">
        <f t="shared" si="102"/>
        <v/>
      </c>
    </row>
    <row r="6577" spans="1:2" x14ac:dyDescent="0.25">
      <c r="A6577" t="str">
        <f>IF(C6577&amp;G6577&amp;D6577&lt;&gt;'Funnel setup'!$K$3&amp;'Funnel setup'!$K$4&amp;'Funnel setup'!$K$6,".",IF(A6576=".",1,A6576+1))</f>
        <v>.</v>
      </c>
      <c r="B6577" s="244" t="str">
        <f t="shared" si="102"/>
        <v/>
      </c>
    </row>
    <row r="6578" spans="1:2" x14ac:dyDescent="0.25">
      <c r="A6578" t="str">
        <f>IF(C6578&amp;G6578&amp;D6578&lt;&gt;'Funnel setup'!$K$3&amp;'Funnel setup'!$K$4&amp;'Funnel setup'!$K$6,".",IF(A6577=".",1,A6577+1))</f>
        <v>.</v>
      </c>
      <c r="B6578" s="244" t="str">
        <f t="shared" si="102"/>
        <v/>
      </c>
    </row>
    <row r="6579" spans="1:2" x14ac:dyDescent="0.25">
      <c r="A6579" t="str">
        <f>IF(C6579&amp;G6579&amp;D6579&lt;&gt;'Funnel setup'!$K$3&amp;'Funnel setup'!$K$4&amp;'Funnel setup'!$K$6,".",IF(A6578=".",1,A6578+1))</f>
        <v>.</v>
      </c>
      <c r="B6579" s="244" t="str">
        <f t="shared" si="102"/>
        <v/>
      </c>
    </row>
    <row r="6580" spans="1:2" x14ac:dyDescent="0.25">
      <c r="A6580" t="str">
        <f>IF(C6580&amp;G6580&amp;D6580&lt;&gt;'Funnel setup'!$K$3&amp;'Funnel setup'!$K$4&amp;'Funnel setup'!$K$6,".",IF(A6579=".",1,A6579+1))</f>
        <v>.</v>
      </c>
      <c r="B6580" s="244" t="str">
        <f t="shared" si="102"/>
        <v/>
      </c>
    </row>
    <row r="6581" spans="1:2" x14ac:dyDescent="0.25">
      <c r="A6581" t="str">
        <f>IF(C6581&amp;G6581&amp;D6581&lt;&gt;'Funnel setup'!$K$3&amp;'Funnel setup'!$K$4&amp;'Funnel setup'!$K$6,".",IF(A6580=".",1,A6580+1))</f>
        <v>.</v>
      </c>
      <c r="B6581" s="244" t="str">
        <f t="shared" si="102"/>
        <v/>
      </c>
    </row>
    <row r="6582" spans="1:2" x14ac:dyDescent="0.25">
      <c r="A6582" t="str">
        <f>IF(C6582&amp;G6582&amp;D6582&lt;&gt;'Funnel setup'!$K$3&amp;'Funnel setup'!$K$4&amp;'Funnel setup'!$K$6,".",IF(A6581=".",1,A6581+1))</f>
        <v>.</v>
      </c>
      <c r="B6582" s="244" t="str">
        <f t="shared" si="102"/>
        <v/>
      </c>
    </row>
    <row r="6583" spans="1:2" x14ac:dyDescent="0.25">
      <c r="A6583" t="str">
        <f>IF(C6583&amp;G6583&amp;D6583&lt;&gt;'Funnel setup'!$K$3&amp;'Funnel setup'!$K$4&amp;'Funnel setup'!$K$6,".",IF(A6582=".",1,A6582+1))</f>
        <v>.</v>
      </c>
      <c r="B6583" s="244" t="str">
        <f t="shared" si="102"/>
        <v/>
      </c>
    </row>
    <row r="6584" spans="1:2" x14ac:dyDescent="0.25">
      <c r="A6584" t="str">
        <f>IF(C6584&amp;G6584&amp;D6584&lt;&gt;'Funnel setup'!$K$3&amp;'Funnel setup'!$K$4&amp;'Funnel setup'!$K$6,".",IF(A6583=".",1,A6583+1))</f>
        <v>.</v>
      </c>
      <c r="B6584" s="244" t="str">
        <f t="shared" si="102"/>
        <v/>
      </c>
    </row>
    <row r="6585" spans="1:2" x14ac:dyDescent="0.25">
      <c r="A6585" t="str">
        <f>IF(C6585&amp;G6585&amp;D6585&lt;&gt;'Funnel setup'!$K$3&amp;'Funnel setup'!$K$4&amp;'Funnel setup'!$K$6,".",IF(A6584=".",1,A6584+1))</f>
        <v>.</v>
      </c>
      <c r="B6585" s="244" t="str">
        <f t="shared" si="102"/>
        <v/>
      </c>
    </row>
    <row r="6586" spans="1:2" x14ac:dyDescent="0.25">
      <c r="A6586" t="str">
        <f>IF(C6586&amp;G6586&amp;D6586&lt;&gt;'Funnel setup'!$K$3&amp;'Funnel setup'!$K$4&amp;'Funnel setup'!$K$6,".",IF(A6585=".",1,A6585+1))</f>
        <v>.</v>
      </c>
      <c r="B6586" s="244" t="str">
        <f t="shared" si="102"/>
        <v/>
      </c>
    </row>
    <row r="6587" spans="1:2" x14ac:dyDescent="0.25">
      <c r="A6587" t="str">
        <f>IF(C6587&amp;G6587&amp;D6587&lt;&gt;'Funnel setup'!$K$3&amp;'Funnel setup'!$K$4&amp;'Funnel setup'!$K$6,".",IF(A6586=".",1,A6586+1))</f>
        <v>.</v>
      </c>
      <c r="B6587" s="244" t="str">
        <f t="shared" si="102"/>
        <v/>
      </c>
    </row>
    <row r="6588" spans="1:2" x14ac:dyDescent="0.25">
      <c r="A6588" t="str">
        <f>IF(C6588&amp;G6588&amp;D6588&lt;&gt;'Funnel setup'!$K$3&amp;'Funnel setup'!$K$4&amp;'Funnel setup'!$K$6,".",IF(A6587=".",1,A6587+1))</f>
        <v>.</v>
      </c>
      <c r="B6588" s="244" t="str">
        <f t="shared" si="102"/>
        <v/>
      </c>
    </row>
    <row r="6589" spans="1:2" x14ac:dyDescent="0.25">
      <c r="A6589" t="str">
        <f>IF(C6589&amp;G6589&amp;D6589&lt;&gt;'Funnel setup'!$K$3&amp;'Funnel setup'!$K$4&amp;'Funnel setup'!$K$6,".",IF(A6588=".",1,A6588+1))</f>
        <v>.</v>
      </c>
      <c r="B6589" s="244" t="str">
        <f t="shared" si="102"/>
        <v/>
      </c>
    </row>
    <row r="6590" spans="1:2" x14ac:dyDescent="0.25">
      <c r="A6590" t="str">
        <f>IF(C6590&amp;G6590&amp;D6590&lt;&gt;'Funnel setup'!$K$3&amp;'Funnel setup'!$K$4&amp;'Funnel setup'!$K$6,".",IF(A6589=".",1,A6589+1))</f>
        <v>.</v>
      </c>
      <c r="B6590" s="244" t="str">
        <f t="shared" si="102"/>
        <v/>
      </c>
    </row>
    <row r="6591" spans="1:2" x14ac:dyDescent="0.25">
      <c r="A6591" t="str">
        <f>IF(C6591&amp;G6591&amp;D6591&lt;&gt;'Funnel setup'!$K$3&amp;'Funnel setup'!$K$4&amp;'Funnel setup'!$K$6,".",IF(A6590=".",1,A6590+1))</f>
        <v>.</v>
      </c>
      <c r="B6591" s="244" t="str">
        <f t="shared" si="102"/>
        <v/>
      </c>
    </row>
    <row r="6592" spans="1:2" x14ac:dyDescent="0.25">
      <c r="A6592" t="str">
        <f>IF(C6592&amp;G6592&amp;D6592&lt;&gt;'Funnel setup'!$K$3&amp;'Funnel setup'!$K$4&amp;'Funnel setup'!$K$6,".",IF(A6591=".",1,A6591+1))</f>
        <v>.</v>
      </c>
      <c r="B6592" s="244" t="str">
        <f t="shared" si="102"/>
        <v/>
      </c>
    </row>
    <row r="6593" spans="1:2" x14ac:dyDescent="0.25">
      <c r="A6593" t="str">
        <f>IF(C6593&amp;G6593&amp;D6593&lt;&gt;'Funnel setup'!$K$3&amp;'Funnel setup'!$K$4&amp;'Funnel setup'!$K$6,".",IF(A6592=".",1,A6592+1))</f>
        <v>.</v>
      </c>
      <c r="B6593" s="244" t="str">
        <f t="shared" si="102"/>
        <v/>
      </c>
    </row>
    <row r="6594" spans="1:2" x14ac:dyDescent="0.25">
      <c r="A6594" t="str">
        <f>IF(C6594&amp;G6594&amp;D6594&lt;&gt;'Funnel setup'!$K$3&amp;'Funnel setup'!$K$4&amp;'Funnel setup'!$K$6,".",IF(A6593=".",1,A6593+1))</f>
        <v>.</v>
      </c>
      <c r="B6594" s="244" t="str">
        <f t="shared" ref="B6594:B6657" si="103">C6594&amp;D6594&amp;F6594&amp;G6594</f>
        <v/>
      </c>
    </row>
    <row r="6595" spans="1:2" x14ac:dyDescent="0.25">
      <c r="A6595" t="str">
        <f>IF(C6595&amp;G6595&amp;D6595&lt;&gt;'Funnel setup'!$K$3&amp;'Funnel setup'!$K$4&amp;'Funnel setup'!$K$6,".",IF(A6594=".",1,A6594+1))</f>
        <v>.</v>
      </c>
      <c r="B6595" s="244" t="str">
        <f t="shared" si="103"/>
        <v/>
      </c>
    </row>
    <row r="6596" spans="1:2" x14ac:dyDescent="0.25">
      <c r="A6596" t="str">
        <f>IF(C6596&amp;G6596&amp;D6596&lt;&gt;'Funnel setup'!$K$3&amp;'Funnel setup'!$K$4&amp;'Funnel setup'!$K$6,".",IF(A6595=".",1,A6595+1))</f>
        <v>.</v>
      </c>
      <c r="B6596" s="244" t="str">
        <f t="shared" si="103"/>
        <v/>
      </c>
    </row>
    <row r="6597" spans="1:2" x14ac:dyDescent="0.25">
      <c r="A6597" t="str">
        <f>IF(C6597&amp;G6597&amp;D6597&lt;&gt;'Funnel setup'!$K$3&amp;'Funnel setup'!$K$4&amp;'Funnel setup'!$K$6,".",IF(A6596=".",1,A6596+1))</f>
        <v>.</v>
      </c>
      <c r="B6597" s="244" t="str">
        <f t="shared" si="103"/>
        <v/>
      </c>
    </row>
    <row r="6598" spans="1:2" x14ac:dyDescent="0.25">
      <c r="A6598" t="str">
        <f>IF(C6598&amp;G6598&amp;D6598&lt;&gt;'Funnel setup'!$K$3&amp;'Funnel setup'!$K$4&amp;'Funnel setup'!$K$6,".",IF(A6597=".",1,A6597+1))</f>
        <v>.</v>
      </c>
      <c r="B6598" s="244" t="str">
        <f t="shared" si="103"/>
        <v/>
      </c>
    </row>
    <row r="6599" spans="1:2" x14ac:dyDescent="0.25">
      <c r="A6599" t="str">
        <f>IF(C6599&amp;G6599&amp;D6599&lt;&gt;'Funnel setup'!$K$3&amp;'Funnel setup'!$K$4&amp;'Funnel setup'!$K$6,".",IF(A6598=".",1,A6598+1))</f>
        <v>.</v>
      </c>
      <c r="B6599" s="244" t="str">
        <f t="shared" si="103"/>
        <v/>
      </c>
    </row>
    <row r="6600" spans="1:2" x14ac:dyDescent="0.25">
      <c r="A6600" t="str">
        <f>IF(C6600&amp;G6600&amp;D6600&lt;&gt;'Funnel setup'!$K$3&amp;'Funnel setup'!$K$4&amp;'Funnel setup'!$K$6,".",IF(A6599=".",1,A6599+1))</f>
        <v>.</v>
      </c>
      <c r="B6600" s="244" t="str">
        <f t="shared" si="103"/>
        <v/>
      </c>
    </row>
    <row r="6601" spans="1:2" x14ac:dyDescent="0.25">
      <c r="A6601" t="str">
        <f>IF(C6601&amp;G6601&amp;D6601&lt;&gt;'Funnel setup'!$K$3&amp;'Funnel setup'!$K$4&amp;'Funnel setup'!$K$6,".",IF(A6600=".",1,A6600+1))</f>
        <v>.</v>
      </c>
      <c r="B6601" s="244" t="str">
        <f t="shared" si="103"/>
        <v/>
      </c>
    </row>
    <row r="6602" spans="1:2" x14ac:dyDescent="0.25">
      <c r="A6602" t="str">
        <f>IF(C6602&amp;G6602&amp;D6602&lt;&gt;'Funnel setup'!$K$3&amp;'Funnel setup'!$K$4&amp;'Funnel setup'!$K$6,".",IF(A6601=".",1,A6601+1))</f>
        <v>.</v>
      </c>
      <c r="B6602" s="244" t="str">
        <f t="shared" si="103"/>
        <v/>
      </c>
    </row>
    <row r="6603" spans="1:2" x14ac:dyDescent="0.25">
      <c r="A6603" t="str">
        <f>IF(C6603&amp;G6603&amp;D6603&lt;&gt;'Funnel setup'!$K$3&amp;'Funnel setup'!$K$4&amp;'Funnel setup'!$K$6,".",IF(A6602=".",1,A6602+1))</f>
        <v>.</v>
      </c>
      <c r="B6603" s="244" t="str">
        <f t="shared" si="103"/>
        <v/>
      </c>
    </row>
    <row r="6604" spans="1:2" x14ac:dyDescent="0.25">
      <c r="A6604" t="str">
        <f>IF(C6604&amp;G6604&amp;D6604&lt;&gt;'Funnel setup'!$K$3&amp;'Funnel setup'!$K$4&amp;'Funnel setup'!$K$6,".",IF(A6603=".",1,A6603+1))</f>
        <v>.</v>
      </c>
      <c r="B6604" s="244" t="str">
        <f t="shared" si="103"/>
        <v/>
      </c>
    </row>
    <row r="6605" spans="1:2" x14ac:dyDescent="0.25">
      <c r="A6605" t="str">
        <f>IF(C6605&amp;G6605&amp;D6605&lt;&gt;'Funnel setup'!$K$3&amp;'Funnel setup'!$K$4&amp;'Funnel setup'!$K$6,".",IF(A6604=".",1,A6604+1))</f>
        <v>.</v>
      </c>
      <c r="B6605" s="244" t="str">
        <f t="shared" si="103"/>
        <v/>
      </c>
    </row>
    <row r="6606" spans="1:2" x14ac:dyDescent="0.25">
      <c r="A6606" t="str">
        <f>IF(C6606&amp;G6606&amp;D6606&lt;&gt;'Funnel setup'!$K$3&amp;'Funnel setup'!$K$4&amp;'Funnel setup'!$K$6,".",IF(A6605=".",1,A6605+1))</f>
        <v>.</v>
      </c>
      <c r="B6606" s="244" t="str">
        <f t="shared" si="103"/>
        <v/>
      </c>
    </row>
    <row r="6607" spans="1:2" x14ac:dyDescent="0.25">
      <c r="A6607" t="str">
        <f>IF(C6607&amp;G6607&amp;D6607&lt;&gt;'Funnel setup'!$K$3&amp;'Funnel setup'!$K$4&amp;'Funnel setup'!$K$6,".",IF(A6606=".",1,A6606+1))</f>
        <v>.</v>
      </c>
      <c r="B6607" s="244" t="str">
        <f t="shared" si="103"/>
        <v/>
      </c>
    </row>
    <row r="6608" spans="1:2" x14ac:dyDescent="0.25">
      <c r="A6608" t="str">
        <f>IF(C6608&amp;G6608&amp;D6608&lt;&gt;'Funnel setup'!$K$3&amp;'Funnel setup'!$K$4&amp;'Funnel setup'!$K$6,".",IF(A6607=".",1,A6607+1))</f>
        <v>.</v>
      </c>
      <c r="B6608" s="244" t="str">
        <f t="shared" si="103"/>
        <v/>
      </c>
    </row>
    <row r="6609" spans="1:2" x14ac:dyDescent="0.25">
      <c r="A6609" t="str">
        <f>IF(C6609&amp;G6609&amp;D6609&lt;&gt;'Funnel setup'!$K$3&amp;'Funnel setup'!$K$4&amp;'Funnel setup'!$K$6,".",IF(A6608=".",1,A6608+1))</f>
        <v>.</v>
      </c>
      <c r="B6609" s="244" t="str">
        <f t="shared" si="103"/>
        <v/>
      </c>
    </row>
    <row r="6610" spans="1:2" x14ac:dyDescent="0.25">
      <c r="A6610" t="str">
        <f>IF(C6610&amp;G6610&amp;D6610&lt;&gt;'Funnel setup'!$K$3&amp;'Funnel setup'!$K$4&amp;'Funnel setup'!$K$6,".",IF(A6609=".",1,A6609+1))</f>
        <v>.</v>
      </c>
      <c r="B6610" s="244" t="str">
        <f t="shared" si="103"/>
        <v/>
      </c>
    </row>
    <row r="6611" spans="1:2" x14ac:dyDescent="0.25">
      <c r="A6611" t="str">
        <f>IF(C6611&amp;G6611&amp;D6611&lt;&gt;'Funnel setup'!$K$3&amp;'Funnel setup'!$K$4&amp;'Funnel setup'!$K$6,".",IF(A6610=".",1,A6610+1))</f>
        <v>.</v>
      </c>
      <c r="B6611" s="244" t="str">
        <f t="shared" si="103"/>
        <v/>
      </c>
    </row>
    <row r="6612" spans="1:2" x14ac:dyDescent="0.25">
      <c r="A6612" t="str">
        <f>IF(C6612&amp;G6612&amp;D6612&lt;&gt;'Funnel setup'!$K$3&amp;'Funnel setup'!$K$4&amp;'Funnel setup'!$K$6,".",IF(A6611=".",1,A6611+1))</f>
        <v>.</v>
      </c>
      <c r="B6612" s="244" t="str">
        <f t="shared" si="103"/>
        <v/>
      </c>
    </row>
    <row r="6613" spans="1:2" x14ac:dyDescent="0.25">
      <c r="A6613" t="str">
        <f>IF(C6613&amp;G6613&amp;D6613&lt;&gt;'Funnel setup'!$K$3&amp;'Funnel setup'!$K$4&amp;'Funnel setup'!$K$6,".",IF(A6612=".",1,A6612+1))</f>
        <v>.</v>
      </c>
      <c r="B6613" s="244" t="str">
        <f t="shared" si="103"/>
        <v/>
      </c>
    </row>
    <row r="6614" spans="1:2" x14ac:dyDescent="0.25">
      <c r="A6614" t="str">
        <f>IF(C6614&amp;G6614&amp;D6614&lt;&gt;'Funnel setup'!$K$3&amp;'Funnel setup'!$K$4&amp;'Funnel setup'!$K$6,".",IF(A6613=".",1,A6613+1))</f>
        <v>.</v>
      </c>
      <c r="B6614" s="244" t="str">
        <f t="shared" si="103"/>
        <v/>
      </c>
    </row>
    <row r="6615" spans="1:2" x14ac:dyDescent="0.25">
      <c r="A6615" t="str">
        <f>IF(C6615&amp;G6615&amp;D6615&lt;&gt;'Funnel setup'!$K$3&amp;'Funnel setup'!$K$4&amp;'Funnel setup'!$K$6,".",IF(A6614=".",1,A6614+1))</f>
        <v>.</v>
      </c>
      <c r="B6615" s="244" t="str">
        <f t="shared" si="103"/>
        <v/>
      </c>
    </row>
    <row r="6616" spans="1:2" x14ac:dyDescent="0.25">
      <c r="A6616" t="str">
        <f>IF(C6616&amp;G6616&amp;D6616&lt;&gt;'Funnel setup'!$K$3&amp;'Funnel setup'!$K$4&amp;'Funnel setup'!$K$6,".",IF(A6615=".",1,A6615+1))</f>
        <v>.</v>
      </c>
      <c r="B6616" s="244" t="str">
        <f t="shared" si="103"/>
        <v/>
      </c>
    </row>
    <row r="6617" spans="1:2" x14ac:dyDescent="0.25">
      <c r="A6617" t="str">
        <f>IF(C6617&amp;G6617&amp;D6617&lt;&gt;'Funnel setup'!$K$3&amp;'Funnel setup'!$K$4&amp;'Funnel setup'!$K$6,".",IF(A6616=".",1,A6616+1))</f>
        <v>.</v>
      </c>
      <c r="B6617" s="244" t="str">
        <f t="shared" si="103"/>
        <v/>
      </c>
    </row>
    <row r="6618" spans="1:2" x14ac:dyDescent="0.25">
      <c r="A6618" t="str">
        <f>IF(C6618&amp;G6618&amp;D6618&lt;&gt;'Funnel setup'!$K$3&amp;'Funnel setup'!$K$4&amp;'Funnel setup'!$K$6,".",IF(A6617=".",1,A6617+1))</f>
        <v>.</v>
      </c>
      <c r="B6618" s="244" t="str">
        <f t="shared" si="103"/>
        <v/>
      </c>
    </row>
    <row r="6619" spans="1:2" x14ac:dyDescent="0.25">
      <c r="A6619" t="str">
        <f>IF(C6619&amp;G6619&amp;D6619&lt;&gt;'Funnel setup'!$K$3&amp;'Funnel setup'!$K$4&amp;'Funnel setup'!$K$6,".",IF(A6618=".",1,A6618+1))</f>
        <v>.</v>
      </c>
      <c r="B6619" s="244" t="str">
        <f t="shared" si="103"/>
        <v/>
      </c>
    </row>
    <row r="6620" spans="1:2" x14ac:dyDescent="0.25">
      <c r="A6620" t="str">
        <f>IF(C6620&amp;G6620&amp;D6620&lt;&gt;'Funnel setup'!$K$3&amp;'Funnel setup'!$K$4&amp;'Funnel setup'!$K$6,".",IF(A6619=".",1,A6619+1))</f>
        <v>.</v>
      </c>
      <c r="B6620" s="244" t="str">
        <f t="shared" si="103"/>
        <v/>
      </c>
    </row>
    <row r="6621" spans="1:2" x14ac:dyDescent="0.25">
      <c r="A6621" t="str">
        <f>IF(C6621&amp;G6621&amp;D6621&lt;&gt;'Funnel setup'!$K$3&amp;'Funnel setup'!$K$4&amp;'Funnel setup'!$K$6,".",IF(A6620=".",1,A6620+1))</f>
        <v>.</v>
      </c>
      <c r="B6621" s="244" t="str">
        <f t="shared" si="103"/>
        <v/>
      </c>
    </row>
    <row r="6622" spans="1:2" x14ac:dyDescent="0.25">
      <c r="A6622" t="str">
        <f>IF(C6622&amp;G6622&amp;D6622&lt;&gt;'Funnel setup'!$K$3&amp;'Funnel setup'!$K$4&amp;'Funnel setup'!$K$6,".",IF(A6621=".",1,A6621+1))</f>
        <v>.</v>
      </c>
      <c r="B6622" s="244" t="str">
        <f t="shared" si="103"/>
        <v/>
      </c>
    </row>
    <row r="6623" spans="1:2" x14ac:dyDescent="0.25">
      <c r="A6623" t="str">
        <f>IF(C6623&amp;G6623&amp;D6623&lt;&gt;'Funnel setup'!$K$3&amp;'Funnel setup'!$K$4&amp;'Funnel setup'!$K$6,".",IF(A6622=".",1,A6622+1))</f>
        <v>.</v>
      </c>
      <c r="B6623" s="244" t="str">
        <f t="shared" si="103"/>
        <v/>
      </c>
    </row>
    <row r="6624" spans="1:2" x14ac:dyDescent="0.25">
      <c r="A6624" t="str">
        <f>IF(C6624&amp;G6624&amp;D6624&lt;&gt;'Funnel setup'!$K$3&amp;'Funnel setup'!$K$4&amp;'Funnel setup'!$K$6,".",IF(A6623=".",1,A6623+1))</f>
        <v>.</v>
      </c>
      <c r="B6624" s="244" t="str">
        <f t="shared" si="103"/>
        <v/>
      </c>
    </row>
    <row r="6625" spans="1:2" x14ac:dyDescent="0.25">
      <c r="A6625" t="str">
        <f>IF(C6625&amp;G6625&amp;D6625&lt;&gt;'Funnel setup'!$K$3&amp;'Funnel setup'!$K$4&amp;'Funnel setup'!$K$6,".",IF(A6624=".",1,A6624+1))</f>
        <v>.</v>
      </c>
      <c r="B6625" s="244" t="str">
        <f t="shared" si="103"/>
        <v/>
      </c>
    </row>
    <row r="6626" spans="1:2" x14ac:dyDescent="0.25">
      <c r="A6626" t="str">
        <f>IF(C6626&amp;G6626&amp;D6626&lt;&gt;'Funnel setup'!$K$3&amp;'Funnel setup'!$K$4&amp;'Funnel setup'!$K$6,".",IF(A6625=".",1,A6625+1))</f>
        <v>.</v>
      </c>
      <c r="B6626" s="244" t="str">
        <f t="shared" si="103"/>
        <v/>
      </c>
    </row>
    <row r="6627" spans="1:2" x14ac:dyDescent="0.25">
      <c r="A6627" t="str">
        <f>IF(C6627&amp;G6627&amp;D6627&lt;&gt;'Funnel setup'!$K$3&amp;'Funnel setup'!$K$4&amp;'Funnel setup'!$K$6,".",IF(A6626=".",1,A6626+1))</f>
        <v>.</v>
      </c>
      <c r="B6627" s="244" t="str">
        <f t="shared" si="103"/>
        <v/>
      </c>
    </row>
    <row r="6628" spans="1:2" x14ac:dyDescent="0.25">
      <c r="A6628" t="str">
        <f>IF(C6628&amp;G6628&amp;D6628&lt;&gt;'Funnel setup'!$K$3&amp;'Funnel setup'!$K$4&amp;'Funnel setup'!$K$6,".",IF(A6627=".",1,A6627+1))</f>
        <v>.</v>
      </c>
      <c r="B6628" s="244" t="str">
        <f t="shared" si="103"/>
        <v/>
      </c>
    </row>
    <row r="6629" spans="1:2" x14ac:dyDescent="0.25">
      <c r="A6629" t="str">
        <f>IF(C6629&amp;G6629&amp;D6629&lt;&gt;'Funnel setup'!$K$3&amp;'Funnel setup'!$K$4&amp;'Funnel setup'!$K$6,".",IF(A6628=".",1,A6628+1))</f>
        <v>.</v>
      </c>
      <c r="B6629" s="244" t="str">
        <f t="shared" si="103"/>
        <v/>
      </c>
    </row>
    <row r="6630" spans="1:2" x14ac:dyDescent="0.25">
      <c r="A6630" t="str">
        <f>IF(C6630&amp;G6630&amp;D6630&lt;&gt;'Funnel setup'!$K$3&amp;'Funnel setup'!$K$4&amp;'Funnel setup'!$K$6,".",IF(A6629=".",1,A6629+1))</f>
        <v>.</v>
      </c>
      <c r="B6630" s="244" t="str">
        <f t="shared" si="103"/>
        <v/>
      </c>
    </row>
    <row r="6631" spans="1:2" x14ac:dyDescent="0.25">
      <c r="A6631" t="str">
        <f>IF(C6631&amp;G6631&amp;D6631&lt;&gt;'Funnel setup'!$K$3&amp;'Funnel setup'!$K$4&amp;'Funnel setup'!$K$6,".",IF(A6630=".",1,A6630+1))</f>
        <v>.</v>
      </c>
      <c r="B6631" s="244" t="str">
        <f t="shared" si="103"/>
        <v/>
      </c>
    </row>
    <row r="6632" spans="1:2" x14ac:dyDescent="0.25">
      <c r="A6632" t="str">
        <f>IF(C6632&amp;G6632&amp;D6632&lt;&gt;'Funnel setup'!$K$3&amp;'Funnel setup'!$K$4&amp;'Funnel setup'!$K$6,".",IF(A6631=".",1,A6631+1))</f>
        <v>.</v>
      </c>
      <c r="B6632" s="244" t="str">
        <f t="shared" si="103"/>
        <v/>
      </c>
    </row>
    <row r="6633" spans="1:2" x14ac:dyDescent="0.25">
      <c r="A6633" t="str">
        <f>IF(C6633&amp;G6633&amp;D6633&lt;&gt;'Funnel setup'!$K$3&amp;'Funnel setup'!$K$4&amp;'Funnel setup'!$K$6,".",IF(A6632=".",1,A6632+1))</f>
        <v>.</v>
      </c>
      <c r="B6633" s="244" t="str">
        <f t="shared" si="103"/>
        <v/>
      </c>
    </row>
    <row r="6634" spans="1:2" x14ac:dyDescent="0.25">
      <c r="A6634" t="str">
        <f>IF(C6634&amp;G6634&amp;D6634&lt;&gt;'Funnel setup'!$K$3&amp;'Funnel setup'!$K$4&amp;'Funnel setup'!$K$6,".",IF(A6633=".",1,A6633+1))</f>
        <v>.</v>
      </c>
      <c r="B6634" s="244" t="str">
        <f t="shared" si="103"/>
        <v/>
      </c>
    </row>
    <row r="6635" spans="1:2" x14ac:dyDescent="0.25">
      <c r="A6635" t="str">
        <f>IF(C6635&amp;G6635&amp;D6635&lt;&gt;'Funnel setup'!$K$3&amp;'Funnel setup'!$K$4&amp;'Funnel setup'!$K$6,".",IF(A6634=".",1,A6634+1))</f>
        <v>.</v>
      </c>
      <c r="B6635" s="244" t="str">
        <f t="shared" si="103"/>
        <v/>
      </c>
    </row>
    <row r="6636" spans="1:2" x14ac:dyDescent="0.25">
      <c r="A6636" t="str">
        <f>IF(C6636&amp;G6636&amp;D6636&lt;&gt;'Funnel setup'!$K$3&amp;'Funnel setup'!$K$4&amp;'Funnel setup'!$K$6,".",IF(A6635=".",1,A6635+1))</f>
        <v>.</v>
      </c>
      <c r="B6636" s="244" t="str">
        <f t="shared" si="103"/>
        <v/>
      </c>
    </row>
    <row r="6637" spans="1:2" x14ac:dyDescent="0.25">
      <c r="A6637" t="str">
        <f>IF(C6637&amp;G6637&amp;D6637&lt;&gt;'Funnel setup'!$K$3&amp;'Funnel setup'!$K$4&amp;'Funnel setup'!$K$6,".",IF(A6636=".",1,A6636+1))</f>
        <v>.</v>
      </c>
      <c r="B6637" s="244" t="str">
        <f t="shared" si="103"/>
        <v/>
      </c>
    </row>
    <row r="6638" spans="1:2" x14ac:dyDescent="0.25">
      <c r="A6638" t="str">
        <f>IF(C6638&amp;G6638&amp;D6638&lt;&gt;'Funnel setup'!$K$3&amp;'Funnel setup'!$K$4&amp;'Funnel setup'!$K$6,".",IF(A6637=".",1,A6637+1))</f>
        <v>.</v>
      </c>
      <c r="B6638" s="244" t="str">
        <f t="shared" si="103"/>
        <v/>
      </c>
    </row>
    <row r="6639" spans="1:2" x14ac:dyDescent="0.25">
      <c r="A6639" t="str">
        <f>IF(C6639&amp;G6639&amp;D6639&lt;&gt;'Funnel setup'!$K$3&amp;'Funnel setup'!$K$4&amp;'Funnel setup'!$K$6,".",IF(A6638=".",1,A6638+1))</f>
        <v>.</v>
      </c>
      <c r="B6639" s="244" t="str">
        <f t="shared" si="103"/>
        <v/>
      </c>
    </row>
    <row r="6640" spans="1:2" x14ac:dyDescent="0.25">
      <c r="A6640" t="str">
        <f>IF(C6640&amp;G6640&amp;D6640&lt;&gt;'Funnel setup'!$K$3&amp;'Funnel setup'!$K$4&amp;'Funnel setup'!$K$6,".",IF(A6639=".",1,A6639+1))</f>
        <v>.</v>
      </c>
      <c r="B6640" s="244" t="str">
        <f t="shared" si="103"/>
        <v/>
      </c>
    </row>
    <row r="6641" spans="1:2" x14ac:dyDescent="0.25">
      <c r="A6641" t="str">
        <f>IF(C6641&amp;G6641&amp;D6641&lt;&gt;'Funnel setup'!$K$3&amp;'Funnel setup'!$K$4&amp;'Funnel setup'!$K$6,".",IF(A6640=".",1,A6640+1))</f>
        <v>.</v>
      </c>
      <c r="B6641" s="244" t="str">
        <f t="shared" si="103"/>
        <v/>
      </c>
    </row>
    <row r="6642" spans="1:2" x14ac:dyDescent="0.25">
      <c r="A6642" t="str">
        <f>IF(C6642&amp;G6642&amp;D6642&lt;&gt;'Funnel setup'!$K$3&amp;'Funnel setup'!$K$4&amp;'Funnel setup'!$K$6,".",IF(A6641=".",1,A6641+1))</f>
        <v>.</v>
      </c>
      <c r="B6642" s="244" t="str">
        <f t="shared" si="103"/>
        <v/>
      </c>
    </row>
    <row r="6643" spans="1:2" x14ac:dyDescent="0.25">
      <c r="A6643" t="str">
        <f>IF(C6643&amp;G6643&amp;D6643&lt;&gt;'Funnel setup'!$K$3&amp;'Funnel setup'!$K$4&amp;'Funnel setup'!$K$6,".",IF(A6642=".",1,A6642+1))</f>
        <v>.</v>
      </c>
      <c r="B6643" s="244" t="str">
        <f t="shared" si="103"/>
        <v/>
      </c>
    </row>
    <row r="6644" spans="1:2" x14ac:dyDescent="0.25">
      <c r="A6644" t="str">
        <f>IF(C6644&amp;G6644&amp;D6644&lt;&gt;'Funnel setup'!$K$3&amp;'Funnel setup'!$K$4&amp;'Funnel setup'!$K$6,".",IF(A6643=".",1,A6643+1))</f>
        <v>.</v>
      </c>
      <c r="B6644" s="244" t="str">
        <f t="shared" si="103"/>
        <v/>
      </c>
    </row>
    <row r="6645" spans="1:2" x14ac:dyDescent="0.25">
      <c r="A6645" t="str">
        <f>IF(C6645&amp;G6645&amp;D6645&lt;&gt;'Funnel setup'!$K$3&amp;'Funnel setup'!$K$4&amp;'Funnel setup'!$K$6,".",IF(A6644=".",1,A6644+1))</f>
        <v>.</v>
      </c>
      <c r="B6645" s="244" t="str">
        <f t="shared" si="103"/>
        <v/>
      </c>
    </row>
    <row r="6646" spans="1:2" x14ac:dyDescent="0.25">
      <c r="A6646" t="str">
        <f>IF(C6646&amp;G6646&amp;D6646&lt;&gt;'Funnel setup'!$K$3&amp;'Funnel setup'!$K$4&amp;'Funnel setup'!$K$6,".",IF(A6645=".",1,A6645+1))</f>
        <v>.</v>
      </c>
      <c r="B6646" s="244" t="str">
        <f t="shared" si="103"/>
        <v/>
      </c>
    </row>
    <row r="6647" spans="1:2" x14ac:dyDescent="0.25">
      <c r="A6647" t="str">
        <f>IF(C6647&amp;G6647&amp;D6647&lt;&gt;'Funnel setup'!$K$3&amp;'Funnel setup'!$K$4&amp;'Funnel setup'!$K$6,".",IF(A6646=".",1,A6646+1))</f>
        <v>.</v>
      </c>
      <c r="B6647" s="244" t="str">
        <f t="shared" si="103"/>
        <v/>
      </c>
    </row>
    <row r="6648" spans="1:2" x14ac:dyDescent="0.25">
      <c r="A6648" t="str">
        <f>IF(C6648&amp;G6648&amp;D6648&lt;&gt;'Funnel setup'!$K$3&amp;'Funnel setup'!$K$4&amp;'Funnel setup'!$K$6,".",IF(A6647=".",1,A6647+1))</f>
        <v>.</v>
      </c>
      <c r="B6648" s="244" t="str">
        <f t="shared" si="103"/>
        <v/>
      </c>
    </row>
    <row r="6649" spans="1:2" x14ac:dyDescent="0.25">
      <c r="A6649" t="str">
        <f>IF(C6649&amp;G6649&amp;D6649&lt;&gt;'Funnel setup'!$K$3&amp;'Funnel setup'!$K$4&amp;'Funnel setup'!$K$6,".",IF(A6648=".",1,A6648+1))</f>
        <v>.</v>
      </c>
      <c r="B6649" s="244" t="str">
        <f t="shared" si="103"/>
        <v/>
      </c>
    </row>
    <row r="6650" spans="1:2" x14ac:dyDescent="0.25">
      <c r="A6650" t="str">
        <f>IF(C6650&amp;G6650&amp;D6650&lt;&gt;'Funnel setup'!$K$3&amp;'Funnel setup'!$K$4&amp;'Funnel setup'!$K$6,".",IF(A6649=".",1,A6649+1))</f>
        <v>.</v>
      </c>
      <c r="B6650" s="244" t="str">
        <f t="shared" si="103"/>
        <v/>
      </c>
    </row>
    <row r="6651" spans="1:2" x14ac:dyDescent="0.25">
      <c r="A6651" t="str">
        <f>IF(C6651&amp;G6651&amp;D6651&lt;&gt;'Funnel setup'!$K$3&amp;'Funnel setup'!$K$4&amp;'Funnel setup'!$K$6,".",IF(A6650=".",1,A6650+1))</f>
        <v>.</v>
      </c>
      <c r="B6651" s="244" t="str">
        <f t="shared" si="103"/>
        <v/>
      </c>
    </row>
    <row r="6652" spans="1:2" x14ac:dyDescent="0.25">
      <c r="A6652" t="str">
        <f>IF(C6652&amp;G6652&amp;D6652&lt;&gt;'Funnel setup'!$K$3&amp;'Funnel setup'!$K$4&amp;'Funnel setup'!$K$6,".",IF(A6651=".",1,A6651+1))</f>
        <v>.</v>
      </c>
      <c r="B6652" s="244" t="str">
        <f t="shared" si="103"/>
        <v/>
      </c>
    </row>
    <row r="6653" spans="1:2" x14ac:dyDescent="0.25">
      <c r="A6653" t="str">
        <f>IF(C6653&amp;G6653&amp;D6653&lt;&gt;'Funnel setup'!$K$3&amp;'Funnel setup'!$K$4&amp;'Funnel setup'!$K$6,".",IF(A6652=".",1,A6652+1))</f>
        <v>.</v>
      </c>
      <c r="B6653" s="244" t="str">
        <f t="shared" si="103"/>
        <v/>
      </c>
    </row>
    <row r="6654" spans="1:2" x14ac:dyDescent="0.25">
      <c r="A6654" t="str">
        <f>IF(C6654&amp;G6654&amp;D6654&lt;&gt;'Funnel setup'!$K$3&amp;'Funnel setup'!$K$4&amp;'Funnel setup'!$K$6,".",IF(A6653=".",1,A6653+1))</f>
        <v>.</v>
      </c>
      <c r="B6654" s="244" t="str">
        <f t="shared" si="103"/>
        <v/>
      </c>
    </row>
    <row r="6655" spans="1:2" x14ac:dyDescent="0.25">
      <c r="A6655" t="str">
        <f>IF(C6655&amp;G6655&amp;D6655&lt;&gt;'Funnel setup'!$K$3&amp;'Funnel setup'!$K$4&amp;'Funnel setup'!$K$6,".",IF(A6654=".",1,A6654+1))</f>
        <v>.</v>
      </c>
      <c r="B6655" s="244" t="str">
        <f t="shared" si="103"/>
        <v/>
      </c>
    </row>
    <row r="6656" spans="1:2" x14ac:dyDescent="0.25">
      <c r="A6656" t="str">
        <f>IF(C6656&amp;G6656&amp;D6656&lt;&gt;'Funnel setup'!$K$3&amp;'Funnel setup'!$K$4&amp;'Funnel setup'!$K$6,".",IF(A6655=".",1,A6655+1))</f>
        <v>.</v>
      </c>
      <c r="B6656" s="244" t="str">
        <f t="shared" si="103"/>
        <v/>
      </c>
    </row>
    <row r="6657" spans="1:2" x14ac:dyDescent="0.25">
      <c r="A6657" t="str">
        <f>IF(C6657&amp;G6657&amp;D6657&lt;&gt;'Funnel setup'!$K$3&amp;'Funnel setup'!$K$4&amp;'Funnel setup'!$K$6,".",IF(A6656=".",1,A6656+1))</f>
        <v>.</v>
      </c>
      <c r="B6657" s="244" t="str">
        <f t="shared" si="103"/>
        <v/>
      </c>
    </row>
    <row r="6658" spans="1:2" x14ac:dyDescent="0.25">
      <c r="A6658" t="str">
        <f>IF(C6658&amp;G6658&amp;D6658&lt;&gt;'Funnel setup'!$K$3&amp;'Funnel setup'!$K$4&amp;'Funnel setup'!$K$6,".",IF(A6657=".",1,A6657+1))</f>
        <v>.</v>
      </c>
      <c r="B6658" s="244" t="str">
        <f t="shared" ref="B6658:B6721" si="104">C6658&amp;D6658&amp;F6658&amp;G6658</f>
        <v/>
      </c>
    </row>
    <row r="6659" spans="1:2" x14ac:dyDescent="0.25">
      <c r="A6659" t="str">
        <f>IF(C6659&amp;G6659&amp;D6659&lt;&gt;'Funnel setup'!$K$3&amp;'Funnel setup'!$K$4&amp;'Funnel setup'!$K$6,".",IF(A6658=".",1,A6658+1))</f>
        <v>.</v>
      </c>
      <c r="B6659" s="244" t="str">
        <f t="shared" si="104"/>
        <v/>
      </c>
    </row>
    <row r="6660" spans="1:2" x14ac:dyDescent="0.25">
      <c r="A6660" t="str">
        <f>IF(C6660&amp;G6660&amp;D6660&lt;&gt;'Funnel setup'!$K$3&amp;'Funnel setup'!$K$4&amp;'Funnel setup'!$K$6,".",IF(A6659=".",1,A6659+1))</f>
        <v>.</v>
      </c>
      <c r="B6660" s="244" t="str">
        <f t="shared" si="104"/>
        <v/>
      </c>
    </row>
    <row r="6661" spans="1:2" x14ac:dyDescent="0.25">
      <c r="A6661" t="str">
        <f>IF(C6661&amp;G6661&amp;D6661&lt;&gt;'Funnel setup'!$K$3&amp;'Funnel setup'!$K$4&amp;'Funnel setup'!$K$6,".",IF(A6660=".",1,A6660+1))</f>
        <v>.</v>
      </c>
      <c r="B6661" s="244" t="str">
        <f t="shared" si="104"/>
        <v/>
      </c>
    </row>
    <row r="6662" spans="1:2" x14ac:dyDescent="0.25">
      <c r="A6662" t="str">
        <f>IF(C6662&amp;G6662&amp;D6662&lt;&gt;'Funnel setup'!$K$3&amp;'Funnel setup'!$K$4&amp;'Funnel setup'!$K$6,".",IF(A6661=".",1,A6661+1))</f>
        <v>.</v>
      </c>
      <c r="B6662" s="244" t="str">
        <f t="shared" si="104"/>
        <v/>
      </c>
    </row>
    <row r="6663" spans="1:2" x14ac:dyDescent="0.25">
      <c r="A6663" t="str">
        <f>IF(C6663&amp;G6663&amp;D6663&lt;&gt;'Funnel setup'!$K$3&amp;'Funnel setup'!$K$4&amp;'Funnel setup'!$K$6,".",IF(A6662=".",1,A6662+1))</f>
        <v>.</v>
      </c>
      <c r="B6663" s="244" t="str">
        <f t="shared" si="104"/>
        <v/>
      </c>
    </row>
    <row r="6664" spans="1:2" x14ac:dyDescent="0.25">
      <c r="A6664" t="str">
        <f>IF(C6664&amp;G6664&amp;D6664&lt;&gt;'Funnel setup'!$K$3&amp;'Funnel setup'!$K$4&amp;'Funnel setup'!$K$6,".",IF(A6663=".",1,A6663+1))</f>
        <v>.</v>
      </c>
      <c r="B6664" s="244" t="str">
        <f t="shared" si="104"/>
        <v/>
      </c>
    </row>
    <row r="6665" spans="1:2" x14ac:dyDescent="0.25">
      <c r="A6665" t="str">
        <f>IF(C6665&amp;G6665&amp;D6665&lt;&gt;'Funnel setup'!$K$3&amp;'Funnel setup'!$K$4&amp;'Funnel setup'!$K$6,".",IF(A6664=".",1,A6664+1))</f>
        <v>.</v>
      </c>
      <c r="B6665" s="244" t="str">
        <f t="shared" si="104"/>
        <v/>
      </c>
    </row>
    <row r="6666" spans="1:2" x14ac:dyDescent="0.25">
      <c r="A6666" t="str">
        <f>IF(C6666&amp;G6666&amp;D6666&lt;&gt;'Funnel setup'!$K$3&amp;'Funnel setup'!$K$4&amp;'Funnel setup'!$K$6,".",IF(A6665=".",1,A6665+1))</f>
        <v>.</v>
      </c>
      <c r="B6666" s="244" t="str">
        <f t="shared" si="104"/>
        <v/>
      </c>
    </row>
    <row r="6667" spans="1:2" x14ac:dyDescent="0.25">
      <c r="A6667" t="str">
        <f>IF(C6667&amp;G6667&amp;D6667&lt;&gt;'Funnel setup'!$K$3&amp;'Funnel setup'!$K$4&amp;'Funnel setup'!$K$6,".",IF(A6666=".",1,A6666+1))</f>
        <v>.</v>
      </c>
      <c r="B6667" s="244" t="str">
        <f t="shared" si="104"/>
        <v/>
      </c>
    </row>
    <row r="6668" spans="1:2" x14ac:dyDescent="0.25">
      <c r="A6668" t="str">
        <f>IF(C6668&amp;G6668&amp;D6668&lt;&gt;'Funnel setup'!$K$3&amp;'Funnel setup'!$K$4&amp;'Funnel setup'!$K$6,".",IF(A6667=".",1,A6667+1))</f>
        <v>.</v>
      </c>
      <c r="B6668" s="244" t="str">
        <f t="shared" si="104"/>
        <v/>
      </c>
    </row>
    <row r="6669" spans="1:2" x14ac:dyDescent="0.25">
      <c r="A6669" t="str">
        <f>IF(C6669&amp;G6669&amp;D6669&lt;&gt;'Funnel setup'!$K$3&amp;'Funnel setup'!$K$4&amp;'Funnel setup'!$K$6,".",IF(A6668=".",1,A6668+1))</f>
        <v>.</v>
      </c>
      <c r="B6669" s="244" t="str">
        <f t="shared" si="104"/>
        <v/>
      </c>
    </row>
    <row r="6670" spans="1:2" x14ac:dyDescent="0.25">
      <c r="A6670" t="str">
        <f>IF(C6670&amp;G6670&amp;D6670&lt;&gt;'Funnel setup'!$K$3&amp;'Funnel setup'!$K$4&amp;'Funnel setup'!$K$6,".",IF(A6669=".",1,A6669+1))</f>
        <v>.</v>
      </c>
      <c r="B6670" s="244" t="str">
        <f t="shared" si="104"/>
        <v/>
      </c>
    </row>
    <row r="6671" spans="1:2" x14ac:dyDescent="0.25">
      <c r="A6671" t="str">
        <f>IF(C6671&amp;G6671&amp;D6671&lt;&gt;'Funnel setup'!$K$3&amp;'Funnel setup'!$K$4&amp;'Funnel setup'!$K$6,".",IF(A6670=".",1,A6670+1))</f>
        <v>.</v>
      </c>
      <c r="B6671" s="244" t="str">
        <f t="shared" si="104"/>
        <v/>
      </c>
    </row>
    <row r="6672" spans="1:2" x14ac:dyDescent="0.25">
      <c r="A6672" t="str">
        <f>IF(C6672&amp;G6672&amp;D6672&lt;&gt;'Funnel setup'!$K$3&amp;'Funnel setup'!$K$4&amp;'Funnel setup'!$K$6,".",IF(A6671=".",1,A6671+1))</f>
        <v>.</v>
      </c>
      <c r="B6672" s="244" t="str">
        <f t="shared" si="104"/>
        <v/>
      </c>
    </row>
    <row r="6673" spans="1:2" x14ac:dyDescent="0.25">
      <c r="A6673" t="str">
        <f>IF(C6673&amp;G6673&amp;D6673&lt;&gt;'Funnel setup'!$K$3&amp;'Funnel setup'!$K$4&amp;'Funnel setup'!$K$6,".",IF(A6672=".",1,A6672+1))</f>
        <v>.</v>
      </c>
      <c r="B6673" s="244" t="str">
        <f t="shared" si="104"/>
        <v/>
      </c>
    </row>
    <row r="6674" spans="1:2" x14ac:dyDescent="0.25">
      <c r="A6674" t="str">
        <f>IF(C6674&amp;G6674&amp;D6674&lt;&gt;'Funnel setup'!$K$3&amp;'Funnel setup'!$K$4&amp;'Funnel setup'!$K$6,".",IF(A6673=".",1,A6673+1))</f>
        <v>.</v>
      </c>
      <c r="B6674" s="244" t="str">
        <f t="shared" si="104"/>
        <v/>
      </c>
    </row>
    <row r="6675" spans="1:2" x14ac:dyDescent="0.25">
      <c r="A6675" t="str">
        <f>IF(C6675&amp;G6675&amp;D6675&lt;&gt;'Funnel setup'!$K$3&amp;'Funnel setup'!$K$4&amp;'Funnel setup'!$K$6,".",IF(A6674=".",1,A6674+1))</f>
        <v>.</v>
      </c>
      <c r="B6675" s="244" t="str">
        <f t="shared" si="104"/>
        <v/>
      </c>
    </row>
    <row r="6676" spans="1:2" x14ac:dyDescent="0.25">
      <c r="A6676" t="str">
        <f>IF(C6676&amp;G6676&amp;D6676&lt;&gt;'Funnel setup'!$K$3&amp;'Funnel setup'!$K$4&amp;'Funnel setup'!$K$6,".",IF(A6675=".",1,A6675+1))</f>
        <v>.</v>
      </c>
      <c r="B6676" s="244" t="str">
        <f t="shared" si="104"/>
        <v/>
      </c>
    </row>
    <row r="6677" spans="1:2" x14ac:dyDescent="0.25">
      <c r="A6677" t="str">
        <f>IF(C6677&amp;G6677&amp;D6677&lt;&gt;'Funnel setup'!$K$3&amp;'Funnel setup'!$K$4&amp;'Funnel setup'!$K$6,".",IF(A6676=".",1,A6676+1))</f>
        <v>.</v>
      </c>
      <c r="B6677" s="244" t="str">
        <f t="shared" si="104"/>
        <v/>
      </c>
    </row>
    <row r="6678" spans="1:2" x14ac:dyDescent="0.25">
      <c r="A6678" t="str">
        <f>IF(C6678&amp;G6678&amp;D6678&lt;&gt;'Funnel setup'!$K$3&amp;'Funnel setup'!$K$4&amp;'Funnel setup'!$K$6,".",IF(A6677=".",1,A6677+1))</f>
        <v>.</v>
      </c>
      <c r="B6678" s="244" t="str">
        <f t="shared" si="104"/>
        <v/>
      </c>
    </row>
    <row r="6679" spans="1:2" x14ac:dyDescent="0.25">
      <c r="A6679" t="str">
        <f>IF(C6679&amp;G6679&amp;D6679&lt;&gt;'Funnel setup'!$K$3&amp;'Funnel setup'!$K$4&amp;'Funnel setup'!$K$6,".",IF(A6678=".",1,A6678+1))</f>
        <v>.</v>
      </c>
      <c r="B6679" s="244" t="str">
        <f t="shared" si="104"/>
        <v/>
      </c>
    </row>
    <row r="6680" spans="1:2" x14ac:dyDescent="0.25">
      <c r="A6680" t="str">
        <f>IF(C6680&amp;G6680&amp;D6680&lt;&gt;'Funnel setup'!$K$3&amp;'Funnel setup'!$K$4&amp;'Funnel setup'!$K$6,".",IF(A6679=".",1,A6679+1))</f>
        <v>.</v>
      </c>
      <c r="B6680" s="244" t="str">
        <f t="shared" si="104"/>
        <v/>
      </c>
    </row>
    <row r="6681" spans="1:2" x14ac:dyDescent="0.25">
      <c r="A6681" t="str">
        <f>IF(C6681&amp;G6681&amp;D6681&lt;&gt;'Funnel setup'!$K$3&amp;'Funnel setup'!$K$4&amp;'Funnel setup'!$K$6,".",IF(A6680=".",1,A6680+1))</f>
        <v>.</v>
      </c>
      <c r="B6681" s="244" t="str">
        <f t="shared" si="104"/>
        <v/>
      </c>
    </row>
    <row r="6682" spans="1:2" x14ac:dyDescent="0.25">
      <c r="A6682" t="str">
        <f>IF(C6682&amp;G6682&amp;D6682&lt;&gt;'Funnel setup'!$K$3&amp;'Funnel setup'!$K$4&amp;'Funnel setup'!$K$6,".",IF(A6681=".",1,A6681+1))</f>
        <v>.</v>
      </c>
      <c r="B6682" s="244" t="str">
        <f t="shared" si="104"/>
        <v/>
      </c>
    </row>
    <row r="6683" spans="1:2" x14ac:dyDescent="0.25">
      <c r="A6683" t="str">
        <f>IF(C6683&amp;G6683&amp;D6683&lt;&gt;'Funnel setup'!$K$3&amp;'Funnel setup'!$K$4&amp;'Funnel setup'!$K$6,".",IF(A6682=".",1,A6682+1))</f>
        <v>.</v>
      </c>
      <c r="B6683" s="244" t="str">
        <f t="shared" si="104"/>
        <v/>
      </c>
    </row>
    <row r="6684" spans="1:2" x14ac:dyDescent="0.25">
      <c r="A6684" t="str">
        <f>IF(C6684&amp;G6684&amp;D6684&lt;&gt;'Funnel setup'!$K$3&amp;'Funnel setup'!$K$4&amp;'Funnel setup'!$K$6,".",IF(A6683=".",1,A6683+1))</f>
        <v>.</v>
      </c>
      <c r="B6684" s="244" t="str">
        <f t="shared" si="104"/>
        <v/>
      </c>
    </row>
    <row r="6685" spans="1:2" x14ac:dyDescent="0.25">
      <c r="A6685" t="str">
        <f>IF(C6685&amp;G6685&amp;D6685&lt;&gt;'Funnel setup'!$K$3&amp;'Funnel setup'!$K$4&amp;'Funnel setup'!$K$6,".",IF(A6684=".",1,A6684+1))</f>
        <v>.</v>
      </c>
      <c r="B6685" s="244" t="str">
        <f t="shared" si="104"/>
        <v/>
      </c>
    </row>
    <row r="6686" spans="1:2" x14ac:dyDescent="0.25">
      <c r="A6686" t="str">
        <f>IF(C6686&amp;G6686&amp;D6686&lt;&gt;'Funnel setup'!$K$3&amp;'Funnel setup'!$K$4&amp;'Funnel setup'!$K$6,".",IF(A6685=".",1,A6685+1))</f>
        <v>.</v>
      </c>
      <c r="B6686" s="244" t="str">
        <f t="shared" si="104"/>
        <v/>
      </c>
    </row>
    <row r="6687" spans="1:2" x14ac:dyDescent="0.25">
      <c r="A6687" t="str">
        <f>IF(C6687&amp;G6687&amp;D6687&lt;&gt;'Funnel setup'!$K$3&amp;'Funnel setup'!$K$4&amp;'Funnel setup'!$K$6,".",IF(A6686=".",1,A6686+1))</f>
        <v>.</v>
      </c>
      <c r="B6687" s="244" t="str">
        <f t="shared" si="104"/>
        <v/>
      </c>
    </row>
    <row r="6688" spans="1:2" x14ac:dyDescent="0.25">
      <c r="A6688" t="str">
        <f>IF(C6688&amp;G6688&amp;D6688&lt;&gt;'Funnel setup'!$K$3&amp;'Funnel setup'!$K$4&amp;'Funnel setup'!$K$6,".",IF(A6687=".",1,A6687+1))</f>
        <v>.</v>
      </c>
      <c r="B6688" s="244" t="str">
        <f t="shared" si="104"/>
        <v/>
      </c>
    </row>
    <row r="6689" spans="1:2" x14ac:dyDescent="0.25">
      <c r="A6689" t="str">
        <f>IF(C6689&amp;G6689&amp;D6689&lt;&gt;'Funnel setup'!$K$3&amp;'Funnel setup'!$K$4&amp;'Funnel setup'!$K$6,".",IF(A6688=".",1,A6688+1))</f>
        <v>.</v>
      </c>
      <c r="B6689" s="244" t="str">
        <f t="shared" si="104"/>
        <v/>
      </c>
    </row>
    <row r="6690" spans="1:2" x14ac:dyDescent="0.25">
      <c r="A6690" t="str">
        <f>IF(C6690&amp;G6690&amp;D6690&lt;&gt;'Funnel setup'!$K$3&amp;'Funnel setup'!$K$4&amp;'Funnel setup'!$K$6,".",IF(A6689=".",1,A6689+1))</f>
        <v>.</v>
      </c>
      <c r="B6690" s="244" t="str">
        <f t="shared" si="104"/>
        <v/>
      </c>
    </row>
    <row r="6691" spans="1:2" x14ac:dyDescent="0.25">
      <c r="A6691" t="str">
        <f>IF(C6691&amp;G6691&amp;D6691&lt;&gt;'Funnel setup'!$K$3&amp;'Funnel setup'!$K$4&amp;'Funnel setup'!$K$6,".",IF(A6690=".",1,A6690+1))</f>
        <v>.</v>
      </c>
      <c r="B6691" s="244" t="str">
        <f t="shared" si="104"/>
        <v/>
      </c>
    </row>
    <row r="6692" spans="1:2" x14ac:dyDescent="0.25">
      <c r="A6692" t="str">
        <f>IF(C6692&amp;G6692&amp;D6692&lt;&gt;'Funnel setup'!$K$3&amp;'Funnel setup'!$K$4&amp;'Funnel setup'!$K$6,".",IF(A6691=".",1,A6691+1))</f>
        <v>.</v>
      </c>
      <c r="B6692" s="244" t="str">
        <f t="shared" si="104"/>
        <v/>
      </c>
    </row>
    <row r="6693" spans="1:2" x14ac:dyDescent="0.25">
      <c r="A6693" t="str">
        <f>IF(C6693&amp;G6693&amp;D6693&lt;&gt;'Funnel setup'!$K$3&amp;'Funnel setup'!$K$4&amp;'Funnel setup'!$K$6,".",IF(A6692=".",1,A6692+1))</f>
        <v>.</v>
      </c>
      <c r="B6693" s="244" t="str">
        <f t="shared" si="104"/>
        <v/>
      </c>
    </row>
    <row r="6694" spans="1:2" x14ac:dyDescent="0.25">
      <c r="A6694" t="str">
        <f>IF(C6694&amp;G6694&amp;D6694&lt;&gt;'Funnel setup'!$K$3&amp;'Funnel setup'!$K$4&amp;'Funnel setup'!$K$6,".",IF(A6693=".",1,A6693+1))</f>
        <v>.</v>
      </c>
      <c r="B6694" s="244" t="str">
        <f t="shared" si="104"/>
        <v/>
      </c>
    </row>
    <row r="6695" spans="1:2" x14ac:dyDescent="0.25">
      <c r="A6695" t="str">
        <f>IF(C6695&amp;G6695&amp;D6695&lt;&gt;'Funnel setup'!$K$3&amp;'Funnel setup'!$K$4&amp;'Funnel setup'!$K$6,".",IF(A6694=".",1,A6694+1))</f>
        <v>.</v>
      </c>
      <c r="B6695" s="244" t="str">
        <f t="shared" si="104"/>
        <v/>
      </c>
    </row>
    <row r="6696" spans="1:2" x14ac:dyDescent="0.25">
      <c r="A6696" t="str">
        <f>IF(C6696&amp;G6696&amp;D6696&lt;&gt;'Funnel setup'!$K$3&amp;'Funnel setup'!$K$4&amp;'Funnel setup'!$K$6,".",IF(A6695=".",1,A6695+1))</f>
        <v>.</v>
      </c>
      <c r="B6696" s="244" t="str">
        <f t="shared" si="104"/>
        <v/>
      </c>
    </row>
    <row r="6697" spans="1:2" x14ac:dyDescent="0.25">
      <c r="A6697" t="str">
        <f>IF(C6697&amp;G6697&amp;D6697&lt;&gt;'Funnel setup'!$K$3&amp;'Funnel setup'!$K$4&amp;'Funnel setup'!$K$6,".",IF(A6696=".",1,A6696+1))</f>
        <v>.</v>
      </c>
      <c r="B6697" s="244" t="str">
        <f t="shared" si="104"/>
        <v/>
      </c>
    </row>
    <row r="6698" spans="1:2" x14ac:dyDescent="0.25">
      <c r="A6698" t="str">
        <f>IF(C6698&amp;G6698&amp;D6698&lt;&gt;'Funnel setup'!$K$3&amp;'Funnel setup'!$K$4&amp;'Funnel setup'!$K$6,".",IF(A6697=".",1,A6697+1))</f>
        <v>.</v>
      </c>
      <c r="B6698" s="244" t="str">
        <f t="shared" si="104"/>
        <v/>
      </c>
    </row>
    <row r="6699" spans="1:2" x14ac:dyDescent="0.25">
      <c r="A6699" t="str">
        <f>IF(C6699&amp;G6699&amp;D6699&lt;&gt;'Funnel setup'!$K$3&amp;'Funnel setup'!$K$4&amp;'Funnel setup'!$K$6,".",IF(A6698=".",1,A6698+1))</f>
        <v>.</v>
      </c>
      <c r="B6699" s="244" t="str">
        <f t="shared" si="104"/>
        <v/>
      </c>
    </row>
    <row r="6700" spans="1:2" x14ac:dyDescent="0.25">
      <c r="A6700" t="str">
        <f>IF(C6700&amp;G6700&amp;D6700&lt;&gt;'Funnel setup'!$K$3&amp;'Funnel setup'!$K$4&amp;'Funnel setup'!$K$6,".",IF(A6699=".",1,A6699+1))</f>
        <v>.</v>
      </c>
      <c r="B6700" s="244" t="str">
        <f t="shared" si="104"/>
        <v/>
      </c>
    </row>
    <row r="6701" spans="1:2" x14ac:dyDescent="0.25">
      <c r="A6701" t="str">
        <f>IF(C6701&amp;G6701&amp;D6701&lt;&gt;'Funnel setup'!$K$3&amp;'Funnel setup'!$K$4&amp;'Funnel setup'!$K$6,".",IF(A6700=".",1,A6700+1))</f>
        <v>.</v>
      </c>
      <c r="B6701" s="244" t="str">
        <f t="shared" si="104"/>
        <v/>
      </c>
    </row>
    <row r="6702" spans="1:2" x14ac:dyDescent="0.25">
      <c r="A6702" t="str">
        <f>IF(C6702&amp;G6702&amp;D6702&lt;&gt;'Funnel setup'!$K$3&amp;'Funnel setup'!$K$4&amp;'Funnel setup'!$K$6,".",IF(A6701=".",1,A6701+1))</f>
        <v>.</v>
      </c>
      <c r="B6702" s="244" t="str">
        <f t="shared" si="104"/>
        <v/>
      </c>
    </row>
    <row r="6703" spans="1:2" x14ac:dyDescent="0.25">
      <c r="A6703" t="str">
        <f>IF(C6703&amp;G6703&amp;D6703&lt;&gt;'Funnel setup'!$K$3&amp;'Funnel setup'!$K$4&amp;'Funnel setup'!$K$6,".",IF(A6702=".",1,A6702+1))</f>
        <v>.</v>
      </c>
      <c r="B6703" s="244" t="str">
        <f t="shared" si="104"/>
        <v/>
      </c>
    </row>
    <row r="6704" spans="1:2" x14ac:dyDescent="0.25">
      <c r="A6704" t="str">
        <f>IF(C6704&amp;G6704&amp;D6704&lt;&gt;'Funnel setup'!$K$3&amp;'Funnel setup'!$K$4&amp;'Funnel setup'!$K$6,".",IF(A6703=".",1,A6703+1))</f>
        <v>.</v>
      </c>
      <c r="B6704" s="244" t="str">
        <f t="shared" si="104"/>
        <v/>
      </c>
    </row>
    <row r="6705" spans="1:2" x14ac:dyDescent="0.25">
      <c r="A6705" t="str">
        <f>IF(C6705&amp;G6705&amp;D6705&lt;&gt;'Funnel setup'!$K$3&amp;'Funnel setup'!$K$4&amp;'Funnel setup'!$K$6,".",IF(A6704=".",1,A6704+1))</f>
        <v>.</v>
      </c>
      <c r="B6705" s="244" t="str">
        <f t="shared" si="104"/>
        <v/>
      </c>
    </row>
    <row r="6706" spans="1:2" x14ac:dyDescent="0.25">
      <c r="A6706" t="str">
        <f>IF(C6706&amp;G6706&amp;D6706&lt;&gt;'Funnel setup'!$K$3&amp;'Funnel setup'!$K$4&amp;'Funnel setup'!$K$6,".",IF(A6705=".",1,A6705+1))</f>
        <v>.</v>
      </c>
      <c r="B6706" s="244" t="str">
        <f t="shared" si="104"/>
        <v/>
      </c>
    </row>
    <row r="6707" spans="1:2" x14ac:dyDescent="0.25">
      <c r="A6707" t="str">
        <f>IF(C6707&amp;G6707&amp;D6707&lt;&gt;'Funnel setup'!$K$3&amp;'Funnel setup'!$K$4&amp;'Funnel setup'!$K$6,".",IF(A6706=".",1,A6706+1))</f>
        <v>.</v>
      </c>
      <c r="B6707" s="244" t="str">
        <f t="shared" si="104"/>
        <v/>
      </c>
    </row>
    <row r="6708" spans="1:2" x14ac:dyDescent="0.25">
      <c r="A6708" t="str">
        <f>IF(C6708&amp;G6708&amp;D6708&lt;&gt;'Funnel setup'!$K$3&amp;'Funnel setup'!$K$4&amp;'Funnel setup'!$K$6,".",IF(A6707=".",1,A6707+1))</f>
        <v>.</v>
      </c>
      <c r="B6708" s="244" t="str">
        <f t="shared" si="104"/>
        <v/>
      </c>
    </row>
    <row r="6709" spans="1:2" x14ac:dyDescent="0.25">
      <c r="A6709" t="str">
        <f>IF(C6709&amp;G6709&amp;D6709&lt;&gt;'Funnel setup'!$K$3&amp;'Funnel setup'!$K$4&amp;'Funnel setup'!$K$6,".",IF(A6708=".",1,A6708+1))</f>
        <v>.</v>
      </c>
      <c r="B6709" s="244" t="str">
        <f t="shared" si="104"/>
        <v/>
      </c>
    </row>
    <row r="6710" spans="1:2" x14ac:dyDescent="0.25">
      <c r="A6710" t="str">
        <f>IF(C6710&amp;G6710&amp;D6710&lt;&gt;'Funnel setup'!$K$3&amp;'Funnel setup'!$K$4&amp;'Funnel setup'!$K$6,".",IF(A6709=".",1,A6709+1))</f>
        <v>.</v>
      </c>
      <c r="B6710" s="244" t="str">
        <f t="shared" si="104"/>
        <v/>
      </c>
    </row>
    <row r="6711" spans="1:2" x14ac:dyDescent="0.25">
      <c r="A6711" t="str">
        <f>IF(C6711&amp;G6711&amp;D6711&lt;&gt;'Funnel setup'!$K$3&amp;'Funnel setup'!$K$4&amp;'Funnel setup'!$K$6,".",IF(A6710=".",1,A6710+1))</f>
        <v>.</v>
      </c>
      <c r="B6711" s="244" t="str">
        <f t="shared" si="104"/>
        <v/>
      </c>
    </row>
    <row r="6712" spans="1:2" x14ac:dyDescent="0.25">
      <c r="A6712" t="str">
        <f>IF(C6712&amp;G6712&amp;D6712&lt;&gt;'Funnel setup'!$K$3&amp;'Funnel setup'!$K$4&amp;'Funnel setup'!$K$6,".",IF(A6711=".",1,A6711+1))</f>
        <v>.</v>
      </c>
      <c r="B6712" s="244" t="str">
        <f t="shared" si="104"/>
        <v/>
      </c>
    </row>
    <row r="6713" spans="1:2" x14ac:dyDescent="0.25">
      <c r="A6713" t="str">
        <f>IF(C6713&amp;G6713&amp;D6713&lt;&gt;'Funnel setup'!$K$3&amp;'Funnel setup'!$K$4&amp;'Funnel setup'!$K$6,".",IF(A6712=".",1,A6712+1))</f>
        <v>.</v>
      </c>
      <c r="B6713" s="244" t="str">
        <f t="shared" si="104"/>
        <v/>
      </c>
    </row>
    <row r="6714" spans="1:2" x14ac:dyDescent="0.25">
      <c r="A6714" t="str">
        <f>IF(C6714&amp;G6714&amp;D6714&lt;&gt;'Funnel setup'!$K$3&amp;'Funnel setup'!$K$4&amp;'Funnel setup'!$K$6,".",IF(A6713=".",1,A6713+1))</f>
        <v>.</v>
      </c>
      <c r="B6714" s="244" t="str">
        <f t="shared" si="104"/>
        <v/>
      </c>
    </row>
    <row r="6715" spans="1:2" x14ac:dyDescent="0.25">
      <c r="A6715" t="str">
        <f>IF(C6715&amp;G6715&amp;D6715&lt;&gt;'Funnel setup'!$K$3&amp;'Funnel setup'!$K$4&amp;'Funnel setup'!$K$6,".",IF(A6714=".",1,A6714+1))</f>
        <v>.</v>
      </c>
      <c r="B6715" s="244" t="str">
        <f t="shared" si="104"/>
        <v/>
      </c>
    </row>
    <row r="6716" spans="1:2" x14ac:dyDescent="0.25">
      <c r="A6716" t="str">
        <f>IF(C6716&amp;G6716&amp;D6716&lt;&gt;'Funnel setup'!$K$3&amp;'Funnel setup'!$K$4&amp;'Funnel setup'!$K$6,".",IF(A6715=".",1,A6715+1))</f>
        <v>.</v>
      </c>
      <c r="B6716" s="244" t="str">
        <f t="shared" si="104"/>
        <v/>
      </c>
    </row>
    <row r="6717" spans="1:2" x14ac:dyDescent="0.25">
      <c r="A6717" t="str">
        <f>IF(C6717&amp;G6717&amp;D6717&lt;&gt;'Funnel setup'!$K$3&amp;'Funnel setup'!$K$4&amp;'Funnel setup'!$K$6,".",IF(A6716=".",1,A6716+1))</f>
        <v>.</v>
      </c>
      <c r="B6717" s="244" t="str">
        <f t="shared" si="104"/>
        <v/>
      </c>
    </row>
    <row r="6718" spans="1:2" x14ac:dyDescent="0.25">
      <c r="A6718" t="str">
        <f>IF(C6718&amp;G6718&amp;D6718&lt;&gt;'Funnel setup'!$K$3&amp;'Funnel setup'!$K$4&amp;'Funnel setup'!$K$6,".",IF(A6717=".",1,A6717+1))</f>
        <v>.</v>
      </c>
      <c r="B6718" s="244" t="str">
        <f t="shared" si="104"/>
        <v/>
      </c>
    </row>
    <row r="6719" spans="1:2" x14ac:dyDescent="0.25">
      <c r="A6719" t="str">
        <f>IF(C6719&amp;G6719&amp;D6719&lt;&gt;'Funnel setup'!$K$3&amp;'Funnel setup'!$K$4&amp;'Funnel setup'!$K$6,".",IF(A6718=".",1,A6718+1))</f>
        <v>.</v>
      </c>
      <c r="B6719" s="244" t="str">
        <f t="shared" si="104"/>
        <v/>
      </c>
    </row>
    <row r="6720" spans="1:2" x14ac:dyDescent="0.25">
      <c r="A6720" t="str">
        <f>IF(C6720&amp;G6720&amp;D6720&lt;&gt;'Funnel setup'!$K$3&amp;'Funnel setup'!$K$4&amp;'Funnel setup'!$K$6,".",IF(A6719=".",1,A6719+1))</f>
        <v>.</v>
      </c>
      <c r="B6720" s="244" t="str">
        <f t="shared" si="104"/>
        <v/>
      </c>
    </row>
    <row r="6721" spans="1:2" x14ac:dyDescent="0.25">
      <c r="A6721" t="str">
        <f>IF(C6721&amp;G6721&amp;D6721&lt;&gt;'Funnel setup'!$K$3&amp;'Funnel setup'!$K$4&amp;'Funnel setup'!$K$6,".",IF(A6720=".",1,A6720+1))</f>
        <v>.</v>
      </c>
      <c r="B6721" s="244" t="str">
        <f t="shared" si="104"/>
        <v/>
      </c>
    </row>
    <row r="6722" spans="1:2" x14ac:dyDescent="0.25">
      <c r="A6722" t="str">
        <f>IF(C6722&amp;G6722&amp;D6722&lt;&gt;'Funnel setup'!$K$3&amp;'Funnel setup'!$K$4&amp;'Funnel setup'!$K$6,".",IF(A6721=".",1,A6721+1))</f>
        <v>.</v>
      </c>
      <c r="B6722" s="244" t="str">
        <f t="shared" ref="B6722:B6785" si="105">C6722&amp;D6722&amp;F6722&amp;G6722</f>
        <v/>
      </c>
    </row>
    <row r="6723" spans="1:2" x14ac:dyDescent="0.25">
      <c r="A6723" t="str">
        <f>IF(C6723&amp;G6723&amp;D6723&lt;&gt;'Funnel setup'!$K$3&amp;'Funnel setup'!$K$4&amp;'Funnel setup'!$K$6,".",IF(A6722=".",1,A6722+1))</f>
        <v>.</v>
      </c>
      <c r="B6723" s="244" t="str">
        <f t="shared" si="105"/>
        <v/>
      </c>
    </row>
    <row r="6724" spans="1:2" x14ac:dyDescent="0.25">
      <c r="A6724" t="str">
        <f>IF(C6724&amp;G6724&amp;D6724&lt;&gt;'Funnel setup'!$K$3&amp;'Funnel setup'!$K$4&amp;'Funnel setup'!$K$6,".",IF(A6723=".",1,A6723+1))</f>
        <v>.</v>
      </c>
      <c r="B6724" s="244" t="str">
        <f t="shared" si="105"/>
        <v/>
      </c>
    </row>
    <row r="6725" spans="1:2" x14ac:dyDescent="0.25">
      <c r="A6725" t="str">
        <f>IF(C6725&amp;G6725&amp;D6725&lt;&gt;'Funnel setup'!$K$3&amp;'Funnel setup'!$K$4&amp;'Funnel setup'!$K$6,".",IF(A6724=".",1,A6724+1))</f>
        <v>.</v>
      </c>
      <c r="B6725" s="244" t="str">
        <f t="shared" si="105"/>
        <v/>
      </c>
    </row>
    <row r="6726" spans="1:2" x14ac:dyDescent="0.25">
      <c r="A6726" t="str">
        <f>IF(C6726&amp;G6726&amp;D6726&lt;&gt;'Funnel setup'!$K$3&amp;'Funnel setup'!$K$4&amp;'Funnel setup'!$K$6,".",IF(A6725=".",1,A6725+1))</f>
        <v>.</v>
      </c>
      <c r="B6726" s="244" t="str">
        <f t="shared" si="105"/>
        <v/>
      </c>
    </row>
    <row r="6727" spans="1:2" x14ac:dyDescent="0.25">
      <c r="A6727" t="str">
        <f>IF(C6727&amp;G6727&amp;D6727&lt;&gt;'Funnel setup'!$K$3&amp;'Funnel setup'!$K$4&amp;'Funnel setup'!$K$6,".",IF(A6726=".",1,A6726+1))</f>
        <v>.</v>
      </c>
      <c r="B6727" s="244" t="str">
        <f t="shared" si="105"/>
        <v/>
      </c>
    </row>
    <row r="6728" spans="1:2" x14ac:dyDescent="0.25">
      <c r="A6728" t="str">
        <f>IF(C6728&amp;G6728&amp;D6728&lt;&gt;'Funnel setup'!$K$3&amp;'Funnel setup'!$K$4&amp;'Funnel setup'!$K$6,".",IF(A6727=".",1,A6727+1))</f>
        <v>.</v>
      </c>
      <c r="B6728" s="244" t="str">
        <f t="shared" si="105"/>
        <v/>
      </c>
    </row>
    <row r="6729" spans="1:2" x14ac:dyDescent="0.25">
      <c r="A6729" t="str">
        <f>IF(C6729&amp;G6729&amp;D6729&lt;&gt;'Funnel setup'!$K$3&amp;'Funnel setup'!$K$4&amp;'Funnel setup'!$K$6,".",IF(A6728=".",1,A6728+1))</f>
        <v>.</v>
      </c>
      <c r="B6729" s="244" t="str">
        <f t="shared" si="105"/>
        <v/>
      </c>
    </row>
    <row r="6730" spans="1:2" x14ac:dyDescent="0.25">
      <c r="A6730" t="str">
        <f>IF(C6730&amp;G6730&amp;D6730&lt;&gt;'Funnel setup'!$K$3&amp;'Funnel setup'!$K$4&amp;'Funnel setup'!$K$6,".",IF(A6729=".",1,A6729+1))</f>
        <v>.</v>
      </c>
      <c r="B6730" s="244" t="str">
        <f t="shared" si="105"/>
        <v/>
      </c>
    </row>
    <row r="6731" spans="1:2" x14ac:dyDescent="0.25">
      <c r="A6731" t="str">
        <f>IF(C6731&amp;G6731&amp;D6731&lt;&gt;'Funnel setup'!$K$3&amp;'Funnel setup'!$K$4&amp;'Funnel setup'!$K$6,".",IF(A6730=".",1,A6730+1))</f>
        <v>.</v>
      </c>
      <c r="B6731" s="244" t="str">
        <f t="shared" si="105"/>
        <v/>
      </c>
    </row>
    <row r="6732" spans="1:2" x14ac:dyDescent="0.25">
      <c r="A6732" t="str">
        <f>IF(C6732&amp;G6732&amp;D6732&lt;&gt;'Funnel setup'!$K$3&amp;'Funnel setup'!$K$4&amp;'Funnel setup'!$K$6,".",IF(A6731=".",1,A6731+1))</f>
        <v>.</v>
      </c>
      <c r="B6732" s="244" t="str">
        <f t="shared" si="105"/>
        <v/>
      </c>
    </row>
    <row r="6733" spans="1:2" x14ac:dyDescent="0.25">
      <c r="A6733" t="str">
        <f>IF(C6733&amp;G6733&amp;D6733&lt;&gt;'Funnel setup'!$K$3&amp;'Funnel setup'!$K$4&amp;'Funnel setup'!$K$6,".",IF(A6732=".",1,A6732+1))</f>
        <v>.</v>
      </c>
      <c r="B6733" s="244" t="str">
        <f t="shared" si="105"/>
        <v/>
      </c>
    </row>
    <row r="6734" spans="1:2" x14ac:dyDescent="0.25">
      <c r="A6734" t="str">
        <f>IF(C6734&amp;G6734&amp;D6734&lt;&gt;'Funnel setup'!$K$3&amp;'Funnel setup'!$K$4&amp;'Funnel setup'!$K$6,".",IF(A6733=".",1,A6733+1))</f>
        <v>.</v>
      </c>
      <c r="B6734" s="244" t="str">
        <f t="shared" si="105"/>
        <v/>
      </c>
    </row>
    <row r="6735" spans="1:2" x14ac:dyDescent="0.25">
      <c r="A6735" t="str">
        <f>IF(C6735&amp;G6735&amp;D6735&lt;&gt;'Funnel setup'!$K$3&amp;'Funnel setup'!$K$4&amp;'Funnel setup'!$K$6,".",IF(A6734=".",1,A6734+1))</f>
        <v>.</v>
      </c>
      <c r="B6735" s="244" t="str">
        <f t="shared" si="105"/>
        <v/>
      </c>
    </row>
    <row r="6736" spans="1:2" x14ac:dyDescent="0.25">
      <c r="A6736" t="str">
        <f>IF(C6736&amp;G6736&amp;D6736&lt;&gt;'Funnel setup'!$K$3&amp;'Funnel setup'!$K$4&amp;'Funnel setup'!$K$6,".",IF(A6735=".",1,A6735+1))</f>
        <v>.</v>
      </c>
      <c r="B6736" s="244" t="str">
        <f t="shared" si="105"/>
        <v/>
      </c>
    </row>
    <row r="6737" spans="1:2" x14ac:dyDescent="0.25">
      <c r="A6737" t="str">
        <f>IF(C6737&amp;G6737&amp;D6737&lt;&gt;'Funnel setup'!$K$3&amp;'Funnel setup'!$K$4&amp;'Funnel setup'!$K$6,".",IF(A6736=".",1,A6736+1))</f>
        <v>.</v>
      </c>
      <c r="B6737" s="244" t="str">
        <f t="shared" si="105"/>
        <v/>
      </c>
    </row>
    <row r="6738" spans="1:2" x14ac:dyDescent="0.25">
      <c r="A6738" t="str">
        <f>IF(C6738&amp;G6738&amp;D6738&lt;&gt;'Funnel setup'!$K$3&amp;'Funnel setup'!$K$4&amp;'Funnel setup'!$K$6,".",IF(A6737=".",1,A6737+1))</f>
        <v>.</v>
      </c>
      <c r="B6738" s="244" t="str">
        <f t="shared" si="105"/>
        <v/>
      </c>
    </row>
    <row r="6739" spans="1:2" x14ac:dyDescent="0.25">
      <c r="A6739" t="str">
        <f>IF(C6739&amp;G6739&amp;D6739&lt;&gt;'Funnel setup'!$K$3&amp;'Funnel setup'!$K$4&amp;'Funnel setup'!$K$6,".",IF(A6738=".",1,A6738+1))</f>
        <v>.</v>
      </c>
      <c r="B6739" s="244" t="str">
        <f t="shared" si="105"/>
        <v/>
      </c>
    </row>
    <row r="6740" spans="1:2" x14ac:dyDescent="0.25">
      <c r="A6740" t="str">
        <f>IF(C6740&amp;G6740&amp;D6740&lt;&gt;'Funnel setup'!$K$3&amp;'Funnel setup'!$K$4&amp;'Funnel setup'!$K$6,".",IF(A6739=".",1,A6739+1))</f>
        <v>.</v>
      </c>
      <c r="B6740" s="244" t="str">
        <f t="shared" si="105"/>
        <v/>
      </c>
    </row>
    <row r="6741" spans="1:2" x14ac:dyDescent="0.25">
      <c r="A6741" t="str">
        <f>IF(C6741&amp;G6741&amp;D6741&lt;&gt;'Funnel setup'!$K$3&amp;'Funnel setup'!$K$4&amp;'Funnel setup'!$K$6,".",IF(A6740=".",1,A6740+1))</f>
        <v>.</v>
      </c>
      <c r="B6741" s="244" t="str">
        <f t="shared" si="105"/>
        <v/>
      </c>
    </row>
    <row r="6742" spans="1:2" x14ac:dyDescent="0.25">
      <c r="A6742" t="str">
        <f>IF(C6742&amp;G6742&amp;D6742&lt;&gt;'Funnel setup'!$K$3&amp;'Funnel setup'!$K$4&amp;'Funnel setup'!$K$6,".",IF(A6741=".",1,A6741+1))</f>
        <v>.</v>
      </c>
      <c r="B6742" s="244" t="str">
        <f t="shared" si="105"/>
        <v/>
      </c>
    </row>
    <row r="6743" spans="1:2" x14ac:dyDescent="0.25">
      <c r="A6743" t="str">
        <f>IF(C6743&amp;G6743&amp;D6743&lt;&gt;'Funnel setup'!$K$3&amp;'Funnel setup'!$K$4&amp;'Funnel setup'!$K$6,".",IF(A6742=".",1,A6742+1))</f>
        <v>.</v>
      </c>
      <c r="B6743" s="244" t="str">
        <f t="shared" si="105"/>
        <v/>
      </c>
    </row>
    <row r="6744" spans="1:2" x14ac:dyDescent="0.25">
      <c r="A6744" t="str">
        <f>IF(C6744&amp;G6744&amp;D6744&lt;&gt;'Funnel setup'!$K$3&amp;'Funnel setup'!$K$4&amp;'Funnel setup'!$K$6,".",IF(A6743=".",1,A6743+1))</f>
        <v>.</v>
      </c>
      <c r="B6744" s="244" t="str">
        <f t="shared" si="105"/>
        <v/>
      </c>
    </row>
    <row r="6745" spans="1:2" x14ac:dyDescent="0.25">
      <c r="A6745" t="str">
        <f>IF(C6745&amp;G6745&amp;D6745&lt;&gt;'Funnel setup'!$K$3&amp;'Funnel setup'!$K$4&amp;'Funnel setup'!$K$6,".",IF(A6744=".",1,A6744+1))</f>
        <v>.</v>
      </c>
      <c r="B6745" s="244" t="str">
        <f t="shared" si="105"/>
        <v/>
      </c>
    </row>
    <row r="6746" spans="1:2" x14ac:dyDescent="0.25">
      <c r="A6746" t="str">
        <f>IF(C6746&amp;G6746&amp;D6746&lt;&gt;'Funnel setup'!$K$3&amp;'Funnel setup'!$K$4&amp;'Funnel setup'!$K$6,".",IF(A6745=".",1,A6745+1))</f>
        <v>.</v>
      </c>
      <c r="B6746" s="244" t="str">
        <f t="shared" si="105"/>
        <v/>
      </c>
    </row>
    <row r="6747" spans="1:2" x14ac:dyDescent="0.25">
      <c r="A6747" t="str">
        <f>IF(C6747&amp;G6747&amp;D6747&lt;&gt;'Funnel setup'!$K$3&amp;'Funnel setup'!$K$4&amp;'Funnel setup'!$K$6,".",IF(A6746=".",1,A6746+1))</f>
        <v>.</v>
      </c>
      <c r="B6747" s="244" t="str">
        <f t="shared" si="105"/>
        <v/>
      </c>
    </row>
    <row r="6748" spans="1:2" x14ac:dyDescent="0.25">
      <c r="A6748" t="str">
        <f>IF(C6748&amp;G6748&amp;D6748&lt;&gt;'Funnel setup'!$K$3&amp;'Funnel setup'!$K$4&amp;'Funnel setup'!$K$6,".",IF(A6747=".",1,A6747+1))</f>
        <v>.</v>
      </c>
      <c r="B6748" s="244" t="str">
        <f t="shared" si="105"/>
        <v/>
      </c>
    </row>
    <row r="6749" spans="1:2" x14ac:dyDescent="0.25">
      <c r="A6749" t="str">
        <f>IF(C6749&amp;G6749&amp;D6749&lt;&gt;'Funnel setup'!$K$3&amp;'Funnel setup'!$K$4&amp;'Funnel setup'!$K$6,".",IF(A6748=".",1,A6748+1))</f>
        <v>.</v>
      </c>
      <c r="B6749" s="244" t="str">
        <f t="shared" si="105"/>
        <v/>
      </c>
    </row>
    <row r="6750" spans="1:2" x14ac:dyDescent="0.25">
      <c r="A6750" t="str">
        <f>IF(C6750&amp;G6750&amp;D6750&lt;&gt;'Funnel setup'!$K$3&amp;'Funnel setup'!$K$4&amp;'Funnel setup'!$K$6,".",IF(A6749=".",1,A6749+1))</f>
        <v>.</v>
      </c>
      <c r="B6750" s="244" t="str">
        <f t="shared" si="105"/>
        <v/>
      </c>
    </row>
    <row r="6751" spans="1:2" x14ac:dyDescent="0.25">
      <c r="A6751" t="str">
        <f>IF(C6751&amp;G6751&amp;D6751&lt;&gt;'Funnel setup'!$K$3&amp;'Funnel setup'!$K$4&amp;'Funnel setup'!$K$6,".",IF(A6750=".",1,A6750+1))</f>
        <v>.</v>
      </c>
      <c r="B6751" s="244" t="str">
        <f t="shared" si="105"/>
        <v/>
      </c>
    </row>
    <row r="6752" spans="1:2" x14ac:dyDescent="0.25">
      <c r="A6752" t="str">
        <f>IF(C6752&amp;G6752&amp;D6752&lt;&gt;'Funnel setup'!$K$3&amp;'Funnel setup'!$K$4&amp;'Funnel setup'!$K$6,".",IF(A6751=".",1,A6751+1))</f>
        <v>.</v>
      </c>
      <c r="B6752" s="244" t="str">
        <f t="shared" si="105"/>
        <v/>
      </c>
    </row>
    <row r="6753" spans="1:2" x14ac:dyDescent="0.25">
      <c r="A6753" t="str">
        <f>IF(C6753&amp;G6753&amp;D6753&lt;&gt;'Funnel setup'!$K$3&amp;'Funnel setup'!$K$4&amp;'Funnel setup'!$K$6,".",IF(A6752=".",1,A6752+1))</f>
        <v>.</v>
      </c>
      <c r="B6753" s="244" t="str">
        <f t="shared" si="105"/>
        <v/>
      </c>
    </row>
    <row r="6754" spans="1:2" x14ac:dyDescent="0.25">
      <c r="A6754" t="str">
        <f>IF(C6754&amp;G6754&amp;D6754&lt;&gt;'Funnel setup'!$K$3&amp;'Funnel setup'!$K$4&amp;'Funnel setup'!$K$6,".",IF(A6753=".",1,A6753+1))</f>
        <v>.</v>
      </c>
      <c r="B6754" s="244" t="str">
        <f t="shared" si="105"/>
        <v/>
      </c>
    </row>
    <row r="6755" spans="1:2" x14ac:dyDescent="0.25">
      <c r="A6755" t="str">
        <f>IF(C6755&amp;G6755&amp;D6755&lt;&gt;'Funnel setup'!$K$3&amp;'Funnel setup'!$K$4&amp;'Funnel setup'!$K$6,".",IF(A6754=".",1,A6754+1))</f>
        <v>.</v>
      </c>
      <c r="B6755" s="244" t="str">
        <f t="shared" si="105"/>
        <v/>
      </c>
    </row>
    <row r="6756" spans="1:2" x14ac:dyDescent="0.25">
      <c r="A6756" t="str">
        <f>IF(C6756&amp;G6756&amp;D6756&lt;&gt;'Funnel setup'!$K$3&amp;'Funnel setup'!$K$4&amp;'Funnel setup'!$K$6,".",IF(A6755=".",1,A6755+1))</f>
        <v>.</v>
      </c>
      <c r="B6756" s="244" t="str">
        <f t="shared" si="105"/>
        <v/>
      </c>
    </row>
    <row r="6757" spans="1:2" x14ac:dyDescent="0.25">
      <c r="A6757" t="str">
        <f>IF(C6757&amp;G6757&amp;D6757&lt;&gt;'Funnel setup'!$K$3&amp;'Funnel setup'!$K$4&amp;'Funnel setup'!$K$6,".",IF(A6756=".",1,A6756+1))</f>
        <v>.</v>
      </c>
      <c r="B6757" s="244" t="str">
        <f t="shared" si="105"/>
        <v/>
      </c>
    </row>
    <row r="6758" spans="1:2" x14ac:dyDescent="0.25">
      <c r="A6758" t="str">
        <f>IF(C6758&amp;G6758&amp;D6758&lt;&gt;'Funnel setup'!$K$3&amp;'Funnel setup'!$K$4&amp;'Funnel setup'!$K$6,".",IF(A6757=".",1,A6757+1))</f>
        <v>.</v>
      </c>
      <c r="B6758" s="244" t="str">
        <f t="shared" si="105"/>
        <v/>
      </c>
    </row>
    <row r="6759" spans="1:2" x14ac:dyDescent="0.25">
      <c r="A6759" t="str">
        <f>IF(C6759&amp;G6759&amp;D6759&lt;&gt;'Funnel setup'!$K$3&amp;'Funnel setup'!$K$4&amp;'Funnel setup'!$K$6,".",IF(A6758=".",1,A6758+1))</f>
        <v>.</v>
      </c>
      <c r="B6759" s="244" t="str">
        <f t="shared" si="105"/>
        <v/>
      </c>
    </row>
    <row r="6760" spans="1:2" x14ac:dyDescent="0.25">
      <c r="A6760" t="str">
        <f>IF(C6760&amp;G6760&amp;D6760&lt;&gt;'Funnel setup'!$K$3&amp;'Funnel setup'!$K$4&amp;'Funnel setup'!$K$6,".",IF(A6759=".",1,A6759+1))</f>
        <v>.</v>
      </c>
      <c r="B6760" s="244" t="str">
        <f t="shared" si="105"/>
        <v/>
      </c>
    </row>
    <row r="6761" spans="1:2" x14ac:dyDescent="0.25">
      <c r="A6761" t="str">
        <f>IF(C6761&amp;G6761&amp;D6761&lt;&gt;'Funnel setup'!$K$3&amp;'Funnel setup'!$K$4&amp;'Funnel setup'!$K$6,".",IF(A6760=".",1,A6760+1))</f>
        <v>.</v>
      </c>
      <c r="B6761" s="244" t="str">
        <f t="shared" si="105"/>
        <v/>
      </c>
    </row>
    <row r="6762" spans="1:2" x14ac:dyDescent="0.25">
      <c r="A6762" t="str">
        <f>IF(C6762&amp;G6762&amp;D6762&lt;&gt;'Funnel setup'!$K$3&amp;'Funnel setup'!$K$4&amp;'Funnel setup'!$K$6,".",IF(A6761=".",1,A6761+1))</f>
        <v>.</v>
      </c>
      <c r="B6762" s="244" t="str">
        <f t="shared" si="105"/>
        <v/>
      </c>
    </row>
    <row r="6763" spans="1:2" x14ac:dyDescent="0.25">
      <c r="A6763" t="str">
        <f>IF(C6763&amp;G6763&amp;D6763&lt;&gt;'Funnel setup'!$K$3&amp;'Funnel setup'!$K$4&amp;'Funnel setup'!$K$6,".",IF(A6762=".",1,A6762+1))</f>
        <v>.</v>
      </c>
      <c r="B6763" s="244" t="str">
        <f t="shared" si="105"/>
        <v/>
      </c>
    </row>
    <row r="6764" spans="1:2" x14ac:dyDescent="0.25">
      <c r="A6764" t="str">
        <f>IF(C6764&amp;G6764&amp;D6764&lt;&gt;'Funnel setup'!$K$3&amp;'Funnel setup'!$K$4&amp;'Funnel setup'!$K$6,".",IF(A6763=".",1,A6763+1))</f>
        <v>.</v>
      </c>
      <c r="B6764" s="244" t="str">
        <f t="shared" si="105"/>
        <v/>
      </c>
    </row>
    <row r="6765" spans="1:2" x14ac:dyDescent="0.25">
      <c r="A6765" t="str">
        <f>IF(C6765&amp;G6765&amp;D6765&lt;&gt;'Funnel setup'!$K$3&amp;'Funnel setup'!$K$4&amp;'Funnel setup'!$K$6,".",IF(A6764=".",1,A6764+1))</f>
        <v>.</v>
      </c>
      <c r="B6765" s="244" t="str">
        <f t="shared" si="105"/>
        <v/>
      </c>
    </row>
    <row r="6766" spans="1:2" x14ac:dyDescent="0.25">
      <c r="A6766" t="str">
        <f>IF(C6766&amp;G6766&amp;D6766&lt;&gt;'Funnel setup'!$K$3&amp;'Funnel setup'!$K$4&amp;'Funnel setup'!$K$6,".",IF(A6765=".",1,A6765+1))</f>
        <v>.</v>
      </c>
      <c r="B6766" s="244" t="str">
        <f t="shared" si="105"/>
        <v/>
      </c>
    </row>
    <row r="6767" spans="1:2" x14ac:dyDescent="0.25">
      <c r="A6767" t="str">
        <f>IF(C6767&amp;G6767&amp;D6767&lt;&gt;'Funnel setup'!$K$3&amp;'Funnel setup'!$K$4&amp;'Funnel setup'!$K$6,".",IF(A6766=".",1,A6766+1))</f>
        <v>.</v>
      </c>
      <c r="B6767" s="244" t="str">
        <f t="shared" si="105"/>
        <v/>
      </c>
    </row>
    <row r="6768" spans="1:2" x14ac:dyDescent="0.25">
      <c r="A6768" t="str">
        <f>IF(C6768&amp;G6768&amp;D6768&lt;&gt;'Funnel setup'!$K$3&amp;'Funnel setup'!$K$4&amp;'Funnel setup'!$K$6,".",IF(A6767=".",1,A6767+1))</f>
        <v>.</v>
      </c>
      <c r="B6768" s="244" t="str">
        <f t="shared" si="105"/>
        <v/>
      </c>
    </row>
    <row r="6769" spans="1:2" x14ac:dyDescent="0.25">
      <c r="A6769" t="str">
        <f>IF(C6769&amp;G6769&amp;D6769&lt;&gt;'Funnel setup'!$K$3&amp;'Funnel setup'!$K$4&amp;'Funnel setup'!$K$6,".",IF(A6768=".",1,A6768+1))</f>
        <v>.</v>
      </c>
      <c r="B6769" s="244" t="str">
        <f t="shared" si="105"/>
        <v/>
      </c>
    </row>
    <row r="6770" spans="1:2" x14ac:dyDescent="0.25">
      <c r="A6770" t="str">
        <f>IF(C6770&amp;G6770&amp;D6770&lt;&gt;'Funnel setup'!$K$3&amp;'Funnel setup'!$K$4&amp;'Funnel setup'!$K$6,".",IF(A6769=".",1,A6769+1))</f>
        <v>.</v>
      </c>
      <c r="B6770" s="244" t="str">
        <f t="shared" si="105"/>
        <v/>
      </c>
    </row>
    <row r="6771" spans="1:2" x14ac:dyDescent="0.25">
      <c r="A6771" t="str">
        <f>IF(C6771&amp;G6771&amp;D6771&lt;&gt;'Funnel setup'!$K$3&amp;'Funnel setup'!$K$4&amp;'Funnel setup'!$K$6,".",IF(A6770=".",1,A6770+1))</f>
        <v>.</v>
      </c>
      <c r="B6771" s="244" t="str">
        <f t="shared" si="105"/>
        <v/>
      </c>
    </row>
    <row r="6772" spans="1:2" x14ac:dyDescent="0.25">
      <c r="A6772" t="str">
        <f>IF(C6772&amp;G6772&amp;D6772&lt;&gt;'Funnel setup'!$K$3&amp;'Funnel setup'!$K$4&amp;'Funnel setup'!$K$6,".",IF(A6771=".",1,A6771+1))</f>
        <v>.</v>
      </c>
      <c r="B6772" s="244" t="str">
        <f t="shared" si="105"/>
        <v/>
      </c>
    </row>
    <row r="6773" spans="1:2" x14ac:dyDescent="0.25">
      <c r="A6773" t="str">
        <f>IF(C6773&amp;G6773&amp;D6773&lt;&gt;'Funnel setup'!$K$3&amp;'Funnel setup'!$K$4&amp;'Funnel setup'!$K$6,".",IF(A6772=".",1,A6772+1))</f>
        <v>.</v>
      </c>
      <c r="B6773" s="244" t="str">
        <f t="shared" si="105"/>
        <v/>
      </c>
    </row>
    <row r="6774" spans="1:2" x14ac:dyDescent="0.25">
      <c r="A6774" t="str">
        <f>IF(C6774&amp;G6774&amp;D6774&lt;&gt;'Funnel setup'!$K$3&amp;'Funnel setup'!$K$4&amp;'Funnel setup'!$K$6,".",IF(A6773=".",1,A6773+1))</f>
        <v>.</v>
      </c>
      <c r="B6774" s="244" t="str">
        <f t="shared" si="105"/>
        <v/>
      </c>
    </row>
    <row r="6775" spans="1:2" x14ac:dyDescent="0.25">
      <c r="A6775" t="str">
        <f>IF(C6775&amp;G6775&amp;D6775&lt;&gt;'Funnel setup'!$K$3&amp;'Funnel setup'!$K$4&amp;'Funnel setup'!$K$6,".",IF(A6774=".",1,A6774+1))</f>
        <v>.</v>
      </c>
      <c r="B6775" s="244" t="str">
        <f t="shared" si="105"/>
        <v/>
      </c>
    </row>
    <row r="6776" spans="1:2" x14ac:dyDescent="0.25">
      <c r="A6776" t="str">
        <f>IF(C6776&amp;G6776&amp;D6776&lt;&gt;'Funnel setup'!$K$3&amp;'Funnel setup'!$K$4&amp;'Funnel setup'!$K$6,".",IF(A6775=".",1,A6775+1))</f>
        <v>.</v>
      </c>
      <c r="B6776" s="244" t="str">
        <f t="shared" si="105"/>
        <v/>
      </c>
    </row>
    <row r="6777" spans="1:2" x14ac:dyDescent="0.25">
      <c r="A6777" t="str">
        <f>IF(C6777&amp;G6777&amp;D6777&lt;&gt;'Funnel setup'!$K$3&amp;'Funnel setup'!$K$4&amp;'Funnel setup'!$K$6,".",IF(A6776=".",1,A6776+1))</f>
        <v>.</v>
      </c>
      <c r="B6777" s="244" t="str">
        <f t="shared" si="105"/>
        <v/>
      </c>
    </row>
    <row r="6778" spans="1:2" x14ac:dyDescent="0.25">
      <c r="A6778" t="str">
        <f>IF(C6778&amp;G6778&amp;D6778&lt;&gt;'Funnel setup'!$K$3&amp;'Funnel setup'!$K$4&amp;'Funnel setup'!$K$6,".",IF(A6777=".",1,A6777+1))</f>
        <v>.</v>
      </c>
      <c r="B6778" s="244" t="str">
        <f t="shared" si="105"/>
        <v/>
      </c>
    </row>
    <row r="6779" spans="1:2" x14ac:dyDescent="0.25">
      <c r="A6779" t="str">
        <f>IF(C6779&amp;G6779&amp;D6779&lt;&gt;'Funnel setup'!$K$3&amp;'Funnel setup'!$K$4&amp;'Funnel setup'!$K$6,".",IF(A6778=".",1,A6778+1))</f>
        <v>.</v>
      </c>
      <c r="B6779" s="244" t="str">
        <f t="shared" si="105"/>
        <v/>
      </c>
    </row>
    <row r="6780" spans="1:2" x14ac:dyDescent="0.25">
      <c r="A6780" t="str">
        <f>IF(C6780&amp;G6780&amp;D6780&lt;&gt;'Funnel setup'!$K$3&amp;'Funnel setup'!$K$4&amp;'Funnel setup'!$K$6,".",IF(A6779=".",1,A6779+1))</f>
        <v>.</v>
      </c>
      <c r="B6780" s="244" t="str">
        <f t="shared" si="105"/>
        <v/>
      </c>
    </row>
    <row r="6781" spans="1:2" x14ac:dyDescent="0.25">
      <c r="A6781" t="str">
        <f>IF(C6781&amp;G6781&amp;D6781&lt;&gt;'Funnel setup'!$K$3&amp;'Funnel setup'!$K$4&amp;'Funnel setup'!$K$6,".",IF(A6780=".",1,A6780+1))</f>
        <v>.</v>
      </c>
      <c r="B6781" s="244" t="str">
        <f t="shared" si="105"/>
        <v/>
      </c>
    </row>
    <row r="6782" spans="1:2" x14ac:dyDescent="0.25">
      <c r="A6782" t="str">
        <f>IF(C6782&amp;G6782&amp;D6782&lt;&gt;'Funnel setup'!$K$3&amp;'Funnel setup'!$K$4&amp;'Funnel setup'!$K$6,".",IF(A6781=".",1,A6781+1))</f>
        <v>.</v>
      </c>
      <c r="B6782" s="244" t="str">
        <f t="shared" si="105"/>
        <v/>
      </c>
    </row>
    <row r="6783" spans="1:2" x14ac:dyDescent="0.25">
      <c r="A6783" t="str">
        <f>IF(C6783&amp;G6783&amp;D6783&lt;&gt;'Funnel setup'!$K$3&amp;'Funnel setup'!$K$4&amp;'Funnel setup'!$K$6,".",IF(A6782=".",1,A6782+1))</f>
        <v>.</v>
      </c>
      <c r="B6783" s="244" t="str">
        <f t="shared" si="105"/>
        <v/>
      </c>
    </row>
    <row r="6784" spans="1:2" x14ac:dyDescent="0.25">
      <c r="A6784" t="str">
        <f>IF(C6784&amp;G6784&amp;D6784&lt;&gt;'Funnel setup'!$K$3&amp;'Funnel setup'!$K$4&amp;'Funnel setup'!$K$6,".",IF(A6783=".",1,A6783+1))</f>
        <v>.</v>
      </c>
      <c r="B6784" s="244" t="str">
        <f t="shared" si="105"/>
        <v/>
      </c>
    </row>
    <row r="6785" spans="1:2" x14ac:dyDescent="0.25">
      <c r="A6785" t="str">
        <f>IF(C6785&amp;G6785&amp;D6785&lt;&gt;'Funnel setup'!$K$3&amp;'Funnel setup'!$K$4&amp;'Funnel setup'!$K$6,".",IF(A6784=".",1,A6784+1))</f>
        <v>.</v>
      </c>
      <c r="B6785" s="244" t="str">
        <f t="shared" si="105"/>
        <v/>
      </c>
    </row>
    <row r="6786" spans="1:2" x14ac:dyDescent="0.25">
      <c r="A6786" t="str">
        <f>IF(C6786&amp;G6786&amp;D6786&lt;&gt;'Funnel setup'!$K$3&amp;'Funnel setup'!$K$4&amp;'Funnel setup'!$K$6,".",IF(A6785=".",1,A6785+1))</f>
        <v>.</v>
      </c>
      <c r="B6786" s="244" t="str">
        <f t="shared" ref="B6786:B6849" si="106">C6786&amp;D6786&amp;F6786&amp;G6786</f>
        <v/>
      </c>
    </row>
    <row r="6787" spans="1:2" x14ac:dyDescent="0.25">
      <c r="A6787" t="str">
        <f>IF(C6787&amp;G6787&amp;D6787&lt;&gt;'Funnel setup'!$K$3&amp;'Funnel setup'!$K$4&amp;'Funnel setup'!$K$6,".",IF(A6786=".",1,A6786+1))</f>
        <v>.</v>
      </c>
      <c r="B6787" s="244" t="str">
        <f t="shared" si="106"/>
        <v/>
      </c>
    </row>
    <row r="6788" spans="1:2" x14ac:dyDescent="0.25">
      <c r="A6788" t="str">
        <f>IF(C6788&amp;G6788&amp;D6788&lt;&gt;'Funnel setup'!$K$3&amp;'Funnel setup'!$K$4&amp;'Funnel setup'!$K$6,".",IF(A6787=".",1,A6787+1))</f>
        <v>.</v>
      </c>
      <c r="B6788" s="244" t="str">
        <f t="shared" si="106"/>
        <v/>
      </c>
    </row>
    <row r="6789" spans="1:2" x14ac:dyDescent="0.25">
      <c r="A6789" t="str">
        <f>IF(C6789&amp;G6789&amp;D6789&lt;&gt;'Funnel setup'!$K$3&amp;'Funnel setup'!$K$4&amp;'Funnel setup'!$K$6,".",IF(A6788=".",1,A6788+1))</f>
        <v>.</v>
      </c>
      <c r="B6789" s="244" t="str">
        <f t="shared" si="106"/>
        <v/>
      </c>
    </row>
    <row r="6790" spans="1:2" x14ac:dyDescent="0.25">
      <c r="A6790" t="str">
        <f>IF(C6790&amp;G6790&amp;D6790&lt;&gt;'Funnel setup'!$K$3&amp;'Funnel setup'!$K$4&amp;'Funnel setup'!$K$6,".",IF(A6789=".",1,A6789+1))</f>
        <v>.</v>
      </c>
      <c r="B6790" s="244" t="str">
        <f t="shared" si="106"/>
        <v/>
      </c>
    </row>
    <row r="6791" spans="1:2" x14ac:dyDescent="0.25">
      <c r="A6791" t="str">
        <f>IF(C6791&amp;G6791&amp;D6791&lt;&gt;'Funnel setup'!$K$3&amp;'Funnel setup'!$K$4&amp;'Funnel setup'!$K$6,".",IF(A6790=".",1,A6790+1))</f>
        <v>.</v>
      </c>
      <c r="B6791" s="244" t="str">
        <f t="shared" si="106"/>
        <v/>
      </c>
    </row>
    <row r="6792" spans="1:2" x14ac:dyDescent="0.25">
      <c r="A6792" t="str">
        <f>IF(C6792&amp;G6792&amp;D6792&lt;&gt;'Funnel setup'!$K$3&amp;'Funnel setup'!$K$4&amp;'Funnel setup'!$K$6,".",IF(A6791=".",1,A6791+1))</f>
        <v>.</v>
      </c>
      <c r="B6792" s="244" t="str">
        <f t="shared" si="106"/>
        <v/>
      </c>
    </row>
    <row r="6793" spans="1:2" x14ac:dyDescent="0.25">
      <c r="A6793" t="str">
        <f>IF(C6793&amp;G6793&amp;D6793&lt;&gt;'Funnel setup'!$K$3&amp;'Funnel setup'!$K$4&amp;'Funnel setup'!$K$6,".",IF(A6792=".",1,A6792+1))</f>
        <v>.</v>
      </c>
      <c r="B6793" s="244" t="str">
        <f t="shared" si="106"/>
        <v/>
      </c>
    </row>
    <row r="6794" spans="1:2" x14ac:dyDescent="0.25">
      <c r="A6794" t="str">
        <f>IF(C6794&amp;G6794&amp;D6794&lt;&gt;'Funnel setup'!$K$3&amp;'Funnel setup'!$K$4&amp;'Funnel setup'!$K$6,".",IF(A6793=".",1,A6793+1))</f>
        <v>.</v>
      </c>
      <c r="B6794" s="244" t="str">
        <f t="shared" si="106"/>
        <v/>
      </c>
    </row>
    <row r="6795" spans="1:2" x14ac:dyDescent="0.25">
      <c r="A6795" t="str">
        <f>IF(C6795&amp;G6795&amp;D6795&lt;&gt;'Funnel setup'!$K$3&amp;'Funnel setup'!$K$4&amp;'Funnel setup'!$K$6,".",IF(A6794=".",1,A6794+1))</f>
        <v>.</v>
      </c>
      <c r="B6795" s="244" t="str">
        <f t="shared" si="106"/>
        <v/>
      </c>
    </row>
    <row r="6796" spans="1:2" x14ac:dyDescent="0.25">
      <c r="A6796" t="str">
        <f>IF(C6796&amp;G6796&amp;D6796&lt;&gt;'Funnel setup'!$K$3&amp;'Funnel setup'!$K$4&amp;'Funnel setup'!$K$6,".",IF(A6795=".",1,A6795+1))</f>
        <v>.</v>
      </c>
      <c r="B6796" s="244" t="str">
        <f t="shared" si="106"/>
        <v/>
      </c>
    </row>
    <row r="6797" spans="1:2" x14ac:dyDescent="0.25">
      <c r="A6797" t="str">
        <f>IF(C6797&amp;G6797&amp;D6797&lt;&gt;'Funnel setup'!$K$3&amp;'Funnel setup'!$K$4&amp;'Funnel setup'!$K$6,".",IF(A6796=".",1,A6796+1))</f>
        <v>.</v>
      </c>
      <c r="B6797" s="244" t="str">
        <f t="shared" si="106"/>
        <v/>
      </c>
    </row>
    <row r="6798" spans="1:2" x14ac:dyDescent="0.25">
      <c r="A6798" t="str">
        <f>IF(C6798&amp;G6798&amp;D6798&lt;&gt;'Funnel setup'!$K$3&amp;'Funnel setup'!$K$4&amp;'Funnel setup'!$K$6,".",IF(A6797=".",1,A6797+1))</f>
        <v>.</v>
      </c>
      <c r="B6798" s="244" t="str">
        <f t="shared" si="106"/>
        <v/>
      </c>
    </row>
    <row r="6799" spans="1:2" x14ac:dyDescent="0.25">
      <c r="A6799" t="str">
        <f>IF(C6799&amp;G6799&amp;D6799&lt;&gt;'Funnel setup'!$K$3&amp;'Funnel setup'!$K$4&amp;'Funnel setup'!$K$6,".",IF(A6798=".",1,A6798+1))</f>
        <v>.</v>
      </c>
      <c r="B6799" s="244" t="str">
        <f t="shared" si="106"/>
        <v/>
      </c>
    </row>
    <row r="6800" spans="1:2" x14ac:dyDescent="0.25">
      <c r="A6800" t="str">
        <f>IF(C6800&amp;G6800&amp;D6800&lt;&gt;'Funnel setup'!$K$3&amp;'Funnel setup'!$K$4&amp;'Funnel setup'!$K$6,".",IF(A6799=".",1,A6799+1))</f>
        <v>.</v>
      </c>
      <c r="B6800" s="244" t="str">
        <f t="shared" si="106"/>
        <v/>
      </c>
    </row>
    <row r="6801" spans="1:2" x14ac:dyDescent="0.25">
      <c r="A6801" t="str">
        <f>IF(C6801&amp;G6801&amp;D6801&lt;&gt;'Funnel setup'!$K$3&amp;'Funnel setup'!$K$4&amp;'Funnel setup'!$K$6,".",IF(A6800=".",1,A6800+1))</f>
        <v>.</v>
      </c>
      <c r="B6801" s="244" t="str">
        <f t="shared" si="106"/>
        <v/>
      </c>
    </row>
    <row r="6802" spans="1:2" x14ac:dyDescent="0.25">
      <c r="A6802" t="str">
        <f>IF(C6802&amp;G6802&amp;D6802&lt;&gt;'Funnel setup'!$K$3&amp;'Funnel setup'!$K$4&amp;'Funnel setup'!$K$6,".",IF(A6801=".",1,A6801+1))</f>
        <v>.</v>
      </c>
      <c r="B6802" s="244" t="str">
        <f t="shared" si="106"/>
        <v/>
      </c>
    </row>
    <row r="6803" spans="1:2" x14ac:dyDescent="0.25">
      <c r="A6803" t="str">
        <f>IF(C6803&amp;G6803&amp;D6803&lt;&gt;'Funnel setup'!$K$3&amp;'Funnel setup'!$K$4&amp;'Funnel setup'!$K$6,".",IF(A6802=".",1,A6802+1))</f>
        <v>.</v>
      </c>
      <c r="B6803" s="244" t="str">
        <f t="shared" si="106"/>
        <v/>
      </c>
    </row>
    <row r="6804" spans="1:2" x14ac:dyDescent="0.25">
      <c r="A6804" t="str">
        <f>IF(C6804&amp;G6804&amp;D6804&lt;&gt;'Funnel setup'!$K$3&amp;'Funnel setup'!$K$4&amp;'Funnel setup'!$K$6,".",IF(A6803=".",1,A6803+1))</f>
        <v>.</v>
      </c>
      <c r="B6804" s="244" t="str">
        <f t="shared" si="106"/>
        <v/>
      </c>
    </row>
    <row r="6805" spans="1:2" x14ac:dyDescent="0.25">
      <c r="A6805" t="str">
        <f>IF(C6805&amp;G6805&amp;D6805&lt;&gt;'Funnel setup'!$K$3&amp;'Funnel setup'!$K$4&amp;'Funnel setup'!$K$6,".",IF(A6804=".",1,A6804+1))</f>
        <v>.</v>
      </c>
      <c r="B6805" s="244" t="str">
        <f t="shared" si="106"/>
        <v/>
      </c>
    </row>
    <row r="6806" spans="1:2" x14ac:dyDescent="0.25">
      <c r="A6806" t="str">
        <f>IF(C6806&amp;G6806&amp;D6806&lt;&gt;'Funnel setup'!$K$3&amp;'Funnel setup'!$K$4&amp;'Funnel setup'!$K$6,".",IF(A6805=".",1,A6805+1))</f>
        <v>.</v>
      </c>
      <c r="B6806" s="244" t="str">
        <f t="shared" si="106"/>
        <v/>
      </c>
    </row>
    <row r="6807" spans="1:2" x14ac:dyDescent="0.25">
      <c r="A6807" t="str">
        <f>IF(C6807&amp;G6807&amp;D6807&lt;&gt;'Funnel setup'!$K$3&amp;'Funnel setup'!$K$4&amp;'Funnel setup'!$K$6,".",IF(A6806=".",1,A6806+1))</f>
        <v>.</v>
      </c>
      <c r="B6807" s="244" t="str">
        <f t="shared" si="106"/>
        <v/>
      </c>
    </row>
    <row r="6808" spans="1:2" x14ac:dyDescent="0.25">
      <c r="A6808" t="str">
        <f>IF(C6808&amp;G6808&amp;D6808&lt;&gt;'Funnel setup'!$K$3&amp;'Funnel setup'!$K$4&amp;'Funnel setup'!$K$6,".",IF(A6807=".",1,A6807+1))</f>
        <v>.</v>
      </c>
      <c r="B6808" s="244" t="str">
        <f t="shared" si="106"/>
        <v/>
      </c>
    </row>
    <row r="6809" spans="1:2" x14ac:dyDescent="0.25">
      <c r="A6809" t="str">
        <f>IF(C6809&amp;G6809&amp;D6809&lt;&gt;'Funnel setup'!$K$3&amp;'Funnel setup'!$K$4&amp;'Funnel setup'!$K$6,".",IF(A6808=".",1,A6808+1))</f>
        <v>.</v>
      </c>
      <c r="B6809" s="244" t="str">
        <f t="shared" si="106"/>
        <v/>
      </c>
    </row>
    <row r="6810" spans="1:2" x14ac:dyDescent="0.25">
      <c r="A6810" t="str">
        <f>IF(C6810&amp;G6810&amp;D6810&lt;&gt;'Funnel setup'!$K$3&amp;'Funnel setup'!$K$4&amp;'Funnel setup'!$K$6,".",IF(A6809=".",1,A6809+1))</f>
        <v>.</v>
      </c>
      <c r="B6810" s="244" t="str">
        <f t="shared" si="106"/>
        <v/>
      </c>
    </row>
    <row r="6811" spans="1:2" x14ac:dyDescent="0.25">
      <c r="A6811" t="str">
        <f>IF(C6811&amp;G6811&amp;D6811&lt;&gt;'Funnel setup'!$K$3&amp;'Funnel setup'!$K$4&amp;'Funnel setup'!$K$6,".",IF(A6810=".",1,A6810+1))</f>
        <v>.</v>
      </c>
      <c r="B6811" s="244" t="str">
        <f t="shared" si="106"/>
        <v/>
      </c>
    </row>
    <row r="6812" spans="1:2" x14ac:dyDescent="0.25">
      <c r="A6812" t="str">
        <f>IF(C6812&amp;G6812&amp;D6812&lt;&gt;'Funnel setup'!$K$3&amp;'Funnel setup'!$K$4&amp;'Funnel setup'!$K$6,".",IF(A6811=".",1,A6811+1))</f>
        <v>.</v>
      </c>
      <c r="B6812" s="244" t="str">
        <f t="shared" si="106"/>
        <v/>
      </c>
    </row>
    <row r="6813" spans="1:2" x14ac:dyDescent="0.25">
      <c r="A6813" t="str">
        <f>IF(C6813&amp;G6813&amp;D6813&lt;&gt;'Funnel setup'!$K$3&amp;'Funnel setup'!$K$4&amp;'Funnel setup'!$K$6,".",IF(A6812=".",1,A6812+1))</f>
        <v>.</v>
      </c>
      <c r="B6813" s="244" t="str">
        <f t="shared" si="106"/>
        <v/>
      </c>
    </row>
    <row r="6814" spans="1:2" x14ac:dyDescent="0.25">
      <c r="A6814" t="str">
        <f>IF(C6814&amp;G6814&amp;D6814&lt;&gt;'Funnel setup'!$K$3&amp;'Funnel setup'!$K$4&amp;'Funnel setup'!$K$6,".",IF(A6813=".",1,A6813+1))</f>
        <v>.</v>
      </c>
      <c r="B6814" s="244" t="str">
        <f t="shared" si="106"/>
        <v/>
      </c>
    </row>
    <row r="6815" spans="1:2" x14ac:dyDescent="0.25">
      <c r="A6815" t="str">
        <f>IF(C6815&amp;G6815&amp;D6815&lt;&gt;'Funnel setup'!$K$3&amp;'Funnel setup'!$K$4&amp;'Funnel setup'!$K$6,".",IF(A6814=".",1,A6814+1))</f>
        <v>.</v>
      </c>
      <c r="B6815" s="244" t="str">
        <f t="shared" si="106"/>
        <v/>
      </c>
    </row>
    <row r="6816" spans="1:2" x14ac:dyDescent="0.25">
      <c r="A6816" t="str">
        <f>IF(C6816&amp;G6816&amp;D6816&lt;&gt;'Funnel setup'!$K$3&amp;'Funnel setup'!$K$4&amp;'Funnel setup'!$K$6,".",IF(A6815=".",1,A6815+1))</f>
        <v>.</v>
      </c>
      <c r="B6816" s="244" t="str">
        <f t="shared" si="106"/>
        <v/>
      </c>
    </row>
    <row r="6817" spans="1:2" x14ac:dyDescent="0.25">
      <c r="A6817" t="str">
        <f>IF(C6817&amp;G6817&amp;D6817&lt;&gt;'Funnel setup'!$K$3&amp;'Funnel setup'!$K$4&amp;'Funnel setup'!$K$6,".",IF(A6816=".",1,A6816+1))</f>
        <v>.</v>
      </c>
      <c r="B6817" s="244" t="str">
        <f t="shared" si="106"/>
        <v/>
      </c>
    </row>
    <row r="6818" spans="1:2" x14ac:dyDescent="0.25">
      <c r="A6818" t="str">
        <f>IF(C6818&amp;G6818&amp;D6818&lt;&gt;'Funnel setup'!$K$3&amp;'Funnel setup'!$K$4&amp;'Funnel setup'!$K$6,".",IF(A6817=".",1,A6817+1))</f>
        <v>.</v>
      </c>
      <c r="B6818" s="244" t="str">
        <f t="shared" si="106"/>
        <v/>
      </c>
    </row>
    <row r="6819" spans="1:2" x14ac:dyDescent="0.25">
      <c r="A6819" t="str">
        <f>IF(C6819&amp;G6819&amp;D6819&lt;&gt;'Funnel setup'!$K$3&amp;'Funnel setup'!$K$4&amp;'Funnel setup'!$K$6,".",IF(A6818=".",1,A6818+1))</f>
        <v>.</v>
      </c>
      <c r="B6819" s="244" t="str">
        <f t="shared" si="106"/>
        <v/>
      </c>
    </row>
    <row r="6820" spans="1:2" x14ac:dyDescent="0.25">
      <c r="A6820" t="str">
        <f>IF(C6820&amp;G6820&amp;D6820&lt;&gt;'Funnel setup'!$K$3&amp;'Funnel setup'!$K$4&amp;'Funnel setup'!$K$6,".",IF(A6819=".",1,A6819+1))</f>
        <v>.</v>
      </c>
      <c r="B6820" s="244" t="str">
        <f t="shared" si="106"/>
        <v/>
      </c>
    </row>
    <row r="6821" spans="1:2" x14ac:dyDescent="0.25">
      <c r="A6821" t="str">
        <f>IF(C6821&amp;G6821&amp;D6821&lt;&gt;'Funnel setup'!$K$3&amp;'Funnel setup'!$K$4&amp;'Funnel setup'!$K$6,".",IF(A6820=".",1,A6820+1))</f>
        <v>.</v>
      </c>
      <c r="B6821" s="244" t="str">
        <f t="shared" si="106"/>
        <v/>
      </c>
    </row>
    <row r="6822" spans="1:2" x14ac:dyDescent="0.25">
      <c r="A6822" t="str">
        <f>IF(C6822&amp;G6822&amp;D6822&lt;&gt;'Funnel setup'!$K$3&amp;'Funnel setup'!$K$4&amp;'Funnel setup'!$K$6,".",IF(A6821=".",1,A6821+1))</f>
        <v>.</v>
      </c>
      <c r="B6822" s="244" t="str">
        <f t="shared" si="106"/>
        <v/>
      </c>
    </row>
    <row r="6823" spans="1:2" x14ac:dyDescent="0.25">
      <c r="A6823" t="str">
        <f>IF(C6823&amp;G6823&amp;D6823&lt;&gt;'Funnel setup'!$K$3&amp;'Funnel setup'!$K$4&amp;'Funnel setup'!$K$6,".",IF(A6822=".",1,A6822+1))</f>
        <v>.</v>
      </c>
      <c r="B6823" s="244" t="str">
        <f t="shared" si="106"/>
        <v/>
      </c>
    </row>
    <row r="6824" spans="1:2" x14ac:dyDescent="0.25">
      <c r="A6824" t="str">
        <f>IF(C6824&amp;G6824&amp;D6824&lt;&gt;'Funnel setup'!$K$3&amp;'Funnel setup'!$K$4&amp;'Funnel setup'!$K$6,".",IF(A6823=".",1,A6823+1))</f>
        <v>.</v>
      </c>
      <c r="B6824" s="244" t="str">
        <f t="shared" si="106"/>
        <v/>
      </c>
    </row>
    <row r="6825" spans="1:2" x14ac:dyDescent="0.25">
      <c r="A6825" t="str">
        <f>IF(C6825&amp;G6825&amp;D6825&lt;&gt;'Funnel setup'!$K$3&amp;'Funnel setup'!$K$4&amp;'Funnel setup'!$K$6,".",IF(A6824=".",1,A6824+1))</f>
        <v>.</v>
      </c>
      <c r="B6825" s="244" t="str">
        <f t="shared" si="106"/>
        <v/>
      </c>
    </row>
    <row r="6826" spans="1:2" x14ac:dyDescent="0.25">
      <c r="A6826" t="str">
        <f>IF(C6826&amp;G6826&amp;D6826&lt;&gt;'Funnel setup'!$K$3&amp;'Funnel setup'!$K$4&amp;'Funnel setup'!$K$6,".",IF(A6825=".",1,A6825+1))</f>
        <v>.</v>
      </c>
      <c r="B6826" s="244" t="str">
        <f t="shared" si="106"/>
        <v/>
      </c>
    </row>
    <row r="6827" spans="1:2" x14ac:dyDescent="0.25">
      <c r="A6827" t="str">
        <f>IF(C6827&amp;G6827&amp;D6827&lt;&gt;'Funnel setup'!$K$3&amp;'Funnel setup'!$K$4&amp;'Funnel setup'!$K$6,".",IF(A6826=".",1,A6826+1))</f>
        <v>.</v>
      </c>
      <c r="B6827" s="244" t="str">
        <f t="shared" si="106"/>
        <v/>
      </c>
    </row>
    <row r="6828" spans="1:2" x14ac:dyDescent="0.25">
      <c r="A6828" t="str">
        <f>IF(C6828&amp;G6828&amp;D6828&lt;&gt;'Funnel setup'!$K$3&amp;'Funnel setup'!$K$4&amp;'Funnel setup'!$K$6,".",IF(A6827=".",1,A6827+1))</f>
        <v>.</v>
      </c>
      <c r="B6828" s="244" t="str">
        <f t="shared" si="106"/>
        <v/>
      </c>
    </row>
    <row r="6829" spans="1:2" x14ac:dyDescent="0.25">
      <c r="A6829" t="str">
        <f>IF(C6829&amp;G6829&amp;D6829&lt;&gt;'Funnel setup'!$K$3&amp;'Funnel setup'!$K$4&amp;'Funnel setup'!$K$6,".",IF(A6828=".",1,A6828+1))</f>
        <v>.</v>
      </c>
      <c r="B6829" s="244" t="str">
        <f t="shared" si="106"/>
        <v/>
      </c>
    </row>
    <row r="6830" spans="1:2" x14ac:dyDescent="0.25">
      <c r="A6830" t="str">
        <f>IF(C6830&amp;G6830&amp;D6830&lt;&gt;'Funnel setup'!$K$3&amp;'Funnel setup'!$K$4&amp;'Funnel setup'!$K$6,".",IF(A6829=".",1,A6829+1))</f>
        <v>.</v>
      </c>
      <c r="B6830" s="244" t="str">
        <f t="shared" si="106"/>
        <v/>
      </c>
    </row>
    <row r="6831" spans="1:2" x14ac:dyDescent="0.25">
      <c r="A6831" t="str">
        <f>IF(C6831&amp;G6831&amp;D6831&lt;&gt;'Funnel setup'!$K$3&amp;'Funnel setup'!$K$4&amp;'Funnel setup'!$K$6,".",IF(A6830=".",1,A6830+1))</f>
        <v>.</v>
      </c>
      <c r="B6831" s="244" t="str">
        <f t="shared" si="106"/>
        <v/>
      </c>
    </row>
    <row r="6832" spans="1:2" x14ac:dyDescent="0.25">
      <c r="A6832" t="str">
        <f>IF(C6832&amp;G6832&amp;D6832&lt;&gt;'Funnel setup'!$K$3&amp;'Funnel setup'!$K$4&amp;'Funnel setup'!$K$6,".",IF(A6831=".",1,A6831+1))</f>
        <v>.</v>
      </c>
      <c r="B6832" s="244" t="str">
        <f t="shared" si="106"/>
        <v/>
      </c>
    </row>
    <row r="6833" spans="1:2" x14ac:dyDescent="0.25">
      <c r="A6833" t="str">
        <f>IF(C6833&amp;G6833&amp;D6833&lt;&gt;'Funnel setup'!$K$3&amp;'Funnel setup'!$K$4&amp;'Funnel setup'!$K$6,".",IF(A6832=".",1,A6832+1))</f>
        <v>.</v>
      </c>
      <c r="B6833" s="244" t="str">
        <f t="shared" si="106"/>
        <v/>
      </c>
    </row>
    <row r="6834" spans="1:2" x14ac:dyDescent="0.25">
      <c r="A6834" t="str">
        <f>IF(C6834&amp;G6834&amp;D6834&lt;&gt;'Funnel setup'!$K$3&amp;'Funnel setup'!$K$4&amp;'Funnel setup'!$K$6,".",IF(A6833=".",1,A6833+1))</f>
        <v>.</v>
      </c>
      <c r="B6834" s="244" t="str">
        <f t="shared" si="106"/>
        <v/>
      </c>
    </row>
    <row r="6835" spans="1:2" x14ac:dyDescent="0.25">
      <c r="A6835" t="str">
        <f>IF(C6835&amp;G6835&amp;D6835&lt;&gt;'Funnel setup'!$K$3&amp;'Funnel setup'!$K$4&amp;'Funnel setup'!$K$6,".",IF(A6834=".",1,A6834+1))</f>
        <v>.</v>
      </c>
      <c r="B6835" s="244" t="str">
        <f t="shared" si="106"/>
        <v/>
      </c>
    </row>
    <row r="6836" spans="1:2" x14ac:dyDescent="0.25">
      <c r="A6836" t="str">
        <f>IF(C6836&amp;G6836&amp;D6836&lt;&gt;'Funnel setup'!$K$3&amp;'Funnel setup'!$K$4&amp;'Funnel setup'!$K$6,".",IF(A6835=".",1,A6835+1))</f>
        <v>.</v>
      </c>
      <c r="B6836" s="244" t="str">
        <f t="shared" si="106"/>
        <v/>
      </c>
    </row>
    <row r="6837" spans="1:2" x14ac:dyDescent="0.25">
      <c r="A6837" t="str">
        <f>IF(C6837&amp;G6837&amp;D6837&lt;&gt;'Funnel setup'!$K$3&amp;'Funnel setup'!$K$4&amp;'Funnel setup'!$K$6,".",IF(A6836=".",1,A6836+1))</f>
        <v>.</v>
      </c>
      <c r="B6837" s="244" t="str">
        <f t="shared" si="106"/>
        <v/>
      </c>
    </row>
    <row r="6838" spans="1:2" x14ac:dyDescent="0.25">
      <c r="A6838" t="str">
        <f>IF(C6838&amp;G6838&amp;D6838&lt;&gt;'Funnel setup'!$K$3&amp;'Funnel setup'!$K$4&amp;'Funnel setup'!$K$6,".",IF(A6837=".",1,A6837+1))</f>
        <v>.</v>
      </c>
      <c r="B6838" s="244" t="str">
        <f t="shared" si="106"/>
        <v/>
      </c>
    </row>
    <row r="6839" spans="1:2" x14ac:dyDescent="0.25">
      <c r="A6839" t="str">
        <f>IF(C6839&amp;G6839&amp;D6839&lt;&gt;'Funnel setup'!$K$3&amp;'Funnel setup'!$K$4&amp;'Funnel setup'!$K$6,".",IF(A6838=".",1,A6838+1))</f>
        <v>.</v>
      </c>
      <c r="B6839" s="244" t="str">
        <f t="shared" si="106"/>
        <v/>
      </c>
    </row>
    <row r="6840" spans="1:2" x14ac:dyDescent="0.25">
      <c r="A6840" t="str">
        <f>IF(C6840&amp;G6840&amp;D6840&lt;&gt;'Funnel setup'!$K$3&amp;'Funnel setup'!$K$4&amp;'Funnel setup'!$K$6,".",IF(A6839=".",1,A6839+1))</f>
        <v>.</v>
      </c>
      <c r="B6840" s="244" t="str">
        <f t="shared" si="106"/>
        <v/>
      </c>
    </row>
    <row r="6841" spans="1:2" x14ac:dyDescent="0.25">
      <c r="A6841" t="str">
        <f>IF(C6841&amp;G6841&amp;D6841&lt;&gt;'Funnel setup'!$K$3&amp;'Funnel setup'!$K$4&amp;'Funnel setup'!$K$6,".",IF(A6840=".",1,A6840+1))</f>
        <v>.</v>
      </c>
      <c r="B6841" s="244" t="str">
        <f t="shared" si="106"/>
        <v/>
      </c>
    </row>
    <row r="6842" spans="1:2" x14ac:dyDescent="0.25">
      <c r="A6842" t="str">
        <f>IF(C6842&amp;G6842&amp;D6842&lt;&gt;'Funnel setup'!$K$3&amp;'Funnel setup'!$K$4&amp;'Funnel setup'!$K$6,".",IF(A6841=".",1,A6841+1))</f>
        <v>.</v>
      </c>
      <c r="B6842" s="244" t="str">
        <f t="shared" si="106"/>
        <v/>
      </c>
    </row>
    <row r="6843" spans="1:2" x14ac:dyDescent="0.25">
      <c r="A6843" t="str">
        <f>IF(C6843&amp;G6843&amp;D6843&lt;&gt;'Funnel setup'!$K$3&amp;'Funnel setup'!$K$4&amp;'Funnel setup'!$K$6,".",IF(A6842=".",1,A6842+1))</f>
        <v>.</v>
      </c>
      <c r="B6843" s="244" t="str">
        <f t="shared" si="106"/>
        <v/>
      </c>
    </row>
    <row r="6844" spans="1:2" x14ac:dyDescent="0.25">
      <c r="A6844" t="str">
        <f>IF(C6844&amp;G6844&amp;D6844&lt;&gt;'Funnel setup'!$K$3&amp;'Funnel setup'!$K$4&amp;'Funnel setup'!$K$6,".",IF(A6843=".",1,A6843+1))</f>
        <v>.</v>
      </c>
      <c r="B6844" s="244" t="str">
        <f t="shared" si="106"/>
        <v/>
      </c>
    </row>
    <row r="6845" spans="1:2" x14ac:dyDescent="0.25">
      <c r="A6845" t="str">
        <f>IF(C6845&amp;G6845&amp;D6845&lt;&gt;'Funnel setup'!$K$3&amp;'Funnel setup'!$K$4&amp;'Funnel setup'!$K$6,".",IF(A6844=".",1,A6844+1))</f>
        <v>.</v>
      </c>
      <c r="B6845" s="244" t="str">
        <f t="shared" si="106"/>
        <v/>
      </c>
    </row>
    <row r="6846" spans="1:2" x14ac:dyDescent="0.25">
      <c r="A6846" t="str">
        <f>IF(C6846&amp;G6846&amp;D6846&lt;&gt;'Funnel setup'!$K$3&amp;'Funnel setup'!$K$4&amp;'Funnel setup'!$K$6,".",IF(A6845=".",1,A6845+1))</f>
        <v>.</v>
      </c>
      <c r="B6846" s="244" t="str">
        <f t="shared" si="106"/>
        <v/>
      </c>
    </row>
    <row r="6847" spans="1:2" x14ac:dyDescent="0.25">
      <c r="A6847" t="str">
        <f>IF(C6847&amp;G6847&amp;D6847&lt;&gt;'Funnel setup'!$K$3&amp;'Funnel setup'!$K$4&amp;'Funnel setup'!$K$6,".",IF(A6846=".",1,A6846+1))</f>
        <v>.</v>
      </c>
      <c r="B6847" s="244" t="str">
        <f t="shared" si="106"/>
        <v/>
      </c>
    </row>
    <row r="6848" spans="1:2" x14ac:dyDescent="0.25">
      <c r="A6848" t="str">
        <f>IF(C6848&amp;G6848&amp;D6848&lt;&gt;'Funnel setup'!$K$3&amp;'Funnel setup'!$K$4&amp;'Funnel setup'!$K$6,".",IF(A6847=".",1,A6847+1))</f>
        <v>.</v>
      </c>
      <c r="B6848" s="244" t="str">
        <f t="shared" si="106"/>
        <v/>
      </c>
    </row>
    <row r="6849" spans="1:2" x14ac:dyDescent="0.25">
      <c r="A6849" t="str">
        <f>IF(C6849&amp;G6849&amp;D6849&lt;&gt;'Funnel setup'!$K$3&amp;'Funnel setup'!$K$4&amp;'Funnel setup'!$K$6,".",IF(A6848=".",1,A6848+1))</f>
        <v>.</v>
      </c>
      <c r="B6849" s="244" t="str">
        <f t="shared" si="106"/>
        <v/>
      </c>
    </row>
    <row r="6850" spans="1:2" x14ac:dyDescent="0.25">
      <c r="A6850" t="str">
        <f>IF(C6850&amp;G6850&amp;D6850&lt;&gt;'Funnel setup'!$K$3&amp;'Funnel setup'!$K$4&amp;'Funnel setup'!$K$6,".",IF(A6849=".",1,A6849+1))</f>
        <v>.</v>
      </c>
      <c r="B6850" s="244" t="str">
        <f t="shared" ref="B6850:B6913" si="107">C6850&amp;D6850&amp;F6850&amp;G6850</f>
        <v/>
      </c>
    </row>
    <row r="6851" spans="1:2" x14ac:dyDescent="0.25">
      <c r="A6851" t="str">
        <f>IF(C6851&amp;G6851&amp;D6851&lt;&gt;'Funnel setup'!$K$3&amp;'Funnel setup'!$K$4&amp;'Funnel setup'!$K$6,".",IF(A6850=".",1,A6850+1))</f>
        <v>.</v>
      </c>
      <c r="B6851" s="244" t="str">
        <f t="shared" si="107"/>
        <v/>
      </c>
    </row>
    <row r="6852" spans="1:2" x14ac:dyDescent="0.25">
      <c r="A6852" t="str">
        <f>IF(C6852&amp;G6852&amp;D6852&lt;&gt;'Funnel setup'!$K$3&amp;'Funnel setup'!$K$4&amp;'Funnel setup'!$K$6,".",IF(A6851=".",1,A6851+1))</f>
        <v>.</v>
      </c>
      <c r="B6852" s="244" t="str">
        <f t="shared" si="107"/>
        <v/>
      </c>
    </row>
    <row r="6853" spans="1:2" x14ac:dyDescent="0.25">
      <c r="A6853" t="str">
        <f>IF(C6853&amp;G6853&amp;D6853&lt;&gt;'Funnel setup'!$K$3&amp;'Funnel setup'!$K$4&amp;'Funnel setup'!$K$6,".",IF(A6852=".",1,A6852+1))</f>
        <v>.</v>
      </c>
      <c r="B6853" s="244" t="str">
        <f t="shared" si="107"/>
        <v/>
      </c>
    </row>
    <row r="6854" spans="1:2" x14ac:dyDescent="0.25">
      <c r="A6854" t="str">
        <f>IF(C6854&amp;G6854&amp;D6854&lt;&gt;'Funnel setup'!$K$3&amp;'Funnel setup'!$K$4&amp;'Funnel setup'!$K$6,".",IF(A6853=".",1,A6853+1))</f>
        <v>.</v>
      </c>
      <c r="B6854" s="244" t="str">
        <f t="shared" si="107"/>
        <v/>
      </c>
    </row>
    <row r="6855" spans="1:2" x14ac:dyDescent="0.25">
      <c r="A6855" t="str">
        <f>IF(C6855&amp;G6855&amp;D6855&lt;&gt;'Funnel setup'!$K$3&amp;'Funnel setup'!$K$4&amp;'Funnel setup'!$K$6,".",IF(A6854=".",1,A6854+1))</f>
        <v>.</v>
      </c>
      <c r="B6855" s="244" t="str">
        <f t="shared" si="107"/>
        <v/>
      </c>
    </row>
    <row r="6856" spans="1:2" x14ac:dyDescent="0.25">
      <c r="A6856" t="str">
        <f>IF(C6856&amp;G6856&amp;D6856&lt;&gt;'Funnel setup'!$K$3&amp;'Funnel setup'!$K$4&amp;'Funnel setup'!$K$6,".",IF(A6855=".",1,A6855+1))</f>
        <v>.</v>
      </c>
      <c r="B6856" s="244" t="str">
        <f t="shared" si="107"/>
        <v/>
      </c>
    </row>
    <row r="6857" spans="1:2" x14ac:dyDescent="0.25">
      <c r="A6857" t="str">
        <f>IF(C6857&amp;G6857&amp;D6857&lt;&gt;'Funnel setup'!$K$3&amp;'Funnel setup'!$K$4&amp;'Funnel setup'!$K$6,".",IF(A6856=".",1,A6856+1))</f>
        <v>.</v>
      </c>
      <c r="B6857" s="244" t="str">
        <f t="shared" si="107"/>
        <v/>
      </c>
    </row>
    <row r="6858" spans="1:2" x14ac:dyDescent="0.25">
      <c r="A6858" t="str">
        <f>IF(C6858&amp;G6858&amp;D6858&lt;&gt;'Funnel setup'!$K$3&amp;'Funnel setup'!$K$4&amp;'Funnel setup'!$K$6,".",IF(A6857=".",1,A6857+1))</f>
        <v>.</v>
      </c>
      <c r="B6858" s="244" t="str">
        <f t="shared" si="107"/>
        <v/>
      </c>
    </row>
    <row r="6859" spans="1:2" x14ac:dyDescent="0.25">
      <c r="A6859" t="str">
        <f>IF(C6859&amp;G6859&amp;D6859&lt;&gt;'Funnel setup'!$K$3&amp;'Funnel setup'!$K$4&amp;'Funnel setup'!$K$6,".",IF(A6858=".",1,A6858+1))</f>
        <v>.</v>
      </c>
      <c r="B6859" s="244" t="str">
        <f t="shared" si="107"/>
        <v/>
      </c>
    </row>
    <row r="6860" spans="1:2" x14ac:dyDescent="0.25">
      <c r="A6860" t="str">
        <f>IF(C6860&amp;G6860&amp;D6860&lt;&gt;'Funnel setup'!$K$3&amp;'Funnel setup'!$K$4&amp;'Funnel setup'!$K$6,".",IF(A6859=".",1,A6859+1))</f>
        <v>.</v>
      </c>
      <c r="B6860" s="244" t="str">
        <f t="shared" si="107"/>
        <v/>
      </c>
    </row>
    <row r="6861" spans="1:2" x14ac:dyDescent="0.25">
      <c r="A6861" t="str">
        <f>IF(C6861&amp;G6861&amp;D6861&lt;&gt;'Funnel setup'!$K$3&amp;'Funnel setup'!$K$4&amp;'Funnel setup'!$K$6,".",IF(A6860=".",1,A6860+1))</f>
        <v>.</v>
      </c>
      <c r="B6861" s="244" t="str">
        <f t="shared" si="107"/>
        <v/>
      </c>
    </row>
    <row r="6862" spans="1:2" x14ac:dyDescent="0.25">
      <c r="A6862" t="str">
        <f>IF(C6862&amp;G6862&amp;D6862&lt;&gt;'Funnel setup'!$K$3&amp;'Funnel setup'!$K$4&amp;'Funnel setup'!$K$6,".",IF(A6861=".",1,A6861+1))</f>
        <v>.</v>
      </c>
      <c r="B6862" s="244" t="str">
        <f t="shared" si="107"/>
        <v/>
      </c>
    </row>
    <row r="6863" spans="1:2" x14ac:dyDescent="0.25">
      <c r="A6863" t="str">
        <f>IF(C6863&amp;G6863&amp;D6863&lt;&gt;'Funnel setup'!$K$3&amp;'Funnel setup'!$K$4&amp;'Funnel setup'!$K$6,".",IF(A6862=".",1,A6862+1))</f>
        <v>.</v>
      </c>
      <c r="B6863" s="244" t="str">
        <f t="shared" si="107"/>
        <v/>
      </c>
    </row>
    <row r="6864" spans="1:2" x14ac:dyDescent="0.25">
      <c r="A6864" t="str">
        <f>IF(C6864&amp;G6864&amp;D6864&lt;&gt;'Funnel setup'!$K$3&amp;'Funnel setup'!$K$4&amp;'Funnel setup'!$K$6,".",IF(A6863=".",1,A6863+1))</f>
        <v>.</v>
      </c>
      <c r="B6864" s="244" t="str">
        <f t="shared" si="107"/>
        <v/>
      </c>
    </row>
    <row r="6865" spans="1:2" x14ac:dyDescent="0.25">
      <c r="A6865" t="str">
        <f>IF(C6865&amp;G6865&amp;D6865&lt;&gt;'Funnel setup'!$K$3&amp;'Funnel setup'!$K$4&amp;'Funnel setup'!$K$6,".",IF(A6864=".",1,A6864+1))</f>
        <v>.</v>
      </c>
      <c r="B6865" s="244" t="str">
        <f t="shared" si="107"/>
        <v/>
      </c>
    </row>
    <row r="6866" spans="1:2" x14ac:dyDescent="0.25">
      <c r="A6866" t="str">
        <f>IF(C6866&amp;G6866&amp;D6866&lt;&gt;'Funnel setup'!$K$3&amp;'Funnel setup'!$K$4&amp;'Funnel setup'!$K$6,".",IF(A6865=".",1,A6865+1))</f>
        <v>.</v>
      </c>
      <c r="B6866" s="244" t="str">
        <f t="shared" si="107"/>
        <v/>
      </c>
    </row>
    <row r="6867" spans="1:2" x14ac:dyDescent="0.25">
      <c r="A6867" t="str">
        <f>IF(C6867&amp;G6867&amp;D6867&lt;&gt;'Funnel setup'!$K$3&amp;'Funnel setup'!$K$4&amp;'Funnel setup'!$K$6,".",IF(A6866=".",1,A6866+1))</f>
        <v>.</v>
      </c>
      <c r="B6867" s="244" t="str">
        <f t="shared" si="107"/>
        <v/>
      </c>
    </row>
    <row r="6868" spans="1:2" x14ac:dyDescent="0.25">
      <c r="A6868" t="str">
        <f>IF(C6868&amp;G6868&amp;D6868&lt;&gt;'Funnel setup'!$K$3&amp;'Funnel setup'!$K$4&amp;'Funnel setup'!$K$6,".",IF(A6867=".",1,A6867+1))</f>
        <v>.</v>
      </c>
      <c r="B6868" s="244" t="str">
        <f t="shared" si="107"/>
        <v/>
      </c>
    </row>
    <row r="6869" spans="1:2" x14ac:dyDescent="0.25">
      <c r="A6869" t="str">
        <f>IF(C6869&amp;G6869&amp;D6869&lt;&gt;'Funnel setup'!$K$3&amp;'Funnel setup'!$K$4&amp;'Funnel setup'!$K$6,".",IF(A6868=".",1,A6868+1))</f>
        <v>.</v>
      </c>
      <c r="B6869" s="244" t="str">
        <f t="shared" si="107"/>
        <v/>
      </c>
    </row>
    <row r="6870" spans="1:2" x14ac:dyDescent="0.25">
      <c r="A6870" t="str">
        <f>IF(C6870&amp;G6870&amp;D6870&lt;&gt;'Funnel setup'!$K$3&amp;'Funnel setup'!$K$4&amp;'Funnel setup'!$K$6,".",IF(A6869=".",1,A6869+1))</f>
        <v>.</v>
      </c>
      <c r="B6870" s="244" t="str">
        <f t="shared" si="107"/>
        <v/>
      </c>
    </row>
    <row r="6871" spans="1:2" x14ac:dyDescent="0.25">
      <c r="A6871" t="str">
        <f>IF(C6871&amp;G6871&amp;D6871&lt;&gt;'Funnel setup'!$K$3&amp;'Funnel setup'!$K$4&amp;'Funnel setup'!$K$6,".",IF(A6870=".",1,A6870+1))</f>
        <v>.</v>
      </c>
      <c r="B6871" s="244" t="str">
        <f t="shared" si="107"/>
        <v/>
      </c>
    </row>
    <row r="6872" spans="1:2" x14ac:dyDescent="0.25">
      <c r="A6872" t="str">
        <f>IF(C6872&amp;G6872&amp;D6872&lt;&gt;'Funnel setup'!$K$3&amp;'Funnel setup'!$K$4&amp;'Funnel setup'!$K$6,".",IF(A6871=".",1,A6871+1))</f>
        <v>.</v>
      </c>
      <c r="B6872" s="244" t="str">
        <f t="shared" si="107"/>
        <v/>
      </c>
    </row>
    <row r="6873" spans="1:2" x14ac:dyDescent="0.25">
      <c r="A6873" t="str">
        <f>IF(C6873&amp;G6873&amp;D6873&lt;&gt;'Funnel setup'!$K$3&amp;'Funnel setup'!$K$4&amp;'Funnel setup'!$K$6,".",IF(A6872=".",1,A6872+1))</f>
        <v>.</v>
      </c>
      <c r="B6873" s="244" t="str">
        <f t="shared" si="107"/>
        <v/>
      </c>
    </row>
    <row r="6874" spans="1:2" x14ac:dyDescent="0.25">
      <c r="A6874" t="str">
        <f>IF(C6874&amp;G6874&amp;D6874&lt;&gt;'Funnel setup'!$K$3&amp;'Funnel setup'!$K$4&amp;'Funnel setup'!$K$6,".",IF(A6873=".",1,A6873+1))</f>
        <v>.</v>
      </c>
      <c r="B6874" s="244" t="str">
        <f t="shared" si="107"/>
        <v/>
      </c>
    </row>
    <row r="6875" spans="1:2" x14ac:dyDescent="0.25">
      <c r="A6875" t="str">
        <f>IF(C6875&amp;G6875&amp;D6875&lt;&gt;'Funnel setup'!$K$3&amp;'Funnel setup'!$K$4&amp;'Funnel setup'!$K$6,".",IF(A6874=".",1,A6874+1))</f>
        <v>.</v>
      </c>
      <c r="B6875" s="244" t="str">
        <f t="shared" si="107"/>
        <v/>
      </c>
    </row>
    <row r="6876" spans="1:2" x14ac:dyDescent="0.25">
      <c r="A6876" t="str">
        <f>IF(C6876&amp;G6876&amp;D6876&lt;&gt;'Funnel setup'!$K$3&amp;'Funnel setup'!$K$4&amp;'Funnel setup'!$K$6,".",IF(A6875=".",1,A6875+1))</f>
        <v>.</v>
      </c>
      <c r="B6876" s="244" t="str">
        <f t="shared" si="107"/>
        <v/>
      </c>
    </row>
    <row r="6877" spans="1:2" x14ac:dyDescent="0.25">
      <c r="A6877" t="str">
        <f>IF(C6877&amp;G6877&amp;D6877&lt;&gt;'Funnel setup'!$K$3&amp;'Funnel setup'!$K$4&amp;'Funnel setup'!$K$6,".",IF(A6876=".",1,A6876+1))</f>
        <v>.</v>
      </c>
      <c r="B6877" s="244" t="str">
        <f t="shared" si="107"/>
        <v/>
      </c>
    </row>
    <row r="6878" spans="1:2" x14ac:dyDescent="0.25">
      <c r="A6878" t="str">
        <f>IF(C6878&amp;G6878&amp;D6878&lt;&gt;'Funnel setup'!$K$3&amp;'Funnel setup'!$K$4&amp;'Funnel setup'!$K$6,".",IF(A6877=".",1,A6877+1))</f>
        <v>.</v>
      </c>
      <c r="B6878" s="244" t="str">
        <f t="shared" si="107"/>
        <v/>
      </c>
    </row>
    <row r="6879" spans="1:2" x14ac:dyDescent="0.25">
      <c r="A6879" t="str">
        <f>IF(C6879&amp;G6879&amp;D6879&lt;&gt;'Funnel setup'!$K$3&amp;'Funnel setup'!$K$4&amp;'Funnel setup'!$K$6,".",IF(A6878=".",1,A6878+1))</f>
        <v>.</v>
      </c>
      <c r="B6879" s="244" t="str">
        <f t="shared" si="107"/>
        <v/>
      </c>
    </row>
    <row r="6880" spans="1:2" x14ac:dyDescent="0.25">
      <c r="A6880" t="str">
        <f>IF(C6880&amp;G6880&amp;D6880&lt;&gt;'Funnel setup'!$K$3&amp;'Funnel setup'!$K$4&amp;'Funnel setup'!$K$6,".",IF(A6879=".",1,A6879+1))</f>
        <v>.</v>
      </c>
      <c r="B6880" s="244" t="str">
        <f t="shared" si="107"/>
        <v/>
      </c>
    </row>
    <row r="6881" spans="1:2" x14ac:dyDescent="0.25">
      <c r="A6881" t="str">
        <f>IF(C6881&amp;G6881&amp;D6881&lt;&gt;'Funnel setup'!$K$3&amp;'Funnel setup'!$K$4&amp;'Funnel setup'!$K$6,".",IF(A6880=".",1,A6880+1))</f>
        <v>.</v>
      </c>
      <c r="B6881" s="244" t="str">
        <f t="shared" si="107"/>
        <v/>
      </c>
    </row>
    <row r="6882" spans="1:2" x14ac:dyDescent="0.25">
      <c r="A6882" t="str">
        <f>IF(C6882&amp;G6882&amp;D6882&lt;&gt;'Funnel setup'!$K$3&amp;'Funnel setup'!$K$4&amp;'Funnel setup'!$K$6,".",IF(A6881=".",1,A6881+1))</f>
        <v>.</v>
      </c>
      <c r="B6882" s="244" t="str">
        <f t="shared" si="107"/>
        <v/>
      </c>
    </row>
    <row r="6883" spans="1:2" x14ac:dyDescent="0.25">
      <c r="A6883" t="str">
        <f>IF(C6883&amp;G6883&amp;D6883&lt;&gt;'Funnel setup'!$K$3&amp;'Funnel setup'!$K$4&amp;'Funnel setup'!$K$6,".",IF(A6882=".",1,A6882+1))</f>
        <v>.</v>
      </c>
      <c r="B6883" s="244" t="str">
        <f t="shared" si="107"/>
        <v/>
      </c>
    </row>
    <row r="6884" spans="1:2" x14ac:dyDescent="0.25">
      <c r="A6884" t="str">
        <f>IF(C6884&amp;G6884&amp;D6884&lt;&gt;'Funnel setup'!$K$3&amp;'Funnel setup'!$K$4&amp;'Funnel setup'!$K$6,".",IF(A6883=".",1,A6883+1))</f>
        <v>.</v>
      </c>
      <c r="B6884" s="244" t="str">
        <f t="shared" si="107"/>
        <v/>
      </c>
    </row>
    <row r="6885" spans="1:2" x14ac:dyDescent="0.25">
      <c r="A6885" t="str">
        <f>IF(C6885&amp;G6885&amp;D6885&lt;&gt;'Funnel setup'!$K$3&amp;'Funnel setup'!$K$4&amp;'Funnel setup'!$K$6,".",IF(A6884=".",1,A6884+1))</f>
        <v>.</v>
      </c>
      <c r="B6885" s="244" t="str">
        <f t="shared" si="107"/>
        <v/>
      </c>
    </row>
    <row r="6886" spans="1:2" x14ac:dyDescent="0.25">
      <c r="A6886" t="str">
        <f>IF(C6886&amp;G6886&amp;D6886&lt;&gt;'Funnel setup'!$K$3&amp;'Funnel setup'!$K$4&amp;'Funnel setup'!$K$6,".",IF(A6885=".",1,A6885+1))</f>
        <v>.</v>
      </c>
      <c r="B6886" s="244" t="str">
        <f t="shared" si="107"/>
        <v/>
      </c>
    </row>
    <row r="6887" spans="1:2" x14ac:dyDescent="0.25">
      <c r="A6887" t="str">
        <f>IF(C6887&amp;G6887&amp;D6887&lt;&gt;'Funnel setup'!$K$3&amp;'Funnel setup'!$K$4&amp;'Funnel setup'!$K$6,".",IF(A6886=".",1,A6886+1))</f>
        <v>.</v>
      </c>
      <c r="B6887" s="244" t="str">
        <f t="shared" si="107"/>
        <v/>
      </c>
    </row>
    <row r="6888" spans="1:2" x14ac:dyDescent="0.25">
      <c r="A6888" t="str">
        <f>IF(C6888&amp;G6888&amp;D6888&lt;&gt;'Funnel setup'!$K$3&amp;'Funnel setup'!$K$4&amp;'Funnel setup'!$K$6,".",IF(A6887=".",1,A6887+1))</f>
        <v>.</v>
      </c>
      <c r="B6888" s="244" t="str">
        <f t="shared" si="107"/>
        <v/>
      </c>
    </row>
    <row r="6889" spans="1:2" x14ac:dyDescent="0.25">
      <c r="A6889" t="str">
        <f>IF(C6889&amp;G6889&amp;D6889&lt;&gt;'Funnel setup'!$K$3&amp;'Funnel setup'!$K$4&amp;'Funnel setup'!$K$6,".",IF(A6888=".",1,A6888+1))</f>
        <v>.</v>
      </c>
      <c r="B6889" s="244" t="str">
        <f t="shared" si="107"/>
        <v/>
      </c>
    </row>
    <row r="6890" spans="1:2" x14ac:dyDescent="0.25">
      <c r="A6890" t="str">
        <f>IF(C6890&amp;G6890&amp;D6890&lt;&gt;'Funnel setup'!$K$3&amp;'Funnel setup'!$K$4&amp;'Funnel setup'!$K$6,".",IF(A6889=".",1,A6889+1))</f>
        <v>.</v>
      </c>
      <c r="B6890" s="244" t="str">
        <f t="shared" si="107"/>
        <v/>
      </c>
    </row>
    <row r="6891" spans="1:2" x14ac:dyDescent="0.25">
      <c r="A6891" t="str">
        <f>IF(C6891&amp;G6891&amp;D6891&lt;&gt;'Funnel setup'!$K$3&amp;'Funnel setup'!$K$4&amp;'Funnel setup'!$K$6,".",IF(A6890=".",1,A6890+1))</f>
        <v>.</v>
      </c>
      <c r="B6891" s="244" t="str">
        <f t="shared" si="107"/>
        <v/>
      </c>
    </row>
    <row r="6892" spans="1:2" x14ac:dyDescent="0.25">
      <c r="A6892" t="str">
        <f>IF(C6892&amp;G6892&amp;D6892&lt;&gt;'Funnel setup'!$K$3&amp;'Funnel setup'!$K$4&amp;'Funnel setup'!$K$6,".",IF(A6891=".",1,A6891+1))</f>
        <v>.</v>
      </c>
      <c r="B6892" s="244" t="str">
        <f t="shared" si="107"/>
        <v/>
      </c>
    </row>
    <row r="6893" spans="1:2" x14ac:dyDescent="0.25">
      <c r="A6893" t="str">
        <f>IF(C6893&amp;G6893&amp;D6893&lt;&gt;'Funnel setup'!$K$3&amp;'Funnel setup'!$K$4&amp;'Funnel setup'!$K$6,".",IF(A6892=".",1,A6892+1))</f>
        <v>.</v>
      </c>
      <c r="B6893" s="244" t="str">
        <f t="shared" si="107"/>
        <v/>
      </c>
    </row>
    <row r="6894" spans="1:2" x14ac:dyDescent="0.25">
      <c r="A6894" t="str">
        <f>IF(C6894&amp;G6894&amp;D6894&lt;&gt;'Funnel setup'!$K$3&amp;'Funnel setup'!$K$4&amp;'Funnel setup'!$K$6,".",IF(A6893=".",1,A6893+1))</f>
        <v>.</v>
      </c>
      <c r="B6894" s="244" t="str">
        <f t="shared" si="107"/>
        <v/>
      </c>
    </row>
    <row r="6895" spans="1:2" x14ac:dyDescent="0.25">
      <c r="A6895" t="str">
        <f>IF(C6895&amp;G6895&amp;D6895&lt;&gt;'Funnel setup'!$K$3&amp;'Funnel setup'!$K$4&amp;'Funnel setup'!$K$6,".",IF(A6894=".",1,A6894+1))</f>
        <v>.</v>
      </c>
      <c r="B6895" s="244" t="str">
        <f t="shared" si="107"/>
        <v/>
      </c>
    </row>
    <row r="6896" spans="1:2" x14ac:dyDescent="0.25">
      <c r="A6896" t="str">
        <f>IF(C6896&amp;G6896&amp;D6896&lt;&gt;'Funnel setup'!$K$3&amp;'Funnel setup'!$K$4&amp;'Funnel setup'!$K$6,".",IF(A6895=".",1,A6895+1))</f>
        <v>.</v>
      </c>
      <c r="B6896" s="244" t="str">
        <f t="shared" si="107"/>
        <v/>
      </c>
    </row>
    <row r="6897" spans="1:2" x14ac:dyDescent="0.25">
      <c r="A6897" t="str">
        <f>IF(C6897&amp;G6897&amp;D6897&lt;&gt;'Funnel setup'!$K$3&amp;'Funnel setup'!$K$4&amp;'Funnel setup'!$K$6,".",IF(A6896=".",1,A6896+1))</f>
        <v>.</v>
      </c>
      <c r="B6897" s="244" t="str">
        <f t="shared" si="107"/>
        <v/>
      </c>
    </row>
    <row r="6898" spans="1:2" x14ac:dyDescent="0.25">
      <c r="A6898" t="str">
        <f>IF(C6898&amp;G6898&amp;D6898&lt;&gt;'Funnel setup'!$K$3&amp;'Funnel setup'!$K$4&amp;'Funnel setup'!$K$6,".",IF(A6897=".",1,A6897+1))</f>
        <v>.</v>
      </c>
      <c r="B6898" s="244" t="str">
        <f t="shared" si="107"/>
        <v/>
      </c>
    </row>
    <row r="6899" spans="1:2" x14ac:dyDescent="0.25">
      <c r="A6899" t="str">
        <f>IF(C6899&amp;G6899&amp;D6899&lt;&gt;'Funnel setup'!$K$3&amp;'Funnel setup'!$K$4&amp;'Funnel setup'!$K$6,".",IF(A6898=".",1,A6898+1))</f>
        <v>.</v>
      </c>
      <c r="B6899" s="244" t="str">
        <f t="shared" si="107"/>
        <v/>
      </c>
    </row>
    <row r="6900" spans="1:2" x14ac:dyDescent="0.25">
      <c r="A6900" t="str">
        <f>IF(C6900&amp;G6900&amp;D6900&lt;&gt;'Funnel setup'!$K$3&amp;'Funnel setup'!$K$4&amp;'Funnel setup'!$K$6,".",IF(A6899=".",1,A6899+1))</f>
        <v>.</v>
      </c>
      <c r="B6900" s="244" t="str">
        <f t="shared" si="107"/>
        <v/>
      </c>
    </row>
    <row r="6901" spans="1:2" x14ac:dyDescent="0.25">
      <c r="A6901" t="str">
        <f>IF(C6901&amp;G6901&amp;D6901&lt;&gt;'Funnel setup'!$K$3&amp;'Funnel setup'!$K$4&amp;'Funnel setup'!$K$6,".",IF(A6900=".",1,A6900+1))</f>
        <v>.</v>
      </c>
      <c r="B6901" s="244" t="str">
        <f t="shared" si="107"/>
        <v/>
      </c>
    </row>
    <row r="6902" spans="1:2" x14ac:dyDescent="0.25">
      <c r="A6902" t="str">
        <f>IF(C6902&amp;G6902&amp;D6902&lt;&gt;'Funnel setup'!$K$3&amp;'Funnel setup'!$K$4&amp;'Funnel setup'!$K$6,".",IF(A6901=".",1,A6901+1))</f>
        <v>.</v>
      </c>
      <c r="B6902" s="244" t="str">
        <f t="shared" si="107"/>
        <v/>
      </c>
    </row>
    <row r="6903" spans="1:2" x14ac:dyDescent="0.25">
      <c r="A6903" t="str">
        <f>IF(C6903&amp;G6903&amp;D6903&lt;&gt;'Funnel setup'!$K$3&amp;'Funnel setup'!$K$4&amp;'Funnel setup'!$K$6,".",IF(A6902=".",1,A6902+1))</f>
        <v>.</v>
      </c>
      <c r="B6903" s="244" t="str">
        <f t="shared" si="107"/>
        <v/>
      </c>
    </row>
    <row r="6904" spans="1:2" x14ac:dyDescent="0.25">
      <c r="A6904" t="str">
        <f>IF(C6904&amp;G6904&amp;D6904&lt;&gt;'Funnel setup'!$K$3&amp;'Funnel setup'!$K$4&amp;'Funnel setup'!$K$6,".",IF(A6903=".",1,A6903+1))</f>
        <v>.</v>
      </c>
      <c r="B6904" s="244" t="str">
        <f t="shared" si="107"/>
        <v/>
      </c>
    </row>
    <row r="6905" spans="1:2" x14ac:dyDescent="0.25">
      <c r="A6905" t="str">
        <f>IF(C6905&amp;G6905&amp;D6905&lt;&gt;'Funnel setup'!$K$3&amp;'Funnel setup'!$K$4&amp;'Funnel setup'!$K$6,".",IF(A6904=".",1,A6904+1))</f>
        <v>.</v>
      </c>
      <c r="B6905" s="244" t="str">
        <f t="shared" si="107"/>
        <v/>
      </c>
    </row>
    <row r="6906" spans="1:2" x14ac:dyDescent="0.25">
      <c r="A6906" t="str">
        <f>IF(C6906&amp;G6906&amp;D6906&lt;&gt;'Funnel setup'!$K$3&amp;'Funnel setup'!$K$4&amp;'Funnel setup'!$K$6,".",IF(A6905=".",1,A6905+1))</f>
        <v>.</v>
      </c>
      <c r="B6906" s="244" t="str">
        <f t="shared" si="107"/>
        <v/>
      </c>
    </row>
    <row r="6907" spans="1:2" x14ac:dyDescent="0.25">
      <c r="A6907" t="str">
        <f>IF(C6907&amp;G6907&amp;D6907&lt;&gt;'Funnel setup'!$K$3&amp;'Funnel setup'!$K$4&amp;'Funnel setup'!$K$6,".",IF(A6906=".",1,A6906+1))</f>
        <v>.</v>
      </c>
      <c r="B6907" s="244" t="str">
        <f t="shared" si="107"/>
        <v/>
      </c>
    </row>
    <row r="6908" spans="1:2" x14ac:dyDescent="0.25">
      <c r="A6908" t="str">
        <f>IF(C6908&amp;G6908&amp;D6908&lt;&gt;'Funnel setup'!$K$3&amp;'Funnel setup'!$K$4&amp;'Funnel setup'!$K$6,".",IF(A6907=".",1,A6907+1))</f>
        <v>.</v>
      </c>
      <c r="B6908" s="244" t="str">
        <f t="shared" si="107"/>
        <v/>
      </c>
    </row>
    <row r="6909" spans="1:2" x14ac:dyDescent="0.25">
      <c r="A6909" t="str">
        <f>IF(C6909&amp;G6909&amp;D6909&lt;&gt;'Funnel setup'!$K$3&amp;'Funnel setup'!$K$4&amp;'Funnel setup'!$K$6,".",IF(A6908=".",1,A6908+1))</f>
        <v>.</v>
      </c>
      <c r="B6909" s="244" t="str">
        <f t="shared" si="107"/>
        <v/>
      </c>
    </row>
    <row r="6910" spans="1:2" x14ac:dyDescent="0.25">
      <c r="A6910" t="str">
        <f>IF(C6910&amp;G6910&amp;D6910&lt;&gt;'Funnel setup'!$K$3&amp;'Funnel setup'!$K$4&amp;'Funnel setup'!$K$6,".",IF(A6909=".",1,A6909+1))</f>
        <v>.</v>
      </c>
      <c r="B6910" s="244" t="str">
        <f t="shared" si="107"/>
        <v/>
      </c>
    </row>
    <row r="6911" spans="1:2" x14ac:dyDescent="0.25">
      <c r="A6911" t="str">
        <f>IF(C6911&amp;G6911&amp;D6911&lt;&gt;'Funnel setup'!$K$3&amp;'Funnel setup'!$K$4&amp;'Funnel setup'!$K$6,".",IF(A6910=".",1,A6910+1))</f>
        <v>.</v>
      </c>
      <c r="B6911" s="244" t="str">
        <f t="shared" si="107"/>
        <v/>
      </c>
    </row>
    <row r="6912" spans="1:2" x14ac:dyDescent="0.25">
      <c r="A6912" t="str">
        <f>IF(C6912&amp;G6912&amp;D6912&lt;&gt;'Funnel setup'!$K$3&amp;'Funnel setup'!$K$4&amp;'Funnel setup'!$K$6,".",IF(A6911=".",1,A6911+1))</f>
        <v>.</v>
      </c>
      <c r="B6912" s="244" t="str">
        <f t="shared" si="107"/>
        <v/>
      </c>
    </row>
    <row r="6913" spans="1:2" x14ac:dyDescent="0.25">
      <c r="A6913" t="str">
        <f>IF(C6913&amp;G6913&amp;D6913&lt;&gt;'Funnel setup'!$K$3&amp;'Funnel setup'!$K$4&amp;'Funnel setup'!$K$6,".",IF(A6912=".",1,A6912+1))</f>
        <v>.</v>
      </c>
      <c r="B6913" s="244" t="str">
        <f t="shared" si="107"/>
        <v/>
      </c>
    </row>
    <row r="6914" spans="1:2" x14ac:dyDescent="0.25">
      <c r="A6914" t="str">
        <f>IF(C6914&amp;G6914&amp;D6914&lt;&gt;'Funnel setup'!$K$3&amp;'Funnel setup'!$K$4&amp;'Funnel setup'!$K$6,".",IF(A6913=".",1,A6913+1))</f>
        <v>.</v>
      </c>
      <c r="B6914" s="244" t="str">
        <f t="shared" ref="B6914:B6977" si="108">C6914&amp;D6914&amp;F6914&amp;G6914</f>
        <v/>
      </c>
    </row>
    <row r="6915" spans="1:2" x14ac:dyDescent="0.25">
      <c r="A6915" t="str">
        <f>IF(C6915&amp;G6915&amp;D6915&lt;&gt;'Funnel setup'!$K$3&amp;'Funnel setup'!$K$4&amp;'Funnel setup'!$K$6,".",IF(A6914=".",1,A6914+1))</f>
        <v>.</v>
      </c>
      <c r="B6915" s="244" t="str">
        <f t="shared" si="108"/>
        <v/>
      </c>
    </row>
    <row r="6916" spans="1:2" x14ac:dyDescent="0.25">
      <c r="A6916" t="str">
        <f>IF(C6916&amp;G6916&amp;D6916&lt;&gt;'Funnel setup'!$K$3&amp;'Funnel setup'!$K$4&amp;'Funnel setup'!$K$6,".",IF(A6915=".",1,A6915+1))</f>
        <v>.</v>
      </c>
      <c r="B6916" s="244" t="str">
        <f t="shared" si="108"/>
        <v/>
      </c>
    </row>
    <row r="6917" spans="1:2" x14ac:dyDescent="0.25">
      <c r="A6917" t="str">
        <f>IF(C6917&amp;G6917&amp;D6917&lt;&gt;'Funnel setup'!$K$3&amp;'Funnel setup'!$K$4&amp;'Funnel setup'!$K$6,".",IF(A6916=".",1,A6916+1))</f>
        <v>.</v>
      </c>
      <c r="B6917" s="244" t="str">
        <f t="shared" si="108"/>
        <v/>
      </c>
    </row>
    <row r="6918" spans="1:2" x14ac:dyDescent="0.25">
      <c r="A6918" t="str">
        <f>IF(C6918&amp;G6918&amp;D6918&lt;&gt;'Funnel setup'!$K$3&amp;'Funnel setup'!$K$4&amp;'Funnel setup'!$K$6,".",IF(A6917=".",1,A6917+1))</f>
        <v>.</v>
      </c>
      <c r="B6918" s="244" t="str">
        <f t="shared" si="108"/>
        <v/>
      </c>
    </row>
    <row r="6919" spans="1:2" x14ac:dyDescent="0.25">
      <c r="A6919" t="str">
        <f>IF(C6919&amp;G6919&amp;D6919&lt;&gt;'Funnel setup'!$K$3&amp;'Funnel setup'!$K$4&amp;'Funnel setup'!$K$6,".",IF(A6918=".",1,A6918+1))</f>
        <v>.</v>
      </c>
      <c r="B6919" s="244" t="str">
        <f t="shared" si="108"/>
        <v/>
      </c>
    </row>
    <row r="6920" spans="1:2" x14ac:dyDescent="0.25">
      <c r="A6920" t="str">
        <f>IF(C6920&amp;G6920&amp;D6920&lt;&gt;'Funnel setup'!$K$3&amp;'Funnel setup'!$K$4&amp;'Funnel setup'!$K$6,".",IF(A6919=".",1,A6919+1))</f>
        <v>.</v>
      </c>
      <c r="B6920" s="244" t="str">
        <f t="shared" si="108"/>
        <v/>
      </c>
    </row>
    <row r="6921" spans="1:2" x14ac:dyDescent="0.25">
      <c r="A6921" t="str">
        <f>IF(C6921&amp;G6921&amp;D6921&lt;&gt;'Funnel setup'!$K$3&amp;'Funnel setup'!$K$4&amp;'Funnel setup'!$K$6,".",IF(A6920=".",1,A6920+1))</f>
        <v>.</v>
      </c>
      <c r="B6921" s="244" t="str">
        <f t="shared" si="108"/>
        <v/>
      </c>
    </row>
    <row r="6922" spans="1:2" x14ac:dyDescent="0.25">
      <c r="A6922" t="str">
        <f>IF(C6922&amp;G6922&amp;D6922&lt;&gt;'Funnel setup'!$K$3&amp;'Funnel setup'!$K$4&amp;'Funnel setup'!$K$6,".",IF(A6921=".",1,A6921+1))</f>
        <v>.</v>
      </c>
      <c r="B6922" s="244" t="str">
        <f t="shared" si="108"/>
        <v/>
      </c>
    </row>
    <row r="6923" spans="1:2" x14ac:dyDescent="0.25">
      <c r="A6923" t="str">
        <f>IF(C6923&amp;G6923&amp;D6923&lt;&gt;'Funnel setup'!$K$3&amp;'Funnel setup'!$K$4&amp;'Funnel setup'!$K$6,".",IF(A6922=".",1,A6922+1))</f>
        <v>.</v>
      </c>
      <c r="B6923" s="244" t="str">
        <f t="shared" si="108"/>
        <v/>
      </c>
    </row>
    <row r="6924" spans="1:2" x14ac:dyDescent="0.25">
      <c r="A6924" t="str">
        <f>IF(C6924&amp;G6924&amp;D6924&lt;&gt;'Funnel setup'!$K$3&amp;'Funnel setup'!$K$4&amp;'Funnel setup'!$K$6,".",IF(A6923=".",1,A6923+1))</f>
        <v>.</v>
      </c>
      <c r="B6924" s="244" t="str">
        <f t="shared" si="108"/>
        <v/>
      </c>
    </row>
    <row r="6925" spans="1:2" x14ac:dyDescent="0.25">
      <c r="A6925" t="str">
        <f>IF(C6925&amp;G6925&amp;D6925&lt;&gt;'Funnel setup'!$K$3&amp;'Funnel setup'!$K$4&amp;'Funnel setup'!$K$6,".",IF(A6924=".",1,A6924+1))</f>
        <v>.</v>
      </c>
      <c r="B6925" s="244" t="str">
        <f t="shared" si="108"/>
        <v/>
      </c>
    </row>
    <row r="6926" spans="1:2" x14ac:dyDescent="0.25">
      <c r="A6926" t="str">
        <f>IF(C6926&amp;G6926&amp;D6926&lt;&gt;'Funnel setup'!$K$3&amp;'Funnel setup'!$K$4&amp;'Funnel setup'!$K$6,".",IF(A6925=".",1,A6925+1))</f>
        <v>.</v>
      </c>
      <c r="B6926" s="244" t="str">
        <f t="shared" si="108"/>
        <v/>
      </c>
    </row>
    <row r="6927" spans="1:2" x14ac:dyDescent="0.25">
      <c r="A6927" t="str">
        <f>IF(C6927&amp;G6927&amp;D6927&lt;&gt;'Funnel setup'!$K$3&amp;'Funnel setup'!$K$4&amp;'Funnel setup'!$K$6,".",IF(A6926=".",1,A6926+1))</f>
        <v>.</v>
      </c>
      <c r="B6927" s="244" t="str">
        <f t="shared" si="108"/>
        <v/>
      </c>
    </row>
    <row r="6928" spans="1:2" x14ac:dyDescent="0.25">
      <c r="A6928" t="str">
        <f>IF(C6928&amp;G6928&amp;D6928&lt;&gt;'Funnel setup'!$K$3&amp;'Funnel setup'!$K$4&amp;'Funnel setup'!$K$6,".",IF(A6927=".",1,A6927+1))</f>
        <v>.</v>
      </c>
      <c r="B6928" s="244" t="str">
        <f t="shared" si="108"/>
        <v/>
      </c>
    </row>
    <row r="6929" spans="1:2" x14ac:dyDescent="0.25">
      <c r="A6929" t="str">
        <f>IF(C6929&amp;G6929&amp;D6929&lt;&gt;'Funnel setup'!$K$3&amp;'Funnel setup'!$K$4&amp;'Funnel setup'!$K$6,".",IF(A6928=".",1,A6928+1))</f>
        <v>.</v>
      </c>
      <c r="B6929" s="244" t="str">
        <f t="shared" si="108"/>
        <v/>
      </c>
    </row>
    <row r="6930" spans="1:2" x14ac:dyDescent="0.25">
      <c r="A6930" t="str">
        <f>IF(C6930&amp;G6930&amp;D6930&lt;&gt;'Funnel setup'!$K$3&amp;'Funnel setup'!$K$4&amp;'Funnel setup'!$K$6,".",IF(A6929=".",1,A6929+1))</f>
        <v>.</v>
      </c>
      <c r="B6930" s="244" t="str">
        <f t="shared" si="108"/>
        <v/>
      </c>
    </row>
    <row r="6931" spans="1:2" x14ac:dyDescent="0.25">
      <c r="A6931" t="str">
        <f>IF(C6931&amp;G6931&amp;D6931&lt;&gt;'Funnel setup'!$K$3&amp;'Funnel setup'!$K$4&amp;'Funnel setup'!$K$6,".",IF(A6930=".",1,A6930+1))</f>
        <v>.</v>
      </c>
      <c r="B6931" s="244" t="str">
        <f t="shared" si="108"/>
        <v/>
      </c>
    </row>
    <row r="6932" spans="1:2" x14ac:dyDescent="0.25">
      <c r="A6932" t="str">
        <f>IF(C6932&amp;G6932&amp;D6932&lt;&gt;'Funnel setup'!$K$3&amp;'Funnel setup'!$K$4&amp;'Funnel setup'!$K$6,".",IF(A6931=".",1,A6931+1))</f>
        <v>.</v>
      </c>
      <c r="B6932" s="244" t="str">
        <f t="shared" si="108"/>
        <v/>
      </c>
    </row>
    <row r="6933" spans="1:2" x14ac:dyDescent="0.25">
      <c r="A6933" t="str">
        <f>IF(C6933&amp;G6933&amp;D6933&lt;&gt;'Funnel setup'!$K$3&amp;'Funnel setup'!$K$4&amp;'Funnel setup'!$K$6,".",IF(A6932=".",1,A6932+1))</f>
        <v>.</v>
      </c>
      <c r="B6933" s="244" t="str">
        <f t="shared" si="108"/>
        <v/>
      </c>
    </row>
    <row r="6934" spans="1:2" x14ac:dyDescent="0.25">
      <c r="A6934" t="str">
        <f>IF(C6934&amp;G6934&amp;D6934&lt;&gt;'Funnel setup'!$K$3&amp;'Funnel setup'!$K$4&amp;'Funnel setup'!$K$6,".",IF(A6933=".",1,A6933+1))</f>
        <v>.</v>
      </c>
      <c r="B6934" s="244" t="str">
        <f t="shared" si="108"/>
        <v/>
      </c>
    </row>
    <row r="6935" spans="1:2" x14ac:dyDescent="0.25">
      <c r="A6935" t="str">
        <f>IF(C6935&amp;G6935&amp;D6935&lt;&gt;'Funnel setup'!$K$3&amp;'Funnel setup'!$K$4&amp;'Funnel setup'!$K$6,".",IF(A6934=".",1,A6934+1))</f>
        <v>.</v>
      </c>
      <c r="B6935" s="244" t="str">
        <f t="shared" si="108"/>
        <v/>
      </c>
    </row>
    <row r="6936" spans="1:2" x14ac:dyDescent="0.25">
      <c r="A6936" t="str">
        <f>IF(C6936&amp;G6936&amp;D6936&lt;&gt;'Funnel setup'!$K$3&amp;'Funnel setup'!$K$4&amp;'Funnel setup'!$K$6,".",IF(A6935=".",1,A6935+1))</f>
        <v>.</v>
      </c>
      <c r="B6936" s="244" t="str">
        <f t="shared" si="108"/>
        <v/>
      </c>
    </row>
    <row r="6937" spans="1:2" x14ac:dyDescent="0.25">
      <c r="A6937" t="str">
        <f>IF(C6937&amp;G6937&amp;D6937&lt;&gt;'Funnel setup'!$K$3&amp;'Funnel setup'!$K$4&amp;'Funnel setup'!$K$6,".",IF(A6936=".",1,A6936+1))</f>
        <v>.</v>
      </c>
      <c r="B6937" s="244" t="str">
        <f t="shared" si="108"/>
        <v/>
      </c>
    </row>
    <row r="6938" spans="1:2" x14ac:dyDescent="0.25">
      <c r="A6938" t="str">
        <f>IF(C6938&amp;G6938&amp;D6938&lt;&gt;'Funnel setup'!$K$3&amp;'Funnel setup'!$K$4&amp;'Funnel setup'!$K$6,".",IF(A6937=".",1,A6937+1))</f>
        <v>.</v>
      </c>
      <c r="B6938" s="244" t="str">
        <f t="shared" si="108"/>
        <v/>
      </c>
    </row>
    <row r="6939" spans="1:2" x14ac:dyDescent="0.25">
      <c r="A6939" t="str">
        <f>IF(C6939&amp;G6939&amp;D6939&lt;&gt;'Funnel setup'!$K$3&amp;'Funnel setup'!$K$4&amp;'Funnel setup'!$K$6,".",IF(A6938=".",1,A6938+1))</f>
        <v>.</v>
      </c>
      <c r="B6939" s="244" t="str">
        <f t="shared" si="108"/>
        <v/>
      </c>
    </row>
    <row r="6940" spans="1:2" x14ac:dyDescent="0.25">
      <c r="A6940" t="str">
        <f>IF(C6940&amp;G6940&amp;D6940&lt;&gt;'Funnel setup'!$K$3&amp;'Funnel setup'!$K$4&amp;'Funnel setup'!$K$6,".",IF(A6939=".",1,A6939+1))</f>
        <v>.</v>
      </c>
      <c r="B6940" s="244" t="str">
        <f t="shared" si="108"/>
        <v/>
      </c>
    </row>
    <row r="6941" spans="1:2" x14ac:dyDescent="0.25">
      <c r="A6941" t="str">
        <f>IF(C6941&amp;G6941&amp;D6941&lt;&gt;'Funnel setup'!$K$3&amp;'Funnel setup'!$K$4&amp;'Funnel setup'!$K$6,".",IF(A6940=".",1,A6940+1))</f>
        <v>.</v>
      </c>
      <c r="B6941" s="244" t="str">
        <f t="shared" si="108"/>
        <v/>
      </c>
    </row>
    <row r="6942" spans="1:2" x14ac:dyDescent="0.25">
      <c r="A6942" t="str">
        <f>IF(C6942&amp;G6942&amp;D6942&lt;&gt;'Funnel setup'!$K$3&amp;'Funnel setup'!$K$4&amp;'Funnel setup'!$K$6,".",IF(A6941=".",1,A6941+1))</f>
        <v>.</v>
      </c>
      <c r="B6942" s="244" t="str">
        <f t="shared" si="108"/>
        <v/>
      </c>
    </row>
    <row r="6943" spans="1:2" x14ac:dyDescent="0.25">
      <c r="A6943" t="str">
        <f>IF(C6943&amp;G6943&amp;D6943&lt;&gt;'Funnel setup'!$K$3&amp;'Funnel setup'!$K$4&amp;'Funnel setup'!$K$6,".",IF(A6942=".",1,A6942+1))</f>
        <v>.</v>
      </c>
      <c r="B6943" s="244" t="str">
        <f t="shared" si="108"/>
        <v/>
      </c>
    </row>
    <row r="6944" spans="1:2" x14ac:dyDescent="0.25">
      <c r="A6944" t="str">
        <f>IF(C6944&amp;G6944&amp;D6944&lt;&gt;'Funnel setup'!$K$3&amp;'Funnel setup'!$K$4&amp;'Funnel setup'!$K$6,".",IF(A6943=".",1,A6943+1))</f>
        <v>.</v>
      </c>
      <c r="B6944" s="244" t="str">
        <f t="shared" si="108"/>
        <v/>
      </c>
    </row>
    <row r="6945" spans="1:2" x14ac:dyDescent="0.25">
      <c r="A6945" t="str">
        <f>IF(C6945&amp;G6945&amp;D6945&lt;&gt;'Funnel setup'!$K$3&amp;'Funnel setup'!$K$4&amp;'Funnel setup'!$K$6,".",IF(A6944=".",1,A6944+1))</f>
        <v>.</v>
      </c>
      <c r="B6945" s="244" t="str">
        <f t="shared" si="108"/>
        <v/>
      </c>
    </row>
    <row r="6946" spans="1:2" x14ac:dyDescent="0.25">
      <c r="A6946" t="str">
        <f>IF(C6946&amp;G6946&amp;D6946&lt;&gt;'Funnel setup'!$K$3&amp;'Funnel setup'!$K$4&amp;'Funnel setup'!$K$6,".",IF(A6945=".",1,A6945+1))</f>
        <v>.</v>
      </c>
      <c r="B6946" s="244" t="str">
        <f t="shared" si="108"/>
        <v/>
      </c>
    </row>
    <row r="6947" spans="1:2" x14ac:dyDescent="0.25">
      <c r="A6947" t="str">
        <f>IF(C6947&amp;G6947&amp;D6947&lt;&gt;'Funnel setup'!$K$3&amp;'Funnel setup'!$K$4&amp;'Funnel setup'!$K$6,".",IF(A6946=".",1,A6946+1))</f>
        <v>.</v>
      </c>
      <c r="B6947" s="244" t="str">
        <f t="shared" si="108"/>
        <v/>
      </c>
    </row>
    <row r="6948" spans="1:2" x14ac:dyDescent="0.25">
      <c r="A6948" t="str">
        <f>IF(C6948&amp;G6948&amp;D6948&lt;&gt;'Funnel setup'!$K$3&amp;'Funnel setup'!$K$4&amp;'Funnel setup'!$K$6,".",IF(A6947=".",1,A6947+1))</f>
        <v>.</v>
      </c>
      <c r="B6948" s="244" t="str">
        <f t="shared" si="108"/>
        <v/>
      </c>
    </row>
    <row r="6949" spans="1:2" x14ac:dyDescent="0.25">
      <c r="A6949" t="str">
        <f>IF(C6949&amp;G6949&amp;D6949&lt;&gt;'Funnel setup'!$K$3&amp;'Funnel setup'!$K$4&amp;'Funnel setup'!$K$6,".",IF(A6948=".",1,A6948+1))</f>
        <v>.</v>
      </c>
      <c r="B6949" s="244" t="str">
        <f t="shared" si="108"/>
        <v/>
      </c>
    </row>
    <row r="6950" spans="1:2" x14ac:dyDescent="0.25">
      <c r="A6950" t="str">
        <f>IF(C6950&amp;G6950&amp;D6950&lt;&gt;'Funnel setup'!$K$3&amp;'Funnel setup'!$K$4&amp;'Funnel setup'!$K$6,".",IF(A6949=".",1,A6949+1))</f>
        <v>.</v>
      </c>
      <c r="B6950" s="244" t="str">
        <f t="shared" si="108"/>
        <v/>
      </c>
    </row>
    <row r="6951" spans="1:2" x14ac:dyDescent="0.25">
      <c r="A6951" t="str">
        <f>IF(C6951&amp;G6951&amp;D6951&lt;&gt;'Funnel setup'!$K$3&amp;'Funnel setup'!$K$4&amp;'Funnel setup'!$K$6,".",IF(A6950=".",1,A6950+1))</f>
        <v>.</v>
      </c>
      <c r="B6951" s="244" t="str">
        <f t="shared" si="108"/>
        <v/>
      </c>
    </row>
    <row r="6952" spans="1:2" x14ac:dyDescent="0.25">
      <c r="A6952" t="str">
        <f>IF(C6952&amp;G6952&amp;D6952&lt;&gt;'Funnel setup'!$K$3&amp;'Funnel setup'!$K$4&amp;'Funnel setup'!$K$6,".",IF(A6951=".",1,A6951+1))</f>
        <v>.</v>
      </c>
      <c r="B6952" s="244" t="str">
        <f t="shared" si="108"/>
        <v/>
      </c>
    </row>
    <row r="6953" spans="1:2" x14ac:dyDescent="0.25">
      <c r="A6953" t="str">
        <f>IF(C6953&amp;G6953&amp;D6953&lt;&gt;'Funnel setup'!$K$3&amp;'Funnel setup'!$K$4&amp;'Funnel setup'!$K$6,".",IF(A6952=".",1,A6952+1))</f>
        <v>.</v>
      </c>
      <c r="B6953" s="244" t="str">
        <f t="shared" si="108"/>
        <v/>
      </c>
    </row>
    <row r="6954" spans="1:2" x14ac:dyDescent="0.25">
      <c r="A6954" t="str">
        <f>IF(C6954&amp;G6954&amp;D6954&lt;&gt;'Funnel setup'!$K$3&amp;'Funnel setup'!$K$4&amp;'Funnel setup'!$K$6,".",IF(A6953=".",1,A6953+1))</f>
        <v>.</v>
      </c>
      <c r="B6954" s="244" t="str">
        <f t="shared" si="108"/>
        <v/>
      </c>
    </row>
    <row r="6955" spans="1:2" x14ac:dyDescent="0.25">
      <c r="A6955" t="str">
        <f>IF(C6955&amp;G6955&amp;D6955&lt;&gt;'Funnel setup'!$K$3&amp;'Funnel setup'!$K$4&amp;'Funnel setup'!$K$6,".",IF(A6954=".",1,A6954+1))</f>
        <v>.</v>
      </c>
      <c r="B6955" s="244" t="str">
        <f t="shared" si="108"/>
        <v/>
      </c>
    </row>
    <row r="6956" spans="1:2" x14ac:dyDescent="0.25">
      <c r="A6956" t="str">
        <f>IF(C6956&amp;G6956&amp;D6956&lt;&gt;'Funnel setup'!$K$3&amp;'Funnel setup'!$K$4&amp;'Funnel setup'!$K$6,".",IF(A6955=".",1,A6955+1))</f>
        <v>.</v>
      </c>
      <c r="B6956" s="244" t="str">
        <f t="shared" si="108"/>
        <v/>
      </c>
    </row>
    <row r="6957" spans="1:2" x14ac:dyDescent="0.25">
      <c r="A6957" t="str">
        <f>IF(C6957&amp;G6957&amp;D6957&lt;&gt;'Funnel setup'!$K$3&amp;'Funnel setup'!$K$4&amp;'Funnel setup'!$K$6,".",IF(A6956=".",1,A6956+1))</f>
        <v>.</v>
      </c>
      <c r="B6957" s="244" t="str">
        <f t="shared" si="108"/>
        <v/>
      </c>
    </row>
    <row r="6958" spans="1:2" x14ac:dyDescent="0.25">
      <c r="A6958" t="str">
        <f>IF(C6958&amp;G6958&amp;D6958&lt;&gt;'Funnel setup'!$K$3&amp;'Funnel setup'!$K$4&amp;'Funnel setup'!$K$6,".",IF(A6957=".",1,A6957+1))</f>
        <v>.</v>
      </c>
      <c r="B6958" s="244" t="str">
        <f t="shared" si="108"/>
        <v/>
      </c>
    </row>
    <row r="6959" spans="1:2" x14ac:dyDescent="0.25">
      <c r="A6959" t="str">
        <f>IF(C6959&amp;G6959&amp;D6959&lt;&gt;'Funnel setup'!$K$3&amp;'Funnel setup'!$K$4&amp;'Funnel setup'!$K$6,".",IF(A6958=".",1,A6958+1))</f>
        <v>.</v>
      </c>
      <c r="B6959" s="244" t="str">
        <f t="shared" si="108"/>
        <v/>
      </c>
    </row>
    <row r="6960" spans="1:2" x14ac:dyDescent="0.25">
      <c r="A6960" t="str">
        <f>IF(C6960&amp;G6960&amp;D6960&lt;&gt;'Funnel setup'!$K$3&amp;'Funnel setup'!$K$4&amp;'Funnel setup'!$K$6,".",IF(A6959=".",1,A6959+1))</f>
        <v>.</v>
      </c>
      <c r="B6960" s="244" t="str">
        <f t="shared" si="108"/>
        <v/>
      </c>
    </row>
    <row r="6961" spans="1:2" x14ac:dyDescent="0.25">
      <c r="A6961" t="str">
        <f>IF(C6961&amp;G6961&amp;D6961&lt;&gt;'Funnel setup'!$K$3&amp;'Funnel setup'!$K$4&amp;'Funnel setup'!$K$6,".",IF(A6960=".",1,A6960+1))</f>
        <v>.</v>
      </c>
      <c r="B6961" s="244" t="str">
        <f t="shared" si="108"/>
        <v/>
      </c>
    </row>
    <row r="6962" spans="1:2" x14ac:dyDescent="0.25">
      <c r="A6962" t="str">
        <f>IF(C6962&amp;G6962&amp;D6962&lt;&gt;'Funnel setup'!$K$3&amp;'Funnel setup'!$K$4&amp;'Funnel setup'!$K$6,".",IF(A6961=".",1,A6961+1))</f>
        <v>.</v>
      </c>
      <c r="B6962" s="244" t="str">
        <f t="shared" si="108"/>
        <v/>
      </c>
    </row>
    <row r="6963" spans="1:2" x14ac:dyDescent="0.25">
      <c r="A6963" t="str">
        <f>IF(C6963&amp;G6963&amp;D6963&lt;&gt;'Funnel setup'!$K$3&amp;'Funnel setup'!$K$4&amp;'Funnel setup'!$K$6,".",IF(A6962=".",1,A6962+1))</f>
        <v>.</v>
      </c>
      <c r="B6963" s="244" t="str">
        <f t="shared" si="108"/>
        <v/>
      </c>
    </row>
    <row r="6964" spans="1:2" x14ac:dyDescent="0.25">
      <c r="A6964" t="str">
        <f>IF(C6964&amp;G6964&amp;D6964&lt;&gt;'Funnel setup'!$K$3&amp;'Funnel setup'!$K$4&amp;'Funnel setup'!$K$6,".",IF(A6963=".",1,A6963+1))</f>
        <v>.</v>
      </c>
      <c r="B6964" s="244" t="str">
        <f t="shared" si="108"/>
        <v/>
      </c>
    </row>
    <row r="6965" spans="1:2" x14ac:dyDescent="0.25">
      <c r="A6965" t="str">
        <f>IF(C6965&amp;G6965&amp;D6965&lt;&gt;'Funnel setup'!$K$3&amp;'Funnel setup'!$K$4&amp;'Funnel setup'!$K$6,".",IF(A6964=".",1,A6964+1))</f>
        <v>.</v>
      </c>
      <c r="B6965" s="244" t="str">
        <f t="shared" si="108"/>
        <v/>
      </c>
    </row>
    <row r="6966" spans="1:2" x14ac:dyDescent="0.25">
      <c r="A6966" t="str">
        <f>IF(C6966&amp;G6966&amp;D6966&lt;&gt;'Funnel setup'!$K$3&amp;'Funnel setup'!$K$4&amp;'Funnel setup'!$K$6,".",IF(A6965=".",1,A6965+1))</f>
        <v>.</v>
      </c>
      <c r="B6966" s="244" t="str">
        <f t="shared" si="108"/>
        <v/>
      </c>
    </row>
    <row r="6967" spans="1:2" x14ac:dyDescent="0.25">
      <c r="A6967" t="str">
        <f>IF(C6967&amp;G6967&amp;D6967&lt;&gt;'Funnel setup'!$K$3&amp;'Funnel setup'!$K$4&amp;'Funnel setup'!$K$6,".",IF(A6966=".",1,A6966+1))</f>
        <v>.</v>
      </c>
      <c r="B6967" s="244" t="str">
        <f t="shared" si="108"/>
        <v/>
      </c>
    </row>
    <row r="6968" spans="1:2" x14ac:dyDescent="0.25">
      <c r="A6968" t="str">
        <f>IF(C6968&amp;G6968&amp;D6968&lt;&gt;'Funnel setup'!$K$3&amp;'Funnel setup'!$K$4&amp;'Funnel setup'!$K$6,".",IF(A6967=".",1,A6967+1))</f>
        <v>.</v>
      </c>
      <c r="B6968" s="244" t="str">
        <f t="shared" si="108"/>
        <v/>
      </c>
    </row>
    <row r="6969" spans="1:2" x14ac:dyDescent="0.25">
      <c r="A6969" t="str">
        <f>IF(C6969&amp;G6969&amp;D6969&lt;&gt;'Funnel setup'!$K$3&amp;'Funnel setup'!$K$4&amp;'Funnel setup'!$K$6,".",IF(A6968=".",1,A6968+1))</f>
        <v>.</v>
      </c>
      <c r="B6969" s="244" t="str">
        <f t="shared" si="108"/>
        <v/>
      </c>
    </row>
    <row r="6970" spans="1:2" x14ac:dyDescent="0.25">
      <c r="A6970" t="str">
        <f>IF(C6970&amp;G6970&amp;D6970&lt;&gt;'Funnel setup'!$K$3&amp;'Funnel setup'!$K$4&amp;'Funnel setup'!$K$6,".",IF(A6969=".",1,A6969+1))</f>
        <v>.</v>
      </c>
      <c r="B6970" s="244" t="str">
        <f t="shared" si="108"/>
        <v/>
      </c>
    </row>
    <row r="6971" spans="1:2" x14ac:dyDescent="0.25">
      <c r="A6971" t="str">
        <f>IF(C6971&amp;G6971&amp;D6971&lt;&gt;'Funnel setup'!$K$3&amp;'Funnel setup'!$K$4&amp;'Funnel setup'!$K$6,".",IF(A6970=".",1,A6970+1))</f>
        <v>.</v>
      </c>
      <c r="B6971" s="244" t="str">
        <f t="shared" si="108"/>
        <v/>
      </c>
    </row>
    <row r="6972" spans="1:2" x14ac:dyDescent="0.25">
      <c r="A6972" t="str">
        <f>IF(C6972&amp;G6972&amp;D6972&lt;&gt;'Funnel setup'!$K$3&amp;'Funnel setup'!$K$4&amp;'Funnel setup'!$K$6,".",IF(A6971=".",1,A6971+1))</f>
        <v>.</v>
      </c>
      <c r="B6972" s="244" t="str">
        <f t="shared" si="108"/>
        <v/>
      </c>
    </row>
    <row r="6973" spans="1:2" x14ac:dyDescent="0.25">
      <c r="A6973" t="str">
        <f>IF(C6973&amp;G6973&amp;D6973&lt;&gt;'Funnel setup'!$K$3&amp;'Funnel setup'!$K$4&amp;'Funnel setup'!$K$6,".",IF(A6972=".",1,A6972+1))</f>
        <v>.</v>
      </c>
      <c r="B6973" s="244" t="str">
        <f t="shared" si="108"/>
        <v/>
      </c>
    </row>
    <row r="6974" spans="1:2" x14ac:dyDescent="0.25">
      <c r="A6974" t="str">
        <f>IF(C6974&amp;G6974&amp;D6974&lt;&gt;'Funnel setup'!$K$3&amp;'Funnel setup'!$K$4&amp;'Funnel setup'!$K$6,".",IF(A6973=".",1,A6973+1))</f>
        <v>.</v>
      </c>
      <c r="B6974" s="244" t="str">
        <f t="shared" si="108"/>
        <v/>
      </c>
    </row>
    <row r="6975" spans="1:2" x14ac:dyDescent="0.25">
      <c r="A6975" t="str">
        <f>IF(C6975&amp;G6975&amp;D6975&lt;&gt;'Funnel setup'!$K$3&amp;'Funnel setup'!$K$4&amp;'Funnel setup'!$K$6,".",IF(A6974=".",1,A6974+1))</f>
        <v>.</v>
      </c>
      <c r="B6975" s="244" t="str">
        <f t="shared" si="108"/>
        <v/>
      </c>
    </row>
    <row r="6976" spans="1:2" x14ac:dyDescent="0.25">
      <c r="A6976" t="str">
        <f>IF(C6976&amp;G6976&amp;D6976&lt;&gt;'Funnel setup'!$K$3&amp;'Funnel setup'!$K$4&amp;'Funnel setup'!$K$6,".",IF(A6975=".",1,A6975+1))</f>
        <v>.</v>
      </c>
      <c r="B6976" s="244" t="str">
        <f t="shared" si="108"/>
        <v/>
      </c>
    </row>
    <row r="6977" spans="1:2" x14ac:dyDescent="0.25">
      <c r="A6977" t="str">
        <f>IF(C6977&amp;G6977&amp;D6977&lt;&gt;'Funnel setup'!$K$3&amp;'Funnel setup'!$K$4&amp;'Funnel setup'!$K$6,".",IF(A6976=".",1,A6976+1))</f>
        <v>.</v>
      </c>
      <c r="B6977" s="244" t="str">
        <f t="shared" si="108"/>
        <v/>
      </c>
    </row>
    <row r="6978" spans="1:2" x14ac:dyDescent="0.25">
      <c r="A6978" t="str">
        <f>IF(C6978&amp;G6978&amp;D6978&lt;&gt;'Funnel setup'!$K$3&amp;'Funnel setup'!$K$4&amp;'Funnel setup'!$K$6,".",IF(A6977=".",1,A6977+1))</f>
        <v>.</v>
      </c>
      <c r="B6978" s="244" t="str">
        <f t="shared" ref="B6978:B7041" si="109">C6978&amp;D6978&amp;F6978&amp;G6978</f>
        <v/>
      </c>
    </row>
    <row r="6979" spans="1:2" x14ac:dyDescent="0.25">
      <c r="A6979" t="str">
        <f>IF(C6979&amp;G6979&amp;D6979&lt;&gt;'Funnel setup'!$K$3&amp;'Funnel setup'!$K$4&amp;'Funnel setup'!$K$6,".",IF(A6978=".",1,A6978+1))</f>
        <v>.</v>
      </c>
      <c r="B6979" s="244" t="str">
        <f t="shared" si="109"/>
        <v/>
      </c>
    </row>
    <row r="6980" spans="1:2" x14ac:dyDescent="0.25">
      <c r="A6980" t="str">
        <f>IF(C6980&amp;G6980&amp;D6980&lt;&gt;'Funnel setup'!$K$3&amp;'Funnel setup'!$K$4&amp;'Funnel setup'!$K$6,".",IF(A6979=".",1,A6979+1))</f>
        <v>.</v>
      </c>
      <c r="B6980" s="244" t="str">
        <f t="shared" si="109"/>
        <v/>
      </c>
    </row>
    <row r="6981" spans="1:2" x14ac:dyDescent="0.25">
      <c r="A6981" t="str">
        <f>IF(C6981&amp;G6981&amp;D6981&lt;&gt;'Funnel setup'!$K$3&amp;'Funnel setup'!$K$4&amp;'Funnel setup'!$K$6,".",IF(A6980=".",1,A6980+1))</f>
        <v>.</v>
      </c>
      <c r="B6981" s="244" t="str">
        <f t="shared" si="109"/>
        <v/>
      </c>
    </row>
    <row r="6982" spans="1:2" x14ac:dyDescent="0.25">
      <c r="A6982" t="str">
        <f>IF(C6982&amp;G6982&amp;D6982&lt;&gt;'Funnel setup'!$K$3&amp;'Funnel setup'!$K$4&amp;'Funnel setup'!$K$6,".",IF(A6981=".",1,A6981+1))</f>
        <v>.</v>
      </c>
      <c r="B6982" s="244" t="str">
        <f t="shared" si="109"/>
        <v/>
      </c>
    </row>
    <row r="6983" spans="1:2" x14ac:dyDescent="0.25">
      <c r="A6983" t="str">
        <f>IF(C6983&amp;G6983&amp;D6983&lt;&gt;'Funnel setup'!$K$3&amp;'Funnel setup'!$K$4&amp;'Funnel setup'!$K$6,".",IF(A6982=".",1,A6982+1))</f>
        <v>.</v>
      </c>
      <c r="B6983" s="244" t="str">
        <f t="shared" si="109"/>
        <v/>
      </c>
    </row>
    <row r="6984" spans="1:2" x14ac:dyDescent="0.25">
      <c r="A6984" t="str">
        <f>IF(C6984&amp;G6984&amp;D6984&lt;&gt;'Funnel setup'!$K$3&amp;'Funnel setup'!$K$4&amp;'Funnel setup'!$K$6,".",IF(A6983=".",1,A6983+1))</f>
        <v>.</v>
      </c>
      <c r="B6984" s="244" t="str">
        <f t="shared" si="109"/>
        <v/>
      </c>
    </row>
    <row r="6985" spans="1:2" x14ac:dyDescent="0.25">
      <c r="A6985" t="str">
        <f>IF(C6985&amp;G6985&amp;D6985&lt;&gt;'Funnel setup'!$K$3&amp;'Funnel setup'!$K$4&amp;'Funnel setup'!$K$6,".",IF(A6984=".",1,A6984+1))</f>
        <v>.</v>
      </c>
      <c r="B6985" s="244" t="str">
        <f t="shared" si="109"/>
        <v/>
      </c>
    </row>
    <row r="6986" spans="1:2" x14ac:dyDescent="0.25">
      <c r="A6986" t="str">
        <f>IF(C6986&amp;G6986&amp;D6986&lt;&gt;'Funnel setup'!$K$3&amp;'Funnel setup'!$K$4&amp;'Funnel setup'!$K$6,".",IF(A6985=".",1,A6985+1))</f>
        <v>.</v>
      </c>
      <c r="B6986" s="244" t="str">
        <f t="shared" si="109"/>
        <v/>
      </c>
    </row>
    <row r="6987" spans="1:2" x14ac:dyDescent="0.25">
      <c r="A6987" t="str">
        <f>IF(C6987&amp;G6987&amp;D6987&lt;&gt;'Funnel setup'!$K$3&amp;'Funnel setup'!$K$4&amp;'Funnel setup'!$K$6,".",IF(A6986=".",1,A6986+1))</f>
        <v>.</v>
      </c>
      <c r="B6987" s="244" t="str">
        <f t="shared" si="109"/>
        <v/>
      </c>
    </row>
    <row r="6988" spans="1:2" x14ac:dyDescent="0.25">
      <c r="A6988" t="str">
        <f>IF(C6988&amp;G6988&amp;D6988&lt;&gt;'Funnel setup'!$K$3&amp;'Funnel setup'!$K$4&amp;'Funnel setup'!$K$6,".",IF(A6987=".",1,A6987+1))</f>
        <v>.</v>
      </c>
      <c r="B6988" s="244" t="str">
        <f t="shared" si="109"/>
        <v/>
      </c>
    </row>
    <row r="6989" spans="1:2" x14ac:dyDescent="0.25">
      <c r="A6989" t="str">
        <f>IF(C6989&amp;G6989&amp;D6989&lt;&gt;'Funnel setup'!$K$3&amp;'Funnel setup'!$K$4&amp;'Funnel setup'!$K$6,".",IF(A6988=".",1,A6988+1))</f>
        <v>.</v>
      </c>
      <c r="B6989" s="244" t="str">
        <f t="shared" si="109"/>
        <v/>
      </c>
    </row>
    <row r="6990" spans="1:2" x14ac:dyDescent="0.25">
      <c r="A6990" t="str">
        <f>IF(C6990&amp;G6990&amp;D6990&lt;&gt;'Funnel setup'!$K$3&amp;'Funnel setup'!$K$4&amp;'Funnel setup'!$K$6,".",IF(A6989=".",1,A6989+1))</f>
        <v>.</v>
      </c>
      <c r="B6990" s="244" t="str">
        <f t="shared" si="109"/>
        <v/>
      </c>
    </row>
    <row r="6991" spans="1:2" x14ac:dyDescent="0.25">
      <c r="A6991" t="str">
        <f>IF(C6991&amp;G6991&amp;D6991&lt;&gt;'Funnel setup'!$K$3&amp;'Funnel setup'!$K$4&amp;'Funnel setup'!$K$6,".",IF(A6990=".",1,A6990+1))</f>
        <v>.</v>
      </c>
      <c r="B6991" s="244" t="str">
        <f t="shared" si="109"/>
        <v/>
      </c>
    </row>
    <row r="6992" spans="1:2" x14ac:dyDescent="0.25">
      <c r="A6992" t="str">
        <f>IF(C6992&amp;G6992&amp;D6992&lt;&gt;'Funnel setup'!$K$3&amp;'Funnel setup'!$K$4&amp;'Funnel setup'!$K$6,".",IF(A6991=".",1,A6991+1))</f>
        <v>.</v>
      </c>
      <c r="B6992" s="244" t="str">
        <f t="shared" si="109"/>
        <v/>
      </c>
    </row>
    <row r="6993" spans="1:2" x14ac:dyDescent="0.25">
      <c r="A6993" t="str">
        <f>IF(C6993&amp;G6993&amp;D6993&lt;&gt;'Funnel setup'!$K$3&amp;'Funnel setup'!$K$4&amp;'Funnel setup'!$K$6,".",IF(A6992=".",1,A6992+1))</f>
        <v>.</v>
      </c>
      <c r="B6993" s="244" t="str">
        <f t="shared" si="109"/>
        <v/>
      </c>
    </row>
    <row r="6994" spans="1:2" x14ac:dyDescent="0.25">
      <c r="A6994" t="str">
        <f>IF(C6994&amp;G6994&amp;D6994&lt;&gt;'Funnel setup'!$K$3&amp;'Funnel setup'!$K$4&amp;'Funnel setup'!$K$6,".",IF(A6993=".",1,A6993+1))</f>
        <v>.</v>
      </c>
      <c r="B6994" s="244" t="str">
        <f t="shared" si="109"/>
        <v/>
      </c>
    </row>
    <row r="6995" spans="1:2" x14ac:dyDescent="0.25">
      <c r="A6995" t="str">
        <f>IF(C6995&amp;G6995&amp;D6995&lt;&gt;'Funnel setup'!$K$3&amp;'Funnel setup'!$K$4&amp;'Funnel setup'!$K$6,".",IF(A6994=".",1,A6994+1))</f>
        <v>.</v>
      </c>
      <c r="B6995" s="244" t="str">
        <f t="shared" si="109"/>
        <v/>
      </c>
    </row>
    <row r="6996" spans="1:2" x14ac:dyDescent="0.25">
      <c r="A6996" t="str">
        <f>IF(C6996&amp;G6996&amp;D6996&lt;&gt;'Funnel setup'!$K$3&amp;'Funnel setup'!$K$4&amp;'Funnel setup'!$K$6,".",IF(A6995=".",1,A6995+1))</f>
        <v>.</v>
      </c>
      <c r="B6996" s="244" t="str">
        <f t="shared" si="109"/>
        <v/>
      </c>
    </row>
    <row r="6997" spans="1:2" x14ac:dyDescent="0.25">
      <c r="A6997" t="str">
        <f>IF(C6997&amp;G6997&amp;D6997&lt;&gt;'Funnel setup'!$K$3&amp;'Funnel setup'!$K$4&amp;'Funnel setup'!$K$6,".",IF(A6996=".",1,A6996+1))</f>
        <v>.</v>
      </c>
      <c r="B6997" s="244" t="str">
        <f t="shared" si="109"/>
        <v/>
      </c>
    </row>
    <row r="6998" spans="1:2" x14ac:dyDescent="0.25">
      <c r="A6998" t="str">
        <f>IF(C6998&amp;G6998&amp;D6998&lt;&gt;'Funnel setup'!$K$3&amp;'Funnel setup'!$K$4&amp;'Funnel setup'!$K$6,".",IF(A6997=".",1,A6997+1))</f>
        <v>.</v>
      </c>
      <c r="B6998" s="244" t="str">
        <f t="shared" si="109"/>
        <v/>
      </c>
    </row>
    <row r="6999" spans="1:2" x14ac:dyDescent="0.25">
      <c r="A6999" t="str">
        <f>IF(C6999&amp;G6999&amp;D6999&lt;&gt;'Funnel setup'!$K$3&amp;'Funnel setup'!$K$4&amp;'Funnel setup'!$K$6,".",IF(A6998=".",1,A6998+1))</f>
        <v>.</v>
      </c>
      <c r="B6999" s="244" t="str">
        <f t="shared" si="109"/>
        <v/>
      </c>
    </row>
    <row r="7000" spans="1:2" x14ac:dyDescent="0.25">
      <c r="A7000" t="str">
        <f>IF(C7000&amp;G7000&amp;D7000&lt;&gt;'Funnel setup'!$K$3&amp;'Funnel setup'!$K$4&amp;'Funnel setup'!$K$6,".",IF(A6999=".",1,A6999+1))</f>
        <v>.</v>
      </c>
      <c r="B7000" s="244" t="str">
        <f t="shared" si="109"/>
        <v/>
      </c>
    </row>
    <row r="7001" spans="1:2" x14ac:dyDescent="0.25">
      <c r="A7001" t="str">
        <f>IF(C7001&amp;G7001&amp;D7001&lt;&gt;'Funnel setup'!$K$3&amp;'Funnel setup'!$K$4&amp;'Funnel setup'!$K$6,".",IF(A7000=".",1,A7000+1))</f>
        <v>.</v>
      </c>
      <c r="B7001" s="244" t="str">
        <f t="shared" si="109"/>
        <v/>
      </c>
    </row>
    <row r="7002" spans="1:2" x14ac:dyDescent="0.25">
      <c r="A7002" t="str">
        <f>IF(C7002&amp;G7002&amp;D7002&lt;&gt;'Funnel setup'!$K$3&amp;'Funnel setup'!$K$4&amp;'Funnel setup'!$K$6,".",IF(A7001=".",1,A7001+1))</f>
        <v>.</v>
      </c>
      <c r="B7002" s="244" t="str">
        <f t="shared" si="109"/>
        <v/>
      </c>
    </row>
    <row r="7003" spans="1:2" x14ac:dyDescent="0.25">
      <c r="A7003" t="str">
        <f>IF(C7003&amp;G7003&amp;D7003&lt;&gt;'Funnel setup'!$K$3&amp;'Funnel setup'!$K$4&amp;'Funnel setup'!$K$6,".",IF(A7002=".",1,A7002+1))</f>
        <v>.</v>
      </c>
      <c r="B7003" s="244" t="str">
        <f t="shared" si="109"/>
        <v/>
      </c>
    </row>
    <row r="7004" spans="1:2" x14ac:dyDescent="0.25">
      <c r="A7004" t="str">
        <f>IF(C7004&amp;G7004&amp;D7004&lt;&gt;'Funnel setup'!$K$3&amp;'Funnel setup'!$K$4&amp;'Funnel setup'!$K$6,".",IF(A7003=".",1,A7003+1))</f>
        <v>.</v>
      </c>
      <c r="B7004" s="244" t="str">
        <f t="shared" si="109"/>
        <v/>
      </c>
    </row>
    <row r="7005" spans="1:2" x14ac:dyDescent="0.25">
      <c r="A7005" t="str">
        <f>IF(C7005&amp;G7005&amp;D7005&lt;&gt;'Funnel setup'!$K$3&amp;'Funnel setup'!$K$4&amp;'Funnel setup'!$K$6,".",IF(A7004=".",1,A7004+1))</f>
        <v>.</v>
      </c>
      <c r="B7005" s="244" t="str">
        <f t="shared" si="109"/>
        <v/>
      </c>
    </row>
    <row r="7006" spans="1:2" x14ac:dyDescent="0.25">
      <c r="A7006" t="str">
        <f>IF(C7006&amp;G7006&amp;D7006&lt;&gt;'Funnel setup'!$K$3&amp;'Funnel setup'!$K$4&amp;'Funnel setup'!$K$6,".",IF(A7005=".",1,A7005+1))</f>
        <v>.</v>
      </c>
      <c r="B7006" s="244" t="str">
        <f t="shared" si="109"/>
        <v/>
      </c>
    </row>
    <row r="7007" spans="1:2" x14ac:dyDescent="0.25">
      <c r="A7007" t="str">
        <f>IF(C7007&amp;G7007&amp;D7007&lt;&gt;'Funnel setup'!$K$3&amp;'Funnel setup'!$K$4&amp;'Funnel setup'!$K$6,".",IF(A7006=".",1,A7006+1))</f>
        <v>.</v>
      </c>
      <c r="B7007" s="244" t="str">
        <f t="shared" si="109"/>
        <v/>
      </c>
    </row>
    <row r="7008" spans="1:2" x14ac:dyDescent="0.25">
      <c r="A7008" t="str">
        <f>IF(C7008&amp;G7008&amp;D7008&lt;&gt;'Funnel setup'!$K$3&amp;'Funnel setup'!$K$4&amp;'Funnel setup'!$K$6,".",IF(A7007=".",1,A7007+1))</f>
        <v>.</v>
      </c>
      <c r="B7008" s="244" t="str">
        <f t="shared" si="109"/>
        <v/>
      </c>
    </row>
    <row r="7009" spans="1:2" x14ac:dyDescent="0.25">
      <c r="A7009" t="str">
        <f>IF(C7009&amp;G7009&amp;D7009&lt;&gt;'Funnel setup'!$K$3&amp;'Funnel setup'!$K$4&amp;'Funnel setup'!$K$6,".",IF(A7008=".",1,A7008+1))</f>
        <v>.</v>
      </c>
      <c r="B7009" s="244" t="str">
        <f t="shared" si="109"/>
        <v/>
      </c>
    </row>
    <row r="7010" spans="1:2" x14ac:dyDescent="0.25">
      <c r="A7010" t="str">
        <f>IF(C7010&amp;G7010&amp;D7010&lt;&gt;'Funnel setup'!$K$3&amp;'Funnel setup'!$K$4&amp;'Funnel setup'!$K$6,".",IF(A7009=".",1,A7009+1))</f>
        <v>.</v>
      </c>
      <c r="B7010" s="244" t="str">
        <f t="shared" si="109"/>
        <v/>
      </c>
    </row>
    <row r="7011" spans="1:2" x14ac:dyDescent="0.25">
      <c r="A7011" t="str">
        <f>IF(C7011&amp;G7011&amp;D7011&lt;&gt;'Funnel setup'!$K$3&amp;'Funnel setup'!$K$4&amp;'Funnel setup'!$K$6,".",IF(A7010=".",1,A7010+1))</f>
        <v>.</v>
      </c>
      <c r="B7011" s="244" t="str">
        <f t="shared" si="109"/>
        <v/>
      </c>
    </row>
    <row r="7012" spans="1:2" x14ac:dyDescent="0.25">
      <c r="A7012" t="str">
        <f>IF(C7012&amp;G7012&amp;D7012&lt;&gt;'Funnel setup'!$K$3&amp;'Funnel setup'!$K$4&amp;'Funnel setup'!$K$6,".",IF(A7011=".",1,A7011+1))</f>
        <v>.</v>
      </c>
      <c r="B7012" s="244" t="str">
        <f t="shared" si="109"/>
        <v/>
      </c>
    </row>
    <row r="7013" spans="1:2" x14ac:dyDescent="0.25">
      <c r="A7013" t="str">
        <f>IF(C7013&amp;G7013&amp;D7013&lt;&gt;'Funnel setup'!$K$3&amp;'Funnel setup'!$K$4&amp;'Funnel setup'!$K$6,".",IF(A7012=".",1,A7012+1))</f>
        <v>.</v>
      </c>
      <c r="B7013" s="244" t="str">
        <f t="shared" si="109"/>
        <v/>
      </c>
    </row>
    <row r="7014" spans="1:2" x14ac:dyDescent="0.25">
      <c r="A7014" t="str">
        <f>IF(C7014&amp;G7014&amp;D7014&lt;&gt;'Funnel setup'!$K$3&amp;'Funnel setup'!$K$4&amp;'Funnel setup'!$K$6,".",IF(A7013=".",1,A7013+1))</f>
        <v>.</v>
      </c>
      <c r="B7014" s="244" t="str">
        <f t="shared" si="109"/>
        <v/>
      </c>
    </row>
    <row r="7015" spans="1:2" x14ac:dyDescent="0.25">
      <c r="A7015" t="str">
        <f>IF(C7015&amp;G7015&amp;D7015&lt;&gt;'Funnel setup'!$K$3&amp;'Funnel setup'!$K$4&amp;'Funnel setup'!$K$6,".",IF(A7014=".",1,A7014+1))</f>
        <v>.</v>
      </c>
      <c r="B7015" s="244" t="str">
        <f t="shared" si="109"/>
        <v/>
      </c>
    </row>
    <row r="7016" spans="1:2" x14ac:dyDescent="0.25">
      <c r="A7016" t="str">
        <f>IF(C7016&amp;G7016&amp;D7016&lt;&gt;'Funnel setup'!$K$3&amp;'Funnel setup'!$K$4&amp;'Funnel setup'!$K$6,".",IF(A7015=".",1,A7015+1))</f>
        <v>.</v>
      </c>
      <c r="B7016" s="244" t="str">
        <f t="shared" si="109"/>
        <v/>
      </c>
    </row>
    <row r="7017" spans="1:2" x14ac:dyDescent="0.25">
      <c r="A7017" t="str">
        <f>IF(C7017&amp;G7017&amp;D7017&lt;&gt;'Funnel setup'!$K$3&amp;'Funnel setup'!$K$4&amp;'Funnel setup'!$K$6,".",IF(A7016=".",1,A7016+1))</f>
        <v>.</v>
      </c>
      <c r="B7017" s="244" t="str">
        <f t="shared" si="109"/>
        <v/>
      </c>
    </row>
    <row r="7018" spans="1:2" x14ac:dyDescent="0.25">
      <c r="A7018" t="str">
        <f>IF(C7018&amp;G7018&amp;D7018&lt;&gt;'Funnel setup'!$K$3&amp;'Funnel setup'!$K$4&amp;'Funnel setup'!$K$6,".",IF(A7017=".",1,A7017+1))</f>
        <v>.</v>
      </c>
      <c r="B7018" s="244" t="str">
        <f t="shared" si="109"/>
        <v/>
      </c>
    </row>
    <row r="7019" spans="1:2" x14ac:dyDescent="0.25">
      <c r="A7019" t="str">
        <f>IF(C7019&amp;G7019&amp;D7019&lt;&gt;'Funnel setup'!$K$3&amp;'Funnel setup'!$K$4&amp;'Funnel setup'!$K$6,".",IF(A7018=".",1,A7018+1))</f>
        <v>.</v>
      </c>
      <c r="B7019" s="244" t="str">
        <f t="shared" si="109"/>
        <v/>
      </c>
    </row>
    <row r="7020" spans="1:2" x14ac:dyDescent="0.25">
      <c r="A7020" t="str">
        <f>IF(C7020&amp;G7020&amp;D7020&lt;&gt;'Funnel setup'!$K$3&amp;'Funnel setup'!$K$4&amp;'Funnel setup'!$K$6,".",IF(A7019=".",1,A7019+1))</f>
        <v>.</v>
      </c>
      <c r="B7020" s="244" t="str">
        <f t="shared" si="109"/>
        <v/>
      </c>
    </row>
    <row r="7021" spans="1:2" x14ac:dyDescent="0.25">
      <c r="A7021" t="str">
        <f>IF(C7021&amp;G7021&amp;D7021&lt;&gt;'Funnel setup'!$K$3&amp;'Funnel setup'!$K$4&amp;'Funnel setup'!$K$6,".",IF(A7020=".",1,A7020+1))</f>
        <v>.</v>
      </c>
      <c r="B7021" s="244" t="str">
        <f t="shared" si="109"/>
        <v/>
      </c>
    </row>
    <row r="7022" spans="1:2" x14ac:dyDescent="0.25">
      <c r="A7022" t="str">
        <f>IF(C7022&amp;G7022&amp;D7022&lt;&gt;'Funnel setup'!$K$3&amp;'Funnel setup'!$K$4&amp;'Funnel setup'!$K$6,".",IF(A7021=".",1,A7021+1))</f>
        <v>.</v>
      </c>
      <c r="B7022" s="244" t="str">
        <f t="shared" si="109"/>
        <v/>
      </c>
    </row>
    <row r="7023" spans="1:2" x14ac:dyDescent="0.25">
      <c r="A7023" t="str">
        <f>IF(C7023&amp;G7023&amp;D7023&lt;&gt;'Funnel setup'!$K$3&amp;'Funnel setup'!$K$4&amp;'Funnel setup'!$K$6,".",IF(A7022=".",1,A7022+1))</f>
        <v>.</v>
      </c>
      <c r="B7023" s="244" t="str">
        <f t="shared" si="109"/>
        <v/>
      </c>
    </row>
    <row r="7024" spans="1:2" x14ac:dyDescent="0.25">
      <c r="A7024" t="str">
        <f>IF(C7024&amp;G7024&amp;D7024&lt;&gt;'Funnel setup'!$K$3&amp;'Funnel setup'!$K$4&amp;'Funnel setup'!$K$6,".",IF(A7023=".",1,A7023+1))</f>
        <v>.</v>
      </c>
      <c r="B7024" s="244" t="str">
        <f t="shared" si="109"/>
        <v/>
      </c>
    </row>
    <row r="7025" spans="1:2" x14ac:dyDescent="0.25">
      <c r="A7025" t="str">
        <f>IF(C7025&amp;G7025&amp;D7025&lt;&gt;'Funnel setup'!$K$3&amp;'Funnel setup'!$K$4&amp;'Funnel setup'!$K$6,".",IF(A7024=".",1,A7024+1))</f>
        <v>.</v>
      </c>
      <c r="B7025" s="244" t="str">
        <f t="shared" si="109"/>
        <v/>
      </c>
    </row>
    <row r="7026" spans="1:2" x14ac:dyDescent="0.25">
      <c r="A7026" t="str">
        <f>IF(C7026&amp;G7026&amp;D7026&lt;&gt;'Funnel setup'!$K$3&amp;'Funnel setup'!$K$4&amp;'Funnel setup'!$K$6,".",IF(A7025=".",1,A7025+1))</f>
        <v>.</v>
      </c>
      <c r="B7026" s="244" t="str">
        <f t="shared" si="109"/>
        <v/>
      </c>
    </row>
    <row r="7027" spans="1:2" x14ac:dyDescent="0.25">
      <c r="A7027" t="str">
        <f>IF(C7027&amp;G7027&amp;D7027&lt;&gt;'Funnel setup'!$K$3&amp;'Funnel setup'!$K$4&amp;'Funnel setup'!$K$6,".",IF(A7026=".",1,A7026+1))</f>
        <v>.</v>
      </c>
      <c r="B7027" s="244" t="str">
        <f t="shared" si="109"/>
        <v/>
      </c>
    </row>
    <row r="7028" spans="1:2" x14ac:dyDescent="0.25">
      <c r="A7028" t="str">
        <f>IF(C7028&amp;G7028&amp;D7028&lt;&gt;'Funnel setup'!$K$3&amp;'Funnel setup'!$K$4&amp;'Funnel setup'!$K$6,".",IF(A7027=".",1,A7027+1))</f>
        <v>.</v>
      </c>
      <c r="B7028" s="244" t="str">
        <f t="shared" si="109"/>
        <v/>
      </c>
    </row>
    <row r="7029" spans="1:2" x14ac:dyDescent="0.25">
      <c r="A7029" t="str">
        <f>IF(C7029&amp;G7029&amp;D7029&lt;&gt;'Funnel setup'!$K$3&amp;'Funnel setup'!$K$4&amp;'Funnel setup'!$K$6,".",IF(A7028=".",1,A7028+1))</f>
        <v>.</v>
      </c>
      <c r="B7029" s="244" t="str">
        <f t="shared" si="109"/>
        <v/>
      </c>
    </row>
    <row r="7030" spans="1:2" x14ac:dyDescent="0.25">
      <c r="A7030" t="str">
        <f>IF(C7030&amp;G7030&amp;D7030&lt;&gt;'Funnel setup'!$K$3&amp;'Funnel setup'!$K$4&amp;'Funnel setup'!$K$6,".",IF(A7029=".",1,A7029+1))</f>
        <v>.</v>
      </c>
      <c r="B7030" s="244" t="str">
        <f t="shared" si="109"/>
        <v/>
      </c>
    </row>
    <row r="7031" spans="1:2" x14ac:dyDescent="0.25">
      <c r="A7031" t="str">
        <f>IF(C7031&amp;G7031&amp;D7031&lt;&gt;'Funnel setup'!$K$3&amp;'Funnel setup'!$K$4&amp;'Funnel setup'!$K$6,".",IF(A7030=".",1,A7030+1))</f>
        <v>.</v>
      </c>
      <c r="B7031" s="244" t="str">
        <f t="shared" si="109"/>
        <v/>
      </c>
    </row>
    <row r="7032" spans="1:2" x14ac:dyDescent="0.25">
      <c r="A7032" t="str">
        <f>IF(C7032&amp;G7032&amp;D7032&lt;&gt;'Funnel setup'!$K$3&amp;'Funnel setup'!$K$4&amp;'Funnel setup'!$K$6,".",IF(A7031=".",1,A7031+1))</f>
        <v>.</v>
      </c>
      <c r="B7032" s="244" t="str">
        <f t="shared" si="109"/>
        <v/>
      </c>
    </row>
    <row r="7033" spans="1:2" x14ac:dyDescent="0.25">
      <c r="A7033" t="str">
        <f>IF(C7033&amp;G7033&amp;D7033&lt;&gt;'Funnel setup'!$K$3&amp;'Funnel setup'!$K$4&amp;'Funnel setup'!$K$6,".",IF(A7032=".",1,A7032+1))</f>
        <v>.</v>
      </c>
      <c r="B7033" s="244" t="str">
        <f t="shared" si="109"/>
        <v/>
      </c>
    </row>
    <row r="7034" spans="1:2" x14ac:dyDescent="0.25">
      <c r="A7034" t="str">
        <f>IF(C7034&amp;G7034&amp;D7034&lt;&gt;'Funnel setup'!$K$3&amp;'Funnel setup'!$K$4&amp;'Funnel setup'!$K$6,".",IF(A7033=".",1,A7033+1))</f>
        <v>.</v>
      </c>
      <c r="B7034" s="244" t="str">
        <f t="shared" si="109"/>
        <v/>
      </c>
    </row>
    <row r="7035" spans="1:2" x14ac:dyDescent="0.25">
      <c r="A7035" t="str">
        <f>IF(C7035&amp;G7035&amp;D7035&lt;&gt;'Funnel setup'!$K$3&amp;'Funnel setup'!$K$4&amp;'Funnel setup'!$K$6,".",IF(A7034=".",1,A7034+1))</f>
        <v>.</v>
      </c>
      <c r="B7035" s="244" t="str">
        <f t="shared" si="109"/>
        <v/>
      </c>
    </row>
    <row r="7036" spans="1:2" x14ac:dyDescent="0.25">
      <c r="A7036" t="str">
        <f>IF(C7036&amp;G7036&amp;D7036&lt;&gt;'Funnel setup'!$K$3&amp;'Funnel setup'!$K$4&amp;'Funnel setup'!$K$6,".",IF(A7035=".",1,A7035+1))</f>
        <v>.</v>
      </c>
      <c r="B7036" s="244" t="str">
        <f t="shared" si="109"/>
        <v/>
      </c>
    </row>
    <row r="7037" spans="1:2" x14ac:dyDescent="0.25">
      <c r="A7037" t="str">
        <f>IF(C7037&amp;G7037&amp;D7037&lt;&gt;'Funnel setup'!$K$3&amp;'Funnel setup'!$K$4&amp;'Funnel setup'!$K$6,".",IF(A7036=".",1,A7036+1))</f>
        <v>.</v>
      </c>
      <c r="B7037" s="244" t="str">
        <f t="shared" si="109"/>
        <v/>
      </c>
    </row>
    <row r="7038" spans="1:2" x14ac:dyDescent="0.25">
      <c r="A7038" t="str">
        <f>IF(C7038&amp;G7038&amp;D7038&lt;&gt;'Funnel setup'!$K$3&amp;'Funnel setup'!$K$4&amp;'Funnel setup'!$K$6,".",IF(A7037=".",1,A7037+1))</f>
        <v>.</v>
      </c>
      <c r="B7038" s="244" t="str">
        <f t="shared" si="109"/>
        <v/>
      </c>
    </row>
    <row r="7039" spans="1:2" x14ac:dyDescent="0.25">
      <c r="A7039" t="str">
        <f>IF(C7039&amp;G7039&amp;D7039&lt;&gt;'Funnel setup'!$K$3&amp;'Funnel setup'!$K$4&amp;'Funnel setup'!$K$6,".",IF(A7038=".",1,A7038+1))</f>
        <v>.</v>
      </c>
      <c r="B7039" s="244" t="str">
        <f t="shared" si="109"/>
        <v/>
      </c>
    </row>
    <row r="7040" spans="1:2" x14ac:dyDescent="0.25">
      <c r="A7040" t="str">
        <f>IF(C7040&amp;G7040&amp;D7040&lt;&gt;'Funnel setup'!$K$3&amp;'Funnel setup'!$K$4&amp;'Funnel setup'!$K$6,".",IF(A7039=".",1,A7039+1))</f>
        <v>.</v>
      </c>
      <c r="B7040" s="244" t="str">
        <f t="shared" si="109"/>
        <v/>
      </c>
    </row>
    <row r="7041" spans="1:2" x14ac:dyDescent="0.25">
      <c r="A7041" t="str">
        <f>IF(C7041&amp;G7041&amp;D7041&lt;&gt;'Funnel setup'!$K$3&amp;'Funnel setup'!$K$4&amp;'Funnel setup'!$K$6,".",IF(A7040=".",1,A7040+1))</f>
        <v>.</v>
      </c>
      <c r="B7041" s="244" t="str">
        <f t="shared" si="109"/>
        <v/>
      </c>
    </row>
    <row r="7042" spans="1:2" x14ac:dyDescent="0.25">
      <c r="A7042" t="str">
        <f>IF(C7042&amp;G7042&amp;D7042&lt;&gt;'Funnel setup'!$K$3&amp;'Funnel setup'!$K$4&amp;'Funnel setup'!$K$6,".",IF(A7041=".",1,A7041+1))</f>
        <v>.</v>
      </c>
      <c r="B7042" s="244" t="str">
        <f t="shared" ref="B7042:B7105" si="110">C7042&amp;D7042&amp;F7042&amp;G7042</f>
        <v/>
      </c>
    </row>
    <row r="7043" spans="1:2" x14ac:dyDescent="0.25">
      <c r="A7043" t="str">
        <f>IF(C7043&amp;G7043&amp;D7043&lt;&gt;'Funnel setup'!$K$3&amp;'Funnel setup'!$K$4&amp;'Funnel setup'!$K$6,".",IF(A7042=".",1,A7042+1))</f>
        <v>.</v>
      </c>
      <c r="B7043" s="244" t="str">
        <f t="shared" si="110"/>
        <v/>
      </c>
    </row>
    <row r="7044" spans="1:2" x14ac:dyDescent="0.25">
      <c r="A7044" t="str">
        <f>IF(C7044&amp;G7044&amp;D7044&lt;&gt;'Funnel setup'!$K$3&amp;'Funnel setup'!$K$4&amp;'Funnel setup'!$K$6,".",IF(A7043=".",1,A7043+1))</f>
        <v>.</v>
      </c>
      <c r="B7044" s="244" t="str">
        <f t="shared" si="110"/>
        <v/>
      </c>
    </row>
    <row r="7045" spans="1:2" x14ac:dyDescent="0.25">
      <c r="A7045" t="str">
        <f>IF(C7045&amp;G7045&amp;D7045&lt;&gt;'Funnel setup'!$K$3&amp;'Funnel setup'!$K$4&amp;'Funnel setup'!$K$6,".",IF(A7044=".",1,A7044+1))</f>
        <v>.</v>
      </c>
      <c r="B7045" s="244" t="str">
        <f t="shared" si="110"/>
        <v/>
      </c>
    </row>
    <row r="7046" spans="1:2" x14ac:dyDescent="0.25">
      <c r="A7046" t="str">
        <f>IF(C7046&amp;G7046&amp;D7046&lt;&gt;'Funnel setup'!$K$3&amp;'Funnel setup'!$K$4&amp;'Funnel setup'!$K$6,".",IF(A7045=".",1,A7045+1))</f>
        <v>.</v>
      </c>
      <c r="B7046" s="244" t="str">
        <f t="shared" si="110"/>
        <v/>
      </c>
    </row>
    <row r="7047" spans="1:2" x14ac:dyDescent="0.25">
      <c r="A7047" t="str">
        <f>IF(C7047&amp;G7047&amp;D7047&lt;&gt;'Funnel setup'!$K$3&amp;'Funnel setup'!$K$4&amp;'Funnel setup'!$K$6,".",IF(A7046=".",1,A7046+1))</f>
        <v>.</v>
      </c>
      <c r="B7047" s="244" t="str">
        <f t="shared" si="110"/>
        <v/>
      </c>
    </row>
    <row r="7048" spans="1:2" x14ac:dyDescent="0.25">
      <c r="A7048" t="str">
        <f>IF(C7048&amp;G7048&amp;D7048&lt;&gt;'Funnel setup'!$K$3&amp;'Funnel setup'!$K$4&amp;'Funnel setup'!$K$6,".",IF(A7047=".",1,A7047+1))</f>
        <v>.</v>
      </c>
      <c r="B7048" s="244" t="str">
        <f t="shared" si="110"/>
        <v/>
      </c>
    </row>
    <row r="7049" spans="1:2" x14ac:dyDescent="0.25">
      <c r="A7049" t="str">
        <f>IF(C7049&amp;G7049&amp;D7049&lt;&gt;'Funnel setup'!$K$3&amp;'Funnel setup'!$K$4&amp;'Funnel setup'!$K$6,".",IF(A7048=".",1,A7048+1))</f>
        <v>.</v>
      </c>
      <c r="B7049" s="244" t="str">
        <f t="shared" si="110"/>
        <v/>
      </c>
    </row>
    <row r="7050" spans="1:2" x14ac:dyDescent="0.25">
      <c r="A7050" t="str">
        <f>IF(C7050&amp;G7050&amp;D7050&lt;&gt;'Funnel setup'!$K$3&amp;'Funnel setup'!$K$4&amp;'Funnel setup'!$K$6,".",IF(A7049=".",1,A7049+1))</f>
        <v>.</v>
      </c>
      <c r="B7050" s="244" t="str">
        <f t="shared" si="110"/>
        <v/>
      </c>
    </row>
    <row r="7051" spans="1:2" x14ac:dyDescent="0.25">
      <c r="A7051" t="str">
        <f>IF(C7051&amp;G7051&amp;D7051&lt;&gt;'Funnel setup'!$K$3&amp;'Funnel setup'!$K$4&amp;'Funnel setup'!$K$6,".",IF(A7050=".",1,A7050+1))</f>
        <v>.</v>
      </c>
      <c r="B7051" s="244" t="str">
        <f t="shared" si="110"/>
        <v/>
      </c>
    </row>
    <row r="7052" spans="1:2" x14ac:dyDescent="0.25">
      <c r="A7052" t="str">
        <f>IF(C7052&amp;G7052&amp;D7052&lt;&gt;'Funnel setup'!$K$3&amp;'Funnel setup'!$K$4&amp;'Funnel setup'!$K$6,".",IF(A7051=".",1,A7051+1))</f>
        <v>.</v>
      </c>
      <c r="B7052" s="244" t="str">
        <f t="shared" si="110"/>
        <v/>
      </c>
    </row>
    <row r="7053" spans="1:2" x14ac:dyDescent="0.25">
      <c r="A7053" t="str">
        <f>IF(C7053&amp;G7053&amp;D7053&lt;&gt;'Funnel setup'!$K$3&amp;'Funnel setup'!$K$4&amp;'Funnel setup'!$K$6,".",IF(A7052=".",1,A7052+1))</f>
        <v>.</v>
      </c>
      <c r="B7053" s="244" t="str">
        <f t="shared" si="110"/>
        <v/>
      </c>
    </row>
    <row r="7054" spans="1:2" x14ac:dyDescent="0.25">
      <c r="A7054" t="str">
        <f>IF(C7054&amp;G7054&amp;D7054&lt;&gt;'Funnel setup'!$K$3&amp;'Funnel setup'!$K$4&amp;'Funnel setup'!$K$6,".",IF(A7053=".",1,A7053+1))</f>
        <v>.</v>
      </c>
      <c r="B7054" s="244" t="str">
        <f t="shared" si="110"/>
        <v/>
      </c>
    </row>
    <row r="7055" spans="1:2" x14ac:dyDescent="0.25">
      <c r="A7055" t="str">
        <f>IF(C7055&amp;G7055&amp;D7055&lt;&gt;'Funnel setup'!$K$3&amp;'Funnel setup'!$K$4&amp;'Funnel setup'!$K$6,".",IF(A7054=".",1,A7054+1))</f>
        <v>.</v>
      </c>
      <c r="B7055" s="244" t="str">
        <f t="shared" si="110"/>
        <v/>
      </c>
    </row>
    <row r="7056" spans="1:2" x14ac:dyDescent="0.25">
      <c r="A7056" t="str">
        <f>IF(C7056&amp;G7056&amp;D7056&lt;&gt;'Funnel setup'!$K$3&amp;'Funnel setup'!$K$4&amp;'Funnel setup'!$K$6,".",IF(A7055=".",1,A7055+1))</f>
        <v>.</v>
      </c>
      <c r="B7056" s="244" t="str">
        <f t="shared" si="110"/>
        <v/>
      </c>
    </row>
    <row r="7057" spans="1:2" x14ac:dyDescent="0.25">
      <c r="A7057" t="str">
        <f>IF(C7057&amp;G7057&amp;D7057&lt;&gt;'Funnel setup'!$K$3&amp;'Funnel setup'!$K$4&amp;'Funnel setup'!$K$6,".",IF(A7056=".",1,A7056+1))</f>
        <v>.</v>
      </c>
      <c r="B7057" s="244" t="str">
        <f t="shared" si="110"/>
        <v/>
      </c>
    </row>
    <row r="7058" spans="1:2" x14ac:dyDescent="0.25">
      <c r="A7058" t="str">
        <f>IF(C7058&amp;G7058&amp;D7058&lt;&gt;'Funnel setup'!$K$3&amp;'Funnel setup'!$K$4&amp;'Funnel setup'!$K$6,".",IF(A7057=".",1,A7057+1))</f>
        <v>.</v>
      </c>
      <c r="B7058" s="244" t="str">
        <f t="shared" si="110"/>
        <v/>
      </c>
    </row>
    <row r="7059" spans="1:2" x14ac:dyDescent="0.25">
      <c r="A7059" t="str">
        <f>IF(C7059&amp;G7059&amp;D7059&lt;&gt;'Funnel setup'!$K$3&amp;'Funnel setup'!$K$4&amp;'Funnel setup'!$K$6,".",IF(A7058=".",1,A7058+1))</f>
        <v>.</v>
      </c>
      <c r="B7059" s="244" t="str">
        <f t="shared" si="110"/>
        <v/>
      </c>
    </row>
    <row r="7060" spans="1:2" x14ac:dyDescent="0.25">
      <c r="A7060" t="str">
        <f>IF(C7060&amp;G7060&amp;D7060&lt;&gt;'Funnel setup'!$K$3&amp;'Funnel setup'!$K$4&amp;'Funnel setup'!$K$6,".",IF(A7059=".",1,A7059+1))</f>
        <v>.</v>
      </c>
      <c r="B7060" s="244" t="str">
        <f t="shared" si="110"/>
        <v/>
      </c>
    </row>
    <row r="7061" spans="1:2" x14ac:dyDescent="0.25">
      <c r="A7061" t="str">
        <f>IF(C7061&amp;G7061&amp;D7061&lt;&gt;'Funnel setup'!$K$3&amp;'Funnel setup'!$K$4&amp;'Funnel setup'!$K$6,".",IF(A7060=".",1,A7060+1))</f>
        <v>.</v>
      </c>
      <c r="B7061" s="244" t="str">
        <f t="shared" si="110"/>
        <v/>
      </c>
    </row>
    <row r="7062" spans="1:2" x14ac:dyDescent="0.25">
      <c r="A7062" t="str">
        <f>IF(C7062&amp;G7062&amp;D7062&lt;&gt;'Funnel setup'!$K$3&amp;'Funnel setup'!$K$4&amp;'Funnel setup'!$K$6,".",IF(A7061=".",1,A7061+1))</f>
        <v>.</v>
      </c>
      <c r="B7062" s="244" t="str">
        <f t="shared" si="110"/>
        <v/>
      </c>
    </row>
    <row r="7063" spans="1:2" x14ac:dyDescent="0.25">
      <c r="A7063" t="str">
        <f>IF(C7063&amp;G7063&amp;D7063&lt;&gt;'Funnel setup'!$K$3&amp;'Funnel setup'!$K$4&amp;'Funnel setup'!$K$6,".",IF(A7062=".",1,A7062+1))</f>
        <v>.</v>
      </c>
      <c r="B7063" s="244" t="str">
        <f t="shared" si="110"/>
        <v/>
      </c>
    </row>
    <row r="7064" spans="1:2" x14ac:dyDescent="0.25">
      <c r="A7064" t="str">
        <f>IF(C7064&amp;G7064&amp;D7064&lt;&gt;'Funnel setup'!$K$3&amp;'Funnel setup'!$K$4&amp;'Funnel setup'!$K$6,".",IF(A7063=".",1,A7063+1))</f>
        <v>.</v>
      </c>
      <c r="B7064" s="244" t="str">
        <f t="shared" si="110"/>
        <v/>
      </c>
    </row>
    <row r="7065" spans="1:2" x14ac:dyDescent="0.25">
      <c r="A7065" t="str">
        <f>IF(C7065&amp;G7065&amp;D7065&lt;&gt;'Funnel setup'!$K$3&amp;'Funnel setup'!$K$4&amp;'Funnel setup'!$K$6,".",IF(A7064=".",1,A7064+1))</f>
        <v>.</v>
      </c>
      <c r="B7065" s="244" t="str">
        <f t="shared" si="110"/>
        <v/>
      </c>
    </row>
    <row r="7066" spans="1:2" x14ac:dyDescent="0.25">
      <c r="A7066" t="str">
        <f>IF(C7066&amp;G7066&amp;D7066&lt;&gt;'Funnel setup'!$K$3&amp;'Funnel setup'!$K$4&amp;'Funnel setup'!$K$6,".",IF(A7065=".",1,A7065+1))</f>
        <v>.</v>
      </c>
      <c r="B7066" s="244" t="str">
        <f t="shared" si="110"/>
        <v/>
      </c>
    </row>
    <row r="7067" spans="1:2" x14ac:dyDescent="0.25">
      <c r="A7067" t="str">
        <f>IF(C7067&amp;G7067&amp;D7067&lt;&gt;'Funnel setup'!$K$3&amp;'Funnel setup'!$K$4&amp;'Funnel setup'!$K$6,".",IF(A7066=".",1,A7066+1))</f>
        <v>.</v>
      </c>
      <c r="B7067" s="244" t="str">
        <f t="shared" si="110"/>
        <v/>
      </c>
    </row>
    <row r="7068" spans="1:2" x14ac:dyDescent="0.25">
      <c r="A7068" t="str">
        <f>IF(C7068&amp;G7068&amp;D7068&lt;&gt;'Funnel setup'!$K$3&amp;'Funnel setup'!$K$4&amp;'Funnel setup'!$K$6,".",IF(A7067=".",1,A7067+1))</f>
        <v>.</v>
      </c>
      <c r="B7068" s="244" t="str">
        <f t="shared" si="110"/>
        <v/>
      </c>
    </row>
    <row r="7069" spans="1:2" x14ac:dyDescent="0.25">
      <c r="A7069" t="str">
        <f>IF(C7069&amp;G7069&amp;D7069&lt;&gt;'Funnel setup'!$K$3&amp;'Funnel setup'!$K$4&amp;'Funnel setup'!$K$6,".",IF(A7068=".",1,A7068+1))</f>
        <v>.</v>
      </c>
      <c r="B7069" s="244" t="str">
        <f t="shared" si="110"/>
        <v/>
      </c>
    </row>
    <row r="7070" spans="1:2" x14ac:dyDescent="0.25">
      <c r="A7070" t="str">
        <f>IF(C7070&amp;G7070&amp;D7070&lt;&gt;'Funnel setup'!$K$3&amp;'Funnel setup'!$K$4&amp;'Funnel setup'!$K$6,".",IF(A7069=".",1,A7069+1))</f>
        <v>.</v>
      </c>
      <c r="B7070" s="244" t="str">
        <f t="shared" si="110"/>
        <v/>
      </c>
    </row>
    <row r="7071" spans="1:2" x14ac:dyDescent="0.25">
      <c r="A7071" t="str">
        <f>IF(C7071&amp;G7071&amp;D7071&lt;&gt;'Funnel setup'!$K$3&amp;'Funnel setup'!$K$4&amp;'Funnel setup'!$K$6,".",IF(A7070=".",1,A7070+1))</f>
        <v>.</v>
      </c>
      <c r="B7071" s="244" t="str">
        <f t="shared" si="110"/>
        <v/>
      </c>
    </row>
    <row r="7072" spans="1:2" x14ac:dyDescent="0.25">
      <c r="A7072" t="str">
        <f>IF(C7072&amp;G7072&amp;D7072&lt;&gt;'Funnel setup'!$K$3&amp;'Funnel setup'!$K$4&amp;'Funnel setup'!$K$6,".",IF(A7071=".",1,A7071+1))</f>
        <v>.</v>
      </c>
      <c r="B7072" s="244" t="str">
        <f t="shared" si="110"/>
        <v/>
      </c>
    </row>
    <row r="7073" spans="1:2" x14ac:dyDescent="0.25">
      <c r="A7073" t="str">
        <f>IF(C7073&amp;G7073&amp;D7073&lt;&gt;'Funnel setup'!$K$3&amp;'Funnel setup'!$K$4&amp;'Funnel setup'!$K$6,".",IF(A7072=".",1,A7072+1))</f>
        <v>.</v>
      </c>
      <c r="B7073" s="244" t="str">
        <f t="shared" si="110"/>
        <v/>
      </c>
    </row>
    <row r="7074" spans="1:2" x14ac:dyDescent="0.25">
      <c r="A7074" t="str">
        <f>IF(C7074&amp;G7074&amp;D7074&lt;&gt;'Funnel setup'!$K$3&amp;'Funnel setup'!$K$4&amp;'Funnel setup'!$K$6,".",IF(A7073=".",1,A7073+1))</f>
        <v>.</v>
      </c>
      <c r="B7074" s="244" t="str">
        <f t="shared" si="110"/>
        <v/>
      </c>
    </row>
    <row r="7075" spans="1:2" x14ac:dyDescent="0.25">
      <c r="A7075" t="str">
        <f>IF(C7075&amp;G7075&amp;D7075&lt;&gt;'Funnel setup'!$K$3&amp;'Funnel setup'!$K$4&amp;'Funnel setup'!$K$6,".",IF(A7074=".",1,A7074+1))</f>
        <v>.</v>
      </c>
      <c r="B7075" s="244" t="str">
        <f t="shared" si="110"/>
        <v/>
      </c>
    </row>
    <row r="7076" spans="1:2" x14ac:dyDescent="0.25">
      <c r="A7076" t="str">
        <f>IF(C7076&amp;G7076&amp;D7076&lt;&gt;'Funnel setup'!$K$3&amp;'Funnel setup'!$K$4&amp;'Funnel setup'!$K$6,".",IF(A7075=".",1,A7075+1))</f>
        <v>.</v>
      </c>
      <c r="B7076" s="244" t="str">
        <f t="shared" si="110"/>
        <v/>
      </c>
    </row>
    <row r="7077" spans="1:2" x14ac:dyDescent="0.25">
      <c r="A7077" t="str">
        <f>IF(C7077&amp;G7077&amp;D7077&lt;&gt;'Funnel setup'!$K$3&amp;'Funnel setup'!$K$4&amp;'Funnel setup'!$K$6,".",IF(A7076=".",1,A7076+1))</f>
        <v>.</v>
      </c>
      <c r="B7077" s="244" t="str">
        <f t="shared" si="110"/>
        <v/>
      </c>
    </row>
    <row r="7078" spans="1:2" x14ac:dyDescent="0.25">
      <c r="A7078" t="str">
        <f>IF(C7078&amp;G7078&amp;D7078&lt;&gt;'Funnel setup'!$K$3&amp;'Funnel setup'!$K$4&amp;'Funnel setup'!$K$6,".",IF(A7077=".",1,A7077+1))</f>
        <v>.</v>
      </c>
      <c r="B7078" s="244" t="str">
        <f t="shared" si="110"/>
        <v/>
      </c>
    </row>
    <row r="7079" spans="1:2" x14ac:dyDescent="0.25">
      <c r="A7079" t="str">
        <f>IF(C7079&amp;G7079&amp;D7079&lt;&gt;'Funnel setup'!$K$3&amp;'Funnel setup'!$K$4&amp;'Funnel setup'!$K$6,".",IF(A7078=".",1,A7078+1))</f>
        <v>.</v>
      </c>
      <c r="B7079" s="244" t="str">
        <f t="shared" si="110"/>
        <v/>
      </c>
    </row>
    <row r="7080" spans="1:2" x14ac:dyDescent="0.25">
      <c r="A7080" t="str">
        <f>IF(C7080&amp;G7080&amp;D7080&lt;&gt;'Funnel setup'!$K$3&amp;'Funnel setup'!$K$4&amp;'Funnel setup'!$K$6,".",IF(A7079=".",1,A7079+1))</f>
        <v>.</v>
      </c>
      <c r="B7080" s="244" t="str">
        <f t="shared" si="110"/>
        <v/>
      </c>
    </row>
    <row r="7081" spans="1:2" x14ac:dyDescent="0.25">
      <c r="A7081" t="str">
        <f>IF(C7081&amp;G7081&amp;D7081&lt;&gt;'Funnel setup'!$K$3&amp;'Funnel setup'!$K$4&amp;'Funnel setup'!$K$6,".",IF(A7080=".",1,A7080+1))</f>
        <v>.</v>
      </c>
      <c r="B7081" s="244" t="str">
        <f t="shared" si="110"/>
        <v/>
      </c>
    </row>
    <row r="7082" spans="1:2" x14ac:dyDescent="0.25">
      <c r="A7082" t="str">
        <f>IF(C7082&amp;G7082&amp;D7082&lt;&gt;'Funnel setup'!$K$3&amp;'Funnel setup'!$K$4&amp;'Funnel setup'!$K$6,".",IF(A7081=".",1,A7081+1))</f>
        <v>.</v>
      </c>
      <c r="B7082" s="244" t="str">
        <f t="shared" si="110"/>
        <v/>
      </c>
    </row>
    <row r="7083" spans="1:2" x14ac:dyDescent="0.25">
      <c r="A7083" t="str">
        <f>IF(C7083&amp;G7083&amp;D7083&lt;&gt;'Funnel setup'!$K$3&amp;'Funnel setup'!$K$4&amp;'Funnel setup'!$K$6,".",IF(A7082=".",1,A7082+1))</f>
        <v>.</v>
      </c>
      <c r="B7083" s="244" t="str">
        <f t="shared" si="110"/>
        <v/>
      </c>
    </row>
    <row r="7084" spans="1:2" x14ac:dyDescent="0.25">
      <c r="A7084" t="str">
        <f>IF(C7084&amp;G7084&amp;D7084&lt;&gt;'Funnel setup'!$K$3&amp;'Funnel setup'!$K$4&amp;'Funnel setup'!$K$6,".",IF(A7083=".",1,A7083+1))</f>
        <v>.</v>
      </c>
      <c r="B7084" s="244" t="str">
        <f t="shared" si="110"/>
        <v/>
      </c>
    </row>
    <row r="7085" spans="1:2" x14ac:dyDescent="0.25">
      <c r="A7085" t="str">
        <f>IF(C7085&amp;G7085&amp;D7085&lt;&gt;'Funnel setup'!$K$3&amp;'Funnel setup'!$K$4&amp;'Funnel setup'!$K$6,".",IF(A7084=".",1,A7084+1))</f>
        <v>.</v>
      </c>
      <c r="B7085" s="244" t="str">
        <f t="shared" si="110"/>
        <v/>
      </c>
    </row>
    <row r="7086" spans="1:2" x14ac:dyDescent="0.25">
      <c r="A7086" t="str">
        <f>IF(C7086&amp;G7086&amp;D7086&lt;&gt;'Funnel setup'!$K$3&amp;'Funnel setup'!$K$4&amp;'Funnel setup'!$K$6,".",IF(A7085=".",1,A7085+1))</f>
        <v>.</v>
      </c>
      <c r="B7086" s="244" t="str">
        <f t="shared" si="110"/>
        <v/>
      </c>
    </row>
    <row r="7087" spans="1:2" x14ac:dyDescent="0.25">
      <c r="A7087" t="str">
        <f>IF(C7087&amp;G7087&amp;D7087&lt;&gt;'Funnel setup'!$K$3&amp;'Funnel setup'!$K$4&amp;'Funnel setup'!$K$6,".",IF(A7086=".",1,A7086+1))</f>
        <v>.</v>
      </c>
      <c r="B7087" s="244" t="str">
        <f t="shared" si="110"/>
        <v/>
      </c>
    </row>
    <row r="7088" spans="1:2" x14ac:dyDescent="0.25">
      <c r="A7088" t="str">
        <f>IF(C7088&amp;G7088&amp;D7088&lt;&gt;'Funnel setup'!$K$3&amp;'Funnel setup'!$K$4&amp;'Funnel setup'!$K$6,".",IF(A7087=".",1,A7087+1))</f>
        <v>.</v>
      </c>
      <c r="B7088" s="244" t="str">
        <f t="shared" si="110"/>
        <v/>
      </c>
    </row>
    <row r="7089" spans="1:2" x14ac:dyDescent="0.25">
      <c r="A7089" t="str">
        <f>IF(C7089&amp;G7089&amp;D7089&lt;&gt;'Funnel setup'!$K$3&amp;'Funnel setup'!$K$4&amp;'Funnel setup'!$K$6,".",IF(A7088=".",1,A7088+1))</f>
        <v>.</v>
      </c>
      <c r="B7089" s="244" t="str">
        <f t="shared" si="110"/>
        <v/>
      </c>
    </row>
    <row r="7090" spans="1:2" x14ac:dyDescent="0.25">
      <c r="A7090" t="str">
        <f>IF(C7090&amp;G7090&amp;D7090&lt;&gt;'Funnel setup'!$K$3&amp;'Funnel setup'!$K$4&amp;'Funnel setup'!$K$6,".",IF(A7089=".",1,A7089+1))</f>
        <v>.</v>
      </c>
      <c r="B7090" s="244" t="str">
        <f t="shared" si="110"/>
        <v/>
      </c>
    </row>
    <row r="7091" spans="1:2" x14ac:dyDescent="0.25">
      <c r="A7091" t="str">
        <f>IF(C7091&amp;G7091&amp;D7091&lt;&gt;'Funnel setup'!$K$3&amp;'Funnel setup'!$K$4&amp;'Funnel setup'!$K$6,".",IF(A7090=".",1,A7090+1))</f>
        <v>.</v>
      </c>
      <c r="B7091" s="244" t="str">
        <f t="shared" si="110"/>
        <v/>
      </c>
    </row>
    <row r="7092" spans="1:2" x14ac:dyDescent="0.25">
      <c r="A7092" t="str">
        <f>IF(C7092&amp;G7092&amp;D7092&lt;&gt;'Funnel setup'!$K$3&amp;'Funnel setup'!$K$4&amp;'Funnel setup'!$K$6,".",IF(A7091=".",1,A7091+1))</f>
        <v>.</v>
      </c>
      <c r="B7092" s="244" t="str">
        <f t="shared" si="110"/>
        <v/>
      </c>
    </row>
    <row r="7093" spans="1:2" x14ac:dyDescent="0.25">
      <c r="A7093" t="str">
        <f>IF(C7093&amp;G7093&amp;D7093&lt;&gt;'Funnel setup'!$K$3&amp;'Funnel setup'!$K$4&amp;'Funnel setup'!$K$6,".",IF(A7092=".",1,A7092+1))</f>
        <v>.</v>
      </c>
      <c r="B7093" s="244" t="str">
        <f t="shared" si="110"/>
        <v/>
      </c>
    </row>
    <row r="7094" spans="1:2" x14ac:dyDescent="0.25">
      <c r="A7094" t="str">
        <f>IF(C7094&amp;G7094&amp;D7094&lt;&gt;'Funnel setup'!$K$3&amp;'Funnel setup'!$K$4&amp;'Funnel setup'!$K$6,".",IF(A7093=".",1,A7093+1))</f>
        <v>.</v>
      </c>
      <c r="B7094" s="244" t="str">
        <f t="shared" si="110"/>
        <v/>
      </c>
    </row>
    <row r="7095" spans="1:2" x14ac:dyDescent="0.25">
      <c r="A7095" t="str">
        <f>IF(C7095&amp;G7095&amp;D7095&lt;&gt;'Funnel setup'!$K$3&amp;'Funnel setup'!$K$4&amp;'Funnel setup'!$K$6,".",IF(A7094=".",1,A7094+1))</f>
        <v>.</v>
      </c>
      <c r="B7095" s="244" t="str">
        <f t="shared" si="110"/>
        <v/>
      </c>
    </row>
    <row r="7096" spans="1:2" x14ac:dyDescent="0.25">
      <c r="A7096" t="str">
        <f>IF(C7096&amp;G7096&amp;D7096&lt;&gt;'Funnel setup'!$K$3&amp;'Funnel setup'!$K$4&amp;'Funnel setup'!$K$6,".",IF(A7095=".",1,A7095+1))</f>
        <v>.</v>
      </c>
      <c r="B7096" s="244" t="str">
        <f t="shared" si="110"/>
        <v/>
      </c>
    </row>
    <row r="7097" spans="1:2" x14ac:dyDescent="0.25">
      <c r="A7097" t="str">
        <f>IF(C7097&amp;G7097&amp;D7097&lt;&gt;'Funnel setup'!$K$3&amp;'Funnel setup'!$K$4&amp;'Funnel setup'!$K$6,".",IF(A7096=".",1,A7096+1))</f>
        <v>.</v>
      </c>
      <c r="B7097" s="244" t="str">
        <f t="shared" si="110"/>
        <v/>
      </c>
    </row>
    <row r="7098" spans="1:2" x14ac:dyDescent="0.25">
      <c r="A7098" t="str">
        <f>IF(C7098&amp;G7098&amp;D7098&lt;&gt;'Funnel setup'!$K$3&amp;'Funnel setup'!$K$4&amp;'Funnel setup'!$K$6,".",IF(A7097=".",1,A7097+1))</f>
        <v>.</v>
      </c>
      <c r="B7098" s="244" t="str">
        <f t="shared" si="110"/>
        <v/>
      </c>
    </row>
    <row r="7099" spans="1:2" x14ac:dyDescent="0.25">
      <c r="A7099" t="str">
        <f>IF(C7099&amp;G7099&amp;D7099&lt;&gt;'Funnel setup'!$K$3&amp;'Funnel setup'!$K$4&amp;'Funnel setup'!$K$6,".",IF(A7098=".",1,A7098+1))</f>
        <v>.</v>
      </c>
      <c r="B7099" s="244" t="str">
        <f t="shared" si="110"/>
        <v/>
      </c>
    </row>
    <row r="7100" spans="1:2" x14ac:dyDescent="0.25">
      <c r="A7100" t="str">
        <f>IF(C7100&amp;G7100&amp;D7100&lt;&gt;'Funnel setup'!$K$3&amp;'Funnel setup'!$K$4&amp;'Funnel setup'!$K$6,".",IF(A7099=".",1,A7099+1))</f>
        <v>.</v>
      </c>
      <c r="B7100" s="244" t="str">
        <f t="shared" si="110"/>
        <v/>
      </c>
    </row>
    <row r="7101" spans="1:2" x14ac:dyDescent="0.25">
      <c r="A7101" t="str">
        <f>IF(C7101&amp;G7101&amp;D7101&lt;&gt;'Funnel setup'!$K$3&amp;'Funnel setup'!$K$4&amp;'Funnel setup'!$K$6,".",IF(A7100=".",1,A7100+1))</f>
        <v>.</v>
      </c>
      <c r="B7101" s="244" t="str">
        <f t="shared" si="110"/>
        <v/>
      </c>
    </row>
    <row r="7102" spans="1:2" x14ac:dyDescent="0.25">
      <c r="A7102" t="str">
        <f>IF(C7102&amp;G7102&amp;D7102&lt;&gt;'Funnel setup'!$K$3&amp;'Funnel setup'!$K$4&amp;'Funnel setup'!$K$6,".",IF(A7101=".",1,A7101+1))</f>
        <v>.</v>
      </c>
      <c r="B7102" s="244" t="str">
        <f t="shared" si="110"/>
        <v/>
      </c>
    </row>
    <row r="7103" spans="1:2" x14ac:dyDescent="0.25">
      <c r="A7103" t="str">
        <f>IF(C7103&amp;G7103&amp;D7103&lt;&gt;'Funnel setup'!$K$3&amp;'Funnel setup'!$K$4&amp;'Funnel setup'!$K$6,".",IF(A7102=".",1,A7102+1))</f>
        <v>.</v>
      </c>
      <c r="B7103" s="244" t="str">
        <f t="shared" si="110"/>
        <v/>
      </c>
    </row>
    <row r="7104" spans="1:2" x14ac:dyDescent="0.25">
      <c r="A7104" t="str">
        <f>IF(C7104&amp;G7104&amp;D7104&lt;&gt;'Funnel setup'!$K$3&amp;'Funnel setup'!$K$4&amp;'Funnel setup'!$K$6,".",IF(A7103=".",1,A7103+1))</f>
        <v>.</v>
      </c>
      <c r="B7104" s="244" t="str">
        <f t="shared" si="110"/>
        <v/>
      </c>
    </row>
    <row r="7105" spans="1:2" x14ac:dyDescent="0.25">
      <c r="A7105" t="str">
        <f>IF(C7105&amp;G7105&amp;D7105&lt;&gt;'Funnel setup'!$K$3&amp;'Funnel setup'!$K$4&amp;'Funnel setup'!$K$6,".",IF(A7104=".",1,A7104+1))</f>
        <v>.</v>
      </c>
      <c r="B7105" s="244" t="str">
        <f t="shared" si="110"/>
        <v/>
      </c>
    </row>
    <row r="7106" spans="1:2" x14ac:dyDescent="0.25">
      <c r="A7106" t="str">
        <f>IF(C7106&amp;G7106&amp;D7106&lt;&gt;'Funnel setup'!$K$3&amp;'Funnel setup'!$K$4&amp;'Funnel setup'!$K$6,".",IF(A7105=".",1,A7105+1))</f>
        <v>.</v>
      </c>
      <c r="B7106" s="244" t="str">
        <f t="shared" ref="B7106:B7169" si="111">C7106&amp;D7106&amp;F7106&amp;G7106</f>
        <v/>
      </c>
    </row>
    <row r="7107" spans="1:2" x14ac:dyDescent="0.25">
      <c r="A7107" t="str">
        <f>IF(C7107&amp;G7107&amp;D7107&lt;&gt;'Funnel setup'!$K$3&amp;'Funnel setup'!$K$4&amp;'Funnel setup'!$K$6,".",IF(A7106=".",1,A7106+1))</f>
        <v>.</v>
      </c>
      <c r="B7107" s="244" t="str">
        <f t="shared" si="111"/>
        <v/>
      </c>
    </row>
    <row r="7108" spans="1:2" x14ac:dyDescent="0.25">
      <c r="A7108" t="str">
        <f>IF(C7108&amp;G7108&amp;D7108&lt;&gt;'Funnel setup'!$K$3&amp;'Funnel setup'!$K$4&amp;'Funnel setup'!$K$6,".",IF(A7107=".",1,A7107+1))</f>
        <v>.</v>
      </c>
      <c r="B7108" s="244" t="str">
        <f t="shared" si="111"/>
        <v/>
      </c>
    </row>
    <row r="7109" spans="1:2" x14ac:dyDescent="0.25">
      <c r="A7109" t="str">
        <f>IF(C7109&amp;G7109&amp;D7109&lt;&gt;'Funnel setup'!$K$3&amp;'Funnel setup'!$K$4&amp;'Funnel setup'!$K$6,".",IF(A7108=".",1,A7108+1))</f>
        <v>.</v>
      </c>
      <c r="B7109" s="244" t="str">
        <f t="shared" si="111"/>
        <v/>
      </c>
    </row>
    <row r="7110" spans="1:2" x14ac:dyDescent="0.25">
      <c r="A7110" t="str">
        <f>IF(C7110&amp;G7110&amp;D7110&lt;&gt;'Funnel setup'!$K$3&amp;'Funnel setup'!$K$4&amp;'Funnel setup'!$K$6,".",IF(A7109=".",1,A7109+1))</f>
        <v>.</v>
      </c>
      <c r="B7110" s="244" t="str">
        <f t="shared" si="111"/>
        <v/>
      </c>
    </row>
    <row r="7111" spans="1:2" x14ac:dyDescent="0.25">
      <c r="A7111" t="str">
        <f>IF(C7111&amp;G7111&amp;D7111&lt;&gt;'Funnel setup'!$K$3&amp;'Funnel setup'!$K$4&amp;'Funnel setup'!$K$6,".",IF(A7110=".",1,A7110+1))</f>
        <v>.</v>
      </c>
      <c r="B7111" s="244" t="str">
        <f t="shared" si="111"/>
        <v/>
      </c>
    </row>
    <row r="7112" spans="1:2" x14ac:dyDescent="0.25">
      <c r="A7112" t="str">
        <f>IF(C7112&amp;G7112&amp;D7112&lt;&gt;'Funnel setup'!$K$3&amp;'Funnel setup'!$K$4&amp;'Funnel setup'!$K$6,".",IF(A7111=".",1,A7111+1))</f>
        <v>.</v>
      </c>
      <c r="B7112" s="244" t="str">
        <f t="shared" si="111"/>
        <v/>
      </c>
    </row>
    <row r="7113" spans="1:2" x14ac:dyDescent="0.25">
      <c r="A7113" t="str">
        <f>IF(C7113&amp;G7113&amp;D7113&lt;&gt;'Funnel setup'!$K$3&amp;'Funnel setup'!$K$4&amp;'Funnel setup'!$K$6,".",IF(A7112=".",1,A7112+1))</f>
        <v>.</v>
      </c>
      <c r="B7113" s="244" t="str">
        <f t="shared" si="111"/>
        <v/>
      </c>
    </row>
    <row r="7114" spans="1:2" x14ac:dyDescent="0.25">
      <c r="A7114" t="str">
        <f>IF(C7114&amp;G7114&amp;D7114&lt;&gt;'Funnel setup'!$K$3&amp;'Funnel setup'!$K$4&amp;'Funnel setup'!$K$6,".",IF(A7113=".",1,A7113+1))</f>
        <v>.</v>
      </c>
      <c r="B7114" s="244" t="str">
        <f t="shared" si="111"/>
        <v/>
      </c>
    </row>
    <row r="7115" spans="1:2" x14ac:dyDescent="0.25">
      <c r="A7115" t="str">
        <f>IF(C7115&amp;G7115&amp;D7115&lt;&gt;'Funnel setup'!$K$3&amp;'Funnel setup'!$K$4&amp;'Funnel setup'!$K$6,".",IF(A7114=".",1,A7114+1))</f>
        <v>.</v>
      </c>
      <c r="B7115" s="244" t="str">
        <f t="shared" si="111"/>
        <v/>
      </c>
    </row>
    <row r="7116" spans="1:2" x14ac:dyDescent="0.25">
      <c r="A7116" t="str">
        <f>IF(C7116&amp;G7116&amp;D7116&lt;&gt;'Funnel setup'!$K$3&amp;'Funnel setup'!$K$4&amp;'Funnel setup'!$K$6,".",IF(A7115=".",1,A7115+1))</f>
        <v>.</v>
      </c>
      <c r="B7116" s="244" t="str">
        <f t="shared" si="111"/>
        <v/>
      </c>
    </row>
    <row r="7117" spans="1:2" x14ac:dyDescent="0.25">
      <c r="A7117" t="str">
        <f>IF(C7117&amp;G7117&amp;D7117&lt;&gt;'Funnel setup'!$K$3&amp;'Funnel setup'!$K$4&amp;'Funnel setup'!$K$6,".",IF(A7116=".",1,A7116+1))</f>
        <v>.</v>
      </c>
      <c r="B7117" s="244" t="str">
        <f t="shared" si="111"/>
        <v/>
      </c>
    </row>
    <row r="7118" spans="1:2" x14ac:dyDescent="0.25">
      <c r="A7118" t="str">
        <f>IF(C7118&amp;G7118&amp;D7118&lt;&gt;'Funnel setup'!$K$3&amp;'Funnel setup'!$K$4&amp;'Funnel setup'!$K$6,".",IF(A7117=".",1,A7117+1))</f>
        <v>.</v>
      </c>
      <c r="B7118" s="244" t="str">
        <f t="shared" si="111"/>
        <v/>
      </c>
    </row>
    <row r="7119" spans="1:2" x14ac:dyDescent="0.25">
      <c r="A7119" t="str">
        <f>IF(C7119&amp;G7119&amp;D7119&lt;&gt;'Funnel setup'!$K$3&amp;'Funnel setup'!$K$4&amp;'Funnel setup'!$K$6,".",IF(A7118=".",1,A7118+1))</f>
        <v>.</v>
      </c>
      <c r="B7119" s="244" t="str">
        <f t="shared" si="111"/>
        <v/>
      </c>
    </row>
    <row r="7120" spans="1:2" x14ac:dyDescent="0.25">
      <c r="A7120" t="str">
        <f>IF(C7120&amp;G7120&amp;D7120&lt;&gt;'Funnel setup'!$K$3&amp;'Funnel setup'!$K$4&amp;'Funnel setup'!$K$6,".",IF(A7119=".",1,A7119+1))</f>
        <v>.</v>
      </c>
      <c r="B7120" s="244" t="str">
        <f t="shared" si="111"/>
        <v/>
      </c>
    </row>
    <row r="7121" spans="1:2" x14ac:dyDescent="0.25">
      <c r="A7121" t="str">
        <f>IF(C7121&amp;G7121&amp;D7121&lt;&gt;'Funnel setup'!$K$3&amp;'Funnel setup'!$K$4&amp;'Funnel setup'!$K$6,".",IF(A7120=".",1,A7120+1))</f>
        <v>.</v>
      </c>
      <c r="B7121" s="244" t="str">
        <f t="shared" si="111"/>
        <v/>
      </c>
    </row>
    <row r="7122" spans="1:2" x14ac:dyDescent="0.25">
      <c r="A7122" t="str">
        <f>IF(C7122&amp;G7122&amp;D7122&lt;&gt;'Funnel setup'!$K$3&amp;'Funnel setup'!$K$4&amp;'Funnel setup'!$K$6,".",IF(A7121=".",1,A7121+1))</f>
        <v>.</v>
      </c>
      <c r="B7122" s="244" t="str">
        <f t="shared" si="111"/>
        <v/>
      </c>
    </row>
    <row r="7123" spans="1:2" x14ac:dyDescent="0.25">
      <c r="A7123" t="str">
        <f>IF(C7123&amp;G7123&amp;D7123&lt;&gt;'Funnel setup'!$K$3&amp;'Funnel setup'!$K$4&amp;'Funnel setup'!$K$6,".",IF(A7122=".",1,A7122+1))</f>
        <v>.</v>
      </c>
      <c r="B7123" s="244" t="str">
        <f t="shared" si="111"/>
        <v/>
      </c>
    </row>
    <row r="7124" spans="1:2" x14ac:dyDescent="0.25">
      <c r="A7124" t="str">
        <f>IF(C7124&amp;G7124&amp;D7124&lt;&gt;'Funnel setup'!$K$3&amp;'Funnel setup'!$K$4&amp;'Funnel setup'!$K$6,".",IF(A7123=".",1,A7123+1))</f>
        <v>.</v>
      </c>
      <c r="B7124" s="244" t="str">
        <f t="shared" si="111"/>
        <v/>
      </c>
    </row>
    <row r="7125" spans="1:2" x14ac:dyDescent="0.25">
      <c r="A7125" t="str">
        <f>IF(C7125&amp;G7125&amp;D7125&lt;&gt;'Funnel setup'!$K$3&amp;'Funnel setup'!$K$4&amp;'Funnel setup'!$K$6,".",IF(A7124=".",1,A7124+1))</f>
        <v>.</v>
      </c>
      <c r="B7125" s="244" t="str">
        <f t="shared" si="111"/>
        <v/>
      </c>
    </row>
    <row r="7126" spans="1:2" x14ac:dyDescent="0.25">
      <c r="A7126" t="str">
        <f>IF(C7126&amp;G7126&amp;D7126&lt;&gt;'Funnel setup'!$K$3&amp;'Funnel setup'!$K$4&amp;'Funnel setup'!$K$6,".",IF(A7125=".",1,A7125+1))</f>
        <v>.</v>
      </c>
      <c r="B7126" s="244" t="str">
        <f t="shared" si="111"/>
        <v/>
      </c>
    </row>
    <row r="7127" spans="1:2" x14ac:dyDescent="0.25">
      <c r="A7127" t="str">
        <f>IF(C7127&amp;G7127&amp;D7127&lt;&gt;'Funnel setup'!$K$3&amp;'Funnel setup'!$K$4&amp;'Funnel setup'!$K$6,".",IF(A7126=".",1,A7126+1))</f>
        <v>.</v>
      </c>
      <c r="B7127" s="244" t="str">
        <f t="shared" si="111"/>
        <v/>
      </c>
    </row>
    <row r="7128" spans="1:2" x14ac:dyDescent="0.25">
      <c r="A7128" t="str">
        <f>IF(C7128&amp;G7128&amp;D7128&lt;&gt;'Funnel setup'!$K$3&amp;'Funnel setup'!$K$4&amp;'Funnel setup'!$K$6,".",IF(A7127=".",1,A7127+1))</f>
        <v>.</v>
      </c>
      <c r="B7128" s="244" t="str">
        <f t="shared" si="111"/>
        <v/>
      </c>
    </row>
    <row r="7129" spans="1:2" x14ac:dyDescent="0.25">
      <c r="A7129" t="str">
        <f>IF(C7129&amp;G7129&amp;D7129&lt;&gt;'Funnel setup'!$K$3&amp;'Funnel setup'!$K$4&amp;'Funnel setup'!$K$6,".",IF(A7128=".",1,A7128+1))</f>
        <v>.</v>
      </c>
      <c r="B7129" s="244" t="str">
        <f t="shared" si="111"/>
        <v/>
      </c>
    </row>
    <row r="7130" spans="1:2" x14ac:dyDescent="0.25">
      <c r="A7130" t="str">
        <f>IF(C7130&amp;G7130&amp;D7130&lt;&gt;'Funnel setup'!$K$3&amp;'Funnel setup'!$K$4&amp;'Funnel setup'!$K$6,".",IF(A7129=".",1,A7129+1))</f>
        <v>.</v>
      </c>
      <c r="B7130" s="244" t="str">
        <f t="shared" si="111"/>
        <v/>
      </c>
    </row>
    <row r="7131" spans="1:2" x14ac:dyDescent="0.25">
      <c r="A7131" t="str">
        <f>IF(C7131&amp;G7131&amp;D7131&lt;&gt;'Funnel setup'!$K$3&amp;'Funnel setup'!$K$4&amp;'Funnel setup'!$K$6,".",IF(A7130=".",1,A7130+1))</f>
        <v>.</v>
      </c>
      <c r="B7131" s="244" t="str">
        <f t="shared" si="111"/>
        <v/>
      </c>
    </row>
    <row r="7132" spans="1:2" x14ac:dyDescent="0.25">
      <c r="A7132" t="str">
        <f>IF(C7132&amp;G7132&amp;D7132&lt;&gt;'Funnel setup'!$K$3&amp;'Funnel setup'!$K$4&amp;'Funnel setup'!$K$6,".",IF(A7131=".",1,A7131+1))</f>
        <v>.</v>
      </c>
      <c r="B7132" s="244" t="str">
        <f t="shared" si="111"/>
        <v/>
      </c>
    </row>
    <row r="7133" spans="1:2" x14ac:dyDescent="0.25">
      <c r="A7133" t="str">
        <f>IF(C7133&amp;G7133&amp;D7133&lt;&gt;'Funnel setup'!$K$3&amp;'Funnel setup'!$K$4&amp;'Funnel setup'!$K$6,".",IF(A7132=".",1,A7132+1))</f>
        <v>.</v>
      </c>
      <c r="B7133" s="244" t="str">
        <f t="shared" si="111"/>
        <v/>
      </c>
    </row>
    <row r="7134" spans="1:2" x14ac:dyDescent="0.25">
      <c r="A7134" t="str">
        <f>IF(C7134&amp;G7134&amp;D7134&lt;&gt;'Funnel setup'!$K$3&amp;'Funnel setup'!$K$4&amp;'Funnel setup'!$K$6,".",IF(A7133=".",1,A7133+1))</f>
        <v>.</v>
      </c>
      <c r="B7134" s="244" t="str">
        <f t="shared" si="111"/>
        <v/>
      </c>
    </row>
    <row r="7135" spans="1:2" x14ac:dyDescent="0.25">
      <c r="A7135" t="str">
        <f>IF(C7135&amp;G7135&amp;D7135&lt;&gt;'Funnel setup'!$K$3&amp;'Funnel setup'!$K$4&amp;'Funnel setup'!$K$6,".",IF(A7134=".",1,A7134+1))</f>
        <v>.</v>
      </c>
      <c r="B7135" s="244" t="str">
        <f t="shared" si="111"/>
        <v/>
      </c>
    </row>
    <row r="7136" spans="1:2" x14ac:dyDescent="0.25">
      <c r="A7136" t="str">
        <f>IF(C7136&amp;G7136&amp;D7136&lt;&gt;'Funnel setup'!$K$3&amp;'Funnel setup'!$K$4&amp;'Funnel setup'!$K$6,".",IF(A7135=".",1,A7135+1))</f>
        <v>.</v>
      </c>
      <c r="B7136" s="244" t="str">
        <f t="shared" si="111"/>
        <v/>
      </c>
    </row>
    <row r="7137" spans="1:2" x14ac:dyDescent="0.25">
      <c r="A7137" t="str">
        <f>IF(C7137&amp;G7137&amp;D7137&lt;&gt;'Funnel setup'!$K$3&amp;'Funnel setup'!$K$4&amp;'Funnel setup'!$K$6,".",IF(A7136=".",1,A7136+1))</f>
        <v>.</v>
      </c>
      <c r="B7137" s="244" t="str">
        <f t="shared" si="111"/>
        <v/>
      </c>
    </row>
    <row r="7138" spans="1:2" x14ac:dyDescent="0.25">
      <c r="A7138" t="str">
        <f>IF(C7138&amp;G7138&amp;D7138&lt;&gt;'Funnel setup'!$K$3&amp;'Funnel setup'!$K$4&amp;'Funnel setup'!$K$6,".",IF(A7137=".",1,A7137+1))</f>
        <v>.</v>
      </c>
      <c r="B7138" s="244" t="str">
        <f t="shared" si="111"/>
        <v/>
      </c>
    </row>
    <row r="7139" spans="1:2" x14ac:dyDescent="0.25">
      <c r="A7139" t="str">
        <f>IF(C7139&amp;G7139&amp;D7139&lt;&gt;'Funnel setup'!$K$3&amp;'Funnel setup'!$K$4&amp;'Funnel setup'!$K$6,".",IF(A7138=".",1,A7138+1))</f>
        <v>.</v>
      </c>
      <c r="B7139" s="244" t="str">
        <f t="shared" si="111"/>
        <v/>
      </c>
    </row>
    <row r="7140" spans="1:2" x14ac:dyDescent="0.25">
      <c r="A7140" t="str">
        <f>IF(C7140&amp;G7140&amp;D7140&lt;&gt;'Funnel setup'!$K$3&amp;'Funnel setup'!$K$4&amp;'Funnel setup'!$K$6,".",IF(A7139=".",1,A7139+1))</f>
        <v>.</v>
      </c>
      <c r="B7140" s="244" t="str">
        <f t="shared" si="111"/>
        <v/>
      </c>
    </row>
    <row r="7141" spans="1:2" x14ac:dyDescent="0.25">
      <c r="A7141" t="str">
        <f>IF(C7141&amp;G7141&amp;D7141&lt;&gt;'Funnel setup'!$K$3&amp;'Funnel setup'!$K$4&amp;'Funnel setup'!$K$6,".",IF(A7140=".",1,A7140+1))</f>
        <v>.</v>
      </c>
      <c r="B7141" s="244" t="str">
        <f t="shared" si="111"/>
        <v/>
      </c>
    </row>
    <row r="7142" spans="1:2" x14ac:dyDescent="0.25">
      <c r="A7142" t="str">
        <f>IF(C7142&amp;G7142&amp;D7142&lt;&gt;'Funnel setup'!$K$3&amp;'Funnel setup'!$K$4&amp;'Funnel setup'!$K$6,".",IF(A7141=".",1,A7141+1))</f>
        <v>.</v>
      </c>
      <c r="B7142" s="244" t="str">
        <f t="shared" si="111"/>
        <v/>
      </c>
    </row>
    <row r="7143" spans="1:2" x14ac:dyDescent="0.25">
      <c r="A7143" t="str">
        <f>IF(C7143&amp;G7143&amp;D7143&lt;&gt;'Funnel setup'!$K$3&amp;'Funnel setup'!$K$4&amp;'Funnel setup'!$K$6,".",IF(A7142=".",1,A7142+1))</f>
        <v>.</v>
      </c>
      <c r="B7143" s="244" t="str">
        <f t="shared" si="111"/>
        <v/>
      </c>
    </row>
    <row r="7144" spans="1:2" x14ac:dyDescent="0.25">
      <c r="A7144" t="str">
        <f>IF(C7144&amp;G7144&amp;D7144&lt;&gt;'Funnel setup'!$K$3&amp;'Funnel setup'!$K$4&amp;'Funnel setup'!$K$6,".",IF(A7143=".",1,A7143+1))</f>
        <v>.</v>
      </c>
      <c r="B7144" s="244" t="str">
        <f t="shared" si="111"/>
        <v/>
      </c>
    </row>
    <row r="7145" spans="1:2" x14ac:dyDescent="0.25">
      <c r="A7145" t="str">
        <f>IF(C7145&amp;G7145&amp;D7145&lt;&gt;'Funnel setup'!$K$3&amp;'Funnel setup'!$K$4&amp;'Funnel setup'!$K$6,".",IF(A7144=".",1,A7144+1))</f>
        <v>.</v>
      </c>
      <c r="B7145" s="244" t="str">
        <f t="shared" si="111"/>
        <v/>
      </c>
    </row>
    <row r="7146" spans="1:2" x14ac:dyDescent="0.25">
      <c r="A7146" t="str">
        <f>IF(C7146&amp;G7146&amp;D7146&lt;&gt;'Funnel setup'!$K$3&amp;'Funnel setup'!$K$4&amp;'Funnel setup'!$K$6,".",IF(A7145=".",1,A7145+1))</f>
        <v>.</v>
      </c>
      <c r="B7146" s="244" t="str">
        <f t="shared" si="111"/>
        <v/>
      </c>
    </row>
    <row r="7147" spans="1:2" x14ac:dyDescent="0.25">
      <c r="A7147" t="str">
        <f>IF(C7147&amp;G7147&amp;D7147&lt;&gt;'Funnel setup'!$K$3&amp;'Funnel setup'!$K$4&amp;'Funnel setup'!$K$6,".",IF(A7146=".",1,A7146+1))</f>
        <v>.</v>
      </c>
      <c r="B7147" s="244" t="str">
        <f t="shared" si="111"/>
        <v/>
      </c>
    </row>
    <row r="7148" spans="1:2" x14ac:dyDescent="0.25">
      <c r="A7148" t="str">
        <f>IF(C7148&amp;G7148&amp;D7148&lt;&gt;'Funnel setup'!$K$3&amp;'Funnel setup'!$K$4&amp;'Funnel setup'!$K$6,".",IF(A7147=".",1,A7147+1))</f>
        <v>.</v>
      </c>
      <c r="B7148" s="244" t="str">
        <f t="shared" si="111"/>
        <v/>
      </c>
    </row>
    <row r="7149" spans="1:2" x14ac:dyDescent="0.25">
      <c r="A7149" t="str">
        <f>IF(C7149&amp;G7149&amp;D7149&lt;&gt;'Funnel setup'!$K$3&amp;'Funnel setup'!$K$4&amp;'Funnel setup'!$K$6,".",IF(A7148=".",1,A7148+1))</f>
        <v>.</v>
      </c>
      <c r="B7149" s="244" t="str">
        <f t="shared" si="111"/>
        <v/>
      </c>
    </row>
    <row r="7150" spans="1:2" x14ac:dyDescent="0.25">
      <c r="A7150" t="str">
        <f>IF(C7150&amp;G7150&amp;D7150&lt;&gt;'Funnel setup'!$K$3&amp;'Funnel setup'!$K$4&amp;'Funnel setup'!$K$6,".",IF(A7149=".",1,A7149+1))</f>
        <v>.</v>
      </c>
      <c r="B7150" s="244" t="str">
        <f t="shared" si="111"/>
        <v/>
      </c>
    </row>
    <row r="7151" spans="1:2" x14ac:dyDescent="0.25">
      <c r="A7151" t="str">
        <f>IF(C7151&amp;G7151&amp;D7151&lt;&gt;'Funnel setup'!$K$3&amp;'Funnel setup'!$K$4&amp;'Funnel setup'!$K$6,".",IF(A7150=".",1,A7150+1))</f>
        <v>.</v>
      </c>
      <c r="B7151" s="244" t="str">
        <f t="shared" si="111"/>
        <v/>
      </c>
    </row>
    <row r="7152" spans="1:2" x14ac:dyDescent="0.25">
      <c r="A7152" t="str">
        <f>IF(C7152&amp;G7152&amp;D7152&lt;&gt;'Funnel setup'!$K$3&amp;'Funnel setup'!$K$4&amp;'Funnel setup'!$K$6,".",IF(A7151=".",1,A7151+1))</f>
        <v>.</v>
      </c>
      <c r="B7152" s="244" t="str">
        <f t="shared" si="111"/>
        <v/>
      </c>
    </row>
    <row r="7153" spans="1:2" x14ac:dyDescent="0.25">
      <c r="A7153" t="str">
        <f>IF(C7153&amp;G7153&amp;D7153&lt;&gt;'Funnel setup'!$K$3&amp;'Funnel setup'!$K$4&amp;'Funnel setup'!$K$6,".",IF(A7152=".",1,A7152+1))</f>
        <v>.</v>
      </c>
      <c r="B7153" s="244" t="str">
        <f t="shared" si="111"/>
        <v/>
      </c>
    </row>
    <row r="7154" spans="1:2" x14ac:dyDescent="0.25">
      <c r="A7154" t="str">
        <f>IF(C7154&amp;G7154&amp;D7154&lt;&gt;'Funnel setup'!$K$3&amp;'Funnel setup'!$K$4&amp;'Funnel setup'!$K$6,".",IF(A7153=".",1,A7153+1))</f>
        <v>.</v>
      </c>
      <c r="B7154" s="244" t="str">
        <f t="shared" si="111"/>
        <v/>
      </c>
    </row>
    <row r="7155" spans="1:2" x14ac:dyDescent="0.25">
      <c r="A7155" t="str">
        <f>IF(C7155&amp;G7155&amp;D7155&lt;&gt;'Funnel setup'!$K$3&amp;'Funnel setup'!$K$4&amp;'Funnel setup'!$K$6,".",IF(A7154=".",1,A7154+1))</f>
        <v>.</v>
      </c>
      <c r="B7155" s="244" t="str">
        <f t="shared" si="111"/>
        <v/>
      </c>
    </row>
    <row r="7156" spans="1:2" x14ac:dyDescent="0.25">
      <c r="A7156" t="str">
        <f>IF(C7156&amp;G7156&amp;D7156&lt;&gt;'Funnel setup'!$K$3&amp;'Funnel setup'!$K$4&amp;'Funnel setup'!$K$6,".",IF(A7155=".",1,A7155+1))</f>
        <v>.</v>
      </c>
      <c r="B7156" s="244" t="str">
        <f t="shared" si="111"/>
        <v/>
      </c>
    </row>
    <row r="7157" spans="1:2" x14ac:dyDescent="0.25">
      <c r="A7157" t="str">
        <f>IF(C7157&amp;G7157&amp;D7157&lt;&gt;'Funnel setup'!$K$3&amp;'Funnel setup'!$K$4&amp;'Funnel setup'!$K$6,".",IF(A7156=".",1,A7156+1))</f>
        <v>.</v>
      </c>
      <c r="B7157" s="244" t="str">
        <f t="shared" si="111"/>
        <v/>
      </c>
    </row>
    <row r="7158" spans="1:2" x14ac:dyDescent="0.25">
      <c r="A7158" t="str">
        <f>IF(C7158&amp;G7158&amp;D7158&lt;&gt;'Funnel setup'!$K$3&amp;'Funnel setup'!$K$4&amp;'Funnel setup'!$K$6,".",IF(A7157=".",1,A7157+1))</f>
        <v>.</v>
      </c>
      <c r="B7158" s="244" t="str">
        <f t="shared" si="111"/>
        <v/>
      </c>
    </row>
    <row r="7159" spans="1:2" x14ac:dyDescent="0.25">
      <c r="A7159" t="str">
        <f>IF(C7159&amp;G7159&amp;D7159&lt;&gt;'Funnel setup'!$K$3&amp;'Funnel setup'!$K$4&amp;'Funnel setup'!$K$6,".",IF(A7158=".",1,A7158+1))</f>
        <v>.</v>
      </c>
      <c r="B7159" s="244" t="str">
        <f t="shared" si="111"/>
        <v/>
      </c>
    </row>
    <row r="7160" spans="1:2" x14ac:dyDescent="0.25">
      <c r="A7160" t="str">
        <f>IF(C7160&amp;G7160&amp;D7160&lt;&gt;'Funnel setup'!$K$3&amp;'Funnel setup'!$K$4&amp;'Funnel setup'!$K$6,".",IF(A7159=".",1,A7159+1))</f>
        <v>.</v>
      </c>
      <c r="B7160" s="244" t="str">
        <f t="shared" si="111"/>
        <v/>
      </c>
    </row>
    <row r="7161" spans="1:2" x14ac:dyDescent="0.25">
      <c r="A7161" t="str">
        <f>IF(C7161&amp;G7161&amp;D7161&lt;&gt;'Funnel setup'!$K$3&amp;'Funnel setup'!$K$4&amp;'Funnel setup'!$K$6,".",IF(A7160=".",1,A7160+1))</f>
        <v>.</v>
      </c>
      <c r="B7161" s="244" t="str">
        <f t="shared" si="111"/>
        <v/>
      </c>
    </row>
    <row r="7162" spans="1:2" x14ac:dyDescent="0.25">
      <c r="A7162" t="str">
        <f>IF(C7162&amp;G7162&amp;D7162&lt;&gt;'Funnel setup'!$K$3&amp;'Funnel setup'!$K$4&amp;'Funnel setup'!$K$6,".",IF(A7161=".",1,A7161+1))</f>
        <v>.</v>
      </c>
      <c r="B7162" s="244" t="str">
        <f t="shared" si="111"/>
        <v/>
      </c>
    </row>
    <row r="7163" spans="1:2" x14ac:dyDescent="0.25">
      <c r="A7163" t="str">
        <f>IF(C7163&amp;G7163&amp;D7163&lt;&gt;'Funnel setup'!$K$3&amp;'Funnel setup'!$K$4&amp;'Funnel setup'!$K$6,".",IF(A7162=".",1,A7162+1))</f>
        <v>.</v>
      </c>
      <c r="B7163" s="244" t="str">
        <f t="shared" si="111"/>
        <v/>
      </c>
    </row>
    <row r="7164" spans="1:2" x14ac:dyDescent="0.25">
      <c r="A7164" t="str">
        <f>IF(C7164&amp;G7164&amp;D7164&lt;&gt;'Funnel setup'!$K$3&amp;'Funnel setup'!$K$4&amp;'Funnel setup'!$K$6,".",IF(A7163=".",1,A7163+1))</f>
        <v>.</v>
      </c>
      <c r="B7164" s="244" t="str">
        <f t="shared" si="111"/>
        <v/>
      </c>
    </row>
    <row r="7165" spans="1:2" x14ac:dyDescent="0.25">
      <c r="A7165" t="str">
        <f>IF(C7165&amp;G7165&amp;D7165&lt;&gt;'Funnel setup'!$K$3&amp;'Funnel setup'!$K$4&amp;'Funnel setup'!$K$6,".",IF(A7164=".",1,A7164+1))</f>
        <v>.</v>
      </c>
      <c r="B7165" s="244" t="str">
        <f t="shared" si="111"/>
        <v/>
      </c>
    </row>
    <row r="7166" spans="1:2" x14ac:dyDescent="0.25">
      <c r="A7166" t="str">
        <f>IF(C7166&amp;G7166&amp;D7166&lt;&gt;'Funnel setup'!$K$3&amp;'Funnel setup'!$K$4&amp;'Funnel setup'!$K$6,".",IF(A7165=".",1,A7165+1))</f>
        <v>.</v>
      </c>
      <c r="B7166" s="244" t="str">
        <f t="shared" si="111"/>
        <v/>
      </c>
    </row>
    <row r="7167" spans="1:2" x14ac:dyDescent="0.25">
      <c r="A7167" t="str">
        <f>IF(C7167&amp;G7167&amp;D7167&lt;&gt;'Funnel setup'!$K$3&amp;'Funnel setup'!$K$4&amp;'Funnel setup'!$K$6,".",IF(A7166=".",1,A7166+1))</f>
        <v>.</v>
      </c>
      <c r="B7167" s="244" t="str">
        <f t="shared" si="111"/>
        <v/>
      </c>
    </row>
    <row r="7168" spans="1:2" x14ac:dyDescent="0.25">
      <c r="A7168" t="str">
        <f>IF(C7168&amp;G7168&amp;D7168&lt;&gt;'Funnel setup'!$K$3&amp;'Funnel setup'!$K$4&amp;'Funnel setup'!$K$6,".",IF(A7167=".",1,A7167+1))</f>
        <v>.</v>
      </c>
      <c r="B7168" s="244" t="str">
        <f t="shared" si="111"/>
        <v/>
      </c>
    </row>
    <row r="7169" spans="1:2" x14ac:dyDescent="0.25">
      <c r="A7169" t="str">
        <f>IF(C7169&amp;G7169&amp;D7169&lt;&gt;'Funnel setup'!$K$3&amp;'Funnel setup'!$K$4&amp;'Funnel setup'!$K$6,".",IF(A7168=".",1,A7168+1))</f>
        <v>.</v>
      </c>
      <c r="B7169" s="244" t="str">
        <f t="shared" si="111"/>
        <v/>
      </c>
    </row>
    <row r="7170" spans="1:2" x14ac:dyDescent="0.25">
      <c r="A7170" t="str">
        <f>IF(C7170&amp;G7170&amp;D7170&lt;&gt;'Funnel setup'!$K$3&amp;'Funnel setup'!$K$4&amp;'Funnel setup'!$K$6,".",IF(A7169=".",1,A7169+1))</f>
        <v>.</v>
      </c>
      <c r="B7170" s="244" t="str">
        <f t="shared" ref="B7170:B7233" si="112">C7170&amp;D7170&amp;F7170&amp;G7170</f>
        <v/>
      </c>
    </row>
    <row r="7171" spans="1:2" x14ac:dyDescent="0.25">
      <c r="A7171" t="str">
        <f>IF(C7171&amp;G7171&amp;D7171&lt;&gt;'Funnel setup'!$K$3&amp;'Funnel setup'!$K$4&amp;'Funnel setup'!$K$6,".",IF(A7170=".",1,A7170+1))</f>
        <v>.</v>
      </c>
      <c r="B7171" s="244" t="str">
        <f t="shared" si="112"/>
        <v/>
      </c>
    </row>
    <row r="7172" spans="1:2" x14ac:dyDescent="0.25">
      <c r="A7172" t="str">
        <f>IF(C7172&amp;G7172&amp;D7172&lt;&gt;'Funnel setup'!$K$3&amp;'Funnel setup'!$K$4&amp;'Funnel setup'!$K$6,".",IF(A7171=".",1,A7171+1))</f>
        <v>.</v>
      </c>
      <c r="B7172" s="244" t="str">
        <f t="shared" si="112"/>
        <v/>
      </c>
    </row>
    <row r="7173" spans="1:2" x14ac:dyDescent="0.25">
      <c r="A7173" t="str">
        <f>IF(C7173&amp;G7173&amp;D7173&lt;&gt;'Funnel setup'!$K$3&amp;'Funnel setup'!$K$4&amp;'Funnel setup'!$K$6,".",IF(A7172=".",1,A7172+1))</f>
        <v>.</v>
      </c>
      <c r="B7173" s="244" t="str">
        <f t="shared" si="112"/>
        <v/>
      </c>
    </row>
    <row r="7174" spans="1:2" x14ac:dyDescent="0.25">
      <c r="A7174" t="str">
        <f>IF(C7174&amp;G7174&amp;D7174&lt;&gt;'Funnel setup'!$K$3&amp;'Funnel setup'!$K$4&amp;'Funnel setup'!$K$6,".",IF(A7173=".",1,A7173+1))</f>
        <v>.</v>
      </c>
      <c r="B7174" s="244" t="str">
        <f t="shared" si="112"/>
        <v/>
      </c>
    </row>
    <row r="7175" spans="1:2" x14ac:dyDescent="0.25">
      <c r="A7175" t="str">
        <f>IF(C7175&amp;G7175&amp;D7175&lt;&gt;'Funnel setup'!$K$3&amp;'Funnel setup'!$K$4&amp;'Funnel setup'!$K$6,".",IF(A7174=".",1,A7174+1))</f>
        <v>.</v>
      </c>
      <c r="B7175" s="244" t="str">
        <f t="shared" si="112"/>
        <v/>
      </c>
    </row>
    <row r="7176" spans="1:2" x14ac:dyDescent="0.25">
      <c r="A7176" t="str">
        <f>IF(C7176&amp;G7176&amp;D7176&lt;&gt;'Funnel setup'!$K$3&amp;'Funnel setup'!$K$4&amp;'Funnel setup'!$K$6,".",IF(A7175=".",1,A7175+1))</f>
        <v>.</v>
      </c>
      <c r="B7176" s="244" t="str">
        <f t="shared" si="112"/>
        <v/>
      </c>
    </row>
    <row r="7177" spans="1:2" x14ac:dyDescent="0.25">
      <c r="A7177" t="str">
        <f>IF(C7177&amp;G7177&amp;D7177&lt;&gt;'Funnel setup'!$K$3&amp;'Funnel setup'!$K$4&amp;'Funnel setup'!$K$6,".",IF(A7176=".",1,A7176+1))</f>
        <v>.</v>
      </c>
      <c r="B7177" s="244" t="str">
        <f t="shared" si="112"/>
        <v/>
      </c>
    </row>
    <row r="7178" spans="1:2" x14ac:dyDescent="0.25">
      <c r="A7178" t="str">
        <f>IF(C7178&amp;G7178&amp;D7178&lt;&gt;'Funnel setup'!$K$3&amp;'Funnel setup'!$K$4&amp;'Funnel setup'!$K$6,".",IF(A7177=".",1,A7177+1))</f>
        <v>.</v>
      </c>
      <c r="B7178" s="244" t="str">
        <f t="shared" si="112"/>
        <v/>
      </c>
    </row>
    <row r="7179" spans="1:2" x14ac:dyDescent="0.25">
      <c r="A7179" t="str">
        <f>IF(C7179&amp;G7179&amp;D7179&lt;&gt;'Funnel setup'!$K$3&amp;'Funnel setup'!$K$4&amp;'Funnel setup'!$K$6,".",IF(A7178=".",1,A7178+1))</f>
        <v>.</v>
      </c>
      <c r="B7179" s="244" t="str">
        <f t="shared" si="112"/>
        <v/>
      </c>
    </row>
    <row r="7180" spans="1:2" x14ac:dyDescent="0.25">
      <c r="A7180" t="str">
        <f>IF(C7180&amp;G7180&amp;D7180&lt;&gt;'Funnel setup'!$K$3&amp;'Funnel setup'!$K$4&amp;'Funnel setup'!$K$6,".",IF(A7179=".",1,A7179+1))</f>
        <v>.</v>
      </c>
      <c r="B7180" s="244" t="str">
        <f t="shared" si="112"/>
        <v/>
      </c>
    </row>
    <row r="7181" spans="1:2" x14ac:dyDescent="0.25">
      <c r="A7181" t="str">
        <f>IF(C7181&amp;G7181&amp;D7181&lt;&gt;'Funnel setup'!$K$3&amp;'Funnel setup'!$K$4&amp;'Funnel setup'!$K$6,".",IF(A7180=".",1,A7180+1))</f>
        <v>.</v>
      </c>
      <c r="B7181" s="244" t="str">
        <f t="shared" si="112"/>
        <v/>
      </c>
    </row>
    <row r="7182" spans="1:2" x14ac:dyDescent="0.25">
      <c r="A7182" t="str">
        <f>IF(C7182&amp;G7182&amp;D7182&lt;&gt;'Funnel setup'!$K$3&amp;'Funnel setup'!$K$4&amp;'Funnel setup'!$K$6,".",IF(A7181=".",1,A7181+1))</f>
        <v>.</v>
      </c>
      <c r="B7182" s="244" t="str">
        <f t="shared" si="112"/>
        <v/>
      </c>
    </row>
    <row r="7183" spans="1:2" x14ac:dyDescent="0.25">
      <c r="A7183" t="str">
        <f>IF(C7183&amp;G7183&amp;D7183&lt;&gt;'Funnel setup'!$K$3&amp;'Funnel setup'!$K$4&amp;'Funnel setup'!$K$6,".",IF(A7182=".",1,A7182+1))</f>
        <v>.</v>
      </c>
      <c r="B7183" s="244" t="str">
        <f t="shared" si="112"/>
        <v/>
      </c>
    </row>
    <row r="7184" spans="1:2" x14ac:dyDescent="0.25">
      <c r="A7184" t="str">
        <f>IF(C7184&amp;G7184&amp;D7184&lt;&gt;'Funnel setup'!$K$3&amp;'Funnel setup'!$K$4&amp;'Funnel setup'!$K$6,".",IF(A7183=".",1,A7183+1))</f>
        <v>.</v>
      </c>
      <c r="B7184" s="244" t="str">
        <f t="shared" si="112"/>
        <v/>
      </c>
    </row>
    <row r="7185" spans="1:2" x14ac:dyDescent="0.25">
      <c r="A7185" t="str">
        <f>IF(C7185&amp;G7185&amp;D7185&lt;&gt;'Funnel setup'!$K$3&amp;'Funnel setup'!$K$4&amp;'Funnel setup'!$K$6,".",IF(A7184=".",1,A7184+1))</f>
        <v>.</v>
      </c>
      <c r="B7185" s="244" t="str">
        <f t="shared" si="112"/>
        <v/>
      </c>
    </row>
    <row r="7186" spans="1:2" x14ac:dyDescent="0.25">
      <c r="A7186" t="str">
        <f>IF(C7186&amp;G7186&amp;D7186&lt;&gt;'Funnel setup'!$K$3&amp;'Funnel setup'!$K$4&amp;'Funnel setup'!$K$6,".",IF(A7185=".",1,A7185+1))</f>
        <v>.</v>
      </c>
      <c r="B7186" s="244" t="str">
        <f t="shared" si="112"/>
        <v/>
      </c>
    </row>
    <row r="7187" spans="1:2" x14ac:dyDescent="0.25">
      <c r="A7187" t="str">
        <f>IF(C7187&amp;G7187&amp;D7187&lt;&gt;'Funnel setup'!$K$3&amp;'Funnel setup'!$K$4&amp;'Funnel setup'!$K$6,".",IF(A7186=".",1,A7186+1))</f>
        <v>.</v>
      </c>
      <c r="B7187" s="244" t="str">
        <f t="shared" si="112"/>
        <v/>
      </c>
    </row>
    <row r="7188" spans="1:2" x14ac:dyDescent="0.25">
      <c r="A7188" t="str">
        <f>IF(C7188&amp;G7188&amp;D7188&lt;&gt;'Funnel setup'!$K$3&amp;'Funnel setup'!$K$4&amp;'Funnel setup'!$K$6,".",IF(A7187=".",1,A7187+1))</f>
        <v>.</v>
      </c>
      <c r="B7188" s="244" t="str">
        <f t="shared" si="112"/>
        <v/>
      </c>
    </row>
    <row r="7189" spans="1:2" x14ac:dyDescent="0.25">
      <c r="A7189" t="str">
        <f>IF(C7189&amp;G7189&amp;D7189&lt;&gt;'Funnel setup'!$K$3&amp;'Funnel setup'!$K$4&amp;'Funnel setup'!$K$6,".",IF(A7188=".",1,A7188+1))</f>
        <v>.</v>
      </c>
      <c r="B7189" s="244" t="str">
        <f t="shared" si="112"/>
        <v/>
      </c>
    </row>
    <row r="7190" spans="1:2" x14ac:dyDescent="0.25">
      <c r="A7190" t="str">
        <f>IF(C7190&amp;G7190&amp;D7190&lt;&gt;'Funnel setup'!$K$3&amp;'Funnel setup'!$K$4&amp;'Funnel setup'!$K$6,".",IF(A7189=".",1,A7189+1))</f>
        <v>.</v>
      </c>
      <c r="B7190" s="244" t="str">
        <f t="shared" si="112"/>
        <v/>
      </c>
    </row>
    <row r="7191" spans="1:2" x14ac:dyDescent="0.25">
      <c r="A7191" t="str">
        <f>IF(C7191&amp;G7191&amp;D7191&lt;&gt;'Funnel setup'!$K$3&amp;'Funnel setup'!$K$4&amp;'Funnel setup'!$K$6,".",IF(A7190=".",1,A7190+1))</f>
        <v>.</v>
      </c>
      <c r="B7191" s="244" t="str">
        <f t="shared" si="112"/>
        <v/>
      </c>
    </row>
    <row r="7192" spans="1:2" x14ac:dyDescent="0.25">
      <c r="A7192" t="str">
        <f>IF(C7192&amp;G7192&amp;D7192&lt;&gt;'Funnel setup'!$K$3&amp;'Funnel setup'!$K$4&amp;'Funnel setup'!$K$6,".",IF(A7191=".",1,A7191+1))</f>
        <v>.</v>
      </c>
      <c r="B7192" s="244" t="str">
        <f t="shared" si="112"/>
        <v/>
      </c>
    </row>
    <row r="7193" spans="1:2" x14ac:dyDescent="0.25">
      <c r="A7193" t="str">
        <f>IF(C7193&amp;G7193&amp;D7193&lt;&gt;'Funnel setup'!$K$3&amp;'Funnel setup'!$K$4&amp;'Funnel setup'!$K$6,".",IF(A7192=".",1,A7192+1))</f>
        <v>.</v>
      </c>
      <c r="B7193" s="244" t="str">
        <f t="shared" si="112"/>
        <v/>
      </c>
    </row>
    <row r="7194" spans="1:2" x14ac:dyDescent="0.25">
      <c r="A7194" t="str">
        <f>IF(C7194&amp;G7194&amp;D7194&lt;&gt;'Funnel setup'!$K$3&amp;'Funnel setup'!$K$4&amp;'Funnel setup'!$K$6,".",IF(A7193=".",1,A7193+1))</f>
        <v>.</v>
      </c>
      <c r="B7194" s="244" t="str">
        <f t="shared" si="112"/>
        <v/>
      </c>
    </row>
    <row r="7195" spans="1:2" x14ac:dyDescent="0.25">
      <c r="A7195" t="str">
        <f>IF(C7195&amp;G7195&amp;D7195&lt;&gt;'Funnel setup'!$K$3&amp;'Funnel setup'!$K$4&amp;'Funnel setup'!$K$6,".",IF(A7194=".",1,A7194+1))</f>
        <v>.</v>
      </c>
      <c r="B7195" s="244" t="str">
        <f t="shared" si="112"/>
        <v/>
      </c>
    </row>
    <row r="7196" spans="1:2" x14ac:dyDescent="0.25">
      <c r="A7196" t="str">
        <f>IF(C7196&amp;G7196&amp;D7196&lt;&gt;'Funnel setup'!$K$3&amp;'Funnel setup'!$K$4&amp;'Funnel setup'!$K$6,".",IF(A7195=".",1,A7195+1))</f>
        <v>.</v>
      </c>
      <c r="B7196" s="244" t="str">
        <f t="shared" si="112"/>
        <v/>
      </c>
    </row>
    <row r="7197" spans="1:2" x14ac:dyDescent="0.25">
      <c r="A7197" t="str">
        <f>IF(C7197&amp;G7197&amp;D7197&lt;&gt;'Funnel setup'!$K$3&amp;'Funnel setup'!$K$4&amp;'Funnel setup'!$K$6,".",IF(A7196=".",1,A7196+1))</f>
        <v>.</v>
      </c>
      <c r="B7197" s="244" t="str">
        <f t="shared" si="112"/>
        <v/>
      </c>
    </row>
    <row r="7198" spans="1:2" x14ac:dyDescent="0.25">
      <c r="A7198" t="str">
        <f>IF(C7198&amp;G7198&amp;D7198&lt;&gt;'Funnel setup'!$K$3&amp;'Funnel setup'!$K$4&amp;'Funnel setup'!$K$6,".",IF(A7197=".",1,A7197+1))</f>
        <v>.</v>
      </c>
      <c r="B7198" s="244" t="str">
        <f t="shared" si="112"/>
        <v/>
      </c>
    </row>
    <row r="7199" spans="1:2" x14ac:dyDescent="0.25">
      <c r="A7199" t="str">
        <f>IF(C7199&amp;G7199&amp;D7199&lt;&gt;'Funnel setup'!$K$3&amp;'Funnel setup'!$K$4&amp;'Funnel setup'!$K$6,".",IF(A7198=".",1,A7198+1))</f>
        <v>.</v>
      </c>
      <c r="B7199" s="244" t="str">
        <f t="shared" si="112"/>
        <v/>
      </c>
    </row>
    <row r="7200" spans="1:2" x14ac:dyDescent="0.25">
      <c r="A7200" t="str">
        <f>IF(C7200&amp;G7200&amp;D7200&lt;&gt;'Funnel setup'!$K$3&amp;'Funnel setup'!$K$4&amp;'Funnel setup'!$K$6,".",IF(A7199=".",1,A7199+1))</f>
        <v>.</v>
      </c>
      <c r="B7200" s="244" t="str">
        <f t="shared" si="112"/>
        <v/>
      </c>
    </row>
    <row r="7201" spans="1:2" x14ac:dyDescent="0.25">
      <c r="A7201" t="str">
        <f>IF(C7201&amp;G7201&amp;D7201&lt;&gt;'Funnel setup'!$K$3&amp;'Funnel setup'!$K$4&amp;'Funnel setup'!$K$6,".",IF(A7200=".",1,A7200+1))</f>
        <v>.</v>
      </c>
      <c r="B7201" s="244" t="str">
        <f t="shared" si="112"/>
        <v/>
      </c>
    </row>
    <row r="7202" spans="1:2" x14ac:dyDescent="0.25">
      <c r="A7202" t="str">
        <f>IF(C7202&amp;G7202&amp;D7202&lt;&gt;'Funnel setup'!$K$3&amp;'Funnel setup'!$K$4&amp;'Funnel setup'!$K$6,".",IF(A7201=".",1,A7201+1))</f>
        <v>.</v>
      </c>
      <c r="B7202" s="244" t="str">
        <f t="shared" si="112"/>
        <v/>
      </c>
    </row>
    <row r="7203" spans="1:2" x14ac:dyDescent="0.25">
      <c r="A7203" t="str">
        <f>IF(C7203&amp;G7203&amp;D7203&lt;&gt;'Funnel setup'!$K$3&amp;'Funnel setup'!$K$4&amp;'Funnel setup'!$K$6,".",IF(A7202=".",1,A7202+1))</f>
        <v>.</v>
      </c>
      <c r="B7203" s="244" t="str">
        <f t="shared" si="112"/>
        <v/>
      </c>
    </row>
    <row r="7204" spans="1:2" x14ac:dyDescent="0.25">
      <c r="A7204" t="str">
        <f>IF(C7204&amp;G7204&amp;D7204&lt;&gt;'Funnel setup'!$K$3&amp;'Funnel setup'!$K$4&amp;'Funnel setup'!$K$6,".",IF(A7203=".",1,A7203+1))</f>
        <v>.</v>
      </c>
      <c r="B7204" s="244" t="str">
        <f t="shared" si="112"/>
        <v/>
      </c>
    </row>
    <row r="7205" spans="1:2" x14ac:dyDescent="0.25">
      <c r="A7205" t="str">
        <f>IF(C7205&amp;G7205&amp;D7205&lt;&gt;'Funnel setup'!$K$3&amp;'Funnel setup'!$K$4&amp;'Funnel setup'!$K$6,".",IF(A7204=".",1,A7204+1))</f>
        <v>.</v>
      </c>
      <c r="B7205" s="244" t="str">
        <f t="shared" si="112"/>
        <v/>
      </c>
    </row>
    <row r="7206" spans="1:2" x14ac:dyDescent="0.25">
      <c r="A7206" t="str">
        <f>IF(C7206&amp;G7206&amp;D7206&lt;&gt;'Funnel setup'!$K$3&amp;'Funnel setup'!$K$4&amp;'Funnel setup'!$K$6,".",IF(A7205=".",1,A7205+1))</f>
        <v>.</v>
      </c>
      <c r="B7206" s="244" t="str">
        <f t="shared" si="112"/>
        <v/>
      </c>
    </row>
    <row r="7207" spans="1:2" x14ac:dyDescent="0.25">
      <c r="A7207" t="str">
        <f>IF(C7207&amp;G7207&amp;D7207&lt;&gt;'Funnel setup'!$K$3&amp;'Funnel setup'!$K$4&amp;'Funnel setup'!$K$6,".",IF(A7206=".",1,A7206+1))</f>
        <v>.</v>
      </c>
      <c r="B7207" s="244" t="str">
        <f t="shared" si="112"/>
        <v/>
      </c>
    </row>
    <row r="7208" spans="1:2" x14ac:dyDescent="0.25">
      <c r="A7208" t="str">
        <f>IF(C7208&amp;G7208&amp;D7208&lt;&gt;'Funnel setup'!$K$3&amp;'Funnel setup'!$K$4&amp;'Funnel setup'!$K$6,".",IF(A7207=".",1,A7207+1))</f>
        <v>.</v>
      </c>
      <c r="B7208" s="244" t="str">
        <f t="shared" si="112"/>
        <v/>
      </c>
    </row>
    <row r="7209" spans="1:2" x14ac:dyDescent="0.25">
      <c r="A7209" t="str">
        <f>IF(C7209&amp;G7209&amp;D7209&lt;&gt;'Funnel setup'!$K$3&amp;'Funnel setup'!$K$4&amp;'Funnel setup'!$K$6,".",IF(A7208=".",1,A7208+1))</f>
        <v>.</v>
      </c>
      <c r="B7209" s="244" t="str">
        <f t="shared" si="112"/>
        <v/>
      </c>
    </row>
    <row r="7210" spans="1:2" x14ac:dyDescent="0.25">
      <c r="A7210" t="str">
        <f>IF(C7210&amp;G7210&amp;D7210&lt;&gt;'Funnel setup'!$K$3&amp;'Funnel setup'!$K$4&amp;'Funnel setup'!$K$6,".",IF(A7209=".",1,A7209+1))</f>
        <v>.</v>
      </c>
      <c r="B7210" s="244" t="str">
        <f t="shared" si="112"/>
        <v/>
      </c>
    </row>
    <row r="7211" spans="1:2" x14ac:dyDescent="0.25">
      <c r="A7211" t="str">
        <f>IF(C7211&amp;G7211&amp;D7211&lt;&gt;'Funnel setup'!$K$3&amp;'Funnel setup'!$K$4&amp;'Funnel setup'!$K$6,".",IF(A7210=".",1,A7210+1))</f>
        <v>.</v>
      </c>
      <c r="B7211" s="244" t="str">
        <f t="shared" si="112"/>
        <v/>
      </c>
    </row>
    <row r="7212" spans="1:2" x14ac:dyDescent="0.25">
      <c r="A7212" t="str">
        <f>IF(C7212&amp;G7212&amp;D7212&lt;&gt;'Funnel setup'!$K$3&amp;'Funnel setup'!$K$4&amp;'Funnel setup'!$K$6,".",IF(A7211=".",1,A7211+1))</f>
        <v>.</v>
      </c>
      <c r="B7212" s="244" t="str">
        <f t="shared" si="112"/>
        <v/>
      </c>
    </row>
    <row r="7213" spans="1:2" x14ac:dyDescent="0.25">
      <c r="A7213" t="str">
        <f>IF(C7213&amp;G7213&amp;D7213&lt;&gt;'Funnel setup'!$K$3&amp;'Funnel setup'!$K$4&amp;'Funnel setup'!$K$6,".",IF(A7212=".",1,A7212+1))</f>
        <v>.</v>
      </c>
      <c r="B7213" s="244" t="str">
        <f t="shared" si="112"/>
        <v/>
      </c>
    </row>
    <row r="7214" spans="1:2" x14ac:dyDescent="0.25">
      <c r="A7214" t="str">
        <f>IF(C7214&amp;G7214&amp;D7214&lt;&gt;'Funnel setup'!$K$3&amp;'Funnel setup'!$K$4&amp;'Funnel setup'!$K$6,".",IF(A7213=".",1,A7213+1))</f>
        <v>.</v>
      </c>
      <c r="B7214" s="244" t="str">
        <f t="shared" si="112"/>
        <v/>
      </c>
    </row>
    <row r="7215" spans="1:2" x14ac:dyDescent="0.25">
      <c r="A7215" t="str">
        <f>IF(C7215&amp;G7215&amp;D7215&lt;&gt;'Funnel setup'!$K$3&amp;'Funnel setup'!$K$4&amp;'Funnel setup'!$K$6,".",IF(A7214=".",1,A7214+1))</f>
        <v>.</v>
      </c>
      <c r="B7215" s="244" t="str">
        <f t="shared" si="112"/>
        <v/>
      </c>
    </row>
    <row r="7216" spans="1:2" x14ac:dyDescent="0.25">
      <c r="A7216" t="str">
        <f>IF(C7216&amp;G7216&amp;D7216&lt;&gt;'Funnel setup'!$K$3&amp;'Funnel setup'!$K$4&amp;'Funnel setup'!$K$6,".",IF(A7215=".",1,A7215+1))</f>
        <v>.</v>
      </c>
      <c r="B7216" s="244" t="str">
        <f t="shared" si="112"/>
        <v/>
      </c>
    </row>
    <row r="7217" spans="1:2" x14ac:dyDescent="0.25">
      <c r="A7217" t="str">
        <f>IF(C7217&amp;G7217&amp;D7217&lt;&gt;'Funnel setup'!$K$3&amp;'Funnel setup'!$K$4&amp;'Funnel setup'!$K$6,".",IF(A7216=".",1,A7216+1))</f>
        <v>.</v>
      </c>
      <c r="B7217" s="244" t="str">
        <f t="shared" si="112"/>
        <v/>
      </c>
    </row>
    <row r="7218" spans="1:2" x14ac:dyDescent="0.25">
      <c r="A7218" t="str">
        <f>IF(C7218&amp;G7218&amp;D7218&lt;&gt;'Funnel setup'!$K$3&amp;'Funnel setup'!$K$4&amp;'Funnel setup'!$K$6,".",IF(A7217=".",1,A7217+1))</f>
        <v>.</v>
      </c>
      <c r="B7218" s="244" t="str">
        <f t="shared" si="112"/>
        <v/>
      </c>
    </row>
    <row r="7219" spans="1:2" x14ac:dyDescent="0.25">
      <c r="A7219" t="str">
        <f>IF(C7219&amp;G7219&amp;D7219&lt;&gt;'Funnel setup'!$K$3&amp;'Funnel setup'!$K$4&amp;'Funnel setup'!$K$6,".",IF(A7218=".",1,A7218+1))</f>
        <v>.</v>
      </c>
      <c r="B7219" s="244" t="str">
        <f t="shared" si="112"/>
        <v/>
      </c>
    </row>
    <row r="7220" spans="1:2" x14ac:dyDescent="0.25">
      <c r="A7220" t="str">
        <f>IF(C7220&amp;G7220&amp;D7220&lt;&gt;'Funnel setup'!$K$3&amp;'Funnel setup'!$K$4&amp;'Funnel setup'!$K$6,".",IF(A7219=".",1,A7219+1))</f>
        <v>.</v>
      </c>
      <c r="B7220" s="244" t="str">
        <f t="shared" si="112"/>
        <v/>
      </c>
    </row>
    <row r="7221" spans="1:2" x14ac:dyDescent="0.25">
      <c r="A7221" t="str">
        <f>IF(C7221&amp;G7221&amp;D7221&lt;&gt;'Funnel setup'!$K$3&amp;'Funnel setup'!$K$4&amp;'Funnel setup'!$K$6,".",IF(A7220=".",1,A7220+1))</f>
        <v>.</v>
      </c>
      <c r="B7221" s="244" t="str">
        <f t="shared" si="112"/>
        <v/>
      </c>
    </row>
    <row r="7222" spans="1:2" x14ac:dyDescent="0.25">
      <c r="A7222" t="str">
        <f>IF(C7222&amp;G7222&amp;D7222&lt;&gt;'Funnel setup'!$K$3&amp;'Funnel setup'!$K$4&amp;'Funnel setup'!$K$6,".",IF(A7221=".",1,A7221+1))</f>
        <v>.</v>
      </c>
      <c r="B7222" s="244" t="str">
        <f t="shared" si="112"/>
        <v/>
      </c>
    </row>
    <row r="7223" spans="1:2" x14ac:dyDescent="0.25">
      <c r="A7223" t="str">
        <f>IF(C7223&amp;G7223&amp;D7223&lt;&gt;'Funnel setup'!$K$3&amp;'Funnel setup'!$K$4&amp;'Funnel setup'!$K$6,".",IF(A7222=".",1,A7222+1))</f>
        <v>.</v>
      </c>
      <c r="B7223" s="244" t="str">
        <f t="shared" si="112"/>
        <v/>
      </c>
    </row>
    <row r="7224" spans="1:2" x14ac:dyDescent="0.25">
      <c r="A7224" t="str">
        <f>IF(C7224&amp;G7224&amp;D7224&lt;&gt;'Funnel setup'!$K$3&amp;'Funnel setup'!$K$4&amp;'Funnel setup'!$K$6,".",IF(A7223=".",1,A7223+1))</f>
        <v>.</v>
      </c>
      <c r="B7224" s="244" t="str">
        <f t="shared" si="112"/>
        <v/>
      </c>
    </row>
    <row r="7225" spans="1:2" x14ac:dyDescent="0.25">
      <c r="A7225" t="str">
        <f>IF(C7225&amp;G7225&amp;D7225&lt;&gt;'Funnel setup'!$K$3&amp;'Funnel setup'!$K$4&amp;'Funnel setup'!$K$6,".",IF(A7224=".",1,A7224+1))</f>
        <v>.</v>
      </c>
      <c r="B7225" s="244" t="str">
        <f t="shared" si="112"/>
        <v/>
      </c>
    </row>
    <row r="7226" spans="1:2" x14ac:dyDescent="0.25">
      <c r="A7226" t="str">
        <f>IF(C7226&amp;G7226&amp;D7226&lt;&gt;'Funnel setup'!$K$3&amp;'Funnel setup'!$K$4&amp;'Funnel setup'!$K$6,".",IF(A7225=".",1,A7225+1))</f>
        <v>.</v>
      </c>
      <c r="B7226" s="244" t="str">
        <f t="shared" si="112"/>
        <v/>
      </c>
    </row>
    <row r="7227" spans="1:2" x14ac:dyDescent="0.25">
      <c r="A7227" t="str">
        <f>IF(C7227&amp;G7227&amp;D7227&lt;&gt;'Funnel setup'!$K$3&amp;'Funnel setup'!$K$4&amp;'Funnel setup'!$K$6,".",IF(A7226=".",1,A7226+1))</f>
        <v>.</v>
      </c>
      <c r="B7227" s="244" t="str">
        <f t="shared" si="112"/>
        <v/>
      </c>
    </row>
    <row r="7228" spans="1:2" x14ac:dyDescent="0.25">
      <c r="A7228" t="str">
        <f>IF(C7228&amp;G7228&amp;D7228&lt;&gt;'Funnel setup'!$K$3&amp;'Funnel setup'!$K$4&amp;'Funnel setup'!$K$6,".",IF(A7227=".",1,A7227+1))</f>
        <v>.</v>
      </c>
      <c r="B7228" s="244" t="str">
        <f t="shared" si="112"/>
        <v/>
      </c>
    </row>
    <row r="7229" spans="1:2" x14ac:dyDescent="0.25">
      <c r="A7229" t="str">
        <f>IF(C7229&amp;G7229&amp;D7229&lt;&gt;'Funnel setup'!$K$3&amp;'Funnel setup'!$K$4&amp;'Funnel setup'!$K$6,".",IF(A7228=".",1,A7228+1))</f>
        <v>.</v>
      </c>
      <c r="B7229" s="244" t="str">
        <f t="shared" si="112"/>
        <v/>
      </c>
    </row>
    <row r="7230" spans="1:2" x14ac:dyDescent="0.25">
      <c r="A7230" t="str">
        <f>IF(C7230&amp;G7230&amp;D7230&lt;&gt;'Funnel setup'!$K$3&amp;'Funnel setup'!$K$4&amp;'Funnel setup'!$K$6,".",IF(A7229=".",1,A7229+1))</f>
        <v>.</v>
      </c>
      <c r="B7230" s="244" t="str">
        <f t="shared" si="112"/>
        <v/>
      </c>
    </row>
    <row r="7231" spans="1:2" x14ac:dyDescent="0.25">
      <c r="A7231" t="str">
        <f>IF(C7231&amp;G7231&amp;D7231&lt;&gt;'Funnel setup'!$K$3&amp;'Funnel setup'!$K$4&amp;'Funnel setup'!$K$6,".",IF(A7230=".",1,A7230+1))</f>
        <v>.</v>
      </c>
      <c r="B7231" s="244" t="str">
        <f t="shared" si="112"/>
        <v/>
      </c>
    </row>
    <row r="7232" spans="1:2" x14ac:dyDescent="0.25">
      <c r="A7232" t="str">
        <f>IF(C7232&amp;G7232&amp;D7232&lt;&gt;'Funnel setup'!$K$3&amp;'Funnel setup'!$K$4&amp;'Funnel setup'!$K$6,".",IF(A7231=".",1,A7231+1))</f>
        <v>.</v>
      </c>
      <c r="B7232" s="244" t="str">
        <f t="shared" si="112"/>
        <v/>
      </c>
    </row>
    <row r="7233" spans="1:2" x14ac:dyDescent="0.25">
      <c r="A7233" t="str">
        <f>IF(C7233&amp;G7233&amp;D7233&lt;&gt;'Funnel setup'!$K$3&amp;'Funnel setup'!$K$4&amp;'Funnel setup'!$K$6,".",IF(A7232=".",1,A7232+1))</f>
        <v>.</v>
      </c>
      <c r="B7233" s="244" t="str">
        <f t="shared" si="112"/>
        <v/>
      </c>
    </row>
    <row r="7234" spans="1:2" x14ac:dyDescent="0.25">
      <c r="A7234" t="str">
        <f>IF(C7234&amp;G7234&amp;D7234&lt;&gt;'Funnel setup'!$K$3&amp;'Funnel setup'!$K$4&amp;'Funnel setup'!$K$6,".",IF(A7233=".",1,A7233+1))</f>
        <v>.</v>
      </c>
      <c r="B7234" s="244" t="str">
        <f t="shared" ref="B7234:B7297" si="113">C7234&amp;D7234&amp;F7234&amp;G7234</f>
        <v/>
      </c>
    </row>
    <row r="7235" spans="1:2" x14ac:dyDescent="0.25">
      <c r="A7235" t="str">
        <f>IF(C7235&amp;G7235&amp;D7235&lt;&gt;'Funnel setup'!$K$3&amp;'Funnel setup'!$K$4&amp;'Funnel setup'!$K$6,".",IF(A7234=".",1,A7234+1))</f>
        <v>.</v>
      </c>
      <c r="B7235" s="244" t="str">
        <f t="shared" si="113"/>
        <v/>
      </c>
    </row>
    <row r="7236" spans="1:2" x14ac:dyDescent="0.25">
      <c r="A7236" t="str">
        <f>IF(C7236&amp;G7236&amp;D7236&lt;&gt;'Funnel setup'!$K$3&amp;'Funnel setup'!$K$4&amp;'Funnel setup'!$K$6,".",IF(A7235=".",1,A7235+1))</f>
        <v>.</v>
      </c>
      <c r="B7236" s="244" t="str">
        <f t="shared" si="113"/>
        <v/>
      </c>
    </row>
    <row r="7237" spans="1:2" x14ac:dyDescent="0.25">
      <c r="A7237" t="str">
        <f>IF(C7237&amp;G7237&amp;D7237&lt;&gt;'Funnel setup'!$K$3&amp;'Funnel setup'!$K$4&amp;'Funnel setup'!$K$6,".",IF(A7236=".",1,A7236+1))</f>
        <v>.</v>
      </c>
      <c r="B7237" s="244" t="str">
        <f t="shared" si="113"/>
        <v/>
      </c>
    </row>
    <row r="7238" spans="1:2" x14ac:dyDescent="0.25">
      <c r="A7238" t="str">
        <f>IF(C7238&amp;G7238&amp;D7238&lt;&gt;'Funnel setup'!$K$3&amp;'Funnel setup'!$K$4&amp;'Funnel setup'!$K$6,".",IF(A7237=".",1,A7237+1))</f>
        <v>.</v>
      </c>
      <c r="B7238" s="244" t="str">
        <f t="shared" si="113"/>
        <v/>
      </c>
    </row>
    <row r="7239" spans="1:2" x14ac:dyDescent="0.25">
      <c r="A7239" t="str">
        <f>IF(C7239&amp;G7239&amp;D7239&lt;&gt;'Funnel setup'!$K$3&amp;'Funnel setup'!$K$4&amp;'Funnel setup'!$K$6,".",IF(A7238=".",1,A7238+1))</f>
        <v>.</v>
      </c>
      <c r="B7239" s="244" t="str">
        <f t="shared" si="113"/>
        <v/>
      </c>
    </row>
    <row r="7240" spans="1:2" x14ac:dyDescent="0.25">
      <c r="A7240" t="str">
        <f>IF(C7240&amp;G7240&amp;D7240&lt;&gt;'Funnel setup'!$K$3&amp;'Funnel setup'!$K$4&amp;'Funnel setup'!$K$6,".",IF(A7239=".",1,A7239+1))</f>
        <v>.</v>
      </c>
      <c r="B7240" s="244" t="str">
        <f t="shared" si="113"/>
        <v/>
      </c>
    </row>
    <row r="7241" spans="1:2" x14ac:dyDescent="0.25">
      <c r="A7241" t="str">
        <f>IF(C7241&amp;G7241&amp;D7241&lt;&gt;'Funnel setup'!$K$3&amp;'Funnel setup'!$K$4&amp;'Funnel setup'!$K$6,".",IF(A7240=".",1,A7240+1))</f>
        <v>.</v>
      </c>
      <c r="B7241" s="244" t="str">
        <f t="shared" si="113"/>
        <v/>
      </c>
    </row>
    <row r="7242" spans="1:2" x14ac:dyDescent="0.25">
      <c r="A7242" t="str">
        <f>IF(C7242&amp;G7242&amp;D7242&lt;&gt;'Funnel setup'!$K$3&amp;'Funnel setup'!$K$4&amp;'Funnel setup'!$K$6,".",IF(A7241=".",1,A7241+1))</f>
        <v>.</v>
      </c>
      <c r="B7242" s="244" t="str">
        <f t="shared" si="113"/>
        <v/>
      </c>
    </row>
    <row r="7243" spans="1:2" x14ac:dyDescent="0.25">
      <c r="A7243" t="str">
        <f>IF(C7243&amp;G7243&amp;D7243&lt;&gt;'Funnel setup'!$K$3&amp;'Funnel setup'!$K$4&amp;'Funnel setup'!$K$6,".",IF(A7242=".",1,A7242+1))</f>
        <v>.</v>
      </c>
      <c r="B7243" s="244" t="str">
        <f t="shared" si="113"/>
        <v/>
      </c>
    </row>
    <row r="7244" spans="1:2" x14ac:dyDescent="0.25">
      <c r="A7244" t="str">
        <f>IF(C7244&amp;G7244&amp;D7244&lt;&gt;'Funnel setup'!$K$3&amp;'Funnel setup'!$K$4&amp;'Funnel setup'!$K$6,".",IF(A7243=".",1,A7243+1))</f>
        <v>.</v>
      </c>
      <c r="B7244" s="244" t="str">
        <f t="shared" si="113"/>
        <v/>
      </c>
    </row>
    <row r="7245" spans="1:2" x14ac:dyDescent="0.25">
      <c r="A7245" t="str">
        <f>IF(C7245&amp;G7245&amp;D7245&lt;&gt;'Funnel setup'!$K$3&amp;'Funnel setup'!$K$4&amp;'Funnel setup'!$K$6,".",IF(A7244=".",1,A7244+1))</f>
        <v>.</v>
      </c>
      <c r="B7245" s="244" t="str">
        <f t="shared" si="113"/>
        <v/>
      </c>
    </row>
    <row r="7246" spans="1:2" x14ac:dyDescent="0.25">
      <c r="A7246" t="str">
        <f>IF(C7246&amp;G7246&amp;D7246&lt;&gt;'Funnel setup'!$K$3&amp;'Funnel setup'!$K$4&amp;'Funnel setup'!$K$6,".",IF(A7245=".",1,A7245+1))</f>
        <v>.</v>
      </c>
      <c r="B7246" s="244" t="str">
        <f t="shared" si="113"/>
        <v/>
      </c>
    </row>
    <row r="7247" spans="1:2" x14ac:dyDescent="0.25">
      <c r="A7247" t="str">
        <f>IF(C7247&amp;G7247&amp;D7247&lt;&gt;'Funnel setup'!$K$3&amp;'Funnel setup'!$K$4&amp;'Funnel setup'!$K$6,".",IF(A7246=".",1,A7246+1))</f>
        <v>.</v>
      </c>
      <c r="B7247" s="244" t="str">
        <f t="shared" si="113"/>
        <v/>
      </c>
    </row>
    <row r="7248" spans="1:2" x14ac:dyDescent="0.25">
      <c r="A7248" t="str">
        <f>IF(C7248&amp;G7248&amp;D7248&lt;&gt;'Funnel setup'!$K$3&amp;'Funnel setup'!$K$4&amp;'Funnel setup'!$K$6,".",IF(A7247=".",1,A7247+1))</f>
        <v>.</v>
      </c>
      <c r="B7248" s="244" t="str">
        <f t="shared" si="113"/>
        <v/>
      </c>
    </row>
    <row r="7249" spans="1:2" x14ac:dyDescent="0.25">
      <c r="A7249" t="str">
        <f>IF(C7249&amp;G7249&amp;D7249&lt;&gt;'Funnel setup'!$K$3&amp;'Funnel setup'!$K$4&amp;'Funnel setup'!$K$6,".",IF(A7248=".",1,A7248+1))</f>
        <v>.</v>
      </c>
      <c r="B7249" s="244" t="str">
        <f t="shared" si="113"/>
        <v/>
      </c>
    </row>
    <row r="7250" spans="1:2" x14ac:dyDescent="0.25">
      <c r="A7250" t="str">
        <f>IF(C7250&amp;G7250&amp;D7250&lt;&gt;'Funnel setup'!$K$3&amp;'Funnel setup'!$K$4&amp;'Funnel setup'!$K$6,".",IF(A7249=".",1,A7249+1))</f>
        <v>.</v>
      </c>
      <c r="B7250" s="244" t="str">
        <f t="shared" si="113"/>
        <v/>
      </c>
    </row>
    <row r="7251" spans="1:2" x14ac:dyDescent="0.25">
      <c r="A7251" t="str">
        <f>IF(C7251&amp;G7251&amp;D7251&lt;&gt;'Funnel setup'!$K$3&amp;'Funnel setup'!$K$4&amp;'Funnel setup'!$K$6,".",IF(A7250=".",1,A7250+1))</f>
        <v>.</v>
      </c>
      <c r="B7251" s="244" t="str">
        <f t="shared" si="113"/>
        <v/>
      </c>
    </row>
    <row r="7252" spans="1:2" x14ac:dyDescent="0.25">
      <c r="A7252" t="str">
        <f>IF(C7252&amp;G7252&amp;D7252&lt;&gt;'Funnel setup'!$K$3&amp;'Funnel setup'!$K$4&amp;'Funnel setup'!$K$6,".",IF(A7251=".",1,A7251+1))</f>
        <v>.</v>
      </c>
      <c r="B7252" s="244" t="str">
        <f t="shared" si="113"/>
        <v/>
      </c>
    </row>
    <row r="7253" spans="1:2" x14ac:dyDescent="0.25">
      <c r="A7253" t="str">
        <f>IF(C7253&amp;G7253&amp;D7253&lt;&gt;'Funnel setup'!$K$3&amp;'Funnel setup'!$K$4&amp;'Funnel setup'!$K$6,".",IF(A7252=".",1,A7252+1))</f>
        <v>.</v>
      </c>
      <c r="B7253" s="244" t="str">
        <f t="shared" si="113"/>
        <v/>
      </c>
    </row>
    <row r="7254" spans="1:2" x14ac:dyDescent="0.25">
      <c r="A7254" t="str">
        <f>IF(C7254&amp;G7254&amp;D7254&lt;&gt;'Funnel setup'!$K$3&amp;'Funnel setup'!$K$4&amp;'Funnel setup'!$K$6,".",IF(A7253=".",1,A7253+1))</f>
        <v>.</v>
      </c>
      <c r="B7254" s="244" t="str">
        <f t="shared" si="113"/>
        <v/>
      </c>
    </row>
    <row r="7255" spans="1:2" x14ac:dyDescent="0.25">
      <c r="A7255" t="str">
        <f>IF(C7255&amp;G7255&amp;D7255&lt;&gt;'Funnel setup'!$K$3&amp;'Funnel setup'!$K$4&amp;'Funnel setup'!$K$6,".",IF(A7254=".",1,A7254+1))</f>
        <v>.</v>
      </c>
      <c r="B7255" s="244" t="str">
        <f t="shared" si="113"/>
        <v/>
      </c>
    </row>
    <row r="7256" spans="1:2" x14ac:dyDescent="0.25">
      <c r="A7256" t="str">
        <f>IF(C7256&amp;G7256&amp;D7256&lt;&gt;'Funnel setup'!$K$3&amp;'Funnel setup'!$K$4&amp;'Funnel setup'!$K$6,".",IF(A7255=".",1,A7255+1))</f>
        <v>.</v>
      </c>
      <c r="B7256" s="244" t="str">
        <f t="shared" si="113"/>
        <v/>
      </c>
    </row>
    <row r="7257" spans="1:2" x14ac:dyDescent="0.25">
      <c r="A7257" t="str">
        <f>IF(C7257&amp;G7257&amp;D7257&lt;&gt;'Funnel setup'!$K$3&amp;'Funnel setup'!$K$4&amp;'Funnel setup'!$K$6,".",IF(A7256=".",1,A7256+1))</f>
        <v>.</v>
      </c>
      <c r="B7257" s="244" t="str">
        <f t="shared" si="113"/>
        <v/>
      </c>
    </row>
    <row r="7258" spans="1:2" x14ac:dyDescent="0.25">
      <c r="A7258" t="str">
        <f>IF(C7258&amp;G7258&amp;D7258&lt;&gt;'Funnel setup'!$K$3&amp;'Funnel setup'!$K$4&amp;'Funnel setup'!$K$6,".",IF(A7257=".",1,A7257+1))</f>
        <v>.</v>
      </c>
      <c r="B7258" s="244" t="str">
        <f t="shared" si="113"/>
        <v/>
      </c>
    </row>
    <row r="7259" spans="1:2" x14ac:dyDescent="0.25">
      <c r="A7259" t="str">
        <f>IF(C7259&amp;G7259&amp;D7259&lt;&gt;'Funnel setup'!$K$3&amp;'Funnel setup'!$K$4&amp;'Funnel setup'!$K$6,".",IF(A7258=".",1,A7258+1))</f>
        <v>.</v>
      </c>
      <c r="B7259" s="244" t="str">
        <f t="shared" si="113"/>
        <v/>
      </c>
    </row>
    <row r="7260" spans="1:2" x14ac:dyDescent="0.25">
      <c r="A7260" t="str">
        <f>IF(C7260&amp;G7260&amp;D7260&lt;&gt;'Funnel setup'!$K$3&amp;'Funnel setup'!$K$4&amp;'Funnel setup'!$K$6,".",IF(A7259=".",1,A7259+1))</f>
        <v>.</v>
      </c>
      <c r="B7260" s="244" t="str">
        <f t="shared" si="113"/>
        <v/>
      </c>
    </row>
    <row r="7261" spans="1:2" x14ac:dyDescent="0.25">
      <c r="A7261" t="str">
        <f>IF(C7261&amp;G7261&amp;D7261&lt;&gt;'Funnel setup'!$K$3&amp;'Funnel setup'!$K$4&amp;'Funnel setup'!$K$6,".",IF(A7260=".",1,A7260+1))</f>
        <v>.</v>
      </c>
      <c r="B7261" s="244" t="str">
        <f t="shared" si="113"/>
        <v/>
      </c>
    </row>
    <row r="7262" spans="1:2" x14ac:dyDescent="0.25">
      <c r="A7262" t="str">
        <f>IF(C7262&amp;G7262&amp;D7262&lt;&gt;'Funnel setup'!$K$3&amp;'Funnel setup'!$K$4&amp;'Funnel setup'!$K$6,".",IF(A7261=".",1,A7261+1))</f>
        <v>.</v>
      </c>
      <c r="B7262" s="244" t="str">
        <f t="shared" si="113"/>
        <v/>
      </c>
    </row>
    <row r="7263" spans="1:2" x14ac:dyDescent="0.25">
      <c r="A7263" t="str">
        <f>IF(C7263&amp;G7263&amp;D7263&lt;&gt;'Funnel setup'!$K$3&amp;'Funnel setup'!$K$4&amp;'Funnel setup'!$K$6,".",IF(A7262=".",1,A7262+1))</f>
        <v>.</v>
      </c>
      <c r="B7263" s="244" t="str">
        <f t="shared" si="113"/>
        <v/>
      </c>
    </row>
    <row r="7264" spans="1:2" x14ac:dyDescent="0.25">
      <c r="A7264" t="str">
        <f>IF(C7264&amp;G7264&amp;D7264&lt;&gt;'Funnel setup'!$K$3&amp;'Funnel setup'!$K$4&amp;'Funnel setup'!$K$6,".",IF(A7263=".",1,A7263+1))</f>
        <v>.</v>
      </c>
      <c r="B7264" s="244" t="str">
        <f t="shared" si="113"/>
        <v/>
      </c>
    </row>
    <row r="7265" spans="1:2" x14ac:dyDescent="0.25">
      <c r="A7265" t="str">
        <f>IF(C7265&amp;G7265&amp;D7265&lt;&gt;'Funnel setup'!$K$3&amp;'Funnel setup'!$K$4&amp;'Funnel setup'!$K$6,".",IF(A7264=".",1,A7264+1))</f>
        <v>.</v>
      </c>
      <c r="B7265" s="244" t="str">
        <f t="shared" si="113"/>
        <v/>
      </c>
    </row>
    <row r="7266" spans="1:2" x14ac:dyDescent="0.25">
      <c r="A7266" t="str">
        <f>IF(C7266&amp;G7266&amp;D7266&lt;&gt;'Funnel setup'!$K$3&amp;'Funnel setup'!$K$4&amp;'Funnel setup'!$K$6,".",IF(A7265=".",1,A7265+1))</f>
        <v>.</v>
      </c>
      <c r="B7266" s="244" t="str">
        <f t="shared" si="113"/>
        <v/>
      </c>
    </row>
    <row r="7267" spans="1:2" x14ac:dyDescent="0.25">
      <c r="A7267" t="str">
        <f>IF(C7267&amp;G7267&amp;D7267&lt;&gt;'Funnel setup'!$K$3&amp;'Funnel setup'!$K$4&amp;'Funnel setup'!$K$6,".",IF(A7266=".",1,A7266+1))</f>
        <v>.</v>
      </c>
      <c r="B7267" s="244" t="str">
        <f t="shared" si="113"/>
        <v/>
      </c>
    </row>
    <row r="7268" spans="1:2" x14ac:dyDescent="0.25">
      <c r="A7268" t="str">
        <f>IF(C7268&amp;G7268&amp;D7268&lt;&gt;'Funnel setup'!$K$3&amp;'Funnel setup'!$K$4&amp;'Funnel setup'!$K$6,".",IF(A7267=".",1,A7267+1))</f>
        <v>.</v>
      </c>
      <c r="B7268" s="244" t="str">
        <f t="shared" si="113"/>
        <v/>
      </c>
    </row>
    <row r="7269" spans="1:2" x14ac:dyDescent="0.25">
      <c r="A7269" t="str">
        <f>IF(C7269&amp;G7269&amp;D7269&lt;&gt;'Funnel setup'!$K$3&amp;'Funnel setup'!$K$4&amp;'Funnel setup'!$K$6,".",IF(A7268=".",1,A7268+1))</f>
        <v>.</v>
      </c>
      <c r="B7269" s="244" t="str">
        <f t="shared" si="113"/>
        <v/>
      </c>
    </row>
    <row r="7270" spans="1:2" x14ac:dyDescent="0.25">
      <c r="A7270" t="str">
        <f>IF(C7270&amp;G7270&amp;D7270&lt;&gt;'Funnel setup'!$K$3&amp;'Funnel setup'!$K$4&amp;'Funnel setup'!$K$6,".",IF(A7269=".",1,A7269+1))</f>
        <v>.</v>
      </c>
      <c r="B7270" s="244" t="str">
        <f t="shared" si="113"/>
        <v/>
      </c>
    </row>
    <row r="7271" spans="1:2" x14ac:dyDescent="0.25">
      <c r="A7271" t="str">
        <f>IF(C7271&amp;G7271&amp;D7271&lt;&gt;'Funnel setup'!$K$3&amp;'Funnel setup'!$K$4&amp;'Funnel setup'!$K$6,".",IF(A7270=".",1,A7270+1))</f>
        <v>.</v>
      </c>
      <c r="B7271" s="244" t="str">
        <f t="shared" si="113"/>
        <v/>
      </c>
    </row>
    <row r="7272" spans="1:2" x14ac:dyDescent="0.25">
      <c r="A7272" t="str">
        <f>IF(C7272&amp;G7272&amp;D7272&lt;&gt;'Funnel setup'!$K$3&amp;'Funnel setup'!$K$4&amp;'Funnel setup'!$K$6,".",IF(A7271=".",1,A7271+1))</f>
        <v>.</v>
      </c>
      <c r="B7272" s="244" t="str">
        <f t="shared" si="113"/>
        <v/>
      </c>
    </row>
    <row r="7273" spans="1:2" x14ac:dyDescent="0.25">
      <c r="A7273" t="str">
        <f>IF(C7273&amp;G7273&amp;D7273&lt;&gt;'Funnel setup'!$K$3&amp;'Funnel setup'!$K$4&amp;'Funnel setup'!$K$6,".",IF(A7272=".",1,A7272+1))</f>
        <v>.</v>
      </c>
      <c r="B7273" s="244" t="str">
        <f t="shared" si="113"/>
        <v/>
      </c>
    </row>
    <row r="7274" spans="1:2" x14ac:dyDescent="0.25">
      <c r="A7274" t="str">
        <f>IF(C7274&amp;G7274&amp;D7274&lt;&gt;'Funnel setup'!$K$3&amp;'Funnel setup'!$K$4&amp;'Funnel setup'!$K$6,".",IF(A7273=".",1,A7273+1))</f>
        <v>.</v>
      </c>
      <c r="B7274" s="244" t="str">
        <f t="shared" si="113"/>
        <v/>
      </c>
    </row>
    <row r="7275" spans="1:2" x14ac:dyDescent="0.25">
      <c r="A7275" t="str">
        <f>IF(C7275&amp;G7275&amp;D7275&lt;&gt;'Funnel setup'!$K$3&amp;'Funnel setup'!$K$4&amp;'Funnel setup'!$K$6,".",IF(A7274=".",1,A7274+1))</f>
        <v>.</v>
      </c>
      <c r="B7275" s="244" t="str">
        <f t="shared" si="113"/>
        <v/>
      </c>
    </row>
    <row r="7276" spans="1:2" x14ac:dyDescent="0.25">
      <c r="A7276" t="str">
        <f>IF(C7276&amp;G7276&amp;D7276&lt;&gt;'Funnel setup'!$K$3&amp;'Funnel setup'!$K$4&amp;'Funnel setup'!$K$6,".",IF(A7275=".",1,A7275+1))</f>
        <v>.</v>
      </c>
      <c r="B7276" s="244" t="str">
        <f t="shared" si="113"/>
        <v/>
      </c>
    </row>
    <row r="7277" spans="1:2" x14ac:dyDescent="0.25">
      <c r="A7277" t="str">
        <f>IF(C7277&amp;G7277&amp;D7277&lt;&gt;'Funnel setup'!$K$3&amp;'Funnel setup'!$K$4&amp;'Funnel setup'!$K$6,".",IF(A7276=".",1,A7276+1))</f>
        <v>.</v>
      </c>
      <c r="B7277" s="244" t="str">
        <f t="shared" si="113"/>
        <v/>
      </c>
    </row>
    <row r="7278" spans="1:2" x14ac:dyDescent="0.25">
      <c r="A7278" t="str">
        <f>IF(C7278&amp;G7278&amp;D7278&lt;&gt;'Funnel setup'!$K$3&amp;'Funnel setup'!$K$4&amp;'Funnel setup'!$K$6,".",IF(A7277=".",1,A7277+1))</f>
        <v>.</v>
      </c>
      <c r="B7278" s="244" t="str">
        <f t="shared" si="113"/>
        <v/>
      </c>
    </row>
    <row r="7279" spans="1:2" x14ac:dyDescent="0.25">
      <c r="A7279" t="str">
        <f>IF(C7279&amp;G7279&amp;D7279&lt;&gt;'Funnel setup'!$K$3&amp;'Funnel setup'!$K$4&amp;'Funnel setup'!$K$6,".",IF(A7278=".",1,A7278+1))</f>
        <v>.</v>
      </c>
      <c r="B7279" s="244" t="str">
        <f t="shared" si="113"/>
        <v/>
      </c>
    </row>
    <row r="7280" spans="1:2" x14ac:dyDescent="0.25">
      <c r="A7280" t="str">
        <f>IF(C7280&amp;G7280&amp;D7280&lt;&gt;'Funnel setup'!$K$3&amp;'Funnel setup'!$K$4&amp;'Funnel setup'!$K$6,".",IF(A7279=".",1,A7279+1))</f>
        <v>.</v>
      </c>
      <c r="B7280" s="244" t="str">
        <f t="shared" si="113"/>
        <v/>
      </c>
    </row>
    <row r="7281" spans="1:2" x14ac:dyDescent="0.25">
      <c r="A7281" t="str">
        <f>IF(C7281&amp;G7281&amp;D7281&lt;&gt;'Funnel setup'!$K$3&amp;'Funnel setup'!$K$4&amp;'Funnel setup'!$K$6,".",IF(A7280=".",1,A7280+1))</f>
        <v>.</v>
      </c>
      <c r="B7281" s="244" t="str">
        <f t="shared" si="113"/>
        <v/>
      </c>
    </row>
    <row r="7282" spans="1:2" x14ac:dyDescent="0.25">
      <c r="A7282" t="str">
        <f>IF(C7282&amp;G7282&amp;D7282&lt;&gt;'Funnel setup'!$K$3&amp;'Funnel setup'!$K$4&amp;'Funnel setup'!$K$6,".",IF(A7281=".",1,A7281+1))</f>
        <v>.</v>
      </c>
      <c r="B7282" s="244" t="str">
        <f t="shared" si="113"/>
        <v/>
      </c>
    </row>
    <row r="7283" spans="1:2" x14ac:dyDescent="0.25">
      <c r="A7283" t="str">
        <f>IF(C7283&amp;G7283&amp;D7283&lt;&gt;'Funnel setup'!$K$3&amp;'Funnel setup'!$K$4&amp;'Funnel setup'!$K$6,".",IF(A7282=".",1,A7282+1))</f>
        <v>.</v>
      </c>
      <c r="B7283" s="244" t="str">
        <f t="shared" si="113"/>
        <v/>
      </c>
    </row>
    <row r="7284" spans="1:2" x14ac:dyDescent="0.25">
      <c r="A7284" t="str">
        <f>IF(C7284&amp;G7284&amp;D7284&lt;&gt;'Funnel setup'!$K$3&amp;'Funnel setup'!$K$4&amp;'Funnel setup'!$K$6,".",IF(A7283=".",1,A7283+1))</f>
        <v>.</v>
      </c>
      <c r="B7284" s="244" t="str">
        <f t="shared" si="113"/>
        <v/>
      </c>
    </row>
    <row r="7285" spans="1:2" x14ac:dyDescent="0.25">
      <c r="A7285" t="str">
        <f>IF(C7285&amp;G7285&amp;D7285&lt;&gt;'Funnel setup'!$K$3&amp;'Funnel setup'!$K$4&amp;'Funnel setup'!$K$6,".",IF(A7284=".",1,A7284+1))</f>
        <v>.</v>
      </c>
      <c r="B7285" s="244" t="str">
        <f t="shared" si="113"/>
        <v/>
      </c>
    </row>
    <row r="7286" spans="1:2" x14ac:dyDescent="0.25">
      <c r="A7286" t="str">
        <f>IF(C7286&amp;G7286&amp;D7286&lt;&gt;'Funnel setup'!$K$3&amp;'Funnel setup'!$K$4&amp;'Funnel setup'!$K$6,".",IF(A7285=".",1,A7285+1))</f>
        <v>.</v>
      </c>
      <c r="B7286" s="244" t="str">
        <f t="shared" si="113"/>
        <v/>
      </c>
    </row>
    <row r="7287" spans="1:2" x14ac:dyDescent="0.25">
      <c r="A7287" t="str">
        <f>IF(C7287&amp;G7287&amp;D7287&lt;&gt;'Funnel setup'!$K$3&amp;'Funnel setup'!$K$4&amp;'Funnel setup'!$K$6,".",IF(A7286=".",1,A7286+1))</f>
        <v>.</v>
      </c>
      <c r="B7287" s="244" t="str">
        <f t="shared" si="113"/>
        <v/>
      </c>
    </row>
    <row r="7288" spans="1:2" x14ac:dyDescent="0.25">
      <c r="A7288" t="str">
        <f>IF(C7288&amp;G7288&amp;D7288&lt;&gt;'Funnel setup'!$K$3&amp;'Funnel setup'!$K$4&amp;'Funnel setup'!$K$6,".",IF(A7287=".",1,A7287+1))</f>
        <v>.</v>
      </c>
      <c r="B7288" s="244" t="str">
        <f t="shared" si="113"/>
        <v/>
      </c>
    </row>
    <row r="7289" spans="1:2" x14ac:dyDescent="0.25">
      <c r="A7289" t="str">
        <f>IF(C7289&amp;G7289&amp;D7289&lt;&gt;'Funnel setup'!$K$3&amp;'Funnel setup'!$K$4&amp;'Funnel setup'!$K$6,".",IF(A7288=".",1,A7288+1))</f>
        <v>.</v>
      </c>
      <c r="B7289" s="244" t="str">
        <f t="shared" si="113"/>
        <v/>
      </c>
    </row>
    <row r="7290" spans="1:2" x14ac:dyDescent="0.25">
      <c r="A7290" t="str">
        <f>IF(C7290&amp;G7290&amp;D7290&lt;&gt;'Funnel setup'!$K$3&amp;'Funnel setup'!$K$4&amp;'Funnel setup'!$K$6,".",IF(A7289=".",1,A7289+1))</f>
        <v>.</v>
      </c>
      <c r="B7290" s="244" t="str">
        <f t="shared" si="113"/>
        <v/>
      </c>
    </row>
    <row r="7291" spans="1:2" x14ac:dyDescent="0.25">
      <c r="A7291" t="str">
        <f>IF(C7291&amp;G7291&amp;D7291&lt;&gt;'Funnel setup'!$K$3&amp;'Funnel setup'!$K$4&amp;'Funnel setup'!$K$6,".",IF(A7290=".",1,A7290+1))</f>
        <v>.</v>
      </c>
      <c r="B7291" s="244" t="str">
        <f t="shared" si="113"/>
        <v/>
      </c>
    </row>
    <row r="7292" spans="1:2" x14ac:dyDescent="0.25">
      <c r="A7292" t="str">
        <f>IF(C7292&amp;G7292&amp;D7292&lt;&gt;'Funnel setup'!$K$3&amp;'Funnel setup'!$K$4&amp;'Funnel setup'!$K$6,".",IF(A7291=".",1,A7291+1))</f>
        <v>.</v>
      </c>
      <c r="B7292" s="244" t="str">
        <f t="shared" si="113"/>
        <v/>
      </c>
    </row>
    <row r="7293" spans="1:2" x14ac:dyDescent="0.25">
      <c r="A7293" t="str">
        <f>IF(C7293&amp;G7293&amp;D7293&lt;&gt;'Funnel setup'!$K$3&amp;'Funnel setup'!$K$4&amp;'Funnel setup'!$K$6,".",IF(A7292=".",1,A7292+1))</f>
        <v>.</v>
      </c>
      <c r="B7293" s="244" t="str">
        <f t="shared" si="113"/>
        <v/>
      </c>
    </row>
    <row r="7294" spans="1:2" x14ac:dyDescent="0.25">
      <c r="A7294" t="str">
        <f>IF(C7294&amp;G7294&amp;D7294&lt;&gt;'Funnel setup'!$K$3&amp;'Funnel setup'!$K$4&amp;'Funnel setup'!$K$6,".",IF(A7293=".",1,A7293+1))</f>
        <v>.</v>
      </c>
      <c r="B7294" s="244" t="str">
        <f t="shared" si="113"/>
        <v/>
      </c>
    </row>
    <row r="7295" spans="1:2" x14ac:dyDescent="0.25">
      <c r="A7295" t="str">
        <f>IF(C7295&amp;G7295&amp;D7295&lt;&gt;'Funnel setup'!$K$3&amp;'Funnel setup'!$K$4&amp;'Funnel setup'!$K$6,".",IF(A7294=".",1,A7294+1))</f>
        <v>.</v>
      </c>
      <c r="B7295" s="244" t="str">
        <f t="shared" si="113"/>
        <v/>
      </c>
    </row>
    <row r="7296" spans="1:2" x14ac:dyDescent="0.25">
      <c r="A7296" t="str">
        <f>IF(C7296&amp;G7296&amp;D7296&lt;&gt;'Funnel setup'!$K$3&amp;'Funnel setup'!$K$4&amp;'Funnel setup'!$K$6,".",IF(A7295=".",1,A7295+1))</f>
        <v>.</v>
      </c>
      <c r="B7296" s="244" t="str">
        <f t="shared" si="113"/>
        <v/>
      </c>
    </row>
    <row r="7297" spans="1:2" x14ac:dyDescent="0.25">
      <c r="A7297" t="str">
        <f>IF(C7297&amp;G7297&amp;D7297&lt;&gt;'Funnel setup'!$K$3&amp;'Funnel setup'!$K$4&amp;'Funnel setup'!$K$6,".",IF(A7296=".",1,A7296+1))</f>
        <v>.</v>
      </c>
      <c r="B7297" s="244" t="str">
        <f t="shared" si="113"/>
        <v/>
      </c>
    </row>
    <row r="7298" spans="1:2" x14ac:dyDescent="0.25">
      <c r="A7298" t="str">
        <f>IF(C7298&amp;G7298&amp;D7298&lt;&gt;'Funnel setup'!$K$3&amp;'Funnel setup'!$K$4&amp;'Funnel setup'!$K$6,".",IF(A7297=".",1,A7297+1))</f>
        <v>.</v>
      </c>
      <c r="B7298" s="244" t="str">
        <f t="shared" ref="B7298:B7361" si="114">C7298&amp;D7298&amp;F7298&amp;G7298</f>
        <v/>
      </c>
    </row>
    <row r="7299" spans="1:2" x14ac:dyDescent="0.25">
      <c r="A7299" t="str">
        <f>IF(C7299&amp;G7299&amp;D7299&lt;&gt;'Funnel setup'!$K$3&amp;'Funnel setup'!$K$4&amp;'Funnel setup'!$K$6,".",IF(A7298=".",1,A7298+1))</f>
        <v>.</v>
      </c>
      <c r="B7299" s="244" t="str">
        <f t="shared" si="114"/>
        <v/>
      </c>
    </row>
    <row r="7300" spans="1:2" x14ac:dyDescent="0.25">
      <c r="A7300" t="str">
        <f>IF(C7300&amp;G7300&amp;D7300&lt;&gt;'Funnel setup'!$K$3&amp;'Funnel setup'!$K$4&amp;'Funnel setup'!$K$6,".",IF(A7299=".",1,A7299+1))</f>
        <v>.</v>
      </c>
      <c r="B7300" s="244" t="str">
        <f t="shared" si="114"/>
        <v/>
      </c>
    </row>
    <row r="7301" spans="1:2" x14ac:dyDescent="0.25">
      <c r="A7301" t="str">
        <f>IF(C7301&amp;G7301&amp;D7301&lt;&gt;'Funnel setup'!$K$3&amp;'Funnel setup'!$K$4&amp;'Funnel setup'!$K$6,".",IF(A7300=".",1,A7300+1))</f>
        <v>.</v>
      </c>
      <c r="B7301" s="244" t="str">
        <f t="shared" si="114"/>
        <v/>
      </c>
    </row>
    <row r="7302" spans="1:2" x14ac:dyDescent="0.25">
      <c r="A7302" t="str">
        <f>IF(C7302&amp;G7302&amp;D7302&lt;&gt;'Funnel setup'!$K$3&amp;'Funnel setup'!$K$4&amp;'Funnel setup'!$K$6,".",IF(A7301=".",1,A7301+1))</f>
        <v>.</v>
      </c>
      <c r="B7302" s="244" t="str">
        <f t="shared" si="114"/>
        <v/>
      </c>
    </row>
    <row r="7303" spans="1:2" x14ac:dyDescent="0.25">
      <c r="A7303" t="str">
        <f>IF(C7303&amp;G7303&amp;D7303&lt;&gt;'Funnel setup'!$K$3&amp;'Funnel setup'!$K$4&amp;'Funnel setup'!$K$6,".",IF(A7302=".",1,A7302+1))</f>
        <v>.</v>
      </c>
      <c r="B7303" s="244" t="str">
        <f t="shared" si="114"/>
        <v/>
      </c>
    </row>
    <row r="7304" spans="1:2" x14ac:dyDescent="0.25">
      <c r="A7304" t="str">
        <f>IF(C7304&amp;G7304&amp;D7304&lt;&gt;'Funnel setup'!$K$3&amp;'Funnel setup'!$K$4&amp;'Funnel setup'!$K$6,".",IF(A7303=".",1,A7303+1))</f>
        <v>.</v>
      </c>
      <c r="B7304" s="244" t="str">
        <f t="shared" si="114"/>
        <v/>
      </c>
    </row>
    <row r="7305" spans="1:2" x14ac:dyDescent="0.25">
      <c r="A7305" t="str">
        <f>IF(C7305&amp;G7305&amp;D7305&lt;&gt;'Funnel setup'!$K$3&amp;'Funnel setup'!$K$4&amp;'Funnel setup'!$K$6,".",IF(A7304=".",1,A7304+1))</f>
        <v>.</v>
      </c>
      <c r="B7305" s="244" t="str">
        <f t="shared" si="114"/>
        <v/>
      </c>
    </row>
    <row r="7306" spans="1:2" x14ac:dyDescent="0.25">
      <c r="A7306" t="str">
        <f>IF(C7306&amp;G7306&amp;D7306&lt;&gt;'Funnel setup'!$K$3&amp;'Funnel setup'!$K$4&amp;'Funnel setup'!$K$6,".",IF(A7305=".",1,A7305+1))</f>
        <v>.</v>
      </c>
      <c r="B7306" s="244" t="str">
        <f t="shared" si="114"/>
        <v/>
      </c>
    </row>
    <row r="7307" spans="1:2" x14ac:dyDescent="0.25">
      <c r="A7307" t="str">
        <f>IF(C7307&amp;G7307&amp;D7307&lt;&gt;'Funnel setup'!$K$3&amp;'Funnel setup'!$K$4&amp;'Funnel setup'!$K$6,".",IF(A7306=".",1,A7306+1))</f>
        <v>.</v>
      </c>
      <c r="B7307" s="244" t="str">
        <f t="shared" si="114"/>
        <v/>
      </c>
    </row>
    <row r="7308" spans="1:2" x14ac:dyDescent="0.25">
      <c r="A7308" t="str">
        <f>IF(C7308&amp;G7308&amp;D7308&lt;&gt;'Funnel setup'!$K$3&amp;'Funnel setup'!$K$4&amp;'Funnel setup'!$K$6,".",IF(A7307=".",1,A7307+1))</f>
        <v>.</v>
      </c>
      <c r="B7308" s="244" t="str">
        <f t="shared" si="114"/>
        <v/>
      </c>
    </row>
    <row r="7309" spans="1:2" x14ac:dyDescent="0.25">
      <c r="A7309" t="str">
        <f>IF(C7309&amp;G7309&amp;D7309&lt;&gt;'Funnel setup'!$K$3&amp;'Funnel setup'!$K$4&amp;'Funnel setup'!$K$6,".",IF(A7308=".",1,A7308+1))</f>
        <v>.</v>
      </c>
      <c r="B7309" s="244" t="str">
        <f t="shared" si="114"/>
        <v/>
      </c>
    </row>
    <row r="7310" spans="1:2" x14ac:dyDescent="0.25">
      <c r="A7310" t="str">
        <f>IF(C7310&amp;G7310&amp;D7310&lt;&gt;'Funnel setup'!$K$3&amp;'Funnel setup'!$K$4&amp;'Funnel setup'!$K$6,".",IF(A7309=".",1,A7309+1))</f>
        <v>.</v>
      </c>
      <c r="B7310" s="244" t="str">
        <f t="shared" si="114"/>
        <v/>
      </c>
    </row>
    <row r="7311" spans="1:2" x14ac:dyDescent="0.25">
      <c r="A7311" t="str">
        <f>IF(C7311&amp;G7311&amp;D7311&lt;&gt;'Funnel setup'!$K$3&amp;'Funnel setup'!$K$4&amp;'Funnel setup'!$K$6,".",IF(A7310=".",1,A7310+1))</f>
        <v>.</v>
      </c>
      <c r="B7311" s="244" t="str">
        <f t="shared" si="114"/>
        <v/>
      </c>
    </row>
    <row r="7312" spans="1:2" x14ac:dyDescent="0.25">
      <c r="A7312" t="str">
        <f>IF(C7312&amp;G7312&amp;D7312&lt;&gt;'Funnel setup'!$K$3&amp;'Funnel setup'!$K$4&amp;'Funnel setup'!$K$6,".",IF(A7311=".",1,A7311+1))</f>
        <v>.</v>
      </c>
      <c r="B7312" s="244" t="str">
        <f t="shared" si="114"/>
        <v/>
      </c>
    </row>
    <row r="7313" spans="1:2" x14ac:dyDescent="0.25">
      <c r="A7313" t="str">
        <f>IF(C7313&amp;G7313&amp;D7313&lt;&gt;'Funnel setup'!$K$3&amp;'Funnel setup'!$K$4&amp;'Funnel setup'!$K$6,".",IF(A7312=".",1,A7312+1))</f>
        <v>.</v>
      </c>
      <c r="B7313" s="244" t="str">
        <f t="shared" si="114"/>
        <v/>
      </c>
    </row>
    <row r="7314" spans="1:2" x14ac:dyDescent="0.25">
      <c r="A7314" t="str">
        <f>IF(C7314&amp;G7314&amp;D7314&lt;&gt;'Funnel setup'!$K$3&amp;'Funnel setup'!$K$4&amp;'Funnel setup'!$K$6,".",IF(A7313=".",1,A7313+1))</f>
        <v>.</v>
      </c>
      <c r="B7314" s="244" t="str">
        <f t="shared" si="114"/>
        <v/>
      </c>
    </row>
    <row r="7315" spans="1:2" x14ac:dyDescent="0.25">
      <c r="A7315" t="str">
        <f>IF(C7315&amp;G7315&amp;D7315&lt;&gt;'Funnel setup'!$K$3&amp;'Funnel setup'!$K$4&amp;'Funnel setup'!$K$6,".",IF(A7314=".",1,A7314+1))</f>
        <v>.</v>
      </c>
      <c r="B7315" s="244" t="str">
        <f t="shared" si="114"/>
        <v/>
      </c>
    </row>
    <row r="7316" spans="1:2" x14ac:dyDescent="0.25">
      <c r="A7316" t="str">
        <f>IF(C7316&amp;G7316&amp;D7316&lt;&gt;'Funnel setup'!$K$3&amp;'Funnel setup'!$K$4&amp;'Funnel setup'!$K$6,".",IF(A7315=".",1,A7315+1))</f>
        <v>.</v>
      </c>
      <c r="B7316" s="244" t="str">
        <f t="shared" si="114"/>
        <v/>
      </c>
    </row>
    <row r="7317" spans="1:2" x14ac:dyDescent="0.25">
      <c r="A7317" t="str">
        <f>IF(C7317&amp;G7317&amp;D7317&lt;&gt;'Funnel setup'!$K$3&amp;'Funnel setup'!$K$4&amp;'Funnel setup'!$K$6,".",IF(A7316=".",1,A7316+1))</f>
        <v>.</v>
      </c>
      <c r="B7317" s="244" t="str">
        <f t="shared" si="114"/>
        <v/>
      </c>
    </row>
    <row r="7318" spans="1:2" x14ac:dyDescent="0.25">
      <c r="A7318" t="str">
        <f>IF(C7318&amp;G7318&amp;D7318&lt;&gt;'Funnel setup'!$K$3&amp;'Funnel setup'!$K$4&amp;'Funnel setup'!$K$6,".",IF(A7317=".",1,A7317+1))</f>
        <v>.</v>
      </c>
      <c r="B7318" s="244" t="str">
        <f t="shared" si="114"/>
        <v/>
      </c>
    </row>
    <row r="7319" spans="1:2" x14ac:dyDescent="0.25">
      <c r="A7319" t="str">
        <f>IF(C7319&amp;G7319&amp;D7319&lt;&gt;'Funnel setup'!$K$3&amp;'Funnel setup'!$K$4&amp;'Funnel setup'!$K$6,".",IF(A7318=".",1,A7318+1))</f>
        <v>.</v>
      </c>
      <c r="B7319" s="244" t="str">
        <f t="shared" si="114"/>
        <v/>
      </c>
    </row>
    <row r="7320" spans="1:2" x14ac:dyDescent="0.25">
      <c r="A7320" t="str">
        <f>IF(C7320&amp;G7320&amp;D7320&lt;&gt;'Funnel setup'!$K$3&amp;'Funnel setup'!$K$4&amp;'Funnel setup'!$K$6,".",IF(A7319=".",1,A7319+1))</f>
        <v>.</v>
      </c>
      <c r="B7320" s="244" t="str">
        <f t="shared" si="114"/>
        <v/>
      </c>
    </row>
    <row r="7321" spans="1:2" x14ac:dyDescent="0.25">
      <c r="A7321" t="str">
        <f>IF(C7321&amp;G7321&amp;D7321&lt;&gt;'Funnel setup'!$K$3&amp;'Funnel setup'!$K$4&amp;'Funnel setup'!$K$6,".",IF(A7320=".",1,A7320+1))</f>
        <v>.</v>
      </c>
      <c r="B7321" s="244" t="str">
        <f t="shared" si="114"/>
        <v/>
      </c>
    </row>
    <row r="7322" spans="1:2" x14ac:dyDescent="0.25">
      <c r="A7322" t="str">
        <f>IF(C7322&amp;G7322&amp;D7322&lt;&gt;'Funnel setup'!$K$3&amp;'Funnel setup'!$K$4&amp;'Funnel setup'!$K$6,".",IF(A7321=".",1,A7321+1))</f>
        <v>.</v>
      </c>
      <c r="B7322" s="244" t="str">
        <f t="shared" si="114"/>
        <v/>
      </c>
    </row>
    <row r="7323" spans="1:2" x14ac:dyDescent="0.25">
      <c r="A7323" t="str">
        <f>IF(C7323&amp;G7323&amp;D7323&lt;&gt;'Funnel setup'!$K$3&amp;'Funnel setup'!$K$4&amp;'Funnel setup'!$K$6,".",IF(A7322=".",1,A7322+1))</f>
        <v>.</v>
      </c>
      <c r="B7323" s="244" t="str">
        <f t="shared" si="114"/>
        <v/>
      </c>
    </row>
    <row r="7324" spans="1:2" x14ac:dyDescent="0.25">
      <c r="A7324" t="str">
        <f>IF(C7324&amp;G7324&amp;D7324&lt;&gt;'Funnel setup'!$K$3&amp;'Funnel setup'!$K$4&amp;'Funnel setup'!$K$6,".",IF(A7323=".",1,A7323+1))</f>
        <v>.</v>
      </c>
      <c r="B7324" s="244" t="str">
        <f t="shared" si="114"/>
        <v/>
      </c>
    </row>
    <row r="7325" spans="1:2" x14ac:dyDescent="0.25">
      <c r="A7325" t="str">
        <f>IF(C7325&amp;G7325&amp;D7325&lt;&gt;'Funnel setup'!$K$3&amp;'Funnel setup'!$K$4&amp;'Funnel setup'!$K$6,".",IF(A7324=".",1,A7324+1))</f>
        <v>.</v>
      </c>
      <c r="B7325" s="244" t="str">
        <f t="shared" si="114"/>
        <v/>
      </c>
    </row>
    <row r="7326" spans="1:2" x14ac:dyDescent="0.25">
      <c r="A7326" t="str">
        <f>IF(C7326&amp;G7326&amp;D7326&lt;&gt;'Funnel setup'!$K$3&amp;'Funnel setup'!$K$4&amp;'Funnel setup'!$K$6,".",IF(A7325=".",1,A7325+1))</f>
        <v>.</v>
      </c>
      <c r="B7326" s="244" t="str">
        <f t="shared" si="114"/>
        <v/>
      </c>
    </row>
    <row r="7327" spans="1:2" x14ac:dyDescent="0.25">
      <c r="A7327" t="str">
        <f>IF(C7327&amp;G7327&amp;D7327&lt;&gt;'Funnel setup'!$K$3&amp;'Funnel setup'!$K$4&amp;'Funnel setup'!$K$6,".",IF(A7326=".",1,A7326+1))</f>
        <v>.</v>
      </c>
      <c r="B7327" s="244" t="str">
        <f t="shared" si="114"/>
        <v/>
      </c>
    </row>
    <row r="7328" spans="1:2" x14ac:dyDescent="0.25">
      <c r="A7328" t="str">
        <f>IF(C7328&amp;G7328&amp;D7328&lt;&gt;'Funnel setup'!$K$3&amp;'Funnel setup'!$K$4&amp;'Funnel setup'!$K$6,".",IF(A7327=".",1,A7327+1))</f>
        <v>.</v>
      </c>
      <c r="B7328" s="244" t="str">
        <f t="shared" si="114"/>
        <v/>
      </c>
    </row>
    <row r="7329" spans="1:2" x14ac:dyDescent="0.25">
      <c r="A7329" t="str">
        <f>IF(C7329&amp;G7329&amp;D7329&lt;&gt;'Funnel setup'!$K$3&amp;'Funnel setup'!$K$4&amp;'Funnel setup'!$K$6,".",IF(A7328=".",1,A7328+1))</f>
        <v>.</v>
      </c>
      <c r="B7329" s="244" t="str">
        <f t="shared" si="114"/>
        <v/>
      </c>
    </row>
    <row r="7330" spans="1:2" x14ac:dyDescent="0.25">
      <c r="A7330" t="str">
        <f>IF(C7330&amp;G7330&amp;D7330&lt;&gt;'Funnel setup'!$K$3&amp;'Funnel setup'!$K$4&amp;'Funnel setup'!$K$6,".",IF(A7329=".",1,A7329+1))</f>
        <v>.</v>
      </c>
      <c r="B7330" s="244" t="str">
        <f t="shared" si="114"/>
        <v/>
      </c>
    </row>
    <row r="7331" spans="1:2" x14ac:dyDescent="0.25">
      <c r="A7331" t="str">
        <f>IF(C7331&amp;G7331&amp;D7331&lt;&gt;'Funnel setup'!$K$3&amp;'Funnel setup'!$K$4&amp;'Funnel setup'!$K$6,".",IF(A7330=".",1,A7330+1))</f>
        <v>.</v>
      </c>
      <c r="B7331" s="244" t="str">
        <f t="shared" si="114"/>
        <v/>
      </c>
    </row>
    <row r="7332" spans="1:2" x14ac:dyDescent="0.25">
      <c r="A7332" t="str">
        <f>IF(C7332&amp;G7332&amp;D7332&lt;&gt;'Funnel setup'!$K$3&amp;'Funnel setup'!$K$4&amp;'Funnel setup'!$K$6,".",IF(A7331=".",1,A7331+1))</f>
        <v>.</v>
      </c>
      <c r="B7332" s="244" t="str">
        <f t="shared" si="114"/>
        <v/>
      </c>
    </row>
    <row r="7333" spans="1:2" x14ac:dyDescent="0.25">
      <c r="A7333" t="str">
        <f>IF(C7333&amp;G7333&amp;D7333&lt;&gt;'Funnel setup'!$K$3&amp;'Funnel setup'!$K$4&amp;'Funnel setup'!$K$6,".",IF(A7332=".",1,A7332+1))</f>
        <v>.</v>
      </c>
      <c r="B7333" s="244" t="str">
        <f t="shared" si="114"/>
        <v/>
      </c>
    </row>
    <row r="7334" spans="1:2" x14ac:dyDescent="0.25">
      <c r="A7334" t="str">
        <f>IF(C7334&amp;G7334&amp;D7334&lt;&gt;'Funnel setup'!$K$3&amp;'Funnel setup'!$K$4&amp;'Funnel setup'!$K$6,".",IF(A7333=".",1,A7333+1))</f>
        <v>.</v>
      </c>
      <c r="B7334" s="244" t="str">
        <f t="shared" si="114"/>
        <v/>
      </c>
    </row>
    <row r="7335" spans="1:2" x14ac:dyDescent="0.25">
      <c r="A7335" t="str">
        <f>IF(C7335&amp;G7335&amp;D7335&lt;&gt;'Funnel setup'!$K$3&amp;'Funnel setup'!$K$4&amp;'Funnel setup'!$K$6,".",IF(A7334=".",1,A7334+1))</f>
        <v>.</v>
      </c>
      <c r="B7335" s="244" t="str">
        <f t="shared" si="114"/>
        <v/>
      </c>
    </row>
    <row r="7336" spans="1:2" x14ac:dyDescent="0.25">
      <c r="A7336" t="str">
        <f>IF(C7336&amp;G7336&amp;D7336&lt;&gt;'Funnel setup'!$K$3&amp;'Funnel setup'!$K$4&amp;'Funnel setup'!$K$6,".",IF(A7335=".",1,A7335+1))</f>
        <v>.</v>
      </c>
      <c r="B7336" s="244" t="str">
        <f t="shared" si="114"/>
        <v/>
      </c>
    </row>
    <row r="7337" spans="1:2" x14ac:dyDescent="0.25">
      <c r="A7337" t="str">
        <f>IF(C7337&amp;G7337&amp;D7337&lt;&gt;'Funnel setup'!$K$3&amp;'Funnel setup'!$K$4&amp;'Funnel setup'!$K$6,".",IF(A7336=".",1,A7336+1))</f>
        <v>.</v>
      </c>
      <c r="B7337" s="244" t="str">
        <f t="shared" si="114"/>
        <v/>
      </c>
    </row>
    <row r="7338" spans="1:2" x14ac:dyDescent="0.25">
      <c r="A7338" t="str">
        <f>IF(C7338&amp;G7338&amp;D7338&lt;&gt;'Funnel setup'!$K$3&amp;'Funnel setup'!$K$4&amp;'Funnel setup'!$K$6,".",IF(A7337=".",1,A7337+1))</f>
        <v>.</v>
      </c>
      <c r="B7338" s="244" t="str">
        <f t="shared" si="114"/>
        <v/>
      </c>
    </row>
    <row r="7339" spans="1:2" x14ac:dyDescent="0.25">
      <c r="A7339" t="str">
        <f>IF(C7339&amp;G7339&amp;D7339&lt;&gt;'Funnel setup'!$K$3&amp;'Funnel setup'!$K$4&amp;'Funnel setup'!$K$6,".",IF(A7338=".",1,A7338+1))</f>
        <v>.</v>
      </c>
      <c r="B7339" s="244" t="str">
        <f t="shared" si="114"/>
        <v/>
      </c>
    </row>
    <row r="7340" spans="1:2" x14ac:dyDescent="0.25">
      <c r="A7340" t="str">
        <f>IF(C7340&amp;G7340&amp;D7340&lt;&gt;'Funnel setup'!$K$3&amp;'Funnel setup'!$K$4&amp;'Funnel setup'!$K$6,".",IF(A7339=".",1,A7339+1))</f>
        <v>.</v>
      </c>
      <c r="B7340" s="244" t="str">
        <f t="shared" si="114"/>
        <v/>
      </c>
    </row>
    <row r="7341" spans="1:2" x14ac:dyDescent="0.25">
      <c r="A7341" t="str">
        <f>IF(C7341&amp;G7341&amp;D7341&lt;&gt;'Funnel setup'!$K$3&amp;'Funnel setup'!$K$4&amp;'Funnel setup'!$K$6,".",IF(A7340=".",1,A7340+1))</f>
        <v>.</v>
      </c>
      <c r="B7341" s="244" t="str">
        <f t="shared" si="114"/>
        <v/>
      </c>
    </row>
    <row r="7342" spans="1:2" x14ac:dyDescent="0.25">
      <c r="A7342" t="str">
        <f>IF(C7342&amp;G7342&amp;D7342&lt;&gt;'Funnel setup'!$K$3&amp;'Funnel setup'!$K$4&amp;'Funnel setup'!$K$6,".",IF(A7341=".",1,A7341+1))</f>
        <v>.</v>
      </c>
      <c r="B7342" s="244" t="str">
        <f t="shared" si="114"/>
        <v/>
      </c>
    </row>
    <row r="7343" spans="1:2" x14ac:dyDescent="0.25">
      <c r="A7343" t="str">
        <f>IF(C7343&amp;G7343&amp;D7343&lt;&gt;'Funnel setup'!$K$3&amp;'Funnel setup'!$K$4&amp;'Funnel setup'!$K$6,".",IF(A7342=".",1,A7342+1))</f>
        <v>.</v>
      </c>
      <c r="B7343" s="244" t="str">
        <f t="shared" si="114"/>
        <v/>
      </c>
    </row>
    <row r="7344" spans="1:2" x14ac:dyDescent="0.25">
      <c r="A7344" t="str">
        <f>IF(C7344&amp;G7344&amp;D7344&lt;&gt;'Funnel setup'!$K$3&amp;'Funnel setup'!$K$4&amp;'Funnel setup'!$K$6,".",IF(A7343=".",1,A7343+1))</f>
        <v>.</v>
      </c>
      <c r="B7344" s="244" t="str">
        <f t="shared" si="114"/>
        <v/>
      </c>
    </row>
    <row r="7345" spans="1:2" x14ac:dyDescent="0.25">
      <c r="A7345" t="str">
        <f>IF(C7345&amp;G7345&amp;D7345&lt;&gt;'Funnel setup'!$K$3&amp;'Funnel setup'!$K$4&amp;'Funnel setup'!$K$6,".",IF(A7344=".",1,A7344+1))</f>
        <v>.</v>
      </c>
      <c r="B7345" s="244" t="str">
        <f t="shared" si="114"/>
        <v/>
      </c>
    </row>
    <row r="7346" spans="1:2" x14ac:dyDescent="0.25">
      <c r="A7346" t="str">
        <f>IF(C7346&amp;G7346&amp;D7346&lt;&gt;'Funnel setup'!$K$3&amp;'Funnel setup'!$K$4&amp;'Funnel setup'!$K$6,".",IF(A7345=".",1,A7345+1))</f>
        <v>.</v>
      </c>
      <c r="B7346" s="244" t="str">
        <f t="shared" si="114"/>
        <v/>
      </c>
    </row>
    <row r="7347" spans="1:2" x14ac:dyDescent="0.25">
      <c r="A7347" t="str">
        <f>IF(C7347&amp;G7347&amp;D7347&lt;&gt;'Funnel setup'!$K$3&amp;'Funnel setup'!$K$4&amp;'Funnel setup'!$K$6,".",IF(A7346=".",1,A7346+1))</f>
        <v>.</v>
      </c>
      <c r="B7347" s="244" t="str">
        <f t="shared" si="114"/>
        <v/>
      </c>
    </row>
    <row r="7348" spans="1:2" x14ac:dyDescent="0.25">
      <c r="A7348" t="str">
        <f>IF(C7348&amp;G7348&amp;D7348&lt;&gt;'Funnel setup'!$K$3&amp;'Funnel setup'!$K$4&amp;'Funnel setup'!$K$6,".",IF(A7347=".",1,A7347+1))</f>
        <v>.</v>
      </c>
      <c r="B7348" s="244" t="str">
        <f t="shared" si="114"/>
        <v/>
      </c>
    </row>
    <row r="7349" spans="1:2" x14ac:dyDescent="0.25">
      <c r="A7349" t="str">
        <f>IF(C7349&amp;G7349&amp;D7349&lt;&gt;'Funnel setup'!$K$3&amp;'Funnel setup'!$K$4&amp;'Funnel setup'!$K$6,".",IF(A7348=".",1,A7348+1))</f>
        <v>.</v>
      </c>
      <c r="B7349" s="244" t="str">
        <f t="shared" si="114"/>
        <v/>
      </c>
    </row>
    <row r="7350" spans="1:2" x14ac:dyDescent="0.25">
      <c r="A7350" t="str">
        <f>IF(C7350&amp;G7350&amp;D7350&lt;&gt;'Funnel setup'!$K$3&amp;'Funnel setup'!$K$4&amp;'Funnel setup'!$K$6,".",IF(A7349=".",1,A7349+1))</f>
        <v>.</v>
      </c>
      <c r="B7350" s="244" t="str">
        <f t="shared" si="114"/>
        <v/>
      </c>
    </row>
    <row r="7351" spans="1:2" x14ac:dyDescent="0.25">
      <c r="A7351" t="str">
        <f>IF(C7351&amp;G7351&amp;D7351&lt;&gt;'Funnel setup'!$K$3&amp;'Funnel setup'!$K$4&amp;'Funnel setup'!$K$6,".",IF(A7350=".",1,A7350+1))</f>
        <v>.</v>
      </c>
      <c r="B7351" s="244" t="str">
        <f t="shared" si="114"/>
        <v/>
      </c>
    </row>
    <row r="7352" spans="1:2" x14ac:dyDescent="0.25">
      <c r="A7352" t="str">
        <f>IF(C7352&amp;G7352&amp;D7352&lt;&gt;'Funnel setup'!$K$3&amp;'Funnel setup'!$K$4&amp;'Funnel setup'!$K$6,".",IF(A7351=".",1,A7351+1))</f>
        <v>.</v>
      </c>
      <c r="B7352" s="244" t="str">
        <f t="shared" si="114"/>
        <v/>
      </c>
    </row>
    <row r="7353" spans="1:2" x14ac:dyDescent="0.25">
      <c r="A7353" t="str">
        <f>IF(C7353&amp;G7353&amp;D7353&lt;&gt;'Funnel setup'!$K$3&amp;'Funnel setup'!$K$4&amp;'Funnel setup'!$K$6,".",IF(A7352=".",1,A7352+1))</f>
        <v>.</v>
      </c>
      <c r="B7353" s="244" t="str">
        <f t="shared" si="114"/>
        <v/>
      </c>
    </row>
    <row r="7354" spans="1:2" x14ac:dyDescent="0.25">
      <c r="A7354" t="str">
        <f>IF(C7354&amp;G7354&amp;D7354&lt;&gt;'Funnel setup'!$K$3&amp;'Funnel setup'!$K$4&amp;'Funnel setup'!$K$6,".",IF(A7353=".",1,A7353+1))</f>
        <v>.</v>
      </c>
      <c r="B7354" s="244" t="str">
        <f t="shared" si="114"/>
        <v/>
      </c>
    </row>
    <row r="7355" spans="1:2" x14ac:dyDescent="0.25">
      <c r="A7355" t="str">
        <f>IF(C7355&amp;G7355&amp;D7355&lt;&gt;'Funnel setup'!$K$3&amp;'Funnel setup'!$K$4&amp;'Funnel setup'!$K$6,".",IF(A7354=".",1,A7354+1))</f>
        <v>.</v>
      </c>
      <c r="B7355" s="244" t="str">
        <f t="shared" si="114"/>
        <v/>
      </c>
    </row>
    <row r="7356" spans="1:2" x14ac:dyDescent="0.25">
      <c r="A7356" t="str">
        <f>IF(C7356&amp;G7356&amp;D7356&lt;&gt;'Funnel setup'!$K$3&amp;'Funnel setup'!$K$4&amp;'Funnel setup'!$K$6,".",IF(A7355=".",1,A7355+1))</f>
        <v>.</v>
      </c>
      <c r="B7356" s="244" t="str">
        <f t="shared" si="114"/>
        <v/>
      </c>
    </row>
    <row r="7357" spans="1:2" x14ac:dyDescent="0.25">
      <c r="A7357" t="str">
        <f>IF(C7357&amp;G7357&amp;D7357&lt;&gt;'Funnel setup'!$K$3&amp;'Funnel setup'!$K$4&amp;'Funnel setup'!$K$6,".",IF(A7356=".",1,A7356+1))</f>
        <v>.</v>
      </c>
      <c r="B7357" s="244" t="str">
        <f t="shared" si="114"/>
        <v/>
      </c>
    </row>
    <row r="7358" spans="1:2" x14ac:dyDescent="0.25">
      <c r="A7358" t="str">
        <f>IF(C7358&amp;G7358&amp;D7358&lt;&gt;'Funnel setup'!$K$3&amp;'Funnel setup'!$K$4&amp;'Funnel setup'!$K$6,".",IF(A7357=".",1,A7357+1))</f>
        <v>.</v>
      </c>
      <c r="B7358" s="244" t="str">
        <f t="shared" si="114"/>
        <v/>
      </c>
    </row>
    <row r="7359" spans="1:2" x14ac:dyDescent="0.25">
      <c r="A7359" t="str">
        <f>IF(C7359&amp;G7359&amp;D7359&lt;&gt;'Funnel setup'!$K$3&amp;'Funnel setup'!$K$4&amp;'Funnel setup'!$K$6,".",IF(A7358=".",1,A7358+1))</f>
        <v>.</v>
      </c>
      <c r="B7359" s="244" t="str">
        <f t="shared" si="114"/>
        <v/>
      </c>
    </row>
    <row r="7360" spans="1:2" x14ac:dyDescent="0.25">
      <c r="A7360" t="str">
        <f>IF(C7360&amp;G7360&amp;D7360&lt;&gt;'Funnel setup'!$K$3&amp;'Funnel setup'!$K$4&amp;'Funnel setup'!$K$6,".",IF(A7359=".",1,A7359+1))</f>
        <v>.</v>
      </c>
      <c r="B7360" s="244" t="str">
        <f t="shared" si="114"/>
        <v/>
      </c>
    </row>
    <row r="7361" spans="1:2" x14ac:dyDescent="0.25">
      <c r="A7361" t="str">
        <f>IF(C7361&amp;G7361&amp;D7361&lt;&gt;'Funnel setup'!$K$3&amp;'Funnel setup'!$K$4&amp;'Funnel setup'!$K$6,".",IF(A7360=".",1,A7360+1))</f>
        <v>.</v>
      </c>
      <c r="B7361" s="244" t="str">
        <f t="shared" si="114"/>
        <v/>
      </c>
    </row>
    <row r="7362" spans="1:2" x14ac:dyDescent="0.25">
      <c r="A7362" t="str">
        <f>IF(C7362&amp;G7362&amp;D7362&lt;&gt;'Funnel setup'!$K$3&amp;'Funnel setup'!$K$4&amp;'Funnel setup'!$K$6,".",IF(A7361=".",1,A7361+1))</f>
        <v>.</v>
      </c>
      <c r="B7362" s="244" t="str">
        <f t="shared" ref="B7362:B7425" si="115">C7362&amp;D7362&amp;F7362&amp;G7362</f>
        <v/>
      </c>
    </row>
    <row r="7363" spans="1:2" x14ac:dyDescent="0.25">
      <c r="A7363" t="str">
        <f>IF(C7363&amp;G7363&amp;D7363&lt;&gt;'Funnel setup'!$K$3&amp;'Funnel setup'!$K$4&amp;'Funnel setup'!$K$6,".",IF(A7362=".",1,A7362+1))</f>
        <v>.</v>
      </c>
      <c r="B7363" s="244" t="str">
        <f t="shared" si="115"/>
        <v/>
      </c>
    </row>
    <row r="7364" spans="1:2" x14ac:dyDescent="0.25">
      <c r="A7364" t="str">
        <f>IF(C7364&amp;G7364&amp;D7364&lt;&gt;'Funnel setup'!$K$3&amp;'Funnel setup'!$K$4&amp;'Funnel setup'!$K$6,".",IF(A7363=".",1,A7363+1))</f>
        <v>.</v>
      </c>
      <c r="B7364" s="244" t="str">
        <f t="shared" si="115"/>
        <v/>
      </c>
    </row>
    <row r="7365" spans="1:2" x14ac:dyDescent="0.25">
      <c r="A7365" t="str">
        <f>IF(C7365&amp;G7365&amp;D7365&lt;&gt;'Funnel setup'!$K$3&amp;'Funnel setup'!$K$4&amp;'Funnel setup'!$K$6,".",IF(A7364=".",1,A7364+1))</f>
        <v>.</v>
      </c>
      <c r="B7365" s="244" t="str">
        <f t="shared" si="115"/>
        <v/>
      </c>
    </row>
    <row r="7366" spans="1:2" x14ac:dyDescent="0.25">
      <c r="A7366" t="str">
        <f>IF(C7366&amp;G7366&amp;D7366&lt;&gt;'Funnel setup'!$K$3&amp;'Funnel setup'!$K$4&amp;'Funnel setup'!$K$6,".",IF(A7365=".",1,A7365+1))</f>
        <v>.</v>
      </c>
      <c r="B7366" s="244" t="str">
        <f t="shared" si="115"/>
        <v/>
      </c>
    </row>
    <row r="7367" spans="1:2" x14ac:dyDescent="0.25">
      <c r="A7367" t="str">
        <f>IF(C7367&amp;G7367&amp;D7367&lt;&gt;'Funnel setup'!$K$3&amp;'Funnel setup'!$K$4&amp;'Funnel setup'!$K$6,".",IF(A7366=".",1,A7366+1))</f>
        <v>.</v>
      </c>
      <c r="B7367" s="244" t="str">
        <f t="shared" si="115"/>
        <v/>
      </c>
    </row>
    <row r="7368" spans="1:2" x14ac:dyDescent="0.25">
      <c r="A7368" t="str">
        <f>IF(C7368&amp;G7368&amp;D7368&lt;&gt;'Funnel setup'!$K$3&amp;'Funnel setup'!$K$4&amp;'Funnel setup'!$K$6,".",IF(A7367=".",1,A7367+1))</f>
        <v>.</v>
      </c>
      <c r="B7368" s="244" t="str">
        <f t="shared" si="115"/>
        <v/>
      </c>
    </row>
    <row r="7369" spans="1:2" x14ac:dyDescent="0.25">
      <c r="A7369" t="str">
        <f>IF(C7369&amp;G7369&amp;D7369&lt;&gt;'Funnel setup'!$K$3&amp;'Funnel setup'!$K$4&amp;'Funnel setup'!$K$6,".",IF(A7368=".",1,A7368+1))</f>
        <v>.</v>
      </c>
      <c r="B7369" s="244" t="str">
        <f t="shared" si="115"/>
        <v/>
      </c>
    </row>
    <row r="7370" spans="1:2" x14ac:dyDescent="0.25">
      <c r="A7370" t="str">
        <f>IF(C7370&amp;G7370&amp;D7370&lt;&gt;'Funnel setup'!$K$3&amp;'Funnel setup'!$K$4&amp;'Funnel setup'!$K$6,".",IF(A7369=".",1,A7369+1))</f>
        <v>.</v>
      </c>
      <c r="B7370" s="244" t="str">
        <f t="shared" si="115"/>
        <v/>
      </c>
    </row>
    <row r="7371" spans="1:2" x14ac:dyDescent="0.25">
      <c r="A7371" t="str">
        <f>IF(C7371&amp;G7371&amp;D7371&lt;&gt;'Funnel setup'!$K$3&amp;'Funnel setup'!$K$4&amp;'Funnel setup'!$K$6,".",IF(A7370=".",1,A7370+1))</f>
        <v>.</v>
      </c>
      <c r="B7371" s="244" t="str">
        <f t="shared" si="115"/>
        <v/>
      </c>
    </row>
    <row r="7372" spans="1:2" x14ac:dyDescent="0.25">
      <c r="A7372" t="str">
        <f>IF(C7372&amp;G7372&amp;D7372&lt;&gt;'Funnel setup'!$K$3&amp;'Funnel setup'!$K$4&amp;'Funnel setup'!$K$6,".",IF(A7371=".",1,A7371+1))</f>
        <v>.</v>
      </c>
      <c r="B7372" s="244" t="str">
        <f t="shared" si="115"/>
        <v/>
      </c>
    </row>
    <row r="7373" spans="1:2" x14ac:dyDescent="0.25">
      <c r="A7373" t="str">
        <f>IF(C7373&amp;G7373&amp;D7373&lt;&gt;'Funnel setup'!$K$3&amp;'Funnel setup'!$K$4&amp;'Funnel setup'!$K$6,".",IF(A7372=".",1,A7372+1))</f>
        <v>.</v>
      </c>
      <c r="B7373" s="244" t="str">
        <f t="shared" si="115"/>
        <v/>
      </c>
    </row>
    <row r="7374" spans="1:2" x14ac:dyDescent="0.25">
      <c r="A7374" t="str">
        <f>IF(C7374&amp;G7374&amp;D7374&lt;&gt;'Funnel setup'!$K$3&amp;'Funnel setup'!$K$4&amp;'Funnel setup'!$K$6,".",IF(A7373=".",1,A7373+1))</f>
        <v>.</v>
      </c>
      <c r="B7374" s="244" t="str">
        <f t="shared" si="115"/>
        <v/>
      </c>
    </row>
    <row r="7375" spans="1:2" x14ac:dyDescent="0.25">
      <c r="A7375" t="str">
        <f>IF(C7375&amp;G7375&amp;D7375&lt;&gt;'Funnel setup'!$K$3&amp;'Funnel setup'!$K$4&amp;'Funnel setup'!$K$6,".",IF(A7374=".",1,A7374+1))</f>
        <v>.</v>
      </c>
      <c r="B7375" s="244" t="str">
        <f t="shared" si="115"/>
        <v/>
      </c>
    </row>
    <row r="7376" spans="1:2" x14ac:dyDescent="0.25">
      <c r="A7376" t="str">
        <f>IF(C7376&amp;G7376&amp;D7376&lt;&gt;'Funnel setup'!$K$3&amp;'Funnel setup'!$K$4&amp;'Funnel setup'!$K$6,".",IF(A7375=".",1,A7375+1))</f>
        <v>.</v>
      </c>
      <c r="B7376" s="244" t="str">
        <f t="shared" si="115"/>
        <v/>
      </c>
    </row>
    <row r="7377" spans="1:2" x14ac:dyDescent="0.25">
      <c r="A7377" t="str">
        <f>IF(C7377&amp;G7377&amp;D7377&lt;&gt;'Funnel setup'!$K$3&amp;'Funnel setup'!$K$4&amp;'Funnel setup'!$K$6,".",IF(A7376=".",1,A7376+1))</f>
        <v>.</v>
      </c>
      <c r="B7377" s="244" t="str">
        <f t="shared" si="115"/>
        <v/>
      </c>
    </row>
    <row r="7378" spans="1:2" x14ac:dyDescent="0.25">
      <c r="A7378" t="str">
        <f>IF(C7378&amp;G7378&amp;D7378&lt;&gt;'Funnel setup'!$K$3&amp;'Funnel setup'!$K$4&amp;'Funnel setup'!$K$6,".",IF(A7377=".",1,A7377+1))</f>
        <v>.</v>
      </c>
      <c r="B7378" s="244" t="str">
        <f t="shared" si="115"/>
        <v/>
      </c>
    </row>
    <row r="7379" spans="1:2" x14ac:dyDescent="0.25">
      <c r="A7379" t="str">
        <f>IF(C7379&amp;G7379&amp;D7379&lt;&gt;'Funnel setup'!$K$3&amp;'Funnel setup'!$K$4&amp;'Funnel setup'!$K$6,".",IF(A7378=".",1,A7378+1))</f>
        <v>.</v>
      </c>
      <c r="B7379" s="244" t="str">
        <f t="shared" si="115"/>
        <v/>
      </c>
    </row>
    <row r="7380" spans="1:2" x14ac:dyDescent="0.25">
      <c r="A7380" t="str">
        <f>IF(C7380&amp;G7380&amp;D7380&lt;&gt;'Funnel setup'!$K$3&amp;'Funnel setup'!$K$4&amp;'Funnel setup'!$K$6,".",IF(A7379=".",1,A7379+1))</f>
        <v>.</v>
      </c>
      <c r="B7380" s="244" t="str">
        <f t="shared" si="115"/>
        <v/>
      </c>
    </row>
    <row r="7381" spans="1:2" x14ac:dyDescent="0.25">
      <c r="A7381" t="str">
        <f>IF(C7381&amp;G7381&amp;D7381&lt;&gt;'Funnel setup'!$K$3&amp;'Funnel setup'!$K$4&amp;'Funnel setup'!$K$6,".",IF(A7380=".",1,A7380+1))</f>
        <v>.</v>
      </c>
      <c r="B7381" s="244" t="str">
        <f t="shared" si="115"/>
        <v/>
      </c>
    </row>
    <row r="7382" spans="1:2" x14ac:dyDescent="0.25">
      <c r="A7382" t="str">
        <f>IF(C7382&amp;G7382&amp;D7382&lt;&gt;'Funnel setup'!$K$3&amp;'Funnel setup'!$K$4&amp;'Funnel setup'!$K$6,".",IF(A7381=".",1,A7381+1))</f>
        <v>.</v>
      </c>
      <c r="B7382" s="244" t="str">
        <f t="shared" si="115"/>
        <v/>
      </c>
    </row>
    <row r="7383" spans="1:2" x14ac:dyDescent="0.25">
      <c r="A7383" t="str">
        <f>IF(C7383&amp;G7383&amp;D7383&lt;&gt;'Funnel setup'!$K$3&amp;'Funnel setup'!$K$4&amp;'Funnel setup'!$K$6,".",IF(A7382=".",1,A7382+1))</f>
        <v>.</v>
      </c>
      <c r="B7383" s="244" t="str">
        <f t="shared" si="115"/>
        <v/>
      </c>
    </row>
    <row r="7384" spans="1:2" x14ac:dyDescent="0.25">
      <c r="A7384" t="str">
        <f>IF(C7384&amp;G7384&amp;D7384&lt;&gt;'Funnel setup'!$K$3&amp;'Funnel setup'!$K$4&amp;'Funnel setup'!$K$6,".",IF(A7383=".",1,A7383+1))</f>
        <v>.</v>
      </c>
      <c r="B7384" s="244" t="str">
        <f t="shared" si="115"/>
        <v/>
      </c>
    </row>
    <row r="7385" spans="1:2" x14ac:dyDescent="0.25">
      <c r="A7385" t="str">
        <f>IF(C7385&amp;G7385&amp;D7385&lt;&gt;'Funnel setup'!$K$3&amp;'Funnel setup'!$K$4&amp;'Funnel setup'!$K$6,".",IF(A7384=".",1,A7384+1))</f>
        <v>.</v>
      </c>
      <c r="B7385" s="244" t="str">
        <f t="shared" si="115"/>
        <v/>
      </c>
    </row>
    <row r="7386" spans="1:2" x14ac:dyDescent="0.25">
      <c r="A7386" t="str">
        <f>IF(C7386&amp;G7386&amp;D7386&lt;&gt;'Funnel setup'!$K$3&amp;'Funnel setup'!$K$4&amp;'Funnel setup'!$K$6,".",IF(A7385=".",1,A7385+1))</f>
        <v>.</v>
      </c>
      <c r="B7386" s="244" t="str">
        <f t="shared" si="115"/>
        <v/>
      </c>
    </row>
    <row r="7387" spans="1:2" x14ac:dyDescent="0.25">
      <c r="A7387" t="str">
        <f>IF(C7387&amp;G7387&amp;D7387&lt;&gt;'Funnel setup'!$K$3&amp;'Funnel setup'!$K$4&amp;'Funnel setup'!$K$6,".",IF(A7386=".",1,A7386+1))</f>
        <v>.</v>
      </c>
      <c r="B7387" s="244" t="str">
        <f t="shared" si="115"/>
        <v/>
      </c>
    </row>
    <row r="7388" spans="1:2" x14ac:dyDescent="0.25">
      <c r="A7388" t="str">
        <f>IF(C7388&amp;G7388&amp;D7388&lt;&gt;'Funnel setup'!$K$3&amp;'Funnel setup'!$K$4&amp;'Funnel setup'!$K$6,".",IF(A7387=".",1,A7387+1))</f>
        <v>.</v>
      </c>
      <c r="B7388" s="244" t="str">
        <f t="shared" si="115"/>
        <v/>
      </c>
    </row>
    <row r="7389" spans="1:2" x14ac:dyDescent="0.25">
      <c r="A7389" t="str">
        <f>IF(C7389&amp;G7389&amp;D7389&lt;&gt;'Funnel setup'!$K$3&amp;'Funnel setup'!$K$4&amp;'Funnel setup'!$K$6,".",IF(A7388=".",1,A7388+1))</f>
        <v>.</v>
      </c>
      <c r="B7389" s="244" t="str">
        <f t="shared" si="115"/>
        <v/>
      </c>
    </row>
    <row r="7390" spans="1:2" x14ac:dyDescent="0.25">
      <c r="A7390" t="str">
        <f>IF(C7390&amp;G7390&amp;D7390&lt;&gt;'Funnel setup'!$K$3&amp;'Funnel setup'!$K$4&amp;'Funnel setup'!$K$6,".",IF(A7389=".",1,A7389+1))</f>
        <v>.</v>
      </c>
      <c r="B7390" s="244" t="str">
        <f t="shared" si="115"/>
        <v/>
      </c>
    </row>
    <row r="7391" spans="1:2" x14ac:dyDescent="0.25">
      <c r="A7391" t="str">
        <f>IF(C7391&amp;G7391&amp;D7391&lt;&gt;'Funnel setup'!$K$3&amp;'Funnel setup'!$K$4&amp;'Funnel setup'!$K$6,".",IF(A7390=".",1,A7390+1))</f>
        <v>.</v>
      </c>
      <c r="B7391" s="244" t="str">
        <f t="shared" si="115"/>
        <v/>
      </c>
    </row>
    <row r="7392" spans="1:2" x14ac:dyDescent="0.25">
      <c r="A7392" t="str">
        <f>IF(C7392&amp;G7392&amp;D7392&lt;&gt;'Funnel setup'!$K$3&amp;'Funnel setup'!$K$4&amp;'Funnel setup'!$K$6,".",IF(A7391=".",1,A7391+1))</f>
        <v>.</v>
      </c>
      <c r="B7392" s="244" t="str">
        <f t="shared" si="115"/>
        <v/>
      </c>
    </row>
    <row r="7393" spans="1:2" x14ac:dyDescent="0.25">
      <c r="A7393" t="str">
        <f>IF(C7393&amp;G7393&amp;D7393&lt;&gt;'Funnel setup'!$K$3&amp;'Funnel setup'!$K$4&amp;'Funnel setup'!$K$6,".",IF(A7392=".",1,A7392+1))</f>
        <v>.</v>
      </c>
      <c r="B7393" s="244" t="str">
        <f t="shared" si="115"/>
        <v/>
      </c>
    </row>
    <row r="7394" spans="1:2" x14ac:dyDescent="0.25">
      <c r="A7394" t="str">
        <f>IF(C7394&amp;G7394&amp;D7394&lt;&gt;'Funnel setup'!$K$3&amp;'Funnel setup'!$K$4&amp;'Funnel setup'!$K$6,".",IF(A7393=".",1,A7393+1))</f>
        <v>.</v>
      </c>
      <c r="B7394" s="244" t="str">
        <f t="shared" si="115"/>
        <v/>
      </c>
    </row>
    <row r="7395" spans="1:2" x14ac:dyDescent="0.25">
      <c r="A7395" t="str">
        <f>IF(C7395&amp;G7395&amp;D7395&lt;&gt;'Funnel setup'!$K$3&amp;'Funnel setup'!$K$4&amp;'Funnel setup'!$K$6,".",IF(A7394=".",1,A7394+1))</f>
        <v>.</v>
      </c>
      <c r="B7395" s="244" t="str">
        <f t="shared" si="115"/>
        <v/>
      </c>
    </row>
    <row r="7396" spans="1:2" x14ac:dyDescent="0.25">
      <c r="A7396" t="str">
        <f>IF(C7396&amp;G7396&amp;D7396&lt;&gt;'Funnel setup'!$K$3&amp;'Funnel setup'!$K$4&amp;'Funnel setup'!$K$6,".",IF(A7395=".",1,A7395+1))</f>
        <v>.</v>
      </c>
      <c r="B7396" s="244" t="str">
        <f t="shared" si="115"/>
        <v/>
      </c>
    </row>
    <row r="7397" spans="1:2" x14ac:dyDescent="0.25">
      <c r="A7397" t="str">
        <f>IF(C7397&amp;G7397&amp;D7397&lt;&gt;'Funnel setup'!$K$3&amp;'Funnel setup'!$K$4&amp;'Funnel setup'!$K$6,".",IF(A7396=".",1,A7396+1))</f>
        <v>.</v>
      </c>
      <c r="B7397" s="244" t="str">
        <f t="shared" si="115"/>
        <v/>
      </c>
    </row>
    <row r="7398" spans="1:2" x14ac:dyDescent="0.25">
      <c r="A7398" t="str">
        <f>IF(C7398&amp;G7398&amp;D7398&lt;&gt;'Funnel setup'!$K$3&amp;'Funnel setup'!$K$4&amp;'Funnel setup'!$K$6,".",IF(A7397=".",1,A7397+1))</f>
        <v>.</v>
      </c>
      <c r="B7398" s="244" t="str">
        <f t="shared" si="115"/>
        <v/>
      </c>
    </row>
    <row r="7399" spans="1:2" x14ac:dyDescent="0.25">
      <c r="A7399" t="str">
        <f>IF(C7399&amp;G7399&amp;D7399&lt;&gt;'Funnel setup'!$K$3&amp;'Funnel setup'!$K$4&amp;'Funnel setup'!$K$6,".",IF(A7398=".",1,A7398+1))</f>
        <v>.</v>
      </c>
      <c r="B7399" s="244" t="str">
        <f t="shared" si="115"/>
        <v/>
      </c>
    </row>
    <row r="7400" spans="1:2" x14ac:dyDescent="0.25">
      <c r="A7400" t="str">
        <f>IF(C7400&amp;G7400&amp;D7400&lt;&gt;'Funnel setup'!$K$3&amp;'Funnel setup'!$K$4&amp;'Funnel setup'!$K$6,".",IF(A7399=".",1,A7399+1))</f>
        <v>.</v>
      </c>
      <c r="B7400" s="244" t="str">
        <f t="shared" si="115"/>
        <v/>
      </c>
    </row>
    <row r="7401" spans="1:2" x14ac:dyDescent="0.25">
      <c r="A7401" t="str">
        <f>IF(C7401&amp;G7401&amp;D7401&lt;&gt;'Funnel setup'!$K$3&amp;'Funnel setup'!$K$4&amp;'Funnel setup'!$K$6,".",IF(A7400=".",1,A7400+1))</f>
        <v>.</v>
      </c>
      <c r="B7401" s="244" t="str">
        <f t="shared" si="115"/>
        <v/>
      </c>
    </row>
    <row r="7402" spans="1:2" x14ac:dyDescent="0.25">
      <c r="A7402" t="str">
        <f>IF(C7402&amp;G7402&amp;D7402&lt;&gt;'Funnel setup'!$K$3&amp;'Funnel setup'!$K$4&amp;'Funnel setup'!$K$6,".",IF(A7401=".",1,A7401+1))</f>
        <v>.</v>
      </c>
      <c r="B7402" s="244" t="str">
        <f t="shared" si="115"/>
        <v/>
      </c>
    </row>
    <row r="7403" spans="1:2" x14ac:dyDescent="0.25">
      <c r="A7403" t="str">
        <f>IF(C7403&amp;G7403&amp;D7403&lt;&gt;'Funnel setup'!$K$3&amp;'Funnel setup'!$K$4&amp;'Funnel setup'!$K$6,".",IF(A7402=".",1,A7402+1))</f>
        <v>.</v>
      </c>
      <c r="B7403" s="244" t="str">
        <f t="shared" si="115"/>
        <v/>
      </c>
    </row>
    <row r="7404" spans="1:2" x14ac:dyDescent="0.25">
      <c r="A7404" t="str">
        <f>IF(C7404&amp;G7404&amp;D7404&lt;&gt;'Funnel setup'!$K$3&amp;'Funnel setup'!$K$4&amp;'Funnel setup'!$K$6,".",IF(A7403=".",1,A7403+1))</f>
        <v>.</v>
      </c>
      <c r="B7404" s="244" t="str">
        <f t="shared" si="115"/>
        <v/>
      </c>
    </row>
    <row r="7405" spans="1:2" x14ac:dyDescent="0.25">
      <c r="A7405" t="str">
        <f>IF(C7405&amp;G7405&amp;D7405&lt;&gt;'Funnel setup'!$K$3&amp;'Funnel setup'!$K$4&amp;'Funnel setup'!$K$6,".",IF(A7404=".",1,A7404+1))</f>
        <v>.</v>
      </c>
      <c r="B7405" s="244" t="str">
        <f t="shared" si="115"/>
        <v/>
      </c>
    </row>
    <row r="7406" spans="1:2" x14ac:dyDescent="0.25">
      <c r="A7406" t="str">
        <f>IF(C7406&amp;G7406&amp;D7406&lt;&gt;'Funnel setup'!$K$3&amp;'Funnel setup'!$K$4&amp;'Funnel setup'!$K$6,".",IF(A7405=".",1,A7405+1))</f>
        <v>.</v>
      </c>
      <c r="B7406" s="244" t="str">
        <f t="shared" si="115"/>
        <v/>
      </c>
    </row>
    <row r="7407" spans="1:2" x14ac:dyDescent="0.25">
      <c r="A7407" t="str">
        <f>IF(C7407&amp;G7407&amp;D7407&lt;&gt;'Funnel setup'!$K$3&amp;'Funnel setup'!$K$4&amp;'Funnel setup'!$K$6,".",IF(A7406=".",1,A7406+1))</f>
        <v>.</v>
      </c>
      <c r="B7407" s="244" t="str">
        <f t="shared" si="115"/>
        <v/>
      </c>
    </row>
    <row r="7408" spans="1:2" x14ac:dyDescent="0.25">
      <c r="A7408" t="str">
        <f>IF(C7408&amp;G7408&amp;D7408&lt;&gt;'Funnel setup'!$K$3&amp;'Funnel setup'!$K$4&amp;'Funnel setup'!$K$6,".",IF(A7407=".",1,A7407+1))</f>
        <v>.</v>
      </c>
      <c r="B7408" s="244" t="str">
        <f t="shared" si="115"/>
        <v/>
      </c>
    </row>
    <row r="7409" spans="1:2" x14ac:dyDescent="0.25">
      <c r="A7409" t="str">
        <f>IF(C7409&amp;G7409&amp;D7409&lt;&gt;'Funnel setup'!$K$3&amp;'Funnel setup'!$K$4&amp;'Funnel setup'!$K$6,".",IF(A7408=".",1,A7408+1))</f>
        <v>.</v>
      </c>
      <c r="B7409" s="244" t="str">
        <f t="shared" si="115"/>
        <v/>
      </c>
    </row>
    <row r="7410" spans="1:2" x14ac:dyDescent="0.25">
      <c r="A7410" t="str">
        <f>IF(C7410&amp;G7410&amp;D7410&lt;&gt;'Funnel setup'!$K$3&amp;'Funnel setup'!$K$4&amp;'Funnel setup'!$K$6,".",IF(A7409=".",1,A7409+1))</f>
        <v>.</v>
      </c>
      <c r="B7410" s="244" t="str">
        <f t="shared" si="115"/>
        <v/>
      </c>
    </row>
    <row r="7411" spans="1:2" x14ac:dyDescent="0.25">
      <c r="A7411" t="str">
        <f>IF(C7411&amp;G7411&amp;D7411&lt;&gt;'Funnel setup'!$K$3&amp;'Funnel setup'!$K$4&amp;'Funnel setup'!$K$6,".",IF(A7410=".",1,A7410+1))</f>
        <v>.</v>
      </c>
      <c r="B7411" s="244" t="str">
        <f t="shared" si="115"/>
        <v/>
      </c>
    </row>
    <row r="7412" spans="1:2" x14ac:dyDescent="0.25">
      <c r="A7412" t="str">
        <f>IF(C7412&amp;G7412&amp;D7412&lt;&gt;'Funnel setup'!$K$3&amp;'Funnel setup'!$K$4&amp;'Funnel setup'!$K$6,".",IF(A7411=".",1,A7411+1))</f>
        <v>.</v>
      </c>
      <c r="B7412" s="244" t="str">
        <f t="shared" si="115"/>
        <v/>
      </c>
    </row>
    <row r="7413" spans="1:2" x14ac:dyDescent="0.25">
      <c r="A7413" t="str">
        <f>IF(C7413&amp;G7413&amp;D7413&lt;&gt;'Funnel setup'!$K$3&amp;'Funnel setup'!$K$4&amp;'Funnel setup'!$K$6,".",IF(A7412=".",1,A7412+1))</f>
        <v>.</v>
      </c>
      <c r="B7413" s="244" t="str">
        <f t="shared" si="115"/>
        <v/>
      </c>
    </row>
    <row r="7414" spans="1:2" x14ac:dyDescent="0.25">
      <c r="A7414" t="str">
        <f>IF(C7414&amp;G7414&amp;D7414&lt;&gt;'Funnel setup'!$K$3&amp;'Funnel setup'!$K$4&amp;'Funnel setup'!$K$6,".",IF(A7413=".",1,A7413+1))</f>
        <v>.</v>
      </c>
      <c r="B7414" s="244" t="str">
        <f t="shared" si="115"/>
        <v/>
      </c>
    </row>
    <row r="7415" spans="1:2" x14ac:dyDescent="0.25">
      <c r="A7415" t="str">
        <f>IF(C7415&amp;G7415&amp;D7415&lt;&gt;'Funnel setup'!$K$3&amp;'Funnel setup'!$K$4&amp;'Funnel setup'!$K$6,".",IF(A7414=".",1,A7414+1))</f>
        <v>.</v>
      </c>
      <c r="B7415" s="244" t="str">
        <f t="shared" si="115"/>
        <v/>
      </c>
    </row>
    <row r="7416" spans="1:2" x14ac:dyDescent="0.25">
      <c r="A7416" t="str">
        <f>IF(C7416&amp;G7416&amp;D7416&lt;&gt;'Funnel setup'!$K$3&amp;'Funnel setup'!$K$4&amp;'Funnel setup'!$K$6,".",IF(A7415=".",1,A7415+1))</f>
        <v>.</v>
      </c>
      <c r="B7416" s="244" t="str">
        <f t="shared" si="115"/>
        <v/>
      </c>
    </row>
    <row r="7417" spans="1:2" x14ac:dyDescent="0.25">
      <c r="A7417" t="str">
        <f>IF(C7417&amp;G7417&amp;D7417&lt;&gt;'Funnel setup'!$K$3&amp;'Funnel setup'!$K$4&amp;'Funnel setup'!$K$6,".",IF(A7416=".",1,A7416+1))</f>
        <v>.</v>
      </c>
      <c r="B7417" s="244" t="str">
        <f t="shared" si="115"/>
        <v/>
      </c>
    </row>
    <row r="7418" spans="1:2" x14ac:dyDescent="0.25">
      <c r="A7418" t="str">
        <f>IF(C7418&amp;G7418&amp;D7418&lt;&gt;'Funnel setup'!$K$3&amp;'Funnel setup'!$K$4&amp;'Funnel setup'!$K$6,".",IF(A7417=".",1,A7417+1))</f>
        <v>.</v>
      </c>
      <c r="B7418" s="244" t="str">
        <f t="shared" si="115"/>
        <v/>
      </c>
    </row>
    <row r="7419" spans="1:2" x14ac:dyDescent="0.25">
      <c r="A7419" t="str">
        <f>IF(C7419&amp;G7419&amp;D7419&lt;&gt;'Funnel setup'!$K$3&amp;'Funnel setup'!$K$4&amp;'Funnel setup'!$K$6,".",IF(A7418=".",1,A7418+1))</f>
        <v>.</v>
      </c>
      <c r="B7419" s="244" t="str">
        <f t="shared" si="115"/>
        <v/>
      </c>
    </row>
    <row r="7420" spans="1:2" x14ac:dyDescent="0.25">
      <c r="A7420" t="str">
        <f>IF(C7420&amp;G7420&amp;D7420&lt;&gt;'Funnel setup'!$K$3&amp;'Funnel setup'!$K$4&amp;'Funnel setup'!$K$6,".",IF(A7419=".",1,A7419+1))</f>
        <v>.</v>
      </c>
      <c r="B7420" s="244" t="str">
        <f t="shared" si="115"/>
        <v/>
      </c>
    </row>
    <row r="7421" spans="1:2" x14ac:dyDescent="0.25">
      <c r="A7421" t="str">
        <f>IF(C7421&amp;G7421&amp;D7421&lt;&gt;'Funnel setup'!$K$3&amp;'Funnel setup'!$K$4&amp;'Funnel setup'!$K$6,".",IF(A7420=".",1,A7420+1))</f>
        <v>.</v>
      </c>
      <c r="B7421" s="244" t="str">
        <f t="shared" si="115"/>
        <v/>
      </c>
    </row>
    <row r="7422" spans="1:2" x14ac:dyDescent="0.25">
      <c r="A7422" t="str">
        <f>IF(C7422&amp;G7422&amp;D7422&lt;&gt;'Funnel setup'!$K$3&amp;'Funnel setup'!$K$4&amp;'Funnel setup'!$K$6,".",IF(A7421=".",1,A7421+1))</f>
        <v>.</v>
      </c>
      <c r="B7422" s="244" t="str">
        <f t="shared" si="115"/>
        <v/>
      </c>
    </row>
    <row r="7423" spans="1:2" x14ac:dyDescent="0.25">
      <c r="A7423" t="str">
        <f>IF(C7423&amp;G7423&amp;D7423&lt;&gt;'Funnel setup'!$K$3&amp;'Funnel setup'!$K$4&amp;'Funnel setup'!$K$6,".",IF(A7422=".",1,A7422+1))</f>
        <v>.</v>
      </c>
      <c r="B7423" s="244" t="str">
        <f t="shared" si="115"/>
        <v/>
      </c>
    </row>
    <row r="7424" spans="1:2" x14ac:dyDescent="0.25">
      <c r="A7424" t="str">
        <f>IF(C7424&amp;G7424&amp;D7424&lt;&gt;'Funnel setup'!$K$3&amp;'Funnel setup'!$K$4&amp;'Funnel setup'!$K$6,".",IF(A7423=".",1,A7423+1))</f>
        <v>.</v>
      </c>
      <c r="B7424" s="244" t="str">
        <f t="shared" si="115"/>
        <v/>
      </c>
    </row>
    <row r="7425" spans="1:2" x14ac:dyDescent="0.25">
      <c r="A7425" t="str">
        <f>IF(C7425&amp;G7425&amp;D7425&lt;&gt;'Funnel setup'!$K$3&amp;'Funnel setup'!$K$4&amp;'Funnel setup'!$K$6,".",IF(A7424=".",1,A7424+1))</f>
        <v>.</v>
      </c>
      <c r="B7425" s="244" t="str">
        <f t="shared" si="115"/>
        <v/>
      </c>
    </row>
    <row r="7426" spans="1:2" x14ac:dyDescent="0.25">
      <c r="A7426" t="str">
        <f>IF(C7426&amp;G7426&amp;D7426&lt;&gt;'Funnel setup'!$K$3&amp;'Funnel setup'!$K$4&amp;'Funnel setup'!$K$6,".",IF(A7425=".",1,A7425+1))</f>
        <v>.</v>
      </c>
      <c r="B7426" s="244" t="str">
        <f t="shared" ref="B7426:B7489" si="116">C7426&amp;D7426&amp;F7426&amp;G7426</f>
        <v/>
      </c>
    </row>
    <row r="7427" spans="1:2" x14ac:dyDescent="0.25">
      <c r="A7427" t="str">
        <f>IF(C7427&amp;G7427&amp;D7427&lt;&gt;'Funnel setup'!$K$3&amp;'Funnel setup'!$K$4&amp;'Funnel setup'!$K$6,".",IF(A7426=".",1,A7426+1))</f>
        <v>.</v>
      </c>
      <c r="B7427" s="244" t="str">
        <f t="shared" si="116"/>
        <v/>
      </c>
    </row>
    <row r="7428" spans="1:2" x14ac:dyDescent="0.25">
      <c r="A7428" t="str">
        <f>IF(C7428&amp;G7428&amp;D7428&lt;&gt;'Funnel setup'!$K$3&amp;'Funnel setup'!$K$4&amp;'Funnel setup'!$K$6,".",IF(A7427=".",1,A7427+1))</f>
        <v>.</v>
      </c>
      <c r="B7428" s="244" t="str">
        <f t="shared" si="116"/>
        <v/>
      </c>
    </row>
    <row r="7429" spans="1:2" x14ac:dyDescent="0.25">
      <c r="A7429" t="str">
        <f>IF(C7429&amp;G7429&amp;D7429&lt;&gt;'Funnel setup'!$K$3&amp;'Funnel setup'!$K$4&amp;'Funnel setup'!$K$6,".",IF(A7428=".",1,A7428+1))</f>
        <v>.</v>
      </c>
      <c r="B7429" s="244" t="str">
        <f t="shared" si="116"/>
        <v/>
      </c>
    </row>
    <row r="7430" spans="1:2" x14ac:dyDescent="0.25">
      <c r="A7430" t="str">
        <f>IF(C7430&amp;G7430&amp;D7430&lt;&gt;'Funnel setup'!$K$3&amp;'Funnel setup'!$K$4&amp;'Funnel setup'!$K$6,".",IF(A7429=".",1,A7429+1))</f>
        <v>.</v>
      </c>
      <c r="B7430" s="244" t="str">
        <f t="shared" si="116"/>
        <v/>
      </c>
    </row>
    <row r="7431" spans="1:2" x14ac:dyDescent="0.25">
      <c r="A7431" t="str">
        <f>IF(C7431&amp;G7431&amp;D7431&lt;&gt;'Funnel setup'!$K$3&amp;'Funnel setup'!$K$4&amp;'Funnel setup'!$K$6,".",IF(A7430=".",1,A7430+1))</f>
        <v>.</v>
      </c>
      <c r="B7431" s="244" t="str">
        <f t="shared" si="116"/>
        <v/>
      </c>
    </row>
    <row r="7432" spans="1:2" x14ac:dyDescent="0.25">
      <c r="A7432" t="str">
        <f>IF(C7432&amp;G7432&amp;D7432&lt;&gt;'Funnel setup'!$K$3&amp;'Funnel setup'!$K$4&amp;'Funnel setup'!$K$6,".",IF(A7431=".",1,A7431+1))</f>
        <v>.</v>
      </c>
      <c r="B7432" s="244" t="str">
        <f t="shared" si="116"/>
        <v/>
      </c>
    </row>
    <row r="7433" spans="1:2" x14ac:dyDescent="0.25">
      <c r="A7433" t="str">
        <f>IF(C7433&amp;G7433&amp;D7433&lt;&gt;'Funnel setup'!$K$3&amp;'Funnel setup'!$K$4&amp;'Funnel setup'!$K$6,".",IF(A7432=".",1,A7432+1))</f>
        <v>.</v>
      </c>
      <c r="B7433" s="244" t="str">
        <f t="shared" si="116"/>
        <v/>
      </c>
    </row>
    <row r="7434" spans="1:2" x14ac:dyDescent="0.25">
      <c r="A7434" t="str">
        <f>IF(C7434&amp;G7434&amp;D7434&lt;&gt;'Funnel setup'!$K$3&amp;'Funnel setup'!$K$4&amp;'Funnel setup'!$K$6,".",IF(A7433=".",1,A7433+1))</f>
        <v>.</v>
      </c>
      <c r="B7434" s="244" t="str">
        <f t="shared" si="116"/>
        <v/>
      </c>
    </row>
    <row r="7435" spans="1:2" x14ac:dyDescent="0.25">
      <c r="A7435" t="str">
        <f>IF(C7435&amp;G7435&amp;D7435&lt;&gt;'Funnel setup'!$K$3&amp;'Funnel setup'!$K$4&amp;'Funnel setup'!$K$6,".",IF(A7434=".",1,A7434+1))</f>
        <v>.</v>
      </c>
      <c r="B7435" s="244" t="str">
        <f t="shared" si="116"/>
        <v/>
      </c>
    </row>
    <row r="7436" spans="1:2" x14ac:dyDescent="0.25">
      <c r="A7436" t="str">
        <f>IF(C7436&amp;G7436&amp;D7436&lt;&gt;'Funnel setup'!$K$3&amp;'Funnel setup'!$K$4&amp;'Funnel setup'!$K$6,".",IF(A7435=".",1,A7435+1))</f>
        <v>.</v>
      </c>
      <c r="B7436" s="244" t="str">
        <f t="shared" si="116"/>
        <v/>
      </c>
    </row>
    <row r="7437" spans="1:2" x14ac:dyDescent="0.25">
      <c r="A7437" t="str">
        <f>IF(C7437&amp;G7437&amp;D7437&lt;&gt;'Funnel setup'!$K$3&amp;'Funnel setup'!$K$4&amp;'Funnel setup'!$K$6,".",IF(A7436=".",1,A7436+1))</f>
        <v>.</v>
      </c>
      <c r="B7437" s="244" t="str">
        <f t="shared" si="116"/>
        <v/>
      </c>
    </row>
    <row r="7438" spans="1:2" x14ac:dyDescent="0.25">
      <c r="A7438" t="str">
        <f>IF(C7438&amp;G7438&amp;D7438&lt;&gt;'Funnel setup'!$K$3&amp;'Funnel setup'!$K$4&amp;'Funnel setup'!$K$6,".",IF(A7437=".",1,A7437+1))</f>
        <v>.</v>
      </c>
      <c r="B7438" s="244" t="str">
        <f t="shared" si="116"/>
        <v/>
      </c>
    </row>
    <row r="7439" spans="1:2" x14ac:dyDescent="0.25">
      <c r="A7439" t="str">
        <f>IF(C7439&amp;G7439&amp;D7439&lt;&gt;'Funnel setup'!$K$3&amp;'Funnel setup'!$K$4&amp;'Funnel setup'!$K$6,".",IF(A7438=".",1,A7438+1))</f>
        <v>.</v>
      </c>
      <c r="B7439" s="244" t="str">
        <f t="shared" si="116"/>
        <v/>
      </c>
    </row>
    <row r="7440" spans="1:2" x14ac:dyDescent="0.25">
      <c r="A7440" t="str">
        <f>IF(C7440&amp;G7440&amp;D7440&lt;&gt;'Funnel setup'!$K$3&amp;'Funnel setup'!$K$4&amp;'Funnel setup'!$K$6,".",IF(A7439=".",1,A7439+1))</f>
        <v>.</v>
      </c>
      <c r="B7440" s="244" t="str">
        <f t="shared" si="116"/>
        <v/>
      </c>
    </row>
    <row r="7441" spans="1:2" x14ac:dyDescent="0.25">
      <c r="A7441" t="str">
        <f>IF(C7441&amp;G7441&amp;D7441&lt;&gt;'Funnel setup'!$K$3&amp;'Funnel setup'!$K$4&amp;'Funnel setup'!$K$6,".",IF(A7440=".",1,A7440+1))</f>
        <v>.</v>
      </c>
      <c r="B7441" s="244" t="str">
        <f t="shared" si="116"/>
        <v/>
      </c>
    </row>
    <row r="7442" spans="1:2" x14ac:dyDescent="0.25">
      <c r="A7442" t="str">
        <f>IF(C7442&amp;G7442&amp;D7442&lt;&gt;'Funnel setup'!$K$3&amp;'Funnel setup'!$K$4&amp;'Funnel setup'!$K$6,".",IF(A7441=".",1,A7441+1))</f>
        <v>.</v>
      </c>
      <c r="B7442" s="244" t="str">
        <f t="shared" si="116"/>
        <v/>
      </c>
    </row>
    <row r="7443" spans="1:2" x14ac:dyDescent="0.25">
      <c r="A7443" t="str">
        <f>IF(C7443&amp;G7443&amp;D7443&lt;&gt;'Funnel setup'!$K$3&amp;'Funnel setup'!$K$4&amp;'Funnel setup'!$K$6,".",IF(A7442=".",1,A7442+1))</f>
        <v>.</v>
      </c>
      <c r="B7443" s="244" t="str">
        <f t="shared" si="116"/>
        <v/>
      </c>
    </row>
    <row r="7444" spans="1:2" x14ac:dyDescent="0.25">
      <c r="A7444" t="str">
        <f>IF(C7444&amp;G7444&amp;D7444&lt;&gt;'Funnel setup'!$K$3&amp;'Funnel setup'!$K$4&amp;'Funnel setup'!$K$6,".",IF(A7443=".",1,A7443+1))</f>
        <v>.</v>
      </c>
      <c r="B7444" s="244" t="str">
        <f t="shared" si="116"/>
        <v/>
      </c>
    </row>
    <row r="7445" spans="1:2" x14ac:dyDescent="0.25">
      <c r="A7445" t="str">
        <f>IF(C7445&amp;G7445&amp;D7445&lt;&gt;'Funnel setup'!$K$3&amp;'Funnel setup'!$K$4&amp;'Funnel setup'!$K$6,".",IF(A7444=".",1,A7444+1))</f>
        <v>.</v>
      </c>
      <c r="B7445" s="244" t="str">
        <f t="shared" si="116"/>
        <v/>
      </c>
    </row>
    <row r="7446" spans="1:2" x14ac:dyDescent="0.25">
      <c r="A7446" t="str">
        <f>IF(C7446&amp;G7446&amp;D7446&lt;&gt;'Funnel setup'!$K$3&amp;'Funnel setup'!$K$4&amp;'Funnel setup'!$K$6,".",IF(A7445=".",1,A7445+1))</f>
        <v>.</v>
      </c>
      <c r="B7446" s="244" t="str">
        <f t="shared" si="116"/>
        <v/>
      </c>
    </row>
    <row r="7447" spans="1:2" x14ac:dyDescent="0.25">
      <c r="A7447" t="str">
        <f>IF(C7447&amp;G7447&amp;D7447&lt;&gt;'Funnel setup'!$K$3&amp;'Funnel setup'!$K$4&amp;'Funnel setup'!$K$6,".",IF(A7446=".",1,A7446+1))</f>
        <v>.</v>
      </c>
      <c r="B7447" s="244" t="str">
        <f t="shared" si="116"/>
        <v/>
      </c>
    </row>
    <row r="7448" spans="1:2" x14ac:dyDescent="0.25">
      <c r="A7448" t="str">
        <f>IF(C7448&amp;G7448&amp;D7448&lt;&gt;'Funnel setup'!$K$3&amp;'Funnel setup'!$K$4&amp;'Funnel setup'!$K$6,".",IF(A7447=".",1,A7447+1))</f>
        <v>.</v>
      </c>
      <c r="B7448" s="244" t="str">
        <f t="shared" si="116"/>
        <v/>
      </c>
    </row>
    <row r="7449" spans="1:2" x14ac:dyDescent="0.25">
      <c r="A7449" t="str">
        <f>IF(C7449&amp;G7449&amp;D7449&lt;&gt;'Funnel setup'!$K$3&amp;'Funnel setup'!$K$4&amp;'Funnel setup'!$K$6,".",IF(A7448=".",1,A7448+1))</f>
        <v>.</v>
      </c>
      <c r="B7449" s="244" t="str">
        <f t="shared" si="116"/>
        <v/>
      </c>
    </row>
    <row r="7450" spans="1:2" x14ac:dyDescent="0.25">
      <c r="A7450" t="str">
        <f>IF(C7450&amp;G7450&amp;D7450&lt;&gt;'Funnel setup'!$K$3&amp;'Funnel setup'!$K$4&amp;'Funnel setup'!$K$6,".",IF(A7449=".",1,A7449+1))</f>
        <v>.</v>
      </c>
      <c r="B7450" s="244" t="str">
        <f t="shared" si="116"/>
        <v/>
      </c>
    </row>
    <row r="7451" spans="1:2" x14ac:dyDescent="0.25">
      <c r="A7451" t="str">
        <f>IF(C7451&amp;G7451&amp;D7451&lt;&gt;'Funnel setup'!$K$3&amp;'Funnel setup'!$K$4&amp;'Funnel setup'!$K$6,".",IF(A7450=".",1,A7450+1))</f>
        <v>.</v>
      </c>
      <c r="B7451" s="244" t="str">
        <f t="shared" si="116"/>
        <v/>
      </c>
    </row>
    <row r="7452" spans="1:2" x14ac:dyDescent="0.25">
      <c r="A7452" t="str">
        <f>IF(C7452&amp;G7452&amp;D7452&lt;&gt;'Funnel setup'!$K$3&amp;'Funnel setup'!$K$4&amp;'Funnel setup'!$K$6,".",IF(A7451=".",1,A7451+1))</f>
        <v>.</v>
      </c>
      <c r="B7452" s="244" t="str">
        <f t="shared" si="116"/>
        <v/>
      </c>
    </row>
    <row r="7453" spans="1:2" x14ac:dyDescent="0.25">
      <c r="A7453" t="str">
        <f>IF(C7453&amp;G7453&amp;D7453&lt;&gt;'Funnel setup'!$K$3&amp;'Funnel setup'!$K$4&amp;'Funnel setup'!$K$6,".",IF(A7452=".",1,A7452+1))</f>
        <v>.</v>
      </c>
      <c r="B7453" s="244" t="str">
        <f t="shared" si="116"/>
        <v/>
      </c>
    </row>
    <row r="7454" spans="1:2" x14ac:dyDescent="0.25">
      <c r="A7454" t="str">
        <f>IF(C7454&amp;G7454&amp;D7454&lt;&gt;'Funnel setup'!$K$3&amp;'Funnel setup'!$K$4&amp;'Funnel setup'!$K$6,".",IF(A7453=".",1,A7453+1))</f>
        <v>.</v>
      </c>
      <c r="B7454" s="244" t="str">
        <f t="shared" si="116"/>
        <v/>
      </c>
    </row>
    <row r="7455" spans="1:2" x14ac:dyDescent="0.25">
      <c r="A7455" t="str">
        <f>IF(C7455&amp;G7455&amp;D7455&lt;&gt;'Funnel setup'!$K$3&amp;'Funnel setup'!$K$4&amp;'Funnel setup'!$K$6,".",IF(A7454=".",1,A7454+1))</f>
        <v>.</v>
      </c>
      <c r="B7455" s="244" t="str">
        <f t="shared" si="116"/>
        <v/>
      </c>
    </row>
    <row r="7456" spans="1:2" x14ac:dyDescent="0.25">
      <c r="A7456" t="str">
        <f>IF(C7456&amp;G7456&amp;D7456&lt;&gt;'Funnel setup'!$K$3&amp;'Funnel setup'!$K$4&amp;'Funnel setup'!$K$6,".",IF(A7455=".",1,A7455+1))</f>
        <v>.</v>
      </c>
      <c r="B7456" s="244" t="str">
        <f t="shared" si="116"/>
        <v/>
      </c>
    </row>
    <row r="7457" spans="1:2" x14ac:dyDescent="0.25">
      <c r="A7457" t="str">
        <f>IF(C7457&amp;G7457&amp;D7457&lt;&gt;'Funnel setup'!$K$3&amp;'Funnel setup'!$K$4&amp;'Funnel setup'!$K$6,".",IF(A7456=".",1,A7456+1))</f>
        <v>.</v>
      </c>
      <c r="B7457" s="244" t="str">
        <f t="shared" si="116"/>
        <v/>
      </c>
    </row>
    <row r="7458" spans="1:2" x14ac:dyDescent="0.25">
      <c r="A7458" t="str">
        <f>IF(C7458&amp;G7458&amp;D7458&lt;&gt;'Funnel setup'!$K$3&amp;'Funnel setup'!$K$4&amp;'Funnel setup'!$K$6,".",IF(A7457=".",1,A7457+1))</f>
        <v>.</v>
      </c>
      <c r="B7458" s="244" t="str">
        <f t="shared" si="116"/>
        <v/>
      </c>
    </row>
    <row r="7459" spans="1:2" x14ac:dyDescent="0.25">
      <c r="A7459" t="str">
        <f>IF(C7459&amp;G7459&amp;D7459&lt;&gt;'Funnel setup'!$K$3&amp;'Funnel setup'!$K$4&amp;'Funnel setup'!$K$6,".",IF(A7458=".",1,A7458+1))</f>
        <v>.</v>
      </c>
      <c r="B7459" s="244" t="str">
        <f t="shared" si="116"/>
        <v/>
      </c>
    </row>
    <row r="7460" spans="1:2" x14ac:dyDescent="0.25">
      <c r="A7460" t="str">
        <f>IF(C7460&amp;G7460&amp;D7460&lt;&gt;'Funnel setup'!$K$3&amp;'Funnel setup'!$K$4&amp;'Funnel setup'!$K$6,".",IF(A7459=".",1,A7459+1))</f>
        <v>.</v>
      </c>
      <c r="B7460" s="244" t="str">
        <f t="shared" si="116"/>
        <v/>
      </c>
    </row>
    <row r="7461" spans="1:2" x14ac:dyDescent="0.25">
      <c r="A7461" t="str">
        <f>IF(C7461&amp;G7461&amp;D7461&lt;&gt;'Funnel setup'!$K$3&amp;'Funnel setup'!$K$4&amp;'Funnel setup'!$K$6,".",IF(A7460=".",1,A7460+1))</f>
        <v>.</v>
      </c>
      <c r="B7461" s="244" t="str">
        <f t="shared" si="116"/>
        <v/>
      </c>
    </row>
    <row r="7462" spans="1:2" x14ac:dyDescent="0.25">
      <c r="A7462" t="str">
        <f>IF(C7462&amp;G7462&amp;D7462&lt;&gt;'Funnel setup'!$K$3&amp;'Funnel setup'!$K$4&amp;'Funnel setup'!$K$6,".",IF(A7461=".",1,A7461+1))</f>
        <v>.</v>
      </c>
      <c r="B7462" s="244" t="str">
        <f t="shared" si="116"/>
        <v/>
      </c>
    </row>
    <row r="7463" spans="1:2" x14ac:dyDescent="0.25">
      <c r="A7463" t="str">
        <f>IF(C7463&amp;G7463&amp;D7463&lt;&gt;'Funnel setup'!$K$3&amp;'Funnel setup'!$K$4&amp;'Funnel setup'!$K$6,".",IF(A7462=".",1,A7462+1))</f>
        <v>.</v>
      </c>
      <c r="B7463" s="244" t="str">
        <f t="shared" si="116"/>
        <v/>
      </c>
    </row>
    <row r="7464" spans="1:2" x14ac:dyDescent="0.25">
      <c r="A7464" t="str">
        <f>IF(C7464&amp;G7464&amp;D7464&lt;&gt;'Funnel setup'!$K$3&amp;'Funnel setup'!$K$4&amp;'Funnel setup'!$K$6,".",IF(A7463=".",1,A7463+1))</f>
        <v>.</v>
      </c>
      <c r="B7464" s="244" t="str">
        <f t="shared" si="116"/>
        <v/>
      </c>
    </row>
    <row r="7465" spans="1:2" x14ac:dyDescent="0.25">
      <c r="A7465" t="str">
        <f>IF(C7465&amp;G7465&amp;D7465&lt;&gt;'Funnel setup'!$K$3&amp;'Funnel setup'!$K$4&amp;'Funnel setup'!$K$6,".",IF(A7464=".",1,A7464+1))</f>
        <v>.</v>
      </c>
      <c r="B7465" s="244" t="str">
        <f t="shared" si="116"/>
        <v/>
      </c>
    </row>
    <row r="7466" spans="1:2" x14ac:dyDescent="0.25">
      <c r="A7466" t="str">
        <f>IF(C7466&amp;G7466&amp;D7466&lt;&gt;'Funnel setup'!$K$3&amp;'Funnel setup'!$K$4&amp;'Funnel setup'!$K$6,".",IF(A7465=".",1,A7465+1))</f>
        <v>.</v>
      </c>
      <c r="B7466" s="244" t="str">
        <f t="shared" si="116"/>
        <v/>
      </c>
    </row>
    <row r="7467" spans="1:2" x14ac:dyDescent="0.25">
      <c r="A7467" t="str">
        <f>IF(C7467&amp;G7467&amp;D7467&lt;&gt;'Funnel setup'!$K$3&amp;'Funnel setup'!$K$4&amp;'Funnel setup'!$K$6,".",IF(A7466=".",1,A7466+1))</f>
        <v>.</v>
      </c>
      <c r="B7467" s="244" t="str">
        <f t="shared" si="116"/>
        <v/>
      </c>
    </row>
    <row r="7468" spans="1:2" x14ac:dyDescent="0.25">
      <c r="A7468" t="str">
        <f>IF(C7468&amp;G7468&amp;D7468&lt;&gt;'Funnel setup'!$K$3&amp;'Funnel setup'!$K$4&amp;'Funnel setup'!$K$6,".",IF(A7467=".",1,A7467+1))</f>
        <v>.</v>
      </c>
      <c r="B7468" s="244" t="str">
        <f t="shared" si="116"/>
        <v/>
      </c>
    </row>
    <row r="7469" spans="1:2" x14ac:dyDescent="0.25">
      <c r="A7469" t="str">
        <f>IF(C7469&amp;G7469&amp;D7469&lt;&gt;'Funnel setup'!$K$3&amp;'Funnel setup'!$K$4&amp;'Funnel setup'!$K$6,".",IF(A7468=".",1,A7468+1))</f>
        <v>.</v>
      </c>
      <c r="B7469" s="244" t="str">
        <f t="shared" si="116"/>
        <v/>
      </c>
    </row>
    <row r="7470" spans="1:2" x14ac:dyDescent="0.25">
      <c r="A7470" t="str">
        <f>IF(C7470&amp;G7470&amp;D7470&lt;&gt;'Funnel setup'!$K$3&amp;'Funnel setup'!$K$4&amp;'Funnel setup'!$K$6,".",IF(A7469=".",1,A7469+1))</f>
        <v>.</v>
      </c>
      <c r="B7470" s="244" t="str">
        <f t="shared" si="116"/>
        <v/>
      </c>
    </row>
    <row r="7471" spans="1:2" x14ac:dyDescent="0.25">
      <c r="A7471" t="str">
        <f>IF(C7471&amp;G7471&amp;D7471&lt;&gt;'Funnel setup'!$K$3&amp;'Funnel setup'!$K$4&amp;'Funnel setup'!$K$6,".",IF(A7470=".",1,A7470+1))</f>
        <v>.</v>
      </c>
      <c r="B7471" s="244" t="str">
        <f t="shared" si="116"/>
        <v/>
      </c>
    </row>
    <row r="7472" spans="1:2" x14ac:dyDescent="0.25">
      <c r="A7472" t="str">
        <f>IF(C7472&amp;G7472&amp;D7472&lt;&gt;'Funnel setup'!$K$3&amp;'Funnel setup'!$K$4&amp;'Funnel setup'!$K$6,".",IF(A7471=".",1,A7471+1))</f>
        <v>.</v>
      </c>
      <c r="B7472" s="244" t="str">
        <f t="shared" si="116"/>
        <v/>
      </c>
    </row>
    <row r="7473" spans="1:2" x14ac:dyDescent="0.25">
      <c r="A7473" t="str">
        <f>IF(C7473&amp;G7473&amp;D7473&lt;&gt;'Funnel setup'!$K$3&amp;'Funnel setup'!$K$4&amp;'Funnel setup'!$K$6,".",IF(A7472=".",1,A7472+1))</f>
        <v>.</v>
      </c>
      <c r="B7473" s="244" t="str">
        <f t="shared" si="116"/>
        <v/>
      </c>
    </row>
    <row r="7474" spans="1:2" x14ac:dyDescent="0.25">
      <c r="A7474" t="str">
        <f>IF(C7474&amp;G7474&amp;D7474&lt;&gt;'Funnel setup'!$K$3&amp;'Funnel setup'!$K$4&amp;'Funnel setup'!$K$6,".",IF(A7473=".",1,A7473+1))</f>
        <v>.</v>
      </c>
      <c r="B7474" s="244" t="str">
        <f t="shared" si="116"/>
        <v/>
      </c>
    </row>
    <row r="7475" spans="1:2" x14ac:dyDescent="0.25">
      <c r="A7475" t="str">
        <f>IF(C7475&amp;G7475&amp;D7475&lt;&gt;'Funnel setup'!$K$3&amp;'Funnel setup'!$K$4&amp;'Funnel setup'!$K$6,".",IF(A7474=".",1,A7474+1))</f>
        <v>.</v>
      </c>
      <c r="B7475" s="244" t="str">
        <f t="shared" si="116"/>
        <v/>
      </c>
    </row>
    <row r="7476" spans="1:2" x14ac:dyDescent="0.25">
      <c r="A7476" t="str">
        <f>IF(C7476&amp;G7476&amp;D7476&lt;&gt;'Funnel setup'!$K$3&amp;'Funnel setup'!$K$4&amp;'Funnel setup'!$K$6,".",IF(A7475=".",1,A7475+1))</f>
        <v>.</v>
      </c>
      <c r="B7476" s="244" t="str">
        <f t="shared" si="116"/>
        <v/>
      </c>
    </row>
    <row r="7477" spans="1:2" x14ac:dyDescent="0.25">
      <c r="A7477" t="str">
        <f>IF(C7477&amp;G7477&amp;D7477&lt;&gt;'Funnel setup'!$K$3&amp;'Funnel setup'!$K$4&amp;'Funnel setup'!$K$6,".",IF(A7476=".",1,A7476+1))</f>
        <v>.</v>
      </c>
      <c r="B7477" s="244" t="str">
        <f t="shared" si="116"/>
        <v/>
      </c>
    </row>
    <row r="7478" spans="1:2" x14ac:dyDescent="0.25">
      <c r="A7478" t="str">
        <f>IF(C7478&amp;G7478&amp;D7478&lt;&gt;'Funnel setup'!$K$3&amp;'Funnel setup'!$K$4&amp;'Funnel setup'!$K$6,".",IF(A7477=".",1,A7477+1))</f>
        <v>.</v>
      </c>
      <c r="B7478" s="244" t="str">
        <f t="shared" si="116"/>
        <v/>
      </c>
    </row>
    <row r="7479" spans="1:2" x14ac:dyDescent="0.25">
      <c r="A7479" t="str">
        <f>IF(C7479&amp;G7479&amp;D7479&lt;&gt;'Funnel setup'!$K$3&amp;'Funnel setup'!$K$4&amp;'Funnel setup'!$K$6,".",IF(A7478=".",1,A7478+1))</f>
        <v>.</v>
      </c>
      <c r="B7479" s="244" t="str">
        <f t="shared" si="116"/>
        <v/>
      </c>
    </row>
    <row r="7480" spans="1:2" x14ac:dyDescent="0.25">
      <c r="A7480" t="str">
        <f>IF(C7480&amp;G7480&amp;D7480&lt;&gt;'Funnel setup'!$K$3&amp;'Funnel setup'!$K$4&amp;'Funnel setup'!$K$6,".",IF(A7479=".",1,A7479+1))</f>
        <v>.</v>
      </c>
      <c r="B7480" s="244" t="str">
        <f t="shared" si="116"/>
        <v/>
      </c>
    </row>
    <row r="7481" spans="1:2" x14ac:dyDescent="0.25">
      <c r="A7481" t="str">
        <f>IF(C7481&amp;G7481&amp;D7481&lt;&gt;'Funnel setup'!$K$3&amp;'Funnel setup'!$K$4&amp;'Funnel setup'!$K$6,".",IF(A7480=".",1,A7480+1))</f>
        <v>.</v>
      </c>
      <c r="B7481" s="244" t="str">
        <f t="shared" si="116"/>
        <v/>
      </c>
    </row>
    <row r="7482" spans="1:2" x14ac:dyDescent="0.25">
      <c r="A7482" t="str">
        <f>IF(C7482&amp;G7482&amp;D7482&lt;&gt;'Funnel setup'!$K$3&amp;'Funnel setup'!$K$4&amp;'Funnel setup'!$K$6,".",IF(A7481=".",1,A7481+1))</f>
        <v>.</v>
      </c>
      <c r="B7482" s="244" t="str">
        <f t="shared" si="116"/>
        <v/>
      </c>
    </row>
    <row r="7483" spans="1:2" x14ac:dyDescent="0.25">
      <c r="A7483" t="str">
        <f>IF(C7483&amp;G7483&amp;D7483&lt;&gt;'Funnel setup'!$K$3&amp;'Funnel setup'!$K$4&amp;'Funnel setup'!$K$6,".",IF(A7482=".",1,A7482+1))</f>
        <v>.</v>
      </c>
      <c r="B7483" s="244" t="str">
        <f t="shared" si="116"/>
        <v/>
      </c>
    </row>
    <row r="7484" spans="1:2" x14ac:dyDescent="0.25">
      <c r="A7484" t="str">
        <f>IF(C7484&amp;G7484&amp;D7484&lt;&gt;'Funnel setup'!$K$3&amp;'Funnel setup'!$K$4&amp;'Funnel setup'!$K$6,".",IF(A7483=".",1,A7483+1))</f>
        <v>.</v>
      </c>
      <c r="B7484" s="244" t="str">
        <f t="shared" si="116"/>
        <v/>
      </c>
    </row>
    <row r="7485" spans="1:2" x14ac:dyDescent="0.25">
      <c r="A7485" t="str">
        <f>IF(C7485&amp;G7485&amp;D7485&lt;&gt;'Funnel setup'!$K$3&amp;'Funnel setup'!$K$4&amp;'Funnel setup'!$K$6,".",IF(A7484=".",1,A7484+1))</f>
        <v>.</v>
      </c>
      <c r="B7485" s="244" t="str">
        <f t="shared" si="116"/>
        <v/>
      </c>
    </row>
    <row r="7486" spans="1:2" x14ac:dyDescent="0.25">
      <c r="A7486" t="str">
        <f>IF(C7486&amp;G7486&amp;D7486&lt;&gt;'Funnel setup'!$K$3&amp;'Funnel setup'!$K$4&amp;'Funnel setup'!$K$6,".",IF(A7485=".",1,A7485+1))</f>
        <v>.</v>
      </c>
      <c r="B7486" s="244" t="str">
        <f t="shared" si="116"/>
        <v/>
      </c>
    </row>
    <row r="7487" spans="1:2" x14ac:dyDescent="0.25">
      <c r="A7487" t="str">
        <f>IF(C7487&amp;G7487&amp;D7487&lt;&gt;'Funnel setup'!$K$3&amp;'Funnel setup'!$K$4&amp;'Funnel setup'!$K$6,".",IF(A7486=".",1,A7486+1))</f>
        <v>.</v>
      </c>
      <c r="B7487" s="244" t="str">
        <f t="shared" si="116"/>
        <v/>
      </c>
    </row>
    <row r="7488" spans="1:2" x14ac:dyDescent="0.25">
      <c r="A7488" t="str">
        <f>IF(C7488&amp;G7488&amp;D7488&lt;&gt;'Funnel setup'!$K$3&amp;'Funnel setup'!$K$4&amp;'Funnel setup'!$K$6,".",IF(A7487=".",1,A7487+1))</f>
        <v>.</v>
      </c>
      <c r="B7488" s="244" t="str">
        <f t="shared" si="116"/>
        <v/>
      </c>
    </row>
    <row r="7489" spans="1:2" x14ac:dyDescent="0.25">
      <c r="A7489" t="str">
        <f>IF(C7489&amp;G7489&amp;D7489&lt;&gt;'Funnel setup'!$K$3&amp;'Funnel setup'!$K$4&amp;'Funnel setup'!$K$6,".",IF(A7488=".",1,A7488+1))</f>
        <v>.</v>
      </c>
      <c r="B7489" s="244" t="str">
        <f t="shared" si="116"/>
        <v/>
      </c>
    </row>
    <row r="7490" spans="1:2" x14ac:dyDescent="0.25">
      <c r="A7490" t="str">
        <f>IF(C7490&amp;G7490&amp;D7490&lt;&gt;'Funnel setup'!$K$3&amp;'Funnel setup'!$K$4&amp;'Funnel setup'!$K$6,".",IF(A7489=".",1,A7489+1))</f>
        <v>.</v>
      </c>
      <c r="B7490" s="244" t="str">
        <f t="shared" ref="B7490:B7553" si="117">C7490&amp;D7490&amp;F7490&amp;G7490</f>
        <v/>
      </c>
    </row>
    <row r="7491" spans="1:2" x14ac:dyDescent="0.25">
      <c r="A7491" t="str">
        <f>IF(C7491&amp;G7491&amp;D7491&lt;&gt;'Funnel setup'!$K$3&amp;'Funnel setup'!$K$4&amp;'Funnel setup'!$K$6,".",IF(A7490=".",1,A7490+1))</f>
        <v>.</v>
      </c>
      <c r="B7491" s="244" t="str">
        <f t="shared" si="117"/>
        <v/>
      </c>
    </row>
    <row r="7492" spans="1:2" x14ac:dyDescent="0.25">
      <c r="A7492" t="str">
        <f>IF(C7492&amp;G7492&amp;D7492&lt;&gt;'Funnel setup'!$K$3&amp;'Funnel setup'!$K$4&amp;'Funnel setup'!$K$6,".",IF(A7491=".",1,A7491+1))</f>
        <v>.</v>
      </c>
      <c r="B7492" s="244" t="str">
        <f t="shared" si="117"/>
        <v/>
      </c>
    </row>
    <row r="7493" spans="1:2" x14ac:dyDescent="0.25">
      <c r="A7493" t="str">
        <f>IF(C7493&amp;G7493&amp;D7493&lt;&gt;'Funnel setup'!$K$3&amp;'Funnel setup'!$K$4&amp;'Funnel setup'!$K$6,".",IF(A7492=".",1,A7492+1))</f>
        <v>.</v>
      </c>
      <c r="B7493" s="244" t="str">
        <f t="shared" si="117"/>
        <v/>
      </c>
    </row>
    <row r="7494" spans="1:2" x14ac:dyDescent="0.25">
      <c r="A7494" t="str">
        <f>IF(C7494&amp;G7494&amp;D7494&lt;&gt;'Funnel setup'!$K$3&amp;'Funnel setup'!$K$4&amp;'Funnel setup'!$K$6,".",IF(A7493=".",1,A7493+1))</f>
        <v>.</v>
      </c>
      <c r="B7494" s="244" t="str">
        <f t="shared" si="117"/>
        <v/>
      </c>
    </row>
    <row r="7495" spans="1:2" x14ac:dyDescent="0.25">
      <c r="A7495" t="str">
        <f>IF(C7495&amp;G7495&amp;D7495&lt;&gt;'Funnel setup'!$K$3&amp;'Funnel setup'!$K$4&amp;'Funnel setup'!$K$6,".",IF(A7494=".",1,A7494+1))</f>
        <v>.</v>
      </c>
      <c r="B7495" s="244" t="str">
        <f t="shared" si="117"/>
        <v/>
      </c>
    </row>
    <row r="7496" spans="1:2" x14ac:dyDescent="0.25">
      <c r="A7496" t="str">
        <f>IF(C7496&amp;G7496&amp;D7496&lt;&gt;'Funnel setup'!$K$3&amp;'Funnel setup'!$K$4&amp;'Funnel setup'!$K$6,".",IF(A7495=".",1,A7495+1))</f>
        <v>.</v>
      </c>
      <c r="B7496" s="244" t="str">
        <f t="shared" si="117"/>
        <v/>
      </c>
    </row>
    <row r="7497" spans="1:2" x14ac:dyDescent="0.25">
      <c r="A7497" t="str">
        <f>IF(C7497&amp;G7497&amp;D7497&lt;&gt;'Funnel setup'!$K$3&amp;'Funnel setup'!$K$4&amp;'Funnel setup'!$K$6,".",IF(A7496=".",1,A7496+1))</f>
        <v>.</v>
      </c>
      <c r="B7497" s="244" t="str">
        <f t="shared" si="117"/>
        <v/>
      </c>
    </row>
    <row r="7498" spans="1:2" x14ac:dyDescent="0.25">
      <c r="A7498" t="str">
        <f>IF(C7498&amp;G7498&amp;D7498&lt;&gt;'Funnel setup'!$K$3&amp;'Funnel setup'!$K$4&amp;'Funnel setup'!$K$6,".",IF(A7497=".",1,A7497+1))</f>
        <v>.</v>
      </c>
      <c r="B7498" s="244" t="str">
        <f t="shared" si="117"/>
        <v/>
      </c>
    </row>
    <row r="7499" spans="1:2" x14ac:dyDescent="0.25">
      <c r="A7499" t="str">
        <f>IF(C7499&amp;G7499&amp;D7499&lt;&gt;'Funnel setup'!$K$3&amp;'Funnel setup'!$K$4&amp;'Funnel setup'!$K$6,".",IF(A7498=".",1,A7498+1))</f>
        <v>.</v>
      </c>
      <c r="B7499" s="244" t="str">
        <f t="shared" si="117"/>
        <v/>
      </c>
    </row>
    <row r="7500" spans="1:2" x14ac:dyDescent="0.25">
      <c r="A7500" t="str">
        <f>IF(C7500&amp;G7500&amp;D7500&lt;&gt;'Funnel setup'!$K$3&amp;'Funnel setup'!$K$4&amp;'Funnel setup'!$K$6,".",IF(A7499=".",1,A7499+1))</f>
        <v>.</v>
      </c>
      <c r="B7500" s="244" t="str">
        <f t="shared" si="117"/>
        <v/>
      </c>
    </row>
    <row r="7501" spans="1:2" x14ac:dyDescent="0.25">
      <c r="A7501" t="str">
        <f>IF(C7501&amp;G7501&amp;D7501&lt;&gt;'Funnel setup'!$K$3&amp;'Funnel setup'!$K$4&amp;'Funnel setup'!$K$6,".",IF(A7500=".",1,A7500+1))</f>
        <v>.</v>
      </c>
      <c r="B7501" s="244" t="str">
        <f t="shared" si="117"/>
        <v/>
      </c>
    </row>
    <row r="7502" spans="1:2" x14ac:dyDescent="0.25">
      <c r="A7502" t="str">
        <f>IF(C7502&amp;G7502&amp;D7502&lt;&gt;'Funnel setup'!$K$3&amp;'Funnel setup'!$K$4&amp;'Funnel setup'!$K$6,".",IF(A7501=".",1,A7501+1))</f>
        <v>.</v>
      </c>
      <c r="B7502" s="244" t="str">
        <f t="shared" si="117"/>
        <v/>
      </c>
    </row>
    <row r="7503" spans="1:2" x14ac:dyDescent="0.25">
      <c r="A7503" t="str">
        <f>IF(C7503&amp;G7503&amp;D7503&lt;&gt;'Funnel setup'!$K$3&amp;'Funnel setup'!$K$4&amp;'Funnel setup'!$K$6,".",IF(A7502=".",1,A7502+1))</f>
        <v>.</v>
      </c>
      <c r="B7503" s="244" t="str">
        <f t="shared" si="117"/>
        <v/>
      </c>
    </row>
    <row r="7504" spans="1:2" x14ac:dyDescent="0.25">
      <c r="A7504" t="str">
        <f>IF(C7504&amp;G7504&amp;D7504&lt;&gt;'Funnel setup'!$K$3&amp;'Funnel setup'!$K$4&amp;'Funnel setup'!$K$6,".",IF(A7503=".",1,A7503+1))</f>
        <v>.</v>
      </c>
      <c r="B7504" s="244" t="str">
        <f t="shared" si="117"/>
        <v/>
      </c>
    </row>
    <row r="7505" spans="1:2" x14ac:dyDescent="0.25">
      <c r="A7505" t="str">
        <f>IF(C7505&amp;G7505&amp;D7505&lt;&gt;'Funnel setup'!$K$3&amp;'Funnel setup'!$K$4&amp;'Funnel setup'!$K$6,".",IF(A7504=".",1,A7504+1))</f>
        <v>.</v>
      </c>
      <c r="B7505" s="244" t="str">
        <f t="shared" si="117"/>
        <v/>
      </c>
    </row>
    <row r="7506" spans="1:2" x14ac:dyDescent="0.25">
      <c r="A7506" t="str">
        <f>IF(C7506&amp;G7506&amp;D7506&lt;&gt;'Funnel setup'!$K$3&amp;'Funnel setup'!$K$4&amp;'Funnel setup'!$K$6,".",IF(A7505=".",1,A7505+1))</f>
        <v>.</v>
      </c>
      <c r="B7506" s="244" t="str">
        <f t="shared" si="117"/>
        <v/>
      </c>
    </row>
    <row r="7507" spans="1:2" x14ac:dyDescent="0.25">
      <c r="A7507" t="str">
        <f>IF(C7507&amp;G7507&amp;D7507&lt;&gt;'Funnel setup'!$K$3&amp;'Funnel setup'!$K$4&amp;'Funnel setup'!$K$6,".",IF(A7506=".",1,A7506+1))</f>
        <v>.</v>
      </c>
      <c r="B7507" s="244" t="str">
        <f t="shared" si="117"/>
        <v/>
      </c>
    </row>
    <row r="7508" spans="1:2" x14ac:dyDescent="0.25">
      <c r="A7508" t="str">
        <f>IF(C7508&amp;G7508&amp;D7508&lt;&gt;'Funnel setup'!$K$3&amp;'Funnel setup'!$K$4&amp;'Funnel setup'!$K$6,".",IF(A7507=".",1,A7507+1))</f>
        <v>.</v>
      </c>
      <c r="B7508" s="244" t="str">
        <f t="shared" si="117"/>
        <v/>
      </c>
    </row>
    <row r="7509" spans="1:2" x14ac:dyDescent="0.25">
      <c r="A7509" t="str">
        <f>IF(C7509&amp;G7509&amp;D7509&lt;&gt;'Funnel setup'!$K$3&amp;'Funnel setup'!$K$4&amp;'Funnel setup'!$K$6,".",IF(A7508=".",1,A7508+1))</f>
        <v>.</v>
      </c>
      <c r="B7509" s="244" t="str">
        <f t="shared" si="117"/>
        <v/>
      </c>
    </row>
    <row r="7510" spans="1:2" x14ac:dyDescent="0.25">
      <c r="A7510" t="str">
        <f>IF(C7510&amp;G7510&amp;D7510&lt;&gt;'Funnel setup'!$K$3&amp;'Funnel setup'!$K$4&amp;'Funnel setup'!$K$6,".",IF(A7509=".",1,A7509+1))</f>
        <v>.</v>
      </c>
      <c r="B7510" s="244" t="str">
        <f t="shared" si="117"/>
        <v/>
      </c>
    </row>
    <row r="7511" spans="1:2" x14ac:dyDescent="0.25">
      <c r="A7511" t="str">
        <f>IF(C7511&amp;G7511&amp;D7511&lt;&gt;'Funnel setup'!$K$3&amp;'Funnel setup'!$K$4&amp;'Funnel setup'!$K$6,".",IF(A7510=".",1,A7510+1))</f>
        <v>.</v>
      </c>
      <c r="B7511" s="244" t="str">
        <f t="shared" si="117"/>
        <v/>
      </c>
    </row>
    <row r="7512" spans="1:2" x14ac:dyDescent="0.25">
      <c r="A7512" t="str">
        <f>IF(C7512&amp;G7512&amp;D7512&lt;&gt;'Funnel setup'!$K$3&amp;'Funnel setup'!$K$4&amp;'Funnel setup'!$K$6,".",IF(A7511=".",1,A7511+1))</f>
        <v>.</v>
      </c>
      <c r="B7512" s="244" t="str">
        <f t="shared" si="117"/>
        <v/>
      </c>
    </row>
    <row r="7513" spans="1:2" x14ac:dyDescent="0.25">
      <c r="A7513" t="str">
        <f>IF(C7513&amp;G7513&amp;D7513&lt;&gt;'Funnel setup'!$K$3&amp;'Funnel setup'!$K$4&amp;'Funnel setup'!$K$6,".",IF(A7512=".",1,A7512+1))</f>
        <v>.</v>
      </c>
      <c r="B7513" s="244" t="str">
        <f t="shared" si="117"/>
        <v/>
      </c>
    </row>
    <row r="7514" spans="1:2" x14ac:dyDescent="0.25">
      <c r="A7514" t="str">
        <f>IF(C7514&amp;G7514&amp;D7514&lt;&gt;'Funnel setup'!$K$3&amp;'Funnel setup'!$K$4&amp;'Funnel setup'!$K$6,".",IF(A7513=".",1,A7513+1))</f>
        <v>.</v>
      </c>
      <c r="B7514" s="244" t="str">
        <f t="shared" si="117"/>
        <v/>
      </c>
    </row>
    <row r="7515" spans="1:2" x14ac:dyDescent="0.25">
      <c r="A7515" t="str">
        <f>IF(C7515&amp;G7515&amp;D7515&lt;&gt;'Funnel setup'!$K$3&amp;'Funnel setup'!$K$4&amp;'Funnel setup'!$K$6,".",IF(A7514=".",1,A7514+1))</f>
        <v>.</v>
      </c>
      <c r="B7515" s="244" t="str">
        <f t="shared" si="117"/>
        <v/>
      </c>
    </row>
    <row r="7516" spans="1:2" x14ac:dyDescent="0.25">
      <c r="A7516" t="str">
        <f>IF(C7516&amp;G7516&amp;D7516&lt;&gt;'Funnel setup'!$K$3&amp;'Funnel setup'!$K$4&amp;'Funnel setup'!$K$6,".",IF(A7515=".",1,A7515+1))</f>
        <v>.</v>
      </c>
      <c r="B7516" s="244" t="str">
        <f t="shared" si="117"/>
        <v/>
      </c>
    </row>
    <row r="7517" spans="1:2" x14ac:dyDescent="0.25">
      <c r="A7517" t="str">
        <f>IF(C7517&amp;G7517&amp;D7517&lt;&gt;'Funnel setup'!$K$3&amp;'Funnel setup'!$K$4&amp;'Funnel setup'!$K$6,".",IF(A7516=".",1,A7516+1))</f>
        <v>.</v>
      </c>
      <c r="B7517" s="244" t="str">
        <f t="shared" si="117"/>
        <v/>
      </c>
    </row>
    <row r="7518" spans="1:2" x14ac:dyDescent="0.25">
      <c r="A7518" t="str">
        <f>IF(C7518&amp;G7518&amp;D7518&lt;&gt;'Funnel setup'!$K$3&amp;'Funnel setup'!$K$4&amp;'Funnel setup'!$K$6,".",IF(A7517=".",1,A7517+1))</f>
        <v>.</v>
      </c>
      <c r="B7518" s="244" t="str">
        <f t="shared" si="117"/>
        <v/>
      </c>
    </row>
    <row r="7519" spans="1:2" x14ac:dyDescent="0.25">
      <c r="A7519" t="str">
        <f>IF(C7519&amp;G7519&amp;D7519&lt;&gt;'Funnel setup'!$K$3&amp;'Funnel setup'!$K$4&amp;'Funnel setup'!$K$6,".",IF(A7518=".",1,A7518+1))</f>
        <v>.</v>
      </c>
      <c r="B7519" s="244" t="str">
        <f t="shared" si="117"/>
        <v/>
      </c>
    </row>
    <row r="7520" spans="1:2" x14ac:dyDescent="0.25">
      <c r="A7520" t="str">
        <f>IF(C7520&amp;G7520&amp;D7520&lt;&gt;'Funnel setup'!$K$3&amp;'Funnel setup'!$K$4&amp;'Funnel setup'!$K$6,".",IF(A7519=".",1,A7519+1))</f>
        <v>.</v>
      </c>
      <c r="B7520" s="244" t="str">
        <f t="shared" si="117"/>
        <v/>
      </c>
    </row>
    <row r="7521" spans="1:2" x14ac:dyDescent="0.25">
      <c r="A7521" t="str">
        <f>IF(C7521&amp;G7521&amp;D7521&lt;&gt;'Funnel setup'!$K$3&amp;'Funnel setup'!$K$4&amp;'Funnel setup'!$K$6,".",IF(A7520=".",1,A7520+1))</f>
        <v>.</v>
      </c>
      <c r="B7521" s="244" t="str">
        <f t="shared" si="117"/>
        <v/>
      </c>
    </row>
    <row r="7522" spans="1:2" x14ac:dyDescent="0.25">
      <c r="A7522" t="str">
        <f>IF(C7522&amp;G7522&amp;D7522&lt;&gt;'Funnel setup'!$K$3&amp;'Funnel setup'!$K$4&amp;'Funnel setup'!$K$6,".",IF(A7521=".",1,A7521+1))</f>
        <v>.</v>
      </c>
      <c r="B7522" s="244" t="str">
        <f t="shared" si="117"/>
        <v/>
      </c>
    </row>
    <row r="7523" spans="1:2" x14ac:dyDescent="0.25">
      <c r="A7523" t="str">
        <f>IF(C7523&amp;G7523&amp;D7523&lt;&gt;'Funnel setup'!$K$3&amp;'Funnel setup'!$K$4&amp;'Funnel setup'!$K$6,".",IF(A7522=".",1,A7522+1))</f>
        <v>.</v>
      </c>
      <c r="B7523" s="244" t="str">
        <f t="shared" si="117"/>
        <v/>
      </c>
    </row>
    <row r="7524" spans="1:2" x14ac:dyDescent="0.25">
      <c r="A7524" t="str">
        <f>IF(C7524&amp;G7524&amp;D7524&lt;&gt;'Funnel setup'!$K$3&amp;'Funnel setup'!$K$4&amp;'Funnel setup'!$K$6,".",IF(A7523=".",1,A7523+1))</f>
        <v>.</v>
      </c>
      <c r="B7524" s="244" t="str">
        <f t="shared" si="117"/>
        <v/>
      </c>
    </row>
    <row r="7525" spans="1:2" x14ac:dyDescent="0.25">
      <c r="A7525" t="str">
        <f>IF(C7525&amp;G7525&amp;D7525&lt;&gt;'Funnel setup'!$K$3&amp;'Funnel setup'!$K$4&amp;'Funnel setup'!$K$6,".",IF(A7524=".",1,A7524+1))</f>
        <v>.</v>
      </c>
      <c r="B7525" s="244" t="str">
        <f t="shared" si="117"/>
        <v/>
      </c>
    </row>
    <row r="7526" spans="1:2" x14ac:dyDescent="0.25">
      <c r="A7526" t="str">
        <f>IF(C7526&amp;G7526&amp;D7526&lt;&gt;'Funnel setup'!$K$3&amp;'Funnel setup'!$K$4&amp;'Funnel setup'!$K$6,".",IF(A7525=".",1,A7525+1))</f>
        <v>.</v>
      </c>
      <c r="B7526" s="244" t="str">
        <f t="shared" si="117"/>
        <v/>
      </c>
    </row>
    <row r="7527" spans="1:2" x14ac:dyDescent="0.25">
      <c r="A7527" t="str">
        <f>IF(C7527&amp;G7527&amp;D7527&lt;&gt;'Funnel setup'!$K$3&amp;'Funnel setup'!$K$4&amp;'Funnel setup'!$K$6,".",IF(A7526=".",1,A7526+1))</f>
        <v>.</v>
      </c>
      <c r="B7527" s="244" t="str">
        <f t="shared" si="117"/>
        <v/>
      </c>
    </row>
    <row r="7528" spans="1:2" x14ac:dyDescent="0.25">
      <c r="A7528" t="str">
        <f>IF(C7528&amp;G7528&amp;D7528&lt;&gt;'Funnel setup'!$K$3&amp;'Funnel setup'!$K$4&amp;'Funnel setup'!$K$6,".",IF(A7527=".",1,A7527+1))</f>
        <v>.</v>
      </c>
      <c r="B7528" s="244" t="str">
        <f t="shared" si="117"/>
        <v/>
      </c>
    </row>
    <row r="7529" spans="1:2" x14ac:dyDescent="0.25">
      <c r="A7529" t="str">
        <f>IF(C7529&amp;G7529&amp;D7529&lt;&gt;'Funnel setup'!$K$3&amp;'Funnel setup'!$K$4&amp;'Funnel setup'!$K$6,".",IF(A7528=".",1,A7528+1))</f>
        <v>.</v>
      </c>
      <c r="B7529" s="244" t="str">
        <f t="shared" si="117"/>
        <v/>
      </c>
    </row>
    <row r="7530" spans="1:2" x14ac:dyDescent="0.25">
      <c r="A7530" t="str">
        <f>IF(C7530&amp;G7530&amp;D7530&lt;&gt;'Funnel setup'!$K$3&amp;'Funnel setup'!$K$4&amp;'Funnel setup'!$K$6,".",IF(A7529=".",1,A7529+1))</f>
        <v>.</v>
      </c>
      <c r="B7530" s="244" t="str">
        <f t="shared" si="117"/>
        <v/>
      </c>
    </row>
    <row r="7531" spans="1:2" x14ac:dyDescent="0.25">
      <c r="A7531" t="str">
        <f>IF(C7531&amp;G7531&amp;D7531&lt;&gt;'Funnel setup'!$K$3&amp;'Funnel setup'!$K$4&amp;'Funnel setup'!$K$6,".",IF(A7530=".",1,A7530+1))</f>
        <v>.</v>
      </c>
      <c r="B7531" s="244" t="str">
        <f t="shared" si="117"/>
        <v/>
      </c>
    </row>
    <row r="7532" spans="1:2" x14ac:dyDescent="0.25">
      <c r="A7532" t="str">
        <f>IF(C7532&amp;G7532&amp;D7532&lt;&gt;'Funnel setup'!$K$3&amp;'Funnel setup'!$K$4&amp;'Funnel setup'!$K$6,".",IF(A7531=".",1,A7531+1))</f>
        <v>.</v>
      </c>
      <c r="B7532" s="244" t="str">
        <f t="shared" si="117"/>
        <v/>
      </c>
    </row>
    <row r="7533" spans="1:2" x14ac:dyDescent="0.25">
      <c r="A7533" t="str">
        <f>IF(C7533&amp;G7533&amp;D7533&lt;&gt;'Funnel setup'!$K$3&amp;'Funnel setup'!$K$4&amp;'Funnel setup'!$K$6,".",IF(A7532=".",1,A7532+1))</f>
        <v>.</v>
      </c>
      <c r="B7533" s="244" t="str">
        <f t="shared" si="117"/>
        <v/>
      </c>
    </row>
    <row r="7534" spans="1:2" x14ac:dyDescent="0.25">
      <c r="A7534" t="str">
        <f>IF(C7534&amp;G7534&amp;D7534&lt;&gt;'Funnel setup'!$K$3&amp;'Funnel setup'!$K$4&amp;'Funnel setup'!$K$6,".",IF(A7533=".",1,A7533+1))</f>
        <v>.</v>
      </c>
      <c r="B7534" s="244" t="str">
        <f t="shared" si="117"/>
        <v/>
      </c>
    </row>
    <row r="7535" spans="1:2" x14ac:dyDescent="0.25">
      <c r="A7535" t="str">
        <f>IF(C7535&amp;G7535&amp;D7535&lt;&gt;'Funnel setup'!$K$3&amp;'Funnel setup'!$K$4&amp;'Funnel setup'!$K$6,".",IF(A7534=".",1,A7534+1))</f>
        <v>.</v>
      </c>
      <c r="B7535" s="244" t="str">
        <f t="shared" si="117"/>
        <v/>
      </c>
    </row>
    <row r="7536" spans="1:2" x14ac:dyDescent="0.25">
      <c r="A7536" t="str">
        <f>IF(C7536&amp;G7536&amp;D7536&lt;&gt;'Funnel setup'!$K$3&amp;'Funnel setup'!$K$4&amp;'Funnel setup'!$K$6,".",IF(A7535=".",1,A7535+1))</f>
        <v>.</v>
      </c>
      <c r="B7536" s="244" t="str">
        <f t="shared" si="117"/>
        <v/>
      </c>
    </row>
    <row r="7537" spans="1:2" x14ac:dyDescent="0.25">
      <c r="A7537" t="str">
        <f>IF(C7537&amp;G7537&amp;D7537&lt;&gt;'Funnel setup'!$K$3&amp;'Funnel setup'!$K$4&amp;'Funnel setup'!$K$6,".",IF(A7536=".",1,A7536+1))</f>
        <v>.</v>
      </c>
      <c r="B7537" s="244" t="str">
        <f t="shared" si="117"/>
        <v/>
      </c>
    </row>
    <row r="7538" spans="1:2" x14ac:dyDescent="0.25">
      <c r="A7538" t="str">
        <f>IF(C7538&amp;G7538&amp;D7538&lt;&gt;'Funnel setup'!$K$3&amp;'Funnel setup'!$K$4&amp;'Funnel setup'!$K$6,".",IF(A7537=".",1,A7537+1))</f>
        <v>.</v>
      </c>
      <c r="B7538" s="244" t="str">
        <f t="shared" si="117"/>
        <v/>
      </c>
    </row>
    <row r="7539" spans="1:2" x14ac:dyDescent="0.25">
      <c r="A7539" t="str">
        <f>IF(C7539&amp;G7539&amp;D7539&lt;&gt;'Funnel setup'!$K$3&amp;'Funnel setup'!$K$4&amp;'Funnel setup'!$K$6,".",IF(A7538=".",1,A7538+1))</f>
        <v>.</v>
      </c>
      <c r="B7539" s="244" t="str">
        <f t="shared" si="117"/>
        <v/>
      </c>
    </row>
    <row r="7540" spans="1:2" x14ac:dyDescent="0.25">
      <c r="A7540" t="str">
        <f>IF(C7540&amp;G7540&amp;D7540&lt;&gt;'Funnel setup'!$K$3&amp;'Funnel setup'!$K$4&amp;'Funnel setup'!$K$6,".",IF(A7539=".",1,A7539+1))</f>
        <v>.</v>
      </c>
      <c r="B7540" s="244" t="str">
        <f t="shared" si="117"/>
        <v/>
      </c>
    </row>
    <row r="7541" spans="1:2" x14ac:dyDescent="0.25">
      <c r="A7541" t="str">
        <f>IF(C7541&amp;G7541&amp;D7541&lt;&gt;'Funnel setup'!$K$3&amp;'Funnel setup'!$K$4&amp;'Funnel setup'!$K$6,".",IF(A7540=".",1,A7540+1))</f>
        <v>.</v>
      </c>
      <c r="B7541" s="244" t="str">
        <f t="shared" si="117"/>
        <v/>
      </c>
    </row>
    <row r="7542" spans="1:2" x14ac:dyDescent="0.25">
      <c r="A7542" t="str">
        <f>IF(C7542&amp;G7542&amp;D7542&lt;&gt;'Funnel setup'!$K$3&amp;'Funnel setup'!$K$4&amp;'Funnel setup'!$K$6,".",IF(A7541=".",1,A7541+1))</f>
        <v>.</v>
      </c>
      <c r="B7542" s="244" t="str">
        <f t="shared" si="117"/>
        <v/>
      </c>
    </row>
    <row r="7543" spans="1:2" x14ac:dyDescent="0.25">
      <c r="A7543" t="str">
        <f>IF(C7543&amp;G7543&amp;D7543&lt;&gt;'Funnel setup'!$K$3&amp;'Funnel setup'!$K$4&amp;'Funnel setup'!$K$6,".",IF(A7542=".",1,A7542+1))</f>
        <v>.</v>
      </c>
      <c r="B7543" s="244" t="str">
        <f t="shared" si="117"/>
        <v/>
      </c>
    </row>
    <row r="7544" spans="1:2" x14ac:dyDescent="0.25">
      <c r="A7544" t="str">
        <f>IF(C7544&amp;G7544&amp;D7544&lt;&gt;'Funnel setup'!$K$3&amp;'Funnel setup'!$K$4&amp;'Funnel setup'!$K$6,".",IF(A7543=".",1,A7543+1))</f>
        <v>.</v>
      </c>
      <c r="B7544" s="244" t="str">
        <f t="shared" si="117"/>
        <v/>
      </c>
    </row>
    <row r="7545" spans="1:2" x14ac:dyDescent="0.25">
      <c r="A7545" t="str">
        <f>IF(C7545&amp;G7545&amp;D7545&lt;&gt;'Funnel setup'!$K$3&amp;'Funnel setup'!$K$4&amp;'Funnel setup'!$K$6,".",IF(A7544=".",1,A7544+1))</f>
        <v>.</v>
      </c>
      <c r="B7545" s="244" t="str">
        <f t="shared" si="117"/>
        <v/>
      </c>
    </row>
    <row r="7546" spans="1:2" x14ac:dyDescent="0.25">
      <c r="A7546" t="str">
        <f>IF(C7546&amp;G7546&amp;D7546&lt;&gt;'Funnel setup'!$K$3&amp;'Funnel setup'!$K$4&amp;'Funnel setup'!$K$6,".",IF(A7545=".",1,A7545+1))</f>
        <v>.</v>
      </c>
      <c r="B7546" s="244" t="str">
        <f t="shared" si="117"/>
        <v/>
      </c>
    </row>
    <row r="7547" spans="1:2" x14ac:dyDescent="0.25">
      <c r="A7547" t="str">
        <f>IF(C7547&amp;G7547&amp;D7547&lt;&gt;'Funnel setup'!$K$3&amp;'Funnel setup'!$K$4&amp;'Funnel setup'!$K$6,".",IF(A7546=".",1,A7546+1))</f>
        <v>.</v>
      </c>
      <c r="B7547" s="244" t="str">
        <f t="shared" si="117"/>
        <v/>
      </c>
    </row>
    <row r="7548" spans="1:2" x14ac:dyDescent="0.25">
      <c r="A7548" t="str">
        <f>IF(C7548&amp;G7548&amp;D7548&lt;&gt;'Funnel setup'!$K$3&amp;'Funnel setup'!$K$4&amp;'Funnel setup'!$K$6,".",IF(A7547=".",1,A7547+1))</f>
        <v>.</v>
      </c>
      <c r="B7548" s="244" t="str">
        <f t="shared" si="117"/>
        <v/>
      </c>
    </row>
    <row r="7549" spans="1:2" x14ac:dyDescent="0.25">
      <c r="A7549" t="str">
        <f>IF(C7549&amp;G7549&amp;D7549&lt;&gt;'Funnel setup'!$K$3&amp;'Funnel setup'!$K$4&amp;'Funnel setup'!$K$6,".",IF(A7548=".",1,A7548+1))</f>
        <v>.</v>
      </c>
      <c r="B7549" s="244" t="str">
        <f t="shared" si="117"/>
        <v/>
      </c>
    </row>
    <row r="7550" spans="1:2" x14ac:dyDescent="0.25">
      <c r="A7550" t="str">
        <f>IF(C7550&amp;G7550&amp;D7550&lt;&gt;'Funnel setup'!$K$3&amp;'Funnel setup'!$K$4&amp;'Funnel setup'!$K$6,".",IF(A7549=".",1,A7549+1))</f>
        <v>.</v>
      </c>
      <c r="B7550" s="244" t="str">
        <f t="shared" si="117"/>
        <v/>
      </c>
    </row>
    <row r="7551" spans="1:2" x14ac:dyDescent="0.25">
      <c r="A7551" t="str">
        <f>IF(C7551&amp;G7551&amp;D7551&lt;&gt;'Funnel setup'!$K$3&amp;'Funnel setup'!$K$4&amp;'Funnel setup'!$K$6,".",IF(A7550=".",1,A7550+1))</f>
        <v>.</v>
      </c>
      <c r="B7551" s="244" t="str">
        <f t="shared" si="117"/>
        <v/>
      </c>
    </row>
    <row r="7552" spans="1:2" x14ac:dyDescent="0.25">
      <c r="A7552" t="str">
        <f>IF(C7552&amp;G7552&amp;D7552&lt;&gt;'Funnel setup'!$K$3&amp;'Funnel setup'!$K$4&amp;'Funnel setup'!$K$6,".",IF(A7551=".",1,A7551+1))</f>
        <v>.</v>
      </c>
      <c r="B7552" s="244" t="str">
        <f t="shared" si="117"/>
        <v/>
      </c>
    </row>
    <row r="7553" spans="1:2" x14ac:dyDescent="0.25">
      <c r="A7553" t="str">
        <f>IF(C7553&amp;G7553&amp;D7553&lt;&gt;'Funnel setup'!$K$3&amp;'Funnel setup'!$K$4&amp;'Funnel setup'!$K$6,".",IF(A7552=".",1,A7552+1))</f>
        <v>.</v>
      </c>
      <c r="B7553" s="244" t="str">
        <f t="shared" si="117"/>
        <v/>
      </c>
    </row>
    <row r="7554" spans="1:2" x14ac:dyDescent="0.25">
      <c r="A7554" t="str">
        <f>IF(C7554&amp;G7554&amp;D7554&lt;&gt;'Funnel setup'!$K$3&amp;'Funnel setup'!$K$4&amp;'Funnel setup'!$K$6,".",IF(A7553=".",1,A7553+1))</f>
        <v>.</v>
      </c>
      <c r="B7554" s="244" t="str">
        <f t="shared" ref="B7554:B7617" si="118">C7554&amp;D7554&amp;F7554&amp;G7554</f>
        <v/>
      </c>
    </row>
    <row r="7555" spans="1:2" x14ac:dyDescent="0.25">
      <c r="A7555" t="str">
        <f>IF(C7555&amp;G7555&amp;D7555&lt;&gt;'Funnel setup'!$K$3&amp;'Funnel setup'!$K$4&amp;'Funnel setup'!$K$6,".",IF(A7554=".",1,A7554+1))</f>
        <v>.</v>
      </c>
      <c r="B7555" s="244" t="str">
        <f t="shared" si="118"/>
        <v/>
      </c>
    </row>
    <row r="7556" spans="1:2" x14ac:dyDescent="0.25">
      <c r="A7556" t="str">
        <f>IF(C7556&amp;G7556&amp;D7556&lt;&gt;'Funnel setup'!$K$3&amp;'Funnel setup'!$K$4&amp;'Funnel setup'!$K$6,".",IF(A7555=".",1,A7555+1))</f>
        <v>.</v>
      </c>
      <c r="B7556" s="244" t="str">
        <f t="shared" si="118"/>
        <v/>
      </c>
    </row>
    <row r="7557" spans="1:2" x14ac:dyDescent="0.25">
      <c r="A7557" t="str">
        <f>IF(C7557&amp;G7557&amp;D7557&lt;&gt;'Funnel setup'!$K$3&amp;'Funnel setup'!$K$4&amp;'Funnel setup'!$K$6,".",IF(A7556=".",1,A7556+1))</f>
        <v>.</v>
      </c>
      <c r="B7557" s="244" t="str">
        <f t="shared" si="118"/>
        <v/>
      </c>
    </row>
    <row r="7558" spans="1:2" x14ac:dyDescent="0.25">
      <c r="A7558" t="str">
        <f>IF(C7558&amp;G7558&amp;D7558&lt;&gt;'Funnel setup'!$K$3&amp;'Funnel setup'!$K$4&amp;'Funnel setup'!$K$6,".",IF(A7557=".",1,A7557+1))</f>
        <v>.</v>
      </c>
      <c r="B7558" s="244" t="str">
        <f t="shared" si="118"/>
        <v/>
      </c>
    </row>
    <row r="7559" spans="1:2" x14ac:dyDescent="0.25">
      <c r="A7559" t="str">
        <f>IF(C7559&amp;G7559&amp;D7559&lt;&gt;'Funnel setup'!$K$3&amp;'Funnel setup'!$K$4&amp;'Funnel setup'!$K$6,".",IF(A7558=".",1,A7558+1))</f>
        <v>.</v>
      </c>
      <c r="B7559" s="244" t="str">
        <f t="shared" si="118"/>
        <v/>
      </c>
    </row>
    <row r="7560" spans="1:2" x14ac:dyDescent="0.25">
      <c r="A7560" t="str">
        <f>IF(C7560&amp;G7560&amp;D7560&lt;&gt;'Funnel setup'!$K$3&amp;'Funnel setup'!$K$4&amp;'Funnel setup'!$K$6,".",IF(A7559=".",1,A7559+1))</f>
        <v>.</v>
      </c>
      <c r="B7560" s="244" t="str">
        <f t="shared" si="118"/>
        <v/>
      </c>
    </row>
    <row r="7561" spans="1:2" x14ac:dyDescent="0.25">
      <c r="A7561" t="str">
        <f>IF(C7561&amp;G7561&amp;D7561&lt;&gt;'Funnel setup'!$K$3&amp;'Funnel setup'!$K$4&amp;'Funnel setup'!$K$6,".",IF(A7560=".",1,A7560+1))</f>
        <v>.</v>
      </c>
      <c r="B7561" s="244" t="str">
        <f t="shared" si="118"/>
        <v/>
      </c>
    </row>
    <row r="7562" spans="1:2" x14ac:dyDescent="0.25">
      <c r="A7562" t="str">
        <f>IF(C7562&amp;G7562&amp;D7562&lt;&gt;'Funnel setup'!$K$3&amp;'Funnel setup'!$K$4&amp;'Funnel setup'!$K$6,".",IF(A7561=".",1,A7561+1))</f>
        <v>.</v>
      </c>
      <c r="B7562" s="244" t="str">
        <f t="shared" si="118"/>
        <v/>
      </c>
    </row>
    <row r="7563" spans="1:2" x14ac:dyDescent="0.25">
      <c r="A7563" t="str">
        <f>IF(C7563&amp;G7563&amp;D7563&lt;&gt;'Funnel setup'!$K$3&amp;'Funnel setup'!$K$4&amp;'Funnel setup'!$K$6,".",IF(A7562=".",1,A7562+1))</f>
        <v>.</v>
      </c>
      <c r="B7563" s="244" t="str">
        <f t="shared" si="118"/>
        <v/>
      </c>
    </row>
    <row r="7564" spans="1:2" x14ac:dyDescent="0.25">
      <c r="A7564" t="str">
        <f>IF(C7564&amp;G7564&amp;D7564&lt;&gt;'Funnel setup'!$K$3&amp;'Funnel setup'!$K$4&amp;'Funnel setup'!$K$6,".",IF(A7563=".",1,A7563+1))</f>
        <v>.</v>
      </c>
      <c r="B7564" s="244" t="str">
        <f t="shared" si="118"/>
        <v/>
      </c>
    </row>
    <row r="7565" spans="1:2" x14ac:dyDescent="0.25">
      <c r="A7565" t="str">
        <f>IF(C7565&amp;G7565&amp;D7565&lt;&gt;'Funnel setup'!$K$3&amp;'Funnel setup'!$K$4&amp;'Funnel setup'!$K$6,".",IF(A7564=".",1,A7564+1))</f>
        <v>.</v>
      </c>
      <c r="B7565" s="244" t="str">
        <f t="shared" si="118"/>
        <v/>
      </c>
    </row>
    <row r="7566" spans="1:2" x14ac:dyDescent="0.25">
      <c r="A7566" t="str">
        <f>IF(C7566&amp;G7566&amp;D7566&lt;&gt;'Funnel setup'!$K$3&amp;'Funnel setup'!$K$4&amp;'Funnel setup'!$K$6,".",IF(A7565=".",1,A7565+1))</f>
        <v>.</v>
      </c>
      <c r="B7566" s="244" t="str">
        <f t="shared" si="118"/>
        <v/>
      </c>
    </row>
    <row r="7567" spans="1:2" x14ac:dyDescent="0.25">
      <c r="A7567" t="str">
        <f>IF(C7567&amp;G7567&amp;D7567&lt;&gt;'Funnel setup'!$K$3&amp;'Funnel setup'!$K$4&amp;'Funnel setup'!$K$6,".",IF(A7566=".",1,A7566+1))</f>
        <v>.</v>
      </c>
      <c r="B7567" s="244" t="str">
        <f t="shared" si="118"/>
        <v/>
      </c>
    </row>
    <row r="7568" spans="1:2" x14ac:dyDescent="0.25">
      <c r="A7568" t="str">
        <f>IF(C7568&amp;G7568&amp;D7568&lt;&gt;'Funnel setup'!$K$3&amp;'Funnel setup'!$K$4&amp;'Funnel setup'!$K$6,".",IF(A7567=".",1,A7567+1))</f>
        <v>.</v>
      </c>
      <c r="B7568" s="244" t="str">
        <f t="shared" si="118"/>
        <v/>
      </c>
    </row>
    <row r="7569" spans="1:2" x14ac:dyDescent="0.25">
      <c r="A7569" t="str">
        <f>IF(C7569&amp;G7569&amp;D7569&lt;&gt;'Funnel setup'!$K$3&amp;'Funnel setup'!$K$4&amp;'Funnel setup'!$K$6,".",IF(A7568=".",1,A7568+1))</f>
        <v>.</v>
      </c>
      <c r="B7569" s="244" t="str">
        <f t="shared" si="118"/>
        <v/>
      </c>
    </row>
    <row r="7570" spans="1:2" x14ac:dyDescent="0.25">
      <c r="A7570" t="str">
        <f>IF(C7570&amp;G7570&amp;D7570&lt;&gt;'Funnel setup'!$K$3&amp;'Funnel setup'!$K$4&amp;'Funnel setup'!$K$6,".",IF(A7569=".",1,A7569+1))</f>
        <v>.</v>
      </c>
      <c r="B7570" s="244" t="str">
        <f t="shared" si="118"/>
        <v/>
      </c>
    </row>
    <row r="7571" spans="1:2" x14ac:dyDescent="0.25">
      <c r="A7571" t="str">
        <f>IF(C7571&amp;G7571&amp;D7571&lt;&gt;'Funnel setup'!$K$3&amp;'Funnel setup'!$K$4&amp;'Funnel setup'!$K$6,".",IF(A7570=".",1,A7570+1))</f>
        <v>.</v>
      </c>
      <c r="B7571" s="244" t="str">
        <f t="shared" si="118"/>
        <v/>
      </c>
    </row>
    <row r="7572" spans="1:2" x14ac:dyDescent="0.25">
      <c r="A7572" t="str">
        <f>IF(C7572&amp;G7572&amp;D7572&lt;&gt;'Funnel setup'!$K$3&amp;'Funnel setup'!$K$4&amp;'Funnel setup'!$K$6,".",IF(A7571=".",1,A7571+1))</f>
        <v>.</v>
      </c>
      <c r="B7572" s="244" t="str">
        <f t="shared" si="118"/>
        <v/>
      </c>
    </row>
    <row r="7573" spans="1:2" x14ac:dyDescent="0.25">
      <c r="A7573" t="str">
        <f>IF(C7573&amp;G7573&amp;D7573&lt;&gt;'Funnel setup'!$K$3&amp;'Funnel setup'!$K$4&amp;'Funnel setup'!$K$6,".",IF(A7572=".",1,A7572+1))</f>
        <v>.</v>
      </c>
      <c r="B7573" s="244" t="str">
        <f t="shared" si="118"/>
        <v/>
      </c>
    </row>
    <row r="7574" spans="1:2" x14ac:dyDescent="0.25">
      <c r="A7574" t="str">
        <f>IF(C7574&amp;G7574&amp;D7574&lt;&gt;'Funnel setup'!$K$3&amp;'Funnel setup'!$K$4&amp;'Funnel setup'!$K$6,".",IF(A7573=".",1,A7573+1))</f>
        <v>.</v>
      </c>
      <c r="B7574" s="244" t="str">
        <f t="shared" si="118"/>
        <v/>
      </c>
    </row>
    <row r="7575" spans="1:2" x14ac:dyDescent="0.25">
      <c r="A7575" t="str">
        <f>IF(C7575&amp;G7575&amp;D7575&lt;&gt;'Funnel setup'!$K$3&amp;'Funnel setup'!$K$4&amp;'Funnel setup'!$K$6,".",IF(A7574=".",1,A7574+1))</f>
        <v>.</v>
      </c>
      <c r="B7575" s="244" t="str">
        <f t="shared" si="118"/>
        <v/>
      </c>
    </row>
    <row r="7576" spans="1:2" x14ac:dyDescent="0.25">
      <c r="A7576" t="str">
        <f>IF(C7576&amp;G7576&amp;D7576&lt;&gt;'Funnel setup'!$K$3&amp;'Funnel setup'!$K$4&amp;'Funnel setup'!$K$6,".",IF(A7575=".",1,A7575+1))</f>
        <v>.</v>
      </c>
      <c r="B7576" s="244" t="str">
        <f t="shared" si="118"/>
        <v/>
      </c>
    </row>
    <row r="7577" spans="1:2" x14ac:dyDescent="0.25">
      <c r="A7577" t="str">
        <f>IF(C7577&amp;G7577&amp;D7577&lt;&gt;'Funnel setup'!$K$3&amp;'Funnel setup'!$K$4&amp;'Funnel setup'!$K$6,".",IF(A7576=".",1,A7576+1))</f>
        <v>.</v>
      </c>
      <c r="B7577" s="244" t="str">
        <f t="shared" si="118"/>
        <v/>
      </c>
    </row>
    <row r="7578" spans="1:2" x14ac:dyDescent="0.25">
      <c r="A7578" t="str">
        <f>IF(C7578&amp;G7578&amp;D7578&lt;&gt;'Funnel setup'!$K$3&amp;'Funnel setup'!$K$4&amp;'Funnel setup'!$K$6,".",IF(A7577=".",1,A7577+1))</f>
        <v>.</v>
      </c>
      <c r="B7578" s="244" t="str">
        <f t="shared" si="118"/>
        <v/>
      </c>
    </row>
    <row r="7579" spans="1:2" x14ac:dyDescent="0.25">
      <c r="A7579" t="str">
        <f>IF(C7579&amp;G7579&amp;D7579&lt;&gt;'Funnel setup'!$K$3&amp;'Funnel setup'!$K$4&amp;'Funnel setup'!$K$6,".",IF(A7578=".",1,A7578+1))</f>
        <v>.</v>
      </c>
      <c r="B7579" s="244" t="str">
        <f t="shared" si="118"/>
        <v/>
      </c>
    </row>
    <row r="7580" spans="1:2" x14ac:dyDescent="0.25">
      <c r="A7580" t="str">
        <f>IF(C7580&amp;G7580&amp;D7580&lt;&gt;'Funnel setup'!$K$3&amp;'Funnel setup'!$K$4&amp;'Funnel setup'!$K$6,".",IF(A7579=".",1,A7579+1))</f>
        <v>.</v>
      </c>
      <c r="B7580" s="244" t="str">
        <f t="shared" si="118"/>
        <v/>
      </c>
    </row>
    <row r="7581" spans="1:2" x14ac:dyDescent="0.25">
      <c r="A7581" t="str">
        <f>IF(C7581&amp;G7581&amp;D7581&lt;&gt;'Funnel setup'!$K$3&amp;'Funnel setup'!$K$4&amp;'Funnel setup'!$K$6,".",IF(A7580=".",1,A7580+1))</f>
        <v>.</v>
      </c>
      <c r="B7581" s="244" t="str">
        <f t="shared" si="118"/>
        <v/>
      </c>
    </row>
    <row r="7582" spans="1:2" x14ac:dyDescent="0.25">
      <c r="A7582" t="str">
        <f>IF(C7582&amp;G7582&amp;D7582&lt;&gt;'Funnel setup'!$K$3&amp;'Funnel setup'!$K$4&amp;'Funnel setup'!$K$6,".",IF(A7581=".",1,A7581+1))</f>
        <v>.</v>
      </c>
      <c r="B7582" s="244" t="str">
        <f t="shared" si="118"/>
        <v/>
      </c>
    </row>
    <row r="7583" spans="1:2" x14ac:dyDescent="0.25">
      <c r="A7583" t="str">
        <f>IF(C7583&amp;G7583&amp;D7583&lt;&gt;'Funnel setup'!$K$3&amp;'Funnel setup'!$K$4&amp;'Funnel setup'!$K$6,".",IF(A7582=".",1,A7582+1))</f>
        <v>.</v>
      </c>
      <c r="B7583" s="244" t="str">
        <f t="shared" si="118"/>
        <v/>
      </c>
    </row>
    <row r="7584" spans="1:2" x14ac:dyDescent="0.25">
      <c r="A7584" t="str">
        <f>IF(C7584&amp;G7584&amp;D7584&lt;&gt;'Funnel setup'!$K$3&amp;'Funnel setup'!$K$4&amp;'Funnel setup'!$K$6,".",IF(A7583=".",1,A7583+1))</f>
        <v>.</v>
      </c>
      <c r="B7584" s="244" t="str">
        <f t="shared" si="118"/>
        <v/>
      </c>
    </row>
    <row r="7585" spans="1:2" x14ac:dyDescent="0.25">
      <c r="A7585" t="str">
        <f>IF(C7585&amp;G7585&amp;D7585&lt;&gt;'Funnel setup'!$K$3&amp;'Funnel setup'!$K$4&amp;'Funnel setup'!$K$6,".",IF(A7584=".",1,A7584+1))</f>
        <v>.</v>
      </c>
      <c r="B7585" s="244" t="str">
        <f t="shared" si="118"/>
        <v/>
      </c>
    </row>
    <row r="7586" spans="1:2" x14ac:dyDescent="0.25">
      <c r="A7586" t="str">
        <f>IF(C7586&amp;G7586&amp;D7586&lt;&gt;'Funnel setup'!$K$3&amp;'Funnel setup'!$K$4&amp;'Funnel setup'!$K$6,".",IF(A7585=".",1,A7585+1))</f>
        <v>.</v>
      </c>
      <c r="B7586" s="244" t="str">
        <f t="shared" si="118"/>
        <v/>
      </c>
    </row>
    <row r="7587" spans="1:2" x14ac:dyDescent="0.25">
      <c r="A7587" t="str">
        <f>IF(C7587&amp;G7587&amp;D7587&lt;&gt;'Funnel setup'!$K$3&amp;'Funnel setup'!$K$4&amp;'Funnel setup'!$K$6,".",IF(A7586=".",1,A7586+1))</f>
        <v>.</v>
      </c>
      <c r="B7587" s="244" t="str">
        <f t="shared" si="118"/>
        <v/>
      </c>
    </row>
    <row r="7588" spans="1:2" x14ac:dyDescent="0.25">
      <c r="A7588" t="str">
        <f>IF(C7588&amp;G7588&amp;D7588&lt;&gt;'Funnel setup'!$K$3&amp;'Funnel setup'!$K$4&amp;'Funnel setup'!$K$6,".",IF(A7587=".",1,A7587+1))</f>
        <v>.</v>
      </c>
      <c r="B7588" s="244" t="str">
        <f t="shared" si="118"/>
        <v/>
      </c>
    </row>
    <row r="7589" spans="1:2" x14ac:dyDescent="0.25">
      <c r="A7589" t="str">
        <f>IF(C7589&amp;G7589&amp;D7589&lt;&gt;'Funnel setup'!$K$3&amp;'Funnel setup'!$K$4&amp;'Funnel setup'!$K$6,".",IF(A7588=".",1,A7588+1))</f>
        <v>.</v>
      </c>
      <c r="B7589" s="244" t="str">
        <f t="shared" si="118"/>
        <v/>
      </c>
    </row>
    <row r="7590" spans="1:2" x14ac:dyDescent="0.25">
      <c r="A7590" t="str">
        <f>IF(C7590&amp;G7590&amp;D7590&lt;&gt;'Funnel setup'!$K$3&amp;'Funnel setup'!$K$4&amp;'Funnel setup'!$K$6,".",IF(A7589=".",1,A7589+1))</f>
        <v>.</v>
      </c>
      <c r="B7590" s="244" t="str">
        <f t="shared" si="118"/>
        <v/>
      </c>
    </row>
    <row r="7591" spans="1:2" x14ac:dyDescent="0.25">
      <c r="A7591" t="str">
        <f>IF(C7591&amp;G7591&amp;D7591&lt;&gt;'Funnel setup'!$K$3&amp;'Funnel setup'!$K$4&amp;'Funnel setup'!$K$6,".",IF(A7590=".",1,A7590+1))</f>
        <v>.</v>
      </c>
      <c r="B7591" s="244" t="str">
        <f t="shared" si="118"/>
        <v/>
      </c>
    </row>
    <row r="7592" spans="1:2" x14ac:dyDescent="0.25">
      <c r="A7592" t="str">
        <f>IF(C7592&amp;G7592&amp;D7592&lt;&gt;'Funnel setup'!$K$3&amp;'Funnel setup'!$K$4&amp;'Funnel setup'!$K$6,".",IF(A7591=".",1,A7591+1))</f>
        <v>.</v>
      </c>
      <c r="B7592" s="244" t="str">
        <f t="shared" si="118"/>
        <v/>
      </c>
    </row>
    <row r="7593" spans="1:2" x14ac:dyDescent="0.25">
      <c r="A7593" t="str">
        <f>IF(C7593&amp;G7593&amp;D7593&lt;&gt;'Funnel setup'!$K$3&amp;'Funnel setup'!$K$4&amp;'Funnel setup'!$K$6,".",IF(A7592=".",1,A7592+1))</f>
        <v>.</v>
      </c>
      <c r="B7593" s="244" t="str">
        <f t="shared" si="118"/>
        <v/>
      </c>
    </row>
    <row r="7594" spans="1:2" x14ac:dyDescent="0.25">
      <c r="A7594" t="str">
        <f>IF(C7594&amp;G7594&amp;D7594&lt;&gt;'Funnel setup'!$K$3&amp;'Funnel setup'!$K$4&amp;'Funnel setup'!$K$6,".",IF(A7593=".",1,A7593+1))</f>
        <v>.</v>
      </c>
      <c r="B7594" s="244" t="str">
        <f t="shared" si="118"/>
        <v/>
      </c>
    </row>
    <row r="7595" spans="1:2" x14ac:dyDescent="0.25">
      <c r="A7595" t="str">
        <f>IF(C7595&amp;G7595&amp;D7595&lt;&gt;'Funnel setup'!$K$3&amp;'Funnel setup'!$K$4&amp;'Funnel setup'!$K$6,".",IF(A7594=".",1,A7594+1))</f>
        <v>.</v>
      </c>
      <c r="B7595" s="244" t="str">
        <f t="shared" si="118"/>
        <v/>
      </c>
    </row>
    <row r="7596" spans="1:2" x14ac:dyDescent="0.25">
      <c r="A7596" t="str">
        <f>IF(C7596&amp;G7596&amp;D7596&lt;&gt;'Funnel setup'!$K$3&amp;'Funnel setup'!$K$4&amp;'Funnel setup'!$K$6,".",IF(A7595=".",1,A7595+1))</f>
        <v>.</v>
      </c>
      <c r="B7596" s="244" t="str">
        <f t="shared" si="118"/>
        <v/>
      </c>
    </row>
    <row r="7597" spans="1:2" x14ac:dyDescent="0.25">
      <c r="A7597" t="str">
        <f>IF(C7597&amp;G7597&amp;D7597&lt;&gt;'Funnel setup'!$K$3&amp;'Funnel setup'!$K$4&amp;'Funnel setup'!$K$6,".",IF(A7596=".",1,A7596+1))</f>
        <v>.</v>
      </c>
      <c r="B7597" s="244" t="str">
        <f t="shared" si="118"/>
        <v/>
      </c>
    </row>
    <row r="7598" spans="1:2" x14ac:dyDescent="0.25">
      <c r="A7598" t="str">
        <f>IF(C7598&amp;G7598&amp;D7598&lt;&gt;'Funnel setup'!$K$3&amp;'Funnel setup'!$K$4&amp;'Funnel setup'!$K$6,".",IF(A7597=".",1,A7597+1))</f>
        <v>.</v>
      </c>
      <c r="B7598" s="244" t="str">
        <f t="shared" si="118"/>
        <v/>
      </c>
    </row>
    <row r="7599" spans="1:2" x14ac:dyDescent="0.25">
      <c r="A7599" t="str">
        <f>IF(C7599&amp;G7599&amp;D7599&lt;&gt;'Funnel setup'!$K$3&amp;'Funnel setup'!$K$4&amp;'Funnel setup'!$K$6,".",IF(A7598=".",1,A7598+1))</f>
        <v>.</v>
      </c>
      <c r="B7599" s="244" t="str">
        <f t="shared" si="118"/>
        <v/>
      </c>
    </row>
    <row r="7600" spans="1:2" x14ac:dyDescent="0.25">
      <c r="A7600" t="str">
        <f>IF(C7600&amp;G7600&amp;D7600&lt;&gt;'Funnel setup'!$K$3&amp;'Funnel setup'!$K$4&amp;'Funnel setup'!$K$6,".",IF(A7599=".",1,A7599+1))</f>
        <v>.</v>
      </c>
      <c r="B7600" s="244" t="str">
        <f t="shared" si="118"/>
        <v/>
      </c>
    </row>
    <row r="7601" spans="1:2" x14ac:dyDescent="0.25">
      <c r="A7601" t="str">
        <f>IF(C7601&amp;G7601&amp;D7601&lt;&gt;'Funnel setup'!$K$3&amp;'Funnel setup'!$K$4&amp;'Funnel setup'!$K$6,".",IF(A7600=".",1,A7600+1))</f>
        <v>.</v>
      </c>
      <c r="B7601" s="244" t="str">
        <f t="shared" si="118"/>
        <v/>
      </c>
    </row>
    <row r="7602" spans="1:2" x14ac:dyDescent="0.25">
      <c r="A7602" t="str">
        <f>IF(C7602&amp;G7602&amp;D7602&lt;&gt;'Funnel setup'!$K$3&amp;'Funnel setup'!$K$4&amp;'Funnel setup'!$K$6,".",IF(A7601=".",1,A7601+1))</f>
        <v>.</v>
      </c>
      <c r="B7602" s="244" t="str">
        <f t="shared" si="118"/>
        <v/>
      </c>
    </row>
    <row r="7603" spans="1:2" x14ac:dyDescent="0.25">
      <c r="A7603" t="str">
        <f>IF(C7603&amp;G7603&amp;D7603&lt;&gt;'Funnel setup'!$K$3&amp;'Funnel setup'!$K$4&amp;'Funnel setup'!$K$6,".",IF(A7602=".",1,A7602+1))</f>
        <v>.</v>
      </c>
      <c r="B7603" s="244" t="str">
        <f t="shared" si="118"/>
        <v/>
      </c>
    </row>
    <row r="7604" spans="1:2" x14ac:dyDescent="0.25">
      <c r="A7604" t="str">
        <f>IF(C7604&amp;G7604&amp;D7604&lt;&gt;'Funnel setup'!$K$3&amp;'Funnel setup'!$K$4&amp;'Funnel setup'!$K$6,".",IF(A7603=".",1,A7603+1))</f>
        <v>.</v>
      </c>
      <c r="B7604" s="244" t="str">
        <f t="shared" si="118"/>
        <v/>
      </c>
    </row>
    <row r="7605" spans="1:2" x14ac:dyDescent="0.25">
      <c r="A7605" t="str">
        <f>IF(C7605&amp;G7605&amp;D7605&lt;&gt;'Funnel setup'!$K$3&amp;'Funnel setup'!$K$4&amp;'Funnel setup'!$K$6,".",IF(A7604=".",1,A7604+1))</f>
        <v>.</v>
      </c>
      <c r="B7605" s="244" t="str">
        <f t="shared" si="118"/>
        <v/>
      </c>
    </row>
    <row r="7606" spans="1:2" x14ac:dyDescent="0.25">
      <c r="A7606" t="str">
        <f>IF(C7606&amp;G7606&amp;D7606&lt;&gt;'Funnel setup'!$K$3&amp;'Funnel setup'!$K$4&amp;'Funnel setup'!$K$6,".",IF(A7605=".",1,A7605+1))</f>
        <v>.</v>
      </c>
      <c r="B7606" s="244" t="str">
        <f t="shared" si="118"/>
        <v/>
      </c>
    </row>
    <row r="7607" spans="1:2" x14ac:dyDescent="0.25">
      <c r="A7607" t="str">
        <f>IF(C7607&amp;G7607&amp;D7607&lt;&gt;'Funnel setup'!$K$3&amp;'Funnel setup'!$K$4&amp;'Funnel setup'!$K$6,".",IF(A7606=".",1,A7606+1))</f>
        <v>.</v>
      </c>
      <c r="B7607" s="244" t="str">
        <f t="shared" si="118"/>
        <v/>
      </c>
    </row>
    <row r="7608" spans="1:2" x14ac:dyDescent="0.25">
      <c r="A7608" t="str">
        <f>IF(C7608&amp;G7608&amp;D7608&lt;&gt;'Funnel setup'!$K$3&amp;'Funnel setup'!$K$4&amp;'Funnel setup'!$K$6,".",IF(A7607=".",1,A7607+1))</f>
        <v>.</v>
      </c>
      <c r="B7608" s="244" t="str">
        <f t="shared" si="118"/>
        <v/>
      </c>
    </row>
    <row r="7609" spans="1:2" x14ac:dyDescent="0.25">
      <c r="A7609" t="str">
        <f>IF(C7609&amp;G7609&amp;D7609&lt;&gt;'Funnel setup'!$K$3&amp;'Funnel setup'!$K$4&amp;'Funnel setup'!$K$6,".",IF(A7608=".",1,A7608+1))</f>
        <v>.</v>
      </c>
      <c r="B7609" s="244" t="str">
        <f t="shared" si="118"/>
        <v/>
      </c>
    </row>
    <row r="7610" spans="1:2" x14ac:dyDescent="0.25">
      <c r="A7610" t="str">
        <f>IF(C7610&amp;G7610&amp;D7610&lt;&gt;'Funnel setup'!$K$3&amp;'Funnel setup'!$K$4&amp;'Funnel setup'!$K$6,".",IF(A7609=".",1,A7609+1))</f>
        <v>.</v>
      </c>
      <c r="B7610" s="244" t="str">
        <f t="shared" si="118"/>
        <v/>
      </c>
    </row>
    <row r="7611" spans="1:2" x14ac:dyDescent="0.25">
      <c r="A7611" t="str">
        <f>IF(C7611&amp;G7611&amp;D7611&lt;&gt;'Funnel setup'!$K$3&amp;'Funnel setup'!$K$4&amp;'Funnel setup'!$K$6,".",IF(A7610=".",1,A7610+1))</f>
        <v>.</v>
      </c>
      <c r="B7611" s="244" t="str">
        <f t="shared" si="118"/>
        <v/>
      </c>
    </row>
    <row r="7612" spans="1:2" x14ac:dyDescent="0.25">
      <c r="A7612" t="str">
        <f>IF(C7612&amp;G7612&amp;D7612&lt;&gt;'Funnel setup'!$K$3&amp;'Funnel setup'!$K$4&amp;'Funnel setup'!$K$6,".",IF(A7611=".",1,A7611+1))</f>
        <v>.</v>
      </c>
      <c r="B7612" s="244" t="str">
        <f t="shared" si="118"/>
        <v/>
      </c>
    </row>
    <row r="7613" spans="1:2" x14ac:dyDescent="0.25">
      <c r="A7613" t="str">
        <f>IF(C7613&amp;G7613&amp;D7613&lt;&gt;'Funnel setup'!$K$3&amp;'Funnel setup'!$K$4&amp;'Funnel setup'!$K$6,".",IF(A7612=".",1,A7612+1))</f>
        <v>.</v>
      </c>
      <c r="B7613" s="244" t="str">
        <f t="shared" si="118"/>
        <v/>
      </c>
    </row>
    <row r="7614" spans="1:2" x14ac:dyDescent="0.25">
      <c r="A7614" t="str">
        <f>IF(C7614&amp;G7614&amp;D7614&lt;&gt;'Funnel setup'!$K$3&amp;'Funnel setup'!$K$4&amp;'Funnel setup'!$K$6,".",IF(A7613=".",1,A7613+1))</f>
        <v>.</v>
      </c>
      <c r="B7614" s="244" t="str">
        <f t="shared" si="118"/>
        <v/>
      </c>
    </row>
    <row r="7615" spans="1:2" x14ac:dyDescent="0.25">
      <c r="A7615" t="str">
        <f>IF(C7615&amp;G7615&amp;D7615&lt;&gt;'Funnel setup'!$K$3&amp;'Funnel setup'!$K$4&amp;'Funnel setup'!$K$6,".",IF(A7614=".",1,A7614+1))</f>
        <v>.</v>
      </c>
      <c r="B7615" s="244" t="str">
        <f t="shared" si="118"/>
        <v/>
      </c>
    </row>
    <row r="7616" spans="1:2" x14ac:dyDescent="0.25">
      <c r="A7616" t="str">
        <f>IF(C7616&amp;G7616&amp;D7616&lt;&gt;'Funnel setup'!$K$3&amp;'Funnel setup'!$K$4&amp;'Funnel setup'!$K$6,".",IF(A7615=".",1,A7615+1))</f>
        <v>.</v>
      </c>
      <c r="B7616" s="244" t="str">
        <f t="shared" si="118"/>
        <v/>
      </c>
    </row>
    <row r="7617" spans="1:2" x14ac:dyDescent="0.25">
      <c r="A7617" t="str">
        <f>IF(C7617&amp;G7617&amp;D7617&lt;&gt;'Funnel setup'!$K$3&amp;'Funnel setup'!$K$4&amp;'Funnel setup'!$K$6,".",IF(A7616=".",1,A7616+1))</f>
        <v>.</v>
      </c>
      <c r="B7617" s="244" t="str">
        <f t="shared" si="118"/>
        <v/>
      </c>
    </row>
    <row r="7618" spans="1:2" x14ac:dyDescent="0.25">
      <c r="A7618" t="str">
        <f>IF(C7618&amp;G7618&amp;D7618&lt;&gt;'Funnel setup'!$K$3&amp;'Funnel setup'!$K$4&amp;'Funnel setup'!$K$6,".",IF(A7617=".",1,A7617+1))</f>
        <v>.</v>
      </c>
      <c r="B7618" s="244" t="str">
        <f t="shared" ref="B7618:B7681" si="119">C7618&amp;D7618&amp;F7618&amp;G7618</f>
        <v/>
      </c>
    </row>
    <row r="7619" spans="1:2" x14ac:dyDescent="0.25">
      <c r="A7619" t="str">
        <f>IF(C7619&amp;G7619&amp;D7619&lt;&gt;'Funnel setup'!$K$3&amp;'Funnel setup'!$K$4&amp;'Funnel setup'!$K$6,".",IF(A7618=".",1,A7618+1))</f>
        <v>.</v>
      </c>
      <c r="B7619" s="244" t="str">
        <f t="shared" si="119"/>
        <v/>
      </c>
    </row>
    <row r="7620" spans="1:2" x14ac:dyDescent="0.25">
      <c r="A7620" t="str">
        <f>IF(C7620&amp;G7620&amp;D7620&lt;&gt;'Funnel setup'!$K$3&amp;'Funnel setup'!$K$4&amp;'Funnel setup'!$K$6,".",IF(A7619=".",1,A7619+1))</f>
        <v>.</v>
      </c>
      <c r="B7620" s="244" t="str">
        <f t="shared" si="119"/>
        <v/>
      </c>
    </row>
    <row r="7621" spans="1:2" x14ac:dyDescent="0.25">
      <c r="A7621" t="str">
        <f>IF(C7621&amp;G7621&amp;D7621&lt;&gt;'Funnel setup'!$K$3&amp;'Funnel setup'!$K$4&amp;'Funnel setup'!$K$6,".",IF(A7620=".",1,A7620+1))</f>
        <v>.</v>
      </c>
      <c r="B7621" s="244" t="str">
        <f t="shared" si="119"/>
        <v/>
      </c>
    </row>
    <row r="7622" spans="1:2" x14ac:dyDescent="0.25">
      <c r="A7622" t="str">
        <f>IF(C7622&amp;G7622&amp;D7622&lt;&gt;'Funnel setup'!$K$3&amp;'Funnel setup'!$K$4&amp;'Funnel setup'!$K$6,".",IF(A7621=".",1,A7621+1))</f>
        <v>.</v>
      </c>
      <c r="B7622" s="244" t="str">
        <f t="shared" si="119"/>
        <v/>
      </c>
    </row>
    <row r="7623" spans="1:2" x14ac:dyDescent="0.25">
      <c r="A7623" t="str">
        <f>IF(C7623&amp;G7623&amp;D7623&lt;&gt;'Funnel setup'!$K$3&amp;'Funnel setup'!$K$4&amp;'Funnel setup'!$K$6,".",IF(A7622=".",1,A7622+1))</f>
        <v>.</v>
      </c>
      <c r="B7623" s="244" t="str">
        <f t="shared" si="119"/>
        <v/>
      </c>
    </row>
    <row r="7624" spans="1:2" x14ac:dyDescent="0.25">
      <c r="A7624" t="str">
        <f>IF(C7624&amp;G7624&amp;D7624&lt;&gt;'Funnel setup'!$K$3&amp;'Funnel setup'!$K$4&amp;'Funnel setup'!$K$6,".",IF(A7623=".",1,A7623+1))</f>
        <v>.</v>
      </c>
      <c r="B7624" s="244" t="str">
        <f t="shared" si="119"/>
        <v/>
      </c>
    </row>
    <row r="7625" spans="1:2" x14ac:dyDescent="0.25">
      <c r="A7625" t="str">
        <f>IF(C7625&amp;G7625&amp;D7625&lt;&gt;'Funnel setup'!$K$3&amp;'Funnel setup'!$K$4&amp;'Funnel setup'!$K$6,".",IF(A7624=".",1,A7624+1))</f>
        <v>.</v>
      </c>
      <c r="B7625" s="244" t="str">
        <f t="shared" si="119"/>
        <v/>
      </c>
    </row>
    <row r="7626" spans="1:2" x14ac:dyDescent="0.25">
      <c r="A7626" t="str">
        <f>IF(C7626&amp;G7626&amp;D7626&lt;&gt;'Funnel setup'!$K$3&amp;'Funnel setup'!$K$4&amp;'Funnel setup'!$K$6,".",IF(A7625=".",1,A7625+1))</f>
        <v>.</v>
      </c>
      <c r="B7626" s="244" t="str">
        <f t="shared" si="119"/>
        <v/>
      </c>
    </row>
    <row r="7627" spans="1:2" x14ac:dyDescent="0.25">
      <c r="A7627" t="str">
        <f>IF(C7627&amp;G7627&amp;D7627&lt;&gt;'Funnel setup'!$K$3&amp;'Funnel setup'!$K$4&amp;'Funnel setup'!$K$6,".",IF(A7626=".",1,A7626+1))</f>
        <v>.</v>
      </c>
      <c r="B7627" s="244" t="str">
        <f t="shared" si="119"/>
        <v/>
      </c>
    </row>
    <row r="7628" spans="1:2" x14ac:dyDescent="0.25">
      <c r="A7628" t="str">
        <f>IF(C7628&amp;G7628&amp;D7628&lt;&gt;'Funnel setup'!$K$3&amp;'Funnel setup'!$K$4&amp;'Funnel setup'!$K$6,".",IF(A7627=".",1,A7627+1))</f>
        <v>.</v>
      </c>
      <c r="B7628" s="244" t="str">
        <f t="shared" si="119"/>
        <v/>
      </c>
    </row>
    <row r="7629" spans="1:2" x14ac:dyDescent="0.25">
      <c r="A7629" t="str">
        <f>IF(C7629&amp;G7629&amp;D7629&lt;&gt;'Funnel setup'!$K$3&amp;'Funnel setup'!$K$4&amp;'Funnel setup'!$K$6,".",IF(A7628=".",1,A7628+1))</f>
        <v>.</v>
      </c>
      <c r="B7629" s="244" t="str">
        <f t="shared" si="119"/>
        <v/>
      </c>
    </row>
    <row r="7630" spans="1:2" x14ac:dyDescent="0.25">
      <c r="A7630" t="str">
        <f>IF(C7630&amp;G7630&amp;D7630&lt;&gt;'Funnel setup'!$K$3&amp;'Funnel setup'!$K$4&amp;'Funnel setup'!$K$6,".",IF(A7629=".",1,A7629+1))</f>
        <v>.</v>
      </c>
      <c r="B7630" s="244" t="str">
        <f t="shared" si="119"/>
        <v/>
      </c>
    </row>
    <row r="7631" spans="1:2" x14ac:dyDescent="0.25">
      <c r="A7631" t="str">
        <f>IF(C7631&amp;G7631&amp;D7631&lt;&gt;'Funnel setup'!$K$3&amp;'Funnel setup'!$K$4&amp;'Funnel setup'!$K$6,".",IF(A7630=".",1,A7630+1))</f>
        <v>.</v>
      </c>
      <c r="B7631" s="244" t="str">
        <f t="shared" si="119"/>
        <v/>
      </c>
    </row>
    <row r="7632" spans="1:2" x14ac:dyDescent="0.25">
      <c r="A7632" t="str">
        <f>IF(C7632&amp;G7632&amp;D7632&lt;&gt;'Funnel setup'!$K$3&amp;'Funnel setup'!$K$4&amp;'Funnel setup'!$K$6,".",IF(A7631=".",1,A7631+1))</f>
        <v>.</v>
      </c>
      <c r="B7632" s="244" t="str">
        <f t="shared" si="119"/>
        <v/>
      </c>
    </row>
    <row r="7633" spans="1:2" x14ac:dyDescent="0.25">
      <c r="A7633" t="str">
        <f>IF(C7633&amp;G7633&amp;D7633&lt;&gt;'Funnel setup'!$K$3&amp;'Funnel setup'!$K$4&amp;'Funnel setup'!$K$6,".",IF(A7632=".",1,A7632+1))</f>
        <v>.</v>
      </c>
      <c r="B7633" s="244" t="str">
        <f t="shared" si="119"/>
        <v/>
      </c>
    </row>
    <row r="7634" spans="1:2" x14ac:dyDescent="0.25">
      <c r="A7634" t="str">
        <f>IF(C7634&amp;G7634&amp;D7634&lt;&gt;'Funnel setup'!$K$3&amp;'Funnel setup'!$K$4&amp;'Funnel setup'!$K$6,".",IF(A7633=".",1,A7633+1))</f>
        <v>.</v>
      </c>
      <c r="B7634" s="244" t="str">
        <f t="shared" si="119"/>
        <v/>
      </c>
    </row>
    <row r="7635" spans="1:2" x14ac:dyDescent="0.25">
      <c r="A7635" t="str">
        <f>IF(C7635&amp;G7635&amp;D7635&lt;&gt;'Funnel setup'!$K$3&amp;'Funnel setup'!$K$4&amp;'Funnel setup'!$K$6,".",IF(A7634=".",1,A7634+1))</f>
        <v>.</v>
      </c>
      <c r="B7635" s="244" t="str">
        <f t="shared" si="119"/>
        <v/>
      </c>
    </row>
    <row r="7636" spans="1:2" x14ac:dyDescent="0.25">
      <c r="A7636" t="str">
        <f>IF(C7636&amp;G7636&amp;D7636&lt;&gt;'Funnel setup'!$K$3&amp;'Funnel setup'!$K$4&amp;'Funnel setup'!$K$6,".",IF(A7635=".",1,A7635+1))</f>
        <v>.</v>
      </c>
      <c r="B7636" s="244" t="str">
        <f t="shared" si="119"/>
        <v/>
      </c>
    </row>
    <row r="7637" spans="1:2" x14ac:dyDescent="0.25">
      <c r="A7637" t="str">
        <f>IF(C7637&amp;G7637&amp;D7637&lt;&gt;'Funnel setup'!$K$3&amp;'Funnel setup'!$K$4&amp;'Funnel setup'!$K$6,".",IF(A7636=".",1,A7636+1))</f>
        <v>.</v>
      </c>
      <c r="B7637" s="244" t="str">
        <f t="shared" si="119"/>
        <v/>
      </c>
    </row>
    <row r="7638" spans="1:2" x14ac:dyDescent="0.25">
      <c r="A7638" t="str">
        <f>IF(C7638&amp;G7638&amp;D7638&lt;&gt;'Funnel setup'!$K$3&amp;'Funnel setup'!$K$4&amp;'Funnel setup'!$K$6,".",IF(A7637=".",1,A7637+1))</f>
        <v>.</v>
      </c>
      <c r="B7638" s="244" t="str">
        <f t="shared" si="119"/>
        <v/>
      </c>
    </row>
    <row r="7639" spans="1:2" x14ac:dyDescent="0.25">
      <c r="A7639" t="str">
        <f>IF(C7639&amp;G7639&amp;D7639&lt;&gt;'Funnel setup'!$K$3&amp;'Funnel setup'!$K$4&amp;'Funnel setup'!$K$6,".",IF(A7638=".",1,A7638+1))</f>
        <v>.</v>
      </c>
      <c r="B7639" s="244" t="str">
        <f t="shared" si="119"/>
        <v/>
      </c>
    </row>
    <row r="7640" spans="1:2" x14ac:dyDescent="0.25">
      <c r="A7640" t="str">
        <f>IF(C7640&amp;G7640&amp;D7640&lt;&gt;'Funnel setup'!$K$3&amp;'Funnel setup'!$K$4&amp;'Funnel setup'!$K$6,".",IF(A7639=".",1,A7639+1))</f>
        <v>.</v>
      </c>
      <c r="B7640" s="244" t="str">
        <f t="shared" si="119"/>
        <v/>
      </c>
    </row>
    <row r="7641" spans="1:2" x14ac:dyDescent="0.25">
      <c r="A7641" t="str">
        <f>IF(C7641&amp;G7641&amp;D7641&lt;&gt;'Funnel setup'!$K$3&amp;'Funnel setup'!$K$4&amp;'Funnel setup'!$K$6,".",IF(A7640=".",1,A7640+1))</f>
        <v>.</v>
      </c>
      <c r="B7641" s="244" t="str">
        <f t="shared" si="119"/>
        <v/>
      </c>
    </row>
    <row r="7642" spans="1:2" x14ac:dyDescent="0.25">
      <c r="A7642" t="str">
        <f>IF(C7642&amp;G7642&amp;D7642&lt;&gt;'Funnel setup'!$K$3&amp;'Funnel setup'!$K$4&amp;'Funnel setup'!$K$6,".",IF(A7641=".",1,A7641+1))</f>
        <v>.</v>
      </c>
      <c r="B7642" s="244" t="str">
        <f t="shared" si="119"/>
        <v/>
      </c>
    </row>
    <row r="7643" spans="1:2" x14ac:dyDescent="0.25">
      <c r="A7643" t="str">
        <f>IF(C7643&amp;G7643&amp;D7643&lt;&gt;'Funnel setup'!$K$3&amp;'Funnel setup'!$K$4&amp;'Funnel setup'!$K$6,".",IF(A7642=".",1,A7642+1))</f>
        <v>.</v>
      </c>
      <c r="B7643" s="244" t="str">
        <f t="shared" si="119"/>
        <v/>
      </c>
    </row>
    <row r="7644" spans="1:2" x14ac:dyDescent="0.25">
      <c r="A7644" t="str">
        <f>IF(C7644&amp;G7644&amp;D7644&lt;&gt;'Funnel setup'!$K$3&amp;'Funnel setup'!$K$4&amp;'Funnel setup'!$K$6,".",IF(A7643=".",1,A7643+1))</f>
        <v>.</v>
      </c>
      <c r="B7644" s="244" t="str">
        <f t="shared" si="119"/>
        <v/>
      </c>
    </row>
    <row r="7645" spans="1:2" x14ac:dyDescent="0.25">
      <c r="A7645" t="str">
        <f>IF(C7645&amp;G7645&amp;D7645&lt;&gt;'Funnel setup'!$K$3&amp;'Funnel setup'!$K$4&amp;'Funnel setup'!$K$6,".",IF(A7644=".",1,A7644+1))</f>
        <v>.</v>
      </c>
      <c r="B7645" s="244" t="str">
        <f t="shared" si="119"/>
        <v/>
      </c>
    </row>
    <row r="7646" spans="1:2" x14ac:dyDescent="0.25">
      <c r="A7646" t="str">
        <f>IF(C7646&amp;G7646&amp;D7646&lt;&gt;'Funnel setup'!$K$3&amp;'Funnel setup'!$K$4&amp;'Funnel setup'!$K$6,".",IF(A7645=".",1,A7645+1))</f>
        <v>.</v>
      </c>
      <c r="B7646" s="244" t="str">
        <f t="shared" si="119"/>
        <v/>
      </c>
    </row>
    <row r="7647" spans="1:2" x14ac:dyDescent="0.25">
      <c r="A7647" t="str">
        <f>IF(C7647&amp;G7647&amp;D7647&lt;&gt;'Funnel setup'!$K$3&amp;'Funnel setup'!$K$4&amp;'Funnel setup'!$K$6,".",IF(A7646=".",1,A7646+1))</f>
        <v>.</v>
      </c>
      <c r="B7647" s="244" t="str">
        <f t="shared" si="119"/>
        <v/>
      </c>
    </row>
    <row r="7648" spans="1:2" x14ac:dyDescent="0.25">
      <c r="A7648" t="str">
        <f>IF(C7648&amp;G7648&amp;D7648&lt;&gt;'Funnel setup'!$K$3&amp;'Funnel setup'!$K$4&amp;'Funnel setup'!$K$6,".",IF(A7647=".",1,A7647+1))</f>
        <v>.</v>
      </c>
      <c r="B7648" s="244" t="str">
        <f t="shared" si="119"/>
        <v/>
      </c>
    </row>
    <row r="7649" spans="1:2" x14ac:dyDescent="0.25">
      <c r="A7649" t="str">
        <f>IF(C7649&amp;G7649&amp;D7649&lt;&gt;'Funnel setup'!$K$3&amp;'Funnel setup'!$K$4&amp;'Funnel setup'!$K$6,".",IF(A7648=".",1,A7648+1))</f>
        <v>.</v>
      </c>
      <c r="B7649" s="244" t="str">
        <f t="shared" si="119"/>
        <v/>
      </c>
    </row>
    <row r="7650" spans="1:2" x14ac:dyDescent="0.25">
      <c r="A7650" t="str">
        <f>IF(C7650&amp;G7650&amp;D7650&lt;&gt;'Funnel setup'!$K$3&amp;'Funnel setup'!$K$4&amp;'Funnel setup'!$K$6,".",IF(A7649=".",1,A7649+1))</f>
        <v>.</v>
      </c>
      <c r="B7650" s="244" t="str">
        <f t="shared" si="119"/>
        <v/>
      </c>
    </row>
    <row r="7651" spans="1:2" x14ac:dyDescent="0.25">
      <c r="A7651" t="str">
        <f>IF(C7651&amp;G7651&amp;D7651&lt;&gt;'Funnel setup'!$K$3&amp;'Funnel setup'!$K$4&amp;'Funnel setup'!$K$6,".",IF(A7650=".",1,A7650+1))</f>
        <v>.</v>
      </c>
      <c r="B7651" s="244" t="str">
        <f t="shared" si="119"/>
        <v/>
      </c>
    </row>
    <row r="7652" spans="1:2" x14ac:dyDescent="0.25">
      <c r="A7652" t="str">
        <f>IF(C7652&amp;G7652&amp;D7652&lt;&gt;'Funnel setup'!$K$3&amp;'Funnel setup'!$K$4&amp;'Funnel setup'!$K$6,".",IF(A7651=".",1,A7651+1))</f>
        <v>.</v>
      </c>
      <c r="B7652" s="244" t="str">
        <f t="shared" si="119"/>
        <v/>
      </c>
    </row>
    <row r="7653" spans="1:2" x14ac:dyDescent="0.25">
      <c r="A7653" t="str">
        <f>IF(C7653&amp;G7653&amp;D7653&lt;&gt;'Funnel setup'!$K$3&amp;'Funnel setup'!$K$4&amp;'Funnel setup'!$K$6,".",IF(A7652=".",1,A7652+1))</f>
        <v>.</v>
      </c>
      <c r="B7653" s="244" t="str">
        <f t="shared" si="119"/>
        <v/>
      </c>
    </row>
    <row r="7654" spans="1:2" x14ac:dyDescent="0.25">
      <c r="A7654" t="str">
        <f>IF(C7654&amp;G7654&amp;D7654&lt;&gt;'Funnel setup'!$K$3&amp;'Funnel setup'!$K$4&amp;'Funnel setup'!$K$6,".",IF(A7653=".",1,A7653+1))</f>
        <v>.</v>
      </c>
      <c r="B7654" s="244" t="str">
        <f t="shared" si="119"/>
        <v/>
      </c>
    </row>
    <row r="7655" spans="1:2" x14ac:dyDescent="0.25">
      <c r="A7655" t="str">
        <f>IF(C7655&amp;G7655&amp;D7655&lt;&gt;'Funnel setup'!$K$3&amp;'Funnel setup'!$K$4&amp;'Funnel setup'!$K$6,".",IF(A7654=".",1,A7654+1))</f>
        <v>.</v>
      </c>
      <c r="B7655" s="244" t="str">
        <f t="shared" si="119"/>
        <v/>
      </c>
    </row>
    <row r="7656" spans="1:2" x14ac:dyDescent="0.25">
      <c r="A7656" t="str">
        <f>IF(C7656&amp;G7656&amp;D7656&lt;&gt;'Funnel setup'!$K$3&amp;'Funnel setup'!$K$4&amp;'Funnel setup'!$K$6,".",IF(A7655=".",1,A7655+1))</f>
        <v>.</v>
      </c>
      <c r="B7656" s="244" t="str">
        <f t="shared" si="119"/>
        <v/>
      </c>
    </row>
    <row r="7657" spans="1:2" x14ac:dyDescent="0.25">
      <c r="A7657" t="str">
        <f>IF(C7657&amp;G7657&amp;D7657&lt;&gt;'Funnel setup'!$K$3&amp;'Funnel setup'!$K$4&amp;'Funnel setup'!$K$6,".",IF(A7656=".",1,A7656+1))</f>
        <v>.</v>
      </c>
      <c r="B7657" s="244" t="str">
        <f t="shared" si="119"/>
        <v/>
      </c>
    </row>
    <row r="7658" spans="1:2" x14ac:dyDescent="0.25">
      <c r="A7658" t="str">
        <f>IF(C7658&amp;G7658&amp;D7658&lt;&gt;'Funnel setup'!$K$3&amp;'Funnel setup'!$K$4&amp;'Funnel setup'!$K$6,".",IF(A7657=".",1,A7657+1))</f>
        <v>.</v>
      </c>
      <c r="B7658" s="244" t="str">
        <f t="shared" si="119"/>
        <v/>
      </c>
    </row>
    <row r="7659" spans="1:2" x14ac:dyDescent="0.25">
      <c r="A7659" t="str">
        <f>IF(C7659&amp;G7659&amp;D7659&lt;&gt;'Funnel setup'!$K$3&amp;'Funnel setup'!$K$4&amp;'Funnel setup'!$K$6,".",IF(A7658=".",1,A7658+1))</f>
        <v>.</v>
      </c>
      <c r="B7659" s="244" t="str">
        <f t="shared" si="119"/>
        <v/>
      </c>
    </row>
    <row r="7660" spans="1:2" x14ac:dyDescent="0.25">
      <c r="A7660" t="str">
        <f>IF(C7660&amp;G7660&amp;D7660&lt;&gt;'Funnel setup'!$K$3&amp;'Funnel setup'!$K$4&amp;'Funnel setup'!$K$6,".",IF(A7659=".",1,A7659+1))</f>
        <v>.</v>
      </c>
      <c r="B7660" s="244" t="str">
        <f t="shared" si="119"/>
        <v/>
      </c>
    </row>
    <row r="7661" spans="1:2" x14ac:dyDescent="0.25">
      <c r="A7661" t="str">
        <f>IF(C7661&amp;G7661&amp;D7661&lt;&gt;'Funnel setup'!$K$3&amp;'Funnel setup'!$K$4&amp;'Funnel setup'!$K$6,".",IF(A7660=".",1,A7660+1))</f>
        <v>.</v>
      </c>
      <c r="B7661" s="244" t="str">
        <f t="shared" si="119"/>
        <v/>
      </c>
    </row>
    <row r="7662" spans="1:2" x14ac:dyDescent="0.25">
      <c r="A7662" t="str">
        <f>IF(C7662&amp;G7662&amp;D7662&lt;&gt;'Funnel setup'!$K$3&amp;'Funnel setup'!$K$4&amp;'Funnel setup'!$K$6,".",IF(A7661=".",1,A7661+1))</f>
        <v>.</v>
      </c>
      <c r="B7662" s="244" t="str">
        <f t="shared" si="119"/>
        <v/>
      </c>
    </row>
    <row r="7663" spans="1:2" x14ac:dyDescent="0.25">
      <c r="A7663" t="str">
        <f>IF(C7663&amp;G7663&amp;D7663&lt;&gt;'Funnel setup'!$K$3&amp;'Funnel setup'!$K$4&amp;'Funnel setup'!$K$6,".",IF(A7662=".",1,A7662+1))</f>
        <v>.</v>
      </c>
      <c r="B7663" s="244" t="str">
        <f t="shared" si="119"/>
        <v/>
      </c>
    </row>
    <row r="7664" spans="1:2" x14ac:dyDescent="0.25">
      <c r="A7664" t="str">
        <f>IF(C7664&amp;G7664&amp;D7664&lt;&gt;'Funnel setup'!$K$3&amp;'Funnel setup'!$K$4&amp;'Funnel setup'!$K$6,".",IF(A7663=".",1,A7663+1))</f>
        <v>.</v>
      </c>
      <c r="B7664" s="244" t="str">
        <f t="shared" si="119"/>
        <v/>
      </c>
    </row>
    <row r="7665" spans="1:2" x14ac:dyDescent="0.25">
      <c r="A7665" t="str">
        <f>IF(C7665&amp;G7665&amp;D7665&lt;&gt;'Funnel setup'!$K$3&amp;'Funnel setup'!$K$4&amp;'Funnel setup'!$K$6,".",IF(A7664=".",1,A7664+1))</f>
        <v>.</v>
      </c>
      <c r="B7665" s="244" t="str">
        <f t="shared" si="119"/>
        <v/>
      </c>
    </row>
    <row r="7666" spans="1:2" x14ac:dyDescent="0.25">
      <c r="A7666" t="str">
        <f>IF(C7666&amp;G7666&amp;D7666&lt;&gt;'Funnel setup'!$K$3&amp;'Funnel setup'!$K$4&amp;'Funnel setup'!$K$6,".",IF(A7665=".",1,A7665+1))</f>
        <v>.</v>
      </c>
      <c r="B7666" s="244" t="str">
        <f t="shared" si="119"/>
        <v/>
      </c>
    </row>
    <row r="7667" spans="1:2" x14ac:dyDescent="0.25">
      <c r="A7667" t="str">
        <f>IF(C7667&amp;G7667&amp;D7667&lt;&gt;'Funnel setup'!$K$3&amp;'Funnel setup'!$K$4&amp;'Funnel setup'!$K$6,".",IF(A7666=".",1,A7666+1))</f>
        <v>.</v>
      </c>
      <c r="B7667" s="244" t="str">
        <f t="shared" si="119"/>
        <v/>
      </c>
    </row>
    <row r="7668" spans="1:2" x14ac:dyDescent="0.25">
      <c r="A7668" t="str">
        <f>IF(C7668&amp;G7668&amp;D7668&lt;&gt;'Funnel setup'!$K$3&amp;'Funnel setup'!$K$4&amp;'Funnel setup'!$K$6,".",IF(A7667=".",1,A7667+1))</f>
        <v>.</v>
      </c>
      <c r="B7668" s="244" t="str">
        <f t="shared" si="119"/>
        <v/>
      </c>
    </row>
    <row r="7669" spans="1:2" x14ac:dyDescent="0.25">
      <c r="A7669" t="str">
        <f>IF(C7669&amp;G7669&amp;D7669&lt;&gt;'Funnel setup'!$K$3&amp;'Funnel setup'!$K$4&amp;'Funnel setup'!$K$6,".",IF(A7668=".",1,A7668+1))</f>
        <v>.</v>
      </c>
      <c r="B7669" s="244" t="str">
        <f t="shared" si="119"/>
        <v/>
      </c>
    </row>
    <row r="7670" spans="1:2" x14ac:dyDescent="0.25">
      <c r="A7670" t="str">
        <f>IF(C7670&amp;G7670&amp;D7670&lt;&gt;'Funnel setup'!$K$3&amp;'Funnel setup'!$K$4&amp;'Funnel setup'!$K$6,".",IF(A7669=".",1,A7669+1))</f>
        <v>.</v>
      </c>
      <c r="B7670" s="244" t="str">
        <f t="shared" si="119"/>
        <v/>
      </c>
    </row>
    <row r="7671" spans="1:2" x14ac:dyDescent="0.25">
      <c r="A7671" t="str">
        <f>IF(C7671&amp;G7671&amp;D7671&lt;&gt;'Funnel setup'!$K$3&amp;'Funnel setup'!$K$4&amp;'Funnel setup'!$K$6,".",IF(A7670=".",1,A7670+1))</f>
        <v>.</v>
      </c>
      <c r="B7671" s="244" t="str">
        <f t="shared" si="119"/>
        <v/>
      </c>
    </row>
    <row r="7672" spans="1:2" x14ac:dyDescent="0.25">
      <c r="A7672" t="str">
        <f>IF(C7672&amp;G7672&amp;D7672&lt;&gt;'Funnel setup'!$K$3&amp;'Funnel setup'!$K$4&amp;'Funnel setup'!$K$6,".",IF(A7671=".",1,A7671+1))</f>
        <v>.</v>
      </c>
      <c r="B7672" s="244" t="str">
        <f t="shared" si="119"/>
        <v/>
      </c>
    </row>
    <row r="7673" spans="1:2" x14ac:dyDescent="0.25">
      <c r="A7673" t="str">
        <f>IF(C7673&amp;G7673&amp;D7673&lt;&gt;'Funnel setup'!$K$3&amp;'Funnel setup'!$K$4&amp;'Funnel setup'!$K$6,".",IF(A7672=".",1,A7672+1))</f>
        <v>.</v>
      </c>
      <c r="B7673" s="244" t="str">
        <f t="shared" si="119"/>
        <v/>
      </c>
    </row>
    <row r="7674" spans="1:2" x14ac:dyDescent="0.25">
      <c r="A7674" t="str">
        <f>IF(C7674&amp;G7674&amp;D7674&lt;&gt;'Funnel setup'!$K$3&amp;'Funnel setup'!$K$4&amp;'Funnel setup'!$K$6,".",IF(A7673=".",1,A7673+1))</f>
        <v>.</v>
      </c>
      <c r="B7674" s="244" t="str">
        <f t="shared" si="119"/>
        <v/>
      </c>
    </row>
    <row r="7675" spans="1:2" x14ac:dyDescent="0.25">
      <c r="A7675" t="str">
        <f>IF(C7675&amp;G7675&amp;D7675&lt;&gt;'Funnel setup'!$K$3&amp;'Funnel setup'!$K$4&amp;'Funnel setup'!$K$6,".",IF(A7674=".",1,A7674+1))</f>
        <v>.</v>
      </c>
      <c r="B7675" s="244" t="str">
        <f t="shared" si="119"/>
        <v/>
      </c>
    </row>
    <row r="7676" spans="1:2" x14ac:dyDescent="0.25">
      <c r="A7676" t="str">
        <f>IF(C7676&amp;G7676&amp;D7676&lt;&gt;'Funnel setup'!$K$3&amp;'Funnel setup'!$K$4&amp;'Funnel setup'!$K$6,".",IF(A7675=".",1,A7675+1))</f>
        <v>.</v>
      </c>
      <c r="B7676" s="244" t="str">
        <f t="shared" si="119"/>
        <v/>
      </c>
    </row>
    <row r="7677" spans="1:2" x14ac:dyDescent="0.25">
      <c r="A7677" t="str">
        <f>IF(C7677&amp;G7677&amp;D7677&lt;&gt;'Funnel setup'!$K$3&amp;'Funnel setup'!$K$4&amp;'Funnel setup'!$K$6,".",IF(A7676=".",1,A7676+1))</f>
        <v>.</v>
      </c>
      <c r="B7677" s="244" t="str">
        <f t="shared" si="119"/>
        <v/>
      </c>
    </row>
    <row r="7678" spans="1:2" x14ac:dyDescent="0.25">
      <c r="A7678" t="str">
        <f>IF(C7678&amp;G7678&amp;D7678&lt;&gt;'Funnel setup'!$K$3&amp;'Funnel setup'!$K$4&amp;'Funnel setup'!$K$6,".",IF(A7677=".",1,A7677+1))</f>
        <v>.</v>
      </c>
      <c r="B7678" s="244" t="str">
        <f t="shared" si="119"/>
        <v/>
      </c>
    </row>
    <row r="7679" spans="1:2" x14ac:dyDescent="0.25">
      <c r="A7679" t="str">
        <f>IF(C7679&amp;G7679&amp;D7679&lt;&gt;'Funnel setup'!$K$3&amp;'Funnel setup'!$K$4&amp;'Funnel setup'!$K$6,".",IF(A7678=".",1,A7678+1))</f>
        <v>.</v>
      </c>
      <c r="B7679" s="244" t="str">
        <f t="shared" si="119"/>
        <v/>
      </c>
    </row>
    <row r="7680" spans="1:2" x14ac:dyDescent="0.25">
      <c r="A7680" t="str">
        <f>IF(C7680&amp;G7680&amp;D7680&lt;&gt;'Funnel setup'!$K$3&amp;'Funnel setup'!$K$4&amp;'Funnel setup'!$K$6,".",IF(A7679=".",1,A7679+1))</f>
        <v>.</v>
      </c>
      <c r="B7680" s="244" t="str">
        <f t="shared" si="119"/>
        <v/>
      </c>
    </row>
    <row r="7681" spans="1:2" x14ac:dyDescent="0.25">
      <c r="A7681" t="str">
        <f>IF(C7681&amp;G7681&amp;D7681&lt;&gt;'Funnel setup'!$K$3&amp;'Funnel setup'!$K$4&amp;'Funnel setup'!$K$6,".",IF(A7680=".",1,A7680+1))</f>
        <v>.</v>
      </c>
      <c r="B7681" s="244" t="str">
        <f t="shared" si="119"/>
        <v/>
      </c>
    </row>
    <row r="7682" spans="1:2" x14ac:dyDescent="0.25">
      <c r="A7682" t="str">
        <f>IF(C7682&amp;G7682&amp;D7682&lt;&gt;'Funnel setup'!$K$3&amp;'Funnel setup'!$K$4&amp;'Funnel setup'!$K$6,".",IF(A7681=".",1,A7681+1))</f>
        <v>.</v>
      </c>
      <c r="B7682" s="244" t="str">
        <f t="shared" ref="B7682:B7745" si="120">C7682&amp;D7682&amp;F7682&amp;G7682</f>
        <v/>
      </c>
    </row>
    <row r="7683" spans="1:2" x14ac:dyDescent="0.25">
      <c r="A7683" t="str">
        <f>IF(C7683&amp;G7683&amp;D7683&lt;&gt;'Funnel setup'!$K$3&amp;'Funnel setup'!$K$4&amp;'Funnel setup'!$K$6,".",IF(A7682=".",1,A7682+1))</f>
        <v>.</v>
      </c>
      <c r="B7683" s="244" t="str">
        <f t="shared" si="120"/>
        <v/>
      </c>
    </row>
    <row r="7684" spans="1:2" x14ac:dyDescent="0.25">
      <c r="A7684" t="str">
        <f>IF(C7684&amp;G7684&amp;D7684&lt;&gt;'Funnel setup'!$K$3&amp;'Funnel setup'!$K$4&amp;'Funnel setup'!$K$6,".",IF(A7683=".",1,A7683+1))</f>
        <v>.</v>
      </c>
      <c r="B7684" s="244" t="str">
        <f t="shared" si="120"/>
        <v/>
      </c>
    </row>
    <row r="7685" spans="1:2" x14ac:dyDescent="0.25">
      <c r="A7685" t="str">
        <f>IF(C7685&amp;G7685&amp;D7685&lt;&gt;'Funnel setup'!$K$3&amp;'Funnel setup'!$K$4&amp;'Funnel setup'!$K$6,".",IF(A7684=".",1,A7684+1))</f>
        <v>.</v>
      </c>
      <c r="B7685" s="244" t="str">
        <f t="shared" si="120"/>
        <v/>
      </c>
    </row>
    <row r="7686" spans="1:2" x14ac:dyDescent="0.25">
      <c r="A7686" t="str">
        <f>IF(C7686&amp;G7686&amp;D7686&lt;&gt;'Funnel setup'!$K$3&amp;'Funnel setup'!$K$4&amp;'Funnel setup'!$K$6,".",IF(A7685=".",1,A7685+1))</f>
        <v>.</v>
      </c>
      <c r="B7686" s="244" t="str">
        <f t="shared" si="120"/>
        <v/>
      </c>
    </row>
    <row r="7687" spans="1:2" x14ac:dyDescent="0.25">
      <c r="A7687" t="str">
        <f>IF(C7687&amp;G7687&amp;D7687&lt;&gt;'Funnel setup'!$K$3&amp;'Funnel setup'!$K$4&amp;'Funnel setup'!$K$6,".",IF(A7686=".",1,A7686+1))</f>
        <v>.</v>
      </c>
      <c r="B7687" s="244" t="str">
        <f t="shared" si="120"/>
        <v/>
      </c>
    </row>
    <row r="7688" spans="1:2" x14ac:dyDescent="0.25">
      <c r="A7688" t="str">
        <f>IF(C7688&amp;G7688&amp;D7688&lt;&gt;'Funnel setup'!$K$3&amp;'Funnel setup'!$K$4&amp;'Funnel setup'!$K$6,".",IF(A7687=".",1,A7687+1))</f>
        <v>.</v>
      </c>
      <c r="B7688" s="244" t="str">
        <f t="shared" si="120"/>
        <v/>
      </c>
    </row>
    <row r="7689" spans="1:2" x14ac:dyDescent="0.25">
      <c r="A7689" t="str">
        <f>IF(C7689&amp;G7689&amp;D7689&lt;&gt;'Funnel setup'!$K$3&amp;'Funnel setup'!$K$4&amp;'Funnel setup'!$K$6,".",IF(A7688=".",1,A7688+1))</f>
        <v>.</v>
      </c>
      <c r="B7689" s="244" t="str">
        <f t="shared" si="120"/>
        <v/>
      </c>
    </row>
    <row r="7690" spans="1:2" x14ac:dyDescent="0.25">
      <c r="A7690" t="str">
        <f>IF(C7690&amp;G7690&amp;D7690&lt;&gt;'Funnel setup'!$K$3&amp;'Funnel setup'!$K$4&amp;'Funnel setup'!$K$6,".",IF(A7689=".",1,A7689+1))</f>
        <v>.</v>
      </c>
      <c r="B7690" s="244" t="str">
        <f t="shared" si="120"/>
        <v/>
      </c>
    </row>
    <row r="7691" spans="1:2" x14ac:dyDescent="0.25">
      <c r="A7691" t="str">
        <f>IF(C7691&amp;G7691&amp;D7691&lt;&gt;'Funnel setup'!$K$3&amp;'Funnel setup'!$K$4&amp;'Funnel setup'!$K$6,".",IF(A7690=".",1,A7690+1))</f>
        <v>.</v>
      </c>
      <c r="B7691" s="244" t="str">
        <f t="shared" si="120"/>
        <v/>
      </c>
    </row>
    <row r="7692" spans="1:2" x14ac:dyDescent="0.25">
      <c r="A7692" t="str">
        <f>IF(C7692&amp;G7692&amp;D7692&lt;&gt;'Funnel setup'!$K$3&amp;'Funnel setup'!$K$4&amp;'Funnel setup'!$K$6,".",IF(A7691=".",1,A7691+1))</f>
        <v>.</v>
      </c>
      <c r="B7692" s="244" t="str">
        <f t="shared" si="120"/>
        <v/>
      </c>
    </row>
    <row r="7693" spans="1:2" x14ac:dyDescent="0.25">
      <c r="A7693" t="str">
        <f>IF(C7693&amp;G7693&amp;D7693&lt;&gt;'Funnel setup'!$K$3&amp;'Funnel setup'!$K$4&amp;'Funnel setup'!$K$6,".",IF(A7692=".",1,A7692+1))</f>
        <v>.</v>
      </c>
      <c r="B7693" s="244" t="str">
        <f t="shared" si="120"/>
        <v/>
      </c>
    </row>
    <row r="7694" spans="1:2" x14ac:dyDescent="0.25">
      <c r="A7694" t="str">
        <f>IF(C7694&amp;G7694&amp;D7694&lt;&gt;'Funnel setup'!$K$3&amp;'Funnel setup'!$K$4&amp;'Funnel setup'!$K$6,".",IF(A7693=".",1,A7693+1))</f>
        <v>.</v>
      </c>
      <c r="B7694" s="244" t="str">
        <f t="shared" si="120"/>
        <v/>
      </c>
    </row>
    <row r="7695" spans="1:2" x14ac:dyDescent="0.25">
      <c r="A7695" t="str">
        <f>IF(C7695&amp;G7695&amp;D7695&lt;&gt;'Funnel setup'!$K$3&amp;'Funnel setup'!$K$4&amp;'Funnel setup'!$K$6,".",IF(A7694=".",1,A7694+1))</f>
        <v>.</v>
      </c>
      <c r="B7695" s="244" t="str">
        <f t="shared" si="120"/>
        <v/>
      </c>
    </row>
    <row r="7696" spans="1:2" x14ac:dyDescent="0.25">
      <c r="A7696" t="str">
        <f>IF(C7696&amp;G7696&amp;D7696&lt;&gt;'Funnel setup'!$K$3&amp;'Funnel setup'!$K$4&amp;'Funnel setup'!$K$6,".",IF(A7695=".",1,A7695+1))</f>
        <v>.</v>
      </c>
      <c r="B7696" s="244" t="str">
        <f t="shared" si="120"/>
        <v/>
      </c>
    </row>
    <row r="7697" spans="1:2" x14ac:dyDescent="0.25">
      <c r="A7697" t="str">
        <f>IF(C7697&amp;G7697&amp;D7697&lt;&gt;'Funnel setup'!$K$3&amp;'Funnel setup'!$K$4&amp;'Funnel setup'!$K$6,".",IF(A7696=".",1,A7696+1))</f>
        <v>.</v>
      </c>
      <c r="B7697" s="244" t="str">
        <f t="shared" si="120"/>
        <v/>
      </c>
    </row>
    <row r="7698" spans="1:2" x14ac:dyDescent="0.25">
      <c r="A7698" t="str">
        <f>IF(C7698&amp;G7698&amp;D7698&lt;&gt;'Funnel setup'!$K$3&amp;'Funnel setup'!$K$4&amp;'Funnel setup'!$K$6,".",IF(A7697=".",1,A7697+1))</f>
        <v>.</v>
      </c>
      <c r="B7698" s="244" t="str">
        <f t="shared" si="120"/>
        <v/>
      </c>
    </row>
    <row r="7699" spans="1:2" x14ac:dyDescent="0.25">
      <c r="A7699" t="str">
        <f>IF(C7699&amp;G7699&amp;D7699&lt;&gt;'Funnel setup'!$K$3&amp;'Funnel setup'!$K$4&amp;'Funnel setup'!$K$6,".",IF(A7698=".",1,A7698+1))</f>
        <v>.</v>
      </c>
      <c r="B7699" s="244" t="str">
        <f t="shared" si="120"/>
        <v/>
      </c>
    </row>
    <row r="7700" spans="1:2" x14ac:dyDescent="0.25">
      <c r="A7700" t="str">
        <f>IF(C7700&amp;G7700&amp;D7700&lt;&gt;'Funnel setup'!$K$3&amp;'Funnel setup'!$K$4&amp;'Funnel setup'!$K$6,".",IF(A7699=".",1,A7699+1))</f>
        <v>.</v>
      </c>
      <c r="B7700" s="244" t="str">
        <f t="shared" si="120"/>
        <v/>
      </c>
    </row>
    <row r="7701" spans="1:2" x14ac:dyDescent="0.25">
      <c r="A7701" t="str">
        <f>IF(C7701&amp;G7701&amp;D7701&lt;&gt;'Funnel setup'!$K$3&amp;'Funnel setup'!$K$4&amp;'Funnel setup'!$K$6,".",IF(A7700=".",1,A7700+1))</f>
        <v>.</v>
      </c>
      <c r="B7701" s="244" t="str">
        <f t="shared" si="120"/>
        <v/>
      </c>
    </row>
    <row r="7702" spans="1:2" x14ac:dyDescent="0.25">
      <c r="A7702" t="str">
        <f>IF(C7702&amp;G7702&amp;D7702&lt;&gt;'Funnel setup'!$K$3&amp;'Funnel setup'!$K$4&amp;'Funnel setup'!$K$6,".",IF(A7701=".",1,A7701+1))</f>
        <v>.</v>
      </c>
      <c r="B7702" s="244" t="str">
        <f t="shared" si="120"/>
        <v/>
      </c>
    </row>
    <row r="7703" spans="1:2" x14ac:dyDescent="0.25">
      <c r="A7703" t="str">
        <f>IF(C7703&amp;G7703&amp;D7703&lt;&gt;'Funnel setup'!$K$3&amp;'Funnel setup'!$K$4&amp;'Funnel setup'!$K$6,".",IF(A7702=".",1,A7702+1))</f>
        <v>.</v>
      </c>
      <c r="B7703" s="244" t="str">
        <f t="shared" si="120"/>
        <v/>
      </c>
    </row>
    <row r="7704" spans="1:2" x14ac:dyDescent="0.25">
      <c r="A7704" t="str">
        <f>IF(C7704&amp;G7704&amp;D7704&lt;&gt;'Funnel setup'!$K$3&amp;'Funnel setup'!$K$4&amp;'Funnel setup'!$K$6,".",IF(A7703=".",1,A7703+1))</f>
        <v>.</v>
      </c>
      <c r="B7704" s="244" t="str">
        <f t="shared" si="120"/>
        <v/>
      </c>
    </row>
    <row r="7705" spans="1:2" x14ac:dyDescent="0.25">
      <c r="A7705" t="str">
        <f>IF(C7705&amp;G7705&amp;D7705&lt;&gt;'Funnel setup'!$K$3&amp;'Funnel setup'!$K$4&amp;'Funnel setup'!$K$6,".",IF(A7704=".",1,A7704+1))</f>
        <v>.</v>
      </c>
      <c r="B7705" s="244" t="str">
        <f t="shared" si="120"/>
        <v/>
      </c>
    </row>
    <row r="7706" spans="1:2" x14ac:dyDescent="0.25">
      <c r="A7706" t="str">
        <f>IF(C7706&amp;G7706&amp;D7706&lt;&gt;'Funnel setup'!$K$3&amp;'Funnel setup'!$K$4&amp;'Funnel setup'!$K$6,".",IF(A7705=".",1,A7705+1))</f>
        <v>.</v>
      </c>
      <c r="B7706" s="244" t="str">
        <f t="shared" si="120"/>
        <v/>
      </c>
    </row>
    <row r="7707" spans="1:2" x14ac:dyDescent="0.25">
      <c r="A7707" t="str">
        <f>IF(C7707&amp;G7707&amp;D7707&lt;&gt;'Funnel setup'!$K$3&amp;'Funnel setup'!$K$4&amp;'Funnel setup'!$K$6,".",IF(A7706=".",1,A7706+1))</f>
        <v>.</v>
      </c>
      <c r="B7707" s="244" t="str">
        <f t="shared" si="120"/>
        <v/>
      </c>
    </row>
    <row r="7708" spans="1:2" x14ac:dyDescent="0.25">
      <c r="A7708" t="str">
        <f>IF(C7708&amp;G7708&amp;D7708&lt;&gt;'Funnel setup'!$K$3&amp;'Funnel setup'!$K$4&amp;'Funnel setup'!$K$6,".",IF(A7707=".",1,A7707+1))</f>
        <v>.</v>
      </c>
      <c r="B7708" s="244" t="str">
        <f t="shared" si="120"/>
        <v/>
      </c>
    </row>
    <row r="7709" spans="1:2" x14ac:dyDescent="0.25">
      <c r="A7709" t="str">
        <f>IF(C7709&amp;G7709&amp;D7709&lt;&gt;'Funnel setup'!$K$3&amp;'Funnel setup'!$K$4&amp;'Funnel setup'!$K$6,".",IF(A7708=".",1,A7708+1))</f>
        <v>.</v>
      </c>
      <c r="B7709" s="244" t="str">
        <f t="shared" si="120"/>
        <v/>
      </c>
    </row>
    <row r="7710" spans="1:2" x14ac:dyDescent="0.25">
      <c r="A7710" t="str">
        <f>IF(C7710&amp;G7710&amp;D7710&lt;&gt;'Funnel setup'!$K$3&amp;'Funnel setup'!$K$4&amp;'Funnel setup'!$K$6,".",IF(A7709=".",1,A7709+1))</f>
        <v>.</v>
      </c>
      <c r="B7710" s="244" t="str">
        <f t="shared" si="120"/>
        <v/>
      </c>
    </row>
    <row r="7711" spans="1:2" x14ac:dyDescent="0.25">
      <c r="A7711" t="str">
        <f>IF(C7711&amp;G7711&amp;D7711&lt;&gt;'Funnel setup'!$K$3&amp;'Funnel setup'!$K$4&amp;'Funnel setup'!$K$6,".",IF(A7710=".",1,A7710+1))</f>
        <v>.</v>
      </c>
      <c r="B7711" s="244" t="str">
        <f t="shared" si="120"/>
        <v/>
      </c>
    </row>
    <row r="7712" spans="1:2" x14ac:dyDescent="0.25">
      <c r="A7712" t="str">
        <f>IF(C7712&amp;G7712&amp;D7712&lt;&gt;'Funnel setup'!$K$3&amp;'Funnel setup'!$K$4&amp;'Funnel setup'!$K$6,".",IF(A7711=".",1,A7711+1))</f>
        <v>.</v>
      </c>
      <c r="B7712" s="244" t="str">
        <f t="shared" si="120"/>
        <v/>
      </c>
    </row>
    <row r="7713" spans="1:2" x14ac:dyDescent="0.25">
      <c r="A7713" t="str">
        <f>IF(C7713&amp;G7713&amp;D7713&lt;&gt;'Funnel setup'!$K$3&amp;'Funnel setup'!$K$4&amp;'Funnel setup'!$K$6,".",IF(A7712=".",1,A7712+1))</f>
        <v>.</v>
      </c>
      <c r="B7713" s="244" t="str">
        <f t="shared" si="120"/>
        <v/>
      </c>
    </row>
    <row r="7714" spans="1:2" x14ac:dyDescent="0.25">
      <c r="A7714" t="str">
        <f>IF(C7714&amp;G7714&amp;D7714&lt;&gt;'Funnel setup'!$K$3&amp;'Funnel setup'!$K$4&amp;'Funnel setup'!$K$6,".",IF(A7713=".",1,A7713+1))</f>
        <v>.</v>
      </c>
      <c r="B7714" s="244" t="str">
        <f t="shared" si="120"/>
        <v/>
      </c>
    </row>
    <row r="7715" spans="1:2" x14ac:dyDescent="0.25">
      <c r="A7715" t="str">
        <f>IF(C7715&amp;G7715&amp;D7715&lt;&gt;'Funnel setup'!$K$3&amp;'Funnel setup'!$K$4&amp;'Funnel setup'!$K$6,".",IF(A7714=".",1,A7714+1))</f>
        <v>.</v>
      </c>
      <c r="B7715" s="244" t="str">
        <f t="shared" si="120"/>
        <v/>
      </c>
    </row>
    <row r="7716" spans="1:2" x14ac:dyDescent="0.25">
      <c r="A7716" t="str">
        <f>IF(C7716&amp;G7716&amp;D7716&lt;&gt;'Funnel setup'!$K$3&amp;'Funnel setup'!$K$4&amp;'Funnel setup'!$K$6,".",IF(A7715=".",1,A7715+1))</f>
        <v>.</v>
      </c>
      <c r="B7716" s="244" t="str">
        <f t="shared" si="120"/>
        <v/>
      </c>
    </row>
    <row r="7717" spans="1:2" x14ac:dyDescent="0.25">
      <c r="A7717" t="str">
        <f>IF(C7717&amp;G7717&amp;D7717&lt;&gt;'Funnel setup'!$K$3&amp;'Funnel setup'!$K$4&amp;'Funnel setup'!$K$6,".",IF(A7716=".",1,A7716+1))</f>
        <v>.</v>
      </c>
      <c r="B7717" s="244" t="str">
        <f t="shared" si="120"/>
        <v/>
      </c>
    </row>
    <row r="7718" spans="1:2" x14ac:dyDescent="0.25">
      <c r="A7718" t="str">
        <f>IF(C7718&amp;G7718&amp;D7718&lt;&gt;'Funnel setup'!$K$3&amp;'Funnel setup'!$K$4&amp;'Funnel setup'!$K$6,".",IF(A7717=".",1,A7717+1))</f>
        <v>.</v>
      </c>
      <c r="B7718" s="244" t="str">
        <f t="shared" si="120"/>
        <v/>
      </c>
    </row>
    <row r="7719" spans="1:2" x14ac:dyDescent="0.25">
      <c r="A7719" t="str">
        <f>IF(C7719&amp;G7719&amp;D7719&lt;&gt;'Funnel setup'!$K$3&amp;'Funnel setup'!$K$4&amp;'Funnel setup'!$K$6,".",IF(A7718=".",1,A7718+1))</f>
        <v>.</v>
      </c>
      <c r="B7719" s="244" t="str">
        <f t="shared" si="120"/>
        <v/>
      </c>
    </row>
    <row r="7720" spans="1:2" x14ac:dyDescent="0.25">
      <c r="A7720" t="str">
        <f>IF(C7720&amp;G7720&amp;D7720&lt;&gt;'Funnel setup'!$K$3&amp;'Funnel setup'!$K$4&amp;'Funnel setup'!$K$6,".",IF(A7719=".",1,A7719+1))</f>
        <v>.</v>
      </c>
      <c r="B7720" s="244" t="str">
        <f t="shared" si="120"/>
        <v/>
      </c>
    </row>
    <row r="7721" spans="1:2" x14ac:dyDescent="0.25">
      <c r="A7721" t="str">
        <f>IF(C7721&amp;G7721&amp;D7721&lt;&gt;'Funnel setup'!$K$3&amp;'Funnel setup'!$K$4&amp;'Funnel setup'!$K$6,".",IF(A7720=".",1,A7720+1))</f>
        <v>.</v>
      </c>
      <c r="B7721" s="244" t="str">
        <f t="shared" si="120"/>
        <v/>
      </c>
    </row>
    <row r="7722" spans="1:2" x14ac:dyDescent="0.25">
      <c r="A7722" t="str">
        <f>IF(C7722&amp;G7722&amp;D7722&lt;&gt;'Funnel setup'!$K$3&amp;'Funnel setup'!$K$4&amp;'Funnel setup'!$K$6,".",IF(A7721=".",1,A7721+1))</f>
        <v>.</v>
      </c>
      <c r="B7722" s="244" t="str">
        <f t="shared" si="120"/>
        <v/>
      </c>
    </row>
    <row r="7723" spans="1:2" x14ac:dyDescent="0.25">
      <c r="A7723" t="str">
        <f>IF(C7723&amp;G7723&amp;D7723&lt;&gt;'Funnel setup'!$K$3&amp;'Funnel setup'!$K$4&amp;'Funnel setup'!$K$6,".",IF(A7722=".",1,A7722+1))</f>
        <v>.</v>
      </c>
      <c r="B7723" s="244" t="str">
        <f t="shared" si="120"/>
        <v/>
      </c>
    </row>
    <row r="7724" spans="1:2" x14ac:dyDescent="0.25">
      <c r="A7724" t="str">
        <f>IF(C7724&amp;G7724&amp;D7724&lt;&gt;'Funnel setup'!$K$3&amp;'Funnel setup'!$K$4&amp;'Funnel setup'!$K$6,".",IF(A7723=".",1,A7723+1))</f>
        <v>.</v>
      </c>
      <c r="B7724" s="244" t="str">
        <f t="shared" si="120"/>
        <v/>
      </c>
    </row>
    <row r="7725" spans="1:2" x14ac:dyDescent="0.25">
      <c r="A7725" t="str">
        <f>IF(C7725&amp;G7725&amp;D7725&lt;&gt;'Funnel setup'!$K$3&amp;'Funnel setup'!$K$4&amp;'Funnel setup'!$K$6,".",IF(A7724=".",1,A7724+1))</f>
        <v>.</v>
      </c>
      <c r="B7725" s="244" t="str">
        <f t="shared" si="120"/>
        <v/>
      </c>
    </row>
    <row r="7726" spans="1:2" x14ac:dyDescent="0.25">
      <c r="A7726" t="str">
        <f>IF(C7726&amp;G7726&amp;D7726&lt;&gt;'Funnel setup'!$K$3&amp;'Funnel setup'!$K$4&amp;'Funnel setup'!$K$6,".",IF(A7725=".",1,A7725+1))</f>
        <v>.</v>
      </c>
      <c r="B7726" s="244" t="str">
        <f t="shared" si="120"/>
        <v/>
      </c>
    </row>
    <row r="7727" spans="1:2" x14ac:dyDescent="0.25">
      <c r="A7727" t="str">
        <f>IF(C7727&amp;G7727&amp;D7727&lt;&gt;'Funnel setup'!$K$3&amp;'Funnel setup'!$K$4&amp;'Funnel setup'!$K$6,".",IF(A7726=".",1,A7726+1))</f>
        <v>.</v>
      </c>
      <c r="B7727" s="244" t="str">
        <f t="shared" si="120"/>
        <v/>
      </c>
    </row>
    <row r="7728" spans="1:2" x14ac:dyDescent="0.25">
      <c r="A7728" t="str">
        <f>IF(C7728&amp;G7728&amp;D7728&lt;&gt;'Funnel setup'!$K$3&amp;'Funnel setup'!$K$4&amp;'Funnel setup'!$K$6,".",IF(A7727=".",1,A7727+1))</f>
        <v>.</v>
      </c>
      <c r="B7728" s="244" t="str">
        <f t="shared" si="120"/>
        <v/>
      </c>
    </row>
    <row r="7729" spans="1:2" x14ac:dyDescent="0.25">
      <c r="A7729" t="str">
        <f>IF(C7729&amp;G7729&amp;D7729&lt;&gt;'Funnel setup'!$K$3&amp;'Funnel setup'!$K$4&amp;'Funnel setup'!$K$6,".",IF(A7728=".",1,A7728+1))</f>
        <v>.</v>
      </c>
      <c r="B7729" s="244" t="str">
        <f t="shared" si="120"/>
        <v/>
      </c>
    </row>
    <row r="7730" spans="1:2" x14ac:dyDescent="0.25">
      <c r="A7730" t="str">
        <f>IF(C7730&amp;G7730&amp;D7730&lt;&gt;'Funnel setup'!$K$3&amp;'Funnel setup'!$K$4&amp;'Funnel setup'!$K$6,".",IF(A7729=".",1,A7729+1))</f>
        <v>.</v>
      </c>
      <c r="B7730" s="244" t="str">
        <f t="shared" si="120"/>
        <v/>
      </c>
    </row>
    <row r="7731" spans="1:2" x14ac:dyDescent="0.25">
      <c r="A7731" t="str">
        <f>IF(C7731&amp;G7731&amp;D7731&lt;&gt;'Funnel setup'!$K$3&amp;'Funnel setup'!$K$4&amp;'Funnel setup'!$K$6,".",IF(A7730=".",1,A7730+1))</f>
        <v>.</v>
      </c>
      <c r="B7731" s="244" t="str">
        <f t="shared" si="120"/>
        <v/>
      </c>
    </row>
    <row r="7732" spans="1:2" x14ac:dyDescent="0.25">
      <c r="A7732" t="str">
        <f>IF(C7732&amp;G7732&amp;D7732&lt;&gt;'Funnel setup'!$K$3&amp;'Funnel setup'!$K$4&amp;'Funnel setup'!$K$6,".",IF(A7731=".",1,A7731+1))</f>
        <v>.</v>
      </c>
      <c r="B7732" s="244" t="str">
        <f t="shared" si="120"/>
        <v/>
      </c>
    </row>
    <row r="7733" spans="1:2" x14ac:dyDescent="0.25">
      <c r="A7733" t="str">
        <f>IF(C7733&amp;G7733&amp;D7733&lt;&gt;'Funnel setup'!$K$3&amp;'Funnel setup'!$K$4&amp;'Funnel setup'!$K$6,".",IF(A7732=".",1,A7732+1))</f>
        <v>.</v>
      </c>
      <c r="B7733" s="244" t="str">
        <f t="shared" si="120"/>
        <v/>
      </c>
    </row>
    <row r="7734" spans="1:2" x14ac:dyDescent="0.25">
      <c r="A7734" t="str">
        <f>IF(C7734&amp;G7734&amp;D7734&lt;&gt;'Funnel setup'!$K$3&amp;'Funnel setup'!$K$4&amp;'Funnel setup'!$K$6,".",IF(A7733=".",1,A7733+1))</f>
        <v>.</v>
      </c>
      <c r="B7734" s="244" t="str">
        <f t="shared" si="120"/>
        <v/>
      </c>
    </row>
    <row r="7735" spans="1:2" x14ac:dyDescent="0.25">
      <c r="A7735" t="str">
        <f>IF(C7735&amp;G7735&amp;D7735&lt;&gt;'Funnel setup'!$K$3&amp;'Funnel setup'!$K$4&amp;'Funnel setup'!$K$6,".",IF(A7734=".",1,A7734+1))</f>
        <v>.</v>
      </c>
      <c r="B7735" s="244" t="str">
        <f t="shared" si="120"/>
        <v/>
      </c>
    </row>
    <row r="7736" spans="1:2" x14ac:dyDescent="0.25">
      <c r="A7736" t="str">
        <f>IF(C7736&amp;G7736&amp;D7736&lt;&gt;'Funnel setup'!$K$3&amp;'Funnel setup'!$K$4&amp;'Funnel setup'!$K$6,".",IF(A7735=".",1,A7735+1))</f>
        <v>.</v>
      </c>
      <c r="B7736" s="244" t="str">
        <f t="shared" si="120"/>
        <v/>
      </c>
    </row>
    <row r="7737" spans="1:2" x14ac:dyDescent="0.25">
      <c r="A7737" t="str">
        <f>IF(C7737&amp;G7737&amp;D7737&lt;&gt;'Funnel setup'!$K$3&amp;'Funnel setup'!$K$4&amp;'Funnel setup'!$K$6,".",IF(A7736=".",1,A7736+1))</f>
        <v>.</v>
      </c>
      <c r="B7737" s="244" t="str">
        <f t="shared" si="120"/>
        <v/>
      </c>
    </row>
    <row r="7738" spans="1:2" x14ac:dyDescent="0.25">
      <c r="A7738" t="str">
        <f>IF(C7738&amp;G7738&amp;D7738&lt;&gt;'Funnel setup'!$K$3&amp;'Funnel setup'!$K$4&amp;'Funnel setup'!$K$6,".",IF(A7737=".",1,A7737+1))</f>
        <v>.</v>
      </c>
      <c r="B7738" s="244" t="str">
        <f t="shared" si="120"/>
        <v/>
      </c>
    </row>
    <row r="7739" spans="1:2" x14ac:dyDescent="0.25">
      <c r="A7739" t="str">
        <f>IF(C7739&amp;G7739&amp;D7739&lt;&gt;'Funnel setup'!$K$3&amp;'Funnel setup'!$K$4&amp;'Funnel setup'!$K$6,".",IF(A7738=".",1,A7738+1))</f>
        <v>.</v>
      </c>
      <c r="B7739" s="244" t="str">
        <f t="shared" si="120"/>
        <v/>
      </c>
    </row>
    <row r="7740" spans="1:2" x14ac:dyDescent="0.25">
      <c r="A7740" t="str">
        <f>IF(C7740&amp;G7740&amp;D7740&lt;&gt;'Funnel setup'!$K$3&amp;'Funnel setup'!$K$4&amp;'Funnel setup'!$K$6,".",IF(A7739=".",1,A7739+1))</f>
        <v>.</v>
      </c>
      <c r="B7740" s="244" t="str">
        <f t="shared" si="120"/>
        <v/>
      </c>
    </row>
    <row r="7741" spans="1:2" x14ac:dyDescent="0.25">
      <c r="A7741" t="str">
        <f>IF(C7741&amp;G7741&amp;D7741&lt;&gt;'Funnel setup'!$K$3&amp;'Funnel setup'!$K$4&amp;'Funnel setup'!$K$6,".",IF(A7740=".",1,A7740+1))</f>
        <v>.</v>
      </c>
      <c r="B7741" s="244" t="str">
        <f t="shared" si="120"/>
        <v/>
      </c>
    </row>
    <row r="7742" spans="1:2" x14ac:dyDescent="0.25">
      <c r="A7742" t="str">
        <f>IF(C7742&amp;G7742&amp;D7742&lt;&gt;'Funnel setup'!$K$3&amp;'Funnel setup'!$K$4&amp;'Funnel setup'!$K$6,".",IF(A7741=".",1,A7741+1))</f>
        <v>.</v>
      </c>
      <c r="B7742" s="244" t="str">
        <f t="shared" si="120"/>
        <v/>
      </c>
    </row>
    <row r="7743" spans="1:2" x14ac:dyDescent="0.25">
      <c r="A7743" t="str">
        <f>IF(C7743&amp;G7743&amp;D7743&lt;&gt;'Funnel setup'!$K$3&amp;'Funnel setup'!$K$4&amp;'Funnel setup'!$K$6,".",IF(A7742=".",1,A7742+1))</f>
        <v>.</v>
      </c>
      <c r="B7743" s="244" t="str">
        <f t="shared" si="120"/>
        <v/>
      </c>
    </row>
    <row r="7744" spans="1:2" x14ac:dyDescent="0.25">
      <c r="A7744" t="str">
        <f>IF(C7744&amp;G7744&amp;D7744&lt;&gt;'Funnel setup'!$K$3&amp;'Funnel setup'!$K$4&amp;'Funnel setup'!$K$6,".",IF(A7743=".",1,A7743+1))</f>
        <v>.</v>
      </c>
      <c r="B7744" s="244" t="str">
        <f t="shared" si="120"/>
        <v/>
      </c>
    </row>
    <row r="7745" spans="1:2" x14ac:dyDescent="0.25">
      <c r="A7745" t="str">
        <f>IF(C7745&amp;G7745&amp;D7745&lt;&gt;'Funnel setup'!$K$3&amp;'Funnel setup'!$K$4&amp;'Funnel setup'!$K$6,".",IF(A7744=".",1,A7744+1))</f>
        <v>.</v>
      </c>
      <c r="B7745" s="244" t="str">
        <f t="shared" si="120"/>
        <v/>
      </c>
    </row>
    <row r="7746" spans="1:2" x14ac:dyDescent="0.25">
      <c r="A7746" t="str">
        <f>IF(C7746&amp;G7746&amp;D7746&lt;&gt;'Funnel setup'!$K$3&amp;'Funnel setup'!$K$4&amp;'Funnel setup'!$K$6,".",IF(A7745=".",1,A7745+1))</f>
        <v>.</v>
      </c>
      <c r="B7746" s="244" t="str">
        <f t="shared" ref="B7746:B7768" si="121">C7746&amp;D7746&amp;F7746&amp;G7746</f>
        <v/>
      </c>
    </row>
    <row r="7747" spans="1:2" x14ac:dyDescent="0.25">
      <c r="A7747" t="str">
        <f>IF(C7747&amp;G7747&amp;D7747&lt;&gt;'Funnel setup'!$K$3&amp;'Funnel setup'!$K$4&amp;'Funnel setup'!$K$6,".",IF(A7746=".",1,A7746+1))</f>
        <v>.</v>
      </c>
      <c r="B7747" s="244" t="str">
        <f t="shared" si="121"/>
        <v/>
      </c>
    </row>
    <row r="7748" spans="1:2" x14ac:dyDescent="0.25">
      <c r="A7748" t="str">
        <f>IF(C7748&amp;G7748&amp;D7748&lt;&gt;'Funnel setup'!$K$3&amp;'Funnel setup'!$K$4&amp;'Funnel setup'!$K$6,".",IF(A7747=".",1,A7747+1))</f>
        <v>.</v>
      </c>
      <c r="B7748" s="244" t="str">
        <f t="shared" si="121"/>
        <v/>
      </c>
    </row>
    <row r="7749" spans="1:2" x14ac:dyDescent="0.25">
      <c r="A7749" t="str">
        <f>IF(C7749&amp;G7749&amp;D7749&lt;&gt;'Funnel setup'!$K$3&amp;'Funnel setup'!$K$4&amp;'Funnel setup'!$K$6,".",IF(A7748=".",1,A7748+1))</f>
        <v>.</v>
      </c>
      <c r="B7749" s="244" t="str">
        <f t="shared" si="121"/>
        <v/>
      </c>
    </row>
    <row r="7750" spans="1:2" x14ac:dyDescent="0.25">
      <c r="A7750" t="str">
        <f>IF(C7750&amp;G7750&amp;D7750&lt;&gt;'Funnel setup'!$K$3&amp;'Funnel setup'!$K$4&amp;'Funnel setup'!$K$6,".",IF(A7749=".",1,A7749+1))</f>
        <v>.</v>
      </c>
      <c r="B7750" s="244" t="str">
        <f t="shared" si="121"/>
        <v/>
      </c>
    </row>
    <row r="7751" spans="1:2" x14ac:dyDescent="0.25">
      <c r="A7751" t="str">
        <f>IF(C7751&amp;G7751&amp;D7751&lt;&gt;'Funnel setup'!$K$3&amp;'Funnel setup'!$K$4&amp;'Funnel setup'!$K$6,".",IF(A7750=".",1,A7750+1))</f>
        <v>.</v>
      </c>
      <c r="B7751" s="244" t="str">
        <f t="shared" si="121"/>
        <v/>
      </c>
    </row>
    <row r="7752" spans="1:2" x14ac:dyDescent="0.25">
      <c r="A7752" t="str">
        <f>IF(C7752&amp;G7752&amp;D7752&lt;&gt;'Funnel setup'!$K$3&amp;'Funnel setup'!$K$4&amp;'Funnel setup'!$K$6,".",IF(A7751=".",1,A7751+1))</f>
        <v>.</v>
      </c>
      <c r="B7752" s="244" t="str">
        <f t="shared" si="121"/>
        <v/>
      </c>
    </row>
    <row r="7753" spans="1:2" x14ac:dyDescent="0.25">
      <c r="A7753" t="str">
        <f>IF(C7753&amp;G7753&amp;D7753&lt;&gt;'Funnel setup'!$K$3&amp;'Funnel setup'!$K$4&amp;'Funnel setup'!$K$6,".",IF(A7752=".",1,A7752+1))</f>
        <v>.</v>
      </c>
      <c r="B7753" s="244" t="str">
        <f t="shared" si="121"/>
        <v/>
      </c>
    </row>
    <row r="7754" spans="1:2" x14ac:dyDescent="0.25">
      <c r="A7754" t="str">
        <f>IF(C7754&amp;G7754&amp;D7754&lt;&gt;'Funnel setup'!$K$3&amp;'Funnel setup'!$K$4&amp;'Funnel setup'!$K$6,".",IF(A7753=".",1,A7753+1))</f>
        <v>.</v>
      </c>
      <c r="B7754" s="244" t="str">
        <f t="shared" si="121"/>
        <v/>
      </c>
    </row>
    <row r="7755" spans="1:2" x14ac:dyDescent="0.25">
      <c r="A7755" t="str">
        <f>IF(C7755&amp;G7755&amp;D7755&lt;&gt;'Funnel setup'!$K$3&amp;'Funnel setup'!$K$4&amp;'Funnel setup'!$K$6,".",IF(A7754=".",1,A7754+1))</f>
        <v>.</v>
      </c>
      <c r="B7755" s="244" t="str">
        <f t="shared" si="121"/>
        <v/>
      </c>
    </row>
    <row r="7756" spans="1:2" x14ac:dyDescent="0.25">
      <c r="A7756" t="str">
        <f>IF(C7756&amp;G7756&amp;D7756&lt;&gt;'Funnel setup'!$K$3&amp;'Funnel setup'!$K$4&amp;'Funnel setup'!$K$6,".",IF(A7755=".",1,A7755+1))</f>
        <v>.</v>
      </c>
      <c r="B7756" s="244" t="str">
        <f t="shared" si="121"/>
        <v/>
      </c>
    </row>
    <row r="7757" spans="1:2" x14ac:dyDescent="0.25">
      <c r="A7757" t="str">
        <f>IF(C7757&amp;G7757&amp;D7757&lt;&gt;'Funnel setup'!$K$3&amp;'Funnel setup'!$K$4&amp;'Funnel setup'!$K$6,".",IF(A7756=".",1,A7756+1))</f>
        <v>.</v>
      </c>
      <c r="B7757" s="244" t="str">
        <f t="shared" si="121"/>
        <v/>
      </c>
    </row>
    <row r="7758" spans="1:2" x14ac:dyDescent="0.25">
      <c r="A7758" t="str">
        <f>IF(C7758&amp;G7758&amp;D7758&lt;&gt;'Funnel setup'!$K$3&amp;'Funnel setup'!$K$4&amp;'Funnel setup'!$K$6,".",IF(A7757=".",1,A7757+1))</f>
        <v>.</v>
      </c>
      <c r="B7758" s="244" t="str">
        <f t="shared" si="121"/>
        <v/>
      </c>
    </row>
    <row r="7759" spans="1:2" x14ac:dyDescent="0.25">
      <c r="A7759" t="str">
        <f>IF(C7759&amp;G7759&amp;D7759&lt;&gt;'Funnel setup'!$K$3&amp;'Funnel setup'!$K$4&amp;'Funnel setup'!$K$6,".",IF(A7758=".",1,A7758+1))</f>
        <v>.</v>
      </c>
      <c r="B7759" s="244" t="str">
        <f t="shared" si="121"/>
        <v/>
      </c>
    </row>
    <row r="7760" spans="1:2" x14ac:dyDescent="0.25">
      <c r="A7760" t="str">
        <f>IF(C7760&amp;G7760&amp;D7760&lt;&gt;'Funnel setup'!$K$3&amp;'Funnel setup'!$K$4&amp;'Funnel setup'!$K$6,".",IF(A7759=".",1,A7759+1))</f>
        <v>.</v>
      </c>
      <c r="B7760" s="244" t="str">
        <f t="shared" si="121"/>
        <v/>
      </c>
    </row>
    <row r="7761" spans="1:2" x14ac:dyDescent="0.25">
      <c r="A7761" t="str">
        <f>IF(C7761&amp;G7761&amp;D7761&lt;&gt;'Funnel setup'!$K$3&amp;'Funnel setup'!$K$4&amp;'Funnel setup'!$K$6,".",IF(A7760=".",1,A7760+1))</f>
        <v>.</v>
      </c>
      <c r="B7761" s="244" t="str">
        <f t="shared" si="121"/>
        <v/>
      </c>
    </row>
    <row r="7762" spans="1:2" x14ac:dyDescent="0.25">
      <c r="A7762" t="str">
        <f>IF(C7762&amp;G7762&amp;D7762&lt;&gt;'Funnel setup'!$K$3&amp;'Funnel setup'!$K$4&amp;'Funnel setup'!$K$6,".",IF(A7761=".",1,A7761+1))</f>
        <v>.</v>
      </c>
      <c r="B7762" s="244" t="str">
        <f t="shared" si="121"/>
        <v/>
      </c>
    </row>
    <row r="7763" spans="1:2" x14ac:dyDescent="0.25">
      <c r="A7763" t="str">
        <f>IF(C7763&amp;G7763&amp;D7763&lt;&gt;'Funnel setup'!$K$3&amp;'Funnel setup'!$K$4&amp;'Funnel setup'!$K$6,".",IF(A7762=".",1,A7762+1))</f>
        <v>.</v>
      </c>
      <c r="B7763" s="244" t="str">
        <f t="shared" si="121"/>
        <v/>
      </c>
    </row>
    <row r="7764" spans="1:2" x14ac:dyDescent="0.25">
      <c r="A7764" t="str">
        <f>IF(C7764&amp;G7764&amp;D7764&lt;&gt;'Funnel setup'!$K$3&amp;'Funnel setup'!$K$4&amp;'Funnel setup'!$K$6,".",IF(A7763=".",1,A7763+1))</f>
        <v>.</v>
      </c>
      <c r="B7764" s="244" t="str">
        <f t="shared" si="121"/>
        <v/>
      </c>
    </row>
    <row r="7765" spans="1:2" x14ac:dyDescent="0.25">
      <c r="A7765" t="str">
        <f>IF(C7765&amp;G7765&amp;D7765&lt;&gt;'Funnel setup'!$K$3&amp;'Funnel setup'!$K$4&amp;'Funnel setup'!$K$6,".",IF(A7764=".",1,A7764+1))</f>
        <v>.</v>
      </c>
      <c r="B7765" s="244" t="str">
        <f t="shared" si="121"/>
        <v/>
      </c>
    </row>
    <row r="7766" spans="1:2" x14ac:dyDescent="0.25">
      <c r="A7766" t="str">
        <f>IF(C7766&amp;G7766&amp;D7766&lt;&gt;'Funnel setup'!$K$3&amp;'Funnel setup'!$K$4&amp;'Funnel setup'!$K$6,".",IF(A7765=".",1,A7765+1))</f>
        <v>.</v>
      </c>
      <c r="B7766" s="244" t="str">
        <f t="shared" si="121"/>
        <v/>
      </c>
    </row>
    <row r="7767" spans="1:2" x14ac:dyDescent="0.25">
      <c r="A7767" t="str">
        <f>IF(C7767&amp;G7767&amp;D7767&lt;&gt;'Funnel setup'!$K$3&amp;'Funnel setup'!$K$4&amp;'Funnel setup'!$K$6,".",IF(A7766=".",1,A7766+1))</f>
        <v>.</v>
      </c>
      <c r="B7767" s="244" t="str">
        <f t="shared" si="121"/>
        <v/>
      </c>
    </row>
    <row r="7768" spans="1:2" x14ac:dyDescent="0.25">
      <c r="A7768" t="str">
        <f>IF(C7768&amp;G7768&amp;D7768&lt;&gt;'Funnel setup'!$K$3&amp;'Funnel setup'!$K$4&amp;'Funnel setup'!$K$6,".",IF(A7767=".",1,A7767+1))</f>
        <v>.</v>
      </c>
      <c r="B7768" s="244" t="str">
        <f t="shared" si="121"/>
        <v/>
      </c>
    </row>
  </sheetData>
  <autoFilter ref="C1:Q7768" xr:uid="{00000000-0009-0000-0000-000002000000}"/>
  <conditionalFormatting sqref="A1:A1048576">
    <cfRule type="cellIs" dxfId="12" priority="7" operator="equal">
      <formula>"."</formula>
    </cfRule>
  </conditionalFormatting>
  <conditionalFormatting sqref="B1:B1048576">
    <cfRule type="cellIs" dxfId="11" priority="8" operator="notEqual">
      <formula>""</formula>
    </cfRule>
  </conditionalFormatting>
  <pageMargins left="0.75" right="0.75" top="1" bottom="1" header="0.5" footer="0.5"/>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34"/>
  </sheetPr>
  <dimension ref="A1:Q7768"/>
  <sheetViews>
    <sheetView zoomScale="85" workbookViewId="0">
      <pane ySplit="1" topLeftCell="A2" activePane="bottomLeft" state="frozen"/>
      <selection activeCell="F8" sqref="F8"/>
      <selection pane="bottomLeft" activeCell="F5254" sqref="F5254"/>
    </sheetView>
  </sheetViews>
  <sheetFormatPr defaultRowHeight="12.5" x14ac:dyDescent="0.25"/>
  <cols>
    <col min="1" max="1" width="10.81640625" customWidth="1"/>
    <col min="2" max="2" width="132.54296875" bestFit="1" customWidth="1"/>
  </cols>
  <sheetData>
    <row r="1" spans="1:17" ht="47.25" customHeight="1" x14ac:dyDescent="0.25">
      <c r="A1" s="13" t="s">
        <v>733</v>
      </c>
      <c r="B1" t="s">
        <v>734</v>
      </c>
      <c r="C1" t="s">
        <v>735</v>
      </c>
      <c r="D1" t="s">
        <v>736</v>
      </c>
      <c r="E1" t="s">
        <v>57</v>
      </c>
      <c r="F1" t="s">
        <v>737</v>
      </c>
      <c r="G1" t="s">
        <v>738</v>
      </c>
      <c r="H1" t="s">
        <v>739</v>
      </c>
      <c r="I1" t="s">
        <v>740</v>
      </c>
      <c r="J1" t="s">
        <v>741</v>
      </c>
      <c r="K1" t="s">
        <v>742</v>
      </c>
      <c r="L1" t="s">
        <v>743</v>
      </c>
      <c r="M1" t="s">
        <v>744</v>
      </c>
      <c r="N1" t="s">
        <v>745</v>
      </c>
      <c r="O1" t="s">
        <v>746</v>
      </c>
      <c r="P1" t="s">
        <v>747</v>
      </c>
      <c r="Q1" t="s">
        <v>748</v>
      </c>
    </row>
    <row r="2" spans="1:17" x14ac:dyDescent="0.25">
      <c r="A2" t="str">
        <f>IF(C2&amp;G2&amp;D2&lt;&gt;'Funnel setup'!$K$3&amp;'Funnel setup'!$K$4&amp;'Funnel setup'!$K$6,".",IF(A1=".",1,A1+1))</f>
        <v>.</v>
      </c>
      <c r="B2" s="244" t="str">
        <f t="shared" ref="B2:B65" si="0">C2&amp;D2&amp;F2&amp;G2</f>
        <v>Hip Replacement PrimarySub-ICB of GP PracticeNHS BATH AND NORTH EAST SOMERSET, SWINDON AND WILTSHIRE ICB - 92G (92G)EQ VAS</v>
      </c>
      <c r="C2" t="s">
        <v>749</v>
      </c>
      <c r="D2" t="s">
        <v>1021</v>
      </c>
      <c r="E2" t="s">
        <v>750</v>
      </c>
      <c r="F2" t="s">
        <v>751</v>
      </c>
      <c r="G2" t="s">
        <v>752</v>
      </c>
      <c r="H2">
        <v>237</v>
      </c>
      <c r="I2">
        <v>64</v>
      </c>
      <c r="J2">
        <v>78.746799999999993</v>
      </c>
      <c r="K2">
        <v>14.7468</v>
      </c>
      <c r="L2">
        <v>169</v>
      </c>
      <c r="M2">
        <v>14</v>
      </c>
      <c r="N2">
        <v>54</v>
      </c>
      <c r="O2">
        <v>75.879900000000006</v>
      </c>
      <c r="P2">
        <v>15.0687</v>
      </c>
      <c r="Q2">
        <v>15.323600000000001</v>
      </c>
    </row>
    <row r="3" spans="1:17" x14ac:dyDescent="0.25">
      <c r="A3" t="str">
        <f>IF(C3&amp;G3&amp;D3&lt;&gt;'Funnel setup'!$K$3&amp;'Funnel setup'!$K$4&amp;'Funnel setup'!$K$6,".",IF(A2=".",1,A2+1))</f>
        <v>.</v>
      </c>
      <c r="B3" s="244" t="str">
        <f t="shared" si="0"/>
        <v>Hip Replacement PrimarySub-ICB of GP PracticeNHS BEDFORDSHIRE, LUTON AND MILTON KEYNES ICB - M1J4Y (M1J4Y)EQ VAS</v>
      </c>
      <c r="C3" t="s">
        <v>749</v>
      </c>
      <c r="D3" t="s">
        <v>1021</v>
      </c>
      <c r="E3" t="s">
        <v>753</v>
      </c>
      <c r="F3" t="s">
        <v>754</v>
      </c>
      <c r="G3" t="s">
        <v>752</v>
      </c>
      <c r="H3">
        <v>210</v>
      </c>
      <c r="I3">
        <v>57.090499999999999</v>
      </c>
      <c r="J3">
        <v>73.604799999999997</v>
      </c>
      <c r="K3">
        <v>16.514299999999999</v>
      </c>
      <c r="L3">
        <v>150</v>
      </c>
      <c r="M3">
        <v>17</v>
      </c>
      <c r="N3">
        <v>43</v>
      </c>
      <c r="O3">
        <v>75.829400000000007</v>
      </c>
      <c r="P3">
        <v>15.0182</v>
      </c>
      <c r="Q3">
        <v>19.3065</v>
      </c>
    </row>
    <row r="4" spans="1:17" x14ac:dyDescent="0.25">
      <c r="A4" t="str">
        <f>IF(C4&amp;G4&amp;D4&lt;&gt;'Funnel setup'!$K$3&amp;'Funnel setup'!$K$4&amp;'Funnel setup'!$K$6,".",IF(A3=".",1,A3+1))</f>
        <v>.</v>
      </c>
      <c r="B4" s="244" t="str">
        <f t="shared" si="0"/>
        <v>Hip Replacement PrimarySub-ICB of GP PracticeNHS BIRMINGHAM AND SOLIHULL ICB - 15E (15E)EQ VAS</v>
      </c>
      <c r="C4" t="s">
        <v>749</v>
      </c>
      <c r="D4" t="s">
        <v>1021</v>
      </c>
      <c r="E4" t="s">
        <v>755</v>
      </c>
      <c r="F4" t="s">
        <v>756</v>
      </c>
      <c r="G4" t="s">
        <v>752</v>
      </c>
      <c r="H4">
        <v>344</v>
      </c>
      <c r="I4">
        <v>63.648299999999999</v>
      </c>
      <c r="J4">
        <v>75.805199999999999</v>
      </c>
      <c r="K4">
        <v>12.157</v>
      </c>
      <c r="L4">
        <v>234</v>
      </c>
      <c r="M4">
        <v>31</v>
      </c>
      <c r="N4">
        <v>79</v>
      </c>
      <c r="O4">
        <v>75.233900000000006</v>
      </c>
      <c r="P4">
        <v>14.422599999999999</v>
      </c>
      <c r="Q4">
        <v>17.9008</v>
      </c>
    </row>
    <row r="5" spans="1:17" x14ac:dyDescent="0.25">
      <c r="A5" t="str">
        <f>IF(C5&amp;G5&amp;D5&lt;&gt;'Funnel setup'!$K$3&amp;'Funnel setup'!$K$4&amp;'Funnel setup'!$K$6,".",IF(A4=".",1,A4+1))</f>
        <v>.</v>
      </c>
      <c r="B5" s="244" t="str">
        <f t="shared" si="0"/>
        <v>Hip Replacement PrimarySub-ICB of GP PracticeNHS BLACK COUNTRY ICB - D2P2L (D2P2L)EQ VAS</v>
      </c>
      <c r="C5" t="s">
        <v>749</v>
      </c>
      <c r="D5" t="s">
        <v>1021</v>
      </c>
      <c r="E5" t="s">
        <v>757</v>
      </c>
      <c r="F5" t="s">
        <v>758</v>
      </c>
      <c r="G5" t="s">
        <v>752</v>
      </c>
      <c r="H5">
        <v>247</v>
      </c>
      <c r="I5">
        <v>61.927100000000003</v>
      </c>
      <c r="J5">
        <v>74.728700000000003</v>
      </c>
      <c r="K5">
        <v>12.801600000000001</v>
      </c>
      <c r="L5">
        <v>176</v>
      </c>
      <c r="M5">
        <v>15</v>
      </c>
      <c r="N5">
        <v>56</v>
      </c>
      <c r="O5">
        <v>75.924400000000006</v>
      </c>
      <c r="P5">
        <v>15.113200000000001</v>
      </c>
      <c r="Q5">
        <v>16.418900000000001</v>
      </c>
    </row>
    <row r="6" spans="1:17" x14ac:dyDescent="0.25">
      <c r="A6" t="str">
        <f>IF(C6&amp;G6&amp;D6&lt;&gt;'Funnel setup'!$K$3&amp;'Funnel setup'!$K$4&amp;'Funnel setup'!$K$6,".",IF(A5=".",1,A5+1))</f>
        <v>.</v>
      </c>
      <c r="B6" s="244" t="str">
        <f t="shared" si="0"/>
        <v>Hip Replacement PrimarySub-ICB of GP PracticeNHS BRISTOL, NORTH SOMERSET AND SOUTH GLOUCESTERSHIRE ICB - 15C (15C)EQ VAS</v>
      </c>
      <c r="C6" t="s">
        <v>749</v>
      </c>
      <c r="D6" t="s">
        <v>1021</v>
      </c>
      <c r="E6" t="s">
        <v>759</v>
      </c>
      <c r="F6" t="s">
        <v>760</v>
      </c>
      <c r="G6" t="s">
        <v>752</v>
      </c>
      <c r="H6">
        <v>220</v>
      </c>
      <c r="I6">
        <v>61.063600000000001</v>
      </c>
      <c r="J6">
        <v>79.822699999999998</v>
      </c>
      <c r="K6">
        <v>18.7591</v>
      </c>
      <c r="L6">
        <v>166</v>
      </c>
      <c r="M6">
        <v>19</v>
      </c>
      <c r="N6">
        <v>35</v>
      </c>
      <c r="O6">
        <v>79.043899999999994</v>
      </c>
      <c r="P6">
        <v>18.232700000000001</v>
      </c>
      <c r="Q6">
        <v>15.86</v>
      </c>
    </row>
    <row r="7" spans="1:17" x14ac:dyDescent="0.25">
      <c r="A7" t="str">
        <f>IF(C7&amp;G7&amp;D7&lt;&gt;'Funnel setup'!$K$3&amp;'Funnel setup'!$K$4&amp;'Funnel setup'!$K$6,".",IF(A6=".",1,A6+1))</f>
        <v>.</v>
      </c>
      <c r="B7" s="244" t="str">
        <f t="shared" si="0"/>
        <v>Hip Replacement PrimarySub-ICB of GP PracticeNHS BUCKINGHAMSHIRE, OXFORDSHIRE AND BERKSHIRE WEST ICB - 10Q (10Q)EQ VAS</v>
      </c>
      <c r="C7" t="s">
        <v>749</v>
      </c>
      <c r="D7" t="s">
        <v>1021</v>
      </c>
      <c r="E7" t="s">
        <v>761</v>
      </c>
      <c r="F7" t="s">
        <v>762</v>
      </c>
      <c r="G7" t="s">
        <v>752</v>
      </c>
      <c r="H7">
        <v>330</v>
      </c>
      <c r="I7">
        <v>62.490900000000003</v>
      </c>
      <c r="J7">
        <v>76.048500000000004</v>
      </c>
      <c r="K7">
        <v>13.557600000000001</v>
      </c>
      <c r="L7">
        <v>233</v>
      </c>
      <c r="M7">
        <v>36</v>
      </c>
      <c r="N7">
        <v>61</v>
      </c>
      <c r="O7">
        <v>74.7286</v>
      </c>
      <c r="P7">
        <v>13.917299999999999</v>
      </c>
      <c r="Q7">
        <v>15.920500000000001</v>
      </c>
    </row>
    <row r="8" spans="1:17" x14ac:dyDescent="0.25">
      <c r="A8" t="str">
        <f>IF(C8&amp;G8&amp;D8&lt;&gt;'Funnel setup'!$K$3&amp;'Funnel setup'!$K$4&amp;'Funnel setup'!$K$6,".",IF(A7=".",1,A7+1))</f>
        <v>.</v>
      </c>
      <c r="B8" s="244" t="str">
        <f t="shared" si="0"/>
        <v>Hip Replacement PrimarySub-ICB of GP PracticeNHS BUCKINGHAMSHIRE, OXFORDSHIRE AND BERKSHIRE WEST ICB - 14Y (14Y)EQ VAS</v>
      </c>
      <c r="C8" t="s">
        <v>749</v>
      </c>
      <c r="D8" t="s">
        <v>1021</v>
      </c>
      <c r="E8" t="s">
        <v>763</v>
      </c>
      <c r="F8" t="s">
        <v>764</v>
      </c>
      <c r="G8" t="s">
        <v>752</v>
      </c>
      <c r="H8">
        <v>205</v>
      </c>
      <c r="I8">
        <v>62.453699999999998</v>
      </c>
      <c r="J8">
        <v>77.624399999999994</v>
      </c>
      <c r="K8">
        <v>15.1707</v>
      </c>
      <c r="L8">
        <v>150</v>
      </c>
      <c r="M8">
        <v>13</v>
      </c>
      <c r="N8">
        <v>42</v>
      </c>
      <c r="O8">
        <v>75.880099999999999</v>
      </c>
      <c r="P8">
        <v>15.0688</v>
      </c>
      <c r="Q8">
        <v>17.1431</v>
      </c>
    </row>
    <row r="9" spans="1:17" x14ac:dyDescent="0.25">
      <c r="A9" t="str">
        <f>IF(C9&amp;G9&amp;D9&lt;&gt;'Funnel setup'!$K$3&amp;'Funnel setup'!$K$4&amp;'Funnel setup'!$K$6,".",IF(A8=".",1,A8+1))</f>
        <v>.</v>
      </c>
      <c r="B9" s="244" t="str">
        <f t="shared" si="0"/>
        <v>Hip Replacement PrimarySub-ICB of GP PracticeNHS BUCKINGHAMSHIRE, OXFORDSHIRE AND BERKSHIRE WEST ICB - 15A (15A)EQ VAS</v>
      </c>
      <c r="C9" t="s">
        <v>749</v>
      </c>
      <c r="D9" t="s">
        <v>1021</v>
      </c>
      <c r="E9" t="s">
        <v>765</v>
      </c>
      <c r="F9" t="s">
        <v>766</v>
      </c>
      <c r="G9" t="s">
        <v>752</v>
      </c>
      <c r="H9">
        <v>62</v>
      </c>
      <c r="I9">
        <v>55.064500000000002</v>
      </c>
      <c r="J9">
        <v>77.774199999999993</v>
      </c>
      <c r="K9">
        <v>22.709700000000002</v>
      </c>
      <c r="L9">
        <v>50</v>
      </c>
      <c r="M9">
        <v>4</v>
      </c>
      <c r="N9">
        <v>8</v>
      </c>
      <c r="O9">
        <v>76.043599999999998</v>
      </c>
      <c r="P9">
        <v>15.2323</v>
      </c>
      <c r="Q9">
        <v>17.334099999999999</v>
      </c>
    </row>
    <row r="10" spans="1:17" x14ac:dyDescent="0.25">
      <c r="A10" t="str">
        <f>IF(C10&amp;G10&amp;D10&lt;&gt;'Funnel setup'!$K$3&amp;'Funnel setup'!$K$4&amp;'Funnel setup'!$K$6,".",IF(A9=".",1,A9+1))</f>
        <v>.</v>
      </c>
      <c r="B10" s="244" t="str">
        <f t="shared" si="0"/>
        <v>Hip Replacement PrimarySub-ICB of GP PracticeNHS CAMBRIDGESHIRE AND PETERBOROUGH ICB - 06H (06H)EQ VAS</v>
      </c>
      <c r="C10" t="s">
        <v>749</v>
      </c>
      <c r="D10" t="s">
        <v>1021</v>
      </c>
      <c r="E10" t="s">
        <v>767</v>
      </c>
      <c r="F10" t="s">
        <v>768</v>
      </c>
      <c r="G10" t="s">
        <v>752</v>
      </c>
      <c r="H10">
        <v>208</v>
      </c>
      <c r="I10">
        <v>58.350999999999999</v>
      </c>
      <c r="J10">
        <v>73.927899999999994</v>
      </c>
      <c r="K10">
        <v>15.5769</v>
      </c>
      <c r="L10">
        <v>139</v>
      </c>
      <c r="M10">
        <v>13</v>
      </c>
      <c r="N10">
        <v>56</v>
      </c>
      <c r="O10">
        <v>75.105000000000004</v>
      </c>
      <c r="P10">
        <v>14.293699999999999</v>
      </c>
      <c r="Q10">
        <v>18.1355</v>
      </c>
    </row>
    <row r="11" spans="1:17" x14ac:dyDescent="0.25">
      <c r="A11" t="str">
        <f>IF(C11&amp;G11&amp;D11&lt;&gt;'Funnel setup'!$K$3&amp;'Funnel setup'!$K$4&amp;'Funnel setup'!$K$6,".",IF(A10=".",1,A10+1))</f>
        <v>.</v>
      </c>
      <c r="B11" s="244" t="str">
        <f t="shared" si="0"/>
        <v>Hip Replacement PrimarySub-ICB of GP PracticeNHS CHESHIRE AND MERSEYSIDE ICB - 01F (01F)EQ VAS</v>
      </c>
      <c r="C11" t="s">
        <v>749</v>
      </c>
      <c r="D11" t="s">
        <v>1021</v>
      </c>
      <c r="E11" t="s">
        <v>769</v>
      </c>
      <c r="F11" t="s">
        <v>770</v>
      </c>
      <c r="G11" t="s">
        <v>752</v>
      </c>
      <c r="H11">
        <v>25</v>
      </c>
      <c r="I11">
        <v>54.44</v>
      </c>
      <c r="J11">
        <v>68.8</v>
      </c>
      <c r="K11">
        <v>14.36</v>
      </c>
      <c r="L11">
        <v>16</v>
      </c>
      <c r="M11">
        <v>3</v>
      </c>
      <c r="N11">
        <v>6</v>
      </c>
      <c r="O11" t="s">
        <v>127</v>
      </c>
      <c r="P11" t="s">
        <v>127</v>
      </c>
      <c r="Q11" t="s">
        <v>127</v>
      </c>
    </row>
    <row r="12" spans="1:17" x14ac:dyDescent="0.25">
      <c r="A12" t="str">
        <f>IF(C12&amp;G12&amp;D12&lt;&gt;'Funnel setup'!$K$3&amp;'Funnel setup'!$K$4&amp;'Funnel setup'!$K$6,".",IF(A11=".",1,A11+1))</f>
        <v>.</v>
      </c>
      <c r="B12" s="244" t="str">
        <f t="shared" si="0"/>
        <v>Hip Replacement PrimarySub-ICB of GP PracticeNHS CHESHIRE AND MERSEYSIDE ICB - 01J (01J)EQ VAS</v>
      </c>
      <c r="C12" t="s">
        <v>749</v>
      </c>
      <c r="D12" t="s">
        <v>1021</v>
      </c>
      <c r="E12" t="s">
        <v>771</v>
      </c>
      <c r="F12" t="s">
        <v>772</v>
      </c>
      <c r="G12" t="s">
        <v>752</v>
      </c>
      <c r="H12">
        <v>35</v>
      </c>
      <c r="I12">
        <v>51.7714</v>
      </c>
      <c r="J12">
        <v>79.714299999999994</v>
      </c>
      <c r="K12">
        <v>27.942900000000002</v>
      </c>
      <c r="L12">
        <v>30</v>
      </c>
      <c r="M12">
        <v>0</v>
      </c>
      <c r="N12">
        <v>5</v>
      </c>
      <c r="O12">
        <v>83.706299999999999</v>
      </c>
      <c r="P12">
        <v>22.895</v>
      </c>
      <c r="Q12">
        <v>13.466799999999999</v>
      </c>
    </row>
    <row r="13" spans="1:17" x14ac:dyDescent="0.25">
      <c r="A13" t="str">
        <f>IF(C13&amp;G13&amp;D13&lt;&gt;'Funnel setup'!$K$3&amp;'Funnel setup'!$K$4&amp;'Funnel setup'!$K$6,".",IF(A12=".",1,A12+1))</f>
        <v>.</v>
      </c>
      <c r="B13" s="244" t="str">
        <f t="shared" si="0"/>
        <v>Hip Replacement PrimarySub-ICB of GP PracticeNHS CHESHIRE AND MERSEYSIDE ICB - 01T (01T)EQ VAS</v>
      </c>
      <c r="C13" t="s">
        <v>749</v>
      </c>
      <c r="D13" t="s">
        <v>1021</v>
      </c>
      <c r="E13" t="s">
        <v>773</v>
      </c>
      <c r="F13" t="s">
        <v>774</v>
      </c>
      <c r="G13" t="s">
        <v>752</v>
      </c>
      <c r="H13">
        <v>41</v>
      </c>
      <c r="I13">
        <v>58.268300000000004</v>
      </c>
      <c r="J13">
        <v>75</v>
      </c>
      <c r="K13">
        <v>16.7317</v>
      </c>
      <c r="L13">
        <v>29</v>
      </c>
      <c r="M13">
        <v>5</v>
      </c>
      <c r="N13">
        <v>7</v>
      </c>
      <c r="O13">
        <v>75.644599999999997</v>
      </c>
      <c r="P13">
        <v>14.833299999999999</v>
      </c>
      <c r="Q13">
        <v>18.962800000000001</v>
      </c>
    </row>
    <row r="14" spans="1:17" x14ac:dyDescent="0.25">
      <c r="A14" t="str">
        <f>IF(C14&amp;G14&amp;D14&lt;&gt;'Funnel setup'!$K$3&amp;'Funnel setup'!$K$4&amp;'Funnel setup'!$K$6,".",IF(A13=".",1,A13+1))</f>
        <v>.</v>
      </c>
      <c r="B14" s="244" t="str">
        <f t="shared" si="0"/>
        <v>Hip Replacement PrimarySub-ICB of GP PracticeNHS CHESHIRE AND MERSEYSIDE ICB - 01V (01V)EQ VAS</v>
      </c>
      <c r="C14" t="s">
        <v>749</v>
      </c>
      <c r="D14" t="s">
        <v>1021</v>
      </c>
      <c r="E14" t="s">
        <v>775</v>
      </c>
      <c r="F14" t="s">
        <v>776</v>
      </c>
      <c r="G14" t="s">
        <v>752</v>
      </c>
      <c r="H14">
        <v>22</v>
      </c>
      <c r="I14">
        <v>58.045499999999997</v>
      </c>
      <c r="J14">
        <v>75.954499999999996</v>
      </c>
      <c r="K14">
        <v>17.909099999999999</v>
      </c>
      <c r="L14">
        <v>19</v>
      </c>
      <c r="M14">
        <v>1</v>
      </c>
      <c r="N14">
        <v>2</v>
      </c>
      <c r="O14" t="s">
        <v>127</v>
      </c>
      <c r="P14" t="s">
        <v>127</v>
      </c>
      <c r="Q14" t="s">
        <v>127</v>
      </c>
    </row>
    <row r="15" spans="1:17" x14ac:dyDescent="0.25">
      <c r="A15" t="str">
        <f>IF(C15&amp;G15&amp;D15&lt;&gt;'Funnel setup'!$K$3&amp;'Funnel setup'!$K$4&amp;'Funnel setup'!$K$6,".",IF(A14=".",1,A14+1))</f>
        <v>.</v>
      </c>
      <c r="B15" s="244" t="str">
        <f t="shared" si="0"/>
        <v>Hip Replacement PrimarySub-ICB of GP PracticeNHS CHESHIRE AND MERSEYSIDE ICB - 01X (01X)EQ VAS</v>
      </c>
      <c r="C15" t="s">
        <v>749</v>
      </c>
      <c r="D15" t="s">
        <v>1021</v>
      </c>
      <c r="E15" t="s">
        <v>777</v>
      </c>
      <c r="F15" t="s">
        <v>778</v>
      </c>
      <c r="G15" t="s">
        <v>752</v>
      </c>
      <c r="H15">
        <v>56</v>
      </c>
      <c r="I15">
        <v>57.839300000000001</v>
      </c>
      <c r="J15">
        <v>68.107100000000003</v>
      </c>
      <c r="K15">
        <v>10.267899999999999</v>
      </c>
      <c r="L15">
        <v>40</v>
      </c>
      <c r="M15">
        <v>2</v>
      </c>
      <c r="N15">
        <v>14</v>
      </c>
      <c r="O15">
        <v>70.748800000000003</v>
      </c>
      <c r="P15">
        <v>9.9375699999999991</v>
      </c>
      <c r="Q15">
        <v>19.056799999999999</v>
      </c>
    </row>
    <row r="16" spans="1:17" x14ac:dyDescent="0.25">
      <c r="A16" t="str">
        <f>IF(C16&amp;G16&amp;D16&lt;&gt;'Funnel setup'!$K$3&amp;'Funnel setup'!$K$4&amp;'Funnel setup'!$K$6,".",IF(A15=".",1,A15+1))</f>
        <v>.</v>
      </c>
      <c r="B16" s="244" t="str">
        <f t="shared" si="0"/>
        <v>Hip Replacement PrimarySub-ICB of GP PracticeNHS CHESHIRE AND MERSEYSIDE ICB - 02E (02E)EQ VAS</v>
      </c>
      <c r="C16" t="s">
        <v>749</v>
      </c>
      <c r="D16" t="s">
        <v>1021</v>
      </c>
      <c r="E16" t="s">
        <v>779</v>
      </c>
      <c r="F16" t="s">
        <v>780</v>
      </c>
      <c r="G16" t="s">
        <v>752</v>
      </c>
      <c r="H16">
        <v>29</v>
      </c>
      <c r="I16">
        <v>64.724100000000007</v>
      </c>
      <c r="J16">
        <v>76.379300000000001</v>
      </c>
      <c r="K16">
        <v>11.655200000000001</v>
      </c>
      <c r="L16">
        <v>20</v>
      </c>
      <c r="M16">
        <v>1</v>
      </c>
      <c r="N16">
        <v>8</v>
      </c>
      <c r="O16" t="s">
        <v>127</v>
      </c>
      <c r="P16" t="s">
        <v>127</v>
      </c>
      <c r="Q16" t="s">
        <v>127</v>
      </c>
    </row>
    <row r="17" spans="1:17" x14ac:dyDescent="0.25">
      <c r="A17" t="str">
        <f>IF(C17&amp;G17&amp;D17&lt;&gt;'Funnel setup'!$K$3&amp;'Funnel setup'!$K$4&amp;'Funnel setup'!$K$6,".",IF(A16=".",1,A16+1))</f>
        <v>.</v>
      </c>
      <c r="B17" s="244" t="str">
        <f t="shared" si="0"/>
        <v>Hip Replacement PrimarySub-ICB of GP PracticeNHS CHESHIRE AND MERSEYSIDE ICB - 12F (12F)EQ VAS</v>
      </c>
      <c r="C17" t="s">
        <v>749</v>
      </c>
      <c r="D17" t="s">
        <v>1021</v>
      </c>
      <c r="E17" t="s">
        <v>781</v>
      </c>
      <c r="F17" t="s">
        <v>782</v>
      </c>
      <c r="G17" t="s">
        <v>752</v>
      </c>
      <c r="H17">
        <v>88</v>
      </c>
      <c r="I17">
        <v>58.715899999999998</v>
      </c>
      <c r="J17">
        <v>74.9773</v>
      </c>
      <c r="K17">
        <v>16.261399999999998</v>
      </c>
      <c r="L17">
        <v>63</v>
      </c>
      <c r="M17">
        <v>7</v>
      </c>
      <c r="N17">
        <v>18</v>
      </c>
      <c r="O17">
        <v>75.822000000000003</v>
      </c>
      <c r="P17">
        <v>15.0107</v>
      </c>
      <c r="Q17">
        <v>15.9657</v>
      </c>
    </row>
    <row r="18" spans="1:17" x14ac:dyDescent="0.25">
      <c r="A18" t="str">
        <f>IF(C18&amp;G18&amp;D18&lt;&gt;'Funnel setup'!$K$3&amp;'Funnel setup'!$K$4&amp;'Funnel setup'!$K$6,".",IF(A17=".",1,A17+1))</f>
        <v>.</v>
      </c>
      <c r="B18" s="244" t="str">
        <f t="shared" si="0"/>
        <v>Hip Replacement PrimarySub-ICB of GP PracticeNHS CHESHIRE AND MERSEYSIDE ICB - 27D (27D)EQ VAS</v>
      </c>
      <c r="C18" t="s">
        <v>749</v>
      </c>
      <c r="D18" t="s">
        <v>1021</v>
      </c>
      <c r="E18" t="s">
        <v>783</v>
      </c>
      <c r="F18" t="s">
        <v>784</v>
      </c>
      <c r="G18" t="s">
        <v>752</v>
      </c>
      <c r="H18">
        <v>247</v>
      </c>
      <c r="I18">
        <v>60.862299999999998</v>
      </c>
      <c r="J18">
        <v>78.441299999999998</v>
      </c>
      <c r="K18">
        <v>17.578900000000001</v>
      </c>
      <c r="L18">
        <v>182</v>
      </c>
      <c r="M18">
        <v>16</v>
      </c>
      <c r="N18">
        <v>49</v>
      </c>
      <c r="O18">
        <v>77.861500000000007</v>
      </c>
      <c r="P18">
        <v>17.0502</v>
      </c>
      <c r="Q18">
        <v>15.855700000000001</v>
      </c>
    </row>
    <row r="19" spans="1:17" x14ac:dyDescent="0.25">
      <c r="A19" t="str">
        <f>IF(C19&amp;G19&amp;D19&lt;&gt;'Funnel setup'!$K$3&amp;'Funnel setup'!$K$4&amp;'Funnel setup'!$K$6,".",IF(A18=".",1,A18+1))</f>
        <v>.</v>
      </c>
      <c r="B19" s="244" t="str">
        <f t="shared" si="0"/>
        <v>Hip Replacement PrimarySub-ICB of GP PracticeNHS CHESHIRE AND MERSEYSIDE ICB - 99A (99A)EQ VAS</v>
      </c>
      <c r="C19" t="s">
        <v>749</v>
      </c>
      <c r="D19" t="s">
        <v>1021</v>
      </c>
      <c r="E19" t="s">
        <v>785</v>
      </c>
      <c r="F19" t="s">
        <v>786</v>
      </c>
      <c r="G19" t="s">
        <v>752</v>
      </c>
      <c r="H19">
        <v>74</v>
      </c>
      <c r="I19">
        <v>51.6892</v>
      </c>
      <c r="J19">
        <v>72.8108</v>
      </c>
      <c r="K19">
        <v>21.121600000000001</v>
      </c>
      <c r="L19">
        <v>55</v>
      </c>
      <c r="M19">
        <v>7</v>
      </c>
      <c r="N19">
        <v>12</v>
      </c>
      <c r="O19">
        <v>79.607500000000002</v>
      </c>
      <c r="P19">
        <v>18.796199999999999</v>
      </c>
      <c r="Q19">
        <v>15.9643</v>
      </c>
    </row>
    <row r="20" spans="1:17" x14ac:dyDescent="0.25">
      <c r="A20" t="str">
        <f>IF(C20&amp;G20&amp;D20&lt;&gt;'Funnel setup'!$K$3&amp;'Funnel setup'!$K$4&amp;'Funnel setup'!$K$6,".",IF(A19=".",1,A19+1))</f>
        <v>.</v>
      </c>
      <c r="B20" s="244" t="str">
        <f t="shared" si="0"/>
        <v>Hip Replacement PrimarySub-ICB of GP PracticeNHS CORNWALL AND THE ISLES OF SCILLY ICB - 11N (11N)EQ VAS</v>
      </c>
      <c r="C20" t="s">
        <v>749</v>
      </c>
      <c r="D20" t="s">
        <v>1021</v>
      </c>
      <c r="E20" t="s">
        <v>787</v>
      </c>
      <c r="F20" t="s">
        <v>788</v>
      </c>
      <c r="G20" t="s">
        <v>752</v>
      </c>
      <c r="H20">
        <v>146</v>
      </c>
      <c r="I20">
        <v>62.6233</v>
      </c>
      <c r="J20">
        <v>79.178100000000001</v>
      </c>
      <c r="K20">
        <v>16.5548</v>
      </c>
      <c r="L20">
        <v>110</v>
      </c>
      <c r="M20">
        <v>14</v>
      </c>
      <c r="N20">
        <v>22</v>
      </c>
      <c r="O20">
        <v>78.102099999999993</v>
      </c>
      <c r="P20">
        <v>17.290900000000001</v>
      </c>
      <c r="Q20">
        <v>16.1479</v>
      </c>
    </row>
    <row r="21" spans="1:17" x14ac:dyDescent="0.25">
      <c r="A21" t="str">
        <f>IF(C21&amp;G21&amp;D21&lt;&gt;'Funnel setup'!$K$3&amp;'Funnel setup'!$K$4&amp;'Funnel setup'!$K$6,".",IF(A20=".",1,A20+1))</f>
        <v>.</v>
      </c>
      <c r="B21" s="244" t="str">
        <f t="shared" si="0"/>
        <v>Hip Replacement PrimarySub-ICB of GP PracticeNHS COVENTRY AND WARWICKSHIRE ICB - B2M3M (B2M3M)EQ VAS</v>
      </c>
      <c r="C21" t="s">
        <v>749</v>
      </c>
      <c r="D21" t="s">
        <v>1021</v>
      </c>
      <c r="E21" t="s">
        <v>789</v>
      </c>
      <c r="F21" t="s">
        <v>790</v>
      </c>
      <c r="G21" t="s">
        <v>752</v>
      </c>
      <c r="H21">
        <v>250</v>
      </c>
      <c r="I21">
        <v>65.635999999999996</v>
      </c>
      <c r="J21">
        <v>79.183999999999997</v>
      </c>
      <c r="K21">
        <v>13.548</v>
      </c>
      <c r="L21">
        <v>169</v>
      </c>
      <c r="M21">
        <v>29</v>
      </c>
      <c r="N21">
        <v>52</v>
      </c>
      <c r="O21">
        <v>76.811999999999998</v>
      </c>
      <c r="P21">
        <v>16.000699999999998</v>
      </c>
      <c r="Q21">
        <v>14.5288</v>
      </c>
    </row>
    <row r="22" spans="1:17" x14ac:dyDescent="0.25">
      <c r="A22" t="str">
        <f>IF(C22&amp;G22&amp;D22&lt;&gt;'Funnel setup'!$K$3&amp;'Funnel setup'!$K$4&amp;'Funnel setup'!$K$6,".",IF(A21=".",1,A21+1))</f>
        <v>.</v>
      </c>
      <c r="B22" s="244" t="str">
        <f t="shared" si="0"/>
        <v>Hip Replacement PrimarySub-ICB of GP PracticeNHS DERBY AND DERBYSHIRE ICB - 15M (15M)EQ VAS</v>
      </c>
      <c r="C22" t="s">
        <v>749</v>
      </c>
      <c r="D22" t="s">
        <v>1021</v>
      </c>
      <c r="E22" t="s">
        <v>791</v>
      </c>
      <c r="F22" t="s">
        <v>792</v>
      </c>
      <c r="G22" t="s">
        <v>752</v>
      </c>
      <c r="H22">
        <v>431</v>
      </c>
      <c r="I22">
        <v>57.846899999999998</v>
      </c>
      <c r="J22">
        <v>74.719300000000004</v>
      </c>
      <c r="K22">
        <v>16.872399999999999</v>
      </c>
      <c r="L22">
        <v>299</v>
      </c>
      <c r="M22">
        <v>39</v>
      </c>
      <c r="N22">
        <v>93</v>
      </c>
      <c r="O22">
        <v>75.627799999999993</v>
      </c>
      <c r="P22">
        <v>14.816599999999999</v>
      </c>
      <c r="Q22">
        <v>16.797000000000001</v>
      </c>
    </row>
    <row r="23" spans="1:17" x14ac:dyDescent="0.25">
      <c r="A23" t="str">
        <f>IF(C23&amp;G23&amp;D23&lt;&gt;'Funnel setup'!$K$3&amp;'Funnel setup'!$K$4&amp;'Funnel setup'!$K$6,".",IF(A22=".",1,A22+1))</f>
        <v>.</v>
      </c>
      <c r="B23" s="244" t="str">
        <f t="shared" si="0"/>
        <v>Hip Replacement PrimarySub-ICB of GP PracticeNHS DEVON ICB - 15N (15N)EQ VAS</v>
      </c>
      <c r="C23" t="s">
        <v>749</v>
      </c>
      <c r="D23" t="s">
        <v>1021</v>
      </c>
      <c r="E23" t="s">
        <v>793</v>
      </c>
      <c r="F23" t="s">
        <v>794</v>
      </c>
      <c r="G23" t="s">
        <v>752</v>
      </c>
      <c r="H23">
        <v>338</v>
      </c>
      <c r="I23">
        <v>65.260400000000004</v>
      </c>
      <c r="J23">
        <v>76.245599999999996</v>
      </c>
      <c r="K23">
        <v>10.985200000000001</v>
      </c>
      <c r="L23">
        <v>228</v>
      </c>
      <c r="M23">
        <v>25</v>
      </c>
      <c r="N23">
        <v>85</v>
      </c>
      <c r="O23">
        <v>75.202600000000004</v>
      </c>
      <c r="P23">
        <v>14.391299999999999</v>
      </c>
      <c r="Q23">
        <v>15.8522</v>
      </c>
    </row>
    <row r="24" spans="1:17" x14ac:dyDescent="0.25">
      <c r="A24" t="str">
        <f>IF(C24&amp;G24&amp;D24&lt;&gt;'Funnel setup'!$K$3&amp;'Funnel setup'!$K$4&amp;'Funnel setup'!$K$6,".",IF(A23=".",1,A23+1))</f>
        <v>.</v>
      </c>
      <c r="B24" s="244" t="str">
        <f t="shared" si="0"/>
        <v>Hip Replacement PrimarySub-ICB of GP PracticeNHS DORSET ICB - 11J (11J)EQ VAS</v>
      </c>
      <c r="C24" t="s">
        <v>749</v>
      </c>
      <c r="D24" t="s">
        <v>1021</v>
      </c>
      <c r="E24" t="s">
        <v>795</v>
      </c>
      <c r="F24" t="s">
        <v>796</v>
      </c>
      <c r="G24" t="s">
        <v>752</v>
      </c>
      <c r="H24">
        <v>262</v>
      </c>
      <c r="I24">
        <v>64.396900000000002</v>
      </c>
      <c r="J24">
        <v>77.477099999999993</v>
      </c>
      <c r="K24">
        <v>13.0802</v>
      </c>
      <c r="L24">
        <v>191</v>
      </c>
      <c r="M24">
        <v>24</v>
      </c>
      <c r="N24">
        <v>47</v>
      </c>
      <c r="O24">
        <v>76.037599999999998</v>
      </c>
      <c r="P24">
        <v>15.2263</v>
      </c>
      <c r="Q24">
        <v>15.648400000000001</v>
      </c>
    </row>
    <row r="25" spans="1:17" x14ac:dyDescent="0.25">
      <c r="A25" t="str">
        <f>IF(C25&amp;G25&amp;D25&lt;&gt;'Funnel setup'!$K$3&amp;'Funnel setup'!$K$4&amp;'Funnel setup'!$K$6,".",IF(A24=".",1,A24+1))</f>
        <v>.</v>
      </c>
      <c r="B25" s="244" t="str">
        <f t="shared" si="0"/>
        <v>Hip Replacement PrimarySub-ICB of GP PracticeNHS FRIMLEY ICB - D4U1Y (D4U1Y)EQ VAS</v>
      </c>
      <c r="C25" t="s">
        <v>749</v>
      </c>
      <c r="D25" t="s">
        <v>1021</v>
      </c>
      <c r="E25" t="s">
        <v>797</v>
      </c>
      <c r="F25" t="s">
        <v>798</v>
      </c>
      <c r="G25" t="s">
        <v>752</v>
      </c>
      <c r="H25">
        <v>151</v>
      </c>
      <c r="I25">
        <v>61.523200000000003</v>
      </c>
      <c r="J25">
        <v>75.649000000000001</v>
      </c>
      <c r="K25">
        <v>14.1258</v>
      </c>
      <c r="L25">
        <v>108</v>
      </c>
      <c r="M25">
        <v>10</v>
      </c>
      <c r="N25">
        <v>33</v>
      </c>
      <c r="O25">
        <v>75.006100000000004</v>
      </c>
      <c r="P25">
        <v>14.194900000000001</v>
      </c>
      <c r="Q25">
        <v>16.3827</v>
      </c>
    </row>
    <row r="26" spans="1:17" x14ac:dyDescent="0.25">
      <c r="A26" t="str">
        <f>IF(C26&amp;G26&amp;D26&lt;&gt;'Funnel setup'!$K$3&amp;'Funnel setup'!$K$4&amp;'Funnel setup'!$K$6,".",IF(A25=".",1,A25+1))</f>
        <v>.</v>
      </c>
      <c r="B26" s="244" t="str">
        <f t="shared" si="0"/>
        <v>Hip Replacement PrimarySub-ICB of GP PracticeNHS GLOUCESTERSHIRE ICB - 11M (11M)EQ VAS</v>
      </c>
      <c r="C26" t="s">
        <v>749</v>
      </c>
      <c r="D26" t="s">
        <v>1021</v>
      </c>
      <c r="E26" t="s">
        <v>799</v>
      </c>
      <c r="F26" t="s">
        <v>800</v>
      </c>
      <c r="G26" t="s">
        <v>752</v>
      </c>
      <c r="H26">
        <v>154</v>
      </c>
      <c r="I26">
        <v>56.220799999999997</v>
      </c>
      <c r="J26">
        <v>76.720799999999997</v>
      </c>
      <c r="K26">
        <v>20.5</v>
      </c>
      <c r="L26">
        <v>118</v>
      </c>
      <c r="M26">
        <v>14</v>
      </c>
      <c r="N26">
        <v>22</v>
      </c>
      <c r="O26">
        <v>76.708399999999997</v>
      </c>
      <c r="P26">
        <v>15.8971</v>
      </c>
      <c r="Q26">
        <v>15.8279</v>
      </c>
    </row>
    <row r="27" spans="1:17" x14ac:dyDescent="0.25">
      <c r="A27" t="str">
        <f>IF(C27&amp;G27&amp;D27&lt;&gt;'Funnel setup'!$K$3&amp;'Funnel setup'!$K$4&amp;'Funnel setup'!$K$6,".",IF(A26=".",1,A26+1))</f>
        <v>.</v>
      </c>
      <c r="B27" s="244" t="str">
        <f t="shared" si="0"/>
        <v>Hip Replacement PrimarySub-ICB of GP PracticeNHS GREATER MANCHESTER ICB - 00T (00T)EQ VAS</v>
      </c>
      <c r="C27" t="s">
        <v>749</v>
      </c>
      <c r="D27" t="s">
        <v>1021</v>
      </c>
      <c r="E27" t="s">
        <v>801</v>
      </c>
      <c r="F27" t="s">
        <v>802</v>
      </c>
      <c r="G27" t="s">
        <v>752</v>
      </c>
      <c r="H27">
        <v>50</v>
      </c>
      <c r="I27">
        <v>65.260000000000005</v>
      </c>
      <c r="J27">
        <v>74.040000000000006</v>
      </c>
      <c r="K27">
        <v>8.7799999999999994</v>
      </c>
      <c r="L27">
        <v>35</v>
      </c>
      <c r="M27">
        <v>3</v>
      </c>
      <c r="N27">
        <v>12</v>
      </c>
      <c r="O27">
        <v>76.665099999999995</v>
      </c>
      <c r="P27">
        <v>15.8538</v>
      </c>
      <c r="Q27">
        <v>18.9682</v>
      </c>
    </row>
    <row r="28" spans="1:17" x14ac:dyDescent="0.25">
      <c r="A28" t="str">
        <f>IF(C28&amp;G28&amp;D28&lt;&gt;'Funnel setup'!$K$3&amp;'Funnel setup'!$K$4&amp;'Funnel setup'!$K$6,".",IF(A27=".",1,A27+1))</f>
        <v>.</v>
      </c>
      <c r="B28" s="244" t="str">
        <f t="shared" si="0"/>
        <v>Hip Replacement PrimarySub-ICB of GP PracticeNHS GREATER MANCHESTER ICB - 00V (00V)EQ VAS</v>
      </c>
      <c r="C28" t="s">
        <v>749</v>
      </c>
      <c r="D28" t="s">
        <v>1021</v>
      </c>
      <c r="E28" t="s">
        <v>803</v>
      </c>
      <c r="F28" t="s">
        <v>804</v>
      </c>
      <c r="G28" t="s">
        <v>752</v>
      </c>
      <c r="H28">
        <v>16</v>
      </c>
      <c r="I28">
        <v>63.5625</v>
      </c>
      <c r="J28">
        <v>73.5</v>
      </c>
      <c r="K28">
        <v>9.9375</v>
      </c>
      <c r="L28">
        <v>10</v>
      </c>
      <c r="M28">
        <v>2</v>
      </c>
      <c r="N28">
        <v>4</v>
      </c>
      <c r="O28" t="s">
        <v>127</v>
      </c>
      <c r="P28" t="s">
        <v>127</v>
      </c>
      <c r="Q28" t="s">
        <v>127</v>
      </c>
    </row>
    <row r="29" spans="1:17" x14ac:dyDescent="0.25">
      <c r="A29" t="str">
        <f>IF(C29&amp;G29&amp;D29&lt;&gt;'Funnel setup'!$K$3&amp;'Funnel setup'!$K$4&amp;'Funnel setup'!$K$6,".",IF(A28=".",1,A28+1))</f>
        <v>.</v>
      </c>
      <c r="B29" s="244" t="str">
        <f t="shared" si="0"/>
        <v>Hip Replacement PrimarySub-ICB of GP PracticeNHS GREATER MANCHESTER ICB - 00Y (00Y)EQ VAS</v>
      </c>
      <c r="C29" t="s">
        <v>749</v>
      </c>
      <c r="D29" t="s">
        <v>1021</v>
      </c>
      <c r="E29" t="s">
        <v>805</v>
      </c>
      <c r="F29" t="s">
        <v>806</v>
      </c>
      <c r="G29" t="s">
        <v>752</v>
      </c>
      <c r="H29">
        <v>66</v>
      </c>
      <c r="I29">
        <v>61.348500000000001</v>
      </c>
      <c r="J29">
        <v>78.909099999999995</v>
      </c>
      <c r="K29">
        <v>17.560600000000001</v>
      </c>
      <c r="L29">
        <v>53</v>
      </c>
      <c r="M29">
        <v>3</v>
      </c>
      <c r="N29">
        <v>10</v>
      </c>
      <c r="O29">
        <v>78.272900000000007</v>
      </c>
      <c r="P29">
        <v>17.461600000000001</v>
      </c>
      <c r="Q29">
        <v>15.1775</v>
      </c>
    </row>
    <row r="30" spans="1:17" x14ac:dyDescent="0.25">
      <c r="A30" t="str">
        <f>IF(C30&amp;G30&amp;D30&lt;&gt;'Funnel setup'!$K$3&amp;'Funnel setup'!$K$4&amp;'Funnel setup'!$K$6,".",IF(A29=".",1,A29+1))</f>
        <v>.</v>
      </c>
      <c r="B30" s="244" t="str">
        <f t="shared" si="0"/>
        <v>Hip Replacement PrimarySub-ICB of GP PracticeNHS GREATER MANCHESTER ICB - 01D (01D)EQ VAS</v>
      </c>
      <c r="C30" t="s">
        <v>749</v>
      </c>
      <c r="D30" t="s">
        <v>1021</v>
      </c>
      <c r="E30" t="s">
        <v>807</v>
      </c>
      <c r="F30" t="s">
        <v>808</v>
      </c>
      <c r="G30" t="s">
        <v>752</v>
      </c>
      <c r="H30">
        <v>17</v>
      </c>
      <c r="I30">
        <v>52.470599999999997</v>
      </c>
      <c r="J30">
        <v>73.882400000000004</v>
      </c>
      <c r="K30">
        <v>21.411799999999999</v>
      </c>
      <c r="L30">
        <v>13</v>
      </c>
      <c r="M30">
        <v>0</v>
      </c>
      <c r="N30">
        <v>4</v>
      </c>
      <c r="O30" t="s">
        <v>127</v>
      </c>
      <c r="P30" t="s">
        <v>127</v>
      </c>
      <c r="Q30" t="s">
        <v>127</v>
      </c>
    </row>
    <row r="31" spans="1:17" x14ac:dyDescent="0.25">
      <c r="A31" t="str">
        <f>IF(C31&amp;G31&amp;D31&lt;&gt;'Funnel setup'!$K$3&amp;'Funnel setup'!$K$4&amp;'Funnel setup'!$K$6,".",IF(A30=".",1,A30+1))</f>
        <v>.</v>
      </c>
      <c r="B31" s="244" t="str">
        <f t="shared" si="0"/>
        <v>Hip Replacement PrimarySub-ICB of GP PracticeNHS GREATER MANCHESTER ICB - 01G (01G)EQ VAS</v>
      </c>
      <c r="C31" t="s">
        <v>749</v>
      </c>
      <c r="D31" t="s">
        <v>1021</v>
      </c>
      <c r="E31" t="s">
        <v>809</v>
      </c>
      <c r="F31" t="s">
        <v>810</v>
      </c>
      <c r="G31" t="s">
        <v>752</v>
      </c>
      <c r="H31">
        <v>30</v>
      </c>
      <c r="I31">
        <v>61.566699999999997</v>
      </c>
      <c r="J31">
        <v>68.2333</v>
      </c>
      <c r="K31">
        <v>6.6666699999999999</v>
      </c>
      <c r="L31">
        <v>18</v>
      </c>
      <c r="M31">
        <v>4</v>
      </c>
      <c r="N31">
        <v>8</v>
      </c>
      <c r="O31">
        <v>69.4572</v>
      </c>
      <c r="P31">
        <v>8.6459799999999998</v>
      </c>
      <c r="Q31">
        <v>18.533999999999999</v>
      </c>
    </row>
    <row r="32" spans="1:17" x14ac:dyDescent="0.25">
      <c r="A32" t="str">
        <f>IF(C32&amp;G32&amp;D32&lt;&gt;'Funnel setup'!$K$3&amp;'Funnel setup'!$K$4&amp;'Funnel setup'!$K$6,".",IF(A31=".",1,A31+1))</f>
        <v>.</v>
      </c>
      <c r="B32" s="244" t="str">
        <f t="shared" si="0"/>
        <v>Hip Replacement PrimarySub-ICB of GP PracticeNHS GREATER MANCHESTER ICB - 01W (01W)EQ VAS</v>
      </c>
      <c r="C32" t="s">
        <v>749</v>
      </c>
      <c r="D32" t="s">
        <v>1021</v>
      </c>
      <c r="E32" t="s">
        <v>811</v>
      </c>
      <c r="F32" t="s">
        <v>812</v>
      </c>
      <c r="G32" t="s">
        <v>752</v>
      </c>
      <c r="H32">
        <v>71</v>
      </c>
      <c r="I32">
        <v>59.112699999999997</v>
      </c>
      <c r="J32">
        <v>73.915499999999994</v>
      </c>
      <c r="K32">
        <v>14.8028</v>
      </c>
      <c r="L32">
        <v>48</v>
      </c>
      <c r="M32">
        <v>9</v>
      </c>
      <c r="N32">
        <v>14</v>
      </c>
      <c r="O32">
        <v>74.961699999999993</v>
      </c>
      <c r="P32">
        <v>14.150499999999999</v>
      </c>
      <c r="Q32">
        <v>18.744499999999999</v>
      </c>
    </row>
    <row r="33" spans="1:17" x14ac:dyDescent="0.25">
      <c r="A33" t="str">
        <f>IF(C33&amp;G33&amp;D33&lt;&gt;'Funnel setup'!$K$3&amp;'Funnel setup'!$K$4&amp;'Funnel setup'!$K$6,".",IF(A32=".",1,A32+1))</f>
        <v>.</v>
      </c>
      <c r="B33" s="244" t="str">
        <f t="shared" si="0"/>
        <v>Hip Replacement PrimarySub-ICB of GP PracticeNHS GREATER MANCHESTER ICB - 01Y (01Y)EQ VAS</v>
      </c>
      <c r="C33" t="s">
        <v>749</v>
      </c>
      <c r="D33" t="s">
        <v>1021</v>
      </c>
      <c r="E33" t="s">
        <v>813</v>
      </c>
      <c r="F33" t="s">
        <v>814</v>
      </c>
      <c r="G33" t="s">
        <v>752</v>
      </c>
      <c r="H33">
        <v>33</v>
      </c>
      <c r="I33">
        <v>62.7879</v>
      </c>
      <c r="J33">
        <v>76.606099999999998</v>
      </c>
      <c r="K33">
        <v>13.818199999999999</v>
      </c>
      <c r="L33">
        <v>19</v>
      </c>
      <c r="M33">
        <v>3</v>
      </c>
      <c r="N33">
        <v>11</v>
      </c>
      <c r="O33">
        <v>74.753299999999996</v>
      </c>
      <c r="P33">
        <v>13.942</v>
      </c>
      <c r="Q33">
        <v>19.577500000000001</v>
      </c>
    </row>
    <row r="34" spans="1:17" x14ac:dyDescent="0.25">
      <c r="A34" t="str">
        <f>IF(C34&amp;G34&amp;D34&lt;&gt;'Funnel setup'!$K$3&amp;'Funnel setup'!$K$4&amp;'Funnel setup'!$K$6,".",IF(A33=".",1,A33+1))</f>
        <v>.</v>
      </c>
      <c r="B34" s="244" t="str">
        <f t="shared" si="0"/>
        <v>Hip Replacement PrimarySub-ICB of GP PracticeNHS GREATER MANCHESTER ICB - 02A (02A)EQ VAS</v>
      </c>
      <c r="C34" t="s">
        <v>749</v>
      </c>
      <c r="D34" t="s">
        <v>1021</v>
      </c>
      <c r="E34" t="s">
        <v>815</v>
      </c>
      <c r="F34" t="s">
        <v>816</v>
      </c>
      <c r="G34" t="s">
        <v>752</v>
      </c>
      <c r="H34">
        <v>71</v>
      </c>
      <c r="I34">
        <v>55.816899999999997</v>
      </c>
      <c r="J34">
        <v>71.605599999999995</v>
      </c>
      <c r="K34">
        <v>15.7887</v>
      </c>
      <c r="L34">
        <v>51</v>
      </c>
      <c r="M34">
        <v>2</v>
      </c>
      <c r="N34">
        <v>18</v>
      </c>
      <c r="O34">
        <v>72.437799999999996</v>
      </c>
      <c r="P34">
        <v>11.6265</v>
      </c>
      <c r="Q34">
        <v>16.216000000000001</v>
      </c>
    </row>
    <row r="35" spans="1:17" x14ac:dyDescent="0.25">
      <c r="A35" t="str">
        <f>IF(C35&amp;G35&amp;D35&lt;&gt;'Funnel setup'!$K$3&amp;'Funnel setup'!$K$4&amp;'Funnel setup'!$K$6,".",IF(A34=".",1,A34+1))</f>
        <v>.</v>
      </c>
      <c r="B35" s="244" t="str">
        <f t="shared" si="0"/>
        <v>Hip Replacement PrimarySub-ICB of GP PracticeNHS GREATER MANCHESTER ICB - 02H (02H)EQ VAS</v>
      </c>
      <c r="C35" t="s">
        <v>749</v>
      </c>
      <c r="D35" t="s">
        <v>1021</v>
      </c>
      <c r="E35" t="s">
        <v>817</v>
      </c>
      <c r="F35" t="s">
        <v>818</v>
      </c>
      <c r="G35" t="s">
        <v>752</v>
      </c>
      <c r="H35">
        <v>22</v>
      </c>
      <c r="I35">
        <v>60.409100000000002</v>
      </c>
      <c r="J35">
        <v>74.363600000000005</v>
      </c>
      <c r="K35">
        <v>13.954499999999999</v>
      </c>
      <c r="L35">
        <v>14</v>
      </c>
      <c r="M35">
        <v>0</v>
      </c>
      <c r="N35">
        <v>8</v>
      </c>
      <c r="O35" t="s">
        <v>127</v>
      </c>
      <c r="P35" t="s">
        <v>127</v>
      </c>
      <c r="Q35" t="s">
        <v>127</v>
      </c>
    </row>
    <row r="36" spans="1:17" x14ac:dyDescent="0.25">
      <c r="A36" t="str">
        <f>IF(C36&amp;G36&amp;D36&lt;&gt;'Funnel setup'!$K$3&amp;'Funnel setup'!$K$4&amp;'Funnel setup'!$K$6,".",IF(A35=".",1,A35+1))</f>
        <v>.</v>
      </c>
      <c r="B36" s="244" t="str">
        <f t="shared" si="0"/>
        <v>Hip Replacement PrimarySub-ICB of GP PracticeNHS GREATER MANCHESTER ICB - 14L (14L)EQ VAS</v>
      </c>
      <c r="C36" t="s">
        <v>749</v>
      </c>
      <c r="D36" t="s">
        <v>1021</v>
      </c>
      <c r="E36" t="s">
        <v>819</v>
      </c>
      <c r="F36" t="s">
        <v>820</v>
      </c>
      <c r="G36" t="s">
        <v>752</v>
      </c>
      <c r="H36">
        <v>40</v>
      </c>
      <c r="I36">
        <v>60.95</v>
      </c>
      <c r="J36">
        <v>76.900000000000006</v>
      </c>
      <c r="K36">
        <v>15.95</v>
      </c>
      <c r="L36">
        <v>31</v>
      </c>
      <c r="M36">
        <v>3</v>
      </c>
      <c r="N36">
        <v>6</v>
      </c>
      <c r="O36">
        <v>78.641900000000007</v>
      </c>
      <c r="P36">
        <v>17.8306</v>
      </c>
      <c r="Q36">
        <v>18.809699999999999</v>
      </c>
    </row>
    <row r="37" spans="1:17" x14ac:dyDescent="0.25">
      <c r="A37" t="str">
        <f>IF(C37&amp;G37&amp;D37&lt;&gt;'Funnel setup'!$K$3&amp;'Funnel setup'!$K$4&amp;'Funnel setup'!$K$6,".",IF(A36=".",1,A36+1))</f>
        <v>.</v>
      </c>
      <c r="B37" s="244" t="str">
        <f t="shared" si="0"/>
        <v>Hip Replacement PrimarySub-ICB of GP PracticeNHS HAMPSHIRE AND ISLE OF WIGHT ICB - 10R (10R)EQ VAS</v>
      </c>
      <c r="C37" t="s">
        <v>749</v>
      </c>
      <c r="D37" t="s">
        <v>1021</v>
      </c>
      <c r="E37" t="s">
        <v>821</v>
      </c>
      <c r="F37" t="s">
        <v>822</v>
      </c>
      <c r="G37" t="s">
        <v>752</v>
      </c>
      <c r="H37">
        <v>13</v>
      </c>
      <c r="I37">
        <v>57.461500000000001</v>
      </c>
      <c r="J37">
        <v>81.230800000000002</v>
      </c>
      <c r="K37">
        <v>23.769200000000001</v>
      </c>
      <c r="L37">
        <v>10</v>
      </c>
      <c r="M37">
        <v>1</v>
      </c>
      <c r="N37">
        <v>2</v>
      </c>
      <c r="O37" t="s">
        <v>127</v>
      </c>
      <c r="P37" t="s">
        <v>127</v>
      </c>
      <c r="Q37" t="s">
        <v>127</v>
      </c>
    </row>
    <row r="38" spans="1:17" x14ac:dyDescent="0.25">
      <c r="A38" t="str">
        <f>IF(C38&amp;G38&amp;D38&lt;&gt;'Funnel setup'!$K$3&amp;'Funnel setup'!$K$4&amp;'Funnel setup'!$K$6,".",IF(A37=".",1,A37+1))</f>
        <v>.</v>
      </c>
      <c r="B38" s="244" t="str">
        <f t="shared" si="0"/>
        <v>Hip Replacement PrimarySub-ICB of GP PracticeNHS HAMPSHIRE AND ISLE OF WIGHT ICB - D9Y0V (D9Y0V)EQ VAS</v>
      </c>
      <c r="C38" t="s">
        <v>749</v>
      </c>
      <c r="D38" t="s">
        <v>1021</v>
      </c>
      <c r="E38" t="s">
        <v>823</v>
      </c>
      <c r="F38" t="s">
        <v>824</v>
      </c>
      <c r="G38" t="s">
        <v>752</v>
      </c>
      <c r="H38">
        <v>385</v>
      </c>
      <c r="I38">
        <v>62.9636</v>
      </c>
      <c r="J38">
        <v>77.389600000000002</v>
      </c>
      <c r="K38">
        <v>14.426</v>
      </c>
      <c r="L38">
        <v>273</v>
      </c>
      <c r="M38">
        <v>33</v>
      </c>
      <c r="N38">
        <v>79</v>
      </c>
      <c r="O38">
        <v>76.199600000000004</v>
      </c>
      <c r="P38">
        <v>15.388400000000001</v>
      </c>
      <c r="Q38">
        <v>15.525499999999999</v>
      </c>
    </row>
    <row r="39" spans="1:17" x14ac:dyDescent="0.25">
      <c r="A39" t="str">
        <f>IF(C39&amp;G39&amp;D39&lt;&gt;'Funnel setup'!$K$3&amp;'Funnel setup'!$K$4&amp;'Funnel setup'!$K$6,".",IF(A38=".",1,A38+1))</f>
        <v>.</v>
      </c>
      <c r="B39" s="244" t="str">
        <f t="shared" si="0"/>
        <v>Hip Replacement PrimarySub-ICB of GP PracticeNHS HEREFORDSHIRE AND WORCESTERSHIRE ICB - 18C (18C)EQ VAS</v>
      </c>
      <c r="C39" t="s">
        <v>749</v>
      </c>
      <c r="D39" t="s">
        <v>1021</v>
      </c>
      <c r="E39" t="s">
        <v>825</v>
      </c>
      <c r="F39" t="s">
        <v>826</v>
      </c>
      <c r="G39" t="s">
        <v>752</v>
      </c>
      <c r="H39">
        <v>189</v>
      </c>
      <c r="I39">
        <v>58.608499999999999</v>
      </c>
      <c r="J39">
        <v>74.925899999999999</v>
      </c>
      <c r="K39">
        <v>16.317499999999999</v>
      </c>
      <c r="L39">
        <v>140</v>
      </c>
      <c r="M39">
        <v>19</v>
      </c>
      <c r="N39">
        <v>30</v>
      </c>
      <c r="O39">
        <v>76.123800000000003</v>
      </c>
      <c r="P39">
        <v>15.3125</v>
      </c>
      <c r="Q39">
        <v>17.387899999999998</v>
      </c>
    </row>
    <row r="40" spans="1:17" x14ac:dyDescent="0.25">
      <c r="A40" t="str">
        <f>IF(C40&amp;G40&amp;D40&lt;&gt;'Funnel setup'!$K$3&amp;'Funnel setup'!$K$4&amp;'Funnel setup'!$K$6,".",IF(A39=".",1,A39+1))</f>
        <v>.</v>
      </c>
      <c r="B40" s="244" t="str">
        <f t="shared" si="0"/>
        <v>Hip Replacement PrimarySub-ICB of GP PracticeNHS HERTFORDSHIRE AND WEST ESSEX ICB - 06K (06K)EQ VAS</v>
      </c>
      <c r="C40" t="s">
        <v>749</v>
      </c>
      <c r="D40" t="s">
        <v>1021</v>
      </c>
      <c r="E40" t="s">
        <v>827</v>
      </c>
      <c r="F40" t="s">
        <v>828</v>
      </c>
      <c r="G40" t="s">
        <v>752</v>
      </c>
      <c r="H40">
        <v>97</v>
      </c>
      <c r="I40">
        <v>61.659799999999997</v>
      </c>
      <c r="J40">
        <v>74.340199999999996</v>
      </c>
      <c r="K40">
        <v>12.680400000000001</v>
      </c>
      <c r="L40">
        <v>63</v>
      </c>
      <c r="M40">
        <v>10</v>
      </c>
      <c r="N40">
        <v>24</v>
      </c>
      <c r="O40">
        <v>73.776799999999994</v>
      </c>
      <c r="P40">
        <v>12.9656</v>
      </c>
      <c r="Q40">
        <v>18.254999999999999</v>
      </c>
    </row>
    <row r="41" spans="1:17" x14ac:dyDescent="0.25">
      <c r="A41" t="str">
        <f>IF(C41&amp;G41&amp;D41&lt;&gt;'Funnel setup'!$K$3&amp;'Funnel setup'!$K$4&amp;'Funnel setup'!$K$6,".",IF(A40=".",1,A40+1))</f>
        <v>.</v>
      </c>
      <c r="B41" s="244" t="str">
        <f t="shared" si="0"/>
        <v>Hip Replacement PrimarySub-ICB of GP PracticeNHS HERTFORDSHIRE AND WEST ESSEX ICB - 06N (06N)EQ VAS</v>
      </c>
      <c r="C41" t="s">
        <v>749</v>
      </c>
      <c r="D41" t="s">
        <v>1021</v>
      </c>
      <c r="E41" t="s">
        <v>829</v>
      </c>
      <c r="F41" t="s">
        <v>830</v>
      </c>
      <c r="G41" t="s">
        <v>752</v>
      </c>
      <c r="H41">
        <v>114</v>
      </c>
      <c r="I41">
        <v>60.157899999999998</v>
      </c>
      <c r="J41">
        <v>73.771900000000002</v>
      </c>
      <c r="K41">
        <v>13.614000000000001</v>
      </c>
      <c r="L41">
        <v>81</v>
      </c>
      <c r="M41">
        <v>7</v>
      </c>
      <c r="N41">
        <v>26</v>
      </c>
      <c r="O41">
        <v>73.369399999999999</v>
      </c>
      <c r="P41">
        <v>12.5581</v>
      </c>
      <c r="Q41">
        <v>18.5871</v>
      </c>
    </row>
    <row r="42" spans="1:17" x14ac:dyDescent="0.25">
      <c r="A42" t="str">
        <f>IF(C42&amp;G42&amp;D42&lt;&gt;'Funnel setup'!$K$3&amp;'Funnel setup'!$K$4&amp;'Funnel setup'!$K$6,".",IF(A41=".",1,A41+1))</f>
        <v>.</v>
      </c>
      <c r="B42" s="244" t="str">
        <f t="shared" si="0"/>
        <v>Hip Replacement PrimarySub-ICB of GP PracticeNHS HERTFORDSHIRE AND WEST ESSEX ICB - 07H (07H)EQ VAS</v>
      </c>
      <c r="C42" t="s">
        <v>749</v>
      </c>
      <c r="D42" t="s">
        <v>1021</v>
      </c>
      <c r="E42" t="s">
        <v>831</v>
      </c>
      <c r="F42" t="s">
        <v>832</v>
      </c>
      <c r="G42" t="s">
        <v>752</v>
      </c>
      <c r="H42">
        <v>69</v>
      </c>
      <c r="I42">
        <v>59.087000000000003</v>
      </c>
      <c r="J42">
        <v>76.101399999999998</v>
      </c>
      <c r="K42">
        <v>17.014500000000002</v>
      </c>
      <c r="L42">
        <v>50</v>
      </c>
      <c r="M42">
        <v>5</v>
      </c>
      <c r="N42">
        <v>14</v>
      </c>
      <c r="O42">
        <v>76.754499999999993</v>
      </c>
      <c r="P42">
        <v>15.943199999999999</v>
      </c>
      <c r="Q42">
        <v>17.188099999999999</v>
      </c>
    </row>
    <row r="43" spans="1:17" x14ac:dyDescent="0.25">
      <c r="A43" t="str">
        <f>IF(C43&amp;G43&amp;D43&lt;&gt;'Funnel setup'!$K$3&amp;'Funnel setup'!$K$4&amp;'Funnel setup'!$K$6,".",IF(A42=".",1,A42+1))</f>
        <v>.</v>
      </c>
      <c r="B43" s="244" t="str">
        <f t="shared" si="0"/>
        <v>Hip Replacement PrimarySub-ICB of GP PracticeNHS HUMBER AND NORTH YORKSHIRE ICB - 02Y (02Y)EQ VAS</v>
      </c>
      <c r="C43" t="s">
        <v>749</v>
      </c>
      <c r="D43" t="s">
        <v>1021</v>
      </c>
      <c r="E43" t="s">
        <v>833</v>
      </c>
      <c r="F43" t="s">
        <v>834</v>
      </c>
      <c r="G43" t="s">
        <v>752</v>
      </c>
      <c r="H43">
        <v>61</v>
      </c>
      <c r="I43">
        <v>66.3279</v>
      </c>
      <c r="J43">
        <v>76.737700000000004</v>
      </c>
      <c r="K43">
        <v>10.409800000000001</v>
      </c>
      <c r="L43">
        <v>43</v>
      </c>
      <c r="M43">
        <v>3</v>
      </c>
      <c r="N43">
        <v>15</v>
      </c>
      <c r="O43">
        <v>74.952399999999997</v>
      </c>
      <c r="P43">
        <v>14.1412</v>
      </c>
      <c r="Q43">
        <v>17.968900000000001</v>
      </c>
    </row>
    <row r="44" spans="1:17" x14ac:dyDescent="0.25">
      <c r="A44" t="str">
        <f>IF(C44&amp;G44&amp;D44&lt;&gt;'Funnel setup'!$K$3&amp;'Funnel setup'!$K$4&amp;'Funnel setup'!$K$6,".",IF(A43=".",1,A43+1))</f>
        <v>.</v>
      </c>
      <c r="B44" s="244" t="str">
        <f t="shared" si="0"/>
        <v>Hip Replacement PrimarySub-ICB of GP PracticeNHS HUMBER AND NORTH YORKSHIRE ICB - 03F (03F)EQ VAS</v>
      </c>
      <c r="C44" t="s">
        <v>749</v>
      </c>
      <c r="D44" t="s">
        <v>1021</v>
      </c>
      <c r="E44" t="s">
        <v>835</v>
      </c>
      <c r="F44" t="s">
        <v>836</v>
      </c>
      <c r="G44" t="s">
        <v>752</v>
      </c>
      <c r="H44">
        <v>24</v>
      </c>
      <c r="I44">
        <v>56.708300000000001</v>
      </c>
      <c r="J44">
        <v>67.375</v>
      </c>
      <c r="K44">
        <v>10.666700000000001</v>
      </c>
      <c r="L44">
        <v>16</v>
      </c>
      <c r="M44">
        <v>3</v>
      </c>
      <c r="N44">
        <v>5</v>
      </c>
      <c r="O44" t="s">
        <v>127</v>
      </c>
      <c r="P44" t="s">
        <v>127</v>
      </c>
      <c r="Q44" t="s">
        <v>127</v>
      </c>
    </row>
    <row r="45" spans="1:17" x14ac:dyDescent="0.25">
      <c r="A45" t="str">
        <f>IF(C45&amp;G45&amp;D45&lt;&gt;'Funnel setup'!$K$3&amp;'Funnel setup'!$K$4&amp;'Funnel setup'!$K$6,".",IF(A44=".",1,A44+1))</f>
        <v>.</v>
      </c>
      <c r="B45" s="244" t="str">
        <f t="shared" si="0"/>
        <v>Hip Replacement PrimarySub-ICB of GP PracticeNHS HUMBER AND NORTH YORKSHIRE ICB - 03H (03H)EQ VAS</v>
      </c>
      <c r="C45" t="s">
        <v>749</v>
      </c>
      <c r="D45" t="s">
        <v>1021</v>
      </c>
      <c r="E45" t="s">
        <v>837</v>
      </c>
      <c r="F45" t="s">
        <v>838</v>
      </c>
      <c r="G45" t="s">
        <v>752</v>
      </c>
      <c r="H45">
        <v>68</v>
      </c>
      <c r="I45">
        <v>60.691200000000002</v>
      </c>
      <c r="J45">
        <v>72.808800000000005</v>
      </c>
      <c r="K45">
        <v>12.117599999999999</v>
      </c>
      <c r="L45">
        <v>39</v>
      </c>
      <c r="M45">
        <v>8</v>
      </c>
      <c r="N45">
        <v>21</v>
      </c>
      <c r="O45">
        <v>73.281999999999996</v>
      </c>
      <c r="P45">
        <v>12.470700000000001</v>
      </c>
      <c r="Q45">
        <v>19.3919</v>
      </c>
    </row>
    <row r="46" spans="1:17" x14ac:dyDescent="0.25">
      <c r="A46" t="str">
        <f>IF(C46&amp;G46&amp;D46&lt;&gt;'Funnel setup'!$K$3&amp;'Funnel setup'!$K$4&amp;'Funnel setup'!$K$6,".",IF(A45=".",1,A45+1))</f>
        <v>.</v>
      </c>
      <c r="B46" s="244" t="str">
        <f t="shared" si="0"/>
        <v>Hip Replacement PrimarySub-ICB of GP PracticeNHS HUMBER AND NORTH YORKSHIRE ICB - 03K (03K)EQ VAS</v>
      </c>
      <c r="C46" t="s">
        <v>749</v>
      </c>
      <c r="D46" t="s">
        <v>1021</v>
      </c>
      <c r="E46" t="s">
        <v>839</v>
      </c>
      <c r="F46" t="s">
        <v>840</v>
      </c>
      <c r="G46" t="s">
        <v>752</v>
      </c>
      <c r="H46">
        <v>56</v>
      </c>
      <c r="I46">
        <v>61.428600000000003</v>
      </c>
      <c r="J46">
        <v>74.017899999999997</v>
      </c>
      <c r="K46">
        <v>12.5893</v>
      </c>
      <c r="L46">
        <v>39</v>
      </c>
      <c r="M46">
        <v>7</v>
      </c>
      <c r="N46">
        <v>10</v>
      </c>
      <c r="O46">
        <v>73.827100000000002</v>
      </c>
      <c r="P46">
        <v>13.0158</v>
      </c>
      <c r="Q46">
        <v>21.709099999999999</v>
      </c>
    </row>
    <row r="47" spans="1:17" x14ac:dyDescent="0.25">
      <c r="A47" t="str">
        <f>IF(C47&amp;G47&amp;D47&lt;&gt;'Funnel setup'!$K$3&amp;'Funnel setup'!$K$4&amp;'Funnel setup'!$K$6,".",IF(A46=".",1,A46+1))</f>
        <v>.</v>
      </c>
      <c r="B47" s="244" t="str">
        <f t="shared" si="0"/>
        <v>Hip Replacement PrimarySub-ICB of GP PracticeNHS HUMBER AND NORTH YORKSHIRE ICB - 03Q (03Q)EQ VAS</v>
      </c>
      <c r="C47" t="s">
        <v>749</v>
      </c>
      <c r="D47" t="s">
        <v>1021</v>
      </c>
      <c r="E47" t="s">
        <v>841</v>
      </c>
      <c r="F47" t="s">
        <v>842</v>
      </c>
      <c r="G47" t="s">
        <v>752</v>
      </c>
      <c r="H47">
        <v>75</v>
      </c>
      <c r="I47">
        <v>58.013300000000001</v>
      </c>
      <c r="J47">
        <v>75.426699999999997</v>
      </c>
      <c r="K47">
        <v>17.4133</v>
      </c>
      <c r="L47">
        <v>56</v>
      </c>
      <c r="M47">
        <v>3</v>
      </c>
      <c r="N47">
        <v>16</v>
      </c>
      <c r="O47">
        <v>74.655699999999996</v>
      </c>
      <c r="P47">
        <v>13.8444</v>
      </c>
      <c r="Q47">
        <v>18.914400000000001</v>
      </c>
    </row>
    <row r="48" spans="1:17" x14ac:dyDescent="0.25">
      <c r="A48" t="str">
        <f>IF(C48&amp;G48&amp;D48&lt;&gt;'Funnel setup'!$K$3&amp;'Funnel setup'!$K$4&amp;'Funnel setup'!$K$6,".",IF(A47=".",1,A47+1))</f>
        <v>.</v>
      </c>
      <c r="B48" s="244" t="str">
        <f t="shared" si="0"/>
        <v>Hip Replacement PrimarySub-ICB of GP PracticeNHS HUMBER AND NORTH YORKSHIRE ICB - 42D (42D)EQ VAS</v>
      </c>
      <c r="C48" t="s">
        <v>749</v>
      </c>
      <c r="D48" t="s">
        <v>1021</v>
      </c>
      <c r="E48" t="s">
        <v>843</v>
      </c>
      <c r="F48" t="s">
        <v>844</v>
      </c>
      <c r="G48" t="s">
        <v>752</v>
      </c>
      <c r="H48">
        <v>230</v>
      </c>
      <c r="I48">
        <v>62.639099999999999</v>
      </c>
      <c r="J48">
        <v>79.534800000000004</v>
      </c>
      <c r="K48">
        <v>16.895700000000001</v>
      </c>
      <c r="L48">
        <v>166</v>
      </c>
      <c r="M48">
        <v>15</v>
      </c>
      <c r="N48">
        <v>49</v>
      </c>
      <c r="O48">
        <v>79.786000000000001</v>
      </c>
      <c r="P48">
        <v>18.974799999999998</v>
      </c>
      <c r="Q48">
        <v>16.4084</v>
      </c>
    </row>
    <row r="49" spans="1:17" x14ac:dyDescent="0.25">
      <c r="A49" t="str">
        <f>IF(C49&amp;G49&amp;D49&lt;&gt;'Funnel setup'!$K$3&amp;'Funnel setup'!$K$4&amp;'Funnel setup'!$K$6,".",IF(A48=".",1,A48+1))</f>
        <v>.</v>
      </c>
      <c r="B49" s="244" t="str">
        <f t="shared" si="0"/>
        <v>Hip Replacement PrimarySub-ICB of GP PracticeNHS KENT AND MEDWAY ICB - 91Q (91Q)EQ VAS</v>
      </c>
      <c r="C49" t="s">
        <v>749</v>
      </c>
      <c r="D49" t="s">
        <v>1021</v>
      </c>
      <c r="E49" t="s">
        <v>845</v>
      </c>
      <c r="F49" t="s">
        <v>846</v>
      </c>
      <c r="G49" t="s">
        <v>752</v>
      </c>
      <c r="H49">
        <v>451</v>
      </c>
      <c r="I49">
        <v>63.0732</v>
      </c>
      <c r="J49">
        <v>75.924599999999998</v>
      </c>
      <c r="K49">
        <v>12.8514</v>
      </c>
      <c r="L49">
        <v>316</v>
      </c>
      <c r="M49">
        <v>33</v>
      </c>
      <c r="N49">
        <v>102</v>
      </c>
      <c r="O49">
        <v>75.147800000000004</v>
      </c>
      <c r="P49">
        <v>14.336499999999999</v>
      </c>
      <c r="Q49">
        <v>16.6479</v>
      </c>
    </row>
    <row r="50" spans="1:17" x14ac:dyDescent="0.25">
      <c r="A50" t="str">
        <f>IF(C50&amp;G50&amp;D50&lt;&gt;'Funnel setup'!$K$3&amp;'Funnel setup'!$K$4&amp;'Funnel setup'!$K$6,".",IF(A49=".",1,A49+1))</f>
        <v>.</v>
      </c>
      <c r="B50" s="244" t="str">
        <f t="shared" si="0"/>
        <v>Hip Replacement PrimarySub-ICB of GP PracticeNHS LANCASHIRE AND SOUTH CUMBRIA ICB - 00Q (00Q)EQ VAS</v>
      </c>
      <c r="C50" t="s">
        <v>749</v>
      </c>
      <c r="D50" t="s">
        <v>1021</v>
      </c>
      <c r="E50" t="s">
        <v>847</v>
      </c>
      <c r="F50" t="s">
        <v>848</v>
      </c>
      <c r="G50" t="s">
        <v>752</v>
      </c>
      <c r="H50">
        <v>37</v>
      </c>
      <c r="I50">
        <v>66.891900000000007</v>
      </c>
      <c r="J50">
        <v>75</v>
      </c>
      <c r="K50">
        <v>8.1081099999999999</v>
      </c>
      <c r="L50">
        <v>23</v>
      </c>
      <c r="M50">
        <v>3</v>
      </c>
      <c r="N50">
        <v>11</v>
      </c>
      <c r="O50">
        <v>75.319000000000003</v>
      </c>
      <c r="P50">
        <v>14.5078</v>
      </c>
      <c r="Q50">
        <v>14.224399999999999</v>
      </c>
    </row>
    <row r="51" spans="1:17" x14ac:dyDescent="0.25">
      <c r="A51" t="str">
        <f>IF(C51&amp;G51&amp;D51&lt;&gt;'Funnel setup'!$K$3&amp;'Funnel setup'!$K$4&amp;'Funnel setup'!$K$6,".",IF(A50=".",1,A50+1))</f>
        <v>.</v>
      </c>
      <c r="B51" s="244" t="str">
        <f t="shared" si="0"/>
        <v>Hip Replacement PrimarySub-ICB of GP PracticeNHS LANCASHIRE AND SOUTH CUMBRIA ICB - 00R (00R)EQ VAS</v>
      </c>
      <c r="C51" t="s">
        <v>749</v>
      </c>
      <c r="D51" t="s">
        <v>1021</v>
      </c>
      <c r="E51" t="s">
        <v>849</v>
      </c>
      <c r="F51" t="s">
        <v>850</v>
      </c>
      <c r="G51" t="s">
        <v>752</v>
      </c>
      <c r="H51">
        <v>33</v>
      </c>
      <c r="I51">
        <v>59.969700000000003</v>
      </c>
      <c r="J51">
        <v>75.484800000000007</v>
      </c>
      <c r="K51">
        <v>15.5152</v>
      </c>
      <c r="L51">
        <v>26</v>
      </c>
      <c r="M51">
        <v>1</v>
      </c>
      <c r="N51">
        <v>6</v>
      </c>
      <c r="O51">
        <v>76.772599999999997</v>
      </c>
      <c r="P51">
        <v>15.961399999999999</v>
      </c>
      <c r="Q51">
        <v>17.953600000000002</v>
      </c>
    </row>
    <row r="52" spans="1:17" x14ac:dyDescent="0.25">
      <c r="A52" t="str">
        <f>IF(C52&amp;G52&amp;D52&lt;&gt;'Funnel setup'!$K$3&amp;'Funnel setup'!$K$4&amp;'Funnel setup'!$K$6,".",IF(A51=".",1,A51+1))</f>
        <v>.</v>
      </c>
      <c r="B52" s="244" t="str">
        <f t="shared" si="0"/>
        <v>Hip Replacement PrimarySub-ICB of GP PracticeNHS LANCASHIRE AND SOUTH CUMBRIA ICB - 00X (00X)EQ VAS</v>
      </c>
      <c r="C52" t="s">
        <v>749</v>
      </c>
      <c r="D52" t="s">
        <v>1021</v>
      </c>
      <c r="E52" t="s">
        <v>851</v>
      </c>
      <c r="F52" t="s">
        <v>852</v>
      </c>
      <c r="G52" t="s">
        <v>752</v>
      </c>
      <c r="H52">
        <v>56</v>
      </c>
      <c r="I52">
        <v>61.5</v>
      </c>
      <c r="J52">
        <v>75.75</v>
      </c>
      <c r="K52">
        <v>14.25</v>
      </c>
      <c r="L52">
        <v>42</v>
      </c>
      <c r="M52">
        <v>6</v>
      </c>
      <c r="N52">
        <v>8</v>
      </c>
      <c r="O52">
        <v>76.386300000000006</v>
      </c>
      <c r="P52">
        <v>15.574999999999999</v>
      </c>
      <c r="Q52">
        <v>18.600100000000001</v>
      </c>
    </row>
    <row r="53" spans="1:17" x14ac:dyDescent="0.25">
      <c r="A53" t="str">
        <f>IF(C53&amp;G53&amp;D53&lt;&gt;'Funnel setup'!$K$3&amp;'Funnel setup'!$K$4&amp;'Funnel setup'!$K$6,".",IF(A52=".",1,A52+1))</f>
        <v>.</v>
      </c>
      <c r="B53" s="244" t="str">
        <f t="shared" si="0"/>
        <v>Hip Replacement PrimarySub-ICB of GP PracticeNHS LANCASHIRE AND SOUTH CUMBRIA ICB - 01A (01A)EQ VAS</v>
      </c>
      <c r="C53" t="s">
        <v>749</v>
      </c>
      <c r="D53" t="s">
        <v>1021</v>
      </c>
      <c r="E53" t="s">
        <v>853</v>
      </c>
      <c r="F53" t="s">
        <v>854</v>
      </c>
      <c r="G53" t="s">
        <v>752</v>
      </c>
      <c r="H53">
        <v>137</v>
      </c>
      <c r="I53">
        <v>60.6569</v>
      </c>
      <c r="J53">
        <v>76.810199999999995</v>
      </c>
      <c r="K53">
        <v>16.153300000000002</v>
      </c>
      <c r="L53">
        <v>88</v>
      </c>
      <c r="M53">
        <v>11</v>
      </c>
      <c r="N53">
        <v>38</v>
      </c>
      <c r="O53">
        <v>76.478099999999998</v>
      </c>
      <c r="P53">
        <v>15.6668</v>
      </c>
      <c r="Q53">
        <v>15.236700000000001</v>
      </c>
    </row>
    <row r="54" spans="1:17" x14ac:dyDescent="0.25">
      <c r="A54" t="str">
        <f>IF(C54&amp;G54&amp;D54&lt;&gt;'Funnel setup'!$K$3&amp;'Funnel setup'!$K$4&amp;'Funnel setup'!$K$6,".",IF(A53=".",1,A53+1))</f>
        <v>.</v>
      </c>
      <c r="B54" s="244" t="str">
        <f t="shared" si="0"/>
        <v>Hip Replacement PrimarySub-ICB of GP PracticeNHS LANCASHIRE AND SOUTH CUMBRIA ICB - 01E (01E)EQ VAS</v>
      </c>
      <c r="C54" t="s">
        <v>749</v>
      </c>
      <c r="D54" t="s">
        <v>1021</v>
      </c>
      <c r="E54" t="s">
        <v>855</v>
      </c>
      <c r="F54" t="s">
        <v>856</v>
      </c>
      <c r="G54" t="s">
        <v>752</v>
      </c>
      <c r="H54">
        <v>58</v>
      </c>
      <c r="I54">
        <v>71.103399999999993</v>
      </c>
      <c r="J54">
        <v>77.569000000000003</v>
      </c>
      <c r="K54">
        <v>6.4655199999999997</v>
      </c>
      <c r="L54">
        <v>38</v>
      </c>
      <c r="M54">
        <v>4</v>
      </c>
      <c r="N54">
        <v>16</v>
      </c>
      <c r="O54">
        <v>74.929000000000002</v>
      </c>
      <c r="P54">
        <v>14.117699999999999</v>
      </c>
      <c r="Q54">
        <v>13.5283</v>
      </c>
    </row>
    <row r="55" spans="1:17" x14ac:dyDescent="0.25">
      <c r="A55" t="str">
        <f>IF(C55&amp;G55&amp;D55&lt;&gt;'Funnel setup'!$K$3&amp;'Funnel setup'!$K$4&amp;'Funnel setup'!$K$6,".",IF(A54=".",1,A54+1))</f>
        <v>.</v>
      </c>
      <c r="B55" s="244" t="str">
        <f t="shared" si="0"/>
        <v>Hip Replacement PrimarySub-ICB of GP PracticeNHS LANCASHIRE AND SOUTH CUMBRIA ICB - 01K (01K)EQ VAS</v>
      </c>
      <c r="C55" t="s">
        <v>749</v>
      </c>
      <c r="D55" t="s">
        <v>1021</v>
      </c>
      <c r="E55" t="s">
        <v>857</v>
      </c>
      <c r="F55" t="s">
        <v>858</v>
      </c>
      <c r="G55" t="s">
        <v>752</v>
      </c>
      <c r="H55">
        <v>175</v>
      </c>
      <c r="I55">
        <v>60.177100000000003</v>
      </c>
      <c r="J55">
        <v>76.2286</v>
      </c>
      <c r="K55">
        <v>16.051400000000001</v>
      </c>
      <c r="L55">
        <v>125</v>
      </c>
      <c r="M55">
        <v>13</v>
      </c>
      <c r="N55">
        <v>37</v>
      </c>
      <c r="O55">
        <v>76.299300000000002</v>
      </c>
      <c r="P55">
        <v>15.488099999999999</v>
      </c>
      <c r="Q55">
        <v>15.4986</v>
      </c>
    </row>
    <row r="56" spans="1:17" x14ac:dyDescent="0.25">
      <c r="A56" t="str">
        <f>IF(C56&amp;G56&amp;D56&lt;&gt;'Funnel setup'!$K$3&amp;'Funnel setup'!$K$4&amp;'Funnel setup'!$K$6,".",IF(A55=".",1,A55+1))</f>
        <v>.</v>
      </c>
      <c r="B56" s="244" t="str">
        <f t="shared" si="0"/>
        <v>Hip Replacement PrimarySub-ICB of GP PracticeNHS LANCASHIRE AND SOUTH CUMBRIA ICB - 02G (02G)EQ VAS</v>
      </c>
      <c r="C56" t="s">
        <v>749</v>
      </c>
      <c r="D56" t="s">
        <v>1021</v>
      </c>
      <c r="E56" t="s">
        <v>859</v>
      </c>
      <c r="F56" t="s">
        <v>860</v>
      </c>
      <c r="G56" t="s">
        <v>752</v>
      </c>
      <c r="H56">
        <v>32</v>
      </c>
      <c r="I56">
        <v>66.281300000000002</v>
      </c>
      <c r="J56">
        <v>79.281300000000002</v>
      </c>
      <c r="K56">
        <v>13</v>
      </c>
      <c r="L56">
        <v>19</v>
      </c>
      <c r="M56">
        <v>7</v>
      </c>
      <c r="N56">
        <v>6</v>
      </c>
      <c r="O56">
        <v>75.669200000000004</v>
      </c>
      <c r="P56">
        <v>14.857900000000001</v>
      </c>
      <c r="Q56">
        <v>18.255500000000001</v>
      </c>
    </row>
    <row r="57" spans="1:17" x14ac:dyDescent="0.25">
      <c r="A57" t="str">
        <f>IF(C57&amp;G57&amp;D57&lt;&gt;'Funnel setup'!$K$3&amp;'Funnel setup'!$K$4&amp;'Funnel setup'!$K$6,".",IF(A56=".",1,A56+1))</f>
        <v>.</v>
      </c>
      <c r="B57" s="244" t="str">
        <f t="shared" si="0"/>
        <v>Hip Replacement PrimarySub-ICB of GP PracticeNHS LANCASHIRE AND SOUTH CUMBRIA ICB - 02M (02M)EQ VAS</v>
      </c>
      <c r="C57" t="s">
        <v>749</v>
      </c>
      <c r="D57" t="s">
        <v>1021</v>
      </c>
      <c r="E57" t="s">
        <v>861</v>
      </c>
      <c r="F57" t="s">
        <v>862</v>
      </c>
      <c r="G57" t="s">
        <v>752</v>
      </c>
      <c r="H57">
        <v>69</v>
      </c>
      <c r="I57">
        <v>67.753600000000006</v>
      </c>
      <c r="J57">
        <v>77.2029</v>
      </c>
      <c r="K57">
        <v>9.4492799999999999</v>
      </c>
      <c r="L57">
        <v>48</v>
      </c>
      <c r="M57">
        <v>5</v>
      </c>
      <c r="N57">
        <v>16</v>
      </c>
      <c r="O57">
        <v>75.603700000000003</v>
      </c>
      <c r="P57">
        <v>14.792400000000001</v>
      </c>
      <c r="Q57">
        <v>13.656000000000001</v>
      </c>
    </row>
    <row r="58" spans="1:17" x14ac:dyDescent="0.25">
      <c r="A58" t="str">
        <f>IF(C58&amp;G58&amp;D58&lt;&gt;'Funnel setup'!$K$3&amp;'Funnel setup'!$K$4&amp;'Funnel setup'!$K$6,".",IF(A57=".",1,A57+1))</f>
        <v>.</v>
      </c>
      <c r="B58" s="244" t="str">
        <f t="shared" si="0"/>
        <v>Hip Replacement PrimarySub-ICB of GP PracticeNHS LEICESTER, LEICESTERSHIRE AND RUTLAND ICB - 03W (03W)EQ VAS</v>
      </c>
      <c r="C58" t="s">
        <v>749</v>
      </c>
      <c r="D58" t="s">
        <v>1021</v>
      </c>
      <c r="E58" t="s">
        <v>863</v>
      </c>
      <c r="F58" t="s">
        <v>864</v>
      </c>
      <c r="G58" t="s">
        <v>752</v>
      </c>
      <c r="H58">
        <v>102</v>
      </c>
      <c r="I58">
        <v>61.980400000000003</v>
      </c>
      <c r="J58">
        <v>74.656899999999993</v>
      </c>
      <c r="K58">
        <v>12.676500000000001</v>
      </c>
      <c r="L58">
        <v>76</v>
      </c>
      <c r="M58">
        <v>5</v>
      </c>
      <c r="N58">
        <v>21</v>
      </c>
      <c r="O58">
        <v>73.066199999999995</v>
      </c>
      <c r="P58">
        <v>12.254899999999999</v>
      </c>
      <c r="Q58">
        <v>15.5351</v>
      </c>
    </row>
    <row r="59" spans="1:17" x14ac:dyDescent="0.25">
      <c r="A59" t="str">
        <f>IF(C59&amp;G59&amp;D59&lt;&gt;'Funnel setup'!$K$3&amp;'Funnel setup'!$K$4&amp;'Funnel setup'!$K$6,".",IF(A58=".",1,A58+1))</f>
        <v>.</v>
      </c>
      <c r="B59" s="244" t="str">
        <f t="shared" si="0"/>
        <v>Hip Replacement PrimarySub-ICB of GP PracticeNHS LEICESTER, LEICESTERSHIRE AND RUTLAND ICB - 04C (04C)EQ VAS</v>
      </c>
      <c r="C59" t="s">
        <v>749</v>
      </c>
      <c r="D59" t="s">
        <v>1021</v>
      </c>
      <c r="E59" t="s">
        <v>865</v>
      </c>
      <c r="F59" t="s">
        <v>866</v>
      </c>
      <c r="G59" t="s">
        <v>752</v>
      </c>
      <c r="H59">
        <v>37</v>
      </c>
      <c r="I59">
        <v>57.162199999999999</v>
      </c>
      <c r="J59">
        <v>69.945899999999995</v>
      </c>
      <c r="K59">
        <v>12.783799999999999</v>
      </c>
      <c r="L59">
        <v>25</v>
      </c>
      <c r="M59">
        <v>2</v>
      </c>
      <c r="N59">
        <v>10</v>
      </c>
      <c r="O59">
        <v>71.784099999999995</v>
      </c>
      <c r="P59">
        <v>10.972899999999999</v>
      </c>
      <c r="Q59">
        <v>16.2591</v>
      </c>
    </row>
    <row r="60" spans="1:17" x14ac:dyDescent="0.25">
      <c r="A60" t="str">
        <f>IF(C60&amp;G60&amp;D60&lt;&gt;'Funnel setup'!$K$3&amp;'Funnel setup'!$K$4&amp;'Funnel setup'!$K$6,".",IF(A59=".",1,A59+1))</f>
        <v>.</v>
      </c>
      <c r="B60" s="244" t="str">
        <f t="shared" si="0"/>
        <v>Hip Replacement PrimarySub-ICB of GP PracticeNHS LEICESTER, LEICESTERSHIRE AND RUTLAND ICB - 04V (04V)EQ VAS</v>
      </c>
      <c r="C60" t="s">
        <v>749</v>
      </c>
      <c r="D60" t="s">
        <v>1021</v>
      </c>
      <c r="E60" t="s">
        <v>867</v>
      </c>
      <c r="F60" t="s">
        <v>868</v>
      </c>
      <c r="G60" t="s">
        <v>752</v>
      </c>
      <c r="H60">
        <v>107</v>
      </c>
      <c r="I60">
        <v>57.345799999999997</v>
      </c>
      <c r="J60">
        <v>75.308400000000006</v>
      </c>
      <c r="K60">
        <v>17.962599999999998</v>
      </c>
      <c r="L60">
        <v>82</v>
      </c>
      <c r="M60">
        <v>7</v>
      </c>
      <c r="N60">
        <v>18</v>
      </c>
      <c r="O60">
        <v>76.234800000000007</v>
      </c>
      <c r="P60">
        <v>15.4236</v>
      </c>
      <c r="Q60">
        <v>15.095700000000001</v>
      </c>
    </row>
    <row r="61" spans="1:17" x14ac:dyDescent="0.25">
      <c r="A61" t="str">
        <f>IF(C61&amp;G61&amp;D61&lt;&gt;'Funnel setup'!$K$3&amp;'Funnel setup'!$K$4&amp;'Funnel setup'!$K$6,".",IF(A60=".",1,A60+1))</f>
        <v>.</v>
      </c>
      <c r="B61" s="244" t="str">
        <f t="shared" si="0"/>
        <v>Hip Replacement PrimarySub-ICB of GP PracticeNHS LINCOLNSHIRE ICB - 71E (71E)EQ VAS</v>
      </c>
      <c r="C61" t="s">
        <v>749</v>
      </c>
      <c r="D61" t="s">
        <v>1021</v>
      </c>
      <c r="E61" t="s">
        <v>869</v>
      </c>
      <c r="F61" t="s">
        <v>870</v>
      </c>
      <c r="G61" t="s">
        <v>752</v>
      </c>
      <c r="H61">
        <v>246</v>
      </c>
      <c r="I61">
        <v>62.650399999999998</v>
      </c>
      <c r="J61">
        <v>75.906499999999994</v>
      </c>
      <c r="K61">
        <v>13.2561</v>
      </c>
      <c r="L61">
        <v>167</v>
      </c>
      <c r="M61">
        <v>20</v>
      </c>
      <c r="N61">
        <v>59</v>
      </c>
      <c r="O61">
        <v>75.680999999999997</v>
      </c>
      <c r="P61">
        <v>14.8697</v>
      </c>
      <c r="Q61">
        <v>16.764099999999999</v>
      </c>
    </row>
    <row r="62" spans="1:17" x14ac:dyDescent="0.25">
      <c r="A62" t="str">
        <f>IF(C62&amp;G62&amp;D62&lt;&gt;'Funnel setup'!$K$3&amp;'Funnel setup'!$K$4&amp;'Funnel setup'!$K$6,".",IF(A61=".",1,A61+1))</f>
        <v>.</v>
      </c>
      <c r="B62" s="244" t="str">
        <f t="shared" si="0"/>
        <v>Hip Replacement PrimarySub-ICB of GP PracticeNHS MID AND SOUTH ESSEX ICB - 06Q (06Q)EQ VAS</v>
      </c>
      <c r="C62" t="s">
        <v>749</v>
      </c>
      <c r="D62" t="s">
        <v>1021</v>
      </c>
      <c r="E62" t="s">
        <v>871</v>
      </c>
      <c r="F62" t="s">
        <v>872</v>
      </c>
      <c r="G62" t="s">
        <v>752</v>
      </c>
      <c r="H62">
        <v>107</v>
      </c>
      <c r="I62">
        <v>61.401899999999998</v>
      </c>
      <c r="J62">
        <v>75.607500000000002</v>
      </c>
      <c r="K62">
        <v>14.2056</v>
      </c>
      <c r="L62">
        <v>71</v>
      </c>
      <c r="M62">
        <v>9</v>
      </c>
      <c r="N62">
        <v>27</v>
      </c>
      <c r="O62">
        <v>75.183499999999995</v>
      </c>
      <c r="P62">
        <v>14.372199999999999</v>
      </c>
      <c r="Q62">
        <v>18.430800000000001</v>
      </c>
    </row>
    <row r="63" spans="1:17" x14ac:dyDescent="0.25">
      <c r="A63" t="str">
        <f>IF(C63&amp;G63&amp;D63&lt;&gt;'Funnel setup'!$K$3&amp;'Funnel setup'!$K$4&amp;'Funnel setup'!$K$6,".",IF(A62=".",1,A62+1))</f>
        <v>.</v>
      </c>
      <c r="B63" s="244" t="str">
        <f t="shared" si="0"/>
        <v>Hip Replacement PrimarySub-ICB of GP PracticeNHS MID AND SOUTH ESSEX ICB - 07G (07G)EQ VAS</v>
      </c>
      <c r="C63" t="s">
        <v>749</v>
      </c>
      <c r="D63" t="s">
        <v>1021</v>
      </c>
      <c r="E63" t="s">
        <v>873</v>
      </c>
      <c r="F63" t="s">
        <v>874</v>
      </c>
      <c r="G63" t="s">
        <v>752</v>
      </c>
      <c r="H63">
        <v>30</v>
      </c>
      <c r="I63">
        <v>50</v>
      </c>
      <c r="J63">
        <v>77.900000000000006</v>
      </c>
      <c r="K63">
        <v>27.9</v>
      </c>
      <c r="L63">
        <v>23</v>
      </c>
      <c r="M63">
        <v>1</v>
      </c>
      <c r="N63">
        <v>6</v>
      </c>
      <c r="O63">
        <v>79.866600000000005</v>
      </c>
      <c r="P63">
        <v>19.055399999999999</v>
      </c>
      <c r="Q63">
        <v>12.9619</v>
      </c>
    </row>
    <row r="64" spans="1:17" ht="15" customHeight="1" x14ac:dyDescent="0.25">
      <c r="A64" t="str">
        <f>IF(C64&amp;G64&amp;D64&lt;&gt;'Funnel setup'!$K$3&amp;'Funnel setup'!$K$4&amp;'Funnel setup'!$K$6,".",IF(A63=".",1,A63+1))</f>
        <v>.</v>
      </c>
      <c r="B64" s="244" t="str">
        <f t="shared" si="0"/>
        <v>Hip Replacement PrimarySub-ICB of GP PracticeNHS MID AND SOUTH ESSEX ICB - 99E (99E)EQ VAS</v>
      </c>
      <c r="C64" t="s">
        <v>749</v>
      </c>
      <c r="D64" t="s">
        <v>1021</v>
      </c>
      <c r="E64" t="s">
        <v>875</v>
      </c>
      <c r="F64" t="s">
        <v>876</v>
      </c>
      <c r="G64" t="s">
        <v>752</v>
      </c>
      <c r="H64">
        <v>40</v>
      </c>
      <c r="I64">
        <v>50.25</v>
      </c>
      <c r="J64">
        <v>69.900000000000006</v>
      </c>
      <c r="K64">
        <v>19.649999999999999</v>
      </c>
      <c r="L64">
        <v>29</v>
      </c>
      <c r="M64">
        <v>5</v>
      </c>
      <c r="N64">
        <v>6</v>
      </c>
      <c r="O64">
        <v>73.848200000000006</v>
      </c>
      <c r="P64">
        <v>13.037000000000001</v>
      </c>
      <c r="Q64">
        <v>19.626799999999999</v>
      </c>
    </row>
    <row r="65" spans="1:17" ht="15" customHeight="1" x14ac:dyDescent="0.25">
      <c r="A65" t="str">
        <f>IF(C65&amp;G65&amp;D65&lt;&gt;'Funnel setup'!$K$3&amp;'Funnel setup'!$K$4&amp;'Funnel setup'!$K$6,".",IF(A64=".",1,A64+1))</f>
        <v>.</v>
      </c>
      <c r="B65" s="244" t="str">
        <f t="shared" si="0"/>
        <v>Hip Replacement PrimarySub-ICB of GP PracticeNHS MID AND SOUTH ESSEX ICB - 99F (99F)EQ VAS</v>
      </c>
      <c r="C65" t="s">
        <v>749</v>
      </c>
      <c r="D65" t="s">
        <v>1021</v>
      </c>
      <c r="E65" t="s">
        <v>877</v>
      </c>
      <c r="F65" t="s">
        <v>878</v>
      </c>
      <c r="G65" t="s">
        <v>752</v>
      </c>
      <c r="H65">
        <v>25</v>
      </c>
      <c r="I65">
        <v>64.84</v>
      </c>
      <c r="J65">
        <v>77.56</v>
      </c>
      <c r="K65">
        <v>12.72</v>
      </c>
      <c r="L65">
        <v>21</v>
      </c>
      <c r="M65">
        <v>0</v>
      </c>
      <c r="N65">
        <v>4</v>
      </c>
      <c r="O65" t="s">
        <v>127</v>
      </c>
      <c r="P65" t="s">
        <v>127</v>
      </c>
      <c r="Q65" t="s">
        <v>127</v>
      </c>
    </row>
    <row r="66" spans="1:17" ht="15" customHeight="1" x14ac:dyDescent="0.25">
      <c r="A66" t="str">
        <f>IF(C66&amp;G66&amp;D66&lt;&gt;'Funnel setup'!$K$3&amp;'Funnel setup'!$K$4&amp;'Funnel setup'!$K$6,".",IF(A65=".",1,A65+1))</f>
        <v>.</v>
      </c>
      <c r="B66" s="244" t="str">
        <f t="shared" ref="B66:B129" si="1">C66&amp;D66&amp;F66&amp;G66</f>
        <v>Hip Replacement PrimarySub-ICB of GP PracticeNHS MID AND SOUTH ESSEX ICB - 99G (99G)EQ VAS</v>
      </c>
      <c r="C66" t="s">
        <v>749</v>
      </c>
      <c r="D66" t="s">
        <v>1021</v>
      </c>
      <c r="E66" t="s">
        <v>879</v>
      </c>
      <c r="F66" t="s">
        <v>880</v>
      </c>
      <c r="G66" t="s">
        <v>752</v>
      </c>
      <c r="H66">
        <v>11</v>
      </c>
      <c r="I66">
        <v>52.545499999999997</v>
      </c>
      <c r="J66">
        <v>68.363600000000005</v>
      </c>
      <c r="K66">
        <v>15.818199999999999</v>
      </c>
      <c r="L66">
        <v>9</v>
      </c>
      <c r="M66">
        <v>1</v>
      </c>
      <c r="N66">
        <v>1</v>
      </c>
      <c r="O66" t="s">
        <v>127</v>
      </c>
      <c r="P66" t="s">
        <v>127</v>
      </c>
      <c r="Q66" t="s">
        <v>127</v>
      </c>
    </row>
    <row r="67" spans="1:17" ht="15" customHeight="1" x14ac:dyDescent="0.25">
      <c r="A67" t="str">
        <f>IF(C67&amp;G67&amp;D67&lt;&gt;'Funnel setup'!$K$3&amp;'Funnel setup'!$K$4&amp;'Funnel setup'!$K$6,".",IF(A66=".",1,A66+1))</f>
        <v>.</v>
      </c>
      <c r="B67" s="244" t="str">
        <f t="shared" si="1"/>
        <v>Hip Replacement PrimarySub-ICB of GP PracticeNHS NORFOLK AND WAVENEY ICB - 26A (26A)EQ VAS</v>
      </c>
      <c r="C67" t="s">
        <v>749</v>
      </c>
      <c r="D67" t="s">
        <v>1021</v>
      </c>
      <c r="E67" t="s">
        <v>881</v>
      </c>
      <c r="F67" t="s">
        <v>882</v>
      </c>
      <c r="G67" t="s">
        <v>752</v>
      </c>
      <c r="H67">
        <v>340</v>
      </c>
      <c r="I67">
        <v>57.908799999999999</v>
      </c>
      <c r="J67">
        <v>74.755899999999997</v>
      </c>
      <c r="K67">
        <v>16.847100000000001</v>
      </c>
      <c r="L67">
        <v>239</v>
      </c>
      <c r="M67">
        <v>23</v>
      </c>
      <c r="N67">
        <v>78</v>
      </c>
      <c r="O67">
        <v>76.2102</v>
      </c>
      <c r="P67">
        <v>15.398999999999999</v>
      </c>
      <c r="Q67">
        <v>17.6187</v>
      </c>
    </row>
    <row r="68" spans="1:17" ht="15" customHeight="1" x14ac:dyDescent="0.25">
      <c r="A68" t="str">
        <f>IF(C68&amp;G68&amp;D68&lt;&gt;'Funnel setup'!$K$3&amp;'Funnel setup'!$K$4&amp;'Funnel setup'!$K$6,".",IF(A67=".",1,A67+1))</f>
        <v>.</v>
      </c>
      <c r="B68" s="244" t="str">
        <f t="shared" si="1"/>
        <v>Hip Replacement PrimarySub-ICB of GP PracticeNHS NORTH CENTRAL LONDON ICB - 93C (93C)EQ VAS</v>
      </c>
      <c r="C68" t="s">
        <v>749</v>
      </c>
      <c r="D68" t="s">
        <v>1021</v>
      </c>
      <c r="E68" t="s">
        <v>883</v>
      </c>
      <c r="F68" t="s">
        <v>884</v>
      </c>
      <c r="G68" t="s">
        <v>752</v>
      </c>
      <c r="H68">
        <v>126</v>
      </c>
      <c r="I68">
        <v>60.8095</v>
      </c>
      <c r="J68">
        <v>73.849199999999996</v>
      </c>
      <c r="K68">
        <v>13.0397</v>
      </c>
      <c r="L68">
        <v>87</v>
      </c>
      <c r="M68">
        <v>12</v>
      </c>
      <c r="N68">
        <v>27</v>
      </c>
      <c r="O68">
        <v>74.220699999999994</v>
      </c>
      <c r="P68">
        <v>13.4095</v>
      </c>
      <c r="Q68">
        <v>16.937000000000001</v>
      </c>
    </row>
    <row r="69" spans="1:17" ht="15" customHeight="1" x14ac:dyDescent="0.25">
      <c r="A69" t="str">
        <f>IF(C69&amp;G69&amp;D69&lt;&gt;'Funnel setup'!$K$3&amp;'Funnel setup'!$K$4&amp;'Funnel setup'!$K$6,".",IF(A68=".",1,A68+1))</f>
        <v>.</v>
      </c>
      <c r="B69" s="244" t="str">
        <f t="shared" si="1"/>
        <v>Hip Replacement PrimarySub-ICB of GP PracticeNHS NORTH EAST AND NORTH CUMBRIA ICB - 00L (00L)EQ VAS</v>
      </c>
      <c r="C69" t="s">
        <v>749</v>
      </c>
      <c r="D69" t="s">
        <v>1021</v>
      </c>
      <c r="E69" t="s">
        <v>885</v>
      </c>
      <c r="F69" t="s">
        <v>886</v>
      </c>
      <c r="G69" t="s">
        <v>752</v>
      </c>
      <c r="H69">
        <v>139</v>
      </c>
      <c r="I69">
        <v>56.7194</v>
      </c>
      <c r="J69">
        <v>73.381299999999996</v>
      </c>
      <c r="K69">
        <v>16.661899999999999</v>
      </c>
      <c r="L69">
        <v>102</v>
      </c>
      <c r="M69">
        <v>7</v>
      </c>
      <c r="N69">
        <v>30</v>
      </c>
      <c r="O69">
        <v>74.849500000000006</v>
      </c>
      <c r="P69">
        <v>14.0382</v>
      </c>
      <c r="Q69">
        <v>18.132100000000001</v>
      </c>
    </row>
    <row r="70" spans="1:17" ht="15" customHeight="1" x14ac:dyDescent="0.25">
      <c r="A70" t="str">
        <f>IF(C70&amp;G70&amp;D70&lt;&gt;'Funnel setup'!$K$3&amp;'Funnel setup'!$K$4&amp;'Funnel setup'!$K$6,".",IF(A69=".",1,A69+1))</f>
        <v>.</v>
      </c>
      <c r="B70" s="244" t="str">
        <f t="shared" si="1"/>
        <v>Hip Replacement PrimarySub-ICB of GP PracticeNHS NORTH EAST AND NORTH CUMBRIA ICB - 00N (00N)EQ VAS</v>
      </c>
      <c r="C70" t="s">
        <v>749</v>
      </c>
      <c r="D70" t="s">
        <v>1021</v>
      </c>
      <c r="E70" t="s">
        <v>887</v>
      </c>
      <c r="F70" t="s">
        <v>888</v>
      </c>
      <c r="G70" t="s">
        <v>752</v>
      </c>
      <c r="H70">
        <v>11</v>
      </c>
      <c r="I70">
        <v>60.090899999999998</v>
      </c>
      <c r="J70">
        <v>76.090900000000005</v>
      </c>
      <c r="K70">
        <v>16</v>
      </c>
      <c r="L70">
        <v>9</v>
      </c>
      <c r="M70">
        <v>0</v>
      </c>
      <c r="N70">
        <v>2</v>
      </c>
      <c r="O70" t="s">
        <v>127</v>
      </c>
      <c r="P70" t="s">
        <v>127</v>
      </c>
      <c r="Q70" t="s">
        <v>127</v>
      </c>
    </row>
    <row r="71" spans="1:17" ht="15" customHeight="1" x14ac:dyDescent="0.25">
      <c r="A71" t="str">
        <f>IF(C71&amp;G71&amp;D71&lt;&gt;'Funnel setup'!$K$3&amp;'Funnel setup'!$K$4&amp;'Funnel setup'!$K$6,".",IF(A70=".",1,A70+1))</f>
        <v>.</v>
      </c>
      <c r="B71" s="244" t="str">
        <f t="shared" si="1"/>
        <v>Hip Replacement PrimarySub-ICB of GP PracticeNHS NORTH EAST AND NORTH CUMBRIA ICB - 00P (00P)EQ VAS</v>
      </c>
      <c r="C71" t="s">
        <v>749</v>
      </c>
      <c r="D71" t="s">
        <v>1021</v>
      </c>
      <c r="E71" t="s">
        <v>889</v>
      </c>
      <c r="F71" t="s">
        <v>890</v>
      </c>
      <c r="G71" t="s">
        <v>752</v>
      </c>
      <c r="H71">
        <v>30</v>
      </c>
      <c r="I71">
        <v>52</v>
      </c>
      <c r="J71">
        <v>66.2667</v>
      </c>
      <c r="K71">
        <v>14.2667</v>
      </c>
      <c r="L71">
        <v>21</v>
      </c>
      <c r="M71">
        <v>3</v>
      </c>
      <c r="N71">
        <v>6</v>
      </c>
      <c r="O71">
        <v>70.808700000000002</v>
      </c>
      <c r="P71">
        <v>9.9974600000000002</v>
      </c>
      <c r="Q71">
        <v>16.2544</v>
      </c>
    </row>
    <row r="72" spans="1:17" ht="15" customHeight="1" x14ac:dyDescent="0.25">
      <c r="A72" t="str">
        <f>IF(C72&amp;G72&amp;D72&lt;&gt;'Funnel setup'!$K$3&amp;'Funnel setup'!$K$4&amp;'Funnel setup'!$K$6,".",IF(A71=".",1,A71+1))</f>
        <v>.</v>
      </c>
      <c r="B72" s="244" t="str">
        <f t="shared" si="1"/>
        <v>Hip Replacement PrimarySub-ICB of GP PracticeNHS NORTH EAST AND NORTH CUMBRIA ICB - 01H (01H)EQ VAS</v>
      </c>
      <c r="C72" t="s">
        <v>749</v>
      </c>
      <c r="D72" t="s">
        <v>1021</v>
      </c>
      <c r="E72" t="s">
        <v>891</v>
      </c>
      <c r="F72" t="s">
        <v>892</v>
      </c>
      <c r="G72" t="s">
        <v>752</v>
      </c>
      <c r="H72">
        <v>162</v>
      </c>
      <c r="I72">
        <v>60.018500000000003</v>
      </c>
      <c r="J72">
        <v>77.481499999999997</v>
      </c>
      <c r="K72">
        <v>17.463000000000001</v>
      </c>
      <c r="L72">
        <v>113</v>
      </c>
      <c r="M72">
        <v>16</v>
      </c>
      <c r="N72">
        <v>33</v>
      </c>
      <c r="O72">
        <v>77.962199999999996</v>
      </c>
      <c r="P72">
        <v>17.1509</v>
      </c>
      <c r="Q72">
        <v>15.042999999999999</v>
      </c>
    </row>
    <row r="73" spans="1:17" ht="15" customHeight="1" x14ac:dyDescent="0.25">
      <c r="A73" t="str">
        <f>IF(C73&amp;G73&amp;D73&lt;&gt;'Funnel setup'!$K$3&amp;'Funnel setup'!$K$4&amp;'Funnel setup'!$K$6,".",IF(A72=".",1,A72+1))</f>
        <v>.</v>
      </c>
      <c r="B73" s="244" t="str">
        <f t="shared" si="1"/>
        <v>Hip Replacement PrimarySub-ICB of GP PracticeNHS NORTH EAST AND NORTH CUMBRIA ICB - 13T (13T)EQ VAS</v>
      </c>
      <c r="C73" t="s">
        <v>749</v>
      </c>
      <c r="D73" t="s">
        <v>1021</v>
      </c>
      <c r="E73" t="s">
        <v>893</v>
      </c>
      <c r="F73" t="s">
        <v>894</v>
      </c>
      <c r="G73" t="s">
        <v>752</v>
      </c>
      <c r="H73">
        <v>101</v>
      </c>
      <c r="I73">
        <v>53.396000000000001</v>
      </c>
      <c r="J73">
        <v>74.633700000000005</v>
      </c>
      <c r="K73">
        <v>21.2376</v>
      </c>
      <c r="L73">
        <v>68</v>
      </c>
      <c r="M73">
        <v>13</v>
      </c>
      <c r="N73">
        <v>20</v>
      </c>
      <c r="O73">
        <v>77.511200000000002</v>
      </c>
      <c r="P73">
        <v>16.7</v>
      </c>
      <c r="Q73">
        <v>17.678899999999999</v>
      </c>
    </row>
    <row r="74" spans="1:17" ht="15" customHeight="1" x14ac:dyDescent="0.25">
      <c r="A74" t="str">
        <f>IF(C74&amp;G74&amp;D74&lt;&gt;'Funnel setup'!$K$3&amp;'Funnel setup'!$K$4&amp;'Funnel setup'!$K$6,".",IF(A73=".",1,A73+1))</f>
        <v>.</v>
      </c>
      <c r="B74" s="244" t="str">
        <f t="shared" si="1"/>
        <v>Hip Replacement PrimarySub-ICB of GP PracticeNHS NORTH EAST AND NORTH CUMBRIA ICB - 16C (16C)EQ VAS</v>
      </c>
      <c r="C74" t="s">
        <v>749</v>
      </c>
      <c r="D74" t="s">
        <v>1021</v>
      </c>
      <c r="E74" t="s">
        <v>895</v>
      </c>
      <c r="F74" t="s">
        <v>896</v>
      </c>
      <c r="G74" t="s">
        <v>752</v>
      </c>
      <c r="H74">
        <v>339</v>
      </c>
      <c r="I74">
        <v>66.126800000000003</v>
      </c>
      <c r="J74">
        <v>74.769900000000007</v>
      </c>
      <c r="K74">
        <v>8.6430699999999998</v>
      </c>
      <c r="L74">
        <v>196</v>
      </c>
      <c r="M74">
        <v>37</v>
      </c>
      <c r="N74">
        <v>106</v>
      </c>
      <c r="O74">
        <v>74.639700000000005</v>
      </c>
      <c r="P74">
        <v>13.8284</v>
      </c>
      <c r="Q74">
        <v>16.621700000000001</v>
      </c>
    </row>
    <row r="75" spans="1:17" ht="15" customHeight="1" x14ac:dyDescent="0.25">
      <c r="A75" t="str">
        <f>IF(C75&amp;G75&amp;D75&lt;&gt;'Funnel setup'!$K$3&amp;'Funnel setup'!$K$4&amp;'Funnel setup'!$K$6,".",IF(A74=".",1,A74+1))</f>
        <v>.</v>
      </c>
      <c r="B75" s="244" t="str">
        <f t="shared" si="1"/>
        <v>Hip Replacement PrimarySub-ICB of GP PracticeNHS NORTH EAST AND NORTH CUMBRIA ICB - 84H (84H)EQ VAS</v>
      </c>
      <c r="C75" t="s">
        <v>749</v>
      </c>
      <c r="D75" t="s">
        <v>1021</v>
      </c>
      <c r="E75" t="s">
        <v>897</v>
      </c>
      <c r="F75" t="s">
        <v>898</v>
      </c>
      <c r="G75" t="s">
        <v>752</v>
      </c>
      <c r="H75">
        <v>246</v>
      </c>
      <c r="I75">
        <v>62.260199999999998</v>
      </c>
      <c r="J75">
        <v>73.321100000000001</v>
      </c>
      <c r="K75">
        <v>11.061</v>
      </c>
      <c r="L75">
        <v>159</v>
      </c>
      <c r="M75">
        <v>23</v>
      </c>
      <c r="N75">
        <v>64</v>
      </c>
      <c r="O75">
        <v>74.123599999999996</v>
      </c>
      <c r="P75">
        <v>13.3124</v>
      </c>
      <c r="Q75">
        <v>17.305700000000002</v>
      </c>
    </row>
    <row r="76" spans="1:17" ht="15" customHeight="1" x14ac:dyDescent="0.25">
      <c r="A76" t="str">
        <f>IF(C76&amp;G76&amp;D76&lt;&gt;'Funnel setup'!$K$3&amp;'Funnel setup'!$K$4&amp;'Funnel setup'!$K$6,".",IF(A75=".",1,A75+1))</f>
        <v>.</v>
      </c>
      <c r="B76" s="244" t="str">
        <f t="shared" si="1"/>
        <v>Hip Replacement PrimarySub-ICB of GP PracticeNHS NORTH EAST AND NORTH CUMBRIA ICB - 99C (99C)EQ VAS</v>
      </c>
      <c r="C76" t="s">
        <v>749</v>
      </c>
      <c r="D76" t="s">
        <v>1021</v>
      </c>
      <c r="E76" t="s">
        <v>899</v>
      </c>
      <c r="F76" t="s">
        <v>900</v>
      </c>
      <c r="G76" t="s">
        <v>752</v>
      </c>
      <c r="H76">
        <v>70</v>
      </c>
      <c r="I76">
        <v>60.814300000000003</v>
      </c>
      <c r="J76">
        <v>79.357100000000003</v>
      </c>
      <c r="K76">
        <v>18.542899999999999</v>
      </c>
      <c r="L76">
        <v>56</v>
      </c>
      <c r="M76">
        <v>9</v>
      </c>
      <c r="N76">
        <v>5</v>
      </c>
      <c r="O76">
        <v>79.296000000000006</v>
      </c>
      <c r="P76">
        <v>18.4847</v>
      </c>
      <c r="Q76">
        <v>16.0412</v>
      </c>
    </row>
    <row r="77" spans="1:17" ht="15" customHeight="1" x14ac:dyDescent="0.25">
      <c r="A77" t="str">
        <f>IF(C77&amp;G77&amp;D77&lt;&gt;'Funnel setup'!$K$3&amp;'Funnel setup'!$K$4&amp;'Funnel setup'!$K$6,".",IF(A76=".",1,A76+1))</f>
        <v>.</v>
      </c>
      <c r="B77" s="244" t="str">
        <f t="shared" si="1"/>
        <v>Hip Replacement PrimarySub-ICB of GP PracticeNHS NORTH EAST LONDON ICB - A3A8R (A3A8R)EQ VAS</v>
      </c>
      <c r="C77" t="s">
        <v>749</v>
      </c>
      <c r="D77" t="s">
        <v>1021</v>
      </c>
      <c r="E77" t="s">
        <v>901</v>
      </c>
      <c r="F77" t="s">
        <v>902</v>
      </c>
      <c r="G77" t="s">
        <v>752</v>
      </c>
      <c r="H77">
        <v>148</v>
      </c>
      <c r="I77">
        <v>61.229700000000001</v>
      </c>
      <c r="J77">
        <v>74.195899999999995</v>
      </c>
      <c r="K77">
        <v>12.966200000000001</v>
      </c>
      <c r="L77">
        <v>93</v>
      </c>
      <c r="M77">
        <v>19</v>
      </c>
      <c r="N77">
        <v>36</v>
      </c>
      <c r="O77">
        <v>74.994600000000005</v>
      </c>
      <c r="P77">
        <v>14.183400000000001</v>
      </c>
      <c r="Q77">
        <v>18.388500000000001</v>
      </c>
    </row>
    <row r="78" spans="1:17" ht="15" customHeight="1" x14ac:dyDescent="0.25">
      <c r="A78" t="str">
        <f>IF(C78&amp;G78&amp;D78&lt;&gt;'Funnel setup'!$K$3&amp;'Funnel setup'!$K$4&amp;'Funnel setup'!$K$6,".",IF(A77=".",1,A77+1))</f>
        <v>.</v>
      </c>
      <c r="B78" s="244" t="str">
        <f t="shared" si="1"/>
        <v>Hip Replacement PrimarySub-ICB of GP PracticeNHS NORTH WEST LONDON ICB - W2U3Z (W2U3Z)EQ VAS</v>
      </c>
      <c r="C78" t="s">
        <v>749</v>
      </c>
      <c r="D78" t="s">
        <v>1021</v>
      </c>
      <c r="E78" t="s">
        <v>903</v>
      </c>
      <c r="F78" t="s">
        <v>904</v>
      </c>
      <c r="G78" t="s">
        <v>752</v>
      </c>
      <c r="H78">
        <v>141</v>
      </c>
      <c r="I78">
        <v>62.9574</v>
      </c>
      <c r="J78">
        <v>72.489400000000003</v>
      </c>
      <c r="K78">
        <v>9.5319099999999999</v>
      </c>
      <c r="L78">
        <v>91</v>
      </c>
      <c r="M78">
        <v>15</v>
      </c>
      <c r="N78">
        <v>35</v>
      </c>
      <c r="O78">
        <v>72.389499999999998</v>
      </c>
      <c r="P78">
        <v>11.5783</v>
      </c>
      <c r="Q78">
        <v>18.000800000000002</v>
      </c>
    </row>
    <row r="79" spans="1:17" ht="15" customHeight="1" x14ac:dyDescent="0.25">
      <c r="A79" t="str">
        <f>IF(C79&amp;G79&amp;D79&lt;&gt;'Funnel setup'!$K$3&amp;'Funnel setup'!$K$4&amp;'Funnel setup'!$K$6,".",IF(A78=".",1,A78+1))</f>
        <v>.</v>
      </c>
      <c r="B79" s="244" t="str">
        <f t="shared" si="1"/>
        <v>Hip Replacement PrimarySub-ICB of GP PracticeNHS NORTHAMPTONSHIRE ICB - 78H (78H)EQ VAS</v>
      </c>
      <c r="C79" t="s">
        <v>749</v>
      </c>
      <c r="D79" t="s">
        <v>1021</v>
      </c>
      <c r="E79" t="s">
        <v>905</v>
      </c>
      <c r="F79" t="s">
        <v>906</v>
      </c>
      <c r="G79" t="s">
        <v>752</v>
      </c>
      <c r="H79">
        <v>220</v>
      </c>
      <c r="I79">
        <v>56.886400000000002</v>
      </c>
      <c r="J79">
        <v>75.118200000000002</v>
      </c>
      <c r="K79">
        <v>18.2318</v>
      </c>
      <c r="L79">
        <v>160</v>
      </c>
      <c r="M79">
        <v>17</v>
      </c>
      <c r="N79">
        <v>43</v>
      </c>
      <c r="O79">
        <v>75.746499999999997</v>
      </c>
      <c r="P79">
        <v>14.9352</v>
      </c>
      <c r="Q79">
        <v>16.099900000000002</v>
      </c>
    </row>
    <row r="80" spans="1:17" ht="15" customHeight="1" x14ac:dyDescent="0.25">
      <c r="A80" t="str">
        <f>IF(C80&amp;G80&amp;D80&lt;&gt;'Funnel setup'!$K$3&amp;'Funnel setup'!$K$4&amp;'Funnel setup'!$K$6,".",IF(A79=".",1,A79+1))</f>
        <v>.</v>
      </c>
      <c r="B80" s="244" t="str">
        <f t="shared" si="1"/>
        <v>Hip Replacement PrimarySub-ICB of GP PracticeNHS NOTTINGHAM AND NOTTINGHAMSHIRE ICB - 02Q (02Q)EQ VAS</v>
      </c>
      <c r="C80" t="s">
        <v>749</v>
      </c>
      <c r="D80" t="s">
        <v>1021</v>
      </c>
      <c r="E80" t="s">
        <v>907</v>
      </c>
      <c r="F80" t="s">
        <v>908</v>
      </c>
      <c r="G80" t="s">
        <v>752</v>
      </c>
      <c r="H80">
        <v>48</v>
      </c>
      <c r="I80">
        <v>53.5625</v>
      </c>
      <c r="J80">
        <v>73.833299999999994</v>
      </c>
      <c r="K80">
        <v>20.270800000000001</v>
      </c>
      <c r="L80">
        <v>37</v>
      </c>
      <c r="M80">
        <v>2</v>
      </c>
      <c r="N80">
        <v>9</v>
      </c>
      <c r="O80">
        <v>77.247100000000003</v>
      </c>
      <c r="P80">
        <v>16.4359</v>
      </c>
      <c r="Q80">
        <v>14.575799999999999</v>
      </c>
    </row>
    <row r="81" spans="1:17" ht="15" customHeight="1" x14ac:dyDescent="0.25">
      <c r="A81" t="str">
        <f>IF(C81&amp;G81&amp;D81&lt;&gt;'Funnel setup'!$K$3&amp;'Funnel setup'!$K$4&amp;'Funnel setup'!$K$6,".",IF(A80=".",1,A80+1))</f>
        <v>.</v>
      </c>
      <c r="B81" s="244" t="str">
        <f t="shared" si="1"/>
        <v>Hip Replacement PrimarySub-ICB of GP PracticeNHS NOTTINGHAM AND NOTTINGHAMSHIRE ICB - 52R (52R)EQ VAS</v>
      </c>
      <c r="C81" t="s">
        <v>749</v>
      </c>
      <c r="D81" t="s">
        <v>1021</v>
      </c>
      <c r="E81" t="s">
        <v>909</v>
      </c>
      <c r="F81" t="s">
        <v>910</v>
      </c>
      <c r="G81" t="s">
        <v>752</v>
      </c>
      <c r="H81">
        <v>133</v>
      </c>
      <c r="I81">
        <v>54.827100000000002</v>
      </c>
      <c r="J81">
        <v>73.8797</v>
      </c>
      <c r="K81">
        <v>19.052600000000002</v>
      </c>
      <c r="L81">
        <v>99</v>
      </c>
      <c r="M81">
        <v>11</v>
      </c>
      <c r="N81">
        <v>23</v>
      </c>
      <c r="O81">
        <v>75.149199999999993</v>
      </c>
      <c r="P81">
        <v>14.337999999999999</v>
      </c>
      <c r="Q81">
        <v>16.609500000000001</v>
      </c>
    </row>
    <row r="82" spans="1:17" ht="15" customHeight="1" x14ac:dyDescent="0.25">
      <c r="A82" t="str">
        <f>IF(C82&amp;G82&amp;D82&lt;&gt;'Funnel setup'!$K$3&amp;'Funnel setup'!$K$4&amp;'Funnel setup'!$K$6,".",IF(A81=".",1,A81+1))</f>
        <v>.</v>
      </c>
      <c r="B82" s="244" t="str">
        <f t="shared" si="1"/>
        <v>Hip Replacement PrimarySub-ICB of GP PracticeNHS SHROPSHIRE, TELFORD AND WREKIN ICB - M2L0M (M2L0M)EQ VAS</v>
      </c>
      <c r="C82" t="s">
        <v>749</v>
      </c>
      <c r="D82" t="s">
        <v>1021</v>
      </c>
      <c r="E82" t="s">
        <v>911</v>
      </c>
      <c r="F82" t="s">
        <v>912</v>
      </c>
      <c r="G82" t="s">
        <v>752</v>
      </c>
      <c r="H82">
        <v>248</v>
      </c>
      <c r="I82">
        <v>53.4315</v>
      </c>
      <c r="J82">
        <v>76.935500000000005</v>
      </c>
      <c r="K82">
        <v>23.504000000000001</v>
      </c>
      <c r="L82">
        <v>191</v>
      </c>
      <c r="M82">
        <v>19</v>
      </c>
      <c r="N82">
        <v>38</v>
      </c>
      <c r="O82">
        <v>79.149299999999997</v>
      </c>
      <c r="P82">
        <v>18.338000000000001</v>
      </c>
      <c r="Q82">
        <v>15.481299999999999</v>
      </c>
    </row>
    <row r="83" spans="1:17" ht="15" customHeight="1" x14ac:dyDescent="0.25">
      <c r="A83" t="str">
        <f>IF(C83&amp;G83&amp;D83&lt;&gt;'Funnel setup'!$K$3&amp;'Funnel setup'!$K$4&amp;'Funnel setup'!$K$6,".",IF(A82=".",1,A82+1))</f>
        <v>.</v>
      </c>
      <c r="B83" s="244" t="str">
        <f t="shared" si="1"/>
        <v>Hip Replacement PrimarySub-ICB of GP PracticeNHS SOMERSET ICB - 11X (11X)EQ VAS</v>
      </c>
      <c r="C83" t="s">
        <v>749</v>
      </c>
      <c r="D83" t="s">
        <v>1021</v>
      </c>
      <c r="E83" t="s">
        <v>913</v>
      </c>
      <c r="F83" t="s">
        <v>914</v>
      </c>
      <c r="G83" t="s">
        <v>752</v>
      </c>
      <c r="H83">
        <v>230</v>
      </c>
      <c r="I83">
        <v>63.169600000000003</v>
      </c>
      <c r="J83">
        <v>79.991299999999995</v>
      </c>
      <c r="K83">
        <v>16.8217</v>
      </c>
      <c r="L83">
        <v>166</v>
      </c>
      <c r="M83">
        <v>24</v>
      </c>
      <c r="N83">
        <v>40</v>
      </c>
      <c r="O83">
        <v>77.995699999999999</v>
      </c>
      <c r="P83">
        <v>17.1844</v>
      </c>
      <c r="Q83">
        <v>14.444699999999999</v>
      </c>
    </row>
    <row r="84" spans="1:17" x14ac:dyDescent="0.25">
      <c r="A84" t="str">
        <f>IF(C84&amp;G84&amp;D84&lt;&gt;'Funnel setup'!$K$3&amp;'Funnel setup'!$K$4&amp;'Funnel setup'!$K$6,".",IF(A83=".",1,A83+1))</f>
        <v>.</v>
      </c>
      <c r="B84" s="244" t="str">
        <f t="shared" si="1"/>
        <v>Hip Replacement PrimarySub-ICB of GP PracticeNHS SOUTH EAST LONDON ICB - 72Q (72Q)EQ VAS</v>
      </c>
      <c r="C84" t="s">
        <v>749</v>
      </c>
      <c r="D84" t="s">
        <v>1021</v>
      </c>
      <c r="E84" t="s">
        <v>915</v>
      </c>
      <c r="F84" t="s">
        <v>916</v>
      </c>
      <c r="G84" t="s">
        <v>752</v>
      </c>
      <c r="H84">
        <v>127</v>
      </c>
      <c r="I84">
        <v>54.936999999999998</v>
      </c>
      <c r="J84">
        <v>73.031499999999994</v>
      </c>
      <c r="K84">
        <v>18.0945</v>
      </c>
      <c r="L84">
        <v>96</v>
      </c>
      <c r="M84">
        <v>10</v>
      </c>
      <c r="N84">
        <v>21</v>
      </c>
      <c r="O84">
        <v>73.283299999999997</v>
      </c>
      <c r="P84">
        <v>12.472</v>
      </c>
      <c r="Q84">
        <v>15.429600000000001</v>
      </c>
    </row>
    <row r="85" spans="1:17" x14ac:dyDescent="0.25">
      <c r="A85" t="str">
        <f>IF(C85&amp;G85&amp;D85&lt;&gt;'Funnel setup'!$K$3&amp;'Funnel setup'!$K$4&amp;'Funnel setup'!$K$6,".",IF(A84=".",1,A84+1))</f>
        <v>.</v>
      </c>
      <c r="B85" s="244" t="str">
        <f t="shared" si="1"/>
        <v>Hip Replacement PrimarySub-ICB of GP PracticeNHS SOUTH WEST LONDON ICB - 36L (36L)EQ VAS</v>
      </c>
      <c r="C85" t="s">
        <v>749</v>
      </c>
      <c r="D85" t="s">
        <v>1021</v>
      </c>
      <c r="E85" t="s">
        <v>917</v>
      </c>
      <c r="F85" t="s">
        <v>918</v>
      </c>
      <c r="G85" t="s">
        <v>752</v>
      </c>
      <c r="H85">
        <v>359</v>
      </c>
      <c r="I85">
        <v>60.852400000000003</v>
      </c>
      <c r="J85">
        <v>75.623999999999995</v>
      </c>
      <c r="K85">
        <v>14.771599999999999</v>
      </c>
      <c r="L85">
        <v>258</v>
      </c>
      <c r="M85">
        <v>39</v>
      </c>
      <c r="N85">
        <v>62</v>
      </c>
      <c r="O85">
        <v>75.897499999999994</v>
      </c>
      <c r="P85">
        <v>15.0862</v>
      </c>
      <c r="Q85">
        <v>17.065200000000001</v>
      </c>
    </row>
    <row r="86" spans="1:17" x14ac:dyDescent="0.25">
      <c r="A86" t="str">
        <f>IF(C86&amp;G86&amp;D86&lt;&gt;'Funnel setup'!$K$3&amp;'Funnel setup'!$K$4&amp;'Funnel setup'!$K$6,".",IF(A85=".",1,A85+1))</f>
        <v>.</v>
      </c>
      <c r="B86" s="244" t="str">
        <f t="shared" si="1"/>
        <v>Hip Replacement PrimarySub-ICB of GP PracticeNHS SOUTH YORKSHIRE ICB - 02P (02P)EQ VAS</v>
      </c>
      <c r="C86" t="s">
        <v>749</v>
      </c>
      <c r="D86" t="s">
        <v>1021</v>
      </c>
      <c r="E86" t="s">
        <v>919</v>
      </c>
      <c r="F86" t="s">
        <v>920</v>
      </c>
      <c r="G86" t="s">
        <v>752</v>
      </c>
      <c r="H86">
        <v>43</v>
      </c>
      <c r="I86">
        <v>53.7209</v>
      </c>
      <c r="J86">
        <v>71.883700000000005</v>
      </c>
      <c r="K86">
        <v>18.162800000000001</v>
      </c>
      <c r="L86">
        <v>29</v>
      </c>
      <c r="M86">
        <v>3</v>
      </c>
      <c r="N86">
        <v>11</v>
      </c>
      <c r="O86">
        <v>76.669600000000003</v>
      </c>
      <c r="P86">
        <v>15.8584</v>
      </c>
      <c r="Q86">
        <v>16.617999999999999</v>
      </c>
    </row>
    <row r="87" spans="1:17" x14ac:dyDescent="0.25">
      <c r="A87" t="str">
        <f>IF(C87&amp;G87&amp;D87&lt;&gt;'Funnel setup'!$K$3&amp;'Funnel setup'!$K$4&amp;'Funnel setup'!$K$6,".",IF(A86=".",1,A86+1))</f>
        <v>.</v>
      </c>
      <c r="B87" s="244" t="str">
        <f t="shared" si="1"/>
        <v>Hip Replacement PrimarySub-ICB of GP PracticeNHS SOUTH YORKSHIRE ICB - 02X (02X)EQ VAS</v>
      </c>
      <c r="C87" t="s">
        <v>749</v>
      </c>
      <c r="D87" t="s">
        <v>1021</v>
      </c>
      <c r="E87" t="s">
        <v>921</v>
      </c>
      <c r="F87" t="s">
        <v>922</v>
      </c>
      <c r="G87" t="s">
        <v>752</v>
      </c>
      <c r="H87">
        <v>77</v>
      </c>
      <c r="I87">
        <v>58.948099999999997</v>
      </c>
      <c r="J87">
        <v>74.766199999999998</v>
      </c>
      <c r="K87">
        <v>15.818199999999999</v>
      </c>
      <c r="L87">
        <v>56</v>
      </c>
      <c r="M87">
        <v>5</v>
      </c>
      <c r="N87">
        <v>16</v>
      </c>
      <c r="O87">
        <v>75.0685</v>
      </c>
      <c r="P87">
        <v>14.257300000000001</v>
      </c>
      <c r="Q87">
        <v>18.5519</v>
      </c>
    </row>
    <row r="88" spans="1:17" x14ac:dyDescent="0.25">
      <c r="A88" t="str">
        <f>IF(C88&amp;G88&amp;D88&lt;&gt;'Funnel setup'!$K$3&amp;'Funnel setup'!$K$4&amp;'Funnel setup'!$K$6,".",IF(A87=".",1,A87+1))</f>
        <v>.</v>
      </c>
      <c r="B88" s="244" t="str">
        <f t="shared" si="1"/>
        <v>Hip Replacement PrimarySub-ICB of GP PracticeNHS SOUTH YORKSHIRE ICB - 03L (03L)EQ VAS</v>
      </c>
      <c r="C88" t="s">
        <v>749</v>
      </c>
      <c r="D88" t="s">
        <v>1021</v>
      </c>
      <c r="E88" t="s">
        <v>923</v>
      </c>
      <c r="F88" t="s">
        <v>924</v>
      </c>
      <c r="G88" t="s">
        <v>752</v>
      </c>
      <c r="H88">
        <v>36</v>
      </c>
      <c r="I88">
        <v>63.027799999999999</v>
      </c>
      <c r="J88">
        <v>70.805599999999998</v>
      </c>
      <c r="K88">
        <v>7.7777799999999999</v>
      </c>
      <c r="L88">
        <v>19</v>
      </c>
      <c r="M88">
        <v>3</v>
      </c>
      <c r="N88">
        <v>14</v>
      </c>
      <c r="O88">
        <v>71.824299999999994</v>
      </c>
      <c r="P88">
        <v>11.0131</v>
      </c>
      <c r="Q88">
        <v>19.138200000000001</v>
      </c>
    </row>
    <row r="89" spans="1:17" x14ac:dyDescent="0.25">
      <c r="A89" t="str">
        <f>IF(C89&amp;G89&amp;D89&lt;&gt;'Funnel setup'!$K$3&amp;'Funnel setup'!$K$4&amp;'Funnel setup'!$K$6,".",IF(A88=".",1,A88+1))</f>
        <v>.</v>
      </c>
      <c r="B89" s="244" t="str">
        <f t="shared" si="1"/>
        <v>Hip Replacement PrimarySub-ICB of GP PracticeNHS SOUTH YORKSHIRE ICB - 03N (03N)EQ VAS</v>
      </c>
      <c r="C89" t="s">
        <v>749</v>
      </c>
      <c r="D89" t="s">
        <v>1021</v>
      </c>
      <c r="E89" t="s">
        <v>925</v>
      </c>
      <c r="F89" t="s">
        <v>926</v>
      </c>
      <c r="G89" t="s">
        <v>752</v>
      </c>
      <c r="H89">
        <v>31</v>
      </c>
      <c r="I89">
        <v>61.128999999999998</v>
      </c>
      <c r="J89">
        <v>77</v>
      </c>
      <c r="K89">
        <v>15.871</v>
      </c>
      <c r="L89">
        <v>24</v>
      </c>
      <c r="M89">
        <v>1</v>
      </c>
      <c r="N89">
        <v>6</v>
      </c>
      <c r="O89">
        <v>76.534400000000005</v>
      </c>
      <c r="P89">
        <v>15.723100000000001</v>
      </c>
      <c r="Q89">
        <v>15.689500000000001</v>
      </c>
    </row>
    <row r="90" spans="1:17" x14ac:dyDescent="0.25">
      <c r="A90" t="str">
        <f>IF(C90&amp;G90&amp;D90&lt;&gt;'Funnel setup'!$K$3&amp;'Funnel setup'!$K$4&amp;'Funnel setup'!$K$6,".",IF(A89=".",1,A89+1))</f>
        <v>.</v>
      </c>
      <c r="B90" s="244" t="str">
        <f t="shared" si="1"/>
        <v>Hip Replacement PrimarySub-ICB of GP PracticeNHS STAFFORDSHIRE AND STOKE-ON-TRENT ICB - 04Y (04Y)EQ VAS</v>
      </c>
      <c r="C90" t="s">
        <v>749</v>
      </c>
      <c r="D90" t="s">
        <v>1021</v>
      </c>
      <c r="E90" t="s">
        <v>927</v>
      </c>
      <c r="F90" t="s">
        <v>928</v>
      </c>
      <c r="G90" t="s">
        <v>752</v>
      </c>
      <c r="H90">
        <v>30</v>
      </c>
      <c r="I90">
        <v>61.2</v>
      </c>
      <c r="J90">
        <v>79.366699999999994</v>
      </c>
      <c r="K90">
        <v>18.166699999999999</v>
      </c>
      <c r="L90">
        <v>20</v>
      </c>
      <c r="M90">
        <v>2</v>
      </c>
      <c r="N90">
        <v>8</v>
      </c>
      <c r="O90">
        <v>77.5458</v>
      </c>
      <c r="P90">
        <v>16.734500000000001</v>
      </c>
      <c r="Q90">
        <v>16.162500000000001</v>
      </c>
    </row>
    <row r="91" spans="1:17" x14ac:dyDescent="0.25">
      <c r="A91" t="str">
        <f>IF(C91&amp;G91&amp;D91&lt;&gt;'Funnel setup'!$K$3&amp;'Funnel setup'!$K$4&amp;'Funnel setup'!$K$6,".",IF(A90=".",1,A90+1))</f>
        <v>.</v>
      </c>
      <c r="B91" s="244" t="str">
        <f t="shared" si="1"/>
        <v>Hip Replacement PrimarySub-ICB of GP PracticeNHS STAFFORDSHIRE AND STOKE-ON-TRENT ICB - 05D (05D)EQ VAS</v>
      </c>
      <c r="C91" t="s">
        <v>749</v>
      </c>
      <c r="D91" t="s">
        <v>1021</v>
      </c>
      <c r="E91" t="s">
        <v>929</v>
      </c>
      <c r="F91" t="s">
        <v>930</v>
      </c>
      <c r="G91" t="s">
        <v>752</v>
      </c>
      <c r="H91">
        <v>49</v>
      </c>
      <c r="I91">
        <v>55.816299999999998</v>
      </c>
      <c r="J91">
        <v>76.387799999999999</v>
      </c>
      <c r="K91">
        <v>20.571400000000001</v>
      </c>
      <c r="L91">
        <v>37</v>
      </c>
      <c r="M91">
        <v>6</v>
      </c>
      <c r="N91">
        <v>6</v>
      </c>
      <c r="O91">
        <v>77.809399999999997</v>
      </c>
      <c r="P91">
        <v>16.998100000000001</v>
      </c>
      <c r="Q91">
        <v>17.918299999999999</v>
      </c>
    </row>
    <row r="92" spans="1:17" x14ac:dyDescent="0.25">
      <c r="A92" t="str">
        <f>IF(C92&amp;G92&amp;D92&lt;&gt;'Funnel setup'!$K$3&amp;'Funnel setup'!$K$4&amp;'Funnel setup'!$K$6,".",IF(A91=".",1,A91+1))</f>
        <v>.</v>
      </c>
      <c r="B92" s="244" t="str">
        <f t="shared" si="1"/>
        <v>Hip Replacement PrimarySub-ICB of GP PracticeNHS STAFFORDSHIRE AND STOKE-ON-TRENT ICB - 05G (05G)EQ VAS</v>
      </c>
      <c r="C92" t="s">
        <v>749</v>
      </c>
      <c r="D92" t="s">
        <v>1021</v>
      </c>
      <c r="E92" t="s">
        <v>931</v>
      </c>
      <c r="F92" t="s">
        <v>932</v>
      </c>
      <c r="G92" t="s">
        <v>752</v>
      </c>
      <c r="H92">
        <v>38</v>
      </c>
      <c r="I92">
        <v>60.263199999999998</v>
      </c>
      <c r="J92">
        <v>75.684200000000004</v>
      </c>
      <c r="K92">
        <v>15.421099999999999</v>
      </c>
      <c r="L92">
        <v>26</v>
      </c>
      <c r="M92">
        <v>5</v>
      </c>
      <c r="N92">
        <v>7</v>
      </c>
      <c r="O92">
        <v>75.759699999999995</v>
      </c>
      <c r="P92">
        <v>14.948499999999999</v>
      </c>
      <c r="Q92">
        <v>19.313400000000001</v>
      </c>
    </row>
    <row r="93" spans="1:17" x14ac:dyDescent="0.25">
      <c r="A93" t="str">
        <f>IF(C93&amp;G93&amp;D93&lt;&gt;'Funnel setup'!$K$3&amp;'Funnel setup'!$K$4&amp;'Funnel setup'!$K$6,".",IF(A92=".",1,A92+1))</f>
        <v>.</v>
      </c>
      <c r="B93" s="244" t="str">
        <f t="shared" si="1"/>
        <v>Hip Replacement PrimarySub-ICB of GP PracticeNHS STAFFORDSHIRE AND STOKE-ON-TRENT ICB - 05Q (05Q)EQ VAS</v>
      </c>
      <c r="C93" t="s">
        <v>749</v>
      </c>
      <c r="D93" t="s">
        <v>1021</v>
      </c>
      <c r="E93" t="s">
        <v>933</v>
      </c>
      <c r="F93" t="s">
        <v>934</v>
      </c>
      <c r="G93" t="s">
        <v>752</v>
      </c>
      <c r="H93">
        <v>64</v>
      </c>
      <c r="I93">
        <v>61.140599999999999</v>
      </c>
      <c r="J93">
        <v>70.046899999999994</v>
      </c>
      <c r="K93">
        <v>8.90625</v>
      </c>
      <c r="L93">
        <v>38</v>
      </c>
      <c r="M93">
        <v>7</v>
      </c>
      <c r="N93">
        <v>19</v>
      </c>
      <c r="O93">
        <v>69.997500000000002</v>
      </c>
      <c r="P93">
        <v>9.1862700000000004</v>
      </c>
      <c r="Q93">
        <v>16.494900000000001</v>
      </c>
    </row>
    <row r="94" spans="1:17" x14ac:dyDescent="0.25">
      <c r="A94" t="str">
        <f>IF(C94&amp;G94&amp;D94&lt;&gt;'Funnel setup'!$K$3&amp;'Funnel setup'!$K$4&amp;'Funnel setup'!$K$6,".",IF(A93=".",1,A93+1))</f>
        <v>.</v>
      </c>
      <c r="B94" s="244" t="str">
        <f t="shared" si="1"/>
        <v>Hip Replacement PrimarySub-ICB of GP PracticeNHS STAFFORDSHIRE AND STOKE-ON-TRENT ICB - 05V (05V)EQ VAS</v>
      </c>
      <c r="C94" t="s">
        <v>749</v>
      </c>
      <c r="D94" t="s">
        <v>1021</v>
      </c>
      <c r="E94" t="s">
        <v>935</v>
      </c>
      <c r="F94" t="s">
        <v>936</v>
      </c>
      <c r="G94" t="s">
        <v>752</v>
      </c>
      <c r="H94">
        <v>53</v>
      </c>
      <c r="I94">
        <v>65.113200000000006</v>
      </c>
      <c r="J94">
        <v>79.698099999999997</v>
      </c>
      <c r="K94">
        <v>14.584899999999999</v>
      </c>
      <c r="L94">
        <v>39</v>
      </c>
      <c r="M94">
        <v>6</v>
      </c>
      <c r="N94">
        <v>8</v>
      </c>
      <c r="O94">
        <v>77.813599999999994</v>
      </c>
      <c r="P94">
        <v>17.002400000000002</v>
      </c>
      <c r="Q94">
        <v>11.0854</v>
      </c>
    </row>
    <row r="95" spans="1:17" x14ac:dyDescent="0.25">
      <c r="A95" t="str">
        <f>IF(C95&amp;G95&amp;D95&lt;&gt;'Funnel setup'!$K$3&amp;'Funnel setup'!$K$4&amp;'Funnel setup'!$K$6,".",IF(A94=".",1,A94+1))</f>
        <v>.</v>
      </c>
      <c r="B95" s="244" t="str">
        <f t="shared" si="1"/>
        <v>Hip Replacement PrimarySub-ICB of GP PracticeNHS STAFFORDSHIRE AND STOKE-ON-TRENT ICB - 05W (05W)EQ VAS</v>
      </c>
      <c r="C95" t="s">
        <v>749</v>
      </c>
      <c r="D95" t="s">
        <v>1021</v>
      </c>
      <c r="E95" t="s">
        <v>937</v>
      </c>
      <c r="F95" t="s">
        <v>938</v>
      </c>
      <c r="G95" t="s">
        <v>752</v>
      </c>
      <c r="H95">
        <v>32</v>
      </c>
      <c r="I95">
        <v>58.781300000000002</v>
      </c>
      <c r="J95">
        <v>75.406300000000002</v>
      </c>
      <c r="K95">
        <v>16.625</v>
      </c>
      <c r="L95">
        <v>24</v>
      </c>
      <c r="M95">
        <v>3</v>
      </c>
      <c r="N95">
        <v>5</v>
      </c>
      <c r="O95">
        <v>78.732100000000003</v>
      </c>
      <c r="P95">
        <v>17.9208</v>
      </c>
      <c r="Q95">
        <v>17.006399999999999</v>
      </c>
    </row>
    <row r="96" spans="1:17" x14ac:dyDescent="0.25">
      <c r="A96" t="str">
        <f>IF(C96&amp;G96&amp;D96&lt;&gt;'Funnel setup'!$K$3&amp;'Funnel setup'!$K$4&amp;'Funnel setup'!$K$6,".",IF(A95=".",1,A95+1))</f>
        <v>.</v>
      </c>
      <c r="B96" s="244" t="str">
        <f t="shared" si="1"/>
        <v>Hip Replacement PrimarySub-ICB of GP PracticeNHS SUFFOLK AND NORTH EAST ESSEX ICB - 06L (06L)EQ VAS</v>
      </c>
      <c r="C96" t="s">
        <v>749</v>
      </c>
      <c r="D96" t="s">
        <v>1021</v>
      </c>
      <c r="E96" t="s">
        <v>939</v>
      </c>
      <c r="F96" t="s">
        <v>940</v>
      </c>
      <c r="G96" t="s">
        <v>752</v>
      </c>
      <c r="H96">
        <v>134</v>
      </c>
      <c r="I96">
        <v>54.358199999999997</v>
      </c>
      <c r="J96">
        <v>74.290999999999997</v>
      </c>
      <c r="K96">
        <v>19.9328</v>
      </c>
      <c r="L96">
        <v>100</v>
      </c>
      <c r="M96">
        <v>12</v>
      </c>
      <c r="N96">
        <v>22</v>
      </c>
      <c r="O96">
        <v>76.166700000000006</v>
      </c>
      <c r="P96">
        <v>15.355499999999999</v>
      </c>
      <c r="Q96">
        <v>17.689399999999999</v>
      </c>
    </row>
    <row r="97" spans="1:17" x14ac:dyDescent="0.25">
      <c r="A97" t="str">
        <f>IF(C97&amp;G97&amp;D97&lt;&gt;'Funnel setup'!$K$3&amp;'Funnel setup'!$K$4&amp;'Funnel setup'!$K$6,".",IF(A96=".",1,A96+1))</f>
        <v>.</v>
      </c>
      <c r="B97" s="244" t="str">
        <f t="shared" si="1"/>
        <v>Hip Replacement PrimarySub-ICB of GP PracticeNHS SUFFOLK AND NORTH EAST ESSEX ICB - 06T (06T)EQ VAS</v>
      </c>
      <c r="C97" t="s">
        <v>749</v>
      </c>
      <c r="D97" t="s">
        <v>1021</v>
      </c>
      <c r="E97" t="s">
        <v>941</v>
      </c>
      <c r="F97" t="s">
        <v>942</v>
      </c>
      <c r="G97" t="s">
        <v>752</v>
      </c>
      <c r="H97">
        <v>27</v>
      </c>
      <c r="I97">
        <v>67.407399999999996</v>
      </c>
      <c r="J97">
        <v>79.111099999999993</v>
      </c>
      <c r="K97">
        <v>11.7037</v>
      </c>
      <c r="L97">
        <v>18</v>
      </c>
      <c r="M97">
        <v>5</v>
      </c>
      <c r="N97">
        <v>4</v>
      </c>
      <c r="O97" t="s">
        <v>127</v>
      </c>
      <c r="P97" t="s">
        <v>127</v>
      </c>
      <c r="Q97" t="s">
        <v>127</v>
      </c>
    </row>
    <row r="98" spans="1:17" x14ac:dyDescent="0.25">
      <c r="A98" t="str">
        <f>IF(C98&amp;G98&amp;D98&lt;&gt;'Funnel setup'!$K$3&amp;'Funnel setup'!$K$4&amp;'Funnel setup'!$K$6,".",IF(A97=".",1,A97+1))</f>
        <v>.</v>
      </c>
      <c r="B98" s="244" t="str">
        <f t="shared" si="1"/>
        <v>Hip Replacement PrimarySub-ICB of GP PracticeNHS SUFFOLK AND NORTH EAST ESSEX ICB - 07K (07K)EQ VAS</v>
      </c>
      <c r="C98" t="s">
        <v>749</v>
      </c>
      <c r="D98" t="s">
        <v>1021</v>
      </c>
      <c r="E98" t="s">
        <v>943</v>
      </c>
      <c r="F98" t="s">
        <v>944</v>
      </c>
      <c r="G98" t="s">
        <v>752</v>
      </c>
      <c r="H98">
        <v>130</v>
      </c>
      <c r="I98">
        <v>55.738500000000002</v>
      </c>
      <c r="J98">
        <v>72.407700000000006</v>
      </c>
      <c r="K98">
        <v>16.6692</v>
      </c>
      <c r="L98">
        <v>87</v>
      </c>
      <c r="M98">
        <v>10</v>
      </c>
      <c r="N98">
        <v>33</v>
      </c>
      <c r="O98">
        <v>72.815899999999999</v>
      </c>
      <c r="P98">
        <v>12.0047</v>
      </c>
      <c r="Q98">
        <v>18.566400000000002</v>
      </c>
    </row>
    <row r="99" spans="1:17" x14ac:dyDescent="0.25">
      <c r="A99" t="str">
        <f>IF(C99&amp;G99&amp;D99&lt;&gt;'Funnel setup'!$K$3&amp;'Funnel setup'!$K$4&amp;'Funnel setup'!$K$6,".",IF(A98=".",1,A98+1))</f>
        <v>.</v>
      </c>
      <c r="B99" s="244" t="str">
        <f t="shared" si="1"/>
        <v>Hip Replacement PrimarySub-ICB of GP PracticeNHS SURREY HEARTLANDS ICB - 92A (92A)EQ VAS</v>
      </c>
      <c r="C99" t="s">
        <v>749</v>
      </c>
      <c r="D99" t="s">
        <v>1021</v>
      </c>
      <c r="E99" t="s">
        <v>945</v>
      </c>
      <c r="F99" t="s">
        <v>946</v>
      </c>
      <c r="G99" t="s">
        <v>752</v>
      </c>
      <c r="H99">
        <v>356</v>
      </c>
      <c r="I99">
        <v>63.896099999999997</v>
      </c>
      <c r="J99">
        <v>77.6798</v>
      </c>
      <c r="K99">
        <v>13.7837</v>
      </c>
      <c r="L99">
        <v>246</v>
      </c>
      <c r="M99">
        <v>39</v>
      </c>
      <c r="N99">
        <v>71</v>
      </c>
      <c r="O99">
        <v>75.719300000000004</v>
      </c>
      <c r="P99">
        <v>14.908099999999999</v>
      </c>
      <c r="Q99">
        <v>15.0944</v>
      </c>
    </row>
    <row r="100" spans="1:17" x14ac:dyDescent="0.25">
      <c r="A100" t="str">
        <f>IF(C100&amp;G100&amp;D100&lt;&gt;'Funnel setup'!$K$3&amp;'Funnel setup'!$K$4&amp;'Funnel setup'!$K$6,".",IF(A99=".",1,A99+1))</f>
        <v>.</v>
      </c>
      <c r="B100" s="244" t="str">
        <f t="shared" si="1"/>
        <v>Hip Replacement PrimarySub-ICB of GP PracticeNHS SUSSEX ICB - 09D (09D)EQ VAS</v>
      </c>
      <c r="C100" t="s">
        <v>749</v>
      </c>
      <c r="D100" t="s">
        <v>1021</v>
      </c>
      <c r="E100" t="s">
        <v>947</v>
      </c>
      <c r="F100" t="s">
        <v>948</v>
      </c>
      <c r="G100" t="s">
        <v>752</v>
      </c>
      <c r="H100">
        <v>8</v>
      </c>
      <c r="I100">
        <v>70.625</v>
      </c>
      <c r="J100">
        <v>75.375</v>
      </c>
      <c r="K100">
        <v>4.75</v>
      </c>
      <c r="L100">
        <v>6</v>
      </c>
      <c r="M100">
        <v>0</v>
      </c>
      <c r="N100">
        <v>2</v>
      </c>
      <c r="O100" t="s">
        <v>127</v>
      </c>
      <c r="P100" t="s">
        <v>127</v>
      </c>
      <c r="Q100" t="s">
        <v>127</v>
      </c>
    </row>
    <row r="101" spans="1:17" x14ac:dyDescent="0.25">
      <c r="A101" t="str">
        <f>IF(C101&amp;G101&amp;D101&lt;&gt;'Funnel setup'!$K$3&amp;'Funnel setup'!$K$4&amp;'Funnel setup'!$K$6,".",IF(A100=".",1,A100+1))</f>
        <v>.</v>
      </c>
      <c r="B101" s="244" t="str">
        <f t="shared" si="1"/>
        <v>Hip Replacement PrimarySub-ICB of GP PracticeNHS SUSSEX ICB - 70F (70F)EQ VAS</v>
      </c>
      <c r="C101" t="s">
        <v>749</v>
      </c>
      <c r="D101" t="s">
        <v>1021</v>
      </c>
      <c r="E101" t="s">
        <v>949</v>
      </c>
      <c r="F101" t="s">
        <v>950</v>
      </c>
      <c r="G101" t="s">
        <v>752</v>
      </c>
      <c r="H101">
        <v>240</v>
      </c>
      <c r="I101">
        <v>60.554200000000002</v>
      </c>
      <c r="J101">
        <v>74.445800000000006</v>
      </c>
      <c r="K101">
        <v>13.8917</v>
      </c>
      <c r="L101">
        <v>166</v>
      </c>
      <c r="M101">
        <v>18</v>
      </c>
      <c r="N101">
        <v>56</v>
      </c>
      <c r="O101">
        <v>74.324600000000004</v>
      </c>
      <c r="P101">
        <v>13.513400000000001</v>
      </c>
      <c r="Q101">
        <v>17.825399999999998</v>
      </c>
    </row>
    <row r="102" spans="1:17" x14ac:dyDescent="0.25">
      <c r="A102" t="str">
        <f>IF(C102&amp;G102&amp;D102&lt;&gt;'Funnel setup'!$K$3&amp;'Funnel setup'!$K$4&amp;'Funnel setup'!$K$6,".",IF(A101=".",1,A101+1))</f>
        <v>.</v>
      </c>
      <c r="B102" s="244" t="str">
        <f t="shared" si="1"/>
        <v>Hip Replacement PrimarySub-ICB of GP PracticeNHS SUSSEX ICB - 97R (97R)EQ VAS</v>
      </c>
      <c r="C102" t="s">
        <v>749</v>
      </c>
      <c r="D102" t="s">
        <v>1021</v>
      </c>
      <c r="E102" t="s">
        <v>951</v>
      </c>
      <c r="F102" t="s">
        <v>952</v>
      </c>
      <c r="G102" t="s">
        <v>752</v>
      </c>
      <c r="H102">
        <v>260</v>
      </c>
      <c r="I102">
        <v>64.442300000000003</v>
      </c>
      <c r="J102">
        <v>77.5077</v>
      </c>
      <c r="K102">
        <v>13.0654</v>
      </c>
      <c r="L102">
        <v>166</v>
      </c>
      <c r="M102">
        <v>31</v>
      </c>
      <c r="N102">
        <v>63</v>
      </c>
      <c r="O102">
        <v>76.171700000000001</v>
      </c>
      <c r="P102">
        <v>15.3604</v>
      </c>
      <c r="Q102">
        <v>16.0001</v>
      </c>
    </row>
    <row r="103" spans="1:17" x14ac:dyDescent="0.25">
      <c r="A103" t="str">
        <f>IF(C103&amp;G103&amp;D103&lt;&gt;'Funnel setup'!$K$3&amp;'Funnel setup'!$K$4&amp;'Funnel setup'!$K$6,".",IF(A102=".",1,A102+1))</f>
        <v>.</v>
      </c>
      <c r="B103" s="244" t="str">
        <f t="shared" si="1"/>
        <v>Hip Replacement PrimarySub-ICB of GP PracticeNHS WEST YORKSHIRE ICB - 02T (02T)EQ VAS</v>
      </c>
      <c r="C103" t="s">
        <v>749</v>
      </c>
      <c r="D103" t="s">
        <v>1021</v>
      </c>
      <c r="E103" t="s">
        <v>953</v>
      </c>
      <c r="F103" t="s">
        <v>954</v>
      </c>
      <c r="G103" t="s">
        <v>752</v>
      </c>
      <c r="H103">
        <v>53</v>
      </c>
      <c r="I103">
        <v>60.811300000000003</v>
      </c>
      <c r="J103">
        <v>74.547200000000004</v>
      </c>
      <c r="K103">
        <v>13.735799999999999</v>
      </c>
      <c r="L103">
        <v>36</v>
      </c>
      <c r="M103">
        <v>4</v>
      </c>
      <c r="N103">
        <v>13</v>
      </c>
      <c r="O103">
        <v>74.0428</v>
      </c>
      <c r="P103">
        <v>13.2315</v>
      </c>
      <c r="Q103">
        <v>18.545300000000001</v>
      </c>
    </row>
    <row r="104" spans="1:17" x14ac:dyDescent="0.25">
      <c r="A104" t="str">
        <f>IF(C104&amp;G104&amp;D104&lt;&gt;'Funnel setup'!$K$3&amp;'Funnel setup'!$K$4&amp;'Funnel setup'!$K$6,".",IF(A103=".",1,A103+1))</f>
        <v>.</v>
      </c>
      <c r="B104" s="244" t="str">
        <f t="shared" si="1"/>
        <v>Hip Replacement PrimarySub-ICB of GP PracticeNHS WEST YORKSHIRE ICB - 03R (03R)EQ VAS</v>
      </c>
      <c r="C104" t="s">
        <v>749</v>
      </c>
      <c r="D104" t="s">
        <v>1021</v>
      </c>
      <c r="E104" t="s">
        <v>955</v>
      </c>
      <c r="F104" t="s">
        <v>956</v>
      </c>
      <c r="G104" t="s">
        <v>752</v>
      </c>
      <c r="H104">
        <v>156</v>
      </c>
      <c r="I104">
        <v>58.5</v>
      </c>
      <c r="J104">
        <v>72.865399999999994</v>
      </c>
      <c r="K104">
        <v>14.365399999999999</v>
      </c>
      <c r="L104">
        <v>109</v>
      </c>
      <c r="M104">
        <v>8</v>
      </c>
      <c r="N104">
        <v>39</v>
      </c>
      <c r="O104">
        <v>74.354600000000005</v>
      </c>
      <c r="P104">
        <v>13.5434</v>
      </c>
      <c r="Q104">
        <v>16.878799999999998</v>
      </c>
    </row>
    <row r="105" spans="1:17" x14ac:dyDescent="0.25">
      <c r="A105" t="str">
        <f>IF(C105&amp;G105&amp;D105&lt;&gt;'Funnel setup'!$K$3&amp;'Funnel setup'!$K$4&amp;'Funnel setup'!$K$6,".",IF(A104=".",1,A104+1))</f>
        <v>.</v>
      </c>
      <c r="B105" s="244" t="str">
        <f t="shared" si="1"/>
        <v>Hip Replacement PrimarySub-ICB of GP PracticeNHS WEST YORKSHIRE ICB - 15F (15F)EQ VAS</v>
      </c>
      <c r="C105" t="s">
        <v>749</v>
      </c>
      <c r="D105" t="s">
        <v>1021</v>
      </c>
      <c r="E105" t="s">
        <v>957</v>
      </c>
      <c r="F105" t="s">
        <v>958</v>
      </c>
      <c r="G105" t="s">
        <v>752</v>
      </c>
      <c r="H105">
        <v>206</v>
      </c>
      <c r="I105">
        <v>61.067999999999998</v>
      </c>
      <c r="J105">
        <v>74.781599999999997</v>
      </c>
      <c r="K105">
        <v>13.7136</v>
      </c>
      <c r="L105">
        <v>139</v>
      </c>
      <c r="M105">
        <v>24</v>
      </c>
      <c r="N105">
        <v>43</v>
      </c>
      <c r="O105">
        <v>74.186700000000002</v>
      </c>
      <c r="P105">
        <v>13.375400000000001</v>
      </c>
      <c r="Q105">
        <v>15.898899999999999</v>
      </c>
    </row>
    <row r="106" spans="1:17" x14ac:dyDescent="0.25">
      <c r="A106" t="str">
        <f>IF(C106&amp;G106&amp;D106&lt;&gt;'Funnel setup'!$K$3&amp;'Funnel setup'!$K$4&amp;'Funnel setup'!$K$6,".",IF(A105=".",1,A105+1))</f>
        <v>.</v>
      </c>
      <c r="B106" s="244" t="str">
        <f t="shared" si="1"/>
        <v>Hip Replacement PrimarySub-ICB of GP PracticeNHS WEST YORKSHIRE ICB - 36J (36J)EQ VAS</v>
      </c>
      <c r="C106" t="s">
        <v>749</v>
      </c>
      <c r="D106" t="s">
        <v>1021</v>
      </c>
      <c r="E106" t="s">
        <v>959</v>
      </c>
      <c r="F106" t="s">
        <v>960</v>
      </c>
      <c r="G106" t="s">
        <v>752</v>
      </c>
      <c r="H106">
        <v>85</v>
      </c>
      <c r="I106">
        <v>60.976500000000001</v>
      </c>
      <c r="J106">
        <v>79.211799999999997</v>
      </c>
      <c r="K106">
        <v>18.235299999999999</v>
      </c>
      <c r="L106">
        <v>63</v>
      </c>
      <c r="M106">
        <v>7</v>
      </c>
      <c r="N106">
        <v>15</v>
      </c>
      <c r="O106">
        <v>79.501599999999996</v>
      </c>
      <c r="P106">
        <v>18.6904</v>
      </c>
      <c r="Q106">
        <v>16.325800000000001</v>
      </c>
    </row>
    <row r="107" spans="1:17" x14ac:dyDescent="0.25">
      <c r="A107" t="str">
        <f>IF(C107&amp;G107&amp;D107&lt;&gt;'Funnel setup'!$K$3&amp;'Funnel setup'!$K$4&amp;'Funnel setup'!$K$6,".",IF(A106=".",1,A106+1))</f>
        <v>.</v>
      </c>
      <c r="B107" s="244" t="str">
        <f t="shared" si="1"/>
        <v>Hip Replacement PrimarySub-ICB of GP PracticeNHS WEST YORKSHIRE ICB - X2C4Y (X2C4Y)EQ VAS</v>
      </c>
      <c r="C107" t="s">
        <v>749</v>
      </c>
      <c r="D107" t="s">
        <v>1021</v>
      </c>
      <c r="E107" t="s">
        <v>961</v>
      </c>
      <c r="F107" t="s">
        <v>962</v>
      </c>
      <c r="G107" t="s">
        <v>752</v>
      </c>
      <c r="H107">
        <v>102</v>
      </c>
      <c r="I107">
        <v>58.990200000000002</v>
      </c>
      <c r="J107">
        <v>75.402000000000001</v>
      </c>
      <c r="K107">
        <v>16.411799999999999</v>
      </c>
      <c r="L107">
        <v>73</v>
      </c>
      <c r="M107">
        <v>11</v>
      </c>
      <c r="N107">
        <v>18</v>
      </c>
      <c r="O107">
        <v>77.213099999999997</v>
      </c>
      <c r="P107">
        <v>16.401800000000001</v>
      </c>
      <c r="Q107">
        <v>15.6602</v>
      </c>
    </row>
    <row r="108" spans="1:17" x14ac:dyDescent="0.25">
      <c r="A108" t="str">
        <f>IF(C108&amp;G108&amp;D108&lt;&gt;'Funnel setup'!$K$3&amp;'Funnel setup'!$K$4&amp;'Funnel setup'!$K$6,".",IF(A107=".",1,A107+1))</f>
        <v>.</v>
      </c>
      <c r="B108" s="244" t="str">
        <f t="shared" si="1"/>
        <v>Hip Replacement PrimarySub-ICB of GP PracticeNHS BATH AND NORTH EAST SOMERSET, SWINDON AND WILTSHIRE ICB - 92G (92G)EQ-5D Index</v>
      </c>
      <c r="C108" t="s">
        <v>749</v>
      </c>
      <c r="D108" t="s">
        <v>1021</v>
      </c>
      <c r="E108" t="s">
        <v>750</v>
      </c>
      <c r="F108" t="s">
        <v>751</v>
      </c>
      <c r="G108" t="s">
        <v>963</v>
      </c>
      <c r="H108">
        <v>240</v>
      </c>
      <c r="I108">
        <v>0.43437900000000002</v>
      </c>
      <c r="J108">
        <v>0.82700399999999996</v>
      </c>
      <c r="K108">
        <v>0.392625</v>
      </c>
      <c r="L108">
        <v>217</v>
      </c>
      <c r="M108">
        <v>12</v>
      </c>
      <c r="N108">
        <v>11</v>
      </c>
      <c r="O108">
        <v>0.78317300000000001</v>
      </c>
      <c r="P108">
        <v>0.45733400000000002</v>
      </c>
      <c r="Q108">
        <v>0.20241200000000001</v>
      </c>
    </row>
    <row r="109" spans="1:17" x14ac:dyDescent="0.25">
      <c r="A109" t="str">
        <f>IF(C109&amp;G109&amp;D109&lt;&gt;'Funnel setup'!$K$3&amp;'Funnel setup'!$K$4&amp;'Funnel setup'!$K$6,".",IF(A108=".",1,A108+1))</f>
        <v>.</v>
      </c>
      <c r="B109" s="244" t="str">
        <f t="shared" si="1"/>
        <v>Hip Replacement PrimarySub-ICB of GP PracticeNHS BEDFORDSHIRE, LUTON AND MILTON KEYNES ICB - M1J4Y (M1J4Y)EQ-5D Index</v>
      </c>
      <c r="C109" t="s">
        <v>749</v>
      </c>
      <c r="D109" t="s">
        <v>1021</v>
      </c>
      <c r="E109" t="s">
        <v>753</v>
      </c>
      <c r="F109" t="s">
        <v>754</v>
      </c>
      <c r="G109" t="s">
        <v>963</v>
      </c>
      <c r="H109">
        <v>221</v>
      </c>
      <c r="I109">
        <v>0.25037100000000001</v>
      </c>
      <c r="J109">
        <v>0.74838499999999997</v>
      </c>
      <c r="K109">
        <v>0.49801400000000001</v>
      </c>
      <c r="L109">
        <v>199</v>
      </c>
      <c r="M109">
        <v>13</v>
      </c>
      <c r="N109">
        <v>9</v>
      </c>
      <c r="O109">
        <v>0.77449699999999999</v>
      </c>
      <c r="P109">
        <v>0.44865899999999997</v>
      </c>
      <c r="Q109">
        <v>0.25967099999999999</v>
      </c>
    </row>
    <row r="110" spans="1:17" x14ac:dyDescent="0.25">
      <c r="A110" t="str">
        <f>IF(C110&amp;G110&amp;D110&lt;&gt;'Funnel setup'!$K$3&amp;'Funnel setup'!$K$4&amp;'Funnel setup'!$K$6,".",IF(A109=".",1,A109+1))</f>
        <v>.</v>
      </c>
      <c r="B110" s="244" t="str">
        <f t="shared" si="1"/>
        <v>Hip Replacement PrimarySub-ICB of GP PracticeNHS BIRMINGHAM AND SOLIHULL ICB - 15E (15E)EQ-5D Index</v>
      </c>
      <c r="C110" t="s">
        <v>749</v>
      </c>
      <c r="D110" t="s">
        <v>1021</v>
      </c>
      <c r="E110" t="s">
        <v>755</v>
      </c>
      <c r="F110" t="s">
        <v>756</v>
      </c>
      <c r="G110" t="s">
        <v>963</v>
      </c>
      <c r="H110">
        <v>347</v>
      </c>
      <c r="I110">
        <v>0.29152400000000001</v>
      </c>
      <c r="J110">
        <v>0.81385300000000005</v>
      </c>
      <c r="K110">
        <v>0.52232900000000004</v>
      </c>
      <c r="L110">
        <v>328</v>
      </c>
      <c r="M110">
        <v>5</v>
      </c>
      <c r="N110">
        <v>14</v>
      </c>
      <c r="O110">
        <v>0.81987900000000002</v>
      </c>
      <c r="P110">
        <v>0.49403999999999998</v>
      </c>
      <c r="Q110">
        <v>0.212287</v>
      </c>
    </row>
    <row r="111" spans="1:17" x14ac:dyDescent="0.25">
      <c r="A111" t="str">
        <f>IF(C111&amp;G111&amp;D111&lt;&gt;'Funnel setup'!$K$3&amp;'Funnel setup'!$K$4&amp;'Funnel setup'!$K$6,".",IF(A110=".",1,A110+1))</f>
        <v>.</v>
      </c>
      <c r="B111" s="244" t="str">
        <f t="shared" si="1"/>
        <v>Hip Replacement PrimarySub-ICB of GP PracticeNHS BLACK COUNTRY ICB - D2P2L (D2P2L)EQ-5D Index</v>
      </c>
      <c r="C111" t="s">
        <v>749</v>
      </c>
      <c r="D111" t="s">
        <v>1021</v>
      </c>
      <c r="E111" t="s">
        <v>757</v>
      </c>
      <c r="F111" t="s">
        <v>758</v>
      </c>
      <c r="G111" t="s">
        <v>963</v>
      </c>
      <c r="H111">
        <v>251</v>
      </c>
      <c r="I111">
        <v>0.29586099999999999</v>
      </c>
      <c r="J111">
        <v>0.77505999999999997</v>
      </c>
      <c r="K111">
        <v>0.47919899999999999</v>
      </c>
      <c r="L111">
        <v>225</v>
      </c>
      <c r="M111">
        <v>11</v>
      </c>
      <c r="N111">
        <v>15</v>
      </c>
      <c r="O111">
        <v>0.79934099999999997</v>
      </c>
      <c r="P111">
        <v>0.47350300000000001</v>
      </c>
      <c r="Q111">
        <v>0.231631</v>
      </c>
    </row>
    <row r="112" spans="1:17" x14ac:dyDescent="0.25">
      <c r="A112" t="str">
        <f>IF(C112&amp;G112&amp;D112&lt;&gt;'Funnel setup'!$K$3&amp;'Funnel setup'!$K$4&amp;'Funnel setup'!$K$6,".",IF(A111=".",1,A111+1))</f>
        <v>.</v>
      </c>
      <c r="B112" s="244" t="str">
        <f t="shared" si="1"/>
        <v>Hip Replacement PrimarySub-ICB of GP PracticeNHS BRISTOL, NORTH SOMERSET AND SOUTH GLOUCESTERSHIRE ICB - 15C (15C)EQ-5D Index</v>
      </c>
      <c r="C112" t="s">
        <v>749</v>
      </c>
      <c r="D112" t="s">
        <v>1021</v>
      </c>
      <c r="E112" t="s">
        <v>759</v>
      </c>
      <c r="F112" t="s">
        <v>760</v>
      </c>
      <c r="G112" t="s">
        <v>963</v>
      </c>
      <c r="H112">
        <v>220</v>
      </c>
      <c r="I112">
        <v>0.38439499999999999</v>
      </c>
      <c r="J112">
        <v>0.84122300000000005</v>
      </c>
      <c r="K112">
        <v>0.45682699999999998</v>
      </c>
      <c r="L112">
        <v>203</v>
      </c>
      <c r="M112">
        <v>10</v>
      </c>
      <c r="N112">
        <v>7</v>
      </c>
      <c r="O112">
        <v>0.81458600000000003</v>
      </c>
      <c r="P112">
        <v>0.48874800000000002</v>
      </c>
      <c r="Q112">
        <v>0.213394</v>
      </c>
    </row>
    <row r="113" spans="1:17" x14ac:dyDescent="0.25">
      <c r="A113" t="str">
        <f>IF(C113&amp;G113&amp;D113&lt;&gt;'Funnel setup'!$K$3&amp;'Funnel setup'!$K$4&amp;'Funnel setup'!$K$6,".",IF(A112=".",1,A112+1))</f>
        <v>.</v>
      </c>
      <c r="B113" s="244" t="str">
        <f t="shared" si="1"/>
        <v>Hip Replacement PrimarySub-ICB of GP PracticeNHS BUCKINGHAMSHIRE, OXFORDSHIRE AND BERKSHIRE WEST ICB - 10Q (10Q)EQ-5D Index</v>
      </c>
      <c r="C113" t="s">
        <v>749</v>
      </c>
      <c r="D113" t="s">
        <v>1021</v>
      </c>
      <c r="E113" t="s">
        <v>761</v>
      </c>
      <c r="F113" t="s">
        <v>762</v>
      </c>
      <c r="G113" t="s">
        <v>963</v>
      </c>
      <c r="H113">
        <v>342</v>
      </c>
      <c r="I113">
        <v>0.35948000000000002</v>
      </c>
      <c r="J113">
        <v>0.80347999999999997</v>
      </c>
      <c r="K113">
        <v>0.44400000000000001</v>
      </c>
      <c r="L113">
        <v>309</v>
      </c>
      <c r="M113">
        <v>16</v>
      </c>
      <c r="N113">
        <v>17</v>
      </c>
      <c r="O113">
        <v>0.78397499999999998</v>
      </c>
      <c r="P113">
        <v>0.45813700000000002</v>
      </c>
      <c r="Q113">
        <v>0.24507499999999999</v>
      </c>
    </row>
    <row r="114" spans="1:17" x14ac:dyDescent="0.25">
      <c r="A114" t="str">
        <f>IF(C114&amp;G114&amp;D114&lt;&gt;'Funnel setup'!$K$3&amp;'Funnel setup'!$K$4&amp;'Funnel setup'!$K$6,".",IF(A113=".",1,A113+1))</f>
        <v>.</v>
      </c>
      <c r="B114" s="244" t="str">
        <f t="shared" si="1"/>
        <v>Hip Replacement PrimarySub-ICB of GP PracticeNHS BUCKINGHAMSHIRE, OXFORDSHIRE AND BERKSHIRE WEST ICB - 14Y (14Y)EQ-5D Index</v>
      </c>
      <c r="C114" t="s">
        <v>749</v>
      </c>
      <c r="D114" t="s">
        <v>1021</v>
      </c>
      <c r="E114" t="s">
        <v>763</v>
      </c>
      <c r="F114" t="s">
        <v>764</v>
      </c>
      <c r="G114" t="s">
        <v>963</v>
      </c>
      <c r="H114">
        <v>214</v>
      </c>
      <c r="I114">
        <v>0.35914000000000001</v>
      </c>
      <c r="J114">
        <v>0.77760300000000004</v>
      </c>
      <c r="K114">
        <v>0.41846299999999997</v>
      </c>
      <c r="L114">
        <v>191</v>
      </c>
      <c r="M114">
        <v>11</v>
      </c>
      <c r="N114">
        <v>12</v>
      </c>
      <c r="O114">
        <v>0.75304499999999996</v>
      </c>
      <c r="P114">
        <v>0.42720599999999997</v>
      </c>
      <c r="Q114">
        <v>0.25707000000000002</v>
      </c>
    </row>
    <row r="115" spans="1:17" x14ac:dyDescent="0.25">
      <c r="A115" t="str">
        <f>IF(C115&amp;G115&amp;D115&lt;&gt;'Funnel setup'!$K$3&amp;'Funnel setup'!$K$4&amp;'Funnel setup'!$K$6,".",IF(A114=".",1,A114+1))</f>
        <v>.</v>
      </c>
      <c r="B115" s="244" t="str">
        <f t="shared" si="1"/>
        <v>Hip Replacement PrimarySub-ICB of GP PracticeNHS BUCKINGHAMSHIRE, OXFORDSHIRE AND BERKSHIRE WEST ICB - 15A (15A)EQ-5D Index</v>
      </c>
      <c r="C115" t="s">
        <v>749</v>
      </c>
      <c r="D115" t="s">
        <v>1021</v>
      </c>
      <c r="E115" t="s">
        <v>765</v>
      </c>
      <c r="F115" t="s">
        <v>766</v>
      </c>
      <c r="G115" t="s">
        <v>963</v>
      </c>
      <c r="H115">
        <v>60</v>
      </c>
      <c r="I115">
        <v>0.39311699999999999</v>
      </c>
      <c r="J115">
        <v>0.83958299999999997</v>
      </c>
      <c r="K115">
        <v>0.446467</v>
      </c>
      <c r="L115">
        <v>52</v>
      </c>
      <c r="M115">
        <v>7</v>
      </c>
      <c r="N115">
        <v>1</v>
      </c>
      <c r="O115">
        <v>0.79442299999999999</v>
      </c>
      <c r="P115">
        <v>0.46858499999999997</v>
      </c>
      <c r="Q115">
        <v>0.211645</v>
      </c>
    </row>
    <row r="116" spans="1:17" x14ac:dyDescent="0.25">
      <c r="A116" t="str">
        <f>IF(C116&amp;G116&amp;D116&lt;&gt;'Funnel setup'!$K$3&amp;'Funnel setup'!$K$4&amp;'Funnel setup'!$K$6,".",IF(A115=".",1,A115+1))</f>
        <v>.</v>
      </c>
      <c r="B116" s="244" t="str">
        <f t="shared" si="1"/>
        <v>Hip Replacement PrimarySub-ICB of GP PracticeNHS CAMBRIDGESHIRE AND PETERBOROUGH ICB - 06H (06H)EQ-5D Index</v>
      </c>
      <c r="C116" t="s">
        <v>749</v>
      </c>
      <c r="D116" t="s">
        <v>1021</v>
      </c>
      <c r="E116" t="s">
        <v>767</v>
      </c>
      <c r="F116" t="s">
        <v>768</v>
      </c>
      <c r="G116" t="s">
        <v>963</v>
      </c>
      <c r="H116">
        <v>215</v>
      </c>
      <c r="I116">
        <v>0.24210699999999999</v>
      </c>
      <c r="J116">
        <v>0.73951599999999995</v>
      </c>
      <c r="K116">
        <v>0.49740899999999999</v>
      </c>
      <c r="L116">
        <v>188</v>
      </c>
      <c r="M116">
        <v>12</v>
      </c>
      <c r="N116">
        <v>15</v>
      </c>
      <c r="O116">
        <v>0.764849</v>
      </c>
      <c r="P116">
        <v>0.43901099999999998</v>
      </c>
      <c r="Q116">
        <v>0.245091</v>
      </c>
    </row>
    <row r="117" spans="1:17" x14ac:dyDescent="0.25">
      <c r="A117" t="str">
        <f>IF(C117&amp;G117&amp;D117&lt;&gt;'Funnel setup'!$K$3&amp;'Funnel setup'!$K$4&amp;'Funnel setup'!$K$6,".",IF(A116=".",1,A116+1))</f>
        <v>.</v>
      </c>
      <c r="B117" s="244" t="str">
        <f t="shared" si="1"/>
        <v>Hip Replacement PrimarySub-ICB of GP PracticeNHS CHESHIRE AND MERSEYSIDE ICB - 01F (01F)EQ-5D Index</v>
      </c>
      <c r="C117" t="s">
        <v>749</v>
      </c>
      <c r="D117" t="s">
        <v>1021</v>
      </c>
      <c r="E117" t="s">
        <v>769</v>
      </c>
      <c r="F117" t="s">
        <v>770</v>
      </c>
      <c r="G117" t="s">
        <v>963</v>
      </c>
      <c r="H117">
        <v>30</v>
      </c>
      <c r="I117">
        <v>0.27879999999999999</v>
      </c>
      <c r="J117">
        <v>0.68593300000000001</v>
      </c>
      <c r="K117">
        <v>0.40713300000000002</v>
      </c>
      <c r="L117">
        <v>28</v>
      </c>
      <c r="M117">
        <v>0</v>
      </c>
      <c r="N117">
        <v>2</v>
      </c>
      <c r="O117">
        <v>0.72125300000000003</v>
      </c>
      <c r="P117">
        <v>0.39541399999999999</v>
      </c>
      <c r="Q117">
        <v>0.266129</v>
      </c>
    </row>
    <row r="118" spans="1:17" x14ac:dyDescent="0.25">
      <c r="A118" t="str">
        <f>IF(C118&amp;G118&amp;D118&lt;&gt;'Funnel setup'!$K$3&amp;'Funnel setup'!$K$4&amp;'Funnel setup'!$K$6,".",IF(A117=".",1,A117+1))</f>
        <v>.</v>
      </c>
      <c r="B118" s="244" t="str">
        <f t="shared" si="1"/>
        <v>Hip Replacement PrimarySub-ICB of GP PracticeNHS CHESHIRE AND MERSEYSIDE ICB - 01J (01J)EQ-5D Index</v>
      </c>
      <c r="C118" t="s">
        <v>749</v>
      </c>
      <c r="D118" t="s">
        <v>1021</v>
      </c>
      <c r="E118" t="s">
        <v>771</v>
      </c>
      <c r="F118" t="s">
        <v>772</v>
      </c>
      <c r="G118" t="s">
        <v>963</v>
      </c>
      <c r="H118">
        <v>37</v>
      </c>
      <c r="I118">
        <v>0.18740499999999999</v>
      </c>
      <c r="J118">
        <v>0.77805400000000002</v>
      </c>
      <c r="K118">
        <v>0.59064899999999998</v>
      </c>
      <c r="L118">
        <v>32</v>
      </c>
      <c r="M118">
        <v>3</v>
      </c>
      <c r="N118">
        <v>2</v>
      </c>
      <c r="O118">
        <v>0.83550800000000003</v>
      </c>
      <c r="P118">
        <v>0.50966900000000004</v>
      </c>
      <c r="Q118">
        <v>0.23263800000000001</v>
      </c>
    </row>
    <row r="119" spans="1:17" x14ac:dyDescent="0.25">
      <c r="A119" t="str">
        <f>IF(C119&amp;G119&amp;D119&lt;&gt;'Funnel setup'!$K$3&amp;'Funnel setup'!$K$4&amp;'Funnel setup'!$K$6,".",IF(A118=".",1,A118+1))</f>
        <v>.</v>
      </c>
      <c r="B119" s="244" t="str">
        <f t="shared" si="1"/>
        <v>Hip Replacement PrimarySub-ICB of GP PracticeNHS CHESHIRE AND MERSEYSIDE ICB - 01T (01T)EQ-5D Index</v>
      </c>
      <c r="C119" t="s">
        <v>749</v>
      </c>
      <c r="D119" t="s">
        <v>1021</v>
      </c>
      <c r="E119" t="s">
        <v>773</v>
      </c>
      <c r="F119" t="s">
        <v>774</v>
      </c>
      <c r="G119" t="s">
        <v>963</v>
      </c>
      <c r="H119">
        <v>42</v>
      </c>
      <c r="I119">
        <v>0.30438100000000001</v>
      </c>
      <c r="J119">
        <v>0.77726200000000001</v>
      </c>
      <c r="K119">
        <v>0.472881</v>
      </c>
      <c r="L119">
        <v>39</v>
      </c>
      <c r="M119">
        <v>2</v>
      </c>
      <c r="N119">
        <v>1</v>
      </c>
      <c r="O119">
        <v>0.77844500000000005</v>
      </c>
      <c r="P119">
        <v>0.45260699999999998</v>
      </c>
      <c r="Q119">
        <v>0.27010499999999998</v>
      </c>
    </row>
    <row r="120" spans="1:17" x14ac:dyDescent="0.25">
      <c r="A120" t="str">
        <f>IF(C120&amp;G120&amp;D120&lt;&gt;'Funnel setup'!$K$3&amp;'Funnel setup'!$K$4&amp;'Funnel setup'!$K$6,".",IF(A119=".",1,A119+1))</f>
        <v>.</v>
      </c>
      <c r="B120" s="244" t="str">
        <f t="shared" si="1"/>
        <v>Hip Replacement PrimarySub-ICB of GP PracticeNHS CHESHIRE AND MERSEYSIDE ICB - 01V (01V)EQ-5D Index</v>
      </c>
      <c r="C120" t="s">
        <v>749</v>
      </c>
      <c r="D120" t="s">
        <v>1021</v>
      </c>
      <c r="E120" t="s">
        <v>775</v>
      </c>
      <c r="F120" t="s">
        <v>776</v>
      </c>
      <c r="G120" t="s">
        <v>963</v>
      </c>
      <c r="H120">
        <v>22</v>
      </c>
      <c r="I120">
        <v>0.376</v>
      </c>
      <c r="J120">
        <v>0.78054500000000004</v>
      </c>
      <c r="K120">
        <v>0.40454499999999999</v>
      </c>
      <c r="L120">
        <v>21</v>
      </c>
      <c r="M120">
        <v>0</v>
      </c>
      <c r="N120">
        <v>1</v>
      </c>
      <c r="O120" t="s">
        <v>127</v>
      </c>
      <c r="P120" t="s">
        <v>127</v>
      </c>
      <c r="Q120" t="s">
        <v>127</v>
      </c>
    </row>
    <row r="121" spans="1:17" x14ac:dyDescent="0.25">
      <c r="A121" t="str">
        <f>IF(C121&amp;G121&amp;D121&lt;&gt;'Funnel setup'!$K$3&amp;'Funnel setup'!$K$4&amp;'Funnel setup'!$K$6,".",IF(A120=".",1,A120+1))</f>
        <v>.</v>
      </c>
      <c r="B121" s="244" t="str">
        <f t="shared" si="1"/>
        <v>Hip Replacement PrimarySub-ICB of GP PracticeNHS CHESHIRE AND MERSEYSIDE ICB - 01X (01X)EQ-5D Index</v>
      </c>
      <c r="C121" t="s">
        <v>749</v>
      </c>
      <c r="D121" t="s">
        <v>1021</v>
      </c>
      <c r="E121" t="s">
        <v>777</v>
      </c>
      <c r="F121" t="s">
        <v>778</v>
      </c>
      <c r="G121" t="s">
        <v>963</v>
      </c>
      <c r="H121">
        <v>58</v>
      </c>
      <c r="I121">
        <v>0.223638</v>
      </c>
      <c r="J121">
        <v>0.65905199999999997</v>
      </c>
      <c r="K121">
        <v>0.43541400000000002</v>
      </c>
      <c r="L121">
        <v>50</v>
      </c>
      <c r="M121">
        <v>4</v>
      </c>
      <c r="N121">
        <v>4</v>
      </c>
      <c r="O121">
        <v>0.70352999999999999</v>
      </c>
      <c r="P121">
        <v>0.377691</v>
      </c>
      <c r="Q121">
        <v>0.26762900000000001</v>
      </c>
    </row>
    <row r="122" spans="1:17" x14ac:dyDescent="0.25">
      <c r="A122" t="str">
        <f>IF(C122&amp;G122&amp;D122&lt;&gt;'Funnel setup'!$K$3&amp;'Funnel setup'!$K$4&amp;'Funnel setup'!$K$6,".",IF(A121=".",1,A121+1))</f>
        <v>.</v>
      </c>
      <c r="B122" s="244" t="str">
        <f t="shared" si="1"/>
        <v>Hip Replacement PrimarySub-ICB of GP PracticeNHS CHESHIRE AND MERSEYSIDE ICB - 02E (02E)EQ-5D Index</v>
      </c>
      <c r="C122" t="s">
        <v>749</v>
      </c>
      <c r="D122" t="s">
        <v>1021</v>
      </c>
      <c r="E122" t="s">
        <v>779</v>
      </c>
      <c r="F122" t="s">
        <v>780</v>
      </c>
      <c r="G122" t="s">
        <v>963</v>
      </c>
      <c r="H122">
        <v>32</v>
      </c>
      <c r="I122">
        <v>0.32200000000000001</v>
      </c>
      <c r="J122">
        <v>0.74550000000000005</v>
      </c>
      <c r="K122">
        <v>0.42349999999999999</v>
      </c>
      <c r="L122">
        <v>29</v>
      </c>
      <c r="M122">
        <v>1</v>
      </c>
      <c r="N122">
        <v>2</v>
      </c>
      <c r="O122">
        <v>0.74226300000000001</v>
      </c>
      <c r="P122">
        <v>0.41642400000000002</v>
      </c>
      <c r="Q122">
        <v>0.17424799999999999</v>
      </c>
    </row>
    <row r="123" spans="1:17" x14ac:dyDescent="0.25">
      <c r="A123" t="str">
        <f>IF(C123&amp;G123&amp;D123&lt;&gt;'Funnel setup'!$K$3&amp;'Funnel setup'!$K$4&amp;'Funnel setup'!$K$6,".",IF(A122=".",1,A122+1))</f>
        <v>.</v>
      </c>
      <c r="B123" s="244" t="str">
        <f t="shared" si="1"/>
        <v>Hip Replacement PrimarySub-ICB of GP PracticeNHS CHESHIRE AND MERSEYSIDE ICB - 12F (12F)EQ-5D Index</v>
      </c>
      <c r="C123" t="s">
        <v>749</v>
      </c>
      <c r="D123" t="s">
        <v>1021</v>
      </c>
      <c r="E123" t="s">
        <v>781</v>
      </c>
      <c r="F123" t="s">
        <v>782</v>
      </c>
      <c r="G123" t="s">
        <v>963</v>
      </c>
      <c r="H123">
        <v>88</v>
      </c>
      <c r="I123">
        <v>0.31980700000000001</v>
      </c>
      <c r="J123">
        <v>0.74341999999999997</v>
      </c>
      <c r="K123">
        <v>0.42361399999999999</v>
      </c>
      <c r="L123">
        <v>75</v>
      </c>
      <c r="M123">
        <v>11</v>
      </c>
      <c r="N123">
        <v>2</v>
      </c>
      <c r="O123">
        <v>0.74422500000000003</v>
      </c>
      <c r="P123">
        <v>0.41838700000000001</v>
      </c>
      <c r="Q123">
        <v>0.242918</v>
      </c>
    </row>
    <row r="124" spans="1:17" x14ac:dyDescent="0.25">
      <c r="A124" t="str">
        <f>IF(C124&amp;G124&amp;D124&lt;&gt;'Funnel setup'!$K$3&amp;'Funnel setup'!$K$4&amp;'Funnel setup'!$K$6,".",IF(A123=".",1,A123+1))</f>
        <v>.</v>
      </c>
      <c r="B124" s="244" t="str">
        <f t="shared" si="1"/>
        <v>Hip Replacement PrimarySub-ICB of GP PracticeNHS CHESHIRE AND MERSEYSIDE ICB - 27D (27D)EQ-5D Index</v>
      </c>
      <c r="C124" t="s">
        <v>749</v>
      </c>
      <c r="D124" t="s">
        <v>1021</v>
      </c>
      <c r="E124" t="s">
        <v>783</v>
      </c>
      <c r="F124" t="s">
        <v>784</v>
      </c>
      <c r="G124" t="s">
        <v>963</v>
      </c>
      <c r="H124">
        <v>256</v>
      </c>
      <c r="I124">
        <v>0.32331599999999999</v>
      </c>
      <c r="J124">
        <v>0.82098000000000004</v>
      </c>
      <c r="K124">
        <v>0.497664</v>
      </c>
      <c r="L124">
        <v>234</v>
      </c>
      <c r="M124">
        <v>11</v>
      </c>
      <c r="N124">
        <v>11</v>
      </c>
      <c r="O124">
        <v>0.81448699999999996</v>
      </c>
      <c r="P124">
        <v>0.488649</v>
      </c>
      <c r="Q124">
        <v>0.18737799999999999</v>
      </c>
    </row>
    <row r="125" spans="1:17" x14ac:dyDescent="0.25">
      <c r="A125" t="str">
        <f>IF(C125&amp;G125&amp;D125&lt;&gt;'Funnel setup'!$K$3&amp;'Funnel setup'!$K$4&amp;'Funnel setup'!$K$6,".",IF(A124=".",1,A124+1))</f>
        <v>.</v>
      </c>
      <c r="B125" s="244" t="str">
        <f t="shared" si="1"/>
        <v>Hip Replacement PrimarySub-ICB of GP PracticeNHS CHESHIRE AND MERSEYSIDE ICB - 99A (99A)EQ-5D Index</v>
      </c>
      <c r="C125" t="s">
        <v>749</v>
      </c>
      <c r="D125" t="s">
        <v>1021</v>
      </c>
      <c r="E125" t="s">
        <v>785</v>
      </c>
      <c r="F125" t="s">
        <v>786</v>
      </c>
      <c r="G125" t="s">
        <v>963</v>
      </c>
      <c r="H125">
        <v>79</v>
      </c>
      <c r="I125">
        <v>0.17382300000000001</v>
      </c>
      <c r="J125">
        <v>0.70226599999999995</v>
      </c>
      <c r="K125">
        <v>0.528443</v>
      </c>
      <c r="L125">
        <v>73</v>
      </c>
      <c r="M125">
        <v>4</v>
      </c>
      <c r="N125">
        <v>2</v>
      </c>
      <c r="O125">
        <v>0.78630199999999995</v>
      </c>
      <c r="P125">
        <v>0.46046399999999998</v>
      </c>
      <c r="Q125">
        <v>0.27314899999999998</v>
      </c>
    </row>
    <row r="126" spans="1:17" x14ac:dyDescent="0.25">
      <c r="A126" t="str">
        <f>IF(C126&amp;G126&amp;D126&lt;&gt;'Funnel setup'!$K$3&amp;'Funnel setup'!$K$4&amp;'Funnel setup'!$K$6,".",IF(A125=".",1,A125+1))</f>
        <v>.</v>
      </c>
      <c r="B126" s="244" t="str">
        <f t="shared" si="1"/>
        <v>Hip Replacement PrimarySub-ICB of GP PracticeNHS CORNWALL AND THE ISLES OF SCILLY ICB - 11N (11N)EQ-5D Index</v>
      </c>
      <c r="C126" t="s">
        <v>749</v>
      </c>
      <c r="D126" t="s">
        <v>1021</v>
      </c>
      <c r="E126" t="s">
        <v>787</v>
      </c>
      <c r="F126" t="s">
        <v>788</v>
      </c>
      <c r="G126" t="s">
        <v>963</v>
      </c>
      <c r="H126">
        <v>153</v>
      </c>
      <c r="I126">
        <v>0.39180999999999999</v>
      </c>
      <c r="J126">
        <v>0.84582400000000002</v>
      </c>
      <c r="K126">
        <v>0.454013</v>
      </c>
      <c r="L126">
        <v>142</v>
      </c>
      <c r="M126">
        <v>5</v>
      </c>
      <c r="N126">
        <v>6</v>
      </c>
      <c r="O126">
        <v>0.83325800000000005</v>
      </c>
      <c r="P126">
        <v>0.50741999999999998</v>
      </c>
      <c r="Q126">
        <v>0.24337300000000001</v>
      </c>
    </row>
    <row r="127" spans="1:17" x14ac:dyDescent="0.25">
      <c r="A127" t="str">
        <f>IF(C127&amp;G127&amp;D127&lt;&gt;'Funnel setup'!$K$3&amp;'Funnel setup'!$K$4&amp;'Funnel setup'!$K$6,".",IF(A126=".",1,A126+1))</f>
        <v>.</v>
      </c>
      <c r="B127" s="244" t="str">
        <f t="shared" si="1"/>
        <v>Hip Replacement PrimarySub-ICB of GP PracticeNHS COVENTRY AND WARWICKSHIRE ICB - B2M3M (B2M3M)EQ-5D Index</v>
      </c>
      <c r="C127" t="s">
        <v>749</v>
      </c>
      <c r="D127" t="s">
        <v>1021</v>
      </c>
      <c r="E127" t="s">
        <v>789</v>
      </c>
      <c r="F127" t="s">
        <v>790</v>
      </c>
      <c r="G127" t="s">
        <v>963</v>
      </c>
      <c r="H127">
        <v>257</v>
      </c>
      <c r="I127">
        <v>0.41563</v>
      </c>
      <c r="J127">
        <v>0.83371600000000001</v>
      </c>
      <c r="K127">
        <v>0.41808600000000001</v>
      </c>
      <c r="L127">
        <v>226</v>
      </c>
      <c r="M127">
        <v>18</v>
      </c>
      <c r="N127">
        <v>13</v>
      </c>
      <c r="O127">
        <v>0.796489</v>
      </c>
      <c r="P127">
        <v>0.47065099999999999</v>
      </c>
      <c r="Q127">
        <v>0.21595400000000001</v>
      </c>
    </row>
    <row r="128" spans="1:17" x14ac:dyDescent="0.25">
      <c r="A128" t="str">
        <f>IF(C128&amp;G128&amp;D128&lt;&gt;'Funnel setup'!$K$3&amp;'Funnel setup'!$K$4&amp;'Funnel setup'!$K$6,".",IF(A127=".",1,A127+1))</f>
        <v>.</v>
      </c>
      <c r="B128" s="244" t="str">
        <f t="shared" si="1"/>
        <v>Hip Replacement PrimarySub-ICB of GP PracticeNHS DERBY AND DERBYSHIRE ICB - 15M (15M)EQ-5D Index</v>
      </c>
      <c r="C128" t="s">
        <v>749</v>
      </c>
      <c r="D128" t="s">
        <v>1021</v>
      </c>
      <c r="E128" t="s">
        <v>791</v>
      </c>
      <c r="F128" t="s">
        <v>792</v>
      </c>
      <c r="G128" t="s">
        <v>963</v>
      </c>
      <c r="H128">
        <v>447</v>
      </c>
      <c r="I128">
        <v>0.27691900000000003</v>
      </c>
      <c r="J128">
        <v>0.76485899999999996</v>
      </c>
      <c r="K128">
        <v>0.48793999999999998</v>
      </c>
      <c r="L128">
        <v>399</v>
      </c>
      <c r="M128">
        <v>21</v>
      </c>
      <c r="N128">
        <v>27</v>
      </c>
      <c r="O128">
        <v>0.77982099999999999</v>
      </c>
      <c r="P128">
        <v>0.45398300000000003</v>
      </c>
      <c r="Q128">
        <v>0.24338000000000001</v>
      </c>
    </row>
    <row r="129" spans="1:17" x14ac:dyDescent="0.25">
      <c r="A129" t="str">
        <f>IF(C129&amp;G129&amp;D129&lt;&gt;'Funnel setup'!$K$3&amp;'Funnel setup'!$K$4&amp;'Funnel setup'!$K$6,".",IF(A128=".",1,A128+1))</f>
        <v>.</v>
      </c>
      <c r="B129" s="244" t="str">
        <f t="shared" si="1"/>
        <v>Hip Replacement PrimarySub-ICB of GP PracticeNHS DEVON ICB - 15N (15N)EQ-5D Index</v>
      </c>
      <c r="C129" t="s">
        <v>749</v>
      </c>
      <c r="D129" t="s">
        <v>1021</v>
      </c>
      <c r="E129" t="s">
        <v>793</v>
      </c>
      <c r="F129" t="s">
        <v>794</v>
      </c>
      <c r="G129" t="s">
        <v>963</v>
      </c>
      <c r="H129">
        <v>351</v>
      </c>
      <c r="I129">
        <v>0.31721899999999997</v>
      </c>
      <c r="J129">
        <v>0.81319900000000001</v>
      </c>
      <c r="K129">
        <v>0.49597999999999998</v>
      </c>
      <c r="L129">
        <v>318</v>
      </c>
      <c r="M129">
        <v>14</v>
      </c>
      <c r="N129">
        <v>19</v>
      </c>
      <c r="O129">
        <v>0.81737599999999999</v>
      </c>
      <c r="P129">
        <v>0.49153799999999997</v>
      </c>
      <c r="Q129">
        <v>0.212723</v>
      </c>
    </row>
    <row r="130" spans="1:17" x14ac:dyDescent="0.25">
      <c r="A130" t="str">
        <f>IF(C130&amp;G130&amp;D130&lt;&gt;'Funnel setup'!$K$3&amp;'Funnel setup'!$K$4&amp;'Funnel setup'!$K$6,".",IF(A129=".",1,A129+1))</f>
        <v>.</v>
      </c>
      <c r="B130" s="244" t="str">
        <f t="shared" ref="B130:B193" si="2">C130&amp;D130&amp;F130&amp;G130</f>
        <v>Hip Replacement PrimarySub-ICB of GP PracticeNHS DORSET ICB - 11J (11J)EQ-5D Index</v>
      </c>
      <c r="C130" t="s">
        <v>749</v>
      </c>
      <c r="D130" t="s">
        <v>1021</v>
      </c>
      <c r="E130" t="s">
        <v>795</v>
      </c>
      <c r="F130" t="s">
        <v>796</v>
      </c>
      <c r="G130" t="s">
        <v>963</v>
      </c>
      <c r="H130">
        <v>269</v>
      </c>
      <c r="I130">
        <v>0.382301</v>
      </c>
      <c r="J130">
        <v>0.81363200000000002</v>
      </c>
      <c r="K130">
        <v>0.43133100000000002</v>
      </c>
      <c r="L130">
        <v>240</v>
      </c>
      <c r="M130">
        <v>15</v>
      </c>
      <c r="N130">
        <v>14</v>
      </c>
      <c r="O130">
        <v>0.79634700000000003</v>
      </c>
      <c r="P130">
        <v>0.47050900000000001</v>
      </c>
      <c r="Q130">
        <v>0.241593</v>
      </c>
    </row>
    <row r="131" spans="1:17" x14ac:dyDescent="0.25">
      <c r="A131" t="str">
        <f>IF(C131&amp;G131&amp;D131&lt;&gt;'Funnel setup'!$K$3&amp;'Funnel setup'!$K$4&amp;'Funnel setup'!$K$6,".",IF(A130=".",1,A130+1))</f>
        <v>.</v>
      </c>
      <c r="B131" s="244" t="str">
        <f t="shared" si="2"/>
        <v>Hip Replacement PrimarySub-ICB of GP PracticeNHS FRIMLEY ICB - D4U1Y (D4U1Y)EQ-5D Index</v>
      </c>
      <c r="C131" t="s">
        <v>749</v>
      </c>
      <c r="D131" t="s">
        <v>1021</v>
      </c>
      <c r="E131" t="s">
        <v>797</v>
      </c>
      <c r="F131" t="s">
        <v>798</v>
      </c>
      <c r="G131" t="s">
        <v>963</v>
      </c>
      <c r="H131">
        <v>162</v>
      </c>
      <c r="I131">
        <v>0.35590100000000002</v>
      </c>
      <c r="J131">
        <v>0.80333299999999996</v>
      </c>
      <c r="K131">
        <v>0.447432</v>
      </c>
      <c r="L131">
        <v>149</v>
      </c>
      <c r="M131">
        <v>6</v>
      </c>
      <c r="N131">
        <v>7</v>
      </c>
      <c r="O131">
        <v>0.78990700000000003</v>
      </c>
      <c r="P131">
        <v>0.46406900000000001</v>
      </c>
      <c r="Q131">
        <v>0.20263</v>
      </c>
    </row>
    <row r="132" spans="1:17" x14ac:dyDescent="0.25">
      <c r="A132" t="str">
        <f>IF(C132&amp;G132&amp;D132&lt;&gt;'Funnel setup'!$K$3&amp;'Funnel setup'!$K$4&amp;'Funnel setup'!$K$6,".",IF(A131=".",1,A131+1))</f>
        <v>.</v>
      </c>
      <c r="B132" s="244" t="str">
        <f t="shared" si="2"/>
        <v>Hip Replacement PrimarySub-ICB of GP PracticeNHS GLOUCESTERSHIRE ICB - 11M (11M)EQ-5D Index</v>
      </c>
      <c r="C132" t="s">
        <v>749</v>
      </c>
      <c r="D132" t="s">
        <v>1021</v>
      </c>
      <c r="E132" t="s">
        <v>799</v>
      </c>
      <c r="F132" t="s">
        <v>800</v>
      </c>
      <c r="G132" t="s">
        <v>963</v>
      </c>
      <c r="H132">
        <v>161</v>
      </c>
      <c r="I132">
        <v>0.33149699999999999</v>
      </c>
      <c r="J132">
        <v>0.80511200000000005</v>
      </c>
      <c r="K132">
        <v>0.47361500000000001</v>
      </c>
      <c r="L132">
        <v>150</v>
      </c>
      <c r="M132">
        <v>5</v>
      </c>
      <c r="N132">
        <v>6</v>
      </c>
      <c r="O132">
        <v>0.79236099999999998</v>
      </c>
      <c r="P132">
        <v>0.46652199999999999</v>
      </c>
      <c r="Q132">
        <v>0.20969099999999999</v>
      </c>
    </row>
    <row r="133" spans="1:17" x14ac:dyDescent="0.25">
      <c r="A133" t="str">
        <f>IF(C133&amp;G133&amp;D133&lt;&gt;'Funnel setup'!$K$3&amp;'Funnel setup'!$K$4&amp;'Funnel setup'!$K$6,".",IF(A132=".",1,A132+1))</f>
        <v>.</v>
      </c>
      <c r="B133" s="244" t="str">
        <f t="shared" si="2"/>
        <v>Hip Replacement PrimarySub-ICB of GP PracticeNHS GREATER MANCHESTER ICB - 00T (00T)EQ-5D Index</v>
      </c>
      <c r="C133" t="s">
        <v>749</v>
      </c>
      <c r="D133" t="s">
        <v>1021</v>
      </c>
      <c r="E133" t="s">
        <v>801</v>
      </c>
      <c r="F133" t="s">
        <v>802</v>
      </c>
      <c r="G133" t="s">
        <v>963</v>
      </c>
      <c r="H133">
        <v>49</v>
      </c>
      <c r="I133">
        <v>0.24804100000000001</v>
      </c>
      <c r="J133">
        <v>0.74481600000000003</v>
      </c>
      <c r="K133">
        <v>0.496776</v>
      </c>
      <c r="L133">
        <v>44</v>
      </c>
      <c r="M133">
        <v>1</v>
      </c>
      <c r="N133">
        <v>4</v>
      </c>
      <c r="O133">
        <v>0.78937000000000002</v>
      </c>
      <c r="P133">
        <v>0.463532</v>
      </c>
      <c r="Q133">
        <v>0.259407</v>
      </c>
    </row>
    <row r="134" spans="1:17" x14ac:dyDescent="0.25">
      <c r="A134" t="str">
        <f>IF(C134&amp;G134&amp;D134&lt;&gt;'Funnel setup'!$K$3&amp;'Funnel setup'!$K$4&amp;'Funnel setup'!$K$6,".",IF(A133=".",1,A133+1))</f>
        <v>.</v>
      </c>
      <c r="B134" s="244" t="str">
        <f t="shared" si="2"/>
        <v>Hip Replacement PrimarySub-ICB of GP PracticeNHS GREATER MANCHESTER ICB - 00V (00V)EQ-5D Index</v>
      </c>
      <c r="C134" t="s">
        <v>749</v>
      </c>
      <c r="D134" t="s">
        <v>1021</v>
      </c>
      <c r="E134" t="s">
        <v>803</v>
      </c>
      <c r="F134" t="s">
        <v>804</v>
      </c>
      <c r="G134" t="s">
        <v>963</v>
      </c>
      <c r="H134">
        <v>15</v>
      </c>
      <c r="I134">
        <v>0.235933</v>
      </c>
      <c r="J134">
        <v>0.77573300000000001</v>
      </c>
      <c r="K134">
        <v>0.53979999999999995</v>
      </c>
      <c r="L134">
        <v>15</v>
      </c>
      <c r="M134">
        <v>0</v>
      </c>
      <c r="N134">
        <v>0</v>
      </c>
      <c r="O134" t="s">
        <v>127</v>
      </c>
      <c r="P134" t="s">
        <v>127</v>
      </c>
      <c r="Q134" t="s">
        <v>127</v>
      </c>
    </row>
    <row r="135" spans="1:17" x14ac:dyDescent="0.25">
      <c r="A135" t="str">
        <f>IF(C135&amp;G135&amp;D135&lt;&gt;'Funnel setup'!$K$3&amp;'Funnel setup'!$K$4&amp;'Funnel setup'!$K$6,".",IF(A134=".",1,A134+1))</f>
        <v>.</v>
      </c>
      <c r="B135" s="244" t="str">
        <f t="shared" si="2"/>
        <v>Hip Replacement PrimarySub-ICB of GP PracticeNHS GREATER MANCHESTER ICB - 00Y (00Y)EQ-5D Index</v>
      </c>
      <c r="C135" t="s">
        <v>749</v>
      </c>
      <c r="D135" t="s">
        <v>1021</v>
      </c>
      <c r="E135" t="s">
        <v>805</v>
      </c>
      <c r="F135" t="s">
        <v>806</v>
      </c>
      <c r="G135" t="s">
        <v>963</v>
      </c>
      <c r="H135">
        <v>66</v>
      </c>
      <c r="I135">
        <v>0.340227</v>
      </c>
      <c r="J135">
        <v>0.84721199999999997</v>
      </c>
      <c r="K135">
        <v>0.50698500000000002</v>
      </c>
      <c r="L135">
        <v>63</v>
      </c>
      <c r="M135">
        <v>2</v>
      </c>
      <c r="N135">
        <v>1</v>
      </c>
      <c r="O135">
        <v>0.83898700000000004</v>
      </c>
      <c r="P135">
        <v>0.51314899999999997</v>
      </c>
      <c r="Q135">
        <v>0.18621099999999999</v>
      </c>
    </row>
    <row r="136" spans="1:17" x14ac:dyDescent="0.25">
      <c r="A136" t="str">
        <f>IF(C136&amp;G136&amp;D136&lt;&gt;'Funnel setup'!$K$3&amp;'Funnel setup'!$K$4&amp;'Funnel setup'!$K$6,".",IF(A135=".",1,A135+1))</f>
        <v>.</v>
      </c>
      <c r="B136" s="244" t="str">
        <f t="shared" si="2"/>
        <v>Hip Replacement PrimarySub-ICB of GP PracticeNHS GREATER MANCHESTER ICB - 01D (01D)EQ-5D Index</v>
      </c>
      <c r="C136" t="s">
        <v>749</v>
      </c>
      <c r="D136" t="s">
        <v>1021</v>
      </c>
      <c r="E136" t="s">
        <v>807</v>
      </c>
      <c r="F136" t="s">
        <v>808</v>
      </c>
      <c r="G136" t="s">
        <v>963</v>
      </c>
      <c r="H136">
        <v>19</v>
      </c>
      <c r="I136">
        <v>0.331737</v>
      </c>
      <c r="J136">
        <v>0.71415799999999996</v>
      </c>
      <c r="K136">
        <v>0.38242100000000001</v>
      </c>
      <c r="L136">
        <v>17</v>
      </c>
      <c r="M136">
        <v>0</v>
      </c>
      <c r="N136">
        <v>2</v>
      </c>
      <c r="O136" t="s">
        <v>127</v>
      </c>
      <c r="P136" t="s">
        <v>127</v>
      </c>
      <c r="Q136" t="s">
        <v>127</v>
      </c>
    </row>
    <row r="137" spans="1:17" x14ac:dyDescent="0.25">
      <c r="A137" t="str">
        <f>IF(C137&amp;G137&amp;D137&lt;&gt;'Funnel setup'!$K$3&amp;'Funnel setup'!$K$4&amp;'Funnel setup'!$K$6,".",IF(A136=".",1,A136+1))</f>
        <v>.</v>
      </c>
      <c r="B137" s="244" t="str">
        <f t="shared" si="2"/>
        <v>Hip Replacement PrimarySub-ICB of GP PracticeNHS GREATER MANCHESTER ICB - 01G (01G)EQ-5D Index</v>
      </c>
      <c r="C137" t="s">
        <v>749</v>
      </c>
      <c r="D137" t="s">
        <v>1021</v>
      </c>
      <c r="E137" t="s">
        <v>809</v>
      </c>
      <c r="F137" t="s">
        <v>810</v>
      </c>
      <c r="G137" t="s">
        <v>963</v>
      </c>
      <c r="H137">
        <v>34</v>
      </c>
      <c r="I137">
        <v>0.35305900000000001</v>
      </c>
      <c r="J137">
        <v>0.76547100000000001</v>
      </c>
      <c r="K137">
        <v>0.412412</v>
      </c>
      <c r="L137">
        <v>26</v>
      </c>
      <c r="M137">
        <v>5</v>
      </c>
      <c r="N137">
        <v>3</v>
      </c>
      <c r="O137">
        <v>0.77497499999999997</v>
      </c>
      <c r="P137">
        <v>0.44913599999999998</v>
      </c>
      <c r="Q137">
        <v>0.24382799999999999</v>
      </c>
    </row>
    <row r="138" spans="1:17" x14ac:dyDescent="0.25">
      <c r="A138" t="str">
        <f>IF(C138&amp;G138&amp;D138&lt;&gt;'Funnel setup'!$K$3&amp;'Funnel setup'!$K$4&amp;'Funnel setup'!$K$6,".",IF(A137=".",1,A137+1))</f>
        <v>.</v>
      </c>
      <c r="B138" s="244" t="str">
        <f t="shared" si="2"/>
        <v>Hip Replacement PrimarySub-ICB of GP PracticeNHS GREATER MANCHESTER ICB - 01W (01W)EQ-5D Index</v>
      </c>
      <c r="C138" t="s">
        <v>749</v>
      </c>
      <c r="D138" t="s">
        <v>1021</v>
      </c>
      <c r="E138" t="s">
        <v>811</v>
      </c>
      <c r="F138" t="s">
        <v>812</v>
      </c>
      <c r="G138" t="s">
        <v>963</v>
      </c>
      <c r="H138">
        <v>78</v>
      </c>
      <c r="I138">
        <v>0.328795</v>
      </c>
      <c r="J138">
        <v>0.80476899999999996</v>
      </c>
      <c r="K138">
        <v>0.47597400000000001</v>
      </c>
      <c r="L138">
        <v>72</v>
      </c>
      <c r="M138">
        <v>3</v>
      </c>
      <c r="N138">
        <v>3</v>
      </c>
      <c r="O138">
        <v>0.81634200000000001</v>
      </c>
      <c r="P138">
        <v>0.49050300000000002</v>
      </c>
      <c r="Q138">
        <v>0.198431</v>
      </c>
    </row>
    <row r="139" spans="1:17" x14ac:dyDescent="0.25">
      <c r="A139" t="str">
        <f>IF(C139&amp;G139&amp;D139&lt;&gt;'Funnel setup'!$K$3&amp;'Funnel setup'!$K$4&amp;'Funnel setup'!$K$6,".",IF(A138=".",1,A138+1))</f>
        <v>.</v>
      </c>
      <c r="B139" s="244" t="str">
        <f t="shared" si="2"/>
        <v>Hip Replacement PrimarySub-ICB of GP PracticeNHS GREATER MANCHESTER ICB - 01Y (01Y)EQ-5D Index</v>
      </c>
      <c r="C139" t="s">
        <v>749</v>
      </c>
      <c r="D139" t="s">
        <v>1021</v>
      </c>
      <c r="E139" t="s">
        <v>813</v>
      </c>
      <c r="F139" t="s">
        <v>814</v>
      </c>
      <c r="G139" t="s">
        <v>963</v>
      </c>
      <c r="H139">
        <v>33</v>
      </c>
      <c r="I139">
        <v>0.33700000000000002</v>
      </c>
      <c r="J139">
        <v>0.74351500000000004</v>
      </c>
      <c r="K139">
        <v>0.40651500000000002</v>
      </c>
      <c r="L139">
        <v>29</v>
      </c>
      <c r="M139">
        <v>2</v>
      </c>
      <c r="N139">
        <v>2</v>
      </c>
      <c r="O139">
        <v>0.74643400000000004</v>
      </c>
      <c r="P139">
        <v>0.42059600000000003</v>
      </c>
      <c r="Q139">
        <v>0.21596000000000001</v>
      </c>
    </row>
    <row r="140" spans="1:17" x14ac:dyDescent="0.25">
      <c r="A140" t="str">
        <f>IF(C140&amp;G140&amp;D140&lt;&gt;'Funnel setup'!$K$3&amp;'Funnel setup'!$K$4&amp;'Funnel setup'!$K$6,".",IF(A139=".",1,A139+1))</f>
        <v>.</v>
      </c>
      <c r="B140" s="244" t="str">
        <f t="shared" si="2"/>
        <v>Hip Replacement PrimarySub-ICB of GP PracticeNHS GREATER MANCHESTER ICB - 02A (02A)EQ-5D Index</v>
      </c>
      <c r="C140" t="s">
        <v>749</v>
      </c>
      <c r="D140" t="s">
        <v>1021</v>
      </c>
      <c r="E140" t="s">
        <v>815</v>
      </c>
      <c r="F140" t="s">
        <v>816</v>
      </c>
      <c r="G140" t="s">
        <v>963</v>
      </c>
      <c r="H140">
        <v>78</v>
      </c>
      <c r="I140">
        <v>0.31962800000000002</v>
      </c>
      <c r="J140">
        <v>0.75156400000000001</v>
      </c>
      <c r="K140">
        <v>0.43193599999999999</v>
      </c>
      <c r="L140">
        <v>70</v>
      </c>
      <c r="M140">
        <v>2</v>
      </c>
      <c r="N140">
        <v>6</v>
      </c>
      <c r="O140">
        <v>0.75293699999999997</v>
      </c>
      <c r="P140">
        <v>0.42709900000000001</v>
      </c>
      <c r="Q140">
        <v>0.218499</v>
      </c>
    </row>
    <row r="141" spans="1:17" x14ac:dyDescent="0.25">
      <c r="A141" t="str">
        <f>IF(C141&amp;G141&amp;D141&lt;&gt;'Funnel setup'!$K$3&amp;'Funnel setup'!$K$4&amp;'Funnel setup'!$K$6,".",IF(A140=".",1,A140+1))</f>
        <v>.</v>
      </c>
      <c r="B141" s="244" t="str">
        <f t="shared" si="2"/>
        <v>Hip Replacement PrimarySub-ICB of GP PracticeNHS GREATER MANCHESTER ICB - 02H (02H)EQ-5D Index</v>
      </c>
      <c r="C141" t="s">
        <v>749</v>
      </c>
      <c r="D141" t="s">
        <v>1021</v>
      </c>
      <c r="E141" t="s">
        <v>817</v>
      </c>
      <c r="F141" t="s">
        <v>818</v>
      </c>
      <c r="G141" t="s">
        <v>963</v>
      </c>
      <c r="H141">
        <v>29</v>
      </c>
      <c r="I141">
        <v>0.228379</v>
      </c>
      <c r="J141">
        <v>0.73317200000000005</v>
      </c>
      <c r="K141">
        <v>0.50479300000000005</v>
      </c>
      <c r="L141">
        <v>25</v>
      </c>
      <c r="M141">
        <v>2</v>
      </c>
      <c r="N141">
        <v>2</v>
      </c>
      <c r="O141" t="s">
        <v>127</v>
      </c>
      <c r="P141" t="s">
        <v>127</v>
      </c>
      <c r="Q141" t="s">
        <v>127</v>
      </c>
    </row>
    <row r="142" spans="1:17" x14ac:dyDescent="0.25">
      <c r="A142" t="str">
        <f>IF(C142&amp;G142&amp;D142&lt;&gt;'Funnel setup'!$K$3&amp;'Funnel setup'!$K$4&amp;'Funnel setup'!$K$6,".",IF(A141=".",1,A141+1))</f>
        <v>.</v>
      </c>
      <c r="B142" s="244" t="str">
        <f t="shared" si="2"/>
        <v>Hip Replacement PrimarySub-ICB of GP PracticeNHS GREATER MANCHESTER ICB - 14L (14L)EQ-5D Index</v>
      </c>
      <c r="C142" t="s">
        <v>749</v>
      </c>
      <c r="D142" t="s">
        <v>1021</v>
      </c>
      <c r="E142" t="s">
        <v>819</v>
      </c>
      <c r="F142" t="s">
        <v>820</v>
      </c>
      <c r="G142" t="s">
        <v>963</v>
      </c>
      <c r="H142">
        <v>43</v>
      </c>
      <c r="I142">
        <v>0.23139499999999999</v>
      </c>
      <c r="J142">
        <v>0.71113999999999999</v>
      </c>
      <c r="K142">
        <v>0.479744</v>
      </c>
      <c r="L142">
        <v>36</v>
      </c>
      <c r="M142">
        <v>3</v>
      </c>
      <c r="N142">
        <v>4</v>
      </c>
      <c r="O142">
        <v>0.75121300000000002</v>
      </c>
      <c r="P142">
        <v>0.425375</v>
      </c>
      <c r="Q142">
        <v>0.28964400000000001</v>
      </c>
    </row>
    <row r="143" spans="1:17" x14ac:dyDescent="0.25">
      <c r="A143" t="str">
        <f>IF(C143&amp;G143&amp;D143&lt;&gt;'Funnel setup'!$K$3&amp;'Funnel setup'!$K$4&amp;'Funnel setup'!$K$6,".",IF(A142=".",1,A142+1))</f>
        <v>.</v>
      </c>
      <c r="B143" s="244" t="str">
        <f t="shared" si="2"/>
        <v>Hip Replacement PrimarySub-ICB of GP PracticeNHS HAMPSHIRE AND ISLE OF WIGHT ICB - 10R (10R)EQ-5D Index</v>
      </c>
      <c r="C143" t="s">
        <v>749</v>
      </c>
      <c r="D143" t="s">
        <v>1021</v>
      </c>
      <c r="E143" t="s">
        <v>821</v>
      </c>
      <c r="F143" t="s">
        <v>822</v>
      </c>
      <c r="G143" t="s">
        <v>963</v>
      </c>
      <c r="H143">
        <v>12</v>
      </c>
      <c r="I143">
        <v>0.35483300000000001</v>
      </c>
      <c r="J143">
        <v>0.723333</v>
      </c>
      <c r="K143">
        <v>0.36849999999999999</v>
      </c>
      <c r="L143">
        <v>11</v>
      </c>
      <c r="M143">
        <v>1</v>
      </c>
      <c r="N143">
        <v>0</v>
      </c>
      <c r="O143" t="s">
        <v>127</v>
      </c>
      <c r="P143" t="s">
        <v>127</v>
      </c>
      <c r="Q143" t="s">
        <v>127</v>
      </c>
    </row>
    <row r="144" spans="1:17" x14ac:dyDescent="0.25">
      <c r="A144" t="str">
        <f>IF(C144&amp;G144&amp;D144&lt;&gt;'Funnel setup'!$K$3&amp;'Funnel setup'!$K$4&amp;'Funnel setup'!$K$6,".",IF(A143=".",1,A143+1))</f>
        <v>.</v>
      </c>
      <c r="B144" s="244" t="str">
        <f t="shared" si="2"/>
        <v>Hip Replacement PrimarySub-ICB of GP PracticeNHS HAMPSHIRE AND ISLE OF WIGHT ICB - D9Y0V (D9Y0V)EQ-5D Index</v>
      </c>
      <c r="C144" t="s">
        <v>749</v>
      </c>
      <c r="D144" t="s">
        <v>1021</v>
      </c>
      <c r="E144" t="s">
        <v>823</v>
      </c>
      <c r="F144" t="s">
        <v>824</v>
      </c>
      <c r="G144" t="s">
        <v>963</v>
      </c>
      <c r="H144">
        <v>408</v>
      </c>
      <c r="I144">
        <v>0.38479400000000002</v>
      </c>
      <c r="J144">
        <v>0.80383800000000005</v>
      </c>
      <c r="K144">
        <v>0.41904400000000003</v>
      </c>
      <c r="L144">
        <v>355</v>
      </c>
      <c r="M144">
        <v>30</v>
      </c>
      <c r="N144">
        <v>23</v>
      </c>
      <c r="O144">
        <v>0.78231200000000001</v>
      </c>
      <c r="P144">
        <v>0.45647300000000002</v>
      </c>
      <c r="Q144">
        <v>0.21870600000000001</v>
      </c>
    </row>
    <row r="145" spans="1:17" x14ac:dyDescent="0.25">
      <c r="A145" t="str">
        <f>IF(C145&amp;G145&amp;D145&lt;&gt;'Funnel setup'!$K$3&amp;'Funnel setup'!$K$4&amp;'Funnel setup'!$K$6,".",IF(A144=".",1,A144+1))</f>
        <v>.</v>
      </c>
      <c r="B145" s="244" t="str">
        <f t="shared" si="2"/>
        <v>Hip Replacement PrimarySub-ICB of GP PracticeNHS HEREFORDSHIRE AND WORCESTERSHIRE ICB - 18C (18C)EQ-5D Index</v>
      </c>
      <c r="C145" t="s">
        <v>749</v>
      </c>
      <c r="D145" t="s">
        <v>1021</v>
      </c>
      <c r="E145" t="s">
        <v>825</v>
      </c>
      <c r="F145" t="s">
        <v>826</v>
      </c>
      <c r="G145" t="s">
        <v>963</v>
      </c>
      <c r="H145">
        <v>201</v>
      </c>
      <c r="I145">
        <v>0.25394499999999998</v>
      </c>
      <c r="J145">
        <v>0.78470600000000001</v>
      </c>
      <c r="K145">
        <v>0.53076100000000004</v>
      </c>
      <c r="L145">
        <v>184</v>
      </c>
      <c r="M145">
        <v>4</v>
      </c>
      <c r="N145">
        <v>13</v>
      </c>
      <c r="O145">
        <v>0.80405700000000002</v>
      </c>
      <c r="P145">
        <v>0.47821900000000001</v>
      </c>
      <c r="Q145">
        <v>0.240315</v>
      </c>
    </row>
    <row r="146" spans="1:17" x14ac:dyDescent="0.25">
      <c r="A146" t="str">
        <f>IF(C146&amp;G146&amp;D146&lt;&gt;'Funnel setup'!$K$3&amp;'Funnel setup'!$K$4&amp;'Funnel setup'!$K$6,".",IF(A145=".",1,A145+1))</f>
        <v>.</v>
      </c>
      <c r="B146" s="244" t="str">
        <f t="shared" si="2"/>
        <v>Hip Replacement PrimarySub-ICB of GP PracticeNHS HERTFORDSHIRE AND WEST ESSEX ICB - 06K (06K)EQ-5D Index</v>
      </c>
      <c r="C146" t="s">
        <v>749</v>
      </c>
      <c r="D146" t="s">
        <v>1021</v>
      </c>
      <c r="E146" t="s">
        <v>827</v>
      </c>
      <c r="F146" t="s">
        <v>828</v>
      </c>
      <c r="G146" t="s">
        <v>963</v>
      </c>
      <c r="H146">
        <v>100</v>
      </c>
      <c r="I146">
        <v>0.31278</v>
      </c>
      <c r="J146">
        <v>0.73394000000000004</v>
      </c>
      <c r="K146">
        <v>0.42115999999999998</v>
      </c>
      <c r="L146">
        <v>90</v>
      </c>
      <c r="M146">
        <v>2</v>
      </c>
      <c r="N146">
        <v>8</v>
      </c>
      <c r="O146">
        <v>0.73507</v>
      </c>
      <c r="P146">
        <v>0.40923199999999998</v>
      </c>
      <c r="Q146">
        <v>0.27054600000000001</v>
      </c>
    </row>
    <row r="147" spans="1:17" x14ac:dyDescent="0.25">
      <c r="A147" t="str">
        <f>IF(C147&amp;G147&amp;D147&lt;&gt;'Funnel setup'!$K$3&amp;'Funnel setup'!$K$4&amp;'Funnel setup'!$K$6,".",IF(A146=".",1,A146+1))</f>
        <v>.</v>
      </c>
      <c r="B147" s="244" t="str">
        <f t="shared" si="2"/>
        <v>Hip Replacement PrimarySub-ICB of GP PracticeNHS HERTFORDSHIRE AND WEST ESSEX ICB - 06N (06N)EQ-5D Index</v>
      </c>
      <c r="C147" t="s">
        <v>749</v>
      </c>
      <c r="D147" t="s">
        <v>1021</v>
      </c>
      <c r="E147" t="s">
        <v>829</v>
      </c>
      <c r="F147" t="s">
        <v>830</v>
      </c>
      <c r="G147" t="s">
        <v>963</v>
      </c>
      <c r="H147">
        <v>122</v>
      </c>
      <c r="I147">
        <v>0.332484</v>
      </c>
      <c r="J147">
        <v>0.74861500000000003</v>
      </c>
      <c r="K147">
        <v>0.41613099999999997</v>
      </c>
      <c r="L147">
        <v>107</v>
      </c>
      <c r="M147">
        <v>6</v>
      </c>
      <c r="N147">
        <v>9</v>
      </c>
      <c r="O147">
        <v>0.74173699999999998</v>
      </c>
      <c r="P147">
        <v>0.41589900000000002</v>
      </c>
      <c r="Q147">
        <v>0.25457800000000003</v>
      </c>
    </row>
    <row r="148" spans="1:17" x14ac:dyDescent="0.25">
      <c r="A148" t="str">
        <f>IF(C148&amp;G148&amp;D148&lt;&gt;'Funnel setup'!$K$3&amp;'Funnel setup'!$K$4&amp;'Funnel setup'!$K$6,".",IF(A147=".",1,A147+1))</f>
        <v>.</v>
      </c>
      <c r="B148" s="244" t="str">
        <f t="shared" si="2"/>
        <v>Hip Replacement PrimarySub-ICB of GP PracticeNHS HERTFORDSHIRE AND WEST ESSEX ICB - 07H (07H)EQ-5D Index</v>
      </c>
      <c r="C148" t="s">
        <v>749</v>
      </c>
      <c r="D148" t="s">
        <v>1021</v>
      </c>
      <c r="E148" t="s">
        <v>831</v>
      </c>
      <c r="F148" t="s">
        <v>832</v>
      </c>
      <c r="G148" t="s">
        <v>963</v>
      </c>
      <c r="H148">
        <v>76</v>
      </c>
      <c r="I148">
        <v>0.34669699999999998</v>
      </c>
      <c r="J148">
        <v>0.78456599999999999</v>
      </c>
      <c r="K148">
        <v>0.43786799999999998</v>
      </c>
      <c r="L148">
        <v>72</v>
      </c>
      <c r="M148">
        <v>2</v>
      </c>
      <c r="N148">
        <v>2</v>
      </c>
      <c r="O148">
        <v>0.78406500000000001</v>
      </c>
      <c r="P148">
        <v>0.45822600000000002</v>
      </c>
      <c r="Q148">
        <v>0.22729099999999999</v>
      </c>
    </row>
    <row r="149" spans="1:17" x14ac:dyDescent="0.25">
      <c r="A149" t="str">
        <f>IF(C149&amp;G149&amp;D149&lt;&gt;'Funnel setup'!$K$3&amp;'Funnel setup'!$K$4&amp;'Funnel setup'!$K$6,".",IF(A148=".",1,A148+1))</f>
        <v>.</v>
      </c>
      <c r="B149" s="244" t="str">
        <f t="shared" si="2"/>
        <v>Hip Replacement PrimarySub-ICB of GP PracticeNHS HUMBER AND NORTH YORKSHIRE ICB - 02Y (02Y)EQ-5D Index</v>
      </c>
      <c r="C149" t="s">
        <v>749</v>
      </c>
      <c r="D149" t="s">
        <v>1021</v>
      </c>
      <c r="E149" t="s">
        <v>833</v>
      </c>
      <c r="F149" t="s">
        <v>834</v>
      </c>
      <c r="G149" t="s">
        <v>963</v>
      </c>
      <c r="H149">
        <v>66</v>
      </c>
      <c r="I149">
        <v>0.320303</v>
      </c>
      <c r="J149">
        <v>0.80442400000000003</v>
      </c>
      <c r="K149">
        <v>0.48412100000000002</v>
      </c>
      <c r="L149">
        <v>59</v>
      </c>
      <c r="M149">
        <v>2</v>
      </c>
      <c r="N149">
        <v>5</v>
      </c>
      <c r="O149">
        <v>0.80145</v>
      </c>
      <c r="P149">
        <v>0.47561100000000001</v>
      </c>
      <c r="Q149">
        <v>0.24873100000000001</v>
      </c>
    </row>
    <row r="150" spans="1:17" x14ac:dyDescent="0.25">
      <c r="A150" t="str">
        <f>IF(C150&amp;G150&amp;D150&lt;&gt;'Funnel setup'!$K$3&amp;'Funnel setup'!$K$4&amp;'Funnel setup'!$K$6,".",IF(A149=".",1,A149+1))</f>
        <v>.</v>
      </c>
      <c r="B150" s="244" t="str">
        <f t="shared" si="2"/>
        <v>Hip Replacement PrimarySub-ICB of GP PracticeNHS HUMBER AND NORTH YORKSHIRE ICB - 03F (03F)EQ-5D Index</v>
      </c>
      <c r="C150" t="s">
        <v>749</v>
      </c>
      <c r="D150" t="s">
        <v>1021</v>
      </c>
      <c r="E150" t="s">
        <v>835</v>
      </c>
      <c r="F150" t="s">
        <v>836</v>
      </c>
      <c r="G150" t="s">
        <v>963</v>
      </c>
      <c r="H150">
        <v>24</v>
      </c>
      <c r="I150">
        <v>0.160833</v>
      </c>
      <c r="J150">
        <v>0.66316699999999995</v>
      </c>
      <c r="K150">
        <v>0.50233300000000003</v>
      </c>
      <c r="L150">
        <v>21</v>
      </c>
      <c r="M150">
        <v>2</v>
      </c>
      <c r="N150">
        <v>1</v>
      </c>
      <c r="O150" t="s">
        <v>127</v>
      </c>
      <c r="P150" t="s">
        <v>127</v>
      </c>
      <c r="Q150" t="s">
        <v>127</v>
      </c>
    </row>
    <row r="151" spans="1:17" x14ac:dyDescent="0.25">
      <c r="A151" t="str">
        <f>IF(C151&amp;G151&amp;D151&lt;&gt;'Funnel setup'!$K$3&amp;'Funnel setup'!$K$4&amp;'Funnel setup'!$K$6,".",IF(A150=".",1,A150+1))</f>
        <v>.</v>
      </c>
      <c r="B151" s="244" t="str">
        <f t="shared" si="2"/>
        <v>Hip Replacement PrimarySub-ICB of GP PracticeNHS HUMBER AND NORTH YORKSHIRE ICB - 03H (03H)EQ-5D Index</v>
      </c>
      <c r="C151" t="s">
        <v>749</v>
      </c>
      <c r="D151" t="s">
        <v>1021</v>
      </c>
      <c r="E151" t="s">
        <v>837</v>
      </c>
      <c r="F151" t="s">
        <v>838</v>
      </c>
      <c r="G151" t="s">
        <v>963</v>
      </c>
      <c r="H151">
        <v>73</v>
      </c>
      <c r="I151">
        <v>0.33469900000000002</v>
      </c>
      <c r="J151">
        <v>0.73953400000000002</v>
      </c>
      <c r="K151">
        <v>0.40483599999999997</v>
      </c>
      <c r="L151">
        <v>59</v>
      </c>
      <c r="M151">
        <v>10</v>
      </c>
      <c r="N151">
        <v>4</v>
      </c>
      <c r="O151">
        <v>0.74809000000000003</v>
      </c>
      <c r="P151">
        <v>0.42225099999999999</v>
      </c>
      <c r="Q151">
        <v>0.24115400000000001</v>
      </c>
    </row>
    <row r="152" spans="1:17" x14ac:dyDescent="0.25">
      <c r="A152" t="str">
        <f>IF(C152&amp;G152&amp;D152&lt;&gt;'Funnel setup'!$K$3&amp;'Funnel setup'!$K$4&amp;'Funnel setup'!$K$6,".",IF(A151=".",1,A151+1))</f>
        <v>.</v>
      </c>
      <c r="B152" s="244" t="str">
        <f t="shared" si="2"/>
        <v>Hip Replacement PrimarySub-ICB of GP PracticeNHS HUMBER AND NORTH YORKSHIRE ICB - 03K (03K)EQ-5D Index</v>
      </c>
      <c r="C152" t="s">
        <v>749</v>
      </c>
      <c r="D152" t="s">
        <v>1021</v>
      </c>
      <c r="E152" t="s">
        <v>839</v>
      </c>
      <c r="F152" t="s">
        <v>840</v>
      </c>
      <c r="G152" t="s">
        <v>963</v>
      </c>
      <c r="H152">
        <v>59</v>
      </c>
      <c r="I152">
        <v>0.30033900000000002</v>
      </c>
      <c r="J152">
        <v>0.81083099999999997</v>
      </c>
      <c r="K152">
        <v>0.51049199999999995</v>
      </c>
      <c r="L152">
        <v>56</v>
      </c>
      <c r="M152">
        <v>1</v>
      </c>
      <c r="N152">
        <v>2</v>
      </c>
      <c r="O152">
        <v>0.81143399999999999</v>
      </c>
      <c r="P152">
        <v>0.485595</v>
      </c>
      <c r="Q152">
        <v>0.20852599999999999</v>
      </c>
    </row>
    <row r="153" spans="1:17" x14ac:dyDescent="0.25">
      <c r="A153" t="str">
        <f>IF(C153&amp;G153&amp;D153&lt;&gt;'Funnel setup'!$K$3&amp;'Funnel setup'!$K$4&amp;'Funnel setup'!$K$6,".",IF(A152=".",1,A152+1))</f>
        <v>.</v>
      </c>
      <c r="B153" s="244" t="str">
        <f t="shared" si="2"/>
        <v>Hip Replacement PrimarySub-ICB of GP PracticeNHS HUMBER AND NORTH YORKSHIRE ICB - 03Q (03Q)EQ-5D Index</v>
      </c>
      <c r="C153" t="s">
        <v>749</v>
      </c>
      <c r="D153" t="s">
        <v>1021</v>
      </c>
      <c r="E153" t="s">
        <v>841</v>
      </c>
      <c r="F153" t="s">
        <v>842</v>
      </c>
      <c r="G153" t="s">
        <v>963</v>
      </c>
      <c r="H153">
        <v>75</v>
      </c>
      <c r="I153">
        <v>0.34005299999999999</v>
      </c>
      <c r="J153">
        <v>0.78821300000000005</v>
      </c>
      <c r="K153">
        <v>0.44816</v>
      </c>
      <c r="L153">
        <v>67</v>
      </c>
      <c r="M153">
        <v>4</v>
      </c>
      <c r="N153">
        <v>4</v>
      </c>
      <c r="O153">
        <v>0.77651800000000004</v>
      </c>
      <c r="P153">
        <v>0.45068000000000003</v>
      </c>
      <c r="Q153">
        <v>0.21798600000000001</v>
      </c>
    </row>
    <row r="154" spans="1:17" x14ac:dyDescent="0.25">
      <c r="A154" t="str">
        <f>IF(C154&amp;G154&amp;D154&lt;&gt;'Funnel setup'!$K$3&amp;'Funnel setup'!$K$4&amp;'Funnel setup'!$K$6,".",IF(A153=".",1,A153+1))</f>
        <v>.</v>
      </c>
      <c r="B154" s="244" t="str">
        <f t="shared" si="2"/>
        <v>Hip Replacement PrimarySub-ICB of GP PracticeNHS HUMBER AND NORTH YORKSHIRE ICB - 42D (42D)EQ-5D Index</v>
      </c>
      <c r="C154" t="s">
        <v>749</v>
      </c>
      <c r="D154" t="s">
        <v>1021</v>
      </c>
      <c r="E154" t="s">
        <v>843</v>
      </c>
      <c r="F154" t="s">
        <v>844</v>
      </c>
      <c r="G154" t="s">
        <v>963</v>
      </c>
      <c r="H154">
        <v>243</v>
      </c>
      <c r="I154">
        <v>0.29645700000000003</v>
      </c>
      <c r="J154">
        <v>0.82144399999999995</v>
      </c>
      <c r="K154">
        <v>0.52498800000000001</v>
      </c>
      <c r="L154">
        <v>228</v>
      </c>
      <c r="M154">
        <v>8</v>
      </c>
      <c r="N154">
        <v>7</v>
      </c>
      <c r="O154">
        <v>0.82798400000000005</v>
      </c>
      <c r="P154">
        <v>0.50214599999999998</v>
      </c>
      <c r="Q154">
        <v>0.215058</v>
      </c>
    </row>
    <row r="155" spans="1:17" x14ac:dyDescent="0.25">
      <c r="A155" t="str">
        <f>IF(C155&amp;G155&amp;D155&lt;&gt;'Funnel setup'!$K$3&amp;'Funnel setup'!$K$4&amp;'Funnel setup'!$K$6,".",IF(A154=".",1,A154+1))</f>
        <v>.</v>
      </c>
      <c r="B155" s="244" t="str">
        <f t="shared" si="2"/>
        <v>Hip Replacement PrimarySub-ICB of GP PracticeNHS KENT AND MEDWAY ICB - 91Q (91Q)EQ-5D Index</v>
      </c>
      <c r="C155" t="s">
        <v>749</v>
      </c>
      <c r="D155" t="s">
        <v>1021</v>
      </c>
      <c r="E155" t="s">
        <v>845</v>
      </c>
      <c r="F155" t="s">
        <v>846</v>
      </c>
      <c r="G155" t="s">
        <v>963</v>
      </c>
      <c r="H155">
        <v>479</v>
      </c>
      <c r="I155">
        <v>0.35470400000000002</v>
      </c>
      <c r="J155">
        <v>0.79207499999999997</v>
      </c>
      <c r="K155">
        <v>0.43737199999999998</v>
      </c>
      <c r="L155">
        <v>436</v>
      </c>
      <c r="M155">
        <v>26</v>
      </c>
      <c r="N155">
        <v>17</v>
      </c>
      <c r="O155">
        <v>0.78267699999999996</v>
      </c>
      <c r="P155">
        <v>0.45683800000000002</v>
      </c>
      <c r="Q155">
        <v>0.222748</v>
      </c>
    </row>
    <row r="156" spans="1:17" x14ac:dyDescent="0.25">
      <c r="A156" t="str">
        <f>IF(C156&amp;G156&amp;D156&lt;&gt;'Funnel setup'!$K$3&amp;'Funnel setup'!$K$4&amp;'Funnel setup'!$K$6,".",IF(A155=".",1,A155+1))</f>
        <v>.</v>
      </c>
      <c r="B156" s="244" t="str">
        <f t="shared" si="2"/>
        <v>Hip Replacement PrimarySub-ICB of GP PracticeNHS LANCASHIRE AND SOUTH CUMBRIA ICB - 00Q (00Q)EQ-5D Index</v>
      </c>
      <c r="C156" t="s">
        <v>749</v>
      </c>
      <c r="D156" t="s">
        <v>1021</v>
      </c>
      <c r="E156" t="s">
        <v>847</v>
      </c>
      <c r="F156" t="s">
        <v>848</v>
      </c>
      <c r="G156" t="s">
        <v>963</v>
      </c>
      <c r="H156">
        <v>40</v>
      </c>
      <c r="I156">
        <v>0.35639999999999999</v>
      </c>
      <c r="J156">
        <v>0.74504999999999999</v>
      </c>
      <c r="K156">
        <v>0.38865</v>
      </c>
      <c r="L156">
        <v>37</v>
      </c>
      <c r="M156">
        <v>0</v>
      </c>
      <c r="N156">
        <v>3</v>
      </c>
      <c r="O156">
        <v>0.76697599999999999</v>
      </c>
      <c r="P156">
        <v>0.441137</v>
      </c>
      <c r="Q156">
        <v>0.23061100000000001</v>
      </c>
    </row>
    <row r="157" spans="1:17" x14ac:dyDescent="0.25">
      <c r="A157" t="str">
        <f>IF(C157&amp;G157&amp;D157&lt;&gt;'Funnel setup'!$K$3&amp;'Funnel setup'!$K$4&amp;'Funnel setup'!$K$6,".",IF(A156=".",1,A156+1))</f>
        <v>.</v>
      </c>
      <c r="B157" s="244" t="str">
        <f t="shared" si="2"/>
        <v>Hip Replacement PrimarySub-ICB of GP PracticeNHS LANCASHIRE AND SOUTH CUMBRIA ICB - 00R (00R)EQ-5D Index</v>
      </c>
      <c r="C157" t="s">
        <v>749</v>
      </c>
      <c r="D157" t="s">
        <v>1021</v>
      </c>
      <c r="E157" t="s">
        <v>849</v>
      </c>
      <c r="F157" t="s">
        <v>850</v>
      </c>
      <c r="G157" t="s">
        <v>963</v>
      </c>
      <c r="H157">
        <v>37</v>
      </c>
      <c r="I157">
        <v>0.35248600000000002</v>
      </c>
      <c r="J157">
        <v>0.78927000000000003</v>
      </c>
      <c r="K157">
        <v>0.43678400000000001</v>
      </c>
      <c r="L157">
        <v>33</v>
      </c>
      <c r="M157">
        <v>2</v>
      </c>
      <c r="N157">
        <v>2</v>
      </c>
      <c r="O157">
        <v>0.80737599999999998</v>
      </c>
      <c r="P157">
        <v>0.48153699999999999</v>
      </c>
      <c r="Q157">
        <v>0.23430799999999999</v>
      </c>
    </row>
    <row r="158" spans="1:17" x14ac:dyDescent="0.25">
      <c r="A158" t="str">
        <f>IF(C158&amp;G158&amp;D158&lt;&gt;'Funnel setup'!$K$3&amp;'Funnel setup'!$K$4&amp;'Funnel setup'!$K$6,".",IF(A157=".",1,A157+1))</f>
        <v>.</v>
      </c>
      <c r="B158" s="244" t="str">
        <f t="shared" si="2"/>
        <v>Hip Replacement PrimarySub-ICB of GP PracticeNHS LANCASHIRE AND SOUTH CUMBRIA ICB - 00X (00X)EQ-5D Index</v>
      </c>
      <c r="C158" t="s">
        <v>749</v>
      </c>
      <c r="D158" t="s">
        <v>1021</v>
      </c>
      <c r="E158" t="s">
        <v>851</v>
      </c>
      <c r="F158" t="s">
        <v>852</v>
      </c>
      <c r="G158" t="s">
        <v>963</v>
      </c>
      <c r="H158">
        <v>61</v>
      </c>
      <c r="I158">
        <v>0.27213100000000001</v>
      </c>
      <c r="J158">
        <v>0.80945900000000004</v>
      </c>
      <c r="K158">
        <v>0.53732800000000003</v>
      </c>
      <c r="L158">
        <v>58</v>
      </c>
      <c r="M158">
        <v>2</v>
      </c>
      <c r="N158">
        <v>1</v>
      </c>
      <c r="O158">
        <v>0.82191800000000004</v>
      </c>
      <c r="P158">
        <v>0.49607899999999999</v>
      </c>
      <c r="Q158">
        <v>0.204513</v>
      </c>
    </row>
    <row r="159" spans="1:17" x14ac:dyDescent="0.25">
      <c r="A159" t="str">
        <f>IF(C159&amp;G159&amp;D159&lt;&gt;'Funnel setup'!$K$3&amp;'Funnel setup'!$K$4&amp;'Funnel setup'!$K$6,".",IF(A158=".",1,A158+1))</f>
        <v>.</v>
      </c>
      <c r="B159" s="244" t="str">
        <f t="shared" si="2"/>
        <v>Hip Replacement PrimarySub-ICB of GP PracticeNHS LANCASHIRE AND SOUTH CUMBRIA ICB - 01A (01A)EQ-5D Index</v>
      </c>
      <c r="C159" t="s">
        <v>749</v>
      </c>
      <c r="D159" t="s">
        <v>1021</v>
      </c>
      <c r="E159" t="s">
        <v>853</v>
      </c>
      <c r="F159" t="s">
        <v>854</v>
      </c>
      <c r="G159" t="s">
        <v>963</v>
      </c>
      <c r="H159">
        <v>148</v>
      </c>
      <c r="I159">
        <v>0.34912799999999999</v>
      </c>
      <c r="J159">
        <v>0.81484500000000004</v>
      </c>
      <c r="K159">
        <v>0.46571600000000002</v>
      </c>
      <c r="L159">
        <v>137</v>
      </c>
      <c r="M159">
        <v>2</v>
      </c>
      <c r="N159">
        <v>9</v>
      </c>
      <c r="O159">
        <v>0.81243799999999999</v>
      </c>
      <c r="P159">
        <v>0.48659999999999998</v>
      </c>
      <c r="Q159">
        <v>0.24260399999999999</v>
      </c>
    </row>
    <row r="160" spans="1:17" x14ac:dyDescent="0.25">
      <c r="A160" t="str">
        <f>IF(C160&amp;G160&amp;D160&lt;&gt;'Funnel setup'!$K$3&amp;'Funnel setup'!$K$4&amp;'Funnel setup'!$K$6,".",IF(A159=".",1,A159+1))</f>
        <v>.</v>
      </c>
      <c r="B160" s="244" t="str">
        <f t="shared" si="2"/>
        <v>Hip Replacement PrimarySub-ICB of GP PracticeNHS LANCASHIRE AND SOUTH CUMBRIA ICB - 01E (01E)EQ-5D Index</v>
      </c>
      <c r="C160" t="s">
        <v>749</v>
      </c>
      <c r="D160" t="s">
        <v>1021</v>
      </c>
      <c r="E160" t="s">
        <v>855</v>
      </c>
      <c r="F160" t="s">
        <v>856</v>
      </c>
      <c r="G160" t="s">
        <v>963</v>
      </c>
      <c r="H160">
        <v>57</v>
      </c>
      <c r="I160">
        <v>0.40422799999999998</v>
      </c>
      <c r="J160">
        <v>0.82710499999999998</v>
      </c>
      <c r="K160">
        <v>0.422877</v>
      </c>
      <c r="L160">
        <v>50</v>
      </c>
      <c r="M160">
        <v>3</v>
      </c>
      <c r="N160">
        <v>4</v>
      </c>
      <c r="O160">
        <v>0.80228999999999995</v>
      </c>
      <c r="P160">
        <v>0.47645199999999999</v>
      </c>
      <c r="Q160">
        <v>0.22719600000000001</v>
      </c>
    </row>
    <row r="161" spans="1:17" x14ac:dyDescent="0.25">
      <c r="A161" t="str">
        <f>IF(C161&amp;G161&amp;D161&lt;&gt;'Funnel setup'!$K$3&amp;'Funnel setup'!$K$4&amp;'Funnel setup'!$K$6,".",IF(A160=".",1,A160+1))</f>
        <v>.</v>
      </c>
      <c r="B161" s="244" t="str">
        <f t="shared" si="2"/>
        <v>Hip Replacement PrimarySub-ICB of GP PracticeNHS LANCASHIRE AND SOUTH CUMBRIA ICB - 01K (01K)EQ-5D Index</v>
      </c>
      <c r="C161" t="s">
        <v>749</v>
      </c>
      <c r="D161" t="s">
        <v>1021</v>
      </c>
      <c r="E161" t="s">
        <v>857</v>
      </c>
      <c r="F161" t="s">
        <v>858</v>
      </c>
      <c r="G161" t="s">
        <v>963</v>
      </c>
      <c r="H161">
        <v>184</v>
      </c>
      <c r="I161">
        <v>0.330038</v>
      </c>
      <c r="J161">
        <v>0.80601599999999995</v>
      </c>
      <c r="K161">
        <v>0.47597800000000001</v>
      </c>
      <c r="L161">
        <v>171</v>
      </c>
      <c r="M161">
        <v>7</v>
      </c>
      <c r="N161">
        <v>6</v>
      </c>
      <c r="O161">
        <v>0.80409299999999995</v>
      </c>
      <c r="P161">
        <v>0.47825400000000001</v>
      </c>
      <c r="Q161">
        <v>0.202626</v>
      </c>
    </row>
    <row r="162" spans="1:17" x14ac:dyDescent="0.25">
      <c r="A162" t="str">
        <f>IF(C162&amp;G162&amp;D162&lt;&gt;'Funnel setup'!$K$3&amp;'Funnel setup'!$K$4&amp;'Funnel setup'!$K$6,".",IF(A161=".",1,A161+1))</f>
        <v>.</v>
      </c>
      <c r="B162" s="244" t="str">
        <f t="shared" si="2"/>
        <v>Hip Replacement PrimarySub-ICB of GP PracticeNHS LANCASHIRE AND SOUTH CUMBRIA ICB - 02G (02G)EQ-5D Index</v>
      </c>
      <c r="C162" t="s">
        <v>749</v>
      </c>
      <c r="D162" t="s">
        <v>1021</v>
      </c>
      <c r="E162" t="s">
        <v>859</v>
      </c>
      <c r="F162" t="s">
        <v>860</v>
      </c>
      <c r="G162" t="s">
        <v>963</v>
      </c>
      <c r="H162">
        <v>31</v>
      </c>
      <c r="I162">
        <v>0.27338699999999999</v>
      </c>
      <c r="J162">
        <v>0.84412900000000002</v>
      </c>
      <c r="K162">
        <v>0.57074199999999997</v>
      </c>
      <c r="L162">
        <v>30</v>
      </c>
      <c r="M162">
        <v>0</v>
      </c>
      <c r="N162">
        <v>1</v>
      </c>
      <c r="O162">
        <v>0.82048699999999997</v>
      </c>
      <c r="P162">
        <v>0.49464900000000001</v>
      </c>
      <c r="Q162">
        <v>0.249727</v>
      </c>
    </row>
    <row r="163" spans="1:17" x14ac:dyDescent="0.25">
      <c r="A163" t="str">
        <f>IF(C163&amp;G163&amp;D163&lt;&gt;'Funnel setup'!$K$3&amp;'Funnel setup'!$K$4&amp;'Funnel setup'!$K$6,".",IF(A162=".",1,A162+1))</f>
        <v>.</v>
      </c>
      <c r="B163" s="244" t="str">
        <f t="shared" si="2"/>
        <v>Hip Replacement PrimarySub-ICB of GP PracticeNHS LANCASHIRE AND SOUTH CUMBRIA ICB - 02M (02M)EQ-5D Index</v>
      </c>
      <c r="C163" t="s">
        <v>749</v>
      </c>
      <c r="D163" t="s">
        <v>1021</v>
      </c>
      <c r="E163" t="s">
        <v>861</v>
      </c>
      <c r="F163" t="s">
        <v>862</v>
      </c>
      <c r="G163" t="s">
        <v>963</v>
      </c>
      <c r="H163">
        <v>70</v>
      </c>
      <c r="I163">
        <v>0.45807100000000001</v>
      </c>
      <c r="J163">
        <v>0.79167100000000001</v>
      </c>
      <c r="K163">
        <v>0.33360000000000001</v>
      </c>
      <c r="L163">
        <v>61</v>
      </c>
      <c r="M163">
        <v>3</v>
      </c>
      <c r="N163">
        <v>6</v>
      </c>
      <c r="O163">
        <v>0.76351899999999995</v>
      </c>
      <c r="P163">
        <v>0.43768000000000001</v>
      </c>
      <c r="Q163">
        <v>0.218636</v>
      </c>
    </row>
    <row r="164" spans="1:17" x14ac:dyDescent="0.25">
      <c r="A164" t="str">
        <f>IF(C164&amp;G164&amp;D164&lt;&gt;'Funnel setup'!$K$3&amp;'Funnel setup'!$K$4&amp;'Funnel setup'!$K$6,".",IF(A163=".",1,A163+1))</f>
        <v>.</v>
      </c>
      <c r="B164" s="244" t="str">
        <f t="shared" si="2"/>
        <v>Hip Replacement PrimarySub-ICB of GP PracticeNHS LEICESTER, LEICESTERSHIRE AND RUTLAND ICB - 03W (03W)EQ-5D Index</v>
      </c>
      <c r="C164" t="s">
        <v>749</v>
      </c>
      <c r="D164" t="s">
        <v>1021</v>
      </c>
      <c r="E164" t="s">
        <v>863</v>
      </c>
      <c r="F164" t="s">
        <v>864</v>
      </c>
      <c r="G164" t="s">
        <v>963</v>
      </c>
      <c r="H164">
        <v>101</v>
      </c>
      <c r="I164">
        <v>0.33317799999999997</v>
      </c>
      <c r="J164">
        <v>0.76986100000000002</v>
      </c>
      <c r="K164">
        <v>0.43668299999999999</v>
      </c>
      <c r="L164">
        <v>92</v>
      </c>
      <c r="M164">
        <v>3</v>
      </c>
      <c r="N164">
        <v>6</v>
      </c>
      <c r="O164">
        <v>0.75140700000000005</v>
      </c>
      <c r="P164">
        <v>0.42556899999999998</v>
      </c>
      <c r="Q164">
        <v>0.23318900000000001</v>
      </c>
    </row>
    <row r="165" spans="1:17" x14ac:dyDescent="0.25">
      <c r="A165" t="str">
        <f>IF(C165&amp;G165&amp;D165&lt;&gt;'Funnel setup'!$K$3&amp;'Funnel setup'!$K$4&amp;'Funnel setup'!$K$6,".",IF(A164=".",1,A164+1))</f>
        <v>.</v>
      </c>
      <c r="B165" s="244" t="str">
        <f t="shared" si="2"/>
        <v>Hip Replacement PrimarySub-ICB of GP PracticeNHS LEICESTER, LEICESTERSHIRE AND RUTLAND ICB - 04C (04C)EQ-5D Index</v>
      </c>
      <c r="C165" t="s">
        <v>749</v>
      </c>
      <c r="D165" t="s">
        <v>1021</v>
      </c>
      <c r="E165" t="s">
        <v>865</v>
      </c>
      <c r="F165" t="s">
        <v>866</v>
      </c>
      <c r="G165" t="s">
        <v>963</v>
      </c>
      <c r="H165">
        <v>36</v>
      </c>
      <c r="I165">
        <v>0.250778</v>
      </c>
      <c r="J165">
        <v>0.76991699999999996</v>
      </c>
      <c r="K165">
        <v>0.51913900000000002</v>
      </c>
      <c r="L165">
        <v>30</v>
      </c>
      <c r="M165">
        <v>3</v>
      </c>
      <c r="N165">
        <v>3</v>
      </c>
      <c r="O165">
        <v>0.79984200000000005</v>
      </c>
      <c r="P165">
        <v>0.47400399999999998</v>
      </c>
      <c r="Q165">
        <v>0.22176799999999999</v>
      </c>
    </row>
    <row r="166" spans="1:17" x14ac:dyDescent="0.25">
      <c r="A166" t="str">
        <f>IF(C166&amp;G166&amp;D166&lt;&gt;'Funnel setup'!$K$3&amp;'Funnel setup'!$K$4&amp;'Funnel setup'!$K$6,".",IF(A165=".",1,A165+1))</f>
        <v>.</v>
      </c>
      <c r="B166" s="244" t="str">
        <f t="shared" si="2"/>
        <v>Hip Replacement PrimarySub-ICB of GP PracticeNHS LEICESTER, LEICESTERSHIRE AND RUTLAND ICB - 04V (04V)EQ-5D Index</v>
      </c>
      <c r="C166" t="s">
        <v>749</v>
      </c>
      <c r="D166" t="s">
        <v>1021</v>
      </c>
      <c r="E166" t="s">
        <v>867</v>
      </c>
      <c r="F166" t="s">
        <v>868</v>
      </c>
      <c r="G166" t="s">
        <v>963</v>
      </c>
      <c r="H166">
        <v>108</v>
      </c>
      <c r="I166">
        <v>0.35323100000000002</v>
      </c>
      <c r="J166">
        <v>0.79</v>
      </c>
      <c r="K166">
        <v>0.43676900000000002</v>
      </c>
      <c r="L166">
        <v>93</v>
      </c>
      <c r="M166">
        <v>11</v>
      </c>
      <c r="N166">
        <v>4</v>
      </c>
      <c r="O166">
        <v>0.78309499999999999</v>
      </c>
      <c r="P166">
        <v>0.45725700000000002</v>
      </c>
      <c r="Q166">
        <v>0.21585799999999999</v>
      </c>
    </row>
    <row r="167" spans="1:17" x14ac:dyDescent="0.25">
      <c r="A167" t="str">
        <f>IF(C167&amp;G167&amp;D167&lt;&gt;'Funnel setup'!$K$3&amp;'Funnel setup'!$K$4&amp;'Funnel setup'!$K$6,".",IF(A166=".",1,A166+1))</f>
        <v>.</v>
      </c>
      <c r="B167" s="244" t="str">
        <f t="shared" si="2"/>
        <v>Hip Replacement PrimarySub-ICB of GP PracticeNHS LINCOLNSHIRE ICB - 71E (71E)EQ-5D Index</v>
      </c>
      <c r="C167" t="s">
        <v>749</v>
      </c>
      <c r="D167" t="s">
        <v>1021</v>
      </c>
      <c r="E167" t="s">
        <v>869</v>
      </c>
      <c r="F167" t="s">
        <v>870</v>
      </c>
      <c r="G167" t="s">
        <v>963</v>
      </c>
      <c r="H167">
        <v>255</v>
      </c>
      <c r="I167">
        <v>0.33086300000000002</v>
      </c>
      <c r="J167">
        <v>0.80565500000000001</v>
      </c>
      <c r="K167">
        <v>0.47479199999999999</v>
      </c>
      <c r="L167">
        <v>228</v>
      </c>
      <c r="M167">
        <v>15</v>
      </c>
      <c r="N167">
        <v>12</v>
      </c>
      <c r="O167">
        <v>0.80577200000000004</v>
      </c>
      <c r="P167">
        <v>0.47993400000000003</v>
      </c>
      <c r="Q167">
        <v>0.232068</v>
      </c>
    </row>
    <row r="168" spans="1:17" x14ac:dyDescent="0.25">
      <c r="A168" t="str">
        <f>IF(C168&amp;G168&amp;D168&lt;&gt;'Funnel setup'!$K$3&amp;'Funnel setup'!$K$4&amp;'Funnel setup'!$K$6,".",IF(A167=".",1,A167+1))</f>
        <v>.</v>
      </c>
      <c r="B168" s="244" t="str">
        <f t="shared" si="2"/>
        <v>Hip Replacement PrimarySub-ICB of GP PracticeNHS MID AND SOUTH ESSEX ICB - 06Q (06Q)EQ-5D Index</v>
      </c>
      <c r="C168" t="s">
        <v>749</v>
      </c>
      <c r="D168" t="s">
        <v>1021</v>
      </c>
      <c r="E168" t="s">
        <v>871</v>
      </c>
      <c r="F168" t="s">
        <v>872</v>
      </c>
      <c r="G168" t="s">
        <v>963</v>
      </c>
      <c r="H168">
        <v>108</v>
      </c>
      <c r="I168">
        <v>0.32681500000000002</v>
      </c>
      <c r="J168">
        <v>0.82390699999999994</v>
      </c>
      <c r="K168">
        <v>0.49709300000000001</v>
      </c>
      <c r="L168">
        <v>103</v>
      </c>
      <c r="M168">
        <v>2</v>
      </c>
      <c r="N168">
        <v>3</v>
      </c>
      <c r="O168">
        <v>0.82386800000000004</v>
      </c>
      <c r="P168">
        <v>0.49802999999999997</v>
      </c>
      <c r="Q168">
        <v>0.22112100000000001</v>
      </c>
    </row>
    <row r="169" spans="1:17" x14ac:dyDescent="0.25">
      <c r="A169" t="str">
        <f>IF(C169&amp;G169&amp;D169&lt;&gt;'Funnel setup'!$K$3&amp;'Funnel setup'!$K$4&amp;'Funnel setup'!$K$6,".",IF(A168=".",1,A168+1))</f>
        <v>.</v>
      </c>
      <c r="B169" s="244" t="str">
        <f t="shared" si="2"/>
        <v>Hip Replacement PrimarySub-ICB of GP PracticeNHS MID AND SOUTH ESSEX ICB - 07G (07G)EQ-5D Index</v>
      </c>
      <c r="C169" t="s">
        <v>749</v>
      </c>
      <c r="D169" t="s">
        <v>1021</v>
      </c>
      <c r="E169" t="s">
        <v>873</v>
      </c>
      <c r="F169" t="s">
        <v>874</v>
      </c>
      <c r="G169" t="s">
        <v>963</v>
      </c>
      <c r="H169">
        <v>32</v>
      </c>
      <c r="I169">
        <v>0.24062500000000001</v>
      </c>
      <c r="J169">
        <v>0.75212500000000004</v>
      </c>
      <c r="K169">
        <v>0.51149999999999995</v>
      </c>
      <c r="L169">
        <v>28</v>
      </c>
      <c r="M169">
        <v>2</v>
      </c>
      <c r="N169">
        <v>2</v>
      </c>
      <c r="O169">
        <v>0.78167699999999996</v>
      </c>
      <c r="P169">
        <v>0.45583899999999999</v>
      </c>
      <c r="Q169">
        <v>0.20791399999999999</v>
      </c>
    </row>
    <row r="170" spans="1:17" x14ac:dyDescent="0.25">
      <c r="A170" t="str">
        <f>IF(C170&amp;G170&amp;D170&lt;&gt;'Funnel setup'!$K$3&amp;'Funnel setup'!$K$4&amp;'Funnel setup'!$K$6,".",IF(A169=".",1,A169+1))</f>
        <v>.</v>
      </c>
      <c r="B170" s="244" t="str">
        <f t="shared" si="2"/>
        <v>Hip Replacement PrimarySub-ICB of GP PracticeNHS MID AND SOUTH ESSEX ICB - 99E (99E)EQ-5D Index</v>
      </c>
      <c r="C170" t="s">
        <v>749</v>
      </c>
      <c r="D170" t="s">
        <v>1021</v>
      </c>
      <c r="E170" t="s">
        <v>875</v>
      </c>
      <c r="F170" t="s">
        <v>876</v>
      </c>
      <c r="G170" t="s">
        <v>963</v>
      </c>
      <c r="H170">
        <v>40</v>
      </c>
      <c r="I170">
        <v>0.18404999999999999</v>
      </c>
      <c r="J170">
        <v>0.76634999999999998</v>
      </c>
      <c r="K170">
        <v>0.58230000000000004</v>
      </c>
      <c r="L170">
        <v>40</v>
      </c>
      <c r="M170">
        <v>0</v>
      </c>
      <c r="N170">
        <v>0</v>
      </c>
      <c r="O170">
        <v>0.79670200000000002</v>
      </c>
      <c r="P170">
        <v>0.47086299999999998</v>
      </c>
      <c r="Q170">
        <v>0.241006</v>
      </c>
    </row>
    <row r="171" spans="1:17" x14ac:dyDescent="0.25">
      <c r="A171" t="str">
        <f>IF(C171&amp;G171&amp;D171&lt;&gt;'Funnel setup'!$K$3&amp;'Funnel setup'!$K$4&amp;'Funnel setup'!$K$6,".",IF(A170=".",1,A170+1))</f>
        <v>.</v>
      </c>
      <c r="B171" s="244" t="str">
        <f t="shared" si="2"/>
        <v>Hip Replacement PrimarySub-ICB of GP PracticeNHS MID AND SOUTH ESSEX ICB - 99F (99F)EQ-5D Index</v>
      </c>
      <c r="C171" t="s">
        <v>749</v>
      </c>
      <c r="D171" t="s">
        <v>1021</v>
      </c>
      <c r="E171" t="s">
        <v>877</v>
      </c>
      <c r="F171" t="s">
        <v>878</v>
      </c>
      <c r="G171" t="s">
        <v>963</v>
      </c>
      <c r="H171">
        <v>27</v>
      </c>
      <c r="I171">
        <v>0.26270399999999999</v>
      </c>
      <c r="J171">
        <v>0.76400000000000001</v>
      </c>
      <c r="K171">
        <v>0.50129599999999996</v>
      </c>
      <c r="L171">
        <v>24</v>
      </c>
      <c r="M171">
        <v>0</v>
      </c>
      <c r="N171">
        <v>3</v>
      </c>
      <c r="O171" t="s">
        <v>127</v>
      </c>
      <c r="P171" t="s">
        <v>127</v>
      </c>
      <c r="Q171" t="s">
        <v>127</v>
      </c>
    </row>
    <row r="172" spans="1:17" x14ac:dyDescent="0.25">
      <c r="A172" t="str">
        <f>IF(C172&amp;G172&amp;D172&lt;&gt;'Funnel setup'!$K$3&amp;'Funnel setup'!$K$4&amp;'Funnel setup'!$K$6,".",IF(A171=".",1,A171+1))</f>
        <v>.</v>
      </c>
      <c r="B172" s="244" t="str">
        <f t="shared" si="2"/>
        <v>Hip Replacement PrimarySub-ICB of GP PracticeNHS MID AND SOUTH ESSEX ICB - 99G (99G)EQ-5D Index</v>
      </c>
      <c r="C172" t="s">
        <v>749</v>
      </c>
      <c r="D172" t="s">
        <v>1021</v>
      </c>
      <c r="E172" t="s">
        <v>879</v>
      </c>
      <c r="F172" t="s">
        <v>880</v>
      </c>
      <c r="G172" t="s">
        <v>963</v>
      </c>
      <c r="H172">
        <v>11</v>
      </c>
      <c r="I172">
        <v>0.28699999999999998</v>
      </c>
      <c r="J172">
        <v>0.76709099999999997</v>
      </c>
      <c r="K172">
        <v>0.48009099999999999</v>
      </c>
      <c r="L172">
        <v>11</v>
      </c>
      <c r="M172">
        <v>0</v>
      </c>
      <c r="N172">
        <v>0</v>
      </c>
      <c r="O172" t="s">
        <v>127</v>
      </c>
      <c r="P172" t="s">
        <v>127</v>
      </c>
      <c r="Q172" t="s">
        <v>127</v>
      </c>
    </row>
    <row r="173" spans="1:17" x14ac:dyDescent="0.25">
      <c r="A173" t="str">
        <f>IF(C173&amp;G173&amp;D173&lt;&gt;'Funnel setup'!$K$3&amp;'Funnel setup'!$K$4&amp;'Funnel setup'!$K$6,".",IF(A172=".",1,A172+1))</f>
        <v>.</v>
      </c>
      <c r="B173" s="244" t="str">
        <f t="shared" si="2"/>
        <v>Hip Replacement PrimarySub-ICB of GP PracticeNHS NORFOLK AND WAVENEY ICB - 26A (26A)EQ-5D Index</v>
      </c>
      <c r="C173" t="s">
        <v>749</v>
      </c>
      <c r="D173" t="s">
        <v>1021</v>
      </c>
      <c r="E173" t="s">
        <v>881</v>
      </c>
      <c r="F173" t="s">
        <v>882</v>
      </c>
      <c r="G173" t="s">
        <v>963</v>
      </c>
      <c r="H173">
        <v>344</v>
      </c>
      <c r="I173">
        <v>0.28591899999999998</v>
      </c>
      <c r="J173">
        <v>0.75545099999999998</v>
      </c>
      <c r="K173">
        <v>0.469532</v>
      </c>
      <c r="L173">
        <v>303</v>
      </c>
      <c r="M173">
        <v>24</v>
      </c>
      <c r="N173">
        <v>17</v>
      </c>
      <c r="O173">
        <v>0.77207099999999995</v>
      </c>
      <c r="P173">
        <v>0.44623299999999999</v>
      </c>
      <c r="Q173">
        <v>0.27105899999999999</v>
      </c>
    </row>
    <row r="174" spans="1:17" x14ac:dyDescent="0.25">
      <c r="A174" t="str">
        <f>IF(C174&amp;G174&amp;D174&lt;&gt;'Funnel setup'!$K$3&amp;'Funnel setup'!$K$4&amp;'Funnel setup'!$K$6,".",IF(A173=".",1,A173+1))</f>
        <v>.</v>
      </c>
      <c r="B174" s="244" t="str">
        <f t="shared" si="2"/>
        <v>Hip Replacement PrimarySub-ICB of GP PracticeNHS NORTH CENTRAL LONDON ICB - 93C (93C)EQ-5D Index</v>
      </c>
      <c r="C174" t="s">
        <v>749</v>
      </c>
      <c r="D174" t="s">
        <v>1021</v>
      </c>
      <c r="E174" t="s">
        <v>883</v>
      </c>
      <c r="F174" t="s">
        <v>884</v>
      </c>
      <c r="G174" t="s">
        <v>963</v>
      </c>
      <c r="H174">
        <v>127</v>
      </c>
      <c r="I174">
        <v>0.34618900000000002</v>
      </c>
      <c r="J174">
        <v>0.75343300000000002</v>
      </c>
      <c r="K174">
        <v>0.40724399999999999</v>
      </c>
      <c r="L174">
        <v>108</v>
      </c>
      <c r="M174">
        <v>8</v>
      </c>
      <c r="N174">
        <v>11</v>
      </c>
      <c r="O174">
        <v>0.75551400000000002</v>
      </c>
      <c r="P174">
        <v>0.429676</v>
      </c>
      <c r="Q174">
        <v>0.25581900000000002</v>
      </c>
    </row>
    <row r="175" spans="1:17" x14ac:dyDescent="0.25">
      <c r="A175" t="str">
        <f>IF(C175&amp;G175&amp;D175&lt;&gt;'Funnel setup'!$K$3&amp;'Funnel setup'!$K$4&amp;'Funnel setup'!$K$6,".",IF(A174=".",1,A174+1))</f>
        <v>.</v>
      </c>
      <c r="B175" s="244" t="str">
        <f t="shared" si="2"/>
        <v>Hip Replacement PrimarySub-ICB of GP PracticeNHS NORTH EAST AND NORTH CUMBRIA ICB - 00L (00L)EQ-5D Index</v>
      </c>
      <c r="C175" t="s">
        <v>749</v>
      </c>
      <c r="D175" t="s">
        <v>1021</v>
      </c>
      <c r="E175" t="s">
        <v>885</v>
      </c>
      <c r="F175" t="s">
        <v>886</v>
      </c>
      <c r="G175" t="s">
        <v>963</v>
      </c>
      <c r="H175">
        <v>152</v>
      </c>
      <c r="I175">
        <v>0.278559</v>
      </c>
      <c r="J175">
        <v>0.77336199999999999</v>
      </c>
      <c r="K175">
        <v>0.49480299999999999</v>
      </c>
      <c r="L175">
        <v>135</v>
      </c>
      <c r="M175">
        <v>9</v>
      </c>
      <c r="N175">
        <v>8</v>
      </c>
      <c r="O175">
        <v>0.78577200000000003</v>
      </c>
      <c r="P175">
        <v>0.45993400000000001</v>
      </c>
      <c r="Q175">
        <v>0.26259500000000002</v>
      </c>
    </row>
    <row r="176" spans="1:17" x14ac:dyDescent="0.25">
      <c r="A176" t="str">
        <f>IF(C176&amp;G176&amp;D176&lt;&gt;'Funnel setup'!$K$3&amp;'Funnel setup'!$K$4&amp;'Funnel setup'!$K$6,".",IF(A175=".",1,A175+1))</f>
        <v>.</v>
      </c>
      <c r="B176" s="244" t="str">
        <f t="shared" si="2"/>
        <v>Hip Replacement PrimarySub-ICB of GP PracticeNHS NORTH EAST AND NORTH CUMBRIA ICB - 00N (00N)EQ-5D Index</v>
      </c>
      <c r="C176" t="s">
        <v>749</v>
      </c>
      <c r="D176" t="s">
        <v>1021</v>
      </c>
      <c r="E176" t="s">
        <v>887</v>
      </c>
      <c r="F176" t="s">
        <v>888</v>
      </c>
      <c r="G176" t="s">
        <v>963</v>
      </c>
      <c r="H176">
        <v>11</v>
      </c>
      <c r="I176">
        <v>0.22245500000000001</v>
      </c>
      <c r="J176">
        <v>0.78909099999999999</v>
      </c>
      <c r="K176">
        <v>0.56663600000000003</v>
      </c>
      <c r="L176">
        <v>9</v>
      </c>
      <c r="M176">
        <v>1</v>
      </c>
      <c r="N176">
        <v>1</v>
      </c>
      <c r="O176" t="s">
        <v>127</v>
      </c>
      <c r="P176" t="s">
        <v>127</v>
      </c>
      <c r="Q176" t="s">
        <v>127</v>
      </c>
    </row>
    <row r="177" spans="1:17" x14ac:dyDescent="0.25">
      <c r="A177" t="str">
        <f>IF(C177&amp;G177&amp;D177&lt;&gt;'Funnel setup'!$K$3&amp;'Funnel setup'!$K$4&amp;'Funnel setup'!$K$6,".",IF(A176=".",1,A176+1))</f>
        <v>.</v>
      </c>
      <c r="B177" s="244" t="str">
        <f t="shared" si="2"/>
        <v>Hip Replacement PrimarySub-ICB of GP PracticeNHS NORTH EAST AND NORTH CUMBRIA ICB - 00P (00P)EQ-5D Index</v>
      </c>
      <c r="C177" t="s">
        <v>749</v>
      </c>
      <c r="D177" t="s">
        <v>1021</v>
      </c>
      <c r="E177" t="s">
        <v>889</v>
      </c>
      <c r="F177" t="s">
        <v>890</v>
      </c>
      <c r="G177" t="s">
        <v>963</v>
      </c>
      <c r="H177">
        <v>30</v>
      </c>
      <c r="I177">
        <v>0.17799999999999999</v>
      </c>
      <c r="J177">
        <v>0.58699999999999997</v>
      </c>
      <c r="K177">
        <v>0.40899999999999997</v>
      </c>
      <c r="L177">
        <v>22</v>
      </c>
      <c r="M177">
        <v>3</v>
      </c>
      <c r="N177">
        <v>5</v>
      </c>
      <c r="O177">
        <v>0.65396399999999999</v>
      </c>
      <c r="P177">
        <v>0.32812599999999997</v>
      </c>
      <c r="Q177">
        <v>0.34629100000000002</v>
      </c>
    </row>
    <row r="178" spans="1:17" x14ac:dyDescent="0.25">
      <c r="A178" t="str">
        <f>IF(C178&amp;G178&amp;D178&lt;&gt;'Funnel setup'!$K$3&amp;'Funnel setup'!$K$4&amp;'Funnel setup'!$K$6,".",IF(A177=".",1,A177+1))</f>
        <v>.</v>
      </c>
      <c r="B178" s="244" t="str">
        <f t="shared" si="2"/>
        <v>Hip Replacement PrimarySub-ICB of GP PracticeNHS NORTH EAST AND NORTH CUMBRIA ICB - 01H (01H)EQ-5D Index</v>
      </c>
      <c r="C178" t="s">
        <v>749</v>
      </c>
      <c r="D178" t="s">
        <v>1021</v>
      </c>
      <c r="E178" t="s">
        <v>891</v>
      </c>
      <c r="F178" t="s">
        <v>892</v>
      </c>
      <c r="G178" t="s">
        <v>963</v>
      </c>
      <c r="H178">
        <v>166</v>
      </c>
      <c r="I178">
        <v>0.27285500000000001</v>
      </c>
      <c r="J178">
        <v>0.79549400000000003</v>
      </c>
      <c r="K178">
        <v>0.52263899999999996</v>
      </c>
      <c r="L178">
        <v>154</v>
      </c>
      <c r="M178">
        <v>3</v>
      </c>
      <c r="N178">
        <v>9</v>
      </c>
      <c r="O178">
        <v>0.80516799999999999</v>
      </c>
      <c r="P178">
        <v>0.47932999999999998</v>
      </c>
      <c r="Q178">
        <v>0.23341400000000001</v>
      </c>
    </row>
    <row r="179" spans="1:17" x14ac:dyDescent="0.25">
      <c r="A179" t="str">
        <f>IF(C179&amp;G179&amp;D179&lt;&gt;'Funnel setup'!$K$3&amp;'Funnel setup'!$K$4&amp;'Funnel setup'!$K$6,".",IF(A178=".",1,A178+1))</f>
        <v>.</v>
      </c>
      <c r="B179" s="244" t="str">
        <f t="shared" si="2"/>
        <v>Hip Replacement PrimarySub-ICB of GP PracticeNHS NORTH EAST AND NORTH CUMBRIA ICB - 13T (13T)EQ-5D Index</v>
      </c>
      <c r="C179" t="s">
        <v>749</v>
      </c>
      <c r="D179" t="s">
        <v>1021</v>
      </c>
      <c r="E179" t="s">
        <v>893</v>
      </c>
      <c r="F179" t="s">
        <v>894</v>
      </c>
      <c r="G179" t="s">
        <v>963</v>
      </c>
      <c r="H179">
        <v>94</v>
      </c>
      <c r="I179">
        <v>0.242926</v>
      </c>
      <c r="J179">
        <v>0.78562799999999999</v>
      </c>
      <c r="K179">
        <v>0.54270200000000002</v>
      </c>
      <c r="L179">
        <v>91</v>
      </c>
      <c r="M179">
        <v>3</v>
      </c>
      <c r="N179">
        <v>0</v>
      </c>
      <c r="O179">
        <v>0.81059199999999998</v>
      </c>
      <c r="P179">
        <v>0.48475299999999999</v>
      </c>
      <c r="Q179">
        <v>0.233929</v>
      </c>
    </row>
    <row r="180" spans="1:17" x14ac:dyDescent="0.25">
      <c r="A180" t="str">
        <f>IF(C180&amp;G180&amp;D180&lt;&gt;'Funnel setup'!$K$3&amp;'Funnel setup'!$K$4&amp;'Funnel setup'!$K$6,".",IF(A179=".",1,A179+1))</f>
        <v>.</v>
      </c>
      <c r="B180" s="244" t="str">
        <f t="shared" si="2"/>
        <v>Hip Replacement PrimarySub-ICB of GP PracticeNHS NORTH EAST AND NORTH CUMBRIA ICB - 16C (16C)EQ-5D Index</v>
      </c>
      <c r="C180" t="s">
        <v>749</v>
      </c>
      <c r="D180" t="s">
        <v>1021</v>
      </c>
      <c r="E180" t="s">
        <v>895</v>
      </c>
      <c r="F180" t="s">
        <v>896</v>
      </c>
      <c r="G180" t="s">
        <v>963</v>
      </c>
      <c r="H180">
        <v>337</v>
      </c>
      <c r="I180">
        <v>0.34217799999999998</v>
      </c>
      <c r="J180">
        <v>0.76648099999999997</v>
      </c>
      <c r="K180">
        <v>0.42430299999999999</v>
      </c>
      <c r="L180">
        <v>301</v>
      </c>
      <c r="M180">
        <v>12</v>
      </c>
      <c r="N180">
        <v>24</v>
      </c>
      <c r="O180">
        <v>0.77421300000000004</v>
      </c>
      <c r="P180">
        <v>0.44837399999999999</v>
      </c>
      <c r="Q180">
        <v>0.24682399999999999</v>
      </c>
    </row>
    <row r="181" spans="1:17" x14ac:dyDescent="0.25">
      <c r="A181" t="str">
        <f>IF(C181&amp;G181&amp;D181&lt;&gt;'Funnel setup'!$K$3&amp;'Funnel setup'!$K$4&amp;'Funnel setup'!$K$6,".",IF(A180=".",1,A180+1))</f>
        <v>.</v>
      </c>
      <c r="B181" s="244" t="str">
        <f t="shared" si="2"/>
        <v>Hip Replacement PrimarySub-ICB of GP PracticeNHS NORTH EAST AND NORTH CUMBRIA ICB - 84H (84H)EQ-5D Index</v>
      </c>
      <c r="C181" t="s">
        <v>749</v>
      </c>
      <c r="D181" t="s">
        <v>1021</v>
      </c>
      <c r="E181" t="s">
        <v>897</v>
      </c>
      <c r="F181" t="s">
        <v>898</v>
      </c>
      <c r="G181" t="s">
        <v>963</v>
      </c>
      <c r="H181">
        <v>259</v>
      </c>
      <c r="I181">
        <v>0.31506200000000001</v>
      </c>
      <c r="J181">
        <v>0.76383000000000001</v>
      </c>
      <c r="K181">
        <v>0.448768</v>
      </c>
      <c r="L181">
        <v>231</v>
      </c>
      <c r="M181">
        <v>14</v>
      </c>
      <c r="N181">
        <v>14</v>
      </c>
      <c r="O181">
        <v>0.77739100000000005</v>
      </c>
      <c r="P181">
        <v>0.45155200000000001</v>
      </c>
      <c r="Q181">
        <v>0.22738</v>
      </c>
    </row>
    <row r="182" spans="1:17" x14ac:dyDescent="0.25">
      <c r="A182" t="str">
        <f>IF(C182&amp;G182&amp;D182&lt;&gt;'Funnel setup'!$K$3&amp;'Funnel setup'!$K$4&amp;'Funnel setup'!$K$6,".",IF(A181=".",1,A181+1))</f>
        <v>.</v>
      </c>
      <c r="B182" s="244" t="str">
        <f t="shared" si="2"/>
        <v>Hip Replacement PrimarySub-ICB of GP PracticeNHS NORTH EAST AND NORTH CUMBRIA ICB - 99C (99C)EQ-5D Index</v>
      </c>
      <c r="C182" t="s">
        <v>749</v>
      </c>
      <c r="D182" t="s">
        <v>1021</v>
      </c>
      <c r="E182" t="s">
        <v>899</v>
      </c>
      <c r="F182" t="s">
        <v>900</v>
      </c>
      <c r="G182" t="s">
        <v>963</v>
      </c>
      <c r="H182">
        <v>71</v>
      </c>
      <c r="I182">
        <v>0.32681700000000002</v>
      </c>
      <c r="J182">
        <v>0.79533799999999999</v>
      </c>
      <c r="K182">
        <v>0.46852100000000002</v>
      </c>
      <c r="L182">
        <v>68</v>
      </c>
      <c r="M182">
        <v>1</v>
      </c>
      <c r="N182">
        <v>2</v>
      </c>
      <c r="O182">
        <v>0.79114099999999998</v>
      </c>
      <c r="P182">
        <v>0.46530300000000002</v>
      </c>
      <c r="Q182">
        <v>0.21540699999999999</v>
      </c>
    </row>
    <row r="183" spans="1:17" x14ac:dyDescent="0.25">
      <c r="A183" t="str">
        <f>IF(C183&amp;G183&amp;D183&lt;&gt;'Funnel setup'!$K$3&amp;'Funnel setup'!$K$4&amp;'Funnel setup'!$K$6,".",IF(A182=".",1,A182+1))</f>
        <v>.</v>
      </c>
      <c r="B183" s="244" t="str">
        <f t="shared" si="2"/>
        <v>Hip Replacement PrimarySub-ICB of GP PracticeNHS NORTH EAST LONDON ICB - A3A8R (A3A8R)EQ-5D Index</v>
      </c>
      <c r="C183" t="s">
        <v>749</v>
      </c>
      <c r="D183" t="s">
        <v>1021</v>
      </c>
      <c r="E183" t="s">
        <v>901</v>
      </c>
      <c r="F183" t="s">
        <v>902</v>
      </c>
      <c r="G183" t="s">
        <v>963</v>
      </c>
      <c r="H183">
        <v>152</v>
      </c>
      <c r="I183">
        <v>0.29461199999999999</v>
      </c>
      <c r="J183">
        <v>0.73599300000000001</v>
      </c>
      <c r="K183">
        <v>0.441382</v>
      </c>
      <c r="L183">
        <v>135</v>
      </c>
      <c r="M183">
        <v>9</v>
      </c>
      <c r="N183">
        <v>8</v>
      </c>
      <c r="O183">
        <v>0.76003699999999996</v>
      </c>
      <c r="P183">
        <v>0.43419799999999997</v>
      </c>
      <c r="Q183">
        <v>0.25622200000000001</v>
      </c>
    </row>
    <row r="184" spans="1:17" x14ac:dyDescent="0.25">
      <c r="A184" t="str">
        <f>IF(C184&amp;G184&amp;D184&lt;&gt;'Funnel setup'!$K$3&amp;'Funnel setup'!$K$4&amp;'Funnel setup'!$K$6,".",IF(A183=".",1,A183+1))</f>
        <v>.</v>
      </c>
      <c r="B184" s="244" t="str">
        <f t="shared" si="2"/>
        <v>Hip Replacement PrimarySub-ICB of GP PracticeNHS NORTH WEST LONDON ICB - W2U3Z (W2U3Z)EQ-5D Index</v>
      </c>
      <c r="C184" t="s">
        <v>749</v>
      </c>
      <c r="D184" t="s">
        <v>1021</v>
      </c>
      <c r="E184" t="s">
        <v>903</v>
      </c>
      <c r="F184" t="s">
        <v>904</v>
      </c>
      <c r="G184" t="s">
        <v>963</v>
      </c>
      <c r="H184">
        <v>147</v>
      </c>
      <c r="I184">
        <v>0.37395899999999999</v>
      </c>
      <c r="J184">
        <v>0.79106100000000001</v>
      </c>
      <c r="K184">
        <v>0.41710199999999997</v>
      </c>
      <c r="L184">
        <v>130</v>
      </c>
      <c r="M184">
        <v>9</v>
      </c>
      <c r="N184">
        <v>8</v>
      </c>
      <c r="O184">
        <v>0.78479699999999997</v>
      </c>
      <c r="P184">
        <v>0.45895799999999998</v>
      </c>
      <c r="Q184">
        <v>0.232511</v>
      </c>
    </row>
    <row r="185" spans="1:17" x14ac:dyDescent="0.25">
      <c r="A185" t="str">
        <f>IF(C185&amp;G185&amp;D185&lt;&gt;'Funnel setup'!$K$3&amp;'Funnel setup'!$K$4&amp;'Funnel setup'!$K$6,".",IF(A184=".",1,A184+1))</f>
        <v>.</v>
      </c>
      <c r="B185" s="244" t="str">
        <f t="shared" si="2"/>
        <v>Hip Replacement PrimarySub-ICB of GP PracticeNHS NORTHAMPTONSHIRE ICB - 78H (78H)EQ-5D Index</v>
      </c>
      <c r="C185" t="s">
        <v>749</v>
      </c>
      <c r="D185" t="s">
        <v>1021</v>
      </c>
      <c r="E185" t="s">
        <v>905</v>
      </c>
      <c r="F185" t="s">
        <v>906</v>
      </c>
      <c r="G185" t="s">
        <v>963</v>
      </c>
      <c r="H185">
        <v>233</v>
      </c>
      <c r="I185">
        <v>0.29527500000000001</v>
      </c>
      <c r="J185">
        <v>0.783335</v>
      </c>
      <c r="K185">
        <v>0.48805999999999999</v>
      </c>
      <c r="L185">
        <v>210</v>
      </c>
      <c r="M185">
        <v>11</v>
      </c>
      <c r="N185">
        <v>12</v>
      </c>
      <c r="O185">
        <v>0.785995</v>
      </c>
      <c r="P185">
        <v>0.46015699999999998</v>
      </c>
      <c r="Q185">
        <v>0.22508500000000001</v>
      </c>
    </row>
    <row r="186" spans="1:17" x14ac:dyDescent="0.25">
      <c r="A186" t="str">
        <f>IF(C186&amp;G186&amp;D186&lt;&gt;'Funnel setup'!$K$3&amp;'Funnel setup'!$K$4&amp;'Funnel setup'!$K$6,".",IF(A185=".",1,A185+1))</f>
        <v>.</v>
      </c>
      <c r="B186" s="244" t="str">
        <f t="shared" si="2"/>
        <v>Hip Replacement PrimarySub-ICB of GP PracticeNHS NOTTINGHAM AND NOTTINGHAMSHIRE ICB - 02Q (02Q)EQ-5D Index</v>
      </c>
      <c r="C186" t="s">
        <v>749</v>
      </c>
      <c r="D186" t="s">
        <v>1021</v>
      </c>
      <c r="E186" t="s">
        <v>907</v>
      </c>
      <c r="F186" t="s">
        <v>908</v>
      </c>
      <c r="G186" t="s">
        <v>963</v>
      </c>
      <c r="H186">
        <v>46</v>
      </c>
      <c r="I186">
        <v>0.24330399999999999</v>
      </c>
      <c r="J186">
        <v>0.76958700000000002</v>
      </c>
      <c r="K186">
        <v>0.52628299999999995</v>
      </c>
      <c r="L186">
        <v>42</v>
      </c>
      <c r="M186">
        <v>3</v>
      </c>
      <c r="N186">
        <v>1</v>
      </c>
      <c r="O186">
        <v>0.80482900000000002</v>
      </c>
      <c r="P186">
        <v>0.47899000000000003</v>
      </c>
      <c r="Q186">
        <v>0.20950299999999999</v>
      </c>
    </row>
    <row r="187" spans="1:17" x14ac:dyDescent="0.25">
      <c r="A187" t="str">
        <f>IF(C187&amp;G187&amp;D187&lt;&gt;'Funnel setup'!$K$3&amp;'Funnel setup'!$K$4&amp;'Funnel setup'!$K$6,".",IF(A186=".",1,A186+1))</f>
        <v>.</v>
      </c>
      <c r="B187" s="244" t="str">
        <f t="shared" si="2"/>
        <v>Hip Replacement PrimarySub-ICB of GP PracticeNHS NOTTINGHAM AND NOTTINGHAMSHIRE ICB - 52R (52R)EQ-5D Index</v>
      </c>
      <c r="C187" t="s">
        <v>749</v>
      </c>
      <c r="D187" t="s">
        <v>1021</v>
      </c>
      <c r="E187" t="s">
        <v>909</v>
      </c>
      <c r="F187" t="s">
        <v>910</v>
      </c>
      <c r="G187" t="s">
        <v>963</v>
      </c>
      <c r="H187">
        <v>138</v>
      </c>
      <c r="I187">
        <v>0.28749999999999998</v>
      </c>
      <c r="J187">
        <v>0.76051400000000002</v>
      </c>
      <c r="K187">
        <v>0.47301399999999999</v>
      </c>
      <c r="L187">
        <v>126</v>
      </c>
      <c r="M187">
        <v>4</v>
      </c>
      <c r="N187">
        <v>8</v>
      </c>
      <c r="O187">
        <v>0.77274799999999999</v>
      </c>
      <c r="P187">
        <v>0.44690999999999997</v>
      </c>
      <c r="Q187">
        <v>0.213785</v>
      </c>
    </row>
    <row r="188" spans="1:17" x14ac:dyDescent="0.25">
      <c r="A188" t="str">
        <f>IF(C188&amp;G188&amp;D188&lt;&gt;'Funnel setup'!$K$3&amp;'Funnel setup'!$K$4&amp;'Funnel setup'!$K$6,".",IF(A187=".",1,A187+1))</f>
        <v>.</v>
      </c>
      <c r="B188" s="244" t="str">
        <f t="shared" si="2"/>
        <v>Hip Replacement PrimarySub-ICB of GP PracticeNHS SHROPSHIRE, TELFORD AND WREKIN ICB - M2L0M (M2L0M)EQ-5D Index</v>
      </c>
      <c r="C188" t="s">
        <v>749</v>
      </c>
      <c r="D188" t="s">
        <v>1021</v>
      </c>
      <c r="E188" t="s">
        <v>911</v>
      </c>
      <c r="F188" t="s">
        <v>912</v>
      </c>
      <c r="G188" t="s">
        <v>963</v>
      </c>
      <c r="H188">
        <v>243</v>
      </c>
      <c r="I188">
        <v>0.18254300000000001</v>
      </c>
      <c r="J188">
        <v>0.81695899999999999</v>
      </c>
      <c r="K188">
        <v>0.63441599999999998</v>
      </c>
      <c r="L188">
        <v>229</v>
      </c>
      <c r="M188">
        <v>7</v>
      </c>
      <c r="N188">
        <v>7</v>
      </c>
      <c r="O188">
        <v>0.84787400000000002</v>
      </c>
      <c r="P188">
        <v>0.52203500000000003</v>
      </c>
      <c r="Q188">
        <v>0.210539</v>
      </c>
    </row>
    <row r="189" spans="1:17" x14ac:dyDescent="0.25">
      <c r="A189" t="str">
        <f>IF(C189&amp;G189&amp;D189&lt;&gt;'Funnel setup'!$K$3&amp;'Funnel setup'!$K$4&amp;'Funnel setup'!$K$6,".",IF(A188=".",1,A188+1))</f>
        <v>.</v>
      </c>
      <c r="B189" s="244" t="str">
        <f t="shared" si="2"/>
        <v>Hip Replacement PrimarySub-ICB of GP PracticeNHS SOMERSET ICB - 11X (11X)EQ-5D Index</v>
      </c>
      <c r="C189" t="s">
        <v>749</v>
      </c>
      <c r="D189" t="s">
        <v>1021</v>
      </c>
      <c r="E189" t="s">
        <v>913</v>
      </c>
      <c r="F189" t="s">
        <v>914</v>
      </c>
      <c r="G189" t="s">
        <v>963</v>
      </c>
      <c r="H189">
        <v>236</v>
      </c>
      <c r="I189">
        <v>0.408364</v>
      </c>
      <c r="J189">
        <v>0.85367800000000005</v>
      </c>
      <c r="K189">
        <v>0.44531399999999999</v>
      </c>
      <c r="L189">
        <v>218</v>
      </c>
      <c r="M189">
        <v>9</v>
      </c>
      <c r="N189">
        <v>9</v>
      </c>
      <c r="O189">
        <v>0.82090399999999997</v>
      </c>
      <c r="P189">
        <v>0.49506600000000001</v>
      </c>
      <c r="Q189">
        <v>0.18120900000000001</v>
      </c>
    </row>
    <row r="190" spans="1:17" x14ac:dyDescent="0.25">
      <c r="A190" t="str">
        <f>IF(C190&amp;G190&amp;D190&lt;&gt;'Funnel setup'!$K$3&amp;'Funnel setup'!$K$4&amp;'Funnel setup'!$K$6,".",IF(A189=".",1,A189+1))</f>
        <v>.</v>
      </c>
      <c r="B190" s="244" t="str">
        <f t="shared" si="2"/>
        <v>Hip Replacement PrimarySub-ICB of GP PracticeNHS SOUTH EAST LONDON ICB - 72Q (72Q)EQ-5D Index</v>
      </c>
      <c r="C190" t="s">
        <v>749</v>
      </c>
      <c r="D190" t="s">
        <v>1021</v>
      </c>
      <c r="E190" t="s">
        <v>915</v>
      </c>
      <c r="F190" t="s">
        <v>916</v>
      </c>
      <c r="G190" t="s">
        <v>963</v>
      </c>
      <c r="H190">
        <v>130</v>
      </c>
      <c r="I190">
        <v>0.35236899999999999</v>
      </c>
      <c r="J190">
        <v>0.75340799999999997</v>
      </c>
      <c r="K190">
        <v>0.40103800000000001</v>
      </c>
      <c r="L190">
        <v>113</v>
      </c>
      <c r="M190">
        <v>8</v>
      </c>
      <c r="N190">
        <v>9</v>
      </c>
      <c r="O190">
        <v>0.74590999999999996</v>
      </c>
      <c r="P190">
        <v>0.420072</v>
      </c>
      <c r="Q190">
        <v>0.25391000000000002</v>
      </c>
    </row>
    <row r="191" spans="1:17" x14ac:dyDescent="0.25">
      <c r="A191" t="str">
        <f>IF(C191&amp;G191&amp;D191&lt;&gt;'Funnel setup'!$K$3&amp;'Funnel setup'!$K$4&amp;'Funnel setup'!$K$6,".",IF(A190=".",1,A190+1))</f>
        <v>.</v>
      </c>
      <c r="B191" s="244" t="str">
        <f t="shared" si="2"/>
        <v>Hip Replacement PrimarySub-ICB of GP PracticeNHS SOUTH WEST LONDON ICB - 36L (36L)EQ-5D Index</v>
      </c>
      <c r="C191" t="s">
        <v>749</v>
      </c>
      <c r="D191" t="s">
        <v>1021</v>
      </c>
      <c r="E191" t="s">
        <v>917</v>
      </c>
      <c r="F191" t="s">
        <v>918</v>
      </c>
      <c r="G191" t="s">
        <v>963</v>
      </c>
      <c r="H191">
        <v>362</v>
      </c>
      <c r="I191">
        <v>0.37766</v>
      </c>
      <c r="J191">
        <v>0.789663</v>
      </c>
      <c r="K191">
        <v>0.41200300000000001</v>
      </c>
      <c r="L191">
        <v>327</v>
      </c>
      <c r="M191">
        <v>18</v>
      </c>
      <c r="N191">
        <v>17</v>
      </c>
      <c r="O191">
        <v>0.78027500000000005</v>
      </c>
      <c r="P191">
        <v>0.45443699999999998</v>
      </c>
      <c r="Q191">
        <v>0.22563900000000001</v>
      </c>
    </row>
    <row r="192" spans="1:17" x14ac:dyDescent="0.25">
      <c r="A192" t="str">
        <f>IF(C192&amp;G192&amp;D192&lt;&gt;'Funnel setup'!$K$3&amp;'Funnel setup'!$K$4&amp;'Funnel setup'!$K$6,".",IF(A191=".",1,A191+1))</f>
        <v>.</v>
      </c>
      <c r="B192" s="244" t="str">
        <f t="shared" si="2"/>
        <v>Hip Replacement PrimarySub-ICB of GP PracticeNHS SOUTH YORKSHIRE ICB - 02P (02P)EQ-5D Index</v>
      </c>
      <c r="C192" t="s">
        <v>749</v>
      </c>
      <c r="D192" t="s">
        <v>1021</v>
      </c>
      <c r="E192" t="s">
        <v>919</v>
      </c>
      <c r="F192" t="s">
        <v>920</v>
      </c>
      <c r="G192" t="s">
        <v>963</v>
      </c>
      <c r="H192">
        <v>44</v>
      </c>
      <c r="I192">
        <v>0.184364</v>
      </c>
      <c r="J192">
        <v>0.71020499999999998</v>
      </c>
      <c r="K192">
        <v>0.525841</v>
      </c>
      <c r="L192">
        <v>42</v>
      </c>
      <c r="M192">
        <v>1</v>
      </c>
      <c r="N192">
        <v>1</v>
      </c>
      <c r="O192">
        <v>0.76791200000000004</v>
      </c>
      <c r="P192">
        <v>0.44207400000000002</v>
      </c>
      <c r="Q192">
        <v>0.19708300000000001</v>
      </c>
    </row>
    <row r="193" spans="1:17" x14ac:dyDescent="0.25">
      <c r="A193" t="str">
        <f>IF(C193&amp;G193&amp;D193&lt;&gt;'Funnel setup'!$K$3&amp;'Funnel setup'!$K$4&amp;'Funnel setup'!$K$6,".",IF(A192=".",1,A192+1))</f>
        <v>.</v>
      </c>
      <c r="B193" s="244" t="str">
        <f t="shared" si="2"/>
        <v>Hip Replacement PrimarySub-ICB of GP PracticeNHS SOUTH YORKSHIRE ICB - 02X (02X)EQ-5D Index</v>
      </c>
      <c r="C193" t="s">
        <v>749</v>
      </c>
      <c r="D193" t="s">
        <v>1021</v>
      </c>
      <c r="E193" t="s">
        <v>921</v>
      </c>
      <c r="F193" t="s">
        <v>922</v>
      </c>
      <c r="G193" t="s">
        <v>963</v>
      </c>
      <c r="H193">
        <v>81</v>
      </c>
      <c r="I193">
        <v>0.28970400000000002</v>
      </c>
      <c r="J193">
        <v>0.75712299999999999</v>
      </c>
      <c r="K193">
        <v>0.46742</v>
      </c>
      <c r="L193">
        <v>73</v>
      </c>
      <c r="M193">
        <v>1</v>
      </c>
      <c r="N193">
        <v>7</v>
      </c>
      <c r="O193">
        <v>0.76534199999999997</v>
      </c>
      <c r="P193">
        <v>0.43950299999999998</v>
      </c>
      <c r="Q193">
        <v>0.28880299999999998</v>
      </c>
    </row>
    <row r="194" spans="1:17" x14ac:dyDescent="0.25">
      <c r="A194" t="str">
        <f>IF(C194&amp;G194&amp;D194&lt;&gt;'Funnel setup'!$K$3&amp;'Funnel setup'!$K$4&amp;'Funnel setup'!$K$6,".",IF(A193=".",1,A193+1))</f>
        <v>.</v>
      </c>
      <c r="B194" s="244" t="str">
        <f t="shared" ref="B194:B257" si="3">C194&amp;D194&amp;F194&amp;G194</f>
        <v>Hip Replacement PrimarySub-ICB of GP PracticeNHS SOUTH YORKSHIRE ICB - 03L (03L)EQ-5D Index</v>
      </c>
      <c r="C194" t="s">
        <v>749</v>
      </c>
      <c r="D194" t="s">
        <v>1021</v>
      </c>
      <c r="E194" t="s">
        <v>923</v>
      </c>
      <c r="F194" t="s">
        <v>924</v>
      </c>
      <c r="G194" t="s">
        <v>963</v>
      </c>
      <c r="H194">
        <v>37</v>
      </c>
      <c r="I194">
        <v>0.34843200000000002</v>
      </c>
      <c r="J194">
        <v>0.81364899999999996</v>
      </c>
      <c r="K194">
        <v>0.46521600000000002</v>
      </c>
      <c r="L194">
        <v>32</v>
      </c>
      <c r="M194">
        <v>4</v>
      </c>
      <c r="N194">
        <v>1</v>
      </c>
      <c r="O194">
        <v>0.82759899999999997</v>
      </c>
      <c r="P194">
        <v>0.50176100000000001</v>
      </c>
      <c r="Q194">
        <v>0.17749999999999999</v>
      </c>
    </row>
    <row r="195" spans="1:17" x14ac:dyDescent="0.25">
      <c r="A195" t="str">
        <f>IF(C195&amp;G195&amp;D195&lt;&gt;'Funnel setup'!$K$3&amp;'Funnel setup'!$K$4&amp;'Funnel setup'!$K$6,".",IF(A194=".",1,A194+1))</f>
        <v>.</v>
      </c>
      <c r="B195" s="244" t="str">
        <f t="shared" si="3"/>
        <v>Hip Replacement PrimarySub-ICB of GP PracticeNHS SOUTH YORKSHIRE ICB - 03N (03N)EQ-5D Index</v>
      </c>
      <c r="C195" t="s">
        <v>749</v>
      </c>
      <c r="D195" t="s">
        <v>1021</v>
      </c>
      <c r="E195" t="s">
        <v>925</v>
      </c>
      <c r="F195" t="s">
        <v>926</v>
      </c>
      <c r="G195" t="s">
        <v>963</v>
      </c>
      <c r="H195">
        <v>32</v>
      </c>
      <c r="I195">
        <v>0.40118700000000002</v>
      </c>
      <c r="J195">
        <v>0.784937</v>
      </c>
      <c r="K195">
        <v>0.38374999999999998</v>
      </c>
      <c r="L195">
        <v>28</v>
      </c>
      <c r="M195">
        <v>1</v>
      </c>
      <c r="N195">
        <v>3</v>
      </c>
      <c r="O195">
        <v>0.76979299999999995</v>
      </c>
      <c r="P195">
        <v>0.44395400000000002</v>
      </c>
      <c r="Q195">
        <v>0.29547800000000002</v>
      </c>
    </row>
    <row r="196" spans="1:17" x14ac:dyDescent="0.25">
      <c r="A196" t="str">
        <f>IF(C196&amp;G196&amp;D196&lt;&gt;'Funnel setup'!$K$3&amp;'Funnel setup'!$K$4&amp;'Funnel setup'!$K$6,".",IF(A195=".",1,A195+1))</f>
        <v>.</v>
      </c>
      <c r="B196" s="244" t="str">
        <f t="shared" si="3"/>
        <v>Hip Replacement PrimarySub-ICB of GP PracticeNHS STAFFORDSHIRE AND STOKE-ON-TRENT ICB - 04Y (04Y)EQ-5D Index</v>
      </c>
      <c r="C196" t="s">
        <v>749</v>
      </c>
      <c r="D196" t="s">
        <v>1021</v>
      </c>
      <c r="E196" t="s">
        <v>927</v>
      </c>
      <c r="F196" t="s">
        <v>928</v>
      </c>
      <c r="G196" t="s">
        <v>963</v>
      </c>
      <c r="H196">
        <v>29</v>
      </c>
      <c r="I196">
        <v>0.332621</v>
      </c>
      <c r="J196">
        <v>0.85175900000000004</v>
      </c>
      <c r="K196">
        <v>0.51913799999999999</v>
      </c>
      <c r="L196">
        <v>26</v>
      </c>
      <c r="M196">
        <v>2</v>
      </c>
      <c r="N196">
        <v>1</v>
      </c>
      <c r="O196" t="s">
        <v>127</v>
      </c>
      <c r="P196" t="s">
        <v>127</v>
      </c>
      <c r="Q196" t="s">
        <v>127</v>
      </c>
    </row>
    <row r="197" spans="1:17" x14ac:dyDescent="0.25">
      <c r="A197" t="str">
        <f>IF(C197&amp;G197&amp;D197&lt;&gt;'Funnel setup'!$K$3&amp;'Funnel setup'!$K$4&amp;'Funnel setup'!$K$6,".",IF(A196=".",1,A196+1))</f>
        <v>.</v>
      </c>
      <c r="B197" s="244" t="str">
        <f t="shared" si="3"/>
        <v>Hip Replacement PrimarySub-ICB of GP PracticeNHS STAFFORDSHIRE AND STOKE-ON-TRENT ICB - 05D (05D)EQ-5D Index</v>
      </c>
      <c r="C197" t="s">
        <v>749</v>
      </c>
      <c r="D197" t="s">
        <v>1021</v>
      </c>
      <c r="E197" t="s">
        <v>929</v>
      </c>
      <c r="F197" t="s">
        <v>930</v>
      </c>
      <c r="G197" t="s">
        <v>963</v>
      </c>
      <c r="H197">
        <v>52</v>
      </c>
      <c r="I197">
        <v>0.30009599999999997</v>
      </c>
      <c r="J197">
        <v>0.77182700000000004</v>
      </c>
      <c r="K197">
        <v>0.47173100000000001</v>
      </c>
      <c r="L197">
        <v>49</v>
      </c>
      <c r="M197">
        <v>1</v>
      </c>
      <c r="N197">
        <v>2</v>
      </c>
      <c r="O197">
        <v>0.78728399999999998</v>
      </c>
      <c r="P197">
        <v>0.46144600000000002</v>
      </c>
      <c r="Q197">
        <v>0.235874</v>
      </c>
    </row>
    <row r="198" spans="1:17" x14ac:dyDescent="0.25">
      <c r="A198" t="str">
        <f>IF(C198&amp;G198&amp;D198&lt;&gt;'Funnel setup'!$K$3&amp;'Funnel setup'!$K$4&amp;'Funnel setup'!$K$6,".",IF(A197=".",1,A197+1))</f>
        <v>.</v>
      </c>
      <c r="B198" s="244" t="str">
        <f t="shared" si="3"/>
        <v>Hip Replacement PrimarySub-ICB of GP PracticeNHS STAFFORDSHIRE AND STOKE-ON-TRENT ICB - 05G (05G)EQ-5D Index</v>
      </c>
      <c r="C198" t="s">
        <v>749</v>
      </c>
      <c r="D198" t="s">
        <v>1021</v>
      </c>
      <c r="E198" t="s">
        <v>931</v>
      </c>
      <c r="F198" t="s">
        <v>932</v>
      </c>
      <c r="G198" t="s">
        <v>963</v>
      </c>
      <c r="H198">
        <v>42</v>
      </c>
      <c r="I198">
        <v>0.306452</v>
      </c>
      <c r="J198">
        <v>0.69257100000000005</v>
      </c>
      <c r="K198">
        <v>0.38611899999999999</v>
      </c>
      <c r="L198">
        <v>37</v>
      </c>
      <c r="M198">
        <v>2</v>
      </c>
      <c r="N198">
        <v>3</v>
      </c>
      <c r="O198">
        <v>0.70626699999999998</v>
      </c>
      <c r="P198">
        <v>0.38042799999999999</v>
      </c>
      <c r="Q198">
        <v>0.31009900000000001</v>
      </c>
    </row>
    <row r="199" spans="1:17" x14ac:dyDescent="0.25">
      <c r="A199" t="str">
        <f>IF(C199&amp;G199&amp;D199&lt;&gt;'Funnel setup'!$K$3&amp;'Funnel setup'!$K$4&amp;'Funnel setup'!$K$6,".",IF(A198=".",1,A198+1))</f>
        <v>.</v>
      </c>
      <c r="B199" s="244" t="str">
        <f t="shared" si="3"/>
        <v>Hip Replacement PrimarySub-ICB of GP PracticeNHS STAFFORDSHIRE AND STOKE-ON-TRENT ICB - 05Q (05Q)EQ-5D Index</v>
      </c>
      <c r="C199" t="s">
        <v>749</v>
      </c>
      <c r="D199" t="s">
        <v>1021</v>
      </c>
      <c r="E199" t="s">
        <v>933</v>
      </c>
      <c r="F199" t="s">
        <v>934</v>
      </c>
      <c r="G199" t="s">
        <v>963</v>
      </c>
      <c r="H199">
        <v>72</v>
      </c>
      <c r="I199">
        <v>0.34151399999999998</v>
      </c>
      <c r="J199">
        <v>0.71252800000000005</v>
      </c>
      <c r="K199">
        <v>0.37101400000000001</v>
      </c>
      <c r="L199">
        <v>59</v>
      </c>
      <c r="M199">
        <v>7</v>
      </c>
      <c r="N199">
        <v>6</v>
      </c>
      <c r="O199">
        <v>0.71296999999999999</v>
      </c>
      <c r="P199">
        <v>0.38713199999999998</v>
      </c>
      <c r="Q199">
        <v>0.24234700000000001</v>
      </c>
    </row>
    <row r="200" spans="1:17" x14ac:dyDescent="0.25">
      <c r="A200" t="str">
        <f>IF(C200&amp;G200&amp;D200&lt;&gt;'Funnel setup'!$K$3&amp;'Funnel setup'!$K$4&amp;'Funnel setup'!$K$6,".",IF(A199=".",1,A199+1))</f>
        <v>.</v>
      </c>
      <c r="B200" s="244" t="str">
        <f t="shared" si="3"/>
        <v>Hip Replacement PrimarySub-ICB of GP PracticeNHS STAFFORDSHIRE AND STOKE-ON-TRENT ICB - 05V (05V)EQ-5D Index</v>
      </c>
      <c r="C200" t="s">
        <v>749</v>
      </c>
      <c r="D200" t="s">
        <v>1021</v>
      </c>
      <c r="E200" t="s">
        <v>935</v>
      </c>
      <c r="F200" t="s">
        <v>936</v>
      </c>
      <c r="G200" t="s">
        <v>963</v>
      </c>
      <c r="H200">
        <v>58</v>
      </c>
      <c r="I200">
        <v>0.42584499999999997</v>
      </c>
      <c r="J200">
        <v>0.82274099999999994</v>
      </c>
      <c r="K200">
        <v>0.396897</v>
      </c>
      <c r="L200">
        <v>53</v>
      </c>
      <c r="M200">
        <v>3</v>
      </c>
      <c r="N200">
        <v>2</v>
      </c>
      <c r="O200">
        <v>0.78777900000000001</v>
      </c>
      <c r="P200">
        <v>0.46194000000000002</v>
      </c>
      <c r="Q200">
        <v>0.194687</v>
      </c>
    </row>
    <row r="201" spans="1:17" x14ac:dyDescent="0.25">
      <c r="A201" t="str">
        <f>IF(C201&amp;G201&amp;D201&lt;&gt;'Funnel setup'!$K$3&amp;'Funnel setup'!$K$4&amp;'Funnel setup'!$K$6,".",IF(A200=".",1,A200+1))</f>
        <v>.</v>
      </c>
      <c r="B201" s="244" t="str">
        <f t="shared" si="3"/>
        <v>Hip Replacement PrimarySub-ICB of GP PracticeNHS STAFFORDSHIRE AND STOKE-ON-TRENT ICB - 05W (05W)EQ-5D Index</v>
      </c>
      <c r="C201" t="s">
        <v>749</v>
      </c>
      <c r="D201" t="s">
        <v>1021</v>
      </c>
      <c r="E201" t="s">
        <v>937</v>
      </c>
      <c r="F201" t="s">
        <v>938</v>
      </c>
      <c r="G201" t="s">
        <v>963</v>
      </c>
      <c r="H201">
        <v>31</v>
      </c>
      <c r="I201">
        <v>0.25664500000000001</v>
      </c>
      <c r="J201">
        <v>0.81316100000000002</v>
      </c>
      <c r="K201">
        <v>0.55651600000000001</v>
      </c>
      <c r="L201">
        <v>29</v>
      </c>
      <c r="M201">
        <v>1</v>
      </c>
      <c r="N201">
        <v>1</v>
      </c>
      <c r="O201">
        <v>0.86485500000000004</v>
      </c>
      <c r="P201">
        <v>0.53901699999999997</v>
      </c>
      <c r="Q201">
        <v>0.186084</v>
      </c>
    </row>
    <row r="202" spans="1:17" x14ac:dyDescent="0.25">
      <c r="A202" t="str">
        <f>IF(C202&amp;G202&amp;D202&lt;&gt;'Funnel setup'!$K$3&amp;'Funnel setup'!$K$4&amp;'Funnel setup'!$K$6,".",IF(A201=".",1,A201+1))</f>
        <v>.</v>
      </c>
      <c r="B202" s="244" t="str">
        <f t="shared" si="3"/>
        <v>Hip Replacement PrimarySub-ICB of GP PracticeNHS SUFFOLK AND NORTH EAST ESSEX ICB - 06L (06L)EQ-5D Index</v>
      </c>
      <c r="C202" t="s">
        <v>749</v>
      </c>
      <c r="D202" t="s">
        <v>1021</v>
      </c>
      <c r="E202" t="s">
        <v>939</v>
      </c>
      <c r="F202" t="s">
        <v>940</v>
      </c>
      <c r="G202" t="s">
        <v>963</v>
      </c>
      <c r="H202">
        <v>140</v>
      </c>
      <c r="I202">
        <v>0.23935000000000001</v>
      </c>
      <c r="J202">
        <v>0.76063599999999998</v>
      </c>
      <c r="K202">
        <v>0.52128600000000003</v>
      </c>
      <c r="L202">
        <v>130</v>
      </c>
      <c r="M202">
        <v>7</v>
      </c>
      <c r="N202">
        <v>3</v>
      </c>
      <c r="O202">
        <v>0.78221700000000005</v>
      </c>
      <c r="P202">
        <v>0.45637800000000001</v>
      </c>
      <c r="Q202">
        <v>0.2462</v>
      </c>
    </row>
    <row r="203" spans="1:17" x14ac:dyDescent="0.25">
      <c r="A203" t="str">
        <f>IF(C203&amp;G203&amp;D203&lt;&gt;'Funnel setup'!$K$3&amp;'Funnel setup'!$K$4&amp;'Funnel setup'!$K$6,".",IF(A202=".",1,A202+1))</f>
        <v>.</v>
      </c>
      <c r="B203" s="244" t="str">
        <f t="shared" si="3"/>
        <v>Hip Replacement PrimarySub-ICB of GP PracticeNHS SUFFOLK AND NORTH EAST ESSEX ICB - 06T (06T)EQ-5D Index</v>
      </c>
      <c r="C203" t="s">
        <v>749</v>
      </c>
      <c r="D203" t="s">
        <v>1021</v>
      </c>
      <c r="E203" t="s">
        <v>941</v>
      </c>
      <c r="F203" t="s">
        <v>942</v>
      </c>
      <c r="G203" t="s">
        <v>963</v>
      </c>
      <c r="H203">
        <v>31</v>
      </c>
      <c r="I203">
        <v>0.38958100000000001</v>
      </c>
      <c r="J203">
        <v>0.79380600000000001</v>
      </c>
      <c r="K203">
        <v>0.40422599999999997</v>
      </c>
      <c r="L203">
        <v>28</v>
      </c>
      <c r="M203">
        <v>3</v>
      </c>
      <c r="N203">
        <v>0</v>
      </c>
      <c r="O203">
        <v>0.78985399999999995</v>
      </c>
      <c r="P203">
        <v>0.46401599999999998</v>
      </c>
      <c r="Q203">
        <v>0.16061400000000001</v>
      </c>
    </row>
    <row r="204" spans="1:17" x14ac:dyDescent="0.25">
      <c r="A204" t="str">
        <f>IF(C204&amp;G204&amp;D204&lt;&gt;'Funnel setup'!$K$3&amp;'Funnel setup'!$K$4&amp;'Funnel setup'!$K$6,".",IF(A203=".",1,A203+1))</f>
        <v>.</v>
      </c>
      <c r="B204" s="244" t="str">
        <f t="shared" si="3"/>
        <v>Hip Replacement PrimarySub-ICB of GP PracticeNHS SUFFOLK AND NORTH EAST ESSEX ICB - 07K (07K)EQ-5D Index</v>
      </c>
      <c r="C204" t="s">
        <v>749</v>
      </c>
      <c r="D204" t="s">
        <v>1021</v>
      </c>
      <c r="E204" t="s">
        <v>943</v>
      </c>
      <c r="F204" t="s">
        <v>944</v>
      </c>
      <c r="G204" t="s">
        <v>963</v>
      </c>
      <c r="H204">
        <v>127</v>
      </c>
      <c r="I204">
        <v>0.22875599999999999</v>
      </c>
      <c r="J204">
        <v>0.74041699999999999</v>
      </c>
      <c r="K204">
        <v>0.51166100000000003</v>
      </c>
      <c r="L204">
        <v>109</v>
      </c>
      <c r="M204">
        <v>8</v>
      </c>
      <c r="N204">
        <v>10</v>
      </c>
      <c r="O204">
        <v>0.74828099999999997</v>
      </c>
      <c r="P204">
        <v>0.42244300000000001</v>
      </c>
      <c r="Q204">
        <v>0.26301099999999999</v>
      </c>
    </row>
    <row r="205" spans="1:17" x14ac:dyDescent="0.25">
      <c r="A205" t="str">
        <f>IF(C205&amp;G205&amp;D205&lt;&gt;'Funnel setup'!$K$3&amp;'Funnel setup'!$K$4&amp;'Funnel setup'!$K$6,".",IF(A204=".",1,A204+1))</f>
        <v>.</v>
      </c>
      <c r="B205" s="244" t="str">
        <f t="shared" si="3"/>
        <v>Hip Replacement PrimarySub-ICB of GP PracticeNHS SURREY HEARTLANDS ICB - 92A (92A)EQ-5D Index</v>
      </c>
      <c r="C205" t="s">
        <v>749</v>
      </c>
      <c r="D205" t="s">
        <v>1021</v>
      </c>
      <c r="E205" t="s">
        <v>945</v>
      </c>
      <c r="F205" t="s">
        <v>946</v>
      </c>
      <c r="G205" t="s">
        <v>963</v>
      </c>
      <c r="H205">
        <v>365</v>
      </c>
      <c r="I205">
        <v>0.40646599999999999</v>
      </c>
      <c r="J205">
        <v>0.83092600000000005</v>
      </c>
      <c r="K205">
        <v>0.42446</v>
      </c>
      <c r="L205">
        <v>334</v>
      </c>
      <c r="M205">
        <v>16</v>
      </c>
      <c r="N205">
        <v>15</v>
      </c>
      <c r="O205">
        <v>0.79674</v>
      </c>
      <c r="P205">
        <v>0.47090100000000001</v>
      </c>
      <c r="Q205">
        <v>0.17980699999999999</v>
      </c>
    </row>
    <row r="206" spans="1:17" x14ac:dyDescent="0.25">
      <c r="A206" t="str">
        <f>IF(C206&amp;G206&amp;D206&lt;&gt;'Funnel setup'!$K$3&amp;'Funnel setup'!$K$4&amp;'Funnel setup'!$K$6,".",IF(A205=".",1,A205+1))</f>
        <v>.</v>
      </c>
      <c r="B206" s="244" t="str">
        <f t="shared" si="3"/>
        <v>Hip Replacement PrimarySub-ICB of GP PracticeNHS SUSSEX ICB - 09D (09D)EQ-5D Index</v>
      </c>
      <c r="C206" t="s">
        <v>749</v>
      </c>
      <c r="D206" t="s">
        <v>1021</v>
      </c>
      <c r="E206" t="s">
        <v>947</v>
      </c>
      <c r="F206" t="s">
        <v>948</v>
      </c>
      <c r="G206" t="s">
        <v>963</v>
      </c>
      <c r="H206">
        <v>8</v>
      </c>
      <c r="I206">
        <v>0.53112499999999996</v>
      </c>
      <c r="J206">
        <v>0.82137499999999997</v>
      </c>
      <c r="K206">
        <v>0.29025000000000001</v>
      </c>
      <c r="L206">
        <v>8</v>
      </c>
      <c r="M206">
        <v>0</v>
      </c>
      <c r="N206">
        <v>0</v>
      </c>
      <c r="O206" t="s">
        <v>127</v>
      </c>
      <c r="P206" t="s">
        <v>127</v>
      </c>
      <c r="Q206" t="s">
        <v>127</v>
      </c>
    </row>
    <row r="207" spans="1:17" x14ac:dyDescent="0.25">
      <c r="A207" t="str">
        <f>IF(C207&amp;G207&amp;D207&lt;&gt;'Funnel setup'!$K$3&amp;'Funnel setup'!$K$4&amp;'Funnel setup'!$K$6,".",IF(A206=".",1,A206+1))</f>
        <v>.</v>
      </c>
      <c r="B207" s="244" t="str">
        <f t="shared" si="3"/>
        <v>Hip Replacement PrimarySub-ICB of GP PracticeNHS SUSSEX ICB - 70F (70F)EQ-5D Index</v>
      </c>
      <c r="C207" t="s">
        <v>749</v>
      </c>
      <c r="D207" t="s">
        <v>1021</v>
      </c>
      <c r="E207" t="s">
        <v>949</v>
      </c>
      <c r="F207" t="s">
        <v>950</v>
      </c>
      <c r="G207" t="s">
        <v>963</v>
      </c>
      <c r="H207">
        <v>249</v>
      </c>
      <c r="I207">
        <v>0.32947799999999999</v>
      </c>
      <c r="J207">
        <v>0.76815299999999997</v>
      </c>
      <c r="K207">
        <v>0.43867499999999998</v>
      </c>
      <c r="L207">
        <v>216</v>
      </c>
      <c r="M207">
        <v>13</v>
      </c>
      <c r="N207">
        <v>20</v>
      </c>
      <c r="O207">
        <v>0.76394099999999998</v>
      </c>
      <c r="P207">
        <v>0.43810300000000002</v>
      </c>
      <c r="Q207">
        <v>0.254525</v>
      </c>
    </row>
    <row r="208" spans="1:17" x14ac:dyDescent="0.25">
      <c r="A208" t="str">
        <f>IF(C208&amp;G208&amp;D208&lt;&gt;'Funnel setup'!$K$3&amp;'Funnel setup'!$K$4&amp;'Funnel setup'!$K$6,".",IF(A207=".",1,A207+1))</f>
        <v>.</v>
      </c>
      <c r="B208" s="244" t="str">
        <f t="shared" si="3"/>
        <v>Hip Replacement PrimarySub-ICB of GP PracticeNHS SUSSEX ICB - 97R (97R)EQ-5D Index</v>
      </c>
      <c r="C208" t="s">
        <v>749</v>
      </c>
      <c r="D208" t="s">
        <v>1021</v>
      </c>
      <c r="E208" t="s">
        <v>951</v>
      </c>
      <c r="F208" t="s">
        <v>952</v>
      </c>
      <c r="G208" t="s">
        <v>963</v>
      </c>
      <c r="H208">
        <v>272</v>
      </c>
      <c r="I208">
        <v>0.37559900000000002</v>
      </c>
      <c r="J208">
        <v>0.80206200000000005</v>
      </c>
      <c r="K208">
        <v>0.42646299999999998</v>
      </c>
      <c r="L208">
        <v>239</v>
      </c>
      <c r="M208">
        <v>14</v>
      </c>
      <c r="N208">
        <v>19</v>
      </c>
      <c r="O208">
        <v>0.792489</v>
      </c>
      <c r="P208">
        <v>0.46665000000000001</v>
      </c>
      <c r="Q208">
        <v>0.27126400000000001</v>
      </c>
    </row>
    <row r="209" spans="1:17" x14ac:dyDescent="0.25">
      <c r="A209" t="str">
        <f>IF(C209&amp;G209&amp;D209&lt;&gt;'Funnel setup'!$K$3&amp;'Funnel setup'!$K$4&amp;'Funnel setup'!$K$6,".",IF(A208=".",1,A208+1))</f>
        <v>.</v>
      </c>
      <c r="B209" s="244" t="str">
        <f t="shared" si="3"/>
        <v>Hip Replacement PrimarySub-ICB of GP PracticeNHS WEST YORKSHIRE ICB - 02T (02T)EQ-5D Index</v>
      </c>
      <c r="C209" t="s">
        <v>749</v>
      </c>
      <c r="D209" t="s">
        <v>1021</v>
      </c>
      <c r="E209" t="s">
        <v>953</v>
      </c>
      <c r="F209" t="s">
        <v>954</v>
      </c>
      <c r="G209" t="s">
        <v>963</v>
      </c>
      <c r="H209">
        <v>57</v>
      </c>
      <c r="I209">
        <v>0.38101800000000002</v>
      </c>
      <c r="J209">
        <v>0.81587699999999996</v>
      </c>
      <c r="K209">
        <v>0.43486000000000002</v>
      </c>
      <c r="L209">
        <v>54</v>
      </c>
      <c r="M209">
        <v>2</v>
      </c>
      <c r="N209">
        <v>1</v>
      </c>
      <c r="O209">
        <v>0.80396999999999996</v>
      </c>
      <c r="P209">
        <v>0.47813099999999997</v>
      </c>
      <c r="Q209">
        <v>0.208181</v>
      </c>
    </row>
    <row r="210" spans="1:17" x14ac:dyDescent="0.25">
      <c r="A210" t="str">
        <f>IF(C210&amp;G210&amp;D210&lt;&gt;'Funnel setup'!$K$3&amp;'Funnel setup'!$K$4&amp;'Funnel setup'!$K$6,".",IF(A209=".",1,A209+1))</f>
        <v>.</v>
      </c>
      <c r="B210" s="244" t="str">
        <f t="shared" si="3"/>
        <v>Hip Replacement PrimarySub-ICB of GP PracticeNHS WEST YORKSHIRE ICB - 03R (03R)EQ-5D Index</v>
      </c>
      <c r="C210" t="s">
        <v>749</v>
      </c>
      <c r="D210" t="s">
        <v>1021</v>
      </c>
      <c r="E210" t="s">
        <v>955</v>
      </c>
      <c r="F210" t="s">
        <v>956</v>
      </c>
      <c r="G210" t="s">
        <v>963</v>
      </c>
      <c r="H210">
        <v>164</v>
      </c>
      <c r="I210">
        <v>0.29109099999999999</v>
      </c>
      <c r="J210">
        <v>0.73130499999999998</v>
      </c>
      <c r="K210">
        <v>0.44021300000000002</v>
      </c>
      <c r="L210">
        <v>149</v>
      </c>
      <c r="M210">
        <v>7</v>
      </c>
      <c r="N210">
        <v>8</v>
      </c>
      <c r="O210">
        <v>0.74749500000000002</v>
      </c>
      <c r="P210">
        <v>0.421657</v>
      </c>
      <c r="Q210">
        <v>0.26204</v>
      </c>
    </row>
    <row r="211" spans="1:17" x14ac:dyDescent="0.25">
      <c r="A211" t="str">
        <f>IF(C211&amp;G211&amp;D211&lt;&gt;'Funnel setup'!$K$3&amp;'Funnel setup'!$K$4&amp;'Funnel setup'!$K$6,".",IF(A210=".",1,A210+1))</f>
        <v>.</v>
      </c>
      <c r="B211" s="244" t="str">
        <f t="shared" si="3"/>
        <v>Hip Replacement PrimarySub-ICB of GP PracticeNHS WEST YORKSHIRE ICB - 15F (15F)EQ-5D Index</v>
      </c>
      <c r="C211" t="s">
        <v>749</v>
      </c>
      <c r="D211" t="s">
        <v>1021</v>
      </c>
      <c r="E211" t="s">
        <v>957</v>
      </c>
      <c r="F211" t="s">
        <v>958</v>
      </c>
      <c r="G211" t="s">
        <v>963</v>
      </c>
      <c r="H211">
        <v>218</v>
      </c>
      <c r="I211">
        <v>0.33467400000000003</v>
      </c>
      <c r="J211">
        <v>0.77789399999999997</v>
      </c>
      <c r="K211">
        <v>0.44322</v>
      </c>
      <c r="L211">
        <v>190</v>
      </c>
      <c r="M211">
        <v>8</v>
      </c>
      <c r="N211">
        <v>20</v>
      </c>
      <c r="O211">
        <v>0.77321200000000001</v>
      </c>
      <c r="P211">
        <v>0.44737399999999999</v>
      </c>
      <c r="Q211">
        <v>0.228412</v>
      </c>
    </row>
    <row r="212" spans="1:17" x14ac:dyDescent="0.25">
      <c r="A212" t="str">
        <f>IF(C212&amp;G212&amp;D212&lt;&gt;'Funnel setup'!$K$3&amp;'Funnel setup'!$K$4&amp;'Funnel setup'!$K$6,".",IF(A211=".",1,A211+1))</f>
        <v>.</v>
      </c>
      <c r="B212" s="244" t="str">
        <f t="shared" si="3"/>
        <v>Hip Replacement PrimarySub-ICB of GP PracticeNHS WEST YORKSHIRE ICB - 36J (36J)EQ-5D Index</v>
      </c>
      <c r="C212" t="s">
        <v>749</v>
      </c>
      <c r="D212" t="s">
        <v>1021</v>
      </c>
      <c r="E212" t="s">
        <v>959</v>
      </c>
      <c r="F212" t="s">
        <v>960</v>
      </c>
      <c r="G212" t="s">
        <v>963</v>
      </c>
      <c r="H212">
        <v>85</v>
      </c>
      <c r="I212">
        <v>0.33560000000000001</v>
      </c>
      <c r="J212">
        <v>0.83871799999999996</v>
      </c>
      <c r="K212">
        <v>0.50311799999999995</v>
      </c>
      <c r="L212">
        <v>78</v>
      </c>
      <c r="M212">
        <v>6</v>
      </c>
      <c r="N212">
        <v>1</v>
      </c>
      <c r="O212">
        <v>0.84644299999999995</v>
      </c>
      <c r="P212">
        <v>0.52060499999999998</v>
      </c>
      <c r="Q212">
        <v>0.192195</v>
      </c>
    </row>
    <row r="213" spans="1:17" x14ac:dyDescent="0.25">
      <c r="A213" t="str">
        <f>IF(C213&amp;G213&amp;D213&lt;&gt;'Funnel setup'!$K$3&amp;'Funnel setup'!$K$4&amp;'Funnel setup'!$K$6,".",IF(A212=".",1,A212+1))</f>
        <v>.</v>
      </c>
      <c r="B213" s="244" t="str">
        <f t="shared" si="3"/>
        <v>Hip Replacement PrimarySub-ICB of GP PracticeNHS WEST YORKSHIRE ICB - X2C4Y (X2C4Y)EQ-5D Index</v>
      </c>
      <c r="C213" t="s">
        <v>749</v>
      </c>
      <c r="D213" t="s">
        <v>1021</v>
      </c>
      <c r="E213" t="s">
        <v>961</v>
      </c>
      <c r="F213" t="s">
        <v>962</v>
      </c>
      <c r="G213" t="s">
        <v>963</v>
      </c>
      <c r="H213">
        <v>113</v>
      </c>
      <c r="I213">
        <v>0.30326500000000001</v>
      </c>
      <c r="J213">
        <v>0.73014199999999996</v>
      </c>
      <c r="K213">
        <v>0.42687599999999998</v>
      </c>
      <c r="L213">
        <v>96</v>
      </c>
      <c r="M213">
        <v>5</v>
      </c>
      <c r="N213">
        <v>12</v>
      </c>
      <c r="O213">
        <v>0.75244599999999995</v>
      </c>
      <c r="P213">
        <v>0.42660799999999999</v>
      </c>
      <c r="Q213">
        <v>0.26782499999999998</v>
      </c>
    </row>
    <row r="214" spans="1:17" x14ac:dyDescent="0.25">
      <c r="A214" t="str">
        <f>IF(C214&amp;G214&amp;D214&lt;&gt;'Funnel setup'!$K$3&amp;'Funnel setup'!$K$4&amp;'Funnel setup'!$K$6,".",IF(A213=".",1,A213+1))</f>
        <v>.</v>
      </c>
      <c r="B214" s="244" t="str">
        <f t="shared" si="3"/>
        <v>Hip Replacement PrimarySub-ICB of GP PracticeNHS BATH AND NORTH EAST SOMERSET, SWINDON AND WILTSHIRE ICB - 92G (92G)Oxford Hip Score</v>
      </c>
      <c r="C214" t="s">
        <v>749</v>
      </c>
      <c r="D214" t="s">
        <v>1021</v>
      </c>
      <c r="E214" t="s">
        <v>750</v>
      </c>
      <c r="F214" t="s">
        <v>751</v>
      </c>
      <c r="G214" t="s">
        <v>964</v>
      </c>
      <c r="H214">
        <v>250</v>
      </c>
      <c r="I214">
        <v>18.96</v>
      </c>
      <c r="J214">
        <v>41.676000000000002</v>
      </c>
      <c r="K214">
        <v>22.716000000000001</v>
      </c>
      <c r="L214">
        <v>246</v>
      </c>
      <c r="M214">
        <v>0</v>
      </c>
      <c r="N214">
        <v>4</v>
      </c>
      <c r="O214">
        <v>40.036799999999999</v>
      </c>
      <c r="P214">
        <v>22.952500000000001</v>
      </c>
      <c r="Q214">
        <v>7.61625</v>
      </c>
    </row>
    <row r="215" spans="1:17" x14ac:dyDescent="0.25">
      <c r="A215" t="str">
        <f>IF(C215&amp;G215&amp;D215&lt;&gt;'Funnel setup'!$K$3&amp;'Funnel setup'!$K$4&amp;'Funnel setup'!$K$6,".",IF(A214=".",1,A214+1))</f>
        <v>.</v>
      </c>
      <c r="B215" s="244" t="str">
        <f t="shared" si="3"/>
        <v>Hip Replacement PrimarySub-ICB of GP PracticeNHS BEDFORDSHIRE, LUTON AND MILTON KEYNES ICB - M1J4Y (M1J4Y)Oxford Hip Score</v>
      </c>
      <c r="C215" t="s">
        <v>749</v>
      </c>
      <c r="D215" t="s">
        <v>1021</v>
      </c>
      <c r="E215" t="s">
        <v>753</v>
      </c>
      <c r="F215" t="s">
        <v>754</v>
      </c>
      <c r="G215" t="s">
        <v>964</v>
      </c>
      <c r="H215">
        <v>239</v>
      </c>
      <c r="I215">
        <v>15.3766</v>
      </c>
      <c r="J215">
        <v>38.8703</v>
      </c>
      <c r="K215">
        <v>23.4937</v>
      </c>
      <c r="L215">
        <v>234</v>
      </c>
      <c r="M215">
        <v>0</v>
      </c>
      <c r="N215">
        <v>5</v>
      </c>
      <c r="O215">
        <v>39.698500000000003</v>
      </c>
      <c r="P215">
        <v>22.6142</v>
      </c>
      <c r="Q215">
        <v>8.7817100000000003</v>
      </c>
    </row>
    <row r="216" spans="1:17" x14ac:dyDescent="0.25">
      <c r="A216" t="str">
        <f>IF(C216&amp;G216&amp;D216&lt;&gt;'Funnel setup'!$K$3&amp;'Funnel setup'!$K$4&amp;'Funnel setup'!$K$6,".",IF(A215=".",1,A215+1))</f>
        <v>.</v>
      </c>
      <c r="B216" s="244" t="str">
        <f t="shared" si="3"/>
        <v>Hip Replacement PrimarySub-ICB of GP PracticeNHS BIRMINGHAM AND SOLIHULL ICB - 15E (15E)Oxford Hip Score</v>
      </c>
      <c r="C216" t="s">
        <v>749</v>
      </c>
      <c r="D216" t="s">
        <v>1021</v>
      </c>
      <c r="E216" t="s">
        <v>755</v>
      </c>
      <c r="F216" t="s">
        <v>756</v>
      </c>
      <c r="G216" t="s">
        <v>964</v>
      </c>
      <c r="H216">
        <v>369</v>
      </c>
      <c r="I216">
        <v>17.216799999999999</v>
      </c>
      <c r="J216">
        <v>40.374000000000002</v>
      </c>
      <c r="K216">
        <v>23.1572</v>
      </c>
      <c r="L216">
        <v>365</v>
      </c>
      <c r="M216">
        <v>1</v>
      </c>
      <c r="N216">
        <v>3</v>
      </c>
      <c r="O216">
        <v>40.384799999999998</v>
      </c>
      <c r="P216">
        <v>23.3005</v>
      </c>
      <c r="Q216">
        <v>7.5527300000000004</v>
      </c>
    </row>
    <row r="217" spans="1:17" x14ac:dyDescent="0.25">
      <c r="A217" t="str">
        <f>IF(C217&amp;G217&amp;D217&lt;&gt;'Funnel setup'!$K$3&amp;'Funnel setup'!$K$4&amp;'Funnel setup'!$K$6,".",IF(A216=".",1,A216+1))</f>
        <v>.</v>
      </c>
      <c r="B217" s="244" t="str">
        <f t="shared" si="3"/>
        <v>Hip Replacement PrimarySub-ICB of GP PracticeNHS BLACK COUNTRY ICB - D2P2L (D2P2L)Oxford Hip Score</v>
      </c>
      <c r="C217" t="s">
        <v>749</v>
      </c>
      <c r="D217" t="s">
        <v>1021</v>
      </c>
      <c r="E217" t="s">
        <v>757</v>
      </c>
      <c r="F217" t="s">
        <v>758</v>
      </c>
      <c r="G217" t="s">
        <v>964</v>
      </c>
      <c r="H217">
        <v>269</v>
      </c>
      <c r="I217">
        <v>16.546500000000002</v>
      </c>
      <c r="J217">
        <v>39.063200000000002</v>
      </c>
      <c r="K217">
        <v>22.5167</v>
      </c>
      <c r="L217">
        <v>261</v>
      </c>
      <c r="M217">
        <v>1</v>
      </c>
      <c r="N217">
        <v>7</v>
      </c>
      <c r="O217">
        <v>39.879300000000001</v>
      </c>
      <c r="P217">
        <v>22.795000000000002</v>
      </c>
      <c r="Q217">
        <v>8.5857799999999997</v>
      </c>
    </row>
    <row r="218" spans="1:17" x14ac:dyDescent="0.25">
      <c r="A218" t="str">
        <f>IF(C218&amp;G218&amp;D218&lt;&gt;'Funnel setup'!$K$3&amp;'Funnel setup'!$K$4&amp;'Funnel setup'!$K$6,".",IF(A217=".",1,A217+1))</f>
        <v>.</v>
      </c>
      <c r="B218" s="244" t="str">
        <f t="shared" si="3"/>
        <v>Hip Replacement PrimarySub-ICB of GP PracticeNHS BRISTOL, NORTH SOMERSET AND SOUTH GLOUCESTERSHIRE ICB - 15C (15C)Oxford Hip Score</v>
      </c>
      <c r="C218" t="s">
        <v>749</v>
      </c>
      <c r="D218" t="s">
        <v>1021</v>
      </c>
      <c r="E218" t="s">
        <v>759</v>
      </c>
      <c r="F218" t="s">
        <v>760</v>
      </c>
      <c r="G218" t="s">
        <v>964</v>
      </c>
      <c r="H218">
        <v>230</v>
      </c>
      <c r="I218">
        <v>16.934799999999999</v>
      </c>
      <c r="J218">
        <v>42.5261</v>
      </c>
      <c r="K218">
        <v>25.5913</v>
      </c>
      <c r="L218">
        <v>228</v>
      </c>
      <c r="M218">
        <v>1</v>
      </c>
      <c r="N218">
        <v>1</v>
      </c>
      <c r="O218">
        <v>41.987900000000003</v>
      </c>
      <c r="P218">
        <v>24.903600000000001</v>
      </c>
      <c r="Q218">
        <v>6.8538899999999998</v>
      </c>
    </row>
    <row r="219" spans="1:17" x14ac:dyDescent="0.25">
      <c r="A219" t="str">
        <f>IF(C219&amp;G219&amp;D219&lt;&gt;'Funnel setup'!$K$3&amp;'Funnel setup'!$K$4&amp;'Funnel setup'!$K$6,".",IF(A218=".",1,A218+1))</f>
        <v>.</v>
      </c>
      <c r="B219" s="244" t="str">
        <f t="shared" si="3"/>
        <v>Hip Replacement PrimarySub-ICB of GP PracticeNHS BUCKINGHAMSHIRE, OXFORDSHIRE AND BERKSHIRE WEST ICB - 10Q (10Q)Oxford Hip Score</v>
      </c>
      <c r="C219" t="s">
        <v>749</v>
      </c>
      <c r="D219" t="s">
        <v>1021</v>
      </c>
      <c r="E219" t="s">
        <v>761</v>
      </c>
      <c r="F219" t="s">
        <v>762</v>
      </c>
      <c r="G219" t="s">
        <v>964</v>
      </c>
      <c r="H219">
        <v>362</v>
      </c>
      <c r="I219">
        <v>18.384</v>
      </c>
      <c r="J219">
        <v>41.190600000000003</v>
      </c>
      <c r="K219">
        <v>22.8066</v>
      </c>
      <c r="L219">
        <v>352</v>
      </c>
      <c r="M219">
        <v>1</v>
      </c>
      <c r="N219">
        <v>9</v>
      </c>
      <c r="O219">
        <v>40.186300000000003</v>
      </c>
      <c r="P219">
        <v>23.1021</v>
      </c>
      <c r="Q219">
        <v>7.7755099999999997</v>
      </c>
    </row>
    <row r="220" spans="1:17" x14ac:dyDescent="0.25">
      <c r="A220" t="str">
        <f>IF(C220&amp;G220&amp;D220&lt;&gt;'Funnel setup'!$K$3&amp;'Funnel setup'!$K$4&amp;'Funnel setup'!$K$6,".",IF(A219=".",1,A219+1))</f>
        <v>.</v>
      </c>
      <c r="B220" s="244" t="str">
        <f t="shared" si="3"/>
        <v>Hip Replacement PrimarySub-ICB of GP PracticeNHS BUCKINGHAMSHIRE, OXFORDSHIRE AND BERKSHIRE WEST ICB - 14Y (14Y)Oxford Hip Score</v>
      </c>
      <c r="C220" t="s">
        <v>749</v>
      </c>
      <c r="D220" t="s">
        <v>1021</v>
      </c>
      <c r="E220" t="s">
        <v>763</v>
      </c>
      <c r="F220" t="s">
        <v>764</v>
      </c>
      <c r="G220" t="s">
        <v>964</v>
      </c>
      <c r="H220">
        <v>227</v>
      </c>
      <c r="I220">
        <v>18.008800000000001</v>
      </c>
      <c r="J220">
        <v>40.088099999999997</v>
      </c>
      <c r="K220">
        <v>22.0793</v>
      </c>
      <c r="L220">
        <v>219</v>
      </c>
      <c r="M220">
        <v>1</v>
      </c>
      <c r="N220">
        <v>7</v>
      </c>
      <c r="O220">
        <v>39.204000000000001</v>
      </c>
      <c r="P220">
        <v>22.119700000000002</v>
      </c>
      <c r="Q220">
        <v>8.3191299999999995</v>
      </c>
    </row>
    <row r="221" spans="1:17" x14ac:dyDescent="0.25">
      <c r="A221" t="str">
        <f>IF(C221&amp;G221&amp;D221&lt;&gt;'Funnel setup'!$K$3&amp;'Funnel setup'!$K$4&amp;'Funnel setup'!$K$6,".",IF(A220=".",1,A220+1))</f>
        <v>.</v>
      </c>
      <c r="B221" s="244" t="str">
        <f t="shared" si="3"/>
        <v>Hip Replacement PrimarySub-ICB of GP PracticeNHS BUCKINGHAMSHIRE, OXFORDSHIRE AND BERKSHIRE WEST ICB - 15A (15A)Oxford Hip Score</v>
      </c>
      <c r="C221" t="s">
        <v>749</v>
      </c>
      <c r="D221" t="s">
        <v>1021</v>
      </c>
      <c r="E221" t="s">
        <v>765</v>
      </c>
      <c r="F221" t="s">
        <v>766</v>
      </c>
      <c r="G221" t="s">
        <v>964</v>
      </c>
      <c r="H221">
        <v>71</v>
      </c>
      <c r="I221">
        <v>20.9437</v>
      </c>
      <c r="J221">
        <v>41.563400000000001</v>
      </c>
      <c r="K221">
        <v>20.619700000000002</v>
      </c>
      <c r="L221">
        <v>68</v>
      </c>
      <c r="M221">
        <v>0</v>
      </c>
      <c r="N221">
        <v>3</v>
      </c>
      <c r="O221">
        <v>39.287999999999997</v>
      </c>
      <c r="P221">
        <v>22.203700000000001</v>
      </c>
      <c r="Q221">
        <v>8.6591500000000003</v>
      </c>
    </row>
    <row r="222" spans="1:17" x14ac:dyDescent="0.25">
      <c r="A222" t="str">
        <f>IF(C222&amp;G222&amp;D222&lt;&gt;'Funnel setup'!$K$3&amp;'Funnel setup'!$K$4&amp;'Funnel setup'!$K$6,".",IF(A221=".",1,A221+1))</f>
        <v>.</v>
      </c>
      <c r="B222" s="244" t="str">
        <f t="shared" si="3"/>
        <v>Hip Replacement PrimarySub-ICB of GP PracticeNHS CAMBRIDGESHIRE AND PETERBOROUGH ICB - 06H (06H)Oxford Hip Score</v>
      </c>
      <c r="C222" t="s">
        <v>749</v>
      </c>
      <c r="D222" t="s">
        <v>1021</v>
      </c>
      <c r="E222" t="s">
        <v>767</v>
      </c>
      <c r="F222" t="s">
        <v>768</v>
      </c>
      <c r="G222" t="s">
        <v>964</v>
      </c>
      <c r="H222">
        <v>229</v>
      </c>
      <c r="I222">
        <v>14.69</v>
      </c>
      <c r="J222">
        <v>38.869</v>
      </c>
      <c r="K222">
        <v>24.178999999999998</v>
      </c>
      <c r="L222">
        <v>224</v>
      </c>
      <c r="M222">
        <v>2</v>
      </c>
      <c r="N222">
        <v>3</v>
      </c>
      <c r="O222">
        <v>39.953600000000002</v>
      </c>
      <c r="P222">
        <v>22.869299999999999</v>
      </c>
      <c r="Q222">
        <v>8.3904899999999998</v>
      </c>
    </row>
    <row r="223" spans="1:17" x14ac:dyDescent="0.25">
      <c r="A223" t="str">
        <f>IF(C223&amp;G223&amp;D223&lt;&gt;'Funnel setup'!$K$3&amp;'Funnel setup'!$K$4&amp;'Funnel setup'!$K$6,".",IF(A222=".",1,A222+1))</f>
        <v>.</v>
      </c>
      <c r="B223" s="244" t="str">
        <f t="shared" si="3"/>
        <v>Hip Replacement PrimarySub-ICB of GP PracticeNHS CHESHIRE AND MERSEYSIDE ICB - 01F (01F)Oxford Hip Score</v>
      </c>
      <c r="C223" t="s">
        <v>749</v>
      </c>
      <c r="D223" t="s">
        <v>1021</v>
      </c>
      <c r="E223" t="s">
        <v>769</v>
      </c>
      <c r="F223" t="s">
        <v>770</v>
      </c>
      <c r="G223" t="s">
        <v>964</v>
      </c>
      <c r="H223">
        <v>31</v>
      </c>
      <c r="I223">
        <v>17.483899999999998</v>
      </c>
      <c r="J223">
        <v>38.483899999999998</v>
      </c>
      <c r="K223">
        <v>21</v>
      </c>
      <c r="L223">
        <v>31</v>
      </c>
      <c r="M223">
        <v>0</v>
      </c>
      <c r="N223">
        <v>0</v>
      </c>
      <c r="O223">
        <v>39.564900000000002</v>
      </c>
      <c r="P223">
        <v>22.480599999999999</v>
      </c>
      <c r="Q223">
        <v>6.65754</v>
      </c>
    </row>
    <row r="224" spans="1:17" x14ac:dyDescent="0.25">
      <c r="A224" t="str">
        <f>IF(C224&amp;G224&amp;D224&lt;&gt;'Funnel setup'!$K$3&amp;'Funnel setup'!$K$4&amp;'Funnel setup'!$K$6,".",IF(A223=".",1,A223+1))</f>
        <v>.</v>
      </c>
      <c r="B224" s="244" t="str">
        <f t="shared" si="3"/>
        <v>Hip Replacement PrimarySub-ICB of GP PracticeNHS CHESHIRE AND MERSEYSIDE ICB - 01J (01J)Oxford Hip Score</v>
      </c>
      <c r="C224" t="s">
        <v>749</v>
      </c>
      <c r="D224" t="s">
        <v>1021</v>
      </c>
      <c r="E224" t="s">
        <v>771</v>
      </c>
      <c r="F224" t="s">
        <v>772</v>
      </c>
      <c r="G224" t="s">
        <v>964</v>
      </c>
      <c r="H224">
        <v>38</v>
      </c>
      <c r="I224">
        <v>13.736800000000001</v>
      </c>
      <c r="J224">
        <v>38.289499999999997</v>
      </c>
      <c r="K224">
        <v>24.552600000000002</v>
      </c>
      <c r="L224">
        <v>37</v>
      </c>
      <c r="M224">
        <v>0</v>
      </c>
      <c r="N224">
        <v>1</v>
      </c>
      <c r="O224">
        <v>40.484200000000001</v>
      </c>
      <c r="P224">
        <v>23.399899999999999</v>
      </c>
      <c r="Q224">
        <v>9.7844800000000003</v>
      </c>
    </row>
    <row r="225" spans="1:17" x14ac:dyDescent="0.25">
      <c r="A225" t="str">
        <f>IF(C225&amp;G225&amp;D225&lt;&gt;'Funnel setup'!$K$3&amp;'Funnel setup'!$K$4&amp;'Funnel setup'!$K$6,".",IF(A224=".",1,A224+1))</f>
        <v>.</v>
      </c>
      <c r="B225" s="244" t="str">
        <f t="shared" si="3"/>
        <v>Hip Replacement PrimarySub-ICB of GP PracticeNHS CHESHIRE AND MERSEYSIDE ICB - 01T (01T)Oxford Hip Score</v>
      </c>
      <c r="C225" t="s">
        <v>749</v>
      </c>
      <c r="D225" t="s">
        <v>1021</v>
      </c>
      <c r="E225" t="s">
        <v>773</v>
      </c>
      <c r="F225" t="s">
        <v>774</v>
      </c>
      <c r="G225" t="s">
        <v>964</v>
      </c>
      <c r="H225">
        <v>45</v>
      </c>
      <c r="I225">
        <v>17.088899999999999</v>
      </c>
      <c r="J225">
        <v>38.7333</v>
      </c>
      <c r="K225">
        <v>21.644400000000001</v>
      </c>
      <c r="L225">
        <v>44</v>
      </c>
      <c r="M225">
        <v>0</v>
      </c>
      <c r="N225">
        <v>1</v>
      </c>
      <c r="O225">
        <v>38.8108</v>
      </c>
      <c r="P225">
        <v>21.726500000000001</v>
      </c>
      <c r="Q225">
        <v>9.7836400000000001</v>
      </c>
    </row>
    <row r="226" spans="1:17" x14ac:dyDescent="0.25">
      <c r="A226" t="str">
        <f>IF(C226&amp;G226&amp;D226&lt;&gt;'Funnel setup'!$K$3&amp;'Funnel setup'!$K$4&amp;'Funnel setup'!$K$6,".",IF(A225=".",1,A225+1))</f>
        <v>.</v>
      </c>
      <c r="B226" s="244" t="str">
        <f t="shared" si="3"/>
        <v>Hip Replacement PrimarySub-ICB of GP PracticeNHS CHESHIRE AND MERSEYSIDE ICB - 01V (01V)Oxford Hip Score</v>
      </c>
      <c r="C226" t="s">
        <v>749</v>
      </c>
      <c r="D226" t="s">
        <v>1021</v>
      </c>
      <c r="E226" t="s">
        <v>775</v>
      </c>
      <c r="F226" t="s">
        <v>776</v>
      </c>
      <c r="G226" t="s">
        <v>964</v>
      </c>
      <c r="H226">
        <v>24</v>
      </c>
      <c r="I226">
        <v>16.375</v>
      </c>
      <c r="J226">
        <v>38.666699999999999</v>
      </c>
      <c r="K226">
        <v>22.291699999999999</v>
      </c>
      <c r="L226">
        <v>24</v>
      </c>
      <c r="M226">
        <v>0</v>
      </c>
      <c r="N226">
        <v>0</v>
      </c>
      <c r="O226" t="s">
        <v>127</v>
      </c>
      <c r="P226" t="s">
        <v>127</v>
      </c>
      <c r="Q226" t="s">
        <v>127</v>
      </c>
    </row>
    <row r="227" spans="1:17" x14ac:dyDescent="0.25">
      <c r="A227" t="str">
        <f>IF(C227&amp;G227&amp;D227&lt;&gt;'Funnel setup'!$K$3&amp;'Funnel setup'!$K$4&amp;'Funnel setup'!$K$6,".",IF(A226=".",1,A226+1))</f>
        <v>.</v>
      </c>
      <c r="B227" s="244" t="str">
        <f t="shared" si="3"/>
        <v>Hip Replacement PrimarySub-ICB of GP PracticeNHS CHESHIRE AND MERSEYSIDE ICB - 01X (01X)Oxford Hip Score</v>
      </c>
      <c r="C227" t="s">
        <v>749</v>
      </c>
      <c r="D227" t="s">
        <v>1021</v>
      </c>
      <c r="E227" t="s">
        <v>777</v>
      </c>
      <c r="F227" t="s">
        <v>778</v>
      </c>
      <c r="G227" t="s">
        <v>964</v>
      </c>
      <c r="H227">
        <v>63</v>
      </c>
      <c r="I227">
        <v>15.301600000000001</v>
      </c>
      <c r="J227">
        <v>36.238100000000003</v>
      </c>
      <c r="K227">
        <v>20.936499999999999</v>
      </c>
      <c r="L227">
        <v>60</v>
      </c>
      <c r="M227">
        <v>1</v>
      </c>
      <c r="N227">
        <v>2</v>
      </c>
      <c r="O227">
        <v>37.533099999999997</v>
      </c>
      <c r="P227">
        <v>20.448799999999999</v>
      </c>
      <c r="Q227">
        <v>9.5393600000000003</v>
      </c>
    </row>
    <row r="228" spans="1:17" x14ac:dyDescent="0.25">
      <c r="A228" t="str">
        <f>IF(C228&amp;G228&amp;D228&lt;&gt;'Funnel setup'!$K$3&amp;'Funnel setup'!$K$4&amp;'Funnel setup'!$K$6,".",IF(A227=".",1,A227+1))</f>
        <v>.</v>
      </c>
      <c r="B228" s="244" t="str">
        <f t="shared" si="3"/>
        <v>Hip Replacement PrimarySub-ICB of GP PracticeNHS CHESHIRE AND MERSEYSIDE ICB - 02E (02E)Oxford Hip Score</v>
      </c>
      <c r="C228" t="s">
        <v>749</v>
      </c>
      <c r="D228" t="s">
        <v>1021</v>
      </c>
      <c r="E228" t="s">
        <v>779</v>
      </c>
      <c r="F228" t="s">
        <v>780</v>
      </c>
      <c r="G228" t="s">
        <v>964</v>
      </c>
      <c r="H228">
        <v>34</v>
      </c>
      <c r="I228">
        <v>16.5</v>
      </c>
      <c r="J228">
        <v>37.058799999999998</v>
      </c>
      <c r="K228">
        <v>20.558800000000002</v>
      </c>
      <c r="L228">
        <v>32</v>
      </c>
      <c r="M228">
        <v>0</v>
      </c>
      <c r="N228">
        <v>2</v>
      </c>
      <c r="O228">
        <v>37.222799999999999</v>
      </c>
      <c r="P228">
        <v>20.138500000000001</v>
      </c>
      <c r="Q228">
        <v>8.9335500000000003</v>
      </c>
    </row>
    <row r="229" spans="1:17" x14ac:dyDescent="0.25">
      <c r="A229" t="str">
        <f>IF(C229&amp;G229&amp;D229&lt;&gt;'Funnel setup'!$K$3&amp;'Funnel setup'!$K$4&amp;'Funnel setup'!$K$6,".",IF(A228=".",1,A228+1))</f>
        <v>.</v>
      </c>
      <c r="B229" s="244" t="str">
        <f t="shared" si="3"/>
        <v>Hip Replacement PrimarySub-ICB of GP PracticeNHS CHESHIRE AND MERSEYSIDE ICB - 12F (12F)Oxford Hip Score</v>
      </c>
      <c r="C229" t="s">
        <v>749</v>
      </c>
      <c r="D229" t="s">
        <v>1021</v>
      </c>
      <c r="E229" t="s">
        <v>781</v>
      </c>
      <c r="F229" t="s">
        <v>782</v>
      </c>
      <c r="G229" t="s">
        <v>964</v>
      </c>
      <c r="H229">
        <v>102</v>
      </c>
      <c r="I229">
        <v>15.6275</v>
      </c>
      <c r="J229">
        <v>37.196100000000001</v>
      </c>
      <c r="K229">
        <v>21.5686</v>
      </c>
      <c r="L229">
        <v>100</v>
      </c>
      <c r="M229">
        <v>0</v>
      </c>
      <c r="N229">
        <v>2</v>
      </c>
      <c r="O229">
        <v>37.918399999999998</v>
      </c>
      <c r="P229">
        <v>20.834099999999999</v>
      </c>
      <c r="Q229">
        <v>8.35398</v>
      </c>
    </row>
    <row r="230" spans="1:17" x14ac:dyDescent="0.25">
      <c r="A230" t="str">
        <f>IF(C230&amp;G230&amp;D230&lt;&gt;'Funnel setup'!$K$3&amp;'Funnel setup'!$K$4&amp;'Funnel setup'!$K$6,".",IF(A229=".",1,A229+1))</f>
        <v>.</v>
      </c>
      <c r="B230" s="244" t="str">
        <f t="shared" si="3"/>
        <v>Hip Replacement PrimarySub-ICB of GP PracticeNHS CHESHIRE AND MERSEYSIDE ICB - 27D (27D)Oxford Hip Score</v>
      </c>
      <c r="C230" t="s">
        <v>749</v>
      </c>
      <c r="D230" t="s">
        <v>1021</v>
      </c>
      <c r="E230" t="s">
        <v>783</v>
      </c>
      <c r="F230" t="s">
        <v>784</v>
      </c>
      <c r="G230" t="s">
        <v>964</v>
      </c>
      <c r="H230">
        <v>277</v>
      </c>
      <c r="I230">
        <v>16.454899999999999</v>
      </c>
      <c r="J230">
        <v>41.299599999999998</v>
      </c>
      <c r="K230">
        <v>24.844799999999999</v>
      </c>
      <c r="L230">
        <v>276</v>
      </c>
      <c r="M230">
        <v>1</v>
      </c>
      <c r="N230">
        <v>0</v>
      </c>
      <c r="O230">
        <v>41.233899999999998</v>
      </c>
      <c r="P230">
        <v>24.1496</v>
      </c>
      <c r="Q230">
        <v>6.7345499999999996</v>
      </c>
    </row>
    <row r="231" spans="1:17" x14ac:dyDescent="0.25">
      <c r="A231" t="str">
        <f>IF(C231&amp;G231&amp;D231&lt;&gt;'Funnel setup'!$K$3&amp;'Funnel setup'!$K$4&amp;'Funnel setup'!$K$6,".",IF(A230=".",1,A230+1))</f>
        <v>.</v>
      </c>
      <c r="B231" s="244" t="str">
        <f t="shared" si="3"/>
        <v>Hip Replacement PrimarySub-ICB of GP PracticeNHS CHESHIRE AND MERSEYSIDE ICB - 99A (99A)Oxford Hip Score</v>
      </c>
      <c r="C231" t="s">
        <v>749</v>
      </c>
      <c r="D231" t="s">
        <v>1021</v>
      </c>
      <c r="E231" t="s">
        <v>785</v>
      </c>
      <c r="F231" t="s">
        <v>786</v>
      </c>
      <c r="G231" t="s">
        <v>964</v>
      </c>
      <c r="H231">
        <v>83</v>
      </c>
      <c r="I231">
        <v>13.903600000000001</v>
      </c>
      <c r="J231">
        <v>36.722900000000003</v>
      </c>
      <c r="K231">
        <v>22.819299999999998</v>
      </c>
      <c r="L231">
        <v>80</v>
      </c>
      <c r="M231">
        <v>0</v>
      </c>
      <c r="N231">
        <v>3</v>
      </c>
      <c r="O231">
        <v>39.9726</v>
      </c>
      <c r="P231">
        <v>22.888300000000001</v>
      </c>
      <c r="Q231">
        <v>8.6572700000000005</v>
      </c>
    </row>
    <row r="232" spans="1:17" x14ac:dyDescent="0.25">
      <c r="A232" t="str">
        <f>IF(C232&amp;G232&amp;D232&lt;&gt;'Funnel setup'!$K$3&amp;'Funnel setup'!$K$4&amp;'Funnel setup'!$K$6,".",IF(A231=".",1,A231+1))</f>
        <v>.</v>
      </c>
      <c r="B232" s="244" t="str">
        <f t="shared" si="3"/>
        <v>Hip Replacement PrimarySub-ICB of GP PracticeNHS CORNWALL AND THE ISLES OF SCILLY ICB - 11N (11N)Oxford Hip Score</v>
      </c>
      <c r="C232" t="s">
        <v>749</v>
      </c>
      <c r="D232" t="s">
        <v>1021</v>
      </c>
      <c r="E232" t="s">
        <v>787</v>
      </c>
      <c r="F232" t="s">
        <v>788</v>
      </c>
      <c r="G232" t="s">
        <v>964</v>
      </c>
      <c r="H232">
        <v>160</v>
      </c>
      <c r="I232">
        <v>20.6812</v>
      </c>
      <c r="J232">
        <v>40.056199999999997</v>
      </c>
      <c r="K232">
        <v>19.375</v>
      </c>
      <c r="L232">
        <v>148</v>
      </c>
      <c r="M232">
        <v>1</v>
      </c>
      <c r="N232">
        <v>11</v>
      </c>
      <c r="O232">
        <v>39.003500000000003</v>
      </c>
      <c r="P232">
        <v>21.9192</v>
      </c>
      <c r="Q232">
        <v>8.6832100000000008</v>
      </c>
    </row>
    <row r="233" spans="1:17" x14ac:dyDescent="0.25">
      <c r="A233" t="str">
        <f>IF(C233&amp;G233&amp;D233&lt;&gt;'Funnel setup'!$K$3&amp;'Funnel setup'!$K$4&amp;'Funnel setup'!$K$6,".",IF(A232=".",1,A232+1))</f>
        <v>.</v>
      </c>
      <c r="B233" s="244" t="str">
        <f t="shared" si="3"/>
        <v>Hip Replacement PrimarySub-ICB of GP PracticeNHS COVENTRY AND WARWICKSHIRE ICB - B2M3M (B2M3M)Oxford Hip Score</v>
      </c>
      <c r="C233" t="s">
        <v>749</v>
      </c>
      <c r="D233" t="s">
        <v>1021</v>
      </c>
      <c r="E233" t="s">
        <v>789</v>
      </c>
      <c r="F233" t="s">
        <v>790</v>
      </c>
      <c r="G233" t="s">
        <v>964</v>
      </c>
      <c r="H233">
        <v>282</v>
      </c>
      <c r="I233">
        <v>20.758900000000001</v>
      </c>
      <c r="J233">
        <v>41.5426</v>
      </c>
      <c r="K233">
        <v>20.7837</v>
      </c>
      <c r="L233">
        <v>274</v>
      </c>
      <c r="M233">
        <v>1</v>
      </c>
      <c r="N233">
        <v>7</v>
      </c>
      <c r="O233">
        <v>39.874200000000002</v>
      </c>
      <c r="P233">
        <v>22.789899999999999</v>
      </c>
      <c r="Q233">
        <v>7.0937599999999996</v>
      </c>
    </row>
    <row r="234" spans="1:17" x14ac:dyDescent="0.25">
      <c r="A234" t="str">
        <f>IF(C234&amp;G234&amp;D234&lt;&gt;'Funnel setup'!$K$3&amp;'Funnel setup'!$K$4&amp;'Funnel setup'!$K$6,".",IF(A233=".",1,A233+1))</f>
        <v>.</v>
      </c>
      <c r="B234" s="244" t="str">
        <f t="shared" si="3"/>
        <v>Hip Replacement PrimarySub-ICB of GP PracticeNHS DERBY AND DERBYSHIRE ICB - 15M (15M)Oxford Hip Score</v>
      </c>
      <c r="C234" t="s">
        <v>749</v>
      </c>
      <c r="D234" t="s">
        <v>1021</v>
      </c>
      <c r="E234" t="s">
        <v>791</v>
      </c>
      <c r="F234" t="s">
        <v>792</v>
      </c>
      <c r="G234" t="s">
        <v>964</v>
      </c>
      <c r="H234">
        <v>463</v>
      </c>
      <c r="I234">
        <v>15.879</v>
      </c>
      <c r="J234">
        <v>38.900599999999997</v>
      </c>
      <c r="K234">
        <v>23.021599999999999</v>
      </c>
      <c r="L234">
        <v>451</v>
      </c>
      <c r="M234">
        <v>2</v>
      </c>
      <c r="N234">
        <v>10</v>
      </c>
      <c r="O234">
        <v>39.3264</v>
      </c>
      <c r="P234">
        <v>22.242100000000001</v>
      </c>
      <c r="Q234">
        <v>8.5102100000000007</v>
      </c>
    </row>
    <row r="235" spans="1:17" x14ac:dyDescent="0.25">
      <c r="A235" t="str">
        <f>IF(C235&amp;G235&amp;D235&lt;&gt;'Funnel setup'!$K$3&amp;'Funnel setup'!$K$4&amp;'Funnel setup'!$K$6,".",IF(A234=".",1,A234+1))</f>
        <v>.</v>
      </c>
      <c r="B235" s="244" t="str">
        <f t="shared" si="3"/>
        <v>Hip Replacement PrimarySub-ICB of GP PracticeNHS DEVON ICB - 15N (15N)Oxford Hip Score</v>
      </c>
      <c r="C235" t="s">
        <v>749</v>
      </c>
      <c r="D235" t="s">
        <v>1021</v>
      </c>
      <c r="E235" t="s">
        <v>793</v>
      </c>
      <c r="F235" t="s">
        <v>794</v>
      </c>
      <c r="G235" t="s">
        <v>964</v>
      </c>
      <c r="H235">
        <v>378</v>
      </c>
      <c r="I235">
        <v>16.134899999999998</v>
      </c>
      <c r="J235">
        <v>41.275100000000002</v>
      </c>
      <c r="K235">
        <v>25.1402</v>
      </c>
      <c r="L235">
        <v>370</v>
      </c>
      <c r="M235">
        <v>1</v>
      </c>
      <c r="N235">
        <v>7</v>
      </c>
      <c r="O235">
        <v>41.394599999999997</v>
      </c>
      <c r="P235">
        <v>24.310300000000002</v>
      </c>
      <c r="Q235">
        <v>7.41892</v>
      </c>
    </row>
    <row r="236" spans="1:17" x14ac:dyDescent="0.25">
      <c r="A236" t="str">
        <f>IF(C236&amp;G236&amp;D236&lt;&gt;'Funnel setup'!$K$3&amp;'Funnel setup'!$K$4&amp;'Funnel setup'!$K$6,".",IF(A235=".",1,A235+1))</f>
        <v>.</v>
      </c>
      <c r="B236" s="244" t="str">
        <f t="shared" si="3"/>
        <v>Hip Replacement PrimarySub-ICB of GP PracticeNHS DORSET ICB - 11J (11J)Oxford Hip Score</v>
      </c>
      <c r="C236" t="s">
        <v>749</v>
      </c>
      <c r="D236" t="s">
        <v>1021</v>
      </c>
      <c r="E236" t="s">
        <v>795</v>
      </c>
      <c r="F236" t="s">
        <v>796</v>
      </c>
      <c r="G236" t="s">
        <v>964</v>
      </c>
      <c r="H236">
        <v>300</v>
      </c>
      <c r="I236">
        <v>17.756699999999999</v>
      </c>
      <c r="J236">
        <v>40.706699999999998</v>
      </c>
      <c r="K236">
        <v>22.95</v>
      </c>
      <c r="L236">
        <v>296</v>
      </c>
      <c r="M236">
        <v>0</v>
      </c>
      <c r="N236">
        <v>4</v>
      </c>
      <c r="O236">
        <v>40.234900000000003</v>
      </c>
      <c r="P236">
        <v>23.150600000000001</v>
      </c>
      <c r="Q236">
        <v>7.8002700000000003</v>
      </c>
    </row>
    <row r="237" spans="1:17" x14ac:dyDescent="0.25">
      <c r="A237" t="str">
        <f>IF(C237&amp;G237&amp;D237&lt;&gt;'Funnel setup'!$K$3&amp;'Funnel setup'!$K$4&amp;'Funnel setup'!$K$6,".",IF(A236=".",1,A236+1))</f>
        <v>.</v>
      </c>
      <c r="B237" s="244" t="str">
        <f t="shared" si="3"/>
        <v>Hip Replacement PrimarySub-ICB of GP PracticeNHS FRIMLEY ICB - D4U1Y (D4U1Y)Oxford Hip Score</v>
      </c>
      <c r="C237" t="s">
        <v>749</v>
      </c>
      <c r="D237" t="s">
        <v>1021</v>
      </c>
      <c r="E237" t="s">
        <v>797</v>
      </c>
      <c r="F237" t="s">
        <v>798</v>
      </c>
      <c r="G237" t="s">
        <v>964</v>
      </c>
      <c r="H237">
        <v>172</v>
      </c>
      <c r="I237">
        <v>17.686</v>
      </c>
      <c r="J237">
        <v>40.755800000000001</v>
      </c>
      <c r="K237">
        <v>23.069800000000001</v>
      </c>
      <c r="L237">
        <v>167</v>
      </c>
      <c r="M237">
        <v>2</v>
      </c>
      <c r="N237">
        <v>3</v>
      </c>
      <c r="O237">
        <v>40.280200000000001</v>
      </c>
      <c r="P237">
        <v>23.195900000000002</v>
      </c>
      <c r="Q237">
        <v>7.8948799999999997</v>
      </c>
    </row>
    <row r="238" spans="1:17" x14ac:dyDescent="0.25">
      <c r="A238" t="str">
        <f>IF(C238&amp;G238&amp;D238&lt;&gt;'Funnel setup'!$K$3&amp;'Funnel setup'!$K$4&amp;'Funnel setup'!$K$6,".",IF(A237=".",1,A237+1))</f>
        <v>.</v>
      </c>
      <c r="B238" s="244" t="str">
        <f t="shared" si="3"/>
        <v>Hip Replacement PrimarySub-ICB of GP PracticeNHS GLOUCESTERSHIRE ICB - 11M (11M)Oxford Hip Score</v>
      </c>
      <c r="C238" t="s">
        <v>749</v>
      </c>
      <c r="D238" t="s">
        <v>1021</v>
      </c>
      <c r="E238" t="s">
        <v>799</v>
      </c>
      <c r="F238" t="s">
        <v>800</v>
      </c>
      <c r="G238" t="s">
        <v>964</v>
      </c>
      <c r="H238">
        <v>172</v>
      </c>
      <c r="I238">
        <v>16.907</v>
      </c>
      <c r="J238">
        <v>40.825600000000001</v>
      </c>
      <c r="K238">
        <v>23.918600000000001</v>
      </c>
      <c r="L238">
        <v>171</v>
      </c>
      <c r="M238">
        <v>1</v>
      </c>
      <c r="N238">
        <v>0</v>
      </c>
      <c r="O238">
        <v>40.413400000000003</v>
      </c>
      <c r="P238">
        <v>23.3291</v>
      </c>
      <c r="Q238">
        <v>7.3752700000000004</v>
      </c>
    </row>
    <row r="239" spans="1:17" x14ac:dyDescent="0.25">
      <c r="A239" t="str">
        <f>IF(C239&amp;G239&amp;D239&lt;&gt;'Funnel setup'!$K$3&amp;'Funnel setup'!$K$4&amp;'Funnel setup'!$K$6,".",IF(A238=".",1,A238+1))</f>
        <v>.</v>
      </c>
      <c r="B239" s="244" t="str">
        <f t="shared" si="3"/>
        <v>Hip Replacement PrimarySub-ICB of GP PracticeNHS GREATER MANCHESTER ICB - 00T (00T)Oxford Hip Score</v>
      </c>
      <c r="C239" t="s">
        <v>749</v>
      </c>
      <c r="D239" t="s">
        <v>1021</v>
      </c>
      <c r="E239" t="s">
        <v>801</v>
      </c>
      <c r="F239" t="s">
        <v>802</v>
      </c>
      <c r="G239" t="s">
        <v>964</v>
      </c>
      <c r="H239">
        <v>55</v>
      </c>
      <c r="I239">
        <v>16.163599999999999</v>
      </c>
      <c r="J239">
        <v>38.927300000000002</v>
      </c>
      <c r="K239">
        <v>22.7636</v>
      </c>
      <c r="L239">
        <v>55</v>
      </c>
      <c r="M239">
        <v>0</v>
      </c>
      <c r="N239">
        <v>0</v>
      </c>
      <c r="O239">
        <v>40.409500000000001</v>
      </c>
      <c r="P239">
        <v>23.325199999999999</v>
      </c>
      <c r="Q239">
        <v>7.7539699999999998</v>
      </c>
    </row>
    <row r="240" spans="1:17" x14ac:dyDescent="0.25">
      <c r="A240" t="str">
        <f>IF(C240&amp;G240&amp;D240&lt;&gt;'Funnel setup'!$K$3&amp;'Funnel setup'!$K$4&amp;'Funnel setup'!$K$6,".",IF(A239=".",1,A239+1))</f>
        <v>.</v>
      </c>
      <c r="B240" s="244" t="str">
        <f t="shared" si="3"/>
        <v>Hip Replacement PrimarySub-ICB of GP PracticeNHS GREATER MANCHESTER ICB - 00V (00V)Oxford Hip Score</v>
      </c>
      <c r="C240" t="s">
        <v>749</v>
      </c>
      <c r="D240" t="s">
        <v>1021</v>
      </c>
      <c r="E240" t="s">
        <v>803</v>
      </c>
      <c r="F240" t="s">
        <v>804</v>
      </c>
      <c r="G240" t="s">
        <v>964</v>
      </c>
      <c r="H240">
        <v>18</v>
      </c>
      <c r="I240">
        <v>16.444400000000002</v>
      </c>
      <c r="J240">
        <v>40.6111</v>
      </c>
      <c r="K240">
        <v>24.166699999999999</v>
      </c>
      <c r="L240">
        <v>18</v>
      </c>
      <c r="M240">
        <v>0</v>
      </c>
      <c r="N240">
        <v>0</v>
      </c>
      <c r="O240" t="s">
        <v>127</v>
      </c>
      <c r="P240" t="s">
        <v>127</v>
      </c>
      <c r="Q240" t="s">
        <v>127</v>
      </c>
    </row>
    <row r="241" spans="1:17" x14ac:dyDescent="0.25">
      <c r="A241" t="str">
        <f>IF(C241&amp;G241&amp;D241&lt;&gt;'Funnel setup'!$K$3&amp;'Funnel setup'!$K$4&amp;'Funnel setup'!$K$6,".",IF(A240=".",1,A240+1))</f>
        <v>.</v>
      </c>
      <c r="B241" s="244" t="str">
        <f t="shared" si="3"/>
        <v>Hip Replacement PrimarySub-ICB of GP PracticeNHS GREATER MANCHESTER ICB - 00Y (00Y)Oxford Hip Score</v>
      </c>
      <c r="C241" t="s">
        <v>749</v>
      </c>
      <c r="D241" t="s">
        <v>1021</v>
      </c>
      <c r="E241" t="s">
        <v>805</v>
      </c>
      <c r="F241" t="s">
        <v>806</v>
      </c>
      <c r="G241" t="s">
        <v>964</v>
      </c>
      <c r="H241">
        <v>69</v>
      </c>
      <c r="I241">
        <v>19.724599999999999</v>
      </c>
      <c r="J241">
        <v>42.159399999999998</v>
      </c>
      <c r="K241">
        <v>22.434799999999999</v>
      </c>
      <c r="L241">
        <v>66</v>
      </c>
      <c r="M241">
        <v>1</v>
      </c>
      <c r="N241">
        <v>2</v>
      </c>
      <c r="O241">
        <v>41.232500000000002</v>
      </c>
      <c r="P241">
        <v>24.148199999999999</v>
      </c>
      <c r="Q241">
        <v>6.7367100000000004</v>
      </c>
    </row>
    <row r="242" spans="1:17" x14ac:dyDescent="0.25">
      <c r="A242" t="str">
        <f>IF(C242&amp;G242&amp;D242&lt;&gt;'Funnel setup'!$K$3&amp;'Funnel setup'!$K$4&amp;'Funnel setup'!$K$6,".",IF(A241=".",1,A241+1))</f>
        <v>.</v>
      </c>
      <c r="B242" s="244" t="str">
        <f t="shared" si="3"/>
        <v>Hip Replacement PrimarySub-ICB of GP PracticeNHS GREATER MANCHESTER ICB - 01D (01D)Oxford Hip Score</v>
      </c>
      <c r="C242" t="s">
        <v>749</v>
      </c>
      <c r="D242" t="s">
        <v>1021</v>
      </c>
      <c r="E242" t="s">
        <v>807</v>
      </c>
      <c r="F242" t="s">
        <v>808</v>
      </c>
      <c r="G242" t="s">
        <v>964</v>
      </c>
      <c r="H242">
        <v>20</v>
      </c>
      <c r="I242">
        <v>15.75</v>
      </c>
      <c r="J242">
        <v>38.75</v>
      </c>
      <c r="K242">
        <v>23</v>
      </c>
      <c r="L242">
        <v>18</v>
      </c>
      <c r="M242">
        <v>1</v>
      </c>
      <c r="N242">
        <v>1</v>
      </c>
      <c r="O242" t="s">
        <v>127</v>
      </c>
      <c r="P242" t="s">
        <v>127</v>
      </c>
      <c r="Q242" t="s">
        <v>127</v>
      </c>
    </row>
    <row r="243" spans="1:17" x14ac:dyDescent="0.25">
      <c r="A243" t="str">
        <f>IF(C243&amp;G243&amp;D243&lt;&gt;'Funnel setup'!$K$3&amp;'Funnel setup'!$K$4&amp;'Funnel setup'!$K$6,".",IF(A242=".",1,A242+1))</f>
        <v>.</v>
      </c>
      <c r="B243" s="244" t="str">
        <f t="shared" si="3"/>
        <v>Hip Replacement PrimarySub-ICB of GP PracticeNHS GREATER MANCHESTER ICB - 01G (01G)Oxford Hip Score</v>
      </c>
      <c r="C243" t="s">
        <v>749</v>
      </c>
      <c r="D243" t="s">
        <v>1021</v>
      </c>
      <c r="E243" t="s">
        <v>809</v>
      </c>
      <c r="F243" t="s">
        <v>810</v>
      </c>
      <c r="G243" t="s">
        <v>964</v>
      </c>
      <c r="H243">
        <v>34</v>
      </c>
      <c r="I243">
        <v>15.882400000000001</v>
      </c>
      <c r="J243">
        <v>37.117600000000003</v>
      </c>
      <c r="K243">
        <v>21.235299999999999</v>
      </c>
      <c r="L243">
        <v>32</v>
      </c>
      <c r="M243">
        <v>0</v>
      </c>
      <c r="N243">
        <v>2</v>
      </c>
      <c r="O243">
        <v>37.5411</v>
      </c>
      <c r="P243">
        <v>20.456800000000001</v>
      </c>
      <c r="Q243">
        <v>10.211</v>
      </c>
    </row>
    <row r="244" spans="1:17" x14ac:dyDescent="0.25">
      <c r="A244" t="str">
        <f>IF(C244&amp;G244&amp;D244&lt;&gt;'Funnel setup'!$K$3&amp;'Funnel setup'!$K$4&amp;'Funnel setup'!$K$6,".",IF(A243=".",1,A243+1))</f>
        <v>.</v>
      </c>
      <c r="B244" s="244" t="str">
        <f t="shared" si="3"/>
        <v>Hip Replacement PrimarySub-ICB of GP PracticeNHS GREATER MANCHESTER ICB - 01W (01W)Oxford Hip Score</v>
      </c>
      <c r="C244" t="s">
        <v>749</v>
      </c>
      <c r="D244" t="s">
        <v>1021</v>
      </c>
      <c r="E244" t="s">
        <v>811</v>
      </c>
      <c r="F244" t="s">
        <v>812</v>
      </c>
      <c r="G244" t="s">
        <v>964</v>
      </c>
      <c r="H244">
        <v>80</v>
      </c>
      <c r="I244">
        <v>16.95</v>
      </c>
      <c r="J244">
        <v>41.162500000000001</v>
      </c>
      <c r="K244">
        <v>24.212499999999999</v>
      </c>
      <c r="L244">
        <v>79</v>
      </c>
      <c r="M244">
        <v>0</v>
      </c>
      <c r="N244">
        <v>1</v>
      </c>
      <c r="O244">
        <v>41.753999999999998</v>
      </c>
      <c r="P244">
        <v>24.669699999999999</v>
      </c>
      <c r="Q244">
        <v>6.9326800000000004</v>
      </c>
    </row>
    <row r="245" spans="1:17" x14ac:dyDescent="0.25">
      <c r="A245" t="str">
        <f>IF(C245&amp;G245&amp;D245&lt;&gt;'Funnel setup'!$K$3&amp;'Funnel setup'!$K$4&amp;'Funnel setup'!$K$6,".",IF(A244=".",1,A244+1))</f>
        <v>.</v>
      </c>
      <c r="B245" s="244" t="str">
        <f t="shared" si="3"/>
        <v>Hip Replacement PrimarySub-ICB of GP PracticeNHS GREATER MANCHESTER ICB - 01Y (01Y)Oxford Hip Score</v>
      </c>
      <c r="C245" t="s">
        <v>749</v>
      </c>
      <c r="D245" t="s">
        <v>1021</v>
      </c>
      <c r="E245" t="s">
        <v>813</v>
      </c>
      <c r="F245" t="s">
        <v>814</v>
      </c>
      <c r="G245" t="s">
        <v>964</v>
      </c>
      <c r="H245">
        <v>33</v>
      </c>
      <c r="I245">
        <v>15.2121</v>
      </c>
      <c r="J245">
        <v>37.2121</v>
      </c>
      <c r="K245">
        <v>22</v>
      </c>
      <c r="L245">
        <v>32</v>
      </c>
      <c r="M245">
        <v>1</v>
      </c>
      <c r="N245">
        <v>0</v>
      </c>
      <c r="O245">
        <v>37.3889</v>
      </c>
      <c r="P245">
        <v>20.304600000000001</v>
      </c>
      <c r="Q245">
        <v>10.0215</v>
      </c>
    </row>
    <row r="246" spans="1:17" x14ac:dyDescent="0.25">
      <c r="A246" t="str">
        <f>IF(C246&amp;G246&amp;D246&lt;&gt;'Funnel setup'!$K$3&amp;'Funnel setup'!$K$4&amp;'Funnel setup'!$K$6,".",IF(A245=".",1,A245+1))</f>
        <v>.</v>
      </c>
      <c r="B246" s="244" t="str">
        <f t="shared" si="3"/>
        <v>Hip Replacement PrimarySub-ICB of GP PracticeNHS GREATER MANCHESTER ICB - 02A (02A)Oxford Hip Score</v>
      </c>
      <c r="C246" t="s">
        <v>749</v>
      </c>
      <c r="D246" t="s">
        <v>1021</v>
      </c>
      <c r="E246" t="s">
        <v>815</v>
      </c>
      <c r="F246" t="s">
        <v>816</v>
      </c>
      <c r="G246" t="s">
        <v>964</v>
      </c>
      <c r="H246">
        <v>81</v>
      </c>
      <c r="I246">
        <v>17.024699999999999</v>
      </c>
      <c r="J246">
        <v>37.370399999999997</v>
      </c>
      <c r="K246">
        <v>20.345700000000001</v>
      </c>
      <c r="L246">
        <v>79</v>
      </c>
      <c r="M246">
        <v>0</v>
      </c>
      <c r="N246">
        <v>2</v>
      </c>
      <c r="O246">
        <v>37.323300000000003</v>
      </c>
      <c r="P246">
        <v>20.239000000000001</v>
      </c>
      <c r="Q246">
        <v>9.1480599999999992</v>
      </c>
    </row>
    <row r="247" spans="1:17" x14ac:dyDescent="0.25">
      <c r="A247" t="str">
        <f>IF(C247&amp;G247&amp;D247&lt;&gt;'Funnel setup'!$K$3&amp;'Funnel setup'!$K$4&amp;'Funnel setup'!$K$6,".",IF(A246=".",1,A246+1))</f>
        <v>.</v>
      </c>
      <c r="B247" s="244" t="str">
        <f t="shared" si="3"/>
        <v>Hip Replacement PrimarySub-ICB of GP PracticeNHS GREATER MANCHESTER ICB - 02H (02H)Oxford Hip Score</v>
      </c>
      <c r="C247" t="s">
        <v>749</v>
      </c>
      <c r="D247" t="s">
        <v>1021</v>
      </c>
      <c r="E247" t="s">
        <v>817</v>
      </c>
      <c r="F247" t="s">
        <v>818</v>
      </c>
      <c r="G247" t="s">
        <v>964</v>
      </c>
      <c r="H247">
        <v>31</v>
      </c>
      <c r="I247">
        <v>14.7097</v>
      </c>
      <c r="J247">
        <v>37.612900000000003</v>
      </c>
      <c r="K247">
        <v>22.903199999999998</v>
      </c>
      <c r="L247">
        <v>29</v>
      </c>
      <c r="M247">
        <v>1</v>
      </c>
      <c r="N247">
        <v>1</v>
      </c>
      <c r="O247">
        <v>38.2532</v>
      </c>
      <c r="P247">
        <v>21.168900000000001</v>
      </c>
      <c r="Q247">
        <v>11.256600000000001</v>
      </c>
    </row>
    <row r="248" spans="1:17" x14ac:dyDescent="0.25">
      <c r="A248" t="str">
        <f>IF(C248&amp;G248&amp;D248&lt;&gt;'Funnel setup'!$K$3&amp;'Funnel setup'!$K$4&amp;'Funnel setup'!$K$6,".",IF(A247=".",1,A247+1))</f>
        <v>.</v>
      </c>
      <c r="B248" s="244" t="str">
        <f t="shared" si="3"/>
        <v>Hip Replacement PrimarySub-ICB of GP PracticeNHS GREATER MANCHESTER ICB - 14L (14L)Oxford Hip Score</v>
      </c>
      <c r="C248" t="s">
        <v>749</v>
      </c>
      <c r="D248" t="s">
        <v>1021</v>
      </c>
      <c r="E248" t="s">
        <v>819</v>
      </c>
      <c r="F248" t="s">
        <v>820</v>
      </c>
      <c r="G248" t="s">
        <v>964</v>
      </c>
      <c r="H248">
        <v>44</v>
      </c>
      <c r="I248">
        <v>16.954499999999999</v>
      </c>
      <c r="J248">
        <v>38.613599999999998</v>
      </c>
      <c r="K248">
        <v>21.659099999999999</v>
      </c>
      <c r="L248">
        <v>42</v>
      </c>
      <c r="M248">
        <v>0</v>
      </c>
      <c r="N248">
        <v>2</v>
      </c>
      <c r="O248">
        <v>39.8078</v>
      </c>
      <c r="P248">
        <v>22.723500000000001</v>
      </c>
      <c r="Q248">
        <v>9.7998700000000003</v>
      </c>
    </row>
    <row r="249" spans="1:17" x14ac:dyDescent="0.25">
      <c r="A249" t="str">
        <f>IF(C249&amp;G249&amp;D249&lt;&gt;'Funnel setup'!$K$3&amp;'Funnel setup'!$K$4&amp;'Funnel setup'!$K$6,".",IF(A248=".",1,A248+1))</f>
        <v>.</v>
      </c>
      <c r="B249" s="244" t="str">
        <f t="shared" si="3"/>
        <v>Hip Replacement PrimarySub-ICB of GP PracticeNHS HAMPSHIRE AND ISLE OF WIGHT ICB - 10R (10R)Oxford Hip Score</v>
      </c>
      <c r="C249" t="s">
        <v>749</v>
      </c>
      <c r="D249" t="s">
        <v>1021</v>
      </c>
      <c r="E249" t="s">
        <v>821</v>
      </c>
      <c r="F249" t="s">
        <v>822</v>
      </c>
      <c r="G249" t="s">
        <v>964</v>
      </c>
      <c r="H249">
        <v>13</v>
      </c>
      <c r="I249">
        <v>18.1538</v>
      </c>
      <c r="J249">
        <v>38.153799999999997</v>
      </c>
      <c r="K249">
        <v>20</v>
      </c>
      <c r="L249">
        <v>13</v>
      </c>
      <c r="M249">
        <v>0</v>
      </c>
      <c r="N249">
        <v>0</v>
      </c>
      <c r="O249" t="s">
        <v>127</v>
      </c>
      <c r="P249" t="s">
        <v>127</v>
      </c>
      <c r="Q249" t="s">
        <v>127</v>
      </c>
    </row>
    <row r="250" spans="1:17" x14ac:dyDescent="0.25">
      <c r="A250" t="str">
        <f>IF(C250&amp;G250&amp;D250&lt;&gt;'Funnel setup'!$K$3&amp;'Funnel setup'!$K$4&amp;'Funnel setup'!$K$6,".",IF(A249=".",1,A249+1))</f>
        <v>.</v>
      </c>
      <c r="B250" s="244" t="str">
        <f t="shared" si="3"/>
        <v>Hip Replacement PrimarySub-ICB of GP PracticeNHS HAMPSHIRE AND ISLE OF WIGHT ICB - D9Y0V (D9Y0V)Oxford Hip Score</v>
      </c>
      <c r="C250" t="s">
        <v>749</v>
      </c>
      <c r="D250" t="s">
        <v>1021</v>
      </c>
      <c r="E250" t="s">
        <v>823</v>
      </c>
      <c r="F250" t="s">
        <v>824</v>
      </c>
      <c r="G250" t="s">
        <v>964</v>
      </c>
      <c r="H250">
        <v>443</v>
      </c>
      <c r="I250">
        <v>18.4605</v>
      </c>
      <c r="J250">
        <v>40.381500000000003</v>
      </c>
      <c r="K250">
        <v>21.920999999999999</v>
      </c>
      <c r="L250">
        <v>431</v>
      </c>
      <c r="M250">
        <v>0</v>
      </c>
      <c r="N250">
        <v>12</v>
      </c>
      <c r="O250">
        <v>39.601599999999998</v>
      </c>
      <c r="P250">
        <v>22.517299999999999</v>
      </c>
      <c r="Q250">
        <v>7.8305300000000004</v>
      </c>
    </row>
    <row r="251" spans="1:17" x14ac:dyDescent="0.25">
      <c r="A251" t="str">
        <f>IF(C251&amp;G251&amp;D251&lt;&gt;'Funnel setup'!$K$3&amp;'Funnel setup'!$K$4&amp;'Funnel setup'!$K$6,".",IF(A250=".",1,A250+1))</f>
        <v>.</v>
      </c>
      <c r="B251" s="244" t="str">
        <f t="shared" si="3"/>
        <v>Hip Replacement PrimarySub-ICB of GP PracticeNHS HEREFORDSHIRE AND WORCESTERSHIRE ICB - 18C (18C)Oxford Hip Score</v>
      </c>
      <c r="C251" t="s">
        <v>749</v>
      </c>
      <c r="D251" t="s">
        <v>1021</v>
      </c>
      <c r="E251" t="s">
        <v>825</v>
      </c>
      <c r="F251" t="s">
        <v>826</v>
      </c>
      <c r="G251" t="s">
        <v>964</v>
      </c>
      <c r="H251">
        <v>219</v>
      </c>
      <c r="I251">
        <v>15.4155</v>
      </c>
      <c r="J251">
        <v>39.223700000000001</v>
      </c>
      <c r="K251">
        <v>23.808199999999999</v>
      </c>
      <c r="L251">
        <v>215</v>
      </c>
      <c r="M251">
        <v>1</v>
      </c>
      <c r="N251">
        <v>3</v>
      </c>
      <c r="O251">
        <v>39.702199999999998</v>
      </c>
      <c r="P251">
        <v>22.617899999999999</v>
      </c>
      <c r="Q251">
        <v>8.2443600000000004</v>
      </c>
    </row>
    <row r="252" spans="1:17" x14ac:dyDescent="0.25">
      <c r="A252" t="str">
        <f>IF(C252&amp;G252&amp;D252&lt;&gt;'Funnel setup'!$K$3&amp;'Funnel setup'!$K$4&amp;'Funnel setup'!$K$6,".",IF(A251=".",1,A251+1))</f>
        <v>.</v>
      </c>
      <c r="B252" s="244" t="str">
        <f t="shared" si="3"/>
        <v>Hip Replacement PrimarySub-ICB of GP PracticeNHS HERTFORDSHIRE AND WEST ESSEX ICB - 06K (06K)Oxford Hip Score</v>
      </c>
      <c r="C252" t="s">
        <v>749</v>
      </c>
      <c r="D252" t="s">
        <v>1021</v>
      </c>
      <c r="E252" t="s">
        <v>827</v>
      </c>
      <c r="F252" t="s">
        <v>828</v>
      </c>
      <c r="G252" t="s">
        <v>964</v>
      </c>
      <c r="H252">
        <v>108</v>
      </c>
      <c r="I252">
        <v>16.3796</v>
      </c>
      <c r="J252">
        <v>39.027799999999999</v>
      </c>
      <c r="K252">
        <v>22.648099999999999</v>
      </c>
      <c r="L252">
        <v>100</v>
      </c>
      <c r="M252">
        <v>2</v>
      </c>
      <c r="N252">
        <v>6</v>
      </c>
      <c r="O252">
        <v>38.952199999999998</v>
      </c>
      <c r="P252">
        <v>21.867899999999999</v>
      </c>
      <c r="Q252">
        <v>9.1150099999999998</v>
      </c>
    </row>
    <row r="253" spans="1:17" x14ac:dyDescent="0.25">
      <c r="A253" t="str">
        <f>IF(C253&amp;G253&amp;D253&lt;&gt;'Funnel setup'!$K$3&amp;'Funnel setup'!$K$4&amp;'Funnel setup'!$K$6,".",IF(A252=".",1,A252+1))</f>
        <v>.</v>
      </c>
      <c r="B253" s="244" t="str">
        <f t="shared" si="3"/>
        <v>Hip Replacement PrimarySub-ICB of GP PracticeNHS HERTFORDSHIRE AND WEST ESSEX ICB - 06N (06N)Oxford Hip Score</v>
      </c>
      <c r="C253" t="s">
        <v>749</v>
      </c>
      <c r="D253" t="s">
        <v>1021</v>
      </c>
      <c r="E253" t="s">
        <v>829</v>
      </c>
      <c r="F253" t="s">
        <v>830</v>
      </c>
      <c r="G253" t="s">
        <v>964</v>
      </c>
      <c r="H253">
        <v>132</v>
      </c>
      <c r="I253">
        <v>18.386399999999998</v>
      </c>
      <c r="J253">
        <v>39.704500000000003</v>
      </c>
      <c r="K253">
        <v>21.318200000000001</v>
      </c>
      <c r="L253">
        <v>128</v>
      </c>
      <c r="M253">
        <v>1</v>
      </c>
      <c r="N253">
        <v>3</v>
      </c>
      <c r="O253">
        <v>39.1569</v>
      </c>
      <c r="P253">
        <v>22.072600000000001</v>
      </c>
      <c r="Q253">
        <v>8.8465199999999999</v>
      </c>
    </row>
    <row r="254" spans="1:17" x14ac:dyDescent="0.25">
      <c r="A254" t="str">
        <f>IF(C254&amp;G254&amp;D254&lt;&gt;'Funnel setup'!$K$3&amp;'Funnel setup'!$K$4&amp;'Funnel setup'!$K$6,".",IF(A253=".",1,A253+1))</f>
        <v>.</v>
      </c>
      <c r="B254" s="244" t="str">
        <f t="shared" si="3"/>
        <v>Hip Replacement PrimarySub-ICB of GP PracticeNHS HERTFORDSHIRE AND WEST ESSEX ICB - 07H (07H)Oxford Hip Score</v>
      </c>
      <c r="C254" t="s">
        <v>749</v>
      </c>
      <c r="D254" t="s">
        <v>1021</v>
      </c>
      <c r="E254" t="s">
        <v>831</v>
      </c>
      <c r="F254" t="s">
        <v>832</v>
      </c>
      <c r="G254" t="s">
        <v>964</v>
      </c>
      <c r="H254">
        <v>77</v>
      </c>
      <c r="I254">
        <v>18.259699999999999</v>
      </c>
      <c r="J254">
        <v>39.792200000000001</v>
      </c>
      <c r="K254">
        <v>21.532499999999999</v>
      </c>
      <c r="L254">
        <v>72</v>
      </c>
      <c r="M254">
        <v>1</v>
      </c>
      <c r="N254">
        <v>4</v>
      </c>
      <c r="O254">
        <v>39.538400000000003</v>
      </c>
      <c r="P254">
        <v>22.4541</v>
      </c>
      <c r="Q254">
        <v>8.3599200000000007</v>
      </c>
    </row>
    <row r="255" spans="1:17" x14ac:dyDescent="0.25">
      <c r="A255" t="str">
        <f>IF(C255&amp;G255&amp;D255&lt;&gt;'Funnel setup'!$K$3&amp;'Funnel setup'!$K$4&amp;'Funnel setup'!$K$6,".",IF(A254=".",1,A254+1))</f>
        <v>.</v>
      </c>
      <c r="B255" s="244" t="str">
        <f t="shared" si="3"/>
        <v>Hip Replacement PrimarySub-ICB of GP PracticeNHS HUMBER AND NORTH YORKSHIRE ICB - 02Y (02Y)Oxford Hip Score</v>
      </c>
      <c r="C255" t="s">
        <v>749</v>
      </c>
      <c r="D255" t="s">
        <v>1021</v>
      </c>
      <c r="E255" t="s">
        <v>833</v>
      </c>
      <c r="F255" t="s">
        <v>834</v>
      </c>
      <c r="G255" t="s">
        <v>964</v>
      </c>
      <c r="H255">
        <v>69</v>
      </c>
      <c r="I255">
        <v>17.246400000000001</v>
      </c>
      <c r="J255">
        <v>40.536200000000001</v>
      </c>
      <c r="K255">
        <v>23.289899999999999</v>
      </c>
      <c r="L255">
        <v>67</v>
      </c>
      <c r="M255">
        <v>0</v>
      </c>
      <c r="N255">
        <v>2</v>
      </c>
      <c r="O255">
        <v>40.407699999999998</v>
      </c>
      <c r="P255">
        <v>23.323399999999999</v>
      </c>
      <c r="Q255">
        <v>8.7556200000000004</v>
      </c>
    </row>
    <row r="256" spans="1:17" x14ac:dyDescent="0.25">
      <c r="A256" t="str">
        <f>IF(C256&amp;G256&amp;D256&lt;&gt;'Funnel setup'!$K$3&amp;'Funnel setup'!$K$4&amp;'Funnel setup'!$K$6,".",IF(A255=".",1,A255+1))</f>
        <v>.</v>
      </c>
      <c r="B256" s="244" t="str">
        <f t="shared" si="3"/>
        <v>Hip Replacement PrimarySub-ICB of GP PracticeNHS HUMBER AND NORTH YORKSHIRE ICB - 03F (03F)Oxford Hip Score</v>
      </c>
      <c r="C256" t="s">
        <v>749</v>
      </c>
      <c r="D256" t="s">
        <v>1021</v>
      </c>
      <c r="E256" t="s">
        <v>835</v>
      </c>
      <c r="F256" t="s">
        <v>836</v>
      </c>
      <c r="G256" t="s">
        <v>964</v>
      </c>
      <c r="H256">
        <v>26</v>
      </c>
      <c r="I256">
        <v>12.1538</v>
      </c>
      <c r="J256">
        <v>35.461500000000001</v>
      </c>
      <c r="K256">
        <v>23.307700000000001</v>
      </c>
      <c r="L256">
        <v>26</v>
      </c>
      <c r="M256">
        <v>0</v>
      </c>
      <c r="N256">
        <v>0</v>
      </c>
      <c r="O256" t="s">
        <v>127</v>
      </c>
      <c r="P256" t="s">
        <v>127</v>
      </c>
      <c r="Q256" t="s">
        <v>127</v>
      </c>
    </row>
    <row r="257" spans="1:17" x14ac:dyDescent="0.25">
      <c r="A257" t="str">
        <f>IF(C257&amp;G257&amp;D257&lt;&gt;'Funnel setup'!$K$3&amp;'Funnel setup'!$K$4&amp;'Funnel setup'!$K$6,".",IF(A256=".",1,A256+1))</f>
        <v>.</v>
      </c>
      <c r="B257" s="244" t="str">
        <f t="shared" si="3"/>
        <v>Hip Replacement PrimarySub-ICB of GP PracticeNHS HUMBER AND NORTH YORKSHIRE ICB - 03H (03H)Oxford Hip Score</v>
      </c>
      <c r="C257" t="s">
        <v>749</v>
      </c>
      <c r="D257" t="s">
        <v>1021</v>
      </c>
      <c r="E257" t="s">
        <v>837</v>
      </c>
      <c r="F257" t="s">
        <v>838</v>
      </c>
      <c r="G257" t="s">
        <v>964</v>
      </c>
      <c r="H257">
        <v>80</v>
      </c>
      <c r="I257">
        <v>17.6875</v>
      </c>
      <c r="J257">
        <v>38.15</v>
      </c>
      <c r="K257">
        <v>20.462499999999999</v>
      </c>
      <c r="L257">
        <v>76</v>
      </c>
      <c r="M257">
        <v>0</v>
      </c>
      <c r="N257">
        <v>4</v>
      </c>
      <c r="O257">
        <v>38.569499999999998</v>
      </c>
      <c r="P257">
        <v>21.485199999999999</v>
      </c>
      <c r="Q257">
        <v>8.7601499999999994</v>
      </c>
    </row>
    <row r="258" spans="1:17" x14ac:dyDescent="0.25">
      <c r="A258" t="str">
        <f>IF(C258&amp;G258&amp;D258&lt;&gt;'Funnel setup'!$K$3&amp;'Funnel setup'!$K$4&amp;'Funnel setup'!$K$6,".",IF(A257=".",1,A257+1))</f>
        <v>.</v>
      </c>
      <c r="B258" s="244" t="str">
        <f t="shared" ref="B258:B321" si="4">C258&amp;D258&amp;F258&amp;G258</f>
        <v>Hip Replacement PrimarySub-ICB of GP PracticeNHS HUMBER AND NORTH YORKSHIRE ICB - 03K (03K)Oxford Hip Score</v>
      </c>
      <c r="C258" t="s">
        <v>749</v>
      </c>
      <c r="D258" t="s">
        <v>1021</v>
      </c>
      <c r="E258" t="s">
        <v>839</v>
      </c>
      <c r="F258" t="s">
        <v>840</v>
      </c>
      <c r="G258" t="s">
        <v>964</v>
      </c>
      <c r="H258">
        <v>62</v>
      </c>
      <c r="I258">
        <v>15.967700000000001</v>
      </c>
      <c r="J258">
        <v>40.145200000000003</v>
      </c>
      <c r="K258">
        <v>24.177399999999999</v>
      </c>
      <c r="L258">
        <v>61</v>
      </c>
      <c r="M258">
        <v>1</v>
      </c>
      <c r="N258">
        <v>0</v>
      </c>
      <c r="O258">
        <v>40.099800000000002</v>
      </c>
      <c r="P258">
        <v>23.015499999999999</v>
      </c>
      <c r="Q258">
        <v>7.5129900000000003</v>
      </c>
    </row>
    <row r="259" spans="1:17" x14ac:dyDescent="0.25">
      <c r="A259" t="str">
        <f>IF(C259&amp;G259&amp;D259&lt;&gt;'Funnel setup'!$K$3&amp;'Funnel setup'!$K$4&amp;'Funnel setup'!$K$6,".",IF(A258=".",1,A258+1))</f>
        <v>.</v>
      </c>
      <c r="B259" s="244" t="str">
        <f t="shared" si="4"/>
        <v>Hip Replacement PrimarySub-ICB of GP PracticeNHS HUMBER AND NORTH YORKSHIRE ICB - 03Q (03Q)Oxford Hip Score</v>
      </c>
      <c r="C259" t="s">
        <v>749</v>
      </c>
      <c r="D259" t="s">
        <v>1021</v>
      </c>
      <c r="E259" t="s">
        <v>841</v>
      </c>
      <c r="F259" t="s">
        <v>842</v>
      </c>
      <c r="G259" t="s">
        <v>964</v>
      </c>
      <c r="H259">
        <v>82</v>
      </c>
      <c r="I259">
        <v>20.2317</v>
      </c>
      <c r="J259">
        <v>36.4268</v>
      </c>
      <c r="K259">
        <v>16.1951</v>
      </c>
      <c r="L259">
        <v>67</v>
      </c>
      <c r="M259">
        <v>2</v>
      </c>
      <c r="N259">
        <v>13</v>
      </c>
      <c r="O259">
        <v>35.189900000000002</v>
      </c>
      <c r="P259">
        <v>18.105599999999999</v>
      </c>
      <c r="Q259">
        <v>10.393800000000001</v>
      </c>
    </row>
    <row r="260" spans="1:17" x14ac:dyDescent="0.25">
      <c r="A260" t="str">
        <f>IF(C260&amp;G260&amp;D260&lt;&gt;'Funnel setup'!$K$3&amp;'Funnel setup'!$K$4&amp;'Funnel setup'!$K$6,".",IF(A259=".",1,A259+1))</f>
        <v>.</v>
      </c>
      <c r="B260" s="244" t="str">
        <f t="shared" si="4"/>
        <v>Hip Replacement PrimarySub-ICB of GP PracticeNHS HUMBER AND NORTH YORKSHIRE ICB - 42D (42D)Oxford Hip Score</v>
      </c>
      <c r="C260" t="s">
        <v>749</v>
      </c>
      <c r="D260" t="s">
        <v>1021</v>
      </c>
      <c r="E260" t="s">
        <v>843</v>
      </c>
      <c r="F260" t="s">
        <v>844</v>
      </c>
      <c r="G260" t="s">
        <v>964</v>
      </c>
      <c r="H260">
        <v>259</v>
      </c>
      <c r="I260">
        <v>16.3127</v>
      </c>
      <c r="J260">
        <v>40.474899999999998</v>
      </c>
      <c r="K260">
        <v>24.162199999999999</v>
      </c>
      <c r="L260">
        <v>253</v>
      </c>
      <c r="M260">
        <v>2</v>
      </c>
      <c r="N260">
        <v>4</v>
      </c>
      <c r="O260">
        <v>40.580599999999997</v>
      </c>
      <c r="P260">
        <v>23.496300000000002</v>
      </c>
      <c r="Q260">
        <v>8.2613800000000008</v>
      </c>
    </row>
    <row r="261" spans="1:17" x14ac:dyDescent="0.25">
      <c r="A261" t="str">
        <f>IF(C261&amp;G261&amp;D261&lt;&gt;'Funnel setup'!$K$3&amp;'Funnel setup'!$K$4&amp;'Funnel setup'!$K$6,".",IF(A260=".",1,A260+1))</f>
        <v>.</v>
      </c>
      <c r="B261" s="244" t="str">
        <f t="shared" si="4"/>
        <v>Hip Replacement PrimarySub-ICB of GP PracticeNHS KENT AND MEDWAY ICB - 91Q (91Q)Oxford Hip Score</v>
      </c>
      <c r="C261" t="s">
        <v>749</v>
      </c>
      <c r="D261" t="s">
        <v>1021</v>
      </c>
      <c r="E261" t="s">
        <v>845</v>
      </c>
      <c r="F261" t="s">
        <v>846</v>
      </c>
      <c r="G261" t="s">
        <v>964</v>
      </c>
      <c r="H261">
        <v>506</v>
      </c>
      <c r="I261">
        <v>17.715399999999999</v>
      </c>
      <c r="J261">
        <v>40.7806</v>
      </c>
      <c r="K261">
        <v>23.065200000000001</v>
      </c>
      <c r="L261">
        <v>498</v>
      </c>
      <c r="M261">
        <v>3</v>
      </c>
      <c r="N261">
        <v>5</v>
      </c>
      <c r="O261">
        <v>40.443300000000001</v>
      </c>
      <c r="P261">
        <v>23.359000000000002</v>
      </c>
      <c r="Q261">
        <v>7.34701</v>
      </c>
    </row>
    <row r="262" spans="1:17" x14ac:dyDescent="0.25">
      <c r="A262" t="str">
        <f>IF(C262&amp;G262&amp;D262&lt;&gt;'Funnel setup'!$K$3&amp;'Funnel setup'!$K$4&amp;'Funnel setup'!$K$6,".",IF(A261=".",1,A261+1))</f>
        <v>.</v>
      </c>
      <c r="B262" s="244" t="str">
        <f t="shared" si="4"/>
        <v>Hip Replacement PrimarySub-ICB of GP PracticeNHS LANCASHIRE AND SOUTH CUMBRIA ICB - 00Q (00Q)Oxford Hip Score</v>
      </c>
      <c r="C262" t="s">
        <v>749</v>
      </c>
      <c r="D262" t="s">
        <v>1021</v>
      </c>
      <c r="E262" t="s">
        <v>847</v>
      </c>
      <c r="F262" t="s">
        <v>848</v>
      </c>
      <c r="G262" t="s">
        <v>964</v>
      </c>
      <c r="H262">
        <v>46</v>
      </c>
      <c r="I262">
        <v>16.565200000000001</v>
      </c>
      <c r="J262">
        <v>39.434800000000003</v>
      </c>
      <c r="K262">
        <v>22.869599999999998</v>
      </c>
      <c r="L262">
        <v>45</v>
      </c>
      <c r="M262">
        <v>0</v>
      </c>
      <c r="N262">
        <v>1</v>
      </c>
      <c r="O262">
        <v>40.5961</v>
      </c>
      <c r="P262">
        <v>23.511800000000001</v>
      </c>
      <c r="Q262">
        <v>8.1075700000000008</v>
      </c>
    </row>
    <row r="263" spans="1:17" x14ac:dyDescent="0.25">
      <c r="A263" t="str">
        <f>IF(C263&amp;G263&amp;D263&lt;&gt;'Funnel setup'!$K$3&amp;'Funnel setup'!$K$4&amp;'Funnel setup'!$K$6,".",IF(A262=".",1,A262+1))</f>
        <v>.</v>
      </c>
      <c r="B263" s="244" t="str">
        <f t="shared" si="4"/>
        <v>Hip Replacement PrimarySub-ICB of GP PracticeNHS LANCASHIRE AND SOUTH CUMBRIA ICB - 00R (00R)Oxford Hip Score</v>
      </c>
      <c r="C263" t="s">
        <v>749</v>
      </c>
      <c r="D263" t="s">
        <v>1021</v>
      </c>
      <c r="E263" t="s">
        <v>849</v>
      </c>
      <c r="F263" t="s">
        <v>850</v>
      </c>
      <c r="G263" t="s">
        <v>964</v>
      </c>
      <c r="H263">
        <v>39</v>
      </c>
      <c r="I263">
        <v>17.769200000000001</v>
      </c>
      <c r="J263">
        <v>38.538499999999999</v>
      </c>
      <c r="K263">
        <v>20.769200000000001</v>
      </c>
      <c r="L263">
        <v>38</v>
      </c>
      <c r="M263">
        <v>0</v>
      </c>
      <c r="N263">
        <v>1</v>
      </c>
      <c r="O263">
        <v>39.596200000000003</v>
      </c>
      <c r="P263">
        <v>22.511900000000001</v>
      </c>
      <c r="Q263">
        <v>9.2829599999999992</v>
      </c>
    </row>
    <row r="264" spans="1:17" x14ac:dyDescent="0.25">
      <c r="A264" t="str">
        <f>IF(C264&amp;G264&amp;D264&lt;&gt;'Funnel setup'!$K$3&amp;'Funnel setup'!$K$4&amp;'Funnel setup'!$K$6,".",IF(A263=".",1,A263+1))</f>
        <v>.</v>
      </c>
      <c r="B264" s="244" t="str">
        <f t="shared" si="4"/>
        <v>Hip Replacement PrimarySub-ICB of GP PracticeNHS LANCASHIRE AND SOUTH CUMBRIA ICB - 00X (00X)Oxford Hip Score</v>
      </c>
      <c r="C264" t="s">
        <v>749</v>
      </c>
      <c r="D264" t="s">
        <v>1021</v>
      </c>
      <c r="E264" t="s">
        <v>851</v>
      </c>
      <c r="F264" t="s">
        <v>852</v>
      </c>
      <c r="G264" t="s">
        <v>964</v>
      </c>
      <c r="H264">
        <v>65</v>
      </c>
      <c r="I264">
        <v>16.8308</v>
      </c>
      <c r="J264">
        <v>40.569200000000002</v>
      </c>
      <c r="K264">
        <v>23.738499999999998</v>
      </c>
      <c r="L264">
        <v>63</v>
      </c>
      <c r="M264">
        <v>0</v>
      </c>
      <c r="N264">
        <v>2</v>
      </c>
      <c r="O264">
        <v>40.739800000000002</v>
      </c>
      <c r="P264">
        <v>23.6555</v>
      </c>
      <c r="Q264">
        <v>8.8068000000000008</v>
      </c>
    </row>
    <row r="265" spans="1:17" x14ac:dyDescent="0.25">
      <c r="A265" t="str">
        <f>IF(C265&amp;G265&amp;D265&lt;&gt;'Funnel setup'!$K$3&amp;'Funnel setup'!$K$4&amp;'Funnel setup'!$K$6,".",IF(A264=".",1,A264+1))</f>
        <v>.</v>
      </c>
      <c r="B265" s="244" t="str">
        <f t="shared" si="4"/>
        <v>Hip Replacement PrimarySub-ICB of GP PracticeNHS LANCASHIRE AND SOUTH CUMBRIA ICB - 01A (01A)Oxford Hip Score</v>
      </c>
      <c r="C265" t="s">
        <v>749</v>
      </c>
      <c r="D265" t="s">
        <v>1021</v>
      </c>
      <c r="E265" t="s">
        <v>853</v>
      </c>
      <c r="F265" t="s">
        <v>854</v>
      </c>
      <c r="G265" t="s">
        <v>964</v>
      </c>
      <c r="H265">
        <v>158</v>
      </c>
      <c r="I265">
        <v>17.265799999999999</v>
      </c>
      <c r="J265">
        <v>40.6203</v>
      </c>
      <c r="K265">
        <v>23.354399999999998</v>
      </c>
      <c r="L265">
        <v>153</v>
      </c>
      <c r="M265">
        <v>2</v>
      </c>
      <c r="N265">
        <v>3</v>
      </c>
      <c r="O265">
        <v>40.908499999999997</v>
      </c>
      <c r="P265">
        <v>23.824200000000001</v>
      </c>
      <c r="Q265">
        <v>6.9460699999999997</v>
      </c>
    </row>
    <row r="266" spans="1:17" x14ac:dyDescent="0.25">
      <c r="A266" t="str">
        <f>IF(C266&amp;G266&amp;D266&lt;&gt;'Funnel setup'!$K$3&amp;'Funnel setup'!$K$4&amp;'Funnel setup'!$K$6,".",IF(A265=".",1,A265+1))</f>
        <v>.</v>
      </c>
      <c r="B266" s="244" t="str">
        <f t="shared" si="4"/>
        <v>Hip Replacement PrimarySub-ICB of GP PracticeNHS LANCASHIRE AND SOUTH CUMBRIA ICB - 01E (01E)Oxford Hip Score</v>
      </c>
      <c r="C266" t="s">
        <v>749</v>
      </c>
      <c r="D266" t="s">
        <v>1021</v>
      </c>
      <c r="E266" t="s">
        <v>855</v>
      </c>
      <c r="F266" t="s">
        <v>856</v>
      </c>
      <c r="G266" t="s">
        <v>964</v>
      </c>
      <c r="H266">
        <v>64</v>
      </c>
      <c r="I266">
        <v>20.171900000000001</v>
      </c>
      <c r="J266">
        <v>40.796900000000001</v>
      </c>
      <c r="K266">
        <v>20.625</v>
      </c>
      <c r="L266">
        <v>64</v>
      </c>
      <c r="M266">
        <v>0</v>
      </c>
      <c r="N266">
        <v>0</v>
      </c>
      <c r="O266">
        <v>39.707700000000003</v>
      </c>
      <c r="P266">
        <v>22.6234</v>
      </c>
      <c r="Q266">
        <v>7.2246800000000002</v>
      </c>
    </row>
    <row r="267" spans="1:17" x14ac:dyDescent="0.25">
      <c r="A267" t="str">
        <f>IF(C267&amp;G267&amp;D267&lt;&gt;'Funnel setup'!$K$3&amp;'Funnel setup'!$K$4&amp;'Funnel setup'!$K$6,".",IF(A266=".",1,A266+1))</f>
        <v>.</v>
      </c>
      <c r="B267" s="244" t="str">
        <f t="shared" si="4"/>
        <v>Hip Replacement PrimarySub-ICB of GP PracticeNHS LANCASHIRE AND SOUTH CUMBRIA ICB - 01K (01K)Oxford Hip Score</v>
      </c>
      <c r="C267" t="s">
        <v>749</v>
      </c>
      <c r="D267" t="s">
        <v>1021</v>
      </c>
      <c r="E267" t="s">
        <v>857</v>
      </c>
      <c r="F267" t="s">
        <v>858</v>
      </c>
      <c r="G267" t="s">
        <v>964</v>
      </c>
      <c r="H267">
        <v>202</v>
      </c>
      <c r="I267">
        <v>17.623799999999999</v>
      </c>
      <c r="J267">
        <v>40.613900000000001</v>
      </c>
      <c r="K267">
        <v>22.990100000000002</v>
      </c>
      <c r="L267">
        <v>199</v>
      </c>
      <c r="M267">
        <v>1</v>
      </c>
      <c r="N267">
        <v>2</v>
      </c>
      <c r="O267">
        <v>40.5017</v>
      </c>
      <c r="P267">
        <v>23.417400000000001</v>
      </c>
      <c r="Q267">
        <v>7.0133400000000004</v>
      </c>
    </row>
    <row r="268" spans="1:17" x14ac:dyDescent="0.25">
      <c r="A268" t="str">
        <f>IF(C268&amp;G268&amp;D268&lt;&gt;'Funnel setup'!$K$3&amp;'Funnel setup'!$K$4&amp;'Funnel setup'!$K$6,".",IF(A267=".",1,A267+1))</f>
        <v>.</v>
      </c>
      <c r="B268" s="244" t="str">
        <f t="shared" si="4"/>
        <v>Hip Replacement PrimarySub-ICB of GP PracticeNHS LANCASHIRE AND SOUTH CUMBRIA ICB - 02G (02G)Oxford Hip Score</v>
      </c>
      <c r="C268" t="s">
        <v>749</v>
      </c>
      <c r="D268" t="s">
        <v>1021</v>
      </c>
      <c r="E268" t="s">
        <v>859</v>
      </c>
      <c r="F268" t="s">
        <v>860</v>
      </c>
      <c r="G268" t="s">
        <v>964</v>
      </c>
      <c r="H268">
        <v>33</v>
      </c>
      <c r="I268">
        <v>16.090900000000001</v>
      </c>
      <c r="J268">
        <v>41.393900000000002</v>
      </c>
      <c r="K268">
        <v>25.303000000000001</v>
      </c>
      <c r="L268">
        <v>33</v>
      </c>
      <c r="M268">
        <v>0</v>
      </c>
      <c r="N268">
        <v>0</v>
      </c>
      <c r="O268">
        <v>40.733400000000003</v>
      </c>
      <c r="P268">
        <v>23.649100000000001</v>
      </c>
      <c r="Q268">
        <v>7.6908799999999999</v>
      </c>
    </row>
    <row r="269" spans="1:17" x14ac:dyDescent="0.25">
      <c r="A269" t="str">
        <f>IF(C269&amp;G269&amp;D269&lt;&gt;'Funnel setup'!$K$3&amp;'Funnel setup'!$K$4&amp;'Funnel setup'!$K$6,".",IF(A268=".",1,A268+1))</f>
        <v>.</v>
      </c>
      <c r="B269" s="244" t="str">
        <f t="shared" si="4"/>
        <v>Hip Replacement PrimarySub-ICB of GP PracticeNHS LANCASHIRE AND SOUTH CUMBRIA ICB - 02M (02M)Oxford Hip Score</v>
      </c>
      <c r="C269" t="s">
        <v>749</v>
      </c>
      <c r="D269" t="s">
        <v>1021</v>
      </c>
      <c r="E269" t="s">
        <v>861</v>
      </c>
      <c r="F269" t="s">
        <v>862</v>
      </c>
      <c r="G269" t="s">
        <v>964</v>
      </c>
      <c r="H269">
        <v>70</v>
      </c>
      <c r="I269">
        <v>20.957100000000001</v>
      </c>
      <c r="J269">
        <v>38.9</v>
      </c>
      <c r="K269">
        <v>17.942900000000002</v>
      </c>
      <c r="L269">
        <v>67</v>
      </c>
      <c r="M269">
        <v>0</v>
      </c>
      <c r="N269">
        <v>3</v>
      </c>
      <c r="O269">
        <v>37.743099999999998</v>
      </c>
      <c r="P269">
        <v>20.658799999999999</v>
      </c>
      <c r="Q269">
        <v>7.7820299999999998</v>
      </c>
    </row>
    <row r="270" spans="1:17" x14ac:dyDescent="0.25">
      <c r="A270" t="str">
        <f>IF(C270&amp;G270&amp;D270&lt;&gt;'Funnel setup'!$K$3&amp;'Funnel setup'!$K$4&amp;'Funnel setup'!$K$6,".",IF(A269=".",1,A269+1))</f>
        <v>.</v>
      </c>
      <c r="B270" s="244" t="str">
        <f t="shared" si="4"/>
        <v>Hip Replacement PrimarySub-ICB of GP PracticeNHS LEICESTER, LEICESTERSHIRE AND RUTLAND ICB - 03W (03W)Oxford Hip Score</v>
      </c>
      <c r="C270" t="s">
        <v>749</v>
      </c>
      <c r="D270" t="s">
        <v>1021</v>
      </c>
      <c r="E270" t="s">
        <v>863</v>
      </c>
      <c r="F270" t="s">
        <v>864</v>
      </c>
      <c r="G270" t="s">
        <v>964</v>
      </c>
      <c r="H270">
        <v>113</v>
      </c>
      <c r="I270">
        <v>16.327400000000001</v>
      </c>
      <c r="J270">
        <v>39.309699999999999</v>
      </c>
      <c r="K270">
        <v>22.982299999999999</v>
      </c>
      <c r="L270">
        <v>110</v>
      </c>
      <c r="M270">
        <v>0</v>
      </c>
      <c r="N270">
        <v>3</v>
      </c>
      <c r="O270">
        <v>38.900100000000002</v>
      </c>
      <c r="P270">
        <v>21.815799999999999</v>
      </c>
      <c r="Q270">
        <v>7.5396400000000003</v>
      </c>
    </row>
    <row r="271" spans="1:17" x14ac:dyDescent="0.25">
      <c r="A271" t="str">
        <f>IF(C271&amp;G271&amp;D271&lt;&gt;'Funnel setup'!$K$3&amp;'Funnel setup'!$K$4&amp;'Funnel setup'!$K$6,".",IF(A270=".",1,A270+1))</f>
        <v>.</v>
      </c>
      <c r="B271" s="244" t="str">
        <f t="shared" si="4"/>
        <v>Hip Replacement PrimarySub-ICB of GP PracticeNHS LEICESTER, LEICESTERSHIRE AND RUTLAND ICB - 04C (04C)Oxford Hip Score</v>
      </c>
      <c r="C271" t="s">
        <v>749</v>
      </c>
      <c r="D271" t="s">
        <v>1021</v>
      </c>
      <c r="E271" t="s">
        <v>865</v>
      </c>
      <c r="F271" t="s">
        <v>866</v>
      </c>
      <c r="G271" t="s">
        <v>964</v>
      </c>
      <c r="H271">
        <v>39</v>
      </c>
      <c r="I271">
        <v>14.2308</v>
      </c>
      <c r="J271">
        <v>37.076900000000002</v>
      </c>
      <c r="K271">
        <v>22.8462</v>
      </c>
      <c r="L271">
        <v>37</v>
      </c>
      <c r="M271">
        <v>0</v>
      </c>
      <c r="N271">
        <v>2</v>
      </c>
      <c r="O271">
        <v>39.126100000000001</v>
      </c>
      <c r="P271">
        <v>22.041799999999999</v>
      </c>
      <c r="Q271">
        <v>10.660299999999999</v>
      </c>
    </row>
    <row r="272" spans="1:17" x14ac:dyDescent="0.25">
      <c r="A272" t="str">
        <f>IF(C272&amp;G272&amp;D272&lt;&gt;'Funnel setup'!$K$3&amp;'Funnel setup'!$K$4&amp;'Funnel setup'!$K$6,".",IF(A271=".",1,A271+1))</f>
        <v>.</v>
      </c>
      <c r="B272" s="244" t="str">
        <f t="shared" si="4"/>
        <v>Hip Replacement PrimarySub-ICB of GP PracticeNHS LEICESTER, LEICESTERSHIRE AND RUTLAND ICB - 04V (04V)Oxford Hip Score</v>
      </c>
      <c r="C272" t="s">
        <v>749</v>
      </c>
      <c r="D272" t="s">
        <v>1021</v>
      </c>
      <c r="E272" t="s">
        <v>867</v>
      </c>
      <c r="F272" t="s">
        <v>868</v>
      </c>
      <c r="G272" t="s">
        <v>964</v>
      </c>
      <c r="H272">
        <v>113</v>
      </c>
      <c r="I272">
        <v>16.619499999999999</v>
      </c>
      <c r="J272">
        <v>40.221200000000003</v>
      </c>
      <c r="K272">
        <v>23.601800000000001</v>
      </c>
      <c r="L272">
        <v>111</v>
      </c>
      <c r="M272">
        <v>2</v>
      </c>
      <c r="N272">
        <v>0</v>
      </c>
      <c r="O272">
        <v>39.998899999999999</v>
      </c>
      <c r="P272">
        <v>22.9146</v>
      </c>
      <c r="Q272">
        <v>8.3664799999999993</v>
      </c>
    </row>
    <row r="273" spans="1:17" x14ac:dyDescent="0.25">
      <c r="A273" t="str">
        <f>IF(C273&amp;G273&amp;D273&lt;&gt;'Funnel setup'!$K$3&amp;'Funnel setup'!$K$4&amp;'Funnel setup'!$K$6,".",IF(A272=".",1,A272+1))</f>
        <v>.</v>
      </c>
      <c r="B273" s="244" t="str">
        <f t="shared" si="4"/>
        <v>Hip Replacement PrimarySub-ICB of GP PracticeNHS LINCOLNSHIRE ICB - 71E (71E)Oxford Hip Score</v>
      </c>
      <c r="C273" t="s">
        <v>749</v>
      </c>
      <c r="D273" t="s">
        <v>1021</v>
      </c>
      <c r="E273" t="s">
        <v>869</v>
      </c>
      <c r="F273" t="s">
        <v>870</v>
      </c>
      <c r="G273" t="s">
        <v>964</v>
      </c>
      <c r="H273">
        <v>264</v>
      </c>
      <c r="I273">
        <v>16.946999999999999</v>
      </c>
      <c r="J273">
        <v>40.7879</v>
      </c>
      <c r="K273">
        <v>23.840900000000001</v>
      </c>
      <c r="L273">
        <v>257</v>
      </c>
      <c r="M273">
        <v>3</v>
      </c>
      <c r="N273">
        <v>4</v>
      </c>
      <c r="O273">
        <v>40.973300000000002</v>
      </c>
      <c r="P273">
        <v>23.888999999999999</v>
      </c>
      <c r="Q273">
        <v>7.2883800000000001</v>
      </c>
    </row>
    <row r="274" spans="1:17" x14ac:dyDescent="0.25">
      <c r="A274" t="str">
        <f>IF(C274&amp;G274&amp;D274&lt;&gt;'Funnel setup'!$K$3&amp;'Funnel setup'!$K$4&amp;'Funnel setup'!$K$6,".",IF(A273=".",1,A273+1))</f>
        <v>.</v>
      </c>
      <c r="B274" s="244" t="str">
        <f t="shared" si="4"/>
        <v>Hip Replacement PrimarySub-ICB of GP PracticeNHS MID AND SOUTH ESSEX ICB - 06Q (06Q)Oxford Hip Score</v>
      </c>
      <c r="C274" t="s">
        <v>749</v>
      </c>
      <c r="D274" t="s">
        <v>1021</v>
      </c>
      <c r="E274" t="s">
        <v>871</v>
      </c>
      <c r="F274" t="s">
        <v>872</v>
      </c>
      <c r="G274" t="s">
        <v>964</v>
      </c>
      <c r="H274">
        <v>116</v>
      </c>
      <c r="I274">
        <v>15.5345</v>
      </c>
      <c r="J274">
        <v>41.5</v>
      </c>
      <c r="K274">
        <v>25.965499999999999</v>
      </c>
      <c r="L274">
        <v>114</v>
      </c>
      <c r="M274">
        <v>0</v>
      </c>
      <c r="N274">
        <v>2</v>
      </c>
      <c r="O274">
        <v>41.897500000000001</v>
      </c>
      <c r="P274">
        <v>24.813199999999998</v>
      </c>
      <c r="Q274">
        <v>6.9013400000000003</v>
      </c>
    </row>
    <row r="275" spans="1:17" x14ac:dyDescent="0.25">
      <c r="A275" t="str">
        <f>IF(C275&amp;G275&amp;D275&lt;&gt;'Funnel setup'!$K$3&amp;'Funnel setup'!$K$4&amp;'Funnel setup'!$K$6,".",IF(A274=".",1,A274+1))</f>
        <v>.</v>
      </c>
      <c r="B275" s="244" t="str">
        <f t="shared" si="4"/>
        <v>Hip Replacement PrimarySub-ICB of GP PracticeNHS MID AND SOUTH ESSEX ICB - 07G (07G)Oxford Hip Score</v>
      </c>
      <c r="C275" t="s">
        <v>749</v>
      </c>
      <c r="D275" t="s">
        <v>1021</v>
      </c>
      <c r="E275" t="s">
        <v>873</v>
      </c>
      <c r="F275" t="s">
        <v>874</v>
      </c>
      <c r="G275" t="s">
        <v>964</v>
      </c>
      <c r="H275">
        <v>34</v>
      </c>
      <c r="I275">
        <v>13.6471</v>
      </c>
      <c r="J275">
        <v>37.411799999999999</v>
      </c>
      <c r="K275">
        <v>23.764700000000001</v>
      </c>
      <c r="L275">
        <v>34</v>
      </c>
      <c r="M275">
        <v>0</v>
      </c>
      <c r="N275">
        <v>0</v>
      </c>
      <c r="O275">
        <v>38.916600000000003</v>
      </c>
      <c r="P275">
        <v>21.8323</v>
      </c>
      <c r="Q275">
        <v>7.9705700000000004</v>
      </c>
    </row>
    <row r="276" spans="1:17" x14ac:dyDescent="0.25">
      <c r="A276" t="str">
        <f>IF(C276&amp;G276&amp;D276&lt;&gt;'Funnel setup'!$K$3&amp;'Funnel setup'!$K$4&amp;'Funnel setup'!$K$6,".",IF(A275=".",1,A275+1))</f>
        <v>.</v>
      </c>
      <c r="B276" s="244" t="str">
        <f t="shared" si="4"/>
        <v>Hip Replacement PrimarySub-ICB of GP PracticeNHS MID AND SOUTH ESSEX ICB - 99E (99E)Oxford Hip Score</v>
      </c>
      <c r="C276" t="s">
        <v>749</v>
      </c>
      <c r="D276" t="s">
        <v>1021</v>
      </c>
      <c r="E276" t="s">
        <v>875</v>
      </c>
      <c r="F276" t="s">
        <v>876</v>
      </c>
      <c r="G276" t="s">
        <v>964</v>
      </c>
      <c r="H276">
        <v>43</v>
      </c>
      <c r="I276">
        <v>14.5349</v>
      </c>
      <c r="J276">
        <v>40.372100000000003</v>
      </c>
      <c r="K276">
        <v>25.837199999999999</v>
      </c>
      <c r="L276">
        <v>43</v>
      </c>
      <c r="M276">
        <v>0</v>
      </c>
      <c r="N276">
        <v>0</v>
      </c>
      <c r="O276">
        <v>41.312899999999999</v>
      </c>
      <c r="P276">
        <v>24.2286</v>
      </c>
      <c r="Q276">
        <v>7.7268800000000004</v>
      </c>
    </row>
    <row r="277" spans="1:17" x14ac:dyDescent="0.25">
      <c r="A277" t="str">
        <f>IF(C277&amp;G277&amp;D277&lt;&gt;'Funnel setup'!$K$3&amp;'Funnel setup'!$K$4&amp;'Funnel setup'!$K$6,".",IF(A276=".",1,A276+1))</f>
        <v>.</v>
      </c>
      <c r="B277" s="244" t="str">
        <f t="shared" si="4"/>
        <v>Hip Replacement PrimarySub-ICB of GP PracticeNHS MID AND SOUTH ESSEX ICB - 99F (99F)Oxford Hip Score</v>
      </c>
      <c r="C277" t="s">
        <v>749</v>
      </c>
      <c r="D277" t="s">
        <v>1021</v>
      </c>
      <c r="E277" t="s">
        <v>877</v>
      </c>
      <c r="F277" t="s">
        <v>878</v>
      </c>
      <c r="G277" t="s">
        <v>964</v>
      </c>
      <c r="H277">
        <v>27</v>
      </c>
      <c r="I277">
        <v>15.2963</v>
      </c>
      <c r="J277">
        <v>41.222200000000001</v>
      </c>
      <c r="K277">
        <v>25.925899999999999</v>
      </c>
      <c r="L277">
        <v>27</v>
      </c>
      <c r="M277">
        <v>0</v>
      </c>
      <c r="N277">
        <v>0</v>
      </c>
      <c r="O277" t="s">
        <v>127</v>
      </c>
      <c r="P277" t="s">
        <v>127</v>
      </c>
      <c r="Q277" t="s">
        <v>127</v>
      </c>
    </row>
    <row r="278" spans="1:17" x14ac:dyDescent="0.25">
      <c r="A278" t="str">
        <f>IF(C278&amp;G278&amp;D278&lt;&gt;'Funnel setup'!$K$3&amp;'Funnel setup'!$K$4&amp;'Funnel setup'!$K$6,".",IF(A277=".",1,A277+1))</f>
        <v>.</v>
      </c>
      <c r="B278" s="244" t="str">
        <f t="shared" si="4"/>
        <v>Hip Replacement PrimarySub-ICB of GP PracticeNHS MID AND SOUTH ESSEX ICB - 99G (99G)Oxford Hip Score</v>
      </c>
      <c r="C278" t="s">
        <v>749</v>
      </c>
      <c r="D278" t="s">
        <v>1021</v>
      </c>
      <c r="E278" t="s">
        <v>879</v>
      </c>
      <c r="F278" t="s">
        <v>880</v>
      </c>
      <c r="G278" t="s">
        <v>964</v>
      </c>
      <c r="H278">
        <v>13</v>
      </c>
      <c r="I278">
        <v>14.9231</v>
      </c>
      <c r="J278">
        <v>40</v>
      </c>
      <c r="K278">
        <v>25.076899999999998</v>
      </c>
      <c r="L278">
        <v>13</v>
      </c>
      <c r="M278">
        <v>0</v>
      </c>
      <c r="N278">
        <v>0</v>
      </c>
      <c r="O278" t="s">
        <v>127</v>
      </c>
      <c r="P278" t="s">
        <v>127</v>
      </c>
      <c r="Q278" t="s">
        <v>127</v>
      </c>
    </row>
    <row r="279" spans="1:17" x14ac:dyDescent="0.25">
      <c r="A279" t="str">
        <f>IF(C279&amp;G279&amp;D279&lt;&gt;'Funnel setup'!$K$3&amp;'Funnel setup'!$K$4&amp;'Funnel setup'!$K$6,".",IF(A278=".",1,A278+1))</f>
        <v>.</v>
      </c>
      <c r="B279" s="244" t="str">
        <f t="shared" si="4"/>
        <v>Hip Replacement PrimarySub-ICB of GP PracticeNHS NORFOLK AND WAVENEY ICB - 26A (26A)Oxford Hip Score</v>
      </c>
      <c r="C279" t="s">
        <v>749</v>
      </c>
      <c r="D279" t="s">
        <v>1021</v>
      </c>
      <c r="E279" t="s">
        <v>881</v>
      </c>
      <c r="F279" t="s">
        <v>882</v>
      </c>
      <c r="G279" t="s">
        <v>964</v>
      </c>
      <c r="H279">
        <v>359</v>
      </c>
      <c r="I279">
        <v>14.908099999999999</v>
      </c>
      <c r="J279">
        <v>39.317500000000003</v>
      </c>
      <c r="K279">
        <v>24.409500000000001</v>
      </c>
      <c r="L279">
        <v>352</v>
      </c>
      <c r="M279">
        <v>0</v>
      </c>
      <c r="N279">
        <v>7</v>
      </c>
      <c r="O279">
        <v>40.270200000000003</v>
      </c>
      <c r="P279">
        <v>23.1859</v>
      </c>
      <c r="Q279">
        <v>8.5696600000000007</v>
      </c>
    </row>
    <row r="280" spans="1:17" x14ac:dyDescent="0.25">
      <c r="A280" t="str">
        <f>IF(C280&amp;G280&amp;D280&lt;&gt;'Funnel setup'!$K$3&amp;'Funnel setup'!$K$4&amp;'Funnel setup'!$K$6,".",IF(A279=".",1,A279+1))</f>
        <v>.</v>
      </c>
      <c r="B280" s="244" t="str">
        <f t="shared" si="4"/>
        <v>Hip Replacement PrimarySub-ICB of GP PracticeNHS NORTH CENTRAL LONDON ICB - 93C (93C)Oxford Hip Score</v>
      </c>
      <c r="C280" t="s">
        <v>749</v>
      </c>
      <c r="D280" t="s">
        <v>1021</v>
      </c>
      <c r="E280" t="s">
        <v>883</v>
      </c>
      <c r="F280" t="s">
        <v>884</v>
      </c>
      <c r="G280" t="s">
        <v>964</v>
      </c>
      <c r="H280">
        <v>150</v>
      </c>
      <c r="I280">
        <v>18.7333</v>
      </c>
      <c r="J280">
        <v>38.533299999999997</v>
      </c>
      <c r="K280">
        <v>19.8</v>
      </c>
      <c r="L280">
        <v>143</v>
      </c>
      <c r="M280">
        <v>1</v>
      </c>
      <c r="N280">
        <v>6</v>
      </c>
      <c r="O280">
        <v>38.689500000000002</v>
      </c>
      <c r="P280">
        <v>21.6052</v>
      </c>
      <c r="Q280">
        <v>8.7819299999999991</v>
      </c>
    </row>
    <row r="281" spans="1:17" x14ac:dyDescent="0.25">
      <c r="A281" t="str">
        <f>IF(C281&amp;G281&amp;D281&lt;&gt;'Funnel setup'!$K$3&amp;'Funnel setup'!$K$4&amp;'Funnel setup'!$K$6,".",IF(A280=".",1,A280+1))</f>
        <v>.</v>
      </c>
      <c r="B281" s="244" t="str">
        <f t="shared" si="4"/>
        <v>Hip Replacement PrimarySub-ICB of GP PracticeNHS NORTH EAST AND NORTH CUMBRIA ICB - 00L (00L)Oxford Hip Score</v>
      </c>
      <c r="C281" t="s">
        <v>749</v>
      </c>
      <c r="D281" t="s">
        <v>1021</v>
      </c>
      <c r="E281" t="s">
        <v>885</v>
      </c>
      <c r="F281" t="s">
        <v>886</v>
      </c>
      <c r="G281" t="s">
        <v>964</v>
      </c>
      <c r="H281">
        <v>161</v>
      </c>
      <c r="I281">
        <v>15.4224</v>
      </c>
      <c r="J281">
        <v>39.906799999999997</v>
      </c>
      <c r="K281">
        <v>24.484500000000001</v>
      </c>
      <c r="L281">
        <v>159</v>
      </c>
      <c r="M281">
        <v>0</v>
      </c>
      <c r="N281">
        <v>2</v>
      </c>
      <c r="O281">
        <v>40.525799999999997</v>
      </c>
      <c r="P281">
        <v>23.441500000000001</v>
      </c>
      <c r="Q281">
        <v>8.4410399999999992</v>
      </c>
    </row>
    <row r="282" spans="1:17" x14ac:dyDescent="0.25">
      <c r="A282" t="str">
        <f>IF(C282&amp;G282&amp;D282&lt;&gt;'Funnel setup'!$K$3&amp;'Funnel setup'!$K$4&amp;'Funnel setup'!$K$6,".",IF(A281=".",1,A281+1))</f>
        <v>.</v>
      </c>
      <c r="B282" s="244" t="str">
        <f t="shared" si="4"/>
        <v>Hip Replacement PrimarySub-ICB of GP PracticeNHS NORTH EAST AND NORTH CUMBRIA ICB - 00N (00N)Oxford Hip Score</v>
      </c>
      <c r="C282" t="s">
        <v>749</v>
      </c>
      <c r="D282" t="s">
        <v>1021</v>
      </c>
      <c r="E282" t="s">
        <v>887</v>
      </c>
      <c r="F282" t="s">
        <v>888</v>
      </c>
      <c r="G282" t="s">
        <v>964</v>
      </c>
      <c r="H282">
        <v>10</v>
      </c>
      <c r="I282">
        <v>14.4</v>
      </c>
      <c r="J282">
        <v>44.6</v>
      </c>
      <c r="K282">
        <v>30.2</v>
      </c>
      <c r="L282">
        <v>10</v>
      </c>
      <c r="M282">
        <v>0</v>
      </c>
      <c r="N282">
        <v>0</v>
      </c>
      <c r="O282" t="s">
        <v>127</v>
      </c>
      <c r="P282" t="s">
        <v>127</v>
      </c>
      <c r="Q282" t="s">
        <v>127</v>
      </c>
    </row>
    <row r="283" spans="1:17" x14ac:dyDescent="0.25">
      <c r="A283" t="str">
        <f>IF(C283&amp;G283&amp;D283&lt;&gt;'Funnel setup'!$K$3&amp;'Funnel setup'!$K$4&amp;'Funnel setup'!$K$6,".",IF(A282=".",1,A282+1))</f>
        <v>.</v>
      </c>
      <c r="B283" s="244" t="str">
        <f t="shared" si="4"/>
        <v>Hip Replacement PrimarySub-ICB of GP PracticeNHS NORTH EAST AND NORTH CUMBRIA ICB - 00P (00P)Oxford Hip Score</v>
      </c>
      <c r="C283" t="s">
        <v>749</v>
      </c>
      <c r="D283" t="s">
        <v>1021</v>
      </c>
      <c r="E283" t="s">
        <v>889</v>
      </c>
      <c r="F283" t="s">
        <v>890</v>
      </c>
      <c r="G283" t="s">
        <v>964</v>
      </c>
      <c r="H283">
        <v>34</v>
      </c>
      <c r="I283">
        <v>13.2941</v>
      </c>
      <c r="J283">
        <v>35.823500000000003</v>
      </c>
      <c r="K283">
        <v>22.529399999999999</v>
      </c>
      <c r="L283">
        <v>32</v>
      </c>
      <c r="M283">
        <v>0</v>
      </c>
      <c r="N283">
        <v>2</v>
      </c>
      <c r="O283">
        <v>37.994599999999998</v>
      </c>
      <c r="P283">
        <v>20.910299999999999</v>
      </c>
      <c r="Q283">
        <v>10.5672</v>
      </c>
    </row>
    <row r="284" spans="1:17" x14ac:dyDescent="0.25">
      <c r="A284" t="str">
        <f>IF(C284&amp;G284&amp;D284&lt;&gt;'Funnel setup'!$K$3&amp;'Funnel setup'!$K$4&amp;'Funnel setup'!$K$6,".",IF(A283=".",1,A283+1))</f>
        <v>.</v>
      </c>
      <c r="B284" s="244" t="str">
        <f t="shared" si="4"/>
        <v>Hip Replacement PrimarySub-ICB of GP PracticeNHS NORTH EAST AND NORTH CUMBRIA ICB - 01H (01H)Oxford Hip Score</v>
      </c>
      <c r="C284" t="s">
        <v>749</v>
      </c>
      <c r="D284" t="s">
        <v>1021</v>
      </c>
      <c r="E284" t="s">
        <v>891</v>
      </c>
      <c r="F284" t="s">
        <v>892</v>
      </c>
      <c r="G284" t="s">
        <v>964</v>
      </c>
      <c r="H284">
        <v>175</v>
      </c>
      <c r="I284">
        <v>14.948600000000001</v>
      </c>
      <c r="J284">
        <v>40.102899999999998</v>
      </c>
      <c r="K284">
        <v>25.154299999999999</v>
      </c>
      <c r="L284">
        <v>174</v>
      </c>
      <c r="M284">
        <v>0</v>
      </c>
      <c r="N284">
        <v>1</v>
      </c>
      <c r="O284">
        <v>40.924199999999999</v>
      </c>
      <c r="P284">
        <v>23.8399</v>
      </c>
      <c r="Q284">
        <v>8.0659899999999993</v>
      </c>
    </row>
    <row r="285" spans="1:17" x14ac:dyDescent="0.25">
      <c r="A285" t="str">
        <f>IF(C285&amp;G285&amp;D285&lt;&gt;'Funnel setup'!$K$3&amp;'Funnel setup'!$K$4&amp;'Funnel setup'!$K$6,".",IF(A284=".",1,A284+1))</f>
        <v>.</v>
      </c>
      <c r="B285" s="244" t="str">
        <f t="shared" si="4"/>
        <v>Hip Replacement PrimarySub-ICB of GP PracticeNHS NORTH EAST AND NORTH CUMBRIA ICB - 13T (13T)Oxford Hip Score</v>
      </c>
      <c r="C285" t="s">
        <v>749</v>
      </c>
      <c r="D285" t="s">
        <v>1021</v>
      </c>
      <c r="E285" t="s">
        <v>893</v>
      </c>
      <c r="F285" t="s">
        <v>894</v>
      </c>
      <c r="G285" t="s">
        <v>964</v>
      </c>
      <c r="H285">
        <v>100</v>
      </c>
      <c r="I285">
        <v>15.32</v>
      </c>
      <c r="J285">
        <v>39.29</v>
      </c>
      <c r="K285">
        <v>23.97</v>
      </c>
      <c r="L285">
        <v>99</v>
      </c>
      <c r="M285">
        <v>0</v>
      </c>
      <c r="N285">
        <v>1</v>
      </c>
      <c r="O285">
        <v>40.3093</v>
      </c>
      <c r="P285">
        <v>23.225100000000001</v>
      </c>
      <c r="Q285">
        <v>7.8559000000000001</v>
      </c>
    </row>
    <row r="286" spans="1:17" x14ac:dyDescent="0.25">
      <c r="A286" t="str">
        <f>IF(C286&amp;G286&amp;D286&lt;&gt;'Funnel setup'!$K$3&amp;'Funnel setup'!$K$4&amp;'Funnel setup'!$K$6,".",IF(A285=".",1,A285+1))</f>
        <v>.</v>
      </c>
      <c r="B286" s="244" t="str">
        <f t="shared" si="4"/>
        <v>Hip Replacement PrimarySub-ICB of GP PracticeNHS NORTH EAST AND NORTH CUMBRIA ICB - 16C (16C)Oxford Hip Score</v>
      </c>
      <c r="C286" t="s">
        <v>749</v>
      </c>
      <c r="D286" t="s">
        <v>1021</v>
      </c>
      <c r="E286" t="s">
        <v>895</v>
      </c>
      <c r="F286" t="s">
        <v>896</v>
      </c>
      <c r="G286" t="s">
        <v>964</v>
      </c>
      <c r="H286">
        <v>368</v>
      </c>
      <c r="I286">
        <v>16.967400000000001</v>
      </c>
      <c r="J286">
        <v>39.171199999999999</v>
      </c>
      <c r="K286">
        <v>22.203800000000001</v>
      </c>
      <c r="L286">
        <v>355</v>
      </c>
      <c r="M286">
        <v>3</v>
      </c>
      <c r="N286">
        <v>10</v>
      </c>
      <c r="O286">
        <v>39.526299999999999</v>
      </c>
      <c r="P286">
        <v>22.442</v>
      </c>
      <c r="Q286">
        <v>8.4811399999999999</v>
      </c>
    </row>
    <row r="287" spans="1:17" x14ac:dyDescent="0.25">
      <c r="A287" t="str">
        <f>IF(C287&amp;G287&amp;D287&lt;&gt;'Funnel setup'!$K$3&amp;'Funnel setup'!$K$4&amp;'Funnel setup'!$K$6,".",IF(A286=".",1,A286+1))</f>
        <v>.</v>
      </c>
      <c r="B287" s="244" t="str">
        <f t="shared" si="4"/>
        <v>Hip Replacement PrimarySub-ICB of GP PracticeNHS NORTH EAST AND NORTH CUMBRIA ICB - 84H (84H)Oxford Hip Score</v>
      </c>
      <c r="C287" t="s">
        <v>749</v>
      </c>
      <c r="D287" t="s">
        <v>1021</v>
      </c>
      <c r="E287" t="s">
        <v>897</v>
      </c>
      <c r="F287" t="s">
        <v>898</v>
      </c>
      <c r="G287" t="s">
        <v>964</v>
      </c>
      <c r="H287">
        <v>273</v>
      </c>
      <c r="I287">
        <v>16.238099999999999</v>
      </c>
      <c r="J287">
        <v>39.586100000000002</v>
      </c>
      <c r="K287">
        <v>23.347999999999999</v>
      </c>
      <c r="L287">
        <v>267</v>
      </c>
      <c r="M287">
        <v>0</v>
      </c>
      <c r="N287">
        <v>6</v>
      </c>
      <c r="O287">
        <v>40.1616</v>
      </c>
      <c r="P287">
        <v>23.077300000000001</v>
      </c>
      <c r="Q287">
        <v>8.6097000000000001</v>
      </c>
    </row>
    <row r="288" spans="1:17" x14ac:dyDescent="0.25">
      <c r="A288" t="str">
        <f>IF(C288&amp;G288&amp;D288&lt;&gt;'Funnel setup'!$K$3&amp;'Funnel setup'!$K$4&amp;'Funnel setup'!$K$6,".",IF(A287=".",1,A287+1))</f>
        <v>.</v>
      </c>
      <c r="B288" s="244" t="str">
        <f t="shared" si="4"/>
        <v>Hip Replacement PrimarySub-ICB of GP PracticeNHS NORTH EAST AND NORTH CUMBRIA ICB - 99C (99C)Oxford Hip Score</v>
      </c>
      <c r="C288" t="s">
        <v>749</v>
      </c>
      <c r="D288" t="s">
        <v>1021</v>
      </c>
      <c r="E288" t="s">
        <v>899</v>
      </c>
      <c r="F288" t="s">
        <v>900</v>
      </c>
      <c r="G288" t="s">
        <v>964</v>
      </c>
      <c r="H288">
        <v>77</v>
      </c>
      <c r="I288">
        <v>16.883099999999999</v>
      </c>
      <c r="J288">
        <v>40.285699999999999</v>
      </c>
      <c r="K288">
        <v>23.4026</v>
      </c>
      <c r="L288">
        <v>75</v>
      </c>
      <c r="M288">
        <v>0</v>
      </c>
      <c r="N288">
        <v>2</v>
      </c>
      <c r="O288">
        <v>40.365000000000002</v>
      </c>
      <c r="P288">
        <v>23.2807</v>
      </c>
      <c r="Q288">
        <v>7.6078400000000004</v>
      </c>
    </row>
    <row r="289" spans="1:17" x14ac:dyDescent="0.25">
      <c r="A289" t="str">
        <f>IF(C289&amp;G289&amp;D289&lt;&gt;'Funnel setup'!$K$3&amp;'Funnel setup'!$K$4&amp;'Funnel setup'!$K$6,".",IF(A288=".",1,A288+1))</f>
        <v>.</v>
      </c>
      <c r="B289" s="244" t="str">
        <f t="shared" si="4"/>
        <v>Hip Replacement PrimarySub-ICB of GP PracticeNHS NORTH EAST LONDON ICB - A3A8R (A3A8R)Oxford Hip Score</v>
      </c>
      <c r="C289" t="s">
        <v>749</v>
      </c>
      <c r="D289" t="s">
        <v>1021</v>
      </c>
      <c r="E289" t="s">
        <v>901</v>
      </c>
      <c r="F289" t="s">
        <v>902</v>
      </c>
      <c r="G289" t="s">
        <v>964</v>
      </c>
      <c r="H289">
        <v>168</v>
      </c>
      <c r="I289">
        <v>16.0595</v>
      </c>
      <c r="J289">
        <v>36.982100000000003</v>
      </c>
      <c r="K289">
        <v>20.922599999999999</v>
      </c>
      <c r="L289">
        <v>162</v>
      </c>
      <c r="M289">
        <v>0</v>
      </c>
      <c r="N289">
        <v>6</v>
      </c>
      <c r="O289">
        <v>38.209499999999998</v>
      </c>
      <c r="P289">
        <v>21.1252</v>
      </c>
      <c r="Q289">
        <v>8.9098199999999999</v>
      </c>
    </row>
    <row r="290" spans="1:17" x14ac:dyDescent="0.25">
      <c r="A290" t="str">
        <f>IF(C290&amp;G290&amp;D290&lt;&gt;'Funnel setup'!$K$3&amp;'Funnel setup'!$K$4&amp;'Funnel setup'!$K$6,".",IF(A289=".",1,A289+1))</f>
        <v>.</v>
      </c>
      <c r="B290" s="244" t="str">
        <f t="shared" si="4"/>
        <v>Hip Replacement PrimarySub-ICB of GP PracticeNHS NORTH WEST LONDON ICB - W2U3Z (W2U3Z)Oxford Hip Score</v>
      </c>
      <c r="C290" t="s">
        <v>749</v>
      </c>
      <c r="D290" t="s">
        <v>1021</v>
      </c>
      <c r="E290" t="s">
        <v>903</v>
      </c>
      <c r="F290" t="s">
        <v>904</v>
      </c>
      <c r="G290" t="s">
        <v>964</v>
      </c>
      <c r="H290">
        <v>155</v>
      </c>
      <c r="I290">
        <v>18.245200000000001</v>
      </c>
      <c r="J290">
        <v>40.658099999999997</v>
      </c>
      <c r="K290">
        <v>22.4129</v>
      </c>
      <c r="L290">
        <v>152</v>
      </c>
      <c r="M290">
        <v>0</v>
      </c>
      <c r="N290">
        <v>3</v>
      </c>
      <c r="O290">
        <v>40.656500000000001</v>
      </c>
      <c r="P290">
        <v>23.572199999999999</v>
      </c>
      <c r="Q290">
        <v>7.3798399999999997</v>
      </c>
    </row>
    <row r="291" spans="1:17" x14ac:dyDescent="0.25">
      <c r="A291" t="str">
        <f>IF(C291&amp;G291&amp;D291&lt;&gt;'Funnel setup'!$K$3&amp;'Funnel setup'!$K$4&amp;'Funnel setup'!$K$6,".",IF(A290=".",1,A290+1))</f>
        <v>.</v>
      </c>
      <c r="B291" s="244" t="str">
        <f t="shared" si="4"/>
        <v>Hip Replacement PrimarySub-ICB of GP PracticeNHS NORTHAMPTONSHIRE ICB - 78H (78H)Oxford Hip Score</v>
      </c>
      <c r="C291" t="s">
        <v>749</v>
      </c>
      <c r="D291" t="s">
        <v>1021</v>
      </c>
      <c r="E291" t="s">
        <v>905</v>
      </c>
      <c r="F291" t="s">
        <v>906</v>
      </c>
      <c r="G291" t="s">
        <v>964</v>
      </c>
      <c r="H291">
        <v>250</v>
      </c>
      <c r="I291">
        <v>15.804</v>
      </c>
      <c r="J291">
        <v>39.152000000000001</v>
      </c>
      <c r="K291">
        <v>23.347999999999999</v>
      </c>
      <c r="L291">
        <v>242</v>
      </c>
      <c r="M291">
        <v>0</v>
      </c>
      <c r="N291">
        <v>8</v>
      </c>
      <c r="O291">
        <v>39.290199999999999</v>
      </c>
      <c r="P291">
        <v>22.2059</v>
      </c>
      <c r="Q291">
        <v>8.8009000000000004</v>
      </c>
    </row>
    <row r="292" spans="1:17" x14ac:dyDescent="0.25">
      <c r="A292" t="str">
        <f>IF(C292&amp;G292&amp;D292&lt;&gt;'Funnel setup'!$K$3&amp;'Funnel setup'!$K$4&amp;'Funnel setup'!$K$6,".",IF(A291=".",1,A291+1))</f>
        <v>.</v>
      </c>
      <c r="B292" s="244" t="str">
        <f t="shared" si="4"/>
        <v>Hip Replacement PrimarySub-ICB of GP PracticeNHS NOTTINGHAM AND NOTTINGHAMSHIRE ICB - 02Q (02Q)Oxford Hip Score</v>
      </c>
      <c r="C292" t="s">
        <v>749</v>
      </c>
      <c r="D292" t="s">
        <v>1021</v>
      </c>
      <c r="E292" t="s">
        <v>907</v>
      </c>
      <c r="F292" t="s">
        <v>908</v>
      </c>
      <c r="G292" t="s">
        <v>964</v>
      </c>
      <c r="H292">
        <v>51</v>
      </c>
      <c r="I292">
        <v>14.8627</v>
      </c>
      <c r="J292">
        <v>38.078400000000002</v>
      </c>
      <c r="K292">
        <v>23.215699999999998</v>
      </c>
      <c r="L292">
        <v>49</v>
      </c>
      <c r="M292">
        <v>0</v>
      </c>
      <c r="N292">
        <v>2</v>
      </c>
      <c r="O292">
        <v>39.452500000000001</v>
      </c>
      <c r="P292">
        <v>22.368200000000002</v>
      </c>
      <c r="Q292">
        <v>7.9207000000000001</v>
      </c>
    </row>
    <row r="293" spans="1:17" x14ac:dyDescent="0.25">
      <c r="A293" t="str">
        <f>IF(C293&amp;G293&amp;D293&lt;&gt;'Funnel setup'!$K$3&amp;'Funnel setup'!$K$4&amp;'Funnel setup'!$K$6,".",IF(A292=".",1,A292+1))</f>
        <v>.</v>
      </c>
      <c r="B293" s="244" t="str">
        <f t="shared" si="4"/>
        <v>Hip Replacement PrimarySub-ICB of GP PracticeNHS NOTTINGHAM AND NOTTINGHAMSHIRE ICB - 52R (52R)Oxford Hip Score</v>
      </c>
      <c r="C293" t="s">
        <v>749</v>
      </c>
      <c r="D293" t="s">
        <v>1021</v>
      </c>
      <c r="E293" t="s">
        <v>909</v>
      </c>
      <c r="F293" t="s">
        <v>910</v>
      </c>
      <c r="G293" t="s">
        <v>964</v>
      </c>
      <c r="H293">
        <v>149</v>
      </c>
      <c r="I293">
        <v>15.2819</v>
      </c>
      <c r="J293">
        <v>39.228200000000001</v>
      </c>
      <c r="K293">
        <v>23.946300000000001</v>
      </c>
      <c r="L293">
        <v>147</v>
      </c>
      <c r="M293">
        <v>0</v>
      </c>
      <c r="N293">
        <v>2</v>
      </c>
      <c r="O293">
        <v>39.709299999999999</v>
      </c>
      <c r="P293">
        <v>22.625</v>
      </c>
      <c r="Q293">
        <v>7.7839499999999999</v>
      </c>
    </row>
    <row r="294" spans="1:17" x14ac:dyDescent="0.25">
      <c r="A294" t="str">
        <f>IF(C294&amp;G294&amp;D294&lt;&gt;'Funnel setup'!$K$3&amp;'Funnel setup'!$K$4&amp;'Funnel setup'!$K$6,".",IF(A293=".",1,A293+1))</f>
        <v>.</v>
      </c>
      <c r="B294" s="244" t="str">
        <f t="shared" si="4"/>
        <v>Hip Replacement PrimarySub-ICB of GP PracticeNHS SHROPSHIRE, TELFORD AND WREKIN ICB - M2L0M (M2L0M)Oxford Hip Score</v>
      </c>
      <c r="C294" t="s">
        <v>749</v>
      </c>
      <c r="D294" t="s">
        <v>1021</v>
      </c>
      <c r="E294" t="s">
        <v>911</v>
      </c>
      <c r="F294" t="s">
        <v>912</v>
      </c>
      <c r="G294" t="s">
        <v>964</v>
      </c>
      <c r="H294">
        <v>264</v>
      </c>
      <c r="I294">
        <v>12.8902</v>
      </c>
      <c r="J294">
        <v>40.2727</v>
      </c>
      <c r="K294">
        <v>27.3826</v>
      </c>
      <c r="L294">
        <v>263</v>
      </c>
      <c r="M294">
        <v>0</v>
      </c>
      <c r="N294">
        <v>1</v>
      </c>
      <c r="O294">
        <v>41.8536</v>
      </c>
      <c r="P294">
        <v>24.769300000000001</v>
      </c>
      <c r="Q294">
        <v>7.8282499999999997</v>
      </c>
    </row>
    <row r="295" spans="1:17" x14ac:dyDescent="0.25">
      <c r="A295" t="str">
        <f>IF(C295&amp;G295&amp;D295&lt;&gt;'Funnel setup'!$K$3&amp;'Funnel setup'!$K$4&amp;'Funnel setup'!$K$6,".",IF(A294=".",1,A294+1))</f>
        <v>.</v>
      </c>
      <c r="B295" s="244" t="str">
        <f t="shared" si="4"/>
        <v>Hip Replacement PrimarySub-ICB of GP PracticeNHS SOMERSET ICB - 11X (11X)Oxford Hip Score</v>
      </c>
      <c r="C295" t="s">
        <v>749</v>
      </c>
      <c r="D295" t="s">
        <v>1021</v>
      </c>
      <c r="E295" t="s">
        <v>913</v>
      </c>
      <c r="F295" t="s">
        <v>914</v>
      </c>
      <c r="G295" t="s">
        <v>964</v>
      </c>
      <c r="H295">
        <v>255</v>
      </c>
      <c r="I295">
        <v>18.145099999999999</v>
      </c>
      <c r="J295">
        <v>42.031399999999998</v>
      </c>
      <c r="K295">
        <v>23.886299999999999</v>
      </c>
      <c r="L295">
        <v>253</v>
      </c>
      <c r="M295">
        <v>0</v>
      </c>
      <c r="N295">
        <v>2</v>
      </c>
      <c r="O295">
        <v>41.064999999999998</v>
      </c>
      <c r="P295">
        <v>23.980699999999999</v>
      </c>
      <c r="Q295">
        <v>7.14466</v>
      </c>
    </row>
    <row r="296" spans="1:17" x14ac:dyDescent="0.25">
      <c r="A296" t="str">
        <f>IF(C296&amp;G296&amp;D296&lt;&gt;'Funnel setup'!$K$3&amp;'Funnel setup'!$K$4&amp;'Funnel setup'!$K$6,".",IF(A295=".",1,A295+1))</f>
        <v>.</v>
      </c>
      <c r="B296" s="244" t="str">
        <f t="shared" si="4"/>
        <v>Hip Replacement PrimarySub-ICB of GP PracticeNHS SOUTH EAST LONDON ICB - 72Q (72Q)Oxford Hip Score</v>
      </c>
      <c r="C296" t="s">
        <v>749</v>
      </c>
      <c r="D296" t="s">
        <v>1021</v>
      </c>
      <c r="E296" t="s">
        <v>915</v>
      </c>
      <c r="F296" t="s">
        <v>916</v>
      </c>
      <c r="G296" t="s">
        <v>964</v>
      </c>
      <c r="H296">
        <v>138</v>
      </c>
      <c r="I296">
        <v>18.224599999999999</v>
      </c>
      <c r="J296">
        <v>39.434800000000003</v>
      </c>
      <c r="K296">
        <v>21.210100000000001</v>
      </c>
      <c r="L296">
        <v>134</v>
      </c>
      <c r="M296">
        <v>1</v>
      </c>
      <c r="N296">
        <v>3</v>
      </c>
      <c r="O296">
        <v>39.0777</v>
      </c>
      <c r="P296">
        <v>21.993400000000001</v>
      </c>
      <c r="Q296">
        <v>8.6676099999999998</v>
      </c>
    </row>
    <row r="297" spans="1:17" x14ac:dyDescent="0.25">
      <c r="A297" t="str">
        <f>IF(C297&amp;G297&amp;D297&lt;&gt;'Funnel setup'!$K$3&amp;'Funnel setup'!$K$4&amp;'Funnel setup'!$K$6,".",IF(A296=".",1,A296+1))</f>
        <v>.</v>
      </c>
      <c r="B297" s="244" t="str">
        <f t="shared" si="4"/>
        <v>Hip Replacement PrimarySub-ICB of GP PracticeNHS SOUTH WEST LONDON ICB - 36L (36L)Oxford Hip Score</v>
      </c>
      <c r="C297" t="s">
        <v>749</v>
      </c>
      <c r="D297" t="s">
        <v>1021</v>
      </c>
      <c r="E297" t="s">
        <v>917</v>
      </c>
      <c r="F297" t="s">
        <v>918</v>
      </c>
      <c r="G297" t="s">
        <v>964</v>
      </c>
      <c r="H297">
        <v>385</v>
      </c>
      <c r="I297">
        <v>18.755800000000001</v>
      </c>
      <c r="J297">
        <v>39.826000000000001</v>
      </c>
      <c r="K297">
        <v>21.0701</v>
      </c>
      <c r="L297">
        <v>377</v>
      </c>
      <c r="M297">
        <v>0</v>
      </c>
      <c r="N297">
        <v>8</v>
      </c>
      <c r="O297">
        <v>39.355499999999999</v>
      </c>
      <c r="P297">
        <v>22.2712</v>
      </c>
      <c r="Q297">
        <v>7.8568300000000004</v>
      </c>
    </row>
    <row r="298" spans="1:17" x14ac:dyDescent="0.25">
      <c r="A298" t="str">
        <f>IF(C298&amp;G298&amp;D298&lt;&gt;'Funnel setup'!$K$3&amp;'Funnel setup'!$K$4&amp;'Funnel setup'!$K$6,".",IF(A297=".",1,A297+1))</f>
        <v>.</v>
      </c>
      <c r="B298" s="244" t="str">
        <f t="shared" si="4"/>
        <v>Hip Replacement PrimarySub-ICB of GP PracticeNHS SOUTH YORKSHIRE ICB - 02P (02P)Oxford Hip Score</v>
      </c>
      <c r="C298" t="s">
        <v>749</v>
      </c>
      <c r="D298" t="s">
        <v>1021</v>
      </c>
      <c r="E298" t="s">
        <v>919</v>
      </c>
      <c r="F298" t="s">
        <v>920</v>
      </c>
      <c r="G298" t="s">
        <v>964</v>
      </c>
      <c r="H298">
        <v>46</v>
      </c>
      <c r="I298">
        <v>13.434799999999999</v>
      </c>
      <c r="J298">
        <v>36.434800000000003</v>
      </c>
      <c r="K298">
        <v>23</v>
      </c>
      <c r="L298">
        <v>44</v>
      </c>
      <c r="M298">
        <v>0</v>
      </c>
      <c r="N298">
        <v>2</v>
      </c>
      <c r="O298">
        <v>39.167200000000001</v>
      </c>
      <c r="P298">
        <v>22.082899999999999</v>
      </c>
      <c r="Q298">
        <v>9.0043600000000001</v>
      </c>
    </row>
    <row r="299" spans="1:17" x14ac:dyDescent="0.25">
      <c r="A299" t="str">
        <f>IF(C299&amp;G299&amp;D299&lt;&gt;'Funnel setup'!$K$3&amp;'Funnel setup'!$K$4&amp;'Funnel setup'!$K$6,".",IF(A298=".",1,A298+1))</f>
        <v>.</v>
      </c>
      <c r="B299" s="244" t="str">
        <f t="shared" si="4"/>
        <v>Hip Replacement PrimarySub-ICB of GP PracticeNHS SOUTH YORKSHIRE ICB - 02X (02X)Oxford Hip Score</v>
      </c>
      <c r="C299" t="s">
        <v>749</v>
      </c>
      <c r="D299" t="s">
        <v>1021</v>
      </c>
      <c r="E299" t="s">
        <v>921</v>
      </c>
      <c r="F299" t="s">
        <v>922</v>
      </c>
      <c r="G299" t="s">
        <v>964</v>
      </c>
      <c r="H299">
        <v>88</v>
      </c>
      <c r="I299">
        <v>15.454499999999999</v>
      </c>
      <c r="J299">
        <v>37.75</v>
      </c>
      <c r="K299">
        <v>22.295500000000001</v>
      </c>
      <c r="L299">
        <v>81</v>
      </c>
      <c r="M299">
        <v>0</v>
      </c>
      <c r="N299">
        <v>7</v>
      </c>
      <c r="O299">
        <v>38.237499999999997</v>
      </c>
      <c r="P299">
        <v>21.153199999999998</v>
      </c>
      <c r="Q299">
        <v>10.308</v>
      </c>
    </row>
    <row r="300" spans="1:17" x14ac:dyDescent="0.25">
      <c r="A300" t="str">
        <f>IF(C300&amp;G300&amp;D300&lt;&gt;'Funnel setup'!$K$3&amp;'Funnel setup'!$K$4&amp;'Funnel setup'!$K$6,".",IF(A299=".",1,A299+1))</f>
        <v>.</v>
      </c>
      <c r="B300" s="244" t="str">
        <f t="shared" si="4"/>
        <v>Hip Replacement PrimarySub-ICB of GP PracticeNHS SOUTH YORKSHIRE ICB - 03L (03L)Oxford Hip Score</v>
      </c>
      <c r="C300" t="s">
        <v>749</v>
      </c>
      <c r="D300" t="s">
        <v>1021</v>
      </c>
      <c r="E300" t="s">
        <v>923</v>
      </c>
      <c r="F300" t="s">
        <v>924</v>
      </c>
      <c r="G300" t="s">
        <v>964</v>
      </c>
      <c r="H300">
        <v>39</v>
      </c>
      <c r="I300">
        <v>16.5641</v>
      </c>
      <c r="J300">
        <v>38.692300000000003</v>
      </c>
      <c r="K300">
        <v>22.1282</v>
      </c>
      <c r="L300">
        <v>39</v>
      </c>
      <c r="M300">
        <v>0</v>
      </c>
      <c r="N300">
        <v>0</v>
      </c>
      <c r="O300">
        <v>39.604199999999999</v>
      </c>
      <c r="P300">
        <v>22.5199</v>
      </c>
      <c r="Q300">
        <v>9.14649</v>
      </c>
    </row>
    <row r="301" spans="1:17" x14ac:dyDescent="0.25">
      <c r="A301" t="str">
        <f>IF(C301&amp;G301&amp;D301&lt;&gt;'Funnel setup'!$K$3&amp;'Funnel setup'!$K$4&amp;'Funnel setup'!$K$6,".",IF(A300=".",1,A300+1))</f>
        <v>.</v>
      </c>
      <c r="B301" s="244" t="str">
        <f t="shared" si="4"/>
        <v>Hip Replacement PrimarySub-ICB of GP PracticeNHS SOUTH YORKSHIRE ICB - 03N (03N)Oxford Hip Score</v>
      </c>
      <c r="C301" t="s">
        <v>749</v>
      </c>
      <c r="D301" t="s">
        <v>1021</v>
      </c>
      <c r="E301" t="s">
        <v>925</v>
      </c>
      <c r="F301" t="s">
        <v>926</v>
      </c>
      <c r="G301" t="s">
        <v>964</v>
      </c>
      <c r="H301">
        <v>34</v>
      </c>
      <c r="I301">
        <v>18.176500000000001</v>
      </c>
      <c r="J301">
        <v>41.352899999999998</v>
      </c>
      <c r="K301">
        <v>23.176500000000001</v>
      </c>
      <c r="L301">
        <v>33</v>
      </c>
      <c r="M301">
        <v>0</v>
      </c>
      <c r="N301">
        <v>1</v>
      </c>
      <c r="O301">
        <v>40.602400000000003</v>
      </c>
      <c r="P301">
        <v>23.5181</v>
      </c>
      <c r="Q301">
        <v>7.7976200000000002</v>
      </c>
    </row>
    <row r="302" spans="1:17" x14ac:dyDescent="0.25">
      <c r="A302" t="str">
        <f>IF(C302&amp;G302&amp;D302&lt;&gt;'Funnel setup'!$K$3&amp;'Funnel setup'!$K$4&amp;'Funnel setup'!$K$6,".",IF(A301=".",1,A301+1))</f>
        <v>.</v>
      </c>
      <c r="B302" s="244" t="str">
        <f t="shared" si="4"/>
        <v>Hip Replacement PrimarySub-ICB of GP PracticeNHS STAFFORDSHIRE AND STOKE-ON-TRENT ICB - 04Y (04Y)Oxford Hip Score</v>
      </c>
      <c r="C302" t="s">
        <v>749</v>
      </c>
      <c r="D302" t="s">
        <v>1021</v>
      </c>
      <c r="E302" t="s">
        <v>927</v>
      </c>
      <c r="F302" t="s">
        <v>928</v>
      </c>
      <c r="G302" t="s">
        <v>964</v>
      </c>
      <c r="H302">
        <v>32</v>
      </c>
      <c r="I302">
        <v>18.4375</v>
      </c>
      <c r="J302">
        <v>41.3125</v>
      </c>
      <c r="K302">
        <v>22.875</v>
      </c>
      <c r="L302">
        <v>32</v>
      </c>
      <c r="M302">
        <v>0</v>
      </c>
      <c r="N302">
        <v>0</v>
      </c>
      <c r="O302">
        <v>40.781999999999996</v>
      </c>
      <c r="P302">
        <v>23.697700000000001</v>
      </c>
      <c r="Q302">
        <v>6.2937900000000004</v>
      </c>
    </row>
    <row r="303" spans="1:17" x14ac:dyDescent="0.25">
      <c r="A303" t="str">
        <f>IF(C303&amp;G303&amp;D303&lt;&gt;'Funnel setup'!$K$3&amp;'Funnel setup'!$K$4&amp;'Funnel setup'!$K$6,".",IF(A302=".",1,A302+1))</f>
        <v>.</v>
      </c>
      <c r="B303" s="244" t="str">
        <f t="shared" si="4"/>
        <v>Hip Replacement PrimarySub-ICB of GP PracticeNHS STAFFORDSHIRE AND STOKE-ON-TRENT ICB - 05D (05D)Oxford Hip Score</v>
      </c>
      <c r="C303" t="s">
        <v>749</v>
      </c>
      <c r="D303" t="s">
        <v>1021</v>
      </c>
      <c r="E303" t="s">
        <v>929</v>
      </c>
      <c r="F303" t="s">
        <v>930</v>
      </c>
      <c r="G303" t="s">
        <v>964</v>
      </c>
      <c r="H303">
        <v>54</v>
      </c>
      <c r="I303">
        <v>17.9815</v>
      </c>
      <c r="J303">
        <v>39.722200000000001</v>
      </c>
      <c r="K303">
        <v>21.7407</v>
      </c>
      <c r="L303">
        <v>53</v>
      </c>
      <c r="M303">
        <v>0</v>
      </c>
      <c r="N303">
        <v>1</v>
      </c>
      <c r="O303">
        <v>39.958799999999997</v>
      </c>
      <c r="P303">
        <v>22.874500000000001</v>
      </c>
      <c r="Q303">
        <v>7.2193899999999998</v>
      </c>
    </row>
    <row r="304" spans="1:17" x14ac:dyDescent="0.25">
      <c r="A304" t="str">
        <f>IF(C304&amp;G304&amp;D304&lt;&gt;'Funnel setup'!$K$3&amp;'Funnel setup'!$K$4&amp;'Funnel setup'!$K$6,".",IF(A303=".",1,A303+1))</f>
        <v>.</v>
      </c>
      <c r="B304" s="244" t="str">
        <f t="shared" si="4"/>
        <v>Hip Replacement PrimarySub-ICB of GP PracticeNHS STAFFORDSHIRE AND STOKE-ON-TRENT ICB - 05G (05G)Oxford Hip Score</v>
      </c>
      <c r="C304" t="s">
        <v>749</v>
      </c>
      <c r="D304" t="s">
        <v>1021</v>
      </c>
      <c r="E304" t="s">
        <v>931</v>
      </c>
      <c r="F304" t="s">
        <v>932</v>
      </c>
      <c r="G304" t="s">
        <v>964</v>
      </c>
      <c r="H304">
        <v>45</v>
      </c>
      <c r="I304">
        <v>15.5778</v>
      </c>
      <c r="J304">
        <v>37.933300000000003</v>
      </c>
      <c r="K304">
        <v>22.355599999999999</v>
      </c>
      <c r="L304">
        <v>43</v>
      </c>
      <c r="M304">
        <v>0</v>
      </c>
      <c r="N304">
        <v>2</v>
      </c>
      <c r="O304">
        <v>38.305900000000001</v>
      </c>
      <c r="P304">
        <v>21.221599999999999</v>
      </c>
      <c r="Q304">
        <v>9.9335000000000004</v>
      </c>
    </row>
    <row r="305" spans="1:17" x14ac:dyDescent="0.25">
      <c r="A305" t="str">
        <f>IF(C305&amp;G305&amp;D305&lt;&gt;'Funnel setup'!$K$3&amp;'Funnel setup'!$K$4&amp;'Funnel setup'!$K$6,".",IF(A304=".",1,A304+1))</f>
        <v>.</v>
      </c>
      <c r="B305" s="244" t="str">
        <f t="shared" si="4"/>
        <v>Hip Replacement PrimarySub-ICB of GP PracticeNHS STAFFORDSHIRE AND STOKE-ON-TRENT ICB - 05Q (05Q)Oxford Hip Score</v>
      </c>
      <c r="C305" t="s">
        <v>749</v>
      </c>
      <c r="D305" t="s">
        <v>1021</v>
      </c>
      <c r="E305" t="s">
        <v>933</v>
      </c>
      <c r="F305" t="s">
        <v>934</v>
      </c>
      <c r="G305" t="s">
        <v>964</v>
      </c>
      <c r="H305">
        <v>71</v>
      </c>
      <c r="I305">
        <v>18.5915</v>
      </c>
      <c r="J305">
        <v>38.394399999999997</v>
      </c>
      <c r="K305">
        <v>19.802800000000001</v>
      </c>
      <c r="L305">
        <v>66</v>
      </c>
      <c r="M305">
        <v>0</v>
      </c>
      <c r="N305">
        <v>5</v>
      </c>
      <c r="O305">
        <v>37.966999999999999</v>
      </c>
      <c r="P305">
        <v>20.8827</v>
      </c>
      <c r="Q305">
        <v>8.67624</v>
      </c>
    </row>
    <row r="306" spans="1:17" x14ac:dyDescent="0.25">
      <c r="A306" t="str">
        <f>IF(C306&amp;G306&amp;D306&lt;&gt;'Funnel setup'!$K$3&amp;'Funnel setup'!$K$4&amp;'Funnel setup'!$K$6,".",IF(A305=".",1,A305+1))</f>
        <v>.</v>
      </c>
      <c r="B306" s="244" t="str">
        <f t="shared" si="4"/>
        <v>Hip Replacement PrimarySub-ICB of GP PracticeNHS STAFFORDSHIRE AND STOKE-ON-TRENT ICB - 05V (05V)Oxford Hip Score</v>
      </c>
      <c r="C306" t="s">
        <v>749</v>
      </c>
      <c r="D306" t="s">
        <v>1021</v>
      </c>
      <c r="E306" t="s">
        <v>935</v>
      </c>
      <c r="F306" t="s">
        <v>936</v>
      </c>
      <c r="G306" t="s">
        <v>964</v>
      </c>
      <c r="H306">
        <v>61</v>
      </c>
      <c r="I306">
        <v>19.786899999999999</v>
      </c>
      <c r="J306">
        <v>42.950800000000001</v>
      </c>
      <c r="K306">
        <v>23.163900000000002</v>
      </c>
      <c r="L306">
        <v>61</v>
      </c>
      <c r="M306">
        <v>0</v>
      </c>
      <c r="N306">
        <v>0</v>
      </c>
      <c r="O306">
        <v>41.440199999999997</v>
      </c>
      <c r="P306">
        <v>24.355899999999998</v>
      </c>
      <c r="Q306">
        <v>5.8588500000000003</v>
      </c>
    </row>
    <row r="307" spans="1:17" x14ac:dyDescent="0.25">
      <c r="A307" t="str">
        <f>IF(C307&amp;G307&amp;D307&lt;&gt;'Funnel setup'!$K$3&amp;'Funnel setup'!$K$4&amp;'Funnel setup'!$K$6,".",IF(A306=".",1,A306+1))</f>
        <v>.</v>
      </c>
      <c r="B307" s="244" t="str">
        <f t="shared" si="4"/>
        <v>Hip Replacement PrimarySub-ICB of GP PracticeNHS STAFFORDSHIRE AND STOKE-ON-TRENT ICB - 05W (05W)Oxford Hip Score</v>
      </c>
      <c r="C307" t="s">
        <v>749</v>
      </c>
      <c r="D307" t="s">
        <v>1021</v>
      </c>
      <c r="E307" t="s">
        <v>937</v>
      </c>
      <c r="F307" t="s">
        <v>938</v>
      </c>
      <c r="G307" t="s">
        <v>964</v>
      </c>
      <c r="H307">
        <v>35</v>
      </c>
      <c r="I307">
        <v>15.142899999999999</v>
      </c>
      <c r="J307">
        <v>40.628599999999999</v>
      </c>
      <c r="K307">
        <v>25.485700000000001</v>
      </c>
      <c r="L307">
        <v>35</v>
      </c>
      <c r="M307">
        <v>0</v>
      </c>
      <c r="N307">
        <v>0</v>
      </c>
      <c r="O307">
        <v>41.985199999999999</v>
      </c>
      <c r="P307">
        <v>24.9009</v>
      </c>
      <c r="Q307">
        <v>6.1118300000000003</v>
      </c>
    </row>
    <row r="308" spans="1:17" x14ac:dyDescent="0.25">
      <c r="A308" t="str">
        <f>IF(C308&amp;G308&amp;D308&lt;&gt;'Funnel setup'!$K$3&amp;'Funnel setup'!$K$4&amp;'Funnel setup'!$K$6,".",IF(A307=".",1,A307+1))</f>
        <v>.</v>
      </c>
      <c r="B308" s="244" t="str">
        <f t="shared" si="4"/>
        <v>Hip Replacement PrimarySub-ICB of GP PracticeNHS SUFFOLK AND NORTH EAST ESSEX ICB - 06L (06L)Oxford Hip Score</v>
      </c>
      <c r="C308" t="s">
        <v>749</v>
      </c>
      <c r="D308" t="s">
        <v>1021</v>
      </c>
      <c r="E308" t="s">
        <v>939</v>
      </c>
      <c r="F308" t="s">
        <v>940</v>
      </c>
      <c r="G308" t="s">
        <v>964</v>
      </c>
      <c r="H308">
        <v>148</v>
      </c>
      <c r="I308">
        <v>14.533799999999999</v>
      </c>
      <c r="J308">
        <v>39.527000000000001</v>
      </c>
      <c r="K308">
        <v>24.993200000000002</v>
      </c>
      <c r="L308">
        <v>147</v>
      </c>
      <c r="M308">
        <v>0</v>
      </c>
      <c r="N308">
        <v>1</v>
      </c>
      <c r="O308">
        <v>40.398899999999998</v>
      </c>
      <c r="P308">
        <v>23.314599999999999</v>
      </c>
      <c r="Q308">
        <v>7.7879300000000002</v>
      </c>
    </row>
    <row r="309" spans="1:17" x14ac:dyDescent="0.25">
      <c r="A309" t="str">
        <f>IF(C309&amp;G309&amp;D309&lt;&gt;'Funnel setup'!$K$3&amp;'Funnel setup'!$K$4&amp;'Funnel setup'!$K$6,".",IF(A308=".",1,A308+1))</f>
        <v>.</v>
      </c>
      <c r="B309" s="244" t="str">
        <f t="shared" si="4"/>
        <v>Hip Replacement PrimarySub-ICB of GP PracticeNHS SUFFOLK AND NORTH EAST ESSEX ICB - 06T (06T)Oxford Hip Score</v>
      </c>
      <c r="C309" t="s">
        <v>749</v>
      </c>
      <c r="D309" t="s">
        <v>1021</v>
      </c>
      <c r="E309" t="s">
        <v>941</v>
      </c>
      <c r="F309" t="s">
        <v>942</v>
      </c>
      <c r="G309" t="s">
        <v>964</v>
      </c>
      <c r="H309">
        <v>35</v>
      </c>
      <c r="I309">
        <v>16.6571</v>
      </c>
      <c r="J309">
        <v>39.1143</v>
      </c>
      <c r="K309">
        <v>22.457100000000001</v>
      </c>
      <c r="L309">
        <v>34</v>
      </c>
      <c r="M309">
        <v>0</v>
      </c>
      <c r="N309">
        <v>1</v>
      </c>
      <c r="O309">
        <v>39.590600000000002</v>
      </c>
      <c r="P309">
        <v>22.5063</v>
      </c>
      <c r="Q309">
        <v>6.7910199999999996</v>
      </c>
    </row>
    <row r="310" spans="1:17" x14ac:dyDescent="0.25">
      <c r="A310" t="str">
        <f>IF(C310&amp;G310&amp;D310&lt;&gt;'Funnel setup'!$K$3&amp;'Funnel setup'!$K$4&amp;'Funnel setup'!$K$6,".",IF(A309=".",1,A309+1))</f>
        <v>.</v>
      </c>
      <c r="B310" s="244" t="str">
        <f t="shared" si="4"/>
        <v>Hip Replacement PrimarySub-ICB of GP PracticeNHS SUFFOLK AND NORTH EAST ESSEX ICB - 07K (07K)Oxford Hip Score</v>
      </c>
      <c r="C310" t="s">
        <v>749</v>
      </c>
      <c r="D310" t="s">
        <v>1021</v>
      </c>
      <c r="E310" t="s">
        <v>943</v>
      </c>
      <c r="F310" t="s">
        <v>944</v>
      </c>
      <c r="G310" t="s">
        <v>964</v>
      </c>
      <c r="H310">
        <v>126</v>
      </c>
      <c r="I310">
        <v>14.5397</v>
      </c>
      <c r="J310">
        <v>37.968299999999999</v>
      </c>
      <c r="K310">
        <v>23.428599999999999</v>
      </c>
      <c r="L310">
        <v>121</v>
      </c>
      <c r="M310">
        <v>1</v>
      </c>
      <c r="N310">
        <v>4</v>
      </c>
      <c r="O310">
        <v>38.564799999999998</v>
      </c>
      <c r="P310">
        <v>21.480499999999999</v>
      </c>
      <c r="Q310">
        <v>9.3737899999999996</v>
      </c>
    </row>
    <row r="311" spans="1:17" x14ac:dyDescent="0.25">
      <c r="A311" t="str">
        <f>IF(C311&amp;G311&amp;D311&lt;&gt;'Funnel setup'!$K$3&amp;'Funnel setup'!$K$4&amp;'Funnel setup'!$K$6,".",IF(A310=".",1,A310+1))</f>
        <v>.</v>
      </c>
      <c r="B311" s="244" t="str">
        <f t="shared" si="4"/>
        <v>Hip Replacement PrimarySub-ICB of GP PracticeNHS SURREY HEARTLANDS ICB - 92A (92A)Oxford Hip Score</v>
      </c>
      <c r="C311" t="s">
        <v>749</v>
      </c>
      <c r="D311" t="s">
        <v>1021</v>
      </c>
      <c r="E311" t="s">
        <v>945</v>
      </c>
      <c r="F311" t="s">
        <v>946</v>
      </c>
      <c r="G311" t="s">
        <v>964</v>
      </c>
      <c r="H311">
        <v>388</v>
      </c>
      <c r="I311">
        <v>19.806699999999999</v>
      </c>
      <c r="J311">
        <v>42.116</v>
      </c>
      <c r="K311">
        <v>22.3093</v>
      </c>
      <c r="L311">
        <v>377</v>
      </c>
      <c r="M311">
        <v>3</v>
      </c>
      <c r="N311">
        <v>8</v>
      </c>
      <c r="O311">
        <v>40.676200000000001</v>
      </c>
      <c r="P311">
        <v>23.591899999999999</v>
      </c>
      <c r="Q311">
        <v>6.5634800000000002</v>
      </c>
    </row>
    <row r="312" spans="1:17" x14ac:dyDescent="0.25">
      <c r="A312" t="str">
        <f>IF(C312&amp;G312&amp;D312&lt;&gt;'Funnel setup'!$K$3&amp;'Funnel setup'!$K$4&amp;'Funnel setup'!$K$6,".",IF(A311=".",1,A311+1))</f>
        <v>.</v>
      </c>
      <c r="B312" s="244" t="str">
        <f t="shared" si="4"/>
        <v>Hip Replacement PrimarySub-ICB of GP PracticeNHS SUSSEX ICB - 09D (09D)Oxford Hip Score</v>
      </c>
      <c r="C312" t="s">
        <v>749</v>
      </c>
      <c r="D312" t="s">
        <v>1021</v>
      </c>
      <c r="E312" t="s">
        <v>947</v>
      </c>
      <c r="F312" t="s">
        <v>948</v>
      </c>
      <c r="G312" t="s">
        <v>964</v>
      </c>
      <c r="H312">
        <v>9</v>
      </c>
      <c r="I312">
        <v>22.1111</v>
      </c>
      <c r="J312">
        <v>41.333300000000001</v>
      </c>
      <c r="K312">
        <v>19.222200000000001</v>
      </c>
      <c r="L312">
        <v>9</v>
      </c>
      <c r="M312">
        <v>0</v>
      </c>
      <c r="N312">
        <v>0</v>
      </c>
      <c r="O312" t="s">
        <v>127</v>
      </c>
      <c r="P312" t="s">
        <v>127</v>
      </c>
      <c r="Q312" t="s">
        <v>127</v>
      </c>
    </row>
    <row r="313" spans="1:17" x14ac:dyDescent="0.25">
      <c r="A313" t="str">
        <f>IF(C313&amp;G313&amp;D313&lt;&gt;'Funnel setup'!$K$3&amp;'Funnel setup'!$K$4&amp;'Funnel setup'!$K$6,".",IF(A312=".",1,A312+1))</f>
        <v>.</v>
      </c>
      <c r="B313" s="244" t="str">
        <f t="shared" si="4"/>
        <v>Hip Replacement PrimarySub-ICB of GP PracticeNHS SUSSEX ICB - 70F (70F)Oxford Hip Score</v>
      </c>
      <c r="C313" t="s">
        <v>749</v>
      </c>
      <c r="D313" t="s">
        <v>1021</v>
      </c>
      <c r="E313" t="s">
        <v>949</v>
      </c>
      <c r="F313" t="s">
        <v>950</v>
      </c>
      <c r="G313" t="s">
        <v>964</v>
      </c>
      <c r="H313">
        <v>268</v>
      </c>
      <c r="I313">
        <v>16.843299999999999</v>
      </c>
      <c r="J313">
        <v>38.652999999999999</v>
      </c>
      <c r="K313">
        <v>21.809699999999999</v>
      </c>
      <c r="L313">
        <v>259</v>
      </c>
      <c r="M313">
        <v>0</v>
      </c>
      <c r="N313">
        <v>9</v>
      </c>
      <c r="O313">
        <v>38.661499999999997</v>
      </c>
      <c r="P313">
        <v>21.577200000000001</v>
      </c>
      <c r="Q313">
        <v>9.0253099999999993</v>
      </c>
    </row>
    <row r="314" spans="1:17" x14ac:dyDescent="0.25">
      <c r="A314" t="str">
        <f>IF(C314&amp;G314&amp;D314&lt;&gt;'Funnel setup'!$K$3&amp;'Funnel setup'!$K$4&amp;'Funnel setup'!$K$6,".",IF(A313=".",1,A313+1))</f>
        <v>.</v>
      </c>
      <c r="B314" s="244" t="str">
        <f t="shared" si="4"/>
        <v>Hip Replacement PrimarySub-ICB of GP PracticeNHS SUSSEX ICB - 97R (97R)Oxford Hip Score</v>
      </c>
      <c r="C314" t="s">
        <v>749</v>
      </c>
      <c r="D314" t="s">
        <v>1021</v>
      </c>
      <c r="E314" t="s">
        <v>951</v>
      </c>
      <c r="F314" t="s">
        <v>952</v>
      </c>
      <c r="G314" t="s">
        <v>964</v>
      </c>
      <c r="H314">
        <v>294</v>
      </c>
      <c r="I314">
        <v>19.173500000000001</v>
      </c>
      <c r="J314">
        <v>41.986400000000003</v>
      </c>
      <c r="K314">
        <v>22.812899999999999</v>
      </c>
      <c r="L314">
        <v>284</v>
      </c>
      <c r="M314">
        <v>3</v>
      </c>
      <c r="N314">
        <v>7</v>
      </c>
      <c r="O314">
        <v>41.338000000000001</v>
      </c>
      <c r="P314">
        <v>24.253699999999998</v>
      </c>
      <c r="Q314">
        <v>7.7751299999999999</v>
      </c>
    </row>
    <row r="315" spans="1:17" x14ac:dyDescent="0.25">
      <c r="A315" t="str">
        <f>IF(C315&amp;G315&amp;D315&lt;&gt;'Funnel setup'!$K$3&amp;'Funnel setup'!$K$4&amp;'Funnel setup'!$K$6,".",IF(A314=".",1,A314+1))</f>
        <v>.</v>
      </c>
      <c r="B315" s="244" t="str">
        <f t="shared" si="4"/>
        <v>Hip Replacement PrimarySub-ICB of GP PracticeNHS WEST YORKSHIRE ICB - 02T (02T)Oxford Hip Score</v>
      </c>
      <c r="C315" t="s">
        <v>749</v>
      </c>
      <c r="D315" t="s">
        <v>1021</v>
      </c>
      <c r="E315" t="s">
        <v>953</v>
      </c>
      <c r="F315" t="s">
        <v>954</v>
      </c>
      <c r="G315" t="s">
        <v>964</v>
      </c>
      <c r="H315">
        <v>62</v>
      </c>
      <c r="I315">
        <v>18.532299999999999</v>
      </c>
      <c r="J315">
        <v>40.661299999999997</v>
      </c>
      <c r="K315">
        <v>22.129000000000001</v>
      </c>
      <c r="L315">
        <v>61</v>
      </c>
      <c r="M315">
        <v>1</v>
      </c>
      <c r="N315">
        <v>0</v>
      </c>
      <c r="O315">
        <v>40.305399999999999</v>
      </c>
      <c r="P315">
        <v>23.2211</v>
      </c>
      <c r="Q315">
        <v>7.8006900000000003</v>
      </c>
    </row>
    <row r="316" spans="1:17" x14ac:dyDescent="0.25">
      <c r="A316" t="str">
        <f>IF(C316&amp;G316&amp;D316&lt;&gt;'Funnel setup'!$K$3&amp;'Funnel setup'!$K$4&amp;'Funnel setup'!$K$6,".",IF(A315=".",1,A315+1))</f>
        <v>.</v>
      </c>
      <c r="B316" s="244" t="str">
        <f t="shared" si="4"/>
        <v>Hip Replacement PrimarySub-ICB of GP PracticeNHS WEST YORKSHIRE ICB - 03R (03R)Oxford Hip Score</v>
      </c>
      <c r="C316" t="s">
        <v>749</v>
      </c>
      <c r="D316" t="s">
        <v>1021</v>
      </c>
      <c r="E316" t="s">
        <v>955</v>
      </c>
      <c r="F316" t="s">
        <v>956</v>
      </c>
      <c r="G316" t="s">
        <v>964</v>
      </c>
      <c r="H316">
        <v>168</v>
      </c>
      <c r="I316">
        <v>16.631</v>
      </c>
      <c r="J316">
        <v>39.4405</v>
      </c>
      <c r="K316">
        <v>22.8095</v>
      </c>
      <c r="L316">
        <v>166</v>
      </c>
      <c r="M316">
        <v>0</v>
      </c>
      <c r="N316">
        <v>2</v>
      </c>
      <c r="O316">
        <v>39.935699999999997</v>
      </c>
      <c r="P316">
        <v>22.851400000000002</v>
      </c>
      <c r="Q316">
        <v>8.4480299999999993</v>
      </c>
    </row>
    <row r="317" spans="1:17" x14ac:dyDescent="0.25">
      <c r="A317" t="str">
        <f>IF(C317&amp;G317&amp;D317&lt;&gt;'Funnel setup'!$K$3&amp;'Funnel setup'!$K$4&amp;'Funnel setup'!$K$6,".",IF(A316=".",1,A316+1))</f>
        <v>.</v>
      </c>
      <c r="B317" s="244" t="str">
        <f t="shared" si="4"/>
        <v>Hip Replacement PrimarySub-ICB of GP PracticeNHS WEST YORKSHIRE ICB - 15F (15F)Oxford Hip Score</v>
      </c>
      <c r="C317" t="s">
        <v>749</v>
      </c>
      <c r="D317" t="s">
        <v>1021</v>
      </c>
      <c r="E317" t="s">
        <v>957</v>
      </c>
      <c r="F317" t="s">
        <v>958</v>
      </c>
      <c r="G317" t="s">
        <v>964</v>
      </c>
      <c r="H317">
        <v>234</v>
      </c>
      <c r="I317">
        <v>17.683800000000002</v>
      </c>
      <c r="J317">
        <v>39.376100000000001</v>
      </c>
      <c r="K317">
        <v>21.692299999999999</v>
      </c>
      <c r="L317">
        <v>222</v>
      </c>
      <c r="M317">
        <v>0</v>
      </c>
      <c r="N317">
        <v>12</v>
      </c>
      <c r="O317">
        <v>39.088500000000003</v>
      </c>
      <c r="P317">
        <v>22.004200000000001</v>
      </c>
      <c r="Q317">
        <v>8.3123799999999992</v>
      </c>
    </row>
    <row r="318" spans="1:17" x14ac:dyDescent="0.25">
      <c r="A318" t="str">
        <f>IF(C318&amp;G318&amp;D318&lt;&gt;'Funnel setup'!$K$3&amp;'Funnel setup'!$K$4&amp;'Funnel setup'!$K$6,".",IF(A317=".",1,A317+1))</f>
        <v>.</v>
      </c>
      <c r="B318" s="244" t="str">
        <f t="shared" si="4"/>
        <v>Hip Replacement PrimarySub-ICB of GP PracticeNHS WEST YORKSHIRE ICB - 36J (36J)Oxford Hip Score</v>
      </c>
      <c r="C318" t="s">
        <v>749</v>
      </c>
      <c r="D318" t="s">
        <v>1021</v>
      </c>
      <c r="E318" t="s">
        <v>959</v>
      </c>
      <c r="F318" t="s">
        <v>960</v>
      </c>
      <c r="G318" t="s">
        <v>964</v>
      </c>
      <c r="H318">
        <v>88</v>
      </c>
      <c r="I318">
        <v>22.056799999999999</v>
      </c>
      <c r="J318">
        <v>33.090899999999998</v>
      </c>
      <c r="K318">
        <v>11.0341</v>
      </c>
      <c r="L318">
        <v>68</v>
      </c>
      <c r="M318">
        <v>7</v>
      </c>
      <c r="N318">
        <v>13</v>
      </c>
      <c r="O318">
        <v>31.956199999999999</v>
      </c>
      <c r="P318">
        <v>14.8719</v>
      </c>
      <c r="Q318">
        <v>10.2818</v>
      </c>
    </row>
    <row r="319" spans="1:17" x14ac:dyDescent="0.25">
      <c r="A319" t="str">
        <f>IF(C319&amp;G319&amp;D319&lt;&gt;'Funnel setup'!$K$3&amp;'Funnel setup'!$K$4&amp;'Funnel setup'!$K$6,".",IF(A318=".",1,A318+1))</f>
        <v>.</v>
      </c>
      <c r="B319" s="244" t="str">
        <f t="shared" si="4"/>
        <v>Hip Replacement PrimarySub-ICB of GP PracticeNHS WEST YORKSHIRE ICB - X2C4Y (X2C4Y)Oxford Hip Score</v>
      </c>
      <c r="C319" t="s">
        <v>749</v>
      </c>
      <c r="D319" t="s">
        <v>1021</v>
      </c>
      <c r="E319" t="s">
        <v>961</v>
      </c>
      <c r="F319" t="s">
        <v>962</v>
      </c>
      <c r="G319" t="s">
        <v>964</v>
      </c>
      <c r="H319">
        <v>117</v>
      </c>
      <c r="I319">
        <v>17.307700000000001</v>
      </c>
      <c r="J319">
        <v>38.6496</v>
      </c>
      <c r="K319">
        <v>21.341899999999999</v>
      </c>
      <c r="L319">
        <v>114</v>
      </c>
      <c r="M319">
        <v>1</v>
      </c>
      <c r="N319">
        <v>2</v>
      </c>
      <c r="O319">
        <v>39.172699999999999</v>
      </c>
      <c r="P319">
        <v>22.0884</v>
      </c>
      <c r="Q319">
        <v>8.8692499999999992</v>
      </c>
    </row>
    <row r="320" spans="1:17" x14ac:dyDescent="0.25">
      <c r="A320" t="str">
        <f>IF(C320&amp;G320&amp;D320&lt;&gt;'Funnel setup'!$K$3&amp;'Funnel setup'!$K$4&amp;'Funnel setup'!$K$6,".",IF(A319=".",1,A319+1))</f>
        <v>.</v>
      </c>
      <c r="B320" s="244" t="str">
        <f t="shared" si="4"/>
        <v>Hip Replacement PrimaryEnglandEnglandEQ VAS</v>
      </c>
      <c r="C320" t="s">
        <v>749</v>
      </c>
      <c r="D320" t="s">
        <v>122</v>
      </c>
      <c r="E320" t="s">
        <v>122</v>
      </c>
      <c r="F320" t="s">
        <v>122</v>
      </c>
      <c r="G320" t="s">
        <v>752</v>
      </c>
      <c r="H320">
        <v>13559</v>
      </c>
      <c r="I320">
        <v>60.811300000000003</v>
      </c>
      <c r="J320">
        <v>75.796599999999998</v>
      </c>
      <c r="K320">
        <v>14.985300000000001</v>
      </c>
      <c r="L320">
        <v>9525</v>
      </c>
      <c r="M320">
        <v>1157</v>
      </c>
      <c r="N320">
        <v>2877</v>
      </c>
      <c r="O320">
        <v>75.796599999999998</v>
      </c>
      <c r="P320">
        <v>14.985300000000001</v>
      </c>
      <c r="Q320">
        <v>16.684699999999999</v>
      </c>
    </row>
    <row r="321" spans="1:17" x14ac:dyDescent="0.25">
      <c r="A321" t="str">
        <f>IF(C321&amp;G321&amp;D321&lt;&gt;'Funnel setup'!$K$3&amp;'Funnel setup'!$K$4&amp;'Funnel setup'!$K$6,".",IF(A320=".",1,A320+1))</f>
        <v>.</v>
      </c>
      <c r="B321" s="244" t="str">
        <f t="shared" si="4"/>
        <v>Hip Replacement PrimaryEnglandEnglandEQ-5D Index</v>
      </c>
      <c r="C321" t="s">
        <v>749</v>
      </c>
      <c r="D321" t="s">
        <v>122</v>
      </c>
      <c r="E321" t="s">
        <v>122</v>
      </c>
      <c r="F321" t="s">
        <v>122</v>
      </c>
      <c r="G321" t="s">
        <v>963</v>
      </c>
      <c r="H321">
        <v>14042</v>
      </c>
      <c r="I321">
        <v>0.32583800000000002</v>
      </c>
      <c r="J321">
        <v>0.78769500000000003</v>
      </c>
      <c r="K321">
        <v>0.46185700000000002</v>
      </c>
      <c r="L321">
        <v>12658</v>
      </c>
      <c r="M321">
        <v>665</v>
      </c>
      <c r="N321">
        <v>719</v>
      </c>
      <c r="O321">
        <v>0.78769500000000003</v>
      </c>
      <c r="P321">
        <v>0.46185700000000002</v>
      </c>
      <c r="Q321">
        <v>0.233182</v>
      </c>
    </row>
    <row r="322" spans="1:17" x14ac:dyDescent="0.25">
      <c r="A322" t="str">
        <f>IF(C322&amp;G322&amp;D322&lt;&gt;'Funnel setup'!$K$3&amp;'Funnel setup'!$K$4&amp;'Funnel setup'!$K$6,".",IF(A321=".",1,A321+1))</f>
        <v>.</v>
      </c>
      <c r="B322" s="244" t="str">
        <f t="shared" ref="B322:B385" si="5">C322&amp;D322&amp;F322&amp;G322</f>
        <v>Hip Replacement PrimaryEnglandEnglandOxford Hip Score</v>
      </c>
      <c r="C322" t="s">
        <v>749</v>
      </c>
      <c r="D322" t="s">
        <v>122</v>
      </c>
      <c r="E322" t="s">
        <v>122</v>
      </c>
      <c r="F322" t="s">
        <v>122</v>
      </c>
      <c r="G322" t="s">
        <v>964</v>
      </c>
      <c r="H322">
        <v>14995</v>
      </c>
      <c r="I322">
        <v>17.084299999999999</v>
      </c>
      <c r="J322">
        <v>39.931699999999999</v>
      </c>
      <c r="K322">
        <v>22.8474</v>
      </c>
      <c r="L322">
        <v>14589</v>
      </c>
      <c r="M322">
        <v>65</v>
      </c>
      <c r="N322">
        <v>341</v>
      </c>
      <c r="O322">
        <v>39.931699999999999</v>
      </c>
      <c r="P322">
        <v>22.8474</v>
      </c>
      <c r="Q322">
        <v>8.15029</v>
      </c>
    </row>
    <row r="323" spans="1:17" x14ac:dyDescent="0.25">
      <c r="A323" t="str">
        <f>IF(C323&amp;G323&amp;D323&lt;&gt;'Funnel setup'!$K$3&amp;'Funnel setup'!$K$4&amp;'Funnel setup'!$K$6,".",IF(A322=".",1,A322+1))</f>
        <v>.</v>
      </c>
      <c r="B323" s="244" t="str">
        <f t="shared" si="5"/>
        <v>Hip Replacement PrimaryProviderSULIS HOSPITAL BATHEQ VAS</v>
      </c>
      <c r="C323" t="s">
        <v>749</v>
      </c>
      <c r="D323" t="s">
        <v>965</v>
      </c>
      <c r="E323" t="s">
        <v>732</v>
      </c>
      <c r="F323" t="s">
        <v>1325</v>
      </c>
      <c r="G323" t="s">
        <v>752</v>
      </c>
      <c r="H323">
        <v>34</v>
      </c>
      <c r="I323">
        <v>57.2059</v>
      </c>
      <c r="J323">
        <v>80.411799999999999</v>
      </c>
      <c r="K323">
        <v>23.2059</v>
      </c>
      <c r="L323">
        <v>30</v>
      </c>
      <c r="M323">
        <v>3</v>
      </c>
      <c r="N323">
        <v>1</v>
      </c>
      <c r="O323">
        <v>80.305700000000002</v>
      </c>
      <c r="P323">
        <v>19.494399999999999</v>
      </c>
      <c r="Q323">
        <v>12.9763</v>
      </c>
    </row>
    <row r="324" spans="1:17" x14ac:dyDescent="0.25">
      <c r="A324" t="str">
        <f>IF(C324&amp;G324&amp;D324&lt;&gt;'Funnel setup'!$K$3&amp;'Funnel setup'!$K$4&amp;'Funnel setup'!$K$6,".",IF(A323=".",1,A323+1))</f>
        <v>.</v>
      </c>
      <c r="B324" s="244" t="str">
        <f t="shared" si="5"/>
        <v>Hip Replacement PrimaryProviderAIREDALE NHS FOUNDATION TRUST (RCF)EQ VAS</v>
      </c>
      <c r="C324" t="s">
        <v>749</v>
      </c>
      <c r="D324" t="s">
        <v>965</v>
      </c>
      <c r="E324" t="s">
        <v>125</v>
      </c>
      <c r="F324" t="s">
        <v>126</v>
      </c>
      <c r="G324" t="s">
        <v>752</v>
      </c>
      <c r="H324">
        <v>33</v>
      </c>
      <c r="I324">
        <v>63.5152</v>
      </c>
      <c r="J324">
        <v>77.697000000000003</v>
      </c>
      <c r="K324">
        <v>14.181800000000001</v>
      </c>
      <c r="L324">
        <v>20</v>
      </c>
      <c r="M324">
        <v>4</v>
      </c>
      <c r="N324">
        <v>9</v>
      </c>
      <c r="O324">
        <v>77.405100000000004</v>
      </c>
      <c r="P324">
        <v>16.593800000000002</v>
      </c>
      <c r="Q324">
        <v>16.656300000000002</v>
      </c>
    </row>
    <row r="325" spans="1:17" x14ac:dyDescent="0.25">
      <c r="A325" t="str">
        <f>IF(C325&amp;G325&amp;D325&lt;&gt;'Funnel setup'!$K$3&amp;'Funnel setup'!$K$4&amp;'Funnel setup'!$K$6,".",IF(A324=".",1,A324+1))</f>
        <v>.</v>
      </c>
      <c r="B325" s="244" t="str">
        <f t="shared" si="5"/>
        <v>Hip Replacement PrimaryProviderALEXANDRA HOSPITAL (NT401)EQ VAS</v>
      </c>
      <c r="C325" t="s">
        <v>749</v>
      </c>
      <c r="D325" t="s">
        <v>965</v>
      </c>
      <c r="E325" t="s">
        <v>130</v>
      </c>
      <c r="F325" t="s">
        <v>131</v>
      </c>
      <c r="G325" t="s">
        <v>752</v>
      </c>
      <c r="H325">
        <v>26</v>
      </c>
      <c r="I325">
        <v>61.807699999999997</v>
      </c>
      <c r="J325">
        <v>78.461500000000001</v>
      </c>
      <c r="K325">
        <v>16.6538</v>
      </c>
      <c r="L325">
        <v>21</v>
      </c>
      <c r="M325">
        <v>3</v>
      </c>
      <c r="N325">
        <v>2</v>
      </c>
      <c r="O325" t="s">
        <v>127</v>
      </c>
      <c r="P325" t="s">
        <v>127</v>
      </c>
      <c r="Q325" t="s">
        <v>127</v>
      </c>
    </row>
    <row r="326" spans="1:17" x14ac:dyDescent="0.25">
      <c r="A326" t="str">
        <f>IF(C326&amp;G326&amp;D326&lt;&gt;'Funnel setup'!$K$3&amp;'Funnel setup'!$K$4&amp;'Funnel setup'!$K$6,".",IF(A325=".",1,A325+1))</f>
        <v>.</v>
      </c>
      <c r="B326" s="244" t="str">
        <f t="shared" si="5"/>
        <v>Hip Replacement PrimaryProviderASHFORD AND ST PETER'S HOSPITALS NHS FOUNDATION TRUST (RTK)EQ VAS</v>
      </c>
      <c r="C326" t="s">
        <v>749</v>
      </c>
      <c r="D326" t="s">
        <v>965</v>
      </c>
      <c r="E326" t="s">
        <v>132</v>
      </c>
      <c r="F326" t="s">
        <v>133</v>
      </c>
      <c r="G326" t="s">
        <v>752</v>
      </c>
      <c r="H326">
        <v>62</v>
      </c>
      <c r="I326">
        <v>71.177400000000006</v>
      </c>
      <c r="J326">
        <v>78.419399999999996</v>
      </c>
      <c r="K326">
        <v>7.2419399999999996</v>
      </c>
      <c r="L326">
        <v>34</v>
      </c>
      <c r="M326">
        <v>11</v>
      </c>
      <c r="N326">
        <v>17</v>
      </c>
      <c r="O326">
        <v>74.8245</v>
      </c>
      <c r="P326">
        <v>14.013199999999999</v>
      </c>
      <c r="Q326">
        <v>14.8627</v>
      </c>
    </row>
    <row r="327" spans="1:17" x14ac:dyDescent="0.25">
      <c r="A327" t="str">
        <f>IF(C327&amp;G327&amp;D327&lt;&gt;'Funnel setup'!$K$3&amp;'Funnel setup'!$K$4&amp;'Funnel setup'!$K$6,".",IF(A326=".",1,A326+1))</f>
        <v>.</v>
      </c>
      <c r="B327" s="244" t="str">
        <f t="shared" si="5"/>
        <v>Hip Replacement PrimaryProviderASHTEAD HOSPITAL (NVC01)EQ VAS</v>
      </c>
      <c r="C327" t="s">
        <v>749</v>
      </c>
      <c r="D327" t="s">
        <v>965</v>
      </c>
      <c r="E327" t="s">
        <v>134</v>
      </c>
      <c r="F327" t="s">
        <v>135</v>
      </c>
      <c r="G327" t="s">
        <v>752</v>
      </c>
      <c r="H327">
        <v>11</v>
      </c>
      <c r="I327">
        <v>65.181799999999996</v>
      </c>
      <c r="J327">
        <v>80.090900000000005</v>
      </c>
      <c r="K327">
        <v>14.9091</v>
      </c>
      <c r="L327">
        <v>8</v>
      </c>
      <c r="M327">
        <v>1</v>
      </c>
      <c r="N327">
        <v>2</v>
      </c>
      <c r="O327" t="s">
        <v>127</v>
      </c>
      <c r="P327" t="s">
        <v>127</v>
      </c>
      <c r="Q327" t="s">
        <v>127</v>
      </c>
    </row>
    <row r="328" spans="1:17" x14ac:dyDescent="0.25">
      <c r="A328" t="str">
        <f>IF(C328&amp;G328&amp;D328&lt;&gt;'Funnel setup'!$K$3&amp;'Funnel setup'!$K$4&amp;'Funnel setup'!$K$6,".",IF(A327=".",1,A327+1))</f>
        <v>.</v>
      </c>
      <c r="B328" s="244" t="str">
        <f t="shared" si="5"/>
        <v>Hip Replacement PrimaryProviderBARKING, HAVERING AND REDBRIDGE UNIVERSITY HOSPITALS NHS TRUST (RF4)EQ VAS</v>
      </c>
      <c r="C328" t="s">
        <v>749</v>
      </c>
      <c r="D328" t="s">
        <v>965</v>
      </c>
      <c r="E328" t="s">
        <v>144</v>
      </c>
      <c r="F328" t="s">
        <v>145</v>
      </c>
      <c r="G328" t="s">
        <v>752</v>
      </c>
      <c r="H328">
        <v>47</v>
      </c>
      <c r="I328">
        <v>52.702100000000002</v>
      </c>
      <c r="J328">
        <v>68.957400000000007</v>
      </c>
      <c r="K328">
        <v>16.255299999999998</v>
      </c>
      <c r="L328">
        <v>29</v>
      </c>
      <c r="M328">
        <v>7</v>
      </c>
      <c r="N328">
        <v>11</v>
      </c>
      <c r="O328">
        <v>71.630200000000002</v>
      </c>
      <c r="P328">
        <v>10.818899999999999</v>
      </c>
      <c r="Q328">
        <v>21.0442</v>
      </c>
    </row>
    <row r="329" spans="1:17" x14ac:dyDescent="0.25">
      <c r="A329" t="str">
        <f>IF(C329&amp;G329&amp;D329&lt;&gt;'Funnel setup'!$K$3&amp;'Funnel setup'!$K$4&amp;'Funnel setup'!$K$6,".",IF(A328=".",1,A328+1))</f>
        <v>.</v>
      </c>
      <c r="B329" s="244" t="str">
        <f t="shared" si="5"/>
        <v>Hip Replacement PrimaryProviderBARNSLEY HOSPITAL NHS FOUNDATION TRUST (RFF)EQ VAS</v>
      </c>
      <c r="C329" t="s">
        <v>749</v>
      </c>
      <c r="D329" t="s">
        <v>965</v>
      </c>
      <c r="E329" t="s">
        <v>146</v>
      </c>
      <c r="F329" t="s">
        <v>147</v>
      </c>
      <c r="G329" t="s">
        <v>752</v>
      </c>
      <c r="H329">
        <v>39</v>
      </c>
      <c r="I329">
        <v>53.307699999999997</v>
      </c>
      <c r="J329">
        <v>71.538499999999999</v>
      </c>
      <c r="K329">
        <v>18.230799999999999</v>
      </c>
      <c r="L329">
        <v>26</v>
      </c>
      <c r="M329">
        <v>3</v>
      </c>
      <c r="N329">
        <v>10</v>
      </c>
      <c r="O329">
        <v>75.8369</v>
      </c>
      <c r="P329">
        <v>15.025600000000001</v>
      </c>
      <c r="Q329">
        <v>16.170500000000001</v>
      </c>
    </row>
    <row r="330" spans="1:17" x14ac:dyDescent="0.25">
      <c r="A330" t="str">
        <f>IF(C330&amp;G330&amp;D330&lt;&gt;'Funnel setup'!$K$3&amp;'Funnel setup'!$K$4&amp;'Funnel setup'!$K$6,".",IF(A329=".",1,A329+1))</f>
        <v>.</v>
      </c>
      <c r="B330" s="244" t="str">
        <f t="shared" si="5"/>
        <v>Hip Replacement PrimaryProviderBARTS HEALTH NHS TRUST (R1H)EQ VAS</v>
      </c>
      <c r="C330" t="s">
        <v>749</v>
      </c>
      <c r="D330" t="s">
        <v>965</v>
      </c>
      <c r="E330" t="s">
        <v>148</v>
      </c>
      <c r="F330" t="s">
        <v>149</v>
      </c>
      <c r="G330" t="s">
        <v>752</v>
      </c>
      <c r="H330">
        <v>40</v>
      </c>
      <c r="I330">
        <v>56.95</v>
      </c>
      <c r="J330">
        <v>77.275000000000006</v>
      </c>
      <c r="K330">
        <v>20.324999999999999</v>
      </c>
      <c r="L330">
        <v>30</v>
      </c>
      <c r="M330">
        <v>4</v>
      </c>
      <c r="N330">
        <v>6</v>
      </c>
      <c r="O330">
        <v>78.981499999999997</v>
      </c>
      <c r="P330">
        <v>18.170200000000001</v>
      </c>
      <c r="Q330">
        <v>16.642900000000001</v>
      </c>
    </row>
    <row r="331" spans="1:17" x14ac:dyDescent="0.25">
      <c r="A331" t="str">
        <f>IF(C331&amp;G331&amp;D331&lt;&gt;'Funnel setup'!$K$3&amp;'Funnel setup'!$K$4&amp;'Funnel setup'!$K$6,".",IF(A330=".",1,A330+1))</f>
        <v>.</v>
      </c>
      <c r="B331" s="244" t="str">
        <f t="shared" si="5"/>
        <v>Hip Replacement PrimaryProviderBATH CLINIC (NT402)EQ VAS</v>
      </c>
      <c r="C331" t="s">
        <v>749</v>
      </c>
      <c r="D331" t="s">
        <v>965</v>
      </c>
      <c r="E331" t="s">
        <v>152</v>
      </c>
      <c r="F331" t="s">
        <v>153</v>
      </c>
      <c r="G331" t="s">
        <v>752</v>
      </c>
      <c r="H331">
        <v>77</v>
      </c>
      <c r="I331">
        <v>71.259699999999995</v>
      </c>
      <c r="J331">
        <v>78.064899999999994</v>
      </c>
      <c r="K331">
        <v>6.8051899999999996</v>
      </c>
      <c r="L331">
        <v>46</v>
      </c>
      <c r="M331">
        <v>5</v>
      </c>
      <c r="N331">
        <v>26</v>
      </c>
      <c r="O331">
        <v>71.911100000000005</v>
      </c>
      <c r="P331">
        <v>11.0999</v>
      </c>
      <c r="Q331">
        <v>18.847000000000001</v>
      </c>
    </row>
    <row r="332" spans="1:17" x14ac:dyDescent="0.25">
      <c r="A332" t="str">
        <f>IF(C332&amp;G332&amp;D332&lt;&gt;'Funnel setup'!$K$3&amp;'Funnel setup'!$K$4&amp;'Funnel setup'!$K$6,".",IF(A331=".",1,A331+1))</f>
        <v>.</v>
      </c>
      <c r="B332" s="244" t="str">
        <f t="shared" si="5"/>
        <v>Hip Replacement PrimaryProviderBEARDWOOD HOSPITAL (NT403)EQ VAS</v>
      </c>
      <c r="C332" t="s">
        <v>749</v>
      </c>
      <c r="D332" t="s">
        <v>965</v>
      </c>
      <c r="E332" t="s">
        <v>154</v>
      </c>
      <c r="F332" t="s">
        <v>155</v>
      </c>
      <c r="G332" t="s">
        <v>752</v>
      </c>
      <c r="H332">
        <v>73</v>
      </c>
      <c r="I332">
        <v>61.9863</v>
      </c>
      <c r="J332">
        <v>79.246600000000001</v>
      </c>
      <c r="K332">
        <v>17.260300000000001</v>
      </c>
      <c r="L332">
        <v>50</v>
      </c>
      <c r="M332">
        <v>6</v>
      </c>
      <c r="N332">
        <v>17</v>
      </c>
      <c r="O332">
        <v>76.565100000000001</v>
      </c>
      <c r="P332">
        <v>15.7539</v>
      </c>
      <c r="Q332">
        <v>14.423500000000001</v>
      </c>
    </row>
    <row r="333" spans="1:17" x14ac:dyDescent="0.25">
      <c r="A333" t="str">
        <f>IF(C333&amp;G333&amp;D333&lt;&gt;'Funnel setup'!$K$3&amp;'Funnel setup'!$K$4&amp;'Funnel setup'!$K$6,".",IF(A332=".",1,A332+1))</f>
        <v>.</v>
      </c>
      <c r="B333" s="244" t="str">
        <f t="shared" si="5"/>
        <v>Hip Replacement PrimaryProviderBEAUMONT HOSPITAL (NT404)EQ VAS</v>
      </c>
      <c r="C333" t="s">
        <v>749</v>
      </c>
      <c r="D333" t="s">
        <v>965</v>
      </c>
      <c r="E333" t="s">
        <v>156</v>
      </c>
      <c r="F333" t="s">
        <v>157</v>
      </c>
      <c r="G333" t="s">
        <v>752</v>
      </c>
      <c r="H333">
        <v>12</v>
      </c>
      <c r="I333">
        <v>65.833299999999994</v>
      </c>
      <c r="J333">
        <v>86.25</v>
      </c>
      <c r="K333">
        <v>20.416699999999999</v>
      </c>
      <c r="L333">
        <v>11</v>
      </c>
      <c r="M333">
        <v>0</v>
      </c>
      <c r="N333">
        <v>1</v>
      </c>
      <c r="O333" t="s">
        <v>127</v>
      </c>
      <c r="P333" t="s">
        <v>127</v>
      </c>
      <c r="Q333" t="s">
        <v>127</v>
      </c>
    </row>
    <row r="334" spans="1:17" x14ac:dyDescent="0.25">
      <c r="A334" t="str">
        <f>IF(C334&amp;G334&amp;D334&lt;&gt;'Funnel setup'!$K$3&amp;'Funnel setup'!$K$4&amp;'Funnel setup'!$K$6,".",IF(A333=".",1,A333+1))</f>
        <v>.</v>
      </c>
      <c r="B334" s="244" t="str">
        <f t="shared" si="5"/>
        <v>Hip Replacement PrimaryProviderBEDFORDSHIRE HOSPITALS NHS FOUNDATION TRUST (RC9)EQ VAS</v>
      </c>
      <c r="C334" t="s">
        <v>749</v>
      </c>
      <c r="D334" t="s">
        <v>965</v>
      </c>
      <c r="E334" t="s">
        <v>158</v>
      </c>
      <c r="F334" t="s">
        <v>159</v>
      </c>
      <c r="G334" t="s">
        <v>752</v>
      </c>
      <c r="H334">
        <v>109</v>
      </c>
      <c r="I334">
        <v>57.229399999999998</v>
      </c>
      <c r="J334">
        <v>70.192700000000002</v>
      </c>
      <c r="K334">
        <v>12.9633</v>
      </c>
      <c r="L334">
        <v>72</v>
      </c>
      <c r="M334">
        <v>11</v>
      </c>
      <c r="N334">
        <v>26</v>
      </c>
      <c r="O334">
        <v>73.663200000000003</v>
      </c>
      <c r="P334">
        <v>12.852</v>
      </c>
      <c r="Q334">
        <v>19.897500000000001</v>
      </c>
    </row>
    <row r="335" spans="1:17" x14ac:dyDescent="0.25">
      <c r="A335" t="str">
        <f>IF(C335&amp;G335&amp;D335&lt;&gt;'Funnel setup'!$K$3&amp;'Funnel setup'!$K$4&amp;'Funnel setup'!$K$6,".",IF(A334=".",1,A334+1))</f>
        <v>.</v>
      </c>
      <c r="B335" s="244" t="str">
        <f t="shared" si="5"/>
        <v>Hip Replacement PrimaryProviderBENENDEN HOSPITAL (NWF01)EQ VAS</v>
      </c>
      <c r="C335" t="s">
        <v>749</v>
      </c>
      <c r="D335" t="s">
        <v>965</v>
      </c>
      <c r="E335" t="s">
        <v>160</v>
      </c>
      <c r="F335" t="s">
        <v>161</v>
      </c>
      <c r="G335" t="s">
        <v>752</v>
      </c>
      <c r="H335">
        <v>18</v>
      </c>
      <c r="I335">
        <v>60.833300000000001</v>
      </c>
      <c r="J335">
        <v>78.111099999999993</v>
      </c>
      <c r="K335">
        <v>17.277799999999999</v>
      </c>
      <c r="L335">
        <v>15</v>
      </c>
      <c r="M335">
        <v>1</v>
      </c>
      <c r="N335">
        <v>2</v>
      </c>
      <c r="O335" t="s">
        <v>127</v>
      </c>
      <c r="P335" t="s">
        <v>127</v>
      </c>
      <c r="Q335" t="s">
        <v>127</v>
      </c>
    </row>
    <row r="336" spans="1:17" x14ac:dyDescent="0.25">
      <c r="A336" t="str">
        <f>IF(C336&amp;G336&amp;D336&lt;&gt;'Funnel setup'!$K$3&amp;'Funnel setup'!$K$4&amp;'Funnel setup'!$K$6,".",IF(A335=".",1,A335+1))</f>
        <v>.</v>
      </c>
      <c r="B336" s="244" t="str">
        <f t="shared" si="5"/>
        <v>Hip Replacement PrimaryProviderBISHOPS WOOD HOSPITAL (NT405)EQ VAS</v>
      </c>
      <c r="C336" t="s">
        <v>749</v>
      </c>
      <c r="D336" t="s">
        <v>965</v>
      </c>
      <c r="E336" t="s">
        <v>166</v>
      </c>
      <c r="F336" t="s">
        <v>167</v>
      </c>
      <c r="G336" t="s">
        <v>752</v>
      </c>
      <c r="H336">
        <v>3</v>
      </c>
      <c r="I336">
        <v>76.666700000000006</v>
      </c>
      <c r="J336">
        <v>85</v>
      </c>
      <c r="K336">
        <v>8.3333300000000001</v>
      </c>
      <c r="L336">
        <v>3</v>
      </c>
      <c r="M336">
        <v>0</v>
      </c>
      <c r="N336">
        <v>0</v>
      </c>
      <c r="O336" t="s">
        <v>127</v>
      </c>
      <c r="P336" t="s">
        <v>127</v>
      </c>
      <c r="Q336" t="s">
        <v>127</v>
      </c>
    </row>
    <row r="337" spans="1:17" x14ac:dyDescent="0.25">
      <c r="A337" t="str">
        <f>IF(C337&amp;G337&amp;D337&lt;&gt;'Funnel setup'!$K$3&amp;'Funnel setup'!$K$4&amp;'Funnel setup'!$K$6,".",IF(A336=".",1,A336+1))</f>
        <v>.</v>
      </c>
      <c r="B337" s="244" t="str">
        <f t="shared" si="5"/>
        <v>Hip Replacement PrimaryProviderBLACKHEATH HOSPITAL (NT406)EQ VAS</v>
      </c>
      <c r="C337" t="s">
        <v>749</v>
      </c>
      <c r="D337" t="s">
        <v>965</v>
      </c>
      <c r="E337" t="s">
        <v>168</v>
      </c>
      <c r="F337" t="s">
        <v>169</v>
      </c>
      <c r="G337" t="s">
        <v>752</v>
      </c>
      <c r="H337">
        <v>13</v>
      </c>
      <c r="I337">
        <v>46.538499999999999</v>
      </c>
      <c r="J337">
        <v>73.461500000000001</v>
      </c>
      <c r="K337">
        <v>26.923100000000002</v>
      </c>
      <c r="L337">
        <v>12</v>
      </c>
      <c r="M337">
        <v>1</v>
      </c>
      <c r="N337">
        <v>0</v>
      </c>
      <c r="O337" t="s">
        <v>127</v>
      </c>
      <c r="P337" t="s">
        <v>127</v>
      </c>
      <c r="Q337" t="s">
        <v>127</v>
      </c>
    </row>
    <row r="338" spans="1:17" x14ac:dyDescent="0.25">
      <c r="A338" t="str">
        <f>IF(C338&amp;G338&amp;D338&lt;&gt;'Funnel setup'!$K$3&amp;'Funnel setup'!$K$4&amp;'Funnel setup'!$K$6,".",IF(A337=".",1,A337+1))</f>
        <v>.</v>
      </c>
      <c r="B338" s="244" t="str">
        <f t="shared" si="5"/>
        <v>Hip Replacement PrimaryProviderBLACKPOOL TEACHING HOSPITALS NHS FOUNDATION TRUST (RXL)EQ VAS</v>
      </c>
      <c r="C338" t="s">
        <v>749</v>
      </c>
      <c r="D338" t="s">
        <v>965</v>
      </c>
      <c r="E338" t="s">
        <v>170</v>
      </c>
      <c r="F338" t="s">
        <v>171</v>
      </c>
      <c r="G338" t="s">
        <v>752</v>
      </c>
      <c r="H338">
        <v>48</v>
      </c>
      <c r="I338">
        <v>61.375</v>
      </c>
      <c r="J338">
        <v>71.770799999999994</v>
      </c>
      <c r="K338">
        <v>10.395799999999999</v>
      </c>
      <c r="L338">
        <v>34</v>
      </c>
      <c r="M338">
        <v>2</v>
      </c>
      <c r="N338">
        <v>12</v>
      </c>
      <c r="O338">
        <v>73.925399999999996</v>
      </c>
      <c r="P338">
        <v>13.114100000000001</v>
      </c>
      <c r="Q338">
        <v>16.7395</v>
      </c>
    </row>
    <row r="339" spans="1:17" x14ac:dyDescent="0.25">
      <c r="A339" t="str">
        <f>IF(C339&amp;G339&amp;D339&lt;&gt;'Funnel setup'!$K$3&amp;'Funnel setup'!$K$4&amp;'Funnel setup'!$K$6,".",IF(A338=".",1,A338+1))</f>
        <v>.</v>
      </c>
      <c r="B339" s="244" t="str">
        <f t="shared" si="5"/>
        <v>Hip Replacement PrimaryProviderBOLTON NHS FOUNDATION TRUST (RMC)EQ VAS</v>
      </c>
      <c r="C339" t="s">
        <v>749</v>
      </c>
      <c r="D339" t="s">
        <v>965</v>
      </c>
      <c r="E339" t="s">
        <v>172</v>
      </c>
      <c r="F339" t="s">
        <v>173</v>
      </c>
      <c r="G339" t="s">
        <v>752</v>
      </c>
      <c r="H339">
        <v>42</v>
      </c>
      <c r="I339">
        <v>64.785700000000006</v>
      </c>
      <c r="J339">
        <v>71.428600000000003</v>
      </c>
      <c r="K339">
        <v>6.6428599999999998</v>
      </c>
      <c r="L339">
        <v>26</v>
      </c>
      <c r="M339">
        <v>4</v>
      </c>
      <c r="N339">
        <v>12</v>
      </c>
      <c r="O339">
        <v>74.492199999999997</v>
      </c>
      <c r="P339">
        <v>13.680899999999999</v>
      </c>
      <c r="Q339">
        <v>19.388999999999999</v>
      </c>
    </row>
    <row r="340" spans="1:17" x14ac:dyDescent="0.25">
      <c r="A340" t="str">
        <f>IF(C340&amp;G340&amp;D340&lt;&gt;'Funnel setup'!$K$3&amp;'Funnel setup'!$K$4&amp;'Funnel setup'!$K$6,".",IF(A339=".",1,A339+1))</f>
        <v>.</v>
      </c>
      <c r="B340" s="244" t="str">
        <f t="shared" si="5"/>
        <v>Hip Replacement PrimaryProviderBRADFORD TEACHING HOSPITALS NHS FOUNDATION TRUST (RAE)EQ VAS</v>
      </c>
      <c r="C340" t="s">
        <v>749</v>
      </c>
      <c r="D340" t="s">
        <v>965</v>
      </c>
      <c r="E340" t="s">
        <v>174</v>
      </c>
      <c r="F340" t="s">
        <v>175</v>
      </c>
      <c r="G340" t="s">
        <v>752</v>
      </c>
      <c r="H340">
        <v>2</v>
      </c>
      <c r="I340">
        <v>37.5</v>
      </c>
      <c r="J340">
        <v>60</v>
      </c>
      <c r="K340">
        <v>22.5</v>
      </c>
      <c r="L340">
        <v>2</v>
      </c>
      <c r="M340">
        <v>0</v>
      </c>
      <c r="N340">
        <v>0</v>
      </c>
      <c r="O340" t="s">
        <v>127</v>
      </c>
      <c r="P340" t="s">
        <v>127</v>
      </c>
      <c r="Q340" t="s">
        <v>127</v>
      </c>
    </row>
    <row r="341" spans="1:17" x14ac:dyDescent="0.25">
      <c r="A341" t="str">
        <f>IF(C341&amp;G341&amp;D341&lt;&gt;'Funnel setup'!$K$3&amp;'Funnel setup'!$K$4&amp;'Funnel setup'!$K$6,".",IF(A340=".",1,A340+1))</f>
        <v>.</v>
      </c>
      <c r="B341" s="244" t="str">
        <f t="shared" si="5"/>
        <v>Hip Replacement PrimaryProviderBUCKINGHAMSHIRE HEALTHCARE NHS TRUST (RXQ)EQ VAS</v>
      </c>
      <c r="C341" t="s">
        <v>749</v>
      </c>
      <c r="D341" t="s">
        <v>965</v>
      </c>
      <c r="E341" t="s">
        <v>178</v>
      </c>
      <c r="F341" t="s">
        <v>179</v>
      </c>
      <c r="G341" t="s">
        <v>752</v>
      </c>
      <c r="H341">
        <v>80</v>
      </c>
      <c r="I341">
        <v>56.15</v>
      </c>
      <c r="J341">
        <v>69.599999999999994</v>
      </c>
      <c r="K341">
        <v>13.45</v>
      </c>
      <c r="L341">
        <v>57</v>
      </c>
      <c r="M341">
        <v>4</v>
      </c>
      <c r="N341">
        <v>19</v>
      </c>
      <c r="O341">
        <v>72.265000000000001</v>
      </c>
      <c r="P341">
        <v>11.453799999999999</v>
      </c>
      <c r="Q341">
        <v>21.517900000000001</v>
      </c>
    </row>
    <row r="342" spans="1:17" x14ac:dyDescent="0.25">
      <c r="A342" t="str">
        <f>IF(C342&amp;G342&amp;D342&lt;&gt;'Funnel setup'!$K$3&amp;'Funnel setup'!$K$4&amp;'Funnel setup'!$K$6,".",IF(A341=".",1,A341+1))</f>
        <v>.</v>
      </c>
      <c r="B342" s="244" t="str">
        <f t="shared" si="5"/>
        <v>Hip Replacement PrimaryProviderCALDERDALE AND HUDDERSFIELD NHS FOUNDATION TRUST (RWY)EQ VAS</v>
      </c>
      <c r="C342" t="s">
        <v>749</v>
      </c>
      <c r="D342" t="s">
        <v>965</v>
      </c>
      <c r="E342" t="s">
        <v>180</v>
      </c>
      <c r="F342" t="s">
        <v>181</v>
      </c>
      <c r="G342" t="s">
        <v>752</v>
      </c>
      <c r="H342">
        <v>82</v>
      </c>
      <c r="I342">
        <v>58.865900000000003</v>
      </c>
      <c r="J342">
        <v>72.4024</v>
      </c>
      <c r="K342">
        <v>13.5366</v>
      </c>
      <c r="L342">
        <v>56</v>
      </c>
      <c r="M342">
        <v>9</v>
      </c>
      <c r="N342">
        <v>17</v>
      </c>
      <c r="O342">
        <v>73.479399999999998</v>
      </c>
      <c r="P342">
        <v>12.668100000000001</v>
      </c>
      <c r="Q342">
        <v>17.752300000000002</v>
      </c>
    </row>
    <row r="343" spans="1:17" x14ac:dyDescent="0.25">
      <c r="A343" t="str">
        <f>IF(C343&amp;G343&amp;D343&lt;&gt;'Funnel setup'!$K$3&amp;'Funnel setup'!$K$4&amp;'Funnel setup'!$K$6,".",IF(A342=".",1,A342+1))</f>
        <v>.</v>
      </c>
      <c r="B343" s="244" t="str">
        <f t="shared" si="5"/>
        <v>Hip Replacement PrimaryProviderCAMBRIDGE UNIVERSITY HOSPITALS NHS FOUNDATION TRUST (RGT)EQ VAS</v>
      </c>
      <c r="C343" t="s">
        <v>749</v>
      </c>
      <c r="D343" t="s">
        <v>965</v>
      </c>
      <c r="E343" t="s">
        <v>182</v>
      </c>
      <c r="F343" t="s">
        <v>183</v>
      </c>
      <c r="G343" t="s">
        <v>752</v>
      </c>
      <c r="H343">
        <v>64</v>
      </c>
      <c r="I343">
        <v>49.765599999999999</v>
      </c>
      <c r="J343">
        <v>69.8125</v>
      </c>
      <c r="K343">
        <v>20.046900000000001</v>
      </c>
      <c r="L343">
        <v>46</v>
      </c>
      <c r="M343">
        <v>2</v>
      </c>
      <c r="N343">
        <v>16</v>
      </c>
      <c r="O343">
        <v>73.342100000000002</v>
      </c>
      <c r="P343">
        <v>12.530799999999999</v>
      </c>
      <c r="Q343">
        <v>18.867699999999999</v>
      </c>
    </row>
    <row r="344" spans="1:17" x14ac:dyDescent="0.25">
      <c r="A344" t="str">
        <f>IF(C344&amp;G344&amp;D344&lt;&gt;'Funnel setup'!$K$3&amp;'Funnel setup'!$K$4&amp;'Funnel setup'!$K$6,".",IF(A343=".",1,A343+1))</f>
        <v>.</v>
      </c>
      <c r="B344" s="244" t="str">
        <f t="shared" si="5"/>
        <v>Hip Replacement PrimaryProviderCAVELL HOSPITAL (NT451)EQ VAS</v>
      </c>
      <c r="C344" t="s">
        <v>749</v>
      </c>
      <c r="D344" t="s">
        <v>965</v>
      </c>
      <c r="E344" t="s">
        <v>184</v>
      </c>
      <c r="F344" t="s">
        <v>185</v>
      </c>
      <c r="G344" t="s">
        <v>752</v>
      </c>
      <c r="H344">
        <v>15</v>
      </c>
      <c r="I344">
        <v>54.533299999999997</v>
      </c>
      <c r="J344">
        <v>74.8</v>
      </c>
      <c r="K344">
        <v>20.2667</v>
      </c>
      <c r="L344">
        <v>11</v>
      </c>
      <c r="M344">
        <v>1</v>
      </c>
      <c r="N344">
        <v>3</v>
      </c>
      <c r="O344" t="s">
        <v>127</v>
      </c>
      <c r="P344" t="s">
        <v>127</v>
      </c>
      <c r="Q344" t="s">
        <v>127</v>
      </c>
    </row>
    <row r="345" spans="1:17" x14ac:dyDescent="0.25">
      <c r="A345" t="str">
        <f>IF(C345&amp;G345&amp;D345&lt;&gt;'Funnel setup'!$K$3&amp;'Funnel setup'!$K$4&amp;'Funnel setup'!$K$6,".",IF(A344=".",1,A344+1))</f>
        <v>.</v>
      </c>
      <c r="B345" s="244" t="str">
        <f t="shared" si="5"/>
        <v>Hip Replacement PrimaryProviderCHAUCER HOSPITAL (NT408)EQ VAS</v>
      </c>
      <c r="C345" t="s">
        <v>749</v>
      </c>
      <c r="D345" t="s">
        <v>965</v>
      </c>
      <c r="E345" t="s">
        <v>186</v>
      </c>
      <c r="F345" t="s">
        <v>187</v>
      </c>
      <c r="G345" t="s">
        <v>752</v>
      </c>
      <c r="H345">
        <v>27</v>
      </c>
      <c r="I345">
        <v>72.481499999999997</v>
      </c>
      <c r="J345">
        <v>74.111099999999993</v>
      </c>
      <c r="K345">
        <v>1.6296299999999999</v>
      </c>
      <c r="L345">
        <v>13</v>
      </c>
      <c r="M345">
        <v>1</v>
      </c>
      <c r="N345">
        <v>13</v>
      </c>
      <c r="O345" t="s">
        <v>127</v>
      </c>
      <c r="P345" t="s">
        <v>127</v>
      </c>
      <c r="Q345" t="s">
        <v>127</v>
      </c>
    </row>
    <row r="346" spans="1:17" x14ac:dyDescent="0.25">
      <c r="A346" t="str">
        <f>IF(C346&amp;G346&amp;D346&lt;&gt;'Funnel setup'!$K$3&amp;'Funnel setup'!$K$4&amp;'Funnel setup'!$K$6,".",IF(A345=".",1,A345+1))</f>
        <v>.</v>
      </c>
      <c r="B346" s="244" t="str">
        <f t="shared" si="5"/>
        <v>Hip Replacement PrimaryProviderCHELSEA AND WESTMINSTER HOSPITAL NHS FOUNDATION TRUST (RQM)EQ VAS</v>
      </c>
      <c r="C346" t="s">
        <v>749</v>
      </c>
      <c r="D346" t="s">
        <v>965</v>
      </c>
      <c r="E346" t="s">
        <v>188</v>
      </c>
      <c r="F346" t="s">
        <v>189</v>
      </c>
      <c r="G346" t="s">
        <v>752</v>
      </c>
      <c r="H346">
        <v>18</v>
      </c>
      <c r="I346">
        <v>57.444400000000002</v>
      </c>
      <c r="J346">
        <v>71.444400000000002</v>
      </c>
      <c r="K346">
        <v>14</v>
      </c>
      <c r="L346">
        <v>12</v>
      </c>
      <c r="M346">
        <v>2</v>
      </c>
      <c r="N346">
        <v>4</v>
      </c>
      <c r="O346" t="s">
        <v>127</v>
      </c>
      <c r="P346" t="s">
        <v>127</v>
      </c>
      <c r="Q346" t="s">
        <v>127</v>
      </c>
    </row>
    <row r="347" spans="1:17" x14ac:dyDescent="0.25">
      <c r="A347" t="str">
        <f>IF(C347&amp;G347&amp;D347&lt;&gt;'Funnel setup'!$K$3&amp;'Funnel setup'!$K$4&amp;'Funnel setup'!$K$6,".",IF(A346=".",1,A346+1))</f>
        <v>.</v>
      </c>
      <c r="B347" s="244" t="str">
        <f t="shared" si="5"/>
        <v>Hip Replacement PrimaryProviderCHELSFIELD PARK HOSPITAL (NT409)EQ VAS</v>
      </c>
      <c r="C347" t="s">
        <v>749</v>
      </c>
      <c r="D347" t="s">
        <v>965</v>
      </c>
      <c r="E347" t="s">
        <v>190</v>
      </c>
      <c r="F347" t="s">
        <v>191</v>
      </c>
      <c r="G347" t="s">
        <v>752</v>
      </c>
      <c r="H347">
        <v>28</v>
      </c>
      <c r="I347">
        <v>65.535700000000006</v>
      </c>
      <c r="J347">
        <v>80.464299999999994</v>
      </c>
      <c r="K347">
        <v>14.928599999999999</v>
      </c>
      <c r="L347">
        <v>18</v>
      </c>
      <c r="M347">
        <v>3</v>
      </c>
      <c r="N347">
        <v>7</v>
      </c>
      <c r="O347" t="s">
        <v>127</v>
      </c>
      <c r="P347" t="s">
        <v>127</v>
      </c>
      <c r="Q347" t="s">
        <v>127</v>
      </c>
    </row>
    <row r="348" spans="1:17" x14ac:dyDescent="0.25">
      <c r="A348" t="str">
        <f>IF(C348&amp;G348&amp;D348&lt;&gt;'Funnel setup'!$K$3&amp;'Funnel setup'!$K$4&amp;'Funnel setup'!$K$6,".",IF(A347=".",1,A347+1))</f>
        <v>.</v>
      </c>
      <c r="B348" s="244" t="str">
        <f t="shared" si="5"/>
        <v>Hip Replacement PrimaryProviderCHESTERFIELD ROYAL HOSPITAL NHS FOUNDATION TRUST (RFS)EQ VAS</v>
      </c>
      <c r="C348" t="s">
        <v>749</v>
      </c>
      <c r="D348" t="s">
        <v>965</v>
      </c>
      <c r="E348" t="s">
        <v>192</v>
      </c>
      <c r="F348" t="s">
        <v>193</v>
      </c>
      <c r="G348" t="s">
        <v>752</v>
      </c>
      <c r="H348">
        <v>58</v>
      </c>
      <c r="I348">
        <v>57.069000000000003</v>
      </c>
      <c r="J348">
        <v>70.982799999999997</v>
      </c>
      <c r="K348">
        <v>13.9138</v>
      </c>
      <c r="L348">
        <v>37</v>
      </c>
      <c r="M348">
        <v>7</v>
      </c>
      <c r="N348">
        <v>14</v>
      </c>
      <c r="O348">
        <v>73.717799999999997</v>
      </c>
      <c r="P348">
        <v>12.906499999999999</v>
      </c>
      <c r="Q348">
        <v>17.7547</v>
      </c>
    </row>
    <row r="349" spans="1:17" x14ac:dyDescent="0.25">
      <c r="A349" t="str">
        <f>IF(C349&amp;G349&amp;D349&lt;&gt;'Funnel setup'!$K$3&amp;'Funnel setup'!$K$4&amp;'Funnel setup'!$K$6,".",IF(A348=".",1,A348+1))</f>
        <v>.</v>
      </c>
      <c r="B349" s="244" t="str">
        <f t="shared" si="5"/>
        <v>Hip Replacement PrimaryProviderCHILTERN HOSPITAL (NT410)EQ VAS</v>
      </c>
      <c r="C349" t="s">
        <v>749</v>
      </c>
      <c r="D349" t="s">
        <v>965</v>
      </c>
      <c r="E349" t="s">
        <v>194</v>
      </c>
      <c r="F349" t="s">
        <v>195</v>
      </c>
      <c r="G349" t="s">
        <v>752</v>
      </c>
      <c r="H349">
        <v>75</v>
      </c>
      <c r="I349">
        <v>66.893299999999996</v>
      </c>
      <c r="J349">
        <v>82.2667</v>
      </c>
      <c r="K349">
        <v>15.3733</v>
      </c>
      <c r="L349">
        <v>55</v>
      </c>
      <c r="M349">
        <v>3</v>
      </c>
      <c r="N349">
        <v>17</v>
      </c>
      <c r="O349">
        <v>78.229399999999998</v>
      </c>
      <c r="P349">
        <v>17.418199999999999</v>
      </c>
      <c r="Q349">
        <v>15.2569</v>
      </c>
    </row>
    <row r="350" spans="1:17" x14ac:dyDescent="0.25">
      <c r="A350" t="str">
        <f>IF(C350&amp;G350&amp;D350&lt;&gt;'Funnel setup'!$K$3&amp;'Funnel setup'!$K$4&amp;'Funnel setup'!$K$6,".",IF(A349=".",1,A349+1))</f>
        <v>.</v>
      </c>
      <c r="B350" s="244" t="str">
        <f t="shared" si="5"/>
        <v>Hip Replacement PrimaryProviderCIRCLE BATH HOSPITAL (NV302)EQ VAS</v>
      </c>
      <c r="C350" t="s">
        <v>749</v>
      </c>
      <c r="D350" t="s">
        <v>965</v>
      </c>
      <c r="E350" t="s">
        <v>196</v>
      </c>
      <c r="F350" t="s">
        <v>197</v>
      </c>
      <c r="G350" t="s">
        <v>752</v>
      </c>
      <c r="H350">
        <v>11</v>
      </c>
      <c r="I350">
        <v>64.818200000000004</v>
      </c>
      <c r="J350">
        <v>83.7273</v>
      </c>
      <c r="K350">
        <v>18.909099999999999</v>
      </c>
      <c r="L350">
        <v>9</v>
      </c>
      <c r="M350">
        <v>1</v>
      </c>
      <c r="N350">
        <v>1</v>
      </c>
      <c r="O350" t="s">
        <v>127</v>
      </c>
      <c r="P350" t="s">
        <v>127</v>
      </c>
      <c r="Q350" t="s">
        <v>127</v>
      </c>
    </row>
    <row r="351" spans="1:17" x14ac:dyDescent="0.25">
      <c r="A351" t="str">
        <f>IF(C351&amp;G351&amp;D351&lt;&gt;'Funnel setup'!$K$3&amp;'Funnel setup'!$K$4&amp;'Funnel setup'!$K$6,".",IF(A350=".",1,A350+1))</f>
        <v>.</v>
      </c>
      <c r="B351" s="244" t="str">
        <f t="shared" si="5"/>
        <v>Hip Replacement PrimaryProviderCIRCLE READING HOSPITAL (NV323)EQ VAS</v>
      </c>
      <c r="C351" t="s">
        <v>749</v>
      </c>
      <c r="D351" t="s">
        <v>965</v>
      </c>
      <c r="E351" t="s">
        <v>198</v>
      </c>
      <c r="F351" t="s">
        <v>199</v>
      </c>
      <c r="G351" t="s">
        <v>752</v>
      </c>
      <c r="H351">
        <v>63</v>
      </c>
      <c r="I351">
        <v>43.904800000000002</v>
      </c>
      <c r="J351">
        <v>79.206299999999999</v>
      </c>
      <c r="K351">
        <v>35.301600000000001</v>
      </c>
      <c r="L351">
        <v>57</v>
      </c>
      <c r="M351">
        <v>1</v>
      </c>
      <c r="N351">
        <v>5</v>
      </c>
      <c r="O351">
        <v>79.529799999999994</v>
      </c>
      <c r="P351">
        <v>18.718599999999999</v>
      </c>
      <c r="Q351">
        <v>16.8249</v>
      </c>
    </row>
    <row r="352" spans="1:17" x14ac:dyDescent="0.25">
      <c r="A352" t="str">
        <f>IF(C352&amp;G352&amp;D352&lt;&gt;'Funnel setup'!$K$3&amp;'Funnel setup'!$K$4&amp;'Funnel setup'!$K$6,".",IF(A351=".",1,A351+1))</f>
        <v>.</v>
      </c>
      <c r="B352" s="244" t="str">
        <f t="shared" si="5"/>
        <v>Hip Replacement PrimaryProviderCLEMENTINE CHURCHILL HOSPITAL (NT411)EQ VAS</v>
      </c>
      <c r="C352" t="s">
        <v>749</v>
      </c>
      <c r="D352" t="s">
        <v>965</v>
      </c>
      <c r="E352" t="s">
        <v>200</v>
      </c>
      <c r="F352" t="s">
        <v>201</v>
      </c>
      <c r="G352" t="s">
        <v>752</v>
      </c>
      <c r="H352">
        <v>21</v>
      </c>
      <c r="I352">
        <v>59.285699999999999</v>
      </c>
      <c r="J352">
        <v>68.666700000000006</v>
      </c>
      <c r="K352">
        <v>9.3809500000000003</v>
      </c>
      <c r="L352">
        <v>13</v>
      </c>
      <c r="M352">
        <v>0</v>
      </c>
      <c r="N352">
        <v>8</v>
      </c>
      <c r="O352" t="s">
        <v>127</v>
      </c>
      <c r="P352" t="s">
        <v>127</v>
      </c>
      <c r="Q352" t="s">
        <v>127</v>
      </c>
    </row>
    <row r="353" spans="1:17" x14ac:dyDescent="0.25">
      <c r="A353" t="str">
        <f>IF(C353&amp;G353&amp;D353&lt;&gt;'Funnel setup'!$K$3&amp;'Funnel setup'!$K$4&amp;'Funnel setup'!$K$6,".",IF(A352=".",1,A352+1))</f>
        <v>.</v>
      </c>
      <c r="B353" s="244" t="str">
        <f t="shared" si="5"/>
        <v>Hip Replacement PrimaryProviderCLIFTON PARK HOSPITAL (NVC28)EQ VAS</v>
      </c>
      <c r="C353" t="s">
        <v>749</v>
      </c>
      <c r="D353" t="s">
        <v>965</v>
      </c>
      <c r="E353" t="s">
        <v>202</v>
      </c>
      <c r="F353" t="s">
        <v>203</v>
      </c>
      <c r="G353" t="s">
        <v>752</v>
      </c>
      <c r="H353">
        <v>38</v>
      </c>
      <c r="I353">
        <v>50.526299999999999</v>
      </c>
      <c r="J353">
        <v>73.631600000000006</v>
      </c>
      <c r="K353">
        <v>23.1053</v>
      </c>
      <c r="L353">
        <v>32</v>
      </c>
      <c r="M353">
        <v>0</v>
      </c>
      <c r="N353">
        <v>6</v>
      </c>
      <c r="O353">
        <v>74.226500000000001</v>
      </c>
      <c r="P353">
        <v>13.4152</v>
      </c>
      <c r="Q353">
        <v>21.702100000000002</v>
      </c>
    </row>
    <row r="354" spans="1:17" x14ac:dyDescent="0.25">
      <c r="A354" t="str">
        <f>IF(C354&amp;G354&amp;D354&lt;&gt;'Funnel setup'!$K$3&amp;'Funnel setup'!$K$4&amp;'Funnel setup'!$K$6,".",IF(A353=".",1,A353+1))</f>
        <v>.</v>
      </c>
      <c r="B354" s="244" t="str">
        <f t="shared" si="5"/>
        <v>Hip Replacement PrimaryProviderCOUNTESS OF CHESTER HOSPITAL NHS FOUNDATION TRUST (RJR)EQ VAS</v>
      </c>
      <c r="C354" t="s">
        <v>749</v>
      </c>
      <c r="D354" t="s">
        <v>965</v>
      </c>
      <c r="E354" t="s">
        <v>204</v>
      </c>
      <c r="F354" t="s">
        <v>205</v>
      </c>
      <c r="G354" t="s">
        <v>752</v>
      </c>
      <c r="H354">
        <v>23</v>
      </c>
      <c r="I354">
        <v>63</v>
      </c>
      <c r="J354">
        <v>77.782600000000002</v>
      </c>
      <c r="K354">
        <v>14.7826</v>
      </c>
      <c r="L354">
        <v>17</v>
      </c>
      <c r="M354">
        <v>0</v>
      </c>
      <c r="N354">
        <v>6</v>
      </c>
      <c r="O354" t="s">
        <v>127</v>
      </c>
      <c r="P354" t="s">
        <v>127</v>
      </c>
      <c r="Q354" t="s">
        <v>127</v>
      </c>
    </row>
    <row r="355" spans="1:17" x14ac:dyDescent="0.25">
      <c r="A355" t="str">
        <f>IF(C355&amp;G355&amp;D355&lt;&gt;'Funnel setup'!$K$3&amp;'Funnel setup'!$K$4&amp;'Funnel setup'!$K$6,".",IF(A354=".",1,A354+1))</f>
        <v>.</v>
      </c>
      <c r="B355" s="244" t="str">
        <f t="shared" si="5"/>
        <v>Hip Replacement PrimaryProviderCOUNTY DURHAM AND DARLINGTON NHS FOUNDATION TRUST (RXP)EQ VAS</v>
      </c>
      <c r="C355" t="s">
        <v>749</v>
      </c>
      <c r="D355" t="s">
        <v>965</v>
      </c>
      <c r="E355" t="s">
        <v>206</v>
      </c>
      <c r="F355" t="s">
        <v>207</v>
      </c>
      <c r="G355" t="s">
        <v>752</v>
      </c>
      <c r="H355">
        <v>147</v>
      </c>
      <c r="I355">
        <v>61.986400000000003</v>
      </c>
      <c r="J355">
        <v>70.5578</v>
      </c>
      <c r="K355">
        <v>8.5714299999999994</v>
      </c>
      <c r="L355">
        <v>82</v>
      </c>
      <c r="M355">
        <v>17</v>
      </c>
      <c r="N355">
        <v>48</v>
      </c>
      <c r="O355">
        <v>71.559299999999993</v>
      </c>
      <c r="P355">
        <v>10.747999999999999</v>
      </c>
      <c r="Q355">
        <v>19.487100000000002</v>
      </c>
    </row>
    <row r="356" spans="1:17" x14ac:dyDescent="0.25">
      <c r="A356" t="str">
        <f>IF(C356&amp;G356&amp;D356&lt;&gt;'Funnel setup'!$K$3&amp;'Funnel setup'!$K$4&amp;'Funnel setup'!$K$6,".",IF(A355=".",1,A355+1))</f>
        <v>.</v>
      </c>
      <c r="B356" s="244" t="str">
        <f t="shared" si="5"/>
        <v>Hip Replacement PrimaryProviderDONCASTER AND BASSETLAW TEACHING HOSPITALS NHS FOUNDATION TRUST (RP5)EQ VAS</v>
      </c>
      <c r="C356" t="s">
        <v>749</v>
      </c>
      <c r="D356" t="s">
        <v>965</v>
      </c>
      <c r="E356" t="s">
        <v>212</v>
      </c>
      <c r="F356" t="s">
        <v>213</v>
      </c>
      <c r="G356" t="s">
        <v>752</v>
      </c>
      <c r="H356">
        <v>57</v>
      </c>
      <c r="I356">
        <v>53.386000000000003</v>
      </c>
      <c r="J356">
        <v>71</v>
      </c>
      <c r="K356">
        <v>17.614000000000001</v>
      </c>
      <c r="L356">
        <v>43</v>
      </c>
      <c r="M356">
        <v>4</v>
      </c>
      <c r="N356">
        <v>10</v>
      </c>
      <c r="O356">
        <v>76.318100000000001</v>
      </c>
      <c r="P356">
        <v>15.5068</v>
      </c>
      <c r="Q356">
        <v>17.0245</v>
      </c>
    </row>
    <row r="357" spans="1:17" x14ac:dyDescent="0.25">
      <c r="A357" t="str">
        <f>IF(C357&amp;G357&amp;D357&lt;&gt;'Funnel setup'!$K$3&amp;'Funnel setup'!$K$4&amp;'Funnel setup'!$K$6,".",IF(A356=".",1,A356+1))</f>
        <v>.</v>
      </c>
      <c r="B357" s="244" t="str">
        <f t="shared" si="5"/>
        <v>Hip Replacement PrimaryProviderDORSET COUNTY HOSPITAL NHS FOUNDATION TRUST (RBD)EQ VAS</v>
      </c>
      <c r="C357" t="s">
        <v>749</v>
      </c>
      <c r="D357" t="s">
        <v>965</v>
      </c>
      <c r="E357" t="s">
        <v>214</v>
      </c>
      <c r="F357" t="s">
        <v>215</v>
      </c>
      <c r="G357" t="s">
        <v>752</v>
      </c>
      <c r="H357">
        <v>11</v>
      </c>
      <c r="I357">
        <v>62</v>
      </c>
      <c r="J357">
        <v>75.909099999999995</v>
      </c>
      <c r="K357">
        <v>13.9091</v>
      </c>
      <c r="L357">
        <v>9</v>
      </c>
      <c r="M357">
        <v>0</v>
      </c>
      <c r="N357">
        <v>2</v>
      </c>
      <c r="O357" t="s">
        <v>127</v>
      </c>
      <c r="P357" t="s">
        <v>127</v>
      </c>
      <c r="Q357" t="s">
        <v>127</v>
      </c>
    </row>
    <row r="358" spans="1:17" x14ac:dyDescent="0.25">
      <c r="A358" t="str">
        <f>IF(C358&amp;G358&amp;D358&lt;&gt;'Funnel setup'!$K$3&amp;'Funnel setup'!$K$4&amp;'Funnel setup'!$K$6,".",IF(A357=".",1,A357+1))</f>
        <v>.</v>
      </c>
      <c r="B358" s="244" t="str">
        <f t="shared" si="5"/>
        <v>Hip Replacement PrimaryProviderDROITWICH SPA HOSPITAL (NT412)EQ VAS</v>
      </c>
      <c r="C358" t="s">
        <v>749</v>
      </c>
      <c r="D358" t="s">
        <v>965</v>
      </c>
      <c r="E358" t="s">
        <v>216</v>
      </c>
      <c r="F358" t="s">
        <v>217</v>
      </c>
      <c r="G358" t="s">
        <v>752</v>
      </c>
      <c r="H358">
        <v>24</v>
      </c>
      <c r="I358">
        <v>56.958300000000001</v>
      </c>
      <c r="J358">
        <v>80.083299999999994</v>
      </c>
      <c r="K358">
        <v>23.125</v>
      </c>
      <c r="L358">
        <v>19</v>
      </c>
      <c r="M358">
        <v>2</v>
      </c>
      <c r="N358">
        <v>3</v>
      </c>
      <c r="O358" t="s">
        <v>127</v>
      </c>
      <c r="P358" t="s">
        <v>127</v>
      </c>
      <c r="Q358" t="s">
        <v>127</v>
      </c>
    </row>
    <row r="359" spans="1:17" x14ac:dyDescent="0.25">
      <c r="A359" t="str">
        <f>IF(C359&amp;G359&amp;D359&lt;&gt;'Funnel setup'!$K$3&amp;'Funnel setup'!$K$4&amp;'Funnel setup'!$K$6,".",IF(A358=".",1,A358+1))</f>
        <v>.</v>
      </c>
      <c r="B359" s="244" t="str">
        <f t="shared" si="5"/>
        <v>Hip Replacement PrimaryProviderDUCHY HOSPITAL (NT447)EQ VAS</v>
      </c>
      <c r="C359" t="s">
        <v>749</v>
      </c>
      <c r="D359" t="s">
        <v>965</v>
      </c>
      <c r="E359" t="s">
        <v>218</v>
      </c>
      <c r="F359" t="s">
        <v>219</v>
      </c>
      <c r="G359" t="s">
        <v>752</v>
      </c>
      <c r="H359">
        <v>27</v>
      </c>
      <c r="I359">
        <v>64.185199999999995</v>
      </c>
      <c r="J359">
        <v>81.074100000000001</v>
      </c>
      <c r="K359">
        <v>16.8889</v>
      </c>
      <c r="L359">
        <v>18</v>
      </c>
      <c r="M359">
        <v>2</v>
      </c>
      <c r="N359">
        <v>7</v>
      </c>
      <c r="O359" t="s">
        <v>127</v>
      </c>
      <c r="P359" t="s">
        <v>127</v>
      </c>
      <c r="Q359" t="s">
        <v>127</v>
      </c>
    </row>
    <row r="360" spans="1:17" x14ac:dyDescent="0.25">
      <c r="A360" t="str">
        <f>IF(C360&amp;G360&amp;D360&lt;&gt;'Funnel setup'!$K$3&amp;'Funnel setup'!$K$4&amp;'Funnel setup'!$K$6,".",IF(A359=".",1,A359+1))</f>
        <v>.</v>
      </c>
      <c r="B360" s="244" t="str">
        <f t="shared" si="5"/>
        <v>Hip Replacement PrimaryProviderDUCHY HOSPITAL (NVC04)EQ VAS</v>
      </c>
      <c r="C360" t="s">
        <v>749</v>
      </c>
      <c r="D360" t="s">
        <v>965</v>
      </c>
      <c r="E360" t="s">
        <v>220</v>
      </c>
      <c r="F360" t="s">
        <v>221</v>
      </c>
      <c r="G360" t="s">
        <v>752</v>
      </c>
      <c r="H360">
        <v>25</v>
      </c>
      <c r="I360">
        <v>50</v>
      </c>
      <c r="J360">
        <v>71.959999999999994</v>
      </c>
      <c r="K360">
        <v>21.96</v>
      </c>
      <c r="L360">
        <v>20</v>
      </c>
      <c r="M360">
        <v>3</v>
      </c>
      <c r="N360">
        <v>2</v>
      </c>
      <c r="O360" t="s">
        <v>127</v>
      </c>
      <c r="P360" t="s">
        <v>127</v>
      </c>
      <c r="Q360" t="s">
        <v>127</v>
      </c>
    </row>
    <row r="361" spans="1:17" x14ac:dyDescent="0.25">
      <c r="A361" t="str">
        <f>IF(C361&amp;G361&amp;D361&lt;&gt;'Funnel setup'!$K$3&amp;'Funnel setup'!$K$4&amp;'Funnel setup'!$K$6,".",IF(A360=".",1,A360+1))</f>
        <v>.</v>
      </c>
      <c r="B361" s="244" t="str">
        <f t="shared" si="5"/>
        <v>Hip Replacement PrimaryProviderEAST AND NORTH HERTFORDSHIRE NHS TRUST (RWH)EQ VAS</v>
      </c>
      <c r="C361" t="s">
        <v>749</v>
      </c>
      <c r="D361" t="s">
        <v>965</v>
      </c>
      <c r="E361" t="s">
        <v>224</v>
      </c>
      <c r="F361" t="s">
        <v>225</v>
      </c>
      <c r="G361" t="s">
        <v>752</v>
      </c>
      <c r="H361">
        <v>31</v>
      </c>
      <c r="I361">
        <v>57.645200000000003</v>
      </c>
      <c r="J361">
        <v>78.064499999999995</v>
      </c>
      <c r="K361">
        <v>20.4194</v>
      </c>
      <c r="L361">
        <v>24</v>
      </c>
      <c r="M361">
        <v>2</v>
      </c>
      <c r="N361">
        <v>5</v>
      </c>
      <c r="O361">
        <v>78.095799999999997</v>
      </c>
      <c r="P361">
        <v>17.284600000000001</v>
      </c>
      <c r="Q361">
        <v>15.711</v>
      </c>
    </row>
    <row r="362" spans="1:17" x14ac:dyDescent="0.25">
      <c r="A362" t="str">
        <f>IF(C362&amp;G362&amp;D362&lt;&gt;'Funnel setup'!$K$3&amp;'Funnel setup'!$K$4&amp;'Funnel setup'!$K$6,".",IF(A361=".",1,A361+1))</f>
        <v>.</v>
      </c>
      <c r="B362" s="244" t="str">
        <f t="shared" si="5"/>
        <v>Hip Replacement PrimaryProviderEAST CHESHIRE NHS TRUST (RJN)EQ VAS</v>
      </c>
      <c r="C362" t="s">
        <v>749</v>
      </c>
      <c r="D362" t="s">
        <v>965</v>
      </c>
      <c r="E362" t="s">
        <v>226</v>
      </c>
      <c r="F362" t="s">
        <v>227</v>
      </c>
      <c r="G362" t="s">
        <v>752</v>
      </c>
      <c r="H362">
        <v>4</v>
      </c>
      <c r="I362">
        <v>72.5</v>
      </c>
      <c r="J362">
        <v>63.75</v>
      </c>
      <c r="K362">
        <v>-8.75</v>
      </c>
      <c r="L362">
        <v>1</v>
      </c>
      <c r="M362">
        <v>1</v>
      </c>
      <c r="N362">
        <v>2</v>
      </c>
      <c r="O362" t="s">
        <v>127</v>
      </c>
      <c r="P362" t="s">
        <v>127</v>
      </c>
      <c r="Q362" t="s">
        <v>127</v>
      </c>
    </row>
    <row r="363" spans="1:17" x14ac:dyDescent="0.25">
      <c r="A363" t="str">
        <f>IF(C363&amp;G363&amp;D363&lt;&gt;'Funnel setup'!$K$3&amp;'Funnel setup'!$K$4&amp;'Funnel setup'!$K$6,".",IF(A362=".",1,A362+1))</f>
        <v>.</v>
      </c>
      <c r="B363" s="244" t="str">
        <f t="shared" si="5"/>
        <v>Hip Replacement PrimaryProviderEAST KENT HOSPITALS UNIVERSITY NHS FOUNDATION TRUST (RVV)EQ VAS</v>
      </c>
      <c r="C363" t="s">
        <v>749</v>
      </c>
      <c r="D363" t="s">
        <v>965</v>
      </c>
      <c r="E363" t="s">
        <v>228</v>
      </c>
      <c r="F363" t="s">
        <v>229</v>
      </c>
      <c r="G363" t="s">
        <v>752</v>
      </c>
      <c r="H363">
        <v>83</v>
      </c>
      <c r="I363">
        <v>59.1205</v>
      </c>
      <c r="J363">
        <v>72.192800000000005</v>
      </c>
      <c r="K363">
        <v>13.0723</v>
      </c>
      <c r="L363">
        <v>57</v>
      </c>
      <c r="M363">
        <v>6</v>
      </c>
      <c r="N363">
        <v>20</v>
      </c>
      <c r="O363">
        <v>74.897499999999994</v>
      </c>
      <c r="P363">
        <v>14.0862</v>
      </c>
      <c r="Q363">
        <v>17.5931</v>
      </c>
    </row>
    <row r="364" spans="1:17" x14ac:dyDescent="0.25">
      <c r="A364" t="str">
        <f>IF(C364&amp;G364&amp;D364&lt;&gt;'Funnel setup'!$K$3&amp;'Funnel setup'!$K$4&amp;'Funnel setup'!$K$6,".",IF(A363=".",1,A363+1))</f>
        <v>.</v>
      </c>
      <c r="B364" s="244" t="str">
        <f t="shared" si="5"/>
        <v>Hip Replacement PrimaryProviderEAST LANCASHIRE HOSPITALS NHS TRUST (RXR)EQ VAS</v>
      </c>
      <c r="C364" t="s">
        <v>749</v>
      </c>
      <c r="D364" t="s">
        <v>965</v>
      </c>
      <c r="E364" t="s">
        <v>230</v>
      </c>
      <c r="F364" t="s">
        <v>231</v>
      </c>
      <c r="G364" t="s">
        <v>752</v>
      </c>
      <c r="H364">
        <v>81</v>
      </c>
      <c r="I364">
        <v>61.320999999999998</v>
      </c>
      <c r="J364">
        <v>73.172799999999995</v>
      </c>
      <c r="K364">
        <v>11.851900000000001</v>
      </c>
      <c r="L364">
        <v>49</v>
      </c>
      <c r="M364">
        <v>6</v>
      </c>
      <c r="N364">
        <v>26</v>
      </c>
      <c r="O364">
        <v>75.066699999999997</v>
      </c>
      <c r="P364">
        <v>14.2554</v>
      </c>
      <c r="Q364">
        <v>15.4247</v>
      </c>
    </row>
    <row r="365" spans="1:17" x14ac:dyDescent="0.25">
      <c r="A365" t="str">
        <f>IF(C365&amp;G365&amp;D365&lt;&gt;'Funnel setup'!$K$3&amp;'Funnel setup'!$K$4&amp;'Funnel setup'!$K$6,".",IF(A364=".",1,A364+1))</f>
        <v>.</v>
      </c>
      <c r="B365" s="244" t="str">
        <f t="shared" si="5"/>
        <v>Hip Replacement PrimaryProviderEAST SUFFOLK AND NORTH ESSEX NHS FOUNDATION TRUST (RDE)EQ VAS</v>
      </c>
      <c r="C365" t="s">
        <v>749</v>
      </c>
      <c r="D365" t="s">
        <v>965</v>
      </c>
      <c r="E365" t="s">
        <v>232</v>
      </c>
      <c r="F365" t="s">
        <v>233</v>
      </c>
      <c r="G365" t="s">
        <v>752</v>
      </c>
      <c r="H365">
        <v>121</v>
      </c>
      <c r="I365">
        <v>56.454500000000003</v>
      </c>
      <c r="J365">
        <v>75.801699999999997</v>
      </c>
      <c r="K365">
        <v>19.347100000000001</v>
      </c>
      <c r="L365">
        <v>92</v>
      </c>
      <c r="M365">
        <v>12</v>
      </c>
      <c r="N365">
        <v>17</v>
      </c>
      <c r="O365">
        <v>77.553299999999993</v>
      </c>
      <c r="P365">
        <v>16.742000000000001</v>
      </c>
      <c r="Q365">
        <v>16.565200000000001</v>
      </c>
    </row>
    <row r="366" spans="1:17" x14ac:dyDescent="0.25">
      <c r="A366" t="str">
        <f>IF(C366&amp;G366&amp;D366&lt;&gt;'Funnel setup'!$K$3&amp;'Funnel setup'!$K$4&amp;'Funnel setup'!$K$6,".",IF(A365=".",1,A365+1))</f>
        <v>.</v>
      </c>
      <c r="B366" s="244" t="str">
        <f t="shared" si="5"/>
        <v>Hip Replacement PrimaryProviderEAST SUSSEX HEALTHCARE NHS TRUST (RXC)EQ VAS</v>
      </c>
      <c r="C366" t="s">
        <v>749</v>
      </c>
      <c r="D366" t="s">
        <v>965</v>
      </c>
      <c r="E366" t="s">
        <v>234</v>
      </c>
      <c r="F366" t="s">
        <v>235</v>
      </c>
      <c r="G366" t="s">
        <v>752</v>
      </c>
      <c r="H366">
        <v>77</v>
      </c>
      <c r="I366">
        <v>63.428600000000003</v>
      </c>
      <c r="J366">
        <v>75.610399999999998</v>
      </c>
      <c r="K366">
        <v>12.181800000000001</v>
      </c>
      <c r="L366">
        <v>49</v>
      </c>
      <c r="M366">
        <v>11</v>
      </c>
      <c r="N366">
        <v>17</v>
      </c>
      <c r="O366">
        <v>75.950199999999995</v>
      </c>
      <c r="P366">
        <v>15.138999999999999</v>
      </c>
      <c r="Q366">
        <v>17.686399999999999</v>
      </c>
    </row>
    <row r="367" spans="1:17" x14ac:dyDescent="0.25">
      <c r="A367" t="str">
        <f>IF(C367&amp;G367&amp;D367&lt;&gt;'Funnel setup'!$K$3&amp;'Funnel setup'!$K$4&amp;'Funnel setup'!$K$6,".",IF(A366=".",1,A366+1))</f>
        <v>.</v>
      </c>
      <c r="B367" s="244" t="str">
        <f t="shared" si="5"/>
        <v>Hip Replacement PrimaryProviderEPSOM AND ST HELIER UNIVERSITY HOSPITALS NHS TRUST (RVR)EQ VAS</v>
      </c>
      <c r="C367" t="s">
        <v>749</v>
      </c>
      <c r="D367" t="s">
        <v>965</v>
      </c>
      <c r="E367" t="s">
        <v>238</v>
      </c>
      <c r="F367" t="s">
        <v>239</v>
      </c>
      <c r="G367" t="s">
        <v>752</v>
      </c>
      <c r="H367">
        <v>494</v>
      </c>
      <c r="I367">
        <v>59.832000000000001</v>
      </c>
      <c r="J367">
        <v>76.595100000000002</v>
      </c>
      <c r="K367">
        <v>16.763200000000001</v>
      </c>
      <c r="L367">
        <v>369</v>
      </c>
      <c r="M367">
        <v>54</v>
      </c>
      <c r="N367">
        <v>71</v>
      </c>
      <c r="O367">
        <v>76.868099999999998</v>
      </c>
      <c r="P367">
        <v>16.056899999999999</v>
      </c>
      <c r="Q367">
        <v>15.7697</v>
      </c>
    </row>
    <row r="368" spans="1:17" x14ac:dyDescent="0.25">
      <c r="A368" t="str">
        <f>IF(C368&amp;G368&amp;D368&lt;&gt;'Funnel setup'!$K$3&amp;'Funnel setup'!$K$4&amp;'Funnel setup'!$K$6,".",IF(A367=".",1,A367+1))</f>
        <v>.</v>
      </c>
      <c r="B368" s="244" t="str">
        <f t="shared" si="5"/>
        <v>Hip Replacement PrimaryProviderEUXTON HALL HOSPITAL (NVC05)EQ VAS</v>
      </c>
      <c r="C368" t="s">
        <v>749</v>
      </c>
      <c r="D368" t="s">
        <v>965</v>
      </c>
      <c r="E368" t="s">
        <v>240</v>
      </c>
      <c r="F368" t="s">
        <v>241</v>
      </c>
      <c r="G368" t="s">
        <v>752</v>
      </c>
      <c r="H368">
        <v>52</v>
      </c>
      <c r="I368">
        <v>62.076900000000002</v>
      </c>
      <c r="J368">
        <v>78.615399999999994</v>
      </c>
      <c r="K368">
        <v>16.538499999999999</v>
      </c>
      <c r="L368">
        <v>43</v>
      </c>
      <c r="M368">
        <v>4</v>
      </c>
      <c r="N368">
        <v>5</v>
      </c>
      <c r="O368">
        <v>78.283799999999999</v>
      </c>
      <c r="P368">
        <v>17.4725</v>
      </c>
      <c r="Q368">
        <v>16.203800000000001</v>
      </c>
    </row>
    <row r="369" spans="1:17" x14ac:dyDescent="0.25">
      <c r="A369" t="str">
        <f>IF(C369&amp;G369&amp;D369&lt;&gt;'Funnel setup'!$K$3&amp;'Funnel setup'!$K$4&amp;'Funnel setup'!$K$6,".",IF(A368=".",1,A368+1))</f>
        <v>.</v>
      </c>
      <c r="B369" s="244" t="str">
        <f t="shared" si="5"/>
        <v>Hip Replacement PrimaryProviderFAIRFIELD HOSPITAL (NVG01)EQ VAS</v>
      </c>
      <c r="C369" t="s">
        <v>749</v>
      </c>
      <c r="D369" t="s">
        <v>965</v>
      </c>
      <c r="E369" t="s">
        <v>242</v>
      </c>
      <c r="F369" t="s">
        <v>243</v>
      </c>
      <c r="G369" t="s">
        <v>752</v>
      </c>
      <c r="H369">
        <v>40</v>
      </c>
      <c r="I369">
        <v>61.424999999999997</v>
      </c>
      <c r="J369">
        <v>68.674999999999997</v>
      </c>
      <c r="K369">
        <v>7.25</v>
      </c>
      <c r="L369">
        <v>25</v>
      </c>
      <c r="M369">
        <v>2</v>
      </c>
      <c r="N369">
        <v>13</v>
      </c>
      <c r="O369">
        <v>68.516999999999996</v>
      </c>
      <c r="P369">
        <v>7.7057000000000002</v>
      </c>
      <c r="Q369">
        <v>19.087800000000001</v>
      </c>
    </row>
    <row r="370" spans="1:17" x14ac:dyDescent="0.25">
      <c r="A370" t="str">
        <f>IF(C370&amp;G370&amp;D370&lt;&gt;'Funnel setup'!$K$3&amp;'Funnel setup'!$K$4&amp;'Funnel setup'!$K$6,".",IF(A369=".",1,A369+1))</f>
        <v>.</v>
      </c>
      <c r="B370" s="244" t="str">
        <f t="shared" si="5"/>
        <v>Hip Replacement PrimaryProviderFITZWILLIAM HOSPITAL (NVC06)EQ VAS</v>
      </c>
      <c r="C370" t="s">
        <v>749</v>
      </c>
      <c r="D370" t="s">
        <v>965</v>
      </c>
      <c r="E370" t="s">
        <v>244</v>
      </c>
      <c r="F370" t="s">
        <v>245</v>
      </c>
      <c r="G370" t="s">
        <v>752</v>
      </c>
      <c r="H370">
        <v>52</v>
      </c>
      <c r="I370">
        <v>63.711500000000001</v>
      </c>
      <c r="J370">
        <v>76.230800000000002</v>
      </c>
      <c r="K370">
        <v>12.5192</v>
      </c>
      <c r="L370">
        <v>38</v>
      </c>
      <c r="M370">
        <v>2</v>
      </c>
      <c r="N370">
        <v>12</v>
      </c>
      <c r="O370">
        <v>75.763199999999998</v>
      </c>
      <c r="P370">
        <v>14.9519</v>
      </c>
      <c r="Q370">
        <v>15.3489</v>
      </c>
    </row>
    <row r="371" spans="1:17" x14ac:dyDescent="0.25">
      <c r="A371" t="str">
        <f>IF(C371&amp;G371&amp;D371&lt;&gt;'Funnel setup'!$K$3&amp;'Funnel setup'!$K$4&amp;'Funnel setup'!$K$6,".",IF(A370=".",1,A370+1))</f>
        <v>.</v>
      </c>
      <c r="B371" s="244" t="str">
        <f t="shared" si="5"/>
        <v>Hip Replacement PrimaryProviderFRIMLEY HEALTH NHS FOUNDATION TRUST (RDU)EQ VAS</v>
      </c>
      <c r="C371" t="s">
        <v>749</v>
      </c>
      <c r="D371" t="s">
        <v>965</v>
      </c>
      <c r="E371" t="s">
        <v>248</v>
      </c>
      <c r="F371" t="s">
        <v>249</v>
      </c>
      <c r="G371" t="s">
        <v>752</v>
      </c>
      <c r="H371">
        <v>149</v>
      </c>
      <c r="I371">
        <v>63.369100000000003</v>
      </c>
      <c r="J371">
        <v>75.825500000000005</v>
      </c>
      <c r="K371">
        <v>12.4564</v>
      </c>
      <c r="L371">
        <v>104</v>
      </c>
      <c r="M371">
        <v>12</v>
      </c>
      <c r="N371">
        <v>33</v>
      </c>
      <c r="O371">
        <v>74.790300000000002</v>
      </c>
      <c r="P371">
        <v>13.978999999999999</v>
      </c>
      <c r="Q371">
        <v>16.940100000000001</v>
      </c>
    </row>
    <row r="372" spans="1:17" x14ac:dyDescent="0.25">
      <c r="A372" t="str">
        <f>IF(C372&amp;G372&amp;D372&lt;&gt;'Funnel setup'!$K$3&amp;'Funnel setup'!$K$4&amp;'Funnel setup'!$K$6,".",IF(A371=".",1,A371+1))</f>
        <v>.</v>
      </c>
      <c r="B372" s="244" t="str">
        <f t="shared" si="5"/>
        <v>Hip Replacement PrimaryProviderFULWOOD HALL HOSPITAL (NVC07)EQ VAS</v>
      </c>
      <c r="C372" t="s">
        <v>749</v>
      </c>
      <c r="D372" t="s">
        <v>965</v>
      </c>
      <c r="E372" t="s">
        <v>250</v>
      </c>
      <c r="F372" t="s">
        <v>251</v>
      </c>
      <c r="G372" t="s">
        <v>752</v>
      </c>
      <c r="H372">
        <v>67</v>
      </c>
      <c r="I372">
        <v>70.059700000000007</v>
      </c>
      <c r="J372">
        <v>80.089600000000004</v>
      </c>
      <c r="K372">
        <v>10.0299</v>
      </c>
      <c r="L372">
        <v>48</v>
      </c>
      <c r="M372">
        <v>3</v>
      </c>
      <c r="N372">
        <v>16</v>
      </c>
      <c r="O372">
        <v>76.533500000000004</v>
      </c>
      <c r="P372">
        <v>15.722200000000001</v>
      </c>
      <c r="Q372">
        <v>12.4223</v>
      </c>
    </row>
    <row r="373" spans="1:17" x14ac:dyDescent="0.25">
      <c r="A373" t="str">
        <f>IF(C373&amp;G373&amp;D373&lt;&gt;'Funnel setup'!$K$3&amp;'Funnel setup'!$K$4&amp;'Funnel setup'!$K$6,".",IF(A372=".",1,A372+1))</f>
        <v>.</v>
      </c>
      <c r="B373" s="244" t="str">
        <f t="shared" si="5"/>
        <v>Hip Replacement PrimaryProviderGATESHEAD HEALTH NHS FOUNDATION TRUST (RR7)EQ VAS</v>
      </c>
      <c r="C373" t="s">
        <v>749</v>
      </c>
      <c r="D373" t="s">
        <v>965</v>
      </c>
      <c r="E373" t="s">
        <v>252</v>
      </c>
      <c r="F373" t="s">
        <v>253</v>
      </c>
      <c r="G373" t="s">
        <v>752</v>
      </c>
      <c r="H373">
        <v>52</v>
      </c>
      <c r="I373">
        <v>51.423099999999998</v>
      </c>
      <c r="J373">
        <v>74.269199999999998</v>
      </c>
      <c r="K373">
        <v>22.8462</v>
      </c>
      <c r="L373">
        <v>39</v>
      </c>
      <c r="M373">
        <v>5</v>
      </c>
      <c r="N373">
        <v>8</v>
      </c>
      <c r="O373">
        <v>78.613399999999999</v>
      </c>
      <c r="P373">
        <v>17.802099999999999</v>
      </c>
      <c r="Q373">
        <v>19.121300000000002</v>
      </c>
    </row>
    <row r="374" spans="1:17" x14ac:dyDescent="0.25">
      <c r="A374" t="str">
        <f>IF(C374&amp;G374&amp;D374&lt;&gt;'Funnel setup'!$K$3&amp;'Funnel setup'!$K$4&amp;'Funnel setup'!$K$6,".",IF(A373=".",1,A373+1))</f>
        <v>.</v>
      </c>
      <c r="B374" s="244" t="str">
        <f t="shared" si="5"/>
        <v>Hip Replacement PrimaryProviderGLOUCESTERSHIRE HOSPITALS NHS FOUNDATION TRUST (RTE)EQ VAS</v>
      </c>
      <c r="C374" t="s">
        <v>749</v>
      </c>
      <c r="D374" t="s">
        <v>965</v>
      </c>
      <c r="E374" t="s">
        <v>256</v>
      </c>
      <c r="F374" t="s">
        <v>257</v>
      </c>
      <c r="G374" t="s">
        <v>752</v>
      </c>
      <c r="H374">
        <v>66</v>
      </c>
      <c r="I374">
        <v>49.802999999999997</v>
      </c>
      <c r="J374">
        <v>71.515199999999993</v>
      </c>
      <c r="K374">
        <v>21.7121</v>
      </c>
      <c r="L374">
        <v>50</v>
      </c>
      <c r="M374">
        <v>3</v>
      </c>
      <c r="N374">
        <v>13</v>
      </c>
      <c r="O374">
        <v>74.235600000000005</v>
      </c>
      <c r="P374">
        <v>13.424300000000001</v>
      </c>
      <c r="Q374">
        <v>18.236999999999998</v>
      </c>
    </row>
    <row r="375" spans="1:17" x14ac:dyDescent="0.25">
      <c r="A375" t="str">
        <f>IF(C375&amp;G375&amp;D375&lt;&gt;'Funnel setup'!$K$3&amp;'Funnel setup'!$K$4&amp;'Funnel setup'!$K$6,".",IF(A374=".",1,A374+1))</f>
        <v>.</v>
      </c>
      <c r="B375" s="244" t="str">
        <f t="shared" si="5"/>
        <v>Hip Replacement PrimaryProviderGORING HALL HOSPITAL (NT417)EQ VAS</v>
      </c>
      <c r="C375" t="s">
        <v>749</v>
      </c>
      <c r="D375" t="s">
        <v>965</v>
      </c>
      <c r="E375" t="s">
        <v>258</v>
      </c>
      <c r="F375" t="s">
        <v>259</v>
      </c>
      <c r="G375" t="s">
        <v>752</v>
      </c>
      <c r="H375">
        <v>22</v>
      </c>
      <c r="I375">
        <v>64.590900000000005</v>
      </c>
      <c r="J375">
        <v>76.136399999999995</v>
      </c>
      <c r="K375">
        <v>11.545500000000001</v>
      </c>
      <c r="L375">
        <v>14</v>
      </c>
      <c r="M375">
        <v>2</v>
      </c>
      <c r="N375">
        <v>6</v>
      </c>
      <c r="O375" t="s">
        <v>127</v>
      </c>
      <c r="P375" t="s">
        <v>127</v>
      </c>
      <c r="Q375" t="s">
        <v>127</v>
      </c>
    </row>
    <row r="376" spans="1:17" x14ac:dyDescent="0.25">
      <c r="A376" t="str">
        <f>IF(C376&amp;G376&amp;D376&lt;&gt;'Funnel setup'!$K$3&amp;'Funnel setup'!$K$4&amp;'Funnel setup'!$K$6,".",IF(A375=".",1,A375+1))</f>
        <v>.</v>
      </c>
      <c r="B376" s="244" t="str">
        <f t="shared" si="5"/>
        <v>Hip Replacement PrimaryProviderGUY'S AND ST THOMAS' NHS FOUNDATION TRUST (RJ1)EQ VAS</v>
      </c>
      <c r="C376" t="s">
        <v>749</v>
      </c>
      <c r="D376" t="s">
        <v>965</v>
      </c>
      <c r="E376" t="s">
        <v>262</v>
      </c>
      <c r="F376" t="s">
        <v>263</v>
      </c>
      <c r="G376" t="s">
        <v>752</v>
      </c>
      <c r="H376">
        <v>71</v>
      </c>
      <c r="I376">
        <v>55.563400000000001</v>
      </c>
      <c r="J376">
        <v>71.521100000000004</v>
      </c>
      <c r="K376">
        <v>15.957700000000001</v>
      </c>
      <c r="L376">
        <v>58</v>
      </c>
      <c r="M376">
        <v>4</v>
      </c>
      <c r="N376">
        <v>9</v>
      </c>
      <c r="O376">
        <v>72.097899999999996</v>
      </c>
      <c r="P376">
        <v>11.2867</v>
      </c>
      <c r="Q376">
        <v>14.835800000000001</v>
      </c>
    </row>
    <row r="377" spans="1:17" x14ac:dyDescent="0.25">
      <c r="A377" t="str">
        <f>IF(C377&amp;G377&amp;D377&lt;&gt;'Funnel setup'!$K$3&amp;'Funnel setup'!$K$4&amp;'Funnel setup'!$K$6,".",IF(A376=".",1,A376+1))</f>
        <v>.</v>
      </c>
      <c r="B377" s="244" t="str">
        <f t="shared" si="5"/>
        <v>Hip Replacement PrimaryProviderHAMPSHIRE CLINIC (NT418)EQ VAS</v>
      </c>
      <c r="C377" t="s">
        <v>749</v>
      </c>
      <c r="D377" t="s">
        <v>965</v>
      </c>
      <c r="E377" t="s">
        <v>264</v>
      </c>
      <c r="F377" t="s">
        <v>265</v>
      </c>
      <c r="G377" t="s">
        <v>752</v>
      </c>
      <c r="H377">
        <v>25</v>
      </c>
      <c r="I377">
        <v>67.040000000000006</v>
      </c>
      <c r="J377">
        <v>81.64</v>
      </c>
      <c r="K377">
        <v>14.6</v>
      </c>
      <c r="L377">
        <v>18</v>
      </c>
      <c r="M377">
        <v>3</v>
      </c>
      <c r="N377">
        <v>4</v>
      </c>
      <c r="O377" t="s">
        <v>127</v>
      </c>
      <c r="P377" t="s">
        <v>127</v>
      </c>
      <c r="Q377" t="s">
        <v>127</v>
      </c>
    </row>
    <row r="378" spans="1:17" x14ac:dyDescent="0.25">
      <c r="A378" t="str">
        <f>IF(C378&amp;G378&amp;D378&lt;&gt;'Funnel setup'!$K$3&amp;'Funnel setup'!$K$4&amp;'Funnel setup'!$K$6,".",IF(A377=".",1,A377+1))</f>
        <v>.</v>
      </c>
      <c r="B378" s="244" t="str">
        <f t="shared" si="5"/>
        <v>Hip Replacement PrimaryProviderHAMPSHIRE HOSPITALS NHS FOUNDATION TRUST (RN5)EQ VAS</v>
      </c>
      <c r="C378" t="s">
        <v>749</v>
      </c>
      <c r="D378" t="s">
        <v>965</v>
      </c>
      <c r="E378" t="s">
        <v>266</v>
      </c>
      <c r="F378" t="s">
        <v>267</v>
      </c>
      <c r="G378" t="s">
        <v>752</v>
      </c>
      <c r="H378">
        <v>33</v>
      </c>
      <c r="I378">
        <v>54.697000000000003</v>
      </c>
      <c r="J378">
        <v>73.575800000000001</v>
      </c>
      <c r="K378">
        <v>18.878799999999998</v>
      </c>
      <c r="L378">
        <v>23</v>
      </c>
      <c r="M378">
        <v>4</v>
      </c>
      <c r="N378">
        <v>6</v>
      </c>
      <c r="O378">
        <v>75.861900000000006</v>
      </c>
      <c r="P378">
        <v>15.050599999999999</v>
      </c>
      <c r="Q378">
        <v>18.8291</v>
      </c>
    </row>
    <row r="379" spans="1:17" x14ac:dyDescent="0.25">
      <c r="A379" t="str">
        <f>IF(C379&amp;G379&amp;D379&lt;&gt;'Funnel setup'!$K$3&amp;'Funnel setup'!$K$4&amp;'Funnel setup'!$K$6,".",IF(A378=".",1,A378+1))</f>
        <v>.</v>
      </c>
      <c r="B379" s="244" t="str">
        <f t="shared" si="5"/>
        <v>Hip Replacement PrimaryProviderHARBOUR HOSPITAL (NT419)EQ VAS</v>
      </c>
      <c r="C379" t="s">
        <v>749</v>
      </c>
      <c r="D379" t="s">
        <v>965</v>
      </c>
      <c r="E379" t="s">
        <v>268</v>
      </c>
      <c r="F379" t="s">
        <v>269</v>
      </c>
      <c r="G379" t="s">
        <v>752</v>
      </c>
      <c r="H379">
        <v>10</v>
      </c>
      <c r="I379">
        <v>63</v>
      </c>
      <c r="J379">
        <v>84.2</v>
      </c>
      <c r="K379">
        <v>21.2</v>
      </c>
      <c r="L379">
        <v>9</v>
      </c>
      <c r="M379">
        <v>1</v>
      </c>
      <c r="N379">
        <v>0</v>
      </c>
      <c r="O379" t="s">
        <v>127</v>
      </c>
      <c r="P379" t="s">
        <v>127</v>
      </c>
      <c r="Q379" t="s">
        <v>127</v>
      </c>
    </row>
    <row r="380" spans="1:17" x14ac:dyDescent="0.25">
      <c r="A380" t="str">
        <f>IF(C380&amp;G380&amp;D380&lt;&gt;'Funnel setup'!$K$3&amp;'Funnel setup'!$K$4&amp;'Funnel setup'!$K$6,".",IF(A379=".",1,A379+1))</f>
        <v>.</v>
      </c>
      <c r="B380" s="244" t="str">
        <f t="shared" si="5"/>
        <v>Hip Replacement PrimaryProviderHARROGATE AND DISTRICT NHS FOUNDATION TRUST (RCD)EQ VAS</v>
      </c>
      <c r="C380" t="s">
        <v>749</v>
      </c>
      <c r="D380" t="s">
        <v>965</v>
      </c>
      <c r="E380" t="s">
        <v>270</v>
      </c>
      <c r="F380" t="s">
        <v>271</v>
      </c>
      <c r="G380" t="s">
        <v>752</v>
      </c>
      <c r="H380">
        <v>68</v>
      </c>
      <c r="I380">
        <v>60.632399999999997</v>
      </c>
      <c r="J380">
        <v>77.426500000000004</v>
      </c>
      <c r="K380">
        <v>16.7941</v>
      </c>
      <c r="L380">
        <v>46</v>
      </c>
      <c r="M380">
        <v>7</v>
      </c>
      <c r="N380">
        <v>15</v>
      </c>
      <c r="O380">
        <v>78.238</v>
      </c>
      <c r="P380">
        <v>17.4267</v>
      </c>
      <c r="Q380">
        <v>16.5898</v>
      </c>
    </row>
    <row r="381" spans="1:17" x14ac:dyDescent="0.25">
      <c r="A381" t="str">
        <f>IF(C381&amp;G381&amp;D381&lt;&gt;'Funnel setup'!$K$3&amp;'Funnel setup'!$K$4&amp;'Funnel setup'!$K$6,".",IF(A380=".",1,A380+1))</f>
        <v>.</v>
      </c>
      <c r="B381" s="244" t="str">
        <f t="shared" si="5"/>
        <v>Hip Replacement PrimaryProviderHIGHFIELD HOSPITAL (NT420)EQ VAS</v>
      </c>
      <c r="C381" t="s">
        <v>749</v>
      </c>
      <c r="D381" t="s">
        <v>965</v>
      </c>
      <c r="E381" t="s">
        <v>272</v>
      </c>
      <c r="F381" t="s">
        <v>273</v>
      </c>
      <c r="G381" t="s">
        <v>752</v>
      </c>
      <c r="H381">
        <v>137</v>
      </c>
      <c r="I381">
        <v>62.313899999999997</v>
      </c>
      <c r="J381">
        <v>78.503600000000006</v>
      </c>
      <c r="K381">
        <v>16.189800000000002</v>
      </c>
      <c r="L381">
        <v>101</v>
      </c>
      <c r="M381">
        <v>8</v>
      </c>
      <c r="N381">
        <v>28</v>
      </c>
      <c r="O381">
        <v>77.6434</v>
      </c>
      <c r="P381">
        <v>16.8322</v>
      </c>
      <c r="Q381">
        <v>14.869899999999999</v>
      </c>
    </row>
    <row r="382" spans="1:17" x14ac:dyDescent="0.25">
      <c r="A382" t="str">
        <f>IF(C382&amp;G382&amp;D382&lt;&gt;'Funnel setup'!$K$3&amp;'Funnel setup'!$K$4&amp;'Funnel setup'!$K$6,".",IF(A381=".",1,A381+1))</f>
        <v>.</v>
      </c>
      <c r="B382" s="244" t="str">
        <f t="shared" si="5"/>
        <v>Hip Replacement PrimaryProviderHOMERTON HEALTHCARE NHS FOUNDATION TRUST (RQX)EQ VAS</v>
      </c>
      <c r="C382" t="s">
        <v>749</v>
      </c>
      <c r="D382" t="s">
        <v>965</v>
      </c>
      <c r="E382" t="s">
        <v>274</v>
      </c>
      <c r="F382" t="s">
        <v>275</v>
      </c>
      <c r="G382" t="s">
        <v>752</v>
      </c>
      <c r="H382">
        <v>4</v>
      </c>
      <c r="I382">
        <v>52.75</v>
      </c>
      <c r="J382">
        <v>65</v>
      </c>
      <c r="K382">
        <v>12.25</v>
      </c>
      <c r="L382">
        <v>4</v>
      </c>
      <c r="M382">
        <v>0</v>
      </c>
      <c r="N382">
        <v>0</v>
      </c>
      <c r="O382" t="s">
        <v>127</v>
      </c>
      <c r="P382" t="s">
        <v>127</v>
      </c>
      <c r="Q382" t="s">
        <v>127</v>
      </c>
    </row>
    <row r="383" spans="1:17" x14ac:dyDescent="0.25">
      <c r="A383" t="str">
        <f>IF(C383&amp;G383&amp;D383&lt;&gt;'Funnel setup'!$K$3&amp;'Funnel setup'!$K$4&amp;'Funnel setup'!$K$6,".",IF(A382=".",1,A382+1))</f>
        <v>.</v>
      </c>
      <c r="B383" s="244" t="str">
        <f t="shared" si="5"/>
        <v>Hip Replacement PrimaryProviderHUDDERSFIELD HOSPITAL (NT448)EQ VAS</v>
      </c>
      <c r="C383" t="s">
        <v>749</v>
      </c>
      <c r="D383" t="s">
        <v>965</v>
      </c>
      <c r="E383" t="s">
        <v>276</v>
      </c>
      <c r="F383" t="s">
        <v>277</v>
      </c>
      <c r="G383" t="s">
        <v>752</v>
      </c>
      <c r="H383">
        <v>8</v>
      </c>
      <c r="I383">
        <v>57.375</v>
      </c>
      <c r="J383">
        <v>80.625</v>
      </c>
      <c r="K383">
        <v>23.25</v>
      </c>
      <c r="L383">
        <v>6</v>
      </c>
      <c r="M383">
        <v>1</v>
      </c>
      <c r="N383">
        <v>1</v>
      </c>
      <c r="O383" t="s">
        <v>127</v>
      </c>
      <c r="P383" t="s">
        <v>127</v>
      </c>
      <c r="Q383" t="s">
        <v>127</v>
      </c>
    </row>
    <row r="384" spans="1:17" x14ac:dyDescent="0.25">
      <c r="A384" t="str">
        <f>IF(C384&amp;G384&amp;D384&lt;&gt;'Funnel setup'!$K$3&amp;'Funnel setup'!$K$4&amp;'Funnel setup'!$K$6,".",IF(A383=".",1,A383+1))</f>
        <v>.</v>
      </c>
      <c r="B384" s="244" t="str">
        <f t="shared" si="5"/>
        <v>Hip Replacement PrimaryProviderHULL UNIVERSITY TEACHING HOSPITALS NHS TRUST (RWA)EQ VAS</v>
      </c>
      <c r="C384" t="s">
        <v>749</v>
      </c>
      <c r="D384" t="s">
        <v>965</v>
      </c>
      <c r="E384" t="s">
        <v>278</v>
      </c>
      <c r="F384" t="s">
        <v>279</v>
      </c>
      <c r="G384" t="s">
        <v>752</v>
      </c>
      <c r="H384">
        <v>27</v>
      </c>
      <c r="I384">
        <v>55.777799999999999</v>
      </c>
      <c r="J384">
        <v>64.925899999999999</v>
      </c>
      <c r="K384">
        <v>9.1481499999999993</v>
      </c>
      <c r="L384">
        <v>17</v>
      </c>
      <c r="M384">
        <v>3</v>
      </c>
      <c r="N384">
        <v>7</v>
      </c>
      <c r="O384" t="s">
        <v>127</v>
      </c>
      <c r="P384" t="s">
        <v>127</v>
      </c>
      <c r="Q384" t="s">
        <v>127</v>
      </c>
    </row>
    <row r="385" spans="1:17" x14ac:dyDescent="0.25">
      <c r="A385" t="str">
        <f>IF(C385&amp;G385&amp;D385&lt;&gt;'Funnel setup'!$K$3&amp;'Funnel setup'!$K$4&amp;'Funnel setup'!$K$6,".",IF(A384=".",1,A384+1))</f>
        <v>.</v>
      </c>
      <c r="B385" s="244" t="str">
        <f t="shared" si="5"/>
        <v>Hip Replacement PrimaryProviderIMPERIAL COLLEGE HEALTHCARE NHS TRUST (RYJ)EQ VAS</v>
      </c>
      <c r="C385" t="s">
        <v>749</v>
      </c>
      <c r="D385" t="s">
        <v>965</v>
      </c>
      <c r="E385" t="s">
        <v>280</v>
      </c>
      <c r="F385" t="s">
        <v>281</v>
      </c>
      <c r="G385" t="s">
        <v>752</v>
      </c>
      <c r="H385">
        <v>21</v>
      </c>
      <c r="I385">
        <v>62.047600000000003</v>
      </c>
      <c r="J385">
        <v>68.285700000000006</v>
      </c>
      <c r="K385">
        <v>6.2381000000000002</v>
      </c>
      <c r="L385">
        <v>12</v>
      </c>
      <c r="M385">
        <v>3</v>
      </c>
      <c r="N385">
        <v>6</v>
      </c>
      <c r="O385" t="s">
        <v>127</v>
      </c>
      <c r="P385" t="s">
        <v>127</v>
      </c>
      <c r="Q385" t="s">
        <v>127</v>
      </c>
    </row>
    <row r="386" spans="1:17" x14ac:dyDescent="0.25">
      <c r="A386" t="str">
        <f>IF(C386&amp;G386&amp;D386&lt;&gt;'Funnel setup'!$K$3&amp;'Funnel setup'!$K$4&amp;'Funnel setup'!$K$6,".",IF(A385=".",1,A385+1))</f>
        <v>.</v>
      </c>
      <c r="B386" s="244" t="str">
        <f t="shared" ref="B386:B449" si="6">C386&amp;D386&amp;F386&amp;G386</f>
        <v>Hip Replacement PrimaryProviderISLE OF WIGHT NHS TRUST (R1F)EQ VAS</v>
      </c>
      <c r="C386" t="s">
        <v>749</v>
      </c>
      <c r="D386" t="s">
        <v>965</v>
      </c>
      <c r="E386" t="s">
        <v>282</v>
      </c>
      <c r="F386" t="s">
        <v>283</v>
      </c>
      <c r="G386" t="s">
        <v>752</v>
      </c>
      <c r="H386">
        <v>1</v>
      </c>
      <c r="I386">
        <v>95</v>
      </c>
      <c r="J386">
        <v>81</v>
      </c>
      <c r="K386">
        <v>-14</v>
      </c>
      <c r="L386">
        <v>0</v>
      </c>
      <c r="M386">
        <v>0</v>
      </c>
      <c r="N386">
        <v>1</v>
      </c>
      <c r="O386" t="s">
        <v>127</v>
      </c>
      <c r="P386" t="s">
        <v>127</v>
      </c>
      <c r="Q386" t="s">
        <v>127</v>
      </c>
    </row>
    <row r="387" spans="1:17" x14ac:dyDescent="0.25">
      <c r="A387" t="str">
        <f>IF(C387&amp;G387&amp;D387&lt;&gt;'Funnel setup'!$K$3&amp;'Funnel setup'!$K$4&amp;'Funnel setup'!$K$6,".",IF(A386=".",1,A386+1))</f>
        <v>.</v>
      </c>
      <c r="B387" s="244" t="str">
        <f t="shared" si="6"/>
        <v>Hip Replacement PrimaryProviderJAMES PAGET UNIVERSITY HOSPITALS NHS FOUNDATION TRUST (RGP)EQ VAS</v>
      </c>
      <c r="C387" t="s">
        <v>749</v>
      </c>
      <c r="D387" t="s">
        <v>965</v>
      </c>
      <c r="E387" t="s">
        <v>284</v>
      </c>
      <c r="F387" t="s">
        <v>285</v>
      </c>
      <c r="G387" t="s">
        <v>752</v>
      </c>
      <c r="H387">
        <v>62</v>
      </c>
      <c r="I387">
        <v>61.838700000000003</v>
      </c>
      <c r="J387">
        <v>79.032300000000006</v>
      </c>
      <c r="K387">
        <v>17.1935</v>
      </c>
      <c r="L387">
        <v>42</v>
      </c>
      <c r="M387">
        <v>5</v>
      </c>
      <c r="N387">
        <v>15</v>
      </c>
      <c r="O387">
        <v>78.884</v>
      </c>
      <c r="P387">
        <v>18.072700000000001</v>
      </c>
      <c r="Q387">
        <v>17.6937</v>
      </c>
    </row>
    <row r="388" spans="1:17" x14ac:dyDescent="0.25">
      <c r="A388" t="str">
        <f>IF(C388&amp;G388&amp;D388&lt;&gt;'Funnel setup'!$K$3&amp;'Funnel setup'!$K$4&amp;'Funnel setup'!$K$6,".",IF(A387=".",1,A387+1))</f>
        <v>.</v>
      </c>
      <c r="B388" s="244" t="str">
        <f t="shared" si="6"/>
        <v>Hip Replacement PrimaryProviderKETTERING GENERAL HOSPITAL NHS FOUNDATION TRUST (RNQ)EQ VAS</v>
      </c>
      <c r="C388" t="s">
        <v>749</v>
      </c>
      <c r="D388" t="s">
        <v>965</v>
      </c>
      <c r="E388" t="s">
        <v>286</v>
      </c>
      <c r="F388" t="s">
        <v>287</v>
      </c>
      <c r="G388" t="s">
        <v>752</v>
      </c>
      <c r="H388">
        <v>27</v>
      </c>
      <c r="I388">
        <v>34.444400000000002</v>
      </c>
      <c r="J388">
        <v>76.185199999999995</v>
      </c>
      <c r="K388">
        <v>41.740699999999997</v>
      </c>
      <c r="L388">
        <v>25</v>
      </c>
      <c r="M388">
        <v>0</v>
      </c>
      <c r="N388">
        <v>2</v>
      </c>
      <c r="O388" t="s">
        <v>127</v>
      </c>
      <c r="P388" t="s">
        <v>127</v>
      </c>
      <c r="Q388" t="s">
        <v>127</v>
      </c>
    </row>
    <row r="389" spans="1:17" x14ac:dyDescent="0.25">
      <c r="A389" t="str">
        <f>IF(C389&amp;G389&amp;D389&lt;&gt;'Funnel setup'!$K$3&amp;'Funnel setup'!$K$4&amp;'Funnel setup'!$K$6,".",IF(A388=".",1,A388+1))</f>
        <v>.</v>
      </c>
      <c r="B389" s="244" t="str">
        <f t="shared" si="6"/>
        <v>Hip Replacement PrimaryProviderKIMS HOSPITAL (NEWNHAM COURT) (ADP02)EQ VAS</v>
      </c>
      <c r="C389" t="s">
        <v>749</v>
      </c>
      <c r="D389" t="s">
        <v>965</v>
      </c>
      <c r="E389" t="s">
        <v>288</v>
      </c>
      <c r="F389" t="s">
        <v>289</v>
      </c>
      <c r="G389" t="s">
        <v>752</v>
      </c>
      <c r="H389">
        <v>93</v>
      </c>
      <c r="I389">
        <v>66.516099999999994</v>
      </c>
      <c r="J389">
        <v>79.1828</v>
      </c>
      <c r="K389">
        <v>12.666700000000001</v>
      </c>
      <c r="L389">
        <v>70</v>
      </c>
      <c r="M389">
        <v>5</v>
      </c>
      <c r="N389">
        <v>18</v>
      </c>
      <c r="O389">
        <v>76.456199999999995</v>
      </c>
      <c r="P389">
        <v>15.6449</v>
      </c>
      <c r="Q389">
        <v>14.6966</v>
      </c>
    </row>
    <row r="390" spans="1:17" x14ac:dyDescent="0.25">
      <c r="A390" t="str">
        <f>IF(C390&amp;G390&amp;D390&lt;&gt;'Funnel setup'!$K$3&amp;'Funnel setup'!$K$4&amp;'Funnel setup'!$K$6,".",IF(A389=".",1,A389+1))</f>
        <v>.</v>
      </c>
      <c r="B390" s="244" t="str">
        <f t="shared" si="6"/>
        <v>Hip Replacement PrimaryProviderKING'S COLLEGE HOSPITAL NHS FOUNDATION TRUST (RJZ)EQ VAS</v>
      </c>
      <c r="C390" t="s">
        <v>749</v>
      </c>
      <c r="D390" t="s">
        <v>965</v>
      </c>
      <c r="E390" t="s">
        <v>290</v>
      </c>
      <c r="F390" t="s">
        <v>291</v>
      </c>
      <c r="G390" t="s">
        <v>752</v>
      </c>
      <c r="H390">
        <v>14</v>
      </c>
      <c r="I390">
        <v>56</v>
      </c>
      <c r="J390">
        <v>69.571399999999997</v>
      </c>
      <c r="K390">
        <v>13.571400000000001</v>
      </c>
      <c r="L390">
        <v>13</v>
      </c>
      <c r="M390">
        <v>0</v>
      </c>
      <c r="N390">
        <v>1</v>
      </c>
      <c r="O390" t="s">
        <v>127</v>
      </c>
      <c r="P390" t="s">
        <v>127</v>
      </c>
      <c r="Q390" t="s">
        <v>127</v>
      </c>
    </row>
    <row r="391" spans="1:17" x14ac:dyDescent="0.25">
      <c r="A391" t="str">
        <f>IF(C391&amp;G391&amp;D391&lt;&gt;'Funnel setup'!$K$3&amp;'Funnel setup'!$K$4&amp;'Funnel setup'!$K$6,".",IF(A390=".",1,A390+1))</f>
        <v>.</v>
      </c>
      <c r="B391" s="244" t="str">
        <f t="shared" si="6"/>
        <v>Hip Replacement PrimaryProviderKINGS OAK HOSPITAL (NT421)EQ VAS</v>
      </c>
      <c r="C391" t="s">
        <v>749</v>
      </c>
      <c r="D391" t="s">
        <v>965</v>
      </c>
      <c r="E391" t="s">
        <v>292</v>
      </c>
      <c r="F391" t="s">
        <v>293</v>
      </c>
      <c r="G391" t="s">
        <v>752</v>
      </c>
      <c r="H391">
        <v>15</v>
      </c>
      <c r="I391">
        <v>67.066699999999997</v>
      </c>
      <c r="J391">
        <v>78.933300000000003</v>
      </c>
      <c r="K391">
        <v>11.8667</v>
      </c>
      <c r="L391">
        <v>11</v>
      </c>
      <c r="M391">
        <v>1</v>
      </c>
      <c r="N391">
        <v>3</v>
      </c>
      <c r="O391" t="s">
        <v>127</v>
      </c>
      <c r="P391" t="s">
        <v>127</v>
      </c>
      <c r="Q391" t="s">
        <v>127</v>
      </c>
    </row>
    <row r="392" spans="1:17" x14ac:dyDescent="0.25">
      <c r="A392" t="str">
        <f>IF(C392&amp;G392&amp;D392&lt;&gt;'Funnel setup'!$K$3&amp;'Funnel setup'!$K$4&amp;'Funnel setup'!$K$6,".",IF(A391=".",1,A391+1))</f>
        <v>.</v>
      </c>
      <c r="B392" s="244" t="str">
        <f t="shared" si="6"/>
        <v>Hip Replacement PrimaryProviderLANCASHIRE TEACHING HOSPITALS NHS FOUNDATION TRUST (RXN)EQ VAS</v>
      </c>
      <c r="C392" t="s">
        <v>749</v>
      </c>
      <c r="D392" t="s">
        <v>965</v>
      </c>
      <c r="E392" t="s">
        <v>296</v>
      </c>
      <c r="F392" t="s">
        <v>297</v>
      </c>
      <c r="G392" t="s">
        <v>752</v>
      </c>
      <c r="H392">
        <v>26</v>
      </c>
      <c r="I392">
        <v>66.884600000000006</v>
      </c>
      <c r="J392">
        <v>70.884600000000006</v>
      </c>
      <c r="K392">
        <v>4</v>
      </c>
      <c r="L392">
        <v>13</v>
      </c>
      <c r="M392">
        <v>5</v>
      </c>
      <c r="N392">
        <v>8</v>
      </c>
      <c r="O392" t="s">
        <v>127</v>
      </c>
      <c r="P392" t="s">
        <v>127</v>
      </c>
      <c r="Q392" t="s">
        <v>127</v>
      </c>
    </row>
    <row r="393" spans="1:17" x14ac:dyDescent="0.25">
      <c r="A393" t="str">
        <f>IF(C393&amp;G393&amp;D393&lt;&gt;'Funnel setup'!$K$3&amp;'Funnel setup'!$K$4&amp;'Funnel setup'!$K$6,".",IF(A392=".",1,A392+1))</f>
        <v>.</v>
      </c>
      <c r="B393" s="244" t="str">
        <f t="shared" si="6"/>
        <v>Hip Replacement PrimaryProviderLANCASTER HOSPITAL (NT449)EQ VAS</v>
      </c>
      <c r="C393" t="s">
        <v>749</v>
      </c>
      <c r="D393" t="s">
        <v>965</v>
      </c>
      <c r="E393" t="s">
        <v>298</v>
      </c>
      <c r="F393" t="s">
        <v>299</v>
      </c>
      <c r="G393" t="s">
        <v>752</v>
      </c>
      <c r="H393">
        <v>20</v>
      </c>
      <c r="I393">
        <v>65.75</v>
      </c>
      <c r="J393">
        <v>80.7</v>
      </c>
      <c r="K393">
        <v>14.95</v>
      </c>
      <c r="L393">
        <v>16</v>
      </c>
      <c r="M393">
        <v>1</v>
      </c>
      <c r="N393">
        <v>3</v>
      </c>
      <c r="O393" t="s">
        <v>127</v>
      </c>
      <c r="P393" t="s">
        <v>127</v>
      </c>
      <c r="Q393" t="s">
        <v>127</v>
      </c>
    </row>
    <row r="394" spans="1:17" x14ac:dyDescent="0.25">
      <c r="A394" t="str">
        <f>IF(C394&amp;G394&amp;D394&lt;&gt;'Funnel setup'!$K$3&amp;'Funnel setup'!$K$4&amp;'Funnel setup'!$K$6,".",IF(A393=".",1,A393+1))</f>
        <v>.</v>
      </c>
      <c r="B394" s="244" t="str">
        <f t="shared" si="6"/>
        <v>Hip Replacement PrimaryProviderLEEDS TEACHING HOSPITALS NHS TRUST (RR8)EQ VAS</v>
      </c>
      <c r="C394" t="s">
        <v>749</v>
      </c>
      <c r="D394" t="s">
        <v>965</v>
      </c>
      <c r="E394" t="s">
        <v>300</v>
      </c>
      <c r="F394" t="s">
        <v>301</v>
      </c>
      <c r="G394" t="s">
        <v>752</v>
      </c>
      <c r="H394">
        <v>94</v>
      </c>
      <c r="I394">
        <v>59.329799999999999</v>
      </c>
      <c r="J394">
        <v>71.223399999999998</v>
      </c>
      <c r="K394">
        <v>11.893599999999999</v>
      </c>
      <c r="L394">
        <v>63</v>
      </c>
      <c r="M394">
        <v>9</v>
      </c>
      <c r="N394">
        <v>22</v>
      </c>
      <c r="O394">
        <v>71.463999999999999</v>
      </c>
      <c r="P394">
        <v>10.652699999999999</v>
      </c>
      <c r="Q394">
        <v>18.1767</v>
      </c>
    </row>
    <row r="395" spans="1:17" x14ac:dyDescent="0.25">
      <c r="A395" t="str">
        <f>IF(C395&amp;G395&amp;D395&lt;&gt;'Funnel setup'!$K$3&amp;'Funnel setup'!$K$4&amp;'Funnel setup'!$K$6,".",IF(A394=".",1,A394+1))</f>
        <v>.</v>
      </c>
      <c r="B395" s="244" t="str">
        <f t="shared" si="6"/>
        <v>Hip Replacement PrimaryProviderLEWISHAM AND GREENWICH NHS TRUST (RJ2)EQ VAS</v>
      </c>
      <c r="C395" t="s">
        <v>749</v>
      </c>
      <c r="D395" t="s">
        <v>965</v>
      </c>
      <c r="E395" t="s">
        <v>302</v>
      </c>
      <c r="F395" t="s">
        <v>303</v>
      </c>
      <c r="G395" t="s">
        <v>752</v>
      </c>
      <c r="H395">
        <v>2</v>
      </c>
      <c r="I395">
        <v>71</v>
      </c>
      <c r="J395">
        <v>86</v>
      </c>
      <c r="K395">
        <v>15</v>
      </c>
      <c r="L395">
        <v>2</v>
      </c>
      <c r="M395">
        <v>0</v>
      </c>
      <c r="N395">
        <v>0</v>
      </c>
      <c r="O395" t="s">
        <v>127</v>
      </c>
      <c r="P395" t="s">
        <v>127</v>
      </c>
      <c r="Q395" t="s">
        <v>127</v>
      </c>
    </row>
    <row r="396" spans="1:17" x14ac:dyDescent="0.25">
      <c r="A396" t="str">
        <f>IF(C396&amp;G396&amp;D396&lt;&gt;'Funnel setup'!$K$3&amp;'Funnel setup'!$K$4&amp;'Funnel setup'!$K$6,".",IF(A395=".",1,A395+1))</f>
        <v>.</v>
      </c>
      <c r="B396" s="244" t="str">
        <f t="shared" si="6"/>
        <v>Hip Replacement PrimaryProviderLINCOLN HOSPITAL (NT450)EQ VAS</v>
      </c>
      <c r="C396" t="s">
        <v>749</v>
      </c>
      <c r="D396" t="s">
        <v>965</v>
      </c>
      <c r="E396" t="s">
        <v>304</v>
      </c>
      <c r="F396" t="s">
        <v>305</v>
      </c>
      <c r="G396" t="s">
        <v>752</v>
      </c>
      <c r="H396">
        <v>66</v>
      </c>
      <c r="I396">
        <v>66.197000000000003</v>
      </c>
      <c r="J396">
        <v>76.212100000000007</v>
      </c>
      <c r="K396">
        <v>10.0152</v>
      </c>
      <c r="L396">
        <v>43</v>
      </c>
      <c r="M396">
        <v>8</v>
      </c>
      <c r="N396">
        <v>15</v>
      </c>
      <c r="O396">
        <v>75.420500000000004</v>
      </c>
      <c r="P396">
        <v>14.609299999999999</v>
      </c>
      <c r="Q396">
        <v>18.2789</v>
      </c>
    </row>
    <row r="397" spans="1:17" x14ac:dyDescent="0.25">
      <c r="A397" t="str">
        <f>IF(C397&amp;G397&amp;D397&lt;&gt;'Funnel setup'!$K$3&amp;'Funnel setup'!$K$4&amp;'Funnel setup'!$K$6,".",IF(A396=".",1,A396+1))</f>
        <v>.</v>
      </c>
      <c r="B397" s="244" t="str">
        <f t="shared" si="6"/>
        <v>Hip Replacement PrimaryProviderLIVERPOOL UNIVERSITY HOSPITALS NHS FOUNDATION TRUST (REM)EQ VAS</v>
      </c>
      <c r="C397" t="s">
        <v>749</v>
      </c>
      <c r="D397" t="s">
        <v>965</v>
      </c>
      <c r="E397" t="s">
        <v>306</v>
      </c>
      <c r="F397" t="s">
        <v>307</v>
      </c>
      <c r="G397" t="s">
        <v>752</v>
      </c>
      <c r="H397">
        <v>78</v>
      </c>
      <c r="I397">
        <v>52.320500000000003</v>
      </c>
      <c r="J397">
        <v>72.846199999999996</v>
      </c>
      <c r="K397">
        <v>20.525600000000001</v>
      </c>
      <c r="L397">
        <v>59</v>
      </c>
      <c r="M397">
        <v>5</v>
      </c>
      <c r="N397">
        <v>14</v>
      </c>
      <c r="O397">
        <v>79.965599999999995</v>
      </c>
      <c r="P397">
        <v>19.154299999999999</v>
      </c>
      <c r="Q397">
        <v>17.014700000000001</v>
      </c>
    </row>
    <row r="398" spans="1:17" x14ac:dyDescent="0.25">
      <c r="A398" t="str">
        <f>IF(C398&amp;G398&amp;D398&lt;&gt;'Funnel setup'!$K$3&amp;'Funnel setup'!$K$4&amp;'Funnel setup'!$K$6,".",IF(A397=".",1,A397+1))</f>
        <v>.</v>
      </c>
      <c r="B398" s="244" t="str">
        <f t="shared" si="6"/>
        <v>Hip Replacement PrimaryProviderLONDON INDEPENDENT HOSPITAL (NT422)EQ VAS</v>
      </c>
      <c r="C398" t="s">
        <v>749</v>
      </c>
      <c r="D398" t="s">
        <v>965</v>
      </c>
      <c r="E398" t="s">
        <v>308</v>
      </c>
      <c r="F398" t="s">
        <v>309</v>
      </c>
      <c r="G398" t="s">
        <v>752</v>
      </c>
      <c r="H398">
        <v>8</v>
      </c>
      <c r="I398">
        <v>66.25</v>
      </c>
      <c r="J398">
        <v>70</v>
      </c>
      <c r="K398">
        <v>3.75</v>
      </c>
      <c r="L398">
        <v>3</v>
      </c>
      <c r="M398">
        <v>0</v>
      </c>
      <c r="N398">
        <v>5</v>
      </c>
      <c r="O398" t="s">
        <v>127</v>
      </c>
      <c r="P398" t="s">
        <v>127</v>
      </c>
      <c r="Q398" t="s">
        <v>127</v>
      </c>
    </row>
    <row r="399" spans="1:17" x14ac:dyDescent="0.25">
      <c r="A399" t="str">
        <f>IF(C399&amp;G399&amp;D399&lt;&gt;'Funnel setup'!$K$3&amp;'Funnel setup'!$K$4&amp;'Funnel setup'!$K$6,".",IF(A398=".",1,A398+1))</f>
        <v>.</v>
      </c>
      <c r="B399" s="244" t="str">
        <f t="shared" si="6"/>
        <v>Hip Replacement PrimaryProviderMAIDSTONE AND TUNBRIDGE WELLS NHS TRUST (RWF)EQ VAS</v>
      </c>
      <c r="C399" t="s">
        <v>749</v>
      </c>
      <c r="D399" t="s">
        <v>965</v>
      </c>
      <c r="E399" t="s">
        <v>312</v>
      </c>
      <c r="F399" t="s">
        <v>313</v>
      </c>
      <c r="G399" t="s">
        <v>752</v>
      </c>
      <c r="H399">
        <v>105</v>
      </c>
      <c r="I399">
        <v>61.761899999999997</v>
      </c>
      <c r="J399">
        <v>77.333299999999994</v>
      </c>
      <c r="K399">
        <v>15.571400000000001</v>
      </c>
      <c r="L399">
        <v>79</v>
      </c>
      <c r="M399">
        <v>7</v>
      </c>
      <c r="N399">
        <v>19</v>
      </c>
      <c r="O399">
        <v>75.647599999999997</v>
      </c>
      <c r="P399">
        <v>14.8363</v>
      </c>
      <c r="Q399">
        <v>17.622399999999999</v>
      </c>
    </row>
    <row r="400" spans="1:17" x14ac:dyDescent="0.25">
      <c r="A400" t="str">
        <f>IF(C400&amp;G400&amp;D400&lt;&gt;'Funnel setup'!$K$3&amp;'Funnel setup'!$K$4&amp;'Funnel setup'!$K$6,".",IF(A399=".",1,A399+1))</f>
        <v>.</v>
      </c>
      <c r="B400" s="244" t="str">
        <f t="shared" si="6"/>
        <v>Hip Replacement PrimaryProviderMANCHESTER UNIVERSITY NHS FOUNDATION TRUST (R0A)EQ VAS</v>
      </c>
      <c r="C400" t="s">
        <v>749</v>
      </c>
      <c r="D400" t="s">
        <v>965</v>
      </c>
      <c r="E400" t="s">
        <v>316</v>
      </c>
      <c r="F400" t="s">
        <v>317</v>
      </c>
      <c r="G400" t="s">
        <v>752</v>
      </c>
      <c r="H400">
        <v>87</v>
      </c>
      <c r="I400">
        <v>55.252899999999997</v>
      </c>
      <c r="J400">
        <v>68.517200000000003</v>
      </c>
      <c r="K400">
        <v>13.2644</v>
      </c>
      <c r="L400">
        <v>58</v>
      </c>
      <c r="M400">
        <v>3</v>
      </c>
      <c r="N400">
        <v>26</v>
      </c>
      <c r="O400">
        <v>71.367500000000007</v>
      </c>
      <c r="P400">
        <v>10.5562</v>
      </c>
      <c r="Q400">
        <v>21.4711</v>
      </c>
    </row>
    <row r="401" spans="1:17" x14ac:dyDescent="0.25">
      <c r="A401" t="str">
        <f>IF(C401&amp;G401&amp;D401&lt;&gt;'Funnel setup'!$K$3&amp;'Funnel setup'!$K$4&amp;'Funnel setup'!$K$6,".",IF(A400=".",1,A400+1))</f>
        <v>.</v>
      </c>
      <c r="B401" s="244" t="str">
        <f t="shared" si="6"/>
        <v>Hip Replacement PrimaryProviderMANOR HOSPITAL (NT423)EQ VAS</v>
      </c>
      <c r="C401" t="s">
        <v>749</v>
      </c>
      <c r="D401" t="s">
        <v>965</v>
      </c>
      <c r="E401" t="s">
        <v>318</v>
      </c>
      <c r="F401" t="s">
        <v>319</v>
      </c>
      <c r="G401" t="s">
        <v>752</v>
      </c>
      <c r="H401">
        <v>14</v>
      </c>
      <c r="I401">
        <v>67.071399999999997</v>
      </c>
      <c r="J401">
        <v>82.5</v>
      </c>
      <c r="K401">
        <v>15.428599999999999</v>
      </c>
      <c r="L401">
        <v>9</v>
      </c>
      <c r="M401">
        <v>2</v>
      </c>
      <c r="N401">
        <v>3</v>
      </c>
      <c r="O401" t="s">
        <v>127</v>
      </c>
      <c r="P401" t="s">
        <v>127</v>
      </c>
      <c r="Q401" t="s">
        <v>127</v>
      </c>
    </row>
    <row r="402" spans="1:17" x14ac:dyDescent="0.25">
      <c r="A402" t="str">
        <f>IF(C402&amp;G402&amp;D402&lt;&gt;'Funnel setup'!$K$3&amp;'Funnel setup'!$K$4&amp;'Funnel setup'!$K$6,".",IF(A401=".",1,A401+1))</f>
        <v>.</v>
      </c>
      <c r="B402" s="244" t="str">
        <f t="shared" si="6"/>
        <v>Hip Replacement PrimaryProviderMEDWAY NHS FOUNDATION TRUST (RPA)EQ VAS</v>
      </c>
      <c r="C402" t="s">
        <v>749</v>
      </c>
      <c r="D402" t="s">
        <v>965</v>
      </c>
      <c r="E402" t="s">
        <v>320</v>
      </c>
      <c r="F402" t="s">
        <v>321</v>
      </c>
      <c r="G402" t="s">
        <v>752</v>
      </c>
      <c r="H402">
        <v>41</v>
      </c>
      <c r="I402">
        <v>58.9268</v>
      </c>
      <c r="J402">
        <v>74.0488</v>
      </c>
      <c r="K402">
        <v>15.122</v>
      </c>
      <c r="L402">
        <v>28</v>
      </c>
      <c r="M402">
        <v>1</v>
      </c>
      <c r="N402">
        <v>12</v>
      </c>
      <c r="O402">
        <v>77.922499999999999</v>
      </c>
      <c r="P402">
        <v>17.1112</v>
      </c>
      <c r="Q402">
        <v>16.2317</v>
      </c>
    </row>
    <row r="403" spans="1:17" x14ac:dyDescent="0.25">
      <c r="A403" t="str">
        <f>IF(C403&amp;G403&amp;D403&lt;&gt;'Funnel setup'!$K$3&amp;'Funnel setup'!$K$4&amp;'Funnel setup'!$K$6,".",IF(A402=".",1,A402+1))</f>
        <v>.</v>
      </c>
      <c r="B403" s="244" t="str">
        <f t="shared" si="6"/>
        <v>Hip Replacement PrimaryProviderMERIDEN HOSPITAL (NT424)EQ VAS</v>
      </c>
      <c r="C403" t="s">
        <v>749</v>
      </c>
      <c r="D403" t="s">
        <v>965</v>
      </c>
      <c r="E403" t="s">
        <v>322</v>
      </c>
      <c r="F403" t="s">
        <v>323</v>
      </c>
      <c r="G403" t="s">
        <v>752</v>
      </c>
      <c r="H403">
        <v>6</v>
      </c>
      <c r="I403">
        <v>59.666699999999999</v>
      </c>
      <c r="J403">
        <v>72.833299999999994</v>
      </c>
      <c r="K403">
        <v>13.166700000000001</v>
      </c>
      <c r="L403">
        <v>4</v>
      </c>
      <c r="M403">
        <v>1</v>
      </c>
      <c r="N403">
        <v>1</v>
      </c>
      <c r="O403" t="s">
        <v>127</v>
      </c>
      <c r="P403" t="s">
        <v>127</v>
      </c>
      <c r="Q403" t="s">
        <v>127</v>
      </c>
    </row>
    <row r="404" spans="1:17" x14ac:dyDescent="0.25">
      <c r="A404" t="str">
        <f>IF(C404&amp;G404&amp;D404&lt;&gt;'Funnel setup'!$K$3&amp;'Funnel setup'!$K$4&amp;'Funnel setup'!$K$6,".",IF(A403=".",1,A403+1))</f>
        <v>.</v>
      </c>
      <c r="B404" s="244" t="str">
        <f t="shared" si="6"/>
        <v>Hip Replacement PrimaryProviderMID AND SOUTH ESSEX NHS FOUNDATION TRUST (RAJ)EQ VAS</v>
      </c>
      <c r="C404" t="s">
        <v>749</v>
      </c>
      <c r="D404" t="s">
        <v>965</v>
      </c>
      <c r="E404" t="s">
        <v>324</v>
      </c>
      <c r="F404" t="s">
        <v>325</v>
      </c>
      <c r="G404" t="s">
        <v>752</v>
      </c>
      <c r="H404">
        <v>109</v>
      </c>
      <c r="I404">
        <v>52</v>
      </c>
      <c r="J404">
        <v>70.156000000000006</v>
      </c>
      <c r="K404">
        <v>18.155999999999999</v>
      </c>
      <c r="L404">
        <v>80</v>
      </c>
      <c r="M404">
        <v>7</v>
      </c>
      <c r="N404">
        <v>22</v>
      </c>
      <c r="O404">
        <v>74.242800000000003</v>
      </c>
      <c r="P404">
        <v>13.4315</v>
      </c>
      <c r="Q404">
        <v>18.368500000000001</v>
      </c>
    </row>
    <row r="405" spans="1:17" x14ac:dyDescent="0.25">
      <c r="A405" t="str">
        <f>IF(C405&amp;G405&amp;D405&lt;&gt;'Funnel setup'!$K$3&amp;'Funnel setup'!$K$4&amp;'Funnel setup'!$K$6,".",IF(A404=".",1,A404+1))</f>
        <v>.</v>
      </c>
      <c r="B405" s="244" t="str">
        <f t="shared" si="6"/>
        <v>Hip Replacement PrimaryProviderMID CHESHIRE HOSPITALS NHS FOUNDATION TRUST (RBT)EQ VAS</v>
      </c>
      <c r="C405" t="s">
        <v>749</v>
      </c>
      <c r="D405" t="s">
        <v>965</v>
      </c>
      <c r="E405" t="s">
        <v>326</v>
      </c>
      <c r="F405" t="s">
        <v>327</v>
      </c>
      <c r="G405" t="s">
        <v>752</v>
      </c>
      <c r="H405">
        <v>88</v>
      </c>
      <c r="I405">
        <v>56.659100000000002</v>
      </c>
      <c r="J405">
        <v>75.7727</v>
      </c>
      <c r="K405">
        <v>19.113600000000002</v>
      </c>
      <c r="L405">
        <v>66</v>
      </c>
      <c r="M405">
        <v>7</v>
      </c>
      <c r="N405">
        <v>15</v>
      </c>
      <c r="O405">
        <v>75.816199999999995</v>
      </c>
      <c r="P405">
        <v>15.004899999999999</v>
      </c>
      <c r="Q405">
        <v>16.247699999999998</v>
      </c>
    </row>
    <row r="406" spans="1:17" x14ac:dyDescent="0.25">
      <c r="A406" t="str">
        <f>IF(C406&amp;G406&amp;D406&lt;&gt;'Funnel setup'!$K$3&amp;'Funnel setup'!$K$4&amp;'Funnel setup'!$K$6,".",IF(A405=".",1,A405+1))</f>
        <v>.</v>
      </c>
      <c r="B406" s="244" t="str">
        <f t="shared" si="6"/>
        <v>Hip Replacement PrimaryProviderMID YORKSHIRE TEACHING NHS TRUST (RXF)EQ VAS</v>
      </c>
      <c r="C406" t="s">
        <v>749</v>
      </c>
      <c r="D406" t="s">
        <v>965</v>
      </c>
      <c r="E406" t="s">
        <v>330</v>
      </c>
      <c r="F406" t="s">
        <v>331</v>
      </c>
      <c r="G406" t="s">
        <v>752</v>
      </c>
      <c r="H406">
        <v>156</v>
      </c>
      <c r="I406">
        <v>57.564100000000003</v>
      </c>
      <c r="J406">
        <v>74.506399999999999</v>
      </c>
      <c r="K406">
        <v>16.942299999999999</v>
      </c>
      <c r="L406">
        <v>112</v>
      </c>
      <c r="M406">
        <v>10</v>
      </c>
      <c r="N406">
        <v>34</v>
      </c>
      <c r="O406">
        <v>77.131100000000004</v>
      </c>
      <c r="P406">
        <v>16.319800000000001</v>
      </c>
      <c r="Q406">
        <v>17.361899999999999</v>
      </c>
    </row>
    <row r="407" spans="1:17" x14ac:dyDescent="0.25">
      <c r="A407" t="str">
        <f>IF(C407&amp;G407&amp;D407&lt;&gt;'Funnel setup'!$K$3&amp;'Funnel setup'!$K$4&amp;'Funnel setup'!$K$6,".",IF(A406=".",1,A406+1))</f>
        <v>.</v>
      </c>
      <c r="B407" s="244" t="str">
        <f t="shared" si="6"/>
        <v>Hip Replacement PrimaryProviderMILTON KEYNES UNIVERSITY HOSPITAL NHS FOUNDATION TRUST (RD8)EQ VAS</v>
      </c>
      <c r="C407" t="s">
        <v>749</v>
      </c>
      <c r="D407" t="s">
        <v>965</v>
      </c>
      <c r="E407" t="s">
        <v>332</v>
      </c>
      <c r="F407" t="s">
        <v>333</v>
      </c>
      <c r="G407" t="s">
        <v>752</v>
      </c>
      <c r="H407">
        <v>36</v>
      </c>
      <c r="I407">
        <v>52.25</v>
      </c>
      <c r="J407">
        <v>74.722200000000001</v>
      </c>
      <c r="K407">
        <v>22.472200000000001</v>
      </c>
      <c r="L407">
        <v>28</v>
      </c>
      <c r="M407">
        <v>2</v>
      </c>
      <c r="N407">
        <v>6</v>
      </c>
      <c r="O407">
        <v>78.182299999999998</v>
      </c>
      <c r="P407">
        <v>17.370999999999999</v>
      </c>
      <c r="Q407">
        <v>20.846399999999999</v>
      </c>
    </row>
    <row r="408" spans="1:17" x14ac:dyDescent="0.25">
      <c r="A408" t="str">
        <f>IF(C408&amp;G408&amp;D408&lt;&gt;'Funnel setup'!$K$3&amp;'Funnel setup'!$K$4&amp;'Funnel setup'!$K$6,".",IF(A407=".",1,A407+1))</f>
        <v>.</v>
      </c>
      <c r="B408" s="244" t="str">
        <f t="shared" si="6"/>
        <v>Hip Replacement PrimaryProviderMOUNT ALVERNIA HOSPITAL (NT455)EQ VAS</v>
      </c>
      <c r="C408" t="s">
        <v>749</v>
      </c>
      <c r="D408" t="s">
        <v>965</v>
      </c>
      <c r="E408" t="s">
        <v>334</v>
      </c>
      <c r="F408" t="s">
        <v>335</v>
      </c>
      <c r="G408" t="s">
        <v>752</v>
      </c>
      <c r="H408">
        <v>7</v>
      </c>
      <c r="I408">
        <v>61.285699999999999</v>
      </c>
      <c r="J408">
        <v>72.428600000000003</v>
      </c>
      <c r="K408">
        <v>11.142899999999999</v>
      </c>
      <c r="L408">
        <v>4</v>
      </c>
      <c r="M408">
        <v>0</v>
      </c>
      <c r="N408">
        <v>3</v>
      </c>
      <c r="O408" t="s">
        <v>127</v>
      </c>
      <c r="P408" t="s">
        <v>127</v>
      </c>
      <c r="Q408" t="s">
        <v>127</v>
      </c>
    </row>
    <row r="409" spans="1:17" x14ac:dyDescent="0.25">
      <c r="A409" t="str">
        <f>IF(C409&amp;G409&amp;D409&lt;&gt;'Funnel setup'!$K$3&amp;'Funnel setup'!$K$4&amp;'Funnel setup'!$K$6,".",IF(A408=".",1,A408+1))</f>
        <v>.</v>
      </c>
      <c r="B409" s="244" t="str">
        <f t="shared" si="6"/>
        <v>Hip Replacement PrimaryProviderMOUNT STUART HOSPITAL (NVC08)EQ VAS</v>
      </c>
      <c r="C409" t="s">
        <v>749</v>
      </c>
      <c r="D409" t="s">
        <v>965</v>
      </c>
      <c r="E409" t="s">
        <v>336</v>
      </c>
      <c r="F409" t="s">
        <v>337</v>
      </c>
      <c r="G409" t="s">
        <v>752</v>
      </c>
      <c r="H409">
        <v>85</v>
      </c>
      <c r="I409">
        <v>71.741200000000006</v>
      </c>
      <c r="J409">
        <v>75.682400000000001</v>
      </c>
      <c r="K409">
        <v>3.9411800000000001</v>
      </c>
      <c r="L409">
        <v>45</v>
      </c>
      <c r="M409">
        <v>7</v>
      </c>
      <c r="N409">
        <v>33</v>
      </c>
      <c r="O409">
        <v>73.276499999999999</v>
      </c>
      <c r="P409">
        <v>12.465199999999999</v>
      </c>
      <c r="Q409">
        <v>18.964700000000001</v>
      </c>
    </row>
    <row r="410" spans="1:17" x14ac:dyDescent="0.25">
      <c r="A410" t="str">
        <f>IF(C410&amp;G410&amp;D410&lt;&gt;'Funnel setup'!$K$3&amp;'Funnel setup'!$K$4&amp;'Funnel setup'!$K$6,".",IF(A409=".",1,A409+1))</f>
        <v>.</v>
      </c>
      <c r="B410" s="244" t="str">
        <f t="shared" si="6"/>
        <v>Hip Replacement PrimaryProviderNEW HALL HOSPITAL (NVC09)EQ VAS</v>
      </c>
      <c r="C410" t="s">
        <v>749</v>
      </c>
      <c r="D410" t="s">
        <v>965</v>
      </c>
      <c r="E410" t="s">
        <v>338</v>
      </c>
      <c r="F410" t="s">
        <v>339</v>
      </c>
      <c r="G410" t="s">
        <v>752</v>
      </c>
      <c r="H410">
        <v>82</v>
      </c>
      <c r="I410">
        <v>61.0366</v>
      </c>
      <c r="J410">
        <v>80.0976</v>
      </c>
      <c r="K410">
        <v>19.061</v>
      </c>
      <c r="L410">
        <v>62</v>
      </c>
      <c r="M410">
        <v>7</v>
      </c>
      <c r="N410">
        <v>13</v>
      </c>
      <c r="O410">
        <v>77.603700000000003</v>
      </c>
      <c r="P410">
        <v>16.7925</v>
      </c>
      <c r="Q410">
        <v>14.606400000000001</v>
      </c>
    </row>
    <row r="411" spans="1:17" x14ac:dyDescent="0.25">
      <c r="A411" t="str">
        <f>IF(C411&amp;G411&amp;D411&lt;&gt;'Funnel setup'!$K$3&amp;'Funnel setup'!$K$4&amp;'Funnel setup'!$K$6,".",IF(A410=".",1,A410+1))</f>
        <v>.</v>
      </c>
      <c r="B411" s="244" t="str">
        <f t="shared" si="6"/>
        <v>Hip Replacement PrimaryProviderNORFOLK AND NORWICH UNIVERSITY HOSPITALS NHS FOUNDATION TRUST (RM1)EQ VAS</v>
      </c>
      <c r="C411" t="s">
        <v>749</v>
      </c>
      <c r="D411" t="s">
        <v>965</v>
      </c>
      <c r="E411" t="s">
        <v>340</v>
      </c>
      <c r="F411" t="s">
        <v>341</v>
      </c>
      <c r="G411" t="s">
        <v>752</v>
      </c>
      <c r="H411">
        <v>175</v>
      </c>
      <c r="I411">
        <v>54.188600000000001</v>
      </c>
      <c r="J411">
        <v>71.177099999999996</v>
      </c>
      <c r="K411">
        <v>16.988600000000002</v>
      </c>
      <c r="L411">
        <v>120</v>
      </c>
      <c r="M411">
        <v>9</v>
      </c>
      <c r="N411">
        <v>46</v>
      </c>
      <c r="O411">
        <v>74.559700000000007</v>
      </c>
      <c r="P411">
        <v>13.7484</v>
      </c>
      <c r="Q411">
        <v>18.5593</v>
      </c>
    </row>
    <row r="412" spans="1:17" x14ac:dyDescent="0.25">
      <c r="A412" t="str">
        <f>IF(C412&amp;G412&amp;D412&lt;&gt;'Funnel setup'!$K$3&amp;'Funnel setup'!$K$4&amp;'Funnel setup'!$K$6,".",IF(A411=".",1,A411+1))</f>
        <v>.</v>
      </c>
      <c r="B412" s="244" t="str">
        <f t="shared" si="6"/>
        <v>Hip Replacement PrimaryProviderNORTH BRISTOL NHS TRUST (RVJ)EQ VAS</v>
      </c>
      <c r="C412" t="s">
        <v>749</v>
      </c>
      <c r="D412" t="s">
        <v>965</v>
      </c>
      <c r="E412" t="s">
        <v>342</v>
      </c>
      <c r="F412" t="s">
        <v>343</v>
      </c>
      <c r="G412" t="s">
        <v>752</v>
      </c>
      <c r="H412">
        <v>6</v>
      </c>
      <c r="I412">
        <v>49</v>
      </c>
      <c r="J412">
        <v>71.666700000000006</v>
      </c>
      <c r="K412">
        <v>22.666699999999999</v>
      </c>
      <c r="L412">
        <v>4</v>
      </c>
      <c r="M412">
        <v>0</v>
      </c>
      <c r="N412">
        <v>2</v>
      </c>
      <c r="O412" t="s">
        <v>127</v>
      </c>
      <c r="P412" t="s">
        <v>127</v>
      </c>
      <c r="Q412" t="s">
        <v>127</v>
      </c>
    </row>
    <row r="413" spans="1:17" x14ac:dyDescent="0.25">
      <c r="A413" t="str">
        <f>IF(C413&amp;G413&amp;D413&lt;&gt;'Funnel setup'!$K$3&amp;'Funnel setup'!$K$4&amp;'Funnel setup'!$K$6,".",IF(A412=".",1,A412+1))</f>
        <v>.</v>
      </c>
      <c r="B413" s="244" t="str">
        <f t="shared" si="6"/>
        <v>Hip Replacement PrimaryProviderNORTH CUMBRIA INTEGRATED CARE NHS FOUNDATION TRUST (RNN)EQ VAS</v>
      </c>
      <c r="C413" t="s">
        <v>749</v>
      </c>
      <c r="D413" t="s">
        <v>965</v>
      </c>
      <c r="E413" t="s">
        <v>344</v>
      </c>
      <c r="F413" t="s">
        <v>345</v>
      </c>
      <c r="G413" t="s">
        <v>752</v>
      </c>
      <c r="H413">
        <v>76</v>
      </c>
      <c r="I413">
        <v>59.710500000000003</v>
      </c>
      <c r="J413">
        <v>76.539500000000004</v>
      </c>
      <c r="K413">
        <v>16.828900000000001</v>
      </c>
      <c r="L413">
        <v>49</v>
      </c>
      <c r="M413">
        <v>9</v>
      </c>
      <c r="N413">
        <v>18</v>
      </c>
      <c r="O413">
        <v>77.632400000000004</v>
      </c>
      <c r="P413">
        <v>16.821100000000001</v>
      </c>
      <c r="Q413">
        <v>15.8507</v>
      </c>
    </row>
    <row r="414" spans="1:17" x14ac:dyDescent="0.25">
      <c r="A414" t="str">
        <f>IF(C414&amp;G414&amp;D414&lt;&gt;'Funnel setup'!$K$3&amp;'Funnel setup'!$K$4&amp;'Funnel setup'!$K$6,".",IF(A413=".",1,A413+1))</f>
        <v>.</v>
      </c>
      <c r="B414" s="244" t="str">
        <f t="shared" si="6"/>
        <v>Hip Replacement PrimaryProviderNORTH DOWNS HOSPITAL (NVC11)EQ VAS</v>
      </c>
      <c r="C414" t="s">
        <v>749</v>
      </c>
      <c r="D414" t="s">
        <v>965</v>
      </c>
      <c r="E414" t="s">
        <v>348</v>
      </c>
      <c r="F414" t="s">
        <v>349</v>
      </c>
      <c r="G414" t="s">
        <v>752</v>
      </c>
      <c r="H414">
        <v>53</v>
      </c>
      <c r="I414">
        <v>68.150899999999993</v>
      </c>
      <c r="J414">
        <v>79.962299999999999</v>
      </c>
      <c r="K414">
        <v>11.811299999999999</v>
      </c>
      <c r="L414">
        <v>34</v>
      </c>
      <c r="M414">
        <v>7</v>
      </c>
      <c r="N414">
        <v>12</v>
      </c>
      <c r="O414">
        <v>76.030699999999996</v>
      </c>
      <c r="P414">
        <v>15.2194</v>
      </c>
      <c r="Q414">
        <v>14.422800000000001</v>
      </c>
    </row>
    <row r="415" spans="1:17" x14ac:dyDescent="0.25">
      <c r="A415" t="str">
        <f>IF(C415&amp;G415&amp;D415&lt;&gt;'Funnel setup'!$K$3&amp;'Funnel setup'!$K$4&amp;'Funnel setup'!$K$6,".",IF(A414=".",1,A414+1))</f>
        <v>.</v>
      </c>
      <c r="B415" s="244" t="str">
        <f t="shared" si="6"/>
        <v>Hip Replacement PrimaryProviderNORTH MIDDLESEX UNIVERSITY HOSPITAL NHS TRUST (RAP)EQ VAS</v>
      </c>
      <c r="C415" t="s">
        <v>749</v>
      </c>
      <c r="D415" t="s">
        <v>965</v>
      </c>
      <c r="E415" t="s">
        <v>350</v>
      </c>
      <c r="F415" t="s">
        <v>351</v>
      </c>
      <c r="G415" t="s">
        <v>752</v>
      </c>
      <c r="H415">
        <v>5</v>
      </c>
      <c r="I415">
        <v>48</v>
      </c>
      <c r="J415">
        <v>59</v>
      </c>
      <c r="K415">
        <v>11</v>
      </c>
      <c r="L415">
        <v>3</v>
      </c>
      <c r="M415">
        <v>1</v>
      </c>
      <c r="N415">
        <v>1</v>
      </c>
      <c r="O415" t="s">
        <v>127</v>
      </c>
      <c r="P415" t="s">
        <v>127</v>
      </c>
      <c r="Q415" t="s">
        <v>127</v>
      </c>
    </row>
    <row r="416" spans="1:17" x14ac:dyDescent="0.25">
      <c r="A416" t="str">
        <f>IF(C416&amp;G416&amp;D416&lt;&gt;'Funnel setup'!$K$3&amp;'Funnel setup'!$K$4&amp;'Funnel setup'!$K$6,".",IF(A415=".",1,A415+1))</f>
        <v>.</v>
      </c>
      <c r="B416" s="244" t="str">
        <f t="shared" si="6"/>
        <v>Hip Replacement PrimaryProviderNORTH TEES AND HARTLEPOOL NHS FOUNDATION TRUST (RVW)EQ VAS</v>
      </c>
      <c r="C416" t="s">
        <v>749</v>
      </c>
      <c r="D416" t="s">
        <v>965</v>
      </c>
      <c r="E416" t="s">
        <v>352</v>
      </c>
      <c r="F416" t="s">
        <v>353</v>
      </c>
      <c r="G416" t="s">
        <v>752</v>
      </c>
      <c r="H416">
        <v>99</v>
      </c>
      <c r="I416">
        <v>67.030299999999997</v>
      </c>
      <c r="J416">
        <v>70.636399999999995</v>
      </c>
      <c r="K416">
        <v>3.6060599999999998</v>
      </c>
      <c r="L416">
        <v>50</v>
      </c>
      <c r="M416">
        <v>10</v>
      </c>
      <c r="N416">
        <v>39</v>
      </c>
      <c r="O416">
        <v>73.862899999999996</v>
      </c>
      <c r="P416">
        <v>13.051600000000001</v>
      </c>
      <c r="Q416">
        <v>17.529</v>
      </c>
    </row>
    <row r="417" spans="1:17" x14ac:dyDescent="0.25">
      <c r="A417" t="str">
        <f>IF(C417&amp;G417&amp;D417&lt;&gt;'Funnel setup'!$K$3&amp;'Funnel setup'!$K$4&amp;'Funnel setup'!$K$6,".",IF(A416=".",1,A416+1))</f>
        <v>.</v>
      </c>
      <c r="B417" s="244" t="str">
        <f t="shared" si="6"/>
        <v>Hip Replacement PrimaryProviderNORTH WEST ANGLIA NHS FOUNDATION TRUST (RGN)EQ VAS</v>
      </c>
      <c r="C417" t="s">
        <v>749</v>
      </c>
      <c r="D417" t="s">
        <v>965</v>
      </c>
      <c r="E417" t="s">
        <v>354</v>
      </c>
      <c r="F417" t="s">
        <v>355</v>
      </c>
      <c r="G417" t="s">
        <v>752</v>
      </c>
      <c r="H417">
        <v>158</v>
      </c>
      <c r="I417">
        <v>58.259500000000003</v>
      </c>
      <c r="J417">
        <v>73.170900000000003</v>
      </c>
      <c r="K417">
        <v>14.9114</v>
      </c>
      <c r="L417">
        <v>107</v>
      </c>
      <c r="M417">
        <v>11</v>
      </c>
      <c r="N417">
        <v>40</v>
      </c>
      <c r="O417">
        <v>75.0501</v>
      </c>
      <c r="P417">
        <v>14.238799999999999</v>
      </c>
      <c r="Q417">
        <v>18.951599999999999</v>
      </c>
    </row>
    <row r="418" spans="1:17" x14ac:dyDescent="0.25">
      <c r="A418" t="str">
        <f>IF(C418&amp;G418&amp;D418&lt;&gt;'Funnel setup'!$K$3&amp;'Funnel setup'!$K$4&amp;'Funnel setup'!$K$6,".",IF(A417=".",1,A417+1))</f>
        <v>.</v>
      </c>
      <c r="B418" s="244" t="str">
        <f t="shared" si="6"/>
        <v>Hip Replacement PrimaryProviderNORTHAMPTON GENERAL HOSPITAL NHS TRUST (RNS)EQ VAS</v>
      </c>
      <c r="C418" t="s">
        <v>749</v>
      </c>
      <c r="D418" t="s">
        <v>965</v>
      </c>
      <c r="E418" t="s">
        <v>356</v>
      </c>
      <c r="F418" t="s">
        <v>357</v>
      </c>
      <c r="G418" t="s">
        <v>752</v>
      </c>
      <c r="H418">
        <v>38</v>
      </c>
      <c r="I418">
        <v>62.973700000000001</v>
      </c>
      <c r="J418">
        <v>71</v>
      </c>
      <c r="K418">
        <v>8.0263200000000001</v>
      </c>
      <c r="L418">
        <v>19</v>
      </c>
      <c r="M418">
        <v>6</v>
      </c>
      <c r="N418">
        <v>13</v>
      </c>
      <c r="O418">
        <v>72.682400000000001</v>
      </c>
      <c r="P418">
        <v>11.8711</v>
      </c>
      <c r="Q418">
        <v>15.713200000000001</v>
      </c>
    </row>
    <row r="419" spans="1:17" x14ac:dyDescent="0.25">
      <c r="A419" t="str">
        <f>IF(C419&amp;G419&amp;D419&lt;&gt;'Funnel setup'!$K$3&amp;'Funnel setup'!$K$4&amp;'Funnel setup'!$K$6,".",IF(A418=".",1,A418+1))</f>
        <v>.</v>
      </c>
      <c r="B419" s="244" t="str">
        <f t="shared" si="6"/>
        <v>Hip Replacement PrimaryProviderNORTHERN CARE ALLIANCE NHS FOUNDATION TRUST (RM3)EQ VAS</v>
      </c>
      <c r="C419" t="s">
        <v>749</v>
      </c>
      <c r="D419" t="s">
        <v>965</v>
      </c>
      <c r="E419" t="s">
        <v>358</v>
      </c>
      <c r="F419" t="s">
        <v>359</v>
      </c>
      <c r="G419" t="s">
        <v>752</v>
      </c>
      <c r="H419">
        <v>3</v>
      </c>
      <c r="I419">
        <v>30</v>
      </c>
      <c r="J419">
        <v>79</v>
      </c>
      <c r="K419">
        <v>49</v>
      </c>
      <c r="L419">
        <v>2</v>
      </c>
      <c r="M419">
        <v>0</v>
      </c>
      <c r="N419">
        <v>1</v>
      </c>
      <c r="O419" t="s">
        <v>127</v>
      </c>
      <c r="P419" t="s">
        <v>127</v>
      </c>
      <c r="Q419" t="s">
        <v>127</v>
      </c>
    </row>
    <row r="420" spans="1:17" x14ac:dyDescent="0.25">
      <c r="A420" t="str">
        <f>IF(C420&amp;G420&amp;D420&lt;&gt;'Funnel setup'!$K$3&amp;'Funnel setup'!$K$4&amp;'Funnel setup'!$K$6,".",IF(A419=".",1,A419+1))</f>
        <v>.</v>
      </c>
      <c r="B420" s="244" t="str">
        <f t="shared" si="6"/>
        <v>Hip Replacement PrimaryProviderNORTHERN DEVON HEALTHCARE NHS TRUST (RBZ)EQ VAS</v>
      </c>
      <c r="C420" t="s">
        <v>749</v>
      </c>
      <c r="D420" t="s">
        <v>965</v>
      </c>
      <c r="E420" t="s">
        <v>360</v>
      </c>
      <c r="F420" t="s">
        <v>361</v>
      </c>
      <c r="G420" t="s">
        <v>752</v>
      </c>
      <c r="H420">
        <v>25</v>
      </c>
      <c r="I420">
        <v>48.72</v>
      </c>
      <c r="J420">
        <v>76</v>
      </c>
      <c r="K420">
        <v>27.28</v>
      </c>
      <c r="L420">
        <v>21</v>
      </c>
      <c r="M420">
        <v>2</v>
      </c>
      <c r="N420">
        <v>2</v>
      </c>
      <c r="O420" t="s">
        <v>127</v>
      </c>
      <c r="P420" t="s">
        <v>127</v>
      </c>
      <c r="Q420" t="s">
        <v>127</v>
      </c>
    </row>
    <row r="421" spans="1:17" x14ac:dyDescent="0.25">
      <c r="A421" t="str">
        <f>IF(C421&amp;G421&amp;D421&lt;&gt;'Funnel setup'!$K$3&amp;'Funnel setup'!$K$4&amp;'Funnel setup'!$K$6,".",IF(A420=".",1,A420+1))</f>
        <v>.</v>
      </c>
      <c r="B421" s="244" t="str">
        <f t="shared" si="6"/>
        <v>Hip Replacement PrimaryProviderNORTHERN LINCOLNSHIRE AND GOOLE NHS FOUNDATION TRUST (RJL)EQ VAS</v>
      </c>
      <c r="C421" t="s">
        <v>749</v>
      </c>
      <c r="D421" t="s">
        <v>965</v>
      </c>
      <c r="E421" t="s">
        <v>362</v>
      </c>
      <c r="F421" t="s">
        <v>363</v>
      </c>
      <c r="G421" t="s">
        <v>752</v>
      </c>
      <c r="H421">
        <v>84</v>
      </c>
      <c r="I421">
        <v>59.1905</v>
      </c>
      <c r="J421">
        <v>74.607100000000003</v>
      </c>
      <c r="K421">
        <v>15.416700000000001</v>
      </c>
      <c r="L421">
        <v>54</v>
      </c>
      <c r="M421">
        <v>11</v>
      </c>
      <c r="N421">
        <v>19</v>
      </c>
      <c r="O421">
        <v>75.750399999999999</v>
      </c>
      <c r="P421">
        <v>14.9392</v>
      </c>
      <c r="Q421">
        <v>18.516300000000001</v>
      </c>
    </row>
    <row r="422" spans="1:17" x14ac:dyDescent="0.25">
      <c r="A422" t="str">
        <f>IF(C422&amp;G422&amp;D422&lt;&gt;'Funnel setup'!$K$3&amp;'Funnel setup'!$K$4&amp;'Funnel setup'!$K$6,".",IF(A421=".",1,A421+1))</f>
        <v>.</v>
      </c>
      <c r="B422" s="244" t="str">
        <f t="shared" si="6"/>
        <v>Hip Replacement PrimaryProviderNORTHUMBRIA HEALTHCARE NHS FOUNDATION TRUST (RTF)EQ VAS</v>
      </c>
      <c r="C422" t="s">
        <v>749</v>
      </c>
      <c r="D422" t="s">
        <v>965</v>
      </c>
      <c r="E422" t="s">
        <v>364</v>
      </c>
      <c r="F422" t="s">
        <v>365</v>
      </c>
      <c r="G422" t="s">
        <v>752</v>
      </c>
      <c r="H422">
        <v>271</v>
      </c>
      <c r="I422">
        <v>58.0959</v>
      </c>
      <c r="J422">
        <v>76.479699999999994</v>
      </c>
      <c r="K422">
        <v>18.383800000000001</v>
      </c>
      <c r="L422">
        <v>206</v>
      </c>
      <c r="M422">
        <v>20</v>
      </c>
      <c r="N422">
        <v>45</v>
      </c>
      <c r="O422">
        <v>77.347800000000007</v>
      </c>
      <c r="P422">
        <v>16.5366</v>
      </c>
      <c r="Q422">
        <v>16.877800000000001</v>
      </c>
    </row>
    <row r="423" spans="1:17" x14ac:dyDescent="0.25">
      <c r="A423" t="str">
        <f>IF(C423&amp;G423&amp;D423&lt;&gt;'Funnel setup'!$K$3&amp;'Funnel setup'!$K$4&amp;'Funnel setup'!$K$6,".",IF(A422=".",1,A422+1))</f>
        <v>.</v>
      </c>
      <c r="B423" s="244" t="str">
        <f t="shared" si="6"/>
        <v>Hip Replacement PrimaryProviderNOTTINGHAM UNIVERSITY HOSPITALS NHS TRUST (RX1)EQ VAS</v>
      </c>
      <c r="C423" t="s">
        <v>749</v>
      </c>
      <c r="D423" t="s">
        <v>965</v>
      </c>
      <c r="E423" t="s">
        <v>366</v>
      </c>
      <c r="F423" t="s">
        <v>367</v>
      </c>
      <c r="G423" t="s">
        <v>752</v>
      </c>
      <c r="H423">
        <v>3</v>
      </c>
      <c r="I423">
        <v>53.333300000000001</v>
      </c>
      <c r="J423">
        <v>77.666700000000006</v>
      </c>
      <c r="K423">
        <v>24.333300000000001</v>
      </c>
      <c r="L423">
        <v>2</v>
      </c>
      <c r="M423">
        <v>0</v>
      </c>
      <c r="N423">
        <v>1</v>
      </c>
      <c r="O423" t="s">
        <v>127</v>
      </c>
      <c r="P423" t="s">
        <v>127</v>
      </c>
      <c r="Q423" t="s">
        <v>127</v>
      </c>
    </row>
    <row r="424" spans="1:17" x14ac:dyDescent="0.25">
      <c r="A424" t="str">
        <f>IF(C424&amp;G424&amp;D424&lt;&gt;'Funnel setup'!$K$3&amp;'Funnel setup'!$K$4&amp;'Funnel setup'!$K$6,".",IF(A423=".",1,A423+1))</f>
        <v>.</v>
      </c>
      <c r="B424" s="244" t="str">
        <f t="shared" si="6"/>
        <v>Hip Replacement PrimaryProviderNUFFIELD HEALTH, BOURNEMOUTH HOSPITAL (NT202)EQ VAS</v>
      </c>
      <c r="C424" t="s">
        <v>749</v>
      </c>
      <c r="D424" t="s">
        <v>965</v>
      </c>
      <c r="E424" t="s">
        <v>368</v>
      </c>
      <c r="F424" t="s">
        <v>369</v>
      </c>
      <c r="G424" t="s">
        <v>752</v>
      </c>
      <c r="H424">
        <v>11</v>
      </c>
      <c r="I424">
        <v>64.2727</v>
      </c>
      <c r="J424">
        <v>76.636399999999995</v>
      </c>
      <c r="K424">
        <v>12.3636</v>
      </c>
      <c r="L424">
        <v>6</v>
      </c>
      <c r="M424">
        <v>2</v>
      </c>
      <c r="N424">
        <v>3</v>
      </c>
      <c r="O424" t="s">
        <v>127</v>
      </c>
      <c r="P424" t="s">
        <v>127</v>
      </c>
      <c r="Q424" t="s">
        <v>127</v>
      </c>
    </row>
    <row r="425" spans="1:17" x14ac:dyDescent="0.25">
      <c r="A425" t="str">
        <f>IF(C425&amp;G425&amp;D425&lt;&gt;'Funnel setup'!$K$3&amp;'Funnel setup'!$K$4&amp;'Funnel setup'!$K$6,".",IF(A424=".",1,A424+1))</f>
        <v>.</v>
      </c>
      <c r="B425" s="244" t="str">
        <f t="shared" si="6"/>
        <v>Hip Replacement PrimaryProviderNUFFIELD HEALTH, BRENTWOOD HOSPITAL (NT204)EQ VAS</v>
      </c>
      <c r="C425" t="s">
        <v>749</v>
      </c>
      <c r="D425" t="s">
        <v>965</v>
      </c>
      <c r="E425" t="s">
        <v>370</v>
      </c>
      <c r="F425" t="s">
        <v>371</v>
      </c>
      <c r="G425" t="s">
        <v>752</v>
      </c>
      <c r="H425">
        <v>15</v>
      </c>
      <c r="I425">
        <v>70.599999999999994</v>
      </c>
      <c r="J425">
        <v>76.666700000000006</v>
      </c>
      <c r="K425">
        <v>6.0666700000000002</v>
      </c>
      <c r="L425">
        <v>9</v>
      </c>
      <c r="M425">
        <v>0</v>
      </c>
      <c r="N425">
        <v>6</v>
      </c>
      <c r="O425" t="s">
        <v>127</v>
      </c>
      <c r="P425" t="s">
        <v>127</v>
      </c>
      <c r="Q425" t="s">
        <v>127</v>
      </c>
    </row>
    <row r="426" spans="1:17" x14ac:dyDescent="0.25">
      <c r="A426" t="str">
        <f>IF(C426&amp;G426&amp;D426&lt;&gt;'Funnel setup'!$K$3&amp;'Funnel setup'!$K$4&amp;'Funnel setup'!$K$6,".",IF(A425=".",1,A425+1))</f>
        <v>.</v>
      </c>
      <c r="B426" s="244" t="str">
        <f t="shared" si="6"/>
        <v>Hip Replacement PrimaryProviderNUFFIELD HEALTH, BRIGHTON HOSPITAL (NT205)EQ VAS</v>
      </c>
      <c r="C426" t="s">
        <v>749</v>
      </c>
      <c r="D426" t="s">
        <v>965</v>
      </c>
      <c r="E426" t="s">
        <v>372</v>
      </c>
      <c r="F426" t="s">
        <v>373</v>
      </c>
      <c r="G426" t="s">
        <v>752</v>
      </c>
      <c r="H426">
        <v>3</v>
      </c>
      <c r="I426">
        <v>50</v>
      </c>
      <c r="J426">
        <v>68.333299999999994</v>
      </c>
      <c r="K426">
        <v>18.333300000000001</v>
      </c>
      <c r="L426">
        <v>3</v>
      </c>
      <c r="M426">
        <v>0</v>
      </c>
      <c r="N426">
        <v>0</v>
      </c>
      <c r="O426" t="s">
        <v>127</v>
      </c>
      <c r="P426" t="s">
        <v>127</v>
      </c>
      <c r="Q426" t="s">
        <v>127</v>
      </c>
    </row>
    <row r="427" spans="1:17" x14ac:dyDescent="0.25">
      <c r="A427" t="str">
        <f>IF(C427&amp;G427&amp;D427&lt;&gt;'Funnel setup'!$K$3&amp;'Funnel setup'!$K$4&amp;'Funnel setup'!$K$6,".",IF(A426=".",1,A426+1))</f>
        <v>.</v>
      </c>
      <c r="B427" s="244" t="str">
        <f t="shared" si="6"/>
        <v>Hip Replacement PrimaryProviderNUFFIELD HEALTH, BRISTOL HOSPITAL (CHESTERFIELD) (NT206)EQ VAS</v>
      </c>
      <c r="C427" t="s">
        <v>749</v>
      </c>
      <c r="D427" t="s">
        <v>965</v>
      </c>
      <c r="E427" t="s">
        <v>374</v>
      </c>
      <c r="F427" t="s">
        <v>375</v>
      </c>
      <c r="G427" t="s">
        <v>752</v>
      </c>
      <c r="H427">
        <v>40</v>
      </c>
      <c r="I427">
        <v>66.099999999999994</v>
      </c>
      <c r="J427">
        <v>80.45</v>
      </c>
      <c r="K427">
        <v>14.35</v>
      </c>
      <c r="L427">
        <v>31</v>
      </c>
      <c r="M427">
        <v>5</v>
      </c>
      <c r="N427">
        <v>4</v>
      </c>
      <c r="O427">
        <v>77.7577</v>
      </c>
      <c r="P427">
        <v>16.9465</v>
      </c>
      <c r="Q427">
        <v>12.6868</v>
      </c>
    </row>
    <row r="428" spans="1:17" x14ac:dyDescent="0.25">
      <c r="A428" t="str">
        <f>IF(C428&amp;G428&amp;D428&lt;&gt;'Funnel setup'!$K$3&amp;'Funnel setup'!$K$4&amp;'Funnel setup'!$K$6,".",IF(A427=".",1,A427+1))</f>
        <v>.</v>
      </c>
      <c r="B428" s="244" t="str">
        <f t="shared" si="6"/>
        <v>Hip Replacement PrimaryProviderNUFFIELD HEALTH, CAMBRIDGE HOSPITAL (NT209)EQ VAS</v>
      </c>
      <c r="C428" t="s">
        <v>749</v>
      </c>
      <c r="D428" t="s">
        <v>965</v>
      </c>
      <c r="E428" t="s">
        <v>376</v>
      </c>
      <c r="F428" t="s">
        <v>377</v>
      </c>
      <c r="G428" t="s">
        <v>752</v>
      </c>
      <c r="H428">
        <v>21</v>
      </c>
      <c r="I428">
        <v>66.761899999999997</v>
      </c>
      <c r="J428">
        <v>80.857100000000003</v>
      </c>
      <c r="K428">
        <v>14.0952</v>
      </c>
      <c r="L428">
        <v>13</v>
      </c>
      <c r="M428">
        <v>3</v>
      </c>
      <c r="N428">
        <v>5</v>
      </c>
      <c r="O428" t="s">
        <v>127</v>
      </c>
      <c r="P428" t="s">
        <v>127</v>
      </c>
      <c r="Q428" t="s">
        <v>127</v>
      </c>
    </row>
    <row r="429" spans="1:17" x14ac:dyDescent="0.25">
      <c r="A429" t="str">
        <f>IF(C429&amp;G429&amp;D429&lt;&gt;'Funnel setup'!$K$3&amp;'Funnel setup'!$K$4&amp;'Funnel setup'!$K$6,".",IF(A428=".",1,A428+1))</f>
        <v>.</v>
      </c>
      <c r="B429" s="244" t="str">
        <f t="shared" si="6"/>
        <v>Hip Replacement PrimaryProviderNUFFIELD HEALTH, CHELTENHAM HOSPITAL (NT211)EQ VAS</v>
      </c>
      <c r="C429" t="s">
        <v>749</v>
      </c>
      <c r="D429" t="s">
        <v>965</v>
      </c>
      <c r="E429" t="s">
        <v>378</v>
      </c>
      <c r="F429" t="s">
        <v>379</v>
      </c>
      <c r="G429" t="s">
        <v>752</v>
      </c>
      <c r="H429">
        <v>1</v>
      </c>
      <c r="I429">
        <v>73</v>
      </c>
      <c r="J429">
        <v>70</v>
      </c>
      <c r="K429">
        <v>-3</v>
      </c>
      <c r="L429">
        <v>0</v>
      </c>
      <c r="M429">
        <v>0</v>
      </c>
      <c r="N429">
        <v>1</v>
      </c>
      <c r="O429" t="s">
        <v>127</v>
      </c>
      <c r="P429" t="s">
        <v>127</v>
      </c>
      <c r="Q429" t="s">
        <v>127</v>
      </c>
    </row>
    <row r="430" spans="1:17" x14ac:dyDescent="0.25">
      <c r="A430" t="str">
        <f>IF(C430&amp;G430&amp;D430&lt;&gt;'Funnel setup'!$K$3&amp;'Funnel setup'!$K$4&amp;'Funnel setup'!$K$6,".",IF(A429=".",1,A429+1))</f>
        <v>.</v>
      </c>
      <c r="B430" s="244" t="str">
        <f t="shared" si="6"/>
        <v>Hip Replacement PrimaryProviderNUFFIELD HEALTH, CHICHESTER HOSPITAL (NT212)EQ VAS</v>
      </c>
      <c r="C430" t="s">
        <v>749</v>
      </c>
      <c r="D430" t="s">
        <v>965</v>
      </c>
      <c r="E430" t="s">
        <v>380</v>
      </c>
      <c r="F430" t="s">
        <v>381</v>
      </c>
      <c r="G430" t="s">
        <v>752</v>
      </c>
      <c r="H430">
        <v>15</v>
      </c>
      <c r="I430">
        <v>50.4</v>
      </c>
      <c r="J430">
        <v>73.2667</v>
      </c>
      <c r="K430">
        <v>22.866700000000002</v>
      </c>
      <c r="L430">
        <v>11</v>
      </c>
      <c r="M430">
        <v>1</v>
      </c>
      <c r="N430">
        <v>3</v>
      </c>
      <c r="O430" t="s">
        <v>127</v>
      </c>
      <c r="P430" t="s">
        <v>127</v>
      </c>
      <c r="Q430" t="s">
        <v>127</v>
      </c>
    </row>
    <row r="431" spans="1:17" x14ac:dyDescent="0.25">
      <c r="A431" t="str">
        <f>IF(C431&amp;G431&amp;D431&lt;&gt;'Funnel setup'!$K$3&amp;'Funnel setup'!$K$4&amp;'Funnel setup'!$K$6,".",IF(A430=".",1,A430+1))</f>
        <v>.</v>
      </c>
      <c r="B431" s="244" t="str">
        <f t="shared" si="6"/>
        <v>Hip Replacement PrimaryProviderNUFFIELD HEALTH, DERBY HOSPITAL (NT213)EQ VAS</v>
      </c>
      <c r="C431" t="s">
        <v>749</v>
      </c>
      <c r="D431" t="s">
        <v>965</v>
      </c>
      <c r="E431" t="s">
        <v>382</v>
      </c>
      <c r="F431" t="s">
        <v>383</v>
      </c>
      <c r="G431" t="s">
        <v>752</v>
      </c>
      <c r="H431">
        <v>49</v>
      </c>
      <c r="I431">
        <v>62.877600000000001</v>
      </c>
      <c r="J431">
        <v>80.959199999999996</v>
      </c>
      <c r="K431">
        <v>18.081600000000002</v>
      </c>
      <c r="L431">
        <v>37</v>
      </c>
      <c r="M431">
        <v>7</v>
      </c>
      <c r="N431">
        <v>5</v>
      </c>
      <c r="O431">
        <v>79.828800000000001</v>
      </c>
      <c r="P431">
        <v>19.017499999999998</v>
      </c>
      <c r="Q431">
        <v>12.3306</v>
      </c>
    </row>
    <row r="432" spans="1:17" x14ac:dyDescent="0.25">
      <c r="A432" t="str">
        <f>IF(C432&amp;G432&amp;D432&lt;&gt;'Funnel setup'!$K$3&amp;'Funnel setup'!$K$4&amp;'Funnel setup'!$K$6,".",IF(A431=".",1,A431+1))</f>
        <v>.</v>
      </c>
      <c r="B432" s="244" t="str">
        <f t="shared" si="6"/>
        <v>Hip Replacement PrimaryProviderNUFFIELD HEALTH, EXETER HOSPITAL (NT215)EQ VAS</v>
      </c>
      <c r="C432" t="s">
        <v>749</v>
      </c>
      <c r="D432" t="s">
        <v>965</v>
      </c>
      <c r="E432" t="s">
        <v>384</v>
      </c>
      <c r="F432" t="s">
        <v>385</v>
      </c>
      <c r="G432" t="s">
        <v>752</v>
      </c>
      <c r="H432">
        <v>2</v>
      </c>
      <c r="I432">
        <v>67.5</v>
      </c>
      <c r="J432">
        <v>92.5</v>
      </c>
      <c r="K432">
        <v>25</v>
      </c>
      <c r="L432">
        <v>2</v>
      </c>
      <c r="M432">
        <v>0</v>
      </c>
      <c r="N432">
        <v>0</v>
      </c>
      <c r="O432" t="s">
        <v>127</v>
      </c>
      <c r="P432" t="s">
        <v>127</v>
      </c>
      <c r="Q432" t="s">
        <v>127</v>
      </c>
    </row>
    <row r="433" spans="1:17" x14ac:dyDescent="0.25">
      <c r="A433" t="str">
        <f>IF(C433&amp;G433&amp;D433&lt;&gt;'Funnel setup'!$K$3&amp;'Funnel setup'!$K$4&amp;'Funnel setup'!$K$6,".",IF(A432=".",1,A432+1))</f>
        <v>.</v>
      </c>
      <c r="B433" s="244" t="str">
        <f t="shared" si="6"/>
        <v>Hip Replacement PrimaryProviderNUFFIELD HEALTH, HAYWARDS HEATH HOSPITAL (NT218)EQ VAS</v>
      </c>
      <c r="C433" t="s">
        <v>749</v>
      </c>
      <c r="D433" t="s">
        <v>965</v>
      </c>
      <c r="E433" t="s">
        <v>386</v>
      </c>
      <c r="F433" t="s">
        <v>387</v>
      </c>
      <c r="G433" t="s">
        <v>752</v>
      </c>
      <c r="H433">
        <v>18</v>
      </c>
      <c r="I433">
        <v>63.666699999999999</v>
      </c>
      <c r="J433">
        <v>84.611099999999993</v>
      </c>
      <c r="K433">
        <v>20.944400000000002</v>
      </c>
      <c r="L433">
        <v>15</v>
      </c>
      <c r="M433">
        <v>0</v>
      </c>
      <c r="N433">
        <v>3</v>
      </c>
      <c r="O433" t="s">
        <v>127</v>
      </c>
      <c r="P433" t="s">
        <v>127</v>
      </c>
      <c r="Q433" t="s">
        <v>127</v>
      </c>
    </row>
    <row r="434" spans="1:17" x14ac:dyDescent="0.25">
      <c r="A434" t="str">
        <f>IF(C434&amp;G434&amp;D434&lt;&gt;'Funnel setup'!$K$3&amp;'Funnel setup'!$K$4&amp;'Funnel setup'!$K$6,".",IF(A433=".",1,A433+1))</f>
        <v>.</v>
      </c>
      <c r="B434" s="244" t="str">
        <f t="shared" si="6"/>
        <v>Hip Replacement PrimaryProviderNUFFIELD HEALTH, HEREFORD HOSPITAL (NT219)EQ VAS</v>
      </c>
      <c r="C434" t="s">
        <v>749</v>
      </c>
      <c r="D434" t="s">
        <v>965</v>
      </c>
      <c r="E434" t="s">
        <v>388</v>
      </c>
      <c r="F434" t="s">
        <v>389</v>
      </c>
      <c r="G434" t="s">
        <v>752</v>
      </c>
      <c r="H434">
        <v>6</v>
      </c>
      <c r="I434">
        <v>59.166699999999999</v>
      </c>
      <c r="J434">
        <v>74.166700000000006</v>
      </c>
      <c r="K434">
        <v>15</v>
      </c>
      <c r="L434">
        <v>4</v>
      </c>
      <c r="M434">
        <v>2</v>
      </c>
      <c r="N434">
        <v>0</v>
      </c>
      <c r="O434" t="s">
        <v>127</v>
      </c>
      <c r="P434" t="s">
        <v>127</v>
      </c>
      <c r="Q434" t="s">
        <v>127</v>
      </c>
    </row>
    <row r="435" spans="1:17" x14ac:dyDescent="0.25">
      <c r="A435" t="str">
        <f>IF(C435&amp;G435&amp;D435&lt;&gt;'Funnel setup'!$K$3&amp;'Funnel setup'!$K$4&amp;'Funnel setup'!$K$6,".",IF(A434=".",1,A434+1))</f>
        <v>.</v>
      </c>
      <c r="B435" s="244" t="str">
        <f t="shared" si="6"/>
        <v>Hip Replacement PrimaryProviderNUFFIELD HEALTH, IPSWICH HOSPITAL (NT222)EQ VAS</v>
      </c>
      <c r="C435" t="s">
        <v>749</v>
      </c>
      <c r="D435" t="s">
        <v>965</v>
      </c>
      <c r="E435" t="s">
        <v>390</v>
      </c>
      <c r="F435" t="s">
        <v>391</v>
      </c>
      <c r="G435" t="s">
        <v>752</v>
      </c>
      <c r="H435">
        <v>7</v>
      </c>
      <c r="I435">
        <v>68.571399999999997</v>
      </c>
      <c r="J435">
        <v>76.142899999999997</v>
      </c>
      <c r="K435">
        <v>7.5714300000000003</v>
      </c>
      <c r="L435">
        <v>5</v>
      </c>
      <c r="M435">
        <v>0</v>
      </c>
      <c r="N435">
        <v>2</v>
      </c>
      <c r="O435" t="s">
        <v>127</v>
      </c>
      <c r="P435" t="s">
        <v>127</v>
      </c>
      <c r="Q435" t="s">
        <v>127</v>
      </c>
    </row>
    <row r="436" spans="1:17" x14ac:dyDescent="0.25">
      <c r="A436" t="str">
        <f>IF(C436&amp;G436&amp;D436&lt;&gt;'Funnel setup'!$K$3&amp;'Funnel setup'!$K$4&amp;'Funnel setup'!$K$6,".",IF(A435=".",1,A435+1))</f>
        <v>.</v>
      </c>
      <c r="B436" s="244" t="str">
        <f t="shared" si="6"/>
        <v>Hip Replacement PrimaryProviderNUFFIELD HEALTH, LEEDS HOSPITAL (NT225)EQ VAS</v>
      </c>
      <c r="C436" t="s">
        <v>749</v>
      </c>
      <c r="D436" t="s">
        <v>965</v>
      </c>
      <c r="E436" t="s">
        <v>392</v>
      </c>
      <c r="F436" t="s">
        <v>393</v>
      </c>
      <c r="G436" t="s">
        <v>752</v>
      </c>
      <c r="H436">
        <v>105</v>
      </c>
      <c r="I436">
        <v>64</v>
      </c>
      <c r="J436">
        <v>77.047600000000003</v>
      </c>
      <c r="K436">
        <v>13.047599999999999</v>
      </c>
      <c r="L436">
        <v>67</v>
      </c>
      <c r="M436">
        <v>13</v>
      </c>
      <c r="N436">
        <v>25</v>
      </c>
      <c r="O436">
        <v>74.982500000000002</v>
      </c>
      <c r="P436">
        <v>14.171200000000001</v>
      </c>
      <c r="Q436">
        <v>15.033799999999999</v>
      </c>
    </row>
    <row r="437" spans="1:17" x14ac:dyDescent="0.25">
      <c r="A437" t="str">
        <f>IF(C437&amp;G437&amp;D437&lt;&gt;'Funnel setup'!$K$3&amp;'Funnel setup'!$K$4&amp;'Funnel setup'!$K$6,".",IF(A436=".",1,A436+1))</f>
        <v>.</v>
      </c>
      <c r="B437" s="244" t="str">
        <f t="shared" si="6"/>
        <v>Hip Replacement PrimaryProviderNUFFIELD HEALTH, LEICESTER HOSPITAL (NT226)EQ VAS</v>
      </c>
      <c r="C437" t="s">
        <v>749</v>
      </c>
      <c r="D437" t="s">
        <v>965</v>
      </c>
      <c r="E437" t="s">
        <v>394</v>
      </c>
      <c r="F437" t="s">
        <v>395</v>
      </c>
      <c r="G437" t="s">
        <v>752</v>
      </c>
      <c r="H437">
        <v>29</v>
      </c>
      <c r="I437">
        <v>65.965500000000006</v>
      </c>
      <c r="J437">
        <v>77.930999999999997</v>
      </c>
      <c r="K437">
        <v>11.9655</v>
      </c>
      <c r="L437">
        <v>24</v>
      </c>
      <c r="M437">
        <v>2</v>
      </c>
      <c r="N437">
        <v>3</v>
      </c>
      <c r="O437" t="s">
        <v>127</v>
      </c>
      <c r="P437" t="s">
        <v>127</v>
      </c>
      <c r="Q437" t="s">
        <v>127</v>
      </c>
    </row>
    <row r="438" spans="1:17" x14ac:dyDescent="0.25">
      <c r="A438" t="str">
        <f>IF(C438&amp;G438&amp;D438&lt;&gt;'Funnel setup'!$K$3&amp;'Funnel setup'!$K$4&amp;'Funnel setup'!$K$6,".",IF(A437=".",1,A437+1))</f>
        <v>.</v>
      </c>
      <c r="B438" s="244" t="str">
        <f t="shared" si="6"/>
        <v>Hip Replacement PrimaryProviderNUFFIELD HEALTH, NEWCASTLE UPON TYNE HOSPITAL (NT229)EQ VAS</v>
      </c>
      <c r="C438" t="s">
        <v>749</v>
      </c>
      <c r="D438" t="s">
        <v>965</v>
      </c>
      <c r="E438" t="s">
        <v>396</v>
      </c>
      <c r="F438" t="s">
        <v>397</v>
      </c>
      <c r="G438" t="s">
        <v>752</v>
      </c>
      <c r="H438">
        <v>45</v>
      </c>
      <c r="I438">
        <v>58.488900000000001</v>
      </c>
      <c r="J438">
        <v>76.866699999999994</v>
      </c>
      <c r="K438">
        <v>18.377800000000001</v>
      </c>
      <c r="L438">
        <v>31</v>
      </c>
      <c r="M438">
        <v>7</v>
      </c>
      <c r="N438">
        <v>7</v>
      </c>
      <c r="O438">
        <v>76.386399999999995</v>
      </c>
      <c r="P438">
        <v>15.575100000000001</v>
      </c>
      <c r="Q438">
        <v>16.0565</v>
      </c>
    </row>
    <row r="439" spans="1:17" x14ac:dyDescent="0.25">
      <c r="A439" t="str">
        <f>IF(C439&amp;G439&amp;D439&lt;&gt;'Funnel setup'!$K$3&amp;'Funnel setup'!$K$4&amp;'Funnel setup'!$K$6,".",IF(A438=".",1,A438+1))</f>
        <v>.</v>
      </c>
      <c r="B439" s="244" t="str">
        <f t="shared" si="6"/>
        <v>Hip Replacement PrimaryProviderNUFFIELD HEALTH, NORTH STAFFORDSHIRE HOSPITAL (NT230)EQ VAS</v>
      </c>
      <c r="C439" t="s">
        <v>749</v>
      </c>
      <c r="D439" t="s">
        <v>965</v>
      </c>
      <c r="E439" t="s">
        <v>398</v>
      </c>
      <c r="F439" t="s">
        <v>399</v>
      </c>
      <c r="G439" t="s">
        <v>752</v>
      </c>
      <c r="H439">
        <v>34</v>
      </c>
      <c r="I439">
        <v>64.7059</v>
      </c>
      <c r="J439">
        <v>77.2059</v>
      </c>
      <c r="K439">
        <v>12.5</v>
      </c>
      <c r="L439">
        <v>22</v>
      </c>
      <c r="M439">
        <v>3</v>
      </c>
      <c r="N439">
        <v>9</v>
      </c>
      <c r="O439">
        <v>76.801299999999998</v>
      </c>
      <c r="P439">
        <v>15.99</v>
      </c>
      <c r="Q439">
        <v>21.468800000000002</v>
      </c>
    </row>
    <row r="440" spans="1:17" x14ac:dyDescent="0.25">
      <c r="A440" t="str">
        <f>IF(C440&amp;G440&amp;D440&lt;&gt;'Funnel setup'!$K$3&amp;'Funnel setup'!$K$4&amp;'Funnel setup'!$K$6,".",IF(A439=".",1,A439+1))</f>
        <v>.</v>
      </c>
      <c r="B440" s="244" t="str">
        <f t="shared" si="6"/>
        <v>Hip Replacement PrimaryProviderNUFFIELD HEALTH, PLYMOUTH HOSPITAL (NT233)EQ VAS</v>
      </c>
      <c r="C440" t="s">
        <v>749</v>
      </c>
      <c r="D440" t="s">
        <v>965</v>
      </c>
      <c r="E440" t="s">
        <v>400</v>
      </c>
      <c r="F440" t="s">
        <v>401</v>
      </c>
      <c r="G440" t="s">
        <v>752</v>
      </c>
      <c r="H440">
        <v>60</v>
      </c>
      <c r="I440">
        <v>64.966700000000003</v>
      </c>
      <c r="J440">
        <v>80.433300000000003</v>
      </c>
      <c r="K440">
        <v>15.466699999999999</v>
      </c>
      <c r="L440">
        <v>46</v>
      </c>
      <c r="M440">
        <v>4</v>
      </c>
      <c r="N440">
        <v>10</v>
      </c>
      <c r="O440">
        <v>77.9238</v>
      </c>
      <c r="P440">
        <v>17.1126</v>
      </c>
      <c r="Q440">
        <v>13.085599999999999</v>
      </c>
    </row>
    <row r="441" spans="1:17" x14ac:dyDescent="0.25">
      <c r="A441" t="str">
        <f>IF(C441&amp;G441&amp;D441&lt;&gt;'Funnel setup'!$K$3&amp;'Funnel setup'!$K$4&amp;'Funnel setup'!$K$6,".",IF(A440=".",1,A440+1))</f>
        <v>.</v>
      </c>
      <c r="B441" s="244" t="str">
        <f t="shared" si="6"/>
        <v>Hip Replacement PrimaryProviderNUFFIELD HEALTH, SHREWSBURY HOSPITAL (NT235)EQ VAS</v>
      </c>
      <c r="C441" t="s">
        <v>749</v>
      </c>
      <c r="D441" t="s">
        <v>965</v>
      </c>
      <c r="E441" t="s">
        <v>402</v>
      </c>
      <c r="F441" t="s">
        <v>403</v>
      </c>
      <c r="G441" t="s">
        <v>752</v>
      </c>
      <c r="H441">
        <v>8</v>
      </c>
      <c r="I441">
        <v>54.75</v>
      </c>
      <c r="J441">
        <v>74</v>
      </c>
      <c r="K441">
        <v>19.25</v>
      </c>
      <c r="L441">
        <v>6</v>
      </c>
      <c r="M441">
        <v>0</v>
      </c>
      <c r="N441">
        <v>2</v>
      </c>
      <c r="O441" t="s">
        <v>127</v>
      </c>
      <c r="P441" t="s">
        <v>127</v>
      </c>
      <c r="Q441" t="s">
        <v>127</v>
      </c>
    </row>
    <row r="442" spans="1:17" x14ac:dyDescent="0.25">
      <c r="A442" t="str">
        <f>IF(C442&amp;G442&amp;D442&lt;&gt;'Funnel setup'!$K$3&amp;'Funnel setup'!$K$4&amp;'Funnel setup'!$K$6,".",IF(A441=".",1,A441+1))</f>
        <v>.</v>
      </c>
      <c r="B442" s="244" t="str">
        <f t="shared" si="6"/>
        <v>Hip Replacement PrimaryProviderNUFFIELD HEALTH, TAUNTON HOSPITAL (NT238)EQ VAS</v>
      </c>
      <c r="C442" t="s">
        <v>749</v>
      </c>
      <c r="D442" t="s">
        <v>965</v>
      </c>
      <c r="E442" t="s">
        <v>404</v>
      </c>
      <c r="F442" t="s">
        <v>405</v>
      </c>
      <c r="G442" t="s">
        <v>752</v>
      </c>
      <c r="H442">
        <v>22</v>
      </c>
      <c r="I442">
        <v>61.5</v>
      </c>
      <c r="J442">
        <v>75.7273</v>
      </c>
      <c r="K442">
        <v>14.2273</v>
      </c>
      <c r="L442">
        <v>16</v>
      </c>
      <c r="M442">
        <v>3</v>
      </c>
      <c r="N442">
        <v>3</v>
      </c>
      <c r="O442" t="s">
        <v>127</v>
      </c>
      <c r="P442" t="s">
        <v>127</v>
      </c>
      <c r="Q442" t="s">
        <v>127</v>
      </c>
    </row>
    <row r="443" spans="1:17" x14ac:dyDescent="0.25">
      <c r="A443" t="str">
        <f>IF(C443&amp;G443&amp;D443&lt;&gt;'Funnel setup'!$K$3&amp;'Funnel setup'!$K$4&amp;'Funnel setup'!$K$6,".",IF(A442=".",1,A442+1))</f>
        <v>.</v>
      </c>
      <c r="B443" s="244" t="str">
        <f t="shared" si="6"/>
        <v>Hip Replacement PrimaryProviderNUFFIELD HEALTH, TEES HOSPITAL (NT237)EQ VAS</v>
      </c>
      <c r="C443" t="s">
        <v>749</v>
      </c>
      <c r="D443" t="s">
        <v>965</v>
      </c>
      <c r="E443" t="s">
        <v>406</v>
      </c>
      <c r="F443" t="s">
        <v>407</v>
      </c>
      <c r="G443" t="s">
        <v>752</v>
      </c>
      <c r="H443">
        <v>143</v>
      </c>
      <c r="I443">
        <v>71.230800000000002</v>
      </c>
      <c r="J443">
        <v>79.552400000000006</v>
      </c>
      <c r="K443">
        <v>8.3216800000000006</v>
      </c>
      <c r="L443">
        <v>86</v>
      </c>
      <c r="M443">
        <v>17</v>
      </c>
      <c r="N443">
        <v>40</v>
      </c>
      <c r="O443">
        <v>75.929699999999997</v>
      </c>
      <c r="P443">
        <v>15.118499999999999</v>
      </c>
      <c r="Q443">
        <v>13.9498</v>
      </c>
    </row>
    <row r="444" spans="1:17" x14ac:dyDescent="0.25">
      <c r="A444" t="str">
        <f>IF(C444&amp;G444&amp;D444&lt;&gt;'Funnel setup'!$K$3&amp;'Funnel setup'!$K$4&amp;'Funnel setup'!$K$6,".",IF(A443=".",1,A443+1))</f>
        <v>.</v>
      </c>
      <c r="B444" s="244" t="str">
        <f t="shared" si="6"/>
        <v>Hip Replacement PrimaryProviderNUFFIELD HEALTH, THE GROSVENOR HOSPITAL, CHESTER (NT210)EQ VAS</v>
      </c>
      <c r="C444" t="s">
        <v>749</v>
      </c>
      <c r="D444" t="s">
        <v>965</v>
      </c>
      <c r="E444" t="s">
        <v>408</v>
      </c>
      <c r="F444" t="s">
        <v>409</v>
      </c>
      <c r="G444" t="s">
        <v>752</v>
      </c>
      <c r="H444">
        <v>14</v>
      </c>
      <c r="I444">
        <v>73.214299999999994</v>
      </c>
      <c r="J444">
        <v>82.071399999999997</v>
      </c>
      <c r="K444">
        <v>8.8571399999999993</v>
      </c>
      <c r="L444">
        <v>8</v>
      </c>
      <c r="M444">
        <v>2</v>
      </c>
      <c r="N444">
        <v>4</v>
      </c>
      <c r="O444" t="s">
        <v>127</v>
      </c>
      <c r="P444" t="s">
        <v>127</v>
      </c>
      <c r="Q444" t="s">
        <v>127</v>
      </c>
    </row>
    <row r="445" spans="1:17" x14ac:dyDescent="0.25">
      <c r="A445" t="str">
        <f>IF(C445&amp;G445&amp;D445&lt;&gt;'Funnel setup'!$K$3&amp;'Funnel setup'!$K$4&amp;'Funnel setup'!$K$6,".",IF(A444=".",1,A444+1))</f>
        <v>.</v>
      </c>
      <c r="B445" s="244" t="str">
        <f t="shared" si="6"/>
        <v>Hip Replacement PrimaryProviderNUFFIELD HEALTH, TUNBRIDGE WELLS HOSPITAL (NT239)EQ VAS</v>
      </c>
      <c r="C445" t="s">
        <v>749</v>
      </c>
      <c r="D445" t="s">
        <v>965</v>
      </c>
      <c r="E445" t="s">
        <v>410</v>
      </c>
      <c r="F445" t="s">
        <v>411</v>
      </c>
      <c r="G445" t="s">
        <v>752</v>
      </c>
      <c r="H445">
        <v>6</v>
      </c>
      <c r="I445">
        <v>74.166700000000006</v>
      </c>
      <c r="J445">
        <v>75.833299999999994</v>
      </c>
      <c r="K445">
        <v>1.6666700000000001</v>
      </c>
      <c r="L445">
        <v>3</v>
      </c>
      <c r="M445">
        <v>0</v>
      </c>
      <c r="N445">
        <v>3</v>
      </c>
      <c r="O445" t="s">
        <v>127</v>
      </c>
      <c r="P445" t="s">
        <v>127</v>
      </c>
      <c r="Q445" t="s">
        <v>127</v>
      </c>
    </row>
    <row r="446" spans="1:17" x14ac:dyDescent="0.25">
      <c r="A446" t="str">
        <f>IF(C446&amp;G446&amp;D446&lt;&gt;'Funnel setup'!$K$3&amp;'Funnel setup'!$K$4&amp;'Funnel setup'!$K$6,".",IF(A445=".",1,A445+1))</f>
        <v>.</v>
      </c>
      <c r="B446" s="244" t="str">
        <f t="shared" si="6"/>
        <v>Hip Replacement PrimaryProviderNUFFIELD HEALTH, WARWICKSHIRE HOSPITAL (NT224)EQ VAS</v>
      </c>
      <c r="C446" t="s">
        <v>749</v>
      </c>
      <c r="D446" t="s">
        <v>965</v>
      </c>
      <c r="E446" t="s">
        <v>412</v>
      </c>
      <c r="F446" t="s">
        <v>413</v>
      </c>
      <c r="G446" t="s">
        <v>752</v>
      </c>
      <c r="H446">
        <v>17</v>
      </c>
      <c r="I446">
        <v>64.470600000000005</v>
      </c>
      <c r="J446">
        <v>81.2941</v>
      </c>
      <c r="K446">
        <v>16.823499999999999</v>
      </c>
      <c r="L446">
        <v>13</v>
      </c>
      <c r="M446">
        <v>1</v>
      </c>
      <c r="N446">
        <v>3</v>
      </c>
      <c r="O446" t="s">
        <v>127</v>
      </c>
      <c r="P446" t="s">
        <v>127</v>
      </c>
      <c r="Q446" t="s">
        <v>127</v>
      </c>
    </row>
    <row r="447" spans="1:17" x14ac:dyDescent="0.25">
      <c r="A447" t="str">
        <f>IF(C447&amp;G447&amp;D447&lt;&gt;'Funnel setup'!$K$3&amp;'Funnel setup'!$K$4&amp;'Funnel setup'!$K$6,".",IF(A446=".",1,A446+1))</f>
        <v>.</v>
      </c>
      <c r="B447" s="244" t="str">
        <f t="shared" si="6"/>
        <v>Hip Replacement PrimaryProviderNUFFIELD HEALTH, WESSEX HOSPITAL (NT214)EQ VAS</v>
      </c>
      <c r="C447" t="s">
        <v>749</v>
      </c>
      <c r="D447" t="s">
        <v>965</v>
      </c>
      <c r="E447" t="s">
        <v>414</v>
      </c>
      <c r="F447" t="s">
        <v>415</v>
      </c>
      <c r="G447" t="s">
        <v>752</v>
      </c>
      <c r="H447">
        <v>32</v>
      </c>
      <c r="I447">
        <v>61.593800000000002</v>
      </c>
      <c r="J447">
        <v>77.718800000000002</v>
      </c>
      <c r="K447">
        <v>16.125</v>
      </c>
      <c r="L447">
        <v>25</v>
      </c>
      <c r="M447">
        <v>2</v>
      </c>
      <c r="N447">
        <v>5</v>
      </c>
      <c r="O447">
        <v>75.902699999999996</v>
      </c>
      <c r="P447">
        <v>15.0914</v>
      </c>
      <c r="Q447">
        <v>11.960699999999999</v>
      </c>
    </row>
    <row r="448" spans="1:17" x14ac:dyDescent="0.25">
      <c r="A448" t="str">
        <f>IF(C448&amp;G448&amp;D448&lt;&gt;'Funnel setup'!$K$3&amp;'Funnel setup'!$K$4&amp;'Funnel setup'!$K$6,".",IF(A447=".",1,A447+1))</f>
        <v>.</v>
      </c>
      <c r="B448" s="244" t="str">
        <f t="shared" si="6"/>
        <v>Hip Replacement PrimaryProviderNUFFIELD HEALTH, WOLVERHAMPTON HOSPITAL (NT242)EQ VAS</v>
      </c>
      <c r="C448" t="s">
        <v>749</v>
      </c>
      <c r="D448" t="s">
        <v>965</v>
      </c>
      <c r="E448" t="s">
        <v>418</v>
      </c>
      <c r="F448" t="s">
        <v>419</v>
      </c>
      <c r="G448" t="s">
        <v>752</v>
      </c>
      <c r="H448">
        <v>4</v>
      </c>
      <c r="I448">
        <v>59.25</v>
      </c>
      <c r="J448">
        <v>71.25</v>
      </c>
      <c r="K448">
        <v>12</v>
      </c>
      <c r="L448">
        <v>3</v>
      </c>
      <c r="M448">
        <v>1</v>
      </c>
      <c r="N448">
        <v>0</v>
      </c>
      <c r="O448" t="s">
        <v>127</v>
      </c>
      <c r="P448" t="s">
        <v>127</v>
      </c>
      <c r="Q448" t="s">
        <v>127</v>
      </c>
    </row>
    <row r="449" spans="1:17" x14ac:dyDescent="0.25">
      <c r="A449" t="str">
        <f>IF(C449&amp;G449&amp;D449&lt;&gt;'Funnel setup'!$K$3&amp;'Funnel setup'!$K$4&amp;'Funnel setup'!$K$6,".",IF(A448=".",1,A448+1))</f>
        <v>.</v>
      </c>
      <c r="B449" s="244" t="str">
        <f t="shared" si="6"/>
        <v>Hip Replacement PrimaryProviderNUFFIELD HEALTH, YORK HOSPITAL (NT245)EQ VAS</v>
      </c>
      <c r="C449" t="s">
        <v>749</v>
      </c>
      <c r="D449" t="s">
        <v>965</v>
      </c>
      <c r="E449" t="s">
        <v>420</v>
      </c>
      <c r="F449" t="s">
        <v>421</v>
      </c>
      <c r="G449" t="s">
        <v>752</v>
      </c>
      <c r="H449">
        <v>73</v>
      </c>
      <c r="I449">
        <v>63.616399999999999</v>
      </c>
      <c r="J449">
        <v>79.465800000000002</v>
      </c>
      <c r="K449">
        <v>15.849299999999999</v>
      </c>
      <c r="L449">
        <v>57</v>
      </c>
      <c r="M449">
        <v>4</v>
      </c>
      <c r="N449">
        <v>12</v>
      </c>
      <c r="O449">
        <v>78.334199999999996</v>
      </c>
      <c r="P449">
        <v>17.5229</v>
      </c>
      <c r="Q449">
        <v>15.9679</v>
      </c>
    </row>
    <row r="450" spans="1:17" x14ac:dyDescent="0.25">
      <c r="A450" t="str">
        <f>IF(C450&amp;G450&amp;D450&lt;&gt;'Funnel setup'!$K$3&amp;'Funnel setup'!$K$4&amp;'Funnel setup'!$K$6,".",IF(A449=".",1,A449+1))</f>
        <v>.</v>
      </c>
      <c r="B450" s="244" t="str">
        <f t="shared" ref="B450:B513" si="7">C450&amp;D450&amp;F450&amp;G450</f>
        <v>Hip Replacement PrimaryProviderOAKLANDS HOSPITAL (NVC12)EQ VAS</v>
      </c>
      <c r="C450" t="s">
        <v>749</v>
      </c>
      <c r="D450" t="s">
        <v>965</v>
      </c>
      <c r="E450" t="s">
        <v>424</v>
      </c>
      <c r="F450" t="s">
        <v>425</v>
      </c>
      <c r="G450" t="s">
        <v>752</v>
      </c>
      <c r="H450">
        <v>58</v>
      </c>
      <c r="I450">
        <v>66.620699999999999</v>
      </c>
      <c r="J450">
        <v>71.930999999999997</v>
      </c>
      <c r="K450">
        <v>5.3103400000000001</v>
      </c>
      <c r="L450">
        <v>32</v>
      </c>
      <c r="M450">
        <v>10</v>
      </c>
      <c r="N450">
        <v>16</v>
      </c>
      <c r="O450">
        <v>71.965599999999995</v>
      </c>
      <c r="P450">
        <v>11.154400000000001</v>
      </c>
      <c r="Q450">
        <v>20.0623</v>
      </c>
    </row>
    <row r="451" spans="1:17" x14ac:dyDescent="0.25">
      <c r="A451" t="str">
        <f>IF(C451&amp;G451&amp;D451&lt;&gt;'Funnel setup'!$K$3&amp;'Funnel setup'!$K$4&amp;'Funnel setup'!$K$6,".",IF(A450=".",1,A450+1))</f>
        <v>.</v>
      </c>
      <c r="B451" s="244" t="str">
        <f t="shared" si="7"/>
        <v>Hip Replacement PrimaryProviderOAKS HOSPITAL (NVC13)EQ VAS</v>
      </c>
      <c r="C451" t="s">
        <v>749</v>
      </c>
      <c r="D451" t="s">
        <v>965</v>
      </c>
      <c r="E451" t="s">
        <v>426</v>
      </c>
      <c r="F451" t="s">
        <v>427</v>
      </c>
      <c r="G451" t="s">
        <v>752</v>
      </c>
      <c r="H451">
        <v>6</v>
      </c>
      <c r="I451">
        <v>76.666700000000006</v>
      </c>
      <c r="J451">
        <v>73.5</v>
      </c>
      <c r="K451">
        <v>-3.1666699999999999</v>
      </c>
      <c r="L451">
        <v>2</v>
      </c>
      <c r="M451">
        <v>1</v>
      </c>
      <c r="N451">
        <v>3</v>
      </c>
      <c r="O451" t="s">
        <v>127</v>
      </c>
      <c r="P451" t="s">
        <v>127</v>
      </c>
      <c r="Q451" t="s">
        <v>127</v>
      </c>
    </row>
    <row r="452" spans="1:17" x14ac:dyDescent="0.25">
      <c r="A452" t="str">
        <f>IF(C452&amp;G452&amp;D452&lt;&gt;'Funnel setup'!$K$3&amp;'Funnel setup'!$K$4&amp;'Funnel setup'!$K$6,".",IF(A451=".",1,A451+1))</f>
        <v>.</v>
      </c>
      <c r="B452" s="244" t="str">
        <f t="shared" si="7"/>
        <v>Hip Replacement PrimaryProviderONE HEALTHCARE (AVQ)EQ VAS</v>
      </c>
      <c r="C452" t="s">
        <v>749</v>
      </c>
      <c r="D452" t="s">
        <v>965</v>
      </c>
      <c r="E452" t="s">
        <v>434</v>
      </c>
      <c r="F452" t="s">
        <v>435</v>
      </c>
      <c r="G452" t="s">
        <v>752</v>
      </c>
      <c r="H452">
        <v>51</v>
      </c>
      <c r="I452">
        <v>61.2941</v>
      </c>
      <c r="J452">
        <v>79</v>
      </c>
      <c r="K452">
        <v>17.7059</v>
      </c>
      <c r="L452">
        <v>38</v>
      </c>
      <c r="M452">
        <v>4</v>
      </c>
      <c r="N452">
        <v>9</v>
      </c>
      <c r="O452">
        <v>77.603200000000001</v>
      </c>
      <c r="P452">
        <v>16.791899999999998</v>
      </c>
      <c r="Q452">
        <v>15.972799999999999</v>
      </c>
    </row>
    <row r="453" spans="1:17" x14ac:dyDescent="0.25">
      <c r="A453" t="str">
        <f>IF(C453&amp;G453&amp;D453&lt;&gt;'Funnel setup'!$K$3&amp;'Funnel setup'!$K$4&amp;'Funnel setup'!$K$6,".",IF(A452=".",1,A452+1))</f>
        <v>.</v>
      </c>
      <c r="B453" s="244" t="str">
        <f t="shared" si="7"/>
        <v>Hip Replacement PrimaryProviderORTHOPAEDICS &amp; SPINE SPECIALIST HOSPITAL SITE (NQM01)EQ VAS</v>
      </c>
      <c r="C453" t="s">
        <v>749</v>
      </c>
      <c r="D453" t="s">
        <v>965</v>
      </c>
      <c r="E453" t="s">
        <v>436</v>
      </c>
      <c r="F453" t="s">
        <v>437</v>
      </c>
      <c r="G453" t="s">
        <v>752</v>
      </c>
      <c r="H453">
        <v>7</v>
      </c>
      <c r="I453">
        <v>77.142899999999997</v>
      </c>
      <c r="J453">
        <v>80.714299999999994</v>
      </c>
      <c r="K453">
        <v>3.5714299999999999</v>
      </c>
      <c r="L453">
        <v>5</v>
      </c>
      <c r="M453">
        <v>0</v>
      </c>
      <c r="N453">
        <v>2</v>
      </c>
      <c r="O453" t="s">
        <v>127</v>
      </c>
      <c r="P453" t="s">
        <v>127</v>
      </c>
      <c r="Q453" t="s">
        <v>127</v>
      </c>
    </row>
    <row r="454" spans="1:17" x14ac:dyDescent="0.25">
      <c r="A454" t="str">
        <f>IF(C454&amp;G454&amp;D454&lt;&gt;'Funnel setup'!$K$3&amp;'Funnel setup'!$K$4&amp;'Funnel setup'!$K$6,".",IF(A453=".",1,A453+1))</f>
        <v>.</v>
      </c>
      <c r="B454" s="244" t="str">
        <f t="shared" si="7"/>
        <v>Hip Replacement PrimaryProviderOXFORD UNIVERSITY HOSPITALS NHS FOUNDATION TRUST (RTH)EQ VAS</v>
      </c>
      <c r="C454" t="s">
        <v>749</v>
      </c>
      <c r="D454" t="s">
        <v>965</v>
      </c>
      <c r="E454" t="s">
        <v>438</v>
      </c>
      <c r="F454" t="s">
        <v>439</v>
      </c>
      <c r="G454" t="s">
        <v>752</v>
      </c>
      <c r="H454">
        <v>270</v>
      </c>
      <c r="I454">
        <v>62.281500000000001</v>
      </c>
      <c r="J454">
        <v>75.377799999999993</v>
      </c>
      <c r="K454">
        <v>13.096299999999999</v>
      </c>
      <c r="L454">
        <v>193</v>
      </c>
      <c r="M454">
        <v>22</v>
      </c>
      <c r="N454">
        <v>55</v>
      </c>
      <c r="O454">
        <v>74.477000000000004</v>
      </c>
      <c r="P454">
        <v>13.665800000000001</v>
      </c>
      <c r="Q454">
        <v>16.201799999999999</v>
      </c>
    </row>
    <row r="455" spans="1:17" x14ac:dyDescent="0.25">
      <c r="A455" t="str">
        <f>IF(C455&amp;G455&amp;D455&lt;&gt;'Funnel setup'!$K$3&amp;'Funnel setup'!$K$4&amp;'Funnel setup'!$K$6,".",IF(A454=".",1,A454+1))</f>
        <v>.</v>
      </c>
      <c r="B455" s="244" t="str">
        <f t="shared" si="7"/>
        <v>Hip Replacement PrimaryProviderPARK HILL HOSPITAL (NVC14)EQ VAS</v>
      </c>
      <c r="C455" t="s">
        <v>749</v>
      </c>
      <c r="D455" t="s">
        <v>965</v>
      </c>
      <c r="E455" t="s">
        <v>440</v>
      </c>
      <c r="F455" t="s">
        <v>441</v>
      </c>
      <c r="G455" t="s">
        <v>752</v>
      </c>
      <c r="H455">
        <v>51</v>
      </c>
      <c r="I455">
        <v>57.2941</v>
      </c>
      <c r="J455">
        <v>74.862700000000004</v>
      </c>
      <c r="K455">
        <v>17.5686</v>
      </c>
      <c r="L455">
        <v>38</v>
      </c>
      <c r="M455">
        <v>3</v>
      </c>
      <c r="N455">
        <v>10</v>
      </c>
      <c r="O455">
        <v>74.934100000000001</v>
      </c>
      <c r="P455">
        <v>14.1229</v>
      </c>
      <c r="Q455">
        <v>19.406300000000002</v>
      </c>
    </row>
    <row r="456" spans="1:17" x14ac:dyDescent="0.25">
      <c r="A456" t="str">
        <f>IF(C456&amp;G456&amp;D456&lt;&gt;'Funnel setup'!$K$3&amp;'Funnel setup'!$K$4&amp;'Funnel setup'!$K$6,".",IF(A455=".",1,A455+1))</f>
        <v>.</v>
      </c>
      <c r="B456" s="244" t="str">
        <f t="shared" si="7"/>
        <v>Hip Replacement PrimaryProviderPARK HOSPITAL (NT427)EQ VAS</v>
      </c>
      <c r="C456" t="s">
        <v>749</v>
      </c>
      <c r="D456" t="s">
        <v>965</v>
      </c>
      <c r="E456" t="s">
        <v>442</v>
      </c>
      <c r="F456" t="s">
        <v>443</v>
      </c>
      <c r="G456" t="s">
        <v>752</v>
      </c>
      <c r="H456">
        <v>20</v>
      </c>
      <c r="I456">
        <v>57.9</v>
      </c>
      <c r="J456">
        <v>71.5</v>
      </c>
      <c r="K456">
        <v>13.6</v>
      </c>
      <c r="L456">
        <v>12</v>
      </c>
      <c r="M456">
        <v>4</v>
      </c>
      <c r="N456">
        <v>4</v>
      </c>
      <c r="O456" t="s">
        <v>127</v>
      </c>
      <c r="P456" t="s">
        <v>127</v>
      </c>
      <c r="Q456" t="s">
        <v>127</v>
      </c>
    </row>
    <row r="457" spans="1:17" x14ac:dyDescent="0.25">
      <c r="A457" t="str">
        <f>IF(C457&amp;G457&amp;D457&lt;&gt;'Funnel setup'!$K$3&amp;'Funnel setup'!$K$4&amp;'Funnel setup'!$K$6,".",IF(A456=".",1,A456+1))</f>
        <v>.</v>
      </c>
      <c r="B457" s="244" t="str">
        <f t="shared" si="7"/>
        <v>Hip Replacement PrimaryProviderPENNINE ACUTE HOSPITALS NHS TRUST (RW6)EQ VAS</v>
      </c>
      <c r="C457" t="s">
        <v>749</v>
      </c>
      <c r="D457" t="s">
        <v>965</v>
      </c>
      <c r="E457" t="s">
        <v>444</v>
      </c>
      <c r="F457" t="s">
        <v>445</v>
      </c>
      <c r="G457" t="s">
        <v>752</v>
      </c>
      <c r="H457">
        <v>1</v>
      </c>
      <c r="I457">
        <v>67</v>
      </c>
      <c r="J457">
        <v>75</v>
      </c>
      <c r="K457">
        <v>8</v>
      </c>
      <c r="L457">
        <v>1</v>
      </c>
      <c r="M457">
        <v>0</v>
      </c>
      <c r="N457">
        <v>0</v>
      </c>
      <c r="O457" t="s">
        <v>127</v>
      </c>
      <c r="P457" t="s">
        <v>127</v>
      </c>
      <c r="Q457" t="s">
        <v>127</v>
      </c>
    </row>
    <row r="458" spans="1:17" x14ac:dyDescent="0.25">
      <c r="A458" t="str">
        <f>IF(C458&amp;G458&amp;D458&lt;&gt;'Funnel setup'!$K$3&amp;'Funnel setup'!$K$4&amp;'Funnel setup'!$K$6,".",IF(A457=".",1,A457+1))</f>
        <v>.</v>
      </c>
      <c r="B458" s="244" t="str">
        <f t="shared" si="7"/>
        <v>Hip Replacement PrimaryProviderPINEHILL HOSPITAL (NVC15)EQ VAS</v>
      </c>
      <c r="C458" t="s">
        <v>749</v>
      </c>
      <c r="D458" t="s">
        <v>965</v>
      </c>
      <c r="E458" t="s">
        <v>448</v>
      </c>
      <c r="F458" t="s">
        <v>449</v>
      </c>
      <c r="G458" t="s">
        <v>752</v>
      </c>
      <c r="H458">
        <v>12</v>
      </c>
      <c r="I458">
        <v>59.916699999999999</v>
      </c>
      <c r="J458">
        <v>75.75</v>
      </c>
      <c r="K458">
        <v>15.833299999999999</v>
      </c>
      <c r="L458">
        <v>9</v>
      </c>
      <c r="M458">
        <v>0</v>
      </c>
      <c r="N458">
        <v>3</v>
      </c>
      <c r="O458" t="s">
        <v>127</v>
      </c>
      <c r="P458" t="s">
        <v>127</v>
      </c>
      <c r="Q458" t="s">
        <v>127</v>
      </c>
    </row>
    <row r="459" spans="1:17" x14ac:dyDescent="0.25">
      <c r="A459" t="str">
        <f>IF(C459&amp;G459&amp;D459&lt;&gt;'Funnel setup'!$K$3&amp;'Funnel setup'!$K$4&amp;'Funnel setup'!$K$6,".",IF(A458=".",1,A458+1))</f>
        <v>.</v>
      </c>
      <c r="B459" s="244" t="str">
        <f t="shared" si="7"/>
        <v>Hip Replacement PrimaryProviderPORTSMOUTH HOSPITALS UNIVERSITY NATIONAL HEALTH SERVICE TRUST (RHU)EQ VAS</v>
      </c>
      <c r="C459" t="s">
        <v>749</v>
      </c>
      <c r="D459" t="s">
        <v>965</v>
      </c>
      <c r="E459" t="s">
        <v>450</v>
      </c>
      <c r="F459" t="s">
        <v>451</v>
      </c>
      <c r="G459" t="s">
        <v>752</v>
      </c>
      <c r="H459">
        <v>15</v>
      </c>
      <c r="I459">
        <v>48.066699999999997</v>
      </c>
      <c r="J459">
        <v>68</v>
      </c>
      <c r="K459">
        <v>19.933299999999999</v>
      </c>
      <c r="L459">
        <v>10</v>
      </c>
      <c r="M459">
        <v>2</v>
      </c>
      <c r="N459">
        <v>3</v>
      </c>
      <c r="O459" t="s">
        <v>127</v>
      </c>
      <c r="P459" t="s">
        <v>127</v>
      </c>
      <c r="Q459" t="s">
        <v>127</v>
      </c>
    </row>
    <row r="460" spans="1:17" x14ac:dyDescent="0.25">
      <c r="A460" t="str">
        <f>IF(C460&amp;G460&amp;D460&lt;&gt;'Funnel setup'!$K$3&amp;'Funnel setup'!$K$4&amp;'Funnel setup'!$K$6,".",IF(A459=".",1,A459+1))</f>
        <v>.</v>
      </c>
      <c r="B460" s="244" t="str">
        <f t="shared" si="7"/>
        <v>Hip Replacement PrimaryProviderPRACTICE PLUS GROUP HOSPITAL - BARLBOROUGH (NTP13)EQ VAS</v>
      </c>
      <c r="C460" t="s">
        <v>749</v>
      </c>
      <c r="D460" t="s">
        <v>965</v>
      </c>
      <c r="E460" t="s">
        <v>452</v>
      </c>
      <c r="F460" t="s">
        <v>453</v>
      </c>
      <c r="G460" t="s">
        <v>752</v>
      </c>
      <c r="H460">
        <v>167</v>
      </c>
      <c r="I460">
        <v>67.844300000000004</v>
      </c>
      <c r="J460">
        <v>76.365300000000005</v>
      </c>
      <c r="K460">
        <v>8.5209600000000005</v>
      </c>
      <c r="L460">
        <v>104</v>
      </c>
      <c r="M460">
        <v>14</v>
      </c>
      <c r="N460">
        <v>49</v>
      </c>
      <c r="O460">
        <v>74.206699999999998</v>
      </c>
      <c r="P460">
        <v>13.3954</v>
      </c>
      <c r="Q460">
        <v>16.583300000000001</v>
      </c>
    </row>
    <row r="461" spans="1:17" x14ac:dyDescent="0.25">
      <c r="A461" t="str">
        <f>IF(C461&amp;G461&amp;D461&lt;&gt;'Funnel setup'!$K$3&amp;'Funnel setup'!$K$4&amp;'Funnel setup'!$K$6,".",IF(A460=".",1,A460+1))</f>
        <v>.</v>
      </c>
      <c r="B461" s="244" t="str">
        <f t="shared" si="7"/>
        <v>Hip Replacement PrimaryProviderPRACTICE PLUS GROUP HOSPITAL - EMERSONS GREEN (NTPH2)EQ VAS</v>
      </c>
      <c r="C461" t="s">
        <v>749</v>
      </c>
      <c r="D461" t="s">
        <v>965</v>
      </c>
      <c r="E461" t="s">
        <v>454</v>
      </c>
      <c r="F461" t="s">
        <v>455</v>
      </c>
      <c r="G461" t="s">
        <v>752</v>
      </c>
      <c r="H461">
        <v>141</v>
      </c>
      <c r="I461">
        <v>57.383000000000003</v>
      </c>
      <c r="J461">
        <v>80.758899999999997</v>
      </c>
      <c r="K461">
        <v>23.375900000000001</v>
      </c>
      <c r="L461">
        <v>111</v>
      </c>
      <c r="M461">
        <v>10</v>
      </c>
      <c r="N461">
        <v>20</v>
      </c>
      <c r="O461">
        <v>80.026499999999999</v>
      </c>
      <c r="P461">
        <v>19.215299999999999</v>
      </c>
      <c r="Q461">
        <v>15.184200000000001</v>
      </c>
    </row>
    <row r="462" spans="1:17" x14ac:dyDescent="0.25">
      <c r="A462" t="str">
        <f>IF(C462&amp;G462&amp;D462&lt;&gt;'Funnel setup'!$K$3&amp;'Funnel setup'!$K$4&amp;'Funnel setup'!$K$6,".",IF(A461=".",1,A461+1))</f>
        <v>.</v>
      </c>
      <c r="B462" s="244" t="str">
        <f t="shared" si="7"/>
        <v>Hip Replacement PrimaryProviderPRACTICE PLUS GROUP HOSPITAL - ILFORD (NTP15)EQ VAS</v>
      </c>
      <c r="C462" t="s">
        <v>749</v>
      </c>
      <c r="D462" t="s">
        <v>965</v>
      </c>
      <c r="E462" t="s">
        <v>456</v>
      </c>
      <c r="F462" t="s">
        <v>457</v>
      </c>
      <c r="G462" t="s">
        <v>752</v>
      </c>
      <c r="H462">
        <v>49</v>
      </c>
      <c r="I462">
        <v>70.959199999999996</v>
      </c>
      <c r="J462">
        <v>79.959199999999996</v>
      </c>
      <c r="K462">
        <v>9</v>
      </c>
      <c r="L462">
        <v>29</v>
      </c>
      <c r="M462">
        <v>8</v>
      </c>
      <c r="N462">
        <v>12</v>
      </c>
      <c r="O462">
        <v>76.9636</v>
      </c>
      <c r="P462">
        <v>16.1523</v>
      </c>
      <c r="Q462">
        <v>15.9475</v>
      </c>
    </row>
    <row r="463" spans="1:17" x14ac:dyDescent="0.25">
      <c r="A463" t="str">
        <f>IF(C463&amp;G463&amp;D463&lt;&gt;'Funnel setup'!$K$3&amp;'Funnel setup'!$K$4&amp;'Funnel setup'!$K$6,".",IF(A462=".",1,A462+1))</f>
        <v>.</v>
      </c>
      <c r="B463" s="244" t="str">
        <f t="shared" si="7"/>
        <v>Hip Replacement PrimaryProviderPRACTICE PLUS GROUP HOSPITAL - PLYMOUTH (NTPH5)EQ VAS</v>
      </c>
      <c r="C463" t="s">
        <v>749</v>
      </c>
      <c r="D463" t="s">
        <v>965</v>
      </c>
      <c r="E463" t="s">
        <v>458</v>
      </c>
      <c r="F463" t="s">
        <v>459</v>
      </c>
      <c r="G463" t="s">
        <v>752</v>
      </c>
      <c r="H463">
        <v>167</v>
      </c>
      <c r="I463">
        <v>64.904200000000003</v>
      </c>
      <c r="J463">
        <v>76.089799999999997</v>
      </c>
      <c r="K463">
        <v>11.185600000000001</v>
      </c>
      <c r="L463">
        <v>112</v>
      </c>
      <c r="M463">
        <v>15</v>
      </c>
      <c r="N463">
        <v>40</v>
      </c>
      <c r="O463">
        <v>75.366799999999998</v>
      </c>
      <c r="P463">
        <v>14.5555</v>
      </c>
      <c r="Q463">
        <v>15.268700000000001</v>
      </c>
    </row>
    <row r="464" spans="1:17" x14ac:dyDescent="0.25">
      <c r="A464" t="str">
        <f>IF(C464&amp;G464&amp;D464&lt;&gt;'Funnel setup'!$K$3&amp;'Funnel setup'!$K$4&amp;'Funnel setup'!$K$6,".",IF(A463=".",1,A463+1))</f>
        <v>.</v>
      </c>
      <c r="B464" s="244" t="str">
        <f t="shared" si="7"/>
        <v>Hip Replacement PrimaryProviderPRACTICE PLUS GROUP HOSPITAL - SHEPTON MALLET (NTPH1)EQ VAS</v>
      </c>
      <c r="C464" t="s">
        <v>749</v>
      </c>
      <c r="D464" t="s">
        <v>965</v>
      </c>
      <c r="E464" t="s">
        <v>460</v>
      </c>
      <c r="F464" t="s">
        <v>461</v>
      </c>
      <c r="G464" t="s">
        <v>752</v>
      </c>
      <c r="H464">
        <v>259</v>
      </c>
      <c r="I464">
        <v>65.154399999999995</v>
      </c>
      <c r="J464">
        <v>81.748999999999995</v>
      </c>
      <c r="K464">
        <v>16.5946</v>
      </c>
      <c r="L464">
        <v>194</v>
      </c>
      <c r="M464">
        <v>22</v>
      </c>
      <c r="N464">
        <v>43</v>
      </c>
      <c r="O464">
        <v>79.284099999999995</v>
      </c>
      <c r="P464">
        <v>18.472899999999999</v>
      </c>
      <c r="Q464">
        <v>12.6953</v>
      </c>
    </row>
    <row r="465" spans="1:17" x14ac:dyDescent="0.25">
      <c r="A465" t="str">
        <f>IF(C465&amp;G465&amp;D465&lt;&gt;'Funnel setup'!$K$3&amp;'Funnel setup'!$K$4&amp;'Funnel setup'!$K$6,".",IF(A464=".",1,A464+1))</f>
        <v>.</v>
      </c>
      <c r="B465" s="244" t="str">
        <f t="shared" si="7"/>
        <v>Hip Replacement PrimaryProviderPRACTICE PLUS GROUP HOSPITAL - SOUTHAMPTON (NTP11)EQ VAS</v>
      </c>
      <c r="C465" t="s">
        <v>749</v>
      </c>
      <c r="D465" t="s">
        <v>965</v>
      </c>
      <c r="E465" t="s">
        <v>462</v>
      </c>
      <c r="F465" t="s">
        <v>463</v>
      </c>
      <c r="G465" t="s">
        <v>752</v>
      </c>
      <c r="H465">
        <v>61</v>
      </c>
      <c r="I465">
        <v>65.459000000000003</v>
      </c>
      <c r="J465">
        <v>79.442599999999999</v>
      </c>
      <c r="K465">
        <v>13.983599999999999</v>
      </c>
      <c r="L465">
        <v>42</v>
      </c>
      <c r="M465">
        <v>7</v>
      </c>
      <c r="N465">
        <v>12</v>
      </c>
      <c r="O465">
        <v>76.735500000000002</v>
      </c>
      <c r="P465">
        <v>15.924300000000001</v>
      </c>
      <c r="Q465">
        <v>18.020700000000001</v>
      </c>
    </row>
    <row r="466" spans="1:17" x14ac:dyDescent="0.25">
      <c r="A466" t="str">
        <f>IF(C466&amp;G466&amp;D466&lt;&gt;'Funnel setup'!$K$3&amp;'Funnel setup'!$K$4&amp;'Funnel setup'!$K$6,".",IF(A465=".",1,A465+1))</f>
        <v>.</v>
      </c>
      <c r="B466" s="244" t="str">
        <f t="shared" si="7"/>
        <v>Hip Replacement PrimaryProviderPRINCESS MARGARET HOSPITAL (NT428)EQ VAS</v>
      </c>
      <c r="C466" t="s">
        <v>749</v>
      </c>
      <c r="D466" t="s">
        <v>965</v>
      </c>
      <c r="E466" t="s">
        <v>464</v>
      </c>
      <c r="F466" t="s">
        <v>465</v>
      </c>
      <c r="G466" t="s">
        <v>752</v>
      </c>
      <c r="H466" t="s">
        <v>127</v>
      </c>
      <c r="I466" t="s">
        <v>127</v>
      </c>
      <c r="J466" t="s">
        <v>127</v>
      </c>
      <c r="K466" t="s">
        <v>127</v>
      </c>
      <c r="L466" t="s">
        <v>127</v>
      </c>
      <c r="M466" t="s">
        <v>127</v>
      </c>
      <c r="N466" t="s">
        <v>127</v>
      </c>
      <c r="O466" t="s">
        <v>127</v>
      </c>
      <c r="P466" t="s">
        <v>127</v>
      </c>
      <c r="Q466" t="s">
        <v>127</v>
      </c>
    </row>
    <row r="467" spans="1:17" x14ac:dyDescent="0.25">
      <c r="A467" t="str">
        <f>IF(C467&amp;G467&amp;D467&lt;&gt;'Funnel setup'!$K$3&amp;'Funnel setup'!$K$4&amp;'Funnel setup'!$K$6,".",IF(A466=".",1,A466+1))</f>
        <v>.</v>
      </c>
      <c r="B467" s="244" t="str">
        <f t="shared" si="7"/>
        <v>Hip Replacement PrimaryProviderPRIORY HOSPITAL (NT429)EQ VAS</v>
      </c>
      <c r="C467" t="s">
        <v>749</v>
      </c>
      <c r="D467" t="s">
        <v>965</v>
      </c>
      <c r="E467" t="s">
        <v>466</v>
      </c>
      <c r="F467" t="s">
        <v>467</v>
      </c>
      <c r="G467" t="s">
        <v>752</v>
      </c>
      <c r="H467">
        <v>10</v>
      </c>
      <c r="I467">
        <v>57.9</v>
      </c>
      <c r="J467">
        <v>75</v>
      </c>
      <c r="K467">
        <v>17.100000000000001</v>
      </c>
      <c r="L467">
        <v>7</v>
      </c>
      <c r="M467">
        <v>1</v>
      </c>
      <c r="N467">
        <v>2</v>
      </c>
      <c r="O467" t="s">
        <v>127</v>
      </c>
      <c r="P467" t="s">
        <v>127</v>
      </c>
      <c r="Q467" t="s">
        <v>127</v>
      </c>
    </row>
    <row r="468" spans="1:17" x14ac:dyDescent="0.25">
      <c r="A468" t="str">
        <f>IF(C468&amp;G468&amp;D468&lt;&gt;'Funnel setup'!$K$3&amp;'Funnel setup'!$K$4&amp;'Funnel setup'!$K$6,".",IF(A467=".",1,A467+1))</f>
        <v>.</v>
      </c>
      <c r="B468" s="244" t="str">
        <f t="shared" si="7"/>
        <v>Hip Replacement PrimaryProviderRENACRES HOSPITAL (NVC16)EQ VAS</v>
      </c>
      <c r="C468" t="s">
        <v>749</v>
      </c>
      <c r="D468" t="s">
        <v>965</v>
      </c>
      <c r="E468" t="s">
        <v>470</v>
      </c>
      <c r="F468" t="s">
        <v>471</v>
      </c>
      <c r="G468" t="s">
        <v>752</v>
      </c>
      <c r="H468">
        <v>78</v>
      </c>
      <c r="I468">
        <v>59.807699999999997</v>
      </c>
      <c r="J468">
        <v>78.2821</v>
      </c>
      <c r="K468">
        <v>18.474399999999999</v>
      </c>
      <c r="L468">
        <v>59</v>
      </c>
      <c r="M468">
        <v>10</v>
      </c>
      <c r="N468">
        <v>9</v>
      </c>
      <c r="O468">
        <v>77.530500000000004</v>
      </c>
      <c r="P468">
        <v>16.719200000000001</v>
      </c>
      <c r="Q468">
        <v>16.740200000000002</v>
      </c>
    </row>
    <row r="469" spans="1:17" x14ac:dyDescent="0.25">
      <c r="A469" t="str">
        <f>IF(C469&amp;G469&amp;D469&lt;&gt;'Funnel setup'!$K$3&amp;'Funnel setup'!$K$4&amp;'Funnel setup'!$K$6,".",IF(A468=".",1,A468+1))</f>
        <v>.</v>
      </c>
      <c r="B469" s="244" t="str">
        <f t="shared" si="7"/>
        <v>Hip Replacement PrimaryProviderRIDGEWAY HOSPITAL (NT430)EQ VAS</v>
      </c>
      <c r="C469" t="s">
        <v>749</v>
      </c>
      <c r="D469" t="s">
        <v>965</v>
      </c>
      <c r="E469" t="s">
        <v>472</v>
      </c>
      <c r="F469" t="s">
        <v>473</v>
      </c>
      <c r="G469" t="s">
        <v>752</v>
      </c>
      <c r="H469">
        <v>4</v>
      </c>
      <c r="I469">
        <v>78.75</v>
      </c>
      <c r="J469">
        <v>84.5</v>
      </c>
      <c r="K469">
        <v>5.75</v>
      </c>
      <c r="L469">
        <v>2</v>
      </c>
      <c r="M469">
        <v>0</v>
      </c>
      <c r="N469">
        <v>2</v>
      </c>
      <c r="O469" t="s">
        <v>127</v>
      </c>
      <c r="P469" t="s">
        <v>127</v>
      </c>
      <c r="Q469" t="s">
        <v>127</v>
      </c>
    </row>
    <row r="470" spans="1:17" x14ac:dyDescent="0.25">
      <c r="A470" t="str">
        <f>IF(C470&amp;G470&amp;D470&lt;&gt;'Funnel setup'!$K$3&amp;'Funnel setup'!$K$4&amp;'Funnel setup'!$K$6,".",IF(A469=".",1,A469+1))</f>
        <v>.</v>
      </c>
      <c r="B470" s="244" t="str">
        <f t="shared" si="7"/>
        <v>Hip Replacement PrimaryProviderRIVERS HOSPITAL (NVC19)EQ VAS</v>
      </c>
      <c r="C470" t="s">
        <v>749</v>
      </c>
      <c r="D470" t="s">
        <v>965</v>
      </c>
      <c r="E470" t="s">
        <v>474</v>
      </c>
      <c r="F470" t="s">
        <v>475</v>
      </c>
      <c r="G470" t="s">
        <v>752</v>
      </c>
      <c r="H470">
        <v>54</v>
      </c>
      <c r="I470">
        <v>66.370400000000004</v>
      </c>
      <c r="J470">
        <v>75.925899999999999</v>
      </c>
      <c r="K470">
        <v>9.5555599999999998</v>
      </c>
      <c r="L470">
        <v>35</v>
      </c>
      <c r="M470">
        <v>8</v>
      </c>
      <c r="N470">
        <v>11</v>
      </c>
      <c r="O470">
        <v>73.030900000000003</v>
      </c>
      <c r="P470">
        <v>12.2196</v>
      </c>
      <c r="Q470">
        <v>18.670200000000001</v>
      </c>
    </row>
    <row r="471" spans="1:17" x14ac:dyDescent="0.25">
      <c r="A471" t="str">
        <f>IF(C471&amp;G471&amp;D471&lt;&gt;'Funnel setup'!$K$3&amp;'Funnel setup'!$K$4&amp;'Funnel setup'!$K$6,".",IF(A470=".",1,A470+1))</f>
        <v>.</v>
      </c>
      <c r="B471" s="244" t="str">
        <f t="shared" si="7"/>
        <v>Hip Replacement PrimaryProviderROWLEY HALL HOSPITAL (NVC17)EQ VAS</v>
      </c>
      <c r="C471" t="s">
        <v>749</v>
      </c>
      <c r="D471" t="s">
        <v>965</v>
      </c>
      <c r="E471" t="s">
        <v>476</v>
      </c>
      <c r="F471" t="s">
        <v>477</v>
      </c>
      <c r="G471" t="s">
        <v>752</v>
      </c>
      <c r="H471">
        <v>49</v>
      </c>
      <c r="I471">
        <v>62.306100000000001</v>
      </c>
      <c r="J471">
        <v>77.122399999999999</v>
      </c>
      <c r="K471">
        <v>14.8163</v>
      </c>
      <c r="L471">
        <v>33</v>
      </c>
      <c r="M471">
        <v>6</v>
      </c>
      <c r="N471">
        <v>10</v>
      </c>
      <c r="O471">
        <v>76.860299999999995</v>
      </c>
      <c r="P471">
        <v>16.048999999999999</v>
      </c>
      <c r="Q471">
        <v>12.0236</v>
      </c>
    </row>
    <row r="472" spans="1:17" x14ac:dyDescent="0.25">
      <c r="A472" t="str">
        <f>IF(C472&amp;G472&amp;D472&lt;&gt;'Funnel setup'!$K$3&amp;'Funnel setup'!$K$4&amp;'Funnel setup'!$K$6,".",IF(A471=".",1,A471+1))</f>
        <v>.</v>
      </c>
      <c r="B472" s="244" t="str">
        <f t="shared" si="7"/>
        <v>Hip Replacement PrimaryProviderROYAL BERKSHIRE NHS FOUNDATION TRUST (RHW)EQ VAS</v>
      </c>
      <c r="C472" t="s">
        <v>749</v>
      </c>
      <c r="D472" t="s">
        <v>965</v>
      </c>
      <c r="E472" t="s">
        <v>478</v>
      </c>
      <c r="F472" t="s">
        <v>479</v>
      </c>
      <c r="G472" t="s">
        <v>752</v>
      </c>
      <c r="H472">
        <v>3</v>
      </c>
      <c r="I472">
        <v>26.333300000000001</v>
      </c>
      <c r="J472">
        <v>43.333300000000001</v>
      </c>
      <c r="K472">
        <v>17</v>
      </c>
      <c r="L472">
        <v>3</v>
      </c>
      <c r="M472">
        <v>0</v>
      </c>
      <c r="N472">
        <v>0</v>
      </c>
      <c r="O472" t="s">
        <v>127</v>
      </c>
      <c r="P472" t="s">
        <v>127</v>
      </c>
      <c r="Q472" t="s">
        <v>127</v>
      </c>
    </row>
    <row r="473" spans="1:17" x14ac:dyDescent="0.25">
      <c r="A473" t="str">
        <f>IF(C473&amp;G473&amp;D473&lt;&gt;'Funnel setup'!$K$3&amp;'Funnel setup'!$K$4&amp;'Funnel setup'!$K$6,".",IF(A472=".",1,A472+1))</f>
        <v>.</v>
      </c>
      <c r="B473" s="244" t="str">
        <f t="shared" si="7"/>
        <v>Hip Replacement PrimaryProviderROYAL CORNWALL HOSPITALS NHS TRUST (REF)EQ VAS</v>
      </c>
      <c r="C473" t="s">
        <v>749</v>
      </c>
      <c r="D473" t="s">
        <v>965</v>
      </c>
      <c r="E473" t="s">
        <v>480</v>
      </c>
      <c r="F473" t="s">
        <v>481</v>
      </c>
      <c r="G473" t="s">
        <v>752</v>
      </c>
      <c r="H473">
        <v>47</v>
      </c>
      <c r="I473">
        <v>68.766000000000005</v>
      </c>
      <c r="J473">
        <v>80.148899999999998</v>
      </c>
      <c r="K473">
        <v>11.382999999999999</v>
      </c>
      <c r="L473">
        <v>34</v>
      </c>
      <c r="M473">
        <v>3</v>
      </c>
      <c r="N473">
        <v>10</v>
      </c>
      <c r="O473">
        <v>77.365200000000002</v>
      </c>
      <c r="P473">
        <v>16.553899999999999</v>
      </c>
      <c r="Q473">
        <v>15.472099999999999</v>
      </c>
    </row>
    <row r="474" spans="1:17" x14ac:dyDescent="0.25">
      <c r="A474" t="str">
        <f>IF(C474&amp;G474&amp;D474&lt;&gt;'Funnel setup'!$K$3&amp;'Funnel setup'!$K$4&amp;'Funnel setup'!$K$6,".",IF(A473=".",1,A473+1))</f>
        <v>.</v>
      </c>
      <c r="B474" s="244" t="str">
        <f t="shared" si="7"/>
        <v>Hip Replacement PrimaryProviderROYAL DEVON UNIVERSITY HEALTHCARE NHS FOUNDATION TRUST (RH8)EQ VAS</v>
      </c>
      <c r="C474" t="s">
        <v>749</v>
      </c>
      <c r="D474" t="s">
        <v>965</v>
      </c>
      <c r="E474" t="s">
        <v>482</v>
      </c>
      <c r="F474" t="s">
        <v>483</v>
      </c>
      <c r="G474" t="s">
        <v>752</v>
      </c>
      <c r="H474">
        <v>2</v>
      </c>
      <c r="I474">
        <v>62.5</v>
      </c>
      <c r="J474">
        <v>70</v>
      </c>
      <c r="K474">
        <v>7.5</v>
      </c>
      <c r="L474">
        <v>1</v>
      </c>
      <c r="M474">
        <v>0</v>
      </c>
      <c r="N474">
        <v>1</v>
      </c>
      <c r="O474" t="s">
        <v>127</v>
      </c>
      <c r="P474" t="s">
        <v>127</v>
      </c>
      <c r="Q474" t="s">
        <v>127</v>
      </c>
    </row>
    <row r="475" spans="1:17" x14ac:dyDescent="0.25">
      <c r="A475" t="str">
        <f>IF(C475&amp;G475&amp;D475&lt;&gt;'Funnel setup'!$K$3&amp;'Funnel setup'!$K$4&amp;'Funnel setup'!$K$6,".",IF(A474=".",1,A474+1))</f>
        <v>.</v>
      </c>
      <c r="B475" s="244" t="str">
        <f t="shared" si="7"/>
        <v>Hip Replacement PrimaryProviderROYAL NATIONAL ORTHOPAEDIC HOSPITAL NHS TRUST (RAN)EQ VAS</v>
      </c>
      <c r="C475" t="s">
        <v>749</v>
      </c>
      <c r="D475" t="s">
        <v>965</v>
      </c>
      <c r="E475" t="s">
        <v>486</v>
      </c>
      <c r="F475" t="s">
        <v>487</v>
      </c>
      <c r="G475" t="s">
        <v>752</v>
      </c>
      <c r="H475">
        <v>67</v>
      </c>
      <c r="I475">
        <v>56.059699999999999</v>
      </c>
      <c r="J475">
        <v>64.925399999999996</v>
      </c>
      <c r="K475">
        <v>8.8656699999999997</v>
      </c>
      <c r="L475">
        <v>38</v>
      </c>
      <c r="M475">
        <v>9</v>
      </c>
      <c r="N475">
        <v>20</v>
      </c>
      <c r="O475">
        <v>69.158000000000001</v>
      </c>
      <c r="P475">
        <v>8.3467800000000008</v>
      </c>
      <c r="Q475">
        <v>17.9497</v>
      </c>
    </row>
    <row r="476" spans="1:17" x14ac:dyDescent="0.25">
      <c r="A476" t="str">
        <f>IF(C476&amp;G476&amp;D476&lt;&gt;'Funnel setup'!$K$3&amp;'Funnel setup'!$K$4&amp;'Funnel setup'!$K$6,".",IF(A475=".",1,A475+1))</f>
        <v>.</v>
      </c>
      <c r="B476" s="244" t="str">
        <f t="shared" si="7"/>
        <v>Hip Replacement PrimaryProviderROYAL SURREY COUNTY HOSPITAL NHS FOUNDATION TRUST (RA2)EQ VAS</v>
      </c>
      <c r="C476" t="s">
        <v>749</v>
      </c>
      <c r="D476" t="s">
        <v>965</v>
      </c>
      <c r="E476" t="s">
        <v>488</v>
      </c>
      <c r="F476" t="s">
        <v>489</v>
      </c>
      <c r="G476" t="s">
        <v>752</v>
      </c>
      <c r="H476">
        <v>73</v>
      </c>
      <c r="I476">
        <v>66.274000000000001</v>
      </c>
      <c r="J476">
        <v>76.178100000000001</v>
      </c>
      <c r="K476">
        <v>9.9041099999999993</v>
      </c>
      <c r="L476">
        <v>44</v>
      </c>
      <c r="M476">
        <v>6</v>
      </c>
      <c r="N476">
        <v>23</v>
      </c>
      <c r="O476">
        <v>74.841399999999993</v>
      </c>
      <c r="P476">
        <v>14.030099999999999</v>
      </c>
      <c r="Q476">
        <v>16.624700000000001</v>
      </c>
    </row>
    <row r="477" spans="1:17" x14ac:dyDescent="0.25">
      <c r="A477" t="str">
        <f>IF(C477&amp;G477&amp;D477&lt;&gt;'Funnel setup'!$K$3&amp;'Funnel setup'!$K$4&amp;'Funnel setup'!$K$6,".",IF(A476=".",1,A476+1))</f>
        <v>.</v>
      </c>
      <c r="B477" s="244" t="str">
        <f t="shared" si="7"/>
        <v>Hip Replacement PrimaryProviderROYAL UNITED HOSPITALS BATH NHS FOUNDATION TRUST (RD1)EQ VAS</v>
      </c>
      <c r="C477" t="s">
        <v>749</v>
      </c>
      <c r="D477" t="s">
        <v>965</v>
      </c>
      <c r="E477" t="s">
        <v>490</v>
      </c>
      <c r="F477" t="s">
        <v>491</v>
      </c>
      <c r="G477" t="s">
        <v>752</v>
      </c>
      <c r="H477">
        <v>7</v>
      </c>
      <c r="I477">
        <v>47.142899999999997</v>
      </c>
      <c r="J477">
        <v>63.285699999999999</v>
      </c>
      <c r="K477">
        <v>16.142900000000001</v>
      </c>
      <c r="L477">
        <v>4</v>
      </c>
      <c r="M477">
        <v>2</v>
      </c>
      <c r="N477">
        <v>1</v>
      </c>
      <c r="O477" t="s">
        <v>127</v>
      </c>
      <c r="P477" t="s">
        <v>127</v>
      </c>
      <c r="Q477" t="s">
        <v>127</v>
      </c>
    </row>
    <row r="478" spans="1:17" x14ac:dyDescent="0.25">
      <c r="A478" t="str">
        <f>IF(C478&amp;G478&amp;D478&lt;&gt;'Funnel setup'!$K$3&amp;'Funnel setup'!$K$4&amp;'Funnel setup'!$K$6,".",IF(A477=".",1,A477+1))</f>
        <v>.</v>
      </c>
      <c r="B478" s="244" t="str">
        <f t="shared" si="7"/>
        <v>Hip Replacement PrimaryProviderRUNNYMEDE HOSPITAL (NT431)EQ VAS</v>
      </c>
      <c r="C478" t="s">
        <v>749</v>
      </c>
      <c r="D478" t="s">
        <v>965</v>
      </c>
      <c r="E478" t="s">
        <v>492</v>
      </c>
      <c r="F478" t="s">
        <v>493</v>
      </c>
      <c r="G478" t="s">
        <v>752</v>
      </c>
      <c r="H478">
        <v>4</v>
      </c>
      <c r="I478">
        <v>71.25</v>
      </c>
      <c r="J478">
        <v>80</v>
      </c>
      <c r="K478">
        <v>8.75</v>
      </c>
      <c r="L478">
        <v>2</v>
      </c>
      <c r="M478">
        <v>1</v>
      </c>
      <c r="N478">
        <v>1</v>
      </c>
      <c r="O478" t="s">
        <v>127</v>
      </c>
      <c r="P478" t="s">
        <v>127</v>
      </c>
      <c r="Q478" t="s">
        <v>127</v>
      </c>
    </row>
    <row r="479" spans="1:17" x14ac:dyDescent="0.25">
      <c r="A479" t="str">
        <f>IF(C479&amp;G479&amp;D479&lt;&gt;'Funnel setup'!$K$3&amp;'Funnel setup'!$K$4&amp;'Funnel setup'!$K$6,".",IF(A478=".",1,A478+1))</f>
        <v>.</v>
      </c>
      <c r="B479" s="244" t="str">
        <f t="shared" si="7"/>
        <v>Hip Replacement PrimaryProviderSALISBURY NHS FOUNDATION TRUST (RNZ)EQ VAS</v>
      </c>
      <c r="C479" t="s">
        <v>749</v>
      </c>
      <c r="D479" t="s">
        <v>965</v>
      </c>
      <c r="E479" t="s">
        <v>494</v>
      </c>
      <c r="F479" t="s">
        <v>495</v>
      </c>
      <c r="G479" t="s">
        <v>752</v>
      </c>
      <c r="H479">
        <v>3</v>
      </c>
      <c r="I479">
        <v>48.333300000000001</v>
      </c>
      <c r="J479">
        <v>74.666700000000006</v>
      </c>
      <c r="K479">
        <v>26.333300000000001</v>
      </c>
      <c r="L479">
        <v>3</v>
      </c>
      <c r="M479">
        <v>0</v>
      </c>
      <c r="N479">
        <v>0</v>
      </c>
      <c r="O479" t="s">
        <v>127</v>
      </c>
      <c r="P479" t="s">
        <v>127</v>
      </c>
      <c r="Q479" t="s">
        <v>127</v>
      </c>
    </row>
    <row r="480" spans="1:17" x14ac:dyDescent="0.25">
      <c r="A480" t="str">
        <f>IF(C480&amp;G480&amp;D480&lt;&gt;'Funnel setup'!$K$3&amp;'Funnel setup'!$K$4&amp;'Funnel setup'!$K$6,".",IF(A479=".",1,A479+1))</f>
        <v>.</v>
      </c>
      <c r="B480" s="244" t="str">
        <f t="shared" si="7"/>
        <v>Hip Replacement PrimaryProviderSANDWELL AND WEST BIRMINGHAM HOSPITALS NHS TRUST (RXK)EQ VAS</v>
      </c>
      <c r="C480" t="s">
        <v>749</v>
      </c>
      <c r="D480" t="s">
        <v>965</v>
      </c>
      <c r="E480" t="s">
        <v>496</v>
      </c>
      <c r="F480" t="s">
        <v>497</v>
      </c>
      <c r="G480" t="s">
        <v>752</v>
      </c>
      <c r="H480">
        <v>39</v>
      </c>
      <c r="I480">
        <v>63.179499999999997</v>
      </c>
      <c r="J480">
        <v>71.307699999999997</v>
      </c>
      <c r="K480">
        <v>8.1282099999999993</v>
      </c>
      <c r="L480">
        <v>24</v>
      </c>
      <c r="M480">
        <v>3</v>
      </c>
      <c r="N480">
        <v>12</v>
      </c>
      <c r="O480">
        <v>75.377200000000002</v>
      </c>
      <c r="P480">
        <v>14.565899999999999</v>
      </c>
      <c r="Q480">
        <v>16.958100000000002</v>
      </c>
    </row>
    <row r="481" spans="1:17" x14ac:dyDescent="0.25">
      <c r="A481" t="str">
        <f>IF(C481&amp;G481&amp;D481&lt;&gt;'Funnel setup'!$K$3&amp;'Funnel setup'!$K$4&amp;'Funnel setup'!$K$6,".",IF(A480=".",1,A480+1))</f>
        <v>.</v>
      </c>
      <c r="B481" s="244" t="str">
        <f t="shared" si="7"/>
        <v>Hip Replacement PrimaryProviderSARUM ROAD HOSPITAL (NT433)EQ VAS</v>
      </c>
      <c r="C481" t="s">
        <v>749</v>
      </c>
      <c r="D481" t="s">
        <v>965</v>
      </c>
      <c r="E481" t="s">
        <v>498</v>
      </c>
      <c r="F481" t="s">
        <v>499</v>
      </c>
      <c r="G481" t="s">
        <v>752</v>
      </c>
      <c r="H481">
        <v>31</v>
      </c>
      <c r="I481">
        <v>63.967700000000001</v>
      </c>
      <c r="J481">
        <v>82.935500000000005</v>
      </c>
      <c r="K481">
        <v>18.967700000000001</v>
      </c>
      <c r="L481">
        <v>25</v>
      </c>
      <c r="M481">
        <v>1</v>
      </c>
      <c r="N481">
        <v>5</v>
      </c>
      <c r="O481">
        <v>80.301900000000003</v>
      </c>
      <c r="P481">
        <v>19.4907</v>
      </c>
      <c r="Q481">
        <v>9.5810200000000005</v>
      </c>
    </row>
    <row r="482" spans="1:17" x14ac:dyDescent="0.25">
      <c r="A482" t="str">
        <f>IF(C482&amp;G482&amp;D482&lt;&gt;'Funnel setup'!$K$3&amp;'Funnel setup'!$K$4&amp;'Funnel setup'!$K$6,".",IF(A481=".",1,A481+1))</f>
        <v>.</v>
      </c>
      <c r="B482" s="244" t="str">
        <f t="shared" si="7"/>
        <v>Hip Replacement PrimaryProviderSAXON CLINIC (NT434)EQ VAS</v>
      </c>
      <c r="C482" t="s">
        <v>749</v>
      </c>
      <c r="D482" t="s">
        <v>965</v>
      </c>
      <c r="E482" t="s">
        <v>500</v>
      </c>
      <c r="F482" t="s">
        <v>501</v>
      </c>
      <c r="G482" t="s">
        <v>752</v>
      </c>
      <c r="H482">
        <v>13</v>
      </c>
      <c r="I482">
        <v>54.153799999999997</v>
      </c>
      <c r="J482">
        <v>85.461500000000001</v>
      </c>
      <c r="K482">
        <v>31.307700000000001</v>
      </c>
      <c r="L482">
        <v>12</v>
      </c>
      <c r="M482">
        <v>0</v>
      </c>
      <c r="N482">
        <v>1</v>
      </c>
      <c r="O482" t="s">
        <v>127</v>
      </c>
      <c r="P482" t="s">
        <v>127</v>
      </c>
      <c r="Q482" t="s">
        <v>127</v>
      </c>
    </row>
    <row r="483" spans="1:17" x14ac:dyDescent="0.25">
      <c r="A483" t="str">
        <f>IF(C483&amp;G483&amp;D483&lt;&gt;'Funnel setup'!$K$3&amp;'Funnel setup'!$K$4&amp;'Funnel setup'!$K$6,".",IF(A482=".",1,A482+1))</f>
        <v>.</v>
      </c>
      <c r="B483" s="244" t="str">
        <f t="shared" si="7"/>
        <v>Hip Replacement PrimaryProviderSHEFFIELD TEACHING HOSPITALS NHS FOUNDATION TRUST (RHQ)EQ VAS</v>
      </c>
      <c r="C483" t="s">
        <v>749</v>
      </c>
      <c r="D483" t="s">
        <v>965</v>
      </c>
      <c r="E483" t="s">
        <v>506</v>
      </c>
      <c r="F483" t="s">
        <v>507</v>
      </c>
      <c r="G483" t="s">
        <v>752</v>
      </c>
      <c r="H483">
        <v>30</v>
      </c>
      <c r="I483">
        <v>61.2667</v>
      </c>
      <c r="J483">
        <v>75.5</v>
      </c>
      <c r="K483">
        <v>14.2333</v>
      </c>
      <c r="L483">
        <v>22</v>
      </c>
      <c r="M483">
        <v>1</v>
      </c>
      <c r="N483">
        <v>7</v>
      </c>
      <c r="O483">
        <v>74.3292</v>
      </c>
      <c r="P483">
        <v>13.517899999999999</v>
      </c>
      <c r="Q483">
        <v>16.096399999999999</v>
      </c>
    </row>
    <row r="484" spans="1:17" x14ac:dyDescent="0.25">
      <c r="A484" t="str">
        <f>IF(C484&amp;G484&amp;D484&lt;&gt;'Funnel setup'!$K$3&amp;'Funnel setup'!$K$4&amp;'Funnel setup'!$K$6,".",IF(A483=".",1,A483+1))</f>
        <v>.</v>
      </c>
      <c r="B484" s="244" t="str">
        <f t="shared" si="7"/>
        <v>Hip Replacement PrimaryProviderSHERWOOD FOREST HOSPITALS NHS FOUNDATION TRUST (RK5)EQ VAS</v>
      </c>
      <c r="C484" t="s">
        <v>749</v>
      </c>
      <c r="D484" t="s">
        <v>965</v>
      </c>
      <c r="E484" t="s">
        <v>508</v>
      </c>
      <c r="F484" t="s">
        <v>509</v>
      </c>
      <c r="G484" t="s">
        <v>752</v>
      </c>
      <c r="H484">
        <v>70</v>
      </c>
      <c r="I484">
        <v>52.285699999999999</v>
      </c>
      <c r="J484">
        <v>75.314300000000003</v>
      </c>
      <c r="K484">
        <v>23.028600000000001</v>
      </c>
      <c r="L484">
        <v>54</v>
      </c>
      <c r="M484">
        <v>6</v>
      </c>
      <c r="N484">
        <v>10</v>
      </c>
      <c r="O484">
        <v>77.9709</v>
      </c>
      <c r="P484">
        <v>17.159700000000001</v>
      </c>
      <c r="Q484">
        <v>16.6281</v>
      </c>
    </row>
    <row r="485" spans="1:17" x14ac:dyDescent="0.25">
      <c r="A485" t="str">
        <f>IF(C485&amp;G485&amp;D485&lt;&gt;'Funnel setup'!$K$3&amp;'Funnel setup'!$K$4&amp;'Funnel setup'!$K$6,".",IF(A484=".",1,A484+1))</f>
        <v>.</v>
      </c>
      <c r="B485" s="244" t="str">
        <f t="shared" si="7"/>
        <v>Hip Replacement PrimaryProviderSHIRLEY OAKS HOSPITAL (NT436)EQ VAS</v>
      </c>
      <c r="C485" t="s">
        <v>749</v>
      </c>
      <c r="D485" t="s">
        <v>965</v>
      </c>
      <c r="E485" t="s">
        <v>510</v>
      </c>
      <c r="F485" t="s">
        <v>511</v>
      </c>
      <c r="G485" t="s">
        <v>752</v>
      </c>
      <c r="H485">
        <v>2</v>
      </c>
      <c r="I485">
        <v>67.5</v>
      </c>
      <c r="J485">
        <v>75</v>
      </c>
      <c r="K485">
        <v>7.5</v>
      </c>
      <c r="L485">
        <v>1</v>
      </c>
      <c r="M485">
        <v>0</v>
      </c>
      <c r="N485">
        <v>1</v>
      </c>
      <c r="O485" t="s">
        <v>127</v>
      </c>
      <c r="P485" t="s">
        <v>127</v>
      </c>
      <c r="Q485" t="s">
        <v>127</v>
      </c>
    </row>
    <row r="486" spans="1:17" x14ac:dyDescent="0.25">
      <c r="A486" t="str">
        <f>IF(C486&amp;G486&amp;D486&lt;&gt;'Funnel setup'!$K$3&amp;'Funnel setup'!$K$4&amp;'Funnel setup'!$K$6,".",IF(A485=".",1,A485+1))</f>
        <v>.</v>
      </c>
      <c r="B486" s="244" t="str">
        <f t="shared" si="7"/>
        <v>Hip Replacement PrimaryProviderSLOANE HOSPITAL (NT437)EQ VAS</v>
      </c>
      <c r="C486" t="s">
        <v>749</v>
      </c>
      <c r="D486" t="s">
        <v>965</v>
      </c>
      <c r="E486" t="s">
        <v>512</v>
      </c>
      <c r="F486" t="s">
        <v>513</v>
      </c>
      <c r="G486" t="s">
        <v>752</v>
      </c>
      <c r="H486">
        <v>2</v>
      </c>
      <c r="I486">
        <v>49.5</v>
      </c>
      <c r="J486">
        <v>93</v>
      </c>
      <c r="K486">
        <v>43.5</v>
      </c>
      <c r="L486">
        <v>2</v>
      </c>
      <c r="M486">
        <v>0</v>
      </c>
      <c r="N486">
        <v>0</v>
      </c>
      <c r="O486" t="s">
        <v>127</v>
      </c>
      <c r="P486" t="s">
        <v>127</v>
      </c>
      <c r="Q486" t="s">
        <v>127</v>
      </c>
    </row>
    <row r="487" spans="1:17" x14ac:dyDescent="0.25">
      <c r="A487" t="str">
        <f>IF(C487&amp;G487&amp;D487&lt;&gt;'Funnel setup'!$K$3&amp;'Funnel setup'!$K$4&amp;'Funnel setup'!$K$6,".",IF(A486=".",1,A486+1))</f>
        <v>.</v>
      </c>
      <c r="B487" s="244" t="str">
        <f t="shared" si="7"/>
        <v>Hip Replacement PrimaryProviderSOUTH TEES HOSPITALS NHS FOUNDATION TRUST (RTR)EQ VAS</v>
      </c>
      <c r="C487" t="s">
        <v>749</v>
      </c>
      <c r="D487" t="s">
        <v>965</v>
      </c>
      <c r="E487" t="s">
        <v>516</v>
      </c>
      <c r="F487" t="s">
        <v>517</v>
      </c>
      <c r="G487" t="s">
        <v>752</v>
      </c>
      <c r="H487">
        <v>161</v>
      </c>
      <c r="I487">
        <v>58.465800000000002</v>
      </c>
      <c r="J487">
        <v>75.471999999999994</v>
      </c>
      <c r="K487">
        <v>17.0062</v>
      </c>
      <c r="L487">
        <v>116</v>
      </c>
      <c r="M487">
        <v>9</v>
      </c>
      <c r="N487">
        <v>36</v>
      </c>
      <c r="O487">
        <v>79.3322</v>
      </c>
      <c r="P487">
        <v>18.521000000000001</v>
      </c>
      <c r="Q487">
        <v>17.977900000000002</v>
      </c>
    </row>
    <row r="488" spans="1:17" x14ac:dyDescent="0.25">
      <c r="A488" t="str">
        <f>IF(C488&amp;G488&amp;D488&lt;&gt;'Funnel setup'!$K$3&amp;'Funnel setup'!$K$4&amp;'Funnel setup'!$K$6,".",IF(A487=".",1,A487+1))</f>
        <v>.</v>
      </c>
      <c r="B488" s="244" t="str">
        <f t="shared" si="7"/>
        <v>Hip Replacement PrimaryProviderSOUTH TYNESIDE AND SUNDERLAND NHS FOUNDATION TRUST (R0B)EQ VAS</v>
      </c>
      <c r="C488" t="s">
        <v>749</v>
      </c>
      <c r="D488" t="s">
        <v>965</v>
      </c>
      <c r="E488" t="s">
        <v>518</v>
      </c>
      <c r="F488" t="s">
        <v>519</v>
      </c>
      <c r="G488" t="s">
        <v>752</v>
      </c>
      <c r="H488">
        <v>22</v>
      </c>
      <c r="I488">
        <v>46.5</v>
      </c>
      <c r="J488">
        <v>63</v>
      </c>
      <c r="K488">
        <v>16.5</v>
      </c>
      <c r="L488">
        <v>16</v>
      </c>
      <c r="M488">
        <v>1</v>
      </c>
      <c r="N488">
        <v>5</v>
      </c>
      <c r="O488" t="s">
        <v>127</v>
      </c>
      <c r="P488" t="s">
        <v>127</v>
      </c>
      <c r="Q488" t="s">
        <v>127</v>
      </c>
    </row>
    <row r="489" spans="1:17" x14ac:dyDescent="0.25">
      <c r="A489" t="str">
        <f>IF(C489&amp;G489&amp;D489&lt;&gt;'Funnel setup'!$K$3&amp;'Funnel setup'!$K$4&amp;'Funnel setup'!$K$6,".",IF(A488=".",1,A488+1))</f>
        <v>.</v>
      </c>
      <c r="B489" s="244" t="str">
        <f t="shared" si="7"/>
        <v>Hip Replacement PrimaryProviderSOUTH WARWICKSHIRE UNIVERSITY NHS FOUNDATION TRUST (RJC)EQ VAS</v>
      </c>
      <c r="C489" t="s">
        <v>749</v>
      </c>
      <c r="D489" t="s">
        <v>965</v>
      </c>
      <c r="E489" t="s">
        <v>520</v>
      </c>
      <c r="F489" t="s">
        <v>521</v>
      </c>
      <c r="G489" t="s">
        <v>752</v>
      </c>
      <c r="H489">
        <v>177</v>
      </c>
      <c r="I489">
        <v>64.853099999999998</v>
      </c>
      <c r="J489">
        <v>78.807900000000004</v>
      </c>
      <c r="K489">
        <v>13.954800000000001</v>
      </c>
      <c r="L489">
        <v>116</v>
      </c>
      <c r="M489">
        <v>23</v>
      </c>
      <c r="N489">
        <v>38</v>
      </c>
      <c r="O489">
        <v>76.595799999999997</v>
      </c>
      <c r="P489">
        <v>15.7845</v>
      </c>
      <c r="Q489">
        <v>14.537699999999999</v>
      </c>
    </row>
    <row r="490" spans="1:17" x14ac:dyDescent="0.25">
      <c r="A490" t="str">
        <f>IF(C490&amp;G490&amp;D490&lt;&gt;'Funnel setup'!$K$3&amp;'Funnel setup'!$K$4&amp;'Funnel setup'!$K$6,".",IF(A489=".",1,A489+1))</f>
        <v>.</v>
      </c>
      <c r="B490" s="244" t="str">
        <f t="shared" si="7"/>
        <v>Hip Replacement PrimaryProviderSOUTHPORT AND ORMSKIRK HOSPITAL NHS TRUST (RVY)EQ VAS</v>
      </c>
      <c r="C490" t="s">
        <v>749</v>
      </c>
      <c r="D490" t="s">
        <v>965</v>
      </c>
      <c r="E490" t="s">
        <v>522</v>
      </c>
      <c r="F490" t="s">
        <v>523</v>
      </c>
      <c r="G490" t="s">
        <v>752</v>
      </c>
      <c r="H490">
        <v>9</v>
      </c>
      <c r="I490">
        <v>62</v>
      </c>
      <c r="J490">
        <v>74.666700000000006</v>
      </c>
      <c r="K490">
        <v>12.666700000000001</v>
      </c>
      <c r="L490">
        <v>7</v>
      </c>
      <c r="M490">
        <v>0</v>
      </c>
      <c r="N490">
        <v>2</v>
      </c>
      <c r="O490" t="s">
        <v>127</v>
      </c>
      <c r="P490" t="s">
        <v>127</v>
      </c>
      <c r="Q490" t="s">
        <v>127</v>
      </c>
    </row>
    <row r="491" spans="1:17" x14ac:dyDescent="0.25">
      <c r="A491" t="str">
        <f>IF(C491&amp;G491&amp;D491&lt;&gt;'Funnel setup'!$K$3&amp;'Funnel setup'!$K$4&amp;'Funnel setup'!$K$6,".",IF(A490=".",1,A490+1))</f>
        <v>.</v>
      </c>
      <c r="B491" s="244" t="str">
        <f t="shared" si="7"/>
        <v>Hip Replacement PrimaryProviderSPENCER PRIVATE HOSPITALS - MARGATE (NN801)EQ VAS</v>
      </c>
      <c r="C491" t="s">
        <v>749</v>
      </c>
      <c r="D491" t="s">
        <v>965</v>
      </c>
      <c r="E491" t="s">
        <v>526</v>
      </c>
      <c r="F491" t="s">
        <v>527</v>
      </c>
      <c r="G491" t="s">
        <v>752</v>
      </c>
      <c r="H491">
        <v>17</v>
      </c>
      <c r="I491">
        <v>59.411799999999999</v>
      </c>
      <c r="J491">
        <v>76.176500000000004</v>
      </c>
      <c r="K491">
        <v>16.764700000000001</v>
      </c>
      <c r="L491">
        <v>12</v>
      </c>
      <c r="M491">
        <v>5</v>
      </c>
      <c r="N491">
        <v>0</v>
      </c>
      <c r="O491" t="s">
        <v>127</v>
      </c>
      <c r="P491" t="s">
        <v>127</v>
      </c>
      <c r="Q491" t="s">
        <v>127</v>
      </c>
    </row>
    <row r="492" spans="1:17" x14ac:dyDescent="0.25">
      <c r="A492" t="str">
        <f>IF(C492&amp;G492&amp;D492&lt;&gt;'Funnel setup'!$K$3&amp;'Funnel setup'!$K$4&amp;'Funnel setup'!$K$6,".",IF(A491=".",1,A491+1))</f>
        <v>.</v>
      </c>
      <c r="B492" s="244" t="str">
        <f t="shared" si="7"/>
        <v>Hip Replacement PrimaryProviderSPIRE ALEXANDRA HOSPITAL (NT312)EQ VAS</v>
      </c>
      <c r="C492" t="s">
        <v>749</v>
      </c>
      <c r="D492" t="s">
        <v>965</v>
      </c>
      <c r="E492" t="s">
        <v>528</v>
      </c>
      <c r="F492" t="s">
        <v>529</v>
      </c>
      <c r="G492" t="s">
        <v>752</v>
      </c>
      <c r="H492">
        <v>13</v>
      </c>
      <c r="I492">
        <v>70.076899999999995</v>
      </c>
      <c r="J492">
        <v>83.846199999999996</v>
      </c>
      <c r="K492">
        <v>13.7692</v>
      </c>
      <c r="L492">
        <v>10</v>
      </c>
      <c r="M492">
        <v>1</v>
      </c>
      <c r="N492">
        <v>2</v>
      </c>
      <c r="O492" t="s">
        <v>127</v>
      </c>
      <c r="P492" t="s">
        <v>127</v>
      </c>
      <c r="Q492" t="s">
        <v>127</v>
      </c>
    </row>
    <row r="493" spans="1:17" x14ac:dyDescent="0.25">
      <c r="A493" t="str">
        <f>IF(C493&amp;G493&amp;D493&lt;&gt;'Funnel setup'!$K$3&amp;'Funnel setup'!$K$4&amp;'Funnel setup'!$K$6,".",IF(A492=".",1,A492+1))</f>
        <v>.</v>
      </c>
      <c r="B493" s="244" t="str">
        <f t="shared" si="7"/>
        <v>Hip Replacement PrimaryProviderSPIRE BRISTOL HOSPITAL (NT302)EQ VAS</v>
      </c>
      <c r="C493" t="s">
        <v>749</v>
      </c>
      <c r="D493" t="s">
        <v>965</v>
      </c>
      <c r="E493" t="s">
        <v>530</v>
      </c>
      <c r="F493" t="s">
        <v>531</v>
      </c>
      <c r="G493" t="s">
        <v>752</v>
      </c>
      <c r="H493">
        <v>56</v>
      </c>
      <c r="I493">
        <v>66.285700000000006</v>
      </c>
      <c r="J493">
        <v>76.910700000000006</v>
      </c>
      <c r="K493">
        <v>10.625</v>
      </c>
      <c r="L493">
        <v>41</v>
      </c>
      <c r="M493">
        <v>4</v>
      </c>
      <c r="N493">
        <v>11</v>
      </c>
      <c r="O493">
        <v>73.1327</v>
      </c>
      <c r="P493">
        <v>12.321400000000001</v>
      </c>
      <c r="Q493">
        <v>19.7257</v>
      </c>
    </row>
    <row r="494" spans="1:17" x14ac:dyDescent="0.25">
      <c r="A494" t="str">
        <f>IF(C494&amp;G494&amp;D494&lt;&gt;'Funnel setup'!$K$3&amp;'Funnel setup'!$K$4&amp;'Funnel setup'!$K$6,".",IF(A493=".",1,A493+1))</f>
        <v>.</v>
      </c>
      <c r="B494" s="244" t="str">
        <f t="shared" si="7"/>
        <v>Hip Replacement PrimaryProviderSPIRE BUSHEY HOSPITAL (NT315)EQ VAS</v>
      </c>
      <c r="C494" t="s">
        <v>749</v>
      </c>
      <c r="D494" t="s">
        <v>965</v>
      </c>
      <c r="E494" t="s">
        <v>532</v>
      </c>
      <c r="F494" t="s">
        <v>533</v>
      </c>
      <c r="G494" t="s">
        <v>752</v>
      </c>
      <c r="H494">
        <v>1</v>
      </c>
      <c r="I494">
        <v>90</v>
      </c>
      <c r="J494">
        <v>100</v>
      </c>
      <c r="K494">
        <v>10</v>
      </c>
      <c r="L494">
        <v>1</v>
      </c>
      <c r="M494">
        <v>0</v>
      </c>
      <c r="N494">
        <v>0</v>
      </c>
      <c r="O494" t="s">
        <v>127</v>
      </c>
      <c r="P494" t="s">
        <v>127</v>
      </c>
      <c r="Q494" t="s">
        <v>127</v>
      </c>
    </row>
    <row r="495" spans="1:17" x14ac:dyDescent="0.25">
      <c r="A495" t="str">
        <f>IF(C495&amp;G495&amp;D495&lt;&gt;'Funnel setup'!$K$3&amp;'Funnel setup'!$K$4&amp;'Funnel setup'!$K$6,".",IF(A494=".",1,A494+1))</f>
        <v>.</v>
      </c>
      <c r="B495" s="244" t="str">
        <f t="shared" si="7"/>
        <v>Hip Replacement PrimaryProviderSPIRE CAMBRIDGE LEA HOSPITAL (NT317)EQ VAS</v>
      </c>
      <c r="C495" t="s">
        <v>749</v>
      </c>
      <c r="D495" t="s">
        <v>965</v>
      </c>
      <c r="E495" t="s">
        <v>534</v>
      </c>
      <c r="F495" t="s">
        <v>535</v>
      </c>
      <c r="G495" t="s">
        <v>752</v>
      </c>
      <c r="H495">
        <v>33</v>
      </c>
      <c r="I495">
        <v>70.333299999999994</v>
      </c>
      <c r="J495">
        <v>81.697000000000003</v>
      </c>
      <c r="K495">
        <v>11.3636</v>
      </c>
      <c r="L495">
        <v>21</v>
      </c>
      <c r="M495">
        <v>4</v>
      </c>
      <c r="N495">
        <v>8</v>
      </c>
      <c r="O495">
        <v>77.114400000000003</v>
      </c>
      <c r="P495">
        <v>16.3032</v>
      </c>
      <c r="Q495">
        <v>14.480700000000001</v>
      </c>
    </row>
    <row r="496" spans="1:17" x14ac:dyDescent="0.25">
      <c r="A496" t="str">
        <f>IF(C496&amp;G496&amp;D496&lt;&gt;'Funnel setup'!$K$3&amp;'Funnel setup'!$K$4&amp;'Funnel setup'!$K$6,".",IF(A495=".",1,A495+1))</f>
        <v>.</v>
      </c>
      <c r="B496" s="244" t="str">
        <f t="shared" si="7"/>
        <v>Hip Replacement PrimaryProviderSPIRE CHESHIRE HOSPITAL (NT324)EQ VAS</v>
      </c>
      <c r="C496" t="s">
        <v>749</v>
      </c>
      <c r="D496" t="s">
        <v>965</v>
      </c>
      <c r="E496" t="s">
        <v>536</v>
      </c>
      <c r="F496" t="s">
        <v>537</v>
      </c>
      <c r="G496" t="s">
        <v>752</v>
      </c>
      <c r="H496">
        <v>23</v>
      </c>
      <c r="I496">
        <v>62.391300000000001</v>
      </c>
      <c r="J496">
        <v>76.434799999999996</v>
      </c>
      <c r="K496">
        <v>14.0435</v>
      </c>
      <c r="L496">
        <v>17</v>
      </c>
      <c r="M496">
        <v>2</v>
      </c>
      <c r="N496">
        <v>4</v>
      </c>
      <c r="O496" t="s">
        <v>127</v>
      </c>
      <c r="P496" t="s">
        <v>127</v>
      </c>
      <c r="Q496" t="s">
        <v>127</v>
      </c>
    </row>
    <row r="497" spans="1:17" x14ac:dyDescent="0.25">
      <c r="A497" t="str">
        <f>IF(C497&amp;G497&amp;D497&lt;&gt;'Funnel setup'!$K$3&amp;'Funnel setup'!$K$4&amp;'Funnel setup'!$K$6,".",IF(A496=".",1,A496+1))</f>
        <v>.</v>
      </c>
      <c r="B497" s="244" t="str">
        <f t="shared" si="7"/>
        <v>Hip Replacement PrimaryProviderSPIRE CLARE PARK HOSPITAL (NT345)EQ VAS</v>
      </c>
      <c r="C497" t="s">
        <v>749</v>
      </c>
      <c r="D497" t="s">
        <v>965</v>
      </c>
      <c r="E497" t="s">
        <v>538</v>
      </c>
      <c r="F497" t="s">
        <v>539</v>
      </c>
      <c r="G497" t="s">
        <v>752</v>
      </c>
      <c r="H497">
        <v>13</v>
      </c>
      <c r="I497">
        <v>63.846200000000003</v>
      </c>
      <c r="J497">
        <v>71.846199999999996</v>
      </c>
      <c r="K497">
        <v>8</v>
      </c>
      <c r="L497">
        <v>7</v>
      </c>
      <c r="M497">
        <v>0</v>
      </c>
      <c r="N497">
        <v>6</v>
      </c>
      <c r="O497" t="s">
        <v>127</v>
      </c>
      <c r="P497" t="s">
        <v>127</v>
      </c>
      <c r="Q497" t="s">
        <v>127</v>
      </c>
    </row>
    <row r="498" spans="1:17" x14ac:dyDescent="0.25">
      <c r="A498" t="str">
        <f>IF(C498&amp;G498&amp;D498&lt;&gt;'Funnel setup'!$K$3&amp;'Funnel setup'!$K$4&amp;'Funnel setup'!$K$6,".",IF(A497=".",1,A497+1))</f>
        <v>.</v>
      </c>
      <c r="B498" s="244" t="str">
        <f t="shared" si="7"/>
        <v>Hip Replacement PrimaryProviderSPIRE DUNEDIN HOSPITAL (NT344)EQ VAS</v>
      </c>
      <c r="C498" t="s">
        <v>749</v>
      </c>
      <c r="D498" t="s">
        <v>965</v>
      </c>
      <c r="E498" t="s">
        <v>540</v>
      </c>
      <c r="F498" t="s">
        <v>541</v>
      </c>
      <c r="G498" t="s">
        <v>752</v>
      </c>
      <c r="H498">
        <v>1</v>
      </c>
      <c r="I498">
        <v>50</v>
      </c>
      <c r="J498">
        <v>60</v>
      </c>
      <c r="K498">
        <v>10</v>
      </c>
      <c r="L498">
        <v>1</v>
      </c>
      <c r="M498">
        <v>0</v>
      </c>
      <c r="N498">
        <v>0</v>
      </c>
      <c r="O498" t="s">
        <v>127</v>
      </c>
      <c r="P498" t="s">
        <v>127</v>
      </c>
      <c r="Q498" t="s">
        <v>127</v>
      </c>
    </row>
    <row r="499" spans="1:17" x14ac:dyDescent="0.25">
      <c r="A499" t="str">
        <f>IF(C499&amp;G499&amp;D499&lt;&gt;'Funnel setup'!$K$3&amp;'Funnel setup'!$K$4&amp;'Funnel setup'!$K$6,".",IF(A498=".",1,A498+1))</f>
        <v>.</v>
      </c>
      <c r="B499" s="244" t="str">
        <f t="shared" si="7"/>
        <v>Hip Replacement PrimaryProviderSPIRE ELLAND HOSPITAL (NT348)EQ VAS</v>
      </c>
      <c r="C499" t="s">
        <v>749</v>
      </c>
      <c r="D499" t="s">
        <v>965</v>
      </c>
      <c r="E499" t="s">
        <v>542</v>
      </c>
      <c r="F499" t="s">
        <v>543</v>
      </c>
      <c r="G499" t="s">
        <v>752</v>
      </c>
      <c r="H499">
        <v>14</v>
      </c>
      <c r="I499">
        <v>65.357100000000003</v>
      </c>
      <c r="J499">
        <v>76.357100000000003</v>
      </c>
      <c r="K499">
        <v>11</v>
      </c>
      <c r="L499">
        <v>11</v>
      </c>
      <c r="M499">
        <v>0</v>
      </c>
      <c r="N499">
        <v>3</v>
      </c>
      <c r="O499" t="s">
        <v>127</v>
      </c>
      <c r="P499" t="s">
        <v>127</v>
      </c>
      <c r="Q499" t="s">
        <v>127</v>
      </c>
    </row>
    <row r="500" spans="1:17" x14ac:dyDescent="0.25">
      <c r="A500" t="str">
        <f>IF(C500&amp;G500&amp;D500&lt;&gt;'Funnel setup'!$K$3&amp;'Funnel setup'!$K$4&amp;'Funnel setup'!$K$6,".",IF(A499=".",1,A499+1))</f>
        <v>.</v>
      </c>
      <c r="B500" s="244" t="str">
        <f t="shared" si="7"/>
        <v>Hip Replacement PrimaryProviderSPIRE FYLDE COAST HOSPITAL (NT347)EQ VAS</v>
      </c>
      <c r="C500" t="s">
        <v>749</v>
      </c>
      <c r="D500" t="s">
        <v>965</v>
      </c>
      <c r="E500" t="s">
        <v>544</v>
      </c>
      <c r="F500" t="s">
        <v>545</v>
      </c>
      <c r="G500" t="s">
        <v>752</v>
      </c>
      <c r="H500">
        <v>29</v>
      </c>
      <c r="I500">
        <v>70.172399999999996</v>
      </c>
      <c r="J500">
        <v>80.551699999999997</v>
      </c>
      <c r="K500">
        <v>10.379300000000001</v>
      </c>
      <c r="L500">
        <v>20</v>
      </c>
      <c r="M500">
        <v>3</v>
      </c>
      <c r="N500">
        <v>6</v>
      </c>
      <c r="O500" t="s">
        <v>127</v>
      </c>
      <c r="P500" t="s">
        <v>127</v>
      </c>
      <c r="Q500" t="s">
        <v>127</v>
      </c>
    </row>
    <row r="501" spans="1:17" x14ac:dyDescent="0.25">
      <c r="A501" t="str">
        <f>IF(C501&amp;G501&amp;D501&lt;&gt;'Funnel setup'!$K$3&amp;'Funnel setup'!$K$4&amp;'Funnel setup'!$K$6,".",IF(A500=".",1,A500+1))</f>
        <v>.</v>
      </c>
      <c r="B501" s="244" t="str">
        <f t="shared" si="7"/>
        <v>Hip Replacement PrimaryProviderSPIRE GATWICK PARK HOSPITAL (NT308)EQ VAS</v>
      </c>
      <c r="C501" t="s">
        <v>749</v>
      </c>
      <c r="D501" t="s">
        <v>965</v>
      </c>
      <c r="E501" t="s">
        <v>546</v>
      </c>
      <c r="F501" t="s">
        <v>547</v>
      </c>
      <c r="G501" t="s">
        <v>752</v>
      </c>
      <c r="H501">
        <v>8</v>
      </c>
      <c r="I501">
        <v>66.125</v>
      </c>
      <c r="J501">
        <v>83</v>
      </c>
      <c r="K501">
        <v>16.875</v>
      </c>
      <c r="L501">
        <v>6</v>
      </c>
      <c r="M501">
        <v>1</v>
      </c>
      <c r="N501">
        <v>1</v>
      </c>
      <c r="O501" t="s">
        <v>127</v>
      </c>
      <c r="P501" t="s">
        <v>127</v>
      </c>
      <c r="Q501" t="s">
        <v>127</v>
      </c>
    </row>
    <row r="502" spans="1:17" x14ac:dyDescent="0.25">
      <c r="A502" t="str">
        <f>IF(C502&amp;G502&amp;D502&lt;&gt;'Funnel setup'!$K$3&amp;'Funnel setup'!$K$4&amp;'Funnel setup'!$K$6,".",IF(A501=".",1,A501+1))</f>
        <v>.</v>
      </c>
      <c r="B502" s="244" t="str">
        <f t="shared" si="7"/>
        <v>Hip Replacement PrimaryProviderSPIRE HARPENDEN HOSPITAL (NT316)EQ VAS</v>
      </c>
      <c r="C502" t="s">
        <v>749</v>
      </c>
      <c r="D502" t="s">
        <v>965</v>
      </c>
      <c r="E502" t="s">
        <v>548</v>
      </c>
      <c r="F502" t="s">
        <v>549</v>
      </c>
      <c r="G502" t="s">
        <v>752</v>
      </c>
      <c r="H502">
        <v>32</v>
      </c>
      <c r="I502">
        <v>62.8125</v>
      </c>
      <c r="J502">
        <v>74.343800000000002</v>
      </c>
      <c r="K502">
        <v>11.5313</v>
      </c>
      <c r="L502">
        <v>23</v>
      </c>
      <c r="M502">
        <v>2</v>
      </c>
      <c r="N502">
        <v>7</v>
      </c>
      <c r="O502">
        <v>72.148600000000002</v>
      </c>
      <c r="P502">
        <v>11.337300000000001</v>
      </c>
      <c r="Q502">
        <v>18.473199999999999</v>
      </c>
    </row>
    <row r="503" spans="1:17" x14ac:dyDescent="0.25">
      <c r="A503" t="str">
        <f>IF(C503&amp;G503&amp;D503&lt;&gt;'Funnel setup'!$K$3&amp;'Funnel setup'!$K$4&amp;'Funnel setup'!$K$6,".",IF(A502=".",1,A502+1))</f>
        <v>.</v>
      </c>
      <c r="B503" s="244" t="str">
        <f t="shared" si="7"/>
        <v>Hip Replacement PrimaryProviderSPIRE HARTSWOOD HOSPITAL (NT319)EQ VAS</v>
      </c>
      <c r="C503" t="s">
        <v>749</v>
      </c>
      <c r="D503" t="s">
        <v>965</v>
      </c>
      <c r="E503" t="s">
        <v>550</v>
      </c>
      <c r="F503" t="s">
        <v>551</v>
      </c>
      <c r="G503" t="s">
        <v>752</v>
      </c>
      <c r="H503">
        <v>12</v>
      </c>
      <c r="I503">
        <v>58</v>
      </c>
      <c r="J503">
        <v>79.666700000000006</v>
      </c>
      <c r="K503">
        <v>21.666699999999999</v>
      </c>
      <c r="L503">
        <v>10</v>
      </c>
      <c r="M503">
        <v>1</v>
      </c>
      <c r="N503">
        <v>1</v>
      </c>
      <c r="O503" t="s">
        <v>127</v>
      </c>
      <c r="P503" t="s">
        <v>127</v>
      </c>
      <c r="Q503" t="s">
        <v>127</v>
      </c>
    </row>
    <row r="504" spans="1:17" x14ac:dyDescent="0.25">
      <c r="A504" t="str">
        <f>IF(C504&amp;G504&amp;D504&lt;&gt;'Funnel setup'!$K$3&amp;'Funnel setup'!$K$4&amp;'Funnel setup'!$K$6,".",IF(A503=".",1,A503+1))</f>
        <v>.</v>
      </c>
      <c r="B504" s="244" t="str">
        <f t="shared" si="7"/>
        <v>Hip Replacement PrimaryProviderSPIRE HULL AND EAST RIDING HOSPITAL (NT351)EQ VAS</v>
      </c>
      <c r="C504" t="s">
        <v>749</v>
      </c>
      <c r="D504" t="s">
        <v>965</v>
      </c>
      <c r="E504" t="s">
        <v>554</v>
      </c>
      <c r="F504" t="s">
        <v>555</v>
      </c>
      <c r="G504" t="s">
        <v>752</v>
      </c>
      <c r="H504">
        <v>37</v>
      </c>
      <c r="I504">
        <v>63.621600000000001</v>
      </c>
      <c r="J504">
        <v>74.162199999999999</v>
      </c>
      <c r="K504">
        <v>10.5405</v>
      </c>
      <c r="L504">
        <v>27</v>
      </c>
      <c r="M504">
        <v>1</v>
      </c>
      <c r="N504">
        <v>9</v>
      </c>
      <c r="O504">
        <v>73.655299999999997</v>
      </c>
      <c r="P504">
        <v>12.843999999999999</v>
      </c>
      <c r="Q504">
        <v>21.182099999999998</v>
      </c>
    </row>
    <row r="505" spans="1:17" x14ac:dyDescent="0.25">
      <c r="A505" t="str">
        <f>IF(C505&amp;G505&amp;D505&lt;&gt;'Funnel setup'!$K$3&amp;'Funnel setup'!$K$4&amp;'Funnel setup'!$K$6,".",IF(A504=".",1,A504+1))</f>
        <v>.</v>
      </c>
      <c r="B505" s="244" t="str">
        <f t="shared" si="7"/>
        <v>Hip Replacement PrimaryProviderSPIRE LEEDS HOSPITAL (NT332)EQ VAS</v>
      </c>
      <c r="C505" t="s">
        <v>749</v>
      </c>
      <c r="D505" t="s">
        <v>965</v>
      </c>
      <c r="E505" t="s">
        <v>556</v>
      </c>
      <c r="F505" t="s">
        <v>557</v>
      </c>
      <c r="G505" t="s">
        <v>752</v>
      </c>
      <c r="H505">
        <v>14</v>
      </c>
      <c r="I505">
        <v>66.642899999999997</v>
      </c>
      <c r="J505">
        <v>80.642899999999997</v>
      </c>
      <c r="K505">
        <v>14</v>
      </c>
      <c r="L505">
        <v>11</v>
      </c>
      <c r="M505">
        <v>1</v>
      </c>
      <c r="N505">
        <v>2</v>
      </c>
      <c r="O505" t="s">
        <v>127</v>
      </c>
      <c r="P505" t="s">
        <v>127</v>
      </c>
      <c r="Q505" t="s">
        <v>127</v>
      </c>
    </row>
    <row r="506" spans="1:17" x14ac:dyDescent="0.25">
      <c r="A506" t="str">
        <f>IF(C506&amp;G506&amp;D506&lt;&gt;'Funnel setup'!$K$3&amp;'Funnel setup'!$K$4&amp;'Funnel setup'!$K$6,".",IF(A505=".",1,A505+1))</f>
        <v>.</v>
      </c>
      <c r="B506" s="244" t="str">
        <f t="shared" si="7"/>
        <v>Hip Replacement PrimaryProviderSPIRE LEICESTER HOSPITAL (NT322)EQ VAS</v>
      </c>
      <c r="C506" t="s">
        <v>749</v>
      </c>
      <c r="D506" t="s">
        <v>965</v>
      </c>
      <c r="E506" t="s">
        <v>558</v>
      </c>
      <c r="F506" t="s">
        <v>559</v>
      </c>
      <c r="G506" t="s">
        <v>752</v>
      </c>
      <c r="H506">
        <v>32</v>
      </c>
      <c r="I506">
        <v>65.218800000000002</v>
      </c>
      <c r="J506">
        <v>74.593800000000002</v>
      </c>
      <c r="K506">
        <v>9.375</v>
      </c>
      <c r="L506">
        <v>23</v>
      </c>
      <c r="M506">
        <v>1</v>
      </c>
      <c r="N506">
        <v>8</v>
      </c>
      <c r="O506">
        <v>73.135300000000001</v>
      </c>
      <c r="P506">
        <v>12.324</v>
      </c>
      <c r="Q506">
        <v>17.87</v>
      </c>
    </row>
    <row r="507" spans="1:17" x14ac:dyDescent="0.25">
      <c r="A507" t="str">
        <f>IF(C507&amp;G507&amp;D507&lt;&gt;'Funnel setup'!$K$3&amp;'Funnel setup'!$K$4&amp;'Funnel setup'!$K$6,".",IF(A506=".",1,A506+1))</f>
        <v>.</v>
      </c>
      <c r="B507" s="244" t="str">
        <f t="shared" si="7"/>
        <v>Hip Replacement PrimaryProviderSPIRE LITTLE ASTON HOSPITAL (NT321)EQ VAS</v>
      </c>
      <c r="C507" t="s">
        <v>749</v>
      </c>
      <c r="D507" t="s">
        <v>965</v>
      </c>
      <c r="E507" t="s">
        <v>560</v>
      </c>
      <c r="F507" t="s">
        <v>561</v>
      </c>
      <c r="G507" t="s">
        <v>752</v>
      </c>
      <c r="H507">
        <v>30</v>
      </c>
      <c r="I507">
        <v>66.966700000000003</v>
      </c>
      <c r="J507">
        <v>75.400000000000006</v>
      </c>
      <c r="K507">
        <v>8.4333299999999998</v>
      </c>
      <c r="L507">
        <v>23</v>
      </c>
      <c r="M507">
        <v>1</v>
      </c>
      <c r="N507">
        <v>6</v>
      </c>
      <c r="O507">
        <v>72.650700000000001</v>
      </c>
      <c r="P507">
        <v>11.839499999999999</v>
      </c>
      <c r="Q507">
        <v>14.1769</v>
      </c>
    </row>
    <row r="508" spans="1:17" x14ac:dyDescent="0.25">
      <c r="A508" t="str">
        <f>IF(C508&amp;G508&amp;D508&lt;&gt;'Funnel setup'!$K$3&amp;'Funnel setup'!$K$4&amp;'Funnel setup'!$K$6,".",IF(A507=".",1,A507+1))</f>
        <v>.</v>
      </c>
      <c r="B508" s="244" t="str">
        <f t="shared" si="7"/>
        <v>Hip Replacement PrimaryProviderSPIRE LIVERPOOL HOSPITAL (NT337)EQ VAS</v>
      </c>
      <c r="C508" t="s">
        <v>749</v>
      </c>
      <c r="D508" t="s">
        <v>965</v>
      </c>
      <c r="E508" t="s">
        <v>562</v>
      </c>
      <c r="F508" t="s">
        <v>563</v>
      </c>
      <c r="G508" t="s">
        <v>752</v>
      </c>
      <c r="H508">
        <v>9</v>
      </c>
      <c r="I508">
        <v>54.777799999999999</v>
      </c>
      <c r="J508">
        <v>78</v>
      </c>
      <c r="K508">
        <v>23.222200000000001</v>
      </c>
      <c r="L508">
        <v>7</v>
      </c>
      <c r="M508">
        <v>2</v>
      </c>
      <c r="N508">
        <v>0</v>
      </c>
      <c r="O508" t="s">
        <v>127</v>
      </c>
      <c r="P508" t="s">
        <v>127</v>
      </c>
      <c r="Q508" t="s">
        <v>127</v>
      </c>
    </row>
    <row r="509" spans="1:17" x14ac:dyDescent="0.25">
      <c r="A509" t="str">
        <f>IF(C509&amp;G509&amp;D509&lt;&gt;'Funnel setup'!$K$3&amp;'Funnel setup'!$K$4&amp;'Funnel setup'!$K$6,".",IF(A508=".",1,A508+1))</f>
        <v>.</v>
      </c>
      <c r="B509" s="244" t="str">
        <f t="shared" si="7"/>
        <v>Hip Replacement PrimaryProviderSPIRE MANCHESTER HOSPITAL (NT327)EQ VAS</v>
      </c>
      <c r="C509" t="s">
        <v>749</v>
      </c>
      <c r="D509" t="s">
        <v>965</v>
      </c>
      <c r="E509" t="s">
        <v>566</v>
      </c>
      <c r="F509" t="s">
        <v>567</v>
      </c>
      <c r="G509" t="s">
        <v>752</v>
      </c>
      <c r="H509">
        <v>31</v>
      </c>
      <c r="I509">
        <v>64.903199999999998</v>
      </c>
      <c r="J509">
        <v>81.387100000000004</v>
      </c>
      <c r="K509">
        <v>16.483899999999998</v>
      </c>
      <c r="L509">
        <v>26</v>
      </c>
      <c r="M509">
        <v>0</v>
      </c>
      <c r="N509">
        <v>5</v>
      </c>
      <c r="O509">
        <v>77.317999999999998</v>
      </c>
      <c r="P509">
        <v>16.506699999999999</v>
      </c>
      <c r="Q509">
        <v>15.0367</v>
      </c>
    </row>
    <row r="510" spans="1:17" x14ac:dyDescent="0.25">
      <c r="A510" t="str">
        <f>IF(C510&amp;G510&amp;D510&lt;&gt;'Funnel setup'!$K$3&amp;'Funnel setup'!$K$4&amp;'Funnel setup'!$K$6,".",IF(A509=".",1,A509+1))</f>
        <v>.</v>
      </c>
      <c r="B510" s="244" t="str">
        <f t="shared" si="7"/>
        <v>Hip Replacement PrimaryProviderSPIRE METHLEY PARK HOSPITAL (NT350)EQ VAS</v>
      </c>
      <c r="C510" t="s">
        <v>749</v>
      </c>
      <c r="D510" t="s">
        <v>965</v>
      </c>
      <c r="E510" t="s">
        <v>568</v>
      </c>
      <c r="F510" t="s">
        <v>569</v>
      </c>
      <c r="G510" t="s">
        <v>752</v>
      </c>
      <c r="H510">
        <v>28</v>
      </c>
      <c r="I510">
        <v>62.464300000000001</v>
      </c>
      <c r="J510">
        <v>73.035700000000006</v>
      </c>
      <c r="K510">
        <v>10.571400000000001</v>
      </c>
      <c r="L510">
        <v>20</v>
      </c>
      <c r="M510">
        <v>1</v>
      </c>
      <c r="N510">
        <v>7</v>
      </c>
      <c r="O510" t="s">
        <v>127</v>
      </c>
      <c r="P510" t="s">
        <v>127</v>
      </c>
      <c r="Q510" t="s">
        <v>127</v>
      </c>
    </row>
    <row r="511" spans="1:17" x14ac:dyDescent="0.25">
      <c r="A511" t="str">
        <f>IF(C511&amp;G511&amp;D511&lt;&gt;'Funnel setup'!$K$3&amp;'Funnel setup'!$K$4&amp;'Funnel setup'!$K$6,".",IF(A510=".",1,A510+1))</f>
        <v>.</v>
      </c>
      <c r="B511" s="244" t="str">
        <f t="shared" si="7"/>
        <v>Hip Replacement PrimaryProviderSPIRE MONTEFIORE HOSPITAL (NT364)EQ VAS</v>
      </c>
      <c r="C511" t="s">
        <v>749</v>
      </c>
      <c r="D511" t="s">
        <v>965</v>
      </c>
      <c r="E511" t="s">
        <v>570</v>
      </c>
      <c r="F511" t="s">
        <v>571</v>
      </c>
      <c r="G511" t="s">
        <v>752</v>
      </c>
      <c r="H511">
        <v>3</v>
      </c>
      <c r="I511">
        <v>61.666699999999999</v>
      </c>
      <c r="J511">
        <v>79.333299999999994</v>
      </c>
      <c r="K511">
        <v>17.666699999999999</v>
      </c>
      <c r="L511">
        <v>2</v>
      </c>
      <c r="M511">
        <v>0</v>
      </c>
      <c r="N511">
        <v>1</v>
      </c>
      <c r="O511" t="s">
        <v>127</v>
      </c>
      <c r="P511" t="s">
        <v>127</v>
      </c>
      <c r="Q511" t="s">
        <v>127</v>
      </c>
    </row>
    <row r="512" spans="1:17" x14ac:dyDescent="0.25">
      <c r="A512" t="str">
        <f>IF(C512&amp;G512&amp;D512&lt;&gt;'Funnel setup'!$K$3&amp;'Funnel setup'!$K$4&amp;'Funnel setup'!$K$6,".",IF(A511=".",1,A511+1))</f>
        <v>.</v>
      </c>
      <c r="B512" s="244" t="str">
        <f t="shared" si="7"/>
        <v>Hip Replacement PrimaryProviderSPIRE MURRAYFIELD HOSPITAL (NT325)EQ VAS</v>
      </c>
      <c r="C512" t="s">
        <v>749</v>
      </c>
      <c r="D512" t="s">
        <v>965</v>
      </c>
      <c r="E512" t="s">
        <v>572</v>
      </c>
      <c r="F512" t="s">
        <v>573</v>
      </c>
      <c r="G512" t="s">
        <v>752</v>
      </c>
      <c r="H512">
        <v>5</v>
      </c>
      <c r="I512">
        <v>68.400000000000006</v>
      </c>
      <c r="J512">
        <v>90.4</v>
      </c>
      <c r="K512">
        <v>22</v>
      </c>
      <c r="L512">
        <v>5</v>
      </c>
      <c r="M512">
        <v>0</v>
      </c>
      <c r="N512">
        <v>0</v>
      </c>
      <c r="O512" t="s">
        <v>127</v>
      </c>
      <c r="P512" t="s">
        <v>127</v>
      </c>
      <c r="Q512" t="s">
        <v>127</v>
      </c>
    </row>
    <row r="513" spans="1:17" x14ac:dyDescent="0.25">
      <c r="A513" t="str">
        <f>IF(C513&amp;G513&amp;D513&lt;&gt;'Funnel setup'!$K$3&amp;'Funnel setup'!$K$4&amp;'Funnel setup'!$K$6,".",IF(A512=".",1,A512+1))</f>
        <v>.</v>
      </c>
      <c r="B513" s="244" t="str">
        <f t="shared" si="7"/>
        <v>Hip Replacement PrimaryProviderSPIRE NOTTINGHAM HOSPITAL (NT30A)EQ VAS</v>
      </c>
      <c r="C513" t="s">
        <v>749</v>
      </c>
      <c r="D513" t="s">
        <v>965</v>
      </c>
      <c r="E513" t="s">
        <v>576</v>
      </c>
      <c r="F513" t="s">
        <v>577</v>
      </c>
      <c r="G513" t="s">
        <v>752</v>
      </c>
      <c r="H513">
        <v>1</v>
      </c>
      <c r="I513">
        <v>40</v>
      </c>
      <c r="J513">
        <v>70</v>
      </c>
      <c r="K513">
        <v>30</v>
      </c>
      <c r="L513">
        <v>1</v>
      </c>
      <c r="M513">
        <v>0</v>
      </c>
      <c r="N513">
        <v>0</v>
      </c>
      <c r="O513" t="s">
        <v>127</v>
      </c>
      <c r="P513" t="s">
        <v>127</v>
      </c>
      <c r="Q513" t="s">
        <v>127</v>
      </c>
    </row>
    <row r="514" spans="1:17" x14ac:dyDescent="0.25">
      <c r="A514" t="str">
        <f>IF(C514&amp;G514&amp;D514&lt;&gt;'Funnel setup'!$K$3&amp;'Funnel setup'!$K$4&amp;'Funnel setup'!$K$6,".",IF(A513=".",1,A513+1))</f>
        <v>.</v>
      </c>
      <c r="B514" s="244" t="str">
        <f t="shared" ref="B514:B577" si="8">C514&amp;D514&amp;F514&amp;G514</f>
        <v>Hip Replacement PrimaryProviderSPIRE PARKWAY HOSPITAL (NT320)EQ VAS</v>
      </c>
      <c r="C514" t="s">
        <v>749</v>
      </c>
      <c r="D514" t="s">
        <v>965</v>
      </c>
      <c r="E514" t="s">
        <v>578</v>
      </c>
      <c r="F514" t="s">
        <v>579</v>
      </c>
      <c r="G514" t="s">
        <v>752</v>
      </c>
      <c r="H514">
        <v>19</v>
      </c>
      <c r="I514">
        <v>60.1053</v>
      </c>
      <c r="J514">
        <v>69.526300000000006</v>
      </c>
      <c r="K514">
        <v>9.4210499999999993</v>
      </c>
      <c r="L514">
        <v>11</v>
      </c>
      <c r="M514">
        <v>2</v>
      </c>
      <c r="N514">
        <v>6</v>
      </c>
      <c r="O514" t="s">
        <v>127</v>
      </c>
      <c r="P514" t="s">
        <v>127</v>
      </c>
      <c r="Q514" t="s">
        <v>127</v>
      </c>
    </row>
    <row r="515" spans="1:17" x14ac:dyDescent="0.25">
      <c r="A515" t="str">
        <f>IF(C515&amp;G515&amp;D515&lt;&gt;'Funnel setup'!$K$3&amp;'Funnel setup'!$K$4&amp;'Funnel setup'!$K$6,".",IF(A514=".",1,A514+1))</f>
        <v>.</v>
      </c>
      <c r="B515" s="244" t="str">
        <f t="shared" si="8"/>
        <v>Hip Replacement PrimaryProviderSPIRE PORTSMOUTH HOSPITAL (NT305)EQ VAS</v>
      </c>
      <c r="C515" t="s">
        <v>749</v>
      </c>
      <c r="D515" t="s">
        <v>965</v>
      </c>
      <c r="E515" t="s">
        <v>580</v>
      </c>
      <c r="F515" t="s">
        <v>581</v>
      </c>
      <c r="G515" t="s">
        <v>752</v>
      </c>
      <c r="H515">
        <v>12</v>
      </c>
      <c r="I515">
        <v>66.583299999999994</v>
      </c>
      <c r="J515">
        <v>78.25</v>
      </c>
      <c r="K515">
        <v>11.666700000000001</v>
      </c>
      <c r="L515">
        <v>9</v>
      </c>
      <c r="M515">
        <v>0</v>
      </c>
      <c r="N515">
        <v>3</v>
      </c>
      <c r="O515" t="s">
        <v>127</v>
      </c>
      <c r="P515" t="s">
        <v>127</v>
      </c>
      <c r="Q515" t="s">
        <v>127</v>
      </c>
    </row>
    <row r="516" spans="1:17" x14ac:dyDescent="0.25">
      <c r="A516" t="str">
        <f>IF(C516&amp;G516&amp;D516&lt;&gt;'Funnel setup'!$K$3&amp;'Funnel setup'!$K$4&amp;'Funnel setup'!$K$6,".",IF(A515=".",1,A515+1))</f>
        <v>.</v>
      </c>
      <c r="B516" s="244" t="str">
        <f t="shared" si="8"/>
        <v>Hip Replacement PrimaryProviderSPIRE REGENCY HOSPITAL (NT339)EQ VAS</v>
      </c>
      <c r="C516" t="s">
        <v>749</v>
      </c>
      <c r="D516" t="s">
        <v>965</v>
      </c>
      <c r="E516" t="s">
        <v>582</v>
      </c>
      <c r="F516" t="s">
        <v>583</v>
      </c>
      <c r="G516" t="s">
        <v>752</v>
      </c>
      <c r="H516">
        <v>32</v>
      </c>
      <c r="I516">
        <v>68.468800000000002</v>
      </c>
      <c r="J516">
        <v>79.093800000000002</v>
      </c>
      <c r="K516">
        <v>10.625</v>
      </c>
      <c r="L516">
        <v>24</v>
      </c>
      <c r="M516">
        <v>2</v>
      </c>
      <c r="N516">
        <v>6</v>
      </c>
      <c r="O516">
        <v>75.947999999999993</v>
      </c>
      <c r="P516">
        <v>15.136699999999999</v>
      </c>
      <c r="Q516">
        <v>14.8887</v>
      </c>
    </row>
    <row r="517" spans="1:17" x14ac:dyDescent="0.25">
      <c r="A517" t="str">
        <f>IF(C517&amp;G517&amp;D517&lt;&gt;'Funnel setup'!$K$3&amp;'Funnel setup'!$K$4&amp;'Funnel setup'!$K$6,".",IF(A516=".",1,A516+1))</f>
        <v>.</v>
      </c>
      <c r="B517" s="244" t="str">
        <f t="shared" si="8"/>
        <v>Hip Replacement PrimaryProviderSPIRE SOUTHAMPTON HOSPITAL (NT304)EQ VAS</v>
      </c>
      <c r="C517" t="s">
        <v>749</v>
      </c>
      <c r="D517" t="s">
        <v>965</v>
      </c>
      <c r="E517" t="s">
        <v>586</v>
      </c>
      <c r="F517" t="s">
        <v>587</v>
      </c>
      <c r="G517" t="s">
        <v>752</v>
      </c>
      <c r="H517">
        <v>44</v>
      </c>
      <c r="I517">
        <v>71.204499999999996</v>
      </c>
      <c r="J517">
        <v>84.545500000000004</v>
      </c>
      <c r="K517">
        <v>13.3409</v>
      </c>
      <c r="L517">
        <v>34</v>
      </c>
      <c r="M517">
        <v>3</v>
      </c>
      <c r="N517">
        <v>7</v>
      </c>
      <c r="O517">
        <v>78.975800000000007</v>
      </c>
      <c r="P517">
        <v>18.1645</v>
      </c>
      <c r="Q517">
        <v>12.693199999999999</v>
      </c>
    </row>
    <row r="518" spans="1:17" x14ac:dyDescent="0.25">
      <c r="A518" t="str">
        <f>IF(C518&amp;G518&amp;D518&lt;&gt;'Funnel setup'!$K$3&amp;'Funnel setup'!$K$4&amp;'Funnel setup'!$K$6,".",IF(A517=".",1,A517+1))</f>
        <v>.</v>
      </c>
      <c r="B518" s="244" t="str">
        <f t="shared" si="8"/>
        <v>Hip Replacement PrimaryProviderSPIRE ST ANTHONY'S HOSPITAL (NT3X3)EQ VAS</v>
      </c>
      <c r="C518" t="s">
        <v>749</v>
      </c>
      <c r="D518" t="s">
        <v>965</v>
      </c>
      <c r="E518" t="s">
        <v>588</v>
      </c>
      <c r="F518" t="s">
        <v>589</v>
      </c>
      <c r="G518" t="s">
        <v>752</v>
      </c>
      <c r="H518">
        <v>3</v>
      </c>
      <c r="I518">
        <v>56.666699999999999</v>
      </c>
      <c r="J518">
        <v>78.333299999999994</v>
      </c>
      <c r="K518">
        <v>21.666699999999999</v>
      </c>
      <c r="L518">
        <v>3</v>
      </c>
      <c r="M518">
        <v>0</v>
      </c>
      <c r="N518">
        <v>0</v>
      </c>
      <c r="O518" t="s">
        <v>127</v>
      </c>
      <c r="P518" t="s">
        <v>127</v>
      </c>
      <c r="Q518" t="s">
        <v>127</v>
      </c>
    </row>
    <row r="519" spans="1:17" x14ac:dyDescent="0.25">
      <c r="A519" t="str">
        <f>IF(C519&amp;G519&amp;D519&lt;&gt;'Funnel setup'!$K$3&amp;'Funnel setup'!$K$4&amp;'Funnel setup'!$K$6,".",IF(A518=".",1,A518+1))</f>
        <v>.</v>
      </c>
      <c r="B519" s="244" t="str">
        <f t="shared" si="8"/>
        <v>Hip Replacement PrimaryProviderSPIRE SUSSEX HOSPITAL (NT309)EQ VAS</v>
      </c>
      <c r="C519" t="s">
        <v>749</v>
      </c>
      <c r="D519" t="s">
        <v>965</v>
      </c>
      <c r="E519" t="s">
        <v>590</v>
      </c>
      <c r="F519" t="s">
        <v>591</v>
      </c>
      <c r="G519" t="s">
        <v>752</v>
      </c>
      <c r="H519">
        <v>7</v>
      </c>
      <c r="I519">
        <v>61.428600000000003</v>
      </c>
      <c r="J519">
        <v>76.285700000000006</v>
      </c>
      <c r="K519">
        <v>14.857100000000001</v>
      </c>
      <c r="L519">
        <v>6</v>
      </c>
      <c r="M519">
        <v>0</v>
      </c>
      <c r="N519">
        <v>1</v>
      </c>
      <c r="O519" t="s">
        <v>127</v>
      </c>
      <c r="P519" t="s">
        <v>127</v>
      </c>
      <c r="Q519" t="s">
        <v>127</v>
      </c>
    </row>
    <row r="520" spans="1:17" x14ac:dyDescent="0.25">
      <c r="A520" t="str">
        <f>IF(C520&amp;G520&amp;D520&lt;&gt;'Funnel setup'!$K$3&amp;'Funnel setup'!$K$4&amp;'Funnel setup'!$K$6,".",IF(A519=".",1,A519+1))</f>
        <v>.</v>
      </c>
      <c r="B520" s="244" t="str">
        <f t="shared" si="8"/>
        <v>Hip Replacement PrimaryProviderSPIRE THAMES VALLEY HOSPITAL (NT343)EQ VAS</v>
      </c>
      <c r="C520" t="s">
        <v>749</v>
      </c>
      <c r="D520" t="s">
        <v>965</v>
      </c>
      <c r="E520" t="s">
        <v>592</v>
      </c>
      <c r="F520" t="s">
        <v>593</v>
      </c>
      <c r="G520" t="s">
        <v>752</v>
      </c>
      <c r="H520">
        <v>7</v>
      </c>
      <c r="I520">
        <v>68.571399999999997</v>
      </c>
      <c r="J520">
        <v>87.285700000000006</v>
      </c>
      <c r="K520">
        <v>18.714300000000001</v>
      </c>
      <c r="L520">
        <v>5</v>
      </c>
      <c r="M520">
        <v>1</v>
      </c>
      <c r="N520">
        <v>1</v>
      </c>
      <c r="O520" t="s">
        <v>127</v>
      </c>
      <c r="P520" t="s">
        <v>127</v>
      </c>
      <c r="Q520" t="s">
        <v>127</v>
      </c>
    </row>
    <row r="521" spans="1:17" x14ac:dyDescent="0.25">
      <c r="A521" t="str">
        <f>IF(C521&amp;G521&amp;D521&lt;&gt;'Funnel setup'!$K$3&amp;'Funnel setup'!$K$4&amp;'Funnel setup'!$K$6,".",IF(A520=".",1,A520+1))</f>
        <v>.</v>
      </c>
      <c r="B521" s="244" t="str">
        <f t="shared" si="8"/>
        <v>Hip Replacement PrimaryProviderSPIRE TUNBRIDGE WELLS HOSPITAL (NT310)EQ VAS</v>
      </c>
      <c r="C521" t="s">
        <v>749</v>
      </c>
      <c r="D521" t="s">
        <v>965</v>
      </c>
      <c r="E521" t="s">
        <v>594</v>
      </c>
      <c r="F521" t="s">
        <v>595</v>
      </c>
      <c r="G521" t="s">
        <v>752</v>
      </c>
      <c r="H521">
        <v>7</v>
      </c>
      <c r="I521">
        <v>62.285699999999999</v>
      </c>
      <c r="J521">
        <v>75.428600000000003</v>
      </c>
      <c r="K521">
        <v>13.142899999999999</v>
      </c>
      <c r="L521">
        <v>5</v>
      </c>
      <c r="M521">
        <v>1</v>
      </c>
      <c r="N521">
        <v>1</v>
      </c>
      <c r="O521" t="s">
        <v>127</v>
      </c>
      <c r="P521" t="s">
        <v>127</v>
      </c>
      <c r="Q521" t="s">
        <v>127</v>
      </c>
    </row>
    <row r="522" spans="1:17" x14ac:dyDescent="0.25">
      <c r="A522" t="str">
        <f>IF(C522&amp;G522&amp;D522&lt;&gt;'Funnel setup'!$K$3&amp;'Funnel setup'!$K$4&amp;'Funnel setup'!$K$6,".",IF(A521=".",1,A521+1))</f>
        <v>.</v>
      </c>
      <c r="B522" s="244" t="str">
        <f t="shared" si="8"/>
        <v>Hip Replacement PrimaryProviderSPIRE WASHINGTON HOSPITAL (NT333)EQ VAS</v>
      </c>
      <c r="C522" t="s">
        <v>749</v>
      </c>
      <c r="D522" t="s">
        <v>965</v>
      </c>
      <c r="E522" t="s">
        <v>596</v>
      </c>
      <c r="F522" t="s">
        <v>597</v>
      </c>
      <c r="G522" t="s">
        <v>752</v>
      </c>
      <c r="H522">
        <v>64</v>
      </c>
      <c r="I522">
        <v>62.5</v>
      </c>
      <c r="J522">
        <v>76.359399999999994</v>
      </c>
      <c r="K522">
        <v>13.859400000000001</v>
      </c>
      <c r="L522">
        <v>49</v>
      </c>
      <c r="M522">
        <v>3</v>
      </c>
      <c r="N522">
        <v>12</v>
      </c>
      <c r="O522">
        <v>75.949200000000005</v>
      </c>
      <c r="P522">
        <v>15.138</v>
      </c>
      <c r="Q522">
        <v>14.7659</v>
      </c>
    </row>
    <row r="523" spans="1:17" x14ac:dyDescent="0.25">
      <c r="A523" t="str">
        <f>IF(C523&amp;G523&amp;D523&lt;&gt;'Funnel setup'!$K$3&amp;'Funnel setup'!$K$4&amp;'Funnel setup'!$K$6,".",IF(A522=".",1,A522+1))</f>
        <v>.</v>
      </c>
      <c r="B523" s="244" t="str">
        <f t="shared" si="8"/>
        <v>Hip Replacement PrimaryProviderSPRINGFIELD HOSPITAL (NVC18)EQ VAS</v>
      </c>
      <c r="C523" t="s">
        <v>749</v>
      </c>
      <c r="D523" t="s">
        <v>965</v>
      </c>
      <c r="E523" t="s">
        <v>602</v>
      </c>
      <c r="F523" t="s">
        <v>603</v>
      </c>
      <c r="G523" t="s">
        <v>752</v>
      </c>
      <c r="H523">
        <v>75</v>
      </c>
      <c r="I523">
        <v>62.88</v>
      </c>
      <c r="J523">
        <v>79.2667</v>
      </c>
      <c r="K523">
        <v>16.386700000000001</v>
      </c>
      <c r="L523">
        <v>54</v>
      </c>
      <c r="M523">
        <v>5</v>
      </c>
      <c r="N523">
        <v>16</v>
      </c>
      <c r="O523">
        <v>77.337400000000002</v>
      </c>
      <c r="P523">
        <v>16.526199999999999</v>
      </c>
      <c r="Q523">
        <v>17.9727</v>
      </c>
    </row>
    <row r="524" spans="1:17" x14ac:dyDescent="0.25">
      <c r="A524" t="str">
        <f>IF(C524&amp;G524&amp;D524&lt;&gt;'Funnel setup'!$K$3&amp;'Funnel setup'!$K$4&amp;'Funnel setup'!$K$6,".",IF(A523=".",1,A523+1))</f>
        <v>.</v>
      </c>
      <c r="B524" s="244" t="str">
        <f t="shared" si="8"/>
        <v>Hip Replacement PrimaryProviderST EDMUNDS HOSPITAL (NT446)EQ VAS</v>
      </c>
      <c r="C524" t="s">
        <v>749</v>
      </c>
      <c r="D524" t="s">
        <v>965</v>
      </c>
      <c r="E524" t="s">
        <v>604</v>
      </c>
      <c r="F524" t="s">
        <v>605</v>
      </c>
      <c r="G524" t="s">
        <v>752</v>
      </c>
      <c r="H524">
        <v>54</v>
      </c>
      <c r="I524">
        <v>63.055599999999998</v>
      </c>
      <c r="J524">
        <v>80.333299999999994</v>
      </c>
      <c r="K524">
        <v>17.277799999999999</v>
      </c>
      <c r="L524">
        <v>39</v>
      </c>
      <c r="M524">
        <v>7</v>
      </c>
      <c r="N524">
        <v>8</v>
      </c>
      <c r="O524">
        <v>78.0518</v>
      </c>
      <c r="P524">
        <v>17.240600000000001</v>
      </c>
      <c r="Q524">
        <v>13.824400000000001</v>
      </c>
    </row>
    <row r="525" spans="1:17" x14ac:dyDescent="0.25">
      <c r="A525" t="str">
        <f>IF(C525&amp;G525&amp;D525&lt;&gt;'Funnel setup'!$K$3&amp;'Funnel setup'!$K$4&amp;'Funnel setup'!$K$6,".",IF(A524=".",1,A524+1))</f>
        <v>.</v>
      </c>
      <c r="B525" s="244" t="str">
        <f t="shared" si="8"/>
        <v>Hip Replacement PrimaryProviderST HELENS AND KNOWSLEY TEACHING HOSPITALS NHS TRUST (RBN)EQ VAS</v>
      </c>
      <c r="C525" t="s">
        <v>749</v>
      </c>
      <c r="D525" t="s">
        <v>965</v>
      </c>
      <c r="E525" t="s">
        <v>608</v>
      </c>
      <c r="F525" t="s">
        <v>609</v>
      </c>
      <c r="G525" t="s">
        <v>752</v>
      </c>
      <c r="H525">
        <v>64</v>
      </c>
      <c r="I525">
        <v>53.968800000000002</v>
      </c>
      <c r="J525">
        <v>70.546899999999994</v>
      </c>
      <c r="K525">
        <v>16.578099999999999</v>
      </c>
      <c r="L525">
        <v>45</v>
      </c>
      <c r="M525">
        <v>3</v>
      </c>
      <c r="N525">
        <v>16</v>
      </c>
      <c r="O525">
        <v>74.174499999999995</v>
      </c>
      <c r="P525">
        <v>13.363300000000001</v>
      </c>
      <c r="Q525">
        <v>19.194500000000001</v>
      </c>
    </row>
    <row r="526" spans="1:17" x14ac:dyDescent="0.25">
      <c r="A526" t="str">
        <f>IF(C526&amp;G526&amp;D526&lt;&gt;'Funnel setup'!$K$3&amp;'Funnel setup'!$K$4&amp;'Funnel setup'!$K$6,".",IF(A525=".",1,A525+1))</f>
        <v>.</v>
      </c>
      <c r="B526" s="244" t="str">
        <f t="shared" si="8"/>
        <v>Hip Replacement PrimaryProviderST HUGH'S HOSPITAL (NTE02)EQ VAS</v>
      </c>
      <c r="C526" t="s">
        <v>749</v>
      </c>
      <c r="D526" t="s">
        <v>965</v>
      </c>
      <c r="E526" t="s">
        <v>610</v>
      </c>
      <c r="F526" t="s">
        <v>611</v>
      </c>
      <c r="G526" t="s">
        <v>752</v>
      </c>
      <c r="H526">
        <v>90</v>
      </c>
      <c r="I526">
        <v>65.611099999999993</v>
      </c>
      <c r="J526">
        <v>74.033299999999997</v>
      </c>
      <c r="K526">
        <v>8.4222199999999994</v>
      </c>
      <c r="L526">
        <v>50</v>
      </c>
      <c r="M526">
        <v>10</v>
      </c>
      <c r="N526">
        <v>30</v>
      </c>
      <c r="O526">
        <v>71.811800000000005</v>
      </c>
      <c r="P526">
        <v>11.0006</v>
      </c>
      <c r="Q526">
        <v>17.425899999999999</v>
      </c>
    </row>
    <row r="527" spans="1:17" x14ac:dyDescent="0.25">
      <c r="A527" t="str">
        <f>IF(C527&amp;G527&amp;D527&lt;&gt;'Funnel setup'!$K$3&amp;'Funnel setup'!$K$4&amp;'Funnel setup'!$K$6,".",IF(A526=".",1,A526+1))</f>
        <v>.</v>
      </c>
      <c r="B527" s="244" t="str">
        <f t="shared" si="8"/>
        <v>Hip Replacement PrimaryProviderSTOCKPORT NHS FOUNDATION TRUST (RWJ)EQ VAS</v>
      </c>
      <c r="C527" t="s">
        <v>749</v>
      </c>
      <c r="D527" t="s">
        <v>965</v>
      </c>
      <c r="E527" t="s">
        <v>614</v>
      </c>
      <c r="F527" t="s">
        <v>615</v>
      </c>
      <c r="G527" t="s">
        <v>752</v>
      </c>
      <c r="H527">
        <v>48</v>
      </c>
      <c r="I527">
        <v>53.4375</v>
      </c>
      <c r="J527">
        <v>73.25</v>
      </c>
      <c r="K527">
        <v>19.8125</v>
      </c>
      <c r="L527">
        <v>33</v>
      </c>
      <c r="M527">
        <v>6</v>
      </c>
      <c r="N527">
        <v>9</v>
      </c>
      <c r="O527">
        <v>75.611000000000004</v>
      </c>
      <c r="P527">
        <v>14.7997</v>
      </c>
      <c r="Q527">
        <v>18.591799999999999</v>
      </c>
    </row>
    <row r="528" spans="1:17" x14ac:dyDescent="0.25">
      <c r="A528" t="str">
        <f>IF(C528&amp;G528&amp;D528&lt;&gt;'Funnel setup'!$K$3&amp;'Funnel setup'!$K$4&amp;'Funnel setup'!$K$6,".",IF(A527=".",1,A527+1))</f>
        <v>.</v>
      </c>
      <c r="B528" s="244" t="str">
        <f t="shared" si="8"/>
        <v>Hip Replacement PrimaryProviderSURREY AND SUSSEX HEALTHCARE NHS TRUST (RTP)EQ VAS</v>
      </c>
      <c r="C528" t="s">
        <v>749</v>
      </c>
      <c r="D528" t="s">
        <v>965</v>
      </c>
      <c r="E528" t="s">
        <v>618</v>
      </c>
      <c r="F528" t="s">
        <v>619</v>
      </c>
      <c r="G528" t="s">
        <v>752</v>
      </c>
      <c r="H528">
        <v>42</v>
      </c>
      <c r="I528">
        <v>61.404800000000002</v>
      </c>
      <c r="J528">
        <v>70.738100000000003</v>
      </c>
      <c r="K528">
        <v>9.3333300000000001</v>
      </c>
      <c r="L528">
        <v>31</v>
      </c>
      <c r="M528">
        <v>2</v>
      </c>
      <c r="N528">
        <v>9</v>
      </c>
      <c r="O528">
        <v>71.406700000000001</v>
      </c>
      <c r="P528">
        <v>10.5954</v>
      </c>
      <c r="Q528">
        <v>20.460799999999999</v>
      </c>
    </row>
    <row r="529" spans="1:17" x14ac:dyDescent="0.25">
      <c r="A529" t="str">
        <f>IF(C529&amp;G529&amp;D529&lt;&gt;'Funnel setup'!$K$3&amp;'Funnel setup'!$K$4&amp;'Funnel setup'!$K$6,".",IF(A528=".",1,A528+1))</f>
        <v>.</v>
      </c>
      <c r="B529" s="244" t="str">
        <f t="shared" si="8"/>
        <v>Hip Replacement PrimaryProviderTAMESIDE AND GLOSSOP INTEGRATED CARE NHS FOUNDATION TRUST (RMP)EQ VAS</v>
      </c>
      <c r="C529" t="s">
        <v>749</v>
      </c>
      <c r="D529" t="s">
        <v>965</v>
      </c>
      <c r="E529" t="s">
        <v>620</v>
      </c>
      <c r="F529" t="s">
        <v>621</v>
      </c>
      <c r="G529" t="s">
        <v>752</v>
      </c>
      <c r="H529">
        <v>2</v>
      </c>
      <c r="I529">
        <v>55</v>
      </c>
      <c r="J529">
        <v>15</v>
      </c>
      <c r="K529">
        <v>-40</v>
      </c>
      <c r="L529">
        <v>0</v>
      </c>
      <c r="M529">
        <v>0</v>
      </c>
      <c r="N529">
        <v>2</v>
      </c>
      <c r="O529" t="s">
        <v>127</v>
      </c>
      <c r="P529" t="s">
        <v>127</v>
      </c>
      <c r="Q529" t="s">
        <v>127</v>
      </c>
    </row>
    <row r="530" spans="1:17" x14ac:dyDescent="0.25">
      <c r="A530" t="str">
        <f>IF(C530&amp;G530&amp;D530&lt;&gt;'Funnel setup'!$K$3&amp;'Funnel setup'!$K$4&amp;'Funnel setup'!$K$6,".",IF(A529=".",1,A529+1))</f>
        <v>.</v>
      </c>
      <c r="B530" s="244" t="str">
        <f t="shared" si="8"/>
        <v>Hip Replacement PrimaryProviderTEES VALLEY HOSPITAL (NVC0R)EQ VAS</v>
      </c>
      <c r="C530" t="s">
        <v>749</v>
      </c>
      <c r="D530" t="s">
        <v>965</v>
      </c>
      <c r="E530" t="s">
        <v>624</v>
      </c>
      <c r="F530" t="s">
        <v>625</v>
      </c>
      <c r="G530" t="s">
        <v>752</v>
      </c>
      <c r="H530">
        <v>43</v>
      </c>
      <c r="I530">
        <v>67.883700000000005</v>
      </c>
      <c r="J530">
        <v>77.372100000000003</v>
      </c>
      <c r="K530">
        <v>9.4883699999999997</v>
      </c>
      <c r="L530">
        <v>26</v>
      </c>
      <c r="M530">
        <v>4</v>
      </c>
      <c r="N530">
        <v>13</v>
      </c>
      <c r="O530">
        <v>75.6648</v>
      </c>
      <c r="P530">
        <v>14.8535</v>
      </c>
      <c r="Q530">
        <v>14.6027</v>
      </c>
    </row>
    <row r="531" spans="1:17" x14ac:dyDescent="0.25">
      <c r="A531" t="str">
        <f>IF(C531&amp;G531&amp;D531&lt;&gt;'Funnel setup'!$K$3&amp;'Funnel setup'!$K$4&amp;'Funnel setup'!$K$6,".",IF(A530=".",1,A530+1))</f>
        <v>.</v>
      </c>
      <c r="B531" s="244" t="str">
        <f t="shared" si="8"/>
        <v>Hip Replacement PrimaryProviderTHE BERKSHIRE INDEPENDENT HOSPITAL (NVC02)EQ VAS</v>
      </c>
      <c r="C531" t="s">
        <v>749</v>
      </c>
      <c r="D531" t="s">
        <v>965</v>
      </c>
      <c r="E531" t="s">
        <v>626</v>
      </c>
      <c r="F531" t="s">
        <v>627</v>
      </c>
      <c r="G531" t="s">
        <v>752</v>
      </c>
      <c r="H531">
        <v>10</v>
      </c>
      <c r="I531">
        <v>70</v>
      </c>
      <c r="J531">
        <v>82</v>
      </c>
      <c r="K531">
        <v>12</v>
      </c>
      <c r="L531">
        <v>7</v>
      </c>
      <c r="M531">
        <v>0</v>
      </c>
      <c r="N531">
        <v>3</v>
      </c>
      <c r="O531" t="s">
        <v>127</v>
      </c>
      <c r="P531" t="s">
        <v>127</v>
      </c>
      <c r="Q531" t="s">
        <v>127</v>
      </c>
    </row>
    <row r="532" spans="1:17" x14ac:dyDescent="0.25">
      <c r="A532" t="str">
        <f>IF(C532&amp;G532&amp;D532&lt;&gt;'Funnel setup'!$K$3&amp;'Funnel setup'!$K$4&amp;'Funnel setup'!$K$6,".",IF(A531=".",1,A531+1))</f>
        <v>.</v>
      </c>
      <c r="B532" s="244" t="str">
        <f t="shared" si="8"/>
        <v>Hip Replacement PrimaryProviderTHE CHERWELL HOSPITAL (NVC25)EQ VAS</v>
      </c>
      <c r="C532" t="s">
        <v>749</v>
      </c>
      <c r="D532" t="s">
        <v>965</v>
      </c>
      <c r="E532" t="s">
        <v>628</v>
      </c>
      <c r="F532" t="s">
        <v>629</v>
      </c>
      <c r="G532" t="s">
        <v>752</v>
      </c>
      <c r="H532">
        <v>199</v>
      </c>
      <c r="I532">
        <v>66.412099999999995</v>
      </c>
      <c r="J532">
        <v>79.185900000000004</v>
      </c>
      <c r="K532">
        <v>12.773899999999999</v>
      </c>
      <c r="L532">
        <v>135</v>
      </c>
      <c r="M532">
        <v>24</v>
      </c>
      <c r="N532">
        <v>40</v>
      </c>
      <c r="O532">
        <v>75.999399999999994</v>
      </c>
      <c r="P532">
        <v>15.1881</v>
      </c>
      <c r="Q532">
        <v>15.3935</v>
      </c>
    </row>
    <row r="533" spans="1:17" x14ac:dyDescent="0.25">
      <c r="A533" t="str">
        <f>IF(C533&amp;G533&amp;D533&lt;&gt;'Funnel setup'!$K$3&amp;'Funnel setup'!$K$4&amp;'Funnel setup'!$K$6,".",IF(A532=".",1,A532+1))</f>
        <v>.</v>
      </c>
      <c r="B533" s="244" t="str">
        <f t="shared" si="8"/>
        <v>Hip Replacement PrimaryProviderTHE DUDLEY GROUP NHS FOUNDATION TRUST (RNA)EQ VAS</v>
      </c>
      <c r="C533" t="s">
        <v>749</v>
      </c>
      <c r="D533" t="s">
        <v>965</v>
      </c>
      <c r="E533" t="s">
        <v>630</v>
      </c>
      <c r="F533" t="s">
        <v>631</v>
      </c>
      <c r="G533" t="s">
        <v>752</v>
      </c>
      <c r="H533">
        <v>1</v>
      </c>
      <c r="I533">
        <v>90</v>
      </c>
      <c r="J533">
        <v>100</v>
      </c>
      <c r="K533">
        <v>10</v>
      </c>
      <c r="L533">
        <v>1</v>
      </c>
      <c r="M533">
        <v>0</v>
      </c>
      <c r="N533">
        <v>0</v>
      </c>
      <c r="O533" t="s">
        <v>127</v>
      </c>
      <c r="P533" t="s">
        <v>127</v>
      </c>
      <c r="Q533" t="s">
        <v>127</v>
      </c>
    </row>
    <row r="534" spans="1:17" x14ac:dyDescent="0.25">
      <c r="A534" t="str">
        <f>IF(C534&amp;G534&amp;D534&lt;&gt;'Funnel setup'!$K$3&amp;'Funnel setup'!$K$4&amp;'Funnel setup'!$K$6,".",IF(A533=".",1,A533+1))</f>
        <v>.</v>
      </c>
      <c r="B534" s="244" t="str">
        <f t="shared" si="8"/>
        <v>Hip Replacement PrimaryProviderTHE HILLINGDON HOSPITALS NHS FOUNDATION TRUST (RAS)EQ VAS</v>
      </c>
      <c r="C534" t="s">
        <v>749</v>
      </c>
      <c r="D534" t="s">
        <v>965</v>
      </c>
      <c r="E534" t="s">
        <v>632</v>
      </c>
      <c r="F534" t="s">
        <v>633</v>
      </c>
      <c r="G534" t="s">
        <v>752</v>
      </c>
      <c r="H534">
        <v>65</v>
      </c>
      <c r="I534">
        <v>64.907700000000006</v>
      </c>
      <c r="J534">
        <v>74.584599999999995</v>
      </c>
      <c r="K534">
        <v>9.6769200000000009</v>
      </c>
      <c r="L534">
        <v>41</v>
      </c>
      <c r="M534">
        <v>10</v>
      </c>
      <c r="N534">
        <v>14</v>
      </c>
      <c r="O534">
        <v>73.952699999999993</v>
      </c>
      <c r="P534">
        <v>13.141400000000001</v>
      </c>
      <c r="Q534">
        <v>18.908300000000001</v>
      </c>
    </row>
    <row r="535" spans="1:17" x14ac:dyDescent="0.25">
      <c r="A535" t="str">
        <f>IF(C535&amp;G535&amp;D535&lt;&gt;'Funnel setup'!$K$3&amp;'Funnel setup'!$K$4&amp;'Funnel setup'!$K$6,".",IF(A534=".",1,A534+1))</f>
        <v>.</v>
      </c>
      <c r="B535" s="244" t="str">
        <f t="shared" si="8"/>
        <v>Hip Replacement PrimaryProviderTHE HORDER CENTRE - ST JOHNS ROAD (NXM01)EQ VAS</v>
      </c>
      <c r="C535" t="s">
        <v>749</v>
      </c>
      <c r="D535" t="s">
        <v>965</v>
      </c>
      <c r="E535" t="s">
        <v>634</v>
      </c>
      <c r="F535" t="s">
        <v>635</v>
      </c>
      <c r="G535" t="s">
        <v>752</v>
      </c>
      <c r="H535">
        <v>237</v>
      </c>
      <c r="I535">
        <v>66.164599999999993</v>
      </c>
      <c r="J535">
        <v>78.949399999999997</v>
      </c>
      <c r="K535">
        <v>12.784800000000001</v>
      </c>
      <c r="L535">
        <v>157</v>
      </c>
      <c r="M535">
        <v>23</v>
      </c>
      <c r="N535">
        <v>57</v>
      </c>
      <c r="O535">
        <v>76.3626</v>
      </c>
      <c r="P535">
        <v>15.551299999999999</v>
      </c>
      <c r="Q535">
        <v>15.7912</v>
      </c>
    </row>
    <row r="536" spans="1:17" x14ac:dyDescent="0.25">
      <c r="A536" t="str">
        <f>IF(C536&amp;G536&amp;D536&lt;&gt;'Funnel setup'!$K$3&amp;'Funnel setup'!$K$4&amp;'Funnel setup'!$K$6,".",IF(A535=".",1,A535+1))</f>
        <v>.</v>
      </c>
      <c r="B536" s="244" t="str">
        <f t="shared" si="8"/>
        <v>Hip Replacement PrimaryProviderTHE NEWCASTLE UPON TYNE HOSPITALS NHS FOUNDATION TRUST (RTD)EQ VAS</v>
      </c>
      <c r="C536" t="s">
        <v>749</v>
      </c>
      <c r="D536" t="s">
        <v>965</v>
      </c>
      <c r="E536" t="s">
        <v>638</v>
      </c>
      <c r="F536" t="s">
        <v>639</v>
      </c>
      <c r="G536" t="s">
        <v>752</v>
      </c>
      <c r="H536">
        <v>34</v>
      </c>
      <c r="I536">
        <v>59.088200000000001</v>
      </c>
      <c r="J536">
        <v>71.441199999999995</v>
      </c>
      <c r="K536">
        <v>12.3529</v>
      </c>
      <c r="L536">
        <v>22</v>
      </c>
      <c r="M536">
        <v>4</v>
      </c>
      <c r="N536">
        <v>8</v>
      </c>
      <c r="O536">
        <v>74.434899999999999</v>
      </c>
      <c r="P536">
        <v>13.623699999999999</v>
      </c>
      <c r="Q536">
        <v>13.3324</v>
      </c>
    </row>
    <row r="537" spans="1:17" x14ac:dyDescent="0.25">
      <c r="A537" t="str">
        <f>IF(C537&amp;G537&amp;D537&lt;&gt;'Funnel setup'!$K$3&amp;'Funnel setup'!$K$4&amp;'Funnel setup'!$K$6,".",IF(A536=".",1,A536+1))</f>
        <v>.</v>
      </c>
      <c r="B537" s="244" t="str">
        <f t="shared" si="8"/>
        <v>Hip Replacement PrimaryProviderTHE PRINCESS ALEXANDRA HOSPITAL NHS TRUST (RQW)EQ VAS</v>
      </c>
      <c r="C537" t="s">
        <v>749</v>
      </c>
      <c r="D537" t="s">
        <v>965</v>
      </c>
      <c r="E537" t="s">
        <v>640</v>
      </c>
      <c r="F537" t="s">
        <v>641</v>
      </c>
      <c r="G537" t="s">
        <v>752</v>
      </c>
      <c r="H537">
        <v>21</v>
      </c>
      <c r="I537">
        <v>53.238100000000003</v>
      </c>
      <c r="J537">
        <v>67.952399999999997</v>
      </c>
      <c r="K537">
        <v>14.7143</v>
      </c>
      <c r="L537">
        <v>14</v>
      </c>
      <c r="M537">
        <v>0</v>
      </c>
      <c r="N537">
        <v>7</v>
      </c>
      <c r="O537" t="s">
        <v>127</v>
      </c>
      <c r="P537" t="s">
        <v>127</v>
      </c>
      <c r="Q537" t="s">
        <v>127</v>
      </c>
    </row>
    <row r="538" spans="1:17" x14ac:dyDescent="0.25">
      <c r="A538" t="str">
        <f>IF(C538&amp;G538&amp;D538&lt;&gt;'Funnel setup'!$K$3&amp;'Funnel setup'!$K$4&amp;'Funnel setup'!$K$6,".",IF(A537=".",1,A537+1))</f>
        <v>.</v>
      </c>
      <c r="B538" s="244" t="str">
        <f t="shared" si="8"/>
        <v>Hip Replacement PrimaryProviderTHE QUEEN ELIZABETH HOSPITAL, KING'S LYNN, NHS FOUNDATION TRUST (RCX)EQ VAS</v>
      </c>
      <c r="C538" t="s">
        <v>749</v>
      </c>
      <c r="D538" t="s">
        <v>965</v>
      </c>
      <c r="E538" t="s">
        <v>644</v>
      </c>
      <c r="F538" t="s">
        <v>645</v>
      </c>
      <c r="G538" t="s">
        <v>752</v>
      </c>
      <c r="H538">
        <v>63</v>
      </c>
      <c r="I538">
        <v>57.777799999999999</v>
      </c>
      <c r="J538">
        <v>76.396799999999999</v>
      </c>
      <c r="K538">
        <v>18.619</v>
      </c>
      <c r="L538">
        <v>48</v>
      </c>
      <c r="M538">
        <v>3</v>
      </c>
      <c r="N538">
        <v>12</v>
      </c>
      <c r="O538">
        <v>78.304199999999994</v>
      </c>
      <c r="P538">
        <v>17.492899999999999</v>
      </c>
      <c r="Q538">
        <v>16.3918</v>
      </c>
    </row>
    <row r="539" spans="1:17" x14ac:dyDescent="0.25">
      <c r="A539" t="str">
        <f>IF(C539&amp;G539&amp;D539&lt;&gt;'Funnel setup'!$K$3&amp;'Funnel setup'!$K$4&amp;'Funnel setup'!$K$6,".",IF(A538=".",1,A538+1))</f>
        <v>.</v>
      </c>
      <c r="B539" s="244" t="str">
        <f t="shared" si="8"/>
        <v>Hip Replacement PrimaryProviderTHE ROBERT JONES AND AGNES HUNT ORTHOPAEDIC HOSPITAL NHS FOUNDATION TRUST (RL1)EQ VAS</v>
      </c>
      <c r="C539" t="s">
        <v>749</v>
      </c>
      <c r="D539" t="s">
        <v>965</v>
      </c>
      <c r="E539" t="s">
        <v>646</v>
      </c>
      <c r="F539" t="s">
        <v>647</v>
      </c>
      <c r="G539" t="s">
        <v>752</v>
      </c>
      <c r="H539">
        <v>326</v>
      </c>
      <c r="I539">
        <v>54.4908</v>
      </c>
      <c r="J539">
        <v>77.457099999999997</v>
      </c>
      <c r="K539">
        <v>22.9663</v>
      </c>
      <c r="L539">
        <v>253</v>
      </c>
      <c r="M539">
        <v>29</v>
      </c>
      <c r="N539">
        <v>44</v>
      </c>
      <c r="O539">
        <v>79.399500000000003</v>
      </c>
      <c r="P539">
        <v>18.588200000000001</v>
      </c>
      <c r="Q539">
        <v>15.2798</v>
      </c>
    </row>
    <row r="540" spans="1:17" x14ac:dyDescent="0.25">
      <c r="A540" t="str">
        <f>IF(C540&amp;G540&amp;D540&lt;&gt;'Funnel setup'!$K$3&amp;'Funnel setup'!$K$4&amp;'Funnel setup'!$K$6,".",IF(A539=".",1,A539+1))</f>
        <v>.</v>
      </c>
      <c r="B540" s="244" t="str">
        <f t="shared" si="8"/>
        <v>Hip Replacement PrimaryProviderTHE ROTHERHAM NHS FOUNDATION TRUST (RFR)EQ VAS</v>
      </c>
      <c r="C540" t="s">
        <v>749</v>
      </c>
      <c r="D540" t="s">
        <v>965</v>
      </c>
      <c r="E540" t="s">
        <v>648</v>
      </c>
      <c r="F540" t="s">
        <v>649</v>
      </c>
      <c r="G540" t="s">
        <v>752</v>
      </c>
      <c r="H540">
        <v>17</v>
      </c>
      <c r="I540">
        <v>51.2941</v>
      </c>
      <c r="J540">
        <v>74.176500000000004</v>
      </c>
      <c r="K540">
        <v>22.882400000000001</v>
      </c>
      <c r="L540">
        <v>13</v>
      </c>
      <c r="M540">
        <v>0</v>
      </c>
      <c r="N540">
        <v>4</v>
      </c>
      <c r="O540" t="s">
        <v>127</v>
      </c>
      <c r="P540" t="s">
        <v>127</v>
      </c>
      <c r="Q540" t="s">
        <v>127</v>
      </c>
    </row>
    <row r="541" spans="1:17" x14ac:dyDescent="0.25">
      <c r="A541" t="str">
        <f>IF(C541&amp;G541&amp;D541&lt;&gt;'Funnel setup'!$K$3&amp;'Funnel setup'!$K$4&amp;'Funnel setup'!$K$6,".",IF(A540=".",1,A540+1))</f>
        <v>.</v>
      </c>
      <c r="B541" s="244" t="str">
        <f t="shared" si="8"/>
        <v>Hip Replacement PrimaryProviderTHE ROYAL ORTHOPAEDIC HOSPITAL NHS FOUNDATION TRUST (RRJ)EQ VAS</v>
      </c>
      <c r="C541" t="s">
        <v>749</v>
      </c>
      <c r="D541" t="s">
        <v>965</v>
      </c>
      <c r="E541" t="s">
        <v>652</v>
      </c>
      <c r="F541" t="s">
        <v>653</v>
      </c>
      <c r="G541" t="s">
        <v>752</v>
      </c>
      <c r="H541">
        <v>544</v>
      </c>
      <c r="I541">
        <v>62.735300000000002</v>
      </c>
      <c r="J541">
        <v>75.900700000000001</v>
      </c>
      <c r="K541">
        <v>13.1654</v>
      </c>
      <c r="L541">
        <v>377</v>
      </c>
      <c r="M541">
        <v>45</v>
      </c>
      <c r="N541">
        <v>122</v>
      </c>
      <c r="O541">
        <v>75.086699999999993</v>
      </c>
      <c r="P541">
        <v>14.275399999999999</v>
      </c>
      <c r="Q541">
        <v>17.822800000000001</v>
      </c>
    </row>
    <row r="542" spans="1:17" x14ac:dyDescent="0.25">
      <c r="A542" t="str">
        <f>IF(C542&amp;G542&amp;D542&lt;&gt;'Funnel setup'!$K$3&amp;'Funnel setup'!$K$4&amp;'Funnel setup'!$K$6,".",IF(A541=".",1,A541+1))</f>
        <v>.</v>
      </c>
      <c r="B542" s="244" t="str">
        <f t="shared" si="8"/>
        <v>Hip Replacement PrimaryProviderTHE ROYAL WOLVERHAMPTON NHS TRUST (RL4)EQ VAS</v>
      </c>
      <c r="C542" t="s">
        <v>749</v>
      </c>
      <c r="D542" t="s">
        <v>965</v>
      </c>
      <c r="E542" t="s">
        <v>654</v>
      </c>
      <c r="F542" t="s">
        <v>655</v>
      </c>
      <c r="G542" t="s">
        <v>752</v>
      </c>
      <c r="H542">
        <v>16</v>
      </c>
      <c r="I542">
        <v>58.4375</v>
      </c>
      <c r="J542">
        <v>77.4375</v>
      </c>
      <c r="K542">
        <v>19</v>
      </c>
      <c r="L542">
        <v>12</v>
      </c>
      <c r="M542">
        <v>1</v>
      </c>
      <c r="N542">
        <v>3</v>
      </c>
      <c r="O542" t="s">
        <v>127</v>
      </c>
      <c r="P542" t="s">
        <v>127</v>
      </c>
      <c r="Q542" t="s">
        <v>127</v>
      </c>
    </row>
    <row r="543" spans="1:17" x14ac:dyDescent="0.25">
      <c r="A543" t="str">
        <f>IF(C543&amp;G543&amp;D543&lt;&gt;'Funnel setup'!$K$3&amp;'Funnel setup'!$K$4&amp;'Funnel setup'!$K$6,".",IF(A542=".",1,A542+1))</f>
        <v>.</v>
      </c>
      <c r="B543" s="244" t="str">
        <f t="shared" si="8"/>
        <v>Hip Replacement PrimaryProviderTHE SHREWSBURY AND TELFORD HOSPITAL NHS TRUST (RXW)EQ VAS</v>
      </c>
      <c r="C543" t="s">
        <v>749</v>
      </c>
      <c r="D543" t="s">
        <v>965</v>
      </c>
      <c r="E543" t="s">
        <v>656</v>
      </c>
      <c r="F543" t="s">
        <v>657</v>
      </c>
      <c r="G543" t="s">
        <v>752</v>
      </c>
      <c r="H543">
        <v>16</v>
      </c>
      <c r="I543">
        <v>55.5</v>
      </c>
      <c r="J543">
        <v>71.5</v>
      </c>
      <c r="K543">
        <v>16</v>
      </c>
      <c r="L543">
        <v>9</v>
      </c>
      <c r="M543">
        <v>1</v>
      </c>
      <c r="N543">
        <v>6</v>
      </c>
      <c r="O543" t="s">
        <v>127</v>
      </c>
      <c r="P543" t="s">
        <v>127</v>
      </c>
      <c r="Q543" t="s">
        <v>127</v>
      </c>
    </row>
    <row r="544" spans="1:17" x14ac:dyDescent="0.25">
      <c r="A544" t="str">
        <f>IF(C544&amp;G544&amp;D544&lt;&gt;'Funnel setup'!$K$3&amp;'Funnel setup'!$K$4&amp;'Funnel setup'!$K$6,".",IF(A543=".",1,A543+1))</f>
        <v>.</v>
      </c>
      <c r="B544" s="244" t="str">
        <f t="shared" si="8"/>
        <v>Hip Replacement PrimaryProviderTHE YORKSHIRE CLINIC (NVC20)EQ VAS</v>
      </c>
      <c r="C544" t="s">
        <v>749</v>
      </c>
      <c r="D544" t="s">
        <v>965</v>
      </c>
      <c r="E544" t="s">
        <v>662</v>
      </c>
      <c r="F544" t="s">
        <v>663</v>
      </c>
      <c r="G544" t="s">
        <v>752</v>
      </c>
      <c r="H544">
        <v>64</v>
      </c>
      <c r="I544">
        <v>59.734400000000001</v>
      </c>
      <c r="J544">
        <v>79.5625</v>
      </c>
      <c r="K544">
        <v>19.828099999999999</v>
      </c>
      <c r="L544">
        <v>51</v>
      </c>
      <c r="M544">
        <v>2</v>
      </c>
      <c r="N544">
        <v>11</v>
      </c>
      <c r="O544">
        <v>79.377600000000001</v>
      </c>
      <c r="P544">
        <v>18.566299999999998</v>
      </c>
      <c r="Q544">
        <v>16.0473</v>
      </c>
    </row>
    <row r="545" spans="1:17" x14ac:dyDescent="0.25">
      <c r="A545" t="str">
        <f>IF(C545&amp;G545&amp;D545&lt;&gt;'Funnel setup'!$K$3&amp;'Funnel setup'!$K$4&amp;'Funnel setup'!$K$6,".",IF(A544=".",1,A544+1))</f>
        <v>.</v>
      </c>
      <c r="B545" s="244" t="str">
        <f t="shared" si="8"/>
        <v>Hip Replacement PrimaryProviderTHORNBURY HOSPITAL (NT440)EQ VAS</v>
      </c>
      <c r="C545" t="s">
        <v>749</v>
      </c>
      <c r="D545" t="s">
        <v>965</v>
      </c>
      <c r="E545" t="s">
        <v>664</v>
      </c>
      <c r="F545" t="s">
        <v>665</v>
      </c>
      <c r="G545" t="s">
        <v>752</v>
      </c>
      <c r="H545">
        <v>3</v>
      </c>
      <c r="I545">
        <v>56.666699999999999</v>
      </c>
      <c r="J545">
        <v>72</v>
      </c>
      <c r="K545">
        <v>15.333299999999999</v>
      </c>
      <c r="L545">
        <v>2</v>
      </c>
      <c r="M545">
        <v>0</v>
      </c>
      <c r="N545">
        <v>1</v>
      </c>
      <c r="O545" t="s">
        <v>127</v>
      </c>
      <c r="P545" t="s">
        <v>127</v>
      </c>
      <c r="Q545" t="s">
        <v>127</v>
      </c>
    </row>
    <row r="546" spans="1:17" x14ac:dyDescent="0.25">
      <c r="A546" t="str">
        <f>IF(C546&amp;G546&amp;D546&lt;&gt;'Funnel setup'!$K$3&amp;'Funnel setup'!$K$4&amp;'Funnel setup'!$K$6,".",IF(A545=".",1,A545+1))</f>
        <v>.</v>
      </c>
      <c r="B546" s="244" t="str">
        <f t="shared" si="8"/>
        <v>Hip Replacement PrimaryProviderTHREE SHIRES HOSPITAL (NT441)EQ VAS</v>
      </c>
      <c r="C546" t="s">
        <v>749</v>
      </c>
      <c r="D546" t="s">
        <v>965</v>
      </c>
      <c r="E546" t="s">
        <v>666</v>
      </c>
      <c r="F546" t="s">
        <v>667</v>
      </c>
      <c r="G546" t="s">
        <v>752</v>
      </c>
      <c r="H546">
        <v>55</v>
      </c>
      <c r="I546">
        <v>66.7273</v>
      </c>
      <c r="J546">
        <v>83.290899999999993</v>
      </c>
      <c r="K546">
        <v>16.563600000000001</v>
      </c>
      <c r="L546">
        <v>42</v>
      </c>
      <c r="M546">
        <v>2</v>
      </c>
      <c r="N546">
        <v>11</v>
      </c>
      <c r="O546">
        <v>78.636600000000001</v>
      </c>
      <c r="P546">
        <v>17.825399999999998</v>
      </c>
      <c r="Q546">
        <v>10.956099999999999</v>
      </c>
    </row>
    <row r="547" spans="1:17" x14ac:dyDescent="0.25">
      <c r="A547" t="str">
        <f>IF(C547&amp;G547&amp;D547&lt;&gt;'Funnel setup'!$K$3&amp;'Funnel setup'!$K$4&amp;'Funnel setup'!$K$6,".",IF(A546=".",1,A546+1))</f>
        <v>.</v>
      </c>
      <c r="B547" s="244" t="str">
        <f t="shared" si="8"/>
        <v>Hip Replacement PrimaryProviderTORBAY AND SOUTH DEVON NHS FOUNDATION TRUST (RA9)EQ VAS</v>
      </c>
      <c r="C547" t="s">
        <v>749</v>
      </c>
      <c r="D547" t="s">
        <v>965</v>
      </c>
      <c r="E547" t="s">
        <v>668</v>
      </c>
      <c r="F547" t="s">
        <v>669</v>
      </c>
      <c r="G547" t="s">
        <v>752</v>
      </c>
      <c r="H547">
        <v>8</v>
      </c>
      <c r="I547">
        <v>50.625</v>
      </c>
      <c r="J547">
        <v>74.25</v>
      </c>
      <c r="K547">
        <v>23.625</v>
      </c>
      <c r="L547">
        <v>6</v>
      </c>
      <c r="M547">
        <v>1</v>
      </c>
      <c r="N547">
        <v>1</v>
      </c>
      <c r="O547" t="s">
        <v>127</v>
      </c>
      <c r="P547" t="s">
        <v>127</v>
      </c>
      <c r="Q547" t="s">
        <v>127</v>
      </c>
    </row>
    <row r="548" spans="1:17" x14ac:dyDescent="0.25">
      <c r="A548" t="str">
        <f>IF(C548&amp;G548&amp;D548&lt;&gt;'Funnel setup'!$K$3&amp;'Funnel setup'!$K$4&amp;'Funnel setup'!$K$6,".",IF(A547=".",1,A547+1))</f>
        <v>.</v>
      </c>
      <c r="B548" s="244" t="str">
        <f t="shared" si="8"/>
        <v>Hip Replacement PrimaryProviderUNITED LINCOLNSHIRE HOSPITALS NHS TRUST (RWD)EQ VAS</v>
      </c>
      <c r="C548" t="s">
        <v>749</v>
      </c>
      <c r="D548" t="s">
        <v>965</v>
      </c>
      <c r="E548" t="s">
        <v>672</v>
      </c>
      <c r="F548" t="s">
        <v>673</v>
      </c>
      <c r="G548" t="s">
        <v>752</v>
      </c>
      <c r="H548">
        <v>20</v>
      </c>
      <c r="I548">
        <v>58.95</v>
      </c>
      <c r="J548">
        <v>75.05</v>
      </c>
      <c r="K548">
        <v>16.100000000000001</v>
      </c>
      <c r="L548">
        <v>13</v>
      </c>
      <c r="M548">
        <v>0</v>
      </c>
      <c r="N548">
        <v>7</v>
      </c>
      <c r="O548" t="s">
        <v>127</v>
      </c>
      <c r="P548" t="s">
        <v>127</v>
      </c>
      <c r="Q548" t="s">
        <v>127</v>
      </c>
    </row>
    <row r="549" spans="1:17" x14ac:dyDescent="0.25">
      <c r="A549" t="str">
        <f>IF(C549&amp;G549&amp;D549&lt;&gt;'Funnel setup'!$K$3&amp;'Funnel setup'!$K$4&amp;'Funnel setup'!$K$6,".",IF(A548=".",1,A548+1))</f>
        <v>.</v>
      </c>
      <c r="B549" s="244" t="str">
        <f t="shared" si="8"/>
        <v>Hip Replacement PrimaryProviderUNIVERSITY COLLEGE LONDON HOSPITALS NHS FOUNDATION TRUST (RRV)EQ VAS</v>
      </c>
      <c r="C549" t="s">
        <v>749</v>
      </c>
      <c r="D549" t="s">
        <v>965</v>
      </c>
      <c r="E549" t="s">
        <v>674</v>
      </c>
      <c r="F549" t="s">
        <v>675</v>
      </c>
      <c r="G549" t="s">
        <v>752</v>
      </c>
      <c r="H549">
        <v>137</v>
      </c>
      <c r="I549">
        <v>63.036499999999997</v>
      </c>
      <c r="J549">
        <v>76.372299999999996</v>
      </c>
      <c r="K549">
        <v>13.335800000000001</v>
      </c>
      <c r="L549">
        <v>97</v>
      </c>
      <c r="M549">
        <v>14</v>
      </c>
      <c r="N549">
        <v>26</v>
      </c>
      <c r="O549">
        <v>75.601299999999995</v>
      </c>
      <c r="P549">
        <v>14.79</v>
      </c>
      <c r="Q549">
        <v>15.319599999999999</v>
      </c>
    </row>
    <row r="550" spans="1:17" x14ac:dyDescent="0.25">
      <c r="A550" t="str">
        <f>IF(C550&amp;G550&amp;D550&lt;&gt;'Funnel setup'!$K$3&amp;'Funnel setup'!$K$4&amp;'Funnel setup'!$K$6,".",IF(A549=".",1,A549+1))</f>
        <v>.</v>
      </c>
      <c r="B550" s="244" t="str">
        <f t="shared" si="8"/>
        <v>Hip Replacement PrimaryProviderUNIVERSITY HOSPITAL SOUTHAMPTON NHS FOUNDATION TRUST (RHM)EQ VAS</v>
      </c>
      <c r="C550" t="s">
        <v>749</v>
      </c>
      <c r="D550" t="s">
        <v>965</v>
      </c>
      <c r="E550" t="s">
        <v>676</v>
      </c>
      <c r="F550" t="s">
        <v>677</v>
      </c>
      <c r="G550" t="s">
        <v>752</v>
      </c>
      <c r="H550">
        <v>95</v>
      </c>
      <c r="I550">
        <v>57.442100000000003</v>
      </c>
      <c r="J550">
        <v>70.178899999999999</v>
      </c>
      <c r="K550">
        <v>12.736800000000001</v>
      </c>
      <c r="L550">
        <v>62</v>
      </c>
      <c r="M550">
        <v>8</v>
      </c>
      <c r="N550">
        <v>25</v>
      </c>
      <c r="O550">
        <v>72.299599999999998</v>
      </c>
      <c r="P550">
        <v>11.488300000000001</v>
      </c>
      <c r="Q550">
        <v>18.118400000000001</v>
      </c>
    </row>
    <row r="551" spans="1:17" x14ac:dyDescent="0.25">
      <c r="A551" t="str">
        <f>IF(C551&amp;G551&amp;D551&lt;&gt;'Funnel setup'!$K$3&amp;'Funnel setup'!$K$4&amp;'Funnel setup'!$K$6,".",IF(A550=".",1,A550+1))</f>
        <v>.</v>
      </c>
      <c r="B551" s="244" t="str">
        <f t="shared" si="8"/>
        <v>Hip Replacement PrimaryProviderUNIVERSITY HOSPITALS BRISTOL AND WESTON NHS FOUNDATION TRUST (RA7)EQ VAS</v>
      </c>
      <c r="C551" t="s">
        <v>749</v>
      </c>
      <c r="D551" t="s">
        <v>965</v>
      </c>
      <c r="E551" t="s">
        <v>680</v>
      </c>
      <c r="F551" t="s">
        <v>681</v>
      </c>
      <c r="G551" t="s">
        <v>752</v>
      </c>
      <c r="H551">
        <v>17</v>
      </c>
      <c r="I551">
        <v>48.176499999999997</v>
      </c>
      <c r="J551">
        <v>68.352900000000005</v>
      </c>
      <c r="K551">
        <v>20.176500000000001</v>
      </c>
      <c r="L551">
        <v>12</v>
      </c>
      <c r="M551">
        <v>3</v>
      </c>
      <c r="N551">
        <v>2</v>
      </c>
      <c r="O551" t="s">
        <v>127</v>
      </c>
      <c r="P551" t="s">
        <v>127</v>
      </c>
      <c r="Q551" t="s">
        <v>127</v>
      </c>
    </row>
    <row r="552" spans="1:17" x14ac:dyDescent="0.25">
      <c r="A552" t="str">
        <f>IF(C552&amp;G552&amp;D552&lt;&gt;'Funnel setup'!$K$3&amp;'Funnel setup'!$K$4&amp;'Funnel setup'!$K$6,".",IF(A551=".",1,A551+1))</f>
        <v>.</v>
      </c>
      <c r="B552" s="244" t="str">
        <f t="shared" si="8"/>
        <v>Hip Replacement PrimaryProviderUNIVERSITY HOSPITALS COVENTRY AND WARWICKSHIRE NHS TRUST (RKB)EQ VAS</v>
      </c>
      <c r="C552" t="s">
        <v>749</v>
      </c>
      <c r="D552" t="s">
        <v>965</v>
      </c>
      <c r="E552" t="s">
        <v>682</v>
      </c>
      <c r="F552" t="s">
        <v>683</v>
      </c>
      <c r="G552" t="s">
        <v>752</v>
      </c>
      <c r="H552">
        <v>24</v>
      </c>
      <c r="I552">
        <v>64.75</v>
      </c>
      <c r="J552">
        <v>78.375</v>
      </c>
      <c r="K552">
        <v>13.625</v>
      </c>
      <c r="L552">
        <v>20</v>
      </c>
      <c r="M552">
        <v>0</v>
      </c>
      <c r="N552">
        <v>4</v>
      </c>
      <c r="O552" t="s">
        <v>127</v>
      </c>
      <c r="P552" t="s">
        <v>127</v>
      </c>
      <c r="Q552" t="s">
        <v>127</v>
      </c>
    </row>
    <row r="553" spans="1:17" x14ac:dyDescent="0.25">
      <c r="A553" t="str">
        <f>IF(C553&amp;G553&amp;D553&lt;&gt;'Funnel setup'!$K$3&amp;'Funnel setup'!$K$4&amp;'Funnel setup'!$K$6,".",IF(A552=".",1,A552+1))</f>
        <v>.</v>
      </c>
      <c r="B553" s="244" t="str">
        <f t="shared" si="8"/>
        <v>Hip Replacement PrimaryProviderUNIVERSITY HOSPITAL DORSET NHS FUNDATION TRUST (R0D)EQ VAS</v>
      </c>
      <c r="C553" t="s">
        <v>749</v>
      </c>
      <c r="D553" t="s">
        <v>965</v>
      </c>
      <c r="E553" t="s">
        <v>684</v>
      </c>
      <c r="F553" t="s">
        <v>966</v>
      </c>
      <c r="G553" t="s">
        <v>752</v>
      </c>
      <c r="H553">
        <v>207</v>
      </c>
      <c r="I553">
        <v>65.569999999999993</v>
      </c>
      <c r="J553">
        <v>76.893699999999995</v>
      </c>
      <c r="K553">
        <v>11.323700000000001</v>
      </c>
      <c r="L553">
        <v>147</v>
      </c>
      <c r="M553">
        <v>18</v>
      </c>
      <c r="N553">
        <v>42</v>
      </c>
      <c r="O553">
        <v>75.422799999999995</v>
      </c>
      <c r="P553">
        <v>14.611499999999999</v>
      </c>
      <c r="Q553">
        <v>15.514099999999999</v>
      </c>
    </row>
    <row r="554" spans="1:17" x14ac:dyDescent="0.25">
      <c r="A554" t="str">
        <f>IF(C554&amp;G554&amp;D554&lt;&gt;'Funnel setup'!$K$3&amp;'Funnel setup'!$K$4&amp;'Funnel setup'!$K$6,".",IF(A553=".",1,A553+1))</f>
        <v>.</v>
      </c>
      <c r="B554" s="244" t="str">
        <f t="shared" si="8"/>
        <v>Hip Replacement PrimaryProviderUNIVERSITY HOSPITALS OF DERBY AND BURTON NHS FOUNDATION TRUST (RTG)EQ VAS</v>
      </c>
      <c r="C554" t="s">
        <v>749</v>
      </c>
      <c r="D554" t="s">
        <v>965</v>
      </c>
      <c r="E554" t="s">
        <v>686</v>
      </c>
      <c r="F554" t="s">
        <v>687</v>
      </c>
      <c r="G554" t="s">
        <v>752</v>
      </c>
      <c r="H554">
        <v>318</v>
      </c>
      <c r="I554">
        <v>54.660400000000003</v>
      </c>
      <c r="J554">
        <v>73.550299999999993</v>
      </c>
      <c r="K554">
        <v>18.889900000000001</v>
      </c>
      <c r="L554">
        <v>224</v>
      </c>
      <c r="M554">
        <v>27</v>
      </c>
      <c r="N554">
        <v>67</v>
      </c>
      <c r="O554">
        <v>75.472899999999996</v>
      </c>
      <c r="P554">
        <v>14.6617</v>
      </c>
      <c r="Q554">
        <v>16.930599999999998</v>
      </c>
    </row>
    <row r="555" spans="1:17" x14ac:dyDescent="0.25">
      <c r="A555" t="str">
        <f>IF(C555&amp;G555&amp;D555&lt;&gt;'Funnel setup'!$K$3&amp;'Funnel setup'!$K$4&amp;'Funnel setup'!$K$6,".",IF(A554=".",1,A554+1))</f>
        <v>.</v>
      </c>
      <c r="B555" s="244" t="str">
        <f t="shared" si="8"/>
        <v>Hip Replacement PrimaryProviderUNIVERSITY HOSPITALS OF LEICESTER NHS TRUST (RWE)EQ VAS</v>
      </c>
      <c r="C555" t="s">
        <v>749</v>
      </c>
      <c r="D555" t="s">
        <v>965</v>
      </c>
      <c r="E555" t="s">
        <v>688</v>
      </c>
      <c r="F555" t="s">
        <v>689</v>
      </c>
      <c r="G555" t="s">
        <v>752</v>
      </c>
      <c r="H555">
        <v>101</v>
      </c>
      <c r="I555">
        <v>53.663400000000003</v>
      </c>
      <c r="J555">
        <v>70.445499999999996</v>
      </c>
      <c r="K555">
        <v>16.7822</v>
      </c>
      <c r="L555">
        <v>77</v>
      </c>
      <c r="M555">
        <v>3</v>
      </c>
      <c r="N555">
        <v>21</v>
      </c>
      <c r="O555">
        <v>73.596000000000004</v>
      </c>
      <c r="P555">
        <v>12.784700000000001</v>
      </c>
      <c r="Q555">
        <v>15.288500000000001</v>
      </c>
    </row>
    <row r="556" spans="1:17" x14ac:dyDescent="0.25">
      <c r="A556" t="str">
        <f>IF(C556&amp;G556&amp;D556&lt;&gt;'Funnel setup'!$K$3&amp;'Funnel setup'!$K$4&amp;'Funnel setup'!$K$6,".",IF(A555=".",1,A555+1))</f>
        <v>.</v>
      </c>
      <c r="B556" s="244" t="str">
        <f t="shared" si="8"/>
        <v>Hip Replacement PrimaryProviderUNIVERSITY HOSPITALS OF MORECAMBE BAY NHS FOUNDATION TRUST (RTX)EQ VAS</v>
      </c>
      <c r="C556" t="s">
        <v>749</v>
      </c>
      <c r="D556" t="s">
        <v>965</v>
      </c>
      <c r="E556" t="s">
        <v>690</v>
      </c>
      <c r="F556" t="s">
        <v>691</v>
      </c>
      <c r="G556" t="s">
        <v>752</v>
      </c>
      <c r="H556">
        <v>165</v>
      </c>
      <c r="I556">
        <v>59.157600000000002</v>
      </c>
      <c r="J556">
        <v>75.084800000000001</v>
      </c>
      <c r="K556">
        <v>15.927300000000001</v>
      </c>
      <c r="L556">
        <v>113</v>
      </c>
      <c r="M556">
        <v>13</v>
      </c>
      <c r="N556">
        <v>39</v>
      </c>
      <c r="O556">
        <v>75.571899999999999</v>
      </c>
      <c r="P556">
        <v>14.7606</v>
      </c>
      <c r="Q556">
        <v>16.192699999999999</v>
      </c>
    </row>
    <row r="557" spans="1:17" x14ac:dyDescent="0.25">
      <c r="A557" t="str">
        <f>IF(C557&amp;G557&amp;D557&lt;&gt;'Funnel setup'!$K$3&amp;'Funnel setup'!$K$4&amp;'Funnel setup'!$K$6,".",IF(A556=".",1,A556+1))</f>
        <v>.</v>
      </c>
      <c r="B557" s="244" t="str">
        <f t="shared" si="8"/>
        <v>Hip Replacement PrimaryProviderUNIVERSITY HOSPITALS OF NORTH MIDLANDS NHS TRUST (RJE)EQ VAS</v>
      </c>
      <c r="C557" t="s">
        <v>749</v>
      </c>
      <c r="D557" t="s">
        <v>965</v>
      </c>
      <c r="E557" t="s">
        <v>692</v>
      </c>
      <c r="F557" t="s">
        <v>693</v>
      </c>
      <c r="G557" t="s">
        <v>752</v>
      </c>
      <c r="H557">
        <v>28</v>
      </c>
      <c r="I557">
        <v>58.428600000000003</v>
      </c>
      <c r="J557">
        <v>77.607100000000003</v>
      </c>
      <c r="K557">
        <v>19.178599999999999</v>
      </c>
      <c r="L557">
        <v>22</v>
      </c>
      <c r="M557">
        <v>2</v>
      </c>
      <c r="N557">
        <v>4</v>
      </c>
      <c r="O557" t="s">
        <v>127</v>
      </c>
      <c r="P557" t="s">
        <v>127</v>
      </c>
      <c r="Q557" t="s">
        <v>127</v>
      </c>
    </row>
    <row r="558" spans="1:17" x14ac:dyDescent="0.25">
      <c r="A558" t="str">
        <f>IF(C558&amp;G558&amp;D558&lt;&gt;'Funnel setup'!$K$3&amp;'Funnel setup'!$K$4&amp;'Funnel setup'!$K$6,".",IF(A557=".",1,A557+1))</f>
        <v>.</v>
      </c>
      <c r="B558" s="244" t="str">
        <f t="shared" si="8"/>
        <v>Hip Replacement PrimaryProviderUNIVERSITY HOSPITALS PLYMOUTH NHS TRUST (RK9)EQ VAS</v>
      </c>
      <c r="C558" t="s">
        <v>749</v>
      </c>
      <c r="D558" t="s">
        <v>965</v>
      </c>
      <c r="E558" t="s">
        <v>694</v>
      </c>
      <c r="F558" t="s">
        <v>695</v>
      </c>
      <c r="G558" t="s">
        <v>752</v>
      </c>
      <c r="H558">
        <v>5</v>
      </c>
      <c r="I558">
        <v>52</v>
      </c>
      <c r="J558">
        <v>67.2</v>
      </c>
      <c r="K558">
        <v>15.2</v>
      </c>
      <c r="L558">
        <v>2</v>
      </c>
      <c r="M558">
        <v>2</v>
      </c>
      <c r="N558">
        <v>1</v>
      </c>
      <c r="O558" t="s">
        <v>127</v>
      </c>
      <c r="P558" t="s">
        <v>127</v>
      </c>
      <c r="Q558" t="s">
        <v>127</v>
      </c>
    </row>
    <row r="559" spans="1:17" x14ac:dyDescent="0.25">
      <c r="A559" t="str">
        <f>IF(C559&amp;G559&amp;D559&lt;&gt;'Funnel setup'!$K$3&amp;'Funnel setup'!$K$4&amp;'Funnel setup'!$K$6,".",IF(A558=".",1,A558+1))</f>
        <v>.</v>
      </c>
      <c r="B559" s="244" t="str">
        <f t="shared" si="8"/>
        <v>Hip Replacement PrimaryProviderUNIVERSITY HOSPITALS SUSSEX NHS FOUNDATION TRUST (RYR)EQ VAS</v>
      </c>
      <c r="C559" t="s">
        <v>749</v>
      </c>
      <c r="D559" t="s">
        <v>965</v>
      </c>
      <c r="E559" t="s">
        <v>696</v>
      </c>
      <c r="F559" t="s">
        <v>697</v>
      </c>
      <c r="G559" t="s">
        <v>752</v>
      </c>
      <c r="H559">
        <v>130</v>
      </c>
      <c r="I559">
        <v>60.6462</v>
      </c>
      <c r="J559">
        <v>71.107699999999994</v>
      </c>
      <c r="K559">
        <v>10.461499999999999</v>
      </c>
      <c r="L559">
        <v>79</v>
      </c>
      <c r="M559">
        <v>12</v>
      </c>
      <c r="N559">
        <v>39</v>
      </c>
      <c r="O559">
        <v>71.595200000000006</v>
      </c>
      <c r="P559">
        <v>10.783899999999999</v>
      </c>
      <c r="Q559">
        <v>18.866399999999999</v>
      </c>
    </row>
    <row r="560" spans="1:17" x14ac:dyDescent="0.25">
      <c r="A560" t="str">
        <f>IF(C560&amp;G560&amp;D560&lt;&gt;'Funnel setup'!$K$3&amp;'Funnel setup'!$K$4&amp;'Funnel setup'!$K$6,".",IF(A559=".",1,A559+1))</f>
        <v>.</v>
      </c>
      <c r="B560" s="244" t="str">
        <f t="shared" si="8"/>
        <v>Hip Replacement PrimaryProviderWALSALL HEALTHCARE NHS TRUST (RBK)EQ VAS</v>
      </c>
      <c r="C560" t="s">
        <v>749</v>
      </c>
      <c r="D560" t="s">
        <v>965</v>
      </c>
      <c r="E560" t="s">
        <v>698</v>
      </c>
      <c r="F560" t="s">
        <v>699</v>
      </c>
      <c r="G560" t="s">
        <v>752</v>
      </c>
      <c r="H560">
        <v>13</v>
      </c>
      <c r="I560">
        <v>64.923100000000005</v>
      </c>
      <c r="J560">
        <v>66.615399999999994</v>
      </c>
      <c r="K560">
        <v>1.69231</v>
      </c>
      <c r="L560">
        <v>8</v>
      </c>
      <c r="M560">
        <v>0</v>
      </c>
      <c r="N560">
        <v>5</v>
      </c>
      <c r="O560" t="s">
        <v>127</v>
      </c>
      <c r="P560" t="s">
        <v>127</v>
      </c>
      <c r="Q560" t="s">
        <v>127</v>
      </c>
    </row>
    <row r="561" spans="1:17" x14ac:dyDescent="0.25">
      <c r="A561" t="str">
        <f>IF(C561&amp;G561&amp;D561&lt;&gt;'Funnel setup'!$K$3&amp;'Funnel setup'!$K$4&amp;'Funnel setup'!$K$6,".",IF(A560=".",1,A560+1))</f>
        <v>.</v>
      </c>
      <c r="B561" s="244" t="str">
        <f t="shared" si="8"/>
        <v>Hip Replacement PrimaryProviderWARRINGTON AND HALTON TEACHING HOSPITALS NHS FOUNDATION TRUST (RWW)EQ VAS</v>
      </c>
      <c r="C561" t="s">
        <v>749</v>
      </c>
      <c r="D561" t="s">
        <v>965</v>
      </c>
      <c r="E561" t="s">
        <v>700</v>
      </c>
      <c r="F561" t="s">
        <v>701</v>
      </c>
      <c r="G561" t="s">
        <v>752</v>
      </c>
      <c r="H561">
        <v>28</v>
      </c>
      <c r="I561">
        <v>55.428600000000003</v>
      </c>
      <c r="J561">
        <v>76.428600000000003</v>
      </c>
      <c r="K561">
        <v>21</v>
      </c>
      <c r="L561">
        <v>21</v>
      </c>
      <c r="M561">
        <v>1</v>
      </c>
      <c r="N561">
        <v>6</v>
      </c>
      <c r="O561" t="s">
        <v>127</v>
      </c>
      <c r="P561" t="s">
        <v>127</v>
      </c>
      <c r="Q561" t="s">
        <v>127</v>
      </c>
    </row>
    <row r="562" spans="1:17" x14ac:dyDescent="0.25">
      <c r="A562" t="str">
        <f>IF(C562&amp;G562&amp;D562&lt;&gt;'Funnel setup'!$K$3&amp;'Funnel setup'!$K$4&amp;'Funnel setup'!$K$6,".",IF(A561=".",1,A561+1))</f>
        <v>.</v>
      </c>
      <c r="B562" s="244" t="str">
        <f t="shared" si="8"/>
        <v>Hip Replacement PrimaryProviderWEST HERTFORDSHIRE TEACHING HOSPITALS NHS TRUST (RWG)EQ VAS</v>
      </c>
      <c r="C562" t="s">
        <v>749</v>
      </c>
      <c r="D562" t="s">
        <v>965</v>
      </c>
      <c r="E562" t="s">
        <v>702</v>
      </c>
      <c r="F562" t="s">
        <v>703</v>
      </c>
      <c r="G562" t="s">
        <v>752</v>
      </c>
      <c r="H562">
        <v>79</v>
      </c>
      <c r="I562">
        <v>57.151899999999998</v>
      </c>
      <c r="J562">
        <v>75.531599999999997</v>
      </c>
      <c r="K562">
        <v>18.3797</v>
      </c>
      <c r="L562">
        <v>61</v>
      </c>
      <c r="M562">
        <v>3</v>
      </c>
      <c r="N562">
        <v>15</v>
      </c>
      <c r="O562">
        <v>76.049800000000005</v>
      </c>
      <c r="P562">
        <v>15.2385</v>
      </c>
      <c r="Q562">
        <v>18.895499999999998</v>
      </c>
    </row>
    <row r="563" spans="1:17" x14ac:dyDescent="0.25">
      <c r="A563" t="str">
        <f>IF(C563&amp;G563&amp;D563&lt;&gt;'Funnel setup'!$K$3&amp;'Funnel setup'!$K$4&amp;'Funnel setup'!$K$6,".",IF(A562=".",1,A562+1))</f>
        <v>.</v>
      </c>
      <c r="B563" s="244" t="str">
        <f t="shared" si="8"/>
        <v>Hip Replacement PrimaryProviderWEST MIDLANDS HOSPITAL (NVC21)EQ VAS</v>
      </c>
      <c r="C563" t="s">
        <v>749</v>
      </c>
      <c r="D563" t="s">
        <v>965</v>
      </c>
      <c r="E563" t="s">
        <v>704</v>
      </c>
      <c r="F563" t="s">
        <v>705</v>
      </c>
      <c r="G563" t="s">
        <v>752</v>
      </c>
      <c r="H563">
        <v>77</v>
      </c>
      <c r="I563">
        <v>60.584400000000002</v>
      </c>
      <c r="J563">
        <v>78.480500000000006</v>
      </c>
      <c r="K563">
        <v>17.896100000000001</v>
      </c>
      <c r="L563">
        <v>62</v>
      </c>
      <c r="M563">
        <v>4</v>
      </c>
      <c r="N563">
        <v>11</v>
      </c>
      <c r="O563">
        <v>79.322500000000005</v>
      </c>
      <c r="P563">
        <v>18.511199999999999</v>
      </c>
      <c r="Q563">
        <v>14.240399999999999</v>
      </c>
    </row>
    <row r="564" spans="1:17" x14ac:dyDescent="0.25">
      <c r="A564" t="str">
        <f>IF(C564&amp;G564&amp;D564&lt;&gt;'Funnel setup'!$K$3&amp;'Funnel setup'!$K$4&amp;'Funnel setup'!$K$6,".",IF(A563=".",1,A563+1))</f>
        <v>.</v>
      </c>
      <c r="B564" s="244" t="str">
        <f t="shared" si="8"/>
        <v>Hip Replacement PrimaryProviderWEST SUFFOLK NHS FOUNDATION TRUST (RGR)EQ VAS</v>
      </c>
      <c r="C564" t="s">
        <v>749</v>
      </c>
      <c r="D564" t="s">
        <v>965</v>
      </c>
      <c r="E564" t="s">
        <v>706</v>
      </c>
      <c r="F564" t="s">
        <v>707</v>
      </c>
      <c r="G564" t="s">
        <v>752</v>
      </c>
      <c r="H564">
        <v>115</v>
      </c>
      <c r="I564">
        <v>54.939100000000003</v>
      </c>
      <c r="J564">
        <v>72.643500000000003</v>
      </c>
      <c r="K564">
        <v>17.7043</v>
      </c>
      <c r="L564">
        <v>74</v>
      </c>
      <c r="M564">
        <v>11</v>
      </c>
      <c r="N564">
        <v>30</v>
      </c>
      <c r="O564">
        <v>72.461399999999998</v>
      </c>
      <c r="P564">
        <v>11.6501</v>
      </c>
      <c r="Q564">
        <v>18.992699999999999</v>
      </c>
    </row>
    <row r="565" spans="1:17" x14ac:dyDescent="0.25">
      <c r="A565" t="str">
        <f>IF(C565&amp;G565&amp;D565&lt;&gt;'Funnel setup'!$K$3&amp;'Funnel setup'!$K$4&amp;'Funnel setup'!$K$6,".",IF(A564=".",1,A564+1))</f>
        <v>.</v>
      </c>
      <c r="B565" s="244" t="str">
        <f t="shared" si="8"/>
        <v>Hip Replacement PrimaryProviderWINFIELD HOSPITAL (NVC22)EQ VAS</v>
      </c>
      <c r="C565" t="s">
        <v>749</v>
      </c>
      <c r="D565" t="s">
        <v>965</v>
      </c>
      <c r="E565" t="s">
        <v>710</v>
      </c>
      <c r="F565" t="s">
        <v>711</v>
      </c>
      <c r="G565" t="s">
        <v>752</v>
      </c>
      <c r="H565">
        <v>45</v>
      </c>
      <c r="I565">
        <v>56.444400000000002</v>
      </c>
      <c r="J565">
        <v>76.755600000000001</v>
      </c>
      <c r="K565">
        <v>20.3111</v>
      </c>
      <c r="L565">
        <v>35</v>
      </c>
      <c r="M565">
        <v>7</v>
      </c>
      <c r="N565">
        <v>3</v>
      </c>
      <c r="O565">
        <v>77.072100000000006</v>
      </c>
      <c r="P565">
        <v>16.2608</v>
      </c>
      <c r="Q565">
        <v>14.6035</v>
      </c>
    </row>
    <row r="566" spans="1:17" x14ac:dyDescent="0.25">
      <c r="A566" t="str">
        <f>IF(C566&amp;G566&amp;D566&lt;&gt;'Funnel setup'!$K$3&amp;'Funnel setup'!$K$4&amp;'Funnel setup'!$K$6,".",IF(A565=".",1,A565+1))</f>
        <v>.</v>
      </c>
      <c r="B566" s="244" t="str">
        <f t="shared" si="8"/>
        <v>Hip Replacement PrimaryProviderWINTERBOURNE HOSPITAL (NT443)EQ VAS</v>
      </c>
      <c r="C566" t="s">
        <v>749</v>
      </c>
      <c r="D566" t="s">
        <v>965</v>
      </c>
      <c r="E566" t="s">
        <v>712</v>
      </c>
      <c r="F566" t="s">
        <v>713</v>
      </c>
      <c r="G566" t="s">
        <v>752</v>
      </c>
      <c r="H566">
        <v>46</v>
      </c>
      <c r="I566">
        <v>63.912999999999997</v>
      </c>
      <c r="J566">
        <v>81.347800000000007</v>
      </c>
      <c r="K566">
        <v>17.434799999999999</v>
      </c>
      <c r="L566">
        <v>36</v>
      </c>
      <c r="M566">
        <v>4</v>
      </c>
      <c r="N566">
        <v>6</v>
      </c>
      <c r="O566">
        <v>78.988100000000003</v>
      </c>
      <c r="P566">
        <v>18.1769</v>
      </c>
      <c r="Q566">
        <v>15.7525</v>
      </c>
    </row>
    <row r="567" spans="1:17" x14ac:dyDescent="0.25">
      <c r="A567" t="str">
        <f>IF(C567&amp;G567&amp;D567&lt;&gt;'Funnel setup'!$K$3&amp;'Funnel setup'!$K$4&amp;'Funnel setup'!$K$6,".",IF(A566=".",1,A566+1))</f>
        <v>.</v>
      </c>
      <c r="B567" s="244" t="str">
        <f t="shared" si="8"/>
        <v>Hip Replacement PrimaryProviderWIRRAL UNIVERSITY TEACHING HOSPITAL NHS FOUNDATION TRUST (RBL)EQ VAS</v>
      </c>
      <c r="C567" t="s">
        <v>749</v>
      </c>
      <c r="D567" t="s">
        <v>965</v>
      </c>
      <c r="E567" t="s">
        <v>714</v>
      </c>
      <c r="F567" t="s">
        <v>715</v>
      </c>
      <c r="G567" t="s">
        <v>752</v>
      </c>
      <c r="H567">
        <v>97</v>
      </c>
      <c r="I567">
        <v>59.340200000000003</v>
      </c>
      <c r="J567">
        <v>76.030900000000003</v>
      </c>
      <c r="K567">
        <v>16.6907</v>
      </c>
      <c r="L567">
        <v>69</v>
      </c>
      <c r="M567">
        <v>8</v>
      </c>
      <c r="N567">
        <v>20</v>
      </c>
      <c r="O567">
        <v>76.328999999999994</v>
      </c>
      <c r="P567">
        <v>15.5177</v>
      </c>
      <c r="Q567">
        <v>15.4998</v>
      </c>
    </row>
    <row r="568" spans="1:17" x14ac:dyDescent="0.25">
      <c r="A568" t="str">
        <f>IF(C568&amp;G568&amp;D568&lt;&gt;'Funnel setup'!$K$3&amp;'Funnel setup'!$K$4&amp;'Funnel setup'!$K$6,".",IF(A567=".",1,A567+1))</f>
        <v>.</v>
      </c>
      <c r="B568" s="244" t="str">
        <f t="shared" si="8"/>
        <v>Hip Replacement PrimaryProviderWOODLAND HOSPITAL (NVC23)EQ VAS</v>
      </c>
      <c r="C568" t="s">
        <v>749</v>
      </c>
      <c r="D568" t="s">
        <v>965</v>
      </c>
      <c r="E568" t="s">
        <v>716</v>
      </c>
      <c r="F568" t="s">
        <v>717</v>
      </c>
      <c r="G568" t="s">
        <v>752</v>
      </c>
      <c r="H568">
        <v>75</v>
      </c>
      <c r="I568">
        <v>57.293300000000002</v>
      </c>
      <c r="J568">
        <v>74.56</v>
      </c>
      <c r="K568">
        <v>17.2667</v>
      </c>
      <c r="L568">
        <v>55</v>
      </c>
      <c r="M568">
        <v>7</v>
      </c>
      <c r="N568">
        <v>13</v>
      </c>
      <c r="O568">
        <v>74.287000000000006</v>
      </c>
      <c r="P568">
        <v>13.4757</v>
      </c>
      <c r="Q568">
        <v>15.603899999999999</v>
      </c>
    </row>
    <row r="569" spans="1:17" x14ac:dyDescent="0.25">
      <c r="A569" t="str">
        <f>IF(C569&amp;G569&amp;D569&lt;&gt;'Funnel setup'!$K$3&amp;'Funnel setup'!$K$4&amp;'Funnel setup'!$K$6,".",IF(A568=".",1,A568+1))</f>
        <v>.</v>
      </c>
      <c r="B569" s="244" t="str">
        <f t="shared" si="8"/>
        <v>Hip Replacement PrimaryProviderWOODLANDS HOSPITAL (NT457)EQ VAS</v>
      </c>
      <c r="C569" t="s">
        <v>749</v>
      </c>
      <c r="D569" t="s">
        <v>965</v>
      </c>
      <c r="E569" t="s">
        <v>718</v>
      </c>
      <c r="F569" t="s">
        <v>719</v>
      </c>
      <c r="G569" t="s">
        <v>752</v>
      </c>
      <c r="H569">
        <v>66</v>
      </c>
      <c r="I569">
        <v>63.530299999999997</v>
      </c>
      <c r="J569">
        <v>78.833299999999994</v>
      </c>
      <c r="K569">
        <v>15.303000000000001</v>
      </c>
      <c r="L569">
        <v>43</v>
      </c>
      <c r="M569">
        <v>10</v>
      </c>
      <c r="N569">
        <v>13</v>
      </c>
      <c r="O569">
        <v>74.843699999999998</v>
      </c>
      <c r="P569">
        <v>14.032400000000001</v>
      </c>
      <c r="Q569">
        <v>16.0227</v>
      </c>
    </row>
    <row r="570" spans="1:17" x14ac:dyDescent="0.25">
      <c r="A570" t="str">
        <f>IF(C570&amp;G570&amp;D570&lt;&gt;'Funnel setup'!$K$3&amp;'Funnel setup'!$K$4&amp;'Funnel setup'!$K$6,".",IF(A569=".",1,A569+1))</f>
        <v>.</v>
      </c>
      <c r="B570" s="244" t="str">
        <f t="shared" si="8"/>
        <v>Hip Replacement PrimaryProviderWOODTHORPE HOSPITAL (NVC40)EQ VAS</v>
      </c>
      <c r="C570" t="s">
        <v>749</v>
      </c>
      <c r="D570" t="s">
        <v>965</v>
      </c>
      <c r="E570" t="s">
        <v>720</v>
      </c>
      <c r="F570" t="s">
        <v>721</v>
      </c>
      <c r="G570" t="s">
        <v>752</v>
      </c>
      <c r="H570">
        <v>87</v>
      </c>
      <c r="I570">
        <v>57.264400000000002</v>
      </c>
      <c r="J570">
        <v>74.206900000000005</v>
      </c>
      <c r="K570">
        <v>16.942499999999999</v>
      </c>
      <c r="L570">
        <v>65</v>
      </c>
      <c r="M570">
        <v>8</v>
      </c>
      <c r="N570">
        <v>14</v>
      </c>
      <c r="O570">
        <v>73.478200000000001</v>
      </c>
      <c r="P570">
        <v>12.6669</v>
      </c>
      <c r="Q570">
        <v>15.773099999999999</v>
      </c>
    </row>
    <row r="571" spans="1:17" x14ac:dyDescent="0.25">
      <c r="A571" t="str">
        <f>IF(C571&amp;G571&amp;D571&lt;&gt;'Funnel setup'!$K$3&amp;'Funnel setup'!$K$4&amp;'Funnel setup'!$K$6,".",IF(A570=".",1,A570+1))</f>
        <v>.</v>
      </c>
      <c r="B571" s="244" t="str">
        <f t="shared" si="8"/>
        <v>Hip Replacement PrimaryProviderWORCESTERSHIRE ACUTE HOSPITALS NHS TRUST (RWP)EQ VAS</v>
      </c>
      <c r="C571" t="s">
        <v>749</v>
      </c>
      <c r="D571" t="s">
        <v>965</v>
      </c>
      <c r="E571" t="s">
        <v>722</v>
      </c>
      <c r="F571" t="s">
        <v>723</v>
      </c>
      <c r="G571" t="s">
        <v>752</v>
      </c>
      <c r="H571">
        <v>51</v>
      </c>
      <c r="I571">
        <v>55.097999999999999</v>
      </c>
      <c r="J571">
        <v>71.274500000000003</v>
      </c>
      <c r="K571">
        <v>16.176500000000001</v>
      </c>
      <c r="L571">
        <v>36</v>
      </c>
      <c r="M571">
        <v>5</v>
      </c>
      <c r="N571">
        <v>10</v>
      </c>
      <c r="O571">
        <v>76.068799999999996</v>
      </c>
      <c r="P571">
        <v>15.2576</v>
      </c>
      <c r="Q571">
        <v>15.611499999999999</v>
      </c>
    </row>
    <row r="572" spans="1:17" x14ac:dyDescent="0.25">
      <c r="A572" t="str">
        <f>IF(C572&amp;G572&amp;D572&lt;&gt;'Funnel setup'!$K$3&amp;'Funnel setup'!$K$4&amp;'Funnel setup'!$K$6,".",IF(A571=".",1,A571+1))</f>
        <v>.</v>
      </c>
      <c r="B572" s="244" t="str">
        <f t="shared" si="8"/>
        <v>Hip Replacement PrimaryProviderWRIGHTINGTON, WIGAN AND LEIGH NHS FOUNDATION TRUST (RRF)EQ VAS</v>
      </c>
      <c r="C572" t="s">
        <v>749</v>
      </c>
      <c r="D572" t="s">
        <v>965</v>
      </c>
      <c r="E572" t="s">
        <v>724</v>
      </c>
      <c r="F572" t="s">
        <v>725</v>
      </c>
      <c r="G572" t="s">
        <v>752</v>
      </c>
      <c r="H572">
        <v>9</v>
      </c>
      <c r="I572">
        <v>58.222200000000001</v>
      </c>
      <c r="J572">
        <v>83.111099999999993</v>
      </c>
      <c r="K572">
        <v>24.8889</v>
      </c>
      <c r="L572">
        <v>6</v>
      </c>
      <c r="M572">
        <v>1</v>
      </c>
      <c r="N572">
        <v>2</v>
      </c>
      <c r="O572" t="s">
        <v>127</v>
      </c>
      <c r="P572" t="s">
        <v>127</v>
      </c>
      <c r="Q572" t="s">
        <v>127</v>
      </c>
    </row>
    <row r="573" spans="1:17" x14ac:dyDescent="0.25">
      <c r="A573" t="str">
        <f>IF(C573&amp;G573&amp;D573&lt;&gt;'Funnel setup'!$K$3&amp;'Funnel setup'!$K$4&amp;'Funnel setup'!$K$6,".",IF(A572=".",1,A572+1))</f>
        <v>.</v>
      </c>
      <c r="B573" s="244" t="str">
        <f t="shared" si="8"/>
        <v>Hip Replacement PrimaryProviderWYE VALLEY NHS TRUST (RLQ)EQ VAS</v>
      </c>
      <c r="C573" t="s">
        <v>749</v>
      </c>
      <c r="D573" t="s">
        <v>965</v>
      </c>
      <c r="E573" t="s">
        <v>726</v>
      </c>
      <c r="F573" t="s">
        <v>727</v>
      </c>
      <c r="G573" t="s">
        <v>752</v>
      </c>
      <c r="H573">
        <v>20</v>
      </c>
      <c r="I573">
        <v>54.45</v>
      </c>
      <c r="J573">
        <v>76.8</v>
      </c>
      <c r="K573">
        <v>22.35</v>
      </c>
      <c r="L573">
        <v>17</v>
      </c>
      <c r="M573">
        <v>3</v>
      </c>
      <c r="N573">
        <v>0</v>
      </c>
      <c r="O573" t="s">
        <v>127</v>
      </c>
      <c r="P573" t="s">
        <v>127</v>
      </c>
      <c r="Q573" t="s">
        <v>127</v>
      </c>
    </row>
    <row r="574" spans="1:17" x14ac:dyDescent="0.25">
      <c r="A574" t="str">
        <f>IF(C574&amp;G574&amp;D574&lt;&gt;'Funnel setup'!$K$3&amp;'Funnel setup'!$K$4&amp;'Funnel setup'!$K$6,".",IF(A573=".",1,A573+1))</f>
        <v>.</v>
      </c>
      <c r="B574" s="244" t="str">
        <f t="shared" si="8"/>
        <v>Hip Replacement PrimaryProviderYORK AND SCARBOROUGH TEACHING HOSPITALS NHS FOUNDATION TRUST (RCB)EQ VAS</v>
      </c>
      <c r="C574" t="s">
        <v>749</v>
      </c>
      <c r="D574" t="s">
        <v>965</v>
      </c>
      <c r="E574" t="s">
        <v>730</v>
      </c>
      <c r="F574" t="s">
        <v>731</v>
      </c>
      <c r="G574" t="s">
        <v>752</v>
      </c>
      <c r="H574">
        <v>1</v>
      </c>
      <c r="I574">
        <v>70</v>
      </c>
      <c r="J574">
        <v>70</v>
      </c>
      <c r="K574">
        <v>0</v>
      </c>
      <c r="L574">
        <v>0</v>
      </c>
      <c r="M574">
        <v>1</v>
      </c>
      <c r="N574">
        <v>0</v>
      </c>
      <c r="O574" t="s">
        <v>127</v>
      </c>
      <c r="P574" t="s">
        <v>127</v>
      </c>
      <c r="Q574" t="s">
        <v>127</v>
      </c>
    </row>
    <row r="575" spans="1:17" x14ac:dyDescent="0.25">
      <c r="A575" t="str">
        <f>IF(C575&amp;G575&amp;D575&lt;&gt;'Funnel setup'!$K$3&amp;'Funnel setup'!$K$4&amp;'Funnel setup'!$K$6,".",IF(A574=".",1,A574+1))</f>
        <v>.</v>
      </c>
      <c r="B575" s="244" t="str">
        <f t="shared" si="8"/>
        <v>Hip Replacement PrimaryProviderSULIS HOSPITAL BATHEQ-5D Index</v>
      </c>
      <c r="C575" t="s">
        <v>749</v>
      </c>
      <c r="D575" t="s">
        <v>965</v>
      </c>
      <c r="E575" t="s">
        <v>732</v>
      </c>
      <c r="F575" t="s">
        <v>1325</v>
      </c>
      <c r="G575" t="s">
        <v>963</v>
      </c>
      <c r="H575">
        <v>36</v>
      </c>
      <c r="I575">
        <v>0.34949999999999998</v>
      </c>
      <c r="J575">
        <v>0.83625000000000005</v>
      </c>
      <c r="K575">
        <v>0.48675000000000002</v>
      </c>
      <c r="L575">
        <v>33</v>
      </c>
      <c r="M575">
        <v>2</v>
      </c>
      <c r="N575">
        <v>1</v>
      </c>
      <c r="O575">
        <v>0.82307799999999998</v>
      </c>
      <c r="P575">
        <v>0.49724000000000002</v>
      </c>
      <c r="Q575">
        <v>0.21415699999999999</v>
      </c>
    </row>
    <row r="576" spans="1:17" x14ac:dyDescent="0.25">
      <c r="A576" t="str">
        <f>IF(C576&amp;G576&amp;D576&lt;&gt;'Funnel setup'!$K$3&amp;'Funnel setup'!$K$4&amp;'Funnel setup'!$K$6,".",IF(A575=".",1,A575+1))</f>
        <v>.</v>
      </c>
      <c r="B576" s="244" t="str">
        <f t="shared" si="8"/>
        <v>Hip Replacement PrimaryProviderAIREDALE NHS FOUNDATION TRUST (RCF)EQ-5D Index</v>
      </c>
      <c r="C576" t="s">
        <v>749</v>
      </c>
      <c r="D576" t="s">
        <v>965</v>
      </c>
      <c r="E576" t="s">
        <v>125</v>
      </c>
      <c r="F576" t="s">
        <v>126</v>
      </c>
      <c r="G576" t="s">
        <v>963</v>
      </c>
      <c r="H576">
        <v>40</v>
      </c>
      <c r="I576">
        <v>0.32487500000000002</v>
      </c>
      <c r="J576">
        <v>0.83774999999999999</v>
      </c>
      <c r="K576">
        <v>0.51287499999999997</v>
      </c>
      <c r="L576">
        <v>38</v>
      </c>
      <c r="M576">
        <v>1</v>
      </c>
      <c r="N576">
        <v>1</v>
      </c>
      <c r="O576">
        <v>0.83130400000000004</v>
      </c>
      <c r="P576">
        <v>0.50546599999999997</v>
      </c>
      <c r="Q576">
        <v>0.17096</v>
      </c>
    </row>
    <row r="577" spans="1:17" x14ac:dyDescent="0.25">
      <c r="A577" t="str">
        <f>IF(C577&amp;G577&amp;D577&lt;&gt;'Funnel setup'!$K$3&amp;'Funnel setup'!$K$4&amp;'Funnel setup'!$K$6,".",IF(A576=".",1,A576+1))</f>
        <v>.</v>
      </c>
      <c r="B577" s="244" t="str">
        <f t="shared" si="8"/>
        <v>Hip Replacement PrimaryProviderALEXANDRA HOSPITAL (NT401)EQ-5D Index</v>
      </c>
      <c r="C577" t="s">
        <v>749</v>
      </c>
      <c r="D577" t="s">
        <v>965</v>
      </c>
      <c r="E577" t="s">
        <v>130</v>
      </c>
      <c r="F577" t="s">
        <v>131</v>
      </c>
      <c r="G577" t="s">
        <v>963</v>
      </c>
      <c r="H577">
        <v>30</v>
      </c>
      <c r="I577">
        <v>0.37283300000000003</v>
      </c>
      <c r="J577">
        <v>0.79490000000000005</v>
      </c>
      <c r="K577">
        <v>0.42206700000000003</v>
      </c>
      <c r="L577">
        <v>28</v>
      </c>
      <c r="M577">
        <v>1</v>
      </c>
      <c r="N577">
        <v>1</v>
      </c>
      <c r="O577">
        <v>0.77164500000000003</v>
      </c>
      <c r="P577">
        <v>0.44580599999999998</v>
      </c>
      <c r="Q577">
        <v>0.216581</v>
      </c>
    </row>
    <row r="578" spans="1:17" x14ac:dyDescent="0.25">
      <c r="A578" t="str">
        <f>IF(C578&amp;G578&amp;D578&lt;&gt;'Funnel setup'!$K$3&amp;'Funnel setup'!$K$4&amp;'Funnel setup'!$K$6,".",IF(A577=".",1,A577+1))</f>
        <v>.</v>
      </c>
      <c r="B578" s="244" t="str">
        <f t="shared" ref="B578:B641" si="9">C578&amp;D578&amp;F578&amp;G578</f>
        <v>Hip Replacement PrimaryProviderASHFORD AND ST PETER'S HOSPITALS NHS FOUNDATION TRUST (RTK)EQ-5D Index</v>
      </c>
      <c r="C578" t="s">
        <v>749</v>
      </c>
      <c r="D578" t="s">
        <v>965</v>
      </c>
      <c r="E578" t="s">
        <v>132</v>
      </c>
      <c r="F578" t="s">
        <v>133</v>
      </c>
      <c r="G578" t="s">
        <v>963</v>
      </c>
      <c r="H578">
        <v>62</v>
      </c>
      <c r="I578">
        <v>0.37637100000000001</v>
      </c>
      <c r="J578">
        <v>0.82804800000000001</v>
      </c>
      <c r="K578">
        <v>0.451677</v>
      </c>
      <c r="L578">
        <v>55</v>
      </c>
      <c r="M578">
        <v>2</v>
      </c>
      <c r="N578">
        <v>5</v>
      </c>
      <c r="O578">
        <v>0.79738900000000001</v>
      </c>
      <c r="P578">
        <v>0.47155000000000002</v>
      </c>
      <c r="Q578">
        <v>0.187029</v>
      </c>
    </row>
    <row r="579" spans="1:17" x14ac:dyDescent="0.25">
      <c r="A579" t="str">
        <f>IF(C579&amp;G579&amp;D579&lt;&gt;'Funnel setup'!$K$3&amp;'Funnel setup'!$K$4&amp;'Funnel setup'!$K$6,".",IF(A578=".",1,A578+1))</f>
        <v>.</v>
      </c>
      <c r="B579" s="244" t="str">
        <f t="shared" si="9"/>
        <v>Hip Replacement PrimaryProviderASHTEAD HOSPITAL (NVC01)EQ-5D Index</v>
      </c>
      <c r="C579" t="s">
        <v>749</v>
      </c>
      <c r="D579" t="s">
        <v>965</v>
      </c>
      <c r="E579" t="s">
        <v>134</v>
      </c>
      <c r="F579" t="s">
        <v>135</v>
      </c>
      <c r="G579" t="s">
        <v>963</v>
      </c>
      <c r="H579">
        <v>12</v>
      </c>
      <c r="I579">
        <v>0.32574999999999998</v>
      </c>
      <c r="J579">
        <v>0.89866699999999999</v>
      </c>
      <c r="K579">
        <v>0.57291700000000001</v>
      </c>
      <c r="L579">
        <v>12</v>
      </c>
      <c r="M579">
        <v>0</v>
      </c>
      <c r="N579">
        <v>0</v>
      </c>
      <c r="O579" t="s">
        <v>127</v>
      </c>
      <c r="P579" t="s">
        <v>127</v>
      </c>
      <c r="Q579" t="s">
        <v>127</v>
      </c>
    </row>
    <row r="580" spans="1:17" x14ac:dyDescent="0.25">
      <c r="A580" t="str">
        <f>IF(C580&amp;G580&amp;D580&lt;&gt;'Funnel setup'!$K$3&amp;'Funnel setup'!$K$4&amp;'Funnel setup'!$K$6,".",IF(A579=".",1,A579+1))</f>
        <v>.</v>
      </c>
      <c r="B580" s="244" t="str">
        <f t="shared" si="9"/>
        <v>Hip Replacement PrimaryProviderBARKING, HAVERING AND REDBRIDGE UNIVERSITY HOSPITALS NHS TRUST (RF4)EQ-5D Index</v>
      </c>
      <c r="C580" t="s">
        <v>749</v>
      </c>
      <c r="D580" t="s">
        <v>965</v>
      </c>
      <c r="E580" t="s">
        <v>144</v>
      </c>
      <c r="F580" t="s">
        <v>145</v>
      </c>
      <c r="G580" t="s">
        <v>963</v>
      </c>
      <c r="H580">
        <v>49</v>
      </c>
      <c r="I580">
        <v>0.207367</v>
      </c>
      <c r="J580">
        <v>0.68844899999999998</v>
      </c>
      <c r="K580">
        <v>0.48108200000000001</v>
      </c>
      <c r="L580">
        <v>43</v>
      </c>
      <c r="M580">
        <v>4</v>
      </c>
      <c r="N580">
        <v>2</v>
      </c>
      <c r="O580">
        <v>0.73048999999999997</v>
      </c>
      <c r="P580">
        <v>0.40465099999999998</v>
      </c>
      <c r="Q580">
        <v>0.28077099999999999</v>
      </c>
    </row>
    <row r="581" spans="1:17" x14ac:dyDescent="0.25">
      <c r="A581" t="str">
        <f>IF(C581&amp;G581&amp;D581&lt;&gt;'Funnel setup'!$K$3&amp;'Funnel setup'!$K$4&amp;'Funnel setup'!$K$6,".",IF(A580=".",1,A580+1))</f>
        <v>.</v>
      </c>
      <c r="B581" s="244" t="str">
        <f t="shared" si="9"/>
        <v>Hip Replacement PrimaryProviderBARNSLEY HOSPITAL NHS FOUNDATION TRUST (RFF)EQ-5D Index</v>
      </c>
      <c r="C581" t="s">
        <v>749</v>
      </c>
      <c r="D581" t="s">
        <v>965</v>
      </c>
      <c r="E581" t="s">
        <v>146</v>
      </c>
      <c r="F581" t="s">
        <v>147</v>
      </c>
      <c r="G581" t="s">
        <v>963</v>
      </c>
      <c r="H581">
        <v>41</v>
      </c>
      <c r="I581">
        <v>0.237293</v>
      </c>
      <c r="J581">
        <v>0.71826800000000002</v>
      </c>
      <c r="K581">
        <v>0.48097600000000001</v>
      </c>
      <c r="L581">
        <v>38</v>
      </c>
      <c r="M581">
        <v>1</v>
      </c>
      <c r="N581">
        <v>2</v>
      </c>
      <c r="O581">
        <v>0.75911700000000004</v>
      </c>
      <c r="P581">
        <v>0.43327900000000003</v>
      </c>
      <c r="Q581">
        <v>0.155137</v>
      </c>
    </row>
    <row r="582" spans="1:17" x14ac:dyDescent="0.25">
      <c r="A582" t="str">
        <f>IF(C582&amp;G582&amp;D582&lt;&gt;'Funnel setup'!$K$3&amp;'Funnel setup'!$K$4&amp;'Funnel setup'!$K$6,".",IF(A581=".",1,A581+1))</f>
        <v>.</v>
      </c>
      <c r="B582" s="244" t="str">
        <f t="shared" si="9"/>
        <v>Hip Replacement PrimaryProviderBARTS HEALTH NHS TRUST (R1H)EQ-5D Index</v>
      </c>
      <c r="C582" t="s">
        <v>749</v>
      </c>
      <c r="D582" t="s">
        <v>965</v>
      </c>
      <c r="E582" t="s">
        <v>148</v>
      </c>
      <c r="F582" t="s">
        <v>149</v>
      </c>
      <c r="G582" t="s">
        <v>963</v>
      </c>
      <c r="H582">
        <v>38</v>
      </c>
      <c r="I582">
        <v>0.33494699999999999</v>
      </c>
      <c r="J582">
        <v>0.77871100000000004</v>
      </c>
      <c r="K582">
        <v>0.44376300000000002</v>
      </c>
      <c r="L582">
        <v>34</v>
      </c>
      <c r="M582">
        <v>2</v>
      </c>
      <c r="N582">
        <v>2</v>
      </c>
      <c r="O582">
        <v>0.78778599999999999</v>
      </c>
      <c r="P582">
        <v>0.46194800000000003</v>
      </c>
      <c r="Q582">
        <v>0.226906</v>
      </c>
    </row>
    <row r="583" spans="1:17" x14ac:dyDescent="0.25">
      <c r="A583" t="str">
        <f>IF(C583&amp;G583&amp;D583&lt;&gt;'Funnel setup'!$K$3&amp;'Funnel setup'!$K$4&amp;'Funnel setup'!$K$6,".",IF(A582=".",1,A582+1))</f>
        <v>.</v>
      </c>
      <c r="B583" s="244" t="str">
        <f t="shared" si="9"/>
        <v>Hip Replacement PrimaryProviderBATH CLINIC (NT402)EQ-5D Index</v>
      </c>
      <c r="C583" t="s">
        <v>749</v>
      </c>
      <c r="D583" t="s">
        <v>965</v>
      </c>
      <c r="E583" t="s">
        <v>152</v>
      </c>
      <c r="F583" t="s">
        <v>153</v>
      </c>
      <c r="G583" t="s">
        <v>963</v>
      </c>
      <c r="H583">
        <v>76</v>
      </c>
      <c r="I583">
        <v>0.47964499999999999</v>
      </c>
      <c r="J583">
        <v>0.83648699999999998</v>
      </c>
      <c r="K583">
        <v>0.35684199999999999</v>
      </c>
      <c r="L583">
        <v>67</v>
      </c>
      <c r="M583">
        <v>4</v>
      </c>
      <c r="N583">
        <v>5</v>
      </c>
      <c r="O583">
        <v>0.76510100000000003</v>
      </c>
      <c r="P583">
        <v>0.43926300000000001</v>
      </c>
      <c r="Q583">
        <v>0.18875600000000001</v>
      </c>
    </row>
    <row r="584" spans="1:17" x14ac:dyDescent="0.25">
      <c r="A584" t="str">
        <f>IF(C584&amp;G584&amp;D584&lt;&gt;'Funnel setup'!$K$3&amp;'Funnel setup'!$K$4&amp;'Funnel setup'!$K$6,".",IF(A583=".",1,A583+1))</f>
        <v>.</v>
      </c>
      <c r="B584" s="244" t="str">
        <f t="shared" si="9"/>
        <v>Hip Replacement PrimaryProviderBEARDWOOD HOSPITAL (NT403)EQ-5D Index</v>
      </c>
      <c r="C584" t="s">
        <v>749</v>
      </c>
      <c r="D584" t="s">
        <v>965</v>
      </c>
      <c r="E584" t="s">
        <v>154</v>
      </c>
      <c r="F584" t="s">
        <v>155</v>
      </c>
      <c r="G584" t="s">
        <v>963</v>
      </c>
      <c r="H584">
        <v>79</v>
      </c>
      <c r="I584">
        <v>0.42408899999999999</v>
      </c>
      <c r="J584">
        <v>0.83927799999999997</v>
      </c>
      <c r="K584">
        <v>0.41519</v>
      </c>
      <c r="L584">
        <v>75</v>
      </c>
      <c r="M584">
        <v>0</v>
      </c>
      <c r="N584">
        <v>4</v>
      </c>
      <c r="O584">
        <v>0.80413299999999999</v>
      </c>
      <c r="P584">
        <v>0.47829500000000003</v>
      </c>
      <c r="Q584">
        <v>0.20421700000000001</v>
      </c>
    </row>
    <row r="585" spans="1:17" x14ac:dyDescent="0.25">
      <c r="A585" t="str">
        <f>IF(C585&amp;G585&amp;D585&lt;&gt;'Funnel setup'!$K$3&amp;'Funnel setup'!$K$4&amp;'Funnel setup'!$K$6,".",IF(A584=".",1,A584+1))</f>
        <v>.</v>
      </c>
      <c r="B585" s="244" t="str">
        <f t="shared" si="9"/>
        <v>Hip Replacement PrimaryProviderBEAUMONT HOSPITAL (NT404)EQ-5D Index</v>
      </c>
      <c r="C585" t="s">
        <v>749</v>
      </c>
      <c r="D585" t="s">
        <v>965</v>
      </c>
      <c r="E585" t="s">
        <v>156</v>
      </c>
      <c r="F585" t="s">
        <v>157</v>
      </c>
      <c r="G585" t="s">
        <v>963</v>
      </c>
      <c r="H585">
        <v>13</v>
      </c>
      <c r="I585">
        <v>0.47353800000000001</v>
      </c>
      <c r="J585">
        <v>0.89238499999999998</v>
      </c>
      <c r="K585">
        <v>0.418846</v>
      </c>
      <c r="L585">
        <v>13</v>
      </c>
      <c r="M585">
        <v>0</v>
      </c>
      <c r="N585">
        <v>0</v>
      </c>
      <c r="O585" t="s">
        <v>127</v>
      </c>
      <c r="P585" t="s">
        <v>127</v>
      </c>
      <c r="Q585" t="s">
        <v>127</v>
      </c>
    </row>
    <row r="586" spans="1:17" x14ac:dyDescent="0.25">
      <c r="A586" t="str">
        <f>IF(C586&amp;G586&amp;D586&lt;&gt;'Funnel setup'!$K$3&amp;'Funnel setup'!$K$4&amp;'Funnel setup'!$K$6,".",IF(A585=".",1,A585+1))</f>
        <v>.</v>
      </c>
      <c r="B586" s="244" t="str">
        <f t="shared" si="9"/>
        <v>Hip Replacement PrimaryProviderBEDFORDSHIRE HOSPITALS NHS FOUNDATION TRUST (RC9)EQ-5D Index</v>
      </c>
      <c r="C586" t="s">
        <v>749</v>
      </c>
      <c r="D586" t="s">
        <v>965</v>
      </c>
      <c r="E586" t="s">
        <v>158</v>
      </c>
      <c r="F586" t="s">
        <v>159</v>
      </c>
      <c r="G586" t="s">
        <v>963</v>
      </c>
      <c r="H586">
        <v>121</v>
      </c>
      <c r="I586">
        <v>0.23852899999999999</v>
      </c>
      <c r="J586">
        <v>0.70176000000000005</v>
      </c>
      <c r="K586">
        <v>0.463231</v>
      </c>
      <c r="L586">
        <v>106</v>
      </c>
      <c r="M586">
        <v>8</v>
      </c>
      <c r="N586">
        <v>7</v>
      </c>
      <c r="O586">
        <v>0.73823399999999995</v>
      </c>
      <c r="P586">
        <v>0.41239500000000001</v>
      </c>
      <c r="Q586">
        <v>0.26423999999999997</v>
      </c>
    </row>
    <row r="587" spans="1:17" x14ac:dyDescent="0.25">
      <c r="A587" t="str">
        <f>IF(C587&amp;G587&amp;D587&lt;&gt;'Funnel setup'!$K$3&amp;'Funnel setup'!$K$4&amp;'Funnel setup'!$K$6,".",IF(A586=".",1,A586+1))</f>
        <v>.</v>
      </c>
      <c r="B587" s="244" t="str">
        <f t="shared" si="9"/>
        <v>Hip Replacement PrimaryProviderBENENDEN HOSPITAL (NWF01)EQ-5D Index</v>
      </c>
      <c r="C587" t="s">
        <v>749</v>
      </c>
      <c r="D587" t="s">
        <v>965</v>
      </c>
      <c r="E587" t="s">
        <v>160</v>
      </c>
      <c r="F587" t="s">
        <v>161</v>
      </c>
      <c r="G587" t="s">
        <v>963</v>
      </c>
      <c r="H587">
        <v>20</v>
      </c>
      <c r="I587">
        <v>0.36704999999999999</v>
      </c>
      <c r="J587">
        <v>0.74209999999999998</v>
      </c>
      <c r="K587">
        <v>0.37504999999999999</v>
      </c>
      <c r="L587">
        <v>19</v>
      </c>
      <c r="M587">
        <v>0</v>
      </c>
      <c r="N587">
        <v>1</v>
      </c>
      <c r="O587" t="s">
        <v>127</v>
      </c>
      <c r="P587" t="s">
        <v>127</v>
      </c>
      <c r="Q587" t="s">
        <v>127</v>
      </c>
    </row>
    <row r="588" spans="1:17" x14ac:dyDescent="0.25">
      <c r="A588" t="str">
        <f>IF(C588&amp;G588&amp;D588&lt;&gt;'Funnel setup'!$K$3&amp;'Funnel setup'!$K$4&amp;'Funnel setup'!$K$6,".",IF(A587=".",1,A587+1))</f>
        <v>.</v>
      </c>
      <c r="B588" s="244" t="str">
        <f t="shared" si="9"/>
        <v>Hip Replacement PrimaryProviderBISHOPS WOOD HOSPITAL (NT405)EQ-5D Index</v>
      </c>
      <c r="C588" t="s">
        <v>749</v>
      </c>
      <c r="D588" t="s">
        <v>965</v>
      </c>
      <c r="E588" t="s">
        <v>166</v>
      </c>
      <c r="F588" t="s">
        <v>167</v>
      </c>
      <c r="G588" t="s">
        <v>963</v>
      </c>
      <c r="H588">
        <v>3</v>
      </c>
      <c r="I588">
        <v>0.71399999999999997</v>
      </c>
      <c r="J588">
        <v>1</v>
      </c>
      <c r="K588">
        <v>0.28599999999999998</v>
      </c>
      <c r="L588">
        <v>3</v>
      </c>
      <c r="M588">
        <v>0</v>
      </c>
      <c r="N588">
        <v>0</v>
      </c>
      <c r="O588" t="s">
        <v>127</v>
      </c>
      <c r="P588" t="s">
        <v>127</v>
      </c>
      <c r="Q588" t="s">
        <v>127</v>
      </c>
    </row>
    <row r="589" spans="1:17" x14ac:dyDescent="0.25">
      <c r="A589" t="str">
        <f>IF(C589&amp;G589&amp;D589&lt;&gt;'Funnel setup'!$K$3&amp;'Funnel setup'!$K$4&amp;'Funnel setup'!$K$6,".",IF(A588=".",1,A588+1))</f>
        <v>.</v>
      </c>
      <c r="B589" s="244" t="str">
        <f t="shared" si="9"/>
        <v>Hip Replacement PrimaryProviderBLACKHEATH HOSPITAL (NT406)EQ-5D Index</v>
      </c>
      <c r="C589" t="s">
        <v>749</v>
      </c>
      <c r="D589" t="s">
        <v>965</v>
      </c>
      <c r="E589" t="s">
        <v>168</v>
      </c>
      <c r="F589" t="s">
        <v>169</v>
      </c>
      <c r="G589" t="s">
        <v>963</v>
      </c>
      <c r="H589">
        <v>13</v>
      </c>
      <c r="I589">
        <v>0.32938499999999998</v>
      </c>
      <c r="J589">
        <v>0.856846</v>
      </c>
      <c r="K589">
        <v>0.52746199999999999</v>
      </c>
      <c r="L589">
        <v>11</v>
      </c>
      <c r="M589">
        <v>2</v>
      </c>
      <c r="N589">
        <v>0</v>
      </c>
      <c r="O589" t="s">
        <v>127</v>
      </c>
      <c r="P589" t="s">
        <v>127</v>
      </c>
      <c r="Q589" t="s">
        <v>127</v>
      </c>
    </row>
    <row r="590" spans="1:17" x14ac:dyDescent="0.25">
      <c r="A590" t="str">
        <f>IF(C590&amp;G590&amp;D590&lt;&gt;'Funnel setup'!$K$3&amp;'Funnel setup'!$K$4&amp;'Funnel setup'!$K$6,".",IF(A589=".",1,A589+1))</f>
        <v>.</v>
      </c>
      <c r="B590" s="244" t="str">
        <f t="shared" si="9"/>
        <v>Hip Replacement PrimaryProviderBLACKPOOL TEACHING HOSPITALS NHS FOUNDATION TRUST (RXL)EQ-5D Index</v>
      </c>
      <c r="C590" t="s">
        <v>749</v>
      </c>
      <c r="D590" t="s">
        <v>965</v>
      </c>
      <c r="E590" t="s">
        <v>170</v>
      </c>
      <c r="F590" t="s">
        <v>171</v>
      </c>
      <c r="G590" t="s">
        <v>963</v>
      </c>
      <c r="H590">
        <v>55</v>
      </c>
      <c r="I590">
        <v>0.40500000000000003</v>
      </c>
      <c r="J590">
        <v>0.72774499999999998</v>
      </c>
      <c r="K590">
        <v>0.322745</v>
      </c>
      <c r="L590">
        <v>46</v>
      </c>
      <c r="M590">
        <v>3</v>
      </c>
      <c r="N590">
        <v>6</v>
      </c>
      <c r="O590">
        <v>0.74227100000000001</v>
      </c>
      <c r="P590">
        <v>0.416433</v>
      </c>
      <c r="Q590">
        <v>0.23838000000000001</v>
      </c>
    </row>
    <row r="591" spans="1:17" x14ac:dyDescent="0.25">
      <c r="A591" t="str">
        <f>IF(C591&amp;G591&amp;D591&lt;&gt;'Funnel setup'!$K$3&amp;'Funnel setup'!$K$4&amp;'Funnel setup'!$K$6,".",IF(A590=".",1,A590+1))</f>
        <v>.</v>
      </c>
      <c r="B591" s="244" t="str">
        <f t="shared" si="9"/>
        <v>Hip Replacement PrimaryProviderBOLTON NHS FOUNDATION TRUST (RMC)EQ-5D Index</v>
      </c>
      <c r="C591" t="s">
        <v>749</v>
      </c>
      <c r="D591" t="s">
        <v>965</v>
      </c>
      <c r="E591" t="s">
        <v>172</v>
      </c>
      <c r="F591" t="s">
        <v>173</v>
      </c>
      <c r="G591" t="s">
        <v>963</v>
      </c>
      <c r="H591">
        <v>40</v>
      </c>
      <c r="I591">
        <v>0.18429999999999999</v>
      </c>
      <c r="J591">
        <v>0.70427499999999998</v>
      </c>
      <c r="K591">
        <v>0.51997499999999997</v>
      </c>
      <c r="L591">
        <v>35</v>
      </c>
      <c r="M591">
        <v>1</v>
      </c>
      <c r="N591">
        <v>4</v>
      </c>
      <c r="O591">
        <v>0.76200000000000001</v>
      </c>
      <c r="P591">
        <v>0.43616199999999999</v>
      </c>
      <c r="Q591">
        <v>0.27329900000000001</v>
      </c>
    </row>
    <row r="592" spans="1:17" x14ac:dyDescent="0.25">
      <c r="A592" t="str">
        <f>IF(C592&amp;G592&amp;D592&lt;&gt;'Funnel setup'!$K$3&amp;'Funnel setup'!$K$4&amp;'Funnel setup'!$K$6,".",IF(A591=".",1,A591+1))</f>
        <v>.</v>
      </c>
      <c r="B592" s="244" t="str">
        <f t="shared" si="9"/>
        <v>Hip Replacement PrimaryProviderBRADFORD TEACHING HOSPITALS NHS FOUNDATION TRUST (RAE)EQ-5D Index</v>
      </c>
      <c r="C592" t="s">
        <v>749</v>
      </c>
      <c r="D592" t="s">
        <v>965</v>
      </c>
      <c r="E592" t="s">
        <v>174</v>
      </c>
      <c r="F592" t="s">
        <v>175</v>
      </c>
      <c r="G592" t="s">
        <v>963</v>
      </c>
      <c r="H592">
        <v>2</v>
      </c>
      <c r="I592">
        <v>-1.55E-2</v>
      </c>
      <c r="J592">
        <v>0.75800000000000001</v>
      </c>
      <c r="K592">
        <v>0.77349999999999997</v>
      </c>
      <c r="L592">
        <v>2</v>
      </c>
      <c r="M592">
        <v>0</v>
      </c>
      <c r="N592">
        <v>0</v>
      </c>
      <c r="O592" t="s">
        <v>127</v>
      </c>
      <c r="P592" t="s">
        <v>127</v>
      </c>
      <c r="Q592" t="s">
        <v>127</v>
      </c>
    </row>
    <row r="593" spans="1:17" x14ac:dyDescent="0.25">
      <c r="A593" t="str">
        <f>IF(C593&amp;G593&amp;D593&lt;&gt;'Funnel setup'!$K$3&amp;'Funnel setup'!$K$4&amp;'Funnel setup'!$K$6,".",IF(A592=".",1,A592+1))</f>
        <v>.</v>
      </c>
      <c r="B593" s="244" t="str">
        <f t="shared" si="9"/>
        <v>Hip Replacement PrimaryProviderBUCKINGHAMSHIRE HEALTHCARE NHS TRUST (RXQ)EQ-5D Index</v>
      </c>
      <c r="C593" t="s">
        <v>749</v>
      </c>
      <c r="D593" t="s">
        <v>965</v>
      </c>
      <c r="E593" t="s">
        <v>178</v>
      </c>
      <c r="F593" t="s">
        <v>179</v>
      </c>
      <c r="G593" t="s">
        <v>963</v>
      </c>
      <c r="H593">
        <v>84</v>
      </c>
      <c r="I593">
        <v>0.27804800000000002</v>
      </c>
      <c r="J593">
        <v>0.68247599999999997</v>
      </c>
      <c r="K593">
        <v>0.40442899999999998</v>
      </c>
      <c r="L593">
        <v>70</v>
      </c>
      <c r="M593">
        <v>7</v>
      </c>
      <c r="N593">
        <v>7</v>
      </c>
      <c r="O593">
        <v>0.707256</v>
      </c>
      <c r="P593">
        <v>0.38141799999999998</v>
      </c>
      <c r="Q593">
        <v>0.30487500000000001</v>
      </c>
    </row>
    <row r="594" spans="1:17" x14ac:dyDescent="0.25">
      <c r="A594" t="str">
        <f>IF(C594&amp;G594&amp;D594&lt;&gt;'Funnel setup'!$K$3&amp;'Funnel setup'!$K$4&amp;'Funnel setup'!$K$6,".",IF(A593=".",1,A593+1))</f>
        <v>.</v>
      </c>
      <c r="B594" s="244" t="str">
        <f t="shared" si="9"/>
        <v>Hip Replacement PrimaryProviderCALDERDALE AND HUDDERSFIELD NHS FOUNDATION TRUST (RWY)EQ-5D Index</v>
      </c>
      <c r="C594" t="s">
        <v>749</v>
      </c>
      <c r="D594" t="s">
        <v>965</v>
      </c>
      <c r="E594" t="s">
        <v>180</v>
      </c>
      <c r="F594" t="s">
        <v>181</v>
      </c>
      <c r="G594" t="s">
        <v>963</v>
      </c>
      <c r="H594">
        <v>92</v>
      </c>
      <c r="I594">
        <v>0.33248899999999998</v>
      </c>
      <c r="J594">
        <v>0.79829300000000003</v>
      </c>
      <c r="K594">
        <v>0.465804</v>
      </c>
      <c r="L594">
        <v>83</v>
      </c>
      <c r="M594">
        <v>3</v>
      </c>
      <c r="N594">
        <v>6</v>
      </c>
      <c r="O594">
        <v>0.80230699999999999</v>
      </c>
      <c r="P594">
        <v>0.47646899999999998</v>
      </c>
      <c r="Q594">
        <v>0.22472500000000001</v>
      </c>
    </row>
    <row r="595" spans="1:17" x14ac:dyDescent="0.25">
      <c r="A595" t="str">
        <f>IF(C595&amp;G595&amp;D595&lt;&gt;'Funnel setup'!$K$3&amp;'Funnel setup'!$K$4&amp;'Funnel setup'!$K$6,".",IF(A594=".",1,A594+1))</f>
        <v>.</v>
      </c>
      <c r="B595" s="244" t="str">
        <f t="shared" si="9"/>
        <v>Hip Replacement PrimaryProviderCAMBRIDGE UNIVERSITY HOSPITALS NHS FOUNDATION TRUST (RGT)EQ-5D Index</v>
      </c>
      <c r="C595" t="s">
        <v>749</v>
      </c>
      <c r="D595" t="s">
        <v>965</v>
      </c>
      <c r="E595" t="s">
        <v>182</v>
      </c>
      <c r="F595" t="s">
        <v>183</v>
      </c>
      <c r="G595" t="s">
        <v>963</v>
      </c>
      <c r="H595">
        <v>65</v>
      </c>
      <c r="I595">
        <v>0.154415</v>
      </c>
      <c r="J595">
        <v>0.69287699999999997</v>
      </c>
      <c r="K595">
        <v>0.538462</v>
      </c>
      <c r="L595">
        <v>56</v>
      </c>
      <c r="M595">
        <v>4</v>
      </c>
      <c r="N595">
        <v>5</v>
      </c>
      <c r="O595">
        <v>0.739093</v>
      </c>
      <c r="P595">
        <v>0.41325499999999998</v>
      </c>
      <c r="Q595">
        <v>0.258992</v>
      </c>
    </row>
    <row r="596" spans="1:17" x14ac:dyDescent="0.25">
      <c r="A596" t="str">
        <f>IF(C596&amp;G596&amp;D596&lt;&gt;'Funnel setup'!$K$3&amp;'Funnel setup'!$K$4&amp;'Funnel setup'!$K$6,".",IF(A595=".",1,A595+1))</f>
        <v>.</v>
      </c>
      <c r="B596" s="244" t="str">
        <f t="shared" si="9"/>
        <v>Hip Replacement PrimaryProviderCAVELL HOSPITAL (NT451)EQ-5D Index</v>
      </c>
      <c r="C596" t="s">
        <v>749</v>
      </c>
      <c r="D596" t="s">
        <v>965</v>
      </c>
      <c r="E596" t="s">
        <v>184</v>
      </c>
      <c r="F596" t="s">
        <v>185</v>
      </c>
      <c r="G596" t="s">
        <v>963</v>
      </c>
      <c r="H596">
        <v>17</v>
      </c>
      <c r="I596">
        <v>0.36535299999999998</v>
      </c>
      <c r="J596">
        <v>0.84629399999999999</v>
      </c>
      <c r="K596">
        <v>0.48094100000000001</v>
      </c>
      <c r="L596">
        <v>15</v>
      </c>
      <c r="M596">
        <v>1</v>
      </c>
      <c r="N596">
        <v>1</v>
      </c>
      <c r="O596" t="s">
        <v>127</v>
      </c>
      <c r="P596" t="s">
        <v>127</v>
      </c>
      <c r="Q596" t="s">
        <v>127</v>
      </c>
    </row>
    <row r="597" spans="1:17" x14ac:dyDescent="0.25">
      <c r="A597" t="str">
        <f>IF(C597&amp;G597&amp;D597&lt;&gt;'Funnel setup'!$K$3&amp;'Funnel setup'!$K$4&amp;'Funnel setup'!$K$6,".",IF(A596=".",1,A596+1))</f>
        <v>.</v>
      </c>
      <c r="B597" s="244" t="str">
        <f t="shared" si="9"/>
        <v>Hip Replacement PrimaryProviderCHAUCER HOSPITAL (NT408)EQ-5D Index</v>
      </c>
      <c r="C597" t="s">
        <v>749</v>
      </c>
      <c r="D597" t="s">
        <v>965</v>
      </c>
      <c r="E597" t="s">
        <v>186</v>
      </c>
      <c r="F597" t="s">
        <v>187</v>
      </c>
      <c r="G597" t="s">
        <v>963</v>
      </c>
      <c r="H597">
        <v>29</v>
      </c>
      <c r="I597">
        <v>0.41903400000000002</v>
      </c>
      <c r="J597">
        <v>0.772621</v>
      </c>
      <c r="K597">
        <v>0.35358600000000001</v>
      </c>
      <c r="L597">
        <v>25</v>
      </c>
      <c r="M597">
        <v>2</v>
      </c>
      <c r="N597">
        <v>2</v>
      </c>
      <c r="O597" t="s">
        <v>127</v>
      </c>
      <c r="P597" t="s">
        <v>127</v>
      </c>
      <c r="Q597" t="s">
        <v>127</v>
      </c>
    </row>
    <row r="598" spans="1:17" x14ac:dyDescent="0.25">
      <c r="A598" t="str">
        <f>IF(C598&amp;G598&amp;D598&lt;&gt;'Funnel setup'!$K$3&amp;'Funnel setup'!$K$4&amp;'Funnel setup'!$K$6,".",IF(A597=".",1,A597+1))</f>
        <v>.</v>
      </c>
      <c r="B598" s="244" t="str">
        <f t="shared" si="9"/>
        <v>Hip Replacement PrimaryProviderCHELSEA AND WESTMINSTER HOSPITAL NHS FOUNDATION TRUST (RQM)EQ-5D Index</v>
      </c>
      <c r="C598" t="s">
        <v>749</v>
      </c>
      <c r="D598" t="s">
        <v>965</v>
      </c>
      <c r="E598" t="s">
        <v>188</v>
      </c>
      <c r="F598" t="s">
        <v>189</v>
      </c>
      <c r="G598" t="s">
        <v>963</v>
      </c>
      <c r="H598">
        <v>18</v>
      </c>
      <c r="I598">
        <v>0.27411099999999999</v>
      </c>
      <c r="J598">
        <v>0.80466700000000002</v>
      </c>
      <c r="K598">
        <v>0.53055600000000003</v>
      </c>
      <c r="L598">
        <v>17</v>
      </c>
      <c r="M598">
        <v>1</v>
      </c>
      <c r="N598">
        <v>0</v>
      </c>
      <c r="O598" t="s">
        <v>127</v>
      </c>
      <c r="P598" t="s">
        <v>127</v>
      </c>
      <c r="Q598" t="s">
        <v>127</v>
      </c>
    </row>
    <row r="599" spans="1:17" x14ac:dyDescent="0.25">
      <c r="A599" t="str">
        <f>IF(C599&amp;G599&amp;D599&lt;&gt;'Funnel setup'!$K$3&amp;'Funnel setup'!$K$4&amp;'Funnel setup'!$K$6,".",IF(A598=".",1,A598+1))</f>
        <v>.</v>
      </c>
      <c r="B599" s="244" t="str">
        <f t="shared" si="9"/>
        <v>Hip Replacement PrimaryProviderCHELSFIELD PARK HOSPITAL (NT409)EQ-5D Index</v>
      </c>
      <c r="C599" t="s">
        <v>749</v>
      </c>
      <c r="D599" t="s">
        <v>965</v>
      </c>
      <c r="E599" t="s">
        <v>190</v>
      </c>
      <c r="F599" t="s">
        <v>191</v>
      </c>
      <c r="G599" t="s">
        <v>963</v>
      </c>
      <c r="H599">
        <v>30</v>
      </c>
      <c r="I599">
        <v>0.47836699999999999</v>
      </c>
      <c r="J599">
        <v>0.86699999999999999</v>
      </c>
      <c r="K599">
        <v>0.38863300000000001</v>
      </c>
      <c r="L599">
        <v>26</v>
      </c>
      <c r="M599">
        <v>2</v>
      </c>
      <c r="N599">
        <v>2</v>
      </c>
      <c r="O599">
        <v>0.80386899999999994</v>
      </c>
      <c r="P599">
        <v>0.47803000000000001</v>
      </c>
      <c r="Q599">
        <v>0.18375</v>
      </c>
    </row>
    <row r="600" spans="1:17" x14ac:dyDescent="0.25">
      <c r="A600" t="str">
        <f>IF(C600&amp;G600&amp;D600&lt;&gt;'Funnel setup'!$K$3&amp;'Funnel setup'!$K$4&amp;'Funnel setup'!$K$6,".",IF(A599=".",1,A599+1))</f>
        <v>.</v>
      </c>
      <c r="B600" s="244" t="str">
        <f t="shared" si="9"/>
        <v>Hip Replacement PrimaryProviderCHESTERFIELD ROYAL HOSPITAL NHS FOUNDATION TRUST (RFS)EQ-5D Index</v>
      </c>
      <c r="C600" t="s">
        <v>749</v>
      </c>
      <c r="D600" t="s">
        <v>965</v>
      </c>
      <c r="E600" t="s">
        <v>192</v>
      </c>
      <c r="F600" t="s">
        <v>193</v>
      </c>
      <c r="G600" t="s">
        <v>963</v>
      </c>
      <c r="H600">
        <v>59</v>
      </c>
      <c r="I600">
        <v>0.27169500000000002</v>
      </c>
      <c r="J600">
        <v>0.675373</v>
      </c>
      <c r="K600">
        <v>0.40367799999999998</v>
      </c>
      <c r="L600">
        <v>49</v>
      </c>
      <c r="M600">
        <v>1</v>
      </c>
      <c r="N600">
        <v>9</v>
      </c>
      <c r="O600">
        <v>0.71188399999999996</v>
      </c>
      <c r="P600">
        <v>0.386046</v>
      </c>
      <c r="Q600">
        <v>0.29362300000000002</v>
      </c>
    </row>
    <row r="601" spans="1:17" x14ac:dyDescent="0.25">
      <c r="A601" t="str">
        <f>IF(C601&amp;G601&amp;D601&lt;&gt;'Funnel setup'!$K$3&amp;'Funnel setup'!$K$4&amp;'Funnel setup'!$K$6,".",IF(A600=".",1,A600+1))</f>
        <v>.</v>
      </c>
      <c r="B601" s="244" t="str">
        <f t="shared" si="9"/>
        <v>Hip Replacement PrimaryProviderCHILTERN HOSPITAL (NT410)EQ-5D Index</v>
      </c>
      <c r="C601" t="s">
        <v>749</v>
      </c>
      <c r="D601" t="s">
        <v>965</v>
      </c>
      <c r="E601" t="s">
        <v>194</v>
      </c>
      <c r="F601" t="s">
        <v>195</v>
      </c>
      <c r="G601" t="s">
        <v>963</v>
      </c>
      <c r="H601">
        <v>74</v>
      </c>
      <c r="I601">
        <v>0.38620300000000002</v>
      </c>
      <c r="J601">
        <v>0.84375699999999998</v>
      </c>
      <c r="K601">
        <v>0.45755400000000002</v>
      </c>
      <c r="L601">
        <v>68</v>
      </c>
      <c r="M601">
        <v>2</v>
      </c>
      <c r="N601">
        <v>4</v>
      </c>
      <c r="O601">
        <v>0.79892099999999999</v>
      </c>
      <c r="P601">
        <v>0.47308299999999998</v>
      </c>
      <c r="Q601">
        <v>0.22478500000000001</v>
      </c>
    </row>
    <row r="602" spans="1:17" x14ac:dyDescent="0.25">
      <c r="A602" t="str">
        <f>IF(C602&amp;G602&amp;D602&lt;&gt;'Funnel setup'!$K$3&amp;'Funnel setup'!$K$4&amp;'Funnel setup'!$K$6,".",IF(A601=".",1,A601+1))</f>
        <v>.</v>
      </c>
      <c r="B602" s="244" t="str">
        <f t="shared" si="9"/>
        <v>Hip Replacement PrimaryProviderCIRCLE BATH HOSPITAL (NV302)EQ-5D Index</v>
      </c>
      <c r="C602" t="s">
        <v>749</v>
      </c>
      <c r="D602" t="s">
        <v>965</v>
      </c>
      <c r="E602" t="s">
        <v>196</v>
      </c>
      <c r="F602" t="s">
        <v>197</v>
      </c>
      <c r="G602" t="s">
        <v>963</v>
      </c>
      <c r="H602">
        <v>12</v>
      </c>
      <c r="I602">
        <v>0.57091700000000001</v>
      </c>
      <c r="J602">
        <v>0.93433299999999997</v>
      </c>
      <c r="K602">
        <v>0.36341699999999999</v>
      </c>
      <c r="L602">
        <v>11</v>
      </c>
      <c r="M602">
        <v>1</v>
      </c>
      <c r="N602">
        <v>0</v>
      </c>
      <c r="O602" t="s">
        <v>127</v>
      </c>
      <c r="P602" t="s">
        <v>127</v>
      </c>
      <c r="Q602" t="s">
        <v>127</v>
      </c>
    </row>
    <row r="603" spans="1:17" x14ac:dyDescent="0.25">
      <c r="A603" t="str">
        <f>IF(C603&amp;G603&amp;D603&lt;&gt;'Funnel setup'!$K$3&amp;'Funnel setup'!$K$4&amp;'Funnel setup'!$K$6,".",IF(A602=".",1,A602+1))</f>
        <v>.</v>
      </c>
      <c r="B603" s="244" t="str">
        <f t="shared" si="9"/>
        <v>Hip Replacement PrimaryProviderCIRCLE READING HOSPITAL (NV323)EQ-5D Index</v>
      </c>
      <c r="C603" t="s">
        <v>749</v>
      </c>
      <c r="D603" t="s">
        <v>965</v>
      </c>
      <c r="E603" t="s">
        <v>198</v>
      </c>
      <c r="F603" t="s">
        <v>199</v>
      </c>
      <c r="G603" t="s">
        <v>963</v>
      </c>
      <c r="H603">
        <v>60</v>
      </c>
      <c r="I603">
        <v>0.373367</v>
      </c>
      <c r="J603">
        <v>0.87773299999999999</v>
      </c>
      <c r="K603">
        <v>0.50436700000000001</v>
      </c>
      <c r="L603">
        <v>57</v>
      </c>
      <c r="M603">
        <v>3</v>
      </c>
      <c r="N603">
        <v>0</v>
      </c>
      <c r="O603">
        <v>0.84174300000000002</v>
      </c>
      <c r="P603">
        <v>0.51590400000000003</v>
      </c>
      <c r="Q603">
        <v>0.20227500000000001</v>
      </c>
    </row>
    <row r="604" spans="1:17" x14ac:dyDescent="0.25">
      <c r="A604" t="str">
        <f>IF(C604&amp;G604&amp;D604&lt;&gt;'Funnel setup'!$K$3&amp;'Funnel setup'!$K$4&amp;'Funnel setup'!$K$6,".",IF(A603=".",1,A603+1))</f>
        <v>.</v>
      </c>
      <c r="B604" s="244" t="str">
        <f t="shared" si="9"/>
        <v>Hip Replacement PrimaryProviderCLEMENTINE CHURCHILL HOSPITAL (NT411)EQ-5D Index</v>
      </c>
      <c r="C604" t="s">
        <v>749</v>
      </c>
      <c r="D604" t="s">
        <v>965</v>
      </c>
      <c r="E604" t="s">
        <v>200</v>
      </c>
      <c r="F604" t="s">
        <v>201</v>
      </c>
      <c r="G604" t="s">
        <v>963</v>
      </c>
      <c r="H604">
        <v>23</v>
      </c>
      <c r="I604">
        <v>0.476435</v>
      </c>
      <c r="J604">
        <v>0.77130399999999999</v>
      </c>
      <c r="K604">
        <v>0.29487000000000002</v>
      </c>
      <c r="L604">
        <v>19</v>
      </c>
      <c r="M604">
        <v>2</v>
      </c>
      <c r="N604">
        <v>2</v>
      </c>
      <c r="O604" t="s">
        <v>127</v>
      </c>
      <c r="P604" t="s">
        <v>127</v>
      </c>
      <c r="Q604" t="s">
        <v>127</v>
      </c>
    </row>
    <row r="605" spans="1:17" x14ac:dyDescent="0.25">
      <c r="A605" t="str">
        <f>IF(C605&amp;G605&amp;D605&lt;&gt;'Funnel setup'!$K$3&amp;'Funnel setup'!$K$4&amp;'Funnel setup'!$K$6,".",IF(A604=".",1,A604+1))</f>
        <v>.</v>
      </c>
      <c r="B605" s="244" t="str">
        <f t="shared" si="9"/>
        <v>Hip Replacement PrimaryProviderCLIFTON PARK HOSPITAL (NVC28)EQ-5D Index</v>
      </c>
      <c r="C605" t="s">
        <v>749</v>
      </c>
      <c r="D605" t="s">
        <v>965</v>
      </c>
      <c r="E605" t="s">
        <v>202</v>
      </c>
      <c r="F605" t="s">
        <v>203</v>
      </c>
      <c r="G605" t="s">
        <v>963</v>
      </c>
      <c r="H605">
        <v>38</v>
      </c>
      <c r="I605">
        <v>0.30652600000000002</v>
      </c>
      <c r="J605">
        <v>0.769868</v>
      </c>
      <c r="K605">
        <v>0.46334199999999998</v>
      </c>
      <c r="L605">
        <v>32</v>
      </c>
      <c r="M605">
        <v>3</v>
      </c>
      <c r="N605">
        <v>3</v>
      </c>
      <c r="O605">
        <v>0.77099600000000001</v>
      </c>
      <c r="P605">
        <v>0.445158</v>
      </c>
      <c r="Q605">
        <v>0.245922</v>
      </c>
    </row>
    <row r="606" spans="1:17" x14ac:dyDescent="0.25">
      <c r="A606" t="str">
        <f>IF(C606&amp;G606&amp;D606&lt;&gt;'Funnel setup'!$K$3&amp;'Funnel setup'!$K$4&amp;'Funnel setup'!$K$6,".",IF(A605=".",1,A605+1))</f>
        <v>.</v>
      </c>
      <c r="B606" s="244" t="str">
        <f t="shared" si="9"/>
        <v>Hip Replacement PrimaryProviderCOUNTESS OF CHESTER HOSPITAL NHS FOUNDATION TRUST (RJR)EQ-5D Index</v>
      </c>
      <c r="C606" t="s">
        <v>749</v>
      </c>
      <c r="D606" t="s">
        <v>965</v>
      </c>
      <c r="E606" t="s">
        <v>204</v>
      </c>
      <c r="F606" t="s">
        <v>205</v>
      </c>
      <c r="G606" t="s">
        <v>963</v>
      </c>
      <c r="H606">
        <v>25</v>
      </c>
      <c r="I606">
        <v>0.29948000000000002</v>
      </c>
      <c r="J606">
        <v>0.73675999999999997</v>
      </c>
      <c r="K606">
        <v>0.43728</v>
      </c>
      <c r="L606">
        <v>22</v>
      </c>
      <c r="M606">
        <v>1</v>
      </c>
      <c r="N606">
        <v>2</v>
      </c>
      <c r="O606" t="s">
        <v>127</v>
      </c>
      <c r="P606" t="s">
        <v>127</v>
      </c>
      <c r="Q606" t="s">
        <v>127</v>
      </c>
    </row>
    <row r="607" spans="1:17" x14ac:dyDescent="0.25">
      <c r="A607" t="str">
        <f>IF(C607&amp;G607&amp;D607&lt;&gt;'Funnel setup'!$K$3&amp;'Funnel setup'!$K$4&amp;'Funnel setup'!$K$6,".",IF(A606=".",1,A606+1))</f>
        <v>.</v>
      </c>
      <c r="B607" s="244" t="str">
        <f t="shared" si="9"/>
        <v>Hip Replacement PrimaryProviderCOUNTY DURHAM AND DARLINGTON NHS FOUNDATION TRUST (RXP)EQ-5D Index</v>
      </c>
      <c r="C607" t="s">
        <v>749</v>
      </c>
      <c r="D607" t="s">
        <v>965</v>
      </c>
      <c r="E607" t="s">
        <v>206</v>
      </c>
      <c r="F607" t="s">
        <v>207</v>
      </c>
      <c r="G607" t="s">
        <v>963</v>
      </c>
      <c r="H607">
        <v>159</v>
      </c>
      <c r="I607">
        <v>0.31635799999999997</v>
      </c>
      <c r="J607">
        <v>0.73221400000000003</v>
      </c>
      <c r="K607">
        <v>0.41585499999999997</v>
      </c>
      <c r="L607">
        <v>142</v>
      </c>
      <c r="M607">
        <v>8</v>
      </c>
      <c r="N607">
        <v>9</v>
      </c>
      <c r="O607">
        <v>0.75220699999999996</v>
      </c>
      <c r="P607">
        <v>0.426369</v>
      </c>
      <c r="Q607">
        <v>0.225073</v>
      </c>
    </row>
    <row r="608" spans="1:17" x14ac:dyDescent="0.25">
      <c r="A608" t="str">
        <f>IF(C608&amp;G608&amp;D608&lt;&gt;'Funnel setup'!$K$3&amp;'Funnel setup'!$K$4&amp;'Funnel setup'!$K$6,".",IF(A607=".",1,A607+1))</f>
        <v>.</v>
      </c>
      <c r="B608" s="244" t="str">
        <f t="shared" si="9"/>
        <v>Hip Replacement PrimaryProviderDONCASTER AND BASSETLAW TEACHING HOSPITALS NHS FOUNDATION TRUST (RP5)EQ-5D Index</v>
      </c>
      <c r="C608" t="s">
        <v>749</v>
      </c>
      <c r="D608" t="s">
        <v>965</v>
      </c>
      <c r="E608" t="s">
        <v>212</v>
      </c>
      <c r="F608" t="s">
        <v>213</v>
      </c>
      <c r="G608" t="s">
        <v>963</v>
      </c>
      <c r="H608">
        <v>56</v>
      </c>
      <c r="I608">
        <v>0.20069600000000001</v>
      </c>
      <c r="J608">
        <v>0.71101800000000004</v>
      </c>
      <c r="K608">
        <v>0.51032100000000002</v>
      </c>
      <c r="L608">
        <v>51</v>
      </c>
      <c r="M608">
        <v>1</v>
      </c>
      <c r="N608">
        <v>4</v>
      </c>
      <c r="O608">
        <v>0.76941400000000004</v>
      </c>
      <c r="P608">
        <v>0.44357600000000003</v>
      </c>
      <c r="Q608">
        <v>0.29167199999999999</v>
      </c>
    </row>
    <row r="609" spans="1:17" x14ac:dyDescent="0.25">
      <c r="A609" t="str">
        <f>IF(C609&amp;G609&amp;D609&lt;&gt;'Funnel setup'!$K$3&amp;'Funnel setup'!$K$4&amp;'Funnel setup'!$K$6,".",IF(A608=".",1,A608+1))</f>
        <v>.</v>
      </c>
      <c r="B609" s="244" t="str">
        <f t="shared" si="9"/>
        <v>Hip Replacement PrimaryProviderDORSET COUNTY HOSPITAL NHS FOUNDATION TRUST (RBD)EQ-5D Index</v>
      </c>
      <c r="C609" t="s">
        <v>749</v>
      </c>
      <c r="D609" t="s">
        <v>965</v>
      </c>
      <c r="E609" t="s">
        <v>214</v>
      </c>
      <c r="F609" t="s">
        <v>215</v>
      </c>
      <c r="G609" t="s">
        <v>963</v>
      </c>
      <c r="H609">
        <v>12</v>
      </c>
      <c r="I609">
        <v>0.30649999999999999</v>
      </c>
      <c r="J609">
        <v>0.79341700000000004</v>
      </c>
      <c r="K609">
        <v>0.48691699999999999</v>
      </c>
      <c r="L609">
        <v>11</v>
      </c>
      <c r="M609">
        <v>0</v>
      </c>
      <c r="N609">
        <v>1</v>
      </c>
      <c r="O609" t="s">
        <v>127</v>
      </c>
      <c r="P609" t="s">
        <v>127</v>
      </c>
      <c r="Q609" t="s">
        <v>127</v>
      </c>
    </row>
    <row r="610" spans="1:17" x14ac:dyDescent="0.25">
      <c r="A610" t="str">
        <f>IF(C610&amp;G610&amp;D610&lt;&gt;'Funnel setup'!$K$3&amp;'Funnel setup'!$K$4&amp;'Funnel setup'!$K$6,".",IF(A609=".",1,A609+1))</f>
        <v>.</v>
      </c>
      <c r="B610" s="244" t="str">
        <f t="shared" si="9"/>
        <v>Hip Replacement PrimaryProviderDROITWICH SPA HOSPITAL (NT412)EQ-5D Index</v>
      </c>
      <c r="C610" t="s">
        <v>749</v>
      </c>
      <c r="D610" t="s">
        <v>965</v>
      </c>
      <c r="E610" t="s">
        <v>216</v>
      </c>
      <c r="F610" t="s">
        <v>217</v>
      </c>
      <c r="G610" t="s">
        <v>963</v>
      </c>
      <c r="H610">
        <v>27</v>
      </c>
      <c r="I610">
        <v>0.31474099999999999</v>
      </c>
      <c r="J610">
        <v>0.825963</v>
      </c>
      <c r="K610">
        <v>0.51122199999999995</v>
      </c>
      <c r="L610">
        <v>27</v>
      </c>
      <c r="M610">
        <v>0</v>
      </c>
      <c r="N610">
        <v>0</v>
      </c>
      <c r="O610" t="s">
        <v>127</v>
      </c>
      <c r="P610" t="s">
        <v>127</v>
      </c>
      <c r="Q610" t="s">
        <v>127</v>
      </c>
    </row>
    <row r="611" spans="1:17" x14ac:dyDescent="0.25">
      <c r="A611" t="str">
        <f>IF(C611&amp;G611&amp;D611&lt;&gt;'Funnel setup'!$K$3&amp;'Funnel setup'!$K$4&amp;'Funnel setup'!$K$6,".",IF(A610=".",1,A610+1))</f>
        <v>.</v>
      </c>
      <c r="B611" s="244" t="str">
        <f t="shared" si="9"/>
        <v>Hip Replacement PrimaryProviderDUCHY HOSPITAL (NT447)EQ-5D Index</v>
      </c>
      <c r="C611" t="s">
        <v>749</v>
      </c>
      <c r="D611" t="s">
        <v>965</v>
      </c>
      <c r="E611" t="s">
        <v>218</v>
      </c>
      <c r="F611" t="s">
        <v>219</v>
      </c>
      <c r="G611" t="s">
        <v>963</v>
      </c>
      <c r="H611">
        <v>27</v>
      </c>
      <c r="I611">
        <v>0.40403699999999998</v>
      </c>
      <c r="J611">
        <v>0.82207399999999997</v>
      </c>
      <c r="K611">
        <v>0.41803699999999999</v>
      </c>
      <c r="L611">
        <v>25</v>
      </c>
      <c r="M611">
        <v>0</v>
      </c>
      <c r="N611">
        <v>2</v>
      </c>
      <c r="O611" t="s">
        <v>127</v>
      </c>
      <c r="P611" t="s">
        <v>127</v>
      </c>
      <c r="Q611" t="s">
        <v>127</v>
      </c>
    </row>
    <row r="612" spans="1:17" x14ac:dyDescent="0.25">
      <c r="A612" t="str">
        <f>IF(C612&amp;G612&amp;D612&lt;&gt;'Funnel setup'!$K$3&amp;'Funnel setup'!$K$4&amp;'Funnel setup'!$K$6,".",IF(A611=".",1,A611+1))</f>
        <v>.</v>
      </c>
      <c r="B612" s="244" t="str">
        <f t="shared" si="9"/>
        <v>Hip Replacement PrimaryProviderDUCHY HOSPITAL (NVC04)EQ-5D Index</v>
      </c>
      <c r="C612" t="s">
        <v>749</v>
      </c>
      <c r="D612" t="s">
        <v>965</v>
      </c>
      <c r="E612" t="s">
        <v>220</v>
      </c>
      <c r="F612" t="s">
        <v>221</v>
      </c>
      <c r="G612" t="s">
        <v>963</v>
      </c>
      <c r="H612">
        <v>25</v>
      </c>
      <c r="I612">
        <v>0.31584000000000001</v>
      </c>
      <c r="J612">
        <v>0.88448000000000004</v>
      </c>
      <c r="K612">
        <v>0.56864000000000003</v>
      </c>
      <c r="L612">
        <v>23</v>
      </c>
      <c r="M612">
        <v>2</v>
      </c>
      <c r="N612">
        <v>0</v>
      </c>
      <c r="O612" t="s">
        <v>127</v>
      </c>
      <c r="P612" t="s">
        <v>127</v>
      </c>
      <c r="Q612" t="s">
        <v>127</v>
      </c>
    </row>
    <row r="613" spans="1:17" x14ac:dyDescent="0.25">
      <c r="A613" t="str">
        <f>IF(C613&amp;G613&amp;D613&lt;&gt;'Funnel setup'!$K$3&amp;'Funnel setup'!$K$4&amp;'Funnel setup'!$K$6,".",IF(A612=".",1,A612+1))</f>
        <v>.</v>
      </c>
      <c r="B613" s="244" t="str">
        <f t="shared" si="9"/>
        <v>Hip Replacement PrimaryProviderEAST AND NORTH HERTFORDSHIRE NHS TRUST (RWH)EQ-5D Index</v>
      </c>
      <c r="C613" t="s">
        <v>749</v>
      </c>
      <c r="D613" t="s">
        <v>965</v>
      </c>
      <c r="E613" t="s">
        <v>224</v>
      </c>
      <c r="F613" t="s">
        <v>225</v>
      </c>
      <c r="G613" t="s">
        <v>963</v>
      </c>
      <c r="H613">
        <v>30</v>
      </c>
      <c r="I613">
        <v>0.31716699999999998</v>
      </c>
      <c r="J613">
        <v>0.77906699999999995</v>
      </c>
      <c r="K613">
        <v>0.46189999999999998</v>
      </c>
      <c r="L613">
        <v>28</v>
      </c>
      <c r="M613">
        <v>0</v>
      </c>
      <c r="N613">
        <v>2</v>
      </c>
      <c r="O613">
        <v>0.76490499999999995</v>
      </c>
      <c r="P613">
        <v>0.43906699999999999</v>
      </c>
      <c r="Q613">
        <v>0.259218</v>
      </c>
    </row>
    <row r="614" spans="1:17" x14ac:dyDescent="0.25">
      <c r="A614" t="str">
        <f>IF(C614&amp;G614&amp;D614&lt;&gt;'Funnel setup'!$K$3&amp;'Funnel setup'!$K$4&amp;'Funnel setup'!$K$6,".",IF(A613=".",1,A613+1))</f>
        <v>.</v>
      </c>
      <c r="B614" s="244" t="str">
        <f t="shared" si="9"/>
        <v>Hip Replacement PrimaryProviderEAST CHESHIRE NHS TRUST (RJN)EQ-5D Index</v>
      </c>
      <c r="C614" t="s">
        <v>749</v>
      </c>
      <c r="D614" t="s">
        <v>965</v>
      </c>
      <c r="E614" t="s">
        <v>226</v>
      </c>
      <c r="F614" t="s">
        <v>227</v>
      </c>
      <c r="G614" t="s">
        <v>963</v>
      </c>
      <c r="H614">
        <v>4</v>
      </c>
      <c r="I614">
        <v>0.49099999999999999</v>
      </c>
      <c r="J614">
        <v>0.79449999999999998</v>
      </c>
      <c r="K614">
        <v>0.30349999999999999</v>
      </c>
      <c r="L614">
        <v>4</v>
      </c>
      <c r="M614">
        <v>0</v>
      </c>
      <c r="N614">
        <v>0</v>
      </c>
      <c r="O614" t="s">
        <v>127</v>
      </c>
      <c r="P614" t="s">
        <v>127</v>
      </c>
      <c r="Q614" t="s">
        <v>127</v>
      </c>
    </row>
    <row r="615" spans="1:17" x14ac:dyDescent="0.25">
      <c r="A615" t="str">
        <f>IF(C615&amp;G615&amp;D615&lt;&gt;'Funnel setup'!$K$3&amp;'Funnel setup'!$K$4&amp;'Funnel setup'!$K$6,".",IF(A614=".",1,A614+1))</f>
        <v>.</v>
      </c>
      <c r="B615" s="244" t="str">
        <f t="shared" si="9"/>
        <v>Hip Replacement PrimaryProviderEAST KENT HOSPITALS UNIVERSITY NHS FOUNDATION TRUST (RVV)EQ-5D Index</v>
      </c>
      <c r="C615" t="s">
        <v>749</v>
      </c>
      <c r="D615" t="s">
        <v>965</v>
      </c>
      <c r="E615" t="s">
        <v>228</v>
      </c>
      <c r="F615" t="s">
        <v>229</v>
      </c>
      <c r="G615" t="s">
        <v>963</v>
      </c>
      <c r="H615">
        <v>87</v>
      </c>
      <c r="I615">
        <v>0.23339099999999999</v>
      </c>
      <c r="J615">
        <v>0.71423000000000003</v>
      </c>
      <c r="K615">
        <v>0.48083900000000002</v>
      </c>
      <c r="L615">
        <v>76</v>
      </c>
      <c r="M615">
        <v>7</v>
      </c>
      <c r="N615">
        <v>4</v>
      </c>
      <c r="O615">
        <v>0.75616499999999998</v>
      </c>
      <c r="P615">
        <v>0.43032700000000002</v>
      </c>
      <c r="Q615">
        <v>0.25533800000000001</v>
      </c>
    </row>
    <row r="616" spans="1:17" x14ac:dyDescent="0.25">
      <c r="A616" t="str">
        <f>IF(C616&amp;G616&amp;D616&lt;&gt;'Funnel setup'!$K$3&amp;'Funnel setup'!$K$4&amp;'Funnel setup'!$K$6,".",IF(A615=".",1,A615+1))</f>
        <v>.</v>
      </c>
      <c r="B616" s="244" t="str">
        <f t="shared" si="9"/>
        <v>Hip Replacement PrimaryProviderEAST LANCASHIRE HOSPITALS NHS TRUST (RXR)EQ-5D Index</v>
      </c>
      <c r="C616" t="s">
        <v>749</v>
      </c>
      <c r="D616" t="s">
        <v>965</v>
      </c>
      <c r="E616" t="s">
        <v>230</v>
      </c>
      <c r="F616" t="s">
        <v>231</v>
      </c>
      <c r="G616" t="s">
        <v>963</v>
      </c>
      <c r="H616">
        <v>86</v>
      </c>
      <c r="I616">
        <v>0.26237199999999999</v>
      </c>
      <c r="J616">
        <v>0.73350000000000004</v>
      </c>
      <c r="K616">
        <v>0.47112799999999999</v>
      </c>
      <c r="L616">
        <v>76</v>
      </c>
      <c r="M616">
        <v>2</v>
      </c>
      <c r="N616">
        <v>8</v>
      </c>
      <c r="O616">
        <v>0.77184900000000001</v>
      </c>
      <c r="P616">
        <v>0.44601000000000002</v>
      </c>
      <c r="Q616">
        <v>0.27454000000000001</v>
      </c>
    </row>
    <row r="617" spans="1:17" x14ac:dyDescent="0.25">
      <c r="A617" t="str">
        <f>IF(C617&amp;G617&amp;D617&lt;&gt;'Funnel setup'!$K$3&amp;'Funnel setup'!$K$4&amp;'Funnel setup'!$K$6,".",IF(A616=".",1,A616+1))</f>
        <v>.</v>
      </c>
      <c r="B617" s="244" t="str">
        <f t="shared" si="9"/>
        <v>Hip Replacement PrimaryProviderEAST SUFFOLK AND NORTH ESSEX NHS FOUNDATION TRUST (RDE)EQ-5D Index</v>
      </c>
      <c r="C617" t="s">
        <v>749</v>
      </c>
      <c r="D617" t="s">
        <v>965</v>
      </c>
      <c r="E617" t="s">
        <v>232</v>
      </c>
      <c r="F617" t="s">
        <v>233</v>
      </c>
      <c r="G617" t="s">
        <v>963</v>
      </c>
      <c r="H617">
        <v>131</v>
      </c>
      <c r="I617">
        <v>0.26490799999999998</v>
      </c>
      <c r="J617">
        <v>0.75723700000000005</v>
      </c>
      <c r="K617">
        <v>0.49232799999999999</v>
      </c>
      <c r="L617">
        <v>122</v>
      </c>
      <c r="M617">
        <v>6</v>
      </c>
      <c r="N617">
        <v>3</v>
      </c>
      <c r="O617">
        <v>0.78127599999999997</v>
      </c>
      <c r="P617">
        <v>0.45543699999999998</v>
      </c>
      <c r="Q617">
        <v>0.25284600000000002</v>
      </c>
    </row>
    <row r="618" spans="1:17" x14ac:dyDescent="0.25">
      <c r="A618" t="str">
        <f>IF(C618&amp;G618&amp;D618&lt;&gt;'Funnel setup'!$K$3&amp;'Funnel setup'!$K$4&amp;'Funnel setup'!$K$6,".",IF(A617=".",1,A617+1))</f>
        <v>.</v>
      </c>
      <c r="B618" s="244" t="str">
        <f t="shared" si="9"/>
        <v>Hip Replacement PrimaryProviderEAST SUSSEX HEALTHCARE NHS TRUST (RXC)EQ-5D Index</v>
      </c>
      <c r="C618" t="s">
        <v>749</v>
      </c>
      <c r="D618" t="s">
        <v>965</v>
      </c>
      <c r="E618" t="s">
        <v>234</v>
      </c>
      <c r="F618" t="s">
        <v>235</v>
      </c>
      <c r="G618" t="s">
        <v>963</v>
      </c>
      <c r="H618">
        <v>89</v>
      </c>
      <c r="I618">
        <v>0.32104500000000002</v>
      </c>
      <c r="J618">
        <v>0.76273000000000002</v>
      </c>
      <c r="K618">
        <v>0.44168499999999999</v>
      </c>
      <c r="L618">
        <v>77</v>
      </c>
      <c r="M618">
        <v>6</v>
      </c>
      <c r="N618">
        <v>6</v>
      </c>
      <c r="O618">
        <v>0.78176900000000005</v>
      </c>
      <c r="P618">
        <v>0.45593099999999998</v>
      </c>
      <c r="Q618">
        <v>0.285966</v>
      </c>
    </row>
    <row r="619" spans="1:17" x14ac:dyDescent="0.25">
      <c r="A619" t="str">
        <f>IF(C619&amp;G619&amp;D619&lt;&gt;'Funnel setup'!$K$3&amp;'Funnel setup'!$K$4&amp;'Funnel setup'!$K$6,".",IF(A618=".",1,A618+1))</f>
        <v>.</v>
      </c>
      <c r="B619" s="244" t="str">
        <f t="shared" si="9"/>
        <v>Hip Replacement PrimaryProviderEPSOM AND ST HELIER UNIVERSITY HOSPITALS NHS TRUST (RVR)EQ-5D Index</v>
      </c>
      <c r="C619" t="s">
        <v>749</v>
      </c>
      <c r="D619" t="s">
        <v>965</v>
      </c>
      <c r="E619" t="s">
        <v>238</v>
      </c>
      <c r="F619" t="s">
        <v>239</v>
      </c>
      <c r="G619" t="s">
        <v>963</v>
      </c>
      <c r="H619">
        <v>507</v>
      </c>
      <c r="I619">
        <v>0.38268400000000002</v>
      </c>
      <c r="J619">
        <v>0.80723299999999998</v>
      </c>
      <c r="K619">
        <v>0.42454799999999998</v>
      </c>
      <c r="L619">
        <v>467</v>
      </c>
      <c r="M619">
        <v>21</v>
      </c>
      <c r="N619">
        <v>19</v>
      </c>
      <c r="O619">
        <v>0.79391500000000004</v>
      </c>
      <c r="P619">
        <v>0.46807599999999999</v>
      </c>
      <c r="Q619">
        <v>0.206071</v>
      </c>
    </row>
    <row r="620" spans="1:17" x14ac:dyDescent="0.25">
      <c r="A620" t="str">
        <f>IF(C620&amp;G620&amp;D620&lt;&gt;'Funnel setup'!$K$3&amp;'Funnel setup'!$K$4&amp;'Funnel setup'!$K$6,".",IF(A619=".",1,A619+1))</f>
        <v>.</v>
      </c>
      <c r="B620" s="244" t="str">
        <f t="shared" si="9"/>
        <v>Hip Replacement PrimaryProviderEUXTON HALL HOSPITAL (NVC05)EQ-5D Index</v>
      </c>
      <c r="C620" t="s">
        <v>749</v>
      </c>
      <c r="D620" t="s">
        <v>965</v>
      </c>
      <c r="E620" t="s">
        <v>240</v>
      </c>
      <c r="F620" t="s">
        <v>241</v>
      </c>
      <c r="G620" t="s">
        <v>963</v>
      </c>
      <c r="H620">
        <v>56</v>
      </c>
      <c r="I620">
        <v>0.29519600000000001</v>
      </c>
      <c r="J620">
        <v>0.83523199999999997</v>
      </c>
      <c r="K620">
        <v>0.54003599999999996</v>
      </c>
      <c r="L620">
        <v>54</v>
      </c>
      <c r="M620">
        <v>2</v>
      </c>
      <c r="N620">
        <v>0</v>
      </c>
      <c r="O620">
        <v>0.83407900000000001</v>
      </c>
      <c r="P620">
        <v>0.50824100000000005</v>
      </c>
      <c r="Q620">
        <v>0.17192199999999999</v>
      </c>
    </row>
    <row r="621" spans="1:17" x14ac:dyDescent="0.25">
      <c r="A621" t="str">
        <f>IF(C621&amp;G621&amp;D621&lt;&gt;'Funnel setup'!$K$3&amp;'Funnel setup'!$K$4&amp;'Funnel setup'!$K$6,".",IF(A620=".",1,A620+1))</f>
        <v>.</v>
      </c>
      <c r="B621" s="244" t="str">
        <f t="shared" si="9"/>
        <v>Hip Replacement PrimaryProviderFAIRFIELD HOSPITAL (NVG01)EQ-5D Index</v>
      </c>
      <c r="C621" t="s">
        <v>749</v>
      </c>
      <c r="D621" t="s">
        <v>965</v>
      </c>
      <c r="E621" t="s">
        <v>242</v>
      </c>
      <c r="F621" t="s">
        <v>243</v>
      </c>
      <c r="G621" t="s">
        <v>963</v>
      </c>
      <c r="H621">
        <v>41</v>
      </c>
      <c r="I621">
        <v>0.320878</v>
      </c>
      <c r="J621">
        <v>0.70821999999999996</v>
      </c>
      <c r="K621">
        <v>0.38734099999999999</v>
      </c>
      <c r="L621">
        <v>36</v>
      </c>
      <c r="M621">
        <v>1</v>
      </c>
      <c r="N621">
        <v>4</v>
      </c>
      <c r="O621">
        <v>0.70402900000000002</v>
      </c>
      <c r="P621">
        <v>0.378191</v>
      </c>
      <c r="Q621">
        <v>0.273509</v>
      </c>
    </row>
    <row r="622" spans="1:17" x14ac:dyDescent="0.25">
      <c r="A622" t="str">
        <f>IF(C622&amp;G622&amp;D622&lt;&gt;'Funnel setup'!$K$3&amp;'Funnel setup'!$K$4&amp;'Funnel setup'!$K$6,".",IF(A621=".",1,A621+1))</f>
        <v>.</v>
      </c>
      <c r="B622" s="244" t="str">
        <f t="shared" si="9"/>
        <v>Hip Replacement PrimaryProviderFITZWILLIAM HOSPITAL (NVC06)EQ-5D Index</v>
      </c>
      <c r="C622" t="s">
        <v>749</v>
      </c>
      <c r="D622" t="s">
        <v>965</v>
      </c>
      <c r="E622" t="s">
        <v>244</v>
      </c>
      <c r="F622" t="s">
        <v>245</v>
      </c>
      <c r="G622" t="s">
        <v>963</v>
      </c>
      <c r="H622">
        <v>58</v>
      </c>
      <c r="I622">
        <v>0.35336200000000001</v>
      </c>
      <c r="J622">
        <v>0.80622400000000005</v>
      </c>
      <c r="K622">
        <v>0.45286199999999999</v>
      </c>
      <c r="L622">
        <v>53</v>
      </c>
      <c r="M622">
        <v>3</v>
      </c>
      <c r="N622">
        <v>2</v>
      </c>
      <c r="O622">
        <v>0.80471099999999995</v>
      </c>
      <c r="P622">
        <v>0.47887200000000002</v>
      </c>
      <c r="Q622">
        <v>0.20333799999999999</v>
      </c>
    </row>
    <row r="623" spans="1:17" x14ac:dyDescent="0.25">
      <c r="A623" t="str">
        <f>IF(C623&amp;G623&amp;D623&lt;&gt;'Funnel setup'!$K$3&amp;'Funnel setup'!$K$4&amp;'Funnel setup'!$K$6,".",IF(A622=".",1,A622+1))</f>
        <v>.</v>
      </c>
      <c r="B623" s="244" t="str">
        <f t="shared" si="9"/>
        <v>Hip Replacement PrimaryProviderFRIMLEY HEALTH NHS FOUNDATION TRUST (RDU)EQ-5D Index</v>
      </c>
      <c r="C623" t="s">
        <v>749</v>
      </c>
      <c r="D623" t="s">
        <v>965</v>
      </c>
      <c r="E623" t="s">
        <v>248</v>
      </c>
      <c r="F623" t="s">
        <v>249</v>
      </c>
      <c r="G623" t="s">
        <v>963</v>
      </c>
      <c r="H623">
        <v>165</v>
      </c>
      <c r="I623">
        <v>0.36064200000000002</v>
      </c>
      <c r="J623">
        <v>0.80653300000000006</v>
      </c>
      <c r="K623">
        <v>0.44589099999999998</v>
      </c>
      <c r="L623">
        <v>151</v>
      </c>
      <c r="M623">
        <v>7</v>
      </c>
      <c r="N623">
        <v>7</v>
      </c>
      <c r="O623">
        <v>0.78877699999999995</v>
      </c>
      <c r="P623">
        <v>0.46293899999999999</v>
      </c>
      <c r="Q623">
        <v>0.20374100000000001</v>
      </c>
    </row>
    <row r="624" spans="1:17" x14ac:dyDescent="0.25">
      <c r="A624" t="str">
        <f>IF(C624&amp;G624&amp;D624&lt;&gt;'Funnel setup'!$K$3&amp;'Funnel setup'!$K$4&amp;'Funnel setup'!$K$6,".",IF(A623=".",1,A623+1))</f>
        <v>.</v>
      </c>
      <c r="B624" s="244" t="str">
        <f t="shared" si="9"/>
        <v>Hip Replacement PrimaryProviderFULWOOD HALL HOSPITAL (NVC07)EQ-5D Index</v>
      </c>
      <c r="C624" t="s">
        <v>749</v>
      </c>
      <c r="D624" t="s">
        <v>965</v>
      </c>
      <c r="E624" t="s">
        <v>250</v>
      </c>
      <c r="F624" t="s">
        <v>251</v>
      </c>
      <c r="G624" t="s">
        <v>963</v>
      </c>
      <c r="H624">
        <v>65</v>
      </c>
      <c r="I624">
        <v>0.48353800000000002</v>
      </c>
      <c r="J624">
        <v>0.86980000000000002</v>
      </c>
      <c r="K624">
        <v>0.38626199999999999</v>
      </c>
      <c r="L624">
        <v>59</v>
      </c>
      <c r="M624">
        <v>3</v>
      </c>
      <c r="N624">
        <v>3</v>
      </c>
      <c r="O624">
        <v>0.81549000000000005</v>
      </c>
      <c r="P624">
        <v>0.489651</v>
      </c>
      <c r="Q624">
        <v>0.15998899999999999</v>
      </c>
    </row>
    <row r="625" spans="1:17" x14ac:dyDescent="0.25">
      <c r="A625" t="str">
        <f>IF(C625&amp;G625&amp;D625&lt;&gt;'Funnel setup'!$K$3&amp;'Funnel setup'!$K$4&amp;'Funnel setup'!$K$6,".",IF(A624=".",1,A624+1))</f>
        <v>.</v>
      </c>
      <c r="B625" s="244" t="str">
        <f t="shared" si="9"/>
        <v>Hip Replacement PrimaryProviderGATESHEAD HEALTH NHS FOUNDATION TRUST (RR7)EQ-5D Index</v>
      </c>
      <c r="C625" t="s">
        <v>749</v>
      </c>
      <c r="D625" t="s">
        <v>965</v>
      </c>
      <c r="E625" t="s">
        <v>252</v>
      </c>
      <c r="F625" t="s">
        <v>253</v>
      </c>
      <c r="G625" t="s">
        <v>963</v>
      </c>
      <c r="H625">
        <v>48</v>
      </c>
      <c r="I625">
        <v>0.18162500000000001</v>
      </c>
      <c r="J625">
        <v>0.75387499999999996</v>
      </c>
      <c r="K625">
        <v>0.57225000000000004</v>
      </c>
      <c r="L625">
        <v>46</v>
      </c>
      <c r="M625">
        <v>2</v>
      </c>
      <c r="N625">
        <v>0</v>
      </c>
      <c r="O625">
        <v>0.80702499999999999</v>
      </c>
      <c r="P625">
        <v>0.481186</v>
      </c>
      <c r="Q625">
        <v>0.243671</v>
      </c>
    </row>
    <row r="626" spans="1:17" x14ac:dyDescent="0.25">
      <c r="A626" t="str">
        <f>IF(C626&amp;G626&amp;D626&lt;&gt;'Funnel setup'!$K$3&amp;'Funnel setup'!$K$4&amp;'Funnel setup'!$K$6,".",IF(A625=".",1,A625+1))</f>
        <v>.</v>
      </c>
      <c r="B626" s="244" t="str">
        <f t="shared" si="9"/>
        <v>Hip Replacement PrimaryProviderGLOUCESTERSHIRE HOSPITALS NHS FOUNDATION TRUST (RTE)EQ-5D Index</v>
      </c>
      <c r="C626" t="s">
        <v>749</v>
      </c>
      <c r="D626" t="s">
        <v>965</v>
      </c>
      <c r="E626" t="s">
        <v>256</v>
      </c>
      <c r="F626" t="s">
        <v>257</v>
      </c>
      <c r="G626" t="s">
        <v>963</v>
      </c>
      <c r="H626">
        <v>68</v>
      </c>
      <c r="I626">
        <v>0.23935300000000001</v>
      </c>
      <c r="J626">
        <v>0.75279399999999996</v>
      </c>
      <c r="K626">
        <v>0.51344100000000004</v>
      </c>
      <c r="L626">
        <v>59</v>
      </c>
      <c r="M626">
        <v>5</v>
      </c>
      <c r="N626">
        <v>4</v>
      </c>
      <c r="O626">
        <v>0.77205299999999999</v>
      </c>
      <c r="P626">
        <v>0.446214</v>
      </c>
      <c r="Q626">
        <v>0.236563</v>
      </c>
    </row>
    <row r="627" spans="1:17" x14ac:dyDescent="0.25">
      <c r="A627" t="str">
        <f>IF(C627&amp;G627&amp;D627&lt;&gt;'Funnel setup'!$K$3&amp;'Funnel setup'!$K$4&amp;'Funnel setup'!$K$6,".",IF(A626=".",1,A626+1))</f>
        <v>.</v>
      </c>
      <c r="B627" s="244" t="str">
        <f t="shared" si="9"/>
        <v>Hip Replacement PrimaryProviderGORING HALL HOSPITAL (NT417)EQ-5D Index</v>
      </c>
      <c r="C627" t="s">
        <v>749</v>
      </c>
      <c r="D627" t="s">
        <v>965</v>
      </c>
      <c r="E627" t="s">
        <v>258</v>
      </c>
      <c r="F627" t="s">
        <v>259</v>
      </c>
      <c r="G627" t="s">
        <v>963</v>
      </c>
      <c r="H627">
        <v>24</v>
      </c>
      <c r="I627">
        <v>0.37237500000000001</v>
      </c>
      <c r="J627">
        <v>0.87620799999999999</v>
      </c>
      <c r="K627">
        <v>0.50383299999999998</v>
      </c>
      <c r="L627">
        <v>21</v>
      </c>
      <c r="M627">
        <v>2</v>
      </c>
      <c r="N627">
        <v>1</v>
      </c>
      <c r="O627" t="s">
        <v>127</v>
      </c>
      <c r="P627" t="s">
        <v>127</v>
      </c>
      <c r="Q627" t="s">
        <v>127</v>
      </c>
    </row>
    <row r="628" spans="1:17" x14ac:dyDescent="0.25">
      <c r="A628" t="str">
        <f>IF(C628&amp;G628&amp;D628&lt;&gt;'Funnel setup'!$K$3&amp;'Funnel setup'!$K$4&amp;'Funnel setup'!$K$6,".",IF(A627=".",1,A627+1))</f>
        <v>.</v>
      </c>
      <c r="B628" s="244" t="str">
        <f t="shared" si="9"/>
        <v>Hip Replacement PrimaryProviderGUY'S AND ST THOMAS' NHS FOUNDATION TRUST (RJ1)EQ-5D Index</v>
      </c>
      <c r="C628" t="s">
        <v>749</v>
      </c>
      <c r="D628" t="s">
        <v>965</v>
      </c>
      <c r="E628" t="s">
        <v>262</v>
      </c>
      <c r="F628" t="s">
        <v>263</v>
      </c>
      <c r="G628" t="s">
        <v>963</v>
      </c>
      <c r="H628">
        <v>70</v>
      </c>
      <c r="I628">
        <v>0.34324300000000002</v>
      </c>
      <c r="J628">
        <v>0.69789999999999996</v>
      </c>
      <c r="K628">
        <v>0.354657</v>
      </c>
      <c r="L628">
        <v>60</v>
      </c>
      <c r="M628">
        <v>3</v>
      </c>
      <c r="N628">
        <v>7</v>
      </c>
      <c r="O628">
        <v>0.70135899999999995</v>
      </c>
      <c r="P628">
        <v>0.37552099999999999</v>
      </c>
      <c r="Q628">
        <v>0.29420600000000002</v>
      </c>
    </row>
    <row r="629" spans="1:17" x14ac:dyDescent="0.25">
      <c r="A629" t="str">
        <f>IF(C629&amp;G629&amp;D629&lt;&gt;'Funnel setup'!$K$3&amp;'Funnel setup'!$K$4&amp;'Funnel setup'!$K$6,".",IF(A628=".",1,A628+1))</f>
        <v>.</v>
      </c>
      <c r="B629" s="244" t="str">
        <f t="shared" si="9"/>
        <v>Hip Replacement PrimaryProviderHAMPSHIRE CLINIC (NT418)EQ-5D Index</v>
      </c>
      <c r="C629" t="s">
        <v>749</v>
      </c>
      <c r="D629" t="s">
        <v>965</v>
      </c>
      <c r="E629" t="s">
        <v>264</v>
      </c>
      <c r="F629" t="s">
        <v>265</v>
      </c>
      <c r="G629" t="s">
        <v>963</v>
      </c>
      <c r="H629">
        <v>27</v>
      </c>
      <c r="I629">
        <v>0.52533300000000005</v>
      </c>
      <c r="J629">
        <v>0.85003700000000004</v>
      </c>
      <c r="K629">
        <v>0.32470399999999999</v>
      </c>
      <c r="L629">
        <v>22</v>
      </c>
      <c r="M629">
        <v>4</v>
      </c>
      <c r="N629">
        <v>1</v>
      </c>
      <c r="O629" t="s">
        <v>127</v>
      </c>
      <c r="P629" t="s">
        <v>127</v>
      </c>
      <c r="Q629" t="s">
        <v>127</v>
      </c>
    </row>
    <row r="630" spans="1:17" x14ac:dyDescent="0.25">
      <c r="A630" t="str">
        <f>IF(C630&amp;G630&amp;D630&lt;&gt;'Funnel setup'!$K$3&amp;'Funnel setup'!$K$4&amp;'Funnel setup'!$K$6,".",IF(A629=".",1,A629+1))</f>
        <v>.</v>
      </c>
      <c r="B630" s="244" t="str">
        <f t="shared" si="9"/>
        <v>Hip Replacement PrimaryProviderHAMPSHIRE HOSPITALS NHS FOUNDATION TRUST (RN5)EQ-5D Index</v>
      </c>
      <c r="C630" t="s">
        <v>749</v>
      </c>
      <c r="D630" t="s">
        <v>965</v>
      </c>
      <c r="E630" t="s">
        <v>266</v>
      </c>
      <c r="F630" t="s">
        <v>267</v>
      </c>
      <c r="G630" t="s">
        <v>963</v>
      </c>
      <c r="H630">
        <v>32</v>
      </c>
      <c r="I630">
        <v>0.25828099999999998</v>
      </c>
      <c r="J630">
        <v>0.78065600000000002</v>
      </c>
      <c r="K630">
        <v>0.52237500000000003</v>
      </c>
      <c r="L630">
        <v>30</v>
      </c>
      <c r="M630">
        <v>2</v>
      </c>
      <c r="N630">
        <v>0</v>
      </c>
      <c r="O630">
        <v>0.80086999999999997</v>
      </c>
      <c r="P630">
        <v>0.47503200000000001</v>
      </c>
      <c r="Q630">
        <v>0.22821900000000001</v>
      </c>
    </row>
    <row r="631" spans="1:17" x14ac:dyDescent="0.25">
      <c r="A631" t="str">
        <f>IF(C631&amp;G631&amp;D631&lt;&gt;'Funnel setup'!$K$3&amp;'Funnel setup'!$K$4&amp;'Funnel setup'!$K$6,".",IF(A630=".",1,A630+1))</f>
        <v>.</v>
      </c>
      <c r="B631" s="244" t="str">
        <f t="shared" si="9"/>
        <v>Hip Replacement PrimaryProviderHARBOUR HOSPITAL (NT419)EQ-5D Index</v>
      </c>
      <c r="C631" t="s">
        <v>749</v>
      </c>
      <c r="D631" t="s">
        <v>965</v>
      </c>
      <c r="E631" t="s">
        <v>268</v>
      </c>
      <c r="F631" t="s">
        <v>269</v>
      </c>
      <c r="G631" t="s">
        <v>963</v>
      </c>
      <c r="H631">
        <v>10</v>
      </c>
      <c r="I631">
        <v>0.46539999999999998</v>
      </c>
      <c r="J631">
        <v>0.88749999999999996</v>
      </c>
      <c r="K631">
        <v>0.42209999999999998</v>
      </c>
      <c r="L631">
        <v>9</v>
      </c>
      <c r="M631">
        <v>1</v>
      </c>
      <c r="N631">
        <v>0</v>
      </c>
      <c r="O631" t="s">
        <v>127</v>
      </c>
      <c r="P631" t="s">
        <v>127</v>
      </c>
      <c r="Q631" t="s">
        <v>127</v>
      </c>
    </row>
    <row r="632" spans="1:17" x14ac:dyDescent="0.25">
      <c r="A632" t="str">
        <f>IF(C632&amp;G632&amp;D632&lt;&gt;'Funnel setup'!$K$3&amp;'Funnel setup'!$K$4&amp;'Funnel setup'!$K$6,".",IF(A631=".",1,A631+1))</f>
        <v>.</v>
      </c>
      <c r="B632" s="244" t="str">
        <f t="shared" si="9"/>
        <v>Hip Replacement PrimaryProviderHARROGATE AND DISTRICT NHS FOUNDATION TRUST (RCD)EQ-5D Index</v>
      </c>
      <c r="C632" t="s">
        <v>749</v>
      </c>
      <c r="D632" t="s">
        <v>965</v>
      </c>
      <c r="E632" t="s">
        <v>270</v>
      </c>
      <c r="F632" t="s">
        <v>271</v>
      </c>
      <c r="G632" t="s">
        <v>963</v>
      </c>
      <c r="H632">
        <v>74</v>
      </c>
      <c r="I632">
        <v>0.30920300000000001</v>
      </c>
      <c r="J632">
        <v>0.81694599999999995</v>
      </c>
      <c r="K632">
        <v>0.50774300000000006</v>
      </c>
      <c r="L632">
        <v>69</v>
      </c>
      <c r="M632">
        <v>3</v>
      </c>
      <c r="N632">
        <v>2</v>
      </c>
      <c r="O632">
        <v>0.82997900000000002</v>
      </c>
      <c r="P632">
        <v>0.50414099999999995</v>
      </c>
      <c r="Q632">
        <v>0.220475</v>
      </c>
    </row>
    <row r="633" spans="1:17" x14ac:dyDescent="0.25">
      <c r="A633" t="str">
        <f>IF(C633&amp;G633&amp;D633&lt;&gt;'Funnel setup'!$K$3&amp;'Funnel setup'!$K$4&amp;'Funnel setup'!$K$6,".",IF(A632=".",1,A632+1))</f>
        <v>.</v>
      </c>
      <c r="B633" s="244" t="str">
        <f t="shared" si="9"/>
        <v>Hip Replacement PrimaryProviderHIGHFIELD HOSPITAL (NT420)EQ-5D Index</v>
      </c>
      <c r="C633" t="s">
        <v>749</v>
      </c>
      <c r="D633" t="s">
        <v>965</v>
      </c>
      <c r="E633" t="s">
        <v>272</v>
      </c>
      <c r="F633" t="s">
        <v>273</v>
      </c>
      <c r="G633" t="s">
        <v>963</v>
      </c>
      <c r="H633">
        <v>141</v>
      </c>
      <c r="I633">
        <v>0.37060300000000002</v>
      </c>
      <c r="J633">
        <v>0.84458900000000003</v>
      </c>
      <c r="K633">
        <v>0.47398600000000002</v>
      </c>
      <c r="L633">
        <v>132</v>
      </c>
      <c r="M633">
        <v>5</v>
      </c>
      <c r="N633">
        <v>4</v>
      </c>
      <c r="O633">
        <v>0.83455299999999999</v>
      </c>
      <c r="P633">
        <v>0.50871500000000003</v>
      </c>
      <c r="Q633">
        <v>0.19606399999999999</v>
      </c>
    </row>
    <row r="634" spans="1:17" x14ac:dyDescent="0.25">
      <c r="A634" t="str">
        <f>IF(C634&amp;G634&amp;D634&lt;&gt;'Funnel setup'!$K$3&amp;'Funnel setup'!$K$4&amp;'Funnel setup'!$K$6,".",IF(A633=".",1,A633+1))</f>
        <v>.</v>
      </c>
      <c r="B634" s="244" t="str">
        <f t="shared" si="9"/>
        <v>Hip Replacement PrimaryProviderHOMERTON HEALTHCARE NHS FOUNDATION TRUST (RQX)EQ-5D Index</v>
      </c>
      <c r="C634" t="s">
        <v>749</v>
      </c>
      <c r="D634" t="s">
        <v>965</v>
      </c>
      <c r="E634" t="s">
        <v>274</v>
      </c>
      <c r="F634" t="s">
        <v>275</v>
      </c>
      <c r="G634" t="s">
        <v>963</v>
      </c>
      <c r="H634">
        <v>4</v>
      </c>
      <c r="I634">
        <v>0.18124999999999999</v>
      </c>
      <c r="J634">
        <v>0.72399999999999998</v>
      </c>
      <c r="K634">
        <v>0.54274999999999995</v>
      </c>
      <c r="L634">
        <v>4</v>
      </c>
      <c r="M634">
        <v>0</v>
      </c>
      <c r="N634">
        <v>0</v>
      </c>
      <c r="O634" t="s">
        <v>127</v>
      </c>
      <c r="P634" t="s">
        <v>127</v>
      </c>
      <c r="Q634" t="s">
        <v>127</v>
      </c>
    </row>
    <row r="635" spans="1:17" x14ac:dyDescent="0.25">
      <c r="A635" t="str">
        <f>IF(C635&amp;G635&amp;D635&lt;&gt;'Funnel setup'!$K$3&amp;'Funnel setup'!$K$4&amp;'Funnel setup'!$K$6,".",IF(A634=".",1,A634+1))</f>
        <v>.</v>
      </c>
      <c r="B635" s="244" t="str">
        <f t="shared" si="9"/>
        <v>Hip Replacement PrimaryProviderHUDDERSFIELD HOSPITAL (NT448)EQ-5D Index</v>
      </c>
      <c r="C635" t="s">
        <v>749</v>
      </c>
      <c r="D635" t="s">
        <v>965</v>
      </c>
      <c r="E635" t="s">
        <v>276</v>
      </c>
      <c r="F635" t="s">
        <v>277</v>
      </c>
      <c r="G635" t="s">
        <v>963</v>
      </c>
      <c r="H635">
        <v>8</v>
      </c>
      <c r="I635">
        <v>0.40737499999999999</v>
      </c>
      <c r="J635">
        <v>0.84775</v>
      </c>
      <c r="K635">
        <v>0.44037500000000002</v>
      </c>
      <c r="L635">
        <v>8</v>
      </c>
      <c r="M635">
        <v>0</v>
      </c>
      <c r="N635">
        <v>0</v>
      </c>
      <c r="O635" t="s">
        <v>127</v>
      </c>
      <c r="P635" t="s">
        <v>127</v>
      </c>
      <c r="Q635" t="s">
        <v>127</v>
      </c>
    </row>
    <row r="636" spans="1:17" x14ac:dyDescent="0.25">
      <c r="A636" t="str">
        <f>IF(C636&amp;G636&amp;D636&lt;&gt;'Funnel setup'!$K$3&amp;'Funnel setup'!$K$4&amp;'Funnel setup'!$K$6,".",IF(A635=".",1,A635+1))</f>
        <v>.</v>
      </c>
      <c r="B636" s="244" t="str">
        <f t="shared" si="9"/>
        <v>Hip Replacement PrimaryProviderHULL UNIVERSITY TEACHING HOSPITALS NHS TRUST (RWA)EQ-5D Index</v>
      </c>
      <c r="C636" t="s">
        <v>749</v>
      </c>
      <c r="D636" t="s">
        <v>965</v>
      </c>
      <c r="E636" t="s">
        <v>278</v>
      </c>
      <c r="F636" t="s">
        <v>279</v>
      </c>
      <c r="G636" t="s">
        <v>963</v>
      </c>
      <c r="H636">
        <v>31</v>
      </c>
      <c r="I636">
        <v>0.20141899999999999</v>
      </c>
      <c r="J636">
        <v>0.64480599999999999</v>
      </c>
      <c r="K636">
        <v>0.44338699999999998</v>
      </c>
      <c r="L636">
        <v>26</v>
      </c>
      <c r="M636">
        <v>3</v>
      </c>
      <c r="N636">
        <v>2</v>
      </c>
      <c r="O636">
        <v>0.70379400000000003</v>
      </c>
      <c r="P636">
        <v>0.37795499999999999</v>
      </c>
      <c r="Q636">
        <v>0.33234900000000001</v>
      </c>
    </row>
    <row r="637" spans="1:17" x14ac:dyDescent="0.25">
      <c r="A637" t="str">
        <f>IF(C637&amp;G637&amp;D637&lt;&gt;'Funnel setup'!$K$3&amp;'Funnel setup'!$K$4&amp;'Funnel setup'!$K$6,".",IF(A636=".",1,A636+1))</f>
        <v>.</v>
      </c>
      <c r="B637" s="244" t="str">
        <f t="shared" si="9"/>
        <v>Hip Replacement PrimaryProviderIMPERIAL COLLEGE HEALTHCARE NHS TRUST (RYJ)EQ-5D Index</v>
      </c>
      <c r="C637" t="s">
        <v>749</v>
      </c>
      <c r="D637" t="s">
        <v>965</v>
      </c>
      <c r="E637" t="s">
        <v>280</v>
      </c>
      <c r="F637" t="s">
        <v>281</v>
      </c>
      <c r="G637" t="s">
        <v>963</v>
      </c>
      <c r="H637">
        <v>21</v>
      </c>
      <c r="I637">
        <v>0.197238</v>
      </c>
      <c r="J637">
        <v>0.86180999999999996</v>
      </c>
      <c r="K637">
        <v>0.66457100000000002</v>
      </c>
      <c r="L637">
        <v>21</v>
      </c>
      <c r="M637">
        <v>0</v>
      </c>
      <c r="N637">
        <v>0</v>
      </c>
      <c r="O637" t="s">
        <v>127</v>
      </c>
      <c r="P637" t="s">
        <v>127</v>
      </c>
      <c r="Q637" t="s">
        <v>127</v>
      </c>
    </row>
    <row r="638" spans="1:17" x14ac:dyDescent="0.25">
      <c r="A638" t="str">
        <f>IF(C638&amp;G638&amp;D638&lt;&gt;'Funnel setup'!$K$3&amp;'Funnel setup'!$K$4&amp;'Funnel setup'!$K$6,".",IF(A637=".",1,A637+1))</f>
        <v>.</v>
      </c>
      <c r="B638" s="244" t="str">
        <f t="shared" si="9"/>
        <v>Hip Replacement PrimaryProviderISLE OF WIGHT NHS TRUST (R1F)EQ-5D Index</v>
      </c>
      <c r="C638" t="s">
        <v>749</v>
      </c>
      <c r="D638" t="s">
        <v>965</v>
      </c>
      <c r="E638" t="s">
        <v>282</v>
      </c>
      <c r="F638" t="s">
        <v>283</v>
      </c>
      <c r="G638" t="s">
        <v>963</v>
      </c>
      <c r="H638">
        <v>2</v>
      </c>
      <c r="I638">
        <v>0.38950000000000001</v>
      </c>
      <c r="J638">
        <v>0.85499999999999998</v>
      </c>
      <c r="K638">
        <v>0.46550000000000002</v>
      </c>
      <c r="L638">
        <v>2</v>
      </c>
      <c r="M638">
        <v>0</v>
      </c>
      <c r="N638">
        <v>0</v>
      </c>
      <c r="O638" t="s">
        <v>127</v>
      </c>
      <c r="P638" t="s">
        <v>127</v>
      </c>
      <c r="Q638" t="s">
        <v>127</v>
      </c>
    </row>
    <row r="639" spans="1:17" x14ac:dyDescent="0.25">
      <c r="A639" t="str">
        <f>IF(C639&amp;G639&amp;D639&lt;&gt;'Funnel setup'!$K$3&amp;'Funnel setup'!$K$4&amp;'Funnel setup'!$K$6,".",IF(A638=".",1,A638+1))</f>
        <v>.</v>
      </c>
      <c r="B639" s="244" t="str">
        <f t="shared" si="9"/>
        <v>Hip Replacement PrimaryProviderJAMES PAGET UNIVERSITY HOSPITALS NHS FOUNDATION TRUST (RGP)EQ-5D Index</v>
      </c>
      <c r="C639" t="s">
        <v>749</v>
      </c>
      <c r="D639" t="s">
        <v>965</v>
      </c>
      <c r="E639" t="s">
        <v>284</v>
      </c>
      <c r="F639" t="s">
        <v>285</v>
      </c>
      <c r="G639" t="s">
        <v>963</v>
      </c>
      <c r="H639">
        <v>66</v>
      </c>
      <c r="I639">
        <v>0.240788</v>
      </c>
      <c r="J639">
        <v>0.74609099999999995</v>
      </c>
      <c r="K639">
        <v>0.50530299999999995</v>
      </c>
      <c r="L639">
        <v>60</v>
      </c>
      <c r="M639">
        <v>3</v>
      </c>
      <c r="N639">
        <v>3</v>
      </c>
      <c r="O639">
        <v>0.76606300000000005</v>
      </c>
      <c r="P639">
        <v>0.440224</v>
      </c>
      <c r="Q639">
        <v>0.29730400000000001</v>
      </c>
    </row>
    <row r="640" spans="1:17" x14ac:dyDescent="0.25">
      <c r="A640" t="str">
        <f>IF(C640&amp;G640&amp;D640&lt;&gt;'Funnel setup'!$K$3&amp;'Funnel setup'!$K$4&amp;'Funnel setup'!$K$6,".",IF(A639=".",1,A639+1))</f>
        <v>.</v>
      </c>
      <c r="B640" s="244" t="str">
        <f t="shared" si="9"/>
        <v>Hip Replacement PrimaryProviderKETTERING GENERAL HOSPITAL NHS FOUNDATION TRUST (RNQ)EQ-5D Index</v>
      </c>
      <c r="C640" t="s">
        <v>749</v>
      </c>
      <c r="D640" t="s">
        <v>965</v>
      </c>
      <c r="E640" t="s">
        <v>286</v>
      </c>
      <c r="F640" t="s">
        <v>287</v>
      </c>
      <c r="G640" t="s">
        <v>963</v>
      </c>
      <c r="H640">
        <v>27</v>
      </c>
      <c r="I640">
        <v>0.189667</v>
      </c>
      <c r="J640">
        <v>0.722889</v>
      </c>
      <c r="K640">
        <v>0.53322199999999997</v>
      </c>
      <c r="L640">
        <v>24</v>
      </c>
      <c r="M640">
        <v>1</v>
      </c>
      <c r="N640">
        <v>2</v>
      </c>
      <c r="O640" t="s">
        <v>127</v>
      </c>
      <c r="P640" t="s">
        <v>127</v>
      </c>
      <c r="Q640" t="s">
        <v>127</v>
      </c>
    </row>
    <row r="641" spans="1:17" x14ac:dyDescent="0.25">
      <c r="A641" t="str">
        <f>IF(C641&amp;G641&amp;D641&lt;&gt;'Funnel setup'!$K$3&amp;'Funnel setup'!$K$4&amp;'Funnel setup'!$K$6,".",IF(A640=".",1,A640+1))</f>
        <v>.</v>
      </c>
      <c r="B641" s="244" t="str">
        <f t="shared" si="9"/>
        <v>Hip Replacement PrimaryProviderKIMS HOSPITAL (NEWNHAM COURT) (ADP02)EQ-5D Index</v>
      </c>
      <c r="C641" t="s">
        <v>749</v>
      </c>
      <c r="D641" t="s">
        <v>965</v>
      </c>
      <c r="E641" t="s">
        <v>288</v>
      </c>
      <c r="F641" t="s">
        <v>289</v>
      </c>
      <c r="G641" t="s">
        <v>963</v>
      </c>
      <c r="H641">
        <v>102</v>
      </c>
      <c r="I641">
        <v>0.41298000000000001</v>
      </c>
      <c r="J641">
        <v>0.82252899999999995</v>
      </c>
      <c r="K641">
        <v>0.409549</v>
      </c>
      <c r="L641">
        <v>95</v>
      </c>
      <c r="M641">
        <v>4</v>
      </c>
      <c r="N641">
        <v>3</v>
      </c>
      <c r="O641">
        <v>0.78957999999999995</v>
      </c>
      <c r="P641">
        <v>0.46374100000000001</v>
      </c>
      <c r="Q641">
        <v>0.195356</v>
      </c>
    </row>
    <row r="642" spans="1:17" x14ac:dyDescent="0.25">
      <c r="A642" t="str">
        <f>IF(C642&amp;G642&amp;D642&lt;&gt;'Funnel setup'!$K$3&amp;'Funnel setup'!$K$4&amp;'Funnel setup'!$K$6,".",IF(A641=".",1,A641+1))</f>
        <v>.</v>
      </c>
      <c r="B642" s="244" t="str">
        <f t="shared" ref="B642:B705" si="10">C642&amp;D642&amp;F642&amp;G642</f>
        <v>Hip Replacement PrimaryProviderKING'S COLLEGE HOSPITAL NHS FOUNDATION TRUST (RJZ)EQ-5D Index</v>
      </c>
      <c r="C642" t="s">
        <v>749</v>
      </c>
      <c r="D642" t="s">
        <v>965</v>
      </c>
      <c r="E642" t="s">
        <v>290</v>
      </c>
      <c r="F642" t="s">
        <v>291</v>
      </c>
      <c r="G642" t="s">
        <v>963</v>
      </c>
      <c r="H642">
        <v>14</v>
      </c>
      <c r="I642">
        <v>0.39607100000000001</v>
      </c>
      <c r="J642">
        <v>0.59642899999999999</v>
      </c>
      <c r="K642">
        <v>0.20035700000000001</v>
      </c>
      <c r="L642">
        <v>8</v>
      </c>
      <c r="M642">
        <v>4</v>
      </c>
      <c r="N642">
        <v>2</v>
      </c>
      <c r="O642" t="s">
        <v>127</v>
      </c>
      <c r="P642" t="s">
        <v>127</v>
      </c>
      <c r="Q642" t="s">
        <v>127</v>
      </c>
    </row>
    <row r="643" spans="1:17" x14ac:dyDescent="0.25">
      <c r="A643" t="str">
        <f>IF(C643&amp;G643&amp;D643&lt;&gt;'Funnel setup'!$K$3&amp;'Funnel setup'!$K$4&amp;'Funnel setup'!$K$6,".",IF(A642=".",1,A642+1))</f>
        <v>.</v>
      </c>
      <c r="B643" s="244" t="str">
        <f t="shared" si="10"/>
        <v>Hip Replacement PrimaryProviderKINGS OAK HOSPITAL (NT421)EQ-5D Index</v>
      </c>
      <c r="C643" t="s">
        <v>749</v>
      </c>
      <c r="D643" t="s">
        <v>965</v>
      </c>
      <c r="E643" t="s">
        <v>292</v>
      </c>
      <c r="F643" t="s">
        <v>293</v>
      </c>
      <c r="G643" t="s">
        <v>963</v>
      </c>
      <c r="H643">
        <v>15</v>
      </c>
      <c r="I643">
        <v>0.32553300000000002</v>
      </c>
      <c r="J643">
        <v>0.849333</v>
      </c>
      <c r="K643">
        <v>0.52380000000000004</v>
      </c>
      <c r="L643">
        <v>14</v>
      </c>
      <c r="M643">
        <v>0</v>
      </c>
      <c r="N643">
        <v>1</v>
      </c>
      <c r="O643" t="s">
        <v>127</v>
      </c>
      <c r="P643" t="s">
        <v>127</v>
      </c>
      <c r="Q643" t="s">
        <v>127</v>
      </c>
    </row>
    <row r="644" spans="1:17" x14ac:dyDescent="0.25">
      <c r="A644" t="str">
        <f>IF(C644&amp;G644&amp;D644&lt;&gt;'Funnel setup'!$K$3&amp;'Funnel setup'!$K$4&amp;'Funnel setup'!$K$6,".",IF(A643=".",1,A643+1))</f>
        <v>.</v>
      </c>
      <c r="B644" s="244" t="str">
        <f t="shared" si="10"/>
        <v>Hip Replacement PrimaryProviderLANCASHIRE TEACHING HOSPITALS NHS FOUNDATION TRUST (RXN)EQ-5D Index</v>
      </c>
      <c r="C644" t="s">
        <v>749</v>
      </c>
      <c r="D644" t="s">
        <v>965</v>
      </c>
      <c r="E644" t="s">
        <v>296</v>
      </c>
      <c r="F644" t="s">
        <v>297</v>
      </c>
      <c r="G644" t="s">
        <v>963</v>
      </c>
      <c r="H644">
        <v>29</v>
      </c>
      <c r="I644">
        <v>0.21875900000000001</v>
      </c>
      <c r="J644">
        <v>0.66237900000000005</v>
      </c>
      <c r="K644">
        <v>0.44362099999999999</v>
      </c>
      <c r="L644">
        <v>24</v>
      </c>
      <c r="M644">
        <v>2</v>
      </c>
      <c r="N644">
        <v>3</v>
      </c>
      <c r="O644" t="s">
        <v>127</v>
      </c>
      <c r="P644" t="s">
        <v>127</v>
      </c>
      <c r="Q644" t="s">
        <v>127</v>
      </c>
    </row>
    <row r="645" spans="1:17" x14ac:dyDescent="0.25">
      <c r="A645" t="str">
        <f>IF(C645&amp;G645&amp;D645&lt;&gt;'Funnel setup'!$K$3&amp;'Funnel setup'!$K$4&amp;'Funnel setup'!$K$6,".",IF(A644=".",1,A644+1))</f>
        <v>.</v>
      </c>
      <c r="B645" s="244" t="str">
        <f t="shared" si="10"/>
        <v>Hip Replacement PrimaryProviderLANCASTER HOSPITAL (NT449)EQ-5D Index</v>
      </c>
      <c r="C645" t="s">
        <v>749</v>
      </c>
      <c r="D645" t="s">
        <v>965</v>
      </c>
      <c r="E645" t="s">
        <v>298</v>
      </c>
      <c r="F645" t="s">
        <v>299</v>
      </c>
      <c r="G645" t="s">
        <v>963</v>
      </c>
      <c r="H645">
        <v>22</v>
      </c>
      <c r="I645">
        <v>0.43490899999999999</v>
      </c>
      <c r="J645">
        <v>0.90104499999999998</v>
      </c>
      <c r="K645">
        <v>0.46613599999999999</v>
      </c>
      <c r="L645">
        <v>21</v>
      </c>
      <c r="M645">
        <v>1</v>
      </c>
      <c r="N645">
        <v>0</v>
      </c>
      <c r="O645" t="s">
        <v>127</v>
      </c>
      <c r="P645" t="s">
        <v>127</v>
      </c>
      <c r="Q645" t="s">
        <v>127</v>
      </c>
    </row>
    <row r="646" spans="1:17" x14ac:dyDescent="0.25">
      <c r="A646" t="str">
        <f>IF(C646&amp;G646&amp;D646&lt;&gt;'Funnel setup'!$K$3&amp;'Funnel setup'!$K$4&amp;'Funnel setup'!$K$6,".",IF(A645=".",1,A645+1))</f>
        <v>.</v>
      </c>
      <c r="B646" s="244" t="str">
        <f t="shared" si="10"/>
        <v>Hip Replacement PrimaryProviderLEEDS TEACHING HOSPITALS NHS TRUST (RR8)EQ-5D Index</v>
      </c>
      <c r="C646" t="s">
        <v>749</v>
      </c>
      <c r="D646" t="s">
        <v>965</v>
      </c>
      <c r="E646" t="s">
        <v>300</v>
      </c>
      <c r="F646" t="s">
        <v>301</v>
      </c>
      <c r="G646" t="s">
        <v>963</v>
      </c>
      <c r="H646">
        <v>98</v>
      </c>
      <c r="I646">
        <v>0.33719399999999999</v>
      </c>
      <c r="J646">
        <v>0.75557099999999999</v>
      </c>
      <c r="K646">
        <v>0.41837800000000003</v>
      </c>
      <c r="L646">
        <v>79</v>
      </c>
      <c r="M646">
        <v>7</v>
      </c>
      <c r="N646">
        <v>12</v>
      </c>
      <c r="O646">
        <v>0.76107400000000003</v>
      </c>
      <c r="P646">
        <v>0.43523600000000001</v>
      </c>
      <c r="Q646">
        <v>0.21798500000000001</v>
      </c>
    </row>
    <row r="647" spans="1:17" x14ac:dyDescent="0.25">
      <c r="A647" t="str">
        <f>IF(C647&amp;G647&amp;D647&lt;&gt;'Funnel setup'!$K$3&amp;'Funnel setup'!$K$4&amp;'Funnel setup'!$K$6,".",IF(A646=".",1,A646+1))</f>
        <v>.</v>
      </c>
      <c r="B647" s="244" t="str">
        <f t="shared" si="10"/>
        <v>Hip Replacement PrimaryProviderLEWISHAM AND GREENWICH NHS TRUST (RJ2)EQ-5D Index</v>
      </c>
      <c r="C647" t="s">
        <v>749</v>
      </c>
      <c r="D647" t="s">
        <v>965</v>
      </c>
      <c r="E647" t="s">
        <v>302</v>
      </c>
      <c r="F647" t="s">
        <v>303</v>
      </c>
      <c r="G647" t="s">
        <v>963</v>
      </c>
      <c r="H647">
        <v>2</v>
      </c>
      <c r="I647">
        <v>0.69</v>
      </c>
      <c r="J647">
        <v>1</v>
      </c>
      <c r="K647">
        <v>0.31</v>
      </c>
      <c r="L647">
        <v>2</v>
      </c>
      <c r="M647">
        <v>0</v>
      </c>
      <c r="N647">
        <v>0</v>
      </c>
      <c r="O647" t="s">
        <v>127</v>
      </c>
      <c r="P647" t="s">
        <v>127</v>
      </c>
      <c r="Q647" t="s">
        <v>127</v>
      </c>
    </row>
    <row r="648" spans="1:17" x14ac:dyDescent="0.25">
      <c r="A648" t="str">
        <f>IF(C648&amp;G648&amp;D648&lt;&gt;'Funnel setup'!$K$3&amp;'Funnel setup'!$K$4&amp;'Funnel setup'!$K$6,".",IF(A647=".",1,A647+1))</f>
        <v>.</v>
      </c>
      <c r="B648" s="244" t="str">
        <f t="shared" si="10"/>
        <v>Hip Replacement PrimaryProviderLINCOLN HOSPITAL (NT450)EQ-5D Index</v>
      </c>
      <c r="C648" t="s">
        <v>749</v>
      </c>
      <c r="D648" t="s">
        <v>965</v>
      </c>
      <c r="E648" t="s">
        <v>304</v>
      </c>
      <c r="F648" t="s">
        <v>305</v>
      </c>
      <c r="G648" t="s">
        <v>963</v>
      </c>
      <c r="H648">
        <v>67</v>
      </c>
      <c r="I648">
        <v>0.38647799999999999</v>
      </c>
      <c r="J648">
        <v>0.816299</v>
      </c>
      <c r="K648">
        <v>0.42982100000000001</v>
      </c>
      <c r="L648">
        <v>57</v>
      </c>
      <c r="M648">
        <v>5</v>
      </c>
      <c r="N648">
        <v>5</v>
      </c>
      <c r="O648">
        <v>0.80369400000000002</v>
      </c>
      <c r="P648">
        <v>0.47785499999999997</v>
      </c>
      <c r="Q648">
        <v>0.26884200000000003</v>
      </c>
    </row>
    <row r="649" spans="1:17" x14ac:dyDescent="0.25">
      <c r="A649" t="str">
        <f>IF(C649&amp;G649&amp;D649&lt;&gt;'Funnel setup'!$K$3&amp;'Funnel setup'!$K$4&amp;'Funnel setup'!$K$6,".",IF(A648=".",1,A648+1))</f>
        <v>.</v>
      </c>
      <c r="B649" s="244" t="str">
        <f t="shared" si="10"/>
        <v>Hip Replacement PrimaryProviderLIVERPOOL UNIVERSITY HOSPITALS NHS FOUNDATION TRUST (REM)EQ-5D Index</v>
      </c>
      <c r="C649" t="s">
        <v>749</v>
      </c>
      <c r="D649" t="s">
        <v>965</v>
      </c>
      <c r="E649" t="s">
        <v>306</v>
      </c>
      <c r="F649" t="s">
        <v>307</v>
      </c>
      <c r="G649" t="s">
        <v>963</v>
      </c>
      <c r="H649">
        <v>83</v>
      </c>
      <c r="I649">
        <v>0.146735</v>
      </c>
      <c r="J649">
        <v>0.70191599999999998</v>
      </c>
      <c r="K649">
        <v>0.55518100000000004</v>
      </c>
      <c r="L649">
        <v>77</v>
      </c>
      <c r="M649">
        <v>4</v>
      </c>
      <c r="N649">
        <v>2</v>
      </c>
      <c r="O649">
        <v>0.79164900000000005</v>
      </c>
      <c r="P649">
        <v>0.46581099999999998</v>
      </c>
      <c r="Q649">
        <v>0.27501399999999998</v>
      </c>
    </row>
    <row r="650" spans="1:17" x14ac:dyDescent="0.25">
      <c r="A650" t="str">
        <f>IF(C650&amp;G650&amp;D650&lt;&gt;'Funnel setup'!$K$3&amp;'Funnel setup'!$K$4&amp;'Funnel setup'!$K$6,".",IF(A649=".",1,A649+1))</f>
        <v>.</v>
      </c>
      <c r="B650" s="244" t="str">
        <f t="shared" si="10"/>
        <v>Hip Replacement PrimaryProviderLONDON INDEPENDENT HOSPITAL (NT422)EQ-5D Index</v>
      </c>
      <c r="C650" t="s">
        <v>749</v>
      </c>
      <c r="D650" t="s">
        <v>965</v>
      </c>
      <c r="E650" t="s">
        <v>308</v>
      </c>
      <c r="F650" t="s">
        <v>309</v>
      </c>
      <c r="G650" t="s">
        <v>963</v>
      </c>
      <c r="H650">
        <v>8</v>
      </c>
      <c r="I650">
        <v>0.23874999999999999</v>
      </c>
      <c r="J650">
        <v>0.82887500000000003</v>
      </c>
      <c r="K650">
        <v>0.59012500000000001</v>
      </c>
      <c r="L650">
        <v>8</v>
      </c>
      <c r="M650">
        <v>0</v>
      </c>
      <c r="N650">
        <v>0</v>
      </c>
      <c r="O650" t="s">
        <v>127</v>
      </c>
      <c r="P650" t="s">
        <v>127</v>
      </c>
      <c r="Q650" t="s">
        <v>127</v>
      </c>
    </row>
    <row r="651" spans="1:17" x14ac:dyDescent="0.25">
      <c r="A651" t="str">
        <f>IF(C651&amp;G651&amp;D651&lt;&gt;'Funnel setup'!$K$3&amp;'Funnel setup'!$K$4&amp;'Funnel setup'!$K$6,".",IF(A650=".",1,A650+1))</f>
        <v>.</v>
      </c>
      <c r="B651" s="244" t="str">
        <f t="shared" si="10"/>
        <v>Hip Replacement PrimaryProviderMAIDSTONE AND TUNBRIDGE WELLS NHS TRUST (RWF)EQ-5D Index</v>
      </c>
      <c r="C651" t="s">
        <v>749</v>
      </c>
      <c r="D651" t="s">
        <v>965</v>
      </c>
      <c r="E651" t="s">
        <v>312</v>
      </c>
      <c r="F651" t="s">
        <v>313</v>
      </c>
      <c r="G651" t="s">
        <v>963</v>
      </c>
      <c r="H651">
        <v>115</v>
      </c>
      <c r="I651">
        <v>0.42087799999999997</v>
      </c>
      <c r="J651">
        <v>0.83681700000000003</v>
      </c>
      <c r="K651">
        <v>0.415939</v>
      </c>
      <c r="L651">
        <v>107</v>
      </c>
      <c r="M651">
        <v>5</v>
      </c>
      <c r="N651">
        <v>3</v>
      </c>
      <c r="O651">
        <v>0.80535800000000002</v>
      </c>
      <c r="P651">
        <v>0.47952</v>
      </c>
      <c r="Q651">
        <v>0.17760699999999999</v>
      </c>
    </row>
    <row r="652" spans="1:17" x14ac:dyDescent="0.25">
      <c r="A652" t="str">
        <f>IF(C652&amp;G652&amp;D652&lt;&gt;'Funnel setup'!$K$3&amp;'Funnel setup'!$K$4&amp;'Funnel setup'!$K$6,".",IF(A651=".",1,A651+1))</f>
        <v>.</v>
      </c>
      <c r="B652" s="244" t="str">
        <f t="shared" si="10"/>
        <v>Hip Replacement PrimaryProviderMANCHESTER UNIVERSITY NHS FOUNDATION TRUST (R0A)EQ-5D Index</v>
      </c>
      <c r="C652" t="s">
        <v>749</v>
      </c>
      <c r="D652" t="s">
        <v>965</v>
      </c>
      <c r="E652" t="s">
        <v>316</v>
      </c>
      <c r="F652" t="s">
        <v>317</v>
      </c>
      <c r="G652" t="s">
        <v>963</v>
      </c>
      <c r="H652">
        <v>97</v>
      </c>
      <c r="I652">
        <v>0.26661899999999999</v>
      </c>
      <c r="J652">
        <v>0.72985599999999995</v>
      </c>
      <c r="K652">
        <v>0.46323700000000001</v>
      </c>
      <c r="L652">
        <v>86</v>
      </c>
      <c r="M652">
        <v>4</v>
      </c>
      <c r="N652">
        <v>7</v>
      </c>
      <c r="O652">
        <v>0.76115999999999995</v>
      </c>
      <c r="P652">
        <v>0.43532199999999999</v>
      </c>
      <c r="Q652">
        <v>0.26441700000000001</v>
      </c>
    </row>
    <row r="653" spans="1:17" x14ac:dyDescent="0.25">
      <c r="A653" t="str">
        <f>IF(C653&amp;G653&amp;D653&lt;&gt;'Funnel setup'!$K$3&amp;'Funnel setup'!$K$4&amp;'Funnel setup'!$K$6,".",IF(A652=".",1,A652+1))</f>
        <v>.</v>
      </c>
      <c r="B653" s="244" t="str">
        <f t="shared" si="10"/>
        <v>Hip Replacement PrimaryProviderMANOR HOSPITAL (NT423)EQ-5D Index</v>
      </c>
      <c r="C653" t="s">
        <v>749</v>
      </c>
      <c r="D653" t="s">
        <v>965</v>
      </c>
      <c r="E653" t="s">
        <v>318</v>
      </c>
      <c r="F653" t="s">
        <v>319</v>
      </c>
      <c r="G653" t="s">
        <v>963</v>
      </c>
      <c r="H653">
        <v>16</v>
      </c>
      <c r="I653">
        <v>0.34549999999999997</v>
      </c>
      <c r="J653">
        <v>0.85006300000000001</v>
      </c>
      <c r="K653">
        <v>0.50456299999999998</v>
      </c>
      <c r="L653">
        <v>16</v>
      </c>
      <c r="M653">
        <v>0</v>
      </c>
      <c r="N653">
        <v>0</v>
      </c>
      <c r="O653" t="s">
        <v>127</v>
      </c>
      <c r="P653" t="s">
        <v>127</v>
      </c>
      <c r="Q653" t="s">
        <v>127</v>
      </c>
    </row>
    <row r="654" spans="1:17" x14ac:dyDescent="0.25">
      <c r="A654" t="str">
        <f>IF(C654&amp;G654&amp;D654&lt;&gt;'Funnel setup'!$K$3&amp;'Funnel setup'!$K$4&amp;'Funnel setup'!$K$6,".",IF(A653=".",1,A653+1))</f>
        <v>.</v>
      </c>
      <c r="B654" s="244" t="str">
        <f t="shared" si="10"/>
        <v>Hip Replacement PrimaryProviderMEDWAY NHS FOUNDATION TRUST (RPA)EQ-5D Index</v>
      </c>
      <c r="C654" t="s">
        <v>749</v>
      </c>
      <c r="D654" t="s">
        <v>965</v>
      </c>
      <c r="E654" t="s">
        <v>320</v>
      </c>
      <c r="F654" t="s">
        <v>321</v>
      </c>
      <c r="G654" t="s">
        <v>963</v>
      </c>
      <c r="H654">
        <v>40</v>
      </c>
      <c r="I654">
        <v>0.212225</v>
      </c>
      <c r="J654">
        <v>0.76312500000000005</v>
      </c>
      <c r="K654">
        <v>0.55089999999999995</v>
      </c>
      <c r="L654">
        <v>38</v>
      </c>
      <c r="M654">
        <v>1</v>
      </c>
      <c r="N654">
        <v>1</v>
      </c>
      <c r="O654">
        <v>0.80586199999999997</v>
      </c>
      <c r="P654">
        <v>0.48002400000000001</v>
      </c>
      <c r="Q654">
        <v>0.23216500000000001</v>
      </c>
    </row>
    <row r="655" spans="1:17" x14ac:dyDescent="0.25">
      <c r="A655" t="str">
        <f>IF(C655&amp;G655&amp;D655&lt;&gt;'Funnel setup'!$K$3&amp;'Funnel setup'!$K$4&amp;'Funnel setup'!$K$6,".",IF(A654=".",1,A654+1))</f>
        <v>.</v>
      </c>
      <c r="B655" s="244" t="str">
        <f t="shared" si="10"/>
        <v>Hip Replacement PrimaryProviderMERIDEN HOSPITAL (NT424)EQ-5D Index</v>
      </c>
      <c r="C655" t="s">
        <v>749</v>
      </c>
      <c r="D655" t="s">
        <v>965</v>
      </c>
      <c r="E655" t="s">
        <v>322</v>
      </c>
      <c r="F655" t="s">
        <v>323</v>
      </c>
      <c r="G655" t="s">
        <v>963</v>
      </c>
      <c r="H655">
        <v>5</v>
      </c>
      <c r="I655">
        <v>0.26</v>
      </c>
      <c r="J655">
        <v>0.92400000000000004</v>
      </c>
      <c r="K655">
        <v>0.66400000000000003</v>
      </c>
      <c r="L655">
        <v>5</v>
      </c>
      <c r="M655">
        <v>0</v>
      </c>
      <c r="N655">
        <v>0</v>
      </c>
      <c r="O655" t="s">
        <v>127</v>
      </c>
      <c r="P655" t="s">
        <v>127</v>
      </c>
      <c r="Q655" t="s">
        <v>127</v>
      </c>
    </row>
    <row r="656" spans="1:17" x14ac:dyDescent="0.25">
      <c r="A656" t="str">
        <f>IF(C656&amp;G656&amp;D656&lt;&gt;'Funnel setup'!$K$3&amp;'Funnel setup'!$K$4&amp;'Funnel setup'!$K$6,".",IF(A655=".",1,A655+1))</f>
        <v>.</v>
      </c>
      <c r="B656" s="244" t="str">
        <f t="shared" si="10"/>
        <v>Hip Replacement PrimaryProviderMID AND SOUTH ESSEX NHS FOUNDATION TRUST (RAJ)EQ-5D Index</v>
      </c>
      <c r="C656" t="s">
        <v>749</v>
      </c>
      <c r="D656" t="s">
        <v>965</v>
      </c>
      <c r="E656" t="s">
        <v>324</v>
      </c>
      <c r="F656" t="s">
        <v>325</v>
      </c>
      <c r="G656" t="s">
        <v>963</v>
      </c>
      <c r="H656">
        <v>110</v>
      </c>
      <c r="I656">
        <v>0.23341799999999999</v>
      </c>
      <c r="J656">
        <v>0.73757300000000003</v>
      </c>
      <c r="K656">
        <v>0.50415500000000002</v>
      </c>
      <c r="L656">
        <v>102</v>
      </c>
      <c r="M656">
        <v>1</v>
      </c>
      <c r="N656">
        <v>7</v>
      </c>
      <c r="O656">
        <v>0.78074399999999999</v>
      </c>
      <c r="P656">
        <v>0.45490599999999998</v>
      </c>
      <c r="Q656">
        <v>0.24815100000000001</v>
      </c>
    </row>
    <row r="657" spans="1:17" x14ac:dyDescent="0.25">
      <c r="A657" t="str">
        <f>IF(C657&amp;G657&amp;D657&lt;&gt;'Funnel setup'!$K$3&amp;'Funnel setup'!$K$4&amp;'Funnel setup'!$K$6,".",IF(A656=".",1,A656+1))</f>
        <v>.</v>
      </c>
      <c r="B657" s="244" t="str">
        <f t="shared" si="10"/>
        <v>Hip Replacement PrimaryProviderMID CHESHIRE HOSPITALS NHS FOUNDATION TRUST (RBT)EQ-5D Index</v>
      </c>
      <c r="C657" t="s">
        <v>749</v>
      </c>
      <c r="D657" t="s">
        <v>965</v>
      </c>
      <c r="E657" t="s">
        <v>326</v>
      </c>
      <c r="F657" t="s">
        <v>327</v>
      </c>
      <c r="G657" t="s">
        <v>963</v>
      </c>
      <c r="H657">
        <v>95</v>
      </c>
      <c r="I657">
        <v>0.30278899999999997</v>
      </c>
      <c r="J657">
        <v>0.807168</v>
      </c>
      <c r="K657">
        <v>0.50437900000000002</v>
      </c>
      <c r="L657">
        <v>86</v>
      </c>
      <c r="M657">
        <v>6</v>
      </c>
      <c r="N657">
        <v>3</v>
      </c>
      <c r="O657">
        <v>0.79959899999999995</v>
      </c>
      <c r="P657">
        <v>0.47376000000000001</v>
      </c>
      <c r="Q657">
        <v>0.18621399999999999</v>
      </c>
    </row>
    <row r="658" spans="1:17" x14ac:dyDescent="0.25">
      <c r="A658" t="str">
        <f>IF(C658&amp;G658&amp;D658&lt;&gt;'Funnel setup'!$K$3&amp;'Funnel setup'!$K$4&amp;'Funnel setup'!$K$6,".",IF(A657=".",1,A657+1))</f>
        <v>.</v>
      </c>
      <c r="B658" s="244" t="str">
        <f t="shared" si="10"/>
        <v>Hip Replacement PrimaryProviderMID YORKSHIRE TEACHING NHS TRUST (RXF)EQ-5D Index</v>
      </c>
      <c r="C658" t="s">
        <v>749</v>
      </c>
      <c r="D658" t="s">
        <v>965</v>
      </c>
      <c r="E658" t="s">
        <v>330</v>
      </c>
      <c r="F658" t="s">
        <v>331</v>
      </c>
      <c r="G658" t="s">
        <v>963</v>
      </c>
      <c r="H658">
        <v>167</v>
      </c>
      <c r="I658">
        <v>0.27800599999999998</v>
      </c>
      <c r="J658">
        <v>0.71397600000000006</v>
      </c>
      <c r="K658">
        <v>0.43597000000000002</v>
      </c>
      <c r="L658">
        <v>147</v>
      </c>
      <c r="M658">
        <v>7</v>
      </c>
      <c r="N658">
        <v>13</v>
      </c>
      <c r="O658">
        <v>0.74076299999999995</v>
      </c>
      <c r="P658">
        <v>0.41492400000000002</v>
      </c>
      <c r="Q658">
        <v>0.28178399999999998</v>
      </c>
    </row>
    <row r="659" spans="1:17" x14ac:dyDescent="0.25">
      <c r="A659" t="str">
        <f>IF(C659&amp;G659&amp;D659&lt;&gt;'Funnel setup'!$K$3&amp;'Funnel setup'!$K$4&amp;'Funnel setup'!$K$6,".",IF(A658=".",1,A658+1))</f>
        <v>.</v>
      </c>
      <c r="B659" s="244" t="str">
        <f t="shared" si="10"/>
        <v>Hip Replacement PrimaryProviderMILTON KEYNES UNIVERSITY HOSPITAL NHS FOUNDATION TRUST (RD8)EQ-5D Index</v>
      </c>
      <c r="C659" t="s">
        <v>749</v>
      </c>
      <c r="D659" t="s">
        <v>965</v>
      </c>
      <c r="E659" t="s">
        <v>332</v>
      </c>
      <c r="F659" t="s">
        <v>333</v>
      </c>
      <c r="G659" t="s">
        <v>963</v>
      </c>
      <c r="H659">
        <v>33</v>
      </c>
      <c r="I659">
        <v>0.22269700000000001</v>
      </c>
      <c r="J659">
        <v>0.80887900000000001</v>
      </c>
      <c r="K659">
        <v>0.58618199999999998</v>
      </c>
      <c r="L659">
        <v>32</v>
      </c>
      <c r="M659">
        <v>0</v>
      </c>
      <c r="N659">
        <v>1</v>
      </c>
      <c r="O659">
        <v>0.85999800000000004</v>
      </c>
      <c r="P659">
        <v>0.53415999999999997</v>
      </c>
      <c r="Q659">
        <v>0.25447399999999998</v>
      </c>
    </row>
    <row r="660" spans="1:17" x14ac:dyDescent="0.25">
      <c r="A660" t="str">
        <f>IF(C660&amp;G660&amp;D660&lt;&gt;'Funnel setup'!$K$3&amp;'Funnel setup'!$K$4&amp;'Funnel setup'!$K$6,".",IF(A659=".",1,A659+1))</f>
        <v>.</v>
      </c>
      <c r="B660" s="244" t="str">
        <f t="shared" si="10"/>
        <v>Hip Replacement PrimaryProviderMOUNT ALVERNIA HOSPITAL (NT455)EQ-5D Index</v>
      </c>
      <c r="C660" t="s">
        <v>749</v>
      </c>
      <c r="D660" t="s">
        <v>965</v>
      </c>
      <c r="E660" t="s">
        <v>334</v>
      </c>
      <c r="F660" t="s">
        <v>335</v>
      </c>
      <c r="G660" t="s">
        <v>963</v>
      </c>
      <c r="H660">
        <v>8</v>
      </c>
      <c r="I660">
        <v>0.51424999999999998</v>
      </c>
      <c r="J660">
        <v>0.89575000000000005</v>
      </c>
      <c r="K660">
        <v>0.38150000000000001</v>
      </c>
      <c r="L660">
        <v>8</v>
      </c>
      <c r="M660">
        <v>0</v>
      </c>
      <c r="N660">
        <v>0</v>
      </c>
      <c r="O660" t="s">
        <v>127</v>
      </c>
      <c r="P660" t="s">
        <v>127</v>
      </c>
      <c r="Q660" t="s">
        <v>127</v>
      </c>
    </row>
    <row r="661" spans="1:17" x14ac:dyDescent="0.25">
      <c r="A661" t="str">
        <f>IF(C661&amp;G661&amp;D661&lt;&gt;'Funnel setup'!$K$3&amp;'Funnel setup'!$K$4&amp;'Funnel setup'!$K$6,".",IF(A660=".",1,A660+1))</f>
        <v>.</v>
      </c>
      <c r="B661" s="244" t="str">
        <f t="shared" si="10"/>
        <v>Hip Replacement PrimaryProviderMOUNT STUART HOSPITAL (NVC08)EQ-5D Index</v>
      </c>
      <c r="C661" t="s">
        <v>749</v>
      </c>
      <c r="D661" t="s">
        <v>965</v>
      </c>
      <c r="E661" t="s">
        <v>336</v>
      </c>
      <c r="F661" t="s">
        <v>337</v>
      </c>
      <c r="G661" t="s">
        <v>963</v>
      </c>
      <c r="H661">
        <v>84</v>
      </c>
      <c r="I661">
        <v>0.26645200000000002</v>
      </c>
      <c r="J661">
        <v>0.81183300000000003</v>
      </c>
      <c r="K661">
        <v>0.545381</v>
      </c>
      <c r="L661">
        <v>79</v>
      </c>
      <c r="M661">
        <v>2</v>
      </c>
      <c r="N661">
        <v>3</v>
      </c>
      <c r="O661">
        <v>0.83147300000000002</v>
      </c>
      <c r="P661">
        <v>0.50563499999999995</v>
      </c>
      <c r="Q661">
        <v>0.20719299999999999</v>
      </c>
    </row>
    <row r="662" spans="1:17" x14ac:dyDescent="0.25">
      <c r="A662" t="str">
        <f>IF(C662&amp;G662&amp;D662&lt;&gt;'Funnel setup'!$K$3&amp;'Funnel setup'!$K$4&amp;'Funnel setup'!$K$6,".",IF(A661=".",1,A661+1))</f>
        <v>.</v>
      </c>
      <c r="B662" s="244" t="str">
        <f t="shared" si="10"/>
        <v>Hip Replacement PrimaryProviderNEW HALL HOSPITAL (NVC09)EQ-5D Index</v>
      </c>
      <c r="C662" t="s">
        <v>749</v>
      </c>
      <c r="D662" t="s">
        <v>965</v>
      </c>
      <c r="E662" t="s">
        <v>338</v>
      </c>
      <c r="F662" t="s">
        <v>339</v>
      </c>
      <c r="G662" t="s">
        <v>963</v>
      </c>
      <c r="H662">
        <v>82</v>
      </c>
      <c r="I662">
        <v>0.39526800000000001</v>
      </c>
      <c r="J662">
        <v>0.82972000000000001</v>
      </c>
      <c r="K662">
        <v>0.43445099999999998</v>
      </c>
      <c r="L662">
        <v>74</v>
      </c>
      <c r="M662">
        <v>6</v>
      </c>
      <c r="N662">
        <v>2</v>
      </c>
      <c r="O662">
        <v>0.78792499999999999</v>
      </c>
      <c r="P662">
        <v>0.46208700000000003</v>
      </c>
      <c r="Q662">
        <v>0.231902</v>
      </c>
    </row>
    <row r="663" spans="1:17" x14ac:dyDescent="0.25">
      <c r="A663" t="str">
        <f>IF(C663&amp;G663&amp;D663&lt;&gt;'Funnel setup'!$K$3&amp;'Funnel setup'!$K$4&amp;'Funnel setup'!$K$6,".",IF(A662=".",1,A662+1))</f>
        <v>.</v>
      </c>
      <c r="B663" s="244" t="str">
        <f t="shared" si="10"/>
        <v>Hip Replacement PrimaryProviderNORFOLK AND NORWICH UNIVERSITY HOSPITALS NHS FOUNDATION TRUST (RM1)EQ-5D Index</v>
      </c>
      <c r="C663" t="s">
        <v>749</v>
      </c>
      <c r="D663" t="s">
        <v>965</v>
      </c>
      <c r="E663" t="s">
        <v>340</v>
      </c>
      <c r="F663" t="s">
        <v>341</v>
      </c>
      <c r="G663" t="s">
        <v>963</v>
      </c>
      <c r="H663">
        <v>174</v>
      </c>
      <c r="I663">
        <v>0.26803399999999999</v>
      </c>
      <c r="J663">
        <v>0.71962099999999996</v>
      </c>
      <c r="K663">
        <v>0.45158599999999999</v>
      </c>
      <c r="L663">
        <v>150</v>
      </c>
      <c r="M663">
        <v>14</v>
      </c>
      <c r="N663">
        <v>10</v>
      </c>
      <c r="O663">
        <v>0.75250499999999998</v>
      </c>
      <c r="P663">
        <v>0.42666700000000002</v>
      </c>
      <c r="Q663">
        <v>0.29348600000000002</v>
      </c>
    </row>
    <row r="664" spans="1:17" x14ac:dyDescent="0.25">
      <c r="A664" t="str">
        <f>IF(C664&amp;G664&amp;D664&lt;&gt;'Funnel setup'!$K$3&amp;'Funnel setup'!$K$4&amp;'Funnel setup'!$K$6,".",IF(A663=".",1,A663+1))</f>
        <v>.</v>
      </c>
      <c r="B664" s="244" t="str">
        <f t="shared" si="10"/>
        <v>Hip Replacement PrimaryProviderNORTH BRISTOL NHS TRUST (RVJ)EQ-5D Index</v>
      </c>
      <c r="C664" t="s">
        <v>749</v>
      </c>
      <c r="D664" t="s">
        <v>965</v>
      </c>
      <c r="E664" t="s">
        <v>342</v>
      </c>
      <c r="F664" t="s">
        <v>343</v>
      </c>
      <c r="G664" t="s">
        <v>963</v>
      </c>
      <c r="H664">
        <v>6</v>
      </c>
      <c r="I664">
        <v>2.23333E-2</v>
      </c>
      <c r="J664">
        <v>0.71283300000000005</v>
      </c>
      <c r="K664">
        <v>0.6905</v>
      </c>
      <c r="L664">
        <v>6</v>
      </c>
      <c r="M664">
        <v>0</v>
      </c>
      <c r="N664">
        <v>0</v>
      </c>
      <c r="O664" t="s">
        <v>127</v>
      </c>
      <c r="P664" t="s">
        <v>127</v>
      </c>
      <c r="Q664" t="s">
        <v>127</v>
      </c>
    </row>
    <row r="665" spans="1:17" x14ac:dyDescent="0.25">
      <c r="A665" t="str">
        <f>IF(C665&amp;G665&amp;D665&lt;&gt;'Funnel setup'!$K$3&amp;'Funnel setup'!$K$4&amp;'Funnel setup'!$K$6,".",IF(A664=".",1,A664+1))</f>
        <v>.</v>
      </c>
      <c r="B665" s="244" t="str">
        <f t="shared" si="10"/>
        <v>Hip Replacement PrimaryProviderNORTH CUMBRIA INTEGRATED CARE NHS FOUNDATION TRUST (RNN)EQ-5D Index</v>
      </c>
      <c r="C665" t="s">
        <v>749</v>
      </c>
      <c r="D665" t="s">
        <v>965</v>
      </c>
      <c r="E665" t="s">
        <v>344</v>
      </c>
      <c r="F665" t="s">
        <v>345</v>
      </c>
      <c r="G665" t="s">
        <v>963</v>
      </c>
      <c r="H665">
        <v>77</v>
      </c>
      <c r="I665">
        <v>0.19228600000000001</v>
      </c>
      <c r="J665">
        <v>0.77194799999999997</v>
      </c>
      <c r="K665">
        <v>0.57966200000000001</v>
      </c>
      <c r="L665">
        <v>73</v>
      </c>
      <c r="M665">
        <v>2</v>
      </c>
      <c r="N665">
        <v>2</v>
      </c>
      <c r="O665">
        <v>0.80430299999999999</v>
      </c>
      <c r="P665">
        <v>0.47846499999999997</v>
      </c>
      <c r="Q665">
        <v>0.239368</v>
      </c>
    </row>
    <row r="666" spans="1:17" x14ac:dyDescent="0.25">
      <c r="A666" t="str">
        <f>IF(C666&amp;G666&amp;D666&lt;&gt;'Funnel setup'!$K$3&amp;'Funnel setup'!$K$4&amp;'Funnel setup'!$K$6,".",IF(A665=".",1,A665+1))</f>
        <v>.</v>
      </c>
      <c r="B666" s="244" t="str">
        <f t="shared" si="10"/>
        <v>Hip Replacement PrimaryProviderNORTH DOWNS HOSPITAL (NVC11)EQ-5D Index</v>
      </c>
      <c r="C666" t="s">
        <v>749</v>
      </c>
      <c r="D666" t="s">
        <v>965</v>
      </c>
      <c r="E666" t="s">
        <v>348</v>
      </c>
      <c r="F666" t="s">
        <v>349</v>
      </c>
      <c r="G666" t="s">
        <v>963</v>
      </c>
      <c r="H666">
        <v>55</v>
      </c>
      <c r="I666">
        <v>0.43236400000000003</v>
      </c>
      <c r="J666">
        <v>0.84658199999999995</v>
      </c>
      <c r="K666">
        <v>0.41421799999999998</v>
      </c>
      <c r="L666">
        <v>51</v>
      </c>
      <c r="M666">
        <v>1</v>
      </c>
      <c r="N666">
        <v>3</v>
      </c>
      <c r="O666">
        <v>0.79141700000000004</v>
      </c>
      <c r="P666">
        <v>0.46557900000000002</v>
      </c>
      <c r="Q666">
        <v>0.20095099999999999</v>
      </c>
    </row>
    <row r="667" spans="1:17" x14ac:dyDescent="0.25">
      <c r="A667" t="str">
        <f>IF(C667&amp;G667&amp;D667&lt;&gt;'Funnel setup'!$K$3&amp;'Funnel setup'!$K$4&amp;'Funnel setup'!$K$6,".",IF(A666=".",1,A666+1))</f>
        <v>.</v>
      </c>
      <c r="B667" s="244" t="str">
        <f t="shared" si="10"/>
        <v>Hip Replacement PrimaryProviderNORTH MIDDLESEX UNIVERSITY HOSPITAL NHS TRUST (RAP)EQ-5D Index</v>
      </c>
      <c r="C667" t="s">
        <v>749</v>
      </c>
      <c r="D667" t="s">
        <v>965</v>
      </c>
      <c r="E667" t="s">
        <v>350</v>
      </c>
      <c r="F667" t="s">
        <v>351</v>
      </c>
      <c r="G667" t="s">
        <v>963</v>
      </c>
      <c r="H667">
        <v>7</v>
      </c>
      <c r="I667">
        <v>0.223714</v>
      </c>
      <c r="J667">
        <v>0.623</v>
      </c>
      <c r="K667">
        <v>0.39928599999999997</v>
      </c>
      <c r="L667">
        <v>6</v>
      </c>
      <c r="M667">
        <v>0</v>
      </c>
      <c r="N667">
        <v>1</v>
      </c>
      <c r="O667" t="s">
        <v>127</v>
      </c>
      <c r="P667" t="s">
        <v>127</v>
      </c>
      <c r="Q667" t="s">
        <v>127</v>
      </c>
    </row>
    <row r="668" spans="1:17" x14ac:dyDescent="0.25">
      <c r="A668" t="str">
        <f>IF(C668&amp;G668&amp;D668&lt;&gt;'Funnel setup'!$K$3&amp;'Funnel setup'!$K$4&amp;'Funnel setup'!$K$6,".",IF(A667=".",1,A667+1))</f>
        <v>.</v>
      </c>
      <c r="B668" s="244" t="str">
        <f t="shared" si="10"/>
        <v>Hip Replacement PrimaryProviderNORTH TEES AND HARTLEPOOL NHS FOUNDATION TRUST (RVW)EQ-5D Index</v>
      </c>
      <c r="C668" t="s">
        <v>749</v>
      </c>
      <c r="D668" t="s">
        <v>965</v>
      </c>
      <c r="E668" t="s">
        <v>352</v>
      </c>
      <c r="F668" t="s">
        <v>353</v>
      </c>
      <c r="G668" t="s">
        <v>963</v>
      </c>
      <c r="H668">
        <v>98</v>
      </c>
      <c r="I668">
        <v>0.185776</v>
      </c>
      <c r="J668">
        <v>0.71505099999999999</v>
      </c>
      <c r="K668">
        <v>0.52927599999999997</v>
      </c>
      <c r="L668">
        <v>87</v>
      </c>
      <c r="M668">
        <v>4</v>
      </c>
      <c r="N668">
        <v>7</v>
      </c>
      <c r="O668">
        <v>0.77445200000000003</v>
      </c>
      <c r="P668">
        <v>0.44861400000000001</v>
      </c>
      <c r="Q668">
        <v>0.280443</v>
      </c>
    </row>
    <row r="669" spans="1:17" x14ac:dyDescent="0.25">
      <c r="A669" t="str">
        <f>IF(C669&amp;G669&amp;D669&lt;&gt;'Funnel setup'!$K$3&amp;'Funnel setup'!$K$4&amp;'Funnel setup'!$K$6,".",IF(A668=".",1,A668+1))</f>
        <v>.</v>
      </c>
      <c r="B669" s="244" t="str">
        <f t="shared" si="10"/>
        <v>Hip Replacement PrimaryProviderNORTH WEST ANGLIA NHS FOUNDATION TRUST (RGN)EQ-5D Index</v>
      </c>
      <c r="C669" t="s">
        <v>749</v>
      </c>
      <c r="D669" t="s">
        <v>965</v>
      </c>
      <c r="E669" t="s">
        <v>354</v>
      </c>
      <c r="F669" t="s">
        <v>355</v>
      </c>
      <c r="G669" t="s">
        <v>963</v>
      </c>
      <c r="H669">
        <v>166</v>
      </c>
      <c r="I669">
        <v>0.23383100000000001</v>
      </c>
      <c r="J669">
        <v>0.75046400000000002</v>
      </c>
      <c r="K669">
        <v>0.51663300000000001</v>
      </c>
      <c r="L669">
        <v>145</v>
      </c>
      <c r="M669">
        <v>13</v>
      </c>
      <c r="N669">
        <v>8</v>
      </c>
      <c r="O669">
        <v>0.78061199999999997</v>
      </c>
      <c r="P669">
        <v>0.45477400000000001</v>
      </c>
      <c r="Q669">
        <v>0.25435000000000002</v>
      </c>
    </row>
    <row r="670" spans="1:17" x14ac:dyDescent="0.25">
      <c r="A670" t="str">
        <f>IF(C670&amp;G670&amp;D670&lt;&gt;'Funnel setup'!$K$3&amp;'Funnel setup'!$K$4&amp;'Funnel setup'!$K$6,".",IF(A669=".",1,A669+1))</f>
        <v>.</v>
      </c>
      <c r="B670" s="244" t="str">
        <f t="shared" si="10"/>
        <v>Hip Replacement PrimaryProviderNORTHAMPTON GENERAL HOSPITAL NHS TRUST (RNS)EQ-5D Index</v>
      </c>
      <c r="C670" t="s">
        <v>749</v>
      </c>
      <c r="D670" t="s">
        <v>965</v>
      </c>
      <c r="E670" t="s">
        <v>356</v>
      </c>
      <c r="F670" t="s">
        <v>357</v>
      </c>
      <c r="G670" t="s">
        <v>963</v>
      </c>
      <c r="H670">
        <v>39</v>
      </c>
      <c r="I670">
        <v>0.21346200000000001</v>
      </c>
      <c r="J670">
        <v>0.79484600000000005</v>
      </c>
      <c r="K670">
        <v>0.58138500000000004</v>
      </c>
      <c r="L670">
        <v>35</v>
      </c>
      <c r="M670">
        <v>3</v>
      </c>
      <c r="N670">
        <v>1</v>
      </c>
      <c r="O670">
        <v>0.84517100000000001</v>
      </c>
      <c r="P670">
        <v>0.51933300000000004</v>
      </c>
      <c r="Q670">
        <v>0.25428400000000001</v>
      </c>
    </row>
    <row r="671" spans="1:17" x14ac:dyDescent="0.25">
      <c r="A671" t="str">
        <f>IF(C671&amp;G671&amp;D671&lt;&gt;'Funnel setup'!$K$3&amp;'Funnel setup'!$K$4&amp;'Funnel setup'!$K$6,".",IF(A670=".",1,A670+1))</f>
        <v>.</v>
      </c>
      <c r="B671" s="244" t="str">
        <f t="shared" si="10"/>
        <v>Hip Replacement PrimaryProviderNORTHERN CARE ALLIANCE NHS FOUNDATION TRUST (RM3)EQ-5D Index</v>
      </c>
      <c r="C671" t="s">
        <v>749</v>
      </c>
      <c r="D671" t="s">
        <v>965</v>
      </c>
      <c r="E671" t="s">
        <v>358</v>
      </c>
      <c r="F671" t="s">
        <v>359</v>
      </c>
      <c r="G671" t="s">
        <v>963</v>
      </c>
      <c r="H671">
        <v>3</v>
      </c>
      <c r="I671">
        <v>0.06</v>
      </c>
      <c r="J671">
        <v>0.83866700000000005</v>
      </c>
      <c r="K671">
        <v>0.778667</v>
      </c>
      <c r="L671">
        <v>3</v>
      </c>
      <c r="M671">
        <v>0</v>
      </c>
      <c r="N671">
        <v>0</v>
      </c>
      <c r="O671" t="s">
        <v>127</v>
      </c>
      <c r="P671" t="s">
        <v>127</v>
      </c>
      <c r="Q671" t="s">
        <v>127</v>
      </c>
    </row>
    <row r="672" spans="1:17" x14ac:dyDescent="0.25">
      <c r="A672" t="str">
        <f>IF(C672&amp;G672&amp;D672&lt;&gt;'Funnel setup'!$K$3&amp;'Funnel setup'!$K$4&amp;'Funnel setup'!$K$6,".",IF(A671=".",1,A671+1))</f>
        <v>.</v>
      </c>
      <c r="B672" s="244" t="str">
        <f t="shared" si="10"/>
        <v>Hip Replacement PrimaryProviderNORTHERN DEVON HEALTHCARE NHS TRUST (RBZ)EQ-5D Index</v>
      </c>
      <c r="C672" t="s">
        <v>749</v>
      </c>
      <c r="D672" t="s">
        <v>965</v>
      </c>
      <c r="E672" t="s">
        <v>360</v>
      </c>
      <c r="F672" t="s">
        <v>361</v>
      </c>
      <c r="G672" t="s">
        <v>963</v>
      </c>
      <c r="H672">
        <v>28</v>
      </c>
      <c r="I672">
        <v>0.21721399999999999</v>
      </c>
      <c r="J672">
        <v>0.75460700000000003</v>
      </c>
      <c r="K672">
        <v>0.53739300000000001</v>
      </c>
      <c r="L672">
        <v>26</v>
      </c>
      <c r="M672">
        <v>0</v>
      </c>
      <c r="N672">
        <v>2</v>
      </c>
      <c r="O672" t="s">
        <v>127</v>
      </c>
      <c r="P672" t="s">
        <v>127</v>
      </c>
      <c r="Q672" t="s">
        <v>127</v>
      </c>
    </row>
    <row r="673" spans="1:17" x14ac:dyDescent="0.25">
      <c r="A673" t="str">
        <f>IF(C673&amp;G673&amp;D673&lt;&gt;'Funnel setup'!$K$3&amp;'Funnel setup'!$K$4&amp;'Funnel setup'!$K$6,".",IF(A672=".",1,A672+1))</f>
        <v>.</v>
      </c>
      <c r="B673" s="244" t="str">
        <f t="shared" si="10"/>
        <v>Hip Replacement PrimaryProviderNORTHERN LINCOLNSHIRE AND GOOLE NHS FOUNDATION TRUST (RJL)EQ-5D Index</v>
      </c>
      <c r="C673" t="s">
        <v>749</v>
      </c>
      <c r="D673" t="s">
        <v>965</v>
      </c>
      <c r="E673" t="s">
        <v>362</v>
      </c>
      <c r="F673" t="s">
        <v>363</v>
      </c>
      <c r="G673" t="s">
        <v>963</v>
      </c>
      <c r="H673">
        <v>89</v>
      </c>
      <c r="I673">
        <v>0.26122499999999998</v>
      </c>
      <c r="J673">
        <v>0.77040399999999998</v>
      </c>
      <c r="K673">
        <v>0.50917999999999997</v>
      </c>
      <c r="L673">
        <v>79</v>
      </c>
      <c r="M673">
        <v>7</v>
      </c>
      <c r="N673">
        <v>3</v>
      </c>
      <c r="O673">
        <v>0.79105700000000001</v>
      </c>
      <c r="P673">
        <v>0.46521899999999999</v>
      </c>
      <c r="Q673">
        <v>0.23514599999999999</v>
      </c>
    </row>
    <row r="674" spans="1:17" x14ac:dyDescent="0.25">
      <c r="A674" t="str">
        <f>IF(C674&amp;G674&amp;D674&lt;&gt;'Funnel setup'!$K$3&amp;'Funnel setup'!$K$4&amp;'Funnel setup'!$K$6,".",IF(A673=".",1,A673+1))</f>
        <v>.</v>
      </c>
      <c r="B674" s="244" t="str">
        <f t="shared" si="10"/>
        <v>Hip Replacement PrimaryProviderNORTHUMBRIA HEALTHCARE NHS FOUNDATION TRUST (RTF)EQ-5D Index</v>
      </c>
      <c r="C674" t="s">
        <v>749</v>
      </c>
      <c r="D674" t="s">
        <v>965</v>
      </c>
      <c r="E674" t="s">
        <v>364</v>
      </c>
      <c r="F674" t="s">
        <v>365</v>
      </c>
      <c r="G674" t="s">
        <v>963</v>
      </c>
      <c r="H674">
        <v>285</v>
      </c>
      <c r="I674">
        <v>0.30166700000000002</v>
      </c>
      <c r="J674">
        <v>0.79820400000000002</v>
      </c>
      <c r="K674">
        <v>0.49653700000000001</v>
      </c>
      <c r="L674">
        <v>262</v>
      </c>
      <c r="M674">
        <v>10</v>
      </c>
      <c r="N674">
        <v>13</v>
      </c>
      <c r="O674">
        <v>0.80234300000000003</v>
      </c>
      <c r="P674">
        <v>0.47650500000000001</v>
      </c>
      <c r="Q674">
        <v>0.23935300000000001</v>
      </c>
    </row>
    <row r="675" spans="1:17" x14ac:dyDescent="0.25">
      <c r="A675" t="str">
        <f>IF(C675&amp;G675&amp;D675&lt;&gt;'Funnel setup'!$K$3&amp;'Funnel setup'!$K$4&amp;'Funnel setup'!$K$6,".",IF(A674=".",1,A674+1))</f>
        <v>.</v>
      </c>
      <c r="B675" s="244" t="str">
        <f t="shared" si="10"/>
        <v>Hip Replacement PrimaryProviderNOTTINGHAM UNIVERSITY HOSPITALS NHS TRUST (RX1)EQ-5D Index</v>
      </c>
      <c r="C675" t="s">
        <v>749</v>
      </c>
      <c r="D675" t="s">
        <v>965</v>
      </c>
      <c r="E675" t="s">
        <v>366</v>
      </c>
      <c r="F675" t="s">
        <v>367</v>
      </c>
      <c r="G675" t="s">
        <v>963</v>
      </c>
      <c r="H675">
        <v>3</v>
      </c>
      <c r="I675">
        <v>0.42066700000000001</v>
      </c>
      <c r="J675">
        <v>0.73566699999999996</v>
      </c>
      <c r="K675">
        <v>0.315</v>
      </c>
      <c r="L675">
        <v>2</v>
      </c>
      <c r="M675">
        <v>1</v>
      </c>
      <c r="N675">
        <v>0</v>
      </c>
      <c r="O675" t="s">
        <v>127</v>
      </c>
      <c r="P675" t="s">
        <v>127</v>
      </c>
      <c r="Q675" t="s">
        <v>127</v>
      </c>
    </row>
    <row r="676" spans="1:17" x14ac:dyDescent="0.25">
      <c r="A676" t="str">
        <f>IF(C676&amp;G676&amp;D676&lt;&gt;'Funnel setup'!$K$3&amp;'Funnel setup'!$K$4&amp;'Funnel setup'!$K$6,".",IF(A675=".",1,A675+1))</f>
        <v>.</v>
      </c>
      <c r="B676" s="244" t="str">
        <f t="shared" si="10"/>
        <v>Hip Replacement PrimaryProviderNUFFIELD HEALTH, BOURNEMOUTH HOSPITAL (NT202)EQ-5D Index</v>
      </c>
      <c r="C676" t="s">
        <v>749</v>
      </c>
      <c r="D676" t="s">
        <v>965</v>
      </c>
      <c r="E676" t="s">
        <v>368</v>
      </c>
      <c r="F676" t="s">
        <v>369</v>
      </c>
      <c r="G676" t="s">
        <v>963</v>
      </c>
      <c r="H676">
        <v>12</v>
      </c>
      <c r="I676">
        <v>0.36375000000000002</v>
      </c>
      <c r="J676">
        <v>0.89175000000000004</v>
      </c>
      <c r="K676">
        <v>0.52800000000000002</v>
      </c>
      <c r="L676">
        <v>12</v>
      </c>
      <c r="M676">
        <v>0</v>
      </c>
      <c r="N676">
        <v>0</v>
      </c>
      <c r="O676" t="s">
        <v>127</v>
      </c>
      <c r="P676" t="s">
        <v>127</v>
      </c>
      <c r="Q676" t="s">
        <v>127</v>
      </c>
    </row>
    <row r="677" spans="1:17" x14ac:dyDescent="0.25">
      <c r="A677" t="str">
        <f>IF(C677&amp;G677&amp;D677&lt;&gt;'Funnel setup'!$K$3&amp;'Funnel setup'!$K$4&amp;'Funnel setup'!$K$6,".",IF(A676=".",1,A676+1))</f>
        <v>.</v>
      </c>
      <c r="B677" s="244" t="str">
        <f t="shared" si="10"/>
        <v>Hip Replacement PrimaryProviderNUFFIELD HEALTH, BRENTWOOD HOSPITAL (NT204)EQ-5D Index</v>
      </c>
      <c r="C677" t="s">
        <v>749</v>
      </c>
      <c r="D677" t="s">
        <v>965</v>
      </c>
      <c r="E677" t="s">
        <v>370</v>
      </c>
      <c r="F677" t="s">
        <v>371</v>
      </c>
      <c r="G677" t="s">
        <v>963</v>
      </c>
      <c r="H677">
        <v>16</v>
      </c>
      <c r="I677">
        <v>0.19931299999999999</v>
      </c>
      <c r="J677">
        <v>0.74737500000000001</v>
      </c>
      <c r="K677">
        <v>0.54806299999999997</v>
      </c>
      <c r="L677">
        <v>14</v>
      </c>
      <c r="M677">
        <v>1</v>
      </c>
      <c r="N677">
        <v>1</v>
      </c>
      <c r="O677" t="s">
        <v>127</v>
      </c>
      <c r="P677" t="s">
        <v>127</v>
      </c>
      <c r="Q677" t="s">
        <v>127</v>
      </c>
    </row>
    <row r="678" spans="1:17" x14ac:dyDescent="0.25">
      <c r="A678" t="str">
        <f>IF(C678&amp;G678&amp;D678&lt;&gt;'Funnel setup'!$K$3&amp;'Funnel setup'!$K$4&amp;'Funnel setup'!$K$6,".",IF(A677=".",1,A677+1))</f>
        <v>.</v>
      </c>
      <c r="B678" s="244" t="str">
        <f t="shared" si="10"/>
        <v>Hip Replacement PrimaryProviderNUFFIELD HEALTH, BRIGHTON HOSPITAL (NT205)EQ-5D Index</v>
      </c>
      <c r="C678" t="s">
        <v>749</v>
      </c>
      <c r="D678" t="s">
        <v>965</v>
      </c>
      <c r="E678" t="s">
        <v>372</v>
      </c>
      <c r="F678" t="s">
        <v>373</v>
      </c>
      <c r="G678" t="s">
        <v>963</v>
      </c>
      <c r="H678">
        <v>3</v>
      </c>
      <c r="I678">
        <v>0.110667</v>
      </c>
      <c r="J678">
        <v>0.69399999999999995</v>
      </c>
      <c r="K678">
        <v>0.58333299999999999</v>
      </c>
      <c r="L678">
        <v>3</v>
      </c>
      <c r="M678">
        <v>0</v>
      </c>
      <c r="N678">
        <v>0</v>
      </c>
      <c r="O678" t="s">
        <v>127</v>
      </c>
      <c r="P678" t="s">
        <v>127</v>
      </c>
      <c r="Q678" t="s">
        <v>127</v>
      </c>
    </row>
    <row r="679" spans="1:17" x14ac:dyDescent="0.25">
      <c r="A679" t="str">
        <f>IF(C679&amp;G679&amp;D679&lt;&gt;'Funnel setup'!$K$3&amp;'Funnel setup'!$K$4&amp;'Funnel setup'!$K$6,".",IF(A678=".",1,A678+1))</f>
        <v>.</v>
      </c>
      <c r="B679" s="244" t="str">
        <f t="shared" si="10"/>
        <v>Hip Replacement PrimaryProviderNUFFIELD HEALTH, BRISTOL HOSPITAL (CHESTERFIELD) (NT206)EQ-5D Index</v>
      </c>
      <c r="C679" t="s">
        <v>749</v>
      </c>
      <c r="D679" t="s">
        <v>965</v>
      </c>
      <c r="E679" t="s">
        <v>374</v>
      </c>
      <c r="F679" t="s">
        <v>375</v>
      </c>
      <c r="G679" t="s">
        <v>963</v>
      </c>
      <c r="H679">
        <v>49</v>
      </c>
      <c r="I679">
        <v>0.41602</v>
      </c>
      <c r="J679">
        <v>0.84387800000000002</v>
      </c>
      <c r="K679">
        <v>0.42785699999999999</v>
      </c>
      <c r="L679">
        <v>45</v>
      </c>
      <c r="M679">
        <v>2</v>
      </c>
      <c r="N679">
        <v>2</v>
      </c>
      <c r="O679">
        <v>0.81360299999999997</v>
      </c>
      <c r="P679">
        <v>0.487765</v>
      </c>
      <c r="Q679">
        <v>0.20136799999999999</v>
      </c>
    </row>
    <row r="680" spans="1:17" x14ac:dyDescent="0.25">
      <c r="A680" t="str">
        <f>IF(C680&amp;G680&amp;D680&lt;&gt;'Funnel setup'!$K$3&amp;'Funnel setup'!$K$4&amp;'Funnel setup'!$K$6,".",IF(A679=".",1,A679+1))</f>
        <v>.</v>
      </c>
      <c r="B680" s="244" t="str">
        <f t="shared" si="10"/>
        <v>Hip Replacement PrimaryProviderNUFFIELD HEALTH, CAMBRIDGE HOSPITAL (NT209)EQ-5D Index</v>
      </c>
      <c r="C680" t="s">
        <v>749</v>
      </c>
      <c r="D680" t="s">
        <v>965</v>
      </c>
      <c r="E680" t="s">
        <v>376</v>
      </c>
      <c r="F680" t="s">
        <v>377</v>
      </c>
      <c r="G680" t="s">
        <v>963</v>
      </c>
      <c r="H680">
        <v>19</v>
      </c>
      <c r="I680">
        <v>0.28010499999999999</v>
      </c>
      <c r="J680">
        <v>0.89742100000000002</v>
      </c>
      <c r="K680">
        <v>0.61731599999999998</v>
      </c>
      <c r="L680">
        <v>18</v>
      </c>
      <c r="M680">
        <v>0</v>
      </c>
      <c r="N680">
        <v>1</v>
      </c>
      <c r="O680" t="s">
        <v>127</v>
      </c>
      <c r="P680" t="s">
        <v>127</v>
      </c>
      <c r="Q680" t="s">
        <v>127</v>
      </c>
    </row>
    <row r="681" spans="1:17" x14ac:dyDescent="0.25">
      <c r="A681" t="str">
        <f>IF(C681&amp;G681&amp;D681&lt;&gt;'Funnel setup'!$K$3&amp;'Funnel setup'!$K$4&amp;'Funnel setup'!$K$6,".",IF(A680=".",1,A680+1))</f>
        <v>.</v>
      </c>
      <c r="B681" s="244" t="str">
        <f t="shared" si="10"/>
        <v>Hip Replacement PrimaryProviderNUFFIELD HEALTH, CHELTENHAM HOSPITAL (NT211)EQ-5D Index</v>
      </c>
      <c r="C681" t="s">
        <v>749</v>
      </c>
      <c r="D681" t="s">
        <v>965</v>
      </c>
      <c r="E681" t="s">
        <v>378</v>
      </c>
      <c r="F681" t="s">
        <v>379</v>
      </c>
      <c r="G681" t="s">
        <v>963</v>
      </c>
      <c r="H681">
        <v>1</v>
      </c>
      <c r="I681">
        <v>0.58699999999999997</v>
      </c>
      <c r="J681">
        <v>1</v>
      </c>
      <c r="K681">
        <v>0.41299999999999998</v>
      </c>
      <c r="L681">
        <v>1</v>
      </c>
      <c r="M681">
        <v>0</v>
      </c>
      <c r="N681">
        <v>0</v>
      </c>
      <c r="O681" t="s">
        <v>127</v>
      </c>
      <c r="P681" t="s">
        <v>127</v>
      </c>
      <c r="Q681" t="s">
        <v>127</v>
      </c>
    </row>
    <row r="682" spans="1:17" x14ac:dyDescent="0.25">
      <c r="A682" t="str">
        <f>IF(C682&amp;G682&amp;D682&lt;&gt;'Funnel setup'!$K$3&amp;'Funnel setup'!$K$4&amp;'Funnel setup'!$K$6,".",IF(A681=".",1,A681+1))</f>
        <v>.</v>
      </c>
      <c r="B682" s="244" t="str">
        <f t="shared" si="10"/>
        <v>Hip Replacement PrimaryProviderNUFFIELD HEALTH, CHICHESTER HOSPITAL (NT212)EQ-5D Index</v>
      </c>
      <c r="C682" t="s">
        <v>749</v>
      </c>
      <c r="D682" t="s">
        <v>965</v>
      </c>
      <c r="E682" t="s">
        <v>380</v>
      </c>
      <c r="F682" t="s">
        <v>381</v>
      </c>
      <c r="G682" t="s">
        <v>963</v>
      </c>
      <c r="H682">
        <v>17</v>
      </c>
      <c r="I682">
        <v>0.39229399999999998</v>
      </c>
      <c r="J682">
        <v>0.80341200000000002</v>
      </c>
      <c r="K682">
        <v>0.41111799999999998</v>
      </c>
      <c r="L682">
        <v>14</v>
      </c>
      <c r="M682">
        <v>1</v>
      </c>
      <c r="N682">
        <v>2</v>
      </c>
      <c r="O682" t="s">
        <v>127</v>
      </c>
      <c r="P682" t="s">
        <v>127</v>
      </c>
      <c r="Q682" t="s">
        <v>127</v>
      </c>
    </row>
    <row r="683" spans="1:17" x14ac:dyDescent="0.25">
      <c r="A683" t="str">
        <f>IF(C683&amp;G683&amp;D683&lt;&gt;'Funnel setup'!$K$3&amp;'Funnel setup'!$K$4&amp;'Funnel setup'!$K$6,".",IF(A682=".",1,A682+1))</f>
        <v>.</v>
      </c>
      <c r="B683" s="244" t="str">
        <f t="shared" si="10"/>
        <v>Hip Replacement PrimaryProviderNUFFIELD HEALTH, DERBY HOSPITAL (NT213)EQ-5D Index</v>
      </c>
      <c r="C683" t="s">
        <v>749</v>
      </c>
      <c r="D683" t="s">
        <v>965</v>
      </c>
      <c r="E683" t="s">
        <v>382</v>
      </c>
      <c r="F683" t="s">
        <v>383</v>
      </c>
      <c r="G683" t="s">
        <v>963</v>
      </c>
      <c r="H683">
        <v>53</v>
      </c>
      <c r="I683">
        <v>0.46090599999999998</v>
      </c>
      <c r="J683">
        <v>0.85577400000000003</v>
      </c>
      <c r="K683">
        <v>0.394868</v>
      </c>
      <c r="L683">
        <v>47</v>
      </c>
      <c r="M683">
        <v>4</v>
      </c>
      <c r="N683">
        <v>2</v>
      </c>
      <c r="O683">
        <v>0.827766</v>
      </c>
      <c r="P683">
        <v>0.50192800000000004</v>
      </c>
      <c r="Q683">
        <v>0.20078799999999999</v>
      </c>
    </row>
    <row r="684" spans="1:17" x14ac:dyDescent="0.25">
      <c r="A684" t="str">
        <f>IF(C684&amp;G684&amp;D684&lt;&gt;'Funnel setup'!$K$3&amp;'Funnel setup'!$K$4&amp;'Funnel setup'!$K$6,".",IF(A683=".",1,A683+1))</f>
        <v>.</v>
      </c>
      <c r="B684" s="244" t="str">
        <f t="shared" si="10"/>
        <v>Hip Replacement PrimaryProviderNUFFIELD HEALTH, EXETER HOSPITAL (NT215)EQ-5D Index</v>
      </c>
      <c r="C684" t="s">
        <v>749</v>
      </c>
      <c r="D684" t="s">
        <v>965</v>
      </c>
      <c r="E684" t="s">
        <v>384</v>
      </c>
      <c r="F684" t="s">
        <v>385</v>
      </c>
      <c r="G684" t="s">
        <v>963</v>
      </c>
      <c r="H684">
        <v>3</v>
      </c>
      <c r="I684">
        <v>0.23233300000000001</v>
      </c>
      <c r="J684">
        <v>1</v>
      </c>
      <c r="K684">
        <v>0.76766699999999999</v>
      </c>
      <c r="L684">
        <v>3</v>
      </c>
      <c r="M684">
        <v>0</v>
      </c>
      <c r="N684">
        <v>0</v>
      </c>
      <c r="O684" t="s">
        <v>127</v>
      </c>
      <c r="P684" t="s">
        <v>127</v>
      </c>
      <c r="Q684" t="s">
        <v>127</v>
      </c>
    </row>
    <row r="685" spans="1:17" x14ac:dyDescent="0.25">
      <c r="A685" t="str">
        <f>IF(C685&amp;G685&amp;D685&lt;&gt;'Funnel setup'!$K$3&amp;'Funnel setup'!$K$4&amp;'Funnel setup'!$K$6,".",IF(A684=".",1,A684+1))</f>
        <v>.</v>
      </c>
      <c r="B685" s="244" t="str">
        <f t="shared" si="10"/>
        <v>Hip Replacement PrimaryProviderNUFFIELD HEALTH, HAYWARDS HEATH HOSPITAL (NT218)EQ-5D Index</v>
      </c>
      <c r="C685" t="s">
        <v>749</v>
      </c>
      <c r="D685" t="s">
        <v>965</v>
      </c>
      <c r="E685" t="s">
        <v>386</v>
      </c>
      <c r="F685" t="s">
        <v>387</v>
      </c>
      <c r="G685" t="s">
        <v>963</v>
      </c>
      <c r="H685">
        <v>18</v>
      </c>
      <c r="I685">
        <v>0.41955599999999998</v>
      </c>
      <c r="J685">
        <v>0.92255600000000004</v>
      </c>
      <c r="K685">
        <v>0.503</v>
      </c>
      <c r="L685">
        <v>18</v>
      </c>
      <c r="M685">
        <v>0</v>
      </c>
      <c r="N685">
        <v>0</v>
      </c>
      <c r="O685" t="s">
        <v>127</v>
      </c>
      <c r="P685" t="s">
        <v>127</v>
      </c>
      <c r="Q685" t="s">
        <v>127</v>
      </c>
    </row>
    <row r="686" spans="1:17" x14ac:dyDescent="0.25">
      <c r="A686" t="str">
        <f>IF(C686&amp;G686&amp;D686&lt;&gt;'Funnel setup'!$K$3&amp;'Funnel setup'!$K$4&amp;'Funnel setup'!$K$6,".",IF(A685=".",1,A685+1))</f>
        <v>.</v>
      </c>
      <c r="B686" s="244" t="str">
        <f t="shared" si="10"/>
        <v>Hip Replacement PrimaryProviderNUFFIELD HEALTH, HEREFORD HOSPITAL (NT219)EQ-5D Index</v>
      </c>
      <c r="C686" t="s">
        <v>749</v>
      </c>
      <c r="D686" t="s">
        <v>965</v>
      </c>
      <c r="E686" t="s">
        <v>388</v>
      </c>
      <c r="F686" t="s">
        <v>389</v>
      </c>
      <c r="G686" t="s">
        <v>963</v>
      </c>
      <c r="H686">
        <v>7</v>
      </c>
      <c r="I686">
        <v>0.35471399999999997</v>
      </c>
      <c r="J686">
        <v>0.83671399999999996</v>
      </c>
      <c r="K686">
        <v>0.48199999999999998</v>
      </c>
      <c r="L686">
        <v>7</v>
      </c>
      <c r="M686">
        <v>0</v>
      </c>
      <c r="N686">
        <v>0</v>
      </c>
      <c r="O686" t="s">
        <v>127</v>
      </c>
      <c r="P686" t="s">
        <v>127</v>
      </c>
      <c r="Q686" t="s">
        <v>127</v>
      </c>
    </row>
    <row r="687" spans="1:17" x14ac:dyDescent="0.25">
      <c r="A687" t="str">
        <f>IF(C687&amp;G687&amp;D687&lt;&gt;'Funnel setup'!$K$3&amp;'Funnel setup'!$K$4&amp;'Funnel setup'!$K$6,".",IF(A686=".",1,A686+1))</f>
        <v>.</v>
      </c>
      <c r="B687" s="244" t="str">
        <f t="shared" si="10"/>
        <v>Hip Replacement PrimaryProviderNUFFIELD HEALTH, IPSWICH HOSPITAL (NT222)EQ-5D Index</v>
      </c>
      <c r="C687" t="s">
        <v>749</v>
      </c>
      <c r="D687" t="s">
        <v>965</v>
      </c>
      <c r="E687" t="s">
        <v>390</v>
      </c>
      <c r="F687" t="s">
        <v>391</v>
      </c>
      <c r="G687" t="s">
        <v>963</v>
      </c>
      <c r="H687">
        <v>7</v>
      </c>
      <c r="I687">
        <v>0.331571</v>
      </c>
      <c r="J687">
        <v>0.86057099999999997</v>
      </c>
      <c r="K687">
        <v>0.52900000000000003</v>
      </c>
      <c r="L687">
        <v>7</v>
      </c>
      <c r="M687">
        <v>0</v>
      </c>
      <c r="N687">
        <v>0</v>
      </c>
      <c r="O687" t="s">
        <v>127</v>
      </c>
      <c r="P687" t="s">
        <v>127</v>
      </c>
      <c r="Q687" t="s">
        <v>127</v>
      </c>
    </row>
    <row r="688" spans="1:17" x14ac:dyDescent="0.25">
      <c r="A688" t="str">
        <f>IF(C688&amp;G688&amp;D688&lt;&gt;'Funnel setup'!$K$3&amp;'Funnel setup'!$K$4&amp;'Funnel setup'!$K$6,".",IF(A687=".",1,A687+1))</f>
        <v>.</v>
      </c>
      <c r="B688" s="244" t="str">
        <f t="shared" si="10"/>
        <v>Hip Replacement PrimaryProviderNUFFIELD HEALTH, LEEDS HOSPITAL (NT225)EQ-5D Index</v>
      </c>
      <c r="C688" t="s">
        <v>749</v>
      </c>
      <c r="D688" t="s">
        <v>965</v>
      </c>
      <c r="E688" t="s">
        <v>392</v>
      </c>
      <c r="F688" t="s">
        <v>393</v>
      </c>
      <c r="G688" t="s">
        <v>963</v>
      </c>
      <c r="H688">
        <v>115</v>
      </c>
      <c r="I688">
        <v>0.36487000000000003</v>
      </c>
      <c r="J688">
        <v>0.79802600000000001</v>
      </c>
      <c r="K688">
        <v>0.43315700000000001</v>
      </c>
      <c r="L688">
        <v>106</v>
      </c>
      <c r="M688">
        <v>4</v>
      </c>
      <c r="N688">
        <v>5</v>
      </c>
      <c r="O688">
        <v>0.78012599999999999</v>
      </c>
      <c r="P688">
        <v>0.454287</v>
      </c>
      <c r="Q688">
        <v>0.22633700000000001</v>
      </c>
    </row>
    <row r="689" spans="1:17" x14ac:dyDescent="0.25">
      <c r="A689" t="str">
        <f>IF(C689&amp;G689&amp;D689&lt;&gt;'Funnel setup'!$K$3&amp;'Funnel setup'!$K$4&amp;'Funnel setup'!$K$6,".",IF(A688=".",1,A688+1))</f>
        <v>.</v>
      </c>
      <c r="B689" s="244" t="str">
        <f t="shared" si="10"/>
        <v>Hip Replacement PrimaryProviderNUFFIELD HEALTH, LEICESTER HOSPITAL (NT226)EQ-5D Index</v>
      </c>
      <c r="C689" t="s">
        <v>749</v>
      </c>
      <c r="D689" t="s">
        <v>965</v>
      </c>
      <c r="E689" t="s">
        <v>394</v>
      </c>
      <c r="F689" t="s">
        <v>395</v>
      </c>
      <c r="G689" t="s">
        <v>963</v>
      </c>
      <c r="H689">
        <v>31</v>
      </c>
      <c r="I689">
        <v>0.37683899999999998</v>
      </c>
      <c r="J689">
        <v>0.83851600000000004</v>
      </c>
      <c r="K689">
        <v>0.461677</v>
      </c>
      <c r="L689">
        <v>28</v>
      </c>
      <c r="M689">
        <v>0</v>
      </c>
      <c r="N689">
        <v>3</v>
      </c>
      <c r="O689">
        <v>0.81430599999999997</v>
      </c>
      <c r="P689">
        <v>0.48846800000000001</v>
      </c>
      <c r="Q689">
        <v>0.21420700000000001</v>
      </c>
    </row>
    <row r="690" spans="1:17" x14ac:dyDescent="0.25">
      <c r="A690" t="str">
        <f>IF(C690&amp;G690&amp;D690&lt;&gt;'Funnel setup'!$K$3&amp;'Funnel setup'!$K$4&amp;'Funnel setup'!$K$6,".",IF(A689=".",1,A689+1))</f>
        <v>.</v>
      </c>
      <c r="B690" s="244" t="str">
        <f t="shared" si="10"/>
        <v>Hip Replacement PrimaryProviderNUFFIELD HEALTH, NEWCASTLE UPON TYNE HOSPITAL (NT229)EQ-5D Index</v>
      </c>
      <c r="C690" t="s">
        <v>749</v>
      </c>
      <c r="D690" t="s">
        <v>965</v>
      </c>
      <c r="E690" t="s">
        <v>396</v>
      </c>
      <c r="F690" t="s">
        <v>397</v>
      </c>
      <c r="G690" t="s">
        <v>963</v>
      </c>
      <c r="H690">
        <v>45</v>
      </c>
      <c r="I690">
        <v>0.30962200000000001</v>
      </c>
      <c r="J690">
        <v>0.79528900000000002</v>
      </c>
      <c r="K690">
        <v>0.48566700000000002</v>
      </c>
      <c r="L690">
        <v>42</v>
      </c>
      <c r="M690">
        <v>1</v>
      </c>
      <c r="N690">
        <v>2</v>
      </c>
      <c r="O690">
        <v>0.78718200000000005</v>
      </c>
      <c r="P690">
        <v>0.46134399999999998</v>
      </c>
      <c r="Q690">
        <v>0.26531199999999999</v>
      </c>
    </row>
    <row r="691" spans="1:17" x14ac:dyDescent="0.25">
      <c r="A691" t="str">
        <f>IF(C691&amp;G691&amp;D691&lt;&gt;'Funnel setup'!$K$3&amp;'Funnel setup'!$K$4&amp;'Funnel setup'!$K$6,".",IF(A690=".",1,A690+1))</f>
        <v>.</v>
      </c>
      <c r="B691" s="244" t="str">
        <f t="shared" si="10"/>
        <v>Hip Replacement PrimaryProviderNUFFIELD HEALTH, NORTH STAFFORDSHIRE HOSPITAL (NT230)EQ-5D Index</v>
      </c>
      <c r="C691" t="s">
        <v>749</v>
      </c>
      <c r="D691" t="s">
        <v>965</v>
      </c>
      <c r="E691" t="s">
        <v>398</v>
      </c>
      <c r="F691" t="s">
        <v>399</v>
      </c>
      <c r="G691" t="s">
        <v>963</v>
      </c>
      <c r="H691">
        <v>31</v>
      </c>
      <c r="I691">
        <v>0.29345199999999999</v>
      </c>
      <c r="J691">
        <v>0.73038700000000001</v>
      </c>
      <c r="K691">
        <v>0.43693500000000002</v>
      </c>
      <c r="L691">
        <v>26</v>
      </c>
      <c r="M691">
        <v>1</v>
      </c>
      <c r="N691">
        <v>4</v>
      </c>
      <c r="O691">
        <v>0.74085199999999996</v>
      </c>
      <c r="P691">
        <v>0.41501399999999999</v>
      </c>
      <c r="Q691">
        <v>0.31656400000000001</v>
      </c>
    </row>
    <row r="692" spans="1:17" x14ac:dyDescent="0.25">
      <c r="A692" t="str">
        <f>IF(C692&amp;G692&amp;D692&lt;&gt;'Funnel setup'!$K$3&amp;'Funnel setup'!$K$4&amp;'Funnel setup'!$K$6,".",IF(A691=".",1,A691+1))</f>
        <v>.</v>
      </c>
      <c r="B692" s="244" t="str">
        <f t="shared" si="10"/>
        <v>Hip Replacement PrimaryProviderNUFFIELD HEALTH, PLYMOUTH HOSPITAL (NT233)EQ-5D Index</v>
      </c>
      <c r="C692" t="s">
        <v>749</v>
      </c>
      <c r="D692" t="s">
        <v>965</v>
      </c>
      <c r="E692" t="s">
        <v>400</v>
      </c>
      <c r="F692" t="s">
        <v>401</v>
      </c>
      <c r="G692" t="s">
        <v>963</v>
      </c>
      <c r="H692">
        <v>61</v>
      </c>
      <c r="I692">
        <v>0.37850800000000001</v>
      </c>
      <c r="J692">
        <v>0.82924600000000004</v>
      </c>
      <c r="K692">
        <v>0.45073800000000003</v>
      </c>
      <c r="L692">
        <v>56</v>
      </c>
      <c r="M692">
        <v>1</v>
      </c>
      <c r="N692">
        <v>4</v>
      </c>
      <c r="O692">
        <v>0.80317899999999998</v>
      </c>
      <c r="P692">
        <v>0.47734100000000002</v>
      </c>
      <c r="Q692">
        <v>0.243285</v>
      </c>
    </row>
    <row r="693" spans="1:17" x14ac:dyDescent="0.25">
      <c r="A693" t="str">
        <f>IF(C693&amp;G693&amp;D693&lt;&gt;'Funnel setup'!$K$3&amp;'Funnel setup'!$K$4&amp;'Funnel setup'!$K$6,".",IF(A692=".",1,A692+1))</f>
        <v>.</v>
      </c>
      <c r="B693" s="244" t="str">
        <f t="shared" si="10"/>
        <v>Hip Replacement PrimaryProviderNUFFIELD HEALTH, SHREWSBURY HOSPITAL (NT235)EQ-5D Index</v>
      </c>
      <c r="C693" t="s">
        <v>749</v>
      </c>
      <c r="D693" t="s">
        <v>965</v>
      </c>
      <c r="E693" t="s">
        <v>402</v>
      </c>
      <c r="F693" t="s">
        <v>403</v>
      </c>
      <c r="G693" t="s">
        <v>963</v>
      </c>
      <c r="H693">
        <v>6</v>
      </c>
      <c r="I693">
        <v>0.22</v>
      </c>
      <c r="J693">
        <v>0.82599999999999996</v>
      </c>
      <c r="K693">
        <v>0.60599999999999998</v>
      </c>
      <c r="L693">
        <v>6</v>
      </c>
      <c r="M693">
        <v>0</v>
      </c>
      <c r="N693">
        <v>0</v>
      </c>
      <c r="O693" t="s">
        <v>127</v>
      </c>
      <c r="P693" t="s">
        <v>127</v>
      </c>
      <c r="Q693" t="s">
        <v>127</v>
      </c>
    </row>
    <row r="694" spans="1:17" x14ac:dyDescent="0.25">
      <c r="A694" t="str">
        <f>IF(C694&amp;G694&amp;D694&lt;&gt;'Funnel setup'!$K$3&amp;'Funnel setup'!$K$4&amp;'Funnel setup'!$K$6,".",IF(A693=".",1,A693+1))</f>
        <v>.</v>
      </c>
      <c r="B694" s="244" t="str">
        <f t="shared" si="10"/>
        <v>Hip Replacement PrimaryProviderNUFFIELD HEALTH, TAUNTON HOSPITAL (NT238)EQ-5D Index</v>
      </c>
      <c r="C694" t="s">
        <v>749</v>
      </c>
      <c r="D694" t="s">
        <v>965</v>
      </c>
      <c r="E694" t="s">
        <v>404</v>
      </c>
      <c r="F694" t="s">
        <v>405</v>
      </c>
      <c r="G694" t="s">
        <v>963</v>
      </c>
      <c r="H694">
        <v>22</v>
      </c>
      <c r="I694">
        <v>0.36386400000000002</v>
      </c>
      <c r="J694">
        <v>0.83377299999999999</v>
      </c>
      <c r="K694">
        <v>0.46990900000000002</v>
      </c>
      <c r="L694">
        <v>21</v>
      </c>
      <c r="M694">
        <v>1</v>
      </c>
      <c r="N694">
        <v>0</v>
      </c>
      <c r="O694" t="s">
        <v>127</v>
      </c>
      <c r="P694" t="s">
        <v>127</v>
      </c>
      <c r="Q694" t="s">
        <v>127</v>
      </c>
    </row>
    <row r="695" spans="1:17" x14ac:dyDescent="0.25">
      <c r="A695" t="str">
        <f>IF(C695&amp;G695&amp;D695&lt;&gt;'Funnel setup'!$K$3&amp;'Funnel setup'!$K$4&amp;'Funnel setup'!$K$6,".",IF(A694=".",1,A694+1))</f>
        <v>.</v>
      </c>
      <c r="B695" s="244" t="str">
        <f t="shared" si="10"/>
        <v>Hip Replacement PrimaryProviderNUFFIELD HEALTH, TEES HOSPITAL (NT237)EQ-5D Index</v>
      </c>
      <c r="C695" t="s">
        <v>749</v>
      </c>
      <c r="D695" t="s">
        <v>965</v>
      </c>
      <c r="E695" t="s">
        <v>406</v>
      </c>
      <c r="F695" t="s">
        <v>407</v>
      </c>
      <c r="G695" t="s">
        <v>963</v>
      </c>
      <c r="H695">
        <v>144</v>
      </c>
      <c r="I695">
        <v>0.46654200000000001</v>
      </c>
      <c r="J695">
        <v>0.82368799999999998</v>
      </c>
      <c r="K695">
        <v>0.35714600000000002</v>
      </c>
      <c r="L695">
        <v>125</v>
      </c>
      <c r="M695">
        <v>8</v>
      </c>
      <c r="N695">
        <v>11</v>
      </c>
      <c r="O695">
        <v>0.78324300000000002</v>
      </c>
      <c r="P695">
        <v>0.45740500000000001</v>
      </c>
      <c r="Q695">
        <v>0.23408300000000001</v>
      </c>
    </row>
    <row r="696" spans="1:17" x14ac:dyDescent="0.25">
      <c r="A696" t="str">
        <f>IF(C696&amp;G696&amp;D696&lt;&gt;'Funnel setup'!$K$3&amp;'Funnel setup'!$K$4&amp;'Funnel setup'!$K$6,".",IF(A695=".",1,A695+1))</f>
        <v>.</v>
      </c>
      <c r="B696" s="244" t="str">
        <f t="shared" si="10"/>
        <v>Hip Replacement PrimaryProviderNUFFIELD HEALTH, THE GROSVENOR HOSPITAL, CHESTER (NT210)EQ-5D Index</v>
      </c>
      <c r="C696" t="s">
        <v>749</v>
      </c>
      <c r="D696" t="s">
        <v>965</v>
      </c>
      <c r="E696" t="s">
        <v>408</v>
      </c>
      <c r="F696" t="s">
        <v>409</v>
      </c>
      <c r="G696" t="s">
        <v>963</v>
      </c>
      <c r="H696">
        <v>13</v>
      </c>
      <c r="I696">
        <v>0.346692</v>
      </c>
      <c r="J696">
        <v>0.872</v>
      </c>
      <c r="K696">
        <v>0.525308</v>
      </c>
      <c r="L696">
        <v>12</v>
      </c>
      <c r="M696">
        <v>0</v>
      </c>
      <c r="N696">
        <v>1</v>
      </c>
      <c r="O696" t="s">
        <v>127</v>
      </c>
      <c r="P696" t="s">
        <v>127</v>
      </c>
      <c r="Q696" t="s">
        <v>127</v>
      </c>
    </row>
    <row r="697" spans="1:17" x14ac:dyDescent="0.25">
      <c r="A697" t="str">
        <f>IF(C697&amp;G697&amp;D697&lt;&gt;'Funnel setup'!$K$3&amp;'Funnel setup'!$K$4&amp;'Funnel setup'!$K$6,".",IF(A696=".",1,A696+1))</f>
        <v>.</v>
      </c>
      <c r="B697" s="244" t="str">
        <f t="shared" si="10"/>
        <v>Hip Replacement PrimaryProviderNUFFIELD HEALTH, TUNBRIDGE WELLS HOSPITAL (NT239)EQ-5D Index</v>
      </c>
      <c r="C697" t="s">
        <v>749</v>
      </c>
      <c r="D697" t="s">
        <v>965</v>
      </c>
      <c r="E697" t="s">
        <v>410</v>
      </c>
      <c r="F697" t="s">
        <v>411</v>
      </c>
      <c r="G697" t="s">
        <v>963</v>
      </c>
      <c r="H697">
        <v>6</v>
      </c>
      <c r="I697">
        <v>0.20799999999999999</v>
      </c>
      <c r="J697">
        <v>0.79649999999999999</v>
      </c>
      <c r="K697">
        <v>0.58850000000000002</v>
      </c>
      <c r="L697">
        <v>6</v>
      </c>
      <c r="M697">
        <v>0</v>
      </c>
      <c r="N697">
        <v>0</v>
      </c>
      <c r="O697" t="s">
        <v>127</v>
      </c>
      <c r="P697" t="s">
        <v>127</v>
      </c>
      <c r="Q697" t="s">
        <v>127</v>
      </c>
    </row>
    <row r="698" spans="1:17" x14ac:dyDescent="0.25">
      <c r="A698" t="str">
        <f>IF(C698&amp;G698&amp;D698&lt;&gt;'Funnel setup'!$K$3&amp;'Funnel setup'!$K$4&amp;'Funnel setup'!$K$6,".",IF(A697=".",1,A697+1))</f>
        <v>.</v>
      </c>
      <c r="B698" s="244" t="str">
        <f t="shared" si="10"/>
        <v>Hip Replacement PrimaryProviderNUFFIELD HEALTH, WARWICKSHIRE HOSPITAL (NT224)EQ-5D Index</v>
      </c>
      <c r="C698" t="s">
        <v>749</v>
      </c>
      <c r="D698" t="s">
        <v>965</v>
      </c>
      <c r="E698" t="s">
        <v>412</v>
      </c>
      <c r="F698" t="s">
        <v>413</v>
      </c>
      <c r="G698" t="s">
        <v>963</v>
      </c>
      <c r="H698">
        <v>18</v>
      </c>
      <c r="I698">
        <v>0.34427799999999997</v>
      </c>
      <c r="J698">
        <v>0.845889</v>
      </c>
      <c r="K698">
        <v>0.50161100000000003</v>
      </c>
      <c r="L698">
        <v>18</v>
      </c>
      <c r="M698">
        <v>0</v>
      </c>
      <c r="N698">
        <v>0</v>
      </c>
      <c r="O698" t="s">
        <v>127</v>
      </c>
      <c r="P698" t="s">
        <v>127</v>
      </c>
      <c r="Q698" t="s">
        <v>127</v>
      </c>
    </row>
    <row r="699" spans="1:17" x14ac:dyDescent="0.25">
      <c r="A699" t="str">
        <f>IF(C699&amp;G699&amp;D699&lt;&gt;'Funnel setup'!$K$3&amp;'Funnel setup'!$K$4&amp;'Funnel setup'!$K$6,".",IF(A698=".",1,A698+1))</f>
        <v>.</v>
      </c>
      <c r="B699" s="244" t="str">
        <f t="shared" si="10"/>
        <v>Hip Replacement PrimaryProviderNUFFIELD HEALTH, WESSEX HOSPITAL (NT214)EQ-5D Index</v>
      </c>
      <c r="C699" t="s">
        <v>749</v>
      </c>
      <c r="D699" t="s">
        <v>965</v>
      </c>
      <c r="E699" t="s">
        <v>414</v>
      </c>
      <c r="F699" t="s">
        <v>415</v>
      </c>
      <c r="G699" t="s">
        <v>963</v>
      </c>
      <c r="H699">
        <v>33</v>
      </c>
      <c r="I699">
        <v>0.43233300000000002</v>
      </c>
      <c r="J699">
        <v>0.82924200000000003</v>
      </c>
      <c r="K699">
        <v>0.39690900000000001</v>
      </c>
      <c r="L699">
        <v>28</v>
      </c>
      <c r="M699">
        <v>3</v>
      </c>
      <c r="N699">
        <v>2</v>
      </c>
      <c r="O699">
        <v>0.78885700000000003</v>
      </c>
      <c r="P699">
        <v>0.46301900000000001</v>
      </c>
      <c r="Q699">
        <v>0.200935</v>
      </c>
    </row>
    <row r="700" spans="1:17" x14ac:dyDescent="0.25">
      <c r="A700" t="str">
        <f>IF(C700&amp;G700&amp;D700&lt;&gt;'Funnel setup'!$K$3&amp;'Funnel setup'!$K$4&amp;'Funnel setup'!$K$6,".",IF(A699=".",1,A699+1))</f>
        <v>.</v>
      </c>
      <c r="B700" s="244" t="str">
        <f t="shared" si="10"/>
        <v>Hip Replacement PrimaryProviderNUFFIELD HEALTH, WOLVERHAMPTON HOSPITAL (NT242)EQ-5D Index</v>
      </c>
      <c r="C700" t="s">
        <v>749</v>
      </c>
      <c r="D700" t="s">
        <v>965</v>
      </c>
      <c r="E700" t="s">
        <v>418</v>
      </c>
      <c r="F700" t="s">
        <v>419</v>
      </c>
      <c r="G700" t="s">
        <v>963</v>
      </c>
      <c r="H700">
        <v>4</v>
      </c>
      <c r="I700">
        <v>0.63924999999999998</v>
      </c>
      <c r="J700">
        <v>0.84575</v>
      </c>
      <c r="K700">
        <v>0.20649999999999999</v>
      </c>
      <c r="L700">
        <v>3</v>
      </c>
      <c r="M700">
        <v>1</v>
      </c>
      <c r="N700">
        <v>0</v>
      </c>
      <c r="O700" t="s">
        <v>127</v>
      </c>
      <c r="P700" t="s">
        <v>127</v>
      </c>
      <c r="Q700" t="s">
        <v>127</v>
      </c>
    </row>
    <row r="701" spans="1:17" x14ac:dyDescent="0.25">
      <c r="A701" t="str">
        <f>IF(C701&amp;G701&amp;D701&lt;&gt;'Funnel setup'!$K$3&amp;'Funnel setup'!$K$4&amp;'Funnel setup'!$K$6,".",IF(A700=".",1,A700+1))</f>
        <v>.</v>
      </c>
      <c r="B701" s="244" t="str">
        <f t="shared" si="10"/>
        <v>Hip Replacement PrimaryProviderNUFFIELD HEALTH, YORK HOSPITAL (NT245)EQ-5D Index</v>
      </c>
      <c r="C701" t="s">
        <v>749</v>
      </c>
      <c r="D701" t="s">
        <v>965</v>
      </c>
      <c r="E701" t="s">
        <v>420</v>
      </c>
      <c r="F701" t="s">
        <v>421</v>
      </c>
      <c r="G701" t="s">
        <v>963</v>
      </c>
      <c r="H701">
        <v>75</v>
      </c>
      <c r="I701">
        <v>0.363147</v>
      </c>
      <c r="J701">
        <v>0.84769300000000003</v>
      </c>
      <c r="K701">
        <v>0.48454700000000001</v>
      </c>
      <c r="L701">
        <v>70</v>
      </c>
      <c r="M701">
        <v>4</v>
      </c>
      <c r="N701">
        <v>1</v>
      </c>
      <c r="O701">
        <v>0.83563600000000005</v>
      </c>
      <c r="P701">
        <v>0.50979799999999997</v>
      </c>
      <c r="Q701">
        <v>0.19922899999999999</v>
      </c>
    </row>
    <row r="702" spans="1:17" x14ac:dyDescent="0.25">
      <c r="A702" t="str">
        <f>IF(C702&amp;G702&amp;D702&lt;&gt;'Funnel setup'!$K$3&amp;'Funnel setup'!$K$4&amp;'Funnel setup'!$K$6,".",IF(A701=".",1,A701+1))</f>
        <v>.</v>
      </c>
      <c r="B702" s="244" t="str">
        <f t="shared" si="10"/>
        <v>Hip Replacement PrimaryProviderOAKLANDS HOSPITAL (NVC12)EQ-5D Index</v>
      </c>
      <c r="C702" t="s">
        <v>749</v>
      </c>
      <c r="D702" t="s">
        <v>965</v>
      </c>
      <c r="E702" t="s">
        <v>424</v>
      </c>
      <c r="F702" t="s">
        <v>425</v>
      </c>
      <c r="G702" t="s">
        <v>963</v>
      </c>
      <c r="H702">
        <v>63</v>
      </c>
      <c r="I702">
        <v>0.36803200000000003</v>
      </c>
      <c r="J702">
        <v>0.75103200000000003</v>
      </c>
      <c r="K702">
        <v>0.38300000000000001</v>
      </c>
      <c r="L702">
        <v>50</v>
      </c>
      <c r="M702">
        <v>6</v>
      </c>
      <c r="N702">
        <v>7</v>
      </c>
      <c r="O702">
        <v>0.75827699999999998</v>
      </c>
      <c r="P702">
        <v>0.43243799999999999</v>
      </c>
      <c r="Q702">
        <v>0.26783600000000002</v>
      </c>
    </row>
    <row r="703" spans="1:17" x14ac:dyDescent="0.25">
      <c r="A703" t="str">
        <f>IF(C703&amp;G703&amp;D703&lt;&gt;'Funnel setup'!$K$3&amp;'Funnel setup'!$K$4&amp;'Funnel setup'!$K$6,".",IF(A702=".",1,A702+1))</f>
        <v>.</v>
      </c>
      <c r="B703" s="244" t="str">
        <f t="shared" si="10"/>
        <v>Hip Replacement PrimaryProviderOAKS HOSPITAL (NVC13)EQ-5D Index</v>
      </c>
      <c r="C703" t="s">
        <v>749</v>
      </c>
      <c r="D703" t="s">
        <v>965</v>
      </c>
      <c r="E703" t="s">
        <v>426</v>
      </c>
      <c r="F703" t="s">
        <v>427</v>
      </c>
      <c r="G703" t="s">
        <v>963</v>
      </c>
      <c r="H703">
        <v>7</v>
      </c>
      <c r="I703">
        <v>0.51871400000000001</v>
      </c>
      <c r="J703">
        <v>0.741429</v>
      </c>
      <c r="K703">
        <v>0.222714</v>
      </c>
      <c r="L703">
        <v>6</v>
      </c>
      <c r="M703">
        <v>1</v>
      </c>
      <c r="N703">
        <v>0</v>
      </c>
      <c r="O703" t="s">
        <v>127</v>
      </c>
      <c r="P703" t="s">
        <v>127</v>
      </c>
      <c r="Q703" t="s">
        <v>127</v>
      </c>
    </row>
    <row r="704" spans="1:17" x14ac:dyDescent="0.25">
      <c r="A704" t="str">
        <f>IF(C704&amp;G704&amp;D704&lt;&gt;'Funnel setup'!$K$3&amp;'Funnel setup'!$K$4&amp;'Funnel setup'!$K$6,".",IF(A703=".",1,A703+1))</f>
        <v>.</v>
      </c>
      <c r="B704" s="244" t="str">
        <f t="shared" si="10"/>
        <v>Hip Replacement PrimaryProviderONE HEALTHCARE (AVQ)EQ-5D Index</v>
      </c>
      <c r="C704" t="s">
        <v>749</v>
      </c>
      <c r="D704" t="s">
        <v>965</v>
      </c>
      <c r="E704" t="s">
        <v>434</v>
      </c>
      <c r="F704" t="s">
        <v>435</v>
      </c>
      <c r="G704" t="s">
        <v>963</v>
      </c>
      <c r="H704">
        <v>51</v>
      </c>
      <c r="I704">
        <v>0.36213699999999999</v>
      </c>
      <c r="J704">
        <v>0.85878399999999999</v>
      </c>
      <c r="K704">
        <v>0.49664700000000001</v>
      </c>
      <c r="L704">
        <v>46</v>
      </c>
      <c r="M704">
        <v>3</v>
      </c>
      <c r="N704">
        <v>2</v>
      </c>
      <c r="O704">
        <v>0.84187800000000002</v>
      </c>
      <c r="P704">
        <v>0.51604000000000005</v>
      </c>
      <c r="Q704">
        <v>0.198763</v>
      </c>
    </row>
    <row r="705" spans="1:17" x14ac:dyDescent="0.25">
      <c r="A705" t="str">
        <f>IF(C705&amp;G705&amp;D705&lt;&gt;'Funnel setup'!$K$3&amp;'Funnel setup'!$K$4&amp;'Funnel setup'!$K$6,".",IF(A704=".",1,A704+1))</f>
        <v>.</v>
      </c>
      <c r="B705" s="244" t="str">
        <f t="shared" si="10"/>
        <v>Hip Replacement PrimaryProviderORTHOPAEDICS &amp; SPINE SPECIALIST HOSPITAL SITE (NQM01)EQ-5D Index</v>
      </c>
      <c r="C705" t="s">
        <v>749</v>
      </c>
      <c r="D705" t="s">
        <v>965</v>
      </c>
      <c r="E705" t="s">
        <v>436</v>
      </c>
      <c r="F705" t="s">
        <v>437</v>
      </c>
      <c r="G705" t="s">
        <v>963</v>
      </c>
      <c r="H705">
        <v>7</v>
      </c>
      <c r="I705">
        <v>0.47928599999999999</v>
      </c>
      <c r="J705">
        <v>0.79671400000000003</v>
      </c>
      <c r="K705">
        <v>0.31742900000000002</v>
      </c>
      <c r="L705">
        <v>6</v>
      </c>
      <c r="M705">
        <v>0</v>
      </c>
      <c r="N705">
        <v>1</v>
      </c>
      <c r="O705" t="s">
        <v>127</v>
      </c>
      <c r="P705" t="s">
        <v>127</v>
      </c>
      <c r="Q705" t="s">
        <v>127</v>
      </c>
    </row>
    <row r="706" spans="1:17" x14ac:dyDescent="0.25">
      <c r="A706" t="str">
        <f>IF(C706&amp;G706&amp;D706&lt;&gt;'Funnel setup'!$K$3&amp;'Funnel setup'!$K$4&amp;'Funnel setup'!$K$6,".",IF(A705=".",1,A705+1))</f>
        <v>.</v>
      </c>
      <c r="B706" s="244" t="str">
        <f t="shared" ref="B706:B769" si="11">C706&amp;D706&amp;F706&amp;G706</f>
        <v>Hip Replacement PrimaryProviderOXFORD UNIVERSITY HOSPITALS NHS FOUNDATION TRUST (RTH)EQ-5D Index</v>
      </c>
      <c r="C706" t="s">
        <v>749</v>
      </c>
      <c r="D706" t="s">
        <v>965</v>
      </c>
      <c r="E706" t="s">
        <v>438</v>
      </c>
      <c r="F706" t="s">
        <v>439</v>
      </c>
      <c r="G706" t="s">
        <v>963</v>
      </c>
      <c r="H706">
        <v>273</v>
      </c>
      <c r="I706">
        <v>0.31304399999999999</v>
      </c>
      <c r="J706">
        <v>0.76671400000000001</v>
      </c>
      <c r="K706">
        <v>0.45367000000000002</v>
      </c>
      <c r="L706">
        <v>249</v>
      </c>
      <c r="M706">
        <v>12</v>
      </c>
      <c r="N706">
        <v>12</v>
      </c>
      <c r="O706">
        <v>0.76155399999999995</v>
      </c>
      <c r="P706">
        <v>0.43571500000000002</v>
      </c>
      <c r="Q706">
        <v>0.26794800000000002</v>
      </c>
    </row>
    <row r="707" spans="1:17" x14ac:dyDescent="0.25">
      <c r="A707" t="str">
        <f>IF(C707&amp;G707&amp;D707&lt;&gt;'Funnel setup'!$K$3&amp;'Funnel setup'!$K$4&amp;'Funnel setup'!$K$6,".",IF(A706=".",1,A706+1))</f>
        <v>.</v>
      </c>
      <c r="B707" s="244" t="str">
        <f t="shared" si="11"/>
        <v>Hip Replacement PrimaryProviderPARK HILL HOSPITAL (NVC14)EQ-5D Index</v>
      </c>
      <c r="C707" t="s">
        <v>749</v>
      </c>
      <c r="D707" t="s">
        <v>965</v>
      </c>
      <c r="E707" t="s">
        <v>440</v>
      </c>
      <c r="F707" t="s">
        <v>441</v>
      </c>
      <c r="G707" t="s">
        <v>963</v>
      </c>
      <c r="H707">
        <v>51</v>
      </c>
      <c r="I707">
        <v>0.274451</v>
      </c>
      <c r="J707">
        <v>0.77337299999999998</v>
      </c>
      <c r="K707">
        <v>0.49892199999999998</v>
      </c>
      <c r="L707">
        <v>45</v>
      </c>
      <c r="M707">
        <v>1</v>
      </c>
      <c r="N707">
        <v>5</v>
      </c>
      <c r="O707">
        <v>0.77969200000000005</v>
      </c>
      <c r="P707">
        <v>0.45385399999999998</v>
      </c>
      <c r="Q707">
        <v>0.27519199999999999</v>
      </c>
    </row>
    <row r="708" spans="1:17" x14ac:dyDescent="0.25">
      <c r="A708" t="str">
        <f>IF(C708&amp;G708&amp;D708&lt;&gt;'Funnel setup'!$K$3&amp;'Funnel setup'!$K$4&amp;'Funnel setup'!$K$6,".",IF(A707=".",1,A707+1))</f>
        <v>.</v>
      </c>
      <c r="B708" s="244" t="str">
        <f t="shared" si="11"/>
        <v>Hip Replacement PrimaryProviderPARK HOSPITAL (NT427)EQ-5D Index</v>
      </c>
      <c r="C708" t="s">
        <v>749</v>
      </c>
      <c r="D708" t="s">
        <v>965</v>
      </c>
      <c r="E708" t="s">
        <v>442</v>
      </c>
      <c r="F708" t="s">
        <v>443</v>
      </c>
      <c r="G708" t="s">
        <v>963</v>
      </c>
      <c r="H708">
        <v>23</v>
      </c>
      <c r="I708">
        <v>0.34787000000000001</v>
      </c>
      <c r="J708">
        <v>0.74195699999999998</v>
      </c>
      <c r="K708">
        <v>0.39408700000000002</v>
      </c>
      <c r="L708">
        <v>19</v>
      </c>
      <c r="M708">
        <v>1</v>
      </c>
      <c r="N708">
        <v>3</v>
      </c>
      <c r="O708" t="s">
        <v>127</v>
      </c>
      <c r="P708" t="s">
        <v>127</v>
      </c>
      <c r="Q708" t="s">
        <v>127</v>
      </c>
    </row>
    <row r="709" spans="1:17" x14ac:dyDescent="0.25">
      <c r="A709" t="str">
        <f>IF(C709&amp;G709&amp;D709&lt;&gt;'Funnel setup'!$K$3&amp;'Funnel setup'!$K$4&amp;'Funnel setup'!$K$6,".",IF(A708=".",1,A708+1))</f>
        <v>.</v>
      </c>
      <c r="B709" s="244" t="str">
        <f t="shared" si="11"/>
        <v>Hip Replacement PrimaryProviderPENNINE ACUTE HOSPITALS NHS TRUST (RW6)EQ-5D Index</v>
      </c>
      <c r="C709" t="s">
        <v>749</v>
      </c>
      <c r="D709" t="s">
        <v>965</v>
      </c>
      <c r="E709" t="s">
        <v>444</v>
      </c>
      <c r="F709" t="s">
        <v>445</v>
      </c>
      <c r="G709" t="s">
        <v>963</v>
      </c>
      <c r="H709">
        <v>2</v>
      </c>
      <c r="I709">
        <v>0.1905</v>
      </c>
      <c r="J709">
        <v>0.38650000000000001</v>
      </c>
      <c r="K709">
        <v>0.19600000000000001</v>
      </c>
      <c r="L709">
        <v>2</v>
      </c>
      <c r="M709">
        <v>0</v>
      </c>
      <c r="N709">
        <v>0</v>
      </c>
      <c r="O709" t="s">
        <v>127</v>
      </c>
      <c r="P709" t="s">
        <v>127</v>
      </c>
      <c r="Q709" t="s">
        <v>127</v>
      </c>
    </row>
    <row r="710" spans="1:17" x14ac:dyDescent="0.25">
      <c r="A710" t="str">
        <f>IF(C710&amp;G710&amp;D710&lt;&gt;'Funnel setup'!$K$3&amp;'Funnel setup'!$K$4&amp;'Funnel setup'!$K$6,".",IF(A709=".",1,A709+1))</f>
        <v>.</v>
      </c>
      <c r="B710" s="244" t="str">
        <f t="shared" si="11"/>
        <v>Hip Replacement PrimaryProviderPINEHILL HOSPITAL (NVC15)EQ-5D Index</v>
      </c>
      <c r="C710" t="s">
        <v>749</v>
      </c>
      <c r="D710" t="s">
        <v>965</v>
      </c>
      <c r="E710" t="s">
        <v>448</v>
      </c>
      <c r="F710" t="s">
        <v>449</v>
      </c>
      <c r="G710" t="s">
        <v>963</v>
      </c>
      <c r="H710">
        <v>12</v>
      </c>
      <c r="I710">
        <v>0.48775000000000002</v>
      </c>
      <c r="J710">
        <v>0.87350000000000005</v>
      </c>
      <c r="K710">
        <v>0.38574999999999998</v>
      </c>
      <c r="L710">
        <v>12</v>
      </c>
      <c r="M710">
        <v>0</v>
      </c>
      <c r="N710">
        <v>0</v>
      </c>
      <c r="O710" t="s">
        <v>127</v>
      </c>
      <c r="P710" t="s">
        <v>127</v>
      </c>
      <c r="Q710" t="s">
        <v>127</v>
      </c>
    </row>
    <row r="711" spans="1:17" x14ac:dyDescent="0.25">
      <c r="A711" t="str">
        <f>IF(C711&amp;G711&amp;D711&lt;&gt;'Funnel setup'!$K$3&amp;'Funnel setup'!$K$4&amp;'Funnel setup'!$K$6,".",IF(A710=".",1,A710+1))</f>
        <v>.</v>
      </c>
      <c r="B711" s="244" t="str">
        <f t="shared" si="11"/>
        <v>Hip Replacement PrimaryProviderPORTSMOUTH HOSPITALS UNIVERSITY NATIONAL HEALTH SERVICE TRUST (RHU)EQ-5D Index</v>
      </c>
      <c r="C711" t="s">
        <v>749</v>
      </c>
      <c r="D711" t="s">
        <v>965</v>
      </c>
      <c r="E711" t="s">
        <v>450</v>
      </c>
      <c r="F711" t="s">
        <v>451</v>
      </c>
      <c r="G711" t="s">
        <v>963</v>
      </c>
      <c r="H711">
        <v>14</v>
      </c>
      <c r="I711">
        <v>8.5142899999999994E-2</v>
      </c>
      <c r="J711">
        <v>0.614286</v>
      </c>
      <c r="K711">
        <v>0.52914300000000003</v>
      </c>
      <c r="L711">
        <v>12</v>
      </c>
      <c r="M711">
        <v>0</v>
      </c>
      <c r="N711">
        <v>2</v>
      </c>
      <c r="O711" t="s">
        <v>127</v>
      </c>
      <c r="P711" t="s">
        <v>127</v>
      </c>
      <c r="Q711" t="s">
        <v>127</v>
      </c>
    </row>
    <row r="712" spans="1:17" x14ac:dyDescent="0.25">
      <c r="A712" t="str">
        <f>IF(C712&amp;G712&amp;D712&lt;&gt;'Funnel setup'!$K$3&amp;'Funnel setup'!$K$4&amp;'Funnel setup'!$K$6,".",IF(A711=".",1,A711+1))</f>
        <v>.</v>
      </c>
      <c r="B712" s="244" t="str">
        <f t="shared" si="11"/>
        <v>Hip Replacement PrimaryProviderPRACTICE PLUS GROUP HOSPITAL - BARLBOROUGH (NTP13)EQ-5D Index</v>
      </c>
      <c r="C712" t="s">
        <v>749</v>
      </c>
      <c r="D712" t="s">
        <v>965</v>
      </c>
      <c r="E712" t="s">
        <v>452</v>
      </c>
      <c r="F712" t="s">
        <v>453</v>
      </c>
      <c r="G712" t="s">
        <v>963</v>
      </c>
      <c r="H712">
        <v>174</v>
      </c>
      <c r="I712">
        <v>0.33575899999999997</v>
      </c>
      <c r="J712">
        <v>0.80029899999999998</v>
      </c>
      <c r="K712">
        <v>0.46454000000000001</v>
      </c>
      <c r="L712">
        <v>157</v>
      </c>
      <c r="M712">
        <v>8</v>
      </c>
      <c r="N712">
        <v>9</v>
      </c>
      <c r="O712">
        <v>0.79171199999999997</v>
      </c>
      <c r="P712">
        <v>0.46587400000000001</v>
      </c>
      <c r="Q712">
        <v>0.23407900000000001</v>
      </c>
    </row>
    <row r="713" spans="1:17" x14ac:dyDescent="0.25">
      <c r="A713" t="str">
        <f>IF(C713&amp;G713&amp;D713&lt;&gt;'Funnel setup'!$K$3&amp;'Funnel setup'!$K$4&amp;'Funnel setup'!$K$6,".",IF(A712=".",1,A712+1))</f>
        <v>.</v>
      </c>
      <c r="B713" s="244" t="str">
        <f t="shared" si="11"/>
        <v>Hip Replacement PrimaryProviderPRACTICE PLUS GROUP HOSPITAL - EMERSONS GREEN (NTPH2)EQ-5D Index</v>
      </c>
      <c r="C713" t="s">
        <v>749</v>
      </c>
      <c r="D713" t="s">
        <v>965</v>
      </c>
      <c r="E713" t="s">
        <v>454</v>
      </c>
      <c r="F713" t="s">
        <v>455</v>
      </c>
      <c r="G713" t="s">
        <v>963</v>
      </c>
      <c r="H713">
        <v>142</v>
      </c>
      <c r="I713">
        <v>0.39661999999999997</v>
      </c>
      <c r="J713">
        <v>0.85040099999999996</v>
      </c>
      <c r="K713">
        <v>0.45378200000000002</v>
      </c>
      <c r="L713">
        <v>130</v>
      </c>
      <c r="M713">
        <v>7</v>
      </c>
      <c r="N713">
        <v>5</v>
      </c>
      <c r="O713">
        <v>0.81241200000000002</v>
      </c>
      <c r="P713">
        <v>0.48657400000000001</v>
      </c>
      <c r="Q713">
        <v>0.179395</v>
      </c>
    </row>
    <row r="714" spans="1:17" x14ac:dyDescent="0.25">
      <c r="A714" t="str">
        <f>IF(C714&amp;G714&amp;D714&lt;&gt;'Funnel setup'!$K$3&amp;'Funnel setup'!$K$4&amp;'Funnel setup'!$K$6,".",IF(A713=".",1,A713+1))</f>
        <v>.</v>
      </c>
      <c r="B714" s="244" t="str">
        <f t="shared" si="11"/>
        <v>Hip Replacement PrimaryProviderPRACTICE PLUS GROUP HOSPITAL - ILFORD (NTP15)EQ-5D Index</v>
      </c>
      <c r="C714" t="s">
        <v>749</v>
      </c>
      <c r="D714" t="s">
        <v>965</v>
      </c>
      <c r="E714" t="s">
        <v>456</v>
      </c>
      <c r="F714" t="s">
        <v>457</v>
      </c>
      <c r="G714" t="s">
        <v>963</v>
      </c>
      <c r="H714">
        <v>54</v>
      </c>
      <c r="I714">
        <v>0.35437000000000002</v>
      </c>
      <c r="J714">
        <v>0.80688899999999997</v>
      </c>
      <c r="K714">
        <v>0.452519</v>
      </c>
      <c r="L714">
        <v>51</v>
      </c>
      <c r="M714">
        <v>1</v>
      </c>
      <c r="N714">
        <v>2</v>
      </c>
      <c r="O714">
        <v>0.79754700000000001</v>
      </c>
      <c r="P714">
        <v>0.47170800000000002</v>
      </c>
      <c r="Q714">
        <v>0.207394</v>
      </c>
    </row>
    <row r="715" spans="1:17" x14ac:dyDescent="0.25">
      <c r="A715" t="str">
        <f>IF(C715&amp;G715&amp;D715&lt;&gt;'Funnel setup'!$K$3&amp;'Funnel setup'!$K$4&amp;'Funnel setup'!$K$6,".",IF(A714=".",1,A714+1))</f>
        <v>.</v>
      </c>
      <c r="B715" s="244" t="str">
        <f t="shared" si="11"/>
        <v>Hip Replacement PrimaryProviderPRACTICE PLUS GROUP HOSPITAL - PLYMOUTH (NTPH5)EQ-5D Index</v>
      </c>
      <c r="C715" t="s">
        <v>749</v>
      </c>
      <c r="D715" t="s">
        <v>965</v>
      </c>
      <c r="E715" t="s">
        <v>458</v>
      </c>
      <c r="F715" t="s">
        <v>459</v>
      </c>
      <c r="G715" t="s">
        <v>963</v>
      </c>
      <c r="H715">
        <v>182</v>
      </c>
      <c r="I715">
        <v>0.37339600000000001</v>
      </c>
      <c r="J715">
        <v>0.82940100000000005</v>
      </c>
      <c r="K715">
        <v>0.45600499999999999</v>
      </c>
      <c r="L715">
        <v>164</v>
      </c>
      <c r="M715">
        <v>9</v>
      </c>
      <c r="N715">
        <v>9</v>
      </c>
      <c r="O715">
        <v>0.82998400000000006</v>
      </c>
      <c r="P715">
        <v>0.50414499999999995</v>
      </c>
      <c r="Q715">
        <v>0.221358</v>
      </c>
    </row>
    <row r="716" spans="1:17" x14ac:dyDescent="0.25">
      <c r="A716" t="str">
        <f>IF(C716&amp;G716&amp;D716&lt;&gt;'Funnel setup'!$K$3&amp;'Funnel setup'!$K$4&amp;'Funnel setup'!$K$6,".",IF(A715=".",1,A715+1))</f>
        <v>.</v>
      </c>
      <c r="B716" s="244" t="str">
        <f t="shared" si="11"/>
        <v>Hip Replacement PrimaryProviderPRACTICE PLUS GROUP HOSPITAL - SHEPTON MALLET (NTPH1)EQ-5D Index</v>
      </c>
      <c r="C716" t="s">
        <v>749</v>
      </c>
      <c r="D716" t="s">
        <v>965</v>
      </c>
      <c r="E716" t="s">
        <v>460</v>
      </c>
      <c r="F716" t="s">
        <v>461</v>
      </c>
      <c r="G716" t="s">
        <v>963</v>
      </c>
      <c r="H716">
        <v>268</v>
      </c>
      <c r="I716">
        <v>0.41798099999999999</v>
      </c>
      <c r="J716">
        <v>0.860321</v>
      </c>
      <c r="K716">
        <v>0.44234000000000001</v>
      </c>
      <c r="L716">
        <v>245</v>
      </c>
      <c r="M716">
        <v>10</v>
      </c>
      <c r="N716">
        <v>13</v>
      </c>
      <c r="O716">
        <v>0.82399699999999998</v>
      </c>
      <c r="P716">
        <v>0.49815900000000002</v>
      </c>
      <c r="Q716">
        <v>0.17995</v>
      </c>
    </row>
    <row r="717" spans="1:17" x14ac:dyDescent="0.25">
      <c r="A717" t="str">
        <f>IF(C717&amp;G717&amp;D717&lt;&gt;'Funnel setup'!$K$3&amp;'Funnel setup'!$K$4&amp;'Funnel setup'!$K$6,".",IF(A716=".",1,A716+1))</f>
        <v>.</v>
      </c>
      <c r="B717" s="244" t="str">
        <f t="shared" si="11"/>
        <v>Hip Replacement PrimaryProviderPRACTICE PLUS GROUP HOSPITAL - SOUTHAMPTON (NTP11)EQ-5D Index</v>
      </c>
      <c r="C717" t="s">
        <v>749</v>
      </c>
      <c r="D717" t="s">
        <v>965</v>
      </c>
      <c r="E717" t="s">
        <v>462</v>
      </c>
      <c r="F717" t="s">
        <v>463</v>
      </c>
      <c r="G717" t="s">
        <v>963</v>
      </c>
      <c r="H717">
        <v>70</v>
      </c>
      <c r="I717">
        <v>0.36872899999999997</v>
      </c>
      <c r="J717">
        <v>0.84181399999999995</v>
      </c>
      <c r="K717">
        <v>0.47308600000000001</v>
      </c>
      <c r="L717">
        <v>63</v>
      </c>
      <c r="M717">
        <v>3</v>
      </c>
      <c r="N717">
        <v>4</v>
      </c>
      <c r="O717">
        <v>0.82058500000000001</v>
      </c>
      <c r="P717">
        <v>0.49474699999999999</v>
      </c>
      <c r="Q717">
        <v>0.21359300000000001</v>
      </c>
    </row>
    <row r="718" spans="1:17" x14ac:dyDescent="0.25">
      <c r="A718" t="str">
        <f>IF(C718&amp;G718&amp;D718&lt;&gt;'Funnel setup'!$K$3&amp;'Funnel setup'!$K$4&amp;'Funnel setup'!$K$6,".",IF(A717=".",1,A717+1))</f>
        <v>.</v>
      </c>
      <c r="B718" s="244" t="str">
        <f t="shared" si="11"/>
        <v>Hip Replacement PrimaryProviderPRINCESS MARGARET HOSPITAL (NT428)EQ-5D Index</v>
      </c>
      <c r="C718" t="s">
        <v>749</v>
      </c>
      <c r="D718" t="s">
        <v>965</v>
      </c>
      <c r="E718" t="s">
        <v>464</v>
      </c>
      <c r="F718" t="s">
        <v>465</v>
      </c>
      <c r="G718" t="s">
        <v>963</v>
      </c>
      <c r="H718" t="s">
        <v>127</v>
      </c>
      <c r="I718" t="s">
        <v>127</v>
      </c>
      <c r="J718" t="s">
        <v>127</v>
      </c>
      <c r="K718" t="s">
        <v>127</v>
      </c>
      <c r="L718" t="s">
        <v>127</v>
      </c>
      <c r="M718" t="s">
        <v>127</v>
      </c>
      <c r="N718" t="s">
        <v>127</v>
      </c>
      <c r="O718" t="s">
        <v>127</v>
      </c>
      <c r="P718" t="s">
        <v>127</v>
      </c>
      <c r="Q718" t="s">
        <v>127</v>
      </c>
    </row>
    <row r="719" spans="1:17" x14ac:dyDescent="0.25">
      <c r="A719" t="str">
        <f>IF(C719&amp;G719&amp;D719&lt;&gt;'Funnel setup'!$K$3&amp;'Funnel setup'!$K$4&amp;'Funnel setup'!$K$6,".",IF(A718=".",1,A718+1))</f>
        <v>.</v>
      </c>
      <c r="B719" s="244" t="str">
        <f t="shared" si="11"/>
        <v>Hip Replacement PrimaryProviderPRIORY HOSPITAL (NT429)EQ-5D Index</v>
      </c>
      <c r="C719" t="s">
        <v>749</v>
      </c>
      <c r="D719" t="s">
        <v>965</v>
      </c>
      <c r="E719" t="s">
        <v>466</v>
      </c>
      <c r="F719" t="s">
        <v>467</v>
      </c>
      <c r="G719" t="s">
        <v>963</v>
      </c>
      <c r="H719">
        <v>10</v>
      </c>
      <c r="I719">
        <v>0.33289999999999997</v>
      </c>
      <c r="J719">
        <v>0.83020000000000005</v>
      </c>
      <c r="K719">
        <v>0.49730000000000002</v>
      </c>
      <c r="L719">
        <v>9</v>
      </c>
      <c r="M719">
        <v>0</v>
      </c>
      <c r="N719">
        <v>1</v>
      </c>
      <c r="O719" t="s">
        <v>127</v>
      </c>
      <c r="P719" t="s">
        <v>127</v>
      </c>
      <c r="Q719" t="s">
        <v>127</v>
      </c>
    </row>
    <row r="720" spans="1:17" x14ac:dyDescent="0.25">
      <c r="A720" t="str">
        <f>IF(C720&amp;G720&amp;D720&lt;&gt;'Funnel setup'!$K$3&amp;'Funnel setup'!$K$4&amp;'Funnel setup'!$K$6,".",IF(A719=".",1,A719+1))</f>
        <v>.</v>
      </c>
      <c r="B720" s="244" t="str">
        <f t="shared" si="11"/>
        <v>Hip Replacement PrimaryProviderRENACRES HOSPITAL (NVC16)EQ-5D Index</v>
      </c>
      <c r="C720" t="s">
        <v>749</v>
      </c>
      <c r="D720" t="s">
        <v>965</v>
      </c>
      <c r="E720" t="s">
        <v>470</v>
      </c>
      <c r="F720" t="s">
        <v>471</v>
      </c>
      <c r="G720" t="s">
        <v>963</v>
      </c>
      <c r="H720">
        <v>79</v>
      </c>
      <c r="I720">
        <v>0.32577200000000001</v>
      </c>
      <c r="J720">
        <v>0.81430400000000003</v>
      </c>
      <c r="K720">
        <v>0.48853200000000002</v>
      </c>
      <c r="L720">
        <v>74</v>
      </c>
      <c r="M720">
        <v>2</v>
      </c>
      <c r="N720">
        <v>3</v>
      </c>
      <c r="O720">
        <v>0.80099799999999999</v>
      </c>
      <c r="P720">
        <v>0.475159</v>
      </c>
      <c r="Q720">
        <v>0.24049300000000001</v>
      </c>
    </row>
    <row r="721" spans="1:17" x14ac:dyDescent="0.25">
      <c r="A721" t="str">
        <f>IF(C721&amp;G721&amp;D721&lt;&gt;'Funnel setup'!$K$3&amp;'Funnel setup'!$K$4&amp;'Funnel setup'!$K$6,".",IF(A720=".",1,A720+1))</f>
        <v>.</v>
      </c>
      <c r="B721" s="244" t="str">
        <f t="shared" si="11"/>
        <v>Hip Replacement PrimaryProviderRIDGEWAY HOSPITAL (NT430)EQ-5D Index</v>
      </c>
      <c r="C721" t="s">
        <v>749</v>
      </c>
      <c r="D721" t="s">
        <v>965</v>
      </c>
      <c r="E721" t="s">
        <v>472</v>
      </c>
      <c r="F721" t="s">
        <v>473</v>
      </c>
      <c r="G721" t="s">
        <v>963</v>
      </c>
      <c r="H721">
        <v>4</v>
      </c>
      <c r="I721">
        <v>0.58299999999999996</v>
      </c>
      <c r="J721">
        <v>0.64400000000000002</v>
      </c>
      <c r="K721">
        <v>6.0999999999999999E-2</v>
      </c>
      <c r="L721">
        <v>2</v>
      </c>
      <c r="M721">
        <v>0</v>
      </c>
      <c r="N721">
        <v>2</v>
      </c>
      <c r="O721" t="s">
        <v>127</v>
      </c>
      <c r="P721" t="s">
        <v>127</v>
      </c>
      <c r="Q721" t="s">
        <v>127</v>
      </c>
    </row>
    <row r="722" spans="1:17" x14ac:dyDescent="0.25">
      <c r="A722" t="str">
        <f>IF(C722&amp;G722&amp;D722&lt;&gt;'Funnel setup'!$K$3&amp;'Funnel setup'!$K$4&amp;'Funnel setup'!$K$6,".",IF(A721=".",1,A721+1))</f>
        <v>.</v>
      </c>
      <c r="B722" s="244" t="str">
        <f t="shared" si="11"/>
        <v>Hip Replacement PrimaryProviderRIVERS HOSPITAL (NVC19)EQ-5D Index</v>
      </c>
      <c r="C722" t="s">
        <v>749</v>
      </c>
      <c r="D722" t="s">
        <v>965</v>
      </c>
      <c r="E722" t="s">
        <v>474</v>
      </c>
      <c r="F722" t="s">
        <v>475</v>
      </c>
      <c r="G722" t="s">
        <v>963</v>
      </c>
      <c r="H722">
        <v>56</v>
      </c>
      <c r="I722">
        <v>0.39464300000000002</v>
      </c>
      <c r="J722">
        <v>0.76991100000000001</v>
      </c>
      <c r="K722">
        <v>0.37526799999999999</v>
      </c>
      <c r="L722">
        <v>52</v>
      </c>
      <c r="M722">
        <v>2</v>
      </c>
      <c r="N722">
        <v>2</v>
      </c>
      <c r="O722">
        <v>0.73835099999999998</v>
      </c>
      <c r="P722">
        <v>0.41251300000000002</v>
      </c>
      <c r="Q722">
        <v>0.259052</v>
      </c>
    </row>
    <row r="723" spans="1:17" x14ac:dyDescent="0.25">
      <c r="A723" t="str">
        <f>IF(C723&amp;G723&amp;D723&lt;&gt;'Funnel setup'!$K$3&amp;'Funnel setup'!$K$4&amp;'Funnel setup'!$K$6,".",IF(A722=".",1,A722+1))</f>
        <v>.</v>
      </c>
      <c r="B723" s="244" t="str">
        <f t="shared" si="11"/>
        <v>Hip Replacement PrimaryProviderROWLEY HALL HOSPITAL (NVC17)EQ-5D Index</v>
      </c>
      <c r="C723" t="s">
        <v>749</v>
      </c>
      <c r="D723" t="s">
        <v>965</v>
      </c>
      <c r="E723" t="s">
        <v>476</v>
      </c>
      <c r="F723" t="s">
        <v>477</v>
      </c>
      <c r="G723" t="s">
        <v>963</v>
      </c>
      <c r="H723">
        <v>52</v>
      </c>
      <c r="I723">
        <v>0.398115</v>
      </c>
      <c r="J723">
        <v>0.79830800000000002</v>
      </c>
      <c r="K723">
        <v>0.40019199999999999</v>
      </c>
      <c r="L723">
        <v>45</v>
      </c>
      <c r="M723">
        <v>4</v>
      </c>
      <c r="N723">
        <v>3</v>
      </c>
      <c r="O723">
        <v>0.78387799999999996</v>
      </c>
      <c r="P723">
        <v>0.45804</v>
      </c>
      <c r="Q723">
        <v>0.19914200000000001</v>
      </c>
    </row>
    <row r="724" spans="1:17" x14ac:dyDescent="0.25">
      <c r="A724" t="str">
        <f>IF(C724&amp;G724&amp;D724&lt;&gt;'Funnel setup'!$K$3&amp;'Funnel setup'!$K$4&amp;'Funnel setup'!$K$6,".",IF(A723=".",1,A723+1))</f>
        <v>.</v>
      </c>
      <c r="B724" s="244" t="str">
        <f t="shared" si="11"/>
        <v>Hip Replacement PrimaryProviderROYAL BERKSHIRE NHS FOUNDATION TRUST (RHW)EQ-5D Index</v>
      </c>
      <c r="C724" t="s">
        <v>749</v>
      </c>
      <c r="D724" t="s">
        <v>965</v>
      </c>
      <c r="E724" t="s">
        <v>478</v>
      </c>
      <c r="F724" t="s">
        <v>479</v>
      </c>
      <c r="G724" t="s">
        <v>963</v>
      </c>
      <c r="H724">
        <v>3</v>
      </c>
      <c r="I724">
        <v>5.4666699999999999E-2</v>
      </c>
      <c r="J724">
        <v>0.37366700000000003</v>
      </c>
      <c r="K724">
        <v>0.31900000000000001</v>
      </c>
      <c r="L724">
        <v>2</v>
      </c>
      <c r="M724">
        <v>0</v>
      </c>
      <c r="N724">
        <v>1</v>
      </c>
      <c r="O724" t="s">
        <v>127</v>
      </c>
      <c r="P724" t="s">
        <v>127</v>
      </c>
      <c r="Q724" t="s">
        <v>127</v>
      </c>
    </row>
    <row r="725" spans="1:17" x14ac:dyDescent="0.25">
      <c r="A725" t="str">
        <f>IF(C725&amp;G725&amp;D725&lt;&gt;'Funnel setup'!$K$3&amp;'Funnel setup'!$K$4&amp;'Funnel setup'!$K$6,".",IF(A724=".",1,A724+1))</f>
        <v>.</v>
      </c>
      <c r="B725" s="244" t="str">
        <f t="shared" si="11"/>
        <v>Hip Replacement PrimaryProviderROYAL CORNWALL HOSPITALS NHS TRUST (REF)EQ-5D Index</v>
      </c>
      <c r="C725" t="s">
        <v>749</v>
      </c>
      <c r="D725" t="s">
        <v>965</v>
      </c>
      <c r="E725" t="s">
        <v>480</v>
      </c>
      <c r="F725" t="s">
        <v>481</v>
      </c>
      <c r="G725" t="s">
        <v>963</v>
      </c>
      <c r="H725">
        <v>48</v>
      </c>
      <c r="I725">
        <v>0.42347899999999999</v>
      </c>
      <c r="J725">
        <v>0.78704200000000002</v>
      </c>
      <c r="K725">
        <v>0.363562</v>
      </c>
      <c r="L725">
        <v>42</v>
      </c>
      <c r="M725">
        <v>2</v>
      </c>
      <c r="N725">
        <v>4</v>
      </c>
      <c r="O725">
        <v>0.75740200000000002</v>
      </c>
      <c r="P725">
        <v>0.43156299999999997</v>
      </c>
      <c r="Q725">
        <v>0.29138700000000001</v>
      </c>
    </row>
    <row r="726" spans="1:17" x14ac:dyDescent="0.25">
      <c r="A726" t="str">
        <f>IF(C726&amp;G726&amp;D726&lt;&gt;'Funnel setup'!$K$3&amp;'Funnel setup'!$K$4&amp;'Funnel setup'!$K$6,".",IF(A725=".",1,A725+1))</f>
        <v>.</v>
      </c>
      <c r="B726" s="244" t="str">
        <f t="shared" si="11"/>
        <v>Hip Replacement PrimaryProviderROYAL DEVON UNIVERSITY HEALTHCARE NHS FOUNDATION TRUST (RH8)EQ-5D Index</v>
      </c>
      <c r="C726" t="s">
        <v>749</v>
      </c>
      <c r="D726" t="s">
        <v>965</v>
      </c>
      <c r="E726" t="s">
        <v>482</v>
      </c>
      <c r="F726" t="s">
        <v>483</v>
      </c>
      <c r="G726" t="s">
        <v>963</v>
      </c>
      <c r="H726">
        <v>3</v>
      </c>
      <c r="I726">
        <v>0.42066700000000001</v>
      </c>
      <c r="J726">
        <v>0.82899999999999996</v>
      </c>
      <c r="K726">
        <v>0.408333</v>
      </c>
      <c r="L726">
        <v>2</v>
      </c>
      <c r="M726">
        <v>1</v>
      </c>
      <c r="N726">
        <v>0</v>
      </c>
      <c r="O726" t="s">
        <v>127</v>
      </c>
      <c r="P726" t="s">
        <v>127</v>
      </c>
      <c r="Q726" t="s">
        <v>127</v>
      </c>
    </row>
    <row r="727" spans="1:17" x14ac:dyDescent="0.25">
      <c r="A727" t="str">
        <f>IF(C727&amp;G727&amp;D727&lt;&gt;'Funnel setup'!$K$3&amp;'Funnel setup'!$K$4&amp;'Funnel setup'!$K$6,".",IF(A726=".",1,A726+1))</f>
        <v>.</v>
      </c>
      <c r="B727" s="244" t="str">
        <f t="shared" si="11"/>
        <v>Hip Replacement PrimaryProviderROYAL NATIONAL ORTHOPAEDIC HOSPITAL NHS TRUST (RAN)EQ-5D Index</v>
      </c>
      <c r="C727" t="s">
        <v>749</v>
      </c>
      <c r="D727" t="s">
        <v>965</v>
      </c>
      <c r="E727" t="s">
        <v>486</v>
      </c>
      <c r="F727" t="s">
        <v>487</v>
      </c>
      <c r="G727" t="s">
        <v>963</v>
      </c>
      <c r="H727">
        <v>67</v>
      </c>
      <c r="I727">
        <v>0.283194</v>
      </c>
      <c r="J727">
        <v>0.66228399999999998</v>
      </c>
      <c r="K727">
        <v>0.37908999999999998</v>
      </c>
      <c r="L727">
        <v>55</v>
      </c>
      <c r="M727">
        <v>4</v>
      </c>
      <c r="N727">
        <v>8</v>
      </c>
      <c r="O727">
        <v>0.71192599999999995</v>
      </c>
      <c r="P727">
        <v>0.38608799999999999</v>
      </c>
      <c r="Q727">
        <v>0.29488900000000001</v>
      </c>
    </row>
    <row r="728" spans="1:17" x14ac:dyDescent="0.25">
      <c r="A728" t="str">
        <f>IF(C728&amp;G728&amp;D728&lt;&gt;'Funnel setup'!$K$3&amp;'Funnel setup'!$K$4&amp;'Funnel setup'!$K$6,".",IF(A727=".",1,A727+1))</f>
        <v>.</v>
      </c>
      <c r="B728" s="244" t="str">
        <f t="shared" si="11"/>
        <v>Hip Replacement PrimaryProviderROYAL SURREY COUNTY HOSPITAL NHS FOUNDATION TRUST (RA2)EQ-5D Index</v>
      </c>
      <c r="C728" t="s">
        <v>749</v>
      </c>
      <c r="D728" t="s">
        <v>965</v>
      </c>
      <c r="E728" t="s">
        <v>488</v>
      </c>
      <c r="F728" t="s">
        <v>489</v>
      </c>
      <c r="G728" t="s">
        <v>963</v>
      </c>
      <c r="H728">
        <v>71</v>
      </c>
      <c r="I728">
        <v>0.41156300000000001</v>
      </c>
      <c r="J728">
        <v>0.81040800000000002</v>
      </c>
      <c r="K728">
        <v>0.39884500000000001</v>
      </c>
      <c r="L728">
        <v>63</v>
      </c>
      <c r="M728">
        <v>5</v>
      </c>
      <c r="N728">
        <v>3</v>
      </c>
      <c r="O728">
        <v>0.78475300000000003</v>
      </c>
      <c r="P728">
        <v>0.45891500000000002</v>
      </c>
      <c r="Q728">
        <v>0.16148499999999999</v>
      </c>
    </row>
    <row r="729" spans="1:17" x14ac:dyDescent="0.25">
      <c r="A729" t="str">
        <f>IF(C729&amp;G729&amp;D729&lt;&gt;'Funnel setup'!$K$3&amp;'Funnel setup'!$K$4&amp;'Funnel setup'!$K$6,".",IF(A728=".",1,A728+1))</f>
        <v>.</v>
      </c>
      <c r="B729" s="244" t="str">
        <f t="shared" si="11"/>
        <v>Hip Replacement PrimaryProviderROYAL UNITED HOSPITALS BATH NHS FOUNDATION TRUST (RD1)EQ-5D Index</v>
      </c>
      <c r="C729" t="s">
        <v>749</v>
      </c>
      <c r="D729" t="s">
        <v>965</v>
      </c>
      <c r="E729" t="s">
        <v>490</v>
      </c>
      <c r="F729" t="s">
        <v>491</v>
      </c>
      <c r="G729" t="s">
        <v>963</v>
      </c>
      <c r="H729">
        <v>7</v>
      </c>
      <c r="I729">
        <v>0.35</v>
      </c>
      <c r="J729">
        <v>0.498143</v>
      </c>
      <c r="K729">
        <v>0.148143</v>
      </c>
      <c r="L729">
        <v>6</v>
      </c>
      <c r="M729">
        <v>0</v>
      </c>
      <c r="N729">
        <v>1</v>
      </c>
      <c r="O729" t="s">
        <v>127</v>
      </c>
      <c r="P729" t="s">
        <v>127</v>
      </c>
      <c r="Q729" t="s">
        <v>127</v>
      </c>
    </row>
    <row r="730" spans="1:17" x14ac:dyDescent="0.25">
      <c r="A730" t="str">
        <f>IF(C730&amp;G730&amp;D730&lt;&gt;'Funnel setup'!$K$3&amp;'Funnel setup'!$K$4&amp;'Funnel setup'!$K$6,".",IF(A729=".",1,A729+1))</f>
        <v>.</v>
      </c>
      <c r="B730" s="244" t="str">
        <f t="shared" si="11"/>
        <v>Hip Replacement PrimaryProviderRUNNYMEDE HOSPITAL (NT431)EQ-5D Index</v>
      </c>
      <c r="C730" t="s">
        <v>749</v>
      </c>
      <c r="D730" t="s">
        <v>965</v>
      </c>
      <c r="E730" t="s">
        <v>492</v>
      </c>
      <c r="F730" t="s">
        <v>493</v>
      </c>
      <c r="G730" t="s">
        <v>963</v>
      </c>
      <c r="H730">
        <v>5</v>
      </c>
      <c r="I730">
        <v>0.45700000000000002</v>
      </c>
      <c r="J730">
        <v>0.85360000000000003</v>
      </c>
      <c r="K730">
        <v>0.39660000000000001</v>
      </c>
      <c r="L730">
        <v>4</v>
      </c>
      <c r="M730">
        <v>1</v>
      </c>
      <c r="N730">
        <v>0</v>
      </c>
      <c r="O730" t="s">
        <v>127</v>
      </c>
      <c r="P730" t="s">
        <v>127</v>
      </c>
      <c r="Q730" t="s">
        <v>127</v>
      </c>
    </row>
    <row r="731" spans="1:17" x14ac:dyDescent="0.25">
      <c r="A731" t="str">
        <f>IF(C731&amp;G731&amp;D731&lt;&gt;'Funnel setup'!$K$3&amp;'Funnel setup'!$K$4&amp;'Funnel setup'!$K$6,".",IF(A730=".",1,A730+1))</f>
        <v>.</v>
      </c>
      <c r="B731" s="244" t="str">
        <f t="shared" si="11"/>
        <v>Hip Replacement PrimaryProviderSALISBURY NHS FOUNDATION TRUST (RNZ)EQ-5D Index</v>
      </c>
      <c r="C731" t="s">
        <v>749</v>
      </c>
      <c r="D731" t="s">
        <v>965</v>
      </c>
      <c r="E731" t="s">
        <v>494</v>
      </c>
      <c r="F731" t="s">
        <v>495</v>
      </c>
      <c r="G731" t="s">
        <v>963</v>
      </c>
      <c r="H731">
        <v>3</v>
      </c>
      <c r="I731">
        <v>0.16566700000000001</v>
      </c>
      <c r="J731">
        <v>0.93200000000000005</v>
      </c>
      <c r="K731">
        <v>0.76633300000000004</v>
      </c>
      <c r="L731">
        <v>3</v>
      </c>
      <c r="M731">
        <v>0</v>
      </c>
      <c r="N731">
        <v>0</v>
      </c>
      <c r="O731" t="s">
        <v>127</v>
      </c>
      <c r="P731" t="s">
        <v>127</v>
      </c>
      <c r="Q731" t="s">
        <v>127</v>
      </c>
    </row>
    <row r="732" spans="1:17" x14ac:dyDescent="0.25">
      <c r="A732" t="str">
        <f>IF(C732&amp;G732&amp;D732&lt;&gt;'Funnel setup'!$K$3&amp;'Funnel setup'!$K$4&amp;'Funnel setup'!$K$6,".",IF(A731=".",1,A731+1))</f>
        <v>.</v>
      </c>
      <c r="B732" s="244" t="str">
        <f t="shared" si="11"/>
        <v>Hip Replacement PrimaryProviderSANDWELL AND WEST BIRMINGHAM HOSPITALS NHS TRUST (RXK)EQ-5D Index</v>
      </c>
      <c r="C732" t="s">
        <v>749</v>
      </c>
      <c r="D732" t="s">
        <v>965</v>
      </c>
      <c r="E732" t="s">
        <v>496</v>
      </c>
      <c r="F732" t="s">
        <v>497</v>
      </c>
      <c r="G732" t="s">
        <v>963</v>
      </c>
      <c r="H732">
        <v>40</v>
      </c>
      <c r="I732">
        <v>0.19872500000000001</v>
      </c>
      <c r="J732">
        <v>0.70482500000000003</v>
      </c>
      <c r="K732">
        <v>0.50609999999999999</v>
      </c>
      <c r="L732">
        <v>36</v>
      </c>
      <c r="M732">
        <v>3</v>
      </c>
      <c r="N732">
        <v>1</v>
      </c>
      <c r="O732">
        <v>0.78620500000000004</v>
      </c>
      <c r="P732">
        <v>0.460366</v>
      </c>
      <c r="Q732">
        <v>0.25128499999999998</v>
      </c>
    </row>
    <row r="733" spans="1:17" x14ac:dyDescent="0.25">
      <c r="A733" t="str">
        <f>IF(C733&amp;G733&amp;D733&lt;&gt;'Funnel setup'!$K$3&amp;'Funnel setup'!$K$4&amp;'Funnel setup'!$K$6,".",IF(A732=".",1,A732+1))</f>
        <v>.</v>
      </c>
      <c r="B733" s="244" t="str">
        <f t="shared" si="11"/>
        <v>Hip Replacement PrimaryProviderSARUM ROAD HOSPITAL (NT433)EQ-5D Index</v>
      </c>
      <c r="C733" t="s">
        <v>749</v>
      </c>
      <c r="D733" t="s">
        <v>965</v>
      </c>
      <c r="E733" t="s">
        <v>498</v>
      </c>
      <c r="F733" t="s">
        <v>499</v>
      </c>
      <c r="G733" t="s">
        <v>963</v>
      </c>
      <c r="H733">
        <v>35</v>
      </c>
      <c r="I733">
        <v>0.48771399999999998</v>
      </c>
      <c r="J733">
        <v>0.85185699999999998</v>
      </c>
      <c r="K733">
        <v>0.36414299999999999</v>
      </c>
      <c r="L733">
        <v>31</v>
      </c>
      <c r="M733">
        <v>1</v>
      </c>
      <c r="N733">
        <v>3</v>
      </c>
      <c r="O733">
        <v>0.79633900000000002</v>
      </c>
      <c r="P733">
        <v>0.470501</v>
      </c>
      <c r="Q733">
        <v>0.17713400000000001</v>
      </c>
    </row>
    <row r="734" spans="1:17" x14ac:dyDescent="0.25">
      <c r="A734" t="str">
        <f>IF(C734&amp;G734&amp;D734&lt;&gt;'Funnel setup'!$K$3&amp;'Funnel setup'!$K$4&amp;'Funnel setup'!$K$6,".",IF(A733=".",1,A733+1))</f>
        <v>.</v>
      </c>
      <c r="B734" s="244" t="str">
        <f t="shared" si="11"/>
        <v>Hip Replacement PrimaryProviderSAXON CLINIC (NT434)EQ-5D Index</v>
      </c>
      <c r="C734" t="s">
        <v>749</v>
      </c>
      <c r="D734" t="s">
        <v>965</v>
      </c>
      <c r="E734" t="s">
        <v>500</v>
      </c>
      <c r="F734" t="s">
        <v>501</v>
      </c>
      <c r="G734" t="s">
        <v>963</v>
      </c>
      <c r="H734">
        <v>16</v>
      </c>
      <c r="I734">
        <v>0.378</v>
      </c>
      <c r="J734">
        <v>0.89606200000000003</v>
      </c>
      <c r="K734">
        <v>0.51806300000000005</v>
      </c>
      <c r="L734">
        <v>15</v>
      </c>
      <c r="M734">
        <v>0</v>
      </c>
      <c r="N734">
        <v>1</v>
      </c>
      <c r="O734" t="s">
        <v>127</v>
      </c>
      <c r="P734" t="s">
        <v>127</v>
      </c>
      <c r="Q734" t="s">
        <v>127</v>
      </c>
    </row>
    <row r="735" spans="1:17" x14ac:dyDescent="0.25">
      <c r="A735" t="str">
        <f>IF(C735&amp;G735&amp;D735&lt;&gt;'Funnel setup'!$K$3&amp;'Funnel setup'!$K$4&amp;'Funnel setup'!$K$6,".",IF(A734=".",1,A734+1))</f>
        <v>.</v>
      </c>
      <c r="B735" s="244" t="str">
        <f t="shared" si="11"/>
        <v>Hip Replacement PrimaryProviderSHEFFIELD TEACHING HOSPITALS NHS FOUNDATION TRUST (RHQ)EQ-5D Index</v>
      </c>
      <c r="C735" t="s">
        <v>749</v>
      </c>
      <c r="D735" t="s">
        <v>965</v>
      </c>
      <c r="E735" t="s">
        <v>506</v>
      </c>
      <c r="F735" t="s">
        <v>507</v>
      </c>
      <c r="G735" t="s">
        <v>963</v>
      </c>
      <c r="H735">
        <v>31</v>
      </c>
      <c r="I735">
        <v>0.38751600000000003</v>
      </c>
      <c r="J735">
        <v>0.77693500000000004</v>
      </c>
      <c r="K735">
        <v>0.38941900000000002</v>
      </c>
      <c r="L735">
        <v>27</v>
      </c>
      <c r="M735">
        <v>1</v>
      </c>
      <c r="N735">
        <v>3</v>
      </c>
      <c r="O735">
        <v>0.756772</v>
      </c>
      <c r="P735">
        <v>0.43093300000000001</v>
      </c>
      <c r="Q735">
        <v>0.30249500000000001</v>
      </c>
    </row>
    <row r="736" spans="1:17" x14ac:dyDescent="0.25">
      <c r="A736" t="str">
        <f>IF(C736&amp;G736&amp;D736&lt;&gt;'Funnel setup'!$K$3&amp;'Funnel setup'!$K$4&amp;'Funnel setup'!$K$6,".",IF(A735=".",1,A735+1))</f>
        <v>.</v>
      </c>
      <c r="B736" s="244" t="str">
        <f t="shared" si="11"/>
        <v>Hip Replacement PrimaryProviderSHERWOOD FOREST HOSPITALS NHS FOUNDATION TRUST (RK5)EQ-5D Index</v>
      </c>
      <c r="C736" t="s">
        <v>749</v>
      </c>
      <c r="D736" t="s">
        <v>965</v>
      </c>
      <c r="E736" t="s">
        <v>508</v>
      </c>
      <c r="F736" t="s">
        <v>509</v>
      </c>
      <c r="G736" t="s">
        <v>963</v>
      </c>
      <c r="H736">
        <v>71</v>
      </c>
      <c r="I736">
        <v>0.24595800000000001</v>
      </c>
      <c r="J736">
        <v>0.75922500000000004</v>
      </c>
      <c r="K736">
        <v>0.51326799999999995</v>
      </c>
      <c r="L736">
        <v>66</v>
      </c>
      <c r="M736">
        <v>3</v>
      </c>
      <c r="N736">
        <v>2</v>
      </c>
      <c r="O736">
        <v>0.78734400000000004</v>
      </c>
      <c r="P736">
        <v>0.46150600000000003</v>
      </c>
      <c r="Q736">
        <v>0.19947899999999999</v>
      </c>
    </row>
    <row r="737" spans="1:17" x14ac:dyDescent="0.25">
      <c r="A737" t="str">
        <f>IF(C737&amp;G737&amp;D737&lt;&gt;'Funnel setup'!$K$3&amp;'Funnel setup'!$K$4&amp;'Funnel setup'!$K$6,".",IF(A736=".",1,A736+1))</f>
        <v>.</v>
      </c>
      <c r="B737" s="244" t="str">
        <f t="shared" si="11"/>
        <v>Hip Replacement PrimaryProviderSHIRLEY OAKS HOSPITAL (NT436)EQ-5D Index</v>
      </c>
      <c r="C737" t="s">
        <v>749</v>
      </c>
      <c r="D737" t="s">
        <v>965</v>
      </c>
      <c r="E737" t="s">
        <v>510</v>
      </c>
      <c r="F737" t="s">
        <v>511</v>
      </c>
      <c r="G737" t="s">
        <v>963</v>
      </c>
      <c r="H737">
        <v>2</v>
      </c>
      <c r="I737">
        <v>0.60350000000000004</v>
      </c>
      <c r="J737">
        <v>0.56850000000000001</v>
      </c>
      <c r="K737">
        <v>-3.5000000000000003E-2</v>
      </c>
      <c r="L737">
        <v>1</v>
      </c>
      <c r="M737">
        <v>0</v>
      </c>
      <c r="N737">
        <v>1</v>
      </c>
      <c r="O737" t="s">
        <v>127</v>
      </c>
      <c r="P737" t="s">
        <v>127</v>
      </c>
      <c r="Q737" t="s">
        <v>127</v>
      </c>
    </row>
    <row r="738" spans="1:17" x14ac:dyDescent="0.25">
      <c r="A738" t="str">
        <f>IF(C738&amp;G738&amp;D738&lt;&gt;'Funnel setup'!$K$3&amp;'Funnel setup'!$K$4&amp;'Funnel setup'!$K$6,".",IF(A737=".",1,A737+1))</f>
        <v>.</v>
      </c>
      <c r="B738" s="244" t="str">
        <f t="shared" si="11"/>
        <v>Hip Replacement PrimaryProviderSLOANE HOSPITAL (NT437)EQ-5D Index</v>
      </c>
      <c r="C738" t="s">
        <v>749</v>
      </c>
      <c r="D738" t="s">
        <v>965</v>
      </c>
      <c r="E738" t="s">
        <v>512</v>
      </c>
      <c r="F738" t="s">
        <v>513</v>
      </c>
      <c r="G738" t="s">
        <v>963</v>
      </c>
      <c r="H738">
        <v>2</v>
      </c>
      <c r="I738">
        <v>0.28549999999999998</v>
      </c>
      <c r="J738">
        <v>1</v>
      </c>
      <c r="K738">
        <v>0.71450000000000002</v>
      </c>
      <c r="L738">
        <v>2</v>
      </c>
      <c r="M738">
        <v>0</v>
      </c>
      <c r="N738">
        <v>0</v>
      </c>
      <c r="O738" t="s">
        <v>127</v>
      </c>
      <c r="P738" t="s">
        <v>127</v>
      </c>
      <c r="Q738" t="s">
        <v>127</v>
      </c>
    </row>
    <row r="739" spans="1:17" x14ac:dyDescent="0.25">
      <c r="A739" t="str">
        <f>IF(C739&amp;G739&amp;D739&lt;&gt;'Funnel setup'!$K$3&amp;'Funnel setup'!$K$4&amp;'Funnel setup'!$K$6,".",IF(A738=".",1,A738+1))</f>
        <v>.</v>
      </c>
      <c r="B739" s="244" t="str">
        <f t="shared" si="11"/>
        <v>Hip Replacement PrimaryProviderSOUTH TEES HOSPITALS NHS FOUNDATION TRUST (RTR)EQ-5D Index</v>
      </c>
      <c r="C739" t="s">
        <v>749</v>
      </c>
      <c r="D739" t="s">
        <v>965</v>
      </c>
      <c r="E739" t="s">
        <v>516</v>
      </c>
      <c r="F739" t="s">
        <v>517</v>
      </c>
      <c r="G739" t="s">
        <v>963</v>
      </c>
      <c r="H739">
        <v>162</v>
      </c>
      <c r="I739">
        <v>0.18909300000000001</v>
      </c>
      <c r="J739">
        <v>0.75474699999999995</v>
      </c>
      <c r="K739">
        <v>0.56565399999999999</v>
      </c>
      <c r="L739">
        <v>151</v>
      </c>
      <c r="M739">
        <v>2</v>
      </c>
      <c r="N739">
        <v>9</v>
      </c>
      <c r="O739">
        <v>0.80902399999999997</v>
      </c>
      <c r="P739">
        <v>0.48318499999999998</v>
      </c>
      <c r="Q739">
        <v>0.24907399999999999</v>
      </c>
    </row>
    <row r="740" spans="1:17" x14ac:dyDescent="0.25">
      <c r="A740" t="str">
        <f>IF(C740&amp;G740&amp;D740&lt;&gt;'Funnel setup'!$K$3&amp;'Funnel setup'!$K$4&amp;'Funnel setup'!$K$6,".",IF(A739=".",1,A739+1))</f>
        <v>.</v>
      </c>
      <c r="B740" s="244" t="str">
        <f t="shared" si="11"/>
        <v>Hip Replacement PrimaryProviderSOUTH TYNESIDE AND SUNDERLAND NHS FOUNDATION TRUST (R0B)EQ-5D Index</v>
      </c>
      <c r="C740" t="s">
        <v>749</v>
      </c>
      <c r="D740" t="s">
        <v>965</v>
      </c>
      <c r="E740" t="s">
        <v>518</v>
      </c>
      <c r="F740" t="s">
        <v>519</v>
      </c>
      <c r="G740" t="s">
        <v>963</v>
      </c>
      <c r="H740">
        <v>22</v>
      </c>
      <c r="I740">
        <v>9.5681799999999997E-2</v>
      </c>
      <c r="J740">
        <v>0.53304499999999999</v>
      </c>
      <c r="K740">
        <v>0.43736399999999998</v>
      </c>
      <c r="L740">
        <v>17</v>
      </c>
      <c r="M740">
        <v>1</v>
      </c>
      <c r="N740">
        <v>4</v>
      </c>
      <c r="O740" t="s">
        <v>127</v>
      </c>
      <c r="P740" t="s">
        <v>127</v>
      </c>
      <c r="Q740" t="s">
        <v>127</v>
      </c>
    </row>
    <row r="741" spans="1:17" x14ac:dyDescent="0.25">
      <c r="A741" t="str">
        <f>IF(C741&amp;G741&amp;D741&lt;&gt;'Funnel setup'!$K$3&amp;'Funnel setup'!$K$4&amp;'Funnel setup'!$K$6,".",IF(A740=".",1,A740+1))</f>
        <v>.</v>
      </c>
      <c r="B741" s="244" t="str">
        <f t="shared" si="11"/>
        <v>Hip Replacement PrimaryProviderSOUTH WARWICKSHIRE UNIVERSITY NHS FOUNDATION TRUST (RJC)EQ-5D Index</v>
      </c>
      <c r="C741" t="s">
        <v>749</v>
      </c>
      <c r="D741" t="s">
        <v>965</v>
      </c>
      <c r="E741" t="s">
        <v>520</v>
      </c>
      <c r="F741" t="s">
        <v>521</v>
      </c>
      <c r="G741" t="s">
        <v>963</v>
      </c>
      <c r="H741">
        <v>181</v>
      </c>
      <c r="I741">
        <v>0.439635</v>
      </c>
      <c r="J741">
        <v>0.83848100000000003</v>
      </c>
      <c r="K741">
        <v>0.39884500000000001</v>
      </c>
      <c r="L741">
        <v>158</v>
      </c>
      <c r="M741">
        <v>12</v>
      </c>
      <c r="N741">
        <v>11</v>
      </c>
      <c r="O741">
        <v>0.79617800000000005</v>
      </c>
      <c r="P741">
        <v>0.47033999999999998</v>
      </c>
      <c r="Q741">
        <v>0.21604100000000001</v>
      </c>
    </row>
    <row r="742" spans="1:17" x14ac:dyDescent="0.25">
      <c r="A742" t="str">
        <f>IF(C742&amp;G742&amp;D742&lt;&gt;'Funnel setup'!$K$3&amp;'Funnel setup'!$K$4&amp;'Funnel setup'!$K$6,".",IF(A741=".",1,A741+1))</f>
        <v>.</v>
      </c>
      <c r="B742" s="244" t="str">
        <f t="shared" si="11"/>
        <v>Hip Replacement PrimaryProviderSOUTHPORT AND ORMSKIRK HOSPITAL NHS TRUST (RVY)EQ-5D Index</v>
      </c>
      <c r="C742" t="s">
        <v>749</v>
      </c>
      <c r="D742" t="s">
        <v>965</v>
      </c>
      <c r="E742" t="s">
        <v>522</v>
      </c>
      <c r="F742" t="s">
        <v>523</v>
      </c>
      <c r="G742" t="s">
        <v>963</v>
      </c>
      <c r="H742">
        <v>10</v>
      </c>
      <c r="I742">
        <v>0.30359999999999998</v>
      </c>
      <c r="J742">
        <v>0.83550000000000002</v>
      </c>
      <c r="K742">
        <v>0.53190000000000004</v>
      </c>
      <c r="L742">
        <v>10</v>
      </c>
      <c r="M742">
        <v>0</v>
      </c>
      <c r="N742">
        <v>0</v>
      </c>
      <c r="O742" t="s">
        <v>127</v>
      </c>
      <c r="P742" t="s">
        <v>127</v>
      </c>
      <c r="Q742" t="s">
        <v>127</v>
      </c>
    </row>
    <row r="743" spans="1:17" x14ac:dyDescent="0.25">
      <c r="A743" t="str">
        <f>IF(C743&amp;G743&amp;D743&lt;&gt;'Funnel setup'!$K$3&amp;'Funnel setup'!$K$4&amp;'Funnel setup'!$K$6,".",IF(A742=".",1,A742+1))</f>
        <v>.</v>
      </c>
      <c r="B743" s="244" t="str">
        <f t="shared" si="11"/>
        <v>Hip Replacement PrimaryProviderSPENCER PRIVATE HOSPITALS - MARGATE (NN801)EQ-5D Index</v>
      </c>
      <c r="C743" t="s">
        <v>749</v>
      </c>
      <c r="D743" t="s">
        <v>965</v>
      </c>
      <c r="E743" t="s">
        <v>526</v>
      </c>
      <c r="F743" t="s">
        <v>527</v>
      </c>
      <c r="G743" t="s">
        <v>963</v>
      </c>
      <c r="H743">
        <v>18</v>
      </c>
      <c r="I743">
        <v>0.28177799999999997</v>
      </c>
      <c r="J743">
        <v>0.88211099999999998</v>
      </c>
      <c r="K743">
        <v>0.60033300000000001</v>
      </c>
      <c r="L743">
        <v>17</v>
      </c>
      <c r="M743">
        <v>1</v>
      </c>
      <c r="N743">
        <v>0</v>
      </c>
      <c r="O743" t="s">
        <v>127</v>
      </c>
      <c r="P743" t="s">
        <v>127</v>
      </c>
      <c r="Q743" t="s">
        <v>127</v>
      </c>
    </row>
    <row r="744" spans="1:17" x14ac:dyDescent="0.25">
      <c r="A744" t="str">
        <f>IF(C744&amp;G744&amp;D744&lt;&gt;'Funnel setup'!$K$3&amp;'Funnel setup'!$K$4&amp;'Funnel setup'!$K$6,".",IF(A743=".",1,A743+1))</f>
        <v>.</v>
      </c>
      <c r="B744" s="244" t="str">
        <f t="shared" si="11"/>
        <v>Hip Replacement PrimaryProviderSPIRE ALEXANDRA HOSPITAL (NT312)EQ-5D Index</v>
      </c>
      <c r="C744" t="s">
        <v>749</v>
      </c>
      <c r="D744" t="s">
        <v>965</v>
      </c>
      <c r="E744" t="s">
        <v>528</v>
      </c>
      <c r="F744" t="s">
        <v>529</v>
      </c>
      <c r="G744" t="s">
        <v>963</v>
      </c>
      <c r="H744">
        <v>13</v>
      </c>
      <c r="I744">
        <v>0.27100000000000002</v>
      </c>
      <c r="J744">
        <v>0.68815400000000004</v>
      </c>
      <c r="K744">
        <v>0.41715400000000002</v>
      </c>
      <c r="L744">
        <v>11</v>
      </c>
      <c r="M744">
        <v>2</v>
      </c>
      <c r="N744">
        <v>0</v>
      </c>
      <c r="O744" t="s">
        <v>127</v>
      </c>
      <c r="P744" t="s">
        <v>127</v>
      </c>
      <c r="Q744" t="s">
        <v>127</v>
      </c>
    </row>
    <row r="745" spans="1:17" x14ac:dyDescent="0.25">
      <c r="A745" t="str">
        <f>IF(C745&amp;G745&amp;D745&lt;&gt;'Funnel setup'!$K$3&amp;'Funnel setup'!$K$4&amp;'Funnel setup'!$K$6,".",IF(A744=".",1,A744+1))</f>
        <v>.</v>
      </c>
      <c r="B745" s="244" t="str">
        <f t="shared" si="11"/>
        <v>Hip Replacement PrimaryProviderSPIRE BRISTOL HOSPITAL (NT302)EQ-5D Index</v>
      </c>
      <c r="C745" t="s">
        <v>749</v>
      </c>
      <c r="D745" t="s">
        <v>965</v>
      </c>
      <c r="E745" t="s">
        <v>530</v>
      </c>
      <c r="F745" t="s">
        <v>531</v>
      </c>
      <c r="G745" t="s">
        <v>963</v>
      </c>
      <c r="H745">
        <v>56</v>
      </c>
      <c r="I745">
        <v>0.43325000000000002</v>
      </c>
      <c r="J745">
        <v>0.80682100000000001</v>
      </c>
      <c r="K745">
        <v>0.37357099999999999</v>
      </c>
      <c r="L745">
        <v>51</v>
      </c>
      <c r="M745">
        <v>3</v>
      </c>
      <c r="N745">
        <v>2</v>
      </c>
      <c r="O745">
        <v>0.75372499999999998</v>
      </c>
      <c r="P745">
        <v>0.42788700000000002</v>
      </c>
      <c r="Q745">
        <v>0.26263999999999998</v>
      </c>
    </row>
    <row r="746" spans="1:17" x14ac:dyDescent="0.25">
      <c r="A746" t="str">
        <f>IF(C746&amp;G746&amp;D746&lt;&gt;'Funnel setup'!$K$3&amp;'Funnel setup'!$K$4&amp;'Funnel setup'!$K$6,".",IF(A745=".",1,A745+1))</f>
        <v>.</v>
      </c>
      <c r="B746" s="244" t="str">
        <f t="shared" si="11"/>
        <v>Hip Replacement PrimaryProviderSPIRE BUSHEY HOSPITAL (NT315)EQ-5D Index</v>
      </c>
      <c r="C746" t="s">
        <v>749</v>
      </c>
      <c r="D746" t="s">
        <v>965</v>
      </c>
      <c r="E746" t="s">
        <v>532</v>
      </c>
      <c r="F746" t="s">
        <v>533</v>
      </c>
      <c r="G746" t="s">
        <v>963</v>
      </c>
      <c r="H746">
        <v>1</v>
      </c>
      <c r="I746">
        <v>0.72699999999999998</v>
      </c>
      <c r="J746">
        <v>1</v>
      </c>
      <c r="K746">
        <v>0.27300000000000002</v>
      </c>
      <c r="L746">
        <v>1</v>
      </c>
      <c r="M746">
        <v>0</v>
      </c>
      <c r="N746">
        <v>0</v>
      </c>
      <c r="O746" t="s">
        <v>127</v>
      </c>
      <c r="P746" t="s">
        <v>127</v>
      </c>
      <c r="Q746" t="s">
        <v>127</v>
      </c>
    </row>
    <row r="747" spans="1:17" x14ac:dyDescent="0.25">
      <c r="A747" t="str">
        <f>IF(C747&amp;G747&amp;D747&lt;&gt;'Funnel setup'!$K$3&amp;'Funnel setup'!$K$4&amp;'Funnel setup'!$K$6,".",IF(A746=".",1,A746+1))</f>
        <v>.</v>
      </c>
      <c r="B747" s="244" t="str">
        <f t="shared" si="11"/>
        <v>Hip Replacement PrimaryProviderSPIRE CAMBRIDGE LEA HOSPITAL (NT317)EQ-5D Index</v>
      </c>
      <c r="C747" t="s">
        <v>749</v>
      </c>
      <c r="D747" t="s">
        <v>965</v>
      </c>
      <c r="E747" t="s">
        <v>534</v>
      </c>
      <c r="F747" t="s">
        <v>535</v>
      </c>
      <c r="G747" t="s">
        <v>963</v>
      </c>
      <c r="H747">
        <v>33</v>
      </c>
      <c r="I747">
        <v>0.42099999999999999</v>
      </c>
      <c r="J747">
        <v>0.84499999999999997</v>
      </c>
      <c r="K747">
        <v>0.42399999999999999</v>
      </c>
      <c r="L747">
        <v>31</v>
      </c>
      <c r="M747">
        <v>2</v>
      </c>
      <c r="N747">
        <v>0</v>
      </c>
      <c r="O747">
        <v>0.81161399999999995</v>
      </c>
      <c r="P747">
        <v>0.48577599999999999</v>
      </c>
      <c r="Q747">
        <v>0.207729</v>
      </c>
    </row>
    <row r="748" spans="1:17" x14ac:dyDescent="0.25">
      <c r="A748" t="str">
        <f>IF(C748&amp;G748&amp;D748&lt;&gt;'Funnel setup'!$K$3&amp;'Funnel setup'!$K$4&amp;'Funnel setup'!$K$6,".",IF(A747=".",1,A747+1))</f>
        <v>.</v>
      </c>
      <c r="B748" s="244" t="str">
        <f t="shared" si="11"/>
        <v>Hip Replacement PrimaryProviderSPIRE CHESHIRE HOSPITAL (NT324)EQ-5D Index</v>
      </c>
      <c r="C748" t="s">
        <v>749</v>
      </c>
      <c r="D748" t="s">
        <v>965</v>
      </c>
      <c r="E748" t="s">
        <v>536</v>
      </c>
      <c r="F748" t="s">
        <v>537</v>
      </c>
      <c r="G748" t="s">
        <v>963</v>
      </c>
      <c r="H748">
        <v>23</v>
      </c>
      <c r="I748">
        <v>0.25286999999999998</v>
      </c>
      <c r="J748">
        <v>0.73373900000000003</v>
      </c>
      <c r="K748">
        <v>0.48087000000000002</v>
      </c>
      <c r="L748">
        <v>22</v>
      </c>
      <c r="M748">
        <v>0</v>
      </c>
      <c r="N748">
        <v>1</v>
      </c>
      <c r="O748" t="s">
        <v>127</v>
      </c>
      <c r="P748" t="s">
        <v>127</v>
      </c>
      <c r="Q748" t="s">
        <v>127</v>
      </c>
    </row>
    <row r="749" spans="1:17" x14ac:dyDescent="0.25">
      <c r="A749" t="str">
        <f>IF(C749&amp;G749&amp;D749&lt;&gt;'Funnel setup'!$K$3&amp;'Funnel setup'!$K$4&amp;'Funnel setup'!$K$6,".",IF(A748=".",1,A748+1))</f>
        <v>.</v>
      </c>
      <c r="B749" s="244" t="str">
        <f t="shared" si="11"/>
        <v>Hip Replacement PrimaryProviderSPIRE CLARE PARK HOSPITAL (NT345)EQ-5D Index</v>
      </c>
      <c r="C749" t="s">
        <v>749</v>
      </c>
      <c r="D749" t="s">
        <v>965</v>
      </c>
      <c r="E749" t="s">
        <v>538</v>
      </c>
      <c r="F749" t="s">
        <v>539</v>
      </c>
      <c r="G749" t="s">
        <v>963</v>
      </c>
      <c r="H749">
        <v>13</v>
      </c>
      <c r="I749">
        <v>0.48707699999999998</v>
      </c>
      <c r="J749">
        <v>0.79192300000000004</v>
      </c>
      <c r="K749">
        <v>0.30484600000000001</v>
      </c>
      <c r="L749">
        <v>10</v>
      </c>
      <c r="M749">
        <v>3</v>
      </c>
      <c r="N749">
        <v>0</v>
      </c>
      <c r="O749" t="s">
        <v>127</v>
      </c>
      <c r="P749" t="s">
        <v>127</v>
      </c>
      <c r="Q749" t="s">
        <v>127</v>
      </c>
    </row>
    <row r="750" spans="1:17" x14ac:dyDescent="0.25">
      <c r="A750" t="str">
        <f>IF(C750&amp;G750&amp;D750&lt;&gt;'Funnel setup'!$K$3&amp;'Funnel setup'!$K$4&amp;'Funnel setup'!$K$6,".",IF(A749=".",1,A749+1))</f>
        <v>.</v>
      </c>
      <c r="B750" s="244" t="str">
        <f t="shared" si="11"/>
        <v>Hip Replacement PrimaryProviderSPIRE DUNEDIN HOSPITAL (NT344)EQ-5D Index</v>
      </c>
      <c r="C750" t="s">
        <v>749</v>
      </c>
      <c r="D750" t="s">
        <v>965</v>
      </c>
      <c r="E750" t="s">
        <v>540</v>
      </c>
      <c r="F750" t="s">
        <v>541</v>
      </c>
      <c r="G750" t="s">
        <v>963</v>
      </c>
      <c r="H750">
        <v>1</v>
      </c>
      <c r="I750">
        <v>0.62</v>
      </c>
      <c r="J750">
        <v>0.74299999999999999</v>
      </c>
      <c r="K750">
        <v>0.123</v>
      </c>
      <c r="L750">
        <v>1</v>
      </c>
      <c r="M750">
        <v>0</v>
      </c>
      <c r="N750">
        <v>0</v>
      </c>
      <c r="O750" t="s">
        <v>127</v>
      </c>
      <c r="P750" t="s">
        <v>127</v>
      </c>
      <c r="Q750" t="s">
        <v>127</v>
      </c>
    </row>
    <row r="751" spans="1:17" x14ac:dyDescent="0.25">
      <c r="A751" t="str">
        <f>IF(C751&amp;G751&amp;D751&lt;&gt;'Funnel setup'!$K$3&amp;'Funnel setup'!$K$4&amp;'Funnel setup'!$K$6,".",IF(A750=".",1,A750+1))</f>
        <v>.</v>
      </c>
      <c r="B751" s="244" t="str">
        <f t="shared" si="11"/>
        <v>Hip Replacement PrimaryProviderSPIRE ELLAND HOSPITAL (NT348)EQ-5D Index</v>
      </c>
      <c r="C751" t="s">
        <v>749</v>
      </c>
      <c r="D751" t="s">
        <v>965</v>
      </c>
      <c r="E751" t="s">
        <v>542</v>
      </c>
      <c r="F751" t="s">
        <v>543</v>
      </c>
      <c r="G751" t="s">
        <v>963</v>
      </c>
      <c r="H751">
        <v>14</v>
      </c>
      <c r="I751">
        <v>0.40607100000000002</v>
      </c>
      <c r="J751">
        <v>0.71157099999999995</v>
      </c>
      <c r="K751">
        <v>0.30549999999999999</v>
      </c>
      <c r="L751">
        <v>13</v>
      </c>
      <c r="M751">
        <v>0</v>
      </c>
      <c r="N751">
        <v>1</v>
      </c>
      <c r="O751" t="s">
        <v>127</v>
      </c>
      <c r="P751" t="s">
        <v>127</v>
      </c>
      <c r="Q751" t="s">
        <v>127</v>
      </c>
    </row>
    <row r="752" spans="1:17" x14ac:dyDescent="0.25">
      <c r="A752" t="str">
        <f>IF(C752&amp;G752&amp;D752&lt;&gt;'Funnel setup'!$K$3&amp;'Funnel setup'!$K$4&amp;'Funnel setup'!$K$6,".",IF(A751=".",1,A751+1))</f>
        <v>.</v>
      </c>
      <c r="B752" s="244" t="str">
        <f t="shared" si="11"/>
        <v>Hip Replacement PrimaryProviderSPIRE FYLDE COAST HOSPITAL (NT347)EQ-5D Index</v>
      </c>
      <c r="C752" t="s">
        <v>749</v>
      </c>
      <c r="D752" t="s">
        <v>965</v>
      </c>
      <c r="E752" t="s">
        <v>544</v>
      </c>
      <c r="F752" t="s">
        <v>545</v>
      </c>
      <c r="G752" t="s">
        <v>963</v>
      </c>
      <c r="H752">
        <v>29</v>
      </c>
      <c r="I752">
        <v>0.39658599999999999</v>
      </c>
      <c r="J752">
        <v>0.87037900000000001</v>
      </c>
      <c r="K752">
        <v>0.47379300000000002</v>
      </c>
      <c r="L752">
        <v>28</v>
      </c>
      <c r="M752">
        <v>0</v>
      </c>
      <c r="N752">
        <v>1</v>
      </c>
      <c r="O752" t="s">
        <v>127</v>
      </c>
      <c r="P752" t="s">
        <v>127</v>
      </c>
      <c r="Q752" t="s">
        <v>127</v>
      </c>
    </row>
    <row r="753" spans="1:17" x14ac:dyDescent="0.25">
      <c r="A753" t="str">
        <f>IF(C753&amp;G753&amp;D753&lt;&gt;'Funnel setup'!$K$3&amp;'Funnel setup'!$K$4&amp;'Funnel setup'!$K$6,".",IF(A752=".",1,A752+1))</f>
        <v>.</v>
      </c>
      <c r="B753" s="244" t="str">
        <f t="shared" si="11"/>
        <v>Hip Replacement PrimaryProviderSPIRE GATWICK PARK HOSPITAL (NT308)EQ-5D Index</v>
      </c>
      <c r="C753" t="s">
        <v>749</v>
      </c>
      <c r="D753" t="s">
        <v>965</v>
      </c>
      <c r="E753" t="s">
        <v>546</v>
      </c>
      <c r="F753" t="s">
        <v>547</v>
      </c>
      <c r="G753" t="s">
        <v>963</v>
      </c>
      <c r="H753">
        <v>8</v>
      </c>
      <c r="I753">
        <v>0.44324999999999998</v>
      </c>
      <c r="J753">
        <v>0.86499999999999999</v>
      </c>
      <c r="K753">
        <v>0.42175000000000001</v>
      </c>
      <c r="L753">
        <v>8</v>
      </c>
      <c r="M753">
        <v>0</v>
      </c>
      <c r="N753">
        <v>0</v>
      </c>
      <c r="O753" t="s">
        <v>127</v>
      </c>
      <c r="P753" t="s">
        <v>127</v>
      </c>
      <c r="Q753" t="s">
        <v>127</v>
      </c>
    </row>
    <row r="754" spans="1:17" x14ac:dyDescent="0.25">
      <c r="A754" t="str">
        <f>IF(C754&amp;G754&amp;D754&lt;&gt;'Funnel setup'!$K$3&amp;'Funnel setup'!$K$4&amp;'Funnel setup'!$K$6,".",IF(A753=".",1,A753+1))</f>
        <v>.</v>
      </c>
      <c r="B754" s="244" t="str">
        <f t="shared" si="11"/>
        <v>Hip Replacement PrimaryProviderSPIRE HARPENDEN HOSPITAL (NT316)EQ-5D Index</v>
      </c>
      <c r="C754" t="s">
        <v>749</v>
      </c>
      <c r="D754" t="s">
        <v>965</v>
      </c>
      <c r="E754" t="s">
        <v>548</v>
      </c>
      <c r="F754" t="s">
        <v>549</v>
      </c>
      <c r="G754" t="s">
        <v>963</v>
      </c>
      <c r="H754">
        <v>32</v>
      </c>
      <c r="I754">
        <v>0.33446900000000002</v>
      </c>
      <c r="J754">
        <v>0.73968800000000001</v>
      </c>
      <c r="K754">
        <v>0.405219</v>
      </c>
      <c r="L754">
        <v>29</v>
      </c>
      <c r="M754">
        <v>1</v>
      </c>
      <c r="N754">
        <v>2</v>
      </c>
      <c r="O754">
        <v>0.71839699999999995</v>
      </c>
      <c r="P754">
        <v>0.39255899999999999</v>
      </c>
      <c r="Q754">
        <v>0.25817000000000001</v>
      </c>
    </row>
    <row r="755" spans="1:17" x14ac:dyDescent="0.25">
      <c r="A755" t="str">
        <f>IF(C755&amp;G755&amp;D755&lt;&gt;'Funnel setup'!$K$3&amp;'Funnel setup'!$K$4&amp;'Funnel setup'!$K$6,".",IF(A754=".",1,A754+1))</f>
        <v>.</v>
      </c>
      <c r="B755" s="244" t="str">
        <f t="shared" si="11"/>
        <v>Hip Replacement PrimaryProviderSPIRE HARTSWOOD HOSPITAL (NT319)EQ-5D Index</v>
      </c>
      <c r="C755" t="s">
        <v>749</v>
      </c>
      <c r="D755" t="s">
        <v>965</v>
      </c>
      <c r="E755" t="s">
        <v>550</v>
      </c>
      <c r="F755" t="s">
        <v>551</v>
      </c>
      <c r="G755" t="s">
        <v>963</v>
      </c>
      <c r="H755">
        <v>12</v>
      </c>
      <c r="I755">
        <v>0.32066699999999998</v>
      </c>
      <c r="J755">
        <v>0.82958299999999996</v>
      </c>
      <c r="K755">
        <v>0.50891699999999995</v>
      </c>
      <c r="L755">
        <v>12</v>
      </c>
      <c r="M755">
        <v>0</v>
      </c>
      <c r="N755">
        <v>0</v>
      </c>
      <c r="O755" t="s">
        <v>127</v>
      </c>
      <c r="P755" t="s">
        <v>127</v>
      </c>
      <c r="Q755" t="s">
        <v>127</v>
      </c>
    </row>
    <row r="756" spans="1:17" x14ac:dyDescent="0.25">
      <c r="A756" t="str">
        <f>IF(C756&amp;G756&amp;D756&lt;&gt;'Funnel setup'!$K$3&amp;'Funnel setup'!$K$4&amp;'Funnel setup'!$K$6,".",IF(A755=".",1,A755+1))</f>
        <v>.</v>
      </c>
      <c r="B756" s="244" t="str">
        <f t="shared" si="11"/>
        <v>Hip Replacement PrimaryProviderSPIRE HULL AND EAST RIDING HOSPITAL (NT351)EQ-5D Index</v>
      </c>
      <c r="C756" t="s">
        <v>749</v>
      </c>
      <c r="D756" t="s">
        <v>965</v>
      </c>
      <c r="E756" t="s">
        <v>554</v>
      </c>
      <c r="F756" t="s">
        <v>555</v>
      </c>
      <c r="G756" t="s">
        <v>963</v>
      </c>
      <c r="H756">
        <v>37</v>
      </c>
      <c r="I756">
        <v>0.304811</v>
      </c>
      <c r="J756">
        <v>0.77689200000000003</v>
      </c>
      <c r="K756">
        <v>0.47208099999999997</v>
      </c>
      <c r="L756">
        <v>35</v>
      </c>
      <c r="M756">
        <v>0</v>
      </c>
      <c r="N756">
        <v>2</v>
      </c>
      <c r="O756">
        <v>0.78624799999999995</v>
      </c>
      <c r="P756">
        <v>0.46040900000000001</v>
      </c>
      <c r="Q756">
        <v>0.24241799999999999</v>
      </c>
    </row>
    <row r="757" spans="1:17" x14ac:dyDescent="0.25">
      <c r="A757" t="str">
        <f>IF(C757&amp;G757&amp;D757&lt;&gt;'Funnel setup'!$K$3&amp;'Funnel setup'!$K$4&amp;'Funnel setup'!$K$6,".",IF(A756=".",1,A756+1))</f>
        <v>.</v>
      </c>
      <c r="B757" s="244" t="str">
        <f t="shared" si="11"/>
        <v>Hip Replacement PrimaryProviderSPIRE LEEDS HOSPITAL (NT332)EQ-5D Index</v>
      </c>
      <c r="C757" t="s">
        <v>749</v>
      </c>
      <c r="D757" t="s">
        <v>965</v>
      </c>
      <c r="E757" t="s">
        <v>556</v>
      </c>
      <c r="F757" t="s">
        <v>557</v>
      </c>
      <c r="G757" t="s">
        <v>963</v>
      </c>
      <c r="H757">
        <v>14</v>
      </c>
      <c r="I757">
        <v>0.27400000000000002</v>
      </c>
      <c r="J757">
        <v>0.85221400000000003</v>
      </c>
      <c r="K757">
        <v>0.57821400000000001</v>
      </c>
      <c r="L757">
        <v>14</v>
      </c>
      <c r="M757">
        <v>0</v>
      </c>
      <c r="N757">
        <v>0</v>
      </c>
      <c r="O757" t="s">
        <v>127</v>
      </c>
      <c r="P757" t="s">
        <v>127</v>
      </c>
      <c r="Q757" t="s">
        <v>127</v>
      </c>
    </row>
    <row r="758" spans="1:17" x14ac:dyDescent="0.25">
      <c r="A758" t="str">
        <f>IF(C758&amp;G758&amp;D758&lt;&gt;'Funnel setup'!$K$3&amp;'Funnel setup'!$K$4&amp;'Funnel setup'!$K$6,".",IF(A757=".",1,A757+1))</f>
        <v>.</v>
      </c>
      <c r="B758" s="244" t="str">
        <f t="shared" si="11"/>
        <v>Hip Replacement PrimaryProviderSPIRE LEICESTER HOSPITAL (NT322)EQ-5D Index</v>
      </c>
      <c r="C758" t="s">
        <v>749</v>
      </c>
      <c r="D758" t="s">
        <v>965</v>
      </c>
      <c r="E758" t="s">
        <v>558</v>
      </c>
      <c r="F758" t="s">
        <v>559</v>
      </c>
      <c r="G758" t="s">
        <v>963</v>
      </c>
      <c r="H758">
        <v>32</v>
      </c>
      <c r="I758">
        <v>0.41049999999999998</v>
      </c>
      <c r="J758">
        <v>0.77393699999999999</v>
      </c>
      <c r="K758">
        <v>0.36343700000000001</v>
      </c>
      <c r="L758">
        <v>28</v>
      </c>
      <c r="M758">
        <v>2</v>
      </c>
      <c r="N758">
        <v>2</v>
      </c>
      <c r="O758">
        <v>0.76233700000000004</v>
      </c>
      <c r="P758">
        <v>0.43649900000000003</v>
      </c>
      <c r="Q758">
        <v>0.25741799999999998</v>
      </c>
    </row>
    <row r="759" spans="1:17" x14ac:dyDescent="0.25">
      <c r="A759" t="str">
        <f>IF(C759&amp;G759&amp;D759&lt;&gt;'Funnel setup'!$K$3&amp;'Funnel setup'!$K$4&amp;'Funnel setup'!$K$6,".",IF(A758=".",1,A758+1))</f>
        <v>.</v>
      </c>
      <c r="B759" s="244" t="str">
        <f t="shared" si="11"/>
        <v>Hip Replacement PrimaryProviderSPIRE LITTLE ASTON HOSPITAL (NT321)EQ-5D Index</v>
      </c>
      <c r="C759" t="s">
        <v>749</v>
      </c>
      <c r="D759" t="s">
        <v>965</v>
      </c>
      <c r="E759" t="s">
        <v>560</v>
      </c>
      <c r="F759" t="s">
        <v>561</v>
      </c>
      <c r="G759" t="s">
        <v>963</v>
      </c>
      <c r="H759">
        <v>30</v>
      </c>
      <c r="I759">
        <v>0.39279999999999998</v>
      </c>
      <c r="J759">
        <v>0.72819999999999996</v>
      </c>
      <c r="K759">
        <v>0.33539999999999998</v>
      </c>
      <c r="L759">
        <v>27</v>
      </c>
      <c r="M759">
        <v>2</v>
      </c>
      <c r="N759">
        <v>1</v>
      </c>
      <c r="O759">
        <v>0.69842800000000005</v>
      </c>
      <c r="P759">
        <v>0.37258999999999998</v>
      </c>
      <c r="Q759">
        <v>0.222743</v>
      </c>
    </row>
    <row r="760" spans="1:17" x14ac:dyDescent="0.25">
      <c r="A760" t="str">
        <f>IF(C760&amp;G760&amp;D760&lt;&gt;'Funnel setup'!$K$3&amp;'Funnel setup'!$K$4&amp;'Funnel setup'!$K$6,".",IF(A759=".",1,A759+1))</f>
        <v>.</v>
      </c>
      <c r="B760" s="244" t="str">
        <f t="shared" si="11"/>
        <v>Hip Replacement PrimaryProviderSPIRE LIVERPOOL HOSPITAL (NT337)EQ-5D Index</v>
      </c>
      <c r="C760" t="s">
        <v>749</v>
      </c>
      <c r="D760" t="s">
        <v>965</v>
      </c>
      <c r="E760" t="s">
        <v>562</v>
      </c>
      <c r="F760" t="s">
        <v>563</v>
      </c>
      <c r="G760" t="s">
        <v>963</v>
      </c>
      <c r="H760">
        <v>9</v>
      </c>
      <c r="I760">
        <v>0.13611100000000001</v>
      </c>
      <c r="J760">
        <v>0.75111099999999997</v>
      </c>
      <c r="K760">
        <v>0.61499999999999999</v>
      </c>
      <c r="L760">
        <v>9</v>
      </c>
      <c r="M760">
        <v>0</v>
      </c>
      <c r="N760">
        <v>0</v>
      </c>
      <c r="O760" t="s">
        <v>127</v>
      </c>
      <c r="P760" t="s">
        <v>127</v>
      </c>
      <c r="Q760" t="s">
        <v>127</v>
      </c>
    </row>
    <row r="761" spans="1:17" x14ac:dyDescent="0.25">
      <c r="A761" t="str">
        <f>IF(C761&amp;G761&amp;D761&lt;&gt;'Funnel setup'!$K$3&amp;'Funnel setup'!$K$4&amp;'Funnel setup'!$K$6,".",IF(A760=".",1,A760+1))</f>
        <v>.</v>
      </c>
      <c r="B761" s="244" t="str">
        <f t="shared" si="11"/>
        <v>Hip Replacement PrimaryProviderSPIRE MANCHESTER HOSPITAL (NT327)EQ-5D Index</v>
      </c>
      <c r="C761" t="s">
        <v>749</v>
      </c>
      <c r="D761" t="s">
        <v>965</v>
      </c>
      <c r="E761" t="s">
        <v>566</v>
      </c>
      <c r="F761" t="s">
        <v>567</v>
      </c>
      <c r="G761" t="s">
        <v>963</v>
      </c>
      <c r="H761">
        <v>31</v>
      </c>
      <c r="I761">
        <v>0.43412899999999999</v>
      </c>
      <c r="J761">
        <v>0.80900000000000005</v>
      </c>
      <c r="K761">
        <v>0.37487100000000001</v>
      </c>
      <c r="L761">
        <v>27</v>
      </c>
      <c r="M761">
        <v>1</v>
      </c>
      <c r="N761">
        <v>3</v>
      </c>
      <c r="O761">
        <v>0.75409499999999996</v>
      </c>
      <c r="P761">
        <v>0.42825600000000003</v>
      </c>
      <c r="Q761">
        <v>0.17365800000000001</v>
      </c>
    </row>
    <row r="762" spans="1:17" x14ac:dyDescent="0.25">
      <c r="A762" t="str">
        <f>IF(C762&amp;G762&amp;D762&lt;&gt;'Funnel setup'!$K$3&amp;'Funnel setup'!$K$4&amp;'Funnel setup'!$K$6,".",IF(A761=".",1,A761+1))</f>
        <v>.</v>
      </c>
      <c r="B762" s="244" t="str">
        <f t="shared" si="11"/>
        <v>Hip Replacement PrimaryProviderSPIRE METHLEY PARK HOSPITAL (NT350)EQ-5D Index</v>
      </c>
      <c r="C762" t="s">
        <v>749</v>
      </c>
      <c r="D762" t="s">
        <v>965</v>
      </c>
      <c r="E762" t="s">
        <v>568</v>
      </c>
      <c r="F762" t="s">
        <v>569</v>
      </c>
      <c r="G762" t="s">
        <v>963</v>
      </c>
      <c r="H762">
        <v>28</v>
      </c>
      <c r="I762">
        <v>0.280607</v>
      </c>
      <c r="J762">
        <v>0.75289300000000003</v>
      </c>
      <c r="K762">
        <v>0.47228599999999998</v>
      </c>
      <c r="L762">
        <v>25</v>
      </c>
      <c r="M762">
        <v>2</v>
      </c>
      <c r="N762">
        <v>1</v>
      </c>
      <c r="O762" t="s">
        <v>127</v>
      </c>
      <c r="P762" t="s">
        <v>127</v>
      </c>
      <c r="Q762" t="s">
        <v>127</v>
      </c>
    </row>
    <row r="763" spans="1:17" x14ac:dyDescent="0.25">
      <c r="A763" t="str">
        <f>IF(C763&amp;G763&amp;D763&lt;&gt;'Funnel setup'!$K$3&amp;'Funnel setup'!$K$4&amp;'Funnel setup'!$K$6,".",IF(A762=".",1,A762+1))</f>
        <v>.</v>
      </c>
      <c r="B763" s="244" t="str">
        <f t="shared" si="11"/>
        <v>Hip Replacement PrimaryProviderSPIRE MONTEFIORE HOSPITAL (NT364)EQ-5D Index</v>
      </c>
      <c r="C763" t="s">
        <v>749</v>
      </c>
      <c r="D763" t="s">
        <v>965</v>
      </c>
      <c r="E763" t="s">
        <v>570</v>
      </c>
      <c r="F763" t="s">
        <v>571</v>
      </c>
      <c r="G763" t="s">
        <v>963</v>
      </c>
      <c r="H763">
        <v>3</v>
      </c>
      <c r="I763">
        <v>0.30099999999999999</v>
      </c>
      <c r="J763">
        <v>0.89866699999999999</v>
      </c>
      <c r="K763">
        <v>0.59766699999999995</v>
      </c>
      <c r="L763">
        <v>3</v>
      </c>
      <c r="M763">
        <v>0</v>
      </c>
      <c r="N763">
        <v>0</v>
      </c>
      <c r="O763" t="s">
        <v>127</v>
      </c>
      <c r="P763" t="s">
        <v>127</v>
      </c>
      <c r="Q763" t="s">
        <v>127</v>
      </c>
    </row>
    <row r="764" spans="1:17" x14ac:dyDescent="0.25">
      <c r="A764" t="str">
        <f>IF(C764&amp;G764&amp;D764&lt;&gt;'Funnel setup'!$K$3&amp;'Funnel setup'!$K$4&amp;'Funnel setup'!$K$6,".",IF(A763=".",1,A763+1))</f>
        <v>.</v>
      </c>
      <c r="B764" s="244" t="str">
        <f t="shared" si="11"/>
        <v>Hip Replacement PrimaryProviderSPIRE MURRAYFIELD HOSPITAL (NT325)EQ-5D Index</v>
      </c>
      <c r="C764" t="s">
        <v>749</v>
      </c>
      <c r="D764" t="s">
        <v>965</v>
      </c>
      <c r="E764" t="s">
        <v>572</v>
      </c>
      <c r="F764" t="s">
        <v>573</v>
      </c>
      <c r="G764" t="s">
        <v>963</v>
      </c>
      <c r="H764">
        <v>5</v>
      </c>
      <c r="I764">
        <v>0.55640000000000001</v>
      </c>
      <c r="J764">
        <v>0.88380000000000003</v>
      </c>
      <c r="K764">
        <v>0.32740000000000002</v>
      </c>
      <c r="L764">
        <v>4</v>
      </c>
      <c r="M764">
        <v>0</v>
      </c>
      <c r="N764">
        <v>1</v>
      </c>
      <c r="O764" t="s">
        <v>127</v>
      </c>
      <c r="P764" t="s">
        <v>127</v>
      </c>
      <c r="Q764" t="s">
        <v>127</v>
      </c>
    </row>
    <row r="765" spans="1:17" x14ac:dyDescent="0.25">
      <c r="A765" t="str">
        <f>IF(C765&amp;G765&amp;D765&lt;&gt;'Funnel setup'!$K$3&amp;'Funnel setup'!$K$4&amp;'Funnel setup'!$K$6,".",IF(A764=".",1,A764+1))</f>
        <v>.</v>
      </c>
      <c r="B765" s="244" t="str">
        <f t="shared" si="11"/>
        <v>Hip Replacement PrimaryProviderSPIRE NOTTINGHAM HOSPITAL (NT30A)EQ-5D Index</v>
      </c>
      <c r="C765" t="s">
        <v>749</v>
      </c>
      <c r="D765" t="s">
        <v>965</v>
      </c>
      <c r="E765" t="s">
        <v>576</v>
      </c>
      <c r="F765" t="s">
        <v>577</v>
      </c>
      <c r="G765" t="s">
        <v>963</v>
      </c>
      <c r="H765">
        <v>1</v>
      </c>
      <c r="I765">
        <v>-1.6E-2</v>
      </c>
      <c r="J765">
        <v>0.69099999999999995</v>
      </c>
      <c r="K765">
        <v>0.70699999999999996</v>
      </c>
      <c r="L765">
        <v>1</v>
      </c>
      <c r="M765">
        <v>0</v>
      </c>
      <c r="N765">
        <v>0</v>
      </c>
      <c r="O765" t="s">
        <v>127</v>
      </c>
      <c r="P765" t="s">
        <v>127</v>
      </c>
      <c r="Q765" t="s">
        <v>127</v>
      </c>
    </row>
    <row r="766" spans="1:17" x14ac:dyDescent="0.25">
      <c r="A766" t="str">
        <f>IF(C766&amp;G766&amp;D766&lt;&gt;'Funnel setup'!$K$3&amp;'Funnel setup'!$K$4&amp;'Funnel setup'!$K$6,".",IF(A765=".",1,A765+1))</f>
        <v>.</v>
      </c>
      <c r="B766" s="244" t="str">
        <f t="shared" si="11"/>
        <v>Hip Replacement PrimaryProviderSPIRE PARKWAY HOSPITAL (NT320)EQ-5D Index</v>
      </c>
      <c r="C766" t="s">
        <v>749</v>
      </c>
      <c r="D766" t="s">
        <v>965</v>
      </c>
      <c r="E766" t="s">
        <v>578</v>
      </c>
      <c r="F766" t="s">
        <v>579</v>
      </c>
      <c r="G766" t="s">
        <v>963</v>
      </c>
      <c r="H766">
        <v>19</v>
      </c>
      <c r="I766">
        <v>0.34778900000000001</v>
      </c>
      <c r="J766">
        <v>0.69052599999999997</v>
      </c>
      <c r="K766">
        <v>0.34273700000000001</v>
      </c>
      <c r="L766">
        <v>17</v>
      </c>
      <c r="M766">
        <v>1</v>
      </c>
      <c r="N766">
        <v>1</v>
      </c>
      <c r="O766" t="s">
        <v>127</v>
      </c>
      <c r="P766" t="s">
        <v>127</v>
      </c>
      <c r="Q766" t="s">
        <v>127</v>
      </c>
    </row>
    <row r="767" spans="1:17" x14ac:dyDescent="0.25">
      <c r="A767" t="str">
        <f>IF(C767&amp;G767&amp;D767&lt;&gt;'Funnel setup'!$K$3&amp;'Funnel setup'!$K$4&amp;'Funnel setup'!$K$6,".",IF(A766=".",1,A766+1))</f>
        <v>.</v>
      </c>
      <c r="B767" s="244" t="str">
        <f t="shared" si="11"/>
        <v>Hip Replacement PrimaryProviderSPIRE PORTSMOUTH HOSPITAL (NT305)EQ-5D Index</v>
      </c>
      <c r="C767" t="s">
        <v>749</v>
      </c>
      <c r="D767" t="s">
        <v>965</v>
      </c>
      <c r="E767" t="s">
        <v>580</v>
      </c>
      <c r="F767" t="s">
        <v>581</v>
      </c>
      <c r="G767" t="s">
        <v>963</v>
      </c>
      <c r="H767">
        <v>12</v>
      </c>
      <c r="I767">
        <v>0.310083</v>
      </c>
      <c r="J767">
        <v>0.68700000000000006</v>
      </c>
      <c r="K767">
        <v>0.376917</v>
      </c>
      <c r="L767">
        <v>11</v>
      </c>
      <c r="M767">
        <v>1</v>
      </c>
      <c r="N767">
        <v>0</v>
      </c>
      <c r="O767" t="s">
        <v>127</v>
      </c>
      <c r="P767" t="s">
        <v>127</v>
      </c>
      <c r="Q767" t="s">
        <v>127</v>
      </c>
    </row>
    <row r="768" spans="1:17" x14ac:dyDescent="0.25">
      <c r="A768" t="str">
        <f>IF(C768&amp;G768&amp;D768&lt;&gt;'Funnel setup'!$K$3&amp;'Funnel setup'!$K$4&amp;'Funnel setup'!$K$6,".",IF(A767=".",1,A767+1))</f>
        <v>.</v>
      </c>
      <c r="B768" s="244" t="str">
        <f t="shared" si="11"/>
        <v>Hip Replacement PrimaryProviderSPIRE REGENCY HOSPITAL (NT339)EQ-5D Index</v>
      </c>
      <c r="C768" t="s">
        <v>749</v>
      </c>
      <c r="D768" t="s">
        <v>965</v>
      </c>
      <c r="E768" t="s">
        <v>582</v>
      </c>
      <c r="F768" t="s">
        <v>583</v>
      </c>
      <c r="G768" t="s">
        <v>963</v>
      </c>
      <c r="H768">
        <v>32</v>
      </c>
      <c r="I768">
        <v>0.45678099999999999</v>
      </c>
      <c r="J768">
        <v>0.79015599999999997</v>
      </c>
      <c r="K768">
        <v>0.33337499999999998</v>
      </c>
      <c r="L768">
        <v>30</v>
      </c>
      <c r="M768">
        <v>0</v>
      </c>
      <c r="N768">
        <v>2</v>
      </c>
      <c r="O768">
        <v>0.74837699999999996</v>
      </c>
      <c r="P768">
        <v>0.422539</v>
      </c>
      <c r="Q768">
        <v>0.174848</v>
      </c>
    </row>
    <row r="769" spans="1:17" x14ac:dyDescent="0.25">
      <c r="A769" t="str">
        <f>IF(C769&amp;G769&amp;D769&lt;&gt;'Funnel setup'!$K$3&amp;'Funnel setup'!$K$4&amp;'Funnel setup'!$K$6,".",IF(A768=".",1,A768+1))</f>
        <v>.</v>
      </c>
      <c r="B769" s="244" t="str">
        <f t="shared" si="11"/>
        <v>Hip Replacement PrimaryProviderSPIRE SOUTHAMPTON HOSPITAL (NT304)EQ-5D Index</v>
      </c>
      <c r="C769" t="s">
        <v>749</v>
      </c>
      <c r="D769" t="s">
        <v>965</v>
      </c>
      <c r="E769" t="s">
        <v>586</v>
      </c>
      <c r="F769" t="s">
        <v>587</v>
      </c>
      <c r="G769" t="s">
        <v>963</v>
      </c>
      <c r="H769">
        <v>44</v>
      </c>
      <c r="I769">
        <v>0.49784099999999998</v>
      </c>
      <c r="J769">
        <v>0.82313599999999998</v>
      </c>
      <c r="K769">
        <v>0.325295</v>
      </c>
      <c r="L769">
        <v>34</v>
      </c>
      <c r="M769">
        <v>8</v>
      </c>
      <c r="N769">
        <v>2</v>
      </c>
      <c r="O769">
        <v>0.75107299999999999</v>
      </c>
      <c r="P769">
        <v>0.42523499999999997</v>
      </c>
      <c r="Q769">
        <v>0.195912</v>
      </c>
    </row>
    <row r="770" spans="1:17" x14ac:dyDescent="0.25">
      <c r="A770" t="str">
        <f>IF(C770&amp;G770&amp;D770&lt;&gt;'Funnel setup'!$K$3&amp;'Funnel setup'!$K$4&amp;'Funnel setup'!$K$6,".",IF(A769=".",1,A769+1))</f>
        <v>.</v>
      </c>
      <c r="B770" s="244" t="str">
        <f t="shared" ref="B770:B833" si="12">C770&amp;D770&amp;F770&amp;G770</f>
        <v>Hip Replacement PrimaryProviderSPIRE ST ANTHONY'S HOSPITAL (NT3X3)EQ-5D Index</v>
      </c>
      <c r="C770" t="s">
        <v>749</v>
      </c>
      <c r="D770" t="s">
        <v>965</v>
      </c>
      <c r="E770" t="s">
        <v>588</v>
      </c>
      <c r="F770" t="s">
        <v>589</v>
      </c>
      <c r="G770" t="s">
        <v>963</v>
      </c>
      <c r="H770">
        <v>3</v>
      </c>
      <c r="I770">
        <v>0.21299999999999999</v>
      </c>
      <c r="J770">
        <v>0.82899999999999996</v>
      </c>
      <c r="K770">
        <v>0.61599999999999999</v>
      </c>
      <c r="L770">
        <v>3</v>
      </c>
      <c r="M770">
        <v>0</v>
      </c>
      <c r="N770">
        <v>0</v>
      </c>
      <c r="O770" t="s">
        <v>127</v>
      </c>
      <c r="P770" t="s">
        <v>127</v>
      </c>
      <c r="Q770" t="s">
        <v>127</v>
      </c>
    </row>
    <row r="771" spans="1:17" x14ac:dyDescent="0.25">
      <c r="A771" t="str">
        <f>IF(C771&amp;G771&amp;D771&lt;&gt;'Funnel setup'!$K$3&amp;'Funnel setup'!$K$4&amp;'Funnel setup'!$K$6,".",IF(A770=".",1,A770+1))</f>
        <v>.</v>
      </c>
      <c r="B771" s="244" t="str">
        <f t="shared" si="12"/>
        <v>Hip Replacement PrimaryProviderSPIRE SUSSEX HOSPITAL (NT309)EQ-5D Index</v>
      </c>
      <c r="C771" t="s">
        <v>749</v>
      </c>
      <c r="D771" t="s">
        <v>965</v>
      </c>
      <c r="E771" t="s">
        <v>590</v>
      </c>
      <c r="F771" t="s">
        <v>591</v>
      </c>
      <c r="G771" t="s">
        <v>963</v>
      </c>
      <c r="H771">
        <v>7</v>
      </c>
      <c r="I771">
        <v>0.50557099999999999</v>
      </c>
      <c r="J771">
        <v>0.87542900000000001</v>
      </c>
      <c r="K771">
        <v>0.36985699999999999</v>
      </c>
      <c r="L771">
        <v>6</v>
      </c>
      <c r="M771">
        <v>0</v>
      </c>
      <c r="N771">
        <v>1</v>
      </c>
      <c r="O771" t="s">
        <v>127</v>
      </c>
      <c r="P771" t="s">
        <v>127</v>
      </c>
      <c r="Q771" t="s">
        <v>127</v>
      </c>
    </row>
    <row r="772" spans="1:17" x14ac:dyDescent="0.25">
      <c r="A772" t="str">
        <f>IF(C772&amp;G772&amp;D772&lt;&gt;'Funnel setup'!$K$3&amp;'Funnel setup'!$K$4&amp;'Funnel setup'!$K$6,".",IF(A771=".",1,A771+1))</f>
        <v>.</v>
      </c>
      <c r="B772" s="244" t="str">
        <f t="shared" si="12"/>
        <v>Hip Replacement PrimaryProviderSPIRE THAMES VALLEY HOSPITAL (NT343)EQ-5D Index</v>
      </c>
      <c r="C772" t="s">
        <v>749</v>
      </c>
      <c r="D772" t="s">
        <v>965</v>
      </c>
      <c r="E772" t="s">
        <v>592</v>
      </c>
      <c r="F772" t="s">
        <v>593</v>
      </c>
      <c r="G772" t="s">
        <v>963</v>
      </c>
      <c r="H772">
        <v>7</v>
      </c>
      <c r="I772">
        <v>0.60771399999999998</v>
      </c>
      <c r="J772">
        <v>0.70814299999999997</v>
      </c>
      <c r="K772">
        <v>0.100429</v>
      </c>
      <c r="L772">
        <v>6</v>
      </c>
      <c r="M772">
        <v>0</v>
      </c>
      <c r="N772">
        <v>1</v>
      </c>
      <c r="O772" t="s">
        <v>127</v>
      </c>
      <c r="P772" t="s">
        <v>127</v>
      </c>
      <c r="Q772" t="s">
        <v>127</v>
      </c>
    </row>
    <row r="773" spans="1:17" x14ac:dyDescent="0.25">
      <c r="A773" t="str">
        <f>IF(C773&amp;G773&amp;D773&lt;&gt;'Funnel setup'!$K$3&amp;'Funnel setup'!$K$4&amp;'Funnel setup'!$K$6,".",IF(A772=".",1,A772+1))</f>
        <v>.</v>
      </c>
      <c r="B773" s="244" t="str">
        <f t="shared" si="12"/>
        <v>Hip Replacement PrimaryProviderSPIRE TUNBRIDGE WELLS HOSPITAL (NT310)EQ-5D Index</v>
      </c>
      <c r="C773" t="s">
        <v>749</v>
      </c>
      <c r="D773" t="s">
        <v>965</v>
      </c>
      <c r="E773" t="s">
        <v>594</v>
      </c>
      <c r="F773" t="s">
        <v>595</v>
      </c>
      <c r="G773" t="s">
        <v>963</v>
      </c>
      <c r="H773">
        <v>7</v>
      </c>
      <c r="I773">
        <v>0.13328599999999999</v>
      </c>
      <c r="J773">
        <v>0.65528600000000004</v>
      </c>
      <c r="K773">
        <v>0.52200000000000002</v>
      </c>
      <c r="L773">
        <v>6</v>
      </c>
      <c r="M773">
        <v>0</v>
      </c>
      <c r="N773">
        <v>1</v>
      </c>
      <c r="O773" t="s">
        <v>127</v>
      </c>
      <c r="P773" t="s">
        <v>127</v>
      </c>
      <c r="Q773" t="s">
        <v>127</v>
      </c>
    </row>
    <row r="774" spans="1:17" x14ac:dyDescent="0.25">
      <c r="A774" t="str">
        <f>IF(C774&amp;G774&amp;D774&lt;&gt;'Funnel setup'!$K$3&amp;'Funnel setup'!$K$4&amp;'Funnel setup'!$K$6,".",IF(A773=".",1,A773+1))</f>
        <v>.</v>
      </c>
      <c r="B774" s="244" t="str">
        <f t="shared" si="12"/>
        <v>Hip Replacement PrimaryProviderSPIRE WASHINGTON HOSPITAL (NT333)EQ-5D Index</v>
      </c>
      <c r="C774" t="s">
        <v>749</v>
      </c>
      <c r="D774" t="s">
        <v>965</v>
      </c>
      <c r="E774" t="s">
        <v>596</v>
      </c>
      <c r="F774" t="s">
        <v>597</v>
      </c>
      <c r="G774" t="s">
        <v>963</v>
      </c>
      <c r="H774">
        <v>64</v>
      </c>
      <c r="I774">
        <v>0.32942199999999999</v>
      </c>
      <c r="J774">
        <v>0.81517200000000001</v>
      </c>
      <c r="K774">
        <v>0.48575000000000002</v>
      </c>
      <c r="L774">
        <v>54</v>
      </c>
      <c r="M774">
        <v>6</v>
      </c>
      <c r="N774">
        <v>4</v>
      </c>
      <c r="O774">
        <v>0.81109699999999996</v>
      </c>
      <c r="P774">
        <v>0.485259</v>
      </c>
      <c r="Q774">
        <v>0.20768</v>
      </c>
    </row>
    <row r="775" spans="1:17" x14ac:dyDescent="0.25">
      <c r="A775" t="str">
        <f>IF(C775&amp;G775&amp;D775&lt;&gt;'Funnel setup'!$K$3&amp;'Funnel setup'!$K$4&amp;'Funnel setup'!$K$6,".",IF(A774=".",1,A774+1))</f>
        <v>.</v>
      </c>
      <c r="B775" s="244" t="str">
        <f t="shared" si="12"/>
        <v>Hip Replacement PrimaryProviderSPRINGFIELD HOSPITAL (NVC18)EQ-5D Index</v>
      </c>
      <c r="C775" t="s">
        <v>749</v>
      </c>
      <c r="D775" t="s">
        <v>965</v>
      </c>
      <c r="E775" t="s">
        <v>602</v>
      </c>
      <c r="F775" t="s">
        <v>603</v>
      </c>
      <c r="G775" t="s">
        <v>963</v>
      </c>
      <c r="H775">
        <v>79</v>
      </c>
      <c r="I775">
        <v>0.306228</v>
      </c>
      <c r="J775">
        <v>0.83887299999999998</v>
      </c>
      <c r="K775">
        <v>0.53264599999999995</v>
      </c>
      <c r="L775">
        <v>75</v>
      </c>
      <c r="M775">
        <v>2</v>
      </c>
      <c r="N775">
        <v>2</v>
      </c>
      <c r="O775">
        <v>0.82903000000000004</v>
      </c>
      <c r="P775">
        <v>0.50319199999999997</v>
      </c>
      <c r="Q775">
        <v>0.237487</v>
      </c>
    </row>
    <row r="776" spans="1:17" x14ac:dyDescent="0.25">
      <c r="A776" t="str">
        <f>IF(C776&amp;G776&amp;D776&lt;&gt;'Funnel setup'!$K$3&amp;'Funnel setup'!$K$4&amp;'Funnel setup'!$K$6,".",IF(A775=".",1,A775+1))</f>
        <v>.</v>
      </c>
      <c r="B776" s="244" t="str">
        <f t="shared" si="12"/>
        <v>Hip Replacement PrimaryProviderST EDMUNDS HOSPITAL (NT446)EQ-5D Index</v>
      </c>
      <c r="C776" t="s">
        <v>749</v>
      </c>
      <c r="D776" t="s">
        <v>965</v>
      </c>
      <c r="E776" t="s">
        <v>604</v>
      </c>
      <c r="F776" t="s">
        <v>605</v>
      </c>
      <c r="G776" t="s">
        <v>963</v>
      </c>
      <c r="H776">
        <v>53</v>
      </c>
      <c r="I776">
        <v>0.36050900000000002</v>
      </c>
      <c r="J776">
        <v>0.84937700000000005</v>
      </c>
      <c r="K776">
        <v>0.48886800000000002</v>
      </c>
      <c r="L776">
        <v>47</v>
      </c>
      <c r="M776">
        <v>3</v>
      </c>
      <c r="N776">
        <v>3</v>
      </c>
      <c r="O776">
        <v>0.81850900000000004</v>
      </c>
      <c r="P776">
        <v>0.49267100000000003</v>
      </c>
      <c r="Q776">
        <v>0.20515700000000001</v>
      </c>
    </row>
    <row r="777" spans="1:17" x14ac:dyDescent="0.25">
      <c r="A777" t="str">
        <f>IF(C777&amp;G777&amp;D777&lt;&gt;'Funnel setup'!$K$3&amp;'Funnel setup'!$K$4&amp;'Funnel setup'!$K$6,".",IF(A776=".",1,A776+1))</f>
        <v>.</v>
      </c>
      <c r="B777" s="244" t="str">
        <f t="shared" si="12"/>
        <v>Hip Replacement PrimaryProviderST HELENS AND KNOWSLEY TEACHING HOSPITALS NHS TRUST (RBN)EQ-5D Index</v>
      </c>
      <c r="C777" t="s">
        <v>749</v>
      </c>
      <c r="D777" t="s">
        <v>965</v>
      </c>
      <c r="E777" t="s">
        <v>608</v>
      </c>
      <c r="F777" t="s">
        <v>609</v>
      </c>
      <c r="G777" t="s">
        <v>963</v>
      </c>
      <c r="H777">
        <v>70</v>
      </c>
      <c r="I777">
        <v>0.22442899999999999</v>
      </c>
      <c r="J777">
        <v>0.671157</v>
      </c>
      <c r="K777">
        <v>0.44672899999999999</v>
      </c>
      <c r="L777">
        <v>58</v>
      </c>
      <c r="M777">
        <v>7</v>
      </c>
      <c r="N777">
        <v>5</v>
      </c>
      <c r="O777">
        <v>0.72136800000000001</v>
      </c>
      <c r="P777">
        <v>0.39552999999999999</v>
      </c>
      <c r="Q777">
        <v>0.27633600000000003</v>
      </c>
    </row>
    <row r="778" spans="1:17" x14ac:dyDescent="0.25">
      <c r="A778" t="str">
        <f>IF(C778&amp;G778&amp;D778&lt;&gt;'Funnel setup'!$K$3&amp;'Funnel setup'!$K$4&amp;'Funnel setup'!$K$6,".",IF(A777=".",1,A777+1))</f>
        <v>.</v>
      </c>
      <c r="B778" s="244" t="str">
        <f t="shared" si="12"/>
        <v>Hip Replacement PrimaryProviderST HUGH'S HOSPITAL (NTE02)EQ-5D Index</v>
      </c>
      <c r="C778" t="s">
        <v>749</v>
      </c>
      <c r="D778" t="s">
        <v>965</v>
      </c>
      <c r="E778" t="s">
        <v>610</v>
      </c>
      <c r="F778" t="s">
        <v>611</v>
      </c>
      <c r="G778" t="s">
        <v>963</v>
      </c>
      <c r="H778">
        <v>94</v>
      </c>
      <c r="I778">
        <v>0.36860599999999999</v>
      </c>
      <c r="J778">
        <v>0.78854299999999999</v>
      </c>
      <c r="K778">
        <v>0.41993599999999998</v>
      </c>
      <c r="L778">
        <v>84</v>
      </c>
      <c r="M778">
        <v>5</v>
      </c>
      <c r="N778">
        <v>5</v>
      </c>
      <c r="O778">
        <v>0.77308100000000002</v>
      </c>
      <c r="P778">
        <v>0.447243</v>
      </c>
      <c r="Q778">
        <v>0.20799999999999999</v>
      </c>
    </row>
    <row r="779" spans="1:17" x14ac:dyDescent="0.25">
      <c r="A779" t="str">
        <f>IF(C779&amp;G779&amp;D779&lt;&gt;'Funnel setup'!$K$3&amp;'Funnel setup'!$K$4&amp;'Funnel setup'!$K$6,".",IF(A778=".",1,A778+1))</f>
        <v>.</v>
      </c>
      <c r="B779" s="244" t="str">
        <f t="shared" si="12"/>
        <v>Hip Replacement PrimaryProviderSTOCKPORT NHS FOUNDATION TRUST (RWJ)EQ-5D Index</v>
      </c>
      <c r="C779" t="s">
        <v>749</v>
      </c>
      <c r="D779" t="s">
        <v>965</v>
      </c>
      <c r="E779" t="s">
        <v>614</v>
      </c>
      <c r="F779" t="s">
        <v>615</v>
      </c>
      <c r="G779" t="s">
        <v>963</v>
      </c>
      <c r="H779">
        <v>49</v>
      </c>
      <c r="I779">
        <v>0.21528600000000001</v>
      </c>
      <c r="J779">
        <v>0.75920399999999999</v>
      </c>
      <c r="K779">
        <v>0.54391800000000001</v>
      </c>
      <c r="L779">
        <v>44</v>
      </c>
      <c r="M779">
        <v>3</v>
      </c>
      <c r="N779">
        <v>2</v>
      </c>
      <c r="O779">
        <v>0.79619099999999998</v>
      </c>
      <c r="P779">
        <v>0.47035300000000002</v>
      </c>
      <c r="Q779">
        <v>0.22237899999999999</v>
      </c>
    </row>
    <row r="780" spans="1:17" x14ac:dyDescent="0.25">
      <c r="A780" t="str">
        <f>IF(C780&amp;G780&amp;D780&lt;&gt;'Funnel setup'!$K$3&amp;'Funnel setup'!$K$4&amp;'Funnel setup'!$K$6,".",IF(A779=".",1,A779+1))</f>
        <v>.</v>
      </c>
      <c r="B780" s="244" t="str">
        <f t="shared" si="12"/>
        <v>Hip Replacement PrimaryProviderSURREY AND SUSSEX HEALTHCARE NHS TRUST (RTP)EQ-5D Index</v>
      </c>
      <c r="C780" t="s">
        <v>749</v>
      </c>
      <c r="D780" t="s">
        <v>965</v>
      </c>
      <c r="E780" t="s">
        <v>618</v>
      </c>
      <c r="F780" t="s">
        <v>619</v>
      </c>
      <c r="G780" t="s">
        <v>963</v>
      </c>
      <c r="H780">
        <v>47</v>
      </c>
      <c r="I780">
        <v>0.28306399999999998</v>
      </c>
      <c r="J780">
        <v>0.70163799999999998</v>
      </c>
      <c r="K780">
        <v>0.418574</v>
      </c>
      <c r="L780">
        <v>41</v>
      </c>
      <c r="M780">
        <v>3</v>
      </c>
      <c r="N780">
        <v>3</v>
      </c>
      <c r="O780">
        <v>0.71185799999999999</v>
      </c>
      <c r="P780">
        <v>0.38601999999999997</v>
      </c>
      <c r="Q780">
        <v>0.25417200000000001</v>
      </c>
    </row>
    <row r="781" spans="1:17" x14ac:dyDescent="0.25">
      <c r="A781" t="str">
        <f>IF(C781&amp;G781&amp;D781&lt;&gt;'Funnel setup'!$K$3&amp;'Funnel setup'!$K$4&amp;'Funnel setup'!$K$6,".",IF(A780=".",1,A780+1))</f>
        <v>.</v>
      </c>
      <c r="B781" s="244" t="str">
        <f t="shared" si="12"/>
        <v>Hip Replacement PrimaryProviderTAMESIDE AND GLOSSOP INTEGRATED CARE NHS FOUNDATION TRUST (RMP)EQ-5D Index</v>
      </c>
      <c r="C781" t="s">
        <v>749</v>
      </c>
      <c r="D781" t="s">
        <v>965</v>
      </c>
      <c r="E781" t="s">
        <v>620</v>
      </c>
      <c r="F781" t="s">
        <v>621</v>
      </c>
      <c r="G781" t="s">
        <v>963</v>
      </c>
      <c r="H781">
        <v>3</v>
      </c>
      <c r="I781">
        <v>0.115</v>
      </c>
      <c r="J781">
        <v>0.51733300000000004</v>
      </c>
      <c r="K781">
        <v>0.402333</v>
      </c>
      <c r="L781">
        <v>3</v>
      </c>
      <c r="M781">
        <v>0</v>
      </c>
      <c r="N781">
        <v>0</v>
      </c>
      <c r="O781" t="s">
        <v>127</v>
      </c>
      <c r="P781" t="s">
        <v>127</v>
      </c>
      <c r="Q781" t="s">
        <v>127</v>
      </c>
    </row>
    <row r="782" spans="1:17" x14ac:dyDescent="0.25">
      <c r="A782" t="str">
        <f>IF(C782&amp;G782&amp;D782&lt;&gt;'Funnel setup'!$K$3&amp;'Funnel setup'!$K$4&amp;'Funnel setup'!$K$6,".",IF(A781=".",1,A781+1))</f>
        <v>.</v>
      </c>
      <c r="B782" s="244" t="str">
        <f t="shared" si="12"/>
        <v>Hip Replacement PrimaryProviderTEES VALLEY HOSPITAL (NVC0R)EQ-5D Index</v>
      </c>
      <c r="C782" t="s">
        <v>749</v>
      </c>
      <c r="D782" t="s">
        <v>965</v>
      </c>
      <c r="E782" t="s">
        <v>624</v>
      </c>
      <c r="F782" t="s">
        <v>625</v>
      </c>
      <c r="G782" t="s">
        <v>963</v>
      </c>
      <c r="H782">
        <v>43</v>
      </c>
      <c r="I782">
        <v>0.44453500000000001</v>
      </c>
      <c r="J782">
        <v>0.76407000000000003</v>
      </c>
      <c r="K782">
        <v>0.31953500000000001</v>
      </c>
      <c r="L782">
        <v>40</v>
      </c>
      <c r="M782">
        <v>0</v>
      </c>
      <c r="N782">
        <v>3</v>
      </c>
      <c r="O782">
        <v>0.74451599999999996</v>
      </c>
      <c r="P782">
        <v>0.41867700000000002</v>
      </c>
      <c r="Q782">
        <v>0.22250400000000001</v>
      </c>
    </row>
    <row r="783" spans="1:17" x14ac:dyDescent="0.25">
      <c r="A783" t="str">
        <f>IF(C783&amp;G783&amp;D783&lt;&gt;'Funnel setup'!$K$3&amp;'Funnel setup'!$K$4&amp;'Funnel setup'!$K$6,".",IF(A782=".",1,A782+1))</f>
        <v>.</v>
      </c>
      <c r="B783" s="244" t="str">
        <f t="shared" si="12"/>
        <v>Hip Replacement PrimaryProviderTHE BERKSHIRE INDEPENDENT HOSPITAL (NVC02)EQ-5D Index</v>
      </c>
      <c r="C783" t="s">
        <v>749</v>
      </c>
      <c r="D783" t="s">
        <v>965</v>
      </c>
      <c r="E783" t="s">
        <v>626</v>
      </c>
      <c r="F783" t="s">
        <v>627</v>
      </c>
      <c r="G783" t="s">
        <v>963</v>
      </c>
      <c r="H783">
        <v>12</v>
      </c>
      <c r="I783">
        <v>0.35516700000000001</v>
      </c>
      <c r="J783">
        <v>0.875583</v>
      </c>
      <c r="K783">
        <v>0.52041700000000002</v>
      </c>
      <c r="L783">
        <v>10</v>
      </c>
      <c r="M783">
        <v>2</v>
      </c>
      <c r="N783">
        <v>0</v>
      </c>
      <c r="O783" t="s">
        <v>127</v>
      </c>
      <c r="P783" t="s">
        <v>127</v>
      </c>
      <c r="Q783" t="s">
        <v>127</v>
      </c>
    </row>
    <row r="784" spans="1:17" x14ac:dyDescent="0.25">
      <c r="A784" t="str">
        <f>IF(C784&amp;G784&amp;D784&lt;&gt;'Funnel setup'!$K$3&amp;'Funnel setup'!$K$4&amp;'Funnel setup'!$K$6,".",IF(A783=".",1,A783+1))</f>
        <v>.</v>
      </c>
      <c r="B784" s="244" t="str">
        <f t="shared" si="12"/>
        <v>Hip Replacement PrimaryProviderTHE CHERWELL HOSPITAL (NVC25)EQ-5D Index</v>
      </c>
      <c r="C784" t="s">
        <v>749</v>
      </c>
      <c r="D784" t="s">
        <v>965</v>
      </c>
      <c r="E784" t="s">
        <v>628</v>
      </c>
      <c r="F784" t="s">
        <v>629</v>
      </c>
      <c r="G784" t="s">
        <v>963</v>
      </c>
      <c r="H784">
        <v>207</v>
      </c>
      <c r="I784">
        <v>0.43490800000000002</v>
      </c>
      <c r="J784">
        <v>0.83384100000000005</v>
      </c>
      <c r="K784">
        <v>0.39893200000000001</v>
      </c>
      <c r="L784">
        <v>186</v>
      </c>
      <c r="M784">
        <v>11</v>
      </c>
      <c r="N784">
        <v>10</v>
      </c>
      <c r="O784">
        <v>0.78848799999999997</v>
      </c>
      <c r="P784">
        <v>0.46264899999999998</v>
      </c>
      <c r="Q784">
        <v>0.21798000000000001</v>
      </c>
    </row>
    <row r="785" spans="1:17" x14ac:dyDescent="0.25">
      <c r="A785" t="str">
        <f>IF(C785&amp;G785&amp;D785&lt;&gt;'Funnel setup'!$K$3&amp;'Funnel setup'!$K$4&amp;'Funnel setup'!$K$6,".",IF(A784=".",1,A784+1))</f>
        <v>.</v>
      </c>
      <c r="B785" s="244" t="str">
        <f t="shared" si="12"/>
        <v>Hip Replacement PrimaryProviderTHE DUDLEY GROUP NHS FOUNDATION TRUST (RNA)EQ-5D Index</v>
      </c>
      <c r="C785" t="s">
        <v>749</v>
      </c>
      <c r="D785" t="s">
        <v>965</v>
      </c>
      <c r="E785" t="s">
        <v>630</v>
      </c>
      <c r="F785" t="s">
        <v>631</v>
      </c>
      <c r="G785" t="s">
        <v>963</v>
      </c>
      <c r="H785">
        <v>1</v>
      </c>
      <c r="I785">
        <v>0.186</v>
      </c>
      <c r="J785">
        <v>0.79600000000000004</v>
      </c>
      <c r="K785">
        <v>0.61</v>
      </c>
      <c r="L785">
        <v>1</v>
      </c>
      <c r="M785">
        <v>0</v>
      </c>
      <c r="N785">
        <v>0</v>
      </c>
      <c r="O785" t="s">
        <v>127</v>
      </c>
      <c r="P785" t="s">
        <v>127</v>
      </c>
      <c r="Q785" t="s">
        <v>127</v>
      </c>
    </row>
    <row r="786" spans="1:17" x14ac:dyDescent="0.25">
      <c r="A786" t="str">
        <f>IF(C786&amp;G786&amp;D786&lt;&gt;'Funnel setup'!$K$3&amp;'Funnel setup'!$K$4&amp;'Funnel setup'!$K$6,".",IF(A785=".",1,A785+1))</f>
        <v>.</v>
      </c>
      <c r="B786" s="244" t="str">
        <f t="shared" si="12"/>
        <v>Hip Replacement PrimaryProviderTHE HILLINGDON HOSPITALS NHS FOUNDATION TRUST (RAS)EQ-5D Index</v>
      </c>
      <c r="C786" t="s">
        <v>749</v>
      </c>
      <c r="D786" t="s">
        <v>965</v>
      </c>
      <c r="E786" t="s">
        <v>632</v>
      </c>
      <c r="F786" t="s">
        <v>633</v>
      </c>
      <c r="G786" t="s">
        <v>963</v>
      </c>
      <c r="H786">
        <v>68</v>
      </c>
      <c r="I786">
        <v>0.43810300000000002</v>
      </c>
      <c r="J786">
        <v>0.79335299999999997</v>
      </c>
      <c r="K786">
        <v>0.35525000000000001</v>
      </c>
      <c r="L786">
        <v>59</v>
      </c>
      <c r="M786">
        <v>4</v>
      </c>
      <c r="N786">
        <v>5</v>
      </c>
      <c r="O786">
        <v>0.76900500000000005</v>
      </c>
      <c r="P786">
        <v>0.44316699999999998</v>
      </c>
      <c r="Q786">
        <v>0.23602200000000001</v>
      </c>
    </row>
    <row r="787" spans="1:17" x14ac:dyDescent="0.25">
      <c r="A787" t="str">
        <f>IF(C787&amp;G787&amp;D787&lt;&gt;'Funnel setup'!$K$3&amp;'Funnel setup'!$K$4&amp;'Funnel setup'!$K$6,".",IF(A786=".",1,A786+1))</f>
        <v>.</v>
      </c>
      <c r="B787" s="244" t="str">
        <f t="shared" si="12"/>
        <v>Hip Replacement PrimaryProviderTHE HORDER CENTRE - ST JOHNS ROAD (NXM01)EQ-5D Index</v>
      </c>
      <c r="C787" t="s">
        <v>749</v>
      </c>
      <c r="D787" t="s">
        <v>965</v>
      </c>
      <c r="E787" t="s">
        <v>634</v>
      </c>
      <c r="F787" t="s">
        <v>635</v>
      </c>
      <c r="G787" t="s">
        <v>963</v>
      </c>
      <c r="H787">
        <v>236</v>
      </c>
      <c r="I787">
        <v>0.42025400000000002</v>
      </c>
      <c r="J787">
        <v>0.83712699999999995</v>
      </c>
      <c r="K787">
        <v>0.41687299999999999</v>
      </c>
      <c r="L787">
        <v>213</v>
      </c>
      <c r="M787">
        <v>11</v>
      </c>
      <c r="N787">
        <v>12</v>
      </c>
      <c r="O787">
        <v>0.80509900000000001</v>
      </c>
      <c r="P787">
        <v>0.47926099999999999</v>
      </c>
      <c r="Q787">
        <v>0.24152399999999999</v>
      </c>
    </row>
    <row r="788" spans="1:17" x14ac:dyDescent="0.25">
      <c r="A788" t="str">
        <f>IF(C788&amp;G788&amp;D788&lt;&gt;'Funnel setup'!$K$3&amp;'Funnel setup'!$K$4&amp;'Funnel setup'!$K$6,".",IF(A787=".",1,A787+1))</f>
        <v>.</v>
      </c>
      <c r="B788" s="244" t="str">
        <f t="shared" si="12"/>
        <v>Hip Replacement PrimaryProviderTHE NEWCASTLE UPON TYNE HOSPITALS NHS FOUNDATION TRUST (RTD)EQ-5D Index</v>
      </c>
      <c r="C788" t="s">
        <v>749</v>
      </c>
      <c r="D788" t="s">
        <v>965</v>
      </c>
      <c r="E788" t="s">
        <v>638</v>
      </c>
      <c r="F788" t="s">
        <v>639</v>
      </c>
      <c r="G788" t="s">
        <v>963</v>
      </c>
      <c r="H788">
        <v>33</v>
      </c>
      <c r="I788">
        <v>0.25887900000000003</v>
      </c>
      <c r="J788">
        <v>0.75627299999999997</v>
      </c>
      <c r="K788">
        <v>0.497394</v>
      </c>
      <c r="L788">
        <v>31</v>
      </c>
      <c r="M788">
        <v>1</v>
      </c>
      <c r="N788">
        <v>1</v>
      </c>
      <c r="O788">
        <v>0.79076299999999999</v>
      </c>
      <c r="P788">
        <v>0.46492499999999998</v>
      </c>
      <c r="Q788">
        <v>0.21878500000000001</v>
      </c>
    </row>
    <row r="789" spans="1:17" x14ac:dyDescent="0.25">
      <c r="A789" t="str">
        <f>IF(C789&amp;G789&amp;D789&lt;&gt;'Funnel setup'!$K$3&amp;'Funnel setup'!$K$4&amp;'Funnel setup'!$K$6,".",IF(A788=".",1,A788+1))</f>
        <v>.</v>
      </c>
      <c r="B789" s="244" t="str">
        <f t="shared" si="12"/>
        <v>Hip Replacement PrimaryProviderTHE PRINCESS ALEXANDRA HOSPITAL NHS TRUST (RQW)EQ-5D Index</v>
      </c>
      <c r="C789" t="s">
        <v>749</v>
      </c>
      <c r="D789" t="s">
        <v>965</v>
      </c>
      <c r="E789" t="s">
        <v>640</v>
      </c>
      <c r="F789" t="s">
        <v>641</v>
      </c>
      <c r="G789" t="s">
        <v>963</v>
      </c>
      <c r="H789">
        <v>26</v>
      </c>
      <c r="I789">
        <v>0.14984600000000001</v>
      </c>
      <c r="J789">
        <v>0.66276900000000005</v>
      </c>
      <c r="K789">
        <v>0.51292300000000002</v>
      </c>
      <c r="L789">
        <v>26</v>
      </c>
      <c r="M789">
        <v>0</v>
      </c>
      <c r="N789">
        <v>0</v>
      </c>
      <c r="O789" t="s">
        <v>127</v>
      </c>
      <c r="P789" t="s">
        <v>127</v>
      </c>
      <c r="Q789" t="s">
        <v>127</v>
      </c>
    </row>
    <row r="790" spans="1:17" x14ac:dyDescent="0.25">
      <c r="A790" t="str">
        <f>IF(C790&amp;G790&amp;D790&lt;&gt;'Funnel setup'!$K$3&amp;'Funnel setup'!$K$4&amp;'Funnel setup'!$K$6,".",IF(A789=".",1,A789+1))</f>
        <v>.</v>
      </c>
      <c r="B790" s="244" t="str">
        <f t="shared" si="12"/>
        <v>Hip Replacement PrimaryProviderTHE QUEEN ELIZABETH HOSPITAL, KING'S LYNN, NHS FOUNDATION TRUST (RCX)EQ-5D Index</v>
      </c>
      <c r="C790" t="s">
        <v>749</v>
      </c>
      <c r="D790" t="s">
        <v>965</v>
      </c>
      <c r="E790" t="s">
        <v>644</v>
      </c>
      <c r="F790" t="s">
        <v>645</v>
      </c>
      <c r="G790" t="s">
        <v>963</v>
      </c>
      <c r="H790">
        <v>63</v>
      </c>
      <c r="I790">
        <v>0.315857</v>
      </c>
      <c r="J790">
        <v>0.75831700000000002</v>
      </c>
      <c r="K790">
        <v>0.44246000000000002</v>
      </c>
      <c r="L790">
        <v>56</v>
      </c>
      <c r="M790">
        <v>4</v>
      </c>
      <c r="N790">
        <v>3</v>
      </c>
      <c r="O790">
        <v>0.776393</v>
      </c>
      <c r="P790">
        <v>0.45055499999999998</v>
      </c>
      <c r="Q790">
        <v>0.20732900000000001</v>
      </c>
    </row>
    <row r="791" spans="1:17" x14ac:dyDescent="0.25">
      <c r="A791" t="str">
        <f>IF(C791&amp;G791&amp;D791&lt;&gt;'Funnel setup'!$K$3&amp;'Funnel setup'!$K$4&amp;'Funnel setup'!$K$6,".",IF(A790=".",1,A790+1))</f>
        <v>.</v>
      </c>
      <c r="B791" s="244" t="str">
        <f t="shared" si="12"/>
        <v>Hip Replacement PrimaryProviderTHE ROBERT JONES AND AGNES HUNT ORTHOPAEDIC HOSPITAL NHS FOUNDATION TRUST (RL1)EQ-5D Index</v>
      </c>
      <c r="C791" t="s">
        <v>749</v>
      </c>
      <c r="D791" t="s">
        <v>965</v>
      </c>
      <c r="E791" t="s">
        <v>646</v>
      </c>
      <c r="F791" t="s">
        <v>647</v>
      </c>
      <c r="G791" t="s">
        <v>963</v>
      </c>
      <c r="H791">
        <v>323</v>
      </c>
      <c r="I791">
        <v>0.20930299999999999</v>
      </c>
      <c r="J791">
        <v>0.82216999999999996</v>
      </c>
      <c r="K791">
        <v>0.61286700000000005</v>
      </c>
      <c r="L791">
        <v>305</v>
      </c>
      <c r="M791">
        <v>11</v>
      </c>
      <c r="N791">
        <v>7</v>
      </c>
      <c r="O791">
        <v>0.84736699999999998</v>
      </c>
      <c r="P791">
        <v>0.52152900000000002</v>
      </c>
      <c r="Q791">
        <v>0.19974700000000001</v>
      </c>
    </row>
    <row r="792" spans="1:17" x14ac:dyDescent="0.25">
      <c r="A792" t="str">
        <f>IF(C792&amp;G792&amp;D792&lt;&gt;'Funnel setup'!$K$3&amp;'Funnel setup'!$K$4&amp;'Funnel setup'!$K$6,".",IF(A791=".",1,A791+1))</f>
        <v>.</v>
      </c>
      <c r="B792" s="244" t="str">
        <f t="shared" si="12"/>
        <v>Hip Replacement PrimaryProviderTHE ROTHERHAM NHS FOUNDATION TRUST (RFR)EQ-5D Index</v>
      </c>
      <c r="C792" t="s">
        <v>749</v>
      </c>
      <c r="D792" t="s">
        <v>965</v>
      </c>
      <c r="E792" t="s">
        <v>648</v>
      </c>
      <c r="F792" t="s">
        <v>649</v>
      </c>
      <c r="G792" t="s">
        <v>963</v>
      </c>
      <c r="H792">
        <v>18</v>
      </c>
      <c r="I792">
        <v>0.31866699999999998</v>
      </c>
      <c r="J792">
        <v>0.82099999999999995</v>
      </c>
      <c r="K792">
        <v>0.50233300000000003</v>
      </c>
      <c r="L792">
        <v>15</v>
      </c>
      <c r="M792">
        <v>3</v>
      </c>
      <c r="N792">
        <v>0</v>
      </c>
      <c r="O792" t="s">
        <v>127</v>
      </c>
      <c r="P792" t="s">
        <v>127</v>
      </c>
      <c r="Q792" t="s">
        <v>127</v>
      </c>
    </row>
    <row r="793" spans="1:17" x14ac:dyDescent="0.25">
      <c r="A793" t="str">
        <f>IF(C793&amp;G793&amp;D793&lt;&gt;'Funnel setup'!$K$3&amp;'Funnel setup'!$K$4&amp;'Funnel setup'!$K$6,".",IF(A792=".",1,A792+1))</f>
        <v>.</v>
      </c>
      <c r="B793" s="244" t="str">
        <f t="shared" si="12"/>
        <v>Hip Replacement PrimaryProviderTHE ROYAL ORTHOPAEDIC HOSPITAL NHS FOUNDATION TRUST (RRJ)EQ-5D Index</v>
      </c>
      <c r="C793" t="s">
        <v>749</v>
      </c>
      <c r="D793" t="s">
        <v>965</v>
      </c>
      <c r="E793" t="s">
        <v>652</v>
      </c>
      <c r="F793" t="s">
        <v>653</v>
      </c>
      <c r="G793" t="s">
        <v>963</v>
      </c>
      <c r="H793">
        <v>550</v>
      </c>
      <c r="I793">
        <v>0.29666199999999998</v>
      </c>
      <c r="J793">
        <v>0.81481999999999999</v>
      </c>
      <c r="K793">
        <v>0.51815800000000001</v>
      </c>
      <c r="L793">
        <v>510</v>
      </c>
      <c r="M793">
        <v>11</v>
      </c>
      <c r="N793">
        <v>29</v>
      </c>
      <c r="O793">
        <v>0.81747400000000003</v>
      </c>
      <c r="P793">
        <v>0.49163600000000002</v>
      </c>
      <c r="Q793">
        <v>0.22203300000000001</v>
      </c>
    </row>
    <row r="794" spans="1:17" x14ac:dyDescent="0.25">
      <c r="A794" t="str">
        <f>IF(C794&amp;G794&amp;D794&lt;&gt;'Funnel setup'!$K$3&amp;'Funnel setup'!$K$4&amp;'Funnel setup'!$K$6,".",IF(A793=".",1,A793+1))</f>
        <v>.</v>
      </c>
      <c r="B794" s="244" t="str">
        <f t="shared" si="12"/>
        <v>Hip Replacement PrimaryProviderTHE ROYAL WOLVERHAMPTON NHS TRUST (RL4)EQ-5D Index</v>
      </c>
      <c r="C794" t="s">
        <v>749</v>
      </c>
      <c r="D794" t="s">
        <v>965</v>
      </c>
      <c r="E794" t="s">
        <v>654</v>
      </c>
      <c r="F794" t="s">
        <v>655</v>
      </c>
      <c r="G794" t="s">
        <v>963</v>
      </c>
      <c r="H794">
        <v>16</v>
      </c>
      <c r="I794">
        <v>0.30581199999999997</v>
      </c>
      <c r="J794">
        <v>0.88649999999999995</v>
      </c>
      <c r="K794">
        <v>0.58068699999999995</v>
      </c>
      <c r="L794">
        <v>15</v>
      </c>
      <c r="M794">
        <v>1</v>
      </c>
      <c r="N794">
        <v>0</v>
      </c>
      <c r="O794" t="s">
        <v>127</v>
      </c>
      <c r="P794" t="s">
        <v>127</v>
      </c>
      <c r="Q794" t="s">
        <v>127</v>
      </c>
    </row>
    <row r="795" spans="1:17" x14ac:dyDescent="0.25">
      <c r="A795" t="str">
        <f>IF(C795&amp;G795&amp;D795&lt;&gt;'Funnel setup'!$K$3&amp;'Funnel setup'!$K$4&amp;'Funnel setup'!$K$6,".",IF(A794=".",1,A794+1))</f>
        <v>.</v>
      </c>
      <c r="B795" s="244" t="str">
        <f t="shared" si="12"/>
        <v>Hip Replacement PrimaryProviderTHE SHREWSBURY AND TELFORD HOSPITAL NHS TRUST (RXW)EQ-5D Index</v>
      </c>
      <c r="C795" t="s">
        <v>749</v>
      </c>
      <c r="D795" t="s">
        <v>965</v>
      </c>
      <c r="E795" t="s">
        <v>656</v>
      </c>
      <c r="F795" t="s">
        <v>657</v>
      </c>
      <c r="G795" t="s">
        <v>963</v>
      </c>
      <c r="H795">
        <v>17</v>
      </c>
      <c r="I795">
        <v>3.8176500000000002E-2</v>
      </c>
      <c r="J795">
        <v>0.75770599999999999</v>
      </c>
      <c r="K795">
        <v>0.71952899999999997</v>
      </c>
      <c r="L795">
        <v>16</v>
      </c>
      <c r="M795">
        <v>0</v>
      </c>
      <c r="N795">
        <v>1</v>
      </c>
      <c r="O795" t="s">
        <v>127</v>
      </c>
      <c r="P795" t="s">
        <v>127</v>
      </c>
      <c r="Q795" t="s">
        <v>127</v>
      </c>
    </row>
    <row r="796" spans="1:17" x14ac:dyDescent="0.25">
      <c r="A796" t="str">
        <f>IF(C796&amp;G796&amp;D796&lt;&gt;'Funnel setup'!$K$3&amp;'Funnel setup'!$K$4&amp;'Funnel setup'!$K$6,".",IF(A795=".",1,A795+1))</f>
        <v>.</v>
      </c>
      <c r="B796" s="244" t="str">
        <f t="shared" si="12"/>
        <v>Hip Replacement PrimaryProviderTHE YORKSHIRE CLINIC (NVC20)EQ-5D Index</v>
      </c>
      <c r="C796" t="s">
        <v>749</v>
      </c>
      <c r="D796" t="s">
        <v>965</v>
      </c>
      <c r="E796" t="s">
        <v>662</v>
      </c>
      <c r="F796" t="s">
        <v>663</v>
      </c>
      <c r="G796" t="s">
        <v>963</v>
      </c>
      <c r="H796">
        <v>63</v>
      </c>
      <c r="I796">
        <v>0.33745999999999998</v>
      </c>
      <c r="J796">
        <v>0.85593699999999995</v>
      </c>
      <c r="K796">
        <v>0.51847600000000005</v>
      </c>
      <c r="L796">
        <v>57</v>
      </c>
      <c r="M796">
        <v>6</v>
      </c>
      <c r="N796">
        <v>0</v>
      </c>
      <c r="O796">
        <v>0.85998699999999995</v>
      </c>
      <c r="P796">
        <v>0.53414899999999998</v>
      </c>
      <c r="Q796">
        <v>0.185923</v>
      </c>
    </row>
    <row r="797" spans="1:17" x14ac:dyDescent="0.25">
      <c r="A797" t="str">
        <f>IF(C797&amp;G797&amp;D797&lt;&gt;'Funnel setup'!$K$3&amp;'Funnel setup'!$K$4&amp;'Funnel setup'!$K$6,".",IF(A796=".",1,A796+1))</f>
        <v>.</v>
      </c>
      <c r="B797" s="244" t="str">
        <f t="shared" si="12"/>
        <v>Hip Replacement PrimaryProviderTHORNBURY HOSPITAL (NT440)EQ-5D Index</v>
      </c>
      <c r="C797" t="s">
        <v>749</v>
      </c>
      <c r="D797" t="s">
        <v>965</v>
      </c>
      <c r="E797" t="s">
        <v>664</v>
      </c>
      <c r="F797" t="s">
        <v>665</v>
      </c>
      <c r="G797" t="s">
        <v>963</v>
      </c>
      <c r="H797">
        <v>2</v>
      </c>
      <c r="I797">
        <v>0.25</v>
      </c>
      <c r="J797">
        <v>0.35099999999999998</v>
      </c>
      <c r="K797">
        <v>0.10100000000000001</v>
      </c>
      <c r="L797">
        <v>2</v>
      </c>
      <c r="M797">
        <v>0</v>
      </c>
      <c r="N797">
        <v>0</v>
      </c>
      <c r="O797" t="s">
        <v>127</v>
      </c>
      <c r="P797" t="s">
        <v>127</v>
      </c>
      <c r="Q797" t="s">
        <v>127</v>
      </c>
    </row>
    <row r="798" spans="1:17" x14ac:dyDescent="0.25">
      <c r="A798" t="str">
        <f>IF(C798&amp;G798&amp;D798&lt;&gt;'Funnel setup'!$K$3&amp;'Funnel setup'!$K$4&amp;'Funnel setup'!$K$6,".",IF(A797=".",1,A797+1))</f>
        <v>.</v>
      </c>
      <c r="B798" s="244" t="str">
        <f t="shared" si="12"/>
        <v>Hip Replacement PrimaryProviderTHREE SHIRES HOSPITAL (NT441)EQ-5D Index</v>
      </c>
      <c r="C798" t="s">
        <v>749</v>
      </c>
      <c r="D798" t="s">
        <v>965</v>
      </c>
      <c r="E798" t="s">
        <v>666</v>
      </c>
      <c r="F798" t="s">
        <v>667</v>
      </c>
      <c r="G798" t="s">
        <v>963</v>
      </c>
      <c r="H798">
        <v>63</v>
      </c>
      <c r="I798">
        <v>0.43349199999999999</v>
      </c>
      <c r="J798">
        <v>0.88460300000000003</v>
      </c>
      <c r="K798">
        <v>0.45111099999999998</v>
      </c>
      <c r="L798">
        <v>58</v>
      </c>
      <c r="M798">
        <v>4</v>
      </c>
      <c r="N798">
        <v>1</v>
      </c>
      <c r="O798">
        <v>0.82813999999999999</v>
      </c>
      <c r="P798">
        <v>0.502301</v>
      </c>
      <c r="Q798">
        <v>0.150778</v>
      </c>
    </row>
    <row r="799" spans="1:17" x14ac:dyDescent="0.25">
      <c r="A799" t="str">
        <f>IF(C799&amp;G799&amp;D799&lt;&gt;'Funnel setup'!$K$3&amp;'Funnel setup'!$K$4&amp;'Funnel setup'!$K$6,".",IF(A798=".",1,A798+1))</f>
        <v>.</v>
      </c>
      <c r="B799" s="244" t="str">
        <f t="shared" si="12"/>
        <v>Hip Replacement PrimaryProviderTORBAY AND SOUTH DEVON NHS FOUNDATION TRUST (RA9)EQ-5D Index</v>
      </c>
      <c r="C799" t="s">
        <v>749</v>
      </c>
      <c r="D799" t="s">
        <v>965</v>
      </c>
      <c r="E799" t="s">
        <v>668</v>
      </c>
      <c r="F799" t="s">
        <v>669</v>
      </c>
      <c r="G799" t="s">
        <v>963</v>
      </c>
      <c r="H799">
        <v>9</v>
      </c>
      <c r="I799">
        <v>8.0666699999999994E-2</v>
      </c>
      <c r="J799">
        <v>0.76800000000000002</v>
      </c>
      <c r="K799">
        <v>0.68733299999999997</v>
      </c>
      <c r="L799">
        <v>9</v>
      </c>
      <c r="M799">
        <v>0</v>
      </c>
      <c r="N799">
        <v>0</v>
      </c>
      <c r="O799" t="s">
        <v>127</v>
      </c>
      <c r="P799" t="s">
        <v>127</v>
      </c>
      <c r="Q799" t="s">
        <v>127</v>
      </c>
    </row>
    <row r="800" spans="1:17" x14ac:dyDescent="0.25">
      <c r="A800" t="str">
        <f>IF(C800&amp;G800&amp;D800&lt;&gt;'Funnel setup'!$K$3&amp;'Funnel setup'!$K$4&amp;'Funnel setup'!$K$6,".",IF(A799=".",1,A799+1))</f>
        <v>.</v>
      </c>
      <c r="B800" s="244" t="str">
        <f t="shared" si="12"/>
        <v>Hip Replacement PrimaryProviderUNITED LINCOLNSHIRE HOSPITALS NHS TRUST (RWD)EQ-5D Index</v>
      </c>
      <c r="C800" t="s">
        <v>749</v>
      </c>
      <c r="D800" t="s">
        <v>965</v>
      </c>
      <c r="E800" t="s">
        <v>672</v>
      </c>
      <c r="F800" t="s">
        <v>673</v>
      </c>
      <c r="G800" t="s">
        <v>963</v>
      </c>
      <c r="H800">
        <v>22</v>
      </c>
      <c r="I800">
        <v>0.212227</v>
      </c>
      <c r="J800">
        <v>0.75781799999999999</v>
      </c>
      <c r="K800">
        <v>0.54559100000000005</v>
      </c>
      <c r="L800">
        <v>19</v>
      </c>
      <c r="M800">
        <v>2</v>
      </c>
      <c r="N800">
        <v>1</v>
      </c>
      <c r="O800" t="s">
        <v>127</v>
      </c>
      <c r="P800" t="s">
        <v>127</v>
      </c>
      <c r="Q800" t="s">
        <v>127</v>
      </c>
    </row>
    <row r="801" spans="1:17" x14ac:dyDescent="0.25">
      <c r="A801" t="str">
        <f>IF(C801&amp;G801&amp;D801&lt;&gt;'Funnel setup'!$K$3&amp;'Funnel setup'!$K$4&amp;'Funnel setup'!$K$6,".",IF(A800=".",1,A800+1))</f>
        <v>.</v>
      </c>
      <c r="B801" s="244" t="str">
        <f t="shared" si="12"/>
        <v>Hip Replacement PrimaryProviderUNIVERSITY COLLEGE LONDON HOSPITALS NHS FOUNDATION TRUST (RRV)EQ-5D Index</v>
      </c>
      <c r="C801" t="s">
        <v>749</v>
      </c>
      <c r="D801" t="s">
        <v>965</v>
      </c>
      <c r="E801" t="s">
        <v>674</v>
      </c>
      <c r="F801" t="s">
        <v>675</v>
      </c>
      <c r="G801" t="s">
        <v>963</v>
      </c>
      <c r="H801">
        <v>138</v>
      </c>
      <c r="I801">
        <v>0.40287699999999999</v>
      </c>
      <c r="J801">
        <v>0.78923900000000002</v>
      </c>
      <c r="K801">
        <v>0.38636199999999998</v>
      </c>
      <c r="L801">
        <v>119</v>
      </c>
      <c r="M801">
        <v>12</v>
      </c>
      <c r="N801">
        <v>7</v>
      </c>
      <c r="O801">
        <v>0.78007300000000002</v>
      </c>
      <c r="P801">
        <v>0.454235</v>
      </c>
      <c r="Q801">
        <v>0.236232</v>
      </c>
    </row>
    <row r="802" spans="1:17" x14ac:dyDescent="0.25">
      <c r="A802" t="str">
        <f>IF(C802&amp;G802&amp;D802&lt;&gt;'Funnel setup'!$K$3&amp;'Funnel setup'!$K$4&amp;'Funnel setup'!$K$6,".",IF(A801=".",1,A801+1))</f>
        <v>.</v>
      </c>
      <c r="B802" s="244" t="str">
        <f t="shared" si="12"/>
        <v>Hip Replacement PrimaryProviderUNIVERSITY HOSPITAL SOUTHAMPTON NHS FOUNDATION TRUST (RHM)EQ-5D Index</v>
      </c>
      <c r="C802" t="s">
        <v>749</v>
      </c>
      <c r="D802" t="s">
        <v>965</v>
      </c>
      <c r="E802" t="s">
        <v>676</v>
      </c>
      <c r="F802" t="s">
        <v>677</v>
      </c>
      <c r="G802" t="s">
        <v>963</v>
      </c>
      <c r="H802">
        <v>97</v>
      </c>
      <c r="I802">
        <v>0.31970100000000001</v>
      </c>
      <c r="J802">
        <v>0.75620600000000004</v>
      </c>
      <c r="K802">
        <v>0.43650499999999998</v>
      </c>
      <c r="L802">
        <v>82</v>
      </c>
      <c r="M802">
        <v>8</v>
      </c>
      <c r="N802">
        <v>7</v>
      </c>
      <c r="O802">
        <v>0.76646899999999996</v>
      </c>
      <c r="P802">
        <v>0.44063099999999999</v>
      </c>
      <c r="Q802">
        <v>0.23930799999999999</v>
      </c>
    </row>
    <row r="803" spans="1:17" x14ac:dyDescent="0.25">
      <c r="A803" t="str">
        <f>IF(C803&amp;G803&amp;D803&lt;&gt;'Funnel setup'!$K$3&amp;'Funnel setup'!$K$4&amp;'Funnel setup'!$K$6,".",IF(A802=".",1,A802+1))</f>
        <v>.</v>
      </c>
      <c r="B803" s="244" t="str">
        <f t="shared" si="12"/>
        <v>Hip Replacement PrimaryProviderUNIVERSITY HOSPITALS BRISTOL AND WESTON NHS FOUNDATION TRUST (RA7)EQ-5D Index</v>
      </c>
      <c r="C803" t="s">
        <v>749</v>
      </c>
      <c r="D803" t="s">
        <v>965</v>
      </c>
      <c r="E803" t="s">
        <v>680</v>
      </c>
      <c r="F803" t="s">
        <v>681</v>
      </c>
      <c r="G803" t="s">
        <v>963</v>
      </c>
      <c r="H803">
        <v>15</v>
      </c>
      <c r="I803">
        <v>0.201067</v>
      </c>
      <c r="J803">
        <v>0.77686699999999997</v>
      </c>
      <c r="K803">
        <v>0.57579999999999998</v>
      </c>
      <c r="L803">
        <v>15</v>
      </c>
      <c r="M803">
        <v>0</v>
      </c>
      <c r="N803">
        <v>0</v>
      </c>
      <c r="O803" t="s">
        <v>127</v>
      </c>
      <c r="P803" t="s">
        <v>127</v>
      </c>
      <c r="Q803" t="s">
        <v>127</v>
      </c>
    </row>
    <row r="804" spans="1:17" x14ac:dyDescent="0.25">
      <c r="A804" t="str">
        <f>IF(C804&amp;G804&amp;D804&lt;&gt;'Funnel setup'!$K$3&amp;'Funnel setup'!$K$4&amp;'Funnel setup'!$K$6,".",IF(A803=".",1,A803+1))</f>
        <v>.</v>
      </c>
      <c r="B804" s="244" t="str">
        <f t="shared" si="12"/>
        <v>Hip Replacement PrimaryProviderUNIVERSITY HOSPITALS COVENTRY AND WARWICKSHIRE NHS TRUST (RKB)EQ-5D Index</v>
      </c>
      <c r="C804" t="s">
        <v>749</v>
      </c>
      <c r="D804" t="s">
        <v>965</v>
      </c>
      <c r="E804" t="s">
        <v>682</v>
      </c>
      <c r="F804" t="s">
        <v>683</v>
      </c>
      <c r="G804" t="s">
        <v>963</v>
      </c>
      <c r="H804">
        <v>23</v>
      </c>
      <c r="I804">
        <v>0.339478</v>
      </c>
      <c r="J804">
        <v>0.78212999999999999</v>
      </c>
      <c r="K804">
        <v>0.44265199999999999</v>
      </c>
      <c r="L804">
        <v>19</v>
      </c>
      <c r="M804">
        <v>3</v>
      </c>
      <c r="N804">
        <v>1</v>
      </c>
      <c r="O804" t="s">
        <v>127</v>
      </c>
      <c r="P804" t="s">
        <v>127</v>
      </c>
      <c r="Q804" t="s">
        <v>127</v>
      </c>
    </row>
    <row r="805" spans="1:17" x14ac:dyDescent="0.25">
      <c r="A805" t="str">
        <f>IF(C805&amp;G805&amp;D805&lt;&gt;'Funnel setup'!$K$3&amp;'Funnel setup'!$K$4&amp;'Funnel setup'!$K$6,".",IF(A804=".",1,A804+1))</f>
        <v>.</v>
      </c>
      <c r="B805" s="244" t="str">
        <f t="shared" si="12"/>
        <v>Hip Replacement PrimaryProviderUNIVERSITY HOSPITAL DORSET NHS FUNDATION TRUST (R0D)EQ-5D Index</v>
      </c>
      <c r="C805" t="s">
        <v>749</v>
      </c>
      <c r="D805" t="s">
        <v>965</v>
      </c>
      <c r="E805" t="s">
        <v>684</v>
      </c>
      <c r="F805" t="s">
        <v>966</v>
      </c>
      <c r="G805" t="s">
        <v>963</v>
      </c>
      <c r="H805">
        <v>206</v>
      </c>
      <c r="I805">
        <v>0.35292200000000001</v>
      </c>
      <c r="J805">
        <v>0.81336399999999998</v>
      </c>
      <c r="K805">
        <v>0.46044200000000002</v>
      </c>
      <c r="L805">
        <v>188</v>
      </c>
      <c r="M805">
        <v>10</v>
      </c>
      <c r="N805">
        <v>8</v>
      </c>
      <c r="O805">
        <v>0.80276400000000003</v>
      </c>
      <c r="P805">
        <v>0.47692499999999999</v>
      </c>
      <c r="Q805">
        <v>0.22611800000000001</v>
      </c>
    </row>
    <row r="806" spans="1:17" x14ac:dyDescent="0.25">
      <c r="A806" t="str">
        <f>IF(C806&amp;G806&amp;D806&lt;&gt;'Funnel setup'!$K$3&amp;'Funnel setup'!$K$4&amp;'Funnel setup'!$K$6,".",IF(A805=".",1,A805+1))</f>
        <v>.</v>
      </c>
      <c r="B806" s="244" t="str">
        <f t="shared" si="12"/>
        <v>Hip Replacement PrimaryProviderUNIVERSITY HOSPITALS OF DERBY AND BURTON NHS FOUNDATION TRUST (RTG)EQ-5D Index</v>
      </c>
      <c r="C806" t="s">
        <v>749</v>
      </c>
      <c r="D806" t="s">
        <v>965</v>
      </c>
      <c r="E806" t="s">
        <v>686</v>
      </c>
      <c r="F806" t="s">
        <v>687</v>
      </c>
      <c r="G806" t="s">
        <v>963</v>
      </c>
      <c r="H806">
        <v>332</v>
      </c>
      <c r="I806">
        <v>0.26205099999999998</v>
      </c>
      <c r="J806">
        <v>0.75373199999999996</v>
      </c>
      <c r="K806">
        <v>0.49168099999999998</v>
      </c>
      <c r="L806">
        <v>298</v>
      </c>
      <c r="M806">
        <v>19</v>
      </c>
      <c r="N806">
        <v>15</v>
      </c>
      <c r="O806">
        <v>0.77560600000000002</v>
      </c>
      <c r="P806">
        <v>0.449768</v>
      </c>
      <c r="Q806">
        <v>0.224634</v>
      </c>
    </row>
    <row r="807" spans="1:17" x14ac:dyDescent="0.25">
      <c r="A807" t="str">
        <f>IF(C807&amp;G807&amp;D807&lt;&gt;'Funnel setup'!$K$3&amp;'Funnel setup'!$K$4&amp;'Funnel setup'!$K$6,".",IF(A806=".",1,A806+1))</f>
        <v>.</v>
      </c>
      <c r="B807" s="244" t="str">
        <f t="shared" si="12"/>
        <v>Hip Replacement PrimaryProviderUNIVERSITY HOSPITALS OF LEICESTER NHS TRUST (RWE)EQ-5D Index</v>
      </c>
      <c r="C807" t="s">
        <v>749</v>
      </c>
      <c r="D807" t="s">
        <v>965</v>
      </c>
      <c r="E807" t="s">
        <v>688</v>
      </c>
      <c r="F807" t="s">
        <v>689</v>
      </c>
      <c r="G807" t="s">
        <v>963</v>
      </c>
      <c r="H807">
        <v>97</v>
      </c>
      <c r="I807">
        <v>0.22348499999999999</v>
      </c>
      <c r="J807">
        <v>0.73376300000000005</v>
      </c>
      <c r="K807">
        <v>0.51027800000000001</v>
      </c>
      <c r="L807">
        <v>86</v>
      </c>
      <c r="M807">
        <v>6</v>
      </c>
      <c r="N807">
        <v>5</v>
      </c>
      <c r="O807">
        <v>0.76331199999999999</v>
      </c>
      <c r="P807">
        <v>0.43747399999999997</v>
      </c>
      <c r="Q807">
        <v>0.244865</v>
      </c>
    </row>
    <row r="808" spans="1:17" x14ac:dyDescent="0.25">
      <c r="A808" t="str">
        <f>IF(C808&amp;G808&amp;D808&lt;&gt;'Funnel setup'!$K$3&amp;'Funnel setup'!$K$4&amp;'Funnel setup'!$K$6,".",IF(A807=".",1,A807+1))</f>
        <v>.</v>
      </c>
      <c r="B808" s="244" t="str">
        <f t="shared" si="12"/>
        <v>Hip Replacement PrimaryProviderUNIVERSITY HOSPITALS OF MORECAMBE BAY NHS FOUNDATION TRUST (RTX)EQ-5D Index</v>
      </c>
      <c r="C808" t="s">
        <v>749</v>
      </c>
      <c r="D808" t="s">
        <v>965</v>
      </c>
      <c r="E808" t="s">
        <v>690</v>
      </c>
      <c r="F808" t="s">
        <v>691</v>
      </c>
      <c r="G808" t="s">
        <v>963</v>
      </c>
      <c r="H808">
        <v>171</v>
      </c>
      <c r="I808">
        <v>0.31328699999999998</v>
      </c>
      <c r="J808">
        <v>0.79124000000000005</v>
      </c>
      <c r="K808">
        <v>0.47795300000000002</v>
      </c>
      <c r="L808">
        <v>158</v>
      </c>
      <c r="M808">
        <v>6</v>
      </c>
      <c r="N808">
        <v>7</v>
      </c>
      <c r="O808">
        <v>0.79582699999999995</v>
      </c>
      <c r="P808">
        <v>0.46998899999999999</v>
      </c>
      <c r="Q808">
        <v>0.21037600000000001</v>
      </c>
    </row>
    <row r="809" spans="1:17" x14ac:dyDescent="0.25">
      <c r="A809" t="str">
        <f>IF(C809&amp;G809&amp;D809&lt;&gt;'Funnel setup'!$K$3&amp;'Funnel setup'!$K$4&amp;'Funnel setup'!$K$6,".",IF(A808=".",1,A808+1))</f>
        <v>.</v>
      </c>
      <c r="B809" s="244" t="str">
        <f t="shared" si="12"/>
        <v>Hip Replacement PrimaryProviderUNIVERSITY HOSPITALS OF NORTH MIDLANDS NHS TRUST (RJE)EQ-5D Index</v>
      </c>
      <c r="C809" t="s">
        <v>749</v>
      </c>
      <c r="D809" t="s">
        <v>965</v>
      </c>
      <c r="E809" t="s">
        <v>692</v>
      </c>
      <c r="F809" t="s">
        <v>693</v>
      </c>
      <c r="G809" t="s">
        <v>963</v>
      </c>
      <c r="H809">
        <v>31</v>
      </c>
      <c r="I809">
        <v>0.220806</v>
      </c>
      <c r="J809">
        <v>0.75896799999999998</v>
      </c>
      <c r="K809">
        <v>0.538161</v>
      </c>
      <c r="L809">
        <v>29</v>
      </c>
      <c r="M809">
        <v>2</v>
      </c>
      <c r="N809">
        <v>0</v>
      </c>
      <c r="O809">
        <v>0.80042400000000002</v>
      </c>
      <c r="P809">
        <v>0.47458600000000001</v>
      </c>
      <c r="Q809">
        <v>0.241368</v>
      </c>
    </row>
    <row r="810" spans="1:17" x14ac:dyDescent="0.25">
      <c r="A810" t="str">
        <f>IF(C810&amp;G810&amp;D810&lt;&gt;'Funnel setup'!$K$3&amp;'Funnel setup'!$K$4&amp;'Funnel setup'!$K$6,".",IF(A809=".",1,A809+1))</f>
        <v>.</v>
      </c>
      <c r="B810" s="244" t="str">
        <f t="shared" si="12"/>
        <v>Hip Replacement PrimaryProviderUNIVERSITY HOSPITALS PLYMOUTH NHS TRUST (RK9)EQ-5D Index</v>
      </c>
      <c r="C810" t="s">
        <v>749</v>
      </c>
      <c r="D810" t="s">
        <v>965</v>
      </c>
      <c r="E810" t="s">
        <v>694</v>
      </c>
      <c r="F810" t="s">
        <v>695</v>
      </c>
      <c r="G810" t="s">
        <v>963</v>
      </c>
      <c r="H810">
        <v>5</v>
      </c>
      <c r="I810">
        <v>-6.9599999999999995E-2</v>
      </c>
      <c r="J810">
        <v>0.62919999999999998</v>
      </c>
      <c r="K810">
        <v>0.69879999999999998</v>
      </c>
      <c r="L810">
        <v>5</v>
      </c>
      <c r="M810">
        <v>0</v>
      </c>
      <c r="N810">
        <v>0</v>
      </c>
      <c r="O810" t="s">
        <v>127</v>
      </c>
      <c r="P810" t="s">
        <v>127</v>
      </c>
      <c r="Q810" t="s">
        <v>127</v>
      </c>
    </row>
    <row r="811" spans="1:17" x14ac:dyDescent="0.25">
      <c r="A811" t="str">
        <f>IF(C811&amp;G811&amp;D811&lt;&gt;'Funnel setup'!$K$3&amp;'Funnel setup'!$K$4&amp;'Funnel setup'!$K$6,".",IF(A810=".",1,A810+1))</f>
        <v>.</v>
      </c>
      <c r="B811" s="244" t="str">
        <f t="shared" si="12"/>
        <v>Hip Replacement PrimaryProviderUNIVERSITY HOSPITALS SUSSEX NHS FOUNDATION TRUST (RYR)EQ-5D Index</v>
      </c>
      <c r="C811" t="s">
        <v>749</v>
      </c>
      <c r="D811" t="s">
        <v>965</v>
      </c>
      <c r="E811" t="s">
        <v>696</v>
      </c>
      <c r="F811" t="s">
        <v>697</v>
      </c>
      <c r="G811" t="s">
        <v>963</v>
      </c>
      <c r="H811">
        <v>133</v>
      </c>
      <c r="I811">
        <v>0.31962400000000002</v>
      </c>
      <c r="J811">
        <v>0.700797</v>
      </c>
      <c r="K811">
        <v>0.38117299999999998</v>
      </c>
      <c r="L811">
        <v>110</v>
      </c>
      <c r="M811">
        <v>6</v>
      </c>
      <c r="N811">
        <v>17</v>
      </c>
      <c r="O811">
        <v>0.71074999999999999</v>
      </c>
      <c r="P811">
        <v>0.38491199999999998</v>
      </c>
      <c r="Q811">
        <v>0.284271</v>
      </c>
    </row>
    <row r="812" spans="1:17" x14ac:dyDescent="0.25">
      <c r="A812" t="str">
        <f>IF(C812&amp;G812&amp;D812&lt;&gt;'Funnel setup'!$K$3&amp;'Funnel setup'!$K$4&amp;'Funnel setup'!$K$6,".",IF(A811=".",1,A811+1))</f>
        <v>.</v>
      </c>
      <c r="B812" s="244" t="str">
        <f t="shared" si="12"/>
        <v>Hip Replacement PrimaryProviderWALSALL HEALTHCARE NHS TRUST (RBK)EQ-5D Index</v>
      </c>
      <c r="C812" t="s">
        <v>749</v>
      </c>
      <c r="D812" t="s">
        <v>965</v>
      </c>
      <c r="E812" t="s">
        <v>698</v>
      </c>
      <c r="F812" t="s">
        <v>699</v>
      </c>
      <c r="G812" t="s">
        <v>963</v>
      </c>
      <c r="H812">
        <v>14</v>
      </c>
      <c r="I812">
        <v>0.27900000000000003</v>
      </c>
      <c r="J812">
        <v>0.62107100000000004</v>
      </c>
      <c r="K812">
        <v>0.34207100000000001</v>
      </c>
      <c r="L812">
        <v>11</v>
      </c>
      <c r="M812">
        <v>2</v>
      </c>
      <c r="N812">
        <v>1</v>
      </c>
      <c r="O812" t="s">
        <v>127</v>
      </c>
      <c r="P812" t="s">
        <v>127</v>
      </c>
      <c r="Q812" t="s">
        <v>127</v>
      </c>
    </row>
    <row r="813" spans="1:17" x14ac:dyDescent="0.25">
      <c r="A813" t="str">
        <f>IF(C813&amp;G813&amp;D813&lt;&gt;'Funnel setup'!$K$3&amp;'Funnel setup'!$K$4&amp;'Funnel setup'!$K$6,".",IF(A812=".",1,A812+1))</f>
        <v>.</v>
      </c>
      <c r="B813" s="244" t="str">
        <f t="shared" si="12"/>
        <v>Hip Replacement PrimaryProviderWARRINGTON AND HALTON TEACHING HOSPITALS NHS FOUNDATION TRUST (RWW)EQ-5D Index</v>
      </c>
      <c r="C813" t="s">
        <v>749</v>
      </c>
      <c r="D813" t="s">
        <v>965</v>
      </c>
      <c r="E813" t="s">
        <v>700</v>
      </c>
      <c r="F813" t="s">
        <v>701</v>
      </c>
      <c r="G813" t="s">
        <v>963</v>
      </c>
      <c r="H813">
        <v>31</v>
      </c>
      <c r="I813">
        <v>0.307645</v>
      </c>
      <c r="J813">
        <v>0.73129</v>
      </c>
      <c r="K813">
        <v>0.42364499999999999</v>
      </c>
      <c r="L813">
        <v>28</v>
      </c>
      <c r="M813">
        <v>1</v>
      </c>
      <c r="N813">
        <v>2</v>
      </c>
      <c r="O813">
        <v>0.74590500000000004</v>
      </c>
      <c r="P813">
        <v>0.42006599999999999</v>
      </c>
      <c r="Q813">
        <v>0.239202</v>
      </c>
    </row>
    <row r="814" spans="1:17" x14ac:dyDescent="0.25">
      <c r="A814" t="str">
        <f>IF(C814&amp;G814&amp;D814&lt;&gt;'Funnel setup'!$K$3&amp;'Funnel setup'!$K$4&amp;'Funnel setup'!$K$6,".",IF(A813=".",1,A813+1))</f>
        <v>.</v>
      </c>
      <c r="B814" s="244" t="str">
        <f t="shared" si="12"/>
        <v>Hip Replacement PrimaryProviderWEST HERTFORDSHIRE TEACHING HOSPITALS NHS TRUST (RWG)EQ-5D Index</v>
      </c>
      <c r="C814" t="s">
        <v>749</v>
      </c>
      <c r="D814" t="s">
        <v>965</v>
      </c>
      <c r="E814" t="s">
        <v>702</v>
      </c>
      <c r="F814" t="s">
        <v>703</v>
      </c>
      <c r="G814" t="s">
        <v>963</v>
      </c>
      <c r="H814">
        <v>84</v>
      </c>
      <c r="I814">
        <v>0.28811900000000001</v>
      </c>
      <c r="J814">
        <v>0.76488100000000003</v>
      </c>
      <c r="K814">
        <v>0.47676200000000002</v>
      </c>
      <c r="L814">
        <v>73</v>
      </c>
      <c r="M814">
        <v>4</v>
      </c>
      <c r="N814">
        <v>7</v>
      </c>
      <c r="O814">
        <v>0.76837299999999997</v>
      </c>
      <c r="P814">
        <v>0.44253500000000001</v>
      </c>
      <c r="Q814">
        <v>0.25179099999999999</v>
      </c>
    </row>
    <row r="815" spans="1:17" x14ac:dyDescent="0.25">
      <c r="A815" t="str">
        <f>IF(C815&amp;G815&amp;D815&lt;&gt;'Funnel setup'!$K$3&amp;'Funnel setup'!$K$4&amp;'Funnel setup'!$K$6,".",IF(A814=".",1,A814+1))</f>
        <v>.</v>
      </c>
      <c r="B815" s="244" t="str">
        <f t="shared" si="12"/>
        <v>Hip Replacement PrimaryProviderWEST MIDLANDS HOSPITAL (NVC21)EQ-5D Index</v>
      </c>
      <c r="C815" t="s">
        <v>749</v>
      </c>
      <c r="D815" t="s">
        <v>965</v>
      </c>
      <c r="E815" t="s">
        <v>704</v>
      </c>
      <c r="F815" t="s">
        <v>705</v>
      </c>
      <c r="G815" t="s">
        <v>963</v>
      </c>
      <c r="H815">
        <v>79</v>
      </c>
      <c r="I815">
        <v>0.34810099999999999</v>
      </c>
      <c r="J815">
        <v>0.80641799999999997</v>
      </c>
      <c r="K815">
        <v>0.458316</v>
      </c>
      <c r="L815">
        <v>71</v>
      </c>
      <c r="M815">
        <v>2</v>
      </c>
      <c r="N815">
        <v>6</v>
      </c>
      <c r="O815">
        <v>0.80513599999999996</v>
      </c>
      <c r="P815">
        <v>0.479298</v>
      </c>
      <c r="Q815">
        <v>0.21868000000000001</v>
      </c>
    </row>
    <row r="816" spans="1:17" x14ac:dyDescent="0.25">
      <c r="A816" t="str">
        <f>IF(C816&amp;G816&amp;D816&lt;&gt;'Funnel setup'!$K$3&amp;'Funnel setup'!$K$4&amp;'Funnel setup'!$K$6,".",IF(A815=".",1,A815+1))</f>
        <v>.</v>
      </c>
      <c r="B816" s="244" t="str">
        <f t="shared" si="12"/>
        <v>Hip Replacement PrimaryProviderWEST SUFFOLK NHS FOUNDATION TRUST (RGR)EQ-5D Index</v>
      </c>
      <c r="C816" t="s">
        <v>749</v>
      </c>
      <c r="D816" t="s">
        <v>965</v>
      </c>
      <c r="E816" t="s">
        <v>706</v>
      </c>
      <c r="F816" t="s">
        <v>707</v>
      </c>
      <c r="G816" t="s">
        <v>963</v>
      </c>
      <c r="H816">
        <v>115</v>
      </c>
      <c r="I816">
        <v>0.22514799999999999</v>
      </c>
      <c r="J816">
        <v>0.76102599999999998</v>
      </c>
      <c r="K816">
        <v>0.53587799999999997</v>
      </c>
      <c r="L816">
        <v>99</v>
      </c>
      <c r="M816">
        <v>8</v>
      </c>
      <c r="N816">
        <v>8</v>
      </c>
      <c r="O816">
        <v>0.75715200000000005</v>
      </c>
      <c r="P816">
        <v>0.431313</v>
      </c>
      <c r="Q816">
        <v>0.24789</v>
      </c>
    </row>
    <row r="817" spans="1:17" x14ac:dyDescent="0.25">
      <c r="A817" t="str">
        <f>IF(C817&amp;G817&amp;D817&lt;&gt;'Funnel setup'!$K$3&amp;'Funnel setup'!$K$4&amp;'Funnel setup'!$K$6,".",IF(A816=".",1,A816+1))</f>
        <v>.</v>
      </c>
      <c r="B817" s="244" t="str">
        <f t="shared" si="12"/>
        <v>Hip Replacement PrimaryProviderWINFIELD HOSPITAL (NVC22)EQ-5D Index</v>
      </c>
      <c r="C817" t="s">
        <v>749</v>
      </c>
      <c r="D817" t="s">
        <v>965</v>
      </c>
      <c r="E817" t="s">
        <v>710</v>
      </c>
      <c r="F817" t="s">
        <v>711</v>
      </c>
      <c r="G817" t="s">
        <v>963</v>
      </c>
      <c r="H817">
        <v>46</v>
      </c>
      <c r="I817">
        <v>0.33534799999999998</v>
      </c>
      <c r="J817">
        <v>0.79056499999999996</v>
      </c>
      <c r="K817">
        <v>0.45521699999999998</v>
      </c>
      <c r="L817">
        <v>44</v>
      </c>
      <c r="M817">
        <v>0</v>
      </c>
      <c r="N817">
        <v>2</v>
      </c>
      <c r="O817">
        <v>0.77484600000000003</v>
      </c>
      <c r="P817">
        <v>0.44900699999999999</v>
      </c>
      <c r="Q817">
        <v>0.22722000000000001</v>
      </c>
    </row>
    <row r="818" spans="1:17" x14ac:dyDescent="0.25">
      <c r="A818" t="str">
        <f>IF(C818&amp;G818&amp;D818&lt;&gt;'Funnel setup'!$K$3&amp;'Funnel setup'!$K$4&amp;'Funnel setup'!$K$6,".",IF(A817=".",1,A817+1))</f>
        <v>.</v>
      </c>
      <c r="B818" s="244" t="str">
        <f t="shared" si="12"/>
        <v>Hip Replacement PrimaryProviderWINTERBOURNE HOSPITAL (NT443)EQ-5D Index</v>
      </c>
      <c r="C818" t="s">
        <v>749</v>
      </c>
      <c r="D818" t="s">
        <v>965</v>
      </c>
      <c r="E818" t="s">
        <v>712</v>
      </c>
      <c r="F818" t="s">
        <v>713</v>
      </c>
      <c r="G818" t="s">
        <v>963</v>
      </c>
      <c r="H818">
        <v>50</v>
      </c>
      <c r="I818">
        <v>0.48409999999999997</v>
      </c>
      <c r="J818">
        <v>0.83486000000000005</v>
      </c>
      <c r="K818">
        <v>0.35076000000000002</v>
      </c>
      <c r="L818">
        <v>42</v>
      </c>
      <c r="M818">
        <v>3</v>
      </c>
      <c r="N818">
        <v>5</v>
      </c>
      <c r="O818">
        <v>0.79216699999999995</v>
      </c>
      <c r="P818">
        <v>0.46632800000000002</v>
      </c>
      <c r="Q818">
        <v>0.24801200000000001</v>
      </c>
    </row>
    <row r="819" spans="1:17" x14ac:dyDescent="0.25">
      <c r="A819" t="str">
        <f>IF(C819&amp;G819&amp;D819&lt;&gt;'Funnel setup'!$K$3&amp;'Funnel setup'!$K$4&amp;'Funnel setup'!$K$6,".",IF(A818=".",1,A818+1))</f>
        <v>.</v>
      </c>
      <c r="B819" s="244" t="str">
        <f t="shared" si="12"/>
        <v>Hip Replacement PrimaryProviderWIRRAL UNIVERSITY TEACHING HOSPITAL NHS FOUNDATION TRUST (RBL)EQ-5D Index</v>
      </c>
      <c r="C819" t="s">
        <v>749</v>
      </c>
      <c r="D819" t="s">
        <v>965</v>
      </c>
      <c r="E819" t="s">
        <v>714</v>
      </c>
      <c r="F819" t="s">
        <v>715</v>
      </c>
      <c r="G819" t="s">
        <v>963</v>
      </c>
      <c r="H819">
        <v>97</v>
      </c>
      <c r="I819">
        <v>0.33729900000000002</v>
      </c>
      <c r="J819">
        <v>0.760598</v>
      </c>
      <c r="K819">
        <v>0.42329899999999998</v>
      </c>
      <c r="L819">
        <v>84</v>
      </c>
      <c r="M819">
        <v>11</v>
      </c>
      <c r="N819">
        <v>2</v>
      </c>
      <c r="O819">
        <v>0.75454399999999999</v>
      </c>
      <c r="P819">
        <v>0.42870599999999998</v>
      </c>
      <c r="Q819">
        <v>0.23582500000000001</v>
      </c>
    </row>
    <row r="820" spans="1:17" x14ac:dyDescent="0.25">
      <c r="A820" t="str">
        <f>IF(C820&amp;G820&amp;D820&lt;&gt;'Funnel setup'!$K$3&amp;'Funnel setup'!$K$4&amp;'Funnel setup'!$K$6,".",IF(A819=".",1,A819+1))</f>
        <v>.</v>
      </c>
      <c r="B820" s="244" t="str">
        <f t="shared" si="12"/>
        <v>Hip Replacement PrimaryProviderWOODLAND HOSPITAL (NVC23)EQ-5D Index</v>
      </c>
      <c r="C820" t="s">
        <v>749</v>
      </c>
      <c r="D820" t="s">
        <v>965</v>
      </c>
      <c r="E820" t="s">
        <v>716</v>
      </c>
      <c r="F820" t="s">
        <v>717</v>
      </c>
      <c r="G820" t="s">
        <v>963</v>
      </c>
      <c r="H820">
        <v>78</v>
      </c>
      <c r="I820">
        <v>0.28267900000000001</v>
      </c>
      <c r="J820">
        <v>0.74207699999999999</v>
      </c>
      <c r="K820">
        <v>0.459397</v>
      </c>
      <c r="L820">
        <v>70</v>
      </c>
      <c r="M820">
        <v>3</v>
      </c>
      <c r="N820">
        <v>5</v>
      </c>
      <c r="O820">
        <v>0.73812999999999995</v>
      </c>
      <c r="P820">
        <v>0.41229199999999999</v>
      </c>
      <c r="Q820">
        <v>0.227576</v>
      </c>
    </row>
    <row r="821" spans="1:17" x14ac:dyDescent="0.25">
      <c r="A821" t="str">
        <f>IF(C821&amp;G821&amp;D821&lt;&gt;'Funnel setup'!$K$3&amp;'Funnel setup'!$K$4&amp;'Funnel setup'!$K$6,".",IF(A820=".",1,A820+1))</f>
        <v>.</v>
      </c>
      <c r="B821" s="244" t="str">
        <f t="shared" si="12"/>
        <v>Hip Replacement PrimaryProviderWOODLANDS HOSPITAL (NT457)EQ-5D Index</v>
      </c>
      <c r="C821" t="s">
        <v>749</v>
      </c>
      <c r="D821" t="s">
        <v>965</v>
      </c>
      <c r="E821" t="s">
        <v>718</v>
      </c>
      <c r="F821" t="s">
        <v>719</v>
      </c>
      <c r="G821" t="s">
        <v>963</v>
      </c>
      <c r="H821">
        <v>70</v>
      </c>
      <c r="I821">
        <v>0.460314</v>
      </c>
      <c r="J821">
        <v>0.85548599999999997</v>
      </c>
      <c r="K821">
        <v>0.39517099999999999</v>
      </c>
      <c r="L821">
        <v>64</v>
      </c>
      <c r="M821">
        <v>4</v>
      </c>
      <c r="N821">
        <v>2</v>
      </c>
      <c r="O821">
        <v>0.79954700000000001</v>
      </c>
      <c r="P821">
        <v>0.47370800000000002</v>
      </c>
      <c r="Q821">
        <v>0.19983100000000001</v>
      </c>
    </row>
    <row r="822" spans="1:17" x14ac:dyDescent="0.25">
      <c r="A822" t="str">
        <f>IF(C822&amp;G822&amp;D822&lt;&gt;'Funnel setup'!$K$3&amp;'Funnel setup'!$K$4&amp;'Funnel setup'!$K$6,".",IF(A821=".",1,A821+1))</f>
        <v>.</v>
      </c>
      <c r="B822" s="244" t="str">
        <f t="shared" si="12"/>
        <v>Hip Replacement PrimaryProviderWOODTHORPE HOSPITAL (NVC40)EQ-5D Index</v>
      </c>
      <c r="C822" t="s">
        <v>749</v>
      </c>
      <c r="D822" t="s">
        <v>965</v>
      </c>
      <c r="E822" t="s">
        <v>720</v>
      </c>
      <c r="F822" t="s">
        <v>721</v>
      </c>
      <c r="G822" t="s">
        <v>963</v>
      </c>
      <c r="H822">
        <v>91</v>
      </c>
      <c r="I822">
        <v>0.32559300000000002</v>
      </c>
      <c r="J822">
        <v>0.78248399999999996</v>
      </c>
      <c r="K822">
        <v>0.45689000000000002</v>
      </c>
      <c r="L822">
        <v>82</v>
      </c>
      <c r="M822">
        <v>4</v>
      </c>
      <c r="N822">
        <v>5</v>
      </c>
      <c r="O822">
        <v>0.77642199999999995</v>
      </c>
      <c r="P822">
        <v>0.45058300000000001</v>
      </c>
      <c r="Q822">
        <v>0.210176</v>
      </c>
    </row>
    <row r="823" spans="1:17" x14ac:dyDescent="0.25">
      <c r="A823" t="str">
        <f>IF(C823&amp;G823&amp;D823&lt;&gt;'Funnel setup'!$K$3&amp;'Funnel setup'!$K$4&amp;'Funnel setup'!$K$6,".",IF(A822=".",1,A822+1))</f>
        <v>.</v>
      </c>
      <c r="B823" s="244" t="str">
        <f t="shared" si="12"/>
        <v>Hip Replacement PrimaryProviderWORCESTERSHIRE ACUTE HOSPITALS NHS TRUST (RWP)EQ-5D Index</v>
      </c>
      <c r="C823" t="s">
        <v>749</v>
      </c>
      <c r="D823" t="s">
        <v>965</v>
      </c>
      <c r="E823" t="s">
        <v>722</v>
      </c>
      <c r="F823" t="s">
        <v>723</v>
      </c>
      <c r="G823" t="s">
        <v>963</v>
      </c>
      <c r="H823">
        <v>57</v>
      </c>
      <c r="I823">
        <v>0.170789</v>
      </c>
      <c r="J823">
        <v>0.71757899999999997</v>
      </c>
      <c r="K823">
        <v>0.54678899999999997</v>
      </c>
      <c r="L823">
        <v>50</v>
      </c>
      <c r="M823">
        <v>2</v>
      </c>
      <c r="N823">
        <v>5</v>
      </c>
      <c r="O823">
        <v>0.78026499999999999</v>
      </c>
      <c r="P823">
        <v>0.45442700000000003</v>
      </c>
      <c r="Q823">
        <v>0.251031</v>
      </c>
    </row>
    <row r="824" spans="1:17" x14ac:dyDescent="0.25">
      <c r="A824" t="str">
        <f>IF(C824&amp;G824&amp;D824&lt;&gt;'Funnel setup'!$K$3&amp;'Funnel setup'!$K$4&amp;'Funnel setup'!$K$6,".",IF(A823=".",1,A823+1))</f>
        <v>.</v>
      </c>
      <c r="B824" s="244" t="str">
        <f t="shared" si="12"/>
        <v>Hip Replacement PrimaryProviderWRIGHTINGTON, WIGAN AND LEIGH NHS FOUNDATION TRUST (RRF)EQ-5D Index</v>
      </c>
      <c r="C824" t="s">
        <v>749</v>
      </c>
      <c r="D824" t="s">
        <v>965</v>
      </c>
      <c r="E824" t="s">
        <v>724</v>
      </c>
      <c r="F824" t="s">
        <v>725</v>
      </c>
      <c r="G824" t="s">
        <v>963</v>
      </c>
      <c r="H824">
        <v>15</v>
      </c>
      <c r="I824">
        <v>0.242867</v>
      </c>
      <c r="J824">
        <v>0.94466700000000003</v>
      </c>
      <c r="K824">
        <v>0.70179999999999998</v>
      </c>
      <c r="L824">
        <v>15</v>
      </c>
      <c r="M824">
        <v>0</v>
      </c>
      <c r="N824">
        <v>0</v>
      </c>
      <c r="O824" t="s">
        <v>127</v>
      </c>
      <c r="P824" t="s">
        <v>127</v>
      </c>
      <c r="Q824" t="s">
        <v>127</v>
      </c>
    </row>
    <row r="825" spans="1:17" x14ac:dyDescent="0.25">
      <c r="A825" t="str">
        <f>IF(C825&amp;G825&amp;D825&lt;&gt;'Funnel setup'!$K$3&amp;'Funnel setup'!$K$4&amp;'Funnel setup'!$K$6,".",IF(A824=".",1,A824+1))</f>
        <v>.</v>
      </c>
      <c r="B825" s="244" t="str">
        <f t="shared" si="12"/>
        <v>Hip Replacement PrimaryProviderWYE VALLEY NHS TRUST (RLQ)EQ-5D Index</v>
      </c>
      <c r="C825" t="s">
        <v>749</v>
      </c>
      <c r="D825" t="s">
        <v>965</v>
      </c>
      <c r="E825" t="s">
        <v>726</v>
      </c>
      <c r="F825" t="s">
        <v>727</v>
      </c>
      <c r="G825" t="s">
        <v>963</v>
      </c>
      <c r="H825">
        <v>22</v>
      </c>
      <c r="I825">
        <v>0.14699999999999999</v>
      </c>
      <c r="J825">
        <v>0.75486399999999998</v>
      </c>
      <c r="K825">
        <v>0.60786399999999996</v>
      </c>
      <c r="L825">
        <v>21</v>
      </c>
      <c r="M825">
        <v>1</v>
      </c>
      <c r="N825">
        <v>0</v>
      </c>
      <c r="O825" t="s">
        <v>127</v>
      </c>
      <c r="P825" t="s">
        <v>127</v>
      </c>
      <c r="Q825" t="s">
        <v>127</v>
      </c>
    </row>
    <row r="826" spans="1:17" x14ac:dyDescent="0.25">
      <c r="A826" t="str">
        <f>IF(C826&amp;G826&amp;D826&lt;&gt;'Funnel setup'!$K$3&amp;'Funnel setup'!$K$4&amp;'Funnel setup'!$K$6,".",IF(A825=".",1,A825+1))</f>
        <v>.</v>
      </c>
      <c r="B826" s="244" t="str">
        <f t="shared" si="12"/>
        <v>Hip Replacement PrimaryProviderYORK AND SCARBOROUGH TEACHING HOSPITALS NHS FOUNDATION TRUST (RCB)EQ-5D Index</v>
      </c>
      <c r="C826" t="s">
        <v>749</v>
      </c>
      <c r="D826" t="s">
        <v>965</v>
      </c>
      <c r="E826" t="s">
        <v>730</v>
      </c>
      <c r="F826" t="s">
        <v>731</v>
      </c>
      <c r="G826" t="s">
        <v>963</v>
      </c>
      <c r="H826">
        <v>1</v>
      </c>
      <c r="I826">
        <v>-1.6E-2</v>
      </c>
      <c r="J826">
        <v>0.62</v>
      </c>
      <c r="K826">
        <v>0.63600000000000001</v>
      </c>
      <c r="L826">
        <v>1</v>
      </c>
      <c r="M826">
        <v>0</v>
      </c>
      <c r="N826">
        <v>0</v>
      </c>
      <c r="O826" t="s">
        <v>127</v>
      </c>
      <c r="P826" t="s">
        <v>127</v>
      </c>
      <c r="Q826" t="s">
        <v>127</v>
      </c>
    </row>
    <row r="827" spans="1:17" x14ac:dyDescent="0.25">
      <c r="A827" t="str">
        <f>IF(C827&amp;G827&amp;D827&lt;&gt;'Funnel setup'!$K$3&amp;'Funnel setup'!$K$4&amp;'Funnel setup'!$K$6,".",IF(A826=".",1,A826+1))</f>
        <v>.</v>
      </c>
      <c r="B827" s="244" t="str">
        <f t="shared" si="12"/>
        <v>Hip Replacement PrimaryProviderSULIS HOSPITAL BATHOxford Hip Score</v>
      </c>
      <c r="C827" t="s">
        <v>749</v>
      </c>
      <c r="D827" t="s">
        <v>965</v>
      </c>
      <c r="E827" t="s">
        <v>732</v>
      </c>
      <c r="F827" t="s">
        <v>1325</v>
      </c>
      <c r="G827" t="s">
        <v>964</v>
      </c>
      <c r="H827">
        <v>37</v>
      </c>
      <c r="I827">
        <v>17.216200000000001</v>
      </c>
      <c r="J827">
        <v>41.378399999999999</v>
      </c>
      <c r="K827">
        <v>24.162199999999999</v>
      </c>
      <c r="L827">
        <v>37</v>
      </c>
      <c r="M827">
        <v>0</v>
      </c>
      <c r="N827">
        <v>0</v>
      </c>
      <c r="O827">
        <v>40.856200000000001</v>
      </c>
      <c r="P827">
        <v>23.771899999999999</v>
      </c>
      <c r="Q827">
        <v>7.8200200000000004</v>
      </c>
    </row>
    <row r="828" spans="1:17" x14ac:dyDescent="0.25">
      <c r="A828" t="str">
        <f>IF(C828&amp;G828&amp;D828&lt;&gt;'Funnel setup'!$K$3&amp;'Funnel setup'!$K$4&amp;'Funnel setup'!$K$6,".",IF(A827=".",1,A827+1))</f>
        <v>.</v>
      </c>
      <c r="B828" s="244" t="str">
        <f t="shared" si="12"/>
        <v>Hip Replacement PrimaryProviderAIREDALE NHS FOUNDATION TRUST (RCF)Oxford Hip Score</v>
      </c>
      <c r="C828" t="s">
        <v>749</v>
      </c>
      <c r="D828" t="s">
        <v>965</v>
      </c>
      <c r="E828" t="s">
        <v>125</v>
      </c>
      <c r="F828" t="s">
        <v>126</v>
      </c>
      <c r="G828" t="s">
        <v>964</v>
      </c>
      <c r="H828">
        <v>42</v>
      </c>
      <c r="I828">
        <v>16.619</v>
      </c>
      <c r="J828">
        <v>39.381</v>
      </c>
      <c r="K828">
        <v>22.761900000000001</v>
      </c>
      <c r="L828">
        <v>40</v>
      </c>
      <c r="M828">
        <v>0</v>
      </c>
      <c r="N828">
        <v>2</v>
      </c>
      <c r="O828">
        <v>39.539900000000003</v>
      </c>
      <c r="P828">
        <v>22.4556</v>
      </c>
      <c r="Q828">
        <v>8.77698</v>
      </c>
    </row>
    <row r="829" spans="1:17" x14ac:dyDescent="0.25">
      <c r="A829" t="str">
        <f>IF(C829&amp;G829&amp;D829&lt;&gt;'Funnel setup'!$K$3&amp;'Funnel setup'!$K$4&amp;'Funnel setup'!$K$6,".",IF(A828=".",1,A828+1))</f>
        <v>.</v>
      </c>
      <c r="B829" s="244" t="str">
        <f t="shared" si="12"/>
        <v>Hip Replacement PrimaryProviderALEXANDRA HOSPITAL (NT401)Oxford Hip Score</v>
      </c>
      <c r="C829" t="s">
        <v>749</v>
      </c>
      <c r="D829" t="s">
        <v>965</v>
      </c>
      <c r="E829" t="s">
        <v>130</v>
      </c>
      <c r="F829" t="s">
        <v>131</v>
      </c>
      <c r="G829" t="s">
        <v>964</v>
      </c>
      <c r="H829">
        <v>30</v>
      </c>
      <c r="I829">
        <v>18.7</v>
      </c>
      <c r="J829">
        <v>42.133299999999998</v>
      </c>
      <c r="K829">
        <v>23.433299999999999</v>
      </c>
      <c r="L829">
        <v>30</v>
      </c>
      <c r="M829">
        <v>0</v>
      </c>
      <c r="N829">
        <v>0</v>
      </c>
      <c r="O829">
        <v>41.153199999999998</v>
      </c>
      <c r="P829">
        <v>24.068899999999999</v>
      </c>
      <c r="Q829">
        <v>6.4257799999999996</v>
      </c>
    </row>
    <row r="830" spans="1:17" x14ac:dyDescent="0.25">
      <c r="A830" t="str">
        <f>IF(C830&amp;G830&amp;D830&lt;&gt;'Funnel setup'!$K$3&amp;'Funnel setup'!$K$4&amp;'Funnel setup'!$K$6,".",IF(A829=".",1,A829+1))</f>
        <v>.</v>
      </c>
      <c r="B830" s="244" t="str">
        <f t="shared" si="12"/>
        <v>Hip Replacement PrimaryProviderASHFORD AND ST PETER'S HOSPITALS NHS FOUNDATION TRUST (RTK)Oxford Hip Score</v>
      </c>
      <c r="C830" t="s">
        <v>749</v>
      </c>
      <c r="D830" t="s">
        <v>965</v>
      </c>
      <c r="E830" t="s">
        <v>132</v>
      </c>
      <c r="F830" t="s">
        <v>133</v>
      </c>
      <c r="G830" t="s">
        <v>964</v>
      </c>
      <c r="H830">
        <v>66</v>
      </c>
      <c r="I830">
        <v>18.863600000000002</v>
      </c>
      <c r="J830">
        <v>42.030299999999997</v>
      </c>
      <c r="K830">
        <v>23.166699999999999</v>
      </c>
      <c r="L830">
        <v>65</v>
      </c>
      <c r="M830">
        <v>1</v>
      </c>
      <c r="N830">
        <v>0</v>
      </c>
      <c r="O830">
        <v>40.6678</v>
      </c>
      <c r="P830">
        <v>23.583500000000001</v>
      </c>
      <c r="Q830">
        <v>5.9609300000000003</v>
      </c>
    </row>
    <row r="831" spans="1:17" x14ac:dyDescent="0.25">
      <c r="A831" t="str">
        <f>IF(C831&amp;G831&amp;D831&lt;&gt;'Funnel setup'!$K$3&amp;'Funnel setup'!$K$4&amp;'Funnel setup'!$K$6,".",IF(A830=".",1,A830+1))</f>
        <v>.</v>
      </c>
      <c r="B831" s="244" t="str">
        <f t="shared" si="12"/>
        <v>Hip Replacement PrimaryProviderASHTEAD HOSPITAL (NVC01)Oxford Hip Score</v>
      </c>
      <c r="C831" t="s">
        <v>749</v>
      </c>
      <c r="D831" t="s">
        <v>965</v>
      </c>
      <c r="E831" t="s">
        <v>134</v>
      </c>
      <c r="F831" t="s">
        <v>135</v>
      </c>
      <c r="G831" t="s">
        <v>964</v>
      </c>
      <c r="H831">
        <v>12</v>
      </c>
      <c r="I831">
        <v>20.083300000000001</v>
      </c>
      <c r="J831">
        <v>44.333300000000001</v>
      </c>
      <c r="K831">
        <v>24.25</v>
      </c>
      <c r="L831">
        <v>12</v>
      </c>
      <c r="M831">
        <v>0</v>
      </c>
      <c r="N831">
        <v>0</v>
      </c>
      <c r="O831" t="s">
        <v>127</v>
      </c>
      <c r="P831" t="s">
        <v>127</v>
      </c>
      <c r="Q831" t="s">
        <v>127</v>
      </c>
    </row>
    <row r="832" spans="1:17" x14ac:dyDescent="0.25">
      <c r="A832" t="str">
        <f>IF(C832&amp;G832&amp;D832&lt;&gt;'Funnel setup'!$K$3&amp;'Funnel setup'!$K$4&amp;'Funnel setup'!$K$6,".",IF(A831=".",1,A831+1))</f>
        <v>.</v>
      </c>
      <c r="B832" s="244" t="str">
        <f t="shared" si="12"/>
        <v>Hip Replacement PrimaryProviderBARKING, HAVERING AND REDBRIDGE UNIVERSITY HOSPITALS NHS TRUST (RF4)Oxford Hip Score</v>
      </c>
      <c r="C832" t="s">
        <v>749</v>
      </c>
      <c r="D832" t="s">
        <v>965</v>
      </c>
      <c r="E832" t="s">
        <v>144</v>
      </c>
      <c r="F832" t="s">
        <v>145</v>
      </c>
      <c r="G832" t="s">
        <v>964</v>
      </c>
      <c r="H832">
        <v>54</v>
      </c>
      <c r="I832">
        <v>12.8148</v>
      </c>
      <c r="J832">
        <v>33.851900000000001</v>
      </c>
      <c r="K832">
        <v>21.036999999999999</v>
      </c>
      <c r="L832">
        <v>54</v>
      </c>
      <c r="M832">
        <v>0</v>
      </c>
      <c r="N832">
        <v>0</v>
      </c>
      <c r="O832">
        <v>36.267800000000001</v>
      </c>
      <c r="P832">
        <v>19.183499999999999</v>
      </c>
      <c r="Q832">
        <v>9.6210100000000001</v>
      </c>
    </row>
    <row r="833" spans="1:17" x14ac:dyDescent="0.25">
      <c r="A833" t="str">
        <f>IF(C833&amp;G833&amp;D833&lt;&gt;'Funnel setup'!$K$3&amp;'Funnel setup'!$K$4&amp;'Funnel setup'!$K$6,".",IF(A832=".",1,A832+1))</f>
        <v>.</v>
      </c>
      <c r="B833" s="244" t="str">
        <f t="shared" si="12"/>
        <v>Hip Replacement PrimaryProviderBARNSLEY HOSPITAL NHS FOUNDATION TRUST (RFF)Oxford Hip Score</v>
      </c>
      <c r="C833" t="s">
        <v>749</v>
      </c>
      <c r="D833" t="s">
        <v>965</v>
      </c>
      <c r="E833" t="s">
        <v>146</v>
      </c>
      <c r="F833" t="s">
        <v>147</v>
      </c>
      <c r="G833" t="s">
        <v>964</v>
      </c>
      <c r="H833">
        <v>45</v>
      </c>
      <c r="I833">
        <v>14.3111</v>
      </c>
      <c r="J833">
        <v>35.977800000000002</v>
      </c>
      <c r="K833">
        <v>21.666699999999999</v>
      </c>
      <c r="L833">
        <v>43</v>
      </c>
      <c r="M833">
        <v>0</v>
      </c>
      <c r="N833">
        <v>2</v>
      </c>
      <c r="O833">
        <v>38.250799999999998</v>
      </c>
      <c r="P833">
        <v>21.166499999999999</v>
      </c>
      <c r="Q833">
        <v>8.8255300000000005</v>
      </c>
    </row>
    <row r="834" spans="1:17" x14ac:dyDescent="0.25">
      <c r="A834" t="str">
        <f>IF(C834&amp;G834&amp;D834&lt;&gt;'Funnel setup'!$K$3&amp;'Funnel setup'!$K$4&amp;'Funnel setup'!$K$6,".",IF(A833=".",1,A833+1))</f>
        <v>.</v>
      </c>
      <c r="B834" s="244" t="str">
        <f t="shared" ref="B834:B897" si="13">C834&amp;D834&amp;F834&amp;G834</f>
        <v>Hip Replacement PrimaryProviderBARTS HEALTH NHS TRUST (R1H)Oxford Hip Score</v>
      </c>
      <c r="C834" t="s">
        <v>749</v>
      </c>
      <c r="D834" t="s">
        <v>965</v>
      </c>
      <c r="E834" t="s">
        <v>148</v>
      </c>
      <c r="F834" t="s">
        <v>149</v>
      </c>
      <c r="G834" t="s">
        <v>964</v>
      </c>
      <c r="H834">
        <v>39</v>
      </c>
      <c r="I834">
        <v>18.4359</v>
      </c>
      <c r="J834">
        <v>38.512799999999999</v>
      </c>
      <c r="K834">
        <v>20.076899999999998</v>
      </c>
      <c r="L834">
        <v>38</v>
      </c>
      <c r="M834">
        <v>0</v>
      </c>
      <c r="N834">
        <v>1</v>
      </c>
      <c r="O834">
        <v>39.067399999999999</v>
      </c>
      <c r="P834">
        <v>21.9831</v>
      </c>
      <c r="Q834">
        <v>8.1764299999999999</v>
      </c>
    </row>
    <row r="835" spans="1:17" x14ac:dyDescent="0.25">
      <c r="A835" t="str">
        <f>IF(C835&amp;G835&amp;D835&lt;&gt;'Funnel setup'!$K$3&amp;'Funnel setup'!$K$4&amp;'Funnel setup'!$K$6,".",IF(A834=".",1,A834+1))</f>
        <v>.</v>
      </c>
      <c r="B835" s="244" t="str">
        <f t="shared" si="13"/>
        <v>Hip Replacement PrimaryProviderBATH CLINIC (NT402)Oxford Hip Score</v>
      </c>
      <c r="C835" t="s">
        <v>749</v>
      </c>
      <c r="D835" t="s">
        <v>965</v>
      </c>
      <c r="E835" t="s">
        <v>152</v>
      </c>
      <c r="F835" t="s">
        <v>153</v>
      </c>
      <c r="G835" t="s">
        <v>964</v>
      </c>
      <c r="H835">
        <v>79</v>
      </c>
      <c r="I835">
        <v>17.518999999999998</v>
      </c>
      <c r="J835">
        <v>42.113900000000001</v>
      </c>
      <c r="K835">
        <v>24.594899999999999</v>
      </c>
      <c r="L835">
        <v>78</v>
      </c>
      <c r="M835">
        <v>0</v>
      </c>
      <c r="N835">
        <v>1</v>
      </c>
      <c r="O835">
        <v>39.917200000000001</v>
      </c>
      <c r="P835">
        <v>22.832899999999999</v>
      </c>
      <c r="Q835">
        <v>7.5853299999999999</v>
      </c>
    </row>
    <row r="836" spans="1:17" x14ac:dyDescent="0.25">
      <c r="A836" t="str">
        <f>IF(C836&amp;G836&amp;D836&lt;&gt;'Funnel setup'!$K$3&amp;'Funnel setup'!$K$4&amp;'Funnel setup'!$K$6,".",IF(A835=".",1,A835+1))</f>
        <v>.</v>
      </c>
      <c r="B836" s="244" t="str">
        <f t="shared" si="13"/>
        <v>Hip Replacement PrimaryProviderBEARDWOOD HOSPITAL (NT403)Oxford Hip Score</v>
      </c>
      <c r="C836" t="s">
        <v>749</v>
      </c>
      <c r="D836" t="s">
        <v>965</v>
      </c>
      <c r="E836" t="s">
        <v>154</v>
      </c>
      <c r="F836" t="s">
        <v>155</v>
      </c>
      <c r="G836" t="s">
        <v>964</v>
      </c>
      <c r="H836">
        <v>86</v>
      </c>
      <c r="I836">
        <v>19.2791</v>
      </c>
      <c r="J836">
        <v>41.7791</v>
      </c>
      <c r="K836">
        <v>22.5</v>
      </c>
      <c r="L836">
        <v>83</v>
      </c>
      <c r="M836">
        <v>1</v>
      </c>
      <c r="N836">
        <v>2</v>
      </c>
      <c r="O836">
        <v>40.5976</v>
      </c>
      <c r="P836">
        <v>23.513300000000001</v>
      </c>
      <c r="Q836">
        <v>6.9363900000000003</v>
      </c>
    </row>
    <row r="837" spans="1:17" x14ac:dyDescent="0.25">
      <c r="A837" t="str">
        <f>IF(C837&amp;G837&amp;D837&lt;&gt;'Funnel setup'!$K$3&amp;'Funnel setup'!$K$4&amp;'Funnel setup'!$K$6,".",IF(A836=".",1,A836+1))</f>
        <v>.</v>
      </c>
      <c r="B837" s="244" t="str">
        <f t="shared" si="13"/>
        <v>Hip Replacement PrimaryProviderBEAUMONT HOSPITAL (NT404)Oxford Hip Score</v>
      </c>
      <c r="C837" t="s">
        <v>749</v>
      </c>
      <c r="D837" t="s">
        <v>965</v>
      </c>
      <c r="E837" t="s">
        <v>156</v>
      </c>
      <c r="F837" t="s">
        <v>157</v>
      </c>
      <c r="G837" t="s">
        <v>964</v>
      </c>
      <c r="H837">
        <v>15</v>
      </c>
      <c r="I837">
        <v>19.866700000000002</v>
      </c>
      <c r="J837">
        <v>43.2</v>
      </c>
      <c r="K837">
        <v>23.333300000000001</v>
      </c>
      <c r="L837">
        <v>15</v>
      </c>
      <c r="M837">
        <v>0</v>
      </c>
      <c r="N837">
        <v>0</v>
      </c>
      <c r="O837" t="s">
        <v>127</v>
      </c>
      <c r="P837" t="s">
        <v>127</v>
      </c>
      <c r="Q837" t="s">
        <v>127</v>
      </c>
    </row>
    <row r="838" spans="1:17" x14ac:dyDescent="0.25">
      <c r="A838" t="str">
        <f>IF(C838&amp;G838&amp;D838&lt;&gt;'Funnel setup'!$K$3&amp;'Funnel setup'!$K$4&amp;'Funnel setup'!$K$6,".",IF(A837=".",1,A837+1))</f>
        <v>.</v>
      </c>
      <c r="B838" s="244" t="str">
        <f t="shared" si="13"/>
        <v>Hip Replacement PrimaryProviderBEDFORDSHIRE HOSPITALS NHS FOUNDATION TRUST (RC9)Oxford Hip Score</v>
      </c>
      <c r="C838" t="s">
        <v>749</v>
      </c>
      <c r="D838" t="s">
        <v>965</v>
      </c>
      <c r="E838" t="s">
        <v>158</v>
      </c>
      <c r="F838" t="s">
        <v>159</v>
      </c>
      <c r="G838" t="s">
        <v>964</v>
      </c>
      <c r="H838">
        <v>128</v>
      </c>
      <c r="I838">
        <v>15.609400000000001</v>
      </c>
      <c r="J838">
        <v>37.109400000000001</v>
      </c>
      <c r="K838">
        <v>21.5</v>
      </c>
      <c r="L838">
        <v>123</v>
      </c>
      <c r="M838">
        <v>0</v>
      </c>
      <c r="N838">
        <v>5</v>
      </c>
      <c r="O838">
        <v>38.282400000000003</v>
      </c>
      <c r="P838">
        <v>21.1981</v>
      </c>
      <c r="Q838">
        <v>9.4450599999999998</v>
      </c>
    </row>
    <row r="839" spans="1:17" x14ac:dyDescent="0.25">
      <c r="A839" t="str">
        <f>IF(C839&amp;G839&amp;D839&lt;&gt;'Funnel setup'!$K$3&amp;'Funnel setup'!$K$4&amp;'Funnel setup'!$K$6,".",IF(A838=".",1,A838+1))</f>
        <v>.</v>
      </c>
      <c r="B839" s="244" t="str">
        <f t="shared" si="13"/>
        <v>Hip Replacement PrimaryProviderBENENDEN HOSPITAL (NWF01)Oxford Hip Score</v>
      </c>
      <c r="C839" t="s">
        <v>749</v>
      </c>
      <c r="D839" t="s">
        <v>965</v>
      </c>
      <c r="E839" t="s">
        <v>160</v>
      </c>
      <c r="F839" t="s">
        <v>161</v>
      </c>
      <c r="G839" t="s">
        <v>964</v>
      </c>
      <c r="H839">
        <v>20</v>
      </c>
      <c r="I839">
        <v>19.149999999999999</v>
      </c>
      <c r="J839">
        <v>39.299999999999997</v>
      </c>
      <c r="K839">
        <v>20.149999999999999</v>
      </c>
      <c r="L839">
        <v>20</v>
      </c>
      <c r="M839">
        <v>0</v>
      </c>
      <c r="N839">
        <v>0</v>
      </c>
      <c r="O839" t="s">
        <v>127</v>
      </c>
      <c r="P839" t="s">
        <v>127</v>
      </c>
      <c r="Q839" t="s">
        <v>127</v>
      </c>
    </row>
    <row r="840" spans="1:17" x14ac:dyDescent="0.25">
      <c r="A840" t="str">
        <f>IF(C840&amp;G840&amp;D840&lt;&gt;'Funnel setup'!$K$3&amp;'Funnel setup'!$K$4&amp;'Funnel setup'!$K$6,".",IF(A839=".",1,A839+1))</f>
        <v>.</v>
      </c>
      <c r="B840" s="244" t="str">
        <f t="shared" si="13"/>
        <v>Hip Replacement PrimaryProviderBISHOPS WOOD HOSPITAL (NT405)Oxford Hip Score</v>
      </c>
      <c r="C840" t="s">
        <v>749</v>
      </c>
      <c r="D840" t="s">
        <v>965</v>
      </c>
      <c r="E840" t="s">
        <v>166</v>
      </c>
      <c r="F840" t="s">
        <v>167</v>
      </c>
      <c r="G840" t="s">
        <v>964</v>
      </c>
      <c r="H840">
        <v>4</v>
      </c>
      <c r="I840">
        <v>23.25</v>
      </c>
      <c r="J840">
        <v>39.75</v>
      </c>
      <c r="K840">
        <v>16.5</v>
      </c>
      <c r="L840">
        <v>4</v>
      </c>
      <c r="M840">
        <v>0</v>
      </c>
      <c r="N840">
        <v>0</v>
      </c>
      <c r="O840" t="s">
        <v>127</v>
      </c>
      <c r="P840" t="s">
        <v>127</v>
      </c>
      <c r="Q840" t="s">
        <v>127</v>
      </c>
    </row>
    <row r="841" spans="1:17" x14ac:dyDescent="0.25">
      <c r="A841" t="str">
        <f>IF(C841&amp;G841&amp;D841&lt;&gt;'Funnel setup'!$K$3&amp;'Funnel setup'!$K$4&amp;'Funnel setup'!$K$6,".",IF(A840=".",1,A840+1))</f>
        <v>.</v>
      </c>
      <c r="B841" s="244" t="str">
        <f t="shared" si="13"/>
        <v>Hip Replacement PrimaryProviderBLACKHEATH HOSPITAL (NT406)Oxford Hip Score</v>
      </c>
      <c r="C841" t="s">
        <v>749</v>
      </c>
      <c r="D841" t="s">
        <v>965</v>
      </c>
      <c r="E841" t="s">
        <v>168</v>
      </c>
      <c r="F841" t="s">
        <v>169</v>
      </c>
      <c r="G841" t="s">
        <v>964</v>
      </c>
      <c r="H841">
        <v>14</v>
      </c>
      <c r="I841">
        <v>17.214300000000001</v>
      </c>
      <c r="J841">
        <v>40.642899999999997</v>
      </c>
      <c r="K841">
        <v>23.428599999999999</v>
      </c>
      <c r="L841">
        <v>13</v>
      </c>
      <c r="M841">
        <v>0</v>
      </c>
      <c r="N841">
        <v>1</v>
      </c>
      <c r="O841" t="s">
        <v>127</v>
      </c>
      <c r="P841" t="s">
        <v>127</v>
      </c>
      <c r="Q841" t="s">
        <v>127</v>
      </c>
    </row>
    <row r="842" spans="1:17" x14ac:dyDescent="0.25">
      <c r="A842" t="str">
        <f>IF(C842&amp;G842&amp;D842&lt;&gt;'Funnel setup'!$K$3&amp;'Funnel setup'!$K$4&amp;'Funnel setup'!$K$6,".",IF(A841=".",1,A841+1))</f>
        <v>.</v>
      </c>
      <c r="B842" s="244" t="str">
        <f t="shared" si="13"/>
        <v>Hip Replacement PrimaryProviderBLACKPOOL TEACHING HOSPITALS NHS FOUNDATION TRUST (RXL)Oxford Hip Score</v>
      </c>
      <c r="C842" t="s">
        <v>749</v>
      </c>
      <c r="D842" t="s">
        <v>965</v>
      </c>
      <c r="E842" t="s">
        <v>170</v>
      </c>
      <c r="F842" t="s">
        <v>171</v>
      </c>
      <c r="G842" t="s">
        <v>964</v>
      </c>
      <c r="H842">
        <v>55</v>
      </c>
      <c r="I842">
        <v>19.2364</v>
      </c>
      <c r="J842">
        <v>36.2545</v>
      </c>
      <c r="K842">
        <v>17.0182</v>
      </c>
      <c r="L842">
        <v>52</v>
      </c>
      <c r="M842">
        <v>0</v>
      </c>
      <c r="N842">
        <v>3</v>
      </c>
      <c r="O842">
        <v>36.982399999999998</v>
      </c>
      <c r="P842">
        <v>19.898099999999999</v>
      </c>
      <c r="Q842">
        <v>8.4859100000000005</v>
      </c>
    </row>
    <row r="843" spans="1:17" x14ac:dyDescent="0.25">
      <c r="A843" t="str">
        <f>IF(C843&amp;G843&amp;D843&lt;&gt;'Funnel setup'!$K$3&amp;'Funnel setup'!$K$4&amp;'Funnel setup'!$K$6,".",IF(A842=".",1,A842+1))</f>
        <v>.</v>
      </c>
      <c r="B843" s="244" t="str">
        <f t="shared" si="13"/>
        <v>Hip Replacement PrimaryProviderBOLTON NHS FOUNDATION TRUST (RMC)Oxford Hip Score</v>
      </c>
      <c r="C843" t="s">
        <v>749</v>
      </c>
      <c r="D843" t="s">
        <v>965</v>
      </c>
      <c r="E843" t="s">
        <v>172</v>
      </c>
      <c r="F843" t="s">
        <v>173</v>
      </c>
      <c r="G843" t="s">
        <v>964</v>
      </c>
      <c r="H843">
        <v>44</v>
      </c>
      <c r="I843">
        <v>15.931800000000001</v>
      </c>
      <c r="J843">
        <v>37.181800000000003</v>
      </c>
      <c r="K843">
        <v>21.25</v>
      </c>
      <c r="L843">
        <v>44</v>
      </c>
      <c r="M843">
        <v>0</v>
      </c>
      <c r="N843">
        <v>0</v>
      </c>
      <c r="O843">
        <v>38.947200000000002</v>
      </c>
      <c r="P843">
        <v>21.8629</v>
      </c>
      <c r="Q843">
        <v>8.6993399999999994</v>
      </c>
    </row>
    <row r="844" spans="1:17" x14ac:dyDescent="0.25">
      <c r="A844" t="str">
        <f>IF(C844&amp;G844&amp;D844&lt;&gt;'Funnel setup'!$K$3&amp;'Funnel setup'!$K$4&amp;'Funnel setup'!$K$6,".",IF(A843=".",1,A843+1))</f>
        <v>.</v>
      </c>
      <c r="B844" s="244" t="str">
        <f t="shared" si="13"/>
        <v>Hip Replacement PrimaryProviderBRADFORD TEACHING HOSPITALS NHS FOUNDATION TRUST (RAE)Oxford Hip Score</v>
      </c>
      <c r="C844" t="s">
        <v>749</v>
      </c>
      <c r="D844" t="s">
        <v>965</v>
      </c>
      <c r="E844" t="s">
        <v>174</v>
      </c>
      <c r="F844" t="s">
        <v>175</v>
      </c>
      <c r="G844" t="s">
        <v>964</v>
      </c>
      <c r="H844">
        <v>2</v>
      </c>
      <c r="I844">
        <v>8.5</v>
      </c>
      <c r="J844">
        <v>35</v>
      </c>
      <c r="K844">
        <v>26.5</v>
      </c>
      <c r="L844">
        <v>2</v>
      </c>
      <c r="M844">
        <v>0</v>
      </c>
      <c r="N844">
        <v>0</v>
      </c>
      <c r="O844" t="s">
        <v>127</v>
      </c>
      <c r="P844" t="s">
        <v>127</v>
      </c>
      <c r="Q844" t="s">
        <v>127</v>
      </c>
    </row>
    <row r="845" spans="1:17" x14ac:dyDescent="0.25">
      <c r="A845" t="str">
        <f>IF(C845&amp;G845&amp;D845&lt;&gt;'Funnel setup'!$K$3&amp;'Funnel setup'!$K$4&amp;'Funnel setup'!$K$6,".",IF(A844=".",1,A844+1))</f>
        <v>.</v>
      </c>
      <c r="B845" s="244" t="str">
        <f t="shared" si="13"/>
        <v>Hip Replacement PrimaryProviderBUCKINGHAMSHIRE HEALTHCARE NHS TRUST (RXQ)Oxford Hip Score</v>
      </c>
      <c r="C845" t="s">
        <v>749</v>
      </c>
      <c r="D845" t="s">
        <v>965</v>
      </c>
      <c r="E845" t="s">
        <v>178</v>
      </c>
      <c r="F845" t="s">
        <v>179</v>
      </c>
      <c r="G845" t="s">
        <v>964</v>
      </c>
      <c r="H845">
        <v>89</v>
      </c>
      <c r="I845">
        <v>15.9438</v>
      </c>
      <c r="J845">
        <v>37.056199999999997</v>
      </c>
      <c r="K845">
        <v>21.112400000000001</v>
      </c>
      <c r="L845">
        <v>83</v>
      </c>
      <c r="M845">
        <v>0</v>
      </c>
      <c r="N845">
        <v>6</v>
      </c>
      <c r="O845">
        <v>37.949300000000001</v>
      </c>
      <c r="P845">
        <v>20.864999999999998</v>
      </c>
      <c r="Q845">
        <v>10.498900000000001</v>
      </c>
    </row>
    <row r="846" spans="1:17" x14ac:dyDescent="0.25">
      <c r="A846" t="str">
        <f>IF(C846&amp;G846&amp;D846&lt;&gt;'Funnel setup'!$K$3&amp;'Funnel setup'!$K$4&amp;'Funnel setup'!$K$6,".",IF(A845=".",1,A845+1))</f>
        <v>.</v>
      </c>
      <c r="B846" s="244" t="str">
        <f t="shared" si="13"/>
        <v>Hip Replacement PrimaryProviderCALDERDALE AND HUDDERSFIELD NHS FOUNDATION TRUST (RWY)Oxford Hip Score</v>
      </c>
      <c r="C846" t="s">
        <v>749</v>
      </c>
      <c r="D846" t="s">
        <v>965</v>
      </c>
      <c r="E846" t="s">
        <v>180</v>
      </c>
      <c r="F846" t="s">
        <v>181</v>
      </c>
      <c r="G846" t="s">
        <v>964</v>
      </c>
      <c r="H846">
        <v>100</v>
      </c>
      <c r="I846">
        <v>17.809999999999999</v>
      </c>
      <c r="J846">
        <v>40.520000000000003</v>
      </c>
      <c r="K846">
        <v>22.71</v>
      </c>
      <c r="L846">
        <v>98</v>
      </c>
      <c r="M846">
        <v>2</v>
      </c>
      <c r="N846">
        <v>0</v>
      </c>
      <c r="O846">
        <v>40.636200000000002</v>
      </c>
      <c r="P846">
        <v>23.5519</v>
      </c>
      <c r="Q846">
        <v>7.4329999999999998</v>
      </c>
    </row>
    <row r="847" spans="1:17" x14ac:dyDescent="0.25">
      <c r="A847" t="str">
        <f>IF(C847&amp;G847&amp;D847&lt;&gt;'Funnel setup'!$K$3&amp;'Funnel setup'!$K$4&amp;'Funnel setup'!$K$6,".",IF(A846=".",1,A846+1))</f>
        <v>.</v>
      </c>
      <c r="B847" s="244" t="str">
        <f t="shared" si="13"/>
        <v>Hip Replacement PrimaryProviderCAMBRIDGE UNIVERSITY HOSPITALS NHS FOUNDATION TRUST (RGT)Oxford Hip Score</v>
      </c>
      <c r="C847" t="s">
        <v>749</v>
      </c>
      <c r="D847" t="s">
        <v>965</v>
      </c>
      <c r="E847" t="s">
        <v>182</v>
      </c>
      <c r="F847" t="s">
        <v>183</v>
      </c>
      <c r="G847" t="s">
        <v>964</v>
      </c>
      <c r="H847">
        <v>68</v>
      </c>
      <c r="I847">
        <v>13.3971</v>
      </c>
      <c r="J847">
        <v>38.985300000000002</v>
      </c>
      <c r="K847">
        <v>25.588200000000001</v>
      </c>
      <c r="L847">
        <v>67</v>
      </c>
      <c r="M847">
        <v>1</v>
      </c>
      <c r="N847">
        <v>0</v>
      </c>
      <c r="O847">
        <v>40.673200000000001</v>
      </c>
      <c r="P847">
        <v>23.588899999999999</v>
      </c>
      <c r="Q847">
        <v>7.4754800000000001</v>
      </c>
    </row>
    <row r="848" spans="1:17" x14ac:dyDescent="0.25">
      <c r="A848" t="str">
        <f>IF(C848&amp;G848&amp;D848&lt;&gt;'Funnel setup'!$K$3&amp;'Funnel setup'!$K$4&amp;'Funnel setup'!$K$6,".",IF(A847=".",1,A847+1))</f>
        <v>.</v>
      </c>
      <c r="B848" s="244" t="str">
        <f t="shared" si="13"/>
        <v>Hip Replacement PrimaryProviderCAVELL HOSPITAL (NT451)Oxford Hip Score</v>
      </c>
      <c r="C848" t="s">
        <v>749</v>
      </c>
      <c r="D848" t="s">
        <v>965</v>
      </c>
      <c r="E848" t="s">
        <v>184</v>
      </c>
      <c r="F848" t="s">
        <v>185</v>
      </c>
      <c r="G848" t="s">
        <v>964</v>
      </c>
      <c r="H848">
        <v>17</v>
      </c>
      <c r="I848">
        <v>17.588200000000001</v>
      </c>
      <c r="J848">
        <v>41.411799999999999</v>
      </c>
      <c r="K848">
        <v>23.823499999999999</v>
      </c>
      <c r="L848">
        <v>17</v>
      </c>
      <c r="M848">
        <v>0</v>
      </c>
      <c r="N848">
        <v>0</v>
      </c>
      <c r="O848" t="s">
        <v>127</v>
      </c>
      <c r="P848" t="s">
        <v>127</v>
      </c>
      <c r="Q848" t="s">
        <v>127</v>
      </c>
    </row>
    <row r="849" spans="1:17" x14ac:dyDescent="0.25">
      <c r="A849" t="str">
        <f>IF(C849&amp;G849&amp;D849&lt;&gt;'Funnel setup'!$K$3&amp;'Funnel setup'!$K$4&amp;'Funnel setup'!$K$6,".",IF(A848=".",1,A848+1))</f>
        <v>.</v>
      </c>
      <c r="B849" s="244" t="str">
        <f t="shared" si="13"/>
        <v>Hip Replacement PrimaryProviderCHAUCER HOSPITAL (NT408)Oxford Hip Score</v>
      </c>
      <c r="C849" t="s">
        <v>749</v>
      </c>
      <c r="D849" t="s">
        <v>965</v>
      </c>
      <c r="E849" t="s">
        <v>186</v>
      </c>
      <c r="F849" t="s">
        <v>187</v>
      </c>
      <c r="G849" t="s">
        <v>964</v>
      </c>
      <c r="H849">
        <v>31</v>
      </c>
      <c r="I849">
        <v>18.645199999999999</v>
      </c>
      <c r="J849">
        <v>42.258099999999999</v>
      </c>
      <c r="K849">
        <v>23.6129</v>
      </c>
      <c r="L849">
        <v>30</v>
      </c>
      <c r="M849">
        <v>1</v>
      </c>
      <c r="N849">
        <v>0</v>
      </c>
      <c r="O849">
        <v>41.256399999999999</v>
      </c>
      <c r="P849">
        <v>24.1721</v>
      </c>
      <c r="Q849">
        <v>6.5385999999999997</v>
      </c>
    </row>
    <row r="850" spans="1:17" x14ac:dyDescent="0.25">
      <c r="A850" t="str">
        <f>IF(C850&amp;G850&amp;D850&lt;&gt;'Funnel setup'!$K$3&amp;'Funnel setup'!$K$4&amp;'Funnel setup'!$K$6,".",IF(A849=".",1,A849+1))</f>
        <v>.</v>
      </c>
      <c r="B850" s="244" t="str">
        <f t="shared" si="13"/>
        <v>Hip Replacement PrimaryProviderCHELSEA AND WESTMINSTER HOSPITAL NHS FOUNDATION TRUST (RQM)Oxford Hip Score</v>
      </c>
      <c r="C850" t="s">
        <v>749</v>
      </c>
      <c r="D850" t="s">
        <v>965</v>
      </c>
      <c r="E850" t="s">
        <v>188</v>
      </c>
      <c r="F850" t="s">
        <v>189</v>
      </c>
      <c r="G850" t="s">
        <v>964</v>
      </c>
      <c r="H850">
        <v>19</v>
      </c>
      <c r="I850">
        <v>15</v>
      </c>
      <c r="J850">
        <v>40.421100000000003</v>
      </c>
      <c r="K850">
        <v>25.421099999999999</v>
      </c>
      <c r="L850">
        <v>19</v>
      </c>
      <c r="M850">
        <v>0</v>
      </c>
      <c r="N850">
        <v>0</v>
      </c>
      <c r="O850" t="s">
        <v>127</v>
      </c>
      <c r="P850" t="s">
        <v>127</v>
      </c>
      <c r="Q850" t="s">
        <v>127</v>
      </c>
    </row>
    <row r="851" spans="1:17" x14ac:dyDescent="0.25">
      <c r="A851" t="str">
        <f>IF(C851&amp;G851&amp;D851&lt;&gt;'Funnel setup'!$K$3&amp;'Funnel setup'!$K$4&amp;'Funnel setup'!$K$6,".",IF(A850=".",1,A850+1))</f>
        <v>.</v>
      </c>
      <c r="B851" s="244" t="str">
        <f t="shared" si="13"/>
        <v>Hip Replacement PrimaryProviderCHELSFIELD PARK HOSPITAL (NT409)Oxford Hip Score</v>
      </c>
      <c r="C851" t="s">
        <v>749</v>
      </c>
      <c r="D851" t="s">
        <v>965</v>
      </c>
      <c r="E851" t="s">
        <v>190</v>
      </c>
      <c r="F851" t="s">
        <v>191</v>
      </c>
      <c r="G851" t="s">
        <v>964</v>
      </c>
      <c r="H851">
        <v>34</v>
      </c>
      <c r="I851">
        <v>21.176500000000001</v>
      </c>
      <c r="J851">
        <v>42.529400000000003</v>
      </c>
      <c r="K851">
        <v>21.352900000000002</v>
      </c>
      <c r="L851">
        <v>34</v>
      </c>
      <c r="M851">
        <v>0</v>
      </c>
      <c r="N851">
        <v>0</v>
      </c>
      <c r="O851">
        <v>40.146299999999997</v>
      </c>
      <c r="P851">
        <v>23.062000000000001</v>
      </c>
      <c r="Q851">
        <v>7.68126</v>
      </c>
    </row>
    <row r="852" spans="1:17" x14ac:dyDescent="0.25">
      <c r="A852" t="str">
        <f>IF(C852&amp;G852&amp;D852&lt;&gt;'Funnel setup'!$K$3&amp;'Funnel setup'!$K$4&amp;'Funnel setup'!$K$6,".",IF(A851=".",1,A851+1))</f>
        <v>.</v>
      </c>
      <c r="B852" s="244" t="str">
        <f t="shared" si="13"/>
        <v>Hip Replacement PrimaryProviderCHESTERFIELD ROYAL HOSPITAL NHS FOUNDATION TRUST (RFS)Oxford Hip Score</v>
      </c>
      <c r="C852" t="s">
        <v>749</v>
      </c>
      <c r="D852" t="s">
        <v>965</v>
      </c>
      <c r="E852" t="s">
        <v>192</v>
      </c>
      <c r="F852" t="s">
        <v>193</v>
      </c>
      <c r="G852" t="s">
        <v>964</v>
      </c>
      <c r="H852">
        <v>61</v>
      </c>
      <c r="I852">
        <v>14.311500000000001</v>
      </c>
      <c r="J852">
        <v>36.557400000000001</v>
      </c>
      <c r="K852">
        <v>22.245899999999999</v>
      </c>
      <c r="L852">
        <v>59</v>
      </c>
      <c r="M852">
        <v>0</v>
      </c>
      <c r="N852">
        <v>2</v>
      </c>
      <c r="O852">
        <v>38.326999999999998</v>
      </c>
      <c r="P852">
        <v>21.242699999999999</v>
      </c>
      <c r="Q852">
        <v>9.6940299999999997</v>
      </c>
    </row>
    <row r="853" spans="1:17" x14ac:dyDescent="0.25">
      <c r="A853" t="str">
        <f>IF(C853&amp;G853&amp;D853&lt;&gt;'Funnel setup'!$K$3&amp;'Funnel setup'!$K$4&amp;'Funnel setup'!$K$6,".",IF(A852=".",1,A852+1))</f>
        <v>.</v>
      </c>
      <c r="B853" s="244" t="str">
        <f t="shared" si="13"/>
        <v>Hip Replacement PrimaryProviderCHILTERN HOSPITAL (NT410)Oxford Hip Score</v>
      </c>
      <c r="C853" t="s">
        <v>749</v>
      </c>
      <c r="D853" t="s">
        <v>965</v>
      </c>
      <c r="E853" t="s">
        <v>194</v>
      </c>
      <c r="F853" t="s">
        <v>195</v>
      </c>
      <c r="G853" t="s">
        <v>964</v>
      </c>
      <c r="H853">
        <v>78</v>
      </c>
      <c r="I853">
        <v>19.359000000000002</v>
      </c>
      <c r="J853">
        <v>41.538499999999999</v>
      </c>
      <c r="K853">
        <v>22.179500000000001</v>
      </c>
      <c r="L853">
        <v>76</v>
      </c>
      <c r="M853">
        <v>1</v>
      </c>
      <c r="N853">
        <v>1</v>
      </c>
      <c r="O853">
        <v>39.667999999999999</v>
      </c>
      <c r="P853">
        <v>22.5837</v>
      </c>
      <c r="Q853">
        <v>6.5908800000000003</v>
      </c>
    </row>
    <row r="854" spans="1:17" x14ac:dyDescent="0.25">
      <c r="A854" t="str">
        <f>IF(C854&amp;G854&amp;D854&lt;&gt;'Funnel setup'!$K$3&amp;'Funnel setup'!$K$4&amp;'Funnel setup'!$K$6,".",IF(A853=".",1,A853+1))</f>
        <v>.</v>
      </c>
      <c r="B854" s="244" t="str">
        <f t="shared" si="13"/>
        <v>Hip Replacement PrimaryProviderCIRCLE BATH HOSPITAL (NV302)Oxford Hip Score</v>
      </c>
      <c r="C854" t="s">
        <v>749</v>
      </c>
      <c r="D854" t="s">
        <v>965</v>
      </c>
      <c r="E854" t="s">
        <v>196</v>
      </c>
      <c r="F854" t="s">
        <v>197</v>
      </c>
      <c r="G854" t="s">
        <v>964</v>
      </c>
      <c r="H854">
        <v>12</v>
      </c>
      <c r="I854">
        <v>23.583300000000001</v>
      </c>
      <c r="J854">
        <v>45.166699999999999</v>
      </c>
      <c r="K854">
        <v>21.583300000000001</v>
      </c>
      <c r="L854">
        <v>12</v>
      </c>
      <c r="M854">
        <v>0</v>
      </c>
      <c r="N854">
        <v>0</v>
      </c>
      <c r="O854" t="s">
        <v>127</v>
      </c>
      <c r="P854" t="s">
        <v>127</v>
      </c>
      <c r="Q854" t="s">
        <v>127</v>
      </c>
    </row>
    <row r="855" spans="1:17" x14ac:dyDescent="0.25">
      <c r="A855" t="str">
        <f>IF(C855&amp;G855&amp;D855&lt;&gt;'Funnel setup'!$K$3&amp;'Funnel setup'!$K$4&amp;'Funnel setup'!$K$6,".",IF(A854=".",1,A854+1))</f>
        <v>.</v>
      </c>
      <c r="B855" s="244" t="str">
        <f t="shared" si="13"/>
        <v>Hip Replacement PrimaryProviderCIRCLE READING HOSPITAL (NV323)Oxford Hip Score</v>
      </c>
      <c r="C855" t="s">
        <v>749</v>
      </c>
      <c r="D855" t="s">
        <v>965</v>
      </c>
      <c r="E855" t="s">
        <v>198</v>
      </c>
      <c r="F855" t="s">
        <v>199</v>
      </c>
      <c r="G855" t="s">
        <v>964</v>
      </c>
      <c r="H855">
        <v>74</v>
      </c>
      <c r="I855">
        <v>20.824300000000001</v>
      </c>
      <c r="J855">
        <v>43.027000000000001</v>
      </c>
      <c r="K855">
        <v>22.2027</v>
      </c>
      <c r="L855">
        <v>71</v>
      </c>
      <c r="M855">
        <v>0</v>
      </c>
      <c r="N855">
        <v>3</v>
      </c>
      <c r="O855">
        <v>40.843800000000002</v>
      </c>
      <c r="P855">
        <v>23.759499999999999</v>
      </c>
      <c r="Q855">
        <v>7.5219399999999998</v>
      </c>
    </row>
    <row r="856" spans="1:17" x14ac:dyDescent="0.25">
      <c r="A856" t="str">
        <f>IF(C856&amp;G856&amp;D856&lt;&gt;'Funnel setup'!$K$3&amp;'Funnel setup'!$K$4&amp;'Funnel setup'!$K$6,".",IF(A855=".",1,A855+1))</f>
        <v>.</v>
      </c>
      <c r="B856" s="244" t="str">
        <f t="shared" si="13"/>
        <v>Hip Replacement PrimaryProviderCLEMENTINE CHURCHILL HOSPITAL (NT411)Oxford Hip Score</v>
      </c>
      <c r="C856" t="s">
        <v>749</v>
      </c>
      <c r="D856" t="s">
        <v>965</v>
      </c>
      <c r="E856" t="s">
        <v>200</v>
      </c>
      <c r="F856" t="s">
        <v>201</v>
      </c>
      <c r="G856" t="s">
        <v>964</v>
      </c>
      <c r="H856">
        <v>25</v>
      </c>
      <c r="I856">
        <v>21.68</v>
      </c>
      <c r="J856">
        <v>40.56</v>
      </c>
      <c r="K856">
        <v>18.88</v>
      </c>
      <c r="L856">
        <v>24</v>
      </c>
      <c r="M856">
        <v>0</v>
      </c>
      <c r="N856">
        <v>1</v>
      </c>
      <c r="O856" t="s">
        <v>127</v>
      </c>
      <c r="P856" t="s">
        <v>127</v>
      </c>
      <c r="Q856" t="s">
        <v>127</v>
      </c>
    </row>
    <row r="857" spans="1:17" x14ac:dyDescent="0.25">
      <c r="A857" t="str">
        <f>IF(C857&amp;G857&amp;D857&lt;&gt;'Funnel setup'!$K$3&amp;'Funnel setup'!$K$4&amp;'Funnel setup'!$K$6,".",IF(A856=".",1,A856+1))</f>
        <v>.</v>
      </c>
      <c r="B857" s="244" t="str">
        <f t="shared" si="13"/>
        <v>Hip Replacement PrimaryProviderCLIFTON PARK HOSPITAL (NVC28)Oxford Hip Score</v>
      </c>
      <c r="C857" t="s">
        <v>749</v>
      </c>
      <c r="D857" t="s">
        <v>965</v>
      </c>
      <c r="E857" t="s">
        <v>202</v>
      </c>
      <c r="F857" t="s">
        <v>203</v>
      </c>
      <c r="G857" t="s">
        <v>964</v>
      </c>
      <c r="H857">
        <v>41</v>
      </c>
      <c r="I857">
        <v>24.2439</v>
      </c>
      <c r="J857">
        <v>29.1707</v>
      </c>
      <c r="K857">
        <v>4.9268299999999998</v>
      </c>
      <c r="L857">
        <v>23</v>
      </c>
      <c r="M857">
        <v>4</v>
      </c>
      <c r="N857">
        <v>14</v>
      </c>
      <c r="O857">
        <v>26.891400000000001</v>
      </c>
      <c r="P857">
        <v>9.8071099999999998</v>
      </c>
      <c r="Q857">
        <v>8.5294100000000004</v>
      </c>
    </row>
    <row r="858" spans="1:17" x14ac:dyDescent="0.25">
      <c r="A858" t="str">
        <f>IF(C858&amp;G858&amp;D858&lt;&gt;'Funnel setup'!$K$3&amp;'Funnel setup'!$K$4&amp;'Funnel setup'!$K$6,".",IF(A857=".",1,A857+1))</f>
        <v>.</v>
      </c>
      <c r="B858" s="244" t="str">
        <f t="shared" si="13"/>
        <v>Hip Replacement PrimaryProviderCOUNTESS OF CHESTER HOSPITAL NHS FOUNDATION TRUST (RJR)Oxford Hip Score</v>
      </c>
      <c r="C858" t="s">
        <v>749</v>
      </c>
      <c r="D858" t="s">
        <v>965</v>
      </c>
      <c r="E858" t="s">
        <v>204</v>
      </c>
      <c r="F858" t="s">
        <v>205</v>
      </c>
      <c r="G858" t="s">
        <v>964</v>
      </c>
      <c r="H858">
        <v>29</v>
      </c>
      <c r="I858">
        <v>15.4483</v>
      </c>
      <c r="J858">
        <v>39.827599999999997</v>
      </c>
      <c r="K858">
        <v>24.379300000000001</v>
      </c>
      <c r="L858">
        <v>29</v>
      </c>
      <c r="M858">
        <v>0</v>
      </c>
      <c r="N858">
        <v>0</v>
      </c>
      <c r="O858" t="s">
        <v>127</v>
      </c>
      <c r="P858" t="s">
        <v>127</v>
      </c>
      <c r="Q858" t="s">
        <v>127</v>
      </c>
    </row>
    <row r="859" spans="1:17" x14ac:dyDescent="0.25">
      <c r="A859" t="str">
        <f>IF(C859&amp;G859&amp;D859&lt;&gt;'Funnel setup'!$K$3&amp;'Funnel setup'!$K$4&amp;'Funnel setup'!$K$6,".",IF(A858=".",1,A858+1))</f>
        <v>.</v>
      </c>
      <c r="B859" s="244" t="str">
        <f t="shared" si="13"/>
        <v>Hip Replacement PrimaryProviderCOUNTY DURHAM AND DARLINGTON NHS FOUNDATION TRUST (RXP)Oxford Hip Score</v>
      </c>
      <c r="C859" t="s">
        <v>749</v>
      </c>
      <c r="D859" t="s">
        <v>965</v>
      </c>
      <c r="E859" t="s">
        <v>206</v>
      </c>
      <c r="F859" t="s">
        <v>207</v>
      </c>
      <c r="G859" t="s">
        <v>964</v>
      </c>
      <c r="H859">
        <v>173</v>
      </c>
      <c r="I859">
        <v>16.7746</v>
      </c>
      <c r="J859">
        <v>37.884399999999999</v>
      </c>
      <c r="K859">
        <v>21.1098</v>
      </c>
      <c r="L859">
        <v>165</v>
      </c>
      <c r="M859">
        <v>0</v>
      </c>
      <c r="N859">
        <v>8</v>
      </c>
      <c r="O859">
        <v>38.568399999999997</v>
      </c>
      <c r="P859">
        <v>21.484100000000002</v>
      </c>
      <c r="Q859">
        <v>9.3307699999999993</v>
      </c>
    </row>
    <row r="860" spans="1:17" x14ac:dyDescent="0.25">
      <c r="A860" t="str">
        <f>IF(C860&amp;G860&amp;D860&lt;&gt;'Funnel setup'!$K$3&amp;'Funnel setup'!$K$4&amp;'Funnel setup'!$K$6,".",IF(A859=".",1,A859+1))</f>
        <v>.</v>
      </c>
      <c r="B860" s="244" t="str">
        <f t="shared" si="13"/>
        <v>Hip Replacement PrimaryProviderDONCASTER AND BASSETLAW TEACHING HOSPITALS NHS FOUNDATION TRUST (RP5)Oxford Hip Score</v>
      </c>
      <c r="C860" t="s">
        <v>749</v>
      </c>
      <c r="D860" t="s">
        <v>965</v>
      </c>
      <c r="E860" t="s">
        <v>212</v>
      </c>
      <c r="F860" t="s">
        <v>213</v>
      </c>
      <c r="G860" t="s">
        <v>964</v>
      </c>
      <c r="H860">
        <v>60</v>
      </c>
      <c r="I860">
        <v>13.533300000000001</v>
      </c>
      <c r="J860">
        <v>34.15</v>
      </c>
      <c r="K860">
        <v>20.616700000000002</v>
      </c>
      <c r="L860">
        <v>54</v>
      </c>
      <c r="M860">
        <v>0</v>
      </c>
      <c r="N860">
        <v>6</v>
      </c>
      <c r="O860">
        <v>36.717100000000002</v>
      </c>
      <c r="P860">
        <v>19.6328</v>
      </c>
      <c r="Q860">
        <v>10.766</v>
      </c>
    </row>
    <row r="861" spans="1:17" x14ac:dyDescent="0.25">
      <c r="A861" t="str">
        <f>IF(C861&amp;G861&amp;D861&lt;&gt;'Funnel setup'!$K$3&amp;'Funnel setup'!$K$4&amp;'Funnel setup'!$K$6,".",IF(A860=".",1,A860+1))</f>
        <v>.</v>
      </c>
      <c r="B861" s="244" t="str">
        <f t="shared" si="13"/>
        <v>Hip Replacement PrimaryProviderDORSET COUNTY HOSPITAL NHS FOUNDATION TRUST (RBD)Oxford Hip Score</v>
      </c>
      <c r="C861" t="s">
        <v>749</v>
      </c>
      <c r="D861" t="s">
        <v>965</v>
      </c>
      <c r="E861" t="s">
        <v>214</v>
      </c>
      <c r="F861" t="s">
        <v>215</v>
      </c>
      <c r="G861" t="s">
        <v>964</v>
      </c>
      <c r="H861">
        <v>13</v>
      </c>
      <c r="I861">
        <v>15.1538</v>
      </c>
      <c r="J861">
        <v>40.230800000000002</v>
      </c>
      <c r="K861">
        <v>25.076899999999998</v>
      </c>
      <c r="L861">
        <v>13</v>
      </c>
      <c r="M861">
        <v>0</v>
      </c>
      <c r="N861">
        <v>0</v>
      </c>
      <c r="O861" t="s">
        <v>127</v>
      </c>
      <c r="P861" t="s">
        <v>127</v>
      </c>
      <c r="Q861" t="s">
        <v>127</v>
      </c>
    </row>
    <row r="862" spans="1:17" x14ac:dyDescent="0.25">
      <c r="A862" t="str">
        <f>IF(C862&amp;G862&amp;D862&lt;&gt;'Funnel setup'!$K$3&amp;'Funnel setup'!$K$4&amp;'Funnel setup'!$K$6,".",IF(A861=".",1,A861+1))</f>
        <v>.</v>
      </c>
      <c r="B862" s="244" t="str">
        <f t="shared" si="13"/>
        <v>Hip Replacement PrimaryProviderDROITWICH SPA HOSPITAL (NT412)Oxford Hip Score</v>
      </c>
      <c r="C862" t="s">
        <v>749</v>
      </c>
      <c r="D862" t="s">
        <v>965</v>
      </c>
      <c r="E862" t="s">
        <v>216</v>
      </c>
      <c r="F862" t="s">
        <v>217</v>
      </c>
      <c r="G862" t="s">
        <v>964</v>
      </c>
      <c r="H862">
        <v>25</v>
      </c>
      <c r="I862">
        <v>16.48</v>
      </c>
      <c r="J862">
        <v>42.32</v>
      </c>
      <c r="K862">
        <v>25.84</v>
      </c>
      <c r="L862">
        <v>25</v>
      </c>
      <c r="M862">
        <v>0</v>
      </c>
      <c r="N862">
        <v>0</v>
      </c>
      <c r="O862" t="s">
        <v>127</v>
      </c>
      <c r="P862" t="s">
        <v>127</v>
      </c>
      <c r="Q862" t="s">
        <v>127</v>
      </c>
    </row>
    <row r="863" spans="1:17" x14ac:dyDescent="0.25">
      <c r="A863" t="str">
        <f>IF(C863&amp;G863&amp;D863&lt;&gt;'Funnel setup'!$K$3&amp;'Funnel setup'!$K$4&amp;'Funnel setup'!$K$6,".",IF(A862=".",1,A862+1))</f>
        <v>.</v>
      </c>
      <c r="B863" s="244" t="str">
        <f t="shared" si="13"/>
        <v>Hip Replacement PrimaryProviderDUCHY HOSPITAL (NT447)Oxford Hip Score</v>
      </c>
      <c r="C863" t="s">
        <v>749</v>
      </c>
      <c r="D863" t="s">
        <v>965</v>
      </c>
      <c r="E863" t="s">
        <v>218</v>
      </c>
      <c r="F863" t="s">
        <v>219</v>
      </c>
      <c r="G863" t="s">
        <v>964</v>
      </c>
      <c r="H863">
        <v>29</v>
      </c>
      <c r="I863">
        <v>19.896599999999999</v>
      </c>
      <c r="J863">
        <v>42.586199999999998</v>
      </c>
      <c r="K863">
        <v>22.689699999999998</v>
      </c>
      <c r="L863">
        <v>29</v>
      </c>
      <c r="M863">
        <v>0</v>
      </c>
      <c r="N863">
        <v>0</v>
      </c>
      <c r="O863" t="s">
        <v>127</v>
      </c>
      <c r="P863" t="s">
        <v>127</v>
      </c>
      <c r="Q863" t="s">
        <v>127</v>
      </c>
    </row>
    <row r="864" spans="1:17" x14ac:dyDescent="0.25">
      <c r="A864" t="str">
        <f>IF(C864&amp;G864&amp;D864&lt;&gt;'Funnel setup'!$K$3&amp;'Funnel setup'!$K$4&amp;'Funnel setup'!$K$6,".",IF(A863=".",1,A863+1))</f>
        <v>.</v>
      </c>
      <c r="B864" s="244" t="str">
        <f t="shared" si="13"/>
        <v>Hip Replacement PrimaryProviderDUCHY HOSPITAL (NVC04)Oxford Hip Score</v>
      </c>
      <c r="C864" t="s">
        <v>749</v>
      </c>
      <c r="D864" t="s">
        <v>965</v>
      </c>
      <c r="E864" t="s">
        <v>220</v>
      </c>
      <c r="F864" t="s">
        <v>221</v>
      </c>
      <c r="G864" t="s">
        <v>964</v>
      </c>
      <c r="H864">
        <v>25</v>
      </c>
      <c r="I864">
        <v>26.4</v>
      </c>
      <c r="J864">
        <v>27.36</v>
      </c>
      <c r="K864">
        <v>0.96</v>
      </c>
      <c r="L864">
        <v>15</v>
      </c>
      <c r="M864">
        <v>1</v>
      </c>
      <c r="N864">
        <v>9</v>
      </c>
      <c r="O864" t="s">
        <v>127</v>
      </c>
      <c r="P864" t="s">
        <v>127</v>
      </c>
      <c r="Q864" t="s">
        <v>127</v>
      </c>
    </row>
    <row r="865" spans="1:17" x14ac:dyDescent="0.25">
      <c r="A865" t="str">
        <f>IF(C865&amp;G865&amp;D865&lt;&gt;'Funnel setup'!$K$3&amp;'Funnel setup'!$K$4&amp;'Funnel setup'!$K$6,".",IF(A864=".",1,A864+1))</f>
        <v>.</v>
      </c>
      <c r="B865" s="244" t="str">
        <f t="shared" si="13"/>
        <v>Hip Replacement PrimaryProviderEAST AND NORTH HERTFORDSHIRE NHS TRUST (RWH)Oxford Hip Score</v>
      </c>
      <c r="C865" t="s">
        <v>749</v>
      </c>
      <c r="D865" t="s">
        <v>965</v>
      </c>
      <c r="E865" t="s">
        <v>224</v>
      </c>
      <c r="F865" t="s">
        <v>225</v>
      </c>
      <c r="G865" t="s">
        <v>964</v>
      </c>
      <c r="H865">
        <v>34</v>
      </c>
      <c r="I865">
        <v>16.029399999999999</v>
      </c>
      <c r="J865">
        <v>40.176499999999997</v>
      </c>
      <c r="K865">
        <v>24.147099999999998</v>
      </c>
      <c r="L865">
        <v>33</v>
      </c>
      <c r="M865">
        <v>0</v>
      </c>
      <c r="N865">
        <v>1</v>
      </c>
      <c r="O865">
        <v>40.2624</v>
      </c>
      <c r="P865">
        <v>23.178100000000001</v>
      </c>
      <c r="Q865">
        <v>8.0730799999999991</v>
      </c>
    </row>
    <row r="866" spans="1:17" x14ac:dyDescent="0.25">
      <c r="A866" t="str">
        <f>IF(C866&amp;G866&amp;D866&lt;&gt;'Funnel setup'!$K$3&amp;'Funnel setup'!$K$4&amp;'Funnel setup'!$K$6,".",IF(A865=".",1,A865+1))</f>
        <v>.</v>
      </c>
      <c r="B866" s="244" t="str">
        <f t="shared" si="13"/>
        <v>Hip Replacement PrimaryProviderEAST CHESHIRE NHS TRUST (RJN)Oxford Hip Score</v>
      </c>
      <c r="C866" t="s">
        <v>749</v>
      </c>
      <c r="D866" t="s">
        <v>965</v>
      </c>
      <c r="E866" t="s">
        <v>226</v>
      </c>
      <c r="F866" t="s">
        <v>227</v>
      </c>
      <c r="G866" t="s">
        <v>964</v>
      </c>
      <c r="H866">
        <v>5</v>
      </c>
      <c r="I866">
        <v>19</v>
      </c>
      <c r="J866">
        <v>37.4</v>
      </c>
      <c r="K866">
        <v>18.399999999999999</v>
      </c>
      <c r="L866">
        <v>5</v>
      </c>
      <c r="M866">
        <v>0</v>
      </c>
      <c r="N866">
        <v>0</v>
      </c>
      <c r="O866" t="s">
        <v>127</v>
      </c>
      <c r="P866" t="s">
        <v>127</v>
      </c>
      <c r="Q866" t="s">
        <v>127</v>
      </c>
    </row>
    <row r="867" spans="1:17" x14ac:dyDescent="0.25">
      <c r="A867" t="str">
        <f>IF(C867&amp;G867&amp;D867&lt;&gt;'Funnel setup'!$K$3&amp;'Funnel setup'!$K$4&amp;'Funnel setup'!$K$6,".",IF(A866=".",1,A866+1))</f>
        <v>.</v>
      </c>
      <c r="B867" s="244" t="str">
        <f t="shared" si="13"/>
        <v>Hip Replacement PrimaryProviderEAST KENT HOSPITALS UNIVERSITY NHS FOUNDATION TRUST (RVV)Oxford Hip Score</v>
      </c>
      <c r="C867" t="s">
        <v>749</v>
      </c>
      <c r="D867" t="s">
        <v>965</v>
      </c>
      <c r="E867" t="s">
        <v>228</v>
      </c>
      <c r="F867" t="s">
        <v>229</v>
      </c>
      <c r="G867" t="s">
        <v>964</v>
      </c>
      <c r="H867">
        <v>94</v>
      </c>
      <c r="I867">
        <v>15.2766</v>
      </c>
      <c r="J867">
        <v>39.4574</v>
      </c>
      <c r="K867">
        <v>24.180900000000001</v>
      </c>
      <c r="L867">
        <v>92</v>
      </c>
      <c r="M867">
        <v>0</v>
      </c>
      <c r="N867">
        <v>2</v>
      </c>
      <c r="O867">
        <v>41.071100000000001</v>
      </c>
      <c r="P867">
        <v>23.986799999999999</v>
      </c>
      <c r="Q867">
        <v>7.4431000000000003</v>
      </c>
    </row>
    <row r="868" spans="1:17" x14ac:dyDescent="0.25">
      <c r="A868" t="str">
        <f>IF(C868&amp;G868&amp;D868&lt;&gt;'Funnel setup'!$K$3&amp;'Funnel setup'!$K$4&amp;'Funnel setup'!$K$6,".",IF(A867=".",1,A867+1))</f>
        <v>.</v>
      </c>
      <c r="B868" s="244" t="str">
        <f t="shared" si="13"/>
        <v>Hip Replacement PrimaryProviderEAST LANCASHIRE HOSPITALS NHS TRUST (RXR)Oxford Hip Score</v>
      </c>
      <c r="C868" t="s">
        <v>749</v>
      </c>
      <c r="D868" t="s">
        <v>965</v>
      </c>
      <c r="E868" t="s">
        <v>230</v>
      </c>
      <c r="F868" t="s">
        <v>231</v>
      </c>
      <c r="G868" t="s">
        <v>964</v>
      </c>
      <c r="H868">
        <v>96</v>
      </c>
      <c r="I868">
        <v>14.833299999999999</v>
      </c>
      <c r="J868">
        <v>39.666699999999999</v>
      </c>
      <c r="K868">
        <v>24.833300000000001</v>
      </c>
      <c r="L868">
        <v>94</v>
      </c>
      <c r="M868">
        <v>1</v>
      </c>
      <c r="N868">
        <v>1</v>
      </c>
      <c r="O868">
        <v>41.670099999999998</v>
      </c>
      <c r="P868">
        <v>24.585799999999999</v>
      </c>
      <c r="Q868">
        <v>6.8618300000000003</v>
      </c>
    </row>
    <row r="869" spans="1:17" x14ac:dyDescent="0.25">
      <c r="A869" t="str">
        <f>IF(C869&amp;G869&amp;D869&lt;&gt;'Funnel setup'!$K$3&amp;'Funnel setup'!$K$4&amp;'Funnel setup'!$K$6,".",IF(A868=".",1,A868+1))</f>
        <v>.</v>
      </c>
      <c r="B869" s="244" t="str">
        <f t="shared" si="13"/>
        <v>Hip Replacement PrimaryProviderEAST SUFFOLK AND NORTH ESSEX NHS FOUNDATION TRUST (RDE)Oxford Hip Score</v>
      </c>
      <c r="C869" t="s">
        <v>749</v>
      </c>
      <c r="D869" t="s">
        <v>965</v>
      </c>
      <c r="E869" t="s">
        <v>232</v>
      </c>
      <c r="F869" t="s">
        <v>233</v>
      </c>
      <c r="G869" t="s">
        <v>964</v>
      </c>
      <c r="H869">
        <v>141</v>
      </c>
      <c r="I869">
        <v>15</v>
      </c>
      <c r="J869">
        <v>39.4255</v>
      </c>
      <c r="K869">
        <v>24.4255</v>
      </c>
      <c r="L869">
        <v>140</v>
      </c>
      <c r="M869">
        <v>0</v>
      </c>
      <c r="N869">
        <v>1</v>
      </c>
      <c r="O869">
        <v>40.310400000000001</v>
      </c>
      <c r="P869">
        <v>23.226099999999999</v>
      </c>
      <c r="Q869">
        <v>7.6869699999999996</v>
      </c>
    </row>
    <row r="870" spans="1:17" x14ac:dyDescent="0.25">
      <c r="A870" t="str">
        <f>IF(C870&amp;G870&amp;D870&lt;&gt;'Funnel setup'!$K$3&amp;'Funnel setup'!$K$4&amp;'Funnel setup'!$K$6,".",IF(A869=".",1,A869+1))</f>
        <v>.</v>
      </c>
      <c r="B870" s="244" t="str">
        <f t="shared" si="13"/>
        <v>Hip Replacement PrimaryProviderEAST SUSSEX HEALTHCARE NHS TRUST (RXC)Oxford Hip Score</v>
      </c>
      <c r="C870" t="s">
        <v>749</v>
      </c>
      <c r="D870" t="s">
        <v>965</v>
      </c>
      <c r="E870" t="s">
        <v>234</v>
      </c>
      <c r="F870" t="s">
        <v>235</v>
      </c>
      <c r="G870" t="s">
        <v>964</v>
      </c>
      <c r="H870">
        <v>92</v>
      </c>
      <c r="I870">
        <v>17.380400000000002</v>
      </c>
      <c r="J870">
        <v>40.532600000000002</v>
      </c>
      <c r="K870">
        <v>23.152200000000001</v>
      </c>
      <c r="L870">
        <v>88</v>
      </c>
      <c r="M870">
        <v>1</v>
      </c>
      <c r="N870">
        <v>3</v>
      </c>
      <c r="O870">
        <v>41.134500000000003</v>
      </c>
      <c r="P870">
        <v>24.0502</v>
      </c>
      <c r="Q870">
        <v>8.3513199999999994</v>
      </c>
    </row>
    <row r="871" spans="1:17" x14ac:dyDescent="0.25">
      <c r="A871" t="str">
        <f>IF(C871&amp;G871&amp;D871&lt;&gt;'Funnel setup'!$K$3&amp;'Funnel setup'!$K$4&amp;'Funnel setup'!$K$6,".",IF(A870=".",1,A870+1))</f>
        <v>.</v>
      </c>
      <c r="B871" s="244" t="str">
        <f t="shared" si="13"/>
        <v>Hip Replacement PrimaryProviderEPSOM AND ST HELIER UNIVERSITY HOSPITALS NHS TRUST (RVR)Oxford Hip Score</v>
      </c>
      <c r="C871" t="s">
        <v>749</v>
      </c>
      <c r="D871" t="s">
        <v>965</v>
      </c>
      <c r="E871" t="s">
        <v>238</v>
      </c>
      <c r="F871" t="s">
        <v>239</v>
      </c>
      <c r="G871" t="s">
        <v>964</v>
      </c>
      <c r="H871">
        <v>533</v>
      </c>
      <c r="I871">
        <v>19.168900000000001</v>
      </c>
      <c r="J871">
        <v>40.591000000000001</v>
      </c>
      <c r="K871">
        <v>21.4221</v>
      </c>
      <c r="L871">
        <v>522</v>
      </c>
      <c r="M871">
        <v>1</v>
      </c>
      <c r="N871">
        <v>10</v>
      </c>
      <c r="O871">
        <v>39.900700000000001</v>
      </c>
      <c r="P871">
        <v>22.816400000000002</v>
      </c>
      <c r="Q871">
        <v>7.2471699999999997</v>
      </c>
    </row>
    <row r="872" spans="1:17" x14ac:dyDescent="0.25">
      <c r="A872" t="str">
        <f>IF(C872&amp;G872&amp;D872&lt;&gt;'Funnel setup'!$K$3&amp;'Funnel setup'!$K$4&amp;'Funnel setup'!$K$6,".",IF(A871=".",1,A871+1))</f>
        <v>.</v>
      </c>
      <c r="B872" s="244" t="str">
        <f t="shared" si="13"/>
        <v>Hip Replacement PrimaryProviderEUXTON HALL HOSPITAL (NVC05)Oxford Hip Score</v>
      </c>
      <c r="C872" t="s">
        <v>749</v>
      </c>
      <c r="D872" t="s">
        <v>965</v>
      </c>
      <c r="E872" t="s">
        <v>240</v>
      </c>
      <c r="F872" t="s">
        <v>241</v>
      </c>
      <c r="G872" t="s">
        <v>964</v>
      </c>
      <c r="H872">
        <v>59</v>
      </c>
      <c r="I872">
        <v>16.1525</v>
      </c>
      <c r="J872">
        <v>40.9831</v>
      </c>
      <c r="K872">
        <v>24.830500000000001</v>
      </c>
      <c r="L872">
        <v>58</v>
      </c>
      <c r="M872">
        <v>0</v>
      </c>
      <c r="N872">
        <v>1</v>
      </c>
      <c r="O872">
        <v>41.232799999999997</v>
      </c>
      <c r="P872">
        <v>24.148499999999999</v>
      </c>
      <c r="Q872">
        <v>8.1521399999999993</v>
      </c>
    </row>
    <row r="873" spans="1:17" x14ac:dyDescent="0.25">
      <c r="A873" t="str">
        <f>IF(C873&amp;G873&amp;D873&lt;&gt;'Funnel setup'!$K$3&amp;'Funnel setup'!$K$4&amp;'Funnel setup'!$K$6,".",IF(A872=".",1,A872+1))</f>
        <v>.</v>
      </c>
      <c r="B873" s="244" t="str">
        <f t="shared" si="13"/>
        <v>Hip Replacement PrimaryProviderFAIRFIELD HOSPITAL (NVG01)Oxford Hip Score</v>
      </c>
      <c r="C873" t="s">
        <v>749</v>
      </c>
      <c r="D873" t="s">
        <v>965</v>
      </c>
      <c r="E873" t="s">
        <v>242</v>
      </c>
      <c r="F873" t="s">
        <v>243</v>
      </c>
      <c r="G873" t="s">
        <v>964</v>
      </c>
      <c r="H873">
        <v>42</v>
      </c>
      <c r="I873">
        <v>17.119</v>
      </c>
      <c r="J873">
        <v>37.6905</v>
      </c>
      <c r="K873">
        <v>20.571400000000001</v>
      </c>
      <c r="L873">
        <v>40</v>
      </c>
      <c r="M873">
        <v>0</v>
      </c>
      <c r="N873">
        <v>2</v>
      </c>
      <c r="O873">
        <v>37.360999999999997</v>
      </c>
      <c r="P873">
        <v>20.276700000000002</v>
      </c>
      <c r="Q873">
        <v>10.017300000000001</v>
      </c>
    </row>
    <row r="874" spans="1:17" x14ac:dyDescent="0.25">
      <c r="A874" t="str">
        <f>IF(C874&amp;G874&amp;D874&lt;&gt;'Funnel setup'!$K$3&amp;'Funnel setup'!$K$4&amp;'Funnel setup'!$K$6,".",IF(A873=".",1,A873+1))</f>
        <v>.</v>
      </c>
      <c r="B874" s="244" t="str">
        <f t="shared" si="13"/>
        <v>Hip Replacement PrimaryProviderFITZWILLIAM HOSPITAL (NVC06)Oxford Hip Score</v>
      </c>
      <c r="C874" t="s">
        <v>749</v>
      </c>
      <c r="D874" t="s">
        <v>965</v>
      </c>
      <c r="E874" t="s">
        <v>244</v>
      </c>
      <c r="F874" t="s">
        <v>245</v>
      </c>
      <c r="G874" t="s">
        <v>964</v>
      </c>
      <c r="H874">
        <v>60</v>
      </c>
      <c r="I874">
        <v>17.333300000000001</v>
      </c>
      <c r="J874">
        <v>40.716700000000003</v>
      </c>
      <c r="K874">
        <v>23.383299999999998</v>
      </c>
      <c r="L874">
        <v>59</v>
      </c>
      <c r="M874">
        <v>0</v>
      </c>
      <c r="N874">
        <v>1</v>
      </c>
      <c r="O874">
        <v>40.679600000000001</v>
      </c>
      <c r="P874">
        <v>23.595300000000002</v>
      </c>
      <c r="Q874">
        <v>6.6843500000000002</v>
      </c>
    </row>
    <row r="875" spans="1:17" x14ac:dyDescent="0.25">
      <c r="A875" t="str">
        <f>IF(C875&amp;G875&amp;D875&lt;&gt;'Funnel setup'!$K$3&amp;'Funnel setup'!$K$4&amp;'Funnel setup'!$K$6,".",IF(A874=".",1,A874+1))</f>
        <v>.</v>
      </c>
      <c r="B875" s="244" t="str">
        <f t="shared" si="13"/>
        <v>Hip Replacement PrimaryProviderFRIMLEY HEALTH NHS FOUNDATION TRUST (RDU)Oxford Hip Score</v>
      </c>
      <c r="C875" t="s">
        <v>749</v>
      </c>
      <c r="D875" t="s">
        <v>965</v>
      </c>
      <c r="E875" t="s">
        <v>248</v>
      </c>
      <c r="F875" t="s">
        <v>249</v>
      </c>
      <c r="G875" t="s">
        <v>964</v>
      </c>
      <c r="H875">
        <v>176</v>
      </c>
      <c r="I875">
        <v>18.198899999999998</v>
      </c>
      <c r="J875">
        <v>40.75</v>
      </c>
      <c r="K875">
        <v>22.551100000000002</v>
      </c>
      <c r="L875">
        <v>172</v>
      </c>
      <c r="M875">
        <v>2</v>
      </c>
      <c r="N875">
        <v>2</v>
      </c>
      <c r="O875">
        <v>40.073900000000002</v>
      </c>
      <c r="P875">
        <v>22.989599999999999</v>
      </c>
      <c r="Q875">
        <v>7.9315699999999998</v>
      </c>
    </row>
    <row r="876" spans="1:17" x14ac:dyDescent="0.25">
      <c r="A876" t="str">
        <f>IF(C876&amp;G876&amp;D876&lt;&gt;'Funnel setup'!$K$3&amp;'Funnel setup'!$K$4&amp;'Funnel setup'!$K$6,".",IF(A875=".",1,A875+1))</f>
        <v>.</v>
      </c>
      <c r="B876" s="244" t="str">
        <f t="shared" si="13"/>
        <v>Hip Replacement PrimaryProviderFULWOOD HALL HOSPITAL (NVC07)Oxford Hip Score</v>
      </c>
      <c r="C876" t="s">
        <v>749</v>
      </c>
      <c r="D876" t="s">
        <v>965</v>
      </c>
      <c r="E876" t="s">
        <v>250</v>
      </c>
      <c r="F876" t="s">
        <v>251</v>
      </c>
      <c r="G876" t="s">
        <v>964</v>
      </c>
      <c r="H876">
        <v>72</v>
      </c>
      <c r="I876">
        <v>21.166699999999999</v>
      </c>
      <c r="J876">
        <v>42.3889</v>
      </c>
      <c r="K876">
        <v>21.222200000000001</v>
      </c>
      <c r="L876">
        <v>72</v>
      </c>
      <c r="M876">
        <v>0</v>
      </c>
      <c r="N876">
        <v>0</v>
      </c>
      <c r="O876">
        <v>40.582099999999997</v>
      </c>
      <c r="P876">
        <v>23.497800000000002</v>
      </c>
      <c r="Q876">
        <v>6.1728300000000003</v>
      </c>
    </row>
    <row r="877" spans="1:17" x14ac:dyDescent="0.25">
      <c r="A877" t="str">
        <f>IF(C877&amp;G877&amp;D877&lt;&gt;'Funnel setup'!$K$3&amp;'Funnel setup'!$K$4&amp;'Funnel setup'!$K$6,".",IF(A876=".",1,A876+1))</f>
        <v>.</v>
      </c>
      <c r="B877" s="244" t="str">
        <f t="shared" si="13"/>
        <v>Hip Replacement PrimaryProviderGATESHEAD HEALTH NHS FOUNDATION TRUST (RR7)Oxford Hip Score</v>
      </c>
      <c r="C877" t="s">
        <v>749</v>
      </c>
      <c r="D877" t="s">
        <v>965</v>
      </c>
      <c r="E877" t="s">
        <v>252</v>
      </c>
      <c r="F877" t="s">
        <v>253</v>
      </c>
      <c r="G877" t="s">
        <v>964</v>
      </c>
      <c r="H877">
        <v>48</v>
      </c>
      <c r="I877">
        <v>13.833299999999999</v>
      </c>
      <c r="J877">
        <v>40.145800000000001</v>
      </c>
      <c r="K877">
        <v>26.3125</v>
      </c>
      <c r="L877">
        <v>48</v>
      </c>
      <c r="M877">
        <v>0</v>
      </c>
      <c r="N877">
        <v>0</v>
      </c>
      <c r="O877">
        <v>41.968299999999999</v>
      </c>
      <c r="P877">
        <v>24.884</v>
      </c>
      <c r="Q877">
        <v>8.4927200000000003</v>
      </c>
    </row>
    <row r="878" spans="1:17" x14ac:dyDescent="0.25">
      <c r="A878" t="str">
        <f>IF(C878&amp;G878&amp;D878&lt;&gt;'Funnel setup'!$K$3&amp;'Funnel setup'!$K$4&amp;'Funnel setup'!$K$6,".",IF(A877=".",1,A877+1))</f>
        <v>.</v>
      </c>
      <c r="B878" s="244" t="str">
        <f t="shared" si="13"/>
        <v>Hip Replacement PrimaryProviderGLOUCESTERSHIRE HOSPITALS NHS FOUNDATION TRUST (RTE)Oxford Hip Score</v>
      </c>
      <c r="C878" t="s">
        <v>749</v>
      </c>
      <c r="D878" t="s">
        <v>965</v>
      </c>
      <c r="E878" t="s">
        <v>256</v>
      </c>
      <c r="F878" t="s">
        <v>257</v>
      </c>
      <c r="G878" t="s">
        <v>964</v>
      </c>
      <c r="H878">
        <v>76</v>
      </c>
      <c r="I878">
        <v>14.8026</v>
      </c>
      <c r="J878">
        <v>38.407899999999998</v>
      </c>
      <c r="K878">
        <v>23.6053</v>
      </c>
      <c r="L878">
        <v>76</v>
      </c>
      <c r="M878">
        <v>0</v>
      </c>
      <c r="N878">
        <v>0</v>
      </c>
      <c r="O878">
        <v>39.216900000000003</v>
      </c>
      <c r="P878">
        <v>22.1326</v>
      </c>
      <c r="Q878">
        <v>8.4476899999999997</v>
      </c>
    </row>
    <row r="879" spans="1:17" x14ac:dyDescent="0.25">
      <c r="A879" t="str">
        <f>IF(C879&amp;G879&amp;D879&lt;&gt;'Funnel setup'!$K$3&amp;'Funnel setup'!$K$4&amp;'Funnel setup'!$K$6,".",IF(A878=".",1,A878+1))</f>
        <v>.</v>
      </c>
      <c r="B879" s="244" t="str">
        <f t="shared" si="13"/>
        <v>Hip Replacement PrimaryProviderGORING HALL HOSPITAL (NT417)Oxford Hip Score</v>
      </c>
      <c r="C879" t="s">
        <v>749</v>
      </c>
      <c r="D879" t="s">
        <v>965</v>
      </c>
      <c r="E879" t="s">
        <v>258</v>
      </c>
      <c r="F879" t="s">
        <v>259</v>
      </c>
      <c r="G879" t="s">
        <v>964</v>
      </c>
      <c r="H879">
        <v>26</v>
      </c>
      <c r="I879">
        <v>19.307700000000001</v>
      </c>
      <c r="J879">
        <v>40.730800000000002</v>
      </c>
      <c r="K879">
        <v>21.423100000000002</v>
      </c>
      <c r="L879">
        <v>24</v>
      </c>
      <c r="M879">
        <v>0</v>
      </c>
      <c r="N879">
        <v>2</v>
      </c>
      <c r="O879" t="s">
        <v>127</v>
      </c>
      <c r="P879" t="s">
        <v>127</v>
      </c>
      <c r="Q879" t="s">
        <v>127</v>
      </c>
    </row>
    <row r="880" spans="1:17" x14ac:dyDescent="0.25">
      <c r="A880" t="str">
        <f>IF(C880&amp;G880&amp;D880&lt;&gt;'Funnel setup'!$K$3&amp;'Funnel setup'!$K$4&amp;'Funnel setup'!$K$6,".",IF(A879=".",1,A879+1))</f>
        <v>.</v>
      </c>
      <c r="B880" s="244" t="str">
        <f t="shared" si="13"/>
        <v>Hip Replacement PrimaryProviderGUY'S AND ST THOMAS' NHS FOUNDATION TRUST (RJ1)Oxford Hip Score</v>
      </c>
      <c r="C880" t="s">
        <v>749</v>
      </c>
      <c r="D880" t="s">
        <v>965</v>
      </c>
      <c r="E880" t="s">
        <v>262</v>
      </c>
      <c r="F880" t="s">
        <v>263</v>
      </c>
      <c r="G880" t="s">
        <v>964</v>
      </c>
      <c r="H880">
        <v>69</v>
      </c>
      <c r="I880">
        <v>17.6812</v>
      </c>
      <c r="J880">
        <v>38.1449</v>
      </c>
      <c r="K880">
        <v>20.463799999999999</v>
      </c>
      <c r="L880">
        <v>67</v>
      </c>
      <c r="M880">
        <v>0</v>
      </c>
      <c r="N880">
        <v>2</v>
      </c>
      <c r="O880">
        <v>38.245899999999999</v>
      </c>
      <c r="P880">
        <v>21.1616</v>
      </c>
      <c r="Q880">
        <v>9.3093400000000006</v>
      </c>
    </row>
    <row r="881" spans="1:17" x14ac:dyDescent="0.25">
      <c r="A881" t="str">
        <f>IF(C881&amp;G881&amp;D881&lt;&gt;'Funnel setup'!$K$3&amp;'Funnel setup'!$K$4&amp;'Funnel setup'!$K$6,".",IF(A880=".",1,A880+1))</f>
        <v>.</v>
      </c>
      <c r="B881" s="244" t="str">
        <f t="shared" si="13"/>
        <v>Hip Replacement PrimaryProviderHAMPSHIRE CLINIC (NT418)Oxford Hip Score</v>
      </c>
      <c r="C881" t="s">
        <v>749</v>
      </c>
      <c r="D881" t="s">
        <v>965</v>
      </c>
      <c r="E881" t="s">
        <v>264</v>
      </c>
      <c r="F881" t="s">
        <v>265</v>
      </c>
      <c r="G881" t="s">
        <v>964</v>
      </c>
      <c r="H881">
        <v>28</v>
      </c>
      <c r="I881">
        <v>21.607099999999999</v>
      </c>
      <c r="J881">
        <v>41.892899999999997</v>
      </c>
      <c r="K881">
        <v>20.285699999999999</v>
      </c>
      <c r="L881">
        <v>28</v>
      </c>
      <c r="M881">
        <v>0</v>
      </c>
      <c r="N881">
        <v>0</v>
      </c>
      <c r="O881" t="s">
        <v>127</v>
      </c>
      <c r="P881" t="s">
        <v>127</v>
      </c>
      <c r="Q881" t="s">
        <v>127</v>
      </c>
    </row>
    <row r="882" spans="1:17" x14ac:dyDescent="0.25">
      <c r="A882" t="str">
        <f>IF(C882&amp;G882&amp;D882&lt;&gt;'Funnel setup'!$K$3&amp;'Funnel setup'!$K$4&amp;'Funnel setup'!$K$6,".",IF(A881=".",1,A881+1))</f>
        <v>.</v>
      </c>
      <c r="B882" s="244" t="str">
        <f t="shared" si="13"/>
        <v>Hip Replacement PrimaryProviderHAMPSHIRE HOSPITALS NHS FOUNDATION TRUST (RN5)Oxford Hip Score</v>
      </c>
      <c r="C882" t="s">
        <v>749</v>
      </c>
      <c r="D882" t="s">
        <v>965</v>
      </c>
      <c r="E882" t="s">
        <v>266</v>
      </c>
      <c r="F882" t="s">
        <v>267</v>
      </c>
      <c r="G882" t="s">
        <v>964</v>
      </c>
      <c r="H882">
        <v>37</v>
      </c>
      <c r="I882">
        <v>15.783799999999999</v>
      </c>
      <c r="J882">
        <v>39.783799999999999</v>
      </c>
      <c r="K882">
        <v>24</v>
      </c>
      <c r="L882">
        <v>36</v>
      </c>
      <c r="M882">
        <v>0</v>
      </c>
      <c r="N882">
        <v>1</v>
      </c>
      <c r="O882">
        <v>40.383499999999998</v>
      </c>
      <c r="P882">
        <v>23.299199999999999</v>
      </c>
      <c r="Q882">
        <v>7.8026099999999996</v>
      </c>
    </row>
    <row r="883" spans="1:17" x14ac:dyDescent="0.25">
      <c r="A883" t="str">
        <f>IF(C883&amp;G883&amp;D883&lt;&gt;'Funnel setup'!$K$3&amp;'Funnel setup'!$K$4&amp;'Funnel setup'!$K$6,".",IF(A882=".",1,A882+1))</f>
        <v>.</v>
      </c>
      <c r="B883" s="244" t="str">
        <f t="shared" si="13"/>
        <v>Hip Replacement PrimaryProviderHARBOUR HOSPITAL (NT419)Oxford Hip Score</v>
      </c>
      <c r="C883" t="s">
        <v>749</v>
      </c>
      <c r="D883" t="s">
        <v>965</v>
      </c>
      <c r="E883" t="s">
        <v>268</v>
      </c>
      <c r="F883" t="s">
        <v>269</v>
      </c>
      <c r="G883" t="s">
        <v>964</v>
      </c>
      <c r="H883">
        <v>10</v>
      </c>
      <c r="I883">
        <v>19</v>
      </c>
      <c r="J883">
        <v>42.8</v>
      </c>
      <c r="K883">
        <v>23.8</v>
      </c>
      <c r="L883">
        <v>10</v>
      </c>
      <c r="M883">
        <v>0</v>
      </c>
      <c r="N883">
        <v>0</v>
      </c>
      <c r="O883" t="s">
        <v>127</v>
      </c>
      <c r="P883" t="s">
        <v>127</v>
      </c>
      <c r="Q883" t="s">
        <v>127</v>
      </c>
    </row>
    <row r="884" spans="1:17" x14ac:dyDescent="0.25">
      <c r="A884" t="str">
        <f>IF(C884&amp;G884&amp;D884&lt;&gt;'Funnel setup'!$K$3&amp;'Funnel setup'!$K$4&amp;'Funnel setup'!$K$6,".",IF(A883=".",1,A883+1))</f>
        <v>.</v>
      </c>
      <c r="B884" s="244" t="str">
        <f t="shared" si="13"/>
        <v>Hip Replacement PrimaryProviderHARROGATE AND DISTRICT NHS FOUNDATION TRUST (RCD)Oxford Hip Score</v>
      </c>
      <c r="C884" t="s">
        <v>749</v>
      </c>
      <c r="D884" t="s">
        <v>965</v>
      </c>
      <c r="E884" t="s">
        <v>270</v>
      </c>
      <c r="F884" t="s">
        <v>271</v>
      </c>
      <c r="G884" t="s">
        <v>964</v>
      </c>
      <c r="H884">
        <v>83</v>
      </c>
      <c r="I884">
        <v>17.1205</v>
      </c>
      <c r="J884">
        <v>39.903599999999997</v>
      </c>
      <c r="K884">
        <v>22.783100000000001</v>
      </c>
      <c r="L884">
        <v>80</v>
      </c>
      <c r="M884">
        <v>0</v>
      </c>
      <c r="N884">
        <v>3</v>
      </c>
      <c r="O884">
        <v>40.204799999999999</v>
      </c>
      <c r="P884">
        <v>23.1205</v>
      </c>
      <c r="Q884">
        <v>8.2940699999999996</v>
      </c>
    </row>
    <row r="885" spans="1:17" x14ac:dyDescent="0.25">
      <c r="A885" t="str">
        <f>IF(C885&amp;G885&amp;D885&lt;&gt;'Funnel setup'!$K$3&amp;'Funnel setup'!$K$4&amp;'Funnel setup'!$K$6,".",IF(A884=".",1,A884+1))</f>
        <v>.</v>
      </c>
      <c r="B885" s="244" t="str">
        <f t="shared" si="13"/>
        <v>Hip Replacement PrimaryProviderHIGHFIELD HOSPITAL (NT420)Oxford Hip Score</v>
      </c>
      <c r="C885" t="s">
        <v>749</v>
      </c>
      <c r="D885" t="s">
        <v>965</v>
      </c>
      <c r="E885" t="s">
        <v>272</v>
      </c>
      <c r="F885" t="s">
        <v>273</v>
      </c>
      <c r="G885" t="s">
        <v>964</v>
      </c>
      <c r="H885">
        <v>143</v>
      </c>
      <c r="I885">
        <v>18.601400000000002</v>
      </c>
      <c r="J885">
        <v>41.349699999999999</v>
      </c>
      <c r="K885">
        <v>22.7483</v>
      </c>
      <c r="L885">
        <v>139</v>
      </c>
      <c r="M885">
        <v>3</v>
      </c>
      <c r="N885">
        <v>1</v>
      </c>
      <c r="O885">
        <v>40.692100000000003</v>
      </c>
      <c r="P885">
        <v>23.607800000000001</v>
      </c>
      <c r="Q885">
        <v>7.3323799999999997</v>
      </c>
    </row>
    <row r="886" spans="1:17" x14ac:dyDescent="0.25">
      <c r="A886" t="str">
        <f>IF(C886&amp;G886&amp;D886&lt;&gt;'Funnel setup'!$K$3&amp;'Funnel setup'!$K$4&amp;'Funnel setup'!$K$6,".",IF(A885=".",1,A885+1))</f>
        <v>.</v>
      </c>
      <c r="B886" s="244" t="str">
        <f t="shared" si="13"/>
        <v>Hip Replacement PrimaryProviderHOMERTON HEALTHCARE NHS FOUNDATION TRUST (RQX)Oxford Hip Score</v>
      </c>
      <c r="C886" t="s">
        <v>749</v>
      </c>
      <c r="D886" t="s">
        <v>965</v>
      </c>
      <c r="E886" t="s">
        <v>274</v>
      </c>
      <c r="F886" t="s">
        <v>275</v>
      </c>
      <c r="G886" t="s">
        <v>964</v>
      </c>
      <c r="H886">
        <v>5</v>
      </c>
      <c r="I886">
        <v>15.2</v>
      </c>
      <c r="J886">
        <v>34.4</v>
      </c>
      <c r="K886">
        <v>19.2</v>
      </c>
      <c r="L886">
        <v>5</v>
      </c>
      <c r="M886">
        <v>0</v>
      </c>
      <c r="N886">
        <v>0</v>
      </c>
      <c r="O886" t="s">
        <v>127</v>
      </c>
      <c r="P886" t="s">
        <v>127</v>
      </c>
      <c r="Q886" t="s">
        <v>127</v>
      </c>
    </row>
    <row r="887" spans="1:17" x14ac:dyDescent="0.25">
      <c r="A887" t="str">
        <f>IF(C887&amp;G887&amp;D887&lt;&gt;'Funnel setup'!$K$3&amp;'Funnel setup'!$K$4&amp;'Funnel setup'!$K$6,".",IF(A886=".",1,A886+1))</f>
        <v>.</v>
      </c>
      <c r="B887" s="244" t="str">
        <f t="shared" si="13"/>
        <v>Hip Replacement PrimaryProviderHUDDERSFIELD HOSPITAL (NT448)Oxford Hip Score</v>
      </c>
      <c r="C887" t="s">
        <v>749</v>
      </c>
      <c r="D887" t="s">
        <v>965</v>
      </c>
      <c r="E887" t="s">
        <v>276</v>
      </c>
      <c r="F887" t="s">
        <v>277</v>
      </c>
      <c r="G887" t="s">
        <v>964</v>
      </c>
      <c r="H887">
        <v>8</v>
      </c>
      <c r="I887">
        <v>20.375</v>
      </c>
      <c r="J887">
        <v>42</v>
      </c>
      <c r="K887">
        <v>21.625</v>
      </c>
      <c r="L887">
        <v>8</v>
      </c>
      <c r="M887">
        <v>0</v>
      </c>
      <c r="N887">
        <v>0</v>
      </c>
      <c r="O887" t="s">
        <v>127</v>
      </c>
      <c r="P887" t="s">
        <v>127</v>
      </c>
      <c r="Q887" t="s">
        <v>127</v>
      </c>
    </row>
    <row r="888" spans="1:17" x14ac:dyDescent="0.25">
      <c r="A888" t="str">
        <f>IF(C888&amp;G888&amp;D888&lt;&gt;'Funnel setup'!$K$3&amp;'Funnel setup'!$K$4&amp;'Funnel setup'!$K$6,".",IF(A887=".",1,A887+1))</f>
        <v>.</v>
      </c>
      <c r="B888" s="244" t="str">
        <f t="shared" si="13"/>
        <v>Hip Replacement PrimaryProviderHULL UNIVERSITY TEACHING HOSPITALS NHS TRUST (RWA)Oxford Hip Score</v>
      </c>
      <c r="C888" t="s">
        <v>749</v>
      </c>
      <c r="D888" t="s">
        <v>965</v>
      </c>
      <c r="E888" t="s">
        <v>278</v>
      </c>
      <c r="F888" t="s">
        <v>279</v>
      </c>
      <c r="G888" t="s">
        <v>964</v>
      </c>
      <c r="H888">
        <v>35</v>
      </c>
      <c r="I888">
        <v>13.857100000000001</v>
      </c>
      <c r="J888">
        <v>35.6571</v>
      </c>
      <c r="K888">
        <v>21.8</v>
      </c>
      <c r="L888">
        <v>35</v>
      </c>
      <c r="M888">
        <v>0</v>
      </c>
      <c r="N888">
        <v>0</v>
      </c>
      <c r="O888">
        <v>38.386899999999997</v>
      </c>
      <c r="P888">
        <v>21.302600000000002</v>
      </c>
      <c r="Q888">
        <v>9.5728799999999996</v>
      </c>
    </row>
    <row r="889" spans="1:17" x14ac:dyDescent="0.25">
      <c r="A889" t="str">
        <f>IF(C889&amp;G889&amp;D889&lt;&gt;'Funnel setup'!$K$3&amp;'Funnel setup'!$K$4&amp;'Funnel setup'!$K$6,".",IF(A888=".",1,A888+1))</f>
        <v>.</v>
      </c>
      <c r="B889" s="244" t="str">
        <f t="shared" si="13"/>
        <v>Hip Replacement PrimaryProviderIMPERIAL COLLEGE HEALTHCARE NHS TRUST (RYJ)Oxford Hip Score</v>
      </c>
      <c r="C889" t="s">
        <v>749</v>
      </c>
      <c r="D889" t="s">
        <v>965</v>
      </c>
      <c r="E889" t="s">
        <v>280</v>
      </c>
      <c r="F889" t="s">
        <v>281</v>
      </c>
      <c r="G889" t="s">
        <v>964</v>
      </c>
      <c r="H889">
        <v>21</v>
      </c>
      <c r="I889">
        <v>15.7143</v>
      </c>
      <c r="J889">
        <v>43.095199999999998</v>
      </c>
      <c r="K889">
        <v>27.381</v>
      </c>
      <c r="L889">
        <v>21</v>
      </c>
      <c r="M889">
        <v>0</v>
      </c>
      <c r="N889">
        <v>0</v>
      </c>
      <c r="O889" t="s">
        <v>127</v>
      </c>
      <c r="P889" t="s">
        <v>127</v>
      </c>
      <c r="Q889" t="s">
        <v>127</v>
      </c>
    </row>
    <row r="890" spans="1:17" x14ac:dyDescent="0.25">
      <c r="A890" t="str">
        <f>IF(C890&amp;G890&amp;D890&lt;&gt;'Funnel setup'!$K$3&amp;'Funnel setup'!$K$4&amp;'Funnel setup'!$K$6,".",IF(A889=".",1,A889+1))</f>
        <v>.</v>
      </c>
      <c r="B890" s="244" t="str">
        <f t="shared" si="13"/>
        <v>Hip Replacement PrimaryProviderISLE OF WIGHT NHS TRUST (R1F)Oxford Hip Score</v>
      </c>
      <c r="C890" t="s">
        <v>749</v>
      </c>
      <c r="D890" t="s">
        <v>965</v>
      </c>
      <c r="E890" t="s">
        <v>282</v>
      </c>
      <c r="F890" t="s">
        <v>283</v>
      </c>
      <c r="G890" t="s">
        <v>964</v>
      </c>
      <c r="H890">
        <v>2</v>
      </c>
      <c r="I890">
        <v>17.5</v>
      </c>
      <c r="J890">
        <v>45</v>
      </c>
      <c r="K890">
        <v>27.5</v>
      </c>
      <c r="L890">
        <v>2</v>
      </c>
      <c r="M890">
        <v>0</v>
      </c>
      <c r="N890">
        <v>0</v>
      </c>
      <c r="O890" t="s">
        <v>127</v>
      </c>
      <c r="P890" t="s">
        <v>127</v>
      </c>
      <c r="Q890" t="s">
        <v>127</v>
      </c>
    </row>
    <row r="891" spans="1:17" x14ac:dyDescent="0.25">
      <c r="A891" t="str">
        <f>IF(C891&amp;G891&amp;D891&lt;&gt;'Funnel setup'!$K$3&amp;'Funnel setup'!$K$4&amp;'Funnel setup'!$K$6,".",IF(A890=".",1,A890+1))</f>
        <v>.</v>
      </c>
      <c r="B891" s="244" t="str">
        <f t="shared" si="13"/>
        <v>Hip Replacement PrimaryProviderJAMES PAGET UNIVERSITY HOSPITALS NHS FOUNDATION TRUST (RGP)Oxford Hip Score</v>
      </c>
      <c r="C891" t="s">
        <v>749</v>
      </c>
      <c r="D891" t="s">
        <v>965</v>
      </c>
      <c r="E891" t="s">
        <v>284</v>
      </c>
      <c r="F891" t="s">
        <v>285</v>
      </c>
      <c r="G891" t="s">
        <v>964</v>
      </c>
      <c r="H891">
        <v>68</v>
      </c>
      <c r="I891">
        <v>13.882400000000001</v>
      </c>
      <c r="J891">
        <v>39.058799999999998</v>
      </c>
      <c r="K891">
        <v>25.176500000000001</v>
      </c>
      <c r="L891">
        <v>67</v>
      </c>
      <c r="M891">
        <v>0</v>
      </c>
      <c r="N891">
        <v>1</v>
      </c>
      <c r="O891">
        <v>40.107100000000003</v>
      </c>
      <c r="P891">
        <v>23.0228</v>
      </c>
      <c r="Q891">
        <v>9.5636799999999997</v>
      </c>
    </row>
    <row r="892" spans="1:17" x14ac:dyDescent="0.25">
      <c r="A892" t="str">
        <f>IF(C892&amp;G892&amp;D892&lt;&gt;'Funnel setup'!$K$3&amp;'Funnel setup'!$K$4&amp;'Funnel setup'!$K$6,".",IF(A891=".",1,A891+1))</f>
        <v>.</v>
      </c>
      <c r="B892" s="244" t="str">
        <f t="shared" si="13"/>
        <v>Hip Replacement PrimaryProviderKETTERING GENERAL HOSPITAL NHS FOUNDATION TRUST (RNQ)Oxford Hip Score</v>
      </c>
      <c r="C892" t="s">
        <v>749</v>
      </c>
      <c r="D892" t="s">
        <v>965</v>
      </c>
      <c r="E892" t="s">
        <v>286</v>
      </c>
      <c r="F892" t="s">
        <v>287</v>
      </c>
      <c r="G892" t="s">
        <v>964</v>
      </c>
      <c r="H892">
        <v>28</v>
      </c>
      <c r="I892">
        <v>12.821400000000001</v>
      </c>
      <c r="J892">
        <v>38.428600000000003</v>
      </c>
      <c r="K892">
        <v>25.607099999999999</v>
      </c>
      <c r="L892">
        <v>27</v>
      </c>
      <c r="M892">
        <v>0</v>
      </c>
      <c r="N892">
        <v>1</v>
      </c>
      <c r="O892" t="s">
        <v>127</v>
      </c>
      <c r="P892" t="s">
        <v>127</v>
      </c>
      <c r="Q892" t="s">
        <v>127</v>
      </c>
    </row>
    <row r="893" spans="1:17" x14ac:dyDescent="0.25">
      <c r="A893" t="str">
        <f>IF(C893&amp;G893&amp;D893&lt;&gt;'Funnel setup'!$K$3&amp;'Funnel setup'!$K$4&amp;'Funnel setup'!$K$6,".",IF(A892=".",1,A892+1))</f>
        <v>.</v>
      </c>
      <c r="B893" s="244" t="str">
        <f t="shared" si="13"/>
        <v>Hip Replacement PrimaryProviderKIMS HOSPITAL (NEWNHAM COURT) (ADP02)Oxford Hip Score</v>
      </c>
      <c r="C893" t="s">
        <v>749</v>
      </c>
      <c r="D893" t="s">
        <v>965</v>
      </c>
      <c r="E893" t="s">
        <v>288</v>
      </c>
      <c r="F893" t="s">
        <v>289</v>
      </c>
      <c r="G893" t="s">
        <v>964</v>
      </c>
      <c r="H893">
        <v>108</v>
      </c>
      <c r="I893">
        <v>18.8704</v>
      </c>
      <c r="J893">
        <v>42.351900000000001</v>
      </c>
      <c r="K893">
        <v>23.4815</v>
      </c>
      <c r="L893">
        <v>107</v>
      </c>
      <c r="M893">
        <v>1</v>
      </c>
      <c r="N893">
        <v>0</v>
      </c>
      <c r="O893">
        <v>41.237699999999997</v>
      </c>
      <c r="P893">
        <v>24.153400000000001</v>
      </c>
      <c r="Q893">
        <v>7.1902900000000001</v>
      </c>
    </row>
    <row r="894" spans="1:17" x14ac:dyDescent="0.25">
      <c r="A894" t="str">
        <f>IF(C894&amp;G894&amp;D894&lt;&gt;'Funnel setup'!$K$3&amp;'Funnel setup'!$K$4&amp;'Funnel setup'!$K$6,".",IF(A893=".",1,A893+1))</f>
        <v>.</v>
      </c>
      <c r="B894" s="244" t="str">
        <f t="shared" si="13"/>
        <v>Hip Replacement PrimaryProviderKING'S COLLEGE HOSPITAL NHS FOUNDATION TRUST (RJZ)Oxford Hip Score</v>
      </c>
      <c r="C894" t="s">
        <v>749</v>
      </c>
      <c r="D894" t="s">
        <v>965</v>
      </c>
      <c r="E894" t="s">
        <v>290</v>
      </c>
      <c r="F894" t="s">
        <v>291</v>
      </c>
      <c r="G894" t="s">
        <v>964</v>
      </c>
      <c r="H894">
        <v>14</v>
      </c>
      <c r="I894">
        <v>17.928599999999999</v>
      </c>
      <c r="J894">
        <v>37.428600000000003</v>
      </c>
      <c r="K894">
        <v>19.5</v>
      </c>
      <c r="L894">
        <v>14</v>
      </c>
      <c r="M894">
        <v>0</v>
      </c>
      <c r="N894">
        <v>0</v>
      </c>
      <c r="O894" t="s">
        <v>127</v>
      </c>
      <c r="P894" t="s">
        <v>127</v>
      </c>
      <c r="Q894" t="s">
        <v>127</v>
      </c>
    </row>
    <row r="895" spans="1:17" x14ac:dyDescent="0.25">
      <c r="A895" t="str">
        <f>IF(C895&amp;G895&amp;D895&lt;&gt;'Funnel setup'!$K$3&amp;'Funnel setup'!$K$4&amp;'Funnel setup'!$K$6,".",IF(A894=".",1,A894+1))</f>
        <v>.</v>
      </c>
      <c r="B895" s="244" t="str">
        <f t="shared" si="13"/>
        <v>Hip Replacement PrimaryProviderKINGS OAK HOSPITAL (NT421)Oxford Hip Score</v>
      </c>
      <c r="C895" t="s">
        <v>749</v>
      </c>
      <c r="D895" t="s">
        <v>965</v>
      </c>
      <c r="E895" t="s">
        <v>292</v>
      </c>
      <c r="F895" t="s">
        <v>293</v>
      </c>
      <c r="G895" t="s">
        <v>964</v>
      </c>
      <c r="H895">
        <v>14</v>
      </c>
      <c r="I895">
        <v>19.785699999999999</v>
      </c>
      <c r="J895">
        <v>41.357100000000003</v>
      </c>
      <c r="K895">
        <v>21.571400000000001</v>
      </c>
      <c r="L895">
        <v>14</v>
      </c>
      <c r="M895">
        <v>0</v>
      </c>
      <c r="N895">
        <v>0</v>
      </c>
      <c r="O895" t="s">
        <v>127</v>
      </c>
      <c r="P895" t="s">
        <v>127</v>
      </c>
      <c r="Q895" t="s">
        <v>127</v>
      </c>
    </row>
    <row r="896" spans="1:17" x14ac:dyDescent="0.25">
      <c r="A896" t="str">
        <f>IF(C896&amp;G896&amp;D896&lt;&gt;'Funnel setup'!$K$3&amp;'Funnel setup'!$K$4&amp;'Funnel setup'!$K$6,".",IF(A895=".",1,A895+1))</f>
        <v>.</v>
      </c>
      <c r="B896" s="244" t="str">
        <f t="shared" si="13"/>
        <v>Hip Replacement PrimaryProviderLANCASHIRE TEACHING HOSPITALS NHS FOUNDATION TRUST (RXN)Oxford Hip Score</v>
      </c>
      <c r="C896" t="s">
        <v>749</v>
      </c>
      <c r="D896" t="s">
        <v>965</v>
      </c>
      <c r="E896" t="s">
        <v>296</v>
      </c>
      <c r="F896" t="s">
        <v>297</v>
      </c>
      <c r="G896" t="s">
        <v>964</v>
      </c>
      <c r="H896">
        <v>31</v>
      </c>
      <c r="I896">
        <v>17.548400000000001</v>
      </c>
      <c r="J896">
        <v>35.096800000000002</v>
      </c>
      <c r="K896">
        <v>17.548400000000001</v>
      </c>
      <c r="L896">
        <v>30</v>
      </c>
      <c r="M896">
        <v>0</v>
      </c>
      <c r="N896">
        <v>1</v>
      </c>
      <c r="O896">
        <v>36.896700000000003</v>
      </c>
      <c r="P896">
        <v>19.8125</v>
      </c>
      <c r="Q896">
        <v>10.5146</v>
      </c>
    </row>
    <row r="897" spans="1:17" x14ac:dyDescent="0.25">
      <c r="A897" t="str">
        <f>IF(C897&amp;G897&amp;D897&lt;&gt;'Funnel setup'!$K$3&amp;'Funnel setup'!$K$4&amp;'Funnel setup'!$K$6,".",IF(A896=".",1,A896+1))</f>
        <v>.</v>
      </c>
      <c r="B897" s="244" t="str">
        <f t="shared" si="13"/>
        <v>Hip Replacement PrimaryProviderLANCASTER HOSPITAL (NT449)Oxford Hip Score</v>
      </c>
      <c r="C897" t="s">
        <v>749</v>
      </c>
      <c r="D897" t="s">
        <v>965</v>
      </c>
      <c r="E897" t="s">
        <v>298</v>
      </c>
      <c r="F897" t="s">
        <v>299</v>
      </c>
      <c r="G897" t="s">
        <v>964</v>
      </c>
      <c r="H897">
        <v>23</v>
      </c>
      <c r="I897">
        <v>21.391300000000001</v>
      </c>
      <c r="J897">
        <v>42.565199999999997</v>
      </c>
      <c r="K897">
        <v>21.1739</v>
      </c>
      <c r="L897">
        <v>22</v>
      </c>
      <c r="M897">
        <v>0</v>
      </c>
      <c r="N897">
        <v>1</v>
      </c>
      <c r="O897" t="s">
        <v>127</v>
      </c>
      <c r="P897" t="s">
        <v>127</v>
      </c>
      <c r="Q897" t="s">
        <v>127</v>
      </c>
    </row>
    <row r="898" spans="1:17" x14ac:dyDescent="0.25">
      <c r="A898" t="str">
        <f>IF(C898&amp;G898&amp;D898&lt;&gt;'Funnel setup'!$K$3&amp;'Funnel setup'!$K$4&amp;'Funnel setup'!$K$6,".",IF(A897=".",1,A897+1))</f>
        <v>.</v>
      </c>
      <c r="B898" s="244" t="str">
        <f t="shared" ref="B898:B961" si="14">C898&amp;D898&amp;F898&amp;G898</f>
        <v>Hip Replacement PrimaryProviderLEEDS TEACHING HOSPITALS NHS TRUST (RR8)Oxford Hip Score</v>
      </c>
      <c r="C898" t="s">
        <v>749</v>
      </c>
      <c r="D898" t="s">
        <v>965</v>
      </c>
      <c r="E898" t="s">
        <v>300</v>
      </c>
      <c r="F898" t="s">
        <v>301</v>
      </c>
      <c r="G898" t="s">
        <v>964</v>
      </c>
      <c r="H898">
        <v>107</v>
      </c>
      <c r="I898">
        <v>17.822399999999998</v>
      </c>
      <c r="J898">
        <v>38.299100000000003</v>
      </c>
      <c r="K898">
        <v>20.476600000000001</v>
      </c>
      <c r="L898">
        <v>99</v>
      </c>
      <c r="M898">
        <v>0</v>
      </c>
      <c r="N898">
        <v>8</v>
      </c>
      <c r="O898">
        <v>38.393500000000003</v>
      </c>
      <c r="P898">
        <v>21.309200000000001</v>
      </c>
      <c r="Q898">
        <v>8.3779199999999996</v>
      </c>
    </row>
    <row r="899" spans="1:17" x14ac:dyDescent="0.25">
      <c r="A899" t="str">
        <f>IF(C899&amp;G899&amp;D899&lt;&gt;'Funnel setup'!$K$3&amp;'Funnel setup'!$K$4&amp;'Funnel setup'!$K$6,".",IF(A898=".",1,A898+1))</f>
        <v>.</v>
      </c>
      <c r="B899" s="244" t="str">
        <f t="shared" si="14"/>
        <v>Hip Replacement PrimaryProviderLEWISHAM AND GREENWICH NHS TRUST (RJ2)Oxford Hip Score</v>
      </c>
      <c r="C899" t="s">
        <v>749</v>
      </c>
      <c r="D899" t="s">
        <v>965</v>
      </c>
      <c r="E899" t="s">
        <v>302</v>
      </c>
      <c r="F899" t="s">
        <v>303</v>
      </c>
      <c r="G899" t="s">
        <v>964</v>
      </c>
      <c r="H899">
        <v>2</v>
      </c>
      <c r="I899">
        <v>23.5</v>
      </c>
      <c r="J899">
        <v>46.5</v>
      </c>
      <c r="K899">
        <v>23</v>
      </c>
      <c r="L899">
        <v>2</v>
      </c>
      <c r="M899">
        <v>0</v>
      </c>
      <c r="N899">
        <v>0</v>
      </c>
      <c r="O899" t="s">
        <v>127</v>
      </c>
      <c r="P899" t="s">
        <v>127</v>
      </c>
      <c r="Q899" t="s">
        <v>127</v>
      </c>
    </row>
    <row r="900" spans="1:17" x14ac:dyDescent="0.25">
      <c r="A900" t="str">
        <f>IF(C900&amp;G900&amp;D900&lt;&gt;'Funnel setup'!$K$3&amp;'Funnel setup'!$K$4&amp;'Funnel setup'!$K$6,".",IF(A899=".",1,A899+1))</f>
        <v>.</v>
      </c>
      <c r="B900" s="244" t="str">
        <f t="shared" si="14"/>
        <v>Hip Replacement PrimaryProviderLINCOLN HOSPITAL (NT450)Oxford Hip Score</v>
      </c>
      <c r="C900" t="s">
        <v>749</v>
      </c>
      <c r="D900" t="s">
        <v>965</v>
      </c>
      <c r="E900" t="s">
        <v>304</v>
      </c>
      <c r="F900" t="s">
        <v>305</v>
      </c>
      <c r="G900" t="s">
        <v>964</v>
      </c>
      <c r="H900">
        <v>67</v>
      </c>
      <c r="I900">
        <v>18.791</v>
      </c>
      <c r="J900">
        <v>42.731299999999997</v>
      </c>
      <c r="K900">
        <v>23.940300000000001</v>
      </c>
      <c r="L900">
        <v>65</v>
      </c>
      <c r="M900">
        <v>1</v>
      </c>
      <c r="N900">
        <v>1</v>
      </c>
      <c r="O900">
        <v>42.250799999999998</v>
      </c>
      <c r="P900">
        <v>25.166499999999999</v>
      </c>
      <c r="Q900">
        <v>6.4637000000000002</v>
      </c>
    </row>
    <row r="901" spans="1:17" x14ac:dyDescent="0.25">
      <c r="A901" t="str">
        <f>IF(C901&amp;G901&amp;D901&lt;&gt;'Funnel setup'!$K$3&amp;'Funnel setup'!$K$4&amp;'Funnel setup'!$K$6,".",IF(A900=".",1,A900+1))</f>
        <v>.</v>
      </c>
      <c r="B901" s="244" t="str">
        <f t="shared" si="14"/>
        <v>Hip Replacement PrimaryProviderLIVERPOOL UNIVERSITY HOSPITALS NHS FOUNDATION TRUST (REM)Oxford Hip Score</v>
      </c>
      <c r="C901" t="s">
        <v>749</v>
      </c>
      <c r="D901" t="s">
        <v>965</v>
      </c>
      <c r="E901" t="s">
        <v>306</v>
      </c>
      <c r="F901" t="s">
        <v>307</v>
      </c>
      <c r="G901" t="s">
        <v>964</v>
      </c>
      <c r="H901">
        <v>89</v>
      </c>
      <c r="I901">
        <v>13.101100000000001</v>
      </c>
      <c r="J901">
        <v>36</v>
      </c>
      <c r="K901">
        <v>22.898900000000001</v>
      </c>
      <c r="L901">
        <v>86</v>
      </c>
      <c r="M901">
        <v>0</v>
      </c>
      <c r="N901">
        <v>3</v>
      </c>
      <c r="O901">
        <v>39.621499999999997</v>
      </c>
      <c r="P901">
        <v>22.537199999999999</v>
      </c>
      <c r="Q901">
        <v>9.3221900000000009</v>
      </c>
    </row>
    <row r="902" spans="1:17" x14ac:dyDescent="0.25">
      <c r="A902" t="str">
        <f>IF(C902&amp;G902&amp;D902&lt;&gt;'Funnel setup'!$K$3&amp;'Funnel setup'!$K$4&amp;'Funnel setup'!$K$6,".",IF(A901=".",1,A901+1))</f>
        <v>.</v>
      </c>
      <c r="B902" s="244" t="str">
        <f t="shared" si="14"/>
        <v>Hip Replacement PrimaryProviderLONDON INDEPENDENT HOSPITAL (NT422)Oxford Hip Score</v>
      </c>
      <c r="C902" t="s">
        <v>749</v>
      </c>
      <c r="D902" t="s">
        <v>965</v>
      </c>
      <c r="E902" t="s">
        <v>308</v>
      </c>
      <c r="F902" t="s">
        <v>309</v>
      </c>
      <c r="G902" t="s">
        <v>964</v>
      </c>
      <c r="H902">
        <v>8</v>
      </c>
      <c r="I902">
        <v>16.5</v>
      </c>
      <c r="J902">
        <v>38.125</v>
      </c>
      <c r="K902">
        <v>21.625</v>
      </c>
      <c r="L902">
        <v>8</v>
      </c>
      <c r="M902">
        <v>0</v>
      </c>
      <c r="N902">
        <v>0</v>
      </c>
      <c r="O902" t="s">
        <v>127</v>
      </c>
      <c r="P902" t="s">
        <v>127</v>
      </c>
      <c r="Q902" t="s">
        <v>127</v>
      </c>
    </row>
    <row r="903" spans="1:17" x14ac:dyDescent="0.25">
      <c r="A903" t="str">
        <f>IF(C903&amp;G903&amp;D903&lt;&gt;'Funnel setup'!$K$3&amp;'Funnel setup'!$K$4&amp;'Funnel setup'!$K$6,".",IF(A902=".",1,A902+1))</f>
        <v>.</v>
      </c>
      <c r="B903" s="244" t="str">
        <f t="shared" si="14"/>
        <v>Hip Replacement PrimaryProviderMAIDSTONE AND TUNBRIDGE WELLS NHS TRUST (RWF)Oxford Hip Score</v>
      </c>
      <c r="C903" t="s">
        <v>749</v>
      </c>
      <c r="D903" t="s">
        <v>965</v>
      </c>
      <c r="E903" t="s">
        <v>312</v>
      </c>
      <c r="F903" t="s">
        <v>313</v>
      </c>
      <c r="G903" t="s">
        <v>964</v>
      </c>
      <c r="H903">
        <v>118</v>
      </c>
      <c r="I903">
        <v>18.949200000000001</v>
      </c>
      <c r="J903">
        <v>40.813600000000001</v>
      </c>
      <c r="K903">
        <v>21.8644</v>
      </c>
      <c r="L903">
        <v>115</v>
      </c>
      <c r="M903">
        <v>0</v>
      </c>
      <c r="N903">
        <v>3</v>
      </c>
      <c r="O903">
        <v>39.707299999999996</v>
      </c>
      <c r="P903">
        <v>22.623000000000001</v>
      </c>
      <c r="Q903">
        <v>7.4618500000000001</v>
      </c>
    </row>
    <row r="904" spans="1:17" x14ac:dyDescent="0.25">
      <c r="A904" t="str">
        <f>IF(C904&amp;G904&amp;D904&lt;&gt;'Funnel setup'!$K$3&amp;'Funnel setup'!$K$4&amp;'Funnel setup'!$K$6,".",IF(A903=".",1,A903+1))</f>
        <v>.</v>
      </c>
      <c r="B904" s="244" t="str">
        <f t="shared" si="14"/>
        <v>Hip Replacement PrimaryProviderMANCHESTER UNIVERSITY NHS FOUNDATION TRUST (R0A)Oxford Hip Score</v>
      </c>
      <c r="C904" t="s">
        <v>749</v>
      </c>
      <c r="D904" t="s">
        <v>965</v>
      </c>
      <c r="E904" t="s">
        <v>316</v>
      </c>
      <c r="F904" t="s">
        <v>317</v>
      </c>
      <c r="G904" t="s">
        <v>964</v>
      </c>
      <c r="H904">
        <v>100</v>
      </c>
      <c r="I904">
        <v>17.059999999999999</v>
      </c>
      <c r="J904">
        <v>37.72</v>
      </c>
      <c r="K904">
        <v>20.66</v>
      </c>
      <c r="L904">
        <v>95</v>
      </c>
      <c r="M904">
        <v>0</v>
      </c>
      <c r="N904">
        <v>5</v>
      </c>
      <c r="O904">
        <v>38.491599999999998</v>
      </c>
      <c r="P904">
        <v>21.407299999999999</v>
      </c>
      <c r="Q904">
        <v>9.6155500000000007</v>
      </c>
    </row>
    <row r="905" spans="1:17" x14ac:dyDescent="0.25">
      <c r="A905" t="str">
        <f>IF(C905&amp;G905&amp;D905&lt;&gt;'Funnel setup'!$K$3&amp;'Funnel setup'!$K$4&amp;'Funnel setup'!$K$6,".",IF(A904=".",1,A904+1))</f>
        <v>.</v>
      </c>
      <c r="B905" s="244" t="str">
        <f t="shared" si="14"/>
        <v>Hip Replacement PrimaryProviderMANOR HOSPITAL (NT423)Oxford Hip Score</v>
      </c>
      <c r="C905" t="s">
        <v>749</v>
      </c>
      <c r="D905" t="s">
        <v>965</v>
      </c>
      <c r="E905" t="s">
        <v>318</v>
      </c>
      <c r="F905" t="s">
        <v>319</v>
      </c>
      <c r="G905" t="s">
        <v>964</v>
      </c>
      <c r="H905">
        <v>17</v>
      </c>
      <c r="I905">
        <v>20.235299999999999</v>
      </c>
      <c r="J905">
        <v>41.941200000000002</v>
      </c>
      <c r="K905">
        <v>21.7059</v>
      </c>
      <c r="L905">
        <v>16</v>
      </c>
      <c r="M905">
        <v>0</v>
      </c>
      <c r="N905">
        <v>1</v>
      </c>
      <c r="O905" t="s">
        <v>127</v>
      </c>
      <c r="P905" t="s">
        <v>127</v>
      </c>
      <c r="Q905" t="s">
        <v>127</v>
      </c>
    </row>
    <row r="906" spans="1:17" x14ac:dyDescent="0.25">
      <c r="A906" t="str">
        <f>IF(C906&amp;G906&amp;D906&lt;&gt;'Funnel setup'!$K$3&amp;'Funnel setup'!$K$4&amp;'Funnel setup'!$K$6,".",IF(A905=".",1,A905+1))</f>
        <v>.</v>
      </c>
      <c r="B906" s="244" t="str">
        <f t="shared" si="14"/>
        <v>Hip Replacement PrimaryProviderMEDWAY NHS FOUNDATION TRUST (RPA)Oxford Hip Score</v>
      </c>
      <c r="C906" t="s">
        <v>749</v>
      </c>
      <c r="D906" t="s">
        <v>965</v>
      </c>
      <c r="E906" t="s">
        <v>320</v>
      </c>
      <c r="F906" t="s">
        <v>321</v>
      </c>
      <c r="G906" t="s">
        <v>964</v>
      </c>
      <c r="H906">
        <v>47</v>
      </c>
      <c r="I906">
        <v>13.8085</v>
      </c>
      <c r="J906">
        <v>37.638300000000001</v>
      </c>
      <c r="K906">
        <v>23.829799999999999</v>
      </c>
      <c r="L906">
        <v>47</v>
      </c>
      <c r="M906">
        <v>0</v>
      </c>
      <c r="N906">
        <v>0</v>
      </c>
      <c r="O906">
        <v>39.549500000000002</v>
      </c>
      <c r="P906">
        <v>22.465199999999999</v>
      </c>
      <c r="Q906">
        <v>8.2728999999999999</v>
      </c>
    </row>
    <row r="907" spans="1:17" x14ac:dyDescent="0.25">
      <c r="A907" t="str">
        <f>IF(C907&amp;G907&amp;D907&lt;&gt;'Funnel setup'!$K$3&amp;'Funnel setup'!$K$4&amp;'Funnel setup'!$K$6,".",IF(A906=".",1,A906+1))</f>
        <v>.</v>
      </c>
      <c r="B907" s="244" t="str">
        <f t="shared" si="14"/>
        <v>Hip Replacement PrimaryProviderMERIDEN HOSPITAL (NT424)Oxford Hip Score</v>
      </c>
      <c r="C907" t="s">
        <v>749</v>
      </c>
      <c r="D907" t="s">
        <v>965</v>
      </c>
      <c r="E907" t="s">
        <v>322</v>
      </c>
      <c r="F907" t="s">
        <v>323</v>
      </c>
      <c r="G907" t="s">
        <v>964</v>
      </c>
      <c r="H907">
        <v>6</v>
      </c>
      <c r="I907">
        <v>15.333299999999999</v>
      </c>
      <c r="J907">
        <v>43.833300000000001</v>
      </c>
      <c r="K907">
        <v>28.5</v>
      </c>
      <c r="L907">
        <v>6</v>
      </c>
      <c r="M907">
        <v>0</v>
      </c>
      <c r="N907">
        <v>0</v>
      </c>
      <c r="O907" t="s">
        <v>127</v>
      </c>
      <c r="P907" t="s">
        <v>127</v>
      </c>
      <c r="Q907" t="s">
        <v>127</v>
      </c>
    </row>
    <row r="908" spans="1:17" x14ac:dyDescent="0.25">
      <c r="A908" t="str">
        <f>IF(C908&amp;G908&amp;D908&lt;&gt;'Funnel setup'!$K$3&amp;'Funnel setup'!$K$4&amp;'Funnel setup'!$K$6,".",IF(A907=".",1,A907+1))</f>
        <v>.</v>
      </c>
      <c r="B908" s="244" t="str">
        <f t="shared" si="14"/>
        <v>Hip Replacement PrimaryProviderMID AND SOUTH ESSEX NHS FOUNDATION TRUST (RAJ)Oxford Hip Score</v>
      </c>
      <c r="C908" t="s">
        <v>749</v>
      </c>
      <c r="D908" t="s">
        <v>965</v>
      </c>
      <c r="E908" t="s">
        <v>324</v>
      </c>
      <c r="F908" t="s">
        <v>325</v>
      </c>
      <c r="G908" t="s">
        <v>964</v>
      </c>
      <c r="H908">
        <v>123</v>
      </c>
      <c r="I908">
        <v>14.032500000000001</v>
      </c>
      <c r="J908">
        <v>39.195099999999996</v>
      </c>
      <c r="K908">
        <v>25.162600000000001</v>
      </c>
      <c r="L908">
        <v>122</v>
      </c>
      <c r="M908">
        <v>0</v>
      </c>
      <c r="N908">
        <v>1</v>
      </c>
      <c r="O908">
        <v>40.8431</v>
      </c>
      <c r="P908">
        <v>23.758800000000001</v>
      </c>
      <c r="Q908">
        <v>7.4924799999999996</v>
      </c>
    </row>
    <row r="909" spans="1:17" x14ac:dyDescent="0.25">
      <c r="A909" t="str">
        <f>IF(C909&amp;G909&amp;D909&lt;&gt;'Funnel setup'!$K$3&amp;'Funnel setup'!$K$4&amp;'Funnel setup'!$K$6,".",IF(A908=".",1,A908+1))</f>
        <v>.</v>
      </c>
      <c r="B909" s="244" t="str">
        <f t="shared" si="14"/>
        <v>Hip Replacement PrimaryProviderMID CHESHIRE HOSPITALS NHS FOUNDATION TRUST (RBT)Oxford Hip Score</v>
      </c>
      <c r="C909" t="s">
        <v>749</v>
      </c>
      <c r="D909" t="s">
        <v>965</v>
      </c>
      <c r="E909" t="s">
        <v>326</v>
      </c>
      <c r="F909" t="s">
        <v>327</v>
      </c>
      <c r="G909" t="s">
        <v>964</v>
      </c>
      <c r="H909">
        <v>108</v>
      </c>
      <c r="I909">
        <v>16.444400000000002</v>
      </c>
      <c r="J909">
        <v>41.148099999999999</v>
      </c>
      <c r="K909">
        <v>24.703700000000001</v>
      </c>
      <c r="L909">
        <v>107</v>
      </c>
      <c r="M909">
        <v>1</v>
      </c>
      <c r="N909">
        <v>0</v>
      </c>
      <c r="O909">
        <v>41.149000000000001</v>
      </c>
      <c r="P909">
        <v>24.064699999999998</v>
      </c>
      <c r="Q909">
        <v>7.2168599999999996</v>
      </c>
    </row>
    <row r="910" spans="1:17" x14ac:dyDescent="0.25">
      <c r="A910" t="str">
        <f>IF(C910&amp;G910&amp;D910&lt;&gt;'Funnel setup'!$K$3&amp;'Funnel setup'!$K$4&amp;'Funnel setup'!$K$6,".",IF(A909=".",1,A909+1))</f>
        <v>.</v>
      </c>
      <c r="B910" s="244" t="str">
        <f t="shared" si="14"/>
        <v>Hip Replacement PrimaryProviderMID YORKSHIRE TEACHING NHS TRUST (RXF)Oxford Hip Score</v>
      </c>
      <c r="C910" t="s">
        <v>749</v>
      </c>
      <c r="D910" t="s">
        <v>965</v>
      </c>
      <c r="E910" t="s">
        <v>330</v>
      </c>
      <c r="F910" t="s">
        <v>331</v>
      </c>
      <c r="G910" t="s">
        <v>964</v>
      </c>
      <c r="H910">
        <v>172</v>
      </c>
      <c r="I910">
        <v>16.517399999999999</v>
      </c>
      <c r="J910">
        <v>38.325600000000001</v>
      </c>
      <c r="K910">
        <v>21.8081</v>
      </c>
      <c r="L910">
        <v>168</v>
      </c>
      <c r="M910">
        <v>0</v>
      </c>
      <c r="N910">
        <v>4</v>
      </c>
      <c r="O910">
        <v>39.148400000000002</v>
      </c>
      <c r="P910">
        <v>22.0641</v>
      </c>
      <c r="Q910">
        <v>9.43736</v>
      </c>
    </row>
    <row r="911" spans="1:17" x14ac:dyDescent="0.25">
      <c r="A911" t="str">
        <f>IF(C911&amp;G911&amp;D911&lt;&gt;'Funnel setup'!$K$3&amp;'Funnel setup'!$K$4&amp;'Funnel setup'!$K$6,".",IF(A910=".",1,A910+1))</f>
        <v>.</v>
      </c>
      <c r="B911" s="244" t="str">
        <f t="shared" si="14"/>
        <v>Hip Replacement PrimaryProviderMILTON KEYNES UNIVERSITY HOSPITAL NHS FOUNDATION TRUST (RD8)Oxford Hip Score</v>
      </c>
      <c r="C911" t="s">
        <v>749</v>
      </c>
      <c r="D911" t="s">
        <v>965</v>
      </c>
      <c r="E911" t="s">
        <v>332</v>
      </c>
      <c r="F911" t="s">
        <v>333</v>
      </c>
      <c r="G911" t="s">
        <v>964</v>
      </c>
      <c r="H911">
        <v>39</v>
      </c>
      <c r="I911">
        <v>12.333299999999999</v>
      </c>
      <c r="J911">
        <v>39.1282</v>
      </c>
      <c r="K911">
        <v>26.794899999999998</v>
      </c>
      <c r="L911">
        <v>39</v>
      </c>
      <c r="M911">
        <v>0</v>
      </c>
      <c r="N911">
        <v>0</v>
      </c>
      <c r="O911">
        <v>41.694200000000002</v>
      </c>
      <c r="P911">
        <v>24.6099</v>
      </c>
      <c r="Q911">
        <v>8.9549199999999995</v>
      </c>
    </row>
    <row r="912" spans="1:17" x14ac:dyDescent="0.25">
      <c r="A912" t="str">
        <f>IF(C912&amp;G912&amp;D912&lt;&gt;'Funnel setup'!$K$3&amp;'Funnel setup'!$K$4&amp;'Funnel setup'!$K$6,".",IF(A911=".",1,A911+1))</f>
        <v>.</v>
      </c>
      <c r="B912" s="244" t="str">
        <f t="shared" si="14"/>
        <v>Hip Replacement PrimaryProviderMOUNT ALVERNIA HOSPITAL (NT455)Oxford Hip Score</v>
      </c>
      <c r="C912" t="s">
        <v>749</v>
      </c>
      <c r="D912" t="s">
        <v>965</v>
      </c>
      <c r="E912" t="s">
        <v>334</v>
      </c>
      <c r="F912" t="s">
        <v>335</v>
      </c>
      <c r="G912" t="s">
        <v>964</v>
      </c>
      <c r="H912">
        <v>8</v>
      </c>
      <c r="I912">
        <v>23.25</v>
      </c>
      <c r="J912">
        <v>46.25</v>
      </c>
      <c r="K912">
        <v>23</v>
      </c>
      <c r="L912">
        <v>8</v>
      </c>
      <c r="M912">
        <v>0</v>
      </c>
      <c r="N912">
        <v>0</v>
      </c>
      <c r="O912" t="s">
        <v>127</v>
      </c>
      <c r="P912" t="s">
        <v>127</v>
      </c>
      <c r="Q912" t="s">
        <v>127</v>
      </c>
    </row>
    <row r="913" spans="1:17" x14ac:dyDescent="0.25">
      <c r="A913" t="str">
        <f>IF(C913&amp;G913&amp;D913&lt;&gt;'Funnel setup'!$K$3&amp;'Funnel setup'!$K$4&amp;'Funnel setup'!$K$6,".",IF(A912=".",1,A912+1))</f>
        <v>.</v>
      </c>
      <c r="B913" s="244" t="str">
        <f t="shared" si="14"/>
        <v>Hip Replacement PrimaryProviderMOUNT STUART HOSPITAL (NVC08)Oxford Hip Score</v>
      </c>
      <c r="C913" t="s">
        <v>749</v>
      </c>
      <c r="D913" t="s">
        <v>965</v>
      </c>
      <c r="E913" t="s">
        <v>336</v>
      </c>
      <c r="F913" t="s">
        <v>337</v>
      </c>
      <c r="G913" t="s">
        <v>964</v>
      </c>
      <c r="H913">
        <v>88</v>
      </c>
      <c r="I913">
        <v>16.329499999999999</v>
      </c>
      <c r="J913">
        <v>40.8977</v>
      </c>
      <c r="K913">
        <v>24.568200000000001</v>
      </c>
      <c r="L913">
        <v>87</v>
      </c>
      <c r="M913">
        <v>0</v>
      </c>
      <c r="N913">
        <v>1</v>
      </c>
      <c r="O913">
        <v>41.171599999999998</v>
      </c>
      <c r="P913">
        <v>24.087299999999999</v>
      </c>
      <c r="Q913">
        <v>7.6870200000000004</v>
      </c>
    </row>
    <row r="914" spans="1:17" x14ac:dyDescent="0.25">
      <c r="A914" t="str">
        <f>IF(C914&amp;G914&amp;D914&lt;&gt;'Funnel setup'!$K$3&amp;'Funnel setup'!$K$4&amp;'Funnel setup'!$K$6,".",IF(A913=".",1,A913+1))</f>
        <v>.</v>
      </c>
      <c r="B914" s="244" t="str">
        <f t="shared" si="14"/>
        <v>Hip Replacement PrimaryProviderNEW HALL HOSPITAL (NVC09)Oxford Hip Score</v>
      </c>
      <c r="C914" t="s">
        <v>749</v>
      </c>
      <c r="D914" t="s">
        <v>965</v>
      </c>
      <c r="E914" t="s">
        <v>338</v>
      </c>
      <c r="F914" t="s">
        <v>339</v>
      </c>
      <c r="G914" t="s">
        <v>964</v>
      </c>
      <c r="H914">
        <v>94</v>
      </c>
      <c r="I914">
        <v>18.170200000000001</v>
      </c>
      <c r="J914">
        <v>41.659599999999998</v>
      </c>
      <c r="K914">
        <v>23.4894</v>
      </c>
      <c r="L914">
        <v>94</v>
      </c>
      <c r="M914">
        <v>0</v>
      </c>
      <c r="N914">
        <v>0</v>
      </c>
      <c r="O914">
        <v>40.030900000000003</v>
      </c>
      <c r="P914">
        <v>22.9466</v>
      </c>
      <c r="Q914">
        <v>7.3256300000000003</v>
      </c>
    </row>
    <row r="915" spans="1:17" x14ac:dyDescent="0.25">
      <c r="A915" t="str">
        <f>IF(C915&amp;G915&amp;D915&lt;&gt;'Funnel setup'!$K$3&amp;'Funnel setup'!$K$4&amp;'Funnel setup'!$K$6,".",IF(A914=".",1,A914+1))</f>
        <v>.</v>
      </c>
      <c r="B915" s="244" t="str">
        <f t="shared" si="14"/>
        <v>Hip Replacement PrimaryProviderNORFOLK AND NORWICH UNIVERSITY HOSPITALS NHS FOUNDATION TRUST (RM1)Oxford Hip Score</v>
      </c>
      <c r="C915" t="s">
        <v>749</v>
      </c>
      <c r="D915" t="s">
        <v>965</v>
      </c>
      <c r="E915" t="s">
        <v>340</v>
      </c>
      <c r="F915" t="s">
        <v>341</v>
      </c>
      <c r="G915" t="s">
        <v>964</v>
      </c>
      <c r="H915">
        <v>183</v>
      </c>
      <c r="I915">
        <v>14.0219</v>
      </c>
      <c r="J915">
        <v>37.868899999999996</v>
      </c>
      <c r="K915">
        <v>23.847000000000001</v>
      </c>
      <c r="L915">
        <v>178</v>
      </c>
      <c r="M915">
        <v>0</v>
      </c>
      <c r="N915">
        <v>5</v>
      </c>
      <c r="O915">
        <v>39.548200000000001</v>
      </c>
      <c r="P915">
        <v>22.463899999999999</v>
      </c>
      <c r="Q915">
        <v>9.4013000000000009</v>
      </c>
    </row>
    <row r="916" spans="1:17" x14ac:dyDescent="0.25">
      <c r="A916" t="str">
        <f>IF(C916&amp;G916&amp;D916&lt;&gt;'Funnel setup'!$K$3&amp;'Funnel setup'!$K$4&amp;'Funnel setup'!$K$6,".",IF(A915=".",1,A915+1))</f>
        <v>.</v>
      </c>
      <c r="B916" s="244" t="str">
        <f t="shared" si="14"/>
        <v>Hip Replacement PrimaryProviderNORTH BRISTOL NHS TRUST (RVJ)Oxford Hip Score</v>
      </c>
      <c r="C916" t="s">
        <v>749</v>
      </c>
      <c r="D916" t="s">
        <v>965</v>
      </c>
      <c r="E916" t="s">
        <v>342</v>
      </c>
      <c r="F916" t="s">
        <v>343</v>
      </c>
      <c r="G916" t="s">
        <v>964</v>
      </c>
      <c r="H916">
        <v>6</v>
      </c>
      <c r="I916">
        <v>8.8333300000000001</v>
      </c>
      <c r="J916">
        <v>37.666699999999999</v>
      </c>
      <c r="K916">
        <v>28.833300000000001</v>
      </c>
      <c r="L916">
        <v>6</v>
      </c>
      <c r="M916">
        <v>0</v>
      </c>
      <c r="N916">
        <v>0</v>
      </c>
      <c r="O916" t="s">
        <v>127</v>
      </c>
      <c r="P916" t="s">
        <v>127</v>
      </c>
      <c r="Q916" t="s">
        <v>127</v>
      </c>
    </row>
    <row r="917" spans="1:17" x14ac:dyDescent="0.25">
      <c r="A917" t="str">
        <f>IF(C917&amp;G917&amp;D917&lt;&gt;'Funnel setup'!$K$3&amp;'Funnel setup'!$K$4&amp;'Funnel setup'!$K$6,".",IF(A916=".",1,A916+1))</f>
        <v>.</v>
      </c>
      <c r="B917" s="244" t="str">
        <f t="shared" si="14"/>
        <v>Hip Replacement PrimaryProviderNORTH CUMBRIA INTEGRATED CARE NHS FOUNDATION TRUST (RNN)Oxford Hip Score</v>
      </c>
      <c r="C917" t="s">
        <v>749</v>
      </c>
      <c r="D917" t="s">
        <v>965</v>
      </c>
      <c r="E917" t="s">
        <v>344</v>
      </c>
      <c r="F917" t="s">
        <v>345</v>
      </c>
      <c r="G917" t="s">
        <v>964</v>
      </c>
      <c r="H917">
        <v>82</v>
      </c>
      <c r="I917">
        <v>11.7561</v>
      </c>
      <c r="J917">
        <v>38.646299999999997</v>
      </c>
      <c r="K917">
        <v>26.8902</v>
      </c>
      <c r="L917">
        <v>82</v>
      </c>
      <c r="M917">
        <v>0</v>
      </c>
      <c r="N917">
        <v>0</v>
      </c>
      <c r="O917">
        <v>40.856400000000001</v>
      </c>
      <c r="P917">
        <v>23.772099999999998</v>
      </c>
      <c r="Q917">
        <v>8.3369400000000002</v>
      </c>
    </row>
    <row r="918" spans="1:17" x14ac:dyDescent="0.25">
      <c r="A918" t="str">
        <f>IF(C918&amp;G918&amp;D918&lt;&gt;'Funnel setup'!$K$3&amp;'Funnel setup'!$K$4&amp;'Funnel setup'!$K$6,".",IF(A917=".",1,A917+1))</f>
        <v>.</v>
      </c>
      <c r="B918" s="244" t="str">
        <f t="shared" si="14"/>
        <v>Hip Replacement PrimaryProviderNORTH DOWNS HOSPITAL (NVC11)Oxford Hip Score</v>
      </c>
      <c r="C918" t="s">
        <v>749</v>
      </c>
      <c r="D918" t="s">
        <v>965</v>
      </c>
      <c r="E918" t="s">
        <v>348</v>
      </c>
      <c r="F918" t="s">
        <v>349</v>
      </c>
      <c r="G918" t="s">
        <v>964</v>
      </c>
      <c r="H918">
        <v>60</v>
      </c>
      <c r="I918">
        <v>20.066700000000001</v>
      </c>
      <c r="J918">
        <v>43.366700000000002</v>
      </c>
      <c r="K918">
        <v>23.3</v>
      </c>
      <c r="L918">
        <v>59</v>
      </c>
      <c r="M918">
        <v>0</v>
      </c>
      <c r="N918">
        <v>1</v>
      </c>
      <c r="O918">
        <v>41.273000000000003</v>
      </c>
      <c r="P918">
        <v>24.188700000000001</v>
      </c>
      <c r="Q918">
        <v>6.0577399999999999</v>
      </c>
    </row>
    <row r="919" spans="1:17" x14ac:dyDescent="0.25">
      <c r="A919" t="str">
        <f>IF(C919&amp;G919&amp;D919&lt;&gt;'Funnel setup'!$K$3&amp;'Funnel setup'!$K$4&amp;'Funnel setup'!$K$6,".",IF(A918=".",1,A918+1))</f>
        <v>.</v>
      </c>
      <c r="B919" s="244" t="str">
        <f t="shared" si="14"/>
        <v>Hip Replacement PrimaryProviderNORTH MIDDLESEX UNIVERSITY HOSPITAL NHS TRUST (RAP)Oxford Hip Score</v>
      </c>
      <c r="C919" t="s">
        <v>749</v>
      </c>
      <c r="D919" t="s">
        <v>965</v>
      </c>
      <c r="E919" t="s">
        <v>350</v>
      </c>
      <c r="F919" t="s">
        <v>351</v>
      </c>
      <c r="G919" t="s">
        <v>964</v>
      </c>
      <c r="H919">
        <v>8</v>
      </c>
      <c r="I919">
        <v>12.5</v>
      </c>
      <c r="J919">
        <v>26.25</v>
      </c>
      <c r="K919">
        <v>13.75</v>
      </c>
      <c r="L919">
        <v>6</v>
      </c>
      <c r="M919">
        <v>1</v>
      </c>
      <c r="N919">
        <v>1</v>
      </c>
      <c r="O919" t="s">
        <v>127</v>
      </c>
      <c r="P919" t="s">
        <v>127</v>
      </c>
      <c r="Q919" t="s">
        <v>127</v>
      </c>
    </row>
    <row r="920" spans="1:17" x14ac:dyDescent="0.25">
      <c r="A920" t="str">
        <f>IF(C920&amp;G920&amp;D920&lt;&gt;'Funnel setup'!$K$3&amp;'Funnel setup'!$K$4&amp;'Funnel setup'!$K$6,".",IF(A919=".",1,A919+1))</f>
        <v>.</v>
      </c>
      <c r="B920" s="244" t="str">
        <f t="shared" si="14"/>
        <v>Hip Replacement PrimaryProviderNORTH TEES AND HARTLEPOOL NHS FOUNDATION TRUST (RVW)Oxford Hip Score</v>
      </c>
      <c r="C920" t="s">
        <v>749</v>
      </c>
      <c r="D920" t="s">
        <v>965</v>
      </c>
      <c r="E920" t="s">
        <v>352</v>
      </c>
      <c r="F920" t="s">
        <v>353</v>
      </c>
      <c r="G920" t="s">
        <v>964</v>
      </c>
      <c r="H920">
        <v>107</v>
      </c>
      <c r="I920">
        <v>14.018700000000001</v>
      </c>
      <c r="J920">
        <v>37.626199999999997</v>
      </c>
      <c r="K920">
        <v>23.607500000000002</v>
      </c>
      <c r="L920">
        <v>106</v>
      </c>
      <c r="M920">
        <v>0</v>
      </c>
      <c r="N920">
        <v>1</v>
      </c>
      <c r="O920">
        <v>39.799399999999999</v>
      </c>
      <c r="P920">
        <v>22.7151</v>
      </c>
      <c r="Q920">
        <v>9.0048399999999997</v>
      </c>
    </row>
    <row r="921" spans="1:17" x14ac:dyDescent="0.25">
      <c r="A921" t="str">
        <f>IF(C921&amp;G921&amp;D921&lt;&gt;'Funnel setup'!$K$3&amp;'Funnel setup'!$K$4&amp;'Funnel setup'!$K$6,".",IF(A920=".",1,A920+1))</f>
        <v>.</v>
      </c>
      <c r="B921" s="244" t="str">
        <f t="shared" si="14"/>
        <v>Hip Replacement PrimaryProviderNORTH WEST ANGLIA NHS FOUNDATION TRUST (RGN)Oxford Hip Score</v>
      </c>
      <c r="C921" t="s">
        <v>749</v>
      </c>
      <c r="D921" t="s">
        <v>965</v>
      </c>
      <c r="E921" t="s">
        <v>354</v>
      </c>
      <c r="F921" t="s">
        <v>355</v>
      </c>
      <c r="G921" t="s">
        <v>964</v>
      </c>
      <c r="H921">
        <v>172</v>
      </c>
      <c r="I921">
        <v>13.6744</v>
      </c>
      <c r="J921">
        <v>38.691899999999997</v>
      </c>
      <c r="K921">
        <v>25.017399999999999</v>
      </c>
      <c r="L921">
        <v>169</v>
      </c>
      <c r="M921">
        <v>0</v>
      </c>
      <c r="N921">
        <v>3</v>
      </c>
      <c r="O921">
        <v>40.318800000000003</v>
      </c>
      <c r="P921">
        <v>23.234500000000001</v>
      </c>
      <c r="Q921">
        <v>8.7276000000000007</v>
      </c>
    </row>
    <row r="922" spans="1:17" x14ac:dyDescent="0.25">
      <c r="A922" t="str">
        <f>IF(C922&amp;G922&amp;D922&lt;&gt;'Funnel setup'!$K$3&amp;'Funnel setup'!$K$4&amp;'Funnel setup'!$K$6,".",IF(A921=".",1,A921+1))</f>
        <v>.</v>
      </c>
      <c r="B922" s="244" t="str">
        <f t="shared" si="14"/>
        <v>Hip Replacement PrimaryProviderNORTHAMPTON GENERAL HOSPITAL NHS TRUST (RNS)Oxford Hip Score</v>
      </c>
      <c r="C922" t="s">
        <v>749</v>
      </c>
      <c r="D922" t="s">
        <v>965</v>
      </c>
      <c r="E922" t="s">
        <v>356</v>
      </c>
      <c r="F922" t="s">
        <v>357</v>
      </c>
      <c r="G922" t="s">
        <v>964</v>
      </c>
      <c r="H922">
        <v>40</v>
      </c>
      <c r="I922">
        <v>13.35</v>
      </c>
      <c r="J922">
        <v>38.524999999999999</v>
      </c>
      <c r="K922">
        <v>25.175000000000001</v>
      </c>
      <c r="L922">
        <v>40</v>
      </c>
      <c r="M922">
        <v>0</v>
      </c>
      <c r="N922">
        <v>0</v>
      </c>
      <c r="O922">
        <v>40.934399999999997</v>
      </c>
      <c r="P922">
        <v>23.850100000000001</v>
      </c>
      <c r="Q922">
        <v>8.5278799999999997</v>
      </c>
    </row>
    <row r="923" spans="1:17" x14ac:dyDescent="0.25">
      <c r="A923" t="str">
        <f>IF(C923&amp;G923&amp;D923&lt;&gt;'Funnel setup'!$K$3&amp;'Funnel setup'!$K$4&amp;'Funnel setup'!$K$6,".",IF(A922=".",1,A922+1))</f>
        <v>.</v>
      </c>
      <c r="B923" s="244" t="str">
        <f t="shared" si="14"/>
        <v>Hip Replacement PrimaryProviderNORTHERN CARE ALLIANCE NHS FOUNDATION TRUST (RM3)Oxford Hip Score</v>
      </c>
      <c r="C923" t="s">
        <v>749</v>
      </c>
      <c r="D923" t="s">
        <v>965</v>
      </c>
      <c r="E923" t="s">
        <v>358</v>
      </c>
      <c r="F923" t="s">
        <v>359</v>
      </c>
      <c r="G923" t="s">
        <v>964</v>
      </c>
      <c r="H923">
        <v>5</v>
      </c>
      <c r="I923">
        <v>11.2</v>
      </c>
      <c r="J923">
        <v>43.4</v>
      </c>
      <c r="K923">
        <v>32.200000000000003</v>
      </c>
      <c r="L923">
        <v>5</v>
      </c>
      <c r="M923">
        <v>0</v>
      </c>
      <c r="N923">
        <v>0</v>
      </c>
      <c r="O923" t="s">
        <v>127</v>
      </c>
      <c r="P923" t="s">
        <v>127</v>
      </c>
      <c r="Q923" t="s">
        <v>127</v>
      </c>
    </row>
    <row r="924" spans="1:17" x14ac:dyDescent="0.25">
      <c r="A924" t="str">
        <f>IF(C924&amp;G924&amp;D924&lt;&gt;'Funnel setup'!$K$3&amp;'Funnel setup'!$K$4&amp;'Funnel setup'!$K$6,".",IF(A923=".",1,A923+1))</f>
        <v>.</v>
      </c>
      <c r="B924" s="244" t="str">
        <f t="shared" si="14"/>
        <v>Hip Replacement PrimaryProviderNORTHERN DEVON HEALTHCARE NHS TRUST (RBZ)Oxford Hip Score</v>
      </c>
      <c r="C924" t="s">
        <v>749</v>
      </c>
      <c r="D924" t="s">
        <v>965</v>
      </c>
      <c r="E924" t="s">
        <v>360</v>
      </c>
      <c r="F924" t="s">
        <v>361</v>
      </c>
      <c r="G924" t="s">
        <v>964</v>
      </c>
      <c r="H924">
        <v>32</v>
      </c>
      <c r="I924">
        <v>15.0313</v>
      </c>
      <c r="J924">
        <v>40.5</v>
      </c>
      <c r="K924">
        <v>25.468800000000002</v>
      </c>
      <c r="L924">
        <v>32</v>
      </c>
      <c r="M924">
        <v>0</v>
      </c>
      <c r="N924">
        <v>0</v>
      </c>
      <c r="O924">
        <v>42.001399999999997</v>
      </c>
      <c r="P924">
        <v>24.917100000000001</v>
      </c>
      <c r="Q924">
        <v>6.37887</v>
      </c>
    </row>
    <row r="925" spans="1:17" x14ac:dyDescent="0.25">
      <c r="A925" t="str">
        <f>IF(C925&amp;G925&amp;D925&lt;&gt;'Funnel setup'!$K$3&amp;'Funnel setup'!$K$4&amp;'Funnel setup'!$K$6,".",IF(A924=".",1,A924+1))</f>
        <v>.</v>
      </c>
      <c r="B925" s="244" t="str">
        <f t="shared" si="14"/>
        <v>Hip Replacement PrimaryProviderNORTHERN LINCOLNSHIRE AND GOOLE NHS FOUNDATION TRUST (RJL)Oxford Hip Score</v>
      </c>
      <c r="C925" t="s">
        <v>749</v>
      </c>
      <c r="D925" t="s">
        <v>965</v>
      </c>
      <c r="E925" t="s">
        <v>362</v>
      </c>
      <c r="F925" t="s">
        <v>363</v>
      </c>
      <c r="G925" t="s">
        <v>964</v>
      </c>
      <c r="H925">
        <v>95</v>
      </c>
      <c r="I925">
        <v>14.4316</v>
      </c>
      <c r="J925">
        <v>38.2211</v>
      </c>
      <c r="K925">
        <v>23.7895</v>
      </c>
      <c r="L925">
        <v>91</v>
      </c>
      <c r="M925">
        <v>1</v>
      </c>
      <c r="N925">
        <v>3</v>
      </c>
      <c r="O925">
        <v>39.566499999999998</v>
      </c>
      <c r="P925">
        <v>22.482199999999999</v>
      </c>
      <c r="Q925">
        <v>9.1414500000000007</v>
      </c>
    </row>
    <row r="926" spans="1:17" x14ac:dyDescent="0.25">
      <c r="A926" t="str">
        <f>IF(C926&amp;G926&amp;D926&lt;&gt;'Funnel setup'!$K$3&amp;'Funnel setup'!$K$4&amp;'Funnel setup'!$K$6,".",IF(A925=".",1,A925+1))</f>
        <v>.</v>
      </c>
      <c r="B926" s="244" t="str">
        <f t="shared" si="14"/>
        <v>Hip Replacement PrimaryProviderNORTHUMBRIA HEALTHCARE NHS FOUNDATION TRUST (RTF)Oxford Hip Score</v>
      </c>
      <c r="C926" t="s">
        <v>749</v>
      </c>
      <c r="D926" t="s">
        <v>965</v>
      </c>
      <c r="E926" t="s">
        <v>364</v>
      </c>
      <c r="F926" t="s">
        <v>365</v>
      </c>
      <c r="G926" t="s">
        <v>964</v>
      </c>
      <c r="H926">
        <v>301</v>
      </c>
      <c r="I926">
        <v>15.986700000000001</v>
      </c>
      <c r="J926">
        <v>40.661099999999998</v>
      </c>
      <c r="K926">
        <v>24.674399999999999</v>
      </c>
      <c r="L926">
        <v>297</v>
      </c>
      <c r="M926">
        <v>0</v>
      </c>
      <c r="N926">
        <v>4</v>
      </c>
      <c r="O926">
        <v>41.030799999999999</v>
      </c>
      <c r="P926">
        <v>23.9465</v>
      </c>
      <c r="Q926">
        <v>8.1289300000000004</v>
      </c>
    </row>
    <row r="927" spans="1:17" x14ac:dyDescent="0.25">
      <c r="A927" t="str">
        <f>IF(C927&amp;G927&amp;D927&lt;&gt;'Funnel setup'!$K$3&amp;'Funnel setup'!$K$4&amp;'Funnel setup'!$K$6,".",IF(A926=".",1,A926+1))</f>
        <v>.</v>
      </c>
      <c r="B927" s="244" t="str">
        <f t="shared" si="14"/>
        <v>Hip Replacement PrimaryProviderNOTTINGHAM UNIVERSITY HOSPITALS NHS TRUST (RX1)Oxford Hip Score</v>
      </c>
      <c r="C927" t="s">
        <v>749</v>
      </c>
      <c r="D927" t="s">
        <v>965</v>
      </c>
      <c r="E927" t="s">
        <v>366</v>
      </c>
      <c r="F927" t="s">
        <v>367</v>
      </c>
      <c r="G927" t="s">
        <v>964</v>
      </c>
      <c r="H927">
        <v>3</v>
      </c>
      <c r="I927">
        <v>17.666699999999999</v>
      </c>
      <c r="J927">
        <v>38.666699999999999</v>
      </c>
      <c r="K927">
        <v>21</v>
      </c>
      <c r="L927">
        <v>3</v>
      </c>
      <c r="M927">
        <v>0</v>
      </c>
      <c r="N927">
        <v>0</v>
      </c>
      <c r="O927" t="s">
        <v>127</v>
      </c>
      <c r="P927" t="s">
        <v>127</v>
      </c>
      <c r="Q927" t="s">
        <v>127</v>
      </c>
    </row>
    <row r="928" spans="1:17" x14ac:dyDescent="0.25">
      <c r="A928" t="str">
        <f>IF(C928&amp;G928&amp;D928&lt;&gt;'Funnel setup'!$K$3&amp;'Funnel setup'!$K$4&amp;'Funnel setup'!$K$6,".",IF(A927=".",1,A927+1))</f>
        <v>.</v>
      </c>
      <c r="B928" s="244" t="str">
        <f t="shared" si="14"/>
        <v>Hip Replacement PrimaryProviderNUFFIELD HEALTH, BOURNEMOUTH HOSPITAL (NT202)Oxford Hip Score</v>
      </c>
      <c r="C928" t="s">
        <v>749</v>
      </c>
      <c r="D928" t="s">
        <v>965</v>
      </c>
      <c r="E928" t="s">
        <v>368</v>
      </c>
      <c r="F928" t="s">
        <v>369</v>
      </c>
      <c r="G928" t="s">
        <v>964</v>
      </c>
      <c r="H928">
        <v>14</v>
      </c>
      <c r="I928">
        <v>16.357099999999999</v>
      </c>
      <c r="J928">
        <v>43.285699999999999</v>
      </c>
      <c r="K928">
        <v>26.928599999999999</v>
      </c>
      <c r="L928">
        <v>14</v>
      </c>
      <c r="M928">
        <v>0</v>
      </c>
      <c r="N928">
        <v>0</v>
      </c>
      <c r="O928" t="s">
        <v>127</v>
      </c>
      <c r="P928" t="s">
        <v>127</v>
      </c>
      <c r="Q928" t="s">
        <v>127</v>
      </c>
    </row>
    <row r="929" spans="1:17" x14ac:dyDescent="0.25">
      <c r="A929" t="str">
        <f>IF(C929&amp;G929&amp;D929&lt;&gt;'Funnel setup'!$K$3&amp;'Funnel setup'!$K$4&amp;'Funnel setup'!$K$6,".",IF(A928=".",1,A928+1))</f>
        <v>.</v>
      </c>
      <c r="B929" s="244" t="str">
        <f t="shared" si="14"/>
        <v>Hip Replacement PrimaryProviderNUFFIELD HEALTH, BRENTWOOD HOSPITAL (NT204)Oxford Hip Score</v>
      </c>
      <c r="C929" t="s">
        <v>749</v>
      </c>
      <c r="D929" t="s">
        <v>965</v>
      </c>
      <c r="E929" t="s">
        <v>370</v>
      </c>
      <c r="F929" t="s">
        <v>371</v>
      </c>
      <c r="G929" t="s">
        <v>964</v>
      </c>
      <c r="H929">
        <v>16</v>
      </c>
      <c r="I929">
        <v>14.375</v>
      </c>
      <c r="J929">
        <v>42.875</v>
      </c>
      <c r="K929">
        <v>28.5</v>
      </c>
      <c r="L929">
        <v>16</v>
      </c>
      <c r="M929">
        <v>0</v>
      </c>
      <c r="N929">
        <v>0</v>
      </c>
      <c r="O929" t="s">
        <v>127</v>
      </c>
      <c r="P929" t="s">
        <v>127</v>
      </c>
      <c r="Q929" t="s">
        <v>127</v>
      </c>
    </row>
    <row r="930" spans="1:17" x14ac:dyDescent="0.25">
      <c r="A930" t="str">
        <f>IF(C930&amp;G930&amp;D930&lt;&gt;'Funnel setup'!$K$3&amp;'Funnel setup'!$K$4&amp;'Funnel setup'!$K$6,".",IF(A929=".",1,A929+1))</f>
        <v>.</v>
      </c>
      <c r="B930" s="244" t="str">
        <f t="shared" si="14"/>
        <v>Hip Replacement PrimaryProviderNUFFIELD HEALTH, BRIGHTON HOSPITAL (NT205)Oxford Hip Score</v>
      </c>
      <c r="C930" t="s">
        <v>749</v>
      </c>
      <c r="D930" t="s">
        <v>965</v>
      </c>
      <c r="E930" t="s">
        <v>372</v>
      </c>
      <c r="F930" t="s">
        <v>373</v>
      </c>
      <c r="G930" t="s">
        <v>964</v>
      </c>
      <c r="H930">
        <v>3</v>
      </c>
      <c r="I930">
        <v>12.333299999999999</v>
      </c>
      <c r="J930">
        <v>37</v>
      </c>
      <c r="K930">
        <v>24.666699999999999</v>
      </c>
      <c r="L930">
        <v>3</v>
      </c>
      <c r="M930">
        <v>0</v>
      </c>
      <c r="N930">
        <v>0</v>
      </c>
      <c r="O930" t="s">
        <v>127</v>
      </c>
      <c r="P930" t="s">
        <v>127</v>
      </c>
      <c r="Q930" t="s">
        <v>127</v>
      </c>
    </row>
    <row r="931" spans="1:17" x14ac:dyDescent="0.25">
      <c r="A931" t="str">
        <f>IF(C931&amp;G931&amp;D931&lt;&gt;'Funnel setup'!$K$3&amp;'Funnel setup'!$K$4&amp;'Funnel setup'!$K$6,".",IF(A930=".",1,A930+1))</f>
        <v>.</v>
      </c>
      <c r="B931" s="244" t="str">
        <f t="shared" si="14"/>
        <v>Hip Replacement PrimaryProviderNUFFIELD HEALTH, BRISTOL HOSPITAL (CHESTERFIELD) (NT206)Oxford Hip Score</v>
      </c>
      <c r="C931" t="s">
        <v>749</v>
      </c>
      <c r="D931" t="s">
        <v>965</v>
      </c>
      <c r="E931" t="s">
        <v>374</v>
      </c>
      <c r="F931" t="s">
        <v>375</v>
      </c>
      <c r="G931" t="s">
        <v>964</v>
      </c>
      <c r="H931">
        <v>53</v>
      </c>
      <c r="I931">
        <v>17.735800000000001</v>
      </c>
      <c r="J931">
        <v>43.867899999999999</v>
      </c>
      <c r="K931">
        <v>26.132100000000001</v>
      </c>
      <c r="L931">
        <v>53</v>
      </c>
      <c r="M931">
        <v>0</v>
      </c>
      <c r="N931">
        <v>0</v>
      </c>
      <c r="O931">
        <v>42.7883</v>
      </c>
      <c r="P931">
        <v>25.7041</v>
      </c>
      <c r="Q931">
        <v>5.3597599999999996</v>
      </c>
    </row>
    <row r="932" spans="1:17" x14ac:dyDescent="0.25">
      <c r="A932" t="str">
        <f>IF(C932&amp;G932&amp;D932&lt;&gt;'Funnel setup'!$K$3&amp;'Funnel setup'!$K$4&amp;'Funnel setup'!$K$6,".",IF(A931=".",1,A931+1))</f>
        <v>.</v>
      </c>
      <c r="B932" s="244" t="str">
        <f t="shared" si="14"/>
        <v>Hip Replacement PrimaryProviderNUFFIELD HEALTH, CAMBRIDGE HOSPITAL (NT209)Oxford Hip Score</v>
      </c>
      <c r="C932" t="s">
        <v>749</v>
      </c>
      <c r="D932" t="s">
        <v>965</v>
      </c>
      <c r="E932" t="s">
        <v>376</v>
      </c>
      <c r="F932" t="s">
        <v>377</v>
      </c>
      <c r="G932" t="s">
        <v>964</v>
      </c>
      <c r="H932">
        <v>22</v>
      </c>
      <c r="I932">
        <v>17</v>
      </c>
      <c r="J932">
        <v>42.909100000000002</v>
      </c>
      <c r="K932">
        <v>25.909099999999999</v>
      </c>
      <c r="L932">
        <v>22</v>
      </c>
      <c r="M932">
        <v>0</v>
      </c>
      <c r="N932">
        <v>0</v>
      </c>
      <c r="O932" t="s">
        <v>127</v>
      </c>
      <c r="P932" t="s">
        <v>127</v>
      </c>
      <c r="Q932" t="s">
        <v>127</v>
      </c>
    </row>
    <row r="933" spans="1:17" x14ac:dyDescent="0.25">
      <c r="A933" t="str">
        <f>IF(C933&amp;G933&amp;D933&lt;&gt;'Funnel setup'!$K$3&amp;'Funnel setup'!$K$4&amp;'Funnel setup'!$K$6,".",IF(A932=".",1,A932+1))</f>
        <v>.</v>
      </c>
      <c r="B933" s="244" t="str">
        <f t="shared" si="14"/>
        <v>Hip Replacement PrimaryProviderNUFFIELD HEALTH, CHELTENHAM HOSPITAL (NT211)Oxford Hip Score</v>
      </c>
      <c r="C933" t="s">
        <v>749</v>
      </c>
      <c r="D933" t="s">
        <v>965</v>
      </c>
      <c r="E933" t="s">
        <v>378</v>
      </c>
      <c r="F933" t="s">
        <v>379</v>
      </c>
      <c r="G933" t="s">
        <v>964</v>
      </c>
      <c r="H933">
        <v>1</v>
      </c>
      <c r="I933">
        <v>18</v>
      </c>
      <c r="J933">
        <v>46</v>
      </c>
      <c r="K933">
        <v>28</v>
      </c>
      <c r="L933">
        <v>1</v>
      </c>
      <c r="M933">
        <v>0</v>
      </c>
      <c r="N933">
        <v>0</v>
      </c>
      <c r="O933" t="s">
        <v>127</v>
      </c>
      <c r="P933" t="s">
        <v>127</v>
      </c>
      <c r="Q933" t="s">
        <v>127</v>
      </c>
    </row>
    <row r="934" spans="1:17" x14ac:dyDescent="0.25">
      <c r="A934" t="str">
        <f>IF(C934&amp;G934&amp;D934&lt;&gt;'Funnel setup'!$K$3&amp;'Funnel setup'!$K$4&amp;'Funnel setup'!$K$6,".",IF(A933=".",1,A933+1))</f>
        <v>.</v>
      </c>
      <c r="B934" s="244" t="str">
        <f t="shared" si="14"/>
        <v>Hip Replacement PrimaryProviderNUFFIELD HEALTH, CHICHESTER HOSPITAL (NT212)Oxford Hip Score</v>
      </c>
      <c r="C934" t="s">
        <v>749</v>
      </c>
      <c r="D934" t="s">
        <v>965</v>
      </c>
      <c r="E934" t="s">
        <v>380</v>
      </c>
      <c r="F934" t="s">
        <v>381</v>
      </c>
      <c r="G934" t="s">
        <v>964</v>
      </c>
      <c r="H934">
        <v>20</v>
      </c>
      <c r="I934">
        <v>16.95</v>
      </c>
      <c r="J934">
        <v>39.5</v>
      </c>
      <c r="K934">
        <v>22.55</v>
      </c>
      <c r="L934">
        <v>20</v>
      </c>
      <c r="M934">
        <v>0</v>
      </c>
      <c r="N934">
        <v>0</v>
      </c>
      <c r="O934" t="s">
        <v>127</v>
      </c>
      <c r="P934" t="s">
        <v>127</v>
      </c>
      <c r="Q934" t="s">
        <v>127</v>
      </c>
    </row>
    <row r="935" spans="1:17" x14ac:dyDescent="0.25">
      <c r="A935" t="str">
        <f>IF(C935&amp;G935&amp;D935&lt;&gt;'Funnel setup'!$K$3&amp;'Funnel setup'!$K$4&amp;'Funnel setup'!$K$6,".",IF(A934=".",1,A934+1))</f>
        <v>.</v>
      </c>
      <c r="B935" s="244" t="str">
        <f t="shared" si="14"/>
        <v>Hip Replacement PrimaryProviderNUFFIELD HEALTH, DERBY HOSPITAL (NT213)Oxford Hip Score</v>
      </c>
      <c r="C935" t="s">
        <v>749</v>
      </c>
      <c r="D935" t="s">
        <v>965</v>
      </c>
      <c r="E935" t="s">
        <v>382</v>
      </c>
      <c r="F935" t="s">
        <v>383</v>
      </c>
      <c r="G935" t="s">
        <v>964</v>
      </c>
      <c r="H935">
        <v>53</v>
      </c>
      <c r="I935">
        <v>19.113199999999999</v>
      </c>
      <c r="J935">
        <v>42.320799999999998</v>
      </c>
      <c r="K935">
        <v>23.2075</v>
      </c>
      <c r="L935">
        <v>53</v>
      </c>
      <c r="M935">
        <v>0</v>
      </c>
      <c r="N935">
        <v>0</v>
      </c>
      <c r="O935">
        <v>41.182400000000001</v>
      </c>
      <c r="P935">
        <v>24.098099999999999</v>
      </c>
      <c r="Q935">
        <v>6.2285300000000001</v>
      </c>
    </row>
    <row r="936" spans="1:17" x14ac:dyDescent="0.25">
      <c r="A936" t="str">
        <f>IF(C936&amp;G936&amp;D936&lt;&gt;'Funnel setup'!$K$3&amp;'Funnel setup'!$K$4&amp;'Funnel setup'!$K$6,".",IF(A935=".",1,A935+1))</f>
        <v>.</v>
      </c>
      <c r="B936" s="244" t="str">
        <f t="shared" si="14"/>
        <v>Hip Replacement PrimaryProviderNUFFIELD HEALTH, EXETER HOSPITAL (NT215)Oxford Hip Score</v>
      </c>
      <c r="C936" t="s">
        <v>749</v>
      </c>
      <c r="D936" t="s">
        <v>965</v>
      </c>
      <c r="E936" t="s">
        <v>384</v>
      </c>
      <c r="F936" t="s">
        <v>385</v>
      </c>
      <c r="G936" t="s">
        <v>964</v>
      </c>
      <c r="H936">
        <v>3</v>
      </c>
      <c r="I936">
        <v>15</v>
      </c>
      <c r="J936">
        <v>47</v>
      </c>
      <c r="K936">
        <v>32</v>
      </c>
      <c r="L936">
        <v>3</v>
      </c>
      <c r="M936">
        <v>0</v>
      </c>
      <c r="N936">
        <v>0</v>
      </c>
      <c r="O936" t="s">
        <v>127</v>
      </c>
      <c r="P936" t="s">
        <v>127</v>
      </c>
      <c r="Q936" t="s">
        <v>127</v>
      </c>
    </row>
    <row r="937" spans="1:17" x14ac:dyDescent="0.25">
      <c r="A937" t="str">
        <f>IF(C937&amp;G937&amp;D937&lt;&gt;'Funnel setup'!$K$3&amp;'Funnel setup'!$K$4&amp;'Funnel setup'!$K$6,".",IF(A936=".",1,A936+1))</f>
        <v>.</v>
      </c>
      <c r="B937" s="244" t="str">
        <f t="shared" si="14"/>
        <v>Hip Replacement PrimaryProviderNUFFIELD HEALTH, HAYWARDS HEATH HOSPITAL (NT218)Oxford Hip Score</v>
      </c>
      <c r="C937" t="s">
        <v>749</v>
      </c>
      <c r="D937" t="s">
        <v>965</v>
      </c>
      <c r="E937" t="s">
        <v>386</v>
      </c>
      <c r="F937" t="s">
        <v>387</v>
      </c>
      <c r="G937" t="s">
        <v>964</v>
      </c>
      <c r="H937">
        <v>21</v>
      </c>
      <c r="I937">
        <v>17.8095</v>
      </c>
      <c r="J937">
        <v>44.285699999999999</v>
      </c>
      <c r="K937">
        <v>26.476199999999999</v>
      </c>
      <c r="L937">
        <v>21</v>
      </c>
      <c r="M937">
        <v>0</v>
      </c>
      <c r="N937">
        <v>0</v>
      </c>
      <c r="O937" t="s">
        <v>127</v>
      </c>
      <c r="P937" t="s">
        <v>127</v>
      </c>
      <c r="Q937" t="s">
        <v>127</v>
      </c>
    </row>
    <row r="938" spans="1:17" x14ac:dyDescent="0.25">
      <c r="A938" t="str">
        <f>IF(C938&amp;G938&amp;D938&lt;&gt;'Funnel setup'!$K$3&amp;'Funnel setup'!$K$4&amp;'Funnel setup'!$K$6,".",IF(A937=".",1,A937+1))</f>
        <v>.</v>
      </c>
      <c r="B938" s="244" t="str">
        <f t="shared" si="14"/>
        <v>Hip Replacement PrimaryProviderNUFFIELD HEALTH, HEREFORD HOSPITAL (NT219)Oxford Hip Score</v>
      </c>
      <c r="C938" t="s">
        <v>749</v>
      </c>
      <c r="D938" t="s">
        <v>965</v>
      </c>
      <c r="E938" t="s">
        <v>388</v>
      </c>
      <c r="F938" t="s">
        <v>389</v>
      </c>
      <c r="G938" t="s">
        <v>964</v>
      </c>
      <c r="H938">
        <v>8</v>
      </c>
      <c r="I938">
        <v>18.625</v>
      </c>
      <c r="J938">
        <v>41.375</v>
      </c>
      <c r="K938">
        <v>22.75</v>
      </c>
      <c r="L938">
        <v>8</v>
      </c>
      <c r="M938">
        <v>0</v>
      </c>
      <c r="N938">
        <v>0</v>
      </c>
      <c r="O938" t="s">
        <v>127</v>
      </c>
      <c r="P938" t="s">
        <v>127</v>
      </c>
      <c r="Q938" t="s">
        <v>127</v>
      </c>
    </row>
    <row r="939" spans="1:17" x14ac:dyDescent="0.25">
      <c r="A939" t="str">
        <f>IF(C939&amp;G939&amp;D939&lt;&gt;'Funnel setup'!$K$3&amp;'Funnel setup'!$K$4&amp;'Funnel setup'!$K$6,".",IF(A938=".",1,A938+1))</f>
        <v>.</v>
      </c>
      <c r="B939" s="244" t="str">
        <f t="shared" si="14"/>
        <v>Hip Replacement PrimaryProviderNUFFIELD HEALTH, IPSWICH HOSPITAL (NT222)Oxford Hip Score</v>
      </c>
      <c r="C939" t="s">
        <v>749</v>
      </c>
      <c r="D939" t="s">
        <v>965</v>
      </c>
      <c r="E939" t="s">
        <v>390</v>
      </c>
      <c r="F939" t="s">
        <v>391</v>
      </c>
      <c r="G939" t="s">
        <v>964</v>
      </c>
      <c r="H939">
        <v>8</v>
      </c>
      <c r="I939">
        <v>17.375</v>
      </c>
      <c r="J939">
        <v>41.875</v>
      </c>
      <c r="K939">
        <v>24.5</v>
      </c>
      <c r="L939">
        <v>8</v>
      </c>
      <c r="M939">
        <v>0</v>
      </c>
      <c r="N939">
        <v>0</v>
      </c>
      <c r="O939" t="s">
        <v>127</v>
      </c>
      <c r="P939" t="s">
        <v>127</v>
      </c>
      <c r="Q939" t="s">
        <v>127</v>
      </c>
    </row>
    <row r="940" spans="1:17" x14ac:dyDescent="0.25">
      <c r="A940" t="str">
        <f>IF(C940&amp;G940&amp;D940&lt;&gt;'Funnel setup'!$K$3&amp;'Funnel setup'!$K$4&amp;'Funnel setup'!$K$6,".",IF(A939=".",1,A939+1))</f>
        <v>.</v>
      </c>
      <c r="B940" s="244" t="str">
        <f t="shared" si="14"/>
        <v>Hip Replacement PrimaryProviderNUFFIELD HEALTH, LEEDS HOSPITAL (NT225)Oxford Hip Score</v>
      </c>
      <c r="C940" t="s">
        <v>749</v>
      </c>
      <c r="D940" t="s">
        <v>965</v>
      </c>
      <c r="E940" t="s">
        <v>392</v>
      </c>
      <c r="F940" t="s">
        <v>393</v>
      </c>
      <c r="G940" t="s">
        <v>964</v>
      </c>
      <c r="H940">
        <v>118</v>
      </c>
      <c r="I940">
        <v>18.050799999999999</v>
      </c>
      <c r="J940">
        <v>41.254199999999997</v>
      </c>
      <c r="K940">
        <v>23.203399999999998</v>
      </c>
      <c r="L940">
        <v>117</v>
      </c>
      <c r="M940">
        <v>0</v>
      </c>
      <c r="N940">
        <v>1</v>
      </c>
      <c r="O940">
        <v>40.323399999999999</v>
      </c>
      <c r="P940">
        <v>23.239100000000001</v>
      </c>
      <c r="Q940">
        <v>7.4010699999999998</v>
      </c>
    </row>
    <row r="941" spans="1:17" x14ac:dyDescent="0.25">
      <c r="A941" t="str">
        <f>IF(C941&amp;G941&amp;D941&lt;&gt;'Funnel setup'!$K$3&amp;'Funnel setup'!$K$4&amp;'Funnel setup'!$K$6,".",IF(A940=".",1,A940+1))</f>
        <v>.</v>
      </c>
      <c r="B941" s="244" t="str">
        <f t="shared" si="14"/>
        <v>Hip Replacement PrimaryProviderNUFFIELD HEALTH, LEICESTER HOSPITAL (NT226)Oxford Hip Score</v>
      </c>
      <c r="C941" t="s">
        <v>749</v>
      </c>
      <c r="D941" t="s">
        <v>965</v>
      </c>
      <c r="E941" t="s">
        <v>394</v>
      </c>
      <c r="F941" t="s">
        <v>395</v>
      </c>
      <c r="G941" t="s">
        <v>964</v>
      </c>
      <c r="H941">
        <v>34</v>
      </c>
      <c r="I941">
        <v>17.735299999999999</v>
      </c>
      <c r="J941">
        <v>40.588200000000001</v>
      </c>
      <c r="K941">
        <v>22.852900000000002</v>
      </c>
      <c r="L941">
        <v>32</v>
      </c>
      <c r="M941">
        <v>0</v>
      </c>
      <c r="N941">
        <v>2</v>
      </c>
      <c r="O941">
        <v>40.037300000000002</v>
      </c>
      <c r="P941">
        <v>22.952999999999999</v>
      </c>
      <c r="Q941">
        <v>8.5119799999999994</v>
      </c>
    </row>
    <row r="942" spans="1:17" x14ac:dyDescent="0.25">
      <c r="A942" t="str">
        <f>IF(C942&amp;G942&amp;D942&lt;&gt;'Funnel setup'!$K$3&amp;'Funnel setup'!$K$4&amp;'Funnel setup'!$K$6,".",IF(A941=".",1,A941+1))</f>
        <v>.</v>
      </c>
      <c r="B942" s="244" t="str">
        <f t="shared" si="14"/>
        <v>Hip Replacement PrimaryProviderNUFFIELD HEALTH, NEWCASTLE UPON TYNE HOSPITAL (NT229)Oxford Hip Score</v>
      </c>
      <c r="C942" t="s">
        <v>749</v>
      </c>
      <c r="D942" t="s">
        <v>965</v>
      </c>
      <c r="E942" t="s">
        <v>396</v>
      </c>
      <c r="F942" t="s">
        <v>397</v>
      </c>
      <c r="G942" t="s">
        <v>964</v>
      </c>
      <c r="H942">
        <v>50</v>
      </c>
      <c r="I942">
        <v>17.899999999999999</v>
      </c>
      <c r="J942">
        <v>40.880000000000003</v>
      </c>
      <c r="K942">
        <v>22.98</v>
      </c>
      <c r="L942">
        <v>50</v>
      </c>
      <c r="M942">
        <v>0</v>
      </c>
      <c r="N942">
        <v>0</v>
      </c>
      <c r="O942">
        <v>40.196199999999997</v>
      </c>
      <c r="P942">
        <v>23.111899999999999</v>
      </c>
      <c r="Q942">
        <v>7.2707199999999998</v>
      </c>
    </row>
    <row r="943" spans="1:17" x14ac:dyDescent="0.25">
      <c r="A943" t="str">
        <f>IF(C943&amp;G943&amp;D943&lt;&gt;'Funnel setup'!$K$3&amp;'Funnel setup'!$K$4&amp;'Funnel setup'!$K$6,".",IF(A942=".",1,A942+1))</f>
        <v>.</v>
      </c>
      <c r="B943" s="244" t="str">
        <f t="shared" si="14"/>
        <v>Hip Replacement PrimaryProviderNUFFIELD HEALTH, NORTH STAFFORDSHIRE HOSPITAL (NT230)Oxford Hip Score</v>
      </c>
      <c r="C943" t="s">
        <v>749</v>
      </c>
      <c r="D943" t="s">
        <v>965</v>
      </c>
      <c r="E943" t="s">
        <v>398</v>
      </c>
      <c r="F943" t="s">
        <v>399</v>
      </c>
      <c r="G943" t="s">
        <v>964</v>
      </c>
      <c r="H943">
        <v>35</v>
      </c>
      <c r="I943">
        <v>16.857099999999999</v>
      </c>
      <c r="J943">
        <v>39.4</v>
      </c>
      <c r="K943">
        <v>22.542899999999999</v>
      </c>
      <c r="L943">
        <v>34</v>
      </c>
      <c r="M943">
        <v>0</v>
      </c>
      <c r="N943">
        <v>1</v>
      </c>
      <c r="O943">
        <v>39.202399999999997</v>
      </c>
      <c r="P943">
        <v>22.118200000000002</v>
      </c>
      <c r="Q943">
        <v>9.5856899999999996</v>
      </c>
    </row>
    <row r="944" spans="1:17" x14ac:dyDescent="0.25">
      <c r="A944" t="str">
        <f>IF(C944&amp;G944&amp;D944&lt;&gt;'Funnel setup'!$K$3&amp;'Funnel setup'!$K$4&amp;'Funnel setup'!$K$6,".",IF(A943=".",1,A943+1))</f>
        <v>.</v>
      </c>
      <c r="B944" s="244" t="str">
        <f t="shared" si="14"/>
        <v>Hip Replacement PrimaryProviderNUFFIELD HEALTH, PLYMOUTH HOSPITAL (NT233)Oxford Hip Score</v>
      </c>
      <c r="C944" t="s">
        <v>749</v>
      </c>
      <c r="D944" t="s">
        <v>965</v>
      </c>
      <c r="E944" t="s">
        <v>400</v>
      </c>
      <c r="F944" t="s">
        <v>401</v>
      </c>
      <c r="G944" t="s">
        <v>964</v>
      </c>
      <c r="H944">
        <v>66</v>
      </c>
      <c r="I944">
        <v>17.2273</v>
      </c>
      <c r="J944">
        <v>42.060600000000001</v>
      </c>
      <c r="K944">
        <v>24.833300000000001</v>
      </c>
      <c r="L944">
        <v>66</v>
      </c>
      <c r="M944">
        <v>0</v>
      </c>
      <c r="N944">
        <v>0</v>
      </c>
      <c r="O944">
        <v>41.191899999999997</v>
      </c>
      <c r="P944">
        <v>24.107600000000001</v>
      </c>
      <c r="Q944">
        <v>7.4642600000000003</v>
      </c>
    </row>
    <row r="945" spans="1:17" x14ac:dyDescent="0.25">
      <c r="A945" t="str">
        <f>IF(C945&amp;G945&amp;D945&lt;&gt;'Funnel setup'!$K$3&amp;'Funnel setup'!$K$4&amp;'Funnel setup'!$K$6,".",IF(A944=".",1,A944+1))</f>
        <v>.</v>
      </c>
      <c r="B945" s="244" t="str">
        <f t="shared" si="14"/>
        <v>Hip Replacement PrimaryProviderNUFFIELD HEALTH, SHREWSBURY HOSPITAL (NT235)Oxford Hip Score</v>
      </c>
      <c r="C945" t="s">
        <v>749</v>
      </c>
      <c r="D945" t="s">
        <v>965</v>
      </c>
      <c r="E945" t="s">
        <v>402</v>
      </c>
      <c r="F945" t="s">
        <v>403</v>
      </c>
      <c r="G945" t="s">
        <v>964</v>
      </c>
      <c r="H945">
        <v>8</v>
      </c>
      <c r="I945">
        <v>13.75</v>
      </c>
      <c r="J945">
        <v>41.75</v>
      </c>
      <c r="K945">
        <v>28</v>
      </c>
      <c r="L945">
        <v>8</v>
      </c>
      <c r="M945">
        <v>0</v>
      </c>
      <c r="N945">
        <v>0</v>
      </c>
      <c r="O945" t="s">
        <v>127</v>
      </c>
      <c r="P945" t="s">
        <v>127</v>
      </c>
      <c r="Q945" t="s">
        <v>127</v>
      </c>
    </row>
    <row r="946" spans="1:17" x14ac:dyDescent="0.25">
      <c r="A946" t="str">
        <f>IF(C946&amp;G946&amp;D946&lt;&gt;'Funnel setup'!$K$3&amp;'Funnel setup'!$K$4&amp;'Funnel setup'!$K$6,".",IF(A945=".",1,A945+1))</f>
        <v>.</v>
      </c>
      <c r="B946" s="244" t="str">
        <f t="shared" si="14"/>
        <v>Hip Replacement PrimaryProviderNUFFIELD HEALTH, TAUNTON HOSPITAL (NT238)Oxford Hip Score</v>
      </c>
      <c r="C946" t="s">
        <v>749</v>
      </c>
      <c r="D946" t="s">
        <v>965</v>
      </c>
      <c r="E946" t="s">
        <v>404</v>
      </c>
      <c r="F946" t="s">
        <v>405</v>
      </c>
      <c r="G946" t="s">
        <v>964</v>
      </c>
      <c r="H946">
        <v>22</v>
      </c>
      <c r="I946">
        <v>17.2727</v>
      </c>
      <c r="J946">
        <v>42.863599999999998</v>
      </c>
      <c r="K946">
        <v>25.590900000000001</v>
      </c>
      <c r="L946">
        <v>22</v>
      </c>
      <c r="M946">
        <v>0</v>
      </c>
      <c r="N946">
        <v>0</v>
      </c>
      <c r="O946" t="s">
        <v>127</v>
      </c>
      <c r="P946" t="s">
        <v>127</v>
      </c>
      <c r="Q946" t="s">
        <v>127</v>
      </c>
    </row>
    <row r="947" spans="1:17" x14ac:dyDescent="0.25">
      <c r="A947" t="str">
        <f>IF(C947&amp;G947&amp;D947&lt;&gt;'Funnel setup'!$K$3&amp;'Funnel setup'!$K$4&amp;'Funnel setup'!$K$6,".",IF(A946=".",1,A946+1))</f>
        <v>.</v>
      </c>
      <c r="B947" s="244" t="str">
        <f t="shared" si="14"/>
        <v>Hip Replacement PrimaryProviderNUFFIELD HEALTH, TEES HOSPITAL (NT237)Oxford Hip Score</v>
      </c>
      <c r="C947" t="s">
        <v>749</v>
      </c>
      <c r="D947" t="s">
        <v>965</v>
      </c>
      <c r="E947" t="s">
        <v>406</v>
      </c>
      <c r="F947" t="s">
        <v>407</v>
      </c>
      <c r="G947" t="s">
        <v>964</v>
      </c>
      <c r="H947">
        <v>146</v>
      </c>
      <c r="I947">
        <v>18.5274</v>
      </c>
      <c r="J947">
        <v>41.212299999999999</v>
      </c>
      <c r="K947">
        <v>22.684899999999999</v>
      </c>
      <c r="L947">
        <v>142</v>
      </c>
      <c r="M947">
        <v>2</v>
      </c>
      <c r="N947">
        <v>2</v>
      </c>
      <c r="O947">
        <v>39.945900000000002</v>
      </c>
      <c r="P947">
        <v>22.861599999999999</v>
      </c>
      <c r="Q947">
        <v>7.6624499999999998</v>
      </c>
    </row>
    <row r="948" spans="1:17" x14ac:dyDescent="0.25">
      <c r="A948" t="str">
        <f>IF(C948&amp;G948&amp;D948&lt;&gt;'Funnel setup'!$K$3&amp;'Funnel setup'!$K$4&amp;'Funnel setup'!$K$6,".",IF(A947=".",1,A947+1))</f>
        <v>.</v>
      </c>
      <c r="B948" s="244" t="str">
        <f t="shared" si="14"/>
        <v>Hip Replacement PrimaryProviderNUFFIELD HEALTH, THE GROSVENOR HOSPITAL, CHESTER (NT210)Oxford Hip Score</v>
      </c>
      <c r="C948" t="s">
        <v>749</v>
      </c>
      <c r="D948" t="s">
        <v>965</v>
      </c>
      <c r="E948" t="s">
        <v>408</v>
      </c>
      <c r="F948" t="s">
        <v>409</v>
      </c>
      <c r="G948" t="s">
        <v>964</v>
      </c>
      <c r="H948">
        <v>14</v>
      </c>
      <c r="I948">
        <v>16.642900000000001</v>
      </c>
      <c r="J948">
        <v>41.785699999999999</v>
      </c>
      <c r="K948">
        <v>25.142900000000001</v>
      </c>
      <c r="L948">
        <v>14</v>
      </c>
      <c r="M948">
        <v>0</v>
      </c>
      <c r="N948">
        <v>0</v>
      </c>
      <c r="O948" t="s">
        <v>127</v>
      </c>
      <c r="P948" t="s">
        <v>127</v>
      </c>
      <c r="Q948" t="s">
        <v>127</v>
      </c>
    </row>
    <row r="949" spans="1:17" x14ac:dyDescent="0.25">
      <c r="A949" t="str">
        <f>IF(C949&amp;G949&amp;D949&lt;&gt;'Funnel setup'!$K$3&amp;'Funnel setup'!$K$4&amp;'Funnel setup'!$K$6,".",IF(A948=".",1,A948+1))</f>
        <v>.</v>
      </c>
      <c r="B949" s="244" t="str">
        <f t="shared" si="14"/>
        <v>Hip Replacement PrimaryProviderNUFFIELD HEALTH, TUNBRIDGE WELLS HOSPITAL (NT239)Oxford Hip Score</v>
      </c>
      <c r="C949" t="s">
        <v>749</v>
      </c>
      <c r="D949" t="s">
        <v>965</v>
      </c>
      <c r="E949" t="s">
        <v>410</v>
      </c>
      <c r="F949" t="s">
        <v>411</v>
      </c>
      <c r="G949" t="s">
        <v>964</v>
      </c>
      <c r="H949">
        <v>6</v>
      </c>
      <c r="I949">
        <v>18.833300000000001</v>
      </c>
      <c r="J949">
        <v>37.166699999999999</v>
      </c>
      <c r="K949">
        <v>18.333300000000001</v>
      </c>
      <c r="L949">
        <v>6</v>
      </c>
      <c r="M949">
        <v>0</v>
      </c>
      <c r="N949">
        <v>0</v>
      </c>
      <c r="O949" t="s">
        <v>127</v>
      </c>
      <c r="P949" t="s">
        <v>127</v>
      </c>
      <c r="Q949" t="s">
        <v>127</v>
      </c>
    </row>
    <row r="950" spans="1:17" x14ac:dyDescent="0.25">
      <c r="A950" t="str">
        <f>IF(C950&amp;G950&amp;D950&lt;&gt;'Funnel setup'!$K$3&amp;'Funnel setup'!$K$4&amp;'Funnel setup'!$K$6,".",IF(A949=".",1,A949+1))</f>
        <v>.</v>
      </c>
      <c r="B950" s="244" t="str">
        <f t="shared" si="14"/>
        <v>Hip Replacement PrimaryProviderNUFFIELD HEALTH, WARWICKSHIRE HOSPITAL (NT224)Oxford Hip Score</v>
      </c>
      <c r="C950" t="s">
        <v>749</v>
      </c>
      <c r="D950" t="s">
        <v>965</v>
      </c>
      <c r="E950" t="s">
        <v>412</v>
      </c>
      <c r="F950" t="s">
        <v>413</v>
      </c>
      <c r="G950" t="s">
        <v>964</v>
      </c>
      <c r="H950">
        <v>19</v>
      </c>
      <c r="I950">
        <v>21.684200000000001</v>
      </c>
      <c r="J950">
        <v>41.684199999999997</v>
      </c>
      <c r="K950">
        <v>20</v>
      </c>
      <c r="L950">
        <v>18</v>
      </c>
      <c r="M950">
        <v>0</v>
      </c>
      <c r="N950">
        <v>1</v>
      </c>
      <c r="O950" t="s">
        <v>127</v>
      </c>
      <c r="P950" t="s">
        <v>127</v>
      </c>
      <c r="Q950" t="s">
        <v>127</v>
      </c>
    </row>
    <row r="951" spans="1:17" x14ac:dyDescent="0.25">
      <c r="A951" t="str">
        <f>IF(C951&amp;G951&amp;D951&lt;&gt;'Funnel setup'!$K$3&amp;'Funnel setup'!$K$4&amp;'Funnel setup'!$K$6,".",IF(A950=".",1,A950+1))</f>
        <v>.</v>
      </c>
      <c r="B951" s="244" t="str">
        <f t="shared" si="14"/>
        <v>Hip Replacement PrimaryProviderNUFFIELD HEALTH, WESSEX HOSPITAL (NT214)Oxford Hip Score</v>
      </c>
      <c r="C951" t="s">
        <v>749</v>
      </c>
      <c r="D951" t="s">
        <v>965</v>
      </c>
      <c r="E951" t="s">
        <v>414</v>
      </c>
      <c r="F951" t="s">
        <v>415</v>
      </c>
      <c r="G951" t="s">
        <v>964</v>
      </c>
      <c r="H951">
        <v>35</v>
      </c>
      <c r="I951">
        <v>20.485700000000001</v>
      </c>
      <c r="J951">
        <v>41.6571</v>
      </c>
      <c r="K951">
        <v>21.171399999999998</v>
      </c>
      <c r="L951">
        <v>35</v>
      </c>
      <c r="M951">
        <v>0</v>
      </c>
      <c r="N951">
        <v>0</v>
      </c>
      <c r="O951">
        <v>39.778599999999997</v>
      </c>
      <c r="P951">
        <v>22.694299999999998</v>
      </c>
      <c r="Q951">
        <v>5.9701000000000004</v>
      </c>
    </row>
    <row r="952" spans="1:17" x14ac:dyDescent="0.25">
      <c r="A952" t="str">
        <f>IF(C952&amp;G952&amp;D952&lt;&gt;'Funnel setup'!$K$3&amp;'Funnel setup'!$K$4&amp;'Funnel setup'!$K$6,".",IF(A951=".",1,A951+1))</f>
        <v>.</v>
      </c>
      <c r="B952" s="244" t="str">
        <f t="shared" si="14"/>
        <v>Hip Replacement PrimaryProviderNUFFIELD HEALTH, WOLVERHAMPTON HOSPITAL (NT242)Oxford Hip Score</v>
      </c>
      <c r="C952" t="s">
        <v>749</v>
      </c>
      <c r="D952" t="s">
        <v>965</v>
      </c>
      <c r="E952" t="s">
        <v>418</v>
      </c>
      <c r="F952" t="s">
        <v>419</v>
      </c>
      <c r="G952" t="s">
        <v>964</v>
      </c>
      <c r="H952">
        <v>4</v>
      </c>
      <c r="I952">
        <v>22.75</v>
      </c>
      <c r="J952">
        <v>40.75</v>
      </c>
      <c r="K952">
        <v>18</v>
      </c>
      <c r="L952">
        <v>4</v>
      </c>
      <c r="M952">
        <v>0</v>
      </c>
      <c r="N952">
        <v>0</v>
      </c>
      <c r="O952" t="s">
        <v>127</v>
      </c>
      <c r="P952" t="s">
        <v>127</v>
      </c>
      <c r="Q952" t="s">
        <v>127</v>
      </c>
    </row>
    <row r="953" spans="1:17" x14ac:dyDescent="0.25">
      <c r="A953" t="str">
        <f>IF(C953&amp;G953&amp;D953&lt;&gt;'Funnel setup'!$K$3&amp;'Funnel setup'!$K$4&amp;'Funnel setup'!$K$6,".",IF(A952=".",1,A952+1))</f>
        <v>.</v>
      </c>
      <c r="B953" s="244" t="str">
        <f t="shared" si="14"/>
        <v>Hip Replacement PrimaryProviderNUFFIELD HEALTH, YORK HOSPITAL (NT245)Oxford Hip Score</v>
      </c>
      <c r="C953" t="s">
        <v>749</v>
      </c>
      <c r="D953" t="s">
        <v>965</v>
      </c>
      <c r="E953" t="s">
        <v>420</v>
      </c>
      <c r="F953" t="s">
        <v>421</v>
      </c>
      <c r="G953" t="s">
        <v>964</v>
      </c>
      <c r="H953">
        <v>80</v>
      </c>
      <c r="I953">
        <v>17.012499999999999</v>
      </c>
      <c r="J953">
        <v>42.05</v>
      </c>
      <c r="K953">
        <v>25.037500000000001</v>
      </c>
      <c r="L953">
        <v>79</v>
      </c>
      <c r="M953">
        <v>0</v>
      </c>
      <c r="N953">
        <v>1</v>
      </c>
      <c r="O953">
        <v>41.880800000000001</v>
      </c>
      <c r="P953">
        <v>24.796500000000002</v>
      </c>
      <c r="Q953">
        <v>7.3975400000000002</v>
      </c>
    </row>
    <row r="954" spans="1:17" x14ac:dyDescent="0.25">
      <c r="A954" t="str">
        <f>IF(C954&amp;G954&amp;D954&lt;&gt;'Funnel setup'!$K$3&amp;'Funnel setup'!$K$4&amp;'Funnel setup'!$K$6,".",IF(A953=".",1,A953+1))</f>
        <v>.</v>
      </c>
      <c r="B954" s="244" t="str">
        <f t="shared" si="14"/>
        <v>Hip Replacement PrimaryProviderOAKLANDS HOSPITAL (NVC12)Oxford Hip Score</v>
      </c>
      <c r="C954" t="s">
        <v>749</v>
      </c>
      <c r="D954" t="s">
        <v>965</v>
      </c>
      <c r="E954" t="s">
        <v>424</v>
      </c>
      <c r="F954" t="s">
        <v>425</v>
      </c>
      <c r="G954" t="s">
        <v>964</v>
      </c>
      <c r="H954">
        <v>65</v>
      </c>
      <c r="I954">
        <v>15.9846</v>
      </c>
      <c r="J954">
        <v>37.830800000000004</v>
      </c>
      <c r="K954">
        <v>21.8462</v>
      </c>
      <c r="L954">
        <v>62</v>
      </c>
      <c r="M954">
        <v>0</v>
      </c>
      <c r="N954">
        <v>3</v>
      </c>
      <c r="O954">
        <v>38.185400000000001</v>
      </c>
      <c r="P954">
        <v>21.101099999999999</v>
      </c>
      <c r="Q954">
        <v>9.2427700000000002</v>
      </c>
    </row>
    <row r="955" spans="1:17" x14ac:dyDescent="0.25">
      <c r="A955" t="str">
        <f>IF(C955&amp;G955&amp;D955&lt;&gt;'Funnel setup'!$K$3&amp;'Funnel setup'!$K$4&amp;'Funnel setup'!$K$6,".",IF(A954=".",1,A954+1))</f>
        <v>.</v>
      </c>
      <c r="B955" s="244" t="str">
        <f t="shared" si="14"/>
        <v>Hip Replacement PrimaryProviderOAKS HOSPITAL (NVC13)Oxford Hip Score</v>
      </c>
      <c r="C955" t="s">
        <v>749</v>
      </c>
      <c r="D955" t="s">
        <v>965</v>
      </c>
      <c r="E955" t="s">
        <v>426</v>
      </c>
      <c r="F955" t="s">
        <v>427</v>
      </c>
      <c r="G955" t="s">
        <v>964</v>
      </c>
      <c r="H955">
        <v>7</v>
      </c>
      <c r="I955">
        <v>21.142900000000001</v>
      </c>
      <c r="J955">
        <v>42.285699999999999</v>
      </c>
      <c r="K955">
        <v>21.142900000000001</v>
      </c>
      <c r="L955">
        <v>7</v>
      </c>
      <c r="M955">
        <v>0</v>
      </c>
      <c r="N955">
        <v>0</v>
      </c>
      <c r="O955" t="s">
        <v>127</v>
      </c>
      <c r="P955" t="s">
        <v>127</v>
      </c>
      <c r="Q955" t="s">
        <v>127</v>
      </c>
    </row>
    <row r="956" spans="1:17" x14ac:dyDescent="0.25">
      <c r="A956" t="str">
        <f>IF(C956&amp;G956&amp;D956&lt;&gt;'Funnel setup'!$K$3&amp;'Funnel setup'!$K$4&amp;'Funnel setup'!$K$6,".",IF(A955=".",1,A955+1))</f>
        <v>.</v>
      </c>
      <c r="B956" s="244" t="str">
        <f t="shared" si="14"/>
        <v>Hip Replacement PrimaryProviderONE HEALTHCARE (AVQ)Oxford Hip Score</v>
      </c>
      <c r="C956" t="s">
        <v>749</v>
      </c>
      <c r="D956" t="s">
        <v>965</v>
      </c>
      <c r="E956" t="s">
        <v>434</v>
      </c>
      <c r="F956" t="s">
        <v>435</v>
      </c>
      <c r="G956" t="s">
        <v>964</v>
      </c>
      <c r="H956">
        <v>53</v>
      </c>
      <c r="I956">
        <v>18.132100000000001</v>
      </c>
      <c r="J956">
        <v>42.660400000000003</v>
      </c>
      <c r="K956">
        <v>24.528300000000002</v>
      </c>
      <c r="L956">
        <v>51</v>
      </c>
      <c r="M956">
        <v>1</v>
      </c>
      <c r="N956">
        <v>1</v>
      </c>
      <c r="O956">
        <v>41.761299999999999</v>
      </c>
      <c r="P956">
        <v>24.677</v>
      </c>
      <c r="Q956">
        <v>7.7155800000000001</v>
      </c>
    </row>
    <row r="957" spans="1:17" x14ac:dyDescent="0.25">
      <c r="A957" t="str">
        <f>IF(C957&amp;G957&amp;D957&lt;&gt;'Funnel setup'!$K$3&amp;'Funnel setup'!$K$4&amp;'Funnel setup'!$K$6,".",IF(A956=".",1,A956+1))</f>
        <v>.</v>
      </c>
      <c r="B957" s="244" t="str">
        <f t="shared" si="14"/>
        <v>Hip Replacement PrimaryProviderORTHOPAEDICS &amp; SPINE SPECIALIST HOSPITAL SITE (NQM01)Oxford Hip Score</v>
      </c>
      <c r="C957" t="s">
        <v>749</v>
      </c>
      <c r="D957" t="s">
        <v>965</v>
      </c>
      <c r="E957" t="s">
        <v>436</v>
      </c>
      <c r="F957" t="s">
        <v>437</v>
      </c>
      <c r="G957" t="s">
        <v>964</v>
      </c>
      <c r="H957">
        <v>7</v>
      </c>
      <c r="I957">
        <v>21.857099999999999</v>
      </c>
      <c r="J957">
        <v>41.571399999999997</v>
      </c>
      <c r="K957">
        <v>19.714300000000001</v>
      </c>
      <c r="L957">
        <v>7</v>
      </c>
      <c r="M957">
        <v>0</v>
      </c>
      <c r="N957">
        <v>0</v>
      </c>
      <c r="O957" t="s">
        <v>127</v>
      </c>
      <c r="P957" t="s">
        <v>127</v>
      </c>
      <c r="Q957" t="s">
        <v>127</v>
      </c>
    </row>
    <row r="958" spans="1:17" x14ac:dyDescent="0.25">
      <c r="A958" t="str">
        <f>IF(C958&amp;G958&amp;D958&lt;&gt;'Funnel setup'!$K$3&amp;'Funnel setup'!$K$4&amp;'Funnel setup'!$K$6,".",IF(A957=".",1,A957+1))</f>
        <v>.</v>
      </c>
      <c r="B958" s="244" t="str">
        <f t="shared" si="14"/>
        <v>Hip Replacement PrimaryProviderOXFORD UNIVERSITY HOSPITALS NHS FOUNDATION TRUST (RTH)Oxford Hip Score</v>
      </c>
      <c r="C958" t="s">
        <v>749</v>
      </c>
      <c r="D958" t="s">
        <v>965</v>
      </c>
      <c r="E958" t="s">
        <v>438</v>
      </c>
      <c r="F958" t="s">
        <v>439</v>
      </c>
      <c r="G958" t="s">
        <v>964</v>
      </c>
      <c r="H958">
        <v>289</v>
      </c>
      <c r="I958">
        <v>17.0657</v>
      </c>
      <c r="J958">
        <v>40.339100000000002</v>
      </c>
      <c r="K958">
        <v>23.273399999999999</v>
      </c>
      <c r="L958">
        <v>281</v>
      </c>
      <c r="M958">
        <v>1</v>
      </c>
      <c r="N958">
        <v>7</v>
      </c>
      <c r="O958">
        <v>39.965699999999998</v>
      </c>
      <c r="P958">
        <v>22.881399999999999</v>
      </c>
      <c r="Q958">
        <v>8.3532200000000003</v>
      </c>
    </row>
    <row r="959" spans="1:17" x14ac:dyDescent="0.25">
      <c r="A959" t="str">
        <f>IF(C959&amp;G959&amp;D959&lt;&gt;'Funnel setup'!$K$3&amp;'Funnel setup'!$K$4&amp;'Funnel setup'!$K$6,".",IF(A958=".",1,A958+1))</f>
        <v>.</v>
      </c>
      <c r="B959" s="244" t="str">
        <f t="shared" si="14"/>
        <v>Hip Replacement PrimaryProviderPARK HILL HOSPITAL (NVC14)Oxford Hip Score</v>
      </c>
      <c r="C959" t="s">
        <v>749</v>
      </c>
      <c r="D959" t="s">
        <v>965</v>
      </c>
      <c r="E959" t="s">
        <v>440</v>
      </c>
      <c r="F959" t="s">
        <v>441</v>
      </c>
      <c r="G959" t="s">
        <v>964</v>
      </c>
      <c r="H959">
        <v>59</v>
      </c>
      <c r="I959">
        <v>14.4068</v>
      </c>
      <c r="J959">
        <v>39.220300000000002</v>
      </c>
      <c r="K959">
        <v>24.813600000000001</v>
      </c>
      <c r="L959">
        <v>57</v>
      </c>
      <c r="M959">
        <v>0</v>
      </c>
      <c r="N959">
        <v>2</v>
      </c>
      <c r="O959">
        <v>39.755699999999997</v>
      </c>
      <c r="P959">
        <v>22.671399999999998</v>
      </c>
      <c r="Q959">
        <v>8.5290900000000001</v>
      </c>
    </row>
    <row r="960" spans="1:17" x14ac:dyDescent="0.25">
      <c r="A960" t="str">
        <f>IF(C960&amp;G960&amp;D960&lt;&gt;'Funnel setup'!$K$3&amp;'Funnel setup'!$K$4&amp;'Funnel setup'!$K$6,".",IF(A959=".",1,A959+1))</f>
        <v>.</v>
      </c>
      <c r="B960" s="244" t="str">
        <f t="shared" si="14"/>
        <v>Hip Replacement PrimaryProviderPARK HOSPITAL (NT427)Oxford Hip Score</v>
      </c>
      <c r="C960" t="s">
        <v>749</v>
      </c>
      <c r="D960" t="s">
        <v>965</v>
      </c>
      <c r="E960" t="s">
        <v>442</v>
      </c>
      <c r="F960" t="s">
        <v>443</v>
      </c>
      <c r="G960" t="s">
        <v>964</v>
      </c>
      <c r="H960">
        <v>25</v>
      </c>
      <c r="I960">
        <v>14.72</v>
      </c>
      <c r="J960">
        <v>38</v>
      </c>
      <c r="K960">
        <v>23.28</v>
      </c>
      <c r="L960">
        <v>24</v>
      </c>
      <c r="M960">
        <v>1</v>
      </c>
      <c r="N960">
        <v>0</v>
      </c>
      <c r="O960" t="s">
        <v>127</v>
      </c>
      <c r="P960" t="s">
        <v>127</v>
      </c>
      <c r="Q960" t="s">
        <v>127</v>
      </c>
    </row>
    <row r="961" spans="1:17" x14ac:dyDescent="0.25">
      <c r="A961" t="str">
        <f>IF(C961&amp;G961&amp;D961&lt;&gt;'Funnel setup'!$K$3&amp;'Funnel setup'!$K$4&amp;'Funnel setup'!$K$6,".",IF(A960=".",1,A960+1))</f>
        <v>.</v>
      </c>
      <c r="B961" s="244" t="str">
        <f t="shared" si="14"/>
        <v>Hip Replacement PrimaryProviderPENNINE ACUTE HOSPITALS NHS TRUST (RW6)Oxford Hip Score</v>
      </c>
      <c r="C961" t="s">
        <v>749</v>
      </c>
      <c r="D961" t="s">
        <v>965</v>
      </c>
      <c r="E961" t="s">
        <v>444</v>
      </c>
      <c r="F961" t="s">
        <v>445</v>
      </c>
      <c r="G961" t="s">
        <v>964</v>
      </c>
      <c r="H961">
        <v>3</v>
      </c>
      <c r="I961">
        <v>11</v>
      </c>
      <c r="J961">
        <v>29</v>
      </c>
      <c r="K961">
        <v>18</v>
      </c>
      <c r="L961">
        <v>3</v>
      </c>
      <c r="M961">
        <v>0</v>
      </c>
      <c r="N961">
        <v>0</v>
      </c>
      <c r="O961" t="s">
        <v>127</v>
      </c>
      <c r="P961" t="s">
        <v>127</v>
      </c>
      <c r="Q961" t="s">
        <v>127</v>
      </c>
    </row>
    <row r="962" spans="1:17" x14ac:dyDescent="0.25">
      <c r="A962" t="str">
        <f>IF(C962&amp;G962&amp;D962&lt;&gt;'Funnel setup'!$K$3&amp;'Funnel setup'!$K$4&amp;'Funnel setup'!$K$6,".",IF(A961=".",1,A961+1))</f>
        <v>.</v>
      </c>
      <c r="B962" s="244" t="str">
        <f t="shared" ref="B962:B1025" si="15">C962&amp;D962&amp;F962&amp;G962</f>
        <v>Hip Replacement PrimaryProviderPINEHILL HOSPITAL (NVC15)Oxford Hip Score</v>
      </c>
      <c r="C962" t="s">
        <v>749</v>
      </c>
      <c r="D962" t="s">
        <v>965</v>
      </c>
      <c r="E962" t="s">
        <v>448</v>
      </c>
      <c r="F962" t="s">
        <v>449</v>
      </c>
      <c r="G962" t="s">
        <v>964</v>
      </c>
      <c r="H962">
        <v>12</v>
      </c>
      <c r="I962">
        <v>27.416699999999999</v>
      </c>
      <c r="J962">
        <v>28.5</v>
      </c>
      <c r="K962">
        <v>1.0833299999999999</v>
      </c>
      <c r="L962">
        <v>7</v>
      </c>
      <c r="M962">
        <v>2</v>
      </c>
      <c r="N962">
        <v>3</v>
      </c>
      <c r="O962" t="s">
        <v>127</v>
      </c>
      <c r="P962" t="s">
        <v>127</v>
      </c>
      <c r="Q962" t="s">
        <v>127</v>
      </c>
    </row>
    <row r="963" spans="1:17" x14ac:dyDescent="0.25">
      <c r="A963" t="str">
        <f>IF(C963&amp;G963&amp;D963&lt;&gt;'Funnel setup'!$K$3&amp;'Funnel setup'!$K$4&amp;'Funnel setup'!$K$6,".",IF(A962=".",1,A962+1))</f>
        <v>.</v>
      </c>
      <c r="B963" s="244" t="str">
        <f t="shared" si="15"/>
        <v>Hip Replacement PrimaryProviderPORTSMOUTH HOSPITALS UNIVERSITY NATIONAL HEALTH SERVICE TRUST (RHU)Oxford Hip Score</v>
      </c>
      <c r="C963" t="s">
        <v>749</v>
      </c>
      <c r="D963" t="s">
        <v>965</v>
      </c>
      <c r="E963" t="s">
        <v>450</v>
      </c>
      <c r="F963" t="s">
        <v>451</v>
      </c>
      <c r="G963" t="s">
        <v>964</v>
      </c>
      <c r="H963">
        <v>14</v>
      </c>
      <c r="I963">
        <v>12</v>
      </c>
      <c r="J963">
        <v>37.571399999999997</v>
      </c>
      <c r="K963">
        <v>25.571400000000001</v>
      </c>
      <c r="L963">
        <v>14</v>
      </c>
      <c r="M963">
        <v>0</v>
      </c>
      <c r="N963">
        <v>0</v>
      </c>
      <c r="O963" t="s">
        <v>127</v>
      </c>
      <c r="P963" t="s">
        <v>127</v>
      </c>
      <c r="Q963" t="s">
        <v>127</v>
      </c>
    </row>
    <row r="964" spans="1:17" x14ac:dyDescent="0.25">
      <c r="A964" t="str">
        <f>IF(C964&amp;G964&amp;D964&lt;&gt;'Funnel setup'!$K$3&amp;'Funnel setup'!$K$4&amp;'Funnel setup'!$K$6,".",IF(A963=".",1,A963+1))</f>
        <v>.</v>
      </c>
      <c r="B964" s="244" t="str">
        <f t="shared" si="15"/>
        <v>Hip Replacement PrimaryProviderPRACTICE PLUS GROUP HOSPITAL - BARLBOROUGH (NTP13)Oxford Hip Score</v>
      </c>
      <c r="C964" t="s">
        <v>749</v>
      </c>
      <c r="D964" t="s">
        <v>965</v>
      </c>
      <c r="E964" t="s">
        <v>452</v>
      </c>
      <c r="F964" t="s">
        <v>453</v>
      </c>
      <c r="G964" t="s">
        <v>964</v>
      </c>
      <c r="H964">
        <v>178</v>
      </c>
      <c r="I964">
        <v>17.629200000000001</v>
      </c>
      <c r="J964">
        <v>40.848300000000002</v>
      </c>
      <c r="K964">
        <v>23.219100000000001</v>
      </c>
      <c r="L964">
        <v>173</v>
      </c>
      <c r="M964">
        <v>1</v>
      </c>
      <c r="N964">
        <v>4</v>
      </c>
      <c r="O964">
        <v>40.202500000000001</v>
      </c>
      <c r="P964">
        <v>23.118200000000002</v>
      </c>
      <c r="Q964">
        <v>7.9901200000000001</v>
      </c>
    </row>
    <row r="965" spans="1:17" x14ac:dyDescent="0.25">
      <c r="A965" t="str">
        <f>IF(C965&amp;G965&amp;D965&lt;&gt;'Funnel setup'!$K$3&amp;'Funnel setup'!$K$4&amp;'Funnel setup'!$K$6,".",IF(A964=".",1,A964+1))</f>
        <v>.</v>
      </c>
      <c r="B965" s="244" t="str">
        <f t="shared" si="15"/>
        <v>Hip Replacement PrimaryProviderPRACTICE PLUS GROUP HOSPITAL - EMERSONS GREEN (NTPH2)Oxford Hip Score</v>
      </c>
      <c r="C965" t="s">
        <v>749</v>
      </c>
      <c r="D965" t="s">
        <v>965</v>
      </c>
      <c r="E965" t="s">
        <v>454</v>
      </c>
      <c r="F965" t="s">
        <v>455</v>
      </c>
      <c r="G965" t="s">
        <v>964</v>
      </c>
      <c r="H965">
        <v>145</v>
      </c>
      <c r="I965">
        <v>18.034500000000001</v>
      </c>
      <c r="J965">
        <v>42.496600000000001</v>
      </c>
      <c r="K965">
        <v>24.4621</v>
      </c>
      <c r="L965">
        <v>145</v>
      </c>
      <c r="M965">
        <v>0</v>
      </c>
      <c r="N965">
        <v>0</v>
      </c>
      <c r="O965">
        <v>41.4465</v>
      </c>
      <c r="P965">
        <v>24.362200000000001</v>
      </c>
      <c r="Q965">
        <v>6.3110099999999996</v>
      </c>
    </row>
    <row r="966" spans="1:17" x14ac:dyDescent="0.25">
      <c r="A966" t="str">
        <f>IF(C966&amp;G966&amp;D966&lt;&gt;'Funnel setup'!$K$3&amp;'Funnel setup'!$K$4&amp;'Funnel setup'!$K$6,".",IF(A965=".",1,A965+1))</f>
        <v>.</v>
      </c>
      <c r="B966" s="244" t="str">
        <f t="shared" si="15"/>
        <v>Hip Replacement PrimaryProviderPRACTICE PLUS GROUP HOSPITAL - ILFORD (NTP15)Oxford Hip Score</v>
      </c>
      <c r="C966" t="s">
        <v>749</v>
      </c>
      <c r="D966" t="s">
        <v>965</v>
      </c>
      <c r="E966" t="s">
        <v>456</v>
      </c>
      <c r="F966" t="s">
        <v>457</v>
      </c>
      <c r="G966" t="s">
        <v>964</v>
      </c>
      <c r="H966">
        <v>61</v>
      </c>
      <c r="I966">
        <v>17.180299999999999</v>
      </c>
      <c r="J966">
        <v>40.147500000000001</v>
      </c>
      <c r="K966">
        <v>22.967199999999998</v>
      </c>
      <c r="L966">
        <v>58</v>
      </c>
      <c r="M966">
        <v>0</v>
      </c>
      <c r="N966">
        <v>3</v>
      </c>
      <c r="O966">
        <v>40.109299999999998</v>
      </c>
      <c r="P966">
        <v>23.024999999999999</v>
      </c>
      <c r="Q966">
        <v>7.5982799999999999</v>
      </c>
    </row>
    <row r="967" spans="1:17" x14ac:dyDescent="0.25">
      <c r="A967" t="str">
        <f>IF(C967&amp;G967&amp;D967&lt;&gt;'Funnel setup'!$K$3&amp;'Funnel setup'!$K$4&amp;'Funnel setup'!$K$6,".",IF(A966=".",1,A966+1))</f>
        <v>.</v>
      </c>
      <c r="B967" s="244" t="str">
        <f t="shared" si="15"/>
        <v>Hip Replacement PrimaryProviderPRACTICE PLUS GROUP HOSPITAL - PLYMOUTH (NTPH5)Oxford Hip Score</v>
      </c>
      <c r="C967" t="s">
        <v>749</v>
      </c>
      <c r="D967" t="s">
        <v>965</v>
      </c>
      <c r="E967" t="s">
        <v>458</v>
      </c>
      <c r="F967" t="s">
        <v>459</v>
      </c>
      <c r="G967" t="s">
        <v>964</v>
      </c>
      <c r="H967">
        <v>189</v>
      </c>
      <c r="I967">
        <v>17.941800000000001</v>
      </c>
      <c r="J967">
        <v>41.5503</v>
      </c>
      <c r="K967">
        <v>23.608499999999999</v>
      </c>
      <c r="L967">
        <v>181</v>
      </c>
      <c r="M967">
        <v>1</v>
      </c>
      <c r="N967">
        <v>7</v>
      </c>
      <c r="O967">
        <v>41.313600000000001</v>
      </c>
      <c r="P967">
        <v>24.229299999999999</v>
      </c>
      <c r="Q967">
        <v>7.7900799999999997</v>
      </c>
    </row>
    <row r="968" spans="1:17" x14ac:dyDescent="0.25">
      <c r="A968" t="str">
        <f>IF(C968&amp;G968&amp;D968&lt;&gt;'Funnel setup'!$K$3&amp;'Funnel setup'!$K$4&amp;'Funnel setup'!$K$6,".",IF(A967=".",1,A967+1))</f>
        <v>.</v>
      </c>
      <c r="B968" s="244" t="str">
        <f t="shared" si="15"/>
        <v>Hip Replacement PrimaryProviderPRACTICE PLUS GROUP HOSPITAL - SHEPTON MALLET (NTPH1)Oxford Hip Score</v>
      </c>
      <c r="C968" t="s">
        <v>749</v>
      </c>
      <c r="D968" t="s">
        <v>965</v>
      </c>
      <c r="E968" t="s">
        <v>460</v>
      </c>
      <c r="F968" t="s">
        <v>461</v>
      </c>
      <c r="G968" t="s">
        <v>964</v>
      </c>
      <c r="H968">
        <v>295</v>
      </c>
      <c r="I968">
        <v>17.874600000000001</v>
      </c>
      <c r="J968">
        <v>42.291499999999999</v>
      </c>
      <c r="K968">
        <v>24.416899999999998</v>
      </c>
      <c r="L968">
        <v>293</v>
      </c>
      <c r="M968">
        <v>0</v>
      </c>
      <c r="N968">
        <v>2</v>
      </c>
      <c r="O968">
        <v>41.3369</v>
      </c>
      <c r="P968">
        <v>24.252600000000001</v>
      </c>
      <c r="Q968">
        <v>6.9738800000000003</v>
      </c>
    </row>
    <row r="969" spans="1:17" x14ac:dyDescent="0.25">
      <c r="A969" t="str">
        <f>IF(C969&amp;G969&amp;D969&lt;&gt;'Funnel setup'!$K$3&amp;'Funnel setup'!$K$4&amp;'Funnel setup'!$K$6,".",IF(A968=".",1,A968+1))</f>
        <v>.</v>
      </c>
      <c r="B969" s="244" t="str">
        <f t="shared" si="15"/>
        <v>Hip Replacement PrimaryProviderPRACTICE PLUS GROUP HOSPITAL - SOUTHAMPTON (NTP11)Oxford Hip Score</v>
      </c>
      <c r="C969" t="s">
        <v>749</v>
      </c>
      <c r="D969" t="s">
        <v>965</v>
      </c>
      <c r="E969" t="s">
        <v>462</v>
      </c>
      <c r="F969" t="s">
        <v>463</v>
      </c>
      <c r="G969" t="s">
        <v>964</v>
      </c>
      <c r="H969">
        <v>79</v>
      </c>
      <c r="I969">
        <v>17.4177</v>
      </c>
      <c r="J969">
        <v>40.037999999999997</v>
      </c>
      <c r="K969">
        <v>22.6203</v>
      </c>
      <c r="L969">
        <v>74</v>
      </c>
      <c r="M969">
        <v>0</v>
      </c>
      <c r="N969">
        <v>5</v>
      </c>
      <c r="O969">
        <v>39.399000000000001</v>
      </c>
      <c r="P969">
        <v>22.314699999999998</v>
      </c>
      <c r="Q969">
        <v>9.4876900000000006</v>
      </c>
    </row>
    <row r="970" spans="1:17" x14ac:dyDescent="0.25">
      <c r="A970" t="str">
        <f>IF(C970&amp;G970&amp;D970&lt;&gt;'Funnel setup'!$K$3&amp;'Funnel setup'!$K$4&amp;'Funnel setup'!$K$6,".",IF(A969=".",1,A969+1))</f>
        <v>.</v>
      </c>
      <c r="B970" s="244" t="str">
        <f t="shared" si="15"/>
        <v>Hip Replacement PrimaryProviderPRINCESS MARGARET HOSPITAL (NT428)Oxford Hip Score</v>
      </c>
      <c r="C970" t="s">
        <v>749</v>
      </c>
      <c r="D970" t="s">
        <v>965</v>
      </c>
      <c r="E970" t="s">
        <v>464</v>
      </c>
      <c r="F970" t="s">
        <v>465</v>
      </c>
      <c r="G970" t="s">
        <v>964</v>
      </c>
      <c r="H970" t="s">
        <v>127</v>
      </c>
      <c r="I970" t="s">
        <v>127</v>
      </c>
      <c r="J970" t="s">
        <v>127</v>
      </c>
      <c r="K970" t="s">
        <v>127</v>
      </c>
      <c r="L970" t="s">
        <v>127</v>
      </c>
      <c r="M970" t="s">
        <v>127</v>
      </c>
      <c r="N970" t="s">
        <v>127</v>
      </c>
      <c r="O970" t="s">
        <v>127</v>
      </c>
      <c r="P970" t="s">
        <v>127</v>
      </c>
      <c r="Q970" t="s">
        <v>127</v>
      </c>
    </row>
    <row r="971" spans="1:17" x14ac:dyDescent="0.25">
      <c r="A971" t="str">
        <f>IF(C971&amp;G971&amp;D971&lt;&gt;'Funnel setup'!$K$3&amp;'Funnel setup'!$K$4&amp;'Funnel setup'!$K$6,".",IF(A970=".",1,A970+1))</f>
        <v>.</v>
      </c>
      <c r="B971" s="244" t="str">
        <f t="shared" si="15"/>
        <v>Hip Replacement PrimaryProviderPRIORY HOSPITAL (NT429)Oxford Hip Score</v>
      </c>
      <c r="C971" t="s">
        <v>749</v>
      </c>
      <c r="D971" t="s">
        <v>965</v>
      </c>
      <c r="E971" t="s">
        <v>466</v>
      </c>
      <c r="F971" t="s">
        <v>467</v>
      </c>
      <c r="G971" t="s">
        <v>964</v>
      </c>
      <c r="H971">
        <v>11</v>
      </c>
      <c r="I971">
        <v>16</v>
      </c>
      <c r="J971">
        <v>42.7273</v>
      </c>
      <c r="K971">
        <v>26.7273</v>
      </c>
      <c r="L971">
        <v>10</v>
      </c>
      <c r="M971">
        <v>0</v>
      </c>
      <c r="N971">
        <v>1</v>
      </c>
      <c r="O971" t="s">
        <v>127</v>
      </c>
      <c r="P971" t="s">
        <v>127</v>
      </c>
      <c r="Q971" t="s">
        <v>127</v>
      </c>
    </row>
    <row r="972" spans="1:17" x14ac:dyDescent="0.25">
      <c r="A972" t="str">
        <f>IF(C972&amp;G972&amp;D972&lt;&gt;'Funnel setup'!$K$3&amp;'Funnel setup'!$K$4&amp;'Funnel setup'!$K$6,".",IF(A971=".",1,A971+1))</f>
        <v>.</v>
      </c>
      <c r="B972" s="244" t="str">
        <f t="shared" si="15"/>
        <v>Hip Replacement PrimaryProviderRENACRES HOSPITAL (NVC16)Oxford Hip Score</v>
      </c>
      <c r="C972" t="s">
        <v>749</v>
      </c>
      <c r="D972" t="s">
        <v>965</v>
      </c>
      <c r="E972" t="s">
        <v>470</v>
      </c>
      <c r="F972" t="s">
        <v>471</v>
      </c>
      <c r="G972" t="s">
        <v>964</v>
      </c>
      <c r="H972">
        <v>83</v>
      </c>
      <c r="I972">
        <v>17.2651</v>
      </c>
      <c r="J972">
        <v>40.530099999999997</v>
      </c>
      <c r="K972">
        <v>23.2651</v>
      </c>
      <c r="L972">
        <v>82</v>
      </c>
      <c r="M972">
        <v>0</v>
      </c>
      <c r="N972">
        <v>1</v>
      </c>
      <c r="O972">
        <v>39.993400000000001</v>
      </c>
      <c r="P972">
        <v>22.909099999999999</v>
      </c>
      <c r="Q972">
        <v>8.5720799999999997</v>
      </c>
    </row>
    <row r="973" spans="1:17" x14ac:dyDescent="0.25">
      <c r="A973" t="str">
        <f>IF(C973&amp;G973&amp;D973&lt;&gt;'Funnel setup'!$K$3&amp;'Funnel setup'!$K$4&amp;'Funnel setup'!$K$6,".",IF(A972=".",1,A972+1))</f>
        <v>.</v>
      </c>
      <c r="B973" s="244" t="str">
        <f t="shared" si="15"/>
        <v>Hip Replacement PrimaryProviderRIDGEWAY HOSPITAL (NT430)Oxford Hip Score</v>
      </c>
      <c r="C973" t="s">
        <v>749</v>
      </c>
      <c r="D973" t="s">
        <v>965</v>
      </c>
      <c r="E973" t="s">
        <v>472</v>
      </c>
      <c r="F973" t="s">
        <v>473</v>
      </c>
      <c r="G973" t="s">
        <v>964</v>
      </c>
      <c r="H973">
        <v>5</v>
      </c>
      <c r="I973">
        <v>23.2</v>
      </c>
      <c r="J973">
        <v>43.8</v>
      </c>
      <c r="K973">
        <v>20.6</v>
      </c>
      <c r="L973">
        <v>5</v>
      </c>
      <c r="M973">
        <v>0</v>
      </c>
      <c r="N973">
        <v>0</v>
      </c>
      <c r="O973" t="s">
        <v>127</v>
      </c>
      <c r="P973" t="s">
        <v>127</v>
      </c>
      <c r="Q973" t="s">
        <v>127</v>
      </c>
    </row>
    <row r="974" spans="1:17" x14ac:dyDescent="0.25">
      <c r="A974" t="str">
        <f>IF(C974&amp;G974&amp;D974&lt;&gt;'Funnel setup'!$K$3&amp;'Funnel setup'!$K$4&amp;'Funnel setup'!$K$6,".",IF(A973=".",1,A973+1))</f>
        <v>.</v>
      </c>
      <c r="B974" s="244" t="str">
        <f t="shared" si="15"/>
        <v>Hip Replacement PrimaryProviderRIVERS HOSPITAL (NVC19)Oxford Hip Score</v>
      </c>
      <c r="C974" t="s">
        <v>749</v>
      </c>
      <c r="D974" t="s">
        <v>965</v>
      </c>
      <c r="E974" t="s">
        <v>474</v>
      </c>
      <c r="F974" t="s">
        <v>475</v>
      </c>
      <c r="G974" t="s">
        <v>964</v>
      </c>
      <c r="H974">
        <v>58</v>
      </c>
      <c r="I974">
        <v>18.741399999999999</v>
      </c>
      <c r="J974">
        <v>42.051699999999997</v>
      </c>
      <c r="K974">
        <v>23.310300000000002</v>
      </c>
      <c r="L974">
        <v>57</v>
      </c>
      <c r="M974">
        <v>0</v>
      </c>
      <c r="N974">
        <v>1</v>
      </c>
      <c r="O974">
        <v>40.565899999999999</v>
      </c>
      <c r="P974">
        <v>23.4816</v>
      </c>
      <c r="Q974">
        <v>7.32498</v>
      </c>
    </row>
    <row r="975" spans="1:17" x14ac:dyDescent="0.25">
      <c r="A975" t="str">
        <f>IF(C975&amp;G975&amp;D975&lt;&gt;'Funnel setup'!$K$3&amp;'Funnel setup'!$K$4&amp;'Funnel setup'!$K$6,".",IF(A974=".",1,A974+1))</f>
        <v>.</v>
      </c>
      <c r="B975" s="244" t="str">
        <f t="shared" si="15"/>
        <v>Hip Replacement PrimaryProviderROWLEY HALL HOSPITAL (NVC17)Oxford Hip Score</v>
      </c>
      <c r="C975" t="s">
        <v>749</v>
      </c>
      <c r="D975" t="s">
        <v>965</v>
      </c>
      <c r="E975" t="s">
        <v>476</v>
      </c>
      <c r="F975" t="s">
        <v>477</v>
      </c>
      <c r="G975" t="s">
        <v>964</v>
      </c>
      <c r="H975">
        <v>56</v>
      </c>
      <c r="I975">
        <v>17.589300000000001</v>
      </c>
      <c r="J975">
        <v>41.107100000000003</v>
      </c>
      <c r="K975">
        <v>23.517900000000001</v>
      </c>
      <c r="L975">
        <v>56</v>
      </c>
      <c r="M975">
        <v>0</v>
      </c>
      <c r="N975">
        <v>0</v>
      </c>
      <c r="O975">
        <v>40.652500000000003</v>
      </c>
      <c r="P975">
        <v>23.568200000000001</v>
      </c>
      <c r="Q975">
        <v>6.9579000000000004</v>
      </c>
    </row>
    <row r="976" spans="1:17" x14ac:dyDescent="0.25">
      <c r="A976" t="str">
        <f>IF(C976&amp;G976&amp;D976&lt;&gt;'Funnel setup'!$K$3&amp;'Funnel setup'!$K$4&amp;'Funnel setup'!$K$6,".",IF(A975=".",1,A975+1))</f>
        <v>.</v>
      </c>
      <c r="B976" s="244" t="str">
        <f t="shared" si="15"/>
        <v>Hip Replacement PrimaryProviderROYAL BERKSHIRE NHS FOUNDATION TRUST (RHW)Oxford Hip Score</v>
      </c>
      <c r="C976" t="s">
        <v>749</v>
      </c>
      <c r="D976" t="s">
        <v>965</v>
      </c>
      <c r="E976" t="s">
        <v>478</v>
      </c>
      <c r="F976" t="s">
        <v>479</v>
      </c>
      <c r="G976" t="s">
        <v>964</v>
      </c>
      <c r="H976">
        <v>3</v>
      </c>
      <c r="I976">
        <v>8.3333300000000001</v>
      </c>
      <c r="J976">
        <v>31.333300000000001</v>
      </c>
      <c r="K976">
        <v>23</v>
      </c>
      <c r="L976">
        <v>3</v>
      </c>
      <c r="M976">
        <v>0</v>
      </c>
      <c r="N976">
        <v>0</v>
      </c>
      <c r="O976" t="s">
        <v>127</v>
      </c>
      <c r="P976" t="s">
        <v>127</v>
      </c>
      <c r="Q976" t="s">
        <v>127</v>
      </c>
    </row>
    <row r="977" spans="1:17" x14ac:dyDescent="0.25">
      <c r="A977" t="str">
        <f>IF(C977&amp;G977&amp;D977&lt;&gt;'Funnel setup'!$K$3&amp;'Funnel setup'!$K$4&amp;'Funnel setup'!$K$6,".",IF(A976=".",1,A976+1))</f>
        <v>.</v>
      </c>
      <c r="B977" s="244" t="str">
        <f t="shared" si="15"/>
        <v>Hip Replacement PrimaryProviderROYAL CORNWALL HOSPITALS NHS TRUST (REF)Oxford Hip Score</v>
      </c>
      <c r="C977" t="s">
        <v>749</v>
      </c>
      <c r="D977" t="s">
        <v>965</v>
      </c>
      <c r="E977" t="s">
        <v>480</v>
      </c>
      <c r="F977" t="s">
        <v>481</v>
      </c>
      <c r="G977" t="s">
        <v>964</v>
      </c>
      <c r="H977">
        <v>52</v>
      </c>
      <c r="I977">
        <v>20.192299999999999</v>
      </c>
      <c r="J977">
        <v>41.076900000000002</v>
      </c>
      <c r="K977">
        <v>20.884599999999999</v>
      </c>
      <c r="L977">
        <v>50</v>
      </c>
      <c r="M977">
        <v>0</v>
      </c>
      <c r="N977">
        <v>2</v>
      </c>
      <c r="O977">
        <v>39.902099999999997</v>
      </c>
      <c r="P977">
        <v>22.817799999999998</v>
      </c>
      <c r="Q977">
        <v>7.4881700000000002</v>
      </c>
    </row>
    <row r="978" spans="1:17" x14ac:dyDescent="0.25">
      <c r="A978" t="str">
        <f>IF(C978&amp;G978&amp;D978&lt;&gt;'Funnel setup'!$K$3&amp;'Funnel setup'!$K$4&amp;'Funnel setup'!$K$6,".",IF(A977=".",1,A977+1))</f>
        <v>.</v>
      </c>
      <c r="B978" s="244" t="str">
        <f t="shared" si="15"/>
        <v>Hip Replacement PrimaryProviderROYAL DEVON UNIVERSITY HEALTHCARE NHS FOUNDATION TRUST (RH8)Oxford Hip Score</v>
      </c>
      <c r="C978" t="s">
        <v>749</v>
      </c>
      <c r="D978" t="s">
        <v>965</v>
      </c>
      <c r="E978" t="s">
        <v>482</v>
      </c>
      <c r="F978" t="s">
        <v>483</v>
      </c>
      <c r="G978" t="s">
        <v>964</v>
      </c>
      <c r="H978">
        <v>4</v>
      </c>
      <c r="I978">
        <v>15.25</v>
      </c>
      <c r="J978">
        <v>46.5</v>
      </c>
      <c r="K978">
        <v>31.25</v>
      </c>
      <c r="L978">
        <v>4</v>
      </c>
      <c r="M978">
        <v>0</v>
      </c>
      <c r="N978">
        <v>0</v>
      </c>
      <c r="O978" t="s">
        <v>127</v>
      </c>
      <c r="P978" t="s">
        <v>127</v>
      </c>
      <c r="Q978" t="s">
        <v>127</v>
      </c>
    </row>
    <row r="979" spans="1:17" x14ac:dyDescent="0.25">
      <c r="A979" t="str">
        <f>IF(C979&amp;G979&amp;D979&lt;&gt;'Funnel setup'!$K$3&amp;'Funnel setup'!$K$4&amp;'Funnel setup'!$K$6,".",IF(A978=".",1,A978+1))</f>
        <v>.</v>
      </c>
      <c r="B979" s="244" t="str">
        <f t="shared" si="15"/>
        <v>Hip Replacement PrimaryProviderROYAL NATIONAL ORTHOPAEDIC HOSPITAL NHS TRUST (RAN)Oxford Hip Score</v>
      </c>
      <c r="C979" t="s">
        <v>749</v>
      </c>
      <c r="D979" t="s">
        <v>965</v>
      </c>
      <c r="E979" t="s">
        <v>486</v>
      </c>
      <c r="F979" t="s">
        <v>487</v>
      </c>
      <c r="G979" t="s">
        <v>964</v>
      </c>
      <c r="H979">
        <v>70</v>
      </c>
      <c r="I979">
        <v>17.257100000000001</v>
      </c>
      <c r="J979">
        <v>37.185699999999997</v>
      </c>
      <c r="K979">
        <v>19.928599999999999</v>
      </c>
      <c r="L979">
        <v>67</v>
      </c>
      <c r="M979">
        <v>0</v>
      </c>
      <c r="N979">
        <v>3</v>
      </c>
      <c r="O979">
        <v>38.666699999999999</v>
      </c>
      <c r="P979">
        <v>21.5824</v>
      </c>
      <c r="Q979">
        <v>9.8919499999999996</v>
      </c>
    </row>
    <row r="980" spans="1:17" x14ac:dyDescent="0.25">
      <c r="A980" t="str">
        <f>IF(C980&amp;G980&amp;D980&lt;&gt;'Funnel setup'!$K$3&amp;'Funnel setup'!$K$4&amp;'Funnel setup'!$K$6,".",IF(A979=".",1,A979+1))</f>
        <v>.</v>
      </c>
      <c r="B980" s="244" t="str">
        <f t="shared" si="15"/>
        <v>Hip Replacement PrimaryProviderROYAL SURREY COUNTY HOSPITAL NHS FOUNDATION TRUST (RA2)Oxford Hip Score</v>
      </c>
      <c r="C980" t="s">
        <v>749</v>
      </c>
      <c r="D980" t="s">
        <v>965</v>
      </c>
      <c r="E980" t="s">
        <v>488</v>
      </c>
      <c r="F980" t="s">
        <v>489</v>
      </c>
      <c r="G980" t="s">
        <v>964</v>
      </c>
      <c r="H980">
        <v>80</v>
      </c>
      <c r="I980">
        <v>20.612500000000001</v>
      </c>
      <c r="J980">
        <v>40.012500000000003</v>
      </c>
      <c r="K980">
        <v>19.399999999999999</v>
      </c>
      <c r="L980">
        <v>73</v>
      </c>
      <c r="M980">
        <v>1</v>
      </c>
      <c r="N980">
        <v>6</v>
      </c>
      <c r="O980">
        <v>38.956400000000002</v>
      </c>
      <c r="P980">
        <v>21.8721</v>
      </c>
      <c r="Q980">
        <v>8.2455099999999995</v>
      </c>
    </row>
    <row r="981" spans="1:17" x14ac:dyDescent="0.25">
      <c r="A981" t="str">
        <f>IF(C981&amp;G981&amp;D981&lt;&gt;'Funnel setup'!$K$3&amp;'Funnel setup'!$K$4&amp;'Funnel setup'!$K$6,".",IF(A980=".",1,A980+1))</f>
        <v>.</v>
      </c>
      <c r="B981" s="244" t="str">
        <f t="shared" si="15"/>
        <v>Hip Replacement PrimaryProviderROYAL UNITED HOSPITALS BATH NHS FOUNDATION TRUST (RD1)Oxford Hip Score</v>
      </c>
      <c r="C981" t="s">
        <v>749</v>
      </c>
      <c r="D981" t="s">
        <v>965</v>
      </c>
      <c r="E981" t="s">
        <v>490</v>
      </c>
      <c r="F981" t="s">
        <v>491</v>
      </c>
      <c r="G981" t="s">
        <v>964</v>
      </c>
      <c r="H981">
        <v>8</v>
      </c>
      <c r="I981">
        <v>16.125</v>
      </c>
      <c r="J981">
        <v>32.25</v>
      </c>
      <c r="K981">
        <v>16.125</v>
      </c>
      <c r="L981">
        <v>7</v>
      </c>
      <c r="M981">
        <v>0</v>
      </c>
      <c r="N981">
        <v>1</v>
      </c>
      <c r="O981" t="s">
        <v>127</v>
      </c>
      <c r="P981" t="s">
        <v>127</v>
      </c>
      <c r="Q981" t="s">
        <v>127</v>
      </c>
    </row>
    <row r="982" spans="1:17" ht="20.25" customHeight="1" x14ac:dyDescent="0.25">
      <c r="A982" t="str">
        <f>IF(C982&amp;G982&amp;D982&lt;&gt;'Funnel setup'!$K$3&amp;'Funnel setup'!$K$4&amp;'Funnel setup'!$K$6,".",IF(A981=".",1,A981+1))</f>
        <v>.</v>
      </c>
      <c r="B982" s="244" t="str">
        <f t="shared" si="15"/>
        <v>Hip Replacement PrimaryProviderRUNNYMEDE HOSPITAL (NT431)Oxford Hip Score</v>
      </c>
      <c r="C982" t="s">
        <v>749</v>
      </c>
      <c r="D982" t="s">
        <v>965</v>
      </c>
      <c r="E982" t="s">
        <v>492</v>
      </c>
      <c r="F982" t="s">
        <v>493</v>
      </c>
      <c r="G982" t="s">
        <v>964</v>
      </c>
      <c r="H982">
        <v>6</v>
      </c>
      <c r="I982">
        <v>21.333300000000001</v>
      </c>
      <c r="J982">
        <v>46.5</v>
      </c>
      <c r="K982">
        <v>25.166699999999999</v>
      </c>
      <c r="L982">
        <v>6</v>
      </c>
      <c r="M982">
        <v>0</v>
      </c>
      <c r="N982">
        <v>0</v>
      </c>
      <c r="O982" t="s">
        <v>127</v>
      </c>
      <c r="P982" t="s">
        <v>127</v>
      </c>
      <c r="Q982" t="s">
        <v>127</v>
      </c>
    </row>
    <row r="983" spans="1:17" ht="21" customHeight="1" x14ac:dyDescent="0.25">
      <c r="A983" t="str">
        <f>IF(C983&amp;G983&amp;D983&lt;&gt;'Funnel setup'!$K$3&amp;'Funnel setup'!$K$4&amp;'Funnel setup'!$K$6,".",IF(A982=".",1,A982+1))</f>
        <v>.</v>
      </c>
      <c r="B983" s="244" t="str">
        <f t="shared" si="15"/>
        <v>Hip Replacement PrimaryProviderSALISBURY NHS FOUNDATION TRUST (RNZ)Oxford Hip Score</v>
      </c>
      <c r="C983" t="s">
        <v>749</v>
      </c>
      <c r="D983" t="s">
        <v>965</v>
      </c>
      <c r="E983" t="s">
        <v>494</v>
      </c>
      <c r="F983" t="s">
        <v>495</v>
      </c>
      <c r="G983" t="s">
        <v>964</v>
      </c>
      <c r="H983">
        <v>3</v>
      </c>
      <c r="I983">
        <v>12.333299999999999</v>
      </c>
      <c r="J983">
        <v>42.333300000000001</v>
      </c>
      <c r="K983">
        <v>30</v>
      </c>
      <c r="L983">
        <v>3</v>
      </c>
      <c r="M983">
        <v>0</v>
      </c>
      <c r="N983">
        <v>0</v>
      </c>
      <c r="O983" t="s">
        <v>127</v>
      </c>
      <c r="P983" t="s">
        <v>127</v>
      </c>
      <c r="Q983" t="s">
        <v>127</v>
      </c>
    </row>
    <row r="984" spans="1:17" ht="18.75" customHeight="1" x14ac:dyDescent="0.25">
      <c r="A984" t="str">
        <f>IF(C984&amp;G984&amp;D984&lt;&gt;'Funnel setup'!$K$3&amp;'Funnel setup'!$K$4&amp;'Funnel setup'!$K$6,".",IF(A983=".",1,A983+1))</f>
        <v>.</v>
      </c>
      <c r="B984" s="244" t="str">
        <f t="shared" si="15"/>
        <v>Hip Replacement PrimaryProviderSANDWELL AND WEST BIRMINGHAM HOSPITALS NHS TRUST (RXK)Oxford Hip Score</v>
      </c>
      <c r="C984" t="s">
        <v>749</v>
      </c>
      <c r="D984" t="s">
        <v>965</v>
      </c>
      <c r="E984" t="s">
        <v>496</v>
      </c>
      <c r="F984" t="s">
        <v>497</v>
      </c>
      <c r="G984" t="s">
        <v>964</v>
      </c>
      <c r="H984">
        <v>43</v>
      </c>
      <c r="I984">
        <v>12.395300000000001</v>
      </c>
      <c r="J984">
        <v>37.139499999999998</v>
      </c>
      <c r="K984">
        <v>24.744199999999999</v>
      </c>
      <c r="L984">
        <v>43</v>
      </c>
      <c r="M984">
        <v>0</v>
      </c>
      <c r="N984">
        <v>0</v>
      </c>
      <c r="O984">
        <v>41.105499999999999</v>
      </c>
      <c r="P984">
        <v>24.0212</v>
      </c>
      <c r="Q984">
        <v>8.5602199999999993</v>
      </c>
    </row>
    <row r="985" spans="1:17" ht="16.5" customHeight="1" x14ac:dyDescent="0.25">
      <c r="A985" t="str">
        <f>IF(C985&amp;G985&amp;D985&lt;&gt;'Funnel setup'!$K$3&amp;'Funnel setup'!$K$4&amp;'Funnel setup'!$K$6,".",IF(A984=".",1,A984+1))</f>
        <v>.</v>
      </c>
      <c r="B985" s="244" t="str">
        <f t="shared" si="15"/>
        <v>Hip Replacement PrimaryProviderSARUM ROAD HOSPITAL (NT433)Oxford Hip Score</v>
      </c>
      <c r="C985" t="s">
        <v>749</v>
      </c>
      <c r="D985" t="s">
        <v>965</v>
      </c>
      <c r="E985" t="s">
        <v>498</v>
      </c>
      <c r="F985" t="s">
        <v>499</v>
      </c>
      <c r="G985" t="s">
        <v>964</v>
      </c>
      <c r="H985">
        <v>36</v>
      </c>
      <c r="I985">
        <v>21.416699999999999</v>
      </c>
      <c r="J985">
        <v>43</v>
      </c>
      <c r="K985">
        <v>21.583300000000001</v>
      </c>
      <c r="L985">
        <v>36</v>
      </c>
      <c r="M985">
        <v>0</v>
      </c>
      <c r="N985">
        <v>0</v>
      </c>
      <c r="O985">
        <v>40.422899999999998</v>
      </c>
      <c r="P985">
        <v>23.3386</v>
      </c>
      <c r="Q985">
        <v>4.8911600000000002</v>
      </c>
    </row>
    <row r="986" spans="1:17" ht="19.5" customHeight="1" x14ac:dyDescent="0.25">
      <c r="A986" t="str">
        <f>IF(C986&amp;G986&amp;D986&lt;&gt;'Funnel setup'!$K$3&amp;'Funnel setup'!$K$4&amp;'Funnel setup'!$K$6,".",IF(A985=".",1,A985+1))</f>
        <v>.</v>
      </c>
      <c r="B986" s="244" t="str">
        <f t="shared" si="15"/>
        <v>Hip Replacement PrimaryProviderSAXON CLINIC (NT434)Oxford Hip Score</v>
      </c>
      <c r="C986" t="s">
        <v>749</v>
      </c>
      <c r="D986" t="s">
        <v>965</v>
      </c>
      <c r="E986" t="s">
        <v>500</v>
      </c>
      <c r="F986" t="s">
        <v>501</v>
      </c>
      <c r="G986" t="s">
        <v>964</v>
      </c>
      <c r="H986">
        <v>19</v>
      </c>
      <c r="I986">
        <v>16.947399999999998</v>
      </c>
      <c r="J986">
        <v>43.736800000000002</v>
      </c>
      <c r="K986">
        <v>26.7895</v>
      </c>
      <c r="L986">
        <v>19</v>
      </c>
      <c r="M986">
        <v>0</v>
      </c>
      <c r="N986">
        <v>0</v>
      </c>
      <c r="O986" t="s">
        <v>127</v>
      </c>
      <c r="P986" t="s">
        <v>127</v>
      </c>
      <c r="Q986" t="s">
        <v>127</v>
      </c>
    </row>
    <row r="987" spans="1:17" ht="18" customHeight="1" x14ac:dyDescent="0.25">
      <c r="A987" t="str">
        <f>IF(C987&amp;G987&amp;D987&lt;&gt;'Funnel setup'!$K$3&amp;'Funnel setup'!$K$4&amp;'Funnel setup'!$K$6,".",IF(A986=".",1,A986+1))</f>
        <v>.</v>
      </c>
      <c r="B987" s="244" t="str">
        <f t="shared" si="15"/>
        <v>Hip Replacement PrimaryProviderSHEFFIELD TEACHING HOSPITALS NHS FOUNDATION TRUST (RHQ)Oxford Hip Score</v>
      </c>
      <c r="C987" t="s">
        <v>749</v>
      </c>
      <c r="D987" t="s">
        <v>965</v>
      </c>
      <c r="E987" t="s">
        <v>506</v>
      </c>
      <c r="F987" t="s">
        <v>507</v>
      </c>
      <c r="G987" t="s">
        <v>964</v>
      </c>
      <c r="H987">
        <v>33</v>
      </c>
      <c r="I987">
        <v>17.939399999999999</v>
      </c>
      <c r="J987">
        <v>40.181800000000003</v>
      </c>
      <c r="K987">
        <v>22.2424</v>
      </c>
      <c r="L987">
        <v>32</v>
      </c>
      <c r="M987">
        <v>0</v>
      </c>
      <c r="N987">
        <v>1</v>
      </c>
      <c r="O987">
        <v>39.352699999999999</v>
      </c>
      <c r="P987">
        <v>22.2684</v>
      </c>
      <c r="Q987">
        <v>9.0451200000000007</v>
      </c>
    </row>
    <row r="988" spans="1:17" ht="16.5" customHeight="1" x14ac:dyDescent="0.25">
      <c r="A988" t="str">
        <f>IF(C988&amp;G988&amp;D988&lt;&gt;'Funnel setup'!$K$3&amp;'Funnel setup'!$K$4&amp;'Funnel setup'!$K$6,".",IF(A987=".",1,A987+1))</f>
        <v>.</v>
      </c>
      <c r="B988" s="244" t="str">
        <f t="shared" si="15"/>
        <v>Hip Replacement PrimaryProviderSHERWOOD FOREST HOSPITALS NHS FOUNDATION TRUST (RK5)Oxford Hip Score</v>
      </c>
      <c r="C988" t="s">
        <v>749</v>
      </c>
      <c r="D988" t="s">
        <v>965</v>
      </c>
      <c r="E988" t="s">
        <v>508</v>
      </c>
      <c r="F988" t="s">
        <v>509</v>
      </c>
      <c r="G988" t="s">
        <v>964</v>
      </c>
      <c r="H988">
        <v>77</v>
      </c>
      <c r="I988">
        <v>14.7662</v>
      </c>
      <c r="J988">
        <v>39.207799999999999</v>
      </c>
      <c r="K988">
        <v>24.441600000000001</v>
      </c>
      <c r="L988">
        <v>76</v>
      </c>
      <c r="M988">
        <v>1</v>
      </c>
      <c r="N988">
        <v>0</v>
      </c>
      <c r="O988">
        <v>40.444299999999998</v>
      </c>
      <c r="P988">
        <v>23.36</v>
      </c>
      <c r="Q988">
        <v>7.7654699999999997</v>
      </c>
    </row>
    <row r="989" spans="1:17" ht="18.75" customHeight="1" x14ac:dyDescent="0.25">
      <c r="A989" t="str">
        <f>IF(C989&amp;G989&amp;D989&lt;&gt;'Funnel setup'!$K$3&amp;'Funnel setup'!$K$4&amp;'Funnel setup'!$K$6,".",IF(A988=".",1,A988+1))</f>
        <v>.</v>
      </c>
      <c r="B989" s="244" t="str">
        <f t="shared" si="15"/>
        <v>Hip Replacement PrimaryProviderSHIRLEY OAKS HOSPITAL (NT436)Oxford Hip Score</v>
      </c>
      <c r="C989" t="s">
        <v>749</v>
      </c>
      <c r="D989" t="s">
        <v>965</v>
      </c>
      <c r="E989" t="s">
        <v>510</v>
      </c>
      <c r="F989" t="s">
        <v>511</v>
      </c>
      <c r="G989" t="s">
        <v>964</v>
      </c>
      <c r="H989">
        <v>2</v>
      </c>
      <c r="I989">
        <v>24.5</v>
      </c>
      <c r="J989">
        <v>25</v>
      </c>
      <c r="K989">
        <v>0.5</v>
      </c>
      <c r="L989">
        <v>1</v>
      </c>
      <c r="M989">
        <v>0</v>
      </c>
      <c r="N989">
        <v>1</v>
      </c>
      <c r="O989" t="s">
        <v>127</v>
      </c>
      <c r="P989" t="s">
        <v>127</v>
      </c>
      <c r="Q989" t="s">
        <v>127</v>
      </c>
    </row>
    <row r="990" spans="1:17" ht="20.25" customHeight="1" x14ac:dyDescent="0.25">
      <c r="A990" t="str">
        <f>IF(C990&amp;G990&amp;D990&lt;&gt;'Funnel setup'!$K$3&amp;'Funnel setup'!$K$4&amp;'Funnel setup'!$K$6,".",IF(A989=".",1,A989+1))</f>
        <v>.</v>
      </c>
      <c r="B990" s="244" t="str">
        <f t="shared" si="15"/>
        <v>Hip Replacement PrimaryProviderSLOANE HOSPITAL (NT437)Oxford Hip Score</v>
      </c>
      <c r="C990" t="s">
        <v>749</v>
      </c>
      <c r="D990" t="s">
        <v>965</v>
      </c>
      <c r="E990" t="s">
        <v>512</v>
      </c>
      <c r="F990" t="s">
        <v>513</v>
      </c>
      <c r="G990" t="s">
        <v>964</v>
      </c>
      <c r="H990">
        <v>2</v>
      </c>
      <c r="I990">
        <v>12</v>
      </c>
      <c r="J990">
        <v>46</v>
      </c>
      <c r="K990">
        <v>34</v>
      </c>
      <c r="L990">
        <v>2</v>
      </c>
      <c r="M990">
        <v>0</v>
      </c>
      <c r="N990">
        <v>0</v>
      </c>
      <c r="O990" t="s">
        <v>127</v>
      </c>
      <c r="P990" t="s">
        <v>127</v>
      </c>
      <c r="Q990" t="s">
        <v>127</v>
      </c>
    </row>
    <row r="991" spans="1:17" ht="15" customHeight="1" x14ac:dyDescent="0.25">
      <c r="A991" t="str">
        <f>IF(C991&amp;G991&amp;D991&lt;&gt;'Funnel setup'!$K$3&amp;'Funnel setup'!$K$4&amp;'Funnel setup'!$K$6,".",IF(A990=".",1,A990+1))</f>
        <v>.</v>
      </c>
      <c r="B991" s="244" t="str">
        <f t="shared" si="15"/>
        <v>Hip Replacement PrimaryProviderSOUTH TEES HOSPITALS NHS FOUNDATION TRUST (RTR)Oxford Hip Score</v>
      </c>
      <c r="C991" t="s">
        <v>749</v>
      </c>
      <c r="D991" t="s">
        <v>965</v>
      </c>
      <c r="E991" t="s">
        <v>516</v>
      </c>
      <c r="F991" t="s">
        <v>517</v>
      </c>
      <c r="G991" t="s">
        <v>964</v>
      </c>
      <c r="H991">
        <v>182</v>
      </c>
      <c r="I991">
        <v>13.725300000000001</v>
      </c>
      <c r="J991">
        <v>38.714300000000001</v>
      </c>
      <c r="K991">
        <v>24.989000000000001</v>
      </c>
      <c r="L991">
        <v>179</v>
      </c>
      <c r="M991">
        <v>0</v>
      </c>
      <c r="N991">
        <v>3</v>
      </c>
      <c r="O991">
        <v>40.632399999999997</v>
      </c>
      <c r="P991">
        <v>23.548100000000002</v>
      </c>
      <c r="Q991">
        <v>8.8359799999999993</v>
      </c>
    </row>
    <row r="992" spans="1:17" ht="21" customHeight="1" x14ac:dyDescent="0.25">
      <c r="A992" t="str">
        <f>IF(C992&amp;G992&amp;D992&lt;&gt;'Funnel setup'!$K$3&amp;'Funnel setup'!$K$4&amp;'Funnel setup'!$K$6,".",IF(A991=".",1,A991+1))</f>
        <v>.</v>
      </c>
      <c r="B992" s="244" t="str">
        <f t="shared" si="15"/>
        <v>Hip Replacement PrimaryProviderSOUTH TYNESIDE AND SUNDERLAND NHS FOUNDATION TRUST (R0B)Oxford Hip Score</v>
      </c>
      <c r="C992" t="s">
        <v>749</v>
      </c>
      <c r="D992" t="s">
        <v>965</v>
      </c>
      <c r="E992" t="s">
        <v>518</v>
      </c>
      <c r="F992" t="s">
        <v>519</v>
      </c>
      <c r="G992" t="s">
        <v>964</v>
      </c>
      <c r="H992">
        <v>27</v>
      </c>
      <c r="I992">
        <v>11.8148</v>
      </c>
      <c r="J992">
        <v>33.814799999999998</v>
      </c>
      <c r="K992">
        <v>22</v>
      </c>
      <c r="L992">
        <v>25</v>
      </c>
      <c r="M992">
        <v>0</v>
      </c>
      <c r="N992">
        <v>2</v>
      </c>
      <c r="O992" t="s">
        <v>127</v>
      </c>
      <c r="P992" t="s">
        <v>127</v>
      </c>
      <c r="Q992" t="s">
        <v>127</v>
      </c>
    </row>
    <row r="993" spans="1:17" ht="20.25" customHeight="1" x14ac:dyDescent="0.25">
      <c r="A993" t="str">
        <f>IF(C993&amp;G993&amp;D993&lt;&gt;'Funnel setup'!$K$3&amp;'Funnel setup'!$K$4&amp;'Funnel setup'!$K$6,".",IF(A992=".",1,A992+1))</f>
        <v>.</v>
      </c>
      <c r="B993" s="244" t="str">
        <f t="shared" si="15"/>
        <v>Hip Replacement PrimaryProviderSOUTH WARWICKSHIRE UNIVERSITY NHS FOUNDATION TRUST (RJC)Oxford Hip Score</v>
      </c>
      <c r="C993" t="s">
        <v>749</v>
      </c>
      <c r="D993" t="s">
        <v>965</v>
      </c>
      <c r="E993" t="s">
        <v>520</v>
      </c>
      <c r="F993" t="s">
        <v>521</v>
      </c>
      <c r="G993" t="s">
        <v>964</v>
      </c>
      <c r="H993">
        <v>193</v>
      </c>
      <c r="I993">
        <v>20.694299999999998</v>
      </c>
      <c r="J993">
        <v>41.585500000000003</v>
      </c>
      <c r="K993">
        <v>20.891200000000001</v>
      </c>
      <c r="L993">
        <v>187</v>
      </c>
      <c r="M993">
        <v>2</v>
      </c>
      <c r="N993">
        <v>4</v>
      </c>
      <c r="O993">
        <v>39.892099999999999</v>
      </c>
      <c r="P993">
        <v>22.8078</v>
      </c>
      <c r="Q993">
        <v>7.6418299999999997</v>
      </c>
    </row>
    <row r="994" spans="1:17" ht="24.75" customHeight="1" x14ac:dyDescent="0.25">
      <c r="A994" t="str">
        <f>IF(C994&amp;G994&amp;D994&lt;&gt;'Funnel setup'!$K$3&amp;'Funnel setup'!$K$4&amp;'Funnel setup'!$K$6,".",IF(A993=".",1,A993+1))</f>
        <v>.</v>
      </c>
      <c r="B994" s="244" t="str">
        <f t="shared" si="15"/>
        <v>Hip Replacement PrimaryProviderSOUTHPORT AND ORMSKIRK HOSPITAL NHS TRUST (RVY)Oxford Hip Score</v>
      </c>
      <c r="C994" t="s">
        <v>749</v>
      </c>
      <c r="D994" t="s">
        <v>965</v>
      </c>
      <c r="E994" t="s">
        <v>522</v>
      </c>
      <c r="F994" t="s">
        <v>523</v>
      </c>
      <c r="G994" t="s">
        <v>964</v>
      </c>
      <c r="H994">
        <v>10</v>
      </c>
      <c r="I994">
        <v>16.600000000000001</v>
      </c>
      <c r="J994">
        <v>36.9</v>
      </c>
      <c r="K994">
        <v>20.3</v>
      </c>
      <c r="L994">
        <v>10</v>
      </c>
      <c r="M994">
        <v>0</v>
      </c>
      <c r="N994">
        <v>0</v>
      </c>
      <c r="O994" t="s">
        <v>127</v>
      </c>
      <c r="P994" t="s">
        <v>127</v>
      </c>
      <c r="Q994" t="s">
        <v>127</v>
      </c>
    </row>
    <row r="995" spans="1:17" ht="21.75" customHeight="1" x14ac:dyDescent="0.25">
      <c r="A995" t="str">
        <f>IF(C995&amp;G995&amp;D995&lt;&gt;'Funnel setup'!$K$3&amp;'Funnel setup'!$K$4&amp;'Funnel setup'!$K$6,".",IF(A994=".",1,A994+1))</f>
        <v>.</v>
      </c>
      <c r="B995" s="244" t="str">
        <f t="shared" si="15"/>
        <v>Hip Replacement PrimaryProviderSPENCER PRIVATE HOSPITALS - MARGATE (NN801)Oxford Hip Score</v>
      </c>
      <c r="C995" t="s">
        <v>749</v>
      </c>
      <c r="D995" t="s">
        <v>965</v>
      </c>
      <c r="E995" t="s">
        <v>526</v>
      </c>
      <c r="F995" t="s">
        <v>527</v>
      </c>
      <c r="G995" t="s">
        <v>964</v>
      </c>
      <c r="H995">
        <v>19</v>
      </c>
      <c r="I995">
        <v>18.052600000000002</v>
      </c>
      <c r="J995">
        <v>42.789499999999997</v>
      </c>
      <c r="K995">
        <v>24.736799999999999</v>
      </c>
      <c r="L995">
        <v>19</v>
      </c>
      <c r="M995">
        <v>0</v>
      </c>
      <c r="N995">
        <v>0</v>
      </c>
      <c r="O995" t="s">
        <v>127</v>
      </c>
      <c r="P995" t="s">
        <v>127</v>
      </c>
      <c r="Q995" t="s">
        <v>127</v>
      </c>
    </row>
    <row r="996" spans="1:17" ht="18" customHeight="1" x14ac:dyDescent="0.25">
      <c r="A996" t="str">
        <f>IF(C996&amp;G996&amp;D996&lt;&gt;'Funnel setup'!$K$3&amp;'Funnel setup'!$K$4&amp;'Funnel setup'!$K$6,".",IF(A995=".",1,A995+1))</f>
        <v>.</v>
      </c>
      <c r="B996" s="244" t="str">
        <f t="shared" si="15"/>
        <v>Hip Replacement PrimaryProviderSPIRE ALEXANDRA HOSPITAL (NT312)Oxford Hip Score</v>
      </c>
      <c r="C996" t="s">
        <v>749</v>
      </c>
      <c r="D996" t="s">
        <v>965</v>
      </c>
      <c r="E996" t="s">
        <v>528</v>
      </c>
      <c r="F996" t="s">
        <v>529</v>
      </c>
      <c r="G996" t="s">
        <v>964</v>
      </c>
      <c r="H996">
        <v>13</v>
      </c>
      <c r="I996">
        <v>16</v>
      </c>
      <c r="J996">
        <v>41</v>
      </c>
      <c r="K996">
        <v>25</v>
      </c>
      <c r="L996">
        <v>13</v>
      </c>
      <c r="M996">
        <v>0</v>
      </c>
      <c r="N996">
        <v>0</v>
      </c>
      <c r="O996" t="s">
        <v>127</v>
      </c>
      <c r="P996" t="s">
        <v>127</v>
      </c>
      <c r="Q996" t="s">
        <v>127</v>
      </c>
    </row>
    <row r="997" spans="1:17" ht="24" customHeight="1" x14ac:dyDescent="0.25">
      <c r="A997" t="str">
        <f>IF(C997&amp;G997&amp;D997&lt;&gt;'Funnel setup'!$K$3&amp;'Funnel setup'!$K$4&amp;'Funnel setup'!$K$6,".",IF(A996=".",1,A996+1))</f>
        <v>.</v>
      </c>
      <c r="B997" s="244" t="str">
        <f t="shared" si="15"/>
        <v>Hip Replacement PrimaryProviderSPIRE BRISTOL HOSPITAL (NT302)Oxford Hip Score</v>
      </c>
      <c r="C997" t="s">
        <v>749</v>
      </c>
      <c r="D997" t="s">
        <v>965</v>
      </c>
      <c r="E997" t="s">
        <v>530</v>
      </c>
      <c r="F997" t="s">
        <v>531</v>
      </c>
      <c r="G997" t="s">
        <v>964</v>
      </c>
      <c r="H997">
        <v>56</v>
      </c>
      <c r="I997">
        <v>18.660699999999999</v>
      </c>
      <c r="J997">
        <v>42.607100000000003</v>
      </c>
      <c r="K997">
        <v>23.946400000000001</v>
      </c>
      <c r="L997">
        <v>54</v>
      </c>
      <c r="M997">
        <v>1</v>
      </c>
      <c r="N997">
        <v>1</v>
      </c>
      <c r="O997">
        <v>40.833100000000002</v>
      </c>
      <c r="P997">
        <v>23.748799999999999</v>
      </c>
      <c r="Q997">
        <v>7.71929</v>
      </c>
    </row>
    <row r="998" spans="1:17" ht="19.5" customHeight="1" x14ac:dyDescent="0.25">
      <c r="A998" t="str">
        <f>IF(C998&amp;G998&amp;D998&lt;&gt;'Funnel setup'!$K$3&amp;'Funnel setup'!$K$4&amp;'Funnel setup'!$K$6,".",IF(A997=".",1,A997+1))</f>
        <v>.</v>
      </c>
      <c r="B998" s="244" t="str">
        <f t="shared" si="15"/>
        <v>Hip Replacement PrimaryProviderSPIRE BUSHEY HOSPITAL (NT315)Oxford Hip Score</v>
      </c>
      <c r="C998" t="s">
        <v>749</v>
      </c>
      <c r="D998" t="s">
        <v>965</v>
      </c>
      <c r="E998" t="s">
        <v>532</v>
      </c>
      <c r="F998" t="s">
        <v>533</v>
      </c>
      <c r="G998" t="s">
        <v>964</v>
      </c>
      <c r="H998">
        <v>1</v>
      </c>
      <c r="I998">
        <v>21</v>
      </c>
      <c r="J998">
        <v>44</v>
      </c>
      <c r="K998">
        <v>23</v>
      </c>
      <c r="L998">
        <v>1</v>
      </c>
      <c r="M998">
        <v>0</v>
      </c>
      <c r="N998">
        <v>0</v>
      </c>
      <c r="O998" t="s">
        <v>127</v>
      </c>
      <c r="P998" t="s">
        <v>127</v>
      </c>
      <c r="Q998" t="s">
        <v>127</v>
      </c>
    </row>
    <row r="999" spans="1:17" ht="19.5" customHeight="1" x14ac:dyDescent="0.25">
      <c r="A999" t="str">
        <f>IF(C999&amp;G999&amp;D999&lt;&gt;'Funnel setup'!$K$3&amp;'Funnel setup'!$K$4&amp;'Funnel setup'!$K$6,".",IF(A998=".",1,A998+1))</f>
        <v>.</v>
      </c>
      <c r="B999" s="244" t="str">
        <f t="shared" si="15"/>
        <v>Hip Replacement PrimaryProviderSPIRE CAMBRIDGE LEA HOSPITAL (NT317)Oxford Hip Score</v>
      </c>
      <c r="C999" t="s">
        <v>749</v>
      </c>
      <c r="D999" t="s">
        <v>965</v>
      </c>
      <c r="E999" t="s">
        <v>534</v>
      </c>
      <c r="F999" t="s">
        <v>535</v>
      </c>
      <c r="G999" t="s">
        <v>964</v>
      </c>
      <c r="H999">
        <v>33</v>
      </c>
      <c r="I999">
        <v>18.454499999999999</v>
      </c>
      <c r="J999">
        <v>42.939399999999999</v>
      </c>
      <c r="K999">
        <v>24.4848</v>
      </c>
      <c r="L999">
        <v>32</v>
      </c>
      <c r="M999">
        <v>0</v>
      </c>
      <c r="N999">
        <v>1</v>
      </c>
      <c r="O999">
        <v>41.799100000000003</v>
      </c>
      <c r="P999">
        <v>24.7148</v>
      </c>
      <c r="Q999">
        <v>5.8989399999999996</v>
      </c>
    </row>
    <row r="1000" spans="1:17" ht="21.75" customHeight="1" x14ac:dyDescent="0.25">
      <c r="A1000" t="str">
        <f>IF(C1000&amp;G1000&amp;D1000&lt;&gt;'Funnel setup'!$K$3&amp;'Funnel setup'!$K$4&amp;'Funnel setup'!$K$6,".",IF(A999=".",1,A999+1))</f>
        <v>.</v>
      </c>
      <c r="B1000" s="244" t="str">
        <f t="shared" si="15"/>
        <v>Hip Replacement PrimaryProviderSPIRE CHESHIRE HOSPITAL (NT324)Oxford Hip Score</v>
      </c>
      <c r="C1000" t="s">
        <v>749</v>
      </c>
      <c r="D1000" t="s">
        <v>965</v>
      </c>
      <c r="E1000" t="s">
        <v>536</v>
      </c>
      <c r="F1000" t="s">
        <v>537</v>
      </c>
      <c r="G1000" t="s">
        <v>964</v>
      </c>
      <c r="H1000">
        <v>23</v>
      </c>
      <c r="I1000">
        <v>15.608700000000001</v>
      </c>
      <c r="J1000">
        <v>38.260899999999999</v>
      </c>
      <c r="K1000">
        <v>22.652200000000001</v>
      </c>
      <c r="L1000">
        <v>22</v>
      </c>
      <c r="M1000">
        <v>0</v>
      </c>
      <c r="N1000">
        <v>1</v>
      </c>
      <c r="O1000" t="s">
        <v>127</v>
      </c>
      <c r="P1000" t="s">
        <v>127</v>
      </c>
      <c r="Q1000" t="s">
        <v>127</v>
      </c>
    </row>
    <row r="1001" spans="1:17" ht="16.5" customHeight="1" x14ac:dyDescent="0.25">
      <c r="A1001" t="str">
        <f>IF(C1001&amp;G1001&amp;D1001&lt;&gt;'Funnel setup'!$K$3&amp;'Funnel setup'!$K$4&amp;'Funnel setup'!$K$6,".",IF(A1000=".",1,A1000+1))</f>
        <v>.</v>
      </c>
      <c r="B1001" s="244" t="str">
        <f t="shared" si="15"/>
        <v>Hip Replacement PrimaryProviderSPIRE CLARE PARK HOSPITAL (NT345)Oxford Hip Score</v>
      </c>
      <c r="C1001" t="s">
        <v>749</v>
      </c>
      <c r="D1001" t="s">
        <v>965</v>
      </c>
      <c r="E1001" t="s">
        <v>538</v>
      </c>
      <c r="F1001" t="s">
        <v>539</v>
      </c>
      <c r="G1001" t="s">
        <v>964</v>
      </c>
      <c r="H1001">
        <v>13</v>
      </c>
      <c r="I1001">
        <v>22.1538</v>
      </c>
      <c r="J1001">
        <v>40.846200000000003</v>
      </c>
      <c r="K1001">
        <v>18.692299999999999</v>
      </c>
      <c r="L1001">
        <v>13</v>
      </c>
      <c r="M1001">
        <v>0</v>
      </c>
      <c r="N1001">
        <v>0</v>
      </c>
      <c r="O1001" t="s">
        <v>127</v>
      </c>
      <c r="P1001" t="s">
        <v>127</v>
      </c>
      <c r="Q1001" t="s">
        <v>127</v>
      </c>
    </row>
    <row r="1002" spans="1:17" ht="15.75" customHeight="1" x14ac:dyDescent="0.25">
      <c r="A1002" t="str">
        <f>IF(C1002&amp;G1002&amp;D1002&lt;&gt;'Funnel setup'!$K$3&amp;'Funnel setup'!$K$4&amp;'Funnel setup'!$K$6,".",IF(A1001=".",1,A1001+1))</f>
        <v>.</v>
      </c>
      <c r="B1002" s="244" t="str">
        <f t="shared" si="15"/>
        <v>Hip Replacement PrimaryProviderSPIRE DUNEDIN HOSPITAL (NT344)Oxford Hip Score</v>
      </c>
      <c r="C1002" t="s">
        <v>749</v>
      </c>
      <c r="D1002" t="s">
        <v>965</v>
      </c>
      <c r="E1002" t="s">
        <v>540</v>
      </c>
      <c r="F1002" t="s">
        <v>541</v>
      </c>
      <c r="G1002" t="s">
        <v>964</v>
      </c>
      <c r="H1002">
        <v>1</v>
      </c>
      <c r="I1002">
        <v>33</v>
      </c>
      <c r="J1002">
        <v>35</v>
      </c>
      <c r="K1002">
        <v>2</v>
      </c>
      <c r="L1002">
        <v>1</v>
      </c>
      <c r="M1002">
        <v>0</v>
      </c>
      <c r="N1002">
        <v>0</v>
      </c>
      <c r="O1002" t="s">
        <v>127</v>
      </c>
      <c r="P1002" t="s">
        <v>127</v>
      </c>
      <c r="Q1002" t="s">
        <v>127</v>
      </c>
    </row>
    <row r="1003" spans="1:17" ht="20.25" customHeight="1" x14ac:dyDescent="0.25">
      <c r="A1003" t="str">
        <f>IF(C1003&amp;G1003&amp;D1003&lt;&gt;'Funnel setup'!$K$3&amp;'Funnel setup'!$K$4&amp;'Funnel setup'!$K$6,".",IF(A1002=".",1,A1002+1))</f>
        <v>.</v>
      </c>
      <c r="B1003" s="244" t="str">
        <f t="shared" si="15"/>
        <v>Hip Replacement PrimaryProviderSPIRE ELLAND HOSPITAL (NT348)Oxford Hip Score</v>
      </c>
      <c r="C1003" t="s">
        <v>749</v>
      </c>
      <c r="D1003" t="s">
        <v>965</v>
      </c>
      <c r="E1003" t="s">
        <v>542</v>
      </c>
      <c r="F1003" t="s">
        <v>543</v>
      </c>
      <c r="G1003" t="s">
        <v>964</v>
      </c>
      <c r="H1003">
        <v>14</v>
      </c>
      <c r="I1003">
        <v>16.928599999999999</v>
      </c>
      <c r="J1003">
        <v>38.571399999999997</v>
      </c>
      <c r="K1003">
        <v>21.642900000000001</v>
      </c>
      <c r="L1003">
        <v>14</v>
      </c>
      <c r="M1003">
        <v>0</v>
      </c>
      <c r="N1003">
        <v>0</v>
      </c>
      <c r="O1003" t="s">
        <v>127</v>
      </c>
      <c r="P1003" t="s">
        <v>127</v>
      </c>
      <c r="Q1003" t="s">
        <v>127</v>
      </c>
    </row>
    <row r="1004" spans="1:17" ht="18" customHeight="1" x14ac:dyDescent="0.25">
      <c r="A1004" t="str">
        <f>IF(C1004&amp;G1004&amp;D1004&lt;&gt;'Funnel setup'!$K$3&amp;'Funnel setup'!$K$4&amp;'Funnel setup'!$K$6,".",IF(A1003=".",1,A1003+1))</f>
        <v>.</v>
      </c>
      <c r="B1004" s="244" t="str">
        <f t="shared" si="15"/>
        <v>Hip Replacement PrimaryProviderSPIRE FYLDE COAST HOSPITAL (NT347)Oxford Hip Score</v>
      </c>
      <c r="C1004" t="s">
        <v>749</v>
      </c>
      <c r="D1004" t="s">
        <v>965</v>
      </c>
      <c r="E1004" t="s">
        <v>544</v>
      </c>
      <c r="F1004" t="s">
        <v>545</v>
      </c>
      <c r="G1004" t="s">
        <v>964</v>
      </c>
      <c r="H1004">
        <v>29</v>
      </c>
      <c r="I1004">
        <v>19.862100000000002</v>
      </c>
      <c r="J1004">
        <v>41.413800000000002</v>
      </c>
      <c r="K1004">
        <v>21.5517</v>
      </c>
      <c r="L1004">
        <v>28</v>
      </c>
      <c r="M1004">
        <v>0</v>
      </c>
      <c r="N1004">
        <v>1</v>
      </c>
      <c r="O1004" t="s">
        <v>127</v>
      </c>
      <c r="P1004" t="s">
        <v>127</v>
      </c>
      <c r="Q1004" t="s">
        <v>127</v>
      </c>
    </row>
    <row r="1005" spans="1:17" ht="16.5" customHeight="1" x14ac:dyDescent="0.25">
      <c r="A1005" t="str">
        <f>IF(C1005&amp;G1005&amp;D1005&lt;&gt;'Funnel setup'!$K$3&amp;'Funnel setup'!$K$4&amp;'Funnel setup'!$K$6,".",IF(A1004=".",1,A1004+1))</f>
        <v>.</v>
      </c>
      <c r="B1005" s="244" t="str">
        <f t="shared" si="15"/>
        <v>Hip Replacement PrimaryProviderSPIRE GATWICK PARK HOSPITAL (NT308)Oxford Hip Score</v>
      </c>
      <c r="C1005" t="s">
        <v>749</v>
      </c>
      <c r="D1005" t="s">
        <v>965</v>
      </c>
      <c r="E1005" t="s">
        <v>546</v>
      </c>
      <c r="F1005" t="s">
        <v>547</v>
      </c>
      <c r="G1005" t="s">
        <v>964</v>
      </c>
      <c r="H1005">
        <v>8</v>
      </c>
      <c r="I1005">
        <v>18.5</v>
      </c>
      <c r="J1005">
        <v>42.875</v>
      </c>
      <c r="K1005">
        <v>24.375</v>
      </c>
      <c r="L1005">
        <v>8</v>
      </c>
      <c r="M1005">
        <v>0</v>
      </c>
      <c r="N1005">
        <v>0</v>
      </c>
      <c r="O1005" t="s">
        <v>127</v>
      </c>
      <c r="P1005" t="s">
        <v>127</v>
      </c>
      <c r="Q1005" t="s">
        <v>127</v>
      </c>
    </row>
    <row r="1006" spans="1:17" ht="15" customHeight="1" x14ac:dyDescent="0.25">
      <c r="A1006" t="str">
        <f>IF(C1006&amp;G1006&amp;D1006&lt;&gt;'Funnel setup'!$K$3&amp;'Funnel setup'!$K$4&amp;'Funnel setup'!$K$6,".",IF(A1005=".",1,A1005+1))</f>
        <v>.</v>
      </c>
      <c r="B1006" s="244" t="str">
        <f t="shared" si="15"/>
        <v>Hip Replacement PrimaryProviderSPIRE HARPENDEN HOSPITAL (NT316)Oxford Hip Score</v>
      </c>
      <c r="C1006" t="s">
        <v>749</v>
      </c>
      <c r="D1006" t="s">
        <v>965</v>
      </c>
      <c r="E1006" t="s">
        <v>548</v>
      </c>
      <c r="F1006" t="s">
        <v>549</v>
      </c>
      <c r="G1006" t="s">
        <v>964</v>
      </c>
      <c r="H1006">
        <v>32</v>
      </c>
      <c r="I1006">
        <v>16.281300000000002</v>
      </c>
      <c r="J1006">
        <v>40.843800000000002</v>
      </c>
      <c r="K1006">
        <v>24.5625</v>
      </c>
      <c r="L1006">
        <v>32</v>
      </c>
      <c r="M1006">
        <v>0</v>
      </c>
      <c r="N1006">
        <v>0</v>
      </c>
      <c r="O1006">
        <v>40.139699999999998</v>
      </c>
      <c r="P1006">
        <v>23.055499999999999</v>
      </c>
      <c r="Q1006">
        <v>6.1292999999999997</v>
      </c>
    </row>
    <row r="1007" spans="1:17" ht="15" customHeight="1" x14ac:dyDescent="0.25">
      <c r="A1007" t="str">
        <f>IF(C1007&amp;G1007&amp;D1007&lt;&gt;'Funnel setup'!$K$3&amp;'Funnel setup'!$K$4&amp;'Funnel setup'!$K$6,".",IF(A1006=".",1,A1006+1))</f>
        <v>.</v>
      </c>
      <c r="B1007" s="244" t="str">
        <f t="shared" si="15"/>
        <v>Hip Replacement PrimaryProviderSPIRE HARTSWOOD HOSPITAL (NT319)Oxford Hip Score</v>
      </c>
      <c r="C1007" t="s">
        <v>749</v>
      </c>
      <c r="D1007" t="s">
        <v>965</v>
      </c>
      <c r="E1007" t="s">
        <v>550</v>
      </c>
      <c r="F1007" t="s">
        <v>551</v>
      </c>
      <c r="G1007" t="s">
        <v>964</v>
      </c>
      <c r="H1007">
        <v>12</v>
      </c>
      <c r="I1007">
        <v>15.083299999999999</v>
      </c>
      <c r="J1007">
        <v>42.333300000000001</v>
      </c>
      <c r="K1007">
        <v>27.25</v>
      </c>
      <c r="L1007">
        <v>12</v>
      </c>
      <c r="M1007">
        <v>0</v>
      </c>
      <c r="N1007">
        <v>0</v>
      </c>
      <c r="O1007" t="s">
        <v>127</v>
      </c>
      <c r="P1007" t="s">
        <v>127</v>
      </c>
      <c r="Q1007" t="s">
        <v>127</v>
      </c>
    </row>
    <row r="1008" spans="1:17" ht="15" customHeight="1" x14ac:dyDescent="0.25">
      <c r="A1008" t="str">
        <f>IF(C1008&amp;G1008&amp;D1008&lt;&gt;'Funnel setup'!$K$3&amp;'Funnel setup'!$K$4&amp;'Funnel setup'!$K$6,".",IF(A1007=".",1,A1007+1))</f>
        <v>.</v>
      </c>
      <c r="B1008" s="244" t="str">
        <f t="shared" si="15"/>
        <v>Hip Replacement PrimaryProviderSPIRE HULL AND EAST RIDING HOSPITAL (NT351)Oxford Hip Score</v>
      </c>
      <c r="C1008" t="s">
        <v>749</v>
      </c>
      <c r="D1008" t="s">
        <v>965</v>
      </c>
      <c r="E1008" t="s">
        <v>554</v>
      </c>
      <c r="F1008" t="s">
        <v>555</v>
      </c>
      <c r="G1008" t="s">
        <v>964</v>
      </c>
      <c r="H1008">
        <v>37</v>
      </c>
      <c r="I1008">
        <v>16.270299999999999</v>
      </c>
      <c r="J1008">
        <v>40.216200000000001</v>
      </c>
      <c r="K1008">
        <v>23.945900000000002</v>
      </c>
      <c r="L1008">
        <v>37</v>
      </c>
      <c r="M1008">
        <v>0</v>
      </c>
      <c r="N1008">
        <v>0</v>
      </c>
      <c r="O1008">
        <v>40.909799999999997</v>
      </c>
      <c r="P1008">
        <v>23.825500000000002</v>
      </c>
      <c r="Q1008">
        <v>7.0540500000000002</v>
      </c>
    </row>
    <row r="1009" spans="1:17" ht="15" customHeight="1" x14ac:dyDescent="0.25">
      <c r="A1009" t="str">
        <f>IF(C1009&amp;G1009&amp;D1009&lt;&gt;'Funnel setup'!$K$3&amp;'Funnel setup'!$K$4&amp;'Funnel setup'!$K$6,".",IF(A1008=".",1,A1008+1))</f>
        <v>.</v>
      </c>
      <c r="B1009" s="244" t="str">
        <f t="shared" si="15"/>
        <v>Hip Replacement PrimaryProviderSPIRE LEEDS HOSPITAL (NT332)Oxford Hip Score</v>
      </c>
      <c r="C1009" t="s">
        <v>749</v>
      </c>
      <c r="D1009" t="s">
        <v>965</v>
      </c>
      <c r="E1009" t="s">
        <v>556</v>
      </c>
      <c r="F1009" t="s">
        <v>557</v>
      </c>
      <c r="G1009" t="s">
        <v>964</v>
      </c>
      <c r="H1009">
        <v>14</v>
      </c>
      <c r="I1009">
        <v>18.071400000000001</v>
      </c>
      <c r="J1009">
        <v>42.785699999999999</v>
      </c>
      <c r="K1009">
        <v>24.714300000000001</v>
      </c>
      <c r="L1009">
        <v>13</v>
      </c>
      <c r="M1009">
        <v>0</v>
      </c>
      <c r="N1009">
        <v>1</v>
      </c>
      <c r="O1009" t="s">
        <v>127</v>
      </c>
      <c r="P1009" t="s">
        <v>127</v>
      </c>
      <c r="Q1009" t="s">
        <v>127</v>
      </c>
    </row>
    <row r="1010" spans="1:17" ht="15" customHeight="1" x14ac:dyDescent="0.25">
      <c r="A1010" t="str">
        <f>IF(C1010&amp;G1010&amp;D1010&lt;&gt;'Funnel setup'!$K$3&amp;'Funnel setup'!$K$4&amp;'Funnel setup'!$K$6,".",IF(A1009=".",1,A1009+1))</f>
        <v>.</v>
      </c>
      <c r="B1010" s="244" t="str">
        <f t="shared" si="15"/>
        <v>Hip Replacement PrimaryProviderSPIRE LEICESTER HOSPITAL (NT322)Oxford Hip Score</v>
      </c>
      <c r="C1010" t="s">
        <v>749</v>
      </c>
      <c r="D1010" t="s">
        <v>965</v>
      </c>
      <c r="E1010" t="s">
        <v>558</v>
      </c>
      <c r="F1010" t="s">
        <v>559</v>
      </c>
      <c r="G1010" t="s">
        <v>964</v>
      </c>
      <c r="H1010">
        <v>32</v>
      </c>
      <c r="I1010">
        <v>18</v>
      </c>
      <c r="J1010">
        <v>41.5</v>
      </c>
      <c r="K1010">
        <v>23.5</v>
      </c>
      <c r="L1010">
        <v>31</v>
      </c>
      <c r="M1010">
        <v>0</v>
      </c>
      <c r="N1010">
        <v>1</v>
      </c>
      <c r="O1010">
        <v>40.601199999999999</v>
      </c>
      <c r="P1010">
        <v>23.5169</v>
      </c>
      <c r="Q1010">
        <v>7.4736399999999996</v>
      </c>
    </row>
    <row r="1011" spans="1:17" ht="15" customHeight="1" x14ac:dyDescent="0.25">
      <c r="A1011" t="str">
        <f>IF(C1011&amp;G1011&amp;D1011&lt;&gt;'Funnel setup'!$K$3&amp;'Funnel setup'!$K$4&amp;'Funnel setup'!$K$6,".",IF(A1010=".",1,A1010+1))</f>
        <v>.</v>
      </c>
      <c r="B1011" s="244" t="str">
        <f t="shared" si="15"/>
        <v>Hip Replacement PrimaryProviderSPIRE LITTLE ASTON HOSPITAL (NT321)Oxford Hip Score</v>
      </c>
      <c r="C1011" t="s">
        <v>749</v>
      </c>
      <c r="D1011" t="s">
        <v>965</v>
      </c>
      <c r="E1011" t="s">
        <v>560</v>
      </c>
      <c r="F1011" t="s">
        <v>561</v>
      </c>
      <c r="G1011" t="s">
        <v>964</v>
      </c>
      <c r="H1011">
        <v>30</v>
      </c>
      <c r="I1011">
        <v>18.7</v>
      </c>
      <c r="J1011">
        <v>37</v>
      </c>
      <c r="K1011">
        <v>18.3</v>
      </c>
      <c r="L1011">
        <v>30</v>
      </c>
      <c r="M1011">
        <v>0</v>
      </c>
      <c r="N1011">
        <v>0</v>
      </c>
      <c r="O1011">
        <v>35.937899999999999</v>
      </c>
      <c r="P1011">
        <v>18.8536</v>
      </c>
      <c r="Q1011">
        <v>7.3136400000000004</v>
      </c>
    </row>
    <row r="1012" spans="1:17" ht="15" customHeight="1" x14ac:dyDescent="0.25">
      <c r="A1012" t="str">
        <f>IF(C1012&amp;G1012&amp;D1012&lt;&gt;'Funnel setup'!$K$3&amp;'Funnel setup'!$K$4&amp;'Funnel setup'!$K$6,".",IF(A1011=".",1,A1011+1))</f>
        <v>.</v>
      </c>
      <c r="B1012" s="244" t="str">
        <f t="shared" si="15"/>
        <v>Hip Replacement PrimaryProviderSPIRE LIVERPOOL HOSPITAL (NT337)Oxford Hip Score</v>
      </c>
      <c r="C1012" t="s">
        <v>749</v>
      </c>
      <c r="D1012" t="s">
        <v>965</v>
      </c>
      <c r="E1012" t="s">
        <v>562</v>
      </c>
      <c r="F1012" t="s">
        <v>563</v>
      </c>
      <c r="G1012" t="s">
        <v>964</v>
      </c>
      <c r="H1012">
        <v>9</v>
      </c>
      <c r="I1012">
        <v>14.1111</v>
      </c>
      <c r="J1012">
        <v>43</v>
      </c>
      <c r="K1012">
        <v>28.8889</v>
      </c>
      <c r="L1012">
        <v>9</v>
      </c>
      <c r="M1012">
        <v>0</v>
      </c>
      <c r="N1012">
        <v>0</v>
      </c>
      <c r="O1012" t="s">
        <v>127</v>
      </c>
      <c r="P1012" t="s">
        <v>127</v>
      </c>
      <c r="Q1012" t="s">
        <v>127</v>
      </c>
    </row>
    <row r="1013" spans="1:17" ht="15" customHeight="1" x14ac:dyDescent="0.25">
      <c r="A1013" t="str">
        <f>IF(C1013&amp;G1013&amp;D1013&lt;&gt;'Funnel setup'!$K$3&amp;'Funnel setup'!$K$4&amp;'Funnel setup'!$K$6,".",IF(A1012=".",1,A1012+1))</f>
        <v>.</v>
      </c>
      <c r="B1013" s="244" t="str">
        <f t="shared" si="15"/>
        <v>Hip Replacement PrimaryProviderSPIRE MANCHESTER HOSPITAL (NT327)Oxford Hip Score</v>
      </c>
      <c r="C1013" t="s">
        <v>749</v>
      </c>
      <c r="D1013" t="s">
        <v>965</v>
      </c>
      <c r="E1013" t="s">
        <v>566</v>
      </c>
      <c r="F1013" t="s">
        <v>567</v>
      </c>
      <c r="G1013" t="s">
        <v>964</v>
      </c>
      <c r="H1013">
        <v>31</v>
      </c>
      <c r="I1013">
        <v>18.709700000000002</v>
      </c>
      <c r="J1013">
        <v>40.451599999999999</v>
      </c>
      <c r="K1013">
        <v>21.741900000000001</v>
      </c>
      <c r="L1013">
        <v>31</v>
      </c>
      <c r="M1013">
        <v>0</v>
      </c>
      <c r="N1013">
        <v>0</v>
      </c>
      <c r="O1013">
        <v>38.455399999999997</v>
      </c>
      <c r="P1013">
        <v>21.371099999999998</v>
      </c>
      <c r="Q1013">
        <v>7.8364900000000004</v>
      </c>
    </row>
    <row r="1014" spans="1:17" ht="15" customHeight="1" x14ac:dyDescent="0.25">
      <c r="A1014" t="str">
        <f>IF(C1014&amp;G1014&amp;D1014&lt;&gt;'Funnel setup'!$K$3&amp;'Funnel setup'!$K$4&amp;'Funnel setup'!$K$6,".",IF(A1013=".",1,A1013+1))</f>
        <v>.</v>
      </c>
      <c r="B1014" s="244" t="str">
        <f t="shared" si="15"/>
        <v>Hip Replacement PrimaryProviderSPIRE METHLEY PARK HOSPITAL (NT350)Oxford Hip Score</v>
      </c>
      <c r="C1014" t="s">
        <v>749</v>
      </c>
      <c r="D1014" t="s">
        <v>965</v>
      </c>
      <c r="E1014" t="s">
        <v>568</v>
      </c>
      <c r="F1014" t="s">
        <v>569</v>
      </c>
      <c r="G1014" t="s">
        <v>964</v>
      </c>
      <c r="H1014">
        <v>28</v>
      </c>
      <c r="I1014">
        <v>16.392900000000001</v>
      </c>
      <c r="J1014">
        <v>39.928600000000003</v>
      </c>
      <c r="K1014">
        <v>23.535699999999999</v>
      </c>
      <c r="L1014">
        <v>28</v>
      </c>
      <c r="M1014">
        <v>0</v>
      </c>
      <c r="N1014">
        <v>0</v>
      </c>
      <c r="O1014" t="s">
        <v>127</v>
      </c>
      <c r="P1014" t="s">
        <v>127</v>
      </c>
      <c r="Q1014" t="s">
        <v>127</v>
      </c>
    </row>
    <row r="1015" spans="1:17" ht="15" customHeight="1" x14ac:dyDescent="0.25">
      <c r="A1015" t="str">
        <f>IF(C1015&amp;G1015&amp;D1015&lt;&gt;'Funnel setup'!$K$3&amp;'Funnel setup'!$K$4&amp;'Funnel setup'!$K$6,".",IF(A1014=".",1,A1014+1))</f>
        <v>.</v>
      </c>
      <c r="B1015" s="244" t="str">
        <f t="shared" si="15"/>
        <v>Hip Replacement PrimaryProviderSPIRE MONTEFIORE HOSPITAL (NT364)Oxford Hip Score</v>
      </c>
      <c r="C1015" t="s">
        <v>749</v>
      </c>
      <c r="D1015" t="s">
        <v>965</v>
      </c>
      <c r="E1015" t="s">
        <v>570</v>
      </c>
      <c r="F1015" t="s">
        <v>571</v>
      </c>
      <c r="G1015" t="s">
        <v>964</v>
      </c>
      <c r="H1015">
        <v>3</v>
      </c>
      <c r="I1015">
        <v>20.333300000000001</v>
      </c>
      <c r="J1015">
        <v>48</v>
      </c>
      <c r="K1015">
        <v>27.666699999999999</v>
      </c>
      <c r="L1015">
        <v>3</v>
      </c>
      <c r="M1015">
        <v>0</v>
      </c>
      <c r="N1015">
        <v>0</v>
      </c>
      <c r="O1015" t="s">
        <v>127</v>
      </c>
      <c r="P1015" t="s">
        <v>127</v>
      </c>
      <c r="Q1015" t="s">
        <v>127</v>
      </c>
    </row>
    <row r="1016" spans="1:17" ht="15" customHeight="1" x14ac:dyDescent="0.25">
      <c r="A1016" t="str">
        <f>IF(C1016&amp;G1016&amp;D1016&lt;&gt;'Funnel setup'!$K$3&amp;'Funnel setup'!$K$4&amp;'Funnel setup'!$K$6,".",IF(A1015=".",1,A1015+1))</f>
        <v>.</v>
      </c>
      <c r="B1016" s="244" t="str">
        <f t="shared" si="15"/>
        <v>Hip Replacement PrimaryProviderSPIRE MURRAYFIELD HOSPITAL (NT325)Oxford Hip Score</v>
      </c>
      <c r="C1016" t="s">
        <v>749</v>
      </c>
      <c r="D1016" t="s">
        <v>965</v>
      </c>
      <c r="E1016" t="s">
        <v>572</v>
      </c>
      <c r="F1016" t="s">
        <v>573</v>
      </c>
      <c r="G1016" t="s">
        <v>964</v>
      </c>
      <c r="H1016">
        <v>5</v>
      </c>
      <c r="I1016">
        <v>23</v>
      </c>
      <c r="J1016">
        <v>43</v>
      </c>
      <c r="K1016">
        <v>20</v>
      </c>
      <c r="L1016">
        <v>5</v>
      </c>
      <c r="M1016">
        <v>0</v>
      </c>
      <c r="N1016">
        <v>0</v>
      </c>
      <c r="O1016" t="s">
        <v>127</v>
      </c>
      <c r="P1016" t="s">
        <v>127</v>
      </c>
      <c r="Q1016" t="s">
        <v>127</v>
      </c>
    </row>
    <row r="1017" spans="1:17" ht="15" customHeight="1" x14ac:dyDescent="0.25">
      <c r="A1017" t="str">
        <f>IF(C1017&amp;G1017&amp;D1017&lt;&gt;'Funnel setup'!$K$3&amp;'Funnel setup'!$K$4&amp;'Funnel setup'!$K$6,".",IF(A1016=".",1,A1016+1))</f>
        <v>.</v>
      </c>
      <c r="B1017" s="244" t="str">
        <f t="shared" si="15"/>
        <v>Hip Replacement PrimaryProviderSPIRE NOTTINGHAM HOSPITAL (NT30A)Oxford Hip Score</v>
      </c>
      <c r="C1017" t="s">
        <v>749</v>
      </c>
      <c r="D1017" t="s">
        <v>965</v>
      </c>
      <c r="E1017" t="s">
        <v>576</v>
      </c>
      <c r="F1017" t="s">
        <v>577</v>
      </c>
      <c r="G1017" t="s">
        <v>964</v>
      </c>
      <c r="H1017">
        <v>1</v>
      </c>
      <c r="I1017">
        <v>17</v>
      </c>
      <c r="J1017">
        <v>38</v>
      </c>
      <c r="K1017">
        <v>21</v>
      </c>
      <c r="L1017">
        <v>1</v>
      </c>
      <c r="M1017">
        <v>0</v>
      </c>
      <c r="N1017">
        <v>0</v>
      </c>
      <c r="O1017" t="s">
        <v>127</v>
      </c>
      <c r="P1017" t="s">
        <v>127</v>
      </c>
      <c r="Q1017" t="s">
        <v>127</v>
      </c>
    </row>
    <row r="1018" spans="1:17" ht="15" customHeight="1" x14ac:dyDescent="0.25">
      <c r="A1018" t="str">
        <f>IF(C1018&amp;G1018&amp;D1018&lt;&gt;'Funnel setup'!$K$3&amp;'Funnel setup'!$K$4&amp;'Funnel setup'!$K$6,".",IF(A1017=".",1,A1017+1))</f>
        <v>.</v>
      </c>
      <c r="B1018" s="244" t="str">
        <f t="shared" si="15"/>
        <v>Hip Replacement PrimaryProviderSPIRE PARKWAY HOSPITAL (NT320)Oxford Hip Score</v>
      </c>
      <c r="C1018" t="s">
        <v>749</v>
      </c>
      <c r="D1018" t="s">
        <v>965</v>
      </c>
      <c r="E1018" t="s">
        <v>578</v>
      </c>
      <c r="F1018" t="s">
        <v>579</v>
      </c>
      <c r="G1018" t="s">
        <v>964</v>
      </c>
      <c r="H1018">
        <v>19</v>
      </c>
      <c r="I1018">
        <v>18.842099999999999</v>
      </c>
      <c r="J1018">
        <v>39.263199999999998</v>
      </c>
      <c r="K1018">
        <v>20.421099999999999</v>
      </c>
      <c r="L1018">
        <v>17</v>
      </c>
      <c r="M1018">
        <v>0</v>
      </c>
      <c r="N1018">
        <v>2</v>
      </c>
      <c r="O1018" t="s">
        <v>127</v>
      </c>
      <c r="P1018" t="s">
        <v>127</v>
      </c>
      <c r="Q1018" t="s">
        <v>127</v>
      </c>
    </row>
    <row r="1019" spans="1:17" ht="15" customHeight="1" x14ac:dyDescent="0.25">
      <c r="A1019" t="str">
        <f>IF(C1019&amp;G1019&amp;D1019&lt;&gt;'Funnel setup'!$K$3&amp;'Funnel setup'!$K$4&amp;'Funnel setup'!$K$6,".",IF(A1018=".",1,A1018+1))</f>
        <v>.</v>
      </c>
      <c r="B1019" s="244" t="str">
        <f t="shared" si="15"/>
        <v>Hip Replacement PrimaryProviderSPIRE PORTSMOUTH HOSPITAL (NT305)Oxford Hip Score</v>
      </c>
      <c r="C1019" t="s">
        <v>749</v>
      </c>
      <c r="D1019" t="s">
        <v>965</v>
      </c>
      <c r="E1019" t="s">
        <v>580</v>
      </c>
      <c r="F1019" t="s">
        <v>581</v>
      </c>
      <c r="G1019" t="s">
        <v>964</v>
      </c>
      <c r="H1019">
        <v>12</v>
      </c>
      <c r="I1019">
        <v>18.5</v>
      </c>
      <c r="J1019">
        <v>36.333300000000001</v>
      </c>
      <c r="K1019">
        <v>17.833300000000001</v>
      </c>
      <c r="L1019">
        <v>11</v>
      </c>
      <c r="M1019">
        <v>0</v>
      </c>
      <c r="N1019">
        <v>1</v>
      </c>
      <c r="O1019" t="s">
        <v>127</v>
      </c>
      <c r="P1019" t="s">
        <v>127</v>
      </c>
      <c r="Q1019" t="s">
        <v>127</v>
      </c>
    </row>
    <row r="1020" spans="1:17" x14ac:dyDescent="0.25">
      <c r="A1020" t="str">
        <f>IF(C1020&amp;G1020&amp;D1020&lt;&gt;'Funnel setup'!$K$3&amp;'Funnel setup'!$K$4&amp;'Funnel setup'!$K$6,".",IF(A1019=".",1,A1019+1))</f>
        <v>.</v>
      </c>
      <c r="B1020" s="244" t="str">
        <f t="shared" si="15"/>
        <v>Hip Replacement PrimaryProviderSPIRE REGENCY HOSPITAL (NT339)Oxford Hip Score</v>
      </c>
      <c r="C1020" t="s">
        <v>749</v>
      </c>
      <c r="D1020" t="s">
        <v>965</v>
      </c>
      <c r="E1020" t="s">
        <v>582</v>
      </c>
      <c r="F1020" t="s">
        <v>583</v>
      </c>
      <c r="G1020" t="s">
        <v>964</v>
      </c>
      <c r="H1020">
        <v>32</v>
      </c>
      <c r="I1020">
        <v>20.468800000000002</v>
      </c>
      <c r="J1020">
        <v>39.8125</v>
      </c>
      <c r="K1020">
        <v>19.343800000000002</v>
      </c>
      <c r="L1020">
        <v>31</v>
      </c>
      <c r="M1020">
        <v>0</v>
      </c>
      <c r="N1020">
        <v>1</v>
      </c>
      <c r="O1020">
        <v>38.397199999999998</v>
      </c>
      <c r="P1020">
        <v>21.312899999999999</v>
      </c>
      <c r="Q1020">
        <v>7.96821</v>
      </c>
    </row>
    <row r="1021" spans="1:17" x14ac:dyDescent="0.25">
      <c r="A1021" t="str">
        <f>IF(C1021&amp;G1021&amp;D1021&lt;&gt;'Funnel setup'!$K$3&amp;'Funnel setup'!$K$4&amp;'Funnel setup'!$K$6,".",IF(A1020=".",1,A1020+1))</f>
        <v>.</v>
      </c>
      <c r="B1021" s="244" t="str">
        <f t="shared" si="15"/>
        <v>Hip Replacement PrimaryProviderSPIRE SOUTHAMPTON HOSPITAL (NT304)Oxford Hip Score</v>
      </c>
      <c r="C1021" t="s">
        <v>749</v>
      </c>
      <c r="D1021" t="s">
        <v>965</v>
      </c>
      <c r="E1021" t="s">
        <v>586</v>
      </c>
      <c r="F1021" t="s">
        <v>587</v>
      </c>
      <c r="G1021" t="s">
        <v>964</v>
      </c>
      <c r="H1021">
        <v>44</v>
      </c>
      <c r="I1021">
        <v>20.818200000000001</v>
      </c>
      <c r="J1021">
        <v>42.704500000000003</v>
      </c>
      <c r="K1021">
        <v>21.886399999999998</v>
      </c>
      <c r="L1021">
        <v>43</v>
      </c>
      <c r="M1021">
        <v>0</v>
      </c>
      <c r="N1021">
        <v>1</v>
      </c>
      <c r="O1021">
        <v>40.002899999999997</v>
      </c>
      <c r="P1021">
        <v>22.918600000000001</v>
      </c>
      <c r="Q1021">
        <v>5.8910799999999997</v>
      </c>
    </row>
    <row r="1022" spans="1:17" x14ac:dyDescent="0.25">
      <c r="A1022" t="str">
        <f>IF(C1022&amp;G1022&amp;D1022&lt;&gt;'Funnel setup'!$K$3&amp;'Funnel setup'!$K$4&amp;'Funnel setup'!$K$6,".",IF(A1021=".",1,A1021+1))</f>
        <v>.</v>
      </c>
      <c r="B1022" s="244" t="str">
        <f t="shared" si="15"/>
        <v>Hip Replacement PrimaryProviderSPIRE ST ANTHONY'S HOSPITAL (NT3X3)Oxford Hip Score</v>
      </c>
      <c r="C1022" t="s">
        <v>749</v>
      </c>
      <c r="D1022" t="s">
        <v>965</v>
      </c>
      <c r="E1022" t="s">
        <v>588</v>
      </c>
      <c r="F1022" t="s">
        <v>589</v>
      </c>
      <c r="G1022" t="s">
        <v>964</v>
      </c>
      <c r="H1022">
        <v>3</v>
      </c>
      <c r="I1022">
        <v>14</v>
      </c>
      <c r="J1022">
        <v>35.666699999999999</v>
      </c>
      <c r="K1022">
        <v>21.666699999999999</v>
      </c>
      <c r="L1022">
        <v>3</v>
      </c>
      <c r="M1022">
        <v>0</v>
      </c>
      <c r="N1022">
        <v>0</v>
      </c>
      <c r="O1022" t="s">
        <v>127</v>
      </c>
      <c r="P1022" t="s">
        <v>127</v>
      </c>
      <c r="Q1022" t="s">
        <v>127</v>
      </c>
    </row>
    <row r="1023" spans="1:17" x14ac:dyDescent="0.25">
      <c r="A1023" t="str">
        <f>IF(C1023&amp;G1023&amp;D1023&lt;&gt;'Funnel setup'!$K$3&amp;'Funnel setup'!$K$4&amp;'Funnel setup'!$K$6,".",IF(A1022=".",1,A1022+1))</f>
        <v>.</v>
      </c>
      <c r="B1023" s="244" t="str">
        <f t="shared" si="15"/>
        <v>Hip Replacement PrimaryProviderSPIRE SUSSEX HOSPITAL (NT309)Oxford Hip Score</v>
      </c>
      <c r="C1023" t="s">
        <v>749</v>
      </c>
      <c r="D1023" t="s">
        <v>965</v>
      </c>
      <c r="E1023" t="s">
        <v>590</v>
      </c>
      <c r="F1023" t="s">
        <v>591</v>
      </c>
      <c r="G1023" t="s">
        <v>964</v>
      </c>
      <c r="H1023">
        <v>7</v>
      </c>
      <c r="I1023">
        <v>21.428599999999999</v>
      </c>
      <c r="J1023">
        <v>42</v>
      </c>
      <c r="K1023">
        <v>20.571400000000001</v>
      </c>
      <c r="L1023">
        <v>7</v>
      </c>
      <c r="M1023">
        <v>0</v>
      </c>
      <c r="N1023">
        <v>0</v>
      </c>
      <c r="O1023" t="s">
        <v>127</v>
      </c>
      <c r="P1023" t="s">
        <v>127</v>
      </c>
      <c r="Q1023" t="s">
        <v>127</v>
      </c>
    </row>
    <row r="1024" spans="1:17" x14ac:dyDescent="0.25">
      <c r="A1024" t="str">
        <f>IF(C1024&amp;G1024&amp;D1024&lt;&gt;'Funnel setup'!$K$3&amp;'Funnel setup'!$K$4&amp;'Funnel setup'!$K$6,".",IF(A1023=".",1,A1023+1))</f>
        <v>.</v>
      </c>
      <c r="B1024" s="244" t="str">
        <f t="shared" si="15"/>
        <v>Hip Replacement PrimaryProviderSPIRE THAMES VALLEY HOSPITAL (NT343)Oxford Hip Score</v>
      </c>
      <c r="C1024" t="s">
        <v>749</v>
      </c>
      <c r="D1024" t="s">
        <v>965</v>
      </c>
      <c r="E1024" t="s">
        <v>592</v>
      </c>
      <c r="F1024" t="s">
        <v>593</v>
      </c>
      <c r="G1024" t="s">
        <v>964</v>
      </c>
      <c r="H1024">
        <v>7</v>
      </c>
      <c r="I1024">
        <v>20</v>
      </c>
      <c r="J1024">
        <v>44.571399999999997</v>
      </c>
      <c r="K1024">
        <v>24.571400000000001</v>
      </c>
      <c r="L1024">
        <v>7</v>
      </c>
      <c r="M1024">
        <v>0</v>
      </c>
      <c r="N1024">
        <v>0</v>
      </c>
      <c r="O1024" t="s">
        <v>127</v>
      </c>
      <c r="P1024" t="s">
        <v>127</v>
      </c>
      <c r="Q1024" t="s">
        <v>127</v>
      </c>
    </row>
    <row r="1025" spans="1:17" x14ac:dyDescent="0.25">
      <c r="A1025" t="str">
        <f>IF(C1025&amp;G1025&amp;D1025&lt;&gt;'Funnel setup'!$K$3&amp;'Funnel setup'!$K$4&amp;'Funnel setup'!$K$6,".",IF(A1024=".",1,A1024+1))</f>
        <v>.</v>
      </c>
      <c r="B1025" s="244" t="str">
        <f t="shared" si="15"/>
        <v>Hip Replacement PrimaryProviderSPIRE TUNBRIDGE WELLS HOSPITAL (NT310)Oxford Hip Score</v>
      </c>
      <c r="C1025" t="s">
        <v>749</v>
      </c>
      <c r="D1025" t="s">
        <v>965</v>
      </c>
      <c r="E1025" t="s">
        <v>594</v>
      </c>
      <c r="F1025" t="s">
        <v>595</v>
      </c>
      <c r="G1025" t="s">
        <v>964</v>
      </c>
      <c r="H1025">
        <v>7</v>
      </c>
      <c r="I1025">
        <v>12.857100000000001</v>
      </c>
      <c r="J1025">
        <v>36.142899999999997</v>
      </c>
      <c r="K1025">
        <v>23.285699999999999</v>
      </c>
      <c r="L1025">
        <v>7</v>
      </c>
      <c r="M1025">
        <v>0</v>
      </c>
      <c r="N1025">
        <v>0</v>
      </c>
      <c r="O1025" t="s">
        <v>127</v>
      </c>
      <c r="P1025" t="s">
        <v>127</v>
      </c>
      <c r="Q1025" t="s">
        <v>127</v>
      </c>
    </row>
    <row r="1026" spans="1:17" x14ac:dyDescent="0.25">
      <c r="A1026" t="str">
        <f>IF(C1026&amp;G1026&amp;D1026&lt;&gt;'Funnel setup'!$K$3&amp;'Funnel setup'!$K$4&amp;'Funnel setup'!$K$6,".",IF(A1025=".",1,A1025+1))</f>
        <v>.</v>
      </c>
      <c r="B1026" s="244" t="str">
        <f t="shared" ref="B1026:B1089" si="16">C1026&amp;D1026&amp;F1026&amp;G1026</f>
        <v>Hip Replacement PrimaryProviderSPIRE WASHINGTON HOSPITAL (NT333)Oxford Hip Score</v>
      </c>
      <c r="C1026" t="s">
        <v>749</v>
      </c>
      <c r="D1026" t="s">
        <v>965</v>
      </c>
      <c r="E1026" t="s">
        <v>596</v>
      </c>
      <c r="F1026" t="s">
        <v>597</v>
      </c>
      <c r="G1026" t="s">
        <v>964</v>
      </c>
      <c r="H1026">
        <v>64</v>
      </c>
      <c r="I1026">
        <v>16.265599999999999</v>
      </c>
      <c r="J1026">
        <v>42.875</v>
      </c>
      <c r="K1026">
        <v>26.609400000000001</v>
      </c>
      <c r="L1026">
        <v>64</v>
      </c>
      <c r="M1026">
        <v>0</v>
      </c>
      <c r="N1026">
        <v>0</v>
      </c>
      <c r="O1026">
        <v>43.088500000000003</v>
      </c>
      <c r="P1026">
        <v>26.004200000000001</v>
      </c>
      <c r="Q1026">
        <v>6.2926399999999996</v>
      </c>
    </row>
    <row r="1027" spans="1:17" x14ac:dyDescent="0.25">
      <c r="A1027" t="str">
        <f>IF(C1027&amp;G1027&amp;D1027&lt;&gt;'Funnel setup'!$K$3&amp;'Funnel setup'!$K$4&amp;'Funnel setup'!$K$6,".",IF(A1026=".",1,A1026+1))</f>
        <v>.</v>
      </c>
      <c r="B1027" s="244" t="str">
        <f t="shared" si="16"/>
        <v>Hip Replacement PrimaryProviderSPRINGFIELD HOSPITAL (NVC18)Oxford Hip Score</v>
      </c>
      <c r="C1027" t="s">
        <v>749</v>
      </c>
      <c r="D1027" t="s">
        <v>965</v>
      </c>
      <c r="E1027" t="s">
        <v>602</v>
      </c>
      <c r="F1027" t="s">
        <v>603</v>
      </c>
      <c r="G1027" t="s">
        <v>964</v>
      </c>
      <c r="H1027">
        <v>81</v>
      </c>
      <c r="I1027">
        <v>15.592599999999999</v>
      </c>
      <c r="J1027">
        <v>42.1111</v>
      </c>
      <c r="K1027">
        <v>26.5185</v>
      </c>
      <c r="L1027">
        <v>79</v>
      </c>
      <c r="M1027">
        <v>1</v>
      </c>
      <c r="N1027">
        <v>1</v>
      </c>
      <c r="O1027">
        <v>42.113500000000002</v>
      </c>
      <c r="P1027">
        <v>25.029299999999999</v>
      </c>
      <c r="Q1027">
        <v>6.8782199999999998</v>
      </c>
    </row>
    <row r="1028" spans="1:17" x14ac:dyDescent="0.25">
      <c r="A1028" t="str">
        <f>IF(C1028&amp;G1028&amp;D1028&lt;&gt;'Funnel setup'!$K$3&amp;'Funnel setup'!$K$4&amp;'Funnel setup'!$K$6,".",IF(A1027=".",1,A1027+1))</f>
        <v>.</v>
      </c>
      <c r="B1028" s="244" t="str">
        <f t="shared" si="16"/>
        <v>Hip Replacement PrimaryProviderST EDMUNDS HOSPITAL (NT446)Oxford Hip Score</v>
      </c>
      <c r="C1028" t="s">
        <v>749</v>
      </c>
      <c r="D1028" t="s">
        <v>965</v>
      </c>
      <c r="E1028" t="s">
        <v>604</v>
      </c>
      <c r="F1028" t="s">
        <v>605</v>
      </c>
      <c r="G1028" t="s">
        <v>964</v>
      </c>
      <c r="H1028">
        <v>55</v>
      </c>
      <c r="I1028">
        <v>17.672699999999999</v>
      </c>
      <c r="J1028">
        <v>42.854500000000002</v>
      </c>
      <c r="K1028">
        <v>25.181799999999999</v>
      </c>
      <c r="L1028">
        <v>55</v>
      </c>
      <c r="M1028">
        <v>0</v>
      </c>
      <c r="N1028">
        <v>0</v>
      </c>
      <c r="O1028">
        <v>41.507100000000001</v>
      </c>
      <c r="P1028">
        <v>24.422799999999999</v>
      </c>
      <c r="Q1028">
        <v>6.6934500000000003</v>
      </c>
    </row>
    <row r="1029" spans="1:17" x14ac:dyDescent="0.25">
      <c r="A1029" t="str">
        <f>IF(C1029&amp;G1029&amp;D1029&lt;&gt;'Funnel setup'!$K$3&amp;'Funnel setup'!$K$4&amp;'Funnel setup'!$K$6,".",IF(A1028=".",1,A1028+1))</f>
        <v>.</v>
      </c>
      <c r="B1029" s="244" t="str">
        <f t="shared" si="16"/>
        <v>Hip Replacement PrimaryProviderST HELENS AND KNOWSLEY TEACHING HOSPITALS NHS TRUST (RBN)Oxford Hip Score</v>
      </c>
      <c r="C1029" t="s">
        <v>749</v>
      </c>
      <c r="D1029" t="s">
        <v>965</v>
      </c>
      <c r="E1029" t="s">
        <v>608</v>
      </c>
      <c r="F1029" t="s">
        <v>609</v>
      </c>
      <c r="G1029" t="s">
        <v>964</v>
      </c>
      <c r="H1029">
        <v>76</v>
      </c>
      <c r="I1029">
        <v>15.026300000000001</v>
      </c>
      <c r="J1029">
        <v>36.342100000000002</v>
      </c>
      <c r="K1029">
        <v>21.315799999999999</v>
      </c>
      <c r="L1029">
        <v>72</v>
      </c>
      <c r="M1029">
        <v>2</v>
      </c>
      <c r="N1029">
        <v>2</v>
      </c>
      <c r="O1029">
        <v>38.1599</v>
      </c>
      <c r="P1029">
        <v>21.075600000000001</v>
      </c>
      <c r="Q1029">
        <v>9.5100099999999994</v>
      </c>
    </row>
    <row r="1030" spans="1:17" x14ac:dyDescent="0.25">
      <c r="A1030" t="str">
        <f>IF(C1030&amp;G1030&amp;D1030&lt;&gt;'Funnel setup'!$K$3&amp;'Funnel setup'!$K$4&amp;'Funnel setup'!$K$6,".",IF(A1029=".",1,A1029+1))</f>
        <v>.</v>
      </c>
      <c r="B1030" s="244" t="str">
        <f t="shared" si="16"/>
        <v>Hip Replacement PrimaryProviderST HUGH'S HOSPITAL (NTE02)Oxford Hip Score</v>
      </c>
      <c r="C1030" t="s">
        <v>749</v>
      </c>
      <c r="D1030" t="s">
        <v>965</v>
      </c>
      <c r="E1030" t="s">
        <v>610</v>
      </c>
      <c r="F1030" t="s">
        <v>611</v>
      </c>
      <c r="G1030" t="s">
        <v>964</v>
      </c>
      <c r="H1030">
        <v>99</v>
      </c>
      <c r="I1030">
        <v>18.979800000000001</v>
      </c>
      <c r="J1030">
        <v>40.525300000000001</v>
      </c>
      <c r="K1030">
        <v>21.545500000000001</v>
      </c>
      <c r="L1030">
        <v>96</v>
      </c>
      <c r="M1030">
        <v>0</v>
      </c>
      <c r="N1030">
        <v>3</v>
      </c>
      <c r="O1030">
        <v>39.759700000000002</v>
      </c>
      <c r="P1030">
        <v>22.6754</v>
      </c>
      <c r="Q1030">
        <v>7.6558400000000004</v>
      </c>
    </row>
    <row r="1031" spans="1:17" x14ac:dyDescent="0.25">
      <c r="A1031" t="str">
        <f>IF(C1031&amp;G1031&amp;D1031&lt;&gt;'Funnel setup'!$K$3&amp;'Funnel setup'!$K$4&amp;'Funnel setup'!$K$6,".",IF(A1030=".",1,A1030+1))</f>
        <v>.</v>
      </c>
      <c r="B1031" s="244" t="str">
        <f t="shared" si="16"/>
        <v>Hip Replacement PrimaryProviderSTOCKPORT NHS FOUNDATION TRUST (RWJ)Oxford Hip Score</v>
      </c>
      <c r="C1031" t="s">
        <v>749</v>
      </c>
      <c r="D1031" t="s">
        <v>965</v>
      </c>
      <c r="E1031" t="s">
        <v>614</v>
      </c>
      <c r="F1031" t="s">
        <v>615</v>
      </c>
      <c r="G1031" t="s">
        <v>964</v>
      </c>
      <c r="H1031">
        <v>53</v>
      </c>
      <c r="I1031">
        <v>14.641500000000001</v>
      </c>
      <c r="J1031">
        <v>39.547199999999997</v>
      </c>
      <c r="K1031">
        <v>24.9057</v>
      </c>
      <c r="L1031">
        <v>52</v>
      </c>
      <c r="M1031">
        <v>0</v>
      </c>
      <c r="N1031">
        <v>1</v>
      </c>
      <c r="O1031">
        <v>41.1509</v>
      </c>
      <c r="P1031">
        <v>24.066600000000001</v>
      </c>
      <c r="Q1031">
        <v>8.0941500000000008</v>
      </c>
    </row>
    <row r="1032" spans="1:17" x14ac:dyDescent="0.25">
      <c r="A1032" t="str">
        <f>IF(C1032&amp;G1032&amp;D1032&lt;&gt;'Funnel setup'!$K$3&amp;'Funnel setup'!$K$4&amp;'Funnel setup'!$K$6,".",IF(A1031=".",1,A1031+1))</f>
        <v>.</v>
      </c>
      <c r="B1032" s="244" t="str">
        <f t="shared" si="16"/>
        <v>Hip Replacement PrimaryProviderSURREY AND SUSSEX HEALTHCARE NHS TRUST (RTP)Oxford Hip Score</v>
      </c>
      <c r="C1032" t="s">
        <v>749</v>
      </c>
      <c r="D1032" t="s">
        <v>965</v>
      </c>
      <c r="E1032" t="s">
        <v>618</v>
      </c>
      <c r="F1032" t="s">
        <v>619</v>
      </c>
      <c r="G1032" t="s">
        <v>964</v>
      </c>
      <c r="H1032">
        <v>50</v>
      </c>
      <c r="I1032">
        <v>14.9</v>
      </c>
      <c r="J1032">
        <v>38.159999999999997</v>
      </c>
      <c r="K1032">
        <v>23.26</v>
      </c>
      <c r="L1032">
        <v>49</v>
      </c>
      <c r="M1032">
        <v>0</v>
      </c>
      <c r="N1032">
        <v>1</v>
      </c>
      <c r="O1032">
        <v>39.029899999999998</v>
      </c>
      <c r="P1032">
        <v>21.945599999999999</v>
      </c>
      <c r="Q1032">
        <v>8.6019799999999993</v>
      </c>
    </row>
    <row r="1033" spans="1:17" x14ac:dyDescent="0.25">
      <c r="A1033" t="str">
        <f>IF(C1033&amp;G1033&amp;D1033&lt;&gt;'Funnel setup'!$K$3&amp;'Funnel setup'!$K$4&amp;'Funnel setup'!$K$6,".",IF(A1032=".",1,A1032+1))</f>
        <v>.</v>
      </c>
      <c r="B1033" s="244" t="str">
        <f t="shared" si="16"/>
        <v>Hip Replacement PrimaryProviderTAMESIDE AND GLOSSOP INTEGRATED CARE NHS FOUNDATION TRUST (RMP)Oxford Hip Score</v>
      </c>
      <c r="C1033" t="s">
        <v>749</v>
      </c>
      <c r="D1033" t="s">
        <v>965</v>
      </c>
      <c r="E1033" t="s">
        <v>620</v>
      </c>
      <c r="F1033" t="s">
        <v>621</v>
      </c>
      <c r="G1033" t="s">
        <v>964</v>
      </c>
      <c r="H1033">
        <v>3</v>
      </c>
      <c r="I1033">
        <v>10.666700000000001</v>
      </c>
      <c r="J1033">
        <v>39.333300000000001</v>
      </c>
      <c r="K1033">
        <v>28.666699999999999</v>
      </c>
      <c r="L1033">
        <v>3</v>
      </c>
      <c r="M1033">
        <v>0</v>
      </c>
      <c r="N1033">
        <v>0</v>
      </c>
      <c r="O1033" t="s">
        <v>127</v>
      </c>
      <c r="P1033" t="s">
        <v>127</v>
      </c>
      <c r="Q1033" t="s">
        <v>127</v>
      </c>
    </row>
    <row r="1034" spans="1:17" x14ac:dyDescent="0.25">
      <c r="A1034" t="str">
        <f>IF(C1034&amp;G1034&amp;D1034&lt;&gt;'Funnel setup'!$K$3&amp;'Funnel setup'!$K$4&amp;'Funnel setup'!$K$6,".",IF(A1033=".",1,A1033+1))</f>
        <v>.</v>
      </c>
      <c r="B1034" s="244" t="str">
        <f t="shared" si="16"/>
        <v>Hip Replacement PrimaryProviderTEES VALLEY HOSPITAL (NVC0R)Oxford Hip Score</v>
      </c>
      <c r="C1034" t="s">
        <v>749</v>
      </c>
      <c r="D1034" t="s">
        <v>965</v>
      </c>
      <c r="E1034" t="s">
        <v>624</v>
      </c>
      <c r="F1034" t="s">
        <v>625</v>
      </c>
      <c r="G1034" t="s">
        <v>964</v>
      </c>
      <c r="H1034">
        <v>47</v>
      </c>
      <c r="I1034">
        <v>19.148900000000001</v>
      </c>
      <c r="J1034">
        <v>40.255299999999998</v>
      </c>
      <c r="K1034">
        <v>21.106400000000001</v>
      </c>
      <c r="L1034">
        <v>46</v>
      </c>
      <c r="M1034">
        <v>0</v>
      </c>
      <c r="N1034">
        <v>1</v>
      </c>
      <c r="O1034">
        <v>39.272100000000002</v>
      </c>
      <c r="P1034">
        <v>22.187799999999999</v>
      </c>
      <c r="Q1034">
        <v>8.3022100000000005</v>
      </c>
    </row>
    <row r="1035" spans="1:17" x14ac:dyDescent="0.25">
      <c r="A1035" t="str">
        <f>IF(C1035&amp;G1035&amp;D1035&lt;&gt;'Funnel setup'!$K$3&amp;'Funnel setup'!$K$4&amp;'Funnel setup'!$K$6,".",IF(A1034=".",1,A1034+1))</f>
        <v>.</v>
      </c>
      <c r="B1035" s="244" t="str">
        <f t="shared" si="16"/>
        <v>Hip Replacement PrimaryProviderTHE BERKSHIRE INDEPENDENT HOSPITAL (NVC02)Oxford Hip Score</v>
      </c>
      <c r="C1035" t="s">
        <v>749</v>
      </c>
      <c r="D1035" t="s">
        <v>965</v>
      </c>
      <c r="E1035" t="s">
        <v>626</v>
      </c>
      <c r="F1035" t="s">
        <v>627</v>
      </c>
      <c r="G1035" t="s">
        <v>964</v>
      </c>
      <c r="H1035">
        <v>11</v>
      </c>
      <c r="I1035">
        <v>20</v>
      </c>
      <c r="J1035">
        <v>43.181800000000003</v>
      </c>
      <c r="K1035">
        <v>23.181799999999999</v>
      </c>
      <c r="L1035">
        <v>10</v>
      </c>
      <c r="M1035">
        <v>0</v>
      </c>
      <c r="N1035">
        <v>1</v>
      </c>
      <c r="O1035" t="s">
        <v>127</v>
      </c>
      <c r="P1035" t="s">
        <v>127</v>
      </c>
      <c r="Q1035" t="s">
        <v>127</v>
      </c>
    </row>
    <row r="1036" spans="1:17" x14ac:dyDescent="0.25">
      <c r="A1036" t="str">
        <f>IF(C1036&amp;G1036&amp;D1036&lt;&gt;'Funnel setup'!$K$3&amp;'Funnel setup'!$K$4&amp;'Funnel setup'!$K$6,".",IF(A1035=".",1,A1035+1))</f>
        <v>.</v>
      </c>
      <c r="B1036" s="244" t="str">
        <f t="shared" si="16"/>
        <v>Hip Replacement PrimaryProviderTHE CHERWELL HOSPITAL (NVC25)Oxford Hip Score</v>
      </c>
      <c r="C1036" t="s">
        <v>749</v>
      </c>
      <c r="D1036" t="s">
        <v>965</v>
      </c>
      <c r="E1036" t="s">
        <v>628</v>
      </c>
      <c r="F1036" t="s">
        <v>629</v>
      </c>
      <c r="G1036" t="s">
        <v>964</v>
      </c>
      <c r="H1036">
        <v>226</v>
      </c>
      <c r="I1036">
        <v>19.977900000000002</v>
      </c>
      <c r="J1036">
        <v>41.6327</v>
      </c>
      <c r="K1036">
        <v>21.654900000000001</v>
      </c>
      <c r="L1036">
        <v>220</v>
      </c>
      <c r="M1036">
        <v>1</v>
      </c>
      <c r="N1036">
        <v>5</v>
      </c>
      <c r="O1036">
        <v>39.775300000000001</v>
      </c>
      <c r="P1036">
        <v>22.690999999999999</v>
      </c>
      <c r="Q1036">
        <v>7.5560799999999997</v>
      </c>
    </row>
    <row r="1037" spans="1:17" x14ac:dyDescent="0.25">
      <c r="A1037" t="str">
        <f>IF(C1037&amp;G1037&amp;D1037&lt;&gt;'Funnel setup'!$K$3&amp;'Funnel setup'!$K$4&amp;'Funnel setup'!$K$6,".",IF(A1036=".",1,A1036+1))</f>
        <v>.</v>
      </c>
      <c r="B1037" s="244" t="str">
        <f t="shared" si="16"/>
        <v>Hip Replacement PrimaryProviderTHE DUDLEY GROUP NHS FOUNDATION TRUST (RNA)Oxford Hip Score</v>
      </c>
      <c r="C1037" t="s">
        <v>749</v>
      </c>
      <c r="D1037" t="s">
        <v>965</v>
      </c>
      <c r="E1037" t="s">
        <v>630</v>
      </c>
      <c r="F1037" t="s">
        <v>631</v>
      </c>
      <c r="G1037" t="s">
        <v>964</v>
      </c>
      <c r="H1037">
        <v>1</v>
      </c>
      <c r="I1037">
        <v>16</v>
      </c>
      <c r="J1037">
        <v>46</v>
      </c>
      <c r="K1037">
        <v>30</v>
      </c>
      <c r="L1037">
        <v>1</v>
      </c>
      <c r="M1037">
        <v>0</v>
      </c>
      <c r="N1037">
        <v>0</v>
      </c>
      <c r="O1037" t="s">
        <v>127</v>
      </c>
      <c r="P1037" t="s">
        <v>127</v>
      </c>
      <c r="Q1037" t="s">
        <v>127</v>
      </c>
    </row>
    <row r="1038" spans="1:17" x14ac:dyDescent="0.25">
      <c r="A1038" t="str">
        <f>IF(C1038&amp;G1038&amp;D1038&lt;&gt;'Funnel setup'!$K$3&amp;'Funnel setup'!$K$4&amp;'Funnel setup'!$K$6,".",IF(A1037=".",1,A1037+1))</f>
        <v>.</v>
      </c>
      <c r="B1038" s="244" t="str">
        <f t="shared" si="16"/>
        <v>Hip Replacement PrimaryProviderTHE HILLINGDON HOSPITALS NHS FOUNDATION TRUST (RAS)Oxford Hip Score</v>
      </c>
      <c r="C1038" t="s">
        <v>749</v>
      </c>
      <c r="D1038" t="s">
        <v>965</v>
      </c>
      <c r="E1038" t="s">
        <v>632</v>
      </c>
      <c r="F1038" t="s">
        <v>633</v>
      </c>
      <c r="G1038" t="s">
        <v>964</v>
      </c>
      <c r="H1038">
        <v>72</v>
      </c>
      <c r="I1038">
        <v>19.2361</v>
      </c>
      <c r="J1038">
        <v>40.069400000000002</v>
      </c>
      <c r="K1038">
        <v>20.833300000000001</v>
      </c>
      <c r="L1038">
        <v>69</v>
      </c>
      <c r="M1038">
        <v>0</v>
      </c>
      <c r="N1038">
        <v>3</v>
      </c>
      <c r="O1038">
        <v>39.301900000000003</v>
      </c>
      <c r="P1038">
        <v>22.217600000000001</v>
      </c>
      <c r="Q1038">
        <v>7.3892899999999999</v>
      </c>
    </row>
    <row r="1039" spans="1:17" x14ac:dyDescent="0.25">
      <c r="A1039" t="str">
        <f>IF(C1039&amp;G1039&amp;D1039&lt;&gt;'Funnel setup'!$K$3&amp;'Funnel setup'!$K$4&amp;'Funnel setup'!$K$6,".",IF(A1038=".",1,A1038+1))</f>
        <v>.</v>
      </c>
      <c r="B1039" s="244" t="str">
        <f t="shared" si="16"/>
        <v>Hip Replacement PrimaryProviderTHE HORDER CENTRE - ST JOHNS ROAD (NXM01)Oxford Hip Score</v>
      </c>
      <c r="C1039" t="s">
        <v>749</v>
      </c>
      <c r="D1039" t="s">
        <v>965</v>
      </c>
      <c r="E1039" t="s">
        <v>634</v>
      </c>
      <c r="F1039" t="s">
        <v>635</v>
      </c>
      <c r="G1039" t="s">
        <v>964</v>
      </c>
      <c r="H1039">
        <v>265</v>
      </c>
      <c r="I1039">
        <v>20.630199999999999</v>
      </c>
      <c r="J1039">
        <v>42.592500000000001</v>
      </c>
      <c r="K1039">
        <v>21.962299999999999</v>
      </c>
      <c r="L1039">
        <v>256</v>
      </c>
      <c r="M1039">
        <v>3</v>
      </c>
      <c r="N1039">
        <v>6</v>
      </c>
      <c r="O1039">
        <v>41.014000000000003</v>
      </c>
      <c r="P1039">
        <v>23.9297</v>
      </c>
      <c r="Q1039">
        <v>7.4276099999999996</v>
      </c>
    </row>
    <row r="1040" spans="1:17" x14ac:dyDescent="0.25">
      <c r="A1040" t="str">
        <f>IF(C1040&amp;G1040&amp;D1040&lt;&gt;'Funnel setup'!$K$3&amp;'Funnel setup'!$K$4&amp;'Funnel setup'!$K$6,".",IF(A1039=".",1,A1039+1))</f>
        <v>.</v>
      </c>
      <c r="B1040" s="244" t="str">
        <f t="shared" si="16"/>
        <v>Hip Replacement PrimaryProviderTHE NEWCASTLE UPON TYNE HOSPITALS NHS FOUNDATION TRUST (RTD)Oxford Hip Score</v>
      </c>
      <c r="C1040" t="s">
        <v>749</v>
      </c>
      <c r="D1040" t="s">
        <v>965</v>
      </c>
      <c r="E1040" t="s">
        <v>638</v>
      </c>
      <c r="F1040" t="s">
        <v>639</v>
      </c>
      <c r="G1040" t="s">
        <v>964</v>
      </c>
      <c r="H1040">
        <v>36</v>
      </c>
      <c r="I1040">
        <v>14.972200000000001</v>
      </c>
      <c r="J1040">
        <v>35.527799999999999</v>
      </c>
      <c r="K1040">
        <v>20.555599999999998</v>
      </c>
      <c r="L1040">
        <v>34</v>
      </c>
      <c r="M1040">
        <v>0</v>
      </c>
      <c r="N1040">
        <v>2</v>
      </c>
      <c r="O1040">
        <v>37.494100000000003</v>
      </c>
      <c r="P1040">
        <v>20.409800000000001</v>
      </c>
      <c r="Q1040">
        <v>9.2546999999999997</v>
      </c>
    </row>
    <row r="1041" spans="1:17" x14ac:dyDescent="0.25">
      <c r="A1041" t="str">
        <f>IF(C1041&amp;G1041&amp;D1041&lt;&gt;'Funnel setup'!$K$3&amp;'Funnel setup'!$K$4&amp;'Funnel setup'!$K$6,".",IF(A1040=".",1,A1040+1))</f>
        <v>.</v>
      </c>
      <c r="B1041" s="244" t="str">
        <f t="shared" si="16"/>
        <v>Hip Replacement PrimaryProviderTHE PRINCESS ALEXANDRA HOSPITAL NHS TRUST (RQW)Oxford Hip Score</v>
      </c>
      <c r="C1041" t="s">
        <v>749</v>
      </c>
      <c r="D1041" t="s">
        <v>965</v>
      </c>
      <c r="E1041" t="s">
        <v>640</v>
      </c>
      <c r="F1041" t="s">
        <v>641</v>
      </c>
      <c r="G1041" t="s">
        <v>964</v>
      </c>
      <c r="H1041">
        <v>26</v>
      </c>
      <c r="I1041">
        <v>11.538500000000001</v>
      </c>
      <c r="J1041">
        <v>35.384599999999999</v>
      </c>
      <c r="K1041">
        <v>23.8462</v>
      </c>
      <c r="L1041">
        <v>26</v>
      </c>
      <c r="M1041">
        <v>0</v>
      </c>
      <c r="N1041">
        <v>0</v>
      </c>
      <c r="O1041" t="s">
        <v>127</v>
      </c>
      <c r="P1041" t="s">
        <v>127</v>
      </c>
      <c r="Q1041" t="s">
        <v>127</v>
      </c>
    </row>
    <row r="1042" spans="1:17" x14ac:dyDescent="0.25">
      <c r="A1042" t="str">
        <f>IF(C1042&amp;G1042&amp;D1042&lt;&gt;'Funnel setup'!$K$3&amp;'Funnel setup'!$K$4&amp;'Funnel setup'!$K$6,".",IF(A1041=".",1,A1041+1))</f>
        <v>.</v>
      </c>
      <c r="B1042" s="244" t="str">
        <f t="shared" si="16"/>
        <v>Hip Replacement PrimaryProviderTHE QUEEN ELIZABETH HOSPITAL, KING'S LYNN, NHS FOUNDATION TRUST (RCX)Oxford Hip Score</v>
      </c>
      <c r="C1042" t="s">
        <v>749</v>
      </c>
      <c r="D1042" t="s">
        <v>965</v>
      </c>
      <c r="E1042" t="s">
        <v>644</v>
      </c>
      <c r="F1042" t="s">
        <v>645</v>
      </c>
      <c r="G1042" t="s">
        <v>964</v>
      </c>
      <c r="H1042">
        <v>70</v>
      </c>
      <c r="I1042">
        <v>16.085699999999999</v>
      </c>
      <c r="J1042">
        <v>39.671399999999998</v>
      </c>
      <c r="K1042">
        <v>23.585699999999999</v>
      </c>
      <c r="L1042">
        <v>68</v>
      </c>
      <c r="M1042">
        <v>1</v>
      </c>
      <c r="N1042">
        <v>1</v>
      </c>
      <c r="O1042">
        <v>40.509799999999998</v>
      </c>
      <c r="P1042">
        <v>23.4255</v>
      </c>
      <c r="Q1042">
        <v>6.7435099999999997</v>
      </c>
    </row>
    <row r="1043" spans="1:17" x14ac:dyDescent="0.25">
      <c r="A1043" t="str">
        <f>IF(C1043&amp;G1043&amp;D1043&lt;&gt;'Funnel setup'!$K$3&amp;'Funnel setup'!$K$4&amp;'Funnel setup'!$K$6,".",IF(A1042=".",1,A1042+1))</f>
        <v>.</v>
      </c>
      <c r="B1043" s="244" t="str">
        <f t="shared" si="16"/>
        <v>Hip Replacement PrimaryProviderTHE ROBERT JONES AND AGNES HUNT ORTHOPAEDIC HOSPITAL NHS FOUNDATION TRUST (RL1)Oxford Hip Score</v>
      </c>
      <c r="C1043" t="s">
        <v>749</v>
      </c>
      <c r="D1043" t="s">
        <v>965</v>
      </c>
      <c r="E1043" t="s">
        <v>646</v>
      </c>
      <c r="F1043" t="s">
        <v>647</v>
      </c>
      <c r="G1043" t="s">
        <v>964</v>
      </c>
      <c r="H1043">
        <v>347</v>
      </c>
      <c r="I1043">
        <v>13.573499999999999</v>
      </c>
      <c r="J1043">
        <v>40.783900000000003</v>
      </c>
      <c r="K1043">
        <v>27.2104</v>
      </c>
      <c r="L1043">
        <v>346</v>
      </c>
      <c r="M1043">
        <v>0</v>
      </c>
      <c r="N1043">
        <v>1</v>
      </c>
      <c r="O1043">
        <v>42.017600000000002</v>
      </c>
      <c r="P1043">
        <v>24.933299999999999</v>
      </c>
      <c r="Q1043">
        <v>7.6571800000000003</v>
      </c>
    </row>
    <row r="1044" spans="1:17" x14ac:dyDescent="0.25">
      <c r="A1044" t="str">
        <f>IF(C1044&amp;G1044&amp;D1044&lt;&gt;'Funnel setup'!$K$3&amp;'Funnel setup'!$K$4&amp;'Funnel setup'!$K$6,".",IF(A1043=".",1,A1043+1))</f>
        <v>.</v>
      </c>
      <c r="B1044" s="244" t="str">
        <f t="shared" si="16"/>
        <v>Hip Replacement PrimaryProviderTHE ROTHERHAM NHS FOUNDATION TRUST (RFR)Oxford Hip Score</v>
      </c>
      <c r="C1044" t="s">
        <v>749</v>
      </c>
      <c r="D1044" t="s">
        <v>965</v>
      </c>
      <c r="E1044" t="s">
        <v>648</v>
      </c>
      <c r="F1044" t="s">
        <v>649</v>
      </c>
      <c r="G1044" t="s">
        <v>964</v>
      </c>
      <c r="H1044">
        <v>18</v>
      </c>
      <c r="I1044">
        <v>14.9444</v>
      </c>
      <c r="J1044">
        <v>38.1111</v>
      </c>
      <c r="K1044">
        <v>23.166699999999999</v>
      </c>
      <c r="L1044">
        <v>18</v>
      </c>
      <c r="M1044">
        <v>0</v>
      </c>
      <c r="N1044">
        <v>0</v>
      </c>
      <c r="O1044" t="s">
        <v>127</v>
      </c>
      <c r="P1044" t="s">
        <v>127</v>
      </c>
      <c r="Q1044" t="s">
        <v>127</v>
      </c>
    </row>
    <row r="1045" spans="1:17" x14ac:dyDescent="0.25">
      <c r="A1045" t="str">
        <f>IF(C1045&amp;G1045&amp;D1045&lt;&gt;'Funnel setup'!$K$3&amp;'Funnel setup'!$K$4&amp;'Funnel setup'!$K$6,".",IF(A1044=".",1,A1044+1))</f>
        <v>.</v>
      </c>
      <c r="B1045" s="244" t="str">
        <f t="shared" si="16"/>
        <v>Hip Replacement PrimaryProviderTHE ROYAL ORTHOPAEDIC HOSPITAL NHS FOUNDATION TRUST (RRJ)Oxford Hip Score</v>
      </c>
      <c r="C1045" t="s">
        <v>749</v>
      </c>
      <c r="D1045" t="s">
        <v>965</v>
      </c>
      <c r="E1045" t="s">
        <v>652</v>
      </c>
      <c r="F1045" t="s">
        <v>653</v>
      </c>
      <c r="G1045" t="s">
        <v>964</v>
      </c>
      <c r="H1045">
        <v>598</v>
      </c>
      <c r="I1045">
        <v>17.749199999999998</v>
      </c>
      <c r="J1045">
        <v>40.265900000000002</v>
      </c>
      <c r="K1045">
        <v>22.5167</v>
      </c>
      <c r="L1045">
        <v>589</v>
      </c>
      <c r="M1045">
        <v>1</v>
      </c>
      <c r="N1045">
        <v>8</v>
      </c>
      <c r="O1045">
        <v>39.853700000000003</v>
      </c>
      <c r="P1045">
        <v>22.769400000000001</v>
      </c>
      <c r="Q1045">
        <v>8.0142399999999991</v>
      </c>
    </row>
    <row r="1046" spans="1:17" x14ac:dyDescent="0.25">
      <c r="A1046" t="str">
        <f>IF(C1046&amp;G1046&amp;D1046&lt;&gt;'Funnel setup'!$K$3&amp;'Funnel setup'!$K$4&amp;'Funnel setup'!$K$6,".",IF(A1045=".",1,A1045+1))</f>
        <v>.</v>
      </c>
      <c r="B1046" s="244" t="str">
        <f t="shared" si="16"/>
        <v>Hip Replacement PrimaryProviderTHE ROYAL WOLVERHAMPTON NHS TRUST (RL4)Oxford Hip Score</v>
      </c>
      <c r="C1046" t="s">
        <v>749</v>
      </c>
      <c r="D1046" t="s">
        <v>965</v>
      </c>
      <c r="E1046" t="s">
        <v>654</v>
      </c>
      <c r="F1046" t="s">
        <v>655</v>
      </c>
      <c r="G1046" t="s">
        <v>964</v>
      </c>
      <c r="H1046">
        <v>17</v>
      </c>
      <c r="I1046">
        <v>15.764699999999999</v>
      </c>
      <c r="J1046">
        <v>42.764699999999998</v>
      </c>
      <c r="K1046">
        <v>27</v>
      </c>
      <c r="L1046">
        <v>17</v>
      </c>
      <c r="M1046">
        <v>0</v>
      </c>
      <c r="N1046">
        <v>0</v>
      </c>
      <c r="O1046" t="s">
        <v>127</v>
      </c>
      <c r="P1046" t="s">
        <v>127</v>
      </c>
      <c r="Q1046" t="s">
        <v>127</v>
      </c>
    </row>
    <row r="1047" spans="1:17" x14ac:dyDescent="0.25">
      <c r="A1047" t="str">
        <f>IF(C1047&amp;G1047&amp;D1047&lt;&gt;'Funnel setup'!$K$3&amp;'Funnel setup'!$K$4&amp;'Funnel setup'!$K$6,".",IF(A1046=".",1,A1046+1))</f>
        <v>.</v>
      </c>
      <c r="B1047" s="244" t="str">
        <f t="shared" si="16"/>
        <v>Hip Replacement PrimaryProviderTHE SHREWSBURY AND TELFORD HOSPITAL NHS TRUST (RXW)Oxford Hip Score</v>
      </c>
      <c r="C1047" t="s">
        <v>749</v>
      </c>
      <c r="D1047" t="s">
        <v>965</v>
      </c>
      <c r="E1047" t="s">
        <v>656</v>
      </c>
      <c r="F1047" t="s">
        <v>657</v>
      </c>
      <c r="G1047" t="s">
        <v>964</v>
      </c>
      <c r="H1047">
        <v>20</v>
      </c>
      <c r="I1047">
        <v>8.85</v>
      </c>
      <c r="J1047">
        <v>35.35</v>
      </c>
      <c r="K1047">
        <v>26.5</v>
      </c>
      <c r="L1047">
        <v>20</v>
      </c>
      <c r="M1047">
        <v>0</v>
      </c>
      <c r="N1047">
        <v>0</v>
      </c>
      <c r="O1047" t="s">
        <v>127</v>
      </c>
      <c r="P1047" t="s">
        <v>127</v>
      </c>
      <c r="Q1047" t="s">
        <v>127</v>
      </c>
    </row>
    <row r="1048" spans="1:17" x14ac:dyDescent="0.25">
      <c r="A1048" t="str">
        <f>IF(C1048&amp;G1048&amp;D1048&lt;&gt;'Funnel setup'!$K$3&amp;'Funnel setup'!$K$4&amp;'Funnel setup'!$K$6,".",IF(A1047=".",1,A1047+1))</f>
        <v>.</v>
      </c>
      <c r="B1048" s="244" t="str">
        <f t="shared" si="16"/>
        <v>Hip Replacement PrimaryProviderTHE YORKSHIRE CLINIC (NVC20)Oxford Hip Score</v>
      </c>
      <c r="C1048" t="s">
        <v>749</v>
      </c>
      <c r="D1048" t="s">
        <v>965</v>
      </c>
      <c r="E1048" t="s">
        <v>662</v>
      </c>
      <c r="F1048" t="s">
        <v>663</v>
      </c>
      <c r="G1048" t="s">
        <v>964</v>
      </c>
      <c r="H1048">
        <v>65</v>
      </c>
      <c r="I1048">
        <v>25.692299999999999</v>
      </c>
      <c r="J1048">
        <v>26.784600000000001</v>
      </c>
      <c r="K1048">
        <v>1.0923099999999999</v>
      </c>
      <c r="L1048">
        <v>39</v>
      </c>
      <c r="M1048">
        <v>9</v>
      </c>
      <c r="N1048">
        <v>17</v>
      </c>
      <c r="O1048">
        <v>24.394400000000001</v>
      </c>
      <c r="P1048">
        <v>7.3101099999999999</v>
      </c>
      <c r="Q1048">
        <v>3.2909099999999998</v>
      </c>
    </row>
    <row r="1049" spans="1:17" x14ac:dyDescent="0.25">
      <c r="A1049" t="str">
        <f>IF(C1049&amp;G1049&amp;D1049&lt;&gt;'Funnel setup'!$K$3&amp;'Funnel setup'!$K$4&amp;'Funnel setup'!$K$6,".",IF(A1048=".",1,A1048+1))</f>
        <v>.</v>
      </c>
      <c r="B1049" s="244" t="str">
        <f t="shared" si="16"/>
        <v>Hip Replacement PrimaryProviderTHORNBURY HOSPITAL (NT440)Oxford Hip Score</v>
      </c>
      <c r="C1049" t="s">
        <v>749</v>
      </c>
      <c r="D1049" t="s">
        <v>965</v>
      </c>
      <c r="E1049" t="s">
        <v>664</v>
      </c>
      <c r="F1049" t="s">
        <v>665</v>
      </c>
      <c r="G1049" t="s">
        <v>964</v>
      </c>
      <c r="H1049">
        <v>3</v>
      </c>
      <c r="I1049">
        <v>14.333299999999999</v>
      </c>
      <c r="J1049">
        <v>40.333300000000001</v>
      </c>
      <c r="K1049">
        <v>26</v>
      </c>
      <c r="L1049">
        <v>3</v>
      </c>
      <c r="M1049">
        <v>0</v>
      </c>
      <c r="N1049">
        <v>0</v>
      </c>
      <c r="O1049" t="s">
        <v>127</v>
      </c>
      <c r="P1049" t="s">
        <v>127</v>
      </c>
      <c r="Q1049" t="s">
        <v>127</v>
      </c>
    </row>
    <row r="1050" spans="1:17" x14ac:dyDescent="0.25">
      <c r="A1050" t="str">
        <f>IF(C1050&amp;G1050&amp;D1050&lt;&gt;'Funnel setup'!$K$3&amp;'Funnel setup'!$K$4&amp;'Funnel setup'!$K$6,".",IF(A1049=".",1,A1049+1))</f>
        <v>.</v>
      </c>
      <c r="B1050" s="244" t="str">
        <f t="shared" si="16"/>
        <v>Hip Replacement PrimaryProviderTHREE SHIRES HOSPITAL (NT441)Oxford Hip Score</v>
      </c>
      <c r="C1050" t="s">
        <v>749</v>
      </c>
      <c r="D1050" t="s">
        <v>965</v>
      </c>
      <c r="E1050" t="s">
        <v>666</v>
      </c>
      <c r="F1050" t="s">
        <v>667</v>
      </c>
      <c r="G1050" t="s">
        <v>964</v>
      </c>
      <c r="H1050">
        <v>67</v>
      </c>
      <c r="I1050">
        <v>18.4328</v>
      </c>
      <c r="J1050">
        <v>42.134300000000003</v>
      </c>
      <c r="K1050">
        <v>23.701499999999999</v>
      </c>
      <c r="L1050">
        <v>65</v>
      </c>
      <c r="M1050">
        <v>0</v>
      </c>
      <c r="N1050">
        <v>2</v>
      </c>
      <c r="O1050">
        <v>40.258000000000003</v>
      </c>
      <c r="P1050">
        <v>23.1737</v>
      </c>
      <c r="Q1050">
        <v>8.0873799999999996</v>
      </c>
    </row>
    <row r="1051" spans="1:17" x14ac:dyDescent="0.25">
      <c r="A1051" t="str">
        <f>IF(C1051&amp;G1051&amp;D1051&lt;&gt;'Funnel setup'!$K$3&amp;'Funnel setup'!$K$4&amp;'Funnel setup'!$K$6,".",IF(A1050=".",1,A1050+1))</f>
        <v>.</v>
      </c>
      <c r="B1051" s="244" t="str">
        <f t="shared" si="16"/>
        <v>Hip Replacement PrimaryProviderTORBAY AND SOUTH DEVON NHS FOUNDATION TRUST (RA9)Oxford Hip Score</v>
      </c>
      <c r="C1051" t="s">
        <v>749</v>
      </c>
      <c r="D1051" t="s">
        <v>965</v>
      </c>
      <c r="E1051" t="s">
        <v>668</v>
      </c>
      <c r="F1051" t="s">
        <v>669</v>
      </c>
      <c r="G1051" t="s">
        <v>964</v>
      </c>
      <c r="H1051">
        <v>9</v>
      </c>
      <c r="I1051">
        <v>9.6666699999999999</v>
      </c>
      <c r="J1051">
        <v>37.555599999999998</v>
      </c>
      <c r="K1051">
        <v>27.8889</v>
      </c>
      <c r="L1051">
        <v>9</v>
      </c>
      <c r="M1051">
        <v>0</v>
      </c>
      <c r="N1051">
        <v>0</v>
      </c>
      <c r="O1051" t="s">
        <v>127</v>
      </c>
      <c r="P1051" t="s">
        <v>127</v>
      </c>
      <c r="Q1051" t="s">
        <v>127</v>
      </c>
    </row>
    <row r="1052" spans="1:17" x14ac:dyDescent="0.25">
      <c r="A1052" t="str">
        <f>IF(C1052&amp;G1052&amp;D1052&lt;&gt;'Funnel setup'!$K$3&amp;'Funnel setup'!$K$4&amp;'Funnel setup'!$K$6,".",IF(A1051=".",1,A1051+1))</f>
        <v>.</v>
      </c>
      <c r="B1052" s="244" t="str">
        <f t="shared" si="16"/>
        <v>Hip Replacement PrimaryProviderUNITED LINCOLNSHIRE HOSPITALS NHS TRUST (RWD)Oxford Hip Score</v>
      </c>
      <c r="C1052" t="s">
        <v>749</v>
      </c>
      <c r="D1052" t="s">
        <v>965</v>
      </c>
      <c r="E1052" t="s">
        <v>672</v>
      </c>
      <c r="F1052" t="s">
        <v>673</v>
      </c>
      <c r="G1052" t="s">
        <v>964</v>
      </c>
      <c r="H1052">
        <v>26</v>
      </c>
      <c r="I1052">
        <v>14.384600000000001</v>
      </c>
      <c r="J1052">
        <v>37.884599999999999</v>
      </c>
      <c r="K1052">
        <v>23.5</v>
      </c>
      <c r="L1052">
        <v>25</v>
      </c>
      <c r="M1052">
        <v>1</v>
      </c>
      <c r="N1052">
        <v>0</v>
      </c>
      <c r="O1052" t="s">
        <v>127</v>
      </c>
      <c r="P1052" t="s">
        <v>127</v>
      </c>
      <c r="Q1052" t="s">
        <v>127</v>
      </c>
    </row>
    <row r="1053" spans="1:17" x14ac:dyDescent="0.25">
      <c r="A1053" t="str">
        <f>IF(C1053&amp;G1053&amp;D1053&lt;&gt;'Funnel setup'!$K$3&amp;'Funnel setup'!$K$4&amp;'Funnel setup'!$K$6,".",IF(A1052=".",1,A1052+1))</f>
        <v>.</v>
      </c>
      <c r="B1053" s="244" t="str">
        <f t="shared" si="16"/>
        <v>Hip Replacement PrimaryProviderUNIVERSITY COLLEGE LONDON HOSPITALS NHS FOUNDATION TRUST (RRV)Oxford Hip Score</v>
      </c>
      <c r="C1053" t="s">
        <v>749</v>
      </c>
      <c r="D1053" t="s">
        <v>965</v>
      </c>
      <c r="E1053" t="s">
        <v>674</v>
      </c>
      <c r="F1053" t="s">
        <v>675</v>
      </c>
      <c r="G1053" t="s">
        <v>964</v>
      </c>
      <c r="H1053">
        <v>166</v>
      </c>
      <c r="I1053">
        <v>19.674700000000001</v>
      </c>
      <c r="J1053">
        <v>40.325299999999999</v>
      </c>
      <c r="K1053">
        <v>20.650600000000001</v>
      </c>
      <c r="L1053">
        <v>160</v>
      </c>
      <c r="M1053">
        <v>0</v>
      </c>
      <c r="N1053">
        <v>6</v>
      </c>
      <c r="O1053">
        <v>40.148299999999999</v>
      </c>
      <c r="P1053">
        <v>23.064</v>
      </c>
      <c r="Q1053">
        <v>7.8692900000000003</v>
      </c>
    </row>
    <row r="1054" spans="1:17" x14ac:dyDescent="0.25">
      <c r="A1054" t="str">
        <f>IF(C1054&amp;G1054&amp;D1054&lt;&gt;'Funnel setup'!$K$3&amp;'Funnel setup'!$K$4&amp;'Funnel setup'!$K$6,".",IF(A1053=".",1,A1053+1))</f>
        <v>.</v>
      </c>
      <c r="B1054" s="244" t="str">
        <f t="shared" si="16"/>
        <v>Hip Replacement PrimaryProviderUNIVERSITY HOSPITAL SOUTHAMPTON NHS FOUNDATION TRUST (RHM)Oxford Hip Score</v>
      </c>
      <c r="C1054" t="s">
        <v>749</v>
      </c>
      <c r="D1054" t="s">
        <v>965</v>
      </c>
      <c r="E1054" t="s">
        <v>676</v>
      </c>
      <c r="F1054" t="s">
        <v>677</v>
      </c>
      <c r="G1054" t="s">
        <v>964</v>
      </c>
      <c r="H1054">
        <v>111</v>
      </c>
      <c r="I1054">
        <v>17.126100000000001</v>
      </c>
      <c r="J1054">
        <v>38.837800000000001</v>
      </c>
      <c r="K1054">
        <v>21.7117</v>
      </c>
      <c r="L1054">
        <v>107</v>
      </c>
      <c r="M1054">
        <v>0</v>
      </c>
      <c r="N1054">
        <v>4</v>
      </c>
      <c r="O1054">
        <v>39.445999999999998</v>
      </c>
      <c r="P1054">
        <v>22.361699999999999</v>
      </c>
      <c r="Q1054">
        <v>8.5980799999999995</v>
      </c>
    </row>
    <row r="1055" spans="1:17" x14ac:dyDescent="0.25">
      <c r="A1055" t="str">
        <f>IF(C1055&amp;G1055&amp;D1055&lt;&gt;'Funnel setup'!$K$3&amp;'Funnel setup'!$K$4&amp;'Funnel setup'!$K$6,".",IF(A1054=".",1,A1054+1))</f>
        <v>.</v>
      </c>
      <c r="B1055" s="244" t="str">
        <f t="shared" si="16"/>
        <v>Hip Replacement PrimaryProviderUNIVERSITY HOSPITALS BRISTOL AND WESTON NHS FOUNDATION TRUST (RA7)Oxford Hip Score</v>
      </c>
      <c r="C1055" t="s">
        <v>749</v>
      </c>
      <c r="D1055" t="s">
        <v>965</v>
      </c>
      <c r="E1055" t="s">
        <v>680</v>
      </c>
      <c r="F1055" t="s">
        <v>681</v>
      </c>
      <c r="G1055" t="s">
        <v>964</v>
      </c>
      <c r="H1055">
        <v>17</v>
      </c>
      <c r="I1055">
        <v>12.9412</v>
      </c>
      <c r="J1055">
        <v>38.176499999999997</v>
      </c>
      <c r="K1055">
        <v>25.235299999999999</v>
      </c>
      <c r="L1055">
        <v>17</v>
      </c>
      <c r="M1055">
        <v>0</v>
      </c>
      <c r="N1055">
        <v>0</v>
      </c>
      <c r="O1055" t="s">
        <v>127</v>
      </c>
      <c r="P1055" t="s">
        <v>127</v>
      </c>
      <c r="Q1055" t="s">
        <v>127</v>
      </c>
    </row>
    <row r="1056" spans="1:17" x14ac:dyDescent="0.25">
      <c r="A1056" t="str">
        <f>IF(C1056&amp;G1056&amp;D1056&lt;&gt;'Funnel setup'!$K$3&amp;'Funnel setup'!$K$4&amp;'Funnel setup'!$K$6,".",IF(A1055=".",1,A1055+1))</f>
        <v>.</v>
      </c>
      <c r="B1056" s="244" t="str">
        <f t="shared" si="16"/>
        <v>Hip Replacement PrimaryProviderUNIVERSITY HOSPITALS COVENTRY AND WARWICKSHIRE NHS TRUST (RKB)Oxford Hip Score</v>
      </c>
      <c r="C1056" t="s">
        <v>749</v>
      </c>
      <c r="D1056" t="s">
        <v>965</v>
      </c>
      <c r="E1056" t="s">
        <v>682</v>
      </c>
      <c r="F1056" t="s">
        <v>683</v>
      </c>
      <c r="G1056" t="s">
        <v>964</v>
      </c>
      <c r="H1056">
        <v>28</v>
      </c>
      <c r="I1056">
        <v>19.642900000000001</v>
      </c>
      <c r="J1056">
        <v>41.214300000000001</v>
      </c>
      <c r="K1056">
        <v>21.571400000000001</v>
      </c>
      <c r="L1056">
        <v>27</v>
      </c>
      <c r="M1056">
        <v>0</v>
      </c>
      <c r="N1056">
        <v>1</v>
      </c>
      <c r="O1056" t="s">
        <v>127</v>
      </c>
      <c r="P1056" t="s">
        <v>127</v>
      </c>
      <c r="Q1056" t="s">
        <v>127</v>
      </c>
    </row>
    <row r="1057" spans="1:17" x14ac:dyDescent="0.25">
      <c r="A1057" t="str">
        <f>IF(C1057&amp;G1057&amp;D1057&lt;&gt;'Funnel setup'!$K$3&amp;'Funnel setup'!$K$4&amp;'Funnel setup'!$K$6,".",IF(A1056=".",1,A1056+1))</f>
        <v>.</v>
      </c>
      <c r="B1057" s="244" t="str">
        <f t="shared" si="16"/>
        <v>Hip Replacement PrimaryProviderUNIVERSITY HOSPITAL DORSET NHS FUNDATION TRUST (R0D)Oxford Hip Score</v>
      </c>
      <c r="C1057" t="s">
        <v>749</v>
      </c>
      <c r="D1057" t="s">
        <v>965</v>
      </c>
      <c r="E1057" t="s">
        <v>684</v>
      </c>
      <c r="F1057" t="s">
        <v>966</v>
      </c>
      <c r="G1057" t="s">
        <v>964</v>
      </c>
      <c r="H1057">
        <v>230</v>
      </c>
      <c r="I1057">
        <v>16.917400000000001</v>
      </c>
      <c r="J1057">
        <v>39.930399999999999</v>
      </c>
      <c r="K1057">
        <v>23.013000000000002</v>
      </c>
      <c r="L1057">
        <v>226</v>
      </c>
      <c r="M1057">
        <v>0</v>
      </c>
      <c r="N1057">
        <v>4</v>
      </c>
      <c r="O1057">
        <v>39.796500000000002</v>
      </c>
      <c r="P1057">
        <v>22.712199999999999</v>
      </c>
      <c r="Q1057">
        <v>7.9881000000000002</v>
      </c>
    </row>
    <row r="1058" spans="1:17" x14ac:dyDescent="0.25">
      <c r="A1058" t="str">
        <f>IF(C1058&amp;G1058&amp;D1058&lt;&gt;'Funnel setup'!$K$3&amp;'Funnel setup'!$K$4&amp;'Funnel setup'!$K$6,".",IF(A1057=".",1,A1057+1))</f>
        <v>.</v>
      </c>
      <c r="B1058" s="244" t="str">
        <f t="shared" si="16"/>
        <v>Hip Replacement PrimaryProviderUNIVERSITY HOSPITALS OF DERBY AND BURTON NHS FOUNDATION TRUST (RTG)Oxford Hip Score</v>
      </c>
      <c r="C1058" t="s">
        <v>749</v>
      </c>
      <c r="D1058" t="s">
        <v>965</v>
      </c>
      <c r="E1058" t="s">
        <v>686</v>
      </c>
      <c r="F1058" t="s">
        <v>687</v>
      </c>
      <c r="G1058" t="s">
        <v>964</v>
      </c>
      <c r="H1058">
        <v>343</v>
      </c>
      <c r="I1058">
        <v>15.9854</v>
      </c>
      <c r="J1058">
        <v>38.4985</v>
      </c>
      <c r="K1058">
        <v>22.513100000000001</v>
      </c>
      <c r="L1058">
        <v>332</v>
      </c>
      <c r="M1058">
        <v>0</v>
      </c>
      <c r="N1058">
        <v>11</v>
      </c>
      <c r="O1058">
        <v>39.170299999999997</v>
      </c>
      <c r="P1058">
        <v>22.085999999999999</v>
      </c>
      <c r="Q1058">
        <v>8.1613699999999998</v>
      </c>
    </row>
    <row r="1059" spans="1:17" x14ac:dyDescent="0.25">
      <c r="A1059" t="str">
        <f>IF(C1059&amp;G1059&amp;D1059&lt;&gt;'Funnel setup'!$K$3&amp;'Funnel setup'!$K$4&amp;'Funnel setup'!$K$6,".",IF(A1058=".",1,A1058+1))</f>
        <v>.</v>
      </c>
      <c r="B1059" s="244" t="str">
        <f t="shared" si="16"/>
        <v>Hip Replacement PrimaryProviderUNIVERSITY HOSPITALS OF LEICESTER NHS TRUST (RWE)Oxford Hip Score</v>
      </c>
      <c r="C1059" t="s">
        <v>749</v>
      </c>
      <c r="D1059" t="s">
        <v>965</v>
      </c>
      <c r="E1059" t="s">
        <v>688</v>
      </c>
      <c r="F1059" t="s">
        <v>689</v>
      </c>
      <c r="G1059" t="s">
        <v>964</v>
      </c>
      <c r="H1059">
        <v>107</v>
      </c>
      <c r="I1059">
        <v>13.915900000000001</v>
      </c>
      <c r="J1059">
        <v>38.065399999999997</v>
      </c>
      <c r="K1059">
        <v>24.1495</v>
      </c>
      <c r="L1059">
        <v>106</v>
      </c>
      <c r="M1059">
        <v>0</v>
      </c>
      <c r="N1059">
        <v>1</v>
      </c>
      <c r="O1059">
        <v>39.6907</v>
      </c>
      <c r="P1059">
        <v>22.606400000000001</v>
      </c>
      <c r="Q1059">
        <v>8.7989700000000006</v>
      </c>
    </row>
    <row r="1060" spans="1:17" x14ac:dyDescent="0.25">
      <c r="A1060" t="str">
        <f>IF(C1060&amp;G1060&amp;D1060&lt;&gt;'Funnel setup'!$K$3&amp;'Funnel setup'!$K$4&amp;'Funnel setup'!$K$6,".",IF(A1059=".",1,A1059+1))</f>
        <v>.</v>
      </c>
      <c r="B1060" s="244" t="str">
        <f t="shared" si="16"/>
        <v>Hip Replacement PrimaryProviderUNIVERSITY HOSPITALS OF MORECAMBE BAY NHS FOUNDATION TRUST (RTX)Oxford Hip Score</v>
      </c>
      <c r="C1060" t="s">
        <v>749</v>
      </c>
      <c r="D1060" t="s">
        <v>965</v>
      </c>
      <c r="E1060" t="s">
        <v>690</v>
      </c>
      <c r="F1060" t="s">
        <v>691</v>
      </c>
      <c r="G1060" t="s">
        <v>964</v>
      </c>
      <c r="H1060">
        <v>187</v>
      </c>
      <c r="I1060">
        <v>17.208600000000001</v>
      </c>
      <c r="J1060">
        <v>40.310200000000002</v>
      </c>
      <c r="K1060">
        <v>23.101600000000001</v>
      </c>
      <c r="L1060">
        <v>185</v>
      </c>
      <c r="M1060">
        <v>1</v>
      </c>
      <c r="N1060">
        <v>1</v>
      </c>
      <c r="O1060">
        <v>40.376399999999997</v>
      </c>
      <c r="P1060">
        <v>23.292100000000001</v>
      </c>
      <c r="Q1060">
        <v>7.27128</v>
      </c>
    </row>
    <row r="1061" spans="1:17" x14ac:dyDescent="0.25">
      <c r="A1061" t="str">
        <f>IF(C1061&amp;G1061&amp;D1061&lt;&gt;'Funnel setup'!$K$3&amp;'Funnel setup'!$K$4&amp;'Funnel setup'!$K$6,".",IF(A1060=".",1,A1060+1))</f>
        <v>.</v>
      </c>
      <c r="B1061" s="244" t="str">
        <f t="shared" si="16"/>
        <v>Hip Replacement PrimaryProviderUNIVERSITY HOSPITALS OF NORTH MIDLANDS NHS TRUST (RJE)Oxford Hip Score</v>
      </c>
      <c r="C1061" t="s">
        <v>749</v>
      </c>
      <c r="D1061" t="s">
        <v>965</v>
      </c>
      <c r="E1061" t="s">
        <v>692</v>
      </c>
      <c r="F1061" t="s">
        <v>693</v>
      </c>
      <c r="G1061" t="s">
        <v>964</v>
      </c>
      <c r="H1061">
        <v>34</v>
      </c>
      <c r="I1061">
        <v>14.235300000000001</v>
      </c>
      <c r="J1061">
        <v>40.5</v>
      </c>
      <c r="K1061">
        <v>26.264700000000001</v>
      </c>
      <c r="L1061">
        <v>34</v>
      </c>
      <c r="M1061">
        <v>0</v>
      </c>
      <c r="N1061">
        <v>0</v>
      </c>
      <c r="O1061">
        <v>41.864600000000003</v>
      </c>
      <c r="P1061">
        <v>24.7803</v>
      </c>
      <c r="Q1061">
        <v>5.9536899999999999</v>
      </c>
    </row>
    <row r="1062" spans="1:17" x14ac:dyDescent="0.25">
      <c r="A1062" t="str">
        <f>IF(C1062&amp;G1062&amp;D1062&lt;&gt;'Funnel setup'!$K$3&amp;'Funnel setup'!$K$4&amp;'Funnel setup'!$K$6,".",IF(A1061=".",1,A1061+1))</f>
        <v>.</v>
      </c>
      <c r="B1062" s="244" t="str">
        <f t="shared" si="16"/>
        <v>Hip Replacement PrimaryProviderUNIVERSITY HOSPITALS PLYMOUTH NHS TRUST (RK9)Oxford Hip Score</v>
      </c>
      <c r="C1062" t="s">
        <v>749</v>
      </c>
      <c r="D1062" t="s">
        <v>965</v>
      </c>
      <c r="E1062" t="s">
        <v>694</v>
      </c>
      <c r="F1062" t="s">
        <v>695</v>
      </c>
      <c r="G1062" t="s">
        <v>964</v>
      </c>
      <c r="H1062">
        <v>5</v>
      </c>
      <c r="I1062">
        <v>9.6</v>
      </c>
      <c r="J1062">
        <v>40.200000000000003</v>
      </c>
      <c r="K1062">
        <v>30.6</v>
      </c>
      <c r="L1062">
        <v>5</v>
      </c>
      <c r="M1062">
        <v>0</v>
      </c>
      <c r="N1062">
        <v>0</v>
      </c>
      <c r="O1062" t="s">
        <v>127</v>
      </c>
      <c r="P1062" t="s">
        <v>127</v>
      </c>
      <c r="Q1062" t="s">
        <v>127</v>
      </c>
    </row>
    <row r="1063" spans="1:17" x14ac:dyDescent="0.25">
      <c r="A1063" t="str">
        <f>IF(C1063&amp;G1063&amp;D1063&lt;&gt;'Funnel setup'!$K$3&amp;'Funnel setup'!$K$4&amp;'Funnel setup'!$K$6,".",IF(A1062=".",1,A1062+1))</f>
        <v>.</v>
      </c>
      <c r="B1063" s="244" t="str">
        <f t="shared" si="16"/>
        <v>Hip Replacement PrimaryProviderUNIVERSITY HOSPITALS SUSSEX NHS FOUNDATION TRUST (RYR)Oxford Hip Score</v>
      </c>
      <c r="C1063" t="s">
        <v>749</v>
      </c>
      <c r="D1063" t="s">
        <v>965</v>
      </c>
      <c r="E1063" t="s">
        <v>696</v>
      </c>
      <c r="F1063" t="s">
        <v>697</v>
      </c>
      <c r="G1063" t="s">
        <v>964</v>
      </c>
      <c r="H1063">
        <v>137</v>
      </c>
      <c r="I1063">
        <v>15.4672</v>
      </c>
      <c r="J1063">
        <v>36.2774</v>
      </c>
      <c r="K1063">
        <v>20.810199999999998</v>
      </c>
      <c r="L1063">
        <v>132</v>
      </c>
      <c r="M1063">
        <v>0</v>
      </c>
      <c r="N1063">
        <v>5</v>
      </c>
      <c r="O1063">
        <v>37.122799999999998</v>
      </c>
      <c r="P1063">
        <v>20.038499999999999</v>
      </c>
      <c r="Q1063">
        <v>9.6628799999999995</v>
      </c>
    </row>
    <row r="1064" spans="1:17" x14ac:dyDescent="0.25">
      <c r="A1064" t="str">
        <f>IF(C1064&amp;G1064&amp;D1064&lt;&gt;'Funnel setup'!$K$3&amp;'Funnel setup'!$K$4&amp;'Funnel setup'!$K$6,".",IF(A1063=".",1,A1063+1))</f>
        <v>.</v>
      </c>
      <c r="B1064" s="244" t="str">
        <f t="shared" si="16"/>
        <v>Hip Replacement PrimaryProviderWALSALL HEALTHCARE NHS TRUST (RBK)Oxford Hip Score</v>
      </c>
      <c r="C1064" t="s">
        <v>749</v>
      </c>
      <c r="D1064" t="s">
        <v>965</v>
      </c>
      <c r="E1064" t="s">
        <v>698</v>
      </c>
      <c r="F1064" t="s">
        <v>699</v>
      </c>
      <c r="G1064" t="s">
        <v>964</v>
      </c>
      <c r="H1064">
        <v>14</v>
      </c>
      <c r="I1064">
        <v>15.857100000000001</v>
      </c>
      <c r="J1064">
        <v>34.5</v>
      </c>
      <c r="K1064">
        <v>18.642900000000001</v>
      </c>
      <c r="L1064">
        <v>12</v>
      </c>
      <c r="M1064">
        <v>1</v>
      </c>
      <c r="N1064">
        <v>1</v>
      </c>
      <c r="O1064" t="s">
        <v>127</v>
      </c>
      <c r="P1064" t="s">
        <v>127</v>
      </c>
      <c r="Q1064" t="s">
        <v>127</v>
      </c>
    </row>
    <row r="1065" spans="1:17" x14ac:dyDescent="0.25">
      <c r="A1065" t="str">
        <f>IF(C1065&amp;G1065&amp;D1065&lt;&gt;'Funnel setup'!$K$3&amp;'Funnel setup'!$K$4&amp;'Funnel setup'!$K$6,".",IF(A1064=".",1,A1064+1))</f>
        <v>.</v>
      </c>
      <c r="B1065" s="244" t="str">
        <f t="shared" si="16"/>
        <v>Hip Replacement PrimaryProviderWARRINGTON AND HALTON TEACHING HOSPITALS NHS FOUNDATION TRUST (RWW)Oxford Hip Score</v>
      </c>
      <c r="C1065" t="s">
        <v>749</v>
      </c>
      <c r="D1065" t="s">
        <v>965</v>
      </c>
      <c r="E1065" t="s">
        <v>700</v>
      </c>
      <c r="F1065" t="s">
        <v>701</v>
      </c>
      <c r="G1065" t="s">
        <v>964</v>
      </c>
      <c r="H1065">
        <v>33</v>
      </c>
      <c r="I1065">
        <v>15.939399999999999</v>
      </c>
      <c r="J1065">
        <v>38.666699999999999</v>
      </c>
      <c r="K1065">
        <v>22.7273</v>
      </c>
      <c r="L1065">
        <v>32</v>
      </c>
      <c r="M1065">
        <v>0</v>
      </c>
      <c r="N1065">
        <v>1</v>
      </c>
      <c r="O1065">
        <v>39.639299999999999</v>
      </c>
      <c r="P1065">
        <v>22.555</v>
      </c>
      <c r="Q1065">
        <v>7.7619199999999999</v>
      </c>
    </row>
    <row r="1066" spans="1:17" x14ac:dyDescent="0.25">
      <c r="A1066" t="str">
        <f>IF(C1066&amp;G1066&amp;D1066&lt;&gt;'Funnel setup'!$K$3&amp;'Funnel setup'!$K$4&amp;'Funnel setup'!$K$6,".",IF(A1065=".",1,A1065+1))</f>
        <v>.</v>
      </c>
      <c r="B1066" s="244" t="str">
        <f t="shared" si="16"/>
        <v>Hip Replacement PrimaryProviderWEST HERTFORDSHIRE TEACHING HOSPITALS NHS TRUST (RWG)Oxford Hip Score</v>
      </c>
      <c r="C1066" t="s">
        <v>749</v>
      </c>
      <c r="D1066" t="s">
        <v>965</v>
      </c>
      <c r="E1066" t="s">
        <v>702</v>
      </c>
      <c r="F1066" t="s">
        <v>703</v>
      </c>
      <c r="G1066" t="s">
        <v>964</v>
      </c>
      <c r="H1066">
        <v>92</v>
      </c>
      <c r="I1066">
        <v>17.782599999999999</v>
      </c>
      <c r="J1066">
        <v>39.945700000000002</v>
      </c>
      <c r="K1066">
        <v>22.163</v>
      </c>
      <c r="L1066">
        <v>87</v>
      </c>
      <c r="M1066">
        <v>1</v>
      </c>
      <c r="N1066">
        <v>4</v>
      </c>
      <c r="O1066">
        <v>39.704799999999999</v>
      </c>
      <c r="P1066">
        <v>22.6205</v>
      </c>
      <c r="Q1066">
        <v>9.0509500000000003</v>
      </c>
    </row>
    <row r="1067" spans="1:17" x14ac:dyDescent="0.25">
      <c r="A1067" t="str">
        <f>IF(C1067&amp;G1067&amp;D1067&lt;&gt;'Funnel setup'!$K$3&amp;'Funnel setup'!$K$4&amp;'Funnel setup'!$K$6,".",IF(A1066=".",1,A1066+1))</f>
        <v>.</v>
      </c>
      <c r="B1067" s="244" t="str">
        <f t="shared" si="16"/>
        <v>Hip Replacement PrimaryProviderWEST MIDLANDS HOSPITAL (NVC21)Oxford Hip Score</v>
      </c>
      <c r="C1067" t="s">
        <v>749</v>
      </c>
      <c r="D1067" t="s">
        <v>965</v>
      </c>
      <c r="E1067" t="s">
        <v>704</v>
      </c>
      <c r="F1067" t="s">
        <v>705</v>
      </c>
      <c r="G1067" t="s">
        <v>964</v>
      </c>
      <c r="H1067">
        <v>85</v>
      </c>
      <c r="I1067">
        <v>17.423500000000001</v>
      </c>
      <c r="J1067">
        <v>40.6706</v>
      </c>
      <c r="K1067">
        <v>23.2471</v>
      </c>
      <c r="L1067">
        <v>84</v>
      </c>
      <c r="M1067">
        <v>0</v>
      </c>
      <c r="N1067">
        <v>1</v>
      </c>
      <c r="O1067">
        <v>40.671100000000003</v>
      </c>
      <c r="P1067">
        <v>23.5868</v>
      </c>
      <c r="Q1067">
        <v>6.6974299999999998</v>
      </c>
    </row>
    <row r="1068" spans="1:17" x14ac:dyDescent="0.25">
      <c r="A1068" t="str">
        <f>IF(C1068&amp;G1068&amp;D1068&lt;&gt;'Funnel setup'!$K$3&amp;'Funnel setup'!$K$4&amp;'Funnel setup'!$K$6,".",IF(A1067=".",1,A1067+1))</f>
        <v>.</v>
      </c>
      <c r="B1068" s="244" t="str">
        <f t="shared" si="16"/>
        <v>Hip Replacement PrimaryProviderWEST SUFFOLK NHS FOUNDATION TRUST (RGR)Oxford Hip Score</v>
      </c>
      <c r="C1068" t="s">
        <v>749</v>
      </c>
      <c r="D1068" t="s">
        <v>965</v>
      </c>
      <c r="E1068" t="s">
        <v>706</v>
      </c>
      <c r="F1068" t="s">
        <v>707</v>
      </c>
      <c r="G1068" t="s">
        <v>964</v>
      </c>
      <c r="H1068">
        <v>111</v>
      </c>
      <c r="I1068">
        <v>14.4414</v>
      </c>
      <c r="J1068">
        <v>37.585599999999999</v>
      </c>
      <c r="K1068">
        <v>23.144100000000002</v>
      </c>
      <c r="L1068">
        <v>106</v>
      </c>
      <c r="M1068">
        <v>1</v>
      </c>
      <c r="N1068">
        <v>4</v>
      </c>
      <c r="O1068">
        <v>37.914999999999999</v>
      </c>
      <c r="P1068">
        <v>20.8307</v>
      </c>
      <c r="Q1068">
        <v>9.7165199999999992</v>
      </c>
    </row>
    <row r="1069" spans="1:17" x14ac:dyDescent="0.25">
      <c r="A1069" t="str">
        <f>IF(C1069&amp;G1069&amp;D1069&lt;&gt;'Funnel setup'!$K$3&amp;'Funnel setup'!$K$4&amp;'Funnel setup'!$K$6,".",IF(A1068=".",1,A1068+1))</f>
        <v>.</v>
      </c>
      <c r="B1069" s="244" t="str">
        <f t="shared" si="16"/>
        <v>Hip Replacement PrimaryProviderWINFIELD HOSPITAL (NVC22)Oxford Hip Score</v>
      </c>
      <c r="C1069" t="s">
        <v>749</v>
      </c>
      <c r="D1069" t="s">
        <v>965</v>
      </c>
      <c r="E1069" t="s">
        <v>710</v>
      </c>
      <c r="F1069" t="s">
        <v>711</v>
      </c>
      <c r="G1069" t="s">
        <v>964</v>
      </c>
      <c r="H1069">
        <v>49</v>
      </c>
      <c r="I1069">
        <v>16.510200000000001</v>
      </c>
      <c r="J1069">
        <v>41</v>
      </c>
      <c r="K1069">
        <v>24.489799999999999</v>
      </c>
      <c r="L1069">
        <v>49</v>
      </c>
      <c r="M1069">
        <v>0</v>
      </c>
      <c r="N1069">
        <v>0</v>
      </c>
      <c r="O1069">
        <v>40.577100000000002</v>
      </c>
      <c r="P1069">
        <v>23.492799999999999</v>
      </c>
      <c r="Q1069">
        <v>7.8226199999999997</v>
      </c>
    </row>
    <row r="1070" spans="1:17" x14ac:dyDescent="0.25">
      <c r="A1070" t="str">
        <f>IF(C1070&amp;G1070&amp;D1070&lt;&gt;'Funnel setup'!$K$3&amp;'Funnel setup'!$K$4&amp;'Funnel setup'!$K$6,".",IF(A1069=".",1,A1069+1))</f>
        <v>.</v>
      </c>
      <c r="B1070" s="244" t="str">
        <f t="shared" si="16"/>
        <v>Hip Replacement PrimaryProviderWINTERBOURNE HOSPITAL (NT443)Oxford Hip Score</v>
      </c>
      <c r="C1070" t="s">
        <v>749</v>
      </c>
      <c r="D1070" t="s">
        <v>965</v>
      </c>
      <c r="E1070" t="s">
        <v>712</v>
      </c>
      <c r="F1070" t="s">
        <v>713</v>
      </c>
      <c r="G1070" t="s">
        <v>964</v>
      </c>
      <c r="H1070">
        <v>53</v>
      </c>
      <c r="I1070">
        <v>21.434000000000001</v>
      </c>
      <c r="J1070">
        <v>43.169800000000002</v>
      </c>
      <c r="K1070">
        <v>21.735800000000001</v>
      </c>
      <c r="L1070">
        <v>53</v>
      </c>
      <c r="M1070">
        <v>0</v>
      </c>
      <c r="N1070">
        <v>0</v>
      </c>
      <c r="O1070">
        <v>41.234200000000001</v>
      </c>
      <c r="P1070">
        <v>24.15</v>
      </c>
      <c r="Q1070">
        <v>6.8892499999999997</v>
      </c>
    </row>
    <row r="1071" spans="1:17" x14ac:dyDescent="0.25">
      <c r="A1071" t="str">
        <f>IF(C1071&amp;G1071&amp;D1071&lt;&gt;'Funnel setup'!$K$3&amp;'Funnel setup'!$K$4&amp;'Funnel setup'!$K$6,".",IF(A1070=".",1,A1070+1))</f>
        <v>.</v>
      </c>
      <c r="B1071" s="244" t="str">
        <f t="shared" si="16"/>
        <v>Hip Replacement PrimaryProviderWIRRAL UNIVERSITY TEACHING HOSPITAL NHS FOUNDATION TRUST (RBL)Oxford Hip Score</v>
      </c>
      <c r="C1071" t="s">
        <v>749</v>
      </c>
      <c r="D1071" t="s">
        <v>965</v>
      </c>
      <c r="E1071" t="s">
        <v>714</v>
      </c>
      <c r="F1071" t="s">
        <v>715</v>
      </c>
      <c r="G1071" t="s">
        <v>964</v>
      </c>
      <c r="H1071">
        <v>110</v>
      </c>
      <c r="I1071">
        <v>15.9727</v>
      </c>
      <c r="J1071">
        <v>37.836399999999998</v>
      </c>
      <c r="K1071">
        <v>21.863600000000002</v>
      </c>
      <c r="L1071">
        <v>108</v>
      </c>
      <c r="M1071">
        <v>0</v>
      </c>
      <c r="N1071">
        <v>2</v>
      </c>
      <c r="O1071">
        <v>38.241300000000003</v>
      </c>
      <c r="P1071">
        <v>21.157</v>
      </c>
      <c r="Q1071">
        <v>8.2072800000000008</v>
      </c>
    </row>
    <row r="1072" spans="1:17" x14ac:dyDescent="0.25">
      <c r="A1072" t="str">
        <f>IF(C1072&amp;G1072&amp;D1072&lt;&gt;'Funnel setup'!$K$3&amp;'Funnel setup'!$K$4&amp;'Funnel setup'!$K$6,".",IF(A1071=".",1,A1071+1))</f>
        <v>.</v>
      </c>
      <c r="B1072" s="244" t="str">
        <f t="shared" si="16"/>
        <v>Hip Replacement PrimaryProviderWOODLAND HOSPITAL (NVC23)Oxford Hip Score</v>
      </c>
      <c r="C1072" t="s">
        <v>749</v>
      </c>
      <c r="D1072" t="s">
        <v>965</v>
      </c>
      <c r="E1072" t="s">
        <v>716</v>
      </c>
      <c r="F1072" t="s">
        <v>717</v>
      </c>
      <c r="G1072" t="s">
        <v>964</v>
      </c>
      <c r="H1072">
        <v>85</v>
      </c>
      <c r="I1072">
        <v>15.4588</v>
      </c>
      <c r="J1072">
        <v>36.847099999999998</v>
      </c>
      <c r="K1072">
        <v>21.388200000000001</v>
      </c>
      <c r="L1072">
        <v>81</v>
      </c>
      <c r="M1072">
        <v>0</v>
      </c>
      <c r="N1072">
        <v>4</v>
      </c>
      <c r="O1072">
        <v>36.5565</v>
      </c>
      <c r="P1072">
        <v>19.472200000000001</v>
      </c>
      <c r="Q1072">
        <v>8.7586300000000001</v>
      </c>
    </row>
    <row r="1073" spans="1:17" x14ac:dyDescent="0.25">
      <c r="A1073" t="str">
        <f>IF(C1073&amp;G1073&amp;D1073&lt;&gt;'Funnel setup'!$K$3&amp;'Funnel setup'!$K$4&amp;'Funnel setup'!$K$6,".",IF(A1072=".",1,A1072+1))</f>
        <v>.</v>
      </c>
      <c r="B1073" s="244" t="str">
        <f t="shared" si="16"/>
        <v>Hip Replacement PrimaryProviderWOODLANDS HOSPITAL (NT457)Oxford Hip Score</v>
      </c>
      <c r="C1073" t="s">
        <v>749</v>
      </c>
      <c r="D1073" t="s">
        <v>965</v>
      </c>
      <c r="E1073" t="s">
        <v>718</v>
      </c>
      <c r="F1073" t="s">
        <v>719</v>
      </c>
      <c r="G1073" t="s">
        <v>964</v>
      </c>
      <c r="H1073">
        <v>74</v>
      </c>
      <c r="I1073">
        <v>20.972999999999999</v>
      </c>
      <c r="J1073">
        <v>42.445900000000002</v>
      </c>
      <c r="K1073">
        <v>21.472999999999999</v>
      </c>
      <c r="L1073">
        <v>71</v>
      </c>
      <c r="M1073">
        <v>1</v>
      </c>
      <c r="N1073">
        <v>2</v>
      </c>
      <c r="O1073">
        <v>39.929000000000002</v>
      </c>
      <c r="P1073">
        <v>22.8447</v>
      </c>
      <c r="Q1073">
        <v>7.0077999999999996</v>
      </c>
    </row>
    <row r="1074" spans="1:17" x14ac:dyDescent="0.25">
      <c r="A1074" t="str">
        <f>IF(C1074&amp;G1074&amp;D1074&lt;&gt;'Funnel setup'!$K$3&amp;'Funnel setup'!$K$4&amp;'Funnel setup'!$K$6,".",IF(A1073=".",1,A1073+1))</f>
        <v>.</v>
      </c>
      <c r="B1074" s="244" t="str">
        <f t="shared" si="16"/>
        <v>Hip Replacement PrimaryProviderWOODTHORPE HOSPITAL (NVC40)Oxford Hip Score</v>
      </c>
      <c r="C1074" t="s">
        <v>749</v>
      </c>
      <c r="D1074" t="s">
        <v>965</v>
      </c>
      <c r="E1074" t="s">
        <v>720</v>
      </c>
      <c r="F1074" t="s">
        <v>721</v>
      </c>
      <c r="G1074" t="s">
        <v>964</v>
      </c>
      <c r="H1074">
        <v>98</v>
      </c>
      <c r="I1074">
        <v>16.275500000000001</v>
      </c>
      <c r="J1074">
        <v>38.887799999999999</v>
      </c>
      <c r="K1074">
        <v>22.612200000000001</v>
      </c>
      <c r="L1074">
        <v>95</v>
      </c>
      <c r="M1074">
        <v>1</v>
      </c>
      <c r="N1074">
        <v>2</v>
      </c>
      <c r="O1074">
        <v>38.531799999999997</v>
      </c>
      <c r="P1074">
        <v>21.447500000000002</v>
      </c>
      <c r="Q1074">
        <v>8.4650499999999997</v>
      </c>
    </row>
    <row r="1075" spans="1:17" x14ac:dyDescent="0.25">
      <c r="A1075" t="str">
        <f>IF(C1075&amp;G1075&amp;D1075&lt;&gt;'Funnel setup'!$K$3&amp;'Funnel setup'!$K$4&amp;'Funnel setup'!$K$6,".",IF(A1074=".",1,A1074+1))</f>
        <v>.</v>
      </c>
      <c r="B1075" s="244" t="str">
        <f t="shared" si="16"/>
        <v>Hip Replacement PrimaryProviderWORCESTERSHIRE ACUTE HOSPITALS NHS TRUST (RWP)Oxford Hip Score</v>
      </c>
      <c r="C1075" t="s">
        <v>749</v>
      </c>
      <c r="D1075" t="s">
        <v>965</v>
      </c>
      <c r="E1075" t="s">
        <v>722</v>
      </c>
      <c r="F1075" t="s">
        <v>723</v>
      </c>
      <c r="G1075" t="s">
        <v>964</v>
      </c>
      <c r="H1075">
        <v>58</v>
      </c>
      <c r="I1075">
        <v>13.379300000000001</v>
      </c>
      <c r="J1075">
        <v>36.310299999999998</v>
      </c>
      <c r="K1075">
        <v>22.931000000000001</v>
      </c>
      <c r="L1075">
        <v>56</v>
      </c>
      <c r="M1075">
        <v>1</v>
      </c>
      <c r="N1075">
        <v>1</v>
      </c>
      <c r="O1075">
        <v>38.470999999999997</v>
      </c>
      <c r="P1075">
        <v>21.386700000000001</v>
      </c>
      <c r="Q1075">
        <v>8.5450099999999996</v>
      </c>
    </row>
    <row r="1076" spans="1:17" x14ac:dyDescent="0.25">
      <c r="A1076" t="str">
        <f>IF(C1076&amp;G1076&amp;D1076&lt;&gt;'Funnel setup'!$K$3&amp;'Funnel setup'!$K$4&amp;'Funnel setup'!$K$6,".",IF(A1075=".",1,A1075+1))</f>
        <v>.</v>
      </c>
      <c r="B1076" s="244" t="str">
        <f t="shared" si="16"/>
        <v>Hip Replacement PrimaryProviderWRIGHTINGTON, WIGAN AND LEIGH NHS FOUNDATION TRUST (RRF)Oxford Hip Score</v>
      </c>
      <c r="C1076" t="s">
        <v>749</v>
      </c>
      <c r="D1076" t="s">
        <v>965</v>
      </c>
      <c r="E1076" t="s">
        <v>724</v>
      </c>
      <c r="F1076" t="s">
        <v>725</v>
      </c>
      <c r="G1076" t="s">
        <v>964</v>
      </c>
      <c r="H1076">
        <v>17</v>
      </c>
      <c r="I1076">
        <v>13.764699999999999</v>
      </c>
      <c r="J1076">
        <v>42.117600000000003</v>
      </c>
      <c r="K1076">
        <v>28.352900000000002</v>
      </c>
      <c r="L1076">
        <v>17</v>
      </c>
      <c r="M1076">
        <v>0</v>
      </c>
      <c r="N1076">
        <v>0</v>
      </c>
      <c r="O1076" t="s">
        <v>127</v>
      </c>
      <c r="P1076" t="s">
        <v>127</v>
      </c>
      <c r="Q1076" t="s">
        <v>127</v>
      </c>
    </row>
    <row r="1077" spans="1:17" x14ac:dyDescent="0.25">
      <c r="A1077" t="str">
        <f>IF(C1077&amp;G1077&amp;D1077&lt;&gt;'Funnel setup'!$K$3&amp;'Funnel setup'!$K$4&amp;'Funnel setup'!$K$6,".",IF(A1076=".",1,A1076+1))</f>
        <v>.</v>
      </c>
      <c r="B1077" s="244" t="str">
        <f t="shared" si="16"/>
        <v>Hip Replacement PrimaryProviderWYE VALLEY NHS TRUST (RLQ)Oxford Hip Score</v>
      </c>
      <c r="C1077" t="s">
        <v>749</v>
      </c>
      <c r="D1077" t="s">
        <v>965</v>
      </c>
      <c r="E1077" t="s">
        <v>726</v>
      </c>
      <c r="F1077" t="s">
        <v>727</v>
      </c>
      <c r="G1077" t="s">
        <v>964</v>
      </c>
      <c r="H1077">
        <v>23</v>
      </c>
      <c r="I1077">
        <v>14.347799999999999</v>
      </c>
      <c r="J1077">
        <v>40.173900000000003</v>
      </c>
      <c r="K1077">
        <v>25.8261</v>
      </c>
      <c r="L1077">
        <v>23</v>
      </c>
      <c r="M1077">
        <v>0</v>
      </c>
      <c r="N1077">
        <v>0</v>
      </c>
      <c r="O1077" t="s">
        <v>127</v>
      </c>
      <c r="P1077" t="s">
        <v>127</v>
      </c>
      <c r="Q1077" t="s">
        <v>127</v>
      </c>
    </row>
    <row r="1078" spans="1:17" x14ac:dyDescent="0.25">
      <c r="A1078" t="str">
        <f>IF(C1078&amp;G1078&amp;D1078&lt;&gt;'Funnel setup'!$K$3&amp;'Funnel setup'!$K$4&amp;'Funnel setup'!$K$6,".",IF(A1077=".",1,A1077+1))</f>
        <v>.</v>
      </c>
      <c r="B1078" s="244" t="str">
        <f t="shared" si="16"/>
        <v>Hip Replacement PrimaryProviderYORK AND SCARBOROUGH TEACHING HOSPITALS NHS FOUNDATION TRUST (RCB)Oxford Hip Score</v>
      </c>
      <c r="C1078" t="s">
        <v>749</v>
      </c>
      <c r="D1078" t="s">
        <v>965</v>
      </c>
      <c r="E1078" t="s">
        <v>730</v>
      </c>
      <c r="F1078" t="s">
        <v>731</v>
      </c>
      <c r="G1078" t="s">
        <v>964</v>
      </c>
      <c r="H1078">
        <v>1</v>
      </c>
      <c r="I1078">
        <v>10</v>
      </c>
      <c r="J1078">
        <v>37</v>
      </c>
      <c r="K1078">
        <v>27</v>
      </c>
      <c r="L1078">
        <v>1</v>
      </c>
      <c r="M1078">
        <v>0</v>
      </c>
      <c r="N1078">
        <v>0</v>
      </c>
      <c r="O1078" t="s">
        <v>127</v>
      </c>
      <c r="P1078" t="s">
        <v>127</v>
      </c>
      <c r="Q1078" t="s">
        <v>127</v>
      </c>
    </row>
    <row r="1079" spans="1:17" x14ac:dyDescent="0.25">
      <c r="A1079" t="str">
        <f>IF(C1079&amp;G1079&amp;D1079&lt;&gt;'Funnel setup'!$K$3&amp;'Funnel setup'!$K$4&amp;'Funnel setup'!$K$6,".",IF(A1078=".",1,A1078+1))</f>
        <v>.</v>
      </c>
      <c r="B1079" s="244" t="str">
        <f t="shared" si="16"/>
        <v>Hip Replacement RevisionSub-ICB of GP PracticeNHS BATH AND NORTH EAST SOMERSET, SWINDON AND WILTSHIRE ICB - 92G (92G)EQ VAS</v>
      </c>
      <c r="C1079" t="s">
        <v>967</v>
      </c>
      <c r="D1079" t="s">
        <v>1021</v>
      </c>
      <c r="E1079" t="s">
        <v>750</v>
      </c>
      <c r="F1079" t="s">
        <v>751</v>
      </c>
      <c r="G1079" t="s">
        <v>752</v>
      </c>
      <c r="H1079">
        <v>7</v>
      </c>
      <c r="I1079">
        <v>75.142899999999997</v>
      </c>
      <c r="J1079">
        <v>66.857100000000003</v>
      </c>
      <c r="K1079">
        <v>-8.2857099999999999</v>
      </c>
      <c r="L1079">
        <v>4</v>
      </c>
      <c r="M1079">
        <v>1</v>
      </c>
      <c r="N1079">
        <v>2</v>
      </c>
      <c r="O1079" t="s">
        <v>127</v>
      </c>
      <c r="P1079" t="s">
        <v>127</v>
      </c>
      <c r="Q1079" t="s">
        <v>127</v>
      </c>
    </row>
    <row r="1080" spans="1:17" x14ac:dyDescent="0.25">
      <c r="A1080" t="str">
        <f>IF(C1080&amp;G1080&amp;D1080&lt;&gt;'Funnel setup'!$K$3&amp;'Funnel setup'!$K$4&amp;'Funnel setup'!$K$6,".",IF(A1079=".",1,A1079+1))</f>
        <v>.</v>
      </c>
      <c r="B1080" s="244" t="str">
        <f t="shared" si="16"/>
        <v>Hip Replacement RevisionSub-ICB of GP PracticeNHS BEDFORDSHIRE, LUTON AND MILTON KEYNES ICB - M1J4Y (M1J4Y)EQ VAS</v>
      </c>
      <c r="C1080" t="s">
        <v>967</v>
      </c>
      <c r="D1080" t="s">
        <v>1021</v>
      </c>
      <c r="E1080" t="s">
        <v>753</v>
      </c>
      <c r="F1080" t="s">
        <v>754</v>
      </c>
      <c r="G1080" t="s">
        <v>752</v>
      </c>
      <c r="H1080">
        <v>7</v>
      </c>
      <c r="I1080">
        <v>63.571399999999997</v>
      </c>
      <c r="J1080">
        <v>57.142899999999997</v>
      </c>
      <c r="K1080">
        <v>-6.4285699999999997</v>
      </c>
      <c r="L1080">
        <v>2</v>
      </c>
      <c r="M1080">
        <v>0</v>
      </c>
      <c r="N1080">
        <v>5</v>
      </c>
      <c r="O1080" t="s">
        <v>127</v>
      </c>
      <c r="P1080" t="s">
        <v>127</v>
      </c>
      <c r="Q1080" t="s">
        <v>127</v>
      </c>
    </row>
    <row r="1081" spans="1:17" x14ac:dyDescent="0.25">
      <c r="A1081" t="str">
        <f>IF(C1081&amp;G1081&amp;D1081&lt;&gt;'Funnel setup'!$K$3&amp;'Funnel setup'!$K$4&amp;'Funnel setup'!$K$6,".",IF(A1080=".",1,A1080+1))</f>
        <v>.</v>
      </c>
      <c r="B1081" s="244" t="str">
        <f t="shared" si="16"/>
        <v>Hip Replacement RevisionSub-ICB of GP PracticeNHS BIRMINGHAM AND SOLIHULL ICB - 15E (15E)EQ VAS</v>
      </c>
      <c r="C1081" t="s">
        <v>967</v>
      </c>
      <c r="D1081" t="s">
        <v>1021</v>
      </c>
      <c r="E1081" t="s">
        <v>755</v>
      </c>
      <c r="F1081" t="s">
        <v>756</v>
      </c>
      <c r="G1081" t="s">
        <v>752</v>
      </c>
      <c r="H1081">
        <v>11</v>
      </c>
      <c r="I1081">
        <v>66.636399999999995</v>
      </c>
      <c r="J1081">
        <v>79.2727</v>
      </c>
      <c r="K1081">
        <v>12.6364</v>
      </c>
      <c r="L1081">
        <v>7</v>
      </c>
      <c r="M1081">
        <v>0</v>
      </c>
      <c r="N1081">
        <v>4</v>
      </c>
      <c r="O1081" t="s">
        <v>127</v>
      </c>
      <c r="P1081" t="s">
        <v>127</v>
      </c>
      <c r="Q1081" t="s">
        <v>127</v>
      </c>
    </row>
    <row r="1082" spans="1:17" x14ac:dyDescent="0.25">
      <c r="A1082" t="str">
        <f>IF(C1082&amp;G1082&amp;D1082&lt;&gt;'Funnel setup'!$K$3&amp;'Funnel setup'!$K$4&amp;'Funnel setup'!$K$6,".",IF(A1081=".",1,A1081+1))</f>
        <v>.</v>
      </c>
      <c r="B1082" s="244" t="str">
        <f t="shared" si="16"/>
        <v>Hip Replacement RevisionSub-ICB of GP PracticeNHS BLACK COUNTRY ICB - D2P2L (D2P2L)EQ VAS</v>
      </c>
      <c r="C1082" t="s">
        <v>967</v>
      </c>
      <c r="D1082" t="s">
        <v>1021</v>
      </c>
      <c r="E1082" t="s">
        <v>757</v>
      </c>
      <c r="F1082" t="s">
        <v>758</v>
      </c>
      <c r="G1082" t="s">
        <v>752</v>
      </c>
      <c r="H1082">
        <v>8</v>
      </c>
      <c r="I1082">
        <v>49.625</v>
      </c>
      <c r="J1082">
        <v>74.125</v>
      </c>
      <c r="K1082">
        <v>24.5</v>
      </c>
      <c r="L1082">
        <v>6</v>
      </c>
      <c r="M1082">
        <v>0</v>
      </c>
      <c r="N1082">
        <v>2</v>
      </c>
      <c r="O1082" t="s">
        <v>127</v>
      </c>
      <c r="P1082" t="s">
        <v>127</v>
      </c>
      <c r="Q1082" t="s">
        <v>127</v>
      </c>
    </row>
    <row r="1083" spans="1:17" x14ac:dyDescent="0.25">
      <c r="A1083" t="str">
        <f>IF(C1083&amp;G1083&amp;D1083&lt;&gt;'Funnel setup'!$K$3&amp;'Funnel setup'!$K$4&amp;'Funnel setup'!$K$6,".",IF(A1082=".",1,A1082+1))</f>
        <v>.</v>
      </c>
      <c r="B1083" s="244" t="str">
        <f t="shared" si="16"/>
        <v>Hip Replacement RevisionSub-ICB of GP PracticeNHS BRISTOL, NORTH SOMERSET AND SOUTH GLOUCESTERSHIRE ICB - 15C (15C)EQ VAS</v>
      </c>
      <c r="C1083" t="s">
        <v>967</v>
      </c>
      <c r="D1083" t="s">
        <v>1021</v>
      </c>
      <c r="E1083" t="s">
        <v>759</v>
      </c>
      <c r="F1083" t="s">
        <v>760</v>
      </c>
      <c r="G1083" t="s">
        <v>752</v>
      </c>
      <c r="H1083">
        <v>3</v>
      </c>
      <c r="I1083">
        <v>54.666699999999999</v>
      </c>
      <c r="J1083">
        <v>84</v>
      </c>
      <c r="K1083">
        <v>29.333300000000001</v>
      </c>
      <c r="L1083">
        <v>3</v>
      </c>
      <c r="M1083">
        <v>0</v>
      </c>
      <c r="N1083">
        <v>0</v>
      </c>
      <c r="O1083" t="s">
        <v>127</v>
      </c>
      <c r="P1083" t="s">
        <v>127</v>
      </c>
      <c r="Q1083" t="s">
        <v>127</v>
      </c>
    </row>
    <row r="1084" spans="1:17" x14ac:dyDescent="0.25">
      <c r="A1084" t="str">
        <f>IF(C1084&amp;G1084&amp;D1084&lt;&gt;'Funnel setup'!$K$3&amp;'Funnel setup'!$K$4&amp;'Funnel setup'!$K$6,".",IF(A1083=".",1,A1083+1))</f>
        <v>.</v>
      </c>
      <c r="B1084" s="244" t="str">
        <f t="shared" si="16"/>
        <v>Hip Replacement RevisionSub-ICB of GP PracticeNHS BUCKINGHAMSHIRE, OXFORDSHIRE AND BERKSHIRE WEST ICB - 10Q (10Q)EQ VAS</v>
      </c>
      <c r="C1084" t="s">
        <v>967</v>
      </c>
      <c r="D1084" t="s">
        <v>1021</v>
      </c>
      <c r="E1084" t="s">
        <v>761</v>
      </c>
      <c r="F1084" t="s">
        <v>762</v>
      </c>
      <c r="G1084" t="s">
        <v>752</v>
      </c>
      <c r="H1084">
        <v>14</v>
      </c>
      <c r="I1084">
        <v>65.357100000000003</v>
      </c>
      <c r="J1084">
        <v>73.071399999999997</v>
      </c>
      <c r="K1084">
        <v>7.7142900000000001</v>
      </c>
      <c r="L1084">
        <v>8</v>
      </c>
      <c r="M1084">
        <v>0</v>
      </c>
      <c r="N1084">
        <v>6</v>
      </c>
      <c r="O1084" t="s">
        <v>127</v>
      </c>
      <c r="P1084" t="s">
        <v>127</v>
      </c>
      <c r="Q1084" t="s">
        <v>127</v>
      </c>
    </row>
    <row r="1085" spans="1:17" x14ac:dyDescent="0.25">
      <c r="A1085" t="str">
        <f>IF(C1085&amp;G1085&amp;D1085&lt;&gt;'Funnel setup'!$K$3&amp;'Funnel setup'!$K$4&amp;'Funnel setup'!$K$6,".",IF(A1084=".",1,A1084+1))</f>
        <v>.</v>
      </c>
      <c r="B1085" s="244" t="str">
        <f t="shared" si="16"/>
        <v>Hip Replacement RevisionSub-ICB of GP PracticeNHS BUCKINGHAMSHIRE, OXFORDSHIRE AND BERKSHIRE WEST ICB - 14Y (14Y)EQ VAS</v>
      </c>
      <c r="C1085" t="s">
        <v>967</v>
      </c>
      <c r="D1085" t="s">
        <v>1021</v>
      </c>
      <c r="E1085" t="s">
        <v>763</v>
      </c>
      <c r="F1085" t="s">
        <v>764</v>
      </c>
      <c r="G1085" t="s">
        <v>752</v>
      </c>
      <c r="H1085">
        <v>12</v>
      </c>
      <c r="I1085">
        <v>66.166700000000006</v>
      </c>
      <c r="J1085">
        <v>72.083299999999994</v>
      </c>
      <c r="K1085">
        <v>5.9166699999999999</v>
      </c>
      <c r="L1085">
        <v>7</v>
      </c>
      <c r="M1085">
        <v>0</v>
      </c>
      <c r="N1085">
        <v>5</v>
      </c>
      <c r="O1085" t="s">
        <v>127</v>
      </c>
      <c r="P1085" t="s">
        <v>127</v>
      </c>
      <c r="Q1085" t="s">
        <v>127</v>
      </c>
    </row>
    <row r="1086" spans="1:17" x14ac:dyDescent="0.25">
      <c r="A1086" t="str">
        <f>IF(C1086&amp;G1086&amp;D1086&lt;&gt;'Funnel setup'!$K$3&amp;'Funnel setup'!$K$4&amp;'Funnel setup'!$K$6,".",IF(A1085=".",1,A1085+1))</f>
        <v>.</v>
      </c>
      <c r="B1086" s="244" t="str">
        <f t="shared" si="16"/>
        <v>Hip Replacement RevisionSub-ICB of GP PracticeNHS BUCKINGHAMSHIRE, OXFORDSHIRE AND BERKSHIRE WEST ICB - 15A (15A)EQ VAS</v>
      </c>
      <c r="C1086" t="s">
        <v>967</v>
      </c>
      <c r="D1086" t="s">
        <v>1021</v>
      </c>
      <c r="E1086" t="s">
        <v>765</v>
      </c>
      <c r="F1086" t="s">
        <v>766</v>
      </c>
      <c r="G1086" t="s">
        <v>752</v>
      </c>
      <c r="H1086">
        <v>5</v>
      </c>
      <c r="I1086">
        <v>56.8</v>
      </c>
      <c r="J1086">
        <v>68.2</v>
      </c>
      <c r="K1086">
        <v>11.4</v>
      </c>
      <c r="L1086">
        <v>3</v>
      </c>
      <c r="M1086">
        <v>0</v>
      </c>
      <c r="N1086">
        <v>2</v>
      </c>
      <c r="O1086" t="s">
        <v>127</v>
      </c>
      <c r="P1086" t="s">
        <v>127</v>
      </c>
      <c r="Q1086" t="s">
        <v>127</v>
      </c>
    </row>
    <row r="1087" spans="1:17" x14ac:dyDescent="0.25">
      <c r="A1087" t="str">
        <f>IF(C1087&amp;G1087&amp;D1087&lt;&gt;'Funnel setup'!$K$3&amp;'Funnel setup'!$K$4&amp;'Funnel setup'!$K$6,".",IF(A1086=".",1,A1086+1))</f>
        <v>.</v>
      </c>
      <c r="B1087" s="244" t="str">
        <f t="shared" si="16"/>
        <v>Hip Replacement RevisionSub-ICB of GP PracticeNHS CAMBRIDGESHIRE AND PETERBOROUGH ICB - 06H (06H)EQ VAS</v>
      </c>
      <c r="C1087" t="s">
        <v>967</v>
      </c>
      <c r="D1087" t="s">
        <v>1021</v>
      </c>
      <c r="E1087" t="s">
        <v>767</v>
      </c>
      <c r="F1087" t="s">
        <v>768</v>
      </c>
      <c r="G1087" t="s">
        <v>752</v>
      </c>
      <c r="H1087">
        <v>11</v>
      </c>
      <c r="I1087">
        <v>64.454499999999996</v>
      </c>
      <c r="J1087">
        <v>62</v>
      </c>
      <c r="K1087">
        <v>-2.4545499999999998</v>
      </c>
      <c r="L1087">
        <v>7</v>
      </c>
      <c r="M1087">
        <v>1</v>
      </c>
      <c r="N1087">
        <v>3</v>
      </c>
      <c r="O1087" t="s">
        <v>127</v>
      </c>
      <c r="P1087" t="s">
        <v>127</v>
      </c>
      <c r="Q1087" t="s">
        <v>127</v>
      </c>
    </row>
    <row r="1088" spans="1:17" x14ac:dyDescent="0.25">
      <c r="A1088" t="str">
        <f>IF(C1088&amp;G1088&amp;D1088&lt;&gt;'Funnel setup'!$K$3&amp;'Funnel setup'!$K$4&amp;'Funnel setup'!$K$6,".",IF(A1087=".",1,A1087+1))</f>
        <v>.</v>
      </c>
      <c r="B1088" s="244" t="str">
        <f t="shared" si="16"/>
        <v>Hip Replacement RevisionSub-ICB of GP PracticeNHS CHESHIRE AND MERSEYSIDE ICB - 01F (01F)EQ VAS</v>
      </c>
      <c r="C1088" t="s">
        <v>967</v>
      </c>
      <c r="D1088" t="s">
        <v>1021</v>
      </c>
      <c r="E1088" t="s">
        <v>769</v>
      </c>
      <c r="F1088" t="s">
        <v>770</v>
      </c>
      <c r="G1088" t="s">
        <v>752</v>
      </c>
      <c r="H1088">
        <v>2</v>
      </c>
      <c r="I1088">
        <v>72.5</v>
      </c>
      <c r="J1088">
        <v>80</v>
      </c>
      <c r="K1088">
        <v>7.5</v>
      </c>
      <c r="L1088">
        <v>2</v>
      </c>
      <c r="M1088">
        <v>0</v>
      </c>
      <c r="N1088">
        <v>0</v>
      </c>
      <c r="O1088" t="s">
        <v>127</v>
      </c>
      <c r="P1088" t="s">
        <v>127</v>
      </c>
      <c r="Q1088" t="s">
        <v>127</v>
      </c>
    </row>
    <row r="1089" spans="1:17" x14ac:dyDescent="0.25">
      <c r="A1089" t="str">
        <f>IF(C1089&amp;G1089&amp;D1089&lt;&gt;'Funnel setup'!$K$3&amp;'Funnel setup'!$K$4&amp;'Funnel setup'!$K$6,".",IF(A1088=".",1,A1088+1))</f>
        <v>.</v>
      </c>
      <c r="B1089" s="244" t="str">
        <f t="shared" si="16"/>
        <v>Hip Replacement RevisionSub-ICB of GP PracticeNHS CHESHIRE AND MERSEYSIDE ICB - 01T (01T)EQ VAS</v>
      </c>
      <c r="C1089" t="s">
        <v>967</v>
      </c>
      <c r="D1089" t="s">
        <v>1021</v>
      </c>
      <c r="E1089" t="s">
        <v>773</v>
      </c>
      <c r="F1089" t="s">
        <v>774</v>
      </c>
      <c r="G1089" t="s">
        <v>752</v>
      </c>
      <c r="H1089">
        <v>1</v>
      </c>
      <c r="I1089">
        <v>80</v>
      </c>
      <c r="J1089">
        <v>35</v>
      </c>
      <c r="K1089">
        <v>-45</v>
      </c>
      <c r="L1089">
        <v>0</v>
      </c>
      <c r="M1089">
        <v>0</v>
      </c>
      <c r="N1089">
        <v>1</v>
      </c>
      <c r="O1089" t="s">
        <v>127</v>
      </c>
      <c r="P1089" t="s">
        <v>127</v>
      </c>
      <c r="Q1089" t="s">
        <v>127</v>
      </c>
    </row>
    <row r="1090" spans="1:17" x14ac:dyDescent="0.25">
      <c r="A1090" t="str">
        <f>IF(C1090&amp;G1090&amp;D1090&lt;&gt;'Funnel setup'!$K$3&amp;'Funnel setup'!$K$4&amp;'Funnel setup'!$K$6,".",IF(A1089=".",1,A1089+1))</f>
        <v>.</v>
      </c>
      <c r="B1090" s="244" t="str">
        <f t="shared" ref="B1090:B1153" si="17">C1090&amp;D1090&amp;F1090&amp;G1090</f>
        <v>Hip Replacement RevisionSub-ICB of GP PracticeNHS CHESHIRE AND MERSEYSIDE ICB - 01V (01V)EQ VAS</v>
      </c>
      <c r="C1090" t="s">
        <v>967</v>
      </c>
      <c r="D1090" t="s">
        <v>1021</v>
      </c>
      <c r="E1090" t="s">
        <v>775</v>
      </c>
      <c r="F1090" t="s">
        <v>776</v>
      </c>
      <c r="G1090" t="s">
        <v>752</v>
      </c>
      <c r="H1090">
        <v>1</v>
      </c>
      <c r="I1090">
        <v>50</v>
      </c>
      <c r="J1090">
        <v>50</v>
      </c>
      <c r="K1090">
        <v>0</v>
      </c>
      <c r="L1090">
        <v>0</v>
      </c>
      <c r="M1090">
        <v>1</v>
      </c>
      <c r="N1090">
        <v>0</v>
      </c>
      <c r="O1090" t="s">
        <v>127</v>
      </c>
      <c r="P1090" t="s">
        <v>127</v>
      </c>
      <c r="Q1090" t="s">
        <v>127</v>
      </c>
    </row>
    <row r="1091" spans="1:17" x14ac:dyDescent="0.25">
      <c r="A1091" t="str">
        <f>IF(C1091&amp;G1091&amp;D1091&lt;&gt;'Funnel setup'!$K$3&amp;'Funnel setup'!$K$4&amp;'Funnel setup'!$K$6,".",IF(A1090=".",1,A1090+1))</f>
        <v>.</v>
      </c>
      <c r="B1091" s="244" t="str">
        <f t="shared" si="17"/>
        <v>Hip Replacement RevisionSub-ICB of GP PracticeNHS CHESHIRE AND MERSEYSIDE ICB - 01X (01X)EQ VAS</v>
      </c>
      <c r="C1091" t="s">
        <v>967</v>
      </c>
      <c r="D1091" t="s">
        <v>1021</v>
      </c>
      <c r="E1091" t="s">
        <v>777</v>
      </c>
      <c r="F1091" t="s">
        <v>778</v>
      </c>
      <c r="G1091" t="s">
        <v>752</v>
      </c>
      <c r="H1091">
        <v>2</v>
      </c>
      <c r="I1091">
        <v>80</v>
      </c>
      <c r="J1091">
        <v>62.5</v>
      </c>
      <c r="K1091">
        <v>-17.5</v>
      </c>
      <c r="L1091">
        <v>0</v>
      </c>
      <c r="M1091">
        <v>0</v>
      </c>
      <c r="N1091">
        <v>2</v>
      </c>
      <c r="O1091" t="s">
        <v>127</v>
      </c>
      <c r="P1091" t="s">
        <v>127</v>
      </c>
      <c r="Q1091" t="s">
        <v>127</v>
      </c>
    </row>
    <row r="1092" spans="1:17" x14ac:dyDescent="0.25">
      <c r="A1092" t="str">
        <f>IF(C1092&amp;G1092&amp;D1092&lt;&gt;'Funnel setup'!$K$3&amp;'Funnel setup'!$K$4&amp;'Funnel setup'!$K$6,".",IF(A1091=".",1,A1091+1))</f>
        <v>.</v>
      </c>
      <c r="B1092" s="244" t="str">
        <f t="shared" si="17"/>
        <v>Hip Replacement RevisionSub-ICB of GP PracticeNHS CHESHIRE AND MERSEYSIDE ICB - 12F (12F)EQ VAS</v>
      </c>
      <c r="C1092" t="s">
        <v>967</v>
      </c>
      <c r="D1092" t="s">
        <v>1021</v>
      </c>
      <c r="E1092" t="s">
        <v>781</v>
      </c>
      <c r="F1092" t="s">
        <v>782</v>
      </c>
      <c r="G1092" t="s">
        <v>752</v>
      </c>
      <c r="H1092">
        <v>1</v>
      </c>
      <c r="I1092">
        <v>70</v>
      </c>
      <c r="J1092">
        <v>95</v>
      </c>
      <c r="K1092">
        <v>25</v>
      </c>
      <c r="L1092">
        <v>1</v>
      </c>
      <c r="M1092">
        <v>0</v>
      </c>
      <c r="N1092">
        <v>0</v>
      </c>
      <c r="O1092" t="s">
        <v>127</v>
      </c>
      <c r="P1092" t="s">
        <v>127</v>
      </c>
      <c r="Q1092" t="s">
        <v>127</v>
      </c>
    </row>
    <row r="1093" spans="1:17" x14ac:dyDescent="0.25">
      <c r="A1093" t="str">
        <f>IF(C1093&amp;G1093&amp;D1093&lt;&gt;'Funnel setup'!$K$3&amp;'Funnel setup'!$K$4&amp;'Funnel setup'!$K$6,".",IF(A1092=".",1,A1092+1))</f>
        <v>.</v>
      </c>
      <c r="B1093" s="244" t="str">
        <f t="shared" si="17"/>
        <v>Hip Replacement RevisionSub-ICB of GP PracticeNHS CHESHIRE AND MERSEYSIDE ICB - 27D (27D)EQ VAS</v>
      </c>
      <c r="C1093" t="s">
        <v>967</v>
      </c>
      <c r="D1093" t="s">
        <v>1021</v>
      </c>
      <c r="E1093" t="s">
        <v>783</v>
      </c>
      <c r="F1093" t="s">
        <v>784</v>
      </c>
      <c r="G1093" t="s">
        <v>752</v>
      </c>
      <c r="H1093">
        <v>9</v>
      </c>
      <c r="I1093">
        <v>63.333300000000001</v>
      </c>
      <c r="J1093">
        <v>72.333299999999994</v>
      </c>
      <c r="K1093">
        <v>9</v>
      </c>
      <c r="L1093">
        <v>5</v>
      </c>
      <c r="M1093">
        <v>1</v>
      </c>
      <c r="N1093">
        <v>3</v>
      </c>
      <c r="O1093" t="s">
        <v>127</v>
      </c>
      <c r="P1093" t="s">
        <v>127</v>
      </c>
      <c r="Q1093" t="s">
        <v>127</v>
      </c>
    </row>
    <row r="1094" spans="1:17" x14ac:dyDescent="0.25">
      <c r="A1094" t="str">
        <f>IF(C1094&amp;G1094&amp;D1094&lt;&gt;'Funnel setup'!$K$3&amp;'Funnel setup'!$K$4&amp;'Funnel setup'!$K$6,".",IF(A1093=".",1,A1093+1))</f>
        <v>.</v>
      </c>
      <c r="B1094" s="244" t="str">
        <f t="shared" si="17"/>
        <v>Hip Replacement RevisionSub-ICB of GP PracticeNHS CHESHIRE AND MERSEYSIDE ICB - 99A (99A)EQ VAS</v>
      </c>
      <c r="C1094" t="s">
        <v>967</v>
      </c>
      <c r="D1094" t="s">
        <v>1021</v>
      </c>
      <c r="E1094" t="s">
        <v>785</v>
      </c>
      <c r="F1094" t="s">
        <v>786</v>
      </c>
      <c r="G1094" t="s">
        <v>752</v>
      </c>
      <c r="H1094">
        <v>4</v>
      </c>
      <c r="I1094">
        <v>65</v>
      </c>
      <c r="J1094">
        <v>68</v>
      </c>
      <c r="K1094">
        <v>3</v>
      </c>
      <c r="L1094">
        <v>1</v>
      </c>
      <c r="M1094">
        <v>1</v>
      </c>
      <c r="N1094">
        <v>2</v>
      </c>
      <c r="O1094" t="s">
        <v>127</v>
      </c>
      <c r="P1094" t="s">
        <v>127</v>
      </c>
      <c r="Q1094" t="s">
        <v>127</v>
      </c>
    </row>
    <row r="1095" spans="1:17" x14ac:dyDescent="0.25">
      <c r="A1095" t="str">
        <f>IF(C1095&amp;G1095&amp;D1095&lt;&gt;'Funnel setup'!$K$3&amp;'Funnel setup'!$K$4&amp;'Funnel setup'!$K$6,".",IF(A1094=".",1,A1094+1))</f>
        <v>.</v>
      </c>
      <c r="B1095" s="244" t="str">
        <f t="shared" si="17"/>
        <v>Hip Replacement RevisionSub-ICB of GP PracticeNHS CORNWALL AND THE ISLES OF SCILLY ICB - 11N (11N)EQ VAS</v>
      </c>
      <c r="C1095" t="s">
        <v>967</v>
      </c>
      <c r="D1095" t="s">
        <v>1021</v>
      </c>
      <c r="E1095" t="s">
        <v>787</v>
      </c>
      <c r="F1095" t="s">
        <v>788</v>
      </c>
      <c r="G1095" t="s">
        <v>752</v>
      </c>
      <c r="H1095">
        <v>7</v>
      </c>
      <c r="I1095">
        <v>57.714300000000001</v>
      </c>
      <c r="J1095">
        <v>67.714299999999994</v>
      </c>
      <c r="K1095">
        <v>10</v>
      </c>
      <c r="L1095">
        <v>3</v>
      </c>
      <c r="M1095">
        <v>2</v>
      </c>
      <c r="N1095">
        <v>2</v>
      </c>
      <c r="O1095" t="s">
        <v>127</v>
      </c>
      <c r="P1095" t="s">
        <v>127</v>
      </c>
      <c r="Q1095" t="s">
        <v>127</v>
      </c>
    </row>
    <row r="1096" spans="1:17" x14ac:dyDescent="0.25">
      <c r="A1096" t="str">
        <f>IF(C1096&amp;G1096&amp;D1096&lt;&gt;'Funnel setup'!$K$3&amp;'Funnel setup'!$K$4&amp;'Funnel setup'!$K$6,".",IF(A1095=".",1,A1095+1))</f>
        <v>.</v>
      </c>
      <c r="B1096" s="244" t="str">
        <f t="shared" si="17"/>
        <v>Hip Replacement RevisionSub-ICB of GP PracticeNHS COVENTRY AND WARWICKSHIRE ICB - B2M3M (B2M3M)EQ VAS</v>
      </c>
      <c r="C1096" t="s">
        <v>967</v>
      </c>
      <c r="D1096" t="s">
        <v>1021</v>
      </c>
      <c r="E1096" t="s">
        <v>789</v>
      </c>
      <c r="F1096" t="s">
        <v>790</v>
      </c>
      <c r="G1096" t="s">
        <v>752</v>
      </c>
      <c r="H1096">
        <v>6</v>
      </c>
      <c r="I1096">
        <v>45.666699999999999</v>
      </c>
      <c r="J1096">
        <v>69.833299999999994</v>
      </c>
      <c r="K1096">
        <v>24.166699999999999</v>
      </c>
      <c r="L1096">
        <v>5</v>
      </c>
      <c r="M1096">
        <v>0</v>
      </c>
      <c r="N1096">
        <v>1</v>
      </c>
      <c r="O1096" t="s">
        <v>127</v>
      </c>
      <c r="P1096" t="s">
        <v>127</v>
      </c>
      <c r="Q1096" t="s">
        <v>127</v>
      </c>
    </row>
    <row r="1097" spans="1:17" x14ac:dyDescent="0.25">
      <c r="A1097" t="str">
        <f>IF(C1097&amp;G1097&amp;D1097&lt;&gt;'Funnel setup'!$K$3&amp;'Funnel setup'!$K$4&amp;'Funnel setup'!$K$6,".",IF(A1096=".",1,A1096+1))</f>
        <v>.</v>
      </c>
      <c r="B1097" s="244" t="str">
        <f t="shared" si="17"/>
        <v>Hip Replacement RevisionSub-ICB of GP PracticeNHS DERBY AND DERBYSHIRE ICB - 15M (15M)EQ VAS</v>
      </c>
      <c r="C1097" t="s">
        <v>967</v>
      </c>
      <c r="D1097" t="s">
        <v>1021</v>
      </c>
      <c r="E1097" t="s">
        <v>791</v>
      </c>
      <c r="F1097" t="s">
        <v>792</v>
      </c>
      <c r="G1097" t="s">
        <v>752</v>
      </c>
      <c r="H1097">
        <v>23</v>
      </c>
      <c r="I1097">
        <v>63.043500000000002</v>
      </c>
      <c r="J1097">
        <v>64</v>
      </c>
      <c r="K1097">
        <v>0.95652199999999998</v>
      </c>
      <c r="L1097">
        <v>11</v>
      </c>
      <c r="M1097">
        <v>2</v>
      </c>
      <c r="N1097">
        <v>10</v>
      </c>
      <c r="O1097" t="s">
        <v>127</v>
      </c>
      <c r="P1097" t="s">
        <v>127</v>
      </c>
      <c r="Q1097" t="s">
        <v>127</v>
      </c>
    </row>
    <row r="1098" spans="1:17" x14ac:dyDescent="0.25">
      <c r="A1098" t="str">
        <f>IF(C1098&amp;G1098&amp;D1098&lt;&gt;'Funnel setup'!$K$3&amp;'Funnel setup'!$K$4&amp;'Funnel setup'!$K$6,".",IF(A1097=".",1,A1097+1))</f>
        <v>.</v>
      </c>
      <c r="B1098" s="244" t="str">
        <f t="shared" si="17"/>
        <v>Hip Replacement RevisionSub-ICB of GP PracticeNHS DEVON ICB - 15N (15N)EQ VAS</v>
      </c>
      <c r="C1098" t="s">
        <v>967</v>
      </c>
      <c r="D1098" t="s">
        <v>1021</v>
      </c>
      <c r="E1098" t="s">
        <v>793</v>
      </c>
      <c r="F1098" t="s">
        <v>794</v>
      </c>
      <c r="G1098" t="s">
        <v>752</v>
      </c>
      <c r="H1098">
        <v>6</v>
      </c>
      <c r="I1098">
        <v>73.333299999999994</v>
      </c>
      <c r="J1098">
        <v>84.833299999999994</v>
      </c>
      <c r="K1098">
        <v>11.5</v>
      </c>
      <c r="L1098">
        <v>4</v>
      </c>
      <c r="M1098">
        <v>2</v>
      </c>
      <c r="N1098">
        <v>0</v>
      </c>
      <c r="O1098" t="s">
        <v>127</v>
      </c>
      <c r="P1098" t="s">
        <v>127</v>
      </c>
      <c r="Q1098" t="s">
        <v>127</v>
      </c>
    </row>
    <row r="1099" spans="1:17" x14ac:dyDescent="0.25">
      <c r="A1099" t="str">
        <f>IF(C1099&amp;G1099&amp;D1099&lt;&gt;'Funnel setup'!$K$3&amp;'Funnel setup'!$K$4&amp;'Funnel setup'!$K$6,".",IF(A1098=".",1,A1098+1))</f>
        <v>.</v>
      </c>
      <c r="B1099" s="244" t="str">
        <f t="shared" si="17"/>
        <v>Hip Replacement RevisionSub-ICB of GP PracticeNHS DORSET ICB - 11J (11J)EQ VAS</v>
      </c>
      <c r="C1099" t="s">
        <v>967</v>
      </c>
      <c r="D1099" t="s">
        <v>1021</v>
      </c>
      <c r="E1099" t="s">
        <v>795</v>
      </c>
      <c r="F1099" t="s">
        <v>796</v>
      </c>
      <c r="G1099" t="s">
        <v>752</v>
      </c>
      <c r="H1099">
        <v>7</v>
      </c>
      <c r="I1099">
        <v>79.714299999999994</v>
      </c>
      <c r="J1099">
        <v>85</v>
      </c>
      <c r="K1099">
        <v>5.2857099999999999</v>
      </c>
      <c r="L1099">
        <v>5</v>
      </c>
      <c r="M1099">
        <v>0</v>
      </c>
      <c r="N1099">
        <v>2</v>
      </c>
      <c r="O1099" t="s">
        <v>127</v>
      </c>
      <c r="P1099" t="s">
        <v>127</v>
      </c>
      <c r="Q1099" t="s">
        <v>127</v>
      </c>
    </row>
    <row r="1100" spans="1:17" x14ac:dyDescent="0.25">
      <c r="A1100" t="str">
        <f>IF(C1100&amp;G1100&amp;D1100&lt;&gt;'Funnel setup'!$K$3&amp;'Funnel setup'!$K$4&amp;'Funnel setup'!$K$6,".",IF(A1099=".",1,A1099+1))</f>
        <v>.</v>
      </c>
      <c r="B1100" s="244" t="str">
        <f t="shared" si="17"/>
        <v>Hip Replacement RevisionSub-ICB of GP PracticeNHS FRIMLEY ICB - D4U1Y (D4U1Y)EQ VAS</v>
      </c>
      <c r="C1100" t="s">
        <v>967</v>
      </c>
      <c r="D1100" t="s">
        <v>1021</v>
      </c>
      <c r="E1100" t="s">
        <v>797</v>
      </c>
      <c r="F1100" t="s">
        <v>798</v>
      </c>
      <c r="G1100" t="s">
        <v>752</v>
      </c>
      <c r="H1100">
        <v>11</v>
      </c>
      <c r="I1100">
        <v>64.090900000000005</v>
      </c>
      <c r="J1100">
        <v>69.090900000000005</v>
      </c>
      <c r="K1100">
        <v>5</v>
      </c>
      <c r="L1100">
        <v>5</v>
      </c>
      <c r="M1100">
        <v>2</v>
      </c>
      <c r="N1100">
        <v>4</v>
      </c>
      <c r="O1100" t="s">
        <v>127</v>
      </c>
      <c r="P1100" t="s">
        <v>127</v>
      </c>
      <c r="Q1100" t="s">
        <v>127</v>
      </c>
    </row>
    <row r="1101" spans="1:17" x14ac:dyDescent="0.25">
      <c r="A1101" t="str">
        <f>IF(C1101&amp;G1101&amp;D1101&lt;&gt;'Funnel setup'!$K$3&amp;'Funnel setup'!$K$4&amp;'Funnel setup'!$K$6,".",IF(A1100=".",1,A1100+1))</f>
        <v>.</v>
      </c>
      <c r="B1101" s="244" t="str">
        <f t="shared" si="17"/>
        <v>Hip Replacement RevisionSub-ICB of GP PracticeNHS GLOUCESTERSHIRE ICB - 11M (11M)EQ VAS</v>
      </c>
      <c r="C1101" t="s">
        <v>967</v>
      </c>
      <c r="D1101" t="s">
        <v>1021</v>
      </c>
      <c r="E1101" t="s">
        <v>799</v>
      </c>
      <c r="F1101" t="s">
        <v>800</v>
      </c>
      <c r="G1101" t="s">
        <v>752</v>
      </c>
      <c r="H1101">
        <v>4</v>
      </c>
      <c r="I1101">
        <v>46.25</v>
      </c>
      <c r="J1101">
        <v>81.75</v>
      </c>
      <c r="K1101">
        <v>35.5</v>
      </c>
      <c r="L1101">
        <v>3</v>
      </c>
      <c r="M1101">
        <v>1</v>
      </c>
      <c r="N1101">
        <v>0</v>
      </c>
      <c r="O1101" t="s">
        <v>127</v>
      </c>
      <c r="P1101" t="s">
        <v>127</v>
      </c>
      <c r="Q1101" t="s">
        <v>127</v>
      </c>
    </row>
    <row r="1102" spans="1:17" x14ac:dyDescent="0.25">
      <c r="A1102" t="str">
        <f>IF(C1102&amp;G1102&amp;D1102&lt;&gt;'Funnel setup'!$K$3&amp;'Funnel setup'!$K$4&amp;'Funnel setup'!$K$6,".",IF(A1101=".",1,A1101+1))</f>
        <v>.</v>
      </c>
      <c r="B1102" s="244" t="str">
        <f t="shared" si="17"/>
        <v>Hip Replacement RevisionSub-ICB of GP PracticeNHS GREATER MANCHESTER ICB - 01G (01G)EQ VAS</v>
      </c>
      <c r="C1102" t="s">
        <v>967</v>
      </c>
      <c r="D1102" t="s">
        <v>1021</v>
      </c>
      <c r="E1102" t="s">
        <v>809</v>
      </c>
      <c r="F1102" t="s">
        <v>810</v>
      </c>
      <c r="G1102" t="s">
        <v>752</v>
      </c>
      <c r="H1102">
        <v>1</v>
      </c>
      <c r="I1102">
        <v>78</v>
      </c>
      <c r="J1102">
        <v>86</v>
      </c>
      <c r="K1102">
        <v>8</v>
      </c>
      <c r="L1102">
        <v>1</v>
      </c>
      <c r="M1102">
        <v>0</v>
      </c>
      <c r="N1102">
        <v>0</v>
      </c>
      <c r="O1102" t="s">
        <v>127</v>
      </c>
      <c r="P1102" t="s">
        <v>127</v>
      </c>
      <c r="Q1102" t="s">
        <v>127</v>
      </c>
    </row>
    <row r="1103" spans="1:17" x14ac:dyDescent="0.25">
      <c r="A1103" t="str">
        <f>IF(C1103&amp;G1103&amp;D1103&lt;&gt;'Funnel setup'!$K$3&amp;'Funnel setup'!$K$4&amp;'Funnel setup'!$K$6,".",IF(A1102=".",1,A1102+1))</f>
        <v>.</v>
      </c>
      <c r="B1103" s="244" t="str">
        <f t="shared" si="17"/>
        <v>Hip Replacement RevisionSub-ICB of GP PracticeNHS GREATER MANCHESTER ICB - 01W (01W)EQ VAS</v>
      </c>
      <c r="C1103" t="s">
        <v>967</v>
      </c>
      <c r="D1103" t="s">
        <v>1021</v>
      </c>
      <c r="E1103" t="s">
        <v>811</v>
      </c>
      <c r="F1103" t="s">
        <v>812</v>
      </c>
      <c r="G1103" t="s">
        <v>752</v>
      </c>
      <c r="H1103">
        <v>4</v>
      </c>
      <c r="I1103">
        <v>65.75</v>
      </c>
      <c r="J1103">
        <v>68.75</v>
      </c>
      <c r="K1103">
        <v>3</v>
      </c>
      <c r="L1103">
        <v>2</v>
      </c>
      <c r="M1103">
        <v>1</v>
      </c>
      <c r="N1103">
        <v>1</v>
      </c>
      <c r="O1103" t="s">
        <v>127</v>
      </c>
      <c r="P1103" t="s">
        <v>127</v>
      </c>
      <c r="Q1103" t="s">
        <v>127</v>
      </c>
    </row>
    <row r="1104" spans="1:17" x14ac:dyDescent="0.25">
      <c r="A1104" t="str">
        <f>IF(C1104&amp;G1104&amp;D1104&lt;&gt;'Funnel setup'!$K$3&amp;'Funnel setup'!$K$4&amp;'Funnel setup'!$K$6,".",IF(A1103=".",1,A1103+1))</f>
        <v>.</v>
      </c>
      <c r="B1104" s="244" t="str">
        <f t="shared" si="17"/>
        <v>Hip Replacement RevisionSub-ICB of GP PracticeNHS GREATER MANCHESTER ICB - 14L (14L)EQ VAS</v>
      </c>
      <c r="C1104" t="s">
        <v>967</v>
      </c>
      <c r="D1104" t="s">
        <v>1021</v>
      </c>
      <c r="E1104" t="s">
        <v>819</v>
      </c>
      <c r="F1104" t="s">
        <v>820</v>
      </c>
      <c r="G1104" t="s">
        <v>752</v>
      </c>
      <c r="H1104">
        <v>2</v>
      </c>
      <c r="I1104">
        <v>77.5</v>
      </c>
      <c r="J1104">
        <v>57.5</v>
      </c>
      <c r="K1104">
        <v>-20</v>
      </c>
      <c r="L1104">
        <v>0</v>
      </c>
      <c r="M1104">
        <v>0</v>
      </c>
      <c r="N1104">
        <v>2</v>
      </c>
      <c r="O1104" t="s">
        <v>127</v>
      </c>
      <c r="P1104" t="s">
        <v>127</v>
      </c>
      <c r="Q1104" t="s">
        <v>127</v>
      </c>
    </row>
    <row r="1105" spans="1:17" x14ac:dyDescent="0.25">
      <c r="A1105" t="str">
        <f>IF(C1105&amp;G1105&amp;D1105&lt;&gt;'Funnel setup'!$K$3&amp;'Funnel setup'!$K$4&amp;'Funnel setup'!$K$6,".",IF(A1104=".",1,A1104+1))</f>
        <v>.</v>
      </c>
      <c r="B1105" s="244" t="str">
        <f t="shared" si="17"/>
        <v>Hip Replacement RevisionSub-ICB of GP PracticeNHS HAMPSHIRE AND ISLE OF WIGHT ICB - D9Y0V (D9Y0V)EQ VAS</v>
      </c>
      <c r="C1105" t="s">
        <v>967</v>
      </c>
      <c r="D1105" t="s">
        <v>1021</v>
      </c>
      <c r="E1105" t="s">
        <v>823</v>
      </c>
      <c r="F1105" t="s">
        <v>824</v>
      </c>
      <c r="G1105" t="s">
        <v>752</v>
      </c>
      <c r="H1105">
        <v>13</v>
      </c>
      <c r="I1105">
        <v>58</v>
      </c>
      <c r="J1105">
        <v>76.384600000000006</v>
      </c>
      <c r="K1105">
        <v>18.384599999999999</v>
      </c>
      <c r="L1105">
        <v>7</v>
      </c>
      <c r="M1105">
        <v>4</v>
      </c>
      <c r="N1105">
        <v>2</v>
      </c>
      <c r="O1105" t="s">
        <v>127</v>
      </c>
      <c r="P1105" t="s">
        <v>127</v>
      </c>
      <c r="Q1105" t="s">
        <v>127</v>
      </c>
    </row>
    <row r="1106" spans="1:17" x14ac:dyDescent="0.25">
      <c r="A1106" t="str">
        <f>IF(C1106&amp;G1106&amp;D1106&lt;&gt;'Funnel setup'!$K$3&amp;'Funnel setup'!$K$4&amp;'Funnel setup'!$K$6,".",IF(A1105=".",1,A1105+1))</f>
        <v>.</v>
      </c>
      <c r="B1106" s="244" t="str">
        <f t="shared" si="17"/>
        <v>Hip Replacement RevisionSub-ICB of GP PracticeNHS HEREFORDSHIRE AND WORCESTERSHIRE ICB - 18C (18C)EQ VAS</v>
      </c>
      <c r="C1106" t="s">
        <v>967</v>
      </c>
      <c r="D1106" t="s">
        <v>1021</v>
      </c>
      <c r="E1106" t="s">
        <v>825</v>
      </c>
      <c r="F1106" t="s">
        <v>826</v>
      </c>
      <c r="G1106" t="s">
        <v>752</v>
      </c>
      <c r="H1106">
        <v>16</v>
      </c>
      <c r="I1106">
        <v>65</v>
      </c>
      <c r="J1106">
        <v>66.6875</v>
      </c>
      <c r="K1106">
        <v>1.6875</v>
      </c>
      <c r="L1106">
        <v>8</v>
      </c>
      <c r="M1106">
        <v>1</v>
      </c>
      <c r="N1106">
        <v>7</v>
      </c>
      <c r="O1106" t="s">
        <v>127</v>
      </c>
      <c r="P1106" t="s">
        <v>127</v>
      </c>
      <c r="Q1106" t="s">
        <v>127</v>
      </c>
    </row>
    <row r="1107" spans="1:17" x14ac:dyDescent="0.25">
      <c r="A1107" t="str">
        <f>IF(C1107&amp;G1107&amp;D1107&lt;&gt;'Funnel setup'!$K$3&amp;'Funnel setup'!$K$4&amp;'Funnel setup'!$K$6,".",IF(A1106=".",1,A1106+1))</f>
        <v>.</v>
      </c>
      <c r="B1107" s="244" t="str">
        <f t="shared" si="17"/>
        <v>Hip Replacement RevisionSub-ICB of GP PracticeNHS HERTFORDSHIRE AND WEST ESSEX ICB - 06K (06K)EQ VAS</v>
      </c>
      <c r="C1107" t="s">
        <v>967</v>
      </c>
      <c r="D1107" t="s">
        <v>1021</v>
      </c>
      <c r="E1107" t="s">
        <v>827</v>
      </c>
      <c r="F1107" t="s">
        <v>828</v>
      </c>
      <c r="G1107" t="s">
        <v>752</v>
      </c>
      <c r="H1107">
        <v>14</v>
      </c>
      <c r="I1107">
        <v>56.642899999999997</v>
      </c>
      <c r="J1107">
        <v>74.142899999999997</v>
      </c>
      <c r="K1107">
        <v>17.5</v>
      </c>
      <c r="L1107">
        <v>9</v>
      </c>
      <c r="M1107">
        <v>2</v>
      </c>
      <c r="N1107">
        <v>3</v>
      </c>
      <c r="O1107" t="s">
        <v>127</v>
      </c>
      <c r="P1107" t="s">
        <v>127</v>
      </c>
      <c r="Q1107" t="s">
        <v>127</v>
      </c>
    </row>
    <row r="1108" spans="1:17" x14ac:dyDescent="0.25">
      <c r="A1108" t="str">
        <f>IF(C1108&amp;G1108&amp;D1108&lt;&gt;'Funnel setup'!$K$3&amp;'Funnel setup'!$K$4&amp;'Funnel setup'!$K$6,".",IF(A1107=".",1,A1107+1))</f>
        <v>.</v>
      </c>
      <c r="B1108" s="244" t="str">
        <f t="shared" si="17"/>
        <v>Hip Replacement RevisionSub-ICB of GP PracticeNHS HERTFORDSHIRE AND WEST ESSEX ICB - 06N (06N)EQ VAS</v>
      </c>
      <c r="C1108" t="s">
        <v>967</v>
      </c>
      <c r="D1108" t="s">
        <v>1021</v>
      </c>
      <c r="E1108" t="s">
        <v>829</v>
      </c>
      <c r="F1108" t="s">
        <v>830</v>
      </c>
      <c r="G1108" t="s">
        <v>752</v>
      </c>
      <c r="H1108">
        <v>10</v>
      </c>
      <c r="I1108">
        <v>53.7</v>
      </c>
      <c r="J1108">
        <v>69</v>
      </c>
      <c r="K1108">
        <v>15.3</v>
      </c>
      <c r="L1108">
        <v>7</v>
      </c>
      <c r="M1108">
        <v>0</v>
      </c>
      <c r="N1108">
        <v>3</v>
      </c>
      <c r="O1108" t="s">
        <v>127</v>
      </c>
      <c r="P1108" t="s">
        <v>127</v>
      </c>
      <c r="Q1108" t="s">
        <v>127</v>
      </c>
    </row>
    <row r="1109" spans="1:17" x14ac:dyDescent="0.25">
      <c r="A1109" t="str">
        <f>IF(C1109&amp;G1109&amp;D1109&lt;&gt;'Funnel setup'!$K$3&amp;'Funnel setup'!$K$4&amp;'Funnel setup'!$K$6,".",IF(A1108=".",1,A1108+1))</f>
        <v>.</v>
      </c>
      <c r="B1109" s="244" t="str">
        <f t="shared" si="17"/>
        <v>Hip Replacement RevisionSub-ICB of GP PracticeNHS HERTFORDSHIRE AND WEST ESSEX ICB - 07H (07H)EQ VAS</v>
      </c>
      <c r="C1109" t="s">
        <v>967</v>
      </c>
      <c r="D1109" t="s">
        <v>1021</v>
      </c>
      <c r="E1109" t="s">
        <v>831</v>
      </c>
      <c r="F1109" t="s">
        <v>832</v>
      </c>
      <c r="G1109" t="s">
        <v>752</v>
      </c>
      <c r="H1109">
        <v>2</v>
      </c>
      <c r="I1109">
        <v>50</v>
      </c>
      <c r="J1109">
        <v>70</v>
      </c>
      <c r="K1109">
        <v>20</v>
      </c>
      <c r="L1109">
        <v>1</v>
      </c>
      <c r="M1109">
        <v>1</v>
      </c>
      <c r="N1109">
        <v>0</v>
      </c>
      <c r="O1109" t="s">
        <v>127</v>
      </c>
      <c r="P1109" t="s">
        <v>127</v>
      </c>
      <c r="Q1109" t="s">
        <v>127</v>
      </c>
    </row>
    <row r="1110" spans="1:17" x14ac:dyDescent="0.25">
      <c r="A1110" t="str">
        <f>IF(C1110&amp;G1110&amp;D1110&lt;&gt;'Funnel setup'!$K$3&amp;'Funnel setup'!$K$4&amp;'Funnel setup'!$K$6,".",IF(A1109=".",1,A1109+1))</f>
        <v>.</v>
      </c>
      <c r="B1110" s="244" t="str">
        <f t="shared" si="17"/>
        <v>Hip Replacement RevisionSub-ICB of GP PracticeNHS HUMBER AND NORTH YORKSHIRE ICB - 02Y (02Y)EQ VAS</v>
      </c>
      <c r="C1110" t="s">
        <v>967</v>
      </c>
      <c r="D1110" t="s">
        <v>1021</v>
      </c>
      <c r="E1110" t="s">
        <v>833</v>
      </c>
      <c r="F1110" t="s">
        <v>834</v>
      </c>
      <c r="G1110" t="s">
        <v>752</v>
      </c>
      <c r="H1110">
        <v>2</v>
      </c>
      <c r="I1110">
        <v>55</v>
      </c>
      <c r="J1110">
        <v>90</v>
      </c>
      <c r="K1110">
        <v>35</v>
      </c>
      <c r="L1110">
        <v>2</v>
      </c>
      <c r="M1110">
        <v>0</v>
      </c>
      <c r="N1110">
        <v>0</v>
      </c>
      <c r="O1110" t="s">
        <v>127</v>
      </c>
      <c r="P1110" t="s">
        <v>127</v>
      </c>
      <c r="Q1110" t="s">
        <v>127</v>
      </c>
    </row>
    <row r="1111" spans="1:17" x14ac:dyDescent="0.25">
      <c r="A1111" t="str">
        <f>IF(C1111&amp;G1111&amp;D1111&lt;&gt;'Funnel setup'!$K$3&amp;'Funnel setup'!$K$4&amp;'Funnel setup'!$K$6,".",IF(A1110=".",1,A1110+1))</f>
        <v>.</v>
      </c>
      <c r="B1111" s="244" t="str">
        <f t="shared" si="17"/>
        <v>Hip Replacement RevisionSub-ICB of GP PracticeNHS HUMBER AND NORTH YORKSHIRE ICB - 03F (03F)EQ VAS</v>
      </c>
      <c r="C1111" t="s">
        <v>967</v>
      </c>
      <c r="D1111" t="s">
        <v>1021</v>
      </c>
      <c r="E1111" t="s">
        <v>835</v>
      </c>
      <c r="F1111" t="s">
        <v>836</v>
      </c>
      <c r="G1111" t="s">
        <v>752</v>
      </c>
      <c r="H1111">
        <v>2</v>
      </c>
      <c r="I1111">
        <v>56.5</v>
      </c>
      <c r="J1111">
        <v>50</v>
      </c>
      <c r="K1111">
        <v>-6.5</v>
      </c>
      <c r="L1111">
        <v>1</v>
      </c>
      <c r="M1111">
        <v>0</v>
      </c>
      <c r="N1111">
        <v>1</v>
      </c>
      <c r="O1111" t="s">
        <v>127</v>
      </c>
      <c r="P1111" t="s">
        <v>127</v>
      </c>
      <c r="Q1111" t="s">
        <v>127</v>
      </c>
    </row>
    <row r="1112" spans="1:17" x14ac:dyDescent="0.25">
      <c r="A1112" t="str">
        <f>IF(C1112&amp;G1112&amp;D1112&lt;&gt;'Funnel setup'!$K$3&amp;'Funnel setup'!$K$4&amp;'Funnel setup'!$K$6,".",IF(A1111=".",1,A1111+1))</f>
        <v>.</v>
      </c>
      <c r="B1112" s="244" t="str">
        <f t="shared" si="17"/>
        <v>Hip Replacement RevisionSub-ICB of GP PracticeNHS HUMBER AND NORTH YORKSHIRE ICB - 03Q (03Q)EQ VAS</v>
      </c>
      <c r="C1112" t="s">
        <v>967</v>
      </c>
      <c r="D1112" t="s">
        <v>1021</v>
      </c>
      <c r="E1112" t="s">
        <v>841</v>
      </c>
      <c r="F1112" t="s">
        <v>842</v>
      </c>
      <c r="G1112" t="s">
        <v>752</v>
      </c>
      <c r="H1112">
        <v>5</v>
      </c>
      <c r="I1112">
        <v>49.8</v>
      </c>
      <c r="J1112">
        <v>70.2</v>
      </c>
      <c r="K1112">
        <v>20.399999999999999</v>
      </c>
      <c r="L1112">
        <v>4</v>
      </c>
      <c r="M1112">
        <v>0</v>
      </c>
      <c r="N1112">
        <v>1</v>
      </c>
      <c r="O1112" t="s">
        <v>127</v>
      </c>
      <c r="P1112" t="s">
        <v>127</v>
      </c>
      <c r="Q1112" t="s">
        <v>127</v>
      </c>
    </row>
    <row r="1113" spans="1:17" x14ac:dyDescent="0.25">
      <c r="A1113" t="str">
        <f>IF(C1113&amp;G1113&amp;D1113&lt;&gt;'Funnel setup'!$K$3&amp;'Funnel setup'!$K$4&amp;'Funnel setup'!$K$6,".",IF(A1112=".",1,A1112+1))</f>
        <v>.</v>
      </c>
      <c r="B1113" s="244" t="str">
        <f t="shared" si="17"/>
        <v>Hip Replacement RevisionSub-ICB of GP PracticeNHS HUMBER AND NORTH YORKSHIRE ICB - 42D (42D)EQ VAS</v>
      </c>
      <c r="C1113" t="s">
        <v>967</v>
      </c>
      <c r="D1113" t="s">
        <v>1021</v>
      </c>
      <c r="E1113" t="s">
        <v>843</v>
      </c>
      <c r="F1113" t="s">
        <v>844</v>
      </c>
      <c r="G1113" t="s">
        <v>752</v>
      </c>
      <c r="H1113">
        <v>10</v>
      </c>
      <c r="I1113">
        <v>57.5</v>
      </c>
      <c r="J1113">
        <v>61.7</v>
      </c>
      <c r="K1113">
        <v>4.2</v>
      </c>
      <c r="L1113">
        <v>5</v>
      </c>
      <c r="M1113">
        <v>0</v>
      </c>
      <c r="N1113">
        <v>5</v>
      </c>
      <c r="O1113" t="s">
        <v>127</v>
      </c>
      <c r="P1113" t="s">
        <v>127</v>
      </c>
      <c r="Q1113" t="s">
        <v>127</v>
      </c>
    </row>
    <row r="1114" spans="1:17" x14ac:dyDescent="0.25">
      <c r="A1114" t="str">
        <f>IF(C1114&amp;G1114&amp;D1114&lt;&gt;'Funnel setup'!$K$3&amp;'Funnel setup'!$K$4&amp;'Funnel setup'!$K$6,".",IF(A1113=".",1,A1113+1))</f>
        <v>.</v>
      </c>
      <c r="B1114" s="244" t="str">
        <f t="shared" si="17"/>
        <v>Hip Replacement RevisionSub-ICB of GP PracticeNHS KENT AND MEDWAY ICB - 91Q (91Q)EQ VAS</v>
      </c>
      <c r="C1114" t="s">
        <v>967</v>
      </c>
      <c r="D1114" t="s">
        <v>1021</v>
      </c>
      <c r="E1114" t="s">
        <v>845</v>
      </c>
      <c r="F1114" t="s">
        <v>846</v>
      </c>
      <c r="G1114" t="s">
        <v>752</v>
      </c>
      <c r="H1114">
        <v>23</v>
      </c>
      <c r="I1114">
        <v>57.782600000000002</v>
      </c>
      <c r="J1114">
        <v>70.478300000000004</v>
      </c>
      <c r="K1114">
        <v>12.6957</v>
      </c>
      <c r="L1114">
        <v>16</v>
      </c>
      <c r="M1114">
        <v>1</v>
      </c>
      <c r="N1114">
        <v>6</v>
      </c>
      <c r="O1114" t="s">
        <v>127</v>
      </c>
      <c r="P1114" t="s">
        <v>127</v>
      </c>
      <c r="Q1114" t="s">
        <v>127</v>
      </c>
    </row>
    <row r="1115" spans="1:17" x14ac:dyDescent="0.25">
      <c r="A1115" t="str">
        <f>IF(C1115&amp;G1115&amp;D1115&lt;&gt;'Funnel setup'!$K$3&amp;'Funnel setup'!$K$4&amp;'Funnel setup'!$K$6,".",IF(A1114=".",1,A1114+1))</f>
        <v>.</v>
      </c>
      <c r="B1115" s="244" t="str">
        <f t="shared" si="17"/>
        <v>Hip Replacement RevisionSub-ICB of GP PracticeNHS LANCASHIRE AND SOUTH CUMBRIA ICB - 00Q (00Q)EQ VAS</v>
      </c>
      <c r="C1115" t="s">
        <v>967</v>
      </c>
      <c r="D1115" t="s">
        <v>1021</v>
      </c>
      <c r="E1115" t="s">
        <v>847</v>
      </c>
      <c r="F1115" t="s">
        <v>848</v>
      </c>
      <c r="G1115" t="s">
        <v>752</v>
      </c>
      <c r="H1115">
        <v>1</v>
      </c>
      <c r="I1115">
        <v>90</v>
      </c>
      <c r="J1115">
        <v>83</v>
      </c>
      <c r="K1115">
        <v>-7</v>
      </c>
      <c r="L1115">
        <v>0</v>
      </c>
      <c r="M1115">
        <v>0</v>
      </c>
      <c r="N1115">
        <v>1</v>
      </c>
      <c r="O1115" t="s">
        <v>127</v>
      </c>
      <c r="P1115" t="s">
        <v>127</v>
      </c>
      <c r="Q1115" t="s">
        <v>127</v>
      </c>
    </row>
    <row r="1116" spans="1:17" x14ac:dyDescent="0.25">
      <c r="A1116" t="str">
        <f>IF(C1116&amp;G1116&amp;D1116&lt;&gt;'Funnel setup'!$K$3&amp;'Funnel setup'!$K$4&amp;'Funnel setup'!$K$6,".",IF(A1115=".",1,A1115+1))</f>
        <v>.</v>
      </c>
      <c r="B1116" s="244" t="str">
        <f t="shared" si="17"/>
        <v>Hip Replacement RevisionSub-ICB of GP PracticeNHS LANCASHIRE AND SOUTH CUMBRIA ICB - 01A (01A)EQ VAS</v>
      </c>
      <c r="C1116" t="s">
        <v>967</v>
      </c>
      <c r="D1116" t="s">
        <v>1021</v>
      </c>
      <c r="E1116" t="s">
        <v>853</v>
      </c>
      <c r="F1116" t="s">
        <v>854</v>
      </c>
      <c r="G1116" t="s">
        <v>752</v>
      </c>
      <c r="H1116">
        <v>2</v>
      </c>
      <c r="I1116">
        <v>60</v>
      </c>
      <c r="J1116">
        <v>57.5</v>
      </c>
      <c r="K1116">
        <v>-2.5</v>
      </c>
      <c r="L1116">
        <v>1</v>
      </c>
      <c r="M1116">
        <v>0</v>
      </c>
      <c r="N1116">
        <v>1</v>
      </c>
      <c r="O1116" t="s">
        <v>127</v>
      </c>
      <c r="P1116" t="s">
        <v>127</v>
      </c>
      <c r="Q1116" t="s">
        <v>127</v>
      </c>
    </row>
    <row r="1117" spans="1:17" x14ac:dyDescent="0.25">
      <c r="A1117" t="str">
        <f>IF(C1117&amp;G1117&amp;D1117&lt;&gt;'Funnel setup'!$K$3&amp;'Funnel setup'!$K$4&amp;'Funnel setup'!$K$6,".",IF(A1116=".",1,A1116+1))</f>
        <v>.</v>
      </c>
      <c r="B1117" s="244" t="str">
        <f t="shared" si="17"/>
        <v>Hip Replacement RevisionSub-ICB of GP PracticeNHS LANCASHIRE AND SOUTH CUMBRIA ICB - 01E (01E)EQ VAS</v>
      </c>
      <c r="C1117" t="s">
        <v>967</v>
      </c>
      <c r="D1117" t="s">
        <v>1021</v>
      </c>
      <c r="E1117" t="s">
        <v>855</v>
      </c>
      <c r="F1117" t="s">
        <v>856</v>
      </c>
      <c r="G1117" t="s">
        <v>752</v>
      </c>
      <c r="H1117">
        <v>1</v>
      </c>
      <c r="I1117">
        <v>75</v>
      </c>
      <c r="J1117">
        <v>90</v>
      </c>
      <c r="K1117">
        <v>15</v>
      </c>
      <c r="L1117">
        <v>1</v>
      </c>
      <c r="M1117">
        <v>0</v>
      </c>
      <c r="N1117">
        <v>0</v>
      </c>
      <c r="O1117" t="s">
        <v>127</v>
      </c>
      <c r="P1117" t="s">
        <v>127</v>
      </c>
      <c r="Q1117" t="s">
        <v>127</v>
      </c>
    </row>
    <row r="1118" spans="1:17" x14ac:dyDescent="0.25">
      <c r="A1118" t="str">
        <f>IF(C1118&amp;G1118&amp;D1118&lt;&gt;'Funnel setup'!$K$3&amp;'Funnel setup'!$K$4&amp;'Funnel setup'!$K$6,".",IF(A1117=".",1,A1117+1))</f>
        <v>.</v>
      </c>
      <c r="B1118" s="244" t="str">
        <f t="shared" si="17"/>
        <v>Hip Replacement RevisionSub-ICB of GP PracticeNHS LANCASHIRE AND SOUTH CUMBRIA ICB - 01K (01K)EQ VAS</v>
      </c>
      <c r="C1118" t="s">
        <v>967</v>
      </c>
      <c r="D1118" t="s">
        <v>1021</v>
      </c>
      <c r="E1118" t="s">
        <v>857</v>
      </c>
      <c r="F1118" t="s">
        <v>858</v>
      </c>
      <c r="G1118" t="s">
        <v>752</v>
      </c>
      <c r="H1118">
        <v>8</v>
      </c>
      <c r="I1118">
        <v>59.5</v>
      </c>
      <c r="J1118">
        <v>79.375</v>
      </c>
      <c r="K1118">
        <v>19.875</v>
      </c>
      <c r="L1118">
        <v>6</v>
      </c>
      <c r="M1118">
        <v>0</v>
      </c>
      <c r="N1118">
        <v>2</v>
      </c>
      <c r="O1118" t="s">
        <v>127</v>
      </c>
      <c r="P1118" t="s">
        <v>127</v>
      </c>
      <c r="Q1118" t="s">
        <v>127</v>
      </c>
    </row>
    <row r="1119" spans="1:17" x14ac:dyDescent="0.25">
      <c r="A1119" t="str">
        <f>IF(C1119&amp;G1119&amp;D1119&lt;&gt;'Funnel setup'!$K$3&amp;'Funnel setup'!$K$4&amp;'Funnel setup'!$K$6,".",IF(A1118=".",1,A1118+1))</f>
        <v>.</v>
      </c>
      <c r="B1119" s="244" t="str">
        <f t="shared" si="17"/>
        <v>Hip Replacement RevisionSub-ICB of GP PracticeNHS LANCASHIRE AND SOUTH CUMBRIA ICB - 02G (02G)EQ VAS</v>
      </c>
      <c r="C1119" t="s">
        <v>967</v>
      </c>
      <c r="D1119" t="s">
        <v>1021</v>
      </c>
      <c r="E1119" t="s">
        <v>859</v>
      </c>
      <c r="F1119" t="s">
        <v>860</v>
      </c>
      <c r="G1119" t="s">
        <v>752</v>
      </c>
      <c r="H1119">
        <v>1</v>
      </c>
      <c r="I1119">
        <v>70</v>
      </c>
      <c r="J1119">
        <v>70</v>
      </c>
      <c r="K1119">
        <v>0</v>
      </c>
      <c r="L1119">
        <v>0</v>
      </c>
      <c r="M1119">
        <v>1</v>
      </c>
      <c r="N1119">
        <v>0</v>
      </c>
      <c r="O1119" t="s">
        <v>127</v>
      </c>
      <c r="P1119" t="s">
        <v>127</v>
      </c>
      <c r="Q1119" t="s">
        <v>127</v>
      </c>
    </row>
    <row r="1120" spans="1:17" x14ac:dyDescent="0.25">
      <c r="A1120" t="str">
        <f>IF(C1120&amp;G1120&amp;D1120&lt;&gt;'Funnel setup'!$K$3&amp;'Funnel setup'!$K$4&amp;'Funnel setup'!$K$6,".",IF(A1119=".",1,A1119+1))</f>
        <v>.</v>
      </c>
      <c r="B1120" s="244" t="str">
        <f t="shared" si="17"/>
        <v>Hip Replacement RevisionSub-ICB of GP PracticeNHS LANCASHIRE AND SOUTH CUMBRIA ICB - 02M (02M)EQ VAS</v>
      </c>
      <c r="C1120" t="s">
        <v>967</v>
      </c>
      <c r="D1120" t="s">
        <v>1021</v>
      </c>
      <c r="E1120" t="s">
        <v>861</v>
      </c>
      <c r="F1120" t="s">
        <v>862</v>
      </c>
      <c r="G1120" t="s">
        <v>752</v>
      </c>
      <c r="H1120">
        <v>4</v>
      </c>
      <c r="I1120">
        <v>55</v>
      </c>
      <c r="J1120">
        <v>62.5</v>
      </c>
      <c r="K1120">
        <v>7.5</v>
      </c>
      <c r="L1120">
        <v>3</v>
      </c>
      <c r="M1120">
        <v>0</v>
      </c>
      <c r="N1120">
        <v>1</v>
      </c>
      <c r="O1120" t="s">
        <v>127</v>
      </c>
      <c r="P1120" t="s">
        <v>127</v>
      </c>
      <c r="Q1120" t="s">
        <v>127</v>
      </c>
    </row>
    <row r="1121" spans="1:17" x14ac:dyDescent="0.25">
      <c r="A1121" t="str">
        <f>IF(C1121&amp;G1121&amp;D1121&lt;&gt;'Funnel setup'!$K$3&amp;'Funnel setup'!$K$4&amp;'Funnel setup'!$K$6,".",IF(A1120=".",1,A1120+1))</f>
        <v>.</v>
      </c>
      <c r="B1121" s="244" t="str">
        <f t="shared" si="17"/>
        <v>Hip Replacement RevisionSub-ICB of GP PracticeNHS LEICESTER, LEICESTERSHIRE AND RUTLAND ICB - 03W (03W)EQ VAS</v>
      </c>
      <c r="C1121" t="s">
        <v>967</v>
      </c>
      <c r="D1121" t="s">
        <v>1021</v>
      </c>
      <c r="E1121" t="s">
        <v>863</v>
      </c>
      <c r="F1121" t="s">
        <v>864</v>
      </c>
      <c r="G1121" t="s">
        <v>752</v>
      </c>
      <c r="H1121">
        <v>10</v>
      </c>
      <c r="I1121">
        <v>55.8</v>
      </c>
      <c r="J1121">
        <v>69.099999999999994</v>
      </c>
      <c r="K1121">
        <v>13.3</v>
      </c>
      <c r="L1121">
        <v>6</v>
      </c>
      <c r="M1121">
        <v>1</v>
      </c>
      <c r="N1121">
        <v>3</v>
      </c>
      <c r="O1121" t="s">
        <v>127</v>
      </c>
      <c r="P1121" t="s">
        <v>127</v>
      </c>
      <c r="Q1121" t="s">
        <v>127</v>
      </c>
    </row>
    <row r="1122" spans="1:17" x14ac:dyDescent="0.25">
      <c r="A1122" t="str">
        <f>IF(C1122&amp;G1122&amp;D1122&lt;&gt;'Funnel setup'!$K$3&amp;'Funnel setup'!$K$4&amp;'Funnel setup'!$K$6,".",IF(A1121=".",1,A1121+1))</f>
        <v>.</v>
      </c>
      <c r="B1122" s="244" t="str">
        <f t="shared" si="17"/>
        <v>Hip Replacement RevisionSub-ICB of GP PracticeNHS LEICESTER, LEICESTERSHIRE AND RUTLAND ICB - 04C (04C)EQ VAS</v>
      </c>
      <c r="C1122" t="s">
        <v>967</v>
      </c>
      <c r="D1122" t="s">
        <v>1021</v>
      </c>
      <c r="E1122" t="s">
        <v>865</v>
      </c>
      <c r="F1122" t="s">
        <v>866</v>
      </c>
      <c r="G1122" t="s">
        <v>752</v>
      </c>
      <c r="H1122" t="s">
        <v>127</v>
      </c>
      <c r="I1122" t="s">
        <v>127</v>
      </c>
      <c r="J1122" t="s">
        <v>127</v>
      </c>
      <c r="K1122" t="s">
        <v>127</v>
      </c>
      <c r="L1122" t="s">
        <v>127</v>
      </c>
      <c r="M1122" t="s">
        <v>127</v>
      </c>
      <c r="N1122" t="s">
        <v>127</v>
      </c>
      <c r="O1122" t="s">
        <v>127</v>
      </c>
      <c r="P1122" t="s">
        <v>127</v>
      </c>
      <c r="Q1122" t="s">
        <v>127</v>
      </c>
    </row>
    <row r="1123" spans="1:17" x14ac:dyDescent="0.25">
      <c r="A1123" t="str">
        <f>IF(C1123&amp;G1123&amp;D1123&lt;&gt;'Funnel setup'!$K$3&amp;'Funnel setup'!$K$4&amp;'Funnel setup'!$K$6,".",IF(A1122=".",1,A1122+1))</f>
        <v>.</v>
      </c>
      <c r="B1123" s="244" t="str">
        <f t="shared" si="17"/>
        <v>Hip Replacement RevisionSub-ICB of GP PracticeNHS LEICESTER, LEICESTERSHIRE AND RUTLAND ICB - 04V (04V)EQ VAS</v>
      </c>
      <c r="C1123" t="s">
        <v>967</v>
      </c>
      <c r="D1123" t="s">
        <v>1021</v>
      </c>
      <c r="E1123" t="s">
        <v>867</v>
      </c>
      <c r="F1123" t="s">
        <v>868</v>
      </c>
      <c r="G1123" t="s">
        <v>752</v>
      </c>
      <c r="H1123">
        <v>5</v>
      </c>
      <c r="I1123">
        <v>73</v>
      </c>
      <c r="J1123">
        <v>85</v>
      </c>
      <c r="K1123">
        <v>12</v>
      </c>
      <c r="L1123">
        <v>3</v>
      </c>
      <c r="M1123">
        <v>1</v>
      </c>
      <c r="N1123">
        <v>1</v>
      </c>
      <c r="O1123" t="s">
        <v>127</v>
      </c>
      <c r="P1123" t="s">
        <v>127</v>
      </c>
      <c r="Q1123" t="s">
        <v>127</v>
      </c>
    </row>
    <row r="1124" spans="1:17" x14ac:dyDescent="0.25">
      <c r="A1124" t="str">
        <f>IF(C1124&amp;G1124&amp;D1124&lt;&gt;'Funnel setup'!$K$3&amp;'Funnel setup'!$K$4&amp;'Funnel setup'!$K$6,".",IF(A1123=".",1,A1123+1))</f>
        <v>.</v>
      </c>
      <c r="B1124" s="244" t="str">
        <f t="shared" si="17"/>
        <v>Hip Replacement RevisionSub-ICB of GP PracticeNHS LINCOLNSHIRE ICB - 71E (71E)EQ VAS</v>
      </c>
      <c r="C1124" t="s">
        <v>967</v>
      </c>
      <c r="D1124" t="s">
        <v>1021</v>
      </c>
      <c r="E1124" t="s">
        <v>869</v>
      </c>
      <c r="F1124" t="s">
        <v>870</v>
      </c>
      <c r="G1124" t="s">
        <v>752</v>
      </c>
      <c r="H1124">
        <v>3</v>
      </c>
      <c r="I1124">
        <v>77.666700000000006</v>
      </c>
      <c r="J1124">
        <v>74.333299999999994</v>
      </c>
      <c r="K1124">
        <v>-3.3333300000000001</v>
      </c>
      <c r="L1124">
        <v>1</v>
      </c>
      <c r="M1124">
        <v>1</v>
      </c>
      <c r="N1124">
        <v>1</v>
      </c>
      <c r="O1124" t="s">
        <v>127</v>
      </c>
      <c r="P1124" t="s">
        <v>127</v>
      </c>
      <c r="Q1124" t="s">
        <v>127</v>
      </c>
    </row>
    <row r="1125" spans="1:17" x14ac:dyDescent="0.25">
      <c r="A1125" t="str">
        <f>IF(C1125&amp;G1125&amp;D1125&lt;&gt;'Funnel setup'!$K$3&amp;'Funnel setup'!$K$4&amp;'Funnel setup'!$K$6,".",IF(A1124=".",1,A1124+1))</f>
        <v>.</v>
      </c>
      <c r="B1125" s="244" t="str">
        <f t="shared" si="17"/>
        <v>Hip Replacement RevisionSub-ICB of GP PracticeNHS MID AND SOUTH ESSEX ICB - 06Q (06Q)EQ VAS</v>
      </c>
      <c r="C1125" t="s">
        <v>967</v>
      </c>
      <c r="D1125" t="s">
        <v>1021</v>
      </c>
      <c r="E1125" t="s">
        <v>871</v>
      </c>
      <c r="F1125" t="s">
        <v>872</v>
      </c>
      <c r="G1125" t="s">
        <v>752</v>
      </c>
      <c r="H1125">
        <v>3</v>
      </c>
      <c r="I1125">
        <v>50</v>
      </c>
      <c r="J1125">
        <v>71.666700000000006</v>
      </c>
      <c r="K1125">
        <v>21.666699999999999</v>
      </c>
      <c r="L1125">
        <v>2</v>
      </c>
      <c r="M1125">
        <v>1</v>
      </c>
      <c r="N1125">
        <v>0</v>
      </c>
      <c r="O1125" t="s">
        <v>127</v>
      </c>
      <c r="P1125" t="s">
        <v>127</v>
      </c>
      <c r="Q1125" t="s">
        <v>127</v>
      </c>
    </row>
    <row r="1126" spans="1:17" x14ac:dyDescent="0.25">
      <c r="A1126" t="str">
        <f>IF(C1126&amp;G1126&amp;D1126&lt;&gt;'Funnel setup'!$K$3&amp;'Funnel setup'!$K$4&amp;'Funnel setup'!$K$6,".",IF(A1125=".",1,A1125+1))</f>
        <v>.</v>
      </c>
      <c r="B1126" s="244" t="str">
        <f t="shared" si="17"/>
        <v>Hip Replacement RevisionSub-ICB of GP PracticeNHS MID AND SOUTH ESSEX ICB - 07G (07G)EQ VAS</v>
      </c>
      <c r="C1126" t="s">
        <v>967</v>
      </c>
      <c r="D1126" t="s">
        <v>1021</v>
      </c>
      <c r="E1126" t="s">
        <v>873</v>
      </c>
      <c r="F1126" t="s">
        <v>874</v>
      </c>
      <c r="G1126" t="s">
        <v>752</v>
      </c>
      <c r="H1126">
        <v>1</v>
      </c>
      <c r="I1126">
        <v>40</v>
      </c>
      <c r="J1126">
        <v>80</v>
      </c>
      <c r="K1126">
        <v>40</v>
      </c>
      <c r="L1126">
        <v>1</v>
      </c>
      <c r="M1126">
        <v>0</v>
      </c>
      <c r="N1126">
        <v>0</v>
      </c>
      <c r="O1126" t="s">
        <v>127</v>
      </c>
      <c r="P1126" t="s">
        <v>127</v>
      </c>
      <c r="Q1126" t="s">
        <v>127</v>
      </c>
    </row>
    <row r="1127" spans="1:17" x14ac:dyDescent="0.25">
      <c r="A1127" t="str">
        <f>IF(C1127&amp;G1127&amp;D1127&lt;&gt;'Funnel setup'!$K$3&amp;'Funnel setup'!$K$4&amp;'Funnel setup'!$K$6,".",IF(A1126=".",1,A1126+1))</f>
        <v>.</v>
      </c>
      <c r="B1127" s="244" t="str">
        <f t="shared" si="17"/>
        <v>Hip Replacement RevisionSub-ICB of GP PracticeNHS MID AND SOUTH ESSEX ICB - 99E (99E)EQ VAS</v>
      </c>
      <c r="C1127" t="s">
        <v>967</v>
      </c>
      <c r="D1127" t="s">
        <v>1021</v>
      </c>
      <c r="E1127" t="s">
        <v>875</v>
      </c>
      <c r="F1127" t="s">
        <v>876</v>
      </c>
      <c r="G1127" t="s">
        <v>752</v>
      </c>
      <c r="H1127">
        <v>4</v>
      </c>
      <c r="I1127">
        <v>47.5</v>
      </c>
      <c r="J1127">
        <v>76.25</v>
      </c>
      <c r="K1127">
        <v>28.75</v>
      </c>
      <c r="L1127">
        <v>4</v>
      </c>
      <c r="M1127">
        <v>0</v>
      </c>
      <c r="N1127">
        <v>0</v>
      </c>
      <c r="O1127" t="s">
        <v>127</v>
      </c>
      <c r="P1127" t="s">
        <v>127</v>
      </c>
      <c r="Q1127" t="s">
        <v>127</v>
      </c>
    </row>
    <row r="1128" spans="1:17" x14ac:dyDescent="0.25">
      <c r="A1128" t="str">
        <f>IF(C1128&amp;G1128&amp;D1128&lt;&gt;'Funnel setup'!$K$3&amp;'Funnel setup'!$K$4&amp;'Funnel setup'!$K$6,".",IF(A1127=".",1,A1127+1))</f>
        <v>.</v>
      </c>
      <c r="B1128" s="244" t="str">
        <f t="shared" si="17"/>
        <v>Hip Replacement RevisionSub-ICB of GP PracticeNHS MID AND SOUTH ESSEX ICB - 99F (99F)EQ VAS</v>
      </c>
      <c r="C1128" t="s">
        <v>967</v>
      </c>
      <c r="D1128" t="s">
        <v>1021</v>
      </c>
      <c r="E1128" t="s">
        <v>877</v>
      </c>
      <c r="F1128" t="s">
        <v>878</v>
      </c>
      <c r="G1128" t="s">
        <v>752</v>
      </c>
      <c r="H1128">
        <v>1</v>
      </c>
      <c r="I1128">
        <v>50</v>
      </c>
      <c r="J1128">
        <v>45</v>
      </c>
      <c r="K1128">
        <v>-5</v>
      </c>
      <c r="L1128">
        <v>0</v>
      </c>
      <c r="M1128">
        <v>0</v>
      </c>
      <c r="N1128">
        <v>1</v>
      </c>
      <c r="O1128" t="s">
        <v>127</v>
      </c>
      <c r="P1128" t="s">
        <v>127</v>
      </c>
      <c r="Q1128" t="s">
        <v>127</v>
      </c>
    </row>
    <row r="1129" spans="1:17" x14ac:dyDescent="0.25">
      <c r="A1129" t="str">
        <f>IF(C1129&amp;G1129&amp;D1129&lt;&gt;'Funnel setup'!$K$3&amp;'Funnel setup'!$K$4&amp;'Funnel setup'!$K$6,".",IF(A1128=".",1,A1128+1))</f>
        <v>.</v>
      </c>
      <c r="B1129" s="244" t="str">
        <f t="shared" si="17"/>
        <v>Hip Replacement RevisionSub-ICB of GP PracticeNHS NORFOLK AND WAVENEY ICB - 26A (26A)EQ VAS</v>
      </c>
      <c r="C1129" t="s">
        <v>967</v>
      </c>
      <c r="D1129" t="s">
        <v>1021</v>
      </c>
      <c r="E1129" t="s">
        <v>881</v>
      </c>
      <c r="F1129" t="s">
        <v>882</v>
      </c>
      <c r="G1129" t="s">
        <v>752</v>
      </c>
      <c r="H1129">
        <v>23</v>
      </c>
      <c r="I1129">
        <v>61.869599999999998</v>
      </c>
      <c r="J1129">
        <v>75.695700000000002</v>
      </c>
      <c r="K1129">
        <v>13.8261</v>
      </c>
      <c r="L1129">
        <v>17</v>
      </c>
      <c r="M1129">
        <v>0</v>
      </c>
      <c r="N1129">
        <v>6</v>
      </c>
      <c r="O1129" t="s">
        <v>127</v>
      </c>
      <c r="P1129" t="s">
        <v>127</v>
      </c>
      <c r="Q1129" t="s">
        <v>127</v>
      </c>
    </row>
    <row r="1130" spans="1:17" x14ac:dyDescent="0.25">
      <c r="A1130" t="str">
        <f>IF(C1130&amp;G1130&amp;D1130&lt;&gt;'Funnel setup'!$K$3&amp;'Funnel setup'!$K$4&amp;'Funnel setup'!$K$6,".",IF(A1129=".",1,A1129+1))</f>
        <v>.</v>
      </c>
      <c r="B1130" s="244" t="str">
        <f t="shared" si="17"/>
        <v>Hip Replacement RevisionSub-ICB of GP PracticeNHS NORTH CENTRAL LONDON ICB - 93C (93C)EQ VAS</v>
      </c>
      <c r="C1130" t="s">
        <v>967</v>
      </c>
      <c r="D1130" t="s">
        <v>1021</v>
      </c>
      <c r="E1130" t="s">
        <v>883</v>
      </c>
      <c r="F1130" t="s">
        <v>884</v>
      </c>
      <c r="G1130" t="s">
        <v>752</v>
      </c>
      <c r="H1130">
        <v>5</v>
      </c>
      <c r="I1130">
        <v>72</v>
      </c>
      <c r="J1130">
        <v>58.4</v>
      </c>
      <c r="K1130">
        <v>-13.6</v>
      </c>
      <c r="L1130">
        <v>1</v>
      </c>
      <c r="M1130">
        <v>0</v>
      </c>
      <c r="N1130">
        <v>4</v>
      </c>
      <c r="O1130" t="s">
        <v>127</v>
      </c>
      <c r="P1130" t="s">
        <v>127</v>
      </c>
      <c r="Q1130" t="s">
        <v>127</v>
      </c>
    </row>
    <row r="1131" spans="1:17" x14ac:dyDescent="0.25">
      <c r="A1131" t="str">
        <f>IF(C1131&amp;G1131&amp;D1131&lt;&gt;'Funnel setup'!$K$3&amp;'Funnel setup'!$K$4&amp;'Funnel setup'!$K$6,".",IF(A1130=".",1,A1130+1))</f>
        <v>.</v>
      </c>
      <c r="B1131" s="244" t="str">
        <f t="shared" si="17"/>
        <v>Hip Replacement RevisionSub-ICB of GP PracticeNHS NORTH EAST AND NORTH CUMBRIA ICB - 00L (00L)EQ VAS</v>
      </c>
      <c r="C1131" t="s">
        <v>967</v>
      </c>
      <c r="D1131" t="s">
        <v>1021</v>
      </c>
      <c r="E1131" t="s">
        <v>885</v>
      </c>
      <c r="F1131" t="s">
        <v>886</v>
      </c>
      <c r="G1131" t="s">
        <v>752</v>
      </c>
      <c r="H1131">
        <v>2</v>
      </c>
      <c r="I1131">
        <v>53</v>
      </c>
      <c r="J1131">
        <v>57.5</v>
      </c>
      <c r="K1131">
        <v>4.5</v>
      </c>
      <c r="L1131">
        <v>1</v>
      </c>
      <c r="M1131">
        <v>0</v>
      </c>
      <c r="N1131">
        <v>1</v>
      </c>
      <c r="O1131" t="s">
        <v>127</v>
      </c>
      <c r="P1131" t="s">
        <v>127</v>
      </c>
      <c r="Q1131" t="s">
        <v>127</v>
      </c>
    </row>
    <row r="1132" spans="1:17" x14ac:dyDescent="0.25">
      <c r="A1132" t="str">
        <f>IF(C1132&amp;G1132&amp;D1132&lt;&gt;'Funnel setup'!$K$3&amp;'Funnel setup'!$K$4&amp;'Funnel setup'!$K$6,".",IF(A1131=".",1,A1131+1))</f>
        <v>.</v>
      </c>
      <c r="B1132" s="244" t="str">
        <f t="shared" si="17"/>
        <v>Hip Replacement RevisionSub-ICB of GP PracticeNHS NORTH EAST AND NORTH CUMBRIA ICB - 00N (00N)EQ VAS</v>
      </c>
      <c r="C1132" t="s">
        <v>967</v>
      </c>
      <c r="D1132" t="s">
        <v>1021</v>
      </c>
      <c r="E1132" t="s">
        <v>887</v>
      </c>
      <c r="F1132" t="s">
        <v>888</v>
      </c>
      <c r="G1132" t="s">
        <v>752</v>
      </c>
      <c r="H1132">
        <v>1</v>
      </c>
      <c r="I1132">
        <v>0</v>
      </c>
      <c r="J1132">
        <v>30</v>
      </c>
      <c r="K1132">
        <v>30</v>
      </c>
      <c r="L1132">
        <v>1</v>
      </c>
      <c r="M1132">
        <v>0</v>
      </c>
      <c r="N1132">
        <v>0</v>
      </c>
      <c r="O1132" t="s">
        <v>127</v>
      </c>
      <c r="P1132" t="s">
        <v>127</v>
      </c>
      <c r="Q1132" t="s">
        <v>127</v>
      </c>
    </row>
    <row r="1133" spans="1:17" x14ac:dyDescent="0.25">
      <c r="A1133" t="str">
        <f>IF(C1133&amp;G1133&amp;D1133&lt;&gt;'Funnel setup'!$K$3&amp;'Funnel setup'!$K$4&amp;'Funnel setup'!$K$6,".",IF(A1132=".",1,A1132+1))</f>
        <v>.</v>
      </c>
      <c r="B1133" s="244" t="str">
        <f t="shared" si="17"/>
        <v>Hip Replacement RevisionSub-ICB of GP PracticeNHS NORTH EAST AND NORTH CUMBRIA ICB - 00P (00P)EQ VAS</v>
      </c>
      <c r="C1133" t="s">
        <v>967</v>
      </c>
      <c r="D1133" t="s">
        <v>1021</v>
      </c>
      <c r="E1133" t="s">
        <v>889</v>
      </c>
      <c r="F1133" t="s">
        <v>890</v>
      </c>
      <c r="G1133" t="s">
        <v>752</v>
      </c>
      <c r="H1133">
        <v>2</v>
      </c>
      <c r="I1133">
        <v>49</v>
      </c>
      <c r="J1133">
        <v>75</v>
      </c>
      <c r="K1133">
        <v>26</v>
      </c>
      <c r="L1133">
        <v>2</v>
      </c>
      <c r="M1133">
        <v>0</v>
      </c>
      <c r="N1133">
        <v>0</v>
      </c>
      <c r="O1133" t="s">
        <v>127</v>
      </c>
      <c r="P1133" t="s">
        <v>127</v>
      </c>
      <c r="Q1133" t="s">
        <v>127</v>
      </c>
    </row>
    <row r="1134" spans="1:17" x14ac:dyDescent="0.25">
      <c r="A1134" t="str">
        <f>IF(C1134&amp;G1134&amp;D1134&lt;&gt;'Funnel setup'!$K$3&amp;'Funnel setup'!$K$4&amp;'Funnel setup'!$K$6,".",IF(A1133=".",1,A1133+1))</f>
        <v>.</v>
      </c>
      <c r="B1134" s="244" t="str">
        <f t="shared" si="17"/>
        <v>Hip Replacement RevisionSub-ICB of GP PracticeNHS NORTH EAST AND NORTH CUMBRIA ICB - 01H (01H)EQ VAS</v>
      </c>
      <c r="C1134" t="s">
        <v>967</v>
      </c>
      <c r="D1134" t="s">
        <v>1021</v>
      </c>
      <c r="E1134" t="s">
        <v>891</v>
      </c>
      <c r="F1134" t="s">
        <v>892</v>
      </c>
      <c r="G1134" t="s">
        <v>752</v>
      </c>
      <c r="H1134">
        <v>9</v>
      </c>
      <c r="I1134">
        <v>73.222200000000001</v>
      </c>
      <c r="J1134">
        <v>77.111099999999993</v>
      </c>
      <c r="K1134">
        <v>3.88889</v>
      </c>
      <c r="L1134">
        <v>5</v>
      </c>
      <c r="M1134">
        <v>1</v>
      </c>
      <c r="N1134">
        <v>3</v>
      </c>
      <c r="O1134" t="s">
        <v>127</v>
      </c>
      <c r="P1134" t="s">
        <v>127</v>
      </c>
      <c r="Q1134" t="s">
        <v>127</v>
      </c>
    </row>
    <row r="1135" spans="1:17" x14ac:dyDescent="0.25">
      <c r="A1135" t="str">
        <f>IF(C1135&amp;G1135&amp;D1135&lt;&gt;'Funnel setup'!$K$3&amp;'Funnel setup'!$K$4&amp;'Funnel setup'!$K$6,".",IF(A1134=".",1,A1134+1))</f>
        <v>.</v>
      </c>
      <c r="B1135" s="244" t="str">
        <f t="shared" si="17"/>
        <v>Hip Replacement RevisionSub-ICB of GP PracticeNHS NORTH EAST AND NORTH CUMBRIA ICB - 13T (13T)EQ VAS</v>
      </c>
      <c r="C1135" t="s">
        <v>967</v>
      </c>
      <c r="D1135" t="s">
        <v>1021</v>
      </c>
      <c r="E1135" t="s">
        <v>893</v>
      </c>
      <c r="F1135" t="s">
        <v>894</v>
      </c>
      <c r="G1135" t="s">
        <v>752</v>
      </c>
      <c r="H1135">
        <v>3</v>
      </c>
      <c r="I1135">
        <v>61.666699999999999</v>
      </c>
      <c r="J1135">
        <v>46.666699999999999</v>
      </c>
      <c r="K1135">
        <v>-15</v>
      </c>
      <c r="L1135">
        <v>1</v>
      </c>
      <c r="M1135">
        <v>0</v>
      </c>
      <c r="N1135">
        <v>2</v>
      </c>
      <c r="O1135" t="s">
        <v>127</v>
      </c>
      <c r="P1135" t="s">
        <v>127</v>
      </c>
      <c r="Q1135" t="s">
        <v>127</v>
      </c>
    </row>
    <row r="1136" spans="1:17" x14ac:dyDescent="0.25">
      <c r="A1136" t="str">
        <f>IF(C1136&amp;G1136&amp;D1136&lt;&gt;'Funnel setup'!$K$3&amp;'Funnel setup'!$K$4&amp;'Funnel setup'!$K$6,".",IF(A1135=".",1,A1135+1))</f>
        <v>.</v>
      </c>
      <c r="B1136" s="244" t="str">
        <f t="shared" si="17"/>
        <v>Hip Replacement RevisionSub-ICB of GP PracticeNHS NORTH EAST AND NORTH CUMBRIA ICB - 16C (16C)EQ VAS</v>
      </c>
      <c r="C1136" t="s">
        <v>967</v>
      </c>
      <c r="D1136" t="s">
        <v>1021</v>
      </c>
      <c r="E1136" t="s">
        <v>895</v>
      </c>
      <c r="F1136" t="s">
        <v>896</v>
      </c>
      <c r="G1136" t="s">
        <v>752</v>
      </c>
      <c r="H1136">
        <v>13</v>
      </c>
      <c r="I1136">
        <v>64.076899999999995</v>
      </c>
      <c r="J1136">
        <v>59.153799999999997</v>
      </c>
      <c r="K1136">
        <v>-4.9230799999999997</v>
      </c>
      <c r="L1136">
        <v>5</v>
      </c>
      <c r="M1136">
        <v>1</v>
      </c>
      <c r="N1136">
        <v>7</v>
      </c>
      <c r="O1136" t="s">
        <v>127</v>
      </c>
      <c r="P1136" t="s">
        <v>127</v>
      </c>
      <c r="Q1136" t="s">
        <v>127</v>
      </c>
    </row>
    <row r="1137" spans="1:17" x14ac:dyDescent="0.25">
      <c r="A1137" t="str">
        <f>IF(C1137&amp;G1137&amp;D1137&lt;&gt;'Funnel setup'!$K$3&amp;'Funnel setup'!$K$4&amp;'Funnel setup'!$K$6,".",IF(A1136=".",1,A1136+1))</f>
        <v>.</v>
      </c>
      <c r="B1137" s="244" t="str">
        <f t="shared" si="17"/>
        <v>Hip Replacement RevisionSub-ICB of GP PracticeNHS NORTH EAST AND NORTH CUMBRIA ICB - 84H (84H)EQ VAS</v>
      </c>
      <c r="C1137" t="s">
        <v>967</v>
      </c>
      <c r="D1137" t="s">
        <v>1021</v>
      </c>
      <c r="E1137" t="s">
        <v>897</v>
      </c>
      <c r="F1137" t="s">
        <v>898</v>
      </c>
      <c r="G1137" t="s">
        <v>752</v>
      </c>
      <c r="H1137">
        <v>2</v>
      </c>
      <c r="I1137">
        <v>55</v>
      </c>
      <c r="J1137">
        <v>45</v>
      </c>
      <c r="K1137">
        <v>-10</v>
      </c>
      <c r="L1137">
        <v>1</v>
      </c>
      <c r="M1137">
        <v>0</v>
      </c>
      <c r="N1137">
        <v>1</v>
      </c>
      <c r="O1137" t="s">
        <v>127</v>
      </c>
      <c r="P1137" t="s">
        <v>127</v>
      </c>
      <c r="Q1137" t="s">
        <v>127</v>
      </c>
    </row>
    <row r="1138" spans="1:17" x14ac:dyDescent="0.25">
      <c r="A1138" t="str">
        <f>IF(C1138&amp;G1138&amp;D1138&lt;&gt;'Funnel setup'!$K$3&amp;'Funnel setup'!$K$4&amp;'Funnel setup'!$K$6,".",IF(A1137=".",1,A1137+1))</f>
        <v>.</v>
      </c>
      <c r="B1138" s="244" t="str">
        <f t="shared" si="17"/>
        <v>Hip Replacement RevisionSub-ICB of GP PracticeNHS NORTH EAST AND NORTH CUMBRIA ICB - 99C (99C)EQ VAS</v>
      </c>
      <c r="C1138" t="s">
        <v>967</v>
      </c>
      <c r="D1138" t="s">
        <v>1021</v>
      </c>
      <c r="E1138" t="s">
        <v>899</v>
      </c>
      <c r="F1138" t="s">
        <v>900</v>
      </c>
      <c r="G1138" t="s">
        <v>752</v>
      </c>
      <c r="H1138">
        <v>4</v>
      </c>
      <c r="I1138">
        <v>63.75</v>
      </c>
      <c r="J1138">
        <v>76.25</v>
      </c>
      <c r="K1138">
        <v>12.5</v>
      </c>
      <c r="L1138">
        <v>2</v>
      </c>
      <c r="M1138">
        <v>1</v>
      </c>
      <c r="N1138">
        <v>1</v>
      </c>
      <c r="O1138" t="s">
        <v>127</v>
      </c>
      <c r="P1138" t="s">
        <v>127</v>
      </c>
      <c r="Q1138" t="s">
        <v>127</v>
      </c>
    </row>
    <row r="1139" spans="1:17" x14ac:dyDescent="0.25">
      <c r="A1139" t="str">
        <f>IF(C1139&amp;G1139&amp;D1139&lt;&gt;'Funnel setup'!$K$3&amp;'Funnel setup'!$K$4&amp;'Funnel setup'!$K$6,".",IF(A1138=".",1,A1138+1))</f>
        <v>.</v>
      </c>
      <c r="B1139" s="244" t="str">
        <f t="shared" si="17"/>
        <v>Hip Replacement RevisionSub-ICB of GP PracticeNHS NORTH EAST LONDON ICB - A3A8R (A3A8R)EQ VAS</v>
      </c>
      <c r="C1139" t="s">
        <v>967</v>
      </c>
      <c r="D1139" t="s">
        <v>1021</v>
      </c>
      <c r="E1139" t="s">
        <v>901</v>
      </c>
      <c r="F1139" t="s">
        <v>902</v>
      </c>
      <c r="G1139" t="s">
        <v>752</v>
      </c>
      <c r="H1139">
        <v>7</v>
      </c>
      <c r="I1139">
        <v>59.285699999999999</v>
      </c>
      <c r="J1139">
        <v>68</v>
      </c>
      <c r="K1139">
        <v>8.7142900000000001</v>
      </c>
      <c r="L1139">
        <v>5</v>
      </c>
      <c r="M1139">
        <v>0</v>
      </c>
      <c r="N1139">
        <v>2</v>
      </c>
      <c r="O1139" t="s">
        <v>127</v>
      </c>
      <c r="P1139" t="s">
        <v>127</v>
      </c>
      <c r="Q1139" t="s">
        <v>127</v>
      </c>
    </row>
    <row r="1140" spans="1:17" x14ac:dyDescent="0.25">
      <c r="A1140" t="str">
        <f>IF(C1140&amp;G1140&amp;D1140&lt;&gt;'Funnel setup'!$K$3&amp;'Funnel setup'!$K$4&amp;'Funnel setup'!$K$6,".",IF(A1139=".",1,A1139+1))</f>
        <v>.</v>
      </c>
      <c r="B1140" s="244" t="str">
        <f t="shared" si="17"/>
        <v>Hip Replacement RevisionSub-ICB of GP PracticeNHS NORTH WEST LONDON ICB - W2U3Z (W2U3Z)EQ VAS</v>
      </c>
      <c r="C1140" t="s">
        <v>967</v>
      </c>
      <c r="D1140" t="s">
        <v>1021</v>
      </c>
      <c r="E1140" t="s">
        <v>903</v>
      </c>
      <c r="F1140" t="s">
        <v>904</v>
      </c>
      <c r="G1140" t="s">
        <v>752</v>
      </c>
      <c r="H1140">
        <v>5</v>
      </c>
      <c r="I1140">
        <v>67</v>
      </c>
      <c r="J1140">
        <v>63</v>
      </c>
      <c r="K1140">
        <v>-4</v>
      </c>
      <c r="L1140">
        <v>2</v>
      </c>
      <c r="M1140">
        <v>1</v>
      </c>
      <c r="N1140">
        <v>2</v>
      </c>
      <c r="O1140" t="s">
        <v>127</v>
      </c>
      <c r="P1140" t="s">
        <v>127</v>
      </c>
      <c r="Q1140" t="s">
        <v>127</v>
      </c>
    </row>
    <row r="1141" spans="1:17" x14ac:dyDescent="0.25">
      <c r="A1141" t="str">
        <f>IF(C1141&amp;G1141&amp;D1141&lt;&gt;'Funnel setup'!$K$3&amp;'Funnel setup'!$K$4&amp;'Funnel setup'!$K$6,".",IF(A1140=".",1,A1140+1))</f>
        <v>.</v>
      </c>
      <c r="B1141" s="244" t="str">
        <f t="shared" si="17"/>
        <v>Hip Replacement RevisionSub-ICB of GP PracticeNHS NORTHAMPTONSHIRE ICB - 78H (78H)EQ VAS</v>
      </c>
      <c r="C1141" t="s">
        <v>967</v>
      </c>
      <c r="D1141" t="s">
        <v>1021</v>
      </c>
      <c r="E1141" t="s">
        <v>905</v>
      </c>
      <c r="F1141" t="s">
        <v>906</v>
      </c>
      <c r="G1141" t="s">
        <v>752</v>
      </c>
      <c r="H1141">
        <v>15</v>
      </c>
      <c r="I1141">
        <v>51.933300000000003</v>
      </c>
      <c r="J1141">
        <v>75.666700000000006</v>
      </c>
      <c r="K1141">
        <v>23.7333</v>
      </c>
      <c r="L1141">
        <v>12</v>
      </c>
      <c r="M1141">
        <v>1</v>
      </c>
      <c r="N1141">
        <v>2</v>
      </c>
      <c r="O1141" t="s">
        <v>127</v>
      </c>
      <c r="P1141" t="s">
        <v>127</v>
      </c>
      <c r="Q1141" t="s">
        <v>127</v>
      </c>
    </row>
    <row r="1142" spans="1:17" x14ac:dyDescent="0.25">
      <c r="A1142" t="str">
        <f>IF(C1142&amp;G1142&amp;D1142&lt;&gt;'Funnel setup'!$K$3&amp;'Funnel setup'!$K$4&amp;'Funnel setup'!$K$6,".",IF(A1141=".",1,A1141+1))</f>
        <v>.</v>
      </c>
      <c r="B1142" s="244" t="str">
        <f t="shared" si="17"/>
        <v>Hip Replacement RevisionSub-ICB of GP PracticeNHS NOTTINGHAM AND NOTTINGHAMSHIRE ICB - 02Q (02Q)EQ VAS</v>
      </c>
      <c r="C1142" t="s">
        <v>967</v>
      </c>
      <c r="D1142" t="s">
        <v>1021</v>
      </c>
      <c r="E1142" t="s">
        <v>907</v>
      </c>
      <c r="F1142" t="s">
        <v>908</v>
      </c>
      <c r="G1142" t="s">
        <v>752</v>
      </c>
      <c r="H1142">
        <v>1</v>
      </c>
      <c r="I1142">
        <v>70</v>
      </c>
      <c r="J1142">
        <v>63</v>
      </c>
      <c r="K1142">
        <v>-7</v>
      </c>
      <c r="L1142">
        <v>0</v>
      </c>
      <c r="M1142">
        <v>0</v>
      </c>
      <c r="N1142">
        <v>1</v>
      </c>
      <c r="O1142" t="s">
        <v>127</v>
      </c>
      <c r="P1142" t="s">
        <v>127</v>
      </c>
      <c r="Q1142" t="s">
        <v>127</v>
      </c>
    </row>
    <row r="1143" spans="1:17" x14ac:dyDescent="0.25">
      <c r="A1143" t="str">
        <f>IF(C1143&amp;G1143&amp;D1143&lt;&gt;'Funnel setup'!$K$3&amp;'Funnel setup'!$K$4&amp;'Funnel setup'!$K$6,".",IF(A1142=".",1,A1142+1))</f>
        <v>.</v>
      </c>
      <c r="B1143" s="244" t="str">
        <f t="shared" si="17"/>
        <v>Hip Replacement RevisionSub-ICB of GP PracticeNHS SHROPSHIRE, TELFORD AND WREKIN ICB - M2L0M (M2L0M)EQ VAS</v>
      </c>
      <c r="C1143" t="s">
        <v>967</v>
      </c>
      <c r="D1143" t="s">
        <v>1021</v>
      </c>
      <c r="E1143" t="s">
        <v>911</v>
      </c>
      <c r="F1143" t="s">
        <v>912</v>
      </c>
      <c r="G1143" t="s">
        <v>752</v>
      </c>
      <c r="H1143">
        <v>11</v>
      </c>
      <c r="I1143">
        <v>55</v>
      </c>
      <c r="J1143">
        <v>75</v>
      </c>
      <c r="K1143">
        <v>20</v>
      </c>
      <c r="L1143">
        <v>7</v>
      </c>
      <c r="M1143">
        <v>0</v>
      </c>
      <c r="N1143">
        <v>4</v>
      </c>
      <c r="O1143" t="s">
        <v>127</v>
      </c>
      <c r="P1143" t="s">
        <v>127</v>
      </c>
      <c r="Q1143" t="s">
        <v>127</v>
      </c>
    </row>
    <row r="1144" spans="1:17" x14ac:dyDescent="0.25">
      <c r="A1144" t="str">
        <f>IF(C1144&amp;G1144&amp;D1144&lt;&gt;'Funnel setup'!$K$3&amp;'Funnel setup'!$K$4&amp;'Funnel setup'!$K$6,".",IF(A1143=".",1,A1143+1))</f>
        <v>.</v>
      </c>
      <c r="B1144" s="244" t="str">
        <f t="shared" si="17"/>
        <v>Hip Replacement RevisionSub-ICB of GP PracticeNHS SOMERSET ICB - 11X (11X)EQ VAS</v>
      </c>
      <c r="C1144" t="s">
        <v>967</v>
      </c>
      <c r="D1144" t="s">
        <v>1021</v>
      </c>
      <c r="E1144" t="s">
        <v>913</v>
      </c>
      <c r="F1144" t="s">
        <v>914</v>
      </c>
      <c r="G1144" t="s">
        <v>752</v>
      </c>
      <c r="H1144">
        <v>4</v>
      </c>
      <c r="I1144">
        <v>63</v>
      </c>
      <c r="J1144">
        <v>62.25</v>
      </c>
      <c r="K1144">
        <v>-0.75</v>
      </c>
      <c r="L1144">
        <v>3</v>
      </c>
      <c r="M1144">
        <v>0</v>
      </c>
      <c r="N1144">
        <v>1</v>
      </c>
      <c r="O1144" t="s">
        <v>127</v>
      </c>
      <c r="P1144" t="s">
        <v>127</v>
      </c>
      <c r="Q1144" t="s">
        <v>127</v>
      </c>
    </row>
    <row r="1145" spans="1:17" x14ac:dyDescent="0.25">
      <c r="A1145" t="str">
        <f>IF(C1145&amp;G1145&amp;D1145&lt;&gt;'Funnel setup'!$K$3&amp;'Funnel setup'!$K$4&amp;'Funnel setup'!$K$6,".",IF(A1144=".",1,A1144+1))</f>
        <v>.</v>
      </c>
      <c r="B1145" s="244" t="str">
        <f t="shared" si="17"/>
        <v>Hip Replacement RevisionSub-ICB of GP PracticeNHS SOUTH EAST LONDON ICB - 72Q (72Q)EQ VAS</v>
      </c>
      <c r="C1145" t="s">
        <v>967</v>
      </c>
      <c r="D1145" t="s">
        <v>1021</v>
      </c>
      <c r="E1145" t="s">
        <v>915</v>
      </c>
      <c r="F1145" t="s">
        <v>916</v>
      </c>
      <c r="G1145" t="s">
        <v>752</v>
      </c>
      <c r="H1145">
        <v>9</v>
      </c>
      <c r="I1145">
        <v>60.666699999999999</v>
      </c>
      <c r="J1145">
        <v>56.222200000000001</v>
      </c>
      <c r="K1145">
        <v>-4.4444400000000002</v>
      </c>
      <c r="L1145">
        <v>5</v>
      </c>
      <c r="M1145">
        <v>0</v>
      </c>
      <c r="N1145">
        <v>4</v>
      </c>
      <c r="O1145" t="s">
        <v>127</v>
      </c>
      <c r="P1145" t="s">
        <v>127</v>
      </c>
      <c r="Q1145" t="s">
        <v>127</v>
      </c>
    </row>
    <row r="1146" spans="1:17" x14ac:dyDescent="0.25">
      <c r="A1146" t="str">
        <f>IF(C1146&amp;G1146&amp;D1146&lt;&gt;'Funnel setup'!$K$3&amp;'Funnel setup'!$K$4&amp;'Funnel setup'!$K$6,".",IF(A1145=".",1,A1145+1))</f>
        <v>.</v>
      </c>
      <c r="B1146" s="244" t="str">
        <f t="shared" si="17"/>
        <v>Hip Replacement RevisionSub-ICB of GP PracticeNHS SOUTH WEST LONDON ICB - 36L (36L)EQ VAS</v>
      </c>
      <c r="C1146" t="s">
        <v>967</v>
      </c>
      <c r="D1146" t="s">
        <v>1021</v>
      </c>
      <c r="E1146" t="s">
        <v>917</v>
      </c>
      <c r="F1146" t="s">
        <v>918</v>
      </c>
      <c r="G1146" t="s">
        <v>752</v>
      </c>
      <c r="H1146">
        <v>18</v>
      </c>
      <c r="I1146">
        <v>55.833300000000001</v>
      </c>
      <c r="J1146">
        <v>69.111099999999993</v>
      </c>
      <c r="K1146">
        <v>13.277799999999999</v>
      </c>
      <c r="L1146">
        <v>13</v>
      </c>
      <c r="M1146">
        <v>2</v>
      </c>
      <c r="N1146">
        <v>3</v>
      </c>
      <c r="O1146" t="s">
        <v>127</v>
      </c>
      <c r="P1146" t="s">
        <v>127</v>
      </c>
      <c r="Q1146" t="s">
        <v>127</v>
      </c>
    </row>
    <row r="1147" spans="1:17" x14ac:dyDescent="0.25">
      <c r="A1147" t="str">
        <f>IF(C1147&amp;G1147&amp;D1147&lt;&gt;'Funnel setup'!$K$3&amp;'Funnel setup'!$K$4&amp;'Funnel setup'!$K$6,".",IF(A1146=".",1,A1146+1))</f>
        <v>.</v>
      </c>
      <c r="B1147" s="244" t="str">
        <f t="shared" si="17"/>
        <v>Hip Replacement RevisionSub-ICB of GP PracticeNHS SOUTH YORKSHIRE ICB - 02X (02X)EQ VAS</v>
      </c>
      <c r="C1147" t="s">
        <v>967</v>
      </c>
      <c r="D1147" t="s">
        <v>1021</v>
      </c>
      <c r="E1147" t="s">
        <v>921</v>
      </c>
      <c r="F1147" t="s">
        <v>922</v>
      </c>
      <c r="G1147" t="s">
        <v>752</v>
      </c>
      <c r="H1147">
        <v>3</v>
      </c>
      <c r="I1147">
        <v>41.666699999999999</v>
      </c>
      <c r="J1147">
        <v>45</v>
      </c>
      <c r="K1147">
        <v>3.3333300000000001</v>
      </c>
      <c r="L1147">
        <v>2</v>
      </c>
      <c r="M1147">
        <v>0</v>
      </c>
      <c r="N1147">
        <v>1</v>
      </c>
      <c r="O1147" t="s">
        <v>127</v>
      </c>
      <c r="P1147" t="s">
        <v>127</v>
      </c>
      <c r="Q1147" t="s">
        <v>127</v>
      </c>
    </row>
    <row r="1148" spans="1:17" x14ac:dyDescent="0.25">
      <c r="A1148" t="str">
        <f>IF(C1148&amp;G1148&amp;D1148&lt;&gt;'Funnel setup'!$K$3&amp;'Funnel setup'!$K$4&amp;'Funnel setup'!$K$6,".",IF(A1147=".",1,A1147+1))</f>
        <v>.</v>
      </c>
      <c r="B1148" s="244" t="str">
        <f t="shared" si="17"/>
        <v>Hip Replacement RevisionSub-ICB of GP PracticeNHS SOUTH YORKSHIRE ICB - 03L (03L)EQ VAS</v>
      </c>
      <c r="C1148" t="s">
        <v>967</v>
      </c>
      <c r="D1148" t="s">
        <v>1021</v>
      </c>
      <c r="E1148" t="s">
        <v>923</v>
      </c>
      <c r="F1148" t="s">
        <v>924</v>
      </c>
      <c r="G1148" t="s">
        <v>752</v>
      </c>
      <c r="H1148">
        <v>1</v>
      </c>
      <c r="I1148">
        <v>30</v>
      </c>
      <c r="J1148">
        <v>25</v>
      </c>
      <c r="K1148">
        <v>-5</v>
      </c>
      <c r="L1148">
        <v>0</v>
      </c>
      <c r="M1148">
        <v>0</v>
      </c>
      <c r="N1148">
        <v>1</v>
      </c>
      <c r="O1148" t="s">
        <v>127</v>
      </c>
      <c r="P1148" t="s">
        <v>127</v>
      </c>
      <c r="Q1148" t="s">
        <v>127</v>
      </c>
    </row>
    <row r="1149" spans="1:17" x14ac:dyDescent="0.25">
      <c r="A1149" t="str">
        <f>IF(C1149&amp;G1149&amp;D1149&lt;&gt;'Funnel setup'!$K$3&amp;'Funnel setup'!$K$4&amp;'Funnel setup'!$K$6,".",IF(A1148=".",1,A1148+1))</f>
        <v>.</v>
      </c>
      <c r="B1149" s="244" t="str">
        <f t="shared" si="17"/>
        <v>Hip Replacement RevisionSub-ICB of GP PracticeNHS SOUTH YORKSHIRE ICB - 03N (03N)EQ VAS</v>
      </c>
      <c r="C1149" t="s">
        <v>967</v>
      </c>
      <c r="D1149" t="s">
        <v>1021</v>
      </c>
      <c r="E1149" t="s">
        <v>925</v>
      </c>
      <c r="F1149" t="s">
        <v>926</v>
      </c>
      <c r="G1149" t="s">
        <v>752</v>
      </c>
      <c r="H1149">
        <v>1</v>
      </c>
      <c r="I1149">
        <v>45</v>
      </c>
      <c r="J1149">
        <v>65</v>
      </c>
      <c r="K1149">
        <v>20</v>
      </c>
      <c r="L1149">
        <v>1</v>
      </c>
      <c r="M1149">
        <v>0</v>
      </c>
      <c r="N1149">
        <v>0</v>
      </c>
      <c r="O1149" t="s">
        <v>127</v>
      </c>
      <c r="P1149" t="s">
        <v>127</v>
      </c>
      <c r="Q1149" t="s">
        <v>127</v>
      </c>
    </row>
    <row r="1150" spans="1:17" x14ac:dyDescent="0.25">
      <c r="A1150" t="str">
        <f>IF(C1150&amp;G1150&amp;D1150&lt;&gt;'Funnel setup'!$K$3&amp;'Funnel setup'!$K$4&amp;'Funnel setup'!$K$6,".",IF(A1149=".",1,A1149+1))</f>
        <v>.</v>
      </c>
      <c r="B1150" s="244" t="str">
        <f t="shared" si="17"/>
        <v>Hip Replacement RevisionSub-ICB of GP PracticeNHS STAFFORDSHIRE AND STOKE-ON-TRENT ICB - 04Y (04Y)EQ VAS</v>
      </c>
      <c r="C1150" t="s">
        <v>967</v>
      </c>
      <c r="D1150" t="s">
        <v>1021</v>
      </c>
      <c r="E1150" t="s">
        <v>927</v>
      </c>
      <c r="F1150" t="s">
        <v>928</v>
      </c>
      <c r="G1150" t="s">
        <v>752</v>
      </c>
      <c r="H1150">
        <v>2</v>
      </c>
      <c r="I1150">
        <v>57.5</v>
      </c>
      <c r="J1150">
        <v>81</v>
      </c>
      <c r="K1150">
        <v>23.5</v>
      </c>
      <c r="L1150">
        <v>1</v>
      </c>
      <c r="M1150">
        <v>0</v>
      </c>
      <c r="N1150">
        <v>1</v>
      </c>
      <c r="O1150" t="s">
        <v>127</v>
      </c>
      <c r="P1150" t="s">
        <v>127</v>
      </c>
      <c r="Q1150" t="s">
        <v>127</v>
      </c>
    </row>
    <row r="1151" spans="1:17" x14ac:dyDescent="0.25">
      <c r="A1151" t="str">
        <f>IF(C1151&amp;G1151&amp;D1151&lt;&gt;'Funnel setup'!$K$3&amp;'Funnel setup'!$K$4&amp;'Funnel setup'!$K$6,".",IF(A1150=".",1,A1150+1))</f>
        <v>.</v>
      </c>
      <c r="B1151" s="244" t="str">
        <f t="shared" si="17"/>
        <v>Hip Replacement RevisionSub-ICB of GP PracticeNHS STAFFORDSHIRE AND STOKE-ON-TRENT ICB - 05D (05D)EQ VAS</v>
      </c>
      <c r="C1151" t="s">
        <v>967</v>
      </c>
      <c r="D1151" t="s">
        <v>1021</v>
      </c>
      <c r="E1151" t="s">
        <v>929</v>
      </c>
      <c r="F1151" t="s">
        <v>930</v>
      </c>
      <c r="G1151" t="s">
        <v>752</v>
      </c>
      <c r="H1151" t="s">
        <v>127</v>
      </c>
      <c r="I1151" t="s">
        <v>127</v>
      </c>
      <c r="J1151" t="s">
        <v>127</v>
      </c>
      <c r="K1151" t="s">
        <v>127</v>
      </c>
      <c r="L1151" t="s">
        <v>127</v>
      </c>
      <c r="M1151" t="s">
        <v>127</v>
      </c>
      <c r="N1151" t="s">
        <v>127</v>
      </c>
      <c r="O1151" t="s">
        <v>127</v>
      </c>
      <c r="P1151" t="s">
        <v>127</v>
      </c>
      <c r="Q1151" t="s">
        <v>127</v>
      </c>
    </row>
    <row r="1152" spans="1:17" x14ac:dyDescent="0.25">
      <c r="A1152" t="str">
        <f>IF(C1152&amp;G1152&amp;D1152&lt;&gt;'Funnel setup'!$K$3&amp;'Funnel setup'!$K$4&amp;'Funnel setup'!$K$6,".",IF(A1151=".",1,A1151+1))</f>
        <v>.</v>
      </c>
      <c r="B1152" s="244" t="str">
        <f t="shared" si="17"/>
        <v>Hip Replacement RevisionSub-ICB of GP PracticeNHS STAFFORDSHIRE AND STOKE-ON-TRENT ICB - 05Q (05Q)EQ VAS</v>
      </c>
      <c r="C1152" t="s">
        <v>967</v>
      </c>
      <c r="D1152" t="s">
        <v>1021</v>
      </c>
      <c r="E1152" t="s">
        <v>933</v>
      </c>
      <c r="F1152" t="s">
        <v>934</v>
      </c>
      <c r="G1152" t="s">
        <v>752</v>
      </c>
      <c r="H1152">
        <v>4</v>
      </c>
      <c r="I1152">
        <v>72.5</v>
      </c>
      <c r="J1152">
        <v>73.75</v>
      </c>
      <c r="K1152">
        <v>1.25</v>
      </c>
      <c r="L1152">
        <v>2</v>
      </c>
      <c r="M1152">
        <v>1</v>
      </c>
      <c r="N1152">
        <v>1</v>
      </c>
      <c r="O1152" t="s">
        <v>127</v>
      </c>
      <c r="P1152" t="s">
        <v>127</v>
      </c>
      <c r="Q1152" t="s">
        <v>127</v>
      </c>
    </row>
    <row r="1153" spans="1:17" x14ac:dyDescent="0.25">
      <c r="A1153" t="str">
        <f>IF(C1153&amp;G1153&amp;D1153&lt;&gt;'Funnel setup'!$K$3&amp;'Funnel setup'!$K$4&amp;'Funnel setup'!$K$6,".",IF(A1152=".",1,A1152+1))</f>
        <v>.</v>
      </c>
      <c r="B1153" s="244" t="str">
        <f t="shared" si="17"/>
        <v>Hip Replacement RevisionSub-ICB of GP PracticeNHS STAFFORDSHIRE AND STOKE-ON-TRENT ICB - 05V (05V)EQ VAS</v>
      </c>
      <c r="C1153" t="s">
        <v>967</v>
      </c>
      <c r="D1153" t="s">
        <v>1021</v>
      </c>
      <c r="E1153" t="s">
        <v>935</v>
      </c>
      <c r="F1153" t="s">
        <v>936</v>
      </c>
      <c r="G1153" t="s">
        <v>752</v>
      </c>
      <c r="H1153">
        <v>1</v>
      </c>
      <c r="I1153">
        <v>80</v>
      </c>
      <c r="J1153">
        <v>70</v>
      </c>
      <c r="K1153">
        <v>-10</v>
      </c>
      <c r="L1153">
        <v>0</v>
      </c>
      <c r="M1153">
        <v>0</v>
      </c>
      <c r="N1153">
        <v>1</v>
      </c>
      <c r="O1153" t="s">
        <v>127</v>
      </c>
      <c r="P1153" t="s">
        <v>127</v>
      </c>
      <c r="Q1153" t="s">
        <v>127</v>
      </c>
    </row>
    <row r="1154" spans="1:17" x14ac:dyDescent="0.25">
      <c r="A1154" t="str">
        <f>IF(C1154&amp;G1154&amp;D1154&lt;&gt;'Funnel setup'!$K$3&amp;'Funnel setup'!$K$4&amp;'Funnel setup'!$K$6,".",IF(A1153=".",1,A1153+1))</f>
        <v>.</v>
      </c>
      <c r="B1154" s="244" t="str">
        <f t="shared" ref="B1154:B1217" si="18">C1154&amp;D1154&amp;F1154&amp;G1154</f>
        <v>Hip Replacement RevisionSub-ICB of GP PracticeNHS STAFFORDSHIRE AND STOKE-ON-TRENT ICB - 05W (05W)EQ VAS</v>
      </c>
      <c r="C1154" t="s">
        <v>967</v>
      </c>
      <c r="D1154" t="s">
        <v>1021</v>
      </c>
      <c r="E1154" t="s">
        <v>937</v>
      </c>
      <c r="F1154" t="s">
        <v>938</v>
      </c>
      <c r="G1154" t="s">
        <v>752</v>
      </c>
      <c r="H1154">
        <v>1</v>
      </c>
      <c r="I1154">
        <v>70</v>
      </c>
      <c r="J1154">
        <v>55</v>
      </c>
      <c r="K1154">
        <v>-15</v>
      </c>
      <c r="L1154">
        <v>0</v>
      </c>
      <c r="M1154">
        <v>0</v>
      </c>
      <c r="N1154">
        <v>1</v>
      </c>
      <c r="O1154" t="s">
        <v>127</v>
      </c>
      <c r="P1154" t="s">
        <v>127</v>
      </c>
      <c r="Q1154" t="s">
        <v>127</v>
      </c>
    </row>
    <row r="1155" spans="1:17" x14ac:dyDescent="0.25">
      <c r="A1155" t="str">
        <f>IF(C1155&amp;G1155&amp;D1155&lt;&gt;'Funnel setup'!$K$3&amp;'Funnel setup'!$K$4&amp;'Funnel setup'!$K$6,".",IF(A1154=".",1,A1154+1))</f>
        <v>.</v>
      </c>
      <c r="B1155" s="244" t="str">
        <f t="shared" si="18"/>
        <v>Hip Replacement RevisionSub-ICB of GP PracticeNHS SUFFOLK AND NORTH EAST ESSEX ICB - 06L (06L)EQ VAS</v>
      </c>
      <c r="C1155" t="s">
        <v>967</v>
      </c>
      <c r="D1155" t="s">
        <v>1021</v>
      </c>
      <c r="E1155" t="s">
        <v>939</v>
      </c>
      <c r="F1155" t="s">
        <v>940</v>
      </c>
      <c r="G1155" t="s">
        <v>752</v>
      </c>
      <c r="H1155">
        <v>4</v>
      </c>
      <c r="I1155">
        <v>56.5</v>
      </c>
      <c r="J1155">
        <v>82.5</v>
      </c>
      <c r="K1155">
        <v>26</v>
      </c>
      <c r="L1155">
        <v>4</v>
      </c>
      <c r="M1155">
        <v>0</v>
      </c>
      <c r="N1155">
        <v>0</v>
      </c>
      <c r="O1155" t="s">
        <v>127</v>
      </c>
      <c r="P1155" t="s">
        <v>127</v>
      </c>
      <c r="Q1155" t="s">
        <v>127</v>
      </c>
    </row>
    <row r="1156" spans="1:17" x14ac:dyDescent="0.25">
      <c r="A1156" t="str">
        <f>IF(C1156&amp;G1156&amp;D1156&lt;&gt;'Funnel setup'!$K$3&amp;'Funnel setup'!$K$4&amp;'Funnel setup'!$K$6,".",IF(A1155=".",1,A1155+1))</f>
        <v>.</v>
      </c>
      <c r="B1156" s="244" t="str">
        <f t="shared" si="18"/>
        <v>Hip Replacement RevisionSub-ICB of GP PracticeNHS SUFFOLK AND NORTH EAST ESSEX ICB - 06T (06T)EQ VAS</v>
      </c>
      <c r="C1156" t="s">
        <v>967</v>
      </c>
      <c r="D1156" t="s">
        <v>1021</v>
      </c>
      <c r="E1156" t="s">
        <v>941</v>
      </c>
      <c r="F1156" t="s">
        <v>942</v>
      </c>
      <c r="G1156" t="s">
        <v>752</v>
      </c>
      <c r="H1156">
        <v>1</v>
      </c>
      <c r="I1156">
        <v>80</v>
      </c>
      <c r="J1156">
        <v>80</v>
      </c>
      <c r="K1156">
        <v>0</v>
      </c>
      <c r="L1156">
        <v>0</v>
      </c>
      <c r="M1156">
        <v>1</v>
      </c>
      <c r="N1156">
        <v>0</v>
      </c>
      <c r="O1156" t="s">
        <v>127</v>
      </c>
      <c r="P1156" t="s">
        <v>127</v>
      </c>
      <c r="Q1156" t="s">
        <v>127</v>
      </c>
    </row>
    <row r="1157" spans="1:17" x14ac:dyDescent="0.25">
      <c r="A1157" t="str">
        <f>IF(C1157&amp;G1157&amp;D1157&lt;&gt;'Funnel setup'!$K$3&amp;'Funnel setup'!$K$4&amp;'Funnel setup'!$K$6,".",IF(A1156=".",1,A1156+1))</f>
        <v>.</v>
      </c>
      <c r="B1157" s="244" t="str">
        <f t="shared" si="18"/>
        <v>Hip Replacement RevisionSub-ICB of GP PracticeNHS SUFFOLK AND NORTH EAST ESSEX ICB - 07K (07K)EQ VAS</v>
      </c>
      <c r="C1157" t="s">
        <v>967</v>
      </c>
      <c r="D1157" t="s">
        <v>1021</v>
      </c>
      <c r="E1157" t="s">
        <v>943</v>
      </c>
      <c r="F1157" t="s">
        <v>944</v>
      </c>
      <c r="G1157" t="s">
        <v>752</v>
      </c>
      <c r="H1157">
        <v>8</v>
      </c>
      <c r="I1157">
        <v>56.875</v>
      </c>
      <c r="J1157">
        <v>79.25</v>
      </c>
      <c r="K1157">
        <v>22.375</v>
      </c>
      <c r="L1157">
        <v>7</v>
      </c>
      <c r="M1157">
        <v>0</v>
      </c>
      <c r="N1157">
        <v>1</v>
      </c>
      <c r="O1157" t="s">
        <v>127</v>
      </c>
      <c r="P1157" t="s">
        <v>127</v>
      </c>
      <c r="Q1157" t="s">
        <v>127</v>
      </c>
    </row>
    <row r="1158" spans="1:17" x14ac:dyDescent="0.25">
      <c r="A1158" t="str">
        <f>IF(C1158&amp;G1158&amp;D1158&lt;&gt;'Funnel setup'!$K$3&amp;'Funnel setup'!$K$4&amp;'Funnel setup'!$K$6,".",IF(A1157=".",1,A1157+1))</f>
        <v>.</v>
      </c>
      <c r="B1158" s="244" t="str">
        <f t="shared" si="18"/>
        <v>Hip Replacement RevisionSub-ICB of GP PracticeNHS SURREY HEARTLANDS ICB - 92A (92A)EQ VAS</v>
      </c>
      <c r="C1158" t="s">
        <v>967</v>
      </c>
      <c r="D1158" t="s">
        <v>1021</v>
      </c>
      <c r="E1158" t="s">
        <v>945</v>
      </c>
      <c r="F1158" t="s">
        <v>946</v>
      </c>
      <c r="G1158" t="s">
        <v>752</v>
      </c>
      <c r="H1158">
        <v>21</v>
      </c>
      <c r="I1158">
        <v>62.571399999999997</v>
      </c>
      <c r="J1158">
        <v>67.714299999999994</v>
      </c>
      <c r="K1158">
        <v>5.1428599999999998</v>
      </c>
      <c r="L1158">
        <v>12</v>
      </c>
      <c r="M1158">
        <v>3</v>
      </c>
      <c r="N1158">
        <v>6</v>
      </c>
      <c r="O1158" t="s">
        <v>127</v>
      </c>
      <c r="P1158" t="s">
        <v>127</v>
      </c>
      <c r="Q1158" t="s">
        <v>127</v>
      </c>
    </row>
    <row r="1159" spans="1:17" x14ac:dyDescent="0.25">
      <c r="A1159" t="str">
        <f>IF(C1159&amp;G1159&amp;D1159&lt;&gt;'Funnel setup'!$K$3&amp;'Funnel setup'!$K$4&amp;'Funnel setup'!$K$6,".",IF(A1158=".",1,A1158+1))</f>
        <v>.</v>
      </c>
      <c r="B1159" s="244" t="str">
        <f t="shared" si="18"/>
        <v>Hip Replacement RevisionSub-ICB of GP PracticeNHS SUSSEX ICB - 09D (09D)EQ VAS</v>
      </c>
      <c r="C1159" t="s">
        <v>967</v>
      </c>
      <c r="D1159" t="s">
        <v>1021</v>
      </c>
      <c r="E1159" t="s">
        <v>947</v>
      </c>
      <c r="F1159" t="s">
        <v>948</v>
      </c>
      <c r="G1159" t="s">
        <v>752</v>
      </c>
      <c r="H1159">
        <v>4</v>
      </c>
      <c r="I1159">
        <v>46</v>
      </c>
      <c r="J1159">
        <v>62.25</v>
      </c>
      <c r="K1159">
        <v>16.25</v>
      </c>
      <c r="L1159">
        <v>2</v>
      </c>
      <c r="M1159">
        <v>0</v>
      </c>
      <c r="N1159">
        <v>2</v>
      </c>
      <c r="O1159" t="s">
        <v>127</v>
      </c>
      <c r="P1159" t="s">
        <v>127</v>
      </c>
      <c r="Q1159" t="s">
        <v>127</v>
      </c>
    </row>
    <row r="1160" spans="1:17" x14ac:dyDescent="0.25">
      <c r="A1160" t="str">
        <f>IF(C1160&amp;G1160&amp;D1160&lt;&gt;'Funnel setup'!$K$3&amp;'Funnel setup'!$K$4&amp;'Funnel setup'!$K$6,".",IF(A1159=".",1,A1159+1))</f>
        <v>.</v>
      </c>
      <c r="B1160" s="244" t="str">
        <f t="shared" si="18"/>
        <v>Hip Replacement RevisionSub-ICB of GP PracticeNHS SUSSEX ICB - 70F (70F)EQ VAS</v>
      </c>
      <c r="C1160" t="s">
        <v>967</v>
      </c>
      <c r="D1160" t="s">
        <v>1021</v>
      </c>
      <c r="E1160" t="s">
        <v>949</v>
      </c>
      <c r="F1160" t="s">
        <v>950</v>
      </c>
      <c r="G1160" t="s">
        <v>752</v>
      </c>
      <c r="H1160">
        <v>18</v>
      </c>
      <c r="I1160">
        <v>56.666699999999999</v>
      </c>
      <c r="J1160">
        <v>57.333300000000001</v>
      </c>
      <c r="K1160">
        <v>0.66666700000000001</v>
      </c>
      <c r="L1160">
        <v>10</v>
      </c>
      <c r="M1160">
        <v>3</v>
      </c>
      <c r="N1160">
        <v>5</v>
      </c>
      <c r="O1160" t="s">
        <v>127</v>
      </c>
      <c r="P1160" t="s">
        <v>127</v>
      </c>
      <c r="Q1160" t="s">
        <v>127</v>
      </c>
    </row>
    <row r="1161" spans="1:17" x14ac:dyDescent="0.25">
      <c r="A1161" t="str">
        <f>IF(C1161&amp;G1161&amp;D1161&lt;&gt;'Funnel setup'!$K$3&amp;'Funnel setup'!$K$4&amp;'Funnel setup'!$K$6,".",IF(A1160=".",1,A1160+1))</f>
        <v>.</v>
      </c>
      <c r="B1161" s="244" t="str">
        <f t="shared" si="18"/>
        <v>Hip Replacement RevisionSub-ICB of GP PracticeNHS SUSSEX ICB - 97R (97R)EQ VAS</v>
      </c>
      <c r="C1161" t="s">
        <v>967</v>
      </c>
      <c r="D1161" t="s">
        <v>1021</v>
      </c>
      <c r="E1161" t="s">
        <v>951</v>
      </c>
      <c r="F1161" t="s">
        <v>952</v>
      </c>
      <c r="G1161" t="s">
        <v>752</v>
      </c>
      <c r="H1161">
        <v>13</v>
      </c>
      <c r="I1161">
        <v>68.076899999999995</v>
      </c>
      <c r="J1161">
        <v>67.846199999999996</v>
      </c>
      <c r="K1161">
        <v>-0.230769</v>
      </c>
      <c r="L1161">
        <v>6</v>
      </c>
      <c r="M1161">
        <v>1</v>
      </c>
      <c r="N1161">
        <v>6</v>
      </c>
      <c r="O1161" t="s">
        <v>127</v>
      </c>
      <c r="P1161" t="s">
        <v>127</v>
      </c>
      <c r="Q1161" t="s">
        <v>127</v>
      </c>
    </row>
    <row r="1162" spans="1:17" x14ac:dyDescent="0.25">
      <c r="A1162" t="str">
        <f>IF(C1162&amp;G1162&amp;D1162&lt;&gt;'Funnel setup'!$K$3&amp;'Funnel setup'!$K$4&amp;'Funnel setup'!$K$6,".",IF(A1161=".",1,A1161+1))</f>
        <v>.</v>
      </c>
      <c r="B1162" s="244" t="str">
        <f t="shared" si="18"/>
        <v>Hip Replacement RevisionSub-ICB of GP PracticeNHS WEST YORKSHIRE ICB - 02T (02T)EQ VAS</v>
      </c>
      <c r="C1162" t="s">
        <v>967</v>
      </c>
      <c r="D1162" t="s">
        <v>1021</v>
      </c>
      <c r="E1162" t="s">
        <v>953</v>
      </c>
      <c r="F1162" t="s">
        <v>954</v>
      </c>
      <c r="G1162" t="s">
        <v>752</v>
      </c>
      <c r="H1162">
        <v>2</v>
      </c>
      <c r="I1162">
        <v>40</v>
      </c>
      <c r="J1162">
        <v>42</v>
      </c>
      <c r="K1162">
        <v>2</v>
      </c>
      <c r="L1162">
        <v>1</v>
      </c>
      <c r="M1162">
        <v>0</v>
      </c>
      <c r="N1162">
        <v>1</v>
      </c>
      <c r="O1162" t="s">
        <v>127</v>
      </c>
      <c r="P1162" t="s">
        <v>127</v>
      </c>
      <c r="Q1162" t="s">
        <v>127</v>
      </c>
    </row>
    <row r="1163" spans="1:17" x14ac:dyDescent="0.25">
      <c r="A1163" t="str">
        <f>IF(C1163&amp;G1163&amp;D1163&lt;&gt;'Funnel setup'!$K$3&amp;'Funnel setup'!$K$4&amp;'Funnel setup'!$K$6,".",IF(A1162=".",1,A1162+1))</f>
        <v>.</v>
      </c>
      <c r="B1163" s="244" t="str">
        <f t="shared" si="18"/>
        <v>Hip Replacement RevisionSub-ICB of GP PracticeNHS WEST YORKSHIRE ICB - 03R (03R)EQ VAS</v>
      </c>
      <c r="C1163" t="s">
        <v>967</v>
      </c>
      <c r="D1163" t="s">
        <v>1021</v>
      </c>
      <c r="E1163" t="s">
        <v>955</v>
      </c>
      <c r="F1163" t="s">
        <v>956</v>
      </c>
      <c r="G1163" t="s">
        <v>752</v>
      </c>
      <c r="H1163">
        <v>7</v>
      </c>
      <c r="I1163">
        <v>49.857100000000003</v>
      </c>
      <c r="J1163">
        <v>67.571399999999997</v>
      </c>
      <c r="K1163">
        <v>17.714300000000001</v>
      </c>
      <c r="L1163">
        <v>4</v>
      </c>
      <c r="M1163">
        <v>1</v>
      </c>
      <c r="N1163">
        <v>2</v>
      </c>
      <c r="O1163" t="s">
        <v>127</v>
      </c>
      <c r="P1163" t="s">
        <v>127</v>
      </c>
      <c r="Q1163" t="s">
        <v>127</v>
      </c>
    </row>
    <row r="1164" spans="1:17" x14ac:dyDescent="0.25">
      <c r="A1164" t="str">
        <f>IF(C1164&amp;G1164&amp;D1164&lt;&gt;'Funnel setup'!$K$3&amp;'Funnel setup'!$K$4&amp;'Funnel setup'!$K$6,".",IF(A1163=".",1,A1163+1))</f>
        <v>.</v>
      </c>
      <c r="B1164" s="244" t="str">
        <f t="shared" si="18"/>
        <v>Hip Replacement RevisionSub-ICB of GP PracticeNHS WEST YORKSHIRE ICB - 15F (15F)EQ VAS</v>
      </c>
      <c r="C1164" t="s">
        <v>967</v>
      </c>
      <c r="D1164" t="s">
        <v>1021</v>
      </c>
      <c r="E1164" t="s">
        <v>957</v>
      </c>
      <c r="F1164" t="s">
        <v>958</v>
      </c>
      <c r="G1164" t="s">
        <v>752</v>
      </c>
      <c r="H1164">
        <v>15</v>
      </c>
      <c r="I1164">
        <v>73.533299999999997</v>
      </c>
      <c r="J1164">
        <v>71.333299999999994</v>
      </c>
      <c r="K1164">
        <v>-2.2000000000000002</v>
      </c>
      <c r="L1164">
        <v>9</v>
      </c>
      <c r="M1164">
        <v>1</v>
      </c>
      <c r="N1164">
        <v>5</v>
      </c>
      <c r="O1164" t="s">
        <v>127</v>
      </c>
      <c r="P1164" t="s">
        <v>127</v>
      </c>
      <c r="Q1164" t="s">
        <v>127</v>
      </c>
    </row>
    <row r="1165" spans="1:17" x14ac:dyDescent="0.25">
      <c r="A1165" t="str">
        <f>IF(C1165&amp;G1165&amp;D1165&lt;&gt;'Funnel setup'!$K$3&amp;'Funnel setup'!$K$4&amp;'Funnel setup'!$K$6,".",IF(A1164=".",1,A1164+1))</f>
        <v>.</v>
      </c>
      <c r="B1165" s="244" t="str">
        <f t="shared" si="18"/>
        <v>Hip Replacement RevisionSub-ICB of GP PracticeNHS WEST YORKSHIRE ICB - 36J (36J)EQ VAS</v>
      </c>
      <c r="C1165" t="s">
        <v>967</v>
      </c>
      <c r="D1165" t="s">
        <v>1021</v>
      </c>
      <c r="E1165" t="s">
        <v>959</v>
      </c>
      <c r="F1165" t="s">
        <v>960</v>
      </c>
      <c r="G1165" t="s">
        <v>752</v>
      </c>
      <c r="H1165">
        <v>5</v>
      </c>
      <c r="I1165">
        <v>56.6</v>
      </c>
      <c r="J1165">
        <v>77.599999999999994</v>
      </c>
      <c r="K1165">
        <v>21</v>
      </c>
      <c r="L1165">
        <v>4</v>
      </c>
      <c r="M1165">
        <v>0</v>
      </c>
      <c r="N1165">
        <v>1</v>
      </c>
      <c r="O1165" t="s">
        <v>127</v>
      </c>
      <c r="P1165" t="s">
        <v>127</v>
      </c>
      <c r="Q1165" t="s">
        <v>127</v>
      </c>
    </row>
    <row r="1166" spans="1:17" x14ac:dyDescent="0.25">
      <c r="A1166" t="str">
        <f>IF(C1166&amp;G1166&amp;D1166&lt;&gt;'Funnel setup'!$K$3&amp;'Funnel setup'!$K$4&amp;'Funnel setup'!$K$6,".",IF(A1165=".",1,A1165+1))</f>
        <v>.</v>
      </c>
      <c r="B1166" s="244" t="str">
        <f t="shared" si="18"/>
        <v>Hip Replacement RevisionSub-ICB of GP PracticeNHS WEST YORKSHIRE ICB - X2C4Y (X2C4Y)EQ VAS</v>
      </c>
      <c r="C1166" t="s">
        <v>967</v>
      </c>
      <c r="D1166" t="s">
        <v>1021</v>
      </c>
      <c r="E1166" t="s">
        <v>961</v>
      </c>
      <c r="F1166" t="s">
        <v>962</v>
      </c>
      <c r="G1166" t="s">
        <v>752</v>
      </c>
      <c r="H1166">
        <v>8</v>
      </c>
      <c r="I1166">
        <v>61.125</v>
      </c>
      <c r="J1166">
        <v>65.625</v>
      </c>
      <c r="K1166">
        <v>4.5</v>
      </c>
      <c r="L1166">
        <v>3</v>
      </c>
      <c r="M1166">
        <v>1</v>
      </c>
      <c r="N1166">
        <v>4</v>
      </c>
      <c r="O1166" t="s">
        <v>127</v>
      </c>
      <c r="P1166" t="s">
        <v>127</v>
      </c>
      <c r="Q1166" t="s">
        <v>127</v>
      </c>
    </row>
    <row r="1167" spans="1:17" x14ac:dyDescent="0.25">
      <c r="A1167" t="str">
        <f>IF(C1167&amp;G1167&amp;D1167&lt;&gt;'Funnel setup'!$K$3&amp;'Funnel setup'!$K$4&amp;'Funnel setup'!$K$6,".",IF(A1166=".",1,A1166+1))</f>
        <v>.</v>
      </c>
      <c r="B1167" s="244" t="str">
        <f t="shared" si="18"/>
        <v>Hip Replacement RevisionSub-ICB of GP PracticeNHS BATH AND NORTH EAST SOMERSET, SWINDON AND WILTSHIRE ICB - 92G (92G)EQ-5D Index</v>
      </c>
      <c r="C1167" t="s">
        <v>967</v>
      </c>
      <c r="D1167" t="s">
        <v>1021</v>
      </c>
      <c r="E1167" t="s">
        <v>750</v>
      </c>
      <c r="F1167" t="s">
        <v>751</v>
      </c>
      <c r="G1167" t="s">
        <v>963</v>
      </c>
      <c r="H1167">
        <v>7</v>
      </c>
      <c r="I1167">
        <v>0.48885699999999999</v>
      </c>
      <c r="J1167">
        <v>0.77200000000000002</v>
      </c>
      <c r="K1167">
        <v>0.28314299999999998</v>
      </c>
      <c r="L1167">
        <v>5</v>
      </c>
      <c r="M1167">
        <v>1</v>
      </c>
      <c r="N1167">
        <v>1</v>
      </c>
      <c r="O1167" t="s">
        <v>127</v>
      </c>
      <c r="P1167" t="s">
        <v>127</v>
      </c>
      <c r="Q1167" t="s">
        <v>127</v>
      </c>
    </row>
    <row r="1168" spans="1:17" x14ac:dyDescent="0.25">
      <c r="A1168" t="str">
        <f>IF(C1168&amp;G1168&amp;D1168&lt;&gt;'Funnel setup'!$K$3&amp;'Funnel setup'!$K$4&amp;'Funnel setup'!$K$6,".",IF(A1167=".",1,A1167+1))</f>
        <v>.</v>
      </c>
      <c r="B1168" s="244" t="str">
        <f t="shared" si="18"/>
        <v>Hip Replacement RevisionSub-ICB of GP PracticeNHS BEDFORDSHIRE, LUTON AND MILTON KEYNES ICB - M1J4Y (M1J4Y)EQ-5D Index</v>
      </c>
      <c r="C1168" t="s">
        <v>967</v>
      </c>
      <c r="D1168" t="s">
        <v>1021</v>
      </c>
      <c r="E1168" t="s">
        <v>753</v>
      </c>
      <c r="F1168" t="s">
        <v>754</v>
      </c>
      <c r="G1168" t="s">
        <v>963</v>
      </c>
      <c r="H1168">
        <v>6</v>
      </c>
      <c r="I1168">
        <v>0.29116700000000001</v>
      </c>
      <c r="J1168">
        <v>0.58183300000000004</v>
      </c>
      <c r="K1168">
        <v>0.29066700000000001</v>
      </c>
      <c r="L1168">
        <v>4</v>
      </c>
      <c r="M1168">
        <v>1</v>
      </c>
      <c r="N1168">
        <v>1</v>
      </c>
      <c r="O1168" t="s">
        <v>127</v>
      </c>
      <c r="P1168" t="s">
        <v>127</v>
      </c>
      <c r="Q1168" t="s">
        <v>127</v>
      </c>
    </row>
    <row r="1169" spans="1:17" x14ac:dyDescent="0.25">
      <c r="A1169" t="str">
        <f>IF(C1169&amp;G1169&amp;D1169&lt;&gt;'Funnel setup'!$K$3&amp;'Funnel setup'!$K$4&amp;'Funnel setup'!$K$6,".",IF(A1168=".",1,A1168+1))</f>
        <v>.</v>
      </c>
      <c r="B1169" s="244" t="str">
        <f t="shared" si="18"/>
        <v>Hip Replacement RevisionSub-ICB of GP PracticeNHS BIRMINGHAM AND SOLIHULL ICB - 15E (15E)EQ-5D Index</v>
      </c>
      <c r="C1169" t="s">
        <v>967</v>
      </c>
      <c r="D1169" t="s">
        <v>1021</v>
      </c>
      <c r="E1169" t="s">
        <v>755</v>
      </c>
      <c r="F1169" t="s">
        <v>756</v>
      </c>
      <c r="G1169" t="s">
        <v>963</v>
      </c>
      <c r="H1169">
        <v>14</v>
      </c>
      <c r="I1169">
        <v>0.43121399999999999</v>
      </c>
      <c r="J1169">
        <v>0.69307099999999999</v>
      </c>
      <c r="K1169">
        <v>0.26185700000000001</v>
      </c>
      <c r="L1169">
        <v>11</v>
      </c>
      <c r="M1169">
        <v>1</v>
      </c>
      <c r="N1169">
        <v>2</v>
      </c>
      <c r="O1169" t="s">
        <v>127</v>
      </c>
      <c r="P1169" t="s">
        <v>127</v>
      </c>
      <c r="Q1169" t="s">
        <v>127</v>
      </c>
    </row>
    <row r="1170" spans="1:17" x14ac:dyDescent="0.25">
      <c r="A1170" t="str">
        <f>IF(C1170&amp;G1170&amp;D1170&lt;&gt;'Funnel setup'!$K$3&amp;'Funnel setup'!$K$4&amp;'Funnel setup'!$K$6,".",IF(A1169=".",1,A1169+1))</f>
        <v>.</v>
      </c>
      <c r="B1170" s="244" t="str">
        <f t="shared" si="18"/>
        <v>Hip Replacement RevisionSub-ICB of GP PracticeNHS BLACK COUNTRY ICB - D2P2L (D2P2L)EQ-5D Index</v>
      </c>
      <c r="C1170" t="s">
        <v>967</v>
      </c>
      <c r="D1170" t="s">
        <v>1021</v>
      </c>
      <c r="E1170" t="s">
        <v>757</v>
      </c>
      <c r="F1170" t="s">
        <v>758</v>
      </c>
      <c r="G1170" t="s">
        <v>963</v>
      </c>
      <c r="H1170">
        <v>8</v>
      </c>
      <c r="I1170">
        <v>0.16487499999999999</v>
      </c>
      <c r="J1170">
        <v>0.76387499999999997</v>
      </c>
      <c r="K1170">
        <v>0.59899999999999998</v>
      </c>
      <c r="L1170">
        <v>7</v>
      </c>
      <c r="M1170">
        <v>0</v>
      </c>
      <c r="N1170">
        <v>1</v>
      </c>
      <c r="O1170" t="s">
        <v>127</v>
      </c>
      <c r="P1170" t="s">
        <v>127</v>
      </c>
      <c r="Q1170" t="s">
        <v>127</v>
      </c>
    </row>
    <row r="1171" spans="1:17" x14ac:dyDescent="0.25">
      <c r="A1171" t="str">
        <f>IF(C1171&amp;G1171&amp;D1171&lt;&gt;'Funnel setup'!$K$3&amp;'Funnel setup'!$K$4&amp;'Funnel setup'!$K$6,".",IF(A1170=".",1,A1170+1))</f>
        <v>.</v>
      </c>
      <c r="B1171" s="244" t="str">
        <f t="shared" si="18"/>
        <v>Hip Replacement RevisionSub-ICB of GP PracticeNHS BRISTOL, NORTH SOMERSET AND SOUTH GLOUCESTERSHIRE ICB - 15C (15C)EQ-5D Index</v>
      </c>
      <c r="C1171" t="s">
        <v>967</v>
      </c>
      <c r="D1171" t="s">
        <v>1021</v>
      </c>
      <c r="E1171" t="s">
        <v>759</v>
      </c>
      <c r="F1171" t="s">
        <v>760</v>
      </c>
      <c r="G1171" t="s">
        <v>963</v>
      </c>
      <c r="H1171">
        <v>3</v>
      </c>
      <c r="I1171">
        <v>0.20166700000000001</v>
      </c>
      <c r="J1171">
        <v>0.80533299999999997</v>
      </c>
      <c r="K1171">
        <v>0.60366699999999995</v>
      </c>
      <c r="L1171">
        <v>3</v>
      </c>
      <c r="M1171">
        <v>0</v>
      </c>
      <c r="N1171">
        <v>0</v>
      </c>
      <c r="O1171" t="s">
        <v>127</v>
      </c>
      <c r="P1171" t="s">
        <v>127</v>
      </c>
      <c r="Q1171" t="s">
        <v>127</v>
      </c>
    </row>
    <row r="1172" spans="1:17" x14ac:dyDescent="0.25">
      <c r="A1172" t="str">
        <f>IF(C1172&amp;G1172&amp;D1172&lt;&gt;'Funnel setup'!$K$3&amp;'Funnel setup'!$K$4&amp;'Funnel setup'!$K$6,".",IF(A1171=".",1,A1171+1))</f>
        <v>.</v>
      </c>
      <c r="B1172" s="244" t="str">
        <f t="shared" si="18"/>
        <v>Hip Replacement RevisionSub-ICB of GP PracticeNHS BUCKINGHAMSHIRE, OXFORDSHIRE AND BERKSHIRE WEST ICB - 10Q (10Q)EQ-5D Index</v>
      </c>
      <c r="C1172" t="s">
        <v>967</v>
      </c>
      <c r="D1172" t="s">
        <v>1021</v>
      </c>
      <c r="E1172" t="s">
        <v>761</v>
      </c>
      <c r="F1172" t="s">
        <v>762</v>
      </c>
      <c r="G1172" t="s">
        <v>963</v>
      </c>
      <c r="H1172">
        <v>13</v>
      </c>
      <c r="I1172">
        <v>0.479769</v>
      </c>
      <c r="J1172">
        <v>0.83630800000000005</v>
      </c>
      <c r="K1172">
        <v>0.35653800000000002</v>
      </c>
      <c r="L1172">
        <v>11</v>
      </c>
      <c r="M1172">
        <v>2</v>
      </c>
      <c r="N1172">
        <v>0</v>
      </c>
      <c r="O1172" t="s">
        <v>127</v>
      </c>
      <c r="P1172" t="s">
        <v>127</v>
      </c>
      <c r="Q1172" t="s">
        <v>127</v>
      </c>
    </row>
    <row r="1173" spans="1:17" x14ac:dyDescent="0.25">
      <c r="A1173" t="str">
        <f>IF(C1173&amp;G1173&amp;D1173&lt;&gt;'Funnel setup'!$K$3&amp;'Funnel setup'!$K$4&amp;'Funnel setup'!$K$6,".",IF(A1172=".",1,A1172+1))</f>
        <v>.</v>
      </c>
      <c r="B1173" s="244" t="str">
        <f t="shared" si="18"/>
        <v>Hip Replacement RevisionSub-ICB of GP PracticeNHS BUCKINGHAMSHIRE, OXFORDSHIRE AND BERKSHIRE WEST ICB - 14Y (14Y)EQ-5D Index</v>
      </c>
      <c r="C1173" t="s">
        <v>967</v>
      </c>
      <c r="D1173" t="s">
        <v>1021</v>
      </c>
      <c r="E1173" t="s">
        <v>763</v>
      </c>
      <c r="F1173" t="s">
        <v>764</v>
      </c>
      <c r="G1173" t="s">
        <v>963</v>
      </c>
      <c r="H1173">
        <v>13</v>
      </c>
      <c r="I1173">
        <v>0.22430800000000001</v>
      </c>
      <c r="J1173">
        <v>0.61261500000000002</v>
      </c>
      <c r="K1173">
        <v>0.38830799999999999</v>
      </c>
      <c r="L1173">
        <v>11</v>
      </c>
      <c r="M1173">
        <v>0</v>
      </c>
      <c r="N1173">
        <v>2</v>
      </c>
      <c r="O1173" t="s">
        <v>127</v>
      </c>
      <c r="P1173" t="s">
        <v>127</v>
      </c>
      <c r="Q1173" t="s">
        <v>127</v>
      </c>
    </row>
    <row r="1174" spans="1:17" x14ac:dyDescent="0.25">
      <c r="A1174" t="str">
        <f>IF(C1174&amp;G1174&amp;D1174&lt;&gt;'Funnel setup'!$K$3&amp;'Funnel setup'!$K$4&amp;'Funnel setup'!$K$6,".",IF(A1173=".",1,A1173+1))</f>
        <v>.</v>
      </c>
      <c r="B1174" s="244" t="str">
        <f t="shared" si="18"/>
        <v>Hip Replacement RevisionSub-ICB of GP PracticeNHS BUCKINGHAMSHIRE, OXFORDSHIRE AND BERKSHIRE WEST ICB - 15A (15A)EQ-5D Index</v>
      </c>
      <c r="C1174" t="s">
        <v>967</v>
      </c>
      <c r="D1174" t="s">
        <v>1021</v>
      </c>
      <c r="E1174" t="s">
        <v>765</v>
      </c>
      <c r="F1174" t="s">
        <v>766</v>
      </c>
      <c r="G1174" t="s">
        <v>963</v>
      </c>
      <c r="H1174">
        <v>5</v>
      </c>
      <c r="I1174">
        <v>0.39319999999999999</v>
      </c>
      <c r="J1174">
        <v>0.79139999999999999</v>
      </c>
      <c r="K1174">
        <v>0.3982</v>
      </c>
      <c r="L1174">
        <v>3</v>
      </c>
      <c r="M1174">
        <v>2</v>
      </c>
      <c r="N1174">
        <v>0</v>
      </c>
      <c r="O1174" t="s">
        <v>127</v>
      </c>
      <c r="P1174" t="s">
        <v>127</v>
      </c>
      <c r="Q1174" t="s">
        <v>127</v>
      </c>
    </row>
    <row r="1175" spans="1:17" x14ac:dyDescent="0.25">
      <c r="A1175" t="str">
        <f>IF(C1175&amp;G1175&amp;D1175&lt;&gt;'Funnel setup'!$K$3&amp;'Funnel setup'!$K$4&amp;'Funnel setup'!$K$6,".",IF(A1174=".",1,A1174+1))</f>
        <v>.</v>
      </c>
      <c r="B1175" s="244" t="str">
        <f t="shared" si="18"/>
        <v>Hip Replacement RevisionSub-ICB of GP PracticeNHS CAMBRIDGESHIRE AND PETERBOROUGH ICB - 06H (06H)EQ-5D Index</v>
      </c>
      <c r="C1175" t="s">
        <v>967</v>
      </c>
      <c r="D1175" t="s">
        <v>1021</v>
      </c>
      <c r="E1175" t="s">
        <v>767</v>
      </c>
      <c r="F1175" t="s">
        <v>768</v>
      </c>
      <c r="G1175" t="s">
        <v>963</v>
      </c>
      <c r="H1175">
        <v>10</v>
      </c>
      <c r="I1175">
        <v>0.56610000000000005</v>
      </c>
      <c r="J1175">
        <v>0.64690000000000003</v>
      </c>
      <c r="K1175">
        <v>8.0799999999999997E-2</v>
      </c>
      <c r="L1175">
        <v>3</v>
      </c>
      <c r="M1175">
        <v>5</v>
      </c>
      <c r="N1175">
        <v>2</v>
      </c>
      <c r="O1175" t="s">
        <v>127</v>
      </c>
      <c r="P1175" t="s">
        <v>127</v>
      </c>
      <c r="Q1175" t="s">
        <v>127</v>
      </c>
    </row>
    <row r="1176" spans="1:17" x14ac:dyDescent="0.25">
      <c r="A1176" t="str">
        <f>IF(C1176&amp;G1176&amp;D1176&lt;&gt;'Funnel setup'!$K$3&amp;'Funnel setup'!$K$4&amp;'Funnel setup'!$K$6,".",IF(A1175=".",1,A1175+1))</f>
        <v>.</v>
      </c>
      <c r="B1176" s="244" t="str">
        <f t="shared" si="18"/>
        <v>Hip Replacement RevisionSub-ICB of GP PracticeNHS CHESHIRE AND MERSEYSIDE ICB - 01F (01F)EQ-5D Index</v>
      </c>
      <c r="C1176" t="s">
        <v>967</v>
      </c>
      <c r="D1176" t="s">
        <v>1021</v>
      </c>
      <c r="E1176" t="s">
        <v>769</v>
      </c>
      <c r="F1176" t="s">
        <v>770</v>
      </c>
      <c r="G1176" t="s">
        <v>963</v>
      </c>
      <c r="H1176">
        <v>2</v>
      </c>
      <c r="I1176">
        <v>0.60350000000000004</v>
      </c>
      <c r="J1176">
        <v>0.63900000000000001</v>
      </c>
      <c r="K1176">
        <v>3.5499999999999997E-2</v>
      </c>
      <c r="L1176">
        <v>1</v>
      </c>
      <c r="M1176">
        <v>1</v>
      </c>
      <c r="N1176">
        <v>0</v>
      </c>
      <c r="O1176" t="s">
        <v>127</v>
      </c>
      <c r="P1176" t="s">
        <v>127</v>
      </c>
      <c r="Q1176" t="s">
        <v>127</v>
      </c>
    </row>
    <row r="1177" spans="1:17" x14ac:dyDescent="0.25">
      <c r="A1177" t="str">
        <f>IF(C1177&amp;G1177&amp;D1177&lt;&gt;'Funnel setup'!$K$3&amp;'Funnel setup'!$K$4&amp;'Funnel setup'!$K$6,".",IF(A1176=".",1,A1176+1))</f>
        <v>.</v>
      </c>
      <c r="B1177" s="244" t="str">
        <f t="shared" si="18"/>
        <v>Hip Replacement RevisionSub-ICB of GP PracticeNHS CHESHIRE AND MERSEYSIDE ICB - 01T (01T)EQ-5D Index</v>
      </c>
      <c r="C1177" t="s">
        <v>967</v>
      </c>
      <c r="D1177" t="s">
        <v>1021</v>
      </c>
      <c r="E1177" t="s">
        <v>773</v>
      </c>
      <c r="F1177" t="s">
        <v>774</v>
      </c>
      <c r="G1177" t="s">
        <v>963</v>
      </c>
      <c r="H1177">
        <v>1</v>
      </c>
      <c r="I1177">
        <v>0.58699999999999997</v>
      </c>
      <c r="J1177">
        <v>0.58699999999999997</v>
      </c>
      <c r="K1177">
        <v>0</v>
      </c>
      <c r="L1177">
        <v>0</v>
      </c>
      <c r="M1177">
        <v>1</v>
      </c>
      <c r="N1177">
        <v>0</v>
      </c>
      <c r="O1177" t="s">
        <v>127</v>
      </c>
      <c r="P1177" t="s">
        <v>127</v>
      </c>
      <c r="Q1177" t="s">
        <v>127</v>
      </c>
    </row>
    <row r="1178" spans="1:17" x14ac:dyDescent="0.25">
      <c r="A1178" t="str">
        <f>IF(C1178&amp;G1178&amp;D1178&lt;&gt;'Funnel setup'!$K$3&amp;'Funnel setup'!$K$4&amp;'Funnel setup'!$K$6,".",IF(A1177=".",1,A1177+1))</f>
        <v>.</v>
      </c>
      <c r="B1178" s="244" t="str">
        <f t="shared" si="18"/>
        <v>Hip Replacement RevisionSub-ICB of GP PracticeNHS CHESHIRE AND MERSEYSIDE ICB - 01V (01V)EQ-5D Index</v>
      </c>
      <c r="C1178" t="s">
        <v>967</v>
      </c>
      <c r="D1178" t="s">
        <v>1021</v>
      </c>
      <c r="E1178" t="s">
        <v>775</v>
      </c>
      <c r="F1178" t="s">
        <v>776</v>
      </c>
      <c r="G1178" t="s">
        <v>963</v>
      </c>
      <c r="H1178">
        <v>1</v>
      </c>
      <c r="I1178">
        <v>-0.18099999999999999</v>
      </c>
      <c r="J1178">
        <v>0.51600000000000001</v>
      </c>
      <c r="K1178">
        <v>0.69699999999999995</v>
      </c>
      <c r="L1178">
        <v>1</v>
      </c>
      <c r="M1178">
        <v>0</v>
      </c>
      <c r="N1178">
        <v>0</v>
      </c>
      <c r="O1178" t="s">
        <v>127</v>
      </c>
      <c r="P1178" t="s">
        <v>127</v>
      </c>
      <c r="Q1178" t="s">
        <v>127</v>
      </c>
    </row>
    <row r="1179" spans="1:17" x14ac:dyDescent="0.25">
      <c r="A1179" t="str">
        <f>IF(C1179&amp;G1179&amp;D1179&lt;&gt;'Funnel setup'!$K$3&amp;'Funnel setup'!$K$4&amp;'Funnel setup'!$K$6,".",IF(A1178=".",1,A1178+1))</f>
        <v>.</v>
      </c>
      <c r="B1179" s="244" t="str">
        <f t="shared" si="18"/>
        <v>Hip Replacement RevisionSub-ICB of GP PracticeNHS CHESHIRE AND MERSEYSIDE ICB - 01X (01X)EQ-5D Index</v>
      </c>
      <c r="C1179" t="s">
        <v>967</v>
      </c>
      <c r="D1179" t="s">
        <v>1021</v>
      </c>
      <c r="E1179" t="s">
        <v>777</v>
      </c>
      <c r="F1179" t="s">
        <v>778</v>
      </c>
      <c r="G1179" t="s">
        <v>963</v>
      </c>
      <c r="H1179">
        <v>2</v>
      </c>
      <c r="I1179">
        <v>0.25</v>
      </c>
      <c r="J1179">
        <v>0.66500000000000004</v>
      </c>
      <c r="K1179">
        <v>0.41499999999999998</v>
      </c>
      <c r="L1179">
        <v>1</v>
      </c>
      <c r="M1179">
        <v>1</v>
      </c>
      <c r="N1179">
        <v>0</v>
      </c>
      <c r="O1179" t="s">
        <v>127</v>
      </c>
      <c r="P1179" t="s">
        <v>127</v>
      </c>
      <c r="Q1179" t="s">
        <v>127</v>
      </c>
    </row>
    <row r="1180" spans="1:17" x14ac:dyDescent="0.25">
      <c r="A1180" t="str">
        <f>IF(C1180&amp;G1180&amp;D1180&lt;&gt;'Funnel setup'!$K$3&amp;'Funnel setup'!$K$4&amp;'Funnel setup'!$K$6,".",IF(A1179=".",1,A1179+1))</f>
        <v>.</v>
      </c>
      <c r="B1180" s="244" t="str">
        <f t="shared" si="18"/>
        <v>Hip Replacement RevisionSub-ICB of GP PracticeNHS CHESHIRE AND MERSEYSIDE ICB - 12F (12F)EQ-5D Index</v>
      </c>
      <c r="C1180" t="s">
        <v>967</v>
      </c>
      <c r="D1180" t="s">
        <v>1021</v>
      </c>
      <c r="E1180" t="s">
        <v>781</v>
      </c>
      <c r="F1180" t="s">
        <v>782</v>
      </c>
      <c r="G1180" t="s">
        <v>963</v>
      </c>
      <c r="H1180">
        <v>1</v>
      </c>
      <c r="I1180">
        <v>0.58699999999999997</v>
      </c>
      <c r="J1180">
        <v>0.85</v>
      </c>
      <c r="K1180">
        <v>0.26300000000000001</v>
      </c>
      <c r="L1180">
        <v>1</v>
      </c>
      <c r="M1180">
        <v>0</v>
      </c>
      <c r="N1180">
        <v>0</v>
      </c>
      <c r="O1180" t="s">
        <v>127</v>
      </c>
      <c r="P1180" t="s">
        <v>127</v>
      </c>
      <c r="Q1180" t="s">
        <v>127</v>
      </c>
    </row>
    <row r="1181" spans="1:17" x14ac:dyDescent="0.25">
      <c r="A1181" t="str">
        <f>IF(C1181&amp;G1181&amp;D1181&lt;&gt;'Funnel setup'!$K$3&amp;'Funnel setup'!$K$4&amp;'Funnel setup'!$K$6,".",IF(A1180=".",1,A1180+1))</f>
        <v>.</v>
      </c>
      <c r="B1181" s="244" t="str">
        <f t="shared" si="18"/>
        <v>Hip Replacement RevisionSub-ICB of GP PracticeNHS CHESHIRE AND MERSEYSIDE ICB - 27D (27D)EQ-5D Index</v>
      </c>
      <c r="C1181" t="s">
        <v>967</v>
      </c>
      <c r="D1181" t="s">
        <v>1021</v>
      </c>
      <c r="E1181" t="s">
        <v>783</v>
      </c>
      <c r="F1181" t="s">
        <v>784</v>
      </c>
      <c r="G1181" t="s">
        <v>963</v>
      </c>
      <c r="H1181">
        <v>9</v>
      </c>
      <c r="I1181">
        <v>0.495444</v>
      </c>
      <c r="J1181">
        <v>0.69522200000000001</v>
      </c>
      <c r="K1181">
        <v>0.19977800000000001</v>
      </c>
      <c r="L1181">
        <v>6</v>
      </c>
      <c r="M1181">
        <v>1</v>
      </c>
      <c r="N1181">
        <v>2</v>
      </c>
      <c r="O1181" t="s">
        <v>127</v>
      </c>
      <c r="P1181" t="s">
        <v>127</v>
      </c>
      <c r="Q1181" t="s">
        <v>127</v>
      </c>
    </row>
    <row r="1182" spans="1:17" x14ac:dyDescent="0.25">
      <c r="A1182" t="str">
        <f>IF(C1182&amp;G1182&amp;D1182&lt;&gt;'Funnel setup'!$K$3&amp;'Funnel setup'!$K$4&amp;'Funnel setup'!$K$6,".",IF(A1181=".",1,A1181+1))</f>
        <v>.</v>
      </c>
      <c r="B1182" s="244" t="str">
        <f t="shared" si="18"/>
        <v>Hip Replacement RevisionSub-ICB of GP PracticeNHS CHESHIRE AND MERSEYSIDE ICB - 99A (99A)EQ-5D Index</v>
      </c>
      <c r="C1182" t="s">
        <v>967</v>
      </c>
      <c r="D1182" t="s">
        <v>1021</v>
      </c>
      <c r="E1182" t="s">
        <v>785</v>
      </c>
      <c r="F1182" t="s">
        <v>786</v>
      </c>
      <c r="G1182" t="s">
        <v>963</v>
      </c>
      <c r="H1182">
        <v>4</v>
      </c>
      <c r="I1182">
        <v>0.12025</v>
      </c>
      <c r="J1182">
        <v>0.81074999999999997</v>
      </c>
      <c r="K1182">
        <v>0.6905</v>
      </c>
      <c r="L1182">
        <v>3</v>
      </c>
      <c r="M1182">
        <v>1</v>
      </c>
      <c r="N1182">
        <v>0</v>
      </c>
      <c r="O1182" t="s">
        <v>127</v>
      </c>
      <c r="P1182" t="s">
        <v>127</v>
      </c>
      <c r="Q1182" t="s">
        <v>127</v>
      </c>
    </row>
    <row r="1183" spans="1:17" x14ac:dyDescent="0.25">
      <c r="A1183" t="str">
        <f>IF(C1183&amp;G1183&amp;D1183&lt;&gt;'Funnel setup'!$K$3&amp;'Funnel setup'!$K$4&amp;'Funnel setup'!$K$6,".",IF(A1182=".",1,A1182+1))</f>
        <v>.</v>
      </c>
      <c r="B1183" s="244" t="str">
        <f t="shared" si="18"/>
        <v>Hip Replacement RevisionSub-ICB of GP PracticeNHS CORNWALL AND THE ISLES OF SCILLY ICB - 11N (11N)EQ-5D Index</v>
      </c>
      <c r="C1183" t="s">
        <v>967</v>
      </c>
      <c r="D1183" t="s">
        <v>1021</v>
      </c>
      <c r="E1183" t="s">
        <v>787</v>
      </c>
      <c r="F1183" t="s">
        <v>788</v>
      </c>
      <c r="G1183" t="s">
        <v>963</v>
      </c>
      <c r="H1183">
        <v>7</v>
      </c>
      <c r="I1183">
        <v>0.58928599999999998</v>
      </c>
      <c r="J1183">
        <v>0.69885699999999995</v>
      </c>
      <c r="K1183">
        <v>0.109571</v>
      </c>
      <c r="L1183">
        <v>5</v>
      </c>
      <c r="M1183">
        <v>0</v>
      </c>
      <c r="N1183">
        <v>2</v>
      </c>
      <c r="O1183" t="s">
        <v>127</v>
      </c>
      <c r="P1183" t="s">
        <v>127</v>
      </c>
      <c r="Q1183" t="s">
        <v>127</v>
      </c>
    </row>
    <row r="1184" spans="1:17" x14ac:dyDescent="0.25">
      <c r="A1184" t="str">
        <f>IF(C1184&amp;G1184&amp;D1184&lt;&gt;'Funnel setup'!$K$3&amp;'Funnel setup'!$K$4&amp;'Funnel setup'!$K$6,".",IF(A1183=".",1,A1183+1))</f>
        <v>.</v>
      </c>
      <c r="B1184" s="244" t="str">
        <f t="shared" si="18"/>
        <v>Hip Replacement RevisionSub-ICB of GP PracticeNHS COVENTRY AND WARWICKSHIRE ICB - B2M3M (B2M3M)EQ-5D Index</v>
      </c>
      <c r="C1184" t="s">
        <v>967</v>
      </c>
      <c r="D1184" t="s">
        <v>1021</v>
      </c>
      <c r="E1184" t="s">
        <v>789</v>
      </c>
      <c r="F1184" t="s">
        <v>790</v>
      </c>
      <c r="G1184" t="s">
        <v>963</v>
      </c>
      <c r="H1184">
        <v>6</v>
      </c>
      <c r="I1184">
        <v>0.126</v>
      </c>
      <c r="J1184">
        <v>0.69533299999999998</v>
      </c>
      <c r="K1184">
        <v>0.56933299999999998</v>
      </c>
      <c r="L1184">
        <v>5</v>
      </c>
      <c r="M1184">
        <v>1</v>
      </c>
      <c r="N1184">
        <v>0</v>
      </c>
      <c r="O1184" t="s">
        <v>127</v>
      </c>
      <c r="P1184" t="s">
        <v>127</v>
      </c>
      <c r="Q1184" t="s">
        <v>127</v>
      </c>
    </row>
    <row r="1185" spans="1:17" x14ac:dyDescent="0.25">
      <c r="A1185" t="str">
        <f>IF(C1185&amp;G1185&amp;D1185&lt;&gt;'Funnel setup'!$K$3&amp;'Funnel setup'!$K$4&amp;'Funnel setup'!$K$6,".",IF(A1184=".",1,A1184+1))</f>
        <v>.</v>
      </c>
      <c r="B1185" s="244" t="str">
        <f t="shared" si="18"/>
        <v>Hip Replacement RevisionSub-ICB of GP PracticeNHS DERBY AND DERBYSHIRE ICB - 15M (15M)EQ-5D Index</v>
      </c>
      <c r="C1185" t="s">
        <v>967</v>
      </c>
      <c r="D1185" t="s">
        <v>1021</v>
      </c>
      <c r="E1185" t="s">
        <v>791</v>
      </c>
      <c r="F1185" t="s">
        <v>792</v>
      </c>
      <c r="G1185" t="s">
        <v>963</v>
      </c>
      <c r="H1185">
        <v>22</v>
      </c>
      <c r="I1185">
        <v>0.37163600000000002</v>
      </c>
      <c r="J1185">
        <v>0.62649999999999995</v>
      </c>
      <c r="K1185">
        <v>0.25486399999999998</v>
      </c>
      <c r="L1185">
        <v>14</v>
      </c>
      <c r="M1185">
        <v>1</v>
      </c>
      <c r="N1185">
        <v>7</v>
      </c>
      <c r="O1185" t="s">
        <v>127</v>
      </c>
      <c r="P1185" t="s">
        <v>127</v>
      </c>
      <c r="Q1185" t="s">
        <v>127</v>
      </c>
    </row>
    <row r="1186" spans="1:17" x14ac:dyDescent="0.25">
      <c r="A1186" t="str">
        <f>IF(C1186&amp;G1186&amp;D1186&lt;&gt;'Funnel setup'!$K$3&amp;'Funnel setup'!$K$4&amp;'Funnel setup'!$K$6,".",IF(A1185=".",1,A1185+1))</f>
        <v>.</v>
      </c>
      <c r="B1186" s="244" t="str">
        <f t="shared" si="18"/>
        <v>Hip Replacement RevisionSub-ICB of GP PracticeNHS DEVON ICB - 15N (15N)EQ-5D Index</v>
      </c>
      <c r="C1186" t="s">
        <v>967</v>
      </c>
      <c r="D1186" t="s">
        <v>1021</v>
      </c>
      <c r="E1186" t="s">
        <v>793</v>
      </c>
      <c r="F1186" t="s">
        <v>794</v>
      </c>
      <c r="G1186" t="s">
        <v>963</v>
      </c>
      <c r="H1186">
        <v>8</v>
      </c>
      <c r="I1186">
        <v>0.40749999999999997</v>
      </c>
      <c r="J1186">
        <v>0.74924999999999997</v>
      </c>
      <c r="K1186">
        <v>0.34175</v>
      </c>
      <c r="L1186">
        <v>6</v>
      </c>
      <c r="M1186">
        <v>0</v>
      </c>
      <c r="N1186">
        <v>2</v>
      </c>
      <c r="O1186" t="s">
        <v>127</v>
      </c>
      <c r="P1186" t="s">
        <v>127</v>
      </c>
      <c r="Q1186" t="s">
        <v>127</v>
      </c>
    </row>
    <row r="1187" spans="1:17" x14ac:dyDescent="0.25">
      <c r="A1187" t="str">
        <f>IF(C1187&amp;G1187&amp;D1187&lt;&gt;'Funnel setup'!$K$3&amp;'Funnel setup'!$K$4&amp;'Funnel setup'!$K$6,".",IF(A1186=".",1,A1186+1))</f>
        <v>.</v>
      </c>
      <c r="B1187" s="244" t="str">
        <f t="shared" si="18"/>
        <v>Hip Replacement RevisionSub-ICB of GP PracticeNHS DORSET ICB - 11J (11J)EQ-5D Index</v>
      </c>
      <c r="C1187" t="s">
        <v>967</v>
      </c>
      <c r="D1187" t="s">
        <v>1021</v>
      </c>
      <c r="E1187" t="s">
        <v>795</v>
      </c>
      <c r="F1187" t="s">
        <v>796</v>
      </c>
      <c r="G1187" t="s">
        <v>963</v>
      </c>
      <c r="H1187">
        <v>8</v>
      </c>
      <c r="I1187">
        <v>0.53562500000000002</v>
      </c>
      <c r="J1187">
        <v>0.76149999999999995</v>
      </c>
      <c r="K1187">
        <v>0.22587499999999999</v>
      </c>
      <c r="L1187">
        <v>5</v>
      </c>
      <c r="M1187">
        <v>2</v>
      </c>
      <c r="N1187">
        <v>1</v>
      </c>
      <c r="O1187" t="s">
        <v>127</v>
      </c>
      <c r="P1187" t="s">
        <v>127</v>
      </c>
      <c r="Q1187" t="s">
        <v>127</v>
      </c>
    </row>
    <row r="1188" spans="1:17" x14ac:dyDescent="0.25">
      <c r="A1188" t="str">
        <f>IF(C1188&amp;G1188&amp;D1188&lt;&gt;'Funnel setup'!$K$3&amp;'Funnel setup'!$K$4&amp;'Funnel setup'!$K$6,".",IF(A1187=".",1,A1187+1))</f>
        <v>.</v>
      </c>
      <c r="B1188" s="244" t="str">
        <f t="shared" si="18"/>
        <v>Hip Replacement RevisionSub-ICB of GP PracticeNHS FRIMLEY ICB - D4U1Y (D4U1Y)EQ-5D Index</v>
      </c>
      <c r="C1188" t="s">
        <v>967</v>
      </c>
      <c r="D1188" t="s">
        <v>1021</v>
      </c>
      <c r="E1188" t="s">
        <v>797</v>
      </c>
      <c r="F1188" t="s">
        <v>798</v>
      </c>
      <c r="G1188" t="s">
        <v>963</v>
      </c>
      <c r="H1188">
        <v>12</v>
      </c>
      <c r="I1188">
        <v>0.30258299999999999</v>
      </c>
      <c r="J1188">
        <v>0.84966699999999995</v>
      </c>
      <c r="K1188">
        <v>0.54708299999999999</v>
      </c>
      <c r="L1188">
        <v>11</v>
      </c>
      <c r="M1188">
        <v>0</v>
      </c>
      <c r="N1188">
        <v>1</v>
      </c>
      <c r="O1188" t="s">
        <v>127</v>
      </c>
      <c r="P1188" t="s">
        <v>127</v>
      </c>
      <c r="Q1188" t="s">
        <v>127</v>
      </c>
    </row>
    <row r="1189" spans="1:17" x14ac:dyDescent="0.25">
      <c r="A1189" t="str">
        <f>IF(C1189&amp;G1189&amp;D1189&lt;&gt;'Funnel setup'!$K$3&amp;'Funnel setup'!$K$4&amp;'Funnel setup'!$K$6,".",IF(A1188=".",1,A1188+1))</f>
        <v>.</v>
      </c>
      <c r="B1189" s="244" t="str">
        <f t="shared" si="18"/>
        <v>Hip Replacement RevisionSub-ICB of GP PracticeNHS GLOUCESTERSHIRE ICB - 11M (11M)EQ-5D Index</v>
      </c>
      <c r="C1189" t="s">
        <v>967</v>
      </c>
      <c r="D1189" t="s">
        <v>1021</v>
      </c>
      <c r="E1189" t="s">
        <v>799</v>
      </c>
      <c r="F1189" t="s">
        <v>800</v>
      </c>
      <c r="G1189" t="s">
        <v>963</v>
      </c>
      <c r="H1189">
        <v>5</v>
      </c>
      <c r="I1189">
        <v>0.24179999999999999</v>
      </c>
      <c r="J1189">
        <v>0.79</v>
      </c>
      <c r="K1189">
        <v>0.54820000000000002</v>
      </c>
      <c r="L1189">
        <v>5</v>
      </c>
      <c r="M1189">
        <v>0</v>
      </c>
      <c r="N1189">
        <v>0</v>
      </c>
      <c r="O1189" t="s">
        <v>127</v>
      </c>
      <c r="P1189" t="s">
        <v>127</v>
      </c>
      <c r="Q1189" t="s">
        <v>127</v>
      </c>
    </row>
    <row r="1190" spans="1:17" x14ac:dyDescent="0.25">
      <c r="A1190" t="str">
        <f>IF(C1190&amp;G1190&amp;D1190&lt;&gt;'Funnel setup'!$K$3&amp;'Funnel setup'!$K$4&amp;'Funnel setup'!$K$6,".",IF(A1189=".",1,A1189+1))</f>
        <v>.</v>
      </c>
      <c r="B1190" s="244" t="str">
        <f t="shared" si="18"/>
        <v>Hip Replacement RevisionSub-ICB of GP PracticeNHS GREATER MANCHESTER ICB - 01G (01G)EQ-5D Index</v>
      </c>
      <c r="C1190" t="s">
        <v>967</v>
      </c>
      <c r="D1190" t="s">
        <v>1021</v>
      </c>
      <c r="E1190" t="s">
        <v>809</v>
      </c>
      <c r="F1190" t="s">
        <v>810</v>
      </c>
      <c r="G1190" t="s">
        <v>963</v>
      </c>
      <c r="H1190">
        <v>1</v>
      </c>
      <c r="I1190">
        <v>8.7999999999999995E-2</v>
      </c>
      <c r="J1190">
        <v>1</v>
      </c>
      <c r="K1190">
        <v>0.91200000000000003</v>
      </c>
      <c r="L1190">
        <v>1</v>
      </c>
      <c r="M1190">
        <v>0</v>
      </c>
      <c r="N1190">
        <v>0</v>
      </c>
      <c r="O1190" t="s">
        <v>127</v>
      </c>
      <c r="P1190" t="s">
        <v>127</v>
      </c>
      <c r="Q1190" t="s">
        <v>127</v>
      </c>
    </row>
    <row r="1191" spans="1:17" x14ac:dyDescent="0.25">
      <c r="A1191" t="str">
        <f>IF(C1191&amp;G1191&amp;D1191&lt;&gt;'Funnel setup'!$K$3&amp;'Funnel setup'!$K$4&amp;'Funnel setup'!$K$6,".",IF(A1190=".",1,A1190+1))</f>
        <v>.</v>
      </c>
      <c r="B1191" s="244" t="str">
        <f t="shared" si="18"/>
        <v>Hip Replacement RevisionSub-ICB of GP PracticeNHS GREATER MANCHESTER ICB - 01W (01W)EQ-5D Index</v>
      </c>
      <c r="C1191" t="s">
        <v>967</v>
      </c>
      <c r="D1191" t="s">
        <v>1021</v>
      </c>
      <c r="E1191" t="s">
        <v>811</v>
      </c>
      <c r="F1191" t="s">
        <v>812</v>
      </c>
      <c r="G1191" t="s">
        <v>963</v>
      </c>
      <c r="H1191">
        <v>5</v>
      </c>
      <c r="I1191">
        <v>0.2152</v>
      </c>
      <c r="J1191">
        <v>0.74960000000000004</v>
      </c>
      <c r="K1191">
        <v>0.53439999999999999</v>
      </c>
      <c r="L1191">
        <v>5</v>
      </c>
      <c r="M1191">
        <v>0</v>
      </c>
      <c r="N1191">
        <v>0</v>
      </c>
      <c r="O1191" t="s">
        <v>127</v>
      </c>
      <c r="P1191" t="s">
        <v>127</v>
      </c>
      <c r="Q1191" t="s">
        <v>127</v>
      </c>
    </row>
    <row r="1192" spans="1:17" x14ac:dyDescent="0.25">
      <c r="A1192" t="str">
        <f>IF(C1192&amp;G1192&amp;D1192&lt;&gt;'Funnel setup'!$K$3&amp;'Funnel setup'!$K$4&amp;'Funnel setup'!$K$6,".",IF(A1191=".",1,A1191+1))</f>
        <v>.</v>
      </c>
      <c r="B1192" s="244" t="str">
        <f t="shared" si="18"/>
        <v>Hip Replacement RevisionSub-ICB of GP PracticeNHS GREATER MANCHESTER ICB - 14L (14L)EQ-5D Index</v>
      </c>
      <c r="C1192" t="s">
        <v>967</v>
      </c>
      <c r="D1192" t="s">
        <v>1021</v>
      </c>
      <c r="E1192" t="s">
        <v>819</v>
      </c>
      <c r="F1192" t="s">
        <v>820</v>
      </c>
      <c r="G1192" t="s">
        <v>963</v>
      </c>
      <c r="H1192">
        <v>2</v>
      </c>
      <c r="I1192">
        <v>0.63900000000000001</v>
      </c>
      <c r="J1192">
        <v>0.38650000000000001</v>
      </c>
      <c r="K1192">
        <v>-0.2525</v>
      </c>
      <c r="L1192">
        <v>0</v>
      </c>
      <c r="M1192">
        <v>1</v>
      </c>
      <c r="N1192">
        <v>1</v>
      </c>
      <c r="O1192" t="s">
        <v>127</v>
      </c>
      <c r="P1192" t="s">
        <v>127</v>
      </c>
      <c r="Q1192" t="s">
        <v>127</v>
      </c>
    </row>
    <row r="1193" spans="1:17" x14ac:dyDescent="0.25">
      <c r="A1193" t="str">
        <f>IF(C1193&amp;G1193&amp;D1193&lt;&gt;'Funnel setup'!$K$3&amp;'Funnel setup'!$K$4&amp;'Funnel setup'!$K$6,".",IF(A1192=".",1,A1192+1))</f>
        <v>.</v>
      </c>
      <c r="B1193" s="244" t="str">
        <f t="shared" si="18"/>
        <v>Hip Replacement RevisionSub-ICB of GP PracticeNHS HAMPSHIRE AND ISLE OF WIGHT ICB - D9Y0V (D9Y0V)EQ-5D Index</v>
      </c>
      <c r="C1193" t="s">
        <v>967</v>
      </c>
      <c r="D1193" t="s">
        <v>1021</v>
      </c>
      <c r="E1193" t="s">
        <v>823</v>
      </c>
      <c r="F1193" t="s">
        <v>824</v>
      </c>
      <c r="G1193" t="s">
        <v>963</v>
      </c>
      <c r="H1193">
        <v>14</v>
      </c>
      <c r="I1193">
        <v>0.39642899999999998</v>
      </c>
      <c r="J1193">
        <v>0.70028599999999996</v>
      </c>
      <c r="K1193">
        <v>0.30385699999999999</v>
      </c>
      <c r="L1193">
        <v>10</v>
      </c>
      <c r="M1193">
        <v>1</v>
      </c>
      <c r="N1193">
        <v>3</v>
      </c>
      <c r="O1193" t="s">
        <v>127</v>
      </c>
      <c r="P1193" t="s">
        <v>127</v>
      </c>
      <c r="Q1193" t="s">
        <v>127</v>
      </c>
    </row>
    <row r="1194" spans="1:17" x14ac:dyDescent="0.25">
      <c r="A1194" t="str">
        <f>IF(C1194&amp;G1194&amp;D1194&lt;&gt;'Funnel setup'!$K$3&amp;'Funnel setup'!$K$4&amp;'Funnel setup'!$K$6,".",IF(A1193=".",1,A1193+1))</f>
        <v>.</v>
      </c>
      <c r="B1194" s="244" t="str">
        <f t="shared" si="18"/>
        <v>Hip Replacement RevisionSub-ICB of GP PracticeNHS HEREFORDSHIRE AND WORCESTERSHIRE ICB - 18C (18C)EQ-5D Index</v>
      </c>
      <c r="C1194" t="s">
        <v>967</v>
      </c>
      <c r="D1194" t="s">
        <v>1021</v>
      </c>
      <c r="E1194" t="s">
        <v>825</v>
      </c>
      <c r="F1194" t="s">
        <v>826</v>
      </c>
      <c r="G1194" t="s">
        <v>963</v>
      </c>
      <c r="H1194">
        <v>19</v>
      </c>
      <c r="I1194">
        <v>0.25173699999999999</v>
      </c>
      <c r="J1194">
        <v>0.63521099999999997</v>
      </c>
      <c r="K1194">
        <v>0.38347399999999998</v>
      </c>
      <c r="L1194">
        <v>17</v>
      </c>
      <c r="M1194">
        <v>2</v>
      </c>
      <c r="N1194">
        <v>0</v>
      </c>
      <c r="O1194" t="s">
        <v>127</v>
      </c>
      <c r="P1194" t="s">
        <v>127</v>
      </c>
      <c r="Q1194" t="s">
        <v>127</v>
      </c>
    </row>
    <row r="1195" spans="1:17" x14ac:dyDescent="0.25">
      <c r="A1195" t="str">
        <f>IF(C1195&amp;G1195&amp;D1195&lt;&gt;'Funnel setup'!$K$3&amp;'Funnel setup'!$K$4&amp;'Funnel setup'!$K$6,".",IF(A1194=".",1,A1194+1))</f>
        <v>.</v>
      </c>
      <c r="B1195" s="244" t="str">
        <f t="shared" si="18"/>
        <v>Hip Replacement RevisionSub-ICB of GP PracticeNHS HERTFORDSHIRE AND WEST ESSEX ICB - 06K (06K)EQ-5D Index</v>
      </c>
      <c r="C1195" t="s">
        <v>967</v>
      </c>
      <c r="D1195" t="s">
        <v>1021</v>
      </c>
      <c r="E1195" t="s">
        <v>827</v>
      </c>
      <c r="F1195" t="s">
        <v>828</v>
      </c>
      <c r="G1195" t="s">
        <v>963</v>
      </c>
      <c r="H1195">
        <v>12</v>
      </c>
      <c r="I1195">
        <v>0.45608300000000002</v>
      </c>
      <c r="J1195">
        <v>0.72424999999999995</v>
      </c>
      <c r="K1195">
        <v>0.26816699999999999</v>
      </c>
      <c r="L1195">
        <v>9</v>
      </c>
      <c r="M1195">
        <v>0</v>
      </c>
      <c r="N1195">
        <v>3</v>
      </c>
      <c r="O1195" t="s">
        <v>127</v>
      </c>
      <c r="P1195" t="s">
        <v>127</v>
      </c>
      <c r="Q1195" t="s">
        <v>127</v>
      </c>
    </row>
    <row r="1196" spans="1:17" x14ac:dyDescent="0.25">
      <c r="A1196" t="str">
        <f>IF(C1196&amp;G1196&amp;D1196&lt;&gt;'Funnel setup'!$K$3&amp;'Funnel setup'!$K$4&amp;'Funnel setup'!$K$6,".",IF(A1195=".",1,A1195+1))</f>
        <v>.</v>
      </c>
      <c r="B1196" s="244" t="str">
        <f t="shared" si="18"/>
        <v>Hip Replacement RevisionSub-ICB of GP PracticeNHS HERTFORDSHIRE AND WEST ESSEX ICB - 06N (06N)EQ-5D Index</v>
      </c>
      <c r="C1196" t="s">
        <v>967</v>
      </c>
      <c r="D1196" t="s">
        <v>1021</v>
      </c>
      <c r="E1196" t="s">
        <v>829</v>
      </c>
      <c r="F1196" t="s">
        <v>830</v>
      </c>
      <c r="G1196" t="s">
        <v>963</v>
      </c>
      <c r="H1196">
        <v>10</v>
      </c>
      <c r="I1196">
        <v>0.2273</v>
      </c>
      <c r="J1196">
        <v>0.66900000000000004</v>
      </c>
      <c r="K1196">
        <v>0.44169999999999998</v>
      </c>
      <c r="L1196">
        <v>8</v>
      </c>
      <c r="M1196">
        <v>1</v>
      </c>
      <c r="N1196">
        <v>1</v>
      </c>
      <c r="O1196" t="s">
        <v>127</v>
      </c>
      <c r="P1196" t="s">
        <v>127</v>
      </c>
      <c r="Q1196" t="s">
        <v>127</v>
      </c>
    </row>
    <row r="1197" spans="1:17" x14ac:dyDescent="0.25">
      <c r="A1197" t="str">
        <f>IF(C1197&amp;G1197&amp;D1197&lt;&gt;'Funnel setup'!$K$3&amp;'Funnel setup'!$K$4&amp;'Funnel setup'!$K$6,".",IF(A1196=".",1,A1196+1))</f>
        <v>.</v>
      </c>
      <c r="B1197" s="244" t="str">
        <f t="shared" si="18"/>
        <v>Hip Replacement RevisionSub-ICB of GP PracticeNHS HERTFORDSHIRE AND WEST ESSEX ICB - 07H (07H)EQ-5D Index</v>
      </c>
      <c r="C1197" t="s">
        <v>967</v>
      </c>
      <c r="D1197" t="s">
        <v>1021</v>
      </c>
      <c r="E1197" t="s">
        <v>831</v>
      </c>
      <c r="F1197" t="s">
        <v>832</v>
      </c>
      <c r="G1197" t="s">
        <v>963</v>
      </c>
      <c r="H1197">
        <v>2</v>
      </c>
      <c r="I1197">
        <v>0.56799999999999995</v>
      </c>
      <c r="J1197">
        <v>0.56850000000000001</v>
      </c>
      <c r="K1197">
        <v>5.0000000000000001E-4</v>
      </c>
      <c r="L1197">
        <v>1</v>
      </c>
      <c r="M1197">
        <v>0</v>
      </c>
      <c r="N1197">
        <v>1</v>
      </c>
      <c r="O1197" t="s">
        <v>127</v>
      </c>
      <c r="P1197" t="s">
        <v>127</v>
      </c>
      <c r="Q1197" t="s">
        <v>127</v>
      </c>
    </row>
    <row r="1198" spans="1:17" x14ac:dyDescent="0.25">
      <c r="A1198" t="str">
        <f>IF(C1198&amp;G1198&amp;D1198&lt;&gt;'Funnel setup'!$K$3&amp;'Funnel setup'!$K$4&amp;'Funnel setup'!$K$6,".",IF(A1197=".",1,A1197+1))</f>
        <v>.</v>
      </c>
      <c r="B1198" s="244" t="str">
        <f t="shared" si="18"/>
        <v>Hip Replacement RevisionSub-ICB of GP PracticeNHS HUMBER AND NORTH YORKSHIRE ICB - 02Y (02Y)EQ-5D Index</v>
      </c>
      <c r="C1198" t="s">
        <v>967</v>
      </c>
      <c r="D1198" t="s">
        <v>1021</v>
      </c>
      <c r="E1198" t="s">
        <v>833</v>
      </c>
      <c r="F1198" t="s">
        <v>834</v>
      </c>
      <c r="G1198" t="s">
        <v>963</v>
      </c>
      <c r="H1198">
        <v>2</v>
      </c>
      <c r="I1198">
        <v>0.30199999999999999</v>
      </c>
      <c r="J1198">
        <v>0.75149999999999995</v>
      </c>
      <c r="K1198">
        <v>0.44950000000000001</v>
      </c>
      <c r="L1198">
        <v>2</v>
      </c>
      <c r="M1198">
        <v>0</v>
      </c>
      <c r="N1198">
        <v>0</v>
      </c>
      <c r="O1198" t="s">
        <v>127</v>
      </c>
      <c r="P1198" t="s">
        <v>127</v>
      </c>
      <c r="Q1198" t="s">
        <v>127</v>
      </c>
    </row>
    <row r="1199" spans="1:17" x14ac:dyDescent="0.25">
      <c r="A1199" t="str">
        <f>IF(C1199&amp;G1199&amp;D1199&lt;&gt;'Funnel setup'!$K$3&amp;'Funnel setup'!$K$4&amp;'Funnel setup'!$K$6,".",IF(A1198=".",1,A1198+1))</f>
        <v>.</v>
      </c>
      <c r="B1199" s="244" t="str">
        <f t="shared" si="18"/>
        <v>Hip Replacement RevisionSub-ICB of GP PracticeNHS HUMBER AND NORTH YORKSHIRE ICB - 03F (03F)EQ-5D Index</v>
      </c>
      <c r="C1199" t="s">
        <v>967</v>
      </c>
      <c r="D1199" t="s">
        <v>1021</v>
      </c>
      <c r="E1199" t="s">
        <v>835</v>
      </c>
      <c r="F1199" t="s">
        <v>836</v>
      </c>
      <c r="G1199" t="s">
        <v>963</v>
      </c>
      <c r="H1199">
        <v>2</v>
      </c>
      <c r="I1199">
        <v>-9.4999999999999998E-3</v>
      </c>
      <c r="J1199">
        <v>0.58699999999999997</v>
      </c>
      <c r="K1199">
        <v>0.59650000000000003</v>
      </c>
      <c r="L1199">
        <v>2</v>
      </c>
      <c r="M1199">
        <v>0</v>
      </c>
      <c r="N1199">
        <v>0</v>
      </c>
      <c r="O1199" t="s">
        <v>127</v>
      </c>
      <c r="P1199" t="s">
        <v>127</v>
      </c>
      <c r="Q1199" t="s">
        <v>127</v>
      </c>
    </row>
    <row r="1200" spans="1:17" x14ac:dyDescent="0.25">
      <c r="A1200" t="str">
        <f>IF(C1200&amp;G1200&amp;D1200&lt;&gt;'Funnel setup'!$K$3&amp;'Funnel setup'!$K$4&amp;'Funnel setup'!$K$6,".",IF(A1199=".",1,A1199+1))</f>
        <v>.</v>
      </c>
      <c r="B1200" s="244" t="str">
        <f t="shared" si="18"/>
        <v>Hip Replacement RevisionSub-ICB of GP PracticeNHS HUMBER AND NORTH YORKSHIRE ICB - 03Q (03Q)EQ-5D Index</v>
      </c>
      <c r="C1200" t="s">
        <v>967</v>
      </c>
      <c r="D1200" t="s">
        <v>1021</v>
      </c>
      <c r="E1200" t="s">
        <v>841</v>
      </c>
      <c r="F1200" t="s">
        <v>842</v>
      </c>
      <c r="G1200" t="s">
        <v>963</v>
      </c>
      <c r="H1200">
        <v>4</v>
      </c>
      <c r="I1200">
        <v>0.63400000000000001</v>
      </c>
      <c r="J1200">
        <v>0.83374999999999999</v>
      </c>
      <c r="K1200">
        <v>0.19975000000000001</v>
      </c>
      <c r="L1200">
        <v>3</v>
      </c>
      <c r="M1200">
        <v>1</v>
      </c>
      <c r="N1200">
        <v>0</v>
      </c>
      <c r="O1200" t="s">
        <v>127</v>
      </c>
      <c r="P1200" t="s">
        <v>127</v>
      </c>
      <c r="Q1200" t="s">
        <v>127</v>
      </c>
    </row>
    <row r="1201" spans="1:17" x14ac:dyDescent="0.25">
      <c r="A1201" t="str">
        <f>IF(C1201&amp;G1201&amp;D1201&lt;&gt;'Funnel setup'!$K$3&amp;'Funnel setup'!$K$4&amp;'Funnel setup'!$K$6,".",IF(A1200=".",1,A1200+1))</f>
        <v>.</v>
      </c>
      <c r="B1201" s="244" t="str">
        <f t="shared" si="18"/>
        <v>Hip Replacement RevisionSub-ICB of GP PracticeNHS HUMBER AND NORTH YORKSHIRE ICB - 42D (42D)EQ-5D Index</v>
      </c>
      <c r="C1201" t="s">
        <v>967</v>
      </c>
      <c r="D1201" t="s">
        <v>1021</v>
      </c>
      <c r="E1201" t="s">
        <v>843</v>
      </c>
      <c r="F1201" t="s">
        <v>844</v>
      </c>
      <c r="G1201" t="s">
        <v>963</v>
      </c>
      <c r="H1201">
        <v>12</v>
      </c>
      <c r="I1201">
        <v>0.499</v>
      </c>
      <c r="J1201">
        <v>0.66291699999999998</v>
      </c>
      <c r="K1201">
        <v>0.16391700000000001</v>
      </c>
      <c r="L1201">
        <v>9</v>
      </c>
      <c r="M1201">
        <v>0</v>
      </c>
      <c r="N1201">
        <v>3</v>
      </c>
      <c r="O1201" t="s">
        <v>127</v>
      </c>
      <c r="P1201" t="s">
        <v>127</v>
      </c>
      <c r="Q1201" t="s">
        <v>127</v>
      </c>
    </row>
    <row r="1202" spans="1:17" x14ac:dyDescent="0.25">
      <c r="A1202" t="str">
        <f>IF(C1202&amp;G1202&amp;D1202&lt;&gt;'Funnel setup'!$K$3&amp;'Funnel setup'!$K$4&amp;'Funnel setup'!$K$6,".",IF(A1201=".",1,A1201+1))</f>
        <v>.</v>
      </c>
      <c r="B1202" s="244" t="str">
        <f t="shared" si="18"/>
        <v>Hip Replacement RevisionSub-ICB of GP PracticeNHS KENT AND MEDWAY ICB - 91Q (91Q)EQ-5D Index</v>
      </c>
      <c r="C1202" t="s">
        <v>967</v>
      </c>
      <c r="D1202" t="s">
        <v>1021</v>
      </c>
      <c r="E1202" t="s">
        <v>845</v>
      </c>
      <c r="F1202" t="s">
        <v>846</v>
      </c>
      <c r="G1202" t="s">
        <v>963</v>
      </c>
      <c r="H1202">
        <v>22</v>
      </c>
      <c r="I1202">
        <v>0.39363599999999999</v>
      </c>
      <c r="J1202">
        <v>0.65731799999999996</v>
      </c>
      <c r="K1202">
        <v>0.26368200000000003</v>
      </c>
      <c r="L1202">
        <v>14</v>
      </c>
      <c r="M1202">
        <v>2</v>
      </c>
      <c r="N1202">
        <v>6</v>
      </c>
      <c r="O1202" t="s">
        <v>127</v>
      </c>
      <c r="P1202" t="s">
        <v>127</v>
      </c>
      <c r="Q1202" t="s">
        <v>127</v>
      </c>
    </row>
    <row r="1203" spans="1:17" x14ac:dyDescent="0.25">
      <c r="A1203" t="str">
        <f>IF(C1203&amp;G1203&amp;D1203&lt;&gt;'Funnel setup'!$K$3&amp;'Funnel setup'!$K$4&amp;'Funnel setup'!$K$6,".",IF(A1202=".",1,A1202+1))</f>
        <v>.</v>
      </c>
      <c r="B1203" s="244" t="str">
        <f t="shared" si="18"/>
        <v>Hip Replacement RevisionSub-ICB of GP PracticeNHS LANCASHIRE AND SOUTH CUMBRIA ICB - 00Q (00Q)EQ-5D Index</v>
      </c>
      <c r="C1203" t="s">
        <v>967</v>
      </c>
      <c r="D1203" t="s">
        <v>1021</v>
      </c>
      <c r="E1203" t="s">
        <v>847</v>
      </c>
      <c r="F1203" t="s">
        <v>848</v>
      </c>
      <c r="G1203" t="s">
        <v>963</v>
      </c>
      <c r="H1203">
        <v>1</v>
      </c>
      <c r="I1203">
        <v>0.69099999999999995</v>
      </c>
      <c r="J1203">
        <v>0.81399999999999995</v>
      </c>
      <c r="K1203">
        <v>0.123</v>
      </c>
      <c r="L1203">
        <v>1</v>
      </c>
      <c r="M1203">
        <v>0</v>
      </c>
      <c r="N1203">
        <v>0</v>
      </c>
      <c r="O1203" t="s">
        <v>127</v>
      </c>
      <c r="P1203" t="s">
        <v>127</v>
      </c>
      <c r="Q1203" t="s">
        <v>127</v>
      </c>
    </row>
    <row r="1204" spans="1:17" x14ac:dyDescent="0.25">
      <c r="A1204" t="str">
        <f>IF(C1204&amp;G1204&amp;D1204&lt;&gt;'Funnel setup'!$K$3&amp;'Funnel setup'!$K$4&amp;'Funnel setup'!$K$6,".",IF(A1203=".",1,A1203+1))</f>
        <v>.</v>
      </c>
      <c r="B1204" s="244" t="str">
        <f t="shared" si="18"/>
        <v>Hip Replacement RevisionSub-ICB of GP PracticeNHS LANCASHIRE AND SOUTH CUMBRIA ICB - 01A (01A)EQ-5D Index</v>
      </c>
      <c r="C1204" t="s">
        <v>967</v>
      </c>
      <c r="D1204" t="s">
        <v>1021</v>
      </c>
      <c r="E1204" t="s">
        <v>853</v>
      </c>
      <c r="F1204" t="s">
        <v>854</v>
      </c>
      <c r="G1204" t="s">
        <v>963</v>
      </c>
      <c r="H1204">
        <v>2</v>
      </c>
      <c r="I1204">
        <v>0.37</v>
      </c>
      <c r="J1204">
        <v>0.60350000000000004</v>
      </c>
      <c r="K1204">
        <v>0.23350000000000001</v>
      </c>
      <c r="L1204">
        <v>1</v>
      </c>
      <c r="M1204">
        <v>0</v>
      </c>
      <c r="N1204">
        <v>1</v>
      </c>
      <c r="O1204" t="s">
        <v>127</v>
      </c>
      <c r="P1204" t="s">
        <v>127</v>
      </c>
      <c r="Q1204" t="s">
        <v>127</v>
      </c>
    </row>
    <row r="1205" spans="1:17" x14ac:dyDescent="0.25">
      <c r="A1205" t="str">
        <f>IF(C1205&amp;G1205&amp;D1205&lt;&gt;'Funnel setup'!$K$3&amp;'Funnel setup'!$K$4&amp;'Funnel setup'!$K$6,".",IF(A1204=".",1,A1204+1))</f>
        <v>.</v>
      </c>
      <c r="B1205" s="244" t="str">
        <f t="shared" si="18"/>
        <v>Hip Replacement RevisionSub-ICB of GP PracticeNHS LANCASHIRE AND SOUTH CUMBRIA ICB - 01E (01E)EQ-5D Index</v>
      </c>
      <c r="C1205" t="s">
        <v>967</v>
      </c>
      <c r="D1205" t="s">
        <v>1021</v>
      </c>
      <c r="E1205" t="s">
        <v>855</v>
      </c>
      <c r="F1205" t="s">
        <v>856</v>
      </c>
      <c r="G1205" t="s">
        <v>963</v>
      </c>
      <c r="H1205">
        <v>1</v>
      </c>
      <c r="I1205">
        <v>0.51600000000000001</v>
      </c>
      <c r="J1205">
        <v>1</v>
      </c>
      <c r="K1205">
        <v>0.48399999999999999</v>
      </c>
      <c r="L1205">
        <v>1</v>
      </c>
      <c r="M1205">
        <v>0</v>
      </c>
      <c r="N1205">
        <v>0</v>
      </c>
      <c r="O1205" t="s">
        <v>127</v>
      </c>
      <c r="P1205" t="s">
        <v>127</v>
      </c>
      <c r="Q1205" t="s">
        <v>127</v>
      </c>
    </row>
    <row r="1206" spans="1:17" x14ac:dyDescent="0.25">
      <c r="A1206" t="str">
        <f>IF(C1206&amp;G1206&amp;D1206&lt;&gt;'Funnel setup'!$K$3&amp;'Funnel setup'!$K$4&amp;'Funnel setup'!$K$6,".",IF(A1205=".",1,A1205+1))</f>
        <v>.</v>
      </c>
      <c r="B1206" s="244" t="str">
        <f t="shared" si="18"/>
        <v>Hip Replacement RevisionSub-ICB of GP PracticeNHS LANCASHIRE AND SOUTH CUMBRIA ICB - 01K (01K)EQ-5D Index</v>
      </c>
      <c r="C1206" t="s">
        <v>967</v>
      </c>
      <c r="D1206" t="s">
        <v>1021</v>
      </c>
      <c r="E1206" t="s">
        <v>857</v>
      </c>
      <c r="F1206" t="s">
        <v>858</v>
      </c>
      <c r="G1206" t="s">
        <v>963</v>
      </c>
      <c r="H1206">
        <v>8</v>
      </c>
      <c r="I1206">
        <v>0.28225</v>
      </c>
      <c r="J1206">
        <v>0.67200000000000004</v>
      </c>
      <c r="K1206">
        <v>0.38974999999999999</v>
      </c>
      <c r="L1206">
        <v>8</v>
      </c>
      <c r="M1206">
        <v>0</v>
      </c>
      <c r="N1206">
        <v>0</v>
      </c>
      <c r="O1206" t="s">
        <v>127</v>
      </c>
      <c r="P1206" t="s">
        <v>127</v>
      </c>
      <c r="Q1206" t="s">
        <v>127</v>
      </c>
    </row>
    <row r="1207" spans="1:17" x14ac:dyDescent="0.25">
      <c r="A1207" t="str">
        <f>IF(C1207&amp;G1207&amp;D1207&lt;&gt;'Funnel setup'!$K$3&amp;'Funnel setup'!$K$4&amp;'Funnel setup'!$K$6,".",IF(A1206=".",1,A1206+1))</f>
        <v>.</v>
      </c>
      <c r="B1207" s="244" t="str">
        <f t="shared" si="18"/>
        <v>Hip Replacement RevisionSub-ICB of GP PracticeNHS LANCASHIRE AND SOUTH CUMBRIA ICB - 02G (02G)EQ-5D Index</v>
      </c>
      <c r="C1207" t="s">
        <v>967</v>
      </c>
      <c r="D1207" t="s">
        <v>1021</v>
      </c>
      <c r="E1207" t="s">
        <v>859</v>
      </c>
      <c r="F1207" t="s">
        <v>860</v>
      </c>
      <c r="G1207" t="s">
        <v>963</v>
      </c>
      <c r="H1207">
        <v>1</v>
      </c>
      <c r="I1207">
        <v>0.51600000000000001</v>
      </c>
      <c r="J1207">
        <v>0.51600000000000001</v>
      </c>
      <c r="K1207">
        <v>0</v>
      </c>
      <c r="L1207">
        <v>0</v>
      </c>
      <c r="M1207">
        <v>1</v>
      </c>
      <c r="N1207">
        <v>0</v>
      </c>
      <c r="O1207" t="s">
        <v>127</v>
      </c>
      <c r="P1207" t="s">
        <v>127</v>
      </c>
      <c r="Q1207" t="s">
        <v>127</v>
      </c>
    </row>
    <row r="1208" spans="1:17" x14ac:dyDescent="0.25">
      <c r="A1208" t="str">
        <f>IF(C1208&amp;G1208&amp;D1208&lt;&gt;'Funnel setup'!$K$3&amp;'Funnel setup'!$K$4&amp;'Funnel setup'!$K$6,".",IF(A1207=".",1,A1207+1))</f>
        <v>.</v>
      </c>
      <c r="B1208" s="244" t="str">
        <f t="shared" si="18"/>
        <v>Hip Replacement RevisionSub-ICB of GP PracticeNHS LANCASHIRE AND SOUTH CUMBRIA ICB - 02M (02M)EQ-5D Index</v>
      </c>
      <c r="C1208" t="s">
        <v>967</v>
      </c>
      <c r="D1208" t="s">
        <v>1021</v>
      </c>
      <c r="E1208" t="s">
        <v>861</v>
      </c>
      <c r="F1208" t="s">
        <v>862</v>
      </c>
      <c r="G1208" t="s">
        <v>963</v>
      </c>
      <c r="H1208">
        <v>4</v>
      </c>
      <c r="I1208">
        <v>0.09</v>
      </c>
      <c r="J1208">
        <v>0.53174999999999994</v>
      </c>
      <c r="K1208">
        <v>0.44174999999999998</v>
      </c>
      <c r="L1208">
        <v>4</v>
      </c>
      <c r="M1208">
        <v>0</v>
      </c>
      <c r="N1208">
        <v>0</v>
      </c>
      <c r="O1208" t="s">
        <v>127</v>
      </c>
      <c r="P1208" t="s">
        <v>127</v>
      </c>
      <c r="Q1208" t="s">
        <v>127</v>
      </c>
    </row>
    <row r="1209" spans="1:17" x14ac:dyDescent="0.25">
      <c r="A1209" t="str">
        <f>IF(C1209&amp;G1209&amp;D1209&lt;&gt;'Funnel setup'!$K$3&amp;'Funnel setup'!$K$4&amp;'Funnel setup'!$K$6,".",IF(A1208=".",1,A1208+1))</f>
        <v>.</v>
      </c>
      <c r="B1209" s="244" t="str">
        <f t="shared" si="18"/>
        <v>Hip Replacement RevisionSub-ICB of GP PracticeNHS LEICESTER, LEICESTERSHIRE AND RUTLAND ICB - 03W (03W)EQ-5D Index</v>
      </c>
      <c r="C1209" t="s">
        <v>967</v>
      </c>
      <c r="D1209" t="s">
        <v>1021</v>
      </c>
      <c r="E1209" t="s">
        <v>863</v>
      </c>
      <c r="F1209" t="s">
        <v>864</v>
      </c>
      <c r="G1209" t="s">
        <v>963</v>
      </c>
      <c r="H1209">
        <v>10</v>
      </c>
      <c r="I1209">
        <v>0.23280000000000001</v>
      </c>
      <c r="J1209">
        <v>0.69040000000000001</v>
      </c>
      <c r="K1209">
        <v>0.45760000000000001</v>
      </c>
      <c r="L1209">
        <v>10</v>
      </c>
      <c r="M1209">
        <v>0</v>
      </c>
      <c r="N1209">
        <v>0</v>
      </c>
      <c r="O1209" t="s">
        <v>127</v>
      </c>
      <c r="P1209" t="s">
        <v>127</v>
      </c>
      <c r="Q1209" t="s">
        <v>127</v>
      </c>
    </row>
    <row r="1210" spans="1:17" x14ac:dyDescent="0.25">
      <c r="A1210" t="str">
        <f>IF(C1210&amp;G1210&amp;D1210&lt;&gt;'Funnel setup'!$K$3&amp;'Funnel setup'!$K$4&amp;'Funnel setup'!$K$6,".",IF(A1209=".",1,A1209+1))</f>
        <v>.</v>
      </c>
      <c r="B1210" s="244" t="str">
        <f t="shared" si="18"/>
        <v>Hip Replacement RevisionSub-ICB of GP PracticeNHS LEICESTER, LEICESTERSHIRE AND RUTLAND ICB - 04C (04C)EQ-5D Index</v>
      </c>
      <c r="C1210" t="s">
        <v>967</v>
      </c>
      <c r="D1210" t="s">
        <v>1021</v>
      </c>
      <c r="E1210" t="s">
        <v>865</v>
      </c>
      <c r="F1210" t="s">
        <v>866</v>
      </c>
      <c r="G1210" t="s">
        <v>963</v>
      </c>
      <c r="H1210" t="s">
        <v>127</v>
      </c>
      <c r="I1210" t="s">
        <v>127</v>
      </c>
      <c r="J1210" t="s">
        <v>127</v>
      </c>
      <c r="K1210" t="s">
        <v>127</v>
      </c>
      <c r="L1210" t="s">
        <v>127</v>
      </c>
      <c r="M1210" t="s">
        <v>127</v>
      </c>
      <c r="N1210" t="s">
        <v>127</v>
      </c>
      <c r="O1210" t="s">
        <v>127</v>
      </c>
      <c r="P1210" t="s">
        <v>127</v>
      </c>
      <c r="Q1210" t="s">
        <v>127</v>
      </c>
    </row>
    <row r="1211" spans="1:17" x14ac:dyDescent="0.25">
      <c r="A1211" t="str">
        <f>IF(C1211&amp;G1211&amp;D1211&lt;&gt;'Funnel setup'!$K$3&amp;'Funnel setup'!$K$4&amp;'Funnel setup'!$K$6,".",IF(A1210=".",1,A1210+1))</f>
        <v>.</v>
      </c>
      <c r="B1211" s="244" t="str">
        <f t="shared" si="18"/>
        <v>Hip Replacement RevisionSub-ICB of GP PracticeNHS LEICESTER, LEICESTERSHIRE AND RUTLAND ICB - 04V (04V)EQ-5D Index</v>
      </c>
      <c r="C1211" t="s">
        <v>967</v>
      </c>
      <c r="D1211" t="s">
        <v>1021</v>
      </c>
      <c r="E1211" t="s">
        <v>867</v>
      </c>
      <c r="F1211" t="s">
        <v>868</v>
      </c>
      <c r="G1211" t="s">
        <v>963</v>
      </c>
      <c r="H1211">
        <v>4</v>
      </c>
      <c r="I1211">
        <v>0.37425000000000003</v>
      </c>
      <c r="J1211">
        <v>0.80374999999999996</v>
      </c>
      <c r="K1211">
        <v>0.42949999999999999</v>
      </c>
      <c r="L1211">
        <v>4</v>
      </c>
      <c r="M1211">
        <v>0</v>
      </c>
      <c r="N1211">
        <v>0</v>
      </c>
      <c r="O1211" t="s">
        <v>127</v>
      </c>
      <c r="P1211" t="s">
        <v>127</v>
      </c>
      <c r="Q1211" t="s">
        <v>127</v>
      </c>
    </row>
    <row r="1212" spans="1:17" x14ac:dyDescent="0.25">
      <c r="A1212" t="str">
        <f>IF(C1212&amp;G1212&amp;D1212&lt;&gt;'Funnel setup'!$K$3&amp;'Funnel setup'!$K$4&amp;'Funnel setup'!$K$6,".",IF(A1211=".",1,A1211+1))</f>
        <v>.</v>
      </c>
      <c r="B1212" s="244" t="str">
        <f t="shared" si="18"/>
        <v>Hip Replacement RevisionSub-ICB of GP PracticeNHS LINCOLNSHIRE ICB - 71E (71E)EQ-5D Index</v>
      </c>
      <c r="C1212" t="s">
        <v>967</v>
      </c>
      <c r="D1212" t="s">
        <v>1021</v>
      </c>
      <c r="E1212" t="s">
        <v>869</v>
      </c>
      <c r="F1212" t="s">
        <v>870</v>
      </c>
      <c r="G1212" t="s">
        <v>963</v>
      </c>
      <c r="H1212">
        <v>3</v>
      </c>
      <c r="I1212">
        <v>0.69133299999999998</v>
      </c>
      <c r="J1212">
        <v>0.39500000000000002</v>
      </c>
      <c r="K1212">
        <v>-0.29633300000000001</v>
      </c>
      <c r="L1212">
        <v>2</v>
      </c>
      <c r="M1212">
        <v>0</v>
      </c>
      <c r="N1212">
        <v>1</v>
      </c>
      <c r="O1212" t="s">
        <v>127</v>
      </c>
      <c r="P1212" t="s">
        <v>127</v>
      </c>
      <c r="Q1212" t="s">
        <v>127</v>
      </c>
    </row>
    <row r="1213" spans="1:17" x14ac:dyDescent="0.25">
      <c r="A1213" t="str">
        <f>IF(C1213&amp;G1213&amp;D1213&lt;&gt;'Funnel setup'!$K$3&amp;'Funnel setup'!$K$4&amp;'Funnel setup'!$K$6,".",IF(A1212=".",1,A1212+1))</f>
        <v>.</v>
      </c>
      <c r="B1213" s="244" t="str">
        <f t="shared" si="18"/>
        <v>Hip Replacement RevisionSub-ICB of GP PracticeNHS MID AND SOUTH ESSEX ICB - 06Q (06Q)EQ-5D Index</v>
      </c>
      <c r="C1213" t="s">
        <v>967</v>
      </c>
      <c r="D1213" t="s">
        <v>1021</v>
      </c>
      <c r="E1213" t="s">
        <v>871</v>
      </c>
      <c r="F1213" t="s">
        <v>872</v>
      </c>
      <c r="G1213" t="s">
        <v>963</v>
      </c>
      <c r="H1213">
        <v>3</v>
      </c>
      <c r="I1213">
        <v>0.282333</v>
      </c>
      <c r="J1213">
        <v>0.64633300000000005</v>
      </c>
      <c r="K1213">
        <v>0.36399999999999999</v>
      </c>
      <c r="L1213">
        <v>3</v>
      </c>
      <c r="M1213">
        <v>0</v>
      </c>
      <c r="N1213">
        <v>0</v>
      </c>
      <c r="O1213" t="s">
        <v>127</v>
      </c>
      <c r="P1213" t="s">
        <v>127</v>
      </c>
      <c r="Q1213" t="s">
        <v>127</v>
      </c>
    </row>
    <row r="1214" spans="1:17" x14ac:dyDescent="0.25">
      <c r="A1214" t="str">
        <f>IF(C1214&amp;G1214&amp;D1214&lt;&gt;'Funnel setup'!$K$3&amp;'Funnel setup'!$K$4&amp;'Funnel setup'!$K$6,".",IF(A1213=".",1,A1213+1))</f>
        <v>.</v>
      </c>
      <c r="B1214" s="244" t="str">
        <f t="shared" si="18"/>
        <v>Hip Replacement RevisionSub-ICB of GP PracticeNHS MID AND SOUTH ESSEX ICB - 07G (07G)EQ-5D Index</v>
      </c>
      <c r="C1214" t="s">
        <v>967</v>
      </c>
      <c r="D1214" t="s">
        <v>1021</v>
      </c>
      <c r="E1214" t="s">
        <v>873</v>
      </c>
      <c r="F1214" t="s">
        <v>874</v>
      </c>
      <c r="G1214" t="s">
        <v>963</v>
      </c>
      <c r="H1214">
        <v>1</v>
      </c>
      <c r="I1214">
        <v>0.62</v>
      </c>
      <c r="J1214">
        <v>0.81399999999999995</v>
      </c>
      <c r="K1214">
        <v>0.19400000000000001</v>
      </c>
      <c r="L1214">
        <v>1</v>
      </c>
      <c r="M1214">
        <v>0</v>
      </c>
      <c r="N1214">
        <v>0</v>
      </c>
      <c r="O1214" t="s">
        <v>127</v>
      </c>
      <c r="P1214" t="s">
        <v>127</v>
      </c>
      <c r="Q1214" t="s">
        <v>127</v>
      </c>
    </row>
    <row r="1215" spans="1:17" x14ac:dyDescent="0.25">
      <c r="A1215" t="str">
        <f>IF(C1215&amp;G1215&amp;D1215&lt;&gt;'Funnel setup'!$K$3&amp;'Funnel setup'!$K$4&amp;'Funnel setup'!$K$6,".",IF(A1214=".",1,A1214+1))</f>
        <v>.</v>
      </c>
      <c r="B1215" s="244" t="str">
        <f t="shared" si="18"/>
        <v>Hip Replacement RevisionSub-ICB of GP PracticeNHS MID AND SOUTH ESSEX ICB - 99E (99E)EQ-5D Index</v>
      </c>
      <c r="C1215" t="s">
        <v>967</v>
      </c>
      <c r="D1215" t="s">
        <v>1021</v>
      </c>
      <c r="E1215" t="s">
        <v>875</v>
      </c>
      <c r="F1215" t="s">
        <v>876</v>
      </c>
      <c r="G1215" t="s">
        <v>963</v>
      </c>
      <c r="H1215">
        <v>3</v>
      </c>
      <c r="I1215">
        <v>0.39400000000000002</v>
      </c>
      <c r="J1215">
        <v>0.64233300000000004</v>
      </c>
      <c r="K1215">
        <v>0.248333</v>
      </c>
      <c r="L1215">
        <v>2</v>
      </c>
      <c r="M1215">
        <v>1</v>
      </c>
      <c r="N1215">
        <v>0</v>
      </c>
      <c r="O1215" t="s">
        <v>127</v>
      </c>
      <c r="P1215" t="s">
        <v>127</v>
      </c>
      <c r="Q1215" t="s">
        <v>127</v>
      </c>
    </row>
    <row r="1216" spans="1:17" x14ac:dyDescent="0.25">
      <c r="A1216" t="str">
        <f>IF(C1216&amp;G1216&amp;D1216&lt;&gt;'Funnel setup'!$K$3&amp;'Funnel setup'!$K$4&amp;'Funnel setup'!$K$6,".",IF(A1215=".",1,A1215+1))</f>
        <v>.</v>
      </c>
      <c r="B1216" s="244" t="str">
        <f t="shared" si="18"/>
        <v>Hip Replacement RevisionSub-ICB of GP PracticeNHS MID AND SOUTH ESSEX ICB - 99F (99F)EQ-5D Index</v>
      </c>
      <c r="C1216" t="s">
        <v>967</v>
      </c>
      <c r="D1216" t="s">
        <v>1021</v>
      </c>
      <c r="E1216" t="s">
        <v>877</v>
      </c>
      <c r="F1216" t="s">
        <v>878</v>
      </c>
      <c r="G1216" t="s">
        <v>963</v>
      </c>
      <c r="H1216">
        <v>1</v>
      </c>
      <c r="I1216">
        <v>0.65600000000000003</v>
      </c>
      <c r="J1216">
        <v>0.03</v>
      </c>
      <c r="K1216">
        <v>-0.626</v>
      </c>
      <c r="L1216">
        <v>0</v>
      </c>
      <c r="M1216">
        <v>0</v>
      </c>
      <c r="N1216">
        <v>1</v>
      </c>
      <c r="O1216" t="s">
        <v>127</v>
      </c>
      <c r="P1216" t="s">
        <v>127</v>
      </c>
      <c r="Q1216" t="s">
        <v>127</v>
      </c>
    </row>
    <row r="1217" spans="1:17" x14ac:dyDescent="0.25">
      <c r="A1217" t="str">
        <f>IF(C1217&amp;G1217&amp;D1217&lt;&gt;'Funnel setup'!$K$3&amp;'Funnel setup'!$K$4&amp;'Funnel setup'!$K$6,".",IF(A1216=".",1,A1216+1))</f>
        <v>.</v>
      </c>
      <c r="B1217" s="244" t="str">
        <f t="shared" si="18"/>
        <v>Hip Replacement RevisionSub-ICB of GP PracticeNHS NORFOLK AND WAVENEY ICB - 26A (26A)EQ-5D Index</v>
      </c>
      <c r="C1217" t="s">
        <v>967</v>
      </c>
      <c r="D1217" t="s">
        <v>1021</v>
      </c>
      <c r="E1217" t="s">
        <v>881</v>
      </c>
      <c r="F1217" t="s">
        <v>882</v>
      </c>
      <c r="G1217" t="s">
        <v>963</v>
      </c>
      <c r="H1217">
        <v>22</v>
      </c>
      <c r="I1217">
        <v>0.38709100000000002</v>
      </c>
      <c r="J1217">
        <v>0.82054499999999997</v>
      </c>
      <c r="K1217">
        <v>0.43345499999999998</v>
      </c>
      <c r="L1217">
        <v>19</v>
      </c>
      <c r="M1217">
        <v>2</v>
      </c>
      <c r="N1217">
        <v>1</v>
      </c>
      <c r="O1217" t="s">
        <v>127</v>
      </c>
      <c r="P1217" t="s">
        <v>127</v>
      </c>
      <c r="Q1217" t="s">
        <v>127</v>
      </c>
    </row>
    <row r="1218" spans="1:17" x14ac:dyDescent="0.25">
      <c r="A1218" t="str">
        <f>IF(C1218&amp;G1218&amp;D1218&lt;&gt;'Funnel setup'!$K$3&amp;'Funnel setup'!$K$4&amp;'Funnel setup'!$K$6,".",IF(A1217=".",1,A1217+1))</f>
        <v>.</v>
      </c>
      <c r="B1218" s="244" t="str">
        <f t="shared" ref="B1218:B1281" si="19">C1218&amp;D1218&amp;F1218&amp;G1218</f>
        <v>Hip Replacement RevisionSub-ICB of GP PracticeNHS NORTH CENTRAL LONDON ICB - 93C (93C)EQ-5D Index</v>
      </c>
      <c r="C1218" t="s">
        <v>967</v>
      </c>
      <c r="D1218" t="s">
        <v>1021</v>
      </c>
      <c r="E1218" t="s">
        <v>883</v>
      </c>
      <c r="F1218" t="s">
        <v>884</v>
      </c>
      <c r="G1218" t="s">
        <v>963</v>
      </c>
      <c r="H1218">
        <v>5</v>
      </c>
      <c r="I1218">
        <v>0.67</v>
      </c>
      <c r="J1218">
        <v>0.69479999999999997</v>
      </c>
      <c r="K1218">
        <v>2.4799999999999999E-2</v>
      </c>
      <c r="L1218">
        <v>3</v>
      </c>
      <c r="M1218">
        <v>1</v>
      </c>
      <c r="N1218">
        <v>1</v>
      </c>
      <c r="O1218" t="s">
        <v>127</v>
      </c>
      <c r="P1218" t="s">
        <v>127</v>
      </c>
      <c r="Q1218" t="s">
        <v>127</v>
      </c>
    </row>
    <row r="1219" spans="1:17" x14ac:dyDescent="0.25">
      <c r="A1219" t="str">
        <f>IF(C1219&amp;G1219&amp;D1219&lt;&gt;'Funnel setup'!$K$3&amp;'Funnel setup'!$K$4&amp;'Funnel setup'!$K$6,".",IF(A1218=".",1,A1218+1))</f>
        <v>.</v>
      </c>
      <c r="B1219" s="244" t="str">
        <f t="shared" si="19"/>
        <v>Hip Replacement RevisionSub-ICB of GP PracticeNHS NORTH EAST AND NORTH CUMBRIA ICB - 00L (00L)EQ-5D Index</v>
      </c>
      <c r="C1219" t="s">
        <v>967</v>
      </c>
      <c r="D1219" t="s">
        <v>1021</v>
      </c>
      <c r="E1219" t="s">
        <v>885</v>
      </c>
      <c r="F1219" t="s">
        <v>886</v>
      </c>
      <c r="G1219" t="s">
        <v>963</v>
      </c>
      <c r="H1219">
        <v>3</v>
      </c>
      <c r="I1219">
        <v>0.67733299999999996</v>
      </c>
      <c r="J1219">
        <v>0.79966700000000002</v>
      </c>
      <c r="K1219">
        <v>0.122333</v>
      </c>
      <c r="L1219">
        <v>1</v>
      </c>
      <c r="M1219">
        <v>2</v>
      </c>
      <c r="N1219">
        <v>0</v>
      </c>
      <c r="O1219" t="s">
        <v>127</v>
      </c>
      <c r="P1219" t="s">
        <v>127</v>
      </c>
      <c r="Q1219" t="s">
        <v>127</v>
      </c>
    </row>
    <row r="1220" spans="1:17" x14ac:dyDescent="0.25">
      <c r="A1220" t="str">
        <f>IF(C1220&amp;G1220&amp;D1220&lt;&gt;'Funnel setup'!$K$3&amp;'Funnel setup'!$K$4&amp;'Funnel setup'!$K$6,".",IF(A1219=".",1,A1219+1))</f>
        <v>.</v>
      </c>
      <c r="B1220" s="244" t="str">
        <f t="shared" si="19"/>
        <v>Hip Replacement RevisionSub-ICB of GP PracticeNHS NORTH EAST AND NORTH CUMBRIA ICB - 00N (00N)EQ-5D Index</v>
      </c>
      <c r="C1220" t="s">
        <v>967</v>
      </c>
      <c r="D1220" t="s">
        <v>1021</v>
      </c>
      <c r="E1220" t="s">
        <v>887</v>
      </c>
      <c r="F1220" t="s">
        <v>888</v>
      </c>
      <c r="G1220" t="s">
        <v>963</v>
      </c>
      <c r="H1220">
        <v>1</v>
      </c>
      <c r="I1220">
        <v>-3.0000000000000001E-3</v>
      </c>
      <c r="J1220">
        <v>-0.23899999999999999</v>
      </c>
      <c r="K1220">
        <v>-0.23599999999999999</v>
      </c>
      <c r="L1220">
        <v>0</v>
      </c>
      <c r="M1220">
        <v>0</v>
      </c>
      <c r="N1220">
        <v>1</v>
      </c>
      <c r="O1220" t="s">
        <v>127</v>
      </c>
      <c r="P1220" t="s">
        <v>127</v>
      </c>
      <c r="Q1220" t="s">
        <v>127</v>
      </c>
    </row>
    <row r="1221" spans="1:17" x14ac:dyDescent="0.25">
      <c r="A1221" t="str">
        <f>IF(C1221&amp;G1221&amp;D1221&lt;&gt;'Funnel setup'!$K$3&amp;'Funnel setup'!$K$4&amp;'Funnel setup'!$K$6,".",IF(A1220=".",1,A1220+1))</f>
        <v>.</v>
      </c>
      <c r="B1221" s="244" t="str">
        <f t="shared" si="19"/>
        <v>Hip Replacement RevisionSub-ICB of GP PracticeNHS NORTH EAST AND NORTH CUMBRIA ICB - 00P (00P)EQ-5D Index</v>
      </c>
      <c r="C1221" t="s">
        <v>967</v>
      </c>
      <c r="D1221" t="s">
        <v>1021</v>
      </c>
      <c r="E1221" t="s">
        <v>889</v>
      </c>
      <c r="F1221" t="s">
        <v>890</v>
      </c>
      <c r="G1221" t="s">
        <v>963</v>
      </c>
      <c r="H1221">
        <v>2</v>
      </c>
      <c r="I1221">
        <v>0.67349999999999999</v>
      </c>
      <c r="J1221">
        <v>0.75800000000000001</v>
      </c>
      <c r="K1221">
        <v>8.4500000000000006E-2</v>
      </c>
      <c r="L1221">
        <v>1</v>
      </c>
      <c r="M1221">
        <v>0</v>
      </c>
      <c r="N1221">
        <v>1</v>
      </c>
      <c r="O1221" t="s">
        <v>127</v>
      </c>
      <c r="P1221" t="s">
        <v>127</v>
      </c>
      <c r="Q1221" t="s">
        <v>127</v>
      </c>
    </row>
    <row r="1222" spans="1:17" x14ac:dyDescent="0.25">
      <c r="A1222" t="str">
        <f>IF(C1222&amp;G1222&amp;D1222&lt;&gt;'Funnel setup'!$K$3&amp;'Funnel setup'!$K$4&amp;'Funnel setup'!$K$6,".",IF(A1221=".",1,A1221+1))</f>
        <v>.</v>
      </c>
      <c r="B1222" s="244" t="str">
        <f t="shared" si="19"/>
        <v>Hip Replacement RevisionSub-ICB of GP PracticeNHS NORTH EAST AND NORTH CUMBRIA ICB - 01H (01H)EQ-5D Index</v>
      </c>
      <c r="C1222" t="s">
        <v>967</v>
      </c>
      <c r="D1222" t="s">
        <v>1021</v>
      </c>
      <c r="E1222" t="s">
        <v>891</v>
      </c>
      <c r="F1222" t="s">
        <v>892</v>
      </c>
      <c r="G1222" t="s">
        <v>963</v>
      </c>
      <c r="H1222">
        <v>10</v>
      </c>
      <c r="I1222">
        <v>0.36770000000000003</v>
      </c>
      <c r="J1222">
        <v>0.80459999999999998</v>
      </c>
      <c r="K1222">
        <v>0.43690000000000001</v>
      </c>
      <c r="L1222">
        <v>9</v>
      </c>
      <c r="M1222">
        <v>0</v>
      </c>
      <c r="N1222">
        <v>1</v>
      </c>
      <c r="O1222" t="s">
        <v>127</v>
      </c>
      <c r="P1222" t="s">
        <v>127</v>
      </c>
      <c r="Q1222" t="s">
        <v>127</v>
      </c>
    </row>
    <row r="1223" spans="1:17" x14ac:dyDescent="0.25">
      <c r="A1223" t="str">
        <f>IF(C1223&amp;G1223&amp;D1223&lt;&gt;'Funnel setup'!$K$3&amp;'Funnel setup'!$K$4&amp;'Funnel setup'!$K$6,".",IF(A1222=".",1,A1222+1))</f>
        <v>.</v>
      </c>
      <c r="B1223" s="244" t="str">
        <f t="shared" si="19"/>
        <v>Hip Replacement RevisionSub-ICB of GP PracticeNHS NORTH EAST AND NORTH CUMBRIA ICB - 13T (13T)EQ-5D Index</v>
      </c>
      <c r="C1223" t="s">
        <v>967</v>
      </c>
      <c r="D1223" t="s">
        <v>1021</v>
      </c>
      <c r="E1223" t="s">
        <v>893</v>
      </c>
      <c r="F1223" t="s">
        <v>894</v>
      </c>
      <c r="G1223" t="s">
        <v>963</v>
      </c>
      <c r="H1223">
        <v>2</v>
      </c>
      <c r="I1223">
        <v>0.27300000000000002</v>
      </c>
      <c r="J1223">
        <v>0.30599999999999999</v>
      </c>
      <c r="K1223">
        <v>3.3000000000000002E-2</v>
      </c>
      <c r="L1223">
        <v>1</v>
      </c>
      <c r="M1223">
        <v>0</v>
      </c>
      <c r="N1223">
        <v>1</v>
      </c>
      <c r="O1223" t="s">
        <v>127</v>
      </c>
      <c r="P1223" t="s">
        <v>127</v>
      </c>
      <c r="Q1223" t="s">
        <v>127</v>
      </c>
    </row>
    <row r="1224" spans="1:17" x14ac:dyDescent="0.25">
      <c r="A1224" t="str">
        <f>IF(C1224&amp;G1224&amp;D1224&lt;&gt;'Funnel setup'!$K$3&amp;'Funnel setup'!$K$4&amp;'Funnel setup'!$K$6,".",IF(A1223=".",1,A1223+1))</f>
        <v>.</v>
      </c>
      <c r="B1224" s="244" t="str">
        <f t="shared" si="19"/>
        <v>Hip Replacement RevisionSub-ICB of GP PracticeNHS NORTH EAST AND NORTH CUMBRIA ICB - 16C (16C)EQ-5D Index</v>
      </c>
      <c r="C1224" t="s">
        <v>967</v>
      </c>
      <c r="D1224" t="s">
        <v>1021</v>
      </c>
      <c r="E1224" t="s">
        <v>895</v>
      </c>
      <c r="F1224" t="s">
        <v>896</v>
      </c>
      <c r="G1224" t="s">
        <v>963</v>
      </c>
      <c r="H1224">
        <v>14</v>
      </c>
      <c r="I1224">
        <v>0.26621400000000001</v>
      </c>
      <c r="J1224">
        <v>0.59735700000000003</v>
      </c>
      <c r="K1224">
        <v>0.33114300000000002</v>
      </c>
      <c r="L1224">
        <v>11</v>
      </c>
      <c r="M1224">
        <v>1</v>
      </c>
      <c r="N1224">
        <v>2</v>
      </c>
      <c r="O1224" t="s">
        <v>127</v>
      </c>
      <c r="P1224" t="s">
        <v>127</v>
      </c>
      <c r="Q1224" t="s">
        <v>127</v>
      </c>
    </row>
    <row r="1225" spans="1:17" x14ac:dyDescent="0.25">
      <c r="A1225" t="str">
        <f>IF(C1225&amp;G1225&amp;D1225&lt;&gt;'Funnel setup'!$K$3&amp;'Funnel setup'!$K$4&amp;'Funnel setup'!$K$6,".",IF(A1224=".",1,A1224+1))</f>
        <v>.</v>
      </c>
      <c r="B1225" s="244" t="str">
        <f t="shared" si="19"/>
        <v>Hip Replacement RevisionSub-ICB of GP PracticeNHS NORTH EAST AND NORTH CUMBRIA ICB - 84H (84H)EQ-5D Index</v>
      </c>
      <c r="C1225" t="s">
        <v>967</v>
      </c>
      <c r="D1225" t="s">
        <v>1021</v>
      </c>
      <c r="E1225" t="s">
        <v>897</v>
      </c>
      <c r="F1225" t="s">
        <v>898</v>
      </c>
      <c r="G1225" t="s">
        <v>963</v>
      </c>
      <c r="H1225">
        <v>3</v>
      </c>
      <c r="I1225">
        <v>0.22800000000000001</v>
      </c>
      <c r="J1225">
        <v>0.532667</v>
      </c>
      <c r="K1225">
        <v>0.30466700000000002</v>
      </c>
      <c r="L1225">
        <v>2</v>
      </c>
      <c r="M1225">
        <v>1</v>
      </c>
      <c r="N1225">
        <v>0</v>
      </c>
      <c r="O1225" t="s">
        <v>127</v>
      </c>
      <c r="P1225" t="s">
        <v>127</v>
      </c>
      <c r="Q1225" t="s">
        <v>127</v>
      </c>
    </row>
    <row r="1226" spans="1:17" x14ac:dyDescent="0.25">
      <c r="A1226" t="str">
        <f>IF(C1226&amp;G1226&amp;D1226&lt;&gt;'Funnel setup'!$K$3&amp;'Funnel setup'!$K$4&amp;'Funnel setup'!$K$6,".",IF(A1225=".",1,A1225+1))</f>
        <v>.</v>
      </c>
      <c r="B1226" s="244" t="str">
        <f t="shared" si="19"/>
        <v>Hip Replacement RevisionSub-ICB of GP PracticeNHS NORTH EAST AND NORTH CUMBRIA ICB - 99C (99C)EQ-5D Index</v>
      </c>
      <c r="C1226" t="s">
        <v>967</v>
      </c>
      <c r="D1226" t="s">
        <v>1021</v>
      </c>
      <c r="E1226" t="s">
        <v>899</v>
      </c>
      <c r="F1226" t="s">
        <v>900</v>
      </c>
      <c r="G1226" t="s">
        <v>963</v>
      </c>
      <c r="H1226">
        <v>4</v>
      </c>
      <c r="I1226">
        <v>0.13800000000000001</v>
      </c>
      <c r="J1226">
        <v>0.77300000000000002</v>
      </c>
      <c r="K1226">
        <v>0.63500000000000001</v>
      </c>
      <c r="L1226">
        <v>3</v>
      </c>
      <c r="M1226">
        <v>1</v>
      </c>
      <c r="N1226">
        <v>0</v>
      </c>
      <c r="O1226" t="s">
        <v>127</v>
      </c>
      <c r="P1226" t="s">
        <v>127</v>
      </c>
      <c r="Q1226" t="s">
        <v>127</v>
      </c>
    </row>
    <row r="1227" spans="1:17" x14ac:dyDescent="0.25">
      <c r="A1227" t="str">
        <f>IF(C1227&amp;G1227&amp;D1227&lt;&gt;'Funnel setup'!$K$3&amp;'Funnel setup'!$K$4&amp;'Funnel setup'!$K$6,".",IF(A1226=".",1,A1226+1))</f>
        <v>.</v>
      </c>
      <c r="B1227" s="244" t="str">
        <f t="shared" si="19"/>
        <v>Hip Replacement RevisionSub-ICB of GP PracticeNHS NORTH EAST LONDON ICB - A3A8R (A3A8R)EQ-5D Index</v>
      </c>
      <c r="C1227" t="s">
        <v>967</v>
      </c>
      <c r="D1227" t="s">
        <v>1021</v>
      </c>
      <c r="E1227" t="s">
        <v>901</v>
      </c>
      <c r="F1227" t="s">
        <v>902</v>
      </c>
      <c r="G1227" t="s">
        <v>963</v>
      </c>
      <c r="H1227">
        <v>7</v>
      </c>
      <c r="I1227">
        <v>0.237571</v>
      </c>
      <c r="J1227">
        <v>0.69199999999999995</v>
      </c>
      <c r="K1227">
        <v>0.45442900000000003</v>
      </c>
      <c r="L1227">
        <v>5</v>
      </c>
      <c r="M1227">
        <v>1</v>
      </c>
      <c r="N1227">
        <v>1</v>
      </c>
      <c r="O1227" t="s">
        <v>127</v>
      </c>
      <c r="P1227" t="s">
        <v>127</v>
      </c>
      <c r="Q1227" t="s">
        <v>127</v>
      </c>
    </row>
    <row r="1228" spans="1:17" x14ac:dyDescent="0.25">
      <c r="A1228" t="str">
        <f>IF(C1228&amp;G1228&amp;D1228&lt;&gt;'Funnel setup'!$K$3&amp;'Funnel setup'!$K$4&amp;'Funnel setup'!$K$6,".",IF(A1227=".",1,A1227+1))</f>
        <v>.</v>
      </c>
      <c r="B1228" s="244" t="str">
        <f t="shared" si="19"/>
        <v>Hip Replacement RevisionSub-ICB of GP PracticeNHS NORTH WEST LONDON ICB - W2U3Z (W2U3Z)EQ-5D Index</v>
      </c>
      <c r="C1228" t="s">
        <v>967</v>
      </c>
      <c r="D1228" t="s">
        <v>1021</v>
      </c>
      <c r="E1228" t="s">
        <v>903</v>
      </c>
      <c r="F1228" t="s">
        <v>904</v>
      </c>
      <c r="G1228" t="s">
        <v>963</v>
      </c>
      <c r="H1228">
        <v>6</v>
      </c>
      <c r="I1228">
        <v>0.31166700000000003</v>
      </c>
      <c r="J1228">
        <v>0.62466699999999997</v>
      </c>
      <c r="K1228">
        <v>0.313</v>
      </c>
      <c r="L1228">
        <v>4</v>
      </c>
      <c r="M1228">
        <v>1</v>
      </c>
      <c r="N1228">
        <v>1</v>
      </c>
      <c r="O1228" t="s">
        <v>127</v>
      </c>
      <c r="P1228" t="s">
        <v>127</v>
      </c>
      <c r="Q1228" t="s">
        <v>127</v>
      </c>
    </row>
    <row r="1229" spans="1:17" x14ac:dyDescent="0.25">
      <c r="A1229" t="str">
        <f>IF(C1229&amp;G1229&amp;D1229&lt;&gt;'Funnel setup'!$K$3&amp;'Funnel setup'!$K$4&amp;'Funnel setup'!$K$6,".",IF(A1228=".",1,A1228+1))</f>
        <v>.</v>
      </c>
      <c r="B1229" s="244" t="str">
        <f t="shared" si="19"/>
        <v>Hip Replacement RevisionSub-ICB of GP PracticeNHS NORTHAMPTONSHIRE ICB - 78H (78H)EQ-5D Index</v>
      </c>
      <c r="C1229" t="s">
        <v>967</v>
      </c>
      <c r="D1229" t="s">
        <v>1021</v>
      </c>
      <c r="E1229" t="s">
        <v>905</v>
      </c>
      <c r="F1229" t="s">
        <v>906</v>
      </c>
      <c r="G1229" t="s">
        <v>963</v>
      </c>
      <c r="H1229">
        <v>15</v>
      </c>
      <c r="I1229">
        <v>0.52066699999999999</v>
      </c>
      <c r="J1229">
        <v>0.754467</v>
      </c>
      <c r="K1229">
        <v>0.23380000000000001</v>
      </c>
      <c r="L1229">
        <v>10</v>
      </c>
      <c r="M1229">
        <v>2</v>
      </c>
      <c r="N1229">
        <v>3</v>
      </c>
      <c r="O1229" t="s">
        <v>127</v>
      </c>
      <c r="P1229" t="s">
        <v>127</v>
      </c>
      <c r="Q1229" t="s">
        <v>127</v>
      </c>
    </row>
    <row r="1230" spans="1:17" x14ac:dyDescent="0.25">
      <c r="A1230" t="str">
        <f>IF(C1230&amp;G1230&amp;D1230&lt;&gt;'Funnel setup'!$K$3&amp;'Funnel setup'!$K$4&amp;'Funnel setup'!$K$6,".",IF(A1229=".",1,A1229+1))</f>
        <v>.</v>
      </c>
      <c r="B1230" s="244" t="str">
        <f t="shared" si="19"/>
        <v>Hip Replacement RevisionSub-ICB of GP PracticeNHS NOTTINGHAM AND NOTTINGHAMSHIRE ICB - 02Q (02Q)EQ-5D Index</v>
      </c>
      <c r="C1230" t="s">
        <v>967</v>
      </c>
      <c r="D1230" t="s">
        <v>1021</v>
      </c>
      <c r="E1230" t="s">
        <v>907</v>
      </c>
      <c r="F1230" t="s">
        <v>908</v>
      </c>
      <c r="G1230" t="s">
        <v>963</v>
      </c>
      <c r="H1230">
        <v>1</v>
      </c>
      <c r="I1230">
        <v>0.63900000000000001</v>
      </c>
      <c r="J1230">
        <v>0.51600000000000001</v>
      </c>
      <c r="K1230">
        <v>-0.123</v>
      </c>
      <c r="L1230">
        <v>0</v>
      </c>
      <c r="M1230">
        <v>0</v>
      </c>
      <c r="N1230">
        <v>1</v>
      </c>
      <c r="O1230" t="s">
        <v>127</v>
      </c>
      <c r="P1230" t="s">
        <v>127</v>
      </c>
      <c r="Q1230" t="s">
        <v>127</v>
      </c>
    </row>
    <row r="1231" spans="1:17" x14ac:dyDescent="0.25">
      <c r="A1231" t="str">
        <f>IF(C1231&amp;G1231&amp;D1231&lt;&gt;'Funnel setup'!$K$3&amp;'Funnel setup'!$K$4&amp;'Funnel setup'!$K$6,".",IF(A1230=".",1,A1230+1))</f>
        <v>.</v>
      </c>
      <c r="B1231" s="244" t="str">
        <f t="shared" si="19"/>
        <v>Hip Replacement RevisionSub-ICB of GP PracticeNHS SHROPSHIRE, TELFORD AND WREKIN ICB - M2L0M (M2L0M)EQ-5D Index</v>
      </c>
      <c r="C1231" t="s">
        <v>967</v>
      </c>
      <c r="D1231" t="s">
        <v>1021</v>
      </c>
      <c r="E1231" t="s">
        <v>911</v>
      </c>
      <c r="F1231" t="s">
        <v>912</v>
      </c>
      <c r="G1231" t="s">
        <v>963</v>
      </c>
      <c r="H1231">
        <v>12</v>
      </c>
      <c r="I1231">
        <v>0.19741700000000001</v>
      </c>
      <c r="J1231">
        <v>0.74433300000000002</v>
      </c>
      <c r="K1231">
        <v>0.54691699999999999</v>
      </c>
      <c r="L1231">
        <v>12</v>
      </c>
      <c r="M1231">
        <v>0</v>
      </c>
      <c r="N1231">
        <v>0</v>
      </c>
      <c r="O1231" t="s">
        <v>127</v>
      </c>
      <c r="P1231" t="s">
        <v>127</v>
      </c>
      <c r="Q1231" t="s">
        <v>127</v>
      </c>
    </row>
    <row r="1232" spans="1:17" x14ac:dyDescent="0.25">
      <c r="A1232" t="str">
        <f>IF(C1232&amp;G1232&amp;D1232&lt;&gt;'Funnel setup'!$K$3&amp;'Funnel setup'!$K$4&amp;'Funnel setup'!$K$6,".",IF(A1231=".",1,A1231+1))</f>
        <v>.</v>
      </c>
      <c r="B1232" s="244" t="str">
        <f t="shared" si="19"/>
        <v>Hip Replacement RevisionSub-ICB of GP PracticeNHS SOMERSET ICB - 11X (11X)EQ-5D Index</v>
      </c>
      <c r="C1232" t="s">
        <v>967</v>
      </c>
      <c r="D1232" t="s">
        <v>1021</v>
      </c>
      <c r="E1232" t="s">
        <v>913</v>
      </c>
      <c r="F1232" t="s">
        <v>914</v>
      </c>
      <c r="G1232" t="s">
        <v>963</v>
      </c>
      <c r="H1232">
        <v>4</v>
      </c>
      <c r="I1232">
        <v>0.40925</v>
      </c>
      <c r="J1232">
        <v>0.59624999999999995</v>
      </c>
      <c r="K1232">
        <v>0.187</v>
      </c>
      <c r="L1232">
        <v>2</v>
      </c>
      <c r="M1232">
        <v>0</v>
      </c>
      <c r="N1232">
        <v>2</v>
      </c>
      <c r="O1232" t="s">
        <v>127</v>
      </c>
      <c r="P1232" t="s">
        <v>127</v>
      </c>
      <c r="Q1232" t="s">
        <v>127</v>
      </c>
    </row>
    <row r="1233" spans="1:17" x14ac:dyDescent="0.25">
      <c r="A1233" t="str">
        <f>IF(C1233&amp;G1233&amp;D1233&lt;&gt;'Funnel setup'!$K$3&amp;'Funnel setup'!$K$4&amp;'Funnel setup'!$K$6,".",IF(A1232=".",1,A1232+1))</f>
        <v>.</v>
      </c>
      <c r="B1233" s="244" t="str">
        <f t="shared" si="19"/>
        <v>Hip Replacement RevisionSub-ICB of GP PracticeNHS SOUTH EAST LONDON ICB - 72Q (72Q)EQ-5D Index</v>
      </c>
      <c r="C1233" t="s">
        <v>967</v>
      </c>
      <c r="D1233" t="s">
        <v>1021</v>
      </c>
      <c r="E1233" t="s">
        <v>915</v>
      </c>
      <c r="F1233" t="s">
        <v>916</v>
      </c>
      <c r="G1233" t="s">
        <v>963</v>
      </c>
      <c r="H1233">
        <v>9</v>
      </c>
      <c r="I1233">
        <v>0.34100000000000003</v>
      </c>
      <c r="J1233">
        <v>0.48944399999999999</v>
      </c>
      <c r="K1233">
        <v>0.14844399999999999</v>
      </c>
      <c r="L1233">
        <v>4</v>
      </c>
      <c r="M1233">
        <v>2</v>
      </c>
      <c r="N1233">
        <v>3</v>
      </c>
      <c r="O1233" t="s">
        <v>127</v>
      </c>
      <c r="P1233" t="s">
        <v>127</v>
      </c>
      <c r="Q1233" t="s">
        <v>127</v>
      </c>
    </row>
    <row r="1234" spans="1:17" x14ac:dyDescent="0.25">
      <c r="A1234" t="str">
        <f>IF(C1234&amp;G1234&amp;D1234&lt;&gt;'Funnel setup'!$K$3&amp;'Funnel setup'!$K$4&amp;'Funnel setup'!$K$6,".",IF(A1233=".",1,A1233+1))</f>
        <v>.</v>
      </c>
      <c r="B1234" s="244" t="str">
        <f t="shared" si="19"/>
        <v>Hip Replacement RevisionSub-ICB of GP PracticeNHS SOUTH WEST LONDON ICB - 36L (36L)EQ-5D Index</v>
      </c>
      <c r="C1234" t="s">
        <v>967</v>
      </c>
      <c r="D1234" t="s">
        <v>1021</v>
      </c>
      <c r="E1234" t="s">
        <v>917</v>
      </c>
      <c r="F1234" t="s">
        <v>918</v>
      </c>
      <c r="G1234" t="s">
        <v>963</v>
      </c>
      <c r="H1234">
        <v>18</v>
      </c>
      <c r="I1234">
        <v>0.29761100000000001</v>
      </c>
      <c r="J1234">
        <v>0.76111099999999998</v>
      </c>
      <c r="K1234">
        <v>0.46350000000000002</v>
      </c>
      <c r="L1234">
        <v>16</v>
      </c>
      <c r="M1234">
        <v>0</v>
      </c>
      <c r="N1234">
        <v>2</v>
      </c>
      <c r="O1234" t="s">
        <v>127</v>
      </c>
      <c r="P1234" t="s">
        <v>127</v>
      </c>
      <c r="Q1234" t="s">
        <v>127</v>
      </c>
    </row>
    <row r="1235" spans="1:17" x14ac:dyDescent="0.25">
      <c r="A1235" t="str">
        <f>IF(C1235&amp;G1235&amp;D1235&lt;&gt;'Funnel setup'!$K$3&amp;'Funnel setup'!$K$4&amp;'Funnel setup'!$K$6,".",IF(A1234=".",1,A1234+1))</f>
        <v>.</v>
      </c>
      <c r="B1235" s="244" t="str">
        <f t="shared" si="19"/>
        <v>Hip Replacement RevisionSub-ICB of GP PracticeNHS SOUTH YORKSHIRE ICB - 02X (02X)EQ-5D Index</v>
      </c>
      <c r="C1235" t="s">
        <v>967</v>
      </c>
      <c r="D1235" t="s">
        <v>1021</v>
      </c>
      <c r="E1235" t="s">
        <v>921</v>
      </c>
      <c r="F1235" t="s">
        <v>922</v>
      </c>
      <c r="G1235" t="s">
        <v>963</v>
      </c>
      <c r="H1235">
        <v>3</v>
      </c>
      <c r="I1235">
        <v>0.34300000000000003</v>
      </c>
      <c r="J1235">
        <v>0.29899999999999999</v>
      </c>
      <c r="K1235">
        <v>-4.3999999999999997E-2</v>
      </c>
      <c r="L1235">
        <v>2</v>
      </c>
      <c r="M1235">
        <v>0</v>
      </c>
      <c r="N1235">
        <v>1</v>
      </c>
      <c r="O1235" t="s">
        <v>127</v>
      </c>
      <c r="P1235" t="s">
        <v>127</v>
      </c>
      <c r="Q1235" t="s">
        <v>127</v>
      </c>
    </row>
    <row r="1236" spans="1:17" x14ac:dyDescent="0.25">
      <c r="A1236" t="str">
        <f>IF(C1236&amp;G1236&amp;D1236&lt;&gt;'Funnel setup'!$K$3&amp;'Funnel setup'!$K$4&amp;'Funnel setup'!$K$6,".",IF(A1235=".",1,A1235+1))</f>
        <v>.</v>
      </c>
      <c r="B1236" s="244" t="str">
        <f t="shared" si="19"/>
        <v>Hip Replacement RevisionSub-ICB of GP PracticeNHS SOUTH YORKSHIRE ICB - 03L (03L)EQ-5D Index</v>
      </c>
      <c r="C1236" t="s">
        <v>967</v>
      </c>
      <c r="D1236" t="s">
        <v>1021</v>
      </c>
      <c r="E1236" t="s">
        <v>923</v>
      </c>
      <c r="F1236" t="s">
        <v>924</v>
      </c>
      <c r="G1236" t="s">
        <v>963</v>
      </c>
      <c r="H1236">
        <v>1</v>
      </c>
      <c r="I1236">
        <v>-3.0000000000000001E-3</v>
      </c>
      <c r="J1236">
        <v>-7.3999999999999996E-2</v>
      </c>
      <c r="K1236">
        <v>-7.0999999999999994E-2</v>
      </c>
      <c r="L1236">
        <v>0</v>
      </c>
      <c r="M1236">
        <v>0</v>
      </c>
      <c r="N1236">
        <v>1</v>
      </c>
      <c r="O1236" t="s">
        <v>127</v>
      </c>
      <c r="P1236" t="s">
        <v>127</v>
      </c>
      <c r="Q1236" t="s">
        <v>127</v>
      </c>
    </row>
    <row r="1237" spans="1:17" x14ac:dyDescent="0.25">
      <c r="A1237" t="str">
        <f>IF(C1237&amp;G1237&amp;D1237&lt;&gt;'Funnel setup'!$K$3&amp;'Funnel setup'!$K$4&amp;'Funnel setup'!$K$6,".",IF(A1236=".",1,A1236+1))</f>
        <v>.</v>
      </c>
      <c r="B1237" s="244" t="str">
        <f t="shared" si="19"/>
        <v>Hip Replacement RevisionSub-ICB of GP PracticeNHS SOUTH YORKSHIRE ICB - 03N (03N)EQ-5D Index</v>
      </c>
      <c r="C1237" t="s">
        <v>967</v>
      </c>
      <c r="D1237" t="s">
        <v>1021</v>
      </c>
      <c r="E1237" t="s">
        <v>925</v>
      </c>
      <c r="F1237" t="s">
        <v>926</v>
      </c>
      <c r="G1237" t="s">
        <v>963</v>
      </c>
      <c r="H1237">
        <v>1</v>
      </c>
      <c r="I1237">
        <v>0.55200000000000005</v>
      </c>
      <c r="J1237">
        <v>0.72699999999999998</v>
      </c>
      <c r="K1237">
        <v>0.17499999999999999</v>
      </c>
      <c r="L1237">
        <v>1</v>
      </c>
      <c r="M1237">
        <v>0</v>
      </c>
      <c r="N1237">
        <v>0</v>
      </c>
      <c r="O1237" t="s">
        <v>127</v>
      </c>
      <c r="P1237" t="s">
        <v>127</v>
      </c>
      <c r="Q1237" t="s">
        <v>127</v>
      </c>
    </row>
    <row r="1238" spans="1:17" x14ac:dyDescent="0.25">
      <c r="A1238" t="str">
        <f>IF(C1238&amp;G1238&amp;D1238&lt;&gt;'Funnel setup'!$K$3&amp;'Funnel setup'!$K$4&amp;'Funnel setup'!$K$6,".",IF(A1237=".",1,A1237+1))</f>
        <v>.</v>
      </c>
      <c r="B1238" s="244" t="str">
        <f t="shared" si="19"/>
        <v>Hip Replacement RevisionSub-ICB of GP PracticeNHS STAFFORDSHIRE AND STOKE-ON-TRENT ICB - 04Y (04Y)EQ-5D Index</v>
      </c>
      <c r="C1238" t="s">
        <v>967</v>
      </c>
      <c r="D1238" t="s">
        <v>1021</v>
      </c>
      <c r="E1238" t="s">
        <v>927</v>
      </c>
      <c r="F1238" t="s">
        <v>928</v>
      </c>
      <c r="G1238" t="s">
        <v>963</v>
      </c>
      <c r="H1238">
        <v>2</v>
      </c>
      <c r="I1238">
        <v>-9.4999999999999998E-3</v>
      </c>
      <c r="J1238">
        <v>0.89800000000000002</v>
      </c>
      <c r="K1238">
        <v>0.90749999999999997</v>
      </c>
      <c r="L1238">
        <v>2</v>
      </c>
      <c r="M1238">
        <v>0</v>
      </c>
      <c r="N1238">
        <v>0</v>
      </c>
      <c r="O1238" t="s">
        <v>127</v>
      </c>
      <c r="P1238" t="s">
        <v>127</v>
      </c>
      <c r="Q1238" t="s">
        <v>127</v>
      </c>
    </row>
    <row r="1239" spans="1:17" x14ac:dyDescent="0.25">
      <c r="A1239" t="str">
        <f>IF(C1239&amp;G1239&amp;D1239&lt;&gt;'Funnel setup'!$K$3&amp;'Funnel setup'!$K$4&amp;'Funnel setup'!$K$6,".",IF(A1238=".",1,A1238+1))</f>
        <v>.</v>
      </c>
      <c r="B1239" s="244" t="str">
        <f t="shared" si="19"/>
        <v>Hip Replacement RevisionSub-ICB of GP PracticeNHS STAFFORDSHIRE AND STOKE-ON-TRENT ICB - 05D (05D)EQ-5D Index</v>
      </c>
      <c r="C1239" t="s">
        <v>967</v>
      </c>
      <c r="D1239" t="s">
        <v>1021</v>
      </c>
      <c r="E1239" t="s">
        <v>929</v>
      </c>
      <c r="F1239" t="s">
        <v>930</v>
      </c>
      <c r="G1239" t="s">
        <v>963</v>
      </c>
      <c r="H1239" t="s">
        <v>127</v>
      </c>
      <c r="I1239" t="s">
        <v>127</v>
      </c>
      <c r="J1239" t="s">
        <v>127</v>
      </c>
      <c r="K1239" t="s">
        <v>127</v>
      </c>
      <c r="L1239" t="s">
        <v>127</v>
      </c>
      <c r="M1239" t="s">
        <v>127</v>
      </c>
      <c r="N1239" t="s">
        <v>127</v>
      </c>
      <c r="O1239" t="s">
        <v>127</v>
      </c>
      <c r="P1239" t="s">
        <v>127</v>
      </c>
      <c r="Q1239" t="s">
        <v>127</v>
      </c>
    </row>
    <row r="1240" spans="1:17" x14ac:dyDescent="0.25">
      <c r="A1240" t="str">
        <f>IF(C1240&amp;G1240&amp;D1240&lt;&gt;'Funnel setup'!$K$3&amp;'Funnel setup'!$K$4&amp;'Funnel setup'!$K$6,".",IF(A1239=".",1,A1239+1))</f>
        <v>.</v>
      </c>
      <c r="B1240" s="244" t="str">
        <f t="shared" si="19"/>
        <v>Hip Replacement RevisionSub-ICB of GP PracticeNHS STAFFORDSHIRE AND STOKE-ON-TRENT ICB - 05Q (05Q)EQ-5D Index</v>
      </c>
      <c r="C1240" t="s">
        <v>967</v>
      </c>
      <c r="D1240" t="s">
        <v>1021</v>
      </c>
      <c r="E1240" t="s">
        <v>933</v>
      </c>
      <c r="F1240" t="s">
        <v>934</v>
      </c>
      <c r="G1240" t="s">
        <v>963</v>
      </c>
      <c r="H1240">
        <v>4</v>
      </c>
      <c r="I1240">
        <v>0.47025</v>
      </c>
      <c r="J1240">
        <v>0.75075000000000003</v>
      </c>
      <c r="K1240">
        <v>0.28050000000000003</v>
      </c>
      <c r="L1240">
        <v>2</v>
      </c>
      <c r="M1240">
        <v>1</v>
      </c>
      <c r="N1240">
        <v>1</v>
      </c>
      <c r="O1240" t="s">
        <v>127</v>
      </c>
      <c r="P1240" t="s">
        <v>127</v>
      </c>
      <c r="Q1240" t="s">
        <v>127</v>
      </c>
    </row>
    <row r="1241" spans="1:17" x14ac:dyDescent="0.25">
      <c r="A1241" t="str">
        <f>IF(C1241&amp;G1241&amp;D1241&lt;&gt;'Funnel setup'!$K$3&amp;'Funnel setup'!$K$4&amp;'Funnel setup'!$K$6,".",IF(A1240=".",1,A1240+1))</f>
        <v>.</v>
      </c>
      <c r="B1241" s="244" t="str">
        <f t="shared" si="19"/>
        <v>Hip Replacement RevisionSub-ICB of GP PracticeNHS STAFFORDSHIRE AND STOKE-ON-TRENT ICB - 05V (05V)EQ-5D Index</v>
      </c>
      <c r="C1241" t="s">
        <v>967</v>
      </c>
      <c r="D1241" t="s">
        <v>1021</v>
      </c>
      <c r="E1241" t="s">
        <v>935</v>
      </c>
      <c r="F1241" t="s">
        <v>936</v>
      </c>
      <c r="G1241" t="s">
        <v>963</v>
      </c>
      <c r="H1241">
        <v>1</v>
      </c>
      <c r="I1241">
        <v>-7.3999999999999996E-2</v>
      </c>
      <c r="J1241">
        <v>0.65600000000000003</v>
      </c>
      <c r="K1241">
        <v>0.73</v>
      </c>
      <c r="L1241">
        <v>1</v>
      </c>
      <c r="M1241">
        <v>0</v>
      </c>
      <c r="N1241">
        <v>0</v>
      </c>
      <c r="O1241" t="s">
        <v>127</v>
      </c>
      <c r="P1241" t="s">
        <v>127</v>
      </c>
      <c r="Q1241" t="s">
        <v>127</v>
      </c>
    </row>
    <row r="1242" spans="1:17" x14ac:dyDescent="0.25">
      <c r="A1242" t="str">
        <f>IF(C1242&amp;G1242&amp;D1242&lt;&gt;'Funnel setup'!$K$3&amp;'Funnel setup'!$K$4&amp;'Funnel setup'!$K$6,".",IF(A1241=".",1,A1241+1))</f>
        <v>.</v>
      </c>
      <c r="B1242" s="244" t="str">
        <f t="shared" si="19"/>
        <v>Hip Replacement RevisionSub-ICB of GP PracticeNHS STAFFORDSHIRE AND STOKE-ON-TRENT ICB - 05W (05W)EQ-5D Index</v>
      </c>
      <c r="C1242" t="s">
        <v>967</v>
      </c>
      <c r="D1242" t="s">
        <v>1021</v>
      </c>
      <c r="E1242" t="s">
        <v>937</v>
      </c>
      <c r="F1242" t="s">
        <v>938</v>
      </c>
      <c r="G1242" t="s">
        <v>963</v>
      </c>
      <c r="H1242">
        <v>1</v>
      </c>
      <c r="I1242">
        <v>0.69099999999999995</v>
      </c>
      <c r="J1242">
        <v>0.69099999999999995</v>
      </c>
      <c r="K1242">
        <v>0</v>
      </c>
      <c r="L1242">
        <v>0</v>
      </c>
      <c r="M1242">
        <v>1</v>
      </c>
      <c r="N1242">
        <v>0</v>
      </c>
      <c r="O1242" t="s">
        <v>127</v>
      </c>
      <c r="P1242" t="s">
        <v>127</v>
      </c>
      <c r="Q1242" t="s">
        <v>127</v>
      </c>
    </row>
    <row r="1243" spans="1:17" x14ac:dyDescent="0.25">
      <c r="A1243" t="str">
        <f>IF(C1243&amp;G1243&amp;D1243&lt;&gt;'Funnel setup'!$K$3&amp;'Funnel setup'!$K$4&amp;'Funnel setup'!$K$6,".",IF(A1242=".",1,A1242+1))</f>
        <v>.</v>
      </c>
      <c r="B1243" s="244" t="str">
        <f t="shared" si="19"/>
        <v>Hip Replacement RevisionSub-ICB of GP PracticeNHS SUFFOLK AND NORTH EAST ESSEX ICB - 06L (06L)EQ-5D Index</v>
      </c>
      <c r="C1243" t="s">
        <v>967</v>
      </c>
      <c r="D1243" t="s">
        <v>1021</v>
      </c>
      <c r="E1243" t="s">
        <v>939</v>
      </c>
      <c r="F1243" t="s">
        <v>940</v>
      </c>
      <c r="G1243" t="s">
        <v>963</v>
      </c>
      <c r="H1243">
        <v>4</v>
      </c>
      <c r="I1243">
        <v>0.31524999999999997</v>
      </c>
      <c r="J1243">
        <v>0.8075</v>
      </c>
      <c r="K1243">
        <v>0.49225000000000002</v>
      </c>
      <c r="L1243">
        <v>4</v>
      </c>
      <c r="M1243">
        <v>0</v>
      </c>
      <c r="N1243">
        <v>0</v>
      </c>
      <c r="O1243" t="s">
        <v>127</v>
      </c>
      <c r="P1243" t="s">
        <v>127</v>
      </c>
      <c r="Q1243" t="s">
        <v>127</v>
      </c>
    </row>
    <row r="1244" spans="1:17" x14ac:dyDescent="0.25">
      <c r="A1244" t="str">
        <f>IF(C1244&amp;G1244&amp;D1244&lt;&gt;'Funnel setup'!$K$3&amp;'Funnel setup'!$K$4&amp;'Funnel setup'!$K$6,".",IF(A1243=".",1,A1243+1))</f>
        <v>.</v>
      </c>
      <c r="B1244" s="244" t="str">
        <f t="shared" si="19"/>
        <v>Hip Replacement RevisionSub-ICB of GP PracticeNHS SUFFOLK AND NORTH EAST ESSEX ICB - 06T (06T)EQ-5D Index</v>
      </c>
      <c r="C1244" t="s">
        <v>967</v>
      </c>
      <c r="D1244" t="s">
        <v>1021</v>
      </c>
      <c r="E1244" t="s">
        <v>941</v>
      </c>
      <c r="F1244" t="s">
        <v>942</v>
      </c>
      <c r="G1244" t="s">
        <v>963</v>
      </c>
      <c r="H1244">
        <v>1</v>
      </c>
      <c r="I1244">
        <v>0.79600000000000004</v>
      </c>
      <c r="J1244">
        <v>1</v>
      </c>
      <c r="K1244">
        <v>0.20399999999999999</v>
      </c>
      <c r="L1244">
        <v>1</v>
      </c>
      <c r="M1244">
        <v>0</v>
      </c>
      <c r="N1244">
        <v>0</v>
      </c>
      <c r="O1244" t="s">
        <v>127</v>
      </c>
      <c r="P1244" t="s">
        <v>127</v>
      </c>
      <c r="Q1244" t="s">
        <v>127</v>
      </c>
    </row>
    <row r="1245" spans="1:17" x14ac:dyDescent="0.25">
      <c r="A1245" t="str">
        <f>IF(C1245&amp;G1245&amp;D1245&lt;&gt;'Funnel setup'!$K$3&amp;'Funnel setup'!$K$4&amp;'Funnel setup'!$K$6,".",IF(A1244=".",1,A1244+1))</f>
        <v>.</v>
      </c>
      <c r="B1245" s="244" t="str">
        <f t="shared" si="19"/>
        <v>Hip Replacement RevisionSub-ICB of GP PracticeNHS SUFFOLK AND NORTH EAST ESSEX ICB - 07K (07K)EQ-5D Index</v>
      </c>
      <c r="C1245" t="s">
        <v>967</v>
      </c>
      <c r="D1245" t="s">
        <v>1021</v>
      </c>
      <c r="E1245" t="s">
        <v>943</v>
      </c>
      <c r="F1245" t="s">
        <v>944</v>
      </c>
      <c r="G1245" t="s">
        <v>963</v>
      </c>
      <c r="H1245">
        <v>9</v>
      </c>
      <c r="I1245">
        <v>0.37733299999999997</v>
      </c>
      <c r="J1245">
        <v>0.76577799999999996</v>
      </c>
      <c r="K1245">
        <v>0.38844400000000001</v>
      </c>
      <c r="L1245">
        <v>8</v>
      </c>
      <c r="M1245">
        <v>1</v>
      </c>
      <c r="N1245">
        <v>0</v>
      </c>
      <c r="O1245" t="s">
        <v>127</v>
      </c>
      <c r="P1245" t="s">
        <v>127</v>
      </c>
      <c r="Q1245" t="s">
        <v>127</v>
      </c>
    </row>
    <row r="1246" spans="1:17" x14ac:dyDescent="0.25">
      <c r="A1246" t="str">
        <f>IF(C1246&amp;G1246&amp;D1246&lt;&gt;'Funnel setup'!$K$3&amp;'Funnel setup'!$K$4&amp;'Funnel setup'!$K$6,".",IF(A1245=".",1,A1245+1))</f>
        <v>.</v>
      </c>
      <c r="B1246" s="244" t="str">
        <f t="shared" si="19"/>
        <v>Hip Replacement RevisionSub-ICB of GP PracticeNHS SURREY HEARTLANDS ICB - 92A (92A)EQ-5D Index</v>
      </c>
      <c r="C1246" t="s">
        <v>967</v>
      </c>
      <c r="D1246" t="s">
        <v>1021</v>
      </c>
      <c r="E1246" t="s">
        <v>945</v>
      </c>
      <c r="F1246" t="s">
        <v>946</v>
      </c>
      <c r="G1246" t="s">
        <v>963</v>
      </c>
      <c r="H1246">
        <v>25</v>
      </c>
      <c r="I1246">
        <v>0.48692000000000002</v>
      </c>
      <c r="J1246">
        <v>0.746</v>
      </c>
      <c r="K1246">
        <v>0.25907999999999998</v>
      </c>
      <c r="L1246">
        <v>18</v>
      </c>
      <c r="M1246">
        <v>4</v>
      </c>
      <c r="N1246">
        <v>3</v>
      </c>
      <c r="O1246" t="s">
        <v>127</v>
      </c>
      <c r="P1246" t="s">
        <v>127</v>
      </c>
      <c r="Q1246" t="s">
        <v>127</v>
      </c>
    </row>
    <row r="1247" spans="1:17" x14ac:dyDescent="0.25">
      <c r="A1247" t="str">
        <f>IF(C1247&amp;G1247&amp;D1247&lt;&gt;'Funnel setup'!$K$3&amp;'Funnel setup'!$K$4&amp;'Funnel setup'!$K$6,".",IF(A1246=".",1,A1246+1))</f>
        <v>.</v>
      </c>
      <c r="B1247" s="244" t="str">
        <f t="shared" si="19"/>
        <v>Hip Replacement RevisionSub-ICB of GP PracticeNHS SUSSEX ICB - 09D (09D)EQ-5D Index</v>
      </c>
      <c r="C1247" t="s">
        <v>967</v>
      </c>
      <c r="D1247" t="s">
        <v>1021</v>
      </c>
      <c r="E1247" t="s">
        <v>947</v>
      </c>
      <c r="F1247" t="s">
        <v>948</v>
      </c>
      <c r="G1247" t="s">
        <v>963</v>
      </c>
      <c r="H1247">
        <v>4</v>
      </c>
      <c r="I1247">
        <v>0.48775000000000002</v>
      </c>
      <c r="J1247">
        <v>0.60050000000000003</v>
      </c>
      <c r="K1247">
        <v>0.11275</v>
      </c>
      <c r="L1247">
        <v>2</v>
      </c>
      <c r="M1247">
        <v>2</v>
      </c>
      <c r="N1247">
        <v>0</v>
      </c>
      <c r="O1247" t="s">
        <v>127</v>
      </c>
      <c r="P1247" t="s">
        <v>127</v>
      </c>
      <c r="Q1247" t="s">
        <v>127</v>
      </c>
    </row>
    <row r="1248" spans="1:17" x14ac:dyDescent="0.25">
      <c r="A1248" t="str">
        <f>IF(C1248&amp;G1248&amp;D1248&lt;&gt;'Funnel setup'!$K$3&amp;'Funnel setup'!$K$4&amp;'Funnel setup'!$K$6,".",IF(A1247=".",1,A1247+1))</f>
        <v>.</v>
      </c>
      <c r="B1248" s="244" t="str">
        <f t="shared" si="19"/>
        <v>Hip Replacement RevisionSub-ICB of GP PracticeNHS SUSSEX ICB - 70F (70F)EQ-5D Index</v>
      </c>
      <c r="C1248" t="s">
        <v>967</v>
      </c>
      <c r="D1248" t="s">
        <v>1021</v>
      </c>
      <c r="E1248" t="s">
        <v>949</v>
      </c>
      <c r="F1248" t="s">
        <v>950</v>
      </c>
      <c r="G1248" t="s">
        <v>963</v>
      </c>
      <c r="H1248">
        <v>16</v>
      </c>
      <c r="I1248">
        <v>0.31912499999999999</v>
      </c>
      <c r="J1248">
        <v>0.54081199999999996</v>
      </c>
      <c r="K1248">
        <v>0.221687</v>
      </c>
      <c r="L1248">
        <v>12</v>
      </c>
      <c r="M1248">
        <v>1</v>
      </c>
      <c r="N1248">
        <v>3</v>
      </c>
      <c r="O1248" t="s">
        <v>127</v>
      </c>
      <c r="P1248" t="s">
        <v>127</v>
      </c>
      <c r="Q1248" t="s">
        <v>127</v>
      </c>
    </row>
    <row r="1249" spans="1:17" x14ac:dyDescent="0.25">
      <c r="A1249" t="str">
        <f>IF(C1249&amp;G1249&amp;D1249&lt;&gt;'Funnel setup'!$K$3&amp;'Funnel setup'!$K$4&amp;'Funnel setup'!$K$6,".",IF(A1248=".",1,A1248+1))</f>
        <v>.</v>
      </c>
      <c r="B1249" s="244" t="str">
        <f t="shared" si="19"/>
        <v>Hip Replacement RevisionSub-ICB of GP PracticeNHS SUSSEX ICB - 97R (97R)EQ-5D Index</v>
      </c>
      <c r="C1249" t="s">
        <v>967</v>
      </c>
      <c r="D1249" t="s">
        <v>1021</v>
      </c>
      <c r="E1249" t="s">
        <v>951</v>
      </c>
      <c r="F1249" t="s">
        <v>952</v>
      </c>
      <c r="G1249" t="s">
        <v>963</v>
      </c>
      <c r="H1249">
        <v>12</v>
      </c>
      <c r="I1249">
        <v>0.57141699999999995</v>
      </c>
      <c r="J1249">
        <v>0.60324999999999995</v>
      </c>
      <c r="K1249">
        <v>3.1833300000000002E-2</v>
      </c>
      <c r="L1249">
        <v>6</v>
      </c>
      <c r="M1249">
        <v>2</v>
      </c>
      <c r="N1249">
        <v>4</v>
      </c>
      <c r="O1249" t="s">
        <v>127</v>
      </c>
      <c r="P1249" t="s">
        <v>127</v>
      </c>
      <c r="Q1249" t="s">
        <v>127</v>
      </c>
    </row>
    <row r="1250" spans="1:17" x14ac:dyDescent="0.25">
      <c r="A1250" t="str">
        <f>IF(C1250&amp;G1250&amp;D1250&lt;&gt;'Funnel setup'!$K$3&amp;'Funnel setup'!$K$4&amp;'Funnel setup'!$K$6,".",IF(A1249=".",1,A1249+1))</f>
        <v>.</v>
      </c>
      <c r="B1250" s="244" t="str">
        <f t="shared" si="19"/>
        <v>Hip Replacement RevisionSub-ICB of GP PracticeNHS WEST YORKSHIRE ICB - 02T (02T)EQ-5D Index</v>
      </c>
      <c r="C1250" t="s">
        <v>967</v>
      </c>
      <c r="D1250" t="s">
        <v>1021</v>
      </c>
      <c r="E1250" t="s">
        <v>953</v>
      </c>
      <c r="F1250" t="s">
        <v>954</v>
      </c>
      <c r="G1250" t="s">
        <v>963</v>
      </c>
      <c r="H1250">
        <v>2</v>
      </c>
      <c r="I1250">
        <v>0.25650000000000001</v>
      </c>
      <c r="J1250">
        <v>0.32150000000000001</v>
      </c>
      <c r="K1250">
        <v>6.5000000000000002E-2</v>
      </c>
      <c r="L1250">
        <v>1</v>
      </c>
      <c r="M1250">
        <v>0</v>
      </c>
      <c r="N1250">
        <v>1</v>
      </c>
      <c r="O1250" t="s">
        <v>127</v>
      </c>
      <c r="P1250" t="s">
        <v>127</v>
      </c>
      <c r="Q1250" t="s">
        <v>127</v>
      </c>
    </row>
    <row r="1251" spans="1:17" x14ac:dyDescent="0.25">
      <c r="A1251" t="str">
        <f>IF(C1251&amp;G1251&amp;D1251&lt;&gt;'Funnel setup'!$K$3&amp;'Funnel setup'!$K$4&amp;'Funnel setup'!$K$6,".",IF(A1250=".",1,A1250+1))</f>
        <v>.</v>
      </c>
      <c r="B1251" s="244" t="str">
        <f t="shared" si="19"/>
        <v>Hip Replacement RevisionSub-ICB of GP PracticeNHS WEST YORKSHIRE ICB - 03R (03R)EQ-5D Index</v>
      </c>
      <c r="C1251" t="s">
        <v>967</v>
      </c>
      <c r="D1251" t="s">
        <v>1021</v>
      </c>
      <c r="E1251" t="s">
        <v>955</v>
      </c>
      <c r="F1251" t="s">
        <v>956</v>
      </c>
      <c r="G1251" t="s">
        <v>963</v>
      </c>
      <c r="H1251">
        <v>7</v>
      </c>
      <c r="I1251">
        <v>0.183</v>
      </c>
      <c r="J1251">
        <v>0.44442900000000002</v>
      </c>
      <c r="K1251">
        <v>0.26142900000000002</v>
      </c>
      <c r="L1251">
        <v>4</v>
      </c>
      <c r="M1251">
        <v>1</v>
      </c>
      <c r="N1251">
        <v>2</v>
      </c>
      <c r="O1251" t="s">
        <v>127</v>
      </c>
      <c r="P1251" t="s">
        <v>127</v>
      </c>
      <c r="Q1251" t="s">
        <v>127</v>
      </c>
    </row>
    <row r="1252" spans="1:17" x14ac:dyDescent="0.25">
      <c r="A1252" t="str">
        <f>IF(C1252&amp;G1252&amp;D1252&lt;&gt;'Funnel setup'!$K$3&amp;'Funnel setup'!$K$4&amp;'Funnel setup'!$K$6,".",IF(A1251=".",1,A1251+1))</f>
        <v>.</v>
      </c>
      <c r="B1252" s="244" t="str">
        <f t="shared" si="19"/>
        <v>Hip Replacement RevisionSub-ICB of GP PracticeNHS WEST YORKSHIRE ICB - 15F (15F)EQ-5D Index</v>
      </c>
      <c r="C1252" t="s">
        <v>967</v>
      </c>
      <c r="D1252" t="s">
        <v>1021</v>
      </c>
      <c r="E1252" t="s">
        <v>957</v>
      </c>
      <c r="F1252" t="s">
        <v>958</v>
      </c>
      <c r="G1252" t="s">
        <v>963</v>
      </c>
      <c r="H1252">
        <v>16</v>
      </c>
      <c r="I1252">
        <v>0.41975000000000001</v>
      </c>
      <c r="J1252">
        <v>0.72587500000000005</v>
      </c>
      <c r="K1252">
        <v>0.30612499999999998</v>
      </c>
      <c r="L1252">
        <v>14</v>
      </c>
      <c r="M1252">
        <v>1</v>
      </c>
      <c r="N1252">
        <v>1</v>
      </c>
      <c r="O1252" t="s">
        <v>127</v>
      </c>
      <c r="P1252" t="s">
        <v>127</v>
      </c>
      <c r="Q1252" t="s">
        <v>127</v>
      </c>
    </row>
    <row r="1253" spans="1:17" x14ac:dyDescent="0.25">
      <c r="A1253" t="str">
        <f>IF(C1253&amp;G1253&amp;D1253&lt;&gt;'Funnel setup'!$K$3&amp;'Funnel setup'!$K$4&amp;'Funnel setup'!$K$6,".",IF(A1252=".",1,A1252+1))</f>
        <v>.</v>
      </c>
      <c r="B1253" s="244" t="str">
        <f t="shared" si="19"/>
        <v>Hip Replacement RevisionSub-ICB of GP PracticeNHS WEST YORKSHIRE ICB - 36J (36J)EQ-5D Index</v>
      </c>
      <c r="C1253" t="s">
        <v>967</v>
      </c>
      <c r="D1253" t="s">
        <v>1021</v>
      </c>
      <c r="E1253" t="s">
        <v>959</v>
      </c>
      <c r="F1253" t="s">
        <v>960</v>
      </c>
      <c r="G1253" t="s">
        <v>963</v>
      </c>
      <c r="H1253">
        <v>5</v>
      </c>
      <c r="I1253">
        <v>0.33760000000000001</v>
      </c>
      <c r="J1253">
        <v>0.7006</v>
      </c>
      <c r="K1253">
        <v>0.36299999999999999</v>
      </c>
      <c r="L1253">
        <v>4</v>
      </c>
      <c r="M1253">
        <v>1</v>
      </c>
      <c r="N1253">
        <v>0</v>
      </c>
      <c r="O1253" t="s">
        <v>127</v>
      </c>
      <c r="P1253" t="s">
        <v>127</v>
      </c>
      <c r="Q1253" t="s">
        <v>127</v>
      </c>
    </row>
    <row r="1254" spans="1:17" x14ac:dyDescent="0.25">
      <c r="A1254" t="str">
        <f>IF(C1254&amp;G1254&amp;D1254&lt;&gt;'Funnel setup'!$K$3&amp;'Funnel setup'!$K$4&amp;'Funnel setup'!$K$6,".",IF(A1253=".",1,A1253+1))</f>
        <v>.</v>
      </c>
      <c r="B1254" s="244" t="str">
        <f t="shared" si="19"/>
        <v>Hip Replacement RevisionSub-ICB of GP PracticeNHS WEST YORKSHIRE ICB - X2C4Y (X2C4Y)EQ-5D Index</v>
      </c>
      <c r="C1254" t="s">
        <v>967</v>
      </c>
      <c r="D1254" t="s">
        <v>1021</v>
      </c>
      <c r="E1254" t="s">
        <v>961</v>
      </c>
      <c r="F1254" t="s">
        <v>962</v>
      </c>
      <c r="G1254" t="s">
        <v>963</v>
      </c>
      <c r="H1254">
        <v>7</v>
      </c>
      <c r="I1254">
        <v>0.26785700000000001</v>
      </c>
      <c r="J1254">
        <v>0.60485699999999998</v>
      </c>
      <c r="K1254">
        <v>0.33700000000000002</v>
      </c>
      <c r="L1254">
        <v>5</v>
      </c>
      <c r="M1254">
        <v>1</v>
      </c>
      <c r="N1254">
        <v>1</v>
      </c>
      <c r="O1254" t="s">
        <v>127</v>
      </c>
      <c r="P1254" t="s">
        <v>127</v>
      </c>
      <c r="Q1254" t="s">
        <v>127</v>
      </c>
    </row>
    <row r="1255" spans="1:17" x14ac:dyDescent="0.25">
      <c r="A1255" t="str">
        <f>IF(C1255&amp;G1255&amp;D1255&lt;&gt;'Funnel setup'!$K$3&amp;'Funnel setup'!$K$4&amp;'Funnel setup'!$K$6,".",IF(A1254=".",1,A1254+1))</f>
        <v>.</v>
      </c>
      <c r="B1255" s="244" t="str">
        <f t="shared" si="19"/>
        <v>Hip Replacement RevisionSub-ICB of GP PracticeNHS BATH AND NORTH EAST SOMERSET, SWINDON AND WILTSHIRE ICB - 92G (92G)Oxford Hip Score</v>
      </c>
      <c r="C1255" t="s">
        <v>967</v>
      </c>
      <c r="D1255" t="s">
        <v>1021</v>
      </c>
      <c r="E1255" t="s">
        <v>750</v>
      </c>
      <c r="F1255" t="s">
        <v>751</v>
      </c>
      <c r="G1255" t="s">
        <v>964</v>
      </c>
      <c r="H1255">
        <v>7</v>
      </c>
      <c r="I1255">
        <v>25</v>
      </c>
      <c r="J1255">
        <v>36.142899999999997</v>
      </c>
      <c r="K1255">
        <v>11.142899999999999</v>
      </c>
      <c r="L1255">
        <v>6</v>
      </c>
      <c r="M1255">
        <v>1</v>
      </c>
      <c r="N1255">
        <v>0</v>
      </c>
      <c r="O1255" t="s">
        <v>127</v>
      </c>
      <c r="P1255" t="s">
        <v>127</v>
      </c>
      <c r="Q1255" t="s">
        <v>127</v>
      </c>
    </row>
    <row r="1256" spans="1:17" x14ac:dyDescent="0.25">
      <c r="A1256" t="str">
        <f>IF(C1256&amp;G1256&amp;D1256&lt;&gt;'Funnel setup'!$K$3&amp;'Funnel setup'!$K$4&amp;'Funnel setup'!$K$6,".",IF(A1255=".",1,A1255+1))</f>
        <v>.</v>
      </c>
      <c r="B1256" s="244" t="str">
        <f t="shared" si="19"/>
        <v>Hip Replacement RevisionSub-ICB of GP PracticeNHS BEDFORDSHIRE, LUTON AND MILTON KEYNES ICB - M1J4Y (M1J4Y)Oxford Hip Score</v>
      </c>
      <c r="C1256" t="s">
        <v>967</v>
      </c>
      <c r="D1256" t="s">
        <v>1021</v>
      </c>
      <c r="E1256" t="s">
        <v>753</v>
      </c>
      <c r="F1256" t="s">
        <v>754</v>
      </c>
      <c r="G1256" t="s">
        <v>964</v>
      </c>
      <c r="H1256">
        <v>7</v>
      </c>
      <c r="I1256">
        <v>21.142900000000001</v>
      </c>
      <c r="J1256">
        <v>30.714300000000001</v>
      </c>
      <c r="K1256">
        <v>9.5714299999999994</v>
      </c>
      <c r="L1256">
        <v>6</v>
      </c>
      <c r="M1256">
        <v>0</v>
      </c>
      <c r="N1256">
        <v>1</v>
      </c>
      <c r="O1256" t="s">
        <v>127</v>
      </c>
      <c r="P1256" t="s">
        <v>127</v>
      </c>
      <c r="Q1256" t="s">
        <v>127</v>
      </c>
    </row>
    <row r="1257" spans="1:17" x14ac:dyDescent="0.25">
      <c r="A1257" t="str">
        <f>IF(C1257&amp;G1257&amp;D1257&lt;&gt;'Funnel setup'!$K$3&amp;'Funnel setup'!$K$4&amp;'Funnel setup'!$K$6,".",IF(A1256=".",1,A1256+1))</f>
        <v>.</v>
      </c>
      <c r="B1257" s="244" t="str">
        <f t="shared" si="19"/>
        <v>Hip Replacement RevisionSub-ICB of GP PracticeNHS BIRMINGHAM AND SOLIHULL ICB - 15E (15E)Oxford Hip Score</v>
      </c>
      <c r="C1257" t="s">
        <v>967</v>
      </c>
      <c r="D1257" t="s">
        <v>1021</v>
      </c>
      <c r="E1257" t="s">
        <v>755</v>
      </c>
      <c r="F1257" t="s">
        <v>756</v>
      </c>
      <c r="G1257" t="s">
        <v>964</v>
      </c>
      <c r="H1257">
        <v>16</v>
      </c>
      <c r="I1257">
        <v>21.375</v>
      </c>
      <c r="J1257">
        <v>34.75</v>
      </c>
      <c r="K1257">
        <v>13.375</v>
      </c>
      <c r="L1257">
        <v>13</v>
      </c>
      <c r="M1257">
        <v>0</v>
      </c>
      <c r="N1257">
        <v>3</v>
      </c>
      <c r="O1257" t="s">
        <v>127</v>
      </c>
      <c r="P1257" t="s">
        <v>127</v>
      </c>
      <c r="Q1257" t="s">
        <v>127</v>
      </c>
    </row>
    <row r="1258" spans="1:17" x14ac:dyDescent="0.25">
      <c r="A1258" t="str">
        <f>IF(C1258&amp;G1258&amp;D1258&lt;&gt;'Funnel setup'!$K$3&amp;'Funnel setup'!$K$4&amp;'Funnel setup'!$K$6,".",IF(A1257=".",1,A1257+1))</f>
        <v>.</v>
      </c>
      <c r="B1258" s="244" t="str">
        <f t="shared" si="19"/>
        <v>Hip Replacement RevisionSub-ICB of GP PracticeNHS BLACK COUNTRY ICB - D2P2L (D2P2L)Oxford Hip Score</v>
      </c>
      <c r="C1258" t="s">
        <v>967</v>
      </c>
      <c r="D1258" t="s">
        <v>1021</v>
      </c>
      <c r="E1258" t="s">
        <v>757</v>
      </c>
      <c r="F1258" t="s">
        <v>758</v>
      </c>
      <c r="G1258" t="s">
        <v>964</v>
      </c>
      <c r="H1258">
        <v>11</v>
      </c>
      <c r="I1258">
        <v>13.818199999999999</v>
      </c>
      <c r="J1258">
        <v>32.818199999999997</v>
      </c>
      <c r="K1258">
        <v>19</v>
      </c>
      <c r="L1258">
        <v>10</v>
      </c>
      <c r="M1258">
        <v>0</v>
      </c>
      <c r="N1258">
        <v>1</v>
      </c>
      <c r="O1258" t="s">
        <v>127</v>
      </c>
      <c r="P1258" t="s">
        <v>127</v>
      </c>
      <c r="Q1258" t="s">
        <v>127</v>
      </c>
    </row>
    <row r="1259" spans="1:17" x14ac:dyDescent="0.25">
      <c r="A1259" t="str">
        <f>IF(C1259&amp;G1259&amp;D1259&lt;&gt;'Funnel setup'!$K$3&amp;'Funnel setup'!$K$4&amp;'Funnel setup'!$K$6,".",IF(A1258=".",1,A1258+1))</f>
        <v>.</v>
      </c>
      <c r="B1259" s="244" t="str">
        <f t="shared" si="19"/>
        <v>Hip Replacement RevisionSub-ICB of GP PracticeNHS BRISTOL, NORTH SOMERSET AND SOUTH GLOUCESTERSHIRE ICB - 15C (15C)Oxford Hip Score</v>
      </c>
      <c r="C1259" t="s">
        <v>967</v>
      </c>
      <c r="D1259" t="s">
        <v>1021</v>
      </c>
      <c r="E1259" t="s">
        <v>759</v>
      </c>
      <c r="F1259" t="s">
        <v>760</v>
      </c>
      <c r="G1259" t="s">
        <v>964</v>
      </c>
      <c r="H1259">
        <v>3</v>
      </c>
      <c r="I1259">
        <v>19.333300000000001</v>
      </c>
      <c r="J1259">
        <v>37.666699999999999</v>
      </c>
      <c r="K1259">
        <v>18.333300000000001</v>
      </c>
      <c r="L1259">
        <v>3</v>
      </c>
      <c r="M1259">
        <v>0</v>
      </c>
      <c r="N1259">
        <v>0</v>
      </c>
      <c r="O1259" t="s">
        <v>127</v>
      </c>
      <c r="P1259" t="s">
        <v>127</v>
      </c>
      <c r="Q1259" t="s">
        <v>127</v>
      </c>
    </row>
    <row r="1260" spans="1:17" x14ac:dyDescent="0.25">
      <c r="A1260" t="str">
        <f>IF(C1260&amp;G1260&amp;D1260&lt;&gt;'Funnel setup'!$K$3&amp;'Funnel setup'!$K$4&amp;'Funnel setup'!$K$6,".",IF(A1259=".",1,A1259+1))</f>
        <v>.</v>
      </c>
      <c r="B1260" s="244" t="str">
        <f t="shared" si="19"/>
        <v>Hip Replacement RevisionSub-ICB of GP PracticeNHS BUCKINGHAMSHIRE, OXFORDSHIRE AND BERKSHIRE WEST ICB - 10Q (10Q)Oxford Hip Score</v>
      </c>
      <c r="C1260" t="s">
        <v>967</v>
      </c>
      <c r="D1260" t="s">
        <v>1021</v>
      </c>
      <c r="E1260" t="s">
        <v>761</v>
      </c>
      <c r="F1260" t="s">
        <v>762</v>
      </c>
      <c r="G1260" t="s">
        <v>964</v>
      </c>
      <c r="H1260">
        <v>14</v>
      </c>
      <c r="I1260">
        <v>26.071400000000001</v>
      </c>
      <c r="J1260">
        <v>40.571399999999997</v>
      </c>
      <c r="K1260">
        <v>14.5</v>
      </c>
      <c r="L1260">
        <v>14</v>
      </c>
      <c r="M1260">
        <v>0</v>
      </c>
      <c r="N1260">
        <v>0</v>
      </c>
      <c r="O1260" t="s">
        <v>127</v>
      </c>
      <c r="P1260" t="s">
        <v>127</v>
      </c>
      <c r="Q1260" t="s">
        <v>127</v>
      </c>
    </row>
    <row r="1261" spans="1:17" x14ac:dyDescent="0.25">
      <c r="A1261" t="str">
        <f>IF(C1261&amp;G1261&amp;D1261&lt;&gt;'Funnel setup'!$K$3&amp;'Funnel setup'!$K$4&amp;'Funnel setup'!$K$6,".",IF(A1260=".",1,A1260+1))</f>
        <v>.</v>
      </c>
      <c r="B1261" s="244" t="str">
        <f t="shared" si="19"/>
        <v>Hip Replacement RevisionSub-ICB of GP PracticeNHS BUCKINGHAMSHIRE, OXFORDSHIRE AND BERKSHIRE WEST ICB - 14Y (14Y)Oxford Hip Score</v>
      </c>
      <c r="C1261" t="s">
        <v>967</v>
      </c>
      <c r="D1261" t="s">
        <v>1021</v>
      </c>
      <c r="E1261" t="s">
        <v>763</v>
      </c>
      <c r="F1261" t="s">
        <v>764</v>
      </c>
      <c r="G1261" t="s">
        <v>964</v>
      </c>
      <c r="H1261">
        <v>13</v>
      </c>
      <c r="I1261">
        <v>13.615399999999999</v>
      </c>
      <c r="J1261">
        <v>31.615400000000001</v>
      </c>
      <c r="K1261">
        <v>18</v>
      </c>
      <c r="L1261">
        <v>11</v>
      </c>
      <c r="M1261">
        <v>0</v>
      </c>
      <c r="N1261">
        <v>2</v>
      </c>
      <c r="O1261" t="s">
        <v>127</v>
      </c>
      <c r="P1261" t="s">
        <v>127</v>
      </c>
      <c r="Q1261" t="s">
        <v>127</v>
      </c>
    </row>
    <row r="1262" spans="1:17" x14ac:dyDescent="0.25">
      <c r="A1262" t="str">
        <f>IF(C1262&amp;G1262&amp;D1262&lt;&gt;'Funnel setup'!$K$3&amp;'Funnel setup'!$K$4&amp;'Funnel setup'!$K$6,".",IF(A1261=".",1,A1261+1))</f>
        <v>.</v>
      </c>
      <c r="B1262" s="244" t="str">
        <f t="shared" si="19"/>
        <v>Hip Replacement RevisionSub-ICB of GP PracticeNHS BUCKINGHAMSHIRE, OXFORDSHIRE AND BERKSHIRE WEST ICB - 15A (15A)Oxford Hip Score</v>
      </c>
      <c r="C1262" t="s">
        <v>967</v>
      </c>
      <c r="D1262" t="s">
        <v>1021</v>
      </c>
      <c r="E1262" t="s">
        <v>765</v>
      </c>
      <c r="F1262" t="s">
        <v>766</v>
      </c>
      <c r="G1262" t="s">
        <v>964</v>
      </c>
      <c r="H1262">
        <v>5</v>
      </c>
      <c r="I1262">
        <v>25.4</v>
      </c>
      <c r="J1262">
        <v>37.4</v>
      </c>
      <c r="K1262">
        <v>12</v>
      </c>
      <c r="L1262">
        <v>4</v>
      </c>
      <c r="M1262">
        <v>0</v>
      </c>
      <c r="N1262">
        <v>1</v>
      </c>
      <c r="O1262" t="s">
        <v>127</v>
      </c>
      <c r="P1262" t="s">
        <v>127</v>
      </c>
      <c r="Q1262" t="s">
        <v>127</v>
      </c>
    </row>
    <row r="1263" spans="1:17" x14ac:dyDescent="0.25">
      <c r="A1263" t="str">
        <f>IF(C1263&amp;G1263&amp;D1263&lt;&gt;'Funnel setup'!$K$3&amp;'Funnel setup'!$K$4&amp;'Funnel setup'!$K$6,".",IF(A1262=".",1,A1262+1))</f>
        <v>.</v>
      </c>
      <c r="B1263" s="244" t="str">
        <f t="shared" si="19"/>
        <v>Hip Replacement RevisionSub-ICB of GP PracticeNHS CAMBRIDGESHIRE AND PETERBOROUGH ICB - 06H (06H)Oxford Hip Score</v>
      </c>
      <c r="C1263" t="s">
        <v>967</v>
      </c>
      <c r="D1263" t="s">
        <v>1021</v>
      </c>
      <c r="E1263" t="s">
        <v>767</v>
      </c>
      <c r="F1263" t="s">
        <v>768</v>
      </c>
      <c r="G1263" t="s">
        <v>964</v>
      </c>
      <c r="H1263">
        <v>10</v>
      </c>
      <c r="I1263">
        <v>21.5</v>
      </c>
      <c r="J1263">
        <v>36.700000000000003</v>
      </c>
      <c r="K1263">
        <v>15.2</v>
      </c>
      <c r="L1263">
        <v>9</v>
      </c>
      <c r="M1263">
        <v>1</v>
      </c>
      <c r="N1263">
        <v>0</v>
      </c>
      <c r="O1263" t="s">
        <v>127</v>
      </c>
      <c r="P1263" t="s">
        <v>127</v>
      </c>
      <c r="Q1263" t="s">
        <v>127</v>
      </c>
    </row>
    <row r="1264" spans="1:17" x14ac:dyDescent="0.25">
      <c r="A1264" t="str">
        <f>IF(C1264&amp;G1264&amp;D1264&lt;&gt;'Funnel setup'!$K$3&amp;'Funnel setup'!$K$4&amp;'Funnel setup'!$K$6,".",IF(A1263=".",1,A1263+1))</f>
        <v>.</v>
      </c>
      <c r="B1264" s="244" t="str">
        <f t="shared" si="19"/>
        <v>Hip Replacement RevisionSub-ICB of GP PracticeNHS CHESHIRE AND MERSEYSIDE ICB - 01F (01F)Oxford Hip Score</v>
      </c>
      <c r="C1264" t="s">
        <v>967</v>
      </c>
      <c r="D1264" t="s">
        <v>1021</v>
      </c>
      <c r="E1264" t="s">
        <v>769</v>
      </c>
      <c r="F1264" t="s">
        <v>770</v>
      </c>
      <c r="G1264" t="s">
        <v>964</v>
      </c>
      <c r="H1264">
        <v>2</v>
      </c>
      <c r="I1264">
        <v>13</v>
      </c>
      <c r="J1264">
        <v>26.5</v>
      </c>
      <c r="K1264">
        <v>13.5</v>
      </c>
      <c r="L1264">
        <v>2</v>
      </c>
      <c r="M1264">
        <v>0</v>
      </c>
      <c r="N1264">
        <v>0</v>
      </c>
      <c r="O1264" t="s">
        <v>127</v>
      </c>
      <c r="P1264" t="s">
        <v>127</v>
      </c>
      <c r="Q1264" t="s">
        <v>127</v>
      </c>
    </row>
    <row r="1265" spans="1:17" x14ac:dyDescent="0.25">
      <c r="A1265" t="str">
        <f>IF(C1265&amp;G1265&amp;D1265&lt;&gt;'Funnel setup'!$K$3&amp;'Funnel setup'!$K$4&amp;'Funnel setup'!$K$6,".",IF(A1264=".",1,A1264+1))</f>
        <v>.</v>
      </c>
      <c r="B1265" s="244" t="str">
        <f t="shared" si="19"/>
        <v>Hip Replacement RevisionSub-ICB of GP PracticeNHS CHESHIRE AND MERSEYSIDE ICB - 01T (01T)Oxford Hip Score</v>
      </c>
      <c r="C1265" t="s">
        <v>967</v>
      </c>
      <c r="D1265" t="s">
        <v>1021</v>
      </c>
      <c r="E1265" t="s">
        <v>773</v>
      </c>
      <c r="F1265" t="s">
        <v>774</v>
      </c>
      <c r="G1265" t="s">
        <v>964</v>
      </c>
      <c r="H1265">
        <v>1</v>
      </c>
      <c r="I1265">
        <v>24</v>
      </c>
      <c r="J1265">
        <v>18</v>
      </c>
      <c r="K1265">
        <v>-6</v>
      </c>
      <c r="L1265">
        <v>0</v>
      </c>
      <c r="M1265">
        <v>0</v>
      </c>
      <c r="N1265">
        <v>1</v>
      </c>
      <c r="O1265" t="s">
        <v>127</v>
      </c>
      <c r="P1265" t="s">
        <v>127</v>
      </c>
      <c r="Q1265" t="s">
        <v>127</v>
      </c>
    </row>
    <row r="1266" spans="1:17" x14ac:dyDescent="0.25">
      <c r="A1266" t="str">
        <f>IF(C1266&amp;G1266&amp;D1266&lt;&gt;'Funnel setup'!$K$3&amp;'Funnel setup'!$K$4&amp;'Funnel setup'!$K$6,".",IF(A1265=".",1,A1265+1))</f>
        <v>.</v>
      </c>
      <c r="B1266" s="244" t="str">
        <f t="shared" si="19"/>
        <v>Hip Replacement RevisionSub-ICB of GP PracticeNHS CHESHIRE AND MERSEYSIDE ICB - 01V (01V)Oxford Hip Score</v>
      </c>
      <c r="C1266" t="s">
        <v>967</v>
      </c>
      <c r="D1266" t="s">
        <v>1021</v>
      </c>
      <c r="E1266" t="s">
        <v>775</v>
      </c>
      <c r="F1266" t="s">
        <v>776</v>
      </c>
      <c r="G1266" t="s">
        <v>964</v>
      </c>
      <c r="H1266">
        <v>1</v>
      </c>
      <c r="I1266">
        <v>10</v>
      </c>
      <c r="J1266">
        <v>20</v>
      </c>
      <c r="K1266">
        <v>10</v>
      </c>
      <c r="L1266">
        <v>1</v>
      </c>
      <c r="M1266">
        <v>0</v>
      </c>
      <c r="N1266">
        <v>0</v>
      </c>
      <c r="O1266" t="s">
        <v>127</v>
      </c>
      <c r="P1266" t="s">
        <v>127</v>
      </c>
      <c r="Q1266" t="s">
        <v>127</v>
      </c>
    </row>
    <row r="1267" spans="1:17" x14ac:dyDescent="0.25">
      <c r="A1267" t="str">
        <f>IF(C1267&amp;G1267&amp;D1267&lt;&gt;'Funnel setup'!$K$3&amp;'Funnel setup'!$K$4&amp;'Funnel setup'!$K$6,".",IF(A1266=".",1,A1266+1))</f>
        <v>.</v>
      </c>
      <c r="B1267" s="244" t="str">
        <f t="shared" si="19"/>
        <v>Hip Replacement RevisionSub-ICB of GP PracticeNHS CHESHIRE AND MERSEYSIDE ICB - 01X (01X)Oxford Hip Score</v>
      </c>
      <c r="C1267" t="s">
        <v>967</v>
      </c>
      <c r="D1267" t="s">
        <v>1021</v>
      </c>
      <c r="E1267" t="s">
        <v>777</v>
      </c>
      <c r="F1267" t="s">
        <v>778</v>
      </c>
      <c r="G1267" t="s">
        <v>964</v>
      </c>
      <c r="H1267">
        <v>2</v>
      </c>
      <c r="I1267">
        <v>23.5</v>
      </c>
      <c r="J1267">
        <v>31</v>
      </c>
      <c r="K1267">
        <v>7.5</v>
      </c>
      <c r="L1267">
        <v>1</v>
      </c>
      <c r="M1267">
        <v>0</v>
      </c>
      <c r="N1267">
        <v>1</v>
      </c>
      <c r="O1267" t="s">
        <v>127</v>
      </c>
      <c r="P1267" t="s">
        <v>127</v>
      </c>
      <c r="Q1267" t="s">
        <v>127</v>
      </c>
    </row>
    <row r="1268" spans="1:17" x14ac:dyDescent="0.25">
      <c r="A1268" t="str">
        <f>IF(C1268&amp;G1268&amp;D1268&lt;&gt;'Funnel setup'!$K$3&amp;'Funnel setup'!$K$4&amp;'Funnel setup'!$K$6,".",IF(A1267=".",1,A1267+1))</f>
        <v>.</v>
      </c>
      <c r="B1268" s="244" t="str">
        <f t="shared" si="19"/>
        <v>Hip Replacement RevisionSub-ICB of GP PracticeNHS CHESHIRE AND MERSEYSIDE ICB - 12F (12F)Oxford Hip Score</v>
      </c>
      <c r="C1268" t="s">
        <v>967</v>
      </c>
      <c r="D1268" t="s">
        <v>1021</v>
      </c>
      <c r="E1268" t="s">
        <v>781</v>
      </c>
      <c r="F1268" t="s">
        <v>782</v>
      </c>
      <c r="G1268" t="s">
        <v>964</v>
      </c>
      <c r="H1268">
        <v>1</v>
      </c>
      <c r="I1268">
        <v>13</v>
      </c>
      <c r="J1268">
        <v>43</v>
      </c>
      <c r="K1268">
        <v>30</v>
      </c>
      <c r="L1268">
        <v>1</v>
      </c>
      <c r="M1268">
        <v>0</v>
      </c>
      <c r="N1268">
        <v>0</v>
      </c>
      <c r="O1268" t="s">
        <v>127</v>
      </c>
      <c r="P1268" t="s">
        <v>127</v>
      </c>
      <c r="Q1268" t="s">
        <v>127</v>
      </c>
    </row>
    <row r="1269" spans="1:17" x14ac:dyDescent="0.25">
      <c r="A1269" t="str">
        <f>IF(C1269&amp;G1269&amp;D1269&lt;&gt;'Funnel setup'!$K$3&amp;'Funnel setup'!$K$4&amp;'Funnel setup'!$K$6,".",IF(A1268=".",1,A1268+1))</f>
        <v>.</v>
      </c>
      <c r="B1269" s="244" t="str">
        <f t="shared" si="19"/>
        <v>Hip Replacement RevisionSub-ICB of GP PracticeNHS CHESHIRE AND MERSEYSIDE ICB - 27D (27D)Oxford Hip Score</v>
      </c>
      <c r="C1269" t="s">
        <v>967</v>
      </c>
      <c r="D1269" t="s">
        <v>1021</v>
      </c>
      <c r="E1269" t="s">
        <v>783</v>
      </c>
      <c r="F1269" t="s">
        <v>784</v>
      </c>
      <c r="G1269" t="s">
        <v>964</v>
      </c>
      <c r="H1269">
        <v>10</v>
      </c>
      <c r="I1269">
        <v>22.4</v>
      </c>
      <c r="J1269">
        <v>30.9</v>
      </c>
      <c r="K1269">
        <v>8.5</v>
      </c>
      <c r="L1269">
        <v>8</v>
      </c>
      <c r="M1269">
        <v>0</v>
      </c>
      <c r="N1269">
        <v>2</v>
      </c>
      <c r="O1269" t="s">
        <v>127</v>
      </c>
      <c r="P1269" t="s">
        <v>127</v>
      </c>
      <c r="Q1269" t="s">
        <v>127</v>
      </c>
    </row>
    <row r="1270" spans="1:17" x14ac:dyDescent="0.25">
      <c r="A1270" t="str">
        <f>IF(C1270&amp;G1270&amp;D1270&lt;&gt;'Funnel setup'!$K$3&amp;'Funnel setup'!$K$4&amp;'Funnel setup'!$K$6,".",IF(A1269=".",1,A1269+1))</f>
        <v>.</v>
      </c>
      <c r="B1270" s="244" t="str">
        <f t="shared" si="19"/>
        <v>Hip Replacement RevisionSub-ICB of GP PracticeNHS CHESHIRE AND MERSEYSIDE ICB - 99A (99A)Oxford Hip Score</v>
      </c>
      <c r="C1270" t="s">
        <v>967</v>
      </c>
      <c r="D1270" t="s">
        <v>1021</v>
      </c>
      <c r="E1270" t="s">
        <v>785</v>
      </c>
      <c r="F1270" t="s">
        <v>786</v>
      </c>
      <c r="G1270" t="s">
        <v>964</v>
      </c>
      <c r="H1270">
        <v>4</v>
      </c>
      <c r="I1270">
        <v>9.75</v>
      </c>
      <c r="J1270">
        <v>37.25</v>
      </c>
      <c r="K1270">
        <v>27.5</v>
      </c>
      <c r="L1270">
        <v>3</v>
      </c>
      <c r="M1270">
        <v>0</v>
      </c>
      <c r="N1270">
        <v>1</v>
      </c>
      <c r="O1270" t="s">
        <v>127</v>
      </c>
      <c r="P1270" t="s">
        <v>127</v>
      </c>
      <c r="Q1270" t="s">
        <v>127</v>
      </c>
    </row>
    <row r="1271" spans="1:17" x14ac:dyDescent="0.25">
      <c r="A1271" t="str">
        <f>IF(C1271&amp;G1271&amp;D1271&lt;&gt;'Funnel setup'!$K$3&amp;'Funnel setup'!$K$4&amp;'Funnel setup'!$K$6,".",IF(A1270=".",1,A1270+1))</f>
        <v>.</v>
      </c>
      <c r="B1271" s="244" t="str">
        <f t="shared" si="19"/>
        <v>Hip Replacement RevisionSub-ICB of GP PracticeNHS CORNWALL AND THE ISLES OF SCILLY ICB - 11N (11N)Oxford Hip Score</v>
      </c>
      <c r="C1271" t="s">
        <v>967</v>
      </c>
      <c r="D1271" t="s">
        <v>1021</v>
      </c>
      <c r="E1271" t="s">
        <v>787</v>
      </c>
      <c r="F1271" t="s">
        <v>788</v>
      </c>
      <c r="G1271" t="s">
        <v>964</v>
      </c>
      <c r="H1271">
        <v>7</v>
      </c>
      <c r="I1271">
        <v>22</v>
      </c>
      <c r="J1271">
        <v>34.428600000000003</v>
      </c>
      <c r="K1271">
        <v>12.428599999999999</v>
      </c>
      <c r="L1271">
        <v>6</v>
      </c>
      <c r="M1271">
        <v>0</v>
      </c>
      <c r="N1271">
        <v>1</v>
      </c>
      <c r="O1271" t="s">
        <v>127</v>
      </c>
      <c r="P1271" t="s">
        <v>127</v>
      </c>
      <c r="Q1271" t="s">
        <v>127</v>
      </c>
    </row>
    <row r="1272" spans="1:17" x14ac:dyDescent="0.25">
      <c r="A1272" t="str">
        <f>IF(C1272&amp;G1272&amp;D1272&lt;&gt;'Funnel setup'!$K$3&amp;'Funnel setup'!$K$4&amp;'Funnel setup'!$K$6,".",IF(A1271=".",1,A1271+1))</f>
        <v>.</v>
      </c>
      <c r="B1272" s="244" t="str">
        <f t="shared" si="19"/>
        <v>Hip Replacement RevisionSub-ICB of GP PracticeNHS COVENTRY AND WARWICKSHIRE ICB - B2M3M (B2M3M)Oxford Hip Score</v>
      </c>
      <c r="C1272" t="s">
        <v>967</v>
      </c>
      <c r="D1272" t="s">
        <v>1021</v>
      </c>
      <c r="E1272" t="s">
        <v>789</v>
      </c>
      <c r="F1272" t="s">
        <v>790</v>
      </c>
      <c r="G1272" t="s">
        <v>964</v>
      </c>
      <c r="H1272">
        <v>7</v>
      </c>
      <c r="I1272">
        <v>17</v>
      </c>
      <c r="J1272">
        <v>35.714300000000001</v>
      </c>
      <c r="K1272">
        <v>18.714300000000001</v>
      </c>
      <c r="L1272">
        <v>7</v>
      </c>
      <c r="M1272">
        <v>0</v>
      </c>
      <c r="N1272">
        <v>0</v>
      </c>
      <c r="O1272" t="s">
        <v>127</v>
      </c>
      <c r="P1272" t="s">
        <v>127</v>
      </c>
      <c r="Q1272" t="s">
        <v>127</v>
      </c>
    </row>
    <row r="1273" spans="1:17" x14ac:dyDescent="0.25">
      <c r="A1273" t="str">
        <f>IF(C1273&amp;G1273&amp;D1273&lt;&gt;'Funnel setup'!$K$3&amp;'Funnel setup'!$K$4&amp;'Funnel setup'!$K$6,".",IF(A1272=".",1,A1272+1))</f>
        <v>.</v>
      </c>
      <c r="B1273" s="244" t="str">
        <f t="shared" si="19"/>
        <v>Hip Replacement RevisionSub-ICB of GP PracticeNHS DERBY AND DERBYSHIRE ICB - 15M (15M)Oxford Hip Score</v>
      </c>
      <c r="C1273" t="s">
        <v>967</v>
      </c>
      <c r="D1273" t="s">
        <v>1021</v>
      </c>
      <c r="E1273" t="s">
        <v>791</v>
      </c>
      <c r="F1273" t="s">
        <v>792</v>
      </c>
      <c r="G1273" t="s">
        <v>964</v>
      </c>
      <c r="H1273">
        <v>26</v>
      </c>
      <c r="I1273">
        <v>19.923100000000002</v>
      </c>
      <c r="J1273">
        <v>34.076900000000002</v>
      </c>
      <c r="K1273">
        <v>14.1538</v>
      </c>
      <c r="L1273">
        <v>23</v>
      </c>
      <c r="M1273">
        <v>0</v>
      </c>
      <c r="N1273">
        <v>3</v>
      </c>
      <c r="O1273" t="s">
        <v>127</v>
      </c>
      <c r="P1273" t="s">
        <v>127</v>
      </c>
      <c r="Q1273" t="s">
        <v>127</v>
      </c>
    </row>
    <row r="1274" spans="1:17" x14ac:dyDescent="0.25">
      <c r="A1274" t="str">
        <f>IF(C1274&amp;G1274&amp;D1274&lt;&gt;'Funnel setup'!$K$3&amp;'Funnel setup'!$K$4&amp;'Funnel setup'!$K$6,".",IF(A1273=".",1,A1273+1))</f>
        <v>.</v>
      </c>
      <c r="B1274" s="244" t="str">
        <f t="shared" si="19"/>
        <v>Hip Replacement RevisionSub-ICB of GP PracticeNHS DEVON ICB - 15N (15N)Oxford Hip Score</v>
      </c>
      <c r="C1274" t="s">
        <v>967</v>
      </c>
      <c r="D1274" t="s">
        <v>1021</v>
      </c>
      <c r="E1274" t="s">
        <v>793</v>
      </c>
      <c r="F1274" t="s">
        <v>794</v>
      </c>
      <c r="G1274" t="s">
        <v>964</v>
      </c>
      <c r="H1274">
        <v>8</v>
      </c>
      <c r="I1274">
        <v>19.875</v>
      </c>
      <c r="J1274">
        <v>37.5</v>
      </c>
      <c r="K1274">
        <v>17.625</v>
      </c>
      <c r="L1274">
        <v>8</v>
      </c>
      <c r="M1274">
        <v>0</v>
      </c>
      <c r="N1274">
        <v>0</v>
      </c>
      <c r="O1274" t="s">
        <v>127</v>
      </c>
      <c r="P1274" t="s">
        <v>127</v>
      </c>
      <c r="Q1274" t="s">
        <v>127</v>
      </c>
    </row>
    <row r="1275" spans="1:17" x14ac:dyDescent="0.25">
      <c r="A1275" t="str">
        <f>IF(C1275&amp;G1275&amp;D1275&lt;&gt;'Funnel setup'!$K$3&amp;'Funnel setup'!$K$4&amp;'Funnel setup'!$K$6,".",IF(A1274=".",1,A1274+1))</f>
        <v>.</v>
      </c>
      <c r="B1275" s="244" t="str">
        <f t="shared" si="19"/>
        <v>Hip Replacement RevisionSub-ICB of GP PracticeNHS DORSET ICB - 11J (11J)Oxford Hip Score</v>
      </c>
      <c r="C1275" t="s">
        <v>967</v>
      </c>
      <c r="D1275" t="s">
        <v>1021</v>
      </c>
      <c r="E1275" t="s">
        <v>795</v>
      </c>
      <c r="F1275" t="s">
        <v>796</v>
      </c>
      <c r="G1275" t="s">
        <v>964</v>
      </c>
      <c r="H1275">
        <v>10</v>
      </c>
      <c r="I1275">
        <v>27</v>
      </c>
      <c r="J1275">
        <v>35.799999999999997</v>
      </c>
      <c r="K1275">
        <v>8.8000000000000007</v>
      </c>
      <c r="L1275">
        <v>5</v>
      </c>
      <c r="M1275">
        <v>3</v>
      </c>
      <c r="N1275">
        <v>2</v>
      </c>
      <c r="O1275" t="s">
        <v>127</v>
      </c>
      <c r="P1275" t="s">
        <v>127</v>
      </c>
      <c r="Q1275" t="s">
        <v>127</v>
      </c>
    </row>
    <row r="1276" spans="1:17" x14ac:dyDescent="0.25">
      <c r="A1276" t="str">
        <f>IF(C1276&amp;G1276&amp;D1276&lt;&gt;'Funnel setup'!$K$3&amp;'Funnel setup'!$K$4&amp;'Funnel setup'!$K$6,".",IF(A1275=".",1,A1275+1))</f>
        <v>.</v>
      </c>
      <c r="B1276" s="244" t="str">
        <f t="shared" si="19"/>
        <v>Hip Replacement RevisionSub-ICB of GP PracticeNHS FRIMLEY ICB - D4U1Y (D4U1Y)Oxford Hip Score</v>
      </c>
      <c r="C1276" t="s">
        <v>967</v>
      </c>
      <c r="D1276" t="s">
        <v>1021</v>
      </c>
      <c r="E1276" t="s">
        <v>797</v>
      </c>
      <c r="F1276" t="s">
        <v>798</v>
      </c>
      <c r="G1276" t="s">
        <v>964</v>
      </c>
      <c r="H1276">
        <v>13</v>
      </c>
      <c r="I1276">
        <v>21.307700000000001</v>
      </c>
      <c r="J1276">
        <v>40.076900000000002</v>
      </c>
      <c r="K1276">
        <v>18.769200000000001</v>
      </c>
      <c r="L1276">
        <v>12</v>
      </c>
      <c r="M1276">
        <v>0</v>
      </c>
      <c r="N1276">
        <v>1</v>
      </c>
      <c r="O1276" t="s">
        <v>127</v>
      </c>
      <c r="P1276" t="s">
        <v>127</v>
      </c>
      <c r="Q1276" t="s">
        <v>127</v>
      </c>
    </row>
    <row r="1277" spans="1:17" x14ac:dyDescent="0.25">
      <c r="A1277" t="str">
        <f>IF(C1277&amp;G1277&amp;D1277&lt;&gt;'Funnel setup'!$K$3&amp;'Funnel setup'!$K$4&amp;'Funnel setup'!$K$6,".",IF(A1276=".",1,A1276+1))</f>
        <v>.</v>
      </c>
      <c r="B1277" s="244" t="str">
        <f t="shared" si="19"/>
        <v>Hip Replacement RevisionSub-ICB of GP PracticeNHS GLOUCESTERSHIRE ICB - 11M (11M)Oxford Hip Score</v>
      </c>
      <c r="C1277" t="s">
        <v>967</v>
      </c>
      <c r="D1277" t="s">
        <v>1021</v>
      </c>
      <c r="E1277" t="s">
        <v>799</v>
      </c>
      <c r="F1277" t="s">
        <v>800</v>
      </c>
      <c r="G1277" t="s">
        <v>964</v>
      </c>
      <c r="H1277">
        <v>6</v>
      </c>
      <c r="I1277">
        <v>19.333300000000001</v>
      </c>
      <c r="J1277">
        <v>37</v>
      </c>
      <c r="K1277">
        <v>17.666699999999999</v>
      </c>
      <c r="L1277">
        <v>6</v>
      </c>
      <c r="M1277">
        <v>0</v>
      </c>
      <c r="N1277">
        <v>0</v>
      </c>
      <c r="O1277" t="s">
        <v>127</v>
      </c>
      <c r="P1277" t="s">
        <v>127</v>
      </c>
      <c r="Q1277" t="s">
        <v>127</v>
      </c>
    </row>
    <row r="1278" spans="1:17" x14ac:dyDescent="0.25">
      <c r="A1278" t="str">
        <f>IF(C1278&amp;G1278&amp;D1278&lt;&gt;'Funnel setup'!$K$3&amp;'Funnel setup'!$K$4&amp;'Funnel setup'!$K$6,".",IF(A1277=".",1,A1277+1))</f>
        <v>.</v>
      </c>
      <c r="B1278" s="244" t="str">
        <f t="shared" si="19"/>
        <v>Hip Replacement RevisionSub-ICB of GP PracticeNHS GREATER MANCHESTER ICB - 01G (01G)Oxford Hip Score</v>
      </c>
      <c r="C1278" t="s">
        <v>967</v>
      </c>
      <c r="D1278" t="s">
        <v>1021</v>
      </c>
      <c r="E1278" t="s">
        <v>809</v>
      </c>
      <c r="F1278" t="s">
        <v>810</v>
      </c>
      <c r="G1278" t="s">
        <v>964</v>
      </c>
      <c r="H1278">
        <v>1</v>
      </c>
      <c r="I1278">
        <v>16</v>
      </c>
      <c r="J1278">
        <v>44</v>
      </c>
      <c r="K1278">
        <v>28</v>
      </c>
      <c r="L1278">
        <v>1</v>
      </c>
      <c r="M1278">
        <v>0</v>
      </c>
      <c r="N1278">
        <v>0</v>
      </c>
      <c r="O1278" t="s">
        <v>127</v>
      </c>
      <c r="P1278" t="s">
        <v>127</v>
      </c>
      <c r="Q1278" t="s">
        <v>127</v>
      </c>
    </row>
    <row r="1279" spans="1:17" x14ac:dyDescent="0.25">
      <c r="A1279" t="str">
        <f>IF(C1279&amp;G1279&amp;D1279&lt;&gt;'Funnel setup'!$K$3&amp;'Funnel setup'!$K$4&amp;'Funnel setup'!$K$6,".",IF(A1278=".",1,A1278+1))</f>
        <v>.</v>
      </c>
      <c r="B1279" s="244" t="str">
        <f t="shared" si="19"/>
        <v>Hip Replacement RevisionSub-ICB of GP PracticeNHS GREATER MANCHESTER ICB - 01W (01W)Oxford Hip Score</v>
      </c>
      <c r="C1279" t="s">
        <v>967</v>
      </c>
      <c r="D1279" t="s">
        <v>1021</v>
      </c>
      <c r="E1279" t="s">
        <v>811</v>
      </c>
      <c r="F1279" t="s">
        <v>812</v>
      </c>
      <c r="G1279" t="s">
        <v>964</v>
      </c>
      <c r="H1279">
        <v>5</v>
      </c>
      <c r="I1279">
        <v>26</v>
      </c>
      <c r="J1279">
        <v>35.799999999999997</v>
      </c>
      <c r="K1279">
        <v>9.8000000000000007</v>
      </c>
      <c r="L1279">
        <v>3</v>
      </c>
      <c r="M1279">
        <v>1</v>
      </c>
      <c r="N1279">
        <v>1</v>
      </c>
      <c r="O1279" t="s">
        <v>127</v>
      </c>
      <c r="P1279" t="s">
        <v>127</v>
      </c>
      <c r="Q1279" t="s">
        <v>127</v>
      </c>
    </row>
    <row r="1280" spans="1:17" x14ac:dyDescent="0.25">
      <c r="A1280" t="str">
        <f>IF(C1280&amp;G1280&amp;D1280&lt;&gt;'Funnel setup'!$K$3&amp;'Funnel setup'!$K$4&amp;'Funnel setup'!$K$6,".",IF(A1279=".",1,A1279+1))</f>
        <v>.</v>
      </c>
      <c r="B1280" s="244" t="str">
        <f t="shared" si="19"/>
        <v>Hip Replacement RevisionSub-ICB of GP PracticeNHS GREATER MANCHESTER ICB - 14L (14L)Oxford Hip Score</v>
      </c>
      <c r="C1280" t="s">
        <v>967</v>
      </c>
      <c r="D1280" t="s">
        <v>1021</v>
      </c>
      <c r="E1280" t="s">
        <v>819</v>
      </c>
      <c r="F1280" t="s">
        <v>820</v>
      </c>
      <c r="G1280" t="s">
        <v>964</v>
      </c>
      <c r="H1280">
        <v>2</v>
      </c>
      <c r="I1280">
        <v>21.5</v>
      </c>
      <c r="J1280">
        <v>24.5</v>
      </c>
      <c r="K1280">
        <v>3</v>
      </c>
      <c r="L1280">
        <v>2</v>
      </c>
      <c r="M1280">
        <v>0</v>
      </c>
      <c r="N1280">
        <v>0</v>
      </c>
      <c r="O1280" t="s">
        <v>127</v>
      </c>
      <c r="P1280" t="s">
        <v>127</v>
      </c>
      <c r="Q1280" t="s">
        <v>127</v>
      </c>
    </row>
    <row r="1281" spans="1:17" x14ac:dyDescent="0.25">
      <c r="A1281" t="str">
        <f>IF(C1281&amp;G1281&amp;D1281&lt;&gt;'Funnel setup'!$K$3&amp;'Funnel setup'!$K$4&amp;'Funnel setup'!$K$6,".",IF(A1280=".",1,A1280+1))</f>
        <v>.</v>
      </c>
      <c r="B1281" s="244" t="str">
        <f t="shared" si="19"/>
        <v>Hip Replacement RevisionSub-ICB of GP PracticeNHS HAMPSHIRE AND ISLE OF WIGHT ICB - D9Y0V (D9Y0V)Oxford Hip Score</v>
      </c>
      <c r="C1281" t="s">
        <v>967</v>
      </c>
      <c r="D1281" t="s">
        <v>1021</v>
      </c>
      <c r="E1281" t="s">
        <v>823</v>
      </c>
      <c r="F1281" t="s">
        <v>824</v>
      </c>
      <c r="G1281" t="s">
        <v>964</v>
      </c>
      <c r="H1281">
        <v>14</v>
      </c>
      <c r="I1281">
        <v>21</v>
      </c>
      <c r="J1281">
        <v>38.857100000000003</v>
      </c>
      <c r="K1281">
        <v>17.857099999999999</v>
      </c>
      <c r="L1281">
        <v>12</v>
      </c>
      <c r="M1281">
        <v>0</v>
      </c>
      <c r="N1281">
        <v>2</v>
      </c>
      <c r="O1281" t="s">
        <v>127</v>
      </c>
      <c r="P1281" t="s">
        <v>127</v>
      </c>
      <c r="Q1281" t="s">
        <v>127</v>
      </c>
    </row>
    <row r="1282" spans="1:17" x14ac:dyDescent="0.25">
      <c r="A1282" t="str">
        <f>IF(C1282&amp;G1282&amp;D1282&lt;&gt;'Funnel setup'!$K$3&amp;'Funnel setup'!$K$4&amp;'Funnel setup'!$K$6,".",IF(A1281=".",1,A1281+1))</f>
        <v>.</v>
      </c>
      <c r="B1282" s="244" t="str">
        <f t="shared" ref="B1282:B1345" si="20">C1282&amp;D1282&amp;F1282&amp;G1282</f>
        <v>Hip Replacement RevisionSub-ICB of GP PracticeNHS HEREFORDSHIRE AND WORCESTERSHIRE ICB - 18C (18C)Oxford Hip Score</v>
      </c>
      <c r="C1282" t="s">
        <v>967</v>
      </c>
      <c r="D1282" t="s">
        <v>1021</v>
      </c>
      <c r="E1282" t="s">
        <v>825</v>
      </c>
      <c r="F1282" t="s">
        <v>826</v>
      </c>
      <c r="G1282" t="s">
        <v>964</v>
      </c>
      <c r="H1282">
        <v>19</v>
      </c>
      <c r="I1282">
        <v>15.631600000000001</v>
      </c>
      <c r="J1282">
        <v>32.8947</v>
      </c>
      <c r="K1282">
        <v>17.263200000000001</v>
      </c>
      <c r="L1282">
        <v>18</v>
      </c>
      <c r="M1282">
        <v>1</v>
      </c>
      <c r="N1282">
        <v>0</v>
      </c>
      <c r="O1282" t="s">
        <v>127</v>
      </c>
      <c r="P1282" t="s">
        <v>127</v>
      </c>
      <c r="Q1282" t="s">
        <v>127</v>
      </c>
    </row>
    <row r="1283" spans="1:17" x14ac:dyDescent="0.25">
      <c r="A1283" t="str">
        <f>IF(C1283&amp;G1283&amp;D1283&lt;&gt;'Funnel setup'!$K$3&amp;'Funnel setup'!$K$4&amp;'Funnel setup'!$K$6,".",IF(A1282=".",1,A1282+1))</f>
        <v>.</v>
      </c>
      <c r="B1283" s="244" t="str">
        <f t="shared" si="20"/>
        <v>Hip Replacement RevisionSub-ICB of GP PracticeNHS HERTFORDSHIRE AND WEST ESSEX ICB - 06K (06K)Oxford Hip Score</v>
      </c>
      <c r="C1283" t="s">
        <v>967</v>
      </c>
      <c r="D1283" t="s">
        <v>1021</v>
      </c>
      <c r="E1283" t="s">
        <v>827</v>
      </c>
      <c r="F1283" t="s">
        <v>828</v>
      </c>
      <c r="G1283" t="s">
        <v>964</v>
      </c>
      <c r="H1283">
        <v>14</v>
      </c>
      <c r="I1283">
        <v>22.5</v>
      </c>
      <c r="J1283">
        <v>37.5</v>
      </c>
      <c r="K1283">
        <v>15</v>
      </c>
      <c r="L1283">
        <v>13</v>
      </c>
      <c r="M1283">
        <v>1</v>
      </c>
      <c r="N1283">
        <v>0</v>
      </c>
      <c r="O1283" t="s">
        <v>127</v>
      </c>
      <c r="P1283" t="s">
        <v>127</v>
      </c>
      <c r="Q1283" t="s">
        <v>127</v>
      </c>
    </row>
    <row r="1284" spans="1:17" x14ac:dyDescent="0.25">
      <c r="A1284" t="str">
        <f>IF(C1284&amp;G1284&amp;D1284&lt;&gt;'Funnel setup'!$K$3&amp;'Funnel setup'!$K$4&amp;'Funnel setup'!$K$6,".",IF(A1283=".",1,A1283+1))</f>
        <v>.</v>
      </c>
      <c r="B1284" s="244" t="str">
        <f t="shared" si="20"/>
        <v>Hip Replacement RevisionSub-ICB of GP PracticeNHS HERTFORDSHIRE AND WEST ESSEX ICB - 06N (06N)Oxford Hip Score</v>
      </c>
      <c r="C1284" t="s">
        <v>967</v>
      </c>
      <c r="D1284" t="s">
        <v>1021</v>
      </c>
      <c r="E1284" t="s">
        <v>829</v>
      </c>
      <c r="F1284" t="s">
        <v>830</v>
      </c>
      <c r="G1284" t="s">
        <v>964</v>
      </c>
      <c r="H1284">
        <v>11</v>
      </c>
      <c r="I1284">
        <v>14.2727</v>
      </c>
      <c r="J1284">
        <v>33.454500000000003</v>
      </c>
      <c r="K1284">
        <v>19.181799999999999</v>
      </c>
      <c r="L1284">
        <v>11</v>
      </c>
      <c r="M1284">
        <v>0</v>
      </c>
      <c r="N1284">
        <v>0</v>
      </c>
      <c r="O1284" t="s">
        <v>127</v>
      </c>
      <c r="P1284" t="s">
        <v>127</v>
      </c>
      <c r="Q1284" t="s">
        <v>127</v>
      </c>
    </row>
    <row r="1285" spans="1:17" x14ac:dyDescent="0.25">
      <c r="A1285" t="str">
        <f>IF(C1285&amp;G1285&amp;D1285&lt;&gt;'Funnel setup'!$K$3&amp;'Funnel setup'!$K$4&amp;'Funnel setup'!$K$6,".",IF(A1284=".",1,A1284+1))</f>
        <v>.</v>
      </c>
      <c r="B1285" s="244" t="str">
        <f t="shared" si="20"/>
        <v>Hip Replacement RevisionSub-ICB of GP PracticeNHS HERTFORDSHIRE AND WEST ESSEX ICB - 07H (07H)Oxford Hip Score</v>
      </c>
      <c r="C1285" t="s">
        <v>967</v>
      </c>
      <c r="D1285" t="s">
        <v>1021</v>
      </c>
      <c r="E1285" t="s">
        <v>831</v>
      </c>
      <c r="F1285" t="s">
        <v>832</v>
      </c>
      <c r="G1285" t="s">
        <v>964</v>
      </c>
      <c r="H1285">
        <v>2</v>
      </c>
      <c r="I1285">
        <v>23</v>
      </c>
      <c r="J1285">
        <v>27</v>
      </c>
      <c r="K1285">
        <v>4</v>
      </c>
      <c r="L1285">
        <v>1</v>
      </c>
      <c r="M1285">
        <v>0</v>
      </c>
      <c r="N1285">
        <v>1</v>
      </c>
      <c r="O1285" t="s">
        <v>127</v>
      </c>
      <c r="P1285" t="s">
        <v>127</v>
      </c>
      <c r="Q1285" t="s">
        <v>127</v>
      </c>
    </row>
    <row r="1286" spans="1:17" x14ac:dyDescent="0.25">
      <c r="A1286" t="str">
        <f>IF(C1286&amp;G1286&amp;D1286&lt;&gt;'Funnel setup'!$K$3&amp;'Funnel setup'!$K$4&amp;'Funnel setup'!$K$6,".",IF(A1285=".",1,A1285+1))</f>
        <v>.</v>
      </c>
      <c r="B1286" s="244" t="str">
        <f t="shared" si="20"/>
        <v>Hip Replacement RevisionSub-ICB of GP PracticeNHS HUMBER AND NORTH YORKSHIRE ICB - 02Y (02Y)Oxford Hip Score</v>
      </c>
      <c r="C1286" t="s">
        <v>967</v>
      </c>
      <c r="D1286" t="s">
        <v>1021</v>
      </c>
      <c r="E1286" t="s">
        <v>833</v>
      </c>
      <c r="F1286" t="s">
        <v>834</v>
      </c>
      <c r="G1286" t="s">
        <v>964</v>
      </c>
      <c r="H1286">
        <v>2</v>
      </c>
      <c r="I1286">
        <v>14.5</v>
      </c>
      <c r="J1286">
        <v>37</v>
      </c>
      <c r="K1286">
        <v>22.5</v>
      </c>
      <c r="L1286">
        <v>2</v>
      </c>
      <c r="M1286">
        <v>0</v>
      </c>
      <c r="N1286">
        <v>0</v>
      </c>
      <c r="O1286" t="s">
        <v>127</v>
      </c>
      <c r="P1286" t="s">
        <v>127</v>
      </c>
      <c r="Q1286" t="s">
        <v>127</v>
      </c>
    </row>
    <row r="1287" spans="1:17" x14ac:dyDescent="0.25">
      <c r="A1287" t="str">
        <f>IF(C1287&amp;G1287&amp;D1287&lt;&gt;'Funnel setup'!$K$3&amp;'Funnel setup'!$K$4&amp;'Funnel setup'!$K$6,".",IF(A1286=".",1,A1286+1))</f>
        <v>.</v>
      </c>
      <c r="B1287" s="244" t="str">
        <f t="shared" si="20"/>
        <v>Hip Replacement RevisionSub-ICB of GP PracticeNHS HUMBER AND NORTH YORKSHIRE ICB - 03F (03F)Oxford Hip Score</v>
      </c>
      <c r="C1287" t="s">
        <v>967</v>
      </c>
      <c r="D1287" t="s">
        <v>1021</v>
      </c>
      <c r="E1287" t="s">
        <v>835</v>
      </c>
      <c r="F1287" t="s">
        <v>836</v>
      </c>
      <c r="G1287" t="s">
        <v>964</v>
      </c>
      <c r="H1287">
        <v>3</v>
      </c>
      <c r="I1287">
        <v>16.666699999999999</v>
      </c>
      <c r="J1287">
        <v>31</v>
      </c>
      <c r="K1287">
        <v>14.333299999999999</v>
      </c>
      <c r="L1287">
        <v>3</v>
      </c>
      <c r="M1287">
        <v>0</v>
      </c>
      <c r="N1287">
        <v>0</v>
      </c>
      <c r="O1287" t="s">
        <v>127</v>
      </c>
      <c r="P1287" t="s">
        <v>127</v>
      </c>
      <c r="Q1287" t="s">
        <v>127</v>
      </c>
    </row>
    <row r="1288" spans="1:17" x14ac:dyDescent="0.25">
      <c r="A1288" t="str">
        <f>IF(C1288&amp;G1288&amp;D1288&lt;&gt;'Funnel setup'!$K$3&amp;'Funnel setup'!$K$4&amp;'Funnel setup'!$K$6,".",IF(A1287=".",1,A1287+1))</f>
        <v>.</v>
      </c>
      <c r="B1288" s="244" t="str">
        <f t="shared" si="20"/>
        <v>Hip Replacement RevisionSub-ICB of GP PracticeNHS HUMBER AND NORTH YORKSHIRE ICB - 03Q (03Q)Oxford Hip Score</v>
      </c>
      <c r="C1288" t="s">
        <v>967</v>
      </c>
      <c r="D1288" t="s">
        <v>1021</v>
      </c>
      <c r="E1288" t="s">
        <v>841</v>
      </c>
      <c r="F1288" t="s">
        <v>842</v>
      </c>
      <c r="G1288" t="s">
        <v>964</v>
      </c>
      <c r="H1288">
        <v>5</v>
      </c>
      <c r="I1288">
        <v>21.4</v>
      </c>
      <c r="J1288">
        <v>34.6</v>
      </c>
      <c r="K1288">
        <v>13.2</v>
      </c>
      <c r="L1288">
        <v>5</v>
      </c>
      <c r="M1288">
        <v>0</v>
      </c>
      <c r="N1288">
        <v>0</v>
      </c>
      <c r="O1288" t="s">
        <v>127</v>
      </c>
      <c r="P1288" t="s">
        <v>127</v>
      </c>
      <c r="Q1288" t="s">
        <v>127</v>
      </c>
    </row>
    <row r="1289" spans="1:17" x14ac:dyDescent="0.25">
      <c r="A1289" t="str">
        <f>IF(C1289&amp;G1289&amp;D1289&lt;&gt;'Funnel setup'!$K$3&amp;'Funnel setup'!$K$4&amp;'Funnel setup'!$K$6,".",IF(A1288=".",1,A1288+1))</f>
        <v>.</v>
      </c>
      <c r="B1289" s="244" t="str">
        <f t="shared" si="20"/>
        <v>Hip Replacement RevisionSub-ICB of GP PracticeNHS HUMBER AND NORTH YORKSHIRE ICB - 42D (42D)Oxford Hip Score</v>
      </c>
      <c r="C1289" t="s">
        <v>967</v>
      </c>
      <c r="D1289" t="s">
        <v>1021</v>
      </c>
      <c r="E1289" t="s">
        <v>843</v>
      </c>
      <c r="F1289" t="s">
        <v>844</v>
      </c>
      <c r="G1289" t="s">
        <v>964</v>
      </c>
      <c r="H1289">
        <v>12</v>
      </c>
      <c r="I1289">
        <v>23.916699999999999</v>
      </c>
      <c r="J1289">
        <v>37.75</v>
      </c>
      <c r="K1289">
        <v>13.833299999999999</v>
      </c>
      <c r="L1289">
        <v>11</v>
      </c>
      <c r="M1289">
        <v>0</v>
      </c>
      <c r="N1289">
        <v>1</v>
      </c>
      <c r="O1289" t="s">
        <v>127</v>
      </c>
      <c r="P1289" t="s">
        <v>127</v>
      </c>
      <c r="Q1289" t="s">
        <v>127</v>
      </c>
    </row>
    <row r="1290" spans="1:17" x14ac:dyDescent="0.25">
      <c r="A1290" t="str">
        <f>IF(C1290&amp;G1290&amp;D1290&lt;&gt;'Funnel setup'!$K$3&amp;'Funnel setup'!$K$4&amp;'Funnel setup'!$K$6,".",IF(A1289=".",1,A1289+1))</f>
        <v>.</v>
      </c>
      <c r="B1290" s="244" t="str">
        <f t="shared" si="20"/>
        <v>Hip Replacement RevisionSub-ICB of GP PracticeNHS KENT AND MEDWAY ICB - 91Q (91Q)Oxford Hip Score</v>
      </c>
      <c r="C1290" t="s">
        <v>967</v>
      </c>
      <c r="D1290" t="s">
        <v>1021</v>
      </c>
      <c r="E1290" t="s">
        <v>845</v>
      </c>
      <c r="F1290" t="s">
        <v>846</v>
      </c>
      <c r="G1290" t="s">
        <v>964</v>
      </c>
      <c r="H1290">
        <v>23</v>
      </c>
      <c r="I1290">
        <v>20.043500000000002</v>
      </c>
      <c r="J1290">
        <v>34.304299999999998</v>
      </c>
      <c r="K1290">
        <v>14.260899999999999</v>
      </c>
      <c r="L1290">
        <v>21</v>
      </c>
      <c r="M1290">
        <v>0</v>
      </c>
      <c r="N1290">
        <v>2</v>
      </c>
      <c r="O1290" t="s">
        <v>127</v>
      </c>
      <c r="P1290" t="s">
        <v>127</v>
      </c>
      <c r="Q1290" t="s">
        <v>127</v>
      </c>
    </row>
    <row r="1291" spans="1:17" x14ac:dyDescent="0.25">
      <c r="A1291" t="str">
        <f>IF(C1291&amp;G1291&amp;D1291&lt;&gt;'Funnel setup'!$K$3&amp;'Funnel setup'!$K$4&amp;'Funnel setup'!$K$6,".",IF(A1290=".",1,A1290+1))</f>
        <v>.</v>
      </c>
      <c r="B1291" s="244" t="str">
        <f t="shared" si="20"/>
        <v>Hip Replacement RevisionSub-ICB of GP PracticeNHS LANCASHIRE AND SOUTH CUMBRIA ICB - 00Q (00Q)Oxford Hip Score</v>
      </c>
      <c r="C1291" t="s">
        <v>967</v>
      </c>
      <c r="D1291" t="s">
        <v>1021</v>
      </c>
      <c r="E1291" t="s">
        <v>847</v>
      </c>
      <c r="F1291" t="s">
        <v>848</v>
      </c>
      <c r="G1291" t="s">
        <v>964</v>
      </c>
      <c r="H1291">
        <v>1</v>
      </c>
      <c r="I1291">
        <v>26</v>
      </c>
      <c r="J1291">
        <v>39</v>
      </c>
      <c r="K1291">
        <v>13</v>
      </c>
      <c r="L1291">
        <v>1</v>
      </c>
      <c r="M1291">
        <v>0</v>
      </c>
      <c r="N1291">
        <v>0</v>
      </c>
      <c r="O1291" t="s">
        <v>127</v>
      </c>
      <c r="P1291" t="s">
        <v>127</v>
      </c>
      <c r="Q1291" t="s">
        <v>127</v>
      </c>
    </row>
    <row r="1292" spans="1:17" x14ac:dyDescent="0.25">
      <c r="A1292" t="str">
        <f>IF(C1292&amp;G1292&amp;D1292&lt;&gt;'Funnel setup'!$K$3&amp;'Funnel setup'!$K$4&amp;'Funnel setup'!$K$6,".",IF(A1291=".",1,A1291+1))</f>
        <v>.</v>
      </c>
      <c r="B1292" s="244" t="str">
        <f t="shared" si="20"/>
        <v>Hip Replacement RevisionSub-ICB of GP PracticeNHS LANCASHIRE AND SOUTH CUMBRIA ICB - 01A (01A)Oxford Hip Score</v>
      </c>
      <c r="C1292" t="s">
        <v>967</v>
      </c>
      <c r="D1292" t="s">
        <v>1021</v>
      </c>
      <c r="E1292" t="s">
        <v>853</v>
      </c>
      <c r="F1292" t="s">
        <v>854</v>
      </c>
      <c r="G1292" t="s">
        <v>964</v>
      </c>
      <c r="H1292">
        <v>2</v>
      </c>
      <c r="I1292">
        <v>28.5</v>
      </c>
      <c r="J1292">
        <v>30.5</v>
      </c>
      <c r="K1292">
        <v>2</v>
      </c>
      <c r="L1292">
        <v>1</v>
      </c>
      <c r="M1292">
        <v>0</v>
      </c>
      <c r="N1292">
        <v>1</v>
      </c>
      <c r="O1292" t="s">
        <v>127</v>
      </c>
      <c r="P1292" t="s">
        <v>127</v>
      </c>
      <c r="Q1292" t="s">
        <v>127</v>
      </c>
    </row>
    <row r="1293" spans="1:17" x14ac:dyDescent="0.25">
      <c r="A1293" t="str">
        <f>IF(C1293&amp;G1293&amp;D1293&lt;&gt;'Funnel setup'!$K$3&amp;'Funnel setup'!$K$4&amp;'Funnel setup'!$K$6,".",IF(A1292=".",1,A1292+1))</f>
        <v>.</v>
      </c>
      <c r="B1293" s="244" t="str">
        <f t="shared" si="20"/>
        <v>Hip Replacement RevisionSub-ICB of GP PracticeNHS LANCASHIRE AND SOUTH CUMBRIA ICB - 01E (01E)Oxford Hip Score</v>
      </c>
      <c r="C1293" t="s">
        <v>967</v>
      </c>
      <c r="D1293" t="s">
        <v>1021</v>
      </c>
      <c r="E1293" t="s">
        <v>855</v>
      </c>
      <c r="F1293" t="s">
        <v>856</v>
      </c>
      <c r="G1293" t="s">
        <v>964</v>
      </c>
      <c r="H1293">
        <v>1</v>
      </c>
      <c r="I1293">
        <v>25</v>
      </c>
      <c r="J1293">
        <v>48</v>
      </c>
      <c r="K1293">
        <v>23</v>
      </c>
      <c r="L1293">
        <v>1</v>
      </c>
      <c r="M1293">
        <v>0</v>
      </c>
      <c r="N1293">
        <v>0</v>
      </c>
      <c r="O1293" t="s">
        <v>127</v>
      </c>
      <c r="P1293" t="s">
        <v>127</v>
      </c>
      <c r="Q1293" t="s">
        <v>127</v>
      </c>
    </row>
    <row r="1294" spans="1:17" x14ac:dyDescent="0.25">
      <c r="A1294" t="str">
        <f>IF(C1294&amp;G1294&amp;D1294&lt;&gt;'Funnel setup'!$K$3&amp;'Funnel setup'!$K$4&amp;'Funnel setup'!$K$6,".",IF(A1293=".",1,A1293+1))</f>
        <v>.</v>
      </c>
      <c r="B1294" s="244" t="str">
        <f t="shared" si="20"/>
        <v>Hip Replacement RevisionSub-ICB of GP PracticeNHS LANCASHIRE AND SOUTH CUMBRIA ICB - 01K (01K)Oxford Hip Score</v>
      </c>
      <c r="C1294" t="s">
        <v>967</v>
      </c>
      <c r="D1294" t="s">
        <v>1021</v>
      </c>
      <c r="E1294" t="s">
        <v>857</v>
      </c>
      <c r="F1294" t="s">
        <v>858</v>
      </c>
      <c r="G1294" t="s">
        <v>964</v>
      </c>
      <c r="H1294">
        <v>8</v>
      </c>
      <c r="I1294">
        <v>19</v>
      </c>
      <c r="J1294">
        <v>35</v>
      </c>
      <c r="K1294">
        <v>16</v>
      </c>
      <c r="L1294">
        <v>7</v>
      </c>
      <c r="M1294">
        <v>0</v>
      </c>
      <c r="N1294">
        <v>1</v>
      </c>
      <c r="O1294" t="s">
        <v>127</v>
      </c>
      <c r="P1294" t="s">
        <v>127</v>
      </c>
      <c r="Q1294" t="s">
        <v>127</v>
      </c>
    </row>
    <row r="1295" spans="1:17" x14ac:dyDescent="0.25">
      <c r="A1295" t="str">
        <f>IF(C1295&amp;G1295&amp;D1295&lt;&gt;'Funnel setup'!$K$3&amp;'Funnel setup'!$K$4&amp;'Funnel setup'!$K$6,".",IF(A1294=".",1,A1294+1))</f>
        <v>.</v>
      </c>
      <c r="B1295" s="244" t="str">
        <f t="shared" si="20"/>
        <v>Hip Replacement RevisionSub-ICB of GP PracticeNHS LANCASHIRE AND SOUTH CUMBRIA ICB - 02G (02G)Oxford Hip Score</v>
      </c>
      <c r="C1295" t="s">
        <v>967</v>
      </c>
      <c r="D1295" t="s">
        <v>1021</v>
      </c>
      <c r="E1295" t="s">
        <v>859</v>
      </c>
      <c r="F1295" t="s">
        <v>860</v>
      </c>
      <c r="G1295" t="s">
        <v>964</v>
      </c>
      <c r="H1295">
        <v>1</v>
      </c>
      <c r="I1295">
        <v>27</v>
      </c>
      <c r="J1295">
        <v>36</v>
      </c>
      <c r="K1295">
        <v>9</v>
      </c>
      <c r="L1295">
        <v>1</v>
      </c>
      <c r="M1295">
        <v>0</v>
      </c>
      <c r="N1295">
        <v>0</v>
      </c>
      <c r="O1295" t="s">
        <v>127</v>
      </c>
      <c r="P1295" t="s">
        <v>127</v>
      </c>
      <c r="Q1295" t="s">
        <v>127</v>
      </c>
    </row>
    <row r="1296" spans="1:17" x14ac:dyDescent="0.25">
      <c r="A1296" t="str">
        <f>IF(C1296&amp;G1296&amp;D1296&lt;&gt;'Funnel setup'!$K$3&amp;'Funnel setup'!$K$4&amp;'Funnel setup'!$K$6,".",IF(A1295=".",1,A1295+1))</f>
        <v>.</v>
      </c>
      <c r="B1296" s="244" t="str">
        <f t="shared" si="20"/>
        <v>Hip Replacement RevisionSub-ICB of GP PracticeNHS LANCASHIRE AND SOUTH CUMBRIA ICB - 02M (02M)Oxford Hip Score</v>
      </c>
      <c r="C1296" t="s">
        <v>967</v>
      </c>
      <c r="D1296" t="s">
        <v>1021</v>
      </c>
      <c r="E1296" t="s">
        <v>861</v>
      </c>
      <c r="F1296" t="s">
        <v>862</v>
      </c>
      <c r="G1296" t="s">
        <v>964</v>
      </c>
      <c r="H1296">
        <v>4</v>
      </c>
      <c r="I1296">
        <v>20.25</v>
      </c>
      <c r="J1296">
        <v>28.75</v>
      </c>
      <c r="K1296">
        <v>8.5</v>
      </c>
      <c r="L1296">
        <v>3</v>
      </c>
      <c r="M1296">
        <v>0</v>
      </c>
      <c r="N1296">
        <v>1</v>
      </c>
      <c r="O1296" t="s">
        <v>127</v>
      </c>
      <c r="P1296" t="s">
        <v>127</v>
      </c>
      <c r="Q1296" t="s">
        <v>127</v>
      </c>
    </row>
    <row r="1297" spans="1:17" x14ac:dyDescent="0.25">
      <c r="A1297" t="str">
        <f>IF(C1297&amp;G1297&amp;D1297&lt;&gt;'Funnel setup'!$K$3&amp;'Funnel setup'!$K$4&amp;'Funnel setup'!$K$6,".",IF(A1296=".",1,A1296+1))</f>
        <v>.</v>
      </c>
      <c r="B1297" s="244" t="str">
        <f t="shared" si="20"/>
        <v>Hip Replacement RevisionSub-ICB of GP PracticeNHS LEICESTER, LEICESTERSHIRE AND RUTLAND ICB - 03W (03W)Oxford Hip Score</v>
      </c>
      <c r="C1297" t="s">
        <v>967</v>
      </c>
      <c r="D1297" t="s">
        <v>1021</v>
      </c>
      <c r="E1297" t="s">
        <v>863</v>
      </c>
      <c r="F1297" t="s">
        <v>864</v>
      </c>
      <c r="G1297" t="s">
        <v>964</v>
      </c>
      <c r="H1297">
        <v>12</v>
      </c>
      <c r="I1297">
        <v>20.333300000000001</v>
      </c>
      <c r="J1297">
        <v>31.25</v>
      </c>
      <c r="K1297">
        <v>10.916700000000001</v>
      </c>
      <c r="L1297">
        <v>9</v>
      </c>
      <c r="M1297">
        <v>0</v>
      </c>
      <c r="N1297">
        <v>3</v>
      </c>
      <c r="O1297" t="s">
        <v>127</v>
      </c>
      <c r="P1297" t="s">
        <v>127</v>
      </c>
      <c r="Q1297" t="s">
        <v>127</v>
      </c>
    </row>
    <row r="1298" spans="1:17" x14ac:dyDescent="0.25">
      <c r="A1298" t="str">
        <f>IF(C1298&amp;G1298&amp;D1298&lt;&gt;'Funnel setup'!$K$3&amp;'Funnel setup'!$K$4&amp;'Funnel setup'!$K$6,".",IF(A1297=".",1,A1297+1))</f>
        <v>.</v>
      </c>
      <c r="B1298" s="244" t="str">
        <f t="shared" si="20"/>
        <v>Hip Replacement RevisionSub-ICB of GP PracticeNHS LEICESTER, LEICESTERSHIRE AND RUTLAND ICB - 04C (04C)Oxford Hip Score</v>
      </c>
      <c r="C1298" t="s">
        <v>967</v>
      </c>
      <c r="D1298" t="s">
        <v>1021</v>
      </c>
      <c r="E1298" t="s">
        <v>865</v>
      </c>
      <c r="F1298" t="s">
        <v>866</v>
      </c>
      <c r="G1298" t="s">
        <v>964</v>
      </c>
      <c r="H1298" t="s">
        <v>127</v>
      </c>
      <c r="I1298" t="s">
        <v>127</v>
      </c>
      <c r="J1298" t="s">
        <v>127</v>
      </c>
      <c r="K1298" t="s">
        <v>127</v>
      </c>
      <c r="L1298" t="s">
        <v>127</v>
      </c>
      <c r="M1298" t="s">
        <v>127</v>
      </c>
      <c r="N1298" t="s">
        <v>127</v>
      </c>
      <c r="O1298" t="s">
        <v>127</v>
      </c>
      <c r="P1298" t="s">
        <v>127</v>
      </c>
      <c r="Q1298" t="s">
        <v>127</v>
      </c>
    </row>
    <row r="1299" spans="1:17" x14ac:dyDescent="0.25">
      <c r="A1299" t="str">
        <f>IF(C1299&amp;G1299&amp;D1299&lt;&gt;'Funnel setup'!$K$3&amp;'Funnel setup'!$K$4&amp;'Funnel setup'!$K$6,".",IF(A1298=".",1,A1298+1))</f>
        <v>.</v>
      </c>
      <c r="B1299" s="244" t="str">
        <f t="shared" si="20"/>
        <v>Hip Replacement RevisionSub-ICB of GP PracticeNHS LEICESTER, LEICESTERSHIRE AND RUTLAND ICB - 04V (04V)Oxford Hip Score</v>
      </c>
      <c r="C1299" t="s">
        <v>967</v>
      </c>
      <c r="D1299" t="s">
        <v>1021</v>
      </c>
      <c r="E1299" t="s">
        <v>867</v>
      </c>
      <c r="F1299" t="s">
        <v>868</v>
      </c>
      <c r="G1299" t="s">
        <v>964</v>
      </c>
      <c r="H1299">
        <v>5</v>
      </c>
      <c r="I1299">
        <v>20.399999999999999</v>
      </c>
      <c r="J1299">
        <v>38.6</v>
      </c>
      <c r="K1299">
        <v>18.2</v>
      </c>
      <c r="L1299">
        <v>4</v>
      </c>
      <c r="M1299">
        <v>1</v>
      </c>
      <c r="N1299">
        <v>0</v>
      </c>
      <c r="O1299" t="s">
        <v>127</v>
      </c>
      <c r="P1299" t="s">
        <v>127</v>
      </c>
      <c r="Q1299" t="s">
        <v>127</v>
      </c>
    </row>
    <row r="1300" spans="1:17" x14ac:dyDescent="0.25">
      <c r="A1300" t="str">
        <f>IF(C1300&amp;G1300&amp;D1300&lt;&gt;'Funnel setup'!$K$3&amp;'Funnel setup'!$K$4&amp;'Funnel setup'!$K$6,".",IF(A1299=".",1,A1299+1))</f>
        <v>.</v>
      </c>
      <c r="B1300" s="244" t="str">
        <f t="shared" si="20"/>
        <v>Hip Replacement RevisionSub-ICB of GP PracticeNHS LINCOLNSHIRE ICB - 71E (71E)Oxford Hip Score</v>
      </c>
      <c r="C1300" t="s">
        <v>967</v>
      </c>
      <c r="D1300" t="s">
        <v>1021</v>
      </c>
      <c r="E1300" t="s">
        <v>869</v>
      </c>
      <c r="F1300" t="s">
        <v>870</v>
      </c>
      <c r="G1300" t="s">
        <v>964</v>
      </c>
      <c r="H1300">
        <v>3</v>
      </c>
      <c r="I1300">
        <v>35</v>
      </c>
      <c r="J1300">
        <v>47</v>
      </c>
      <c r="K1300">
        <v>12</v>
      </c>
      <c r="L1300">
        <v>3</v>
      </c>
      <c r="M1300">
        <v>0</v>
      </c>
      <c r="N1300">
        <v>0</v>
      </c>
      <c r="O1300" t="s">
        <v>127</v>
      </c>
      <c r="P1300" t="s">
        <v>127</v>
      </c>
      <c r="Q1300" t="s">
        <v>127</v>
      </c>
    </row>
    <row r="1301" spans="1:17" x14ac:dyDescent="0.25">
      <c r="A1301" t="str">
        <f>IF(C1301&amp;G1301&amp;D1301&lt;&gt;'Funnel setup'!$K$3&amp;'Funnel setup'!$K$4&amp;'Funnel setup'!$K$6,".",IF(A1300=".",1,A1300+1))</f>
        <v>.</v>
      </c>
      <c r="B1301" s="244" t="str">
        <f t="shared" si="20"/>
        <v>Hip Replacement RevisionSub-ICB of GP PracticeNHS MID AND SOUTH ESSEX ICB - 06Q (06Q)Oxford Hip Score</v>
      </c>
      <c r="C1301" t="s">
        <v>967</v>
      </c>
      <c r="D1301" t="s">
        <v>1021</v>
      </c>
      <c r="E1301" t="s">
        <v>871</v>
      </c>
      <c r="F1301" t="s">
        <v>872</v>
      </c>
      <c r="G1301" t="s">
        <v>964</v>
      </c>
      <c r="H1301">
        <v>3</v>
      </c>
      <c r="I1301">
        <v>13.333299999999999</v>
      </c>
      <c r="J1301">
        <v>33</v>
      </c>
      <c r="K1301">
        <v>19.666699999999999</v>
      </c>
      <c r="L1301">
        <v>3</v>
      </c>
      <c r="M1301">
        <v>0</v>
      </c>
      <c r="N1301">
        <v>0</v>
      </c>
      <c r="O1301" t="s">
        <v>127</v>
      </c>
      <c r="P1301" t="s">
        <v>127</v>
      </c>
      <c r="Q1301" t="s">
        <v>127</v>
      </c>
    </row>
    <row r="1302" spans="1:17" x14ac:dyDescent="0.25">
      <c r="A1302" t="str">
        <f>IF(C1302&amp;G1302&amp;D1302&lt;&gt;'Funnel setup'!$K$3&amp;'Funnel setup'!$K$4&amp;'Funnel setup'!$K$6,".",IF(A1301=".",1,A1301+1))</f>
        <v>.</v>
      </c>
      <c r="B1302" s="244" t="str">
        <f t="shared" si="20"/>
        <v>Hip Replacement RevisionSub-ICB of GP PracticeNHS MID AND SOUTH ESSEX ICB - 07G (07G)Oxford Hip Score</v>
      </c>
      <c r="C1302" t="s">
        <v>967</v>
      </c>
      <c r="D1302" t="s">
        <v>1021</v>
      </c>
      <c r="E1302" t="s">
        <v>873</v>
      </c>
      <c r="F1302" t="s">
        <v>874</v>
      </c>
      <c r="G1302" t="s">
        <v>964</v>
      </c>
      <c r="H1302">
        <v>1</v>
      </c>
      <c r="I1302">
        <v>18</v>
      </c>
      <c r="J1302">
        <v>38</v>
      </c>
      <c r="K1302">
        <v>20</v>
      </c>
      <c r="L1302">
        <v>1</v>
      </c>
      <c r="M1302">
        <v>0</v>
      </c>
      <c r="N1302">
        <v>0</v>
      </c>
      <c r="O1302" t="s">
        <v>127</v>
      </c>
      <c r="P1302" t="s">
        <v>127</v>
      </c>
      <c r="Q1302" t="s">
        <v>127</v>
      </c>
    </row>
    <row r="1303" spans="1:17" x14ac:dyDescent="0.25">
      <c r="A1303" t="str">
        <f>IF(C1303&amp;G1303&amp;D1303&lt;&gt;'Funnel setup'!$K$3&amp;'Funnel setup'!$K$4&amp;'Funnel setup'!$K$6,".",IF(A1302=".",1,A1302+1))</f>
        <v>.</v>
      </c>
      <c r="B1303" s="244" t="str">
        <f t="shared" si="20"/>
        <v>Hip Replacement RevisionSub-ICB of GP PracticeNHS MID AND SOUTH ESSEX ICB - 99E (99E)Oxford Hip Score</v>
      </c>
      <c r="C1303" t="s">
        <v>967</v>
      </c>
      <c r="D1303" t="s">
        <v>1021</v>
      </c>
      <c r="E1303" t="s">
        <v>875</v>
      </c>
      <c r="F1303" t="s">
        <v>876</v>
      </c>
      <c r="G1303" t="s">
        <v>964</v>
      </c>
      <c r="H1303">
        <v>5</v>
      </c>
      <c r="I1303">
        <v>20.399999999999999</v>
      </c>
      <c r="J1303">
        <v>41.2</v>
      </c>
      <c r="K1303">
        <v>20.8</v>
      </c>
      <c r="L1303">
        <v>5</v>
      </c>
      <c r="M1303">
        <v>0</v>
      </c>
      <c r="N1303">
        <v>0</v>
      </c>
      <c r="O1303" t="s">
        <v>127</v>
      </c>
      <c r="P1303" t="s">
        <v>127</v>
      </c>
      <c r="Q1303" t="s">
        <v>127</v>
      </c>
    </row>
    <row r="1304" spans="1:17" x14ac:dyDescent="0.25">
      <c r="A1304" t="str">
        <f>IF(C1304&amp;G1304&amp;D1304&lt;&gt;'Funnel setup'!$K$3&amp;'Funnel setup'!$K$4&amp;'Funnel setup'!$K$6,".",IF(A1303=".",1,A1303+1))</f>
        <v>.</v>
      </c>
      <c r="B1304" s="244" t="str">
        <f t="shared" si="20"/>
        <v>Hip Replacement RevisionSub-ICB of GP PracticeNHS MID AND SOUTH ESSEX ICB - 99F (99F)Oxford Hip Score</v>
      </c>
      <c r="C1304" t="s">
        <v>967</v>
      </c>
      <c r="D1304" t="s">
        <v>1021</v>
      </c>
      <c r="E1304" t="s">
        <v>877</v>
      </c>
      <c r="F1304" t="s">
        <v>878</v>
      </c>
      <c r="G1304" t="s">
        <v>964</v>
      </c>
      <c r="H1304">
        <v>1</v>
      </c>
      <c r="I1304">
        <v>29</v>
      </c>
      <c r="J1304">
        <v>18</v>
      </c>
      <c r="K1304">
        <v>-11</v>
      </c>
      <c r="L1304">
        <v>0</v>
      </c>
      <c r="M1304">
        <v>0</v>
      </c>
      <c r="N1304">
        <v>1</v>
      </c>
      <c r="O1304" t="s">
        <v>127</v>
      </c>
      <c r="P1304" t="s">
        <v>127</v>
      </c>
      <c r="Q1304" t="s">
        <v>127</v>
      </c>
    </row>
    <row r="1305" spans="1:17" x14ac:dyDescent="0.25">
      <c r="A1305" t="str">
        <f>IF(C1305&amp;G1305&amp;D1305&lt;&gt;'Funnel setup'!$K$3&amp;'Funnel setup'!$K$4&amp;'Funnel setup'!$K$6,".",IF(A1304=".",1,A1304+1))</f>
        <v>.</v>
      </c>
      <c r="B1305" s="244" t="str">
        <f t="shared" si="20"/>
        <v>Hip Replacement RevisionSub-ICB of GP PracticeNHS NORFOLK AND WAVENEY ICB - 26A (26A)Oxford Hip Score</v>
      </c>
      <c r="C1305" t="s">
        <v>967</v>
      </c>
      <c r="D1305" t="s">
        <v>1021</v>
      </c>
      <c r="E1305" t="s">
        <v>881</v>
      </c>
      <c r="F1305" t="s">
        <v>882</v>
      </c>
      <c r="G1305" t="s">
        <v>964</v>
      </c>
      <c r="H1305">
        <v>23</v>
      </c>
      <c r="I1305">
        <v>20.347799999999999</v>
      </c>
      <c r="J1305">
        <v>37.521700000000003</v>
      </c>
      <c r="K1305">
        <v>17.1739</v>
      </c>
      <c r="L1305">
        <v>20</v>
      </c>
      <c r="M1305">
        <v>1</v>
      </c>
      <c r="N1305">
        <v>2</v>
      </c>
      <c r="O1305" t="s">
        <v>127</v>
      </c>
      <c r="P1305" t="s">
        <v>127</v>
      </c>
      <c r="Q1305" t="s">
        <v>127</v>
      </c>
    </row>
    <row r="1306" spans="1:17" x14ac:dyDescent="0.25">
      <c r="A1306" t="str">
        <f>IF(C1306&amp;G1306&amp;D1306&lt;&gt;'Funnel setup'!$K$3&amp;'Funnel setup'!$K$4&amp;'Funnel setup'!$K$6,".",IF(A1305=".",1,A1305+1))</f>
        <v>.</v>
      </c>
      <c r="B1306" s="244" t="str">
        <f t="shared" si="20"/>
        <v>Hip Replacement RevisionSub-ICB of GP PracticeNHS NORTH CENTRAL LONDON ICB - 93C (93C)Oxford Hip Score</v>
      </c>
      <c r="C1306" t="s">
        <v>967</v>
      </c>
      <c r="D1306" t="s">
        <v>1021</v>
      </c>
      <c r="E1306" t="s">
        <v>883</v>
      </c>
      <c r="F1306" t="s">
        <v>884</v>
      </c>
      <c r="G1306" t="s">
        <v>964</v>
      </c>
      <c r="H1306">
        <v>5</v>
      </c>
      <c r="I1306">
        <v>24.8</v>
      </c>
      <c r="J1306">
        <v>38</v>
      </c>
      <c r="K1306">
        <v>13.2</v>
      </c>
      <c r="L1306">
        <v>4</v>
      </c>
      <c r="M1306">
        <v>1</v>
      </c>
      <c r="N1306">
        <v>0</v>
      </c>
      <c r="O1306" t="s">
        <v>127</v>
      </c>
      <c r="P1306" t="s">
        <v>127</v>
      </c>
      <c r="Q1306" t="s">
        <v>127</v>
      </c>
    </row>
    <row r="1307" spans="1:17" x14ac:dyDescent="0.25">
      <c r="A1307" t="str">
        <f>IF(C1307&amp;G1307&amp;D1307&lt;&gt;'Funnel setup'!$K$3&amp;'Funnel setup'!$K$4&amp;'Funnel setup'!$K$6,".",IF(A1306=".",1,A1306+1))</f>
        <v>.</v>
      </c>
      <c r="B1307" s="244" t="str">
        <f t="shared" si="20"/>
        <v>Hip Replacement RevisionSub-ICB of GP PracticeNHS NORTH EAST AND NORTH CUMBRIA ICB - 00L (00L)Oxford Hip Score</v>
      </c>
      <c r="C1307" t="s">
        <v>967</v>
      </c>
      <c r="D1307" t="s">
        <v>1021</v>
      </c>
      <c r="E1307" t="s">
        <v>885</v>
      </c>
      <c r="F1307" t="s">
        <v>886</v>
      </c>
      <c r="G1307" t="s">
        <v>964</v>
      </c>
      <c r="H1307">
        <v>4</v>
      </c>
      <c r="I1307">
        <v>31.25</v>
      </c>
      <c r="J1307">
        <v>37.75</v>
      </c>
      <c r="K1307">
        <v>6.5</v>
      </c>
      <c r="L1307">
        <v>3</v>
      </c>
      <c r="M1307">
        <v>0</v>
      </c>
      <c r="N1307">
        <v>1</v>
      </c>
      <c r="O1307" t="s">
        <v>127</v>
      </c>
      <c r="P1307" t="s">
        <v>127</v>
      </c>
      <c r="Q1307" t="s">
        <v>127</v>
      </c>
    </row>
    <row r="1308" spans="1:17" x14ac:dyDescent="0.25">
      <c r="A1308" t="str">
        <f>IF(C1308&amp;G1308&amp;D1308&lt;&gt;'Funnel setup'!$K$3&amp;'Funnel setup'!$K$4&amp;'Funnel setup'!$K$6,".",IF(A1307=".",1,A1307+1))</f>
        <v>.</v>
      </c>
      <c r="B1308" s="244" t="str">
        <f t="shared" si="20"/>
        <v>Hip Replacement RevisionSub-ICB of GP PracticeNHS NORTH EAST AND NORTH CUMBRIA ICB - 00N (00N)Oxford Hip Score</v>
      </c>
      <c r="C1308" t="s">
        <v>967</v>
      </c>
      <c r="D1308" t="s">
        <v>1021</v>
      </c>
      <c r="E1308" t="s">
        <v>887</v>
      </c>
      <c r="F1308" t="s">
        <v>888</v>
      </c>
      <c r="G1308" t="s">
        <v>964</v>
      </c>
      <c r="H1308">
        <v>1</v>
      </c>
      <c r="I1308">
        <v>9</v>
      </c>
      <c r="J1308">
        <v>10</v>
      </c>
      <c r="K1308">
        <v>1</v>
      </c>
      <c r="L1308">
        <v>1</v>
      </c>
      <c r="M1308">
        <v>0</v>
      </c>
      <c r="N1308">
        <v>0</v>
      </c>
      <c r="O1308" t="s">
        <v>127</v>
      </c>
      <c r="P1308" t="s">
        <v>127</v>
      </c>
      <c r="Q1308" t="s">
        <v>127</v>
      </c>
    </row>
    <row r="1309" spans="1:17" x14ac:dyDescent="0.25">
      <c r="A1309" t="str">
        <f>IF(C1309&amp;G1309&amp;D1309&lt;&gt;'Funnel setup'!$K$3&amp;'Funnel setup'!$K$4&amp;'Funnel setup'!$K$6,".",IF(A1308=".",1,A1308+1))</f>
        <v>.</v>
      </c>
      <c r="B1309" s="244" t="str">
        <f t="shared" si="20"/>
        <v>Hip Replacement RevisionSub-ICB of GP PracticeNHS NORTH EAST AND NORTH CUMBRIA ICB - 00P (00P)Oxford Hip Score</v>
      </c>
      <c r="C1309" t="s">
        <v>967</v>
      </c>
      <c r="D1309" t="s">
        <v>1021</v>
      </c>
      <c r="E1309" t="s">
        <v>889</v>
      </c>
      <c r="F1309" t="s">
        <v>890</v>
      </c>
      <c r="G1309" t="s">
        <v>964</v>
      </c>
      <c r="H1309">
        <v>2</v>
      </c>
      <c r="I1309">
        <v>31</v>
      </c>
      <c r="J1309">
        <v>40</v>
      </c>
      <c r="K1309">
        <v>9</v>
      </c>
      <c r="L1309">
        <v>1</v>
      </c>
      <c r="M1309">
        <v>0</v>
      </c>
      <c r="N1309">
        <v>1</v>
      </c>
      <c r="O1309" t="s">
        <v>127</v>
      </c>
      <c r="P1309" t="s">
        <v>127</v>
      </c>
      <c r="Q1309" t="s">
        <v>127</v>
      </c>
    </row>
    <row r="1310" spans="1:17" x14ac:dyDescent="0.25">
      <c r="A1310" t="str">
        <f>IF(C1310&amp;G1310&amp;D1310&lt;&gt;'Funnel setup'!$K$3&amp;'Funnel setup'!$K$4&amp;'Funnel setup'!$K$6,".",IF(A1309=".",1,A1309+1))</f>
        <v>.</v>
      </c>
      <c r="B1310" s="244" t="str">
        <f t="shared" si="20"/>
        <v>Hip Replacement RevisionSub-ICB of GP PracticeNHS NORTH EAST AND NORTH CUMBRIA ICB - 01H (01H)Oxford Hip Score</v>
      </c>
      <c r="C1310" t="s">
        <v>967</v>
      </c>
      <c r="D1310" t="s">
        <v>1021</v>
      </c>
      <c r="E1310" t="s">
        <v>891</v>
      </c>
      <c r="F1310" t="s">
        <v>892</v>
      </c>
      <c r="G1310" t="s">
        <v>964</v>
      </c>
      <c r="H1310">
        <v>10</v>
      </c>
      <c r="I1310">
        <v>22.6</v>
      </c>
      <c r="J1310">
        <v>40.9</v>
      </c>
      <c r="K1310">
        <v>18.3</v>
      </c>
      <c r="L1310">
        <v>8</v>
      </c>
      <c r="M1310">
        <v>1</v>
      </c>
      <c r="N1310">
        <v>1</v>
      </c>
      <c r="O1310" t="s">
        <v>127</v>
      </c>
      <c r="P1310" t="s">
        <v>127</v>
      </c>
      <c r="Q1310" t="s">
        <v>127</v>
      </c>
    </row>
    <row r="1311" spans="1:17" x14ac:dyDescent="0.25">
      <c r="A1311" t="str">
        <f>IF(C1311&amp;G1311&amp;D1311&lt;&gt;'Funnel setup'!$K$3&amp;'Funnel setup'!$K$4&amp;'Funnel setup'!$K$6,".",IF(A1310=".",1,A1310+1))</f>
        <v>.</v>
      </c>
      <c r="B1311" s="244" t="str">
        <f t="shared" si="20"/>
        <v>Hip Replacement RevisionSub-ICB of GP PracticeNHS NORTH EAST AND NORTH CUMBRIA ICB - 13T (13T)Oxford Hip Score</v>
      </c>
      <c r="C1311" t="s">
        <v>967</v>
      </c>
      <c r="D1311" t="s">
        <v>1021</v>
      </c>
      <c r="E1311" t="s">
        <v>893</v>
      </c>
      <c r="F1311" t="s">
        <v>894</v>
      </c>
      <c r="G1311" t="s">
        <v>964</v>
      </c>
      <c r="H1311">
        <v>2</v>
      </c>
      <c r="I1311">
        <v>19</v>
      </c>
      <c r="J1311">
        <v>25.5</v>
      </c>
      <c r="K1311">
        <v>6.5</v>
      </c>
      <c r="L1311">
        <v>1</v>
      </c>
      <c r="M1311">
        <v>0</v>
      </c>
      <c r="N1311">
        <v>1</v>
      </c>
      <c r="O1311" t="s">
        <v>127</v>
      </c>
      <c r="P1311" t="s">
        <v>127</v>
      </c>
      <c r="Q1311" t="s">
        <v>127</v>
      </c>
    </row>
    <row r="1312" spans="1:17" x14ac:dyDescent="0.25">
      <c r="A1312" t="str">
        <f>IF(C1312&amp;G1312&amp;D1312&lt;&gt;'Funnel setup'!$K$3&amp;'Funnel setup'!$K$4&amp;'Funnel setup'!$K$6,".",IF(A1311=".",1,A1311+1))</f>
        <v>.</v>
      </c>
      <c r="B1312" s="244" t="str">
        <f t="shared" si="20"/>
        <v>Hip Replacement RevisionSub-ICB of GP PracticeNHS NORTH EAST AND NORTH CUMBRIA ICB - 16C (16C)Oxford Hip Score</v>
      </c>
      <c r="C1312" t="s">
        <v>967</v>
      </c>
      <c r="D1312" t="s">
        <v>1021</v>
      </c>
      <c r="E1312" t="s">
        <v>895</v>
      </c>
      <c r="F1312" t="s">
        <v>896</v>
      </c>
      <c r="G1312" t="s">
        <v>964</v>
      </c>
      <c r="H1312">
        <v>14</v>
      </c>
      <c r="I1312">
        <v>16.928599999999999</v>
      </c>
      <c r="J1312">
        <v>32.214300000000001</v>
      </c>
      <c r="K1312">
        <v>15.2857</v>
      </c>
      <c r="L1312">
        <v>13</v>
      </c>
      <c r="M1312">
        <v>1</v>
      </c>
      <c r="N1312">
        <v>0</v>
      </c>
      <c r="O1312" t="s">
        <v>127</v>
      </c>
      <c r="P1312" t="s">
        <v>127</v>
      </c>
      <c r="Q1312" t="s">
        <v>127</v>
      </c>
    </row>
    <row r="1313" spans="1:17" x14ac:dyDescent="0.25">
      <c r="A1313" t="str">
        <f>IF(C1313&amp;G1313&amp;D1313&lt;&gt;'Funnel setup'!$K$3&amp;'Funnel setup'!$K$4&amp;'Funnel setup'!$K$6,".",IF(A1312=".",1,A1312+1))</f>
        <v>.</v>
      </c>
      <c r="B1313" s="244" t="str">
        <f t="shared" si="20"/>
        <v>Hip Replacement RevisionSub-ICB of GP PracticeNHS NORTH EAST AND NORTH CUMBRIA ICB - 84H (84H)Oxford Hip Score</v>
      </c>
      <c r="C1313" t="s">
        <v>967</v>
      </c>
      <c r="D1313" t="s">
        <v>1021</v>
      </c>
      <c r="E1313" t="s">
        <v>897</v>
      </c>
      <c r="F1313" t="s">
        <v>898</v>
      </c>
      <c r="G1313" t="s">
        <v>964</v>
      </c>
      <c r="H1313">
        <v>3</v>
      </c>
      <c r="I1313">
        <v>16.666699999999999</v>
      </c>
      <c r="J1313">
        <v>31.666699999999999</v>
      </c>
      <c r="K1313">
        <v>15</v>
      </c>
      <c r="L1313">
        <v>3</v>
      </c>
      <c r="M1313">
        <v>0</v>
      </c>
      <c r="N1313">
        <v>0</v>
      </c>
      <c r="O1313" t="s">
        <v>127</v>
      </c>
      <c r="P1313" t="s">
        <v>127</v>
      </c>
      <c r="Q1313" t="s">
        <v>127</v>
      </c>
    </row>
    <row r="1314" spans="1:17" x14ac:dyDescent="0.25">
      <c r="A1314" t="str">
        <f>IF(C1314&amp;G1314&amp;D1314&lt;&gt;'Funnel setup'!$K$3&amp;'Funnel setup'!$K$4&amp;'Funnel setup'!$K$6,".",IF(A1313=".",1,A1313+1))</f>
        <v>.</v>
      </c>
      <c r="B1314" s="244" t="str">
        <f t="shared" si="20"/>
        <v>Hip Replacement RevisionSub-ICB of GP PracticeNHS NORTH EAST AND NORTH CUMBRIA ICB - 99C (99C)Oxford Hip Score</v>
      </c>
      <c r="C1314" t="s">
        <v>967</v>
      </c>
      <c r="D1314" t="s">
        <v>1021</v>
      </c>
      <c r="E1314" t="s">
        <v>899</v>
      </c>
      <c r="F1314" t="s">
        <v>900</v>
      </c>
      <c r="G1314" t="s">
        <v>964</v>
      </c>
      <c r="H1314">
        <v>4</v>
      </c>
      <c r="I1314">
        <v>13</v>
      </c>
      <c r="J1314">
        <v>35.75</v>
      </c>
      <c r="K1314">
        <v>22.75</v>
      </c>
      <c r="L1314">
        <v>4</v>
      </c>
      <c r="M1314">
        <v>0</v>
      </c>
      <c r="N1314">
        <v>0</v>
      </c>
      <c r="O1314" t="s">
        <v>127</v>
      </c>
      <c r="P1314" t="s">
        <v>127</v>
      </c>
      <c r="Q1314" t="s">
        <v>127</v>
      </c>
    </row>
    <row r="1315" spans="1:17" x14ac:dyDescent="0.25">
      <c r="A1315" t="str">
        <f>IF(C1315&amp;G1315&amp;D1315&lt;&gt;'Funnel setup'!$K$3&amp;'Funnel setup'!$K$4&amp;'Funnel setup'!$K$6,".",IF(A1314=".",1,A1314+1))</f>
        <v>.</v>
      </c>
      <c r="B1315" s="244" t="str">
        <f t="shared" si="20"/>
        <v>Hip Replacement RevisionSub-ICB of GP PracticeNHS NORTH EAST LONDON ICB - A3A8R (A3A8R)Oxford Hip Score</v>
      </c>
      <c r="C1315" t="s">
        <v>967</v>
      </c>
      <c r="D1315" t="s">
        <v>1021</v>
      </c>
      <c r="E1315" t="s">
        <v>901</v>
      </c>
      <c r="F1315" t="s">
        <v>902</v>
      </c>
      <c r="G1315" t="s">
        <v>964</v>
      </c>
      <c r="H1315">
        <v>8</v>
      </c>
      <c r="I1315">
        <v>12.75</v>
      </c>
      <c r="J1315">
        <v>33.125</v>
      </c>
      <c r="K1315">
        <v>20.375</v>
      </c>
      <c r="L1315">
        <v>8</v>
      </c>
      <c r="M1315">
        <v>0</v>
      </c>
      <c r="N1315">
        <v>0</v>
      </c>
      <c r="O1315" t="s">
        <v>127</v>
      </c>
      <c r="P1315" t="s">
        <v>127</v>
      </c>
      <c r="Q1315" t="s">
        <v>127</v>
      </c>
    </row>
    <row r="1316" spans="1:17" x14ac:dyDescent="0.25">
      <c r="A1316" t="str">
        <f>IF(C1316&amp;G1316&amp;D1316&lt;&gt;'Funnel setup'!$K$3&amp;'Funnel setup'!$K$4&amp;'Funnel setup'!$K$6,".",IF(A1315=".",1,A1315+1))</f>
        <v>.</v>
      </c>
      <c r="B1316" s="244" t="str">
        <f t="shared" si="20"/>
        <v>Hip Replacement RevisionSub-ICB of GP PracticeNHS NORTH WEST LONDON ICB - W2U3Z (W2U3Z)Oxford Hip Score</v>
      </c>
      <c r="C1316" t="s">
        <v>967</v>
      </c>
      <c r="D1316" t="s">
        <v>1021</v>
      </c>
      <c r="E1316" t="s">
        <v>903</v>
      </c>
      <c r="F1316" t="s">
        <v>904</v>
      </c>
      <c r="G1316" t="s">
        <v>964</v>
      </c>
      <c r="H1316">
        <v>7</v>
      </c>
      <c r="I1316">
        <v>17.857099999999999</v>
      </c>
      <c r="J1316">
        <v>28.142900000000001</v>
      </c>
      <c r="K1316">
        <v>10.2857</v>
      </c>
      <c r="L1316">
        <v>5</v>
      </c>
      <c r="M1316">
        <v>0</v>
      </c>
      <c r="N1316">
        <v>2</v>
      </c>
      <c r="O1316" t="s">
        <v>127</v>
      </c>
      <c r="P1316" t="s">
        <v>127</v>
      </c>
      <c r="Q1316" t="s">
        <v>127</v>
      </c>
    </row>
    <row r="1317" spans="1:17" x14ac:dyDescent="0.25">
      <c r="A1317" t="str">
        <f>IF(C1317&amp;G1317&amp;D1317&lt;&gt;'Funnel setup'!$K$3&amp;'Funnel setup'!$K$4&amp;'Funnel setup'!$K$6,".",IF(A1316=".",1,A1316+1))</f>
        <v>.</v>
      </c>
      <c r="B1317" s="244" t="str">
        <f t="shared" si="20"/>
        <v>Hip Replacement RevisionSub-ICB of GP PracticeNHS NORTHAMPTONSHIRE ICB - 78H (78H)Oxford Hip Score</v>
      </c>
      <c r="C1317" t="s">
        <v>967</v>
      </c>
      <c r="D1317" t="s">
        <v>1021</v>
      </c>
      <c r="E1317" t="s">
        <v>905</v>
      </c>
      <c r="F1317" t="s">
        <v>906</v>
      </c>
      <c r="G1317" t="s">
        <v>964</v>
      </c>
      <c r="H1317">
        <v>16</v>
      </c>
      <c r="I1317">
        <v>20.6875</v>
      </c>
      <c r="J1317">
        <v>35.9375</v>
      </c>
      <c r="K1317">
        <v>15.25</v>
      </c>
      <c r="L1317">
        <v>13</v>
      </c>
      <c r="M1317">
        <v>1</v>
      </c>
      <c r="N1317">
        <v>2</v>
      </c>
      <c r="O1317" t="s">
        <v>127</v>
      </c>
      <c r="P1317" t="s">
        <v>127</v>
      </c>
      <c r="Q1317" t="s">
        <v>127</v>
      </c>
    </row>
    <row r="1318" spans="1:17" x14ac:dyDescent="0.25">
      <c r="A1318" t="str">
        <f>IF(C1318&amp;G1318&amp;D1318&lt;&gt;'Funnel setup'!$K$3&amp;'Funnel setup'!$K$4&amp;'Funnel setup'!$K$6,".",IF(A1317=".",1,A1317+1))</f>
        <v>.</v>
      </c>
      <c r="B1318" s="244" t="str">
        <f t="shared" si="20"/>
        <v>Hip Replacement RevisionSub-ICB of GP PracticeNHS NOTTINGHAM AND NOTTINGHAMSHIRE ICB - 02Q (02Q)Oxford Hip Score</v>
      </c>
      <c r="C1318" t="s">
        <v>967</v>
      </c>
      <c r="D1318" t="s">
        <v>1021</v>
      </c>
      <c r="E1318" t="s">
        <v>907</v>
      </c>
      <c r="F1318" t="s">
        <v>908</v>
      </c>
      <c r="G1318" t="s">
        <v>964</v>
      </c>
      <c r="H1318">
        <v>2</v>
      </c>
      <c r="I1318">
        <v>24.5</v>
      </c>
      <c r="J1318">
        <v>31</v>
      </c>
      <c r="K1318">
        <v>6.5</v>
      </c>
      <c r="L1318">
        <v>1</v>
      </c>
      <c r="M1318">
        <v>0</v>
      </c>
      <c r="N1318">
        <v>1</v>
      </c>
      <c r="O1318" t="s">
        <v>127</v>
      </c>
      <c r="P1318" t="s">
        <v>127</v>
      </c>
      <c r="Q1318" t="s">
        <v>127</v>
      </c>
    </row>
    <row r="1319" spans="1:17" x14ac:dyDescent="0.25">
      <c r="A1319" t="str">
        <f>IF(C1319&amp;G1319&amp;D1319&lt;&gt;'Funnel setup'!$K$3&amp;'Funnel setup'!$K$4&amp;'Funnel setup'!$K$6,".",IF(A1318=".",1,A1318+1))</f>
        <v>.</v>
      </c>
      <c r="B1319" s="244" t="str">
        <f t="shared" si="20"/>
        <v>Hip Replacement RevisionSub-ICB of GP PracticeNHS SHROPSHIRE, TELFORD AND WREKIN ICB - M2L0M (M2L0M)Oxford Hip Score</v>
      </c>
      <c r="C1319" t="s">
        <v>967</v>
      </c>
      <c r="D1319" t="s">
        <v>1021</v>
      </c>
      <c r="E1319" t="s">
        <v>911</v>
      </c>
      <c r="F1319" t="s">
        <v>912</v>
      </c>
      <c r="G1319" t="s">
        <v>964</v>
      </c>
      <c r="H1319">
        <v>13</v>
      </c>
      <c r="I1319">
        <v>17.076899999999998</v>
      </c>
      <c r="J1319">
        <v>39.846200000000003</v>
      </c>
      <c r="K1319">
        <v>22.769200000000001</v>
      </c>
      <c r="L1319">
        <v>13</v>
      </c>
      <c r="M1319">
        <v>0</v>
      </c>
      <c r="N1319">
        <v>0</v>
      </c>
      <c r="O1319" t="s">
        <v>127</v>
      </c>
      <c r="P1319" t="s">
        <v>127</v>
      </c>
      <c r="Q1319" t="s">
        <v>127</v>
      </c>
    </row>
    <row r="1320" spans="1:17" x14ac:dyDescent="0.25">
      <c r="A1320" t="str">
        <f>IF(C1320&amp;G1320&amp;D1320&lt;&gt;'Funnel setup'!$K$3&amp;'Funnel setup'!$K$4&amp;'Funnel setup'!$K$6,".",IF(A1319=".",1,A1319+1))</f>
        <v>.</v>
      </c>
      <c r="B1320" s="244" t="str">
        <f t="shared" si="20"/>
        <v>Hip Replacement RevisionSub-ICB of GP PracticeNHS SOMERSET ICB - 11X (11X)Oxford Hip Score</v>
      </c>
      <c r="C1320" t="s">
        <v>967</v>
      </c>
      <c r="D1320" t="s">
        <v>1021</v>
      </c>
      <c r="E1320" t="s">
        <v>913</v>
      </c>
      <c r="F1320" t="s">
        <v>914</v>
      </c>
      <c r="G1320" t="s">
        <v>964</v>
      </c>
      <c r="H1320">
        <v>4</v>
      </c>
      <c r="I1320">
        <v>17</v>
      </c>
      <c r="J1320">
        <v>29</v>
      </c>
      <c r="K1320">
        <v>12</v>
      </c>
      <c r="L1320">
        <v>3</v>
      </c>
      <c r="M1320">
        <v>0</v>
      </c>
      <c r="N1320">
        <v>1</v>
      </c>
      <c r="O1320" t="s">
        <v>127</v>
      </c>
      <c r="P1320" t="s">
        <v>127</v>
      </c>
      <c r="Q1320" t="s">
        <v>127</v>
      </c>
    </row>
    <row r="1321" spans="1:17" x14ac:dyDescent="0.25">
      <c r="A1321" t="str">
        <f>IF(C1321&amp;G1321&amp;D1321&lt;&gt;'Funnel setup'!$K$3&amp;'Funnel setup'!$K$4&amp;'Funnel setup'!$K$6,".",IF(A1320=".",1,A1320+1))</f>
        <v>.</v>
      </c>
      <c r="B1321" s="244" t="str">
        <f t="shared" si="20"/>
        <v>Hip Replacement RevisionSub-ICB of GP PracticeNHS SOUTH EAST LONDON ICB - 72Q (72Q)Oxford Hip Score</v>
      </c>
      <c r="C1321" t="s">
        <v>967</v>
      </c>
      <c r="D1321" t="s">
        <v>1021</v>
      </c>
      <c r="E1321" t="s">
        <v>915</v>
      </c>
      <c r="F1321" t="s">
        <v>916</v>
      </c>
      <c r="G1321" t="s">
        <v>964</v>
      </c>
      <c r="H1321">
        <v>8</v>
      </c>
      <c r="I1321">
        <v>22</v>
      </c>
      <c r="J1321">
        <v>34.875</v>
      </c>
      <c r="K1321">
        <v>12.875</v>
      </c>
      <c r="L1321">
        <v>7</v>
      </c>
      <c r="M1321">
        <v>0</v>
      </c>
      <c r="N1321">
        <v>1</v>
      </c>
      <c r="O1321" t="s">
        <v>127</v>
      </c>
      <c r="P1321" t="s">
        <v>127</v>
      </c>
      <c r="Q1321" t="s">
        <v>127</v>
      </c>
    </row>
    <row r="1322" spans="1:17" x14ac:dyDescent="0.25">
      <c r="A1322" t="str">
        <f>IF(C1322&amp;G1322&amp;D1322&lt;&gt;'Funnel setup'!$K$3&amp;'Funnel setup'!$K$4&amp;'Funnel setup'!$K$6,".",IF(A1321=".",1,A1321+1))</f>
        <v>.</v>
      </c>
      <c r="B1322" s="244" t="str">
        <f t="shared" si="20"/>
        <v>Hip Replacement RevisionSub-ICB of GP PracticeNHS SOUTH WEST LONDON ICB - 36L (36L)Oxford Hip Score</v>
      </c>
      <c r="C1322" t="s">
        <v>967</v>
      </c>
      <c r="D1322" t="s">
        <v>1021</v>
      </c>
      <c r="E1322" t="s">
        <v>917</v>
      </c>
      <c r="F1322" t="s">
        <v>918</v>
      </c>
      <c r="G1322" t="s">
        <v>964</v>
      </c>
      <c r="H1322">
        <v>18</v>
      </c>
      <c r="I1322">
        <v>15.9444</v>
      </c>
      <c r="J1322">
        <v>36.277799999999999</v>
      </c>
      <c r="K1322">
        <v>20.333300000000001</v>
      </c>
      <c r="L1322">
        <v>17</v>
      </c>
      <c r="M1322">
        <v>1</v>
      </c>
      <c r="N1322">
        <v>0</v>
      </c>
      <c r="O1322" t="s">
        <v>127</v>
      </c>
      <c r="P1322" t="s">
        <v>127</v>
      </c>
      <c r="Q1322" t="s">
        <v>127</v>
      </c>
    </row>
    <row r="1323" spans="1:17" x14ac:dyDescent="0.25">
      <c r="A1323" t="str">
        <f>IF(C1323&amp;G1323&amp;D1323&lt;&gt;'Funnel setup'!$K$3&amp;'Funnel setup'!$K$4&amp;'Funnel setup'!$K$6,".",IF(A1322=".",1,A1322+1))</f>
        <v>.</v>
      </c>
      <c r="B1323" s="244" t="str">
        <f t="shared" si="20"/>
        <v>Hip Replacement RevisionSub-ICB of GP PracticeNHS SOUTH YORKSHIRE ICB - 02X (02X)Oxford Hip Score</v>
      </c>
      <c r="C1323" t="s">
        <v>967</v>
      </c>
      <c r="D1323" t="s">
        <v>1021</v>
      </c>
      <c r="E1323" t="s">
        <v>921</v>
      </c>
      <c r="F1323" t="s">
        <v>922</v>
      </c>
      <c r="G1323" t="s">
        <v>964</v>
      </c>
      <c r="H1323">
        <v>3</v>
      </c>
      <c r="I1323">
        <v>12.666700000000001</v>
      </c>
      <c r="J1323">
        <v>14.666700000000001</v>
      </c>
      <c r="K1323">
        <v>2</v>
      </c>
      <c r="L1323">
        <v>2</v>
      </c>
      <c r="M1323">
        <v>0</v>
      </c>
      <c r="N1323">
        <v>1</v>
      </c>
      <c r="O1323" t="s">
        <v>127</v>
      </c>
      <c r="P1323" t="s">
        <v>127</v>
      </c>
      <c r="Q1323" t="s">
        <v>127</v>
      </c>
    </row>
    <row r="1324" spans="1:17" x14ac:dyDescent="0.25">
      <c r="A1324" t="str">
        <f>IF(C1324&amp;G1324&amp;D1324&lt;&gt;'Funnel setup'!$K$3&amp;'Funnel setup'!$K$4&amp;'Funnel setup'!$K$6,".",IF(A1323=".",1,A1323+1))</f>
        <v>.</v>
      </c>
      <c r="B1324" s="244" t="str">
        <f t="shared" si="20"/>
        <v>Hip Replacement RevisionSub-ICB of GP PracticeNHS SOUTH YORKSHIRE ICB - 03L (03L)Oxford Hip Score</v>
      </c>
      <c r="C1324" t="s">
        <v>967</v>
      </c>
      <c r="D1324" t="s">
        <v>1021</v>
      </c>
      <c r="E1324" t="s">
        <v>923</v>
      </c>
      <c r="F1324" t="s">
        <v>924</v>
      </c>
      <c r="G1324" t="s">
        <v>964</v>
      </c>
      <c r="H1324">
        <v>1</v>
      </c>
      <c r="I1324">
        <v>6</v>
      </c>
      <c r="J1324">
        <v>9</v>
      </c>
      <c r="K1324">
        <v>3</v>
      </c>
      <c r="L1324">
        <v>1</v>
      </c>
      <c r="M1324">
        <v>0</v>
      </c>
      <c r="N1324">
        <v>0</v>
      </c>
      <c r="O1324" t="s">
        <v>127</v>
      </c>
      <c r="P1324" t="s">
        <v>127</v>
      </c>
      <c r="Q1324" t="s">
        <v>127</v>
      </c>
    </row>
    <row r="1325" spans="1:17" x14ac:dyDescent="0.25">
      <c r="A1325" t="str">
        <f>IF(C1325&amp;G1325&amp;D1325&lt;&gt;'Funnel setup'!$K$3&amp;'Funnel setup'!$K$4&amp;'Funnel setup'!$K$6,".",IF(A1324=".",1,A1324+1))</f>
        <v>.</v>
      </c>
      <c r="B1325" s="244" t="str">
        <f t="shared" si="20"/>
        <v>Hip Replacement RevisionSub-ICB of GP PracticeNHS SOUTH YORKSHIRE ICB - 03N (03N)Oxford Hip Score</v>
      </c>
      <c r="C1325" t="s">
        <v>967</v>
      </c>
      <c r="D1325" t="s">
        <v>1021</v>
      </c>
      <c r="E1325" t="s">
        <v>925</v>
      </c>
      <c r="F1325" t="s">
        <v>926</v>
      </c>
      <c r="G1325" t="s">
        <v>964</v>
      </c>
      <c r="H1325">
        <v>1</v>
      </c>
      <c r="I1325">
        <v>28</v>
      </c>
      <c r="J1325">
        <v>33</v>
      </c>
      <c r="K1325">
        <v>5</v>
      </c>
      <c r="L1325">
        <v>1</v>
      </c>
      <c r="M1325">
        <v>0</v>
      </c>
      <c r="N1325">
        <v>0</v>
      </c>
      <c r="O1325" t="s">
        <v>127</v>
      </c>
      <c r="P1325" t="s">
        <v>127</v>
      </c>
      <c r="Q1325" t="s">
        <v>127</v>
      </c>
    </row>
    <row r="1326" spans="1:17" x14ac:dyDescent="0.25">
      <c r="A1326" t="str">
        <f>IF(C1326&amp;G1326&amp;D1326&lt;&gt;'Funnel setup'!$K$3&amp;'Funnel setup'!$K$4&amp;'Funnel setup'!$K$6,".",IF(A1325=".",1,A1325+1))</f>
        <v>.</v>
      </c>
      <c r="B1326" s="244" t="str">
        <f t="shared" si="20"/>
        <v>Hip Replacement RevisionSub-ICB of GP PracticeNHS STAFFORDSHIRE AND STOKE-ON-TRENT ICB - 04Y (04Y)Oxford Hip Score</v>
      </c>
      <c r="C1326" t="s">
        <v>967</v>
      </c>
      <c r="D1326" t="s">
        <v>1021</v>
      </c>
      <c r="E1326" t="s">
        <v>927</v>
      </c>
      <c r="F1326" t="s">
        <v>928</v>
      </c>
      <c r="G1326" t="s">
        <v>964</v>
      </c>
      <c r="H1326">
        <v>2</v>
      </c>
      <c r="I1326">
        <v>15</v>
      </c>
      <c r="J1326">
        <v>46.5</v>
      </c>
      <c r="K1326">
        <v>31.5</v>
      </c>
      <c r="L1326">
        <v>2</v>
      </c>
      <c r="M1326">
        <v>0</v>
      </c>
      <c r="N1326">
        <v>0</v>
      </c>
      <c r="O1326" t="s">
        <v>127</v>
      </c>
      <c r="P1326" t="s">
        <v>127</v>
      </c>
      <c r="Q1326" t="s">
        <v>127</v>
      </c>
    </row>
    <row r="1327" spans="1:17" x14ac:dyDescent="0.25">
      <c r="A1327" t="str">
        <f>IF(C1327&amp;G1327&amp;D1327&lt;&gt;'Funnel setup'!$K$3&amp;'Funnel setup'!$K$4&amp;'Funnel setup'!$K$6,".",IF(A1326=".",1,A1326+1))</f>
        <v>.</v>
      </c>
      <c r="B1327" s="244" t="str">
        <f t="shared" si="20"/>
        <v>Hip Replacement RevisionSub-ICB of GP PracticeNHS STAFFORDSHIRE AND STOKE-ON-TRENT ICB - 05D (05D)Oxford Hip Score</v>
      </c>
      <c r="C1327" t="s">
        <v>967</v>
      </c>
      <c r="D1327" t="s">
        <v>1021</v>
      </c>
      <c r="E1327" t="s">
        <v>929</v>
      </c>
      <c r="F1327" t="s">
        <v>930</v>
      </c>
      <c r="G1327" t="s">
        <v>964</v>
      </c>
      <c r="H1327" t="s">
        <v>127</v>
      </c>
      <c r="I1327" t="s">
        <v>127</v>
      </c>
      <c r="J1327" t="s">
        <v>127</v>
      </c>
      <c r="K1327" t="s">
        <v>127</v>
      </c>
      <c r="L1327" t="s">
        <v>127</v>
      </c>
      <c r="M1327" t="s">
        <v>127</v>
      </c>
      <c r="N1327" t="s">
        <v>127</v>
      </c>
      <c r="O1327" t="s">
        <v>127</v>
      </c>
      <c r="P1327" t="s">
        <v>127</v>
      </c>
      <c r="Q1327" t="s">
        <v>127</v>
      </c>
    </row>
    <row r="1328" spans="1:17" x14ac:dyDescent="0.25">
      <c r="A1328" t="str">
        <f>IF(C1328&amp;G1328&amp;D1328&lt;&gt;'Funnel setup'!$K$3&amp;'Funnel setup'!$K$4&amp;'Funnel setup'!$K$6,".",IF(A1327=".",1,A1327+1))</f>
        <v>.</v>
      </c>
      <c r="B1328" s="244" t="str">
        <f t="shared" si="20"/>
        <v>Hip Replacement RevisionSub-ICB of GP PracticeNHS STAFFORDSHIRE AND STOKE-ON-TRENT ICB - 05Q (05Q)Oxford Hip Score</v>
      </c>
      <c r="C1328" t="s">
        <v>967</v>
      </c>
      <c r="D1328" t="s">
        <v>1021</v>
      </c>
      <c r="E1328" t="s">
        <v>933</v>
      </c>
      <c r="F1328" t="s">
        <v>934</v>
      </c>
      <c r="G1328" t="s">
        <v>964</v>
      </c>
      <c r="H1328">
        <v>4</v>
      </c>
      <c r="I1328">
        <v>26.5</v>
      </c>
      <c r="J1328">
        <v>34.75</v>
      </c>
      <c r="K1328">
        <v>8.25</v>
      </c>
      <c r="L1328">
        <v>3</v>
      </c>
      <c r="M1328">
        <v>1</v>
      </c>
      <c r="N1328">
        <v>0</v>
      </c>
      <c r="O1328" t="s">
        <v>127</v>
      </c>
      <c r="P1328" t="s">
        <v>127</v>
      </c>
      <c r="Q1328" t="s">
        <v>127</v>
      </c>
    </row>
    <row r="1329" spans="1:17" x14ac:dyDescent="0.25">
      <c r="A1329" t="str">
        <f>IF(C1329&amp;G1329&amp;D1329&lt;&gt;'Funnel setup'!$K$3&amp;'Funnel setup'!$K$4&amp;'Funnel setup'!$K$6,".",IF(A1328=".",1,A1328+1))</f>
        <v>.</v>
      </c>
      <c r="B1329" s="244" t="str">
        <f t="shared" si="20"/>
        <v>Hip Replacement RevisionSub-ICB of GP PracticeNHS STAFFORDSHIRE AND STOKE-ON-TRENT ICB - 05V (05V)Oxford Hip Score</v>
      </c>
      <c r="C1329" t="s">
        <v>967</v>
      </c>
      <c r="D1329" t="s">
        <v>1021</v>
      </c>
      <c r="E1329" t="s">
        <v>935</v>
      </c>
      <c r="F1329" t="s">
        <v>936</v>
      </c>
      <c r="G1329" t="s">
        <v>964</v>
      </c>
      <c r="H1329">
        <v>1</v>
      </c>
      <c r="I1329">
        <v>8</v>
      </c>
      <c r="J1329">
        <v>28</v>
      </c>
      <c r="K1329">
        <v>20</v>
      </c>
      <c r="L1329">
        <v>1</v>
      </c>
      <c r="M1329">
        <v>0</v>
      </c>
      <c r="N1329">
        <v>0</v>
      </c>
      <c r="O1329" t="s">
        <v>127</v>
      </c>
      <c r="P1329" t="s">
        <v>127</v>
      </c>
      <c r="Q1329" t="s">
        <v>127</v>
      </c>
    </row>
    <row r="1330" spans="1:17" x14ac:dyDescent="0.25">
      <c r="A1330" t="str">
        <f>IF(C1330&amp;G1330&amp;D1330&lt;&gt;'Funnel setup'!$K$3&amp;'Funnel setup'!$K$4&amp;'Funnel setup'!$K$6,".",IF(A1329=".",1,A1329+1))</f>
        <v>.</v>
      </c>
      <c r="B1330" s="244" t="str">
        <f t="shared" si="20"/>
        <v>Hip Replacement RevisionSub-ICB of GP PracticeNHS STAFFORDSHIRE AND STOKE-ON-TRENT ICB - 05W (05W)Oxford Hip Score</v>
      </c>
      <c r="C1330" t="s">
        <v>967</v>
      </c>
      <c r="D1330" t="s">
        <v>1021</v>
      </c>
      <c r="E1330" t="s">
        <v>937</v>
      </c>
      <c r="F1330" t="s">
        <v>938</v>
      </c>
      <c r="G1330" t="s">
        <v>964</v>
      </c>
      <c r="H1330">
        <v>1</v>
      </c>
      <c r="I1330">
        <v>18</v>
      </c>
      <c r="J1330">
        <v>28</v>
      </c>
      <c r="K1330">
        <v>10</v>
      </c>
      <c r="L1330">
        <v>1</v>
      </c>
      <c r="M1330">
        <v>0</v>
      </c>
      <c r="N1330">
        <v>0</v>
      </c>
      <c r="O1330" t="s">
        <v>127</v>
      </c>
      <c r="P1330" t="s">
        <v>127</v>
      </c>
      <c r="Q1330" t="s">
        <v>127</v>
      </c>
    </row>
    <row r="1331" spans="1:17" x14ac:dyDescent="0.25">
      <c r="A1331" t="str">
        <f>IF(C1331&amp;G1331&amp;D1331&lt;&gt;'Funnel setup'!$K$3&amp;'Funnel setup'!$K$4&amp;'Funnel setup'!$K$6,".",IF(A1330=".",1,A1330+1))</f>
        <v>.</v>
      </c>
      <c r="B1331" s="244" t="str">
        <f t="shared" si="20"/>
        <v>Hip Replacement RevisionSub-ICB of GP PracticeNHS SUFFOLK AND NORTH EAST ESSEX ICB - 06L (06L)Oxford Hip Score</v>
      </c>
      <c r="C1331" t="s">
        <v>967</v>
      </c>
      <c r="D1331" t="s">
        <v>1021</v>
      </c>
      <c r="E1331" t="s">
        <v>939</v>
      </c>
      <c r="F1331" t="s">
        <v>940</v>
      </c>
      <c r="G1331" t="s">
        <v>964</v>
      </c>
      <c r="H1331">
        <v>4</v>
      </c>
      <c r="I1331">
        <v>21</v>
      </c>
      <c r="J1331">
        <v>34.5</v>
      </c>
      <c r="K1331">
        <v>13.5</v>
      </c>
      <c r="L1331">
        <v>4</v>
      </c>
      <c r="M1331">
        <v>0</v>
      </c>
      <c r="N1331">
        <v>0</v>
      </c>
      <c r="O1331" t="s">
        <v>127</v>
      </c>
      <c r="P1331" t="s">
        <v>127</v>
      </c>
      <c r="Q1331" t="s">
        <v>127</v>
      </c>
    </row>
    <row r="1332" spans="1:17" x14ac:dyDescent="0.25">
      <c r="A1332" t="str">
        <f>IF(C1332&amp;G1332&amp;D1332&lt;&gt;'Funnel setup'!$K$3&amp;'Funnel setup'!$K$4&amp;'Funnel setup'!$K$6,".",IF(A1331=".",1,A1331+1))</f>
        <v>.</v>
      </c>
      <c r="B1332" s="244" t="str">
        <f t="shared" si="20"/>
        <v>Hip Replacement RevisionSub-ICB of GP PracticeNHS SUFFOLK AND NORTH EAST ESSEX ICB - 06T (06T)Oxford Hip Score</v>
      </c>
      <c r="C1332" t="s">
        <v>967</v>
      </c>
      <c r="D1332" t="s">
        <v>1021</v>
      </c>
      <c r="E1332" t="s">
        <v>941</v>
      </c>
      <c r="F1332" t="s">
        <v>942</v>
      </c>
      <c r="G1332" t="s">
        <v>964</v>
      </c>
      <c r="H1332">
        <v>1</v>
      </c>
      <c r="I1332">
        <v>44</v>
      </c>
      <c r="J1332">
        <v>47</v>
      </c>
      <c r="K1332">
        <v>3</v>
      </c>
      <c r="L1332">
        <v>1</v>
      </c>
      <c r="M1332">
        <v>0</v>
      </c>
      <c r="N1332">
        <v>0</v>
      </c>
      <c r="O1332" t="s">
        <v>127</v>
      </c>
      <c r="P1332" t="s">
        <v>127</v>
      </c>
      <c r="Q1332" t="s">
        <v>127</v>
      </c>
    </row>
    <row r="1333" spans="1:17" x14ac:dyDescent="0.25">
      <c r="A1333" t="str">
        <f>IF(C1333&amp;G1333&amp;D1333&lt;&gt;'Funnel setup'!$K$3&amp;'Funnel setup'!$K$4&amp;'Funnel setup'!$K$6,".",IF(A1332=".",1,A1332+1))</f>
        <v>.</v>
      </c>
      <c r="B1333" s="244" t="str">
        <f t="shared" si="20"/>
        <v>Hip Replacement RevisionSub-ICB of GP PracticeNHS SUFFOLK AND NORTH EAST ESSEX ICB - 07K (07K)Oxford Hip Score</v>
      </c>
      <c r="C1333" t="s">
        <v>967</v>
      </c>
      <c r="D1333" t="s">
        <v>1021</v>
      </c>
      <c r="E1333" t="s">
        <v>943</v>
      </c>
      <c r="F1333" t="s">
        <v>944</v>
      </c>
      <c r="G1333" t="s">
        <v>964</v>
      </c>
      <c r="H1333">
        <v>8</v>
      </c>
      <c r="I1333">
        <v>18</v>
      </c>
      <c r="J1333">
        <v>34.75</v>
      </c>
      <c r="K1333">
        <v>16.75</v>
      </c>
      <c r="L1333">
        <v>8</v>
      </c>
      <c r="M1333">
        <v>0</v>
      </c>
      <c r="N1333">
        <v>0</v>
      </c>
      <c r="O1333" t="s">
        <v>127</v>
      </c>
      <c r="P1333" t="s">
        <v>127</v>
      </c>
      <c r="Q1333" t="s">
        <v>127</v>
      </c>
    </row>
    <row r="1334" spans="1:17" x14ac:dyDescent="0.25">
      <c r="A1334" t="str">
        <f>IF(C1334&amp;G1334&amp;D1334&lt;&gt;'Funnel setup'!$K$3&amp;'Funnel setup'!$K$4&amp;'Funnel setup'!$K$6,".",IF(A1333=".",1,A1333+1))</f>
        <v>.</v>
      </c>
      <c r="B1334" s="244" t="str">
        <f t="shared" si="20"/>
        <v>Hip Replacement RevisionSub-ICB of GP PracticeNHS SURREY HEARTLANDS ICB - 92A (92A)Oxford Hip Score</v>
      </c>
      <c r="C1334" t="s">
        <v>967</v>
      </c>
      <c r="D1334" t="s">
        <v>1021</v>
      </c>
      <c r="E1334" t="s">
        <v>945</v>
      </c>
      <c r="F1334" t="s">
        <v>946</v>
      </c>
      <c r="G1334" t="s">
        <v>964</v>
      </c>
      <c r="H1334">
        <v>28</v>
      </c>
      <c r="I1334">
        <v>25.535699999999999</v>
      </c>
      <c r="J1334">
        <v>38.107100000000003</v>
      </c>
      <c r="K1334">
        <v>12.571400000000001</v>
      </c>
      <c r="L1334">
        <v>25</v>
      </c>
      <c r="M1334">
        <v>1</v>
      </c>
      <c r="N1334">
        <v>2</v>
      </c>
      <c r="O1334" t="s">
        <v>127</v>
      </c>
      <c r="P1334" t="s">
        <v>127</v>
      </c>
      <c r="Q1334" t="s">
        <v>127</v>
      </c>
    </row>
    <row r="1335" spans="1:17" x14ac:dyDescent="0.25">
      <c r="A1335" t="str">
        <f>IF(C1335&amp;G1335&amp;D1335&lt;&gt;'Funnel setup'!$K$3&amp;'Funnel setup'!$K$4&amp;'Funnel setup'!$K$6,".",IF(A1334=".",1,A1334+1))</f>
        <v>.</v>
      </c>
      <c r="B1335" s="244" t="str">
        <f t="shared" si="20"/>
        <v>Hip Replacement RevisionSub-ICB of GP PracticeNHS SUSSEX ICB - 09D (09D)Oxford Hip Score</v>
      </c>
      <c r="C1335" t="s">
        <v>967</v>
      </c>
      <c r="D1335" t="s">
        <v>1021</v>
      </c>
      <c r="E1335" t="s">
        <v>947</v>
      </c>
      <c r="F1335" t="s">
        <v>948</v>
      </c>
      <c r="G1335" t="s">
        <v>964</v>
      </c>
      <c r="H1335">
        <v>4</v>
      </c>
      <c r="I1335">
        <v>18.75</v>
      </c>
      <c r="J1335">
        <v>30.5</v>
      </c>
      <c r="K1335">
        <v>11.75</v>
      </c>
      <c r="L1335">
        <v>4</v>
      </c>
      <c r="M1335">
        <v>0</v>
      </c>
      <c r="N1335">
        <v>0</v>
      </c>
      <c r="O1335" t="s">
        <v>127</v>
      </c>
      <c r="P1335" t="s">
        <v>127</v>
      </c>
      <c r="Q1335" t="s">
        <v>127</v>
      </c>
    </row>
    <row r="1336" spans="1:17" x14ac:dyDescent="0.25">
      <c r="A1336" t="str">
        <f>IF(C1336&amp;G1336&amp;D1336&lt;&gt;'Funnel setup'!$K$3&amp;'Funnel setup'!$K$4&amp;'Funnel setup'!$K$6,".",IF(A1335=".",1,A1335+1))</f>
        <v>.</v>
      </c>
      <c r="B1336" s="244" t="str">
        <f t="shared" si="20"/>
        <v>Hip Replacement RevisionSub-ICB of GP PracticeNHS SUSSEX ICB - 70F (70F)Oxford Hip Score</v>
      </c>
      <c r="C1336" t="s">
        <v>967</v>
      </c>
      <c r="D1336" t="s">
        <v>1021</v>
      </c>
      <c r="E1336" t="s">
        <v>949</v>
      </c>
      <c r="F1336" t="s">
        <v>950</v>
      </c>
      <c r="G1336" t="s">
        <v>964</v>
      </c>
      <c r="H1336">
        <v>19</v>
      </c>
      <c r="I1336">
        <v>20.1053</v>
      </c>
      <c r="J1336">
        <v>29.7895</v>
      </c>
      <c r="K1336">
        <v>9.6842100000000002</v>
      </c>
      <c r="L1336">
        <v>13</v>
      </c>
      <c r="M1336">
        <v>2</v>
      </c>
      <c r="N1336">
        <v>4</v>
      </c>
      <c r="O1336" t="s">
        <v>127</v>
      </c>
      <c r="P1336" t="s">
        <v>127</v>
      </c>
      <c r="Q1336" t="s">
        <v>127</v>
      </c>
    </row>
    <row r="1337" spans="1:17" x14ac:dyDescent="0.25">
      <c r="A1337" t="str">
        <f>IF(C1337&amp;G1337&amp;D1337&lt;&gt;'Funnel setup'!$K$3&amp;'Funnel setup'!$K$4&amp;'Funnel setup'!$K$6,".",IF(A1336=".",1,A1336+1))</f>
        <v>.</v>
      </c>
      <c r="B1337" s="244" t="str">
        <f t="shared" si="20"/>
        <v>Hip Replacement RevisionSub-ICB of GP PracticeNHS SUSSEX ICB - 97R (97R)Oxford Hip Score</v>
      </c>
      <c r="C1337" t="s">
        <v>967</v>
      </c>
      <c r="D1337" t="s">
        <v>1021</v>
      </c>
      <c r="E1337" t="s">
        <v>951</v>
      </c>
      <c r="F1337" t="s">
        <v>952</v>
      </c>
      <c r="G1337" t="s">
        <v>964</v>
      </c>
      <c r="H1337">
        <v>14</v>
      </c>
      <c r="I1337">
        <v>26</v>
      </c>
      <c r="J1337">
        <v>32.571399999999997</v>
      </c>
      <c r="K1337">
        <v>6.5714300000000003</v>
      </c>
      <c r="L1337">
        <v>9</v>
      </c>
      <c r="M1337">
        <v>0</v>
      </c>
      <c r="N1337">
        <v>5</v>
      </c>
      <c r="O1337" t="s">
        <v>127</v>
      </c>
      <c r="P1337" t="s">
        <v>127</v>
      </c>
      <c r="Q1337" t="s">
        <v>127</v>
      </c>
    </row>
    <row r="1338" spans="1:17" x14ac:dyDescent="0.25">
      <c r="A1338" t="str">
        <f>IF(C1338&amp;G1338&amp;D1338&lt;&gt;'Funnel setup'!$K$3&amp;'Funnel setup'!$K$4&amp;'Funnel setup'!$K$6,".",IF(A1337=".",1,A1337+1))</f>
        <v>.</v>
      </c>
      <c r="B1338" s="244" t="str">
        <f t="shared" si="20"/>
        <v>Hip Replacement RevisionSub-ICB of GP PracticeNHS WEST YORKSHIRE ICB - 02T (02T)Oxford Hip Score</v>
      </c>
      <c r="C1338" t="s">
        <v>967</v>
      </c>
      <c r="D1338" t="s">
        <v>1021</v>
      </c>
      <c r="E1338" t="s">
        <v>953</v>
      </c>
      <c r="F1338" t="s">
        <v>954</v>
      </c>
      <c r="G1338" t="s">
        <v>964</v>
      </c>
      <c r="H1338">
        <v>2</v>
      </c>
      <c r="I1338">
        <v>10</v>
      </c>
      <c r="J1338">
        <v>29.5</v>
      </c>
      <c r="K1338">
        <v>19.5</v>
      </c>
      <c r="L1338">
        <v>2</v>
      </c>
      <c r="M1338">
        <v>0</v>
      </c>
      <c r="N1338">
        <v>0</v>
      </c>
      <c r="O1338" t="s">
        <v>127</v>
      </c>
      <c r="P1338" t="s">
        <v>127</v>
      </c>
      <c r="Q1338" t="s">
        <v>127</v>
      </c>
    </row>
    <row r="1339" spans="1:17" x14ac:dyDescent="0.25">
      <c r="A1339" t="str">
        <f>IF(C1339&amp;G1339&amp;D1339&lt;&gt;'Funnel setup'!$K$3&amp;'Funnel setup'!$K$4&amp;'Funnel setup'!$K$6,".",IF(A1338=".",1,A1338+1))</f>
        <v>.</v>
      </c>
      <c r="B1339" s="244" t="str">
        <f t="shared" si="20"/>
        <v>Hip Replacement RevisionSub-ICB of GP PracticeNHS WEST YORKSHIRE ICB - 03R (03R)Oxford Hip Score</v>
      </c>
      <c r="C1339" t="s">
        <v>967</v>
      </c>
      <c r="D1339" t="s">
        <v>1021</v>
      </c>
      <c r="E1339" t="s">
        <v>955</v>
      </c>
      <c r="F1339" t="s">
        <v>956</v>
      </c>
      <c r="G1339" t="s">
        <v>964</v>
      </c>
      <c r="H1339">
        <v>8</v>
      </c>
      <c r="I1339">
        <v>12</v>
      </c>
      <c r="J1339">
        <v>28.875</v>
      </c>
      <c r="K1339">
        <v>16.875</v>
      </c>
      <c r="L1339">
        <v>8</v>
      </c>
      <c r="M1339">
        <v>0</v>
      </c>
      <c r="N1339">
        <v>0</v>
      </c>
      <c r="O1339" t="s">
        <v>127</v>
      </c>
      <c r="P1339" t="s">
        <v>127</v>
      </c>
      <c r="Q1339" t="s">
        <v>127</v>
      </c>
    </row>
    <row r="1340" spans="1:17" x14ac:dyDescent="0.25">
      <c r="A1340" t="str">
        <f>IF(C1340&amp;G1340&amp;D1340&lt;&gt;'Funnel setup'!$K$3&amp;'Funnel setup'!$K$4&amp;'Funnel setup'!$K$6,".",IF(A1339=".",1,A1339+1))</f>
        <v>.</v>
      </c>
      <c r="B1340" s="244" t="str">
        <f t="shared" si="20"/>
        <v>Hip Replacement RevisionSub-ICB of GP PracticeNHS WEST YORKSHIRE ICB - 15F (15F)Oxford Hip Score</v>
      </c>
      <c r="C1340" t="s">
        <v>967</v>
      </c>
      <c r="D1340" t="s">
        <v>1021</v>
      </c>
      <c r="E1340" t="s">
        <v>957</v>
      </c>
      <c r="F1340" t="s">
        <v>958</v>
      </c>
      <c r="G1340" t="s">
        <v>964</v>
      </c>
      <c r="H1340">
        <v>17</v>
      </c>
      <c r="I1340">
        <v>23.588200000000001</v>
      </c>
      <c r="J1340">
        <v>36.352899999999998</v>
      </c>
      <c r="K1340">
        <v>12.764699999999999</v>
      </c>
      <c r="L1340">
        <v>14</v>
      </c>
      <c r="M1340">
        <v>1</v>
      </c>
      <c r="N1340">
        <v>2</v>
      </c>
      <c r="O1340" t="s">
        <v>127</v>
      </c>
      <c r="P1340" t="s">
        <v>127</v>
      </c>
      <c r="Q1340" t="s">
        <v>127</v>
      </c>
    </row>
    <row r="1341" spans="1:17" x14ac:dyDescent="0.25">
      <c r="A1341" t="str">
        <f>IF(C1341&amp;G1341&amp;D1341&lt;&gt;'Funnel setup'!$K$3&amp;'Funnel setup'!$K$4&amp;'Funnel setup'!$K$6,".",IF(A1340=".",1,A1340+1))</f>
        <v>.</v>
      </c>
      <c r="B1341" s="244" t="str">
        <f t="shared" si="20"/>
        <v>Hip Replacement RevisionSub-ICB of GP PracticeNHS WEST YORKSHIRE ICB - 36J (36J)Oxford Hip Score</v>
      </c>
      <c r="C1341" t="s">
        <v>967</v>
      </c>
      <c r="D1341" t="s">
        <v>1021</v>
      </c>
      <c r="E1341" t="s">
        <v>959</v>
      </c>
      <c r="F1341" t="s">
        <v>960</v>
      </c>
      <c r="G1341" t="s">
        <v>964</v>
      </c>
      <c r="H1341">
        <v>5</v>
      </c>
      <c r="I1341">
        <v>17.8</v>
      </c>
      <c r="J1341">
        <v>39</v>
      </c>
      <c r="K1341">
        <v>21.2</v>
      </c>
      <c r="L1341">
        <v>5</v>
      </c>
      <c r="M1341">
        <v>0</v>
      </c>
      <c r="N1341">
        <v>0</v>
      </c>
      <c r="O1341" t="s">
        <v>127</v>
      </c>
      <c r="P1341" t="s">
        <v>127</v>
      </c>
      <c r="Q1341" t="s">
        <v>127</v>
      </c>
    </row>
    <row r="1342" spans="1:17" x14ac:dyDescent="0.25">
      <c r="A1342" t="str">
        <f>IF(C1342&amp;G1342&amp;D1342&lt;&gt;'Funnel setup'!$K$3&amp;'Funnel setup'!$K$4&amp;'Funnel setup'!$K$6,".",IF(A1341=".",1,A1341+1))</f>
        <v>.</v>
      </c>
      <c r="B1342" s="244" t="str">
        <f t="shared" si="20"/>
        <v>Hip Replacement RevisionSub-ICB of GP PracticeNHS WEST YORKSHIRE ICB - X2C4Y (X2C4Y)Oxford Hip Score</v>
      </c>
      <c r="C1342" t="s">
        <v>967</v>
      </c>
      <c r="D1342" t="s">
        <v>1021</v>
      </c>
      <c r="E1342" t="s">
        <v>961</v>
      </c>
      <c r="F1342" t="s">
        <v>962</v>
      </c>
      <c r="G1342" t="s">
        <v>964</v>
      </c>
      <c r="H1342">
        <v>7</v>
      </c>
      <c r="I1342">
        <v>21.714300000000001</v>
      </c>
      <c r="J1342">
        <v>35.571399999999997</v>
      </c>
      <c r="K1342">
        <v>13.857100000000001</v>
      </c>
      <c r="L1342">
        <v>6</v>
      </c>
      <c r="M1342">
        <v>0</v>
      </c>
      <c r="N1342">
        <v>1</v>
      </c>
      <c r="O1342" t="s">
        <v>127</v>
      </c>
      <c r="P1342" t="s">
        <v>127</v>
      </c>
      <c r="Q1342" t="s">
        <v>127</v>
      </c>
    </row>
    <row r="1343" spans="1:17" x14ac:dyDescent="0.25">
      <c r="A1343" t="str">
        <f>IF(C1343&amp;G1343&amp;D1343&lt;&gt;'Funnel setup'!$K$3&amp;'Funnel setup'!$K$4&amp;'Funnel setup'!$K$6,".",IF(A1342=".",1,A1342+1))</f>
        <v>.</v>
      </c>
      <c r="B1343" s="244" t="str">
        <f t="shared" si="20"/>
        <v>Hip Replacement RevisionEnglandEnglandEQ VAS</v>
      </c>
      <c r="C1343" t="s">
        <v>967</v>
      </c>
      <c r="D1343" t="s">
        <v>122</v>
      </c>
      <c r="E1343" t="s">
        <v>122</v>
      </c>
      <c r="F1343" t="s">
        <v>122</v>
      </c>
      <c r="G1343" t="s">
        <v>752</v>
      </c>
      <c r="H1343">
        <v>574</v>
      </c>
      <c r="I1343">
        <v>60.930300000000003</v>
      </c>
      <c r="J1343">
        <v>69.299700000000001</v>
      </c>
      <c r="K1343">
        <v>8.3693399999999993</v>
      </c>
      <c r="L1343">
        <v>341</v>
      </c>
      <c r="M1343">
        <v>49</v>
      </c>
      <c r="N1343">
        <v>184</v>
      </c>
      <c r="O1343">
        <v>69.299700000000001</v>
      </c>
      <c r="P1343">
        <v>8.3693399999999993</v>
      </c>
      <c r="Q1343">
        <v>19.348800000000001</v>
      </c>
    </row>
    <row r="1344" spans="1:17" x14ac:dyDescent="0.25">
      <c r="A1344" t="str">
        <f>IF(C1344&amp;G1344&amp;D1344&lt;&gt;'Funnel setup'!$K$3&amp;'Funnel setup'!$K$4&amp;'Funnel setup'!$K$6,".",IF(A1343=".",1,A1343+1))</f>
        <v>.</v>
      </c>
      <c r="B1344" s="244" t="str">
        <f t="shared" si="20"/>
        <v>Hip Replacement RevisionEnglandEnglandEQ-5D Index</v>
      </c>
      <c r="C1344" t="s">
        <v>967</v>
      </c>
      <c r="D1344" t="s">
        <v>122</v>
      </c>
      <c r="E1344" t="s">
        <v>122</v>
      </c>
      <c r="F1344" t="s">
        <v>122</v>
      </c>
      <c r="G1344" t="s">
        <v>963</v>
      </c>
      <c r="H1344">
        <v>585</v>
      </c>
      <c r="I1344">
        <v>0.36878100000000003</v>
      </c>
      <c r="J1344">
        <v>0.68567699999999998</v>
      </c>
      <c r="K1344">
        <v>0.31689600000000001</v>
      </c>
      <c r="L1344">
        <v>438</v>
      </c>
      <c r="M1344">
        <v>62</v>
      </c>
      <c r="N1344">
        <v>85</v>
      </c>
      <c r="O1344">
        <v>0.68567699999999998</v>
      </c>
      <c r="P1344">
        <v>0.31689600000000001</v>
      </c>
      <c r="Q1344">
        <v>0.27196500000000001</v>
      </c>
    </row>
    <row r="1345" spans="1:17" x14ac:dyDescent="0.25">
      <c r="A1345" t="str">
        <f>IF(C1345&amp;G1345&amp;D1345&lt;&gt;'Funnel setup'!$K$3&amp;'Funnel setup'!$K$4&amp;'Funnel setup'!$K$6,".",IF(A1344=".",1,A1344+1))</f>
        <v>.</v>
      </c>
      <c r="B1345" s="244" t="str">
        <f t="shared" si="20"/>
        <v>Hip Replacement RevisionEnglandEnglandOxford Hip Score</v>
      </c>
      <c r="C1345" t="s">
        <v>967</v>
      </c>
      <c r="D1345" t="s">
        <v>122</v>
      </c>
      <c r="E1345" t="s">
        <v>122</v>
      </c>
      <c r="F1345" t="s">
        <v>122</v>
      </c>
      <c r="G1345" t="s">
        <v>964</v>
      </c>
      <c r="H1345">
        <v>631</v>
      </c>
      <c r="I1345">
        <v>20.233000000000001</v>
      </c>
      <c r="J1345">
        <v>34.857399999999998</v>
      </c>
      <c r="K1345">
        <v>14.6244</v>
      </c>
      <c r="L1345">
        <v>547</v>
      </c>
      <c r="M1345">
        <v>20</v>
      </c>
      <c r="N1345">
        <v>64</v>
      </c>
      <c r="O1345">
        <v>34.857399999999998</v>
      </c>
      <c r="P1345">
        <v>14.6244</v>
      </c>
      <c r="Q1345">
        <v>9.6847600000000007</v>
      </c>
    </row>
    <row r="1346" spans="1:17" x14ac:dyDescent="0.25">
      <c r="A1346" t="str">
        <f>IF(C1346&amp;G1346&amp;D1346&lt;&gt;'Funnel setup'!$K$3&amp;'Funnel setup'!$K$4&amp;'Funnel setup'!$K$6,".",IF(A1345=".",1,A1345+1))</f>
        <v>.</v>
      </c>
      <c r="B1346" s="244" t="str">
        <f t="shared" ref="B1346:B1409" si="21">C1346&amp;D1346&amp;F1346&amp;G1346</f>
        <v>Hip Replacement RevisionProviderASHFORD AND ST PETER'S HOSPITALS NHS FOUNDATION TRUST (RTK)EQ VAS</v>
      </c>
      <c r="C1346" t="s">
        <v>967</v>
      </c>
      <c r="D1346" t="s">
        <v>965</v>
      </c>
      <c r="E1346" t="s">
        <v>132</v>
      </c>
      <c r="F1346" t="s">
        <v>133</v>
      </c>
      <c r="G1346" t="s">
        <v>752</v>
      </c>
      <c r="H1346">
        <v>1</v>
      </c>
      <c r="I1346">
        <v>80</v>
      </c>
      <c r="J1346">
        <v>80</v>
      </c>
      <c r="K1346">
        <v>0</v>
      </c>
      <c r="L1346">
        <v>0</v>
      </c>
      <c r="M1346">
        <v>1</v>
      </c>
      <c r="N1346">
        <v>0</v>
      </c>
      <c r="O1346" t="s">
        <v>127</v>
      </c>
      <c r="P1346" t="s">
        <v>127</v>
      </c>
      <c r="Q1346" t="s">
        <v>127</v>
      </c>
    </row>
    <row r="1347" spans="1:17" x14ac:dyDescent="0.25">
      <c r="A1347" t="str">
        <f>IF(C1347&amp;G1347&amp;D1347&lt;&gt;'Funnel setup'!$K$3&amp;'Funnel setup'!$K$4&amp;'Funnel setup'!$K$6,".",IF(A1346=".",1,A1346+1))</f>
        <v>.</v>
      </c>
      <c r="B1347" s="244" t="str">
        <f t="shared" si="21"/>
        <v>Hip Replacement RevisionProviderBARKING, HAVERING AND REDBRIDGE UNIVERSITY HOSPITALS NHS TRUST (RF4)EQ VAS</v>
      </c>
      <c r="C1347" t="s">
        <v>967</v>
      </c>
      <c r="D1347" t="s">
        <v>965</v>
      </c>
      <c r="E1347" t="s">
        <v>144</v>
      </c>
      <c r="F1347" t="s">
        <v>145</v>
      </c>
      <c r="G1347" t="s">
        <v>752</v>
      </c>
      <c r="H1347">
        <v>2</v>
      </c>
      <c r="I1347">
        <v>80</v>
      </c>
      <c r="J1347">
        <v>70</v>
      </c>
      <c r="K1347">
        <v>-10</v>
      </c>
      <c r="L1347">
        <v>1</v>
      </c>
      <c r="M1347">
        <v>0</v>
      </c>
      <c r="N1347">
        <v>1</v>
      </c>
      <c r="O1347" t="s">
        <v>127</v>
      </c>
      <c r="P1347" t="s">
        <v>127</v>
      </c>
      <c r="Q1347" t="s">
        <v>127</v>
      </c>
    </row>
    <row r="1348" spans="1:17" x14ac:dyDescent="0.25">
      <c r="A1348" t="str">
        <f>IF(C1348&amp;G1348&amp;D1348&lt;&gt;'Funnel setup'!$K$3&amp;'Funnel setup'!$K$4&amp;'Funnel setup'!$K$6,".",IF(A1347=".",1,A1347+1))</f>
        <v>.</v>
      </c>
      <c r="B1348" s="244" t="str">
        <f t="shared" si="21"/>
        <v>Hip Replacement RevisionProviderBARTS HEALTH NHS TRUST (R1H)EQ VAS</v>
      </c>
      <c r="C1348" t="s">
        <v>967</v>
      </c>
      <c r="D1348" t="s">
        <v>965</v>
      </c>
      <c r="E1348" t="s">
        <v>148</v>
      </c>
      <c r="F1348" t="s">
        <v>149</v>
      </c>
      <c r="G1348" t="s">
        <v>752</v>
      </c>
      <c r="H1348">
        <v>1</v>
      </c>
      <c r="I1348">
        <v>50</v>
      </c>
      <c r="J1348">
        <v>55</v>
      </c>
      <c r="K1348">
        <v>5</v>
      </c>
      <c r="L1348">
        <v>1</v>
      </c>
      <c r="M1348">
        <v>0</v>
      </c>
      <c r="N1348">
        <v>0</v>
      </c>
      <c r="O1348" t="s">
        <v>127</v>
      </c>
      <c r="P1348" t="s">
        <v>127</v>
      </c>
      <c r="Q1348" t="s">
        <v>127</v>
      </c>
    </row>
    <row r="1349" spans="1:17" x14ac:dyDescent="0.25">
      <c r="A1349" t="str">
        <f>IF(C1349&amp;G1349&amp;D1349&lt;&gt;'Funnel setup'!$K$3&amp;'Funnel setup'!$K$4&amp;'Funnel setup'!$K$6,".",IF(A1348=".",1,A1348+1))</f>
        <v>.</v>
      </c>
      <c r="B1349" s="244" t="str">
        <f t="shared" si="21"/>
        <v>Hip Replacement RevisionProviderBEDFORDSHIRE HOSPITALS NHS FOUNDATION TRUST (RC9)EQ VAS</v>
      </c>
      <c r="C1349" t="s">
        <v>967</v>
      </c>
      <c r="D1349" t="s">
        <v>965</v>
      </c>
      <c r="E1349" t="s">
        <v>158</v>
      </c>
      <c r="F1349" t="s">
        <v>159</v>
      </c>
      <c r="G1349" t="s">
        <v>752</v>
      </c>
      <c r="H1349">
        <v>3</v>
      </c>
      <c r="I1349">
        <v>56</v>
      </c>
      <c r="J1349">
        <v>63.333300000000001</v>
      </c>
      <c r="K1349">
        <v>7.3333300000000001</v>
      </c>
      <c r="L1349">
        <v>2</v>
      </c>
      <c r="M1349">
        <v>0</v>
      </c>
      <c r="N1349">
        <v>1</v>
      </c>
      <c r="O1349" t="s">
        <v>127</v>
      </c>
      <c r="P1349" t="s">
        <v>127</v>
      </c>
      <c r="Q1349" t="s">
        <v>127</v>
      </c>
    </row>
    <row r="1350" spans="1:17" x14ac:dyDescent="0.25">
      <c r="A1350" t="str">
        <f>IF(C1350&amp;G1350&amp;D1350&lt;&gt;'Funnel setup'!$K$3&amp;'Funnel setup'!$K$4&amp;'Funnel setup'!$K$6,".",IF(A1349=".",1,A1349+1))</f>
        <v>.</v>
      </c>
      <c r="B1350" s="244" t="str">
        <f t="shared" si="21"/>
        <v>Hip Replacement RevisionProviderBLACKPOOL TEACHING HOSPITALS NHS FOUNDATION TRUST (RXL)EQ VAS</v>
      </c>
      <c r="C1350" t="s">
        <v>967</v>
      </c>
      <c r="D1350" t="s">
        <v>965</v>
      </c>
      <c r="E1350" t="s">
        <v>170</v>
      </c>
      <c r="F1350" t="s">
        <v>171</v>
      </c>
      <c r="G1350" t="s">
        <v>752</v>
      </c>
      <c r="H1350">
        <v>1</v>
      </c>
      <c r="I1350">
        <v>70</v>
      </c>
      <c r="J1350">
        <v>100</v>
      </c>
      <c r="K1350">
        <v>30</v>
      </c>
      <c r="L1350">
        <v>1</v>
      </c>
      <c r="M1350">
        <v>0</v>
      </c>
      <c r="N1350">
        <v>0</v>
      </c>
      <c r="O1350" t="s">
        <v>127</v>
      </c>
      <c r="P1350" t="s">
        <v>127</v>
      </c>
      <c r="Q1350" t="s">
        <v>127</v>
      </c>
    </row>
    <row r="1351" spans="1:17" x14ac:dyDescent="0.25">
      <c r="A1351" t="str">
        <f>IF(C1351&amp;G1351&amp;D1351&lt;&gt;'Funnel setup'!$K$3&amp;'Funnel setup'!$K$4&amp;'Funnel setup'!$K$6,".",IF(A1350=".",1,A1350+1))</f>
        <v>.</v>
      </c>
      <c r="B1351" s="244" t="str">
        <f t="shared" si="21"/>
        <v>Hip Replacement RevisionProviderBRADFORD TEACHING HOSPITALS NHS FOUNDATION TRUST (RAE)EQ VAS</v>
      </c>
      <c r="C1351" t="s">
        <v>967</v>
      </c>
      <c r="D1351" t="s">
        <v>965</v>
      </c>
      <c r="E1351" t="s">
        <v>174</v>
      </c>
      <c r="F1351" t="s">
        <v>175</v>
      </c>
      <c r="G1351" t="s">
        <v>752</v>
      </c>
      <c r="H1351">
        <v>2</v>
      </c>
      <c r="I1351">
        <v>47.5</v>
      </c>
      <c r="J1351">
        <v>89</v>
      </c>
      <c r="K1351">
        <v>41.5</v>
      </c>
      <c r="L1351">
        <v>2</v>
      </c>
      <c r="M1351">
        <v>0</v>
      </c>
      <c r="N1351">
        <v>0</v>
      </c>
      <c r="O1351" t="s">
        <v>127</v>
      </c>
      <c r="P1351" t="s">
        <v>127</v>
      </c>
      <c r="Q1351" t="s">
        <v>127</v>
      </c>
    </row>
    <row r="1352" spans="1:17" x14ac:dyDescent="0.25">
      <c r="A1352" t="str">
        <f>IF(C1352&amp;G1352&amp;D1352&lt;&gt;'Funnel setup'!$K$3&amp;'Funnel setup'!$K$4&amp;'Funnel setup'!$K$6,".",IF(A1351=".",1,A1351+1))</f>
        <v>.</v>
      </c>
      <c r="B1352" s="244" t="str">
        <f t="shared" si="21"/>
        <v>Hip Replacement RevisionProviderBUCKINGHAMSHIRE HEALTHCARE NHS TRUST (RXQ)EQ VAS</v>
      </c>
      <c r="C1352" t="s">
        <v>967</v>
      </c>
      <c r="D1352" t="s">
        <v>965</v>
      </c>
      <c r="E1352" t="s">
        <v>178</v>
      </c>
      <c r="F1352" t="s">
        <v>179</v>
      </c>
      <c r="G1352" t="s">
        <v>752</v>
      </c>
      <c r="H1352">
        <v>8</v>
      </c>
      <c r="I1352">
        <v>73.5</v>
      </c>
      <c r="J1352">
        <v>76.25</v>
      </c>
      <c r="K1352">
        <v>2.75</v>
      </c>
      <c r="L1352">
        <v>4</v>
      </c>
      <c r="M1352">
        <v>0</v>
      </c>
      <c r="N1352">
        <v>4</v>
      </c>
      <c r="O1352" t="s">
        <v>127</v>
      </c>
      <c r="P1352" t="s">
        <v>127</v>
      </c>
      <c r="Q1352" t="s">
        <v>127</v>
      </c>
    </row>
    <row r="1353" spans="1:17" x14ac:dyDescent="0.25">
      <c r="A1353" t="str">
        <f>IF(C1353&amp;G1353&amp;D1353&lt;&gt;'Funnel setup'!$K$3&amp;'Funnel setup'!$K$4&amp;'Funnel setup'!$K$6,".",IF(A1352=".",1,A1352+1))</f>
        <v>.</v>
      </c>
      <c r="B1353" s="244" t="str">
        <f t="shared" si="21"/>
        <v>Hip Replacement RevisionProviderCALDERDALE AND HUDDERSFIELD NHS FOUNDATION TRUST (RWY)EQ VAS</v>
      </c>
      <c r="C1353" t="s">
        <v>967</v>
      </c>
      <c r="D1353" t="s">
        <v>965</v>
      </c>
      <c r="E1353" t="s">
        <v>180</v>
      </c>
      <c r="F1353" t="s">
        <v>181</v>
      </c>
      <c r="G1353" t="s">
        <v>752</v>
      </c>
      <c r="H1353">
        <v>5</v>
      </c>
      <c r="I1353">
        <v>47.6</v>
      </c>
      <c r="J1353">
        <v>51.8</v>
      </c>
      <c r="K1353">
        <v>4.2</v>
      </c>
      <c r="L1353">
        <v>3</v>
      </c>
      <c r="M1353">
        <v>0</v>
      </c>
      <c r="N1353">
        <v>2</v>
      </c>
      <c r="O1353" t="s">
        <v>127</v>
      </c>
      <c r="P1353" t="s">
        <v>127</v>
      </c>
      <c r="Q1353" t="s">
        <v>127</v>
      </c>
    </row>
    <row r="1354" spans="1:17" x14ac:dyDescent="0.25">
      <c r="A1354" t="str">
        <f>IF(C1354&amp;G1354&amp;D1354&lt;&gt;'Funnel setup'!$K$3&amp;'Funnel setup'!$K$4&amp;'Funnel setup'!$K$6,".",IF(A1353=".",1,A1353+1))</f>
        <v>.</v>
      </c>
      <c r="B1354" s="244" t="str">
        <f t="shared" si="21"/>
        <v>Hip Replacement RevisionProviderCAMBRIDGE UNIVERSITY HOSPITALS NHS FOUNDATION TRUST (RGT)EQ VAS</v>
      </c>
      <c r="C1354" t="s">
        <v>967</v>
      </c>
      <c r="D1354" t="s">
        <v>965</v>
      </c>
      <c r="E1354" t="s">
        <v>182</v>
      </c>
      <c r="F1354" t="s">
        <v>183</v>
      </c>
      <c r="G1354" t="s">
        <v>752</v>
      </c>
      <c r="H1354">
        <v>11</v>
      </c>
      <c r="I1354">
        <v>57.909100000000002</v>
      </c>
      <c r="J1354">
        <v>74.2727</v>
      </c>
      <c r="K1354">
        <v>16.363600000000002</v>
      </c>
      <c r="L1354">
        <v>10</v>
      </c>
      <c r="M1354">
        <v>0</v>
      </c>
      <c r="N1354">
        <v>1</v>
      </c>
      <c r="O1354" t="s">
        <v>127</v>
      </c>
      <c r="P1354" t="s">
        <v>127</v>
      </c>
      <c r="Q1354" t="s">
        <v>127</v>
      </c>
    </row>
    <row r="1355" spans="1:17" x14ac:dyDescent="0.25">
      <c r="A1355" t="str">
        <f>IF(C1355&amp;G1355&amp;D1355&lt;&gt;'Funnel setup'!$K$3&amp;'Funnel setup'!$K$4&amp;'Funnel setup'!$K$6,".",IF(A1354=".",1,A1354+1))</f>
        <v>.</v>
      </c>
      <c r="B1355" s="244" t="str">
        <f t="shared" si="21"/>
        <v>Hip Replacement RevisionProviderCHESTERFIELD ROYAL HOSPITAL NHS FOUNDATION TRUST (RFS)EQ VAS</v>
      </c>
      <c r="C1355" t="s">
        <v>967</v>
      </c>
      <c r="D1355" t="s">
        <v>965</v>
      </c>
      <c r="E1355" t="s">
        <v>192</v>
      </c>
      <c r="F1355" t="s">
        <v>193</v>
      </c>
      <c r="G1355" t="s">
        <v>752</v>
      </c>
      <c r="H1355">
        <v>4</v>
      </c>
      <c r="I1355">
        <v>67.25</v>
      </c>
      <c r="J1355">
        <v>45</v>
      </c>
      <c r="K1355">
        <v>-22.25</v>
      </c>
      <c r="L1355">
        <v>1</v>
      </c>
      <c r="M1355">
        <v>0</v>
      </c>
      <c r="N1355">
        <v>3</v>
      </c>
      <c r="O1355" t="s">
        <v>127</v>
      </c>
      <c r="P1355" t="s">
        <v>127</v>
      </c>
      <c r="Q1355" t="s">
        <v>127</v>
      </c>
    </row>
    <row r="1356" spans="1:17" x14ac:dyDescent="0.25">
      <c r="A1356" t="str">
        <f>IF(C1356&amp;G1356&amp;D1356&lt;&gt;'Funnel setup'!$K$3&amp;'Funnel setup'!$K$4&amp;'Funnel setup'!$K$6,".",IF(A1355=".",1,A1355+1))</f>
        <v>.</v>
      </c>
      <c r="B1356" s="244" t="str">
        <f t="shared" si="21"/>
        <v>Hip Replacement RevisionProviderCLIFTON PARK HOSPITAL (NVC28)EQ VAS</v>
      </c>
      <c r="C1356" t="s">
        <v>967</v>
      </c>
      <c r="D1356" t="s">
        <v>965</v>
      </c>
      <c r="E1356" t="s">
        <v>202</v>
      </c>
      <c r="F1356" t="s">
        <v>203</v>
      </c>
      <c r="G1356" t="s">
        <v>752</v>
      </c>
      <c r="H1356">
        <v>1</v>
      </c>
      <c r="I1356">
        <v>95</v>
      </c>
      <c r="J1356">
        <v>87</v>
      </c>
      <c r="K1356">
        <v>-8</v>
      </c>
      <c r="L1356">
        <v>0</v>
      </c>
      <c r="M1356">
        <v>0</v>
      </c>
      <c r="N1356">
        <v>1</v>
      </c>
      <c r="O1356" t="s">
        <v>127</v>
      </c>
      <c r="P1356" t="s">
        <v>127</v>
      </c>
      <c r="Q1356" t="s">
        <v>127</v>
      </c>
    </row>
    <row r="1357" spans="1:17" x14ac:dyDescent="0.25">
      <c r="A1357" t="str">
        <f>IF(C1357&amp;G1357&amp;D1357&lt;&gt;'Funnel setup'!$K$3&amp;'Funnel setup'!$K$4&amp;'Funnel setup'!$K$6,".",IF(A1356=".",1,A1356+1))</f>
        <v>.</v>
      </c>
      <c r="B1357" s="244" t="str">
        <f t="shared" si="21"/>
        <v>Hip Replacement RevisionProviderCOUNTY DURHAM AND DARLINGTON NHS FOUNDATION TRUST (RXP)EQ VAS</v>
      </c>
      <c r="C1357" t="s">
        <v>967</v>
      </c>
      <c r="D1357" t="s">
        <v>965</v>
      </c>
      <c r="E1357" t="s">
        <v>206</v>
      </c>
      <c r="F1357" t="s">
        <v>207</v>
      </c>
      <c r="G1357" t="s">
        <v>752</v>
      </c>
      <c r="H1357">
        <v>1</v>
      </c>
      <c r="I1357">
        <v>60</v>
      </c>
      <c r="J1357">
        <v>70</v>
      </c>
      <c r="K1357">
        <v>10</v>
      </c>
      <c r="L1357">
        <v>1</v>
      </c>
      <c r="M1357">
        <v>0</v>
      </c>
      <c r="N1357">
        <v>0</v>
      </c>
      <c r="O1357" t="s">
        <v>127</v>
      </c>
      <c r="P1357" t="s">
        <v>127</v>
      </c>
      <c r="Q1357" t="s">
        <v>127</v>
      </c>
    </row>
    <row r="1358" spans="1:17" x14ac:dyDescent="0.25">
      <c r="A1358" t="str">
        <f>IF(C1358&amp;G1358&amp;D1358&lt;&gt;'Funnel setup'!$K$3&amp;'Funnel setup'!$K$4&amp;'Funnel setup'!$K$6,".",IF(A1357=".",1,A1357+1))</f>
        <v>.</v>
      </c>
      <c r="B1358" s="244" t="str">
        <f t="shared" si="21"/>
        <v>Hip Replacement RevisionProviderDONCASTER AND BASSETLAW TEACHING HOSPITALS NHS FOUNDATION TRUST (RP5)EQ VAS</v>
      </c>
      <c r="C1358" t="s">
        <v>967</v>
      </c>
      <c r="D1358" t="s">
        <v>965</v>
      </c>
      <c r="E1358" t="s">
        <v>212</v>
      </c>
      <c r="F1358" t="s">
        <v>213</v>
      </c>
      <c r="G1358" t="s">
        <v>752</v>
      </c>
      <c r="H1358">
        <v>3</v>
      </c>
      <c r="I1358">
        <v>45</v>
      </c>
      <c r="J1358">
        <v>44.333300000000001</v>
      </c>
      <c r="K1358">
        <v>-0.66666700000000001</v>
      </c>
      <c r="L1358">
        <v>1</v>
      </c>
      <c r="M1358">
        <v>0</v>
      </c>
      <c r="N1358">
        <v>2</v>
      </c>
      <c r="O1358" t="s">
        <v>127</v>
      </c>
      <c r="P1358" t="s">
        <v>127</v>
      </c>
      <c r="Q1358" t="s">
        <v>127</v>
      </c>
    </row>
    <row r="1359" spans="1:17" x14ac:dyDescent="0.25">
      <c r="A1359" t="str">
        <f>IF(C1359&amp;G1359&amp;D1359&lt;&gt;'Funnel setup'!$K$3&amp;'Funnel setup'!$K$4&amp;'Funnel setup'!$K$6,".",IF(A1358=".",1,A1358+1))</f>
        <v>.</v>
      </c>
      <c r="B1359" s="244" t="str">
        <f t="shared" si="21"/>
        <v>Hip Replacement RevisionProviderDORSET COUNTY HOSPITAL NHS FOUNDATION TRUST (RBD)EQ VAS</v>
      </c>
      <c r="C1359" t="s">
        <v>967</v>
      </c>
      <c r="D1359" t="s">
        <v>965</v>
      </c>
      <c r="E1359" t="s">
        <v>214</v>
      </c>
      <c r="F1359" t="s">
        <v>215</v>
      </c>
      <c r="G1359" t="s">
        <v>752</v>
      </c>
      <c r="H1359">
        <v>1</v>
      </c>
      <c r="I1359">
        <v>70</v>
      </c>
      <c r="J1359">
        <v>90</v>
      </c>
      <c r="K1359">
        <v>20</v>
      </c>
      <c r="L1359">
        <v>1</v>
      </c>
      <c r="M1359">
        <v>0</v>
      </c>
      <c r="N1359">
        <v>0</v>
      </c>
      <c r="O1359" t="s">
        <v>127</v>
      </c>
      <c r="P1359" t="s">
        <v>127</v>
      </c>
      <c r="Q1359" t="s">
        <v>127</v>
      </c>
    </row>
    <row r="1360" spans="1:17" x14ac:dyDescent="0.25">
      <c r="A1360" t="str">
        <f>IF(C1360&amp;G1360&amp;D1360&lt;&gt;'Funnel setup'!$K$3&amp;'Funnel setup'!$K$4&amp;'Funnel setup'!$K$6,".",IF(A1359=".",1,A1359+1))</f>
        <v>.</v>
      </c>
      <c r="B1360" s="244" t="str">
        <f t="shared" si="21"/>
        <v>Hip Replacement RevisionProviderEAST AND NORTH HERTFORDSHIRE NHS TRUST (RWH)EQ VAS</v>
      </c>
      <c r="C1360" t="s">
        <v>967</v>
      </c>
      <c r="D1360" t="s">
        <v>965</v>
      </c>
      <c r="E1360" t="s">
        <v>224</v>
      </c>
      <c r="F1360" t="s">
        <v>225</v>
      </c>
      <c r="G1360" t="s">
        <v>752</v>
      </c>
      <c r="H1360">
        <v>10</v>
      </c>
      <c r="I1360">
        <v>65</v>
      </c>
      <c r="J1360">
        <v>76.5</v>
      </c>
      <c r="K1360">
        <v>11.5</v>
      </c>
      <c r="L1360">
        <v>5</v>
      </c>
      <c r="M1360">
        <v>2</v>
      </c>
      <c r="N1360">
        <v>3</v>
      </c>
      <c r="O1360" t="s">
        <v>127</v>
      </c>
      <c r="P1360" t="s">
        <v>127</v>
      </c>
      <c r="Q1360" t="s">
        <v>127</v>
      </c>
    </row>
    <row r="1361" spans="1:17" x14ac:dyDescent="0.25">
      <c r="A1361" t="str">
        <f>IF(C1361&amp;G1361&amp;D1361&lt;&gt;'Funnel setup'!$K$3&amp;'Funnel setup'!$K$4&amp;'Funnel setup'!$K$6,".",IF(A1360=".",1,A1360+1))</f>
        <v>.</v>
      </c>
      <c r="B1361" s="244" t="str">
        <f t="shared" si="21"/>
        <v>Hip Replacement RevisionProviderEAST KENT HOSPITALS UNIVERSITY NHS FOUNDATION TRUST (RVV)EQ VAS</v>
      </c>
      <c r="C1361" t="s">
        <v>967</v>
      </c>
      <c r="D1361" t="s">
        <v>965</v>
      </c>
      <c r="E1361" t="s">
        <v>228</v>
      </c>
      <c r="F1361" t="s">
        <v>229</v>
      </c>
      <c r="G1361" t="s">
        <v>752</v>
      </c>
      <c r="H1361">
        <v>9</v>
      </c>
      <c r="I1361">
        <v>43.8889</v>
      </c>
      <c r="J1361">
        <v>67.222200000000001</v>
      </c>
      <c r="K1361">
        <v>23.333300000000001</v>
      </c>
      <c r="L1361">
        <v>8</v>
      </c>
      <c r="M1361">
        <v>0</v>
      </c>
      <c r="N1361">
        <v>1</v>
      </c>
      <c r="O1361" t="s">
        <v>127</v>
      </c>
      <c r="P1361" t="s">
        <v>127</v>
      </c>
      <c r="Q1361" t="s">
        <v>127</v>
      </c>
    </row>
    <row r="1362" spans="1:17" x14ac:dyDescent="0.25">
      <c r="A1362" t="str">
        <f>IF(C1362&amp;G1362&amp;D1362&lt;&gt;'Funnel setup'!$K$3&amp;'Funnel setup'!$K$4&amp;'Funnel setup'!$K$6,".",IF(A1361=".",1,A1361+1))</f>
        <v>.</v>
      </c>
      <c r="B1362" s="244" t="str">
        <f t="shared" si="21"/>
        <v>Hip Replacement RevisionProviderEAST SUFFOLK AND NORTH ESSEX NHS FOUNDATION TRUST (RDE)EQ VAS</v>
      </c>
      <c r="C1362" t="s">
        <v>967</v>
      </c>
      <c r="D1362" t="s">
        <v>965</v>
      </c>
      <c r="E1362" t="s">
        <v>232</v>
      </c>
      <c r="F1362" t="s">
        <v>233</v>
      </c>
      <c r="G1362" t="s">
        <v>752</v>
      </c>
      <c r="H1362">
        <v>6</v>
      </c>
      <c r="I1362">
        <v>58.5</v>
      </c>
      <c r="J1362">
        <v>84.166700000000006</v>
      </c>
      <c r="K1362">
        <v>25.666699999999999</v>
      </c>
      <c r="L1362">
        <v>5</v>
      </c>
      <c r="M1362">
        <v>1</v>
      </c>
      <c r="N1362">
        <v>0</v>
      </c>
      <c r="O1362" t="s">
        <v>127</v>
      </c>
      <c r="P1362" t="s">
        <v>127</v>
      </c>
      <c r="Q1362" t="s">
        <v>127</v>
      </c>
    </row>
    <row r="1363" spans="1:17" x14ac:dyDescent="0.25">
      <c r="A1363" t="str">
        <f>IF(C1363&amp;G1363&amp;D1363&lt;&gt;'Funnel setup'!$K$3&amp;'Funnel setup'!$K$4&amp;'Funnel setup'!$K$6,".",IF(A1362=".",1,A1362+1))</f>
        <v>.</v>
      </c>
      <c r="B1363" s="244" t="str">
        <f t="shared" si="21"/>
        <v>Hip Replacement RevisionProviderEAST SUSSEX HEALTHCARE NHS TRUST (RXC)EQ VAS</v>
      </c>
      <c r="C1363" t="s">
        <v>967</v>
      </c>
      <c r="D1363" t="s">
        <v>965</v>
      </c>
      <c r="E1363" t="s">
        <v>234</v>
      </c>
      <c r="F1363" t="s">
        <v>235</v>
      </c>
      <c r="G1363" t="s">
        <v>752</v>
      </c>
      <c r="H1363">
        <v>8</v>
      </c>
      <c r="I1363">
        <v>59.5</v>
      </c>
      <c r="J1363">
        <v>63.75</v>
      </c>
      <c r="K1363">
        <v>4.25</v>
      </c>
      <c r="L1363">
        <v>5</v>
      </c>
      <c r="M1363">
        <v>1</v>
      </c>
      <c r="N1363">
        <v>2</v>
      </c>
      <c r="O1363" t="s">
        <v>127</v>
      </c>
      <c r="P1363" t="s">
        <v>127</v>
      </c>
      <c r="Q1363" t="s">
        <v>127</v>
      </c>
    </row>
    <row r="1364" spans="1:17" x14ac:dyDescent="0.25">
      <c r="A1364" t="str">
        <f>IF(C1364&amp;G1364&amp;D1364&lt;&gt;'Funnel setup'!$K$3&amp;'Funnel setup'!$K$4&amp;'Funnel setup'!$K$6,".",IF(A1363=".",1,A1363+1))</f>
        <v>.</v>
      </c>
      <c r="B1364" s="244" t="str">
        <f t="shared" si="21"/>
        <v>Hip Replacement RevisionProviderEPSOM AND ST HELIER UNIVERSITY HOSPITALS NHS TRUST (RVR)EQ VAS</v>
      </c>
      <c r="C1364" t="s">
        <v>967</v>
      </c>
      <c r="D1364" t="s">
        <v>965</v>
      </c>
      <c r="E1364" t="s">
        <v>238</v>
      </c>
      <c r="F1364" t="s">
        <v>239</v>
      </c>
      <c r="G1364" t="s">
        <v>752</v>
      </c>
      <c r="H1364">
        <v>33</v>
      </c>
      <c r="I1364">
        <v>59.060600000000001</v>
      </c>
      <c r="J1364">
        <v>71.606099999999998</v>
      </c>
      <c r="K1364">
        <v>12.545500000000001</v>
      </c>
      <c r="L1364">
        <v>22</v>
      </c>
      <c r="M1364">
        <v>5</v>
      </c>
      <c r="N1364">
        <v>6</v>
      </c>
      <c r="O1364">
        <v>72.087800000000001</v>
      </c>
      <c r="P1364">
        <v>11.157400000000001</v>
      </c>
      <c r="Q1364">
        <v>15.228300000000001</v>
      </c>
    </row>
    <row r="1365" spans="1:17" x14ac:dyDescent="0.25">
      <c r="A1365" t="str">
        <f>IF(C1365&amp;G1365&amp;D1365&lt;&gt;'Funnel setup'!$K$3&amp;'Funnel setup'!$K$4&amp;'Funnel setup'!$K$6,".",IF(A1364=".",1,A1364+1))</f>
        <v>.</v>
      </c>
      <c r="B1365" s="244" t="str">
        <f t="shared" si="21"/>
        <v>Hip Replacement RevisionProviderFITZWILLIAM HOSPITAL (NVC06)EQ VAS</v>
      </c>
      <c r="C1365" t="s">
        <v>967</v>
      </c>
      <c r="D1365" t="s">
        <v>965</v>
      </c>
      <c r="E1365" t="s">
        <v>244</v>
      </c>
      <c r="F1365" t="s">
        <v>245</v>
      </c>
      <c r="G1365" t="s">
        <v>752</v>
      </c>
      <c r="H1365" t="s">
        <v>127</v>
      </c>
      <c r="I1365" t="s">
        <v>127</v>
      </c>
      <c r="J1365" t="s">
        <v>127</v>
      </c>
      <c r="K1365" t="s">
        <v>127</v>
      </c>
      <c r="L1365" t="s">
        <v>127</v>
      </c>
      <c r="M1365" t="s">
        <v>127</v>
      </c>
      <c r="N1365" t="s">
        <v>127</v>
      </c>
      <c r="O1365" t="s">
        <v>127</v>
      </c>
      <c r="P1365" t="s">
        <v>127</v>
      </c>
      <c r="Q1365" t="s">
        <v>127</v>
      </c>
    </row>
    <row r="1366" spans="1:17" x14ac:dyDescent="0.25">
      <c r="A1366" t="str">
        <f>IF(C1366&amp;G1366&amp;D1366&lt;&gt;'Funnel setup'!$K$3&amp;'Funnel setup'!$K$4&amp;'Funnel setup'!$K$6,".",IF(A1365=".",1,A1365+1))</f>
        <v>.</v>
      </c>
      <c r="B1366" s="244" t="str">
        <f t="shared" si="21"/>
        <v>Hip Replacement RevisionProviderFRIMLEY HEALTH NHS FOUNDATION TRUST (RDU)EQ VAS</v>
      </c>
      <c r="C1366" t="s">
        <v>967</v>
      </c>
      <c r="D1366" t="s">
        <v>965</v>
      </c>
      <c r="E1366" t="s">
        <v>248</v>
      </c>
      <c r="F1366" t="s">
        <v>249</v>
      </c>
      <c r="G1366" t="s">
        <v>752</v>
      </c>
      <c r="H1366">
        <v>12</v>
      </c>
      <c r="I1366">
        <v>68.75</v>
      </c>
      <c r="J1366">
        <v>74.166700000000006</v>
      </c>
      <c r="K1366">
        <v>5.4166699999999999</v>
      </c>
      <c r="L1366">
        <v>6</v>
      </c>
      <c r="M1366">
        <v>2</v>
      </c>
      <c r="N1366">
        <v>4</v>
      </c>
      <c r="O1366" t="s">
        <v>127</v>
      </c>
      <c r="P1366" t="s">
        <v>127</v>
      </c>
      <c r="Q1366" t="s">
        <v>127</v>
      </c>
    </row>
    <row r="1367" spans="1:17" x14ac:dyDescent="0.25">
      <c r="A1367" t="str">
        <f>IF(C1367&amp;G1367&amp;D1367&lt;&gt;'Funnel setup'!$K$3&amp;'Funnel setup'!$K$4&amp;'Funnel setup'!$K$6,".",IF(A1366=".",1,A1366+1))</f>
        <v>.</v>
      </c>
      <c r="B1367" s="244" t="str">
        <f t="shared" si="21"/>
        <v>Hip Replacement RevisionProviderGATESHEAD HEALTH NHS FOUNDATION TRUST (RR7)EQ VAS</v>
      </c>
      <c r="C1367" t="s">
        <v>967</v>
      </c>
      <c r="D1367" t="s">
        <v>965</v>
      </c>
      <c r="E1367" t="s">
        <v>252</v>
      </c>
      <c r="F1367" t="s">
        <v>253</v>
      </c>
      <c r="G1367" t="s">
        <v>752</v>
      </c>
      <c r="H1367">
        <v>3</v>
      </c>
      <c r="I1367">
        <v>36.666699999999999</v>
      </c>
      <c r="J1367">
        <v>43.333300000000001</v>
      </c>
      <c r="K1367">
        <v>6.6666699999999999</v>
      </c>
      <c r="L1367">
        <v>2</v>
      </c>
      <c r="M1367">
        <v>0</v>
      </c>
      <c r="N1367">
        <v>1</v>
      </c>
      <c r="O1367" t="s">
        <v>127</v>
      </c>
      <c r="P1367" t="s">
        <v>127</v>
      </c>
      <c r="Q1367" t="s">
        <v>127</v>
      </c>
    </row>
    <row r="1368" spans="1:17" x14ac:dyDescent="0.25">
      <c r="A1368" t="str">
        <f>IF(C1368&amp;G1368&amp;D1368&lt;&gt;'Funnel setup'!$K$3&amp;'Funnel setup'!$K$4&amp;'Funnel setup'!$K$6,".",IF(A1367=".",1,A1367+1))</f>
        <v>.</v>
      </c>
      <c r="B1368" s="244" t="str">
        <f t="shared" si="21"/>
        <v>Hip Replacement RevisionProviderGLOUCESTERSHIRE HOSPITALS NHS FOUNDATION TRUST (RTE)EQ VAS</v>
      </c>
      <c r="C1368" t="s">
        <v>967</v>
      </c>
      <c r="D1368" t="s">
        <v>965</v>
      </c>
      <c r="E1368" t="s">
        <v>256</v>
      </c>
      <c r="F1368" t="s">
        <v>257</v>
      </c>
      <c r="G1368" t="s">
        <v>752</v>
      </c>
      <c r="H1368">
        <v>1</v>
      </c>
      <c r="I1368">
        <v>40</v>
      </c>
      <c r="J1368">
        <v>80</v>
      </c>
      <c r="K1368">
        <v>40</v>
      </c>
      <c r="L1368">
        <v>1</v>
      </c>
      <c r="M1368">
        <v>0</v>
      </c>
      <c r="N1368">
        <v>0</v>
      </c>
      <c r="O1368" t="s">
        <v>127</v>
      </c>
      <c r="P1368" t="s">
        <v>127</v>
      </c>
      <c r="Q1368" t="s">
        <v>127</v>
      </c>
    </row>
    <row r="1369" spans="1:17" x14ac:dyDescent="0.25">
      <c r="A1369" t="str">
        <f>IF(C1369&amp;G1369&amp;D1369&lt;&gt;'Funnel setup'!$K$3&amp;'Funnel setup'!$K$4&amp;'Funnel setup'!$K$6,".",IF(A1368=".",1,A1368+1))</f>
        <v>.</v>
      </c>
      <c r="B1369" s="244" t="str">
        <f t="shared" si="21"/>
        <v>Hip Replacement RevisionProviderGORING HALL HOSPITAL (NT417)EQ VAS</v>
      </c>
      <c r="C1369" t="s">
        <v>967</v>
      </c>
      <c r="D1369" t="s">
        <v>965</v>
      </c>
      <c r="E1369" t="s">
        <v>258</v>
      </c>
      <c r="F1369" t="s">
        <v>259</v>
      </c>
      <c r="G1369" t="s">
        <v>752</v>
      </c>
      <c r="H1369">
        <v>1</v>
      </c>
      <c r="I1369">
        <v>55</v>
      </c>
      <c r="J1369">
        <v>20</v>
      </c>
      <c r="K1369">
        <v>-35</v>
      </c>
      <c r="L1369">
        <v>0</v>
      </c>
      <c r="M1369">
        <v>0</v>
      </c>
      <c r="N1369">
        <v>1</v>
      </c>
      <c r="O1369" t="s">
        <v>127</v>
      </c>
      <c r="P1369" t="s">
        <v>127</v>
      </c>
      <c r="Q1369" t="s">
        <v>127</v>
      </c>
    </row>
    <row r="1370" spans="1:17" x14ac:dyDescent="0.25">
      <c r="A1370" t="str">
        <f>IF(C1370&amp;G1370&amp;D1370&lt;&gt;'Funnel setup'!$K$3&amp;'Funnel setup'!$K$4&amp;'Funnel setup'!$K$6,".",IF(A1369=".",1,A1369+1))</f>
        <v>.</v>
      </c>
      <c r="B1370" s="244" t="str">
        <f t="shared" si="21"/>
        <v>Hip Replacement RevisionProviderGUY'S AND ST THOMAS' NHS FOUNDATION TRUST (RJ1)EQ VAS</v>
      </c>
      <c r="C1370" t="s">
        <v>967</v>
      </c>
      <c r="D1370" t="s">
        <v>965</v>
      </c>
      <c r="E1370" t="s">
        <v>262</v>
      </c>
      <c r="F1370" t="s">
        <v>263</v>
      </c>
      <c r="G1370" t="s">
        <v>752</v>
      </c>
      <c r="H1370">
        <v>12</v>
      </c>
      <c r="I1370">
        <v>56.75</v>
      </c>
      <c r="J1370">
        <v>53.5</v>
      </c>
      <c r="K1370">
        <v>-3.25</v>
      </c>
      <c r="L1370">
        <v>7</v>
      </c>
      <c r="M1370">
        <v>0</v>
      </c>
      <c r="N1370">
        <v>5</v>
      </c>
      <c r="O1370" t="s">
        <v>127</v>
      </c>
      <c r="P1370" t="s">
        <v>127</v>
      </c>
      <c r="Q1370" t="s">
        <v>127</v>
      </c>
    </row>
    <row r="1371" spans="1:17" x14ac:dyDescent="0.25">
      <c r="A1371" t="str">
        <f>IF(C1371&amp;G1371&amp;D1371&lt;&gt;'Funnel setup'!$K$3&amp;'Funnel setup'!$K$4&amp;'Funnel setup'!$K$6,".",IF(A1370=".",1,A1370+1))</f>
        <v>.</v>
      </c>
      <c r="B1371" s="244" t="str">
        <f t="shared" si="21"/>
        <v>Hip Replacement RevisionProviderHAMPSHIRE HOSPITALS NHS FOUNDATION TRUST (RN5)EQ VAS</v>
      </c>
      <c r="C1371" t="s">
        <v>967</v>
      </c>
      <c r="D1371" t="s">
        <v>965</v>
      </c>
      <c r="E1371" t="s">
        <v>266</v>
      </c>
      <c r="F1371" t="s">
        <v>267</v>
      </c>
      <c r="G1371" t="s">
        <v>752</v>
      </c>
      <c r="H1371">
        <v>1</v>
      </c>
      <c r="I1371">
        <v>50</v>
      </c>
      <c r="J1371">
        <v>50</v>
      </c>
      <c r="K1371">
        <v>0</v>
      </c>
      <c r="L1371">
        <v>0</v>
      </c>
      <c r="M1371">
        <v>1</v>
      </c>
      <c r="N1371">
        <v>0</v>
      </c>
      <c r="O1371" t="s">
        <v>127</v>
      </c>
      <c r="P1371" t="s">
        <v>127</v>
      </c>
      <c r="Q1371" t="s">
        <v>127</v>
      </c>
    </row>
    <row r="1372" spans="1:17" x14ac:dyDescent="0.25">
      <c r="A1372" t="str">
        <f>IF(C1372&amp;G1372&amp;D1372&lt;&gt;'Funnel setup'!$K$3&amp;'Funnel setup'!$K$4&amp;'Funnel setup'!$K$6,".",IF(A1371=".",1,A1371+1))</f>
        <v>.</v>
      </c>
      <c r="B1372" s="244" t="str">
        <f t="shared" si="21"/>
        <v>Hip Replacement RevisionProviderHARROGATE AND DISTRICT NHS FOUNDATION TRUST (RCD)EQ VAS</v>
      </c>
      <c r="C1372" t="s">
        <v>967</v>
      </c>
      <c r="D1372" t="s">
        <v>965</v>
      </c>
      <c r="E1372" t="s">
        <v>270</v>
      </c>
      <c r="F1372" t="s">
        <v>271</v>
      </c>
      <c r="G1372" t="s">
        <v>752</v>
      </c>
      <c r="H1372">
        <v>5</v>
      </c>
      <c r="I1372">
        <v>75</v>
      </c>
      <c r="J1372">
        <v>68</v>
      </c>
      <c r="K1372">
        <v>-7</v>
      </c>
      <c r="L1372">
        <v>1</v>
      </c>
      <c r="M1372">
        <v>1</v>
      </c>
      <c r="N1372">
        <v>3</v>
      </c>
      <c r="O1372" t="s">
        <v>127</v>
      </c>
      <c r="P1372" t="s">
        <v>127</v>
      </c>
      <c r="Q1372" t="s">
        <v>127</v>
      </c>
    </row>
    <row r="1373" spans="1:17" x14ac:dyDescent="0.25">
      <c r="A1373" t="str">
        <f>IF(C1373&amp;G1373&amp;D1373&lt;&gt;'Funnel setup'!$K$3&amp;'Funnel setup'!$K$4&amp;'Funnel setup'!$K$6,".",IF(A1372=".",1,A1372+1))</f>
        <v>.</v>
      </c>
      <c r="B1373" s="244" t="str">
        <f t="shared" si="21"/>
        <v>Hip Replacement RevisionProviderHULL UNIVERSITY TEACHING HOSPITALS NHS TRUST (RWA)EQ VAS</v>
      </c>
      <c r="C1373" t="s">
        <v>967</v>
      </c>
      <c r="D1373" t="s">
        <v>965</v>
      </c>
      <c r="E1373" t="s">
        <v>278</v>
      </c>
      <c r="F1373" t="s">
        <v>279</v>
      </c>
      <c r="G1373" t="s">
        <v>752</v>
      </c>
      <c r="H1373">
        <v>4</v>
      </c>
      <c r="I1373">
        <v>55.75</v>
      </c>
      <c r="J1373">
        <v>70</v>
      </c>
      <c r="K1373">
        <v>14.25</v>
      </c>
      <c r="L1373">
        <v>3</v>
      </c>
      <c r="M1373">
        <v>0</v>
      </c>
      <c r="N1373">
        <v>1</v>
      </c>
      <c r="O1373" t="s">
        <v>127</v>
      </c>
      <c r="P1373" t="s">
        <v>127</v>
      </c>
      <c r="Q1373" t="s">
        <v>127</v>
      </c>
    </row>
    <row r="1374" spans="1:17" x14ac:dyDescent="0.25">
      <c r="A1374" t="str">
        <f>IF(C1374&amp;G1374&amp;D1374&lt;&gt;'Funnel setup'!$K$3&amp;'Funnel setup'!$K$4&amp;'Funnel setup'!$K$6,".",IF(A1373=".",1,A1373+1))</f>
        <v>.</v>
      </c>
      <c r="B1374" s="244" t="str">
        <f t="shared" si="21"/>
        <v>Hip Replacement RevisionProviderIMPERIAL COLLEGE HEALTHCARE NHS TRUST (RYJ)EQ VAS</v>
      </c>
      <c r="C1374" t="s">
        <v>967</v>
      </c>
      <c r="D1374" t="s">
        <v>965</v>
      </c>
      <c r="E1374" t="s">
        <v>280</v>
      </c>
      <c r="F1374" t="s">
        <v>281</v>
      </c>
      <c r="G1374" t="s">
        <v>752</v>
      </c>
      <c r="H1374">
        <v>2</v>
      </c>
      <c r="I1374">
        <v>80</v>
      </c>
      <c r="J1374">
        <v>65</v>
      </c>
      <c r="K1374">
        <v>-15</v>
      </c>
      <c r="L1374">
        <v>0</v>
      </c>
      <c r="M1374">
        <v>1</v>
      </c>
      <c r="N1374">
        <v>1</v>
      </c>
      <c r="O1374" t="s">
        <v>127</v>
      </c>
      <c r="P1374" t="s">
        <v>127</v>
      </c>
      <c r="Q1374" t="s">
        <v>127</v>
      </c>
    </row>
    <row r="1375" spans="1:17" x14ac:dyDescent="0.25">
      <c r="A1375" t="str">
        <f>IF(C1375&amp;G1375&amp;D1375&lt;&gt;'Funnel setup'!$K$3&amp;'Funnel setup'!$K$4&amp;'Funnel setup'!$K$6,".",IF(A1374=".",1,A1374+1))</f>
        <v>.</v>
      </c>
      <c r="B1375" s="244" t="str">
        <f t="shared" si="21"/>
        <v>Hip Replacement RevisionProviderJAMES PAGET UNIVERSITY HOSPITALS NHS FOUNDATION TRUST (RGP)EQ VAS</v>
      </c>
      <c r="C1375" t="s">
        <v>967</v>
      </c>
      <c r="D1375" t="s">
        <v>965</v>
      </c>
      <c r="E1375" t="s">
        <v>284</v>
      </c>
      <c r="F1375" t="s">
        <v>285</v>
      </c>
      <c r="G1375" t="s">
        <v>752</v>
      </c>
      <c r="H1375">
        <v>1</v>
      </c>
      <c r="I1375">
        <v>40</v>
      </c>
      <c r="J1375">
        <v>65</v>
      </c>
      <c r="K1375">
        <v>25</v>
      </c>
      <c r="L1375">
        <v>1</v>
      </c>
      <c r="M1375">
        <v>0</v>
      </c>
      <c r="N1375">
        <v>0</v>
      </c>
      <c r="O1375" t="s">
        <v>127</v>
      </c>
      <c r="P1375" t="s">
        <v>127</v>
      </c>
      <c r="Q1375" t="s">
        <v>127</v>
      </c>
    </row>
    <row r="1376" spans="1:17" x14ac:dyDescent="0.25">
      <c r="A1376" t="str">
        <f>IF(C1376&amp;G1376&amp;D1376&lt;&gt;'Funnel setup'!$K$3&amp;'Funnel setup'!$K$4&amp;'Funnel setup'!$K$6,".",IF(A1375=".",1,A1375+1))</f>
        <v>.</v>
      </c>
      <c r="B1376" s="244" t="str">
        <f t="shared" si="21"/>
        <v>Hip Replacement RevisionProviderKETTERING GENERAL HOSPITAL NHS FOUNDATION TRUST (RNQ)EQ VAS</v>
      </c>
      <c r="C1376" t="s">
        <v>967</v>
      </c>
      <c r="D1376" t="s">
        <v>965</v>
      </c>
      <c r="E1376" t="s">
        <v>286</v>
      </c>
      <c r="F1376" t="s">
        <v>287</v>
      </c>
      <c r="G1376" t="s">
        <v>752</v>
      </c>
      <c r="H1376">
        <v>5</v>
      </c>
      <c r="I1376">
        <v>40.799999999999997</v>
      </c>
      <c r="J1376">
        <v>74</v>
      </c>
      <c r="K1376">
        <v>33.200000000000003</v>
      </c>
      <c r="L1376">
        <v>3</v>
      </c>
      <c r="M1376">
        <v>1</v>
      </c>
      <c r="N1376">
        <v>1</v>
      </c>
      <c r="O1376" t="s">
        <v>127</v>
      </c>
      <c r="P1376" t="s">
        <v>127</v>
      </c>
      <c r="Q1376" t="s">
        <v>127</v>
      </c>
    </row>
    <row r="1377" spans="1:17" x14ac:dyDescent="0.25">
      <c r="A1377" t="str">
        <f>IF(C1377&amp;G1377&amp;D1377&lt;&gt;'Funnel setup'!$K$3&amp;'Funnel setup'!$K$4&amp;'Funnel setup'!$K$6,".",IF(A1376=".",1,A1376+1))</f>
        <v>.</v>
      </c>
      <c r="B1377" s="244" t="str">
        <f t="shared" si="21"/>
        <v>Hip Replacement RevisionProviderKING'S COLLEGE HOSPITAL NHS FOUNDATION TRUST (RJZ)EQ VAS</v>
      </c>
      <c r="C1377" t="s">
        <v>967</v>
      </c>
      <c r="D1377" t="s">
        <v>965</v>
      </c>
      <c r="E1377" t="s">
        <v>290</v>
      </c>
      <c r="F1377" t="s">
        <v>291</v>
      </c>
      <c r="G1377" t="s">
        <v>752</v>
      </c>
      <c r="H1377">
        <v>1</v>
      </c>
      <c r="I1377">
        <v>59</v>
      </c>
      <c r="J1377">
        <v>79</v>
      </c>
      <c r="K1377">
        <v>20</v>
      </c>
      <c r="L1377">
        <v>1</v>
      </c>
      <c r="M1377">
        <v>0</v>
      </c>
      <c r="N1377">
        <v>0</v>
      </c>
      <c r="O1377" t="s">
        <v>127</v>
      </c>
      <c r="P1377" t="s">
        <v>127</v>
      </c>
      <c r="Q1377" t="s">
        <v>127</v>
      </c>
    </row>
    <row r="1378" spans="1:17" x14ac:dyDescent="0.25">
      <c r="A1378" t="str">
        <f>IF(C1378&amp;G1378&amp;D1378&lt;&gt;'Funnel setup'!$K$3&amp;'Funnel setup'!$K$4&amp;'Funnel setup'!$K$6,".",IF(A1377=".",1,A1377+1))</f>
        <v>.</v>
      </c>
      <c r="B1378" s="244" t="str">
        <f t="shared" si="21"/>
        <v>Hip Replacement RevisionProviderLANCASHIRE TEACHING HOSPITALS NHS FOUNDATION TRUST (RXN)EQ VAS</v>
      </c>
      <c r="C1378" t="s">
        <v>967</v>
      </c>
      <c r="D1378" t="s">
        <v>965</v>
      </c>
      <c r="E1378" t="s">
        <v>296</v>
      </c>
      <c r="F1378" t="s">
        <v>297</v>
      </c>
      <c r="G1378" t="s">
        <v>752</v>
      </c>
      <c r="H1378">
        <v>6</v>
      </c>
      <c r="I1378">
        <v>57.5</v>
      </c>
      <c r="J1378">
        <v>59.166699999999999</v>
      </c>
      <c r="K1378">
        <v>1.6666700000000001</v>
      </c>
      <c r="L1378">
        <v>4</v>
      </c>
      <c r="M1378">
        <v>0</v>
      </c>
      <c r="N1378">
        <v>2</v>
      </c>
      <c r="O1378" t="s">
        <v>127</v>
      </c>
      <c r="P1378" t="s">
        <v>127</v>
      </c>
      <c r="Q1378" t="s">
        <v>127</v>
      </c>
    </row>
    <row r="1379" spans="1:17" x14ac:dyDescent="0.25">
      <c r="A1379" t="str">
        <f>IF(C1379&amp;G1379&amp;D1379&lt;&gt;'Funnel setup'!$K$3&amp;'Funnel setup'!$K$4&amp;'Funnel setup'!$K$6,".",IF(A1378=".",1,A1378+1))</f>
        <v>.</v>
      </c>
      <c r="B1379" s="244" t="str">
        <f t="shared" si="21"/>
        <v>Hip Replacement RevisionProviderLEEDS TEACHING HOSPITALS NHS TRUST (RR8)EQ VAS</v>
      </c>
      <c r="C1379" t="s">
        <v>967</v>
      </c>
      <c r="D1379" t="s">
        <v>965</v>
      </c>
      <c r="E1379" t="s">
        <v>300</v>
      </c>
      <c r="F1379" t="s">
        <v>301</v>
      </c>
      <c r="G1379" t="s">
        <v>752</v>
      </c>
      <c r="H1379">
        <v>16</v>
      </c>
      <c r="I1379">
        <v>63</v>
      </c>
      <c r="J1379">
        <v>66.875</v>
      </c>
      <c r="K1379">
        <v>3.875</v>
      </c>
      <c r="L1379">
        <v>13</v>
      </c>
      <c r="M1379">
        <v>0</v>
      </c>
      <c r="N1379">
        <v>3</v>
      </c>
      <c r="O1379" t="s">
        <v>127</v>
      </c>
      <c r="P1379" t="s">
        <v>127</v>
      </c>
      <c r="Q1379" t="s">
        <v>127</v>
      </c>
    </row>
    <row r="1380" spans="1:17" x14ac:dyDescent="0.25">
      <c r="A1380" t="str">
        <f>IF(C1380&amp;G1380&amp;D1380&lt;&gt;'Funnel setup'!$K$3&amp;'Funnel setup'!$K$4&amp;'Funnel setup'!$K$6,".",IF(A1379=".",1,A1379+1))</f>
        <v>.</v>
      </c>
      <c r="B1380" s="244" t="str">
        <f t="shared" si="21"/>
        <v>Hip Replacement RevisionProviderLIVERPOOL UNIVERSITY HOSPITALS NHS FOUNDATION TRUST (REM)EQ VAS</v>
      </c>
      <c r="C1380" t="s">
        <v>967</v>
      </c>
      <c r="D1380" t="s">
        <v>965</v>
      </c>
      <c r="E1380" t="s">
        <v>306</v>
      </c>
      <c r="F1380" t="s">
        <v>307</v>
      </c>
      <c r="G1380" t="s">
        <v>752</v>
      </c>
      <c r="H1380">
        <v>8</v>
      </c>
      <c r="I1380">
        <v>66.25</v>
      </c>
      <c r="J1380">
        <v>62.125</v>
      </c>
      <c r="K1380">
        <v>-4.125</v>
      </c>
      <c r="L1380">
        <v>2</v>
      </c>
      <c r="M1380">
        <v>2</v>
      </c>
      <c r="N1380">
        <v>4</v>
      </c>
      <c r="O1380" t="s">
        <v>127</v>
      </c>
      <c r="P1380" t="s">
        <v>127</v>
      </c>
      <c r="Q1380" t="s">
        <v>127</v>
      </c>
    </row>
    <row r="1381" spans="1:17" x14ac:dyDescent="0.25">
      <c r="A1381" t="str">
        <f>IF(C1381&amp;G1381&amp;D1381&lt;&gt;'Funnel setup'!$K$3&amp;'Funnel setup'!$K$4&amp;'Funnel setup'!$K$6,".",IF(A1380=".",1,A1380+1))</f>
        <v>.</v>
      </c>
      <c r="B1381" s="244" t="str">
        <f t="shared" si="21"/>
        <v>Hip Replacement RevisionProviderMAIDSTONE AND TUNBRIDGE WELLS NHS TRUST (RWF)EQ VAS</v>
      </c>
      <c r="C1381" t="s">
        <v>967</v>
      </c>
      <c r="D1381" t="s">
        <v>965</v>
      </c>
      <c r="E1381" t="s">
        <v>312</v>
      </c>
      <c r="F1381" t="s">
        <v>313</v>
      </c>
      <c r="G1381" t="s">
        <v>752</v>
      </c>
      <c r="H1381">
        <v>4</v>
      </c>
      <c r="I1381">
        <v>53.5</v>
      </c>
      <c r="J1381">
        <v>68</v>
      </c>
      <c r="K1381">
        <v>14.5</v>
      </c>
      <c r="L1381">
        <v>3</v>
      </c>
      <c r="M1381">
        <v>0</v>
      </c>
      <c r="N1381">
        <v>1</v>
      </c>
      <c r="O1381" t="s">
        <v>127</v>
      </c>
      <c r="P1381" t="s">
        <v>127</v>
      </c>
      <c r="Q1381" t="s">
        <v>127</v>
      </c>
    </row>
    <row r="1382" spans="1:17" x14ac:dyDescent="0.25">
      <c r="A1382" t="str">
        <f>IF(C1382&amp;G1382&amp;D1382&lt;&gt;'Funnel setup'!$K$3&amp;'Funnel setup'!$K$4&amp;'Funnel setup'!$K$6,".",IF(A1381=".",1,A1381+1))</f>
        <v>.</v>
      </c>
      <c r="B1382" s="244" t="str">
        <f t="shared" si="21"/>
        <v>Hip Replacement RevisionProviderMANCHESTER UNIVERSITY NHS FOUNDATION TRUST (R0A)EQ VAS</v>
      </c>
      <c r="C1382" t="s">
        <v>967</v>
      </c>
      <c r="D1382" t="s">
        <v>965</v>
      </c>
      <c r="E1382" t="s">
        <v>316</v>
      </c>
      <c r="F1382" t="s">
        <v>317</v>
      </c>
      <c r="G1382" t="s">
        <v>752</v>
      </c>
      <c r="H1382">
        <v>2</v>
      </c>
      <c r="I1382">
        <v>77.5</v>
      </c>
      <c r="J1382">
        <v>57.5</v>
      </c>
      <c r="K1382">
        <v>-20</v>
      </c>
      <c r="L1382">
        <v>0</v>
      </c>
      <c r="M1382">
        <v>0</v>
      </c>
      <c r="N1382">
        <v>2</v>
      </c>
      <c r="O1382" t="s">
        <v>127</v>
      </c>
      <c r="P1382" t="s">
        <v>127</v>
      </c>
      <c r="Q1382" t="s">
        <v>127</v>
      </c>
    </row>
    <row r="1383" spans="1:17" x14ac:dyDescent="0.25">
      <c r="A1383" t="str">
        <f>IF(C1383&amp;G1383&amp;D1383&lt;&gt;'Funnel setup'!$K$3&amp;'Funnel setup'!$K$4&amp;'Funnel setup'!$K$6,".",IF(A1382=".",1,A1382+1))</f>
        <v>.</v>
      </c>
      <c r="B1383" s="244" t="str">
        <f t="shared" si="21"/>
        <v>Hip Replacement RevisionProviderMEDWAY NHS FOUNDATION TRUST (RPA)EQ VAS</v>
      </c>
      <c r="C1383" t="s">
        <v>967</v>
      </c>
      <c r="D1383" t="s">
        <v>965</v>
      </c>
      <c r="E1383" t="s">
        <v>320</v>
      </c>
      <c r="F1383" t="s">
        <v>321</v>
      </c>
      <c r="G1383" t="s">
        <v>752</v>
      </c>
      <c r="H1383">
        <v>1</v>
      </c>
      <c r="I1383">
        <v>90</v>
      </c>
      <c r="J1383">
        <v>90</v>
      </c>
      <c r="K1383">
        <v>0</v>
      </c>
      <c r="L1383">
        <v>0</v>
      </c>
      <c r="M1383">
        <v>1</v>
      </c>
      <c r="N1383">
        <v>0</v>
      </c>
      <c r="O1383" t="s">
        <v>127</v>
      </c>
      <c r="P1383" t="s">
        <v>127</v>
      </c>
      <c r="Q1383" t="s">
        <v>127</v>
      </c>
    </row>
    <row r="1384" spans="1:17" x14ac:dyDescent="0.25">
      <c r="A1384" t="str">
        <f>IF(C1384&amp;G1384&amp;D1384&lt;&gt;'Funnel setup'!$K$3&amp;'Funnel setup'!$K$4&amp;'Funnel setup'!$K$6,".",IF(A1383=".",1,A1383+1))</f>
        <v>.</v>
      </c>
      <c r="B1384" s="244" t="str">
        <f t="shared" si="21"/>
        <v>Hip Replacement RevisionProviderMID AND SOUTH ESSEX NHS FOUNDATION TRUST (RAJ)EQ VAS</v>
      </c>
      <c r="C1384" t="s">
        <v>967</v>
      </c>
      <c r="D1384" t="s">
        <v>965</v>
      </c>
      <c r="E1384" t="s">
        <v>324</v>
      </c>
      <c r="F1384" t="s">
        <v>325</v>
      </c>
      <c r="G1384" t="s">
        <v>752</v>
      </c>
      <c r="H1384">
        <v>4</v>
      </c>
      <c r="I1384">
        <v>38.75</v>
      </c>
      <c r="J1384">
        <v>71.25</v>
      </c>
      <c r="K1384">
        <v>32.5</v>
      </c>
      <c r="L1384">
        <v>4</v>
      </c>
      <c r="M1384">
        <v>0</v>
      </c>
      <c r="N1384">
        <v>0</v>
      </c>
      <c r="O1384" t="s">
        <v>127</v>
      </c>
      <c r="P1384" t="s">
        <v>127</v>
      </c>
      <c r="Q1384" t="s">
        <v>127</v>
      </c>
    </row>
    <row r="1385" spans="1:17" x14ac:dyDescent="0.25">
      <c r="A1385" t="str">
        <f>IF(C1385&amp;G1385&amp;D1385&lt;&gt;'Funnel setup'!$K$3&amp;'Funnel setup'!$K$4&amp;'Funnel setup'!$K$6,".",IF(A1384=".",1,A1384+1))</f>
        <v>.</v>
      </c>
      <c r="B1385" s="244" t="str">
        <f t="shared" si="21"/>
        <v>Hip Replacement RevisionProviderMID CHESHIRE HOSPITALS NHS FOUNDATION TRUST (RBT)EQ VAS</v>
      </c>
      <c r="C1385" t="s">
        <v>967</v>
      </c>
      <c r="D1385" t="s">
        <v>965</v>
      </c>
      <c r="E1385" t="s">
        <v>326</v>
      </c>
      <c r="F1385" t="s">
        <v>327</v>
      </c>
      <c r="G1385" t="s">
        <v>752</v>
      </c>
      <c r="H1385">
        <v>3</v>
      </c>
      <c r="I1385">
        <v>64</v>
      </c>
      <c r="J1385">
        <v>80.333299999999994</v>
      </c>
      <c r="K1385">
        <v>16.333300000000001</v>
      </c>
      <c r="L1385">
        <v>2</v>
      </c>
      <c r="M1385">
        <v>0</v>
      </c>
      <c r="N1385">
        <v>1</v>
      </c>
      <c r="O1385" t="s">
        <v>127</v>
      </c>
      <c r="P1385" t="s">
        <v>127</v>
      </c>
      <c r="Q1385" t="s">
        <v>127</v>
      </c>
    </row>
    <row r="1386" spans="1:17" x14ac:dyDescent="0.25">
      <c r="A1386" t="str">
        <f>IF(C1386&amp;G1386&amp;D1386&lt;&gt;'Funnel setup'!$K$3&amp;'Funnel setup'!$K$4&amp;'Funnel setup'!$K$6,".",IF(A1385=".",1,A1385+1))</f>
        <v>.</v>
      </c>
      <c r="B1386" s="244" t="str">
        <f t="shared" si="21"/>
        <v>Hip Replacement RevisionProviderMID YORKSHIRE TEACHING NHS TRUST (RXF)EQ VAS</v>
      </c>
      <c r="C1386" t="s">
        <v>967</v>
      </c>
      <c r="D1386" t="s">
        <v>965</v>
      </c>
      <c r="E1386" t="s">
        <v>330</v>
      </c>
      <c r="F1386" t="s">
        <v>331</v>
      </c>
      <c r="G1386" t="s">
        <v>752</v>
      </c>
      <c r="H1386">
        <v>14</v>
      </c>
      <c r="I1386">
        <v>55.214300000000001</v>
      </c>
      <c r="J1386">
        <v>69.857100000000003</v>
      </c>
      <c r="K1386">
        <v>14.642899999999999</v>
      </c>
      <c r="L1386">
        <v>7</v>
      </c>
      <c r="M1386">
        <v>2</v>
      </c>
      <c r="N1386">
        <v>5</v>
      </c>
      <c r="O1386" t="s">
        <v>127</v>
      </c>
      <c r="P1386" t="s">
        <v>127</v>
      </c>
      <c r="Q1386" t="s">
        <v>127</v>
      </c>
    </row>
    <row r="1387" spans="1:17" x14ac:dyDescent="0.25">
      <c r="A1387" t="str">
        <f>IF(C1387&amp;G1387&amp;D1387&lt;&gt;'Funnel setup'!$K$3&amp;'Funnel setup'!$K$4&amp;'Funnel setup'!$K$6,".",IF(A1386=".",1,A1386+1))</f>
        <v>.</v>
      </c>
      <c r="B1387" s="244" t="str">
        <f t="shared" si="21"/>
        <v>Hip Replacement RevisionProviderMILTON KEYNES UNIVERSITY HOSPITAL NHS FOUNDATION TRUST (RD8)EQ VAS</v>
      </c>
      <c r="C1387" t="s">
        <v>967</v>
      </c>
      <c r="D1387" t="s">
        <v>965</v>
      </c>
      <c r="E1387" t="s">
        <v>332</v>
      </c>
      <c r="F1387" t="s">
        <v>333</v>
      </c>
      <c r="G1387" t="s">
        <v>752</v>
      </c>
      <c r="H1387" t="s">
        <v>127</v>
      </c>
      <c r="I1387" t="s">
        <v>127</v>
      </c>
      <c r="J1387" t="s">
        <v>127</v>
      </c>
      <c r="K1387" t="s">
        <v>127</v>
      </c>
      <c r="L1387" t="s">
        <v>127</v>
      </c>
      <c r="M1387" t="s">
        <v>127</v>
      </c>
      <c r="N1387" t="s">
        <v>127</v>
      </c>
      <c r="O1387" t="s">
        <v>127</v>
      </c>
      <c r="P1387" t="s">
        <v>127</v>
      </c>
      <c r="Q1387" t="s">
        <v>127</v>
      </c>
    </row>
    <row r="1388" spans="1:17" x14ac:dyDescent="0.25">
      <c r="A1388" t="str">
        <f>IF(C1388&amp;G1388&amp;D1388&lt;&gt;'Funnel setup'!$K$3&amp;'Funnel setup'!$K$4&amp;'Funnel setup'!$K$6,".",IF(A1387=".",1,A1387+1))</f>
        <v>.</v>
      </c>
      <c r="B1388" s="244" t="str">
        <f t="shared" si="21"/>
        <v>Hip Replacement RevisionProviderNEW HALL HOSPITAL (NVC09)EQ VAS</v>
      </c>
      <c r="C1388" t="s">
        <v>967</v>
      </c>
      <c r="D1388" t="s">
        <v>965</v>
      </c>
      <c r="E1388" t="s">
        <v>338</v>
      </c>
      <c r="F1388" t="s">
        <v>339</v>
      </c>
      <c r="G1388" t="s">
        <v>752</v>
      </c>
      <c r="H1388" t="s">
        <v>127</v>
      </c>
      <c r="I1388" t="s">
        <v>127</v>
      </c>
      <c r="J1388" t="s">
        <v>127</v>
      </c>
      <c r="K1388" t="s">
        <v>127</v>
      </c>
      <c r="L1388" t="s">
        <v>127</v>
      </c>
      <c r="M1388" t="s">
        <v>127</v>
      </c>
      <c r="N1388" t="s">
        <v>127</v>
      </c>
      <c r="O1388" t="s">
        <v>127</v>
      </c>
      <c r="P1388" t="s">
        <v>127</v>
      </c>
      <c r="Q1388" t="s">
        <v>127</v>
      </c>
    </row>
    <row r="1389" spans="1:17" x14ac:dyDescent="0.25">
      <c r="A1389" t="str">
        <f>IF(C1389&amp;G1389&amp;D1389&lt;&gt;'Funnel setup'!$K$3&amp;'Funnel setup'!$K$4&amp;'Funnel setup'!$K$6,".",IF(A1388=".",1,A1388+1))</f>
        <v>.</v>
      </c>
      <c r="B1389" s="244" t="str">
        <f t="shared" si="21"/>
        <v>Hip Replacement RevisionProviderNORFOLK AND NORWICH UNIVERSITY HOSPITALS NHS FOUNDATION TRUST (RM1)EQ VAS</v>
      </c>
      <c r="C1389" t="s">
        <v>967</v>
      </c>
      <c r="D1389" t="s">
        <v>965</v>
      </c>
      <c r="E1389" t="s">
        <v>340</v>
      </c>
      <c r="F1389" t="s">
        <v>341</v>
      </c>
      <c r="G1389" t="s">
        <v>752</v>
      </c>
      <c r="H1389">
        <v>19</v>
      </c>
      <c r="I1389">
        <v>62.789499999999997</v>
      </c>
      <c r="J1389">
        <v>75.315799999999996</v>
      </c>
      <c r="K1389">
        <v>12.526300000000001</v>
      </c>
      <c r="L1389">
        <v>13</v>
      </c>
      <c r="M1389">
        <v>0</v>
      </c>
      <c r="N1389">
        <v>6</v>
      </c>
      <c r="O1389" t="s">
        <v>127</v>
      </c>
      <c r="P1389" t="s">
        <v>127</v>
      </c>
      <c r="Q1389" t="s">
        <v>127</v>
      </c>
    </row>
    <row r="1390" spans="1:17" x14ac:dyDescent="0.25">
      <c r="A1390" t="str">
        <f>IF(C1390&amp;G1390&amp;D1390&lt;&gt;'Funnel setup'!$K$3&amp;'Funnel setup'!$K$4&amp;'Funnel setup'!$K$6,".",IF(A1389=".",1,A1389+1))</f>
        <v>.</v>
      </c>
      <c r="B1390" s="244" t="str">
        <f t="shared" si="21"/>
        <v>Hip Replacement RevisionProviderNORTH BRISTOL NHS TRUST (RVJ)EQ VAS</v>
      </c>
      <c r="C1390" t="s">
        <v>967</v>
      </c>
      <c r="D1390" t="s">
        <v>965</v>
      </c>
      <c r="E1390" t="s">
        <v>342</v>
      </c>
      <c r="F1390" t="s">
        <v>343</v>
      </c>
      <c r="G1390" t="s">
        <v>752</v>
      </c>
      <c r="H1390">
        <v>3</v>
      </c>
      <c r="I1390">
        <v>67.666700000000006</v>
      </c>
      <c r="J1390">
        <v>57.333300000000001</v>
      </c>
      <c r="K1390">
        <v>-10.333299999999999</v>
      </c>
      <c r="L1390">
        <v>2</v>
      </c>
      <c r="M1390">
        <v>0</v>
      </c>
      <c r="N1390">
        <v>1</v>
      </c>
      <c r="O1390" t="s">
        <v>127</v>
      </c>
      <c r="P1390" t="s">
        <v>127</v>
      </c>
      <c r="Q1390" t="s">
        <v>127</v>
      </c>
    </row>
    <row r="1391" spans="1:17" x14ac:dyDescent="0.25">
      <c r="A1391" t="str">
        <f>IF(C1391&amp;G1391&amp;D1391&lt;&gt;'Funnel setup'!$K$3&amp;'Funnel setup'!$K$4&amp;'Funnel setup'!$K$6,".",IF(A1390=".",1,A1390+1))</f>
        <v>.</v>
      </c>
      <c r="B1391" s="244" t="str">
        <f t="shared" si="21"/>
        <v>Hip Replacement RevisionProviderNORTH CUMBRIA INTEGRATED CARE NHS FOUNDATION TRUST (RNN)EQ VAS</v>
      </c>
      <c r="C1391" t="s">
        <v>967</v>
      </c>
      <c r="D1391" t="s">
        <v>965</v>
      </c>
      <c r="E1391" t="s">
        <v>344</v>
      </c>
      <c r="F1391" t="s">
        <v>345</v>
      </c>
      <c r="G1391" t="s">
        <v>752</v>
      </c>
      <c r="H1391">
        <v>6</v>
      </c>
      <c r="I1391">
        <v>74.333299999999994</v>
      </c>
      <c r="J1391">
        <v>75.666700000000006</v>
      </c>
      <c r="K1391">
        <v>1.3333299999999999</v>
      </c>
      <c r="L1391">
        <v>3</v>
      </c>
      <c r="M1391">
        <v>0</v>
      </c>
      <c r="N1391">
        <v>3</v>
      </c>
      <c r="O1391" t="s">
        <v>127</v>
      </c>
      <c r="P1391" t="s">
        <v>127</v>
      </c>
      <c r="Q1391" t="s">
        <v>127</v>
      </c>
    </row>
    <row r="1392" spans="1:17" x14ac:dyDescent="0.25">
      <c r="A1392" t="str">
        <f>IF(C1392&amp;G1392&amp;D1392&lt;&gt;'Funnel setup'!$K$3&amp;'Funnel setup'!$K$4&amp;'Funnel setup'!$K$6,".",IF(A1391=".",1,A1391+1))</f>
        <v>.</v>
      </c>
      <c r="B1392" s="244" t="str">
        <f t="shared" si="21"/>
        <v>Hip Replacement RevisionProviderNORTH DOWNS HOSPITAL (NVC11)EQ VAS</v>
      </c>
      <c r="C1392" t="s">
        <v>967</v>
      </c>
      <c r="D1392" t="s">
        <v>965</v>
      </c>
      <c r="E1392" t="s">
        <v>348</v>
      </c>
      <c r="F1392" t="s">
        <v>349</v>
      </c>
      <c r="G1392" t="s">
        <v>752</v>
      </c>
      <c r="H1392" t="s">
        <v>127</v>
      </c>
      <c r="I1392" t="s">
        <v>127</v>
      </c>
      <c r="J1392" t="s">
        <v>127</v>
      </c>
      <c r="K1392" t="s">
        <v>127</v>
      </c>
      <c r="L1392" t="s">
        <v>127</v>
      </c>
      <c r="M1392" t="s">
        <v>127</v>
      </c>
      <c r="N1392" t="s">
        <v>127</v>
      </c>
      <c r="O1392" t="s">
        <v>127</v>
      </c>
      <c r="P1392" t="s">
        <v>127</v>
      </c>
      <c r="Q1392" t="s">
        <v>127</v>
      </c>
    </row>
    <row r="1393" spans="1:17" x14ac:dyDescent="0.25">
      <c r="A1393" t="str">
        <f>IF(C1393&amp;G1393&amp;D1393&lt;&gt;'Funnel setup'!$K$3&amp;'Funnel setup'!$K$4&amp;'Funnel setup'!$K$6,".",IF(A1392=".",1,A1392+1))</f>
        <v>.</v>
      </c>
      <c r="B1393" s="244" t="str">
        <f t="shared" si="21"/>
        <v>Hip Replacement RevisionProviderNORTH TEES AND HARTLEPOOL NHS FOUNDATION TRUST (RVW)EQ VAS</v>
      </c>
      <c r="C1393" t="s">
        <v>967</v>
      </c>
      <c r="D1393" t="s">
        <v>965</v>
      </c>
      <c r="E1393" t="s">
        <v>352</v>
      </c>
      <c r="F1393" t="s">
        <v>353</v>
      </c>
      <c r="G1393" t="s">
        <v>752</v>
      </c>
      <c r="H1393">
        <v>7</v>
      </c>
      <c r="I1393">
        <v>55</v>
      </c>
      <c r="J1393">
        <v>58.142899999999997</v>
      </c>
      <c r="K1393">
        <v>3.1428600000000002</v>
      </c>
      <c r="L1393">
        <v>4</v>
      </c>
      <c r="M1393">
        <v>0</v>
      </c>
      <c r="N1393">
        <v>3</v>
      </c>
      <c r="O1393" t="s">
        <v>127</v>
      </c>
      <c r="P1393" t="s">
        <v>127</v>
      </c>
      <c r="Q1393" t="s">
        <v>127</v>
      </c>
    </row>
    <row r="1394" spans="1:17" x14ac:dyDescent="0.25">
      <c r="A1394" t="str">
        <f>IF(C1394&amp;G1394&amp;D1394&lt;&gt;'Funnel setup'!$K$3&amp;'Funnel setup'!$K$4&amp;'Funnel setup'!$K$6,".",IF(A1393=".",1,A1393+1))</f>
        <v>.</v>
      </c>
      <c r="B1394" s="244" t="str">
        <f t="shared" si="21"/>
        <v>Hip Replacement RevisionProviderNORTH WEST ANGLIA NHS FOUNDATION TRUST (RGN)EQ VAS</v>
      </c>
      <c r="C1394" t="s">
        <v>967</v>
      </c>
      <c r="D1394" t="s">
        <v>965</v>
      </c>
      <c r="E1394" t="s">
        <v>354</v>
      </c>
      <c r="F1394" t="s">
        <v>355</v>
      </c>
      <c r="G1394" t="s">
        <v>752</v>
      </c>
      <c r="H1394">
        <v>2</v>
      </c>
      <c r="I1394">
        <v>65.5</v>
      </c>
      <c r="J1394">
        <v>50</v>
      </c>
      <c r="K1394">
        <v>-15.5</v>
      </c>
      <c r="L1394">
        <v>1</v>
      </c>
      <c r="M1394">
        <v>0</v>
      </c>
      <c r="N1394">
        <v>1</v>
      </c>
      <c r="O1394" t="s">
        <v>127</v>
      </c>
      <c r="P1394" t="s">
        <v>127</v>
      </c>
      <c r="Q1394" t="s">
        <v>127</v>
      </c>
    </row>
    <row r="1395" spans="1:17" x14ac:dyDescent="0.25">
      <c r="A1395" t="str">
        <f>IF(C1395&amp;G1395&amp;D1395&lt;&gt;'Funnel setup'!$K$3&amp;'Funnel setup'!$K$4&amp;'Funnel setup'!$K$6,".",IF(A1394=".",1,A1394+1))</f>
        <v>.</v>
      </c>
      <c r="B1395" s="244" t="str">
        <f t="shared" si="21"/>
        <v>Hip Replacement RevisionProviderNORTHAMPTON GENERAL HOSPITAL NHS TRUST (RNS)EQ VAS</v>
      </c>
      <c r="C1395" t="s">
        <v>967</v>
      </c>
      <c r="D1395" t="s">
        <v>965</v>
      </c>
      <c r="E1395" t="s">
        <v>356</v>
      </c>
      <c r="F1395" t="s">
        <v>357</v>
      </c>
      <c r="G1395" t="s">
        <v>752</v>
      </c>
      <c r="H1395">
        <v>4</v>
      </c>
      <c r="I1395">
        <v>62.5</v>
      </c>
      <c r="J1395">
        <v>82.5</v>
      </c>
      <c r="K1395">
        <v>20</v>
      </c>
      <c r="L1395">
        <v>4</v>
      </c>
      <c r="M1395">
        <v>0</v>
      </c>
      <c r="N1395">
        <v>0</v>
      </c>
      <c r="O1395" t="s">
        <v>127</v>
      </c>
      <c r="P1395" t="s">
        <v>127</v>
      </c>
      <c r="Q1395" t="s">
        <v>127</v>
      </c>
    </row>
    <row r="1396" spans="1:17" x14ac:dyDescent="0.25">
      <c r="A1396" t="str">
        <f>IF(C1396&amp;G1396&amp;D1396&lt;&gt;'Funnel setup'!$K$3&amp;'Funnel setup'!$K$4&amp;'Funnel setup'!$K$6,".",IF(A1395=".",1,A1395+1))</f>
        <v>.</v>
      </c>
      <c r="B1396" s="244" t="str">
        <f t="shared" si="21"/>
        <v>Hip Replacement RevisionProviderNORTHERN DEVON HEALTHCARE NHS TRUST (RBZ)EQ VAS</v>
      </c>
      <c r="C1396" t="s">
        <v>967</v>
      </c>
      <c r="D1396" t="s">
        <v>965</v>
      </c>
      <c r="E1396" t="s">
        <v>360</v>
      </c>
      <c r="F1396" t="s">
        <v>361</v>
      </c>
      <c r="G1396" t="s">
        <v>752</v>
      </c>
      <c r="H1396">
        <v>2</v>
      </c>
      <c r="I1396">
        <v>75</v>
      </c>
      <c r="J1396">
        <v>92.5</v>
      </c>
      <c r="K1396">
        <v>17.5</v>
      </c>
      <c r="L1396">
        <v>2</v>
      </c>
      <c r="M1396">
        <v>0</v>
      </c>
      <c r="N1396">
        <v>0</v>
      </c>
      <c r="O1396" t="s">
        <v>127</v>
      </c>
      <c r="P1396" t="s">
        <v>127</v>
      </c>
      <c r="Q1396" t="s">
        <v>127</v>
      </c>
    </row>
    <row r="1397" spans="1:17" x14ac:dyDescent="0.25">
      <c r="A1397" t="str">
        <f>IF(C1397&amp;G1397&amp;D1397&lt;&gt;'Funnel setup'!$K$3&amp;'Funnel setup'!$K$4&amp;'Funnel setup'!$K$6,".",IF(A1396=".",1,A1396+1))</f>
        <v>.</v>
      </c>
      <c r="B1397" s="244" t="str">
        <f t="shared" si="21"/>
        <v>Hip Replacement RevisionProviderNORTHUMBRIA HEALTHCARE NHS FOUNDATION TRUST (RTF)EQ VAS</v>
      </c>
      <c r="C1397" t="s">
        <v>967</v>
      </c>
      <c r="D1397" t="s">
        <v>965</v>
      </c>
      <c r="E1397" t="s">
        <v>364</v>
      </c>
      <c r="F1397" t="s">
        <v>365</v>
      </c>
      <c r="G1397" t="s">
        <v>752</v>
      </c>
      <c r="H1397">
        <v>7</v>
      </c>
      <c r="I1397">
        <v>65.857100000000003</v>
      </c>
      <c r="J1397">
        <v>74.285700000000006</v>
      </c>
      <c r="K1397">
        <v>8.4285700000000006</v>
      </c>
      <c r="L1397">
        <v>3</v>
      </c>
      <c r="M1397">
        <v>2</v>
      </c>
      <c r="N1397">
        <v>2</v>
      </c>
      <c r="O1397" t="s">
        <v>127</v>
      </c>
      <c r="P1397" t="s">
        <v>127</v>
      </c>
      <c r="Q1397" t="s">
        <v>127</v>
      </c>
    </row>
    <row r="1398" spans="1:17" x14ac:dyDescent="0.25">
      <c r="A1398" t="str">
        <f>IF(C1398&amp;G1398&amp;D1398&lt;&gt;'Funnel setup'!$K$3&amp;'Funnel setup'!$K$4&amp;'Funnel setup'!$K$6,".",IF(A1397=".",1,A1397+1))</f>
        <v>.</v>
      </c>
      <c r="B1398" s="244" t="str">
        <f t="shared" si="21"/>
        <v>Hip Replacement RevisionProviderNUFFIELD HEALTH, PLYMOUTH HOSPITAL (NT233)EQ VAS</v>
      </c>
      <c r="C1398" t="s">
        <v>967</v>
      </c>
      <c r="D1398" t="s">
        <v>965</v>
      </c>
      <c r="E1398" t="s">
        <v>400</v>
      </c>
      <c r="F1398" t="s">
        <v>401</v>
      </c>
      <c r="G1398" t="s">
        <v>752</v>
      </c>
      <c r="H1398" t="s">
        <v>127</v>
      </c>
      <c r="I1398" t="s">
        <v>127</v>
      </c>
      <c r="J1398" t="s">
        <v>127</v>
      </c>
      <c r="K1398" t="s">
        <v>127</v>
      </c>
      <c r="L1398" t="s">
        <v>127</v>
      </c>
      <c r="M1398" t="s">
        <v>127</v>
      </c>
      <c r="N1398" t="s">
        <v>127</v>
      </c>
      <c r="O1398" t="s">
        <v>127</v>
      </c>
      <c r="P1398" t="s">
        <v>127</v>
      </c>
      <c r="Q1398" t="s">
        <v>127</v>
      </c>
    </row>
    <row r="1399" spans="1:17" x14ac:dyDescent="0.25">
      <c r="A1399" t="str">
        <f>IF(C1399&amp;G1399&amp;D1399&lt;&gt;'Funnel setup'!$K$3&amp;'Funnel setup'!$K$4&amp;'Funnel setup'!$K$6,".",IF(A1398=".",1,A1398+1))</f>
        <v>.</v>
      </c>
      <c r="B1399" s="244" t="str">
        <f t="shared" si="21"/>
        <v>Hip Replacement RevisionProviderNUFFIELD HEALTH, TEES HOSPITAL (NT237)EQ VAS</v>
      </c>
      <c r="C1399" t="s">
        <v>967</v>
      </c>
      <c r="D1399" t="s">
        <v>965</v>
      </c>
      <c r="E1399" t="s">
        <v>406</v>
      </c>
      <c r="F1399" t="s">
        <v>407</v>
      </c>
      <c r="G1399" t="s">
        <v>752</v>
      </c>
      <c r="H1399">
        <v>3</v>
      </c>
      <c r="I1399">
        <v>60</v>
      </c>
      <c r="J1399">
        <v>37.666699999999999</v>
      </c>
      <c r="K1399">
        <v>-22.333300000000001</v>
      </c>
      <c r="L1399">
        <v>0</v>
      </c>
      <c r="M1399">
        <v>1</v>
      </c>
      <c r="N1399">
        <v>2</v>
      </c>
      <c r="O1399" t="s">
        <v>127</v>
      </c>
      <c r="P1399" t="s">
        <v>127</v>
      </c>
      <c r="Q1399" t="s">
        <v>127</v>
      </c>
    </row>
    <row r="1400" spans="1:17" x14ac:dyDescent="0.25">
      <c r="A1400" t="str">
        <f>IF(C1400&amp;G1400&amp;D1400&lt;&gt;'Funnel setup'!$K$3&amp;'Funnel setup'!$K$4&amp;'Funnel setup'!$K$6,".",IF(A1399=".",1,A1399+1))</f>
        <v>.</v>
      </c>
      <c r="B1400" s="244" t="str">
        <f t="shared" si="21"/>
        <v>Hip Replacement RevisionProviderNUFFIELD HEALTH, YORK HOSPITAL (NT245)EQ VAS</v>
      </c>
      <c r="C1400" t="s">
        <v>967</v>
      </c>
      <c r="D1400" t="s">
        <v>965</v>
      </c>
      <c r="E1400" t="s">
        <v>420</v>
      </c>
      <c r="F1400" t="s">
        <v>421</v>
      </c>
      <c r="G1400" t="s">
        <v>752</v>
      </c>
      <c r="H1400" t="s">
        <v>127</v>
      </c>
      <c r="I1400" t="s">
        <v>127</v>
      </c>
      <c r="J1400" t="s">
        <v>127</v>
      </c>
      <c r="K1400" t="s">
        <v>127</v>
      </c>
      <c r="L1400" t="s">
        <v>127</v>
      </c>
      <c r="M1400" t="s">
        <v>127</v>
      </c>
      <c r="N1400" t="s">
        <v>127</v>
      </c>
      <c r="O1400" t="s">
        <v>127</v>
      </c>
      <c r="P1400" t="s">
        <v>127</v>
      </c>
      <c r="Q1400" t="s">
        <v>127</v>
      </c>
    </row>
    <row r="1401" spans="1:17" x14ac:dyDescent="0.25">
      <c r="A1401" t="str">
        <f>IF(C1401&amp;G1401&amp;D1401&lt;&gt;'Funnel setup'!$K$3&amp;'Funnel setup'!$K$4&amp;'Funnel setup'!$K$6,".",IF(A1400=".",1,A1400+1))</f>
        <v>.</v>
      </c>
      <c r="B1401" s="244" t="str">
        <f t="shared" si="21"/>
        <v>Hip Replacement RevisionProviderOXFORD UNIVERSITY HOSPITALS NHS FOUNDATION TRUST (RTH)EQ VAS</v>
      </c>
      <c r="C1401" t="s">
        <v>967</v>
      </c>
      <c r="D1401" t="s">
        <v>965</v>
      </c>
      <c r="E1401" t="s">
        <v>438</v>
      </c>
      <c r="F1401" t="s">
        <v>439</v>
      </c>
      <c r="G1401" t="s">
        <v>752</v>
      </c>
      <c r="H1401">
        <v>40</v>
      </c>
      <c r="I1401">
        <v>58.325000000000003</v>
      </c>
      <c r="J1401">
        <v>67.25</v>
      </c>
      <c r="K1401">
        <v>8.9250000000000007</v>
      </c>
      <c r="L1401">
        <v>24</v>
      </c>
      <c r="M1401">
        <v>1</v>
      </c>
      <c r="N1401">
        <v>15</v>
      </c>
      <c r="O1401">
        <v>68.453299999999999</v>
      </c>
      <c r="P1401">
        <v>7.5230300000000003</v>
      </c>
      <c r="Q1401">
        <v>18.210799999999999</v>
      </c>
    </row>
    <row r="1402" spans="1:17" x14ac:dyDescent="0.25">
      <c r="A1402" t="str">
        <f>IF(C1402&amp;G1402&amp;D1402&lt;&gt;'Funnel setup'!$K$3&amp;'Funnel setup'!$K$4&amp;'Funnel setup'!$K$6,".",IF(A1401=".",1,A1401+1))</f>
        <v>.</v>
      </c>
      <c r="B1402" s="244" t="str">
        <f t="shared" si="21"/>
        <v>Hip Replacement RevisionProviderPRACTICE PLUS GROUP HOSPITAL - BARLBOROUGH (NTP13)EQ VAS</v>
      </c>
      <c r="C1402" t="s">
        <v>967</v>
      </c>
      <c r="D1402" t="s">
        <v>965</v>
      </c>
      <c r="E1402" t="s">
        <v>452</v>
      </c>
      <c r="F1402" t="s">
        <v>453</v>
      </c>
      <c r="G1402" t="s">
        <v>752</v>
      </c>
      <c r="H1402">
        <v>5</v>
      </c>
      <c r="I1402">
        <v>64.599999999999994</v>
      </c>
      <c r="J1402">
        <v>62.6</v>
      </c>
      <c r="K1402">
        <v>-2</v>
      </c>
      <c r="L1402">
        <v>2</v>
      </c>
      <c r="M1402">
        <v>1</v>
      </c>
      <c r="N1402">
        <v>2</v>
      </c>
      <c r="O1402" t="s">
        <v>127</v>
      </c>
      <c r="P1402" t="s">
        <v>127</v>
      </c>
      <c r="Q1402" t="s">
        <v>127</v>
      </c>
    </row>
    <row r="1403" spans="1:17" x14ac:dyDescent="0.25">
      <c r="A1403" t="str">
        <f>IF(C1403&amp;G1403&amp;D1403&lt;&gt;'Funnel setup'!$K$3&amp;'Funnel setup'!$K$4&amp;'Funnel setup'!$K$6,".",IF(A1402=".",1,A1402+1))</f>
        <v>.</v>
      </c>
      <c r="B1403" s="244" t="str">
        <f t="shared" si="21"/>
        <v>Hip Replacement RevisionProviderPRACTICE PLUS GROUP HOSPITAL - PLYMOUTH (NTPH5)EQ VAS</v>
      </c>
      <c r="C1403" t="s">
        <v>967</v>
      </c>
      <c r="D1403" t="s">
        <v>965</v>
      </c>
      <c r="E1403" t="s">
        <v>458</v>
      </c>
      <c r="F1403" t="s">
        <v>459</v>
      </c>
      <c r="G1403" t="s">
        <v>752</v>
      </c>
      <c r="H1403">
        <v>1</v>
      </c>
      <c r="I1403">
        <v>85</v>
      </c>
      <c r="J1403">
        <v>94</v>
      </c>
      <c r="K1403">
        <v>9</v>
      </c>
      <c r="L1403">
        <v>1</v>
      </c>
      <c r="M1403">
        <v>0</v>
      </c>
      <c r="N1403">
        <v>0</v>
      </c>
      <c r="O1403" t="s">
        <v>127</v>
      </c>
      <c r="P1403" t="s">
        <v>127</v>
      </c>
      <c r="Q1403" t="s">
        <v>127</v>
      </c>
    </row>
    <row r="1404" spans="1:17" x14ac:dyDescent="0.25">
      <c r="A1404" t="str">
        <f>IF(C1404&amp;G1404&amp;D1404&lt;&gt;'Funnel setup'!$K$3&amp;'Funnel setup'!$K$4&amp;'Funnel setup'!$K$6,".",IF(A1403=".",1,A1403+1))</f>
        <v>.</v>
      </c>
      <c r="B1404" s="244" t="str">
        <f t="shared" si="21"/>
        <v>Hip Replacement RevisionProviderPRACTICE PLUS GROUP HOSPITAL - SHEPTON MALLET (NTPH1)EQ VAS</v>
      </c>
      <c r="C1404" t="s">
        <v>967</v>
      </c>
      <c r="D1404" t="s">
        <v>965</v>
      </c>
      <c r="E1404" t="s">
        <v>460</v>
      </c>
      <c r="F1404" t="s">
        <v>461</v>
      </c>
      <c r="G1404" t="s">
        <v>752</v>
      </c>
      <c r="H1404">
        <v>5</v>
      </c>
      <c r="I1404">
        <v>77</v>
      </c>
      <c r="J1404">
        <v>65.400000000000006</v>
      </c>
      <c r="K1404">
        <v>-11.6</v>
      </c>
      <c r="L1404">
        <v>3</v>
      </c>
      <c r="M1404">
        <v>0</v>
      </c>
      <c r="N1404">
        <v>2</v>
      </c>
      <c r="O1404" t="s">
        <v>127</v>
      </c>
      <c r="P1404" t="s">
        <v>127</v>
      </c>
      <c r="Q1404" t="s">
        <v>127</v>
      </c>
    </row>
    <row r="1405" spans="1:17" x14ac:dyDescent="0.25">
      <c r="A1405" t="str">
        <f>IF(C1405&amp;G1405&amp;D1405&lt;&gt;'Funnel setup'!$K$3&amp;'Funnel setup'!$K$4&amp;'Funnel setup'!$K$6,".",IF(A1404=".",1,A1404+1))</f>
        <v>.</v>
      </c>
      <c r="B1405" s="244" t="str">
        <f t="shared" si="21"/>
        <v>Hip Replacement RevisionProviderRIVERS HOSPITAL (NVC19)EQ VAS</v>
      </c>
      <c r="C1405" t="s">
        <v>967</v>
      </c>
      <c r="D1405" t="s">
        <v>965</v>
      </c>
      <c r="E1405" t="s">
        <v>474</v>
      </c>
      <c r="F1405" t="s">
        <v>475</v>
      </c>
      <c r="G1405" t="s">
        <v>752</v>
      </c>
      <c r="H1405" t="s">
        <v>127</v>
      </c>
      <c r="I1405" t="s">
        <v>127</v>
      </c>
      <c r="J1405" t="s">
        <v>127</v>
      </c>
      <c r="K1405" t="s">
        <v>127</v>
      </c>
      <c r="L1405" t="s">
        <v>127</v>
      </c>
      <c r="M1405" t="s">
        <v>127</v>
      </c>
      <c r="N1405" t="s">
        <v>127</v>
      </c>
      <c r="O1405" t="s">
        <v>127</v>
      </c>
      <c r="P1405" t="s">
        <v>127</v>
      </c>
      <c r="Q1405" t="s">
        <v>127</v>
      </c>
    </row>
    <row r="1406" spans="1:17" x14ac:dyDescent="0.25">
      <c r="A1406" t="str">
        <f>IF(C1406&amp;G1406&amp;D1406&lt;&gt;'Funnel setup'!$K$3&amp;'Funnel setup'!$K$4&amp;'Funnel setup'!$K$6,".",IF(A1405=".",1,A1405+1))</f>
        <v>.</v>
      </c>
      <c r="B1406" s="244" t="str">
        <f t="shared" si="21"/>
        <v>Hip Replacement RevisionProviderROWLEY HALL HOSPITAL (NVC17)EQ VAS</v>
      </c>
      <c r="C1406" t="s">
        <v>967</v>
      </c>
      <c r="D1406" t="s">
        <v>965</v>
      </c>
      <c r="E1406" t="s">
        <v>476</v>
      </c>
      <c r="F1406" t="s">
        <v>477</v>
      </c>
      <c r="G1406" t="s">
        <v>752</v>
      </c>
      <c r="H1406" t="s">
        <v>127</v>
      </c>
      <c r="I1406" t="s">
        <v>127</v>
      </c>
      <c r="J1406" t="s">
        <v>127</v>
      </c>
      <c r="K1406" t="s">
        <v>127</v>
      </c>
      <c r="L1406" t="s">
        <v>127</v>
      </c>
      <c r="M1406" t="s">
        <v>127</v>
      </c>
      <c r="N1406" t="s">
        <v>127</v>
      </c>
      <c r="O1406" t="s">
        <v>127</v>
      </c>
      <c r="P1406" t="s">
        <v>127</v>
      </c>
      <c r="Q1406" t="s">
        <v>127</v>
      </c>
    </row>
    <row r="1407" spans="1:17" x14ac:dyDescent="0.25">
      <c r="A1407" t="str">
        <f>IF(C1407&amp;G1407&amp;D1407&lt;&gt;'Funnel setup'!$K$3&amp;'Funnel setup'!$K$4&amp;'Funnel setup'!$K$6,".",IF(A1406=".",1,A1406+1))</f>
        <v>.</v>
      </c>
      <c r="B1407" s="244" t="str">
        <f t="shared" si="21"/>
        <v>Hip Replacement RevisionProviderROYAL BERKSHIRE NHS FOUNDATION TRUST (RHW)EQ VAS</v>
      </c>
      <c r="C1407" t="s">
        <v>967</v>
      </c>
      <c r="D1407" t="s">
        <v>965</v>
      </c>
      <c r="E1407" t="s">
        <v>478</v>
      </c>
      <c r="F1407" t="s">
        <v>479</v>
      </c>
      <c r="G1407" t="s">
        <v>752</v>
      </c>
      <c r="H1407">
        <v>1</v>
      </c>
      <c r="I1407">
        <v>90</v>
      </c>
      <c r="J1407">
        <v>85</v>
      </c>
      <c r="K1407">
        <v>-5</v>
      </c>
      <c r="L1407">
        <v>0</v>
      </c>
      <c r="M1407">
        <v>0</v>
      </c>
      <c r="N1407">
        <v>1</v>
      </c>
      <c r="O1407" t="s">
        <v>127</v>
      </c>
      <c r="P1407" t="s">
        <v>127</v>
      </c>
      <c r="Q1407" t="s">
        <v>127</v>
      </c>
    </row>
    <row r="1408" spans="1:17" x14ac:dyDescent="0.25">
      <c r="A1408" t="str">
        <f>IF(C1408&amp;G1408&amp;D1408&lt;&gt;'Funnel setup'!$K$3&amp;'Funnel setup'!$K$4&amp;'Funnel setup'!$K$6,".",IF(A1407=".",1,A1407+1))</f>
        <v>.</v>
      </c>
      <c r="B1408" s="244" t="str">
        <f t="shared" si="21"/>
        <v>Hip Replacement RevisionProviderROYAL CORNWALL HOSPITALS NHS TRUST (REF)EQ VAS</v>
      </c>
      <c r="C1408" t="s">
        <v>967</v>
      </c>
      <c r="D1408" t="s">
        <v>965</v>
      </c>
      <c r="E1408" t="s">
        <v>480</v>
      </c>
      <c r="F1408" t="s">
        <v>481</v>
      </c>
      <c r="G1408" t="s">
        <v>752</v>
      </c>
      <c r="H1408">
        <v>5</v>
      </c>
      <c r="I1408">
        <v>63.8</v>
      </c>
      <c r="J1408">
        <v>78</v>
      </c>
      <c r="K1408">
        <v>14.2</v>
      </c>
      <c r="L1408">
        <v>2</v>
      </c>
      <c r="M1408">
        <v>2</v>
      </c>
      <c r="N1408">
        <v>1</v>
      </c>
      <c r="O1408" t="s">
        <v>127</v>
      </c>
      <c r="P1408" t="s">
        <v>127</v>
      </c>
      <c r="Q1408" t="s">
        <v>127</v>
      </c>
    </row>
    <row r="1409" spans="1:17" x14ac:dyDescent="0.25">
      <c r="A1409" t="str">
        <f>IF(C1409&amp;G1409&amp;D1409&lt;&gt;'Funnel setup'!$K$3&amp;'Funnel setup'!$K$4&amp;'Funnel setup'!$K$6,".",IF(A1408=".",1,A1408+1))</f>
        <v>.</v>
      </c>
      <c r="B1409" s="244" t="str">
        <f t="shared" si="21"/>
        <v>Hip Replacement RevisionProviderROYAL NATIONAL ORTHOPAEDIC HOSPITAL NHS TRUST (RAN)EQ VAS</v>
      </c>
      <c r="C1409" t="s">
        <v>967</v>
      </c>
      <c r="D1409" t="s">
        <v>965</v>
      </c>
      <c r="E1409" t="s">
        <v>486</v>
      </c>
      <c r="F1409" t="s">
        <v>487</v>
      </c>
      <c r="G1409" t="s">
        <v>752</v>
      </c>
      <c r="H1409">
        <v>23</v>
      </c>
      <c r="I1409">
        <v>53</v>
      </c>
      <c r="J1409">
        <v>53.912999999999997</v>
      </c>
      <c r="K1409">
        <v>0.91304300000000005</v>
      </c>
      <c r="L1409">
        <v>12</v>
      </c>
      <c r="M1409">
        <v>2</v>
      </c>
      <c r="N1409">
        <v>9</v>
      </c>
      <c r="O1409" t="s">
        <v>127</v>
      </c>
      <c r="P1409" t="s">
        <v>127</v>
      </c>
      <c r="Q1409" t="s">
        <v>127</v>
      </c>
    </row>
    <row r="1410" spans="1:17" x14ac:dyDescent="0.25">
      <c r="A1410" t="str">
        <f>IF(C1410&amp;G1410&amp;D1410&lt;&gt;'Funnel setup'!$K$3&amp;'Funnel setup'!$K$4&amp;'Funnel setup'!$K$6,".",IF(A1409=".",1,A1409+1))</f>
        <v>.</v>
      </c>
      <c r="B1410" s="244" t="str">
        <f t="shared" ref="B1410:B1473" si="22">C1410&amp;D1410&amp;F1410&amp;G1410</f>
        <v>Hip Replacement RevisionProviderSANDWELL AND WEST BIRMINGHAM HOSPITALS NHS TRUST (RXK)EQ VAS</v>
      </c>
      <c r="C1410" t="s">
        <v>967</v>
      </c>
      <c r="D1410" t="s">
        <v>965</v>
      </c>
      <c r="E1410" t="s">
        <v>496</v>
      </c>
      <c r="F1410" t="s">
        <v>497</v>
      </c>
      <c r="G1410" t="s">
        <v>752</v>
      </c>
      <c r="H1410">
        <v>1</v>
      </c>
      <c r="I1410">
        <v>70</v>
      </c>
      <c r="J1410">
        <v>55</v>
      </c>
      <c r="K1410">
        <v>-15</v>
      </c>
      <c r="L1410">
        <v>0</v>
      </c>
      <c r="M1410">
        <v>0</v>
      </c>
      <c r="N1410">
        <v>1</v>
      </c>
      <c r="O1410" t="s">
        <v>127</v>
      </c>
      <c r="P1410" t="s">
        <v>127</v>
      </c>
      <c r="Q1410" t="s">
        <v>127</v>
      </c>
    </row>
    <row r="1411" spans="1:17" x14ac:dyDescent="0.25">
      <c r="A1411" t="str">
        <f>IF(C1411&amp;G1411&amp;D1411&lt;&gt;'Funnel setup'!$K$3&amp;'Funnel setup'!$K$4&amp;'Funnel setup'!$K$6,".",IF(A1410=".",1,A1410+1))</f>
        <v>.</v>
      </c>
      <c r="B1411" s="244" t="str">
        <f t="shared" si="22"/>
        <v>Hip Replacement RevisionProviderSHEFFIELD TEACHING HOSPITALS NHS FOUNDATION TRUST (RHQ)EQ VAS</v>
      </c>
      <c r="C1411" t="s">
        <v>967</v>
      </c>
      <c r="D1411" t="s">
        <v>965</v>
      </c>
      <c r="E1411" t="s">
        <v>506</v>
      </c>
      <c r="F1411" t="s">
        <v>507</v>
      </c>
      <c r="G1411" t="s">
        <v>752</v>
      </c>
      <c r="H1411">
        <v>1</v>
      </c>
      <c r="I1411">
        <v>45</v>
      </c>
      <c r="J1411">
        <v>65</v>
      </c>
      <c r="K1411">
        <v>20</v>
      </c>
      <c r="L1411">
        <v>1</v>
      </c>
      <c r="M1411">
        <v>0</v>
      </c>
      <c r="N1411">
        <v>0</v>
      </c>
      <c r="O1411" t="s">
        <v>127</v>
      </c>
      <c r="P1411" t="s">
        <v>127</v>
      </c>
      <c r="Q1411" t="s">
        <v>127</v>
      </c>
    </row>
    <row r="1412" spans="1:17" x14ac:dyDescent="0.25">
      <c r="A1412" t="str">
        <f>IF(C1412&amp;G1412&amp;D1412&lt;&gt;'Funnel setup'!$K$3&amp;'Funnel setup'!$K$4&amp;'Funnel setup'!$K$6,".",IF(A1411=".",1,A1411+1))</f>
        <v>.</v>
      </c>
      <c r="B1412" s="244" t="str">
        <f t="shared" si="22"/>
        <v>Hip Replacement RevisionProviderSOUTH TEES HOSPITALS NHS FOUNDATION TRUST (RTR)EQ VAS</v>
      </c>
      <c r="C1412" t="s">
        <v>967</v>
      </c>
      <c r="D1412" t="s">
        <v>965</v>
      </c>
      <c r="E1412" t="s">
        <v>516</v>
      </c>
      <c r="F1412" t="s">
        <v>517</v>
      </c>
      <c r="G1412" t="s">
        <v>752</v>
      </c>
      <c r="H1412">
        <v>10</v>
      </c>
      <c r="I1412">
        <v>65.5</v>
      </c>
      <c r="J1412">
        <v>66.2</v>
      </c>
      <c r="K1412">
        <v>0.7</v>
      </c>
      <c r="L1412">
        <v>4</v>
      </c>
      <c r="M1412">
        <v>0</v>
      </c>
      <c r="N1412">
        <v>6</v>
      </c>
      <c r="O1412" t="s">
        <v>127</v>
      </c>
      <c r="P1412" t="s">
        <v>127</v>
      </c>
      <c r="Q1412" t="s">
        <v>127</v>
      </c>
    </row>
    <row r="1413" spans="1:17" x14ac:dyDescent="0.25">
      <c r="A1413" t="str">
        <f>IF(C1413&amp;G1413&amp;D1413&lt;&gt;'Funnel setup'!$K$3&amp;'Funnel setup'!$K$4&amp;'Funnel setup'!$K$6,".",IF(A1412=".",1,A1412+1))</f>
        <v>.</v>
      </c>
      <c r="B1413" s="244" t="str">
        <f t="shared" si="22"/>
        <v>Hip Replacement RevisionProviderSOUTH TYNESIDE AND SUNDERLAND NHS FOUNDATION TRUST (R0B)EQ VAS</v>
      </c>
      <c r="C1413" t="s">
        <v>967</v>
      </c>
      <c r="D1413" t="s">
        <v>965</v>
      </c>
      <c r="E1413" t="s">
        <v>518</v>
      </c>
      <c r="F1413" t="s">
        <v>519</v>
      </c>
      <c r="G1413" t="s">
        <v>752</v>
      </c>
      <c r="H1413">
        <v>1</v>
      </c>
      <c r="I1413">
        <v>48</v>
      </c>
      <c r="J1413">
        <v>90</v>
      </c>
      <c r="K1413">
        <v>42</v>
      </c>
      <c r="L1413">
        <v>1</v>
      </c>
      <c r="M1413">
        <v>0</v>
      </c>
      <c r="N1413">
        <v>0</v>
      </c>
      <c r="O1413" t="s">
        <v>127</v>
      </c>
      <c r="P1413" t="s">
        <v>127</v>
      </c>
      <c r="Q1413" t="s">
        <v>127</v>
      </c>
    </row>
    <row r="1414" spans="1:17" x14ac:dyDescent="0.25">
      <c r="A1414" t="str">
        <f>IF(C1414&amp;G1414&amp;D1414&lt;&gt;'Funnel setup'!$K$3&amp;'Funnel setup'!$K$4&amp;'Funnel setup'!$K$6,".",IF(A1413=".",1,A1413+1))</f>
        <v>.</v>
      </c>
      <c r="B1414" s="244" t="str">
        <f t="shared" si="22"/>
        <v>Hip Replacement RevisionProviderSOUTH WARWICKSHIRE UNIVERSITY NHS FOUNDATION TRUST (RJC)EQ VAS</v>
      </c>
      <c r="C1414" t="s">
        <v>967</v>
      </c>
      <c r="D1414" t="s">
        <v>965</v>
      </c>
      <c r="E1414" t="s">
        <v>520</v>
      </c>
      <c r="F1414" t="s">
        <v>521</v>
      </c>
      <c r="G1414" t="s">
        <v>752</v>
      </c>
      <c r="H1414">
        <v>3</v>
      </c>
      <c r="I1414">
        <v>40.333300000000001</v>
      </c>
      <c r="J1414">
        <v>64.666700000000006</v>
      </c>
      <c r="K1414">
        <v>24.333300000000001</v>
      </c>
      <c r="L1414">
        <v>2</v>
      </c>
      <c r="M1414">
        <v>0</v>
      </c>
      <c r="N1414">
        <v>1</v>
      </c>
      <c r="O1414" t="s">
        <v>127</v>
      </c>
      <c r="P1414" t="s">
        <v>127</v>
      </c>
      <c r="Q1414" t="s">
        <v>127</v>
      </c>
    </row>
    <row r="1415" spans="1:17" x14ac:dyDescent="0.25">
      <c r="A1415" t="str">
        <f>IF(C1415&amp;G1415&amp;D1415&lt;&gt;'Funnel setup'!$K$3&amp;'Funnel setup'!$K$4&amp;'Funnel setup'!$K$6,".",IF(A1414=".",1,A1414+1))</f>
        <v>.</v>
      </c>
      <c r="B1415" s="244" t="str">
        <f t="shared" si="22"/>
        <v>Hip Replacement RevisionProviderSPIRE GATWICK PARK HOSPITAL (NT308)EQ VAS</v>
      </c>
      <c r="C1415" t="s">
        <v>967</v>
      </c>
      <c r="D1415" t="s">
        <v>965</v>
      </c>
      <c r="E1415" t="s">
        <v>546</v>
      </c>
      <c r="F1415" t="s">
        <v>547</v>
      </c>
      <c r="G1415" t="s">
        <v>752</v>
      </c>
      <c r="H1415" t="s">
        <v>127</v>
      </c>
      <c r="I1415" t="s">
        <v>127</v>
      </c>
      <c r="J1415" t="s">
        <v>127</v>
      </c>
      <c r="K1415" t="s">
        <v>127</v>
      </c>
      <c r="L1415" t="s">
        <v>127</v>
      </c>
      <c r="M1415" t="s">
        <v>127</v>
      </c>
      <c r="N1415" t="s">
        <v>127</v>
      </c>
      <c r="O1415" t="s">
        <v>127</v>
      </c>
      <c r="P1415" t="s">
        <v>127</v>
      </c>
      <c r="Q1415" t="s">
        <v>127</v>
      </c>
    </row>
    <row r="1416" spans="1:17" x14ac:dyDescent="0.25">
      <c r="A1416" t="str">
        <f>IF(C1416&amp;G1416&amp;D1416&lt;&gt;'Funnel setup'!$K$3&amp;'Funnel setup'!$K$4&amp;'Funnel setup'!$K$6,".",IF(A1415=".",1,A1415+1))</f>
        <v>.</v>
      </c>
      <c r="B1416" s="244" t="str">
        <f t="shared" si="22"/>
        <v>Hip Replacement RevisionProviderSPRINGFIELD HOSPITAL (NVC18)EQ VAS</v>
      </c>
      <c r="C1416" t="s">
        <v>967</v>
      </c>
      <c r="D1416" t="s">
        <v>965</v>
      </c>
      <c r="E1416" t="s">
        <v>602</v>
      </c>
      <c r="F1416" t="s">
        <v>603</v>
      </c>
      <c r="G1416" t="s">
        <v>752</v>
      </c>
      <c r="H1416" t="s">
        <v>127</v>
      </c>
      <c r="I1416" t="s">
        <v>127</v>
      </c>
      <c r="J1416" t="s">
        <v>127</v>
      </c>
      <c r="K1416" t="s">
        <v>127</v>
      </c>
      <c r="L1416" t="s">
        <v>127</v>
      </c>
      <c r="M1416" t="s">
        <v>127</v>
      </c>
      <c r="N1416" t="s">
        <v>127</v>
      </c>
      <c r="O1416" t="s">
        <v>127</v>
      </c>
      <c r="P1416" t="s">
        <v>127</v>
      </c>
      <c r="Q1416" t="s">
        <v>127</v>
      </c>
    </row>
    <row r="1417" spans="1:17" x14ac:dyDescent="0.25">
      <c r="A1417" t="str">
        <f>IF(C1417&amp;G1417&amp;D1417&lt;&gt;'Funnel setup'!$K$3&amp;'Funnel setup'!$K$4&amp;'Funnel setup'!$K$6,".",IF(A1416=".",1,A1416+1))</f>
        <v>.</v>
      </c>
      <c r="B1417" s="244" t="str">
        <f t="shared" si="22"/>
        <v>Hip Replacement RevisionProviderST HELENS AND KNOWSLEY TEACHING HOSPITALS NHS TRUST (RBN)EQ VAS</v>
      </c>
      <c r="C1417" t="s">
        <v>967</v>
      </c>
      <c r="D1417" t="s">
        <v>965</v>
      </c>
      <c r="E1417" t="s">
        <v>608</v>
      </c>
      <c r="F1417" t="s">
        <v>609</v>
      </c>
      <c r="G1417" t="s">
        <v>752</v>
      </c>
      <c r="H1417">
        <v>2</v>
      </c>
      <c r="I1417">
        <v>80</v>
      </c>
      <c r="J1417">
        <v>70</v>
      </c>
      <c r="K1417">
        <v>-10</v>
      </c>
      <c r="L1417">
        <v>1</v>
      </c>
      <c r="M1417">
        <v>0</v>
      </c>
      <c r="N1417">
        <v>1</v>
      </c>
      <c r="O1417" t="s">
        <v>127</v>
      </c>
      <c r="P1417" t="s">
        <v>127</v>
      </c>
      <c r="Q1417" t="s">
        <v>127</v>
      </c>
    </row>
    <row r="1418" spans="1:17" x14ac:dyDescent="0.25">
      <c r="A1418" t="str">
        <f>IF(C1418&amp;G1418&amp;D1418&lt;&gt;'Funnel setup'!$K$3&amp;'Funnel setup'!$K$4&amp;'Funnel setup'!$K$6,".",IF(A1417=".",1,A1417+1))</f>
        <v>.</v>
      </c>
      <c r="B1418" s="244" t="str">
        <f t="shared" si="22"/>
        <v>Hip Replacement RevisionProviderSTOCKPORT NHS FOUNDATION TRUST (RWJ)EQ VAS</v>
      </c>
      <c r="C1418" t="s">
        <v>967</v>
      </c>
      <c r="D1418" t="s">
        <v>965</v>
      </c>
      <c r="E1418" t="s">
        <v>614</v>
      </c>
      <c r="F1418" t="s">
        <v>615</v>
      </c>
      <c r="G1418" t="s">
        <v>752</v>
      </c>
      <c r="H1418">
        <v>7</v>
      </c>
      <c r="I1418">
        <v>54.714300000000001</v>
      </c>
      <c r="J1418">
        <v>58.571399999999997</v>
      </c>
      <c r="K1418">
        <v>3.8571399999999998</v>
      </c>
      <c r="L1418">
        <v>3</v>
      </c>
      <c r="M1418">
        <v>2</v>
      </c>
      <c r="N1418">
        <v>2</v>
      </c>
      <c r="O1418" t="s">
        <v>127</v>
      </c>
      <c r="P1418" t="s">
        <v>127</v>
      </c>
      <c r="Q1418" t="s">
        <v>127</v>
      </c>
    </row>
    <row r="1419" spans="1:17" x14ac:dyDescent="0.25">
      <c r="A1419" t="str">
        <f>IF(C1419&amp;G1419&amp;D1419&lt;&gt;'Funnel setup'!$K$3&amp;'Funnel setup'!$K$4&amp;'Funnel setup'!$K$6,".",IF(A1418=".",1,A1418+1))</f>
        <v>.</v>
      </c>
      <c r="B1419" s="244" t="str">
        <f t="shared" si="22"/>
        <v>Hip Replacement RevisionProviderSURREY AND SUSSEX HEALTHCARE NHS TRUST (RTP)EQ VAS</v>
      </c>
      <c r="C1419" t="s">
        <v>967</v>
      </c>
      <c r="D1419" t="s">
        <v>965</v>
      </c>
      <c r="E1419" t="s">
        <v>618</v>
      </c>
      <c r="F1419" t="s">
        <v>619</v>
      </c>
      <c r="G1419" t="s">
        <v>752</v>
      </c>
      <c r="H1419">
        <v>4</v>
      </c>
      <c r="I1419">
        <v>47.5</v>
      </c>
      <c r="J1419">
        <v>64.75</v>
      </c>
      <c r="K1419">
        <v>17.25</v>
      </c>
      <c r="L1419">
        <v>3</v>
      </c>
      <c r="M1419">
        <v>1</v>
      </c>
      <c r="N1419">
        <v>0</v>
      </c>
      <c r="O1419" t="s">
        <v>127</v>
      </c>
      <c r="P1419" t="s">
        <v>127</v>
      </c>
      <c r="Q1419" t="s">
        <v>127</v>
      </c>
    </row>
    <row r="1420" spans="1:17" x14ac:dyDescent="0.25">
      <c r="A1420" t="str">
        <f>IF(C1420&amp;G1420&amp;D1420&lt;&gt;'Funnel setup'!$K$3&amp;'Funnel setup'!$K$4&amp;'Funnel setup'!$K$6,".",IF(A1419=".",1,A1419+1))</f>
        <v>.</v>
      </c>
      <c r="B1420" s="244" t="str">
        <f t="shared" si="22"/>
        <v>Hip Replacement RevisionProviderTHE HILLINGDON HOSPITALS NHS FOUNDATION TRUST (RAS)EQ VAS</v>
      </c>
      <c r="C1420" t="s">
        <v>967</v>
      </c>
      <c r="D1420" t="s">
        <v>965</v>
      </c>
      <c r="E1420" t="s">
        <v>632</v>
      </c>
      <c r="F1420" t="s">
        <v>633</v>
      </c>
      <c r="G1420" t="s">
        <v>752</v>
      </c>
      <c r="H1420" t="s">
        <v>968</v>
      </c>
      <c r="I1420" t="s">
        <v>968</v>
      </c>
      <c r="J1420" t="s">
        <v>968</v>
      </c>
      <c r="K1420" t="s">
        <v>968</v>
      </c>
      <c r="L1420" t="s">
        <v>968</v>
      </c>
      <c r="M1420" t="s">
        <v>968</v>
      </c>
      <c r="N1420" t="s">
        <v>968</v>
      </c>
      <c r="O1420" t="s">
        <v>968</v>
      </c>
      <c r="P1420" t="s">
        <v>968</v>
      </c>
      <c r="Q1420" t="s">
        <v>968</v>
      </c>
    </row>
    <row r="1421" spans="1:17" x14ac:dyDescent="0.25">
      <c r="A1421" t="str">
        <f>IF(C1421&amp;G1421&amp;D1421&lt;&gt;'Funnel setup'!$K$3&amp;'Funnel setup'!$K$4&amp;'Funnel setup'!$K$6,".",IF(A1420=".",1,A1420+1))</f>
        <v>.</v>
      </c>
      <c r="B1421" s="244" t="str">
        <f t="shared" si="22"/>
        <v>Hip Replacement RevisionProviderTHE HORDER CENTRE - ST JOHNS ROAD (NXM01)EQ VAS</v>
      </c>
      <c r="C1421" t="s">
        <v>967</v>
      </c>
      <c r="D1421" t="s">
        <v>965</v>
      </c>
      <c r="E1421" t="s">
        <v>634</v>
      </c>
      <c r="F1421" t="s">
        <v>635</v>
      </c>
      <c r="G1421" t="s">
        <v>752</v>
      </c>
      <c r="H1421">
        <v>8</v>
      </c>
      <c r="I1421">
        <v>75.875</v>
      </c>
      <c r="J1421">
        <v>76.125</v>
      </c>
      <c r="K1421">
        <v>0.25</v>
      </c>
      <c r="L1421">
        <v>3</v>
      </c>
      <c r="M1421">
        <v>0</v>
      </c>
      <c r="N1421">
        <v>5</v>
      </c>
      <c r="O1421" t="s">
        <v>127</v>
      </c>
      <c r="P1421" t="s">
        <v>127</v>
      </c>
      <c r="Q1421" t="s">
        <v>127</v>
      </c>
    </row>
    <row r="1422" spans="1:17" x14ac:dyDescent="0.25">
      <c r="A1422" t="str">
        <f>IF(C1422&amp;G1422&amp;D1422&lt;&gt;'Funnel setup'!$K$3&amp;'Funnel setup'!$K$4&amp;'Funnel setup'!$K$6,".",IF(A1421=".",1,A1421+1))</f>
        <v>.</v>
      </c>
      <c r="B1422" s="244" t="str">
        <f t="shared" si="22"/>
        <v>Hip Replacement RevisionProviderTHE NEWCASTLE UPON TYNE HOSPITALS NHS FOUNDATION TRUST (RTD)EQ VAS</v>
      </c>
      <c r="C1422" t="s">
        <v>967</v>
      </c>
      <c r="D1422" t="s">
        <v>965</v>
      </c>
      <c r="E1422" t="s">
        <v>638</v>
      </c>
      <c r="F1422" t="s">
        <v>639</v>
      </c>
      <c r="G1422" t="s">
        <v>752</v>
      </c>
      <c r="H1422">
        <v>5</v>
      </c>
      <c r="I1422">
        <v>53.6</v>
      </c>
      <c r="J1422">
        <v>52</v>
      </c>
      <c r="K1422">
        <v>-1.6</v>
      </c>
      <c r="L1422">
        <v>3</v>
      </c>
      <c r="M1422">
        <v>0</v>
      </c>
      <c r="N1422">
        <v>2</v>
      </c>
      <c r="O1422" t="s">
        <v>127</v>
      </c>
      <c r="P1422" t="s">
        <v>127</v>
      </c>
      <c r="Q1422" t="s">
        <v>127</v>
      </c>
    </row>
    <row r="1423" spans="1:17" x14ac:dyDescent="0.25">
      <c r="A1423" t="str">
        <f>IF(C1423&amp;G1423&amp;D1423&lt;&gt;'Funnel setup'!$K$3&amp;'Funnel setup'!$K$4&amp;'Funnel setup'!$K$6,".",IF(A1422=".",1,A1422+1))</f>
        <v>.</v>
      </c>
      <c r="B1423" s="244" t="str">
        <f t="shared" si="22"/>
        <v>Hip Replacement RevisionProviderTHE PRINCESS ALEXANDRA HOSPITAL NHS TRUST (RQW)EQ VAS</v>
      </c>
      <c r="C1423" t="s">
        <v>967</v>
      </c>
      <c r="D1423" t="s">
        <v>965</v>
      </c>
      <c r="E1423" t="s">
        <v>640</v>
      </c>
      <c r="F1423" t="s">
        <v>641</v>
      </c>
      <c r="G1423" t="s">
        <v>752</v>
      </c>
      <c r="H1423">
        <v>1</v>
      </c>
      <c r="I1423">
        <v>50</v>
      </c>
      <c r="J1423">
        <v>50</v>
      </c>
      <c r="K1423">
        <v>0</v>
      </c>
      <c r="L1423">
        <v>0</v>
      </c>
      <c r="M1423">
        <v>1</v>
      </c>
      <c r="N1423">
        <v>0</v>
      </c>
      <c r="O1423" t="s">
        <v>127</v>
      </c>
      <c r="P1423" t="s">
        <v>127</v>
      </c>
      <c r="Q1423" t="s">
        <v>127</v>
      </c>
    </row>
    <row r="1424" spans="1:17" x14ac:dyDescent="0.25">
      <c r="A1424" t="str">
        <f>IF(C1424&amp;G1424&amp;D1424&lt;&gt;'Funnel setup'!$K$3&amp;'Funnel setup'!$K$4&amp;'Funnel setup'!$K$6,".",IF(A1423=".",1,A1423+1))</f>
        <v>.</v>
      </c>
      <c r="B1424" s="244" t="str">
        <f t="shared" si="22"/>
        <v>Hip Replacement RevisionProviderTHE QUEEN ELIZABETH HOSPITAL, KING'S LYNN, NHS FOUNDATION TRUST (RCX)EQ VAS</v>
      </c>
      <c r="C1424" t="s">
        <v>967</v>
      </c>
      <c r="D1424" t="s">
        <v>965</v>
      </c>
      <c r="E1424" t="s">
        <v>644</v>
      </c>
      <c r="F1424" t="s">
        <v>645</v>
      </c>
      <c r="G1424" t="s">
        <v>752</v>
      </c>
      <c r="H1424">
        <v>2</v>
      </c>
      <c r="I1424">
        <v>70</v>
      </c>
      <c r="J1424">
        <v>80</v>
      </c>
      <c r="K1424">
        <v>10</v>
      </c>
      <c r="L1424">
        <v>1</v>
      </c>
      <c r="M1424">
        <v>1</v>
      </c>
      <c r="N1424">
        <v>0</v>
      </c>
      <c r="O1424" t="s">
        <v>127</v>
      </c>
      <c r="P1424" t="s">
        <v>127</v>
      </c>
      <c r="Q1424" t="s">
        <v>127</v>
      </c>
    </row>
    <row r="1425" spans="1:17" x14ac:dyDescent="0.25">
      <c r="A1425" t="str">
        <f>IF(C1425&amp;G1425&amp;D1425&lt;&gt;'Funnel setup'!$K$3&amp;'Funnel setup'!$K$4&amp;'Funnel setup'!$K$6,".",IF(A1424=".",1,A1424+1))</f>
        <v>.</v>
      </c>
      <c r="B1425" s="244" t="str">
        <f t="shared" si="22"/>
        <v>Hip Replacement RevisionProviderTHE ROBERT JONES AND AGNES HUNT ORTHOPAEDIC HOSPITAL NHS FOUNDATION TRUST (RL1)EQ VAS</v>
      </c>
      <c r="C1425" t="s">
        <v>967</v>
      </c>
      <c r="D1425" t="s">
        <v>965</v>
      </c>
      <c r="E1425" t="s">
        <v>646</v>
      </c>
      <c r="F1425" t="s">
        <v>647</v>
      </c>
      <c r="G1425" t="s">
        <v>752</v>
      </c>
      <c r="H1425">
        <v>23</v>
      </c>
      <c r="I1425">
        <v>59.521700000000003</v>
      </c>
      <c r="J1425">
        <v>74.782600000000002</v>
      </c>
      <c r="K1425">
        <v>15.260899999999999</v>
      </c>
      <c r="L1425">
        <v>15</v>
      </c>
      <c r="M1425">
        <v>1</v>
      </c>
      <c r="N1425">
        <v>7</v>
      </c>
      <c r="O1425" t="s">
        <v>127</v>
      </c>
      <c r="P1425" t="s">
        <v>127</v>
      </c>
      <c r="Q1425" t="s">
        <v>127</v>
      </c>
    </row>
    <row r="1426" spans="1:17" x14ac:dyDescent="0.25">
      <c r="A1426" t="str">
        <f>IF(C1426&amp;G1426&amp;D1426&lt;&gt;'Funnel setup'!$K$3&amp;'Funnel setup'!$K$4&amp;'Funnel setup'!$K$6,".",IF(A1425=".",1,A1425+1))</f>
        <v>.</v>
      </c>
      <c r="B1426" s="244" t="str">
        <f t="shared" si="22"/>
        <v>Hip Replacement RevisionProviderTHE ROYAL ORTHOPAEDIC HOSPITAL NHS FOUNDATION TRUST (RRJ)EQ VAS</v>
      </c>
      <c r="C1426" t="s">
        <v>967</v>
      </c>
      <c r="D1426" t="s">
        <v>965</v>
      </c>
      <c r="E1426" t="s">
        <v>652</v>
      </c>
      <c r="F1426" t="s">
        <v>653</v>
      </c>
      <c r="G1426" t="s">
        <v>752</v>
      </c>
      <c r="H1426">
        <v>35</v>
      </c>
      <c r="I1426">
        <v>63.914299999999997</v>
      </c>
      <c r="J1426">
        <v>75.2</v>
      </c>
      <c r="K1426">
        <v>11.2857</v>
      </c>
      <c r="L1426">
        <v>22</v>
      </c>
      <c r="M1426">
        <v>3</v>
      </c>
      <c r="N1426">
        <v>10</v>
      </c>
      <c r="O1426">
        <v>73.381299999999996</v>
      </c>
      <c r="P1426">
        <v>12.451000000000001</v>
      </c>
      <c r="Q1426">
        <v>18.003699999999998</v>
      </c>
    </row>
    <row r="1427" spans="1:17" x14ac:dyDescent="0.25">
      <c r="A1427" t="str">
        <f>IF(C1427&amp;G1427&amp;D1427&lt;&gt;'Funnel setup'!$K$3&amp;'Funnel setup'!$K$4&amp;'Funnel setup'!$K$6,".",IF(A1426=".",1,A1426+1))</f>
        <v>.</v>
      </c>
      <c r="B1427" s="244" t="str">
        <f t="shared" si="22"/>
        <v>Hip Replacement RevisionProviderTHE ROYAL WOLVERHAMPTON NHS TRUST (RL4)EQ VAS</v>
      </c>
      <c r="C1427" t="s">
        <v>967</v>
      </c>
      <c r="D1427" t="s">
        <v>965</v>
      </c>
      <c r="E1427" t="s">
        <v>654</v>
      </c>
      <c r="F1427" t="s">
        <v>655</v>
      </c>
      <c r="G1427" t="s">
        <v>752</v>
      </c>
      <c r="H1427">
        <v>1</v>
      </c>
      <c r="I1427">
        <v>75</v>
      </c>
      <c r="J1427">
        <v>72</v>
      </c>
      <c r="K1427">
        <v>-3</v>
      </c>
      <c r="L1427">
        <v>0</v>
      </c>
      <c r="M1427">
        <v>0</v>
      </c>
      <c r="N1427">
        <v>1</v>
      </c>
      <c r="O1427" t="s">
        <v>127</v>
      </c>
      <c r="P1427" t="s">
        <v>127</v>
      </c>
      <c r="Q1427" t="s">
        <v>127</v>
      </c>
    </row>
    <row r="1428" spans="1:17" x14ac:dyDescent="0.25">
      <c r="A1428" t="str">
        <f>IF(C1428&amp;G1428&amp;D1428&lt;&gt;'Funnel setup'!$K$3&amp;'Funnel setup'!$K$4&amp;'Funnel setup'!$K$6,".",IF(A1427=".",1,A1427+1))</f>
        <v>.</v>
      </c>
      <c r="B1428" s="244" t="str">
        <f t="shared" si="22"/>
        <v>Hip Replacement RevisionProviderTORBAY AND SOUTH DEVON NHS FOUNDATION TRUST (RA9)EQ VAS</v>
      </c>
      <c r="C1428" t="s">
        <v>967</v>
      </c>
      <c r="D1428" t="s">
        <v>965</v>
      </c>
      <c r="E1428" t="s">
        <v>668</v>
      </c>
      <c r="F1428" t="s">
        <v>669</v>
      </c>
      <c r="G1428" t="s">
        <v>752</v>
      </c>
      <c r="H1428">
        <v>2</v>
      </c>
      <c r="I1428">
        <v>82.5</v>
      </c>
      <c r="J1428">
        <v>82.5</v>
      </c>
      <c r="K1428">
        <v>0</v>
      </c>
      <c r="L1428">
        <v>0</v>
      </c>
      <c r="M1428">
        <v>2</v>
      </c>
      <c r="N1428">
        <v>0</v>
      </c>
      <c r="O1428" t="s">
        <v>127</v>
      </c>
      <c r="P1428" t="s">
        <v>127</v>
      </c>
      <c r="Q1428" t="s">
        <v>127</v>
      </c>
    </row>
    <row r="1429" spans="1:17" x14ac:dyDescent="0.25">
      <c r="A1429" t="str">
        <f>IF(C1429&amp;G1429&amp;D1429&lt;&gt;'Funnel setup'!$K$3&amp;'Funnel setup'!$K$4&amp;'Funnel setup'!$K$6,".",IF(A1428=".",1,A1428+1))</f>
        <v>.</v>
      </c>
      <c r="B1429" s="244" t="str">
        <f t="shared" si="22"/>
        <v>Hip Replacement RevisionProviderUNIVERSITY COLLEGE LONDON HOSPITALS NHS FOUNDATION TRUST (RRV)EQ VAS</v>
      </c>
      <c r="C1429" t="s">
        <v>967</v>
      </c>
      <c r="D1429" t="s">
        <v>965</v>
      </c>
      <c r="E1429" t="s">
        <v>674</v>
      </c>
      <c r="F1429" t="s">
        <v>675</v>
      </c>
      <c r="G1429" t="s">
        <v>752</v>
      </c>
      <c r="H1429">
        <v>9</v>
      </c>
      <c r="I1429">
        <v>80</v>
      </c>
      <c r="J1429">
        <v>84.444400000000002</v>
      </c>
      <c r="K1429">
        <v>4.4444400000000002</v>
      </c>
      <c r="L1429">
        <v>4</v>
      </c>
      <c r="M1429">
        <v>0</v>
      </c>
      <c r="N1429">
        <v>5</v>
      </c>
      <c r="O1429" t="s">
        <v>127</v>
      </c>
      <c r="P1429" t="s">
        <v>127</v>
      </c>
      <c r="Q1429" t="s">
        <v>127</v>
      </c>
    </row>
    <row r="1430" spans="1:17" x14ac:dyDescent="0.25">
      <c r="A1430" t="str">
        <f>IF(C1430&amp;G1430&amp;D1430&lt;&gt;'Funnel setup'!$K$3&amp;'Funnel setup'!$K$4&amp;'Funnel setup'!$K$6,".",IF(A1429=".",1,A1429+1))</f>
        <v>.</v>
      </c>
      <c r="B1430" s="244" t="str">
        <f t="shared" si="22"/>
        <v>Hip Replacement RevisionProviderUNIVERSITY HOSPITAL SOUTHAMPTON NHS FOUNDATION TRUST (RHM)EQ VAS</v>
      </c>
      <c r="C1430" t="s">
        <v>967</v>
      </c>
      <c r="D1430" t="s">
        <v>965</v>
      </c>
      <c r="E1430" t="s">
        <v>676</v>
      </c>
      <c r="F1430" t="s">
        <v>677</v>
      </c>
      <c r="G1430" t="s">
        <v>752</v>
      </c>
      <c r="H1430">
        <v>6</v>
      </c>
      <c r="I1430">
        <v>53.666699999999999</v>
      </c>
      <c r="J1430">
        <v>65.5</v>
      </c>
      <c r="K1430">
        <v>11.833299999999999</v>
      </c>
      <c r="L1430">
        <v>2</v>
      </c>
      <c r="M1430">
        <v>2</v>
      </c>
      <c r="N1430">
        <v>2</v>
      </c>
      <c r="O1430" t="s">
        <v>127</v>
      </c>
      <c r="P1430" t="s">
        <v>127</v>
      </c>
      <c r="Q1430" t="s">
        <v>127</v>
      </c>
    </row>
    <row r="1431" spans="1:17" x14ac:dyDescent="0.25">
      <c r="A1431" t="str">
        <f>IF(C1431&amp;G1431&amp;D1431&lt;&gt;'Funnel setup'!$K$3&amp;'Funnel setup'!$K$4&amp;'Funnel setup'!$K$6,".",IF(A1430=".",1,A1430+1))</f>
        <v>.</v>
      </c>
      <c r="B1431" s="244" t="str">
        <f t="shared" si="22"/>
        <v>Hip Replacement RevisionProviderUNIVERSITY HOSPITALS BRISTOL AND WESTON NHS FOUNDATION TRUST (RA7)EQ VAS</v>
      </c>
      <c r="C1431" t="s">
        <v>967</v>
      </c>
      <c r="D1431" t="s">
        <v>965</v>
      </c>
      <c r="E1431" t="s">
        <v>680</v>
      </c>
      <c r="F1431" t="s">
        <v>681</v>
      </c>
      <c r="G1431" t="s">
        <v>752</v>
      </c>
      <c r="H1431" t="s">
        <v>127</v>
      </c>
      <c r="I1431" t="s">
        <v>127</v>
      </c>
      <c r="J1431" t="s">
        <v>127</v>
      </c>
      <c r="K1431" t="s">
        <v>127</v>
      </c>
      <c r="L1431" t="s">
        <v>127</v>
      </c>
      <c r="M1431" t="s">
        <v>127</v>
      </c>
      <c r="N1431" t="s">
        <v>127</v>
      </c>
      <c r="O1431" t="s">
        <v>127</v>
      </c>
      <c r="P1431" t="s">
        <v>127</v>
      </c>
      <c r="Q1431" t="s">
        <v>127</v>
      </c>
    </row>
    <row r="1432" spans="1:17" x14ac:dyDescent="0.25">
      <c r="A1432" t="str">
        <f>IF(C1432&amp;G1432&amp;D1432&lt;&gt;'Funnel setup'!$K$3&amp;'Funnel setup'!$K$4&amp;'Funnel setup'!$K$6,".",IF(A1431=".",1,A1431+1))</f>
        <v>.</v>
      </c>
      <c r="B1432" s="244" t="str">
        <f t="shared" si="22"/>
        <v>Hip Replacement RevisionProviderUNIVERSITY HOSPITALS COVENTRY AND WARWICKSHIRE NHS TRUST (RKB)EQ VAS</v>
      </c>
      <c r="C1432" t="s">
        <v>967</v>
      </c>
      <c r="D1432" t="s">
        <v>965</v>
      </c>
      <c r="E1432" t="s">
        <v>682</v>
      </c>
      <c r="F1432" t="s">
        <v>683</v>
      </c>
      <c r="G1432" t="s">
        <v>752</v>
      </c>
      <c r="H1432">
        <v>2</v>
      </c>
      <c r="I1432">
        <v>43.5</v>
      </c>
      <c r="J1432">
        <v>55</v>
      </c>
      <c r="K1432">
        <v>11.5</v>
      </c>
      <c r="L1432">
        <v>1</v>
      </c>
      <c r="M1432">
        <v>0</v>
      </c>
      <c r="N1432">
        <v>1</v>
      </c>
      <c r="O1432" t="s">
        <v>127</v>
      </c>
      <c r="P1432" t="s">
        <v>127</v>
      </c>
      <c r="Q1432" t="s">
        <v>127</v>
      </c>
    </row>
    <row r="1433" spans="1:17" x14ac:dyDescent="0.25">
      <c r="A1433" t="str">
        <f>IF(C1433&amp;G1433&amp;D1433&lt;&gt;'Funnel setup'!$K$3&amp;'Funnel setup'!$K$4&amp;'Funnel setup'!$K$6,".",IF(A1432=".",1,A1432+1))</f>
        <v>.</v>
      </c>
      <c r="B1433" s="244" t="str">
        <f t="shared" si="22"/>
        <v>Hip Replacement RevisionProviderUNIVERSITY HOSPITAL DORSET NHS FUNDATION TRUST (R0D)EQ VAS</v>
      </c>
      <c r="C1433" t="s">
        <v>967</v>
      </c>
      <c r="D1433" t="s">
        <v>965</v>
      </c>
      <c r="E1433" t="s">
        <v>684</v>
      </c>
      <c r="F1433" t="s">
        <v>966</v>
      </c>
      <c r="G1433" t="s">
        <v>752</v>
      </c>
      <c r="H1433">
        <v>9</v>
      </c>
      <c r="I1433">
        <v>69.444400000000002</v>
      </c>
      <c r="J1433">
        <v>86.111099999999993</v>
      </c>
      <c r="K1433">
        <v>16.666699999999999</v>
      </c>
      <c r="L1433">
        <v>7</v>
      </c>
      <c r="M1433">
        <v>0</v>
      </c>
      <c r="N1433">
        <v>2</v>
      </c>
      <c r="O1433" t="s">
        <v>127</v>
      </c>
      <c r="P1433" t="s">
        <v>127</v>
      </c>
      <c r="Q1433" t="s">
        <v>127</v>
      </c>
    </row>
    <row r="1434" spans="1:17" x14ac:dyDescent="0.25">
      <c r="A1434" t="str">
        <f>IF(C1434&amp;G1434&amp;D1434&lt;&gt;'Funnel setup'!$K$3&amp;'Funnel setup'!$K$4&amp;'Funnel setup'!$K$6,".",IF(A1433=".",1,A1433+1))</f>
        <v>.</v>
      </c>
      <c r="B1434" s="244" t="str">
        <f t="shared" si="22"/>
        <v>Hip Replacement RevisionProviderUNIVERSITY HOSPITALS OF DERBY AND BURTON NHS FOUNDATION TRUST (RTG)EQ VAS</v>
      </c>
      <c r="C1434" t="s">
        <v>967</v>
      </c>
      <c r="D1434" t="s">
        <v>965</v>
      </c>
      <c r="E1434" t="s">
        <v>686</v>
      </c>
      <c r="F1434" t="s">
        <v>687</v>
      </c>
      <c r="G1434" t="s">
        <v>752</v>
      </c>
      <c r="H1434">
        <v>18</v>
      </c>
      <c r="I1434">
        <v>64.388900000000007</v>
      </c>
      <c r="J1434">
        <v>67.333299999999994</v>
      </c>
      <c r="K1434">
        <v>2.9444400000000002</v>
      </c>
      <c r="L1434">
        <v>9</v>
      </c>
      <c r="M1434">
        <v>1</v>
      </c>
      <c r="N1434">
        <v>8</v>
      </c>
      <c r="O1434" t="s">
        <v>127</v>
      </c>
      <c r="P1434" t="s">
        <v>127</v>
      </c>
      <c r="Q1434" t="s">
        <v>127</v>
      </c>
    </row>
    <row r="1435" spans="1:17" x14ac:dyDescent="0.25">
      <c r="A1435" t="str">
        <f>IF(C1435&amp;G1435&amp;D1435&lt;&gt;'Funnel setup'!$K$3&amp;'Funnel setup'!$K$4&amp;'Funnel setup'!$K$6,".",IF(A1434=".",1,A1434+1))</f>
        <v>.</v>
      </c>
      <c r="B1435" s="244" t="str">
        <f t="shared" si="22"/>
        <v>Hip Replacement RevisionProviderUNIVERSITY HOSPITALS OF LEICESTER NHS TRUST (RWE)EQ VAS</v>
      </c>
      <c r="C1435" t="s">
        <v>967</v>
      </c>
      <c r="D1435" t="s">
        <v>965</v>
      </c>
      <c r="E1435" t="s">
        <v>688</v>
      </c>
      <c r="F1435" t="s">
        <v>689</v>
      </c>
      <c r="G1435" t="s">
        <v>752</v>
      </c>
      <c r="H1435">
        <v>15</v>
      </c>
      <c r="I1435">
        <v>60.7333</v>
      </c>
      <c r="J1435">
        <v>73.7333</v>
      </c>
      <c r="K1435">
        <v>13</v>
      </c>
      <c r="L1435">
        <v>9</v>
      </c>
      <c r="M1435">
        <v>2</v>
      </c>
      <c r="N1435">
        <v>4</v>
      </c>
      <c r="O1435" t="s">
        <v>127</v>
      </c>
      <c r="P1435" t="s">
        <v>127</v>
      </c>
      <c r="Q1435" t="s">
        <v>127</v>
      </c>
    </row>
    <row r="1436" spans="1:17" x14ac:dyDescent="0.25">
      <c r="A1436" t="str">
        <f>IF(C1436&amp;G1436&amp;D1436&lt;&gt;'Funnel setup'!$K$3&amp;'Funnel setup'!$K$4&amp;'Funnel setup'!$K$6,".",IF(A1435=".",1,A1435+1))</f>
        <v>.</v>
      </c>
      <c r="B1436" s="244" t="str">
        <f t="shared" si="22"/>
        <v>Hip Replacement RevisionProviderUNIVERSITY HOSPITALS OF MORECAMBE BAY NHS FOUNDATION TRUST (RTX)EQ VAS</v>
      </c>
      <c r="C1436" t="s">
        <v>967</v>
      </c>
      <c r="D1436" t="s">
        <v>965</v>
      </c>
      <c r="E1436" t="s">
        <v>690</v>
      </c>
      <c r="F1436" t="s">
        <v>691</v>
      </c>
      <c r="G1436" t="s">
        <v>752</v>
      </c>
      <c r="H1436">
        <v>8</v>
      </c>
      <c r="I1436">
        <v>59.5</v>
      </c>
      <c r="J1436">
        <v>79.375</v>
      </c>
      <c r="K1436">
        <v>19.875</v>
      </c>
      <c r="L1436">
        <v>6</v>
      </c>
      <c r="M1436">
        <v>0</v>
      </c>
      <c r="N1436">
        <v>2</v>
      </c>
      <c r="O1436" t="s">
        <v>127</v>
      </c>
      <c r="P1436" t="s">
        <v>127</v>
      </c>
      <c r="Q1436" t="s">
        <v>127</v>
      </c>
    </row>
    <row r="1437" spans="1:17" x14ac:dyDescent="0.25">
      <c r="A1437" t="str">
        <f>IF(C1437&amp;G1437&amp;D1437&lt;&gt;'Funnel setup'!$K$3&amp;'Funnel setup'!$K$4&amp;'Funnel setup'!$K$6,".",IF(A1436=".",1,A1436+1))</f>
        <v>.</v>
      </c>
      <c r="B1437" s="244" t="str">
        <f t="shared" si="22"/>
        <v>Hip Replacement RevisionProviderUNIVERSITY HOSPITALS PLYMOUTH NHS TRUST (RK9)EQ VAS</v>
      </c>
      <c r="C1437" t="s">
        <v>967</v>
      </c>
      <c r="D1437" t="s">
        <v>965</v>
      </c>
      <c r="E1437" t="s">
        <v>694</v>
      </c>
      <c r="F1437" t="s">
        <v>695</v>
      </c>
      <c r="G1437" t="s">
        <v>752</v>
      </c>
      <c r="H1437">
        <v>1</v>
      </c>
      <c r="I1437">
        <v>25</v>
      </c>
      <c r="J1437">
        <v>5</v>
      </c>
      <c r="K1437">
        <v>-20</v>
      </c>
      <c r="L1437">
        <v>0</v>
      </c>
      <c r="M1437">
        <v>0</v>
      </c>
      <c r="N1437">
        <v>1</v>
      </c>
      <c r="O1437" t="s">
        <v>127</v>
      </c>
      <c r="P1437" t="s">
        <v>127</v>
      </c>
      <c r="Q1437" t="s">
        <v>127</v>
      </c>
    </row>
    <row r="1438" spans="1:17" x14ac:dyDescent="0.25">
      <c r="A1438" t="str">
        <f>IF(C1438&amp;G1438&amp;D1438&lt;&gt;'Funnel setup'!$K$3&amp;'Funnel setup'!$K$4&amp;'Funnel setup'!$K$6,".",IF(A1437=".",1,A1437+1))</f>
        <v>.</v>
      </c>
      <c r="B1438" s="244" t="str">
        <f t="shared" si="22"/>
        <v>Hip Replacement RevisionProviderUNIVERSITY HOSPITALS SUSSEX NHS FOUNDATION TRUST (RYR)EQ VAS</v>
      </c>
      <c r="C1438" t="s">
        <v>967</v>
      </c>
      <c r="D1438" t="s">
        <v>965</v>
      </c>
      <c r="E1438" t="s">
        <v>696</v>
      </c>
      <c r="F1438" t="s">
        <v>697</v>
      </c>
      <c r="G1438" t="s">
        <v>752</v>
      </c>
      <c r="H1438">
        <v>14</v>
      </c>
      <c r="I1438">
        <v>56.928600000000003</v>
      </c>
      <c r="J1438">
        <v>60.714300000000001</v>
      </c>
      <c r="K1438">
        <v>3.7857099999999999</v>
      </c>
      <c r="L1438">
        <v>8</v>
      </c>
      <c r="M1438">
        <v>2</v>
      </c>
      <c r="N1438">
        <v>4</v>
      </c>
      <c r="O1438" t="s">
        <v>127</v>
      </c>
      <c r="P1438" t="s">
        <v>127</v>
      </c>
      <c r="Q1438" t="s">
        <v>127</v>
      </c>
    </row>
    <row r="1439" spans="1:17" x14ac:dyDescent="0.25">
      <c r="A1439" t="str">
        <f>IF(C1439&amp;G1439&amp;D1439&lt;&gt;'Funnel setup'!$K$3&amp;'Funnel setup'!$K$4&amp;'Funnel setup'!$K$6,".",IF(A1438=".",1,A1438+1))</f>
        <v>.</v>
      </c>
      <c r="B1439" s="244" t="str">
        <f t="shared" si="22"/>
        <v>Hip Replacement RevisionProviderWARRINGTON AND HALTON TEACHING HOSPITALS NHS FOUNDATION TRUST (RWW)EQ VAS</v>
      </c>
      <c r="C1439" t="s">
        <v>967</v>
      </c>
      <c r="D1439" t="s">
        <v>965</v>
      </c>
      <c r="E1439" t="s">
        <v>700</v>
      </c>
      <c r="F1439" t="s">
        <v>701</v>
      </c>
      <c r="G1439" t="s">
        <v>752</v>
      </c>
      <c r="H1439">
        <v>1</v>
      </c>
      <c r="I1439">
        <v>75</v>
      </c>
      <c r="J1439">
        <v>80</v>
      </c>
      <c r="K1439">
        <v>5</v>
      </c>
      <c r="L1439">
        <v>1</v>
      </c>
      <c r="M1439">
        <v>0</v>
      </c>
      <c r="N1439">
        <v>0</v>
      </c>
      <c r="O1439" t="s">
        <v>127</v>
      </c>
      <c r="P1439" t="s">
        <v>127</v>
      </c>
      <c r="Q1439" t="s">
        <v>127</v>
      </c>
    </row>
    <row r="1440" spans="1:17" x14ac:dyDescent="0.25">
      <c r="A1440" t="str">
        <f>IF(C1440&amp;G1440&amp;D1440&lt;&gt;'Funnel setup'!$K$3&amp;'Funnel setup'!$K$4&amp;'Funnel setup'!$K$6,".",IF(A1439=".",1,A1439+1))</f>
        <v>.</v>
      </c>
      <c r="B1440" s="244" t="str">
        <f t="shared" si="22"/>
        <v>Hip Replacement RevisionProviderWEST HERTFORDSHIRE TEACHING HOSPITALS NHS TRUST (RWG)EQ VAS</v>
      </c>
      <c r="C1440" t="s">
        <v>967</v>
      </c>
      <c r="D1440" t="s">
        <v>965</v>
      </c>
      <c r="E1440" t="s">
        <v>702</v>
      </c>
      <c r="F1440" t="s">
        <v>703</v>
      </c>
      <c r="G1440" t="s">
        <v>752</v>
      </c>
      <c r="H1440">
        <v>6</v>
      </c>
      <c r="I1440">
        <v>52</v>
      </c>
      <c r="J1440">
        <v>68.333299999999994</v>
      </c>
      <c r="K1440">
        <v>16.333300000000001</v>
      </c>
      <c r="L1440">
        <v>5</v>
      </c>
      <c r="M1440">
        <v>0</v>
      </c>
      <c r="N1440">
        <v>1</v>
      </c>
      <c r="O1440" t="s">
        <v>127</v>
      </c>
      <c r="P1440" t="s">
        <v>127</v>
      </c>
      <c r="Q1440" t="s">
        <v>127</v>
      </c>
    </row>
    <row r="1441" spans="1:17" x14ac:dyDescent="0.25">
      <c r="A1441" t="str">
        <f>IF(C1441&amp;G1441&amp;D1441&lt;&gt;'Funnel setup'!$K$3&amp;'Funnel setup'!$K$4&amp;'Funnel setup'!$K$6,".",IF(A1440=".",1,A1440+1))</f>
        <v>.</v>
      </c>
      <c r="B1441" s="244" t="str">
        <f t="shared" si="22"/>
        <v>Hip Replacement RevisionProviderWEST SUFFOLK NHS FOUNDATION TRUST (RGR)EQ VAS</v>
      </c>
      <c r="C1441" t="s">
        <v>967</v>
      </c>
      <c r="D1441" t="s">
        <v>965</v>
      </c>
      <c r="E1441" t="s">
        <v>706</v>
      </c>
      <c r="F1441" t="s">
        <v>707</v>
      </c>
      <c r="G1441" t="s">
        <v>752</v>
      </c>
      <c r="H1441">
        <v>6</v>
      </c>
      <c r="I1441">
        <v>65.333299999999994</v>
      </c>
      <c r="J1441">
        <v>82.333299999999994</v>
      </c>
      <c r="K1441">
        <v>17</v>
      </c>
      <c r="L1441">
        <v>5</v>
      </c>
      <c r="M1441">
        <v>0</v>
      </c>
      <c r="N1441">
        <v>1</v>
      </c>
      <c r="O1441" t="s">
        <v>127</v>
      </c>
      <c r="P1441" t="s">
        <v>127</v>
      </c>
      <c r="Q1441" t="s">
        <v>127</v>
      </c>
    </row>
    <row r="1442" spans="1:17" x14ac:dyDescent="0.25">
      <c r="A1442" t="str">
        <f>IF(C1442&amp;G1442&amp;D1442&lt;&gt;'Funnel setup'!$K$3&amp;'Funnel setup'!$K$4&amp;'Funnel setup'!$K$6,".",IF(A1441=".",1,A1441+1))</f>
        <v>.</v>
      </c>
      <c r="B1442" s="244" t="str">
        <f t="shared" si="22"/>
        <v>Hip Replacement RevisionProviderWIRRAL UNIVERSITY TEACHING HOSPITAL NHS FOUNDATION TRUST (RBL)EQ VAS</v>
      </c>
      <c r="C1442" t="s">
        <v>967</v>
      </c>
      <c r="D1442" t="s">
        <v>965</v>
      </c>
      <c r="E1442" t="s">
        <v>714</v>
      </c>
      <c r="F1442" t="s">
        <v>715</v>
      </c>
      <c r="G1442" t="s">
        <v>752</v>
      </c>
      <c r="H1442">
        <v>1</v>
      </c>
      <c r="I1442">
        <v>70</v>
      </c>
      <c r="J1442">
        <v>95</v>
      </c>
      <c r="K1442">
        <v>25</v>
      </c>
      <c r="L1442">
        <v>1</v>
      </c>
      <c r="M1442">
        <v>0</v>
      </c>
      <c r="N1442">
        <v>0</v>
      </c>
      <c r="O1442" t="s">
        <v>127</v>
      </c>
      <c r="P1442" t="s">
        <v>127</v>
      </c>
      <c r="Q1442" t="s">
        <v>127</v>
      </c>
    </row>
    <row r="1443" spans="1:17" x14ac:dyDescent="0.25">
      <c r="A1443" t="str">
        <f>IF(C1443&amp;G1443&amp;D1443&lt;&gt;'Funnel setup'!$K$3&amp;'Funnel setup'!$K$4&amp;'Funnel setup'!$K$6,".",IF(A1442=".",1,A1442+1))</f>
        <v>.</v>
      </c>
      <c r="B1443" s="244" t="str">
        <f t="shared" si="22"/>
        <v>Hip Replacement RevisionProviderWOODLAND HOSPITAL (NVC23)EQ VAS</v>
      </c>
      <c r="C1443" t="s">
        <v>967</v>
      </c>
      <c r="D1443" t="s">
        <v>965</v>
      </c>
      <c r="E1443" t="s">
        <v>716</v>
      </c>
      <c r="F1443" t="s">
        <v>717</v>
      </c>
      <c r="G1443" t="s">
        <v>752</v>
      </c>
      <c r="H1443" t="s">
        <v>127</v>
      </c>
      <c r="I1443" t="s">
        <v>127</v>
      </c>
      <c r="J1443" t="s">
        <v>127</v>
      </c>
      <c r="K1443" t="s">
        <v>127</v>
      </c>
      <c r="L1443" t="s">
        <v>127</v>
      </c>
      <c r="M1443" t="s">
        <v>127</v>
      </c>
      <c r="N1443" t="s">
        <v>127</v>
      </c>
      <c r="O1443" t="s">
        <v>127</v>
      </c>
      <c r="P1443" t="s">
        <v>127</v>
      </c>
      <c r="Q1443" t="s">
        <v>127</v>
      </c>
    </row>
    <row r="1444" spans="1:17" x14ac:dyDescent="0.25">
      <c r="A1444" t="str">
        <f>IF(C1444&amp;G1444&amp;D1444&lt;&gt;'Funnel setup'!$K$3&amp;'Funnel setup'!$K$4&amp;'Funnel setup'!$K$6,".",IF(A1443=".",1,A1443+1))</f>
        <v>.</v>
      </c>
      <c r="B1444" s="244" t="str">
        <f t="shared" si="22"/>
        <v>Hip Replacement RevisionProviderWOODLANDS HOSPITAL (NT457)EQ VAS</v>
      </c>
      <c r="C1444" t="s">
        <v>967</v>
      </c>
      <c r="D1444" t="s">
        <v>965</v>
      </c>
      <c r="E1444" t="s">
        <v>718</v>
      </c>
      <c r="F1444" t="s">
        <v>719</v>
      </c>
      <c r="G1444" t="s">
        <v>752</v>
      </c>
      <c r="H1444" t="s">
        <v>127</v>
      </c>
      <c r="I1444" t="s">
        <v>127</v>
      </c>
      <c r="J1444" t="s">
        <v>127</v>
      </c>
      <c r="K1444" t="s">
        <v>127</v>
      </c>
      <c r="L1444" t="s">
        <v>127</v>
      </c>
      <c r="M1444" t="s">
        <v>127</v>
      </c>
      <c r="N1444" t="s">
        <v>127</v>
      </c>
      <c r="O1444" t="s">
        <v>127</v>
      </c>
      <c r="P1444" t="s">
        <v>127</v>
      </c>
      <c r="Q1444" t="s">
        <v>127</v>
      </c>
    </row>
    <row r="1445" spans="1:17" x14ac:dyDescent="0.25">
      <c r="A1445" t="str">
        <f>IF(C1445&amp;G1445&amp;D1445&lt;&gt;'Funnel setup'!$K$3&amp;'Funnel setup'!$K$4&amp;'Funnel setup'!$K$6,".",IF(A1444=".",1,A1444+1))</f>
        <v>.</v>
      </c>
      <c r="B1445" s="244" t="str">
        <f t="shared" si="22"/>
        <v>Hip Replacement RevisionProviderWORCESTERSHIRE ACUTE HOSPITALS NHS TRUST (RWP)EQ VAS</v>
      </c>
      <c r="C1445" t="s">
        <v>967</v>
      </c>
      <c r="D1445" t="s">
        <v>965</v>
      </c>
      <c r="E1445" t="s">
        <v>722</v>
      </c>
      <c r="F1445" t="s">
        <v>723</v>
      </c>
      <c r="G1445" t="s">
        <v>752</v>
      </c>
      <c r="H1445">
        <v>5</v>
      </c>
      <c r="I1445">
        <v>66</v>
      </c>
      <c r="J1445">
        <v>66</v>
      </c>
      <c r="K1445">
        <v>0</v>
      </c>
      <c r="L1445">
        <v>2</v>
      </c>
      <c r="M1445">
        <v>0</v>
      </c>
      <c r="N1445">
        <v>3</v>
      </c>
      <c r="O1445" t="s">
        <v>127</v>
      </c>
      <c r="P1445" t="s">
        <v>127</v>
      </c>
      <c r="Q1445" t="s">
        <v>127</v>
      </c>
    </row>
    <row r="1446" spans="1:17" x14ac:dyDescent="0.25">
      <c r="A1446" t="str">
        <f>IF(C1446&amp;G1446&amp;D1446&lt;&gt;'Funnel setup'!$K$3&amp;'Funnel setup'!$K$4&amp;'Funnel setup'!$K$6,".",IF(A1445=".",1,A1445+1))</f>
        <v>.</v>
      </c>
      <c r="B1446" s="244" t="str">
        <f t="shared" si="22"/>
        <v>Hip Replacement RevisionProviderWRIGHTINGTON, WIGAN AND LEIGH NHS FOUNDATION TRUST (RRF)EQ VAS</v>
      </c>
      <c r="C1446" t="s">
        <v>967</v>
      </c>
      <c r="D1446" t="s">
        <v>965</v>
      </c>
      <c r="E1446" t="s">
        <v>724</v>
      </c>
      <c r="F1446" t="s">
        <v>725</v>
      </c>
      <c r="G1446" t="s">
        <v>752</v>
      </c>
      <c r="H1446">
        <v>2</v>
      </c>
      <c r="I1446">
        <v>84</v>
      </c>
      <c r="J1446">
        <v>84.5</v>
      </c>
      <c r="K1446">
        <v>0.5</v>
      </c>
      <c r="L1446">
        <v>1</v>
      </c>
      <c r="M1446">
        <v>0</v>
      </c>
      <c r="N1446">
        <v>1</v>
      </c>
      <c r="O1446" t="s">
        <v>127</v>
      </c>
      <c r="P1446" t="s">
        <v>127</v>
      </c>
      <c r="Q1446" t="s">
        <v>127</v>
      </c>
    </row>
    <row r="1447" spans="1:17" x14ac:dyDescent="0.25">
      <c r="A1447" t="str">
        <f>IF(C1447&amp;G1447&amp;D1447&lt;&gt;'Funnel setup'!$K$3&amp;'Funnel setup'!$K$4&amp;'Funnel setup'!$K$6,".",IF(A1446=".",1,A1446+1))</f>
        <v>.</v>
      </c>
      <c r="B1447" s="244" t="str">
        <f t="shared" si="22"/>
        <v>Hip Replacement RevisionProviderWYE VALLEY NHS TRUST (RLQ)EQ VAS</v>
      </c>
      <c r="C1447" t="s">
        <v>967</v>
      </c>
      <c r="D1447" t="s">
        <v>965</v>
      </c>
      <c r="E1447" t="s">
        <v>726</v>
      </c>
      <c r="F1447" t="s">
        <v>727</v>
      </c>
      <c r="G1447" t="s">
        <v>752</v>
      </c>
      <c r="H1447" t="s">
        <v>968</v>
      </c>
      <c r="I1447" t="s">
        <v>968</v>
      </c>
      <c r="J1447" t="s">
        <v>968</v>
      </c>
      <c r="K1447" t="s">
        <v>968</v>
      </c>
      <c r="L1447" t="s">
        <v>968</v>
      </c>
      <c r="M1447" t="s">
        <v>968</v>
      </c>
      <c r="N1447" t="s">
        <v>968</v>
      </c>
      <c r="O1447" t="s">
        <v>968</v>
      </c>
      <c r="P1447" t="s">
        <v>968</v>
      </c>
      <c r="Q1447" t="s">
        <v>968</v>
      </c>
    </row>
    <row r="1448" spans="1:17" x14ac:dyDescent="0.25">
      <c r="A1448" t="str">
        <f>IF(C1448&amp;G1448&amp;D1448&lt;&gt;'Funnel setup'!$K$3&amp;'Funnel setup'!$K$4&amp;'Funnel setup'!$K$6,".",IF(A1447=".",1,A1447+1))</f>
        <v>.</v>
      </c>
      <c r="B1448" s="244" t="str">
        <f t="shared" si="22"/>
        <v>Hip Replacement RevisionProviderASHFORD AND ST PETER'S HOSPITALS NHS FOUNDATION TRUST (RTK)EQ-5D Index</v>
      </c>
      <c r="C1448" t="s">
        <v>967</v>
      </c>
      <c r="D1448" t="s">
        <v>965</v>
      </c>
      <c r="E1448" t="s">
        <v>132</v>
      </c>
      <c r="F1448" t="s">
        <v>133</v>
      </c>
      <c r="G1448" t="s">
        <v>963</v>
      </c>
      <c r="H1448">
        <v>1</v>
      </c>
      <c r="I1448">
        <v>-7.3999999999999996E-2</v>
      </c>
      <c r="J1448">
        <v>0.51600000000000001</v>
      </c>
      <c r="K1448">
        <v>0.59</v>
      </c>
      <c r="L1448">
        <v>1</v>
      </c>
      <c r="M1448">
        <v>0</v>
      </c>
      <c r="N1448">
        <v>0</v>
      </c>
      <c r="O1448" t="s">
        <v>127</v>
      </c>
      <c r="P1448" t="s">
        <v>127</v>
      </c>
      <c r="Q1448" t="s">
        <v>127</v>
      </c>
    </row>
    <row r="1449" spans="1:17" x14ac:dyDescent="0.25">
      <c r="A1449" t="str">
        <f>IF(C1449&amp;G1449&amp;D1449&lt;&gt;'Funnel setup'!$K$3&amp;'Funnel setup'!$K$4&amp;'Funnel setup'!$K$6,".",IF(A1448=".",1,A1448+1))</f>
        <v>.</v>
      </c>
      <c r="B1449" s="244" t="str">
        <f t="shared" si="22"/>
        <v>Hip Replacement RevisionProviderBARKING, HAVERING AND REDBRIDGE UNIVERSITY HOSPITALS NHS TRUST (RF4)EQ-5D Index</v>
      </c>
      <c r="C1449" t="s">
        <v>967</v>
      </c>
      <c r="D1449" t="s">
        <v>965</v>
      </c>
      <c r="E1449" t="s">
        <v>144</v>
      </c>
      <c r="F1449" t="s">
        <v>145</v>
      </c>
      <c r="G1449" t="s">
        <v>963</v>
      </c>
      <c r="H1449">
        <v>2</v>
      </c>
      <c r="I1449">
        <v>-7.3999999999999996E-2</v>
      </c>
      <c r="J1449">
        <v>0.87150000000000005</v>
      </c>
      <c r="K1449">
        <v>0.94550000000000001</v>
      </c>
      <c r="L1449">
        <v>2</v>
      </c>
      <c r="M1449">
        <v>0</v>
      </c>
      <c r="N1449">
        <v>0</v>
      </c>
      <c r="O1449" t="s">
        <v>127</v>
      </c>
      <c r="P1449" t="s">
        <v>127</v>
      </c>
      <c r="Q1449" t="s">
        <v>127</v>
      </c>
    </row>
    <row r="1450" spans="1:17" x14ac:dyDescent="0.25">
      <c r="A1450" t="str">
        <f>IF(C1450&amp;G1450&amp;D1450&lt;&gt;'Funnel setup'!$K$3&amp;'Funnel setup'!$K$4&amp;'Funnel setup'!$K$6,".",IF(A1449=".",1,A1449+1))</f>
        <v>.</v>
      </c>
      <c r="B1450" s="244" t="str">
        <f t="shared" si="22"/>
        <v>Hip Replacement RevisionProviderBARTS HEALTH NHS TRUST (R1H)EQ-5D Index</v>
      </c>
      <c r="C1450" t="s">
        <v>967</v>
      </c>
      <c r="D1450" t="s">
        <v>965</v>
      </c>
      <c r="E1450" t="s">
        <v>148</v>
      </c>
      <c r="F1450" t="s">
        <v>149</v>
      </c>
      <c r="G1450" t="s">
        <v>963</v>
      </c>
      <c r="H1450">
        <v>1</v>
      </c>
      <c r="I1450">
        <v>0.51600000000000001</v>
      </c>
      <c r="J1450">
        <v>8.2000000000000003E-2</v>
      </c>
      <c r="K1450">
        <v>-0.434</v>
      </c>
      <c r="L1450">
        <v>0</v>
      </c>
      <c r="M1450">
        <v>0</v>
      </c>
      <c r="N1450">
        <v>1</v>
      </c>
      <c r="O1450" t="s">
        <v>127</v>
      </c>
      <c r="P1450" t="s">
        <v>127</v>
      </c>
      <c r="Q1450" t="s">
        <v>127</v>
      </c>
    </row>
    <row r="1451" spans="1:17" x14ac:dyDescent="0.25">
      <c r="A1451" t="str">
        <f>IF(C1451&amp;G1451&amp;D1451&lt;&gt;'Funnel setup'!$K$3&amp;'Funnel setup'!$K$4&amp;'Funnel setup'!$K$6,".",IF(A1450=".",1,A1450+1))</f>
        <v>.</v>
      </c>
      <c r="B1451" s="244" t="str">
        <f t="shared" si="22"/>
        <v>Hip Replacement RevisionProviderBEDFORDSHIRE HOSPITALS NHS FOUNDATION TRUST (RC9)EQ-5D Index</v>
      </c>
      <c r="C1451" t="s">
        <v>967</v>
      </c>
      <c r="D1451" t="s">
        <v>965</v>
      </c>
      <c r="E1451" t="s">
        <v>158</v>
      </c>
      <c r="F1451" t="s">
        <v>159</v>
      </c>
      <c r="G1451" t="s">
        <v>963</v>
      </c>
      <c r="H1451">
        <v>3</v>
      </c>
      <c r="I1451">
        <v>0.224</v>
      </c>
      <c r="J1451">
        <v>0.69099999999999995</v>
      </c>
      <c r="K1451">
        <v>0.46700000000000003</v>
      </c>
      <c r="L1451">
        <v>2</v>
      </c>
      <c r="M1451">
        <v>1</v>
      </c>
      <c r="N1451">
        <v>0</v>
      </c>
      <c r="O1451" t="s">
        <v>127</v>
      </c>
      <c r="P1451" t="s">
        <v>127</v>
      </c>
      <c r="Q1451" t="s">
        <v>127</v>
      </c>
    </row>
    <row r="1452" spans="1:17" x14ac:dyDescent="0.25">
      <c r="A1452" t="str">
        <f>IF(C1452&amp;G1452&amp;D1452&lt;&gt;'Funnel setup'!$K$3&amp;'Funnel setup'!$K$4&amp;'Funnel setup'!$K$6,".",IF(A1451=".",1,A1451+1))</f>
        <v>.</v>
      </c>
      <c r="B1452" s="244" t="str">
        <f t="shared" si="22"/>
        <v>Hip Replacement RevisionProviderBLACKPOOL TEACHING HOSPITALS NHS FOUNDATION TRUST (RXL)EQ-5D Index</v>
      </c>
      <c r="C1452" t="s">
        <v>967</v>
      </c>
      <c r="D1452" t="s">
        <v>965</v>
      </c>
      <c r="E1452" t="s">
        <v>170</v>
      </c>
      <c r="F1452" t="s">
        <v>171</v>
      </c>
      <c r="G1452" t="s">
        <v>963</v>
      </c>
      <c r="H1452">
        <v>1</v>
      </c>
      <c r="I1452">
        <v>0.79600000000000004</v>
      </c>
      <c r="J1452">
        <v>1</v>
      </c>
      <c r="K1452">
        <v>0.20399999999999999</v>
      </c>
      <c r="L1452">
        <v>1</v>
      </c>
      <c r="M1452">
        <v>0</v>
      </c>
      <c r="N1452">
        <v>0</v>
      </c>
      <c r="O1452" t="s">
        <v>127</v>
      </c>
      <c r="P1452" t="s">
        <v>127</v>
      </c>
      <c r="Q1452" t="s">
        <v>127</v>
      </c>
    </row>
    <row r="1453" spans="1:17" x14ac:dyDescent="0.25">
      <c r="A1453" t="str">
        <f>IF(C1453&amp;G1453&amp;D1453&lt;&gt;'Funnel setup'!$K$3&amp;'Funnel setup'!$K$4&amp;'Funnel setup'!$K$6,".",IF(A1452=".",1,A1452+1))</f>
        <v>.</v>
      </c>
      <c r="B1453" s="244" t="str">
        <f t="shared" si="22"/>
        <v>Hip Replacement RevisionProviderBRADFORD TEACHING HOSPITALS NHS FOUNDATION TRUST (RAE)EQ-5D Index</v>
      </c>
      <c r="C1453" t="s">
        <v>967</v>
      </c>
      <c r="D1453" t="s">
        <v>965</v>
      </c>
      <c r="E1453" t="s">
        <v>174</v>
      </c>
      <c r="F1453" t="s">
        <v>175</v>
      </c>
      <c r="G1453" t="s">
        <v>963</v>
      </c>
      <c r="H1453">
        <v>2</v>
      </c>
      <c r="I1453">
        <v>0.28549999999999998</v>
      </c>
      <c r="J1453">
        <v>1</v>
      </c>
      <c r="K1453">
        <v>0.71450000000000002</v>
      </c>
      <c r="L1453">
        <v>2</v>
      </c>
      <c r="M1453">
        <v>0</v>
      </c>
      <c r="N1453">
        <v>0</v>
      </c>
      <c r="O1453" t="s">
        <v>127</v>
      </c>
      <c r="P1453" t="s">
        <v>127</v>
      </c>
      <c r="Q1453" t="s">
        <v>127</v>
      </c>
    </row>
    <row r="1454" spans="1:17" x14ac:dyDescent="0.25">
      <c r="A1454" t="str">
        <f>IF(C1454&amp;G1454&amp;D1454&lt;&gt;'Funnel setup'!$K$3&amp;'Funnel setup'!$K$4&amp;'Funnel setup'!$K$6,".",IF(A1453=".",1,A1453+1))</f>
        <v>.</v>
      </c>
      <c r="B1454" s="244" t="str">
        <f t="shared" si="22"/>
        <v>Hip Replacement RevisionProviderBUCKINGHAMSHIRE HEALTHCARE NHS TRUST (RXQ)EQ-5D Index</v>
      </c>
      <c r="C1454" t="s">
        <v>967</v>
      </c>
      <c r="D1454" t="s">
        <v>965</v>
      </c>
      <c r="E1454" t="s">
        <v>178</v>
      </c>
      <c r="F1454" t="s">
        <v>179</v>
      </c>
      <c r="G1454" t="s">
        <v>963</v>
      </c>
      <c r="H1454">
        <v>8</v>
      </c>
      <c r="I1454">
        <v>0.31674999999999998</v>
      </c>
      <c r="J1454">
        <v>0.70362499999999994</v>
      </c>
      <c r="K1454">
        <v>0.38687500000000002</v>
      </c>
      <c r="L1454">
        <v>7</v>
      </c>
      <c r="M1454">
        <v>0</v>
      </c>
      <c r="N1454">
        <v>1</v>
      </c>
      <c r="O1454" t="s">
        <v>127</v>
      </c>
      <c r="P1454" t="s">
        <v>127</v>
      </c>
      <c r="Q1454" t="s">
        <v>127</v>
      </c>
    </row>
    <row r="1455" spans="1:17" x14ac:dyDescent="0.25">
      <c r="A1455" t="str">
        <f>IF(C1455&amp;G1455&amp;D1455&lt;&gt;'Funnel setup'!$K$3&amp;'Funnel setup'!$K$4&amp;'Funnel setup'!$K$6,".",IF(A1454=".",1,A1454+1))</f>
        <v>.</v>
      </c>
      <c r="B1455" s="244" t="str">
        <f t="shared" si="22"/>
        <v>Hip Replacement RevisionProviderCALDERDALE AND HUDDERSFIELD NHS FOUNDATION TRUST (RWY)EQ-5D Index</v>
      </c>
      <c r="C1455" t="s">
        <v>967</v>
      </c>
      <c r="D1455" t="s">
        <v>965</v>
      </c>
      <c r="E1455" t="s">
        <v>180</v>
      </c>
      <c r="F1455" t="s">
        <v>181</v>
      </c>
      <c r="G1455" t="s">
        <v>963</v>
      </c>
      <c r="H1455">
        <v>5</v>
      </c>
      <c r="I1455">
        <v>0.33900000000000002</v>
      </c>
      <c r="J1455">
        <v>0.46660000000000001</v>
      </c>
      <c r="K1455">
        <v>0.12759999999999999</v>
      </c>
      <c r="L1455">
        <v>3</v>
      </c>
      <c r="M1455">
        <v>1</v>
      </c>
      <c r="N1455">
        <v>1</v>
      </c>
      <c r="O1455" t="s">
        <v>127</v>
      </c>
      <c r="P1455" t="s">
        <v>127</v>
      </c>
      <c r="Q1455" t="s">
        <v>127</v>
      </c>
    </row>
    <row r="1456" spans="1:17" x14ac:dyDescent="0.25">
      <c r="A1456" t="str">
        <f>IF(C1456&amp;G1456&amp;D1456&lt;&gt;'Funnel setup'!$K$3&amp;'Funnel setup'!$K$4&amp;'Funnel setup'!$K$6,".",IF(A1455=".",1,A1455+1))</f>
        <v>.</v>
      </c>
      <c r="B1456" s="244" t="str">
        <f t="shared" si="22"/>
        <v>Hip Replacement RevisionProviderCAMBRIDGE UNIVERSITY HOSPITALS NHS FOUNDATION TRUST (RGT)EQ-5D Index</v>
      </c>
      <c r="C1456" t="s">
        <v>967</v>
      </c>
      <c r="D1456" t="s">
        <v>965</v>
      </c>
      <c r="E1456" t="s">
        <v>182</v>
      </c>
      <c r="F1456" t="s">
        <v>183</v>
      </c>
      <c r="G1456" t="s">
        <v>963</v>
      </c>
      <c r="H1456">
        <v>11</v>
      </c>
      <c r="I1456">
        <v>0.45536399999999999</v>
      </c>
      <c r="J1456">
        <v>0.75009099999999995</v>
      </c>
      <c r="K1456">
        <v>0.29472700000000002</v>
      </c>
      <c r="L1456">
        <v>6</v>
      </c>
      <c r="M1456">
        <v>4</v>
      </c>
      <c r="N1456">
        <v>1</v>
      </c>
      <c r="O1456" t="s">
        <v>127</v>
      </c>
      <c r="P1456" t="s">
        <v>127</v>
      </c>
      <c r="Q1456" t="s">
        <v>127</v>
      </c>
    </row>
    <row r="1457" spans="1:17" x14ac:dyDescent="0.25">
      <c r="A1457" t="str">
        <f>IF(C1457&amp;G1457&amp;D1457&lt;&gt;'Funnel setup'!$K$3&amp;'Funnel setup'!$K$4&amp;'Funnel setup'!$K$6,".",IF(A1456=".",1,A1456+1))</f>
        <v>.</v>
      </c>
      <c r="B1457" s="244" t="str">
        <f t="shared" si="22"/>
        <v>Hip Replacement RevisionProviderCHESTERFIELD ROYAL HOSPITAL NHS FOUNDATION TRUST (RFS)EQ-5D Index</v>
      </c>
      <c r="C1457" t="s">
        <v>967</v>
      </c>
      <c r="D1457" t="s">
        <v>965</v>
      </c>
      <c r="E1457" t="s">
        <v>192</v>
      </c>
      <c r="F1457" t="s">
        <v>193</v>
      </c>
      <c r="G1457" t="s">
        <v>963</v>
      </c>
      <c r="H1457">
        <v>4</v>
      </c>
      <c r="I1457">
        <v>0.3125</v>
      </c>
      <c r="J1457">
        <v>0.53625</v>
      </c>
      <c r="K1457">
        <v>0.22375</v>
      </c>
      <c r="L1457">
        <v>3</v>
      </c>
      <c r="M1457">
        <v>0</v>
      </c>
      <c r="N1457">
        <v>1</v>
      </c>
      <c r="O1457" t="s">
        <v>127</v>
      </c>
      <c r="P1457" t="s">
        <v>127</v>
      </c>
      <c r="Q1457" t="s">
        <v>127</v>
      </c>
    </row>
    <row r="1458" spans="1:17" x14ac:dyDescent="0.25">
      <c r="A1458" t="str">
        <f>IF(C1458&amp;G1458&amp;D1458&lt;&gt;'Funnel setup'!$K$3&amp;'Funnel setup'!$K$4&amp;'Funnel setup'!$K$6,".",IF(A1457=".",1,A1457+1))</f>
        <v>.</v>
      </c>
      <c r="B1458" s="244" t="str">
        <f t="shared" si="22"/>
        <v>Hip Replacement RevisionProviderCLIFTON PARK HOSPITAL (NVC28)EQ-5D Index</v>
      </c>
      <c r="C1458" t="s">
        <v>967</v>
      </c>
      <c r="D1458" t="s">
        <v>965</v>
      </c>
      <c r="E1458" t="s">
        <v>202</v>
      </c>
      <c r="F1458" t="s">
        <v>203</v>
      </c>
      <c r="G1458" t="s">
        <v>963</v>
      </c>
      <c r="H1458">
        <v>1</v>
      </c>
      <c r="I1458">
        <v>1</v>
      </c>
      <c r="J1458">
        <v>1</v>
      </c>
      <c r="K1458">
        <v>0</v>
      </c>
      <c r="L1458">
        <v>0</v>
      </c>
      <c r="M1458">
        <v>1</v>
      </c>
      <c r="N1458">
        <v>0</v>
      </c>
      <c r="O1458" t="s">
        <v>127</v>
      </c>
      <c r="P1458" t="s">
        <v>127</v>
      </c>
      <c r="Q1458" t="s">
        <v>127</v>
      </c>
    </row>
    <row r="1459" spans="1:17" x14ac:dyDescent="0.25">
      <c r="A1459" t="str">
        <f>IF(C1459&amp;G1459&amp;D1459&lt;&gt;'Funnel setup'!$K$3&amp;'Funnel setup'!$K$4&amp;'Funnel setup'!$K$6,".",IF(A1458=".",1,A1458+1))</f>
        <v>.</v>
      </c>
      <c r="B1459" s="244" t="str">
        <f t="shared" si="22"/>
        <v>Hip Replacement RevisionProviderCOUNTY DURHAM AND DARLINGTON NHS FOUNDATION TRUST (RXP)EQ-5D Index</v>
      </c>
      <c r="C1459" t="s">
        <v>967</v>
      </c>
      <c r="D1459" t="s">
        <v>965</v>
      </c>
      <c r="E1459" t="s">
        <v>206</v>
      </c>
      <c r="F1459" t="s">
        <v>207</v>
      </c>
      <c r="G1459" t="s">
        <v>963</v>
      </c>
      <c r="H1459">
        <v>1</v>
      </c>
      <c r="I1459">
        <v>0.69099999999999995</v>
      </c>
      <c r="J1459">
        <v>0.69099999999999995</v>
      </c>
      <c r="K1459">
        <v>0</v>
      </c>
      <c r="L1459">
        <v>0</v>
      </c>
      <c r="M1459">
        <v>1</v>
      </c>
      <c r="N1459">
        <v>0</v>
      </c>
      <c r="O1459" t="s">
        <v>127</v>
      </c>
      <c r="P1459" t="s">
        <v>127</v>
      </c>
      <c r="Q1459" t="s">
        <v>127</v>
      </c>
    </row>
    <row r="1460" spans="1:17" x14ac:dyDescent="0.25">
      <c r="A1460" t="str">
        <f>IF(C1460&amp;G1460&amp;D1460&lt;&gt;'Funnel setup'!$K$3&amp;'Funnel setup'!$K$4&amp;'Funnel setup'!$K$6,".",IF(A1459=".",1,A1459+1))</f>
        <v>.</v>
      </c>
      <c r="B1460" s="244" t="str">
        <f t="shared" si="22"/>
        <v>Hip Replacement RevisionProviderDONCASTER AND BASSETLAW TEACHING HOSPITALS NHS FOUNDATION TRUST (RP5)EQ-5D Index</v>
      </c>
      <c r="C1460" t="s">
        <v>967</v>
      </c>
      <c r="D1460" t="s">
        <v>965</v>
      </c>
      <c r="E1460" t="s">
        <v>212</v>
      </c>
      <c r="F1460" t="s">
        <v>213</v>
      </c>
      <c r="G1460" t="s">
        <v>963</v>
      </c>
      <c r="H1460">
        <v>3</v>
      </c>
      <c r="I1460">
        <v>0.38400000000000001</v>
      </c>
      <c r="J1460">
        <v>0.26433299999999998</v>
      </c>
      <c r="K1460">
        <v>-0.119667</v>
      </c>
      <c r="L1460">
        <v>1</v>
      </c>
      <c r="M1460">
        <v>0</v>
      </c>
      <c r="N1460">
        <v>2</v>
      </c>
      <c r="O1460" t="s">
        <v>127</v>
      </c>
      <c r="P1460" t="s">
        <v>127</v>
      </c>
      <c r="Q1460" t="s">
        <v>127</v>
      </c>
    </row>
    <row r="1461" spans="1:17" x14ac:dyDescent="0.25">
      <c r="A1461" t="str">
        <f>IF(C1461&amp;G1461&amp;D1461&lt;&gt;'Funnel setup'!$K$3&amp;'Funnel setup'!$K$4&amp;'Funnel setup'!$K$6,".",IF(A1460=".",1,A1460+1))</f>
        <v>.</v>
      </c>
      <c r="B1461" s="244" t="str">
        <f t="shared" si="22"/>
        <v>Hip Replacement RevisionProviderDORSET COUNTY HOSPITAL NHS FOUNDATION TRUST (RBD)EQ-5D Index</v>
      </c>
      <c r="C1461" t="s">
        <v>967</v>
      </c>
      <c r="D1461" t="s">
        <v>965</v>
      </c>
      <c r="E1461" t="s">
        <v>214</v>
      </c>
      <c r="F1461" t="s">
        <v>215</v>
      </c>
      <c r="G1461" t="s">
        <v>963</v>
      </c>
      <c r="H1461">
        <v>1</v>
      </c>
      <c r="I1461">
        <v>1</v>
      </c>
      <c r="J1461">
        <v>0.76</v>
      </c>
      <c r="K1461">
        <v>-0.24</v>
      </c>
      <c r="L1461">
        <v>0</v>
      </c>
      <c r="M1461">
        <v>0</v>
      </c>
      <c r="N1461">
        <v>1</v>
      </c>
      <c r="O1461" t="s">
        <v>127</v>
      </c>
      <c r="P1461" t="s">
        <v>127</v>
      </c>
      <c r="Q1461" t="s">
        <v>127</v>
      </c>
    </row>
    <row r="1462" spans="1:17" x14ac:dyDescent="0.25">
      <c r="A1462" t="str">
        <f>IF(C1462&amp;G1462&amp;D1462&lt;&gt;'Funnel setup'!$K$3&amp;'Funnel setup'!$K$4&amp;'Funnel setup'!$K$6,".",IF(A1461=".",1,A1461+1))</f>
        <v>.</v>
      </c>
      <c r="B1462" s="244" t="str">
        <f t="shared" si="22"/>
        <v>Hip Replacement RevisionProviderEAST AND NORTH HERTFORDSHIRE NHS TRUST (RWH)EQ-5D Index</v>
      </c>
      <c r="C1462" t="s">
        <v>967</v>
      </c>
      <c r="D1462" t="s">
        <v>965</v>
      </c>
      <c r="E1462" t="s">
        <v>224</v>
      </c>
      <c r="F1462" t="s">
        <v>225</v>
      </c>
      <c r="G1462" t="s">
        <v>963</v>
      </c>
      <c r="H1462">
        <v>8</v>
      </c>
      <c r="I1462">
        <v>0.34449999999999997</v>
      </c>
      <c r="J1462">
        <v>0.82425000000000004</v>
      </c>
      <c r="K1462">
        <v>0.47975000000000001</v>
      </c>
      <c r="L1462">
        <v>8</v>
      </c>
      <c r="M1462">
        <v>0</v>
      </c>
      <c r="N1462">
        <v>0</v>
      </c>
      <c r="O1462" t="s">
        <v>127</v>
      </c>
      <c r="P1462" t="s">
        <v>127</v>
      </c>
      <c r="Q1462" t="s">
        <v>127</v>
      </c>
    </row>
    <row r="1463" spans="1:17" x14ac:dyDescent="0.25">
      <c r="A1463" t="str">
        <f>IF(C1463&amp;G1463&amp;D1463&lt;&gt;'Funnel setup'!$K$3&amp;'Funnel setup'!$K$4&amp;'Funnel setup'!$K$6,".",IF(A1462=".",1,A1462+1))</f>
        <v>.</v>
      </c>
      <c r="B1463" s="244" t="str">
        <f t="shared" si="22"/>
        <v>Hip Replacement RevisionProviderEAST KENT HOSPITALS UNIVERSITY NHS FOUNDATION TRUST (RVV)EQ-5D Index</v>
      </c>
      <c r="C1463" t="s">
        <v>967</v>
      </c>
      <c r="D1463" t="s">
        <v>965</v>
      </c>
      <c r="E1463" t="s">
        <v>228</v>
      </c>
      <c r="F1463" t="s">
        <v>229</v>
      </c>
      <c r="G1463" t="s">
        <v>963</v>
      </c>
      <c r="H1463">
        <v>6</v>
      </c>
      <c r="I1463">
        <v>0.30416700000000002</v>
      </c>
      <c r="J1463">
        <v>0.71116699999999999</v>
      </c>
      <c r="K1463">
        <v>0.40699999999999997</v>
      </c>
      <c r="L1463">
        <v>5</v>
      </c>
      <c r="M1463">
        <v>1</v>
      </c>
      <c r="N1463">
        <v>0</v>
      </c>
      <c r="O1463" t="s">
        <v>127</v>
      </c>
      <c r="P1463" t="s">
        <v>127</v>
      </c>
      <c r="Q1463" t="s">
        <v>127</v>
      </c>
    </row>
    <row r="1464" spans="1:17" x14ac:dyDescent="0.25">
      <c r="A1464" t="str">
        <f>IF(C1464&amp;G1464&amp;D1464&lt;&gt;'Funnel setup'!$K$3&amp;'Funnel setup'!$K$4&amp;'Funnel setup'!$K$6,".",IF(A1463=".",1,A1463+1))</f>
        <v>.</v>
      </c>
      <c r="B1464" s="244" t="str">
        <f t="shared" si="22"/>
        <v>Hip Replacement RevisionProviderEAST SUFFOLK AND NORTH ESSEX NHS FOUNDATION TRUST (RDE)EQ-5D Index</v>
      </c>
      <c r="C1464" t="s">
        <v>967</v>
      </c>
      <c r="D1464" t="s">
        <v>965</v>
      </c>
      <c r="E1464" t="s">
        <v>232</v>
      </c>
      <c r="F1464" t="s">
        <v>233</v>
      </c>
      <c r="G1464" t="s">
        <v>963</v>
      </c>
      <c r="H1464">
        <v>6</v>
      </c>
      <c r="I1464">
        <v>0.35749999999999998</v>
      </c>
      <c r="J1464">
        <v>0.87166699999999997</v>
      </c>
      <c r="K1464">
        <v>0.51416700000000004</v>
      </c>
      <c r="L1464">
        <v>6</v>
      </c>
      <c r="M1464">
        <v>0</v>
      </c>
      <c r="N1464">
        <v>0</v>
      </c>
      <c r="O1464" t="s">
        <v>127</v>
      </c>
      <c r="P1464" t="s">
        <v>127</v>
      </c>
      <c r="Q1464" t="s">
        <v>127</v>
      </c>
    </row>
    <row r="1465" spans="1:17" x14ac:dyDescent="0.25">
      <c r="A1465" t="str">
        <f>IF(C1465&amp;G1465&amp;D1465&lt;&gt;'Funnel setup'!$K$3&amp;'Funnel setup'!$K$4&amp;'Funnel setup'!$K$6,".",IF(A1464=".",1,A1464+1))</f>
        <v>.</v>
      </c>
      <c r="B1465" s="244" t="str">
        <f t="shared" si="22"/>
        <v>Hip Replacement RevisionProviderEAST SUSSEX HEALTHCARE NHS TRUST (RXC)EQ-5D Index</v>
      </c>
      <c r="C1465" t="s">
        <v>967</v>
      </c>
      <c r="D1465" t="s">
        <v>965</v>
      </c>
      <c r="E1465" t="s">
        <v>234</v>
      </c>
      <c r="F1465" t="s">
        <v>235</v>
      </c>
      <c r="G1465" t="s">
        <v>963</v>
      </c>
      <c r="H1465">
        <v>7</v>
      </c>
      <c r="I1465">
        <v>0.51342900000000002</v>
      </c>
      <c r="J1465">
        <v>0.59728599999999998</v>
      </c>
      <c r="K1465">
        <v>8.3857100000000004E-2</v>
      </c>
      <c r="L1465">
        <v>4</v>
      </c>
      <c r="M1465">
        <v>1</v>
      </c>
      <c r="N1465">
        <v>2</v>
      </c>
      <c r="O1465" t="s">
        <v>127</v>
      </c>
      <c r="P1465" t="s">
        <v>127</v>
      </c>
      <c r="Q1465" t="s">
        <v>127</v>
      </c>
    </row>
    <row r="1466" spans="1:17" x14ac:dyDescent="0.25">
      <c r="A1466" t="str">
        <f>IF(C1466&amp;G1466&amp;D1466&lt;&gt;'Funnel setup'!$K$3&amp;'Funnel setup'!$K$4&amp;'Funnel setup'!$K$6,".",IF(A1465=".",1,A1465+1))</f>
        <v>.</v>
      </c>
      <c r="B1466" s="244" t="str">
        <f t="shared" si="22"/>
        <v>Hip Replacement RevisionProviderEPSOM AND ST HELIER UNIVERSITY HOSPITALS NHS TRUST (RVR)EQ-5D Index</v>
      </c>
      <c r="C1466" t="s">
        <v>967</v>
      </c>
      <c r="D1466" t="s">
        <v>965</v>
      </c>
      <c r="E1466" t="s">
        <v>238</v>
      </c>
      <c r="F1466" t="s">
        <v>239</v>
      </c>
      <c r="G1466" t="s">
        <v>963</v>
      </c>
      <c r="H1466">
        <v>34</v>
      </c>
      <c r="I1466">
        <v>0.438</v>
      </c>
      <c r="J1466">
        <v>0.79385300000000003</v>
      </c>
      <c r="K1466">
        <v>0.35585299999999997</v>
      </c>
      <c r="L1466">
        <v>28</v>
      </c>
      <c r="M1466">
        <v>2</v>
      </c>
      <c r="N1466">
        <v>4</v>
      </c>
      <c r="O1466">
        <v>0.77117500000000005</v>
      </c>
      <c r="P1466">
        <v>0.40239399999999997</v>
      </c>
      <c r="Q1466">
        <v>0.21138499999999999</v>
      </c>
    </row>
    <row r="1467" spans="1:17" x14ac:dyDescent="0.25">
      <c r="A1467" t="str">
        <f>IF(C1467&amp;G1467&amp;D1467&lt;&gt;'Funnel setup'!$K$3&amp;'Funnel setup'!$K$4&amp;'Funnel setup'!$K$6,".",IF(A1466=".",1,A1466+1))</f>
        <v>.</v>
      </c>
      <c r="B1467" s="244" t="str">
        <f t="shared" si="22"/>
        <v>Hip Replacement RevisionProviderFITZWILLIAM HOSPITAL (NVC06)EQ-5D Index</v>
      </c>
      <c r="C1467" t="s">
        <v>967</v>
      </c>
      <c r="D1467" t="s">
        <v>965</v>
      </c>
      <c r="E1467" t="s">
        <v>244</v>
      </c>
      <c r="F1467" t="s">
        <v>245</v>
      </c>
      <c r="G1467" t="s">
        <v>963</v>
      </c>
      <c r="H1467" t="s">
        <v>127</v>
      </c>
      <c r="I1467" t="s">
        <v>127</v>
      </c>
      <c r="J1467" t="s">
        <v>127</v>
      </c>
      <c r="K1467" t="s">
        <v>127</v>
      </c>
      <c r="L1467" t="s">
        <v>127</v>
      </c>
      <c r="M1467" t="s">
        <v>127</v>
      </c>
      <c r="N1467" t="s">
        <v>127</v>
      </c>
      <c r="O1467" t="s">
        <v>127</v>
      </c>
      <c r="P1467" t="s">
        <v>127</v>
      </c>
      <c r="Q1467" t="s">
        <v>127</v>
      </c>
    </row>
    <row r="1468" spans="1:17" x14ac:dyDescent="0.25">
      <c r="A1468" t="str">
        <f>IF(C1468&amp;G1468&amp;D1468&lt;&gt;'Funnel setup'!$K$3&amp;'Funnel setup'!$K$4&amp;'Funnel setup'!$K$6,".",IF(A1467=".",1,A1467+1))</f>
        <v>.</v>
      </c>
      <c r="B1468" s="244" t="str">
        <f t="shared" si="22"/>
        <v>Hip Replacement RevisionProviderFRIMLEY HEALTH NHS FOUNDATION TRUST (RDU)EQ-5D Index</v>
      </c>
      <c r="C1468" t="s">
        <v>967</v>
      </c>
      <c r="D1468" t="s">
        <v>965</v>
      </c>
      <c r="E1468" t="s">
        <v>248</v>
      </c>
      <c r="F1468" t="s">
        <v>249</v>
      </c>
      <c r="G1468" t="s">
        <v>963</v>
      </c>
      <c r="H1468">
        <v>14</v>
      </c>
      <c r="I1468">
        <v>0.33678599999999997</v>
      </c>
      <c r="J1468">
        <v>0.90007099999999995</v>
      </c>
      <c r="K1468">
        <v>0.56328599999999995</v>
      </c>
      <c r="L1468">
        <v>13</v>
      </c>
      <c r="M1468">
        <v>0</v>
      </c>
      <c r="N1468">
        <v>1</v>
      </c>
      <c r="O1468" t="s">
        <v>127</v>
      </c>
      <c r="P1468" t="s">
        <v>127</v>
      </c>
      <c r="Q1468" t="s">
        <v>127</v>
      </c>
    </row>
    <row r="1469" spans="1:17" x14ac:dyDescent="0.25">
      <c r="A1469" t="str">
        <f>IF(C1469&amp;G1469&amp;D1469&lt;&gt;'Funnel setup'!$K$3&amp;'Funnel setup'!$K$4&amp;'Funnel setup'!$K$6,".",IF(A1468=".",1,A1468+1))</f>
        <v>.</v>
      </c>
      <c r="B1469" s="244" t="str">
        <f t="shared" si="22"/>
        <v>Hip Replacement RevisionProviderGATESHEAD HEALTH NHS FOUNDATION TRUST (RR7)EQ-5D Index</v>
      </c>
      <c r="C1469" t="s">
        <v>967</v>
      </c>
      <c r="D1469" t="s">
        <v>965</v>
      </c>
      <c r="E1469" t="s">
        <v>252</v>
      </c>
      <c r="F1469" t="s">
        <v>253</v>
      </c>
      <c r="G1469" t="s">
        <v>963</v>
      </c>
      <c r="H1469">
        <v>3</v>
      </c>
      <c r="I1469">
        <v>0.193</v>
      </c>
      <c r="J1469">
        <v>3.1E-2</v>
      </c>
      <c r="K1469">
        <v>-0.16200000000000001</v>
      </c>
      <c r="L1469">
        <v>0</v>
      </c>
      <c r="M1469">
        <v>0</v>
      </c>
      <c r="N1469">
        <v>3</v>
      </c>
      <c r="O1469" t="s">
        <v>127</v>
      </c>
      <c r="P1469" t="s">
        <v>127</v>
      </c>
      <c r="Q1469" t="s">
        <v>127</v>
      </c>
    </row>
    <row r="1470" spans="1:17" x14ac:dyDescent="0.25">
      <c r="A1470" t="str">
        <f>IF(C1470&amp;G1470&amp;D1470&lt;&gt;'Funnel setup'!$K$3&amp;'Funnel setup'!$K$4&amp;'Funnel setup'!$K$6,".",IF(A1469=".",1,A1469+1))</f>
        <v>.</v>
      </c>
      <c r="B1470" s="244" t="str">
        <f t="shared" si="22"/>
        <v>Hip Replacement RevisionProviderGLOUCESTERSHIRE HOSPITALS NHS FOUNDATION TRUST (RTE)EQ-5D Index</v>
      </c>
      <c r="C1470" t="s">
        <v>967</v>
      </c>
      <c r="D1470" t="s">
        <v>965</v>
      </c>
      <c r="E1470" t="s">
        <v>256</v>
      </c>
      <c r="F1470" t="s">
        <v>257</v>
      </c>
      <c r="G1470" t="s">
        <v>963</v>
      </c>
      <c r="H1470">
        <v>2</v>
      </c>
      <c r="I1470">
        <v>0.223</v>
      </c>
      <c r="J1470">
        <v>0.71699999999999997</v>
      </c>
      <c r="K1470">
        <v>0.49399999999999999</v>
      </c>
      <c r="L1470">
        <v>2</v>
      </c>
      <c r="M1470">
        <v>0</v>
      </c>
      <c r="N1470">
        <v>0</v>
      </c>
      <c r="O1470" t="s">
        <v>127</v>
      </c>
      <c r="P1470" t="s">
        <v>127</v>
      </c>
      <c r="Q1470" t="s">
        <v>127</v>
      </c>
    </row>
    <row r="1471" spans="1:17" x14ac:dyDescent="0.25">
      <c r="A1471" t="str">
        <f>IF(C1471&amp;G1471&amp;D1471&lt;&gt;'Funnel setup'!$K$3&amp;'Funnel setup'!$K$4&amp;'Funnel setup'!$K$6,".",IF(A1470=".",1,A1470+1))</f>
        <v>.</v>
      </c>
      <c r="B1471" s="244" t="str">
        <f t="shared" si="22"/>
        <v>Hip Replacement RevisionProviderGORING HALL HOSPITAL (NT417)EQ-5D Index</v>
      </c>
      <c r="C1471" t="s">
        <v>967</v>
      </c>
      <c r="D1471" t="s">
        <v>965</v>
      </c>
      <c r="E1471" t="s">
        <v>258</v>
      </c>
      <c r="F1471" t="s">
        <v>259</v>
      </c>
      <c r="G1471" t="s">
        <v>963</v>
      </c>
      <c r="H1471">
        <v>1</v>
      </c>
      <c r="I1471">
        <v>0.79600000000000004</v>
      </c>
      <c r="J1471">
        <v>-1.6E-2</v>
      </c>
      <c r="K1471">
        <v>-0.81200000000000006</v>
      </c>
      <c r="L1471">
        <v>0</v>
      </c>
      <c r="M1471">
        <v>0</v>
      </c>
      <c r="N1471">
        <v>1</v>
      </c>
      <c r="O1471" t="s">
        <v>127</v>
      </c>
      <c r="P1471" t="s">
        <v>127</v>
      </c>
      <c r="Q1471" t="s">
        <v>127</v>
      </c>
    </row>
    <row r="1472" spans="1:17" x14ac:dyDescent="0.25">
      <c r="A1472" t="str">
        <f>IF(C1472&amp;G1472&amp;D1472&lt;&gt;'Funnel setup'!$K$3&amp;'Funnel setup'!$K$4&amp;'Funnel setup'!$K$6,".",IF(A1471=".",1,A1471+1))</f>
        <v>.</v>
      </c>
      <c r="B1472" s="244" t="str">
        <f t="shared" si="22"/>
        <v>Hip Replacement RevisionProviderGUY'S AND ST THOMAS' NHS FOUNDATION TRUST (RJ1)EQ-5D Index</v>
      </c>
      <c r="C1472" t="s">
        <v>967</v>
      </c>
      <c r="D1472" t="s">
        <v>965</v>
      </c>
      <c r="E1472" t="s">
        <v>262</v>
      </c>
      <c r="F1472" t="s">
        <v>263</v>
      </c>
      <c r="G1472" t="s">
        <v>963</v>
      </c>
      <c r="H1472">
        <v>12</v>
      </c>
      <c r="I1472">
        <v>0.31950000000000001</v>
      </c>
      <c r="J1472">
        <v>0.51249999999999996</v>
      </c>
      <c r="K1472">
        <v>0.193</v>
      </c>
      <c r="L1472">
        <v>7</v>
      </c>
      <c r="M1472">
        <v>2</v>
      </c>
      <c r="N1472">
        <v>3</v>
      </c>
      <c r="O1472" t="s">
        <v>127</v>
      </c>
      <c r="P1472" t="s">
        <v>127</v>
      </c>
      <c r="Q1472" t="s">
        <v>127</v>
      </c>
    </row>
    <row r="1473" spans="1:17" x14ac:dyDescent="0.25">
      <c r="A1473" t="str">
        <f>IF(C1473&amp;G1473&amp;D1473&lt;&gt;'Funnel setup'!$K$3&amp;'Funnel setup'!$K$4&amp;'Funnel setup'!$K$6,".",IF(A1472=".",1,A1472+1))</f>
        <v>.</v>
      </c>
      <c r="B1473" s="244" t="str">
        <f t="shared" si="22"/>
        <v>Hip Replacement RevisionProviderHAMPSHIRE HOSPITALS NHS FOUNDATION TRUST (RN5)EQ-5D Index</v>
      </c>
      <c r="C1473" t="s">
        <v>967</v>
      </c>
      <c r="D1473" t="s">
        <v>965</v>
      </c>
      <c r="E1473" t="s">
        <v>266</v>
      </c>
      <c r="F1473" t="s">
        <v>267</v>
      </c>
      <c r="G1473" t="s">
        <v>963</v>
      </c>
      <c r="H1473">
        <v>1</v>
      </c>
      <c r="I1473">
        <v>0.58699999999999997</v>
      </c>
      <c r="J1473">
        <v>0.69099999999999995</v>
      </c>
      <c r="K1473">
        <v>0.104</v>
      </c>
      <c r="L1473">
        <v>1</v>
      </c>
      <c r="M1473">
        <v>0</v>
      </c>
      <c r="N1473">
        <v>0</v>
      </c>
      <c r="O1473" t="s">
        <v>127</v>
      </c>
      <c r="P1473" t="s">
        <v>127</v>
      </c>
      <c r="Q1473" t="s">
        <v>127</v>
      </c>
    </row>
    <row r="1474" spans="1:17" x14ac:dyDescent="0.25">
      <c r="A1474" t="str">
        <f>IF(C1474&amp;G1474&amp;D1474&lt;&gt;'Funnel setup'!$K$3&amp;'Funnel setup'!$K$4&amp;'Funnel setup'!$K$6,".",IF(A1473=".",1,A1473+1))</f>
        <v>.</v>
      </c>
      <c r="B1474" s="244" t="str">
        <f t="shared" ref="B1474:B1537" si="23">C1474&amp;D1474&amp;F1474&amp;G1474</f>
        <v>Hip Replacement RevisionProviderHARROGATE AND DISTRICT NHS FOUNDATION TRUST (RCD)EQ-5D Index</v>
      </c>
      <c r="C1474" t="s">
        <v>967</v>
      </c>
      <c r="D1474" t="s">
        <v>965</v>
      </c>
      <c r="E1474" t="s">
        <v>270</v>
      </c>
      <c r="F1474" t="s">
        <v>271</v>
      </c>
      <c r="G1474" t="s">
        <v>963</v>
      </c>
      <c r="H1474">
        <v>7</v>
      </c>
      <c r="I1474">
        <v>0.45528600000000002</v>
      </c>
      <c r="J1474">
        <v>0.79042900000000005</v>
      </c>
      <c r="K1474">
        <v>0.33514300000000002</v>
      </c>
      <c r="L1474">
        <v>7</v>
      </c>
      <c r="M1474">
        <v>0</v>
      </c>
      <c r="N1474">
        <v>0</v>
      </c>
      <c r="O1474" t="s">
        <v>127</v>
      </c>
      <c r="P1474" t="s">
        <v>127</v>
      </c>
      <c r="Q1474" t="s">
        <v>127</v>
      </c>
    </row>
    <row r="1475" spans="1:17" x14ac:dyDescent="0.25">
      <c r="A1475" t="str">
        <f>IF(C1475&amp;G1475&amp;D1475&lt;&gt;'Funnel setup'!$K$3&amp;'Funnel setup'!$K$4&amp;'Funnel setup'!$K$6,".",IF(A1474=".",1,A1474+1))</f>
        <v>.</v>
      </c>
      <c r="B1475" s="244" t="str">
        <f t="shared" si="23"/>
        <v>Hip Replacement RevisionProviderHULL UNIVERSITY TEACHING HOSPITALS NHS TRUST (RWA)EQ-5D Index</v>
      </c>
      <c r="C1475" t="s">
        <v>967</v>
      </c>
      <c r="D1475" t="s">
        <v>965</v>
      </c>
      <c r="E1475" t="s">
        <v>278</v>
      </c>
      <c r="F1475" t="s">
        <v>279</v>
      </c>
      <c r="G1475" t="s">
        <v>963</v>
      </c>
      <c r="H1475">
        <v>4</v>
      </c>
      <c r="I1475">
        <v>0.14624999999999999</v>
      </c>
      <c r="J1475">
        <v>0.66925000000000001</v>
      </c>
      <c r="K1475">
        <v>0.52300000000000002</v>
      </c>
      <c r="L1475">
        <v>4</v>
      </c>
      <c r="M1475">
        <v>0</v>
      </c>
      <c r="N1475">
        <v>0</v>
      </c>
      <c r="O1475" t="s">
        <v>127</v>
      </c>
      <c r="P1475" t="s">
        <v>127</v>
      </c>
      <c r="Q1475" t="s">
        <v>127</v>
      </c>
    </row>
    <row r="1476" spans="1:17" x14ac:dyDescent="0.25">
      <c r="A1476" t="str">
        <f>IF(C1476&amp;G1476&amp;D1476&lt;&gt;'Funnel setup'!$K$3&amp;'Funnel setup'!$K$4&amp;'Funnel setup'!$K$6,".",IF(A1475=".",1,A1475+1))</f>
        <v>.</v>
      </c>
      <c r="B1476" s="244" t="str">
        <f t="shared" si="23"/>
        <v>Hip Replacement RevisionProviderIMPERIAL COLLEGE HEALTHCARE NHS TRUST (RYJ)EQ-5D Index</v>
      </c>
      <c r="C1476" t="s">
        <v>967</v>
      </c>
      <c r="D1476" t="s">
        <v>965</v>
      </c>
      <c r="E1476" t="s">
        <v>280</v>
      </c>
      <c r="F1476" t="s">
        <v>281</v>
      </c>
      <c r="G1476" t="s">
        <v>963</v>
      </c>
      <c r="H1476">
        <v>2</v>
      </c>
      <c r="I1476">
        <v>1.0500000000000001E-2</v>
      </c>
      <c r="J1476">
        <v>0.69099999999999995</v>
      </c>
      <c r="K1476">
        <v>0.68049999999999999</v>
      </c>
      <c r="L1476">
        <v>2</v>
      </c>
      <c r="M1476">
        <v>0</v>
      </c>
      <c r="N1476">
        <v>0</v>
      </c>
      <c r="O1476" t="s">
        <v>127</v>
      </c>
      <c r="P1476" t="s">
        <v>127</v>
      </c>
      <c r="Q1476" t="s">
        <v>127</v>
      </c>
    </row>
    <row r="1477" spans="1:17" x14ac:dyDescent="0.25">
      <c r="A1477" t="str">
        <f>IF(C1477&amp;G1477&amp;D1477&lt;&gt;'Funnel setup'!$K$3&amp;'Funnel setup'!$K$4&amp;'Funnel setup'!$K$6,".",IF(A1476=".",1,A1476+1))</f>
        <v>.</v>
      </c>
      <c r="B1477" s="244" t="str">
        <f t="shared" si="23"/>
        <v>Hip Replacement RevisionProviderJAMES PAGET UNIVERSITY HOSPITALS NHS FOUNDATION TRUST (RGP)EQ-5D Index</v>
      </c>
      <c r="C1477" t="s">
        <v>967</v>
      </c>
      <c r="D1477" t="s">
        <v>965</v>
      </c>
      <c r="E1477" t="s">
        <v>284</v>
      </c>
      <c r="F1477" t="s">
        <v>285</v>
      </c>
      <c r="G1477" t="s">
        <v>963</v>
      </c>
      <c r="H1477">
        <v>1</v>
      </c>
      <c r="I1477">
        <v>8.7999999999999995E-2</v>
      </c>
      <c r="J1477">
        <v>0.186</v>
      </c>
      <c r="K1477">
        <v>9.8000000000000004E-2</v>
      </c>
      <c r="L1477">
        <v>1</v>
      </c>
      <c r="M1477">
        <v>0</v>
      </c>
      <c r="N1477">
        <v>0</v>
      </c>
      <c r="O1477" t="s">
        <v>127</v>
      </c>
      <c r="P1477" t="s">
        <v>127</v>
      </c>
      <c r="Q1477" t="s">
        <v>127</v>
      </c>
    </row>
    <row r="1478" spans="1:17" x14ac:dyDescent="0.25">
      <c r="A1478" t="str">
        <f>IF(C1478&amp;G1478&amp;D1478&lt;&gt;'Funnel setup'!$K$3&amp;'Funnel setup'!$K$4&amp;'Funnel setup'!$K$6,".",IF(A1477=".",1,A1477+1))</f>
        <v>.</v>
      </c>
      <c r="B1478" s="244" t="str">
        <f t="shared" si="23"/>
        <v>Hip Replacement RevisionProviderKETTERING GENERAL HOSPITAL NHS FOUNDATION TRUST (RNQ)EQ-5D Index</v>
      </c>
      <c r="C1478" t="s">
        <v>967</v>
      </c>
      <c r="D1478" t="s">
        <v>965</v>
      </c>
      <c r="E1478" t="s">
        <v>286</v>
      </c>
      <c r="F1478" t="s">
        <v>287</v>
      </c>
      <c r="G1478" t="s">
        <v>963</v>
      </c>
      <c r="H1478">
        <v>5</v>
      </c>
      <c r="I1478">
        <v>0.34079999999999999</v>
      </c>
      <c r="J1478">
        <v>0.70079999999999998</v>
      </c>
      <c r="K1478">
        <v>0.36</v>
      </c>
      <c r="L1478">
        <v>2</v>
      </c>
      <c r="M1478">
        <v>2</v>
      </c>
      <c r="N1478">
        <v>1</v>
      </c>
      <c r="O1478" t="s">
        <v>127</v>
      </c>
      <c r="P1478" t="s">
        <v>127</v>
      </c>
      <c r="Q1478" t="s">
        <v>127</v>
      </c>
    </row>
    <row r="1479" spans="1:17" x14ac:dyDescent="0.25">
      <c r="A1479" t="str">
        <f>IF(C1479&amp;G1479&amp;D1479&lt;&gt;'Funnel setup'!$K$3&amp;'Funnel setup'!$K$4&amp;'Funnel setup'!$K$6,".",IF(A1478=".",1,A1478+1))</f>
        <v>.</v>
      </c>
      <c r="B1479" s="244" t="str">
        <f t="shared" si="23"/>
        <v>Hip Replacement RevisionProviderKING'S COLLEGE HOSPITAL NHS FOUNDATION TRUST (RJZ)EQ-5D Index</v>
      </c>
      <c r="C1479" t="s">
        <v>967</v>
      </c>
      <c r="D1479" t="s">
        <v>965</v>
      </c>
      <c r="E1479" t="s">
        <v>290</v>
      </c>
      <c r="F1479" t="s">
        <v>291</v>
      </c>
      <c r="G1479" t="s">
        <v>963</v>
      </c>
      <c r="H1479">
        <v>1</v>
      </c>
      <c r="I1479">
        <v>0.58699999999999997</v>
      </c>
      <c r="J1479">
        <v>1</v>
      </c>
      <c r="K1479">
        <v>0.41299999999999998</v>
      </c>
      <c r="L1479">
        <v>1</v>
      </c>
      <c r="M1479">
        <v>0</v>
      </c>
      <c r="N1479">
        <v>0</v>
      </c>
      <c r="O1479" t="s">
        <v>127</v>
      </c>
      <c r="P1479" t="s">
        <v>127</v>
      </c>
      <c r="Q1479" t="s">
        <v>127</v>
      </c>
    </row>
    <row r="1480" spans="1:17" x14ac:dyDescent="0.25">
      <c r="A1480" t="str">
        <f>IF(C1480&amp;G1480&amp;D1480&lt;&gt;'Funnel setup'!$K$3&amp;'Funnel setup'!$K$4&amp;'Funnel setup'!$K$6,".",IF(A1479=".",1,A1479+1))</f>
        <v>.</v>
      </c>
      <c r="B1480" s="244" t="str">
        <f t="shared" si="23"/>
        <v>Hip Replacement RevisionProviderLANCASHIRE TEACHING HOSPITALS NHS FOUNDATION TRUST (RXN)EQ-5D Index</v>
      </c>
      <c r="C1480" t="s">
        <v>967</v>
      </c>
      <c r="D1480" t="s">
        <v>965</v>
      </c>
      <c r="E1480" t="s">
        <v>296</v>
      </c>
      <c r="F1480" t="s">
        <v>297</v>
      </c>
      <c r="G1480" t="s">
        <v>963</v>
      </c>
      <c r="H1480">
        <v>6</v>
      </c>
      <c r="I1480">
        <v>0.13666700000000001</v>
      </c>
      <c r="J1480">
        <v>0.55566700000000002</v>
      </c>
      <c r="K1480">
        <v>0.41899999999999998</v>
      </c>
      <c r="L1480">
        <v>5</v>
      </c>
      <c r="M1480">
        <v>0</v>
      </c>
      <c r="N1480">
        <v>1</v>
      </c>
      <c r="O1480" t="s">
        <v>127</v>
      </c>
      <c r="P1480" t="s">
        <v>127</v>
      </c>
      <c r="Q1480" t="s">
        <v>127</v>
      </c>
    </row>
    <row r="1481" spans="1:17" x14ac:dyDescent="0.25">
      <c r="A1481" t="str">
        <f>IF(C1481&amp;G1481&amp;D1481&lt;&gt;'Funnel setup'!$K$3&amp;'Funnel setup'!$K$4&amp;'Funnel setup'!$K$6,".",IF(A1480=".",1,A1480+1))</f>
        <v>.</v>
      </c>
      <c r="B1481" s="244" t="str">
        <f t="shared" si="23"/>
        <v>Hip Replacement RevisionProviderLEEDS TEACHING HOSPITALS NHS TRUST (RR8)EQ-5D Index</v>
      </c>
      <c r="C1481" t="s">
        <v>967</v>
      </c>
      <c r="D1481" t="s">
        <v>965</v>
      </c>
      <c r="E1481" t="s">
        <v>300</v>
      </c>
      <c r="F1481" t="s">
        <v>301</v>
      </c>
      <c r="G1481" t="s">
        <v>963</v>
      </c>
      <c r="H1481">
        <v>16</v>
      </c>
      <c r="I1481">
        <v>0.52625</v>
      </c>
      <c r="J1481">
        <v>0.7</v>
      </c>
      <c r="K1481">
        <v>0.17374999999999999</v>
      </c>
      <c r="L1481">
        <v>11</v>
      </c>
      <c r="M1481">
        <v>3</v>
      </c>
      <c r="N1481">
        <v>2</v>
      </c>
      <c r="O1481" t="s">
        <v>127</v>
      </c>
      <c r="P1481" t="s">
        <v>127</v>
      </c>
      <c r="Q1481" t="s">
        <v>127</v>
      </c>
    </row>
    <row r="1482" spans="1:17" x14ac:dyDescent="0.25">
      <c r="A1482" t="str">
        <f>IF(C1482&amp;G1482&amp;D1482&lt;&gt;'Funnel setup'!$K$3&amp;'Funnel setup'!$K$4&amp;'Funnel setup'!$K$6,".",IF(A1481=".",1,A1481+1))</f>
        <v>.</v>
      </c>
      <c r="B1482" s="244" t="str">
        <f t="shared" si="23"/>
        <v>Hip Replacement RevisionProviderLIVERPOOL UNIVERSITY HOSPITALS NHS FOUNDATION TRUST (REM)EQ-5D Index</v>
      </c>
      <c r="C1482" t="s">
        <v>967</v>
      </c>
      <c r="D1482" t="s">
        <v>965</v>
      </c>
      <c r="E1482" t="s">
        <v>306</v>
      </c>
      <c r="F1482" t="s">
        <v>307</v>
      </c>
      <c r="G1482" t="s">
        <v>963</v>
      </c>
      <c r="H1482">
        <v>8</v>
      </c>
      <c r="I1482">
        <v>0.141375</v>
      </c>
      <c r="J1482">
        <v>0.77</v>
      </c>
      <c r="K1482">
        <v>0.62862499999999999</v>
      </c>
      <c r="L1482">
        <v>6</v>
      </c>
      <c r="M1482">
        <v>2</v>
      </c>
      <c r="N1482">
        <v>0</v>
      </c>
      <c r="O1482" t="s">
        <v>127</v>
      </c>
      <c r="P1482" t="s">
        <v>127</v>
      </c>
      <c r="Q1482" t="s">
        <v>127</v>
      </c>
    </row>
    <row r="1483" spans="1:17" x14ac:dyDescent="0.25">
      <c r="A1483" t="str">
        <f>IF(C1483&amp;G1483&amp;D1483&lt;&gt;'Funnel setup'!$K$3&amp;'Funnel setup'!$K$4&amp;'Funnel setup'!$K$6,".",IF(A1482=".",1,A1482+1))</f>
        <v>.</v>
      </c>
      <c r="B1483" s="244" t="str">
        <f t="shared" si="23"/>
        <v>Hip Replacement RevisionProviderMAIDSTONE AND TUNBRIDGE WELLS NHS TRUST (RWF)EQ-5D Index</v>
      </c>
      <c r="C1483" t="s">
        <v>967</v>
      </c>
      <c r="D1483" t="s">
        <v>965</v>
      </c>
      <c r="E1483" t="s">
        <v>312</v>
      </c>
      <c r="F1483" t="s">
        <v>313</v>
      </c>
      <c r="G1483" t="s">
        <v>963</v>
      </c>
      <c r="H1483">
        <v>4</v>
      </c>
      <c r="I1483">
        <v>0.54949999999999999</v>
      </c>
      <c r="J1483">
        <v>0.63849999999999996</v>
      </c>
      <c r="K1483">
        <v>8.8999999999999996E-2</v>
      </c>
      <c r="L1483">
        <v>1</v>
      </c>
      <c r="M1483">
        <v>0</v>
      </c>
      <c r="N1483">
        <v>3</v>
      </c>
      <c r="O1483" t="s">
        <v>127</v>
      </c>
      <c r="P1483" t="s">
        <v>127</v>
      </c>
      <c r="Q1483" t="s">
        <v>127</v>
      </c>
    </row>
    <row r="1484" spans="1:17" x14ac:dyDescent="0.25">
      <c r="A1484" t="str">
        <f>IF(C1484&amp;G1484&amp;D1484&lt;&gt;'Funnel setup'!$K$3&amp;'Funnel setup'!$K$4&amp;'Funnel setup'!$K$6,".",IF(A1483=".",1,A1483+1))</f>
        <v>.</v>
      </c>
      <c r="B1484" s="244" t="str">
        <f t="shared" si="23"/>
        <v>Hip Replacement RevisionProviderMANCHESTER UNIVERSITY NHS FOUNDATION TRUST (R0A)EQ-5D Index</v>
      </c>
      <c r="C1484" t="s">
        <v>967</v>
      </c>
      <c r="D1484" t="s">
        <v>965</v>
      </c>
      <c r="E1484" t="s">
        <v>316</v>
      </c>
      <c r="F1484" t="s">
        <v>317</v>
      </c>
      <c r="G1484" t="s">
        <v>963</v>
      </c>
      <c r="H1484">
        <v>3</v>
      </c>
      <c r="I1484">
        <v>0.401333</v>
      </c>
      <c r="J1484">
        <v>0.54100000000000004</v>
      </c>
      <c r="K1484">
        <v>0.13966700000000001</v>
      </c>
      <c r="L1484">
        <v>1</v>
      </c>
      <c r="M1484">
        <v>1</v>
      </c>
      <c r="N1484">
        <v>1</v>
      </c>
      <c r="O1484" t="s">
        <v>127</v>
      </c>
      <c r="P1484" t="s">
        <v>127</v>
      </c>
      <c r="Q1484" t="s">
        <v>127</v>
      </c>
    </row>
    <row r="1485" spans="1:17" x14ac:dyDescent="0.25">
      <c r="A1485" t="str">
        <f>IF(C1485&amp;G1485&amp;D1485&lt;&gt;'Funnel setup'!$K$3&amp;'Funnel setup'!$K$4&amp;'Funnel setup'!$K$6,".",IF(A1484=".",1,A1484+1))</f>
        <v>.</v>
      </c>
      <c r="B1485" s="244" t="str">
        <f t="shared" si="23"/>
        <v>Hip Replacement RevisionProviderMEDWAY NHS FOUNDATION TRUST (RPA)EQ-5D Index</v>
      </c>
      <c r="C1485" t="s">
        <v>967</v>
      </c>
      <c r="D1485" t="s">
        <v>965</v>
      </c>
      <c r="E1485" t="s">
        <v>320</v>
      </c>
      <c r="F1485" t="s">
        <v>321</v>
      </c>
      <c r="G1485" t="s">
        <v>963</v>
      </c>
      <c r="H1485">
        <v>1</v>
      </c>
      <c r="I1485">
        <v>1</v>
      </c>
      <c r="J1485">
        <v>0.623</v>
      </c>
      <c r="K1485">
        <v>-0.377</v>
      </c>
      <c r="L1485">
        <v>0</v>
      </c>
      <c r="M1485">
        <v>0</v>
      </c>
      <c r="N1485">
        <v>1</v>
      </c>
      <c r="O1485" t="s">
        <v>127</v>
      </c>
      <c r="P1485" t="s">
        <v>127</v>
      </c>
      <c r="Q1485" t="s">
        <v>127</v>
      </c>
    </row>
    <row r="1486" spans="1:17" x14ac:dyDescent="0.25">
      <c r="A1486" t="str">
        <f>IF(C1486&amp;G1486&amp;D1486&lt;&gt;'Funnel setup'!$K$3&amp;'Funnel setup'!$K$4&amp;'Funnel setup'!$K$6,".",IF(A1485=".",1,A1485+1))</f>
        <v>.</v>
      </c>
      <c r="B1486" s="244" t="str">
        <f t="shared" si="23"/>
        <v>Hip Replacement RevisionProviderMID AND SOUTH ESSEX NHS FOUNDATION TRUST (RAJ)EQ-5D Index</v>
      </c>
      <c r="C1486" t="s">
        <v>967</v>
      </c>
      <c r="D1486" t="s">
        <v>965</v>
      </c>
      <c r="E1486" t="s">
        <v>324</v>
      </c>
      <c r="F1486" t="s">
        <v>325</v>
      </c>
      <c r="G1486" t="s">
        <v>963</v>
      </c>
      <c r="H1486">
        <v>3</v>
      </c>
      <c r="I1486">
        <v>0.40500000000000003</v>
      </c>
      <c r="J1486">
        <v>0.58033299999999999</v>
      </c>
      <c r="K1486">
        <v>0.17533299999999999</v>
      </c>
      <c r="L1486">
        <v>2</v>
      </c>
      <c r="M1486">
        <v>1</v>
      </c>
      <c r="N1486">
        <v>0</v>
      </c>
      <c r="O1486" t="s">
        <v>127</v>
      </c>
      <c r="P1486" t="s">
        <v>127</v>
      </c>
      <c r="Q1486" t="s">
        <v>127</v>
      </c>
    </row>
    <row r="1487" spans="1:17" x14ac:dyDescent="0.25">
      <c r="A1487" t="str">
        <f>IF(C1487&amp;G1487&amp;D1487&lt;&gt;'Funnel setup'!$K$3&amp;'Funnel setup'!$K$4&amp;'Funnel setup'!$K$6,".",IF(A1486=".",1,A1486+1))</f>
        <v>.</v>
      </c>
      <c r="B1487" s="244" t="str">
        <f t="shared" si="23"/>
        <v>Hip Replacement RevisionProviderMID CHESHIRE HOSPITALS NHS FOUNDATION TRUST (RBT)EQ-5D Index</v>
      </c>
      <c r="C1487" t="s">
        <v>967</v>
      </c>
      <c r="D1487" t="s">
        <v>965</v>
      </c>
      <c r="E1487" t="s">
        <v>326</v>
      </c>
      <c r="F1487" t="s">
        <v>327</v>
      </c>
      <c r="G1487" t="s">
        <v>963</v>
      </c>
      <c r="H1487">
        <v>3</v>
      </c>
      <c r="I1487">
        <v>0.36399999999999999</v>
      </c>
      <c r="J1487">
        <v>0.78233299999999995</v>
      </c>
      <c r="K1487">
        <v>0.41833300000000001</v>
      </c>
      <c r="L1487">
        <v>3</v>
      </c>
      <c r="M1487">
        <v>0</v>
      </c>
      <c r="N1487">
        <v>0</v>
      </c>
      <c r="O1487" t="s">
        <v>127</v>
      </c>
      <c r="P1487" t="s">
        <v>127</v>
      </c>
      <c r="Q1487" t="s">
        <v>127</v>
      </c>
    </row>
    <row r="1488" spans="1:17" x14ac:dyDescent="0.25">
      <c r="A1488" t="str">
        <f>IF(C1488&amp;G1488&amp;D1488&lt;&gt;'Funnel setup'!$K$3&amp;'Funnel setup'!$K$4&amp;'Funnel setup'!$K$6,".",IF(A1487=".",1,A1487+1))</f>
        <v>.</v>
      </c>
      <c r="B1488" s="244" t="str">
        <f t="shared" si="23"/>
        <v>Hip Replacement RevisionProviderMID YORKSHIRE TEACHING NHS TRUST (RXF)EQ-5D Index</v>
      </c>
      <c r="C1488" t="s">
        <v>967</v>
      </c>
      <c r="D1488" t="s">
        <v>965</v>
      </c>
      <c r="E1488" t="s">
        <v>330</v>
      </c>
      <c r="F1488" t="s">
        <v>331</v>
      </c>
      <c r="G1488" t="s">
        <v>963</v>
      </c>
      <c r="H1488">
        <v>12</v>
      </c>
      <c r="I1488">
        <v>0.17699999999999999</v>
      </c>
      <c r="J1488">
        <v>0.52608299999999997</v>
      </c>
      <c r="K1488">
        <v>0.34908299999999998</v>
      </c>
      <c r="L1488">
        <v>9</v>
      </c>
      <c r="M1488">
        <v>0</v>
      </c>
      <c r="N1488">
        <v>3</v>
      </c>
      <c r="O1488" t="s">
        <v>127</v>
      </c>
      <c r="P1488" t="s">
        <v>127</v>
      </c>
      <c r="Q1488" t="s">
        <v>127</v>
      </c>
    </row>
    <row r="1489" spans="1:17" x14ac:dyDescent="0.25">
      <c r="A1489" t="str">
        <f>IF(C1489&amp;G1489&amp;D1489&lt;&gt;'Funnel setup'!$K$3&amp;'Funnel setup'!$K$4&amp;'Funnel setup'!$K$6,".",IF(A1488=".",1,A1488+1))</f>
        <v>.</v>
      </c>
      <c r="B1489" s="244" t="str">
        <f t="shared" si="23"/>
        <v>Hip Replacement RevisionProviderMILTON KEYNES UNIVERSITY HOSPITAL NHS FOUNDATION TRUST (RD8)EQ-5D Index</v>
      </c>
      <c r="C1489" t="s">
        <v>967</v>
      </c>
      <c r="D1489" t="s">
        <v>965</v>
      </c>
      <c r="E1489" t="s">
        <v>332</v>
      </c>
      <c r="F1489" t="s">
        <v>333</v>
      </c>
      <c r="G1489" t="s">
        <v>963</v>
      </c>
      <c r="H1489" t="s">
        <v>127</v>
      </c>
      <c r="I1489" t="s">
        <v>127</v>
      </c>
      <c r="J1489" t="s">
        <v>127</v>
      </c>
      <c r="K1489" t="s">
        <v>127</v>
      </c>
      <c r="L1489" t="s">
        <v>127</v>
      </c>
      <c r="M1489" t="s">
        <v>127</v>
      </c>
      <c r="N1489" t="s">
        <v>127</v>
      </c>
      <c r="O1489" t="s">
        <v>127</v>
      </c>
      <c r="P1489" t="s">
        <v>127</v>
      </c>
      <c r="Q1489" t="s">
        <v>127</v>
      </c>
    </row>
    <row r="1490" spans="1:17" x14ac:dyDescent="0.25">
      <c r="A1490" t="str">
        <f>IF(C1490&amp;G1490&amp;D1490&lt;&gt;'Funnel setup'!$K$3&amp;'Funnel setup'!$K$4&amp;'Funnel setup'!$K$6,".",IF(A1489=".",1,A1489+1))</f>
        <v>.</v>
      </c>
      <c r="B1490" s="244" t="str">
        <f t="shared" si="23"/>
        <v>Hip Replacement RevisionProviderNEW HALL HOSPITAL (NVC09)EQ-5D Index</v>
      </c>
      <c r="C1490" t="s">
        <v>967</v>
      </c>
      <c r="D1490" t="s">
        <v>965</v>
      </c>
      <c r="E1490" t="s">
        <v>338</v>
      </c>
      <c r="F1490" t="s">
        <v>339</v>
      </c>
      <c r="G1490" t="s">
        <v>963</v>
      </c>
      <c r="H1490" t="s">
        <v>127</v>
      </c>
      <c r="I1490" t="s">
        <v>127</v>
      </c>
      <c r="J1490" t="s">
        <v>127</v>
      </c>
      <c r="K1490" t="s">
        <v>127</v>
      </c>
      <c r="L1490" t="s">
        <v>127</v>
      </c>
      <c r="M1490" t="s">
        <v>127</v>
      </c>
      <c r="N1490" t="s">
        <v>127</v>
      </c>
      <c r="O1490" t="s">
        <v>127</v>
      </c>
      <c r="P1490" t="s">
        <v>127</v>
      </c>
      <c r="Q1490" t="s">
        <v>127</v>
      </c>
    </row>
    <row r="1491" spans="1:17" x14ac:dyDescent="0.25">
      <c r="A1491" t="str">
        <f>IF(C1491&amp;G1491&amp;D1491&lt;&gt;'Funnel setup'!$K$3&amp;'Funnel setup'!$K$4&amp;'Funnel setup'!$K$6,".",IF(A1490=".",1,A1490+1))</f>
        <v>.</v>
      </c>
      <c r="B1491" s="244" t="str">
        <f t="shared" si="23"/>
        <v>Hip Replacement RevisionProviderNORFOLK AND NORWICH UNIVERSITY HOSPITALS NHS FOUNDATION TRUST (RM1)EQ-5D Index</v>
      </c>
      <c r="C1491" t="s">
        <v>967</v>
      </c>
      <c r="D1491" t="s">
        <v>965</v>
      </c>
      <c r="E1491" t="s">
        <v>340</v>
      </c>
      <c r="F1491" t="s">
        <v>341</v>
      </c>
      <c r="G1491" t="s">
        <v>963</v>
      </c>
      <c r="H1491">
        <v>18</v>
      </c>
      <c r="I1491">
        <v>0.42583300000000002</v>
      </c>
      <c r="J1491">
        <v>0.82588899999999998</v>
      </c>
      <c r="K1491">
        <v>0.40005600000000002</v>
      </c>
      <c r="L1491">
        <v>15</v>
      </c>
      <c r="M1491">
        <v>2</v>
      </c>
      <c r="N1491">
        <v>1</v>
      </c>
      <c r="O1491" t="s">
        <v>127</v>
      </c>
      <c r="P1491" t="s">
        <v>127</v>
      </c>
      <c r="Q1491" t="s">
        <v>127</v>
      </c>
    </row>
    <row r="1492" spans="1:17" x14ac:dyDescent="0.25">
      <c r="A1492" t="str">
        <f>IF(C1492&amp;G1492&amp;D1492&lt;&gt;'Funnel setup'!$K$3&amp;'Funnel setup'!$K$4&amp;'Funnel setup'!$K$6,".",IF(A1491=".",1,A1491+1))</f>
        <v>.</v>
      </c>
      <c r="B1492" s="244" t="str">
        <f t="shared" si="23"/>
        <v>Hip Replacement RevisionProviderNORTH BRISTOL NHS TRUST (RVJ)EQ-5D Index</v>
      </c>
      <c r="C1492" t="s">
        <v>967</v>
      </c>
      <c r="D1492" t="s">
        <v>965</v>
      </c>
      <c r="E1492" t="s">
        <v>342</v>
      </c>
      <c r="F1492" t="s">
        <v>343</v>
      </c>
      <c r="G1492" t="s">
        <v>963</v>
      </c>
      <c r="H1492">
        <v>3</v>
      </c>
      <c r="I1492">
        <v>0.14766699999999999</v>
      </c>
      <c r="J1492">
        <v>0.66766700000000001</v>
      </c>
      <c r="K1492">
        <v>0.52</v>
      </c>
      <c r="L1492">
        <v>3</v>
      </c>
      <c r="M1492">
        <v>0</v>
      </c>
      <c r="N1492">
        <v>0</v>
      </c>
      <c r="O1492" t="s">
        <v>127</v>
      </c>
      <c r="P1492" t="s">
        <v>127</v>
      </c>
      <c r="Q1492" t="s">
        <v>127</v>
      </c>
    </row>
    <row r="1493" spans="1:17" x14ac:dyDescent="0.25">
      <c r="A1493" t="str">
        <f>IF(C1493&amp;G1493&amp;D1493&lt;&gt;'Funnel setup'!$K$3&amp;'Funnel setup'!$K$4&amp;'Funnel setup'!$K$6,".",IF(A1492=".",1,A1492+1))</f>
        <v>.</v>
      </c>
      <c r="B1493" s="244" t="str">
        <f t="shared" si="23"/>
        <v>Hip Replacement RevisionProviderNORTH CUMBRIA INTEGRATED CARE NHS FOUNDATION TRUST (RNN)EQ-5D Index</v>
      </c>
      <c r="C1493" t="s">
        <v>967</v>
      </c>
      <c r="D1493" t="s">
        <v>965</v>
      </c>
      <c r="E1493" t="s">
        <v>344</v>
      </c>
      <c r="F1493" t="s">
        <v>345</v>
      </c>
      <c r="G1493" t="s">
        <v>963</v>
      </c>
      <c r="H1493">
        <v>7</v>
      </c>
      <c r="I1493">
        <v>0.20399999999999999</v>
      </c>
      <c r="J1493">
        <v>0.72085699999999997</v>
      </c>
      <c r="K1493">
        <v>0.51685700000000001</v>
      </c>
      <c r="L1493">
        <v>6</v>
      </c>
      <c r="M1493">
        <v>0</v>
      </c>
      <c r="N1493">
        <v>1</v>
      </c>
      <c r="O1493" t="s">
        <v>127</v>
      </c>
      <c r="P1493" t="s">
        <v>127</v>
      </c>
      <c r="Q1493" t="s">
        <v>127</v>
      </c>
    </row>
    <row r="1494" spans="1:17" x14ac:dyDescent="0.25">
      <c r="A1494" t="str">
        <f>IF(C1494&amp;G1494&amp;D1494&lt;&gt;'Funnel setup'!$K$3&amp;'Funnel setup'!$K$4&amp;'Funnel setup'!$K$6,".",IF(A1493=".",1,A1493+1))</f>
        <v>.</v>
      </c>
      <c r="B1494" s="244" t="str">
        <f t="shared" si="23"/>
        <v>Hip Replacement RevisionProviderNORTH DOWNS HOSPITAL (NVC11)EQ-5D Index</v>
      </c>
      <c r="C1494" t="s">
        <v>967</v>
      </c>
      <c r="D1494" t="s">
        <v>965</v>
      </c>
      <c r="E1494" t="s">
        <v>348</v>
      </c>
      <c r="F1494" t="s">
        <v>349</v>
      </c>
      <c r="G1494" t="s">
        <v>963</v>
      </c>
      <c r="H1494" t="s">
        <v>127</v>
      </c>
      <c r="I1494" t="s">
        <v>127</v>
      </c>
      <c r="J1494" t="s">
        <v>127</v>
      </c>
      <c r="K1494" t="s">
        <v>127</v>
      </c>
      <c r="L1494" t="s">
        <v>127</v>
      </c>
      <c r="M1494" t="s">
        <v>127</v>
      </c>
      <c r="N1494" t="s">
        <v>127</v>
      </c>
      <c r="O1494" t="s">
        <v>127</v>
      </c>
      <c r="P1494" t="s">
        <v>127</v>
      </c>
      <c r="Q1494" t="s">
        <v>127</v>
      </c>
    </row>
    <row r="1495" spans="1:17" x14ac:dyDescent="0.25">
      <c r="A1495" t="str">
        <f>IF(C1495&amp;G1495&amp;D1495&lt;&gt;'Funnel setup'!$K$3&amp;'Funnel setup'!$K$4&amp;'Funnel setup'!$K$6,".",IF(A1494=".",1,A1494+1))</f>
        <v>.</v>
      </c>
      <c r="B1495" s="244" t="str">
        <f t="shared" si="23"/>
        <v>Hip Replacement RevisionProviderNORTH TEES AND HARTLEPOOL NHS FOUNDATION TRUST (RVW)EQ-5D Index</v>
      </c>
      <c r="C1495" t="s">
        <v>967</v>
      </c>
      <c r="D1495" t="s">
        <v>965</v>
      </c>
      <c r="E1495" t="s">
        <v>352</v>
      </c>
      <c r="F1495" t="s">
        <v>353</v>
      </c>
      <c r="G1495" t="s">
        <v>963</v>
      </c>
      <c r="H1495">
        <v>9</v>
      </c>
      <c r="I1495">
        <v>0.14033300000000001</v>
      </c>
      <c r="J1495">
        <v>0.468333</v>
      </c>
      <c r="K1495">
        <v>0.32800000000000001</v>
      </c>
      <c r="L1495">
        <v>7</v>
      </c>
      <c r="M1495">
        <v>1</v>
      </c>
      <c r="N1495">
        <v>1</v>
      </c>
      <c r="O1495" t="s">
        <v>127</v>
      </c>
      <c r="P1495" t="s">
        <v>127</v>
      </c>
      <c r="Q1495" t="s">
        <v>127</v>
      </c>
    </row>
    <row r="1496" spans="1:17" x14ac:dyDescent="0.25">
      <c r="A1496" t="str">
        <f>IF(C1496&amp;G1496&amp;D1496&lt;&gt;'Funnel setup'!$K$3&amp;'Funnel setup'!$K$4&amp;'Funnel setup'!$K$6,".",IF(A1495=".",1,A1495+1))</f>
        <v>.</v>
      </c>
      <c r="B1496" s="244" t="str">
        <f t="shared" si="23"/>
        <v>Hip Replacement RevisionProviderNORTH WEST ANGLIA NHS FOUNDATION TRUST (RGN)EQ-5D Index</v>
      </c>
      <c r="C1496" t="s">
        <v>967</v>
      </c>
      <c r="D1496" t="s">
        <v>965</v>
      </c>
      <c r="E1496" t="s">
        <v>354</v>
      </c>
      <c r="F1496" t="s">
        <v>355</v>
      </c>
      <c r="G1496" t="s">
        <v>963</v>
      </c>
      <c r="H1496">
        <v>2</v>
      </c>
      <c r="I1496">
        <v>0.74350000000000005</v>
      </c>
      <c r="J1496">
        <v>0.69099999999999995</v>
      </c>
      <c r="K1496">
        <v>-5.2499999999999998E-2</v>
      </c>
      <c r="L1496">
        <v>0</v>
      </c>
      <c r="M1496">
        <v>1</v>
      </c>
      <c r="N1496">
        <v>1</v>
      </c>
      <c r="O1496" t="s">
        <v>127</v>
      </c>
      <c r="P1496" t="s">
        <v>127</v>
      </c>
      <c r="Q1496" t="s">
        <v>127</v>
      </c>
    </row>
    <row r="1497" spans="1:17" x14ac:dyDescent="0.25">
      <c r="A1497" t="str">
        <f>IF(C1497&amp;G1497&amp;D1497&lt;&gt;'Funnel setup'!$K$3&amp;'Funnel setup'!$K$4&amp;'Funnel setup'!$K$6,".",IF(A1496=".",1,A1496+1))</f>
        <v>.</v>
      </c>
      <c r="B1497" s="244" t="str">
        <f t="shared" si="23"/>
        <v>Hip Replacement RevisionProviderNORTHAMPTON GENERAL HOSPITAL NHS TRUST (RNS)EQ-5D Index</v>
      </c>
      <c r="C1497" t="s">
        <v>967</v>
      </c>
      <c r="D1497" t="s">
        <v>965</v>
      </c>
      <c r="E1497" t="s">
        <v>356</v>
      </c>
      <c r="F1497" t="s">
        <v>357</v>
      </c>
      <c r="G1497" t="s">
        <v>963</v>
      </c>
      <c r="H1497">
        <v>5</v>
      </c>
      <c r="I1497">
        <v>0.58599999999999997</v>
      </c>
      <c r="J1497">
        <v>0.75839999999999996</v>
      </c>
      <c r="K1497">
        <v>0.1724</v>
      </c>
      <c r="L1497">
        <v>4</v>
      </c>
      <c r="M1497">
        <v>0</v>
      </c>
      <c r="N1497">
        <v>1</v>
      </c>
      <c r="O1497" t="s">
        <v>127</v>
      </c>
      <c r="P1497" t="s">
        <v>127</v>
      </c>
      <c r="Q1497" t="s">
        <v>127</v>
      </c>
    </row>
    <row r="1498" spans="1:17" x14ac:dyDescent="0.25">
      <c r="A1498" t="str">
        <f>IF(C1498&amp;G1498&amp;D1498&lt;&gt;'Funnel setup'!$K$3&amp;'Funnel setup'!$K$4&amp;'Funnel setup'!$K$6,".",IF(A1497=".",1,A1497+1))</f>
        <v>.</v>
      </c>
      <c r="B1498" s="244" t="str">
        <f t="shared" si="23"/>
        <v>Hip Replacement RevisionProviderNORTHERN DEVON HEALTHCARE NHS TRUST (RBZ)EQ-5D Index</v>
      </c>
      <c r="C1498" t="s">
        <v>967</v>
      </c>
      <c r="D1498" t="s">
        <v>965</v>
      </c>
      <c r="E1498" t="s">
        <v>360</v>
      </c>
      <c r="F1498" t="s">
        <v>361</v>
      </c>
      <c r="G1498" t="s">
        <v>963</v>
      </c>
      <c r="H1498">
        <v>2</v>
      </c>
      <c r="I1498">
        <v>0.60350000000000004</v>
      </c>
      <c r="J1498">
        <v>1</v>
      </c>
      <c r="K1498">
        <v>0.39650000000000002</v>
      </c>
      <c r="L1498">
        <v>2</v>
      </c>
      <c r="M1498">
        <v>0</v>
      </c>
      <c r="N1498">
        <v>0</v>
      </c>
      <c r="O1498" t="s">
        <v>127</v>
      </c>
      <c r="P1498" t="s">
        <v>127</v>
      </c>
      <c r="Q1498" t="s">
        <v>127</v>
      </c>
    </row>
    <row r="1499" spans="1:17" x14ac:dyDescent="0.25">
      <c r="A1499" t="str">
        <f>IF(C1499&amp;G1499&amp;D1499&lt;&gt;'Funnel setup'!$K$3&amp;'Funnel setup'!$K$4&amp;'Funnel setup'!$K$6,".",IF(A1498=".",1,A1498+1))</f>
        <v>.</v>
      </c>
      <c r="B1499" s="244" t="str">
        <f t="shared" si="23"/>
        <v>Hip Replacement RevisionProviderNORTHUMBRIA HEALTHCARE NHS FOUNDATION TRUST (RTF)EQ-5D Index</v>
      </c>
      <c r="C1499" t="s">
        <v>967</v>
      </c>
      <c r="D1499" t="s">
        <v>965</v>
      </c>
      <c r="E1499" t="s">
        <v>364</v>
      </c>
      <c r="F1499" t="s">
        <v>365</v>
      </c>
      <c r="G1499" t="s">
        <v>963</v>
      </c>
      <c r="H1499">
        <v>8</v>
      </c>
      <c r="I1499">
        <v>0.43337500000000001</v>
      </c>
      <c r="J1499">
        <v>0.86299999999999999</v>
      </c>
      <c r="K1499">
        <v>0.42962499999999998</v>
      </c>
      <c r="L1499">
        <v>6</v>
      </c>
      <c r="M1499">
        <v>2</v>
      </c>
      <c r="N1499">
        <v>0</v>
      </c>
      <c r="O1499" t="s">
        <v>127</v>
      </c>
      <c r="P1499" t="s">
        <v>127</v>
      </c>
      <c r="Q1499" t="s">
        <v>127</v>
      </c>
    </row>
    <row r="1500" spans="1:17" x14ac:dyDescent="0.25">
      <c r="A1500" t="str">
        <f>IF(C1500&amp;G1500&amp;D1500&lt;&gt;'Funnel setup'!$K$3&amp;'Funnel setup'!$K$4&amp;'Funnel setup'!$K$6,".",IF(A1499=".",1,A1499+1))</f>
        <v>.</v>
      </c>
      <c r="B1500" s="244" t="str">
        <f t="shared" si="23"/>
        <v>Hip Replacement RevisionProviderNUFFIELD HEALTH, PLYMOUTH HOSPITAL (NT233)EQ-5D Index</v>
      </c>
      <c r="C1500" t="s">
        <v>967</v>
      </c>
      <c r="D1500" t="s">
        <v>965</v>
      </c>
      <c r="E1500" t="s">
        <v>400</v>
      </c>
      <c r="F1500" t="s">
        <v>401</v>
      </c>
      <c r="G1500" t="s">
        <v>963</v>
      </c>
      <c r="H1500" t="s">
        <v>127</v>
      </c>
      <c r="I1500" t="s">
        <v>127</v>
      </c>
      <c r="J1500" t="s">
        <v>127</v>
      </c>
      <c r="K1500" t="s">
        <v>127</v>
      </c>
      <c r="L1500" t="s">
        <v>127</v>
      </c>
      <c r="M1500" t="s">
        <v>127</v>
      </c>
      <c r="N1500" t="s">
        <v>127</v>
      </c>
      <c r="O1500" t="s">
        <v>127</v>
      </c>
      <c r="P1500" t="s">
        <v>127</v>
      </c>
      <c r="Q1500" t="s">
        <v>127</v>
      </c>
    </row>
    <row r="1501" spans="1:17" x14ac:dyDescent="0.25">
      <c r="A1501" t="str">
        <f>IF(C1501&amp;G1501&amp;D1501&lt;&gt;'Funnel setup'!$K$3&amp;'Funnel setup'!$K$4&amp;'Funnel setup'!$K$6,".",IF(A1500=".",1,A1500+1))</f>
        <v>.</v>
      </c>
      <c r="B1501" s="244" t="str">
        <f t="shared" si="23"/>
        <v>Hip Replacement RevisionProviderNUFFIELD HEALTH, TEES HOSPITAL (NT237)EQ-5D Index</v>
      </c>
      <c r="C1501" t="s">
        <v>967</v>
      </c>
      <c r="D1501" t="s">
        <v>965</v>
      </c>
      <c r="E1501" t="s">
        <v>406</v>
      </c>
      <c r="F1501" t="s">
        <v>407</v>
      </c>
      <c r="G1501" t="s">
        <v>963</v>
      </c>
      <c r="H1501">
        <v>4</v>
      </c>
      <c r="I1501">
        <v>0.33524999999999999</v>
      </c>
      <c r="J1501">
        <v>0.44500000000000001</v>
      </c>
      <c r="K1501">
        <v>0.10975</v>
      </c>
      <c r="L1501">
        <v>3</v>
      </c>
      <c r="M1501">
        <v>0</v>
      </c>
      <c r="N1501">
        <v>1</v>
      </c>
      <c r="O1501" t="s">
        <v>127</v>
      </c>
      <c r="P1501" t="s">
        <v>127</v>
      </c>
      <c r="Q1501" t="s">
        <v>127</v>
      </c>
    </row>
    <row r="1502" spans="1:17" x14ac:dyDescent="0.25">
      <c r="A1502" t="str">
        <f>IF(C1502&amp;G1502&amp;D1502&lt;&gt;'Funnel setup'!$K$3&amp;'Funnel setup'!$K$4&amp;'Funnel setup'!$K$6,".",IF(A1501=".",1,A1501+1))</f>
        <v>.</v>
      </c>
      <c r="B1502" s="244" t="str">
        <f t="shared" si="23"/>
        <v>Hip Replacement RevisionProviderNUFFIELD HEALTH, YORK HOSPITAL (NT245)EQ-5D Index</v>
      </c>
      <c r="C1502" t="s">
        <v>967</v>
      </c>
      <c r="D1502" t="s">
        <v>965</v>
      </c>
      <c r="E1502" t="s">
        <v>420</v>
      </c>
      <c r="F1502" t="s">
        <v>421</v>
      </c>
      <c r="G1502" t="s">
        <v>963</v>
      </c>
      <c r="H1502" t="s">
        <v>127</v>
      </c>
      <c r="I1502" t="s">
        <v>127</v>
      </c>
      <c r="J1502" t="s">
        <v>127</v>
      </c>
      <c r="K1502" t="s">
        <v>127</v>
      </c>
      <c r="L1502" t="s">
        <v>127</v>
      </c>
      <c r="M1502" t="s">
        <v>127</v>
      </c>
      <c r="N1502" t="s">
        <v>127</v>
      </c>
      <c r="O1502" t="s">
        <v>127</v>
      </c>
      <c r="P1502" t="s">
        <v>127</v>
      </c>
      <c r="Q1502" t="s">
        <v>127</v>
      </c>
    </row>
    <row r="1503" spans="1:17" x14ac:dyDescent="0.25">
      <c r="A1503" t="str">
        <f>IF(C1503&amp;G1503&amp;D1503&lt;&gt;'Funnel setup'!$K$3&amp;'Funnel setup'!$K$4&amp;'Funnel setup'!$K$6,".",IF(A1502=".",1,A1502+1))</f>
        <v>.</v>
      </c>
      <c r="B1503" s="244" t="str">
        <f t="shared" si="23"/>
        <v>Hip Replacement RevisionProviderOXFORD UNIVERSITY HOSPITALS NHS FOUNDATION TRUST (RTH)EQ-5D Index</v>
      </c>
      <c r="C1503" t="s">
        <v>967</v>
      </c>
      <c r="D1503" t="s">
        <v>965</v>
      </c>
      <c r="E1503" t="s">
        <v>438</v>
      </c>
      <c r="F1503" t="s">
        <v>439</v>
      </c>
      <c r="G1503" t="s">
        <v>963</v>
      </c>
      <c r="H1503">
        <v>37</v>
      </c>
      <c r="I1503">
        <v>0.40905399999999997</v>
      </c>
      <c r="J1503">
        <v>0.71724299999999996</v>
      </c>
      <c r="K1503">
        <v>0.30818899999999999</v>
      </c>
      <c r="L1503">
        <v>26</v>
      </c>
      <c r="M1503">
        <v>7</v>
      </c>
      <c r="N1503">
        <v>4</v>
      </c>
      <c r="O1503">
        <v>0.71135899999999996</v>
      </c>
      <c r="P1503">
        <v>0.34257799999999999</v>
      </c>
      <c r="Q1503">
        <v>0.20272699999999999</v>
      </c>
    </row>
    <row r="1504" spans="1:17" x14ac:dyDescent="0.25">
      <c r="A1504" t="str">
        <f>IF(C1504&amp;G1504&amp;D1504&lt;&gt;'Funnel setup'!$K$3&amp;'Funnel setup'!$K$4&amp;'Funnel setup'!$K$6,".",IF(A1503=".",1,A1503+1))</f>
        <v>.</v>
      </c>
      <c r="B1504" s="244" t="str">
        <f t="shared" si="23"/>
        <v>Hip Replacement RevisionProviderPRACTICE PLUS GROUP HOSPITAL - BARLBOROUGH (NTP13)EQ-5D Index</v>
      </c>
      <c r="C1504" t="s">
        <v>967</v>
      </c>
      <c r="D1504" t="s">
        <v>965</v>
      </c>
      <c r="E1504" t="s">
        <v>452</v>
      </c>
      <c r="F1504" t="s">
        <v>453</v>
      </c>
      <c r="G1504" t="s">
        <v>963</v>
      </c>
      <c r="H1504">
        <v>5</v>
      </c>
      <c r="I1504">
        <v>0.54200000000000004</v>
      </c>
      <c r="J1504">
        <v>0.61699999999999999</v>
      </c>
      <c r="K1504">
        <v>7.4999999999999997E-2</v>
      </c>
      <c r="L1504">
        <v>3</v>
      </c>
      <c r="M1504">
        <v>0</v>
      </c>
      <c r="N1504">
        <v>2</v>
      </c>
      <c r="O1504" t="s">
        <v>127</v>
      </c>
      <c r="P1504" t="s">
        <v>127</v>
      </c>
      <c r="Q1504" t="s">
        <v>127</v>
      </c>
    </row>
    <row r="1505" spans="1:17" x14ac:dyDescent="0.25">
      <c r="A1505" t="str">
        <f>IF(C1505&amp;G1505&amp;D1505&lt;&gt;'Funnel setup'!$K$3&amp;'Funnel setup'!$K$4&amp;'Funnel setup'!$K$6,".",IF(A1504=".",1,A1504+1))</f>
        <v>.</v>
      </c>
      <c r="B1505" s="244" t="str">
        <f t="shared" si="23"/>
        <v>Hip Replacement RevisionProviderPRACTICE PLUS GROUP HOSPITAL - PLYMOUTH (NTPH5)EQ-5D Index</v>
      </c>
      <c r="C1505" t="s">
        <v>967</v>
      </c>
      <c r="D1505" t="s">
        <v>965</v>
      </c>
      <c r="E1505" t="s">
        <v>458</v>
      </c>
      <c r="F1505" t="s">
        <v>459</v>
      </c>
      <c r="G1505" t="s">
        <v>963</v>
      </c>
      <c r="H1505">
        <v>1</v>
      </c>
      <c r="I1505">
        <v>0.72699999999999998</v>
      </c>
      <c r="J1505">
        <v>1</v>
      </c>
      <c r="K1505">
        <v>0.27300000000000002</v>
      </c>
      <c r="L1505">
        <v>1</v>
      </c>
      <c r="M1505">
        <v>0</v>
      </c>
      <c r="N1505">
        <v>0</v>
      </c>
      <c r="O1505" t="s">
        <v>127</v>
      </c>
      <c r="P1505" t="s">
        <v>127</v>
      </c>
      <c r="Q1505" t="s">
        <v>127</v>
      </c>
    </row>
    <row r="1506" spans="1:17" x14ac:dyDescent="0.25">
      <c r="A1506" t="str">
        <f>IF(C1506&amp;G1506&amp;D1506&lt;&gt;'Funnel setup'!$K$3&amp;'Funnel setup'!$K$4&amp;'Funnel setup'!$K$6,".",IF(A1505=".",1,A1505+1))</f>
        <v>.</v>
      </c>
      <c r="B1506" s="244" t="str">
        <f t="shared" si="23"/>
        <v>Hip Replacement RevisionProviderPRACTICE PLUS GROUP HOSPITAL - SHEPTON MALLET (NTPH1)EQ-5D Index</v>
      </c>
      <c r="C1506" t="s">
        <v>967</v>
      </c>
      <c r="D1506" t="s">
        <v>965</v>
      </c>
      <c r="E1506" t="s">
        <v>460</v>
      </c>
      <c r="F1506" t="s">
        <v>461</v>
      </c>
      <c r="G1506" t="s">
        <v>963</v>
      </c>
      <c r="H1506">
        <v>5</v>
      </c>
      <c r="I1506">
        <v>0.68379999999999996</v>
      </c>
      <c r="J1506">
        <v>0.68420000000000003</v>
      </c>
      <c r="K1506">
        <v>4.0000000000000002E-4</v>
      </c>
      <c r="L1506">
        <v>2</v>
      </c>
      <c r="M1506">
        <v>1</v>
      </c>
      <c r="N1506">
        <v>2</v>
      </c>
      <c r="O1506" t="s">
        <v>127</v>
      </c>
      <c r="P1506" t="s">
        <v>127</v>
      </c>
      <c r="Q1506" t="s">
        <v>127</v>
      </c>
    </row>
    <row r="1507" spans="1:17" x14ac:dyDescent="0.25">
      <c r="A1507" t="str">
        <f>IF(C1507&amp;G1507&amp;D1507&lt;&gt;'Funnel setup'!$K$3&amp;'Funnel setup'!$K$4&amp;'Funnel setup'!$K$6,".",IF(A1506=".",1,A1506+1))</f>
        <v>.</v>
      </c>
      <c r="B1507" s="244" t="str">
        <f t="shared" si="23"/>
        <v>Hip Replacement RevisionProviderRIVERS HOSPITAL (NVC19)EQ-5D Index</v>
      </c>
      <c r="C1507" t="s">
        <v>967</v>
      </c>
      <c r="D1507" t="s">
        <v>965</v>
      </c>
      <c r="E1507" t="s">
        <v>474</v>
      </c>
      <c r="F1507" t="s">
        <v>475</v>
      </c>
      <c r="G1507" t="s">
        <v>963</v>
      </c>
      <c r="H1507" t="s">
        <v>127</v>
      </c>
      <c r="I1507" t="s">
        <v>127</v>
      </c>
      <c r="J1507" t="s">
        <v>127</v>
      </c>
      <c r="K1507" t="s">
        <v>127</v>
      </c>
      <c r="L1507" t="s">
        <v>127</v>
      </c>
      <c r="M1507" t="s">
        <v>127</v>
      </c>
      <c r="N1507" t="s">
        <v>127</v>
      </c>
      <c r="O1507" t="s">
        <v>127</v>
      </c>
      <c r="P1507" t="s">
        <v>127</v>
      </c>
      <c r="Q1507" t="s">
        <v>127</v>
      </c>
    </row>
    <row r="1508" spans="1:17" x14ac:dyDescent="0.25">
      <c r="A1508" t="str">
        <f>IF(C1508&amp;G1508&amp;D1508&lt;&gt;'Funnel setup'!$K$3&amp;'Funnel setup'!$K$4&amp;'Funnel setup'!$K$6,".",IF(A1507=".",1,A1507+1))</f>
        <v>.</v>
      </c>
      <c r="B1508" s="244" t="str">
        <f t="shared" si="23"/>
        <v>Hip Replacement RevisionProviderROWLEY HALL HOSPITAL (NVC17)EQ-5D Index</v>
      </c>
      <c r="C1508" t="s">
        <v>967</v>
      </c>
      <c r="D1508" t="s">
        <v>965</v>
      </c>
      <c r="E1508" t="s">
        <v>476</v>
      </c>
      <c r="F1508" t="s">
        <v>477</v>
      </c>
      <c r="G1508" t="s">
        <v>963</v>
      </c>
      <c r="H1508" t="s">
        <v>127</v>
      </c>
      <c r="I1508" t="s">
        <v>127</v>
      </c>
      <c r="J1508" t="s">
        <v>127</v>
      </c>
      <c r="K1508" t="s">
        <v>127</v>
      </c>
      <c r="L1508" t="s">
        <v>127</v>
      </c>
      <c r="M1508" t="s">
        <v>127</v>
      </c>
      <c r="N1508" t="s">
        <v>127</v>
      </c>
      <c r="O1508" t="s">
        <v>127</v>
      </c>
      <c r="P1508" t="s">
        <v>127</v>
      </c>
      <c r="Q1508" t="s">
        <v>127</v>
      </c>
    </row>
    <row r="1509" spans="1:17" x14ac:dyDescent="0.25">
      <c r="A1509" t="str">
        <f>IF(C1509&amp;G1509&amp;D1509&lt;&gt;'Funnel setup'!$K$3&amp;'Funnel setup'!$K$4&amp;'Funnel setup'!$K$6,".",IF(A1508=".",1,A1508+1))</f>
        <v>.</v>
      </c>
      <c r="B1509" s="244" t="str">
        <f t="shared" si="23"/>
        <v>Hip Replacement RevisionProviderROYAL BERKSHIRE NHS FOUNDATION TRUST (RHW)EQ-5D Index</v>
      </c>
      <c r="C1509" t="s">
        <v>967</v>
      </c>
      <c r="D1509" t="s">
        <v>965</v>
      </c>
      <c r="E1509" t="s">
        <v>478</v>
      </c>
      <c r="F1509" t="s">
        <v>479</v>
      </c>
      <c r="G1509" t="s">
        <v>963</v>
      </c>
      <c r="H1509">
        <v>1</v>
      </c>
      <c r="I1509">
        <v>0.65600000000000003</v>
      </c>
      <c r="J1509">
        <v>0.79600000000000004</v>
      </c>
      <c r="K1509">
        <v>0.14000000000000001</v>
      </c>
      <c r="L1509">
        <v>1</v>
      </c>
      <c r="M1509">
        <v>0</v>
      </c>
      <c r="N1509">
        <v>0</v>
      </c>
      <c r="O1509" t="s">
        <v>127</v>
      </c>
      <c r="P1509" t="s">
        <v>127</v>
      </c>
      <c r="Q1509" t="s">
        <v>127</v>
      </c>
    </row>
    <row r="1510" spans="1:17" x14ac:dyDescent="0.25">
      <c r="A1510" t="str">
        <f>IF(C1510&amp;G1510&amp;D1510&lt;&gt;'Funnel setup'!$K$3&amp;'Funnel setup'!$K$4&amp;'Funnel setup'!$K$6,".",IF(A1509=".",1,A1509+1))</f>
        <v>.</v>
      </c>
      <c r="B1510" s="244" t="str">
        <f t="shared" si="23"/>
        <v>Hip Replacement RevisionProviderROYAL CORNWALL HOSPITALS NHS TRUST (REF)EQ-5D Index</v>
      </c>
      <c r="C1510" t="s">
        <v>967</v>
      </c>
      <c r="D1510" t="s">
        <v>965</v>
      </c>
      <c r="E1510" t="s">
        <v>480</v>
      </c>
      <c r="F1510" t="s">
        <v>481</v>
      </c>
      <c r="G1510" t="s">
        <v>963</v>
      </c>
      <c r="H1510">
        <v>5</v>
      </c>
      <c r="I1510">
        <v>0.7016</v>
      </c>
      <c r="J1510">
        <v>0.82620000000000005</v>
      </c>
      <c r="K1510">
        <v>0.1246</v>
      </c>
      <c r="L1510">
        <v>4</v>
      </c>
      <c r="M1510">
        <v>0</v>
      </c>
      <c r="N1510">
        <v>1</v>
      </c>
      <c r="O1510" t="s">
        <v>127</v>
      </c>
      <c r="P1510" t="s">
        <v>127</v>
      </c>
      <c r="Q1510" t="s">
        <v>127</v>
      </c>
    </row>
    <row r="1511" spans="1:17" x14ac:dyDescent="0.25">
      <c r="A1511" t="str">
        <f>IF(C1511&amp;G1511&amp;D1511&lt;&gt;'Funnel setup'!$K$3&amp;'Funnel setup'!$K$4&amp;'Funnel setup'!$K$6,".",IF(A1510=".",1,A1510+1))</f>
        <v>.</v>
      </c>
      <c r="B1511" s="244" t="str">
        <f t="shared" si="23"/>
        <v>Hip Replacement RevisionProviderROYAL NATIONAL ORTHOPAEDIC HOSPITAL NHS TRUST (RAN)EQ-5D Index</v>
      </c>
      <c r="C1511" t="s">
        <v>967</v>
      </c>
      <c r="D1511" t="s">
        <v>965</v>
      </c>
      <c r="E1511" t="s">
        <v>486</v>
      </c>
      <c r="F1511" t="s">
        <v>487</v>
      </c>
      <c r="G1511" t="s">
        <v>963</v>
      </c>
      <c r="H1511">
        <v>23</v>
      </c>
      <c r="I1511">
        <v>0.312</v>
      </c>
      <c r="J1511">
        <v>0.44356499999999999</v>
      </c>
      <c r="K1511">
        <v>0.13156499999999999</v>
      </c>
      <c r="L1511">
        <v>16</v>
      </c>
      <c r="M1511">
        <v>1</v>
      </c>
      <c r="N1511">
        <v>6</v>
      </c>
      <c r="O1511" t="s">
        <v>127</v>
      </c>
      <c r="P1511" t="s">
        <v>127</v>
      </c>
      <c r="Q1511" t="s">
        <v>127</v>
      </c>
    </row>
    <row r="1512" spans="1:17" x14ac:dyDescent="0.25">
      <c r="A1512" t="str">
        <f>IF(C1512&amp;G1512&amp;D1512&lt;&gt;'Funnel setup'!$K$3&amp;'Funnel setup'!$K$4&amp;'Funnel setup'!$K$6,".",IF(A1511=".",1,A1511+1))</f>
        <v>.</v>
      </c>
      <c r="B1512" s="244" t="str">
        <f t="shared" si="23"/>
        <v>Hip Replacement RevisionProviderSANDWELL AND WEST BIRMINGHAM HOSPITALS NHS TRUST (RXK)EQ-5D Index</v>
      </c>
      <c r="C1512" t="s">
        <v>967</v>
      </c>
      <c r="D1512" t="s">
        <v>965</v>
      </c>
      <c r="E1512" t="s">
        <v>496</v>
      </c>
      <c r="F1512" t="s">
        <v>497</v>
      </c>
      <c r="G1512" t="s">
        <v>963</v>
      </c>
      <c r="H1512">
        <v>1</v>
      </c>
      <c r="I1512">
        <v>5.5E-2</v>
      </c>
      <c r="J1512">
        <v>0.58699999999999997</v>
      </c>
      <c r="K1512">
        <v>0.53200000000000003</v>
      </c>
      <c r="L1512">
        <v>1</v>
      </c>
      <c r="M1512">
        <v>0</v>
      </c>
      <c r="N1512">
        <v>0</v>
      </c>
      <c r="O1512" t="s">
        <v>127</v>
      </c>
      <c r="P1512" t="s">
        <v>127</v>
      </c>
      <c r="Q1512" t="s">
        <v>127</v>
      </c>
    </row>
    <row r="1513" spans="1:17" x14ac:dyDescent="0.25">
      <c r="A1513" t="str">
        <f>IF(C1513&amp;G1513&amp;D1513&lt;&gt;'Funnel setup'!$K$3&amp;'Funnel setup'!$K$4&amp;'Funnel setup'!$K$6,".",IF(A1512=".",1,A1512+1))</f>
        <v>.</v>
      </c>
      <c r="B1513" s="244" t="str">
        <f t="shared" si="23"/>
        <v>Hip Replacement RevisionProviderSHEFFIELD TEACHING HOSPITALS NHS FOUNDATION TRUST (RHQ)EQ-5D Index</v>
      </c>
      <c r="C1513" t="s">
        <v>967</v>
      </c>
      <c r="D1513" t="s">
        <v>965</v>
      </c>
      <c r="E1513" t="s">
        <v>506</v>
      </c>
      <c r="F1513" t="s">
        <v>507</v>
      </c>
      <c r="G1513" t="s">
        <v>963</v>
      </c>
      <c r="H1513">
        <v>1</v>
      </c>
      <c r="I1513">
        <v>0.55200000000000005</v>
      </c>
      <c r="J1513">
        <v>0.72699999999999998</v>
      </c>
      <c r="K1513">
        <v>0.17499999999999999</v>
      </c>
      <c r="L1513">
        <v>1</v>
      </c>
      <c r="M1513">
        <v>0</v>
      </c>
      <c r="N1513">
        <v>0</v>
      </c>
      <c r="O1513" t="s">
        <v>127</v>
      </c>
      <c r="P1513" t="s">
        <v>127</v>
      </c>
      <c r="Q1513" t="s">
        <v>127</v>
      </c>
    </row>
    <row r="1514" spans="1:17" x14ac:dyDescent="0.25">
      <c r="A1514" t="str">
        <f>IF(C1514&amp;G1514&amp;D1514&lt;&gt;'Funnel setup'!$K$3&amp;'Funnel setup'!$K$4&amp;'Funnel setup'!$K$6,".",IF(A1513=".",1,A1513+1))</f>
        <v>.</v>
      </c>
      <c r="B1514" s="244" t="str">
        <f t="shared" si="23"/>
        <v>Hip Replacement RevisionProviderSOUTH TEES HOSPITALS NHS FOUNDATION TRUST (RTR)EQ-5D Index</v>
      </c>
      <c r="C1514" t="s">
        <v>967</v>
      </c>
      <c r="D1514" t="s">
        <v>965</v>
      </c>
      <c r="E1514" t="s">
        <v>516</v>
      </c>
      <c r="F1514" t="s">
        <v>517</v>
      </c>
      <c r="G1514" t="s">
        <v>963</v>
      </c>
      <c r="H1514">
        <v>10</v>
      </c>
      <c r="I1514">
        <v>0.26390000000000002</v>
      </c>
      <c r="J1514">
        <v>0.73080000000000001</v>
      </c>
      <c r="K1514">
        <v>0.46689999999999998</v>
      </c>
      <c r="L1514">
        <v>9</v>
      </c>
      <c r="M1514">
        <v>0</v>
      </c>
      <c r="N1514">
        <v>1</v>
      </c>
      <c r="O1514" t="s">
        <v>127</v>
      </c>
      <c r="P1514" t="s">
        <v>127</v>
      </c>
      <c r="Q1514" t="s">
        <v>127</v>
      </c>
    </row>
    <row r="1515" spans="1:17" x14ac:dyDescent="0.25">
      <c r="A1515" t="str">
        <f>IF(C1515&amp;G1515&amp;D1515&lt;&gt;'Funnel setup'!$K$3&amp;'Funnel setup'!$K$4&amp;'Funnel setup'!$K$6,".",IF(A1514=".",1,A1514+1))</f>
        <v>.</v>
      </c>
      <c r="B1515" s="244" t="str">
        <f t="shared" si="23"/>
        <v>Hip Replacement RevisionProviderSOUTH TYNESIDE AND SUNDERLAND NHS FOUNDATION TRUST (R0B)EQ-5D Index</v>
      </c>
      <c r="C1515" t="s">
        <v>967</v>
      </c>
      <c r="D1515" t="s">
        <v>965</v>
      </c>
      <c r="E1515" t="s">
        <v>518</v>
      </c>
      <c r="F1515" t="s">
        <v>519</v>
      </c>
      <c r="G1515" t="s">
        <v>963</v>
      </c>
      <c r="H1515">
        <v>1</v>
      </c>
      <c r="I1515">
        <v>0.69099999999999995</v>
      </c>
      <c r="J1515">
        <v>1</v>
      </c>
      <c r="K1515">
        <v>0.309</v>
      </c>
      <c r="L1515">
        <v>1</v>
      </c>
      <c r="M1515">
        <v>0</v>
      </c>
      <c r="N1515">
        <v>0</v>
      </c>
      <c r="O1515" t="s">
        <v>127</v>
      </c>
      <c r="P1515" t="s">
        <v>127</v>
      </c>
      <c r="Q1515" t="s">
        <v>127</v>
      </c>
    </row>
    <row r="1516" spans="1:17" x14ac:dyDescent="0.25">
      <c r="A1516" t="str">
        <f>IF(C1516&amp;G1516&amp;D1516&lt;&gt;'Funnel setup'!$K$3&amp;'Funnel setup'!$K$4&amp;'Funnel setup'!$K$6,".",IF(A1515=".",1,A1515+1))</f>
        <v>.</v>
      </c>
      <c r="B1516" s="244" t="str">
        <f t="shared" si="23"/>
        <v>Hip Replacement RevisionProviderSOUTH WARWICKSHIRE UNIVERSITY NHS FOUNDATION TRUST (RJC)EQ-5D Index</v>
      </c>
      <c r="C1516" t="s">
        <v>967</v>
      </c>
      <c r="D1516" t="s">
        <v>965</v>
      </c>
      <c r="E1516" t="s">
        <v>520</v>
      </c>
      <c r="F1516" t="s">
        <v>521</v>
      </c>
      <c r="G1516" t="s">
        <v>963</v>
      </c>
      <c r="H1516">
        <v>3</v>
      </c>
      <c r="I1516">
        <v>-0.20133300000000001</v>
      </c>
      <c r="J1516">
        <v>0.58533299999999999</v>
      </c>
      <c r="K1516">
        <v>0.78666700000000001</v>
      </c>
      <c r="L1516">
        <v>3</v>
      </c>
      <c r="M1516">
        <v>0</v>
      </c>
      <c r="N1516">
        <v>0</v>
      </c>
      <c r="O1516" t="s">
        <v>127</v>
      </c>
      <c r="P1516" t="s">
        <v>127</v>
      </c>
      <c r="Q1516" t="s">
        <v>127</v>
      </c>
    </row>
    <row r="1517" spans="1:17" x14ac:dyDescent="0.25">
      <c r="A1517" t="str">
        <f>IF(C1517&amp;G1517&amp;D1517&lt;&gt;'Funnel setup'!$K$3&amp;'Funnel setup'!$K$4&amp;'Funnel setup'!$K$6,".",IF(A1516=".",1,A1516+1))</f>
        <v>.</v>
      </c>
      <c r="B1517" s="244" t="str">
        <f t="shared" si="23"/>
        <v>Hip Replacement RevisionProviderSPIRE GATWICK PARK HOSPITAL (NT308)EQ-5D Index</v>
      </c>
      <c r="C1517" t="s">
        <v>967</v>
      </c>
      <c r="D1517" t="s">
        <v>965</v>
      </c>
      <c r="E1517" t="s">
        <v>546</v>
      </c>
      <c r="F1517" t="s">
        <v>547</v>
      </c>
      <c r="G1517" t="s">
        <v>963</v>
      </c>
      <c r="H1517" t="s">
        <v>127</v>
      </c>
      <c r="I1517" t="s">
        <v>127</v>
      </c>
      <c r="J1517" t="s">
        <v>127</v>
      </c>
      <c r="K1517" t="s">
        <v>127</v>
      </c>
      <c r="L1517" t="s">
        <v>127</v>
      </c>
      <c r="M1517" t="s">
        <v>127</v>
      </c>
      <c r="N1517" t="s">
        <v>127</v>
      </c>
      <c r="O1517" t="s">
        <v>127</v>
      </c>
      <c r="P1517" t="s">
        <v>127</v>
      </c>
      <c r="Q1517" t="s">
        <v>127</v>
      </c>
    </row>
    <row r="1518" spans="1:17" x14ac:dyDescent="0.25">
      <c r="A1518" t="str">
        <f>IF(C1518&amp;G1518&amp;D1518&lt;&gt;'Funnel setup'!$K$3&amp;'Funnel setup'!$K$4&amp;'Funnel setup'!$K$6,".",IF(A1517=".",1,A1517+1))</f>
        <v>.</v>
      </c>
      <c r="B1518" s="244" t="str">
        <f t="shared" si="23"/>
        <v>Hip Replacement RevisionProviderSPRINGFIELD HOSPITAL (NVC18)EQ-5D Index</v>
      </c>
      <c r="C1518" t="s">
        <v>967</v>
      </c>
      <c r="D1518" t="s">
        <v>965</v>
      </c>
      <c r="E1518" t="s">
        <v>602</v>
      </c>
      <c r="F1518" t="s">
        <v>603</v>
      </c>
      <c r="G1518" t="s">
        <v>963</v>
      </c>
      <c r="H1518" t="s">
        <v>127</v>
      </c>
      <c r="I1518" t="s">
        <v>127</v>
      </c>
      <c r="J1518" t="s">
        <v>127</v>
      </c>
      <c r="K1518" t="s">
        <v>127</v>
      </c>
      <c r="L1518" t="s">
        <v>127</v>
      </c>
      <c r="M1518" t="s">
        <v>127</v>
      </c>
      <c r="N1518" t="s">
        <v>127</v>
      </c>
      <c r="O1518" t="s">
        <v>127</v>
      </c>
      <c r="P1518" t="s">
        <v>127</v>
      </c>
      <c r="Q1518" t="s">
        <v>127</v>
      </c>
    </row>
    <row r="1519" spans="1:17" x14ac:dyDescent="0.25">
      <c r="A1519" t="str">
        <f>IF(C1519&amp;G1519&amp;D1519&lt;&gt;'Funnel setup'!$K$3&amp;'Funnel setup'!$K$4&amp;'Funnel setup'!$K$6,".",IF(A1518=".",1,A1518+1))</f>
        <v>.</v>
      </c>
      <c r="B1519" s="244" t="str">
        <f t="shared" si="23"/>
        <v>Hip Replacement RevisionProviderST HELENS AND KNOWSLEY TEACHING HOSPITALS NHS TRUST (RBN)EQ-5D Index</v>
      </c>
      <c r="C1519" t="s">
        <v>967</v>
      </c>
      <c r="D1519" t="s">
        <v>965</v>
      </c>
      <c r="E1519" t="s">
        <v>608</v>
      </c>
      <c r="F1519" t="s">
        <v>609</v>
      </c>
      <c r="G1519" t="s">
        <v>963</v>
      </c>
      <c r="H1519">
        <v>2</v>
      </c>
      <c r="I1519">
        <v>0.51600000000000001</v>
      </c>
      <c r="J1519">
        <v>0.55149999999999999</v>
      </c>
      <c r="K1519">
        <v>3.5499999999999997E-2</v>
      </c>
      <c r="L1519">
        <v>1</v>
      </c>
      <c r="M1519">
        <v>1</v>
      </c>
      <c r="N1519">
        <v>0</v>
      </c>
      <c r="O1519" t="s">
        <v>127</v>
      </c>
      <c r="P1519" t="s">
        <v>127</v>
      </c>
      <c r="Q1519" t="s">
        <v>127</v>
      </c>
    </row>
    <row r="1520" spans="1:17" x14ac:dyDescent="0.25">
      <c r="A1520" t="str">
        <f>IF(C1520&amp;G1520&amp;D1520&lt;&gt;'Funnel setup'!$K$3&amp;'Funnel setup'!$K$4&amp;'Funnel setup'!$K$6,".",IF(A1519=".",1,A1519+1))</f>
        <v>.</v>
      </c>
      <c r="B1520" s="244" t="str">
        <f t="shared" si="23"/>
        <v>Hip Replacement RevisionProviderSTOCKPORT NHS FOUNDATION TRUST (RWJ)EQ-5D Index</v>
      </c>
      <c r="C1520" t="s">
        <v>967</v>
      </c>
      <c r="D1520" t="s">
        <v>965</v>
      </c>
      <c r="E1520" t="s">
        <v>614</v>
      </c>
      <c r="F1520" t="s">
        <v>615</v>
      </c>
      <c r="G1520" t="s">
        <v>963</v>
      </c>
      <c r="H1520">
        <v>7</v>
      </c>
      <c r="I1520">
        <v>0.20514299999999999</v>
      </c>
      <c r="J1520">
        <v>0.52600000000000002</v>
      </c>
      <c r="K1520">
        <v>0.320857</v>
      </c>
      <c r="L1520">
        <v>5</v>
      </c>
      <c r="M1520">
        <v>1</v>
      </c>
      <c r="N1520">
        <v>1</v>
      </c>
      <c r="O1520" t="s">
        <v>127</v>
      </c>
      <c r="P1520" t="s">
        <v>127</v>
      </c>
      <c r="Q1520" t="s">
        <v>127</v>
      </c>
    </row>
    <row r="1521" spans="1:17" x14ac:dyDescent="0.25">
      <c r="A1521" t="str">
        <f>IF(C1521&amp;G1521&amp;D1521&lt;&gt;'Funnel setup'!$K$3&amp;'Funnel setup'!$K$4&amp;'Funnel setup'!$K$6,".",IF(A1520=".",1,A1520+1))</f>
        <v>.</v>
      </c>
      <c r="B1521" s="244" t="str">
        <f t="shared" si="23"/>
        <v>Hip Replacement RevisionProviderSURREY AND SUSSEX HEALTHCARE NHS TRUST (RTP)EQ-5D Index</v>
      </c>
      <c r="C1521" t="s">
        <v>967</v>
      </c>
      <c r="D1521" t="s">
        <v>965</v>
      </c>
      <c r="E1521" t="s">
        <v>618</v>
      </c>
      <c r="F1521" t="s">
        <v>619</v>
      </c>
      <c r="G1521" t="s">
        <v>963</v>
      </c>
      <c r="H1521">
        <v>5</v>
      </c>
      <c r="I1521">
        <v>0.14480000000000001</v>
      </c>
      <c r="J1521">
        <v>0.69420000000000004</v>
      </c>
      <c r="K1521">
        <v>0.5494</v>
      </c>
      <c r="L1521">
        <v>5</v>
      </c>
      <c r="M1521">
        <v>0</v>
      </c>
      <c r="N1521">
        <v>0</v>
      </c>
      <c r="O1521" t="s">
        <v>127</v>
      </c>
      <c r="P1521" t="s">
        <v>127</v>
      </c>
      <c r="Q1521" t="s">
        <v>127</v>
      </c>
    </row>
    <row r="1522" spans="1:17" x14ac:dyDescent="0.25">
      <c r="A1522" t="str">
        <f>IF(C1522&amp;G1522&amp;D1522&lt;&gt;'Funnel setup'!$K$3&amp;'Funnel setup'!$K$4&amp;'Funnel setup'!$K$6,".",IF(A1521=".",1,A1521+1))</f>
        <v>.</v>
      </c>
      <c r="B1522" s="244" t="str">
        <f t="shared" si="23"/>
        <v>Hip Replacement RevisionProviderTHE HILLINGDON HOSPITALS NHS FOUNDATION TRUST (RAS)EQ-5D Index</v>
      </c>
      <c r="C1522" t="s">
        <v>967</v>
      </c>
      <c r="D1522" t="s">
        <v>965</v>
      </c>
      <c r="E1522" t="s">
        <v>632</v>
      </c>
      <c r="F1522" t="s">
        <v>633</v>
      </c>
      <c r="G1522" t="s">
        <v>963</v>
      </c>
      <c r="H1522">
        <v>1</v>
      </c>
      <c r="I1522">
        <v>-1.6E-2</v>
      </c>
      <c r="J1522">
        <v>-1.6E-2</v>
      </c>
      <c r="K1522">
        <v>0</v>
      </c>
      <c r="L1522">
        <v>0</v>
      </c>
      <c r="M1522">
        <v>1</v>
      </c>
      <c r="N1522">
        <v>0</v>
      </c>
      <c r="O1522" t="s">
        <v>127</v>
      </c>
      <c r="P1522" t="s">
        <v>127</v>
      </c>
      <c r="Q1522" t="s">
        <v>127</v>
      </c>
    </row>
    <row r="1523" spans="1:17" x14ac:dyDescent="0.25">
      <c r="A1523" t="str">
        <f>IF(C1523&amp;G1523&amp;D1523&lt;&gt;'Funnel setup'!$K$3&amp;'Funnel setup'!$K$4&amp;'Funnel setup'!$K$6,".",IF(A1522=".",1,A1522+1))</f>
        <v>.</v>
      </c>
      <c r="B1523" s="244" t="str">
        <f t="shared" si="23"/>
        <v>Hip Replacement RevisionProviderTHE HORDER CENTRE - ST JOHNS ROAD (NXM01)EQ-5D Index</v>
      </c>
      <c r="C1523" t="s">
        <v>967</v>
      </c>
      <c r="D1523" t="s">
        <v>965</v>
      </c>
      <c r="E1523" t="s">
        <v>634</v>
      </c>
      <c r="F1523" t="s">
        <v>635</v>
      </c>
      <c r="G1523" t="s">
        <v>963</v>
      </c>
      <c r="H1523">
        <v>9</v>
      </c>
      <c r="I1523">
        <v>0.66122199999999998</v>
      </c>
      <c r="J1523">
        <v>0.71188899999999999</v>
      </c>
      <c r="K1523">
        <v>5.0666700000000002E-2</v>
      </c>
      <c r="L1523">
        <v>5</v>
      </c>
      <c r="M1523">
        <v>2</v>
      </c>
      <c r="N1523">
        <v>2</v>
      </c>
      <c r="O1523" t="s">
        <v>127</v>
      </c>
      <c r="P1523" t="s">
        <v>127</v>
      </c>
      <c r="Q1523" t="s">
        <v>127</v>
      </c>
    </row>
    <row r="1524" spans="1:17" x14ac:dyDescent="0.25">
      <c r="A1524" t="str">
        <f>IF(C1524&amp;G1524&amp;D1524&lt;&gt;'Funnel setup'!$K$3&amp;'Funnel setup'!$K$4&amp;'Funnel setup'!$K$6,".",IF(A1523=".",1,A1523+1))</f>
        <v>.</v>
      </c>
      <c r="B1524" s="244" t="str">
        <f t="shared" si="23"/>
        <v>Hip Replacement RevisionProviderTHE NEWCASTLE UPON TYNE HOSPITALS NHS FOUNDATION TRUST (RTD)EQ-5D Index</v>
      </c>
      <c r="C1524" t="s">
        <v>967</v>
      </c>
      <c r="D1524" t="s">
        <v>965</v>
      </c>
      <c r="E1524" t="s">
        <v>638</v>
      </c>
      <c r="F1524" t="s">
        <v>639</v>
      </c>
      <c r="G1524" t="s">
        <v>963</v>
      </c>
      <c r="H1524">
        <v>4</v>
      </c>
      <c r="I1524">
        <v>0.54374999999999996</v>
      </c>
      <c r="J1524">
        <v>0.57725000000000004</v>
      </c>
      <c r="K1524">
        <v>3.3500000000000002E-2</v>
      </c>
      <c r="L1524">
        <v>2</v>
      </c>
      <c r="M1524">
        <v>1</v>
      </c>
      <c r="N1524">
        <v>1</v>
      </c>
      <c r="O1524" t="s">
        <v>127</v>
      </c>
      <c r="P1524" t="s">
        <v>127</v>
      </c>
      <c r="Q1524" t="s">
        <v>127</v>
      </c>
    </row>
    <row r="1525" spans="1:17" x14ac:dyDescent="0.25">
      <c r="A1525" t="str">
        <f>IF(C1525&amp;G1525&amp;D1525&lt;&gt;'Funnel setup'!$K$3&amp;'Funnel setup'!$K$4&amp;'Funnel setup'!$K$6,".",IF(A1524=".",1,A1524+1))</f>
        <v>.</v>
      </c>
      <c r="B1525" s="244" t="str">
        <f t="shared" si="23"/>
        <v>Hip Replacement RevisionProviderTHE PRINCESS ALEXANDRA HOSPITAL NHS TRUST (RQW)EQ-5D Index</v>
      </c>
      <c r="C1525" t="s">
        <v>967</v>
      </c>
      <c r="D1525" t="s">
        <v>965</v>
      </c>
      <c r="E1525" t="s">
        <v>640</v>
      </c>
      <c r="F1525" t="s">
        <v>641</v>
      </c>
      <c r="G1525" t="s">
        <v>963</v>
      </c>
      <c r="H1525">
        <v>1</v>
      </c>
      <c r="I1525">
        <v>0.51600000000000001</v>
      </c>
      <c r="J1525">
        <v>0.13700000000000001</v>
      </c>
      <c r="K1525">
        <v>-0.379</v>
      </c>
      <c r="L1525">
        <v>0</v>
      </c>
      <c r="M1525">
        <v>0</v>
      </c>
      <c r="N1525">
        <v>1</v>
      </c>
      <c r="O1525" t="s">
        <v>127</v>
      </c>
      <c r="P1525" t="s">
        <v>127</v>
      </c>
      <c r="Q1525" t="s">
        <v>127</v>
      </c>
    </row>
    <row r="1526" spans="1:17" x14ac:dyDescent="0.25">
      <c r="A1526" t="str">
        <f>IF(C1526&amp;G1526&amp;D1526&lt;&gt;'Funnel setup'!$K$3&amp;'Funnel setup'!$K$4&amp;'Funnel setup'!$K$6,".",IF(A1525=".",1,A1525+1))</f>
        <v>.</v>
      </c>
      <c r="B1526" s="244" t="str">
        <f t="shared" si="23"/>
        <v>Hip Replacement RevisionProviderTHE QUEEN ELIZABETH HOSPITAL, KING'S LYNN, NHS FOUNDATION TRUST (RCX)EQ-5D Index</v>
      </c>
      <c r="C1526" t="s">
        <v>967</v>
      </c>
      <c r="D1526" t="s">
        <v>965</v>
      </c>
      <c r="E1526" t="s">
        <v>644</v>
      </c>
      <c r="F1526" t="s">
        <v>645</v>
      </c>
      <c r="G1526" t="s">
        <v>963</v>
      </c>
      <c r="H1526">
        <v>2</v>
      </c>
      <c r="I1526">
        <v>0.42499999999999999</v>
      </c>
      <c r="J1526">
        <v>0.20300000000000001</v>
      </c>
      <c r="K1526">
        <v>-0.222</v>
      </c>
      <c r="L1526">
        <v>1</v>
      </c>
      <c r="M1526">
        <v>0</v>
      </c>
      <c r="N1526">
        <v>1</v>
      </c>
      <c r="O1526" t="s">
        <v>127</v>
      </c>
      <c r="P1526" t="s">
        <v>127</v>
      </c>
      <c r="Q1526" t="s">
        <v>127</v>
      </c>
    </row>
    <row r="1527" spans="1:17" x14ac:dyDescent="0.25">
      <c r="A1527" t="str">
        <f>IF(C1527&amp;G1527&amp;D1527&lt;&gt;'Funnel setup'!$K$3&amp;'Funnel setup'!$K$4&amp;'Funnel setup'!$K$6,".",IF(A1526=".",1,A1526+1))</f>
        <v>.</v>
      </c>
      <c r="B1527" s="244" t="str">
        <f t="shared" si="23"/>
        <v>Hip Replacement RevisionProviderTHE ROBERT JONES AND AGNES HUNT ORTHOPAEDIC HOSPITAL NHS FOUNDATION TRUST (RL1)EQ-5D Index</v>
      </c>
      <c r="C1527" t="s">
        <v>967</v>
      </c>
      <c r="D1527" t="s">
        <v>965</v>
      </c>
      <c r="E1527" t="s">
        <v>646</v>
      </c>
      <c r="F1527" t="s">
        <v>647</v>
      </c>
      <c r="G1527" t="s">
        <v>963</v>
      </c>
      <c r="H1527">
        <v>24</v>
      </c>
      <c r="I1527">
        <v>0.297292</v>
      </c>
      <c r="J1527">
        <v>0.71929200000000004</v>
      </c>
      <c r="K1527">
        <v>0.42199999999999999</v>
      </c>
      <c r="L1527">
        <v>20</v>
      </c>
      <c r="M1527">
        <v>2</v>
      </c>
      <c r="N1527">
        <v>2</v>
      </c>
      <c r="O1527" t="s">
        <v>127</v>
      </c>
      <c r="P1527" t="s">
        <v>127</v>
      </c>
      <c r="Q1527" t="s">
        <v>127</v>
      </c>
    </row>
    <row r="1528" spans="1:17" x14ac:dyDescent="0.25">
      <c r="A1528" t="str">
        <f>IF(C1528&amp;G1528&amp;D1528&lt;&gt;'Funnel setup'!$K$3&amp;'Funnel setup'!$K$4&amp;'Funnel setup'!$K$6,".",IF(A1527=".",1,A1527+1))</f>
        <v>.</v>
      </c>
      <c r="B1528" s="244" t="str">
        <f t="shared" si="23"/>
        <v>Hip Replacement RevisionProviderTHE ROYAL ORTHOPAEDIC HOSPITAL NHS FOUNDATION TRUST (RRJ)EQ-5D Index</v>
      </c>
      <c r="C1528" t="s">
        <v>967</v>
      </c>
      <c r="D1528" t="s">
        <v>965</v>
      </c>
      <c r="E1528" t="s">
        <v>652</v>
      </c>
      <c r="F1528" t="s">
        <v>653</v>
      </c>
      <c r="G1528" t="s">
        <v>963</v>
      </c>
      <c r="H1528">
        <v>39</v>
      </c>
      <c r="I1528">
        <v>0.36738500000000002</v>
      </c>
      <c r="J1528">
        <v>0.70699999999999996</v>
      </c>
      <c r="K1528">
        <v>0.339615</v>
      </c>
      <c r="L1528">
        <v>32</v>
      </c>
      <c r="M1528">
        <v>3</v>
      </c>
      <c r="N1528">
        <v>4</v>
      </c>
      <c r="O1528">
        <v>0.69185799999999997</v>
      </c>
      <c r="P1528">
        <v>0.32307599999999997</v>
      </c>
      <c r="Q1528">
        <v>0.26678400000000002</v>
      </c>
    </row>
    <row r="1529" spans="1:17" x14ac:dyDescent="0.25">
      <c r="A1529" t="str">
        <f>IF(C1529&amp;G1529&amp;D1529&lt;&gt;'Funnel setup'!$K$3&amp;'Funnel setup'!$K$4&amp;'Funnel setup'!$K$6,".",IF(A1528=".",1,A1528+1))</f>
        <v>.</v>
      </c>
      <c r="B1529" s="244" t="str">
        <f t="shared" si="23"/>
        <v>Hip Replacement RevisionProviderTHE ROYAL WOLVERHAMPTON NHS TRUST (RL4)EQ-5D Index</v>
      </c>
      <c r="C1529" t="s">
        <v>967</v>
      </c>
      <c r="D1529" t="s">
        <v>965</v>
      </c>
      <c r="E1529" t="s">
        <v>654</v>
      </c>
      <c r="F1529" t="s">
        <v>655</v>
      </c>
      <c r="G1529" t="s">
        <v>963</v>
      </c>
      <c r="H1529">
        <v>1</v>
      </c>
      <c r="I1529">
        <v>5.5E-2</v>
      </c>
      <c r="J1529">
        <v>1</v>
      </c>
      <c r="K1529">
        <v>0.94499999999999995</v>
      </c>
      <c r="L1529">
        <v>1</v>
      </c>
      <c r="M1529">
        <v>0</v>
      </c>
      <c r="N1529">
        <v>0</v>
      </c>
      <c r="O1529" t="s">
        <v>127</v>
      </c>
      <c r="P1529" t="s">
        <v>127</v>
      </c>
      <c r="Q1529" t="s">
        <v>127</v>
      </c>
    </row>
    <row r="1530" spans="1:17" x14ac:dyDescent="0.25">
      <c r="A1530" t="str">
        <f>IF(C1530&amp;G1530&amp;D1530&lt;&gt;'Funnel setup'!$K$3&amp;'Funnel setup'!$K$4&amp;'Funnel setup'!$K$6,".",IF(A1529=".",1,A1529+1))</f>
        <v>.</v>
      </c>
      <c r="B1530" s="244" t="str">
        <f t="shared" si="23"/>
        <v>Hip Replacement RevisionProviderTORBAY AND SOUTH DEVON NHS FOUNDATION TRUST (RA9)EQ-5D Index</v>
      </c>
      <c r="C1530" t="s">
        <v>967</v>
      </c>
      <c r="D1530" t="s">
        <v>965</v>
      </c>
      <c r="E1530" t="s">
        <v>668</v>
      </c>
      <c r="F1530" t="s">
        <v>669</v>
      </c>
      <c r="G1530" t="s">
        <v>963</v>
      </c>
      <c r="H1530">
        <v>3</v>
      </c>
      <c r="I1530">
        <v>0.27533299999999999</v>
      </c>
      <c r="J1530">
        <v>0.70466700000000004</v>
      </c>
      <c r="K1530">
        <v>0.42933300000000002</v>
      </c>
      <c r="L1530">
        <v>2</v>
      </c>
      <c r="M1530">
        <v>0</v>
      </c>
      <c r="N1530">
        <v>1</v>
      </c>
      <c r="O1530" t="s">
        <v>127</v>
      </c>
      <c r="P1530" t="s">
        <v>127</v>
      </c>
      <c r="Q1530" t="s">
        <v>127</v>
      </c>
    </row>
    <row r="1531" spans="1:17" x14ac:dyDescent="0.25">
      <c r="A1531" t="str">
        <f>IF(C1531&amp;G1531&amp;D1531&lt;&gt;'Funnel setup'!$K$3&amp;'Funnel setup'!$K$4&amp;'Funnel setup'!$K$6,".",IF(A1530=".",1,A1530+1))</f>
        <v>.</v>
      </c>
      <c r="B1531" s="244" t="str">
        <f t="shared" si="23"/>
        <v>Hip Replacement RevisionProviderUNIVERSITY COLLEGE LONDON HOSPITALS NHS FOUNDATION TRUST (RRV)EQ-5D Index</v>
      </c>
      <c r="C1531" t="s">
        <v>967</v>
      </c>
      <c r="D1531" t="s">
        <v>965</v>
      </c>
      <c r="E1531" t="s">
        <v>674</v>
      </c>
      <c r="F1531" t="s">
        <v>675</v>
      </c>
      <c r="G1531" t="s">
        <v>963</v>
      </c>
      <c r="H1531">
        <v>9</v>
      </c>
      <c r="I1531">
        <v>0.61255599999999999</v>
      </c>
      <c r="J1531">
        <v>0.80522199999999999</v>
      </c>
      <c r="K1531">
        <v>0.192667</v>
      </c>
      <c r="L1531">
        <v>5</v>
      </c>
      <c r="M1531">
        <v>2</v>
      </c>
      <c r="N1531">
        <v>2</v>
      </c>
      <c r="O1531" t="s">
        <v>127</v>
      </c>
      <c r="P1531" t="s">
        <v>127</v>
      </c>
      <c r="Q1531" t="s">
        <v>127</v>
      </c>
    </row>
    <row r="1532" spans="1:17" x14ac:dyDescent="0.25">
      <c r="A1532" t="str">
        <f>IF(C1532&amp;G1532&amp;D1532&lt;&gt;'Funnel setup'!$K$3&amp;'Funnel setup'!$K$4&amp;'Funnel setup'!$K$6,".",IF(A1531=".",1,A1531+1))</f>
        <v>.</v>
      </c>
      <c r="B1532" s="244" t="str">
        <f t="shared" si="23"/>
        <v>Hip Replacement RevisionProviderUNIVERSITY HOSPITAL SOUTHAMPTON NHS FOUNDATION TRUST (RHM)EQ-5D Index</v>
      </c>
      <c r="C1532" t="s">
        <v>967</v>
      </c>
      <c r="D1532" t="s">
        <v>965</v>
      </c>
      <c r="E1532" t="s">
        <v>676</v>
      </c>
      <c r="F1532" t="s">
        <v>677</v>
      </c>
      <c r="G1532" t="s">
        <v>963</v>
      </c>
      <c r="H1532">
        <v>7</v>
      </c>
      <c r="I1532">
        <v>0.432143</v>
      </c>
      <c r="J1532">
        <v>0.52785700000000002</v>
      </c>
      <c r="K1532">
        <v>9.5714300000000002E-2</v>
      </c>
      <c r="L1532">
        <v>3</v>
      </c>
      <c r="M1532">
        <v>1</v>
      </c>
      <c r="N1532">
        <v>3</v>
      </c>
      <c r="O1532" t="s">
        <v>127</v>
      </c>
      <c r="P1532" t="s">
        <v>127</v>
      </c>
      <c r="Q1532" t="s">
        <v>127</v>
      </c>
    </row>
    <row r="1533" spans="1:17" x14ac:dyDescent="0.25">
      <c r="A1533" t="str">
        <f>IF(C1533&amp;G1533&amp;D1533&lt;&gt;'Funnel setup'!$K$3&amp;'Funnel setup'!$K$4&amp;'Funnel setup'!$K$6,".",IF(A1532=".",1,A1532+1))</f>
        <v>.</v>
      </c>
      <c r="B1533" s="244" t="str">
        <f t="shared" si="23"/>
        <v>Hip Replacement RevisionProviderUNIVERSITY HOSPITALS BRISTOL AND WESTON NHS FOUNDATION TRUST (RA7)EQ-5D Index</v>
      </c>
      <c r="C1533" t="s">
        <v>967</v>
      </c>
      <c r="D1533" t="s">
        <v>965</v>
      </c>
      <c r="E1533" t="s">
        <v>680</v>
      </c>
      <c r="F1533" t="s">
        <v>681</v>
      </c>
      <c r="G1533" t="s">
        <v>963</v>
      </c>
      <c r="H1533" t="s">
        <v>127</v>
      </c>
      <c r="I1533" t="s">
        <v>127</v>
      </c>
      <c r="J1533" t="s">
        <v>127</v>
      </c>
      <c r="K1533" t="s">
        <v>127</v>
      </c>
      <c r="L1533" t="s">
        <v>127</v>
      </c>
      <c r="M1533" t="s">
        <v>127</v>
      </c>
      <c r="N1533" t="s">
        <v>127</v>
      </c>
      <c r="O1533" t="s">
        <v>127</v>
      </c>
      <c r="P1533" t="s">
        <v>127</v>
      </c>
      <c r="Q1533" t="s">
        <v>127</v>
      </c>
    </row>
    <row r="1534" spans="1:17" x14ac:dyDescent="0.25">
      <c r="A1534" t="str">
        <f>IF(C1534&amp;G1534&amp;D1534&lt;&gt;'Funnel setup'!$K$3&amp;'Funnel setup'!$K$4&amp;'Funnel setup'!$K$6,".",IF(A1533=".",1,A1533+1))</f>
        <v>.</v>
      </c>
      <c r="B1534" s="244" t="str">
        <f t="shared" si="23"/>
        <v>Hip Replacement RevisionProviderUNIVERSITY HOSPITALS COVENTRY AND WARWICKSHIRE NHS TRUST (RKB)EQ-5D Index</v>
      </c>
      <c r="C1534" t="s">
        <v>967</v>
      </c>
      <c r="D1534" t="s">
        <v>965</v>
      </c>
      <c r="E1534" t="s">
        <v>682</v>
      </c>
      <c r="F1534" t="s">
        <v>683</v>
      </c>
      <c r="G1534" t="s">
        <v>963</v>
      </c>
      <c r="H1534">
        <v>2</v>
      </c>
      <c r="I1534">
        <v>0.32100000000000001</v>
      </c>
      <c r="J1534">
        <v>0.59450000000000003</v>
      </c>
      <c r="K1534">
        <v>0.27350000000000002</v>
      </c>
      <c r="L1534">
        <v>2</v>
      </c>
      <c r="M1534">
        <v>0</v>
      </c>
      <c r="N1534">
        <v>0</v>
      </c>
      <c r="O1534" t="s">
        <v>127</v>
      </c>
      <c r="P1534" t="s">
        <v>127</v>
      </c>
      <c r="Q1534" t="s">
        <v>127</v>
      </c>
    </row>
    <row r="1535" spans="1:17" x14ac:dyDescent="0.25">
      <c r="A1535" t="str">
        <f>IF(C1535&amp;G1535&amp;D1535&lt;&gt;'Funnel setup'!$K$3&amp;'Funnel setup'!$K$4&amp;'Funnel setup'!$K$6,".",IF(A1534=".",1,A1534+1))</f>
        <v>.</v>
      </c>
      <c r="B1535" s="244" t="str">
        <f t="shared" si="23"/>
        <v>Hip Replacement RevisionProviderUNIVERSITY HOSPITAL DORSET NHS FUNDATION TRUST (R0D)EQ-5D Index</v>
      </c>
      <c r="C1535" t="s">
        <v>967</v>
      </c>
      <c r="D1535" t="s">
        <v>965</v>
      </c>
      <c r="E1535" t="s">
        <v>684</v>
      </c>
      <c r="F1535" t="s">
        <v>966</v>
      </c>
      <c r="G1535" t="s">
        <v>963</v>
      </c>
      <c r="H1535">
        <v>10</v>
      </c>
      <c r="I1535">
        <v>0.38100000000000001</v>
      </c>
      <c r="J1535">
        <v>0.79</v>
      </c>
      <c r="K1535">
        <v>0.40899999999999997</v>
      </c>
      <c r="L1535">
        <v>8</v>
      </c>
      <c r="M1535">
        <v>2</v>
      </c>
      <c r="N1535">
        <v>0</v>
      </c>
      <c r="O1535" t="s">
        <v>127</v>
      </c>
      <c r="P1535" t="s">
        <v>127</v>
      </c>
      <c r="Q1535" t="s">
        <v>127</v>
      </c>
    </row>
    <row r="1536" spans="1:17" x14ac:dyDescent="0.25">
      <c r="A1536" t="str">
        <f>IF(C1536&amp;G1536&amp;D1536&lt;&gt;'Funnel setup'!$K$3&amp;'Funnel setup'!$K$4&amp;'Funnel setup'!$K$6,".",IF(A1535=".",1,A1535+1))</f>
        <v>.</v>
      </c>
      <c r="B1536" s="244" t="str">
        <f t="shared" si="23"/>
        <v>Hip Replacement RevisionProviderUNIVERSITY HOSPITALS OF DERBY AND BURTON NHS FOUNDATION TRUST (RTG)EQ-5D Index</v>
      </c>
      <c r="C1536" t="s">
        <v>967</v>
      </c>
      <c r="D1536" t="s">
        <v>965</v>
      </c>
      <c r="E1536" t="s">
        <v>686</v>
      </c>
      <c r="F1536" t="s">
        <v>687</v>
      </c>
      <c r="G1536" t="s">
        <v>963</v>
      </c>
      <c r="H1536">
        <v>16</v>
      </c>
      <c r="I1536">
        <v>0.44612499999999999</v>
      </c>
      <c r="J1536">
        <v>0.70843800000000001</v>
      </c>
      <c r="K1536">
        <v>0.26231300000000002</v>
      </c>
      <c r="L1536">
        <v>10</v>
      </c>
      <c r="M1536">
        <v>1</v>
      </c>
      <c r="N1536">
        <v>5</v>
      </c>
      <c r="O1536" t="s">
        <v>127</v>
      </c>
      <c r="P1536" t="s">
        <v>127</v>
      </c>
      <c r="Q1536" t="s">
        <v>127</v>
      </c>
    </row>
    <row r="1537" spans="1:17" x14ac:dyDescent="0.25">
      <c r="A1537" t="str">
        <f>IF(C1537&amp;G1537&amp;D1537&lt;&gt;'Funnel setup'!$K$3&amp;'Funnel setup'!$K$4&amp;'Funnel setup'!$K$6,".",IF(A1536=".",1,A1536+1))</f>
        <v>.</v>
      </c>
      <c r="B1537" s="244" t="str">
        <f t="shared" si="23"/>
        <v>Hip Replacement RevisionProviderUNIVERSITY HOSPITALS OF LEICESTER NHS TRUST (RWE)EQ-5D Index</v>
      </c>
      <c r="C1537" t="s">
        <v>967</v>
      </c>
      <c r="D1537" t="s">
        <v>965</v>
      </c>
      <c r="E1537" t="s">
        <v>688</v>
      </c>
      <c r="F1537" t="s">
        <v>689</v>
      </c>
      <c r="G1537" t="s">
        <v>963</v>
      </c>
      <c r="H1537">
        <v>14</v>
      </c>
      <c r="I1537">
        <v>0.269071</v>
      </c>
      <c r="J1537">
        <v>0.75121400000000005</v>
      </c>
      <c r="K1537">
        <v>0.48214299999999999</v>
      </c>
      <c r="L1537">
        <v>14</v>
      </c>
      <c r="M1537">
        <v>0</v>
      </c>
      <c r="N1537">
        <v>0</v>
      </c>
      <c r="O1537" t="s">
        <v>127</v>
      </c>
      <c r="P1537" t="s">
        <v>127</v>
      </c>
      <c r="Q1537" t="s">
        <v>127</v>
      </c>
    </row>
    <row r="1538" spans="1:17" x14ac:dyDescent="0.25">
      <c r="A1538" t="str">
        <f>IF(C1538&amp;G1538&amp;D1538&lt;&gt;'Funnel setup'!$K$3&amp;'Funnel setup'!$K$4&amp;'Funnel setup'!$K$6,".",IF(A1537=".",1,A1537+1))</f>
        <v>.</v>
      </c>
      <c r="B1538" s="244" t="str">
        <f t="shared" ref="B1538:B1601" si="24">C1538&amp;D1538&amp;F1538&amp;G1538</f>
        <v>Hip Replacement RevisionProviderUNIVERSITY HOSPITALS OF MORECAMBE BAY NHS FOUNDATION TRUST (RTX)EQ-5D Index</v>
      </c>
      <c r="C1538" t="s">
        <v>967</v>
      </c>
      <c r="D1538" t="s">
        <v>965</v>
      </c>
      <c r="E1538" t="s">
        <v>690</v>
      </c>
      <c r="F1538" t="s">
        <v>691</v>
      </c>
      <c r="G1538" t="s">
        <v>963</v>
      </c>
      <c r="H1538">
        <v>8</v>
      </c>
      <c r="I1538">
        <v>0.28225</v>
      </c>
      <c r="J1538">
        <v>0.67200000000000004</v>
      </c>
      <c r="K1538">
        <v>0.38974999999999999</v>
      </c>
      <c r="L1538">
        <v>8</v>
      </c>
      <c r="M1538">
        <v>0</v>
      </c>
      <c r="N1538">
        <v>0</v>
      </c>
      <c r="O1538" t="s">
        <v>127</v>
      </c>
      <c r="P1538" t="s">
        <v>127</v>
      </c>
      <c r="Q1538" t="s">
        <v>127</v>
      </c>
    </row>
    <row r="1539" spans="1:17" x14ac:dyDescent="0.25">
      <c r="A1539" t="str">
        <f>IF(C1539&amp;G1539&amp;D1539&lt;&gt;'Funnel setup'!$K$3&amp;'Funnel setup'!$K$4&amp;'Funnel setup'!$K$6,".",IF(A1538=".",1,A1538+1))</f>
        <v>.</v>
      </c>
      <c r="B1539" s="244" t="str">
        <f t="shared" si="24"/>
        <v>Hip Replacement RevisionProviderUNIVERSITY HOSPITALS PLYMOUTH NHS TRUST (RK9)EQ-5D Index</v>
      </c>
      <c r="C1539" t="s">
        <v>967</v>
      </c>
      <c r="D1539" t="s">
        <v>965</v>
      </c>
      <c r="E1539" t="s">
        <v>694</v>
      </c>
      <c r="F1539" t="s">
        <v>695</v>
      </c>
      <c r="G1539" t="s">
        <v>963</v>
      </c>
      <c r="H1539">
        <v>2</v>
      </c>
      <c r="I1539">
        <v>0.221</v>
      </c>
      <c r="J1539">
        <v>-2.5000000000000001E-2</v>
      </c>
      <c r="K1539">
        <v>-0.246</v>
      </c>
      <c r="L1539">
        <v>0</v>
      </c>
      <c r="M1539">
        <v>0</v>
      </c>
      <c r="N1539">
        <v>2</v>
      </c>
      <c r="O1539" t="s">
        <v>127</v>
      </c>
      <c r="P1539" t="s">
        <v>127</v>
      </c>
      <c r="Q1539" t="s">
        <v>127</v>
      </c>
    </row>
    <row r="1540" spans="1:17" x14ac:dyDescent="0.25">
      <c r="A1540" t="str">
        <f>IF(C1540&amp;G1540&amp;D1540&lt;&gt;'Funnel setup'!$K$3&amp;'Funnel setup'!$K$4&amp;'Funnel setup'!$K$6,".",IF(A1539=".",1,A1539+1))</f>
        <v>.</v>
      </c>
      <c r="B1540" s="244" t="str">
        <f t="shared" si="24"/>
        <v>Hip Replacement RevisionProviderUNIVERSITY HOSPITALS SUSSEX NHS FOUNDATION TRUST (RYR)EQ-5D Index</v>
      </c>
      <c r="C1540" t="s">
        <v>967</v>
      </c>
      <c r="D1540" t="s">
        <v>965</v>
      </c>
      <c r="E1540" t="s">
        <v>696</v>
      </c>
      <c r="F1540" t="s">
        <v>697</v>
      </c>
      <c r="G1540" t="s">
        <v>963</v>
      </c>
      <c r="H1540">
        <v>12</v>
      </c>
      <c r="I1540">
        <v>0.28625</v>
      </c>
      <c r="J1540">
        <v>0.65691699999999997</v>
      </c>
      <c r="K1540">
        <v>0.37066700000000002</v>
      </c>
      <c r="L1540">
        <v>9</v>
      </c>
      <c r="M1540">
        <v>2</v>
      </c>
      <c r="N1540">
        <v>1</v>
      </c>
      <c r="O1540" t="s">
        <v>127</v>
      </c>
      <c r="P1540" t="s">
        <v>127</v>
      </c>
      <c r="Q1540" t="s">
        <v>127</v>
      </c>
    </row>
    <row r="1541" spans="1:17" x14ac:dyDescent="0.25">
      <c r="A1541" t="str">
        <f>IF(C1541&amp;G1541&amp;D1541&lt;&gt;'Funnel setup'!$K$3&amp;'Funnel setup'!$K$4&amp;'Funnel setup'!$K$6,".",IF(A1540=".",1,A1540+1))</f>
        <v>.</v>
      </c>
      <c r="B1541" s="244" t="str">
        <f t="shared" si="24"/>
        <v>Hip Replacement RevisionProviderWARRINGTON AND HALTON TEACHING HOSPITALS NHS FOUNDATION TRUST (RWW)EQ-5D Index</v>
      </c>
      <c r="C1541" t="s">
        <v>967</v>
      </c>
      <c r="D1541" t="s">
        <v>965</v>
      </c>
      <c r="E1541" t="s">
        <v>700</v>
      </c>
      <c r="F1541" t="s">
        <v>701</v>
      </c>
      <c r="G1541" t="s">
        <v>963</v>
      </c>
      <c r="H1541">
        <v>1</v>
      </c>
      <c r="I1541">
        <v>0.69099999999999995</v>
      </c>
      <c r="J1541">
        <v>0.69099999999999995</v>
      </c>
      <c r="K1541">
        <v>0</v>
      </c>
      <c r="L1541">
        <v>0</v>
      </c>
      <c r="M1541">
        <v>1</v>
      </c>
      <c r="N1541">
        <v>0</v>
      </c>
      <c r="O1541" t="s">
        <v>127</v>
      </c>
      <c r="P1541" t="s">
        <v>127</v>
      </c>
      <c r="Q1541" t="s">
        <v>127</v>
      </c>
    </row>
    <row r="1542" spans="1:17" x14ac:dyDescent="0.25">
      <c r="A1542" t="str">
        <f>IF(C1542&amp;G1542&amp;D1542&lt;&gt;'Funnel setup'!$K$3&amp;'Funnel setup'!$K$4&amp;'Funnel setup'!$K$6,".",IF(A1541=".",1,A1541+1))</f>
        <v>.</v>
      </c>
      <c r="B1542" s="244" t="str">
        <f t="shared" si="24"/>
        <v>Hip Replacement RevisionProviderWEST HERTFORDSHIRE TEACHING HOSPITALS NHS TRUST (RWG)EQ-5D Index</v>
      </c>
      <c r="C1542" t="s">
        <v>967</v>
      </c>
      <c r="D1542" t="s">
        <v>965</v>
      </c>
      <c r="E1542" t="s">
        <v>702</v>
      </c>
      <c r="F1542" t="s">
        <v>703</v>
      </c>
      <c r="G1542" t="s">
        <v>963</v>
      </c>
      <c r="H1542">
        <v>7</v>
      </c>
      <c r="I1542">
        <v>0.15642900000000001</v>
      </c>
      <c r="J1542">
        <v>0.70814299999999997</v>
      </c>
      <c r="K1542">
        <v>0.55171400000000004</v>
      </c>
      <c r="L1542">
        <v>6</v>
      </c>
      <c r="M1542">
        <v>1</v>
      </c>
      <c r="N1542">
        <v>0</v>
      </c>
      <c r="O1542" t="s">
        <v>127</v>
      </c>
      <c r="P1542" t="s">
        <v>127</v>
      </c>
      <c r="Q1542" t="s">
        <v>127</v>
      </c>
    </row>
    <row r="1543" spans="1:17" x14ac:dyDescent="0.25">
      <c r="A1543" t="str">
        <f>IF(C1543&amp;G1543&amp;D1543&lt;&gt;'Funnel setup'!$K$3&amp;'Funnel setup'!$K$4&amp;'Funnel setup'!$K$6,".",IF(A1542=".",1,A1542+1))</f>
        <v>.</v>
      </c>
      <c r="B1543" s="244" t="str">
        <f t="shared" si="24"/>
        <v>Hip Replacement RevisionProviderWEST SUFFOLK NHS FOUNDATION TRUST (RGR)EQ-5D Index</v>
      </c>
      <c r="C1543" t="s">
        <v>967</v>
      </c>
      <c r="D1543" t="s">
        <v>965</v>
      </c>
      <c r="E1543" t="s">
        <v>706</v>
      </c>
      <c r="F1543" t="s">
        <v>707</v>
      </c>
      <c r="G1543" t="s">
        <v>963</v>
      </c>
      <c r="H1543">
        <v>6</v>
      </c>
      <c r="I1543">
        <v>0.41599999999999998</v>
      </c>
      <c r="J1543">
        <v>0.79416699999999996</v>
      </c>
      <c r="K1543">
        <v>0.37816699999999998</v>
      </c>
      <c r="L1543">
        <v>5</v>
      </c>
      <c r="M1543">
        <v>1</v>
      </c>
      <c r="N1543">
        <v>0</v>
      </c>
      <c r="O1543" t="s">
        <v>127</v>
      </c>
      <c r="P1543" t="s">
        <v>127</v>
      </c>
      <c r="Q1543" t="s">
        <v>127</v>
      </c>
    </row>
    <row r="1544" spans="1:17" x14ac:dyDescent="0.25">
      <c r="A1544" t="str">
        <f>IF(C1544&amp;G1544&amp;D1544&lt;&gt;'Funnel setup'!$K$3&amp;'Funnel setup'!$K$4&amp;'Funnel setup'!$K$6,".",IF(A1543=".",1,A1543+1))</f>
        <v>.</v>
      </c>
      <c r="B1544" s="244" t="str">
        <f t="shared" si="24"/>
        <v>Hip Replacement RevisionProviderWIRRAL UNIVERSITY TEACHING HOSPITAL NHS FOUNDATION TRUST (RBL)EQ-5D Index</v>
      </c>
      <c r="C1544" t="s">
        <v>967</v>
      </c>
      <c r="D1544" t="s">
        <v>965</v>
      </c>
      <c r="E1544" t="s">
        <v>714</v>
      </c>
      <c r="F1544" t="s">
        <v>715</v>
      </c>
      <c r="G1544" t="s">
        <v>963</v>
      </c>
      <c r="H1544">
        <v>1</v>
      </c>
      <c r="I1544">
        <v>0.58699999999999997</v>
      </c>
      <c r="J1544">
        <v>0.85</v>
      </c>
      <c r="K1544">
        <v>0.26300000000000001</v>
      </c>
      <c r="L1544">
        <v>1</v>
      </c>
      <c r="M1544">
        <v>0</v>
      </c>
      <c r="N1544">
        <v>0</v>
      </c>
      <c r="O1544" t="s">
        <v>127</v>
      </c>
      <c r="P1544" t="s">
        <v>127</v>
      </c>
      <c r="Q1544" t="s">
        <v>127</v>
      </c>
    </row>
    <row r="1545" spans="1:17" x14ac:dyDescent="0.25">
      <c r="A1545" t="str">
        <f>IF(C1545&amp;G1545&amp;D1545&lt;&gt;'Funnel setup'!$K$3&amp;'Funnel setup'!$K$4&amp;'Funnel setup'!$K$6,".",IF(A1544=".",1,A1544+1))</f>
        <v>.</v>
      </c>
      <c r="B1545" s="244" t="str">
        <f t="shared" si="24"/>
        <v>Hip Replacement RevisionProviderWOODLAND HOSPITAL (NVC23)EQ-5D Index</v>
      </c>
      <c r="C1545" t="s">
        <v>967</v>
      </c>
      <c r="D1545" t="s">
        <v>965</v>
      </c>
      <c r="E1545" t="s">
        <v>716</v>
      </c>
      <c r="F1545" t="s">
        <v>717</v>
      </c>
      <c r="G1545" t="s">
        <v>963</v>
      </c>
      <c r="H1545" t="s">
        <v>127</v>
      </c>
      <c r="I1545" t="s">
        <v>127</v>
      </c>
      <c r="J1545" t="s">
        <v>127</v>
      </c>
      <c r="K1545" t="s">
        <v>127</v>
      </c>
      <c r="L1545" t="s">
        <v>127</v>
      </c>
      <c r="M1545" t="s">
        <v>127</v>
      </c>
      <c r="N1545" t="s">
        <v>127</v>
      </c>
      <c r="O1545" t="s">
        <v>127</v>
      </c>
      <c r="P1545" t="s">
        <v>127</v>
      </c>
      <c r="Q1545" t="s">
        <v>127</v>
      </c>
    </row>
    <row r="1546" spans="1:17" x14ac:dyDescent="0.25">
      <c r="A1546" t="str">
        <f>IF(C1546&amp;G1546&amp;D1546&lt;&gt;'Funnel setup'!$K$3&amp;'Funnel setup'!$K$4&amp;'Funnel setup'!$K$6,".",IF(A1545=".",1,A1545+1))</f>
        <v>.</v>
      </c>
      <c r="B1546" s="244" t="str">
        <f t="shared" si="24"/>
        <v>Hip Replacement RevisionProviderWOODLANDS HOSPITAL (NT457)EQ-5D Index</v>
      </c>
      <c r="C1546" t="s">
        <v>967</v>
      </c>
      <c r="D1546" t="s">
        <v>965</v>
      </c>
      <c r="E1546" t="s">
        <v>718</v>
      </c>
      <c r="F1546" t="s">
        <v>719</v>
      </c>
      <c r="G1546" t="s">
        <v>963</v>
      </c>
      <c r="H1546" t="s">
        <v>127</v>
      </c>
      <c r="I1546" t="s">
        <v>127</v>
      </c>
      <c r="J1546" t="s">
        <v>127</v>
      </c>
      <c r="K1546" t="s">
        <v>127</v>
      </c>
      <c r="L1546" t="s">
        <v>127</v>
      </c>
      <c r="M1546" t="s">
        <v>127</v>
      </c>
      <c r="N1546" t="s">
        <v>127</v>
      </c>
      <c r="O1546" t="s">
        <v>127</v>
      </c>
      <c r="P1546" t="s">
        <v>127</v>
      </c>
      <c r="Q1546" t="s">
        <v>127</v>
      </c>
    </row>
    <row r="1547" spans="1:17" x14ac:dyDescent="0.25">
      <c r="A1547" t="str">
        <f>IF(C1547&amp;G1547&amp;D1547&lt;&gt;'Funnel setup'!$K$3&amp;'Funnel setup'!$K$4&amp;'Funnel setup'!$K$6,".",IF(A1546=".",1,A1546+1))</f>
        <v>.</v>
      </c>
      <c r="B1547" s="244" t="str">
        <f t="shared" si="24"/>
        <v>Hip Replacement RevisionProviderWORCESTERSHIRE ACUTE HOSPITALS NHS TRUST (RWP)EQ-5D Index</v>
      </c>
      <c r="C1547" t="s">
        <v>967</v>
      </c>
      <c r="D1547" t="s">
        <v>965</v>
      </c>
      <c r="E1547" t="s">
        <v>722</v>
      </c>
      <c r="F1547" t="s">
        <v>723</v>
      </c>
      <c r="G1547" t="s">
        <v>963</v>
      </c>
      <c r="H1547">
        <v>6</v>
      </c>
      <c r="I1547">
        <v>0.20449999999999999</v>
      </c>
      <c r="J1547">
        <v>0.70650000000000002</v>
      </c>
      <c r="K1547">
        <v>0.502</v>
      </c>
      <c r="L1547">
        <v>5</v>
      </c>
      <c r="M1547">
        <v>1</v>
      </c>
      <c r="N1547">
        <v>0</v>
      </c>
      <c r="O1547" t="s">
        <v>127</v>
      </c>
      <c r="P1547" t="s">
        <v>127</v>
      </c>
      <c r="Q1547" t="s">
        <v>127</v>
      </c>
    </row>
    <row r="1548" spans="1:17" x14ac:dyDescent="0.25">
      <c r="A1548" t="str">
        <f>IF(C1548&amp;G1548&amp;D1548&lt;&gt;'Funnel setup'!$K$3&amp;'Funnel setup'!$K$4&amp;'Funnel setup'!$K$6,".",IF(A1547=".",1,A1547+1))</f>
        <v>.</v>
      </c>
      <c r="B1548" s="244" t="str">
        <f t="shared" si="24"/>
        <v>Hip Replacement RevisionProviderWRIGHTINGTON, WIGAN AND LEIGH NHS FOUNDATION TRUST (RRF)EQ-5D Index</v>
      </c>
      <c r="C1548" t="s">
        <v>967</v>
      </c>
      <c r="D1548" t="s">
        <v>965</v>
      </c>
      <c r="E1548" t="s">
        <v>724</v>
      </c>
      <c r="F1548" t="s">
        <v>725</v>
      </c>
      <c r="G1548" t="s">
        <v>963</v>
      </c>
      <c r="H1548">
        <v>2</v>
      </c>
      <c r="I1548">
        <v>0.38950000000000001</v>
      </c>
      <c r="J1548">
        <v>0.90700000000000003</v>
      </c>
      <c r="K1548">
        <v>0.51749999999999996</v>
      </c>
      <c r="L1548">
        <v>2</v>
      </c>
      <c r="M1548">
        <v>0</v>
      </c>
      <c r="N1548">
        <v>0</v>
      </c>
      <c r="O1548" t="s">
        <v>127</v>
      </c>
      <c r="P1548" t="s">
        <v>127</v>
      </c>
      <c r="Q1548" t="s">
        <v>127</v>
      </c>
    </row>
    <row r="1549" spans="1:17" x14ac:dyDescent="0.25">
      <c r="A1549" t="str">
        <f>IF(C1549&amp;G1549&amp;D1549&lt;&gt;'Funnel setup'!$K$3&amp;'Funnel setup'!$K$4&amp;'Funnel setup'!$K$6,".",IF(A1548=".",1,A1548+1))</f>
        <v>.</v>
      </c>
      <c r="B1549" s="244" t="str">
        <f t="shared" si="24"/>
        <v>Hip Replacement RevisionProviderWYE VALLEY NHS TRUST (RLQ)EQ-5D Index</v>
      </c>
      <c r="C1549" t="s">
        <v>967</v>
      </c>
      <c r="D1549" t="s">
        <v>965</v>
      </c>
      <c r="E1549" t="s">
        <v>726</v>
      </c>
      <c r="F1549" t="s">
        <v>727</v>
      </c>
      <c r="G1549" t="s">
        <v>963</v>
      </c>
      <c r="H1549">
        <v>1</v>
      </c>
      <c r="I1549">
        <v>-3.0000000000000001E-3</v>
      </c>
      <c r="J1549">
        <v>0.36399999999999999</v>
      </c>
      <c r="K1549">
        <v>0.36699999999999999</v>
      </c>
      <c r="L1549">
        <v>1</v>
      </c>
      <c r="M1549">
        <v>0</v>
      </c>
      <c r="N1549">
        <v>0</v>
      </c>
      <c r="O1549" t="s">
        <v>127</v>
      </c>
      <c r="P1549" t="s">
        <v>127</v>
      </c>
      <c r="Q1549" t="s">
        <v>127</v>
      </c>
    </row>
    <row r="1550" spans="1:17" x14ac:dyDescent="0.25">
      <c r="A1550" t="str">
        <f>IF(C1550&amp;G1550&amp;D1550&lt;&gt;'Funnel setup'!$K$3&amp;'Funnel setup'!$K$4&amp;'Funnel setup'!$K$6,".",IF(A1549=".",1,A1549+1))</f>
        <v>.</v>
      </c>
      <c r="B1550" s="244" t="str">
        <f t="shared" si="24"/>
        <v>Hip Replacement RevisionProviderASHFORD AND ST PETER'S HOSPITALS NHS FOUNDATION TRUST (RTK)Oxford Hip Score</v>
      </c>
      <c r="C1550" t="s">
        <v>967</v>
      </c>
      <c r="D1550" t="s">
        <v>965</v>
      </c>
      <c r="E1550" t="s">
        <v>132</v>
      </c>
      <c r="F1550" t="s">
        <v>133</v>
      </c>
      <c r="G1550" t="s">
        <v>964</v>
      </c>
      <c r="H1550">
        <v>2</v>
      </c>
      <c r="I1550">
        <v>14</v>
      </c>
      <c r="J1550">
        <v>40.5</v>
      </c>
      <c r="K1550">
        <v>26.5</v>
      </c>
      <c r="L1550">
        <v>2</v>
      </c>
      <c r="M1550">
        <v>0</v>
      </c>
      <c r="N1550">
        <v>0</v>
      </c>
      <c r="O1550" t="s">
        <v>127</v>
      </c>
      <c r="P1550" t="s">
        <v>127</v>
      </c>
      <c r="Q1550" t="s">
        <v>127</v>
      </c>
    </row>
    <row r="1551" spans="1:17" x14ac:dyDescent="0.25">
      <c r="A1551" t="str">
        <f>IF(C1551&amp;G1551&amp;D1551&lt;&gt;'Funnel setup'!$K$3&amp;'Funnel setup'!$K$4&amp;'Funnel setup'!$K$6,".",IF(A1550=".",1,A1550+1))</f>
        <v>.</v>
      </c>
      <c r="B1551" s="244" t="str">
        <f t="shared" si="24"/>
        <v>Hip Replacement RevisionProviderBARKING, HAVERING AND REDBRIDGE UNIVERSITY HOSPITALS NHS TRUST (RF4)Oxford Hip Score</v>
      </c>
      <c r="C1551" t="s">
        <v>967</v>
      </c>
      <c r="D1551" t="s">
        <v>965</v>
      </c>
      <c r="E1551" t="s">
        <v>144</v>
      </c>
      <c r="F1551" t="s">
        <v>145</v>
      </c>
      <c r="G1551" t="s">
        <v>964</v>
      </c>
      <c r="H1551">
        <v>3</v>
      </c>
      <c r="I1551">
        <v>12.666700000000001</v>
      </c>
      <c r="J1551">
        <v>42</v>
      </c>
      <c r="K1551">
        <v>29.333300000000001</v>
      </c>
      <c r="L1551">
        <v>3</v>
      </c>
      <c r="M1551">
        <v>0</v>
      </c>
      <c r="N1551">
        <v>0</v>
      </c>
      <c r="O1551" t="s">
        <v>127</v>
      </c>
      <c r="P1551" t="s">
        <v>127</v>
      </c>
      <c r="Q1551" t="s">
        <v>127</v>
      </c>
    </row>
    <row r="1552" spans="1:17" x14ac:dyDescent="0.25">
      <c r="A1552" t="str">
        <f>IF(C1552&amp;G1552&amp;D1552&lt;&gt;'Funnel setup'!$K$3&amp;'Funnel setup'!$K$4&amp;'Funnel setup'!$K$6,".",IF(A1551=".",1,A1551+1))</f>
        <v>.</v>
      </c>
      <c r="B1552" s="244" t="str">
        <f t="shared" si="24"/>
        <v>Hip Replacement RevisionProviderBARTS HEALTH NHS TRUST (R1H)Oxford Hip Score</v>
      </c>
      <c r="C1552" t="s">
        <v>967</v>
      </c>
      <c r="D1552" t="s">
        <v>965</v>
      </c>
      <c r="E1552" t="s">
        <v>148</v>
      </c>
      <c r="F1552" t="s">
        <v>149</v>
      </c>
      <c r="G1552" t="s">
        <v>964</v>
      </c>
      <c r="H1552">
        <v>2</v>
      </c>
      <c r="I1552">
        <v>15</v>
      </c>
      <c r="J1552">
        <v>29.5</v>
      </c>
      <c r="K1552">
        <v>14.5</v>
      </c>
      <c r="L1552">
        <v>2</v>
      </c>
      <c r="M1552">
        <v>0</v>
      </c>
      <c r="N1552">
        <v>0</v>
      </c>
      <c r="O1552" t="s">
        <v>127</v>
      </c>
      <c r="P1552" t="s">
        <v>127</v>
      </c>
      <c r="Q1552" t="s">
        <v>127</v>
      </c>
    </row>
    <row r="1553" spans="1:17" x14ac:dyDescent="0.25">
      <c r="A1553" t="str">
        <f>IF(C1553&amp;G1553&amp;D1553&lt;&gt;'Funnel setup'!$K$3&amp;'Funnel setup'!$K$4&amp;'Funnel setup'!$K$6,".",IF(A1552=".",1,A1552+1))</f>
        <v>.</v>
      </c>
      <c r="B1553" s="244" t="str">
        <f t="shared" si="24"/>
        <v>Hip Replacement RevisionProviderBEDFORDSHIRE HOSPITALS NHS FOUNDATION TRUST (RC9)Oxford Hip Score</v>
      </c>
      <c r="C1553" t="s">
        <v>967</v>
      </c>
      <c r="D1553" t="s">
        <v>965</v>
      </c>
      <c r="E1553" t="s">
        <v>158</v>
      </c>
      <c r="F1553" t="s">
        <v>159</v>
      </c>
      <c r="G1553" t="s">
        <v>964</v>
      </c>
      <c r="H1553">
        <v>3</v>
      </c>
      <c r="I1553">
        <v>16</v>
      </c>
      <c r="J1553">
        <v>30.666699999999999</v>
      </c>
      <c r="K1553">
        <v>14.666700000000001</v>
      </c>
      <c r="L1553">
        <v>3</v>
      </c>
      <c r="M1553">
        <v>0</v>
      </c>
      <c r="N1553">
        <v>0</v>
      </c>
      <c r="O1553" t="s">
        <v>127</v>
      </c>
      <c r="P1553" t="s">
        <v>127</v>
      </c>
      <c r="Q1553" t="s">
        <v>127</v>
      </c>
    </row>
    <row r="1554" spans="1:17" x14ac:dyDescent="0.25">
      <c r="A1554" t="str">
        <f>IF(C1554&amp;G1554&amp;D1554&lt;&gt;'Funnel setup'!$K$3&amp;'Funnel setup'!$K$4&amp;'Funnel setup'!$K$6,".",IF(A1553=".",1,A1553+1))</f>
        <v>.</v>
      </c>
      <c r="B1554" s="244" t="str">
        <f t="shared" si="24"/>
        <v>Hip Replacement RevisionProviderBLACKPOOL TEACHING HOSPITALS NHS FOUNDATION TRUST (RXL)Oxford Hip Score</v>
      </c>
      <c r="C1554" t="s">
        <v>967</v>
      </c>
      <c r="D1554" t="s">
        <v>965</v>
      </c>
      <c r="E1554" t="s">
        <v>170</v>
      </c>
      <c r="F1554" t="s">
        <v>171</v>
      </c>
      <c r="G1554" t="s">
        <v>964</v>
      </c>
      <c r="H1554">
        <v>1</v>
      </c>
      <c r="I1554">
        <v>43</v>
      </c>
      <c r="J1554">
        <v>48</v>
      </c>
      <c r="K1554">
        <v>5</v>
      </c>
      <c r="L1554">
        <v>1</v>
      </c>
      <c r="M1554">
        <v>0</v>
      </c>
      <c r="N1554">
        <v>0</v>
      </c>
      <c r="O1554" t="s">
        <v>127</v>
      </c>
      <c r="P1554" t="s">
        <v>127</v>
      </c>
      <c r="Q1554" t="s">
        <v>127</v>
      </c>
    </row>
    <row r="1555" spans="1:17" x14ac:dyDescent="0.25">
      <c r="A1555" t="str">
        <f>IF(C1555&amp;G1555&amp;D1555&lt;&gt;'Funnel setup'!$K$3&amp;'Funnel setup'!$K$4&amp;'Funnel setup'!$K$6,".",IF(A1554=".",1,A1554+1))</f>
        <v>.</v>
      </c>
      <c r="B1555" s="244" t="str">
        <f t="shared" si="24"/>
        <v>Hip Replacement RevisionProviderBRADFORD TEACHING HOSPITALS NHS FOUNDATION TRUST (RAE)Oxford Hip Score</v>
      </c>
      <c r="C1555" t="s">
        <v>967</v>
      </c>
      <c r="D1555" t="s">
        <v>965</v>
      </c>
      <c r="E1555" t="s">
        <v>174</v>
      </c>
      <c r="F1555" t="s">
        <v>175</v>
      </c>
      <c r="G1555" t="s">
        <v>964</v>
      </c>
      <c r="H1555">
        <v>2</v>
      </c>
      <c r="I1555">
        <v>14</v>
      </c>
      <c r="J1555">
        <v>46.5</v>
      </c>
      <c r="K1555">
        <v>32.5</v>
      </c>
      <c r="L1555">
        <v>2</v>
      </c>
      <c r="M1555">
        <v>0</v>
      </c>
      <c r="N1555">
        <v>0</v>
      </c>
      <c r="O1555" t="s">
        <v>127</v>
      </c>
      <c r="P1555" t="s">
        <v>127</v>
      </c>
      <c r="Q1555" t="s">
        <v>127</v>
      </c>
    </row>
    <row r="1556" spans="1:17" x14ac:dyDescent="0.25">
      <c r="A1556" t="str">
        <f>IF(C1556&amp;G1556&amp;D1556&lt;&gt;'Funnel setup'!$K$3&amp;'Funnel setup'!$K$4&amp;'Funnel setup'!$K$6,".",IF(A1555=".",1,A1555+1))</f>
        <v>.</v>
      </c>
      <c r="B1556" s="244" t="str">
        <f t="shared" si="24"/>
        <v>Hip Replacement RevisionProviderBUCKINGHAMSHIRE HEALTHCARE NHS TRUST (RXQ)Oxford Hip Score</v>
      </c>
      <c r="C1556" t="s">
        <v>967</v>
      </c>
      <c r="D1556" t="s">
        <v>965</v>
      </c>
      <c r="E1556" t="s">
        <v>178</v>
      </c>
      <c r="F1556" t="s">
        <v>179</v>
      </c>
      <c r="G1556" t="s">
        <v>964</v>
      </c>
      <c r="H1556">
        <v>8</v>
      </c>
      <c r="I1556">
        <v>14.125</v>
      </c>
      <c r="J1556">
        <v>34.25</v>
      </c>
      <c r="K1556">
        <v>20.125</v>
      </c>
      <c r="L1556">
        <v>7</v>
      </c>
      <c r="M1556">
        <v>0</v>
      </c>
      <c r="N1556">
        <v>1</v>
      </c>
      <c r="O1556" t="s">
        <v>127</v>
      </c>
      <c r="P1556" t="s">
        <v>127</v>
      </c>
      <c r="Q1556" t="s">
        <v>127</v>
      </c>
    </row>
    <row r="1557" spans="1:17" x14ac:dyDescent="0.25">
      <c r="A1557" t="str">
        <f>IF(C1557&amp;G1557&amp;D1557&lt;&gt;'Funnel setup'!$K$3&amp;'Funnel setup'!$K$4&amp;'Funnel setup'!$K$6,".",IF(A1556=".",1,A1556+1))</f>
        <v>.</v>
      </c>
      <c r="B1557" s="244" t="str">
        <f t="shared" si="24"/>
        <v>Hip Replacement RevisionProviderCALDERDALE AND HUDDERSFIELD NHS FOUNDATION TRUST (RWY)Oxford Hip Score</v>
      </c>
      <c r="C1557" t="s">
        <v>967</v>
      </c>
      <c r="D1557" t="s">
        <v>965</v>
      </c>
      <c r="E1557" t="s">
        <v>180</v>
      </c>
      <c r="F1557" t="s">
        <v>181</v>
      </c>
      <c r="G1557" t="s">
        <v>964</v>
      </c>
      <c r="H1557">
        <v>4</v>
      </c>
      <c r="I1557">
        <v>11.5</v>
      </c>
      <c r="J1557">
        <v>27</v>
      </c>
      <c r="K1557">
        <v>15.5</v>
      </c>
      <c r="L1557">
        <v>4</v>
      </c>
      <c r="M1557">
        <v>0</v>
      </c>
      <c r="N1557">
        <v>0</v>
      </c>
      <c r="O1557" t="s">
        <v>127</v>
      </c>
      <c r="P1557" t="s">
        <v>127</v>
      </c>
      <c r="Q1557" t="s">
        <v>127</v>
      </c>
    </row>
    <row r="1558" spans="1:17" x14ac:dyDescent="0.25">
      <c r="A1558" t="str">
        <f>IF(C1558&amp;G1558&amp;D1558&lt;&gt;'Funnel setup'!$K$3&amp;'Funnel setup'!$K$4&amp;'Funnel setup'!$K$6,".",IF(A1557=".",1,A1557+1))</f>
        <v>.</v>
      </c>
      <c r="B1558" s="244" t="str">
        <f t="shared" si="24"/>
        <v>Hip Replacement RevisionProviderCAMBRIDGE UNIVERSITY HOSPITALS NHS FOUNDATION TRUST (RGT)Oxford Hip Score</v>
      </c>
      <c r="C1558" t="s">
        <v>967</v>
      </c>
      <c r="D1558" t="s">
        <v>965</v>
      </c>
      <c r="E1558" t="s">
        <v>182</v>
      </c>
      <c r="F1558" t="s">
        <v>183</v>
      </c>
      <c r="G1558" t="s">
        <v>964</v>
      </c>
      <c r="H1558">
        <v>11</v>
      </c>
      <c r="I1558">
        <v>23.181799999999999</v>
      </c>
      <c r="J1558">
        <v>37.363599999999998</v>
      </c>
      <c r="K1558">
        <v>14.181800000000001</v>
      </c>
      <c r="L1558">
        <v>10</v>
      </c>
      <c r="M1558">
        <v>1</v>
      </c>
      <c r="N1558">
        <v>0</v>
      </c>
      <c r="O1558" t="s">
        <v>127</v>
      </c>
      <c r="P1558" t="s">
        <v>127</v>
      </c>
      <c r="Q1558" t="s">
        <v>127</v>
      </c>
    </row>
    <row r="1559" spans="1:17" x14ac:dyDescent="0.25">
      <c r="A1559" t="str">
        <f>IF(C1559&amp;G1559&amp;D1559&lt;&gt;'Funnel setup'!$K$3&amp;'Funnel setup'!$K$4&amp;'Funnel setup'!$K$6,".",IF(A1558=".",1,A1558+1))</f>
        <v>.</v>
      </c>
      <c r="B1559" s="244" t="str">
        <f t="shared" si="24"/>
        <v>Hip Replacement RevisionProviderCHESTERFIELD ROYAL HOSPITAL NHS FOUNDATION TRUST (RFS)Oxford Hip Score</v>
      </c>
      <c r="C1559" t="s">
        <v>967</v>
      </c>
      <c r="D1559" t="s">
        <v>965</v>
      </c>
      <c r="E1559" t="s">
        <v>192</v>
      </c>
      <c r="F1559" t="s">
        <v>193</v>
      </c>
      <c r="G1559" t="s">
        <v>964</v>
      </c>
      <c r="H1559">
        <v>4</v>
      </c>
      <c r="I1559">
        <v>18.25</v>
      </c>
      <c r="J1559">
        <v>26</v>
      </c>
      <c r="K1559">
        <v>7.75</v>
      </c>
      <c r="L1559">
        <v>3</v>
      </c>
      <c r="M1559">
        <v>0</v>
      </c>
      <c r="N1559">
        <v>1</v>
      </c>
      <c r="O1559" t="s">
        <v>127</v>
      </c>
      <c r="P1559" t="s">
        <v>127</v>
      </c>
      <c r="Q1559" t="s">
        <v>127</v>
      </c>
    </row>
    <row r="1560" spans="1:17" x14ac:dyDescent="0.25">
      <c r="A1560" t="str">
        <f>IF(C1560&amp;G1560&amp;D1560&lt;&gt;'Funnel setup'!$K$3&amp;'Funnel setup'!$K$4&amp;'Funnel setup'!$K$6,".",IF(A1559=".",1,A1559+1))</f>
        <v>.</v>
      </c>
      <c r="B1560" s="244" t="str">
        <f t="shared" si="24"/>
        <v>Hip Replacement RevisionProviderCLIFTON PARK HOSPITAL (NVC28)Oxford Hip Score</v>
      </c>
      <c r="C1560" t="s">
        <v>967</v>
      </c>
      <c r="D1560" t="s">
        <v>965</v>
      </c>
      <c r="E1560" t="s">
        <v>202</v>
      </c>
      <c r="F1560" t="s">
        <v>203</v>
      </c>
      <c r="G1560" t="s">
        <v>964</v>
      </c>
      <c r="H1560">
        <v>1</v>
      </c>
      <c r="I1560">
        <v>26</v>
      </c>
      <c r="J1560">
        <v>28</v>
      </c>
      <c r="K1560">
        <v>2</v>
      </c>
      <c r="L1560">
        <v>1</v>
      </c>
      <c r="M1560">
        <v>0</v>
      </c>
      <c r="N1560">
        <v>0</v>
      </c>
      <c r="O1560" t="s">
        <v>127</v>
      </c>
      <c r="P1560" t="s">
        <v>127</v>
      </c>
      <c r="Q1560" t="s">
        <v>127</v>
      </c>
    </row>
    <row r="1561" spans="1:17" x14ac:dyDescent="0.25">
      <c r="A1561" t="str">
        <f>IF(C1561&amp;G1561&amp;D1561&lt;&gt;'Funnel setup'!$K$3&amp;'Funnel setup'!$K$4&amp;'Funnel setup'!$K$6,".",IF(A1560=".",1,A1560+1))</f>
        <v>.</v>
      </c>
      <c r="B1561" s="244" t="str">
        <f t="shared" si="24"/>
        <v>Hip Replacement RevisionProviderCOUNTY DURHAM AND DARLINGTON NHS FOUNDATION TRUST (RXP)Oxford Hip Score</v>
      </c>
      <c r="C1561" t="s">
        <v>967</v>
      </c>
      <c r="D1561" t="s">
        <v>965</v>
      </c>
      <c r="E1561" t="s">
        <v>206</v>
      </c>
      <c r="F1561" t="s">
        <v>207</v>
      </c>
      <c r="G1561" t="s">
        <v>964</v>
      </c>
      <c r="H1561">
        <v>1</v>
      </c>
      <c r="I1561">
        <v>25</v>
      </c>
      <c r="J1561">
        <v>40</v>
      </c>
      <c r="K1561">
        <v>15</v>
      </c>
      <c r="L1561">
        <v>1</v>
      </c>
      <c r="M1561">
        <v>0</v>
      </c>
      <c r="N1561">
        <v>0</v>
      </c>
      <c r="O1561" t="s">
        <v>127</v>
      </c>
      <c r="P1561" t="s">
        <v>127</v>
      </c>
      <c r="Q1561" t="s">
        <v>127</v>
      </c>
    </row>
    <row r="1562" spans="1:17" x14ac:dyDescent="0.25">
      <c r="A1562" t="str">
        <f>IF(C1562&amp;G1562&amp;D1562&lt;&gt;'Funnel setup'!$K$3&amp;'Funnel setup'!$K$4&amp;'Funnel setup'!$K$6,".",IF(A1561=".",1,A1561+1))</f>
        <v>.</v>
      </c>
      <c r="B1562" s="244" t="str">
        <f t="shared" si="24"/>
        <v>Hip Replacement RevisionProviderDONCASTER AND BASSETLAW TEACHING HOSPITALS NHS FOUNDATION TRUST (RP5)Oxford Hip Score</v>
      </c>
      <c r="C1562" t="s">
        <v>967</v>
      </c>
      <c r="D1562" t="s">
        <v>965</v>
      </c>
      <c r="E1562" t="s">
        <v>212</v>
      </c>
      <c r="F1562" t="s">
        <v>213</v>
      </c>
      <c r="G1562" t="s">
        <v>964</v>
      </c>
      <c r="H1562">
        <v>4</v>
      </c>
      <c r="I1562">
        <v>18.75</v>
      </c>
      <c r="J1562">
        <v>20.75</v>
      </c>
      <c r="K1562">
        <v>2</v>
      </c>
      <c r="L1562">
        <v>2</v>
      </c>
      <c r="M1562">
        <v>0</v>
      </c>
      <c r="N1562">
        <v>2</v>
      </c>
      <c r="O1562" t="s">
        <v>127</v>
      </c>
      <c r="P1562" t="s">
        <v>127</v>
      </c>
      <c r="Q1562" t="s">
        <v>127</v>
      </c>
    </row>
    <row r="1563" spans="1:17" x14ac:dyDescent="0.25">
      <c r="A1563" t="str">
        <f>IF(C1563&amp;G1563&amp;D1563&lt;&gt;'Funnel setup'!$K$3&amp;'Funnel setup'!$K$4&amp;'Funnel setup'!$K$6,".",IF(A1562=".",1,A1562+1))</f>
        <v>.</v>
      </c>
      <c r="B1563" s="244" t="str">
        <f t="shared" si="24"/>
        <v>Hip Replacement RevisionProviderDORSET COUNTY HOSPITAL NHS FOUNDATION TRUST (RBD)Oxford Hip Score</v>
      </c>
      <c r="C1563" t="s">
        <v>967</v>
      </c>
      <c r="D1563" t="s">
        <v>965</v>
      </c>
      <c r="E1563" t="s">
        <v>214</v>
      </c>
      <c r="F1563" t="s">
        <v>215</v>
      </c>
      <c r="G1563" t="s">
        <v>964</v>
      </c>
      <c r="H1563">
        <v>1</v>
      </c>
      <c r="I1563">
        <v>41</v>
      </c>
      <c r="J1563">
        <v>33</v>
      </c>
      <c r="K1563">
        <v>-8</v>
      </c>
      <c r="L1563">
        <v>0</v>
      </c>
      <c r="M1563">
        <v>0</v>
      </c>
      <c r="N1563">
        <v>1</v>
      </c>
      <c r="O1563" t="s">
        <v>127</v>
      </c>
      <c r="P1563" t="s">
        <v>127</v>
      </c>
      <c r="Q1563" t="s">
        <v>127</v>
      </c>
    </row>
    <row r="1564" spans="1:17" x14ac:dyDescent="0.25">
      <c r="A1564" t="str">
        <f>IF(C1564&amp;G1564&amp;D1564&lt;&gt;'Funnel setup'!$K$3&amp;'Funnel setup'!$K$4&amp;'Funnel setup'!$K$6,".",IF(A1563=".",1,A1563+1))</f>
        <v>.</v>
      </c>
      <c r="B1564" s="244" t="str">
        <f t="shared" si="24"/>
        <v>Hip Replacement RevisionProviderEAST AND NORTH HERTFORDSHIRE NHS TRUST (RWH)Oxford Hip Score</v>
      </c>
      <c r="C1564" t="s">
        <v>967</v>
      </c>
      <c r="D1564" t="s">
        <v>965</v>
      </c>
      <c r="E1564" t="s">
        <v>224</v>
      </c>
      <c r="F1564" t="s">
        <v>225</v>
      </c>
      <c r="G1564" t="s">
        <v>964</v>
      </c>
      <c r="H1564">
        <v>10</v>
      </c>
      <c r="I1564">
        <v>22</v>
      </c>
      <c r="J1564">
        <v>38.4</v>
      </c>
      <c r="K1564">
        <v>16.399999999999999</v>
      </c>
      <c r="L1564">
        <v>10</v>
      </c>
      <c r="M1564">
        <v>0</v>
      </c>
      <c r="N1564">
        <v>0</v>
      </c>
      <c r="O1564" t="s">
        <v>127</v>
      </c>
      <c r="P1564" t="s">
        <v>127</v>
      </c>
      <c r="Q1564" t="s">
        <v>127</v>
      </c>
    </row>
    <row r="1565" spans="1:17" x14ac:dyDescent="0.25">
      <c r="A1565" t="str">
        <f>IF(C1565&amp;G1565&amp;D1565&lt;&gt;'Funnel setup'!$K$3&amp;'Funnel setup'!$K$4&amp;'Funnel setup'!$K$6,".",IF(A1564=".",1,A1564+1))</f>
        <v>.</v>
      </c>
      <c r="B1565" s="244" t="str">
        <f t="shared" si="24"/>
        <v>Hip Replacement RevisionProviderEAST KENT HOSPITALS UNIVERSITY NHS FOUNDATION TRUST (RVV)Oxford Hip Score</v>
      </c>
      <c r="C1565" t="s">
        <v>967</v>
      </c>
      <c r="D1565" t="s">
        <v>965</v>
      </c>
      <c r="E1565" t="s">
        <v>228</v>
      </c>
      <c r="F1565" t="s">
        <v>229</v>
      </c>
      <c r="G1565" t="s">
        <v>964</v>
      </c>
      <c r="H1565">
        <v>6</v>
      </c>
      <c r="I1565">
        <v>18.166699999999999</v>
      </c>
      <c r="J1565">
        <v>36.333300000000001</v>
      </c>
      <c r="K1565">
        <v>18.166699999999999</v>
      </c>
      <c r="L1565">
        <v>6</v>
      </c>
      <c r="M1565">
        <v>0</v>
      </c>
      <c r="N1565">
        <v>0</v>
      </c>
      <c r="O1565" t="s">
        <v>127</v>
      </c>
      <c r="P1565" t="s">
        <v>127</v>
      </c>
      <c r="Q1565" t="s">
        <v>127</v>
      </c>
    </row>
    <row r="1566" spans="1:17" x14ac:dyDescent="0.25">
      <c r="A1566" t="str">
        <f>IF(C1566&amp;G1566&amp;D1566&lt;&gt;'Funnel setup'!$K$3&amp;'Funnel setup'!$K$4&amp;'Funnel setup'!$K$6,".",IF(A1565=".",1,A1565+1))</f>
        <v>.</v>
      </c>
      <c r="B1566" s="244" t="str">
        <f t="shared" si="24"/>
        <v>Hip Replacement RevisionProviderEAST SUFFOLK AND NORTH ESSEX NHS FOUNDATION TRUST (RDE)Oxford Hip Score</v>
      </c>
      <c r="C1566" t="s">
        <v>967</v>
      </c>
      <c r="D1566" t="s">
        <v>965</v>
      </c>
      <c r="E1566" t="s">
        <v>232</v>
      </c>
      <c r="F1566" t="s">
        <v>233</v>
      </c>
      <c r="G1566" t="s">
        <v>964</v>
      </c>
      <c r="H1566">
        <v>6</v>
      </c>
      <c r="I1566">
        <v>24.166699999999999</v>
      </c>
      <c r="J1566">
        <v>38.5</v>
      </c>
      <c r="K1566">
        <v>14.333299999999999</v>
      </c>
      <c r="L1566">
        <v>6</v>
      </c>
      <c r="M1566">
        <v>0</v>
      </c>
      <c r="N1566">
        <v>0</v>
      </c>
      <c r="O1566" t="s">
        <v>127</v>
      </c>
      <c r="P1566" t="s">
        <v>127</v>
      </c>
      <c r="Q1566" t="s">
        <v>127</v>
      </c>
    </row>
    <row r="1567" spans="1:17" x14ac:dyDescent="0.25">
      <c r="A1567" t="str">
        <f>IF(C1567&amp;G1567&amp;D1567&lt;&gt;'Funnel setup'!$K$3&amp;'Funnel setup'!$K$4&amp;'Funnel setup'!$K$6,".",IF(A1566=".",1,A1566+1))</f>
        <v>.</v>
      </c>
      <c r="B1567" s="244" t="str">
        <f t="shared" si="24"/>
        <v>Hip Replacement RevisionProviderEAST SUSSEX HEALTHCARE NHS TRUST (RXC)Oxford Hip Score</v>
      </c>
      <c r="C1567" t="s">
        <v>967</v>
      </c>
      <c r="D1567" t="s">
        <v>965</v>
      </c>
      <c r="E1567" t="s">
        <v>234</v>
      </c>
      <c r="F1567" t="s">
        <v>235</v>
      </c>
      <c r="G1567" t="s">
        <v>964</v>
      </c>
      <c r="H1567">
        <v>9</v>
      </c>
      <c r="I1567">
        <v>24.555599999999998</v>
      </c>
      <c r="J1567">
        <v>32.666699999999999</v>
      </c>
      <c r="K1567">
        <v>8.11111</v>
      </c>
      <c r="L1567">
        <v>6</v>
      </c>
      <c r="M1567">
        <v>0</v>
      </c>
      <c r="N1567">
        <v>3</v>
      </c>
      <c r="O1567" t="s">
        <v>127</v>
      </c>
      <c r="P1567" t="s">
        <v>127</v>
      </c>
      <c r="Q1567" t="s">
        <v>127</v>
      </c>
    </row>
    <row r="1568" spans="1:17" x14ac:dyDescent="0.25">
      <c r="A1568" t="str">
        <f>IF(C1568&amp;G1568&amp;D1568&lt;&gt;'Funnel setup'!$K$3&amp;'Funnel setup'!$K$4&amp;'Funnel setup'!$K$6,".",IF(A1567=".",1,A1567+1))</f>
        <v>.</v>
      </c>
      <c r="B1568" s="244" t="str">
        <f t="shared" si="24"/>
        <v>Hip Replacement RevisionProviderEPSOM AND ST HELIER UNIVERSITY HOSPITALS NHS TRUST (RVR)Oxford Hip Score</v>
      </c>
      <c r="C1568" t="s">
        <v>967</v>
      </c>
      <c r="D1568" t="s">
        <v>965</v>
      </c>
      <c r="E1568" t="s">
        <v>238</v>
      </c>
      <c r="F1568" t="s">
        <v>239</v>
      </c>
      <c r="G1568" t="s">
        <v>964</v>
      </c>
      <c r="H1568">
        <v>35</v>
      </c>
      <c r="I1568">
        <v>21.914300000000001</v>
      </c>
      <c r="J1568">
        <v>38.4</v>
      </c>
      <c r="K1568">
        <v>16.485700000000001</v>
      </c>
      <c r="L1568">
        <v>31</v>
      </c>
      <c r="M1568">
        <v>2</v>
      </c>
      <c r="N1568">
        <v>2</v>
      </c>
      <c r="O1568">
        <v>37.5336</v>
      </c>
      <c r="P1568">
        <v>17.300599999999999</v>
      </c>
      <c r="Q1568">
        <v>8.5160800000000005</v>
      </c>
    </row>
    <row r="1569" spans="1:17" x14ac:dyDescent="0.25">
      <c r="A1569" t="str">
        <f>IF(C1569&amp;G1569&amp;D1569&lt;&gt;'Funnel setup'!$K$3&amp;'Funnel setup'!$K$4&amp;'Funnel setup'!$K$6,".",IF(A1568=".",1,A1568+1))</f>
        <v>.</v>
      </c>
      <c r="B1569" s="244" t="str">
        <f t="shared" si="24"/>
        <v>Hip Replacement RevisionProviderFITZWILLIAM HOSPITAL (NVC06)Oxford Hip Score</v>
      </c>
      <c r="C1569" t="s">
        <v>967</v>
      </c>
      <c r="D1569" t="s">
        <v>965</v>
      </c>
      <c r="E1569" t="s">
        <v>244</v>
      </c>
      <c r="F1569" t="s">
        <v>245</v>
      </c>
      <c r="G1569" t="s">
        <v>964</v>
      </c>
      <c r="H1569" t="s">
        <v>127</v>
      </c>
      <c r="I1569" t="s">
        <v>127</v>
      </c>
      <c r="J1569" t="s">
        <v>127</v>
      </c>
      <c r="K1569" t="s">
        <v>127</v>
      </c>
      <c r="L1569" t="s">
        <v>127</v>
      </c>
      <c r="M1569" t="s">
        <v>127</v>
      </c>
      <c r="N1569" t="s">
        <v>127</v>
      </c>
      <c r="O1569" t="s">
        <v>127</v>
      </c>
      <c r="P1569" t="s">
        <v>127</v>
      </c>
      <c r="Q1569" t="s">
        <v>127</v>
      </c>
    </row>
    <row r="1570" spans="1:17" x14ac:dyDescent="0.25">
      <c r="A1570" t="str">
        <f>IF(C1570&amp;G1570&amp;D1570&lt;&gt;'Funnel setup'!$K$3&amp;'Funnel setup'!$K$4&amp;'Funnel setup'!$K$6,".",IF(A1569=".",1,A1569+1))</f>
        <v>.</v>
      </c>
      <c r="B1570" s="244" t="str">
        <f t="shared" si="24"/>
        <v>Hip Replacement RevisionProviderFRIMLEY HEALTH NHS FOUNDATION TRUST (RDU)Oxford Hip Score</v>
      </c>
      <c r="C1570" t="s">
        <v>967</v>
      </c>
      <c r="D1570" t="s">
        <v>965</v>
      </c>
      <c r="E1570" t="s">
        <v>248</v>
      </c>
      <c r="F1570" t="s">
        <v>249</v>
      </c>
      <c r="G1570" t="s">
        <v>964</v>
      </c>
      <c r="H1570">
        <v>15</v>
      </c>
      <c r="I1570">
        <v>20.8</v>
      </c>
      <c r="J1570">
        <v>41.466700000000003</v>
      </c>
      <c r="K1570">
        <v>20.666699999999999</v>
      </c>
      <c r="L1570">
        <v>15</v>
      </c>
      <c r="M1570">
        <v>0</v>
      </c>
      <c r="N1570">
        <v>0</v>
      </c>
      <c r="O1570" t="s">
        <v>127</v>
      </c>
      <c r="P1570" t="s">
        <v>127</v>
      </c>
      <c r="Q1570" t="s">
        <v>127</v>
      </c>
    </row>
    <row r="1571" spans="1:17" x14ac:dyDescent="0.25">
      <c r="A1571" t="str">
        <f>IF(C1571&amp;G1571&amp;D1571&lt;&gt;'Funnel setup'!$K$3&amp;'Funnel setup'!$K$4&amp;'Funnel setup'!$K$6,".",IF(A1570=".",1,A1570+1))</f>
        <v>.</v>
      </c>
      <c r="B1571" s="244" t="str">
        <f t="shared" si="24"/>
        <v>Hip Replacement RevisionProviderGATESHEAD HEALTH NHS FOUNDATION TRUST (RR7)Oxford Hip Score</v>
      </c>
      <c r="C1571" t="s">
        <v>967</v>
      </c>
      <c r="D1571" t="s">
        <v>965</v>
      </c>
      <c r="E1571" t="s">
        <v>252</v>
      </c>
      <c r="F1571" t="s">
        <v>253</v>
      </c>
      <c r="G1571" t="s">
        <v>964</v>
      </c>
      <c r="H1571">
        <v>3</v>
      </c>
      <c r="I1571">
        <v>18</v>
      </c>
      <c r="J1571">
        <v>16.666699999999999</v>
      </c>
      <c r="K1571">
        <v>-1.3333299999999999</v>
      </c>
      <c r="L1571">
        <v>1</v>
      </c>
      <c r="M1571">
        <v>0</v>
      </c>
      <c r="N1571">
        <v>2</v>
      </c>
      <c r="O1571" t="s">
        <v>127</v>
      </c>
      <c r="P1571" t="s">
        <v>127</v>
      </c>
      <c r="Q1571" t="s">
        <v>127</v>
      </c>
    </row>
    <row r="1572" spans="1:17" x14ac:dyDescent="0.25">
      <c r="A1572" t="str">
        <f>IF(C1572&amp;G1572&amp;D1572&lt;&gt;'Funnel setup'!$K$3&amp;'Funnel setup'!$K$4&amp;'Funnel setup'!$K$6,".",IF(A1571=".",1,A1571+1))</f>
        <v>.</v>
      </c>
      <c r="B1572" s="244" t="str">
        <f t="shared" si="24"/>
        <v>Hip Replacement RevisionProviderGLOUCESTERSHIRE HOSPITALS NHS FOUNDATION TRUST (RTE)Oxford Hip Score</v>
      </c>
      <c r="C1572" t="s">
        <v>967</v>
      </c>
      <c r="D1572" t="s">
        <v>965</v>
      </c>
      <c r="E1572" t="s">
        <v>256</v>
      </c>
      <c r="F1572" t="s">
        <v>257</v>
      </c>
      <c r="G1572" t="s">
        <v>964</v>
      </c>
      <c r="H1572">
        <v>3</v>
      </c>
      <c r="I1572">
        <v>22.333300000000001</v>
      </c>
      <c r="J1572">
        <v>36.333300000000001</v>
      </c>
      <c r="K1572">
        <v>14</v>
      </c>
      <c r="L1572">
        <v>3</v>
      </c>
      <c r="M1572">
        <v>0</v>
      </c>
      <c r="N1572">
        <v>0</v>
      </c>
      <c r="O1572" t="s">
        <v>127</v>
      </c>
      <c r="P1572" t="s">
        <v>127</v>
      </c>
      <c r="Q1572" t="s">
        <v>127</v>
      </c>
    </row>
    <row r="1573" spans="1:17" x14ac:dyDescent="0.25">
      <c r="A1573" t="str">
        <f>IF(C1573&amp;G1573&amp;D1573&lt;&gt;'Funnel setup'!$K$3&amp;'Funnel setup'!$K$4&amp;'Funnel setup'!$K$6,".",IF(A1572=".",1,A1572+1))</f>
        <v>.</v>
      </c>
      <c r="B1573" s="244" t="str">
        <f t="shared" si="24"/>
        <v>Hip Replacement RevisionProviderGORING HALL HOSPITAL (NT417)Oxford Hip Score</v>
      </c>
      <c r="C1573" t="s">
        <v>967</v>
      </c>
      <c r="D1573" t="s">
        <v>965</v>
      </c>
      <c r="E1573" t="s">
        <v>258</v>
      </c>
      <c r="F1573" t="s">
        <v>259</v>
      </c>
      <c r="G1573" t="s">
        <v>964</v>
      </c>
      <c r="H1573">
        <v>2</v>
      </c>
      <c r="I1573">
        <v>24</v>
      </c>
      <c r="J1573">
        <v>25</v>
      </c>
      <c r="K1573">
        <v>1</v>
      </c>
      <c r="L1573">
        <v>1</v>
      </c>
      <c r="M1573">
        <v>0</v>
      </c>
      <c r="N1573">
        <v>1</v>
      </c>
      <c r="O1573" t="s">
        <v>127</v>
      </c>
      <c r="P1573" t="s">
        <v>127</v>
      </c>
      <c r="Q1573" t="s">
        <v>127</v>
      </c>
    </row>
    <row r="1574" spans="1:17" x14ac:dyDescent="0.25">
      <c r="A1574" t="str">
        <f>IF(C1574&amp;G1574&amp;D1574&lt;&gt;'Funnel setup'!$K$3&amp;'Funnel setup'!$K$4&amp;'Funnel setup'!$K$6,".",IF(A1573=".",1,A1573+1))</f>
        <v>.</v>
      </c>
      <c r="B1574" s="244" t="str">
        <f t="shared" si="24"/>
        <v>Hip Replacement RevisionProviderGUY'S AND ST THOMAS' NHS FOUNDATION TRUST (RJ1)Oxford Hip Score</v>
      </c>
      <c r="C1574" t="s">
        <v>967</v>
      </c>
      <c r="D1574" t="s">
        <v>965</v>
      </c>
      <c r="E1574" t="s">
        <v>262</v>
      </c>
      <c r="F1574" t="s">
        <v>263</v>
      </c>
      <c r="G1574" t="s">
        <v>964</v>
      </c>
      <c r="H1574">
        <v>12</v>
      </c>
      <c r="I1574">
        <v>17.333300000000001</v>
      </c>
      <c r="J1574">
        <v>32.416699999999999</v>
      </c>
      <c r="K1574">
        <v>15.083299999999999</v>
      </c>
      <c r="L1574">
        <v>11</v>
      </c>
      <c r="M1574">
        <v>0</v>
      </c>
      <c r="N1574">
        <v>1</v>
      </c>
      <c r="O1574" t="s">
        <v>127</v>
      </c>
      <c r="P1574" t="s">
        <v>127</v>
      </c>
      <c r="Q1574" t="s">
        <v>127</v>
      </c>
    </row>
    <row r="1575" spans="1:17" x14ac:dyDescent="0.25">
      <c r="A1575" t="str">
        <f>IF(C1575&amp;G1575&amp;D1575&lt;&gt;'Funnel setup'!$K$3&amp;'Funnel setup'!$K$4&amp;'Funnel setup'!$K$6,".",IF(A1574=".",1,A1574+1))</f>
        <v>.</v>
      </c>
      <c r="B1575" s="244" t="str">
        <f t="shared" si="24"/>
        <v>Hip Replacement RevisionProviderHAMPSHIRE HOSPITALS NHS FOUNDATION TRUST (RN5)Oxford Hip Score</v>
      </c>
      <c r="C1575" t="s">
        <v>967</v>
      </c>
      <c r="D1575" t="s">
        <v>965</v>
      </c>
      <c r="E1575" t="s">
        <v>266</v>
      </c>
      <c r="F1575" t="s">
        <v>267</v>
      </c>
      <c r="G1575" t="s">
        <v>964</v>
      </c>
      <c r="H1575">
        <v>1</v>
      </c>
      <c r="I1575">
        <v>31</v>
      </c>
      <c r="J1575">
        <v>38</v>
      </c>
      <c r="K1575">
        <v>7</v>
      </c>
      <c r="L1575">
        <v>1</v>
      </c>
      <c r="M1575">
        <v>0</v>
      </c>
      <c r="N1575">
        <v>0</v>
      </c>
      <c r="O1575" t="s">
        <v>127</v>
      </c>
      <c r="P1575" t="s">
        <v>127</v>
      </c>
      <c r="Q1575" t="s">
        <v>127</v>
      </c>
    </row>
    <row r="1576" spans="1:17" x14ac:dyDescent="0.25">
      <c r="A1576" t="str">
        <f>IF(C1576&amp;G1576&amp;D1576&lt;&gt;'Funnel setup'!$K$3&amp;'Funnel setup'!$K$4&amp;'Funnel setup'!$K$6,".",IF(A1575=".",1,A1575+1))</f>
        <v>.</v>
      </c>
      <c r="B1576" s="244" t="str">
        <f t="shared" si="24"/>
        <v>Hip Replacement RevisionProviderHARROGATE AND DISTRICT NHS FOUNDATION TRUST (RCD)Oxford Hip Score</v>
      </c>
      <c r="C1576" t="s">
        <v>967</v>
      </c>
      <c r="D1576" t="s">
        <v>965</v>
      </c>
      <c r="E1576" t="s">
        <v>270</v>
      </c>
      <c r="F1576" t="s">
        <v>271</v>
      </c>
      <c r="G1576" t="s">
        <v>964</v>
      </c>
      <c r="H1576">
        <v>7</v>
      </c>
      <c r="I1576">
        <v>23.571400000000001</v>
      </c>
      <c r="J1576">
        <v>37.285699999999999</v>
      </c>
      <c r="K1576">
        <v>13.7143</v>
      </c>
      <c r="L1576">
        <v>7</v>
      </c>
      <c r="M1576">
        <v>0</v>
      </c>
      <c r="N1576">
        <v>0</v>
      </c>
      <c r="O1576" t="s">
        <v>127</v>
      </c>
      <c r="P1576" t="s">
        <v>127</v>
      </c>
      <c r="Q1576" t="s">
        <v>127</v>
      </c>
    </row>
    <row r="1577" spans="1:17" x14ac:dyDescent="0.25">
      <c r="A1577" t="str">
        <f>IF(C1577&amp;G1577&amp;D1577&lt;&gt;'Funnel setup'!$K$3&amp;'Funnel setup'!$K$4&amp;'Funnel setup'!$K$6,".",IF(A1576=".",1,A1576+1))</f>
        <v>.</v>
      </c>
      <c r="B1577" s="244" t="str">
        <f t="shared" si="24"/>
        <v>Hip Replacement RevisionProviderHULL UNIVERSITY TEACHING HOSPITALS NHS TRUST (RWA)Oxford Hip Score</v>
      </c>
      <c r="C1577" t="s">
        <v>967</v>
      </c>
      <c r="D1577" t="s">
        <v>965</v>
      </c>
      <c r="E1577" t="s">
        <v>278</v>
      </c>
      <c r="F1577" t="s">
        <v>279</v>
      </c>
      <c r="G1577" t="s">
        <v>964</v>
      </c>
      <c r="H1577">
        <v>5</v>
      </c>
      <c r="I1577">
        <v>15.8</v>
      </c>
      <c r="J1577">
        <v>33.4</v>
      </c>
      <c r="K1577">
        <v>17.600000000000001</v>
      </c>
      <c r="L1577">
        <v>5</v>
      </c>
      <c r="M1577">
        <v>0</v>
      </c>
      <c r="N1577">
        <v>0</v>
      </c>
      <c r="O1577" t="s">
        <v>127</v>
      </c>
      <c r="P1577" t="s">
        <v>127</v>
      </c>
      <c r="Q1577" t="s">
        <v>127</v>
      </c>
    </row>
    <row r="1578" spans="1:17" x14ac:dyDescent="0.25">
      <c r="A1578" t="str">
        <f>IF(C1578&amp;G1578&amp;D1578&lt;&gt;'Funnel setup'!$K$3&amp;'Funnel setup'!$K$4&amp;'Funnel setup'!$K$6,".",IF(A1577=".",1,A1577+1))</f>
        <v>.</v>
      </c>
      <c r="B1578" s="244" t="str">
        <f t="shared" si="24"/>
        <v>Hip Replacement RevisionProviderIMPERIAL COLLEGE HEALTHCARE NHS TRUST (RYJ)Oxford Hip Score</v>
      </c>
      <c r="C1578" t="s">
        <v>967</v>
      </c>
      <c r="D1578" t="s">
        <v>965</v>
      </c>
      <c r="E1578" t="s">
        <v>280</v>
      </c>
      <c r="F1578" t="s">
        <v>281</v>
      </c>
      <c r="G1578" t="s">
        <v>964</v>
      </c>
      <c r="H1578">
        <v>2</v>
      </c>
      <c r="I1578">
        <v>13.5</v>
      </c>
      <c r="J1578">
        <v>34</v>
      </c>
      <c r="K1578">
        <v>20.5</v>
      </c>
      <c r="L1578">
        <v>2</v>
      </c>
      <c r="M1578">
        <v>0</v>
      </c>
      <c r="N1578">
        <v>0</v>
      </c>
      <c r="O1578" t="s">
        <v>127</v>
      </c>
      <c r="P1578" t="s">
        <v>127</v>
      </c>
      <c r="Q1578" t="s">
        <v>127</v>
      </c>
    </row>
    <row r="1579" spans="1:17" x14ac:dyDescent="0.25">
      <c r="A1579" t="str">
        <f>IF(C1579&amp;G1579&amp;D1579&lt;&gt;'Funnel setup'!$K$3&amp;'Funnel setup'!$K$4&amp;'Funnel setup'!$K$6,".",IF(A1578=".",1,A1578+1))</f>
        <v>.</v>
      </c>
      <c r="B1579" s="244" t="str">
        <f t="shared" si="24"/>
        <v>Hip Replacement RevisionProviderJAMES PAGET UNIVERSITY HOSPITALS NHS FOUNDATION TRUST (RGP)Oxford Hip Score</v>
      </c>
      <c r="C1579" t="s">
        <v>967</v>
      </c>
      <c r="D1579" t="s">
        <v>965</v>
      </c>
      <c r="E1579" t="s">
        <v>284</v>
      </c>
      <c r="F1579" t="s">
        <v>285</v>
      </c>
      <c r="G1579" t="s">
        <v>964</v>
      </c>
      <c r="H1579">
        <v>1</v>
      </c>
      <c r="I1579">
        <v>5</v>
      </c>
      <c r="J1579">
        <v>26</v>
      </c>
      <c r="K1579">
        <v>21</v>
      </c>
      <c r="L1579">
        <v>1</v>
      </c>
      <c r="M1579">
        <v>0</v>
      </c>
      <c r="N1579">
        <v>0</v>
      </c>
      <c r="O1579" t="s">
        <v>127</v>
      </c>
      <c r="P1579" t="s">
        <v>127</v>
      </c>
      <c r="Q1579" t="s">
        <v>127</v>
      </c>
    </row>
    <row r="1580" spans="1:17" x14ac:dyDescent="0.25">
      <c r="A1580" t="str">
        <f>IF(C1580&amp;G1580&amp;D1580&lt;&gt;'Funnel setup'!$K$3&amp;'Funnel setup'!$K$4&amp;'Funnel setup'!$K$6,".",IF(A1579=".",1,A1579+1))</f>
        <v>.</v>
      </c>
      <c r="B1580" s="244" t="str">
        <f t="shared" si="24"/>
        <v>Hip Replacement RevisionProviderKETTERING GENERAL HOSPITAL NHS FOUNDATION TRUST (RNQ)Oxford Hip Score</v>
      </c>
      <c r="C1580" t="s">
        <v>967</v>
      </c>
      <c r="D1580" t="s">
        <v>965</v>
      </c>
      <c r="E1580" t="s">
        <v>286</v>
      </c>
      <c r="F1580" t="s">
        <v>287</v>
      </c>
      <c r="G1580" t="s">
        <v>964</v>
      </c>
      <c r="H1580">
        <v>5</v>
      </c>
      <c r="I1580">
        <v>19.8</v>
      </c>
      <c r="J1580">
        <v>30.4</v>
      </c>
      <c r="K1580">
        <v>10.6</v>
      </c>
      <c r="L1580">
        <v>3</v>
      </c>
      <c r="M1580">
        <v>1</v>
      </c>
      <c r="N1580">
        <v>1</v>
      </c>
      <c r="O1580" t="s">
        <v>127</v>
      </c>
      <c r="P1580" t="s">
        <v>127</v>
      </c>
      <c r="Q1580" t="s">
        <v>127</v>
      </c>
    </row>
    <row r="1581" spans="1:17" x14ac:dyDescent="0.25">
      <c r="A1581" t="str">
        <f>IF(C1581&amp;G1581&amp;D1581&lt;&gt;'Funnel setup'!$K$3&amp;'Funnel setup'!$K$4&amp;'Funnel setup'!$K$6,".",IF(A1580=".",1,A1580+1))</f>
        <v>.</v>
      </c>
      <c r="B1581" s="244" t="str">
        <f t="shared" si="24"/>
        <v>Hip Replacement RevisionProviderKING'S COLLEGE HOSPITAL NHS FOUNDATION TRUST (RJZ)Oxford Hip Score</v>
      </c>
      <c r="C1581" t="s">
        <v>967</v>
      </c>
      <c r="D1581" t="s">
        <v>965</v>
      </c>
      <c r="E1581" t="s">
        <v>290</v>
      </c>
      <c r="F1581" t="s">
        <v>291</v>
      </c>
      <c r="G1581" t="s">
        <v>964</v>
      </c>
      <c r="H1581">
        <v>1</v>
      </c>
      <c r="I1581">
        <v>26</v>
      </c>
      <c r="J1581">
        <v>47</v>
      </c>
      <c r="K1581">
        <v>21</v>
      </c>
      <c r="L1581">
        <v>1</v>
      </c>
      <c r="M1581">
        <v>0</v>
      </c>
      <c r="N1581">
        <v>0</v>
      </c>
      <c r="O1581" t="s">
        <v>127</v>
      </c>
      <c r="P1581" t="s">
        <v>127</v>
      </c>
      <c r="Q1581" t="s">
        <v>127</v>
      </c>
    </row>
    <row r="1582" spans="1:17" x14ac:dyDescent="0.25">
      <c r="A1582" t="str">
        <f>IF(C1582&amp;G1582&amp;D1582&lt;&gt;'Funnel setup'!$K$3&amp;'Funnel setup'!$K$4&amp;'Funnel setup'!$K$6,".",IF(A1581=".",1,A1581+1))</f>
        <v>.</v>
      </c>
      <c r="B1582" s="244" t="str">
        <f t="shared" si="24"/>
        <v>Hip Replacement RevisionProviderLANCASHIRE TEACHING HOSPITALS NHS FOUNDATION TRUST (RXN)Oxford Hip Score</v>
      </c>
      <c r="C1582" t="s">
        <v>967</v>
      </c>
      <c r="D1582" t="s">
        <v>965</v>
      </c>
      <c r="E1582" t="s">
        <v>296</v>
      </c>
      <c r="F1582" t="s">
        <v>297</v>
      </c>
      <c r="G1582" t="s">
        <v>964</v>
      </c>
      <c r="H1582">
        <v>6</v>
      </c>
      <c r="I1582">
        <v>20</v>
      </c>
      <c r="J1582">
        <v>29.333300000000001</v>
      </c>
      <c r="K1582">
        <v>9.3333300000000001</v>
      </c>
      <c r="L1582">
        <v>4</v>
      </c>
      <c r="M1582">
        <v>0</v>
      </c>
      <c r="N1582">
        <v>2</v>
      </c>
      <c r="O1582" t="s">
        <v>127</v>
      </c>
      <c r="P1582" t="s">
        <v>127</v>
      </c>
      <c r="Q1582" t="s">
        <v>127</v>
      </c>
    </row>
    <row r="1583" spans="1:17" x14ac:dyDescent="0.25">
      <c r="A1583" t="str">
        <f>IF(C1583&amp;G1583&amp;D1583&lt;&gt;'Funnel setup'!$K$3&amp;'Funnel setup'!$K$4&amp;'Funnel setup'!$K$6,".",IF(A1582=".",1,A1582+1))</f>
        <v>.</v>
      </c>
      <c r="B1583" s="244" t="str">
        <f t="shared" si="24"/>
        <v>Hip Replacement RevisionProviderLEEDS TEACHING HOSPITALS NHS TRUST (RR8)Oxford Hip Score</v>
      </c>
      <c r="C1583" t="s">
        <v>967</v>
      </c>
      <c r="D1583" t="s">
        <v>965</v>
      </c>
      <c r="E1583" t="s">
        <v>300</v>
      </c>
      <c r="F1583" t="s">
        <v>301</v>
      </c>
      <c r="G1583" t="s">
        <v>964</v>
      </c>
      <c r="H1583">
        <v>17</v>
      </c>
      <c r="I1583">
        <v>25.2941</v>
      </c>
      <c r="J1583">
        <v>36.058799999999998</v>
      </c>
      <c r="K1583">
        <v>10.764699999999999</v>
      </c>
      <c r="L1583">
        <v>14</v>
      </c>
      <c r="M1583">
        <v>1</v>
      </c>
      <c r="N1583">
        <v>2</v>
      </c>
      <c r="O1583" t="s">
        <v>127</v>
      </c>
      <c r="P1583" t="s">
        <v>127</v>
      </c>
      <c r="Q1583" t="s">
        <v>127</v>
      </c>
    </row>
    <row r="1584" spans="1:17" x14ac:dyDescent="0.25">
      <c r="A1584" t="str">
        <f>IF(C1584&amp;G1584&amp;D1584&lt;&gt;'Funnel setup'!$K$3&amp;'Funnel setup'!$K$4&amp;'Funnel setup'!$K$6,".",IF(A1583=".",1,A1583+1))</f>
        <v>.</v>
      </c>
      <c r="B1584" s="244" t="str">
        <f t="shared" si="24"/>
        <v>Hip Replacement RevisionProviderLIVERPOOL UNIVERSITY HOSPITALS NHS FOUNDATION TRUST (REM)Oxford Hip Score</v>
      </c>
      <c r="C1584" t="s">
        <v>967</v>
      </c>
      <c r="D1584" t="s">
        <v>965</v>
      </c>
      <c r="E1584" t="s">
        <v>306</v>
      </c>
      <c r="F1584" t="s">
        <v>307</v>
      </c>
      <c r="G1584" t="s">
        <v>964</v>
      </c>
      <c r="H1584">
        <v>8</v>
      </c>
      <c r="I1584">
        <v>15</v>
      </c>
      <c r="J1584">
        <v>37.125</v>
      </c>
      <c r="K1584">
        <v>22.125</v>
      </c>
      <c r="L1584">
        <v>7</v>
      </c>
      <c r="M1584">
        <v>0</v>
      </c>
      <c r="N1584">
        <v>1</v>
      </c>
      <c r="O1584" t="s">
        <v>127</v>
      </c>
      <c r="P1584" t="s">
        <v>127</v>
      </c>
      <c r="Q1584" t="s">
        <v>127</v>
      </c>
    </row>
    <row r="1585" spans="1:17" x14ac:dyDescent="0.25">
      <c r="A1585" t="str">
        <f>IF(C1585&amp;G1585&amp;D1585&lt;&gt;'Funnel setup'!$K$3&amp;'Funnel setup'!$K$4&amp;'Funnel setup'!$K$6,".",IF(A1584=".",1,A1584+1))</f>
        <v>.</v>
      </c>
      <c r="B1585" s="244" t="str">
        <f t="shared" si="24"/>
        <v>Hip Replacement RevisionProviderMAIDSTONE AND TUNBRIDGE WELLS NHS TRUST (RWF)Oxford Hip Score</v>
      </c>
      <c r="C1585" t="s">
        <v>967</v>
      </c>
      <c r="D1585" t="s">
        <v>965</v>
      </c>
      <c r="E1585" t="s">
        <v>312</v>
      </c>
      <c r="F1585" t="s">
        <v>313</v>
      </c>
      <c r="G1585" t="s">
        <v>964</v>
      </c>
      <c r="H1585">
        <v>6</v>
      </c>
      <c r="I1585">
        <v>24</v>
      </c>
      <c r="J1585">
        <v>35</v>
      </c>
      <c r="K1585">
        <v>11</v>
      </c>
      <c r="L1585">
        <v>5</v>
      </c>
      <c r="M1585">
        <v>0</v>
      </c>
      <c r="N1585">
        <v>1</v>
      </c>
      <c r="O1585" t="s">
        <v>127</v>
      </c>
      <c r="P1585" t="s">
        <v>127</v>
      </c>
      <c r="Q1585" t="s">
        <v>127</v>
      </c>
    </row>
    <row r="1586" spans="1:17" x14ac:dyDescent="0.25">
      <c r="A1586" t="str">
        <f>IF(C1586&amp;G1586&amp;D1586&lt;&gt;'Funnel setup'!$K$3&amp;'Funnel setup'!$K$4&amp;'Funnel setup'!$K$6,".",IF(A1585=".",1,A1585+1))</f>
        <v>.</v>
      </c>
      <c r="B1586" s="244" t="str">
        <f t="shared" si="24"/>
        <v>Hip Replacement RevisionProviderMANCHESTER UNIVERSITY NHS FOUNDATION TRUST (R0A)Oxford Hip Score</v>
      </c>
      <c r="C1586" t="s">
        <v>967</v>
      </c>
      <c r="D1586" t="s">
        <v>965</v>
      </c>
      <c r="E1586" t="s">
        <v>316</v>
      </c>
      <c r="F1586" t="s">
        <v>317</v>
      </c>
      <c r="G1586" t="s">
        <v>964</v>
      </c>
      <c r="H1586">
        <v>3</v>
      </c>
      <c r="I1586">
        <v>17</v>
      </c>
      <c r="J1586">
        <v>29.333300000000001</v>
      </c>
      <c r="K1586">
        <v>12.333299999999999</v>
      </c>
      <c r="L1586">
        <v>3</v>
      </c>
      <c r="M1586">
        <v>0</v>
      </c>
      <c r="N1586">
        <v>0</v>
      </c>
      <c r="O1586" t="s">
        <v>127</v>
      </c>
      <c r="P1586" t="s">
        <v>127</v>
      </c>
      <c r="Q1586" t="s">
        <v>127</v>
      </c>
    </row>
    <row r="1587" spans="1:17" x14ac:dyDescent="0.25">
      <c r="A1587" t="str">
        <f>IF(C1587&amp;G1587&amp;D1587&lt;&gt;'Funnel setup'!$K$3&amp;'Funnel setup'!$K$4&amp;'Funnel setup'!$K$6,".",IF(A1586=".",1,A1586+1))</f>
        <v>.</v>
      </c>
      <c r="B1587" s="244" t="str">
        <f t="shared" si="24"/>
        <v>Hip Replacement RevisionProviderMEDWAY NHS FOUNDATION TRUST (RPA)Oxford Hip Score</v>
      </c>
      <c r="C1587" t="s">
        <v>967</v>
      </c>
      <c r="D1587" t="s">
        <v>965</v>
      </c>
      <c r="E1587" t="s">
        <v>320</v>
      </c>
      <c r="F1587" t="s">
        <v>321</v>
      </c>
      <c r="G1587" t="s">
        <v>964</v>
      </c>
      <c r="H1587">
        <v>1</v>
      </c>
      <c r="I1587">
        <v>41</v>
      </c>
      <c r="J1587">
        <v>38</v>
      </c>
      <c r="K1587">
        <v>-3</v>
      </c>
      <c r="L1587">
        <v>0</v>
      </c>
      <c r="M1587">
        <v>0</v>
      </c>
      <c r="N1587">
        <v>1</v>
      </c>
      <c r="O1587" t="s">
        <v>127</v>
      </c>
      <c r="P1587" t="s">
        <v>127</v>
      </c>
      <c r="Q1587" t="s">
        <v>127</v>
      </c>
    </row>
    <row r="1588" spans="1:17" x14ac:dyDescent="0.25">
      <c r="A1588" t="str">
        <f>IF(C1588&amp;G1588&amp;D1588&lt;&gt;'Funnel setup'!$K$3&amp;'Funnel setup'!$K$4&amp;'Funnel setup'!$K$6,".",IF(A1587=".",1,A1587+1))</f>
        <v>.</v>
      </c>
      <c r="B1588" s="244" t="str">
        <f t="shared" si="24"/>
        <v>Hip Replacement RevisionProviderMID AND SOUTH ESSEX NHS FOUNDATION TRUST (RAJ)Oxford Hip Score</v>
      </c>
      <c r="C1588" t="s">
        <v>967</v>
      </c>
      <c r="D1588" t="s">
        <v>965</v>
      </c>
      <c r="E1588" t="s">
        <v>324</v>
      </c>
      <c r="F1588" t="s">
        <v>325</v>
      </c>
      <c r="G1588" t="s">
        <v>964</v>
      </c>
      <c r="H1588">
        <v>4</v>
      </c>
      <c r="I1588">
        <v>17.5</v>
      </c>
      <c r="J1588">
        <v>37.25</v>
      </c>
      <c r="K1588">
        <v>19.75</v>
      </c>
      <c r="L1588">
        <v>4</v>
      </c>
      <c r="M1588">
        <v>0</v>
      </c>
      <c r="N1588">
        <v>0</v>
      </c>
      <c r="O1588" t="s">
        <v>127</v>
      </c>
      <c r="P1588" t="s">
        <v>127</v>
      </c>
      <c r="Q1588" t="s">
        <v>127</v>
      </c>
    </row>
    <row r="1589" spans="1:17" x14ac:dyDescent="0.25">
      <c r="A1589" t="str">
        <f>IF(C1589&amp;G1589&amp;D1589&lt;&gt;'Funnel setup'!$K$3&amp;'Funnel setup'!$K$4&amp;'Funnel setup'!$K$6,".",IF(A1588=".",1,A1588+1))</f>
        <v>.</v>
      </c>
      <c r="B1589" s="244" t="str">
        <f t="shared" si="24"/>
        <v>Hip Replacement RevisionProviderMID CHESHIRE HOSPITALS NHS FOUNDATION TRUST (RBT)Oxford Hip Score</v>
      </c>
      <c r="C1589" t="s">
        <v>967</v>
      </c>
      <c r="D1589" t="s">
        <v>965</v>
      </c>
      <c r="E1589" t="s">
        <v>326</v>
      </c>
      <c r="F1589" t="s">
        <v>327</v>
      </c>
      <c r="G1589" t="s">
        <v>964</v>
      </c>
      <c r="H1589">
        <v>4</v>
      </c>
      <c r="I1589">
        <v>15.25</v>
      </c>
      <c r="J1589">
        <v>26.25</v>
      </c>
      <c r="K1589">
        <v>11</v>
      </c>
      <c r="L1589">
        <v>4</v>
      </c>
      <c r="M1589">
        <v>0</v>
      </c>
      <c r="N1589">
        <v>0</v>
      </c>
      <c r="O1589" t="s">
        <v>127</v>
      </c>
      <c r="P1589" t="s">
        <v>127</v>
      </c>
      <c r="Q1589" t="s">
        <v>127</v>
      </c>
    </row>
    <row r="1590" spans="1:17" x14ac:dyDescent="0.25">
      <c r="A1590" t="str">
        <f>IF(C1590&amp;G1590&amp;D1590&lt;&gt;'Funnel setup'!$K$3&amp;'Funnel setup'!$K$4&amp;'Funnel setup'!$K$6,".",IF(A1589=".",1,A1589+1))</f>
        <v>.</v>
      </c>
      <c r="B1590" s="244" t="str">
        <f t="shared" si="24"/>
        <v>Hip Replacement RevisionProviderMID YORKSHIRE TEACHING NHS TRUST (RXF)Oxford Hip Score</v>
      </c>
      <c r="C1590" t="s">
        <v>967</v>
      </c>
      <c r="D1590" t="s">
        <v>965</v>
      </c>
      <c r="E1590" t="s">
        <v>330</v>
      </c>
      <c r="F1590" t="s">
        <v>331</v>
      </c>
      <c r="G1590" t="s">
        <v>964</v>
      </c>
      <c r="H1590">
        <v>15</v>
      </c>
      <c r="I1590">
        <v>16.399999999999999</v>
      </c>
      <c r="J1590">
        <v>32.466700000000003</v>
      </c>
      <c r="K1590">
        <v>16.066700000000001</v>
      </c>
      <c r="L1590">
        <v>14</v>
      </c>
      <c r="M1590">
        <v>0</v>
      </c>
      <c r="N1590">
        <v>1</v>
      </c>
      <c r="O1590" t="s">
        <v>127</v>
      </c>
      <c r="P1590" t="s">
        <v>127</v>
      </c>
      <c r="Q1590" t="s">
        <v>127</v>
      </c>
    </row>
    <row r="1591" spans="1:17" x14ac:dyDescent="0.25">
      <c r="A1591" t="str">
        <f>IF(C1591&amp;G1591&amp;D1591&lt;&gt;'Funnel setup'!$K$3&amp;'Funnel setup'!$K$4&amp;'Funnel setup'!$K$6,".",IF(A1590=".",1,A1590+1))</f>
        <v>.</v>
      </c>
      <c r="B1591" s="244" t="str">
        <f t="shared" si="24"/>
        <v>Hip Replacement RevisionProviderMILTON KEYNES UNIVERSITY HOSPITAL NHS FOUNDATION TRUST (RD8)Oxford Hip Score</v>
      </c>
      <c r="C1591" t="s">
        <v>967</v>
      </c>
      <c r="D1591" t="s">
        <v>965</v>
      </c>
      <c r="E1591" t="s">
        <v>332</v>
      </c>
      <c r="F1591" t="s">
        <v>333</v>
      </c>
      <c r="G1591" t="s">
        <v>964</v>
      </c>
      <c r="H1591" t="s">
        <v>127</v>
      </c>
      <c r="I1591" t="s">
        <v>127</v>
      </c>
      <c r="J1591" t="s">
        <v>127</v>
      </c>
      <c r="K1591" t="s">
        <v>127</v>
      </c>
      <c r="L1591" t="s">
        <v>127</v>
      </c>
      <c r="M1591" t="s">
        <v>127</v>
      </c>
      <c r="N1591" t="s">
        <v>127</v>
      </c>
      <c r="O1591" t="s">
        <v>127</v>
      </c>
      <c r="P1591" t="s">
        <v>127</v>
      </c>
      <c r="Q1591" t="s">
        <v>127</v>
      </c>
    </row>
    <row r="1592" spans="1:17" x14ac:dyDescent="0.25">
      <c r="A1592" t="str">
        <f>IF(C1592&amp;G1592&amp;D1592&lt;&gt;'Funnel setup'!$K$3&amp;'Funnel setup'!$K$4&amp;'Funnel setup'!$K$6,".",IF(A1591=".",1,A1591+1))</f>
        <v>.</v>
      </c>
      <c r="B1592" s="244" t="str">
        <f t="shared" si="24"/>
        <v>Hip Replacement RevisionProviderNEW HALL HOSPITAL (NVC09)Oxford Hip Score</v>
      </c>
      <c r="C1592" t="s">
        <v>967</v>
      </c>
      <c r="D1592" t="s">
        <v>965</v>
      </c>
      <c r="E1592" t="s">
        <v>338</v>
      </c>
      <c r="F1592" t="s">
        <v>339</v>
      </c>
      <c r="G1592" t="s">
        <v>964</v>
      </c>
      <c r="H1592" t="s">
        <v>127</v>
      </c>
      <c r="I1592" t="s">
        <v>127</v>
      </c>
      <c r="J1592" t="s">
        <v>127</v>
      </c>
      <c r="K1592" t="s">
        <v>127</v>
      </c>
      <c r="L1592" t="s">
        <v>127</v>
      </c>
      <c r="M1592" t="s">
        <v>127</v>
      </c>
      <c r="N1592" t="s">
        <v>127</v>
      </c>
      <c r="O1592" t="s">
        <v>127</v>
      </c>
      <c r="P1592" t="s">
        <v>127</v>
      </c>
      <c r="Q1592" t="s">
        <v>127</v>
      </c>
    </row>
    <row r="1593" spans="1:17" x14ac:dyDescent="0.25">
      <c r="A1593" t="str">
        <f>IF(C1593&amp;G1593&amp;D1593&lt;&gt;'Funnel setup'!$K$3&amp;'Funnel setup'!$K$4&amp;'Funnel setup'!$K$6,".",IF(A1592=".",1,A1592+1))</f>
        <v>.</v>
      </c>
      <c r="B1593" s="244" t="str">
        <f t="shared" si="24"/>
        <v>Hip Replacement RevisionProviderNORFOLK AND NORWICH UNIVERSITY HOSPITALS NHS FOUNDATION TRUST (RM1)Oxford Hip Score</v>
      </c>
      <c r="C1593" t="s">
        <v>967</v>
      </c>
      <c r="D1593" t="s">
        <v>965</v>
      </c>
      <c r="E1593" t="s">
        <v>340</v>
      </c>
      <c r="F1593" t="s">
        <v>341</v>
      </c>
      <c r="G1593" t="s">
        <v>964</v>
      </c>
      <c r="H1593">
        <v>19</v>
      </c>
      <c r="I1593">
        <v>22.1053</v>
      </c>
      <c r="J1593">
        <v>37.052599999999998</v>
      </c>
      <c r="K1593">
        <v>14.9474</v>
      </c>
      <c r="L1593">
        <v>16</v>
      </c>
      <c r="M1593">
        <v>1</v>
      </c>
      <c r="N1593">
        <v>2</v>
      </c>
      <c r="O1593" t="s">
        <v>127</v>
      </c>
      <c r="P1593" t="s">
        <v>127</v>
      </c>
      <c r="Q1593" t="s">
        <v>127</v>
      </c>
    </row>
    <row r="1594" spans="1:17" x14ac:dyDescent="0.25">
      <c r="A1594" t="str">
        <f>IF(C1594&amp;G1594&amp;D1594&lt;&gt;'Funnel setup'!$K$3&amp;'Funnel setup'!$K$4&amp;'Funnel setup'!$K$6,".",IF(A1593=".",1,A1593+1))</f>
        <v>.</v>
      </c>
      <c r="B1594" s="244" t="str">
        <f t="shared" si="24"/>
        <v>Hip Replacement RevisionProviderNORTH BRISTOL NHS TRUST (RVJ)Oxford Hip Score</v>
      </c>
      <c r="C1594" t="s">
        <v>967</v>
      </c>
      <c r="D1594" t="s">
        <v>965</v>
      </c>
      <c r="E1594" t="s">
        <v>342</v>
      </c>
      <c r="F1594" t="s">
        <v>343</v>
      </c>
      <c r="G1594" t="s">
        <v>964</v>
      </c>
      <c r="H1594">
        <v>3</v>
      </c>
      <c r="I1594">
        <v>16.666699999999999</v>
      </c>
      <c r="J1594">
        <v>30.666699999999999</v>
      </c>
      <c r="K1594">
        <v>14</v>
      </c>
      <c r="L1594">
        <v>3</v>
      </c>
      <c r="M1594">
        <v>0</v>
      </c>
      <c r="N1594">
        <v>0</v>
      </c>
      <c r="O1594" t="s">
        <v>127</v>
      </c>
      <c r="P1594" t="s">
        <v>127</v>
      </c>
      <c r="Q1594" t="s">
        <v>127</v>
      </c>
    </row>
    <row r="1595" spans="1:17" x14ac:dyDescent="0.25">
      <c r="A1595" t="str">
        <f>IF(C1595&amp;G1595&amp;D1595&lt;&gt;'Funnel setup'!$K$3&amp;'Funnel setup'!$K$4&amp;'Funnel setup'!$K$6,".",IF(A1594=".",1,A1594+1))</f>
        <v>.</v>
      </c>
      <c r="B1595" s="244" t="str">
        <f t="shared" si="24"/>
        <v>Hip Replacement RevisionProviderNORTH CUMBRIA INTEGRATED CARE NHS FOUNDATION TRUST (RNN)Oxford Hip Score</v>
      </c>
      <c r="C1595" t="s">
        <v>967</v>
      </c>
      <c r="D1595" t="s">
        <v>965</v>
      </c>
      <c r="E1595" t="s">
        <v>344</v>
      </c>
      <c r="F1595" t="s">
        <v>345</v>
      </c>
      <c r="G1595" t="s">
        <v>964</v>
      </c>
      <c r="H1595">
        <v>8</v>
      </c>
      <c r="I1595">
        <v>18.875</v>
      </c>
      <c r="J1595">
        <v>38.125</v>
      </c>
      <c r="K1595">
        <v>19.25</v>
      </c>
      <c r="L1595">
        <v>7</v>
      </c>
      <c r="M1595">
        <v>0</v>
      </c>
      <c r="N1595">
        <v>1</v>
      </c>
      <c r="O1595" t="s">
        <v>127</v>
      </c>
      <c r="P1595" t="s">
        <v>127</v>
      </c>
      <c r="Q1595" t="s">
        <v>127</v>
      </c>
    </row>
    <row r="1596" spans="1:17" x14ac:dyDescent="0.25">
      <c r="A1596" t="str">
        <f>IF(C1596&amp;G1596&amp;D1596&lt;&gt;'Funnel setup'!$K$3&amp;'Funnel setup'!$K$4&amp;'Funnel setup'!$K$6,".",IF(A1595=".",1,A1595+1))</f>
        <v>.</v>
      </c>
      <c r="B1596" s="244" t="str">
        <f t="shared" si="24"/>
        <v>Hip Replacement RevisionProviderNORTH DOWNS HOSPITAL (NVC11)Oxford Hip Score</v>
      </c>
      <c r="C1596" t="s">
        <v>967</v>
      </c>
      <c r="D1596" t="s">
        <v>965</v>
      </c>
      <c r="E1596" t="s">
        <v>348</v>
      </c>
      <c r="F1596" t="s">
        <v>349</v>
      </c>
      <c r="G1596" t="s">
        <v>964</v>
      </c>
      <c r="H1596" t="s">
        <v>127</v>
      </c>
      <c r="I1596" t="s">
        <v>127</v>
      </c>
      <c r="J1596" t="s">
        <v>127</v>
      </c>
      <c r="K1596" t="s">
        <v>127</v>
      </c>
      <c r="L1596" t="s">
        <v>127</v>
      </c>
      <c r="M1596" t="s">
        <v>127</v>
      </c>
      <c r="N1596" t="s">
        <v>127</v>
      </c>
      <c r="O1596" t="s">
        <v>127</v>
      </c>
      <c r="P1596" t="s">
        <v>127</v>
      </c>
      <c r="Q1596" t="s">
        <v>127</v>
      </c>
    </row>
    <row r="1597" spans="1:17" x14ac:dyDescent="0.25">
      <c r="A1597" t="str">
        <f>IF(C1597&amp;G1597&amp;D1597&lt;&gt;'Funnel setup'!$K$3&amp;'Funnel setup'!$K$4&amp;'Funnel setup'!$K$6,".",IF(A1596=".",1,A1596+1))</f>
        <v>.</v>
      </c>
      <c r="B1597" s="244" t="str">
        <f t="shared" si="24"/>
        <v>Hip Replacement RevisionProviderNORTH TEES AND HARTLEPOOL NHS FOUNDATION TRUST (RVW)Oxford Hip Score</v>
      </c>
      <c r="C1597" t="s">
        <v>967</v>
      </c>
      <c r="D1597" t="s">
        <v>965</v>
      </c>
      <c r="E1597" t="s">
        <v>352</v>
      </c>
      <c r="F1597" t="s">
        <v>353</v>
      </c>
      <c r="G1597" t="s">
        <v>964</v>
      </c>
      <c r="H1597">
        <v>9</v>
      </c>
      <c r="I1597">
        <v>13.777799999999999</v>
      </c>
      <c r="J1597">
        <v>28.8889</v>
      </c>
      <c r="K1597">
        <v>15.1111</v>
      </c>
      <c r="L1597">
        <v>9</v>
      </c>
      <c r="M1597">
        <v>0</v>
      </c>
      <c r="N1597">
        <v>0</v>
      </c>
      <c r="O1597" t="s">
        <v>127</v>
      </c>
      <c r="P1597" t="s">
        <v>127</v>
      </c>
      <c r="Q1597" t="s">
        <v>127</v>
      </c>
    </row>
    <row r="1598" spans="1:17" x14ac:dyDescent="0.25">
      <c r="A1598" t="str">
        <f>IF(C1598&amp;G1598&amp;D1598&lt;&gt;'Funnel setup'!$K$3&amp;'Funnel setup'!$K$4&amp;'Funnel setup'!$K$6,".",IF(A1597=".",1,A1597+1))</f>
        <v>.</v>
      </c>
      <c r="B1598" s="244" t="str">
        <f t="shared" si="24"/>
        <v>Hip Replacement RevisionProviderNORTH WEST ANGLIA NHS FOUNDATION TRUST (RGN)Oxford Hip Score</v>
      </c>
      <c r="C1598" t="s">
        <v>967</v>
      </c>
      <c r="D1598" t="s">
        <v>965</v>
      </c>
      <c r="E1598" t="s">
        <v>354</v>
      </c>
      <c r="F1598" t="s">
        <v>355</v>
      </c>
      <c r="G1598" t="s">
        <v>964</v>
      </c>
      <c r="H1598">
        <v>3</v>
      </c>
      <c r="I1598">
        <v>27</v>
      </c>
      <c r="J1598">
        <v>36</v>
      </c>
      <c r="K1598">
        <v>9</v>
      </c>
      <c r="L1598">
        <v>3</v>
      </c>
      <c r="M1598">
        <v>0</v>
      </c>
      <c r="N1598">
        <v>0</v>
      </c>
      <c r="O1598" t="s">
        <v>127</v>
      </c>
      <c r="P1598" t="s">
        <v>127</v>
      </c>
      <c r="Q1598" t="s">
        <v>127</v>
      </c>
    </row>
    <row r="1599" spans="1:17" x14ac:dyDescent="0.25">
      <c r="A1599" t="str">
        <f>IF(C1599&amp;G1599&amp;D1599&lt;&gt;'Funnel setup'!$K$3&amp;'Funnel setup'!$K$4&amp;'Funnel setup'!$K$6,".",IF(A1598=".",1,A1598+1))</f>
        <v>.</v>
      </c>
      <c r="B1599" s="244" t="str">
        <f t="shared" si="24"/>
        <v>Hip Replacement RevisionProviderNORTHAMPTON GENERAL HOSPITAL NHS TRUST (RNS)Oxford Hip Score</v>
      </c>
      <c r="C1599" t="s">
        <v>967</v>
      </c>
      <c r="D1599" t="s">
        <v>965</v>
      </c>
      <c r="E1599" t="s">
        <v>356</v>
      </c>
      <c r="F1599" t="s">
        <v>357</v>
      </c>
      <c r="G1599" t="s">
        <v>964</v>
      </c>
      <c r="H1599">
        <v>5</v>
      </c>
      <c r="I1599">
        <v>21.8</v>
      </c>
      <c r="J1599">
        <v>38.200000000000003</v>
      </c>
      <c r="K1599">
        <v>16.399999999999999</v>
      </c>
      <c r="L1599">
        <v>4</v>
      </c>
      <c r="M1599">
        <v>0</v>
      </c>
      <c r="N1599">
        <v>1</v>
      </c>
      <c r="O1599" t="s">
        <v>127</v>
      </c>
      <c r="P1599" t="s">
        <v>127</v>
      </c>
      <c r="Q1599" t="s">
        <v>127</v>
      </c>
    </row>
    <row r="1600" spans="1:17" x14ac:dyDescent="0.25">
      <c r="A1600" t="str">
        <f>IF(C1600&amp;G1600&amp;D1600&lt;&gt;'Funnel setup'!$K$3&amp;'Funnel setup'!$K$4&amp;'Funnel setup'!$K$6,".",IF(A1599=".",1,A1599+1))</f>
        <v>.</v>
      </c>
      <c r="B1600" s="244" t="str">
        <f t="shared" si="24"/>
        <v>Hip Replacement RevisionProviderNORTHERN DEVON HEALTHCARE NHS TRUST (RBZ)Oxford Hip Score</v>
      </c>
      <c r="C1600" t="s">
        <v>967</v>
      </c>
      <c r="D1600" t="s">
        <v>965</v>
      </c>
      <c r="E1600" t="s">
        <v>360</v>
      </c>
      <c r="F1600" t="s">
        <v>361</v>
      </c>
      <c r="G1600" t="s">
        <v>964</v>
      </c>
      <c r="H1600">
        <v>2</v>
      </c>
      <c r="I1600">
        <v>15</v>
      </c>
      <c r="J1600">
        <v>47</v>
      </c>
      <c r="K1600">
        <v>32</v>
      </c>
      <c r="L1600">
        <v>2</v>
      </c>
      <c r="M1600">
        <v>0</v>
      </c>
      <c r="N1600">
        <v>0</v>
      </c>
      <c r="O1600" t="s">
        <v>127</v>
      </c>
      <c r="P1600" t="s">
        <v>127</v>
      </c>
      <c r="Q1600" t="s">
        <v>127</v>
      </c>
    </row>
    <row r="1601" spans="1:17" x14ac:dyDescent="0.25">
      <c r="A1601" t="str">
        <f>IF(C1601&amp;G1601&amp;D1601&lt;&gt;'Funnel setup'!$K$3&amp;'Funnel setup'!$K$4&amp;'Funnel setup'!$K$6,".",IF(A1600=".",1,A1600+1))</f>
        <v>.</v>
      </c>
      <c r="B1601" s="244" t="str">
        <f t="shared" si="24"/>
        <v>Hip Replacement RevisionProviderNORTHUMBRIA HEALTHCARE NHS FOUNDATION TRUST (RTF)Oxford Hip Score</v>
      </c>
      <c r="C1601" t="s">
        <v>967</v>
      </c>
      <c r="D1601" t="s">
        <v>965</v>
      </c>
      <c r="E1601" t="s">
        <v>364</v>
      </c>
      <c r="F1601" t="s">
        <v>365</v>
      </c>
      <c r="G1601" t="s">
        <v>964</v>
      </c>
      <c r="H1601">
        <v>9</v>
      </c>
      <c r="I1601">
        <v>24.1111</v>
      </c>
      <c r="J1601">
        <v>40.333300000000001</v>
      </c>
      <c r="K1601">
        <v>16.222200000000001</v>
      </c>
      <c r="L1601">
        <v>7</v>
      </c>
      <c r="M1601">
        <v>1</v>
      </c>
      <c r="N1601">
        <v>1</v>
      </c>
      <c r="O1601" t="s">
        <v>127</v>
      </c>
      <c r="P1601" t="s">
        <v>127</v>
      </c>
      <c r="Q1601" t="s">
        <v>127</v>
      </c>
    </row>
    <row r="1602" spans="1:17" x14ac:dyDescent="0.25">
      <c r="A1602" t="str">
        <f>IF(C1602&amp;G1602&amp;D1602&lt;&gt;'Funnel setup'!$K$3&amp;'Funnel setup'!$K$4&amp;'Funnel setup'!$K$6,".",IF(A1601=".",1,A1601+1))</f>
        <v>.</v>
      </c>
      <c r="B1602" s="244" t="str">
        <f t="shared" ref="B1602:B1665" si="25">C1602&amp;D1602&amp;F1602&amp;G1602</f>
        <v>Hip Replacement RevisionProviderNUFFIELD HEALTH, PLYMOUTH HOSPITAL (NT233)Oxford Hip Score</v>
      </c>
      <c r="C1602" t="s">
        <v>967</v>
      </c>
      <c r="D1602" t="s">
        <v>965</v>
      </c>
      <c r="E1602" t="s">
        <v>400</v>
      </c>
      <c r="F1602" t="s">
        <v>401</v>
      </c>
      <c r="G1602" t="s">
        <v>964</v>
      </c>
      <c r="H1602" t="s">
        <v>127</v>
      </c>
      <c r="I1602" t="s">
        <v>127</v>
      </c>
      <c r="J1602" t="s">
        <v>127</v>
      </c>
      <c r="K1602" t="s">
        <v>127</v>
      </c>
      <c r="L1602" t="s">
        <v>127</v>
      </c>
      <c r="M1602" t="s">
        <v>127</v>
      </c>
      <c r="N1602" t="s">
        <v>127</v>
      </c>
      <c r="O1602" t="s">
        <v>127</v>
      </c>
      <c r="P1602" t="s">
        <v>127</v>
      </c>
      <c r="Q1602" t="s">
        <v>127</v>
      </c>
    </row>
    <row r="1603" spans="1:17" x14ac:dyDescent="0.25">
      <c r="A1603" t="str">
        <f>IF(C1603&amp;G1603&amp;D1603&lt;&gt;'Funnel setup'!$K$3&amp;'Funnel setup'!$K$4&amp;'Funnel setup'!$K$6,".",IF(A1602=".",1,A1602+1))</f>
        <v>.</v>
      </c>
      <c r="B1603" s="244" t="str">
        <f t="shared" si="25"/>
        <v>Hip Replacement RevisionProviderNUFFIELD HEALTH, TEES HOSPITAL (NT237)Oxford Hip Score</v>
      </c>
      <c r="C1603" t="s">
        <v>967</v>
      </c>
      <c r="D1603" t="s">
        <v>965</v>
      </c>
      <c r="E1603" t="s">
        <v>406</v>
      </c>
      <c r="F1603" t="s">
        <v>407</v>
      </c>
      <c r="G1603" t="s">
        <v>964</v>
      </c>
      <c r="H1603">
        <v>4</v>
      </c>
      <c r="I1603">
        <v>17.75</v>
      </c>
      <c r="J1603">
        <v>26.25</v>
      </c>
      <c r="K1603">
        <v>8.5</v>
      </c>
      <c r="L1603">
        <v>3</v>
      </c>
      <c r="M1603">
        <v>1</v>
      </c>
      <c r="N1603">
        <v>0</v>
      </c>
      <c r="O1603" t="s">
        <v>127</v>
      </c>
      <c r="P1603" t="s">
        <v>127</v>
      </c>
      <c r="Q1603" t="s">
        <v>127</v>
      </c>
    </row>
    <row r="1604" spans="1:17" x14ac:dyDescent="0.25">
      <c r="A1604" t="str">
        <f>IF(C1604&amp;G1604&amp;D1604&lt;&gt;'Funnel setup'!$K$3&amp;'Funnel setup'!$K$4&amp;'Funnel setup'!$K$6,".",IF(A1603=".",1,A1603+1))</f>
        <v>.</v>
      </c>
      <c r="B1604" s="244" t="str">
        <f t="shared" si="25"/>
        <v>Hip Replacement RevisionProviderNUFFIELD HEALTH, YORK HOSPITAL (NT245)Oxford Hip Score</v>
      </c>
      <c r="C1604" t="s">
        <v>967</v>
      </c>
      <c r="D1604" t="s">
        <v>965</v>
      </c>
      <c r="E1604" t="s">
        <v>420</v>
      </c>
      <c r="F1604" t="s">
        <v>421</v>
      </c>
      <c r="G1604" t="s">
        <v>964</v>
      </c>
      <c r="H1604" t="s">
        <v>127</v>
      </c>
      <c r="I1604" t="s">
        <v>127</v>
      </c>
      <c r="J1604" t="s">
        <v>127</v>
      </c>
      <c r="K1604" t="s">
        <v>127</v>
      </c>
      <c r="L1604" t="s">
        <v>127</v>
      </c>
      <c r="M1604" t="s">
        <v>127</v>
      </c>
      <c r="N1604" t="s">
        <v>127</v>
      </c>
      <c r="O1604" t="s">
        <v>127</v>
      </c>
      <c r="P1604" t="s">
        <v>127</v>
      </c>
      <c r="Q1604" t="s">
        <v>127</v>
      </c>
    </row>
    <row r="1605" spans="1:17" x14ac:dyDescent="0.25">
      <c r="A1605" t="str">
        <f>IF(C1605&amp;G1605&amp;D1605&lt;&gt;'Funnel setup'!$K$3&amp;'Funnel setup'!$K$4&amp;'Funnel setup'!$K$6,".",IF(A1604=".",1,A1604+1))</f>
        <v>.</v>
      </c>
      <c r="B1605" s="244" t="str">
        <f t="shared" si="25"/>
        <v>Hip Replacement RevisionProviderOXFORD UNIVERSITY HOSPITALS NHS FOUNDATION TRUST (RTH)Oxford Hip Score</v>
      </c>
      <c r="C1605" t="s">
        <v>967</v>
      </c>
      <c r="D1605" t="s">
        <v>965</v>
      </c>
      <c r="E1605" t="s">
        <v>438</v>
      </c>
      <c r="F1605" t="s">
        <v>439</v>
      </c>
      <c r="G1605" t="s">
        <v>964</v>
      </c>
      <c r="H1605">
        <v>39</v>
      </c>
      <c r="I1605">
        <v>22.025600000000001</v>
      </c>
      <c r="J1605">
        <v>35.666699999999999</v>
      </c>
      <c r="K1605">
        <v>13.641</v>
      </c>
      <c r="L1605">
        <v>35</v>
      </c>
      <c r="M1605">
        <v>0</v>
      </c>
      <c r="N1605">
        <v>4</v>
      </c>
      <c r="O1605">
        <v>35.000300000000003</v>
      </c>
      <c r="P1605">
        <v>14.767300000000001</v>
      </c>
      <c r="Q1605">
        <v>8.1330600000000004</v>
      </c>
    </row>
    <row r="1606" spans="1:17" x14ac:dyDescent="0.25">
      <c r="A1606" t="str">
        <f>IF(C1606&amp;G1606&amp;D1606&lt;&gt;'Funnel setup'!$K$3&amp;'Funnel setup'!$K$4&amp;'Funnel setup'!$K$6,".",IF(A1605=".",1,A1605+1))</f>
        <v>.</v>
      </c>
      <c r="B1606" s="244" t="str">
        <f t="shared" si="25"/>
        <v>Hip Replacement RevisionProviderPRACTICE PLUS GROUP HOSPITAL - BARLBOROUGH (NTP13)Oxford Hip Score</v>
      </c>
      <c r="C1606" t="s">
        <v>967</v>
      </c>
      <c r="D1606" t="s">
        <v>965</v>
      </c>
      <c r="E1606" t="s">
        <v>452</v>
      </c>
      <c r="F1606" t="s">
        <v>453</v>
      </c>
      <c r="G1606" t="s">
        <v>964</v>
      </c>
      <c r="H1606">
        <v>5</v>
      </c>
      <c r="I1606">
        <v>23.8</v>
      </c>
      <c r="J1606">
        <v>34.200000000000003</v>
      </c>
      <c r="K1606">
        <v>10.4</v>
      </c>
      <c r="L1606">
        <v>5</v>
      </c>
      <c r="M1606">
        <v>0</v>
      </c>
      <c r="N1606">
        <v>0</v>
      </c>
      <c r="O1606" t="s">
        <v>127</v>
      </c>
      <c r="P1606" t="s">
        <v>127</v>
      </c>
      <c r="Q1606" t="s">
        <v>127</v>
      </c>
    </row>
    <row r="1607" spans="1:17" x14ac:dyDescent="0.25">
      <c r="A1607" t="str">
        <f>IF(C1607&amp;G1607&amp;D1607&lt;&gt;'Funnel setup'!$K$3&amp;'Funnel setup'!$K$4&amp;'Funnel setup'!$K$6,".",IF(A1606=".",1,A1606+1))</f>
        <v>.</v>
      </c>
      <c r="B1607" s="244" t="str">
        <f t="shared" si="25"/>
        <v>Hip Replacement RevisionProviderPRACTICE PLUS GROUP HOSPITAL - PLYMOUTH (NTPH5)Oxford Hip Score</v>
      </c>
      <c r="C1607" t="s">
        <v>967</v>
      </c>
      <c r="D1607" t="s">
        <v>965</v>
      </c>
      <c r="E1607" t="s">
        <v>458</v>
      </c>
      <c r="F1607" t="s">
        <v>459</v>
      </c>
      <c r="G1607" t="s">
        <v>964</v>
      </c>
      <c r="H1607">
        <v>1</v>
      </c>
      <c r="I1607">
        <v>20</v>
      </c>
      <c r="J1607">
        <v>47</v>
      </c>
      <c r="K1607">
        <v>27</v>
      </c>
      <c r="L1607">
        <v>1</v>
      </c>
      <c r="M1607">
        <v>0</v>
      </c>
      <c r="N1607">
        <v>0</v>
      </c>
      <c r="O1607" t="s">
        <v>127</v>
      </c>
      <c r="P1607" t="s">
        <v>127</v>
      </c>
      <c r="Q1607" t="s">
        <v>127</v>
      </c>
    </row>
    <row r="1608" spans="1:17" x14ac:dyDescent="0.25">
      <c r="A1608" t="str">
        <f>IF(C1608&amp;G1608&amp;D1608&lt;&gt;'Funnel setup'!$K$3&amp;'Funnel setup'!$K$4&amp;'Funnel setup'!$K$6,".",IF(A1607=".",1,A1607+1))</f>
        <v>.</v>
      </c>
      <c r="B1608" s="244" t="str">
        <f t="shared" si="25"/>
        <v>Hip Replacement RevisionProviderPRACTICE PLUS GROUP HOSPITAL - SHEPTON MALLET (NTPH1)Oxford Hip Score</v>
      </c>
      <c r="C1608" t="s">
        <v>967</v>
      </c>
      <c r="D1608" t="s">
        <v>965</v>
      </c>
      <c r="E1608" t="s">
        <v>460</v>
      </c>
      <c r="F1608" t="s">
        <v>461</v>
      </c>
      <c r="G1608" t="s">
        <v>964</v>
      </c>
      <c r="H1608">
        <v>5</v>
      </c>
      <c r="I1608">
        <v>28.2</v>
      </c>
      <c r="J1608">
        <v>34.4</v>
      </c>
      <c r="K1608">
        <v>6.2</v>
      </c>
      <c r="L1608">
        <v>3</v>
      </c>
      <c r="M1608">
        <v>1</v>
      </c>
      <c r="N1608">
        <v>1</v>
      </c>
      <c r="O1608" t="s">
        <v>127</v>
      </c>
      <c r="P1608" t="s">
        <v>127</v>
      </c>
      <c r="Q1608" t="s">
        <v>127</v>
      </c>
    </row>
    <row r="1609" spans="1:17" x14ac:dyDescent="0.25">
      <c r="A1609" t="str">
        <f>IF(C1609&amp;G1609&amp;D1609&lt;&gt;'Funnel setup'!$K$3&amp;'Funnel setup'!$K$4&amp;'Funnel setup'!$K$6,".",IF(A1608=".",1,A1608+1))</f>
        <v>.</v>
      </c>
      <c r="B1609" s="244" t="str">
        <f t="shared" si="25"/>
        <v>Hip Replacement RevisionProviderRIVERS HOSPITAL (NVC19)Oxford Hip Score</v>
      </c>
      <c r="C1609" t="s">
        <v>967</v>
      </c>
      <c r="D1609" t="s">
        <v>965</v>
      </c>
      <c r="E1609" t="s">
        <v>474</v>
      </c>
      <c r="F1609" t="s">
        <v>475</v>
      </c>
      <c r="G1609" t="s">
        <v>964</v>
      </c>
      <c r="H1609" t="s">
        <v>127</v>
      </c>
      <c r="I1609" t="s">
        <v>127</v>
      </c>
      <c r="J1609" t="s">
        <v>127</v>
      </c>
      <c r="K1609" t="s">
        <v>127</v>
      </c>
      <c r="L1609" t="s">
        <v>127</v>
      </c>
      <c r="M1609" t="s">
        <v>127</v>
      </c>
      <c r="N1609" t="s">
        <v>127</v>
      </c>
      <c r="O1609" t="s">
        <v>127</v>
      </c>
      <c r="P1609" t="s">
        <v>127</v>
      </c>
      <c r="Q1609" t="s">
        <v>127</v>
      </c>
    </row>
    <row r="1610" spans="1:17" x14ac:dyDescent="0.25">
      <c r="A1610" t="str">
        <f>IF(C1610&amp;G1610&amp;D1610&lt;&gt;'Funnel setup'!$K$3&amp;'Funnel setup'!$K$4&amp;'Funnel setup'!$K$6,".",IF(A1609=".",1,A1609+1))</f>
        <v>.</v>
      </c>
      <c r="B1610" s="244" t="str">
        <f t="shared" si="25"/>
        <v>Hip Replacement RevisionProviderROWLEY HALL HOSPITAL (NVC17)Oxford Hip Score</v>
      </c>
      <c r="C1610" t="s">
        <v>967</v>
      </c>
      <c r="D1610" t="s">
        <v>965</v>
      </c>
      <c r="E1610" t="s">
        <v>476</v>
      </c>
      <c r="F1610" t="s">
        <v>477</v>
      </c>
      <c r="G1610" t="s">
        <v>964</v>
      </c>
      <c r="H1610" t="s">
        <v>127</v>
      </c>
      <c r="I1610" t="s">
        <v>127</v>
      </c>
      <c r="J1610" t="s">
        <v>127</v>
      </c>
      <c r="K1610" t="s">
        <v>127</v>
      </c>
      <c r="L1610" t="s">
        <v>127</v>
      </c>
      <c r="M1610" t="s">
        <v>127</v>
      </c>
      <c r="N1610" t="s">
        <v>127</v>
      </c>
      <c r="O1610" t="s">
        <v>127</v>
      </c>
      <c r="P1610" t="s">
        <v>127</v>
      </c>
      <c r="Q1610" t="s">
        <v>127</v>
      </c>
    </row>
    <row r="1611" spans="1:17" x14ac:dyDescent="0.25">
      <c r="A1611" t="str">
        <f>IF(C1611&amp;G1611&amp;D1611&lt;&gt;'Funnel setup'!$K$3&amp;'Funnel setup'!$K$4&amp;'Funnel setup'!$K$6,".",IF(A1610=".",1,A1610+1))</f>
        <v>.</v>
      </c>
      <c r="B1611" s="244" t="str">
        <f t="shared" si="25"/>
        <v>Hip Replacement RevisionProviderROYAL BERKSHIRE NHS FOUNDATION TRUST (RHW)Oxford Hip Score</v>
      </c>
      <c r="C1611" t="s">
        <v>967</v>
      </c>
      <c r="D1611" t="s">
        <v>965</v>
      </c>
      <c r="E1611" t="s">
        <v>478</v>
      </c>
      <c r="F1611" t="s">
        <v>479</v>
      </c>
      <c r="G1611" t="s">
        <v>964</v>
      </c>
      <c r="H1611">
        <v>1</v>
      </c>
      <c r="I1611">
        <v>35</v>
      </c>
      <c r="J1611">
        <v>43</v>
      </c>
      <c r="K1611">
        <v>8</v>
      </c>
      <c r="L1611">
        <v>1</v>
      </c>
      <c r="M1611">
        <v>0</v>
      </c>
      <c r="N1611">
        <v>0</v>
      </c>
      <c r="O1611" t="s">
        <v>127</v>
      </c>
      <c r="P1611" t="s">
        <v>127</v>
      </c>
      <c r="Q1611" t="s">
        <v>127</v>
      </c>
    </row>
    <row r="1612" spans="1:17" x14ac:dyDescent="0.25">
      <c r="A1612" t="str">
        <f>IF(C1612&amp;G1612&amp;D1612&lt;&gt;'Funnel setup'!$K$3&amp;'Funnel setup'!$K$4&amp;'Funnel setup'!$K$6,".",IF(A1611=".",1,A1611+1))</f>
        <v>.</v>
      </c>
      <c r="B1612" s="244" t="str">
        <f t="shared" si="25"/>
        <v>Hip Replacement RevisionProviderROYAL CORNWALL HOSPITALS NHS TRUST (REF)Oxford Hip Score</v>
      </c>
      <c r="C1612" t="s">
        <v>967</v>
      </c>
      <c r="D1612" t="s">
        <v>965</v>
      </c>
      <c r="E1612" t="s">
        <v>480</v>
      </c>
      <c r="F1612" t="s">
        <v>481</v>
      </c>
      <c r="G1612" t="s">
        <v>964</v>
      </c>
      <c r="H1612">
        <v>5</v>
      </c>
      <c r="I1612">
        <v>26</v>
      </c>
      <c r="J1612">
        <v>38.799999999999997</v>
      </c>
      <c r="K1612">
        <v>12.8</v>
      </c>
      <c r="L1612">
        <v>5</v>
      </c>
      <c r="M1612">
        <v>0</v>
      </c>
      <c r="N1612">
        <v>0</v>
      </c>
      <c r="O1612" t="s">
        <v>127</v>
      </c>
      <c r="P1612" t="s">
        <v>127</v>
      </c>
      <c r="Q1612" t="s">
        <v>127</v>
      </c>
    </row>
    <row r="1613" spans="1:17" x14ac:dyDescent="0.25">
      <c r="A1613" t="str">
        <f>IF(C1613&amp;G1613&amp;D1613&lt;&gt;'Funnel setup'!$K$3&amp;'Funnel setup'!$K$4&amp;'Funnel setup'!$K$6,".",IF(A1612=".",1,A1612+1))</f>
        <v>.</v>
      </c>
      <c r="B1613" s="244" t="str">
        <f t="shared" si="25"/>
        <v>Hip Replacement RevisionProviderROYAL NATIONAL ORTHOPAEDIC HOSPITAL NHS TRUST (RAN)Oxford Hip Score</v>
      </c>
      <c r="C1613" t="s">
        <v>967</v>
      </c>
      <c r="D1613" t="s">
        <v>965</v>
      </c>
      <c r="E1613" t="s">
        <v>486</v>
      </c>
      <c r="F1613" t="s">
        <v>487</v>
      </c>
      <c r="G1613" t="s">
        <v>964</v>
      </c>
      <c r="H1613">
        <v>23</v>
      </c>
      <c r="I1613">
        <v>15.739100000000001</v>
      </c>
      <c r="J1613">
        <v>28.608699999999999</v>
      </c>
      <c r="K1613">
        <v>12.8696</v>
      </c>
      <c r="L1613">
        <v>21</v>
      </c>
      <c r="M1613">
        <v>0</v>
      </c>
      <c r="N1613">
        <v>2</v>
      </c>
      <c r="O1613" t="s">
        <v>127</v>
      </c>
      <c r="P1613" t="s">
        <v>127</v>
      </c>
      <c r="Q1613" t="s">
        <v>127</v>
      </c>
    </row>
    <row r="1614" spans="1:17" x14ac:dyDescent="0.25">
      <c r="A1614" t="str">
        <f>IF(C1614&amp;G1614&amp;D1614&lt;&gt;'Funnel setup'!$K$3&amp;'Funnel setup'!$K$4&amp;'Funnel setup'!$K$6,".",IF(A1613=".",1,A1613+1))</f>
        <v>.</v>
      </c>
      <c r="B1614" s="244" t="str">
        <f t="shared" si="25"/>
        <v>Hip Replacement RevisionProviderSANDWELL AND WEST BIRMINGHAM HOSPITALS NHS TRUST (RXK)Oxford Hip Score</v>
      </c>
      <c r="C1614" t="s">
        <v>967</v>
      </c>
      <c r="D1614" t="s">
        <v>965</v>
      </c>
      <c r="E1614" t="s">
        <v>496</v>
      </c>
      <c r="F1614" t="s">
        <v>497</v>
      </c>
      <c r="G1614" t="s">
        <v>964</v>
      </c>
      <c r="H1614">
        <v>1</v>
      </c>
      <c r="I1614">
        <v>14</v>
      </c>
      <c r="J1614">
        <v>17</v>
      </c>
      <c r="K1614">
        <v>3</v>
      </c>
      <c r="L1614">
        <v>1</v>
      </c>
      <c r="M1614">
        <v>0</v>
      </c>
      <c r="N1614">
        <v>0</v>
      </c>
      <c r="O1614" t="s">
        <v>127</v>
      </c>
      <c r="P1614" t="s">
        <v>127</v>
      </c>
      <c r="Q1614" t="s">
        <v>127</v>
      </c>
    </row>
    <row r="1615" spans="1:17" x14ac:dyDescent="0.25">
      <c r="A1615" t="str">
        <f>IF(C1615&amp;G1615&amp;D1615&lt;&gt;'Funnel setup'!$K$3&amp;'Funnel setup'!$K$4&amp;'Funnel setup'!$K$6,".",IF(A1614=".",1,A1614+1))</f>
        <v>.</v>
      </c>
      <c r="B1615" s="244" t="str">
        <f t="shared" si="25"/>
        <v>Hip Replacement RevisionProviderSHEFFIELD TEACHING HOSPITALS NHS FOUNDATION TRUST (RHQ)Oxford Hip Score</v>
      </c>
      <c r="C1615" t="s">
        <v>967</v>
      </c>
      <c r="D1615" t="s">
        <v>965</v>
      </c>
      <c r="E1615" t="s">
        <v>506</v>
      </c>
      <c r="F1615" t="s">
        <v>507</v>
      </c>
      <c r="G1615" t="s">
        <v>964</v>
      </c>
      <c r="H1615">
        <v>1</v>
      </c>
      <c r="I1615">
        <v>28</v>
      </c>
      <c r="J1615">
        <v>33</v>
      </c>
      <c r="K1615">
        <v>5</v>
      </c>
      <c r="L1615">
        <v>1</v>
      </c>
      <c r="M1615">
        <v>0</v>
      </c>
      <c r="N1615">
        <v>0</v>
      </c>
      <c r="O1615" t="s">
        <v>127</v>
      </c>
      <c r="P1615" t="s">
        <v>127</v>
      </c>
      <c r="Q1615" t="s">
        <v>127</v>
      </c>
    </row>
    <row r="1616" spans="1:17" x14ac:dyDescent="0.25">
      <c r="A1616" t="str">
        <f>IF(C1616&amp;G1616&amp;D1616&lt;&gt;'Funnel setup'!$K$3&amp;'Funnel setup'!$K$4&amp;'Funnel setup'!$K$6,".",IF(A1615=".",1,A1615+1))</f>
        <v>.</v>
      </c>
      <c r="B1616" s="244" t="str">
        <f t="shared" si="25"/>
        <v>Hip Replacement RevisionProviderSOUTH TEES HOSPITALS NHS FOUNDATION TRUST (RTR)Oxford Hip Score</v>
      </c>
      <c r="C1616" t="s">
        <v>967</v>
      </c>
      <c r="D1616" t="s">
        <v>965</v>
      </c>
      <c r="E1616" t="s">
        <v>516</v>
      </c>
      <c r="F1616" t="s">
        <v>517</v>
      </c>
      <c r="G1616" t="s">
        <v>964</v>
      </c>
      <c r="H1616">
        <v>10</v>
      </c>
      <c r="I1616">
        <v>18.5</v>
      </c>
      <c r="J1616">
        <v>38</v>
      </c>
      <c r="K1616">
        <v>19.5</v>
      </c>
      <c r="L1616">
        <v>9</v>
      </c>
      <c r="M1616">
        <v>0</v>
      </c>
      <c r="N1616">
        <v>1</v>
      </c>
      <c r="O1616" t="s">
        <v>127</v>
      </c>
      <c r="P1616" t="s">
        <v>127</v>
      </c>
      <c r="Q1616" t="s">
        <v>127</v>
      </c>
    </row>
    <row r="1617" spans="1:17" x14ac:dyDescent="0.25">
      <c r="A1617" t="str">
        <f>IF(C1617&amp;G1617&amp;D1617&lt;&gt;'Funnel setup'!$K$3&amp;'Funnel setup'!$K$4&amp;'Funnel setup'!$K$6,".",IF(A1616=".",1,A1616+1))</f>
        <v>.</v>
      </c>
      <c r="B1617" s="244" t="str">
        <f t="shared" si="25"/>
        <v>Hip Replacement RevisionProviderSOUTH TYNESIDE AND SUNDERLAND NHS FOUNDATION TRUST (R0B)Oxford Hip Score</v>
      </c>
      <c r="C1617" t="s">
        <v>967</v>
      </c>
      <c r="D1617" t="s">
        <v>965</v>
      </c>
      <c r="E1617" t="s">
        <v>518</v>
      </c>
      <c r="F1617" t="s">
        <v>519</v>
      </c>
      <c r="G1617" t="s">
        <v>964</v>
      </c>
      <c r="H1617">
        <v>1</v>
      </c>
      <c r="I1617">
        <v>27</v>
      </c>
      <c r="J1617">
        <v>48</v>
      </c>
      <c r="K1617">
        <v>21</v>
      </c>
      <c r="L1617">
        <v>1</v>
      </c>
      <c r="M1617">
        <v>0</v>
      </c>
      <c r="N1617">
        <v>0</v>
      </c>
      <c r="O1617" t="s">
        <v>127</v>
      </c>
      <c r="P1617" t="s">
        <v>127</v>
      </c>
      <c r="Q1617" t="s">
        <v>127</v>
      </c>
    </row>
    <row r="1618" spans="1:17" x14ac:dyDescent="0.25">
      <c r="A1618" t="str">
        <f>IF(C1618&amp;G1618&amp;D1618&lt;&gt;'Funnel setup'!$K$3&amp;'Funnel setup'!$K$4&amp;'Funnel setup'!$K$6,".",IF(A1617=".",1,A1617+1))</f>
        <v>.</v>
      </c>
      <c r="B1618" s="244" t="str">
        <f t="shared" si="25"/>
        <v>Hip Replacement RevisionProviderSOUTH WARWICKSHIRE UNIVERSITY NHS FOUNDATION TRUST (RJC)Oxford Hip Score</v>
      </c>
      <c r="C1618" t="s">
        <v>967</v>
      </c>
      <c r="D1618" t="s">
        <v>965</v>
      </c>
      <c r="E1618" t="s">
        <v>520</v>
      </c>
      <c r="F1618" t="s">
        <v>521</v>
      </c>
      <c r="G1618" t="s">
        <v>964</v>
      </c>
      <c r="H1618">
        <v>3</v>
      </c>
      <c r="I1618">
        <v>9.3333300000000001</v>
      </c>
      <c r="J1618">
        <v>27</v>
      </c>
      <c r="K1618">
        <v>17.666699999999999</v>
      </c>
      <c r="L1618">
        <v>3</v>
      </c>
      <c r="M1618">
        <v>0</v>
      </c>
      <c r="N1618">
        <v>0</v>
      </c>
      <c r="O1618" t="s">
        <v>127</v>
      </c>
      <c r="P1618" t="s">
        <v>127</v>
      </c>
      <c r="Q1618" t="s">
        <v>127</v>
      </c>
    </row>
    <row r="1619" spans="1:17" x14ac:dyDescent="0.25">
      <c r="A1619" t="str">
        <f>IF(C1619&amp;G1619&amp;D1619&lt;&gt;'Funnel setup'!$K$3&amp;'Funnel setup'!$K$4&amp;'Funnel setup'!$K$6,".",IF(A1618=".",1,A1618+1))</f>
        <v>.</v>
      </c>
      <c r="B1619" s="244" t="str">
        <f t="shared" si="25"/>
        <v>Hip Replacement RevisionProviderSPIRE GATWICK PARK HOSPITAL (NT308)Oxford Hip Score</v>
      </c>
      <c r="C1619" t="s">
        <v>967</v>
      </c>
      <c r="D1619" t="s">
        <v>965</v>
      </c>
      <c r="E1619" t="s">
        <v>546</v>
      </c>
      <c r="F1619" t="s">
        <v>547</v>
      </c>
      <c r="G1619" t="s">
        <v>964</v>
      </c>
      <c r="H1619" t="s">
        <v>127</v>
      </c>
      <c r="I1619" t="s">
        <v>127</v>
      </c>
      <c r="J1619" t="s">
        <v>127</v>
      </c>
      <c r="K1619" t="s">
        <v>127</v>
      </c>
      <c r="L1619" t="s">
        <v>127</v>
      </c>
      <c r="M1619" t="s">
        <v>127</v>
      </c>
      <c r="N1619" t="s">
        <v>127</v>
      </c>
      <c r="O1619" t="s">
        <v>127</v>
      </c>
      <c r="P1619" t="s">
        <v>127</v>
      </c>
      <c r="Q1619" t="s">
        <v>127</v>
      </c>
    </row>
    <row r="1620" spans="1:17" x14ac:dyDescent="0.25">
      <c r="A1620" t="str">
        <f>IF(C1620&amp;G1620&amp;D1620&lt;&gt;'Funnel setup'!$K$3&amp;'Funnel setup'!$K$4&amp;'Funnel setup'!$K$6,".",IF(A1619=".",1,A1619+1))</f>
        <v>.</v>
      </c>
      <c r="B1620" s="244" t="str">
        <f t="shared" si="25"/>
        <v>Hip Replacement RevisionProviderSPRINGFIELD HOSPITAL (NVC18)Oxford Hip Score</v>
      </c>
      <c r="C1620" t="s">
        <v>967</v>
      </c>
      <c r="D1620" t="s">
        <v>965</v>
      </c>
      <c r="E1620" t="s">
        <v>602</v>
      </c>
      <c r="F1620" t="s">
        <v>603</v>
      </c>
      <c r="G1620" t="s">
        <v>964</v>
      </c>
      <c r="H1620" t="s">
        <v>127</v>
      </c>
      <c r="I1620" t="s">
        <v>127</v>
      </c>
      <c r="J1620" t="s">
        <v>127</v>
      </c>
      <c r="K1620" t="s">
        <v>127</v>
      </c>
      <c r="L1620" t="s">
        <v>127</v>
      </c>
      <c r="M1620" t="s">
        <v>127</v>
      </c>
      <c r="N1620" t="s">
        <v>127</v>
      </c>
      <c r="O1620" t="s">
        <v>127</v>
      </c>
      <c r="P1620" t="s">
        <v>127</v>
      </c>
      <c r="Q1620" t="s">
        <v>127</v>
      </c>
    </row>
    <row r="1621" spans="1:17" x14ac:dyDescent="0.25">
      <c r="A1621" t="str">
        <f>IF(C1621&amp;G1621&amp;D1621&lt;&gt;'Funnel setup'!$K$3&amp;'Funnel setup'!$K$4&amp;'Funnel setup'!$K$6,".",IF(A1620=".",1,A1620+1))</f>
        <v>.</v>
      </c>
      <c r="B1621" s="244" t="str">
        <f t="shared" si="25"/>
        <v>Hip Replacement RevisionProviderST HELENS AND KNOWSLEY TEACHING HOSPITALS NHS TRUST (RBN)Oxford Hip Score</v>
      </c>
      <c r="C1621" t="s">
        <v>967</v>
      </c>
      <c r="D1621" t="s">
        <v>965</v>
      </c>
      <c r="E1621" t="s">
        <v>608</v>
      </c>
      <c r="F1621" t="s">
        <v>609</v>
      </c>
      <c r="G1621" t="s">
        <v>964</v>
      </c>
      <c r="H1621">
        <v>2</v>
      </c>
      <c r="I1621">
        <v>19.5</v>
      </c>
      <c r="J1621">
        <v>26</v>
      </c>
      <c r="K1621">
        <v>6.5</v>
      </c>
      <c r="L1621">
        <v>1</v>
      </c>
      <c r="M1621">
        <v>0</v>
      </c>
      <c r="N1621">
        <v>1</v>
      </c>
      <c r="O1621" t="s">
        <v>127</v>
      </c>
      <c r="P1621" t="s">
        <v>127</v>
      </c>
      <c r="Q1621" t="s">
        <v>127</v>
      </c>
    </row>
    <row r="1622" spans="1:17" x14ac:dyDescent="0.25">
      <c r="A1622" t="str">
        <f>IF(C1622&amp;G1622&amp;D1622&lt;&gt;'Funnel setup'!$K$3&amp;'Funnel setup'!$K$4&amp;'Funnel setup'!$K$6,".",IF(A1621=".",1,A1621+1))</f>
        <v>.</v>
      </c>
      <c r="B1622" s="244" t="str">
        <f t="shared" si="25"/>
        <v>Hip Replacement RevisionProviderSTOCKPORT NHS FOUNDATION TRUST (RWJ)Oxford Hip Score</v>
      </c>
      <c r="C1622" t="s">
        <v>967</v>
      </c>
      <c r="D1622" t="s">
        <v>965</v>
      </c>
      <c r="E1622" t="s">
        <v>614</v>
      </c>
      <c r="F1622" t="s">
        <v>615</v>
      </c>
      <c r="G1622" t="s">
        <v>964</v>
      </c>
      <c r="H1622">
        <v>7</v>
      </c>
      <c r="I1622">
        <v>23.285699999999999</v>
      </c>
      <c r="J1622">
        <v>29.714300000000001</v>
      </c>
      <c r="K1622">
        <v>6.4285699999999997</v>
      </c>
      <c r="L1622">
        <v>4</v>
      </c>
      <c r="M1622">
        <v>1</v>
      </c>
      <c r="N1622">
        <v>2</v>
      </c>
      <c r="O1622" t="s">
        <v>127</v>
      </c>
      <c r="P1622" t="s">
        <v>127</v>
      </c>
      <c r="Q1622" t="s">
        <v>127</v>
      </c>
    </row>
    <row r="1623" spans="1:17" x14ac:dyDescent="0.25">
      <c r="A1623" t="str">
        <f>IF(C1623&amp;G1623&amp;D1623&lt;&gt;'Funnel setup'!$K$3&amp;'Funnel setup'!$K$4&amp;'Funnel setup'!$K$6,".",IF(A1622=".",1,A1622+1))</f>
        <v>.</v>
      </c>
      <c r="B1623" s="244" t="str">
        <f t="shared" si="25"/>
        <v>Hip Replacement RevisionProviderSURREY AND SUSSEX HEALTHCARE NHS TRUST (RTP)Oxford Hip Score</v>
      </c>
      <c r="C1623" t="s">
        <v>967</v>
      </c>
      <c r="D1623" t="s">
        <v>965</v>
      </c>
      <c r="E1623" t="s">
        <v>618</v>
      </c>
      <c r="F1623" t="s">
        <v>619</v>
      </c>
      <c r="G1623" t="s">
        <v>964</v>
      </c>
      <c r="H1623">
        <v>6</v>
      </c>
      <c r="I1623">
        <v>18.833300000000001</v>
      </c>
      <c r="J1623">
        <v>36.833300000000001</v>
      </c>
      <c r="K1623">
        <v>18</v>
      </c>
      <c r="L1623">
        <v>5</v>
      </c>
      <c r="M1623">
        <v>0</v>
      </c>
      <c r="N1623">
        <v>1</v>
      </c>
      <c r="O1623" t="s">
        <v>127</v>
      </c>
      <c r="P1623" t="s">
        <v>127</v>
      </c>
      <c r="Q1623" t="s">
        <v>127</v>
      </c>
    </row>
    <row r="1624" spans="1:17" x14ac:dyDescent="0.25">
      <c r="A1624" t="str">
        <f>IF(C1624&amp;G1624&amp;D1624&lt;&gt;'Funnel setup'!$K$3&amp;'Funnel setup'!$K$4&amp;'Funnel setup'!$K$6,".",IF(A1623=".",1,A1623+1))</f>
        <v>.</v>
      </c>
      <c r="B1624" s="244" t="str">
        <f t="shared" si="25"/>
        <v>Hip Replacement RevisionProviderTHE HILLINGDON HOSPITALS NHS FOUNDATION TRUST (RAS)Oxford Hip Score</v>
      </c>
      <c r="C1624" t="s">
        <v>967</v>
      </c>
      <c r="D1624" t="s">
        <v>965</v>
      </c>
      <c r="E1624" t="s">
        <v>632</v>
      </c>
      <c r="F1624" t="s">
        <v>633</v>
      </c>
      <c r="G1624" t="s">
        <v>964</v>
      </c>
      <c r="H1624">
        <v>1</v>
      </c>
      <c r="I1624">
        <v>12</v>
      </c>
      <c r="J1624">
        <v>25</v>
      </c>
      <c r="K1624">
        <v>13</v>
      </c>
      <c r="L1624">
        <v>1</v>
      </c>
      <c r="M1624">
        <v>0</v>
      </c>
      <c r="N1624">
        <v>0</v>
      </c>
      <c r="O1624" t="s">
        <v>127</v>
      </c>
      <c r="P1624" t="s">
        <v>127</v>
      </c>
      <c r="Q1624" t="s">
        <v>127</v>
      </c>
    </row>
    <row r="1625" spans="1:17" x14ac:dyDescent="0.25">
      <c r="A1625" t="str">
        <f>IF(C1625&amp;G1625&amp;D1625&lt;&gt;'Funnel setup'!$K$3&amp;'Funnel setup'!$K$4&amp;'Funnel setup'!$K$6,".",IF(A1624=".",1,A1624+1))</f>
        <v>.</v>
      </c>
      <c r="B1625" s="244" t="str">
        <f t="shared" si="25"/>
        <v>Hip Replacement RevisionProviderTHE HORDER CENTRE - ST JOHNS ROAD (NXM01)Oxford Hip Score</v>
      </c>
      <c r="C1625" t="s">
        <v>967</v>
      </c>
      <c r="D1625" t="s">
        <v>965</v>
      </c>
      <c r="E1625" t="s">
        <v>634</v>
      </c>
      <c r="F1625" t="s">
        <v>635</v>
      </c>
      <c r="G1625" t="s">
        <v>964</v>
      </c>
      <c r="H1625">
        <v>8</v>
      </c>
      <c r="I1625">
        <v>24.875</v>
      </c>
      <c r="J1625">
        <v>34.625</v>
      </c>
      <c r="K1625">
        <v>9.75</v>
      </c>
      <c r="L1625">
        <v>6</v>
      </c>
      <c r="M1625">
        <v>0</v>
      </c>
      <c r="N1625">
        <v>2</v>
      </c>
      <c r="O1625" t="s">
        <v>127</v>
      </c>
      <c r="P1625" t="s">
        <v>127</v>
      </c>
      <c r="Q1625" t="s">
        <v>127</v>
      </c>
    </row>
    <row r="1626" spans="1:17" x14ac:dyDescent="0.25">
      <c r="A1626" t="str">
        <f>IF(C1626&amp;G1626&amp;D1626&lt;&gt;'Funnel setup'!$K$3&amp;'Funnel setup'!$K$4&amp;'Funnel setup'!$K$6,".",IF(A1625=".",1,A1625+1))</f>
        <v>.</v>
      </c>
      <c r="B1626" s="244" t="str">
        <f t="shared" si="25"/>
        <v>Hip Replacement RevisionProviderTHE NEWCASTLE UPON TYNE HOSPITALS NHS FOUNDATION TRUST (RTD)Oxford Hip Score</v>
      </c>
      <c r="C1626" t="s">
        <v>967</v>
      </c>
      <c r="D1626" t="s">
        <v>965</v>
      </c>
      <c r="E1626" t="s">
        <v>638</v>
      </c>
      <c r="F1626" t="s">
        <v>639</v>
      </c>
      <c r="G1626" t="s">
        <v>964</v>
      </c>
      <c r="H1626">
        <v>4</v>
      </c>
      <c r="I1626">
        <v>26.75</v>
      </c>
      <c r="J1626">
        <v>38.5</v>
      </c>
      <c r="K1626">
        <v>11.75</v>
      </c>
      <c r="L1626">
        <v>4</v>
      </c>
      <c r="M1626">
        <v>0</v>
      </c>
      <c r="N1626">
        <v>0</v>
      </c>
      <c r="O1626" t="s">
        <v>127</v>
      </c>
      <c r="P1626" t="s">
        <v>127</v>
      </c>
      <c r="Q1626" t="s">
        <v>127</v>
      </c>
    </row>
    <row r="1627" spans="1:17" x14ac:dyDescent="0.25">
      <c r="A1627" t="str">
        <f>IF(C1627&amp;G1627&amp;D1627&lt;&gt;'Funnel setup'!$K$3&amp;'Funnel setup'!$K$4&amp;'Funnel setup'!$K$6,".",IF(A1626=".",1,A1626+1))</f>
        <v>.</v>
      </c>
      <c r="B1627" s="244" t="str">
        <f t="shared" si="25"/>
        <v>Hip Replacement RevisionProviderTHE PRINCESS ALEXANDRA HOSPITAL NHS TRUST (RQW)Oxford Hip Score</v>
      </c>
      <c r="C1627" t="s">
        <v>967</v>
      </c>
      <c r="D1627" t="s">
        <v>965</v>
      </c>
      <c r="E1627" t="s">
        <v>640</v>
      </c>
      <c r="F1627" t="s">
        <v>641</v>
      </c>
      <c r="G1627" t="s">
        <v>964</v>
      </c>
      <c r="H1627">
        <v>2</v>
      </c>
      <c r="I1627">
        <v>16</v>
      </c>
      <c r="J1627">
        <v>23</v>
      </c>
      <c r="K1627">
        <v>7</v>
      </c>
      <c r="L1627">
        <v>1</v>
      </c>
      <c r="M1627">
        <v>0</v>
      </c>
      <c r="N1627">
        <v>1</v>
      </c>
      <c r="O1627" t="s">
        <v>127</v>
      </c>
      <c r="P1627" t="s">
        <v>127</v>
      </c>
      <c r="Q1627" t="s">
        <v>127</v>
      </c>
    </row>
    <row r="1628" spans="1:17" x14ac:dyDescent="0.25">
      <c r="A1628" t="str">
        <f>IF(C1628&amp;G1628&amp;D1628&lt;&gt;'Funnel setup'!$K$3&amp;'Funnel setup'!$K$4&amp;'Funnel setup'!$K$6,".",IF(A1627=".",1,A1627+1))</f>
        <v>.</v>
      </c>
      <c r="B1628" s="244" t="str">
        <f t="shared" si="25"/>
        <v>Hip Replacement RevisionProviderTHE QUEEN ELIZABETH HOSPITAL, KING'S LYNN, NHS FOUNDATION TRUST (RCX)Oxford Hip Score</v>
      </c>
      <c r="C1628" t="s">
        <v>967</v>
      </c>
      <c r="D1628" t="s">
        <v>965</v>
      </c>
      <c r="E1628" t="s">
        <v>644</v>
      </c>
      <c r="F1628" t="s">
        <v>645</v>
      </c>
      <c r="G1628" t="s">
        <v>964</v>
      </c>
      <c r="H1628">
        <v>1</v>
      </c>
      <c r="I1628">
        <v>15</v>
      </c>
      <c r="J1628">
        <v>44</v>
      </c>
      <c r="K1628">
        <v>29</v>
      </c>
      <c r="L1628">
        <v>1</v>
      </c>
      <c r="M1628">
        <v>0</v>
      </c>
      <c r="N1628">
        <v>0</v>
      </c>
      <c r="O1628" t="s">
        <v>127</v>
      </c>
      <c r="P1628" t="s">
        <v>127</v>
      </c>
      <c r="Q1628" t="s">
        <v>127</v>
      </c>
    </row>
    <row r="1629" spans="1:17" x14ac:dyDescent="0.25">
      <c r="A1629" t="str">
        <f>IF(C1629&amp;G1629&amp;D1629&lt;&gt;'Funnel setup'!$K$3&amp;'Funnel setup'!$K$4&amp;'Funnel setup'!$K$6,".",IF(A1628=".",1,A1628+1))</f>
        <v>.</v>
      </c>
      <c r="B1629" s="244" t="str">
        <f t="shared" si="25"/>
        <v>Hip Replacement RevisionProviderTHE ROBERT JONES AND AGNES HUNT ORTHOPAEDIC HOSPITAL NHS FOUNDATION TRUST (RL1)Oxford Hip Score</v>
      </c>
      <c r="C1629" t="s">
        <v>967</v>
      </c>
      <c r="D1629" t="s">
        <v>965</v>
      </c>
      <c r="E1629" t="s">
        <v>646</v>
      </c>
      <c r="F1629" t="s">
        <v>647</v>
      </c>
      <c r="G1629" t="s">
        <v>964</v>
      </c>
      <c r="H1629">
        <v>26</v>
      </c>
      <c r="I1629">
        <v>17.923100000000002</v>
      </c>
      <c r="J1629">
        <v>37.884599999999999</v>
      </c>
      <c r="K1629">
        <v>19.961500000000001</v>
      </c>
      <c r="L1629">
        <v>25</v>
      </c>
      <c r="M1629">
        <v>0</v>
      </c>
      <c r="N1629">
        <v>1</v>
      </c>
      <c r="O1629" t="s">
        <v>127</v>
      </c>
      <c r="P1629" t="s">
        <v>127</v>
      </c>
      <c r="Q1629" t="s">
        <v>127</v>
      </c>
    </row>
    <row r="1630" spans="1:17" x14ac:dyDescent="0.25">
      <c r="A1630" t="str">
        <f>IF(C1630&amp;G1630&amp;D1630&lt;&gt;'Funnel setup'!$K$3&amp;'Funnel setup'!$K$4&amp;'Funnel setup'!$K$6,".",IF(A1629=".",1,A1629+1))</f>
        <v>.</v>
      </c>
      <c r="B1630" s="244" t="str">
        <f t="shared" si="25"/>
        <v>Hip Replacement RevisionProviderTHE ROYAL ORTHOPAEDIC HOSPITAL NHS FOUNDATION TRUST (RRJ)Oxford Hip Score</v>
      </c>
      <c r="C1630" t="s">
        <v>967</v>
      </c>
      <c r="D1630" t="s">
        <v>965</v>
      </c>
      <c r="E1630" t="s">
        <v>652</v>
      </c>
      <c r="F1630" t="s">
        <v>653</v>
      </c>
      <c r="G1630" t="s">
        <v>964</v>
      </c>
      <c r="H1630">
        <v>46</v>
      </c>
      <c r="I1630">
        <v>20.282599999999999</v>
      </c>
      <c r="J1630">
        <v>34.5</v>
      </c>
      <c r="K1630">
        <v>14.2174</v>
      </c>
      <c r="L1630">
        <v>39</v>
      </c>
      <c r="M1630">
        <v>1</v>
      </c>
      <c r="N1630">
        <v>6</v>
      </c>
      <c r="O1630">
        <v>33.956899999999997</v>
      </c>
      <c r="P1630">
        <v>13.724</v>
      </c>
      <c r="Q1630">
        <v>9.9492100000000008</v>
      </c>
    </row>
    <row r="1631" spans="1:17" x14ac:dyDescent="0.25">
      <c r="A1631" t="str">
        <f>IF(C1631&amp;G1631&amp;D1631&lt;&gt;'Funnel setup'!$K$3&amp;'Funnel setup'!$K$4&amp;'Funnel setup'!$K$6,".",IF(A1630=".",1,A1630+1))</f>
        <v>.</v>
      </c>
      <c r="B1631" s="244" t="str">
        <f t="shared" si="25"/>
        <v>Hip Replacement RevisionProviderTHE ROYAL WOLVERHAMPTON NHS TRUST (RL4)Oxford Hip Score</v>
      </c>
      <c r="C1631" t="s">
        <v>967</v>
      </c>
      <c r="D1631" t="s">
        <v>965</v>
      </c>
      <c r="E1631" t="s">
        <v>654</v>
      </c>
      <c r="F1631" t="s">
        <v>655</v>
      </c>
      <c r="G1631" t="s">
        <v>964</v>
      </c>
      <c r="H1631">
        <v>1</v>
      </c>
      <c r="I1631">
        <v>15</v>
      </c>
      <c r="J1631">
        <v>48</v>
      </c>
      <c r="K1631">
        <v>33</v>
      </c>
      <c r="L1631">
        <v>1</v>
      </c>
      <c r="M1631">
        <v>0</v>
      </c>
      <c r="N1631">
        <v>0</v>
      </c>
      <c r="O1631" t="s">
        <v>127</v>
      </c>
      <c r="P1631" t="s">
        <v>127</v>
      </c>
      <c r="Q1631" t="s">
        <v>127</v>
      </c>
    </row>
    <row r="1632" spans="1:17" x14ac:dyDescent="0.25">
      <c r="A1632" t="str">
        <f>IF(C1632&amp;G1632&amp;D1632&lt;&gt;'Funnel setup'!$K$3&amp;'Funnel setup'!$K$4&amp;'Funnel setup'!$K$6,".",IF(A1631=".",1,A1631+1))</f>
        <v>.</v>
      </c>
      <c r="B1632" s="244" t="str">
        <f t="shared" si="25"/>
        <v>Hip Replacement RevisionProviderTORBAY AND SOUTH DEVON NHS FOUNDATION TRUST (RA9)Oxford Hip Score</v>
      </c>
      <c r="C1632" t="s">
        <v>967</v>
      </c>
      <c r="D1632" t="s">
        <v>965</v>
      </c>
      <c r="E1632" t="s">
        <v>668</v>
      </c>
      <c r="F1632" t="s">
        <v>669</v>
      </c>
      <c r="G1632" t="s">
        <v>964</v>
      </c>
      <c r="H1632">
        <v>3</v>
      </c>
      <c r="I1632">
        <v>26.333300000000001</v>
      </c>
      <c r="J1632">
        <v>37.333300000000001</v>
      </c>
      <c r="K1632">
        <v>11</v>
      </c>
      <c r="L1632">
        <v>3</v>
      </c>
      <c r="M1632">
        <v>0</v>
      </c>
      <c r="N1632">
        <v>0</v>
      </c>
      <c r="O1632" t="s">
        <v>127</v>
      </c>
      <c r="P1632" t="s">
        <v>127</v>
      </c>
      <c r="Q1632" t="s">
        <v>127</v>
      </c>
    </row>
    <row r="1633" spans="1:17" x14ac:dyDescent="0.25">
      <c r="A1633" t="str">
        <f>IF(C1633&amp;G1633&amp;D1633&lt;&gt;'Funnel setup'!$K$3&amp;'Funnel setup'!$K$4&amp;'Funnel setup'!$K$6,".",IF(A1632=".",1,A1632+1))</f>
        <v>.</v>
      </c>
      <c r="B1633" s="244" t="str">
        <f t="shared" si="25"/>
        <v>Hip Replacement RevisionProviderUNIVERSITY COLLEGE LONDON HOSPITALS NHS FOUNDATION TRUST (RRV)Oxford Hip Score</v>
      </c>
      <c r="C1633" t="s">
        <v>967</v>
      </c>
      <c r="D1633" t="s">
        <v>965</v>
      </c>
      <c r="E1633" t="s">
        <v>674</v>
      </c>
      <c r="F1633" t="s">
        <v>675</v>
      </c>
      <c r="G1633" t="s">
        <v>964</v>
      </c>
      <c r="H1633">
        <v>9</v>
      </c>
      <c r="I1633">
        <v>28.8889</v>
      </c>
      <c r="J1633">
        <v>38.333300000000001</v>
      </c>
      <c r="K1633">
        <v>9.4444400000000002</v>
      </c>
      <c r="L1633">
        <v>6</v>
      </c>
      <c r="M1633">
        <v>2</v>
      </c>
      <c r="N1633">
        <v>1</v>
      </c>
      <c r="O1633" t="s">
        <v>127</v>
      </c>
      <c r="P1633" t="s">
        <v>127</v>
      </c>
      <c r="Q1633" t="s">
        <v>127</v>
      </c>
    </row>
    <row r="1634" spans="1:17" x14ac:dyDescent="0.25">
      <c r="A1634" t="str">
        <f>IF(C1634&amp;G1634&amp;D1634&lt;&gt;'Funnel setup'!$K$3&amp;'Funnel setup'!$K$4&amp;'Funnel setup'!$K$6,".",IF(A1633=".",1,A1633+1))</f>
        <v>.</v>
      </c>
      <c r="B1634" s="244" t="str">
        <f t="shared" si="25"/>
        <v>Hip Replacement RevisionProviderUNIVERSITY HOSPITAL SOUTHAMPTON NHS FOUNDATION TRUST (RHM)Oxford Hip Score</v>
      </c>
      <c r="C1634" t="s">
        <v>967</v>
      </c>
      <c r="D1634" t="s">
        <v>965</v>
      </c>
      <c r="E1634" t="s">
        <v>676</v>
      </c>
      <c r="F1634" t="s">
        <v>677</v>
      </c>
      <c r="G1634" t="s">
        <v>964</v>
      </c>
      <c r="H1634">
        <v>7</v>
      </c>
      <c r="I1634">
        <v>22.285699999999999</v>
      </c>
      <c r="J1634">
        <v>36.857100000000003</v>
      </c>
      <c r="K1634">
        <v>14.571400000000001</v>
      </c>
      <c r="L1634">
        <v>5</v>
      </c>
      <c r="M1634">
        <v>0</v>
      </c>
      <c r="N1634">
        <v>2</v>
      </c>
      <c r="O1634" t="s">
        <v>127</v>
      </c>
      <c r="P1634" t="s">
        <v>127</v>
      </c>
      <c r="Q1634" t="s">
        <v>127</v>
      </c>
    </row>
    <row r="1635" spans="1:17" x14ac:dyDescent="0.25">
      <c r="A1635" t="str">
        <f>IF(C1635&amp;G1635&amp;D1635&lt;&gt;'Funnel setup'!$K$3&amp;'Funnel setup'!$K$4&amp;'Funnel setup'!$K$6,".",IF(A1634=".",1,A1634+1))</f>
        <v>.</v>
      </c>
      <c r="B1635" s="244" t="str">
        <f t="shared" si="25"/>
        <v>Hip Replacement RevisionProviderUNIVERSITY HOSPITALS BRISTOL AND WESTON NHS FOUNDATION TRUST (RA7)Oxford Hip Score</v>
      </c>
      <c r="C1635" t="s">
        <v>967</v>
      </c>
      <c r="D1635" t="s">
        <v>965</v>
      </c>
      <c r="E1635" t="s">
        <v>680</v>
      </c>
      <c r="F1635" t="s">
        <v>681</v>
      </c>
      <c r="G1635" t="s">
        <v>964</v>
      </c>
      <c r="H1635" t="s">
        <v>127</v>
      </c>
      <c r="I1635" t="s">
        <v>127</v>
      </c>
      <c r="J1635" t="s">
        <v>127</v>
      </c>
      <c r="K1635" t="s">
        <v>127</v>
      </c>
      <c r="L1635" t="s">
        <v>127</v>
      </c>
      <c r="M1635" t="s">
        <v>127</v>
      </c>
      <c r="N1635" t="s">
        <v>127</v>
      </c>
      <c r="O1635" t="s">
        <v>127</v>
      </c>
      <c r="P1635" t="s">
        <v>127</v>
      </c>
      <c r="Q1635" t="s">
        <v>127</v>
      </c>
    </row>
    <row r="1636" spans="1:17" x14ac:dyDescent="0.25">
      <c r="A1636" t="str">
        <f>IF(C1636&amp;G1636&amp;D1636&lt;&gt;'Funnel setup'!$K$3&amp;'Funnel setup'!$K$4&amp;'Funnel setup'!$K$6,".",IF(A1635=".",1,A1635+1))</f>
        <v>.</v>
      </c>
      <c r="B1636" s="244" t="str">
        <f t="shared" si="25"/>
        <v>Hip Replacement RevisionProviderUNIVERSITY HOSPITALS COVENTRY AND WARWICKSHIRE NHS TRUST (RKB)Oxford Hip Score</v>
      </c>
      <c r="C1636" t="s">
        <v>967</v>
      </c>
      <c r="D1636" t="s">
        <v>965</v>
      </c>
      <c r="E1636" t="s">
        <v>682</v>
      </c>
      <c r="F1636" t="s">
        <v>683</v>
      </c>
      <c r="G1636" t="s">
        <v>964</v>
      </c>
      <c r="H1636">
        <v>2</v>
      </c>
      <c r="I1636">
        <v>14</v>
      </c>
      <c r="J1636">
        <v>29.5</v>
      </c>
      <c r="K1636">
        <v>15.5</v>
      </c>
      <c r="L1636">
        <v>1</v>
      </c>
      <c r="M1636">
        <v>0</v>
      </c>
      <c r="N1636">
        <v>1</v>
      </c>
      <c r="O1636" t="s">
        <v>127</v>
      </c>
      <c r="P1636" t="s">
        <v>127</v>
      </c>
      <c r="Q1636" t="s">
        <v>127</v>
      </c>
    </row>
    <row r="1637" spans="1:17" x14ac:dyDescent="0.25">
      <c r="A1637" t="str">
        <f>IF(C1637&amp;G1637&amp;D1637&lt;&gt;'Funnel setup'!$K$3&amp;'Funnel setup'!$K$4&amp;'Funnel setup'!$K$6,".",IF(A1636=".",1,A1636+1))</f>
        <v>.</v>
      </c>
      <c r="B1637" s="244" t="str">
        <f t="shared" si="25"/>
        <v>Hip Replacement RevisionProviderUNIVERSITY HOSPITAL DORSET NHS FUNDATION TRUST (R0D)Oxford Hip Score</v>
      </c>
      <c r="C1637" t="s">
        <v>967</v>
      </c>
      <c r="D1637" t="s">
        <v>965</v>
      </c>
      <c r="E1637" t="s">
        <v>684</v>
      </c>
      <c r="F1637" t="s">
        <v>966</v>
      </c>
      <c r="G1637" t="s">
        <v>964</v>
      </c>
      <c r="H1637">
        <v>12</v>
      </c>
      <c r="I1637">
        <v>22.916699999999999</v>
      </c>
      <c r="J1637">
        <v>36</v>
      </c>
      <c r="K1637">
        <v>13.083299999999999</v>
      </c>
      <c r="L1637">
        <v>8</v>
      </c>
      <c r="M1637">
        <v>3</v>
      </c>
      <c r="N1637">
        <v>1</v>
      </c>
      <c r="O1637" t="s">
        <v>127</v>
      </c>
      <c r="P1637" t="s">
        <v>127</v>
      </c>
      <c r="Q1637" t="s">
        <v>127</v>
      </c>
    </row>
    <row r="1638" spans="1:17" x14ac:dyDescent="0.25">
      <c r="A1638" t="str">
        <f>IF(C1638&amp;G1638&amp;D1638&lt;&gt;'Funnel setup'!$K$3&amp;'Funnel setup'!$K$4&amp;'Funnel setup'!$K$6,".",IF(A1637=".",1,A1637+1))</f>
        <v>.</v>
      </c>
      <c r="B1638" s="244" t="str">
        <f t="shared" si="25"/>
        <v>Hip Replacement RevisionProviderUNIVERSITY HOSPITALS OF DERBY AND BURTON NHS FOUNDATION TRUST (RTG)Oxford Hip Score</v>
      </c>
      <c r="C1638" t="s">
        <v>967</v>
      </c>
      <c r="D1638" t="s">
        <v>965</v>
      </c>
      <c r="E1638" t="s">
        <v>686</v>
      </c>
      <c r="F1638" t="s">
        <v>687</v>
      </c>
      <c r="G1638" t="s">
        <v>964</v>
      </c>
      <c r="H1638">
        <v>21</v>
      </c>
      <c r="I1638">
        <v>21.476199999999999</v>
      </c>
      <c r="J1638">
        <v>35.333300000000001</v>
      </c>
      <c r="K1638">
        <v>13.857100000000001</v>
      </c>
      <c r="L1638">
        <v>17</v>
      </c>
      <c r="M1638">
        <v>1</v>
      </c>
      <c r="N1638">
        <v>3</v>
      </c>
      <c r="O1638" t="s">
        <v>127</v>
      </c>
      <c r="P1638" t="s">
        <v>127</v>
      </c>
      <c r="Q1638" t="s">
        <v>127</v>
      </c>
    </row>
    <row r="1639" spans="1:17" x14ac:dyDescent="0.25">
      <c r="A1639" t="str">
        <f>IF(C1639&amp;G1639&amp;D1639&lt;&gt;'Funnel setup'!$K$3&amp;'Funnel setup'!$K$4&amp;'Funnel setup'!$K$6,".",IF(A1638=".",1,A1638+1))</f>
        <v>.</v>
      </c>
      <c r="B1639" s="244" t="str">
        <f t="shared" si="25"/>
        <v>Hip Replacement RevisionProviderUNIVERSITY HOSPITALS OF LEICESTER NHS TRUST (RWE)Oxford Hip Score</v>
      </c>
      <c r="C1639" t="s">
        <v>967</v>
      </c>
      <c r="D1639" t="s">
        <v>965</v>
      </c>
      <c r="E1639" t="s">
        <v>688</v>
      </c>
      <c r="F1639" t="s">
        <v>689</v>
      </c>
      <c r="G1639" t="s">
        <v>964</v>
      </c>
      <c r="H1639">
        <v>16</v>
      </c>
      <c r="I1639">
        <v>19.875</v>
      </c>
      <c r="J1639">
        <v>34.3125</v>
      </c>
      <c r="K1639">
        <v>14.4375</v>
      </c>
      <c r="L1639">
        <v>13</v>
      </c>
      <c r="M1639">
        <v>1</v>
      </c>
      <c r="N1639">
        <v>2</v>
      </c>
      <c r="O1639" t="s">
        <v>127</v>
      </c>
      <c r="P1639" t="s">
        <v>127</v>
      </c>
      <c r="Q1639" t="s">
        <v>127</v>
      </c>
    </row>
    <row r="1640" spans="1:17" x14ac:dyDescent="0.25">
      <c r="A1640" t="str">
        <f>IF(C1640&amp;G1640&amp;D1640&lt;&gt;'Funnel setup'!$K$3&amp;'Funnel setup'!$K$4&amp;'Funnel setup'!$K$6,".",IF(A1639=".",1,A1639+1))</f>
        <v>.</v>
      </c>
      <c r="B1640" s="244" t="str">
        <f t="shared" si="25"/>
        <v>Hip Replacement RevisionProviderUNIVERSITY HOSPITALS OF MORECAMBE BAY NHS FOUNDATION TRUST (RTX)Oxford Hip Score</v>
      </c>
      <c r="C1640" t="s">
        <v>967</v>
      </c>
      <c r="D1640" t="s">
        <v>965</v>
      </c>
      <c r="E1640" t="s">
        <v>690</v>
      </c>
      <c r="F1640" t="s">
        <v>691</v>
      </c>
      <c r="G1640" t="s">
        <v>964</v>
      </c>
      <c r="H1640">
        <v>8</v>
      </c>
      <c r="I1640">
        <v>19</v>
      </c>
      <c r="J1640">
        <v>35</v>
      </c>
      <c r="K1640">
        <v>16</v>
      </c>
      <c r="L1640">
        <v>7</v>
      </c>
      <c r="M1640">
        <v>0</v>
      </c>
      <c r="N1640">
        <v>1</v>
      </c>
      <c r="O1640" t="s">
        <v>127</v>
      </c>
      <c r="P1640" t="s">
        <v>127</v>
      </c>
      <c r="Q1640" t="s">
        <v>127</v>
      </c>
    </row>
    <row r="1641" spans="1:17" x14ac:dyDescent="0.25">
      <c r="A1641" t="str">
        <f>IF(C1641&amp;G1641&amp;D1641&lt;&gt;'Funnel setup'!$K$3&amp;'Funnel setup'!$K$4&amp;'Funnel setup'!$K$6,".",IF(A1640=".",1,A1640+1))</f>
        <v>.</v>
      </c>
      <c r="B1641" s="244" t="str">
        <f t="shared" si="25"/>
        <v>Hip Replacement RevisionProviderUNIVERSITY HOSPITALS PLYMOUTH NHS TRUST (RK9)Oxford Hip Score</v>
      </c>
      <c r="C1641" t="s">
        <v>967</v>
      </c>
      <c r="D1641" t="s">
        <v>965</v>
      </c>
      <c r="E1641" t="s">
        <v>694</v>
      </c>
      <c r="F1641" t="s">
        <v>695</v>
      </c>
      <c r="G1641" t="s">
        <v>964</v>
      </c>
      <c r="H1641">
        <v>2</v>
      </c>
      <c r="I1641">
        <v>11</v>
      </c>
      <c r="J1641">
        <v>10</v>
      </c>
      <c r="K1641">
        <v>-1</v>
      </c>
      <c r="L1641">
        <v>1</v>
      </c>
      <c r="M1641">
        <v>0</v>
      </c>
      <c r="N1641">
        <v>1</v>
      </c>
      <c r="O1641" t="s">
        <v>127</v>
      </c>
      <c r="P1641" t="s">
        <v>127</v>
      </c>
      <c r="Q1641" t="s">
        <v>127</v>
      </c>
    </row>
    <row r="1642" spans="1:17" x14ac:dyDescent="0.25">
      <c r="A1642" t="str">
        <f>IF(C1642&amp;G1642&amp;D1642&lt;&gt;'Funnel setup'!$K$3&amp;'Funnel setup'!$K$4&amp;'Funnel setup'!$K$6,".",IF(A1641=".",1,A1641+1))</f>
        <v>.</v>
      </c>
      <c r="B1642" s="244" t="str">
        <f t="shared" si="25"/>
        <v>Hip Replacement RevisionProviderUNIVERSITY HOSPITALS SUSSEX NHS FOUNDATION TRUST (RYR)Oxford Hip Score</v>
      </c>
      <c r="C1642" t="s">
        <v>967</v>
      </c>
      <c r="D1642" t="s">
        <v>965</v>
      </c>
      <c r="E1642" t="s">
        <v>696</v>
      </c>
      <c r="F1642" t="s">
        <v>697</v>
      </c>
      <c r="G1642" t="s">
        <v>964</v>
      </c>
      <c r="H1642">
        <v>14</v>
      </c>
      <c r="I1642">
        <v>18.928599999999999</v>
      </c>
      <c r="J1642">
        <v>29.928599999999999</v>
      </c>
      <c r="K1642">
        <v>11</v>
      </c>
      <c r="L1642">
        <v>11</v>
      </c>
      <c r="M1642">
        <v>2</v>
      </c>
      <c r="N1642">
        <v>1</v>
      </c>
      <c r="O1642" t="s">
        <v>127</v>
      </c>
      <c r="P1642" t="s">
        <v>127</v>
      </c>
      <c r="Q1642" t="s">
        <v>127</v>
      </c>
    </row>
    <row r="1643" spans="1:17" x14ac:dyDescent="0.25">
      <c r="A1643" t="str">
        <f>IF(C1643&amp;G1643&amp;D1643&lt;&gt;'Funnel setup'!$K$3&amp;'Funnel setup'!$K$4&amp;'Funnel setup'!$K$6,".",IF(A1642=".",1,A1642+1))</f>
        <v>.</v>
      </c>
      <c r="B1643" s="244" t="str">
        <f t="shared" si="25"/>
        <v>Hip Replacement RevisionProviderWARRINGTON AND HALTON TEACHING HOSPITALS NHS FOUNDATION TRUST (RWW)Oxford Hip Score</v>
      </c>
      <c r="C1643" t="s">
        <v>967</v>
      </c>
      <c r="D1643" t="s">
        <v>965</v>
      </c>
      <c r="E1643" t="s">
        <v>700</v>
      </c>
      <c r="F1643" t="s">
        <v>701</v>
      </c>
      <c r="G1643" t="s">
        <v>964</v>
      </c>
      <c r="H1643">
        <v>1</v>
      </c>
      <c r="I1643">
        <v>15</v>
      </c>
      <c r="J1643">
        <v>20</v>
      </c>
      <c r="K1643">
        <v>5</v>
      </c>
      <c r="L1643">
        <v>1</v>
      </c>
      <c r="M1643">
        <v>0</v>
      </c>
      <c r="N1643">
        <v>0</v>
      </c>
      <c r="O1643" t="s">
        <v>127</v>
      </c>
      <c r="P1643" t="s">
        <v>127</v>
      </c>
      <c r="Q1643" t="s">
        <v>127</v>
      </c>
    </row>
    <row r="1644" spans="1:17" x14ac:dyDescent="0.25">
      <c r="A1644" t="str">
        <f>IF(C1644&amp;G1644&amp;D1644&lt;&gt;'Funnel setup'!$K$3&amp;'Funnel setup'!$K$4&amp;'Funnel setup'!$K$6,".",IF(A1643=".",1,A1643+1))</f>
        <v>.</v>
      </c>
      <c r="B1644" s="244" t="str">
        <f t="shared" si="25"/>
        <v>Hip Replacement RevisionProviderWEST HERTFORDSHIRE TEACHING HOSPITALS NHS TRUST (RWG)Oxford Hip Score</v>
      </c>
      <c r="C1644" t="s">
        <v>967</v>
      </c>
      <c r="D1644" t="s">
        <v>965</v>
      </c>
      <c r="E1644" t="s">
        <v>702</v>
      </c>
      <c r="F1644" t="s">
        <v>703</v>
      </c>
      <c r="G1644" t="s">
        <v>964</v>
      </c>
      <c r="H1644">
        <v>8</v>
      </c>
      <c r="I1644">
        <v>13.5</v>
      </c>
      <c r="J1644">
        <v>32.75</v>
      </c>
      <c r="K1644">
        <v>19.25</v>
      </c>
      <c r="L1644">
        <v>8</v>
      </c>
      <c r="M1644">
        <v>0</v>
      </c>
      <c r="N1644">
        <v>0</v>
      </c>
      <c r="O1644" t="s">
        <v>127</v>
      </c>
      <c r="P1644" t="s">
        <v>127</v>
      </c>
      <c r="Q1644" t="s">
        <v>127</v>
      </c>
    </row>
    <row r="1645" spans="1:17" x14ac:dyDescent="0.25">
      <c r="A1645" t="str">
        <f>IF(C1645&amp;G1645&amp;D1645&lt;&gt;'Funnel setup'!$K$3&amp;'Funnel setup'!$K$4&amp;'Funnel setup'!$K$6,".",IF(A1644=".",1,A1644+1))</f>
        <v>.</v>
      </c>
      <c r="B1645" s="244" t="str">
        <f t="shared" si="25"/>
        <v>Hip Replacement RevisionProviderWEST SUFFOLK NHS FOUNDATION TRUST (RGR)Oxford Hip Score</v>
      </c>
      <c r="C1645" t="s">
        <v>967</v>
      </c>
      <c r="D1645" t="s">
        <v>965</v>
      </c>
      <c r="E1645" t="s">
        <v>706</v>
      </c>
      <c r="F1645" t="s">
        <v>707</v>
      </c>
      <c r="G1645" t="s">
        <v>964</v>
      </c>
      <c r="H1645">
        <v>5</v>
      </c>
      <c r="I1645">
        <v>13.2</v>
      </c>
      <c r="J1645">
        <v>35.4</v>
      </c>
      <c r="K1645">
        <v>22.2</v>
      </c>
      <c r="L1645">
        <v>5</v>
      </c>
      <c r="M1645">
        <v>0</v>
      </c>
      <c r="N1645">
        <v>0</v>
      </c>
      <c r="O1645" t="s">
        <v>127</v>
      </c>
      <c r="P1645" t="s">
        <v>127</v>
      </c>
      <c r="Q1645" t="s">
        <v>127</v>
      </c>
    </row>
    <row r="1646" spans="1:17" x14ac:dyDescent="0.25">
      <c r="A1646" t="str">
        <f>IF(C1646&amp;G1646&amp;D1646&lt;&gt;'Funnel setup'!$K$3&amp;'Funnel setup'!$K$4&amp;'Funnel setup'!$K$6,".",IF(A1645=".",1,A1645+1))</f>
        <v>.</v>
      </c>
      <c r="B1646" s="244" t="str">
        <f t="shared" si="25"/>
        <v>Hip Replacement RevisionProviderWIRRAL UNIVERSITY TEACHING HOSPITAL NHS FOUNDATION TRUST (RBL)Oxford Hip Score</v>
      </c>
      <c r="C1646" t="s">
        <v>967</v>
      </c>
      <c r="D1646" t="s">
        <v>965</v>
      </c>
      <c r="E1646" t="s">
        <v>714</v>
      </c>
      <c r="F1646" t="s">
        <v>715</v>
      </c>
      <c r="G1646" t="s">
        <v>964</v>
      </c>
      <c r="H1646">
        <v>1</v>
      </c>
      <c r="I1646">
        <v>13</v>
      </c>
      <c r="J1646">
        <v>43</v>
      </c>
      <c r="K1646">
        <v>30</v>
      </c>
      <c r="L1646">
        <v>1</v>
      </c>
      <c r="M1646">
        <v>0</v>
      </c>
      <c r="N1646">
        <v>0</v>
      </c>
      <c r="O1646" t="s">
        <v>127</v>
      </c>
      <c r="P1646" t="s">
        <v>127</v>
      </c>
      <c r="Q1646" t="s">
        <v>127</v>
      </c>
    </row>
    <row r="1647" spans="1:17" x14ac:dyDescent="0.25">
      <c r="A1647" t="str">
        <f>IF(C1647&amp;G1647&amp;D1647&lt;&gt;'Funnel setup'!$K$3&amp;'Funnel setup'!$K$4&amp;'Funnel setup'!$K$6,".",IF(A1646=".",1,A1646+1))</f>
        <v>.</v>
      </c>
      <c r="B1647" s="244" t="str">
        <f t="shared" si="25"/>
        <v>Hip Replacement RevisionProviderWOODLAND HOSPITAL (NVC23)Oxford Hip Score</v>
      </c>
      <c r="C1647" t="s">
        <v>967</v>
      </c>
      <c r="D1647" t="s">
        <v>965</v>
      </c>
      <c r="E1647" t="s">
        <v>716</v>
      </c>
      <c r="F1647" t="s">
        <v>717</v>
      </c>
      <c r="G1647" t="s">
        <v>964</v>
      </c>
      <c r="H1647" t="s">
        <v>127</v>
      </c>
      <c r="I1647" t="s">
        <v>127</v>
      </c>
      <c r="J1647" t="s">
        <v>127</v>
      </c>
      <c r="K1647" t="s">
        <v>127</v>
      </c>
      <c r="L1647" t="s">
        <v>127</v>
      </c>
      <c r="M1647" t="s">
        <v>127</v>
      </c>
      <c r="N1647" t="s">
        <v>127</v>
      </c>
      <c r="O1647" t="s">
        <v>127</v>
      </c>
      <c r="P1647" t="s">
        <v>127</v>
      </c>
      <c r="Q1647" t="s">
        <v>127</v>
      </c>
    </row>
    <row r="1648" spans="1:17" x14ac:dyDescent="0.25">
      <c r="A1648" t="str">
        <f>IF(C1648&amp;G1648&amp;D1648&lt;&gt;'Funnel setup'!$K$3&amp;'Funnel setup'!$K$4&amp;'Funnel setup'!$K$6,".",IF(A1647=".",1,A1647+1))</f>
        <v>.</v>
      </c>
      <c r="B1648" s="244" t="str">
        <f t="shared" si="25"/>
        <v>Hip Replacement RevisionProviderWOODLANDS HOSPITAL (NT457)Oxford Hip Score</v>
      </c>
      <c r="C1648" t="s">
        <v>967</v>
      </c>
      <c r="D1648" t="s">
        <v>965</v>
      </c>
      <c r="E1648" t="s">
        <v>718</v>
      </c>
      <c r="F1648" t="s">
        <v>719</v>
      </c>
      <c r="G1648" t="s">
        <v>964</v>
      </c>
      <c r="H1648" t="s">
        <v>127</v>
      </c>
      <c r="I1648" t="s">
        <v>127</v>
      </c>
      <c r="J1648" t="s">
        <v>127</v>
      </c>
      <c r="K1648" t="s">
        <v>127</v>
      </c>
      <c r="L1648" t="s">
        <v>127</v>
      </c>
      <c r="M1648" t="s">
        <v>127</v>
      </c>
      <c r="N1648" t="s">
        <v>127</v>
      </c>
      <c r="O1648" t="s">
        <v>127</v>
      </c>
      <c r="P1648" t="s">
        <v>127</v>
      </c>
      <c r="Q1648" t="s">
        <v>127</v>
      </c>
    </row>
    <row r="1649" spans="1:17" x14ac:dyDescent="0.25">
      <c r="A1649" t="str">
        <f>IF(C1649&amp;G1649&amp;D1649&lt;&gt;'Funnel setup'!$K$3&amp;'Funnel setup'!$K$4&amp;'Funnel setup'!$K$6,".",IF(A1648=".",1,A1648+1))</f>
        <v>.</v>
      </c>
      <c r="B1649" s="244" t="str">
        <f t="shared" si="25"/>
        <v>Hip Replacement RevisionProviderWORCESTERSHIRE ACUTE HOSPITALS NHS TRUST (RWP)Oxford Hip Score</v>
      </c>
      <c r="C1649" t="s">
        <v>967</v>
      </c>
      <c r="D1649" t="s">
        <v>965</v>
      </c>
      <c r="E1649" t="s">
        <v>722</v>
      </c>
      <c r="F1649" t="s">
        <v>723</v>
      </c>
      <c r="G1649" t="s">
        <v>964</v>
      </c>
      <c r="H1649">
        <v>6</v>
      </c>
      <c r="I1649">
        <v>14.333299999999999</v>
      </c>
      <c r="J1649">
        <v>33.333300000000001</v>
      </c>
      <c r="K1649">
        <v>19</v>
      </c>
      <c r="L1649">
        <v>6</v>
      </c>
      <c r="M1649">
        <v>0</v>
      </c>
      <c r="N1649">
        <v>0</v>
      </c>
      <c r="O1649" t="s">
        <v>127</v>
      </c>
      <c r="P1649" t="s">
        <v>127</v>
      </c>
      <c r="Q1649" t="s">
        <v>127</v>
      </c>
    </row>
    <row r="1650" spans="1:17" x14ac:dyDescent="0.25">
      <c r="A1650" t="str">
        <f>IF(C1650&amp;G1650&amp;D1650&lt;&gt;'Funnel setup'!$K$3&amp;'Funnel setup'!$K$4&amp;'Funnel setup'!$K$6,".",IF(A1649=".",1,A1649+1))</f>
        <v>.</v>
      </c>
      <c r="B1650" s="244" t="str">
        <f t="shared" si="25"/>
        <v>Hip Replacement RevisionProviderWRIGHTINGTON, WIGAN AND LEIGH NHS FOUNDATION TRUST (RRF)Oxford Hip Score</v>
      </c>
      <c r="C1650" t="s">
        <v>967</v>
      </c>
      <c r="D1650" t="s">
        <v>965</v>
      </c>
      <c r="E1650" t="s">
        <v>724</v>
      </c>
      <c r="F1650" t="s">
        <v>725</v>
      </c>
      <c r="G1650" t="s">
        <v>964</v>
      </c>
      <c r="H1650">
        <v>2</v>
      </c>
      <c r="I1650">
        <v>21</v>
      </c>
      <c r="J1650">
        <v>41.5</v>
      </c>
      <c r="K1650">
        <v>20.5</v>
      </c>
      <c r="L1650">
        <v>2</v>
      </c>
      <c r="M1650">
        <v>0</v>
      </c>
      <c r="N1650">
        <v>0</v>
      </c>
      <c r="O1650" t="s">
        <v>127</v>
      </c>
      <c r="P1650" t="s">
        <v>127</v>
      </c>
      <c r="Q1650" t="s">
        <v>127</v>
      </c>
    </row>
    <row r="1651" spans="1:17" x14ac:dyDescent="0.25">
      <c r="A1651" t="str">
        <f>IF(C1651&amp;G1651&amp;D1651&lt;&gt;'Funnel setup'!$K$3&amp;'Funnel setup'!$K$4&amp;'Funnel setup'!$K$6,".",IF(A1650=".",1,A1650+1))</f>
        <v>.</v>
      </c>
      <c r="B1651" s="244" t="str">
        <f t="shared" si="25"/>
        <v>Hip Replacement RevisionProviderWYE VALLEY NHS TRUST (RLQ)Oxford Hip Score</v>
      </c>
      <c r="C1651" t="s">
        <v>967</v>
      </c>
      <c r="D1651" t="s">
        <v>965</v>
      </c>
      <c r="E1651" t="s">
        <v>726</v>
      </c>
      <c r="F1651" t="s">
        <v>727</v>
      </c>
      <c r="G1651" t="s">
        <v>964</v>
      </c>
      <c r="H1651">
        <v>1</v>
      </c>
      <c r="I1651">
        <v>20</v>
      </c>
      <c r="J1651">
        <v>36</v>
      </c>
      <c r="K1651">
        <v>16</v>
      </c>
      <c r="L1651">
        <v>1</v>
      </c>
      <c r="M1651">
        <v>0</v>
      </c>
      <c r="N1651">
        <v>0</v>
      </c>
      <c r="O1651" t="s">
        <v>127</v>
      </c>
      <c r="P1651" t="s">
        <v>127</v>
      </c>
      <c r="Q1651" t="s">
        <v>127</v>
      </c>
    </row>
    <row r="1652" spans="1:17" x14ac:dyDescent="0.25">
      <c r="A1652" t="str">
        <f>IF(C1652&amp;G1652&amp;D1652&lt;&gt;'Funnel setup'!$K$3&amp;'Funnel setup'!$K$4&amp;'Funnel setup'!$K$6,".",IF(A1651=".",1,A1651+1))</f>
        <v>.</v>
      </c>
      <c r="B1652" s="244" t="str">
        <f t="shared" si="25"/>
        <v>Knee Replacement PrimarySub-ICB of GP PracticeNATIONAL COMMISSIONING HUB 1 (13Q)EQ VAS</v>
      </c>
      <c r="C1652" t="s">
        <v>969</v>
      </c>
      <c r="D1652" t="s">
        <v>1021</v>
      </c>
      <c r="E1652" t="s">
        <v>970</v>
      </c>
      <c r="F1652" t="s">
        <v>971</v>
      </c>
      <c r="G1652" t="s">
        <v>752</v>
      </c>
      <c r="H1652" t="s">
        <v>968</v>
      </c>
      <c r="I1652" t="s">
        <v>968</v>
      </c>
      <c r="J1652" t="s">
        <v>968</v>
      </c>
      <c r="K1652" t="s">
        <v>968</v>
      </c>
      <c r="L1652" t="s">
        <v>968</v>
      </c>
      <c r="M1652" t="s">
        <v>968</v>
      </c>
      <c r="N1652" t="s">
        <v>968</v>
      </c>
      <c r="O1652" t="s">
        <v>968</v>
      </c>
      <c r="P1652" t="s">
        <v>968</v>
      </c>
      <c r="Q1652" t="s">
        <v>968</v>
      </c>
    </row>
    <row r="1653" spans="1:17" x14ac:dyDescent="0.25">
      <c r="A1653" t="str">
        <f>IF(C1653&amp;G1653&amp;D1653&lt;&gt;'Funnel setup'!$K$3&amp;'Funnel setup'!$K$4&amp;'Funnel setup'!$K$6,".",IF(A1652=".",1,A1652+1))</f>
        <v>.</v>
      </c>
      <c r="B1653" s="244" t="str">
        <f t="shared" si="25"/>
        <v>Knee Replacement PrimarySub-ICB of GP PracticeNHS BATH AND NORTH EAST SOMERSET, SWINDON AND WILTSHIRE ICB - 92G (92G)EQ VAS</v>
      </c>
      <c r="C1653" t="s">
        <v>969</v>
      </c>
      <c r="D1653" t="s">
        <v>1021</v>
      </c>
      <c r="E1653" t="s">
        <v>750</v>
      </c>
      <c r="F1653" t="s">
        <v>751</v>
      </c>
      <c r="G1653" t="s">
        <v>752</v>
      </c>
      <c r="H1653">
        <v>251</v>
      </c>
      <c r="I1653">
        <v>68.107600000000005</v>
      </c>
      <c r="J1653">
        <v>76.199200000000005</v>
      </c>
      <c r="K1653">
        <v>8.0916300000000003</v>
      </c>
      <c r="L1653">
        <v>156</v>
      </c>
      <c r="M1653">
        <v>33</v>
      </c>
      <c r="N1653">
        <v>62</v>
      </c>
      <c r="O1653">
        <v>73.901700000000005</v>
      </c>
      <c r="P1653">
        <v>8.3732799999999994</v>
      </c>
      <c r="Q1653">
        <v>16.559799999999999</v>
      </c>
    </row>
    <row r="1654" spans="1:17" x14ac:dyDescent="0.25">
      <c r="A1654" t="str">
        <f>IF(C1654&amp;G1654&amp;D1654&lt;&gt;'Funnel setup'!$K$3&amp;'Funnel setup'!$K$4&amp;'Funnel setup'!$K$6,".",IF(A1653=".",1,A1653+1))</f>
        <v>.</v>
      </c>
      <c r="B1654" s="244" t="str">
        <f t="shared" si="25"/>
        <v>Knee Replacement PrimarySub-ICB of GP PracticeNHS BEDFORDSHIRE, LUTON AND MILTON KEYNES ICB - M1J4Y (M1J4Y)EQ VAS</v>
      </c>
      <c r="C1654" t="s">
        <v>969</v>
      </c>
      <c r="D1654" t="s">
        <v>1021</v>
      </c>
      <c r="E1654" t="s">
        <v>753</v>
      </c>
      <c r="F1654" t="s">
        <v>754</v>
      </c>
      <c r="G1654" t="s">
        <v>752</v>
      </c>
      <c r="H1654">
        <v>213</v>
      </c>
      <c r="I1654">
        <v>62.915500000000002</v>
      </c>
      <c r="J1654">
        <v>69.2864</v>
      </c>
      <c r="K1654">
        <v>6.3708900000000002</v>
      </c>
      <c r="L1654">
        <v>123</v>
      </c>
      <c r="M1654">
        <v>23</v>
      </c>
      <c r="N1654">
        <v>67</v>
      </c>
      <c r="O1654">
        <v>70.679900000000004</v>
      </c>
      <c r="P1654">
        <v>5.1514899999999999</v>
      </c>
      <c r="Q1654">
        <v>18.849499999999999</v>
      </c>
    </row>
    <row r="1655" spans="1:17" x14ac:dyDescent="0.25">
      <c r="A1655" t="str">
        <f>IF(C1655&amp;G1655&amp;D1655&lt;&gt;'Funnel setup'!$K$3&amp;'Funnel setup'!$K$4&amp;'Funnel setup'!$K$6,".",IF(A1654=".",1,A1654+1))</f>
        <v>.</v>
      </c>
      <c r="B1655" s="244" t="str">
        <f t="shared" si="25"/>
        <v>Knee Replacement PrimarySub-ICB of GP PracticeNHS BIRMINGHAM AND SOLIHULL ICB - 15E (15E)EQ VAS</v>
      </c>
      <c r="C1655" t="s">
        <v>969</v>
      </c>
      <c r="D1655" t="s">
        <v>1021</v>
      </c>
      <c r="E1655" t="s">
        <v>755</v>
      </c>
      <c r="F1655" t="s">
        <v>756</v>
      </c>
      <c r="G1655" t="s">
        <v>752</v>
      </c>
      <c r="H1655">
        <v>304</v>
      </c>
      <c r="I1655">
        <v>64.625</v>
      </c>
      <c r="J1655">
        <v>71.578900000000004</v>
      </c>
      <c r="K1655">
        <v>6.9539499999999999</v>
      </c>
      <c r="L1655">
        <v>175</v>
      </c>
      <c r="M1655">
        <v>28</v>
      </c>
      <c r="N1655">
        <v>101</v>
      </c>
      <c r="O1655">
        <v>72.742699999999999</v>
      </c>
      <c r="P1655">
        <v>7.21427</v>
      </c>
      <c r="Q1655">
        <v>17.282900000000001</v>
      </c>
    </row>
    <row r="1656" spans="1:17" x14ac:dyDescent="0.25">
      <c r="A1656" t="str">
        <f>IF(C1656&amp;G1656&amp;D1656&lt;&gt;'Funnel setup'!$K$3&amp;'Funnel setup'!$K$4&amp;'Funnel setup'!$K$6,".",IF(A1655=".",1,A1655+1))</f>
        <v>.</v>
      </c>
      <c r="B1656" s="244" t="str">
        <f t="shared" si="25"/>
        <v>Knee Replacement PrimarySub-ICB of GP PracticeNHS BLACK COUNTRY ICB - D2P2L (D2P2L)EQ VAS</v>
      </c>
      <c r="C1656" t="s">
        <v>969</v>
      </c>
      <c r="D1656" t="s">
        <v>1021</v>
      </c>
      <c r="E1656" t="s">
        <v>757</v>
      </c>
      <c r="F1656" t="s">
        <v>758</v>
      </c>
      <c r="G1656" t="s">
        <v>752</v>
      </c>
      <c r="H1656">
        <v>183</v>
      </c>
      <c r="I1656">
        <v>63.573799999999999</v>
      </c>
      <c r="J1656">
        <v>72.754099999999994</v>
      </c>
      <c r="K1656">
        <v>9.1803299999999997</v>
      </c>
      <c r="L1656">
        <v>112</v>
      </c>
      <c r="M1656">
        <v>18</v>
      </c>
      <c r="N1656">
        <v>53</v>
      </c>
      <c r="O1656">
        <v>75.514300000000006</v>
      </c>
      <c r="P1656">
        <v>9.9859500000000008</v>
      </c>
      <c r="Q1656">
        <v>17.271599999999999</v>
      </c>
    </row>
    <row r="1657" spans="1:17" x14ac:dyDescent="0.25">
      <c r="A1657" t="str">
        <f>IF(C1657&amp;G1657&amp;D1657&lt;&gt;'Funnel setup'!$K$3&amp;'Funnel setup'!$K$4&amp;'Funnel setup'!$K$6,".",IF(A1656=".",1,A1656+1))</f>
        <v>.</v>
      </c>
      <c r="B1657" s="244" t="str">
        <f t="shared" si="25"/>
        <v>Knee Replacement PrimarySub-ICB of GP PracticeNHS BRISTOL, NORTH SOMERSET AND SOUTH GLOUCESTERSHIRE ICB - 15C (15C)EQ VAS</v>
      </c>
      <c r="C1657" t="s">
        <v>969</v>
      </c>
      <c r="D1657" t="s">
        <v>1021</v>
      </c>
      <c r="E1657" t="s">
        <v>759</v>
      </c>
      <c r="F1657" t="s">
        <v>760</v>
      </c>
      <c r="G1657" t="s">
        <v>752</v>
      </c>
      <c r="H1657">
        <v>208</v>
      </c>
      <c r="I1657">
        <v>65.197100000000006</v>
      </c>
      <c r="J1657">
        <v>74.956699999999998</v>
      </c>
      <c r="K1657">
        <v>9.75962</v>
      </c>
      <c r="L1657">
        <v>130</v>
      </c>
      <c r="M1657">
        <v>22</v>
      </c>
      <c r="N1657">
        <v>56</v>
      </c>
      <c r="O1657">
        <v>75.075500000000005</v>
      </c>
      <c r="P1657">
        <v>9.5471299999999992</v>
      </c>
      <c r="Q1657">
        <v>16.139399999999998</v>
      </c>
    </row>
    <row r="1658" spans="1:17" x14ac:dyDescent="0.25">
      <c r="A1658" t="str">
        <f>IF(C1658&amp;G1658&amp;D1658&lt;&gt;'Funnel setup'!$K$3&amp;'Funnel setup'!$K$4&amp;'Funnel setup'!$K$6,".",IF(A1657=".",1,A1657+1))</f>
        <v>.</v>
      </c>
      <c r="B1658" s="244" t="str">
        <f t="shared" si="25"/>
        <v>Knee Replacement PrimarySub-ICB of GP PracticeNHS BUCKINGHAMSHIRE, OXFORDSHIRE AND BERKSHIRE WEST ICB - 10Q (10Q)EQ VAS</v>
      </c>
      <c r="C1658" t="s">
        <v>969</v>
      </c>
      <c r="D1658" t="s">
        <v>1021</v>
      </c>
      <c r="E1658" t="s">
        <v>761</v>
      </c>
      <c r="F1658" t="s">
        <v>762</v>
      </c>
      <c r="G1658" t="s">
        <v>752</v>
      </c>
      <c r="H1658">
        <v>271</v>
      </c>
      <c r="I1658">
        <v>66.103300000000004</v>
      </c>
      <c r="J1658">
        <v>76.343199999999996</v>
      </c>
      <c r="K1658">
        <v>10.2399</v>
      </c>
      <c r="L1658">
        <v>167</v>
      </c>
      <c r="M1658">
        <v>38</v>
      </c>
      <c r="N1658">
        <v>66</v>
      </c>
      <c r="O1658">
        <v>75.093100000000007</v>
      </c>
      <c r="P1658">
        <v>9.5647500000000001</v>
      </c>
      <c r="Q1658">
        <v>15.370799999999999</v>
      </c>
    </row>
    <row r="1659" spans="1:17" x14ac:dyDescent="0.25">
      <c r="A1659" t="str">
        <f>IF(C1659&amp;G1659&amp;D1659&lt;&gt;'Funnel setup'!$K$3&amp;'Funnel setup'!$K$4&amp;'Funnel setup'!$K$6,".",IF(A1658=".",1,A1658+1))</f>
        <v>.</v>
      </c>
      <c r="B1659" s="244" t="str">
        <f t="shared" si="25"/>
        <v>Knee Replacement PrimarySub-ICB of GP PracticeNHS BUCKINGHAMSHIRE, OXFORDSHIRE AND BERKSHIRE WEST ICB - 14Y (14Y)EQ VAS</v>
      </c>
      <c r="C1659" t="s">
        <v>969</v>
      </c>
      <c r="D1659" t="s">
        <v>1021</v>
      </c>
      <c r="E1659" t="s">
        <v>763</v>
      </c>
      <c r="F1659" t="s">
        <v>764</v>
      </c>
      <c r="G1659" t="s">
        <v>752</v>
      </c>
      <c r="H1659">
        <v>195</v>
      </c>
      <c r="I1659">
        <v>68.748699999999999</v>
      </c>
      <c r="J1659">
        <v>77.348699999999994</v>
      </c>
      <c r="K1659">
        <v>8.6</v>
      </c>
      <c r="L1659">
        <v>120</v>
      </c>
      <c r="M1659">
        <v>23</v>
      </c>
      <c r="N1659">
        <v>52</v>
      </c>
      <c r="O1659">
        <v>74.775400000000005</v>
      </c>
      <c r="P1659">
        <v>9.2469699999999992</v>
      </c>
      <c r="Q1659">
        <v>16.7379</v>
      </c>
    </row>
    <row r="1660" spans="1:17" x14ac:dyDescent="0.25">
      <c r="A1660" t="str">
        <f>IF(C1660&amp;G1660&amp;D1660&lt;&gt;'Funnel setup'!$K$3&amp;'Funnel setup'!$K$4&amp;'Funnel setup'!$K$6,".",IF(A1659=".",1,A1659+1))</f>
        <v>.</v>
      </c>
      <c r="B1660" s="244" t="str">
        <f t="shared" si="25"/>
        <v>Knee Replacement PrimarySub-ICB of GP PracticeNHS BUCKINGHAMSHIRE, OXFORDSHIRE AND BERKSHIRE WEST ICB - 15A (15A)EQ VAS</v>
      </c>
      <c r="C1660" t="s">
        <v>969</v>
      </c>
      <c r="D1660" t="s">
        <v>1021</v>
      </c>
      <c r="E1660" t="s">
        <v>765</v>
      </c>
      <c r="F1660" t="s">
        <v>766</v>
      </c>
      <c r="G1660" t="s">
        <v>752</v>
      </c>
      <c r="H1660">
        <v>63</v>
      </c>
      <c r="I1660">
        <v>53.158700000000003</v>
      </c>
      <c r="J1660">
        <v>78.285700000000006</v>
      </c>
      <c r="K1660">
        <v>25.126999999999999</v>
      </c>
      <c r="L1660">
        <v>53</v>
      </c>
      <c r="M1660">
        <v>3</v>
      </c>
      <c r="N1660">
        <v>7</v>
      </c>
      <c r="O1660">
        <v>78.9178</v>
      </c>
      <c r="P1660">
        <v>13.3894</v>
      </c>
      <c r="Q1660">
        <v>14.6692</v>
      </c>
    </row>
    <row r="1661" spans="1:17" x14ac:dyDescent="0.25">
      <c r="A1661" t="str">
        <f>IF(C1661&amp;G1661&amp;D1661&lt;&gt;'Funnel setup'!$K$3&amp;'Funnel setup'!$K$4&amp;'Funnel setup'!$K$6,".",IF(A1660=".",1,A1660+1))</f>
        <v>.</v>
      </c>
      <c r="B1661" s="244" t="str">
        <f t="shared" si="25"/>
        <v>Knee Replacement PrimarySub-ICB of GP PracticeNHS CAMBRIDGESHIRE AND PETERBOROUGH ICB - 06H (06H)EQ VAS</v>
      </c>
      <c r="C1661" t="s">
        <v>969</v>
      </c>
      <c r="D1661" t="s">
        <v>1021</v>
      </c>
      <c r="E1661" t="s">
        <v>767</v>
      </c>
      <c r="F1661" t="s">
        <v>768</v>
      </c>
      <c r="G1661" t="s">
        <v>752</v>
      </c>
      <c r="H1661">
        <v>192</v>
      </c>
      <c r="I1661">
        <v>65.843800000000002</v>
      </c>
      <c r="J1661">
        <v>72.192700000000002</v>
      </c>
      <c r="K1661">
        <v>6.3489599999999999</v>
      </c>
      <c r="L1661">
        <v>110</v>
      </c>
      <c r="M1661">
        <v>17</v>
      </c>
      <c r="N1661">
        <v>65</v>
      </c>
      <c r="O1661">
        <v>72.353200000000001</v>
      </c>
      <c r="P1661">
        <v>6.82484</v>
      </c>
      <c r="Q1661">
        <v>16.7622</v>
      </c>
    </row>
    <row r="1662" spans="1:17" x14ac:dyDescent="0.25">
      <c r="A1662" t="str">
        <f>IF(C1662&amp;G1662&amp;D1662&lt;&gt;'Funnel setup'!$K$3&amp;'Funnel setup'!$K$4&amp;'Funnel setup'!$K$6,".",IF(A1661=".",1,A1661+1))</f>
        <v>.</v>
      </c>
      <c r="B1662" s="244" t="str">
        <f t="shared" si="25"/>
        <v>Knee Replacement PrimarySub-ICB of GP PracticeNHS CHESHIRE AND MERSEYSIDE ICB - 01F (01F)EQ VAS</v>
      </c>
      <c r="C1662" t="s">
        <v>969</v>
      </c>
      <c r="D1662" t="s">
        <v>1021</v>
      </c>
      <c r="E1662" t="s">
        <v>769</v>
      </c>
      <c r="F1662" t="s">
        <v>770</v>
      </c>
      <c r="G1662" t="s">
        <v>752</v>
      </c>
      <c r="H1662">
        <v>25</v>
      </c>
      <c r="I1662">
        <v>66.680000000000007</v>
      </c>
      <c r="J1662">
        <v>70.92</v>
      </c>
      <c r="K1662">
        <v>4.24</v>
      </c>
      <c r="L1662">
        <v>12</v>
      </c>
      <c r="M1662">
        <v>4</v>
      </c>
      <c r="N1662">
        <v>9</v>
      </c>
      <c r="O1662" t="s">
        <v>127</v>
      </c>
      <c r="P1662" t="s">
        <v>127</v>
      </c>
      <c r="Q1662" t="s">
        <v>127</v>
      </c>
    </row>
    <row r="1663" spans="1:17" x14ac:dyDescent="0.25">
      <c r="A1663" t="str">
        <f>IF(C1663&amp;G1663&amp;D1663&lt;&gt;'Funnel setup'!$K$3&amp;'Funnel setup'!$K$4&amp;'Funnel setup'!$K$6,".",IF(A1662=".",1,A1662+1))</f>
        <v>.</v>
      </c>
      <c r="B1663" s="244" t="str">
        <f t="shared" si="25"/>
        <v>Knee Replacement PrimarySub-ICB of GP PracticeNHS CHESHIRE AND MERSEYSIDE ICB - 01J (01J)EQ VAS</v>
      </c>
      <c r="C1663" t="s">
        <v>969</v>
      </c>
      <c r="D1663" t="s">
        <v>1021</v>
      </c>
      <c r="E1663" t="s">
        <v>771</v>
      </c>
      <c r="F1663" t="s">
        <v>772</v>
      </c>
      <c r="G1663" t="s">
        <v>752</v>
      </c>
      <c r="H1663">
        <v>27</v>
      </c>
      <c r="I1663">
        <v>68.592600000000004</v>
      </c>
      <c r="J1663">
        <v>64.481499999999997</v>
      </c>
      <c r="K1663">
        <v>-4.11111</v>
      </c>
      <c r="L1663">
        <v>11</v>
      </c>
      <c r="M1663">
        <v>4</v>
      </c>
      <c r="N1663">
        <v>12</v>
      </c>
      <c r="O1663" t="s">
        <v>127</v>
      </c>
      <c r="P1663" t="s">
        <v>127</v>
      </c>
      <c r="Q1663" t="s">
        <v>127</v>
      </c>
    </row>
    <row r="1664" spans="1:17" x14ac:dyDescent="0.25">
      <c r="A1664" t="str">
        <f>IF(C1664&amp;G1664&amp;D1664&lt;&gt;'Funnel setup'!$K$3&amp;'Funnel setup'!$K$4&amp;'Funnel setup'!$K$6,".",IF(A1663=".",1,A1663+1))</f>
        <v>.</v>
      </c>
      <c r="B1664" s="244" t="str">
        <f t="shared" si="25"/>
        <v>Knee Replacement PrimarySub-ICB of GP PracticeNHS CHESHIRE AND MERSEYSIDE ICB - 01T (01T)EQ VAS</v>
      </c>
      <c r="C1664" t="s">
        <v>969</v>
      </c>
      <c r="D1664" t="s">
        <v>1021</v>
      </c>
      <c r="E1664" t="s">
        <v>773</v>
      </c>
      <c r="F1664" t="s">
        <v>774</v>
      </c>
      <c r="G1664" t="s">
        <v>752</v>
      </c>
      <c r="H1664">
        <v>46</v>
      </c>
      <c r="I1664">
        <v>70.434799999999996</v>
      </c>
      <c r="J1664">
        <v>77.739099999999993</v>
      </c>
      <c r="K1664">
        <v>7.3043500000000003</v>
      </c>
      <c r="L1664">
        <v>27</v>
      </c>
      <c r="M1664">
        <v>6</v>
      </c>
      <c r="N1664">
        <v>13</v>
      </c>
      <c r="O1664">
        <v>76.554199999999994</v>
      </c>
      <c r="P1664">
        <v>11.0258</v>
      </c>
      <c r="Q1664">
        <v>14.148999999999999</v>
      </c>
    </row>
    <row r="1665" spans="1:17" x14ac:dyDescent="0.25">
      <c r="A1665" t="str">
        <f>IF(C1665&amp;G1665&amp;D1665&lt;&gt;'Funnel setup'!$K$3&amp;'Funnel setup'!$K$4&amp;'Funnel setup'!$K$6,".",IF(A1664=".",1,A1664+1))</f>
        <v>.</v>
      </c>
      <c r="B1665" s="244" t="str">
        <f t="shared" si="25"/>
        <v>Knee Replacement PrimarySub-ICB of GP PracticeNHS CHESHIRE AND MERSEYSIDE ICB - 01V (01V)EQ VAS</v>
      </c>
      <c r="C1665" t="s">
        <v>969</v>
      </c>
      <c r="D1665" t="s">
        <v>1021</v>
      </c>
      <c r="E1665" t="s">
        <v>775</v>
      </c>
      <c r="F1665" t="s">
        <v>776</v>
      </c>
      <c r="G1665" t="s">
        <v>752</v>
      </c>
      <c r="H1665">
        <v>25</v>
      </c>
      <c r="I1665">
        <v>61.92</v>
      </c>
      <c r="J1665">
        <v>70.239999999999995</v>
      </c>
      <c r="K1665">
        <v>8.32</v>
      </c>
      <c r="L1665">
        <v>17</v>
      </c>
      <c r="M1665">
        <v>2</v>
      </c>
      <c r="N1665">
        <v>6</v>
      </c>
      <c r="O1665" t="s">
        <v>127</v>
      </c>
      <c r="P1665" t="s">
        <v>127</v>
      </c>
      <c r="Q1665" t="s">
        <v>127</v>
      </c>
    </row>
    <row r="1666" spans="1:17" x14ac:dyDescent="0.25">
      <c r="A1666" t="str">
        <f>IF(C1666&amp;G1666&amp;D1666&lt;&gt;'Funnel setup'!$K$3&amp;'Funnel setup'!$K$4&amp;'Funnel setup'!$K$6,".",IF(A1665=".",1,A1665+1))</f>
        <v>.</v>
      </c>
      <c r="B1666" s="244" t="str">
        <f t="shared" ref="B1666:B1729" si="26">C1666&amp;D1666&amp;F1666&amp;G1666</f>
        <v>Knee Replacement PrimarySub-ICB of GP PracticeNHS CHESHIRE AND MERSEYSIDE ICB - 01X (01X)EQ VAS</v>
      </c>
      <c r="C1666" t="s">
        <v>969</v>
      </c>
      <c r="D1666" t="s">
        <v>1021</v>
      </c>
      <c r="E1666" t="s">
        <v>777</v>
      </c>
      <c r="F1666" t="s">
        <v>778</v>
      </c>
      <c r="G1666" t="s">
        <v>752</v>
      </c>
      <c r="H1666">
        <v>59</v>
      </c>
      <c r="I1666">
        <v>68.237300000000005</v>
      </c>
      <c r="J1666">
        <v>72.237300000000005</v>
      </c>
      <c r="K1666">
        <v>4</v>
      </c>
      <c r="L1666">
        <v>32</v>
      </c>
      <c r="M1666">
        <v>5</v>
      </c>
      <c r="N1666">
        <v>22</v>
      </c>
      <c r="O1666">
        <v>71.319699999999997</v>
      </c>
      <c r="P1666">
        <v>5.7912999999999997</v>
      </c>
      <c r="Q1666">
        <v>19.740300000000001</v>
      </c>
    </row>
    <row r="1667" spans="1:17" x14ac:dyDescent="0.25">
      <c r="A1667" t="str">
        <f>IF(C1667&amp;G1667&amp;D1667&lt;&gt;'Funnel setup'!$K$3&amp;'Funnel setup'!$K$4&amp;'Funnel setup'!$K$6,".",IF(A1666=".",1,A1666+1))</f>
        <v>.</v>
      </c>
      <c r="B1667" s="244" t="str">
        <f t="shared" si="26"/>
        <v>Knee Replacement PrimarySub-ICB of GP PracticeNHS CHESHIRE AND MERSEYSIDE ICB - 02E (02E)EQ VAS</v>
      </c>
      <c r="C1667" t="s">
        <v>969</v>
      </c>
      <c r="D1667" t="s">
        <v>1021</v>
      </c>
      <c r="E1667" t="s">
        <v>779</v>
      </c>
      <c r="F1667" t="s">
        <v>780</v>
      </c>
      <c r="G1667" t="s">
        <v>752</v>
      </c>
      <c r="H1667">
        <v>41</v>
      </c>
      <c r="I1667">
        <v>74.463399999999993</v>
      </c>
      <c r="J1667">
        <v>79.463399999999993</v>
      </c>
      <c r="K1667">
        <v>5</v>
      </c>
      <c r="L1667">
        <v>21</v>
      </c>
      <c r="M1667">
        <v>7</v>
      </c>
      <c r="N1667">
        <v>13</v>
      </c>
      <c r="O1667">
        <v>74.902199999999993</v>
      </c>
      <c r="P1667">
        <v>9.3738200000000003</v>
      </c>
      <c r="Q1667">
        <v>13.9389</v>
      </c>
    </row>
    <row r="1668" spans="1:17" x14ac:dyDescent="0.25">
      <c r="A1668" t="str">
        <f>IF(C1668&amp;G1668&amp;D1668&lt;&gt;'Funnel setup'!$K$3&amp;'Funnel setup'!$K$4&amp;'Funnel setup'!$K$6,".",IF(A1667=".",1,A1667+1))</f>
        <v>.</v>
      </c>
      <c r="B1668" s="244" t="str">
        <f t="shared" si="26"/>
        <v>Knee Replacement PrimarySub-ICB of GP PracticeNHS CHESHIRE AND MERSEYSIDE ICB - 12F (12F)EQ VAS</v>
      </c>
      <c r="C1668" t="s">
        <v>969</v>
      </c>
      <c r="D1668" t="s">
        <v>1021</v>
      </c>
      <c r="E1668" t="s">
        <v>781</v>
      </c>
      <c r="F1668" t="s">
        <v>782</v>
      </c>
      <c r="G1668" t="s">
        <v>752</v>
      </c>
      <c r="H1668">
        <v>73</v>
      </c>
      <c r="I1668">
        <v>69.274000000000001</v>
      </c>
      <c r="J1668">
        <v>73</v>
      </c>
      <c r="K1668">
        <v>3.7260300000000002</v>
      </c>
      <c r="L1668">
        <v>37</v>
      </c>
      <c r="M1668">
        <v>6</v>
      </c>
      <c r="N1668">
        <v>30</v>
      </c>
      <c r="O1668">
        <v>71.862799999999993</v>
      </c>
      <c r="P1668">
        <v>6.3343800000000003</v>
      </c>
      <c r="Q1668">
        <v>20.146899999999999</v>
      </c>
    </row>
    <row r="1669" spans="1:17" x14ac:dyDescent="0.25">
      <c r="A1669" t="str">
        <f>IF(C1669&amp;G1669&amp;D1669&lt;&gt;'Funnel setup'!$K$3&amp;'Funnel setup'!$K$4&amp;'Funnel setup'!$K$6,".",IF(A1668=".",1,A1668+1))</f>
        <v>.</v>
      </c>
      <c r="B1669" s="244" t="str">
        <f t="shared" si="26"/>
        <v>Knee Replacement PrimarySub-ICB of GP PracticeNHS CHESHIRE AND MERSEYSIDE ICB - 27D (27D)EQ VAS</v>
      </c>
      <c r="C1669" t="s">
        <v>969</v>
      </c>
      <c r="D1669" t="s">
        <v>1021</v>
      </c>
      <c r="E1669" t="s">
        <v>783</v>
      </c>
      <c r="F1669" t="s">
        <v>784</v>
      </c>
      <c r="G1669" t="s">
        <v>752</v>
      </c>
      <c r="H1669">
        <v>233</v>
      </c>
      <c r="I1669">
        <v>67.021500000000003</v>
      </c>
      <c r="J1669">
        <v>75.377700000000004</v>
      </c>
      <c r="K1669">
        <v>8.3562200000000004</v>
      </c>
      <c r="L1669">
        <v>151</v>
      </c>
      <c r="M1669">
        <v>20</v>
      </c>
      <c r="N1669">
        <v>62</v>
      </c>
      <c r="O1669">
        <v>74.563299999999998</v>
      </c>
      <c r="P1669">
        <v>9.0349400000000006</v>
      </c>
      <c r="Q1669">
        <v>16.096299999999999</v>
      </c>
    </row>
    <row r="1670" spans="1:17" x14ac:dyDescent="0.25">
      <c r="A1670" t="str">
        <f>IF(C1670&amp;G1670&amp;D1670&lt;&gt;'Funnel setup'!$K$3&amp;'Funnel setup'!$K$4&amp;'Funnel setup'!$K$6,".",IF(A1669=".",1,A1669+1))</f>
        <v>.</v>
      </c>
      <c r="B1670" s="244" t="str">
        <f t="shared" si="26"/>
        <v>Knee Replacement PrimarySub-ICB of GP PracticeNHS CHESHIRE AND MERSEYSIDE ICB - 99A (99A)EQ VAS</v>
      </c>
      <c r="C1670" t="s">
        <v>969</v>
      </c>
      <c r="D1670" t="s">
        <v>1021</v>
      </c>
      <c r="E1670" t="s">
        <v>785</v>
      </c>
      <c r="F1670" t="s">
        <v>786</v>
      </c>
      <c r="G1670" t="s">
        <v>752</v>
      </c>
      <c r="H1670">
        <v>46</v>
      </c>
      <c r="I1670">
        <v>65.347800000000007</v>
      </c>
      <c r="J1670">
        <v>72.565200000000004</v>
      </c>
      <c r="K1670">
        <v>7.21739</v>
      </c>
      <c r="L1670">
        <v>23</v>
      </c>
      <c r="M1670">
        <v>6</v>
      </c>
      <c r="N1670">
        <v>17</v>
      </c>
      <c r="O1670">
        <v>75.081100000000006</v>
      </c>
      <c r="P1670">
        <v>9.5526999999999997</v>
      </c>
      <c r="Q1670">
        <v>18.125900000000001</v>
      </c>
    </row>
    <row r="1671" spans="1:17" x14ac:dyDescent="0.25">
      <c r="A1671" t="str">
        <f>IF(C1671&amp;G1671&amp;D1671&lt;&gt;'Funnel setup'!$K$3&amp;'Funnel setup'!$K$4&amp;'Funnel setup'!$K$6,".",IF(A1670=".",1,A1670+1))</f>
        <v>.</v>
      </c>
      <c r="B1671" s="244" t="str">
        <f t="shared" si="26"/>
        <v>Knee Replacement PrimarySub-ICB of GP PracticeNHS CORNWALL AND THE ISLES OF SCILLY ICB - 11N (11N)EQ VAS</v>
      </c>
      <c r="C1671" t="s">
        <v>969</v>
      </c>
      <c r="D1671" t="s">
        <v>1021</v>
      </c>
      <c r="E1671" t="s">
        <v>787</v>
      </c>
      <c r="F1671" t="s">
        <v>788</v>
      </c>
      <c r="G1671" t="s">
        <v>752</v>
      </c>
      <c r="H1671">
        <v>138</v>
      </c>
      <c r="I1671">
        <v>66.144900000000007</v>
      </c>
      <c r="J1671">
        <v>74.775400000000005</v>
      </c>
      <c r="K1671">
        <v>8.6304300000000005</v>
      </c>
      <c r="L1671">
        <v>81</v>
      </c>
      <c r="M1671">
        <v>17</v>
      </c>
      <c r="N1671">
        <v>40</v>
      </c>
      <c r="O1671">
        <v>74.419499999999999</v>
      </c>
      <c r="P1671">
        <v>8.8910699999999991</v>
      </c>
      <c r="Q1671">
        <v>16.6755</v>
      </c>
    </row>
    <row r="1672" spans="1:17" x14ac:dyDescent="0.25">
      <c r="A1672" t="str">
        <f>IF(C1672&amp;G1672&amp;D1672&lt;&gt;'Funnel setup'!$K$3&amp;'Funnel setup'!$K$4&amp;'Funnel setup'!$K$6,".",IF(A1671=".",1,A1671+1))</f>
        <v>.</v>
      </c>
      <c r="B1672" s="244" t="str">
        <f t="shared" si="26"/>
        <v>Knee Replacement PrimarySub-ICB of GP PracticeNHS COVENTRY AND WARWICKSHIRE ICB - B2M3M (B2M3M)EQ VAS</v>
      </c>
      <c r="C1672" t="s">
        <v>969</v>
      </c>
      <c r="D1672" t="s">
        <v>1021</v>
      </c>
      <c r="E1672" t="s">
        <v>789</v>
      </c>
      <c r="F1672" t="s">
        <v>790</v>
      </c>
      <c r="G1672" t="s">
        <v>752</v>
      </c>
      <c r="H1672">
        <v>197</v>
      </c>
      <c r="I1672">
        <v>68.665000000000006</v>
      </c>
      <c r="J1672">
        <v>76.878200000000007</v>
      </c>
      <c r="K1672">
        <v>8.2132000000000005</v>
      </c>
      <c r="L1672">
        <v>125</v>
      </c>
      <c r="M1672">
        <v>31</v>
      </c>
      <c r="N1672">
        <v>41</v>
      </c>
      <c r="O1672">
        <v>74.915499999999994</v>
      </c>
      <c r="P1672">
        <v>9.3870699999999996</v>
      </c>
      <c r="Q1672">
        <v>15.7827</v>
      </c>
    </row>
    <row r="1673" spans="1:17" x14ac:dyDescent="0.25">
      <c r="A1673" t="str">
        <f>IF(C1673&amp;G1673&amp;D1673&lt;&gt;'Funnel setup'!$K$3&amp;'Funnel setup'!$K$4&amp;'Funnel setup'!$K$6,".",IF(A1672=".",1,A1672+1))</f>
        <v>.</v>
      </c>
      <c r="B1673" s="244" t="str">
        <f t="shared" si="26"/>
        <v>Knee Replacement PrimarySub-ICB of GP PracticeNHS DERBY AND DERBYSHIRE ICB - 15M (15M)EQ VAS</v>
      </c>
      <c r="C1673" t="s">
        <v>969</v>
      </c>
      <c r="D1673" t="s">
        <v>1021</v>
      </c>
      <c r="E1673" t="s">
        <v>791</v>
      </c>
      <c r="F1673" t="s">
        <v>792</v>
      </c>
      <c r="G1673" t="s">
        <v>752</v>
      </c>
      <c r="H1673">
        <v>461</v>
      </c>
      <c r="I1673">
        <v>63.164900000000003</v>
      </c>
      <c r="J1673">
        <v>72.626900000000006</v>
      </c>
      <c r="K1673">
        <v>9.46204</v>
      </c>
      <c r="L1673">
        <v>285</v>
      </c>
      <c r="M1673">
        <v>58</v>
      </c>
      <c r="N1673">
        <v>118</v>
      </c>
      <c r="O1673">
        <v>74.054599999999994</v>
      </c>
      <c r="P1673">
        <v>8.5262399999999996</v>
      </c>
      <c r="Q1673">
        <v>17.216699999999999</v>
      </c>
    </row>
    <row r="1674" spans="1:17" x14ac:dyDescent="0.25">
      <c r="A1674" t="str">
        <f>IF(C1674&amp;G1674&amp;D1674&lt;&gt;'Funnel setup'!$K$3&amp;'Funnel setup'!$K$4&amp;'Funnel setup'!$K$6,".",IF(A1673=".",1,A1673+1))</f>
        <v>.</v>
      </c>
      <c r="B1674" s="244" t="str">
        <f t="shared" si="26"/>
        <v>Knee Replacement PrimarySub-ICB of GP PracticeNHS DEVON ICB - 15N (15N)EQ VAS</v>
      </c>
      <c r="C1674" t="s">
        <v>969</v>
      </c>
      <c r="D1674" t="s">
        <v>1021</v>
      </c>
      <c r="E1674" t="s">
        <v>793</v>
      </c>
      <c r="F1674" t="s">
        <v>794</v>
      </c>
      <c r="G1674" t="s">
        <v>752</v>
      </c>
      <c r="H1674">
        <v>357</v>
      </c>
      <c r="I1674">
        <v>66.518199999999993</v>
      </c>
      <c r="J1674">
        <v>75.159700000000001</v>
      </c>
      <c r="K1674">
        <v>8.6414600000000004</v>
      </c>
      <c r="L1674">
        <v>223</v>
      </c>
      <c r="M1674">
        <v>41</v>
      </c>
      <c r="N1674">
        <v>93</v>
      </c>
      <c r="O1674">
        <v>74.906000000000006</v>
      </c>
      <c r="P1674">
        <v>9.3776200000000003</v>
      </c>
      <c r="Q1674">
        <v>16.124300000000002</v>
      </c>
    </row>
    <row r="1675" spans="1:17" x14ac:dyDescent="0.25">
      <c r="A1675" t="str">
        <f>IF(C1675&amp;G1675&amp;D1675&lt;&gt;'Funnel setup'!$K$3&amp;'Funnel setup'!$K$4&amp;'Funnel setup'!$K$6,".",IF(A1674=".",1,A1674+1))</f>
        <v>.</v>
      </c>
      <c r="B1675" s="244" t="str">
        <f t="shared" si="26"/>
        <v>Knee Replacement PrimarySub-ICB of GP PracticeNHS DORSET ICB - 11J (11J)EQ VAS</v>
      </c>
      <c r="C1675" t="s">
        <v>969</v>
      </c>
      <c r="D1675" t="s">
        <v>1021</v>
      </c>
      <c r="E1675" t="s">
        <v>795</v>
      </c>
      <c r="F1675" t="s">
        <v>796</v>
      </c>
      <c r="G1675" t="s">
        <v>752</v>
      </c>
      <c r="H1675">
        <v>248</v>
      </c>
      <c r="I1675">
        <v>66.354799999999997</v>
      </c>
      <c r="J1675">
        <v>74.786299999999997</v>
      </c>
      <c r="K1675">
        <v>8.4314499999999999</v>
      </c>
      <c r="L1675">
        <v>145</v>
      </c>
      <c r="M1675">
        <v>32</v>
      </c>
      <c r="N1675">
        <v>71</v>
      </c>
      <c r="O1675">
        <v>74.372200000000007</v>
      </c>
      <c r="P1675">
        <v>8.8437999999999999</v>
      </c>
      <c r="Q1675">
        <v>16.582100000000001</v>
      </c>
    </row>
    <row r="1676" spans="1:17" x14ac:dyDescent="0.25">
      <c r="A1676" t="str">
        <f>IF(C1676&amp;G1676&amp;D1676&lt;&gt;'Funnel setup'!$K$3&amp;'Funnel setup'!$K$4&amp;'Funnel setup'!$K$6,".",IF(A1675=".",1,A1675+1))</f>
        <v>.</v>
      </c>
      <c r="B1676" s="244" t="str">
        <f t="shared" si="26"/>
        <v>Knee Replacement PrimarySub-ICB of GP PracticeNHS FRIMLEY ICB - D4U1Y (D4U1Y)EQ VAS</v>
      </c>
      <c r="C1676" t="s">
        <v>969</v>
      </c>
      <c r="D1676" t="s">
        <v>1021</v>
      </c>
      <c r="E1676" t="s">
        <v>797</v>
      </c>
      <c r="F1676" t="s">
        <v>798</v>
      </c>
      <c r="G1676" t="s">
        <v>752</v>
      </c>
      <c r="H1676">
        <v>160</v>
      </c>
      <c r="I1676">
        <v>67.856300000000005</v>
      </c>
      <c r="J1676">
        <v>73.987499999999997</v>
      </c>
      <c r="K1676">
        <v>6.1312499999999996</v>
      </c>
      <c r="L1676">
        <v>86</v>
      </c>
      <c r="M1676">
        <v>21</v>
      </c>
      <c r="N1676">
        <v>53</v>
      </c>
      <c r="O1676">
        <v>72.127399999999994</v>
      </c>
      <c r="P1676">
        <v>6.5990099999999998</v>
      </c>
      <c r="Q1676">
        <v>16.690799999999999</v>
      </c>
    </row>
    <row r="1677" spans="1:17" x14ac:dyDescent="0.25">
      <c r="A1677" t="str">
        <f>IF(C1677&amp;G1677&amp;D1677&lt;&gt;'Funnel setup'!$K$3&amp;'Funnel setup'!$K$4&amp;'Funnel setup'!$K$6,".",IF(A1676=".",1,A1676+1))</f>
        <v>.</v>
      </c>
      <c r="B1677" s="244" t="str">
        <f t="shared" si="26"/>
        <v>Knee Replacement PrimarySub-ICB of GP PracticeNHS GLOUCESTERSHIRE ICB - 11M (11M)EQ VAS</v>
      </c>
      <c r="C1677" t="s">
        <v>969</v>
      </c>
      <c r="D1677" t="s">
        <v>1021</v>
      </c>
      <c r="E1677" t="s">
        <v>799</v>
      </c>
      <c r="F1677" t="s">
        <v>800</v>
      </c>
      <c r="G1677" t="s">
        <v>752</v>
      </c>
      <c r="H1677">
        <v>146</v>
      </c>
      <c r="I1677">
        <v>67.1233</v>
      </c>
      <c r="J1677">
        <v>77.794499999999999</v>
      </c>
      <c r="K1677">
        <v>10.671200000000001</v>
      </c>
      <c r="L1677">
        <v>95</v>
      </c>
      <c r="M1677">
        <v>15</v>
      </c>
      <c r="N1677">
        <v>36</v>
      </c>
      <c r="O1677">
        <v>76.8947</v>
      </c>
      <c r="P1677">
        <v>11.366300000000001</v>
      </c>
      <c r="Q1677">
        <v>15.120200000000001</v>
      </c>
    </row>
    <row r="1678" spans="1:17" x14ac:dyDescent="0.25">
      <c r="A1678" t="str">
        <f>IF(C1678&amp;G1678&amp;D1678&lt;&gt;'Funnel setup'!$K$3&amp;'Funnel setup'!$K$4&amp;'Funnel setup'!$K$6,".",IF(A1677=".",1,A1677+1))</f>
        <v>.</v>
      </c>
      <c r="B1678" s="244" t="str">
        <f t="shared" si="26"/>
        <v>Knee Replacement PrimarySub-ICB of GP PracticeNHS GREATER MANCHESTER ICB - 00T (00T)EQ VAS</v>
      </c>
      <c r="C1678" t="s">
        <v>969</v>
      </c>
      <c r="D1678" t="s">
        <v>1021</v>
      </c>
      <c r="E1678" t="s">
        <v>801</v>
      </c>
      <c r="F1678" t="s">
        <v>802</v>
      </c>
      <c r="G1678" t="s">
        <v>752</v>
      </c>
      <c r="H1678">
        <v>88</v>
      </c>
      <c r="I1678">
        <v>67.886399999999995</v>
      </c>
      <c r="J1678">
        <v>74.2727</v>
      </c>
      <c r="K1678">
        <v>6.3863599999999998</v>
      </c>
      <c r="L1678">
        <v>50</v>
      </c>
      <c r="M1678">
        <v>13</v>
      </c>
      <c r="N1678">
        <v>25</v>
      </c>
      <c r="O1678">
        <v>74.561800000000005</v>
      </c>
      <c r="P1678">
        <v>9.0333799999999993</v>
      </c>
      <c r="Q1678">
        <v>15.3681</v>
      </c>
    </row>
    <row r="1679" spans="1:17" x14ac:dyDescent="0.25">
      <c r="A1679" t="str">
        <f>IF(C1679&amp;G1679&amp;D1679&lt;&gt;'Funnel setup'!$K$3&amp;'Funnel setup'!$K$4&amp;'Funnel setup'!$K$6,".",IF(A1678=".",1,A1678+1))</f>
        <v>.</v>
      </c>
      <c r="B1679" s="244" t="str">
        <f t="shared" si="26"/>
        <v>Knee Replacement PrimarySub-ICB of GP PracticeNHS GREATER MANCHESTER ICB - 00V (00V)EQ VAS</v>
      </c>
      <c r="C1679" t="s">
        <v>969</v>
      </c>
      <c r="D1679" t="s">
        <v>1021</v>
      </c>
      <c r="E1679" t="s">
        <v>803</v>
      </c>
      <c r="F1679" t="s">
        <v>804</v>
      </c>
      <c r="G1679" t="s">
        <v>752</v>
      </c>
      <c r="H1679">
        <v>14</v>
      </c>
      <c r="I1679">
        <v>61.714300000000001</v>
      </c>
      <c r="J1679">
        <v>72.428600000000003</v>
      </c>
      <c r="K1679">
        <v>10.7143</v>
      </c>
      <c r="L1679">
        <v>10</v>
      </c>
      <c r="M1679">
        <v>0</v>
      </c>
      <c r="N1679">
        <v>4</v>
      </c>
      <c r="O1679" t="s">
        <v>127</v>
      </c>
      <c r="P1679" t="s">
        <v>127</v>
      </c>
      <c r="Q1679" t="s">
        <v>127</v>
      </c>
    </row>
    <row r="1680" spans="1:17" x14ac:dyDescent="0.25">
      <c r="A1680" t="str">
        <f>IF(C1680&amp;G1680&amp;D1680&lt;&gt;'Funnel setup'!$K$3&amp;'Funnel setup'!$K$4&amp;'Funnel setup'!$K$6,".",IF(A1679=".",1,A1679+1))</f>
        <v>.</v>
      </c>
      <c r="B1680" s="244" t="str">
        <f t="shared" si="26"/>
        <v>Knee Replacement PrimarySub-ICB of GP PracticeNHS GREATER MANCHESTER ICB - 00Y (00Y)EQ VAS</v>
      </c>
      <c r="C1680" t="s">
        <v>969</v>
      </c>
      <c r="D1680" t="s">
        <v>1021</v>
      </c>
      <c r="E1680" t="s">
        <v>805</v>
      </c>
      <c r="F1680" t="s">
        <v>806</v>
      </c>
      <c r="G1680" t="s">
        <v>752</v>
      </c>
      <c r="H1680">
        <v>58</v>
      </c>
      <c r="I1680">
        <v>67.413799999999995</v>
      </c>
      <c r="J1680">
        <v>74.206900000000005</v>
      </c>
      <c r="K1680">
        <v>6.7930999999999999</v>
      </c>
      <c r="L1680">
        <v>32</v>
      </c>
      <c r="M1680">
        <v>6</v>
      </c>
      <c r="N1680">
        <v>20</v>
      </c>
      <c r="O1680">
        <v>71.993600000000001</v>
      </c>
      <c r="P1680">
        <v>6.4652000000000003</v>
      </c>
      <c r="Q1680">
        <v>18.413499999999999</v>
      </c>
    </row>
    <row r="1681" spans="1:17" x14ac:dyDescent="0.25">
      <c r="A1681" t="str">
        <f>IF(C1681&amp;G1681&amp;D1681&lt;&gt;'Funnel setup'!$K$3&amp;'Funnel setup'!$K$4&amp;'Funnel setup'!$K$6,".",IF(A1680=".",1,A1680+1))</f>
        <v>.</v>
      </c>
      <c r="B1681" s="244" t="str">
        <f t="shared" si="26"/>
        <v>Knee Replacement PrimarySub-ICB of GP PracticeNHS GREATER MANCHESTER ICB - 01D (01D)EQ VAS</v>
      </c>
      <c r="C1681" t="s">
        <v>969</v>
      </c>
      <c r="D1681" t="s">
        <v>1021</v>
      </c>
      <c r="E1681" t="s">
        <v>807</v>
      </c>
      <c r="F1681" t="s">
        <v>808</v>
      </c>
      <c r="G1681" t="s">
        <v>752</v>
      </c>
      <c r="H1681">
        <v>17</v>
      </c>
      <c r="I1681">
        <v>72.058800000000005</v>
      </c>
      <c r="J1681">
        <v>78</v>
      </c>
      <c r="K1681">
        <v>5.9411800000000001</v>
      </c>
      <c r="L1681">
        <v>8</v>
      </c>
      <c r="M1681">
        <v>2</v>
      </c>
      <c r="N1681">
        <v>7</v>
      </c>
      <c r="O1681" t="s">
        <v>127</v>
      </c>
      <c r="P1681" t="s">
        <v>127</v>
      </c>
      <c r="Q1681" t="s">
        <v>127</v>
      </c>
    </row>
    <row r="1682" spans="1:17" x14ac:dyDescent="0.25">
      <c r="A1682" t="str">
        <f>IF(C1682&amp;G1682&amp;D1682&lt;&gt;'Funnel setup'!$K$3&amp;'Funnel setup'!$K$4&amp;'Funnel setup'!$K$6,".",IF(A1681=".",1,A1681+1))</f>
        <v>.</v>
      </c>
      <c r="B1682" s="244" t="str">
        <f t="shared" si="26"/>
        <v>Knee Replacement PrimarySub-ICB of GP PracticeNHS GREATER MANCHESTER ICB - 01G (01G)EQ VAS</v>
      </c>
      <c r="C1682" t="s">
        <v>969</v>
      </c>
      <c r="D1682" t="s">
        <v>1021</v>
      </c>
      <c r="E1682" t="s">
        <v>809</v>
      </c>
      <c r="F1682" t="s">
        <v>810</v>
      </c>
      <c r="G1682" t="s">
        <v>752</v>
      </c>
      <c r="H1682">
        <v>60</v>
      </c>
      <c r="I1682">
        <v>69.783299999999997</v>
      </c>
      <c r="J1682">
        <v>74.599999999999994</v>
      </c>
      <c r="K1682">
        <v>4.8166700000000002</v>
      </c>
      <c r="L1682">
        <v>31</v>
      </c>
      <c r="M1682">
        <v>8</v>
      </c>
      <c r="N1682">
        <v>21</v>
      </c>
      <c r="O1682">
        <v>75.470799999999997</v>
      </c>
      <c r="P1682">
        <v>9.9423499999999994</v>
      </c>
      <c r="Q1682">
        <v>16.944299999999998</v>
      </c>
    </row>
    <row r="1683" spans="1:17" x14ac:dyDescent="0.25">
      <c r="A1683" t="str">
        <f>IF(C1683&amp;G1683&amp;D1683&lt;&gt;'Funnel setup'!$K$3&amp;'Funnel setup'!$K$4&amp;'Funnel setup'!$K$6,".",IF(A1682=".",1,A1682+1))</f>
        <v>.</v>
      </c>
      <c r="B1683" s="244" t="str">
        <f t="shared" si="26"/>
        <v>Knee Replacement PrimarySub-ICB of GP PracticeNHS GREATER MANCHESTER ICB - 01W (01W)EQ VAS</v>
      </c>
      <c r="C1683" t="s">
        <v>969</v>
      </c>
      <c r="D1683" t="s">
        <v>1021</v>
      </c>
      <c r="E1683" t="s">
        <v>811</v>
      </c>
      <c r="F1683" t="s">
        <v>812</v>
      </c>
      <c r="G1683" t="s">
        <v>752</v>
      </c>
      <c r="H1683">
        <v>49</v>
      </c>
      <c r="I1683">
        <v>67.816299999999998</v>
      </c>
      <c r="J1683">
        <v>76.530600000000007</v>
      </c>
      <c r="K1683">
        <v>8.7142900000000001</v>
      </c>
      <c r="L1683">
        <v>31</v>
      </c>
      <c r="M1683">
        <v>3</v>
      </c>
      <c r="N1683">
        <v>15</v>
      </c>
      <c r="O1683">
        <v>75.265900000000002</v>
      </c>
      <c r="P1683">
        <v>9.7374600000000004</v>
      </c>
      <c r="Q1683">
        <v>19.3767</v>
      </c>
    </row>
    <row r="1684" spans="1:17" x14ac:dyDescent="0.25">
      <c r="A1684" t="str">
        <f>IF(C1684&amp;G1684&amp;D1684&lt;&gt;'Funnel setup'!$K$3&amp;'Funnel setup'!$K$4&amp;'Funnel setup'!$K$6,".",IF(A1683=".",1,A1683+1))</f>
        <v>.</v>
      </c>
      <c r="B1684" s="244" t="str">
        <f t="shared" si="26"/>
        <v>Knee Replacement PrimarySub-ICB of GP PracticeNHS GREATER MANCHESTER ICB - 01Y (01Y)EQ VAS</v>
      </c>
      <c r="C1684" t="s">
        <v>969</v>
      </c>
      <c r="D1684" t="s">
        <v>1021</v>
      </c>
      <c r="E1684" t="s">
        <v>813</v>
      </c>
      <c r="F1684" t="s">
        <v>814</v>
      </c>
      <c r="G1684" t="s">
        <v>752</v>
      </c>
      <c r="H1684">
        <v>23</v>
      </c>
      <c r="I1684">
        <v>67</v>
      </c>
      <c r="J1684">
        <v>78.869600000000005</v>
      </c>
      <c r="K1684">
        <v>11.8696</v>
      </c>
      <c r="L1684">
        <v>17</v>
      </c>
      <c r="M1684">
        <v>1</v>
      </c>
      <c r="N1684">
        <v>5</v>
      </c>
      <c r="O1684" t="s">
        <v>127</v>
      </c>
      <c r="P1684" t="s">
        <v>127</v>
      </c>
      <c r="Q1684" t="s">
        <v>127</v>
      </c>
    </row>
    <row r="1685" spans="1:17" x14ac:dyDescent="0.25">
      <c r="A1685" t="str">
        <f>IF(C1685&amp;G1685&amp;D1685&lt;&gt;'Funnel setup'!$K$3&amp;'Funnel setup'!$K$4&amp;'Funnel setup'!$K$6,".",IF(A1684=".",1,A1684+1))</f>
        <v>.</v>
      </c>
      <c r="B1685" s="244" t="str">
        <f t="shared" si="26"/>
        <v>Knee Replacement PrimarySub-ICB of GP PracticeNHS GREATER MANCHESTER ICB - 02A (02A)EQ VAS</v>
      </c>
      <c r="C1685" t="s">
        <v>969</v>
      </c>
      <c r="D1685" t="s">
        <v>1021</v>
      </c>
      <c r="E1685" t="s">
        <v>815</v>
      </c>
      <c r="F1685" t="s">
        <v>816</v>
      </c>
      <c r="G1685" t="s">
        <v>752</v>
      </c>
      <c r="H1685">
        <v>75</v>
      </c>
      <c r="I1685">
        <v>64.666700000000006</v>
      </c>
      <c r="J1685">
        <v>71.040000000000006</v>
      </c>
      <c r="K1685">
        <v>6.3733300000000002</v>
      </c>
      <c r="L1685">
        <v>41</v>
      </c>
      <c r="M1685">
        <v>6</v>
      </c>
      <c r="N1685">
        <v>28</v>
      </c>
      <c r="O1685">
        <v>71.166300000000007</v>
      </c>
      <c r="P1685">
        <v>5.6378899999999996</v>
      </c>
      <c r="Q1685">
        <v>18.577400000000001</v>
      </c>
    </row>
    <row r="1686" spans="1:17" x14ac:dyDescent="0.25">
      <c r="A1686" t="str">
        <f>IF(C1686&amp;G1686&amp;D1686&lt;&gt;'Funnel setup'!$K$3&amp;'Funnel setup'!$K$4&amp;'Funnel setup'!$K$6,".",IF(A1685=".",1,A1685+1))</f>
        <v>.</v>
      </c>
      <c r="B1686" s="244" t="str">
        <f t="shared" si="26"/>
        <v>Knee Replacement PrimarySub-ICB of GP PracticeNHS GREATER MANCHESTER ICB - 02H (02H)EQ VAS</v>
      </c>
      <c r="C1686" t="s">
        <v>969</v>
      </c>
      <c r="D1686" t="s">
        <v>1021</v>
      </c>
      <c r="E1686" t="s">
        <v>817</v>
      </c>
      <c r="F1686" t="s">
        <v>818</v>
      </c>
      <c r="G1686" t="s">
        <v>752</v>
      </c>
      <c r="H1686">
        <v>25</v>
      </c>
      <c r="I1686">
        <v>65.08</v>
      </c>
      <c r="J1686">
        <v>74.56</v>
      </c>
      <c r="K1686">
        <v>9.48</v>
      </c>
      <c r="L1686">
        <v>14</v>
      </c>
      <c r="M1686">
        <v>3</v>
      </c>
      <c r="N1686">
        <v>8</v>
      </c>
      <c r="O1686" t="s">
        <v>127</v>
      </c>
      <c r="P1686" t="s">
        <v>127</v>
      </c>
      <c r="Q1686" t="s">
        <v>127</v>
      </c>
    </row>
    <row r="1687" spans="1:17" x14ac:dyDescent="0.25">
      <c r="A1687" t="str">
        <f>IF(C1687&amp;G1687&amp;D1687&lt;&gt;'Funnel setup'!$K$3&amp;'Funnel setup'!$K$4&amp;'Funnel setup'!$K$6,".",IF(A1686=".",1,A1686+1))</f>
        <v>.</v>
      </c>
      <c r="B1687" s="244" t="str">
        <f t="shared" si="26"/>
        <v>Knee Replacement PrimarySub-ICB of GP PracticeNHS GREATER MANCHESTER ICB - 14L (14L)EQ VAS</v>
      </c>
      <c r="C1687" t="s">
        <v>969</v>
      </c>
      <c r="D1687" t="s">
        <v>1021</v>
      </c>
      <c r="E1687" t="s">
        <v>819</v>
      </c>
      <c r="F1687" t="s">
        <v>820</v>
      </c>
      <c r="G1687" t="s">
        <v>752</v>
      </c>
      <c r="H1687">
        <v>47</v>
      </c>
      <c r="I1687">
        <v>60.085099999999997</v>
      </c>
      <c r="J1687">
        <v>72.978700000000003</v>
      </c>
      <c r="K1687">
        <v>12.893599999999999</v>
      </c>
      <c r="L1687">
        <v>27</v>
      </c>
      <c r="M1687">
        <v>6</v>
      </c>
      <c r="N1687">
        <v>14</v>
      </c>
      <c r="O1687">
        <v>77.476399999999998</v>
      </c>
      <c r="P1687">
        <v>11.948</v>
      </c>
      <c r="Q1687">
        <v>18.398399999999999</v>
      </c>
    </row>
    <row r="1688" spans="1:17" x14ac:dyDescent="0.25">
      <c r="A1688" t="str">
        <f>IF(C1688&amp;G1688&amp;D1688&lt;&gt;'Funnel setup'!$K$3&amp;'Funnel setup'!$K$4&amp;'Funnel setup'!$K$6,".",IF(A1687=".",1,A1687+1))</f>
        <v>.</v>
      </c>
      <c r="B1688" s="244" t="str">
        <f t="shared" si="26"/>
        <v>Knee Replacement PrimarySub-ICB of GP PracticeNHS HAMPSHIRE AND ISLE OF WIGHT ICB - 10R (10R)EQ VAS</v>
      </c>
      <c r="C1688" t="s">
        <v>969</v>
      </c>
      <c r="D1688" t="s">
        <v>1021</v>
      </c>
      <c r="E1688" t="s">
        <v>821</v>
      </c>
      <c r="F1688" t="s">
        <v>822</v>
      </c>
      <c r="G1688" t="s">
        <v>752</v>
      </c>
      <c r="H1688">
        <v>8</v>
      </c>
      <c r="I1688">
        <v>74.125</v>
      </c>
      <c r="J1688">
        <v>73.125</v>
      </c>
      <c r="K1688">
        <v>-1</v>
      </c>
      <c r="L1688">
        <v>2</v>
      </c>
      <c r="M1688">
        <v>2</v>
      </c>
      <c r="N1688">
        <v>4</v>
      </c>
      <c r="O1688" t="s">
        <v>127</v>
      </c>
      <c r="P1688" t="s">
        <v>127</v>
      </c>
      <c r="Q1688" t="s">
        <v>127</v>
      </c>
    </row>
    <row r="1689" spans="1:17" x14ac:dyDescent="0.25">
      <c r="A1689" t="str">
        <f>IF(C1689&amp;G1689&amp;D1689&lt;&gt;'Funnel setup'!$K$3&amp;'Funnel setup'!$K$4&amp;'Funnel setup'!$K$6,".",IF(A1688=".",1,A1688+1))</f>
        <v>.</v>
      </c>
      <c r="B1689" s="244" t="str">
        <f t="shared" si="26"/>
        <v>Knee Replacement PrimarySub-ICB of GP PracticeNHS HAMPSHIRE AND ISLE OF WIGHT ICB - D9Y0V (D9Y0V)EQ VAS</v>
      </c>
      <c r="C1689" t="s">
        <v>969</v>
      </c>
      <c r="D1689" t="s">
        <v>1021</v>
      </c>
      <c r="E1689" t="s">
        <v>823</v>
      </c>
      <c r="F1689" t="s">
        <v>824</v>
      </c>
      <c r="G1689" t="s">
        <v>752</v>
      </c>
      <c r="H1689">
        <v>319</v>
      </c>
      <c r="I1689">
        <v>67.266499999999994</v>
      </c>
      <c r="J1689">
        <v>74.219399999999993</v>
      </c>
      <c r="K1689">
        <v>6.9529800000000002</v>
      </c>
      <c r="L1689">
        <v>195</v>
      </c>
      <c r="M1689">
        <v>27</v>
      </c>
      <c r="N1689">
        <v>97</v>
      </c>
      <c r="O1689">
        <v>72.747699999999995</v>
      </c>
      <c r="P1689">
        <v>7.2192600000000002</v>
      </c>
      <c r="Q1689">
        <v>17.3429</v>
      </c>
    </row>
    <row r="1690" spans="1:17" x14ac:dyDescent="0.25">
      <c r="A1690" t="str">
        <f>IF(C1690&amp;G1690&amp;D1690&lt;&gt;'Funnel setup'!$K$3&amp;'Funnel setup'!$K$4&amp;'Funnel setup'!$K$6,".",IF(A1689=".",1,A1689+1))</f>
        <v>.</v>
      </c>
      <c r="B1690" s="244" t="str">
        <f t="shared" si="26"/>
        <v>Knee Replacement PrimarySub-ICB of GP PracticeNHS HEREFORDSHIRE AND WORCESTERSHIRE ICB - 18C (18C)EQ VAS</v>
      </c>
      <c r="C1690" t="s">
        <v>969</v>
      </c>
      <c r="D1690" t="s">
        <v>1021</v>
      </c>
      <c r="E1690" t="s">
        <v>825</v>
      </c>
      <c r="F1690" t="s">
        <v>826</v>
      </c>
      <c r="G1690" t="s">
        <v>752</v>
      </c>
      <c r="H1690">
        <v>194</v>
      </c>
      <c r="I1690">
        <v>66.752600000000001</v>
      </c>
      <c r="J1690">
        <v>72.551500000000004</v>
      </c>
      <c r="K1690">
        <v>5.7989699999999997</v>
      </c>
      <c r="L1690">
        <v>106</v>
      </c>
      <c r="M1690">
        <v>22</v>
      </c>
      <c r="N1690">
        <v>66</v>
      </c>
      <c r="O1690">
        <v>71.948599999999999</v>
      </c>
      <c r="P1690">
        <v>6.4202000000000004</v>
      </c>
      <c r="Q1690">
        <v>18.766500000000001</v>
      </c>
    </row>
    <row r="1691" spans="1:17" x14ac:dyDescent="0.25">
      <c r="A1691" t="str">
        <f>IF(C1691&amp;G1691&amp;D1691&lt;&gt;'Funnel setup'!$K$3&amp;'Funnel setup'!$K$4&amp;'Funnel setup'!$K$6,".",IF(A1690=".",1,A1690+1))</f>
        <v>.</v>
      </c>
      <c r="B1691" s="244" t="str">
        <f t="shared" si="26"/>
        <v>Knee Replacement PrimarySub-ICB of GP PracticeNHS HERTFORDSHIRE AND WEST ESSEX ICB - 06K (06K)EQ VAS</v>
      </c>
      <c r="C1691" t="s">
        <v>969</v>
      </c>
      <c r="D1691" t="s">
        <v>1021</v>
      </c>
      <c r="E1691" t="s">
        <v>827</v>
      </c>
      <c r="F1691" t="s">
        <v>828</v>
      </c>
      <c r="G1691" t="s">
        <v>752</v>
      </c>
      <c r="H1691">
        <v>87</v>
      </c>
      <c r="I1691">
        <v>66.333299999999994</v>
      </c>
      <c r="J1691">
        <v>74.712599999999995</v>
      </c>
      <c r="K1691">
        <v>8.3793100000000003</v>
      </c>
      <c r="L1691">
        <v>52</v>
      </c>
      <c r="M1691">
        <v>11</v>
      </c>
      <c r="N1691">
        <v>24</v>
      </c>
      <c r="O1691">
        <v>74.868499999999997</v>
      </c>
      <c r="P1691">
        <v>9.3400700000000008</v>
      </c>
      <c r="Q1691">
        <v>17.338100000000001</v>
      </c>
    </row>
    <row r="1692" spans="1:17" x14ac:dyDescent="0.25">
      <c r="A1692" t="str">
        <f>IF(C1692&amp;G1692&amp;D1692&lt;&gt;'Funnel setup'!$K$3&amp;'Funnel setup'!$K$4&amp;'Funnel setup'!$K$6,".",IF(A1691=".",1,A1691+1))</f>
        <v>.</v>
      </c>
      <c r="B1692" s="244" t="str">
        <f t="shared" si="26"/>
        <v>Knee Replacement PrimarySub-ICB of GP PracticeNHS HERTFORDSHIRE AND WEST ESSEX ICB - 06N (06N)EQ VAS</v>
      </c>
      <c r="C1692" t="s">
        <v>969</v>
      </c>
      <c r="D1692" t="s">
        <v>1021</v>
      </c>
      <c r="E1692" t="s">
        <v>829</v>
      </c>
      <c r="F1692" t="s">
        <v>830</v>
      </c>
      <c r="G1692" t="s">
        <v>752</v>
      </c>
      <c r="H1692">
        <v>106</v>
      </c>
      <c r="I1692">
        <v>64.915099999999995</v>
      </c>
      <c r="J1692">
        <v>73.566000000000003</v>
      </c>
      <c r="K1692">
        <v>8.6509400000000003</v>
      </c>
      <c r="L1692">
        <v>62</v>
      </c>
      <c r="M1692">
        <v>16</v>
      </c>
      <c r="N1692">
        <v>28</v>
      </c>
      <c r="O1692">
        <v>73.215699999999998</v>
      </c>
      <c r="P1692">
        <v>7.6872699999999998</v>
      </c>
      <c r="Q1692">
        <v>16.345500000000001</v>
      </c>
    </row>
    <row r="1693" spans="1:17" x14ac:dyDescent="0.25">
      <c r="A1693" t="str">
        <f>IF(C1693&amp;G1693&amp;D1693&lt;&gt;'Funnel setup'!$K$3&amp;'Funnel setup'!$K$4&amp;'Funnel setup'!$K$6,".",IF(A1692=".",1,A1692+1))</f>
        <v>.</v>
      </c>
      <c r="B1693" s="244" t="str">
        <f t="shared" si="26"/>
        <v>Knee Replacement PrimarySub-ICB of GP PracticeNHS HERTFORDSHIRE AND WEST ESSEX ICB - 07H (07H)EQ VAS</v>
      </c>
      <c r="C1693" t="s">
        <v>969</v>
      </c>
      <c r="D1693" t="s">
        <v>1021</v>
      </c>
      <c r="E1693" t="s">
        <v>831</v>
      </c>
      <c r="F1693" t="s">
        <v>832</v>
      </c>
      <c r="G1693" t="s">
        <v>752</v>
      </c>
      <c r="H1693">
        <v>66</v>
      </c>
      <c r="I1693">
        <v>62.5152</v>
      </c>
      <c r="J1693">
        <v>71.106099999999998</v>
      </c>
      <c r="K1693">
        <v>8.5909099999999992</v>
      </c>
      <c r="L1693">
        <v>42</v>
      </c>
      <c r="M1693">
        <v>5</v>
      </c>
      <c r="N1693">
        <v>19</v>
      </c>
      <c r="O1693">
        <v>71.556700000000006</v>
      </c>
      <c r="P1693">
        <v>6.0283300000000004</v>
      </c>
      <c r="Q1693">
        <v>18.811800000000002</v>
      </c>
    </row>
    <row r="1694" spans="1:17" x14ac:dyDescent="0.25">
      <c r="A1694" t="str">
        <f>IF(C1694&amp;G1694&amp;D1694&lt;&gt;'Funnel setup'!$K$3&amp;'Funnel setup'!$K$4&amp;'Funnel setup'!$K$6,".",IF(A1693=".",1,A1693+1))</f>
        <v>.</v>
      </c>
      <c r="B1694" s="244" t="str">
        <f t="shared" si="26"/>
        <v>Knee Replacement PrimarySub-ICB of GP PracticeNHS HUMBER AND NORTH YORKSHIRE ICB - 02Y (02Y)EQ VAS</v>
      </c>
      <c r="C1694" t="s">
        <v>969</v>
      </c>
      <c r="D1694" t="s">
        <v>1021</v>
      </c>
      <c r="E1694" t="s">
        <v>833</v>
      </c>
      <c r="F1694" t="s">
        <v>834</v>
      </c>
      <c r="G1694" t="s">
        <v>752</v>
      </c>
      <c r="H1694">
        <v>72</v>
      </c>
      <c r="I1694">
        <v>64.763900000000007</v>
      </c>
      <c r="J1694">
        <v>70.805599999999998</v>
      </c>
      <c r="K1694">
        <v>6.0416699999999999</v>
      </c>
      <c r="L1694">
        <v>44</v>
      </c>
      <c r="M1694">
        <v>6</v>
      </c>
      <c r="N1694">
        <v>22</v>
      </c>
      <c r="O1694">
        <v>70.313599999999994</v>
      </c>
      <c r="P1694">
        <v>4.7851600000000003</v>
      </c>
      <c r="Q1694">
        <v>15.046900000000001</v>
      </c>
    </row>
    <row r="1695" spans="1:17" x14ac:dyDescent="0.25">
      <c r="A1695" t="str">
        <f>IF(C1695&amp;G1695&amp;D1695&lt;&gt;'Funnel setup'!$K$3&amp;'Funnel setup'!$K$4&amp;'Funnel setup'!$K$6,".",IF(A1694=".",1,A1694+1))</f>
        <v>.</v>
      </c>
      <c r="B1695" s="244" t="str">
        <f t="shared" si="26"/>
        <v>Knee Replacement PrimarySub-ICB of GP PracticeNHS HUMBER AND NORTH YORKSHIRE ICB - 03F (03F)EQ VAS</v>
      </c>
      <c r="C1695" t="s">
        <v>969</v>
      </c>
      <c r="D1695" t="s">
        <v>1021</v>
      </c>
      <c r="E1695" t="s">
        <v>835</v>
      </c>
      <c r="F1695" t="s">
        <v>836</v>
      </c>
      <c r="G1695" t="s">
        <v>752</v>
      </c>
      <c r="H1695">
        <v>25</v>
      </c>
      <c r="I1695">
        <v>65</v>
      </c>
      <c r="J1695">
        <v>73.56</v>
      </c>
      <c r="K1695">
        <v>8.56</v>
      </c>
      <c r="L1695">
        <v>16</v>
      </c>
      <c r="M1695">
        <v>5</v>
      </c>
      <c r="N1695">
        <v>4</v>
      </c>
      <c r="O1695" t="s">
        <v>127</v>
      </c>
      <c r="P1695" t="s">
        <v>127</v>
      </c>
      <c r="Q1695" t="s">
        <v>127</v>
      </c>
    </row>
    <row r="1696" spans="1:17" x14ac:dyDescent="0.25">
      <c r="A1696" t="str">
        <f>IF(C1696&amp;G1696&amp;D1696&lt;&gt;'Funnel setup'!$K$3&amp;'Funnel setup'!$K$4&amp;'Funnel setup'!$K$6,".",IF(A1695=".",1,A1695+1))</f>
        <v>.</v>
      </c>
      <c r="B1696" s="244" t="str">
        <f t="shared" si="26"/>
        <v>Knee Replacement PrimarySub-ICB of GP PracticeNHS HUMBER AND NORTH YORKSHIRE ICB - 03H (03H)EQ VAS</v>
      </c>
      <c r="C1696" t="s">
        <v>969</v>
      </c>
      <c r="D1696" t="s">
        <v>1021</v>
      </c>
      <c r="E1696" t="s">
        <v>837</v>
      </c>
      <c r="F1696" t="s">
        <v>838</v>
      </c>
      <c r="G1696" t="s">
        <v>752</v>
      </c>
      <c r="H1696">
        <v>66</v>
      </c>
      <c r="I1696">
        <v>70.060599999999994</v>
      </c>
      <c r="J1696">
        <v>71.666700000000006</v>
      </c>
      <c r="K1696">
        <v>1.60606</v>
      </c>
      <c r="L1696">
        <v>34</v>
      </c>
      <c r="M1696">
        <v>10</v>
      </c>
      <c r="N1696">
        <v>22</v>
      </c>
      <c r="O1696">
        <v>70.147999999999996</v>
      </c>
      <c r="P1696">
        <v>4.6195500000000003</v>
      </c>
      <c r="Q1696">
        <v>20.338000000000001</v>
      </c>
    </row>
    <row r="1697" spans="1:17" x14ac:dyDescent="0.25">
      <c r="A1697" t="str">
        <f>IF(C1697&amp;G1697&amp;D1697&lt;&gt;'Funnel setup'!$K$3&amp;'Funnel setup'!$K$4&amp;'Funnel setup'!$K$6,".",IF(A1696=".",1,A1696+1))</f>
        <v>.</v>
      </c>
      <c r="B1697" s="244" t="str">
        <f t="shared" si="26"/>
        <v>Knee Replacement PrimarySub-ICB of GP PracticeNHS HUMBER AND NORTH YORKSHIRE ICB - 03K (03K)EQ VAS</v>
      </c>
      <c r="C1697" t="s">
        <v>969</v>
      </c>
      <c r="D1697" t="s">
        <v>1021</v>
      </c>
      <c r="E1697" t="s">
        <v>839</v>
      </c>
      <c r="F1697" t="s">
        <v>840</v>
      </c>
      <c r="G1697" t="s">
        <v>752</v>
      </c>
      <c r="H1697">
        <v>60</v>
      </c>
      <c r="I1697">
        <v>64.183300000000003</v>
      </c>
      <c r="J1697">
        <v>69</v>
      </c>
      <c r="K1697">
        <v>4.8166700000000002</v>
      </c>
      <c r="L1697">
        <v>33</v>
      </c>
      <c r="M1697">
        <v>7</v>
      </c>
      <c r="N1697">
        <v>20</v>
      </c>
      <c r="O1697">
        <v>69.203500000000005</v>
      </c>
      <c r="P1697">
        <v>3.6750600000000002</v>
      </c>
      <c r="Q1697">
        <v>17.2438</v>
      </c>
    </row>
    <row r="1698" spans="1:17" x14ac:dyDescent="0.25">
      <c r="A1698" t="str">
        <f>IF(C1698&amp;G1698&amp;D1698&lt;&gt;'Funnel setup'!$K$3&amp;'Funnel setup'!$K$4&amp;'Funnel setup'!$K$6,".",IF(A1697=".",1,A1697+1))</f>
        <v>.</v>
      </c>
      <c r="B1698" s="244" t="str">
        <f t="shared" si="26"/>
        <v>Knee Replacement PrimarySub-ICB of GP PracticeNHS HUMBER AND NORTH YORKSHIRE ICB - 03Q (03Q)EQ VAS</v>
      </c>
      <c r="C1698" t="s">
        <v>969</v>
      </c>
      <c r="D1698" t="s">
        <v>1021</v>
      </c>
      <c r="E1698" t="s">
        <v>841</v>
      </c>
      <c r="F1698" t="s">
        <v>842</v>
      </c>
      <c r="G1698" t="s">
        <v>752</v>
      </c>
      <c r="H1698">
        <v>64</v>
      </c>
      <c r="I1698">
        <v>63.8125</v>
      </c>
      <c r="J1698">
        <v>75.609399999999994</v>
      </c>
      <c r="K1698">
        <v>11.796900000000001</v>
      </c>
      <c r="L1698">
        <v>41</v>
      </c>
      <c r="M1698">
        <v>4</v>
      </c>
      <c r="N1698">
        <v>19</v>
      </c>
      <c r="O1698">
        <v>73.900800000000004</v>
      </c>
      <c r="P1698">
        <v>8.3723700000000001</v>
      </c>
      <c r="Q1698">
        <v>16.643799999999999</v>
      </c>
    </row>
    <row r="1699" spans="1:17" x14ac:dyDescent="0.25">
      <c r="A1699" t="str">
        <f>IF(C1699&amp;G1699&amp;D1699&lt;&gt;'Funnel setup'!$K$3&amp;'Funnel setup'!$K$4&amp;'Funnel setup'!$K$6,".",IF(A1698=".",1,A1698+1))</f>
        <v>.</v>
      </c>
      <c r="B1699" s="244" t="str">
        <f t="shared" si="26"/>
        <v>Knee Replacement PrimarySub-ICB of GP PracticeNHS HUMBER AND NORTH YORKSHIRE ICB - 42D (42D)EQ VAS</v>
      </c>
      <c r="C1699" t="s">
        <v>969</v>
      </c>
      <c r="D1699" t="s">
        <v>1021</v>
      </c>
      <c r="E1699" t="s">
        <v>843</v>
      </c>
      <c r="F1699" t="s">
        <v>844</v>
      </c>
      <c r="G1699" t="s">
        <v>752</v>
      </c>
      <c r="H1699">
        <v>193</v>
      </c>
      <c r="I1699">
        <v>63.471499999999999</v>
      </c>
      <c r="J1699">
        <v>74.600999999999999</v>
      </c>
      <c r="K1699">
        <v>11.1295</v>
      </c>
      <c r="L1699">
        <v>132</v>
      </c>
      <c r="M1699">
        <v>13</v>
      </c>
      <c r="N1699">
        <v>48</v>
      </c>
      <c r="O1699">
        <v>74.850899999999996</v>
      </c>
      <c r="P1699">
        <v>9.32254</v>
      </c>
      <c r="Q1699">
        <v>17.646799999999999</v>
      </c>
    </row>
    <row r="1700" spans="1:17" x14ac:dyDescent="0.25">
      <c r="A1700" t="str">
        <f>IF(C1700&amp;G1700&amp;D1700&lt;&gt;'Funnel setup'!$K$3&amp;'Funnel setup'!$K$4&amp;'Funnel setup'!$K$6,".",IF(A1699=".",1,A1699+1))</f>
        <v>.</v>
      </c>
      <c r="B1700" s="244" t="str">
        <f t="shared" si="26"/>
        <v>Knee Replacement PrimarySub-ICB of GP PracticeNHS KENT AND MEDWAY ICB - 91Q (91Q)EQ VAS</v>
      </c>
      <c r="C1700" t="s">
        <v>969</v>
      </c>
      <c r="D1700" t="s">
        <v>1021</v>
      </c>
      <c r="E1700" t="s">
        <v>845</v>
      </c>
      <c r="F1700" t="s">
        <v>846</v>
      </c>
      <c r="G1700" t="s">
        <v>752</v>
      </c>
      <c r="H1700">
        <v>537</v>
      </c>
      <c r="I1700">
        <v>67.132199999999997</v>
      </c>
      <c r="J1700">
        <v>76.519599999999997</v>
      </c>
      <c r="K1700">
        <v>9.38734</v>
      </c>
      <c r="L1700">
        <v>349</v>
      </c>
      <c r="M1700">
        <v>43</v>
      </c>
      <c r="N1700">
        <v>145</v>
      </c>
      <c r="O1700">
        <v>75.664199999999994</v>
      </c>
      <c r="P1700">
        <v>10.1358</v>
      </c>
      <c r="Q1700">
        <v>15.870699999999999</v>
      </c>
    </row>
    <row r="1701" spans="1:17" x14ac:dyDescent="0.25">
      <c r="A1701" t="str">
        <f>IF(C1701&amp;G1701&amp;D1701&lt;&gt;'Funnel setup'!$K$3&amp;'Funnel setup'!$K$4&amp;'Funnel setup'!$K$6,".",IF(A1700=".",1,A1700+1))</f>
        <v>.</v>
      </c>
      <c r="B1701" s="244" t="str">
        <f t="shared" si="26"/>
        <v>Knee Replacement PrimarySub-ICB of GP PracticeNHS LANCASHIRE AND SOUTH CUMBRIA ICB - 00Q (00Q)EQ VAS</v>
      </c>
      <c r="C1701" t="s">
        <v>969</v>
      </c>
      <c r="D1701" t="s">
        <v>1021</v>
      </c>
      <c r="E1701" t="s">
        <v>847</v>
      </c>
      <c r="F1701" t="s">
        <v>848</v>
      </c>
      <c r="G1701" t="s">
        <v>752</v>
      </c>
      <c r="H1701">
        <v>47</v>
      </c>
      <c r="I1701">
        <v>64.893600000000006</v>
      </c>
      <c r="J1701">
        <v>72.914900000000003</v>
      </c>
      <c r="K1701">
        <v>8.0212800000000009</v>
      </c>
      <c r="L1701">
        <v>29</v>
      </c>
      <c r="M1701">
        <v>3</v>
      </c>
      <c r="N1701">
        <v>15</v>
      </c>
      <c r="O1701">
        <v>73.366600000000005</v>
      </c>
      <c r="P1701">
        <v>7.8382500000000004</v>
      </c>
      <c r="Q1701">
        <v>18.832999999999998</v>
      </c>
    </row>
    <row r="1702" spans="1:17" x14ac:dyDescent="0.25">
      <c r="A1702" t="str">
        <f>IF(C1702&amp;G1702&amp;D1702&lt;&gt;'Funnel setup'!$K$3&amp;'Funnel setup'!$K$4&amp;'Funnel setup'!$K$6,".",IF(A1701=".",1,A1701+1))</f>
        <v>.</v>
      </c>
      <c r="B1702" s="244" t="str">
        <f t="shared" si="26"/>
        <v>Knee Replacement PrimarySub-ICB of GP PracticeNHS LANCASHIRE AND SOUTH CUMBRIA ICB - 00R (00R)EQ VAS</v>
      </c>
      <c r="C1702" t="s">
        <v>969</v>
      </c>
      <c r="D1702" t="s">
        <v>1021</v>
      </c>
      <c r="E1702" t="s">
        <v>849</v>
      </c>
      <c r="F1702" t="s">
        <v>850</v>
      </c>
      <c r="G1702" t="s">
        <v>752</v>
      </c>
      <c r="H1702">
        <v>45</v>
      </c>
      <c r="I1702">
        <v>69.2667</v>
      </c>
      <c r="J1702">
        <v>69.155600000000007</v>
      </c>
      <c r="K1702">
        <v>-0.111111</v>
      </c>
      <c r="L1702">
        <v>23</v>
      </c>
      <c r="M1702">
        <v>7</v>
      </c>
      <c r="N1702">
        <v>15</v>
      </c>
      <c r="O1702">
        <v>71.361500000000007</v>
      </c>
      <c r="P1702">
        <v>5.8331499999999998</v>
      </c>
      <c r="Q1702">
        <v>18.403300000000002</v>
      </c>
    </row>
    <row r="1703" spans="1:17" x14ac:dyDescent="0.25">
      <c r="A1703" t="str">
        <f>IF(C1703&amp;G1703&amp;D1703&lt;&gt;'Funnel setup'!$K$3&amp;'Funnel setup'!$K$4&amp;'Funnel setup'!$K$6,".",IF(A1702=".",1,A1702+1))</f>
        <v>.</v>
      </c>
      <c r="B1703" s="244" t="str">
        <f t="shared" si="26"/>
        <v>Knee Replacement PrimarySub-ICB of GP PracticeNHS LANCASHIRE AND SOUTH CUMBRIA ICB - 00X (00X)EQ VAS</v>
      </c>
      <c r="C1703" t="s">
        <v>969</v>
      </c>
      <c r="D1703" t="s">
        <v>1021</v>
      </c>
      <c r="E1703" t="s">
        <v>851</v>
      </c>
      <c r="F1703" t="s">
        <v>852</v>
      </c>
      <c r="G1703" t="s">
        <v>752</v>
      </c>
      <c r="H1703">
        <v>62</v>
      </c>
      <c r="I1703">
        <v>63.919400000000003</v>
      </c>
      <c r="J1703">
        <v>73.790300000000002</v>
      </c>
      <c r="K1703">
        <v>9.8709699999999998</v>
      </c>
      <c r="L1703">
        <v>44</v>
      </c>
      <c r="M1703">
        <v>2</v>
      </c>
      <c r="N1703">
        <v>16</v>
      </c>
      <c r="O1703">
        <v>73.866200000000006</v>
      </c>
      <c r="P1703">
        <v>8.3378499999999995</v>
      </c>
      <c r="Q1703">
        <v>18.004300000000001</v>
      </c>
    </row>
    <row r="1704" spans="1:17" x14ac:dyDescent="0.25">
      <c r="A1704" t="str">
        <f>IF(C1704&amp;G1704&amp;D1704&lt;&gt;'Funnel setup'!$K$3&amp;'Funnel setup'!$K$4&amp;'Funnel setup'!$K$6,".",IF(A1703=".",1,A1703+1))</f>
        <v>.</v>
      </c>
      <c r="B1704" s="244" t="str">
        <f t="shared" si="26"/>
        <v>Knee Replacement PrimarySub-ICB of GP PracticeNHS LANCASHIRE AND SOUTH CUMBRIA ICB - 01A (01A)EQ VAS</v>
      </c>
      <c r="C1704" t="s">
        <v>969</v>
      </c>
      <c r="D1704" t="s">
        <v>1021</v>
      </c>
      <c r="E1704" t="s">
        <v>853</v>
      </c>
      <c r="F1704" t="s">
        <v>854</v>
      </c>
      <c r="G1704" t="s">
        <v>752</v>
      </c>
      <c r="H1704">
        <v>122</v>
      </c>
      <c r="I1704">
        <v>70.008200000000002</v>
      </c>
      <c r="J1704">
        <v>73.8934</v>
      </c>
      <c r="K1704">
        <v>3.8852500000000001</v>
      </c>
      <c r="L1704">
        <v>64</v>
      </c>
      <c r="M1704">
        <v>16</v>
      </c>
      <c r="N1704">
        <v>42</v>
      </c>
      <c r="O1704">
        <v>72.126000000000005</v>
      </c>
      <c r="P1704">
        <v>6.5975900000000003</v>
      </c>
      <c r="Q1704">
        <v>18.339700000000001</v>
      </c>
    </row>
    <row r="1705" spans="1:17" x14ac:dyDescent="0.25">
      <c r="A1705" t="str">
        <f>IF(C1705&amp;G1705&amp;D1705&lt;&gt;'Funnel setup'!$K$3&amp;'Funnel setup'!$K$4&amp;'Funnel setup'!$K$6,".",IF(A1704=".",1,A1704+1))</f>
        <v>.</v>
      </c>
      <c r="B1705" s="244" t="str">
        <f t="shared" si="26"/>
        <v>Knee Replacement PrimarySub-ICB of GP PracticeNHS LANCASHIRE AND SOUTH CUMBRIA ICB - 01E (01E)EQ VAS</v>
      </c>
      <c r="C1705" t="s">
        <v>969</v>
      </c>
      <c r="D1705" t="s">
        <v>1021</v>
      </c>
      <c r="E1705" t="s">
        <v>855</v>
      </c>
      <c r="F1705" t="s">
        <v>856</v>
      </c>
      <c r="G1705" t="s">
        <v>752</v>
      </c>
      <c r="H1705">
        <v>64</v>
      </c>
      <c r="I1705">
        <v>62.8125</v>
      </c>
      <c r="J1705">
        <v>77.343800000000002</v>
      </c>
      <c r="K1705">
        <v>14.5313</v>
      </c>
      <c r="L1705">
        <v>47</v>
      </c>
      <c r="M1705">
        <v>3</v>
      </c>
      <c r="N1705">
        <v>14</v>
      </c>
      <c r="O1705">
        <v>78.498199999999997</v>
      </c>
      <c r="P1705">
        <v>12.969799999999999</v>
      </c>
      <c r="Q1705">
        <v>15.945499999999999</v>
      </c>
    </row>
    <row r="1706" spans="1:17" x14ac:dyDescent="0.25">
      <c r="A1706" t="str">
        <f>IF(C1706&amp;G1706&amp;D1706&lt;&gt;'Funnel setup'!$K$3&amp;'Funnel setup'!$K$4&amp;'Funnel setup'!$K$6,".",IF(A1705=".",1,A1705+1))</f>
        <v>.</v>
      </c>
      <c r="B1706" s="244" t="str">
        <f t="shared" si="26"/>
        <v>Knee Replacement PrimarySub-ICB of GP PracticeNHS LANCASHIRE AND SOUTH CUMBRIA ICB - 01K (01K)EQ VAS</v>
      </c>
      <c r="C1706" t="s">
        <v>969</v>
      </c>
      <c r="D1706" t="s">
        <v>1021</v>
      </c>
      <c r="E1706" t="s">
        <v>857</v>
      </c>
      <c r="F1706" t="s">
        <v>858</v>
      </c>
      <c r="G1706" t="s">
        <v>752</v>
      </c>
      <c r="H1706">
        <v>172</v>
      </c>
      <c r="I1706">
        <v>65.837199999999996</v>
      </c>
      <c r="J1706">
        <v>74.273300000000006</v>
      </c>
      <c r="K1706">
        <v>8.4360499999999998</v>
      </c>
      <c r="L1706">
        <v>107</v>
      </c>
      <c r="M1706">
        <v>16</v>
      </c>
      <c r="N1706">
        <v>49</v>
      </c>
      <c r="O1706">
        <v>73.918599999999998</v>
      </c>
      <c r="P1706">
        <v>8.3901500000000002</v>
      </c>
      <c r="Q1706">
        <v>16.6328</v>
      </c>
    </row>
    <row r="1707" spans="1:17" x14ac:dyDescent="0.25">
      <c r="A1707" t="str">
        <f>IF(C1707&amp;G1707&amp;D1707&lt;&gt;'Funnel setup'!$K$3&amp;'Funnel setup'!$K$4&amp;'Funnel setup'!$K$6,".",IF(A1706=".",1,A1706+1))</f>
        <v>.</v>
      </c>
      <c r="B1707" s="244" t="str">
        <f t="shared" si="26"/>
        <v>Knee Replacement PrimarySub-ICB of GP PracticeNHS LANCASHIRE AND SOUTH CUMBRIA ICB - 02G (02G)EQ VAS</v>
      </c>
      <c r="C1707" t="s">
        <v>969</v>
      </c>
      <c r="D1707" t="s">
        <v>1021</v>
      </c>
      <c r="E1707" t="s">
        <v>859</v>
      </c>
      <c r="F1707" t="s">
        <v>860</v>
      </c>
      <c r="G1707" t="s">
        <v>752</v>
      </c>
      <c r="H1707">
        <v>23</v>
      </c>
      <c r="I1707">
        <v>70.956500000000005</v>
      </c>
      <c r="J1707">
        <v>78.782600000000002</v>
      </c>
      <c r="K1707">
        <v>7.8260899999999998</v>
      </c>
      <c r="L1707">
        <v>16</v>
      </c>
      <c r="M1707">
        <v>2</v>
      </c>
      <c r="N1707">
        <v>5</v>
      </c>
      <c r="O1707" t="s">
        <v>127</v>
      </c>
      <c r="P1707" t="s">
        <v>127</v>
      </c>
      <c r="Q1707" t="s">
        <v>127</v>
      </c>
    </row>
    <row r="1708" spans="1:17" x14ac:dyDescent="0.25">
      <c r="A1708" t="str">
        <f>IF(C1708&amp;G1708&amp;D1708&lt;&gt;'Funnel setup'!$K$3&amp;'Funnel setup'!$K$4&amp;'Funnel setup'!$K$6,".",IF(A1707=".",1,A1707+1))</f>
        <v>.</v>
      </c>
      <c r="B1708" s="244" t="str">
        <f t="shared" si="26"/>
        <v>Knee Replacement PrimarySub-ICB of GP PracticeNHS LANCASHIRE AND SOUTH CUMBRIA ICB - 02M (02M)EQ VAS</v>
      </c>
      <c r="C1708" t="s">
        <v>969</v>
      </c>
      <c r="D1708" t="s">
        <v>1021</v>
      </c>
      <c r="E1708" t="s">
        <v>861</v>
      </c>
      <c r="F1708" t="s">
        <v>862</v>
      </c>
      <c r="G1708" t="s">
        <v>752</v>
      </c>
      <c r="H1708">
        <v>59</v>
      </c>
      <c r="I1708">
        <v>69.966099999999997</v>
      </c>
      <c r="J1708">
        <v>74.796599999999998</v>
      </c>
      <c r="K1708">
        <v>4.8305100000000003</v>
      </c>
      <c r="L1708">
        <v>30</v>
      </c>
      <c r="M1708">
        <v>8</v>
      </c>
      <c r="N1708">
        <v>21</v>
      </c>
      <c r="O1708">
        <v>73.444400000000002</v>
      </c>
      <c r="P1708">
        <v>7.9159800000000002</v>
      </c>
      <c r="Q1708">
        <v>14.793900000000001</v>
      </c>
    </row>
    <row r="1709" spans="1:17" x14ac:dyDescent="0.25">
      <c r="A1709" t="str">
        <f>IF(C1709&amp;G1709&amp;D1709&lt;&gt;'Funnel setup'!$K$3&amp;'Funnel setup'!$K$4&amp;'Funnel setup'!$K$6,".",IF(A1708=".",1,A1708+1))</f>
        <v>.</v>
      </c>
      <c r="B1709" s="244" t="str">
        <f t="shared" si="26"/>
        <v>Knee Replacement PrimarySub-ICB of GP PracticeNHS LEICESTER, LEICESTERSHIRE AND RUTLAND ICB - 03W (03W)EQ VAS</v>
      </c>
      <c r="C1709" t="s">
        <v>969</v>
      </c>
      <c r="D1709" t="s">
        <v>1021</v>
      </c>
      <c r="E1709" t="s">
        <v>863</v>
      </c>
      <c r="F1709" t="s">
        <v>864</v>
      </c>
      <c r="G1709" t="s">
        <v>752</v>
      </c>
      <c r="H1709">
        <v>141</v>
      </c>
      <c r="I1709">
        <v>62.723399999999998</v>
      </c>
      <c r="J1709">
        <v>75.007099999999994</v>
      </c>
      <c r="K1709">
        <v>12.2837</v>
      </c>
      <c r="L1709">
        <v>85</v>
      </c>
      <c r="M1709">
        <v>15</v>
      </c>
      <c r="N1709">
        <v>41</v>
      </c>
      <c r="O1709">
        <v>75.427899999999994</v>
      </c>
      <c r="P1709">
        <v>9.8995099999999994</v>
      </c>
      <c r="Q1709">
        <v>14.3969</v>
      </c>
    </row>
    <row r="1710" spans="1:17" x14ac:dyDescent="0.25">
      <c r="A1710" t="str">
        <f>IF(C1710&amp;G1710&amp;D1710&lt;&gt;'Funnel setup'!$K$3&amp;'Funnel setup'!$K$4&amp;'Funnel setup'!$K$6,".",IF(A1709=".",1,A1709+1))</f>
        <v>.</v>
      </c>
      <c r="B1710" s="244" t="str">
        <f t="shared" si="26"/>
        <v>Knee Replacement PrimarySub-ICB of GP PracticeNHS LEICESTER, LEICESTERSHIRE AND RUTLAND ICB - 04C (04C)EQ VAS</v>
      </c>
      <c r="C1710" t="s">
        <v>969</v>
      </c>
      <c r="D1710" t="s">
        <v>1021</v>
      </c>
      <c r="E1710" t="s">
        <v>865</v>
      </c>
      <c r="F1710" t="s">
        <v>866</v>
      </c>
      <c r="G1710" t="s">
        <v>752</v>
      </c>
      <c r="H1710">
        <v>41</v>
      </c>
      <c r="I1710">
        <v>60.146299999999997</v>
      </c>
      <c r="J1710">
        <v>66.463399999999993</v>
      </c>
      <c r="K1710">
        <v>6.3170700000000002</v>
      </c>
      <c r="L1710">
        <v>24</v>
      </c>
      <c r="M1710">
        <v>5</v>
      </c>
      <c r="N1710">
        <v>12</v>
      </c>
      <c r="O1710">
        <v>71.894999999999996</v>
      </c>
      <c r="P1710">
        <v>6.3665599999999998</v>
      </c>
      <c r="Q1710">
        <v>16.508099999999999</v>
      </c>
    </row>
    <row r="1711" spans="1:17" x14ac:dyDescent="0.25">
      <c r="A1711" t="str">
        <f>IF(C1711&amp;G1711&amp;D1711&lt;&gt;'Funnel setup'!$K$3&amp;'Funnel setup'!$K$4&amp;'Funnel setup'!$K$6,".",IF(A1710=".",1,A1710+1))</f>
        <v>.</v>
      </c>
      <c r="B1711" s="244" t="str">
        <f t="shared" si="26"/>
        <v>Knee Replacement PrimarySub-ICB of GP PracticeNHS LEICESTER, LEICESTERSHIRE AND RUTLAND ICB - 04V (04V)EQ VAS</v>
      </c>
      <c r="C1711" t="s">
        <v>969</v>
      </c>
      <c r="D1711" t="s">
        <v>1021</v>
      </c>
      <c r="E1711" t="s">
        <v>867</v>
      </c>
      <c r="F1711" t="s">
        <v>868</v>
      </c>
      <c r="G1711" t="s">
        <v>752</v>
      </c>
      <c r="H1711">
        <v>145</v>
      </c>
      <c r="I1711">
        <v>61.337899999999998</v>
      </c>
      <c r="J1711">
        <v>75.234499999999997</v>
      </c>
      <c r="K1711">
        <v>13.896599999999999</v>
      </c>
      <c r="L1711">
        <v>97</v>
      </c>
      <c r="M1711">
        <v>16</v>
      </c>
      <c r="N1711">
        <v>32</v>
      </c>
      <c r="O1711">
        <v>77.049000000000007</v>
      </c>
      <c r="P1711">
        <v>11.5206</v>
      </c>
      <c r="Q1711">
        <v>16.306799999999999</v>
      </c>
    </row>
    <row r="1712" spans="1:17" x14ac:dyDescent="0.25">
      <c r="A1712" t="str">
        <f>IF(C1712&amp;G1712&amp;D1712&lt;&gt;'Funnel setup'!$K$3&amp;'Funnel setup'!$K$4&amp;'Funnel setup'!$K$6,".",IF(A1711=".",1,A1711+1))</f>
        <v>.</v>
      </c>
      <c r="B1712" s="244" t="str">
        <f t="shared" si="26"/>
        <v>Knee Replacement PrimarySub-ICB of GP PracticeNHS LINCOLNSHIRE ICB - 71E (71E)EQ VAS</v>
      </c>
      <c r="C1712" t="s">
        <v>969</v>
      </c>
      <c r="D1712" t="s">
        <v>1021</v>
      </c>
      <c r="E1712" t="s">
        <v>869</v>
      </c>
      <c r="F1712" t="s">
        <v>870</v>
      </c>
      <c r="G1712" t="s">
        <v>752</v>
      </c>
      <c r="H1712">
        <v>276</v>
      </c>
      <c r="I1712">
        <v>68.257199999999997</v>
      </c>
      <c r="J1712">
        <v>75.699299999999994</v>
      </c>
      <c r="K1712">
        <v>7.4420299999999999</v>
      </c>
      <c r="L1712">
        <v>162</v>
      </c>
      <c r="M1712">
        <v>32</v>
      </c>
      <c r="N1712">
        <v>82</v>
      </c>
      <c r="O1712">
        <v>73.976699999999994</v>
      </c>
      <c r="P1712">
        <v>8.4482999999999997</v>
      </c>
      <c r="Q1712">
        <v>16.2134</v>
      </c>
    </row>
    <row r="1713" spans="1:17" x14ac:dyDescent="0.25">
      <c r="A1713" t="str">
        <f>IF(C1713&amp;G1713&amp;D1713&lt;&gt;'Funnel setup'!$K$3&amp;'Funnel setup'!$K$4&amp;'Funnel setup'!$K$6,".",IF(A1712=".",1,A1712+1))</f>
        <v>.</v>
      </c>
      <c r="B1713" s="244" t="str">
        <f t="shared" si="26"/>
        <v>Knee Replacement PrimarySub-ICB of GP PracticeNHS MID AND SOUTH ESSEX ICB - 06Q (06Q)EQ VAS</v>
      </c>
      <c r="C1713" t="s">
        <v>969</v>
      </c>
      <c r="D1713" t="s">
        <v>1021</v>
      </c>
      <c r="E1713" t="s">
        <v>871</v>
      </c>
      <c r="F1713" t="s">
        <v>872</v>
      </c>
      <c r="G1713" t="s">
        <v>752</v>
      </c>
      <c r="H1713">
        <v>118</v>
      </c>
      <c r="I1713">
        <v>65.923699999999997</v>
      </c>
      <c r="J1713">
        <v>74.661000000000001</v>
      </c>
      <c r="K1713">
        <v>8.7372899999999998</v>
      </c>
      <c r="L1713">
        <v>76</v>
      </c>
      <c r="M1713">
        <v>10</v>
      </c>
      <c r="N1713">
        <v>32</v>
      </c>
      <c r="O1713">
        <v>74.167199999999994</v>
      </c>
      <c r="P1713">
        <v>8.6387699999999992</v>
      </c>
      <c r="Q1713">
        <v>17.250800000000002</v>
      </c>
    </row>
    <row r="1714" spans="1:17" x14ac:dyDescent="0.25">
      <c r="A1714" t="str">
        <f>IF(C1714&amp;G1714&amp;D1714&lt;&gt;'Funnel setup'!$K$3&amp;'Funnel setup'!$K$4&amp;'Funnel setup'!$K$6,".",IF(A1713=".",1,A1713+1))</f>
        <v>.</v>
      </c>
      <c r="B1714" s="244" t="str">
        <f t="shared" si="26"/>
        <v>Knee Replacement PrimarySub-ICB of GP PracticeNHS MID AND SOUTH ESSEX ICB - 07G (07G)EQ VAS</v>
      </c>
      <c r="C1714" t="s">
        <v>969</v>
      </c>
      <c r="D1714" t="s">
        <v>1021</v>
      </c>
      <c r="E1714" t="s">
        <v>873</v>
      </c>
      <c r="F1714" t="s">
        <v>874</v>
      </c>
      <c r="G1714" t="s">
        <v>752</v>
      </c>
      <c r="H1714">
        <v>19</v>
      </c>
      <c r="I1714">
        <v>67.368399999999994</v>
      </c>
      <c r="J1714">
        <v>73.368399999999994</v>
      </c>
      <c r="K1714">
        <v>6</v>
      </c>
      <c r="L1714">
        <v>11</v>
      </c>
      <c r="M1714">
        <v>3</v>
      </c>
      <c r="N1714">
        <v>5</v>
      </c>
      <c r="O1714" t="s">
        <v>127</v>
      </c>
      <c r="P1714" t="s">
        <v>127</v>
      </c>
      <c r="Q1714" t="s">
        <v>127</v>
      </c>
    </row>
    <row r="1715" spans="1:17" x14ac:dyDescent="0.25">
      <c r="A1715" t="str">
        <f>IF(C1715&amp;G1715&amp;D1715&lt;&gt;'Funnel setup'!$K$3&amp;'Funnel setup'!$K$4&amp;'Funnel setup'!$K$6,".",IF(A1714=".",1,A1714+1))</f>
        <v>.</v>
      </c>
      <c r="B1715" s="244" t="str">
        <f t="shared" si="26"/>
        <v>Knee Replacement PrimarySub-ICB of GP PracticeNHS MID AND SOUTH ESSEX ICB - 99E (99E)EQ VAS</v>
      </c>
      <c r="C1715" t="s">
        <v>969</v>
      </c>
      <c r="D1715" t="s">
        <v>1021</v>
      </c>
      <c r="E1715" t="s">
        <v>875</v>
      </c>
      <c r="F1715" t="s">
        <v>876</v>
      </c>
      <c r="G1715" t="s">
        <v>752</v>
      </c>
      <c r="H1715">
        <v>51</v>
      </c>
      <c r="I1715">
        <v>61.784300000000002</v>
      </c>
      <c r="J1715">
        <v>67.549000000000007</v>
      </c>
      <c r="K1715">
        <v>5.76471</v>
      </c>
      <c r="L1715">
        <v>31</v>
      </c>
      <c r="M1715">
        <v>3</v>
      </c>
      <c r="N1715">
        <v>17</v>
      </c>
      <c r="O1715">
        <v>70.455699999999993</v>
      </c>
      <c r="P1715">
        <v>4.9272999999999998</v>
      </c>
      <c r="Q1715">
        <v>19.9453</v>
      </c>
    </row>
    <row r="1716" spans="1:17" x14ac:dyDescent="0.25">
      <c r="A1716" t="str">
        <f>IF(C1716&amp;G1716&amp;D1716&lt;&gt;'Funnel setup'!$K$3&amp;'Funnel setup'!$K$4&amp;'Funnel setup'!$K$6,".",IF(A1715=".",1,A1715+1))</f>
        <v>.</v>
      </c>
      <c r="B1716" s="244" t="str">
        <f t="shared" si="26"/>
        <v>Knee Replacement PrimarySub-ICB of GP PracticeNHS MID AND SOUTH ESSEX ICB - 99F (99F)EQ VAS</v>
      </c>
      <c r="C1716" t="s">
        <v>969</v>
      </c>
      <c r="D1716" t="s">
        <v>1021</v>
      </c>
      <c r="E1716" t="s">
        <v>877</v>
      </c>
      <c r="F1716" t="s">
        <v>878</v>
      </c>
      <c r="G1716" t="s">
        <v>752</v>
      </c>
      <c r="H1716">
        <v>32</v>
      </c>
      <c r="I1716">
        <v>62</v>
      </c>
      <c r="J1716">
        <v>69.156300000000002</v>
      </c>
      <c r="K1716">
        <v>7.15625</v>
      </c>
      <c r="L1716">
        <v>20</v>
      </c>
      <c r="M1716">
        <v>3</v>
      </c>
      <c r="N1716">
        <v>9</v>
      </c>
      <c r="O1716">
        <v>71.167100000000005</v>
      </c>
      <c r="P1716">
        <v>5.6386900000000004</v>
      </c>
      <c r="Q1716">
        <v>16.873000000000001</v>
      </c>
    </row>
    <row r="1717" spans="1:17" x14ac:dyDescent="0.25">
      <c r="A1717" t="str">
        <f>IF(C1717&amp;G1717&amp;D1717&lt;&gt;'Funnel setup'!$K$3&amp;'Funnel setup'!$K$4&amp;'Funnel setup'!$K$6,".",IF(A1716=".",1,A1716+1))</f>
        <v>.</v>
      </c>
      <c r="B1717" s="244" t="str">
        <f t="shared" si="26"/>
        <v>Knee Replacement PrimarySub-ICB of GP PracticeNHS MID AND SOUTH ESSEX ICB - 99G (99G)EQ VAS</v>
      </c>
      <c r="C1717" t="s">
        <v>969</v>
      </c>
      <c r="D1717" t="s">
        <v>1021</v>
      </c>
      <c r="E1717" t="s">
        <v>879</v>
      </c>
      <c r="F1717" t="s">
        <v>880</v>
      </c>
      <c r="G1717" t="s">
        <v>752</v>
      </c>
      <c r="H1717">
        <v>12</v>
      </c>
      <c r="I1717">
        <v>71.25</v>
      </c>
      <c r="J1717">
        <v>69.916700000000006</v>
      </c>
      <c r="K1717">
        <v>-1.3333299999999999</v>
      </c>
      <c r="L1717">
        <v>6</v>
      </c>
      <c r="M1717">
        <v>1</v>
      </c>
      <c r="N1717">
        <v>5</v>
      </c>
      <c r="O1717" t="s">
        <v>127</v>
      </c>
      <c r="P1717" t="s">
        <v>127</v>
      </c>
      <c r="Q1717" t="s">
        <v>127</v>
      </c>
    </row>
    <row r="1718" spans="1:17" x14ac:dyDescent="0.25">
      <c r="A1718" t="str">
        <f>IF(C1718&amp;G1718&amp;D1718&lt;&gt;'Funnel setup'!$K$3&amp;'Funnel setup'!$K$4&amp;'Funnel setup'!$K$6,".",IF(A1717=".",1,A1717+1))</f>
        <v>.</v>
      </c>
      <c r="B1718" s="244" t="str">
        <f t="shared" si="26"/>
        <v>Knee Replacement PrimarySub-ICB of GP PracticeNHS NORFOLK AND WAVENEY ICB - 26A (26A)EQ VAS</v>
      </c>
      <c r="C1718" t="s">
        <v>969</v>
      </c>
      <c r="D1718" t="s">
        <v>1021</v>
      </c>
      <c r="E1718" t="s">
        <v>881</v>
      </c>
      <c r="F1718" t="s">
        <v>882</v>
      </c>
      <c r="G1718" t="s">
        <v>752</v>
      </c>
      <c r="H1718">
        <v>286</v>
      </c>
      <c r="I1718">
        <v>61.314700000000002</v>
      </c>
      <c r="J1718">
        <v>71.220299999999995</v>
      </c>
      <c r="K1718">
        <v>9.9055900000000001</v>
      </c>
      <c r="L1718">
        <v>176</v>
      </c>
      <c r="M1718">
        <v>33</v>
      </c>
      <c r="N1718">
        <v>77</v>
      </c>
      <c r="O1718">
        <v>73.519300000000001</v>
      </c>
      <c r="P1718">
        <v>7.9909100000000004</v>
      </c>
      <c r="Q1718">
        <v>16.666799999999999</v>
      </c>
    </row>
    <row r="1719" spans="1:17" x14ac:dyDescent="0.25">
      <c r="A1719" t="str">
        <f>IF(C1719&amp;G1719&amp;D1719&lt;&gt;'Funnel setup'!$K$3&amp;'Funnel setup'!$K$4&amp;'Funnel setup'!$K$6,".",IF(A1718=".",1,A1718+1))</f>
        <v>.</v>
      </c>
      <c r="B1719" s="244" t="str">
        <f t="shared" si="26"/>
        <v>Knee Replacement PrimarySub-ICB of GP PracticeNHS NORTH CENTRAL LONDON ICB - 93C (93C)EQ VAS</v>
      </c>
      <c r="C1719" t="s">
        <v>969</v>
      </c>
      <c r="D1719" t="s">
        <v>1021</v>
      </c>
      <c r="E1719" t="s">
        <v>883</v>
      </c>
      <c r="F1719" t="s">
        <v>884</v>
      </c>
      <c r="G1719" t="s">
        <v>752</v>
      </c>
      <c r="H1719">
        <v>145</v>
      </c>
      <c r="I1719">
        <v>65.441400000000002</v>
      </c>
      <c r="J1719">
        <v>72.413799999999995</v>
      </c>
      <c r="K1719">
        <v>6.97241</v>
      </c>
      <c r="L1719">
        <v>81</v>
      </c>
      <c r="M1719">
        <v>20</v>
      </c>
      <c r="N1719">
        <v>44</v>
      </c>
      <c r="O1719">
        <v>73.913499999999999</v>
      </c>
      <c r="P1719">
        <v>8.3851200000000006</v>
      </c>
      <c r="Q1719">
        <v>16.101700000000001</v>
      </c>
    </row>
    <row r="1720" spans="1:17" x14ac:dyDescent="0.25">
      <c r="A1720" t="str">
        <f>IF(C1720&amp;G1720&amp;D1720&lt;&gt;'Funnel setup'!$K$3&amp;'Funnel setup'!$K$4&amp;'Funnel setup'!$K$6,".",IF(A1719=".",1,A1719+1))</f>
        <v>.</v>
      </c>
      <c r="B1720" s="244" t="str">
        <f t="shared" si="26"/>
        <v>Knee Replacement PrimarySub-ICB of GP PracticeNHS NORTH EAST AND NORTH CUMBRIA ICB - 00L (00L)EQ VAS</v>
      </c>
      <c r="C1720" t="s">
        <v>969</v>
      </c>
      <c r="D1720" t="s">
        <v>1021</v>
      </c>
      <c r="E1720" t="s">
        <v>885</v>
      </c>
      <c r="F1720" t="s">
        <v>886</v>
      </c>
      <c r="G1720" t="s">
        <v>752</v>
      </c>
      <c r="H1720">
        <v>194</v>
      </c>
      <c r="I1720">
        <v>62.443300000000001</v>
      </c>
      <c r="J1720">
        <v>72.664900000000003</v>
      </c>
      <c r="K1720">
        <v>10.2216</v>
      </c>
      <c r="L1720">
        <v>126</v>
      </c>
      <c r="M1720">
        <v>19</v>
      </c>
      <c r="N1720">
        <v>49</v>
      </c>
      <c r="O1720">
        <v>73.819999999999993</v>
      </c>
      <c r="P1720">
        <v>8.2916100000000004</v>
      </c>
      <c r="Q1720">
        <v>16.9039</v>
      </c>
    </row>
    <row r="1721" spans="1:17" x14ac:dyDescent="0.25">
      <c r="A1721" t="str">
        <f>IF(C1721&amp;G1721&amp;D1721&lt;&gt;'Funnel setup'!$K$3&amp;'Funnel setup'!$K$4&amp;'Funnel setup'!$K$6,".",IF(A1720=".",1,A1720+1))</f>
        <v>.</v>
      </c>
      <c r="B1721" s="244" t="str">
        <f t="shared" si="26"/>
        <v>Knee Replacement PrimarySub-ICB of GP PracticeNHS NORTH EAST AND NORTH CUMBRIA ICB - 00N (00N)EQ VAS</v>
      </c>
      <c r="C1721" t="s">
        <v>969</v>
      </c>
      <c r="D1721" t="s">
        <v>1021</v>
      </c>
      <c r="E1721" t="s">
        <v>887</v>
      </c>
      <c r="F1721" t="s">
        <v>888</v>
      </c>
      <c r="G1721" t="s">
        <v>752</v>
      </c>
      <c r="H1721">
        <v>9</v>
      </c>
      <c r="I1721">
        <v>73.444400000000002</v>
      </c>
      <c r="J1721">
        <v>86.777799999999999</v>
      </c>
      <c r="K1721">
        <v>13.333299999999999</v>
      </c>
      <c r="L1721">
        <v>5</v>
      </c>
      <c r="M1721">
        <v>0</v>
      </c>
      <c r="N1721">
        <v>4</v>
      </c>
      <c r="O1721" t="s">
        <v>127</v>
      </c>
      <c r="P1721" t="s">
        <v>127</v>
      </c>
      <c r="Q1721" t="s">
        <v>127</v>
      </c>
    </row>
    <row r="1722" spans="1:17" x14ac:dyDescent="0.25">
      <c r="A1722" t="str">
        <f>IF(C1722&amp;G1722&amp;D1722&lt;&gt;'Funnel setup'!$K$3&amp;'Funnel setup'!$K$4&amp;'Funnel setup'!$K$6,".",IF(A1721=".",1,A1721+1))</f>
        <v>.</v>
      </c>
      <c r="B1722" s="244" t="str">
        <f t="shared" si="26"/>
        <v>Knee Replacement PrimarySub-ICB of GP PracticeNHS NORTH EAST AND NORTH CUMBRIA ICB - 00P (00P)EQ VAS</v>
      </c>
      <c r="C1722" t="s">
        <v>969</v>
      </c>
      <c r="D1722" t="s">
        <v>1021</v>
      </c>
      <c r="E1722" t="s">
        <v>889</v>
      </c>
      <c r="F1722" t="s">
        <v>890</v>
      </c>
      <c r="G1722" t="s">
        <v>752</v>
      </c>
      <c r="H1722">
        <v>25</v>
      </c>
      <c r="I1722">
        <v>65.08</v>
      </c>
      <c r="J1722">
        <v>72.44</v>
      </c>
      <c r="K1722">
        <v>7.36</v>
      </c>
      <c r="L1722">
        <v>17</v>
      </c>
      <c r="M1722">
        <v>2</v>
      </c>
      <c r="N1722">
        <v>6</v>
      </c>
      <c r="O1722" t="s">
        <v>127</v>
      </c>
      <c r="P1722" t="s">
        <v>127</v>
      </c>
      <c r="Q1722" t="s">
        <v>127</v>
      </c>
    </row>
    <row r="1723" spans="1:17" x14ac:dyDescent="0.25">
      <c r="A1723" t="str">
        <f>IF(C1723&amp;G1723&amp;D1723&lt;&gt;'Funnel setup'!$K$3&amp;'Funnel setup'!$K$4&amp;'Funnel setup'!$K$6,".",IF(A1722=".",1,A1722+1))</f>
        <v>.</v>
      </c>
      <c r="B1723" s="244" t="str">
        <f t="shared" si="26"/>
        <v>Knee Replacement PrimarySub-ICB of GP PracticeNHS NORTH EAST AND NORTH CUMBRIA ICB - 01H (01H)EQ VAS</v>
      </c>
      <c r="C1723" t="s">
        <v>969</v>
      </c>
      <c r="D1723" t="s">
        <v>1021</v>
      </c>
      <c r="E1723" t="s">
        <v>891</v>
      </c>
      <c r="F1723" t="s">
        <v>892</v>
      </c>
      <c r="G1723" t="s">
        <v>752</v>
      </c>
      <c r="H1723">
        <v>197</v>
      </c>
      <c r="I1723">
        <v>67.319800000000001</v>
      </c>
      <c r="J1723">
        <v>76.060900000000004</v>
      </c>
      <c r="K1723">
        <v>8.7411200000000004</v>
      </c>
      <c r="L1723">
        <v>121</v>
      </c>
      <c r="M1723">
        <v>21</v>
      </c>
      <c r="N1723">
        <v>55</v>
      </c>
      <c r="O1723">
        <v>74.901700000000005</v>
      </c>
      <c r="P1723">
        <v>9.3732600000000001</v>
      </c>
      <c r="Q1723">
        <v>16.933599999999998</v>
      </c>
    </row>
    <row r="1724" spans="1:17" x14ac:dyDescent="0.25">
      <c r="A1724" t="str">
        <f>IF(C1724&amp;G1724&amp;D1724&lt;&gt;'Funnel setup'!$K$3&amp;'Funnel setup'!$K$4&amp;'Funnel setup'!$K$6,".",IF(A1723=".",1,A1723+1))</f>
        <v>.</v>
      </c>
      <c r="B1724" s="244" t="str">
        <f t="shared" si="26"/>
        <v>Knee Replacement PrimarySub-ICB of GP PracticeNHS NORTH EAST AND NORTH CUMBRIA ICB - 13T (13T)EQ VAS</v>
      </c>
      <c r="C1724" t="s">
        <v>969</v>
      </c>
      <c r="D1724" t="s">
        <v>1021</v>
      </c>
      <c r="E1724" t="s">
        <v>893</v>
      </c>
      <c r="F1724" t="s">
        <v>894</v>
      </c>
      <c r="G1724" t="s">
        <v>752</v>
      </c>
      <c r="H1724">
        <v>63</v>
      </c>
      <c r="I1724">
        <v>60.904800000000002</v>
      </c>
      <c r="J1724">
        <v>72.857100000000003</v>
      </c>
      <c r="K1724">
        <v>11.952400000000001</v>
      </c>
      <c r="L1724">
        <v>47</v>
      </c>
      <c r="M1724">
        <v>4</v>
      </c>
      <c r="N1724">
        <v>12</v>
      </c>
      <c r="O1724">
        <v>75.503100000000003</v>
      </c>
      <c r="P1724">
        <v>9.9746900000000007</v>
      </c>
      <c r="Q1724">
        <v>15.257899999999999</v>
      </c>
    </row>
    <row r="1725" spans="1:17" x14ac:dyDescent="0.25">
      <c r="A1725" t="str">
        <f>IF(C1725&amp;G1725&amp;D1725&lt;&gt;'Funnel setup'!$K$3&amp;'Funnel setup'!$K$4&amp;'Funnel setup'!$K$6,".",IF(A1724=".",1,A1724+1))</f>
        <v>.</v>
      </c>
      <c r="B1725" s="244" t="str">
        <f t="shared" si="26"/>
        <v>Knee Replacement PrimarySub-ICB of GP PracticeNHS NORTH EAST AND NORTH CUMBRIA ICB - 16C (16C)EQ VAS</v>
      </c>
      <c r="C1725" t="s">
        <v>969</v>
      </c>
      <c r="D1725" t="s">
        <v>1021</v>
      </c>
      <c r="E1725" t="s">
        <v>895</v>
      </c>
      <c r="F1725" t="s">
        <v>896</v>
      </c>
      <c r="G1725" t="s">
        <v>752</v>
      </c>
      <c r="H1725">
        <v>363</v>
      </c>
      <c r="I1725">
        <v>69.567499999999995</v>
      </c>
      <c r="J1725">
        <v>73.661199999999994</v>
      </c>
      <c r="K1725">
        <v>4.0936599999999999</v>
      </c>
      <c r="L1725">
        <v>200</v>
      </c>
      <c r="M1725">
        <v>46</v>
      </c>
      <c r="N1725">
        <v>117</v>
      </c>
      <c r="O1725">
        <v>73.375699999999995</v>
      </c>
      <c r="P1725">
        <v>7.8472900000000001</v>
      </c>
      <c r="Q1725">
        <v>17.900700000000001</v>
      </c>
    </row>
    <row r="1726" spans="1:17" x14ac:dyDescent="0.25">
      <c r="A1726" t="str">
        <f>IF(C1726&amp;G1726&amp;D1726&lt;&gt;'Funnel setup'!$K$3&amp;'Funnel setup'!$K$4&amp;'Funnel setup'!$K$6,".",IF(A1725=".",1,A1725+1))</f>
        <v>.</v>
      </c>
      <c r="B1726" s="244" t="str">
        <f t="shared" si="26"/>
        <v>Knee Replacement PrimarySub-ICB of GP PracticeNHS NORTH EAST AND NORTH CUMBRIA ICB - 84H (84H)EQ VAS</v>
      </c>
      <c r="C1726" t="s">
        <v>969</v>
      </c>
      <c r="D1726" t="s">
        <v>1021</v>
      </c>
      <c r="E1726" t="s">
        <v>897</v>
      </c>
      <c r="F1726" t="s">
        <v>898</v>
      </c>
      <c r="G1726" t="s">
        <v>752</v>
      </c>
      <c r="H1726">
        <v>267</v>
      </c>
      <c r="I1726">
        <v>68.221000000000004</v>
      </c>
      <c r="J1726">
        <v>75.037499999999994</v>
      </c>
      <c r="K1726">
        <v>6.8164800000000003</v>
      </c>
      <c r="L1726">
        <v>161</v>
      </c>
      <c r="M1726">
        <v>24</v>
      </c>
      <c r="N1726">
        <v>82</v>
      </c>
      <c r="O1726">
        <v>74.402900000000002</v>
      </c>
      <c r="P1726">
        <v>8.8744800000000001</v>
      </c>
      <c r="Q1726">
        <v>14.325900000000001</v>
      </c>
    </row>
    <row r="1727" spans="1:17" x14ac:dyDescent="0.25">
      <c r="A1727" t="str">
        <f>IF(C1727&amp;G1727&amp;D1727&lt;&gt;'Funnel setup'!$K$3&amp;'Funnel setup'!$K$4&amp;'Funnel setup'!$K$6,".",IF(A1726=".",1,A1726+1))</f>
        <v>.</v>
      </c>
      <c r="B1727" s="244" t="str">
        <f t="shared" si="26"/>
        <v>Knee Replacement PrimarySub-ICB of GP PracticeNHS NORTH EAST AND NORTH CUMBRIA ICB - 99C (99C)EQ VAS</v>
      </c>
      <c r="C1727" t="s">
        <v>969</v>
      </c>
      <c r="D1727" t="s">
        <v>1021</v>
      </c>
      <c r="E1727" t="s">
        <v>899</v>
      </c>
      <c r="F1727" t="s">
        <v>900</v>
      </c>
      <c r="G1727" t="s">
        <v>752</v>
      </c>
      <c r="H1727">
        <v>100</v>
      </c>
      <c r="I1727">
        <v>62.51</v>
      </c>
      <c r="J1727">
        <v>75.760000000000005</v>
      </c>
      <c r="K1727">
        <v>13.25</v>
      </c>
      <c r="L1727">
        <v>70</v>
      </c>
      <c r="M1727">
        <v>10</v>
      </c>
      <c r="N1727">
        <v>20</v>
      </c>
      <c r="O1727">
        <v>76.879499999999993</v>
      </c>
      <c r="P1727">
        <v>11.351100000000001</v>
      </c>
      <c r="Q1727">
        <v>14.0915</v>
      </c>
    </row>
    <row r="1728" spans="1:17" x14ac:dyDescent="0.25">
      <c r="A1728" t="str">
        <f>IF(C1728&amp;G1728&amp;D1728&lt;&gt;'Funnel setup'!$K$3&amp;'Funnel setup'!$K$4&amp;'Funnel setup'!$K$6,".",IF(A1727=".",1,A1727+1))</f>
        <v>.</v>
      </c>
      <c r="B1728" s="244" t="str">
        <f t="shared" si="26"/>
        <v>Knee Replacement PrimarySub-ICB of GP PracticeNHS NORTH EAST LONDON ICB - A3A8R (A3A8R)EQ VAS</v>
      </c>
      <c r="C1728" t="s">
        <v>969</v>
      </c>
      <c r="D1728" t="s">
        <v>1021</v>
      </c>
      <c r="E1728" t="s">
        <v>901</v>
      </c>
      <c r="F1728" t="s">
        <v>902</v>
      </c>
      <c r="G1728" t="s">
        <v>752</v>
      </c>
      <c r="H1728">
        <v>208</v>
      </c>
      <c r="I1728">
        <v>61.716299999999997</v>
      </c>
      <c r="J1728">
        <v>69.591300000000004</v>
      </c>
      <c r="K1728">
        <v>7.875</v>
      </c>
      <c r="L1728">
        <v>128</v>
      </c>
      <c r="M1728">
        <v>19</v>
      </c>
      <c r="N1728">
        <v>61</v>
      </c>
      <c r="O1728">
        <v>73.039599999999993</v>
      </c>
      <c r="P1728">
        <v>7.5112199999999998</v>
      </c>
      <c r="Q1728">
        <v>16.9374</v>
      </c>
    </row>
    <row r="1729" spans="1:17" x14ac:dyDescent="0.25">
      <c r="A1729" t="str">
        <f>IF(C1729&amp;G1729&amp;D1729&lt;&gt;'Funnel setup'!$K$3&amp;'Funnel setup'!$K$4&amp;'Funnel setup'!$K$6,".",IF(A1728=".",1,A1728+1))</f>
        <v>.</v>
      </c>
      <c r="B1729" s="244" t="str">
        <f t="shared" si="26"/>
        <v>Knee Replacement PrimarySub-ICB of GP PracticeNHS NORTH WEST LONDON ICB - W2U3Z (W2U3Z)EQ VAS</v>
      </c>
      <c r="C1729" t="s">
        <v>969</v>
      </c>
      <c r="D1729" t="s">
        <v>1021</v>
      </c>
      <c r="E1729" t="s">
        <v>903</v>
      </c>
      <c r="F1729" t="s">
        <v>904</v>
      </c>
      <c r="G1729" t="s">
        <v>752</v>
      </c>
      <c r="H1729">
        <v>191</v>
      </c>
      <c r="I1729">
        <v>64.052400000000006</v>
      </c>
      <c r="J1729">
        <v>70.162300000000002</v>
      </c>
      <c r="K1729">
        <v>6.1099500000000004</v>
      </c>
      <c r="L1729">
        <v>113</v>
      </c>
      <c r="M1729">
        <v>18</v>
      </c>
      <c r="N1729">
        <v>60</v>
      </c>
      <c r="O1729">
        <v>71.480500000000006</v>
      </c>
      <c r="P1729">
        <v>5.9520900000000001</v>
      </c>
      <c r="Q1729">
        <v>18.415800000000001</v>
      </c>
    </row>
    <row r="1730" spans="1:17" x14ac:dyDescent="0.25">
      <c r="A1730" t="str">
        <f>IF(C1730&amp;G1730&amp;D1730&lt;&gt;'Funnel setup'!$K$3&amp;'Funnel setup'!$K$4&amp;'Funnel setup'!$K$6,".",IF(A1729=".",1,A1729+1))</f>
        <v>.</v>
      </c>
      <c r="B1730" s="244" t="str">
        <f t="shared" ref="B1730:B1793" si="27">C1730&amp;D1730&amp;F1730&amp;G1730</f>
        <v>Knee Replacement PrimarySub-ICB of GP PracticeNHS NORTHAMPTONSHIRE ICB - 78H (78H)EQ VAS</v>
      </c>
      <c r="C1730" t="s">
        <v>969</v>
      </c>
      <c r="D1730" t="s">
        <v>1021</v>
      </c>
      <c r="E1730" t="s">
        <v>905</v>
      </c>
      <c r="F1730" t="s">
        <v>906</v>
      </c>
      <c r="G1730" t="s">
        <v>752</v>
      </c>
      <c r="H1730">
        <v>213</v>
      </c>
      <c r="I1730">
        <v>60.488300000000002</v>
      </c>
      <c r="J1730">
        <v>72.727699999999999</v>
      </c>
      <c r="K1730">
        <v>12.2394</v>
      </c>
      <c r="L1730">
        <v>136</v>
      </c>
      <c r="M1730">
        <v>17</v>
      </c>
      <c r="N1730">
        <v>60</v>
      </c>
      <c r="O1730">
        <v>73.382300000000001</v>
      </c>
      <c r="P1730">
        <v>7.8538500000000004</v>
      </c>
      <c r="Q1730">
        <v>18.2745</v>
      </c>
    </row>
    <row r="1731" spans="1:17" x14ac:dyDescent="0.25">
      <c r="A1731" t="str">
        <f>IF(C1731&amp;G1731&amp;D1731&lt;&gt;'Funnel setup'!$K$3&amp;'Funnel setup'!$K$4&amp;'Funnel setup'!$K$6,".",IF(A1730=".",1,A1730+1))</f>
        <v>.</v>
      </c>
      <c r="B1731" s="244" t="str">
        <f t="shared" si="27"/>
        <v>Knee Replacement PrimarySub-ICB of GP PracticeNHS NOTTINGHAM AND NOTTINGHAMSHIRE ICB - 02Q (02Q)EQ VAS</v>
      </c>
      <c r="C1731" t="s">
        <v>969</v>
      </c>
      <c r="D1731" t="s">
        <v>1021</v>
      </c>
      <c r="E1731" t="s">
        <v>907</v>
      </c>
      <c r="F1731" t="s">
        <v>908</v>
      </c>
      <c r="G1731" t="s">
        <v>752</v>
      </c>
      <c r="H1731">
        <v>42</v>
      </c>
      <c r="I1731">
        <v>63.071399999999997</v>
      </c>
      <c r="J1731">
        <v>74.142899999999997</v>
      </c>
      <c r="K1731">
        <v>11.071400000000001</v>
      </c>
      <c r="L1731">
        <v>31</v>
      </c>
      <c r="M1731">
        <v>2</v>
      </c>
      <c r="N1731">
        <v>9</v>
      </c>
      <c r="O1731">
        <v>76.231999999999999</v>
      </c>
      <c r="P1731">
        <v>10.7036</v>
      </c>
      <c r="Q1731">
        <v>16.286999999999999</v>
      </c>
    </row>
    <row r="1732" spans="1:17" x14ac:dyDescent="0.25">
      <c r="A1732" t="str">
        <f>IF(C1732&amp;G1732&amp;D1732&lt;&gt;'Funnel setup'!$K$3&amp;'Funnel setup'!$K$4&amp;'Funnel setup'!$K$6,".",IF(A1731=".",1,A1731+1))</f>
        <v>.</v>
      </c>
      <c r="B1732" s="244" t="str">
        <f t="shared" si="27"/>
        <v>Knee Replacement PrimarySub-ICB of GP PracticeNHS NOTTINGHAM AND NOTTINGHAMSHIRE ICB - 52R (52R)EQ VAS</v>
      </c>
      <c r="C1732" t="s">
        <v>969</v>
      </c>
      <c r="D1732" t="s">
        <v>1021</v>
      </c>
      <c r="E1732" t="s">
        <v>909</v>
      </c>
      <c r="F1732" t="s">
        <v>910</v>
      </c>
      <c r="G1732" t="s">
        <v>752</v>
      </c>
      <c r="H1732">
        <v>193</v>
      </c>
      <c r="I1732">
        <v>66.139899999999997</v>
      </c>
      <c r="J1732">
        <v>73.860100000000003</v>
      </c>
      <c r="K1732">
        <v>7.7202099999999998</v>
      </c>
      <c r="L1732">
        <v>122</v>
      </c>
      <c r="M1732">
        <v>18</v>
      </c>
      <c r="N1732">
        <v>53</v>
      </c>
      <c r="O1732">
        <v>73.078800000000001</v>
      </c>
      <c r="P1732">
        <v>7.55037</v>
      </c>
      <c r="Q1732">
        <v>18.2502</v>
      </c>
    </row>
    <row r="1733" spans="1:17" x14ac:dyDescent="0.25">
      <c r="A1733" t="str">
        <f>IF(C1733&amp;G1733&amp;D1733&lt;&gt;'Funnel setup'!$K$3&amp;'Funnel setup'!$K$4&amp;'Funnel setup'!$K$6,".",IF(A1732=".",1,A1732+1))</f>
        <v>.</v>
      </c>
      <c r="B1733" s="244" t="str">
        <f t="shared" si="27"/>
        <v>Knee Replacement PrimarySub-ICB of GP PracticeNHS SHROPSHIRE, TELFORD AND WREKIN ICB - M2L0M (M2L0M)EQ VAS</v>
      </c>
      <c r="C1733" t="s">
        <v>969</v>
      </c>
      <c r="D1733" t="s">
        <v>1021</v>
      </c>
      <c r="E1733" t="s">
        <v>911</v>
      </c>
      <c r="F1733" t="s">
        <v>912</v>
      </c>
      <c r="G1733" t="s">
        <v>752</v>
      </c>
      <c r="H1733">
        <v>177</v>
      </c>
      <c r="I1733">
        <v>60.152500000000003</v>
      </c>
      <c r="J1733">
        <v>73.474599999999995</v>
      </c>
      <c r="K1733">
        <v>13.321999999999999</v>
      </c>
      <c r="L1733">
        <v>124</v>
      </c>
      <c r="M1733">
        <v>13</v>
      </c>
      <c r="N1733">
        <v>40</v>
      </c>
      <c r="O1733">
        <v>75.522199999999998</v>
      </c>
      <c r="P1733">
        <v>9.9938400000000005</v>
      </c>
      <c r="Q1733">
        <v>15.177300000000001</v>
      </c>
    </row>
    <row r="1734" spans="1:17" x14ac:dyDescent="0.25">
      <c r="A1734" t="str">
        <f>IF(C1734&amp;G1734&amp;D1734&lt;&gt;'Funnel setup'!$K$3&amp;'Funnel setup'!$K$4&amp;'Funnel setup'!$K$6,".",IF(A1733=".",1,A1733+1))</f>
        <v>.</v>
      </c>
      <c r="B1734" s="244" t="str">
        <f t="shared" si="27"/>
        <v>Knee Replacement PrimarySub-ICB of GP PracticeNHS SOMERSET ICB - 11X (11X)EQ VAS</v>
      </c>
      <c r="C1734" t="s">
        <v>969</v>
      </c>
      <c r="D1734" t="s">
        <v>1021</v>
      </c>
      <c r="E1734" t="s">
        <v>913</v>
      </c>
      <c r="F1734" t="s">
        <v>914</v>
      </c>
      <c r="G1734" t="s">
        <v>752</v>
      </c>
      <c r="H1734">
        <v>192</v>
      </c>
      <c r="I1734">
        <v>67.416700000000006</v>
      </c>
      <c r="J1734">
        <v>76.0625</v>
      </c>
      <c r="K1734">
        <v>8.6458300000000001</v>
      </c>
      <c r="L1734">
        <v>123</v>
      </c>
      <c r="M1734">
        <v>23</v>
      </c>
      <c r="N1734">
        <v>46</v>
      </c>
      <c r="O1734">
        <v>74.972800000000007</v>
      </c>
      <c r="P1734">
        <v>9.4444099999999995</v>
      </c>
      <c r="Q1734">
        <v>18.116</v>
      </c>
    </row>
    <row r="1735" spans="1:17" x14ac:dyDescent="0.25">
      <c r="A1735" t="str">
        <f>IF(C1735&amp;G1735&amp;D1735&lt;&gt;'Funnel setup'!$K$3&amp;'Funnel setup'!$K$4&amp;'Funnel setup'!$K$6,".",IF(A1734=".",1,A1734+1))</f>
        <v>.</v>
      </c>
      <c r="B1735" s="244" t="str">
        <f t="shared" si="27"/>
        <v>Knee Replacement PrimarySub-ICB of GP PracticeNHS SOUTH EAST LONDON ICB - 72Q (72Q)EQ VAS</v>
      </c>
      <c r="C1735" t="s">
        <v>969</v>
      </c>
      <c r="D1735" t="s">
        <v>1021</v>
      </c>
      <c r="E1735" t="s">
        <v>915</v>
      </c>
      <c r="F1735" t="s">
        <v>916</v>
      </c>
      <c r="G1735" t="s">
        <v>752</v>
      </c>
      <c r="H1735">
        <v>118</v>
      </c>
      <c r="I1735">
        <v>65.796599999999998</v>
      </c>
      <c r="J1735">
        <v>73.237300000000005</v>
      </c>
      <c r="K1735">
        <v>7.4406800000000004</v>
      </c>
      <c r="L1735">
        <v>71</v>
      </c>
      <c r="M1735">
        <v>9</v>
      </c>
      <c r="N1735">
        <v>38</v>
      </c>
      <c r="O1735">
        <v>72.706599999999995</v>
      </c>
      <c r="P1735">
        <v>7.1782000000000004</v>
      </c>
      <c r="Q1735">
        <v>13.8965</v>
      </c>
    </row>
    <row r="1736" spans="1:17" x14ac:dyDescent="0.25">
      <c r="A1736" t="str">
        <f>IF(C1736&amp;G1736&amp;D1736&lt;&gt;'Funnel setup'!$K$3&amp;'Funnel setup'!$K$4&amp;'Funnel setup'!$K$6,".",IF(A1735=".",1,A1735+1))</f>
        <v>.</v>
      </c>
      <c r="B1736" s="244" t="str">
        <f t="shared" si="27"/>
        <v>Knee Replacement PrimarySub-ICB of GP PracticeNHS SOUTH WEST LONDON ICB - 36L (36L)EQ VAS</v>
      </c>
      <c r="C1736" t="s">
        <v>969</v>
      </c>
      <c r="D1736" t="s">
        <v>1021</v>
      </c>
      <c r="E1736" t="s">
        <v>917</v>
      </c>
      <c r="F1736" t="s">
        <v>918</v>
      </c>
      <c r="G1736" t="s">
        <v>752</v>
      </c>
      <c r="H1736">
        <v>475</v>
      </c>
      <c r="I1736">
        <v>63.72</v>
      </c>
      <c r="J1736">
        <v>73.307400000000001</v>
      </c>
      <c r="K1736">
        <v>9.5873699999999999</v>
      </c>
      <c r="L1736">
        <v>312</v>
      </c>
      <c r="M1736">
        <v>45</v>
      </c>
      <c r="N1736">
        <v>118</v>
      </c>
      <c r="O1736">
        <v>74.377899999999997</v>
      </c>
      <c r="P1736">
        <v>8.8495000000000008</v>
      </c>
      <c r="Q1736">
        <v>18.3887</v>
      </c>
    </row>
    <row r="1737" spans="1:17" x14ac:dyDescent="0.25">
      <c r="A1737" t="str">
        <f>IF(C1737&amp;G1737&amp;D1737&lt;&gt;'Funnel setup'!$K$3&amp;'Funnel setup'!$K$4&amp;'Funnel setup'!$K$6,".",IF(A1736=".",1,A1736+1))</f>
        <v>.</v>
      </c>
      <c r="B1737" s="244" t="str">
        <f t="shared" si="27"/>
        <v>Knee Replacement PrimarySub-ICB of GP PracticeNHS SOUTH YORKSHIRE ICB - 02P (02P)EQ VAS</v>
      </c>
      <c r="C1737" t="s">
        <v>969</v>
      </c>
      <c r="D1737" t="s">
        <v>1021</v>
      </c>
      <c r="E1737" t="s">
        <v>919</v>
      </c>
      <c r="F1737" t="s">
        <v>920</v>
      </c>
      <c r="G1737" t="s">
        <v>752</v>
      </c>
      <c r="H1737">
        <v>48</v>
      </c>
      <c r="I1737">
        <v>66.916700000000006</v>
      </c>
      <c r="J1737">
        <v>75.020799999999994</v>
      </c>
      <c r="K1737">
        <v>8.1041699999999999</v>
      </c>
      <c r="L1737">
        <v>30</v>
      </c>
      <c r="M1737">
        <v>4</v>
      </c>
      <c r="N1737">
        <v>14</v>
      </c>
      <c r="O1737">
        <v>75.932900000000004</v>
      </c>
      <c r="P1737">
        <v>10.404500000000001</v>
      </c>
      <c r="Q1737">
        <v>17.3614</v>
      </c>
    </row>
    <row r="1738" spans="1:17" x14ac:dyDescent="0.25">
      <c r="A1738" t="str">
        <f>IF(C1738&amp;G1738&amp;D1738&lt;&gt;'Funnel setup'!$K$3&amp;'Funnel setup'!$K$4&amp;'Funnel setup'!$K$6,".",IF(A1737=".",1,A1737+1))</f>
        <v>.</v>
      </c>
      <c r="B1738" s="244" t="str">
        <f t="shared" si="27"/>
        <v>Knee Replacement PrimarySub-ICB of GP PracticeNHS SOUTH YORKSHIRE ICB - 02X (02X)EQ VAS</v>
      </c>
      <c r="C1738" t="s">
        <v>969</v>
      </c>
      <c r="D1738" t="s">
        <v>1021</v>
      </c>
      <c r="E1738" t="s">
        <v>921</v>
      </c>
      <c r="F1738" t="s">
        <v>922</v>
      </c>
      <c r="G1738" t="s">
        <v>752</v>
      </c>
      <c r="H1738">
        <v>110</v>
      </c>
      <c r="I1738">
        <v>63.427300000000002</v>
      </c>
      <c r="J1738">
        <v>67.163600000000002</v>
      </c>
      <c r="K1738">
        <v>3.7363599999999999</v>
      </c>
      <c r="L1738">
        <v>59</v>
      </c>
      <c r="M1738">
        <v>11</v>
      </c>
      <c r="N1738">
        <v>40</v>
      </c>
      <c r="O1738">
        <v>69.043899999999994</v>
      </c>
      <c r="P1738">
        <v>3.51552</v>
      </c>
      <c r="Q1738">
        <v>18.621700000000001</v>
      </c>
    </row>
    <row r="1739" spans="1:17" x14ac:dyDescent="0.25">
      <c r="A1739" t="str">
        <f>IF(C1739&amp;G1739&amp;D1739&lt;&gt;'Funnel setup'!$K$3&amp;'Funnel setup'!$K$4&amp;'Funnel setup'!$K$6,".",IF(A1738=".",1,A1738+1))</f>
        <v>.</v>
      </c>
      <c r="B1739" s="244" t="str">
        <f t="shared" si="27"/>
        <v>Knee Replacement PrimarySub-ICB of GP PracticeNHS SOUTH YORKSHIRE ICB - 03L (03L)EQ VAS</v>
      </c>
      <c r="C1739" t="s">
        <v>969</v>
      </c>
      <c r="D1739" t="s">
        <v>1021</v>
      </c>
      <c r="E1739" t="s">
        <v>923</v>
      </c>
      <c r="F1739" t="s">
        <v>924</v>
      </c>
      <c r="G1739" t="s">
        <v>752</v>
      </c>
      <c r="H1739">
        <v>34</v>
      </c>
      <c r="I1739">
        <v>64.529399999999995</v>
      </c>
      <c r="J1739">
        <v>73.352900000000005</v>
      </c>
      <c r="K1739">
        <v>8.8235299999999999</v>
      </c>
      <c r="L1739">
        <v>23</v>
      </c>
      <c r="M1739">
        <v>3</v>
      </c>
      <c r="N1739">
        <v>8</v>
      </c>
      <c r="O1739">
        <v>74.003100000000003</v>
      </c>
      <c r="P1739">
        <v>8.4746900000000007</v>
      </c>
      <c r="Q1739">
        <v>16.334599999999998</v>
      </c>
    </row>
    <row r="1740" spans="1:17" x14ac:dyDescent="0.25">
      <c r="A1740" t="str">
        <f>IF(C1740&amp;G1740&amp;D1740&lt;&gt;'Funnel setup'!$K$3&amp;'Funnel setup'!$K$4&amp;'Funnel setup'!$K$6,".",IF(A1739=".",1,A1739+1))</f>
        <v>.</v>
      </c>
      <c r="B1740" s="244" t="str">
        <f t="shared" si="27"/>
        <v>Knee Replacement PrimarySub-ICB of GP PracticeNHS SOUTH YORKSHIRE ICB - 03N (03N)EQ VAS</v>
      </c>
      <c r="C1740" t="s">
        <v>969</v>
      </c>
      <c r="D1740" t="s">
        <v>1021</v>
      </c>
      <c r="E1740" t="s">
        <v>925</v>
      </c>
      <c r="F1740" t="s">
        <v>926</v>
      </c>
      <c r="G1740" t="s">
        <v>752</v>
      </c>
      <c r="H1740">
        <v>36</v>
      </c>
      <c r="I1740">
        <v>62.75</v>
      </c>
      <c r="J1740">
        <v>73.055599999999998</v>
      </c>
      <c r="K1740">
        <v>10.3056</v>
      </c>
      <c r="L1740">
        <v>24</v>
      </c>
      <c r="M1740">
        <v>4</v>
      </c>
      <c r="N1740">
        <v>8</v>
      </c>
      <c r="O1740">
        <v>72.294300000000007</v>
      </c>
      <c r="P1740">
        <v>6.7658899999999997</v>
      </c>
      <c r="Q1740">
        <v>18.8841</v>
      </c>
    </row>
    <row r="1741" spans="1:17" x14ac:dyDescent="0.25">
      <c r="A1741" t="str">
        <f>IF(C1741&amp;G1741&amp;D1741&lt;&gt;'Funnel setup'!$K$3&amp;'Funnel setup'!$K$4&amp;'Funnel setup'!$K$6,".",IF(A1740=".",1,A1740+1))</f>
        <v>.</v>
      </c>
      <c r="B1741" s="244" t="str">
        <f t="shared" si="27"/>
        <v>Knee Replacement PrimarySub-ICB of GP PracticeNHS STAFFORDSHIRE AND STOKE-ON-TRENT ICB - 04Y (04Y)EQ VAS</v>
      </c>
      <c r="C1741" t="s">
        <v>969</v>
      </c>
      <c r="D1741" t="s">
        <v>1021</v>
      </c>
      <c r="E1741" t="s">
        <v>927</v>
      </c>
      <c r="F1741" t="s">
        <v>928</v>
      </c>
      <c r="G1741" t="s">
        <v>752</v>
      </c>
      <c r="H1741">
        <v>22</v>
      </c>
      <c r="I1741">
        <v>70.318200000000004</v>
      </c>
      <c r="J1741">
        <v>84.590900000000005</v>
      </c>
      <c r="K1741">
        <v>14.2727</v>
      </c>
      <c r="L1741">
        <v>19</v>
      </c>
      <c r="M1741">
        <v>0</v>
      </c>
      <c r="N1741">
        <v>3</v>
      </c>
      <c r="O1741" t="s">
        <v>127</v>
      </c>
      <c r="P1741" t="s">
        <v>127</v>
      </c>
      <c r="Q1741" t="s">
        <v>127</v>
      </c>
    </row>
    <row r="1742" spans="1:17" x14ac:dyDescent="0.25">
      <c r="A1742" t="str">
        <f>IF(C1742&amp;G1742&amp;D1742&lt;&gt;'Funnel setup'!$K$3&amp;'Funnel setup'!$K$4&amp;'Funnel setup'!$K$6,".",IF(A1741=".",1,A1741+1))</f>
        <v>.</v>
      </c>
      <c r="B1742" s="244" t="str">
        <f t="shared" si="27"/>
        <v>Knee Replacement PrimarySub-ICB of GP PracticeNHS STAFFORDSHIRE AND STOKE-ON-TRENT ICB - 05D (05D)EQ VAS</v>
      </c>
      <c r="C1742" t="s">
        <v>969</v>
      </c>
      <c r="D1742" t="s">
        <v>1021</v>
      </c>
      <c r="E1742" t="s">
        <v>929</v>
      </c>
      <c r="F1742" t="s">
        <v>930</v>
      </c>
      <c r="G1742" t="s">
        <v>752</v>
      </c>
      <c r="H1742">
        <v>59</v>
      </c>
      <c r="I1742">
        <v>62.254199999999997</v>
      </c>
      <c r="J1742">
        <v>72.915300000000002</v>
      </c>
      <c r="K1742">
        <v>10.661</v>
      </c>
      <c r="L1742">
        <v>37</v>
      </c>
      <c r="M1742">
        <v>7</v>
      </c>
      <c r="N1742">
        <v>15</v>
      </c>
      <c r="O1742">
        <v>73.019000000000005</v>
      </c>
      <c r="P1742">
        <v>7.4905499999999998</v>
      </c>
      <c r="Q1742">
        <v>17.532599999999999</v>
      </c>
    </row>
    <row r="1743" spans="1:17" x14ac:dyDescent="0.25">
      <c r="A1743" t="str">
        <f>IF(C1743&amp;G1743&amp;D1743&lt;&gt;'Funnel setup'!$K$3&amp;'Funnel setup'!$K$4&amp;'Funnel setup'!$K$6,".",IF(A1742=".",1,A1742+1))</f>
        <v>.</v>
      </c>
      <c r="B1743" s="244" t="str">
        <f t="shared" si="27"/>
        <v>Knee Replacement PrimarySub-ICB of GP PracticeNHS STAFFORDSHIRE AND STOKE-ON-TRENT ICB - 05G (05G)EQ VAS</v>
      </c>
      <c r="C1743" t="s">
        <v>969</v>
      </c>
      <c r="D1743" t="s">
        <v>1021</v>
      </c>
      <c r="E1743" t="s">
        <v>931</v>
      </c>
      <c r="F1743" t="s">
        <v>932</v>
      </c>
      <c r="G1743" t="s">
        <v>752</v>
      </c>
      <c r="H1743">
        <v>42</v>
      </c>
      <c r="I1743">
        <v>61.214300000000001</v>
      </c>
      <c r="J1743">
        <v>70.833299999999994</v>
      </c>
      <c r="K1743">
        <v>9.6190499999999997</v>
      </c>
      <c r="L1743">
        <v>27</v>
      </c>
      <c r="M1743">
        <v>4</v>
      </c>
      <c r="N1743">
        <v>11</v>
      </c>
      <c r="O1743">
        <v>72.031499999999994</v>
      </c>
      <c r="P1743">
        <v>6.5031499999999998</v>
      </c>
      <c r="Q1743">
        <v>14.642899999999999</v>
      </c>
    </row>
    <row r="1744" spans="1:17" x14ac:dyDescent="0.25">
      <c r="A1744" t="str">
        <f>IF(C1744&amp;G1744&amp;D1744&lt;&gt;'Funnel setup'!$K$3&amp;'Funnel setup'!$K$4&amp;'Funnel setup'!$K$6,".",IF(A1743=".",1,A1743+1))</f>
        <v>.</v>
      </c>
      <c r="B1744" s="244" t="str">
        <f t="shared" si="27"/>
        <v>Knee Replacement PrimarySub-ICB of GP PracticeNHS STAFFORDSHIRE AND STOKE-ON-TRENT ICB - 05Q (05Q)EQ VAS</v>
      </c>
      <c r="C1744" t="s">
        <v>969</v>
      </c>
      <c r="D1744" t="s">
        <v>1021</v>
      </c>
      <c r="E1744" t="s">
        <v>933</v>
      </c>
      <c r="F1744" t="s">
        <v>934</v>
      </c>
      <c r="G1744" t="s">
        <v>752</v>
      </c>
      <c r="H1744">
        <v>76</v>
      </c>
      <c r="I1744">
        <v>64.842100000000002</v>
      </c>
      <c r="J1744">
        <v>73.1053</v>
      </c>
      <c r="K1744">
        <v>8.2631599999999992</v>
      </c>
      <c r="L1744">
        <v>45</v>
      </c>
      <c r="M1744">
        <v>9</v>
      </c>
      <c r="N1744">
        <v>22</v>
      </c>
      <c r="O1744">
        <v>72.580100000000002</v>
      </c>
      <c r="P1744">
        <v>7.0517200000000004</v>
      </c>
      <c r="Q1744">
        <v>17.834700000000002</v>
      </c>
    </row>
    <row r="1745" spans="1:17" x14ac:dyDescent="0.25">
      <c r="A1745" t="str">
        <f>IF(C1745&amp;G1745&amp;D1745&lt;&gt;'Funnel setup'!$K$3&amp;'Funnel setup'!$K$4&amp;'Funnel setup'!$K$6,".",IF(A1744=".",1,A1744+1))</f>
        <v>.</v>
      </c>
      <c r="B1745" s="244" t="str">
        <f t="shared" si="27"/>
        <v>Knee Replacement PrimarySub-ICB of GP PracticeNHS STAFFORDSHIRE AND STOKE-ON-TRENT ICB - 05V (05V)EQ VAS</v>
      </c>
      <c r="C1745" t="s">
        <v>969</v>
      </c>
      <c r="D1745" t="s">
        <v>1021</v>
      </c>
      <c r="E1745" t="s">
        <v>935</v>
      </c>
      <c r="F1745" t="s">
        <v>936</v>
      </c>
      <c r="G1745" t="s">
        <v>752</v>
      </c>
      <c r="H1745">
        <v>31</v>
      </c>
      <c r="I1745">
        <v>69.451599999999999</v>
      </c>
      <c r="J1745">
        <v>78.322599999999994</v>
      </c>
      <c r="K1745">
        <v>8.8709699999999998</v>
      </c>
      <c r="L1745">
        <v>19</v>
      </c>
      <c r="M1745">
        <v>7</v>
      </c>
      <c r="N1745">
        <v>5</v>
      </c>
      <c r="O1745">
        <v>76.027600000000007</v>
      </c>
      <c r="P1745">
        <v>10.4992</v>
      </c>
      <c r="Q1745">
        <v>12.8187</v>
      </c>
    </row>
    <row r="1746" spans="1:17" x14ac:dyDescent="0.25">
      <c r="A1746" t="str">
        <f>IF(C1746&amp;G1746&amp;D1746&lt;&gt;'Funnel setup'!$K$3&amp;'Funnel setup'!$K$4&amp;'Funnel setup'!$K$6,".",IF(A1745=".",1,A1745+1))</f>
        <v>.</v>
      </c>
      <c r="B1746" s="244" t="str">
        <f t="shared" si="27"/>
        <v>Knee Replacement PrimarySub-ICB of GP PracticeNHS STAFFORDSHIRE AND STOKE-ON-TRENT ICB - 05W (05W)EQ VAS</v>
      </c>
      <c r="C1746" t="s">
        <v>969</v>
      </c>
      <c r="D1746" t="s">
        <v>1021</v>
      </c>
      <c r="E1746" t="s">
        <v>937</v>
      </c>
      <c r="F1746" t="s">
        <v>938</v>
      </c>
      <c r="G1746" t="s">
        <v>752</v>
      </c>
      <c r="H1746">
        <v>38</v>
      </c>
      <c r="I1746">
        <v>60.026299999999999</v>
      </c>
      <c r="J1746">
        <v>72.526300000000006</v>
      </c>
      <c r="K1746">
        <v>12.5</v>
      </c>
      <c r="L1746">
        <v>24</v>
      </c>
      <c r="M1746">
        <v>4</v>
      </c>
      <c r="N1746">
        <v>10</v>
      </c>
      <c r="O1746">
        <v>76.379099999999994</v>
      </c>
      <c r="P1746">
        <v>10.8507</v>
      </c>
      <c r="Q1746">
        <v>17.008800000000001</v>
      </c>
    </row>
    <row r="1747" spans="1:17" x14ac:dyDescent="0.25">
      <c r="A1747" t="str">
        <f>IF(C1747&amp;G1747&amp;D1747&lt;&gt;'Funnel setup'!$K$3&amp;'Funnel setup'!$K$4&amp;'Funnel setup'!$K$6,".",IF(A1746=".",1,A1746+1))</f>
        <v>.</v>
      </c>
      <c r="B1747" s="244" t="str">
        <f t="shared" si="27"/>
        <v>Knee Replacement PrimarySub-ICB of GP PracticeNHS SUFFOLK AND NORTH EAST ESSEX ICB - 06L (06L)EQ VAS</v>
      </c>
      <c r="C1747" t="s">
        <v>969</v>
      </c>
      <c r="D1747" t="s">
        <v>1021</v>
      </c>
      <c r="E1747" t="s">
        <v>939</v>
      </c>
      <c r="F1747" t="s">
        <v>940</v>
      </c>
      <c r="G1747" t="s">
        <v>752</v>
      </c>
      <c r="H1747">
        <v>105</v>
      </c>
      <c r="I1747">
        <v>63.981000000000002</v>
      </c>
      <c r="J1747">
        <v>74.057100000000005</v>
      </c>
      <c r="K1747">
        <v>10.0762</v>
      </c>
      <c r="L1747">
        <v>61</v>
      </c>
      <c r="M1747">
        <v>7</v>
      </c>
      <c r="N1747">
        <v>37</v>
      </c>
      <c r="O1747">
        <v>75.421700000000001</v>
      </c>
      <c r="P1747">
        <v>9.8933199999999992</v>
      </c>
      <c r="Q1747">
        <v>16.8432</v>
      </c>
    </row>
    <row r="1748" spans="1:17" x14ac:dyDescent="0.25">
      <c r="A1748" t="str">
        <f>IF(C1748&amp;G1748&amp;D1748&lt;&gt;'Funnel setup'!$K$3&amp;'Funnel setup'!$K$4&amp;'Funnel setup'!$K$6,".",IF(A1747=".",1,A1747+1))</f>
        <v>.</v>
      </c>
      <c r="B1748" s="244" t="str">
        <f t="shared" si="27"/>
        <v>Knee Replacement PrimarySub-ICB of GP PracticeNHS SUFFOLK AND NORTH EAST ESSEX ICB - 06T (06T)EQ VAS</v>
      </c>
      <c r="C1748" t="s">
        <v>969</v>
      </c>
      <c r="D1748" t="s">
        <v>1021</v>
      </c>
      <c r="E1748" t="s">
        <v>941</v>
      </c>
      <c r="F1748" t="s">
        <v>942</v>
      </c>
      <c r="G1748" t="s">
        <v>752</v>
      </c>
      <c r="H1748">
        <v>27</v>
      </c>
      <c r="I1748">
        <v>60.925899999999999</v>
      </c>
      <c r="J1748">
        <v>74</v>
      </c>
      <c r="K1748">
        <v>13.0741</v>
      </c>
      <c r="L1748">
        <v>21</v>
      </c>
      <c r="M1748">
        <v>2</v>
      </c>
      <c r="N1748">
        <v>4</v>
      </c>
      <c r="O1748" t="s">
        <v>127</v>
      </c>
      <c r="P1748" t="s">
        <v>127</v>
      </c>
      <c r="Q1748" t="s">
        <v>127</v>
      </c>
    </row>
    <row r="1749" spans="1:17" x14ac:dyDescent="0.25">
      <c r="A1749" t="str">
        <f>IF(C1749&amp;G1749&amp;D1749&lt;&gt;'Funnel setup'!$K$3&amp;'Funnel setup'!$K$4&amp;'Funnel setup'!$K$6,".",IF(A1748=".",1,A1748+1))</f>
        <v>.</v>
      </c>
      <c r="B1749" s="244" t="str">
        <f t="shared" si="27"/>
        <v>Knee Replacement PrimarySub-ICB of GP PracticeNHS SUFFOLK AND NORTH EAST ESSEX ICB - 07K (07K)EQ VAS</v>
      </c>
      <c r="C1749" t="s">
        <v>969</v>
      </c>
      <c r="D1749" t="s">
        <v>1021</v>
      </c>
      <c r="E1749" t="s">
        <v>943</v>
      </c>
      <c r="F1749" t="s">
        <v>944</v>
      </c>
      <c r="G1749" t="s">
        <v>752</v>
      </c>
      <c r="H1749">
        <v>86</v>
      </c>
      <c r="I1749">
        <v>64.639499999999998</v>
      </c>
      <c r="J1749">
        <v>74.325599999999994</v>
      </c>
      <c r="K1749">
        <v>9.6860499999999998</v>
      </c>
      <c r="L1749">
        <v>56</v>
      </c>
      <c r="M1749">
        <v>12</v>
      </c>
      <c r="N1749">
        <v>18</v>
      </c>
      <c r="O1749">
        <v>73.795400000000001</v>
      </c>
      <c r="P1749">
        <v>8.2670100000000009</v>
      </c>
      <c r="Q1749">
        <v>16.653199999999998</v>
      </c>
    </row>
    <row r="1750" spans="1:17" x14ac:dyDescent="0.25">
      <c r="A1750" t="str">
        <f>IF(C1750&amp;G1750&amp;D1750&lt;&gt;'Funnel setup'!$K$3&amp;'Funnel setup'!$K$4&amp;'Funnel setup'!$K$6,".",IF(A1749=".",1,A1749+1))</f>
        <v>.</v>
      </c>
      <c r="B1750" s="244" t="str">
        <f t="shared" si="27"/>
        <v>Knee Replacement PrimarySub-ICB of GP PracticeNHS SURREY HEARTLANDS ICB - 92A (92A)EQ VAS</v>
      </c>
      <c r="C1750" t="s">
        <v>969</v>
      </c>
      <c r="D1750" t="s">
        <v>1021</v>
      </c>
      <c r="E1750" t="s">
        <v>945</v>
      </c>
      <c r="F1750" t="s">
        <v>946</v>
      </c>
      <c r="G1750" t="s">
        <v>752</v>
      </c>
      <c r="H1750">
        <v>318</v>
      </c>
      <c r="I1750">
        <v>65.959100000000007</v>
      </c>
      <c r="J1750">
        <v>75.006299999999996</v>
      </c>
      <c r="K1750">
        <v>9.0471699999999995</v>
      </c>
      <c r="L1750">
        <v>199</v>
      </c>
      <c r="M1750">
        <v>37</v>
      </c>
      <c r="N1750">
        <v>82</v>
      </c>
      <c r="O1750">
        <v>73.297899999999998</v>
      </c>
      <c r="P1750">
        <v>7.7694999999999999</v>
      </c>
      <c r="Q1750">
        <v>16.842199999999998</v>
      </c>
    </row>
    <row r="1751" spans="1:17" x14ac:dyDescent="0.25">
      <c r="A1751" t="str">
        <f>IF(C1751&amp;G1751&amp;D1751&lt;&gt;'Funnel setup'!$K$3&amp;'Funnel setup'!$K$4&amp;'Funnel setup'!$K$6,".",IF(A1750=".",1,A1750+1))</f>
        <v>.</v>
      </c>
      <c r="B1751" s="244" t="str">
        <f t="shared" si="27"/>
        <v>Knee Replacement PrimarySub-ICB of GP PracticeNHS SUSSEX ICB - 09D (09D)EQ VAS</v>
      </c>
      <c r="C1751" t="s">
        <v>969</v>
      </c>
      <c r="D1751" t="s">
        <v>1021</v>
      </c>
      <c r="E1751" t="s">
        <v>947</v>
      </c>
      <c r="F1751" t="s">
        <v>948</v>
      </c>
      <c r="G1751" t="s">
        <v>752</v>
      </c>
      <c r="H1751">
        <v>25</v>
      </c>
      <c r="I1751">
        <v>70.239999999999995</v>
      </c>
      <c r="J1751">
        <v>81.16</v>
      </c>
      <c r="K1751">
        <v>10.92</v>
      </c>
      <c r="L1751">
        <v>16</v>
      </c>
      <c r="M1751">
        <v>5</v>
      </c>
      <c r="N1751">
        <v>4</v>
      </c>
      <c r="O1751" t="s">
        <v>127</v>
      </c>
      <c r="P1751" t="s">
        <v>127</v>
      </c>
      <c r="Q1751" t="s">
        <v>127</v>
      </c>
    </row>
    <row r="1752" spans="1:17" x14ac:dyDescent="0.25">
      <c r="A1752" t="str">
        <f>IF(C1752&amp;G1752&amp;D1752&lt;&gt;'Funnel setup'!$K$3&amp;'Funnel setup'!$K$4&amp;'Funnel setup'!$K$6,".",IF(A1751=".",1,A1751+1))</f>
        <v>.</v>
      </c>
      <c r="B1752" s="244" t="str">
        <f t="shared" si="27"/>
        <v>Knee Replacement PrimarySub-ICB of GP PracticeNHS SUSSEX ICB - 70F (70F)EQ VAS</v>
      </c>
      <c r="C1752" t="s">
        <v>969</v>
      </c>
      <c r="D1752" t="s">
        <v>1021</v>
      </c>
      <c r="E1752" t="s">
        <v>949</v>
      </c>
      <c r="F1752" t="s">
        <v>950</v>
      </c>
      <c r="G1752" t="s">
        <v>752</v>
      </c>
      <c r="H1752">
        <v>219</v>
      </c>
      <c r="I1752">
        <v>67.260300000000001</v>
      </c>
      <c r="J1752">
        <v>74.356200000000001</v>
      </c>
      <c r="K1752">
        <v>7.0958899999999998</v>
      </c>
      <c r="L1752">
        <v>133</v>
      </c>
      <c r="M1752">
        <v>22</v>
      </c>
      <c r="N1752">
        <v>64</v>
      </c>
      <c r="O1752">
        <v>73.1387</v>
      </c>
      <c r="P1752">
        <v>7.6102999999999996</v>
      </c>
      <c r="Q1752">
        <v>15.7409</v>
      </c>
    </row>
    <row r="1753" spans="1:17" x14ac:dyDescent="0.25">
      <c r="A1753" t="str">
        <f>IF(C1753&amp;G1753&amp;D1753&lt;&gt;'Funnel setup'!$K$3&amp;'Funnel setup'!$K$4&amp;'Funnel setup'!$K$6,".",IF(A1752=".",1,A1752+1))</f>
        <v>.</v>
      </c>
      <c r="B1753" s="244" t="str">
        <f t="shared" si="27"/>
        <v>Knee Replacement PrimarySub-ICB of GP PracticeNHS SUSSEX ICB - 97R (97R)EQ VAS</v>
      </c>
      <c r="C1753" t="s">
        <v>969</v>
      </c>
      <c r="D1753" t="s">
        <v>1021</v>
      </c>
      <c r="E1753" t="s">
        <v>951</v>
      </c>
      <c r="F1753" t="s">
        <v>952</v>
      </c>
      <c r="G1753" t="s">
        <v>752</v>
      </c>
      <c r="H1753">
        <v>285</v>
      </c>
      <c r="I1753">
        <v>66.126300000000001</v>
      </c>
      <c r="J1753">
        <v>75.631600000000006</v>
      </c>
      <c r="K1753">
        <v>9.5052599999999998</v>
      </c>
      <c r="L1753">
        <v>183</v>
      </c>
      <c r="M1753">
        <v>29</v>
      </c>
      <c r="N1753">
        <v>73</v>
      </c>
      <c r="O1753">
        <v>74.862399999999994</v>
      </c>
      <c r="P1753">
        <v>9.3340300000000003</v>
      </c>
      <c r="Q1753">
        <v>15.4</v>
      </c>
    </row>
    <row r="1754" spans="1:17" x14ac:dyDescent="0.25">
      <c r="A1754" t="str">
        <f>IF(C1754&amp;G1754&amp;D1754&lt;&gt;'Funnel setup'!$K$3&amp;'Funnel setup'!$K$4&amp;'Funnel setup'!$K$6,".",IF(A1753=".",1,A1753+1))</f>
        <v>.</v>
      </c>
      <c r="B1754" s="244" t="str">
        <f t="shared" si="27"/>
        <v>Knee Replacement PrimarySub-ICB of GP PracticeNHS WEST YORKSHIRE ICB - 02T (02T)EQ VAS</v>
      </c>
      <c r="C1754" t="s">
        <v>969</v>
      </c>
      <c r="D1754" t="s">
        <v>1021</v>
      </c>
      <c r="E1754" t="s">
        <v>953</v>
      </c>
      <c r="F1754" t="s">
        <v>954</v>
      </c>
      <c r="G1754" t="s">
        <v>752</v>
      </c>
      <c r="H1754">
        <v>35</v>
      </c>
      <c r="I1754">
        <v>70.142899999999997</v>
      </c>
      <c r="J1754">
        <v>73.485699999999994</v>
      </c>
      <c r="K1754">
        <v>3.3428599999999999</v>
      </c>
      <c r="L1754">
        <v>16</v>
      </c>
      <c r="M1754">
        <v>6</v>
      </c>
      <c r="N1754">
        <v>13</v>
      </c>
      <c r="O1754">
        <v>71.962000000000003</v>
      </c>
      <c r="P1754">
        <v>6.4335599999999999</v>
      </c>
      <c r="Q1754">
        <v>14.989100000000001</v>
      </c>
    </row>
    <row r="1755" spans="1:17" x14ac:dyDescent="0.25">
      <c r="A1755" t="str">
        <f>IF(C1755&amp;G1755&amp;D1755&lt;&gt;'Funnel setup'!$K$3&amp;'Funnel setup'!$K$4&amp;'Funnel setup'!$K$6,".",IF(A1754=".",1,A1754+1))</f>
        <v>.</v>
      </c>
      <c r="B1755" s="244" t="str">
        <f t="shared" si="27"/>
        <v>Knee Replacement PrimarySub-ICB of GP PracticeNHS WEST YORKSHIRE ICB - 03R (03R)EQ VAS</v>
      </c>
      <c r="C1755" t="s">
        <v>969</v>
      </c>
      <c r="D1755" t="s">
        <v>1021</v>
      </c>
      <c r="E1755" t="s">
        <v>955</v>
      </c>
      <c r="F1755" t="s">
        <v>956</v>
      </c>
      <c r="G1755" t="s">
        <v>752</v>
      </c>
      <c r="H1755">
        <v>156</v>
      </c>
      <c r="I1755">
        <v>63.839700000000001</v>
      </c>
      <c r="J1755">
        <v>73.935900000000004</v>
      </c>
      <c r="K1755">
        <v>10.0962</v>
      </c>
      <c r="L1755">
        <v>104</v>
      </c>
      <c r="M1755">
        <v>7</v>
      </c>
      <c r="N1755">
        <v>45</v>
      </c>
      <c r="O1755">
        <v>74.545199999999994</v>
      </c>
      <c r="P1755">
        <v>9.0167599999999997</v>
      </c>
      <c r="Q1755">
        <v>16.988800000000001</v>
      </c>
    </row>
    <row r="1756" spans="1:17" x14ac:dyDescent="0.25">
      <c r="A1756" t="str">
        <f>IF(C1756&amp;G1756&amp;D1756&lt;&gt;'Funnel setup'!$K$3&amp;'Funnel setup'!$K$4&amp;'Funnel setup'!$K$6,".",IF(A1755=".",1,A1755+1))</f>
        <v>.</v>
      </c>
      <c r="B1756" s="244" t="str">
        <f t="shared" si="27"/>
        <v>Knee Replacement PrimarySub-ICB of GP PracticeNHS WEST YORKSHIRE ICB - 15F (15F)EQ VAS</v>
      </c>
      <c r="C1756" t="s">
        <v>969</v>
      </c>
      <c r="D1756" t="s">
        <v>1021</v>
      </c>
      <c r="E1756" t="s">
        <v>957</v>
      </c>
      <c r="F1756" t="s">
        <v>958</v>
      </c>
      <c r="G1756" t="s">
        <v>752</v>
      </c>
      <c r="H1756">
        <v>231</v>
      </c>
      <c r="I1756">
        <v>64.636399999999995</v>
      </c>
      <c r="J1756">
        <v>73</v>
      </c>
      <c r="K1756">
        <v>8.3636400000000002</v>
      </c>
      <c r="L1756">
        <v>143</v>
      </c>
      <c r="M1756">
        <v>29</v>
      </c>
      <c r="N1756">
        <v>59</v>
      </c>
      <c r="O1756">
        <v>73.403599999999997</v>
      </c>
      <c r="P1756">
        <v>7.8751600000000002</v>
      </c>
      <c r="Q1756">
        <v>16.471499999999999</v>
      </c>
    </row>
    <row r="1757" spans="1:17" x14ac:dyDescent="0.25">
      <c r="A1757" t="str">
        <f>IF(C1757&amp;G1757&amp;D1757&lt;&gt;'Funnel setup'!$K$3&amp;'Funnel setup'!$K$4&amp;'Funnel setup'!$K$6,".",IF(A1756=".",1,A1756+1))</f>
        <v>.</v>
      </c>
      <c r="B1757" s="244" t="str">
        <f t="shared" si="27"/>
        <v>Knee Replacement PrimarySub-ICB of GP PracticeNHS WEST YORKSHIRE ICB - 36J (36J)EQ VAS</v>
      </c>
      <c r="C1757" t="s">
        <v>969</v>
      </c>
      <c r="D1757" t="s">
        <v>1021</v>
      </c>
      <c r="E1757" t="s">
        <v>959</v>
      </c>
      <c r="F1757" t="s">
        <v>960</v>
      </c>
      <c r="G1757" t="s">
        <v>752</v>
      </c>
      <c r="H1757">
        <v>65</v>
      </c>
      <c r="I1757">
        <v>65.2</v>
      </c>
      <c r="J1757">
        <v>72.292299999999997</v>
      </c>
      <c r="K1757">
        <v>7.0923100000000003</v>
      </c>
      <c r="L1757">
        <v>40</v>
      </c>
      <c r="M1757">
        <v>6</v>
      </c>
      <c r="N1757">
        <v>19</v>
      </c>
      <c r="O1757">
        <v>74.356099999999998</v>
      </c>
      <c r="P1757">
        <v>8.8277099999999997</v>
      </c>
      <c r="Q1757">
        <v>16.055299999999999</v>
      </c>
    </row>
    <row r="1758" spans="1:17" x14ac:dyDescent="0.25">
      <c r="A1758" t="str">
        <f>IF(C1758&amp;G1758&amp;D1758&lt;&gt;'Funnel setup'!$K$3&amp;'Funnel setup'!$K$4&amp;'Funnel setup'!$K$6,".",IF(A1757=".",1,A1757+1))</f>
        <v>.</v>
      </c>
      <c r="B1758" s="244" t="str">
        <f t="shared" si="27"/>
        <v>Knee Replacement PrimarySub-ICB of GP PracticeNHS WEST YORKSHIRE ICB - X2C4Y (X2C4Y)EQ VAS</v>
      </c>
      <c r="C1758" t="s">
        <v>969</v>
      </c>
      <c r="D1758" t="s">
        <v>1021</v>
      </c>
      <c r="E1758" t="s">
        <v>961</v>
      </c>
      <c r="F1758" t="s">
        <v>962</v>
      </c>
      <c r="G1758" t="s">
        <v>752</v>
      </c>
      <c r="H1758">
        <v>90</v>
      </c>
      <c r="I1758">
        <v>66.966700000000003</v>
      </c>
      <c r="J1758">
        <v>70.5</v>
      </c>
      <c r="K1758">
        <v>3.5333299999999999</v>
      </c>
      <c r="L1758">
        <v>41</v>
      </c>
      <c r="M1758">
        <v>10</v>
      </c>
      <c r="N1758">
        <v>39</v>
      </c>
      <c r="O1758">
        <v>69.610699999999994</v>
      </c>
      <c r="P1758">
        <v>4.0822700000000003</v>
      </c>
      <c r="Q1758">
        <v>15.5505</v>
      </c>
    </row>
    <row r="1759" spans="1:17" x14ac:dyDescent="0.25">
      <c r="A1759" t="str">
        <f>IF(C1759&amp;G1759&amp;D1759&lt;&gt;'Funnel setup'!$K$3&amp;'Funnel setup'!$K$4&amp;'Funnel setup'!$K$6,".",IF(A1758=".",1,A1758+1))</f>
        <v>.</v>
      </c>
      <c r="B1759" s="244" t="str">
        <f t="shared" si="27"/>
        <v>Knee Replacement PrimarySub-ICB of GP PracticeNATIONAL COMMISSIONING HUB 1 (13Q)EQ-5D Index</v>
      </c>
      <c r="C1759" t="s">
        <v>969</v>
      </c>
      <c r="D1759" t="s">
        <v>1021</v>
      </c>
      <c r="E1759" t="s">
        <v>970</v>
      </c>
      <c r="F1759" t="s">
        <v>971</v>
      </c>
      <c r="G1759" t="s">
        <v>963</v>
      </c>
      <c r="H1759">
        <v>1</v>
      </c>
      <c r="I1759">
        <v>0.85</v>
      </c>
      <c r="J1759">
        <v>1</v>
      </c>
      <c r="K1759">
        <v>0.15</v>
      </c>
      <c r="L1759">
        <v>1</v>
      </c>
      <c r="M1759">
        <v>0</v>
      </c>
      <c r="N1759">
        <v>0</v>
      </c>
      <c r="O1759" t="s">
        <v>127</v>
      </c>
      <c r="P1759" t="s">
        <v>127</v>
      </c>
      <c r="Q1759" t="s">
        <v>127</v>
      </c>
    </row>
    <row r="1760" spans="1:17" x14ac:dyDescent="0.25">
      <c r="A1760" t="str">
        <f>IF(C1760&amp;G1760&amp;D1760&lt;&gt;'Funnel setup'!$K$3&amp;'Funnel setup'!$K$4&amp;'Funnel setup'!$K$6,".",IF(A1759=".",1,A1759+1))</f>
        <v>.</v>
      </c>
      <c r="B1760" s="244" t="str">
        <f t="shared" si="27"/>
        <v>Knee Replacement PrimarySub-ICB of GP PracticeNHS BATH AND NORTH EAST SOMERSET, SWINDON AND WILTSHIRE ICB - 92G (92G)EQ-5D Index</v>
      </c>
      <c r="C1760" t="s">
        <v>969</v>
      </c>
      <c r="D1760" t="s">
        <v>1021</v>
      </c>
      <c r="E1760" t="s">
        <v>750</v>
      </c>
      <c r="F1760" t="s">
        <v>751</v>
      </c>
      <c r="G1760" t="s">
        <v>963</v>
      </c>
      <c r="H1760">
        <v>253</v>
      </c>
      <c r="I1760">
        <v>0.466447</v>
      </c>
      <c r="J1760">
        <v>0.80135199999999995</v>
      </c>
      <c r="K1760">
        <v>0.33490500000000001</v>
      </c>
      <c r="L1760">
        <v>214</v>
      </c>
      <c r="M1760">
        <v>20</v>
      </c>
      <c r="N1760">
        <v>19</v>
      </c>
      <c r="O1760">
        <v>0.77301299999999995</v>
      </c>
      <c r="P1760">
        <v>0.344217</v>
      </c>
      <c r="Q1760">
        <v>0.21334500000000001</v>
      </c>
    </row>
    <row r="1761" spans="1:17" x14ac:dyDescent="0.25">
      <c r="A1761" t="str">
        <f>IF(C1761&amp;G1761&amp;D1761&lt;&gt;'Funnel setup'!$K$3&amp;'Funnel setup'!$K$4&amp;'Funnel setup'!$K$6,".",IF(A1760=".",1,A1760+1))</f>
        <v>.</v>
      </c>
      <c r="B1761" s="244" t="str">
        <f t="shared" si="27"/>
        <v>Knee Replacement PrimarySub-ICB of GP PracticeNHS BEDFORDSHIRE, LUTON AND MILTON KEYNES ICB - M1J4Y (M1J4Y)EQ-5D Index</v>
      </c>
      <c r="C1761" t="s">
        <v>969</v>
      </c>
      <c r="D1761" t="s">
        <v>1021</v>
      </c>
      <c r="E1761" t="s">
        <v>753</v>
      </c>
      <c r="F1761" t="s">
        <v>754</v>
      </c>
      <c r="G1761" t="s">
        <v>963</v>
      </c>
      <c r="H1761">
        <v>226</v>
      </c>
      <c r="I1761">
        <v>0.36884499999999998</v>
      </c>
      <c r="J1761">
        <v>0.71097299999999997</v>
      </c>
      <c r="K1761">
        <v>0.34212799999999999</v>
      </c>
      <c r="L1761">
        <v>179</v>
      </c>
      <c r="M1761">
        <v>22</v>
      </c>
      <c r="N1761">
        <v>25</v>
      </c>
      <c r="O1761">
        <v>0.73008600000000001</v>
      </c>
      <c r="P1761">
        <v>0.30129099999999998</v>
      </c>
      <c r="Q1761">
        <v>0.25959599999999999</v>
      </c>
    </row>
    <row r="1762" spans="1:17" x14ac:dyDescent="0.25">
      <c r="A1762" t="str">
        <f>IF(C1762&amp;G1762&amp;D1762&lt;&gt;'Funnel setup'!$K$3&amp;'Funnel setup'!$K$4&amp;'Funnel setup'!$K$6,".",IF(A1761=".",1,A1761+1))</f>
        <v>.</v>
      </c>
      <c r="B1762" s="244" t="str">
        <f t="shared" si="27"/>
        <v>Knee Replacement PrimarySub-ICB of GP PracticeNHS BIRMINGHAM AND SOLIHULL ICB - 15E (15E)EQ-5D Index</v>
      </c>
      <c r="C1762" t="s">
        <v>969</v>
      </c>
      <c r="D1762" t="s">
        <v>1021</v>
      </c>
      <c r="E1762" t="s">
        <v>755</v>
      </c>
      <c r="F1762" t="s">
        <v>756</v>
      </c>
      <c r="G1762" t="s">
        <v>963</v>
      </c>
      <c r="H1762">
        <v>309</v>
      </c>
      <c r="I1762">
        <v>0.37438500000000002</v>
      </c>
      <c r="J1762">
        <v>0.72163100000000002</v>
      </c>
      <c r="K1762">
        <v>0.347246</v>
      </c>
      <c r="L1762">
        <v>260</v>
      </c>
      <c r="M1762">
        <v>13</v>
      </c>
      <c r="N1762">
        <v>36</v>
      </c>
      <c r="O1762">
        <v>0.74182000000000003</v>
      </c>
      <c r="P1762">
        <v>0.31302400000000002</v>
      </c>
      <c r="Q1762">
        <v>0.247201</v>
      </c>
    </row>
    <row r="1763" spans="1:17" x14ac:dyDescent="0.25">
      <c r="A1763" t="str">
        <f>IF(C1763&amp;G1763&amp;D1763&lt;&gt;'Funnel setup'!$K$3&amp;'Funnel setup'!$K$4&amp;'Funnel setup'!$K$6,".",IF(A1762=".",1,A1762+1))</f>
        <v>.</v>
      </c>
      <c r="B1763" s="244" t="str">
        <f t="shared" si="27"/>
        <v>Knee Replacement PrimarySub-ICB of GP PracticeNHS BLACK COUNTRY ICB - D2P2L (D2P2L)EQ-5D Index</v>
      </c>
      <c r="C1763" t="s">
        <v>969</v>
      </c>
      <c r="D1763" t="s">
        <v>1021</v>
      </c>
      <c r="E1763" t="s">
        <v>757</v>
      </c>
      <c r="F1763" t="s">
        <v>758</v>
      </c>
      <c r="G1763" t="s">
        <v>963</v>
      </c>
      <c r="H1763">
        <v>194</v>
      </c>
      <c r="I1763">
        <v>0.35237600000000002</v>
      </c>
      <c r="J1763">
        <v>0.71191800000000005</v>
      </c>
      <c r="K1763">
        <v>0.359541</v>
      </c>
      <c r="L1763">
        <v>159</v>
      </c>
      <c r="M1763">
        <v>15</v>
      </c>
      <c r="N1763">
        <v>20</v>
      </c>
      <c r="O1763">
        <v>0.755023</v>
      </c>
      <c r="P1763">
        <v>0.32622699999999999</v>
      </c>
      <c r="Q1763">
        <v>0.25644899999999998</v>
      </c>
    </row>
    <row r="1764" spans="1:17" x14ac:dyDescent="0.25">
      <c r="A1764" t="str">
        <f>IF(C1764&amp;G1764&amp;D1764&lt;&gt;'Funnel setup'!$K$3&amp;'Funnel setup'!$K$4&amp;'Funnel setup'!$K$6,".",IF(A1763=".",1,A1763+1))</f>
        <v>.</v>
      </c>
      <c r="B1764" s="244" t="str">
        <f t="shared" si="27"/>
        <v>Knee Replacement PrimarySub-ICB of GP PracticeNHS BRISTOL, NORTH SOMERSET AND SOUTH GLOUCESTERSHIRE ICB - 15C (15C)EQ-5D Index</v>
      </c>
      <c r="C1764" t="s">
        <v>969</v>
      </c>
      <c r="D1764" t="s">
        <v>1021</v>
      </c>
      <c r="E1764" t="s">
        <v>759</v>
      </c>
      <c r="F1764" t="s">
        <v>760</v>
      </c>
      <c r="G1764" t="s">
        <v>963</v>
      </c>
      <c r="H1764">
        <v>216</v>
      </c>
      <c r="I1764">
        <v>0.45719399999999999</v>
      </c>
      <c r="J1764">
        <v>0.75843099999999997</v>
      </c>
      <c r="K1764">
        <v>0.301236</v>
      </c>
      <c r="L1764">
        <v>175</v>
      </c>
      <c r="M1764">
        <v>19</v>
      </c>
      <c r="N1764">
        <v>22</v>
      </c>
      <c r="O1764">
        <v>0.74920399999999998</v>
      </c>
      <c r="P1764">
        <v>0.32040800000000003</v>
      </c>
      <c r="Q1764">
        <v>0.22148699999999999</v>
      </c>
    </row>
    <row r="1765" spans="1:17" x14ac:dyDescent="0.25">
      <c r="A1765" t="str">
        <f>IF(C1765&amp;G1765&amp;D1765&lt;&gt;'Funnel setup'!$K$3&amp;'Funnel setup'!$K$4&amp;'Funnel setup'!$K$6,".",IF(A1764=".",1,A1764+1))</f>
        <v>.</v>
      </c>
      <c r="B1765" s="244" t="str">
        <f t="shared" si="27"/>
        <v>Knee Replacement PrimarySub-ICB of GP PracticeNHS BUCKINGHAMSHIRE, OXFORDSHIRE AND BERKSHIRE WEST ICB - 10Q (10Q)EQ-5D Index</v>
      </c>
      <c r="C1765" t="s">
        <v>969</v>
      </c>
      <c r="D1765" t="s">
        <v>1021</v>
      </c>
      <c r="E1765" t="s">
        <v>761</v>
      </c>
      <c r="F1765" t="s">
        <v>762</v>
      </c>
      <c r="G1765" t="s">
        <v>963</v>
      </c>
      <c r="H1765">
        <v>270</v>
      </c>
      <c r="I1765">
        <v>0.47053</v>
      </c>
      <c r="J1765">
        <v>0.77844400000000002</v>
      </c>
      <c r="K1765">
        <v>0.30791499999999999</v>
      </c>
      <c r="L1765">
        <v>229</v>
      </c>
      <c r="M1765">
        <v>26</v>
      </c>
      <c r="N1765">
        <v>15</v>
      </c>
      <c r="O1765">
        <v>0.754799</v>
      </c>
      <c r="P1765">
        <v>0.32600400000000002</v>
      </c>
      <c r="Q1765">
        <v>0.214369</v>
      </c>
    </row>
    <row r="1766" spans="1:17" x14ac:dyDescent="0.25">
      <c r="A1766" t="str">
        <f>IF(C1766&amp;G1766&amp;D1766&lt;&gt;'Funnel setup'!$K$3&amp;'Funnel setup'!$K$4&amp;'Funnel setup'!$K$6,".",IF(A1765=".",1,A1765+1))</f>
        <v>.</v>
      </c>
      <c r="B1766" s="244" t="str">
        <f t="shared" si="27"/>
        <v>Knee Replacement PrimarySub-ICB of GP PracticeNHS BUCKINGHAMSHIRE, OXFORDSHIRE AND BERKSHIRE WEST ICB - 14Y (14Y)EQ-5D Index</v>
      </c>
      <c r="C1766" t="s">
        <v>969</v>
      </c>
      <c r="D1766" t="s">
        <v>1021</v>
      </c>
      <c r="E1766" t="s">
        <v>763</v>
      </c>
      <c r="F1766" t="s">
        <v>764</v>
      </c>
      <c r="G1766" t="s">
        <v>963</v>
      </c>
      <c r="H1766">
        <v>207</v>
      </c>
      <c r="I1766">
        <v>0.50796600000000003</v>
      </c>
      <c r="J1766">
        <v>0.81048799999999999</v>
      </c>
      <c r="K1766">
        <v>0.30252200000000001</v>
      </c>
      <c r="L1766">
        <v>173</v>
      </c>
      <c r="M1766">
        <v>19</v>
      </c>
      <c r="N1766">
        <v>15</v>
      </c>
      <c r="O1766">
        <v>0.765324</v>
      </c>
      <c r="P1766">
        <v>0.33652799999999999</v>
      </c>
      <c r="Q1766">
        <v>0.198076</v>
      </c>
    </row>
    <row r="1767" spans="1:17" x14ac:dyDescent="0.25">
      <c r="A1767" t="str">
        <f>IF(C1767&amp;G1767&amp;D1767&lt;&gt;'Funnel setup'!$K$3&amp;'Funnel setup'!$K$4&amp;'Funnel setup'!$K$6,".",IF(A1766=".",1,A1766+1))</f>
        <v>.</v>
      </c>
      <c r="B1767" s="244" t="str">
        <f t="shared" si="27"/>
        <v>Knee Replacement PrimarySub-ICB of GP PracticeNHS BUCKINGHAMSHIRE, OXFORDSHIRE AND BERKSHIRE WEST ICB - 15A (15A)EQ-5D Index</v>
      </c>
      <c r="C1767" t="s">
        <v>969</v>
      </c>
      <c r="D1767" t="s">
        <v>1021</v>
      </c>
      <c r="E1767" t="s">
        <v>765</v>
      </c>
      <c r="F1767" t="s">
        <v>766</v>
      </c>
      <c r="G1767" t="s">
        <v>963</v>
      </c>
      <c r="H1767">
        <v>69</v>
      </c>
      <c r="I1767">
        <v>0.47050700000000001</v>
      </c>
      <c r="J1767">
        <v>0.75127500000000003</v>
      </c>
      <c r="K1767">
        <v>0.28076800000000002</v>
      </c>
      <c r="L1767">
        <v>53</v>
      </c>
      <c r="M1767">
        <v>12</v>
      </c>
      <c r="N1767">
        <v>4</v>
      </c>
      <c r="O1767">
        <v>0.71211599999999997</v>
      </c>
      <c r="P1767">
        <v>0.28332000000000002</v>
      </c>
      <c r="Q1767">
        <v>0.25926700000000003</v>
      </c>
    </row>
    <row r="1768" spans="1:17" x14ac:dyDescent="0.25">
      <c r="A1768" t="str">
        <f>IF(C1768&amp;G1768&amp;D1768&lt;&gt;'Funnel setup'!$K$3&amp;'Funnel setup'!$K$4&amp;'Funnel setup'!$K$6,".",IF(A1767=".",1,A1767+1))</f>
        <v>.</v>
      </c>
      <c r="B1768" s="244" t="str">
        <f t="shared" si="27"/>
        <v>Knee Replacement PrimarySub-ICB of GP PracticeNHS CAMBRIDGESHIRE AND PETERBOROUGH ICB - 06H (06H)EQ-5D Index</v>
      </c>
      <c r="C1768" t="s">
        <v>969</v>
      </c>
      <c r="D1768" t="s">
        <v>1021</v>
      </c>
      <c r="E1768" t="s">
        <v>767</v>
      </c>
      <c r="F1768" t="s">
        <v>768</v>
      </c>
      <c r="G1768" t="s">
        <v>963</v>
      </c>
      <c r="H1768">
        <v>193</v>
      </c>
      <c r="I1768">
        <v>0.42052299999999998</v>
      </c>
      <c r="J1768">
        <v>0.72654399999999997</v>
      </c>
      <c r="K1768">
        <v>0.30602099999999999</v>
      </c>
      <c r="L1768">
        <v>159</v>
      </c>
      <c r="M1768">
        <v>16</v>
      </c>
      <c r="N1768">
        <v>18</v>
      </c>
      <c r="O1768">
        <v>0.723966</v>
      </c>
      <c r="P1768">
        <v>0.29516999999999999</v>
      </c>
      <c r="Q1768">
        <v>0.22706599999999999</v>
      </c>
    </row>
    <row r="1769" spans="1:17" x14ac:dyDescent="0.25">
      <c r="A1769" t="str">
        <f>IF(C1769&amp;G1769&amp;D1769&lt;&gt;'Funnel setup'!$K$3&amp;'Funnel setup'!$K$4&amp;'Funnel setup'!$K$6,".",IF(A1768=".",1,A1768+1))</f>
        <v>.</v>
      </c>
      <c r="B1769" s="244" t="str">
        <f t="shared" si="27"/>
        <v>Knee Replacement PrimarySub-ICB of GP PracticeNHS CHESHIRE AND MERSEYSIDE ICB - 01F (01F)EQ-5D Index</v>
      </c>
      <c r="C1769" t="s">
        <v>969</v>
      </c>
      <c r="D1769" t="s">
        <v>1021</v>
      </c>
      <c r="E1769" t="s">
        <v>769</v>
      </c>
      <c r="F1769" t="s">
        <v>770</v>
      </c>
      <c r="G1769" t="s">
        <v>963</v>
      </c>
      <c r="H1769">
        <v>31</v>
      </c>
      <c r="I1769">
        <v>0.40790300000000002</v>
      </c>
      <c r="J1769">
        <v>0.70496800000000004</v>
      </c>
      <c r="K1769">
        <v>0.29706500000000002</v>
      </c>
      <c r="L1769">
        <v>23</v>
      </c>
      <c r="M1769">
        <v>2</v>
      </c>
      <c r="N1769">
        <v>6</v>
      </c>
      <c r="O1769">
        <v>0.72251799999999999</v>
      </c>
      <c r="P1769">
        <v>0.29372199999999998</v>
      </c>
      <c r="Q1769">
        <v>0.301786</v>
      </c>
    </row>
    <row r="1770" spans="1:17" x14ac:dyDescent="0.25">
      <c r="A1770" t="str">
        <f>IF(C1770&amp;G1770&amp;D1770&lt;&gt;'Funnel setup'!$K$3&amp;'Funnel setup'!$K$4&amp;'Funnel setup'!$K$6,".",IF(A1769=".",1,A1769+1))</f>
        <v>.</v>
      </c>
      <c r="B1770" s="244" t="str">
        <f t="shared" si="27"/>
        <v>Knee Replacement PrimarySub-ICB of GP PracticeNHS CHESHIRE AND MERSEYSIDE ICB - 01J (01J)EQ-5D Index</v>
      </c>
      <c r="C1770" t="s">
        <v>969</v>
      </c>
      <c r="D1770" t="s">
        <v>1021</v>
      </c>
      <c r="E1770" t="s">
        <v>771</v>
      </c>
      <c r="F1770" t="s">
        <v>772</v>
      </c>
      <c r="G1770" t="s">
        <v>963</v>
      </c>
      <c r="H1770">
        <v>31</v>
      </c>
      <c r="I1770">
        <v>0.28935499999999997</v>
      </c>
      <c r="J1770">
        <v>0.57035499999999995</v>
      </c>
      <c r="K1770">
        <v>0.28100000000000003</v>
      </c>
      <c r="L1770">
        <v>26</v>
      </c>
      <c r="M1770">
        <v>2</v>
      </c>
      <c r="N1770">
        <v>3</v>
      </c>
      <c r="O1770">
        <v>0.66065700000000005</v>
      </c>
      <c r="P1770">
        <v>0.23186100000000001</v>
      </c>
      <c r="Q1770">
        <v>0.31924799999999998</v>
      </c>
    </row>
    <row r="1771" spans="1:17" x14ac:dyDescent="0.25">
      <c r="A1771" t="str">
        <f>IF(C1771&amp;G1771&amp;D1771&lt;&gt;'Funnel setup'!$K$3&amp;'Funnel setup'!$K$4&amp;'Funnel setup'!$K$6,".",IF(A1770=".",1,A1770+1))</f>
        <v>.</v>
      </c>
      <c r="B1771" s="244" t="str">
        <f t="shared" si="27"/>
        <v>Knee Replacement PrimarySub-ICB of GP PracticeNHS CHESHIRE AND MERSEYSIDE ICB - 01T (01T)EQ-5D Index</v>
      </c>
      <c r="C1771" t="s">
        <v>969</v>
      </c>
      <c r="D1771" t="s">
        <v>1021</v>
      </c>
      <c r="E1771" t="s">
        <v>773</v>
      </c>
      <c r="F1771" t="s">
        <v>774</v>
      </c>
      <c r="G1771" t="s">
        <v>963</v>
      </c>
      <c r="H1771">
        <v>51</v>
      </c>
      <c r="I1771">
        <v>0.38125500000000001</v>
      </c>
      <c r="J1771">
        <v>0.77047100000000002</v>
      </c>
      <c r="K1771">
        <v>0.38921600000000001</v>
      </c>
      <c r="L1771">
        <v>42</v>
      </c>
      <c r="M1771">
        <v>6</v>
      </c>
      <c r="N1771">
        <v>3</v>
      </c>
      <c r="O1771">
        <v>0.78100499999999995</v>
      </c>
      <c r="P1771">
        <v>0.35220899999999999</v>
      </c>
      <c r="Q1771">
        <v>0.25502399999999997</v>
      </c>
    </row>
    <row r="1772" spans="1:17" x14ac:dyDescent="0.25">
      <c r="A1772" t="str">
        <f>IF(C1772&amp;G1772&amp;D1772&lt;&gt;'Funnel setup'!$K$3&amp;'Funnel setup'!$K$4&amp;'Funnel setup'!$K$6,".",IF(A1771=".",1,A1771+1))</f>
        <v>.</v>
      </c>
      <c r="B1772" s="244" t="str">
        <f t="shared" si="27"/>
        <v>Knee Replacement PrimarySub-ICB of GP PracticeNHS CHESHIRE AND MERSEYSIDE ICB - 01V (01V)EQ-5D Index</v>
      </c>
      <c r="C1772" t="s">
        <v>969</v>
      </c>
      <c r="D1772" t="s">
        <v>1021</v>
      </c>
      <c r="E1772" t="s">
        <v>775</v>
      </c>
      <c r="F1772" t="s">
        <v>776</v>
      </c>
      <c r="G1772" t="s">
        <v>963</v>
      </c>
      <c r="H1772">
        <v>28</v>
      </c>
      <c r="I1772">
        <v>0.45535700000000001</v>
      </c>
      <c r="J1772">
        <v>0.79996400000000001</v>
      </c>
      <c r="K1772">
        <v>0.344607</v>
      </c>
      <c r="L1772">
        <v>25</v>
      </c>
      <c r="M1772">
        <v>1</v>
      </c>
      <c r="N1772">
        <v>2</v>
      </c>
      <c r="O1772" t="s">
        <v>127</v>
      </c>
      <c r="P1772" t="s">
        <v>127</v>
      </c>
      <c r="Q1772" t="s">
        <v>127</v>
      </c>
    </row>
    <row r="1773" spans="1:17" x14ac:dyDescent="0.25">
      <c r="A1773" t="str">
        <f>IF(C1773&amp;G1773&amp;D1773&lt;&gt;'Funnel setup'!$K$3&amp;'Funnel setup'!$K$4&amp;'Funnel setup'!$K$6,".",IF(A1772=".",1,A1772+1))</f>
        <v>.</v>
      </c>
      <c r="B1773" s="244" t="str">
        <f t="shared" si="27"/>
        <v>Knee Replacement PrimarySub-ICB of GP PracticeNHS CHESHIRE AND MERSEYSIDE ICB - 01X (01X)EQ-5D Index</v>
      </c>
      <c r="C1773" t="s">
        <v>969</v>
      </c>
      <c r="D1773" t="s">
        <v>1021</v>
      </c>
      <c r="E1773" t="s">
        <v>777</v>
      </c>
      <c r="F1773" t="s">
        <v>778</v>
      </c>
      <c r="G1773" t="s">
        <v>963</v>
      </c>
      <c r="H1773">
        <v>62</v>
      </c>
      <c r="I1773">
        <v>0.35109699999999999</v>
      </c>
      <c r="J1773">
        <v>0.666161</v>
      </c>
      <c r="K1773">
        <v>0.31506499999999998</v>
      </c>
      <c r="L1773">
        <v>51</v>
      </c>
      <c r="M1773">
        <v>3</v>
      </c>
      <c r="N1773">
        <v>8</v>
      </c>
      <c r="O1773">
        <v>0.68352800000000002</v>
      </c>
      <c r="P1773">
        <v>0.25473200000000001</v>
      </c>
      <c r="Q1773">
        <v>0.25845099999999999</v>
      </c>
    </row>
    <row r="1774" spans="1:17" x14ac:dyDescent="0.25">
      <c r="A1774" t="str">
        <f>IF(C1774&amp;G1774&amp;D1774&lt;&gt;'Funnel setup'!$K$3&amp;'Funnel setup'!$K$4&amp;'Funnel setup'!$K$6,".",IF(A1773=".",1,A1773+1))</f>
        <v>.</v>
      </c>
      <c r="B1774" s="244" t="str">
        <f t="shared" si="27"/>
        <v>Knee Replacement PrimarySub-ICB of GP PracticeNHS CHESHIRE AND MERSEYSIDE ICB - 02E (02E)EQ-5D Index</v>
      </c>
      <c r="C1774" t="s">
        <v>969</v>
      </c>
      <c r="D1774" t="s">
        <v>1021</v>
      </c>
      <c r="E1774" t="s">
        <v>779</v>
      </c>
      <c r="F1774" t="s">
        <v>780</v>
      </c>
      <c r="G1774" t="s">
        <v>963</v>
      </c>
      <c r="H1774">
        <v>40</v>
      </c>
      <c r="I1774">
        <v>0.56420000000000003</v>
      </c>
      <c r="J1774">
        <v>0.79362500000000002</v>
      </c>
      <c r="K1774">
        <v>0.22942499999999999</v>
      </c>
      <c r="L1774">
        <v>30</v>
      </c>
      <c r="M1774">
        <v>5</v>
      </c>
      <c r="N1774">
        <v>5</v>
      </c>
      <c r="O1774">
        <v>0.74710799999999999</v>
      </c>
      <c r="P1774">
        <v>0.31831300000000001</v>
      </c>
      <c r="Q1774">
        <v>0.16963400000000001</v>
      </c>
    </row>
    <row r="1775" spans="1:17" x14ac:dyDescent="0.25">
      <c r="A1775" t="str">
        <f>IF(C1775&amp;G1775&amp;D1775&lt;&gt;'Funnel setup'!$K$3&amp;'Funnel setup'!$K$4&amp;'Funnel setup'!$K$6,".",IF(A1774=".",1,A1774+1))</f>
        <v>.</v>
      </c>
      <c r="B1775" s="244" t="str">
        <f t="shared" si="27"/>
        <v>Knee Replacement PrimarySub-ICB of GP PracticeNHS CHESHIRE AND MERSEYSIDE ICB - 12F (12F)EQ-5D Index</v>
      </c>
      <c r="C1775" t="s">
        <v>969</v>
      </c>
      <c r="D1775" t="s">
        <v>1021</v>
      </c>
      <c r="E1775" t="s">
        <v>781</v>
      </c>
      <c r="F1775" t="s">
        <v>782</v>
      </c>
      <c r="G1775" t="s">
        <v>963</v>
      </c>
      <c r="H1775">
        <v>76</v>
      </c>
      <c r="I1775">
        <v>0.40085500000000002</v>
      </c>
      <c r="J1775">
        <v>0.75340799999999997</v>
      </c>
      <c r="K1775">
        <v>0.35255300000000001</v>
      </c>
      <c r="L1775">
        <v>64</v>
      </c>
      <c r="M1775">
        <v>2</v>
      </c>
      <c r="N1775">
        <v>10</v>
      </c>
      <c r="O1775">
        <v>0.75898200000000005</v>
      </c>
      <c r="P1775">
        <v>0.33018599999999998</v>
      </c>
      <c r="Q1775">
        <v>0.25831500000000002</v>
      </c>
    </row>
    <row r="1776" spans="1:17" x14ac:dyDescent="0.25">
      <c r="A1776" t="str">
        <f>IF(C1776&amp;G1776&amp;D1776&lt;&gt;'Funnel setup'!$K$3&amp;'Funnel setup'!$K$4&amp;'Funnel setup'!$K$6,".",IF(A1775=".",1,A1775+1))</f>
        <v>.</v>
      </c>
      <c r="B1776" s="244" t="str">
        <f t="shared" si="27"/>
        <v>Knee Replacement PrimarySub-ICB of GP PracticeNHS CHESHIRE AND MERSEYSIDE ICB - 27D (27D)EQ-5D Index</v>
      </c>
      <c r="C1776" t="s">
        <v>969</v>
      </c>
      <c r="D1776" t="s">
        <v>1021</v>
      </c>
      <c r="E1776" t="s">
        <v>783</v>
      </c>
      <c r="F1776" t="s">
        <v>784</v>
      </c>
      <c r="G1776" t="s">
        <v>963</v>
      </c>
      <c r="H1776">
        <v>241</v>
      </c>
      <c r="I1776">
        <v>0.42668499999999998</v>
      </c>
      <c r="J1776">
        <v>0.76611600000000002</v>
      </c>
      <c r="K1776">
        <v>0.33943200000000001</v>
      </c>
      <c r="L1776">
        <v>205</v>
      </c>
      <c r="M1776">
        <v>22</v>
      </c>
      <c r="N1776">
        <v>14</v>
      </c>
      <c r="O1776">
        <v>0.76438799999999996</v>
      </c>
      <c r="P1776">
        <v>0.335592</v>
      </c>
      <c r="Q1776">
        <v>0.221751</v>
      </c>
    </row>
    <row r="1777" spans="1:17" x14ac:dyDescent="0.25">
      <c r="A1777" t="str">
        <f>IF(C1777&amp;G1777&amp;D1777&lt;&gt;'Funnel setup'!$K$3&amp;'Funnel setup'!$K$4&amp;'Funnel setup'!$K$6,".",IF(A1776=".",1,A1776+1))</f>
        <v>.</v>
      </c>
      <c r="B1777" s="244" t="str">
        <f t="shared" si="27"/>
        <v>Knee Replacement PrimarySub-ICB of GP PracticeNHS CHESHIRE AND MERSEYSIDE ICB - 99A (99A)EQ-5D Index</v>
      </c>
      <c r="C1777" t="s">
        <v>969</v>
      </c>
      <c r="D1777" t="s">
        <v>1021</v>
      </c>
      <c r="E1777" t="s">
        <v>785</v>
      </c>
      <c r="F1777" t="s">
        <v>786</v>
      </c>
      <c r="G1777" t="s">
        <v>963</v>
      </c>
      <c r="H1777">
        <v>47</v>
      </c>
      <c r="I1777">
        <v>0.233596</v>
      </c>
      <c r="J1777">
        <v>0.63842600000000005</v>
      </c>
      <c r="K1777">
        <v>0.40483000000000002</v>
      </c>
      <c r="L1777">
        <v>39</v>
      </c>
      <c r="M1777">
        <v>4</v>
      </c>
      <c r="N1777">
        <v>4</v>
      </c>
      <c r="O1777">
        <v>0.70860199999999995</v>
      </c>
      <c r="P1777">
        <v>0.279806</v>
      </c>
      <c r="Q1777">
        <v>0.26008799999999999</v>
      </c>
    </row>
    <row r="1778" spans="1:17" x14ac:dyDescent="0.25">
      <c r="A1778" t="str">
        <f>IF(C1778&amp;G1778&amp;D1778&lt;&gt;'Funnel setup'!$K$3&amp;'Funnel setup'!$K$4&amp;'Funnel setup'!$K$6,".",IF(A1777=".",1,A1777+1))</f>
        <v>.</v>
      </c>
      <c r="B1778" s="244" t="str">
        <f t="shared" si="27"/>
        <v>Knee Replacement PrimarySub-ICB of GP PracticeNHS CORNWALL AND THE ISLES OF SCILLY ICB - 11N (11N)EQ-5D Index</v>
      </c>
      <c r="C1778" t="s">
        <v>969</v>
      </c>
      <c r="D1778" t="s">
        <v>1021</v>
      </c>
      <c r="E1778" t="s">
        <v>787</v>
      </c>
      <c r="F1778" t="s">
        <v>788</v>
      </c>
      <c r="G1778" t="s">
        <v>963</v>
      </c>
      <c r="H1778">
        <v>141</v>
      </c>
      <c r="I1778">
        <v>0.49079400000000001</v>
      </c>
      <c r="J1778">
        <v>0.76126199999999999</v>
      </c>
      <c r="K1778">
        <v>0.27046799999999999</v>
      </c>
      <c r="L1778">
        <v>115</v>
      </c>
      <c r="M1778">
        <v>13</v>
      </c>
      <c r="N1778">
        <v>13</v>
      </c>
      <c r="O1778">
        <v>0.756633</v>
      </c>
      <c r="P1778">
        <v>0.32783800000000002</v>
      </c>
      <c r="Q1778">
        <v>0.21399099999999999</v>
      </c>
    </row>
    <row r="1779" spans="1:17" x14ac:dyDescent="0.25">
      <c r="A1779" t="str">
        <f>IF(C1779&amp;G1779&amp;D1779&lt;&gt;'Funnel setup'!$K$3&amp;'Funnel setup'!$K$4&amp;'Funnel setup'!$K$6,".",IF(A1778=".",1,A1778+1))</f>
        <v>.</v>
      </c>
      <c r="B1779" s="244" t="str">
        <f t="shared" si="27"/>
        <v>Knee Replacement PrimarySub-ICB of GP PracticeNHS COVENTRY AND WARWICKSHIRE ICB - B2M3M (B2M3M)EQ-5D Index</v>
      </c>
      <c r="C1779" t="s">
        <v>969</v>
      </c>
      <c r="D1779" t="s">
        <v>1021</v>
      </c>
      <c r="E1779" t="s">
        <v>789</v>
      </c>
      <c r="F1779" t="s">
        <v>790</v>
      </c>
      <c r="G1779" t="s">
        <v>963</v>
      </c>
      <c r="H1779">
        <v>214</v>
      </c>
      <c r="I1779">
        <v>0.47236899999999998</v>
      </c>
      <c r="J1779">
        <v>0.78780799999999995</v>
      </c>
      <c r="K1779">
        <v>0.31543900000000002</v>
      </c>
      <c r="L1779">
        <v>181</v>
      </c>
      <c r="M1779">
        <v>18</v>
      </c>
      <c r="N1779">
        <v>15</v>
      </c>
      <c r="O1779">
        <v>0.76399899999999998</v>
      </c>
      <c r="P1779">
        <v>0.33520299999999997</v>
      </c>
      <c r="Q1779">
        <v>0.231126</v>
      </c>
    </row>
    <row r="1780" spans="1:17" x14ac:dyDescent="0.25">
      <c r="A1780" t="str">
        <f>IF(C1780&amp;G1780&amp;D1780&lt;&gt;'Funnel setup'!$K$3&amp;'Funnel setup'!$K$4&amp;'Funnel setup'!$K$6,".",IF(A1779=".",1,A1779+1))</f>
        <v>.</v>
      </c>
      <c r="B1780" s="244" t="str">
        <f t="shared" si="27"/>
        <v>Knee Replacement PrimarySub-ICB of GP PracticeNHS DERBY AND DERBYSHIRE ICB - 15M (15M)EQ-5D Index</v>
      </c>
      <c r="C1780" t="s">
        <v>969</v>
      </c>
      <c r="D1780" t="s">
        <v>1021</v>
      </c>
      <c r="E1780" t="s">
        <v>791</v>
      </c>
      <c r="F1780" t="s">
        <v>792</v>
      </c>
      <c r="G1780" t="s">
        <v>963</v>
      </c>
      <c r="H1780">
        <v>497</v>
      </c>
      <c r="I1780">
        <v>0.41051300000000002</v>
      </c>
      <c r="J1780">
        <v>0.73884700000000003</v>
      </c>
      <c r="K1780">
        <v>0.32833400000000001</v>
      </c>
      <c r="L1780">
        <v>412</v>
      </c>
      <c r="M1780">
        <v>45</v>
      </c>
      <c r="N1780">
        <v>40</v>
      </c>
      <c r="O1780">
        <v>0.75302000000000002</v>
      </c>
      <c r="P1780">
        <v>0.32422499999999999</v>
      </c>
      <c r="Q1780">
        <v>0.22682099999999999</v>
      </c>
    </row>
    <row r="1781" spans="1:17" x14ac:dyDescent="0.25">
      <c r="A1781" t="str">
        <f>IF(C1781&amp;G1781&amp;D1781&lt;&gt;'Funnel setup'!$K$3&amp;'Funnel setup'!$K$4&amp;'Funnel setup'!$K$6,".",IF(A1780=".",1,A1780+1))</f>
        <v>.</v>
      </c>
      <c r="B1781" s="244" t="str">
        <f t="shared" si="27"/>
        <v>Knee Replacement PrimarySub-ICB of GP PracticeNHS DEVON ICB - 15N (15N)EQ-5D Index</v>
      </c>
      <c r="C1781" t="s">
        <v>969</v>
      </c>
      <c r="D1781" t="s">
        <v>1021</v>
      </c>
      <c r="E1781" t="s">
        <v>793</v>
      </c>
      <c r="F1781" t="s">
        <v>794</v>
      </c>
      <c r="G1781" t="s">
        <v>963</v>
      </c>
      <c r="H1781">
        <v>373</v>
      </c>
      <c r="I1781">
        <v>0.45377699999999999</v>
      </c>
      <c r="J1781">
        <v>0.77317199999999997</v>
      </c>
      <c r="K1781">
        <v>0.31939400000000001</v>
      </c>
      <c r="L1781">
        <v>318</v>
      </c>
      <c r="M1781">
        <v>28</v>
      </c>
      <c r="N1781">
        <v>27</v>
      </c>
      <c r="O1781">
        <v>0.76892499999999997</v>
      </c>
      <c r="P1781">
        <v>0.34012900000000001</v>
      </c>
      <c r="Q1781">
        <v>0.21581500000000001</v>
      </c>
    </row>
    <row r="1782" spans="1:17" x14ac:dyDescent="0.25">
      <c r="A1782" t="str">
        <f>IF(C1782&amp;G1782&amp;D1782&lt;&gt;'Funnel setup'!$K$3&amp;'Funnel setup'!$K$4&amp;'Funnel setup'!$K$6,".",IF(A1781=".",1,A1781+1))</f>
        <v>.</v>
      </c>
      <c r="B1782" s="244" t="str">
        <f t="shared" si="27"/>
        <v>Knee Replacement PrimarySub-ICB of GP PracticeNHS DORSET ICB - 11J (11J)EQ-5D Index</v>
      </c>
      <c r="C1782" t="s">
        <v>969</v>
      </c>
      <c r="D1782" t="s">
        <v>1021</v>
      </c>
      <c r="E1782" t="s">
        <v>795</v>
      </c>
      <c r="F1782" t="s">
        <v>796</v>
      </c>
      <c r="G1782" t="s">
        <v>963</v>
      </c>
      <c r="H1782">
        <v>261</v>
      </c>
      <c r="I1782">
        <v>0.501579</v>
      </c>
      <c r="J1782">
        <v>0.78126399999999996</v>
      </c>
      <c r="K1782">
        <v>0.27968599999999999</v>
      </c>
      <c r="L1782">
        <v>216</v>
      </c>
      <c r="M1782">
        <v>19</v>
      </c>
      <c r="N1782">
        <v>26</v>
      </c>
      <c r="O1782">
        <v>0.76573400000000003</v>
      </c>
      <c r="P1782">
        <v>0.33693899999999999</v>
      </c>
      <c r="Q1782">
        <v>0.209234</v>
      </c>
    </row>
    <row r="1783" spans="1:17" x14ac:dyDescent="0.25">
      <c r="A1783" t="str">
        <f>IF(C1783&amp;G1783&amp;D1783&lt;&gt;'Funnel setup'!$K$3&amp;'Funnel setup'!$K$4&amp;'Funnel setup'!$K$6,".",IF(A1782=".",1,A1782+1))</f>
        <v>.</v>
      </c>
      <c r="B1783" s="244" t="str">
        <f t="shared" si="27"/>
        <v>Knee Replacement PrimarySub-ICB of GP PracticeNHS FRIMLEY ICB - D4U1Y (D4U1Y)EQ-5D Index</v>
      </c>
      <c r="C1783" t="s">
        <v>969</v>
      </c>
      <c r="D1783" t="s">
        <v>1021</v>
      </c>
      <c r="E1783" t="s">
        <v>797</v>
      </c>
      <c r="F1783" t="s">
        <v>798</v>
      </c>
      <c r="G1783" t="s">
        <v>963</v>
      </c>
      <c r="H1783">
        <v>174</v>
      </c>
      <c r="I1783">
        <v>0.47499400000000003</v>
      </c>
      <c r="J1783">
        <v>0.74658599999999997</v>
      </c>
      <c r="K1783">
        <v>0.271592</v>
      </c>
      <c r="L1783">
        <v>139</v>
      </c>
      <c r="M1783">
        <v>13</v>
      </c>
      <c r="N1783">
        <v>22</v>
      </c>
      <c r="O1783">
        <v>0.722387</v>
      </c>
      <c r="P1783">
        <v>0.29359099999999999</v>
      </c>
      <c r="Q1783">
        <v>0.22023200000000001</v>
      </c>
    </row>
    <row r="1784" spans="1:17" x14ac:dyDescent="0.25">
      <c r="A1784" t="str">
        <f>IF(C1784&amp;G1784&amp;D1784&lt;&gt;'Funnel setup'!$K$3&amp;'Funnel setup'!$K$4&amp;'Funnel setup'!$K$6,".",IF(A1783=".",1,A1783+1))</f>
        <v>.</v>
      </c>
      <c r="B1784" s="244" t="str">
        <f t="shared" si="27"/>
        <v>Knee Replacement PrimarySub-ICB of GP PracticeNHS GLOUCESTERSHIRE ICB - 11M (11M)EQ-5D Index</v>
      </c>
      <c r="C1784" t="s">
        <v>969</v>
      </c>
      <c r="D1784" t="s">
        <v>1021</v>
      </c>
      <c r="E1784" t="s">
        <v>799</v>
      </c>
      <c r="F1784" t="s">
        <v>800</v>
      </c>
      <c r="G1784" t="s">
        <v>963</v>
      </c>
      <c r="H1784">
        <v>152</v>
      </c>
      <c r="I1784">
        <v>0.474296</v>
      </c>
      <c r="J1784">
        <v>0.76575700000000002</v>
      </c>
      <c r="K1784">
        <v>0.29146100000000003</v>
      </c>
      <c r="L1784">
        <v>125</v>
      </c>
      <c r="M1784">
        <v>17</v>
      </c>
      <c r="N1784">
        <v>10</v>
      </c>
      <c r="O1784">
        <v>0.749224</v>
      </c>
      <c r="P1784">
        <v>0.32042799999999999</v>
      </c>
      <c r="Q1784">
        <v>0.24479799999999999</v>
      </c>
    </row>
    <row r="1785" spans="1:17" x14ac:dyDescent="0.25">
      <c r="A1785" t="str">
        <f>IF(C1785&amp;G1785&amp;D1785&lt;&gt;'Funnel setup'!$K$3&amp;'Funnel setup'!$K$4&amp;'Funnel setup'!$K$6,".",IF(A1784=".",1,A1784+1))</f>
        <v>.</v>
      </c>
      <c r="B1785" s="244" t="str">
        <f t="shared" si="27"/>
        <v>Knee Replacement PrimarySub-ICB of GP PracticeNHS GREATER MANCHESTER ICB - 00T (00T)EQ-5D Index</v>
      </c>
      <c r="C1785" t="s">
        <v>969</v>
      </c>
      <c r="D1785" t="s">
        <v>1021</v>
      </c>
      <c r="E1785" t="s">
        <v>801</v>
      </c>
      <c r="F1785" t="s">
        <v>802</v>
      </c>
      <c r="G1785" t="s">
        <v>963</v>
      </c>
      <c r="H1785">
        <v>89</v>
      </c>
      <c r="I1785">
        <v>0.41022500000000001</v>
      </c>
      <c r="J1785">
        <v>0.74373</v>
      </c>
      <c r="K1785">
        <v>0.33350600000000002</v>
      </c>
      <c r="L1785">
        <v>75</v>
      </c>
      <c r="M1785">
        <v>6</v>
      </c>
      <c r="N1785">
        <v>8</v>
      </c>
      <c r="O1785">
        <v>0.75089799999999995</v>
      </c>
      <c r="P1785">
        <v>0.32210299999999997</v>
      </c>
      <c r="Q1785">
        <v>0.250836</v>
      </c>
    </row>
    <row r="1786" spans="1:17" x14ac:dyDescent="0.25">
      <c r="A1786" t="str">
        <f>IF(C1786&amp;G1786&amp;D1786&lt;&gt;'Funnel setup'!$K$3&amp;'Funnel setup'!$K$4&amp;'Funnel setup'!$K$6,".",IF(A1785=".",1,A1785+1))</f>
        <v>.</v>
      </c>
      <c r="B1786" s="244" t="str">
        <f t="shared" si="27"/>
        <v>Knee Replacement PrimarySub-ICB of GP PracticeNHS GREATER MANCHESTER ICB - 00V (00V)EQ-5D Index</v>
      </c>
      <c r="C1786" t="s">
        <v>969</v>
      </c>
      <c r="D1786" t="s">
        <v>1021</v>
      </c>
      <c r="E1786" t="s">
        <v>803</v>
      </c>
      <c r="F1786" t="s">
        <v>804</v>
      </c>
      <c r="G1786" t="s">
        <v>963</v>
      </c>
      <c r="H1786">
        <v>17</v>
      </c>
      <c r="I1786">
        <v>0.45617600000000003</v>
      </c>
      <c r="J1786">
        <v>0.71099999999999997</v>
      </c>
      <c r="K1786">
        <v>0.25482399999999999</v>
      </c>
      <c r="L1786">
        <v>13</v>
      </c>
      <c r="M1786">
        <v>2</v>
      </c>
      <c r="N1786">
        <v>2</v>
      </c>
      <c r="O1786" t="s">
        <v>127</v>
      </c>
      <c r="P1786" t="s">
        <v>127</v>
      </c>
      <c r="Q1786" t="s">
        <v>127</v>
      </c>
    </row>
    <row r="1787" spans="1:17" x14ac:dyDescent="0.25">
      <c r="A1787" t="str">
        <f>IF(C1787&amp;G1787&amp;D1787&lt;&gt;'Funnel setup'!$K$3&amp;'Funnel setup'!$K$4&amp;'Funnel setup'!$K$6,".",IF(A1786=".",1,A1786+1))</f>
        <v>.</v>
      </c>
      <c r="B1787" s="244" t="str">
        <f t="shared" si="27"/>
        <v>Knee Replacement PrimarySub-ICB of GP PracticeNHS GREATER MANCHESTER ICB - 00Y (00Y)EQ-5D Index</v>
      </c>
      <c r="C1787" t="s">
        <v>969</v>
      </c>
      <c r="D1787" t="s">
        <v>1021</v>
      </c>
      <c r="E1787" t="s">
        <v>805</v>
      </c>
      <c r="F1787" t="s">
        <v>806</v>
      </c>
      <c r="G1787" t="s">
        <v>963</v>
      </c>
      <c r="H1787">
        <v>63</v>
      </c>
      <c r="I1787">
        <v>0.45006299999999999</v>
      </c>
      <c r="J1787">
        <v>0.79885700000000004</v>
      </c>
      <c r="K1787">
        <v>0.34879399999999999</v>
      </c>
      <c r="L1787">
        <v>55</v>
      </c>
      <c r="M1787">
        <v>5</v>
      </c>
      <c r="N1787">
        <v>3</v>
      </c>
      <c r="O1787">
        <v>0.77523399999999998</v>
      </c>
      <c r="P1787">
        <v>0.34643800000000002</v>
      </c>
      <c r="Q1787">
        <v>0.18332200000000001</v>
      </c>
    </row>
    <row r="1788" spans="1:17" x14ac:dyDescent="0.25">
      <c r="A1788" t="str">
        <f>IF(C1788&amp;G1788&amp;D1788&lt;&gt;'Funnel setup'!$K$3&amp;'Funnel setup'!$K$4&amp;'Funnel setup'!$K$6,".",IF(A1787=".",1,A1787+1))</f>
        <v>.</v>
      </c>
      <c r="B1788" s="244" t="str">
        <f t="shared" si="27"/>
        <v>Knee Replacement PrimarySub-ICB of GP PracticeNHS GREATER MANCHESTER ICB - 01D (01D)EQ-5D Index</v>
      </c>
      <c r="C1788" t="s">
        <v>969</v>
      </c>
      <c r="D1788" t="s">
        <v>1021</v>
      </c>
      <c r="E1788" t="s">
        <v>807</v>
      </c>
      <c r="F1788" t="s">
        <v>808</v>
      </c>
      <c r="G1788" t="s">
        <v>963</v>
      </c>
      <c r="H1788">
        <v>22</v>
      </c>
      <c r="I1788">
        <v>0.43968200000000002</v>
      </c>
      <c r="J1788">
        <v>0.733545</v>
      </c>
      <c r="K1788">
        <v>0.29386400000000001</v>
      </c>
      <c r="L1788">
        <v>17</v>
      </c>
      <c r="M1788">
        <v>3</v>
      </c>
      <c r="N1788">
        <v>2</v>
      </c>
      <c r="O1788" t="s">
        <v>127</v>
      </c>
      <c r="P1788" t="s">
        <v>127</v>
      </c>
      <c r="Q1788" t="s">
        <v>127</v>
      </c>
    </row>
    <row r="1789" spans="1:17" x14ac:dyDescent="0.25">
      <c r="A1789" t="str">
        <f>IF(C1789&amp;G1789&amp;D1789&lt;&gt;'Funnel setup'!$K$3&amp;'Funnel setup'!$K$4&amp;'Funnel setup'!$K$6,".",IF(A1788=".",1,A1788+1))</f>
        <v>.</v>
      </c>
      <c r="B1789" s="244" t="str">
        <f t="shared" si="27"/>
        <v>Knee Replacement PrimarySub-ICB of GP PracticeNHS GREATER MANCHESTER ICB - 01G (01G)EQ-5D Index</v>
      </c>
      <c r="C1789" t="s">
        <v>969</v>
      </c>
      <c r="D1789" t="s">
        <v>1021</v>
      </c>
      <c r="E1789" t="s">
        <v>809</v>
      </c>
      <c r="F1789" t="s">
        <v>810</v>
      </c>
      <c r="G1789" t="s">
        <v>963</v>
      </c>
      <c r="H1789">
        <v>56</v>
      </c>
      <c r="I1789">
        <v>0.35103600000000001</v>
      </c>
      <c r="J1789">
        <v>0.73244600000000004</v>
      </c>
      <c r="K1789">
        <v>0.381411</v>
      </c>
      <c r="L1789">
        <v>44</v>
      </c>
      <c r="M1789">
        <v>6</v>
      </c>
      <c r="N1789">
        <v>6</v>
      </c>
      <c r="O1789">
        <v>0.77227100000000004</v>
      </c>
      <c r="P1789">
        <v>0.34347499999999997</v>
      </c>
      <c r="Q1789">
        <v>0.25847599999999998</v>
      </c>
    </row>
    <row r="1790" spans="1:17" x14ac:dyDescent="0.25">
      <c r="A1790" t="str">
        <f>IF(C1790&amp;G1790&amp;D1790&lt;&gt;'Funnel setup'!$K$3&amp;'Funnel setup'!$K$4&amp;'Funnel setup'!$K$6,".",IF(A1789=".",1,A1789+1))</f>
        <v>.</v>
      </c>
      <c r="B1790" s="244" t="str">
        <f t="shared" si="27"/>
        <v>Knee Replacement PrimarySub-ICB of GP PracticeNHS GREATER MANCHESTER ICB - 01W (01W)EQ-5D Index</v>
      </c>
      <c r="C1790" t="s">
        <v>969</v>
      </c>
      <c r="D1790" t="s">
        <v>1021</v>
      </c>
      <c r="E1790" t="s">
        <v>811</v>
      </c>
      <c r="F1790" t="s">
        <v>812</v>
      </c>
      <c r="G1790" t="s">
        <v>963</v>
      </c>
      <c r="H1790">
        <v>52</v>
      </c>
      <c r="I1790">
        <v>0.45376899999999998</v>
      </c>
      <c r="J1790">
        <v>0.76592300000000002</v>
      </c>
      <c r="K1790">
        <v>0.31215399999999999</v>
      </c>
      <c r="L1790">
        <v>43</v>
      </c>
      <c r="M1790">
        <v>2</v>
      </c>
      <c r="N1790">
        <v>7</v>
      </c>
      <c r="O1790">
        <v>0.75121300000000002</v>
      </c>
      <c r="P1790">
        <v>0.32241700000000001</v>
      </c>
      <c r="Q1790">
        <v>0.24439</v>
      </c>
    </row>
    <row r="1791" spans="1:17" x14ac:dyDescent="0.25">
      <c r="A1791" t="str">
        <f>IF(C1791&amp;G1791&amp;D1791&lt;&gt;'Funnel setup'!$K$3&amp;'Funnel setup'!$K$4&amp;'Funnel setup'!$K$6,".",IF(A1790=".",1,A1790+1))</f>
        <v>.</v>
      </c>
      <c r="B1791" s="244" t="str">
        <f t="shared" si="27"/>
        <v>Knee Replacement PrimarySub-ICB of GP PracticeNHS GREATER MANCHESTER ICB - 01Y (01Y)EQ-5D Index</v>
      </c>
      <c r="C1791" t="s">
        <v>969</v>
      </c>
      <c r="D1791" t="s">
        <v>1021</v>
      </c>
      <c r="E1791" t="s">
        <v>813</v>
      </c>
      <c r="F1791" t="s">
        <v>814</v>
      </c>
      <c r="G1791" t="s">
        <v>963</v>
      </c>
      <c r="H1791">
        <v>23</v>
      </c>
      <c r="I1791">
        <v>0.44560899999999998</v>
      </c>
      <c r="J1791">
        <v>0.765652</v>
      </c>
      <c r="K1791">
        <v>0.32004300000000002</v>
      </c>
      <c r="L1791">
        <v>20</v>
      </c>
      <c r="M1791">
        <v>0</v>
      </c>
      <c r="N1791">
        <v>3</v>
      </c>
      <c r="O1791" t="s">
        <v>127</v>
      </c>
      <c r="P1791" t="s">
        <v>127</v>
      </c>
      <c r="Q1791" t="s">
        <v>127</v>
      </c>
    </row>
    <row r="1792" spans="1:17" x14ac:dyDescent="0.25">
      <c r="A1792" t="str">
        <f>IF(C1792&amp;G1792&amp;D1792&lt;&gt;'Funnel setup'!$K$3&amp;'Funnel setup'!$K$4&amp;'Funnel setup'!$K$6,".",IF(A1791=".",1,A1791+1))</f>
        <v>.</v>
      </c>
      <c r="B1792" s="244" t="str">
        <f t="shared" si="27"/>
        <v>Knee Replacement PrimarySub-ICB of GP PracticeNHS GREATER MANCHESTER ICB - 02A (02A)EQ-5D Index</v>
      </c>
      <c r="C1792" t="s">
        <v>969</v>
      </c>
      <c r="D1792" t="s">
        <v>1021</v>
      </c>
      <c r="E1792" t="s">
        <v>815</v>
      </c>
      <c r="F1792" t="s">
        <v>816</v>
      </c>
      <c r="G1792" t="s">
        <v>963</v>
      </c>
      <c r="H1792">
        <v>79</v>
      </c>
      <c r="I1792">
        <v>0.37778499999999998</v>
      </c>
      <c r="J1792">
        <v>0.68951899999999999</v>
      </c>
      <c r="K1792">
        <v>0.31173400000000001</v>
      </c>
      <c r="L1792">
        <v>59</v>
      </c>
      <c r="M1792">
        <v>10</v>
      </c>
      <c r="N1792">
        <v>10</v>
      </c>
      <c r="O1792">
        <v>0.69234099999999998</v>
      </c>
      <c r="P1792">
        <v>0.26354499999999997</v>
      </c>
      <c r="Q1792">
        <v>0.25915199999999999</v>
      </c>
    </row>
    <row r="1793" spans="1:17" x14ac:dyDescent="0.25">
      <c r="A1793" t="str">
        <f>IF(C1793&amp;G1793&amp;D1793&lt;&gt;'Funnel setup'!$K$3&amp;'Funnel setup'!$K$4&amp;'Funnel setup'!$K$6,".",IF(A1792=".",1,A1792+1))</f>
        <v>.</v>
      </c>
      <c r="B1793" s="244" t="str">
        <f t="shared" si="27"/>
        <v>Knee Replacement PrimarySub-ICB of GP PracticeNHS GREATER MANCHESTER ICB - 02H (02H)EQ-5D Index</v>
      </c>
      <c r="C1793" t="s">
        <v>969</v>
      </c>
      <c r="D1793" t="s">
        <v>1021</v>
      </c>
      <c r="E1793" t="s">
        <v>817</v>
      </c>
      <c r="F1793" t="s">
        <v>818</v>
      </c>
      <c r="G1793" t="s">
        <v>963</v>
      </c>
      <c r="H1793">
        <v>27</v>
      </c>
      <c r="I1793">
        <v>0.40207399999999999</v>
      </c>
      <c r="J1793">
        <v>0.72977800000000004</v>
      </c>
      <c r="K1793">
        <v>0.327704</v>
      </c>
      <c r="L1793">
        <v>22</v>
      </c>
      <c r="M1793">
        <v>3</v>
      </c>
      <c r="N1793">
        <v>2</v>
      </c>
      <c r="O1793" t="s">
        <v>127</v>
      </c>
      <c r="P1793" t="s">
        <v>127</v>
      </c>
      <c r="Q1793" t="s">
        <v>127</v>
      </c>
    </row>
    <row r="1794" spans="1:17" x14ac:dyDescent="0.25">
      <c r="A1794" t="str">
        <f>IF(C1794&amp;G1794&amp;D1794&lt;&gt;'Funnel setup'!$K$3&amp;'Funnel setup'!$K$4&amp;'Funnel setup'!$K$6,".",IF(A1793=".",1,A1793+1))</f>
        <v>.</v>
      </c>
      <c r="B1794" s="244" t="str">
        <f t="shared" ref="B1794:B1857" si="28">C1794&amp;D1794&amp;F1794&amp;G1794</f>
        <v>Knee Replacement PrimarySub-ICB of GP PracticeNHS GREATER MANCHESTER ICB - 14L (14L)EQ-5D Index</v>
      </c>
      <c r="C1794" t="s">
        <v>969</v>
      </c>
      <c r="D1794" t="s">
        <v>1021</v>
      </c>
      <c r="E1794" t="s">
        <v>819</v>
      </c>
      <c r="F1794" t="s">
        <v>820</v>
      </c>
      <c r="G1794" t="s">
        <v>963</v>
      </c>
      <c r="H1794">
        <v>56</v>
      </c>
      <c r="I1794">
        <v>0.28923199999999999</v>
      </c>
      <c r="J1794">
        <v>0.68539300000000003</v>
      </c>
      <c r="K1794">
        <v>0.39616099999999999</v>
      </c>
      <c r="L1794">
        <v>48</v>
      </c>
      <c r="M1794">
        <v>2</v>
      </c>
      <c r="N1794">
        <v>6</v>
      </c>
      <c r="O1794">
        <v>0.75820699999999996</v>
      </c>
      <c r="P1794">
        <v>0.32941100000000001</v>
      </c>
      <c r="Q1794">
        <v>0.27075300000000002</v>
      </c>
    </row>
    <row r="1795" spans="1:17" x14ac:dyDescent="0.25">
      <c r="A1795" t="str">
        <f>IF(C1795&amp;G1795&amp;D1795&lt;&gt;'Funnel setup'!$K$3&amp;'Funnel setup'!$K$4&amp;'Funnel setup'!$K$6,".",IF(A1794=".",1,A1794+1))</f>
        <v>.</v>
      </c>
      <c r="B1795" s="244" t="str">
        <f t="shared" si="28"/>
        <v>Knee Replacement PrimarySub-ICB of GP PracticeNHS HAMPSHIRE AND ISLE OF WIGHT ICB - 10R (10R)EQ-5D Index</v>
      </c>
      <c r="C1795" t="s">
        <v>969</v>
      </c>
      <c r="D1795" t="s">
        <v>1021</v>
      </c>
      <c r="E1795" t="s">
        <v>821</v>
      </c>
      <c r="F1795" t="s">
        <v>822</v>
      </c>
      <c r="G1795" t="s">
        <v>963</v>
      </c>
      <c r="H1795">
        <v>10</v>
      </c>
      <c r="I1795">
        <v>0.37780000000000002</v>
      </c>
      <c r="J1795">
        <v>0.68259999999999998</v>
      </c>
      <c r="K1795">
        <v>0.30480000000000002</v>
      </c>
      <c r="L1795">
        <v>8</v>
      </c>
      <c r="M1795">
        <v>1</v>
      </c>
      <c r="N1795">
        <v>1</v>
      </c>
      <c r="O1795" t="s">
        <v>127</v>
      </c>
      <c r="P1795" t="s">
        <v>127</v>
      </c>
      <c r="Q1795" t="s">
        <v>127</v>
      </c>
    </row>
    <row r="1796" spans="1:17" x14ac:dyDescent="0.25">
      <c r="A1796" t="str">
        <f>IF(C1796&amp;G1796&amp;D1796&lt;&gt;'Funnel setup'!$K$3&amp;'Funnel setup'!$K$4&amp;'Funnel setup'!$K$6,".",IF(A1795=".",1,A1795+1))</f>
        <v>.</v>
      </c>
      <c r="B1796" s="244" t="str">
        <f t="shared" si="28"/>
        <v>Knee Replacement PrimarySub-ICB of GP PracticeNHS HAMPSHIRE AND ISLE OF WIGHT ICB - D9Y0V (D9Y0V)EQ-5D Index</v>
      </c>
      <c r="C1796" t="s">
        <v>969</v>
      </c>
      <c r="D1796" t="s">
        <v>1021</v>
      </c>
      <c r="E1796" t="s">
        <v>823</v>
      </c>
      <c r="F1796" t="s">
        <v>824</v>
      </c>
      <c r="G1796" t="s">
        <v>963</v>
      </c>
      <c r="H1796">
        <v>342</v>
      </c>
      <c r="I1796">
        <v>0.46628700000000001</v>
      </c>
      <c r="J1796">
        <v>0.770374</v>
      </c>
      <c r="K1796">
        <v>0.30408800000000002</v>
      </c>
      <c r="L1796">
        <v>277</v>
      </c>
      <c r="M1796">
        <v>33</v>
      </c>
      <c r="N1796">
        <v>32</v>
      </c>
      <c r="O1796">
        <v>0.75182899999999997</v>
      </c>
      <c r="P1796">
        <v>0.32303300000000001</v>
      </c>
      <c r="Q1796">
        <v>0.23346</v>
      </c>
    </row>
    <row r="1797" spans="1:17" x14ac:dyDescent="0.25">
      <c r="A1797" t="str">
        <f>IF(C1797&amp;G1797&amp;D1797&lt;&gt;'Funnel setup'!$K$3&amp;'Funnel setup'!$K$4&amp;'Funnel setup'!$K$6,".",IF(A1796=".",1,A1796+1))</f>
        <v>.</v>
      </c>
      <c r="B1797" s="244" t="str">
        <f t="shared" si="28"/>
        <v>Knee Replacement PrimarySub-ICB of GP PracticeNHS HEREFORDSHIRE AND WORCESTERSHIRE ICB - 18C (18C)EQ-5D Index</v>
      </c>
      <c r="C1797" t="s">
        <v>969</v>
      </c>
      <c r="D1797" t="s">
        <v>1021</v>
      </c>
      <c r="E1797" t="s">
        <v>825</v>
      </c>
      <c r="F1797" t="s">
        <v>826</v>
      </c>
      <c r="G1797" t="s">
        <v>963</v>
      </c>
      <c r="H1797">
        <v>198</v>
      </c>
      <c r="I1797">
        <v>0.41563099999999997</v>
      </c>
      <c r="J1797">
        <v>0.76486399999999999</v>
      </c>
      <c r="K1797">
        <v>0.34923199999999999</v>
      </c>
      <c r="L1797">
        <v>167</v>
      </c>
      <c r="M1797">
        <v>13</v>
      </c>
      <c r="N1797">
        <v>18</v>
      </c>
      <c r="O1797">
        <v>0.767123</v>
      </c>
      <c r="P1797">
        <v>0.33832699999999999</v>
      </c>
      <c r="Q1797">
        <v>0.23503299999999999</v>
      </c>
    </row>
    <row r="1798" spans="1:17" x14ac:dyDescent="0.25">
      <c r="A1798" t="str">
        <f>IF(C1798&amp;G1798&amp;D1798&lt;&gt;'Funnel setup'!$K$3&amp;'Funnel setup'!$K$4&amp;'Funnel setup'!$K$6,".",IF(A1797=".",1,A1797+1))</f>
        <v>.</v>
      </c>
      <c r="B1798" s="244" t="str">
        <f t="shared" si="28"/>
        <v>Knee Replacement PrimarySub-ICB of GP PracticeNHS HERTFORDSHIRE AND WEST ESSEX ICB - 06K (06K)EQ-5D Index</v>
      </c>
      <c r="C1798" t="s">
        <v>969</v>
      </c>
      <c r="D1798" t="s">
        <v>1021</v>
      </c>
      <c r="E1798" t="s">
        <v>827</v>
      </c>
      <c r="F1798" t="s">
        <v>828</v>
      </c>
      <c r="G1798" t="s">
        <v>963</v>
      </c>
      <c r="H1798">
        <v>90</v>
      </c>
      <c r="I1798">
        <v>0.43115599999999998</v>
      </c>
      <c r="J1798">
        <v>0.72733300000000001</v>
      </c>
      <c r="K1798">
        <v>0.296178</v>
      </c>
      <c r="L1798">
        <v>71</v>
      </c>
      <c r="M1798">
        <v>9</v>
      </c>
      <c r="N1798">
        <v>10</v>
      </c>
      <c r="O1798">
        <v>0.72780699999999998</v>
      </c>
      <c r="P1798">
        <v>0.29901100000000003</v>
      </c>
      <c r="Q1798">
        <v>0.25948399999999999</v>
      </c>
    </row>
    <row r="1799" spans="1:17" x14ac:dyDescent="0.25">
      <c r="A1799" t="str">
        <f>IF(C1799&amp;G1799&amp;D1799&lt;&gt;'Funnel setup'!$K$3&amp;'Funnel setup'!$K$4&amp;'Funnel setup'!$K$6,".",IF(A1798=".",1,A1798+1))</f>
        <v>.</v>
      </c>
      <c r="B1799" s="244" t="str">
        <f t="shared" si="28"/>
        <v>Knee Replacement PrimarySub-ICB of GP PracticeNHS HERTFORDSHIRE AND WEST ESSEX ICB - 06N (06N)EQ-5D Index</v>
      </c>
      <c r="C1799" t="s">
        <v>969</v>
      </c>
      <c r="D1799" t="s">
        <v>1021</v>
      </c>
      <c r="E1799" t="s">
        <v>829</v>
      </c>
      <c r="F1799" t="s">
        <v>830</v>
      </c>
      <c r="G1799" t="s">
        <v>963</v>
      </c>
      <c r="H1799">
        <v>112</v>
      </c>
      <c r="I1799">
        <v>0.46341100000000002</v>
      </c>
      <c r="J1799">
        <v>0.73560700000000001</v>
      </c>
      <c r="K1799">
        <v>0.27219599999999999</v>
      </c>
      <c r="L1799">
        <v>84</v>
      </c>
      <c r="M1799">
        <v>15</v>
      </c>
      <c r="N1799">
        <v>13</v>
      </c>
      <c r="O1799">
        <v>0.71751200000000004</v>
      </c>
      <c r="P1799">
        <v>0.28871599999999997</v>
      </c>
      <c r="Q1799">
        <v>0.25190699999999999</v>
      </c>
    </row>
    <row r="1800" spans="1:17" x14ac:dyDescent="0.25">
      <c r="A1800" t="str">
        <f>IF(C1800&amp;G1800&amp;D1800&lt;&gt;'Funnel setup'!$K$3&amp;'Funnel setup'!$K$4&amp;'Funnel setup'!$K$6,".",IF(A1799=".",1,A1799+1))</f>
        <v>.</v>
      </c>
      <c r="B1800" s="244" t="str">
        <f t="shared" si="28"/>
        <v>Knee Replacement PrimarySub-ICB of GP PracticeNHS HERTFORDSHIRE AND WEST ESSEX ICB - 07H (07H)EQ-5D Index</v>
      </c>
      <c r="C1800" t="s">
        <v>969</v>
      </c>
      <c r="D1800" t="s">
        <v>1021</v>
      </c>
      <c r="E1800" t="s">
        <v>831</v>
      </c>
      <c r="F1800" t="s">
        <v>832</v>
      </c>
      <c r="G1800" t="s">
        <v>963</v>
      </c>
      <c r="H1800">
        <v>66</v>
      </c>
      <c r="I1800">
        <v>0.464258</v>
      </c>
      <c r="J1800">
        <v>0.77087899999999998</v>
      </c>
      <c r="K1800">
        <v>0.30662099999999998</v>
      </c>
      <c r="L1800">
        <v>49</v>
      </c>
      <c r="M1800">
        <v>11</v>
      </c>
      <c r="N1800">
        <v>6</v>
      </c>
      <c r="O1800">
        <v>0.749247</v>
      </c>
      <c r="P1800">
        <v>0.32045200000000001</v>
      </c>
      <c r="Q1800">
        <v>0.22873299999999999</v>
      </c>
    </row>
    <row r="1801" spans="1:17" x14ac:dyDescent="0.25">
      <c r="A1801" t="str">
        <f>IF(C1801&amp;G1801&amp;D1801&lt;&gt;'Funnel setup'!$K$3&amp;'Funnel setup'!$K$4&amp;'Funnel setup'!$K$6,".",IF(A1800=".",1,A1800+1))</f>
        <v>.</v>
      </c>
      <c r="B1801" s="244" t="str">
        <f t="shared" si="28"/>
        <v>Knee Replacement PrimarySub-ICB of GP PracticeNHS HUMBER AND NORTH YORKSHIRE ICB - 02Y (02Y)EQ-5D Index</v>
      </c>
      <c r="C1801" t="s">
        <v>969</v>
      </c>
      <c r="D1801" t="s">
        <v>1021</v>
      </c>
      <c r="E1801" t="s">
        <v>833</v>
      </c>
      <c r="F1801" t="s">
        <v>834</v>
      </c>
      <c r="G1801" t="s">
        <v>963</v>
      </c>
      <c r="H1801">
        <v>72</v>
      </c>
      <c r="I1801">
        <v>0.46973599999999999</v>
      </c>
      <c r="J1801">
        <v>0.73069399999999995</v>
      </c>
      <c r="K1801">
        <v>0.26095800000000002</v>
      </c>
      <c r="L1801">
        <v>53</v>
      </c>
      <c r="M1801">
        <v>11</v>
      </c>
      <c r="N1801">
        <v>8</v>
      </c>
      <c r="O1801">
        <v>0.71823999999999999</v>
      </c>
      <c r="P1801">
        <v>0.28944399999999998</v>
      </c>
      <c r="Q1801">
        <v>0.21618799999999999</v>
      </c>
    </row>
    <row r="1802" spans="1:17" x14ac:dyDescent="0.25">
      <c r="A1802" t="str">
        <f>IF(C1802&amp;G1802&amp;D1802&lt;&gt;'Funnel setup'!$K$3&amp;'Funnel setup'!$K$4&amp;'Funnel setup'!$K$6,".",IF(A1801=".",1,A1801+1))</f>
        <v>.</v>
      </c>
      <c r="B1802" s="244" t="str">
        <f t="shared" si="28"/>
        <v>Knee Replacement PrimarySub-ICB of GP PracticeNHS HUMBER AND NORTH YORKSHIRE ICB - 03F (03F)EQ-5D Index</v>
      </c>
      <c r="C1802" t="s">
        <v>969</v>
      </c>
      <c r="D1802" t="s">
        <v>1021</v>
      </c>
      <c r="E1802" t="s">
        <v>835</v>
      </c>
      <c r="F1802" t="s">
        <v>836</v>
      </c>
      <c r="G1802" t="s">
        <v>963</v>
      </c>
      <c r="H1802">
        <v>26</v>
      </c>
      <c r="I1802">
        <v>0.382077</v>
      </c>
      <c r="J1802">
        <v>0.75549999999999995</v>
      </c>
      <c r="K1802">
        <v>0.373423</v>
      </c>
      <c r="L1802">
        <v>24</v>
      </c>
      <c r="M1802">
        <v>0</v>
      </c>
      <c r="N1802">
        <v>2</v>
      </c>
      <c r="O1802" t="s">
        <v>127</v>
      </c>
      <c r="P1802" t="s">
        <v>127</v>
      </c>
      <c r="Q1802" t="s">
        <v>127</v>
      </c>
    </row>
    <row r="1803" spans="1:17" x14ac:dyDescent="0.25">
      <c r="A1803" t="str">
        <f>IF(C1803&amp;G1803&amp;D1803&lt;&gt;'Funnel setup'!$K$3&amp;'Funnel setup'!$K$4&amp;'Funnel setup'!$K$6,".",IF(A1802=".",1,A1802+1))</f>
        <v>.</v>
      </c>
      <c r="B1803" s="244" t="str">
        <f t="shared" si="28"/>
        <v>Knee Replacement PrimarySub-ICB of GP PracticeNHS HUMBER AND NORTH YORKSHIRE ICB - 03H (03H)EQ-5D Index</v>
      </c>
      <c r="C1803" t="s">
        <v>969</v>
      </c>
      <c r="D1803" t="s">
        <v>1021</v>
      </c>
      <c r="E1803" t="s">
        <v>837</v>
      </c>
      <c r="F1803" t="s">
        <v>838</v>
      </c>
      <c r="G1803" t="s">
        <v>963</v>
      </c>
      <c r="H1803">
        <v>79</v>
      </c>
      <c r="I1803">
        <v>0.41706300000000002</v>
      </c>
      <c r="J1803">
        <v>0.77807599999999999</v>
      </c>
      <c r="K1803">
        <v>0.36101299999999997</v>
      </c>
      <c r="L1803">
        <v>67</v>
      </c>
      <c r="M1803">
        <v>5</v>
      </c>
      <c r="N1803">
        <v>7</v>
      </c>
      <c r="O1803">
        <v>0.76815699999999998</v>
      </c>
      <c r="P1803">
        <v>0.33936100000000002</v>
      </c>
      <c r="Q1803">
        <v>0.193053</v>
      </c>
    </row>
    <row r="1804" spans="1:17" x14ac:dyDescent="0.25">
      <c r="A1804" t="str">
        <f>IF(C1804&amp;G1804&amp;D1804&lt;&gt;'Funnel setup'!$K$3&amp;'Funnel setup'!$K$4&amp;'Funnel setup'!$K$6,".",IF(A1803=".",1,A1803+1))</f>
        <v>.</v>
      </c>
      <c r="B1804" s="244" t="str">
        <f t="shared" si="28"/>
        <v>Knee Replacement PrimarySub-ICB of GP PracticeNHS HUMBER AND NORTH YORKSHIRE ICB - 03K (03K)EQ-5D Index</v>
      </c>
      <c r="C1804" t="s">
        <v>969</v>
      </c>
      <c r="D1804" t="s">
        <v>1021</v>
      </c>
      <c r="E1804" t="s">
        <v>839</v>
      </c>
      <c r="F1804" t="s">
        <v>840</v>
      </c>
      <c r="G1804" t="s">
        <v>963</v>
      </c>
      <c r="H1804">
        <v>66</v>
      </c>
      <c r="I1804">
        <v>0.41166700000000001</v>
      </c>
      <c r="J1804">
        <v>0.72057599999999999</v>
      </c>
      <c r="K1804">
        <v>0.30890899999999999</v>
      </c>
      <c r="L1804">
        <v>49</v>
      </c>
      <c r="M1804">
        <v>5</v>
      </c>
      <c r="N1804">
        <v>12</v>
      </c>
      <c r="O1804">
        <v>0.71902999999999995</v>
      </c>
      <c r="P1804">
        <v>0.29023399999999999</v>
      </c>
      <c r="Q1804">
        <v>0.26902799999999999</v>
      </c>
    </row>
    <row r="1805" spans="1:17" x14ac:dyDescent="0.25">
      <c r="A1805" t="str">
        <f>IF(C1805&amp;G1805&amp;D1805&lt;&gt;'Funnel setup'!$K$3&amp;'Funnel setup'!$K$4&amp;'Funnel setup'!$K$6,".",IF(A1804=".",1,A1804+1))</f>
        <v>.</v>
      </c>
      <c r="B1805" s="244" t="str">
        <f t="shared" si="28"/>
        <v>Knee Replacement PrimarySub-ICB of GP PracticeNHS HUMBER AND NORTH YORKSHIRE ICB - 03Q (03Q)EQ-5D Index</v>
      </c>
      <c r="C1805" t="s">
        <v>969</v>
      </c>
      <c r="D1805" t="s">
        <v>1021</v>
      </c>
      <c r="E1805" t="s">
        <v>841</v>
      </c>
      <c r="F1805" t="s">
        <v>842</v>
      </c>
      <c r="G1805" t="s">
        <v>963</v>
      </c>
      <c r="H1805">
        <v>66</v>
      </c>
      <c r="I1805">
        <v>0.464424</v>
      </c>
      <c r="J1805">
        <v>0.76145499999999999</v>
      </c>
      <c r="K1805">
        <v>0.29703000000000002</v>
      </c>
      <c r="L1805">
        <v>55</v>
      </c>
      <c r="M1805">
        <v>7</v>
      </c>
      <c r="N1805">
        <v>4</v>
      </c>
      <c r="O1805">
        <v>0.73840300000000003</v>
      </c>
      <c r="P1805">
        <v>0.30960700000000002</v>
      </c>
      <c r="Q1805">
        <v>0.21354699999999999</v>
      </c>
    </row>
    <row r="1806" spans="1:17" x14ac:dyDescent="0.25">
      <c r="A1806" t="str">
        <f>IF(C1806&amp;G1806&amp;D1806&lt;&gt;'Funnel setup'!$K$3&amp;'Funnel setup'!$K$4&amp;'Funnel setup'!$K$6,".",IF(A1805=".",1,A1805+1))</f>
        <v>.</v>
      </c>
      <c r="B1806" s="244" t="str">
        <f t="shared" si="28"/>
        <v>Knee Replacement PrimarySub-ICB of GP PracticeNHS HUMBER AND NORTH YORKSHIRE ICB - 42D (42D)EQ-5D Index</v>
      </c>
      <c r="C1806" t="s">
        <v>969</v>
      </c>
      <c r="D1806" t="s">
        <v>1021</v>
      </c>
      <c r="E1806" t="s">
        <v>843</v>
      </c>
      <c r="F1806" t="s">
        <v>844</v>
      </c>
      <c r="G1806" t="s">
        <v>963</v>
      </c>
      <c r="H1806">
        <v>193</v>
      </c>
      <c r="I1806">
        <v>0.39290199999999997</v>
      </c>
      <c r="J1806">
        <v>0.792736</v>
      </c>
      <c r="K1806">
        <v>0.39983400000000002</v>
      </c>
      <c r="L1806">
        <v>171</v>
      </c>
      <c r="M1806">
        <v>6</v>
      </c>
      <c r="N1806">
        <v>16</v>
      </c>
      <c r="O1806">
        <v>0.79169999999999996</v>
      </c>
      <c r="P1806">
        <v>0.362904</v>
      </c>
      <c r="Q1806">
        <v>0.222524</v>
      </c>
    </row>
    <row r="1807" spans="1:17" x14ac:dyDescent="0.25">
      <c r="A1807" t="str">
        <f>IF(C1807&amp;G1807&amp;D1807&lt;&gt;'Funnel setup'!$K$3&amp;'Funnel setup'!$K$4&amp;'Funnel setup'!$K$6,".",IF(A1806=".",1,A1806+1))</f>
        <v>.</v>
      </c>
      <c r="B1807" s="244" t="str">
        <f t="shared" si="28"/>
        <v>Knee Replacement PrimarySub-ICB of GP PracticeNHS KENT AND MEDWAY ICB - 91Q (91Q)EQ-5D Index</v>
      </c>
      <c r="C1807" t="s">
        <v>969</v>
      </c>
      <c r="D1807" t="s">
        <v>1021</v>
      </c>
      <c r="E1807" t="s">
        <v>845</v>
      </c>
      <c r="F1807" t="s">
        <v>846</v>
      </c>
      <c r="G1807" t="s">
        <v>963</v>
      </c>
      <c r="H1807">
        <v>559</v>
      </c>
      <c r="I1807">
        <v>0.47636699999999998</v>
      </c>
      <c r="J1807">
        <v>0.79637199999999997</v>
      </c>
      <c r="K1807">
        <v>0.32000499999999998</v>
      </c>
      <c r="L1807">
        <v>469</v>
      </c>
      <c r="M1807">
        <v>47</v>
      </c>
      <c r="N1807">
        <v>43</v>
      </c>
      <c r="O1807">
        <v>0.78485199999999999</v>
      </c>
      <c r="P1807">
        <v>0.35605599999999998</v>
      </c>
      <c r="Q1807">
        <v>0.20260700000000001</v>
      </c>
    </row>
    <row r="1808" spans="1:17" x14ac:dyDescent="0.25">
      <c r="A1808" t="str">
        <f>IF(C1808&amp;G1808&amp;D1808&lt;&gt;'Funnel setup'!$K$3&amp;'Funnel setup'!$K$4&amp;'Funnel setup'!$K$6,".",IF(A1807=".",1,A1807+1))</f>
        <v>.</v>
      </c>
      <c r="B1808" s="244" t="str">
        <f t="shared" si="28"/>
        <v>Knee Replacement PrimarySub-ICB of GP PracticeNHS LANCASHIRE AND SOUTH CUMBRIA ICB - 00Q (00Q)EQ-5D Index</v>
      </c>
      <c r="C1808" t="s">
        <v>969</v>
      </c>
      <c r="D1808" t="s">
        <v>1021</v>
      </c>
      <c r="E1808" t="s">
        <v>847</v>
      </c>
      <c r="F1808" t="s">
        <v>848</v>
      </c>
      <c r="G1808" t="s">
        <v>963</v>
      </c>
      <c r="H1808">
        <v>46</v>
      </c>
      <c r="I1808">
        <v>0.44834800000000002</v>
      </c>
      <c r="J1808">
        <v>0.66780399999999995</v>
      </c>
      <c r="K1808">
        <v>0.21945700000000001</v>
      </c>
      <c r="L1808">
        <v>34</v>
      </c>
      <c r="M1808">
        <v>8</v>
      </c>
      <c r="N1808">
        <v>4</v>
      </c>
      <c r="O1808">
        <v>0.67074800000000001</v>
      </c>
      <c r="P1808">
        <v>0.241952</v>
      </c>
      <c r="Q1808">
        <v>0.25754500000000002</v>
      </c>
    </row>
    <row r="1809" spans="1:17" x14ac:dyDescent="0.25">
      <c r="A1809" t="str">
        <f>IF(C1809&amp;G1809&amp;D1809&lt;&gt;'Funnel setup'!$K$3&amp;'Funnel setup'!$K$4&amp;'Funnel setup'!$K$6,".",IF(A1808=".",1,A1808+1))</f>
        <v>.</v>
      </c>
      <c r="B1809" s="244" t="str">
        <f t="shared" si="28"/>
        <v>Knee Replacement PrimarySub-ICB of GP PracticeNHS LANCASHIRE AND SOUTH CUMBRIA ICB - 00R (00R)EQ-5D Index</v>
      </c>
      <c r="C1809" t="s">
        <v>969</v>
      </c>
      <c r="D1809" t="s">
        <v>1021</v>
      </c>
      <c r="E1809" t="s">
        <v>849</v>
      </c>
      <c r="F1809" t="s">
        <v>850</v>
      </c>
      <c r="G1809" t="s">
        <v>963</v>
      </c>
      <c r="H1809">
        <v>46</v>
      </c>
      <c r="I1809">
        <v>0.44984800000000003</v>
      </c>
      <c r="J1809">
        <v>0.709152</v>
      </c>
      <c r="K1809">
        <v>0.25930399999999998</v>
      </c>
      <c r="L1809">
        <v>36</v>
      </c>
      <c r="M1809">
        <v>5</v>
      </c>
      <c r="N1809">
        <v>5</v>
      </c>
      <c r="O1809">
        <v>0.76127599999999995</v>
      </c>
      <c r="P1809">
        <v>0.33248</v>
      </c>
      <c r="Q1809">
        <v>0.23250000000000001</v>
      </c>
    </row>
    <row r="1810" spans="1:17" x14ac:dyDescent="0.25">
      <c r="A1810" t="str">
        <f>IF(C1810&amp;G1810&amp;D1810&lt;&gt;'Funnel setup'!$K$3&amp;'Funnel setup'!$K$4&amp;'Funnel setup'!$K$6,".",IF(A1809=".",1,A1809+1))</f>
        <v>.</v>
      </c>
      <c r="B1810" s="244" t="str">
        <f t="shared" si="28"/>
        <v>Knee Replacement PrimarySub-ICB of GP PracticeNHS LANCASHIRE AND SOUTH CUMBRIA ICB - 00X (00X)EQ-5D Index</v>
      </c>
      <c r="C1810" t="s">
        <v>969</v>
      </c>
      <c r="D1810" t="s">
        <v>1021</v>
      </c>
      <c r="E1810" t="s">
        <v>851</v>
      </c>
      <c r="F1810" t="s">
        <v>852</v>
      </c>
      <c r="G1810" t="s">
        <v>963</v>
      </c>
      <c r="H1810">
        <v>61</v>
      </c>
      <c r="I1810">
        <v>0.36095100000000002</v>
      </c>
      <c r="J1810">
        <v>0.78796699999999997</v>
      </c>
      <c r="K1810">
        <v>0.42701600000000001</v>
      </c>
      <c r="L1810">
        <v>57</v>
      </c>
      <c r="M1810">
        <v>3</v>
      </c>
      <c r="N1810">
        <v>1</v>
      </c>
      <c r="O1810">
        <v>0.80871300000000002</v>
      </c>
      <c r="P1810">
        <v>0.37991799999999998</v>
      </c>
      <c r="Q1810">
        <v>0.22067200000000001</v>
      </c>
    </row>
    <row r="1811" spans="1:17" x14ac:dyDescent="0.25">
      <c r="A1811" t="str">
        <f>IF(C1811&amp;G1811&amp;D1811&lt;&gt;'Funnel setup'!$K$3&amp;'Funnel setup'!$K$4&amp;'Funnel setup'!$K$6,".",IF(A1810=".",1,A1810+1))</f>
        <v>.</v>
      </c>
      <c r="B1811" s="244" t="str">
        <f t="shared" si="28"/>
        <v>Knee Replacement PrimarySub-ICB of GP PracticeNHS LANCASHIRE AND SOUTH CUMBRIA ICB - 01A (01A)EQ-5D Index</v>
      </c>
      <c r="C1811" t="s">
        <v>969</v>
      </c>
      <c r="D1811" t="s">
        <v>1021</v>
      </c>
      <c r="E1811" t="s">
        <v>853</v>
      </c>
      <c r="F1811" t="s">
        <v>854</v>
      </c>
      <c r="G1811" t="s">
        <v>963</v>
      </c>
      <c r="H1811">
        <v>126</v>
      </c>
      <c r="I1811">
        <v>0.47934900000000003</v>
      </c>
      <c r="J1811">
        <v>0.77652399999999999</v>
      </c>
      <c r="K1811">
        <v>0.29717500000000002</v>
      </c>
      <c r="L1811">
        <v>104</v>
      </c>
      <c r="M1811">
        <v>9</v>
      </c>
      <c r="N1811">
        <v>13</v>
      </c>
      <c r="O1811">
        <v>0.77090099999999995</v>
      </c>
      <c r="P1811">
        <v>0.34210499999999999</v>
      </c>
      <c r="Q1811">
        <v>0.22199199999999999</v>
      </c>
    </row>
    <row r="1812" spans="1:17" x14ac:dyDescent="0.25">
      <c r="A1812" t="str">
        <f>IF(C1812&amp;G1812&amp;D1812&lt;&gt;'Funnel setup'!$K$3&amp;'Funnel setup'!$K$4&amp;'Funnel setup'!$K$6,".",IF(A1811=".",1,A1811+1))</f>
        <v>.</v>
      </c>
      <c r="B1812" s="244" t="str">
        <f t="shared" si="28"/>
        <v>Knee Replacement PrimarySub-ICB of GP PracticeNHS LANCASHIRE AND SOUTH CUMBRIA ICB - 01E (01E)EQ-5D Index</v>
      </c>
      <c r="C1812" t="s">
        <v>969</v>
      </c>
      <c r="D1812" t="s">
        <v>1021</v>
      </c>
      <c r="E1812" t="s">
        <v>855</v>
      </c>
      <c r="F1812" t="s">
        <v>856</v>
      </c>
      <c r="G1812" t="s">
        <v>963</v>
      </c>
      <c r="H1812">
        <v>68</v>
      </c>
      <c r="I1812">
        <v>0.46582400000000002</v>
      </c>
      <c r="J1812">
        <v>0.80169100000000004</v>
      </c>
      <c r="K1812">
        <v>0.335868</v>
      </c>
      <c r="L1812">
        <v>57</v>
      </c>
      <c r="M1812">
        <v>6</v>
      </c>
      <c r="N1812">
        <v>5</v>
      </c>
      <c r="O1812">
        <v>0.80062999999999995</v>
      </c>
      <c r="P1812">
        <v>0.371834</v>
      </c>
      <c r="Q1812">
        <v>0.25594600000000001</v>
      </c>
    </row>
    <row r="1813" spans="1:17" x14ac:dyDescent="0.25">
      <c r="A1813" t="str">
        <f>IF(C1813&amp;G1813&amp;D1813&lt;&gt;'Funnel setup'!$K$3&amp;'Funnel setup'!$K$4&amp;'Funnel setup'!$K$6,".",IF(A1812=".",1,A1812+1))</f>
        <v>.</v>
      </c>
      <c r="B1813" s="244" t="str">
        <f t="shared" si="28"/>
        <v>Knee Replacement PrimarySub-ICB of GP PracticeNHS LANCASHIRE AND SOUTH CUMBRIA ICB - 01K (01K)EQ-5D Index</v>
      </c>
      <c r="C1813" t="s">
        <v>969</v>
      </c>
      <c r="D1813" t="s">
        <v>1021</v>
      </c>
      <c r="E1813" t="s">
        <v>857</v>
      </c>
      <c r="F1813" t="s">
        <v>858</v>
      </c>
      <c r="G1813" t="s">
        <v>963</v>
      </c>
      <c r="H1813">
        <v>180</v>
      </c>
      <c r="I1813">
        <v>0.419817</v>
      </c>
      <c r="J1813">
        <v>0.74826099999999995</v>
      </c>
      <c r="K1813">
        <v>0.32844400000000001</v>
      </c>
      <c r="L1813">
        <v>145</v>
      </c>
      <c r="M1813">
        <v>14</v>
      </c>
      <c r="N1813">
        <v>21</v>
      </c>
      <c r="O1813">
        <v>0.74798100000000001</v>
      </c>
      <c r="P1813">
        <v>0.319185</v>
      </c>
      <c r="Q1813">
        <v>0.224638</v>
      </c>
    </row>
    <row r="1814" spans="1:17" x14ac:dyDescent="0.25">
      <c r="A1814" t="str">
        <f>IF(C1814&amp;G1814&amp;D1814&lt;&gt;'Funnel setup'!$K$3&amp;'Funnel setup'!$K$4&amp;'Funnel setup'!$K$6,".",IF(A1813=".",1,A1813+1))</f>
        <v>.</v>
      </c>
      <c r="B1814" s="244" t="str">
        <f t="shared" si="28"/>
        <v>Knee Replacement PrimarySub-ICB of GP PracticeNHS LANCASHIRE AND SOUTH CUMBRIA ICB - 02G (02G)EQ-5D Index</v>
      </c>
      <c r="C1814" t="s">
        <v>969</v>
      </c>
      <c r="D1814" t="s">
        <v>1021</v>
      </c>
      <c r="E1814" t="s">
        <v>859</v>
      </c>
      <c r="F1814" t="s">
        <v>860</v>
      </c>
      <c r="G1814" t="s">
        <v>963</v>
      </c>
      <c r="H1814">
        <v>23</v>
      </c>
      <c r="I1814">
        <v>0.315913</v>
      </c>
      <c r="J1814">
        <v>0.85365199999999997</v>
      </c>
      <c r="K1814">
        <v>0.53773899999999997</v>
      </c>
      <c r="L1814">
        <v>22</v>
      </c>
      <c r="M1814">
        <v>1</v>
      </c>
      <c r="N1814">
        <v>0</v>
      </c>
      <c r="O1814" t="s">
        <v>127</v>
      </c>
      <c r="P1814" t="s">
        <v>127</v>
      </c>
      <c r="Q1814" t="s">
        <v>127</v>
      </c>
    </row>
    <row r="1815" spans="1:17" x14ac:dyDescent="0.25">
      <c r="A1815" t="str">
        <f>IF(C1815&amp;G1815&amp;D1815&lt;&gt;'Funnel setup'!$K$3&amp;'Funnel setup'!$K$4&amp;'Funnel setup'!$K$6,".",IF(A1814=".",1,A1814+1))</f>
        <v>.</v>
      </c>
      <c r="B1815" s="244" t="str">
        <f t="shared" si="28"/>
        <v>Knee Replacement PrimarySub-ICB of GP PracticeNHS LANCASHIRE AND SOUTH CUMBRIA ICB - 02M (02M)EQ-5D Index</v>
      </c>
      <c r="C1815" t="s">
        <v>969</v>
      </c>
      <c r="D1815" t="s">
        <v>1021</v>
      </c>
      <c r="E1815" t="s">
        <v>861</v>
      </c>
      <c r="F1815" t="s">
        <v>862</v>
      </c>
      <c r="G1815" t="s">
        <v>963</v>
      </c>
      <c r="H1815">
        <v>64</v>
      </c>
      <c r="I1815">
        <v>0.52565600000000001</v>
      </c>
      <c r="J1815">
        <v>0.78285899999999997</v>
      </c>
      <c r="K1815">
        <v>0.25720300000000001</v>
      </c>
      <c r="L1815">
        <v>52</v>
      </c>
      <c r="M1815">
        <v>2</v>
      </c>
      <c r="N1815">
        <v>10</v>
      </c>
      <c r="O1815">
        <v>0.75872499999999998</v>
      </c>
      <c r="P1815">
        <v>0.32992899999999997</v>
      </c>
      <c r="Q1815">
        <v>0.177702</v>
      </c>
    </row>
    <row r="1816" spans="1:17" x14ac:dyDescent="0.25">
      <c r="A1816" t="str">
        <f>IF(C1816&amp;G1816&amp;D1816&lt;&gt;'Funnel setup'!$K$3&amp;'Funnel setup'!$K$4&amp;'Funnel setup'!$K$6,".",IF(A1815=".",1,A1815+1))</f>
        <v>.</v>
      </c>
      <c r="B1816" s="244" t="str">
        <f t="shared" si="28"/>
        <v>Knee Replacement PrimarySub-ICB of GP PracticeNHS LEICESTER, LEICESTERSHIRE AND RUTLAND ICB - 03W (03W)EQ-5D Index</v>
      </c>
      <c r="C1816" t="s">
        <v>969</v>
      </c>
      <c r="D1816" t="s">
        <v>1021</v>
      </c>
      <c r="E1816" t="s">
        <v>863</v>
      </c>
      <c r="F1816" t="s">
        <v>864</v>
      </c>
      <c r="G1816" t="s">
        <v>963</v>
      </c>
      <c r="H1816">
        <v>144</v>
      </c>
      <c r="I1816">
        <v>0.43166700000000002</v>
      </c>
      <c r="J1816">
        <v>0.77332599999999996</v>
      </c>
      <c r="K1816">
        <v>0.34166000000000002</v>
      </c>
      <c r="L1816">
        <v>121</v>
      </c>
      <c r="M1816">
        <v>14</v>
      </c>
      <c r="N1816">
        <v>9</v>
      </c>
      <c r="O1816">
        <v>0.76693199999999995</v>
      </c>
      <c r="P1816">
        <v>0.33813599999999999</v>
      </c>
      <c r="Q1816">
        <v>0.187778</v>
      </c>
    </row>
    <row r="1817" spans="1:17" x14ac:dyDescent="0.25">
      <c r="A1817" t="str">
        <f>IF(C1817&amp;G1817&amp;D1817&lt;&gt;'Funnel setup'!$K$3&amp;'Funnel setup'!$K$4&amp;'Funnel setup'!$K$6,".",IF(A1816=".",1,A1816+1))</f>
        <v>.</v>
      </c>
      <c r="B1817" s="244" t="str">
        <f t="shared" si="28"/>
        <v>Knee Replacement PrimarySub-ICB of GP PracticeNHS LEICESTER, LEICESTERSHIRE AND RUTLAND ICB - 04C (04C)EQ-5D Index</v>
      </c>
      <c r="C1817" t="s">
        <v>969</v>
      </c>
      <c r="D1817" t="s">
        <v>1021</v>
      </c>
      <c r="E1817" t="s">
        <v>865</v>
      </c>
      <c r="F1817" t="s">
        <v>866</v>
      </c>
      <c r="G1817" t="s">
        <v>963</v>
      </c>
      <c r="H1817">
        <v>47</v>
      </c>
      <c r="I1817">
        <v>0.34625499999999998</v>
      </c>
      <c r="J1817">
        <v>0.59048900000000004</v>
      </c>
      <c r="K1817">
        <v>0.24423400000000001</v>
      </c>
      <c r="L1817">
        <v>34</v>
      </c>
      <c r="M1817">
        <v>4</v>
      </c>
      <c r="N1817">
        <v>9</v>
      </c>
      <c r="O1817">
        <v>0.65225900000000003</v>
      </c>
      <c r="P1817">
        <v>0.22346299999999999</v>
      </c>
      <c r="Q1817">
        <v>0.26950099999999999</v>
      </c>
    </row>
    <row r="1818" spans="1:17" x14ac:dyDescent="0.25">
      <c r="A1818" t="str">
        <f>IF(C1818&amp;G1818&amp;D1818&lt;&gt;'Funnel setup'!$K$3&amp;'Funnel setup'!$K$4&amp;'Funnel setup'!$K$6,".",IF(A1817=".",1,A1817+1))</f>
        <v>.</v>
      </c>
      <c r="B1818" s="244" t="str">
        <f t="shared" si="28"/>
        <v>Knee Replacement PrimarySub-ICB of GP PracticeNHS LEICESTER, LEICESTERSHIRE AND RUTLAND ICB - 04V (04V)EQ-5D Index</v>
      </c>
      <c r="C1818" t="s">
        <v>969</v>
      </c>
      <c r="D1818" t="s">
        <v>1021</v>
      </c>
      <c r="E1818" t="s">
        <v>867</v>
      </c>
      <c r="F1818" t="s">
        <v>868</v>
      </c>
      <c r="G1818" t="s">
        <v>963</v>
      </c>
      <c r="H1818">
        <v>149</v>
      </c>
      <c r="I1818">
        <v>0.42209400000000002</v>
      </c>
      <c r="J1818">
        <v>0.74667799999999995</v>
      </c>
      <c r="K1818">
        <v>0.32458399999999998</v>
      </c>
      <c r="L1818">
        <v>122</v>
      </c>
      <c r="M1818">
        <v>12</v>
      </c>
      <c r="N1818">
        <v>15</v>
      </c>
      <c r="O1818">
        <v>0.74812699999999999</v>
      </c>
      <c r="P1818">
        <v>0.319332</v>
      </c>
      <c r="Q1818">
        <v>0.22634000000000001</v>
      </c>
    </row>
    <row r="1819" spans="1:17" x14ac:dyDescent="0.25">
      <c r="A1819" t="str">
        <f>IF(C1819&amp;G1819&amp;D1819&lt;&gt;'Funnel setup'!$K$3&amp;'Funnel setup'!$K$4&amp;'Funnel setup'!$K$6,".",IF(A1818=".",1,A1818+1))</f>
        <v>.</v>
      </c>
      <c r="B1819" s="244" t="str">
        <f t="shared" si="28"/>
        <v>Knee Replacement PrimarySub-ICB of GP PracticeNHS LINCOLNSHIRE ICB - 71E (71E)EQ-5D Index</v>
      </c>
      <c r="C1819" t="s">
        <v>969</v>
      </c>
      <c r="D1819" t="s">
        <v>1021</v>
      </c>
      <c r="E1819" t="s">
        <v>869</v>
      </c>
      <c r="F1819" t="s">
        <v>870</v>
      </c>
      <c r="G1819" t="s">
        <v>963</v>
      </c>
      <c r="H1819">
        <v>282</v>
      </c>
      <c r="I1819">
        <v>0.44701400000000002</v>
      </c>
      <c r="J1819">
        <v>0.78522700000000001</v>
      </c>
      <c r="K1819">
        <v>0.33821299999999999</v>
      </c>
      <c r="L1819">
        <v>248</v>
      </c>
      <c r="M1819">
        <v>19</v>
      </c>
      <c r="N1819">
        <v>15</v>
      </c>
      <c r="O1819">
        <v>0.766598</v>
      </c>
      <c r="P1819">
        <v>0.33780300000000002</v>
      </c>
      <c r="Q1819">
        <v>0.196544</v>
      </c>
    </row>
    <row r="1820" spans="1:17" x14ac:dyDescent="0.25">
      <c r="A1820" t="str">
        <f>IF(C1820&amp;G1820&amp;D1820&lt;&gt;'Funnel setup'!$K$3&amp;'Funnel setup'!$K$4&amp;'Funnel setup'!$K$6,".",IF(A1819=".",1,A1819+1))</f>
        <v>.</v>
      </c>
      <c r="B1820" s="244" t="str">
        <f t="shared" si="28"/>
        <v>Knee Replacement PrimarySub-ICB of GP PracticeNHS MID AND SOUTH ESSEX ICB - 06Q (06Q)EQ-5D Index</v>
      </c>
      <c r="C1820" t="s">
        <v>969</v>
      </c>
      <c r="D1820" t="s">
        <v>1021</v>
      </c>
      <c r="E1820" t="s">
        <v>871</v>
      </c>
      <c r="F1820" t="s">
        <v>872</v>
      </c>
      <c r="G1820" t="s">
        <v>963</v>
      </c>
      <c r="H1820">
        <v>123</v>
      </c>
      <c r="I1820">
        <v>0.41430099999999997</v>
      </c>
      <c r="J1820">
        <v>0.77456100000000006</v>
      </c>
      <c r="K1820">
        <v>0.36026000000000002</v>
      </c>
      <c r="L1820">
        <v>104</v>
      </c>
      <c r="M1820">
        <v>8</v>
      </c>
      <c r="N1820">
        <v>11</v>
      </c>
      <c r="O1820">
        <v>0.77052399999999999</v>
      </c>
      <c r="P1820">
        <v>0.341729</v>
      </c>
      <c r="Q1820">
        <v>0.246142</v>
      </c>
    </row>
    <row r="1821" spans="1:17" x14ac:dyDescent="0.25">
      <c r="A1821" t="str">
        <f>IF(C1821&amp;G1821&amp;D1821&lt;&gt;'Funnel setup'!$K$3&amp;'Funnel setup'!$K$4&amp;'Funnel setup'!$K$6,".",IF(A1820=".",1,A1820+1))</f>
        <v>.</v>
      </c>
      <c r="B1821" s="244" t="str">
        <f t="shared" si="28"/>
        <v>Knee Replacement PrimarySub-ICB of GP PracticeNHS MID AND SOUTH ESSEX ICB - 07G (07G)EQ-5D Index</v>
      </c>
      <c r="C1821" t="s">
        <v>969</v>
      </c>
      <c r="D1821" t="s">
        <v>1021</v>
      </c>
      <c r="E1821" t="s">
        <v>873</v>
      </c>
      <c r="F1821" t="s">
        <v>874</v>
      </c>
      <c r="G1821" t="s">
        <v>963</v>
      </c>
      <c r="H1821">
        <v>25</v>
      </c>
      <c r="I1821">
        <v>0.33200000000000002</v>
      </c>
      <c r="J1821">
        <v>0.75392000000000003</v>
      </c>
      <c r="K1821">
        <v>0.42192000000000002</v>
      </c>
      <c r="L1821">
        <v>20</v>
      </c>
      <c r="M1821">
        <v>3</v>
      </c>
      <c r="N1821">
        <v>2</v>
      </c>
      <c r="O1821" t="s">
        <v>127</v>
      </c>
      <c r="P1821" t="s">
        <v>127</v>
      </c>
      <c r="Q1821" t="s">
        <v>127</v>
      </c>
    </row>
    <row r="1822" spans="1:17" x14ac:dyDescent="0.25">
      <c r="A1822" t="str">
        <f>IF(C1822&amp;G1822&amp;D1822&lt;&gt;'Funnel setup'!$K$3&amp;'Funnel setup'!$K$4&amp;'Funnel setup'!$K$6,".",IF(A1821=".",1,A1821+1))</f>
        <v>.</v>
      </c>
      <c r="B1822" s="244" t="str">
        <f t="shared" si="28"/>
        <v>Knee Replacement PrimarySub-ICB of GP PracticeNHS MID AND SOUTH ESSEX ICB - 99E (99E)EQ-5D Index</v>
      </c>
      <c r="C1822" t="s">
        <v>969</v>
      </c>
      <c r="D1822" t="s">
        <v>1021</v>
      </c>
      <c r="E1822" t="s">
        <v>875</v>
      </c>
      <c r="F1822" t="s">
        <v>876</v>
      </c>
      <c r="G1822" t="s">
        <v>963</v>
      </c>
      <c r="H1822">
        <v>60</v>
      </c>
      <c r="I1822">
        <v>0.352717</v>
      </c>
      <c r="J1822">
        <v>0.690917</v>
      </c>
      <c r="K1822">
        <v>0.3382</v>
      </c>
      <c r="L1822">
        <v>49</v>
      </c>
      <c r="M1822">
        <v>2</v>
      </c>
      <c r="N1822">
        <v>9</v>
      </c>
      <c r="O1822">
        <v>0.72106800000000004</v>
      </c>
      <c r="P1822">
        <v>0.29227199999999998</v>
      </c>
      <c r="Q1822">
        <v>0.30671900000000002</v>
      </c>
    </row>
    <row r="1823" spans="1:17" x14ac:dyDescent="0.25">
      <c r="A1823" t="str">
        <f>IF(C1823&amp;G1823&amp;D1823&lt;&gt;'Funnel setup'!$K$3&amp;'Funnel setup'!$K$4&amp;'Funnel setup'!$K$6,".",IF(A1822=".",1,A1822+1))</f>
        <v>.</v>
      </c>
      <c r="B1823" s="244" t="str">
        <f t="shared" si="28"/>
        <v>Knee Replacement PrimarySub-ICB of GP PracticeNHS MID AND SOUTH ESSEX ICB - 99F (99F)EQ-5D Index</v>
      </c>
      <c r="C1823" t="s">
        <v>969</v>
      </c>
      <c r="D1823" t="s">
        <v>1021</v>
      </c>
      <c r="E1823" t="s">
        <v>877</v>
      </c>
      <c r="F1823" t="s">
        <v>878</v>
      </c>
      <c r="G1823" t="s">
        <v>963</v>
      </c>
      <c r="H1823">
        <v>33</v>
      </c>
      <c r="I1823">
        <v>0.38430300000000001</v>
      </c>
      <c r="J1823">
        <v>0.67724200000000001</v>
      </c>
      <c r="K1823">
        <v>0.292939</v>
      </c>
      <c r="L1823">
        <v>24</v>
      </c>
      <c r="M1823">
        <v>3</v>
      </c>
      <c r="N1823">
        <v>6</v>
      </c>
      <c r="O1823">
        <v>0.68973399999999996</v>
      </c>
      <c r="P1823">
        <v>0.260938</v>
      </c>
      <c r="Q1823">
        <v>0.35590500000000003</v>
      </c>
    </row>
    <row r="1824" spans="1:17" x14ac:dyDescent="0.25">
      <c r="A1824" t="str">
        <f>IF(C1824&amp;G1824&amp;D1824&lt;&gt;'Funnel setup'!$K$3&amp;'Funnel setup'!$K$4&amp;'Funnel setup'!$K$6,".",IF(A1823=".",1,A1823+1))</f>
        <v>.</v>
      </c>
      <c r="B1824" s="244" t="str">
        <f t="shared" si="28"/>
        <v>Knee Replacement PrimarySub-ICB of GP PracticeNHS MID AND SOUTH ESSEX ICB - 99G (99G)EQ-5D Index</v>
      </c>
      <c r="C1824" t="s">
        <v>969</v>
      </c>
      <c r="D1824" t="s">
        <v>1021</v>
      </c>
      <c r="E1824" t="s">
        <v>879</v>
      </c>
      <c r="F1824" t="s">
        <v>880</v>
      </c>
      <c r="G1824" t="s">
        <v>963</v>
      </c>
      <c r="H1824">
        <v>12</v>
      </c>
      <c r="I1824">
        <v>0.37824999999999998</v>
      </c>
      <c r="J1824">
        <v>0.67333299999999996</v>
      </c>
      <c r="K1824">
        <v>0.29508299999999998</v>
      </c>
      <c r="L1824">
        <v>11</v>
      </c>
      <c r="M1824">
        <v>0</v>
      </c>
      <c r="N1824">
        <v>1</v>
      </c>
      <c r="O1824" t="s">
        <v>127</v>
      </c>
      <c r="P1824" t="s">
        <v>127</v>
      </c>
      <c r="Q1824" t="s">
        <v>127</v>
      </c>
    </row>
    <row r="1825" spans="1:17" x14ac:dyDescent="0.25">
      <c r="A1825" t="str">
        <f>IF(C1825&amp;G1825&amp;D1825&lt;&gt;'Funnel setup'!$K$3&amp;'Funnel setup'!$K$4&amp;'Funnel setup'!$K$6,".",IF(A1824=".",1,A1824+1))</f>
        <v>.</v>
      </c>
      <c r="B1825" s="244" t="str">
        <f t="shared" si="28"/>
        <v>Knee Replacement PrimarySub-ICB of GP PracticeNHS NORFOLK AND WAVENEY ICB - 26A (26A)EQ-5D Index</v>
      </c>
      <c r="C1825" t="s">
        <v>969</v>
      </c>
      <c r="D1825" t="s">
        <v>1021</v>
      </c>
      <c r="E1825" t="s">
        <v>881</v>
      </c>
      <c r="F1825" t="s">
        <v>882</v>
      </c>
      <c r="G1825" t="s">
        <v>963</v>
      </c>
      <c r="H1825">
        <v>294</v>
      </c>
      <c r="I1825">
        <v>0.36438100000000001</v>
      </c>
      <c r="J1825">
        <v>0.69523500000000005</v>
      </c>
      <c r="K1825">
        <v>0.33085399999999998</v>
      </c>
      <c r="L1825">
        <v>236</v>
      </c>
      <c r="M1825">
        <v>30</v>
      </c>
      <c r="N1825">
        <v>28</v>
      </c>
      <c r="O1825">
        <v>0.72497800000000001</v>
      </c>
      <c r="P1825">
        <v>0.296182</v>
      </c>
      <c r="Q1825">
        <v>0.25176700000000002</v>
      </c>
    </row>
    <row r="1826" spans="1:17" x14ac:dyDescent="0.25">
      <c r="A1826" t="str">
        <f>IF(C1826&amp;G1826&amp;D1826&lt;&gt;'Funnel setup'!$K$3&amp;'Funnel setup'!$K$4&amp;'Funnel setup'!$K$6,".",IF(A1825=".",1,A1825+1))</f>
        <v>.</v>
      </c>
      <c r="B1826" s="244" t="str">
        <f t="shared" si="28"/>
        <v>Knee Replacement PrimarySub-ICB of GP PracticeNHS NORTH CENTRAL LONDON ICB - 93C (93C)EQ-5D Index</v>
      </c>
      <c r="C1826" t="s">
        <v>969</v>
      </c>
      <c r="D1826" t="s">
        <v>1021</v>
      </c>
      <c r="E1826" t="s">
        <v>883</v>
      </c>
      <c r="F1826" t="s">
        <v>884</v>
      </c>
      <c r="G1826" t="s">
        <v>963</v>
      </c>
      <c r="H1826">
        <v>161</v>
      </c>
      <c r="I1826">
        <v>0.45854699999999998</v>
      </c>
      <c r="J1826">
        <v>0.69501900000000005</v>
      </c>
      <c r="K1826">
        <v>0.23647199999999999</v>
      </c>
      <c r="L1826">
        <v>121</v>
      </c>
      <c r="M1826">
        <v>19</v>
      </c>
      <c r="N1826">
        <v>21</v>
      </c>
      <c r="O1826">
        <v>0.71467800000000004</v>
      </c>
      <c r="P1826">
        <v>0.28588200000000002</v>
      </c>
      <c r="Q1826">
        <v>0.23615900000000001</v>
      </c>
    </row>
    <row r="1827" spans="1:17" x14ac:dyDescent="0.25">
      <c r="A1827" t="str">
        <f>IF(C1827&amp;G1827&amp;D1827&lt;&gt;'Funnel setup'!$K$3&amp;'Funnel setup'!$K$4&amp;'Funnel setup'!$K$6,".",IF(A1826=".",1,A1826+1))</f>
        <v>.</v>
      </c>
      <c r="B1827" s="244" t="str">
        <f t="shared" si="28"/>
        <v>Knee Replacement PrimarySub-ICB of GP PracticeNHS NORTH EAST AND NORTH CUMBRIA ICB - 00L (00L)EQ-5D Index</v>
      </c>
      <c r="C1827" t="s">
        <v>969</v>
      </c>
      <c r="D1827" t="s">
        <v>1021</v>
      </c>
      <c r="E1827" t="s">
        <v>885</v>
      </c>
      <c r="F1827" t="s">
        <v>886</v>
      </c>
      <c r="G1827" t="s">
        <v>963</v>
      </c>
      <c r="H1827">
        <v>198</v>
      </c>
      <c r="I1827">
        <v>0.38086399999999998</v>
      </c>
      <c r="J1827">
        <v>0.764455</v>
      </c>
      <c r="K1827">
        <v>0.38359100000000002</v>
      </c>
      <c r="L1827">
        <v>171</v>
      </c>
      <c r="M1827">
        <v>17</v>
      </c>
      <c r="N1827">
        <v>10</v>
      </c>
      <c r="O1827">
        <v>0.78002800000000005</v>
      </c>
      <c r="P1827">
        <v>0.35123199999999999</v>
      </c>
      <c r="Q1827">
        <v>0.21715599999999999</v>
      </c>
    </row>
    <row r="1828" spans="1:17" x14ac:dyDescent="0.25">
      <c r="A1828" t="str">
        <f>IF(C1828&amp;G1828&amp;D1828&lt;&gt;'Funnel setup'!$K$3&amp;'Funnel setup'!$K$4&amp;'Funnel setup'!$K$6,".",IF(A1827=".",1,A1827+1))</f>
        <v>.</v>
      </c>
      <c r="B1828" s="244" t="str">
        <f t="shared" si="28"/>
        <v>Knee Replacement PrimarySub-ICB of GP PracticeNHS NORTH EAST AND NORTH CUMBRIA ICB - 00N (00N)EQ-5D Index</v>
      </c>
      <c r="C1828" t="s">
        <v>969</v>
      </c>
      <c r="D1828" t="s">
        <v>1021</v>
      </c>
      <c r="E1828" t="s">
        <v>887</v>
      </c>
      <c r="F1828" t="s">
        <v>888</v>
      </c>
      <c r="G1828" t="s">
        <v>963</v>
      </c>
      <c r="H1828">
        <v>9</v>
      </c>
      <c r="I1828">
        <v>0.46822200000000003</v>
      </c>
      <c r="J1828">
        <v>0.86511099999999996</v>
      </c>
      <c r="K1828">
        <v>0.39688899999999999</v>
      </c>
      <c r="L1828">
        <v>7</v>
      </c>
      <c r="M1828">
        <v>1</v>
      </c>
      <c r="N1828">
        <v>1</v>
      </c>
      <c r="O1828" t="s">
        <v>127</v>
      </c>
      <c r="P1828" t="s">
        <v>127</v>
      </c>
      <c r="Q1828" t="s">
        <v>127</v>
      </c>
    </row>
    <row r="1829" spans="1:17" x14ac:dyDescent="0.25">
      <c r="A1829" t="str">
        <f>IF(C1829&amp;G1829&amp;D1829&lt;&gt;'Funnel setup'!$K$3&amp;'Funnel setup'!$K$4&amp;'Funnel setup'!$K$6,".",IF(A1828=".",1,A1828+1))</f>
        <v>.</v>
      </c>
      <c r="B1829" s="244" t="str">
        <f t="shared" si="28"/>
        <v>Knee Replacement PrimarySub-ICB of GP PracticeNHS NORTH EAST AND NORTH CUMBRIA ICB - 00P (00P)EQ-5D Index</v>
      </c>
      <c r="C1829" t="s">
        <v>969</v>
      </c>
      <c r="D1829" t="s">
        <v>1021</v>
      </c>
      <c r="E1829" t="s">
        <v>889</v>
      </c>
      <c r="F1829" t="s">
        <v>890</v>
      </c>
      <c r="G1829" t="s">
        <v>963</v>
      </c>
      <c r="H1829">
        <v>24</v>
      </c>
      <c r="I1829">
        <v>0.28579199999999999</v>
      </c>
      <c r="J1829">
        <v>0.72445800000000005</v>
      </c>
      <c r="K1829">
        <v>0.43866699999999997</v>
      </c>
      <c r="L1829">
        <v>22</v>
      </c>
      <c r="M1829">
        <v>1</v>
      </c>
      <c r="N1829">
        <v>1</v>
      </c>
      <c r="O1829" t="s">
        <v>127</v>
      </c>
      <c r="P1829" t="s">
        <v>127</v>
      </c>
      <c r="Q1829" t="s">
        <v>127</v>
      </c>
    </row>
    <row r="1830" spans="1:17" x14ac:dyDescent="0.25">
      <c r="A1830" t="str">
        <f>IF(C1830&amp;G1830&amp;D1830&lt;&gt;'Funnel setup'!$K$3&amp;'Funnel setup'!$K$4&amp;'Funnel setup'!$K$6,".",IF(A1829=".",1,A1829+1))</f>
        <v>.</v>
      </c>
      <c r="B1830" s="244" t="str">
        <f t="shared" si="28"/>
        <v>Knee Replacement PrimarySub-ICB of GP PracticeNHS NORTH EAST AND NORTH CUMBRIA ICB - 01H (01H)EQ-5D Index</v>
      </c>
      <c r="C1830" t="s">
        <v>969</v>
      </c>
      <c r="D1830" t="s">
        <v>1021</v>
      </c>
      <c r="E1830" t="s">
        <v>891</v>
      </c>
      <c r="F1830" t="s">
        <v>892</v>
      </c>
      <c r="G1830" t="s">
        <v>963</v>
      </c>
      <c r="H1830">
        <v>211</v>
      </c>
      <c r="I1830">
        <v>0.386488</v>
      </c>
      <c r="J1830">
        <v>0.78562100000000001</v>
      </c>
      <c r="K1830">
        <v>0.39913300000000002</v>
      </c>
      <c r="L1830">
        <v>183</v>
      </c>
      <c r="M1830">
        <v>15</v>
      </c>
      <c r="N1830">
        <v>13</v>
      </c>
      <c r="O1830">
        <v>0.78528200000000004</v>
      </c>
      <c r="P1830">
        <v>0.35648600000000003</v>
      </c>
      <c r="Q1830">
        <v>0.21269199999999999</v>
      </c>
    </row>
    <row r="1831" spans="1:17" x14ac:dyDescent="0.25">
      <c r="A1831" t="str">
        <f>IF(C1831&amp;G1831&amp;D1831&lt;&gt;'Funnel setup'!$K$3&amp;'Funnel setup'!$K$4&amp;'Funnel setup'!$K$6,".",IF(A1830=".",1,A1830+1))</f>
        <v>.</v>
      </c>
      <c r="B1831" s="244" t="str">
        <f t="shared" si="28"/>
        <v>Knee Replacement PrimarySub-ICB of GP PracticeNHS NORTH EAST AND NORTH CUMBRIA ICB - 13T (13T)EQ-5D Index</v>
      </c>
      <c r="C1831" t="s">
        <v>969</v>
      </c>
      <c r="D1831" t="s">
        <v>1021</v>
      </c>
      <c r="E1831" t="s">
        <v>893</v>
      </c>
      <c r="F1831" t="s">
        <v>894</v>
      </c>
      <c r="G1831" t="s">
        <v>963</v>
      </c>
      <c r="H1831">
        <v>68</v>
      </c>
      <c r="I1831">
        <v>0.35355900000000001</v>
      </c>
      <c r="J1831">
        <v>0.71499999999999997</v>
      </c>
      <c r="K1831">
        <v>0.36144100000000001</v>
      </c>
      <c r="L1831">
        <v>57</v>
      </c>
      <c r="M1831">
        <v>4</v>
      </c>
      <c r="N1831">
        <v>7</v>
      </c>
      <c r="O1831">
        <v>0.75163000000000002</v>
      </c>
      <c r="P1831">
        <v>0.32283400000000001</v>
      </c>
      <c r="Q1831">
        <v>0.27233299999999999</v>
      </c>
    </row>
    <row r="1832" spans="1:17" x14ac:dyDescent="0.25">
      <c r="A1832" t="str">
        <f>IF(C1832&amp;G1832&amp;D1832&lt;&gt;'Funnel setup'!$K$3&amp;'Funnel setup'!$K$4&amp;'Funnel setup'!$K$6,".",IF(A1831=".",1,A1831+1))</f>
        <v>.</v>
      </c>
      <c r="B1832" s="244" t="str">
        <f t="shared" si="28"/>
        <v>Knee Replacement PrimarySub-ICB of GP PracticeNHS NORTH EAST AND NORTH CUMBRIA ICB - 16C (16C)EQ-5D Index</v>
      </c>
      <c r="C1832" t="s">
        <v>969</v>
      </c>
      <c r="D1832" t="s">
        <v>1021</v>
      </c>
      <c r="E1832" t="s">
        <v>895</v>
      </c>
      <c r="F1832" t="s">
        <v>896</v>
      </c>
      <c r="G1832" t="s">
        <v>963</v>
      </c>
      <c r="H1832">
        <v>383</v>
      </c>
      <c r="I1832">
        <v>0.38969199999999998</v>
      </c>
      <c r="J1832">
        <v>0.73823000000000005</v>
      </c>
      <c r="K1832">
        <v>0.34853800000000001</v>
      </c>
      <c r="L1832">
        <v>325</v>
      </c>
      <c r="M1832">
        <v>16</v>
      </c>
      <c r="N1832">
        <v>42</v>
      </c>
      <c r="O1832">
        <v>0.75925600000000004</v>
      </c>
      <c r="P1832">
        <v>0.33045999999999998</v>
      </c>
      <c r="Q1832">
        <v>0.25678299999999998</v>
      </c>
    </row>
    <row r="1833" spans="1:17" x14ac:dyDescent="0.25">
      <c r="A1833" t="str">
        <f>IF(C1833&amp;G1833&amp;D1833&lt;&gt;'Funnel setup'!$K$3&amp;'Funnel setup'!$K$4&amp;'Funnel setup'!$K$6,".",IF(A1832=".",1,A1832+1))</f>
        <v>.</v>
      </c>
      <c r="B1833" s="244" t="str">
        <f t="shared" si="28"/>
        <v>Knee Replacement PrimarySub-ICB of GP PracticeNHS NORTH EAST AND NORTH CUMBRIA ICB - 84H (84H)EQ-5D Index</v>
      </c>
      <c r="C1833" t="s">
        <v>969</v>
      </c>
      <c r="D1833" t="s">
        <v>1021</v>
      </c>
      <c r="E1833" t="s">
        <v>897</v>
      </c>
      <c r="F1833" t="s">
        <v>898</v>
      </c>
      <c r="G1833" t="s">
        <v>963</v>
      </c>
      <c r="H1833">
        <v>285</v>
      </c>
      <c r="I1833">
        <v>0.44372299999999998</v>
      </c>
      <c r="J1833">
        <v>0.74746299999999999</v>
      </c>
      <c r="K1833">
        <v>0.30374000000000001</v>
      </c>
      <c r="L1833">
        <v>225</v>
      </c>
      <c r="M1833">
        <v>24</v>
      </c>
      <c r="N1833">
        <v>36</v>
      </c>
      <c r="O1833">
        <v>0.74849100000000002</v>
      </c>
      <c r="P1833">
        <v>0.31969500000000001</v>
      </c>
      <c r="Q1833">
        <v>0.23344100000000001</v>
      </c>
    </row>
    <row r="1834" spans="1:17" x14ac:dyDescent="0.25">
      <c r="A1834" t="str">
        <f>IF(C1834&amp;G1834&amp;D1834&lt;&gt;'Funnel setup'!$K$3&amp;'Funnel setup'!$K$4&amp;'Funnel setup'!$K$6,".",IF(A1833=".",1,A1833+1))</f>
        <v>.</v>
      </c>
      <c r="B1834" s="244" t="str">
        <f t="shared" si="28"/>
        <v>Knee Replacement PrimarySub-ICB of GP PracticeNHS NORTH EAST AND NORTH CUMBRIA ICB - 99C (99C)EQ-5D Index</v>
      </c>
      <c r="C1834" t="s">
        <v>969</v>
      </c>
      <c r="D1834" t="s">
        <v>1021</v>
      </c>
      <c r="E1834" t="s">
        <v>899</v>
      </c>
      <c r="F1834" t="s">
        <v>900</v>
      </c>
      <c r="G1834" t="s">
        <v>963</v>
      </c>
      <c r="H1834">
        <v>101</v>
      </c>
      <c r="I1834">
        <v>0.41026699999999999</v>
      </c>
      <c r="J1834">
        <v>0.800485</v>
      </c>
      <c r="K1834">
        <v>0.39021800000000001</v>
      </c>
      <c r="L1834">
        <v>87</v>
      </c>
      <c r="M1834">
        <v>9</v>
      </c>
      <c r="N1834">
        <v>5</v>
      </c>
      <c r="O1834">
        <v>0.80870200000000003</v>
      </c>
      <c r="P1834">
        <v>0.37990699999999999</v>
      </c>
      <c r="Q1834">
        <v>0.16430900000000001</v>
      </c>
    </row>
    <row r="1835" spans="1:17" x14ac:dyDescent="0.25">
      <c r="A1835" t="str">
        <f>IF(C1835&amp;G1835&amp;D1835&lt;&gt;'Funnel setup'!$K$3&amp;'Funnel setup'!$K$4&amp;'Funnel setup'!$K$6,".",IF(A1834=".",1,A1834+1))</f>
        <v>.</v>
      </c>
      <c r="B1835" s="244" t="str">
        <f t="shared" si="28"/>
        <v>Knee Replacement PrimarySub-ICB of GP PracticeNHS NORTH EAST LONDON ICB - A3A8R (A3A8R)EQ-5D Index</v>
      </c>
      <c r="C1835" t="s">
        <v>969</v>
      </c>
      <c r="D1835" t="s">
        <v>1021</v>
      </c>
      <c r="E1835" t="s">
        <v>901</v>
      </c>
      <c r="F1835" t="s">
        <v>902</v>
      </c>
      <c r="G1835" t="s">
        <v>963</v>
      </c>
      <c r="H1835">
        <v>221</v>
      </c>
      <c r="I1835">
        <v>0.38771899999999998</v>
      </c>
      <c r="J1835">
        <v>0.68899500000000002</v>
      </c>
      <c r="K1835">
        <v>0.30127599999999999</v>
      </c>
      <c r="L1835">
        <v>171</v>
      </c>
      <c r="M1835">
        <v>20</v>
      </c>
      <c r="N1835">
        <v>30</v>
      </c>
      <c r="O1835">
        <v>0.73216499999999995</v>
      </c>
      <c r="P1835">
        <v>0.30336999999999997</v>
      </c>
      <c r="Q1835">
        <v>0.23712900000000001</v>
      </c>
    </row>
    <row r="1836" spans="1:17" x14ac:dyDescent="0.25">
      <c r="A1836" t="str">
        <f>IF(C1836&amp;G1836&amp;D1836&lt;&gt;'Funnel setup'!$K$3&amp;'Funnel setup'!$K$4&amp;'Funnel setup'!$K$6,".",IF(A1835=".",1,A1835+1))</f>
        <v>.</v>
      </c>
      <c r="B1836" s="244" t="str">
        <f t="shared" si="28"/>
        <v>Knee Replacement PrimarySub-ICB of GP PracticeNHS NORTH WEST LONDON ICB - W2U3Z (W2U3Z)EQ-5D Index</v>
      </c>
      <c r="C1836" t="s">
        <v>969</v>
      </c>
      <c r="D1836" t="s">
        <v>1021</v>
      </c>
      <c r="E1836" t="s">
        <v>903</v>
      </c>
      <c r="F1836" t="s">
        <v>904</v>
      </c>
      <c r="G1836" t="s">
        <v>963</v>
      </c>
      <c r="H1836">
        <v>196</v>
      </c>
      <c r="I1836">
        <v>0.428342</v>
      </c>
      <c r="J1836">
        <v>0.73397999999999997</v>
      </c>
      <c r="K1836">
        <v>0.30563800000000002</v>
      </c>
      <c r="L1836">
        <v>153</v>
      </c>
      <c r="M1836">
        <v>23</v>
      </c>
      <c r="N1836">
        <v>20</v>
      </c>
      <c r="O1836">
        <v>0.73721899999999996</v>
      </c>
      <c r="P1836">
        <v>0.308423</v>
      </c>
      <c r="Q1836">
        <v>0.223326</v>
      </c>
    </row>
    <row r="1837" spans="1:17" x14ac:dyDescent="0.25">
      <c r="A1837" t="str">
        <f>IF(C1837&amp;G1837&amp;D1837&lt;&gt;'Funnel setup'!$K$3&amp;'Funnel setup'!$K$4&amp;'Funnel setup'!$K$6,".",IF(A1836=".",1,A1836+1))</f>
        <v>.</v>
      </c>
      <c r="B1837" s="244" t="str">
        <f t="shared" si="28"/>
        <v>Knee Replacement PrimarySub-ICB of GP PracticeNHS NORTHAMPTONSHIRE ICB - 78H (78H)EQ-5D Index</v>
      </c>
      <c r="C1837" t="s">
        <v>969</v>
      </c>
      <c r="D1837" t="s">
        <v>1021</v>
      </c>
      <c r="E1837" t="s">
        <v>905</v>
      </c>
      <c r="F1837" t="s">
        <v>906</v>
      </c>
      <c r="G1837" t="s">
        <v>963</v>
      </c>
      <c r="H1837">
        <v>234</v>
      </c>
      <c r="I1837">
        <v>0.37631599999999998</v>
      </c>
      <c r="J1837">
        <v>0.74185500000000004</v>
      </c>
      <c r="K1837">
        <v>0.36553799999999997</v>
      </c>
      <c r="L1837">
        <v>187</v>
      </c>
      <c r="M1837">
        <v>25</v>
      </c>
      <c r="N1837">
        <v>22</v>
      </c>
      <c r="O1837">
        <v>0.74533499999999997</v>
      </c>
      <c r="P1837">
        <v>0.31653900000000001</v>
      </c>
      <c r="Q1837">
        <v>0.24386099999999999</v>
      </c>
    </row>
    <row r="1838" spans="1:17" x14ac:dyDescent="0.25">
      <c r="A1838" t="str">
        <f>IF(C1838&amp;G1838&amp;D1838&lt;&gt;'Funnel setup'!$K$3&amp;'Funnel setup'!$K$4&amp;'Funnel setup'!$K$6,".",IF(A1837=".",1,A1837+1))</f>
        <v>.</v>
      </c>
      <c r="B1838" s="244" t="str">
        <f t="shared" si="28"/>
        <v>Knee Replacement PrimarySub-ICB of GP PracticeNHS NOTTINGHAM AND NOTTINGHAMSHIRE ICB - 02Q (02Q)EQ-5D Index</v>
      </c>
      <c r="C1838" t="s">
        <v>969</v>
      </c>
      <c r="D1838" t="s">
        <v>1021</v>
      </c>
      <c r="E1838" t="s">
        <v>907</v>
      </c>
      <c r="F1838" t="s">
        <v>908</v>
      </c>
      <c r="G1838" t="s">
        <v>963</v>
      </c>
      <c r="H1838">
        <v>44</v>
      </c>
      <c r="I1838">
        <v>0.39140900000000001</v>
      </c>
      <c r="J1838">
        <v>0.73772700000000002</v>
      </c>
      <c r="K1838">
        <v>0.34631800000000001</v>
      </c>
      <c r="L1838">
        <v>35</v>
      </c>
      <c r="M1838">
        <v>2</v>
      </c>
      <c r="N1838">
        <v>7</v>
      </c>
      <c r="O1838">
        <v>0.75727100000000003</v>
      </c>
      <c r="P1838">
        <v>0.32847500000000002</v>
      </c>
      <c r="Q1838">
        <v>0.24826599999999999</v>
      </c>
    </row>
    <row r="1839" spans="1:17" x14ac:dyDescent="0.25">
      <c r="A1839" t="str">
        <f>IF(C1839&amp;G1839&amp;D1839&lt;&gt;'Funnel setup'!$K$3&amp;'Funnel setup'!$K$4&amp;'Funnel setup'!$K$6,".",IF(A1838=".",1,A1838+1))</f>
        <v>.</v>
      </c>
      <c r="B1839" s="244" t="str">
        <f t="shared" si="28"/>
        <v>Knee Replacement PrimarySub-ICB of GP PracticeNHS NOTTINGHAM AND NOTTINGHAMSHIRE ICB - 52R (52R)EQ-5D Index</v>
      </c>
      <c r="C1839" t="s">
        <v>969</v>
      </c>
      <c r="D1839" t="s">
        <v>1021</v>
      </c>
      <c r="E1839" t="s">
        <v>909</v>
      </c>
      <c r="F1839" t="s">
        <v>910</v>
      </c>
      <c r="G1839" t="s">
        <v>963</v>
      </c>
      <c r="H1839">
        <v>206</v>
      </c>
      <c r="I1839">
        <v>0.44770399999999999</v>
      </c>
      <c r="J1839">
        <v>0.74965000000000004</v>
      </c>
      <c r="K1839">
        <v>0.30194700000000002</v>
      </c>
      <c r="L1839">
        <v>160</v>
      </c>
      <c r="M1839">
        <v>19</v>
      </c>
      <c r="N1839">
        <v>27</v>
      </c>
      <c r="O1839">
        <v>0.731186</v>
      </c>
      <c r="P1839">
        <v>0.30238999999999999</v>
      </c>
      <c r="Q1839">
        <v>0.23887800000000001</v>
      </c>
    </row>
    <row r="1840" spans="1:17" x14ac:dyDescent="0.25">
      <c r="A1840" t="str">
        <f>IF(C1840&amp;G1840&amp;D1840&lt;&gt;'Funnel setup'!$K$3&amp;'Funnel setup'!$K$4&amp;'Funnel setup'!$K$6,".",IF(A1839=".",1,A1839+1))</f>
        <v>.</v>
      </c>
      <c r="B1840" s="244" t="str">
        <f t="shared" si="28"/>
        <v>Knee Replacement PrimarySub-ICB of GP PracticeNHS SHROPSHIRE, TELFORD AND WREKIN ICB - M2L0M (M2L0M)EQ-5D Index</v>
      </c>
      <c r="C1840" t="s">
        <v>969</v>
      </c>
      <c r="D1840" t="s">
        <v>1021</v>
      </c>
      <c r="E1840" t="s">
        <v>911</v>
      </c>
      <c r="F1840" t="s">
        <v>912</v>
      </c>
      <c r="G1840" t="s">
        <v>963</v>
      </c>
      <c r="H1840">
        <v>176</v>
      </c>
      <c r="I1840">
        <v>0.36379</v>
      </c>
      <c r="J1840">
        <v>0.74292000000000002</v>
      </c>
      <c r="K1840">
        <v>0.379131</v>
      </c>
      <c r="L1840">
        <v>147</v>
      </c>
      <c r="M1840">
        <v>18</v>
      </c>
      <c r="N1840">
        <v>11</v>
      </c>
      <c r="O1840">
        <v>0.77024700000000001</v>
      </c>
      <c r="P1840">
        <v>0.34145199999999998</v>
      </c>
      <c r="Q1840">
        <v>0.21435100000000001</v>
      </c>
    </row>
    <row r="1841" spans="1:17" x14ac:dyDescent="0.25">
      <c r="A1841" t="str">
        <f>IF(C1841&amp;G1841&amp;D1841&lt;&gt;'Funnel setup'!$K$3&amp;'Funnel setup'!$K$4&amp;'Funnel setup'!$K$6,".",IF(A1840=".",1,A1840+1))</f>
        <v>.</v>
      </c>
      <c r="B1841" s="244" t="str">
        <f t="shared" si="28"/>
        <v>Knee Replacement PrimarySub-ICB of GP PracticeNHS SOMERSET ICB - 11X (11X)EQ-5D Index</v>
      </c>
      <c r="C1841" t="s">
        <v>969</v>
      </c>
      <c r="D1841" t="s">
        <v>1021</v>
      </c>
      <c r="E1841" t="s">
        <v>913</v>
      </c>
      <c r="F1841" t="s">
        <v>914</v>
      </c>
      <c r="G1841" t="s">
        <v>963</v>
      </c>
      <c r="H1841">
        <v>201</v>
      </c>
      <c r="I1841">
        <v>0.47096500000000002</v>
      </c>
      <c r="J1841">
        <v>0.77579600000000004</v>
      </c>
      <c r="K1841">
        <v>0.30483100000000002</v>
      </c>
      <c r="L1841">
        <v>171</v>
      </c>
      <c r="M1841">
        <v>13</v>
      </c>
      <c r="N1841">
        <v>17</v>
      </c>
      <c r="O1841">
        <v>0.76049900000000004</v>
      </c>
      <c r="P1841">
        <v>0.331704</v>
      </c>
      <c r="Q1841">
        <v>0.21126400000000001</v>
      </c>
    </row>
    <row r="1842" spans="1:17" x14ac:dyDescent="0.25">
      <c r="A1842" t="str">
        <f>IF(C1842&amp;G1842&amp;D1842&lt;&gt;'Funnel setup'!$K$3&amp;'Funnel setup'!$K$4&amp;'Funnel setup'!$K$6,".",IF(A1841=".",1,A1841+1))</f>
        <v>.</v>
      </c>
      <c r="B1842" s="244" t="str">
        <f t="shared" si="28"/>
        <v>Knee Replacement PrimarySub-ICB of GP PracticeNHS SOUTH EAST LONDON ICB - 72Q (72Q)EQ-5D Index</v>
      </c>
      <c r="C1842" t="s">
        <v>969</v>
      </c>
      <c r="D1842" t="s">
        <v>1021</v>
      </c>
      <c r="E1842" t="s">
        <v>915</v>
      </c>
      <c r="F1842" t="s">
        <v>916</v>
      </c>
      <c r="G1842" t="s">
        <v>963</v>
      </c>
      <c r="H1842">
        <v>127</v>
      </c>
      <c r="I1842">
        <v>0.440465</v>
      </c>
      <c r="J1842">
        <v>0.71202399999999999</v>
      </c>
      <c r="K1842">
        <v>0.27155899999999999</v>
      </c>
      <c r="L1842">
        <v>102</v>
      </c>
      <c r="M1842">
        <v>8</v>
      </c>
      <c r="N1842">
        <v>17</v>
      </c>
      <c r="O1842">
        <v>0.709368</v>
      </c>
      <c r="P1842">
        <v>0.28057199999999999</v>
      </c>
      <c r="Q1842">
        <v>0.24876300000000001</v>
      </c>
    </row>
    <row r="1843" spans="1:17" x14ac:dyDescent="0.25">
      <c r="A1843" t="str">
        <f>IF(C1843&amp;G1843&amp;D1843&lt;&gt;'Funnel setup'!$K$3&amp;'Funnel setup'!$K$4&amp;'Funnel setup'!$K$6,".",IF(A1842=".",1,A1842+1))</f>
        <v>.</v>
      </c>
      <c r="B1843" s="244" t="str">
        <f t="shared" si="28"/>
        <v>Knee Replacement PrimarySub-ICB of GP PracticeNHS SOUTH WEST LONDON ICB - 36L (36L)EQ-5D Index</v>
      </c>
      <c r="C1843" t="s">
        <v>969</v>
      </c>
      <c r="D1843" t="s">
        <v>1021</v>
      </c>
      <c r="E1843" t="s">
        <v>917</v>
      </c>
      <c r="F1843" t="s">
        <v>918</v>
      </c>
      <c r="G1843" t="s">
        <v>963</v>
      </c>
      <c r="H1843">
        <v>477</v>
      </c>
      <c r="I1843">
        <v>0.41398099999999999</v>
      </c>
      <c r="J1843">
        <v>0.73960800000000004</v>
      </c>
      <c r="K1843">
        <v>0.325627</v>
      </c>
      <c r="L1843">
        <v>396</v>
      </c>
      <c r="M1843">
        <v>41</v>
      </c>
      <c r="N1843">
        <v>40</v>
      </c>
      <c r="O1843">
        <v>0.74438599999999999</v>
      </c>
      <c r="P1843">
        <v>0.31558999999999998</v>
      </c>
      <c r="Q1843">
        <v>0.22368499999999999</v>
      </c>
    </row>
    <row r="1844" spans="1:17" x14ac:dyDescent="0.25">
      <c r="A1844" t="str">
        <f>IF(C1844&amp;G1844&amp;D1844&lt;&gt;'Funnel setup'!$K$3&amp;'Funnel setup'!$K$4&amp;'Funnel setup'!$K$6,".",IF(A1843=".",1,A1843+1))</f>
        <v>.</v>
      </c>
      <c r="B1844" s="244" t="str">
        <f t="shared" si="28"/>
        <v>Knee Replacement PrimarySub-ICB of GP PracticeNHS SOUTH YORKSHIRE ICB - 02P (02P)EQ-5D Index</v>
      </c>
      <c r="C1844" t="s">
        <v>969</v>
      </c>
      <c r="D1844" t="s">
        <v>1021</v>
      </c>
      <c r="E1844" t="s">
        <v>919</v>
      </c>
      <c r="F1844" t="s">
        <v>920</v>
      </c>
      <c r="G1844" t="s">
        <v>963</v>
      </c>
      <c r="H1844">
        <v>49</v>
      </c>
      <c r="I1844">
        <v>0.37451000000000001</v>
      </c>
      <c r="J1844">
        <v>0.65349000000000002</v>
      </c>
      <c r="K1844">
        <v>0.27898000000000001</v>
      </c>
      <c r="L1844">
        <v>35</v>
      </c>
      <c r="M1844">
        <v>6</v>
      </c>
      <c r="N1844">
        <v>8</v>
      </c>
      <c r="O1844">
        <v>0.69210199999999999</v>
      </c>
      <c r="P1844">
        <v>0.26330599999999998</v>
      </c>
      <c r="Q1844">
        <v>0.30111700000000002</v>
      </c>
    </row>
    <row r="1845" spans="1:17" x14ac:dyDescent="0.25">
      <c r="A1845" t="str">
        <f>IF(C1845&amp;G1845&amp;D1845&lt;&gt;'Funnel setup'!$K$3&amp;'Funnel setup'!$K$4&amp;'Funnel setup'!$K$6,".",IF(A1844=".",1,A1844+1))</f>
        <v>.</v>
      </c>
      <c r="B1845" s="244" t="str">
        <f t="shared" si="28"/>
        <v>Knee Replacement PrimarySub-ICB of GP PracticeNHS SOUTH YORKSHIRE ICB - 02X (02X)EQ-5D Index</v>
      </c>
      <c r="C1845" t="s">
        <v>969</v>
      </c>
      <c r="D1845" t="s">
        <v>1021</v>
      </c>
      <c r="E1845" t="s">
        <v>921</v>
      </c>
      <c r="F1845" t="s">
        <v>922</v>
      </c>
      <c r="G1845" t="s">
        <v>963</v>
      </c>
      <c r="H1845">
        <v>113</v>
      </c>
      <c r="I1845">
        <v>0.40519500000000003</v>
      </c>
      <c r="J1845">
        <v>0.70895600000000003</v>
      </c>
      <c r="K1845">
        <v>0.303761</v>
      </c>
      <c r="L1845">
        <v>88</v>
      </c>
      <c r="M1845">
        <v>14</v>
      </c>
      <c r="N1845">
        <v>11</v>
      </c>
      <c r="O1845">
        <v>0.72872700000000001</v>
      </c>
      <c r="P1845">
        <v>0.299931</v>
      </c>
      <c r="Q1845">
        <v>0.26170199999999999</v>
      </c>
    </row>
    <row r="1846" spans="1:17" x14ac:dyDescent="0.25">
      <c r="A1846" t="str">
        <f>IF(C1846&amp;G1846&amp;D1846&lt;&gt;'Funnel setup'!$K$3&amp;'Funnel setup'!$K$4&amp;'Funnel setup'!$K$6,".",IF(A1845=".",1,A1845+1))</f>
        <v>.</v>
      </c>
      <c r="B1846" s="244" t="str">
        <f t="shared" si="28"/>
        <v>Knee Replacement PrimarySub-ICB of GP PracticeNHS SOUTH YORKSHIRE ICB - 03L (03L)EQ-5D Index</v>
      </c>
      <c r="C1846" t="s">
        <v>969</v>
      </c>
      <c r="D1846" t="s">
        <v>1021</v>
      </c>
      <c r="E1846" t="s">
        <v>923</v>
      </c>
      <c r="F1846" t="s">
        <v>924</v>
      </c>
      <c r="G1846" t="s">
        <v>963</v>
      </c>
      <c r="H1846">
        <v>37</v>
      </c>
      <c r="I1846">
        <v>0.30410799999999999</v>
      </c>
      <c r="J1846">
        <v>0.76729700000000001</v>
      </c>
      <c r="K1846">
        <v>0.46318900000000002</v>
      </c>
      <c r="L1846">
        <v>32</v>
      </c>
      <c r="M1846">
        <v>3</v>
      </c>
      <c r="N1846">
        <v>2</v>
      </c>
      <c r="O1846">
        <v>0.81057500000000005</v>
      </c>
      <c r="P1846">
        <v>0.38178000000000001</v>
      </c>
      <c r="Q1846">
        <v>0.202461</v>
      </c>
    </row>
    <row r="1847" spans="1:17" x14ac:dyDescent="0.25">
      <c r="A1847" t="str">
        <f>IF(C1847&amp;G1847&amp;D1847&lt;&gt;'Funnel setup'!$K$3&amp;'Funnel setup'!$K$4&amp;'Funnel setup'!$K$6,".",IF(A1846=".",1,A1846+1))</f>
        <v>.</v>
      </c>
      <c r="B1847" s="244" t="str">
        <f t="shared" si="28"/>
        <v>Knee Replacement PrimarySub-ICB of GP PracticeNHS SOUTH YORKSHIRE ICB - 03N (03N)EQ-5D Index</v>
      </c>
      <c r="C1847" t="s">
        <v>969</v>
      </c>
      <c r="D1847" t="s">
        <v>1021</v>
      </c>
      <c r="E1847" t="s">
        <v>925</v>
      </c>
      <c r="F1847" t="s">
        <v>926</v>
      </c>
      <c r="G1847" t="s">
        <v>963</v>
      </c>
      <c r="H1847">
        <v>36</v>
      </c>
      <c r="I1847">
        <v>0.45300000000000001</v>
      </c>
      <c r="J1847">
        <v>0.79322199999999998</v>
      </c>
      <c r="K1847">
        <v>0.34022200000000002</v>
      </c>
      <c r="L1847">
        <v>31</v>
      </c>
      <c r="M1847">
        <v>2</v>
      </c>
      <c r="N1847">
        <v>3</v>
      </c>
      <c r="O1847">
        <v>0.78299099999999999</v>
      </c>
      <c r="P1847">
        <v>0.35419499999999998</v>
      </c>
      <c r="Q1847">
        <v>0.20381299999999999</v>
      </c>
    </row>
    <row r="1848" spans="1:17" x14ac:dyDescent="0.25">
      <c r="A1848" t="str">
        <f>IF(C1848&amp;G1848&amp;D1848&lt;&gt;'Funnel setup'!$K$3&amp;'Funnel setup'!$K$4&amp;'Funnel setup'!$K$6,".",IF(A1847=".",1,A1847+1))</f>
        <v>.</v>
      </c>
      <c r="B1848" s="244" t="str">
        <f t="shared" si="28"/>
        <v>Knee Replacement PrimarySub-ICB of GP PracticeNHS STAFFORDSHIRE AND STOKE-ON-TRENT ICB - 04Y (04Y)EQ-5D Index</v>
      </c>
      <c r="C1848" t="s">
        <v>969</v>
      </c>
      <c r="D1848" t="s">
        <v>1021</v>
      </c>
      <c r="E1848" t="s">
        <v>927</v>
      </c>
      <c r="F1848" t="s">
        <v>928</v>
      </c>
      <c r="G1848" t="s">
        <v>963</v>
      </c>
      <c r="H1848">
        <v>24</v>
      </c>
      <c r="I1848">
        <v>0.40962500000000002</v>
      </c>
      <c r="J1848">
        <v>0.82804199999999994</v>
      </c>
      <c r="K1848">
        <v>0.41841699999999998</v>
      </c>
      <c r="L1848">
        <v>22</v>
      </c>
      <c r="M1848">
        <v>1</v>
      </c>
      <c r="N1848">
        <v>1</v>
      </c>
      <c r="O1848" t="s">
        <v>127</v>
      </c>
      <c r="P1848" t="s">
        <v>127</v>
      </c>
      <c r="Q1848" t="s">
        <v>127</v>
      </c>
    </row>
    <row r="1849" spans="1:17" x14ac:dyDescent="0.25">
      <c r="A1849" t="str">
        <f>IF(C1849&amp;G1849&amp;D1849&lt;&gt;'Funnel setup'!$K$3&amp;'Funnel setup'!$K$4&amp;'Funnel setup'!$K$6,".",IF(A1848=".",1,A1848+1))</f>
        <v>.</v>
      </c>
      <c r="B1849" s="244" t="str">
        <f t="shared" si="28"/>
        <v>Knee Replacement PrimarySub-ICB of GP PracticeNHS STAFFORDSHIRE AND STOKE-ON-TRENT ICB - 05D (05D)EQ-5D Index</v>
      </c>
      <c r="C1849" t="s">
        <v>969</v>
      </c>
      <c r="D1849" t="s">
        <v>1021</v>
      </c>
      <c r="E1849" t="s">
        <v>929</v>
      </c>
      <c r="F1849" t="s">
        <v>930</v>
      </c>
      <c r="G1849" t="s">
        <v>963</v>
      </c>
      <c r="H1849">
        <v>61</v>
      </c>
      <c r="I1849">
        <v>0.43404900000000002</v>
      </c>
      <c r="J1849">
        <v>0.75519700000000001</v>
      </c>
      <c r="K1849">
        <v>0.32114799999999999</v>
      </c>
      <c r="L1849">
        <v>49</v>
      </c>
      <c r="M1849">
        <v>5</v>
      </c>
      <c r="N1849">
        <v>7</v>
      </c>
      <c r="O1849">
        <v>0.74370000000000003</v>
      </c>
      <c r="P1849">
        <v>0.31490400000000002</v>
      </c>
      <c r="Q1849">
        <v>0.25250400000000001</v>
      </c>
    </row>
    <row r="1850" spans="1:17" x14ac:dyDescent="0.25">
      <c r="A1850" t="str">
        <f>IF(C1850&amp;G1850&amp;D1850&lt;&gt;'Funnel setup'!$K$3&amp;'Funnel setup'!$K$4&amp;'Funnel setup'!$K$6,".",IF(A1849=".",1,A1849+1))</f>
        <v>.</v>
      </c>
      <c r="B1850" s="244" t="str">
        <f t="shared" si="28"/>
        <v>Knee Replacement PrimarySub-ICB of GP PracticeNHS STAFFORDSHIRE AND STOKE-ON-TRENT ICB - 05G (05G)EQ-5D Index</v>
      </c>
      <c r="C1850" t="s">
        <v>969</v>
      </c>
      <c r="D1850" t="s">
        <v>1021</v>
      </c>
      <c r="E1850" t="s">
        <v>931</v>
      </c>
      <c r="F1850" t="s">
        <v>932</v>
      </c>
      <c r="G1850" t="s">
        <v>963</v>
      </c>
      <c r="H1850">
        <v>46</v>
      </c>
      <c r="I1850">
        <v>0.366087</v>
      </c>
      <c r="J1850">
        <v>0.72119599999999995</v>
      </c>
      <c r="K1850">
        <v>0.35510900000000001</v>
      </c>
      <c r="L1850">
        <v>42</v>
      </c>
      <c r="M1850">
        <v>2</v>
      </c>
      <c r="N1850">
        <v>2</v>
      </c>
      <c r="O1850">
        <v>0.74219800000000002</v>
      </c>
      <c r="P1850">
        <v>0.31340200000000001</v>
      </c>
      <c r="Q1850">
        <v>0.22148399999999999</v>
      </c>
    </row>
    <row r="1851" spans="1:17" x14ac:dyDescent="0.25">
      <c r="A1851" t="str">
        <f>IF(C1851&amp;G1851&amp;D1851&lt;&gt;'Funnel setup'!$K$3&amp;'Funnel setup'!$K$4&amp;'Funnel setup'!$K$6,".",IF(A1850=".",1,A1850+1))</f>
        <v>.</v>
      </c>
      <c r="B1851" s="244" t="str">
        <f t="shared" si="28"/>
        <v>Knee Replacement PrimarySub-ICB of GP PracticeNHS STAFFORDSHIRE AND STOKE-ON-TRENT ICB - 05Q (05Q)EQ-5D Index</v>
      </c>
      <c r="C1851" t="s">
        <v>969</v>
      </c>
      <c r="D1851" t="s">
        <v>1021</v>
      </c>
      <c r="E1851" t="s">
        <v>933</v>
      </c>
      <c r="F1851" t="s">
        <v>934</v>
      </c>
      <c r="G1851" t="s">
        <v>963</v>
      </c>
      <c r="H1851">
        <v>80</v>
      </c>
      <c r="I1851">
        <v>0.42535000000000001</v>
      </c>
      <c r="J1851">
        <v>0.72053699999999998</v>
      </c>
      <c r="K1851">
        <v>0.29518800000000001</v>
      </c>
      <c r="L1851">
        <v>61</v>
      </c>
      <c r="M1851">
        <v>12</v>
      </c>
      <c r="N1851">
        <v>7</v>
      </c>
      <c r="O1851">
        <v>0.71464399999999995</v>
      </c>
      <c r="P1851">
        <v>0.28584799999999999</v>
      </c>
      <c r="Q1851">
        <v>0.217365</v>
      </c>
    </row>
    <row r="1852" spans="1:17" x14ac:dyDescent="0.25">
      <c r="A1852" t="str">
        <f>IF(C1852&amp;G1852&amp;D1852&lt;&gt;'Funnel setup'!$K$3&amp;'Funnel setup'!$K$4&amp;'Funnel setup'!$K$6,".",IF(A1851=".",1,A1851+1))</f>
        <v>.</v>
      </c>
      <c r="B1852" s="244" t="str">
        <f t="shared" si="28"/>
        <v>Knee Replacement PrimarySub-ICB of GP PracticeNHS STAFFORDSHIRE AND STOKE-ON-TRENT ICB - 05V (05V)EQ-5D Index</v>
      </c>
      <c r="C1852" t="s">
        <v>969</v>
      </c>
      <c r="D1852" t="s">
        <v>1021</v>
      </c>
      <c r="E1852" t="s">
        <v>935</v>
      </c>
      <c r="F1852" t="s">
        <v>936</v>
      </c>
      <c r="G1852" t="s">
        <v>963</v>
      </c>
      <c r="H1852">
        <v>32</v>
      </c>
      <c r="I1852">
        <v>0.55478099999999997</v>
      </c>
      <c r="J1852">
        <v>0.81596900000000006</v>
      </c>
      <c r="K1852">
        <v>0.26118799999999998</v>
      </c>
      <c r="L1852">
        <v>28</v>
      </c>
      <c r="M1852">
        <v>2</v>
      </c>
      <c r="N1852">
        <v>2</v>
      </c>
      <c r="O1852">
        <v>0.76254</v>
      </c>
      <c r="P1852">
        <v>0.33374399999999999</v>
      </c>
      <c r="Q1852">
        <v>0.20256199999999999</v>
      </c>
    </row>
    <row r="1853" spans="1:17" x14ac:dyDescent="0.25">
      <c r="A1853" t="str">
        <f>IF(C1853&amp;G1853&amp;D1853&lt;&gt;'Funnel setup'!$K$3&amp;'Funnel setup'!$K$4&amp;'Funnel setup'!$K$6,".",IF(A1852=".",1,A1852+1))</f>
        <v>.</v>
      </c>
      <c r="B1853" s="244" t="str">
        <f t="shared" si="28"/>
        <v>Knee Replacement PrimarySub-ICB of GP PracticeNHS STAFFORDSHIRE AND STOKE-ON-TRENT ICB - 05W (05W)EQ-5D Index</v>
      </c>
      <c r="C1853" t="s">
        <v>969</v>
      </c>
      <c r="D1853" t="s">
        <v>1021</v>
      </c>
      <c r="E1853" t="s">
        <v>937</v>
      </c>
      <c r="F1853" t="s">
        <v>938</v>
      </c>
      <c r="G1853" t="s">
        <v>963</v>
      </c>
      <c r="H1853">
        <v>38</v>
      </c>
      <c r="I1853">
        <v>0.38</v>
      </c>
      <c r="J1853">
        <v>0.721553</v>
      </c>
      <c r="K1853">
        <v>0.341553</v>
      </c>
      <c r="L1853">
        <v>28</v>
      </c>
      <c r="M1853">
        <v>5</v>
      </c>
      <c r="N1853">
        <v>5</v>
      </c>
      <c r="O1853">
        <v>0.76193699999999998</v>
      </c>
      <c r="P1853">
        <v>0.33314199999999999</v>
      </c>
      <c r="Q1853">
        <v>0.23823</v>
      </c>
    </row>
    <row r="1854" spans="1:17" x14ac:dyDescent="0.25">
      <c r="A1854" t="str">
        <f>IF(C1854&amp;G1854&amp;D1854&lt;&gt;'Funnel setup'!$K$3&amp;'Funnel setup'!$K$4&amp;'Funnel setup'!$K$6,".",IF(A1853=".",1,A1853+1))</f>
        <v>.</v>
      </c>
      <c r="B1854" s="244" t="str">
        <f t="shared" si="28"/>
        <v>Knee Replacement PrimarySub-ICB of GP PracticeNHS SUFFOLK AND NORTH EAST ESSEX ICB - 06L (06L)EQ-5D Index</v>
      </c>
      <c r="C1854" t="s">
        <v>969</v>
      </c>
      <c r="D1854" t="s">
        <v>1021</v>
      </c>
      <c r="E1854" t="s">
        <v>939</v>
      </c>
      <c r="F1854" t="s">
        <v>940</v>
      </c>
      <c r="G1854" t="s">
        <v>963</v>
      </c>
      <c r="H1854">
        <v>108</v>
      </c>
      <c r="I1854">
        <v>0.41547200000000001</v>
      </c>
      <c r="J1854">
        <v>0.76966699999999999</v>
      </c>
      <c r="K1854">
        <v>0.35419400000000001</v>
      </c>
      <c r="L1854">
        <v>95</v>
      </c>
      <c r="M1854">
        <v>7</v>
      </c>
      <c r="N1854">
        <v>6</v>
      </c>
      <c r="O1854">
        <v>0.78397600000000001</v>
      </c>
      <c r="P1854">
        <v>0.35518</v>
      </c>
      <c r="Q1854">
        <v>0.20233799999999999</v>
      </c>
    </row>
    <row r="1855" spans="1:17" x14ac:dyDescent="0.25">
      <c r="A1855" t="str">
        <f>IF(C1855&amp;G1855&amp;D1855&lt;&gt;'Funnel setup'!$K$3&amp;'Funnel setup'!$K$4&amp;'Funnel setup'!$K$6,".",IF(A1854=".",1,A1854+1))</f>
        <v>.</v>
      </c>
      <c r="B1855" s="244" t="str">
        <f t="shared" si="28"/>
        <v>Knee Replacement PrimarySub-ICB of GP PracticeNHS SUFFOLK AND NORTH EAST ESSEX ICB - 06T (06T)EQ-5D Index</v>
      </c>
      <c r="C1855" t="s">
        <v>969</v>
      </c>
      <c r="D1855" t="s">
        <v>1021</v>
      </c>
      <c r="E1855" t="s">
        <v>941</v>
      </c>
      <c r="F1855" t="s">
        <v>942</v>
      </c>
      <c r="G1855" t="s">
        <v>963</v>
      </c>
      <c r="H1855">
        <v>30</v>
      </c>
      <c r="I1855">
        <v>0.38100000000000001</v>
      </c>
      <c r="J1855">
        <v>0.72206700000000001</v>
      </c>
      <c r="K1855">
        <v>0.34106700000000001</v>
      </c>
      <c r="L1855">
        <v>29</v>
      </c>
      <c r="M1855">
        <v>0</v>
      </c>
      <c r="N1855">
        <v>1</v>
      </c>
      <c r="O1855">
        <v>0.74870800000000004</v>
      </c>
      <c r="P1855">
        <v>0.31991199999999997</v>
      </c>
      <c r="Q1855">
        <v>0.169821</v>
      </c>
    </row>
    <row r="1856" spans="1:17" x14ac:dyDescent="0.25">
      <c r="A1856" t="str">
        <f>IF(C1856&amp;G1856&amp;D1856&lt;&gt;'Funnel setup'!$K$3&amp;'Funnel setup'!$K$4&amp;'Funnel setup'!$K$6,".",IF(A1855=".",1,A1855+1))</f>
        <v>.</v>
      </c>
      <c r="B1856" s="244" t="str">
        <f t="shared" si="28"/>
        <v>Knee Replacement PrimarySub-ICB of GP PracticeNHS SUFFOLK AND NORTH EAST ESSEX ICB - 07K (07K)EQ-5D Index</v>
      </c>
      <c r="C1856" t="s">
        <v>969</v>
      </c>
      <c r="D1856" t="s">
        <v>1021</v>
      </c>
      <c r="E1856" t="s">
        <v>943</v>
      </c>
      <c r="F1856" t="s">
        <v>944</v>
      </c>
      <c r="G1856" t="s">
        <v>963</v>
      </c>
      <c r="H1856">
        <v>90</v>
      </c>
      <c r="I1856">
        <v>0.3891</v>
      </c>
      <c r="J1856">
        <v>0.77459999999999996</v>
      </c>
      <c r="K1856">
        <v>0.38550000000000001</v>
      </c>
      <c r="L1856">
        <v>74</v>
      </c>
      <c r="M1856">
        <v>9</v>
      </c>
      <c r="N1856">
        <v>7</v>
      </c>
      <c r="O1856">
        <v>0.76562300000000005</v>
      </c>
      <c r="P1856">
        <v>0.33682699999999999</v>
      </c>
      <c r="Q1856">
        <v>0.22489400000000001</v>
      </c>
    </row>
    <row r="1857" spans="1:17" x14ac:dyDescent="0.25">
      <c r="A1857" t="str">
        <f>IF(C1857&amp;G1857&amp;D1857&lt;&gt;'Funnel setup'!$K$3&amp;'Funnel setup'!$K$4&amp;'Funnel setup'!$K$6,".",IF(A1856=".",1,A1856+1))</f>
        <v>.</v>
      </c>
      <c r="B1857" s="244" t="str">
        <f t="shared" si="28"/>
        <v>Knee Replacement PrimarySub-ICB of GP PracticeNHS SURREY HEARTLANDS ICB - 92A (92A)EQ-5D Index</v>
      </c>
      <c r="C1857" t="s">
        <v>969</v>
      </c>
      <c r="D1857" t="s">
        <v>1021</v>
      </c>
      <c r="E1857" t="s">
        <v>945</v>
      </c>
      <c r="F1857" t="s">
        <v>946</v>
      </c>
      <c r="G1857" t="s">
        <v>963</v>
      </c>
      <c r="H1857">
        <v>317</v>
      </c>
      <c r="I1857">
        <v>0.48863400000000001</v>
      </c>
      <c r="J1857">
        <v>0.80008199999999996</v>
      </c>
      <c r="K1857">
        <v>0.311448</v>
      </c>
      <c r="L1857">
        <v>268</v>
      </c>
      <c r="M1857">
        <v>30</v>
      </c>
      <c r="N1857">
        <v>19</v>
      </c>
      <c r="O1857">
        <v>0.76383299999999998</v>
      </c>
      <c r="P1857">
        <v>0.335038</v>
      </c>
      <c r="Q1857">
        <v>0.207788</v>
      </c>
    </row>
    <row r="1858" spans="1:17" x14ac:dyDescent="0.25">
      <c r="A1858" t="str">
        <f>IF(C1858&amp;G1858&amp;D1858&lt;&gt;'Funnel setup'!$K$3&amp;'Funnel setup'!$K$4&amp;'Funnel setup'!$K$6,".",IF(A1857=".",1,A1857+1))</f>
        <v>.</v>
      </c>
      <c r="B1858" s="244" t="str">
        <f t="shared" ref="B1858:B1921" si="29">C1858&amp;D1858&amp;F1858&amp;G1858</f>
        <v>Knee Replacement PrimarySub-ICB of GP PracticeNHS SUSSEX ICB - 09D (09D)EQ-5D Index</v>
      </c>
      <c r="C1858" t="s">
        <v>969</v>
      </c>
      <c r="D1858" t="s">
        <v>1021</v>
      </c>
      <c r="E1858" t="s">
        <v>947</v>
      </c>
      <c r="F1858" t="s">
        <v>948</v>
      </c>
      <c r="G1858" t="s">
        <v>963</v>
      </c>
      <c r="H1858">
        <v>28</v>
      </c>
      <c r="I1858">
        <v>0.56214299999999995</v>
      </c>
      <c r="J1858">
        <v>0.81892900000000002</v>
      </c>
      <c r="K1858">
        <v>0.25678600000000001</v>
      </c>
      <c r="L1858">
        <v>22</v>
      </c>
      <c r="M1858">
        <v>4</v>
      </c>
      <c r="N1858">
        <v>2</v>
      </c>
      <c r="O1858" t="s">
        <v>127</v>
      </c>
      <c r="P1858" t="s">
        <v>127</v>
      </c>
      <c r="Q1858" t="s">
        <v>127</v>
      </c>
    </row>
    <row r="1859" spans="1:17" x14ac:dyDescent="0.25">
      <c r="A1859" t="str">
        <f>IF(C1859&amp;G1859&amp;D1859&lt;&gt;'Funnel setup'!$K$3&amp;'Funnel setup'!$K$4&amp;'Funnel setup'!$K$6,".",IF(A1858=".",1,A1858+1))</f>
        <v>.</v>
      </c>
      <c r="B1859" s="244" t="str">
        <f t="shared" si="29"/>
        <v>Knee Replacement PrimarySub-ICB of GP PracticeNHS SUSSEX ICB - 70F (70F)EQ-5D Index</v>
      </c>
      <c r="C1859" t="s">
        <v>969</v>
      </c>
      <c r="D1859" t="s">
        <v>1021</v>
      </c>
      <c r="E1859" t="s">
        <v>949</v>
      </c>
      <c r="F1859" t="s">
        <v>950</v>
      </c>
      <c r="G1859" t="s">
        <v>963</v>
      </c>
      <c r="H1859">
        <v>219</v>
      </c>
      <c r="I1859">
        <v>0.41717799999999999</v>
      </c>
      <c r="J1859">
        <v>0.75101799999999996</v>
      </c>
      <c r="K1859">
        <v>0.33384000000000003</v>
      </c>
      <c r="L1859">
        <v>181</v>
      </c>
      <c r="M1859">
        <v>21</v>
      </c>
      <c r="N1859">
        <v>17</v>
      </c>
      <c r="O1859">
        <v>0.74357600000000001</v>
      </c>
      <c r="P1859">
        <v>0.31478</v>
      </c>
      <c r="Q1859">
        <v>0.22711899999999999</v>
      </c>
    </row>
    <row r="1860" spans="1:17" x14ac:dyDescent="0.25">
      <c r="A1860" t="str">
        <f>IF(C1860&amp;G1860&amp;D1860&lt;&gt;'Funnel setup'!$K$3&amp;'Funnel setup'!$K$4&amp;'Funnel setup'!$K$6,".",IF(A1859=".",1,A1859+1))</f>
        <v>.</v>
      </c>
      <c r="B1860" s="244" t="str">
        <f t="shared" si="29"/>
        <v>Knee Replacement PrimarySub-ICB of GP PracticeNHS SUSSEX ICB - 97R (97R)EQ-5D Index</v>
      </c>
      <c r="C1860" t="s">
        <v>969</v>
      </c>
      <c r="D1860" t="s">
        <v>1021</v>
      </c>
      <c r="E1860" t="s">
        <v>951</v>
      </c>
      <c r="F1860" t="s">
        <v>952</v>
      </c>
      <c r="G1860" t="s">
        <v>963</v>
      </c>
      <c r="H1860">
        <v>285</v>
      </c>
      <c r="I1860">
        <v>0.505081</v>
      </c>
      <c r="J1860">
        <v>0.79210499999999995</v>
      </c>
      <c r="K1860">
        <v>0.28702499999999997</v>
      </c>
      <c r="L1860">
        <v>227</v>
      </c>
      <c r="M1860">
        <v>34</v>
      </c>
      <c r="N1860">
        <v>24</v>
      </c>
      <c r="O1860">
        <v>0.768513</v>
      </c>
      <c r="P1860">
        <v>0.33971800000000002</v>
      </c>
      <c r="Q1860">
        <v>0.21584</v>
      </c>
    </row>
    <row r="1861" spans="1:17" x14ac:dyDescent="0.25">
      <c r="A1861" t="str">
        <f>IF(C1861&amp;G1861&amp;D1861&lt;&gt;'Funnel setup'!$K$3&amp;'Funnel setup'!$K$4&amp;'Funnel setup'!$K$6,".",IF(A1860=".",1,A1860+1))</f>
        <v>.</v>
      </c>
      <c r="B1861" s="244" t="str">
        <f t="shared" si="29"/>
        <v>Knee Replacement PrimarySub-ICB of GP PracticeNHS WEST YORKSHIRE ICB - 02T (02T)EQ-5D Index</v>
      </c>
      <c r="C1861" t="s">
        <v>969</v>
      </c>
      <c r="D1861" t="s">
        <v>1021</v>
      </c>
      <c r="E1861" t="s">
        <v>953</v>
      </c>
      <c r="F1861" t="s">
        <v>954</v>
      </c>
      <c r="G1861" t="s">
        <v>963</v>
      </c>
      <c r="H1861">
        <v>41</v>
      </c>
      <c r="I1861">
        <v>0.50141500000000006</v>
      </c>
      <c r="J1861">
        <v>0.76165899999999997</v>
      </c>
      <c r="K1861">
        <v>0.26024399999999998</v>
      </c>
      <c r="L1861">
        <v>31</v>
      </c>
      <c r="M1861">
        <v>5</v>
      </c>
      <c r="N1861">
        <v>5</v>
      </c>
      <c r="O1861">
        <v>0.73770599999999997</v>
      </c>
      <c r="P1861">
        <v>0.30891000000000002</v>
      </c>
      <c r="Q1861">
        <v>0.22275200000000001</v>
      </c>
    </row>
    <row r="1862" spans="1:17" x14ac:dyDescent="0.25">
      <c r="A1862" t="str">
        <f>IF(C1862&amp;G1862&amp;D1862&lt;&gt;'Funnel setup'!$K$3&amp;'Funnel setup'!$K$4&amp;'Funnel setup'!$K$6,".",IF(A1861=".",1,A1861+1))</f>
        <v>.</v>
      </c>
      <c r="B1862" s="244" t="str">
        <f t="shared" si="29"/>
        <v>Knee Replacement PrimarySub-ICB of GP PracticeNHS WEST YORKSHIRE ICB - 03R (03R)EQ-5D Index</v>
      </c>
      <c r="C1862" t="s">
        <v>969</v>
      </c>
      <c r="D1862" t="s">
        <v>1021</v>
      </c>
      <c r="E1862" t="s">
        <v>955</v>
      </c>
      <c r="F1862" t="s">
        <v>956</v>
      </c>
      <c r="G1862" t="s">
        <v>963</v>
      </c>
      <c r="H1862">
        <v>169</v>
      </c>
      <c r="I1862">
        <v>0.38465700000000003</v>
      </c>
      <c r="J1862">
        <v>0.71745000000000003</v>
      </c>
      <c r="K1862">
        <v>0.33279300000000001</v>
      </c>
      <c r="L1862">
        <v>135</v>
      </c>
      <c r="M1862">
        <v>15</v>
      </c>
      <c r="N1862">
        <v>19</v>
      </c>
      <c r="O1862">
        <v>0.72783200000000003</v>
      </c>
      <c r="P1862">
        <v>0.29903600000000002</v>
      </c>
      <c r="Q1862">
        <v>0.25764300000000001</v>
      </c>
    </row>
    <row r="1863" spans="1:17" x14ac:dyDescent="0.25">
      <c r="A1863" t="str">
        <f>IF(C1863&amp;G1863&amp;D1863&lt;&gt;'Funnel setup'!$K$3&amp;'Funnel setup'!$K$4&amp;'Funnel setup'!$K$6,".",IF(A1862=".",1,A1862+1))</f>
        <v>.</v>
      </c>
      <c r="B1863" s="244" t="str">
        <f t="shared" si="29"/>
        <v>Knee Replacement PrimarySub-ICB of GP PracticeNHS WEST YORKSHIRE ICB - 15F (15F)EQ-5D Index</v>
      </c>
      <c r="C1863" t="s">
        <v>969</v>
      </c>
      <c r="D1863" t="s">
        <v>1021</v>
      </c>
      <c r="E1863" t="s">
        <v>957</v>
      </c>
      <c r="F1863" t="s">
        <v>958</v>
      </c>
      <c r="G1863" t="s">
        <v>963</v>
      </c>
      <c r="H1863">
        <v>246</v>
      </c>
      <c r="I1863">
        <v>0.450992</v>
      </c>
      <c r="J1863">
        <v>0.75494300000000003</v>
      </c>
      <c r="K1863">
        <v>0.30395100000000003</v>
      </c>
      <c r="L1863">
        <v>200</v>
      </c>
      <c r="M1863">
        <v>25</v>
      </c>
      <c r="N1863">
        <v>21</v>
      </c>
      <c r="O1863">
        <v>0.749641</v>
      </c>
      <c r="P1863">
        <v>0.32084499999999999</v>
      </c>
      <c r="Q1863">
        <v>0.20449600000000001</v>
      </c>
    </row>
    <row r="1864" spans="1:17" x14ac:dyDescent="0.25">
      <c r="A1864" t="str">
        <f>IF(C1864&amp;G1864&amp;D1864&lt;&gt;'Funnel setup'!$K$3&amp;'Funnel setup'!$K$4&amp;'Funnel setup'!$K$6,".",IF(A1863=".",1,A1863+1))</f>
        <v>.</v>
      </c>
      <c r="B1864" s="244" t="str">
        <f t="shared" si="29"/>
        <v>Knee Replacement PrimarySub-ICB of GP PracticeNHS WEST YORKSHIRE ICB - 36J (36J)EQ-5D Index</v>
      </c>
      <c r="C1864" t="s">
        <v>969</v>
      </c>
      <c r="D1864" t="s">
        <v>1021</v>
      </c>
      <c r="E1864" t="s">
        <v>959</v>
      </c>
      <c r="F1864" t="s">
        <v>960</v>
      </c>
      <c r="G1864" t="s">
        <v>963</v>
      </c>
      <c r="H1864">
        <v>65</v>
      </c>
      <c r="I1864">
        <v>0.42118499999999998</v>
      </c>
      <c r="J1864">
        <v>0.73650800000000005</v>
      </c>
      <c r="K1864">
        <v>0.31532300000000002</v>
      </c>
      <c r="L1864">
        <v>58</v>
      </c>
      <c r="M1864">
        <v>2</v>
      </c>
      <c r="N1864">
        <v>5</v>
      </c>
      <c r="O1864">
        <v>0.76507999999999998</v>
      </c>
      <c r="P1864">
        <v>0.33628400000000003</v>
      </c>
      <c r="Q1864">
        <v>0.24288699999999999</v>
      </c>
    </row>
    <row r="1865" spans="1:17" x14ac:dyDescent="0.25">
      <c r="A1865" t="str">
        <f>IF(C1865&amp;G1865&amp;D1865&lt;&gt;'Funnel setup'!$K$3&amp;'Funnel setup'!$K$4&amp;'Funnel setup'!$K$6,".",IF(A1864=".",1,A1864+1))</f>
        <v>.</v>
      </c>
      <c r="B1865" s="244" t="str">
        <f t="shared" si="29"/>
        <v>Knee Replacement PrimarySub-ICB of GP PracticeNHS WEST YORKSHIRE ICB - X2C4Y (X2C4Y)EQ-5D Index</v>
      </c>
      <c r="C1865" t="s">
        <v>969</v>
      </c>
      <c r="D1865" t="s">
        <v>1021</v>
      </c>
      <c r="E1865" t="s">
        <v>961</v>
      </c>
      <c r="F1865" t="s">
        <v>962</v>
      </c>
      <c r="G1865" t="s">
        <v>963</v>
      </c>
      <c r="H1865">
        <v>95</v>
      </c>
      <c r="I1865">
        <v>0.412242</v>
      </c>
      <c r="J1865">
        <v>0.76135799999999998</v>
      </c>
      <c r="K1865">
        <v>0.34911599999999998</v>
      </c>
      <c r="L1865">
        <v>78</v>
      </c>
      <c r="M1865">
        <v>12</v>
      </c>
      <c r="N1865">
        <v>5</v>
      </c>
      <c r="O1865">
        <v>0.75375999999999999</v>
      </c>
      <c r="P1865">
        <v>0.32496399999999998</v>
      </c>
      <c r="Q1865">
        <v>0.200317</v>
      </c>
    </row>
    <row r="1866" spans="1:17" x14ac:dyDescent="0.25">
      <c r="A1866" t="str">
        <f>IF(C1866&amp;G1866&amp;D1866&lt;&gt;'Funnel setup'!$K$3&amp;'Funnel setup'!$K$4&amp;'Funnel setup'!$K$6,".",IF(A1865=".",1,A1865+1))</f>
        <v>.</v>
      </c>
      <c r="B1866" s="244" t="str">
        <f t="shared" si="29"/>
        <v>Knee Replacement PrimarySub-ICB of GP PracticeNATIONAL COMMISSIONING HUB 1 (13Q)Oxford Knee Score</v>
      </c>
      <c r="C1866" t="s">
        <v>969</v>
      </c>
      <c r="D1866" t="s">
        <v>1021</v>
      </c>
      <c r="E1866" t="s">
        <v>970</v>
      </c>
      <c r="F1866" t="s">
        <v>971</v>
      </c>
      <c r="G1866" t="s">
        <v>972</v>
      </c>
      <c r="H1866">
        <v>1</v>
      </c>
      <c r="I1866">
        <v>34</v>
      </c>
      <c r="J1866">
        <v>44</v>
      </c>
      <c r="K1866">
        <v>10</v>
      </c>
      <c r="L1866">
        <v>1</v>
      </c>
      <c r="M1866">
        <v>0</v>
      </c>
      <c r="N1866">
        <v>0</v>
      </c>
      <c r="O1866" t="s">
        <v>127</v>
      </c>
      <c r="P1866" t="s">
        <v>127</v>
      </c>
      <c r="Q1866" t="s">
        <v>127</v>
      </c>
    </row>
    <row r="1867" spans="1:17" x14ac:dyDescent="0.25">
      <c r="A1867" t="str">
        <f>IF(C1867&amp;G1867&amp;D1867&lt;&gt;'Funnel setup'!$K$3&amp;'Funnel setup'!$K$4&amp;'Funnel setup'!$K$6,".",IF(A1866=".",1,A1866+1))</f>
        <v>.</v>
      </c>
      <c r="B1867" s="244" t="str">
        <f t="shared" si="29"/>
        <v>Knee Replacement PrimarySub-ICB of GP PracticeNHS BATH AND NORTH EAST SOMERSET, SWINDON AND WILTSHIRE ICB - 92G (92G)Oxford Knee Score</v>
      </c>
      <c r="C1867" t="s">
        <v>969</v>
      </c>
      <c r="D1867" t="s">
        <v>1021</v>
      </c>
      <c r="E1867" t="s">
        <v>750</v>
      </c>
      <c r="F1867" t="s">
        <v>751</v>
      </c>
      <c r="G1867" t="s">
        <v>972</v>
      </c>
      <c r="H1867">
        <v>270</v>
      </c>
      <c r="I1867">
        <v>19.725899999999999</v>
      </c>
      <c r="J1867">
        <v>39.170400000000001</v>
      </c>
      <c r="K1867">
        <v>19.444400000000002</v>
      </c>
      <c r="L1867">
        <v>261</v>
      </c>
      <c r="M1867">
        <v>1</v>
      </c>
      <c r="N1867">
        <v>8</v>
      </c>
      <c r="O1867">
        <v>38.204999999999998</v>
      </c>
      <c r="P1867">
        <v>18.816700000000001</v>
      </c>
      <c r="Q1867">
        <v>8.0185899999999997</v>
      </c>
    </row>
    <row r="1868" spans="1:17" x14ac:dyDescent="0.25">
      <c r="A1868" t="str">
        <f>IF(C1868&amp;G1868&amp;D1868&lt;&gt;'Funnel setup'!$K$3&amp;'Funnel setup'!$K$4&amp;'Funnel setup'!$K$6,".",IF(A1867=".",1,A1867+1))</f>
        <v>.</v>
      </c>
      <c r="B1868" s="244" t="str">
        <f t="shared" si="29"/>
        <v>Knee Replacement PrimarySub-ICB of GP PracticeNHS BEDFORDSHIRE, LUTON AND MILTON KEYNES ICB - M1J4Y (M1J4Y)Oxford Knee Score</v>
      </c>
      <c r="C1868" t="s">
        <v>969</v>
      </c>
      <c r="D1868" t="s">
        <v>1021</v>
      </c>
      <c r="E1868" t="s">
        <v>753</v>
      </c>
      <c r="F1868" t="s">
        <v>754</v>
      </c>
      <c r="G1868" t="s">
        <v>972</v>
      </c>
      <c r="H1868">
        <v>244</v>
      </c>
      <c r="I1868">
        <v>17.139299999999999</v>
      </c>
      <c r="J1868">
        <v>34.762300000000003</v>
      </c>
      <c r="K1868">
        <v>17.623000000000001</v>
      </c>
      <c r="L1868">
        <v>220</v>
      </c>
      <c r="M1868">
        <v>5</v>
      </c>
      <c r="N1868">
        <v>19</v>
      </c>
      <c r="O1868">
        <v>35.845199999999998</v>
      </c>
      <c r="P1868">
        <v>16.456900000000001</v>
      </c>
      <c r="Q1868">
        <v>9.7638300000000005</v>
      </c>
    </row>
    <row r="1869" spans="1:17" x14ac:dyDescent="0.25">
      <c r="A1869" t="str">
        <f>IF(C1869&amp;G1869&amp;D1869&lt;&gt;'Funnel setup'!$K$3&amp;'Funnel setup'!$K$4&amp;'Funnel setup'!$K$6,".",IF(A1868=".",1,A1868+1))</f>
        <v>.</v>
      </c>
      <c r="B1869" s="244" t="str">
        <f t="shared" si="29"/>
        <v>Knee Replacement PrimarySub-ICB of GP PracticeNHS BIRMINGHAM AND SOLIHULL ICB - 15E (15E)Oxford Knee Score</v>
      </c>
      <c r="C1869" t="s">
        <v>969</v>
      </c>
      <c r="D1869" t="s">
        <v>1021</v>
      </c>
      <c r="E1869" t="s">
        <v>755</v>
      </c>
      <c r="F1869" t="s">
        <v>756</v>
      </c>
      <c r="G1869" t="s">
        <v>972</v>
      </c>
      <c r="H1869">
        <v>342</v>
      </c>
      <c r="I1869">
        <v>18.1784</v>
      </c>
      <c r="J1869">
        <v>34.307000000000002</v>
      </c>
      <c r="K1869">
        <v>16.128699999999998</v>
      </c>
      <c r="L1869">
        <v>321</v>
      </c>
      <c r="M1869">
        <v>3</v>
      </c>
      <c r="N1869">
        <v>18</v>
      </c>
      <c r="O1869">
        <v>35.288400000000003</v>
      </c>
      <c r="P1869">
        <v>15.9001</v>
      </c>
      <c r="Q1869">
        <v>8.9136900000000008</v>
      </c>
    </row>
    <row r="1870" spans="1:17" x14ac:dyDescent="0.25">
      <c r="A1870" t="str">
        <f>IF(C1870&amp;G1870&amp;D1870&lt;&gt;'Funnel setup'!$K$3&amp;'Funnel setup'!$K$4&amp;'Funnel setup'!$K$6,".",IF(A1869=".",1,A1869+1))</f>
        <v>.</v>
      </c>
      <c r="B1870" s="244" t="str">
        <f t="shared" si="29"/>
        <v>Knee Replacement PrimarySub-ICB of GP PracticeNHS BLACK COUNTRY ICB - D2P2L (D2P2L)Oxford Knee Score</v>
      </c>
      <c r="C1870" t="s">
        <v>969</v>
      </c>
      <c r="D1870" t="s">
        <v>1021</v>
      </c>
      <c r="E1870" t="s">
        <v>757</v>
      </c>
      <c r="F1870" t="s">
        <v>758</v>
      </c>
      <c r="G1870" t="s">
        <v>972</v>
      </c>
      <c r="H1870">
        <v>208</v>
      </c>
      <c r="I1870">
        <v>17.072099999999999</v>
      </c>
      <c r="J1870">
        <v>35.317300000000003</v>
      </c>
      <c r="K1870">
        <v>18.245200000000001</v>
      </c>
      <c r="L1870">
        <v>199</v>
      </c>
      <c r="M1870">
        <v>2</v>
      </c>
      <c r="N1870">
        <v>7</v>
      </c>
      <c r="O1870">
        <v>37.323999999999998</v>
      </c>
      <c r="P1870">
        <v>17.935700000000001</v>
      </c>
      <c r="Q1870">
        <v>8.6018600000000003</v>
      </c>
    </row>
    <row r="1871" spans="1:17" x14ac:dyDescent="0.25">
      <c r="A1871" t="str">
        <f>IF(C1871&amp;G1871&amp;D1871&lt;&gt;'Funnel setup'!$K$3&amp;'Funnel setup'!$K$4&amp;'Funnel setup'!$K$6,".",IF(A1870=".",1,A1870+1))</f>
        <v>.</v>
      </c>
      <c r="B1871" s="244" t="str">
        <f t="shared" si="29"/>
        <v>Knee Replacement PrimarySub-ICB of GP PracticeNHS BRISTOL, NORTH SOMERSET AND SOUTH GLOUCESTERSHIRE ICB - 15C (15C)Oxford Knee Score</v>
      </c>
      <c r="C1871" t="s">
        <v>969</v>
      </c>
      <c r="D1871" t="s">
        <v>1021</v>
      </c>
      <c r="E1871" t="s">
        <v>759</v>
      </c>
      <c r="F1871" t="s">
        <v>760</v>
      </c>
      <c r="G1871" t="s">
        <v>972</v>
      </c>
      <c r="H1871">
        <v>220</v>
      </c>
      <c r="I1871">
        <v>19.2318</v>
      </c>
      <c r="J1871">
        <v>37.568199999999997</v>
      </c>
      <c r="K1871">
        <v>18.336400000000001</v>
      </c>
      <c r="L1871">
        <v>211</v>
      </c>
      <c r="M1871">
        <v>3</v>
      </c>
      <c r="N1871">
        <v>6</v>
      </c>
      <c r="O1871">
        <v>37.4651</v>
      </c>
      <c r="P1871">
        <v>18.076699999999999</v>
      </c>
      <c r="Q1871">
        <v>8.1425699999999992</v>
      </c>
    </row>
    <row r="1872" spans="1:17" x14ac:dyDescent="0.25">
      <c r="A1872" t="str">
        <f>IF(C1872&amp;G1872&amp;D1872&lt;&gt;'Funnel setup'!$K$3&amp;'Funnel setup'!$K$4&amp;'Funnel setup'!$K$6,".",IF(A1871=".",1,A1871+1))</f>
        <v>.</v>
      </c>
      <c r="B1872" s="244" t="str">
        <f t="shared" si="29"/>
        <v>Knee Replacement PrimarySub-ICB of GP PracticeNHS BUCKINGHAMSHIRE, OXFORDSHIRE AND BERKSHIRE WEST ICB - 10Q (10Q)Oxford Knee Score</v>
      </c>
      <c r="C1872" t="s">
        <v>969</v>
      </c>
      <c r="D1872" t="s">
        <v>1021</v>
      </c>
      <c r="E1872" t="s">
        <v>761</v>
      </c>
      <c r="F1872" t="s">
        <v>762</v>
      </c>
      <c r="G1872" t="s">
        <v>972</v>
      </c>
      <c r="H1872">
        <v>287</v>
      </c>
      <c r="I1872">
        <v>20.874600000000001</v>
      </c>
      <c r="J1872">
        <v>38.229999999999997</v>
      </c>
      <c r="K1872">
        <v>17.355399999999999</v>
      </c>
      <c r="L1872">
        <v>275</v>
      </c>
      <c r="M1872">
        <v>1</v>
      </c>
      <c r="N1872">
        <v>11</v>
      </c>
      <c r="O1872">
        <v>37.048000000000002</v>
      </c>
      <c r="P1872">
        <v>17.659700000000001</v>
      </c>
      <c r="Q1872">
        <v>7.9841199999999999</v>
      </c>
    </row>
    <row r="1873" spans="1:17" x14ac:dyDescent="0.25">
      <c r="A1873" t="str">
        <f>IF(C1873&amp;G1873&amp;D1873&lt;&gt;'Funnel setup'!$K$3&amp;'Funnel setup'!$K$4&amp;'Funnel setup'!$K$6,".",IF(A1872=".",1,A1872+1))</f>
        <v>.</v>
      </c>
      <c r="B1873" s="244" t="str">
        <f t="shared" si="29"/>
        <v>Knee Replacement PrimarySub-ICB of GP PracticeNHS BUCKINGHAMSHIRE, OXFORDSHIRE AND BERKSHIRE WEST ICB - 14Y (14Y)Oxford Knee Score</v>
      </c>
      <c r="C1873" t="s">
        <v>969</v>
      </c>
      <c r="D1873" t="s">
        <v>1021</v>
      </c>
      <c r="E1873" t="s">
        <v>763</v>
      </c>
      <c r="F1873" t="s">
        <v>764</v>
      </c>
      <c r="G1873" t="s">
        <v>972</v>
      </c>
      <c r="H1873">
        <v>225</v>
      </c>
      <c r="I1873">
        <v>22.008900000000001</v>
      </c>
      <c r="J1873">
        <v>38.880000000000003</v>
      </c>
      <c r="K1873">
        <v>16.871099999999998</v>
      </c>
      <c r="L1873">
        <v>214</v>
      </c>
      <c r="M1873">
        <v>3</v>
      </c>
      <c r="N1873">
        <v>8</v>
      </c>
      <c r="O1873">
        <v>36.993000000000002</v>
      </c>
      <c r="P1873">
        <v>17.604700000000001</v>
      </c>
      <c r="Q1873">
        <v>7.43912</v>
      </c>
    </row>
    <row r="1874" spans="1:17" x14ac:dyDescent="0.25">
      <c r="A1874" t="str">
        <f>IF(C1874&amp;G1874&amp;D1874&lt;&gt;'Funnel setup'!$K$3&amp;'Funnel setup'!$K$4&amp;'Funnel setup'!$K$6,".",IF(A1873=".",1,A1873+1))</f>
        <v>.</v>
      </c>
      <c r="B1874" s="244" t="str">
        <f t="shared" si="29"/>
        <v>Knee Replacement PrimarySub-ICB of GP PracticeNHS BUCKINGHAMSHIRE, OXFORDSHIRE AND BERKSHIRE WEST ICB - 15A (15A)Oxford Knee Score</v>
      </c>
      <c r="C1874" t="s">
        <v>969</v>
      </c>
      <c r="D1874" t="s">
        <v>1021</v>
      </c>
      <c r="E1874" t="s">
        <v>765</v>
      </c>
      <c r="F1874" t="s">
        <v>766</v>
      </c>
      <c r="G1874" t="s">
        <v>972</v>
      </c>
      <c r="H1874">
        <v>71</v>
      </c>
      <c r="I1874">
        <v>21.098600000000001</v>
      </c>
      <c r="J1874">
        <v>36.957700000000003</v>
      </c>
      <c r="K1874">
        <v>15.8592</v>
      </c>
      <c r="L1874">
        <v>66</v>
      </c>
      <c r="M1874">
        <v>1</v>
      </c>
      <c r="N1874">
        <v>4</v>
      </c>
      <c r="O1874">
        <v>35.298200000000001</v>
      </c>
      <c r="P1874">
        <v>15.9099</v>
      </c>
      <c r="Q1874">
        <v>8.49282</v>
      </c>
    </row>
    <row r="1875" spans="1:17" x14ac:dyDescent="0.25">
      <c r="A1875" t="str">
        <f>IF(C1875&amp;G1875&amp;D1875&lt;&gt;'Funnel setup'!$K$3&amp;'Funnel setup'!$K$4&amp;'Funnel setup'!$K$6,".",IF(A1874=".",1,A1874+1))</f>
        <v>.</v>
      </c>
      <c r="B1875" s="244" t="str">
        <f t="shared" si="29"/>
        <v>Knee Replacement PrimarySub-ICB of GP PracticeNHS CAMBRIDGESHIRE AND PETERBOROUGH ICB - 06H (06H)Oxford Knee Score</v>
      </c>
      <c r="C1875" t="s">
        <v>969</v>
      </c>
      <c r="D1875" t="s">
        <v>1021</v>
      </c>
      <c r="E1875" t="s">
        <v>767</v>
      </c>
      <c r="F1875" t="s">
        <v>768</v>
      </c>
      <c r="G1875" t="s">
        <v>972</v>
      </c>
      <c r="H1875">
        <v>204</v>
      </c>
      <c r="I1875">
        <v>17.847999999999999</v>
      </c>
      <c r="J1875">
        <v>35.710799999999999</v>
      </c>
      <c r="K1875">
        <v>17.8627</v>
      </c>
      <c r="L1875">
        <v>196</v>
      </c>
      <c r="M1875">
        <v>0</v>
      </c>
      <c r="N1875">
        <v>8</v>
      </c>
      <c r="O1875">
        <v>36.123600000000003</v>
      </c>
      <c r="P1875">
        <v>16.735199999999999</v>
      </c>
      <c r="Q1875">
        <v>8.7018599999999999</v>
      </c>
    </row>
    <row r="1876" spans="1:17" x14ac:dyDescent="0.25">
      <c r="A1876" t="str">
        <f>IF(C1876&amp;G1876&amp;D1876&lt;&gt;'Funnel setup'!$K$3&amp;'Funnel setup'!$K$4&amp;'Funnel setup'!$K$6,".",IF(A1875=".",1,A1875+1))</f>
        <v>.</v>
      </c>
      <c r="B1876" s="244" t="str">
        <f t="shared" si="29"/>
        <v>Knee Replacement PrimarySub-ICB of GP PracticeNHS CHESHIRE AND MERSEYSIDE ICB - 01F (01F)Oxford Knee Score</v>
      </c>
      <c r="C1876" t="s">
        <v>969</v>
      </c>
      <c r="D1876" t="s">
        <v>1021</v>
      </c>
      <c r="E1876" t="s">
        <v>769</v>
      </c>
      <c r="F1876" t="s">
        <v>770</v>
      </c>
      <c r="G1876" t="s">
        <v>972</v>
      </c>
      <c r="H1876">
        <v>33</v>
      </c>
      <c r="I1876">
        <v>18.121200000000002</v>
      </c>
      <c r="J1876">
        <v>34.939399999999999</v>
      </c>
      <c r="K1876">
        <v>16.818200000000001</v>
      </c>
      <c r="L1876">
        <v>31</v>
      </c>
      <c r="M1876">
        <v>0</v>
      </c>
      <c r="N1876">
        <v>2</v>
      </c>
      <c r="O1876">
        <v>35.861800000000002</v>
      </c>
      <c r="P1876">
        <v>16.473500000000001</v>
      </c>
      <c r="Q1876">
        <v>10.347099999999999</v>
      </c>
    </row>
    <row r="1877" spans="1:17" x14ac:dyDescent="0.25">
      <c r="A1877" t="str">
        <f>IF(C1877&amp;G1877&amp;D1877&lt;&gt;'Funnel setup'!$K$3&amp;'Funnel setup'!$K$4&amp;'Funnel setup'!$K$6,".",IF(A1876=".",1,A1876+1))</f>
        <v>.</v>
      </c>
      <c r="B1877" s="244" t="str">
        <f t="shared" si="29"/>
        <v>Knee Replacement PrimarySub-ICB of GP PracticeNHS CHESHIRE AND MERSEYSIDE ICB - 01J (01J)Oxford Knee Score</v>
      </c>
      <c r="C1877" t="s">
        <v>969</v>
      </c>
      <c r="D1877" t="s">
        <v>1021</v>
      </c>
      <c r="E1877" t="s">
        <v>771</v>
      </c>
      <c r="F1877" t="s">
        <v>772</v>
      </c>
      <c r="G1877" t="s">
        <v>972</v>
      </c>
      <c r="H1877">
        <v>32</v>
      </c>
      <c r="I1877">
        <v>15.75</v>
      </c>
      <c r="J1877">
        <v>31.875</v>
      </c>
      <c r="K1877">
        <v>16.125</v>
      </c>
      <c r="L1877">
        <v>29</v>
      </c>
      <c r="M1877">
        <v>0</v>
      </c>
      <c r="N1877">
        <v>3</v>
      </c>
      <c r="O1877">
        <v>35.372700000000002</v>
      </c>
      <c r="P1877">
        <v>15.984299999999999</v>
      </c>
      <c r="Q1877">
        <v>9.1106300000000005</v>
      </c>
    </row>
    <row r="1878" spans="1:17" x14ac:dyDescent="0.25">
      <c r="A1878" t="str">
        <f>IF(C1878&amp;G1878&amp;D1878&lt;&gt;'Funnel setup'!$K$3&amp;'Funnel setup'!$K$4&amp;'Funnel setup'!$K$6,".",IF(A1877=".",1,A1877+1))</f>
        <v>.</v>
      </c>
      <c r="B1878" s="244" t="str">
        <f t="shared" si="29"/>
        <v>Knee Replacement PrimarySub-ICB of GP PracticeNHS CHESHIRE AND MERSEYSIDE ICB - 01T (01T)Oxford Knee Score</v>
      </c>
      <c r="C1878" t="s">
        <v>969</v>
      </c>
      <c r="D1878" t="s">
        <v>1021</v>
      </c>
      <c r="E1878" t="s">
        <v>773</v>
      </c>
      <c r="F1878" t="s">
        <v>774</v>
      </c>
      <c r="G1878" t="s">
        <v>972</v>
      </c>
      <c r="H1878">
        <v>48</v>
      </c>
      <c r="I1878">
        <v>19.3125</v>
      </c>
      <c r="J1878">
        <v>37.625</v>
      </c>
      <c r="K1878">
        <v>18.3125</v>
      </c>
      <c r="L1878">
        <v>45</v>
      </c>
      <c r="M1878">
        <v>0</v>
      </c>
      <c r="N1878">
        <v>3</v>
      </c>
      <c r="O1878">
        <v>37.885199999999998</v>
      </c>
      <c r="P1878">
        <v>18.4969</v>
      </c>
      <c r="Q1878">
        <v>8.6663899999999998</v>
      </c>
    </row>
    <row r="1879" spans="1:17" x14ac:dyDescent="0.25">
      <c r="A1879" t="str">
        <f>IF(C1879&amp;G1879&amp;D1879&lt;&gt;'Funnel setup'!$K$3&amp;'Funnel setup'!$K$4&amp;'Funnel setup'!$K$6,".",IF(A1878=".",1,A1878+1))</f>
        <v>.</v>
      </c>
      <c r="B1879" s="244" t="str">
        <f t="shared" si="29"/>
        <v>Knee Replacement PrimarySub-ICB of GP PracticeNHS CHESHIRE AND MERSEYSIDE ICB - 01V (01V)Oxford Knee Score</v>
      </c>
      <c r="C1879" t="s">
        <v>969</v>
      </c>
      <c r="D1879" t="s">
        <v>1021</v>
      </c>
      <c r="E1879" t="s">
        <v>775</v>
      </c>
      <c r="F1879" t="s">
        <v>776</v>
      </c>
      <c r="G1879" t="s">
        <v>972</v>
      </c>
      <c r="H1879">
        <v>30</v>
      </c>
      <c r="I1879">
        <v>19.166699999999999</v>
      </c>
      <c r="J1879">
        <v>38.533299999999997</v>
      </c>
      <c r="K1879">
        <v>19.366700000000002</v>
      </c>
      <c r="L1879">
        <v>29</v>
      </c>
      <c r="M1879">
        <v>0</v>
      </c>
      <c r="N1879">
        <v>1</v>
      </c>
      <c r="O1879">
        <v>38.618600000000001</v>
      </c>
      <c r="P1879">
        <v>19.2302</v>
      </c>
      <c r="Q1879">
        <v>8.1427200000000006</v>
      </c>
    </row>
    <row r="1880" spans="1:17" x14ac:dyDescent="0.25">
      <c r="A1880" t="str">
        <f>IF(C1880&amp;G1880&amp;D1880&lt;&gt;'Funnel setup'!$K$3&amp;'Funnel setup'!$K$4&amp;'Funnel setup'!$K$6,".",IF(A1879=".",1,A1879+1))</f>
        <v>.</v>
      </c>
      <c r="B1880" s="244" t="str">
        <f t="shared" si="29"/>
        <v>Knee Replacement PrimarySub-ICB of GP PracticeNHS CHESHIRE AND MERSEYSIDE ICB - 01X (01X)Oxford Knee Score</v>
      </c>
      <c r="C1880" t="s">
        <v>969</v>
      </c>
      <c r="D1880" t="s">
        <v>1021</v>
      </c>
      <c r="E1880" t="s">
        <v>777</v>
      </c>
      <c r="F1880" t="s">
        <v>778</v>
      </c>
      <c r="G1880" t="s">
        <v>972</v>
      </c>
      <c r="H1880">
        <v>65</v>
      </c>
      <c r="I1880">
        <v>17.538499999999999</v>
      </c>
      <c r="J1880">
        <v>37.153799999999997</v>
      </c>
      <c r="K1880">
        <v>19.615400000000001</v>
      </c>
      <c r="L1880">
        <v>62</v>
      </c>
      <c r="M1880">
        <v>1</v>
      </c>
      <c r="N1880">
        <v>2</v>
      </c>
      <c r="O1880">
        <v>38.084499999999998</v>
      </c>
      <c r="P1880">
        <v>18.696200000000001</v>
      </c>
      <c r="Q1880">
        <v>8.6420999999999992</v>
      </c>
    </row>
    <row r="1881" spans="1:17" x14ac:dyDescent="0.25">
      <c r="A1881" t="str">
        <f>IF(C1881&amp;G1881&amp;D1881&lt;&gt;'Funnel setup'!$K$3&amp;'Funnel setup'!$K$4&amp;'Funnel setup'!$K$6,".",IF(A1880=".",1,A1880+1))</f>
        <v>.</v>
      </c>
      <c r="B1881" s="244" t="str">
        <f t="shared" si="29"/>
        <v>Knee Replacement PrimarySub-ICB of GP PracticeNHS CHESHIRE AND MERSEYSIDE ICB - 02E (02E)Oxford Knee Score</v>
      </c>
      <c r="C1881" t="s">
        <v>969</v>
      </c>
      <c r="D1881" t="s">
        <v>1021</v>
      </c>
      <c r="E1881" t="s">
        <v>779</v>
      </c>
      <c r="F1881" t="s">
        <v>780</v>
      </c>
      <c r="G1881" t="s">
        <v>972</v>
      </c>
      <c r="H1881">
        <v>42</v>
      </c>
      <c r="I1881">
        <v>20.428599999999999</v>
      </c>
      <c r="J1881">
        <v>38.1905</v>
      </c>
      <c r="K1881">
        <v>17.761900000000001</v>
      </c>
      <c r="L1881">
        <v>41</v>
      </c>
      <c r="M1881">
        <v>0</v>
      </c>
      <c r="N1881">
        <v>1</v>
      </c>
      <c r="O1881">
        <v>36.948</v>
      </c>
      <c r="P1881">
        <v>17.559699999999999</v>
      </c>
      <c r="Q1881">
        <v>6.7398300000000004</v>
      </c>
    </row>
    <row r="1882" spans="1:17" x14ac:dyDescent="0.25">
      <c r="A1882" t="str">
        <f>IF(C1882&amp;G1882&amp;D1882&lt;&gt;'Funnel setup'!$K$3&amp;'Funnel setup'!$K$4&amp;'Funnel setup'!$K$6,".",IF(A1881=".",1,A1881+1))</f>
        <v>.</v>
      </c>
      <c r="B1882" s="244" t="str">
        <f t="shared" si="29"/>
        <v>Knee Replacement PrimarySub-ICB of GP PracticeNHS CHESHIRE AND MERSEYSIDE ICB - 12F (12F)Oxford Knee Score</v>
      </c>
      <c r="C1882" t="s">
        <v>969</v>
      </c>
      <c r="D1882" t="s">
        <v>1021</v>
      </c>
      <c r="E1882" t="s">
        <v>781</v>
      </c>
      <c r="F1882" t="s">
        <v>782</v>
      </c>
      <c r="G1882" t="s">
        <v>972</v>
      </c>
      <c r="H1882">
        <v>85</v>
      </c>
      <c r="I1882">
        <v>18.694099999999999</v>
      </c>
      <c r="J1882">
        <v>38.0471</v>
      </c>
      <c r="K1882">
        <v>19.352900000000002</v>
      </c>
      <c r="L1882">
        <v>80</v>
      </c>
      <c r="M1882">
        <v>0</v>
      </c>
      <c r="N1882">
        <v>5</v>
      </c>
      <c r="O1882">
        <v>38.3992</v>
      </c>
      <c r="P1882">
        <v>19.010899999999999</v>
      </c>
      <c r="Q1882">
        <v>8.7947500000000005</v>
      </c>
    </row>
    <row r="1883" spans="1:17" x14ac:dyDescent="0.25">
      <c r="A1883" t="str">
        <f>IF(C1883&amp;G1883&amp;D1883&lt;&gt;'Funnel setup'!$K$3&amp;'Funnel setup'!$K$4&amp;'Funnel setup'!$K$6,".",IF(A1882=".",1,A1882+1))</f>
        <v>.</v>
      </c>
      <c r="B1883" s="244" t="str">
        <f t="shared" si="29"/>
        <v>Knee Replacement PrimarySub-ICB of GP PracticeNHS CHESHIRE AND MERSEYSIDE ICB - 27D (27D)Oxford Knee Score</v>
      </c>
      <c r="C1883" t="s">
        <v>969</v>
      </c>
      <c r="D1883" t="s">
        <v>1021</v>
      </c>
      <c r="E1883" t="s">
        <v>783</v>
      </c>
      <c r="F1883" t="s">
        <v>784</v>
      </c>
      <c r="G1883" t="s">
        <v>972</v>
      </c>
      <c r="H1883">
        <v>247</v>
      </c>
      <c r="I1883">
        <v>20.4453</v>
      </c>
      <c r="J1883">
        <v>38.599200000000003</v>
      </c>
      <c r="K1883">
        <v>18.1538</v>
      </c>
      <c r="L1883">
        <v>237</v>
      </c>
      <c r="M1883">
        <v>2</v>
      </c>
      <c r="N1883">
        <v>8</v>
      </c>
      <c r="O1883">
        <v>37.9544</v>
      </c>
      <c r="P1883">
        <v>18.566099999999999</v>
      </c>
      <c r="Q1883">
        <v>7.3842600000000003</v>
      </c>
    </row>
    <row r="1884" spans="1:17" x14ac:dyDescent="0.25">
      <c r="A1884" t="str">
        <f>IF(C1884&amp;G1884&amp;D1884&lt;&gt;'Funnel setup'!$K$3&amp;'Funnel setup'!$K$4&amp;'Funnel setup'!$K$6,".",IF(A1883=".",1,A1883+1))</f>
        <v>.</v>
      </c>
      <c r="B1884" s="244" t="str">
        <f t="shared" si="29"/>
        <v>Knee Replacement PrimarySub-ICB of GP PracticeNHS CHESHIRE AND MERSEYSIDE ICB - 99A (99A)Oxford Knee Score</v>
      </c>
      <c r="C1884" t="s">
        <v>969</v>
      </c>
      <c r="D1884" t="s">
        <v>1021</v>
      </c>
      <c r="E1884" t="s">
        <v>785</v>
      </c>
      <c r="F1884" t="s">
        <v>786</v>
      </c>
      <c r="G1884" t="s">
        <v>972</v>
      </c>
      <c r="H1884">
        <v>49</v>
      </c>
      <c r="I1884">
        <v>15.6122</v>
      </c>
      <c r="J1884">
        <v>33.306100000000001</v>
      </c>
      <c r="K1884">
        <v>17.693899999999999</v>
      </c>
      <c r="L1884">
        <v>47</v>
      </c>
      <c r="M1884">
        <v>0</v>
      </c>
      <c r="N1884">
        <v>2</v>
      </c>
      <c r="O1884">
        <v>35.814799999999998</v>
      </c>
      <c r="P1884">
        <v>16.426400000000001</v>
      </c>
      <c r="Q1884">
        <v>9.2395399999999999</v>
      </c>
    </row>
    <row r="1885" spans="1:17" x14ac:dyDescent="0.25">
      <c r="A1885" t="str">
        <f>IF(C1885&amp;G1885&amp;D1885&lt;&gt;'Funnel setup'!$K$3&amp;'Funnel setup'!$K$4&amp;'Funnel setup'!$K$6,".",IF(A1884=".",1,A1884+1))</f>
        <v>.</v>
      </c>
      <c r="B1885" s="244" t="str">
        <f t="shared" si="29"/>
        <v>Knee Replacement PrimarySub-ICB of GP PracticeNHS CORNWALL AND THE ISLES OF SCILLY ICB - 11N (11N)Oxford Knee Score</v>
      </c>
      <c r="C1885" t="s">
        <v>969</v>
      </c>
      <c r="D1885" t="s">
        <v>1021</v>
      </c>
      <c r="E1885" t="s">
        <v>787</v>
      </c>
      <c r="F1885" t="s">
        <v>788</v>
      </c>
      <c r="G1885" t="s">
        <v>972</v>
      </c>
      <c r="H1885">
        <v>148</v>
      </c>
      <c r="I1885">
        <v>21.445900000000002</v>
      </c>
      <c r="J1885">
        <v>38.371600000000001</v>
      </c>
      <c r="K1885">
        <v>16.925699999999999</v>
      </c>
      <c r="L1885">
        <v>146</v>
      </c>
      <c r="M1885">
        <v>0</v>
      </c>
      <c r="N1885">
        <v>2</v>
      </c>
      <c r="O1885">
        <v>37.801000000000002</v>
      </c>
      <c r="P1885">
        <v>18.412700000000001</v>
      </c>
      <c r="Q1885">
        <v>7.04244</v>
      </c>
    </row>
    <row r="1886" spans="1:17" x14ac:dyDescent="0.25">
      <c r="A1886" t="str">
        <f>IF(C1886&amp;G1886&amp;D1886&lt;&gt;'Funnel setup'!$K$3&amp;'Funnel setup'!$K$4&amp;'Funnel setup'!$K$6,".",IF(A1885=".",1,A1885+1))</f>
        <v>.</v>
      </c>
      <c r="B1886" s="244" t="str">
        <f t="shared" si="29"/>
        <v>Knee Replacement PrimarySub-ICB of GP PracticeNHS COVENTRY AND WARWICKSHIRE ICB - B2M3M (B2M3M)Oxford Knee Score</v>
      </c>
      <c r="C1886" t="s">
        <v>969</v>
      </c>
      <c r="D1886" t="s">
        <v>1021</v>
      </c>
      <c r="E1886" t="s">
        <v>789</v>
      </c>
      <c r="F1886" t="s">
        <v>790</v>
      </c>
      <c r="G1886" t="s">
        <v>972</v>
      </c>
      <c r="H1886">
        <v>227</v>
      </c>
      <c r="I1886">
        <v>21.1145</v>
      </c>
      <c r="J1886">
        <v>38.334800000000001</v>
      </c>
      <c r="K1886">
        <v>17.220300000000002</v>
      </c>
      <c r="L1886">
        <v>220</v>
      </c>
      <c r="M1886">
        <v>1</v>
      </c>
      <c r="N1886">
        <v>6</v>
      </c>
      <c r="O1886">
        <v>37.393000000000001</v>
      </c>
      <c r="P1886">
        <v>18.0047</v>
      </c>
      <c r="Q1886">
        <v>8.0230700000000006</v>
      </c>
    </row>
    <row r="1887" spans="1:17" x14ac:dyDescent="0.25">
      <c r="A1887" t="str">
        <f>IF(C1887&amp;G1887&amp;D1887&lt;&gt;'Funnel setup'!$K$3&amp;'Funnel setup'!$K$4&amp;'Funnel setup'!$K$6,".",IF(A1886=".",1,A1886+1))</f>
        <v>.</v>
      </c>
      <c r="B1887" s="244" t="str">
        <f t="shared" si="29"/>
        <v>Knee Replacement PrimarySub-ICB of GP PracticeNHS DERBY AND DERBYSHIRE ICB - 15M (15M)Oxford Knee Score</v>
      </c>
      <c r="C1887" t="s">
        <v>969</v>
      </c>
      <c r="D1887" t="s">
        <v>1021</v>
      </c>
      <c r="E1887" t="s">
        <v>791</v>
      </c>
      <c r="F1887" t="s">
        <v>792</v>
      </c>
      <c r="G1887" t="s">
        <v>972</v>
      </c>
      <c r="H1887">
        <v>520</v>
      </c>
      <c r="I1887">
        <v>18.792300000000001</v>
      </c>
      <c r="J1887">
        <v>36.709600000000002</v>
      </c>
      <c r="K1887">
        <v>17.917300000000001</v>
      </c>
      <c r="L1887">
        <v>504</v>
      </c>
      <c r="M1887">
        <v>5</v>
      </c>
      <c r="N1887">
        <v>11</v>
      </c>
      <c r="O1887">
        <v>37.238599999999998</v>
      </c>
      <c r="P1887">
        <v>17.850300000000001</v>
      </c>
      <c r="Q1887">
        <v>8.3184500000000003</v>
      </c>
    </row>
    <row r="1888" spans="1:17" x14ac:dyDescent="0.25">
      <c r="A1888" t="str">
        <f>IF(C1888&amp;G1888&amp;D1888&lt;&gt;'Funnel setup'!$K$3&amp;'Funnel setup'!$K$4&amp;'Funnel setup'!$K$6,".",IF(A1887=".",1,A1887+1))</f>
        <v>.</v>
      </c>
      <c r="B1888" s="244" t="str">
        <f t="shared" si="29"/>
        <v>Knee Replacement PrimarySub-ICB of GP PracticeNHS DEVON ICB - 15N (15N)Oxford Knee Score</v>
      </c>
      <c r="C1888" t="s">
        <v>969</v>
      </c>
      <c r="D1888" t="s">
        <v>1021</v>
      </c>
      <c r="E1888" t="s">
        <v>793</v>
      </c>
      <c r="F1888" t="s">
        <v>794</v>
      </c>
      <c r="G1888" t="s">
        <v>972</v>
      </c>
      <c r="H1888">
        <v>387</v>
      </c>
      <c r="I1888">
        <v>19.9587</v>
      </c>
      <c r="J1888">
        <v>38.449599999999997</v>
      </c>
      <c r="K1888">
        <v>18.491</v>
      </c>
      <c r="L1888">
        <v>372</v>
      </c>
      <c r="M1888">
        <v>2</v>
      </c>
      <c r="N1888">
        <v>13</v>
      </c>
      <c r="O1888">
        <v>38.0687</v>
      </c>
      <c r="P1888">
        <v>18.680399999999999</v>
      </c>
      <c r="Q1888">
        <v>8.0179200000000002</v>
      </c>
    </row>
    <row r="1889" spans="1:17" x14ac:dyDescent="0.25">
      <c r="A1889" t="str">
        <f>IF(C1889&amp;G1889&amp;D1889&lt;&gt;'Funnel setup'!$K$3&amp;'Funnel setup'!$K$4&amp;'Funnel setup'!$K$6,".",IF(A1888=".",1,A1888+1))</f>
        <v>.</v>
      </c>
      <c r="B1889" s="244" t="str">
        <f t="shared" si="29"/>
        <v>Knee Replacement PrimarySub-ICB of GP PracticeNHS DORSET ICB - 11J (11J)Oxford Knee Score</v>
      </c>
      <c r="C1889" t="s">
        <v>969</v>
      </c>
      <c r="D1889" t="s">
        <v>1021</v>
      </c>
      <c r="E1889" t="s">
        <v>795</v>
      </c>
      <c r="F1889" t="s">
        <v>796</v>
      </c>
      <c r="G1889" t="s">
        <v>972</v>
      </c>
      <c r="H1889">
        <v>271</v>
      </c>
      <c r="I1889">
        <v>20.712199999999999</v>
      </c>
      <c r="J1889">
        <v>38.664200000000001</v>
      </c>
      <c r="K1889">
        <v>17.952000000000002</v>
      </c>
      <c r="L1889">
        <v>260</v>
      </c>
      <c r="M1889">
        <v>1</v>
      </c>
      <c r="N1889">
        <v>10</v>
      </c>
      <c r="O1889">
        <v>37.902999999999999</v>
      </c>
      <c r="P1889">
        <v>18.514700000000001</v>
      </c>
      <c r="Q1889">
        <v>7.5279100000000003</v>
      </c>
    </row>
    <row r="1890" spans="1:17" x14ac:dyDescent="0.25">
      <c r="A1890" t="str">
        <f>IF(C1890&amp;G1890&amp;D1890&lt;&gt;'Funnel setup'!$K$3&amp;'Funnel setup'!$K$4&amp;'Funnel setup'!$K$6,".",IF(A1889=".",1,A1889+1))</f>
        <v>.</v>
      </c>
      <c r="B1890" s="244" t="str">
        <f t="shared" si="29"/>
        <v>Knee Replacement PrimarySub-ICB of GP PracticeNHS FRIMLEY ICB - D4U1Y (D4U1Y)Oxford Knee Score</v>
      </c>
      <c r="C1890" t="s">
        <v>969</v>
      </c>
      <c r="D1890" t="s">
        <v>1021</v>
      </c>
      <c r="E1890" t="s">
        <v>797</v>
      </c>
      <c r="F1890" t="s">
        <v>798</v>
      </c>
      <c r="G1890" t="s">
        <v>972</v>
      </c>
      <c r="H1890">
        <v>189</v>
      </c>
      <c r="I1890">
        <v>21.492100000000001</v>
      </c>
      <c r="J1890">
        <v>36.052900000000001</v>
      </c>
      <c r="K1890">
        <v>14.5608</v>
      </c>
      <c r="L1890">
        <v>174</v>
      </c>
      <c r="M1890">
        <v>5</v>
      </c>
      <c r="N1890">
        <v>10</v>
      </c>
      <c r="O1890">
        <v>35.029699999999998</v>
      </c>
      <c r="P1890">
        <v>15.641299999999999</v>
      </c>
      <c r="Q1890">
        <v>8.1840899999999994</v>
      </c>
    </row>
    <row r="1891" spans="1:17" x14ac:dyDescent="0.25">
      <c r="A1891" t="str">
        <f>IF(C1891&amp;G1891&amp;D1891&lt;&gt;'Funnel setup'!$K$3&amp;'Funnel setup'!$K$4&amp;'Funnel setup'!$K$6,".",IF(A1890=".",1,A1890+1))</f>
        <v>.</v>
      </c>
      <c r="B1891" s="244" t="str">
        <f t="shared" si="29"/>
        <v>Knee Replacement PrimarySub-ICB of GP PracticeNHS GLOUCESTERSHIRE ICB - 11M (11M)Oxford Knee Score</v>
      </c>
      <c r="C1891" t="s">
        <v>969</v>
      </c>
      <c r="D1891" t="s">
        <v>1021</v>
      </c>
      <c r="E1891" t="s">
        <v>799</v>
      </c>
      <c r="F1891" t="s">
        <v>800</v>
      </c>
      <c r="G1891" t="s">
        <v>972</v>
      </c>
      <c r="H1891">
        <v>159</v>
      </c>
      <c r="I1891">
        <v>19.2956</v>
      </c>
      <c r="J1891">
        <v>38.138399999999997</v>
      </c>
      <c r="K1891">
        <v>18.8428</v>
      </c>
      <c r="L1891">
        <v>152</v>
      </c>
      <c r="M1891">
        <v>0</v>
      </c>
      <c r="N1891">
        <v>7</v>
      </c>
      <c r="O1891">
        <v>37.764800000000001</v>
      </c>
      <c r="P1891">
        <v>18.3765</v>
      </c>
      <c r="Q1891">
        <v>7.9185699999999999</v>
      </c>
    </row>
    <row r="1892" spans="1:17" x14ac:dyDescent="0.25">
      <c r="A1892" t="str">
        <f>IF(C1892&amp;G1892&amp;D1892&lt;&gt;'Funnel setup'!$K$3&amp;'Funnel setup'!$K$4&amp;'Funnel setup'!$K$6,".",IF(A1891=".",1,A1891+1))</f>
        <v>.</v>
      </c>
      <c r="B1892" s="244" t="str">
        <f t="shared" si="29"/>
        <v>Knee Replacement PrimarySub-ICB of GP PracticeNHS GREATER MANCHESTER ICB - 00T (00T)Oxford Knee Score</v>
      </c>
      <c r="C1892" t="s">
        <v>969</v>
      </c>
      <c r="D1892" t="s">
        <v>1021</v>
      </c>
      <c r="E1892" t="s">
        <v>801</v>
      </c>
      <c r="F1892" t="s">
        <v>802</v>
      </c>
      <c r="G1892" t="s">
        <v>972</v>
      </c>
      <c r="H1892">
        <v>92</v>
      </c>
      <c r="I1892">
        <v>20.043500000000002</v>
      </c>
      <c r="J1892">
        <v>36.847799999999999</v>
      </c>
      <c r="K1892">
        <v>16.804300000000001</v>
      </c>
      <c r="L1892">
        <v>87</v>
      </c>
      <c r="M1892">
        <v>0</v>
      </c>
      <c r="N1892">
        <v>5</v>
      </c>
      <c r="O1892">
        <v>36.962299999999999</v>
      </c>
      <c r="P1892">
        <v>17.574000000000002</v>
      </c>
      <c r="Q1892">
        <v>8.8471499999999992</v>
      </c>
    </row>
    <row r="1893" spans="1:17" x14ac:dyDescent="0.25">
      <c r="A1893" t="str">
        <f>IF(C1893&amp;G1893&amp;D1893&lt;&gt;'Funnel setup'!$K$3&amp;'Funnel setup'!$K$4&amp;'Funnel setup'!$K$6,".",IF(A1892=".",1,A1892+1))</f>
        <v>.</v>
      </c>
      <c r="B1893" s="244" t="str">
        <f t="shared" si="29"/>
        <v>Knee Replacement PrimarySub-ICB of GP PracticeNHS GREATER MANCHESTER ICB - 00V (00V)Oxford Knee Score</v>
      </c>
      <c r="C1893" t="s">
        <v>969</v>
      </c>
      <c r="D1893" t="s">
        <v>1021</v>
      </c>
      <c r="E1893" t="s">
        <v>803</v>
      </c>
      <c r="F1893" t="s">
        <v>804</v>
      </c>
      <c r="G1893" t="s">
        <v>972</v>
      </c>
      <c r="H1893">
        <v>17</v>
      </c>
      <c r="I1893">
        <v>18.235299999999999</v>
      </c>
      <c r="J1893">
        <v>35.2941</v>
      </c>
      <c r="K1893">
        <v>17.058800000000002</v>
      </c>
      <c r="L1893">
        <v>16</v>
      </c>
      <c r="M1893">
        <v>1</v>
      </c>
      <c r="N1893">
        <v>0</v>
      </c>
      <c r="O1893" t="s">
        <v>127</v>
      </c>
      <c r="P1893" t="s">
        <v>127</v>
      </c>
      <c r="Q1893" t="s">
        <v>127</v>
      </c>
    </row>
    <row r="1894" spans="1:17" x14ac:dyDescent="0.25">
      <c r="A1894" t="str">
        <f>IF(C1894&amp;G1894&amp;D1894&lt;&gt;'Funnel setup'!$K$3&amp;'Funnel setup'!$K$4&amp;'Funnel setup'!$K$6,".",IF(A1893=".",1,A1893+1))</f>
        <v>.</v>
      </c>
      <c r="B1894" s="244" t="str">
        <f t="shared" si="29"/>
        <v>Knee Replacement PrimarySub-ICB of GP PracticeNHS GREATER MANCHESTER ICB - 00Y (00Y)Oxford Knee Score</v>
      </c>
      <c r="C1894" t="s">
        <v>969</v>
      </c>
      <c r="D1894" t="s">
        <v>1021</v>
      </c>
      <c r="E1894" t="s">
        <v>805</v>
      </c>
      <c r="F1894" t="s">
        <v>806</v>
      </c>
      <c r="G1894" t="s">
        <v>972</v>
      </c>
      <c r="H1894">
        <v>68</v>
      </c>
      <c r="I1894">
        <v>19.485299999999999</v>
      </c>
      <c r="J1894">
        <v>36.9559</v>
      </c>
      <c r="K1894">
        <v>17.470600000000001</v>
      </c>
      <c r="L1894">
        <v>63</v>
      </c>
      <c r="M1894">
        <v>0</v>
      </c>
      <c r="N1894">
        <v>5</v>
      </c>
      <c r="O1894">
        <v>36.419800000000002</v>
      </c>
      <c r="P1894">
        <v>17.031500000000001</v>
      </c>
      <c r="Q1894">
        <v>8.8865400000000001</v>
      </c>
    </row>
    <row r="1895" spans="1:17" x14ac:dyDescent="0.25">
      <c r="A1895" t="str">
        <f>IF(C1895&amp;G1895&amp;D1895&lt;&gt;'Funnel setup'!$K$3&amp;'Funnel setup'!$K$4&amp;'Funnel setup'!$K$6,".",IF(A1894=".",1,A1894+1))</f>
        <v>.</v>
      </c>
      <c r="B1895" s="244" t="str">
        <f t="shared" si="29"/>
        <v>Knee Replacement PrimarySub-ICB of GP PracticeNHS GREATER MANCHESTER ICB - 01D (01D)Oxford Knee Score</v>
      </c>
      <c r="C1895" t="s">
        <v>969</v>
      </c>
      <c r="D1895" t="s">
        <v>1021</v>
      </c>
      <c r="E1895" t="s">
        <v>807</v>
      </c>
      <c r="F1895" t="s">
        <v>808</v>
      </c>
      <c r="G1895" t="s">
        <v>972</v>
      </c>
      <c r="H1895">
        <v>21</v>
      </c>
      <c r="I1895">
        <v>20.8095</v>
      </c>
      <c r="J1895">
        <v>36.714300000000001</v>
      </c>
      <c r="K1895">
        <v>15.9048</v>
      </c>
      <c r="L1895">
        <v>20</v>
      </c>
      <c r="M1895">
        <v>0</v>
      </c>
      <c r="N1895">
        <v>1</v>
      </c>
      <c r="O1895" t="s">
        <v>127</v>
      </c>
      <c r="P1895" t="s">
        <v>127</v>
      </c>
      <c r="Q1895" t="s">
        <v>127</v>
      </c>
    </row>
    <row r="1896" spans="1:17" x14ac:dyDescent="0.25">
      <c r="A1896" t="str">
        <f>IF(C1896&amp;G1896&amp;D1896&lt;&gt;'Funnel setup'!$K$3&amp;'Funnel setup'!$K$4&amp;'Funnel setup'!$K$6,".",IF(A1895=".",1,A1895+1))</f>
        <v>.</v>
      </c>
      <c r="B1896" s="244" t="str">
        <f t="shared" si="29"/>
        <v>Knee Replacement PrimarySub-ICB of GP PracticeNHS GREATER MANCHESTER ICB - 01G (01G)Oxford Knee Score</v>
      </c>
      <c r="C1896" t="s">
        <v>969</v>
      </c>
      <c r="D1896" t="s">
        <v>1021</v>
      </c>
      <c r="E1896" t="s">
        <v>809</v>
      </c>
      <c r="F1896" t="s">
        <v>810</v>
      </c>
      <c r="G1896" t="s">
        <v>972</v>
      </c>
      <c r="H1896">
        <v>62</v>
      </c>
      <c r="I1896">
        <v>17.629000000000001</v>
      </c>
      <c r="J1896">
        <v>35.403199999999998</v>
      </c>
      <c r="K1896">
        <v>17.7742</v>
      </c>
      <c r="L1896">
        <v>60</v>
      </c>
      <c r="M1896">
        <v>0</v>
      </c>
      <c r="N1896">
        <v>2</v>
      </c>
      <c r="O1896">
        <v>36.774999999999999</v>
      </c>
      <c r="P1896">
        <v>17.386700000000001</v>
      </c>
      <c r="Q1896">
        <v>9.2828499999999998</v>
      </c>
    </row>
    <row r="1897" spans="1:17" x14ac:dyDescent="0.25">
      <c r="A1897" t="str">
        <f>IF(C1897&amp;G1897&amp;D1897&lt;&gt;'Funnel setup'!$K$3&amp;'Funnel setup'!$K$4&amp;'Funnel setup'!$K$6,".",IF(A1896=".",1,A1896+1))</f>
        <v>.</v>
      </c>
      <c r="B1897" s="244" t="str">
        <f t="shared" si="29"/>
        <v>Knee Replacement PrimarySub-ICB of GP PracticeNHS GREATER MANCHESTER ICB - 01W (01W)Oxford Knee Score</v>
      </c>
      <c r="C1897" t="s">
        <v>969</v>
      </c>
      <c r="D1897" t="s">
        <v>1021</v>
      </c>
      <c r="E1897" t="s">
        <v>811</v>
      </c>
      <c r="F1897" t="s">
        <v>812</v>
      </c>
      <c r="G1897" t="s">
        <v>972</v>
      </c>
      <c r="H1897">
        <v>57</v>
      </c>
      <c r="I1897">
        <v>20.7544</v>
      </c>
      <c r="J1897">
        <v>37.298200000000001</v>
      </c>
      <c r="K1897">
        <v>16.543900000000001</v>
      </c>
      <c r="L1897">
        <v>55</v>
      </c>
      <c r="M1897">
        <v>0</v>
      </c>
      <c r="N1897">
        <v>2</v>
      </c>
      <c r="O1897">
        <v>36.382399999999997</v>
      </c>
      <c r="P1897">
        <v>16.9941</v>
      </c>
      <c r="Q1897">
        <v>8.7290799999999997</v>
      </c>
    </row>
    <row r="1898" spans="1:17" x14ac:dyDescent="0.25">
      <c r="A1898" t="str">
        <f>IF(C1898&amp;G1898&amp;D1898&lt;&gt;'Funnel setup'!$K$3&amp;'Funnel setup'!$K$4&amp;'Funnel setup'!$K$6,".",IF(A1897=".",1,A1897+1))</f>
        <v>.</v>
      </c>
      <c r="B1898" s="244" t="str">
        <f t="shared" si="29"/>
        <v>Knee Replacement PrimarySub-ICB of GP PracticeNHS GREATER MANCHESTER ICB - 01Y (01Y)Oxford Knee Score</v>
      </c>
      <c r="C1898" t="s">
        <v>969</v>
      </c>
      <c r="D1898" t="s">
        <v>1021</v>
      </c>
      <c r="E1898" t="s">
        <v>813</v>
      </c>
      <c r="F1898" t="s">
        <v>814</v>
      </c>
      <c r="G1898" t="s">
        <v>972</v>
      </c>
      <c r="H1898">
        <v>28</v>
      </c>
      <c r="I1898">
        <v>17.571400000000001</v>
      </c>
      <c r="J1898">
        <v>35.5</v>
      </c>
      <c r="K1898">
        <v>17.928599999999999</v>
      </c>
      <c r="L1898">
        <v>26</v>
      </c>
      <c r="M1898">
        <v>0</v>
      </c>
      <c r="N1898">
        <v>2</v>
      </c>
      <c r="O1898" t="s">
        <v>127</v>
      </c>
      <c r="P1898" t="s">
        <v>127</v>
      </c>
      <c r="Q1898" t="s">
        <v>127</v>
      </c>
    </row>
    <row r="1899" spans="1:17" x14ac:dyDescent="0.25">
      <c r="A1899" t="str">
        <f>IF(C1899&amp;G1899&amp;D1899&lt;&gt;'Funnel setup'!$K$3&amp;'Funnel setup'!$K$4&amp;'Funnel setup'!$K$6,".",IF(A1898=".",1,A1898+1))</f>
        <v>.</v>
      </c>
      <c r="B1899" s="244" t="str">
        <f t="shared" si="29"/>
        <v>Knee Replacement PrimarySub-ICB of GP PracticeNHS GREATER MANCHESTER ICB - 02A (02A)Oxford Knee Score</v>
      </c>
      <c r="C1899" t="s">
        <v>969</v>
      </c>
      <c r="D1899" t="s">
        <v>1021</v>
      </c>
      <c r="E1899" t="s">
        <v>815</v>
      </c>
      <c r="F1899" t="s">
        <v>816</v>
      </c>
      <c r="G1899" t="s">
        <v>972</v>
      </c>
      <c r="H1899">
        <v>87</v>
      </c>
      <c r="I1899">
        <v>18.229900000000001</v>
      </c>
      <c r="J1899">
        <v>34.321800000000003</v>
      </c>
      <c r="K1899">
        <v>16.091999999999999</v>
      </c>
      <c r="L1899">
        <v>80</v>
      </c>
      <c r="M1899">
        <v>0</v>
      </c>
      <c r="N1899">
        <v>7</v>
      </c>
      <c r="O1899">
        <v>34.5441</v>
      </c>
      <c r="P1899">
        <v>15.155799999999999</v>
      </c>
      <c r="Q1899">
        <v>9.7244799999999998</v>
      </c>
    </row>
    <row r="1900" spans="1:17" x14ac:dyDescent="0.25">
      <c r="A1900" t="str">
        <f>IF(C1900&amp;G1900&amp;D1900&lt;&gt;'Funnel setup'!$K$3&amp;'Funnel setup'!$K$4&amp;'Funnel setup'!$K$6,".",IF(A1899=".",1,A1899+1))</f>
        <v>.</v>
      </c>
      <c r="B1900" s="244" t="str">
        <f t="shared" si="29"/>
        <v>Knee Replacement PrimarySub-ICB of GP PracticeNHS GREATER MANCHESTER ICB - 02H (02H)Oxford Knee Score</v>
      </c>
      <c r="C1900" t="s">
        <v>969</v>
      </c>
      <c r="D1900" t="s">
        <v>1021</v>
      </c>
      <c r="E1900" t="s">
        <v>817</v>
      </c>
      <c r="F1900" t="s">
        <v>818</v>
      </c>
      <c r="G1900" t="s">
        <v>972</v>
      </c>
      <c r="H1900">
        <v>28</v>
      </c>
      <c r="I1900">
        <v>18.892900000000001</v>
      </c>
      <c r="J1900">
        <v>37.321399999999997</v>
      </c>
      <c r="K1900">
        <v>18.428599999999999</v>
      </c>
      <c r="L1900">
        <v>27</v>
      </c>
      <c r="M1900">
        <v>0</v>
      </c>
      <c r="N1900">
        <v>1</v>
      </c>
      <c r="O1900" t="s">
        <v>127</v>
      </c>
      <c r="P1900" t="s">
        <v>127</v>
      </c>
      <c r="Q1900" t="s">
        <v>127</v>
      </c>
    </row>
    <row r="1901" spans="1:17" x14ac:dyDescent="0.25">
      <c r="A1901" t="str">
        <f>IF(C1901&amp;G1901&amp;D1901&lt;&gt;'Funnel setup'!$K$3&amp;'Funnel setup'!$K$4&amp;'Funnel setup'!$K$6,".",IF(A1900=".",1,A1900+1))</f>
        <v>.</v>
      </c>
      <c r="B1901" s="244" t="str">
        <f t="shared" si="29"/>
        <v>Knee Replacement PrimarySub-ICB of GP PracticeNHS GREATER MANCHESTER ICB - 14L (14L)Oxford Knee Score</v>
      </c>
      <c r="C1901" t="s">
        <v>969</v>
      </c>
      <c r="D1901" t="s">
        <v>1021</v>
      </c>
      <c r="E1901" t="s">
        <v>819</v>
      </c>
      <c r="F1901" t="s">
        <v>820</v>
      </c>
      <c r="G1901" t="s">
        <v>972</v>
      </c>
      <c r="H1901">
        <v>57</v>
      </c>
      <c r="I1901">
        <v>17.368400000000001</v>
      </c>
      <c r="J1901">
        <v>34.017499999999998</v>
      </c>
      <c r="K1901">
        <v>16.649100000000001</v>
      </c>
      <c r="L1901">
        <v>54</v>
      </c>
      <c r="M1901">
        <v>0</v>
      </c>
      <c r="N1901">
        <v>3</v>
      </c>
      <c r="O1901">
        <v>36.706600000000002</v>
      </c>
      <c r="P1901">
        <v>17.318200000000001</v>
      </c>
      <c r="Q1901">
        <v>8.4775100000000005</v>
      </c>
    </row>
    <row r="1902" spans="1:17" x14ac:dyDescent="0.25">
      <c r="A1902" t="str">
        <f>IF(C1902&amp;G1902&amp;D1902&lt;&gt;'Funnel setup'!$K$3&amp;'Funnel setup'!$K$4&amp;'Funnel setup'!$K$6,".",IF(A1901=".",1,A1901+1))</f>
        <v>.</v>
      </c>
      <c r="B1902" s="244" t="str">
        <f t="shared" si="29"/>
        <v>Knee Replacement PrimarySub-ICB of GP PracticeNHS HAMPSHIRE AND ISLE OF WIGHT ICB - 10R (10R)Oxford Knee Score</v>
      </c>
      <c r="C1902" t="s">
        <v>969</v>
      </c>
      <c r="D1902" t="s">
        <v>1021</v>
      </c>
      <c r="E1902" t="s">
        <v>821</v>
      </c>
      <c r="F1902" t="s">
        <v>822</v>
      </c>
      <c r="G1902" t="s">
        <v>972</v>
      </c>
      <c r="H1902">
        <v>11</v>
      </c>
      <c r="I1902">
        <v>19.363600000000002</v>
      </c>
      <c r="J1902">
        <v>34.181800000000003</v>
      </c>
      <c r="K1902">
        <v>14.818199999999999</v>
      </c>
      <c r="L1902">
        <v>11</v>
      </c>
      <c r="M1902">
        <v>0</v>
      </c>
      <c r="N1902">
        <v>0</v>
      </c>
      <c r="O1902" t="s">
        <v>127</v>
      </c>
      <c r="P1902" t="s">
        <v>127</v>
      </c>
      <c r="Q1902" t="s">
        <v>127</v>
      </c>
    </row>
    <row r="1903" spans="1:17" x14ac:dyDescent="0.25">
      <c r="A1903" t="str">
        <f>IF(C1903&amp;G1903&amp;D1903&lt;&gt;'Funnel setup'!$K$3&amp;'Funnel setup'!$K$4&amp;'Funnel setup'!$K$6,".",IF(A1902=".",1,A1902+1))</f>
        <v>.</v>
      </c>
      <c r="B1903" s="244" t="str">
        <f t="shared" si="29"/>
        <v>Knee Replacement PrimarySub-ICB of GP PracticeNHS HAMPSHIRE AND ISLE OF WIGHT ICB - D9Y0V (D9Y0V)Oxford Knee Score</v>
      </c>
      <c r="C1903" t="s">
        <v>969</v>
      </c>
      <c r="D1903" t="s">
        <v>1021</v>
      </c>
      <c r="E1903" t="s">
        <v>823</v>
      </c>
      <c r="F1903" t="s">
        <v>824</v>
      </c>
      <c r="G1903" t="s">
        <v>972</v>
      </c>
      <c r="H1903">
        <v>360</v>
      </c>
      <c r="I1903">
        <v>21.038900000000002</v>
      </c>
      <c r="J1903">
        <v>38.230600000000003</v>
      </c>
      <c r="K1903">
        <v>17.191700000000001</v>
      </c>
      <c r="L1903">
        <v>341</v>
      </c>
      <c r="M1903">
        <v>3</v>
      </c>
      <c r="N1903">
        <v>16</v>
      </c>
      <c r="O1903">
        <v>37.120100000000001</v>
      </c>
      <c r="P1903">
        <v>17.7318</v>
      </c>
      <c r="Q1903">
        <v>7.9612400000000001</v>
      </c>
    </row>
    <row r="1904" spans="1:17" x14ac:dyDescent="0.25">
      <c r="A1904" t="str">
        <f>IF(C1904&amp;G1904&amp;D1904&lt;&gt;'Funnel setup'!$K$3&amp;'Funnel setup'!$K$4&amp;'Funnel setup'!$K$6,".",IF(A1903=".",1,A1903+1))</f>
        <v>.</v>
      </c>
      <c r="B1904" s="244" t="str">
        <f t="shared" si="29"/>
        <v>Knee Replacement PrimarySub-ICB of GP PracticeNHS HEREFORDSHIRE AND WORCESTERSHIRE ICB - 18C (18C)Oxford Knee Score</v>
      </c>
      <c r="C1904" t="s">
        <v>969</v>
      </c>
      <c r="D1904" t="s">
        <v>1021</v>
      </c>
      <c r="E1904" t="s">
        <v>825</v>
      </c>
      <c r="F1904" t="s">
        <v>826</v>
      </c>
      <c r="G1904" t="s">
        <v>972</v>
      </c>
      <c r="H1904">
        <v>207</v>
      </c>
      <c r="I1904">
        <v>18.0242</v>
      </c>
      <c r="J1904">
        <v>37.207700000000003</v>
      </c>
      <c r="K1904">
        <v>19.183599999999998</v>
      </c>
      <c r="L1904">
        <v>199</v>
      </c>
      <c r="M1904">
        <v>0</v>
      </c>
      <c r="N1904">
        <v>8</v>
      </c>
      <c r="O1904">
        <v>37.541899999999998</v>
      </c>
      <c r="P1904">
        <v>18.153600000000001</v>
      </c>
      <c r="Q1904">
        <v>8.3721599999999992</v>
      </c>
    </row>
    <row r="1905" spans="1:17" x14ac:dyDescent="0.25">
      <c r="A1905" t="str">
        <f>IF(C1905&amp;G1905&amp;D1905&lt;&gt;'Funnel setup'!$K$3&amp;'Funnel setup'!$K$4&amp;'Funnel setup'!$K$6,".",IF(A1904=".",1,A1904+1))</f>
        <v>.</v>
      </c>
      <c r="B1905" s="244" t="str">
        <f t="shared" si="29"/>
        <v>Knee Replacement PrimarySub-ICB of GP PracticeNHS HERTFORDSHIRE AND WEST ESSEX ICB - 06K (06K)Oxford Knee Score</v>
      </c>
      <c r="C1905" t="s">
        <v>969</v>
      </c>
      <c r="D1905" t="s">
        <v>1021</v>
      </c>
      <c r="E1905" t="s">
        <v>827</v>
      </c>
      <c r="F1905" t="s">
        <v>828</v>
      </c>
      <c r="G1905" t="s">
        <v>972</v>
      </c>
      <c r="H1905">
        <v>98</v>
      </c>
      <c r="I1905">
        <v>19.877600000000001</v>
      </c>
      <c r="J1905">
        <v>36.653100000000002</v>
      </c>
      <c r="K1905">
        <v>16.775500000000001</v>
      </c>
      <c r="L1905">
        <v>88</v>
      </c>
      <c r="M1905">
        <v>2</v>
      </c>
      <c r="N1905">
        <v>8</v>
      </c>
      <c r="O1905">
        <v>36.269799999999996</v>
      </c>
      <c r="P1905">
        <v>16.881499999999999</v>
      </c>
      <c r="Q1905">
        <v>9.4622700000000002</v>
      </c>
    </row>
    <row r="1906" spans="1:17" x14ac:dyDescent="0.25">
      <c r="A1906" t="str">
        <f>IF(C1906&amp;G1906&amp;D1906&lt;&gt;'Funnel setup'!$K$3&amp;'Funnel setup'!$K$4&amp;'Funnel setup'!$K$6,".",IF(A1905=".",1,A1905+1))</f>
        <v>.</v>
      </c>
      <c r="B1906" s="244" t="str">
        <f t="shared" si="29"/>
        <v>Knee Replacement PrimarySub-ICB of GP PracticeNHS HERTFORDSHIRE AND WEST ESSEX ICB - 06N (06N)Oxford Knee Score</v>
      </c>
      <c r="C1906" t="s">
        <v>969</v>
      </c>
      <c r="D1906" t="s">
        <v>1021</v>
      </c>
      <c r="E1906" t="s">
        <v>829</v>
      </c>
      <c r="F1906" t="s">
        <v>830</v>
      </c>
      <c r="G1906" t="s">
        <v>972</v>
      </c>
      <c r="H1906">
        <v>113</v>
      </c>
      <c r="I1906">
        <v>21.1327</v>
      </c>
      <c r="J1906">
        <v>37.1327</v>
      </c>
      <c r="K1906">
        <v>16</v>
      </c>
      <c r="L1906">
        <v>105</v>
      </c>
      <c r="M1906">
        <v>1</v>
      </c>
      <c r="N1906">
        <v>7</v>
      </c>
      <c r="O1906">
        <v>36.059800000000003</v>
      </c>
      <c r="P1906">
        <v>16.671399999999998</v>
      </c>
      <c r="Q1906">
        <v>8.5781799999999997</v>
      </c>
    </row>
    <row r="1907" spans="1:17" x14ac:dyDescent="0.25">
      <c r="A1907" t="str">
        <f>IF(C1907&amp;G1907&amp;D1907&lt;&gt;'Funnel setup'!$K$3&amp;'Funnel setup'!$K$4&amp;'Funnel setup'!$K$6,".",IF(A1906=".",1,A1906+1))</f>
        <v>.</v>
      </c>
      <c r="B1907" s="244" t="str">
        <f t="shared" si="29"/>
        <v>Knee Replacement PrimarySub-ICB of GP PracticeNHS HERTFORDSHIRE AND WEST ESSEX ICB - 07H (07H)Oxford Knee Score</v>
      </c>
      <c r="C1907" t="s">
        <v>969</v>
      </c>
      <c r="D1907" t="s">
        <v>1021</v>
      </c>
      <c r="E1907" t="s">
        <v>831</v>
      </c>
      <c r="F1907" t="s">
        <v>832</v>
      </c>
      <c r="G1907" t="s">
        <v>972</v>
      </c>
      <c r="H1907">
        <v>66</v>
      </c>
      <c r="I1907">
        <v>18.121200000000002</v>
      </c>
      <c r="J1907">
        <v>36.651499999999999</v>
      </c>
      <c r="K1907">
        <v>18.5303</v>
      </c>
      <c r="L1907">
        <v>65</v>
      </c>
      <c r="M1907">
        <v>0</v>
      </c>
      <c r="N1907">
        <v>1</v>
      </c>
      <c r="O1907">
        <v>36.498100000000001</v>
      </c>
      <c r="P1907">
        <v>17.1098</v>
      </c>
      <c r="Q1907">
        <v>8.1166599999999995</v>
      </c>
    </row>
    <row r="1908" spans="1:17" x14ac:dyDescent="0.25">
      <c r="A1908" t="str">
        <f>IF(C1908&amp;G1908&amp;D1908&lt;&gt;'Funnel setup'!$K$3&amp;'Funnel setup'!$K$4&amp;'Funnel setup'!$K$6,".",IF(A1907=".",1,A1907+1))</f>
        <v>.</v>
      </c>
      <c r="B1908" s="244" t="str">
        <f t="shared" si="29"/>
        <v>Knee Replacement PrimarySub-ICB of GP PracticeNHS HUMBER AND NORTH YORKSHIRE ICB - 02Y (02Y)Oxford Knee Score</v>
      </c>
      <c r="C1908" t="s">
        <v>969</v>
      </c>
      <c r="D1908" t="s">
        <v>1021</v>
      </c>
      <c r="E1908" t="s">
        <v>833</v>
      </c>
      <c r="F1908" t="s">
        <v>834</v>
      </c>
      <c r="G1908" t="s">
        <v>972</v>
      </c>
      <c r="H1908">
        <v>78</v>
      </c>
      <c r="I1908">
        <v>20.576899999999998</v>
      </c>
      <c r="J1908">
        <v>35.679499999999997</v>
      </c>
      <c r="K1908">
        <v>15.102600000000001</v>
      </c>
      <c r="L1908">
        <v>72</v>
      </c>
      <c r="M1908">
        <v>1</v>
      </c>
      <c r="N1908">
        <v>5</v>
      </c>
      <c r="O1908">
        <v>35.2622</v>
      </c>
      <c r="P1908">
        <v>15.873900000000001</v>
      </c>
      <c r="Q1908">
        <v>9.4833099999999995</v>
      </c>
    </row>
    <row r="1909" spans="1:17" x14ac:dyDescent="0.25">
      <c r="A1909" t="str">
        <f>IF(C1909&amp;G1909&amp;D1909&lt;&gt;'Funnel setup'!$K$3&amp;'Funnel setup'!$K$4&amp;'Funnel setup'!$K$6,".",IF(A1908=".",1,A1908+1))</f>
        <v>.</v>
      </c>
      <c r="B1909" s="244" t="str">
        <f t="shared" si="29"/>
        <v>Knee Replacement PrimarySub-ICB of GP PracticeNHS HUMBER AND NORTH YORKSHIRE ICB - 03F (03F)Oxford Knee Score</v>
      </c>
      <c r="C1909" t="s">
        <v>969</v>
      </c>
      <c r="D1909" t="s">
        <v>1021</v>
      </c>
      <c r="E1909" t="s">
        <v>835</v>
      </c>
      <c r="F1909" t="s">
        <v>836</v>
      </c>
      <c r="G1909" t="s">
        <v>972</v>
      </c>
      <c r="H1909">
        <v>26</v>
      </c>
      <c r="I1909">
        <v>17.8462</v>
      </c>
      <c r="J1909">
        <v>37.538499999999999</v>
      </c>
      <c r="K1909">
        <v>19.692299999999999</v>
      </c>
      <c r="L1909">
        <v>26</v>
      </c>
      <c r="M1909">
        <v>0</v>
      </c>
      <c r="N1909">
        <v>0</v>
      </c>
      <c r="O1909" t="s">
        <v>127</v>
      </c>
      <c r="P1909" t="s">
        <v>127</v>
      </c>
      <c r="Q1909" t="s">
        <v>127</v>
      </c>
    </row>
    <row r="1910" spans="1:17" x14ac:dyDescent="0.25">
      <c r="A1910" t="str">
        <f>IF(C1910&amp;G1910&amp;D1910&lt;&gt;'Funnel setup'!$K$3&amp;'Funnel setup'!$K$4&amp;'Funnel setup'!$K$6,".",IF(A1909=".",1,A1909+1))</f>
        <v>.</v>
      </c>
      <c r="B1910" s="244" t="str">
        <f t="shared" si="29"/>
        <v>Knee Replacement PrimarySub-ICB of GP PracticeNHS HUMBER AND NORTH YORKSHIRE ICB - 03H (03H)Oxford Knee Score</v>
      </c>
      <c r="C1910" t="s">
        <v>969</v>
      </c>
      <c r="D1910" t="s">
        <v>1021</v>
      </c>
      <c r="E1910" t="s">
        <v>837</v>
      </c>
      <c r="F1910" t="s">
        <v>838</v>
      </c>
      <c r="G1910" t="s">
        <v>972</v>
      </c>
      <c r="H1910">
        <v>80</v>
      </c>
      <c r="I1910">
        <v>20.037500000000001</v>
      </c>
      <c r="J1910">
        <v>36.799999999999997</v>
      </c>
      <c r="K1910">
        <v>16.762499999999999</v>
      </c>
      <c r="L1910">
        <v>76</v>
      </c>
      <c r="M1910">
        <v>2</v>
      </c>
      <c r="N1910">
        <v>2</v>
      </c>
      <c r="O1910">
        <v>36.276400000000002</v>
      </c>
      <c r="P1910">
        <v>16.888100000000001</v>
      </c>
      <c r="Q1910">
        <v>7.5641299999999996</v>
      </c>
    </row>
    <row r="1911" spans="1:17" x14ac:dyDescent="0.25">
      <c r="A1911" t="str">
        <f>IF(C1911&amp;G1911&amp;D1911&lt;&gt;'Funnel setup'!$K$3&amp;'Funnel setup'!$K$4&amp;'Funnel setup'!$K$6,".",IF(A1910=".",1,A1910+1))</f>
        <v>.</v>
      </c>
      <c r="B1911" s="244" t="str">
        <f t="shared" si="29"/>
        <v>Knee Replacement PrimarySub-ICB of GP PracticeNHS HUMBER AND NORTH YORKSHIRE ICB - 03K (03K)Oxford Knee Score</v>
      </c>
      <c r="C1911" t="s">
        <v>969</v>
      </c>
      <c r="D1911" t="s">
        <v>1021</v>
      </c>
      <c r="E1911" t="s">
        <v>839</v>
      </c>
      <c r="F1911" t="s">
        <v>840</v>
      </c>
      <c r="G1911" t="s">
        <v>972</v>
      </c>
      <c r="H1911">
        <v>67</v>
      </c>
      <c r="I1911">
        <v>18.5672</v>
      </c>
      <c r="J1911">
        <v>36.641800000000003</v>
      </c>
      <c r="K1911">
        <v>18.0746</v>
      </c>
      <c r="L1911">
        <v>62</v>
      </c>
      <c r="M1911">
        <v>1</v>
      </c>
      <c r="N1911">
        <v>4</v>
      </c>
      <c r="O1911">
        <v>36.879399999999997</v>
      </c>
      <c r="P1911">
        <v>17.491099999999999</v>
      </c>
      <c r="Q1911">
        <v>8.7813199999999991</v>
      </c>
    </row>
    <row r="1912" spans="1:17" x14ac:dyDescent="0.25">
      <c r="A1912" t="str">
        <f>IF(C1912&amp;G1912&amp;D1912&lt;&gt;'Funnel setup'!$K$3&amp;'Funnel setup'!$K$4&amp;'Funnel setup'!$K$6,".",IF(A1911=".",1,A1911+1))</f>
        <v>.</v>
      </c>
      <c r="B1912" s="244" t="str">
        <f t="shared" si="29"/>
        <v>Knee Replacement PrimarySub-ICB of GP PracticeNHS HUMBER AND NORTH YORKSHIRE ICB - 03Q (03Q)Oxford Knee Score</v>
      </c>
      <c r="C1912" t="s">
        <v>969</v>
      </c>
      <c r="D1912" t="s">
        <v>1021</v>
      </c>
      <c r="E1912" t="s">
        <v>841</v>
      </c>
      <c r="F1912" t="s">
        <v>842</v>
      </c>
      <c r="G1912" t="s">
        <v>972</v>
      </c>
      <c r="H1912">
        <v>66</v>
      </c>
      <c r="I1912">
        <v>18.803000000000001</v>
      </c>
      <c r="J1912">
        <v>35.621200000000002</v>
      </c>
      <c r="K1912">
        <v>16.818200000000001</v>
      </c>
      <c r="L1912">
        <v>65</v>
      </c>
      <c r="M1912">
        <v>0</v>
      </c>
      <c r="N1912">
        <v>1</v>
      </c>
      <c r="O1912">
        <v>35.108499999999999</v>
      </c>
      <c r="P1912">
        <v>15.7202</v>
      </c>
      <c r="Q1912">
        <v>8.7576800000000006</v>
      </c>
    </row>
    <row r="1913" spans="1:17" x14ac:dyDescent="0.25">
      <c r="A1913" t="str">
        <f>IF(C1913&amp;G1913&amp;D1913&lt;&gt;'Funnel setup'!$K$3&amp;'Funnel setup'!$K$4&amp;'Funnel setup'!$K$6,".",IF(A1912=".",1,A1912+1))</f>
        <v>.</v>
      </c>
      <c r="B1913" s="244" t="str">
        <f t="shared" si="29"/>
        <v>Knee Replacement PrimarySub-ICB of GP PracticeNHS HUMBER AND NORTH YORKSHIRE ICB - 42D (42D)Oxford Knee Score</v>
      </c>
      <c r="C1913" t="s">
        <v>969</v>
      </c>
      <c r="D1913" t="s">
        <v>1021</v>
      </c>
      <c r="E1913" t="s">
        <v>843</v>
      </c>
      <c r="F1913" t="s">
        <v>844</v>
      </c>
      <c r="G1913" t="s">
        <v>972</v>
      </c>
      <c r="H1913">
        <v>204</v>
      </c>
      <c r="I1913">
        <v>18.308800000000002</v>
      </c>
      <c r="J1913">
        <v>38.367600000000003</v>
      </c>
      <c r="K1913">
        <v>20.058800000000002</v>
      </c>
      <c r="L1913">
        <v>200</v>
      </c>
      <c r="M1913">
        <v>3</v>
      </c>
      <c r="N1913">
        <v>1</v>
      </c>
      <c r="O1913">
        <v>38.355200000000004</v>
      </c>
      <c r="P1913">
        <v>18.966899999999999</v>
      </c>
      <c r="Q1913">
        <v>7.6854199999999997</v>
      </c>
    </row>
    <row r="1914" spans="1:17" x14ac:dyDescent="0.25">
      <c r="A1914" t="str">
        <f>IF(C1914&amp;G1914&amp;D1914&lt;&gt;'Funnel setup'!$K$3&amp;'Funnel setup'!$K$4&amp;'Funnel setup'!$K$6,".",IF(A1913=".",1,A1913+1))</f>
        <v>.</v>
      </c>
      <c r="B1914" s="244" t="str">
        <f t="shared" si="29"/>
        <v>Knee Replacement PrimarySub-ICB of GP PracticeNHS KENT AND MEDWAY ICB - 91Q (91Q)Oxford Knee Score</v>
      </c>
      <c r="C1914" t="s">
        <v>969</v>
      </c>
      <c r="D1914" t="s">
        <v>1021</v>
      </c>
      <c r="E1914" t="s">
        <v>845</v>
      </c>
      <c r="F1914" t="s">
        <v>846</v>
      </c>
      <c r="G1914" t="s">
        <v>972</v>
      </c>
      <c r="H1914">
        <v>597</v>
      </c>
      <c r="I1914">
        <v>21.4054</v>
      </c>
      <c r="J1914">
        <v>38.303199999999997</v>
      </c>
      <c r="K1914">
        <v>16.8978</v>
      </c>
      <c r="L1914">
        <v>566</v>
      </c>
      <c r="M1914">
        <v>5</v>
      </c>
      <c r="N1914">
        <v>26</v>
      </c>
      <c r="O1914">
        <v>37.5032</v>
      </c>
      <c r="P1914">
        <v>18.114899999999999</v>
      </c>
      <c r="Q1914">
        <v>7.7552099999999999</v>
      </c>
    </row>
    <row r="1915" spans="1:17" x14ac:dyDescent="0.25">
      <c r="A1915" t="str">
        <f>IF(C1915&amp;G1915&amp;D1915&lt;&gt;'Funnel setup'!$K$3&amp;'Funnel setup'!$K$4&amp;'Funnel setup'!$K$6,".",IF(A1914=".",1,A1914+1))</f>
        <v>.</v>
      </c>
      <c r="B1915" s="244" t="str">
        <f t="shared" si="29"/>
        <v>Knee Replacement PrimarySub-ICB of GP PracticeNHS LANCASHIRE AND SOUTH CUMBRIA ICB - 00Q (00Q)Oxford Knee Score</v>
      </c>
      <c r="C1915" t="s">
        <v>969</v>
      </c>
      <c r="D1915" t="s">
        <v>1021</v>
      </c>
      <c r="E1915" t="s">
        <v>847</v>
      </c>
      <c r="F1915" t="s">
        <v>848</v>
      </c>
      <c r="G1915" t="s">
        <v>972</v>
      </c>
      <c r="H1915">
        <v>49</v>
      </c>
      <c r="I1915">
        <v>19.142900000000001</v>
      </c>
      <c r="J1915">
        <v>33.040799999999997</v>
      </c>
      <c r="K1915">
        <v>13.898</v>
      </c>
      <c r="L1915">
        <v>43</v>
      </c>
      <c r="M1915">
        <v>2</v>
      </c>
      <c r="N1915">
        <v>4</v>
      </c>
      <c r="O1915">
        <v>33.435600000000001</v>
      </c>
      <c r="P1915">
        <v>14.0473</v>
      </c>
      <c r="Q1915">
        <v>10.745200000000001</v>
      </c>
    </row>
    <row r="1916" spans="1:17" x14ac:dyDescent="0.25">
      <c r="A1916" t="str">
        <f>IF(C1916&amp;G1916&amp;D1916&lt;&gt;'Funnel setup'!$K$3&amp;'Funnel setup'!$K$4&amp;'Funnel setup'!$K$6,".",IF(A1915=".",1,A1915+1))</f>
        <v>.</v>
      </c>
      <c r="B1916" s="244" t="str">
        <f t="shared" si="29"/>
        <v>Knee Replacement PrimarySub-ICB of GP PracticeNHS LANCASHIRE AND SOUTH CUMBRIA ICB - 00R (00R)Oxford Knee Score</v>
      </c>
      <c r="C1916" t="s">
        <v>969</v>
      </c>
      <c r="D1916" t="s">
        <v>1021</v>
      </c>
      <c r="E1916" t="s">
        <v>849</v>
      </c>
      <c r="F1916" t="s">
        <v>850</v>
      </c>
      <c r="G1916" t="s">
        <v>972</v>
      </c>
      <c r="H1916">
        <v>47</v>
      </c>
      <c r="I1916">
        <v>20</v>
      </c>
      <c r="J1916">
        <v>35.127699999999997</v>
      </c>
      <c r="K1916">
        <v>15.127700000000001</v>
      </c>
      <c r="L1916">
        <v>45</v>
      </c>
      <c r="M1916">
        <v>0</v>
      </c>
      <c r="N1916">
        <v>2</v>
      </c>
      <c r="O1916">
        <v>36.586399999999998</v>
      </c>
      <c r="P1916">
        <v>17.198</v>
      </c>
      <c r="Q1916">
        <v>8.4096700000000002</v>
      </c>
    </row>
    <row r="1917" spans="1:17" x14ac:dyDescent="0.25">
      <c r="A1917" t="str">
        <f>IF(C1917&amp;G1917&amp;D1917&lt;&gt;'Funnel setup'!$K$3&amp;'Funnel setup'!$K$4&amp;'Funnel setup'!$K$6,".",IF(A1916=".",1,A1916+1))</f>
        <v>.</v>
      </c>
      <c r="B1917" s="244" t="str">
        <f t="shared" si="29"/>
        <v>Knee Replacement PrimarySub-ICB of GP PracticeNHS LANCASHIRE AND SOUTH CUMBRIA ICB - 00X (00X)Oxford Knee Score</v>
      </c>
      <c r="C1917" t="s">
        <v>969</v>
      </c>
      <c r="D1917" t="s">
        <v>1021</v>
      </c>
      <c r="E1917" t="s">
        <v>851</v>
      </c>
      <c r="F1917" t="s">
        <v>852</v>
      </c>
      <c r="G1917" t="s">
        <v>972</v>
      </c>
      <c r="H1917">
        <v>67</v>
      </c>
      <c r="I1917">
        <v>18.910399999999999</v>
      </c>
      <c r="J1917">
        <v>38.104500000000002</v>
      </c>
      <c r="K1917">
        <v>19.193999999999999</v>
      </c>
      <c r="L1917">
        <v>64</v>
      </c>
      <c r="M1917">
        <v>2</v>
      </c>
      <c r="N1917">
        <v>1</v>
      </c>
      <c r="O1917">
        <v>38.005200000000002</v>
      </c>
      <c r="P1917">
        <v>18.616900000000001</v>
      </c>
      <c r="Q1917">
        <v>9.1992200000000004</v>
      </c>
    </row>
    <row r="1918" spans="1:17" x14ac:dyDescent="0.25">
      <c r="A1918" t="str">
        <f>IF(C1918&amp;G1918&amp;D1918&lt;&gt;'Funnel setup'!$K$3&amp;'Funnel setup'!$K$4&amp;'Funnel setup'!$K$6,".",IF(A1917=".",1,A1917+1))</f>
        <v>.</v>
      </c>
      <c r="B1918" s="244" t="str">
        <f t="shared" si="29"/>
        <v>Knee Replacement PrimarySub-ICB of GP PracticeNHS LANCASHIRE AND SOUTH CUMBRIA ICB - 01A (01A)Oxford Knee Score</v>
      </c>
      <c r="C1918" t="s">
        <v>969</v>
      </c>
      <c r="D1918" t="s">
        <v>1021</v>
      </c>
      <c r="E1918" t="s">
        <v>853</v>
      </c>
      <c r="F1918" t="s">
        <v>854</v>
      </c>
      <c r="G1918" t="s">
        <v>972</v>
      </c>
      <c r="H1918">
        <v>142</v>
      </c>
      <c r="I1918">
        <v>19.9085</v>
      </c>
      <c r="J1918">
        <v>37.957700000000003</v>
      </c>
      <c r="K1918">
        <v>18.049299999999999</v>
      </c>
      <c r="L1918">
        <v>134</v>
      </c>
      <c r="M1918">
        <v>1</v>
      </c>
      <c r="N1918">
        <v>7</v>
      </c>
      <c r="O1918">
        <v>38.0092</v>
      </c>
      <c r="P1918">
        <v>18.620899999999999</v>
      </c>
      <c r="Q1918">
        <v>8.5255600000000005</v>
      </c>
    </row>
    <row r="1919" spans="1:17" x14ac:dyDescent="0.25">
      <c r="A1919" t="str">
        <f>IF(C1919&amp;G1919&amp;D1919&lt;&gt;'Funnel setup'!$K$3&amp;'Funnel setup'!$K$4&amp;'Funnel setup'!$K$6,".",IF(A1918=".",1,A1918+1))</f>
        <v>.</v>
      </c>
      <c r="B1919" s="244" t="str">
        <f t="shared" si="29"/>
        <v>Knee Replacement PrimarySub-ICB of GP PracticeNHS LANCASHIRE AND SOUTH CUMBRIA ICB - 01E (01E)Oxford Knee Score</v>
      </c>
      <c r="C1919" t="s">
        <v>969</v>
      </c>
      <c r="D1919" t="s">
        <v>1021</v>
      </c>
      <c r="E1919" t="s">
        <v>855</v>
      </c>
      <c r="F1919" t="s">
        <v>856</v>
      </c>
      <c r="G1919" t="s">
        <v>972</v>
      </c>
      <c r="H1919">
        <v>73</v>
      </c>
      <c r="I1919">
        <v>19.643799999999999</v>
      </c>
      <c r="J1919">
        <v>39.150700000000001</v>
      </c>
      <c r="K1919">
        <v>19.506799999999998</v>
      </c>
      <c r="L1919">
        <v>70</v>
      </c>
      <c r="M1919">
        <v>1</v>
      </c>
      <c r="N1919">
        <v>2</v>
      </c>
      <c r="O1919">
        <v>39.261400000000002</v>
      </c>
      <c r="P1919">
        <v>19.873000000000001</v>
      </c>
      <c r="Q1919">
        <v>8.8882100000000008</v>
      </c>
    </row>
    <row r="1920" spans="1:17" x14ac:dyDescent="0.25">
      <c r="A1920" t="str">
        <f>IF(C1920&amp;G1920&amp;D1920&lt;&gt;'Funnel setup'!$K$3&amp;'Funnel setup'!$K$4&amp;'Funnel setup'!$K$6,".",IF(A1919=".",1,A1919+1))</f>
        <v>.</v>
      </c>
      <c r="B1920" s="244" t="str">
        <f t="shared" si="29"/>
        <v>Knee Replacement PrimarySub-ICB of GP PracticeNHS LANCASHIRE AND SOUTH CUMBRIA ICB - 01K (01K)Oxford Knee Score</v>
      </c>
      <c r="C1920" t="s">
        <v>969</v>
      </c>
      <c r="D1920" t="s">
        <v>1021</v>
      </c>
      <c r="E1920" t="s">
        <v>857</v>
      </c>
      <c r="F1920" t="s">
        <v>858</v>
      </c>
      <c r="G1920" t="s">
        <v>972</v>
      </c>
      <c r="H1920">
        <v>188</v>
      </c>
      <c r="I1920">
        <v>20.430900000000001</v>
      </c>
      <c r="J1920">
        <v>37.994700000000002</v>
      </c>
      <c r="K1920">
        <v>17.563800000000001</v>
      </c>
      <c r="L1920">
        <v>176</v>
      </c>
      <c r="M1920">
        <v>1</v>
      </c>
      <c r="N1920">
        <v>11</v>
      </c>
      <c r="O1920">
        <v>37.486499999999999</v>
      </c>
      <c r="P1920">
        <v>18.098099999999999</v>
      </c>
      <c r="Q1920">
        <v>7.6652500000000003</v>
      </c>
    </row>
    <row r="1921" spans="1:17" x14ac:dyDescent="0.25">
      <c r="A1921" t="str">
        <f>IF(C1921&amp;G1921&amp;D1921&lt;&gt;'Funnel setup'!$K$3&amp;'Funnel setup'!$K$4&amp;'Funnel setup'!$K$6,".",IF(A1920=".",1,A1920+1))</f>
        <v>.</v>
      </c>
      <c r="B1921" s="244" t="str">
        <f t="shared" si="29"/>
        <v>Knee Replacement PrimarySub-ICB of GP PracticeNHS LANCASHIRE AND SOUTH CUMBRIA ICB - 02G (02G)Oxford Knee Score</v>
      </c>
      <c r="C1921" t="s">
        <v>969</v>
      </c>
      <c r="D1921" t="s">
        <v>1021</v>
      </c>
      <c r="E1921" t="s">
        <v>859</v>
      </c>
      <c r="F1921" t="s">
        <v>860</v>
      </c>
      <c r="G1921" t="s">
        <v>972</v>
      </c>
      <c r="H1921">
        <v>22</v>
      </c>
      <c r="I1921">
        <v>15.818199999999999</v>
      </c>
      <c r="J1921">
        <v>39.636400000000002</v>
      </c>
      <c r="K1921">
        <v>23.818200000000001</v>
      </c>
      <c r="L1921">
        <v>22</v>
      </c>
      <c r="M1921">
        <v>0</v>
      </c>
      <c r="N1921">
        <v>0</v>
      </c>
      <c r="O1921" t="s">
        <v>127</v>
      </c>
      <c r="P1921" t="s">
        <v>127</v>
      </c>
      <c r="Q1921" t="s">
        <v>127</v>
      </c>
    </row>
    <row r="1922" spans="1:17" x14ac:dyDescent="0.25">
      <c r="A1922" t="str">
        <f>IF(C1922&amp;G1922&amp;D1922&lt;&gt;'Funnel setup'!$K$3&amp;'Funnel setup'!$K$4&amp;'Funnel setup'!$K$6,".",IF(A1921=".",1,A1921+1))</f>
        <v>.</v>
      </c>
      <c r="B1922" s="244" t="str">
        <f t="shared" ref="B1922:B1985" si="30">C1922&amp;D1922&amp;F1922&amp;G1922</f>
        <v>Knee Replacement PrimarySub-ICB of GP PracticeNHS LANCASHIRE AND SOUTH CUMBRIA ICB - 02M (02M)Oxford Knee Score</v>
      </c>
      <c r="C1922" t="s">
        <v>969</v>
      </c>
      <c r="D1922" t="s">
        <v>1021</v>
      </c>
      <c r="E1922" t="s">
        <v>861</v>
      </c>
      <c r="F1922" t="s">
        <v>862</v>
      </c>
      <c r="G1922" t="s">
        <v>972</v>
      </c>
      <c r="H1922">
        <v>70</v>
      </c>
      <c r="I1922">
        <v>22.242899999999999</v>
      </c>
      <c r="J1922">
        <v>37.757100000000001</v>
      </c>
      <c r="K1922">
        <v>15.5143</v>
      </c>
      <c r="L1922">
        <v>64</v>
      </c>
      <c r="M1922">
        <v>1</v>
      </c>
      <c r="N1922">
        <v>5</v>
      </c>
      <c r="O1922">
        <v>36.546300000000002</v>
      </c>
      <c r="P1922">
        <v>17.158000000000001</v>
      </c>
      <c r="Q1922">
        <v>8.2485999999999997</v>
      </c>
    </row>
    <row r="1923" spans="1:17" x14ac:dyDescent="0.25">
      <c r="A1923" t="str">
        <f>IF(C1923&amp;G1923&amp;D1923&lt;&gt;'Funnel setup'!$K$3&amp;'Funnel setup'!$K$4&amp;'Funnel setup'!$K$6,".",IF(A1922=".",1,A1922+1))</f>
        <v>.</v>
      </c>
      <c r="B1923" s="244" t="str">
        <f t="shared" si="30"/>
        <v>Knee Replacement PrimarySub-ICB of GP PracticeNHS LEICESTER, LEICESTERSHIRE AND RUTLAND ICB - 03W (03W)Oxford Knee Score</v>
      </c>
      <c r="C1923" t="s">
        <v>969</v>
      </c>
      <c r="D1923" t="s">
        <v>1021</v>
      </c>
      <c r="E1923" t="s">
        <v>863</v>
      </c>
      <c r="F1923" t="s">
        <v>864</v>
      </c>
      <c r="G1923" t="s">
        <v>972</v>
      </c>
      <c r="H1923">
        <v>146</v>
      </c>
      <c r="I1923">
        <v>18.650700000000001</v>
      </c>
      <c r="J1923">
        <v>37.3904</v>
      </c>
      <c r="K1923">
        <v>18.739699999999999</v>
      </c>
      <c r="L1923">
        <v>141</v>
      </c>
      <c r="M1923">
        <v>1</v>
      </c>
      <c r="N1923">
        <v>4</v>
      </c>
      <c r="O1923">
        <v>37.3157</v>
      </c>
      <c r="P1923">
        <v>17.927399999999999</v>
      </c>
      <c r="Q1923">
        <v>7.2874999999999996</v>
      </c>
    </row>
    <row r="1924" spans="1:17" x14ac:dyDescent="0.25">
      <c r="A1924" t="str">
        <f>IF(C1924&amp;G1924&amp;D1924&lt;&gt;'Funnel setup'!$K$3&amp;'Funnel setup'!$K$4&amp;'Funnel setup'!$K$6,".",IF(A1923=".",1,A1923+1))</f>
        <v>.</v>
      </c>
      <c r="B1924" s="244" t="str">
        <f t="shared" si="30"/>
        <v>Knee Replacement PrimarySub-ICB of GP PracticeNHS LEICESTER, LEICESTERSHIRE AND RUTLAND ICB - 04C (04C)Oxford Knee Score</v>
      </c>
      <c r="C1924" t="s">
        <v>969</v>
      </c>
      <c r="D1924" t="s">
        <v>1021</v>
      </c>
      <c r="E1924" t="s">
        <v>865</v>
      </c>
      <c r="F1924" t="s">
        <v>866</v>
      </c>
      <c r="G1924" t="s">
        <v>972</v>
      </c>
      <c r="H1924">
        <v>48</v>
      </c>
      <c r="I1924">
        <v>16.9375</v>
      </c>
      <c r="J1924">
        <v>29.5</v>
      </c>
      <c r="K1924">
        <v>12.5625</v>
      </c>
      <c r="L1924">
        <v>43</v>
      </c>
      <c r="M1924">
        <v>1</v>
      </c>
      <c r="N1924">
        <v>4</v>
      </c>
      <c r="O1924">
        <v>32.846800000000002</v>
      </c>
      <c r="P1924">
        <v>13.458500000000001</v>
      </c>
      <c r="Q1924">
        <v>9.00014</v>
      </c>
    </row>
    <row r="1925" spans="1:17" x14ac:dyDescent="0.25">
      <c r="A1925" t="str">
        <f>IF(C1925&amp;G1925&amp;D1925&lt;&gt;'Funnel setup'!$K$3&amp;'Funnel setup'!$K$4&amp;'Funnel setup'!$K$6,".",IF(A1924=".",1,A1924+1))</f>
        <v>.</v>
      </c>
      <c r="B1925" s="244" t="str">
        <f t="shared" si="30"/>
        <v>Knee Replacement PrimarySub-ICB of GP PracticeNHS LEICESTER, LEICESTERSHIRE AND RUTLAND ICB - 04V (04V)Oxford Knee Score</v>
      </c>
      <c r="C1925" t="s">
        <v>969</v>
      </c>
      <c r="D1925" t="s">
        <v>1021</v>
      </c>
      <c r="E1925" t="s">
        <v>867</v>
      </c>
      <c r="F1925" t="s">
        <v>868</v>
      </c>
      <c r="G1925" t="s">
        <v>972</v>
      </c>
      <c r="H1925">
        <v>160</v>
      </c>
      <c r="I1925">
        <v>17.8125</v>
      </c>
      <c r="J1925">
        <v>36.256300000000003</v>
      </c>
      <c r="K1925">
        <v>18.4438</v>
      </c>
      <c r="L1925">
        <v>155</v>
      </c>
      <c r="M1925">
        <v>1</v>
      </c>
      <c r="N1925">
        <v>4</v>
      </c>
      <c r="O1925">
        <v>36.782899999999998</v>
      </c>
      <c r="P1925">
        <v>17.394600000000001</v>
      </c>
      <c r="Q1925">
        <v>8.0472599999999996</v>
      </c>
    </row>
    <row r="1926" spans="1:17" x14ac:dyDescent="0.25">
      <c r="A1926" t="str">
        <f>IF(C1926&amp;G1926&amp;D1926&lt;&gt;'Funnel setup'!$K$3&amp;'Funnel setup'!$K$4&amp;'Funnel setup'!$K$6,".",IF(A1925=".",1,A1925+1))</f>
        <v>.</v>
      </c>
      <c r="B1926" s="244" t="str">
        <f t="shared" si="30"/>
        <v>Knee Replacement PrimarySub-ICB of GP PracticeNHS LINCOLNSHIRE ICB - 71E (71E)Oxford Knee Score</v>
      </c>
      <c r="C1926" t="s">
        <v>969</v>
      </c>
      <c r="D1926" t="s">
        <v>1021</v>
      </c>
      <c r="E1926" t="s">
        <v>869</v>
      </c>
      <c r="F1926" t="s">
        <v>870</v>
      </c>
      <c r="G1926" t="s">
        <v>972</v>
      </c>
      <c r="H1926">
        <v>296</v>
      </c>
      <c r="I1926">
        <v>20.256799999999998</v>
      </c>
      <c r="J1926">
        <v>38.091200000000001</v>
      </c>
      <c r="K1926">
        <v>17.834499999999998</v>
      </c>
      <c r="L1926">
        <v>285</v>
      </c>
      <c r="M1926">
        <v>4</v>
      </c>
      <c r="N1926">
        <v>7</v>
      </c>
      <c r="O1926">
        <v>37.291800000000002</v>
      </c>
      <c r="P1926">
        <v>17.903500000000001</v>
      </c>
      <c r="Q1926">
        <v>7.2970600000000001</v>
      </c>
    </row>
    <row r="1927" spans="1:17" x14ac:dyDescent="0.25">
      <c r="A1927" t="str">
        <f>IF(C1927&amp;G1927&amp;D1927&lt;&gt;'Funnel setup'!$K$3&amp;'Funnel setup'!$K$4&amp;'Funnel setup'!$K$6,".",IF(A1926=".",1,A1926+1))</f>
        <v>.</v>
      </c>
      <c r="B1927" s="244" t="str">
        <f t="shared" si="30"/>
        <v>Knee Replacement PrimarySub-ICB of GP PracticeNHS MID AND SOUTH ESSEX ICB - 06Q (06Q)Oxford Knee Score</v>
      </c>
      <c r="C1927" t="s">
        <v>969</v>
      </c>
      <c r="D1927" t="s">
        <v>1021</v>
      </c>
      <c r="E1927" t="s">
        <v>871</v>
      </c>
      <c r="F1927" t="s">
        <v>872</v>
      </c>
      <c r="G1927" t="s">
        <v>972</v>
      </c>
      <c r="H1927">
        <v>129</v>
      </c>
      <c r="I1927">
        <v>18.224799999999998</v>
      </c>
      <c r="J1927">
        <v>37.038800000000002</v>
      </c>
      <c r="K1927">
        <v>18.814</v>
      </c>
      <c r="L1927">
        <v>122</v>
      </c>
      <c r="M1927">
        <v>1</v>
      </c>
      <c r="N1927">
        <v>6</v>
      </c>
      <c r="O1927">
        <v>36.879399999999997</v>
      </c>
      <c r="P1927">
        <v>17.491099999999999</v>
      </c>
      <c r="Q1927">
        <v>9.7998899999999995</v>
      </c>
    </row>
    <row r="1928" spans="1:17" x14ac:dyDescent="0.25">
      <c r="A1928" t="str">
        <f>IF(C1928&amp;G1928&amp;D1928&lt;&gt;'Funnel setup'!$K$3&amp;'Funnel setup'!$K$4&amp;'Funnel setup'!$K$6,".",IF(A1927=".",1,A1927+1))</f>
        <v>.</v>
      </c>
      <c r="B1928" s="244" t="str">
        <f t="shared" si="30"/>
        <v>Knee Replacement PrimarySub-ICB of GP PracticeNHS MID AND SOUTH ESSEX ICB - 07G (07G)Oxford Knee Score</v>
      </c>
      <c r="C1928" t="s">
        <v>969</v>
      </c>
      <c r="D1928" t="s">
        <v>1021</v>
      </c>
      <c r="E1928" t="s">
        <v>873</v>
      </c>
      <c r="F1928" t="s">
        <v>874</v>
      </c>
      <c r="G1928" t="s">
        <v>972</v>
      </c>
      <c r="H1928">
        <v>31</v>
      </c>
      <c r="I1928">
        <v>15.129</v>
      </c>
      <c r="J1928">
        <v>36.258099999999999</v>
      </c>
      <c r="K1928">
        <v>21.129000000000001</v>
      </c>
      <c r="L1928">
        <v>30</v>
      </c>
      <c r="M1928">
        <v>0</v>
      </c>
      <c r="N1928">
        <v>1</v>
      </c>
      <c r="O1928">
        <v>39.286799999999999</v>
      </c>
      <c r="P1928">
        <v>19.898499999999999</v>
      </c>
      <c r="Q1928">
        <v>9.0331399999999995</v>
      </c>
    </row>
    <row r="1929" spans="1:17" x14ac:dyDescent="0.25">
      <c r="A1929" t="str">
        <f>IF(C1929&amp;G1929&amp;D1929&lt;&gt;'Funnel setup'!$K$3&amp;'Funnel setup'!$K$4&amp;'Funnel setup'!$K$6,".",IF(A1928=".",1,A1928+1))</f>
        <v>.</v>
      </c>
      <c r="B1929" s="244" t="str">
        <f t="shared" si="30"/>
        <v>Knee Replacement PrimarySub-ICB of GP PracticeNHS MID AND SOUTH ESSEX ICB - 99E (99E)Oxford Knee Score</v>
      </c>
      <c r="C1929" t="s">
        <v>969</v>
      </c>
      <c r="D1929" t="s">
        <v>1021</v>
      </c>
      <c r="E1929" t="s">
        <v>875</v>
      </c>
      <c r="F1929" t="s">
        <v>876</v>
      </c>
      <c r="G1929" t="s">
        <v>972</v>
      </c>
      <c r="H1929">
        <v>61</v>
      </c>
      <c r="I1929">
        <v>16.721299999999999</v>
      </c>
      <c r="J1929">
        <v>35.360700000000001</v>
      </c>
      <c r="K1929">
        <v>18.639299999999999</v>
      </c>
      <c r="L1929">
        <v>56</v>
      </c>
      <c r="M1929">
        <v>0</v>
      </c>
      <c r="N1929">
        <v>5</v>
      </c>
      <c r="O1929">
        <v>36.880200000000002</v>
      </c>
      <c r="P1929">
        <v>17.491800000000001</v>
      </c>
      <c r="Q1929">
        <v>11.3741</v>
      </c>
    </row>
    <row r="1930" spans="1:17" x14ac:dyDescent="0.25">
      <c r="A1930" t="str">
        <f>IF(C1930&amp;G1930&amp;D1930&lt;&gt;'Funnel setup'!$K$3&amp;'Funnel setup'!$K$4&amp;'Funnel setup'!$K$6,".",IF(A1929=".",1,A1929+1))</f>
        <v>.</v>
      </c>
      <c r="B1930" s="244" t="str">
        <f t="shared" si="30"/>
        <v>Knee Replacement PrimarySub-ICB of GP PracticeNHS MID AND SOUTH ESSEX ICB - 99F (99F)Oxford Knee Score</v>
      </c>
      <c r="C1930" t="s">
        <v>969</v>
      </c>
      <c r="D1930" t="s">
        <v>1021</v>
      </c>
      <c r="E1930" t="s">
        <v>877</v>
      </c>
      <c r="F1930" t="s">
        <v>878</v>
      </c>
      <c r="G1930" t="s">
        <v>972</v>
      </c>
      <c r="H1930">
        <v>35</v>
      </c>
      <c r="I1930">
        <v>18.171399999999998</v>
      </c>
      <c r="J1930">
        <v>34.028599999999997</v>
      </c>
      <c r="K1930">
        <v>15.857100000000001</v>
      </c>
      <c r="L1930">
        <v>31</v>
      </c>
      <c r="M1930">
        <v>1</v>
      </c>
      <c r="N1930">
        <v>3</v>
      </c>
      <c r="O1930">
        <v>34.3262</v>
      </c>
      <c r="P1930">
        <v>14.937900000000001</v>
      </c>
      <c r="Q1930">
        <v>10.8299</v>
      </c>
    </row>
    <row r="1931" spans="1:17" x14ac:dyDescent="0.25">
      <c r="A1931" t="str">
        <f>IF(C1931&amp;G1931&amp;D1931&lt;&gt;'Funnel setup'!$K$3&amp;'Funnel setup'!$K$4&amp;'Funnel setup'!$K$6,".",IF(A1930=".",1,A1930+1))</f>
        <v>.</v>
      </c>
      <c r="B1931" s="244" t="str">
        <f t="shared" si="30"/>
        <v>Knee Replacement PrimarySub-ICB of GP PracticeNHS MID AND SOUTH ESSEX ICB - 99G (99G)Oxford Knee Score</v>
      </c>
      <c r="C1931" t="s">
        <v>969</v>
      </c>
      <c r="D1931" t="s">
        <v>1021</v>
      </c>
      <c r="E1931" t="s">
        <v>879</v>
      </c>
      <c r="F1931" t="s">
        <v>880</v>
      </c>
      <c r="G1931" t="s">
        <v>972</v>
      </c>
      <c r="H1931">
        <v>13</v>
      </c>
      <c r="I1931">
        <v>19.692299999999999</v>
      </c>
      <c r="J1931">
        <v>36.923099999999998</v>
      </c>
      <c r="K1931">
        <v>17.230799999999999</v>
      </c>
      <c r="L1931">
        <v>11</v>
      </c>
      <c r="M1931">
        <v>0</v>
      </c>
      <c r="N1931">
        <v>2</v>
      </c>
      <c r="O1931" t="s">
        <v>127</v>
      </c>
      <c r="P1931" t="s">
        <v>127</v>
      </c>
      <c r="Q1931" t="s">
        <v>127</v>
      </c>
    </row>
    <row r="1932" spans="1:17" x14ac:dyDescent="0.25">
      <c r="A1932" t="str">
        <f>IF(C1932&amp;G1932&amp;D1932&lt;&gt;'Funnel setup'!$K$3&amp;'Funnel setup'!$K$4&amp;'Funnel setup'!$K$6,".",IF(A1931=".",1,A1931+1))</f>
        <v>.</v>
      </c>
      <c r="B1932" s="244" t="str">
        <f t="shared" si="30"/>
        <v>Knee Replacement PrimarySub-ICB of GP PracticeNHS NORFOLK AND WAVENEY ICB - 26A (26A)Oxford Knee Score</v>
      </c>
      <c r="C1932" t="s">
        <v>969</v>
      </c>
      <c r="D1932" t="s">
        <v>1021</v>
      </c>
      <c r="E1932" t="s">
        <v>881</v>
      </c>
      <c r="F1932" t="s">
        <v>882</v>
      </c>
      <c r="G1932" t="s">
        <v>972</v>
      </c>
      <c r="H1932">
        <v>317</v>
      </c>
      <c r="I1932">
        <v>17.400600000000001</v>
      </c>
      <c r="J1932">
        <v>35.381700000000002</v>
      </c>
      <c r="K1932">
        <v>17.981100000000001</v>
      </c>
      <c r="L1932">
        <v>302</v>
      </c>
      <c r="M1932">
        <v>4</v>
      </c>
      <c r="N1932">
        <v>11</v>
      </c>
      <c r="O1932">
        <v>36.684100000000001</v>
      </c>
      <c r="P1932">
        <v>17.2957</v>
      </c>
      <c r="Q1932">
        <v>8.7070799999999995</v>
      </c>
    </row>
    <row r="1933" spans="1:17" x14ac:dyDescent="0.25">
      <c r="A1933" t="str">
        <f>IF(C1933&amp;G1933&amp;D1933&lt;&gt;'Funnel setup'!$K$3&amp;'Funnel setup'!$K$4&amp;'Funnel setup'!$K$6,".",IF(A1932=".",1,A1932+1))</f>
        <v>.</v>
      </c>
      <c r="B1933" s="244" t="str">
        <f t="shared" si="30"/>
        <v>Knee Replacement PrimarySub-ICB of GP PracticeNHS NORTH CENTRAL LONDON ICB - 93C (93C)Oxford Knee Score</v>
      </c>
      <c r="C1933" t="s">
        <v>969</v>
      </c>
      <c r="D1933" t="s">
        <v>1021</v>
      </c>
      <c r="E1933" t="s">
        <v>883</v>
      </c>
      <c r="F1933" t="s">
        <v>884</v>
      </c>
      <c r="G1933" t="s">
        <v>972</v>
      </c>
      <c r="H1933">
        <v>167</v>
      </c>
      <c r="I1933">
        <v>21.2575</v>
      </c>
      <c r="J1933">
        <v>35.586799999999997</v>
      </c>
      <c r="K1933">
        <v>14.3293</v>
      </c>
      <c r="L1933">
        <v>150</v>
      </c>
      <c r="M1933">
        <v>2</v>
      </c>
      <c r="N1933">
        <v>15</v>
      </c>
      <c r="O1933">
        <v>35.868699999999997</v>
      </c>
      <c r="P1933">
        <v>16.480399999999999</v>
      </c>
      <c r="Q1933">
        <v>8.5442400000000003</v>
      </c>
    </row>
    <row r="1934" spans="1:17" x14ac:dyDescent="0.25">
      <c r="A1934" t="str">
        <f>IF(C1934&amp;G1934&amp;D1934&lt;&gt;'Funnel setup'!$K$3&amp;'Funnel setup'!$K$4&amp;'Funnel setup'!$K$6,".",IF(A1933=".",1,A1933+1))</f>
        <v>.</v>
      </c>
      <c r="B1934" s="244" t="str">
        <f t="shared" si="30"/>
        <v>Knee Replacement PrimarySub-ICB of GP PracticeNHS NORTH EAST AND NORTH CUMBRIA ICB - 00L (00L)Oxford Knee Score</v>
      </c>
      <c r="C1934" t="s">
        <v>969</v>
      </c>
      <c r="D1934" t="s">
        <v>1021</v>
      </c>
      <c r="E1934" t="s">
        <v>885</v>
      </c>
      <c r="F1934" t="s">
        <v>886</v>
      </c>
      <c r="G1934" t="s">
        <v>972</v>
      </c>
      <c r="H1934">
        <v>207</v>
      </c>
      <c r="I1934">
        <v>18.763300000000001</v>
      </c>
      <c r="J1934">
        <v>38.57</v>
      </c>
      <c r="K1934">
        <v>19.806799999999999</v>
      </c>
      <c r="L1934">
        <v>204</v>
      </c>
      <c r="M1934">
        <v>0</v>
      </c>
      <c r="N1934">
        <v>3</v>
      </c>
      <c r="O1934">
        <v>38.765900000000002</v>
      </c>
      <c r="P1934">
        <v>19.377500000000001</v>
      </c>
      <c r="Q1934">
        <v>7.7093100000000003</v>
      </c>
    </row>
    <row r="1935" spans="1:17" x14ac:dyDescent="0.25">
      <c r="A1935" t="str">
        <f>IF(C1935&amp;G1935&amp;D1935&lt;&gt;'Funnel setup'!$K$3&amp;'Funnel setup'!$K$4&amp;'Funnel setup'!$K$6,".",IF(A1934=".",1,A1934+1))</f>
        <v>.</v>
      </c>
      <c r="B1935" s="244" t="str">
        <f t="shared" si="30"/>
        <v>Knee Replacement PrimarySub-ICB of GP PracticeNHS NORTH EAST AND NORTH CUMBRIA ICB - 00N (00N)Oxford Knee Score</v>
      </c>
      <c r="C1935" t="s">
        <v>969</v>
      </c>
      <c r="D1935" t="s">
        <v>1021</v>
      </c>
      <c r="E1935" t="s">
        <v>887</v>
      </c>
      <c r="F1935" t="s">
        <v>888</v>
      </c>
      <c r="G1935" t="s">
        <v>972</v>
      </c>
      <c r="H1935">
        <v>9</v>
      </c>
      <c r="I1935">
        <v>17.555599999999998</v>
      </c>
      <c r="J1935">
        <v>41.333300000000001</v>
      </c>
      <c r="K1935">
        <v>23.777799999999999</v>
      </c>
      <c r="L1935">
        <v>9</v>
      </c>
      <c r="M1935">
        <v>0</v>
      </c>
      <c r="N1935">
        <v>0</v>
      </c>
      <c r="O1935" t="s">
        <v>127</v>
      </c>
      <c r="P1935" t="s">
        <v>127</v>
      </c>
      <c r="Q1935" t="s">
        <v>127</v>
      </c>
    </row>
    <row r="1936" spans="1:17" x14ac:dyDescent="0.25">
      <c r="A1936" t="str">
        <f>IF(C1936&amp;G1936&amp;D1936&lt;&gt;'Funnel setup'!$K$3&amp;'Funnel setup'!$K$4&amp;'Funnel setup'!$K$6,".",IF(A1935=".",1,A1935+1))</f>
        <v>.</v>
      </c>
      <c r="B1936" s="244" t="str">
        <f t="shared" si="30"/>
        <v>Knee Replacement PrimarySub-ICB of GP PracticeNHS NORTH EAST AND NORTH CUMBRIA ICB - 00P (00P)Oxford Knee Score</v>
      </c>
      <c r="C1936" t="s">
        <v>969</v>
      </c>
      <c r="D1936" t="s">
        <v>1021</v>
      </c>
      <c r="E1936" t="s">
        <v>889</v>
      </c>
      <c r="F1936" t="s">
        <v>890</v>
      </c>
      <c r="G1936" t="s">
        <v>972</v>
      </c>
      <c r="H1936">
        <v>24</v>
      </c>
      <c r="I1936">
        <v>16.375</v>
      </c>
      <c r="J1936">
        <v>36.625</v>
      </c>
      <c r="K1936">
        <v>20.25</v>
      </c>
      <c r="L1936">
        <v>23</v>
      </c>
      <c r="M1936">
        <v>0</v>
      </c>
      <c r="N1936">
        <v>1</v>
      </c>
      <c r="O1936" t="s">
        <v>127</v>
      </c>
      <c r="P1936" t="s">
        <v>127</v>
      </c>
      <c r="Q1936" t="s">
        <v>127</v>
      </c>
    </row>
    <row r="1937" spans="1:17" x14ac:dyDescent="0.25">
      <c r="A1937" t="str">
        <f>IF(C1937&amp;G1937&amp;D1937&lt;&gt;'Funnel setup'!$K$3&amp;'Funnel setup'!$K$4&amp;'Funnel setup'!$K$6,".",IF(A1936=".",1,A1936+1))</f>
        <v>.</v>
      </c>
      <c r="B1937" s="244" t="str">
        <f t="shared" si="30"/>
        <v>Knee Replacement PrimarySub-ICB of GP PracticeNHS NORTH EAST AND NORTH CUMBRIA ICB - 01H (01H)Oxford Knee Score</v>
      </c>
      <c r="C1937" t="s">
        <v>969</v>
      </c>
      <c r="D1937" t="s">
        <v>1021</v>
      </c>
      <c r="E1937" t="s">
        <v>891</v>
      </c>
      <c r="F1937" t="s">
        <v>892</v>
      </c>
      <c r="G1937" t="s">
        <v>972</v>
      </c>
      <c r="H1937">
        <v>225</v>
      </c>
      <c r="I1937">
        <v>18.5289</v>
      </c>
      <c r="J1937">
        <v>37.933300000000003</v>
      </c>
      <c r="K1937">
        <v>19.404399999999999</v>
      </c>
      <c r="L1937">
        <v>221</v>
      </c>
      <c r="M1937">
        <v>0</v>
      </c>
      <c r="N1937">
        <v>4</v>
      </c>
      <c r="O1937">
        <v>38.019500000000001</v>
      </c>
      <c r="P1937">
        <v>18.6312</v>
      </c>
      <c r="Q1937">
        <v>7.4621599999999999</v>
      </c>
    </row>
    <row r="1938" spans="1:17" x14ac:dyDescent="0.25">
      <c r="A1938" t="str">
        <f>IF(C1938&amp;G1938&amp;D1938&lt;&gt;'Funnel setup'!$K$3&amp;'Funnel setup'!$K$4&amp;'Funnel setup'!$K$6,".",IF(A1937=".",1,A1937+1))</f>
        <v>.</v>
      </c>
      <c r="B1938" s="244" t="str">
        <f t="shared" si="30"/>
        <v>Knee Replacement PrimarySub-ICB of GP PracticeNHS NORTH EAST AND NORTH CUMBRIA ICB - 13T (13T)Oxford Knee Score</v>
      </c>
      <c r="C1938" t="s">
        <v>969</v>
      </c>
      <c r="D1938" t="s">
        <v>1021</v>
      </c>
      <c r="E1938" t="s">
        <v>893</v>
      </c>
      <c r="F1938" t="s">
        <v>894</v>
      </c>
      <c r="G1938" t="s">
        <v>972</v>
      </c>
      <c r="H1938">
        <v>67</v>
      </c>
      <c r="I1938">
        <v>17.4925</v>
      </c>
      <c r="J1938">
        <v>35.880600000000001</v>
      </c>
      <c r="K1938">
        <v>18.388100000000001</v>
      </c>
      <c r="L1938">
        <v>64</v>
      </c>
      <c r="M1938">
        <v>0</v>
      </c>
      <c r="N1938">
        <v>3</v>
      </c>
      <c r="O1938">
        <v>37.204300000000003</v>
      </c>
      <c r="P1938">
        <v>17.815899999999999</v>
      </c>
      <c r="Q1938">
        <v>9.1550899999999995</v>
      </c>
    </row>
    <row r="1939" spans="1:17" x14ac:dyDescent="0.25">
      <c r="A1939" t="str">
        <f>IF(C1939&amp;G1939&amp;D1939&lt;&gt;'Funnel setup'!$K$3&amp;'Funnel setup'!$K$4&amp;'Funnel setup'!$K$6,".",IF(A1938=".",1,A1938+1))</f>
        <v>.</v>
      </c>
      <c r="B1939" s="244" t="str">
        <f t="shared" si="30"/>
        <v>Knee Replacement PrimarySub-ICB of GP PracticeNHS NORTH EAST AND NORTH CUMBRIA ICB - 16C (16C)Oxford Knee Score</v>
      </c>
      <c r="C1939" t="s">
        <v>969</v>
      </c>
      <c r="D1939" t="s">
        <v>1021</v>
      </c>
      <c r="E1939" t="s">
        <v>895</v>
      </c>
      <c r="F1939" t="s">
        <v>896</v>
      </c>
      <c r="G1939" t="s">
        <v>972</v>
      </c>
      <c r="H1939">
        <v>406</v>
      </c>
      <c r="I1939">
        <v>18.093599999999999</v>
      </c>
      <c r="J1939">
        <v>36.9754</v>
      </c>
      <c r="K1939">
        <v>18.881799999999998</v>
      </c>
      <c r="L1939">
        <v>384</v>
      </c>
      <c r="M1939">
        <v>4</v>
      </c>
      <c r="N1939">
        <v>18</v>
      </c>
      <c r="O1939">
        <v>37.698500000000003</v>
      </c>
      <c r="P1939">
        <v>18.310199999999998</v>
      </c>
      <c r="Q1939">
        <v>9.0176499999999997</v>
      </c>
    </row>
    <row r="1940" spans="1:17" x14ac:dyDescent="0.25">
      <c r="A1940" t="str">
        <f>IF(C1940&amp;G1940&amp;D1940&lt;&gt;'Funnel setup'!$K$3&amp;'Funnel setup'!$K$4&amp;'Funnel setup'!$K$6,".",IF(A1939=".",1,A1939+1))</f>
        <v>.</v>
      </c>
      <c r="B1940" s="244" t="str">
        <f t="shared" si="30"/>
        <v>Knee Replacement PrimarySub-ICB of GP PracticeNHS NORTH EAST AND NORTH CUMBRIA ICB - 84H (84H)Oxford Knee Score</v>
      </c>
      <c r="C1940" t="s">
        <v>969</v>
      </c>
      <c r="D1940" t="s">
        <v>1021</v>
      </c>
      <c r="E1940" t="s">
        <v>897</v>
      </c>
      <c r="F1940" t="s">
        <v>898</v>
      </c>
      <c r="G1940" t="s">
        <v>972</v>
      </c>
      <c r="H1940">
        <v>299</v>
      </c>
      <c r="I1940">
        <v>18.8796</v>
      </c>
      <c r="J1940">
        <v>36.996699999999997</v>
      </c>
      <c r="K1940">
        <v>18.117100000000001</v>
      </c>
      <c r="L1940">
        <v>289</v>
      </c>
      <c r="M1940">
        <v>3</v>
      </c>
      <c r="N1940">
        <v>7</v>
      </c>
      <c r="O1940">
        <v>37.302100000000003</v>
      </c>
      <c r="P1940">
        <v>17.913799999999998</v>
      </c>
      <c r="Q1940">
        <v>8.3078900000000004</v>
      </c>
    </row>
    <row r="1941" spans="1:17" x14ac:dyDescent="0.25">
      <c r="A1941" t="str">
        <f>IF(C1941&amp;G1941&amp;D1941&lt;&gt;'Funnel setup'!$K$3&amp;'Funnel setup'!$K$4&amp;'Funnel setup'!$K$6,".",IF(A1940=".",1,A1940+1))</f>
        <v>.</v>
      </c>
      <c r="B1941" s="244" t="str">
        <f t="shared" si="30"/>
        <v>Knee Replacement PrimarySub-ICB of GP PracticeNHS NORTH EAST AND NORTH CUMBRIA ICB - 99C (99C)Oxford Knee Score</v>
      </c>
      <c r="C1941" t="s">
        <v>969</v>
      </c>
      <c r="D1941" t="s">
        <v>1021</v>
      </c>
      <c r="E1941" t="s">
        <v>899</v>
      </c>
      <c r="F1941" t="s">
        <v>900</v>
      </c>
      <c r="G1941" t="s">
        <v>972</v>
      </c>
      <c r="H1941">
        <v>106</v>
      </c>
      <c r="I1941">
        <v>19.613199999999999</v>
      </c>
      <c r="J1941">
        <v>37.679200000000002</v>
      </c>
      <c r="K1941">
        <v>18.065999999999999</v>
      </c>
      <c r="L1941">
        <v>103</v>
      </c>
      <c r="M1941">
        <v>0</v>
      </c>
      <c r="N1941">
        <v>3</v>
      </c>
      <c r="O1941">
        <v>37.899000000000001</v>
      </c>
      <c r="P1941">
        <v>18.5106</v>
      </c>
      <c r="Q1941">
        <v>7.8196500000000002</v>
      </c>
    </row>
    <row r="1942" spans="1:17" x14ac:dyDescent="0.25">
      <c r="A1942" t="str">
        <f>IF(C1942&amp;G1942&amp;D1942&lt;&gt;'Funnel setup'!$K$3&amp;'Funnel setup'!$K$4&amp;'Funnel setup'!$K$6,".",IF(A1941=".",1,A1941+1))</f>
        <v>.</v>
      </c>
      <c r="B1942" s="244" t="str">
        <f t="shared" si="30"/>
        <v>Knee Replacement PrimarySub-ICB of GP PracticeNHS NORTH EAST LONDON ICB - A3A8R (A3A8R)Oxford Knee Score</v>
      </c>
      <c r="C1942" t="s">
        <v>969</v>
      </c>
      <c r="D1942" t="s">
        <v>1021</v>
      </c>
      <c r="E1942" t="s">
        <v>901</v>
      </c>
      <c r="F1942" t="s">
        <v>902</v>
      </c>
      <c r="G1942" t="s">
        <v>972</v>
      </c>
      <c r="H1942">
        <v>238</v>
      </c>
      <c r="I1942">
        <v>17.609200000000001</v>
      </c>
      <c r="J1942">
        <v>33.344499999999996</v>
      </c>
      <c r="K1942">
        <v>15.735300000000001</v>
      </c>
      <c r="L1942">
        <v>217</v>
      </c>
      <c r="M1942">
        <v>0</v>
      </c>
      <c r="N1942">
        <v>21</v>
      </c>
      <c r="O1942">
        <v>35.489600000000003</v>
      </c>
      <c r="P1942">
        <v>16.101299999999998</v>
      </c>
      <c r="Q1942">
        <v>9.4082299999999996</v>
      </c>
    </row>
    <row r="1943" spans="1:17" x14ac:dyDescent="0.25">
      <c r="A1943" t="str">
        <f>IF(C1943&amp;G1943&amp;D1943&lt;&gt;'Funnel setup'!$K$3&amp;'Funnel setup'!$K$4&amp;'Funnel setup'!$K$6,".",IF(A1942=".",1,A1942+1))</f>
        <v>.</v>
      </c>
      <c r="B1943" s="244" t="str">
        <f t="shared" si="30"/>
        <v>Knee Replacement PrimarySub-ICB of GP PracticeNHS NORTH WEST LONDON ICB - W2U3Z (W2U3Z)Oxford Knee Score</v>
      </c>
      <c r="C1943" t="s">
        <v>969</v>
      </c>
      <c r="D1943" t="s">
        <v>1021</v>
      </c>
      <c r="E1943" t="s">
        <v>903</v>
      </c>
      <c r="F1943" t="s">
        <v>904</v>
      </c>
      <c r="G1943" t="s">
        <v>972</v>
      </c>
      <c r="H1943">
        <v>202</v>
      </c>
      <c r="I1943">
        <v>19.811900000000001</v>
      </c>
      <c r="J1943">
        <v>34.688099999999999</v>
      </c>
      <c r="K1943">
        <v>14.876200000000001</v>
      </c>
      <c r="L1943">
        <v>192</v>
      </c>
      <c r="M1943">
        <v>2</v>
      </c>
      <c r="N1943">
        <v>8</v>
      </c>
      <c r="O1943">
        <v>35.341999999999999</v>
      </c>
      <c r="P1943">
        <v>15.9537</v>
      </c>
      <c r="Q1943">
        <v>8.23841</v>
      </c>
    </row>
    <row r="1944" spans="1:17" x14ac:dyDescent="0.25">
      <c r="A1944" t="str">
        <f>IF(C1944&amp;G1944&amp;D1944&lt;&gt;'Funnel setup'!$K$3&amp;'Funnel setup'!$K$4&amp;'Funnel setup'!$K$6,".",IF(A1943=".",1,A1943+1))</f>
        <v>.</v>
      </c>
      <c r="B1944" s="244" t="str">
        <f t="shared" si="30"/>
        <v>Knee Replacement PrimarySub-ICB of GP PracticeNHS NORTHAMPTONSHIRE ICB - 78H (78H)Oxford Knee Score</v>
      </c>
      <c r="C1944" t="s">
        <v>969</v>
      </c>
      <c r="D1944" t="s">
        <v>1021</v>
      </c>
      <c r="E1944" t="s">
        <v>905</v>
      </c>
      <c r="F1944" t="s">
        <v>906</v>
      </c>
      <c r="G1944" t="s">
        <v>972</v>
      </c>
      <c r="H1944">
        <v>240</v>
      </c>
      <c r="I1944">
        <v>17.9375</v>
      </c>
      <c r="J1944">
        <v>36.554200000000002</v>
      </c>
      <c r="K1944">
        <v>18.616700000000002</v>
      </c>
      <c r="L1944">
        <v>230</v>
      </c>
      <c r="M1944">
        <v>3</v>
      </c>
      <c r="N1944">
        <v>7</v>
      </c>
      <c r="O1944">
        <v>36.738399999999999</v>
      </c>
      <c r="P1944">
        <v>17.350000000000001</v>
      </c>
      <c r="Q1944">
        <v>8.8029799999999998</v>
      </c>
    </row>
    <row r="1945" spans="1:17" x14ac:dyDescent="0.25">
      <c r="A1945" t="str">
        <f>IF(C1945&amp;G1945&amp;D1945&lt;&gt;'Funnel setup'!$K$3&amp;'Funnel setup'!$K$4&amp;'Funnel setup'!$K$6,".",IF(A1944=".",1,A1944+1))</f>
        <v>.</v>
      </c>
      <c r="B1945" s="244" t="str">
        <f t="shared" si="30"/>
        <v>Knee Replacement PrimarySub-ICB of GP PracticeNHS NOTTINGHAM AND NOTTINGHAMSHIRE ICB - 02Q (02Q)Oxford Knee Score</v>
      </c>
      <c r="C1945" t="s">
        <v>969</v>
      </c>
      <c r="D1945" t="s">
        <v>1021</v>
      </c>
      <c r="E1945" t="s">
        <v>907</v>
      </c>
      <c r="F1945" t="s">
        <v>908</v>
      </c>
      <c r="G1945" t="s">
        <v>972</v>
      </c>
      <c r="H1945">
        <v>48</v>
      </c>
      <c r="I1945">
        <v>17.979199999999999</v>
      </c>
      <c r="J1945">
        <v>36.104199999999999</v>
      </c>
      <c r="K1945">
        <v>18.125</v>
      </c>
      <c r="L1945">
        <v>45</v>
      </c>
      <c r="M1945">
        <v>0</v>
      </c>
      <c r="N1945">
        <v>3</v>
      </c>
      <c r="O1945">
        <v>37.154600000000002</v>
      </c>
      <c r="P1945">
        <v>17.766200000000001</v>
      </c>
      <c r="Q1945">
        <v>9.4411900000000006</v>
      </c>
    </row>
    <row r="1946" spans="1:17" x14ac:dyDescent="0.25">
      <c r="A1946" t="str">
        <f>IF(C1946&amp;G1946&amp;D1946&lt;&gt;'Funnel setup'!$K$3&amp;'Funnel setup'!$K$4&amp;'Funnel setup'!$K$6,".",IF(A1945=".",1,A1945+1))</f>
        <v>.</v>
      </c>
      <c r="B1946" s="244" t="str">
        <f t="shared" si="30"/>
        <v>Knee Replacement PrimarySub-ICB of GP PracticeNHS NOTTINGHAM AND NOTTINGHAMSHIRE ICB - 52R (52R)Oxford Knee Score</v>
      </c>
      <c r="C1946" t="s">
        <v>969</v>
      </c>
      <c r="D1946" t="s">
        <v>1021</v>
      </c>
      <c r="E1946" t="s">
        <v>909</v>
      </c>
      <c r="F1946" t="s">
        <v>910</v>
      </c>
      <c r="G1946" t="s">
        <v>972</v>
      </c>
      <c r="H1946">
        <v>220</v>
      </c>
      <c r="I1946">
        <v>19.186399999999999</v>
      </c>
      <c r="J1946">
        <v>36.645499999999998</v>
      </c>
      <c r="K1946">
        <v>17.459099999999999</v>
      </c>
      <c r="L1946">
        <v>208</v>
      </c>
      <c r="M1946">
        <v>0</v>
      </c>
      <c r="N1946">
        <v>12</v>
      </c>
      <c r="O1946">
        <v>36.262</v>
      </c>
      <c r="P1946">
        <v>16.873699999999999</v>
      </c>
      <c r="Q1946">
        <v>8.6854700000000005</v>
      </c>
    </row>
    <row r="1947" spans="1:17" x14ac:dyDescent="0.25">
      <c r="A1947" t="str">
        <f>IF(C1947&amp;G1947&amp;D1947&lt;&gt;'Funnel setup'!$K$3&amp;'Funnel setup'!$K$4&amp;'Funnel setup'!$K$6,".",IF(A1946=".",1,A1946+1))</f>
        <v>.</v>
      </c>
      <c r="B1947" s="244" t="str">
        <f t="shared" si="30"/>
        <v>Knee Replacement PrimarySub-ICB of GP PracticeNHS SHROPSHIRE, TELFORD AND WREKIN ICB - M2L0M (M2L0M)Oxford Knee Score</v>
      </c>
      <c r="C1947" t="s">
        <v>969</v>
      </c>
      <c r="D1947" t="s">
        <v>1021</v>
      </c>
      <c r="E1947" t="s">
        <v>911</v>
      </c>
      <c r="F1947" t="s">
        <v>912</v>
      </c>
      <c r="G1947" t="s">
        <v>972</v>
      </c>
      <c r="H1947">
        <v>187</v>
      </c>
      <c r="I1947">
        <v>16.4011</v>
      </c>
      <c r="J1947">
        <v>36.9893</v>
      </c>
      <c r="K1947">
        <v>20.588200000000001</v>
      </c>
      <c r="L1947">
        <v>184</v>
      </c>
      <c r="M1947">
        <v>1</v>
      </c>
      <c r="N1947">
        <v>2</v>
      </c>
      <c r="O1947">
        <v>38.520299999999999</v>
      </c>
      <c r="P1947">
        <v>19.132000000000001</v>
      </c>
      <c r="Q1947">
        <v>7.8716499999999998</v>
      </c>
    </row>
    <row r="1948" spans="1:17" x14ac:dyDescent="0.25">
      <c r="A1948" t="str">
        <f>IF(C1948&amp;G1948&amp;D1948&lt;&gt;'Funnel setup'!$K$3&amp;'Funnel setup'!$K$4&amp;'Funnel setup'!$K$6,".",IF(A1947=".",1,A1947+1))</f>
        <v>.</v>
      </c>
      <c r="B1948" s="244" t="str">
        <f t="shared" si="30"/>
        <v>Knee Replacement PrimarySub-ICB of GP PracticeNHS SOMERSET ICB - 11X (11X)Oxford Knee Score</v>
      </c>
      <c r="C1948" t="s">
        <v>969</v>
      </c>
      <c r="D1948" t="s">
        <v>1021</v>
      </c>
      <c r="E1948" t="s">
        <v>913</v>
      </c>
      <c r="F1948" t="s">
        <v>914</v>
      </c>
      <c r="G1948" t="s">
        <v>972</v>
      </c>
      <c r="H1948">
        <v>212</v>
      </c>
      <c r="I1948">
        <v>19.589600000000001</v>
      </c>
      <c r="J1948">
        <v>38.033000000000001</v>
      </c>
      <c r="K1948">
        <v>18.4434</v>
      </c>
      <c r="L1948">
        <v>202</v>
      </c>
      <c r="M1948">
        <v>1</v>
      </c>
      <c r="N1948">
        <v>9</v>
      </c>
      <c r="O1948">
        <v>37.631999999999998</v>
      </c>
      <c r="P1948">
        <v>18.2437</v>
      </c>
      <c r="Q1948">
        <v>8.3012099999999993</v>
      </c>
    </row>
    <row r="1949" spans="1:17" x14ac:dyDescent="0.25">
      <c r="A1949" t="str">
        <f>IF(C1949&amp;G1949&amp;D1949&lt;&gt;'Funnel setup'!$K$3&amp;'Funnel setup'!$K$4&amp;'Funnel setup'!$K$6,".",IF(A1948=".",1,A1948+1))</f>
        <v>.</v>
      </c>
      <c r="B1949" s="244" t="str">
        <f t="shared" si="30"/>
        <v>Knee Replacement PrimarySub-ICB of GP PracticeNHS SOUTH EAST LONDON ICB - 72Q (72Q)Oxford Knee Score</v>
      </c>
      <c r="C1949" t="s">
        <v>969</v>
      </c>
      <c r="D1949" t="s">
        <v>1021</v>
      </c>
      <c r="E1949" t="s">
        <v>915</v>
      </c>
      <c r="F1949" t="s">
        <v>916</v>
      </c>
      <c r="G1949" t="s">
        <v>972</v>
      </c>
      <c r="H1949">
        <v>131</v>
      </c>
      <c r="I1949">
        <v>20.9542</v>
      </c>
      <c r="J1949">
        <v>35.480899999999998</v>
      </c>
      <c r="K1949">
        <v>14.5267</v>
      </c>
      <c r="L1949">
        <v>120</v>
      </c>
      <c r="M1949">
        <v>4</v>
      </c>
      <c r="N1949">
        <v>7</v>
      </c>
      <c r="O1949">
        <v>35.119500000000002</v>
      </c>
      <c r="P1949">
        <v>15.731199999999999</v>
      </c>
      <c r="Q1949">
        <v>8.5884</v>
      </c>
    </row>
    <row r="1950" spans="1:17" x14ac:dyDescent="0.25">
      <c r="A1950" t="str">
        <f>IF(C1950&amp;G1950&amp;D1950&lt;&gt;'Funnel setup'!$K$3&amp;'Funnel setup'!$K$4&amp;'Funnel setup'!$K$6,".",IF(A1949=".",1,A1949+1))</f>
        <v>.</v>
      </c>
      <c r="B1950" s="244" t="str">
        <f t="shared" si="30"/>
        <v>Knee Replacement PrimarySub-ICB of GP PracticeNHS SOUTH WEST LONDON ICB - 36L (36L)Oxford Knee Score</v>
      </c>
      <c r="C1950" t="s">
        <v>969</v>
      </c>
      <c r="D1950" t="s">
        <v>1021</v>
      </c>
      <c r="E1950" t="s">
        <v>917</v>
      </c>
      <c r="F1950" t="s">
        <v>918</v>
      </c>
      <c r="G1950" t="s">
        <v>972</v>
      </c>
      <c r="H1950">
        <v>494</v>
      </c>
      <c r="I1950">
        <v>19.862300000000001</v>
      </c>
      <c r="J1950">
        <v>36.194299999999998</v>
      </c>
      <c r="K1950">
        <v>16.332000000000001</v>
      </c>
      <c r="L1950">
        <v>470</v>
      </c>
      <c r="M1950">
        <v>2</v>
      </c>
      <c r="N1950">
        <v>22</v>
      </c>
      <c r="O1950">
        <v>36.257100000000001</v>
      </c>
      <c r="P1950">
        <v>16.8688</v>
      </c>
      <c r="Q1950">
        <v>8.2341499999999996</v>
      </c>
    </row>
    <row r="1951" spans="1:17" x14ac:dyDescent="0.25">
      <c r="A1951" t="str">
        <f>IF(C1951&amp;G1951&amp;D1951&lt;&gt;'Funnel setup'!$K$3&amp;'Funnel setup'!$K$4&amp;'Funnel setup'!$K$6,".",IF(A1950=".",1,A1950+1))</f>
        <v>.</v>
      </c>
      <c r="B1951" s="244" t="str">
        <f t="shared" si="30"/>
        <v>Knee Replacement PrimarySub-ICB of GP PracticeNHS SOUTH YORKSHIRE ICB - 02P (02P)Oxford Knee Score</v>
      </c>
      <c r="C1951" t="s">
        <v>969</v>
      </c>
      <c r="D1951" t="s">
        <v>1021</v>
      </c>
      <c r="E1951" t="s">
        <v>919</v>
      </c>
      <c r="F1951" t="s">
        <v>920</v>
      </c>
      <c r="G1951" t="s">
        <v>972</v>
      </c>
      <c r="H1951">
        <v>55</v>
      </c>
      <c r="I1951">
        <v>18.2727</v>
      </c>
      <c r="J1951">
        <v>34.6</v>
      </c>
      <c r="K1951">
        <v>16.327300000000001</v>
      </c>
      <c r="L1951">
        <v>49</v>
      </c>
      <c r="M1951">
        <v>2</v>
      </c>
      <c r="N1951">
        <v>4</v>
      </c>
      <c r="O1951">
        <v>36.080199999999998</v>
      </c>
      <c r="P1951">
        <v>16.6919</v>
      </c>
      <c r="Q1951">
        <v>9.7749900000000007</v>
      </c>
    </row>
    <row r="1952" spans="1:17" x14ac:dyDescent="0.25">
      <c r="A1952" t="str">
        <f>IF(C1952&amp;G1952&amp;D1952&lt;&gt;'Funnel setup'!$K$3&amp;'Funnel setup'!$K$4&amp;'Funnel setup'!$K$6,".",IF(A1951=".",1,A1951+1))</f>
        <v>.</v>
      </c>
      <c r="B1952" s="244" t="str">
        <f t="shared" si="30"/>
        <v>Knee Replacement PrimarySub-ICB of GP PracticeNHS SOUTH YORKSHIRE ICB - 02X (02X)Oxford Knee Score</v>
      </c>
      <c r="C1952" t="s">
        <v>969</v>
      </c>
      <c r="D1952" t="s">
        <v>1021</v>
      </c>
      <c r="E1952" t="s">
        <v>921</v>
      </c>
      <c r="F1952" t="s">
        <v>922</v>
      </c>
      <c r="G1952" t="s">
        <v>972</v>
      </c>
      <c r="H1952">
        <v>125</v>
      </c>
      <c r="I1952">
        <v>18.295999999999999</v>
      </c>
      <c r="J1952">
        <v>35.415999999999997</v>
      </c>
      <c r="K1952">
        <v>17.12</v>
      </c>
      <c r="L1952">
        <v>116</v>
      </c>
      <c r="M1952">
        <v>0</v>
      </c>
      <c r="N1952">
        <v>9</v>
      </c>
      <c r="O1952">
        <v>36.462299999999999</v>
      </c>
      <c r="P1952">
        <v>17.074000000000002</v>
      </c>
      <c r="Q1952">
        <v>9.2510600000000007</v>
      </c>
    </row>
    <row r="1953" spans="1:17" x14ac:dyDescent="0.25">
      <c r="A1953" t="str">
        <f>IF(C1953&amp;G1953&amp;D1953&lt;&gt;'Funnel setup'!$K$3&amp;'Funnel setup'!$K$4&amp;'Funnel setup'!$K$6,".",IF(A1952=".",1,A1952+1))</f>
        <v>.</v>
      </c>
      <c r="B1953" s="244" t="str">
        <f t="shared" si="30"/>
        <v>Knee Replacement PrimarySub-ICB of GP PracticeNHS SOUTH YORKSHIRE ICB - 03L (03L)Oxford Knee Score</v>
      </c>
      <c r="C1953" t="s">
        <v>969</v>
      </c>
      <c r="D1953" t="s">
        <v>1021</v>
      </c>
      <c r="E1953" t="s">
        <v>923</v>
      </c>
      <c r="F1953" t="s">
        <v>924</v>
      </c>
      <c r="G1953" t="s">
        <v>972</v>
      </c>
      <c r="H1953">
        <v>39</v>
      </c>
      <c r="I1953">
        <v>15.743600000000001</v>
      </c>
      <c r="J1953">
        <v>37.487200000000001</v>
      </c>
      <c r="K1953">
        <v>21.743600000000001</v>
      </c>
      <c r="L1953">
        <v>37</v>
      </c>
      <c r="M1953">
        <v>0</v>
      </c>
      <c r="N1953">
        <v>2</v>
      </c>
      <c r="O1953">
        <v>39.4955</v>
      </c>
      <c r="P1953">
        <v>20.107099999999999</v>
      </c>
      <c r="Q1953">
        <v>9.5216399999999997</v>
      </c>
    </row>
    <row r="1954" spans="1:17" x14ac:dyDescent="0.25">
      <c r="A1954" t="str">
        <f>IF(C1954&amp;G1954&amp;D1954&lt;&gt;'Funnel setup'!$K$3&amp;'Funnel setup'!$K$4&amp;'Funnel setup'!$K$6,".",IF(A1953=".",1,A1953+1))</f>
        <v>.</v>
      </c>
      <c r="B1954" s="244" t="str">
        <f t="shared" si="30"/>
        <v>Knee Replacement PrimarySub-ICB of GP PracticeNHS SOUTH YORKSHIRE ICB - 03N (03N)Oxford Knee Score</v>
      </c>
      <c r="C1954" t="s">
        <v>969</v>
      </c>
      <c r="D1954" t="s">
        <v>1021</v>
      </c>
      <c r="E1954" t="s">
        <v>925</v>
      </c>
      <c r="F1954" t="s">
        <v>926</v>
      </c>
      <c r="G1954" t="s">
        <v>972</v>
      </c>
      <c r="H1954">
        <v>39</v>
      </c>
      <c r="I1954">
        <v>19.538499999999999</v>
      </c>
      <c r="J1954">
        <v>38.1282</v>
      </c>
      <c r="K1954">
        <v>18.589700000000001</v>
      </c>
      <c r="L1954">
        <v>37</v>
      </c>
      <c r="M1954">
        <v>0</v>
      </c>
      <c r="N1954">
        <v>2</v>
      </c>
      <c r="O1954">
        <v>37.810499999999998</v>
      </c>
      <c r="P1954">
        <v>18.4222</v>
      </c>
      <c r="Q1954">
        <v>7.8672399999999998</v>
      </c>
    </row>
    <row r="1955" spans="1:17" x14ac:dyDescent="0.25">
      <c r="A1955" t="str">
        <f>IF(C1955&amp;G1955&amp;D1955&lt;&gt;'Funnel setup'!$K$3&amp;'Funnel setup'!$K$4&amp;'Funnel setup'!$K$6,".",IF(A1954=".",1,A1954+1))</f>
        <v>.</v>
      </c>
      <c r="B1955" s="244" t="str">
        <f t="shared" si="30"/>
        <v>Knee Replacement PrimarySub-ICB of GP PracticeNHS STAFFORDSHIRE AND STOKE-ON-TRENT ICB - 04Y (04Y)Oxford Knee Score</v>
      </c>
      <c r="C1955" t="s">
        <v>969</v>
      </c>
      <c r="D1955" t="s">
        <v>1021</v>
      </c>
      <c r="E1955" t="s">
        <v>927</v>
      </c>
      <c r="F1955" t="s">
        <v>928</v>
      </c>
      <c r="G1955" t="s">
        <v>972</v>
      </c>
      <c r="H1955">
        <v>25</v>
      </c>
      <c r="I1955">
        <v>19.88</v>
      </c>
      <c r="J1955">
        <v>38.840000000000003</v>
      </c>
      <c r="K1955">
        <v>18.96</v>
      </c>
      <c r="L1955">
        <v>24</v>
      </c>
      <c r="M1955">
        <v>0</v>
      </c>
      <c r="N1955">
        <v>1</v>
      </c>
      <c r="O1955" t="s">
        <v>127</v>
      </c>
      <c r="P1955" t="s">
        <v>127</v>
      </c>
      <c r="Q1955" t="s">
        <v>127</v>
      </c>
    </row>
    <row r="1956" spans="1:17" x14ac:dyDescent="0.25">
      <c r="A1956" t="str">
        <f>IF(C1956&amp;G1956&amp;D1956&lt;&gt;'Funnel setup'!$K$3&amp;'Funnel setup'!$K$4&amp;'Funnel setup'!$K$6,".",IF(A1955=".",1,A1955+1))</f>
        <v>.</v>
      </c>
      <c r="B1956" s="244" t="str">
        <f t="shared" si="30"/>
        <v>Knee Replacement PrimarySub-ICB of GP PracticeNHS STAFFORDSHIRE AND STOKE-ON-TRENT ICB - 05D (05D)Oxford Knee Score</v>
      </c>
      <c r="C1956" t="s">
        <v>969</v>
      </c>
      <c r="D1956" t="s">
        <v>1021</v>
      </c>
      <c r="E1956" t="s">
        <v>929</v>
      </c>
      <c r="F1956" t="s">
        <v>930</v>
      </c>
      <c r="G1956" t="s">
        <v>972</v>
      </c>
      <c r="H1956">
        <v>62</v>
      </c>
      <c r="I1956">
        <v>20.064499999999999</v>
      </c>
      <c r="J1956">
        <v>35.838700000000003</v>
      </c>
      <c r="K1956">
        <v>15.7742</v>
      </c>
      <c r="L1956">
        <v>59</v>
      </c>
      <c r="M1956">
        <v>0</v>
      </c>
      <c r="N1956">
        <v>3</v>
      </c>
      <c r="O1956">
        <v>35.425899999999999</v>
      </c>
      <c r="P1956">
        <v>16.037600000000001</v>
      </c>
      <c r="Q1956">
        <v>9.6175700000000006</v>
      </c>
    </row>
    <row r="1957" spans="1:17" x14ac:dyDescent="0.25">
      <c r="A1957" t="str">
        <f>IF(C1957&amp;G1957&amp;D1957&lt;&gt;'Funnel setup'!$K$3&amp;'Funnel setup'!$K$4&amp;'Funnel setup'!$K$6,".",IF(A1956=".",1,A1956+1))</f>
        <v>.</v>
      </c>
      <c r="B1957" s="244" t="str">
        <f t="shared" si="30"/>
        <v>Knee Replacement PrimarySub-ICB of GP PracticeNHS STAFFORDSHIRE AND STOKE-ON-TRENT ICB - 05G (05G)Oxford Knee Score</v>
      </c>
      <c r="C1957" t="s">
        <v>969</v>
      </c>
      <c r="D1957" t="s">
        <v>1021</v>
      </c>
      <c r="E1957" t="s">
        <v>931</v>
      </c>
      <c r="F1957" t="s">
        <v>932</v>
      </c>
      <c r="G1957" t="s">
        <v>972</v>
      </c>
      <c r="H1957">
        <v>47</v>
      </c>
      <c r="I1957">
        <v>17.914899999999999</v>
      </c>
      <c r="J1957">
        <v>36.106400000000001</v>
      </c>
      <c r="K1957">
        <v>18.191500000000001</v>
      </c>
      <c r="L1957">
        <v>46</v>
      </c>
      <c r="M1957">
        <v>0</v>
      </c>
      <c r="N1957">
        <v>1</v>
      </c>
      <c r="O1957">
        <v>36.744900000000001</v>
      </c>
      <c r="P1957">
        <v>17.3566</v>
      </c>
      <c r="Q1957">
        <v>7.6482299999999999</v>
      </c>
    </row>
    <row r="1958" spans="1:17" x14ac:dyDescent="0.25">
      <c r="A1958" t="str">
        <f>IF(C1958&amp;G1958&amp;D1958&lt;&gt;'Funnel setup'!$K$3&amp;'Funnel setup'!$K$4&amp;'Funnel setup'!$K$6,".",IF(A1957=".",1,A1957+1))</f>
        <v>.</v>
      </c>
      <c r="B1958" s="244" t="str">
        <f t="shared" si="30"/>
        <v>Knee Replacement PrimarySub-ICB of GP PracticeNHS STAFFORDSHIRE AND STOKE-ON-TRENT ICB - 05Q (05Q)Oxford Knee Score</v>
      </c>
      <c r="C1958" t="s">
        <v>969</v>
      </c>
      <c r="D1958" t="s">
        <v>1021</v>
      </c>
      <c r="E1958" t="s">
        <v>933</v>
      </c>
      <c r="F1958" t="s">
        <v>934</v>
      </c>
      <c r="G1958" t="s">
        <v>972</v>
      </c>
      <c r="H1958">
        <v>84</v>
      </c>
      <c r="I1958">
        <v>19.083300000000001</v>
      </c>
      <c r="J1958">
        <v>35.75</v>
      </c>
      <c r="K1958">
        <v>16.666699999999999</v>
      </c>
      <c r="L1958">
        <v>79</v>
      </c>
      <c r="M1958">
        <v>1</v>
      </c>
      <c r="N1958">
        <v>4</v>
      </c>
      <c r="O1958">
        <v>35.735399999999998</v>
      </c>
      <c r="P1958">
        <v>16.347100000000001</v>
      </c>
      <c r="Q1958">
        <v>8.7743400000000005</v>
      </c>
    </row>
    <row r="1959" spans="1:17" x14ac:dyDescent="0.25">
      <c r="A1959" t="str">
        <f>IF(C1959&amp;G1959&amp;D1959&lt;&gt;'Funnel setup'!$K$3&amp;'Funnel setup'!$K$4&amp;'Funnel setup'!$K$6,".",IF(A1958=".",1,A1958+1))</f>
        <v>.</v>
      </c>
      <c r="B1959" s="244" t="str">
        <f t="shared" si="30"/>
        <v>Knee Replacement PrimarySub-ICB of GP PracticeNHS STAFFORDSHIRE AND STOKE-ON-TRENT ICB - 05V (05V)Oxford Knee Score</v>
      </c>
      <c r="C1959" t="s">
        <v>969</v>
      </c>
      <c r="D1959" t="s">
        <v>1021</v>
      </c>
      <c r="E1959" t="s">
        <v>935</v>
      </c>
      <c r="F1959" t="s">
        <v>936</v>
      </c>
      <c r="G1959" t="s">
        <v>972</v>
      </c>
      <c r="H1959">
        <v>36</v>
      </c>
      <c r="I1959">
        <v>19.6389</v>
      </c>
      <c r="J1959">
        <v>39.1389</v>
      </c>
      <c r="K1959">
        <v>19.5</v>
      </c>
      <c r="L1959">
        <v>35</v>
      </c>
      <c r="M1959">
        <v>0</v>
      </c>
      <c r="N1959">
        <v>1</v>
      </c>
      <c r="O1959">
        <v>38.003100000000003</v>
      </c>
      <c r="P1959">
        <v>18.614799999999999</v>
      </c>
      <c r="Q1959">
        <v>7.4761100000000003</v>
      </c>
    </row>
    <row r="1960" spans="1:17" x14ac:dyDescent="0.25">
      <c r="A1960" t="str">
        <f>IF(C1960&amp;G1960&amp;D1960&lt;&gt;'Funnel setup'!$K$3&amp;'Funnel setup'!$K$4&amp;'Funnel setup'!$K$6,".",IF(A1959=".",1,A1959+1))</f>
        <v>.</v>
      </c>
      <c r="B1960" s="244" t="str">
        <f t="shared" si="30"/>
        <v>Knee Replacement PrimarySub-ICB of GP PracticeNHS STAFFORDSHIRE AND STOKE-ON-TRENT ICB - 05W (05W)Oxford Knee Score</v>
      </c>
      <c r="C1960" t="s">
        <v>969</v>
      </c>
      <c r="D1960" t="s">
        <v>1021</v>
      </c>
      <c r="E1960" t="s">
        <v>937</v>
      </c>
      <c r="F1960" t="s">
        <v>938</v>
      </c>
      <c r="G1960" t="s">
        <v>972</v>
      </c>
      <c r="H1960">
        <v>41</v>
      </c>
      <c r="I1960">
        <v>17.3171</v>
      </c>
      <c r="J1960">
        <v>34.731699999999996</v>
      </c>
      <c r="K1960">
        <v>17.4146</v>
      </c>
      <c r="L1960">
        <v>37</v>
      </c>
      <c r="M1960">
        <v>0</v>
      </c>
      <c r="N1960">
        <v>4</v>
      </c>
      <c r="O1960">
        <v>36.319800000000001</v>
      </c>
      <c r="P1960">
        <v>16.9315</v>
      </c>
      <c r="Q1960">
        <v>8.3194999999999997</v>
      </c>
    </row>
    <row r="1961" spans="1:17" x14ac:dyDescent="0.25">
      <c r="A1961" t="str">
        <f>IF(C1961&amp;G1961&amp;D1961&lt;&gt;'Funnel setup'!$K$3&amp;'Funnel setup'!$K$4&amp;'Funnel setup'!$K$6,".",IF(A1960=".",1,A1960+1))</f>
        <v>.</v>
      </c>
      <c r="B1961" s="244" t="str">
        <f t="shared" si="30"/>
        <v>Knee Replacement PrimarySub-ICB of GP PracticeNHS SUFFOLK AND NORTH EAST ESSEX ICB - 06L (06L)Oxford Knee Score</v>
      </c>
      <c r="C1961" t="s">
        <v>969</v>
      </c>
      <c r="D1961" t="s">
        <v>1021</v>
      </c>
      <c r="E1961" t="s">
        <v>939</v>
      </c>
      <c r="F1961" t="s">
        <v>940</v>
      </c>
      <c r="G1961" t="s">
        <v>972</v>
      </c>
      <c r="H1961">
        <v>120</v>
      </c>
      <c r="I1961">
        <v>17.916699999999999</v>
      </c>
      <c r="J1961">
        <v>37.558300000000003</v>
      </c>
      <c r="K1961">
        <v>19.6417</v>
      </c>
      <c r="L1961">
        <v>117</v>
      </c>
      <c r="M1961">
        <v>0</v>
      </c>
      <c r="N1961">
        <v>3</v>
      </c>
      <c r="O1961">
        <v>38.145800000000001</v>
      </c>
      <c r="P1961">
        <v>18.7575</v>
      </c>
      <c r="Q1961">
        <v>7.7892999999999999</v>
      </c>
    </row>
    <row r="1962" spans="1:17" x14ac:dyDescent="0.25">
      <c r="A1962" t="str">
        <f>IF(C1962&amp;G1962&amp;D1962&lt;&gt;'Funnel setup'!$K$3&amp;'Funnel setup'!$K$4&amp;'Funnel setup'!$K$6,".",IF(A1961=".",1,A1961+1))</f>
        <v>.</v>
      </c>
      <c r="B1962" s="244" t="str">
        <f t="shared" si="30"/>
        <v>Knee Replacement PrimarySub-ICB of GP PracticeNHS SUFFOLK AND NORTH EAST ESSEX ICB - 06T (06T)Oxford Knee Score</v>
      </c>
      <c r="C1962" t="s">
        <v>969</v>
      </c>
      <c r="D1962" t="s">
        <v>1021</v>
      </c>
      <c r="E1962" t="s">
        <v>941</v>
      </c>
      <c r="F1962" t="s">
        <v>942</v>
      </c>
      <c r="G1962" t="s">
        <v>972</v>
      </c>
      <c r="H1962">
        <v>30</v>
      </c>
      <c r="I1962">
        <v>17.666699999999999</v>
      </c>
      <c r="J1962">
        <v>34.6</v>
      </c>
      <c r="K1962">
        <v>16.933299999999999</v>
      </c>
      <c r="L1962">
        <v>29</v>
      </c>
      <c r="M1962">
        <v>0</v>
      </c>
      <c r="N1962">
        <v>1</v>
      </c>
      <c r="O1962">
        <v>35.5137</v>
      </c>
      <c r="P1962">
        <v>16.125399999999999</v>
      </c>
      <c r="Q1962">
        <v>6.7521599999999999</v>
      </c>
    </row>
    <row r="1963" spans="1:17" x14ac:dyDescent="0.25">
      <c r="A1963" t="str">
        <f>IF(C1963&amp;G1963&amp;D1963&lt;&gt;'Funnel setup'!$K$3&amp;'Funnel setup'!$K$4&amp;'Funnel setup'!$K$6,".",IF(A1962=".",1,A1962+1))</f>
        <v>.</v>
      </c>
      <c r="B1963" s="244" t="str">
        <f t="shared" si="30"/>
        <v>Knee Replacement PrimarySub-ICB of GP PracticeNHS SUFFOLK AND NORTH EAST ESSEX ICB - 07K (07K)Oxford Knee Score</v>
      </c>
      <c r="C1963" t="s">
        <v>969</v>
      </c>
      <c r="D1963" t="s">
        <v>1021</v>
      </c>
      <c r="E1963" t="s">
        <v>943</v>
      </c>
      <c r="F1963" t="s">
        <v>944</v>
      </c>
      <c r="G1963" t="s">
        <v>972</v>
      </c>
      <c r="H1963">
        <v>92</v>
      </c>
      <c r="I1963">
        <v>17.554300000000001</v>
      </c>
      <c r="J1963">
        <v>36.032600000000002</v>
      </c>
      <c r="K1963">
        <v>18.478300000000001</v>
      </c>
      <c r="L1963">
        <v>88</v>
      </c>
      <c r="M1963">
        <v>1</v>
      </c>
      <c r="N1963">
        <v>3</v>
      </c>
      <c r="O1963">
        <v>36.101399999999998</v>
      </c>
      <c r="P1963">
        <v>16.713100000000001</v>
      </c>
      <c r="Q1963">
        <v>8.2124699999999997</v>
      </c>
    </row>
    <row r="1964" spans="1:17" x14ac:dyDescent="0.25">
      <c r="A1964" t="str">
        <f>IF(C1964&amp;G1964&amp;D1964&lt;&gt;'Funnel setup'!$K$3&amp;'Funnel setup'!$K$4&amp;'Funnel setup'!$K$6,".",IF(A1963=".",1,A1963+1))</f>
        <v>.</v>
      </c>
      <c r="B1964" s="244" t="str">
        <f t="shared" si="30"/>
        <v>Knee Replacement PrimarySub-ICB of GP PracticeNHS SURREY HEARTLANDS ICB - 92A (92A)Oxford Knee Score</v>
      </c>
      <c r="C1964" t="s">
        <v>969</v>
      </c>
      <c r="D1964" t="s">
        <v>1021</v>
      </c>
      <c r="E1964" t="s">
        <v>945</v>
      </c>
      <c r="F1964" t="s">
        <v>946</v>
      </c>
      <c r="G1964" t="s">
        <v>972</v>
      </c>
      <c r="H1964">
        <v>332</v>
      </c>
      <c r="I1964">
        <v>21.924700000000001</v>
      </c>
      <c r="J1964">
        <v>38.771099999999997</v>
      </c>
      <c r="K1964">
        <v>16.846399999999999</v>
      </c>
      <c r="L1964">
        <v>317</v>
      </c>
      <c r="M1964">
        <v>3</v>
      </c>
      <c r="N1964">
        <v>12</v>
      </c>
      <c r="O1964">
        <v>37.061199999999999</v>
      </c>
      <c r="P1964">
        <v>17.672899999999998</v>
      </c>
      <c r="Q1964">
        <v>7.6972800000000001</v>
      </c>
    </row>
    <row r="1965" spans="1:17" x14ac:dyDescent="0.25">
      <c r="A1965" t="str">
        <f>IF(C1965&amp;G1965&amp;D1965&lt;&gt;'Funnel setup'!$K$3&amp;'Funnel setup'!$K$4&amp;'Funnel setup'!$K$6,".",IF(A1964=".",1,A1964+1))</f>
        <v>.</v>
      </c>
      <c r="B1965" s="244" t="str">
        <f t="shared" si="30"/>
        <v>Knee Replacement PrimarySub-ICB of GP PracticeNHS SUSSEX ICB - 09D (09D)Oxford Knee Score</v>
      </c>
      <c r="C1965" t="s">
        <v>969</v>
      </c>
      <c r="D1965" t="s">
        <v>1021</v>
      </c>
      <c r="E1965" t="s">
        <v>947</v>
      </c>
      <c r="F1965" t="s">
        <v>948</v>
      </c>
      <c r="G1965" t="s">
        <v>972</v>
      </c>
      <c r="H1965">
        <v>28</v>
      </c>
      <c r="I1965">
        <v>22.5</v>
      </c>
      <c r="J1965">
        <v>39.107100000000003</v>
      </c>
      <c r="K1965">
        <v>16.607099999999999</v>
      </c>
      <c r="L1965">
        <v>27</v>
      </c>
      <c r="M1965">
        <v>1</v>
      </c>
      <c r="N1965">
        <v>0</v>
      </c>
      <c r="O1965" t="s">
        <v>127</v>
      </c>
      <c r="P1965" t="s">
        <v>127</v>
      </c>
      <c r="Q1965" t="s">
        <v>127</v>
      </c>
    </row>
    <row r="1966" spans="1:17" x14ac:dyDescent="0.25">
      <c r="A1966" t="str">
        <f>IF(C1966&amp;G1966&amp;D1966&lt;&gt;'Funnel setup'!$K$3&amp;'Funnel setup'!$K$4&amp;'Funnel setup'!$K$6,".",IF(A1965=".",1,A1965+1))</f>
        <v>.</v>
      </c>
      <c r="B1966" s="244" t="str">
        <f t="shared" si="30"/>
        <v>Knee Replacement PrimarySub-ICB of GP PracticeNHS SUSSEX ICB - 70F (70F)Oxford Knee Score</v>
      </c>
      <c r="C1966" t="s">
        <v>969</v>
      </c>
      <c r="D1966" t="s">
        <v>1021</v>
      </c>
      <c r="E1966" t="s">
        <v>949</v>
      </c>
      <c r="F1966" t="s">
        <v>950</v>
      </c>
      <c r="G1966" t="s">
        <v>972</v>
      </c>
      <c r="H1966">
        <v>230</v>
      </c>
      <c r="I1966">
        <v>19.3261</v>
      </c>
      <c r="J1966">
        <v>37.047800000000002</v>
      </c>
      <c r="K1966">
        <v>17.721699999999998</v>
      </c>
      <c r="L1966">
        <v>219</v>
      </c>
      <c r="M1966">
        <v>2</v>
      </c>
      <c r="N1966">
        <v>9</v>
      </c>
      <c r="O1966">
        <v>36.668300000000002</v>
      </c>
      <c r="P1966">
        <v>17.279900000000001</v>
      </c>
      <c r="Q1966">
        <v>8.2426399999999997</v>
      </c>
    </row>
    <row r="1967" spans="1:17" x14ac:dyDescent="0.25">
      <c r="A1967" t="str">
        <f>IF(C1967&amp;G1967&amp;D1967&lt;&gt;'Funnel setup'!$K$3&amp;'Funnel setup'!$K$4&amp;'Funnel setup'!$K$6,".",IF(A1966=".",1,A1966+1))</f>
        <v>.</v>
      </c>
      <c r="B1967" s="244" t="str">
        <f t="shared" si="30"/>
        <v>Knee Replacement PrimarySub-ICB of GP PracticeNHS SUSSEX ICB - 97R (97R)Oxford Knee Score</v>
      </c>
      <c r="C1967" t="s">
        <v>969</v>
      </c>
      <c r="D1967" t="s">
        <v>1021</v>
      </c>
      <c r="E1967" t="s">
        <v>951</v>
      </c>
      <c r="F1967" t="s">
        <v>952</v>
      </c>
      <c r="G1967" t="s">
        <v>972</v>
      </c>
      <c r="H1967">
        <v>311</v>
      </c>
      <c r="I1967">
        <v>21.874600000000001</v>
      </c>
      <c r="J1967">
        <v>38.405099999999997</v>
      </c>
      <c r="K1967">
        <v>16.5305</v>
      </c>
      <c r="L1967">
        <v>297</v>
      </c>
      <c r="M1967">
        <v>0</v>
      </c>
      <c r="N1967">
        <v>14</v>
      </c>
      <c r="O1967">
        <v>37.293399999999998</v>
      </c>
      <c r="P1967">
        <v>17.905100000000001</v>
      </c>
      <c r="Q1967">
        <v>8.0155799999999999</v>
      </c>
    </row>
    <row r="1968" spans="1:17" x14ac:dyDescent="0.25">
      <c r="A1968" t="str">
        <f>IF(C1968&amp;G1968&amp;D1968&lt;&gt;'Funnel setup'!$K$3&amp;'Funnel setup'!$K$4&amp;'Funnel setup'!$K$6,".",IF(A1967=".",1,A1967+1))</f>
        <v>.</v>
      </c>
      <c r="B1968" s="244" t="str">
        <f t="shared" si="30"/>
        <v>Knee Replacement PrimarySub-ICB of GP PracticeNHS WEST YORKSHIRE ICB - 02T (02T)Oxford Knee Score</v>
      </c>
      <c r="C1968" t="s">
        <v>969</v>
      </c>
      <c r="D1968" t="s">
        <v>1021</v>
      </c>
      <c r="E1968" t="s">
        <v>953</v>
      </c>
      <c r="F1968" t="s">
        <v>954</v>
      </c>
      <c r="G1968" t="s">
        <v>972</v>
      </c>
      <c r="H1968">
        <v>43</v>
      </c>
      <c r="I1968">
        <v>19.325600000000001</v>
      </c>
      <c r="J1968">
        <v>37.511600000000001</v>
      </c>
      <c r="K1968">
        <v>18.186</v>
      </c>
      <c r="L1968">
        <v>41</v>
      </c>
      <c r="M1968">
        <v>0</v>
      </c>
      <c r="N1968">
        <v>2</v>
      </c>
      <c r="O1968">
        <v>37.399799999999999</v>
      </c>
      <c r="P1968">
        <v>18.011500000000002</v>
      </c>
      <c r="Q1968">
        <v>9.2401700000000009</v>
      </c>
    </row>
    <row r="1969" spans="1:17" x14ac:dyDescent="0.25">
      <c r="A1969" t="str">
        <f>IF(C1969&amp;G1969&amp;D1969&lt;&gt;'Funnel setup'!$K$3&amp;'Funnel setup'!$K$4&amp;'Funnel setup'!$K$6,".",IF(A1968=".",1,A1968+1))</f>
        <v>.</v>
      </c>
      <c r="B1969" s="244" t="str">
        <f t="shared" si="30"/>
        <v>Knee Replacement PrimarySub-ICB of GP PracticeNHS WEST YORKSHIRE ICB - 03R (03R)Oxford Knee Score</v>
      </c>
      <c r="C1969" t="s">
        <v>969</v>
      </c>
      <c r="D1969" t="s">
        <v>1021</v>
      </c>
      <c r="E1969" t="s">
        <v>955</v>
      </c>
      <c r="F1969" t="s">
        <v>956</v>
      </c>
      <c r="G1969" t="s">
        <v>972</v>
      </c>
      <c r="H1969">
        <v>182</v>
      </c>
      <c r="I1969">
        <v>18.560400000000001</v>
      </c>
      <c r="J1969">
        <v>36.395600000000002</v>
      </c>
      <c r="K1969">
        <v>17.8352</v>
      </c>
      <c r="L1969">
        <v>170</v>
      </c>
      <c r="M1969">
        <v>0</v>
      </c>
      <c r="N1969">
        <v>12</v>
      </c>
      <c r="O1969">
        <v>36.758499999999998</v>
      </c>
      <c r="P1969">
        <v>17.370200000000001</v>
      </c>
      <c r="Q1969">
        <v>9.1255299999999995</v>
      </c>
    </row>
    <row r="1970" spans="1:17" x14ac:dyDescent="0.25">
      <c r="A1970" t="str">
        <f>IF(C1970&amp;G1970&amp;D1970&lt;&gt;'Funnel setup'!$K$3&amp;'Funnel setup'!$K$4&amp;'Funnel setup'!$K$6,".",IF(A1969=".",1,A1969+1))</f>
        <v>.</v>
      </c>
      <c r="B1970" s="244" t="str">
        <f t="shared" si="30"/>
        <v>Knee Replacement PrimarySub-ICB of GP PracticeNHS WEST YORKSHIRE ICB - 15F (15F)Oxford Knee Score</v>
      </c>
      <c r="C1970" t="s">
        <v>969</v>
      </c>
      <c r="D1970" t="s">
        <v>1021</v>
      </c>
      <c r="E1970" t="s">
        <v>957</v>
      </c>
      <c r="F1970" t="s">
        <v>958</v>
      </c>
      <c r="G1970" t="s">
        <v>972</v>
      </c>
      <c r="H1970">
        <v>263</v>
      </c>
      <c r="I1970">
        <v>19.9848</v>
      </c>
      <c r="J1970">
        <v>37.406799999999997</v>
      </c>
      <c r="K1970">
        <v>17.4221</v>
      </c>
      <c r="L1970">
        <v>255</v>
      </c>
      <c r="M1970">
        <v>2</v>
      </c>
      <c r="N1970">
        <v>6</v>
      </c>
      <c r="O1970">
        <v>37.031100000000002</v>
      </c>
      <c r="P1970">
        <v>17.642800000000001</v>
      </c>
      <c r="Q1970">
        <v>8.0435700000000008</v>
      </c>
    </row>
    <row r="1971" spans="1:17" x14ac:dyDescent="0.25">
      <c r="A1971" t="str">
        <f>IF(C1971&amp;G1971&amp;D1971&lt;&gt;'Funnel setup'!$K$3&amp;'Funnel setup'!$K$4&amp;'Funnel setup'!$K$6,".",IF(A1970=".",1,A1970+1))</f>
        <v>.</v>
      </c>
      <c r="B1971" s="244" t="str">
        <f t="shared" si="30"/>
        <v>Knee Replacement PrimarySub-ICB of GP PracticeNHS WEST YORKSHIRE ICB - 36J (36J)Oxford Knee Score</v>
      </c>
      <c r="C1971" t="s">
        <v>969</v>
      </c>
      <c r="D1971" t="s">
        <v>1021</v>
      </c>
      <c r="E1971" t="s">
        <v>959</v>
      </c>
      <c r="F1971" t="s">
        <v>960</v>
      </c>
      <c r="G1971" t="s">
        <v>972</v>
      </c>
      <c r="H1971">
        <v>71</v>
      </c>
      <c r="I1971">
        <v>19.929600000000001</v>
      </c>
      <c r="J1971">
        <v>36.450699999999998</v>
      </c>
      <c r="K1971">
        <v>16.521100000000001</v>
      </c>
      <c r="L1971">
        <v>66</v>
      </c>
      <c r="M1971">
        <v>1</v>
      </c>
      <c r="N1971">
        <v>4</v>
      </c>
      <c r="O1971">
        <v>36.958500000000001</v>
      </c>
      <c r="P1971">
        <v>17.5702</v>
      </c>
      <c r="Q1971">
        <v>9.0703700000000005</v>
      </c>
    </row>
    <row r="1972" spans="1:17" x14ac:dyDescent="0.25">
      <c r="A1972" t="str">
        <f>IF(C1972&amp;G1972&amp;D1972&lt;&gt;'Funnel setup'!$K$3&amp;'Funnel setup'!$K$4&amp;'Funnel setup'!$K$6,".",IF(A1971=".",1,A1971+1))</f>
        <v>.</v>
      </c>
      <c r="B1972" s="244" t="str">
        <f t="shared" si="30"/>
        <v>Knee Replacement PrimarySub-ICB of GP PracticeNHS WEST YORKSHIRE ICB - X2C4Y (X2C4Y)Oxford Knee Score</v>
      </c>
      <c r="C1972" t="s">
        <v>969</v>
      </c>
      <c r="D1972" t="s">
        <v>1021</v>
      </c>
      <c r="E1972" t="s">
        <v>961</v>
      </c>
      <c r="F1972" t="s">
        <v>962</v>
      </c>
      <c r="G1972" t="s">
        <v>972</v>
      </c>
      <c r="H1972">
        <v>108</v>
      </c>
      <c r="I1972">
        <v>20.305599999999998</v>
      </c>
      <c r="J1972">
        <v>36.574100000000001</v>
      </c>
      <c r="K1972">
        <v>16.2685</v>
      </c>
      <c r="L1972">
        <v>98</v>
      </c>
      <c r="M1972">
        <v>2</v>
      </c>
      <c r="N1972">
        <v>8</v>
      </c>
      <c r="O1972">
        <v>36.247</v>
      </c>
      <c r="P1972">
        <v>16.858599999999999</v>
      </c>
      <c r="Q1972">
        <v>9.7285199999999996</v>
      </c>
    </row>
    <row r="1973" spans="1:17" x14ac:dyDescent="0.25">
      <c r="A1973" t="str">
        <f>IF(C1973&amp;G1973&amp;D1973&lt;&gt;'Funnel setup'!$K$3&amp;'Funnel setup'!$K$4&amp;'Funnel setup'!$K$6,".",IF(A1972=".",1,A1972+1))</f>
        <v>.</v>
      </c>
      <c r="B1973" s="244" t="str">
        <f t="shared" si="30"/>
        <v>Knee Replacement PrimaryEnglandEnglandEQ VAS</v>
      </c>
      <c r="C1973" t="s">
        <v>969</v>
      </c>
      <c r="D1973" t="s">
        <v>122</v>
      </c>
      <c r="E1973" t="s">
        <v>122</v>
      </c>
      <c r="F1973" t="s">
        <v>122</v>
      </c>
      <c r="G1973" t="s">
        <v>752</v>
      </c>
      <c r="H1973">
        <v>13609</v>
      </c>
      <c r="I1973">
        <v>65.528400000000005</v>
      </c>
      <c r="J1973">
        <v>73.935199999999995</v>
      </c>
      <c r="K1973">
        <v>8.4067900000000009</v>
      </c>
      <c r="L1973">
        <v>8343</v>
      </c>
      <c r="M1973">
        <v>1442</v>
      </c>
      <c r="N1973">
        <v>3824</v>
      </c>
      <c r="O1973">
        <v>73.935199999999995</v>
      </c>
      <c r="P1973">
        <v>8.4067900000000009</v>
      </c>
      <c r="Q1973">
        <v>16.869199999999999</v>
      </c>
    </row>
    <row r="1974" spans="1:17" x14ac:dyDescent="0.25">
      <c r="A1974" t="str">
        <f>IF(C1974&amp;G1974&amp;D1974&lt;&gt;'Funnel setup'!$K$3&amp;'Funnel setup'!$K$4&amp;'Funnel setup'!$K$6,".",IF(A1973=".",1,A1973+1))</f>
        <v>.</v>
      </c>
      <c r="B1974" s="244" t="str">
        <f t="shared" si="30"/>
        <v>Knee Replacement PrimaryEnglandEnglandEQ-5D Index</v>
      </c>
      <c r="C1974" t="s">
        <v>969</v>
      </c>
      <c r="D1974" t="s">
        <v>122</v>
      </c>
      <c r="E1974" t="s">
        <v>122</v>
      </c>
      <c r="F1974" t="s">
        <v>122</v>
      </c>
      <c r="G1974" t="s">
        <v>963</v>
      </c>
      <c r="H1974">
        <v>14210</v>
      </c>
      <c r="I1974">
        <v>0.42879600000000001</v>
      </c>
      <c r="J1974">
        <v>0.75302100000000005</v>
      </c>
      <c r="K1974">
        <v>0.32422499999999999</v>
      </c>
      <c r="L1974">
        <v>11703</v>
      </c>
      <c r="M1974">
        <v>1220</v>
      </c>
      <c r="N1974">
        <v>1287</v>
      </c>
      <c r="O1974">
        <v>0.75302100000000005</v>
      </c>
      <c r="P1974">
        <v>0.32422499999999999</v>
      </c>
      <c r="Q1974">
        <v>0.22898499999999999</v>
      </c>
    </row>
    <row r="1975" spans="1:17" x14ac:dyDescent="0.25">
      <c r="A1975" t="str">
        <f>IF(C1975&amp;G1975&amp;D1975&lt;&gt;'Funnel setup'!$K$3&amp;'Funnel setup'!$K$4&amp;'Funnel setup'!$K$6,".",IF(A1974=".",1,A1974+1))</f>
        <v>.</v>
      </c>
      <c r="B1975" s="244" t="str">
        <f t="shared" si="30"/>
        <v>Knee Replacement PrimaryEnglandEnglandOxford Knee Score</v>
      </c>
      <c r="C1975" t="s">
        <v>969</v>
      </c>
      <c r="D1975" t="s">
        <v>122</v>
      </c>
      <c r="E1975" t="s">
        <v>122</v>
      </c>
      <c r="F1975" t="s">
        <v>122</v>
      </c>
      <c r="G1975" t="s">
        <v>972</v>
      </c>
      <c r="H1975">
        <v>15016</v>
      </c>
      <c r="I1975">
        <v>19.388300000000001</v>
      </c>
      <c r="J1975">
        <v>37.013100000000001</v>
      </c>
      <c r="K1975">
        <v>17.624700000000001</v>
      </c>
      <c r="L1975">
        <v>14289</v>
      </c>
      <c r="M1975">
        <v>114</v>
      </c>
      <c r="N1975">
        <v>613</v>
      </c>
      <c r="O1975">
        <v>37.013100000000001</v>
      </c>
      <c r="P1975">
        <v>17.624700000000001</v>
      </c>
      <c r="Q1975">
        <v>8.3795699999999993</v>
      </c>
    </row>
    <row r="1976" spans="1:17" x14ac:dyDescent="0.25">
      <c r="A1976" t="str">
        <f>IF(C1976&amp;G1976&amp;D1976&lt;&gt;'Funnel setup'!$K$3&amp;'Funnel setup'!$K$4&amp;'Funnel setup'!$K$6,".",IF(A1975=".",1,A1975+1))</f>
        <v>.</v>
      </c>
      <c r="B1976" s="244" t="str">
        <f t="shared" si="30"/>
        <v>Knee Replacement PrimaryProviderSULIS HOSPITAL BATHEQ VAS</v>
      </c>
      <c r="C1976" t="s">
        <v>969</v>
      </c>
      <c r="D1976" t="s">
        <v>965</v>
      </c>
      <c r="E1976" t="s">
        <v>732</v>
      </c>
      <c r="F1976" t="s">
        <v>1325</v>
      </c>
      <c r="G1976" t="s">
        <v>752</v>
      </c>
      <c r="H1976">
        <v>35</v>
      </c>
      <c r="I1976">
        <v>64.857100000000003</v>
      </c>
      <c r="J1976">
        <v>73.6571</v>
      </c>
      <c r="K1976">
        <v>8.8000000000000007</v>
      </c>
      <c r="L1976">
        <v>22</v>
      </c>
      <c r="M1976">
        <v>5</v>
      </c>
      <c r="N1976">
        <v>8</v>
      </c>
      <c r="O1976">
        <v>72.519300000000001</v>
      </c>
      <c r="P1976">
        <v>6.9909499999999998</v>
      </c>
      <c r="Q1976">
        <v>13.932399999999999</v>
      </c>
    </row>
    <row r="1977" spans="1:17" x14ac:dyDescent="0.25">
      <c r="A1977" t="str">
        <f>IF(C1977&amp;G1977&amp;D1977&lt;&gt;'Funnel setup'!$K$3&amp;'Funnel setup'!$K$4&amp;'Funnel setup'!$K$6,".",IF(A1976=".",1,A1976+1))</f>
        <v>.</v>
      </c>
      <c r="B1977" s="244" t="str">
        <f t="shared" si="30"/>
        <v>Knee Replacement PrimaryProviderAIREDALE NHS FOUNDATION TRUST (RCF)EQ VAS</v>
      </c>
      <c r="C1977" t="s">
        <v>969</v>
      </c>
      <c r="D1977" t="s">
        <v>965</v>
      </c>
      <c r="E1977" t="s">
        <v>125</v>
      </c>
      <c r="F1977" t="s">
        <v>126</v>
      </c>
      <c r="G1977" t="s">
        <v>752</v>
      </c>
      <c r="H1977">
        <v>29</v>
      </c>
      <c r="I1977">
        <v>70.241399999999999</v>
      </c>
      <c r="J1977">
        <v>78.413799999999995</v>
      </c>
      <c r="K1977">
        <v>8.1724099999999993</v>
      </c>
      <c r="L1977">
        <v>14</v>
      </c>
      <c r="M1977">
        <v>7</v>
      </c>
      <c r="N1977">
        <v>8</v>
      </c>
      <c r="O1977" t="s">
        <v>127</v>
      </c>
      <c r="P1977" t="s">
        <v>127</v>
      </c>
      <c r="Q1977" t="s">
        <v>127</v>
      </c>
    </row>
    <row r="1978" spans="1:17" x14ac:dyDescent="0.25">
      <c r="A1978" t="str">
        <f>IF(C1978&amp;G1978&amp;D1978&lt;&gt;'Funnel setup'!$K$3&amp;'Funnel setup'!$K$4&amp;'Funnel setup'!$K$6,".",IF(A1977=".",1,A1977+1))</f>
        <v>.</v>
      </c>
      <c r="B1978" s="244" t="str">
        <f t="shared" si="30"/>
        <v>Knee Replacement PrimaryProviderALEXANDRA HOSPITAL (NT401)EQ VAS</v>
      </c>
      <c r="C1978" t="s">
        <v>969</v>
      </c>
      <c r="D1978" t="s">
        <v>965</v>
      </c>
      <c r="E1978" t="s">
        <v>130</v>
      </c>
      <c r="F1978" t="s">
        <v>131</v>
      </c>
      <c r="G1978" t="s">
        <v>752</v>
      </c>
      <c r="H1978">
        <v>44</v>
      </c>
      <c r="I1978">
        <v>63.636400000000002</v>
      </c>
      <c r="J1978">
        <v>73.25</v>
      </c>
      <c r="K1978">
        <v>9.6136400000000002</v>
      </c>
      <c r="L1978">
        <v>30</v>
      </c>
      <c r="M1978">
        <v>2</v>
      </c>
      <c r="N1978">
        <v>12</v>
      </c>
      <c r="O1978">
        <v>73.094899999999996</v>
      </c>
      <c r="P1978">
        <v>7.5665300000000002</v>
      </c>
      <c r="Q1978">
        <v>18.705200000000001</v>
      </c>
    </row>
    <row r="1979" spans="1:17" x14ac:dyDescent="0.25">
      <c r="A1979" t="str">
        <f>IF(C1979&amp;G1979&amp;D1979&lt;&gt;'Funnel setup'!$K$3&amp;'Funnel setup'!$K$4&amp;'Funnel setup'!$K$6,".",IF(A1978=".",1,A1978+1))</f>
        <v>.</v>
      </c>
      <c r="B1979" s="244" t="str">
        <f t="shared" si="30"/>
        <v>Knee Replacement PrimaryProviderASHFORD AND ST PETER'S HOSPITALS NHS FOUNDATION TRUST (RTK)EQ VAS</v>
      </c>
      <c r="C1979" t="s">
        <v>969</v>
      </c>
      <c r="D1979" t="s">
        <v>965</v>
      </c>
      <c r="E1979" t="s">
        <v>132</v>
      </c>
      <c r="F1979" t="s">
        <v>133</v>
      </c>
      <c r="G1979" t="s">
        <v>752</v>
      </c>
      <c r="H1979">
        <v>28</v>
      </c>
      <c r="I1979">
        <v>72.178600000000003</v>
      </c>
      <c r="J1979">
        <v>77.464299999999994</v>
      </c>
      <c r="K1979">
        <v>5.2857099999999999</v>
      </c>
      <c r="L1979">
        <v>16</v>
      </c>
      <c r="M1979">
        <v>2</v>
      </c>
      <c r="N1979">
        <v>10</v>
      </c>
      <c r="O1979" t="s">
        <v>127</v>
      </c>
      <c r="P1979" t="s">
        <v>127</v>
      </c>
      <c r="Q1979" t="s">
        <v>127</v>
      </c>
    </row>
    <row r="1980" spans="1:17" x14ac:dyDescent="0.25">
      <c r="A1980" t="str">
        <f>IF(C1980&amp;G1980&amp;D1980&lt;&gt;'Funnel setup'!$K$3&amp;'Funnel setup'!$K$4&amp;'Funnel setup'!$K$6,".",IF(A1979=".",1,A1979+1))</f>
        <v>.</v>
      </c>
      <c r="B1980" s="244" t="str">
        <f t="shared" si="30"/>
        <v>Knee Replacement PrimaryProviderASHTEAD HOSPITAL (NVC01)EQ VAS</v>
      </c>
      <c r="C1980" t="s">
        <v>969</v>
      </c>
      <c r="D1980" t="s">
        <v>965</v>
      </c>
      <c r="E1980" t="s">
        <v>134</v>
      </c>
      <c r="F1980" t="s">
        <v>135</v>
      </c>
      <c r="G1980" t="s">
        <v>752</v>
      </c>
      <c r="H1980">
        <v>4</v>
      </c>
      <c r="I1980">
        <v>70</v>
      </c>
      <c r="J1980">
        <v>90.5</v>
      </c>
      <c r="K1980">
        <v>20.5</v>
      </c>
      <c r="L1980">
        <v>3</v>
      </c>
      <c r="M1980">
        <v>0</v>
      </c>
      <c r="N1980">
        <v>1</v>
      </c>
      <c r="O1980" t="s">
        <v>127</v>
      </c>
      <c r="P1980" t="s">
        <v>127</v>
      </c>
      <c r="Q1980" t="s">
        <v>127</v>
      </c>
    </row>
    <row r="1981" spans="1:17" x14ac:dyDescent="0.25">
      <c r="A1981" t="str">
        <f>IF(C1981&amp;G1981&amp;D1981&lt;&gt;'Funnel setup'!$K$3&amp;'Funnel setup'!$K$4&amp;'Funnel setup'!$K$6,".",IF(A1980=".",1,A1980+1))</f>
        <v>.</v>
      </c>
      <c r="B1981" s="244" t="str">
        <f t="shared" si="30"/>
        <v>Knee Replacement PrimaryProviderBARKING, HAVERING AND REDBRIDGE UNIVERSITY HOSPITALS NHS TRUST (RF4)EQ VAS</v>
      </c>
      <c r="C1981" t="s">
        <v>969</v>
      </c>
      <c r="D1981" t="s">
        <v>965</v>
      </c>
      <c r="E1981" t="s">
        <v>144</v>
      </c>
      <c r="F1981" t="s">
        <v>145</v>
      </c>
      <c r="G1981" t="s">
        <v>752</v>
      </c>
      <c r="H1981">
        <v>52</v>
      </c>
      <c r="I1981">
        <v>61.134599999999999</v>
      </c>
      <c r="J1981">
        <v>71.923100000000005</v>
      </c>
      <c r="K1981">
        <v>10.788500000000001</v>
      </c>
      <c r="L1981">
        <v>37</v>
      </c>
      <c r="M1981">
        <v>5</v>
      </c>
      <c r="N1981">
        <v>10</v>
      </c>
      <c r="O1981">
        <v>75.721900000000005</v>
      </c>
      <c r="P1981">
        <v>10.1935</v>
      </c>
      <c r="Q1981">
        <v>14.743499999999999</v>
      </c>
    </row>
    <row r="1982" spans="1:17" x14ac:dyDescent="0.25">
      <c r="A1982" t="str">
        <f>IF(C1982&amp;G1982&amp;D1982&lt;&gt;'Funnel setup'!$K$3&amp;'Funnel setup'!$K$4&amp;'Funnel setup'!$K$6,".",IF(A1981=".",1,A1981+1))</f>
        <v>.</v>
      </c>
      <c r="B1982" s="244" t="str">
        <f t="shared" si="30"/>
        <v>Knee Replacement PrimaryProviderBARNSLEY HOSPITAL NHS FOUNDATION TRUST (RFF)EQ VAS</v>
      </c>
      <c r="C1982" t="s">
        <v>969</v>
      </c>
      <c r="D1982" t="s">
        <v>965</v>
      </c>
      <c r="E1982" t="s">
        <v>146</v>
      </c>
      <c r="F1982" t="s">
        <v>147</v>
      </c>
      <c r="G1982" t="s">
        <v>752</v>
      </c>
      <c r="H1982">
        <v>47</v>
      </c>
      <c r="I1982">
        <v>68.808499999999995</v>
      </c>
      <c r="J1982">
        <v>76.255300000000005</v>
      </c>
      <c r="K1982">
        <v>7.4468100000000002</v>
      </c>
      <c r="L1982">
        <v>30</v>
      </c>
      <c r="M1982">
        <v>4</v>
      </c>
      <c r="N1982">
        <v>13</v>
      </c>
      <c r="O1982">
        <v>75.915700000000001</v>
      </c>
      <c r="P1982">
        <v>10.3873</v>
      </c>
      <c r="Q1982">
        <v>16.9284</v>
      </c>
    </row>
    <row r="1983" spans="1:17" x14ac:dyDescent="0.25">
      <c r="A1983" t="str">
        <f>IF(C1983&amp;G1983&amp;D1983&lt;&gt;'Funnel setup'!$K$3&amp;'Funnel setup'!$K$4&amp;'Funnel setup'!$K$6,".",IF(A1982=".",1,A1982+1))</f>
        <v>.</v>
      </c>
      <c r="B1983" s="244" t="str">
        <f t="shared" si="30"/>
        <v>Knee Replacement PrimaryProviderBARTS HEALTH NHS TRUST (R1H)EQ VAS</v>
      </c>
      <c r="C1983" t="s">
        <v>969</v>
      </c>
      <c r="D1983" t="s">
        <v>965</v>
      </c>
      <c r="E1983" t="s">
        <v>148</v>
      </c>
      <c r="F1983" t="s">
        <v>149</v>
      </c>
      <c r="G1983" t="s">
        <v>752</v>
      </c>
      <c r="H1983">
        <v>63</v>
      </c>
      <c r="I1983">
        <v>58.9206</v>
      </c>
      <c r="J1983">
        <v>67.920599999999993</v>
      </c>
      <c r="K1983">
        <v>9</v>
      </c>
      <c r="L1983">
        <v>41</v>
      </c>
      <c r="M1983">
        <v>3</v>
      </c>
      <c r="N1983">
        <v>19</v>
      </c>
      <c r="O1983">
        <v>72.802099999999996</v>
      </c>
      <c r="P1983">
        <v>7.2737400000000001</v>
      </c>
      <c r="Q1983">
        <v>19.445499999999999</v>
      </c>
    </row>
    <row r="1984" spans="1:17" x14ac:dyDescent="0.25">
      <c r="A1984" t="str">
        <f>IF(C1984&amp;G1984&amp;D1984&lt;&gt;'Funnel setup'!$K$3&amp;'Funnel setup'!$K$4&amp;'Funnel setup'!$K$6,".",IF(A1983=".",1,A1983+1))</f>
        <v>.</v>
      </c>
      <c r="B1984" s="244" t="str">
        <f t="shared" si="30"/>
        <v>Knee Replacement PrimaryProviderBATH CLINIC (NT402)EQ VAS</v>
      </c>
      <c r="C1984" t="s">
        <v>969</v>
      </c>
      <c r="D1984" t="s">
        <v>965</v>
      </c>
      <c r="E1984" t="s">
        <v>152</v>
      </c>
      <c r="F1984" t="s">
        <v>153</v>
      </c>
      <c r="G1984" t="s">
        <v>752</v>
      </c>
      <c r="H1984">
        <v>54</v>
      </c>
      <c r="I1984">
        <v>77.277799999999999</v>
      </c>
      <c r="J1984">
        <v>78.425899999999999</v>
      </c>
      <c r="K1984">
        <v>1.14815</v>
      </c>
      <c r="L1984">
        <v>28</v>
      </c>
      <c r="M1984">
        <v>5</v>
      </c>
      <c r="N1984">
        <v>21</v>
      </c>
      <c r="O1984">
        <v>72.339600000000004</v>
      </c>
      <c r="P1984">
        <v>6.8111600000000001</v>
      </c>
      <c r="Q1984">
        <v>16.145099999999999</v>
      </c>
    </row>
    <row r="1985" spans="1:17" x14ac:dyDescent="0.25">
      <c r="A1985" t="str">
        <f>IF(C1985&amp;G1985&amp;D1985&lt;&gt;'Funnel setup'!$K$3&amp;'Funnel setup'!$K$4&amp;'Funnel setup'!$K$6,".",IF(A1984=".",1,A1984+1))</f>
        <v>.</v>
      </c>
      <c r="B1985" s="244" t="str">
        <f t="shared" si="30"/>
        <v>Knee Replacement PrimaryProviderBEARDWOOD HOSPITAL (NT403)EQ VAS</v>
      </c>
      <c r="C1985" t="s">
        <v>969</v>
      </c>
      <c r="D1985" t="s">
        <v>965</v>
      </c>
      <c r="E1985" t="s">
        <v>154</v>
      </c>
      <c r="F1985" t="s">
        <v>155</v>
      </c>
      <c r="G1985" t="s">
        <v>752</v>
      </c>
      <c r="H1985">
        <v>69</v>
      </c>
      <c r="I1985">
        <v>71.971000000000004</v>
      </c>
      <c r="J1985">
        <v>75.318799999999996</v>
      </c>
      <c r="K1985">
        <v>3.3478300000000001</v>
      </c>
      <c r="L1985">
        <v>35</v>
      </c>
      <c r="M1985">
        <v>12</v>
      </c>
      <c r="N1985">
        <v>22</v>
      </c>
      <c r="O1985">
        <v>72.148499999999999</v>
      </c>
      <c r="P1985">
        <v>6.6200799999999997</v>
      </c>
      <c r="Q1985">
        <v>15.9138</v>
      </c>
    </row>
    <row r="1986" spans="1:17" x14ac:dyDescent="0.25">
      <c r="A1986" t="str">
        <f>IF(C1986&amp;G1986&amp;D1986&lt;&gt;'Funnel setup'!$K$3&amp;'Funnel setup'!$K$4&amp;'Funnel setup'!$K$6,".",IF(A1985=".",1,A1985+1))</f>
        <v>.</v>
      </c>
      <c r="B1986" s="244" t="str">
        <f t="shared" ref="B1986:B2049" si="31">C1986&amp;D1986&amp;F1986&amp;G1986</f>
        <v>Knee Replacement PrimaryProviderBEAUMONT HOSPITAL (NT404)EQ VAS</v>
      </c>
      <c r="C1986" t="s">
        <v>969</v>
      </c>
      <c r="D1986" t="s">
        <v>965</v>
      </c>
      <c r="E1986" t="s">
        <v>156</v>
      </c>
      <c r="F1986" t="s">
        <v>157</v>
      </c>
      <c r="G1986" t="s">
        <v>752</v>
      </c>
      <c r="H1986">
        <v>42</v>
      </c>
      <c r="I1986">
        <v>67.428600000000003</v>
      </c>
      <c r="J1986">
        <v>77.666700000000006</v>
      </c>
      <c r="K1986">
        <v>10.238099999999999</v>
      </c>
      <c r="L1986">
        <v>27</v>
      </c>
      <c r="M1986">
        <v>5</v>
      </c>
      <c r="N1986">
        <v>10</v>
      </c>
      <c r="O1986">
        <v>76.737899999999996</v>
      </c>
      <c r="P1986">
        <v>11.2095</v>
      </c>
      <c r="Q1986">
        <v>14.8864</v>
      </c>
    </row>
    <row r="1987" spans="1:17" x14ac:dyDescent="0.25">
      <c r="A1987" t="str">
        <f>IF(C1987&amp;G1987&amp;D1987&lt;&gt;'Funnel setup'!$K$3&amp;'Funnel setup'!$K$4&amp;'Funnel setup'!$K$6,".",IF(A1986=".",1,A1986+1))</f>
        <v>.</v>
      </c>
      <c r="B1987" s="244" t="str">
        <f t="shared" si="31"/>
        <v>Knee Replacement PrimaryProviderBEDFORDSHIRE HOSPITALS NHS FOUNDATION TRUST (RC9)EQ VAS</v>
      </c>
      <c r="C1987" t="s">
        <v>969</v>
      </c>
      <c r="D1987" t="s">
        <v>965</v>
      </c>
      <c r="E1987" t="s">
        <v>158</v>
      </c>
      <c r="F1987" t="s">
        <v>159</v>
      </c>
      <c r="G1987" t="s">
        <v>752</v>
      </c>
      <c r="H1987">
        <v>133</v>
      </c>
      <c r="I1987">
        <v>62.864699999999999</v>
      </c>
      <c r="J1987">
        <v>68.526300000000006</v>
      </c>
      <c r="K1987">
        <v>5.6616499999999998</v>
      </c>
      <c r="L1987">
        <v>73</v>
      </c>
      <c r="M1987">
        <v>14</v>
      </c>
      <c r="N1987">
        <v>46</v>
      </c>
      <c r="O1987">
        <v>70.510199999999998</v>
      </c>
      <c r="P1987">
        <v>4.9817999999999998</v>
      </c>
      <c r="Q1987">
        <v>20.482299999999999</v>
      </c>
    </row>
    <row r="1988" spans="1:17" x14ac:dyDescent="0.25">
      <c r="A1988" t="str">
        <f>IF(C1988&amp;G1988&amp;D1988&lt;&gt;'Funnel setup'!$K$3&amp;'Funnel setup'!$K$4&amp;'Funnel setup'!$K$6,".",IF(A1987=".",1,A1987+1))</f>
        <v>.</v>
      </c>
      <c r="B1988" s="244" t="str">
        <f t="shared" si="31"/>
        <v>Knee Replacement PrimaryProviderBENENDEN HOSPITAL (NWF01)EQ VAS</v>
      </c>
      <c r="C1988" t="s">
        <v>969</v>
      </c>
      <c r="D1988" t="s">
        <v>965</v>
      </c>
      <c r="E1988" t="s">
        <v>160</v>
      </c>
      <c r="F1988" t="s">
        <v>161</v>
      </c>
      <c r="G1988" t="s">
        <v>752</v>
      </c>
      <c r="H1988">
        <v>25</v>
      </c>
      <c r="I1988">
        <v>68.12</v>
      </c>
      <c r="J1988">
        <v>78.040000000000006</v>
      </c>
      <c r="K1988">
        <v>9.92</v>
      </c>
      <c r="L1988">
        <v>20</v>
      </c>
      <c r="M1988">
        <v>1</v>
      </c>
      <c r="N1988">
        <v>4</v>
      </c>
      <c r="O1988" t="s">
        <v>127</v>
      </c>
      <c r="P1988" t="s">
        <v>127</v>
      </c>
      <c r="Q1988" t="s">
        <v>127</v>
      </c>
    </row>
    <row r="1989" spans="1:17" x14ac:dyDescent="0.25">
      <c r="A1989" t="str">
        <f>IF(C1989&amp;G1989&amp;D1989&lt;&gt;'Funnel setup'!$K$3&amp;'Funnel setup'!$K$4&amp;'Funnel setup'!$K$6,".",IF(A1988=".",1,A1988+1))</f>
        <v>.</v>
      </c>
      <c r="B1989" s="244" t="str">
        <f t="shared" si="31"/>
        <v>Knee Replacement PrimaryProviderBLACKHEATH HOSPITAL (NT406)EQ VAS</v>
      </c>
      <c r="C1989" t="s">
        <v>969</v>
      </c>
      <c r="D1989" t="s">
        <v>965</v>
      </c>
      <c r="E1989" t="s">
        <v>168</v>
      </c>
      <c r="F1989" t="s">
        <v>169</v>
      </c>
      <c r="G1989" t="s">
        <v>752</v>
      </c>
      <c r="H1989">
        <v>17</v>
      </c>
      <c r="I1989">
        <v>71.235299999999995</v>
      </c>
      <c r="J1989">
        <v>78.235299999999995</v>
      </c>
      <c r="K1989">
        <v>7</v>
      </c>
      <c r="L1989">
        <v>11</v>
      </c>
      <c r="M1989">
        <v>3</v>
      </c>
      <c r="N1989">
        <v>3</v>
      </c>
      <c r="O1989" t="s">
        <v>127</v>
      </c>
      <c r="P1989" t="s">
        <v>127</v>
      </c>
      <c r="Q1989" t="s">
        <v>127</v>
      </c>
    </row>
    <row r="1990" spans="1:17" x14ac:dyDescent="0.25">
      <c r="A1990" t="str">
        <f>IF(C1990&amp;G1990&amp;D1990&lt;&gt;'Funnel setup'!$K$3&amp;'Funnel setup'!$K$4&amp;'Funnel setup'!$K$6,".",IF(A1989=".",1,A1989+1))</f>
        <v>.</v>
      </c>
      <c r="B1990" s="244" t="str">
        <f t="shared" si="31"/>
        <v>Knee Replacement PrimaryProviderBLACKPOOL TEACHING HOSPITALS NHS FOUNDATION TRUST (RXL)EQ VAS</v>
      </c>
      <c r="C1990" t="s">
        <v>969</v>
      </c>
      <c r="D1990" t="s">
        <v>965</v>
      </c>
      <c r="E1990" t="s">
        <v>170</v>
      </c>
      <c r="F1990" t="s">
        <v>171</v>
      </c>
      <c r="G1990" t="s">
        <v>752</v>
      </c>
      <c r="H1990">
        <v>54</v>
      </c>
      <c r="I1990">
        <v>67.592600000000004</v>
      </c>
      <c r="J1990">
        <v>69.555599999999998</v>
      </c>
      <c r="K1990">
        <v>1.96296</v>
      </c>
      <c r="L1990">
        <v>24</v>
      </c>
      <c r="M1990">
        <v>9</v>
      </c>
      <c r="N1990">
        <v>21</v>
      </c>
      <c r="O1990">
        <v>72.495400000000004</v>
      </c>
      <c r="P1990">
        <v>6.9669600000000003</v>
      </c>
      <c r="Q1990">
        <v>16.880199999999999</v>
      </c>
    </row>
    <row r="1991" spans="1:17" x14ac:dyDescent="0.25">
      <c r="A1991" t="str">
        <f>IF(C1991&amp;G1991&amp;D1991&lt;&gt;'Funnel setup'!$K$3&amp;'Funnel setup'!$K$4&amp;'Funnel setup'!$K$6,".",IF(A1990=".",1,A1990+1))</f>
        <v>.</v>
      </c>
      <c r="B1991" s="244" t="str">
        <f t="shared" si="31"/>
        <v>Knee Replacement PrimaryProviderBOLTON NHS FOUNDATION TRUST (RMC)EQ VAS</v>
      </c>
      <c r="C1991" t="s">
        <v>969</v>
      </c>
      <c r="D1991" t="s">
        <v>965</v>
      </c>
      <c r="E1991" t="s">
        <v>172</v>
      </c>
      <c r="F1991" t="s">
        <v>173</v>
      </c>
      <c r="G1991" t="s">
        <v>752</v>
      </c>
      <c r="H1991">
        <v>47</v>
      </c>
      <c r="I1991">
        <v>68.297899999999998</v>
      </c>
      <c r="J1991">
        <v>72.851100000000002</v>
      </c>
      <c r="K1991">
        <v>4.5531899999999998</v>
      </c>
      <c r="L1991">
        <v>24</v>
      </c>
      <c r="M1991">
        <v>8</v>
      </c>
      <c r="N1991">
        <v>15</v>
      </c>
      <c r="O1991">
        <v>74.096500000000006</v>
      </c>
      <c r="P1991">
        <v>8.5681499999999993</v>
      </c>
      <c r="Q1991">
        <v>15.4649</v>
      </c>
    </row>
    <row r="1992" spans="1:17" x14ac:dyDescent="0.25">
      <c r="A1992" t="str">
        <f>IF(C1992&amp;G1992&amp;D1992&lt;&gt;'Funnel setup'!$K$3&amp;'Funnel setup'!$K$4&amp;'Funnel setup'!$K$6,".",IF(A1991=".",1,A1991+1))</f>
        <v>.</v>
      </c>
      <c r="B1992" s="244" t="str">
        <f t="shared" si="31"/>
        <v>Knee Replacement PrimaryProviderBRADFORD TEACHING HOSPITALS NHS FOUNDATION TRUST (RAE)EQ VAS</v>
      </c>
      <c r="C1992" t="s">
        <v>969</v>
      </c>
      <c r="D1992" t="s">
        <v>965</v>
      </c>
      <c r="E1992" t="s">
        <v>174</v>
      </c>
      <c r="F1992" t="s">
        <v>175</v>
      </c>
      <c r="G1992" t="s">
        <v>752</v>
      </c>
      <c r="H1992">
        <v>4</v>
      </c>
      <c r="I1992">
        <v>57.5</v>
      </c>
      <c r="J1992">
        <v>72.5</v>
      </c>
      <c r="K1992">
        <v>15</v>
      </c>
      <c r="L1992">
        <v>3</v>
      </c>
      <c r="M1992">
        <v>0</v>
      </c>
      <c r="N1992">
        <v>1</v>
      </c>
      <c r="O1992" t="s">
        <v>127</v>
      </c>
      <c r="P1992" t="s">
        <v>127</v>
      </c>
      <c r="Q1992" t="s">
        <v>127</v>
      </c>
    </row>
    <row r="1993" spans="1:17" x14ac:dyDescent="0.25">
      <c r="A1993" t="str">
        <f>IF(C1993&amp;G1993&amp;D1993&lt;&gt;'Funnel setup'!$K$3&amp;'Funnel setup'!$K$4&amp;'Funnel setup'!$K$6,".",IF(A1992=".",1,A1992+1))</f>
        <v>.</v>
      </c>
      <c r="B1993" s="244" t="str">
        <f t="shared" si="31"/>
        <v>Knee Replacement PrimaryProviderBUCKINGHAMSHIRE HEALTHCARE NHS TRUST (RXQ)EQ VAS</v>
      </c>
      <c r="C1993" t="s">
        <v>969</v>
      </c>
      <c r="D1993" t="s">
        <v>965</v>
      </c>
      <c r="E1993" t="s">
        <v>178</v>
      </c>
      <c r="F1993" t="s">
        <v>179</v>
      </c>
      <c r="G1993" t="s">
        <v>752</v>
      </c>
      <c r="H1993">
        <v>73</v>
      </c>
      <c r="I1993">
        <v>64.684899999999999</v>
      </c>
      <c r="J1993">
        <v>71.671199999999999</v>
      </c>
      <c r="K1993">
        <v>6.9863</v>
      </c>
      <c r="L1993">
        <v>44</v>
      </c>
      <c r="M1993">
        <v>6</v>
      </c>
      <c r="N1993">
        <v>23</v>
      </c>
      <c r="O1993">
        <v>71.705699999999993</v>
      </c>
      <c r="P1993">
        <v>6.1772600000000004</v>
      </c>
      <c r="Q1993">
        <v>18.738299999999999</v>
      </c>
    </row>
    <row r="1994" spans="1:17" x14ac:dyDescent="0.25">
      <c r="A1994" t="str">
        <f>IF(C1994&amp;G1994&amp;D1994&lt;&gt;'Funnel setup'!$K$3&amp;'Funnel setup'!$K$4&amp;'Funnel setup'!$K$6,".",IF(A1993=".",1,A1993+1))</f>
        <v>.</v>
      </c>
      <c r="B1994" s="244" t="str">
        <f t="shared" si="31"/>
        <v>Knee Replacement PrimaryProviderCALDERDALE AND HUDDERSFIELD NHS FOUNDATION TRUST (RWY)EQ VAS</v>
      </c>
      <c r="C1994" t="s">
        <v>969</v>
      </c>
      <c r="D1994" t="s">
        <v>965</v>
      </c>
      <c r="E1994" t="s">
        <v>180</v>
      </c>
      <c r="F1994" t="s">
        <v>181</v>
      </c>
      <c r="G1994" t="s">
        <v>752</v>
      </c>
      <c r="H1994">
        <v>50</v>
      </c>
      <c r="I1994">
        <v>66.34</v>
      </c>
      <c r="J1994">
        <v>67.959999999999994</v>
      </c>
      <c r="K1994">
        <v>1.62</v>
      </c>
      <c r="L1994">
        <v>23</v>
      </c>
      <c r="M1994">
        <v>6</v>
      </c>
      <c r="N1994">
        <v>21</v>
      </c>
      <c r="O1994">
        <v>67.997</v>
      </c>
      <c r="P1994">
        <v>2.4685999999999999</v>
      </c>
      <c r="Q1994">
        <v>17.127700000000001</v>
      </c>
    </row>
    <row r="1995" spans="1:17" x14ac:dyDescent="0.25">
      <c r="A1995" t="str">
        <f>IF(C1995&amp;G1995&amp;D1995&lt;&gt;'Funnel setup'!$K$3&amp;'Funnel setup'!$K$4&amp;'Funnel setup'!$K$6,".",IF(A1994=".",1,A1994+1))</f>
        <v>.</v>
      </c>
      <c r="B1995" s="244" t="str">
        <f t="shared" si="31"/>
        <v>Knee Replacement PrimaryProviderCAMBRIDGE UNIVERSITY HOSPITALS NHS FOUNDATION TRUST (RGT)EQ VAS</v>
      </c>
      <c r="C1995" t="s">
        <v>969</v>
      </c>
      <c r="D1995" t="s">
        <v>965</v>
      </c>
      <c r="E1995" t="s">
        <v>182</v>
      </c>
      <c r="F1995" t="s">
        <v>183</v>
      </c>
      <c r="G1995" t="s">
        <v>752</v>
      </c>
      <c r="H1995">
        <v>47</v>
      </c>
      <c r="I1995">
        <v>52.872300000000003</v>
      </c>
      <c r="J1995">
        <v>62.978700000000003</v>
      </c>
      <c r="K1995">
        <v>10.106400000000001</v>
      </c>
      <c r="L1995">
        <v>26</v>
      </c>
      <c r="M1995">
        <v>4</v>
      </c>
      <c r="N1995">
        <v>17</v>
      </c>
      <c r="O1995">
        <v>71.080200000000005</v>
      </c>
      <c r="P1995">
        <v>5.5517700000000003</v>
      </c>
      <c r="Q1995">
        <v>22.056000000000001</v>
      </c>
    </row>
    <row r="1996" spans="1:17" x14ac:dyDescent="0.25">
      <c r="A1996" t="str">
        <f>IF(C1996&amp;G1996&amp;D1996&lt;&gt;'Funnel setup'!$K$3&amp;'Funnel setup'!$K$4&amp;'Funnel setup'!$K$6,".",IF(A1995=".",1,A1995+1))</f>
        <v>.</v>
      </c>
      <c r="B1996" s="244" t="str">
        <f t="shared" si="31"/>
        <v>Knee Replacement PrimaryProviderCAVELL HOSPITAL (NT451)EQ VAS</v>
      </c>
      <c r="C1996" t="s">
        <v>969</v>
      </c>
      <c r="D1996" t="s">
        <v>965</v>
      </c>
      <c r="E1996" t="s">
        <v>184</v>
      </c>
      <c r="F1996" t="s">
        <v>185</v>
      </c>
      <c r="G1996" t="s">
        <v>752</v>
      </c>
      <c r="H1996">
        <v>35</v>
      </c>
      <c r="I1996">
        <v>65.2286</v>
      </c>
      <c r="J1996">
        <v>76.971400000000003</v>
      </c>
      <c r="K1996">
        <v>11.742900000000001</v>
      </c>
      <c r="L1996">
        <v>23</v>
      </c>
      <c r="M1996">
        <v>4</v>
      </c>
      <c r="N1996">
        <v>8</v>
      </c>
      <c r="O1996">
        <v>77.164199999999994</v>
      </c>
      <c r="P1996">
        <v>11.6358</v>
      </c>
      <c r="Q1996">
        <v>15.6205</v>
      </c>
    </row>
    <row r="1997" spans="1:17" x14ac:dyDescent="0.25">
      <c r="A1997" t="str">
        <f>IF(C1997&amp;G1997&amp;D1997&lt;&gt;'Funnel setup'!$K$3&amp;'Funnel setup'!$K$4&amp;'Funnel setup'!$K$6,".",IF(A1996=".",1,A1996+1))</f>
        <v>.</v>
      </c>
      <c r="B1997" s="244" t="str">
        <f t="shared" si="31"/>
        <v>Knee Replacement PrimaryProviderCHAUCER HOSPITAL (NT408)EQ VAS</v>
      </c>
      <c r="C1997" t="s">
        <v>969</v>
      </c>
      <c r="D1997" t="s">
        <v>965</v>
      </c>
      <c r="E1997" t="s">
        <v>186</v>
      </c>
      <c r="F1997" t="s">
        <v>187</v>
      </c>
      <c r="G1997" t="s">
        <v>752</v>
      </c>
      <c r="H1997">
        <v>43</v>
      </c>
      <c r="I1997">
        <v>68.604699999999994</v>
      </c>
      <c r="J1997">
        <v>78.441900000000004</v>
      </c>
      <c r="K1997">
        <v>9.8372100000000007</v>
      </c>
      <c r="L1997">
        <v>24</v>
      </c>
      <c r="M1997">
        <v>6</v>
      </c>
      <c r="N1997">
        <v>13</v>
      </c>
      <c r="O1997">
        <v>76.414199999999994</v>
      </c>
      <c r="P1997">
        <v>10.8858</v>
      </c>
      <c r="Q1997">
        <v>11.7828</v>
      </c>
    </row>
    <row r="1998" spans="1:17" x14ac:dyDescent="0.25">
      <c r="A1998" t="str">
        <f>IF(C1998&amp;G1998&amp;D1998&lt;&gt;'Funnel setup'!$K$3&amp;'Funnel setup'!$K$4&amp;'Funnel setup'!$K$6,".",IF(A1997=".",1,A1997+1))</f>
        <v>.</v>
      </c>
      <c r="B1998" s="244" t="str">
        <f t="shared" si="31"/>
        <v>Knee Replacement PrimaryProviderCHELSEA AND WESTMINSTER HOSPITAL NHS FOUNDATION TRUST (RQM)EQ VAS</v>
      </c>
      <c r="C1998" t="s">
        <v>969</v>
      </c>
      <c r="D1998" t="s">
        <v>965</v>
      </c>
      <c r="E1998" t="s">
        <v>188</v>
      </c>
      <c r="F1998" t="s">
        <v>189</v>
      </c>
      <c r="G1998" t="s">
        <v>752</v>
      </c>
      <c r="H1998">
        <v>5</v>
      </c>
      <c r="I1998">
        <v>80</v>
      </c>
      <c r="J1998">
        <v>68</v>
      </c>
      <c r="K1998">
        <v>-12</v>
      </c>
      <c r="L1998">
        <v>3</v>
      </c>
      <c r="M1998">
        <v>0</v>
      </c>
      <c r="N1998">
        <v>2</v>
      </c>
      <c r="O1998" t="s">
        <v>127</v>
      </c>
      <c r="P1998" t="s">
        <v>127</v>
      </c>
      <c r="Q1998" t="s">
        <v>127</v>
      </c>
    </row>
    <row r="1999" spans="1:17" x14ac:dyDescent="0.25">
      <c r="A1999" t="str">
        <f>IF(C1999&amp;G1999&amp;D1999&lt;&gt;'Funnel setup'!$K$3&amp;'Funnel setup'!$K$4&amp;'Funnel setup'!$K$6,".",IF(A1998=".",1,A1998+1))</f>
        <v>.</v>
      </c>
      <c r="B1999" s="244" t="str">
        <f t="shared" si="31"/>
        <v>Knee Replacement PrimaryProviderCHELSFIELD PARK HOSPITAL (NT409)EQ VAS</v>
      </c>
      <c r="C1999" t="s">
        <v>969</v>
      </c>
      <c r="D1999" t="s">
        <v>965</v>
      </c>
      <c r="E1999" t="s">
        <v>190</v>
      </c>
      <c r="F1999" t="s">
        <v>191</v>
      </c>
      <c r="G1999" t="s">
        <v>752</v>
      </c>
      <c r="H1999">
        <v>28</v>
      </c>
      <c r="I1999">
        <v>72.142899999999997</v>
      </c>
      <c r="J1999">
        <v>85</v>
      </c>
      <c r="K1999">
        <v>12.857100000000001</v>
      </c>
      <c r="L1999">
        <v>20</v>
      </c>
      <c r="M1999">
        <v>3</v>
      </c>
      <c r="N1999">
        <v>5</v>
      </c>
      <c r="O1999" t="s">
        <v>127</v>
      </c>
      <c r="P1999" t="s">
        <v>127</v>
      </c>
      <c r="Q1999" t="s">
        <v>127</v>
      </c>
    </row>
    <row r="2000" spans="1:17" x14ac:dyDescent="0.25">
      <c r="A2000" t="str">
        <f>IF(C2000&amp;G2000&amp;D2000&lt;&gt;'Funnel setup'!$K$3&amp;'Funnel setup'!$K$4&amp;'Funnel setup'!$K$6,".",IF(A1999=".",1,A1999+1))</f>
        <v>.</v>
      </c>
      <c r="B2000" s="244" t="str">
        <f t="shared" si="31"/>
        <v>Knee Replacement PrimaryProviderCHESTERFIELD ROYAL HOSPITAL NHS FOUNDATION TRUST (RFS)EQ VAS</v>
      </c>
      <c r="C2000" t="s">
        <v>969</v>
      </c>
      <c r="D2000" t="s">
        <v>965</v>
      </c>
      <c r="E2000" t="s">
        <v>192</v>
      </c>
      <c r="F2000" t="s">
        <v>193</v>
      </c>
      <c r="G2000" t="s">
        <v>752</v>
      </c>
      <c r="H2000">
        <v>55</v>
      </c>
      <c r="I2000">
        <v>65.418199999999999</v>
      </c>
      <c r="J2000">
        <v>67.818200000000004</v>
      </c>
      <c r="K2000">
        <v>2.4</v>
      </c>
      <c r="L2000">
        <v>31</v>
      </c>
      <c r="M2000">
        <v>4</v>
      </c>
      <c r="N2000">
        <v>20</v>
      </c>
      <c r="O2000">
        <v>71.328400000000002</v>
      </c>
      <c r="P2000">
        <v>5.7999499999999999</v>
      </c>
      <c r="Q2000">
        <v>21.464700000000001</v>
      </c>
    </row>
    <row r="2001" spans="1:17" x14ac:dyDescent="0.25">
      <c r="A2001" t="str">
        <f>IF(C2001&amp;G2001&amp;D2001&lt;&gt;'Funnel setup'!$K$3&amp;'Funnel setup'!$K$4&amp;'Funnel setup'!$K$6,".",IF(A2000=".",1,A2000+1))</f>
        <v>.</v>
      </c>
      <c r="B2001" s="244" t="str">
        <f t="shared" si="31"/>
        <v>Knee Replacement PrimaryProviderCHILTERN HOSPITAL (NT410)EQ VAS</v>
      </c>
      <c r="C2001" t="s">
        <v>969</v>
      </c>
      <c r="D2001" t="s">
        <v>965</v>
      </c>
      <c r="E2001" t="s">
        <v>194</v>
      </c>
      <c r="F2001" t="s">
        <v>195</v>
      </c>
      <c r="G2001" t="s">
        <v>752</v>
      </c>
      <c r="H2001">
        <v>71</v>
      </c>
      <c r="I2001">
        <v>72.056299999999993</v>
      </c>
      <c r="J2001">
        <v>82.422499999999999</v>
      </c>
      <c r="K2001">
        <v>10.366199999999999</v>
      </c>
      <c r="L2001">
        <v>47</v>
      </c>
      <c r="M2001">
        <v>9</v>
      </c>
      <c r="N2001">
        <v>15</v>
      </c>
      <c r="O2001">
        <v>77.756900000000002</v>
      </c>
      <c r="P2001">
        <v>12.2285</v>
      </c>
      <c r="Q2001">
        <v>13.989000000000001</v>
      </c>
    </row>
    <row r="2002" spans="1:17" x14ac:dyDescent="0.25">
      <c r="A2002" t="str">
        <f>IF(C2002&amp;G2002&amp;D2002&lt;&gt;'Funnel setup'!$K$3&amp;'Funnel setup'!$K$4&amp;'Funnel setup'!$K$6,".",IF(A2001=".",1,A2001+1))</f>
        <v>.</v>
      </c>
      <c r="B2002" s="244" t="str">
        <f t="shared" si="31"/>
        <v>Knee Replacement PrimaryProviderCIRCLE BATH HOSPITAL (NV302)EQ VAS</v>
      </c>
      <c r="C2002" t="s">
        <v>969</v>
      </c>
      <c r="D2002" t="s">
        <v>965</v>
      </c>
      <c r="E2002" t="s">
        <v>196</v>
      </c>
      <c r="F2002" t="s">
        <v>197</v>
      </c>
      <c r="G2002" t="s">
        <v>752</v>
      </c>
      <c r="H2002">
        <v>12</v>
      </c>
      <c r="I2002">
        <v>65.5</v>
      </c>
      <c r="J2002">
        <v>77.333299999999994</v>
      </c>
      <c r="K2002">
        <v>11.833299999999999</v>
      </c>
      <c r="L2002">
        <v>7</v>
      </c>
      <c r="M2002">
        <v>2</v>
      </c>
      <c r="N2002">
        <v>3</v>
      </c>
      <c r="O2002" t="s">
        <v>127</v>
      </c>
      <c r="P2002" t="s">
        <v>127</v>
      </c>
      <c r="Q2002" t="s">
        <v>127</v>
      </c>
    </row>
    <row r="2003" spans="1:17" x14ac:dyDescent="0.25">
      <c r="A2003" t="str">
        <f>IF(C2003&amp;G2003&amp;D2003&lt;&gt;'Funnel setup'!$K$3&amp;'Funnel setup'!$K$4&amp;'Funnel setup'!$K$6,".",IF(A2002=".",1,A2002+1))</f>
        <v>.</v>
      </c>
      <c r="B2003" s="244" t="str">
        <f t="shared" si="31"/>
        <v>Knee Replacement PrimaryProviderCIRCLE READING HOSPITAL (NV323)EQ VAS</v>
      </c>
      <c r="C2003" t="s">
        <v>969</v>
      </c>
      <c r="D2003" t="s">
        <v>965</v>
      </c>
      <c r="E2003" t="s">
        <v>198</v>
      </c>
      <c r="F2003" t="s">
        <v>199</v>
      </c>
      <c r="G2003" t="s">
        <v>752</v>
      </c>
      <c r="H2003">
        <v>59</v>
      </c>
      <c r="I2003">
        <v>45.694899999999997</v>
      </c>
      <c r="J2003">
        <v>80.423699999999997</v>
      </c>
      <c r="K2003">
        <v>34.7288</v>
      </c>
      <c r="L2003">
        <v>56</v>
      </c>
      <c r="M2003">
        <v>2</v>
      </c>
      <c r="N2003">
        <v>1</v>
      </c>
      <c r="O2003">
        <v>82.421800000000005</v>
      </c>
      <c r="P2003">
        <v>16.8934</v>
      </c>
      <c r="Q2003">
        <v>13.031700000000001</v>
      </c>
    </row>
    <row r="2004" spans="1:17" x14ac:dyDescent="0.25">
      <c r="A2004" t="str">
        <f>IF(C2004&amp;G2004&amp;D2004&lt;&gt;'Funnel setup'!$K$3&amp;'Funnel setup'!$K$4&amp;'Funnel setup'!$K$6,".",IF(A2003=".",1,A2003+1))</f>
        <v>.</v>
      </c>
      <c r="B2004" s="244" t="str">
        <f t="shared" si="31"/>
        <v>Knee Replacement PrimaryProviderCLEMENTINE CHURCHILL HOSPITAL (NT411)EQ VAS</v>
      </c>
      <c r="C2004" t="s">
        <v>969</v>
      </c>
      <c r="D2004" t="s">
        <v>965</v>
      </c>
      <c r="E2004" t="s">
        <v>200</v>
      </c>
      <c r="F2004" t="s">
        <v>201</v>
      </c>
      <c r="G2004" t="s">
        <v>752</v>
      </c>
      <c r="H2004">
        <v>27</v>
      </c>
      <c r="I2004">
        <v>61.370399999999997</v>
      </c>
      <c r="J2004">
        <v>72.111099999999993</v>
      </c>
      <c r="K2004">
        <v>10.7407</v>
      </c>
      <c r="L2004">
        <v>18</v>
      </c>
      <c r="M2004">
        <v>0</v>
      </c>
      <c r="N2004">
        <v>9</v>
      </c>
      <c r="O2004" t="s">
        <v>127</v>
      </c>
      <c r="P2004" t="s">
        <v>127</v>
      </c>
      <c r="Q2004" t="s">
        <v>127</v>
      </c>
    </row>
    <row r="2005" spans="1:17" x14ac:dyDescent="0.25">
      <c r="A2005" t="str">
        <f>IF(C2005&amp;G2005&amp;D2005&lt;&gt;'Funnel setup'!$K$3&amp;'Funnel setup'!$K$4&amp;'Funnel setup'!$K$6,".",IF(A2004=".",1,A2004+1))</f>
        <v>.</v>
      </c>
      <c r="B2005" s="244" t="str">
        <f t="shared" si="31"/>
        <v>Knee Replacement PrimaryProviderCLIFTON PARK HOSPITAL (NVC28)EQ VAS</v>
      </c>
      <c r="C2005" t="s">
        <v>969</v>
      </c>
      <c r="D2005" t="s">
        <v>965</v>
      </c>
      <c r="E2005" t="s">
        <v>202</v>
      </c>
      <c r="F2005" t="s">
        <v>203</v>
      </c>
      <c r="G2005" t="s">
        <v>752</v>
      </c>
      <c r="H2005">
        <v>57</v>
      </c>
      <c r="I2005">
        <v>57.9649</v>
      </c>
      <c r="J2005">
        <v>73.596500000000006</v>
      </c>
      <c r="K2005">
        <v>15.631600000000001</v>
      </c>
      <c r="L2005">
        <v>41</v>
      </c>
      <c r="M2005">
        <v>0</v>
      </c>
      <c r="N2005">
        <v>16</v>
      </c>
      <c r="O2005">
        <v>73.587000000000003</v>
      </c>
      <c r="P2005">
        <v>8.0585900000000006</v>
      </c>
      <c r="Q2005">
        <v>16.235800000000001</v>
      </c>
    </row>
    <row r="2006" spans="1:17" x14ac:dyDescent="0.25">
      <c r="A2006" t="str">
        <f>IF(C2006&amp;G2006&amp;D2006&lt;&gt;'Funnel setup'!$K$3&amp;'Funnel setup'!$K$4&amp;'Funnel setup'!$K$6,".",IF(A2005=".",1,A2005+1))</f>
        <v>.</v>
      </c>
      <c r="B2006" s="244" t="str">
        <f t="shared" si="31"/>
        <v>Knee Replacement PrimaryProviderCOUNTESS OF CHESTER HOSPITAL NHS FOUNDATION TRUST (RJR)EQ VAS</v>
      </c>
      <c r="C2006" t="s">
        <v>969</v>
      </c>
      <c r="D2006" t="s">
        <v>965</v>
      </c>
      <c r="E2006" t="s">
        <v>204</v>
      </c>
      <c r="F2006" t="s">
        <v>205</v>
      </c>
      <c r="G2006" t="s">
        <v>752</v>
      </c>
      <c r="H2006">
        <v>25</v>
      </c>
      <c r="I2006">
        <v>76.44</v>
      </c>
      <c r="J2006">
        <v>75.319999999999993</v>
      </c>
      <c r="K2006">
        <v>-1.1200000000000001</v>
      </c>
      <c r="L2006">
        <v>11</v>
      </c>
      <c r="M2006">
        <v>5</v>
      </c>
      <c r="N2006">
        <v>9</v>
      </c>
      <c r="O2006" t="s">
        <v>127</v>
      </c>
      <c r="P2006" t="s">
        <v>127</v>
      </c>
      <c r="Q2006" t="s">
        <v>127</v>
      </c>
    </row>
    <row r="2007" spans="1:17" x14ac:dyDescent="0.25">
      <c r="A2007" t="str">
        <f>IF(C2007&amp;G2007&amp;D2007&lt;&gt;'Funnel setup'!$K$3&amp;'Funnel setup'!$K$4&amp;'Funnel setup'!$K$6,".",IF(A2006=".",1,A2006+1))</f>
        <v>.</v>
      </c>
      <c r="B2007" s="244" t="str">
        <f t="shared" si="31"/>
        <v>Knee Replacement PrimaryProviderCOUNTY DURHAM AND DARLINGTON NHS FOUNDATION TRUST (RXP)EQ VAS</v>
      </c>
      <c r="C2007" t="s">
        <v>969</v>
      </c>
      <c r="D2007" t="s">
        <v>965</v>
      </c>
      <c r="E2007" t="s">
        <v>206</v>
      </c>
      <c r="F2007" t="s">
        <v>207</v>
      </c>
      <c r="G2007" t="s">
        <v>752</v>
      </c>
      <c r="H2007">
        <v>122</v>
      </c>
      <c r="I2007">
        <v>64.983599999999996</v>
      </c>
      <c r="J2007">
        <v>74.139300000000006</v>
      </c>
      <c r="K2007">
        <v>9.1557399999999998</v>
      </c>
      <c r="L2007">
        <v>70</v>
      </c>
      <c r="M2007">
        <v>13</v>
      </c>
      <c r="N2007">
        <v>39</v>
      </c>
      <c r="O2007">
        <v>74.249099999999999</v>
      </c>
      <c r="P2007">
        <v>8.7206499999999991</v>
      </c>
      <c r="Q2007">
        <v>15.944599999999999</v>
      </c>
    </row>
    <row r="2008" spans="1:17" x14ac:dyDescent="0.25">
      <c r="A2008" t="str">
        <f>IF(C2008&amp;G2008&amp;D2008&lt;&gt;'Funnel setup'!$K$3&amp;'Funnel setup'!$K$4&amp;'Funnel setup'!$K$6,".",IF(A2007=".",1,A2007+1))</f>
        <v>.</v>
      </c>
      <c r="B2008" s="244" t="str">
        <f t="shared" si="31"/>
        <v>Knee Replacement PrimaryProviderDONCASTER AND BASSETLAW TEACHING HOSPITALS NHS FOUNDATION TRUST (RP5)EQ VAS</v>
      </c>
      <c r="C2008" t="s">
        <v>969</v>
      </c>
      <c r="D2008" t="s">
        <v>965</v>
      </c>
      <c r="E2008" t="s">
        <v>212</v>
      </c>
      <c r="F2008" t="s">
        <v>213</v>
      </c>
      <c r="G2008" t="s">
        <v>752</v>
      </c>
      <c r="H2008">
        <v>79</v>
      </c>
      <c r="I2008">
        <v>59.341799999999999</v>
      </c>
      <c r="J2008">
        <v>64.544300000000007</v>
      </c>
      <c r="K2008">
        <v>5.2025300000000003</v>
      </c>
      <c r="L2008">
        <v>49</v>
      </c>
      <c r="M2008">
        <v>6</v>
      </c>
      <c r="N2008">
        <v>24</v>
      </c>
      <c r="O2008">
        <v>69.480900000000005</v>
      </c>
      <c r="P2008">
        <v>3.9525399999999999</v>
      </c>
      <c r="Q2008">
        <v>20.267800000000001</v>
      </c>
    </row>
    <row r="2009" spans="1:17" x14ac:dyDescent="0.25">
      <c r="A2009" t="str">
        <f>IF(C2009&amp;G2009&amp;D2009&lt;&gt;'Funnel setup'!$K$3&amp;'Funnel setup'!$K$4&amp;'Funnel setup'!$K$6,".",IF(A2008=".",1,A2008+1))</f>
        <v>.</v>
      </c>
      <c r="B2009" s="244" t="str">
        <f t="shared" si="31"/>
        <v>Knee Replacement PrimaryProviderDORSET COUNTY HOSPITAL NHS FOUNDATION TRUST (RBD)EQ VAS</v>
      </c>
      <c r="C2009" t="s">
        <v>969</v>
      </c>
      <c r="D2009" t="s">
        <v>965</v>
      </c>
      <c r="E2009" t="s">
        <v>214</v>
      </c>
      <c r="F2009" t="s">
        <v>215</v>
      </c>
      <c r="G2009" t="s">
        <v>752</v>
      </c>
      <c r="H2009">
        <v>13</v>
      </c>
      <c r="I2009">
        <v>66.769199999999998</v>
      </c>
      <c r="J2009">
        <v>74.923100000000005</v>
      </c>
      <c r="K2009">
        <v>8.1538500000000003</v>
      </c>
      <c r="L2009">
        <v>6</v>
      </c>
      <c r="M2009">
        <v>3</v>
      </c>
      <c r="N2009">
        <v>4</v>
      </c>
      <c r="O2009" t="s">
        <v>127</v>
      </c>
      <c r="P2009" t="s">
        <v>127</v>
      </c>
      <c r="Q2009" t="s">
        <v>127</v>
      </c>
    </row>
    <row r="2010" spans="1:17" x14ac:dyDescent="0.25">
      <c r="A2010" t="str">
        <f>IF(C2010&amp;G2010&amp;D2010&lt;&gt;'Funnel setup'!$K$3&amp;'Funnel setup'!$K$4&amp;'Funnel setup'!$K$6,".",IF(A2009=".",1,A2009+1))</f>
        <v>.</v>
      </c>
      <c r="B2010" s="244" t="str">
        <f t="shared" si="31"/>
        <v>Knee Replacement PrimaryProviderDROITWICH SPA HOSPITAL (NT412)EQ VAS</v>
      </c>
      <c r="C2010" t="s">
        <v>969</v>
      </c>
      <c r="D2010" t="s">
        <v>965</v>
      </c>
      <c r="E2010" t="s">
        <v>216</v>
      </c>
      <c r="F2010" t="s">
        <v>217</v>
      </c>
      <c r="G2010" t="s">
        <v>752</v>
      </c>
      <c r="H2010">
        <v>21</v>
      </c>
      <c r="I2010">
        <v>68.095200000000006</v>
      </c>
      <c r="J2010">
        <v>77.142899999999997</v>
      </c>
      <c r="K2010">
        <v>9.0476200000000002</v>
      </c>
      <c r="L2010">
        <v>13</v>
      </c>
      <c r="M2010">
        <v>1</v>
      </c>
      <c r="N2010">
        <v>7</v>
      </c>
      <c r="O2010" t="s">
        <v>127</v>
      </c>
      <c r="P2010" t="s">
        <v>127</v>
      </c>
      <c r="Q2010" t="s">
        <v>127</v>
      </c>
    </row>
    <row r="2011" spans="1:17" x14ac:dyDescent="0.25">
      <c r="A2011" t="str">
        <f>IF(C2011&amp;G2011&amp;D2011&lt;&gt;'Funnel setup'!$K$3&amp;'Funnel setup'!$K$4&amp;'Funnel setup'!$K$6,".",IF(A2010=".",1,A2010+1))</f>
        <v>.</v>
      </c>
      <c r="B2011" s="244" t="str">
        <f t="shared" si="31"/>
        <v>Knee Replacement PrimaryProviderDUCHY HOSPITAL (NT447)EQ VAS</v>
      </c>
      <c r="C2011" t="s">
        <v>969</v>
      </c>
      <c r="D2011" t="s">
        <v>965</v>
      </c>
      <c r="E2011" t="s">
        <v>218</v>
      </c>
      <c r="F2011" t="s">
        <v>219</v>
      </c>
      <c r="G2011" t="s">
        <v>752</v>
      </c>
      <c r="H2011">
        <v>28</v>
      </c>
      <c r="I2011">
        <v>68.285700000000006</v>
      </c>
      <c r="J2011">
        <v>81.678600000000003</v>
      </c>
      <c r="K2011">
        <v>13.392899999999999</v>
      </c>
      <c r="L2011">
        <v>19</v>
      </c>
      <c r="M2011">
        <v>4</v>
      </c>
      <c r="N2011">
        <v>5</v>
      </c>
      <c r="O2011" t="s">
        <v>127</v>
      </c>
      <c r="P2011" t="s">
        <v>127</v>
      </c>
      <c r="Q2011" t="s">
        <v>127</v>
      </c>
    </row>
    <row r="2012" spans="1:17" x14ac:dyDescent="0.25">
      <c r="A2012" t="str">
        <f>IF(C2012&amp;G2012&amp;D2012&lt;&gt;'Funnel setup'!$K$3&amp;'Funnel setup'!$K$4&amp;'Funnel setup'!$K$6,".",IF(A2011=".",1,A2011+1))</f>
        <v>.</v>
      </c>
      <c r="B2012" s="244" t="str">
        <f t="shared" si="31"/>
        <v>Knee Replacement PrimaryProviderDUCHY HOSPITAL (NVC04)EQ VAS</v>
      </c>
      <c r="C2012" t="s">
        <v>969</v>
      </c>
      <c r="D2012" t="s">
        <v>965</v>
      </c>
      <c r="E2012" t="s">
        <v>220</v>
      </c>
      <c r="F2012" t="s">
        <v>221</v>
      </c>
      <c r="G2012" t="s">
        <v>752</v>
      </c>
      <c r="H2012">
        <v>26</v>
      </c>
      <c r="I2012">
        <v>56.192300000000003</v>
      </c>
      <c r="J2012">
        <v>75.653800000000004</v>
      </c>
      <c r="K2012">
        <v>19.461500000000001</v>
      </c>
      <c r="L2012">
        <v>19</v>
      </c>
      <c r="M2012">
        <v>3</v>
      </c>
      <c r="N2012">
        <v>4</v>
      </c>
      <c r="O2012" t="s">
        <v>127</v>
      </c>
      <c r="P2012" t="s">
        <v>127</v>
      </c>
      <c r="Q2012" t="s">
        <v>127</v>
      </c>
    </row>
    <row r="2013" spans="1:17" x14ac:dyDescent="0.25">
      <c r="A2013" t="str">
        <f>IF(C2013&amp;G2013&amp;D2013&lt;&gt;'Funnel setup'!$K$3&amp;'Funnel setup'!$K$4&amp;'Funnel setup'!$K$6,".",IF(A2012=".",1,A2012+1))</f>
        <v>.</v>
      </c>
      <c r="B2013" s="244" t="str">
        <f t="shared" si="31"/>
        <v>Knee Replacement PrimaryProviderEAST AND NORTH HERTFORDSHIRE NHS TRUST (RWH)EQ VAS</v>
      </c>
      <c r="C2013" t="s">
        <v>969</v>
      </c>
      <c r="D2013" t="s">
        <v>965</v>
      </c>
      <c r="E2013" t="s">
        <v>224</v>
      </c>
      <c r="F2013" t="s">
        <v>225</v>
      </c>
      <c r="G2013" t="s">
        <v>752</v>
      </c>
      <c r="H2013">
        <v>25</v>
      </c>
      <c r="I2013">
        <v>58.16</v>
      </c>
      <c r="J2013">
        <v>70.8</v>
      </c>
      <c r="K2013">
        <v>12.64</v>
      </c>
      <c r="L2013">
        <v>19</v>
      </c>
      <c r="M2013">
        <v>2</v>
      </c>
      <c r="N2013">
        <v>4</v>
      </c>
      <c r="O2013" t="s">
        <v>127</v>
      </c>
      <c r="P2013" t="s">
        <v>127</v>
      </c>
      <c r="Q2013" t="s">
        <v>127</v>
      </c>
    </row>
    <row r="2014" spans="1:17" x14ac:dyDescent="0.25">
      <c r="A2014" t="str">
        <f>IF(C2014&amp;G2014&amp;D2014&lt;&gt;'Funnel setup'!$K$3&amp;'Funnel setup'!$K$4&amp;'Funnel setup'!$K$6,".",IF(A2013=".",1,A2013+1))</f>
        <v>.</v>
      </c>
      <c r="B2014" s="244" t="str">
        <f t="shared" si="31"/>
        <v>Knee Replacement PrimaryProviderEAST CHESHIRE NHS TRUST (RJN)EQ VAS</v>
      </c>
      <c r="C2014" t="s">
        <v>969</v>
      </c>
      <c r="D2014" t="s">
        <v>965</v>
      </c>
      <c r="E2014" t="s">
        <v>226</v>
      </c>
      <c r="F2014" t="s">
        <v>227</v>
      </c>
      <c r="G2014" t="s">
        <v>752</v>
      </c>
      <c r="H2014">
        <v>5</v>
      </c>
      <c r="I2014">
        <v>48</v>
      </c>
      <c r="J2014">
        <v>68.8</v>
      </c>
      <c r="K2014">
        <v>20.8</v>
      </c>
      <c r="L2014">
        <v>4</v>
      </c>
      <c r="M2014">
        <v>0</v>
      </c>
      <c r="N2014">
        <v>1</v>
      </c>
      <c r="O2014" t="s">
        <v>127</v>
      </c>
      <c r="P2014" t="s">
        <v>127</v>
      </c>
      <c r="Q2014" t="s">
        <v>127</v>
      </c>
    </row>
    <row r="2015" spans="1:17" x14ac:dyDescent="0.25">
      <c r="A2015" t="str">
        <f>IF(C2015&amp;G2015&amp;D2015&lt;&gt;'Funnel setup'!$K$3&amp;'Funnel setup'!$K$4&amp;'Funnel setup'!$K$6,".",IF(A2014=".",1,A2014+1))</f>
        <v>.</v>
      </c>
      <c r="B2015" s="244" t="str">
        <f t="shared" si="31"/>
        <v>Knee Replacement PrimaryProviderEAST KENT HOSPITALS UNIVERSITY NHS FOUNDATION TRUST (RVV)EQ VAS</v>
      </c>
      <c r="C2015" t="s">
        <v>969</v>
      </c>
      <c r="D2015" t="s">
        <v>965</v>
      </c>
      <c r="E2015" t="s">
        <v>228</v>
      </c>
      <c r="F2015" t="s">
        <v>229</v>
      </c>
      <c r="G2015" t="s">
        <v>752</v>
      </c>
      <c r="H2015">
        <v>82</v>
      </c>
      <c r="I2015">
        <v>63.134099999999997</v>
      </c>
      <c r="J2015">
        <v>72.646299999999997</v>
      </c>
      <c r="K2015">
        <v>9.5122</v>
      </c>
      <c r="L2015">
        <v>55</v>
      </c>
      <c r="M2015">
        <v>5</v>
      </c>
      <c r="N2015">
        <v>22</v>
      </c>
      <c r="O2015">
        <v>75.641400000000004</v>
      </c>
      <c r="P2015">
        <v>10.113</v>
      </c>
      <c r="Q2015">
        <v>18.101900000000001</v>
      </c>
    </row>
    <row r="2016" spans="1:17" x14ac:dyDescent="0.25">
      <c r="A2016" t="str">
        <f>IF(C2016&amp;G2016&amp;D2016&lt;&gt;'Funnel setup'!$K$3&amp;'Funnel setup'!$K$4&amp;'Funnel setup'!$K$6,".",IF(A2015=".",1,A2015+1))</f>
        <v>.</v>
      </c>
      <c r="B2016" s="244" t="str">
        <f t="shared" si="31"/>
        <v>Knee Replacement PrimaryProviderEAST LANCASHIRE HOSPITALS NHS TRUST (RXR)EQ VAS</v>
      </c>
      <c r="C2016" t="s">
        <v>969</v>
      </c>
      <c r="D2016" t="s">
        <v>965</v>
      </c>
      <c r="E2016" t="s">
        <v>230</v>
      </c>
      <c r="F2016" t="s">
        <v>231</v>
      </c>
      <c r="G2016" t="s">
        <v>752</v>
      </c>
      <c r="H2016">
        <v>81</v>
      </c>
      <c r="I2016">
        <v>65.074100000000001</v>
      </c>
      <c r="J2016">
        <v>72.469099999999997</v>
      </c>
      <c r="K2016">
        <v>7.39506</v>
      </c>
      <c r="L2016">
        <v>48</v>
      </c>
      <c r="M2016">
        <v>8</v>
      </c>
      <c r="N2016">
        <v>25</v>
      </c>
      <c r="O2016">
        <v>73.009799999999998</v>
      </c>
      <c r="P2016">
        <v>7.4813900000000002</v>
      </c>
      <c r="Q2016">
        <v>21.084299999999999</v>
      </c>
    </row>
    <row r="2017" spans="1:17" x14ac:dyDescent="0.25">
      <c r="A2017" t="str">
        <f>IF(C2017&amp;G2017&amp;D2017&lt;&gt;'Funnel setup'!$K$3&amp;'Funnel setup'!$K$4&amp;'Funnel setup'!$K$6,".",IF(A2016=".",1,A2016+1))</f>
        <v>.</v>
      </c>
      <c r="B2017" s="244" t="str">
        <f t="shared" si="31"/>
        <v>Knee Replacement PrimaryProviderEAST SUFFOLK AND NORTH ESSEX NHS FOUNDATION TRUST (RDE)EQ VAS</v>
      </c>
      <c r="C2017" t="s">
        <v>969</v>
      </c>
      <c r="D2017" t="s">
        <v>965</v>
      </c>
      <c r="E2017" t="s">
        <v>232</v>
      </c>
      <c r="F2017" t="s">
        <v>233</v>
      </c>
      <c r="G2017" t="s">
        <v>752</v>
      </c>
      <c r="H2017">
        <v>119</v>
      </c>
      <c r="I2017">
        <v>61.117600000000003</v>
      </c>
      <c r="J2017">
        <v>74.243700000000004</v>
      </c>
      <c r="K2017">
        <v>13.126099999999999</v>
      </c>
      <c r="L2017">
        <v>74</v>
      </c>
      <c r="M2017">
        <v>9</v>
      </c>
      <c r="N2017">
        <v>36</v>
      </c>
      <c r="O2017">
        <v>76.228200000000001</v>
      </c>
      <c r="P2017">
        <v>10.6998</v>
      </c>
      <c r="Q2017">
        <v>16.111000000000001</v>
      </c>
    </row>
    <row r="2018" spans="1:17" x14ac:dyDescent="0.25">
      <c r="A2018" t="str">
        <f>IF(C2018&amp;G2018&amp;D2018&lt;&gt;'Funnel setup'!$K$3&amp;'Funnel setup'!$K$4&amp;'Funnel setup'!$K$6,".",IF(A2017=".",1,A2017+1))</f>
        <v>.</v>
      </c>
      <c r="B2018" s="244" t="str">
        <f t="shared" si="31"/>
        <v>Knee Replacement PrimaryProviderEAST SUSSEX HEALTHCARE NHS TRUST (RXC)EQ VAS</v>
      </c>
      <c r="C2018" t="s">
        <v>969</v>
      </c>
      <c r="D2018" t="s">
        <v>965</v>
      </c>
      <c r="E2018" t="s">
        <v>234</v>
      </c>
      <c r="F2018" t="s">
        <v>235</v>
      </c>
      <c r="G2018" t="s">
        <v>752</v>
      </c>
      <c r="H2018">
        <v>73</v>
      </c>
      <c r="I2018">
        <v>62</v>
      </c>
      <c r="J2018">
        <v>68.9041</v>
      </c>
      <c r="K2018">
        <v>6.9041100000000002</v>
      </c>
      <c r="L2018">
        <v>43</v>
      </c>
      <c r="M2018">
        <v>7</v>
      </c>
      <c r="N2018">
        <v>23</v>
      </c>
      <c r="O2018">
        <v>71.298699999999997</v>
      </c>
      <c r="P2018">
        <v>5.7702799999999996</v>
      </c>
      <c r="Q2018">
        <v>15.7216</v>
      </c>
    </row>
    <row r="2019" spans="1:17" x14ac:dyDescent="0.25">
      <c r="A2019" t="str">
        <f>IF(C2019&amp;G2019&amp;D2019&lt;&gt;'Funnel setup'!$K$3&amp;'Funnel setup'!$K$4&amp;'Funnel setup'!$K$6,".",IF(A2018=".",1,A2018+1))</f>
        <v>.</v>
      </c>
      <c r="B2019" s="244" t="str">
        <f t="shared" si="31"/>
        <v>Knee Replacement PrimaryProviderEPSOM AND ST HELIER UNIVERSITY HOSPITALS NHS TRUST (RVR)EQ VAS</v>
      </c>
      <c r="C2019" t="s">
        <v>969</v>
      </c>
      <c r="D2019" t="s">
        <v>965</v>
      </c>
      <c r="E2019" t="s">
        <v>238</v>
      </c>
      <c r="F2019" t="s">
        <v>239</v>
      </c>
      <c r="G2019" t="s">
        <v>752</v>
      </c>
      <c r="H2019">
        <v>652</v>
      </c>
      <c r="I2019">
        <v>64.190200000000004</v>
      </c>
      <c r="J2019">
        <v>74.070599999999999</v>
      </c>
      <c r="K2019">
        <v>9.8803699999999992</v>
      </c>
      <c r="L2019">
        <v>426</v>
      </c>
      <c r="M2019">
        <v>65</v>
      </c>
      <c r="N2019">
        <v>161</v>
      </c>
      <c r="O2019">
        <v>74.499300000000005</v>
      </c>
      <c r="P2019">
        <v>8.9708699999999997</v>
      </c>
      <c r="Q2019">
        <v>17.995999999999999</v>
      </c>
    </row>
    <row r="2020" spans="1:17" x14ac:dyDescent="0.25">
      <c r="A2020" t="str">
        <f>IF(C2020&amp;G2020&amp;D2020&lt;&gt;'Funnel setup'!$K$3&amp;'Funnel setup'!$K$4&amp;'Funnel setup'!$K$6,".",IF(A2019=".",1,A2019+1))</f>
        <v>.</v>
      </c>
      <c r="B2020" s="244" t="str">
        <f t="shared" si="31"/>
        <v>Knee Replacement PrimaryProviderEUXTON HALL HOSPITAL (NVC05)EQ VAS</v>
      </c>
      <c r="C2020" t="s">
        <v>969</v>
      </c>
      <c r="D2020" t="s">
        <v>965</v>
      </c>
      <c r="E2020" t="s">
        <v>240</v>
      </c>
      <c r="F2020" t="s">
        <v>241</v>
      </c>
      <c r="G2020" t="s">
        <v>752</v>
      </c>
      <c r="H2020">
        <v>52</v>
      </c>
      <c r="I2020">
        <v>61.230800000000002</v>
      </c>
      <c r="J2020">
        <v>78.057699999999997</v>
      </c>
      <c r="K2020">
        <v>16.826899999999998</v>
      </c>
      <c r="L2020">
        <v>42</v>
      </c>
      <c r="M2020">
        <v>3</v>
      </c>
      <c r="N2020">
        <v>7</v>
      </c>
      <c r="O2020">
        <v>78.707800000000006</v>
      </c>
      <c r="P2020">
        <v>13.179399999999999</v>
      </c>
      <c r="Q2020">
        <v>16.0822</v>
      </c>
    </row>
    <row r="2021" spans="1:17" x14ac:dyDescent="0.25">
      <c r="A2021" t="str">
        <f>IF(C2021&amp;G2021&amp;D2021&lt;&gt;'Funnel setup'!$K$3&amp;'Funnel setup'!$K$4&amp;'Funnel setup'!$K$6,".",IF(A2020=".",1,A2020+1))</f>
        <v>.</v>
      </c>
      <c r="B2021" s="244" t="str">
        <f t="shared" si="31"/>
        <v>Knee Replacement PrimaryProviderFAIRFIELD HOSPITAL (NVG01)EQ VAS</v>
      </c>
      <c r="C2021" t="s">
        <v>969</v>
      </c>
      <c r="D2021" t="s">
        <v>965</v>
      </c>
      <c r="E2021" t="s">
        <v>242</v>
      </c>
      <c r="F2021" t="s">
        <v>243</v>
      </c>
      <c r="G2021" t="s">
        <v>752</v>
      </c>
      <c r="H2021">
        <v>47</v>
      </c>
      <c r="I2021">
        <v>69.233999999999995</v>
      </c>
      <c r="J2021">
        <v>68.531899999999993</v>
      </c>
      <c r="K2021">
        <v>-0.70212799999999997</v>
      </c>
      <c r="L2021">
        <v>21</v>
      </c>
      <c r="M2021">
        <v>5</v>
      </c>
      <c r="N2021">
        <v>21</v>
      </c>
      <c r="O2021">
        <v>67.725200000000001</v>
      </c>
      <c r="P2021">
        <v>2.19679</v>
      </c>
      <c r="Q2021">
        <v>19.866099999999999</v>
      </c>
    </row>
    <row r="2022" spans="1:17" x14ac:dyDescent="0.25">
      <c r="A2022" t="str">
        <f>IF(C2022&amp;G2022&amp;D2022&lt;&gt;'Funnel setup'!$K$3&amp;'Funnel setup'!$K$4&amp;'Funnel setup'!$K$6,".",IF(A2021=".",1,A2021+1))</f>
        <v>.</v>
      </c>
      <c r="B2022" s="244" t="str">
        <f t="shared" si="31"/>
        <v>Knee Replacement PrimaryProviderFITZWILLIAM HOSPITAL (NVC06)EQ VAS</v>
      </c>
      <c r="C2022" t="s">
        <v>969</v>
      </c>
      <c r="D2022" t="s">
        <v>965</v>
      </c>
      <c r="E2022" t="s">
        <v>244</v>
      </c>
      <c r="F2022" t="s">
        <v>245</v>
      </c>
      <c r="G2022" t="s">
        <v>752</v>
      </c>
      <c r="H2022">
        <v>89</v>
      </c>
      <c r="I2022">
        <v>73.404499999999999</v>
      </c>
      <c r="J2022">
        <v>76.0899</v>
      </c>
      <c r="K2022">
        <v>2.6853899999999999</v>
      </c>
      <c r="L2022">
        <v>44</v>
      </c>
      <c r="M2022">
        <v>14</v>
      </c>
      <c r="N2022">
        <v>31</v>
      </c>
      <c r="O2022">
        <v>73.087199999999996</v>
      </c>
      <c r="P2022">
        <v>7.5587900000000001</v>
      </c>
      <c r="Q2022">
        <v>14.716699999999999</v>
      </c>
    </row>
    <row r="2023" spans="1:17" x14ac:dyDescent="0.25">
      <c r="A2023" t="str">
        <f>IF(C2023&amp;G2023&amp;D2023&lt;&gt;'Funnel setup'!$K$3&amp;'Funnel setup'!$K$4&amp;'Funnel setup'!$K$6,".",IF(A2022=".",1,A2022+1))</f>
        <v>.</v>
      </c>
      <c r="B2023" s="244" t="str">
        <f t="shared" si="31"/>
        <v>Knee Replacement PrimaryProviderFRIMLEY HEALTH NHS FOUNDATION TRUST (RDU)EQ VAS</v>
      </c>
      <c r="C2023" t="s">
        <v>969</v>
      </c>
      <c r="D2023" t="s">
        <v>965</v>
      </c>
      <c r="E2023" t="s">
        <v>248</v>
      </c>
      <c r="F2023" t="s">
        <v>249</v>
      </c>
      <c r="G2023" t="s">
        <v>752</v>
      </c>
      <c r="H2023">
        <v>164</v>
      </c>
      <c r="I2023">
        <v>67.420699999999997</v>
      </c>
      <c r="J2023">
        <v>73.792699999999996</v>
      </c>
      <c r="K2023">
        <v>6.37195</v>
      </c>
      <c r="L2023">
        <v>91</v>
      </c>
      <c r="M2023">
        <v>18</v>
      </c>
      <c r="N2023">
        <v>55</v>
      </c>
      <c r="O2023">
        <v>72.157399999999996</v>
      </c>
      <c r="P2023">
        <v>6.6290300000000002</v>
      </c>
      <c r="Q2023">
        <v>16.8307</v>
      </c>
    </row>
    <row r="2024" spans="1:17" x14ac:dyDescent="0.25">
      <c r="A2024" t="str">
        <f>IF(C2024&amp;G2024&amp;D2024&lt;&gt;'Funnel setup'!$K$3&amp;'Funnel setup'!$K$4&amp;'Funnel setup'!$K$6,".",IF(A2023=".",1,A2023+1))</f>
        <v>.</v>
      </c>
      <c r="B2024" s="244" t="str">
        <f t="shared" si="31"/>
        <v>Knee Replacement PrimaryProviderFULWOOD HALL HOSPITAL (NVC07)EQ VAS</v>
      </c>
      <c r="C2024" t="s">
        <v>969</v>
      </c>
      <c r="D2024" t="s">
        <v>965</v>
      </c>
      <c r="E2024" t="s">
        <v>250</v>
      </c>
      <c r="F2024" t="s">
        <v>251</v>
      </c>
      <c r="G2024" t="s">
        <v>752</v>
      </c>
      <c r="H2024">
        <v>75</v>
      </c>
      <c r="I2024">
        <v>65.680000000000007</v>
      </c>
      <c r="J2024">
        <v>77.306700000000006</v>
      </c>
      <c r="K2024">
        <v>11.6267</v>
      </c>
      <c r="L2024">
        <v>55</v>
      </c>
      <c r="M2024">
        <v>4</v>
      </c>
      <c r="N2024">
        <v>16</v>
      </c>
      <c r="O2024">
        <v>76.347800000000007</v>
      </c>
      <c r="P2024">
        <v>10.8194</v>
      </c>
      <c r="Q2024">
        <v>16.114899999999999</v>
      </c>
    </row>
    <row r="2025" spans="1:17" x14ac:dyDescent="0.25">
      <c r="A2025" t="str">
        <f>IF(C2025&amp;G2025&amp;D2025&lt;&gt;'Funnel setup'!$K$3&amp;'Funnel setup'!$K$4&amp;'Funnel setup'!$K$6,".",IF(A2024=".",1,A2024+1))</f>
        <v>.</v>
      </c>
      <c r="B2025" s="244" t="str">
        <f t="shared" si="31"/>
        <v>Knee Replacement PrimaryProviderGATESHEAD HEALTH NHS FOUNDATION TRUST (RR7)EQ VAS</v>
      </c>
      <c r="C2025" t="s">
        <v>969</v>
      </c>
      <c r="D2025" t="s">
        <v>965</v>
      </c>
      <c r="E2025" t="s">
        <v>252</v>
      </c>
      <c r="F2025" t="s">
        <v>253</v>
      </c>
      <c r="G2025" t="s">
        <v>752</v>
      </c>
      <c r="H2025">
        <v>37</v>
      </c>
      <c r="I2025">
        <v>56.5946</v>
      </c>
      <c r="J2025">
        <v>73.513499999999993</v>
      </c>
      <c r="K2025">
        <v>16.918900000000001</v>
      </c>
      <c r="L2025">
        <v>28</v>
      </c>
      <c r="M2025">
        <v>3</v>
      </c>
      <c r="N2025">
        <v>6</v>
      </c>
      <c r="O2025">
        <v>79.367500000000007</v>
      </c>
      <c r="P2025">
        <v>13.8391</v>
      </c>
      <c r="Q2025">
        <v>17.278099999999998</v>
      </c>
    </row>
    <row r="2026" spans="1:17" x14ac:dyDescent="0.25">
      <c r="A2026" t="str">
        <f>IF(C2026&amp;G2026&amp;D2026&lt;&gt;'Funnel setup'!$K$3&amp;'Funnel setup'!$K$4&amp;'Funnel setup'!$K$6,".",IF(A2025=".",1,A2025+1))</f>
        <v>.</v>
      </c>
      <c r="B2026" s="244" t="str">
        <f t="shared" si="31"/>
        <v>Knee Replacement PrimaryProviderGLOUCESTERSHIRE HOSPITALS NHS FOUNDATION TRUST (RTE)EQ VAS</v>
      </c>
      <c r="C2026" t="s">
        <v>969</v>
      </c>
      <c r="D2026" t="s">
        <v>965</v>
      </c>
      <c r="E2026" t="s">
        <v>256</v>
      </c>
      <c r="F2026" t="s">
        <v>257</v>
      </c>
      <c r="G2026" t="s">
        <v>752</v>
      </c>
      <c r="H2026">
        <v>62</v>
      </c>
      <c r="I2026">
        <v>63.1935</v>
      </c>
      <c r="J2026">
        <v>72.838700000000003</v>
      </c>
      <c r="K2026">
        <v>9.6451600000000006</v>
      </c>
      <c r="L2026">
        <v>37</v>
      </c>
      <c r="M2026">
        <v>9</v>
      </c>
      <c r="N2026">
        <v>16</v>
      </c>
      <c r="O2026">
        <v>75.509299999999996</v>
      </c>
      <c r="P2026">
        <v>9.98095</v>
      </c>
      <c r="Q2026">
        <v>16.098199999999999</v>
      </c>
    </row>
    <row r="2027" spans="1:17" x14ac:dyDescent="0.25">
      <c r="A2027" t="str">
        <f>IF(C2027&amp;G2027&amp;D2027&lt;&gt;'Funnel setup'!$K$3&amp;'Funnel setup'!$K$4&amp;'Funnel setup'!$K$6,".",IF(A2026=".",1,A2026+1))</f>
        <v>.</v>
      </c>
      <c r="B2027" s="244" t="str">
        <f t="shared" si="31"/>
        <v>Knee Replacement PrimaryProviderGORING HALL HOSPITAL (NT417)EQ VAS</v>
      </c>
      <c r="C2027" t="s">
        <v>969</v>
      </c>
      <c r="D2027" t="s">
        <v>965</v>
      </c>
      <c r="E2027" t="s">
        <v>258</v>
      </c>
      <c r="F2027" t="s">
        <v>259</v>
      </c>
      <c r="G2027" t="s">
        <v>752</v>
      </c>
      <c r="H2027">
        <v>23</v>
      </c>
      <c r="I2027">
        <v>65.347800000000007</v>
      </c>
      <c r="J2027">
        <v>68.695700000000002</v>
      </c>
      <c r="K2027">
        <v>3.3478300000000001</v>
      </c>
      <c r="L2027">
        <v>11</v>
      </c>
      <c r="M2027">
        <v>3</v>
      </c>
      <c r="N2027">
        <v>9</v>
      </c>
      <c r="O2027" t="s">
        <v>127</v>
      </c>
      <c r="P2027" t="s">
        <v>127</v>
      </c>
      <c r="Q2027" t="s">
        <v>127</v>
      </c>
    </row>
    <row r="2028" spans="1:17" x14ac:dyDescent="0.25">
      <c r="A2028" t="str">
        <f>IF(C2028&amp;G2028&amp;D2028&lt;&gt;'Funnel setup'!$K$3&amp;'Funnel setup'!$K$4&amp;'Funnel setup'!$K$6,".",IF(A2027=".",1,A2027+1))</f>
        <v>.</v>
      </c>
      <c r="B2028" s="244" t="str">
        <f t="shared" si="31"/>
        <v>Knee Replacement PrimaryProviderGUY'S AND ST THOMAS' NHS FOUNDATION TRUST (RJ1)EQ VAS</v>
      </c>
      <c r="C2028" t="s">
        <v>969</v>
      </c>
      <c r="D2028" t="s">
        <v>965</v>
      </c>
      <c r="E2028" t="s">
        <v>262</v>
      </c>
      <c r="F2028" t="s">
        <v>263</v>
      </c>
      <c r="G2028" t="s">
        <v>752</v>
      </c>
      <c r="H2028">
        <v>59</v>
      </c>
      <c r="I2028">
        <v>60.644100000000002</v>
      </c>
      <c r="J2028">
        <v>68.305099999999996</v>
      </c>
      <c r="K2028">
        <v>7.6610199999999997</v>
      </c>
      <c r="L2028">
        <v>36</v>
      </c>
      <c r="M2028">
        <v>6</v>
      </c>
      <c r="N2028">
        <v>17</v>
      </c>
      <c r="O2028">
        <v>70.723799999999997</v>
      </c>
      <c r="P2028">
        <v>5.1953699999999996</v>
      </c>
      <c r="Q2028">
        <v>16.481999999999999</v>
      </c>
    </row>
    <row r="2029" spans="1:17" x14ac:dyDescent="0.25">
      <c r="A2029" t="str">
        <f>IF(C2029&amp;G2029&amp;D2029&lt;&gt;'Funnel setup'!$K$3&amp;'Funnel setup'!$K$4&amp;'Funnel setup'!$K$6,".",IF(A2028=".",1,A2028+1))</f>
        <v>.</v>
      </c>
      <c r="B2029" s="244" t="str">
        <f t="shared" si="31"/>
        <v>Knee Replacement PrimaryProviderHAMPSHIRE CLINIC (NT418)EQ VAS</v>
      </c>
      <c r="C2029" t="s">
        <v>969</v>
      </c>
      <c r="D2029" t="s">
        <v>965</v>
      </c>
      <c r="E2029" t="s">
        <v>264</v>
      </c>
      <c r="F2029" t="s">
        <v>265</v>
      </c>
      <c r="G2029" t="s">
        <v>752</v>
      </c>
      <c r="H2029">
        <v>18</v>
      </c>
      <c r="I2029">
        <v>77.888900000000007</v>
      </c>
      <c r="J2029">
        <v>82.611099999999993</v>
      </c>
      <c r="K2029">
        <v>4.7222200000000001</v>
      </c>
      <c r="L2029">
        <v>9</v>
      </c>
      <c r="M2029">
        <v>5</v>
      </c>
      <c r="N2029">
        <v>4</v>
      </c>
      <c r="O2029" t="s">
        <v>127</v>
      </c>
      <c r="P2029" t="s">
        <v>127</v>
      </c>
      <c r="Q2029" t="s">
        <v>127</v>
      </c>
    </row>
    <row r="2030" spans="1:17" x14ac:dyDescent="0.25">
      <c r="A2030" t="str">
        <f>IF(C2030&amp;G2030&amp;D2030&lt;&gt;'Funnel setup'!$K$3&amp;'Funnel setup'!$K$4&amp;'Funnel setup'!$K$6,".",IF(A2029=".",1,A2029+1))</f>
        <v>.</v>
      </c>
      <c r="B2030" s="244" t="str">
        <f t="shared" si="31"/>
        <v>Knee Replacement PrimaryProviderHAMPSHIRE HOSPITALS NHS FOUNDATION TRUST (RN5)EQ VAS</v>
      </c>
      <c r="C2030" t="s">
        <v>969</v>
      </c>
      <c r="D2030" t="s">
        <v>965</v>
      </c>
      <c r="E2030" t="s">
        <v>266</v>
      </c>
      <c r="F2030" t="s">
        <v>267</v>
      </c>
      <c r="G2030" t="s">
        <v>752</v>
      </c>
      <c r="H2030">
        <v>21</v>
      </c>
      <c r="I2030">
        <v>67.285700000000006</v>
      </c>
      <c r="J2030">
        <v>68.333299999999994</v>
      </c>
      <c r="K2030">
        <v>1.04762</v>
      </c>
      <c r="L2030">
        <v>10</v>
      </c>
      <c r="M2030">
        <v>1</v>
      </c>
      <c r="N2030">
        <v>10</v>
      </c>
      <c r="O2030" t="s">
        <v>127</v>
      </c>
      <c r="P2030" t="s">
        <v>127</v>
      </c>
      <c r="Q2030" t="s">
        <v>127</v>
      </c>
    </row>
    <row r="2031" spans="1:17" x14ac:dyDescent="0.25">
      <c r="A2031" t="str">
        <f>IF(C2031&amp;G2031&amp;D2031&lt;&gt;'Funnel setup'!$K$3&amp;'Funnel setup'!$K$4&amp;'Funnel setup'!$K$6,".",IF(A2030=".",1,A2030+1))</f>
        <v>.</v>
      </c>
      <c r="B2031" s="244" t="str">
        <f t="shared" si="31"/>
        <v>Knee Replacement PrimaryProviderHARROGATE AND DISTRICT NHS FOUNDATION TRUST (RCD)EQ VAS</v>
      </c>
      <c r="C2031" t="s">
        <v>969</v>
      </c>
      <c r="D2031" t="s">
        <v>965</v>
      </c>
      <c r="E2031" t="s">
        <v>270</v>
      </c>
      <c r="F2031" t="s">
        <v>271</v>
      </c>
      <c r="G2031" t="s">
        <v>752</v>
      </c>
      <c r="H2031">
        <v>75</v>
      </c>
      <c r="I2031">
        <v>64.066699999999997</v>
      </c>
      <c r="J2031">
        <v>71.36</v>
      </c>
      <c r="K2031">
        <v>7.2933300000000001</v>
      </c>
      <c r="L2031">
        <v>44</v>
      </c>
      <c r="M2031">
        <v>10</v>
      </c>
      <c r="N2031">
        <v>21</v>
      </c>
      <c r="O2031">
        <v>71.380099999999999</v>
      </c>
      <c r="P2031">
        <v>5.8517099999999997</v>
      </c>
      <c r="Q2031">
        <v>18.203399999999998</v>
      </c>
    </row>
    <row r="2032" spans="1:17" x14ac:dyDescent="0.25">
      <c r="A2032" t="str">
        <f>IF(C2032&amp;G2032&amp;D2032&lt;&gt;'Funnel setup'!$K$3&amp;'Funnel setup'!$K$4&amp;'Funnel setup'!$K$6,".",IF(A2031=".",1,A2031+1))</f>
        <v>.</v>
      </c>
      <c r="B2032" s="244" t="str">
        <f t="shared" si="31"/>
        <v>Knee Replacement PrimaryProviderHIGHFIELD HOSPITAL (NT420)EQ VAS</v>
      </c>
      <c r="C2032" t="s">
        <v>969</v>
      </c>
      <c r="D2032" t="s">
        <v>965</v>
      </c>
      <c r="E2032" t="s">
        <v>272</v>
      </c>
      <c r="F2032" t="s">
        <v>273</v>
      </c>
      <c r="G2032" t="s">
        <v>752</v>
      </c>
      <c r="H2032">
        <v>107</v>
      </c>
      <c r="I2032">
        <v>69.607500000000002</v>
      </c>
      <c r="J2032">
        <v>74.355099999999993</v>
      </c>
      <c r="K2032">
        <v>4.7476599999999998</v>
      </c>
      <c r="L2032">
        <v>55</v>
      </c>
      <c r="M2032">
        <v>10</v>
      </c>
      <c r="N2032">
        <v>42</v>
      </c>
      <c r="O2032">
        <v>71.740899999999996</v>
      </c>
      <c r="P2032">
        <v>6.2124600000000001</v>
      </c>
      <c r="Q2032">
        <v>18.77</v>
      </c>
    </row>
    <row r="2033" spans="1:17" x14ac:dyDescent="0.25">
      <c r="A2033" t="str">
        <f>IF(C2033&amp;G2033&amp;D2033&lt;&gt;'Funnel setup'!$K$3&amp;'Funnel setup'!$K$4&amp;'Funnel setup'!$K$6,".",IF(A2032=".",1,A2032+1))</f>
        <v>.</v>
      </c>
      <c r="B2033" s="244" t="str">
        <f t="shared" si="31"/>
        <v>Knee Replacement PrimaryProviderHOMERTON HEALTHCARE NHS FOUNDATION TRUST (RQX)EQ VAS</v>
      </c>
      <c r="C2033" t="s">
        <v>969</v>
      </c>
      <c r="D2033" t="s">
        <v>965</v>
      </c>
      <c r="E2033" t="s">
        <v>274</v>
      </c>
      <c r="F2033" t="s">
        <v>275</v>
      </c>
      <c r="G2033" t="s">
        <v>752</v>
      </c>
      <c r="H2033">
        <v>3</v>
      </c>
      <c r="I2033">
        <v>61.666699999999999</v>
      </c>
      <c r="J2033">
        <v>81</v>
      </c>
      <c r="K2033">
        <v>19.333300000000001</v>
      </c>
      <c r="L2033">
        <v>3</v>
      </c>
      <c r="M2033">
        <v>0</v>
      </c>
      <c r="N2033">
        <v>0</v>
      </c>
      <c r="O2033" t="s">
        <v>127</v>
      </c>
      <c r="P2033" t="s">
        <v>127</v>
      </c>
      <c r="Q2033" t="s">
        <v>127</v>
      </c>
    </row>
    <row r="2034" spans="1:17" x14ac:dyDescent="0.25">
      <c r="A2034" t="str">
        <f>IF(C2034&amp;G2034&amp;D2034&lt;&gt;'Funnel setup'!$K$3&amp;'Funnel setup'!$K$4&amp;'Funnel setup'!$K$6,".",IF(A2033=".",1,A2033+1))</f>
        <v>.</v>
      </c>
      <c r="B2034" s="244" t="str">
        <f t="shared" si="31"/>
        <v>Knee Replacement PrimaryProviderHUDDERSFIELD HOSPITAL (NT448)EQ VAS</v>
      </c>
      <c r="C2034" t="s">
        <v>969</v>
      </c>
      <c r="D2034" t="s">
        <v>965</v>
      </c>
      <c r="E2034" t="s">
        <v>276</v>
      </c>
      <c r="F2034" t="s">
        <v>277</v>
      </c>
      <c r="G2034" t="s">
        <v>752</v>
      </c>
      <c r="H2034">
        <v>2</v>
      </c>
      <c r="I2034">
        <v>72.5</v>
      </c>
      <c r="J2034">
        <v>58</v>
      </c>
      <c r="K2034">
        <v>-14.5</v>
      </c>
      <c r="L2034">
        <v>0</v>
      </c>
      <c r="M2034">
        <v>0</v>
      </c>
      <c r="N2034">
        <v>2</v>
      </c>
      <c r="O2034" t="s">
        <v>127</v>
      </c>
      <c r="P2034" t="s">
        <v>127</v>
      </c>
      <c r="Q2034" t="s">
        <v>127</v>
      </c>
    </row>
    <row r="2035" spans="1:17" x14ac:dyDescent="0.25">
      <c r="A2035" t="str">
        <f>IF(C2035&amp;G2035&amp;D2035&lt;&gt;'Funnel setup'!$K$3&amp;'Funnel setup'!$K$4&amp;'Funnel setup'!$K$6,".",IF(A2034=".",1,A2034+1))</f>
        <v>.</v>
      </c>
      <c r="B2035" s="244" t="str">
        <f t="shared" si="31"/>
        <v>Knee Replacement PrimaryProviderHULL UNIVERSITY TEACHING HOSPITALS NHS TRUST (RWA)EQ VAS</v>
      </c>
      <c r="C2035" t="s">
        <v>969</v>
      </c>
      <c r="D2035" t="s">
        <v>965</v>
      </c>
      <c r="E2035" t="s">
        <v>278</v>
      </c>
      <c r="F2035" t="s">
        <v>279</v>
      </c>
      <c r="G2035" t="s">
        <v>752</v>
      </c>
      <c r="H2035">
        <v>26</v>
      </c>
      <c r="I2035">
        <v>66.807699999999997</v>
      </c>
      <c r="J2035">
        <v>73.269199999999998</v>
      </c>
      <c r="K2035">
        <v>6.4615400000000003</v>
      </c>
      <c r="L2035">
        <v>17</v>
      </c>
      <c r="M2035">
        <v>3</v>
      </c>
      <c r="N2035">
        <v>6</v>
      </c>
      <c r="O2035" t="s">
        <v>127</v>
      </c>
      <c r="P2035" t="s">
        <v>127</v>
      </c>
      <c r="Q2035" t="s">
        <v>127</v>
      </c>
    </row>
    <row r="2036" spans="1:17" x14ac:dyDescent="0.25">
      <c r="A2036" t="str">
        <f>IF(C2036&amp;G2036&amp;D2036&lt;&gt;'Funnel setup'!$K$3&amp;'Funnel setup'!$K$4&amp;'Funnel setup'!$K$6,".",IF(A2035=".",1,A2035+1))</f>
        <v>.</v>
      </c>
      <c r="B2036" s="244" t="str">
        <f t="shared" si="31"/>
        <v>Knee Replacement PrimaryProviderIMPERIAL COLLEGE HEALTHCARE NHS TRUST (RYJ)EQ VAS</v>
      </c>
      <c r="C2036" t="s">
        <v>969</v>
      </c>
      <c r="D2036" t="s">
        <v>965</v>
      </c>
      <c r="E2036" t="s">
        <v>280</v>
      </c>
      <c r="F2036" t="s">
        <v>281</v>
      </c>
      <c r="G2036" t="s">
        <v>752</v>
      </c>
      <c r="H2036">
        <v>22</v>
      </c>
      <c r="I2036">
        <v>62.5</v>
      </c>
      <c r="J2036">
        <v>69.045500000000004</v>
      </c>
      <c r="K2036">
        <v>6.5454499999999998</v>
      </c>
      <c r="L2036">
        <v>15</v>
      </c>
      <c r="M2036">
        <v>1</v>
      </c>
      <c r="N2036">
        <v>6</v>
      </c>
      <c r="O2036" t="s">
        <v>127</v>
      </c>
      <c r="P2036" t="s">
        <v>127</v>
      </c>
      <c r="Q2036" t="s">
        <v>127</v>
      </c>
    </row>
    <row r="2037" spans="1:17" x14ac:dyDescent="0.25">
      <c r="A2037" t="str">
        <f>IF(C2037&amp;G2037&amp;D2037&lt;&gt;'Funnel setup'!$K$3&amp;'Funnel setup'!$K$4&amp;'Funnel setup'!$K$6,".",IF(A2036=".",1,A2036+1))</f>
        <v>.</v>
      </c>
      <c r="B2037" s="244" t="str">
        <f t="shared" si="31"/>
        <v>Knee Replacement PrimaryProviderISLE OF WIGHT NHS TRUST (R1F)EQ VAS</v>
      </c>
      <c r="C2037" t="s">
        <v>969</v>
      </c>
      <c r="D2037" t="s">
        <v>965</v>
      </c>
      <c r="E2037" t="s">
        <v>282</v>
      </c>
      <c r="F2037" t="s">
        <v>283</v>
      </c>
      <c r="G2037" t="s">
        <v>752</v>
      </c>
      <c r="H2037">
        <v>2</v>
      </c>
      <c r="I2037">
        <v>82.5</v>
      </c>
      <c r="J2037">
        <v>87.5</v>
      </c>
      <c r="K2037">
        <v>5</v>
      </c>
      <c r="L2037">
        <v>1</v>
      </c>
      <c r="M2037">
        <v>1</v>
      </c>
      <c r="N2037">
        <v>0</v>
      </c>
      <c r="O2037" t="s">
        <v>127</v>
      </c>
      <c r="P2037" t="s">
        <v>127</v>
      </c>
      <c r="Q2037" t="s">
        <v>127</v>
      </c>
    </row>
    <row r="2038" spans="1:17" x14ac:dyDescent="0.25">
      <c r="A2038" t="str">
        <f>IF(C2038&amp;G2038&amp;D2038&lt;&gt;'Funnel setup'!$K$3&amp;'Funnel setup'!$K$4&amp;'Funnel setup'!$K$6,".",IF(A2037=".",1,A2037+1))</f>
        <v>.</v>
      </c>
      <c r="B2038" s="244" t="str">
        <f t="shared" si="31"/>
        <v>Knee Replacement PrimaryProviderJAMES PAGET UNIVERSITY HOSPITALS NHS FOUNDATION TRUST (RGP)EQ VAS</v>
      </c>
      <c r="C2038" t="s">
        <v>969</v>
      </c>
      <c r="D2038" t="s">
        <v>965</v>
      </c>
      <c r="E2038" t="s">
        <v>284</v>
      </c>
      <c r="F2038" t="s">
        <v>285</v>
      </c>
      <c r="G2038" t="s">
        <v>752</v>
      </c>
      <c r="H2038">
        <v>50</v>
      </c>
      <c r="I2038">
        <v>61.68</v>
      </c>
      <c r="J2038">
        <v>75.12</v>
      </c>
      <c r="K2038">
        <v>13.44</v>
      </c>
      <c r="L2038">
        <v>36</v>
      </c>
      <c r="M2038">
        <v>3</v>
      </c>
      <c r="N2038">
        <v>11</v>
      </c>
      <c r="O2038">
        <v>76.8001</v>
      </c>
      <c r="P2038">
        <v>11.271699999999999</v>
      </c>
      <c r="Q2038">
        <v>14.316599999999999</v>
      </c>
    </row>
    <row r="2039" spans="1:17" x14ac:dyDescent="0.25">
      <c r="A2039" t="str">
        <f>IF(C2039&amp;G2039&amp;D2039&lt;&gt;'Funnel setup'!$K$3&amp;'Funnel setup'!$K$4&amp;'Funnel setup'!$K$6,".",IF(A2038=".",1,A2038+1))</f>
        <v>.</v>
      </c>
      <c r="B2039" s="244" t="str">
        <f t="shared" si="31"/>
        <v>Knee Replacement PrimaryProviderKETTERING GENERAL HOSPITAL NHS FOUNDATION TRUST (RNQ)EQ VAS</v>
      </c>
      <c r="C2039" t="s">
        <v>969</v>
      </c>
      <c r="D2039" t="s">
        <v>965</v>
      </c>
      <c r="E2039" t="s">
        <v>286</v>
      </c>
      <c r="F2039" t="s">
        <v>287</v>
      </c>
      <c r="G2039" t="s">
        <v>752</v>
      </c>
      <c r="H2039">
        <v>24</v>
      </c>
      <c r="I2039">
        <v>33.5</v>
      </c>
      <c r="J2039">
        <v>71.291700000000006</v>
      </c>
      <c r="K2039">
        <v>37.791699999999999</v>
      </c>
      <c r="L2039">
        <v>22</v>
      </c>
      <c r="M2039">
        <v>0</v>
      </c>
      <c r="N2039">
        <v>2</v>
      </c>
      <c r="O2039" t="s">
        <v>127</v>
      </c>
      <c r="P2039" t="s">
        <v>127</v>
      </c>
      <c r="Q2039" t="s">
        <v>127</v>
      </c>
    </row>
    <row r="2040" spans="1:17" x14ac:dyDescent="0.25">
      <c r="A2040" t="str">
        <f>IF(C2040&amp;G2040&amp;D2040&lt;&gt;'Funnel setup'!$K$3&amp;'Funnel setup'!$K$4&amp;'Funnel setup'!$K$6,".",IF(A2039=".",1,A2039+1))</f>
        <v>.</v>
      </c>
      <c r="B2040" s="244" t="str">
        <f t="shared" si="31"/>
        <v>Knee Replacement PrimaryProviderKIMS HOSPITAL (NEWNHAM COURT) (ADP02)EQ VAS</v>
      </c>
      <c r="C2040" t="s">
        <v>969</v>
      </c>
      <c r="D2040" t="s">
        <v>965</v>
      </c>
      <c r="E2040" t="s">
        <v>288</v>
      </c>
      <c r="F2040" t="s">
        <v>289</v>
      </c>
      <c r="G2040" t="s">
        <v>752</v>
      </c>
      <c r="H2040">
        <v>130</v>
      </c>
      <c r="I2040">
        <v>67.261499999999998</v>
      </c>
      <c r="J2040">
        <v>77.953800000000001</v>
      </c>
      <c r="K2040">
        <v>10.692299999999999</v>
      </c>
      <c r="L2040">
        <v>92</v>
      </c>
      <c r="M2040">
        <v>12</v>
      </c>
      <c r="N2040">
        <v>26</v>
      </c>
      <c r="O2040">
        <v>76.557699999999997</v>
      </c>
      <c r="P2040">
        <v>11.029299999999999</v>
      </c>
      <c r="Q2040">
        <v>15.4382</v>
      </c>
    </row>
    <row r="2041" spans="1:17" x14ac:dyDescent="0.25">
      <c r="A2041" t="str">
        <f>IF(C2041&amp;G2041&amp;D2041&lt;&gt;'Funnel setup'!$K$3&amp;'Funnel setup'!$K$4&amp;'Funnel setup'!$K$6,".",IF(A2040=".",1,A2040+1))</f>
        <v>.</v>
      </c>
      <c r="B2041" s="244" t="str">
        <f t="shared" si="31"/>
        <v>Knee Replacement PrimaryProviderKING'S COLLEGE HOSPITAL NHS FOUNDATION TRUST (RJZ)EQ VAS</v>
      </c>
      <c r="C2041" t="s">
        <v>969</v>
      </c>
      <c r="D2041" t="s">
        <v>965</v>
      </c>
      <c r="E2041" t="s">
        <v>290</v>
      </c>
      <c r="F2041" t="s">
        <v>291</v>
      </c>
      <c r="G2041" t="s">
        <v>752</v>
      </c>
      <c r="H2041">
        <v>14</v>
      </c>
      <c r="I2041">
        <v>65.5</v>
      </c>
      <c r="J2041">
        <v>66.142899999999997</v>
      </c>
      <c r="K2041">
        <v>0.64285700000000001</v>
      </c>
      <c r="L2041">
        <v>6</v>
      </c>
      <c r="M2041">
        <v>0</v>
      </c>
      <c r="N2041">
        <v>8</v>
      </c>
      <c r="O2041" t="s">
        <v>127</v>
      </c>
      <c r="P2041" t="s">
        <v>127</v>
      </c>
      <c r="Q2041" t="s">
        <v>127</v>
      </c>
    </row>
    <row r="2042" spans="1:17" x14ac:dyDescent="0.25">
      <c r="A2042" t="str">
        <f>IF(C2042&amp;G2042&amp;D2042&lt;&gt;'Funnel setup'!$K$3&amp;'Funnel setup'!$K$4&amp;'Funnel setup'!$K$6,".",IF(A2041=".",1,A2041+1))</f>
        <v>.</v>
      </c>
      <c r="B2042" s="244" t="str">
        <f t="shared" si="31"/>
        <v>Knee Replacement PrimaryProviderKINGS OAK HOSPITAL (NT421)EQ VAS</v>
      </c>
      <c r="C2042" t="s">
        <v>969</v>
      </c>
      <c r="D2042" t="s">
        <v>965</v>
      </c>
      <c r="E2042" t="s">
        <v>292</v>
      </c>
      <c r="F2042" t="s">
        <v>293</v>
      </c>
      <c r="G2042" t="s">
        <v>752</v>
      </c>
      <c r="H2042">
        <v>6</v>
      </c>
      <c r="I2042">
        <v>54.166699999999999</v>
      </c>
      <c r="J2042">
        <v>68</v>
      </c>
      <c r="K2042">
        <v>13.833299999999999</v>
      </c>
      <c r="L2042">
        <v>4</v>
      </c>
      <c r="M2042">
        <v>1</v>
      </c>
      <c r="N2042">
        <v>1</v>
      </c>
      <c r="O2042" t="s">
        <v>127</v>
      </c>
      <c r="P2042" t="s">
        <v>127</v>
      </c>
      <c r="Q2042" t="s">
        <v>127</v>
      </c>
    </row>
    <row r="2043" spans="1:17" x14ac:dyDescent="0.25">
      <c r="A2043" t="str">
        <f>IF(C2043&amp;G2043&amp;D2043&lt;&gt;'Funnel setup'!$K$3&amp;'Funnel setup'!$K$4&amp;'Funnel setup'!$K$6,".",IF(A2042=".",1,A2042+1))</f>
        <v>.</v>
      </c>
      <c r="B2043" s="244" t="str">
        <f t="shared" si="31"/>
        <v>Knee Replacement PrimaryProviderLANCASHIRE TEACHING HOSPITALS NHS FOUNDATION TRUST (RXN)EQ VAS</v>
      </c>
      <c r="C2043" t="s">
        <v>969</v>
      </c>
      <c r="D2043" t="s">
        <v>965</v>
      </c>
      <c r="E2043" t="s">
        <v>296</v>
      </c>
      <c r="F2043" t="s">
        <v>297</v>
      </c>
      <c r="G2043" t="s">
        <v>752</v>
      </c>
      <c r="H2043">
        <v>36</v>
      </c>
      <c r="I2043">
        <v>64.805599999999998</v>
      </c>
      <c r="J2043">
        <v>71.472200000000001</v>
      </c>
      <c r="K2043">
        <v>6.6666699999999999</v>
      </c>
      <c r="L2043">
        <v>23</v>
      </c>
      <c r="M2043">
        <v>2</v>
      </c>
      <c r="N2043">
        <v>11</v>
      </c>
      <c r="O2043">
        <v>73.941699999999997</v>
      </c>
      <c r="P2043">
        <v>8.4133399999999998</v>
      </c>
      <c r="Q2043">
        <v>16.991099999999999</v>
      </c>
    </row>
    <row r="2044" spans="1:17" x14ac:dyDescent="0.25">
      <c r="A2044" t="str">
        <f>IF(C2044&amp;G2044&amp;D2044&lt;&gt;'Funnel setup'!$K$3&amp;'Funnel setup'!$K$4&amp;'Funnel setup'!$K$6,".",IF(A2043=".",1,A2043+1))</f>
        <v>.</v>
      </c>
      <c r="B2044" s="244" t="str">
        <f t="shared" si="31"/>
        <v>Knee Replacement PrimaryProviderLANCASTER HOSPITAL (NT449)EQ VAS</v>
      </c>
      <c r="C2044" t="s">
        <v>969</v>
      </c>
      <c r="D2044" t="s">
        <v>965</v>
      </c>
      <c r="E2044" t="s">
        <v>298</v>
      </c>
      <c r="F2044" t="s">
        <v>299</v>
      </c>
      <c r="G2044" t="s">
        <v>752</v>
      </c>
      <c r="H2044">
        <v>30</v>
      </c>
      <c r="I2044">
        <v>69.433300000000003</v>
      </c>
      <c r="J2044">
        <v>81.566699999999997</v>
      </c>
      <c r="K2044">
        <v>12.1333</v>
      </c>
      <c r="L2044">
        <v>22</v>
      </c>
      <c r="M2044">
        <v>2</v>
      </c>
      <c r="N2044">
        <v>6</v>
      </c>
      <c r="O2044">
        <v>78.701499999999996</v>
      </c>
      <c r="P2044">
        <v>13.1731</v>
      </c>
      <c r="Q2044">
        <v>11.4101</v>
      </c>
    </row>
    <row r="2045" spans="1:17" x14ac:dyDescent="0.25">
      <c r="A2045" t="str">
        <f>IF(C2045&amp;G2045&amp;D2045&lt;&gt;'Funnel setup'!$K$3&amp;'Funnel setup'!$K$4&amp;'Funnel setup'!$K$6,".",IF(A2044=".",1,A2044+1))</f>
        <v>.</v>
      </c>
      <c r="B2045" s="244" t="str">
        <f t="shared" si="31"/>
        <v>Knee Replacement PrimaryProviderLEEDS TEACHING HOSPITALS NHS TRUST (RR8)EQ VAS</v>
      </c>
      <c r="C2045" t="s">
        <v>969</v>
      </c>
      <c r="D2045" t="s">
        <v>965</v>
      </c>
      <c r="E2045" t="s">
        <v>300</v>
      </c>
      <c r="F2045" t="s">
        <v>301</v>
      </c>
      <c r="G2045" t="s">
        <v>752</v>
      </c>
      <c r="H2045">
        <v>92</v>
      </c>
      <c r="I2045">
        <v>59.239100000000001</v>
      </c>
      <c r="J2045">
        <v>71.228300000000004</v>
      </c>
      <c r="K2045">
        <v>11.989100000000001</v>
      </c>
      <c r="L2045">
        <v>62</v>
      </c>
      <c r="M2045">
        <v>12</v>
      </c>
      <c r="N2045">
        <v>18</v>
      </c>
      <c r="O2045">
        <v>74.343400000000003</v>
      </c>
      <c r="P2045">
        <v>8.8150300000000001</v>
      </c>
      <c r="Q2045">
        <v>15.6526</v>
      </c>
    </row>
    <row r="2046" spans="1:17" x14ac:dyDescent="0.25">
      <c r="A2046" t="str">
        <f>IF(C2046&amp;G2046&amp;D2046&lt;&gt;'Funnel setup'!$K$3&amp;'Funnel setup'!$K$4&amp;'Funnel setup'!$K$6,".",IF(A2045=".",1,A2045+1))</f>
        <v>.</v>
      </c>
      <c r="B2046" s="244" t="str">
        <f t="shared" si="31"/>
        <v>Knee Replacement PrimaryProviderLINCOLN HOSPITAL (NT450)EQ VAS</v>
      </c>
      <c r="C2046" t="s">
        <v>969</v>
      </c>
      <c r="D2046" t="s">
        <v>965</v>
      </c>
      <c r="E2046" t="s">
        <v>304</v>
      </c>
      <c r="F2046" t="s">
        <v>305</v>
      </c>
      <c r="G2046" t="s">
        <v>752</v>
      </c>
      <c r="H2046">
        <v>66</v>
      </c>
      <c r="I2046">
        <v>66.318200000000004</v>
      </c>
      <c r="J2046">
        <v>78.106099999999998</v>
      </c>
      <c r="K2046">
        <v>11.7879</v>
      </c>
      <c r="L2046">
        <v>45</v>
      </c>
      <c r="M2046">
        <v>4</v>
      </c>
      <c r="N2046">
        <v>17</v>
      </c>
      <c r="O2046">
        <v>77.393900000000002</v>
      </c>
      <c r="P2046">
        <v>11.865500000000001</v>
      </c>
      <c r="Q2046">
        <v>15.3972</v>
      </c>
    </row>
    <row r="2047" spans="1:17" x14ac:dyDescent="0.25">
      <c r="A2047" t="str">
        <f>IF(C2047&amp;G2047&amp;D2047&lt;&gt;'Funnel setup'!$K$3&amp;'Funnel setup'!$K$4&amp;'Funnel setup'!$K$6,".",IF(A2046=".",1,A2046+1))</f>
        <v>.</v>
      </c>
      <c r="B2047" s="244" t="str">
        <f t="shared" si="31"/>
        <v>Knee Replacement PrimaryProviderLIVERPOOL UNIVERSITY HOSPITALS NHS FOUNDATION TRUST (REM)EQ VAS</v>
      </c>
      <c r="C2047" t="s">
        <v>969</v>
      </c>
      <c r="D2047" t="s">
        <v>965</v>
      </c>
      <c r="E2047" t="s">
        <v>306</v>
      </c>
      <c r="F2047" t="s">
        <v>307</v>
      </c>
      <c r="G2047" t="s">
        <v>752</v>
      </c>
      <c r="H2047">
        <v>57</v>
      </c>
      <c r="I2047">
        <v>64.192999999999998</v>
      </c>
      <c r="J2047">
        <v>72.350899999999996</v>
      </c>
      <c r="K2047">
        <v>8.1578900000000001</v>
      </c>
      <c r="L2047">
        <v>32</v>
      </c>
      <c r="M2047">
        <v>6</v>
      </c>
      <c r="N2047">
        <v>19</v>
      </c>
      <c r="O2047">
        <v>74.664299999999997</v>
      </c>
      <c r="P2047">
        <v>9.1358700000000006</v>
      </c>
      <c r="Q2047">
        <v>17.504000000000001</v>
      </c>
    </row>
    <row r="2048" spans="1:17" x14ac:dyDescent="0.25">
      <c r="A2048" t="str">
        <f>IF(C2048&amp;G2048&amp;D2048&lt;&gt;'Funnel setup'!$K$3&amp;'Funnel setup'!$K$4&amp;'Funnel setup'!$K$6,".",IF(A2047=".",1,A2047+1))</f>
        <v>.</v>
      </c>
      <c r="B2048" s="244" t="str">
        <f t="shared" si="31"/>
        <v>Knee Replacement PrimaryProviderLONDON INDEPENDENT HOSPITAL (NT422)EQ VAS</v>
      </c>
      <c r="C2048" t="s">
        <v>969</v>
      </c>
      <c r="D2048" t="s">
        <v>965</v>
      </c>
      <c r="E2048" t="s">
        <v>308</v>
      </c>
      <c r="F2048" t="s">
        <v>309</v>
      </c>
      <c r="G2048" t="s">
        <v>752</v>
      </c>
      <c r="H2048">
        <v>8</v>
      </c>
      <c r="I2048">
        <v>56.25</v>
      </c>
      <c r="J2048">
        <v>57.25</v>
      </c>
      <c r="K2048">
        <v>1</v>
      </c>
      <c r="L2048">
        <v>4</v>
      </c>
      <c r="M2048">
        <v>0</v>
      </c>
      <c r="N2048">
        <v>4</v>
      </c>
      <c r="O2048" t="s">
        <v>127</v>
      </c>
      <c r="P2048" t="s">
        <v>127</v>
      </c>
      <c r="Q2048" t="s">
        <v>127</v>
      </c>
    </row>
    <row r="2049" spans="1:17" x14ac:dyDescent="0.25">
      <c r="A2049" t="str">
        <f>IF(C2049&amp;G2049&amp;D2049&lt;&gt;'Funnel setup'!$K$3&amp;'Funnel setup'!$K$4&amp;'Funnel setup'!$K$6,".",IF(A2048=".",1,A2048+1))</f>
        <v>.</v>
      </c>
      <c r="B2049" s="244" t="str">
        <f t="shared" si="31"/>
        <v>Knee Replacement PrimaryProviderMAIDSTONE AND TUNBRIDGE WELLS NHS TRUST (RWF)EQ VAS</v>
      </c>
      <c r="C2049" t="s">
        <v>969</v>
      </c>
      <c r="D2049" t="s">
        <v>965</v>
      </c>
      <c r="E2049" t="s">
        <v>312</v>
      </c>
      <c r="F2049" t="s">
        <v>313</v>
      </c>
      <c r="G2049" t="s">
        <v>752</v>
      </c>
      <c r="H2049">
        <v>128</v>
      </c>
      <c r="I2049">
        <v>67.4375</v>
      </c>
      <c r="J2049">
        <v>77.007800000000003</v>
      </c>
      <c r="K2049">
        <v>9.5703099999999992</v>
      </c>
      <c r="L2049">
        <v>80</v>
      </c>
      <c r="M2049">
        <v>12</v>
      </c>
      <c r="N2049">
        <v>36</v>
      </c>
      <c r="O2049">
        <v>75.836200000000005</v>
      </c>
      <c r="P2049">
        <v>10.3078</v>
      </c>
      <c r="Q2049">
        <v>15.902100000000001</v>
      </c>
    </row>
    <row r="2050" spans="1:17" x14ac:dyDescent="0.25">
      <c r="A2050" t="str">
        <f>IF(C2050&amp;G2050&amp;D2050&lt;&gt;'Funnel setup'!$K$3&amp;'Funnel setup'!$K$4&amp;'Funnel setup'!$K$6,".",IF(A2049=".",1,A2049+1))</f>
        <v>.</v>
      </c>
      <c r="B2050" s="244" t="str">
        <f t="shared" ref="B2050:B2113" si="32">C2050&amp;D2050&amp;F2050&amp;G2050</f>
        <v>Knee Replacement PrimaryProviderMANCHESTER UNIVERSITY NHS FOUNDATION TRUST (R0A)EQ VAS</v>
      </c>
      <c r="C2050" t="s">
        <v>969</v>
      </c>
      <c r="D2050" t="s">
        <v>965</v>
      </c>
      <c r="E2050" t="s">
        <v>316</v>
      </c>
      <c r="F2050" t="s">
        <v>317</v>
      </c>
      <c r="G2050" t="s">
        <v>752</v>
      </c>
      <c r="H2050">
        <v>89</v>
      </c>
      <c r="I2050">
        <v>60.303400000000003</v>
      </c>
      <c r="J2050">
        <v>70.752799999999993</v>
      </c>
      <c r="K2050">
        <v>10.449400000000001</v>
      </c>
      <c r="L2050">
        <v>53</v>
      </c>
      <c r="M2050">
        <v>10</v>
      </c>
      <c r="N2050">
        <v>26</v>
      </c>
      <c r="O2050">
        <v>73.275499999999994</v>
      </c>
      <c r="P2050">
        <v>7.7470800000000004</v>
      </c>
      <c r="Q2050">
        <v>20.907900000000001</v>
      </c>
    </row>
    <row r="2051" spans="1:17" x14ac:dyDescent="0.25">
      <c r="A2051" t="str">
        <f>IF(C2051&amp;G2051&amp;D2051&lt;&gt;'Funnel setup'!$K$3&amp;'Funnel setup'!$K$4&amp;'Funnel setup'!$K$6,".",IF(A2050=".",1,A2050+1))</f>
        <v>.</v>
      </c>
      <c r="B2051" s="244" t="str">
        <f t="shared" si="32"/>
        <v>Knee Replacement PrimaryProviderMANOR HOSPITAL (NT423)EQ VAS</v>
      </c>
      <c r="C2051" t="s">
        <v>969</v>
      </c>
      <c r="D2051" t="s">
        <v>965</v>
      </c>
      <c r="E2051" t="s">
        <v>318</v>
      </c>
      <c r="F2051" t="s">
        <v>319</v>
      </c>
      <c r="G2051" t="s">
        <v>752</v>
      </c>
      <c r="H2051">
        <v>13</v>
      </c>
      <c r="I2051">
        <v>69</v>
      </c>
      <c r="J2051">
        <v>72.461500000000001</v>
      </c>
      <c r="K2051">
        <v>3.4615399999999998</v>
      </c>
      <c r="L2051">
        <v>8</v>
      </c>
      <c r="M2051">
        <v>2</v>
      </c>
      <c r="N2051">
        <v>3</v>
      </c>
      <c r="O2051" t="s">
        <v>127</v>
      </c>
      <c r="P2051" t="s">
        <v>127</v>
      </c>
      <c r="Q2051" t="s">
        <v>127</v>
      </c>
    </row>
    <row r="2052" spans="1:17" x14ac:dyDescent="0.25">
      <c r="A2052" t="str">
        <f>IF(C2052&amp;G2052&amp;D2052&lt;&gt;'Funnel setup'!$K$3&amp;'Funnel setup'!$K$4&amp;'Funnel setup'!$K$6,".",IF(A2051=".",1,A2051+1))</f>
        <v>.</v>
      </c>
      <c r="B2052" s="244" t="str">
        <f t="shared" si="32"/>
        <v>Knee Replacement PrimaryProviderMEDWAY NHS FOUNDATION TRUST (RPA)EQ VAS</v>
      </c>
      <c r="C2052" t="s">
        <v>969</v>
      </c>
      <c r="D2052" t="s">
        <v>965</v>
      </c>
      <c r="E2052" t="s">
        <v>320</v>
      </c>
      <c r="F2052" t="s">
        <v>321</v>
      </c>
      <c r="G2052" t="s">
        <v>752</v>
      </c>
      <c r="H2052">
        <v>41</v>
      </c>
      <c r="I2052">
        <v>66.756100000000004</v>
      </c>
      <c r="J2052">
        <v>75.365899999999996</v>
      </c>
      <c r="K2052">
        <v>8.6097599999999996</v>
      </c>
      <c r="L2052">
        <v>28</v>
      </c>
      <c r="M2052">
        <v>2</v>
      </c>
      <c r="N2052">
        <v>11</v>
      </c>
      <c r="O2052">
        <v>75.612300000000005</v>
      </c>
      <c r="P2052">
        <v>10.0839</v>
      </c>
      <c r="Q2052">
        <v>17.1815</v>
      </c>
    </row>
    <row r="2053" spans="1:17" x14ac:dyDescent="0.25">
      <c r="A2053" t="str">
        <f>IF(C2053&amp;G2053&amp;D2053&lt;&gt;'Funnel setup'!$K$3&amp;'Funnel setup'!$K$4&amp;'Funnel setup'!$K$6,".",IF(A2052=".",1,A2052+1))</f>
        <v>.</v>
      </c>
      <c r="B2053" s="244" t="str">
        <f t="shared" si="32"/>
        <v>Knee Replacement PrimaryProviderMERIDEN HOSPITAL (NT424)EQ VAS</v>
      </c>
      <c r="C2053" t="s">
        <v>969</v>
      </c>
      <c r="D2053" t="s">
        <v>965</v>
      </c>
      <c r="E2053" t="s">
        <v>322</v>
      </c>
      <c r="F2053" t="s">
        <v>323</v>
      </c>
      <c r="G2053" t="s">
        <v>752</v>
      </c>
      <c r="H2053">
        <v>7</v>
      </c>
      <c r="I2053">
        <v>68.571399999999997</v>
      </c>
      <c r="J2053">
        <v>80</v>
      </c>
      <c r="K2053">
        <v>11.428599999999999</v>
      </c>
      <c r="L2053">
        <v>5</v>
      </c>
      <c r="M2053">
        <v>1</v>
      </c>
      <c r="N2053">
        <v>1</v>
      </c>
      <c r="O2053" t="s">
        <v>127</v>
      </c>
      <c r="P2053" t="s">
        <v>127</v>
      </c>
      <c r="Q2053" t="s">
        <v>127</v>
      </c>
    </row>
    <row r="2054" spans="1:17" x14ac:dyDescent="0.25">
      <c r="A2054" t="str">
        <f>IF(C2054&amp;G2054&amp;D2054&lt;&gt;'Funnel setup'!$K$3&amp;'Funnel setup'!$K$4&amp;'Funnel setup'!$K$6,".",IF(A2053=".",1,A2053+1))</f>
        <v>.</v>
      </c>
      <c r="B2054" s="244" t="str">
        <f t="shared" si="32"/>
        <v>Knee Replacement PrimaryProviderMID AND SOUTH ESSEX NHS FOUNDATION TRUST (RAJ)EQ VAS</v>
      </c>
      <c r="C2054" t="s">
        <v>969</v>
      </c>
      <c r="D2054" t="s">
        <v>965</v>
      </c>
      <c r="E2054" t="s">
        <v>324</v>
      </c>
      <c r="F2054" t="s">
        <v>325</v>
      </c>
      <c r="G2054" t="s">
        <v>752</v>
      </c>
      <c r="H2054">
        <v>115</v>
      </c>
      <c r="I2054">
        <v>64.478300000000004</v>
      </c>
      <c r="J2054">
        <v>70.304299999999998</v>
      </c>
      <c r="K2054">
        <v>5.8260899999999998</v>
      </c>
      <c r="L2054">
        <v>70</v>
      </c>
      <c r="M2054">
        <v>13</v>
      </c>
      <c r="N2054">
        <v>32</v>
      </c>
      <c r="O2054">
        <v>72.392300000000006</v>
      </c>
      <c r="P2054">
        <v>6.8639000000000001</v>
      </c>
      <c r="Q2054">
        <v>18.5563</v>
      </c>
    </row>
    <row r="2055" spans="1:17" x14ac:dyDescent="0.25">
      <c r="A2055" t="str">
        <f>IF(C2055&amp;G2055&amp;D2055&lt;&gt;'Funnel setup'!$K$3&amp;'Funnel setup'!$K$4&amp;'Funnel setup'!$K$6,".",IF(A2054=".",1,A2054+1))</f>
        <v>.</v>
      </c>
      <c r="B2055" s="244" t="str">
        <f t="shared" si="32"/>
        <v>Knee Replacement PrimaryProviderMID CHESHIRE HOSPITALS NHS FOUNDATION TRUST (RBT)EQ VAS</v>
      </c>
      <c r="C2055" t="s">
        <v>969</v>
      </c>
      <c r="D2055" t="s">
        <v>965</v>
      </c>
      <c r="E2055" t="s">
        <v>326</v>
      </c>
      <c r="F2055" t="s">
        <v>327</v>
      </c>
      <c r="G2055" t="s">
        <v>752</v>
      </c>
      <c r="H2055">
        <v>79</v>
      </c>
      <c r="I2055">
        <v>63.607599999999998</v>
      </c>
      <c r="J2055">
        <v>75.430400000000006</v>
      </c>
      <c r="K2055">
        <v>11.822800000000001</v>
      </c>
      <c r="L2055">
        <v>50</v>
      </c>
      <c r="M2055">
        <v>7</v>
      </c>
      <c r="N2055">
        <v>22</v>
      </c>
      <c r="O2055">
        <v>75.811899999999994</v>
      </c>
      <c r="P2055">
        <v>10.2835</v>
      </c>
      <c r="Q2055">
        <v>15.621</v>
      </c>
    </row>
    <row r="2056" spans="1:17" x14ac:dyDescent="0.25">
      <c r="A2056" t="str">
        <f>IF(C2056&amp;G2056&amp;D2056&lt;&gt;'Funnel setup'!$K$3&amp;'Funnel setup'!$K$4&amp;'Funnel setup'!$K$6,".",IF(A2055=".",1,A2055+1))</f>
        <v>.</v>
      </c>
      <c r="B2056" s="244" t="str">
        <f t="shared" si="32"/>
        <v>Knee Replacement PrimaryProviderMID YORKSHIRE TEACHING NHS TRUST (RXF)EQ VAS</v>
      </c>
      <c r="C2056" t="s">
        <v>969</v>
      </c>
      <c r="D2056" t="s">
        <v>965</v>
      </c>
      <c r="E2056" t="s">
        <v>330</v>
      </c>
      <c r="F2056" t="s">
        <v>331</v>
      </c>
      <c r="G2056" t="s">
        <v>752</v>
      </c>
      <c r="H2056">
        <v>161</v>
      </c>
      <c r="I2056">
        <v>61.819899999999997</v>
      </c>
      <c r="J2056">
        <v>70.695700000000002</v>
      </c>
      <c r="K2056">
        <v>8.8757800000000007</v>
      </c>
      <c r="L2056">
        <v>95</v>
      </c>
      <c r="M2056">
        <v>14</v>
      </c>
      <c r="N2056">
        <v>52</v>
      </c>
      <c r="O2056">
        <v>72.953199999999995</v>
      </c>
      <c r="P2056">
        <v>7.4247500000000004</v>
      </c>
      <c r="Q2056">
        <v>18.07</v>
      </c>
    </row>
    <row r="2057" spans="1:17" x14ac:dyDescent="0.25">
      <c r="A2057" t="str">
        <f>IF(C2057&amp;G2057&amp;D2057&lt;&gt;'Funnel setup'!$K$3&amp;'Funnel setup'!$K$4&amp;'Funnel setup'!$K$6,".",IF(A2056=".",1,A2056+1))</f>
        <v>.</v>
      </c>
      <c r="B2057" s="244" t="str">
        <f t="shared" si="32"/>
        <v>Knee Replacement PrimaryProviderMILTON KEYNES UNIVERSITY HOSPITAL NHS FOUNDATION TRUST (RD8)EQ VAS</v>
      </c>
      <c r="C2057" t="s">
        <v>969</v>
      </c>
      <c r="D2057" t="s">
        <v>965</v>
      </c>
      <c r="E2057" t="s">
        <v>332</v>
      </c>
      <c r="F2057" t="s">
        <v>333</v>
      </c>
      <c r="G2057" t="s">
        <v>752</v>
      </c>
      <c r="H2057">
        <v>29</v>
      </c>
      <c r="I2057">
        <v>53.069000000000003</v>
      </c>
      <c r="J2057">
        <v>68.689700000000002</v>
      </c>
      <c r="K2057">
        <v>15.620699999999999</v>
      </c>
      <c r="L2057">
        <v>21</v>
      </c>
      <c r="M2057">
        <v>4</v>
      </c>
      <c r="N2057">
        <v>4</v>
      </c>
      <c r="O2057" t="s">
        <v>127</v>
      </c>
      <c r="P2057" t="s">
        <v>127</v>
      </c>
      <c r="Q2057" t="s">
        <v>127</v>
      </c>
    </row>
    <row r="2058" spans="1:17" x14ac:dyDescent="0.25">
      <c r="A2058" t="str">
        <f>IF(C2058&amp;G2058&amp;D2058&lt;&gt;'Funnel setup'!$K$3&amp;'Funnel setup'!$K$4&amp;'Funnel setup'!$K$6,".",IF(A2057=".",1,A2057+1))</f>
        <v>.</v>
      </c>
      <c r="B2058" s="244" t="str">
        <f t="shared" si="32"/>
        <v>Knee Replacement PrimaryProviderMOUNT ALVERNIA HOSPITAL (NT455)EQ VAS</v>
      </c>
      <c r="C2058" t="s">
        <v>969</v>
      </c>
      <c r="D2058" t="s">
        <v>965</v>
      </c>
      <c r="E2058" t="s">
        <v>334</v>
      </c>
      <c r="F2058" t="s">
        <v>335</v>
      </c>
      <c r="G2058" t="s">
        <v>752</v>
      </c>
      <c r="H2058">
        <v>7</v>
      </c>
      <c r="I2058">
        <v>83.142899999999997</v>
      </c>
      <c r="J2058">
        <v>72.285700000000006</v>
      </c>
      <c r="K2058">
        <v>-10.857100000000001</v>
      </c>
      <c r="L2058">
        <v>4</v>
      </c>
      <c r="M2058">
        <v>0</v>
      </c>
      <c r="N2058">
        <v>3</v>
      </c>
      <c r="O2058" t="s">
        <v>127</v>
      </c>
      <c r="P2058" t="s">
        <v>127</v>
      </c>
      <c r="Q2058" t="s">
        <v>127</v>
      </c>
    </row>
    <row r="2059" spans="1:17" x14ac:dyDescent="0.25">
      <c r="A2059" t="str">
        <f>IF(C2059&amp;G2059&amp;D2059&lt;&gt;'Funnel setup'!$K$3&amp;'Funnel setup'!$K$4&amp;'Funnel setup'!$K$6,".",IF(A2058=".",1,A2058+1))</f>
        <v>.</v>
      </c>
      <c r="B2059" s="244" t="str">
        <f t="shared" si="32"/>
        <v>Knee Replacement PrimaryProviderMOUNT STUART HOSPITAL (NVC08)EQ VAS</v>
      </c>
      <c r="C2059" t="s">
        <v>969</v>
      </c>
      <c r="D2059" t="s">
        <v>965</v>
      </c>
      <c r="E2059" t="s">
        <v>336</v>
      </c>
      <c r="F2059" t="s">
        <v>337</v>
      </c>
      <c r="G2059" t="s">
        <v>752</v>
      </c>
      <c r="H2059">
        <v>101</v>
      </c>
      <c r="I2059">
        <v>69.524799999999999</v>
      </c>
      <c r="J2059">
        <v>74.306899999999999</v>
      </c>
      <c r="K2059">
        <v>4.7821800000000003</v>
      </c>
      <c r="L2059">
        <v>56</v>
      </c>
      <c r="M2059">
        <v>13</v>
      </c>
      <c r="N2059">
        <v>32</v>
      </c>
      <c r="O2059">
        <v>73.095100000000002</v>
      </c>
      <c r="P2059">
        <v>7.5666700000000002</v>
      </c>
      <c r="Q2059">
        <v>16.980599999999999</v>
      </c>
    </row>
    <row r="2060" spans="1:17" x14ac:dyDescent="0.25">
      <c r="A2060" t="str">
        <f>IF(C2060&amp;G2060&amp;D2060&lt;&gt;'Funnel setup'!$K$3&amp;'Funnel setup'!$K$4&amp;'Funnel setup'!$K$6,".",IF(A2059=".",1,A2059+1))</f>
        <v>.</v>
      </c>
      <c r="B2060" s="244" t="str">
        <f t="shared" si="32"/>
        <v>Knee Replacement PrimaryProviderNEW HALL HOSPITAL (NVC09)EQ VAS</v>
      </c>
      <c r="C2060" t="s">
        <v>969</v>
      </c>
      <c r="D2060" t="s">
        <v>965</v>
      </c>
      <c r="E2060" t="s">
        <v>338</v>
      </c>
      <c r="F2060" t="s">
        <v>339</v>
      </c>
      <c r="G2060" t="s">
        <v>752</v>
      </c>
      <c r="H2060">
        <v>96</v>
      </c>
      <c r="I2060">
        <v>65.625</v>
      </c>
      <c r="J2060">
        <v>79.406300000000002</v>
      </c>
      <c r="K2060">
        <v>13.7813</v>
      </c>
      <c r="L2060">
        <v>65</v>
      </c>
      <c r="M2060">
        <v>12</v>
      </c>
      <c r="N2060">
        <v>19</v>
      </c>
      <c r="O2060">
        <v>77.8797</v>
      </c>
      <c r="P2060">
        <v>12.3513</v>
      </c>
      <c r="Q2060">
        <v>13.9033</v>
      </c>
    </row>
    <row r="2061" spans="1:17" x14ac:dyDescent="0.25">
      <c r="A2061" t="str">
        <f>IF(C2061&amp;G2061&amp;D2061&lt;&gt;'Funnel setup'!$K$3&amp;'Funnel setup'!$K$4&amp;'Funnel setup'!$K$6,".",IF(A2060=".",1,A2060+1))</f>
        <v>.</v>
      </c>
      <c r="B2061" s="244" t="str">
        <f t="shared" si="32"/>
        <v>Knee Replacement PrimaryProviderNORFOLK AND NORWICH UNIVERSITY HOSPITALS NHS FOUNDATION TRUST (RM1)EQ VAS</v>
      </c>
      <c r="C2061" t="s">
        <v>969</v>
      </c>
      <c r="D2061" t="s">
        <v>965</v>
      </c>
      <c r="E2061" t="s">
        <v>340</v>
      </c>
      <c r="F2061" t="s">
        <v>341</v>
      </c>
      <c r="G2061" t="s">
        <v>752</v>
      </c>
      <c r="H2061">
        <v>131</v>
      </c>
      <c r="I2061">
        <v>59.396900000000002</v>
      </c>
      <c r="J2061">
        <v>68.435100000000006</v>
      </c>
      <c r="K2061">
        <v>9.0381699999999991</v>
      </c>
      <c r="L2061">
        <v>76</v>
      </c>
      <c r="M2061">
        <v>15</v>
      </c>
      <c r="N2061">
        <v>40</v>
      </c>
      <c r="O2061">
        <v>72.0535</v>
      </c>
      <c r="P2061">
        <v>6.5251299999999999</v>
      </c>
      <c r="Q2061">
        <v>17.533799999999999</v>
      </c>
    </row>
    <row r="2062" spans="1:17" x14ac:dyDescent="0.25">
      <c r="A2062" t="str">
        <f>IF(C2062&amp;G2062&amp;D2062&lt;&gt;'Funnel setup'!$K$3&amp;'Funnel setup'!$K$4&amp;'Funnel setup'!$K$6,".",IF(A2061=".",1,A2061+1))</f>
        <v>.</v>
      </c>
      <c r="B2062" s="244" t="str">
        <f t="shared" si="32"/>
        <v>Knee Replacement PrimaryProviderNORTH BRISTOL NHS TRUST (RVJ)EQ VAS</v>
      </c>
      <c r="C2062" t="s">
        <v>969</v>
      </c>
      <c r="D2062" t="s">
        <v>965</v>
      </c>
      <c r="E2062" t="s">
        <v>342</v>
      </c>
      <c r="F2062" t="s">
        <v>343</v>
      </c>
      <c r="G2062" t="s">
        <v>752</v>
      </c>
      <c r="H2062">
        <v>5</v>
      </c>
      <c r="I2062">
        <v>62.6</v>
      </c>
      <c r="J2062">
        <v>87.8</v>
      </c>
      <c r="K2062">
        <v>25.2</v>
      </c>
      <c r="L2062">
        <v>5</v>
      </c>
      <c r="M2062">
        <v>0</v>
      </c>
      <c r="N2062">
        <v>0</v>
      </c>
      <c r="O2062" t="s">
        <v>127</v>
      </c>
      <c r="P2062" t="s">
        <v>127</v>
      </c>
      <c r="Q2062" t="s">
        <v>127</v>
      </c>
    </row>
    <row r="2063" spans="1:17" x14ac:dyDescent="0.25">
      <c r="A2063" t="str">
        <f>IF(C2063&amp;G2063&amp;D2063&lt;&gt;'Funnel setup'!$K$3&amp;'Funnel setup'!$K$4&amp;'Funnel setup'!$K$6,".",IF(A2062=".",1,A2062+1))</f>
        <v>.</v>
      </c>
      <c r="B2063" s="244" t="str">
        <f t="shared" si="32"/>
        <v>Knee Replacement PrimaryProviderNORTH CUMBRIA INTEGRATED CARE NHS FOUNDATION TRUST (RNN)EQ VAS</v>
      </c>
      <c r="C2063" t="s">
        <v>969</v>
      </c>
      <c r="D2063" t="s">
        <v>965</v>
      </c>
      <c r="E2063" t="s">
        <v>344</v>
      </c>
      <c r="F2063" t="s">
        <v>345</v>
      </c>
      <c r="G2063" t="s">
        <v>752</v>
      </c>
      <c r="H2063">
        <v>120</v>
      </c>
      <c r="I2063">
        <v>65.2333</v>
      </c>
      <c r="J2063">
        <v>75.158299999999997</v>
      </c>
      <c r="K2063">
        <v>9.9250000000000007</v>
      </c>
      <c r="L2063">
        <v>74</v>
      </c>
      <c r="M2063">
        <v>12</v>
      </c>
      <c r="N2063">
        <v>34</v>
      </c>
      <c r="O2063">
        <v>75.167100000000005</v>
      </c>
      <c r="P2063">
        <v>9.6386599999999998</v>
      </c>
      <c r="Q2063">
        <v>18.009</v>
      </c>
    </row>
    <row r="2064" spans="1:17" x14ac:dyDescent="0.25">
      <c r="A2064" t="str">
        <f>IF(C2064&amp;G2064&amp;D2064&lt;&gt;'Funnel setup'!$K$3&amp;'Funnel setup'!$K$4&amp;'Funnel setup'!$K$6,".",IF(A2063=".",1,A2063+1))</f>
        <v>.</v>
      </c>
      <c r="B2064" s="244" t="str">
        <f t="shared" si="32"/>
        <v>Knee Replacement PrimaryProviderNORTH DOWNS HOSPITAL (NVC11)EQ VAS</v>
      </c>
      <c r="C2064" t="s">
        <v>969</v>
      </c>
      <c r="D2064" t="s">
        <v>965</v>
      </c>
      <c r="E2064" t="s">
        <v>348</v>
      </c>
      <c r="F2064" t="s">
        <v>349</v>
      </c>
      <c r="G2064" t="s">
        <v>752</v>
      </c>
      <c r="H2064">
        <v>28</v>
      </c>
      <c r="I2064">
        <v>63.892899999999997</v>
      </c>
      <c r="J2064">
        <v>71.785700000000006</v>
      </c>
      <c r="K2064">
        <v>7.8928599999999998</v>
      </c>
      <c r="L2064">
        <v>15</v>
      </c>
      <c r="M2064">
        <v>4</v>
      </c>
      <c r="N2064">
        <v>9</v>
      </c>
      <c r="O2064" t="s">
        <v>127</v>
      </c>
      <c r="P2064" t="s">
        <v>127</v>
      </c>
      <c r="Q2064" t="s">
        <v>127</v>
      </c>
    </row>
    <row r="2065" spans="1:17" x14ac:dyDescent="0.25">
      <c r="A2065" t="str">
        <f>IF(C2065&amp;G2065&amp;D2065&lt;&gt;'Funnel setup'!$K$3&amp;'Funnel setup'!$K$4&amp;'Funnel setup'!$K$6,".",IF(A2064=".",1,A2064+1))</f>
        <v>.</v>
      </c>
      <c r="B2065" s="244" t="str">
        <f t="shared" si="32"/>
        <v>Knee Replacement PrimaryProviderNORTH MIDDLESEX UNIVERSITY HOSPITAL NHS TRUST (RAP)EQ VAS</v>
      </c>
      <c r="C2065" t="s">
        <v>969</v>
      </c>
      <c r="D2065" t="s">
        <v>965</v>
      </c>
      <c r="E2065" t="s">
        <v>350</v>
      </c>
      <c r="F2065" t="s">
        <v>351</v>
      </c>
      <c r="G2065" t="s">
        <v>752</v>
      </c>
      <c r="H2065">
        <v>7</v>
      </c>
      <c r="I2065">
        <v>49.285699999999999</v>
      </c>
      <c r="J2065">
        <v>67.142899999999997</v>
      </c>
      <c r="K2065">
        <v>17.857099999999999</v>
      </c>
      <c r="L2065">
        <v>5</v>
      </c>
      <c r="M2065">
        <v>0</v>
      </c>
      <c r="N2065">
        <v>2</v>
      </c>
      <c r="O2065" t="s">
        <v>127</v>
      </c>
      <c r="P2065" t="s">
        <v>127</v>
      </c>
      <c r="Q2065" t="s">
        <v>127</v>
      </c>
    </row>
    <row r="2066" spans="1:17" x14ac:dyDescent="0.25">
      <c r="A2066" t="str">
        <f>IF(C2066&amp;G2066&amp;D2066&lt;&gt;'Funnel setup'!$K$3&amp;'Funnel setup'!$K$4&amp;'Funnel setup'!$K$6,".",IF(A2065=".",1,A2065+1))</f>
        <v>.</v>
      </c>
      <c r="B2066" s="244" t="str">
        <f t="shared" si="32"/>
        <v>Knee Replacement PrimaryProviderNORTH TEES AND HARTLEPOOL NHS FOUNDATION TRUST (RVW)EQ VAS</v>
      </c>
      <c r="C2066" t="s">
        <v>969</v>
      </c>
      <c r="D2066" t="s">
        <v>965</v>
      </c>
      <c r="E2066" t="s">
        <v>352</v>
      </c>
      <c r="F2066" t="s">
        <v>353</v>
      </c>
      <c r="G2066" t="s">
        <v>752</v>
      </c>
      <c r="H2066">
        <v>81</v>
      </c>
      <c r="I2066">
        <v>71.975300000000004</v>
      </c>
      <c r="J2066">
        <v>68.827200000000005</v>
      </c>
      <c r="K2066">
        <v>-3.1481499999999998</v>
      </c>
      <c r="L2066">
        <v>35</v>
      </c>
      <c r="M2066">
        <v>11</v>
      </c>
      <c r="N2066">
        <v>35</v>
      </c>
      <c r="O2066">
        <v>70.862799999999993</v>
      </c>
      <c r="P2066">
        <v>5.3344399999999998</v>
      </c>
      <c r="Q2066">
        <v>18.739699999999999</v>
      </c>
    </row>
    <row r="2067" spans="1:17" x14ac:dyDescent="0.25">
      <c r="A2067" t="str">
        <f>IF(C2067&amp;G2067&amp;D2067&lt;&gt;'Funnel setup'!$K$3&amp;'Funnel setup'!$K$4&amp;'Funnel setup'!$K$6,".",IF(A2066=".",1,A2066+1))</f>
        <v>.</v>
      </c>
      <c r="B2067" s="244" t="str">
        <f t="shared" si="32"/>
        <v>Knee Replacement PrimaryProviderNORTH WEST ANGLIA NHS FOUNDATION TRUST (RGN)EQ VAS</v>
      </c>
      <c r="C2067" t="s">
        <v>969</v>
      </c>
      <c r="D2067" t="s">
        <v>965</v>
      </c>
      <c r="E2067" t="s">
        <v>354</v>
      </c>
      <c r="F2067" t="s">
        <v>355</v>
      </c>
      <c r="G2067" t="s">
        <v>752</v>
      </c>
      <c r="H2067">
        <v>124</v>
      </c>
      <c r="I2067">
        <v>66.459699999999998</v>
      </c>
      <c r="J2067">
        <v>72.475800000000007</v>
      </c>
      <c r="K2067">
        <v>6.0161300000000004</v>
      </c>
      <c r="L2067">
        <v>70</v>
      </c>
      <c r="M2067">
        <v>12</v>
      </c>
      <c r="N2067">
        <v>42</v>
      </c>
      <c r="O2067">
        <v>72.342399999999998</v>
      </c>
      <c r="P2067">
        <v>6.8140299999999998</v>
      </c>
      <c r="Q2067">
        <v>16.068999999999999</v>
      </c>
    </row>
    <row r="2068" spans="1:17" x14ac:dyDescent="0.25">
      <c r="A2068" t="str">
        <f>IF(C2068&amp;G2068&amp;D2068&lt;&gt;'Funnel setup'!$K$3&amp;'Funnel setup'!$K$4&amp;'Funnel setup'!$K$6,".",IF(A2067=".",1,A2067+1))</f>
        <v>.</v>
      </c>
      <c r="B2068" s="244" t="str">
        <f t="shared" si="32"/>
        <v>Knee Replacement PrimaryProviderNORTHAMPTON GENERAL HOSPITAL NHS TRUST (RNS)EQ VAS</v>
      </c>
      <c r="C2068" t="s">
        <v>969</v>
      </c>
      <c r="D2068" t="s">
        <v>965</v>
      </c>
      <c r="E2068" t="s">
        <v>356</v>
      </c>
      <c r="F2068" t="s">
        <v>357</v>
      </c>
      <c r="G2068" t="s">
        <v>752</v>
      </c>
      <c r="H2068">
        <v>37</v>
      </c>
      <c r="I2068">
        <v>65.864900000000006</v>
      </c>
      <c r="J2068">
        <v>68.540499999999994</v>
      </c>
      <c r="K2068">
        <v>2.6756799999999998</v>
      </c>
      <c r="L2068">
        <v>17</v>
      </c>
      <c r="M2068">
        <v>5</v>
      </c>
      <c r="N2068">
        <v>15</v>
      </c>
      <c r="O2068">
        <v>69.839399999999998</v>
      </c>
      <c r="P2068">
        <v>4.3110099999999996</v>
      </c>
      <c r="Q2068">
        <v>20.436599999999999</v>
      </c>
    </row>
    <row r="2069" spans="1:17" x14ac:dyDescent="0.25">
      <c r="A2069" t="str">
        <f>IF(C2069&amp;G2069&amp;D2069&lt;&gt;'Funnel setup'!$K$3&amp;'Funnel setup'!$K$4&amp;'Funnel setup'!$K$6,".",IF(A2068=".",1,A2068+1))</f>
        <v>.</v>
      </c>
      <c r="B2069" s="244" t="str">
        <f t="shared" si="32"/>
        <v>Knee Replacement PrimaryProviderNORTHERN CARE ALLIANCE NHS FOUNDATION TRUST (RM3)EQ VAS</v>
      </c>
      <c r="C2069" t="s">
        <v>969</v>
      </c>
      <c r="D2069" t="s">
        <v>965</v>
      </c>
      <c r="E2069" t="s">
        <v>358</v>
      </c>
      <c r="F2069" t="s">
        <v>359</v>
      </c>
      <c r="G2069" t="s">
        <v>752</v>
      </c>
      <c r="H2069">
        <v>6</v>
      </c>
      <c r="I2069">
        <v>55.5</v>
      </c>
      <c r="J2069">
        <v>59.833300000000001</v>
      </c>
      <c r="K2069">
        <v>4.3333300000000001</v>
      </c>
      <c r="L2069">
        <v>4</v>
      </c>
      <c r="M2069">
        <v>0</v>
      </c>
      <c r="N2069">
        <v>2</v>
      </c>
      <c r="O2069" t="s">
        <v>127</v>
      </c>
      <c r="P2069" t="s">
        <v>127</v>
      </c>
      <c r="Q2069" t="s">
        <v>127</v>
      </c>
    </row>
    <row r="2070" spans="1:17" x14ac:dyDescent="0.25">
      <c r="A2070" t="str">
        <f>IF(C2070&amp;G2070&amp;D2070&lt;&gt;'Funnel setup'!$K$3&amp;'Funnel setup'!$K$4&amp;'Funnel setup'!$K$6,".",IF(A2069=".",1,A2069+1))</f>
        <v>.</v>
      </c>
      <c r="B2070" s="244" t="str">
        <f t="shared" si="32"/>
        <v>Knee Replacement PrimaryProviderNORTHERN DEVON HEALTHCARE NHS TRUST (RBZ)EQ VAS</v>
      </c>
      <c r="C2070" t="s">
        <v>969</v>
      </c>
      <c r="D2070" t="s">
        <v>965</v>
      </c>
      <c r="E2070" t="s">
        <v>360</v>
      </c>
      <c r="F2070" t="s">
        <v>361</v>
      </c>
      <c r="G2070" t="s">
        <v>752</v>
      </c>
      <c r="H2070">
        <v>35</v>
      </c>
      <c r="I2070">
        <v>55.142899999999997</v>
      </c>
      <c r="J2070">
        <v>65.8</v>
      </c>
      <c r="K2070">
        <v>10.6571</v>
      </c>
      <c r="L2070">
        <v>23</v>
      </c>
      <c r="M2070">
        <v>5</v>
      </c>
      <c r="N2070">
        <v>7</v>
      </c>
      <c r="O2070">
        <v>72.963899999999995</v>
      </c>
      <c r="P2070">
        <v>7.4355200000000004</v>
      </c>
      <c r="Q2070">
        <v>17.308800000000002</v>
      </c>
    </row>
    <row r="2071" spans="1:17" x14ac:dyDescent="0.25">
      <c r="A2071" t="str">
        <f>IF(C2071&amp;G2071&amp;D2071&lt;&gt;'Funnel setup'!$K$3&amp;'Funnel setup'!$K$4&amp;'Funnel setup'!$K$6,".",IF(A2070=".",1,A2070+1))</f>
        <v>.</v>
      </c>
      <c r="B2071" s="244" t="str">
        <f t="shared" si="32"/>
        <v>Knee Replacement PrimaryProviderNORTHERN LINCOLNSHIRE AND GOOLE NHS FOUNDATION TRUST (RJL)EQ VAS</v>
      </c>
      <c r="C2071" t="s">
        <v>969</v>
      </c>
      <c r="D2071" t="s">
        <v>965</v>
      </c>
      <c r="E2071" t="s">
        <v>362</v>
      </c>
      <c r="F2071" t="s">
        <v>363</v>
      </c>
      <c r="G2071" t="s">
        <v>752</v>
      </c>
      <c r="H2071">
        <v>63</v>
      </c>
      <c r="I2071">
        <v>62.317500000000003</v>
      </c>
      <c r="J2071">
        <v>66.841300000000004</v>
      </c>
      <c r="K2071">
        <v>4.5238100000000001</v>
      </c>
      <c r="L2071">
        <v>34</v>
      </c>
      <c r="M2071">
        <v>8</v>
      </c>
      <c r="N2071">
        <v>21</v>
      </c>
      <c r="O2071">
        <v>68.204800000000006</v>
      </c>
      <c r="P2071">
        <v>2.6764299999999999</v>
      </c>
      <c r="Q2071">
        <v>17.647200000000002</v>
      </c>
    </row>
    <row r="2072" spans="1:17" x14ac:dyDescent="0.25">
      <c r="A2072" t="str">
        <f>IF(C2072&amp;G2072&amp;D2072&lt;&gt;'Funnel setup'!$K$3&amp;'Funnel setup'!$K$4&amp;'Funnel setup'!$K$6,".",IF(A2071=".",1,A2071+1))</f>
        <v>.</v>
      </c>
      <c r="B2072" s="244" t="str">
        <f t="shared" si="32"/>
        <v>Knee Replacement PrimaryProviderNORTHUMBRIA HEALTHCARE NHS FOUNDATION TRUST (RTF)EQ VAS</v>
      </c>
      <c r="C2072" t="s">
        <v>969</v>
      </c>
      <c r="D2072" t="s">
        <v>965</v>
      </c>
      <c r="E2072" t="s">
        <v>364</v>
      </c>
      <c r="F2072" t="s">
        <v>365</v>
      </c>
      <c r="G2072" t="s">
        <v>752</v>
      </c>
      <c r="H2072">
        <v>354</v>
      </c>
      <c r="I2072">
        <v>64.214699999999993</v>
      </c>
      <c r="J2072">
        <v>74.045199999999994</v>
      </c>
      <c r="K2072">
        <v>9.8305100000000003</v>
      </c>
      <c r="L2072">
        <v>230</v>
      </c>
      <c r="M2072">
        <v>37</v>
      </c>
      <c r="N2072">
        <v>87</v>
      </c>
      <c r="O2072">
        <v>74.372100000000003</v>
      </c>
      <c r="P2072">
        <v>8.8437099999999997</v>
      </c>
      <c r="Q2072">
        <v>16.040400000000002</v>
      </c>
    </row>
    <row r="2073" spans="1:17" x14ac:dyDescent="0.25">
      <c r="A2073" t="str">
        <f>IF(C2073&amp;G2073&amp;D2073&lt;&gt;'Funnel setup'!$K$3&amp;'Funnel setup'!$K$4&amp;'Funnel setup'!$K$6,".",IF(A2072=".",1,A2072+1))</f>
        <v>.</v>
      </c>
      <c r="B2073" s="244" t="str">
        <f t="shared" si="32"/>
        <v>Knee Replacement PrimaryProviderNOTTINGHAM UNIVERSITY HOSPITALS NHS TRUST (RX1)EQ VAS</v>
      </c>
      <c r="C2073" t="s">
        <v>969</v>
      </c>
      <c r="D2073" t="s">
        <v>965</v>
      </c>
      <c r="E2073" t="s">
        <v>366</v>
      </c>
      <c r="F2073" t="s">
        <v>367</v>
      </c>
      <c r="G2073" t="s">
        <v>752</v>
      </c>
      <c r="H2073">
        <v>3</v>
      </c>
      <c r="I2073">
        <v>56.666699999999999</v>
      </c>
      <c r="J2073">
        <v>86.333299999999994</v>
      </c>
      <c r="K2073">
        <v>29.666699999999999</v>
      </c>
      <c r="L2073">
        <v>3</v>
      </c>
      <c r="M2073">
        <v>0</v>
      </c>
      <c r="N2073">
        <v>0</v>
      </c>
      <c r="O2073" t="s">
        <v>127</v>
      </c>
      <c r="P2073" t="s">
        <v>127</v>
      </c>
      <c r="Q2073" t="s">
        <v>127</v>
      </c>
    </row>
    <row r="2074" spans="1:17" x14ac:dyDescent="0.25">
      <c r="A2074" t="str">
        <f>IF(C2074&amp;G2074&amp;D2074&lt;&gt;'Funnel setup'!$K$3&amp;'Funnel setup'!$K$4&amp;'Funnel setup'!$K$6,".",IF(A2073=".",1,A2073+1))</f>
        <v>.</v>
      </c>
      <c r="B2074" s="244" t="str">
        <f t="shared" si="32"/>
        <v>Knee Replacement PrimaryProviderNUFFIELD HEALTH, BOURNEMOUTH HOSPITAL (NT202)EQ VAS</v>
      </c>
      <c r="C2074" t="s">
        <v>969</v>
      </c>
      <c r="D2074" t="s">
        <v>965</v>
      </c>
      <c r="E2074" t="s">
        <v>368</v>
      </c>
      <c r="F2074" t="s">
        <v>369</v>
      </c>
      <c r="G2074" t="s">
        <v>752</v>
      </c>
      <c r="H2074">
        <v>21</v>
      </c>
      <c r="I2074">
        <v>67.428600000000003</v>
      </c>
      <c r="J2074">
        <v>75.666700000000006</v>
      </c>
      <c r="K2074">
        <v>8.2380999999999993</v>
      </c>
      <c r="L2074">
        <v>13</v>
      </c>
      <c r="M2074">
        <v>1</v>
      </c>
      <c r="N2074">
        <v>7</v>
      </c>
      <c r="O2074" t="s">
        <v>127</v>
      </c>
      <c r="P2074" t="s">
        <v>127</v>
      </c>
      <c r="Q2074" t="s">
        <v>127</v>
      </c>
    </row>
    <row r="2075" spans="1:17" x14ac:dyDescent="0.25">
      <c r="A2075" t="str">
        <f>IF(C2075&amp;G2075&amp;D2075&lt;&gt;'Funnel setup'!$K$3&amp;'Funnel setup'!$K$4&amp;'Funnel setup'!$K$6,".",IF(A2074=".",1,A2074+1))</f>
        <v>.</v>
      </c>
      <c r="B2075" s="244" t="str">
        <f t="shared" si="32"/>
        <v>Knee Replacement PrimaryProviderNUFFIELD HEALTH, BRENTWOOD HOSPITAL (NT204)EQ VAS</v>
      </c>
      <c r="C2075" t="s">
        <v>969</v>
      </c>
      <c r="D2075" t="s">
        <v>965</v>
      </c>
      <c r="E2075" t="s">
        <v>370</v>
      </c>
      <c r="F2075" t="s">
        <v>371</v>
      </c>
      <c r="G2075" t="s">
        <v>752</v>
      </c>
      <c r="H2075">
        <v>14</v>
      </c>
      <c r="I2075">
        <v>68.428600000000003</v>
      </c>
      <c r="J2075">
        <v>75</v>
      </c>
      <c r="K2075">
        <v>6.5714300000000003</v>
      </c>
      <c r="L2075">
        <v>9</v>
      </c>
      <c r="M2075">
        <v>1</v>
      </c>
      <c r="N2075">
        <v>4</v>
      </c>
      <c r="O2075" t="s">
        <v>127</v>
      </c>
      <c r="P2075" t="s">
        <v>127</v>
      </c>
      <c r="Q2075" t="s">
        <v>127</v>
      </c>
    </row>
    <row r="2076" spans="1:17" x14ac:dyDescent="0.25">
      <c r="A2076" t="str">
        <f>IF(C2076&amp;G2076&amp;D2076&lt;&gt;'Funnel setup'!$K$3&amp;'Funnel setup'!$K$4&amp;'Funnel setup'!$K$6,".",IF(A2075=".",1,A2075+1))</f>
        <v>.</v>
      </c>
      <c r="B2076" s="244" t="str">
        <f t="shared" si="32"/>
        <v>Knee Replacement PrimaryProviderNUFFIELD HEALTH, BRIGHTON HOSPITAL (NT205)EQ VAS</v>
      </c>
      <c r="C2076" t="s">
        <v>969</v>
      </c>
      <c r="D2076" t="s">
        <v>965</v>
      </c>
      <c r="E2076" t="s">
        <v>372</v>
      </c>
      <c r="F2076" t="s">
        <v>373</v>
      </c>
      <c r="G2076" t="s">
        <v>752</v>
      </c>
      <c r="H2076">
        <v>9</v>
      </c>
      <c r="I2076">
        <v>68.888900000000007</v>
      </c>
      <c r="J2076">
        <v>82.111099999999993</v>
      </c>
      <c r="K2076">
        <v>13.222200000000001</v>
      </c>
      <c r="L2076">
        <v>4</v>
      </c>
      <c r="M2076">
        <v>4</v>
      </c>
      <c r="N2076">
        <v>1</v>
      </c>
      <c r="O2076" t="s">
        <v>127</v>
      </c>
      <c r="P2076" t="s">
        <v>127</v>
      </c>
      <c r="Q2076" t="s">
        <v>127</v>
      </c>
    </row>
    <row r="2077" spans="1:17" x14ac:dyDescent="0.25">
      <c r="A2077" t="str">
        <f>IF(C2077&amp;G2077&amp;D2077&lt;&gt;'Funnel setup'!$K$3&amp;'Funnel setup'!$K$4&amp;'Funnel setup'!$K$6,".",IF(A2076=".",1,A2076+1))</f>
        <v>.</v>
      </c>
      <c r="B2077" s="244" t="str">
        <f t="shared" si="32"/>
        <v>Knee Replacement PrimaryProviderNUFFIELD HEALTH, BRISTOL HOSPITAL (CHESTERFIELD) (NT206)EQ VAS</v>
      </c>
      <c r="C2077" t="s">
        <v>969</v>
      </c>
      <c r="D2077" t="s">
        <v>965</v>
      </c>
      <c r="E2077" t="s">
        <v>374</v>
      </c>
      <c r="F2077" t="s">
        <v>375</v>
      </c>
      <c r="G2077" t="s">
        <v>752</v>
      </c>
      <c r="H2077">
        <v>25</v>
      </c>
      <c r="I2077">
        <v>69.56</v>
      </c>
      <c r="J2077">
        <v>77.08</v>
      </c>
      <c r="K2077">
        <v>7.52</v>
      </c>
      <c r="L2077">
        <v>12</v>
      </c>
      <c r="M2077">
        <v>4</v>
      </c>
      <c r="N2077">
        <v>9</v>
      </c>
      <c r="O2077" t="s">
        <v>127</v>
      </c>
      <c r="P2077" t="s">
        <v>127</v>
      </c>
      <c r="Q2077" t="s">
        <v>127</v>
      </c>
    </row>
    <row r="2078" spans="1:17" x14ac:dyDescent="0.25">
      <c r="A2078" t="str">
        <f>IF(C2078&amp;G2078&amp;D2078&lt;&gt;'Funnel setup'!$K$3&amp;'Funnel setup'!$K$4&amp;'Funnel setup'!$K$6,".",IF(A2077=".",1,A2077+1))</f>
        <v>.</v>
      </c>
      <c r="B2078" s="244" t="str">
        <f t="shared" si="32"/>
        <v>Knee Replacement PrimaryProviderNUFFIELD HEALTH, CAMBRIDGE HOSPITAL (NT209)EQ VAS</v>
      </c>
      <c r="C2078" t="s">
        <v>969</v>
      </c>
      <c r="D2078" t="s">
        <v>965</v>
      </c>
      <c r="E2078" t="s">
        <v>376</v>
      </c>
      <c r="F2078" t="s">
        <v>377</v>
      </c>
      <c r="G2078" t="s">
        <v>752</v>
      </c>
      <c r="H2078">
        <v>35</v>
      </c>
      <c r="I2078">
        <v>65.942899999999995</v>
      </c>
      <c r="J2078">
        <v>74.371399999999994</v>
      </c>
      <c r="K2078">
        <v>8.4285700000000006</v>
      </c>
      <c r="L2078">
        <v>22</v>
      </c>
      <c r="M2078">
        <v>5</v>
      </c>
      <c r="N2078">
        <v>8</v>
      </c>
      <c r="O2078">
        <v>73.171199999999999</v>
      </c>
      <c r="P2078">
        <v>7.6428000000000003</v>
      </c>
      <c r="Q2078">
        <v>14.166600000000001</v>
      </c>
    </row>
    <row r="2079" spans="1:17" x14ac:dyDescent="0.25">
      <c r="A2079" t="str">
        <f>IF(C2079&amp;G2079&amp;D2079&lt;&gt;'Funnel setup'!$K$3&amp;'Funnel setup'!$K$4&amp;'Funnel setup'!$K$6,".",IF(A2078=".",1,A2078+1))</f>
        <v>.</v>
      </c>
      <c r="B2079" s="244" t="str">
        <f t="shared" si="32"/>
        <v>Knee Replacement PrimaryProviderNUFFIELD HEALTH, CHELTENHAM HOSPITAL (NT211)EQ VAS</v>
      </c>
      <c r="C2079" t="s">
        <v>969</v>
      </c>
      <c r="D2079" t="s">
        <v>965</v>
      </c>
      <c r="E2079" t="s">
        <v>378</v>
      </c>
      <c r="F2079" t="s">
        <v>379</v>
      </c>
      <c r="G2079" t="s">
        <v>752</v>
      </c>
      <c r="H2079">
        <v>6</v>
      </c>
      <c r="I2079">
        <v>70</v>
      </c>
      <c r="J2079">
        <v>81.333299999999994</v>
      </c>
      <c r="K2079">
        <v>11.333299999999999</v>
      </c>
      <c r="L2079">
        <v>4</v>
      </c>
      <c r="M2079">
        <v>1</v>
      </c>
      <c r="N2079">
        <v>1</v>
      </c>
      <c r="O2079" t="s">
        <v>127</v>
      </c>
      <c r="P2079" t="s">
        <v>127</v>
      </c>
      <c r="Q2079" t="s">
        <v>127</v>
      </c>
    </row>
    <row r="2080" spans="1:17" x14ac:dyDescent="0.25">
      <c r="A2080" t="str">
        <f>IF(C2080&amp;G2080&amp;D2080&lt;&gt;'Funnel setup'!$K$3&amp;'Funnel setup'!$K$4&amp;'Funnel setup'!$K$6,".",IF(A2079=".",1,A2079+1))</f>
        <v>.</v>
      </c>
      <c r="B2080" s="244" t="str">
        <f t="shared" si="32"/>
        <v>Knee Replacement PrimaryProviderNUFFIELD HEALTH, CHICHESTER HOSPITAL (NT212)EQ VAS</v>
      </c>
      <c r="C2080" t="s">
        <v>969</v>
      </c>
      <c r="D2080" t="s">
        <v>965</v>
      </c>
      <c r="E2080" t="s">
        <v>380</v>
      </c>
      <c r="F2080" t="s">
        <v>381</v>
      </c>
      <c r="G2080" t="s">
        <v>752</v>
      </c>
      <c r="H2080">
        <v>18</v>
      </c>
      <c r="I2080">
        <v>76.722200000000001</v>
      </c>
      <c r="J2080">
        <v>79.666700000000006</v>
      </c>
      <c r="K2080">
        <v>2.9444400000000002</v>
      </c>
      <c r="L2080">
        <v>10</v>
      </c>
      <c r="M2080">
        <v>2</v>
      </c>
      <c r="N2080">
        <v>6</v>
      </c>
      <c r="O2080" t="s">
        <v>127</v>
      </c>
      <c r="P2080" t="s">
        <v>127</v>
      </c>
      <c r="Q2080" t="s">
        <v>127</v>
      </c>
    </row>
    <row r="2081" spans="1:17" x14ac:dyDescent="0.25">
      <c r="A2081" t="str">
        <f>IF(C2081&amp;G2081&amp;D2081&lt;&gt;'Funnel setup'!$K$3&amp;'Funnel setup'!$K$4&amp;'Funnel setup'!$K$6,".",IF(A2080=".",1,A2080+1))</f>
        <v>.</v>
      </c>
      <c r="B2081" s="244" t="str">
        <f t="shared" si="32"/>
        <v>Knee Replacement PrimaryProviderNUFFIELD HEALTH, DERBY HOSPITAL (NT213)EQ VAS</v>
      </c>
      <c r="C2081" t="s">
        <v>969</v>
      </c>
      <c r="D2081" t="s">
        <v>965</v>
      </c>
      <c r="E2081" t="s">
        <v>382</v>
      </c>
      <c r="F2081" t="s">
        <v>383</v>
      </c>
      <c r="G2081" t="s">
        <v>752</v>
      </c>
      <c r="H2081">
        <v>101</v>
      </c>
      <c r="I2081">
        <v>58.168300000000002</v>
      </c>
      <c r="J2081">
        <v>73.445499999999996</v>
      </c>
      <c r="K2081">
        <v>15.277200000000001</v>
      </c>
      <c r="L2081">
        <v>69</v>
      </c>
      <c r="M2081">
        <v>16</v>
      </c>
      <c r="N2081">
        <v>16</v>
      </c>
      <c r="O2081">
        <v>75.27</v>
      </c>
      <c r="P2081">
        <v>9.7415699999999994</v>
      </c>
      <c r="Q2081">
        <v>15.184699999999999</v>
      </c>
    </row>
    <row r="2082" spans="1:17" x14ac:dyDescent="0.25">
      <c r="A2082" t="str">
        <f>IF(C2082&amp;G2082&amp;D2082&lt;&gt;'Funnel setup'!$K$3&amp;'Funnel setup'!$K$4&amp;'Funnel setup'!$K$6,".",IF(A2081=".",1,A2081+1))</f>
        <v>.</v>
      </c>
      <c r="B2082" s="244" t="str">
        <f t="shared" si="32"/>
        <v>Knee Replacement PrimaryProviderNUFFIELD HEALTH, EXETER HOSPITAL (NT215)EQ VAS</v>
      </c>
      <c r="C2082" t="s">
        <v>969</v>
      </c>
      <c r="D2082" t="s">
        <v>965</v>
      </c>
      <c r="E2082" t="s">
        <v>384</v>
      </c>
      <c r="F2082" t="s">
        <v>385</v>
      </c>
      <c r="G2082" t="s">
        <v>752</v>
      </c>
      <c r="H2082">
        <v>1</v>
      </c>
      <c r="I2082">
        <v>80</v>
      </c>
      <c r="J2082">
        <v>89</v>
      </c>
      <c r="K2082">
        <v>9</v>
      </c>
      <c r="L2082">
        <v>1</v>
      </c>
      <c r="M2082">
        <v>0</v>
      </c>
      <c r="N2082">
        <v>0</v>
      </c>
      <c r="O2082" t="s">
        <v>127</v>
      </c>
      <c r="P2082" t="s">
        <v>127</v>
      </c>
      <c r="Q2082" t="s">
        <v>127</v>
      </c>
    </row>
    <row r="2083" spans="1:17" x14ac:dyDescent="0.25">
      <c r="A2083" t="str">
        <f>IF(C2083&amp;G2083&amp;D2083&lt;&gt;'Funnel setup'!$K$3&amp;'Funnel setup'!$K$4&amp;'Funnel setup'!$K$6,".",IF(A2082=".",1,A2082+1))</f>
        <v>.</v>
      </c>
      <c r="B2083" s="244" t="str">
        <f t="shared" si="32"/>
        <v>Knee Replacement PrimaryProviderNUFFIELD HEALTH, HAYWARDS HEATH HOSPITAL (NT218)EQ VAS</v>
      </c>
      <c r="C2083" t="s">
        <v>969</v>
      </c>
      <c r="D2083" t="s">
        <v>965</v>
      </c>
      <c r="E2083" t="s">
        <v>386</v>
      </c>
      <c r="F2083" t="s">
        <v>387</v>
      </c>
      <c r="G2083" t="s">
        <v>752</v>
      </c>
      <c r="H2083">
        <v>17</v>
      </c>
      <c r="I2083">
        <v>72.470600000000005</v>
      </c>
      <c r="J2083">
        <v>82.588200000000001</v>
      </c>
      <c r="K2083">
        <v>10.117599999999999</v>
      </c>
      <c r="L2083">
        <v>10</v>
      </c>
      <c r="M2083">
        <v>2</v>
      </c>
      <c r="N2083">
        <v>5</v>
      </c>
      <c r="O2083" t="s">
        <v>127</v>
      </c>
      <c r="P2083" t="s">
        <v>127</v>
      </c>
      <c r="Q2083" t="s">
        <v>127</v>
      </c>
    </row>
    <row r="2084" spans="1:17" x14ac:dyDescent="0.25">
      <c r="A2084" t="str">
        <f>IF(C2084&amp;G2084&amp;D2084&lt;&gt;'Funnel setup'!$K$3&amp;'Funnel setup'!$K$4&amp;'Funnel setup'!$K$6,".",IF(A2083=".",1,A2083+1))</f>
        <v>.</v>
      </c>
      <c r="B2084" s="244" t="str">
        <f t="shared" si="32"/>
        <v>Knee Replacement PrimaryProviderNUFFIELD HEALTH, HEREFORD HOSPITAL (NT219)EQ VAS</v>
      </c>
      <c r="C2084" t="s">
        <v>969</v>
      </c>
      <c r="D2084" t="s">
        <v>965</v>
      </c>
      <c r="E2084" t="s">
        <v>388</v>
      </c>
      <c r="F2084" t="s">
        <v>389</v>
      </c>
      <c r="G2084" t="s">
        <v>752</v>
      </c>
      <c r="H2084">
        <v>9</v>
      </c>
      <c r="I2084">
        <v>62</v>
      </c>
      <c r="J2084">
        <v>80</v>
      </c>
      <c r="K2084">
        <v>18</v>
      </c>
      <c r="L2084">
        <v>5</v>
      </c>
      <c r="M2084">
        <v>2</v>
      </c>
      <c r="N2084">
        <v>2</v>
      </c>
      <c r="O2084" t="s">
        <v>127</v>
      </c>
      <c r="P2084" t="s">
        <v>127</v>
      </c>
      <c r="Q2084" t="s">
        <v>127</v>
      </c>
    </row>
    <row r="2085" spans="1:17" x14ac:dyDescent="0.25">
      <c r="A2085" t="str">
        <f>IF(C2085&amp;G2085&amp;D2085&lt;&gt;'Funnel setup'!$K$3&amp;'Funnel setup'!$K$4&amp;'Funnel setup'!$K$6,".",IF(A2084=".",1,A2084+1))</f>
        <v>.</v>
      </c>
      <c r="B2085" s="244" t="str">
        <f t="shared" si="32"/>
        <v>Knee Replacement PrimaryProviderNUFFIELD HEALTH, IPSWICH HOSPITAL (NT222)EQ VAS</v>
      </c>
      <c r="C2085" t="s">
        <v>969</v>
      </c>
      <c r="D2085" t="s">
        <v>965</v>
      </c>
      <c r="E2085" t="s">
        <v>390</v>
      </c>
      <c r="F2085" t="s">
        <v>391</v>
      </c>
      <c r="G2085" t="s">
        <v>752</v>
      </c>
      <c r="H2085">
        <v>4</v>
      </c>
      <c r="I2085">
        <v>77.75</v>
      </c>
      <c r="J2085">
        <v>78</v>
      </c>
      <c r="K2085">
        <v>0.25</v>
      </c>
      <c r="L2085">
        <v>2</v>
      </c>
      <c r="M2085">
        <v>0</v>
      </c>
      <c r="N2085">
        <v>2</v>
      </c>
      <c r="O2085" t="s">
        <v>127</v>
      </c>
      <c r="P2085" t="s">
        <v>127</v>
      </c>
      <c r="Q2085" t="s">
        <v>127</v>
      </c>
    </row>
    <row r="2086" spans="1:17" x14ac:dyDescent="0.25">
      <c r="A2086" t="str">
        <f>IF(C2086&amp;G2086&amp;D2086&lt;&gt;'Funnel setup'!$K$3&amp;'Funnel setup'!$K$4&amp;'Funnel setup'!$K$6,".",IF(A2085=".",1,A2085+1))</f>
        <v>.</v>
      </c>
      <c r="B2086" s="244" t="str">
        <f t="shared" si="32"/>
        <v>Knee Replacement PrimaryProviderNUFFIELD HEALTH, LEEDS HOSPITAL (NT225)EQ VAS</v>
      </c>
      <c r="C2086" t="s">
        <v>969</v>
      </c>
      <c r="D2086" t="s">
        <v>965</v>
      </c>
      <c r="E2086" t="s">
        <v>392</v>
      </c>
      <c r="F2086" t="s">
        <v>393</v>
      </c>
      <c r="G2086" t="s">
        <v>752</v>
      </c>
      <c r="H2086">
        <v>118</v>
      </c>
      <c r="I2086">
        <v>66.118600000000001</v>
      </c>
      <c r="J2086">
        <v>72.779700000000005</v>
      </c>
      <c r="K2086">
        <v>6.6610199999999997</v>
      </c>
      <c r="L2086">
        <v>69</v>
      </c>
      <c r="M2086">
        <v>13</v>
      </c>
      <c r="N2086">
        <v>36</v>
      </c>
      <c r="O2086">
        <v>71.775899999999993</v>
      </c>
      <c r="P2086">
        <v>6.2475500000000004</v>
      </c>
      <c r="Q2086">
        <v>17.001300000000001</v>
      </c>
    </row>
    <row r="2087" spans="1:17" x14ac:dyDescent="0.25">
      <c r="A2087" t="str">
        <f>IF(C2087&amp;G2087&amp;D2087&lt;&gt;'Funnel setup'!$K$3&amp;'Funnel setup'!$K$4&amp;'Funnel setup'!$K$6,".",IF(A2086=".",1,A2086+1))</f>
        <v>.</v>
      </c>
      <c r="B2087" s="244" t="str">
        <f t="shared" si="32"/>
        <v>Knee Replacement PrimaryProviderNUFFIELD HEALTH, LEICESTER HOSPITAL (NT226)EQ VAS</v>
      </c>
      <c r="C2087" t="s">
        <v>969</v>
      </c>
      <c r="D2087" t="s">
        <v>965</v>
      </c>
      <c r="E2087" t="s">
        <v>394</v>
      </c>
      <c r="F2087" t="s">
        <v>395</v>
      </c>
      <c r="G2087" t="s">
        <v>752</v>
      </c>
      <c r="H2087">
        <v>23</v>
      </c>
      <c r="I2087">
        <v>71</v>
      </c>
      <c r="J2087">
        <v>81.956500000000005</v>
      </c>
      <c r="K2087">
        <v>10.9565</v>
      </c>
      <c r="L2087">
        <v>15</v>
      </c>
      <c r="M2087">
        <v>2</v>
      </c>
      <c r="N2087">
        <v>6</v>
      </c>
      <c r="O2087" t="s">
        <v>127</v>
      </c>
      <c r="P2087" t="s">
        <v>127</v>
      </c>
      <c r="Q2087" t="s">
        <v>127</v>
      </c>
    </row>
    <row r="2088" spans="1:17" x14ac:dyDescent="0.25">
      <c r="A2088" t="str">
        <f>IF(C2088&amp;G2088&amp;D2088&lt;&gt;'Funnel setup'!$K$3&amp;'Funnel setup'!$K$4&amp;'Funnel setup'!$K$6,".",IF(A2087=".",1,A2087+1))</f>
        <v>.</v>
      </c>
      <c r="B2088" s="244" t="str">
        <f t="shared" si="32"/>
        <v>Knee Replacement PrimaryProviderNUFFIELD HEALTH, NEWCASTLE UPON TYNE HOSPITAL (NT229)EQ VAS</v>
      </c>
      <c r="C2088" t="s">
        <v>969</v>
      </c>
      <c r="D2088" t="s">
        <v>965</v>
      </c>
      <c r="E2088" t="s">
        <v>396</v>
      </c>
      <c r="F2088" t="s">
        <v>397</v>
      </c>
      <c r="G2088" t="s">
        <v>752</v>
      </c>
      <c r="H2088">
        <v>26</v>
      </c>
      <c r="I2088">
        <v>66.269199999999998</v>
      </c>
      <c r="J2088">
        <v>75.807699999999997</v>
      </c>
      <c r="K2088">
        <v>9.5384600000000006</v>
      </c>
      <c r="L2088">
        <v>19</v>
      </c>
      <c r="M2088">
        <v>0</v>
      </c>
      <c r="N2088">
        <v>7</v>
      </c>
      <c r="O2088" t="s">
        <v>127</v>
      </c>
      <c r="P2088" t="s">
        <v>127</v>
      </c>
      <c r="Q2088" t="s">
        <v>127</v>
      </c>
    </row>
    <row r="2089" spans="1:17" x14ac:dyDescent="0.25">
      <c r="A2089" t="str">
        <f>IF(C2089&amp;G2089&amp;D2089&lt;&gt;'Funnel setup'!$K$3&amp;'Funnel setup'!$K$4&amp;'Funnel setup'!$K$6,".",IF(A2088=".",1,A2088+1))</f>
        <v>.</v>
      </c>
      <c r="B2089" s="244" t="str">
        <f t="shared" si="32"/>
        <v>Knee Replacement PrimaryProviderNUFFIELD HEALTH, NORTH STAFFORDSHIRE HOSPITAL (NT230)EQ VAS</v>
      </c>
      <c r="C2089" t="s">
        <v>969</v>
      </c>
      <c r="D2089" t="s">
        <v>965</v>
      </c>
      <c r="E2089" t="s">
        <v>398</v>
      </c>
      <c r="F2089" t="s">
        <v>399</v>
      </c>
      <c r="G2089" t="s">
        <v>752</v>
      </c>
      <c r="H2089">
        <v>43</v>
      </c>
      <c r="I2089">
        <v>64.139499999999998</v>
      </c>
      <c r="J2089">
        <v>74.465100000000007</v>
      </c>
      <c r="K2089">
        <v>10.3256</v>
      </c>
      <c r="L2089">
        <v>24</v>
      </c>
      <c r="M2089">
        <v>7</v>
      </c>
      <c r="N2089">
        <v>12</v>
      </c>
      <c r="O2089">
        <v>75.873999999999995</v>
      </c>
      <c r="P2089">
        <v>10.345599999999999</v>
      </c>
      <c r="Q2089">
        <v>15.0557</v>
      </c>
    </row>
    <row r="2090" spans="1:17" x14ac:dyDescent="0.25">
      <c r="A2090" t="str">
        <f>IF(C2090&amp;G2090&amp;D2090&lt;&gt;'Funnel setup'!$K$3&amp;'Funnel setup'!$K$4&amp;'Funnel setup'!$K$6,".",IF(A2089=".",1,A2089+1))</f>
        <v>.</v>
      </c>
      <c r="B2090" s="244" t="str">
        <f t="shared" si="32"/>
        <v>Knee Replacement PrimaryProviderNUFFIELD HEALTH, PLYMOUTH HOSPITAL (NT233)EQ VAS</v>
      </c>
      <c r="C2090" t="s">
        <v>969</v>
      </c>
      <c r="D2090" t="s">
        <v>965</v>
      </c>
      <c r="E2090" t="s">
        <v>400</v>
      </c>
      <c r="F2090" t="s">
        <v>401</v>
      </c>
      <c r="G2090" t="s">
        <v>752</v>
      </c>
      <c r="H2090">
        <v>41</v>
      </c>
      <c r="I2090">
        <v>67.853700000000003</v>
      </c>
      <c r="J2090">
        <v>75.536600000000007</v>
      </c>
      <c r="K2090">
        <v>7.6829299999999998</v>
      </c>
      <c r="L2090">
        <v>24</v>
      </c>
      <c r="M2090">
        <v>5</v>
      </c>
      <c r="N2090">
        <v>12</v>
      </c>
      <c r="O2090">
        <v>74.907899999999998</v>
      </c>
      <c r="P2090">
        <v>9.3794599999999999</v>
      </c>
      <c r="Q2090">
        <v>17.617100000000001</v>
      </c>
    </row>
    <row r="2091" spans="1:17" x14ac:dyDescent="0.25">
      <c r="A2091" t="str">
        <f>IF(C2091&amp;G2091&amp;D2091&lt;&gt;'Funnel setup'!$K$3&amp;'Funnel setup'!$K$4&amp;'Funnel setup'!$K$6,".",IF(A2090=".",1,A2090+1))</f>
        <v>.</v>
      </c>
      <c r="B2091" s="244" t="str">
        <f t="shared" si="32"/>
        <v>Knee Replacement PrimaryProviderNUFFIELD HEALTH, SHREWSBURY HOSPITAL (NT235)EQ VAS</v>
      </c>
      <c r="C2091" t="s">
        <v>969</v>
      </c>
      <c r="D2091" t="s">
        <v>965</v>
      </c>
      <c r="E2091" t="s">
        <v>402</v>
      </c>
      <c r="F2091" t="s">
        <v>403</v>
      </c>
      <c r="G2091" t="s">
        <v>752</v>
      </c>
      <c r="H2091">
        <v>2</v>
      </c>
      <c r="I2091">
        <v>57.5</v>
      </c>
      <c r="J2091">
        <v>50</v>
      </c>
      <c r="K2091">
        <v>-7.5</v>
      </c>
      <c r="L2091">
        <v>0</v>
      </c>
      <c r="M2091">
        <v>0</v>
      </c>
      <c r="N2091">
        <v>2</v>
      </c>
      <c r="O2091" t="s">
        <v>127</v>
      </c>
      <c r="P2091" t="s">
        <v>127</v>
      </c>
      <c r="Q2091" t="s">
        <v>127</v>
      </c>
    </row>
    <row r="2092" spans="1:17" x14ac:dyDescent="0.25">
      <c r="A2092" t="str">
        <f>IF(C2092&amp;G2092&amp;D2092&lt;&gt;'Funnel setup'!$K$3&amp;'Funnel setup'!$K$4&amp;'Funnel setup'!$K$6,".",IF(A2091=".",1,A2091+1))</f>
        <v>.</v>
      </c>
      <c r="B2092" s="244" t="str">
        <f t="shared" si="32"/>
        <v>Knee Replacement PrimaryProviderNUFFIELD HEALTH, TAUNTON HOSPITAL (NT238)EQ VAS</v>
      </c>
      <c r="C2092" t="s">
        <v>969</v>
      </c>
      <c r="D2092" t="s">
        <v>965</v>
      </c>
      <c r="E2092" t="s">
        <v>404</v>
      </c>
      <c r="F2092" t="s">
        <v>405</v>
      </c>
      <c r="G2092" t="s">
        <v>752</v>
      </c>
      <c r="H2092">
        <v>25</v>
      </c>
      <c r="I2092">
        <v>64.48</v>
      </c>
      <c r="J2092">
        <v>73.16</v>
      </c>
      <c r="K2092">
        <v>8.68</v>
      </c>
      <c r="L2092">
        <v>15</v>
      </c>
      <c r="M2092">
        <v>3</v>
      </c>
      <c r="N2092">
        <v>7</v>
      </c>
      <c r="O2092" t="s">
        <v>127</v>
      </c>
      <c r="P2092" t="s">
        <v>127</v>
      </c>
      <c r="Q2092" t="s">
        <v>127</v>
      </c>
    </row>
    <row r="2093" spans="1:17" x14ac:dyDescent="0.25">
      <c r="A2093" t="str">
        <f>IF(C2093&amp;G2093&amp;D2093&lt;&gt;'Funnel setup'!$K$3&amp;'Funnel setup'!$K$4&amp;'Funnel setup'!$K$6,".",IF(A2092=".",1,A2092+1))</f>
        <v>.</v>
      </c>
      <c r="B2093" s="244" t="str">
        <f t="shared" si="32"/>
        <v>Knee Replacement PrimaryProviderNUFFIELD HEALTH, TEES HOSPITAL (NT237)EQ VAS</v>
      </c>
      <c r="C2093" t="s">
        <v>969</v>
      </c>
      <c r="D2093" t="s">
        <v>965</v>
      </c>
      <c r="E2093" t="s">
        <v>406</v>
      </c>
      <c r="F2093" t="s">
        <v>407</v>
      </c>
      <c r="G2093" t="s">
        <v>752</v>
      </c>
      <c r="H2093">
        <v>208</v>
      </c>
      <c r="I2093">
        <v>73.605800000000002</v>
      </c>
      <c r="J2093">
        <v>77.134600000000006</v>
      </c>
      <c r="K2093">
        <v>3.5288499999999998</v>
      </c>
      <c r="L2093">
        <v>118</v>
      </c>
      <c r="M2093">
        <v>23</v>
      </c>
      <c r="N2093">
        <v>67</v>
      </c>
      <c r="O2093">
        <v>74.399500000000003</v>
      </c>
      <c r="P2093">
        <v>8.8710500000000003</v>
      </c>
      <c r="Q2093">
        <v>16.491</v>
      </c>
    </row>
    <row r="2094" spans="1:17" x14ac:dyDescent="0.25">
      <c r="A2094" t="str">
        <f>IF(C2094&amp;G2094&amp;D2094&lt;&gt;'Funnel setup'!$K$3&amp;'Funnel setup'!$K$4&amp;'Funnel setup'!$K$6,".",IF(A2093=".",1,A2093+1))</f>
        <v>.</v>
      </c>
      <c r="B2094" s="244" t="str">
        <f t="shared" si="32"/>
        <v>Knee Replacement PrimaryProviderNUFFIELD HEALTH, THE GROSVENOR HOSPITAL, CHESTER (NT210)EQ VAS</v>
      </c>
      <c r="C2094" t="s">
        <v>969</v>
      </c>
      <c r="D2094" t="s">
        <v>965</v>
      </c>
      <c r="E2094" t="s">
        <v>408</v>
      </c>
      <c r="F2094" t="s">
        <v>409</v>
      </c>
      <c r="G2094" t="s">
        <v>752</v>
      </c>
      <c r="H2094">
        <v>13</v>
      </c>
      <c r="I2094">
        <v>66.692300000000003</v>
      </c>
      <c r="J2094">
        <v>72.538499999999999</v>
      </c>
      <c r="K2094">
        <v>5.8461499999999997</v>
      </c>
      <c r="L2094">
        <v>10</v>
      </c>
      <c r="M2094">
        <v>1</v>
      </c>
      <c r="N2094">
        <v>2</v>
      </c>
      <c r="O2094" t="s">
        <v>127</v>
      </c>
      <c r="P2094" t="s">
        <v>127</v>
      </c>
      <c r="Q2094" t="s">
        <v>127</v>
      </c>
    </row>
    <row r="2095" spans="1:17" x14ac:dyDescent="0.25">
      <c r="A2095" t="str">
        <f>IF(C2095&amp;G2095&amp;D2095&lt;&gt;'Funnel setup'!$K$3&amp;'Funnel setup'!$K$4&amp;'Funnel setup'!$K$6,".",IF(A2094=".",1,A2094+1))</f>
        <v>.</v>
      </c>
      <c r="B2095" s="244" t="str">
        <f t="shared" si="32"/>
        <v>Knee Replacement PrimaryProviderNUFFIELD HEALTH, TUNBRIDGE WELLS HOSPITAL (NT239)EQ VAS</v>
      </c>
      <c r="C2095" t="s">
        <v>969</v>
      </c>
      <c r="D2095" t="s">
        <v>965</v>
      </c>
      <c r="E2095" t="s">
        <v>410</v>
      </c>
      <c r="F2095" t="s">
        <v>411</v>
      </c>
      <c r="G2095" t="s">
        <v>752</v>
      </c>
      <c r="H2095">
        <v>5</v>
      </c>
      <c r="I2095">
        <v>82</v>
      </c>
      <c r="J2095">
        <v>93.6</v>
      </c>
      <c r="K2095">
        <v>11.6</v>
      </c>
      <c r="L2095">
        <v>5</v>
      </c>
      <c r="M2095">
        <v>0</v>
      </c>
      <c r="N2095">
        <v>0</v>
      </c>
      <c r="O2095" t="s">
        <v>127</v>
      </c>
      <c r="P2095" t="s">
        <v>127</v>
      </c>
      <c r="Q2095" t="s">
        <v>127</v>
      </c>
    </row>
    <row r="2096" spans="1:17" x14ac:dyDescent="0.25">
      <c r="A2096" t="str">
        <f>IF(C2096&amp;G2096&amp;D2096&lt;&gt;'Funnel setup'!$K$3&amp;'Funnel setup'!$K$4&amp;'Funnel setup'!$K$6,".",IF(A2095=".",1,A2095+1))</f>
        <v>.</v>
      </c>
      <c r="B2096" s="244" t="str">
        <f t="shared" si="32"/>
        <v>Knee Replacement PrimaryProviderNUFFIELD HEALTH, WARWICKSHIRE HOSPITAL (NT224)EQ VAS</v>
      </c>
      <c r="C2096" t="s">
        <v>969</v>
      </c>
      <c r="D2096" t="s">
        <v>965</v>
      </c>
      <c r="E2096" t="s">
        <v>412</v>
      </c>
      <c r="F2096" t="s">
        <v>413</v>
      </c>
      <c r="G2096" t="s">
        <v>752</v>
      </c>
      <c r="H2096">
        <v>10</v>
      </c>
      <c r="I2096">
        <v>70.7</v>
      </c>
      <c r="J2096">
        <v>82.4</v>
      </c>
      <c r="K2096">
        <v>11.7</v>
      </c>
      <c r="L2096">
        <v>5</v>
      </c>
      <c r="M2096">
        <v>4</v>
      </c>
      <c r="N2096">
        <v>1</v>
      </c>
      <c r="O2096" t="s">
        <v>127</v>
      </c>
      <c r="P2096" t="s">
        <v>127</v>
      </c>
      <c r="Q2096" t="s">
        <v>127</v>
      </c>
    </row>
    <row r="2097" spans="1:17" x14ac:dyDescent="0.25">
      <c r="A2097" t="str">
        <f>IF(C2097&amp;G2097&amp;D2097&lt;&gt;'Funnel setup'!$K$3&amp;'Funnel setup'!$K$4&amp;'Funnel setup'!$K$6,".",IF(A2096=".",1,A2096+1))</f>
        <v>.</v>
      </c>
      <c r="B2097" s="244" t="str">
        <f t="shared" si="32"/>
        <v>Knee Replacement PrimaryProviderNUFFIELD HEALTH, WESSEX HOSPITAL (NT214)EQ VAS</v>
      </c>
      <c r="C2097" t="s">
        <v>969</v>
      </c>
      <c r="D2097" t="s">
        <v>965</v>
      </c>
      <c r="E2097" t="s">
        <v>414</v>
      </c>
      <c r="F2097" t="s">
        <v>415</v>
      </c>
      <c r="G2097" t="s">
        <v>752</v>
      </c>
      <c r="H2097">
        <v>26</v>
      </c>
      <c r="I2097">
        <v>61.5</v>
      </c>
      <c r="J2097">
        <v>69.692300000000003</v>
      </c>
      <c r="K2097">
        <v>8.1923100000000009</v>
      </c>
      <c r="L2097">
        <v>16</v>
      </c>
      <c r="M2097">
        <v>2</v>
      </c>
      <c r="N2097">
        <v>8</v>
      </c>
      <c r="O2097" t="s">
        <v>127</v>
      </c>
      <c r="P2097" t="s">
        <v>127</v>
      </c>
      <c r="Q2097" t="s">
        <v>127</v>
      </c>
    </row>
    <row r="2098" spans="1:17" x14ac:dyDescent="0.25">
      <c r="A2098" t="str">
        <f>IF(C2098&amp;G2098&amp;D2098&lt;&gt;'Funnel setup'!$K$3&amp;'Funnel setup'!$K$4&amp;'Funnel setup'!$K$6,".",IF(A2097=".",1,A2097+1))</f>
        <v>.</v>
      </c>
      <c r="B2098" s="244" t="str">
        <f t="shared" si="32"/>
        <v>Knee Replacement PrimaryProviderNUFFIELD HEALTH, WOLVERHAMPTON HOSPITAL (NT242)EQ VAS</v>
      </c>
      <c r="C2098" t="s">
        <v>969</v>
      </c>
      <c r="D2098" t="s">
        <v>965</v>
      </c>
      <c r="E2098" t="s">
        <v>418</v>
      </c>
      <c r="F2098" t="s">
        <v>419</v>
      </c>
      <c r="G2098" t="s">
        <v>752</v>
      </c>
      <c r="H2098">
        <v>12</v>
      </c>
      <c r="I2098">
        <v>63.833300000000001</v>
      </c>
      <c r="J2098">
        <v>75.416700000000006</v>
      </c>
      <c r="K2098">
        <v>11.583299999999999</v>
      </c>
      <c r="L2098">
        <v>7</v>
      </c>
      <c r="M2098">
        <v>3</v>
      </c>
      <c r="N2098">
        <v>2</v>
      </c>
      <c r="O2098" t="s">
        <v>127</v>
      </c>
      <c r="P2098" t="s">
        <v>127</v>
      </c>
      <c r="Q2098" t="s">
        <v>127</v>
      </c>
    </row>
    <row r="2099" spans="1:17" x14ac:dyDescent="0.25">
      <c r="A2099" t="str">
        <f>IF(C2099&amp;G2099&amp;D2099&lt;&gt;'Funnel setup'!$K$3&amp;'Funnel setup'!$K$4&amp;'Funnel setup'!$K$6,".",IF(A2098=".",1,A2098+1))</f>
        <v>.</v>
      </c>
      <c r="B2099" s="244" t="str">
        <f t="shared" si="32"/>
        <v>Knee Replacement PrimaryProviderNUFFIELD HEALTH, YORK HOSPITAL (NT245)EQ VAS</v>
      </c>
      <c r="C2099" t="s">
        <v>969</v>
      </c>
      <c r="D2099" t="s">
        <v>965</v>
      </c>
      <c r="E2099" t="s">
        <v>420</v>
      </c>
      <c r="F2099" t="s">
        <v>421</v>
      </c>
      <c r="G2099" t="s">
        <v>752</v>
      </c>
      <c r="H2099">
        <v>54</v>
      </c>
      <c r="I2099">
        <v>70.277799999999999</v>
      </c>
      <c r="J2099">
        <v>72.796300000000002</v>
      </c>
      <c r="K2099">
        <v>2.5185200000000001</v>
      </c>
      <c r="L2099">
        <v>26</v>
      </c>
      <c r="M2099">
        <v>6</v>
      </c>
      <c r="N2099">
        <v>22</v>
      </c>
      <c r="O2099">
        <v>70.039000000000001</v>
      </c>
      <c r="P2099">
        <v>4.5105899999999997</v>
      </c>
      <c r="Q2099">
        <v>19.603100000000001</v>
      </c>
    </row>
    <row r="2100" spans="1:17" x14ac:dyDescent="0.25">
      <c r="A2100" t="str">
        <f>IF(C2100&amp;G2100&amp;D2100&lt;&gt;'Funnel setup'!$K$3&amp;'Funnel setup'!$K$4&amp;'Funnel setup'!$K$6,".",IF(A2099=".",1,A2099+1))</f>
        <v>.</v>
      </c>
      <c r="B2100" s="244" t="str">
        <f t="shared" si="32"/>
        <v>Knee Replacement PrimaryProviderOAKLANDS HOSPITAL (NVC12)EQ VAS</v>
      </c>
      <c r="C2100" t="s">
        <v>969</v>
      </c>
      <c r="D2100" t="s">
        <v>965</v>
      </c>
      <c r="E2100" t="s">
        <v>424</v>
      </c>
      <c r="F2100" t="s">
        <v>425</v>
      </c>
      <c r="G2100" t="s">
        <v>752</v>
      </c>
      <c r="H2100">
        <v>80</v>
      </c>
      <c r="I2100">
        <v>70.337500000000006</v>
      </c>
      <c r="J2100">
        <v>74.825000000000003</v>
      </c>
      <c r="K2100">
        <v>4.4874999999999998</v>
      </c>
      <c r="L2100">
        <v>42</v>
      </c>
      <c r="M2100">
        <v>8</v>
      </c>
      <c r="N2100">
        <v>30</v>
      </c>
      <c r="O2100">
        <v>75.306600000000003</v>
      </c>
      <c r="P2100">
        <v>9.7782400000000003</v>
      </c>
      <c r="Q2100">
        <v>15.766999999999999</v>
      </c>
    </row>
    <row r="2101" spans="1:17" x14ac:dyDescent="0.25">
      <c r="A2101" t="str">
        <f>IF(C2101&amp;G2101&amp;D2101&lt;&gt;'Funnel setup'!$K$3&amp;'Funnel setup'!$K$4&amp;'Funnel setup'!$K$6,".",IF(A2100=".",1,A2100+1))</f>
        <v>.</v>
      </c>
      <c r="B2101" s="244" t="str">
        <f t="shared" si="32"/>
        <v>Knee Replacement PrimaryProviderOAKS HOSPITAL (NVC13)EQ VAS</v>
      </c>
      <c r="C2101" t="s">
        <v>969</v>
      </c>
      <c r="D2101" t="s">
        <v>965</v>
      </c>
      <c r="E2101" t="s">
        <v>426</v>
      </c>
      <c r="F2101" t="s">
        <v>427</v>
      </c>
      <c r="G2101" t="s">
        <v>752</v>
      </c>
      <c r="H2101">
        <v>4</v>
      </c>
      <c r="I2101">
        <v>64.25</v>
      </c>
      <c r="J2101">
        <v>83.5</v>
      </c>
      <c r="K2101">
        <v>19.25</v>
      </c>
      <c r="L2101">
        <v>4</v>
      </c>
      <c r="M2101">
        <v>0</v>
      </c>
      <c r="N2101">
        <v>0</v>
      </c>
      <c r="O2101" t="s">
        <v>127</v>
      </c>
      <c r="P2101" t="s">
        <v>127</v>
      </c>
      <c r="Q2101" t="s">
        <v>127</v>
      </c>
    </row>
    <row r="2102" spans="1:17" x14ac:dyDescent="0.25">
      <c r="A2102" t="str">
        <f>IF(C2102&amp;G2102&amp;D2102&lt;&gt;'Funnel setup'!$K$3&amp;'Funnel setup'!$K$4&amp;'Funnel setup'!$K$6,".",IF(A2101=".",1,A2101+1))</f>
        <v>.</v>
      </c>
      <c r="B2102" s="244" t="str">
        <f t="shared" si="32"/>
        <v>Knee Replacement PrimaryProviderONE HEALTHCARE (AVQ)EQ VAS</v>
      </c>
      <c r="C2102" t="s">
        <v>969</v>
      </c>
      <c r="D2102" t="s">
        <v>965</v>
      </c>
      <c r="E2102" t="s">
        <v>434</v>
      </c>
      <c r="F2102" t="s">
        <v>435</v>
      </c>
      <c r="G2102" t="s">
        <v>752</v>
      </c>
      <c r="H2102">
        <v>58</v>
      </c>
      <c r="I2102">
        <v>68.413799999999995</v>
      </c>
      <c r="J2102">
        <v>74.758600000000001</v>
      </c>
      <c r="K2102">
        <v>6.34483</v>
      </c>
      <c r="L2102">
        <v>33</v>
      </c>
      <c r="M2102">
        <v>4</v>
      </c>
      <c r="N2102">
        <v>21</v>
      </c>
      <c r="O2102">
        <v>71.7607</v>
      </c>
      <c r="P2102">
        <v>6.2323399999999998</v>
      </c>
      <c r="Q2102">
        <v>18.218299999999999</v>
      </c>
    </row>
    <row r="2103" spans="1:17" x14ac:dyDescent="0.25">
      <c r="A2103" t="str">
        <f>IF(C2103&amp;G2103&amp;D2103&lt;&gt;'Funnel setup'!$K$3&amp;'Funnel setup'!$K$4&amp;'Funnel setup'!$K$6,".",IF(A2102=".",1,A2102+1))</f>
        <v>.</v>
      </c>
      <c r="B2103" s="244" t="str">
        <f t="shared" si="32"/>
        <v>Knee Replacement PrimaryProviderORTHOPAEDICS &amp; SPINE SPECIALIST HOSPITAL SITE (NQM01)EQ VAS</v>
      </c>
      <c r="C2103" t="s">
        <v>969</v>
      </c>
      <c r="D2103" t="s">
        <v>965</v>
      </c>
      <c r="E2103" t="s">
        <v>436</v>
      </c>
      <c r="F2103" t="s">
        <v>437</v>
      </c>
      <c r="G2103" t="s">
        <v>752</v>
      </c>
      <c r="H2103">
        <v>5</v>
      </c>
      <c r="I2103">
        <v>64.599999999999994</v>
      </c>
      <c r="J2103">
        <v>57.4</v>
      </c>
      <c r="K2103">
        <v>-7.2</v>
      </c>
      <c r="L2103">
        <v>3</v>
      </c>
      <c r="M2103">
        <v>0</v>
      </c>
      <c r="N2103">
        <v>2</v>
      </c>
      <c r="O2103" t="s">
        <v>127</v>
      </c>
      <c r="P2103" t="s">
        <v>127</v>
      </c>
      <c r="Q2103" t="s">
        <v>127</v>
      </c>
    </row>
    <row r="2104" spans="1:17" x14ac:dyDescent="0.25">
      <c r="A2104" t="str">
        <f>IF(C2104&amp;G2104&amp;D2104&lt;&gt;'Funnel setup'!$K$3&amp;'Funnel setup'!$K$4&amp;'Funnel setup'!$K$6,".",IF(A2103=".",1,A2103+1))</f>
        <v>.</v>
      </c>
      <c r="B2104" s="244" t="str">
        <f t="shared" si="32"/>
        <v>Knee Replacement PrimaryProviderOXFORD UNIVERSITY HOSPITALS NHS FOUNDATION TRUST (RTH)EQ VAS</v>
      </c>
      <c r="C2104" t="s">
        <v>969</v>
      </c>
      <c r="D2104" t="s">
        <v>965</v>
      </c>
      <c r="E2104" t="s">
        <v>438</v>
      </c>
      <c r="F2104" t="s">
        <v>439</v>
      </c>
      <c r="G2104" t="s">
        <v>752</v>
      </c>
      <c r="H2104">
        <v>230</v>
      </c>
      <c r="I2104">
        <v>65.595699999999994</v>
      </c>
      <c r="J2104">
        <v>75.365200000000002</v>
      </c>
      <c r="K2104">
        <v>9.7695699999999999</v>
      </c>
      <c r="L2104">
        <v>145</v>
      </c>
      <c r="M2104">
        <v>29</v>
      </c>
      <c r="N2104">
        <v>56</v>
      </c>
      <c r="O2104">
        <v>74.752899999999997</v>
      </c>
      <c r="P2104">
        <v>9.2244899999999994</v>
      </c>
      <c r="Q2104">
        <v>16.104099999999999</v>
      </c>
    </row>
    <row r="2105" spans="1:17" x14ac:dyDescent="0.25">
      <c r="A2105" t="str">
        <f>IF(C2105&amp;G2105&amp;D2105&lt;&gt;'Funnel setup'!$K$3&amp;'Funnel setup'!$K$4&amp;'Funnel setup'!$K$6,".",IF(A2104=".",1,A2104+1))</f>
        <v>.</v>
      </c>
      <c r="B2105" s="244" t="str">
        <f t="shared" si="32"/>
        <v>Knee Replacement PrimaryProviderPARK HILL HOSPITAL (NVC14)EQ VAS</v>
      </c>
      <c r="C2105" t="s">
        <v>969</v>
      </c>
      <c r="D2105" t="s">
        <v>965</v>
      </c>
      <c r="E2105" t="s">
        <v>440</v>
      </c>
      <c r="F2105" t="s">
        <v>441</v>
      </c>
      <c r="G2105" t="s">
        <v>752</v>
      </c>
      <c r="H2105">
        <v>33</v>
      </c>
      <c r="I2105">
        <v>69.515199999999993</v>
      </c>
      <c r="J2105">
        <v>69.787899999999993</v>
      </c>
      <c r="K2105">
        <v>0.272727</v>
      </c>
      <c r="L2105">
        <v>15</v>
      </c>
      <c r="M2105">
        <v>6</v>
      </c>
      <c r="N2105">
        <v>12</v>
      </c>
      <c r="O2105">
        <v>69.359300000000005</v>
      </c>
      <c r="P2105">
        <v>3.8309000000000002</v>
      </c>
      <c r="Q2105">
        <v>15.314399999999999</v>
      </c>
    </row>
    <row r="2106" spans="1:17" x14ac:dyDescent="0.25">
      <c r="A2106" t="str">
        <f>IF(C2106&amp;G2106&amp;D2106&lt;&gt;'Funnel setup'!$K$3&amp;'Funnel setup'!$K$4&amp;'Funnel setup'!$K$6,".",IF(A2105=".",1,A2105+1))</f>
        <v>.</v>
      </c>
      <c r="B2106" s="244" t="str">
        <f t="shared" si="32"/>
        <v>Knee Replacement PrimaryProviderPARK HOSPITAL (NT427)EQ VAS</v>
      </c>
      <c r="C2106" t="s">
        <v>969</v>
      </c>
      <c r="D2106" t="s">
        <v>965</v>
      </c>
      <c r="E2106" t="s">
        <v>442</v>
      </c>
      <c r="F2106" t="s">
        <v>443</v>
      </c>
      <c r="G2106" t="s">
        <v>752</v>
      </c>
      <c r="H2106">
        <v>48</v>
      </c>
      <c r="I2106">
        <v>69.291700000000006</v>
      </c>
      <c r="J2106">
        <v>76.104200000000006</v>
      </c>
      <c r="K2106">
        <v>6.8125</v>
      </c>
      <c r="L2106">
        <v>29</v>
      </c>
      <c r="M2106">
        <v>4</v>
      </c>
      <c r="N2106">
        <v>15</v>
      </c>
      <c r="O2106">
        <v>73.607200000000006</v>
      </c>
      <c r="P2106">
        <v>8.0787999999999993</v>
      </c>
      <c r="Q2106">
        <v>18.9968</v>
      </c>
    </row>
    <row r="2107" spans="1:17" x14ac:dyDescent="0.25">
      <c r="A2107" t="str">
        <f>IF(C2107&amp;G2107&amp;D2107&lt;&gt;'Funnel setup'!$K$3&amp;'Funnel setup'!$K$4&amp;'Funnel setup'!$K$6,".",IF(A2106=".",1,A2106+1))</f>
        <v>.</v>
      </c>
      <c r="B2107" s="244" t="str">
        <f t="shared" si="32"/>
        <v>Knee Replacement PrimaryProviderPENNINE ACUTE HOSPITALS NHS TRUST (RW6)EQ VAS</v>
      </c>
      <c r="C2107" t="s">
        <v>969</v>
      </c>
      <c r="D2107" t="s">
        <v>965</v>
      </c>
      <c r="E2107" t="s">
        <v>444</v>
      </c>
      <c r="F2107" t="s">
        <v>445</v>
      </c>
      <c r="G2107" t="s">
        <v>752</v>
      </c>
      <c r="H2107">
        <v>3</v>
      </c>
      <c r="I2107">
        <v>53.333300000000001</v>
      </c>
      <c r="J2107">
        <v>86</v>
      </c>
      <c r="K2107">
        <v>32.666699999999999</v>
      </c>
      <c r="L2107">
        <v>3</v>
      </c>
      <c r="M2107">
        <v>0</v>
      </c>
      <c r="N2107">
        <v>0</v>
      </c>
      <c r="O2107" t="s">
        <v>127</v>
      </c>
      <c r="P2107" t="s">
        <v>127</v>
      </c>
      <c r="Q2107" t="s">
        <v>127</v>
      </c>
    </row>
    <row r="2108" spans="1:17" x14ac:dyDescent="0.25">
      <c r="A2108" t="str">
        <f>IF(C2108&amp;G2108&amp;D2108&lt;&gt;'Funnel setup'!$K$3&amp;'Funnel setup'!$K$4&amp;'Funnel setup'!$K$6,".",IF(A2107=".",1,A2107+1))</f>
        <v>.</v>
      </c>
      <c r="B2108" s="244" t="str">
        <f t="shared" si="32"/>
        <v>Knee Replacement PrimaryProviderPINEHILL HOSPITAL (NVC15)EQ VAS</v>
      </c>
      <c r="C2108" t="s">
        <v>969</v>
      </c>
      <c r="D2108" t="s">
        <v>965</v>
      </c>
      <c r="E2108" t="s">
        <v>448</v>
      </c>
      <c r="F2108" t="s">
        <v>449</v>
      </c>
      <c r="G2108" t="s">
        <v>752</v>
      </c>
      <c r="H2108">
        <v>7</v>
      </c>
      <c r="I2108">
        <v>55.142899999999997</v>
      </c>
      <c r="J2108">
        <v>80</v>
      </c>
      <c r="K2108">
        <v>24.857099999999999</v>
      </c>
      <c r="L2108">
        <v>6</v>
      </c>
      <c r="M2108">
        <v>0</v>
      </c>
      <c r="N2108">
        <v>1</v>
      </c>
      <c r="O2108" t="s">
        <v>127</v>
      </c>
      <c r="P2108" t="s">
        <v>127</v>
      </c>
      <c r="Q2108" t="s">
        <v>127</v>
      </c>
    </row>
    <row r="2109" spans="1:17" x14ac:dyDescent="0.25">
      <c r="A2109" t="str">
        <f>IF(C2109&amp;G2109&amp;D2109&lt;&gt;'Funnel setup'!$K$3&amp;'Funnel setup'!$K$4&amp;'Funnel setup'!$K$6,".",IF(A2108=".",1,A2108+1))</f>
        <v>.</v>
      </c>
      <c r="B2109" s="244" t="str">
        <f t="shared" si="32"/>
        <v>Knee Replacement PrimaryProviderPORTSMOUTH HOSPITALS UNIVERSITY NATIONAL HEALTH SERVICE TRUST (RHU)EQ VAS</v>
      </c>
      <c r="C2109" t="s">
        <v>969</v>
      </c>
      <c r="D2109" t="s">
        <v>965</v>
      </c>
      <c r="E2109" t="s">
        <v>450</v>
      </c>
      <c r="F2109" t="s">
        <v>451</v>
      </c>
      <c r="G2109" t="s">
        <v>752</v>
      </c>
      <c r="H2109">
        <v>10</v>
      </c>
      <c r="I2109">
        <v>59.6</v>
      </c>
      <c r="J2109">
        <v>79.099999999999994</v>
      </c>
      <c r="K2109">
        <v>19.5</v>
      </c>
      <c r="L2109">
        <v>6</v>
      </c>
      <c r="M2109">
        <v>1</v>
      </c>
      <c r="N2109">
        <v>3</v>
      </c>
      <c r="O2109" t="s">
        <v>127</v>
      </c>
      <c r="P2109" t="s">
        <v>127</v>
      </c>
      <c r="Q2109" t="s">
        <v>127</v>
      </c>
    </row>
    <row r="2110" spans="1:17" x14ac:dyDescent="0.25">
      <c r="A2110" t="str">
        <f>IF(C2110&amp;G2110&amp;D2110&lt;&gt;'Funnel setup'!$K$3&amp;'Funnel setup'!$K$4&amp;'Funnel setup'!$K$6,".",IF(A2109=".",1,A2109+1))</f>
        <v>.</v>
      </c>
      <c r="B2110" s="244" t="str">
        <f t="shared" si="32"/>
        <v>Knee Replacement PrimaryProviderPRACTICE PLUS GROUP HOSPITAL - BARLBOROUGH (NTP13)EQ VAS</v>
      </c>
      <c r="C2110" t="s">
        <v>969</v>
      </c>
      <c r="D2110" t="s">
        <v>965</v>
      </c>
      <c r="E2110" t="s">
        <v>452</v>
      </c>
      <c r="F2110" t="s">
        <v>453</v>
      </c>
      <c r="G2110" t="s">
        <v>752</v>
      </c>
      <c r="H2110">
        <v>230</v>
      </c>
      <c r="I2110">
        <v>69.708699999999993</v>
      </c>
      <c r="J2110">
        <v>76</v>
      </c>
      <c r="K2110">
        <v>6.2912999999999997</v>
      </c>
      <c r="L2110">
        <v>138</v>
      </c>
      <c r="M2110">
        <v>19</v>
      </c>
      <c r="N2110">
        <v>73</v>
      </c>
      <c r="O2110">
        <v>73.913899999999998</v>
      </c>
      <c r="P2110">
        <v>8.3855500000000003</v>
      </c>
      <c r="Q2110">
        <v>17.283899999999999</v>
      </c>
    </row>
    <row r="2111" spans="1:17" x14ac:dyDescent="0.25">
      <c r="A2111" t="str">
        <f>IF(C2111&amp;G2111&amp;D2111&lt;&gt;'Funnel setup'!$K$3&amp;'Funnel setup'!$K$4&amp;'Funnel setup'!$K$6,".",IF(A2110=".",1,A2110+1))</f>
        <v>.</v>
      </c>
      <c r="B2111" s="244" t="str">
        <f t="shared" si="32"/>
        <v>Knee Replacement PrimaryProviderPRACTICE PLUS GROUP HOSPITAL - EMERSONS GREEN (NTPH2)EQ VAS</v>
      </c>
      <c r="C2111" t="s">
        <v>969</v>
      </c>
      <c r="D2111" t="s">
        <v>965</v>
      </c>
      <c r="E2111" t="s">
        <v>454</v>
      </c>
      <c r="F2111" t="s">
        <v>455</v>
      </c>
      <c r="G2111" t="s">
        <v>752</v>
      </c>
      <c r="H2111">
        <v>134</v>
      </c>
      <c r="I2111">
        <v>62.2836</v>
      </c>
      <c r="J2111">
        <v>75.880600000000001</v>
      </c>
      <c r="K2111">
        <v>13.597</v>
      </c>
      <c r="L2111">
        <v>94</v>
      </c>
      <c r="M2111">
        <v>14</v>
      </c>
      <c r="N2111">
        <v>26</v>
      </c>
      <c r="O2111">
        <v>75.879599999999996</v>
      </c>
      <c r="P2111">
        <v>10.3512</v>
      </c>
      <c r="Q2111">
        <v>16.513500000000001</v>
      </c>
    </row>
    <row r="2112" spans="1:17" x14ac:dyDescent="0.25">
      <c r="A2112" t="str">
        <f>IF(C2112&amp;G2112&amp;D2112&lt;&gt;'Funnel setup'!$K$3&amp;'Funnel setup'!$K$4&amp;'Funnel setup'!$K$6,".",IF(A2111=".",1,A2111+1))</f>
        <v>.</v>
      </c>
      <c r="B2112" s="244" t="str">
        <f t="shared" si="32"/>
        <v>Knee Replacement PrimaryProviderPRACTICE PLUS GROUP HOSPITAL - ILFORD (NTP15)EQ VAS</v>
      </c>
      <c r="C2112" t="s">
        <v>969</v>
      </c>
      <c r="D2112" t="s">
        <v>965</v>
      </c>
      <c r="E2112" t="s">
        <v>456</v>
      </c>
      <c r="F2112" t="s">
        <v>457</v>
      </c>
      <c r="G2112" t="s">
        <v>752</v>
      </c>
      <c r="H2112">
        <v>71</v>
      </c>
      <c r="I2112">
        <v>63.450699999999998</v>
      </c>
      <c r="J2112">
        <v>70.154899999999998</v>
      </c>
      <c r="K2112">
        <v>6.7042299999999999</v>
      </c>
      <c r="L2112">
        <v>39</v>
      </c>
      <c r="M2112">
        <v>8</v>
      </c>
      <c r="N2112">
        <v>24</v>
      </c>
      <c r="O2112">
        <v>71.116500000000002</v>
      </c>
      <c r="P2112">
        <v>5.5880900000000002</v>
      </c>
      <c r="Q2112">
        <v>16.869199999999999</v>
      </c>
    </row>
    <row r="2113" spans="1:17" x14ac:dyDescent="0.25">
      <c r="A2113" t="str">
        <f>IF(C2113&amp;G2113&amp;D2113&lt;&gt;'Funnel setup'!$K$3&amp;'Funnel setup'!$K$4&amp;'Funnel setup'!$K$6,".",IF(A2112=".",1,A2112+1))</f>
        <v>.</v>
      </c>
      <c r="B2113" s="244" t="str">
        <f t="shared" si="32"/>
        <v>Knee Replacement PrimaryProviderPRACTICE PLUS GROUP HOSPITAL - PLYMOUTH (NTPH5)EQ VAS</v>
      </c>
      <c r="C2113" t="s">
        <v>969</v>
      </c>
      <c r="D2113" t="s">
        <v>965</v>
      </c>
      <c r="E2113" t="s">
        <v>458</v>
      </c>
      <c r="F2113" t="s">
        <v>459</v>
      </c>
      <c r="G2113" t="s">
        <v>752</v>
      </c>
      <c r="H2113">
        <v>183</v>
      </c>
      <c r="I2113">
        <v>68.770499999999998</v>
      </c>
      <c r="J2113">
        <v>76.196700000000007</v>
      </c>
      <c r="K2113">
        <v>7.4262300000000003</v>
      </c>
      <c r="L2113">
        <v>110</v>
      </c>
      <c r="M2113">
        <v>21</v>
      </c>
      <c r="N2113">
        <v>52</v>
      </c>
      <c r="O2113">
        <v>74.593299999999999</v>
      </c>
      <c r="P2113">
        <v>9.0648800000000005</v>
      </c>
      <c r="Q2113">
        <v>15.4152</v>
      </c>
    </row>
    <row r="2114" spans="1:17" x14ac:dyDescent="0.25">
      <c r="A2114" t="str">
        <f>IF(C2114&amp;G2114&amp;D2114&lt;&gt;'Funnel setup'!$K$3&amp;'Funnel setup'!$K$4&amp;'Funnel setup'!$K$6,".",IF(A2113=".",1,A2113+1))</f>
        <v>.</v>
      </c>
      <c r="B2114" s="244" t="str">
        <f t="shared" ref="B2114:B2177" si="33">C2114&amp;D2114&amp;F2114&amp;G2114</f>
        <v>Knee Replacement PrimaryProviderPRACTICE PLUS GROUP HOSPITAL - SHEPTON MALLET (NTPH1)EQ VAS</v>
      </c>
      <c r="C2114" t="s">
        <v>969</v>
      </c>
      <c r="D2114" t="s">
        <v>965</v>
      </c>
      <c r="E2114" t="s">
        <v>460</v>
      </c>
      <c r="F2114" t="s">
        <v>461</v>
      </c>
      <c r="G2114" t="s">
        <v>752</v>
      </c>
      <c r="H2114">
        <v>206</v>
      </c>
      <c r="I2114">
        <v>66.679599999999994</v>
      </c>
      <c r="J2114">
        <v>77.325199999999995</v>
      </c>
      <c r="K2114">
        <v>10.6456</v>
      </c>
      <c r="L2114">
        <v>138</v>
      </c>
      <c r="M2114">
        <v>23</v>
      </c>
      <c r="N2114">
        <v>45</v>
      </c>
      <c r="O2114">
        <v>76.377899999999997</v>
      </c>
      <c r="P2114">
        <v>10.849500000000001</v>
      </c>
      <c r="Q2114">
        <v>16.150099999999998</v>
      </c>
    </row>
    <row r="2115" spans="1:17" x14ac:dyDescent="0.25">
      <c r="A2115" t="str">
        <f>IF(C2115&amp;G2115&amp;D2115&lt;&gt;'Funnel setup'!$K$3&amp;'Funnel setup'!$K$4&amp;'Funnel setup'!$K$6,".",IF(A2114=".",1,A2114+1))</f>
        <v>.</v>
      </c>
      <c r="B2115" s="244" t="str">
        <f t="shared" si="33"/>
        <v>Knee Replacement PrimaryProviderPRACTICE PLUS GROUP HOSPITAL - SOUTHAMPTON (NTP11)EQ VAS</v>
      </c>
      <c r="C2115" t="s">
        <v>969</v>
      </c>
      <c r="D2115" t="s">
        <v>965</v>
      </c>
      <c r="E2115" t="s">
        <v>462</v>
      </c>
      <c r="F2115" t="s">
        <v>463</v>
      </c>
      <c r="G2115" t="s">
        <v>752</v>
      </c>
      <c r="H2115">
        <v>62</v>
      </c>
      <c r="I2115">
        <v>66.209699999999998</v>
      </c>
      <c r="J2115">
        <v>72.612899999999996</v>
      </c>
      <c r="K2115">
        <v>6.4032299999999998</v>
      </c>
      <c r="L2115">
        <v>36</v>
      </c>
      <c r="M2115">
        <v>4</v>
      </c>
      <c r="N2115">
        <v>22</v>
      </c>
      <c r="O2115">
        <v>72.590100000000007</v>
      </c>
      <c r="P2115">
        <v>7.0617400000000004</v>
      </c>
      <c r="Q2115">
        <v>16.867699999999999</v>
      </c>
    </row>
    <row r="2116" spans="1:17" x14ac:dyDescent="0.25">
      <c r="A2116" t="str">
        <f>IF(C2116&amp;G2116&amp;D2116&lt;&gt;'Funnel setup'!$K$3&amp;'Funnel setup'!$K$4&amp;'Funnel setup'!$K$6,".",IF(A2115=".",1,A2115+1))</f>
        <v>.</v>
      </c>
      <c r="B2116" s="244" t="str">
        <f t="shared" si="33"/>
        <v>Knee Replacement PrimaryProviderPRINCESS MARGARET HOSPITAL (NT428)EQ VAS</v>
      </c>
      <c r="C2116" t="s">
        <v>969</v>
      </c>
      <c r="D2116" t="s">
        <v>965</v>
      </c>
      <c r="E2116" t="s">
        <v>464</v>
      </c>
      <c r="F2116" t="s">
        <v>465</v>
      </c>
      <c r="G2116" t="s">
        <v>752</v>
      </c>
      <c r="H2116" t="s">
        <v>127</v>
      </c>
      <c r="I2116" t="s">
        <v>127</v>
      </c>
      <c r="J2116" t="s">
        <v>127</v>
      </c>
      <c r="K2116" t="s">
        <v>127</v>
      </c>
      <c r="L2116" t="s">
        <v>127</v>
      </c>
      <c r="M2116" t="s">
        <v>127</v>
      </c>
      <c r="N2116" t="s">
        <v>127</v>
      </c>
      <c r="O2116" t="s">
        <v>127</v>
      </c>
      <c r="P2116" t="s">
        <v>127</v>
      </c>
      <c r="Q2116" t="s">
        <v>127</v>
      </c>
    </row>
    <row r="2117" spans="1:17" x14ac:dyDescent="0.25">
      <c r="A2117" t="str">
        <f>IF(C2117&amp;G2117&amp;D2117&lt;&gt;'Funnel setup'!$K$3&amp;'Funnel setup'!$K$4&amp;'Funnel setup'!$K$6,".",IF(A2116=".",1,A2116+1))</f>
        <v>.</v>
      </c>
      <c r="B2117" s="244" t="str">
        <f t="shared" si="33"/>
        <v>Knee Replacement PrimaryProviderPRIORY HOSPITAL (NT429)EQ VAS</v>
      </c>
      <c r="C2117" t="s">
        <v>969</v>
      </c>
      <c r="D2117" t="s">
        <v>965</v>
      </c>
      <c r="E2117" t="s">
        <v>466</v>
      </c>
      <c r="F2117" t="s">
        <v>467</v>
      </c>
      <c r="G2117" t="s">
        <v>752</v>
      </c>
      <c r="H2117">
        <v>23</v>
      </c>
      <c r="I2117">
        <v>75.826099999999997</v>
      </c>
      <c r="J2117">
        <v>77.173900000000003</v>
      </c>
      <c r="K2117">
        <v>1.3478300000000001</v>
      </c>
      <c r="L2117">
        <v>11</v>
      </c>
      <c r="M2117">
        <v>3</v>
      </c>
      <c r="N2117">
        <v>9</v>
      </c>
      <c r="O2117" t="s">
        <v>127</v>
      </c>
      <c r="P2117" t="s">
        <v>127</v>
      </c>
      <c r="Q2117" t="s">
        <v>127</v>
      </c>
    </row>
    <row r="2118" spans="1:17" x14ac:dyDescent="0.25">
      <c r="A2118" t="str">
        <f>IF(C2118&amp;G2118&amp;D2118&lt;&gt;'Funnel setup'!$K$3&amp;'Funnel setup'!$K$4&amp;'Funnel setup'!$K$6,".",IF(A2117=".",1,A2117+1))</f>
        <v>.</v>
      </c>
      <c r="B2118" s="244" t="str">
        <f t="shared" si="33"/>
        <v>Knee Replacement PrimaryProviderRENACRES HOSPITAL (NVC16)EQ VAS</v>
      </c>
      <c r="C2118" t="s">
        <v>969</v>
      </c>
      <c r="D2118" t="s">
        <v>965</v>
      </c>
      <c r="E2118" t="s">
        <v>470</v>
      </c>
      <c r="F2118" t="s">
        <v>471</v>
      </c>
      <c r="G2118" t="s">
        <v>752</v>
      </c>
      <c r="H2118">
        <v>62</v>
      </c>
      <c r="I2118">
        <v>70.951599999999999</v>
      </c>
      <c r="J2118">
        <v>76.225800000000007</v>
      </c>
      <c r="K2118">
        <v>5.2741899999999999</v>
      </c>
      <c r="L2118">
        <v>37</v>
      </c>
      <c r="M2118">
        <v>8</v>
      </c>
      <c r="N2118">
        <v>17</v>
      </c>
      <c r="O2118">
        <v>73.987499999999997</v>
      </c>
      <c r="P2118">
        <v>8.4590599999999991</v>
      </c>
      <c r="Q2118">
        <v>14.844799999999999</v>
      </c>
    </row>
    <row r="2119" spans="1:17" x14ac:dyDescent="0.25">
      <c r="A2119" t="str">
        <f>IF(C2119&amp;G2119&amp;D2119&lt;&gt;'Funnel setup'!$K$3&amp;'Funnel setup'!$K$4&amp;'Funnel setup'!$K$6,".",IF(A2118=".",1,A2118+1))</f>
        <v>.</v>
      </c>
      <c r="B2119" s="244" t="str">
        <f t="shared" si="33"/>
        <v>Knee Replacement PrimaryProviderRIDGEWAY HOSPITAL (NT430)EQ VAS</v>
      </c>
      <c r="C2119" t="s">
        <v>969</v>
      </c>
      <c r="D2119" t="s">
        <v>965</v>
      </c>
      <c r="E2119" t="s">
        <v>472</v>
      </c>
      <c r="F2119" t="s">
        <v>473</v>
      </c>
      <c r="G2119" t="s">
        <v>752</v>
      </c>
      <c r="H2119">
        <v>1</v>
      </c>
      <c r="I2119">
        <v>78</v>
      </c>
      <c r="J2119">
        <v>83</v>
      </c>
      <c r="K2119">
        <v>5</v>
      </c>
      <c r="L2119">
        <v>1</v>
      </c>
      <c r="M2119">
        <v>0</v>
      </c>
      <c r="N2119">
        <v>0</v>
      </c>
      <c r="O2119" t="s">
        <v>127</v>
      </c>
      <c r="P2119" t="s">
        <v>127</v>
      </c>
      <c r="Q2119" t="s">
        <v>127</v>
      </c>
    </row>
    <row r="2120" spans="1:17" x14ac:dyDescent="0.25">
      <c r="A2120" t="str">
        <f>IF(C2120&amp;G2120&amp;D2120&lt;&gt;'Funnel setup'!$K$3&amp;'Funnel setup'!$K$4&amp;'Funnel setup'!$K$6,".",IF(A2119=".",1,A2119+1))</f>
        <v>.</v>
      </c>
      <c r="B2120" s="244" t="str">
        <f t="shared" si="33"/>
        <v>Knee Replacement PrimaryProviderRIVERS HOSPITAL (NVC19)EQ VAS</v>
      </c>
      <c r="C2120" t="s">
        <v>969</v>
      </c>
      <c r="D2120" t="s">
        <v>965</v>
      </c>
      <c r="E2120" t="s">
        <v>474</v>
      </c>
      <c r="F2120" t="s">
        <v>475</v>
      </c>
      <c r="G2120" t="s">
        <v>752</v>
      </c>
      <c r="H2120">
        <v>37</v>
      </c>
      <c r="I2120">
        <v>71.243200000000002</v>
      </c>
      <c r="J2120">
        <v>78.081100000000006</v>
      </c>
      <c r="K2120">
        <v>6.8378399999999999</v>
      </c>
      <c r="L2120">
        <v>22</v>
      </c>
      <c r="M2120">
        <v>3</v>
      </c>
      <c r="N2120">
        <v>12</v>
      </c>
      <c r="O2120">
        <v>74.120900000000006</v>
      </c>
      <c r="P2120">
        <v>8.5925100000000008</v>
      </c>
      <c r="Q2120">
        <v>16.601900000000001</v>
      </c>
    </row>
    <row r="2121" spans="1:17" x14ac:dyDescent="0.25">
      <c r="A2121" t="str">
        <f>IF(C2121&amp;G2121&amp;D2121&lt;&gt;'Funnel setup'!$K$3&amp;'Funnel setup'!$K$4&amp;'Funnel setup'!$K$6,".",IF(A2120=".",1,A2120+1))</f>
        <v>.</v>
      </c>
      <c r="B2121" s="244" t="str">
        <f t="shared" si="33"/>
        <v>Knee Replacement PrimaryProviderROWLEY HALL HOSPITAL (NVC17)EQ VAS</v>
      </c>
      <c r="C2121" t="s">
        <v>969</v>
      </c>
      <c r="D2121" t="s">
        <v>965</v>
      </c>
      <c r="E2121" t="s">
        <v>476</v>
      </c>
      <c r="F2121" t="s">
        <v>477</v>
      </c>
      <c r="G2121" t="s">
        <v>752</v>
      </c>
      <c r="H2121">
        <v>38</v>
      </c>
      <c r="I2121">
        <v>61.3947</v>
      </c>
      <c r="J2121">
        <v>78.052599999999998</v>
      </c>
      <c r="K2121">
        <v>16.657900000000001</v>
      </c>
      <c r="L2121">
        <v>26</v>
      </c>
      <c r="M2121">
        <v>5</v>
      </c>
      <c r="N2121">
        <v>7</v>
      </c>
      <c r="O2121">
        <v>78.684299999999993</v>
      </c>
      <c r="P2121">
        <v>13.155900000000001</v>
      </c>
      <c r="Q2121">
        <v>17.004100000000001</v>
      </c>
    </row>
    <row r="2122" spans="1:17" x14ac:dyDescent="0.25">
      <c r="A2122" t="str">
        <f>IF(C2122&amp;G2122&amp;D2122&lt;&gt;'Funnel setup'!$K$3&amp;'Funnel setup'!$K$4&amp;'Funnel setup'!$K$6,".",IF(A2121=".",1,A2121+1))</f>
        <v>.</v>
      </c>
      <c r="B2122" s="244" t="str">
        <f t="shared" si="33"/>
        <v>Knee Replacement PrimaryProviderROYAL BERKSHIRE NHS FOUNDATION TRUST (RHW)EQ VAS</v>
      </c>
      <c r="C2122" t="s">
        <v>969</v>
      </c>
      <c r="D2122" t="s">
        <v>965</v>
      </c>
      <c r="E2122" t="s">
        <v>478</v>
      </c>
      <c r="F2122" t="s">
        <v>479</v>
      </c>
      <c r="G2122" t="s">
        <v>752</v>
      </c>
      <c r="H2122">
        <v>7</v>
      </c>
      <c r="I2122">
        <v>63.857100000000003</v>
      </c>
      <c r="J2122">
        <v>68.857100000000003</v>
      </c>
      <c r="K2122">
        <v>5</v>
      </c>
      <c r="L2122">
        <v>5</v>
      </c>
      <c r="M2122">
        <v>0</v>
      </c>
      <c r="N2122">
        <v>2</v>
      </c>
      <c r="O2122" t="s">
        <v>127</v>
      </c>
      <c r="P2122" t="s">
        <v>127</v>
      </c>
      <c r="Q2122" t="s">
        <v>127</v>
      </c>
    </row>
    <row r="2123" spans="1:17" x14ac:dyDescent="0.25">
      <c r="A2123" t="str">
        <f>IF(C2123&amp;G2123&amp;D2123&lt;&gt;'Funnel setup'!$K$3&amp;'Funnel setup'!$K$4&amp;'Funnel setup'!$K$6,".",IF(A2122=".",1,A2122+1))</f>
        <v>.</v>
      </c>
      <c r="B2123" s="244" t="str">
        <f t="shared" si="33"/>
        <v>Knee Replacement PrimaryProviderROYAL CORNWALL HOSPITALS NHS TRUST (REF)EQ VAS</v>
      </c>
      <c r="C2123" t="s">
        <v>969</v>
      </c>
      <c r="D2123" t="s">
        <v>965</v>
      </c>
      <c r="E2123" t="s">
        <v>480</v>
      </c>
      <c r="F2123" t="s">
        <v>481</v>
      </c>
      <c r="G2123" t="s">
        <v>752</v>
      </c>
      <c r="H2123">
        <v>32</v>
      </c>
      <c r="I2123">
        <v>67.218800000000002</v>
      </c>
      <c r="J2123">
        <v>75.8125</v>
      </c>
      <c r="K2123">
        <v>8.59375</v>
      </c>
      <c r="L2123">
        <v>20</v>
      </c>
      <c r="M2123">
        <v>3</v>
      </c>
      <c r="N2123">
        <v>9</v>
      </c>
      <c r="O2123">
        <v>74.899799999999999</v>
      </c>
      <c r="P2123">
        <v>9.3713499999999996</v>
      </c>
      <c r="Q2123">
        <v>17.800899999999999</v>
      </c>
    </row>
    <row r="2124" spans="1:17" x14ac:dyDescent="0.25">
      <c r="A2124" t="str">
        <f>IF(C2124&amp;G2124&amp;D2124&lt;&gt;'Funnel setup'!$K$3&amp;'Funnel setup'!$K$4&amp;'Funnel setup'!$K$6,".",IF(A2123=".",1,A2123+1))</f>
        <v>.</v>
      </c>
      <c r="B2124" s="244" t="str">
        <f t="shared" si="33"/>
        <v>Knee Replacement PrimaryProviderROYAL DEVON UNIVERSITY HEALTHCARE NHS FOUNDATION TRUST (RH8)EQ VAS</v>
      </c>
      <c r="C2124" t="s">
        <v>969</v>
      </c>
      <c r="D2124" t="s">
        <v>965</v>
      </c>
      <c r="E2124" t="s">
        <v>482</v>
      </c>
      <c r="F2124" t="s">
        <v>483</v>
      </c>
      <c r="G2124" t="s">
        <v>752</v>
      </c>
      <c r="H2124">
        <v>26</v>
      </c>
      <c r="I2124">
        <v>61.923099999999998</v>
      </c>
      <c r="J2124">
        <v>76.153800000000004</v>
      </c>
      <c r="K2124">
        <v>14.2308</v>
      </c>
      <c r="L2124">
        <v>19</v>
      </c>
      <c r="M2124">
        <v>2</v>
      </c>
      <c r="N2124">
        <v>5</v>
      </c>
      <c r="O2124" t="s">
        <v>127</v>
      </c>
      <c r="P2124" t="s">
        <v>127</v>
      </c>
      <c r="Q2124" t="s">
        <v>127</v>
      </c>
    </row>
    <row r="2125" spans="1:17" x14ac:dyDescent="0.25">
      <c r="A2125" t="str">
        <f>IF(C2125&amp;G2125&amp;D2125&lt;&gt;'Funnel setup'!$K$3&amp;'Funnel setup'!$K$4&amp;'Funnel setup'!$K$6,".",IF(A2124=".",1,A2124+1))</f>
        <v>.</v>
      </c>
      <c r="B2125" s="244" t="str">
        <f t="shared" si="33"/>
        <v>Knee Replacement PrimaryProviderROYAL NATIONAL ORTHOPAEDIC HOSPITAL NHS TRUST (RAN)EQ VAS</v>
      </c>
      <c r="C2125" t="s">
        <v>969</v>
      </c>
      <c r="D2125" t="s">
        <v>965</v>
      </c>
      <c r="E2125" t="s">
        <v>486</v>
      </c>
      <c r="F2125" t="s">
        <v>487</v>
      </c>
      <c r="G2125" t="s">
        <v>752</v>
      </c>
      <c r="H2125">
        <v>75</v>
      </c>
      <c r="I2125">
        <v>63.786700000000003</v>
      </c>
      <c r="J2125">
        <v>69.16</v>
      </c>
      <c r="K2125">
        <v>5.3733300000000002</v>
      </c>
      <c r="L2125">
        <v>45</v>
      </c>
      <c r="M2125">
        <v>8</v>
      </c>
      <c r="N2125">
        <v>22</v>
      </c>
      <c r="O2125">
        <v>73.759900000000002</v>
      </c>
      <c r="P2125">
        <v>8.2315400000000007</v>
      </c>
      <c r="Q2125">
        <v>18.616499999999998</v>
      </c>
    </row>
    <row r="2126" spans="1:17" x14ac:dyDescent="0.25">
      <c r="A2126" t="str">
        <f>IF(C2126&amp;G2126&amp;D2126&lt;&gt;'Funnel setup'!$K$3&amp;'Funnel setup'!$K$4&amp;'Funnel setup'!$K$6,".",IF(A2125=".",1,A2125+1))</f>
        <v>.</v>
      </c>
      <c r="B2126" s="244" t="str">
        <f t="shared" si="33"/>
        <v>Knee Replacement PrimaryProviderROYAL SURREY COUNTY HOSPITAL NHS FOUNDATION TRUST (RA2)EQ VAS</v>
      </c>
      <c r="C2126" t="s">
        <v>969</v>
      </c>
      <c r="D2126" t="s">
        <v>965</v>
      </c>
      <c r="E2126" t="s">
        <v>488</v>
      </c>
      <c r="F2126" t="s">
        <v>489</v>
      </c>
      <c r="G2126" t="s">
        <v>752</v>
      </c>
      <c r="H2126">
        <v>48</v>
      </c>
      <c r="I2126">
        <v>62.1875</v>
      </c>
      <c r="J2126">
        <v>67.604200000000006</v>
      </c>
      <c r="K2126">
        <v>5.4166699999999999</v>
      </c>
      <c r="L2126">
        <v>25</v>
      </c>
      <c r="M2126">
        <v>8</v>
      </c>
      <c r="N2126">
        <v>15</v>
      </c>
      <c r="O2126">
        <v>67.778800000000004</v>
      </c>
      <c r="P2126">
        <v>2.2503700000000002</v>
      </c>
      <c r="Q2126">
        <v>18.217099999999999</v>
      </c>
    </row>
    <row r="2127" spans="1:17" x14ac:dyDescent="0.25">
      <c r="A2127" t="str">
        <f>IF(C2127&amp;G2127&amp;D2127&lt;&gt;'Funnel setup'!$K$3&amp;'Funnel setup'!$K$4&amp;'Funnel setup'!$K$6,".",IF(A2126=".",1,A2126+1))</f>
        <v>.</v>
      </c>
      <c r="B2127" s="244" t="str">
        <f t="shared" si="33"/>
        <v>Knee Replacement PrimaryProviderROYAL UNITED HOSPITALS BATH NHS FOUNDATION TRUST (RD1)EQ VAS</v>
      </c>
      <c r="C2127" t="s">
        <v>969</v>
      </c>
      <c r="D2127" t="s">
        <v>965</v>
      </c>
      <c r="E2127" t="s">
        <v>490</v>
      </c>
      <c r="F2127" t="s">
        <v>491</v>
      </c>
      <c r="G2127" t="s">
        <v>752</v>
      </c>
      <c r="H2127">
        <v>12</v>
      </c>
      <c r="I2127">
        <v>57.916699999999999</v>
      </c>
      <c r="J2127">
        <v>67.75</v>
      </c>
      <c r="K2127">
        <v>9.8333300000000001</v>
      </c>
      <c r="L2127">
        <v>8</v>
      </c>
      <c r="M2127">
        <v>2</v>
      </c>
      <c r="N2127">
        <v>2</v>
      </c>
      <c r="O2127" t="s">
        <v>127</v>
      </c>
      <c r="P2127" t="s">
        <v>127</v>
      </c>
      <c r="Q2127" t="s">
        <v>127</v>
      </c>
    </row>
    <row r="2128" spans="1:17" x14ac:dyDescent="0.25">
      <c r="A2128" t="str">
        <f>IF(C2128&amp;G2128&amp;D2128&lt;&gt;'Funnel setup'!$K$3&amp;'Funnel setup'!$K$4&amp;'Funnel setup'!$K$6,".",IF(A2127=".",1,A2127+1))</f>
        <v>.</v>
      </c>
      <c r="B2128" s="244" t="str">
        <f t="shared" si="33"/>
        <v>Knee Replacement PrimaryProviderRUNNYMEDE HOSPITAL (NT431)EQ VAS</v>
      </c>
      <c r="C2128" t="s">
        <v>969</v>
      </c>
      <c r="D2128" t="s">
        <v>965</v>
      </c>
      <c r="E2128" t="s">
        <v>492</v>
      </c>
      <c r="F2128" t="s">
        <v>493</v>
      </c>
      <c r="G2128" t="s">
        <v>752</v>
      </c>
      <c r="H2128">
        <v>6</v>
      </c>
      <c r="I2128">
        <v>69.166700000000006</v>
      </c>
      <c r="J2128">
        <v>82.166700000000006</v>
      </c>
      <c r="K2128">
        <v>13</v>
      </c>
      <c r="L2128">
        <v>4</v>
      </c>
      <c r="M2128">
        <v>1</v>
      </c>
      <c r="N2128">
        <v>1</v>
      </c>
      <c r="O2128" t="s">
        <v>127</v>
      </c>
      <c r="P2128" t="s">
        <v>127</v>
      </c>
      <c r="Q2128" t="s">
        <v>127</v>
      </c>
    </row>
    <row r="2129" spans="1:17" x14ac:dyDescent="0.25">
      <c r="A2129" t="str">
        <f>IF(C2129&amp;G2129&amp;D2129&lt;&gt;'Funnel setup'!$K$3&amp;'Funnel setup'!$K$4&amp;'Funnel setup'!$K$6,".",IF(A2128=".",1,A2128+1))</f>
        <v>.</v>
      </c>
      <c r="B2129" s="244" t="str">
        <f t="shared" si="33"/>
        <v>Knee Replacement PrimaryProviderSALISBURY NHS FOUNDATION TRUST (RNZ)EQ VAS</v>
      </c>
      <c r="C2129" t="s">
        <v>969</v>
      </c>
      <c r="D2129" t="s">
        <v>965</v>
      </c>
      <c r="E2129" t="s">
        <v>494</v>
      </c>
      <c r="F2129" t="s">
        <v>495</v>
      </c>
      <c r="G2129" t="s">
        <v>752</v>
      </c>
      <c r="H2129">
        <v>1</v>
      </c>
      <c r="I2129">
        <v>80</v>
      </c>
      <c r="J2129">
        <v>100</v>
      </c>
      <c r="K2129">
        <v>20</v>
      </c>
      <c r="L2129">
        <v>1</v>
      </c>
      <c r="M2129">
        <v>0</v>
      </c>
      <c r="N2129">
        <v>0</v>
      </c>
      <c r="O2129" t="s">
        <v>127</v>
      </c>
      <c r="P2129" t="s">
        <v>127</v>
      </c>
      <c r="Q2129" t="s">
        <v>127</v>
      </c>
    </row>
    <row r="2130" spans="1:17" x14ac:dyDescent="0.25">
      <c r="A2130" t="str">
        <f>IF(C2130&amp;G2130&amp;D2130&lt;&gt;'Funnel setup'!$K$3&amp;'Funnel setup'!$K$4&amp;'Funnel setup'!$K$6,".",IF(A2129=".",1,A2129+1))</f>
        <v>.</v>
      </c>
      <c r="B2130" s="244" t="str">
        <f t="shared" si="33"/>
        <v>Knee Replacement PrimaryProviderSANDWELL AND WEST BIRMINGHAM HOSPITALS NHS TRUST (RXK)EQ VAS</v>
      </c>
      <c r="C2130" t="s">
        <v>969</v>
      </c>
      <c r="D2130" t="s">
        <v>965</v>
      </c>
      <c r="E2130" t="s">
        <v>496</v>
      </c>
      <c r="F2130" t="s">
        <v>497</v>
      </c>
      <c r="G2130" t="s">
        <v>752</v>
      </c>
      <c r="H2130">
        <v>66</v>
      </c>
      <c r="I2130">
        <v>65.166700000000006</v>
      </c>
      <c r="J2130">
        <v>70.757599999999996</v>
      </c>
      <c r="K2130">
        <v>5.59091</v>
      </c>
      <c r="L2130">
        <v>35</v>
      </c>
      <c r="M2130">
        <v>7</v>
      </c>
      <c r="N2130">
        <v>24</v>
      </c>
      <c r="O2130">
        <v>73.572000000000003</v>
      </c>
      <c r="P2130">
        <v>8.0435599999999994</v>
      </c>
      <c r="Q2130">
        <v>18.8413</v>
      </c>
    </row>
    <row r="2131" spans="1:17" x14ac:dyDescent="0.25">
      <c r="A2131" t="str">
        <f>IF(C2131&amp;G2131&amp;D2131&lt;&gt;'Funnel setup'!$K$3&amp;'Funnel setup'!$K$4&amp;'Funnel setup'!$K$6,".",IF(A2130=".",1,A2130+1))</f>
        <v>.</v>
      </c>
      <c r="B2131" s="244" t="str">
        <f t="shared" si="33"/>
        <v>Knee Replacement PrimaryProviderSARUM ROAD HOSPITAL (NT433)EQ VAS</v>
      </c>
      <c r="C2131" t="s">
        <v>969</v>
      </c>
      <c r="D2131" t="s">
        <v>965</v>
      </c>
      <c r="E2131" t="s">
        <v>498</v>
      </c>
      <c r="F2131" t="s">
        <v>499</v>
      </c>
      <c r="G2131" t="s">
        <v>752</v>
      </c>
      <c r="H2131">
        <v>26</v>
      </c>
      <c r="I2131">
        <v>69.846199999999996</v>
      </c>
      <c r="J2131">
        <v>79.461500000000001</v>
      </c>
      <c r="K2131">
        <v>9.61538</v>
      </c>
      <c r="L2131">
        <v>13</v>
      </c>
      <c r="M2131">
        <v>2</v>
      </c>
      <c r="N2131">
        <v>11</v>
      </c>
      <c r="O2131" t="s">
        <v>127</v>
      </c>
      <c r="P2131" t="s">
        <v>127</v>
      </c>
      <c r="Q2131" t="s">
        <v>127</v>
      </c>
    </row>
    <row r="2132" spans="1:17" x14ac:dyDescent="0.25">
      <c r="A2132" t="str">
        <f>IF(C2132&amp;G2132&amp;D2132&lt;&gt;'Funnel setup'!$K$3&amp;'Funnel setup'!$K$4&amp;'Funnel setup'!$K$6,".",IF(A2131=".",1,A2131+1))</f>
        <v>.</v>
      </c>
      <c r="B2132" s="244" t="str">
        <f t="shared" si="33"/>
        <v>Knee Replacement PrimaryProviderSAXON CLINIC (NT434)EQ VAS</v>
      </c>
      <c r="C2132" t="s">
        <v>969</v>
      </c>
      <c r="D2132" t="s">
        <v>965</v>
      </c>
      <c r="E2132" t="s">
        <v>500</v>
      </c>
      <c r="F2132" t="s">
        <v>501</v>
      </c>
      <c r="G2132" t="s">
        <v>752</v>
      </c>
      <c r="H2132">
        <v>12</v>
      </c>
      <c r="I2132">
        <v>63.666699999999999</v>
      </c>
      <c r="J2132">
        <v>72.5</v>
      </c>
      <c r="K2132">
        <v>8.8333300000000001</v>
      </c>
      <c r="L2132">
        <v>7</v>
      </c>
      <c r="M2132">
        <v>1</v>
      </c>
      <c r="N2132">
        <v>4</v>
      </c>
      <c r="O2132" t="s">
        <v>127</v>
      </c>
      <c r="P2132" t="s">
        <v>127</v>
      </c>
      <c r="Q2132" t="s">
        <v>127</v>
      </c>
    </row>
    <row r="2133" spans="1:17" x14ac:dyDescent="0.25">
      <c r="A2133" t="str">
        <f>IF(C2133&amp;G2133&amp;D2133&lt;&gt;'Funnel setup'!$K$3&amp;'Funnel setup'!$K$4&amp;'Funnel setup'!$K$6,".",IF(A2132=".",1,A2132+1))</f>
        <v>.</v>
      </c>
      <c r="B2133" s="244" t="str">
        <f t="shared" si="33"/>
        <v>Knee Replacement PrimaryProviderSHEFFIELD TEACHING HOSPITALS NHS FOUNDATION TRUST (RHQ)EQ VAS</v>
      </c>
      <c r="C2133" t="s">
        <v>969</v>
      </c>
      <c r="D2133" t="s">
        <v>965</v>
      </c>
      <c r="E2133" t="s">
        <v>506</v>
      </c>
      <c r="F2133" t="s">
        <v>507</v>
      </c>
      <c r="G2133" t="s">
        <v>752</v>
      </c>
      <c r="H2133">
        <v>33</v>
      </c>
      <c r="I2133">
        <v>62.697000000000003</v>
      </c>
      <c r="J2133">
        <v>72.121200000000002</v>
      </c>
      <c r="K2133">
        <v>9.4242399999999993</v>
      </c>
      <c r="L2133">
        <v>21</v>
      </c>
      <c r="M2133">
        <v>4</v>
      </c>
      <c r="N2133">
        <v>8</v>
      </c>
      <c r="O2133">
        <v>71.402299999999997</v>
      </c>
      <c r="P2133">
        <v>5.8738900000000003</v>
      </c>
      <c r="Q2133">
        <v>19.482399999999998</v>
      </c>
    </row>
    <row r="2134" spans="1:17" x14ac:dyDescent="0.25">
      <c r="A2134" t="str">
        <f>IF(C2134&amp;G2134&amp;D2134&lt;&gt;'Funnel setup'!$K$3&amp;'Funnel setup'!$K$4&amp;'Funnel setup'!$K$6,".",IF(A2133=".",1,A2133+1))</f>
        <v>.</v>
      </c>
      <c r="B2134" s="244" t="str">
        <f t="shared" si="33"/>
        <v>Knee Replacement PrimaryProviderSHERWOOD FOREST HOSPITALS NHS FOUNDATION TRUST (RK5)EQ VAS</v>
      </c>
      <c r="C2134" t="s">
        <v>969</v>
      </c>
      <c r="D2134" t="s">
        <v>965</v>
      </c>
      <c r="E2134" t="s">
        <v>508</v>
      </c>
      <c r="F2134" t="s">
        <v>509</v>
      </c>
      <c r="G2134" t="s">
        <v>752</v>
      </c>
      <c r="H2134">
        <v>59</v>
      </c>
      <c r="I2134">
        <v>65.508499999999998</v>
      </c>
      <c r="J2134">
        <v>73.033900000000003</v>
      </c>
      <c r="K2134">
        <v>7.5254200000000004</v>
      </c>
      <c r="L2134">
        <v>37</v>
      </c>
      <c r="M2134">
        <v>6</v>
      </c>
      <c r="N2134">
        <v>16</v>
      </c>
      <c r="O2134">
        <v>73.537400000000005</v>
      </c>
      <c r="P2134">
        <v>8.0089699999999997</v>
      </c>
      <c r="Q2134">
        <v>17.1493</v>
      </c>
    </row>
    <row r="2135" spans="1:17" x14ac:dyDescent="0.25">
      <c r="A2135" t="str">
        <f>IF(C2135&amp;G2135&amp;D2135&lt;&gt;'Funnel setup'!$K$3&amp;'Funnel setup'!$K$4&amp;'Funnel setup'!$K$6,".",IF(A2134=".",1,A2134+1))</f>
        <v>.</v>
      </c>
      <c r="B2135" s="244" t="str">
        <f t="shared" si="33"/>
        <v>Knee Replacement PrimaryProviderSHIRLEY OAKS HOSPITAL (NT436)EQ VAS</v>
      </c>
      <c r="C2135" t="s">
        <v>969</v>
      </c>
      <c r="D2135" t="s">
        <v>965</v>
      </c>
      <c r="E2135" t="s">
        <v>510</v>
      </c>
      <c r="F2135" t="s">
        <v>511</v>
      </c>
      <c r="G2135" t="s">
        <v>752</v>
      </c>
      <c r="H2135">
        <v>3</v>
      </c>
      <c r="I2135">
        <v>80</v>
      </c>
      <c r="J2135">
        <v>73</v>
      </c>
      <c r="K2135">
        <v>-7</v>
      </c>
      <c r="L2135">
        <v>1</v>
      </c>
      <c r="M2135">
        <v>0</v>
      </c>
      <c r="N2135">
        <v>2</v>
      </c>
      <c r="O2135" t="s">
        <v>127</v>
      </c>
      <c r="P2135" t="s">
        <v>127</v>
      </c>
      <c r="Q2135" t="s">
        <v>127</v>
      </c>
    </row>
    <row r="2136" spans="1:17" x14ac:dyDescent="0.25">
      <c r="A2136" t="str">
        <f>IF(C2136&amp;G2136&amp;D2136&lt;&gt;'Funnel setup'!$K$3&amp;'Funnel setup'!$K$4&amp;'Funnel setup'!$K$6,".",IF(A2135=".",1,A2135+1))</f>
        <v>.</v>
      </c>
      <c r="B2136" s="244" t="str">
        <f t="shared" si="33"/>
        <v>Knee Replacement PrimaryProviderSOUTH TEES HOSPITALS NHS FOUNDATION TRUST (RTR)EQ VAS</v>
      </c>
      <c r="C2136" t="s">
        <v>969</v>
      </c>
      <c r="D2136" t="s">
        <v>965</v>
      </c>
      <c r="E2136" t="s">
        <v>516</v>
      </c>
      <c r="F2136" t="s">
        <v>517</v>
      </c>
      <c r="G2136" t="s">
        <v>752</v>
      </c>
      <c r="H2136">
        <v>112</v>
      </c>
      <c r="I2136">
        <v>60.125</v>
      </c>
      <c r="J2136">
        <v>71.901799999999994</v>
      </c>
      <c r="K2136">
        <v>11.7768</v>
      </c>
      <c r="L2136">
        <v>78</v>
      </c>
      <c r="M2136">
        <v>6</v>
      </c>
      <c r="N2136">
        <v>28</v>
      </c>
      <c r="O2136">
        <v>76.257400000000004</v>
      </c>
      <c r="P2136">
        <v>10.728999999999999</v>
      </c>
      <c r="Q2136">
        <v>19.130600000000001</v>
      </c>
    </row>
    <row r="2137" spans="1:17" x14ac:dyDescent="0.25">
      <c r="A2137" t="str">
        <f>IF(C2137&amp;G2137&amp;D2137&lt;&gt;'Funnel setup'!$K$3&amp;'Funnel setup'!$K$4&amp;'Funnel setup'!$K$6,".",IF(A2136=".",1,A2136+1))</f>
        <v>.</v>
      </c>
      <c r="B2137" s="244" t="str">
        <f t="shared" si="33"/>
        <v>Knee Replacement PrimaryProviderSOUTH TYNESIDE AND SUNDERLAND NHS FOUNDATION TRUST (R0B)EQ VAS</v>
      </c>
      <c r="C2137" t="s">
        <v>969</v>
      </c>
      <c r="D2137" t="s">
        <v>965</v>
      </c>
      <c r="E2137" t="s">
        <v>518</v>
      </c>
      <c r="F2137" t="s">
        <v>519</v>
      </c>
      <c r="G2137" t="s">
        <v>752</v>
      </c>
      <c r="H2137">
        <v>7</v>
      </c>
      <c r="I2137">
        <v>67.285700000000006</v>
      </c>
      <c r="J2137">
        <v>69.714299999999994</v>
      </c>
      <c r="K2137">
        <v>2.4285700000000001</v>
      </c>
      <c r="L2137">
        <v>5</v>
      </c>
      <c r="M2137">
        <v>0</v>
      </c>
      <c r="N2137">
        <v>2</v>
      </c>
      <c r="O2137" t="s">
        <v>127</v>
      </c>
      <c r="P2137" t="s">
        <v>127</v>
      </c>
      <c r="Q2137" t="s">
        <v>127</v>
      </c>
    </row>
    <row r="2138" spans="1:17" x14ac:dyDescent="0.25">
      <c r="A2138" t="str">
        <f>IF(C2138&amp;G2138&amp;D2138&lt;&gt;'Funnel setup'!$K$3&amp;'Funnel setup'!$K$4&amp;'Funnel setup'!$K$6,".",IF(A2137=".",1,A2137+1))</f>
        <v>.</v>
      </c>
      <c r="B2138" s="244" t="str">
        <f t="shared" si="33"/>
        <v>Knee Replacement PrimaryProviderSOUTH WARWICKSHIRE UNIVERSITY NHS FOUNDATION TRUST (RJC)EQ VAS</v>
      </c>
      <c r="C2138" t="s">
        <v>969</v>
      </c>
      <c r="D2138" t="s">
        <v>965</v>
      </c>
      <c r="E2138" t="s">
        <v>520</v>
      </c>
      <c r="F2138" t="s">
        <v>521</v>
      </c>
      <c r="G2138" t="s">
        <v>752</v>
      </c>
      <c r="H2138">
        <v>132</v>
      </c>
      <c r="I2138">
        <v>68.621200000000002</v>
      </c>
      <c r="J2138">
        <v>75.0227</v>
      </c>
      <c r="K2138">
        <v>6.4015199999999997</v>
      </c>
      <c r="L2138">
        <v>80</v>
      </c>
      <c r="M2138">
        <v>26</v>
      </c>
      <c r="N2138">
        <v>26</v>
      </c>
      <c r="O2138">
        <v>73.274299999999997</v>
      </c>
      <c r="P2138">
        <v>7.7459300000000004</v>
      </c>
      <c r="Q2138">
        <v>17.0396</v>
      </c>
    </row>
    <row r="2139" spans="1:17" x14ac:dyDescent="0.25">
      <c r="A2139" t="str">
        <f>IF(C2139&amp;G2139&amp;D2139&lt;&gt;'Funnel setup'!$K$3&amp;'Funnel setup'!$K$4&amp;'Funnel setup'!$K$6,".",IF(A2138=".",1,A2138+1))</f>
        <v>.</v>
      </c>
      <c r="B2139" s="244" t="str">
        <f t="shared" si="33"/>
        <v>Knee Replacement PrimaryProviderSOUTHPORT AND ORMSKIRK HOSPITAL NHS TRUST (RVY)EQ VAS</v>
      </c>
      <c r="C2139" t="s">
        <v>969</v>
      </c>
      <c r="D2139" t="s">
        <v>965</v>
      </c>
      <c r="E2139" t="s">
        <v>522</v>
      </c>
      <c r="F2139" t="s">
        <v>523</v>
      </c>
      <c r="G2139" t="s">
        <v>752</v>
      </c>
      <c r="H2139">
        <v>9</v>
      </c>
      <c r="I2139">
        <v>64.444400000000002</v>
      </c>
      <c r="J2139">
        <v>74.555599999999998</v>
      </c>
      <c r="K2139">
        <v>10.1111</v>
      </c>
      <c r="L2139">
        <v>5</v>
      </c>
      <c r="M2139">
        <v>3</v>
      </c>
      <c r="N2139">
        <v>1</v>
      </c>
      <c r="O2139" t="s">
        <v>127</v>
      </c>
      <c r="P2139" t="s">
        <v>127</v>
      </c>
      <c r="Q2139" t="s">
        <v>127</v>
      </c>
    </row>
    <row r="2140" spans="1:17" x14ac:dyDescent="0.25">
      <c r="A2140" t="str">
        <f>IF(C2140&amp;G2140&amp;D2140&lt;&gt;'Funnel setup'!$K$3&amp;'Funnel setup'!$K$4&amp;'Funnel setup'!$K$6,".",IF(A2139=".",1,A2139+1))</f>
        <v>.</v>
      </c>
      <c r="B2140" s="244" t="str">
        <f t="shared" si="33"/>
        <v>Knee Replacement PrimaryProviderSPENCER PRIVATE HOSPITALS - MARGATE (NN801)EQ VAS</v>
      </c>
      <c r="C2140" t="s">
        <v>969</v>
      </c>
      <c r="D2140" t="s">
        <v>965</v>
      </c>
      <c r="E2140" t="s">
        <v>526</v>
      </c>
      <c r="F2140" t="s">
        <v>527</v>
      </c>
      <c r="G2140" t="s">
        <v>752</v>
      </c>
      <c r="H2140">
        <v>17</v>
      </c>
      <c r="I2140">
        <v>58.823500000000003</v>
      </c>
      <c r="J2140">
        <v>75.882400000000004</v>
      </c>
      <c r="K2140">
        <v>17.058800000000002</v>
      </c>
      <c r="L2140">
        <v>13</v>
      </c>
      <c r="M2140">
        <v>1</v>
      </c>
      <c r="N2140">
        <v>3</v>
      </c>
      <c r="O2140" t="s">
        <v>127</v>
      </c>
      <c r="P2140" t="s">
        <v>127</v>
      </c>
      <c r="Q2140" t="s">
        <v>127</v>
      </c>
    </row>
    <row r="2141" spans="1:17" x14ac:dyDescent="0.25">
      <c r="A2141" t="str">
        <f>IF(C2141&amp;G2141&amp;D2141&lt;&gt;'Funnel setup'!$K$3&amp;'Funnel setup'!$K$4&amp;'Funnel setup'!$K$6,".",IF(A2140=".",1,A2140+1))</f>
        <v>.</v>
      </c>
      <c r="B2141" s="244" t="str">
        <f t="shared" si="33"/>
        <v>Knee Replacement PrimaryProviderSPIRE ALEXANDRA HOSPITAL (NT312)EQ VAS</v>
      </c>
      <c r="C2141" t="s">
        <v>969</v>
      </c>
      <c r="D2141" t="s">
        <v>965</v>
      </c>
      <c r="E2141" t="s">
        <v>528</v>
      </c>
      <c r="F2141" t="s">
        <v>529</v>
      </c>
      <c r="G2141" t="s">
        <v>752</v>
      </c>
      <c r="H2141">
        <v>26</v>
      </c>
      <c r="I2141">
        <v>71.538499999999999</v>
      </c>
      <c r="J2141">
        <v>75.615399999999994</v>
      </c>
      <c r="K2141">
        <v>4.0769200000000003</v>
      </c>
      <c r="L2141">
        <v>12</v>
      </c>
      <c r="M2141">
        <v>0</v>
      </c>
      <c r="N2141">
        <v>14</v>
      </c>
      <c r="O2141" t="s">
        <v>127</v>
      </c>
      <c r="P2141" t="s">
        <v>127</v>
      </c>
      <c r="Q2141" t="s">
        <v>127</v>
      </c>
    </row>
    <row r="2142" spans="1:17" x14ac:dyDescent="0.25">
      <c r="A2142" t="str">
        <f>IF(C2142&amp;G2142&amp;D2142&lt;&gt;'Funnel setup'!$K$3&amp;'Funnel setup'!$K$4&amp;'Funnel setup'!$K$6,".",IF(A2141=".",1,A2141+1))</f>
        <v>.</v>
      </c>
      <c r="B2142" s="244" t="str">
        <f t="shared" si="33"/>
        <v>Knee Replacement PrimaryProviderSPIRE BRISTOL HOSPITAL (NT302)EQ VAS</v>
      </c>
      <c r="C2142" t="s">
        <v>969</v>
      </c>
      <c r="D2142" t="s">
        <v>965</v>
      </c>
      <c r="E2142" t="s">
        <v>530</v>
      </c>
      <c r="F2142" t="s">
        <v>531</v>
      </c>
      <c r="G2142" t="s">
        <v>752</v>
      </c>
      <c r="H2142">
        <v>59</v>
      </c>
      <c r="I2142">
        <v>71.474599999999995</v>
      </c>
      <c r="J2142">
        <v>75.898300000000006</v>
      </c>
      <c r="K2142">
        <v>4.4237299999999999</v>
      </c>
      <c r="L2142">
        <v>34</v>
      </c>
      <c r="M2142">
        <v>4</v>
      </c>
      <c r="N2142">
        <v>21</v>
      </c>
      <c r="O2142">
        <v>73.496600000000001</v>
      </c>
      <c r="P2142">
        <v>7.9681600000000001</v>
      </c>
      <c r="Q2142">
        <v>14.3988</v>
      </c>
    </row>
    <row r="2143" spans="1:17" x14ac:dyDescent="0.25">
      <c r="A2143" t="str">
        <f>IF(C2143&amp;G2143&amp;D2143&lt;&gt;'Funnel setup'!$K$3&amp;'Funnel setup'!$K$4&amp;'Funnel setup'!$K$6,".",IF(A2142=".",1,A2142+1))</f>
        <v>.</v>
      </c>
      <c r="B2143" s="244" t="str">
        <f t="shared" si="33"/>
        <v>Knee Replacement PrimaryProviderSPIRE BUSHEY HOSPITAL (NT315)EQ VAS</v>
      </c>
      <c r="C2143" t="s">
        <v>969</v>
      </c>
      <c r="D2143" t="s">
        <v>965</v>
      </c>
      <c r="E2143" t="s">
        <v>532</v>
      </c>
      <c r="F2143" t="s">
        <v>533</v>
      </c>
      <c r="G2143" t="s">
        <v>752</v>
      </c>
      <c r="H2143">
        <v>5</v>
      </c>
      <c r="I2143">
        <v>67.400000000000006</v>
      </c>
      <c r="J2143">
        <v>76.400000000000006</v>
      </c>
      <c r="K2143">
        <v>9</v>
      </c>
      <c r="L2143">
        <v>4</v>
      </c>
      <c r="M2143">
        <v>0</v>
      </c>
      <c r="N2143">
        <v>1</v>
      </c>
      <c r="O2143" t="s">
        <v>127</v>
      </c>
      <c r="P2143" t="s">
        <v>127</v>
      </c>
      <c r="Q2143" t="s">
        <v>127</v>
      </c>
    </row>
    <row r="2144" spans="1:17" x14ac:dyDescent="0.25">
      <c r="A2144" t="str">
        <f>IF(C2144&amp;G2144&amp;D2144&lt;&gt;'Funnel setup'!$K$3&amp;'Funnel setup'!$K$4&amp;'Funnel setup'!$K$6,".",IF(A2143=".",1,A2143+1))</f>
        <v>.</v>
      </c>
      <c r="B2144" s="244" t="str">
        <f t="shared" si="33"/>
        <v>Knee Replacement PrimaryProviderSPIRE CAMBRIDGE LEA HOSPITAL (NT317)EQ VAS</v>
      </c>
      <c r="C2144" t="s">
        <v>969</v>
      </c>
      <c r="D2144" t="s">
        <v>965</v>
      </c>
      <c r="E2144" t="s">
        <v>534</v>
      </c>
      <c r="F2144" t="s">
        <v>535</v>
      </c>
      <c r="G2144" t="s">
        <v>752</v>
      </c>
      <c r="H2144">
        <v>29</v>
      </c>
      <c r="I2144">
        <v>69.206900000000005</v>
      </c>
      <c r="J2144">
        <v>72.310299999999998</v>
      </c>
      <c r="K2144">
        <v>3.10345</v>
      </c>
      <c r="L2144">
        <v>13</v>
      </c>
      <c r="M2144">
        <v>6</v>
      </c>
      <c r="N2144">
        <v>10</v>
      </c>
      <c r="O2144" t="s">
        <v>127</v>
      </c>
      <c r="P2144" t="s">
        <v>127</v>
      </c>
      <c r="Q2144" t="s">
        <v>127</v>
      </c>
    </row>
    <row r="2145" spans="1:17" x14ac:dyDescent="0.25">
      <c r="A2145" t="str">
        <f>IF(C2145&amp;G2145&amp;D2145&lt;&gt;'Funnel setup'!$K$3&amp;'Funnel setup'!$K$4&amp;'Funnel setup'!$K$6,".",IF(A2144=".",1,A2144+1))</f>
        <v>.</v>
      </c>
      <c r="B2145" s="244" t="str">
        <f t="shared" si="33"/>
        <v>Knee Replacement PrimaryProviderSPIRE CHESHIRE HOSPITAL (NT324)EQ VAS</v>
      </c>
      <c r="C2145" t="s">
        <v>969</v>
      </c>
      <c r="D2145" t="s">
        <v>965</v>
      </c>
      <c r="E2145" t="s">
        <v>536</v>
      </c>
      <c r="F2145" t="s">
        <v>537</v>
      </c>
      <c r="G2145" t="s">
        <v>752</v>
      </c>
      <c r="H2145">
        <v>31</v>
      </c>
      <c r="I2145">
        <v>75.064499999999995</v>
      </c>
      <c r="J2145">
        <v>84.645200000000003</v>
      </c>
      <c r="K2145">
        <v>9.5806500000000003</v>
      </c>
      <c r="L2145">
        <v>20</v>
      </c>
      <c r="M2145">
        <v>5</v>
      </c>
      <c r="N2145">
        <v>6</v>
      </c>
      <c r="O2145">
        <v>79.700599999999994</v>
      </c>
      <c r="P2145">
        <v>14.1722</v>
      </c>
      <c r="Q2145">
        <v>9.28688</v>
      </c>
    </row>
    <row r="2146" spans="1:17" x14ac:dyDescent="0.25">
      <c r="A2146" t="str">
        <f>IF(C2146&amp;G2146&amp;D2146&lt;&gt;'Funnel setup'!$K$3&amp;'Funnel setup'!$K$4&amp;'Funnel setup'!$K$6,".",IF(A2145=".",1,A2145+1))</f>
        <v>.</v>
      </c>
      <c r="B2146" s="244" t="str">
        <f t="shared" si="33"/>
        <v>Knee Replacement PrimaryProviderSPIRE CLARE PARK HOSPITAL (NT345)EQ VAS</v>
      </c>
      <c r="C2146" t="s">
        <v>969</v>
      </c>
      <c r="D2146" t="s">
        <v>965</v>
      </c>
      <c r="E2146" t="s">
        <v>538</v>
      </c>
      <c r="F2146" t="s">
        <v>539</v>
      </c>
      <c r="G2146" t="s">
        <v>752</v>
      </c>
      <c r="H2146">
        <v>15</v>
      </c>
      <c r="I2146">
        <v>73.8</v>
      </c>
      <c r="J2146">
        <v>74.933300000000003</v>
      </c>
      <c r="K2146">
        <v>1.1333299999999999</v>
      </c>
      <c r="L2146">
        <v>4</v>
      </c>
      <c r="M2146">
        <v>5</v>
      </c>
      <c r="N2146">
        <v>6</v>
      </c>
      <c r="O2146" t="s">
        <v>127</v>
      </c>
      <c r="P2146" t="s">
        <v>127</v>
      </c>
      <c r="Q2146" t="s">
        <v>127</v>
      </c>
    </row>
    <row r="2147" spans="1:17" x14ac:dyDescent="0.25">
      <c r="A2147" t="str">
        <f>IF(C2147&amp;G2147&amp;D2147&lt;&gt;'Funnel setup'!$K$3&amp;'Funnel setup'!$K$4&amp;'Funnel setup'!$K$6,".",IF(A2146=".",1,A2146+1))</f>
        <v>.</v>
      </c>
      <c r="B2147" s="244" t="str">
        <f t="shared" si="33"/>
        <v>Knee Replacement PrimaryProviderSPIRE DUNEDIN HOSPITAL (NT344)EQ VAS</v>
      </c>
      <c r="C2147" t="s">
        <v>969</v>
      </c>
      <c r="D2147" t="s">
        <v>965</v>
      </c>
      <c r="E2147" t="s">
        <v>540</v>
      </c>
      <c r="F2147" t="s">
        <v>541</v>
      </c>
      <c r="G2147" t="s">
        <v>752</v>
      </c>
      <c r="H2147">
        <v>2</v>
      </c>
      <c r="I2147">
        <v>72.5</v>
      </c>
      <c r="J2147">
        <v>55</v>
      </c>
      <c r="K2147">
        <v>-17.5</v>
      </c>
      <c r="L2147">
        <v>1</v>
      </c>
      <c r="M2147">
        <v>0</v>
      </c>
      <c r="N2147">
        <v>1</v>
      </c>
      <c r="O2147" t="s">
        <v>127</v>
      </c>
      <c r="P2147" t="s">
        <v>127</v>
      </c>
      <c r="Q2147" t="s">
        <v>127</v>
      </c>
    </row>
    <row r="2148" spans="1:17" x14ac:dyDescent="0.25">
      <c r="A2148" t="str">
        <f>IF(C2148&amp;G2148&amp;D2148&lt;&gt;'Funnel setup'!$K$3&amp;'Funnel setup'!$K$4&amp;'Funnel setup'!$K$6,".",IF(A2147=".",1,A2147+1))</f>
        <v>.</v>
      </c>
      <c r="B2148" s="244" t="str">
        <f t="shared" si="33"/>
        <v>Knee Replacement PrimaryProviderSPIRE ELLAND HOSPITAL (NT348)EQ VAS</v>
      </c>
      <c r="C2148" t="s">
        <v>969</v>
      </c>
      <c r="D2148" t="s">
        <v>965</v>
      </c>
      <c r="E2148" t="s">
        <v>542</v>
      </c>
      <c r="F2148" t="s">
        <v>543</v>
      </c>
      <c r="G2148" t="s">
        <v>752</v>
      </c>
      <c r="H2148">
        <v>19</v>
      </c>
      <c r="I2148">
        <v>79.157899999999998</v>
      </c>
      <c r="J2148">
        <v>75.368399999999994</v>
      </c>
      <c r="K2148">
        <v>-3.7894700000000001</v>
      </c>
      <c r="L2148">
        <v>8</v>
      </c>
      <c r="M2148">
        <v>0</v>
      </c>
      <c r="N2148">
        <v>11</v>
      </c>
      <c r="O2148" t="s">
        <v>127</v>
      </c>
      <c r="P2148" t="s">
        <v>127</v>
      </c>
      <c r="Q2148" t="s">
        <v>127</v>
      </c>
    </row>
    <row r="2149" spans="1:17" x14ac:dyDescent="0.25">
      <c r="A2149" t="str">
        <f>IF(C2149&amp;G2149&amp;D2149&lt;&gt;'Funnel setup'!$K$3&amp;'Funnel setup'!$K$4&amp;'Funnel setup'!$K$6,".",IF(A2148=".",1,A2148+1))</f>
        <v>.</v>
      </c>
      <c r="B2149" s="244" t="str">
        <f t="shared" si="33"/>
        <v>Knee Replacement PrimaryProviderSPIRE FYLDE COAST HOSPITAL (NT347)EQ VAS</v>
      </c>
      <c r="C2149" t="s">
        <v>969</v>
      </c>
      <c r="D2149" t="s">
        <v>965</v>
      </c>
      <c r="E2149" t="s">
        <v>544</v>
      </c>
      <c r="F2149" t="s">
        <v>545</v>
      </c>
      <c r="G2149" t="s">
        <v>752</v>
      </c>
      <c r="H2149">
        <v>27</v>
      </c>
      <c r="I2149">
        <v>75.333299999999994</v>
      </c>
      <c r="J2149">
        <v>73.740700000000004</v>
      </c>
      <c r="K2149">
        <v>-1.59259</v>
      </c>
      <c r="L2149">
        <v>12</v>
      </c>
      <c r="M2149">
        <v>4</v>
      </c>
      <c r="N2149">
        <v>11</v>
      </c>
      <c r="O2149" t="s">
        <v>127</v>
      </c>
      <c r="P2149" t="s">
        <v>127</v>
      </c>
      <c r="Q2149" t="s">
        <v>127</v>
      </c>
    </row>
    <row r="2150" spans="1:17" x14ac:dyDescent="0.25">
      <c r="A2150" t="str">
        <f>IF(C2150&amp;G2150&amp;D2150&lt;&gt;'Funnel setup'!$K$3&amp;'Funnel setup'!$K$4&amp;'Funnel setup'!$K$6,".",IF(A2149=".",1,A2149+1))</f>
        <v>.</v>
      </c>
      <c r="B2150" s="244" t="str">
        <f t="shared" si="33"/>
        <v>Knee Replacement PrimaryProviderSPIRE GATWICK PARK HOSPITAL (NT308)EQ VAS</v>
      </c>
      <c r="C2150" t="s">
        <v>969</v>
      </c>
      <c r="D2150" t="s">
        <v>965</v>
      </c>
      <c r="E2150" t="s">
        <v>546</v>
      </c>
      <c r="F2150" t="s">
        <v>547</v>
      </c>
      <c r="G2150" t="s">
        <v>752</v>
      </c>
      <c r="H2150">
        <v>6</v>
      </c>
      <c r="I2150">
        <v>71.5</v>
      </c>
      <c r="J2150">
        <v>68.333299999999994</v>
      </c>
      <c r="K2150">
        <v>-3.1666699999999999</v>
      </c>
      <c r="L2150">
        <v>3</v>
      </c>
      <c r="M2150">
        <v>1</v>
      </c>
      <c r="N2150">
        <v>2</v>
      </c>
      <c r="O2150" t="s">
        <v>127</v>
      </c>
      <c r="P2150" t="s">
        <v>127</v>
      </c>
      <c r="Q2150" t="s">
        <v>127</v>
      </c>
    </row>
    <row r="2151" spans="1:17" x14ac:dyDescent="0.25">
      <c r="A2151" t="str">
        <f>IF(C2151&amp;G2151&amp;D2151&lt;&gt;'Funnel setup'!$K$3&amp;'Funnel setup'!$K$4&amp;'Funnel setup'!$K$6,".",IF(A2150=".",1,A2150+1))</f>
        <v>.</v>
      </c>
      <c r="B2151" s="244" t="str">
        <f t="shared" si="33"/>
        <v>Knee Replacement PrimaryProviderSPIRE HARPENDEN HOSPITAL (NT316)EQ VAS</v>
      </c>
      <c r="C2151" t="s">
        <v>969</v>
      </c>
      <c r="D2151" t="s">
        <v>965</v>
      </c>
      <c r="E2151" t="s">
        <v>548</v>
      </c>
      <c r="F2151" t="s">
        <v>549</v>
      </c>
      <c r="G2151" t="s">
        <v>752</v>
      </c>
      <c r="H2151">
        <v>19</v>
      </c>
      <c r="I2151">
        <v>73.947400000000002</v>
      </c>
      <c r="J2151">
        <v>70.1053</v>
      </c>
      <c r="K2151">
        <v>-3.8421099999999999</v>
      </c>
      <c r="L2151">
        <v>7</v>
      </c>
      <c r="M2151">
        <v>4</v>
      </c>
      <c r="N2151">
        <v>8</v>
      </c>
      <c r="O2151" t="s">
        <v>127</v>
      </c>
      <c r="P2151" t="s">
        <v>127</v>
      </c>
      <c r="Q2151" t="s">
        <v>127</v>
      </c>
    </row>
    <row r="2152" spans="1:17" x14ac:dyDescent="0.25">
      <c r="A2152" t="str">
        <f>IF(C2152&amp;G2152&amp;D2152&lt;&gt;'Funnel setup'!$K$3&amp;'Funnel setup'!$K$4&amp;'Funnel setup'!$K$6,".",IF(A2151=".",1,A2151+1))</f>
        <v>.</v>
      </c>
      <c r="B2152" s="244" t="str">
        <f t="shared" si="33"/>
        <v>Knee Replacement PrimaryProviderSPIRE HARTSWOOD HOSPITAL (NT319)EQ VAS</v>
      </c>
      <c r="C2152" t="s">
        <v>969</v>
      </c>
      <c r="D2152" t="s">
        <v>965</v>
      </c>
      <c r="E2152" t="s">
        <v>550</v>
      </c>
      <c r="F2152" t="s">
        <v>551</v>
      </c>
      <c r="G2152" t="s">
        <v>752</v>
      </c>
      <c r="H2152">
        <v>12</v>
      </c>
      <c r="I2152">
        <v>62.5</v>
      </c>
      <c r="J2152">
        <v>68.583299999999994</v>
      </c>
      <c r="K2152">
        <v>6.0833300000000001</v>
      </c>
      <c r="L2152">
        <v>7</v>
      </c>
      <c r="M2152">
        <v>2</v>
      </c>
      <c r="N2152">
        <v>3</v>
      </c>
      <c r="O2152" t="s">
        <v>127</v>
      </c>
      <c r="P2152" t="s">
        <v>127</v>
      </c>
      <c r="Q2152" t="s">
        <v>127</v>
      </c>
    </row>
    <row r="2153" spans="1:17" x14ac:dyDescent="0.25">
      <c r="A2153" t="str">
        <f>IF(C2153&amp;G2153&amp;D2153&lt;&gt;'Funnel setup'!$K$3&amp;'Funnel setup'!$K$4&amp;'Funnel setup'!$K$6,".",IF(A2152=".",1,A2152+1))</f>
        <v>.</v>
      </c>
      <c r="B2153" s="244" t="str">
        <f t="shared" si="33"/>
        <v>Knee Replacement PrimaryProviderSPIRE HULL AND EAST RIDING HOSPITAL (NT351)EQ VAS</v>
      </c>
      <c r="C2153" t="s">
        <v>969</v>
      </c>
      <c r="D2153" t="s">
        <v>965</v>
      </c>
      <c r="E2153" t="s">
        <v>554</v>
      </c>
      <c r="F2153" t="s">
        <v>555</v>
      </c>
      <c r="G2153" t="s">
        <v>752</v>
      </c>
      <c r="H2153">
        <v>37</v>
      </c>
      <c r="I2153">
        <v>64.756799999999998</v>
      </c>
      <c r="J2153">
        <v>71.621600000000001</v>
      </c>
      <c r="K2153">
        <v>6.8648600000000002</v>
      </c>
      <c r="L2153">
        <v>25</v>
      </c>
      <c r="M2153">
        <v>2</v>
      </c>
      <c r="N2153">
        <v>10</v>
      </c>
      <c r="O2153">
        <v>71.235900000000001</v>
      </c>
      <c r="P2153">
        <v>5.70749</v>
      </c>
      <c r="Q2153">
        <v>15.2958</v>
      </c>
    </row>
    <row r="2154" spans="1:17" x14ac:dyDescent="0.25">
      <c r="A2154" t="str">
        <f>IF(C2154&amp;G2154&amp;D2154&lt;&gt;'Funnel setup'!$K$3&amp;'Funnel setup'!$K$4&amp;'Funnel setup'!$K$6,".",IF(A2153=".",1,A2153+1))</f>
        <v>.</v>
      </c>
      <c r="B2154" s="244" t="str">
        <f t="shared" si="33"/>
        <v>Knee Replacement PrimaryProviderSPIRE LEEDS HOSPITAL (NT332)EQ VAS</v>
      </c>
      <c r="C2154" t="s">
        <v>969</v>
      </c>
      <c r="D2154" t="s">
        <v>965</v>
      </c>
      <c r="E2154" t="s">
        <v>556</v>
      </c>
      <c r="F2154" t="s">
        <v>557</v>
      </c>
      <c r="G2154" t="s">
        <v>752</v>
      </c>
      <c r="H2154">
        <v>14</v>
      </c>
      <c r="I2154">
        <v>72.571399999999997</v>
      </c>
      <c r="J2154">
        <v>79.142899999999997</v>
      </c>
      <c r="K2154">
        <v>6.5714300000000003</v>
      </c>
      <c r="L2154">
        <v>8</v>
      </c>
      <c r="M2154">
        <v>0</v>
      </c>
      <c r="N2154">
        <v>6</v>
      </c>
      <c r="O2154" t="s">
        <v>127</v>
      </c>
      <c r="P2154" t="s">
        <v>127</v>
      </c>
      <c r="Q2154" t="s">
        <v>127</v>
      </c>
    </row>
    <row r="2155" spans="1:17" x14ac:dyDescent="0.25">
      <c r="A2155" t="str">
        <f>IF(C2155&amp;G2155&amp;D2155&lt;&gt;'Funnel setup'!$K$3&amp;'Funnel setup'!$K$4&amp;'Funnel setup'!$K$6,".",IF(A2154=".",1,A2154+1))</f>
        <v>.</v>
      </c>
      <c r="B2155" s="244" t="str">
        <f t="shared" si="33"/>
        <v>Knee Replacement PrimaryProviderSPIRE LEICESTER HOSPITAL (NT322)EQ VAS</v>
      </c>
      <c r="C2155" t="s">
        <v>969</v>
      </c>
      <c r="D2155" t="s">
        <v>965</v>
      </c>
      <c r="E2155" t="s">
        <v>558</v>
      </c>
      <c r="F2155" t="s">
        <v>559</v>
      </c>
      <c r="G2155" t="s">
        <v>752</v>
      </c>
      <c r="H2155">
        <v>58</v>
      </c>
      <c r="I2155">
        <v>66.103399999999993</v>
      </c>
      <c r="J2155">
        <v>77.689700000000002</v>
      </c>
      <c r="K2155">
        <v>11.5862</v>
      </c>
      <c r="L2155">
        <v>39</v>
      </c>
      <c r="M2155">
        <v>3</v>
      </c>
      <c r="N2155">
        <v>16</v>
      </c>
      <c r="O2155">
        <v>76.769099999999995</v>
      </c>
      <c r="P2155">
        <v>11.2407</v>
      </c>
      <c r="Q2155">
        <v>11.3651</v>
      </c>
    </row>
    <row r="2156" spans="1:17" x14ac:dyDescent="0.25">
      <c r="A2156" t="str">
        <f>IF(C2156&amp;G2156&amp;D2156&lt;&gt;'Funnel setup'!$K$3&amp;'Funnel setup'!$K$4&amp;'Funnel setup'!$K$6,".",IF(A2155=".",1,A2155+1))</f>
        <v>.</v>
      </c>
      <c r="B2156" s="244" t="str">
        <f t="shared" si="33"/>
        <v>Knee Replacement PrimaryProviderSPIRE LITTLE ASTON HOSPITAL (NT321)EQ VAS</v>
      </c>
      <c r="C2156" t="s">
        <v>969</v>
      </c>
      <c r="D2156" t="s">
        <v>965</v>
      </c>
      <c r="E2156" t="s">
        <v>560</v>
      </c>
      <c r="F2156" t="s">
        <v>561</v>
      </c>
      <c r="G2156" t="s">
        <v>752</v>
      </c>
      <c r="H2156">
        <v>21</v>
      </c>
      <c r="I2156">
        <v>69.1905</v>
      </c>
      <c r="J2156">
        <v>78.8095</v>
      </c>
      <c r="K2156">
        <v>9.6190499999999997</v>
      </c>
      <c r="L2156">
        <v>14</v>
      </c>
      <c r="M2156">
        <v>3</v>
      </c>
      <c r="N2156">
        <v>4</v>
      </c>
      <c r="O2156" t="s">
        <v>127</v>
      </c>
      <c r="P2156" t="s">
        <v>127</v>
      </c>
      <c r="Q2156" t="s">
        <v>127</v>
      </c>
    </row>
    <row r="2157" spans="1:17" x14ac:dyDescent="0.25">
      <c r="A2157" t="str">
        <f>IF(C2157&amp;G2157&amp;D2157&lt;&gt;'Funnel setup'!$K$3&amp;'Funnel setup'!$K$4&amp;'Funnel setup'!$K$6,".",IF(A2156=".",1,A2156+1))</f>
        <v>.</v>
      </c>
      <c r="B2157" s="244" t="str">
        <f t="shared" si="33"/>
        <v>Knee Replacement PrimaryProviderSPIRE LIVERPOOL HOSPITAL (NT337)EQ VAS</v>
      </c>
      <c r="C2157" t="s">
        <v>969</v>
      </c>
      <c r="D2157" t="s">
        <v>965</v>
      </c>
      <c r="E2157" t="s">
        <v>562</v>
      </c>
      <c r="F2157" t="s">
        <v>563</v>
      </c>
      <c r="G2157" t="s">
        <v>752</v>
      </c>
      <c r="H2157">
        <v>13</v>
      </c>
      <c r="I2157">
        <v>70.846199999999996</v>
      </c>
      <c r="J2157">
        <v>74.538499999999999</v>
      </c>
      <c r="K2157">
        <v>3.69231</v>
      </c>
      <c r="L2157">
        <v>6</v>
      </c>
      <c r="M2157">
        <v>0</v>
      </c>
      <c r="N2157">
        <v>7</v>
      </c>
      <c r="O2157" t="s">
        <v>127</v>
      </c>
      <c r="P2157" t="s">
        <v>127</v>
      </c>
      <c r="Q2157" t="s">
        <v>127</v>
      </c>
    </row>
    <row r="2158" spans="1:17" x14ac:dyDescent="0.25">
      <c r="A2158" t="str">
        <f>IF(C2158&amp;G2158&amp;D2158&lt;&gt;'Funnel setup'!$K$3&amp;'Funnel setup'!$K$4&amp;'Funnel setup'!$K$6,".",IF(A2157=".",1,A2157+1))</f>
        <v>.</v>
      </c>
      <c r="B2158" s="244" t="str">
        <f t="shared" si="33"/>
        <v>Knee Replacement PrimaryProviderSPIRE MANCHESTER HOSPITAL (NT327)EQ VAS</v>
      </c>
      <c r="C2158" t="s">
        <v>969</v>
      </c>
      <c r="D2158" t="s">
        <v>965</v>
      </c>
      <c r="E2158" t="s">
        <v>566</v>
      </c>
      <c r="F2158" t="s">
        <v>567</v>
      </c>
      <c r="G2158" t="s">
        <v>752</v>
      </c>
      <c r="H2158">
        <v>37</v>
      </c>
      <c r="I2158">
        <v>68.054100000000005</v>
      </c>
      <c r="J2158">
        <v>74.567599999999999</v>
      </c>
      <c r="K2158">
        <v>6.5135100000000001</v>
      </c>
      <c r="L2158">
        <v>21</v>
      </c>
      <c r="M2158">
        <v>3</v>
      </c>
      <c r="N2158">
        <v>13</v>
      </c>
      <c r="O2158">
        <v>73.886600000000001</v>
      </c>
      <c r="P2158">
        <v>8.3581699999999994</v>
      </c>
      <c r="Q2158">
        <v>14.063000000000001</v>
      </c>
    </row>
    <row r="2159" spans="1:17" x14ac:dyDescent="0.25">
      <c r="A2159" t="str">
        <f>IF(C2159&amp;G2159&amp;D2159&lt;&gt;'Funnel setup'!$K$3&amp;'Funnel setup'!$K$4&amp;'Funnel setup'!$K$6,".",IF(A2158=".",1,A2158+1))</f>
        <v>.</v>
      </c>
      <c r="B2159" s="244" t="str">
        <f t="shared" si="33"/>
        <v>Knee Replacement PrimaryProviderSPIRE METHLEY PARK HOSPITAL (NT350)EQ VAS</v>
      </c>
      <c r="C2159" t="s">
        <v>969</v>
      </c>
      <c r="D2159" t="s">
        <v>965</v>
      </c>
      <c r="E2159" t="s">
        <v>568</v>
      </c>
      <c r="F2159" t="s">
        <v>569</v>
      </c>
      <c r="G2159" t="s">
        <v>752</v>
      </c>
      <c r="H2159">
        <v>32</v>
      </c>
      <c r="I2159">
        <v>69.093800000000002</v>
      </c>
      <c r="J2159">
        <v>81.9375</v>
      </c>
      <c r="K2159">
        <v>12.8438</v>
      </c>
      <c r="L2159">
        <v>26</v>
      </c>
      <c r="M2159">
        <v>2</v>
      </c>
      <c r="N2159">
        <v>4</v>
      </c>
      <c r="O2159">
        <v>78.015100000000004</v>
      </c>
      <c r="P2159">
        <v>12.486700000000001</v>
      </c>
      <c r="Q2159">
        <v>12.6952</v>
      </c>
    </row>
    <row r="2160" spans="1:17" x14ac:dyDescent="0.25">
      <c r="A2160" t="str">
        <f>IF(C2160&amp;G2160&amp;D2160&lt;&gt;'Funnel setup'!$K$3&amp;'Funnel setup'!$K$4&amp;'Funnel setup'!$K$6,".",IF(A2159=".",1,A2159+1))</f>
        <v>.</v>
      </c>
      <c r="B2160" s="244" t="str">
        <f t="shared" si="33"/>
        <v>Knee Replacement PrimaryProviderSPIRE MONTEFIORE HOSPITAL (NT364)EQ VAS</v>
      </c>
      <c r="C2160" t="s">
        <v>969</v>
      </c>
      <c r="D2160" t="s">
        <v>965</v>
      </c>
      <c r="E2160" t="s">
        <v>570</v>
      </c>
      <c r="F2160" t="s">
        <v>571</v>
      </c>
      <c r="G2160" t="s">
        <v>752</v>
      </c>
      <c r="H2160">
        <v>10</v>
      </c>
      <c r="I2160">
        <v>71.7</v>
      </c>
      <c r="J2160">
        <v>81.2</v>
      </c>
      <c r="K2160">
        <v>9.5</v>
      </c>
      <c r="L2160">
        <v>8</v>
      </c>
      <c r="M2160">
        <v>0</v>
      </c>
      <c r="N2160">
        <v>2</v>
      </c>
      <c r="O2160" t="s">
        <v>127</v>
      </c>
      <c r="P2160" t="s">
        <v>127</v>
      </c>
      <c r="Q2160" t="s">
        <v>127</v>
      </c>
    </row>
    <row r="2161" spans="1:17" x14ac:dyDescent="0.25">
      <c r="A2161" t="str">
        <f>IF(C2161&amp;G2161&amp;D2161&lt;&gt;'Funnel setup'!$K$3&amp;'Funnel setup'!$K$4&amp;'Funnel setup'!$K$6,".",IF(A2160=".",1,A2160+1))</f>
        <v>.</v>
      </c>
      <c r="B2161" s="244" t="str">
        <f t="shared" si="33"/>
        <v>Knee Replacement PrimaryProviderSPIRE MURRAYFIELD HOSPITAL (NT325)EQ VAS</v>
      </c>
      <c r="C2161" t="s">
        <v>969</v>
      </c>
      <c r="D2161" t="s">
        <v>965</v>
      </c>
      <c r="E2161" t="s">
        <v>572</v>
      </c>
      <c r="F2161" t="s">
        <v>573</v>
      </c>
      <c r="G2161" t="s">
        <v>752</v>
      </c>
      <c r="H2161">
        <v>3</v>
      </c>
      <c r="I2161">
        <v>65.333299999999994</v>
      </c>
      <c r="J2161">
        <v>87.333299999999994</v>
      </c>
      <c r="K2161">
        <v>22</v>
      </c>
      <c r="L2161">
        <v>3</v>
      </c>
      <c r="M2161">
        <v>0</v>
      </c>
      <c r="N2161">
        <v>0</v>
      </c>
      <c r="O2161" t="s">
        <v>127</v>
      </c>
      <c r="P2161" t="s">
        <v>127</v>
      </c>
      <c r="Q2161" t="s">
        <v>127</v>
      </c>
    </row>
    <row r="2162" spans="1:17" x14ac:dyDescent="0.25">
      <c r="A2162" t="str">
        <f>IF(C2162&amp;G2162&amp;D2162&lt;&gt;'Funnel setup'!$K$3&amp;'Funnel setup'!$K$4&amp;'Funnel setup'!$K$6,".",IF(A2161=".",1,A2161+1))</f>
        <v>.</v>
      </c>
      <c r="B2162" s="244" t="str">
        <f t="shared" si="33"/>
        <v>Knee Replacement PrimaryProviderSPIRE NOTTINGHAM HOSPITAL (NT30A)EQ VAS</v>
      </c>
      <c r="C2162" t="s">
        <v>969</v>
      </c>
      <c r="D2162" t="s">
        <v>965</v>
      </c>
      <c r="E2162" t="s">
        <v>576</v>
      </c>
      <c r="F2162" t="s">
        <v>577</v>
      </c>
      <c r="G2162" t="s">
        <v>752</v>
      </c>
      <c r="H2162">
        <v>10</v>
      </c>
      <c r="I2162">
        <v>75.3</v>
      </c>
      <c r="J2162">
        <v>80</v>
      </c>
      <c r="K2162">
        <v>4.7</v>
      </c>
      <c r="L2162">
        <v>7</v>
      </c>
      <c r="M2162">
        <v>0</v>
      </c>
      <c r="N2162">
        <v>3</v>
      </c>
      <c r="O2162" t="s">
        <v>127</v>
      </c>
      <c r="P2162" t="s">
        <v>127</v>
      </c>
      <c r="Q2162" t="s">
        <v>127</v>
      </c>
    </row>
    <row r="2163" spans="1:17" x14ac:dyDescent="0.25">
      <c r="A2163" t="str">
        <f>IF(C2163&amp;G2163&amp;D2163&lt;&gt;'Funnel setup'!$K$3&amp;'Funnel setup'!$K$4&amp;'Funnel setup'!$K$6,".",IF(A2162=".",1,A2162+1))</f>
        <v>.</v>
      </c>
      <c r="B2163" s="244" t="str">
        <f t="shared" si="33"/>
        <v>Knee Replacement PrimaryProviderSPIRE PARKWAY HOSPITAL (NT320)EQ VAS</v>
      </c>
      <c r="C2163" t="s">
        <v>969</v>
      </c>
      <c r="D2163" t="s">
        <v>965</v>
      </c>
      <c r="E2163" t="s">
        <v>578</v>
      </c>
      <c r="F2163" t="s">
        <v>579</v>
      </c>
      <c r="G2163" t="s">
        <v>752</v>
      </c>
      <c r="H2163">
        <v>16</v>
      </c>
      <c r="I2163">
        <v>66</v>
      </c>
      <c r="J2163">
        <v>76.875</v>
      </c>
      <c r="K2163">
        <v>10.875</v>
      </c>
      <c r="L2163">
        <v>11</v>
      </c>
      <c r="M2163">
        <v>1</v>
      </c>
      <c r="N2163">
        <v>4</v>
      </c>
      <c r="O2163" t="s">
        <v>127</v>
      </c>
      <c r="P2163" t="s">
        <v>127</v>
      </c>
      <c r="Q2163" t="s">
        <v>127</v>
      </c>
    </row>
    <row r="2164" spans="1:17" x14ac:dyDescent="0.25">
      <c r="A2164" t="str">
        <f>IF(C2164&amp;G2164&amp;D2164&lt;&gt;'Funnel setup'!$K$3&amp;'Funnel setup'!$K$4&amp;'Funnel setup'!$K$6,".",IF(A2163=".",1,A2163+1))</f>
        <v>.</v>
      </c>
      <c r="B2164" s="244" t="str">
        <f t="shared" si="33"/>
        <v>Knee Replacement PrimaryProviderSPIRE PORTSMOUTH HOSPITAL (NT305)EQ VAS</v>
      </c>
      <c r="C2164" t="s">
        <v>969</v>
      </c>
      <c r="D2164" t="s">
        <v>965</v>
      </c>
      <c r="E2164" t="s">
        <v>580</v>
      </c>
      <c r="F2164" t="s">
        <v>581</v>
      </c>
      <c r="G2164" t="s">
        <v>752</v>
      </c>
      <c r="H2164">
        <v>15</v>
      </c>
      <c r="I2164">
        <v>71.2</v>
      </c>
      <c r="J2164">
        <v>69.333299999999994</v>
      </c>
      <c r="K2164">
        <v>-1.8666700000000001</v>
      </c>
      <c r="L2164">
        <v>8</v>
      </c>
      <c r="M2164">
        <v>2</v>
      </c>
      <c r="N2164">
        <v>5</v>
      </c>
      <c r="O2164" t="s">
        <v>127</v>
      </c>
      <c r="P2164" t="s">
        <v>127</v>
      </c>
      <c r="Q2164" t="s">
        <v>127</v>
      </c>
    </row>
    <row r="2165" spans="1:17" x14ac:dyDescent="0.25">
      <c r="A2165" t="str">
        <f>IF(C2165&amp;G2165&amp;D2165&lt;&gt;'Funnel setup'!$K$3&amp;'Funnel setup'!$K$4&amp;'Funnel setup'!$K$6,".",IF(A2164=".",1,A2164+1))</f>
        <v>.</v>
      </c>
      <c r="B2165" s="244" t="str">
        <f t="shared" si="33"/>
        <v>Knee Replacement PrimaryProviderSPIRE REGENCY HOSPITAL (NT339)EQ VAS</v>
      </c>
      <c r="C2165" t="s">
        <v>969</v>
      </c>
      <c r="D2165" t="s">
        <v>965</v>
      </c>
      <c r="E2165" t="s">
        <v>582</v>
      </c>
      <c r="F2165" t="s">
        <v>583</v>
      </c>
      <c r="G2165" t="s">
        <v>752</v>
      </c>
      <c r="H2165">
        <v>43</v>
      </c>
      <c r="I2165">
        <v>73.465100000000007</v>
      </c>
      <c r="J2165">
        <v>77.767399999999995</v>
      </c>
      <c r="K2165">
        <v>4.3023300000000004</v>
      </c>
      <c r="L2165">
        <v>25</v>
      </c>
      <c r="M2165">
        <v>4</v>
      </c>
      <c r="N2165">
        <v>14</v>
      </c>
      <c r="O2165">
        <v>73.208299999999994</v>
      </c>
      <c r="P2165">
        <v>7.6798599999999997</v>
      </c>
      <c r="Q2165">
        <v>14.232900000000001</v>
      </c>
    </row>
    <row r="2166" spans="1:17" x14ac:dyDescent="0.25">
      <c r="A2166" t="str">
        <f>IF(C2166&amp;G2166&amp;D2166&lt;&gt;'Funnel setup'!$K$3&amp;'Funnel setup'!$K$4&amp;'Funnel setup'!$K$6,".",IF(A2165=".",1,A2165+1))</f>
        <v>.</v>
      </c>
      <c r="B2166" s="244" t="str">
        <f t="shared" si="33"/>
        <v>Knee Replacement PrimaryProviderSPIRE SOUTHAMPTON HOSPITAL (NT304)EQ VAS</v>
      </c>
      <c r="C2166" t="s">
        <v>969</v>
      </c>
      <c r="D2166" t="s">
        <v>965</v>
      </c>
      <c r="E2166" t="s">
        <v>586</v>
      </c>
      <c r="F2166" t="s">
        <v>587</v>
      </c>
      <c r="G2166" t="s">
        <v>752</v>
      </c>
      <c r="H2166">
        <v>20</v>
      </c>
      <c r="I2166">
        <v>70.95</v>
      </c>
      <c r="J2166">
        <v>77.7</v>
      </c>
      <c r="K2166">
        <v>6.75</v>
      </c>
      <c r="L2166">
        <v>14</v>
      </c>
      <c r="M2166">
        <v>1</v>
      </c>
      <c r="N2166">
        <v>5</v>
      </c>
      <c r="O2166" t="s">
        <v>127</v>
      </c>
      <c r="P2166" t="s">
        <v>127</v>
      </c>
      <c r="Q2166" t="s">
        <v>127</v>
      </c>
    </row>
    <row r="2167" spans="1:17" x14ac:dyDescent="0.25">
      <c r="A2167" t="str">
        <f>IF(C2167&amp;G2167&amp;D2167&lt;&gt;'Funnel setup'!$K$3&amp;'Funnel setup'!$K$4&amp;'Funnel setup'!$K$6,".",IF(A2166=".",1,A2166+1))</f>
        <v>.</v>
      </c>
      <c r="B2167" s="244" t="str">
        <f t="shared" si="33"/>
        <v>Knee Replacement PrimaryProviderSPIRE ST ANTHONY'S HOSPITAL (NT3X3)EQ VAS</v>
      </c>
      <c r="C2167" t="s">
        <v>969</v>
      </c>
      <c r="D2167" t="s">
        <v>965</v>
      </c>
      <c r="E2167" t="s">
        <v>588</v>
      </c>
      <c r="F2167" t="s">
        <v>589</v>
      </c>
      <c r="G2167" t="s">
        <v>752</v>
      </c>
      <c r="H2167">
        <v>4</v>
      </c>
      <c r="I2167">
        <v>65</v>
      </c>
      <c r="J2167">
        <v>73.75</v>
      </c>
      <c r="K2167">
        <v>8.75</v>
      </c>
      <c r="L2167">
        <v>3</v>
      </c>
      <c r="M2167">
        <v>0</v>
      </c>
      <c r="N2167">
        <v>1</v>
      </c>
      <c r="O2167" t="s">
        <v>127</v>
      </c>
      <c r="P2167" t="s">
        <v>127</v>
      </c>
      <c r="Q2167" t="s">
        <v>127</v>
      </c>
    </row>
    <row r="2168" spans="1:17" x14ac:dyDescent="0.25">
      <c r="A2168" t="str">
        <f>IF(C2168&amp;G2168&amp;D2168&lt;&gt;'Funnel setup'!$K$3&amp;'Funnel setup'!$K$4&amp;'Funnel setup'!$K$6,".",IF(A2167=".",1,A2167+1))</f>
        <v>.</v>
      </c>
      <c r="B2168" s="244" t="str">
        <f t="shared" si="33"/>
        <v>Knee Replacement PrimaryProviderSPIRE SUSSEX HOSPITAL (NT309)EQ VAS</v>
      </c>
      <c r="C2168" t="s">
        <v>969</v>
      </c>
      <c r="D2168" t="s">
        <v>965</v>
      </c>
      <c r="E2168" t="s">
        <v>590</v>
      </c>
      <c r="F2168" t="s">
        <v>591</v>
      </c>
      <c r="G2168" t="s">
        <v>752</v>
      </c>
      <c r="H2168">
        <v>24</v>
      </c>
      <c r="I2168">
        <v>71.208299999999994</v>
      </c>
      <c r="J2168">
        <v>77.25</v>
      </c>
      <c r="K2168">
        <v>6.0416699999999999</v>
      </c>
      <c r="L2168">
        <v>16</v>
      </c>
      <c r="M2168">
        <v>1</v>
      </c>
      <c r="N2168">
        <v>7</v>
      </c>
      <c r="O2168" t="s">
        <v>127</v>
      </c>
      <c r="P2168" t="s">
        <v>127</v>
      </c>
      <c r="Q2168" t="s">
        <v>127</v>
      </c>
    </row>
    <row r="2169" spans="1:17" x14ac:dyDescent="0.25">
      <c r="A2169" t="str">
        <f>IF(C2169&amp;G2169&amp;D2169&lt;&gt;'Funnel setup'!$K$3&amp;'Funnel setup'!$K$4&amp;'Funnel setup'!$K$6,".",IF(A2168=".",1,A2168+1))</f>
        <v>.</v>
      </c>
      <c r="B2169" s="244" t="str">
        <f t="shared" si="33"/>
        <v>Knee Replacement PrimaryProviderSPIRE THAMES VALLEY HOSPITAL (NT343)EQ VAS</v>
      </c>
      <c r="C2169" t="s">
        <v>969</v>
      </c>
      <c r="D2169" t="s">
        <v>965</v>
      </c>
      <c r="E2169" t="s">
        <v>592</v>
      </c>
      <c r="F2169" t="s">
        <v>593</v>
      </c>
      <c r="G2169" t="s">
        <v>752</v>
      </c>
      <c r="H2169">
        <v>1</v>
      </c>
      <c r="I2169">
        <v>75</v>
      </c>
      <c r="J2169">
        <v>81</v>
      </c>
      <c r="K2169">
        <v>6</v>
      </c>
      <c r="L2169">
        <v>1</v>
      </c>
      <c r="M2169">
        <v>0</v>
      </c>
      <c r="N2169">
        <v>0</v>
      </c>
      <c r="O2169" t="s">
        <v>127</v>
      </c>
      <c r="P2169" t="s">
        <v>127</v>
      </c>
      <c r="Q2169" t="s">
        <v>127</v>
      </c>
    </row>
    <row r="2170" spans="1:17" x14ac:dyDescent="0.25">
      <c r="A2170" t="str">
        <f>IF(C2170&amp;G2170&amp;D2170&lt;&gt;'Funnel setup'!$K$3&amp;'Funnel setup'!$K$4&amp;'Funnel setup'!$K$6,".",IF(A2169=".",1,A2169+1))</f>
        <v>.</v>
      </c>
      <c r="B2170" s="244" t="str">
        <f t="shared" si="33"/>
        <v>Knee Replacement PrimaryProviderSPIRE TUNBRIDGE WELLS HOSPITAL (NT310)EQ VAS</v>
      </c>
      <c r="C2170" t="s">
        <v>969</v>
      </c>
      <c r="D2170" t="s">
        <v>965</v>
      </c>
      <c r="E2170" t="s">
        <v>594</v>
      </c>
      <c r="F2170" t="s">
        <v>595</v>
      </c>
      <c r="G2170" t="s">
        <v>752</v>
      </c>
      <c r="H2170">
        <v>1</v>
      </c>
      <c r="I2170">
        <v>60</v>
      </c>
      <c r="J2170">
        <v>74</v>
      </c>
      <c r="K2170">
        <v>14</v>
      </c>
      <c r="L2170">
        <v>1</v>
      </c>
      <c r="M2170">
        <v>0</v>
      </c>
      <c r="N2170">
        <v>0</v>
      </c>
      <c r="O2170" t="s">
        <v>127</v>
      </c>
      <c r="P2170" t="s">
        <v>127</v>
      </c>
      <c r="Q2170" t="s">
        <v>127</v>
      </c>
    </row>
    <row r="2171" spans="1:17" x14ac:dyDescent="0.25">
      <c r="A2171" t="str">
        <f>IF(C2171&amp;G2171&amp;D2171&lt;&gt;'Funnel setup'!$K$3&amp;'Funnel setup'!$K$4&amp;'Funnel setup'!$K$6,".",IF(A2170=".",1,A2170+1))</f>
        <v>.</v>
      </c>
      <c r="B2171" s="244" t="str">
        <f t="shared" si="33"/>
        <v>Knee Replacement PrimaryProviderSPIRE WASHINGTON HOSPITAL (NT333)EQ VAS</v>
      </c>
      <c r="C2171" t="s">
        <v>969</v>
      </c>
      <c r="D2171" t="s">
        <v>965</v>
      </c>
      <c r="E2171" t="s">
        <v>596</v>
      </c>
      <c r="F2171" t="s">
        <v>597</v>
      </c>
      <c r="G2171" t="s">
        <v>752</v>
      </c>
      <c r="H2171">
        <v>101</v>
      </c>
      <c r="I2171">
        <v>71.653499999999994</v>
      </c>
      <c r="J2171">
        <v>77.019800000000004</v>
      </c>
      <c r="K2171">
        <v>5.3663400000000001</v>
      </c>
      <c r="L2171">
        <v>62</v>
      </c>
      <c r="M2171">
        <v>7</v>
      </c>
      <c r="N2171">
        <v>32</v>
      </c>
      <c r="O2171">
        <v>74.893199999999993</v>
      </c>
      <c r="P2171">
        <v>9.3648199999999999</v>
      </c>
      <c r="Q2171">
        <v>13.011100000000001</v>
      </c>
    </row>
    <row r="2172" spans="1:17" x14ac:dyDescent="0.25">
      <c r="A2172" t="str">
        <f>IF(C2172&amp;G2172&amp;D2172&lt;&gt;'Funnel setup'!$K$3&amp;'Funnel setup'!$K$4&amp;'Funnel setup'!$K$6,".",IF(A2171=".",1,A2171+1))</f>
        <v>.</v>
      </c>
      <c r="B2172" s="244" t="str">
        <f t="shared" si="33"/>
        <v>Knee Replacement PrimaryProviderSPRINGFIELD HOSPITAL (NVC18)EQ VAS</v>
      </c>
      <c r="C2172" t="s">
        <v>969</v>
      </c>
      <c r="D2172" t="s">
        <v>965</v>
      </c>
      <c r="E2172" t="s">
        <v>602</v>
      </c>
      <c r="F2172" t="s">
        <v>603</v>
      </c>
      <c r="G2172" t="s">
        <v>752</v>
      </c>
      <c r="H2172">
        <v>87</v>
      </c>
      <c r="I2172">
        <v>70.046000000000006</v>
      </c>
      <c r="J2172">
        <v>77.885099999999994</v>
      </c>
      <c r="K2172">
        <v>7.83908</v>
      </c>
      <c r="L2172">
        <v>57</v>
      </c>
      <c r="M2172">
        <v>8</v>
      </c>
      <c r="N2172">
        <v>22</v>
      </c>
      <c r="O2172">
        <v>74.976399999999998</v>
      </c>
      <c r="P2172">
        <v>9.4479699999999998</v>
      </c>
      <c r="Q2172">
        <v>14.879</v>
      </c>
    </row>
    <row r="2173" spans="1:17" x14ac:dyDescent="0.25">
      <c r="A2173" t="str">
        <f>IF(C2173&amp;G2173&amp;D2173&lt;&gt;'Funnel setup'!$K$3&amp;'Funnel setup'!$K$4&amp;'Funnel setup'!$K$6,".",IF(A2172=".",1,A2172+1))</f>
        <v>.</v>
      </c>
      <c r="B2173" s="244" t="str">
        <f t="shared" si="33"/>
        <v>Knee Replacement PrimaryProviderST EDMUNDS HOSPITAL (NT446)EQ VAS</v>
      </c>
      <c r="C2173" t="s">
        <v>969</v>
      </c>
      <c r="D2173" t="s">
        <v>965</v>
      </c>
      <c r="E2173" t="s">
        <v>604</v>
      </c>
      <c r="F2173" t="s">
        <v>605</v>
      </c>
      <c r="G2173" t="s">
        <v>752</v>
      </c>
      <c r="H2173">
        <v>24</v>
      </c>
      <c r="I2173">
        <v>70.583299999999994</v>
      </c>
      <c r="J2173">
        <v>79.041700000000006</v>
      </c>
      <c r="K2173">
        <v>8.4583300000000001</v>
      </c>
      <c r="L2173">
        <v>18</v>
      </c>
      <c r="M2173">
        <v>2</v>
      </c>
      <c r="N2173">
        <v>4</v>
      </c>
      <c r="O2173" t="s">
        <v>127</v>
      </c>
      <c r="P2173" t="s">
        <v>127</v>
      </c>
      <c r="Q2173" t="s">
        <v>127</v>
      </c>
    </row>
    <row r="2174" spans="1:17" x14ac:dyDescent="0.25">
      <c r="A2174" t="str">
        <f>IF(C2174&amp;G2174&amp;D2174&lt;&gt;'Funnel setup'!$K$3&amp;'Funnel setup'!$K$4&amp;'Funnel setup'!$K$6,".",IF(A2173=".",1,A2173+1))</f>
        <v>.</v>
      </c>
      <c r="B2174" s="244" t="str">
        <f t="shared" si="33"/>
        <v>Knee Replacement PrimaryProviderST HELENS AND KNOWSLEY TEACHING HOSPITALS NHS TRUST (RBN)EQ VAS</v>
      </c>
      <c r="C2174" t="s">
        <v>969</v>
      </c>
      <c r="D2174" t="s">
        <v>965</v>
      </c>
      <c r="E2174" t="s">
        <v>608</v>
      </c>
      <c r="F2174" t="s">
        <v>609</v>
      </c>
      <c r="G2174" t="s">
        <v>752</v>
      </c>
      <c r="H2174">
        <v>59</v>
      </c>
      <c r="I2174">
        <v>67.271199999999993</v>
      </c>
      <c r="J2174">
        <v>71.254199999999997</v>
      </c>
      <c r="K2174">
        <v>3.98305</v>
      </c>
      <c r="L2174">
        <v>31</v>
      </c>
      <c r="M2174">
        <v>9</v>
      </c>
      <c r="N2174">
        <v>19</v>
      </c>
      <c r="O2174">
        <v>73.064999999999998</v>
      </c>
      <c r="P2174">
        <v>7.5366299999999997</v>
      </c>
      <c r="Q2174">
        <v>20.305499999999999</v>
      </c>
    </row>
    <row r="2175" spans="1:17" x14ac:dyDescent="0.25">
      <c r="A2175" t="str">
        <f>IF(C2175&amp;G2175&amp;D2175&lt;&gt;'Funnel setup'!$K$3&amp;'Funnel setup'!$K$4&amp;'Funnel setup'!$K$6,".",IF(A2174=".",1,A2174+1))</f>
        <v>.</v>
      </c>
      <c r="B2175" s="244" t="str">
        <f t="shared" si="33"/>
        <v>Knee Replacement PrimaryProviderST HUGH'S HOSPITAL (NTE02)EQ VAS</v>
      </c>
      <c r="C2175" t="s">
        <v>969</v>
      </c>
      <c r="D2175" t="s">
        <v>965</v>
      </c>
      <c r="E2175" t="s">
        <v>610</v>
      </c>
      <c r="F2175" t="s">
        <v>611</v>
      </c>
      <c r="G2175" t="s">
        <v>752</v>
      </c>
      <c r="H2175">
        <v>108</v>
      </c>
      <c r="I2175">
        <v>70.916700000000006</v>
      </c>
      <c r="J2175">
        <v>74.018500000000003</v>
      </c>
      <c r="K2175">
        <v>3.1018500000000002</v>
      </c>
      <c r="L2175">
        <v>58</v>
      </c>
      <c r="M2175">
        <v>17</v>
      </c>
      <c r="N2175">
        <v>33</v>
      </c>
      <c r="O2175">
        <v>71.102199999999996</v>
      </c>
      <c r="P2175">
        <v>5.5737800000000002</v>
      </c>
      <c r="Q2175">
        <v>18.959499999999998</v>
      </c>
    </row>
    <row r="2176" spans="1:17" x14ac:dyDescent="0.25">
      <c r="A2176" t="str">
        <f>IF(C2176&amp;G2176&amp;D2176&lt;&gt;'Funnel setup'!$K$3&amp;'Funnel setup'!$K$4&amp;'Funnel setup'!$K$6,".",IF(A2175=".",1,A2175+1))</f>
        <v>.</v>
      </c>
      <c r="B2176" s="244" t="str">
        <f t="shared" si="33"/>
        <v>Knee Replacement PrimaryProviderSTOCKPORT NHS FOUNDATION TRUST (RWJ)EQ VAS</v>
      </c>
      <c r="C2176" t="s">
        <v>969</v>
      </c>
      <c r="D2176" t="s">
        <v>965</v>
      </c>
      <c r="E2176" t="s">
        <v>614</v>
      </c>
      <c r="F2176" t="s">
        <v>615</v>
      </c>
      <c r="G2176" t="s">
        <v>752</v>
      </c>
      <c r="H2176">
        <v>23</v>
      </c>
      <c r="I2176">
        <v>72.087000000000003</v>
      </c>
      <c r="J2176">
        <v>80</v>
      </c>
      <c r="K2176">
        <v>7.9130399999999996</v>
      </c>
      <c r="L2176">
        <v>13</v>
      </c>
      <c r="M2176">
        <v>1</v>
      </c>
      <c r="N2176">
        <v>9</v>
      </c>
      <c r="O2176" t="s">
        <v>127</v>
      </c>
      <c r="P2176" t="s">
        <v>127</v>
      </c>
      <c r="Q2176" t="s">
        <v>127</v>
      </c>
    </row>
    <row r="2177" spans="1:17" x14ac:dyDescent="0.25">
      <c r="A2177" t="str">
        <f>IF(C2177&amp;G2177&amp;D2177&lt;&gt;'Funnel setup'!$K$3&amp;'Funnel setup'!$K$4&amp;'Funnel setup'!$K$6,".",IF(A2176=".",1,A2176+1))</f>
        <v>.</v>
      </c>
      <c r="B2177" s="244" t="str">
        <f t="shared" si="33"/>
        <v>Knee Replacement PrimaryProviderSURREY AND SUSSEX HEALTHCARE NHS TRUST (RTP)EQ VAS</v>
      </c>
      <c r="C2177" t="s">
        <v>969</v>
      </c>
      <c r="D2177" t="s">
        <v>965</v>
      </c>
      <c r="E2177" t="s">
        <v>618</v>
      </c>
      <c r="F2177" t="s">
        <v>619</v>
      </c>
      <c r="G2177" t="s">
        <v>752</v>
      </c>
      <c r="H2177">
        <v>30</v>
      </c>
      <c r="I2177">
        <v>66.5</v>
      </c>
      <c r="J2177">
        <v>75.166700000000006</v>
      </c>
      <c r="K2177">
        <v>8.6666699999999999</v>
      </c>
      <c r="L2177">
        <v>20</v>
      </c>
      <c r="M2177">
        <v>1</v>
      </c>
      <c r="N2177">
        <v>9</v>
      </c>
      <c r="O2177">
        <v>75.678899999999999</v>
      </c>
      <c r="P2177">
        <v>10.150499999999999</v>
      </c>
      <c r="Q2177">
        <v>13.039199999999999</v>
      </c>
    </row>
    <row r="2178" spans="1:17" x14ac:dyDescent="0.25">
      <c r="A2178" t="str">
        <f>IF(C2178&amp;G2178&amp;D2178&lt;&gt;'Funnel setup'!$K$3&amp;'Funnel setup'!$K$4&amp;'Funnel setup'!$K$6,".",IF(A2177=".",1,A2177+1))</f>
        <v>.</v>
      </c>
      <c r="B2178" s="244" t="str">
        <f t="shared" ref="B2178:B2241" si="34">C2178&amp;D2178&amp;F2178&amp;G2178</f>
        <v>Knee Replacement PrimaryProviderTEES VALLEY HOSPITAL (NVC0R)EQ VAS</v>
      </c>
      <c r="C2178" t="s">
        <v>969</v>
      </c>
      <c r="D2178" t="s">
        <v>965</v>
      </c>
      <c r="E2178" t="s">
        <v>624</v>
      </c>
      <c r="F2178" t="s">
        <v>625</v>
      </c>
      <c r="G2178" t="s">
        <v>752</v>
      </c>
      <c r="H2178">
        <v>46</v>
      </c>
      <c r="I2178">
        <v>70.782600000000002</v>
      </c>
      <c r="J2178">
        <v>77.326099999999997</v>
      </c>
      <c r="K2178">
        <v>6.5434799999999997</v>
      </c>
      <c r="L2178">
        <v>31</v>
      </c>
      <c r="M2178">
        <v>3</v>
      </c>
      <c r="N2178">
        <v>12</v>
      </c>
      <c r="O2178">
        <v>75.137699999999995</v>
      </c>
      <c r="P2178">
        <v>9.6093100000000007</v>
      </c>
      <c r="Q2178">
        <v>16.164899999999999</v>
      </c>
    </row>
    <row r="2179" spans="1:17" x14ac:dyDescent="0.25">
      <c r="A2179" t="str">
        <f>IF(C2179&amp;G2179&amp;D2179&lt;&gt;'Funnel setup'!$K$3&amp;'Funnel setup'!$K$4&amp;'Funnel setup'!$K$6,".",IF(A2178=".",1,A2178+1))</f>
        <v>.</v>
      </c>
      <c r="B2179" s="244" t="str">
        <f t="shared" si="34"/>
        <v>Knee Replacement PrimaryProviderTHE BERKSHIRE INDEPENDENT HOSPITAL (NVC02)EQ VAS</v>
      </c>
      <c r="C2179" t="s">
        <v>969</v>
      </c>
      <c r="D2179" t="s">
        <v>965</v>
      </c>
      <c r="E2179" t="s">
        <v>626</v>
      </c>
      <c r="F2179" t="s">
        <v>627</v>
      </c>
      <c r="G2179" t="s">
        <v>752</v>
      </c>
      <c r="H2179">
        <v>12</v>
      </c>
      <c r="I2179">
        <v>77.333299999999994</v>
      </c>
      <c r="J2179">
        <v>82.083299999999994</v>
      </c>
      <c r="K2179">
        <v>4.75</v>
      </c>
      <c r="L2179">
        <v>6</v>
      </c>
      <c r="M2179">
        <v>3</v>
      </c>
      <c r="N2179">
        <v>3</v>
      </c>
      <c r="O2179" t="s">
        <v>127</v>
      </c>
      <c r="P2179" t="s">
        <v>127</v>
      </c>
      <c r="Q2179" t="s">
        <v>127</v>
      </c>
    </row>
    <row r="2180" spans="1:17" x14ac:dyDescent="0.25">
      <c r="A2180" t="str">
        <f>IF(C2180&amp;G2180&amp;D2180&lt;&gt;'Funnel setup'!$K$3&amp;'Funnel setup'!$K$4&amp;'Funnel setup'!$K$6,".",IF(A2179=".",1,A2179+1))</f>
        <v>.</v>
      </c>
      <c r="B2180" s="244" t="str">
        <f t="shared" si="34"/>
        <v>Knee Replacement PrimaryProviderTHE CHERWELL HOSPITAL (NVC25)EQ VAS</v>
      </c>
      <c r="C2180" t="s">
        <v>969</v>
      </c>
      <c r="D2180" t="s">
        <v>965</v>
      </c>
      <c r="E2180" t="s">
        <v>628</v>
      </c>
      <c r="F2180" t="s">
        <v>629</v>
      </c>
      <c r="G2180" t="s">
        <v>752</v>
      </c>
      <c r="H2180">
        <v>240</v>
      </c>
      <c r="I2180">
        <v>68.433300000000003</v>
      </c>
      <c r="J2180">
        <v>75.620800000000003</v>
      </c>
      <c r="K2180">
        <v>7.1875</v>
      </c>
      <c r="L2180">
        <v>140</v>
      </c>
      <c r="M2180">
        <v>35</v>
      </c>
      <c r="N2180">
        <v>65</v>
      </c>
      <c r="O2180">
        <v>73.713300000000004</v>
      </c>
      <c r="P2180">
        <v>8.1848600000000005</v>
      </c>
      <c r="Q2180">
        <v>15.686500000000001</v>
      </c>
    </row>
    <row r="2181" spans="1:17" x14ac:dyDescent="0.25">
      <c r="A2181" t="str">
        <f>IF(C2181&amp;G2181&amp;D2181&lt;&gt;'Funnel setup'!$K$3&amp;'Funnel setup'!$K$4&amp;'Funnel setup'!$K$6,".",IF(A2180=".",1,A2180+1))</f>
        <v>.</v>
      </c>
      <c r="B2181" s="244" t="str">
        <f t="shared" si="34"/>
        <v>Knee Replacement PrimaryProviderTHE DUDLEY GROUP NHS FOUNDATION TRUST (RNA)EQ VAS</v>
      </c>
      <c r="C2181" t="s">
        <v>969</v>
      </c>
      <c r="D2181" t="s">
        <v>965</v>
      </c>
      <c r="E2181" t="s">
        <v>630</v>
      </c>
      <c r="F2181" t="s">
        <v>631</v>
      </c>
      <c r="G2181" t="s">
        <v>752</v>
      </c>
      <c r="H2181">
        <v>1</v>
      </c>
      <c r="I2181">
        <v>80</v>
      </c>
      <c r="J2181">
        <v>80</v>
      </c>
      <c r="K2181">
        <v>0</v>
      </c>
      <c r="L2181">
        <v>0</v>
      </c>
      <c r="M2181">
        <v>1</v>
      </c>
      <c r="N2181">
        <v>0</v>
      </c>
      <c r="O2181" t="s">
        <v>127</v>
      </c>
      <c r="P2181" t="s">
        <v>127</v>
      </c>
      <c r="Q2181" t="s">
        <v>127</v>
      </c>
    </row>
    <row r="2182" spans="1:17" x14ac:dyDescent="0.25">
      <c r="A2182" t="str">
        <f>IF(C2182&amp;G2182&amp;D2182&lt;&gt;'Funnel setup'!$K$3&amp;'Funnel setup'!$K$4&amp;'Funnel setup'!$K$6,".",IF(A2181=".",1,A2181+1))</f>
        <v>.</v>
      </c>
      <c r="B2182" s="244" t="str">
        <f t="shared" si="34"/>
        <v>Knee Replacement PrimaryProviderTHE HILLINGDON HOSPITALS NHS FOUNDATION TRUST (RAS)EQ VAS</v>
      </c>
      <c r="C2182" t="s">
        <v>969</v>
      </c>
      <c r="D2182" t="s">
        <v>965</v>
      </c>
      <c r="E2182" t="s">
        <v>632</v>
      </c>
      <c r="F2182" t="s">
        <v>633</v>
      </c>
      <c r="G2182" t="s">
        <v>752</v>
      </c>
      <c r="H2182">
        <v>105</v>
      </c>
      <c r="I2182">
        <v>63.1143</v>
      </c>
      <c r="J2182">
        <v>69.8857</v>
      </c>
      <c r="K2182">
        <v>6.7714299999999996</v>
      </c>
      <c r="L2182">
        <v>60</v>
      </c>
      <c r="M2182">
        <v>14</v>
      </c>
      <c r="N2182">
        <v>31</v>
      </c>
      <c r="O2182">
        <v>70.441100000000006</v>
      </c>
      <c r="P2182">
        <v>4.9126799999999999</v>
      </c>
      <c r="Q2182">
        <v>17.5288</v>
      </c>
    </row>
    <row r="2183" spans="1:17" x14ac:dyDescent="0.25">
      <c r="A2183" t="str">
        <f>IF(C2183&amp;G2183&amp;D2183&lt;&gt;'Funnel setup'!$K$3&amp;'Funnel setup'!$K$4&amp;'Funnel setup'!$K$6,".",IF(A2182=".",1,A2182+1))</f>
        <v>.</v>
      </c>
      <c r="B2183" s="244" t="str">
        <f t="shared" si="34"/>
        <v>Knee Replacement PrimaryProviderTHE HORDER CENTRE - ST JOHNS ROAD (NXM01)EQ VAS</v>
      </c>
      <c r="C2183" t="s">
        <v>969</v>
      </c>
      <c r="D2183" t="s">
        <v>965</v>
      </c>
      <c r="E2183" t="s">
        <v>634</v>
      </c>
      <c r="F2183" t="s">
        <v>635</v>
      </c>
      <c r="G2183" t="s">
        <v>752</v>
      </c>
      <c r="H2183">
        <v>240</v>
      </c>
      <c r="I2183">
        <v>70.587500000000006</v>
      </c>
      <c r="J2183">
        <v>79.05</v>
      </c>
      <c r="K2183">
        <v>8.4625000000000004</v>
      </c>
      <c r="L2183">
        <v>148</v>
      </c>
      <c r="M2183">
        <v>30</v>
      </c>
      <c r="N2183">
        <v>62</v>
      </c>
      <c r="O2183">
        <v>76.182400000000001</v>
      </c>
      <c r="P2183">
        <v>10.654</v>
      </c>
      <c r="Q2183">
        <v>14.8034</v>
      </c>
    </row>
    <row r="2184" spans="1:17" x14ac:dyDescent="0.25">
      <c r="A2184" t="str">
        <f>IF(C2184&amp;G2184&amp;D2184&lt;&gt;'Funnel setup'!$K$3&amp;'Funnel setup'!$K$4&amp;'Funnel setup'!$K$6,".",IF(A2183=".",1,A2183+1))</f>
        <v>.</v>
      </c>
      <c r="B2184" s="244" t="str">
        <f t="shared" si="34"/>
        <v>Knee Replacement PrimaryProviderTHE NEWCASTLE UPON TYNE HOSPITALS NHS FOUNDATION TRUST (RTD)EQ VAS</v>
      </c>
      <c r="C2184" t="s">
        <v>969</v>
      </c>
      <c r="D2184" t="s">
        <v>965</v>
      </c>
      <c r="E2184" t="s">
        <v>638</v>
      </c>
      <c r="F2184" t="s">
        <v>639</v>
      </c>
      <c r="G2184" t="s">
        <v>752</v>
      </c>
      <c r="H2184">
        <v>26</v>
      </c>
      <c r="I2184">
        <v>56.961500000000001</v>
      </c>
      <c r="J2184">
        <v>74.692300000000003</v>
      </c>
      <c r="K2184">
        <v>17.730799999999999</v>
      </c>
      <c r="L2184">
        <v>20</v>
      </c>
      <c r="M2184">
        <v>2</v>
      </c>
      <c r="N2184">
        <v>4</v>
      </c>
      <c r="O2184" t="s">
        <v>127</v>
      </c>
      <c r="P2184" t="s">
        <v>127</v>
      </c>
      <c r="Q2184" t="s">
        <v>127</v>
      </c>
    </row>
    <row r="2185" spans="1:17" x14ac:dyDescent="0.25">
      <c r="A2185" t="str">
        <f>IF(C2185&amp;G2185&amp;D2185&lt;&gt;'Funnel setup'!$K$3&amp;'Funnel setup'!$K$4&amp;'Funnel setup'!$K$6,".",IF(A2184=".",1,A2184+1))</f>
        <v>.</v>
      </c>
      <c r="B2185" s="244" t="str">
        <f t="shared" si="34"/>
        <v>Knee Replacement PrimaryProviderTHE PRINCESS ALEXANDRA HOSPITAL NHS TRUST (RQW)EQ VAS</v>
      </c>
      <c r="C2185" t="s">
        <v>969</v>
      </c>
      <c r="D2185" t="s">
        <v>965</v>
      </c>
      <c r="E2185" t="s">
        <v>640</v>
      </c>
      <c r="F2185" t="s">
        <v>641</v>
      </c>
      <c r="G2185" t="s">
        <v>752</v>
      </c>
      <c r="H2185">
        <v>27</v>
      </c>
      <c r="I2185">
        <v>55.259300000000003</v>
      </c>
      <c r="J2185">
        <v>63.740699999999997</v>
      </c>
      <c r="K2185">
        <v>8.4814799999999995</v>
      </c>
      <c r="L2185">
        <v>16</v>
      </c>
      <c r="M2185">
        <v>3</v>
      </c>
      <c r="N2185">
        <v>8</v>
      </c>
      <c r="O2185" t="s">
        <v>127</v>
      </c>
      <c r="P2185" t="s">
        <v>127</v>
      </c>
      <c r="Q2185" t="s">
        <v>127</v>
      </c>
    </row>
    <row r="2186" spans="1:17" x14ac:dyDescent="0.25">
      <c r="A2186" t="str">
        <f>IF(C2186&amp;G2186&amp;D2186&lt;&gt;'Funnel setup'!$K$3&amp;'Funnel setup'!$K$4&amp;'Funnel setup'!$K$6,".",IF(A2185=".",1,A2185+1))</f>
        <v>.</v>
      </c>
      <c r="B2186" s="244" t="str">
        <f t="shared" si="34"/>
        <v>Knee Replacement PrimaryProviderTHE QUEEN ELIZABETH HOSPITAL, KING'S LYNN, NHS FOUNDATION TRUST (RCX)EQ VAS</v>
      </c>
      <c r="C2186" t="s">
        <v>969</v>
      </c>
      <c r="D2186" t="s">
        <v>965</v>
      </c>
      <c r="E2186" t="s">
        <v>644</v>
      </c>
      <c r="F2186" t="s">
        <v>645</v>
      </c>
      <c r="G2186" t="s">
        <v>752</v>
      </c>
      <c r="H2186">
        <v>75</v>
      </c>
      <c r="I2186">
        <v>63.253300000000003</v>
      </c>
      <c r="J2186">
        <v>72.88</v>
      </c>
      <c r="K2186">
        <v>9.6266700000000007</v>
      </c>
      <c r="L2186">
        <v>44</v>
      </c>
      <c r="M2186">
        <v>9</v>
      </c>
      <c r="N2186">
        <v>22</v>
      </c>
      <c r="O2186">
        <v>74.175700000000006</v>
      </c>
      <c r="P2186">
        <v>8.6472499999999997</v>
      </c>
      <c r="Q2186">
        <v>17.229199999999999</v>
      </c>
    </row>
    <row r="2187" spans="1:17" x14ac:dyDescent="0.25">
      <c r="A2187" t="str">
        <f>IF(C2187&amp;G2187&amp;D2187&lt;&gt;'Funnel setup'!$K$3&amp;'Funnel setup'!$K$4&amp;'Funnel setup'!$K$6,".",IF(A2186=".",1,A2186+1))</f>
        <v>.</v>
      </c>
      <c r="B2187" s="244" t="str">
        <f t="shared" si="34"/>
        <v>Knee Replacement PrimaryProviderTHE ROBERT JONES AND AGNES HUNT ORTHOPAEDIC HOSPITAL NHS FOUNDATION TRUST (RL1)EQ VAS</v>
      </c>
      <c r="C2187" t="s">
        <v>969</v>
      </c>
      <c r="D2187" t="s">
        <v>965</v>
      </c>
      <c r="E2187" t="s">
        <v>646</v>
      </c>
      <c r="F2187" t="s">
        <v>647</v>
      </c>
      <c r="G2187" t="s">
        <v>752</v>
      </c>
      <c r="H2187">
        <v>290</v>
      </c>
      <c r="I2187">
        <v>61.382800000000003</v>
      </c>
      <c r="J2187">
        <v>75.041399999999996</v>
      </c>
      <c r="K2187">
        <v>13.6586</v>
      </c>
      <c r="L2187">
        <v>210</v>
      </c>
      <c r="M2187">
        <v>23</v>
      </c>
      <c r="N2187">
        <v>57</v>
      </c>
      <c r="O2187">
        <v>76.590199999999996</v>
      </c>
      <c r="P2187">
        <v>11.0618</v>
      </c>
      <c r="Q2187">
        <v>15.0472</v>
      </c>
    </row>
    <row r="2188" spans="1:17" x14ac:dyDescent="0.25">
      <c r="A2188" t="str">
        <f>IF(C2188&amp;G2188&amp;D2188&lt;&gt;'Funnel setup'!$K$3&amp;'Funnel setup'!$K$4&amp;'Funnel setup'!$K$6,".",IF(A2187=".",1,A2187+1))</f>
        <v>.</v>
      </c>
      <c r="B2188" s="244" t="str">
        <f t="shared" si="34"/>
        <v>Knee Replacement PrimaryProviderTHE ROTHERHAM NHS FOUNDATION TRUST (RFR)EQ VAS</v>
      </c>
      <c r="C2188" t="s">
        <v>969</v>
      </c>
      <c r="D2188" t="s">
        <v>965</v>
      </c>
      <c r="E2188" t="s">
        <v>648</v>
      </c>
      <c r="F2188" t="s">
        <v>649</v>
      </c>
      <c r="G2188" t="s">
        <v>752</v>
      </c>
      <c r="H2188">
        <v>26</v>
      </c>
      <c r="I2188">
        <v>64.807699999999997</v>
      </c>
      <c r="J2188">
        <v>73.807699999999997</v>
      </c>
      <c r="K2188">
        <v>9</v>
      </c>
      <c r="L2188">
        <v>16</v>
      </c>
      <c r="M2188">
        <v>3</v>
      </c>
      <c r="N2188">
        <v>7</v>
      </c>
      <c r="O2188" t="s">
        <v>127</v>
      </c>
      <c r="P2188" t="s">
        <v>127</v>
      </c>
      <c r="Q2188" t="s">
        <v>127</v>
      </c>
    </row>
    <row r="2189" spans="1:17" x14ac:dyDescent="0.25">
      <c r="A2189" t="str">
        <f>IF(C2189&amp;G2189&amp;D2189&lt;&gt;'Funnel setup'!$K$3&amp;'Funnel setup'!$K$4&amp;'Funnel setup'!$K$6,".",IF(A2188=".",1,A2188+1))</f>
        <v>.</v>
      </c>
      <c r="B2189" s="244" t="str">
        <f t="shared" si="34"/>
        <v>Knee Replacement PrimaryProviderTHE ROYAL ORTHOPAEDIC HOSPITAL NHS FOUNDATION TRUST (RRJ)EQ VAS</v>
      </c>
      <c r="C2189" t="s">
        <v>969</v>
      </c>
      <c r="D2189" t="s">
        <v>965</v>
      </c>
      <c r="E2189" t="s">
        <v>652</v>
      </c>
      <c r="F2189" t="s">
        <v>653</v>
      </c>
      <c r="G2189" t="s">
        <v>752</v>
      </c>
      <c r="H2189">
        <v>388</v>
      </c>
      <c r="I2189">
        <v>65.030900000000003</v>
      </c>
      <c r="J2189">
        <v>71.832499999999996</v>
      </c>
      <c r="K2189">
        <v>6.8015499999999998</v>
      </c>
      <c r="L2189">
        <v>220</v>
      </c>
      <c r="M2189">
        <v>39</v>
      </c>
      <c r="N2189">
        <v>129</v>
      </c>
      <c r="O2189">
        <v>72.544200000000004</v>
      </c>
      <c r="P2189">
        <v>7.0158399999999999</v>
      </c>
      <c r="Q2189">
        <v>17.7194</v>
      </c>
    </row>
    <row r="2190" spans="1:17" x14ac:dyDescent="0.25">
      <c r="A2190" t="str">
        <f>IF(C2190&amp;G2190&amp;D2190&lt;&gt;'Funnel setup'!$K$3&amp;'Funnel setup'!$K$4&amp;'Funnel setup'!$K$6,".",IF(A2189=".",1,A2189+1))</f>
        <v>.</v>
      </c>
      <c r="B2190" s="244" t="str">
        <f t="shared" si="34"/>
        <v>Knee Replacement PrimaryProviderTHE ROYAL WOLVERHAMPTON NHS TRUST (RL4)EQ VAS</v>
      </c>
      <c r="C2190" t="s">
        <v>969</v>
      </c>
      <c r="D2190" t="s">
        <v>965</v>
      </c>
      <c r="E2190" t="s">
        <v>654</v>
      </c>
      <c r="F2190" t="s">
        <v>655</v>
      </c>
      <c r="G2190" t="s">
        <v>752</v>
      </c>
      <c r="H2190">
        <v>19</v>
      </c>
      <c r="I2190">
        <v>66.263199999999998</v>
      </c>
      <c r="J2190">
        <v>76.473699999999994</v>
      </c>
      <c r="K2190">
        <v>10.2105</v>
      </c>
      <c r="L2190">
        <v>15</v>
      </c>
      <c r="M2190">
        <v>0</v>
      </c>
      <c r="N2190">
        <v>4</v>
      </c>
      <c r="O2190" t="s">
        <v>127</v>
      </c>
      <c r="P2190" t="s">
        <v>127</v>
      </c>
      <c r="Q2190" t="s">
        <v>127</v>
      </c>
    </row>
    <row r="2191" spans="1:17" x14ac:dyDescent="0.25">
      <c r="A2191" t="str">
        <f>IF(C2191&amp;G2191&amp;D2191&lt;&gt;'Funnel setup'!$K$3&amp;'Funnel setup'!$K$4&amp;'Funnel setup'!$K$6,".",IF(A2190=".",1,A2190+1))</f>
        <v>.</v>
      </c>
      <c r="B2191" s="244" t="str">
        <f t="shared" si="34"/>
        <v>Knee Replacement PrimaryProviderTHE SHREWSBURY AND TELFORD HOSPITAL NHS TRUST (RXW)EQ VAS</v>
      </c>
      <c r="C2191" t="s">
        <v>969</v>
      </c>
      <c r="D2191" t="s">
        <v>965</v>
      </c>
      <c r="E2191" t="s">
        <v>656</v>
      </c>
      <c r="F2191" t="s">
        <v>657</v>
      </c>
      <c r="G2191" t="s">
        <v>752</v>
      </c>
      <c r="H2191">
        <v>12</v>
      </c>
      <c r="I2191">
        <v>66.5</v>
      </c>
      <c r="J2191">
        <v>64.916700000000006</v>
      </c>
      <c r="K2191">
        <v>-1.5833299999999999</v>
      </c>
      <c r="L2191">
        <v>7</v>
      </c>
      <c r="M2191">
        <v>0</v>
      </c>
      <c r="N2191">
        <v>5</v>
      </c>
      <c r="O2191" t="s">
        <v>127</v>
      </c>
      <c r="P2191" t="s">
        <v>127</v>
      </c>
      <c r="Q2191" t="s">
        <v>127</v>
      </c>
    </row>
    <row r="2192" spans="1:17" x14ac:dyDescent="0.25">
      <c r="A2192" t="str">
        <f>IF(C2192&amp;G2192&amp;D2192&lt;&gt;'Funnel setup'!$K$3&amp;'Funnel setup'!$K$4&amp;'Funnel setup'!$K$6,".",IF(A2191=".",1,A2191+1))</f>
        <v>.</v>
      </c>
      <c r="B2192" s="244" t="str">
        <f t="shared" si="34"/>
        <v>Knee Replacement PrimaryProviderTHE YORKSHIRE CLINIC (NVC20)EQ VAS</v>
      </c>
      <c r="C2192" t="s">
        <v>969</v>
      </c>
      <c r="D2192" t="s">
        <v>965</v>
      </c>
      <c r="E2192" t="s">
        <v>662</v>
      </c>
      <c r="F2192" t="s">
        <v>663</v>
      </c>
      <c r="G2192" t="s">
        <v>752</v>
      </c>
      <c r="H2192">
        <v>34</v>
      </c>
      <c r="I2192">
        <v>63.5</v>
      </c>
      <c r="J2192">
        <v>71.676500000000004</v>
      </c>
      <c r="K2192">
        <v>8.1764700000000001</v>
      </c>
      <c r="L2192">
        <v>24</v>
      </c>
      <c r="M2192">
        <v>2</v>
      </c>
      <c r="N2192">
        <v>8</v>
      </c>
      <c r="O2192">
        <v>74.368399999999994</v>
      </c>
      <c r="P2192">
        <v>8.8400099999999995</v>
      </c>
      <c r="Q2192">
        <v>16.220500000000001</v>
      </c>
    </row>
    <row r="2193" spans="1:17" x14ac:dyDescent="0.25">
      <c r="A2193" t="str">
        <f>IF(C2193&amp;G2193&amp;D2193&lt;&gt;'Funnel setup'!$K$3&amp;'Funnel setup'!$K$4&amp;'Funnel setup'!$K$6,".",IF(A2192=".",1,A2192+1))</f>
        <v>.</v>
      </c>
      <c r="B2193" s="244" t="str">
        <f t="shared" si="34"/>
        <v>Knee Replacement PrimaryProviderTHORNBURY HOSPITAL (NT440)EQ VAS</v>
      </c>
      <c r="C2193" t="s">
        <v>969</v>
      </c>
      <c r="D2193" t="s">
        <v>965</v>
      </c>
      <c r="E2193" t="s">
        <v>664</v>
      </c>
      <c r="F2193" t="s">
        <v>665</v>
      </c>
      <c r="G2193" t="s">
        <v>752</v>
      </c>
      <c r="H2193">
        <v>4</v>
      </c>
      <c r="I2193">
        <v>69.5</v>
      </c>
      <c r="J2193">
        <v>72</v>
      </c>
      <c r="K2193">
        <v>2.5</v>
      </c>
      <c r="L2193">
        <v>2</v>
      </c>
      <c r="M2193">
        <v>0</v>
      </c>
      <c r="N2193">
        <v>2</v>
      </c>
      <c r="O2193" t="s">
        <v>127</v>
      </c>
      <c r="P2193" t="s">
        <v>127</v>
      </c>
      <c r="Q2193" t="s">
        <v>127</v>
      </c>
    </row>
    <row r="2194" spans="1:17" x14ac:dyDescent="0.25">
      <c r="A2194" t="str">
        <f>IF(C2194&amp;G2194&amp;D2194&lt;&gt;'Funnel setup'!$K$3&amp;'Funnel setup'!$K$4&amp;'Funnel setup'!$K$6,".",IF(A2193=".",1,A2193+1))</f>
        <v>.</v>
      </c>
      <c r="B2194" s="244" t="str">
        <f t="shared" si="34"/>
        <v>Knee Replacement PrimaryProviderTHREE SHIRES HOSPITAL (NT441)EQ VAS</v>
      </c>
      <c r="C2194" t="s">
        <v>969</v>
      </c>
      <c r="D2194" t="s">
        <v>965</v>
      </c>
      <c r="E2194" t="s">
        <v>666</v>
      </c>
      <c r="F2194" t="s">
        <v>667</v>
      </c>
      <c r="G2194" t="s">
        <v>752</v>
      </c>
      <c r="H2194">
        <v>67</v>
      </c>
      <c r="I2194">
        <v>67.253699999999995</v>
      </c>
      <c r="J2194">
        <v>76.955200000000005</v>
      </c>
      <c r="K2194">
        <v>9.7014899999999997</v>
      </c>
      <c r="L2194">
        <v>42</v>
      </c>
      <c r="M2194">
        <v>3</v>
      </c>
      <c r="N2194">
        <v>22</v>
      </c>
      <c r="O2194">
        <v>74.3416</v>
      </c>
      <c r="P2194">
        <v>8.8132300000000008</v>
      </c>
      <c r="Q2194">
        <v>16.058599999999998</v>
      </c>
    </row>
    <row r="2195" spans="1:17" x14ac:dyDescent="0.25">
      <c r="A2195" t="str">
        <f>IF(C2195&amp;G2195&amp;D2195&lt;&gt;'Funnel setup'!$K$3&amp;'Funnel setup'!$K$4&amp;'Funnel setup'!$K$6,".",IF(A2194=".",1,A2194+1))</f>
        <v>.</v>
      </c>
      <c r="B2195" s="244" t="str">
        <f t="shared" si="34"/>
        <v>Knee Replacement PrimaryProviderTORBAY AND SOUTH DEVON NHS FOUNDATION TRUST (RA9)EQ VAS</v>
      </c>
      <c r="C2195" t="s">
        <v>969</v>
      </c>
      <c r="D2195" t="s">
        <v>965</v>
      </c>
      <c r="E2195" t="s">
        <v>668</v>
      </c>
      <c r="F2195" t="s">
        <v>669</v>
      </c>
      <c r="G2195" t="s">
        <v>752</v>
      </c>
      <c r="H2195">
        <v>6</v>
      </c>
      <c r="I2195">
        <v>59</v>
      </c>
      <c r="J2195">
        <v>65.166700000000006</v>
      </c>
      <c r="K2195">
        <v>6.1666699999999999</v>
      </c>
      <c r="L2195">
        <v>3</v>
      </c>
      <c r="M2195">
        <v>1</v>
      </c>
      <c r="N2195">
        <v>2</v>
      </c>
      <c r="O2195" t="s">
        <v>127</v>
      </c>
      <c r="P2195" t="s">
        <v>127</v>
      </c>
      <c r="Q2195" t="s">
        <v>127</v>
      </c>
    </row>
    <row r="2196" spans="1:17" x14ac:dyDescent="0.25">
      <c r="A2196" t="str">
        <f>IF(C2196&amp;G2196&amp;D2196&lt;&gt;'Funnel setup'!$K$3&amp;'Funnel setup'!$K$4&amp;'Funnel setup'!$K$6,".",IF(A2195=".",1,A2195+1))</f>
        <v>.</v>
      </c>
      <c r="B2196" s="244" t="str">
        <f t="shared" si="34"/>
        <v>Knee Replacement PrimaryProviderUNITED LINCOLNSHIRE HOSPITALS NHS TRUST (RWD)EQ VAS</v>
      </c>
      <c r="C2196" t="s">
        <v>969</v>
      </c>
      <c r="D2196" t="s">
        <v>965</v>
      </c>
      <c r="E2196" t="s">
        <v>672</v>
      </c>
      <c r="F2196" t="s">
        <v>673</v>
      </c>
      <c r="G2196" t="s">
        <v>752</v>
      </c>
      <c r="H2196">
        <v>32</v>
      </c>
      <c r="I2196">
        <v>63.1875</v>
      </c>
      <c r="J2196">
        <v>72.093800000000002</v>
      </c>
      <c r="K2196">
        <v>8.90625</v>
      </c>
      <c r="L2196">
        <v>19</v>
      </c>
      <c r="M2196">
        <v>5</v>
      </c>
      <c r="N2196">
        <v>8</v>
      </c>
      <c r="O2196">
        <v>73.581199999999995</v>
      </c>
      <c r="P2196">
        <v>8.0527800000000003</v>
      </c>
      <c r="Q2196">
        <v>12.524100000000001</v>
      </c>
    </row>
    <row r="2197" spans="1:17" x14ac:dyDescent="0.25">
      <c r="A2197" t="str">
        <f>IF(C2197&amp;G2197&amp;D2197&lt;&gt;'Funnel setup'!$K$3&amp;'Funnel setup'!$K$4&amp;'Funnel setup'!$K$6,".",IF(A2196=".",1,A2196+1))</f>
        <v>.</v>
      </c>
      <c r="B2197" s="244" t="str">
        <f t="shared" si="34"/>
        <v>Knee Replacement PrimaryProviderUNIVERSITY COLLEGE LONDON HOSPITALS NHS FOUNDATION TRUST (RRV)EQ VAS</v>
      </c>
      <c r="C2197" t="s">
        <v>969</v>
      </c>
      <c r="D2197" t="s">
        <v>965</v>
      </c>
      <c r="E2197" t="s">
        <v>674</v>
      </c>
      <c r="F2197" t="s">
        <v>675</v>
      </c>
      <c r="G2197" t="s">
        <v>752</v>
      </c>
      <c r="H2197">
        <v>146</v>
      </c>
      <c r="I2197">
        <v>67.246600000000001</v>
      </c>
      <c r="J2197">
        <v>72.0137</v>
      </c>
      <c r="K2197">
        <v>4.7671200000000002</v>
      </c>
      <c r="L2197">
        <v>72</v>
      </c>
      <c r="M2197">
        <v>23</v>
      </c>
      <c r="N2197">
        <v>51</v>
      </c>
      <c r="O2197">
        <v>72.984999999999999</v>
      </c>
      <c r="P2197">
        <v>7.45662</v>
      </c>
      <c r="Q2197">
        <v>16.143000000000001</v>
      </c>
    </row>
    <row r="2198" spans="1:17" x14ac:dyDescent="0.25">
      <c r="A2198" t="str">
        <f>IF(C2198&amp;G2198&amp;D2198&lt;&gt;'Funnel setup'!$K$3&amp;'Funnel setup'!$K$4&amp;'Funnel setup'!$K$6,".",IF(A2197=".",1,A2197+1))</f>
        <v>.</v>
      </c>
      <c r="B2198" s="244" t="str">
        <f t="shared" si="34"/>
        <v>Knee Replacement PrimaryProviderUNIVERSITY HOSPITAL SOUTHAMPTON NHS FOUNDATION TRUST (RHM)EQ VAS</v>
      </c>
      <c r="C2198" t="s">
        <v>969</v>
      </c>
      <c r="D2198" t="s">
        <v>965</v>
      </c>
      <c r="E2198" t="s">
        <v>676</v>
      </c>
      <c r="F2198" t="s">
        <v>677</v>
      </c>
      <c r="G2198" t="s">
        <v>752</v>
      </c>
      <c r="H2198">
        <v>73</v>
      </c>
      <c r="I2198">
        <v>64.575299999999999</v>
      </c>
      <c r="J2198">
        <v>73.753399999999999</v>
      </c>
      <c r="K2198">
        <v>9.1780799999999996</v>
      </c>
      <c r="L2198">
        <v>53</v>
      </c>
      <c r="M2198">
        <v>9</v>
      </c>
      <c r="N2198">
        <v>11</v>
      </c>
      <c r="O2198">
        <v>73.779300000000006</v>
      </c>
      <c r="P2198">
        <v>8.2508700000000008</v>
      </c>
      <c r="Q2198">
        <v>17.1311</v>
      </c>
    </row>
    <row r="2199" spans="1:17" x14ac:dyDescent="0.25">
      <c r="A2199" t="str">
        <f>IF(C2199&amp;G2199&amp;D2199&lt;&gt;'Funnel setup'!$K$3&amp;'Funnel setup'!$K$4&amp;'Funnel setup'!$K$6,".",IF(A2198=".",1,A2198+1))</f>
        <v>.</v>
      </c>
      <c r="B2199" s="244" t="str">
        <f t="shared" si="34"/>
        <v>Knee Replacement PrimaryProviderUNIVERSITY HOSPITALS BRISTOL AND WESTON NHS FOUNDATION TRUST (RA7)EQ VAS</v>
      </c>
      <c r="C2199" t="s">
        <v>969</v>
      </c>
      <c r="D2199" t="s">
        <v>965</v>
      </c>
      <c r="E2199" t="s">
        <v>680</v>
      </c>
      <c r="F2199" t="s">
        <v>681</v>
      </c>
      <c r="G2199" t="s">
        <v>752</v>
      </c>
      <c r="H2199">
        <v>17</v>
      </c>
      <c r="I2199">
        <v>60.529400000000003</v>
      </c>
      <c r="J2199">
        <v>68.2941</v>
      </c>
      <c r="K2199">
        <v>7.76471</v>
      </c>
      <c r="L2199">
        <v>10</v>
      </c>
      <c r="M2199">
        <v>2</v>
      </c>
      <c r="N2199">
        <v>5</v>
      </c>
      <c r="O2199" t="s">
        <v>127</v>
      </c>
      <c r="P2199" t="s">
        <v>127</v>
      </c>
      <c r="Q2199" t="s">
        <v>127</v>
      </c>
    </row>
    <row r="2200" spans="1:17" x14ac:dyDescent="0.25">
      <c r="A2200" t="str">
        <f>IF(C2200&amp;G2200&amp;D2200&lt;&gt;'Funnel setup'!$K$3&amp;'Funnel setup'!$K$4&amp;'Funnel setup'!$K$6,".",IF(A2199=".",1,A2199+1))</f>
        <v>.</v>
      </c>
      <c r="B2200" s="244" t="str">
        <f t="shared" si="34"/>
        <v>Knee Replacement PrimaryProviderUNIVERSITY HOSPITALS COVENTRY AND WARWICKSHIRE NHS TRUST (RKB)EQ VAS</v>
      </c>
      <c r="C2200" t="s">
        <v>969</v>
      </c>
      <c r="D2200" t="s">
        <v>965</v>
      </c>
      <c r="E2200" t="s">
        <v>682</v>
      </c>
      <c r="F2200" t="s">
        <v>683</v>
      </c>
      <c r="G2200" t="s">
        <v>752</v>
      </c>
      <c r="H2200">
        <v>17</v>
      </c>
      <c r="I2200">
        <v>65.941199999999995</v>
      </c>
      <c r="J2200">
        <v>80.588200000000001</v>
      </c>
      <c r="K2200">
        <v>14.6471</v>
      </c>
      <c r="L2200">
        <v>14</v>
      </c>
      <c r="M2200">
        <v>0</v>
      </c>
      <c r="N2200">
        <v>3</v>
      </c>
      <c r="O2200" t="s">
        <v>127</v>
      </c>
      <c r="P2200" t="s">
        <v>127</v>
      </c>
      <c r="Q2200" t="s">
        <v>127</v>
      </c>
    </row>
    <row r="2201" spans="1:17" x14ac:dyDescent="0.25">
      <c r="A2201" t="str">
        <f>IF(C2201&amp;G2201&amp;D2201&lt;&gt;'Funnel setup'!$K$3&amp;'Funnel setup'!$K$4&amp;'Funnel setup'!$K$6,".",IF(A2200=".",1,A2200+1))</f>
        <v>.</v>
      </c>
      <c r="B2201" s="244" t="str">
        <f t="shared" si="34"/>
        <v>Knee Replacement PrimaryProviderUNIVERSITY HOSPITAL DORSET NHS FUNDATION TRUST (R0D)EQ VAS</v>
      </c>
      <c r="C2201" t="s">
        <v>969</v>
      </c>
      <c r="D2201" t="s">
        <v>965</v>
      </c>
      <c r="E2201" t="s">
        <v>684</v>
      </c>
      <c r="F2201" t="s">
        <v>966</v>
      </c>
      <c r="G2201" t="s">
        <v>752</v>
      </c>
      <c r="H2201">
        <v>176</v>
      </c>
      <c r="I2201">
        <v>67.068200000000004</v>
      </c>
      <c r="J2201">
        <v>73.0852</v>
      </c>
      <c r="K2201">
        <v>6.0170500000000002</v>
      </c>
      <c r="L2201">
        <v>100</v>
      </c>
      <c r="M2201">
        <v>22</v>
      </c>
      <c r="N2201">
        <v>54</v>
      </c>
      <c r="O2201">
        <v>72.784999999999997</v>
      </c>
      <c r="P2201">
        <v>7.2566100000000002</v>
      </c>
      <c r="Q2201">
        <v>17.651499999999999</v>
      </c>
    </row>
    <row r="2202" spans="1:17" x14ac:dyDescent="0.25">
      <c r="A2202" t="str">
        <f>IF(C2202&amp;G2202&amp;D2202&lt;&gt;'Funnel setup'!$K$3&amp;'Funnel setup'!$K$4&amp;'Funnel setup'!$K$6,".",IF(A2201=".",1,A2201+1))</f>
        <v>.</v>
      </c>
      <c r="B2202" s="244" t="str">
        <f t="shared" si="34"/>
        <v>Knee Replacement PrimaryProviderUNIVERSITY HOSPITALS OF DERBY AND BURTON NHS FOUNDATION TRUST (RTG)EQ VAS</v>
      </c>
      <c r="C2202" t="s">
        <v>969</v>
      </c>
      <c r="D2202" t="s">
        <v>965</v>
      </c>
      <c r="E2202" t="s">
        <v>686</v>
      </c>
      <c r="F2202" t="s">
        <v>687</v>
      </c>
      <c r="G2202" t="s">
        <v>752</v>
      </c>
      <c r="H2202">
        <v>322</v>
      </c>
      <c r="I2202">
        <v>61.400599999999997</v>
      </c>
      <c r="J2202">
        <v>73.146000000000001</v>
      </c>
      <c r="K2202">
        <v>11.7453</v>
      </c>
      <c r="L2202">
        <v>204</v>
      </c>
      <c r="M2202">
        <v>41</v>
      </c>
      <c r="N2202">
        <v>77</v>
      </c>
      <c r="O2202">
        <v>74.505899999999997</v>
      </c>
      <c r="P2202">
        <v>8.9774799999999999</v>
      </c>
      <c r="Q2202">
        <v>16.842199999999998</v>
      </c>
    </row>
    <row r="2203" spans="1:17" x14ac:dyDescent="0.25">
      <c r="A2203" t="str">
        <f>IF(C2203&amp;G2203&amp;D2203&lt;&gt;'Funnel setup'!$K$3&amp;'Funnel setup'!$K$4&amp;'Funnel setup'!$K$6,".",IF(A2202=".",1,A2202+1))</f>
        <v>.</v>
      </c>
      <c r="B2203" s="244" t="str">
        <f t="shared" si="34"/>
        <v>Knee Replacement PrimaryProviderUNIVERSITY HOSPITALS OF LEICESTER NHS TRUST (RWE)EQ VAS</v>
      </c>
      <c r="C2203" t="s">
        <v>969</v>
      </c>
      <c r="D2203" t="s">
        <v>965</v>
      </c>
      <c r="E2203" t="s">
        <v>688</v>
      </c>
      <c r="F2203" t="s">
        <v>689</v>
      </c>
      <c r="G2203" t="s">
        <v>752</v>
      </c>
      <c r="H2203">
        <v>160</v>
      </c>
      <c r="I2203">
        <v>55.5625</v>
      </c>
      <c r="J2203">
        <v>68.737499999999997</v>
      </c>
      <c r="K2203">
        <v>13.175000000000001</v>
      </c>
      <c r="L2203">
        <v>100</v>
      </c>
      <c r="M2203">
        <v>18</v>
      </c>
      <c r="N2203">
        <v>42</v>
      </c>
      <c r="O2203">
        <v>73.900000000000006</v>
      </c>
      <c r="P2203">
        <v>8.3715600000000006</v>
      </c>
      <c r="Q2203">
        <v>18.479399999999998</v>
      </c>
    </row>
    <row r="2204" spans="1:17" x14ac:dyDescent="0.25">
      <c r="A2204" t="str">
        <f>IF(C2204&amp;G2204&amp;D2204&lt;&gt;'Funnel setup'!$K$3&amp;'Funnel setup'!$K$4&amp;'Funnel setup'!$K$6,".",IF(A2203=".",1,A2203+1))</f>
        <v>.</v>
      </c>
      <c r="B2204" s="244" t="str">
        <f t="shared" si="34"/>
        <v>Knee Replacement PrimaryProviderUNIVERSITY HOSPITALS OF MORECAMBE BAY NHS FOUNDATION TRUST (RTX)EQ VAS</v>
      </c>
      <c r="C2204" t="s">
        <v>969</v>
      </c>
      <c r="D2204" t="s">
        <v>965</v>
      </c>
      <c r="E2204" t="s">
        <v>690</v>
      </c>
      <c r="F2204" t="s">
        <v>691</v>
      </c>
      <c r="G2204" t="s">
        <v>752</v>
      </c>
      <c r="H2204">
        <v>150</v>
      </c>
      <c r="I2204">
        <v>65.5</v>
      </c>
      <c r="J2204">
        <v>73.7667</v>
      </c>
      <c r="K2204">
        <v>8.2666699999999995</v>
      </c>
      <c r="L2204">
        <v>91</v>
      </c>
      <c r="M2204">
        <v>16</v>
      </c>
      <c r="N2204">
        <v>43</v>
      </c>
      <c r="O2204">
        <v>73.681399999999996</v>
      </c>
      <c r="P2204">
        <v>8.1530000000000005</v>
      </c>
      <c r="Q2204">
        <v>16.966200000000001</v>
      </c>
    </row>
    <row r="2205" spans="1:17" x14ac:dyDescent="0.25">
      <c r="A2205" t="str">
        <f>IF(C2205&amp;G2205&amp;D2205&lt;&gt;'Funnel setup'!$K$3&amp;'Funnel setup'!$K$4&amp;'Funnel setup'!$K$6,".",IF(A2204=".",1,A2204+1))</f>
        <v>.</v>
      </c>
      <c r="B2205" s="244" t="str">
        <f t="shared" si="34"/>
        <v>Knee Replacement PrimaryProviderUNIVERSITY HOSPITALS OF NORTH MIDLANDS NHS TRUST (RJE)EQ VAS</v>
      </c>
      <c r="C2205" t="s">
        <v>969</v>
      </c>
      <c r="D2205" t="s">
        <v>965</v>
      </c>
      <c r="E2205" t="s">
        <v>692</v>
      </c>
      <c r="F2205" t="s">
        <v>693</v>
      </c>
      <c r="G2205" t="s">
        <v>752</v>
      </c>
      <c r="H2205">
        <v>16</v>
      </c>
      <c r="I2205">
        <v>60.1875</v>
      </c>
      <c r="J2205">
        <v>66.1875</v>
      </c>
      <c r="K2205">
        <v>6</v>
      </c>
      <c r="L2205">
        <v>10</v>
      </c>
      <c r="M2205">
        <v>1</v>
      </c>
      <c r="N2205">
        <v>5</v>
      </c>
      <c r="O2205" t="s">
        <v>127</v>
      </c>
      <c r="P2205" t="s">
        <v>127</v>
      </c>
      <c r="Q2205" t="s">
        <v>127</v>
      </c>
    </row>
    <row r="2206" spans="1:17" x14ac:dyDescent="0.25">
      <c r="A2206" t="str">
        <f>IF(C2206&amp;G2206&amp;D2206&lt;&gt;'Funnel setup'!$K$3&amp;'Funnel setup'!$K$4&amp;'Funnel setup'!$K$6,".",IF(A2205=".",1,A2205+1))</f>
        <v>.</v>
      </c>
      <c r="B2206" s="244" t="str">
        <f t="shared" si="34"/>
        <v>Knee Replacement PrimaryProviderUNIVERSITY HOSPITALS PLYMOUTH NHS TRUST (RK9)EQ VAS</v>
      </c>
      <c r="C2206" t="s">
        <v>969</v>
      </c>
      <c r="D2206" t="s">
        <v>965</v>
      </c>
      <c r="E2206" t="s">
        <v>694</v>
      </c>
      <c r="F2206" t="s">
        <v>695</v>
      </c>
      <c r="G2206" t="s">
        <v>752</v>
      </c>
      <c r="H2206">
        <v>3</v>
      </c>
      <c r="I2206">
        <v>36.666699999999999</v>
      </c>
      <c r="J2206">
        <v>45</v>
      </c>
      <c r="K2206">
        <v>8.3333300000000001</v>
      </c>
      <c r="L2206">
        <v>1</v>
      </c>
      <c r="M2206">
        <v>0</v>
      </c>
      <c r="N2206">
        <v>2</v>
      </c>
      <c r="O2206" t="s">
        <v>127</v>
      </c>
      <c r="P2206" t="s">
        <v>127</v>
      </c>
      <c r="Q2206" t="s">
        <v>127</v>
      </c>
    </row>
    <row r="2207" spans="1:17" x14ac:dyDescent="0.25">
      <c r="A2207" t="str">
        <f>IF(C2207&amp;G2207&amp;D2207&lt;&gt;'Funnel setup'!$K$3&amp;'Funnel setup'!$K$4&amp;'Funnel setup'!$K$6,".",IF(A2206=".",1,A2206+1))</f>
        <v>.</v>
      </c>
      <c r="B2207" s="244" t="str">
        <f t="shared" si="34"/>
        <v>Knee Replacement PrimaryProviderUNIVERSITY HOSPITALS SUSSEX NHS FOUNDATION TRUST (RYR)EQ VAS</v>
      </c>
      <c r="C2207" t="s">
        <v>969</v>
      </c>
      <c r="D2207" t="s">
        <v>965</v>
      </c>
      <c r="E2207" t="s">
        <v>696</v>
      </c>
      <c r="F2207" t="s">
        <v>697</v>
      </c>
      <c r="G2207" t="s">
        <v>752</v>
      </c>
      <c r="H2207">
        <v>123</v>
      </c>
      <c r="I2207">
        <v>63.203299999999999</v>
      </c>
      <c r="J2207">
        <v>71.918700000000001</v>
      </c>
      <c r="K2207">
        <v>8.7154500000000006</v>
      </c>
      <c r="L2207">
        <v>79</v>
      </c>
      <c r="M2207">
        <v>10</v>
      </c>
      <c r="N2207">
        <v>34</v>
      </c>
      <c r="O2207">
        <v>72.383399999999995</v>
      </c>
      <c r="P2207">
        <v>6.8549699999999998</v>
      </c>
      <c r="Q2207">
        <v>16.871700000000001</v>
      </c>
    </row>
    <row r="2208" spans="1:17" x14ac:dyDescent="0.25">
      <c r="A2208" t="str">
        <f>IF(C2208&amp;G2208&amp;D2208&lt;&gt;'Funnel setup'!$K$3&amp;'Funnel setup'!$K$4&amp;'Funnel setup'!$K$6,".",IF(A2207=".",1,A2207+1))</f>
        <v>.</v>
      </c>
      <c r="B2208" s="244" t="str">
        <f t="shared" si="34"/>
        <v>Knee Replacement PrimaryProviderWALSALL HEALTHCARE NHS TRUST (RBK)EQ VAS</v>
      </c>
      <c r="C2208" t="s">
        <v>969</v>
      </c>
      <c r="D2208" t="s">
        <v>965</v>
      </c>
      <c r="E2208" t="s">
        <v>698</v>
      </c>
      <c r="F2208" t="s">
        <v>699</v>
      </c>
      <c r="G2208" t="s">
        <v>752</v>
      </c>
      <c r="H2208">
        <v>8</v>
      </c>
      <c r="I2208">
        <v>77.125</v>
      </c>
      <c r="J2208">
        <v>75.5</v>
      </c>
      <c r="K2208">
        <v>-1.625</v>
      </c>
      <c r="L2208">
        <v>5</v>
      </c>
      <c r="M2208">
        <v>0</v>
      </c>
      <c r="N2208">
        <v>3</v>
      </c>
      <c r="O2208" t="s">
        <v>127</v>
      </c>
      <c r="P2208" t="s">
        <v>127</v>
      </c>
      <c r="Q2208" t="s">
        <v>127</v>
      </c>
    </row>
    <row r="2209" spans="1:17" x14ac:dyDescent="0.25">
      <c r="A2209" t="str">
        <f>IF(C2209&amp;G2209&amp;D2209&lt;&gt;'Funnel setup'!$K$3&amp;'Funnel setup'!$K$4&amp;'Funnel setup'!$K$6,".",IF(A2208=".",1,A2208+1))</f>
        <v>.</v>
      </c>
      <c r="B2209" s="244" t="str">
        <f t="shared" si="34"/>
        <v>Knee Replacement PrimaryProviderWARRINGTON AND HALTON TEACHING HOSPITALS NHS FOUNDATION TRUST (RWW)EQ VAS</v>
      </c>
      <c r="C2209" t="s">
        <v>969</v>
      </c>
      <c r="D2209" t="s">
        <v>965</v>
      </c>
      <c r="E2209" t="s">
        <v>700</v>
      </c>
      <c r="F2209" t="s">
        <v>701</v>
      </c>
      <c r="G2209" t="s">
        <v>752</v>
      </c>
      <c r="H2209">
        <v>28</v>
      </c>
      <c r="I2209">
        <v>66.392899999999997</v>
      </c>
      <c r="J2209">
        <v>68.428600000000003</v>
      </c>
      <c r="K2209">
        <v>2.0357099999999999</v>
      </c>
      <c r="L2209">
        <v>15</v>
      </c>
      <c r="M2209">
        <v>3</v>
      </c>
      <c r="N2209">
        <v>10</v>
      </c>
      <c r="O2209" t="s">
        <v>127</v>
      </c>
      <c r="P2209" t="s">
        <v>127</v>
      </c>
      <c r="Q2209" t="s">
        <v>127</v>
      </c>
    </row>
    <row r="2210" spans="1:17" x14ac:dyDescent="0.25">
      <c r="A2210" t="str">
        <f>IF(C2210&amp;G2210&amp;D2210&lt;&gt;'Funnel setup'!$K$3&amp;'Funnel setup'!$K$4&amp;'Funnel setup'!$K$6,".",IF(A2209=".",1,A2209+1))</f>
        <v>.</v>
      </c>
      <c r="B2210" s="244" t="str">
        <f t="shared" si="34"/>
        <v>Knee Replacement PrimaryProviderWEST HERTFORDSHIRE TEACHING HOSPITALS NHS TRUST (RWG)EQ VAS</v>
      </c>
      <c r="C2210" t="s">
        <v>969</v>
      </c>
      <c r="D2210" t="s">
        <v>965</v>
      </c>
      <c r="E2210" t="s">
        <v>702</v>
      </c>
      <c r="F2210" t="s">
        <v>703</v>
      </c>
      <c r="G2210" t="s">
        <v>752</v>
      </c>
      <c r="H2210">
        <v>70</v>
      </c>
      <c r="I2210">
        <v>65.957099999999997</v>
      </c>
      <c r="J2210">
        <v>73.428600000000003</v>
      </c>
      <c r="K2210">
        <v>7.4714299999999998</v>
      </c>
      <c r="L2210">
        <v>43</v>
      </c>
      <c r="M2210">
        <v>8</v>
      </c>
      <c r="N2210">
        <v>19</v>
      </c>
      <c r="O2210">
        <v>72.911600000000007</v>
      </c>
      <c r="P2210">
        <v>7.3832500000000003</v>
      </c>
      <c r="Q2210">
        <v>16.446200000000001</v>
      </c>
    </row>
    <row r="2211" spans="1:17" x14ac:dyDescent="0.25">
      <c r="A2211" t="str">
        <f>IF(C2211&amp;G2211&amp;D2211&lt;&gt;'Funnel setup'!$K$3&amp;'Funnel setup'!$K$4&amp;'Funnel setup'!$K$6,".",IF(A2210=".",1,A2210+1))</f>
        <v>.</v>
      </c>
      <c r="B2211" s="244" t="str">
        <f t="shared" si="34"/>
        <v>Knee Replacement PrimaryProviderWEST MIDLANDS HOSPITAL (NVC21)EQ VAS</v>
      </c>
      <c r="C2211" t="s">
        <v>969</v>
      </c>
      <c r="D2211" t="s">
        <v>965</v>
      </c>
      <c r="E2211" t="s">
        <v>704</v>
      </c>
      <c r="F2211" t="s">
        <v>705</v>
      </c>
      <c r="G2211" t="s">
        <v>752</v>
      </c>
      <c r="H2211">
        <v>61</v>
      </c>
      <c r="I2211">
        <v>57.934399999999997</v>
      </c>
      <c r="J2211">
        <v>73.147499999999994</v>
      </c>
      <c r="K2211">
        <v>15.213100000000001</v>
      </c>
      <c r="L2211">
        <v>46</v>
      </c>
      <c r="M2211">
        <v>4</v>
      </c>
      <c r="N2211">
        <v>11</v>
      </c>
      <c r="O2211">
        <v>77.313100000000006</v>
      </c>
      <c r="P2211">
        <v>11.784700000000001</v>
      </c>
      <c r="Q2211">
        <v>18.4315</v>
      </c>
    </row>
    <row r="2212" spans="1:17" x14ac:dyDescent="0.25">
      <c r="A2212" t="str">
        <f>IF(C2212&amp;G2212&amp;D2212&lt;&gt;'Funnel setup'!$K$3&amp;'Funnel setup'!$K$4&amp;'Funnel setup'!$K$6,".",IF(A2211=".",1,A2211+1))</f>
        <v>.</v>
      </c>
      <c r="B2212" s="244" t="str">
        <f t="shared" si="34"/>
        <v>Knee Replacement PrimaryProviderWEST SUFFOLK NHS FOUNDATION TRUST (RGR)EQ VAS</v>
      </c>
      <c r="C2212" t="s">
        <v>969</v>
      </c>
      <c r="D2212" t="s">
        <v>965</v>
      </c>
      <c r="E2212" t="s">
        <v>706</v>
      </c>
      <c r="F2212" t="s">
        <v>707</v>
      </c>
      <c r="G2212" t="s">
        <v>752</v>
      </c>
      <c r="H2212">
        <v>66</v>
      </c>
      <c r="I2212">
        <v>62.393900000000002</v>
      </c>
      <c r="J2212">
        <v>70.681799999999996</v>
      </c>
      <c r="K2212">
        <v>8.2878799999999995</v>
      </c>
      <c r="L2212">
        <v>43</v>
      </c>
      <c r="M2212">
        <v>7</v>
      </c>
      <c r="N2212">
        <v>16</v>
      </c>
      <c r="O2212">
        <v>71.562100000000001</v>
      </c>
      <c r="P2212">
        <v>6.0336800000000004</v>
      </c>
      <c r="Q2212">
        <v>18.217199999999998</v>
      </c>
    </row>
    <row r="2213" spans="1:17" x14ac:dyDescent="0.25">
      <c r="A2213" t="str">
        <f>IF(C2213&amp;G2213&amp;D2213&lt;&gt;'Funnel setup'!$K$3&amp;'Funnel setup'!$K$4&amp;'Funnel setup'!$K$6,".",IF(A2212=".",1,A2212+1))</f>
        <v>.</v>
      </c>
      <c r="B2213" s="244" t="str">
        <f t="shared" si="34"/>
        <v>Knee Replacement PrimaryProviderWINFIELD HOSPITAL (NVC22)EQ VAS</v>
      </c>
      <c r="C2213" t="s">
        <v>969</v>
      </c>
      <c r="D2213" t="s">
        <v>965</v>
      </c>
      <c r="E2213" t="s">
        <v>710</v>
      </c>
      <c r="F2213" t="s">
        <v>711</v>
      </c>
      <c r="G2213" t="s">
        <v>752</v>
      </c>
      <c r="H2213">
        <v>50</v>
      </c>
      <c r="I2213">
        <v>71.099999999999994</v>
      </c>
      <c r="J2213">
        <v>81.06</v>
      </c>
      <c r="K2213">
        <v>9.9600000000000009</v>
      </c>
      <c r="L2213">
        <v>34</v>
      </c>
      <c r="M2213">
        <v>5</v>
      </c>
      <c r="N2213">
        <v>11</v>
      </c>
      <c r="O2213">
        <v>77.609399999999994</v>
      </c>
      <c r="P2213">
        <v>12.081</v>
      </c>
      <c r="Q2213">
        <v>16.5974</v>
      </c>
    </row>
    <row r="2214" spans="1:17" x14ac:dyDescent="0.25">
      <c r="A2214" t="str">
        <f>IF(C2214&amp;G2214&amp;D2214&lt;&gt;'Funnel setup'!$K$3&amp;'Funnel setup'!$K$4&amp;'Funnel setup'!$K$6,".",IF(A2213=".",1,A2213+1))</f>
        <v>.</v>
      </c>
      <c r="B2214" s="244" t="str">
        <f t="shared" si="34"/>
        <v>Knee Replacement PrimaryProviderWINTERBOURNE HOSPITAL (NT443)EQ VAS</v>
      </c>
      <c r="C2214" t="s">
        <v>969</v>
      </c>
      <c r="D2214" t="s">
        <v>965</v>
      </c>
      <c r="E2214" t="s">
        <v>712</v>
      </c>
      <c r="F2214" t="s">
        <v>713</v>
      </c>
      <c r="G2214" t="s">
        <v>752</v>
      </c>
      <c r="H2214">
        <v>35</v>
      </c>
      <c r="I2214">
        <v>65.8857</v>
      </c>
      <c r="J2214">
        <v>80.257099999999994</v>
      </c>
      <c r="K2214">
        <v>14.3714</v>
      </c>
      <c r="L2214">
        <v>23</v>
      </c>
      <c r="M2214">
        <v>7</v>
      </c>
      <c r="N2214">
        <v>5</v>
      </c>
      <c r="O2214">
        <v>79.245900000000006</v>
      </c>
      <c r="P2214">
        <v>13.717499999999999</v>
      </c>
      <c r="Q2214">
        <v>12.5122</v>
      </c>
    </row>
    <row r="2215" spans="1:17" x14ac:dyDescent="0.25">
      <c r="A2215" t="str">
        <f>IF(C2215&amp;G2215&amp;D2215&lt;&gt;'Funnel setup'!$K$3&amp;'Funnel setup'!$K$4&amp;'Funnel setup'!$K$6,".",IF(A2214=".",1,A2214+1))</f>
        <v>.</v>
      </c>
      <c r="B2215" s="244" t="str">
        <f t="shared" si="34"/>
        <v>Knee Replacement PrimaryProviderWIRRAL UNIVERSITY TEACHING HOSPITAL NHS FOUNDATION TRUST (RBL)EQ VAS</v>
      </c>
      <c r="C2215" t="s">
        <v>969</v>
      </c>
      <c r="D2215" t="s">
        <v>965</v>
      </c>
      <c r="E2215" t="s">
        <v>714</v>
      </c>
      <c r="F2215" t="s">
        <v>715</v>
      </c>
      <c r="G2215" t="s">
        <v>752</v>
      </c>
      <c r="H2215">
        <v>76</v>
      </c>
      <c r="I2215">
        <v>68.868399999999994</v>
      </c>
      <c r="J2215">
        <v>73.276300000000006</v>
      </c>
      <c r="K2215">
        <v>4.4078900000000001</v>
      </c>
      <c r="L2215">
        <v>39</v>
      </c>
      <c r="M2215">
        <v>7</v>
      </c>
      <c r="N2215">
        <v>30</v>
      </c>
      <c r="O2215">
        <v>72.250900000000001</v>
      </c>
      <c r="P2215">
        <v>6.7224700000000004</v>
      </c>
      <c r="Q2215">
        <v>19.9923</v>
      </c>
    </row>
    <row r="2216" spans="1:17" x14ac:dyDescent="0.25">
      <c r="A2216" t="str">
        <f>IF(C2216&amp;G2216&amp;D2216&lt;&gt;'Funnel setup'!$K$3&amp;'Funnel setup'!$K$4&amp;'Funnel setup'!$K$6,".",IF(A2215=".",1,A2215+1))</f>
        <v>.</v>
      </c>
      <c r="B2216" s="244" t="str">
        <f t="shared" si="34"/>
        <v>Knee Replacement PrimaryProviderWOODLAND HOSPITAL (NVC23)EQ VAS</v>
      </c>
      <c r="C2216" t="s">
        <v>969</v>
      </c>
      <c r="D2216" t="s">
        <v>965</v>
      </c>
      <c r="E2216" t="s">
        <v>716</v>
      </c>
      <c r="F2216" t="s">
        <v>717</v>
      </c>
      <c r="G2216" t="s">
        <v>752</v>
      </c>
      <c r="H2216">
        <v>58</v>
      </c>
      <c r="I2216">
        <v>57.913800000000002</v>
      </c>
      <c r="J2216">
        <v>73.948300000000003</v>
      </c>
      <c r="K2216">
        <v>16.034500000000001</v>
      </c>
      <c r="L2216">
        <v>41</v>
      </c>
      <c r="M2216">
        <v>3</v>
      </c>
      <c r="N2216">
        <v>14</v>
      </c>
      <c r="O2216">
        <v>74.161799999999999</v>
      </c>
      <c r="P2216">
        <v>8.6334099999999996</v>
      </c>
      <c r="Q2216">
        <v>18.6706</v>
      </c>
    </row>
    <row r="2217" spans="1:17" x14ac:dyDescent="0.25">
      <c r="A2217" t="str">
        <f>IF(C2217&amp;G2217&amp;D2217&lt;&gt;'Funnel setup'!$K$3&amp;'Funnel setup'!$K$4&amp;'Funnel setup'!$K$6,".",IF(A2216=".",1,A2216+1))</f>
        <v>.</v>
      </c>
      <c r="B2217" s="244" t="str">
        <f t="shared" si="34"/>
        <v>Knee Replacement PrimaryProviderWOODLANDS HOSPITAL (NT457)EQ VAS</v>
      </c>
      <c r="C2217" t="s">
        <v>969</v>
      </c>
      <c r="D2217" t="s">
        <v>965</v>
      </c>
      <c r="E2217" t="s">
        <v>718</v>
      </c>
      <c r="F2217" t="s">
        <v>719</v>
      </c>
      <c r="G2217" t="s">
        <v>752</v>
      </c>
      <c r="H2217">
        <v>79</v>
      </c>
      <c r="I2217">
        <v>67.227800000000002</v>
      </c>
      <c r="J2217">
        <v>75.784800000000004</v>
      </c>
      <c r="K2217">
        <v>8.5569600000000001</v>
      </c>
      <c r="L2217">
        <v>50</v>
      </c>
      <c r="M2217">
        <v>14</v>
      </c>
      <c r="N2217">
        <v>15</v>
      </c>
      <c r="O2217">
        <v>74.0184</v>
      </c>
      <c r="P2217">
        <v>8.4899699999999996</v>
      </c>
      <c r="Q2217">
        <v>13.8803</v>
      </c>
    </row>
    <row r="2218" spans="1:17" x14ac:dyDescent="0.25">
      <c r="A2218" t="str">
        <f>IF(C2218&amp;G2218&amp;D2218&lt;&gt;'Funnel setup'!$K$3&amp;'Funnel setup'!$K$4&amp;'Funnel setup'!$K$6,".",IF(A2217=".",1,A2217+1))</f>
        <v>.</v>
      </c>
      <c r="B2218" s="244" t="str">
        <f t="shared" si="34"/>
        <v>Knee Replacement PrimaryProviderWOODTHORPE HOSPITAL (NVC40)EQ VAS</v>
      </c>
      <c r="C2218" t="s">
        <v>969</v>
      </c>
      <c r="D2218" t="s">
        <v>965</v>
      </c>
      <c r="E2218" t="s">
        <v>720</v>
      </c>
      <c r="F2218" t="s">
        <v>721</v>
      </c>
      <c r="G2218" t="s">
        <v>752</v>
      </c>
      <c r="H2218">
        <v>108</v>
      </c>
      <c r="I2218">
        <v>65.759299999999996</v>
      </c>
      <c r="J2218">
        <v>73.333299999999994</v>
      </c>
      <c r="K2218">
        <v>7.5740699999999999</v>
      </c>
      <c r="L2218">
        <v>64</v>
      </c>
      <c r="M2218">
        <v>14</v>
      </c>
      <c r="N2218">
        <v>30</v>
      </c>
      <c r="O2218">
        <v>72.464200000000005</v>
      </c>
      <c r="P2218">
        <v>6.93581</v>
      </c>
      <c r="Q2218">
        <v>17.941099999999999</v>
      </c>
    </row>
    <row r="2219" spans="1:17" x14ac:dyDescent="0.25">
      <c r="A2219" t="str">
        <f>IF(C2219&amp;G2219&amp;D2219&lt;&gt;'Funnel setup'!$K$3&amp;'Funnel setup'!$K$4&amp;'Funnel setup'!$K$6,".",IF(A2218=".",1,A2218+1))</f>
        <v>.</v>
      </c>
      <c r="B2219" s="244" t="str">
        <f t="shared" si="34"/>
        <v>Knee Replacement PrimaryProviderWORCESTERSHIRE ACUTE HOSPITALS NHS TRUST (RWP)EQ VAS</v>
      </c>
      <c r="C2219" t="s">
        <v>969</v>
      </c>
      <c r="D2219" t="s">
        <v>965</v>
      </c>
      <c r="E2219" t="s">
        <v>722</v>
      </c>
      <c r="F2219" t="s">
        <v>723</v>
      </c>
      <c r="G2219" t="s">
        <v>752</v>
      </c>
      <c r="H2219">
        <v>45</v>
      </c>
      <c r="I2219">
        <v>69.599999999999994</v>
      </c>
      <c r="J2219">
        <v>66.2667</v>
      </c>
      <c r="K2219">
        <v>-3.3333300000000001</v>
      </c>
      <c r="L2219">
        <v>19</v>
      </c>
      <c r="M2219">
        <v>3</v>
      </c>
      <c r="N2219">
        <v>23</v>
      </c>
      <c r="O2219">
        <v>65.574299999999994</v>
      </c>
      <c r="P2219">
        <v>4.5930199999999997E-2</v>
      </c>
      <c r="Q2219">
        <v>24.857399999999998</v>
      </c>
    </row>
    <row r="2220" spans="1:17" x14ac:dyDescent="0.25">
      <c r="A2220" t="str">
        <f>IF(C2220&amp;G2220&amp;D2220&lt;&gt;'Funnel setup'!$K$3&amp;'Funnel setup'!$K$4&amp;'Funnel setup'!$K$6,".",IF(A2219=".",1,A2219+1))</f>
        <v>.</v>
      </c>
      <c r="B2220" s="244" t="str">
        <f t="shared" si="34"/>
        <v>Knee Replacement PrimaryProviderWRIGHTINGTON, WIGAN AND LEIGH NHS FOUNDATION TRUST (RRF)EQ VAS</v>
      </c>
      <c r="C2220" t="s">
        <v>969</v>
      </c>
      <c r="D2220" t="s">
        <v>965</v>
      </c>
      <c r="E2220" t="s">
        <v>724</v>
      </c>
      <c r="F2220" t="s">
        <v>725</v>
      </c>
      <c r="G2220" t="s">
        <v>752</v>
      </c>
      <c r="H2220">
        <v>9</v>
      </c>
      <c r="I2220">
        <v>72.333299999999994</v>
      </c>
      <c r="J2220">
        <v>72.666700000000006</v>
      </c>
      <c r="K2220">
        <v>0.33333299999999999</v>
      </c>
      <c r="L2220">
        <v>4</v>
      </c>
      <c r="M2220">
        <v>0</v>
      </c>
      <c r="N2220">
        <v>5</v>
      </c>
      <c r="O2220" t="s">
        <v>127</v>
      </c>
      <c r="P2220" t="s">
        <v>127</v>
      </c>
      <c r="Q2220" t="s">
        <v>127</v>
      </c>
    </row>
    <row r="2221" spans="1:17" x14ac:dyDescent="0.25">
      <c r="A2221" t="str">
        <f>IF(C2221&amp;G2221&amp;D2221&lt;&gt;'Funnel setup'!$K$3&amp;'Funnel setup'!$K$4&amp;'Funnel setup'!$K$6,".",IF(A2220=".",1,A2220+1))</f>
        <v>.</v>
      </c>
      <c r="B2221" s="244" t="str">
        <f t="shared" si="34"/>
        <v>Knee Replacement PrimaryProviderWYE VALLEY NHS TRUST (RLQ)EQ VAS</v>
      </c>
      <c r="C2221" t="s">
        <v>969</v>
      </c>
      <c r="D2221" t="s">
        <v>965</v>
      </c>
      <c r="E2221" t="s">
        <v>726</v>
      </c>
      <c r="F2221" t="s">
        <v>727</v>
      </c>
      <c r="G2221" t="s">
        <v>752</v>
      </c>
      <c r="H2221">
        <v>31</v>
      </c>
      <c r="I2221">
        <v>68.838700000000003</v>
      </c>
      <c r="J2221">
        <v>73.903199999999998</v>
      </c>
      <c r="K2221">
        <v>5.0645199999999999</v>
      </c>
      <c r="L2221">
        <v>16</v>
      </c>
      <c r="M2221">
        <v>5</v>
      </c>
      <c r="N2221">
        <v>10</v>
      </c>
      <c r="O2221">
        <v>72.716999999999999</v>
      </c>
      <c r="P2221">
        <v>7.1886000000000001</v>
      </c>
      <c r="Q2221">
        <v>17.925699999999999</v>
      </c>
    </row>
    <row r="2222" spans="1:17" x14ac:dyDescent="0.25">
      <c r="A2222" t="str">
        <f>IF(C2222&amp;G2222&amp;D2222&lt;&gt;'Funnel setup'!$K$3&amp;'Funnel setup'!$K$4&amp;'Funnel setup'!$K$6,".",IF(A2221=".",1,A2221+1))</f>
        <v>.</v>
      </c>
      <c r="B2222" s="244" t="str">
        <f t="shared" si="34"/>
        <v>Knee Replacement PrimaryProviderYEOVIL DISTRICT HOSPITAL NHS FOUNDATION TRUST (RA4)EQ VAS</v>
      </c>
      <c r="C2222" t="s">
        <v>969</v>
      </c>
      <c r="D2222" t="s">
        <v>965</v>
      </c>
      <c r="E2222" t="s">
        <v>728</v>
      </c>
      <c r="F2222" t="s">
        <v>729</v>
      </c>
      <c r="G2222" t="s">
        <v>752</v>
      </c>
      <c r="H2222" t="s">
        <v>968</v>
      </c>
      <c r="I2222" t="s">
        <v>968</v>
      </c>
      <c r="J2222" t="s">
        <v>968</v>
      </c>
      <c r="K2222" t="s">
        <v>968</v>
      </c>
      <c r="L2222" t="s">
        <v>968</v>
      </c>
      <c r="M2222" t="s">
        <v>968</v>
      </c>
      <c r="N2222" t="s">
        <v>968</v>
      </c>
      <c r="O2222" t="s">
        <v>968</v>
      </c>
      <c r="P2222" t="s">
        <v>968</v>
      </c>
      <c r="Q2222" t="s">
        <v>968</v>
      </c>
    </row>
    <row r="2223" spans="1:17" x14ac:dyDescent="0.25">
      <c r="A2223" t="str">
        <f>IF(C2223&amp;G2223&amp;D2223&lt;&gt;'Funnel setup'!$K$3&amp;'Funnel setup'!$K$4&amp;'Funnel setup'!$K$6,".",IF(A2222=".",1,A2222+1))</f>
        <v>.</v>
      </c>
      <c r="B2223" s="244" t="str">
        <f t="shared" si="34"/>
        <v>Knee Replacement PrimaryProviderSULIS HOSPITAL BATHEQ-5D Index</v>
      </c>
      <c r="C2223" t="s">
        <v>969</v>
      </c>
      <c r="D2223" t="s">
        <v>965</v>
      </c>
      <c r="E2223" t="s">
        <v>732</v>
      </c>
      <c r="F2223" t="s">
        <v>1325</v>
      </c>
      <c r="G2223" t="s">
        <v>963</v>
      </c>
      <c r="H2223">
        <v>35</v>
      </c>
      <c r="I2223">
        <v>0.49740000000000001</v>
      </c>
      <c r="J2223">
        <v>0.7742</v>
      </c>
      <c r="K2223">
        <v>0.27679999999999999</v>
      </c>
      <c r="L2223">
        <v>26</v>
      </c>
      <c r="M2223">
        <v>6</v>
      </c>
      <c r="N2223">
        <v>3</v>
      </c>
      <c r="O2223">
        <v>0.75803600000000004</v>
      </c>
      <c r="P2223">
        <v>0.32923999999999998</v>
      </c>
      <c r="Q2223">
        <v>0.17649400000000001</v>
      </c>
    </row>
    <row r="2224" spans="1:17" x14ac:dyDescent="0.25">
      <c r="A2224" t="str">
        <f>IF(C2224&amp;G2224&amp;D2224&lt;&gt;'Funnel setup'!$K$3&amp;'Funnel setup'!$K$4&amp;'Funnel setup'!$K$6,".",IF(A2223=".",1,A2223+1))</f>
        <v>.</v>
      </c>
      <c r="B2224" s="244" t="str">
        <f t="shared" si="34"/>
        <v>Knee Replacement PrimaryProviderAIREDALE NHS FOUNDATION TRUST (RCF)EQ-5D Index</v>
      </c>
      <c r="C2224" t="s">
        <v>969</v>
      </c>
      <c r="D2224" t="s">
        <v>965</v>
      </c>
      <c r="E2224" t="s">
        <v>125</v>
      </c>
      <c r="F2224" t="s">
        <v>126</v>
      </c>
      <c r="G2224" t="s">
        <v>963</v>
      </c>
      <c r="H2224">
        <v>31</v>
      </c>
      <c r="I2224">
        <v>0.36767699999999998</v>
      </c>
      <c r="J2224">
        <v>0.76371</v>
      </c>
      <c r="K2224">
        <v>0.396032</v>
      </c>
      <c r="L2224">
        <v>28</v>
      </c>
      <c r="M2224">
        <v>1</v>
      </c>
      <c r="N2224">
        <v>2</v>
      </c>
      <c r="O2224">
        <v>0.77430900000000003</v>
      </c>
      <c r="P2224">
        <v>0.34551300000000001</v>
      </c>
      <c r="Q2224">
        <v>0.295713</v>
      </c>
    </row>
    <row r="2225" spans="1:17" x14ac:dyDescent="0.25">
      <c r="A2225" t="str">
        <f>IF(C2225&amp;G2225&amp;D2225&lt;&gt;'Funnel setup'!$K$3&amp;'Funnel setup'!$K$4&amp;'Funnel setup'!$K$6,".",IF(A2224=".",1,A2224+1))</f>
        <v>.</v>
      </c>
      <c r="B2225" s="244" t="str">
        <f t="shared" si="34"/>
        <v>Knee Replacement PrimaryProviderALEXANDRA HOSPITAL (NT401)EQ-5D Index</v>
      </c>
      <c r="C2225" t="s">
        <v>969</v>
      </c>
      <c r="D2225" t="s">
        <v>965</v>
      </c>
      <c r="E2225" t="s">
        <v>130</v>
      </c>
      <c r="F2225" t="s">
        <v>131</v>
      </c>
      <c r="G2225" t="s">
        <v>963</v>
      </c>
      <c r="H2225">
        <v>46</v>
      </c>
      <c r="I2225">
        <v>0.44397799999999998</v>
      </c>
      <c r="J2225">
        <v>0.74171699999999996</v>
      </c>
      <c r="K2225">
        <v>0.29773899999999998</v>
      </c>
      <c r="L2225">
        <v>38</v>
      </c>
      <c r="M2225">
        <v>2</v>
      </c>
      <c r="N2225">
        <v>6</v>
      </c>
      <c r="O2225">
        <v>0.72375500000000004</v>
      </c>
      <c r="P2225">
        <v>0.29496</v>
      </c>
      <c r="Q2225">
        <v>0.236706</v>
      </c>
    </row>
    <row r="2226" spans="1:17" x14ac:dyDescent="0.25">
      <c r="A2226" t="str">
        <f>IF(C2226&amp;G2226&amp;D2226&lt;&gt;'Funnel setup'!$K$3&amp;'Funnel setup'!$K$4&amp;'Funnel setup'!$K$6,".",IF(A2225=".",1,A2225+1))</f>
        <v>.</v>
      </c>
      <c r="B2226" s="244" t="str">
        <f t="shared" si="34"/>
        <v>Knee Replacement PrimaryProviderASHFORD AND ST PETER'S HOSPITALS NHS FOUNDATION TRUST (RTK)EQ-5D Index</v>
      </c>
      <c r="C2226" t="s">
        <v>969</v>
      </c>
      <c r="D2226" t="s">
        <v>965</v>
      </c>
      <c r="E2226" t="s">
        <v>132</v>
      </c>
      <c r="F2226" t="s">
        <v>133</v>
      </c>
      <c r="G2226" t="s">
        <v>963</v>
      </c>
      <c r="H2226">
        <v>30</v>
      </c>
      <c r="I2226">
        <v>0.47343299999999999</v>
      </c>
      <c r="J2226">
        <v>0.82836699999999996</v>
      </c>
      <c r="K2226">
        <v>0.354933</v>
      </c>
      <c r="L2226">
        <v>24</v>
      </c>
      <c r="M2226">
        <v>5</v>
      </c>
      <c r="N2226">
        <v>1</v>
      </c>
      <c r="O2226">
        <v>0.79466300000000001</v>
      </c>
      <c r="P2226">
        <v>0.365867</v>
      </c>
      <c r="Q2226">
        <v>0.21735499999999999</v>
      </c>
    </row>
    <row r="2227" spans="1:17" x14ac:dyDescent="0.25">
      <c r="A2227" t="str">
        <f>IF(C2227&amp;G2227&amp;D2227&lt;&gt;'Funnel setup'!$K$3&amp;'Funnel setup'!$K$4&amp;'Funnel setup'!$K$6,".",IF(A2226=".",1,A2226+1))</f>
        <v>.</v>
      </c>
      <c r="B2227" s="244" t="str">
        <f t="shared" si="34"/>
        <v>Knee Replacement PrimaryProviderASHTEAD HOSPITAL (NVC01)EQ-5D Index</v>
      </c>
      <c r="C2227" t="s">
        <v>969</v>
      </c>
      <c r="D2227" t="s">
        <v>965</v>
      </c>
      <c r="E2227" t="s">
        <v>134</v>
      </c>
      <c r="F2227" t="s">
        <v>135</v>
      </c>
      <c r="G2227" t="s">
        <v>963</v>
      </c>
      <c r="H2227">
        <v>4</v>
      </c>
      <c r="I2227">
        <v>0.55200000000000005</v>
      </c>
      <c r="J2227">
        <v>1</v>
      </c>
      <c r="K2227">
        <v>0.44800000000000001</v>
      </c>
      <c r="L2227">
        <v>4</v>
      </c>
      <c r="M2227">
        <v>0</v>
      </c>
      <c r="N2227">
        <v>0</v>
      </c>
      <c r="O2227" t="s">
        <v>127</v>
      </c>
      <c r="P2227" t="s">
        <v>127</v>
      </c>
      <c r="Q2227" t="s">
        <v>127</v>
      </c>
    </row>
    <row r="2228" spans="1:17" x14ac:dyDescent="0.25">
      <c r="A2228" t="str">
        <f>IF(C2228&amp;G2228&amp;D2228&lt;&gt;'Funnel setup'!$K$3&amp;'Funnel setup'!$K$4&amp;'Funnel setup'!$K$6,".",IF(A2227=".",1,A2227+1))</f>
        <v>.</v>
      </c>
      <c r="B2228" s="244" t="str">
        <f t="shared" si="34"/>
        <v>Knee Replacement PrimaryProviderBARKING, HAVERING AND REDBRIDGE UNIVERSITY HOSPITALS NHS TRUST (RF4)EQ-5D Index</v>
      </c>
      <c r="C2228" t="s">
        <v>969</v>
      </c>
      <c r="D2228" t="s">
        <v>965</v>
      </c>
      <c r="E2228" t="s">
        <v>144</v>
      </c>
      <c r="F2228" t="s">
        <v>145</v>
      </c>
      <c r="G2228" t="s">
        <v>963</v>
      </c>
      <c r="H2228">
        <v>60</v>
      </c>
      <c r="I2228">
        <v>0.39261699999999999</v>
      </c>
      <c r="J2228">
        <v>0.70965</v>
      </c>
      <c r="K2228">
        <v>0.31703300000000001</v>
      </c>
      <c r="L2228">
        <v>43</v>
      </c>
      <c r="M2228">
        <v>10</v>
      </c>
      <c r="N2228">
        <v>7</v>
      </c>
      <c r="O2228">
        <v>0.748089</v>
      </c>
      <c r="P2228">
        <v>0.31929299999999999</v>
      </c>
      <c r="Q2228">
        <v>0.212256</v>
      </c>
    </row>
    <row r="2229" spans="1:17" x14ac:dyDescent="0.25">
      <c r="A2229" t="str">
        <f>IF(C2229&amp;G2229&amp;D2229&lt;&gt;'Funnel setup'!$K$3&amp;'Funnel setup'!$K$4&amp;'Funnel setup'!$K$6,".",IF(A2228=".",1,A2228+1))</f>
        <v>.</v>
      </c>
      <c r="B2229" s="244" t="str">
        <f t="shared" si="34"/>
        <v>Knee Replacement PrimaryProviderBARNSLEY HOSPITAL NHS FOUNDATION TRUST (RFF)EQ-5D Index</v>
      </c>
      <c r="C2229" t="s">
        <v>969</v>
      </c>
      <c r="D2229" t="s">
        <v>965</v>
      </c>
      <c r="E2229" t="s">
        <v>146</v>
      </c>
      <c r="F2229" t="s">
        <v>147</v>
      </c>
      <c r="G2229" t="s">
        <v>963</v>
      </c>
      <c r="H2229">
        <v>49</v>
      </c>
      <c r="I2229">
        <v>0.376633</v>
      </c>
      <c r="J2229">
        <v>0.66406100000000001</v>
      </c>
      <c r="K2229">
        <v>0.28742899999999999</v>
      </c>
      <c r="L2229">
        <v>36</v>
      </c>
      <c r="M2229">
        <v>5</v>
      </c>
      <c r="N2229">
        <v>8</v>
      </c>
      <c r="O2229">
        <v>0.69441900000000001</v>
      </c>
      <c r="P2229">
        <v>0.265623</v>
      </c>
      <c r="Q2229">
        <v>0.30149399999999998</v>
      </c>
    </row>
    <row r="2230" spans="1:17" x14ac:dyDescent="0.25">
      <c r="A2230" t="str">
        <f>IF(C2230&amp;G2230&amp;D2230&lt;&gt;'Funnel setup'!$K$3&amp;'Funnel setup'!$K$4&amp;'Funnel setup'!$K$6,".",IF(A2229=".",1,A2229+1))</f>
        <v>.</v>
      </c>
      <c r="B2230" s="244" t="str">
        <f t="shared" si="34"/>
        <v>Knee Replacement PrimaryProviderBARTS HEALTH NHS TRUST (R1H)EQ-5D Index</v>
      </c>
      <c r="C2230" t="s">
        <v>969</v>
      </c>
      <c r="D2230" t="s">
        <v>965</v>
      </c>
      <c r="E2230" t="s">
        <v>148</v>
      </c>
      <c r="F2230" t="s">
        <v>149</v>
      </c>
      <c r="G2230" t="s">
        <v>963</v>
      </c>
      <c r="H2230">
        <v>63</v>
      </c>
      <c r="I2230">
        <v>0.38212699999999999</v>
      </c>
      <c r="J2230">
        <v>0.68595200000000001</v>
      </c>
      <c r="K2230">
        <v>0.30382500000000001</v>
      </c>
      <c r="L2230">
        <v>46</v>
      </c>
      <c r="M2230">
        <v>8</v>
      </c>
      <c r="N2230">
        <v>9</v>
      </c>
      <c r="O2230">
        <v>0.73300500000000002</v>
      </c>
      <c r="P2230">
        <v>0.30420999999999998</v>
      </c>
      <c r="Q2230">
        <v>0.25663200000000003</v>
      </c>
    </row>
    <row r="2231" spans="1:17" x14ac:dyDescent="0.25">
      <c r="A2231" t="str">
        <f>IF(C2231&amp;G2231&amp;D2231&lt;&gt;'Funnel setup'!$K$3&amp;'Funnel setup'!$K$4&amp;'Funnel setup'!$K$6,".",IF(A2230=".",1,A2230+1))</f>
        <v>.</v>
      </c>
      <c r="B2231" s="244" t="str">
        <f t="shared" si="34"/>
        <v>Knee Replacement PrimaryProviderBATH CLINIC (NT402)EQ-5D Index</v>
      </c>
      <c r="C2231" t="s">
        <v>969</v>
      </c>
      <c r="D2231" t="s">
        <v>965</v>
      </c>
      <c r="E2231" t="s">
        <v>152</v>
      </c>
      <c r="F2231" t="s">
        <v>153</v>
      </c>
      <c r="G2231" t="s">
        <v>963</v>
      </c>
      <c r="H2231">
        <v>52</v>
      </c>
      <c r="I2231">
        <v>0.51667300000000005</v>
      </c>
      <c r="J2231">
        <v>0.82284599999999997</v>
      </c>
      <c r="K2231">
        <v>0.30617299999999997</v>
      </c>
      <c r="L2231">
        <v>45</v>
      </c>
      <c r="M2231">
        <v>3</v>
      </c>
      <c r="N2231">
        <v>4</v>
      </c>
      <c r="O2231">
        <v>0.76785599999999998</v>
      </c>
      <c r="P2231">
        <v>0.339061</v>
      </c>
      <c r="Q2231">
        <v>0.200707</v>
      </c>
    </row>
    <row r="2232" spans="1:17" x14ac:dyDescent="0.25">
      <c r="A2232" t="str">
        <f>IF(C2232&amp;G2232&amp;D2232&lt;&gt;'Funnel setup'!$K$3&amp;'Funnel setup'!$K$4&amp;'Funnel setup'!$K$6,".",IF(A2231=".",1,A2231+1))</f>
        <v>.</v>
      </c>
      <c r="B2232" s="244" t="str">
        <f t="shared" si="34"/>
        <v>Knee Replacement PrimaryProviderBEARDWOOD HOSPITAL (NT403)EQ-5D Index</v>
      </c>
      <c r="C2232" t="s">
        <v>969</v>
      </c>
      <c r="D2232" t="s">
        <v>965</v>
      </c>
      <c r="E2232" t="s">
        <v>154</v>
      </c>
      <c r="F2232" t="s">
        <v>155</v>
      </c>
      <c r="G2232" t="s">
        <v>963</v>
      </c>
      <c r="H2232">
        <v>73</v>
      </c>
      <c r="I2232">
        <v>0.52975300000000003</v>
      </c>
      <c r="J2232">
        <v>0.79980799999999996</v>
      </c>
      <c r="K2232">
        <v>0.27005499999999999</v>
      </c>
      <c r="L2232">
        <v>62</v>
      </c>
      <c r="M2232">
        <v>8</v>
      </c>
      <c r="N2232">
        <v>3</v>
      </c>
      <c r="O2232">
        <v>0.76306799999999997</v>
      </c>
      <c r="P2232">
        <v>0.33427299999999999</v>
      </c>
      <c r="Q2232">
        <v>0.17369299999999999</v>
      </c>
    </row>
    <row r="2233" spans="1:17" x14ac:dyDescent="0.25">
      <c r="A2233" t="str">
        <f>IF(C2233&amp;G2233&amp;D2233&lt;&gt;'Funnel setup'!$K$3&amp;'Funnel setup'!$K$4&amp;'Funnel setup'!$K$6,".",IF(A2232=".",1,A2232+1))</f>
        <v>.</v>
      </c>
      <c r="B2233" s="244" t="str">
        <f t="shared" si="34"/>
        <v>Knee Replacement PrimaryProviderBEAUMONT HOSPITAL (NT404)EQ-5D Index</v>
      </c>
      <c r="C2233" t="s">
        <v>969</v>
      </c>
      <c r="D2233" t="s">
        <v>965</v>
      </c>
      <c r="E2233" t="s">
        <v>156</v>
      </c>
      <c r="F2233" t="s">
        <v>157</v>
      </c>
      <c r="G2233" t="s">
        <v>963</v>
      </c>
      <c r="H2233">
        <v>43</v>
      </c>
      <c r="I2233">
        <v>0.51660499999999998</v>
      </c>
      <c r="J2233">
        <v>0.79313999999999996</v>
      </c>
      <c r="K2233">
        <v>0.27653499999999998</v>
      </c>
      <c r="L2233">
        <v>38</v>
      </c>
      <c r="M2233">
        <v>1</v>
      </c>
      <c r="N2233">
        <v>4</v>
      </c>
      <c r="O2233">
        <v>0.75702000000000003</v>
      </c>
      <c r="P2233">
        <v>0.32822499999999999</v>
      </c>
      <c r="Q2233">
        <v>0.236433</v>
      </c>
    </row>
    <row r="2234" spans="1:17" x14ac:dyDescent="0.25">
      <c r="A2234" t="str">
        <f>IF(C2234&amp;G2234&amp;D2234&lt;&gt;'Funnel setup'!$K$3&amp;'Funnel setup'!$K$4&amp;'Funnel setup'!$K$6,".",IF(A2233=".",1,A2233+1))</f>
        <v>.</v>
      </c>
      <c r="B2234" s="244" t="str">
        <f t="shared" si="34"/>
        <v>Knee Replacement PrimaryProviderBEDFORDSHIRE HOSPITALS NHS FOUNDATION TRUST (RC9)EQ-5D Index</v>
      </c>
      <c r="C2234" t="s">
        <v>969</v>
      </c>
      <c r="D2234" t="s">
        <v>965</v>
      </c>
      <c r="E2234" t="s">
        <v>158</v>
      </c>
      <c r="F2234" t="s">
        <v>159</v>
      </c>
      <c r="G2234" t="s">
        <v>963</v>
      </c>
      <c r="H2234">
        <v>146</v>
      </c>
      <c r="I2234">
        <v>0.36725999999999998</v>
      </c>
      <c r="J2234">
        <v>0.70416400000000001</v>
      </c>
      <c r="K2234">
        <v>0.33690399999999998</v>
      </c>
      <c r="L2234">
        <v>119</v>
      </c>
      <c r="M2234">
        <v>9</v>
      </c>
      <c r="N2234">
        <v>18</v>
      </c>
      <c r="O2234">
        <v>0.73079700000000003</v>
      </c>
      <c r="P2234">
        <v>0.30200100000000002</v>
      </c>
      <c r="Q2234">
        <v>0.26396199999999997</v>
      </c>
    </row>
    <row r="2235" spans="1:17" x14ac:dyDescent="0.25">
      <c r="A2235" t="str">
        <f>IF(C2235&amp;G2235&amp;D2235&lt;&gt;'Funnel setup'!$K$3&amp;'Funnel setup'!$K$4&amp;'Funnel setup'!$K$6,".",IF(A2234=".",1,A2234+1))</f>
        <v>.</v>
      </c>
      <c r="B2235" s="244" t="str">
        <f t="shared" si="34"/>
        <v>Knee Replacement PrimaryProviderBENENDEN HOSPITAL (NWF01)EQ-5D Index</v>
      </c>
      <c r="C2235" t="s">
        <v>969</v>
      </c>
      <c r="D2235" t="s">
        <v>965</v>
      </c>
      <c r="E2235" t="s">
        <v>160</v>
      </c>
      <c r="F2235" t="s">
        <v>161</v>
      </c>
      <c r="G2235" t="s">
        <v>963</v>
      </c>
      <c r="H2235">
        <v>25</v>
      </c>
      <c r="I2235">
        <v>0.57732000000000006</v>
      </c>
      <c r="J2235">
        <v>0.81364000000000003</v>
      </c>
      <c r="K2235">
        <v>0.23632</v>
      </c>
      <c r="L2235">
        <v>19</v>
      </c>
      <c r="M2235">
        <v>3</v>
      </c>
      <c r="N2235">
        <v>3</v>
      </c>
      <c r="O2235" t="s">
        <v>127</v>
      </c>
      <c r="P2235" t="s">
        <v>127</v>
      </c>
      <c r="Q2235" t="s">
        <v>127</v>
      </c>
    </row>
    <row r="2236" spans="1:17" x14ac:dyDescent="0.25">
      <c r="A2236" t="str">
        <f>IF(C2236&amp;G2236&amp;D2236&lt;&gt;'Funnel setup'!$K$3&amp;'Funnel setup'!$K$4&amp;'Funnel setup'!$K$6,".",IF(A2235=".",1,A2235+1))</f>
        <v>.</v>
      </c>
      <c r="B2236" s="244" t="str">
        <f t="shared" si="34"/>
        <v>Knee Replacement PrimaryProviderBLACKHEATH HOSPITAL (NT406)EQ-5D Index</v>
      </c>
      <c r="C2236" t="s">
        <v>969</v>
      </c>
      <c r="D2236" t="s">
        <v>965</v>
      </c>
      <c r="E2236" t="s">
        <v>168</v>
      </c>
      <c r="F2236" t="s">
        <v>169</v>
      </c>
      <c r="G2236" t="s">
        <v>963</v>
      </c>
      <c r="H2236">
        <v>20</v>
      </c>
      <c r="I2236">
        <v>0.45074999999999998</v>
      </c>
      <c r="J2236">
        <v>0.76195000000000002</v>
      </c>
      <c r="K2236">
        <v>0.31119999999999998</v>
      </c>
      <c r="L2236">
        <v>17</v>
      </c>
      <c r="M2236">
        <v>0</v>
      </c>
      <c r="N2236">
        <v>3</v>
      </c>
      <c r="O2236" t="s">
        <v>127</v>
      </c>
      <c r="P2236" t="s">
        <v>127</v>
      </c>
      <c r="Q2236" t="s">
        <v>127</v>
      </c>
    </row>
    <row r="2237" spans="1:17" x14ac:dyDescent="0.25">
      <c r="A2237" t="str">
        <f>IF(C2237&amp;G2237&amp;D2237&lt;&gt;'Funnel setup'!$K$3&amp;'Funnel setup'!$K$4&amp;'Funnel setup'!$K$6,".",IF(A2236=".",1,A2236+1))</f>
        <v>.</v>
      </c>
      <c r="B2237" s="244" t="str">
        <f t="shared" si="34"/>
        <v>Knee Replacement PrimaryProviderBLACKPOOL TEACHING HOSPITALS NHS FOUNDATION TRUST (RXL)EQ-5D Index</v>
      </c>
      <c r="C2237" t="s">
        <v>969</v>
      </c>
      <c r="D2237" t="s">
        <v>965</v>
      </c>
      <c r="E2237" t="s">
        <v>170</v>
      </c>
      <c r="F2237" t="s">
        <v>171</v>
      </c>
      <c r="G2237" t="s">
        <v>963</v>
      </c>
      <c r="H2237">
        <v>59</v>
      </c>
      <c r="I2237">
        <v>0.46462700000000001</v>
      </c>
      <c r="J2237">
        <v>0.73308499999999999</v>
      </c>
      <c r="K2237">
        <v>0.26845799999999997</v>
      </c>
      <c r="L2237">
        <v>47</v>
      </c>
      <c r="M2237">
        <v>4</v>
      </c>
      <c r="N2237">
        <v>8</v>
      </c>
      <c r="O2237">
        <v>0.76619099999999996</v>
      </c>
      <c r="P2237">
        <v>0.337395</v>
      </c>
      <c r="Q2237">
        <v>0.21515400000000001</v>
      </c>
    </row>
    <row r="2238" spans="1:17" x14ac:dyDescent="0.25">
      <c r="A2238" t="str">
        <f>IF(C2238&amp;G2238&amp;D2238&lt;&gt;'Funnel setup'!$K$3&amp;'Funnel setup'!$K$4&amp;'Funnel setup'!$K$6,".",IF(A2237=".",1,A2237+1))</f>
        <v>.</v>
      </c>
      <c r="B2238" s="244" t="str">
        <f t="shared" si="34"/>
        <v>Knee Replacement PrimaryProviderBOLTON NHS FOUNDATION TRUST (RMC)EQ-5D Index</v>
      </c>
      <c r="C2238" t="s">
        <v>969</v>
      </c>
      <c r="D2238" t="s">
        <v>965</v>
      </c>
      <c r="E2238" t="s">
        <v>172</v>
      </c>
      <c r="F2238" t="s">
        <v>173</v>
      </c>
      <c r="G2238" t="s">
        <v>963</v>
      </c>
      <c r="H2238">
        <v>45</v>
      </c>
      <c r="I2238">
        <v>0.30533300000000002</v>
      </c>
      <c r="J2238">
        <v>0.71906700000000001</v>
      </c>
      <c r="K2238">
        <v>0.41373300000000002</v>
      </c>
      <c r="L2238">
        <v>38</v>
      </c>
      <c r="M2238">
        <v>5</v>
      </c>
      <c r="N2238">
        <v>2</v>
      </c>
      <c r="O2238">
        <v>0.76670499999999997</v>
      </c>
      <c r="P2238">
        <v>0.33790900000000001</v>
      </c>
      <c r="Q2238">
        <v>0.25892100000000001</v>
      </c>
    </row>
    <row r="2239" spans="1:17" x14ac:dyDescent="0.25">
      <c r="A2239" t="str">
        <f>IF(C2239&amp;G2239&amp;D2239&lt;&gt;'Funnel setup'!$K$3&amp;'Funnel setup'!$K$4&amp;'Funnel setup'!$K$6,".",IF(A2238=".",1,A2238+1))</f>
        <v>.</v>
      </c>
      <c r="B2239" s="244" t="str">
        <f t="shared" si="34"/>
        <v>Knee Replacement PrimaryProviderBRADFORD TEACHING HOSPITALS NHS FOUNDATION TRUST (RAE)EQ-5D Index</v>
      </c>
      <c r="C2239" t="s">
        <v>969</v>
      </c>
      <c r="D2239" t="s">
        <v>965</v>
      </c>
      <c r="E2239" t="s">
        <v>174</v>
      </c>
      <c r="F2239" t="s">
        <v>175</v>
      </c>
      <c r="G2239" t="s">
        <v>963</v>
      </c>
      <c r="H2239">
        <v>4</v>
      </c>
      <c r="I2239">
        <v>0.44624999999999998</v>
      </c>
      <c r="J2239">
        <v>0.79474999999999996</v>
      </c>
      <c r="K2239">
        <v>0.34849999999999998</v>
      </c>
      <c r="L2239">
        <v>4</v>
      </c>
      <c r="M2239">
        <v>0</v>
      </c>
      <c r="N2239">
        <v>0</v>
      </c>
      <c r="O2239" t="s">
        <v>127</v>
      </c>
      <c r="P2239" t="s">
        <v>127</v>
      </c>
      <c r="Q2239" t="s">
        <v>127</v>
      </c>
    </row>
    <row r="2240" spans="1:17" x14ac:dyDescent="0.25">
      <c r="A2240" t="str">
        <f>IF(C2240&amp;G2240&amp;D2240&lt;&gt;'Funnel setup'!$K$3&amp;'Funnel setup'!$K$4&amp;'Funnel setup'!$K$6,".",IF(A2239=".",1,A2239+1))</f>
        <v>.</v>
      </c>
      <c r="B2240" s="244" t="str">
        <f t="shared" si="34"/>
        <v>Knee Replacement PrimaryProviderBUCKINGHAMSHIRE HEALTHCARE NHS TRUST (RXQ)EQ-5D Index</v>
      </c>
      <c r="C2240" t="s">
        <v>969</v>
      </c>
      <c r="D2240" t="s">
        <v>965</v>
      </c>
      <c r="E2240" t="s">
        <v>178</v>
      </c>
      <c r="F2240" t="s">
        <v>179</v>
      </c>
      <c r="G2240" t="s">
        <v>963</v>
      </c>
      <c r="H2240">
        <v>76</v>
      </c>
      <c r="I2240">
        <v>0.39021099999999997</v>
      </c>
      <c r="J2240">
        <v>0.75459200000000004</v>
      </c>
      <c r="K2240">
        <v>0.36438199999999998</v>
      </c>
      <c r="L2240">
        <v>65</v>
      </c>
      <c r="M2240">
        <v>6</v>
      </c>
      <c r="N2240">
        <v>5</v>
      </c>
      <c r="O2240">
        <v>0.75595199999999996</v>
      </c>
      <c r="P2240">
        <v>0.32715699999999998</v>
      </c>
      <c r="Q2240">
        <v>0.21947700000000001</v>
      </c>
    </row>
    <row r="2241" spans="1:17" x14ac:dyDescent="0.25">
      <c r="A2241" t="str">
        <f>IF(C2241&amp;G2241&amp;D2241&lt;&gt;'Funnel setup'!$K$3&amp;'Funnel setup'!$K$4&amp;'Funnel setup'!$K$6,".",IF(A2240=".",1,A2240+1))</f>
        <v>.</v>
      </c>
      <c r="B2241" s="244" t="str">
        <f t="shared" si="34"/>
        <v>Knee Replacement PrimaryProviderCALDERDALE AND HUDDERSFIELD NHS FOUNDATION TRUST (RWY)EQ-5D Index</v>
      </c>
      <c r="C2241" t="s">
        <v>969</v>
      </c>
      <c r="D2241" t="s">
        <v>965</v>
      </c>
      <c r="E2241" t="s">
        <v>180</v>
      </c>
      <c r="F2241" t="s">
        <v>181</v>
      </c>
      <c r="G2241" t="s">
        <v>963</v>
      </c>
      <c r="H2241">
        <v>62</v>
      </c>
      <c r="I2241">
        <v>0.471613</v>
      </c>
      <c r="J2241">
        <v>0.69572599999999996</v>
      </c>
      <c r="K2241">
        <v>0.22411300000000001</v>
      </c>
      <c r="L2241">
        <v>43</v>
      </c>
      <c r="M2241">
        <v>8</v>
      </c>
      <c r="N2241">
        <v>11</v>
      </c>
      <c r="O2241">
        <v>0.68266899999999997</v>
      </c>
      <c r="P2241">
        <v>0.25387300000000002</v>
      </c>
      <c r="Q2241">
        <v>0.26660499999999998</v>
      </c>
    </row>
    <row r="2242" spans="1:17" x14ac:dyDescent="0.25">
      <c r="A2242" t="str">
        <f>IF(C2242&amp;G2242&amp;D2242&lt;&gt;'Funnel setup'!$K$3&amp;'Funnel setup'!$K$4&amp;'Funnel setup'!$K$6,".",IF(A2241=".",1,A2241+1))</f>
        <v>.</v>
      </c>
      <c r="B2242" s="244" t="str">
        <f t="shared" ref="B2242:B2305" si="35">C2242&amp;D2242&amp;F2242&amp;G2242</f>
        <v>Knee Replacement PrimaryProviderCAMBRIDGE UNIVERSITY HOSPITALS NHS FOUNDATION TRUST (RGT)EQ-5D Index</v>
      </c>
      <c r="C2242" t="s">
        <v>969</v>
      </c>
      <c r="D2242" t="s">
        <v>965</v>
      </c>
      <c r="E2242" t="s">
        <v>182</v>
      </c>
      <c r="F2242" t="s">
        <v>183</v>
      </c>
      <c r="G2242" t="s">
        <v>963</v>
      </c>
      <c r="H2242">
        <v>51</v>
      </c>
      <c r="I2242">
        <v>0.25188199999999999</v>
      </c>
      <c r="J2242">
        <v>0.65102000000000004</v>
      </c>
      <c r="K2242">
        <v>0.39913700000000002</v>
      </c>
      <c r="L2242">
        <v>44</v>
      </c>
      <c r="M2242">
        <v>4</v>
      </c>
      <c r="N2242">
        <v>3</v>
      </c>
      <c r="O2242">
        <v>0.73269099999999998</v>
      </c>
      <c r="P2242">
        <v>0.303896</v>
      </c>
      <c r="Q2242">
        <v>0.25738499999999997</v>
      </c>
    </row>
    <row r="2243" spans="1:17" x14ac:dyDescent="0.25">
      <c r="A2243" t="str">
        <f>IF(C2243&amp;G2243&amp;D2243&lt;&gt;'Funnel setup'!$K$3&amp;'Funnel setup'!$K$4&amp;'Funnel setup'!$K$6,".",IF(A2242=".",1,A2242+1))</f>
        <v>.</v>
      </c>
      <c r="B2243" s="244" t="str">
        <f t="shared" si="35"/>
        <v>Knee Replacement PrimaryProviderCAVELL HOSPITAL (NT451)EQ-5D Index</v>
      </c>
      <c r="C2243" t="s">
        <v>969</v>
      </c>
      <c r="D2243" t="s">
        <v>965</v>
      </c>
      <c r="E2243" t="s">
        <v>184</v>
      </c>
      <c r="F2243" t="s">
        <v>185</v>
      </c>
      <c r="G2243" t="s">
        <v>963</v>
      </c>
      <c r="H2243">
        <v>39</v>
      </c>
      <c r="I2243">
        <v>0.40305099999999999</v>
      </c>
      <c r="J2243">
        <v>0.69902600000000004</v>
      </c>
      <c r="K2243">
        <v>0.29597400000000001</v>
      </c>
      <c r="L2243">
        <v>31</v>
      </c>
      <c r="M2243">
        <v>4</v>
      </c>
      <c r="N2243">
        <v>4</v>
      </c>
      <c r="O2243">
        <v>0.69229600000000002</v>
      </c>
      <c r="P2243">
        <v>0.26350000000000001</v>
      </c>
      <c r="Q2243">
        <v>0.23658699999999999</v>
      </c>
    </row>
    <row r="2244" spans="1:17" x14ac:dyDescent="0.25">
      <c r="A2244" t="str">
        <f>IF(C2244&amp;G2244&amp;D2244&lt;&gt;'Funnel setup'!$K$3&amp;'Funnel setup'!$K$4&amp;'Funnel setup'!$K$6,".",IF(A2243=".",1,A2243+1))</f>
        <v>.</v>
      </c>
      <c r="B2244" s="244" t="str">
        <f t="shared" si="35"/>
        <v>Knee Replacement PrimaryProviderCHAUCER HOSPITAL (NT408)EQ-5D Index</v>
      </c>
      <c r="C2244" t="s">
        <v>969</v>
      </c>
      <c r="D2244" t="s">
        <v>965</v>
      </c>
      <c r="E2244" t="s">
        <v>186</v>
      </c>
      <c r="F2244" t="s">
        <v>187</v>
      </c>
      <c r="G2244" t="s">
        <v>963</v>
      </c>
      <c r="H2244">
        <v>45</v>
      </c>
      <c r="I2244">
        <v>0.50364399999999998</v>
      </c>
      <c r="J2244">
        <v>0.81293300000000002</v>
      </c>
      <c r="K2244">
        <v>0.30928899999999998</v>
      </c>
      <c r="L2244">
        <v>39</v>
      </c>
      <c r="M2244">
        <v>4</v>
      </c>
      <c r="N2244">
        <v>2</v>
      </c>
      <c r="O2244">
        <v>0.78635699999999997</v>
      </c>
      <c r="P2244">
        <v>0.35756100000000002</v>
      </c>
      <c r="Q2244">
        <v>0.14660100000000001</v>
      </c>
    </row>
    <row r="2245" spans="1:17" x14ac:dyDescent="0.25">
      <c r="A2245" t="str">
        <f>IF(C2245&amp;G2245&amp;D2245&lt;&gt;'Funnel setup'!$K$3&amp;'Funnel setup'!$K$4&amp;'Funnel setup'!$K$6,".",IF(A2244=".",1,A2244+1))</f>
        <v>.</v>
      </c>
      <c r="B2245" s="244" t="str">
        <f t="shared" si="35"/>
        <v>Knee Replacement PrimaryProviderCHELSEA AND WESTMINSTER HOSPITAL NHS FOUNDATION TRUST (RQM)EQ-5D Index</v>
      </c>
      <c r="C2245" t="s">
        <v>969</v>
      </c>
      <c r="D2245" t="s">
        <v>965</v>
      </c>
      <c r="E2245" t="s">
        <v>188</v>
      </c>
      <c r="F2245" t="s">
        <v>189</v>
      </c>
      <c r="G2245" t="s">
        <v>963</v>
      </c>
      <c r="H2245">
        <v>5</v>
      </c>
      <c r="I2245">
        <v>0.39660000000000001</v>
      </c>
      <c r="J2245">
        <v>0.6804</v>
      </c>
      <c r="K2245">
        <v>0.2838</v>
      </c>
      <c r="L2245">
        <v>3</v>
      </c>
      <c r="M2245">
        <v>1</v>
      </c>
      <c r="N2245">
        <v>1</v>
      </c>
      <c r="O2245" t="s">
        <v>127</v>
      </c>
      <c r="P2245" t="s">
        <v>127</v>
      </c>
      <c r="Q2245" t="s">
        <v>127</v>
      </c>
    </row>
    <row r="2246" spans="1:17" x14ac:dyDescent="0.25">
      <c r="A2246" t="str">
        <f>IF(C2246&amp;G2246&amp;D2246&lt;&gt;'Funnel setup'!$K$3&amp;'Funnel setup'!$K$4&amp;'Funnel setup'!$K$6,".",IF(A2245=".",1,A2245+1))</f>
        <v>.</v>
      </c>
      <c r="B2246" s="244" t="str">
        <f t="shared" si="35"/>
        <v>Knee Replacement PrimaryProviderCHELSFIELD PARK HOSPITAL (NT409)EQ-5D Index</v>
      </c>
      <c r="C2246" t="s">
        <v>969</v>
      </c>
      <c r="D2246" t="s">
        <v>965</v>
      </c>
      <c r="E2246" t="s">
        <v>190</v>
      </c>
      <c r="F2246" t="s">
        <v>191</v>
      </c>
      <c r="G2246" t="s">
        <v>963</v>
      </c>
      <c r="H2246">
        <v>31</v>
      </c>
      <c r="I2246">
        <v>0.59170999999999996</v>
      </c>
      <c r="J2246">
        <v>0.90441899999999997</v>
      </c>
      <c r="K2246">
        <v>0.31270999999999999</v>
      </c>
      <c r="L2246">
        <v>29</v>
      </c>
      <c r="M2246">
        <v>0</v>
      </c>
      <c r="N2246">
        <v>2</v>
      </c>
      <c r="O2246">
        <v>0.84614</v>
      </c>
      <c r="P2246">
        <v>0.41734399999999999</v>
      </c>
      <c r="Q2246">
        <v>0.11562</v>
      </c>
    </row>
    <row r="2247" spans="1:17" x14ac:dyDescent="0.25">
      <c r="A2247" t="str">
        <f>IF(C2247&amp;G2247&amp;D2247&lt;&gt;'Funnel setup'!$K$3&amp;'Funnel setup'!$K$4&amp;'Funnel setup'!$K$6,".",IF(A2246=".",1,A2246+1))</f>
        <v>.</v>
      </c>
      <c r="B2247" s="244" t="str">
        <f t="shared" si="35"/>
        <v>Knee Replacement PrimaryProviderCHESTERFIELD ROYAL HOSPITAL NHS FOUNDATION TRUST (RFS)EQ-5D Index</v>
      </c>
      <c r="C2247" t="s">
        <v>969</v>
      </c>
      <c r="D2247" t="s">
        <v>965</v>
      </c>
      <c r="E2247" t="s">
        <v>192</v>
      </c>
      <c r="F2247" t="s">
        <v>193</v>
      </c>
      <c r="G2247" t="s">
        <v>963</v>
      </c>
      <c r="H2247">
        <v>56</v>
      </c>
      <c r="I2247">
        <v>0.3105</v>
      </c>
      <c r="J2247">
        <v>0.68417899999999998</v>
      </c>
      <c r="K2247">
        <v>0.37367899999999998</v>
      </c>
      <c r="L2247">
        <v>49</v>
      </c>
      <c r="M2247">
        <v>3</v>
      </c>
      <c r="N2247">
        <v>4</v>
      </c>
      <c r="O2247">
        <v>0.74528099999999997</v>
      </c>
      <c r="P2247">
        <v>0.31648500000000002</v>
      </c>
      <c r="Q2247">
        <v>0.256546</v>
      </c>
    </row>
    <row r="2248" spans="1:17" x14ac:dyDescent="0.25">
      <c r="A2248" t="str">
        <f>IF(C2248&amp;G2248&amp;D2248&lt;&gt;'Funnel setup'!$K$3&amp;'Funnel setup'!$K$4&amp;'Funnel setup'!$K$6,".",IF(A2247=".",1,A2247+1))</f>
        <v>.</v>
      </c>
      <c r="B2248" s="244" t="str">
        <f t="shared" si="35"/>
        <v>Knee Replacement PrimaryProviderCHILTERN HOSPITAL (NT410)EQ-5D Index</v>
      </c>
      <c r="C2248" t="s">
        <v>969</v>
      </c>
      <c r="D2248" t="s">
        <v>965</v>
      </c>
      <c r="E2248" t="s">
        <v>194</v>
      </c>
      <c r="F2248" t="s">
        <v>195</v>
      </c>
      <c r="G2248" t="s">
        <v>963</v>
      </c>
      <c r="H2248">
        <v>79</v>
      </c>
      <c r="I2248">
        <v>0.57970900000000003</v>
      </c>
      <c r="J2248">
        <v>0.82007600000000003</v>
      </c>
      <c r="K2248">
        <v>0.240367</v>
      </c>
      <c r="L2248">
        <v>61</v>
      </c>
      <c r="M2248">
        <v>8</v>
      </c>
      <c r="N2248">
        <v>10</v>
      </c>
      <c r="O2248">
        <v>0.74186799999999997</v>
      </c>
      <c r="P2248">
        <v>0.31307299999999999</v>
      </c>
      <c r="Q2248">
        <v>0.21460199999999999</v>
      </c>
    </row>
    <row r="2249" spans="1:17" x14ac:dyDescent="0.25">
      <c r="A2249" t="str">
        <f>IF(C2249&amp;G2249&amp;D2249&lt;&gt;'Funnel setup'!$K$3&amp;'Funnel setup'!$K$4&amp;'Funnel setup'!$K$6,".",IF(A2248=".",1,A2248+1))</f>
        <v>.</v>
      </c>
      <c r="B2249" s="244" t="str">
        <f t="shared" si="35"/>
        <v>Knee Replacement PrimaryProviderCIRCLE BATH HOSPITAL (NV302)EQ-5D Index</v>
      </c>
      <c r="C2249" t="s">
        <v>969</v>
      </c>
      <c r="D2249" t="s">
        <v>965</v>
      </c>
      <c r="E2249" t="s">
        <v>196</v>
      </c>
      <c r="F2249" t="s">
        <v>197</v>
      </c>
      <c r="G2249" t="s">
        <v>963</v>
      </c>
      <c r="H2249">
        <v>13</v>
      </c>
      <c r="I2249">
        <v>0.41869200000000001</v>
      </c>
      <c r="J2249">
        <v>0.78807700000000003</v>
      </c>
      <c r="K2249">
        <v>0.36938500000000002</v>
      </c>
      <c r="L2249">
        <v>11</v>
      </c>
      <c r="M2249">
        <v>1</v>
      </c>
      <c r="N2249">
        <v>1</v>
      </c>
      <c r="O2249" t="s">
        <v>127</v>
      </c>
      <c r="P2249" t="s">
        <v>127</v>
      </c>
      <c r="Q2249" t="s">
        <v>127</v>
      </c>
    </row>
    <row r="2250" spans="1:17" x14ac:dyDescent="0.25">
      <c r="A2250" t="str">
        <f>IF(C2250&amp;G2250&amp;D2250&lt;&gt;'Funnel setup'!$K$3&amp;'Funnel setup'!$K$4&amp;'Funnel setup'!$K$6,".",IF(A2249=".",1,A2249+1))</f>
        <v>.</v>
      </c>
      <c r="B2250" s="244" t="str">
        <f t="shared" si="35"/>
        <v>Knee Replacement PrimaryProviderCIRCLE READING HOSPITAL (NV323)EQ-5D Index</v>
      </c>
      <c r="C2250" t="s">
        <v>969</v>
      </c>
      <c r="D2250" t="s">
        <v>965</v>
      </c>
      <c r="E2250" t="s">
        <v>198</v>
      </c>
      <c r="F2250" t="s">
        <v>199</v>
      </c>
      <c r="G2250" t="s">
        <v>963</v>
      </c>
      <c r="H2250">
        <v>61</v>
      </c>
      <c r="I2250">
        <v>0.49829499999999999</v>
      </c>
      <c r="J2250">
        <v>0.78847500000000004</v>
      </c>
      <c r="K2250">
        <v>0.29017999999999999</v>
      </c>
      <c r="L2250">
        <v>47</v>
      </c>
      <c r="M2250">
        <v>11</v>
      </c>
      <c r="N2250">
        <v>3</v>
      </c>
      <c r="O2250">
        <v>0.73808399999999996</v>
      </c>
      <c r="P2250">
        <v>0.30928800000000001</v>
      </c>
      <c r="Q2250">
        <v>0.25925900000000002</v>
      </c>
    </row>
    <row r="2251" spans="1:17" x14ac:dyDescent="0.25">
      <c r="A2251" t="str">
        <f>IF(C2251&amp;G2251&amp;D2251&lt;&gt;'Funnel setup'!$K$3&amp;'Funnel setup'!$K$4&amp;'Funnel setup'!$K$6,".",IF(A2250=".",1,A2250+1))</f>
        <v>.</v>
      </c>
      <c r="B2251" s="244" t="str">
        <f t="shared" si="35"/>
        <v>Knee Replacement PrimaryProviderCLEMENTINE CHURCHILL HOSPITAL (NT411)EQ-5D Index</v>
      </c>
      <c r="C2251" t="s">
        <v>969</v>
      </c>
      <c r="D2251" t="s">
        <v>965</v>
      </c>
      <c r="E2251" t="s">
        <v>200</v>
      </c>
      <c r="F2251" t="s">
        <v>201</v>
      </c>
      <c r="G2251" t="s">
        <v>963</v>
      </c>
      <c r="H2251">
        <v>31</v>
      </c>
      <c r="I2251">
        <v>0.50700000000000001</v>
      </c>
      <c r="J2251">
        <v>0.71809699999999999</v>
      </c>
      <c r="K2251">
        <v>0.21109700000000001</v>
      </c>
      <c r="L2251">
        <v>25</v>
      </c>
      <c r="M2251">
        <v>2</v>
      </c>
      <c r="N2251">
        <v>4</v>
      </c>
      <c r="O2251">
        <v>0.70557499999999995</v>
      </c>
      <c r="P2251">
        <v>0.276779</v>
      </c>
      <c r="Q2251">
        <v>0.18950700000000001</v>
      </c>
    </row>
    <row r="2252" spans="1:17" x14ac:dyDescent="0.25">
      <c r="A2252" t="str">
        <f>IF(C2252&amp;G2252&amp;D2252&lt;&gt;'Funnel setup'!$K$3&amp;'Funnel setup'!$K$4&amp;'Funnel setup'!$K$6,".",IF(A2251=".",1,A2251+1))</f>
        <v>.</v>
      </c>
      <c r="B2252" s="244" t="str">
        <f t="shared" si="35"/>
        <v>Knee Replacement PrimaryProviderCLIFTON PARK HOSPITAL (NVC28)EQ-5D Index</v>
      </c>
      <c r="C2252" t="s">
        <v>969</v>
      </c>
      <c r="D2252" t="s">
        <v>965</v>
      </c>
      <c r="E2252" t="s">
        <v>202</v>
      </c>
      <c r="F2252" t="s">
        <v>203</v>
      </c>
      <c r="G2252" t="s">
        <v>963</v>
      </c>
      <c r="H2252">
        <v>57</v>
      </c>
      <c r="I2252">
        <v>0.45217499999999999</v>
      </c>
      <c r="J2252">
        <v>0.73254399999999997</v>
      </c>
      <c r="K2252">
        <v>0.28036800000000001</v>
      </c>
      <c r="L2252">
        <v>47</v>
      </c>
      <c r="M2252">
        <v>5</v>
      </c>
      <c r="N2252">
        <v>5</v>
      </c>
      <c r="O2252">
        <v>0.703843</v>
      </c>
      <c r="P2252">
        <v>0.27504699999999999</v>
      </c>
      <c r="Q2252">
        <v>0.24355399999999999</v>
      </c>
    </row>
    <row r="2253" spans="1:17" x14ac:dyDescent="0.25">
      <c r="A2253" t="str">
        <f>IF(C2253&amp;G2253&amp;D2253&lt;&gt;'Funnel setup'!$K$3&amp;'Funnel setup'!$K$4&amp;'Funnel setup'!$K$6,".",IF(A2252=".",1,A2252+1))</f>
        <v>.</v>
      </c>
      <c r="B2253" s="244" t="str">
        <f t="shared" si="35"/>
        <v>Knee Replacement PrimaryProviderCOUNTESS OF CHESTER HOSPITAL NHS FOUNDATION TRUST (RJR)EQ-5D Index</v>
      </c>
      <c r="C2253" t="s">
        <v>969</v>
      </c>
      <c r="D2253" t="s">
        <v>965</v>
      </c>
      <c r="E2253" t="s">
        <v>204</v>
      </c>
      <c r="F2253" t="s">
        <v>205</v>
      </c>
      <c r="G2253" t="s">
        <v>963</v>
      </c>
      <c r="H2253">
        <v>28</v>
      </c>
      <c r="I2253">
        <v>0.35810700000000001</v>
      </c>
      <c r="J2253">
        <v>0.71142899999999998</v>
      </c>
      <c r="K2253">
        <v>0.353321</v>
      </c>
      <c r="L2253">
        <v>25</v>
      </c>
      <c r="M2253">
        <v>3</v>
      </c>
      <c r="N2253">
        <v>0</v>
      </c>
      <c r="O2253" t="s">
        <v>127</v>
      </c>
      <c r="P2253" t="s">
        <v>127</v>
      </c>
      <c r="Q2253" t="s">
        <v>127</v>
      </c>
    </row>
    <row r="2254" spans="1:17" x14ac:dyDescent="0.25">
      <c r="A2254" t="str">
        <f>IF(C2254&amp;G2254&amp;D2254&lt;&gt;'Funnel setup'!$K$3&amp;'Funnel setup'!$K$4&amp;'Funnel setup'!$K$6,".",IF(A2253=".",1,A2253+1))</f>
        <v>.</v>
      </c>
      <c r="B2254" s="244" t="str">
        <f t="shared" si="35"/>
        <v>Knee Replacement PrimaryProviderCOUNTY DURHAM AND DARLINGTON NHS FOUNDATION TRUST (RXP)EQ-5D Index</v>
      </c>
      <c r="C2254" t="s">
        <v>969</v>
      </c>
      <c r="D2254" t="s">
        <v>965</v>
      </c>
      <c r="E2254" t="s">
        <v>206</v>
      </c>
      <c r="F2254" t="s">
        <v>207</v>
      </c>
      <c r="G2254" t="s">
        <v>963</v>
      </c>
      <c r="H2254">
        <v>133</v>
      </c>
      <c r="I2254">
        <v>0.48993199999999998</v>
      </c>
      <c r="J2254">
        <v>0.73633800000000005</v>
      </c>
      <c r="K2254">
        <v>0.24640599999999999</v>
      </c>
      <c r="L2254">
        <v>100</v>
      </c>
      <c r="M2254">
        <v>14</v>
      </c>
      <c r="N2254">
        <v>19</v>
      </c>
      <c r="O2254">
        <v>0.72692699999999999</v>
      </c>
      <c r="P2254">
        <v>0.29813099999999998</v>
      </c>
      <c r="Q2254">
        <v>0.21687200000000001</v>
      </c>
    </row>
    <row r="2255" spans="1:17" x14ac:dyDescent="0.25">
      <c r="A2255" t="str">
        <f>IF(C2255&amp;G2255&amp;D2255&lt;&gt;'Funnel setup'!$K$3&amp;'Funnel setup'!$K$4&amp;'Funnel setup'!$K$6,".",IF(A2254=".",1,A2254+1))</f>
        <v>.</v>
      </c>
      <c r="B2255" s="244" t="str">
        <f t="shared" si="35"/>
        <v>Knee Replacement PrimaryProviderDONCASTER AND BASSETLAW TEACHING HOSPITALS NHS FOUNDATION TRUST (RP5)EQ-5D Index</v>
      </c>
      <c r="C2255" t="s">
        <v>969</v>
      </c>
      <c r="D2255" t="s">
        <v>965</v>
      </c>
      <c r="E2255" t="s">
        <v>212</v>
      </c>
      <c r="F2255" t="s">
        <v>213</v>
      </c>
      <c r="G2255" t="s">
        <v>963</v>
      </c>
      <c r="H2255">
        <v>78</v>
      </c>
      <c r="I2255">
        <v>0.35351300000000002</v>
      </c>
      <c r="J2255">
        <v>0.63639699999999999</v>
      </c>
      <c r="K2255">
        <v>0.282885</v>
      </c>
      <c r="L2255">
        <v>58</v>
      </c>
      <c r="M2255">
        <v>7</v>
      </c>
      <c r="N2255">
        <v>13</v>
      </c>
      <c r="O2255">
        <v>0.69204500000000002</v>
      </c>
      <c r="P2255">
        <v>0.26324900000000001</v>
      </c>
      <c r="Q2255">
        <v>0.30397099999999999</v>
      </c>
    </row>
    <row r="2256" spans="1:17" x14ac:dyDescent="0.25">
      <c r="A2256" t="str">
        <f>IF(C2256&amp;G2256&amp;D2256&lt;&gt;'Funnel setup'!$K$3&amp;'Funnel setup'!$K$4&amp;'Funnel setup'!$K$6,".",IF(A2255=".",1,A2255+1))</f>
        <v>.</v>
      </c>
      <c r="B2256" s="244" t="str">
        <f t="shared" si="35"/>
        <v>Knee Replacement PrimaryProviderDORSET COUNTY HOSPITAL NHS FOUNDATION TRUST (RBD)EQ-5D Index</v>
      </c>
      <c r="C2256" t="s">
        <v>969</v>
      </c>
      <c r="D2256" t="s">
        <v>965</v>
      </c>
      <c r="E2256" t="s">
        <v>214</v>
      </c>
      <c r="F2256" t="s">
        <v>215</v>
      </c>
      <c r="G2256" t="s">
        <v>963</v>
      </c>
      <c r="H2256">
        <v>15</v>
      </c>
      <c r="I2256">
        <v>0.496867</v>
      </c>
      <c r="J2256">
        <v>0.75513300000000005</v>
      </c>
      <c r="K2256">
        <v>0.25826700000000002</v>
      </c>
      <c r="L2256">
        <v>12</v>
      </c>
      <c r="M2256">
        <v>2</v>
      </c>
      <c r="N2256">
        <v>1</v>
      </c>
      <c r="O2256" t="s">
        <v>127</v>
      </c>
      <c r="P2256" t="s">
        <v>127</v>
      </c>
      <c r="Q2256" t="s">
        <v>127</v>
      </c>
    </row>
    <row r="2257" spans="1:17" x14ac:dyDescent="0.25">
      <c r="A2257" t="str">
        <f>IF(C2257&amp;G2257&amp;D2257&lt;&gt;'Funnel setup'!$K$3&amp;'Funnel setup'!$K$4&amp;'Funnel setup'!$K$6,".",IF(A2256=".",1,A2256+1))</f>
        <v>.</v>
      </c>
      <c r="B2257" s="244" t="str">
        <f t="shared" si="35"/>
        <v>Knee Replacement PrimaryProviderDROITWICH SPA HOSPITAL (NT412)EQ-5D Index</v>
      </c>
      <c r="C2257" t="s">
        <v>969</v>
      </c>
      <c r="D2257" t="s">
        <v>965</v>
      </c>
      <c r="E2257" t="s">
        <v>216</v>
      </c>
      <c r="F2257" t="s">
        <v>217</v>
      </c>
      <c r="G2257" t="s">
        <v>963</v>
      </c>
      <c r="H2257">
        <v>23</v>
      </c>
      <c r="I2257">
        <v>0.54391299999999998</v>
      </c>
      <c r="J2257">
        <v>0.79004300000000005</v>
      </c>
      <c r="K2257">
        <v>0.24612999999999999</v>
      </c>
      <c r="L2257">
        <v>18</v>
      </c>
      <c r="M2257">
        <v>4</v>
      </c>
      <c r="N2257">
        <v>1</v>
      </c>
      <c r="O2257" t="s">
        <v>127</v>
      </c>
      <c r="P2257" t="s">
        <v>127</v>
      </c>
      <c r="Q2257" t="s">
        <v>127</v>
      </c>
    </row>
    <row r="2258" spans="1:17" x14ac:dyDescent="0.25">
      <c r="A2258" t="str">
        <f>IF(C2258&amp;G2258&amp;D2258&lt;&gt;'Funnel setup'!$K$3&amp;'Funnel setup'!$K$4&amp;'Funnel setup'!$K$6,".",IF(A2257=".",1,A2257+1))</f>
        <v>.</v>
      </c>
      <c r="B2258" s="244" t="str">
        <f t="shared" si="35"/>
        <v>Knee Replacement PrimaryProviderDUCHY HOSPITAL (NT447)EQ-5D Index</v>
      </c>
      <c r="C2258" t="s">
        <v>969</v>
      </c>
      <c r="D2258" t="s">
        <v>965</v>
      </c>
      <c r="E2258" t="s">
        <v>218</v>
      </c>
      <c r="F2258" t="s">
        <v>219</v>
      </c>
      <c r="G2258" t="s">
        <v>963</v>
      </c>
      <c r="H2258">
        <v>29</v>
      </c>
      <c r="I2258">
        <v>0.50451699999999999</v>
      </c>
      <c r="J2258">
        <v>0.88417199999999996</v>
      </c>
      <c r="K2258">
        <v>0.37965500000000002</v>
      </c>
      <c r="L2258">
        <v>27</v>
      </c>
      <c r="M2258">
        <v>0</v>
      </c>
      <c r="N2258">
        <v>2</v>
      </c>
      <c r="O2258" t="s">
        <v>127</v>
      </c>
      <c r="P2258" t="s">
        <v>127</v>
      </c>
      <c r="Q2258" t="s">
        <v>127</v>
      </c>
    </row>
    <row r="2259" spans="1:17" x14ac:dyDescent="0.25">
      <c r="A2259" t="str">
        <f>IF(C2259&amp;G2259&amp;D2259&lt;&gt;'Funnel setup'!$K$3&amp;'Funnel setup'!$K$4&amp;'Funnel setup'!$K$6,".",IF(A2258=".",1,A2258+1))</f>
        <v>.</v>
      </c>
      <c r="B2259" s="244" t="str">
        <f t="shared" si="35"/>
        <v>Knee Replacement PrimaryProviderDUCHY HOSPITAL (NVC04)EQ-5D Index</v>
      </c>
      <c r="C2259" t="s">
        <v>969</v>
      </c>
      <c r="D2259" t="s">
        <v>965</v>
      </c>
      <c r="E2259" t="s">
        <v>220</v>
      </c>
      <c r="F2259" t="s">
        <v>221</v>
      </c>
      <c r="G2259" t="s">
        <v>963</v>
      </c>
      <c r="H2259">
        <v>26</v>
      </c>
      <c r="I2259">
        <v>0.56526900000000002</v>
      </c>
      <c r="J2259">
        <v>0.77438499999999999</v>
      </c>
      <c r="K2259">
        <v>0.209115</v>
      </c>
      <c r="L2259">
        <v>21</v>
      </c>
      <c r="M2259">
        <v>4</v>
      </c>
      <c r="N2259">
        <v>1</v>
      </c>
      <c r="O2259" t="s">
        <v>127</v>
      </c>
      <c r="P2259" t="s">
        <v>127</v>
      </c>
      <c r="Q2259" t="s">
        <v>127</v>
      </c>
    </row>
    <row r="2260" spans="1:17" x14ac:dyDescent="0.25">
      <c r="A2260" t="str">
        <f>IF(C2260&amp;G2260&amp;D2260&lt;&gt;'Funnel setup'!$K$3&amp;'Funnel setup'!$K$4&amp;'Funnel setup'!$K$6,".",IF(A2259=".",1,A2259+1))</f>
        <v>.</v>
      </c>
      <c r="B2260" s="244" t="str">
        <f t="shared" si="35"/>
        <v>Knee Replacement PrimaryProviderEAST AND NORTH HERTFORDSHIRE NHS TRUST (RWH)EQ-5D Index</v>
      </c>
      <c r="C2260" t="s">
        <v>969</v>
      </c>
      <c r="D2260" t="s">
        <v>965</v>
      </c>
      <c r="E2260" t="s">
        <v>224</v>
      </c>
      <c r="F2260" t="s">
        <v>225</v>
      </c>
      <c r="G2260" t="s">
        <v>963</v>
      </c>
      <c r="H2260">
        <v>28</v>
      </c>
      <c r="I2260">
        <v>0.38396400000000003</v>
      </c>
      <c r="J2260">
        <v>0.68117899999999998</v>
      </c>
      <c r="K2260">
        <v>0.29721399999999998</v>
      </c>
      <c r="L2260">
        <v>22</v>
      </c>
      <c r="M2260">
        <v>2</v>
      </c>
      <c r="N2260">
        <v>4</v>
      </c>
      <c r="O2260" t="s">
        <v>127</v>
      </c>
      <c r="P2260" t="s">
        <v>127</v>
      </c>
      <c r="Q2260" t="s">
        <v>127</v>
      </c>
    </row>
    <row r="2261" spans="1:17" x14ac:dyDescent="0.25">
      <c r="A2261" t="str">
        <f>IF(C2261&amp;G2261&amp;D2261&lt;&gt;'Funnel setup'!$K$3&amp;'Funnel setup'!$K$4&amp;'Funnel setup'!$K$6,".",IF(A2260=".",1,A2260+1))</f>
        <v>.</v>
      </c>
      <c r="B2261" s="244" t="str">
        <f t="shared" si="35"/>
        <v>Knee Replacement PrimaryProviderEAST CHESHIRE NHS TRUST (RJN)EQ-5D Index</v>
      </c>
      <c r="C2261" t="s">
        <v>969</v>
      </c>
      <c r="D2261" t="s">
        <v>965</v>
      </c>
      <c r="E2261" t="s">
        <v>226</v>
      </c>
      <c r="F2261" t="s">
        <v>227</v>
      </c>
      <c r="G2261" t="s">
        <v>963</v>
      </c>
      <c r="H2261">
        <v>5</v>
      </c>
      <c r="I2261">
        <v>0.17499999999999999</v>
      </c>
      <c r="J2261">
        <v>0.56699999999999995</v>
      </c>
      <c r="K2261">
        <v>0.39200000000000002</v>
      </c>
      <c r="L2261">
        <v>5</v>
      </c>
      <c r="M2261">
        <v>0</v>
      </c>
      <c r="N2261">
        <v>0</v>
      </c>
      <c r="O2261" t="s">
        <v>127</v>
      </c>
      <c r="P2261" t="s">
        <v>127</v>
      </c>
      <c r="Q2261" t="s">
        <v>127</v>
      </c>
    </row>
    <row r="2262" spans="1:17" x14ac:dyDescent="0.25">
      <c r="A2262" t="str">
        <f>IF(C2262&amp;G2262&amp;D2262&lt;&gt;'Funnel setup'!$K$3&amp;'Funnel setup'!$K$4&amp;'Funnel setup'!$K$6,".",IF(A2261=".",1,A2261+1))</f>
        <v>.</v>
      </c>
      <c r="B2262" s="244" t="str">
        <f t="shared" si="35"/>
        <v>Knee Replacement PrimaryProviderEAST KENT HOSPITALS UNIVERSITY NHS FOUNDATION TRUST (RVV)EQ-5D Index</v>
      </c>
      <c r="C2262" t="s">
        <v>969</v>
      </c>
      <c r="D2262" t="s">
        <v>965</v>
      </c>
      <c r="E2262" t="s">
        <v>228</v>
      </c>
      <c r="F2262" t="s">
        <v>229</v>
      </c>
      <c r="G2262" t="s">
        <v>963</v>
      </c>
      <c r="H2262">
        <v>86</v>
      </c>
      <c r="I2262">
        <v>0.42038399999999998</v>
      </c>
      <c r="J2262">
        <v>0.73445300000000002</v>
      </c>
      <c r="K2262">
        <v>0.31407000000000002</v>
      </c>
      <c r="L2262">
        <v>71</v>
      </c>
      <c r="M2262">
        <v>6</v>
      </c>
      <c r="N2262">
        <v>9</v>
      </c>
      <c r="O2262">
        <v>0.77071299999999998</v>
      </c>
      <c r="P2262">
        <v>0.341918</v>
      </c>
      <c r="Q2262">
        <v>0.220472</v>
      </c>
    </row>
    <row r="2263" spans="1:17" x14ac:dyDescent="0.25">
      <c r="A2263" t="str">
        <f>IF(C2263&amp;G2263&amp;D2263&lt;&gt;'Funnel setup'!$K$3&amp;'Funnel setup'!$K$4&amp;'Funnel setup'!$K$6,".",IF(A2262=".",1,A2262+1))</f>
        <v>.</v>
      </c>
      <c r="B2263" s="244" t="str">
        <f t="shared" si="35"/>
        <v>Knee Replacement PrimaryProviderEAST LANCASHIRE HOSPITALS NHS TRUST (RXR)EQ-5D Index</v>
      </c>
      <c r="C2263" t="s">
        <v>969</v>
      </c>
      <c r="D2263" t="s">
        <v>965</v>
      </c>
      <c r="E2263" t="s">
        <v>230</v>
      </c>
      <c r="F2263" t="s">
        <v>231</v>
      </c>
      <c r="G2263" t="s">
        <v>963</v>
      </c>
      <c r="H2263">
        <v>83</v>
      </c>
      <c r="I2263">
        <v>0.44540999999999997</v>
      </c>
      <c r="J2263">
        <v>0.73362700000000003</v>
      </c>
      <c r="K2263">
        <v>0.288217</v>
      </c>
      <c r="L2263">
        <v>65</v>
      </c>
      <c r="M2263">
        <v>8</v>
      </c>
      <c r="N2263">
        <v>10</v>
      </c>
      <c r="O2263">
        <v>0.748776</v>
      </c>
      <c r="P2263">
        <v>0.31997999999999999</v>
      </c>
      <c r="Q2263">
        <v>0.25859900000000002</v>
      </c>
    </row>
    <row r="2264" spans="1:17" x14ac:dyDescent="0.25">
      <c r="A2264" t="str">
        <f>IF(C2264&amp;G2264&amp;D2264&lt;&gt;'Funnel setup'!$K$3&amp;'Funnel setup'!$K$4&amp;'Funnel setup'!$K$6,".",IF(A2263=".",1,A2263+1))</f>
        <v>.</v>
      </c>
      <c r="B2264" s="244" t="str">
        <f t="shared" si="35"/>
        <v>Knee Replacement PrimaryProviderEAST SUFFOLK AND NORTH ESSEX NHS FOUNDATION TRUST (RDE)EQ-5D Index</v>
      </c>
      <c r="C2264" t="s">
        <v>969</v>
      </c>
      <c r="D2264" t="s">
        <v>965</v>
      </c>
      <c r="E2264" t="s">
        <v>232</v>
      </c>
      <c r="F2264" t="s">
        <v>233</v>
      </c>
      <c r="G2264" t="s">
        <v>963</v>
      </c>
      <c r="H2264">
        <v>122</v>
      </c>
      <c r="I2264">
        <v>0.39337699999999998</v>
      </c>
      <c r="J2264">
        <v>0.76047500000000001</v>
      </c>
      <c r="K2264">
        <v>0.36709799999999998</v>
      </c>
      <c r="L2264">
        <v>110</v>
      </c>
      <c r="M2264">
        <v>6</v>
      </c>
      <c r="N2264">
        <v>6</v>
      </c>
      <c r="O2264">
        <v>0.77817099999999995</v>
      </c>
      <c r="P2264">
        <v>0.34937499999999999</v>
      </c>
      <c r="Q2264">
        <v>0.20197000000000001</v>
      </c>
    </row>
    <row r="2265" spans="1:17" x14ac:dyDescent="0.25">
      <c r="A2265" t="str">
        <f>IF(C2265&amp;G2265&amp;D2265&lt;&gt;'Funnel setup'!$K$3&amp;'Funnel setup'!$K$4&amp;'Funnel setup'!$K$6,".",IF(A2264=".",1,A2264+1))</f>
        <v>.</v>
      </c>
      <c r="B2265" s="244" t="str">
        <f t="shared" si="35"/>
        <v>Knee Replacement PrimaryProviderEAST SUSSEX HEALTHCARE NHS TRUST (RXC)EQ-5D Index</v>
      </c>
      <c r="C2265" t="s">
        <v>969</v>
      </c>
      <c r="D2265" t="s">
        <v>965</v>
      </c>
      <c r="E2265" t="s">
        <v>234</v>
      </c>
      <c r="F2265" t="s">
        <v>235</v>
      </c>
      <c r="G2265" t="s">
        <v>963</v>
      </c>
      <c r="H2265">
        <v>71</v>
      </c>
      <c r="I2265">
        <v>0.43988699999999997</v>
      </c>
      <c r="J2265">
        <v>0.74140799999999996</v>
      </c>
      <c r="K2265">
        <v>0.30152099999999998</v>
      </c>
      <c r="L2265">
        <v>56</v>
      </c>
      <c r="M2265">
        <v>9</v>
      </c>
      <c r="N2265">
        <v>6</v>
      </c>
      <c r="O2265">
        <v>0.75704700000000003</v>
      </c>
      <c r="P2265">
        <v>0.32825100000000001</v>
      </c>
      <c r="Q2265">
        <v>0.23023399999999999</v>
      </c>
    </row>
    <row r="2266" spans="1:17" x14ac:dyDescent="0.25">
      <c r="A2266" t="str">
        <f>IF(C2266&amp;G2266&amp;D2266&lt;&gt;'Funnel setup'!$K$3&amp;'Funnel setup'!$K$4&amp;'Funnel setup'!$K$6,".",IF(A2265=".",1,A2265+1))</f>
        <v>.</v>
      </c>
      <c r="B2266" s="244" t="str">
        <f t="shared" si="35"/>
        <v>Knee Replacement PrimaryProviderEPSOM AND ST HELIER UNIVERSITY HOSPITALS NHS TRUST (RVR)EQ-5D Index</v>
      </c>
      <c r="C2266" t="s">
        <v>969</v>
      </c>
      <c r="D2266" t="s">
        <v>965</v>
      </c>
      <c r="E2266" t="s">
        <v>238</v>
      </c>
      <c r="F2266" t="s">
        <v>239</v>
      </c>
      <c r="G2266" t="s">
        <v>963</v>
      </c>
      <c r="H2266">
        <v>654</v>
      </c>
      <c r="I2266">
        <v>0.44083499999999998</v>
      </c>
      <c r="J2266">
        <v>0.753691</v>
      </c>
      <c r="K2266">
        <v>0.31285600000000002</v>
      </c>
      <c r="L2266">
        <v>544</v>
      </c>
      <c r="M2266">
        <v>55</v>
      </c>
      <c r="N2266">
        <v>55</v>
      </c>
      <c r="O2266">
        <v>0.74602999999999997</v>
      </c>
      <c r="P2266">
        <v>0.31723400000000002</v>
      </c>
      <c r="Q2266">
        <v>0.22540399999999999</v>
      </c>
    </row>
    <row r="2267" spans="1:17" x14ac:dyDescent="0.25">
      <c r="A2267" t="str">
        <f>IF(C2267&amp;G2267&amp;D2267&lt;&gt;'Funnel setup'!$K$3&amp;'Funnel setup'!$K$4&amp;'Funnel setup'!$K$6,".",IF(A2266=".",1,A2266+1))</f>
        <v>.</v>
      </c>
      <c r="B2267" s="244" t="str">
        <f t="shared" si="35"/>
        <v>Knee Replacement PrimaryProviderEUXTON HALL HOSPITAL (NVC05)EQ-5D Index</v>
      </c>
      <c r="C2267" t="s">
        <v>969</v>
      </c>
      <c r="D2267" t="s">
        <v>965</v>
      </c>
      <c r="E2267" t="s">
        <v>240</v>
      </c>
      <c r="F2267" t="s">
        <v>241</v>
      </c>
      <c r="G2267" t="s">
        <v>963</v>
      </c>
      <c r="H2267">
        <v>50</v>
      </c>
      <c r="I2267">
        <v>0.40228000000000003</v>
      </c>
      <c r="J2267">
        <v>0.81011999999999995</v>
      </c>
      <c r="K2267">
        <v>0.40783999999999998</v>
      </c>
      <c r="L2267">
        <v>46</v>
      </c>
      <c r="M2267">
        <v>3</v>
      </c>
      <c r="N2267">
        <v>1</v>
      </c>
      <c r="O2267">
        <v>0.82007799999999997</v>
      </c>
      <c r="P2267">
        <v>0.39128200000000002</v>
      </c>
      <c r="Q2267">
        <v>0.17426800000000001</v>
      </c>
    </row>
    <row r="2268" spans="1:17" x14ac:dyDescent="0.25">
      <c r="A2268" t="str">
        <f>IF(C2268&amp;G2268&amp;D2268&lt;&gt;'Funnel setup'!$K$3&amp;'Funnel setup'!$K$4&amp;'Funnel setup'!$K$6,".",IF(A2267=".",1,A2267+1))</f>
        <v>.</v>
      </c>
      <c r="B2268" s="244" t="str">
        <f t="shared" si="35"/>
        <v>Knee Replacement PrimaryProviderFAIRFIELD HOSPITAL (NVG01)EQ-5D Index</v>
      </c>
      <c r="C2268" t="s">
        <v>969</v>
      </c>
      <c r="D2268" t="s">
        <v>965</v>
      </c>
      <c r="E2268" t="s">
        <v>242</v>
      </c>
      <c r="F2268" t="s">
        <v>243</v>
      </c>
      <c r="G2268" t="s">
        <v>963</v>
      </c>
      <c r="H2268">
        <v>49</v>
      </c>
      <c r="I2268">
        <v>0.37228600000000001</v>
      </c>
      <c r="J2268">
        <v>0.66608199999999995</v>
      </c>
      <c r="K2268">
        <v>0.293796</v>
      </c>
      <c r="L2268">
        <v>38</v>
      </c>
      <c r="M2268">
        <v>3</v>
      </c>
      <c r="N2268">
        <v>8</v>
      </c>
      <c r="O2268">
        <v>0.67452500000000004</v>
      </c>
      <c r="P2268">
        <v>0.245729</v>
      </c>
      <c r="Q2268">
        <v>0.25052400000000002</v>
      </c>
    </row>
    <row r="2269" spans="1:17" x14ac:dyDescent="0.25">
      <c r="A2269" t="str">
        <f>IF(C2269&amp;G2269&amp;D2269&lt;&gt;'Funnel setup'!$K$3&amp;'Funnel setup'!$K$4&amp;'Funnel setup'!$K$6,".",IF(A2268=".",1,A2268+1))</f>
        <v>.</v>
      </c>
      <c r="B2269" s="244" t="str">
        <f t="shared" si="35"/>
        <v>Knee Replacement PrimaryProviderFITZWILLIAM HOSPITAL (NVC06)EQ-5D Index</v>
      </c>
      <c r="C2269" t="s">
        <v>969</v>
      </c>
      <c r="D2269" t="s">
        <v>965</v>
      </c>
      <c r="E2269" t="s">
        <v>244</v>
      </c>
      <c r="F2269" t="s">
        <v>245</v>
      </c>
      <c r="G2269" t="s">
        <v>963</v>
      </c>
      <c r="H2269">
        <v>86</v>
      </c>
      <c r="I2269">
        <v>0.50903500000000002</v>
      </c>
      <c r="J2269">
        <v>0.81424399999999997</v>
      </c>
      <c r="K2269">
        <v>0.30520900000000001</v>
      </c>
      <c r="L2269">
        <v>73</v>
      </c>
      <c r="M2269">
        <v>6</v>
      </c>
      <c r="N2269">
        <v>7</v>
      </c>
      <c r="O2269">
        <v>0.78114499999999998</v>
      </c>
      <c r="P2269">
        <v>0.35234900000000002</v>
      </c>
      <c r="Q2269">
        <v>0.180058</v>
      </c>
    </row>
    <row r="2270" spans="1:17" x14ac:dyDescent="0.25">
      <c r="A2270" t="str">
        <f>IF(C2270&amp;G2270&amp;D2270&lt;&gt;'Funnel setup'!$K$3&amp;'Funnel setup'!$K$4&amp;'Funnel setup'!$K$6,".",IF(A2269=".",1,A2269+1))</f>
        <v>.</v>
      </c>
      <c r="B2270" s="244" t="str">
        <f t="shared" si="35"/>
        <v>Knee Replacement PrimaryProviderFRIMLEY HEALTH NHS FOUNDATION TRUST (RDU)EQ-5D Index</v>
      </c>
      <c r="C2270" t="s">
        <v>969</v>
      </c>
      <c r="D2270" t="s">
        <v>965</v>
      </c>
      <c r="E2270" t="s">
        <v>248</v>
      </c>
      <c r="F2270" t="s">
        <v>249</v>
      </c>
      <c r="G2270" t="s">
        <v>963</v>
      </c>
      <c r="H2270">
        <v>182</v>
      </c>
      <c r="I2270">
        <v>0.474379</v>
      </c>
      <c r="J2270">
        <v>0.75587899999999997</v>
      </c>
      <c r="K2270">
        <v>0.28149999999999997</v>
      </c>
      <c r="L2270">
        <v>147</v>
      </c>
      <c r="M2270">
        <v>14</v>
      </c>
      <c r="N2270">
        <v>21</v>
      </c>
      <c r="O2270">
        <v>0.73197699999999999</v>
      </c>
      <c r="P2270">
        <v>0.30318099999999998</v>
      </c>
      <c r="Q2270">
        <v>0.22201499999999999</v>
      </c>
    </row>
    <row r="2271" spans="1:17" x14ac:dyDescent="0.25">
      <c r="A2271" t="str">
        <f>IF(C2271&amp;G2271&amp;D2271&lt;&gt;'Funnel setup'!$K$3&amp;'Funnel setup'!$K$4&amp;'Funnel setup'!$K$6,".",IF(A2270=".",1,A2270+1))</f>
        <v>.</v>
      </c>
      <c r="B2271" s="244" t="str">
        <f t="shared" si="35"/>
        <v>Knee Replacement PrimaryProviderFULWOOD HALL HOSPITAL (NVC07)EQ-5D Index</v>
      </c>
      <c r="C2271" t="s">
        <v>969</v>
      </c>
      <c r="D2271" t="s">
        <v>965</v>
      </c>
      <c r="E2271" t="s">
        <v>250</v>
      </c>
      <c r="F2271" t="s">
        <v>251</v>
      </c>
      <c r="G2271" t="s">
        <v>963</v>
      </c>
      <c r="H2271">
        <v>79</v>
      </c>
      <c r="I2271">
        <v>0.52372200000000002</v>
      </c>
      <c r="J2271">
        <v>0.81083499999999997</v>
      </c>
      <c r="K2271">
        <v>0.28711399999999998</v>
      </c>
      <c r="L2271">
        <v>62</v>
      </c>
      <c r="M2271">
        <v>9</v>
      </c>
      <c r="N2271">
        <v>8</v>
      </c>
      <c r="O2271">
        <v>0.78698900000000005</v>
      </c>
      <c r="P2271">
        <v>0.35819400000000001</v>
      </c>
      <c r="Q2271">
        <v>0.21851599999999999</v>
      </c>
    </row>
    <row r="2272" spans="1:17" x14ac:dyDescent="0.25">
      <c r="A2272" t="str">
        <f>IF(C2272&amp;G2272&amp;D2272&lt;&gt;'Funnel setup'!$K$3&amp;'Funnel setup'!$K$4&amp;'Funnel setup'!$K$6,".",IF(A2271=".",1,A2271+1))</f>
        <v>.</v>
      </c>
      <c r="B2272" s="244" t="str">
        <f t="shared" si="35"/>
        <v>Knee Replacement PrimaryProviderGATESHEAD HEALTH NHS FOUNDATION TRUST (RR7)EQ-5D Index</v>
      </c>
      <c r="C2272" t="s">
        <v>969</v>
      </c>
      <c r="D2272" t="s">
        <v>965</v>
      </c>
      <c r="E2272" t="s">
        <v>252</v>
      </c>
      <c r="F2272" t="s">
        <v>253</v>
      </c>
      <c r="G2272" t="s">
        <v>963</v>
      </c>
      <c r="H2272">
        <v>42</v>
      </c>
      <c r="I2272">
        <v>0.205119</v>
      </c>
      <c r="J2272">
        <v>0.70885699999999996</v>
      </c>
      <c r="K2272">
        <v>0.50373800000000002</v>
      </c>
      <c r="L2272">
        <v>36</v>
      </c>
      <c r="M2272">
        <v>1</v>
      </c>
      <c r="N2272">
        <v>5</v>
      </c>
      <c r="O2272">
        <v>0.79784200000000005</v>
      </c>
      <c r="P2272">
        <v>0.36904599999999999</v>
      </c>
      <c r="Q2272">
        <v>0.30492599999999997</v>
      </c>
    </row>
    <row r="2273" spans="1:17" x14ac:dyDescent="0.25">
      <c r="A2273" t="str">
        <f>IF(C2273&amp;G2273&amp;D2273&lt;&gt;'Funnel setup'!$K$3&amp;'Funnel setup'!$K$4&amp;'Funnel setup'!$K$6,".",IF(A2272=".",1,A2272+1))</f>
        <v>.</v>
      </c>
      <c r="B2273" s="244" t="str">
        <f t="shared" si="35"/>
        <v>Knee Replacement PrimaryProviderGLOUCESTERSHIRE HOSPITALS NHS FOUNDATION TRUST (RTE)EQ-5D Index</v>
      </c>
      <c r="C2273" t="s">
        <v>969</v>
      </c>
      <c r="D2273" t="s">
        <v>965</v>
      </c>
      <c r="E2273" t="s">
        <v>256</v>
      </c>
      <c r="F2273" t="s">
        <v>257</v>
      </c>
      <c r="G2273" t="s">
        <v>963</v>
      </c>
      <c r="H2273">
        <v>64</v>
      </c>
      <c r="I2273">
        <v>0.33925</v>
      </c>
      <c r="J2273">
        <v>0.68906299999999998</v>
      </c>
      <c r="K2273">
        <v>0.34981200000000001</v>
      </c>
      <c r="L2273">
        <v>50</v>
      </c>
      <c r="M2273">
        <v>10</v>
      </c>
      <c r="N2273">
        <v>4</v>
      </c>
      <c r="O2273">
        <v>0.72566200000000003</v>
      </c>
      <c r="P2273">
        <v>0.29686600000000002</v>
      </c>
      <c r="Q2273">
        <v>0.27422099999999999</v>
      </c>
    </row>
    <row r="2274" spans="1:17" x14ac:dyDescent="0.25">
      <c r="A2274" t="str">
        <f>IF(C2274&amp;G2274&amp;D2274&lt;&gt;'Funnel setup'!$K$3&amp;'Funnel setup'!$K$4&amp;'Funnel setup'!$K$6,".",IF(A2273=".",1,A2273+1))</f>
        <v>.</v>
      </c>
      <c r="B2274" s="244" t="str">
        <f t="shared" si="35"/>
        <v>Knee Replacement PrimaryProviderGORING HALL HOSPITAL (NT417)EQ-5D Index</v>
      </c>
      <c r="C2274" t="s">
        <v>969</v>
      </c>
      <c r="D2274" t="s">
        <v>965</v>
      </c>
      <c r="E2274" t="s">
        <v>258</v>
      </c>
      <c r="F2274" t="s">
        <v>259</v>
      </c>
      <c r="G2274" t="s">
        <v>963</v>
      </c>
      <c r="H2274">
        <v>23</v>
      </c>
      <c r="I2274">
        <v>0.48808699999999999</v>
      </c>
      <c r="J2274">
        <v>0.82821699999999998</v>
      </c>
      <c r="K2274">
        <v>0.34012999999999999</v>
      </c>
      <c r="L2274">
        <v>20</v>
      </c>
      <c r="M2274">
        <v>1</v>
      </c>
      <c r="N2274">
        <v>2</v>
      </c>
      <c r="O2274" t="s">
        <v>127</v>
      </c>
      <c r="P2274" t="s">
        <v>127</v>
      </c>
      <c r="Q2274" t="s">
        <v>127</v>
      </c>
    </row>
    <row r="2275" spans="1:17" x14ac:dyDescent="0.25">
      <c r="A2275" t="str">
        <f>IF(C2275&amp;G2275&amp;D2275&lt;&gt;'Funnel setup'!$K$3&amp;'Funnel setup'!$K$4&amp;'Funnel setup'!$K$6,".",IF(A2274=".",1,A2274+1))</f>
        <v>.</v>
      </c>
      <c r="B2275" s="244" t="str">
        <f t="shared" si="35"/>
        <v>Knee Replacement PrimaryProviderGUY'S AND ST THOMAS' NHS FOUNDATION TRUST (RJ1)EQ-5D Index</v>
      </c>
      <c r="C2275" t="s">
        <v>969</v>
      </c>
      <c r="D2275" t="s">
        <v>965</v>
      </c>
      <c r="E2275" t="s">
        <v>262</v>
      </c>
      <c r="F2275" t="s">
        <v>263</v>
      </c>
      <c r="G2275" t="s">
        <v>963</v>
      </c>
      <c r="H2275">
        <v>59</v>
      </c>
      <c r="I2275">
        <v>0.32686399999999999</v>
      </c>
      <c r="J2275">
        <v>0.651644</v>
      </c>
      <c r="K2275">
        <v>0.32478000000000001</v>
      </c>
      <c r="L2275">
        <v>49</v>
      </c>
      <c r="M2275">
        <v>5</v>
      </c>
      <c r="N2275">
        <v>5</v>
      </c>
      <c r="O2275">
        <v>0.69094999999999995</v>
      </c>
      <c r="P2275">
        <v>0.262154</v>
      </c>
      <c r="Q2275">
        <v>0.24878600000000001</v>
      </c>
    </row>
    <row r="2276" spans="1:17" x14ac:dyDescent="0.25">
      <c r="A2276" t="str">
        <f>IF(C2276&amp;G2276&amp;D2276&lt;&gt;'Funnel setup'!$K$3&amp;'Funnel setup'!$K$4&amp;'Funnel setup'!$K$6,".",IF(A2275=".",1,A2275+1))</f>
        <v>.</v>
      </c>
      <c r="B2276" s="244" t="str">
        <f t="shared" si="35"/>
        <v>Knee Replacement PrimaryProviderHAMPSHIRE CLINIC (NT418)EQ-5D Index</v>
      </c>
      <c r="C2276" t="s">
        <v>969</v>
      </c>
      <c r="D2276" t="s">
        <v>965</v>
      </c>
      <c r="E2276" t="s">
        <v>264</v>
      </c>
      <c r="F2276" t="s">
        <v>265</v>
      </c>
      <c r="G2276" t="s">
        <v>963</v>
      </c>
      <c r="H2276">
        <v>21</v>
      </c>
      <c r="I2276">
        <v>0.52166699999999999</v>
      </c>
      <c r="J2276">
        <v>0.86138099999999995</v>
      </c>
      <c r="K2276">
        <v>0.33971400000000002</v>
      </c>
      <c r="L2276">
        <v>19</v>
      </c>
      <c r="M2276">
        <v>2</v>
      </c>
      <c r="N2276">
        <v>0</v>
      </c>
      <c r="O2276" t="s">
        <v>127</v>
      </c>
      <c r="P2276" t="s">
        <v>127</v>
      </c>
      <c r="Q2276" t="s">
        <v>127</v>
      </c>
    </row>
    <row r="2277" spans="1:17" x14ac:dyDescent="0.25">
      <c r="A2277" t="str">
        <f>IF(C2277&amp;G2277&amp;D2277&lt;&gt;'Funnel setup'!$K$3&amp;'Funnel setup'!$K$4&amp;'Funnel setup'!$K$6,".",IF(A2276=".",1,A2276+1))</f>
        <v>.</v>
      </c>
      <c r="B2277" s="244" t="str">
        <f t="shared" si="35"/>
        <v>Knee Replacement PrimaryProviderHAMPSHIRE HOSPITALS NHS FOUNDATION TRUST (RN5)EQ-5D Index</v>
      </c>
      <c r="C2277" t="s">
        <v>969</v>
      </c>
      <c r="D2277" t="s">
        <v>965</v>
      </c>
      <c r="E2277" t="s">
        <v>266</v>
      </c>
      <c r="F2277" t="s">
        <v>267</v>
      </c>
      <c r="G2277" t="s">
        <v>963</v>
      </c>
      <c r="H2277">
        <v>24</v>
      </c>
      <c r="I2277">
        <v>0.49512499999999998</v>
      </c>
      <c r="J2277">
        <v>0.73429199999999994</v>
      </c>
      <c r="K2277">
        <v>0.23916699999999999</v>
      </c>
      <c r="L2277">
        <v>17</v>
      </c>
      <c r="M2277">
        <v>4</v>
      </c>
      <c r="N2277">
        <v>3</v>
      </c>
      <c r="O2277" t="s">
        <v>127</v>
      </c>
      <c r="P2277" t="s">
        <v>127</v>
      </c>
      <c r="Q2277" t="s">
        <v>127</v>
      </c>
    </row>
    <row r="2278" spans="1:17" x14ac:dyDescent="0.25">
      <c r="A2278" t="str">
        <f>IF(C2278&amp;G2278&amp;D2278&lt;&gt;'Funnel setup'!$K$3&amp;'Funnel setup'!$K$4&amp;'Funnel setup'!$K$6,".",IF(A2277=".",1,A2277+1))</f>
        <v>.</v>
      </c>
      <c r="B2278" s="244" t="str">
        <f t="shared" si="35"/>
        <v>Knee Replacement PrimaryProviderHARROGATE AND DISTRICT NHS FOUNDATION TRUST (RCD)EQ-5D Index</v>
      </c>
      <c r="C2278" t="s">
        <v>969</v>
      </c>
      <c r="D2278" t="s">
        <v>965</v>
      </c>
      <c r="E2278" t="s">
        <v>270</v>
      </c>
      <c r="F2278" t="s">
        <v>271</v>
      </c>
      <c r="G2278" t="s">
        <v>963</v>
      </c>
      <c r="H2278">
        <v>80</v>
      </c>
      <c r="I2278">
        <v>0.38155</v>
      </c>
      <c r="J2278">
        <v>0.76690000000000003</v>
      </c>
      <c r="K2278">
        <v>0.38535000000000003</v>
      </c>
      <c r="L2278">
        <v>71</v>
      </c>
      <c r="M2278">
        <v>4</v>
      </c>
      <c r="N2278">
        <v>5</v>
      </c>
      <c r="O2278">
        <v>0.77094099999999999</v>
      </c>
      <c r="P2278">
        <v>0.34214499999999998</v>
      </c>
      <c r="Q2278">
        <v>0.22094800000000001</v>
      </c>
    </row>
    <row r="2279" spans="1:17" x14ac:dyDescent="0.25">
      <c r="A2279" t="str">
        <f>IF(C2279&amp;G2279&amp;D2279&lt;&gt;'Funnel setup'!$K$3&amp;'Funnel setup'!$K$4&amp;'Funnel setup'!$K$6,".",IF(A2278=".",1,A2278+1))</f>
        <v>.</v>
      </c>
      <c r="B2279" s="244" t="str">
        <f t="shared" si="35"/>
        <v>Knee Replacement PrimaryProviderHIGHFIELD HOSPITAL (NT420)EQ-5D Index</v>
      </c>
      <c r="C2279" t="s">
        <v>969</v>
      </c>
      <c r="D2279" t="s">
        <v>965</v>
      </c>
      <c r="E2279" t="s">
        <v>272</v>
      </c>
      <c r="F2279" t="s">
        <v>273</v>
      </c>
      <c r="G2279" t="s">
        <v>963</v>
      </c>
      <c r="H2279">
        <v>117</v>
      </c>
      <c r="I2279">
        <v>0.45982099999999998</v>
      </c>
      <c r="J2279">
        <v>0.75622199999999995</v>
      </c>
      <c r="K2279">
        <v>0.296402</v>
      </c>
      <c r="L2279">
        <v>96</v>
      </c>
      <c r="M2279">
        <v>9</v>
      </c>
      <c r="N2279">
        <v>12</v>
      </c>
      <c r="O2279">
        <v>0.73653500000000005</v>
      </c>
      <c r="P2279">
        <v>0.30774000000000001</v>
      </c>
      <c r="Q2279">
        <v>0.20913100000000001</v>
      </c>
    </row>
    <row r="2280" spans="1:17" x14ac:dyDescent="0.25">
      <c r="A2280" t="str">
        <f>IF(C2280&amp;G2280&amp;D2280&lt;&gt;'Funnel setup'!$K$3&amp;'Funnel setup'!$K$4&amp;'Funnel setup'!$K$6,".",IF(A2279=".",1,A2279+1))</f>
        <v>.</v>
      </c>
      <c r="B2280" s="244" t="str">
        <f t="shared" si="35"/>
        <v>Knee Replacement PrimaryProviderHOMERTON HEALTHCARE NHS FOUNDATION TRUST (RQX)EQ-5D Index</v>
      </c>
      <c r="C2280" t="s">
        <v>969</v>
      </c>
      <c r="D2280" t="s">
        <v>965</v>
      </c>
      <c r="E2280" t="s">
        <v>274</v>
      </c>
      <c r="F2280" t="s">
        <v>275</v>
      </c>
      <c r="G2280" t="s">
        <v>963</v>
      </c>
      <c r="H2280">
        <v>4</v>
      </c>
      <c r="I2280">
        <v>0.27775</v>
      </c>
      <c r="J2280">
        <v>0.82525000000000004</v>
      </c>
      <c r="K2280">
        <v>0.54749999999999999</v>
      </c>
      <c r="L2280">
        <v>4</v>
      </c>
      <c r="M2280">
        <v>0</v>
      </c>
      <c r="N2280">
        <v>0</v>
      </c>
      <c r="O2280" t="s">
        <v>127</v>
      </c>
      <c r="P2280" t="s">
        <v>127</v>
      </c>
      <c r="Q2280" t="s">
        <v>127</v>
      </c>
    </row>
    <row r="2281" spans="1:17" x14ac:dyDescent="0.25">
      <c r="A2281" t="str">
        <f>IF(C2281&amp;G2281&amp;D2281&lt;&gt;'Funnel setup'!$K$3&amp;'Funnel setup'!$K$4&amp;'Funnel setup'!$K$6,".",IF(A2280=".",1,A2280+1))</f>
        <v>.</v>
      </c>
      <c r="B2281" s="244" t="str">
        <f t="shared" si="35"/>
        <v>Knee Replacement PrimaryProviderHUDDERSFIELD HOSPITAL (NT448)EQ-5D Index</v>
      </c>
      <c r="C2281" t="s">
        <v>969</v>
      </c>
      <c r="D2281" t="s">
        <v>965</v>
      </c>
      <c r="E2281" t="s">
        <v>276</v>
      </c>
      <c r="F2281" t="s">
        <v>277</v>
      </c>
      <c r="G2281" t="s">
        <v>963</v>
      </c>
      <c r="H2281">
        <v>3</v>
      </c>
      <c r="I2281">
        <v>0.52500000000000002</v>
      </c>
      <c r="J2281">
        <v>0.83533299999999999</v>
      </c>
      <c r="K2281">
        <v>0.31033300000000003</v>
      </c>
      <c r="L2281">
        <v>3</v>
      </c>
      <c r="M2281">
        <v>0</v>
      </c>
      <c r="N2281">
        <v>0</v>
      </c>
      <c r="O2281" t="s">
        <v>127</v>
      </c>
      <c r="P2281" t="s">
        <v>127</v>
      </c>
      <c r="Q2281" t="s">
        <v>127</v>
      </c>
    </row>
    <row r="2282" spans="1:17" x14ac:dyDescent="0.25">
      <c r="A2282" t="str">
        <f>IF(C2282&amp;G2282&amp;D2282&lt;&gt;'Funnel setup'!$K$3&amp;'Funnel setup'!$K$4&amp;'Funnel setup'!$K$6,".",IF(A2281=".",1,A2281+1))</f>
        <v>.</v>
      </c>
      <c r="B2282" s="244" t="str">
        <f t="shared" si="35"/>
        <v>Knee Replacement PrimaryProviderHULL UNIVERSITY TEACHING HOSPITALS NHS TRUST (RWA)EQ-5D Index</v>
      </c>
      <c r="C2282" t="s">
        <v>969</v>
      </c>
      <c r="D2282" t="s">
        <v>965</v>
      </c>
      <c r="E2282" t="s">
        <v>278</v>
      </c>
      <c r="F2282" t="s">
        <v>279</v>
      </c>
      <c r="G2282" t="s">
        <v>963</v>
      </c>
      <c r="H2282">
        <v>25</v>
      </c>
      <c r="I2282">
        <v>0.39144000000000001</v>
      </c>
      <c r="J2282">
        <v>0.79124000000000005</v>
      </c>
      <c r="K2282">
        <v>0.39979999999999999</v>
      </c>
      <c r="L2282">
        <v>22</v>
      </c>
      <c r="M2282">
        <v>1</v>
      </c>
      <c r="N2282">
        <v>2</v>
      </c>
      <c r="O2282" t="s">
        <v>127</v>
      </c>
      <c r="P2282" t="s">
        <v>127</v>
      </c>
      <c r="Q2282" t="s">
        <v>127</v>
      </c>
    </row>
    <row r="2283" spans="1:17" x14ac:dyDescent="0.25">
      <c r="A2283" t="str">
        <f>IF(C2283&amp;G2283&amp;D2283&lt;&gt;'Funnel setup'!$K$3&amp;'Funnel setup'!$K$4&amp;'Funnel setup'!$K$6,".",IF(A2282=".",1,A2282+1))</f>
        <v>.</v>
      </c>
      <c r="B2283" s="244" t="str">
        <f t="shared" si="35"/>
        <v>Knee Replacement PrimaryProviderIMPERIAL COLLEGE HEALTHCARE NHS TRUST (RYJ)EQ-5D Index</v>
      </c>
      <c r="C2283" t="s">
        <v>969</v>
      </c>
      <c r="D2283" t="s">
        <v>965</v>
      </c>
      <c r="E2283" t="s">
        <v>280</v>
      </c>
      <c r="F2283" t="s">
        <v>281</v>
      </c>
      <c r="G2283" t="s">
        <v>963</v>
      </c>
      <c r="H2283">
        <v>22</v>
      </c>
      <c r="I2283">
        <v>0.187</v>
      </c>
      <c r="J2283">
        <v>0.71013599999999999</v>
      </c>
      <c r="K2283">
        <v>0.52313600000000005</v>
      </c>
      <c r="L2283">
        <v>19</v>
      </c>
      <c r="M2283">
        <v>1</v>
      </c>
      <c r="N2283">
        <v>2</v>
      </c>
      <c r="O2283" t="s">
        <v>127</v>
      </c>
      <c r="P2283" t="s">
        <v>127</v>
      </c>
      <c r="Q2283" t="s">
        <v>127</v>
      </c>
    </row>
    <row r="2284" spans="1:17" x14ac:dyDescent="0.25">
      <c r="A2284" t="str">
        <f>IF(C2284&amp;G2284&amp;D2284&lt;&gt;'Funnel setup'!$K$3&amp;'Funnel setup'!$K$4&amp;'Funnel setup'!$K$6,".",IF(A2283=".",1,A2283+1))</f>
        <v>.</v>
      </c>
      <c r="B2284" s="244" t="str">
        <f t="shared" si="35"/>
        <v>Knee Replacement PrimaryProviderISLE OF WIGHT NHS TRUST (R1F)EQ-5D Index</v>
      </c>
      <c r="C2284" t="s">
        <v>969</v>
      </c>
      <c r="D2284" t="s">
        <v>965</v>
      </c>
      <c r="E2284" t="s">
        <v>282</v>
      </c>
      <c r="F2284" t="s">
        <v>283</v>
      </c>
      <c r="G2284" t="s">
        <v>963</v>
      </c>
      <c r="H2284">
        <v>2</v>
      </c>
      <c r="I2284">
        <v>0.70899999999999996</v>
      </c>
      <c r="J2284">
        <v>0.753</v>
      </c>
      <c r="K2284">
        <v>4.3999999999999997E-2</v>
      </c>
      <c r="L2284">
        <v>1</v>
      </c>
      <c r="M2284">
        <v>1</v>
      </c>
      <c r="N2284">
        <v>0</v>
      </c>
      <c r="O2284" t="s">
        <v>127</v>
      </c>
      <c r="P2284" t="s">
        <v>127</v>
      </c>
      <c r="Q2284" t="s">
        <v>127</v>
      </c>
    </row>
    <row r="2285" spans="1:17" x14ac:dyDescent="0.25">
      <c r="A2285" t="str">
        <f>IF(C2285&amp;G2285&amp;D2285&lt;&gt;'Funnel setup'!$K$3&amp;'Funnel setup'!$K$4&amp;'Funnel setup'!$K$6,".",IF(A2284=".",1,A2284+1))</f>
        <v>.</v>
      </c>
      <c r="B2285" s="244" t="str">
        <f t="shared" si="35"/>
        <v>Knee Replacement PrimaryProviderJAMES PAGET UNIVERSITY HOSPITALS NHS FOUNDATION TRUST (RGP)EQ-5D Index</v>
      </c>
      <c r="C2285" t="s">
        <v>969</v>
      </c>
      <c r="D2285" t="s">
        <v>965</v>
      </c>
      <c r="E2285" t="s">
        <v>284</v>
      </c>
      <c r="F2285" t="s">
        <v>285</v>
      </c>
      <c r="G2285" t="s">
        <v>963</v>
      </c>
      <c r="H2285">
        <v>54</v>
      </c>
      <c r="I2285">
        <v>0.36629600000000001</v>
      </c>
      <c r="J2285">
        <v>0.738259</v>
      </c>
      <c r="K2285">
        <v>0.37196299999999999</v>
      </c>
      <c r="L2285">
        <v>43</v>
      </c>
      <c r="M2285">
        <v>6</v>
      </c>
      <c r="N2285">
        <v>5</v>
      </c>
      <c r="O2285">
        <v>0.763208</v>
      </c>
      <c r="P2285">
        <v>0.33441300000000002</v>
      </c>
      <c r="Q2285">
        <v>0.19032399999999999</v>
      </c>
    </row>
    <row r="2286" spans="1:17" x14ac:dyDescent="0.25">
      <c r="A2286" t="str">
        <f>IF(C2286&amp;G2286&amp;D2286&lt;&gt;'Funnel setup'!$K$3&amp;'Funnel setup'!$K$4&amp;'Funnel setup'!$K$6,".",IF(A2285=".",1,A2285+1))</f>
        <v>.</v>
      </c>
      <c r="B2286" s="244" t="str">
        <f t="shared" si="35"/>
        <v>Knee Replacement PrimaryProviderKETTERING GENERAL HOSPITAL NHS FOUNDATION TRUST (RNQ)EQ-5D Index</v>
      </c>
      <c r="C2286" t="s">
        <v>969</v>
      </c>
      <c r="D2286" t="s">
        <v>965</v>
      </c>
      <c r="E2286" t="s">
        <v>286</v>
      </c>
      <c r="F2286" t="s">
        <v>287</v>
      </c>
      <c r="G2286" t="s">
        <v>963</v>
      </c>
      <c r="H2286">
        <v>25</v>
      </c>
      <c r="I2286">
        <v>0.40307999999999999</v>
      </c>
      <c r="J2286">
        <v>0.75375999999999999</v>
      </c>
      <c r="K2286">
        <v>0.35067999999999999</v>
      </c>
      <c r="L2286">
        <v>20</v>
      </c>
      <c r="M2286">
        <v>2</v>
      </c>
      <c r="N2286">
        <v>3</v>
      </c>
      <c r="O2286" t="s">
        <v>127</v>
      </c>
      <c r="P2286" t="s">
        <v>127</v>
      </c>
      <c r="Q2286" t="s">
        <v>127</v>
      </c>
    </row>
    <row r="2287" spans="1:17" x14ac:dyDescent="0.25">
      <c r="A2287" t="str">
        <f>IF(C2287&amp;G2287&amp;D2287&lt;&gt;'Funnel setup'!$K$3&amp;'Funnel setup'!$K$4&amp;'Funnel setup'!$K$6,".",IF(A2286=".",1,A2286+1))</f>
        <v>.</v>
      </c>
      <c r="B2287" s="244" t="str">
        <f t="shared" si="35"/>
        <v>Knee Replacement PrimaryProviderKIMS HOSPITAL (NEWNHAM COURT) (ADP02)EQ-5D Index</v>
      </c>
      <c r="C2287" t="s">
        <v>969</v>
      </c>
      <c r="D2287" t="s">
        <v>965</v>
      </c>
      <c r="E2287" t="s">
        <v>288</v>
      </c>
      <c r="F2287" t="s">
        <v>289</v>
      </c>
      <c r="G2287" t="s">
        <v>963</v>
      </c>
      <c r="H2287">
        <v>132</v>
      </c>
      <c r="I2287">
        <v>0.48353800000000002</v>
      </c>
      <c r="J2287">
        <v>0.82786400000000004</v>
      </c>
      <c r="K2287">
        <v>0.34432600000000002</v>
      </c>
      <c r="L2287">
        <v>112</v>
      </c>
      <c r="M2287">
        <v>9</v>
      </c>
      <c r="N2287">
        <v>11</v>
      </c>
      <c r="O2287">
        <v>0.81426900000000002</v>
      </c>
      <c r="P2287">
        <v>0.38547300000000001</v>
      </c>
      <c r="Q2287">
        <v>0.20974599999999999</v>
      </c>
    </row>
    <row r="2288" spans="1:17" x14ac:dyDescent="0.25">
      <c r="A2288" t="str">
        <f>IF(C2288&amp;G2288&amp;D2288&lt;&gt;'Funnel setup'!$K$3&amp;'Funnel setup'!$K$4&amp;'Funnel setup'!$K$6,".",IF(A2287=".",1,A2287+1))</f>
        <v>.</v>
      </c>
      <c r="B2288" s="244" t="str">
        <f t="shared" si="35"/>
        <v>Knee Replacement PrimaryProviderKING'S COLLEGE HOSPITAL NHS FOUNDATION TRUST (RJZ)EQ-5D Index</v>
      </c>
      <c r="C2288" t="s">
        <v>969</v>
      </c>
      <c r="D2288" t="s">
        <v>965</v>
      </c>
      <c r="E2288" t="s">
        <v>290</v>
      </c>
      <c r="F2288" t="s">
        <v>291</v>
      </c>
      <c r="G2288" t="s">
        <v>963</v>
      </c>
      <c r="H2288">
        <v>14</v>
      </c>
      <c r="I2288">
        <v>0.36835699999999999</v>
      </c>
      <c r="J2288">
        <v>0.53249999999999997</v>
      </c>
      <c r="K2288">
        <v>0.16414300000000001</v>
      </c>
      <c r="L2288">
        <v>9</v>
      </c>
      <c r="M2288">
        <v>0</v>
      </c>
      <c r="N2288">
        <v>5</v>
      </c>
      <c r="O2288" t="s">
        <v>127</v>
      </c>
      <c r="P2288" t="s">
        <v>127</v>
      </c>
      <c r="Q2288" t="s">
        <v>127</v>
      </c>
    </row>
    <row r="2289" spans="1:17" x14ac:dyDescent="0.25">
      <c r="A2289" t="str">
        <f>IF(C2289&amp;G2289&amp;D2289&lt;&gt;'Funnel setup'!$K$3&amp;'Funnel setup'!$K$4&amp;'Funnel setup'!$K$6,".",IF(A2288=".",1,A2288+1))</f>
        <v>.</v>
      </c>
      <c r="B2289" s="244" t="str">
        <f t="shared" si="35"/>
        <v>Knee Replacement PrimaryProviderKINGS OAK HOSPITAL (NT421)EQ-5D Index</v>
      </c>
      <c r="C2289" t="s">
        <v>969</v>
      </c>
      <c r="D2289" t="s">
        <v>965</v>
      </c>
      <c r="E2289" t="s">
        <v>292</v>
      </c>
      <c r="F2289" t="s">
        <v>293</v>
      </c>
      <c r="G2289" t="s">
        <v>963</v>
      </c>
      <c r="H2289">
        <v>6</v>
      </c>
      <c r="I2289">
        <v>0.29816700000000002</v>
      </c>
      <c r="J2289">
        <v>0.60666699999999996</v>
      </c>
      <c r="K2289">
        <v>0.3085</v>
      </c>
      <c r="L2289">
        <v>4</v>
      </c>
      <c r="M2289">
        <v>2</v>
      </c>
      <c r="N2289">
        <v>0</v>
      </c>
      <c r="O2289" t="s">
        <v>127</v>
      </c>
      <c r="P2289" t="s">
        <v>127</v>
      </c>
      <c r="Q2289" t="s">
        <v>127</v>
      </c>
    </row>
    <row r="2290" spans="1:17" x14ac:dyDescent="0.25">
      <c r="A2290" t="str">
        <f>IF(C2290&amp;G2290&amp;D2290&lt;&gt;'Funnel setup'!$K$3&amp;'Funnel setup'!$K$4&amp;'Funnel setup'!$K$6,".",IF(A2289=".",1,A2289+1))</f>
        <v>.</v>
      </c>
      <c r="B2290" s="244" t="str">
        <f t="shared" si="35"/>
        <v>Knee Replacement PrimaryProviderLANCASHIRE TEACHING HOSPITALS NHS FOUNDATION TRUST (RXN)EQ-5D Index</v>
      </c>
      <c r="C2290" t="s">
        <v>969</v>
      </c>
      <c r="D2290" t="s">
        <v>965</v>
      </c>
      <c r="E2290" t="s">
        <v>296</v>
      </c>
      <c r="F2290" t="s">
        <v>297</v>
      </c>
      <c r="G2290" t="s">
        <v>963</v>
      </c>
      <c r="H2290">
        <v>38</v>
      </c>
      <c r="I2290">
        <v>0.25544699999999998</v>
      </c>
      <c r="J2290">
        <v>0.71489499999999995</v>
      </c>
      <c r="K2290">
        <v>0.45944699999999999</v>
      </c>
      <c r="L2290">
        <v>34</v>
      </c>
      <c r="M2290">
        <v>1</v>
      </c>
      <c r="N2290">
        <v>3</v>
      </c>
      <c r="O2290">
        <v>0.78404099999999999</v>
      </c>
      <c r="P2290">
        <v>0.35524499999999998</v>
      </c>
      <c r="Q2290">
        <v>0.297153</v>
      </c>
    </row>
    <row r="2291" spans="1:17" x14ac:dyDescent="0.25">
      <c r="A2291" t="str">
        <f>IF(C2291&amp;G2291&amp;D2291&lt;&gt;'Funnel setup'!$K$3&amp;'Funnel setup'!$K$4&amp;'Funnel setup'!$K$6,".",IF(A2290=".",1,A2290+1))</f>
        <v>.</v>
      </c>
      <c r="B2291" s="244" t="str">
        <f t="shared" si="35"/>
        <v>Knee Replacement PrimaryProviderLANCASTER HOSPITAL (NT449)EQ-5D Index</v>
      </c>
      <c r="C2291" t="s">
        <v>969</v>
      </c>
      <c r="D2291" t="s">
        <v>965</v>
      </c>
      <c r="E2291" t="s">
        <v>298</v>
      </c>
      <c r="F2291" t="s">
        <v>299</v>
      </c>
      <c r="G2291" t="s">
        <v>963</v>
      </c>
      <c r="H2291">
        <v>31</v>
      </c>
      <c r="I2291">
        <v>0.51229000000000002</v>
      </c>
      <c r="J2291">
        <v>0.79180600000000001</v>
      </c>
      <c r="K2291">
        <v>0.27951599999999999</v>
      </c>
      <c r="L2291">
        <v>27</v>
      </c>
      <c r="M2291">
        <v>2</v>
      </c>
      <c r="N2291">
        <v>2</v>
      </c>
      <c r="O2291">
        <v>0.75316300000000003</v>
      </c>
      <c r="P2291">
        <v>0.32436700000000002</v>
      </c>
      <c r="Q2291">
        <v>0.11504300000000001</v>
      </c>
    </row>
    <row r="2292" spans="1:17" x14ac:dyDescent="0.25">
      <c r="A2292" t="str">
        <f>IF(C2292&amp;G2292&amp;D2292&lt;&gt;'Funnel setup'!$K$3&amp;'Funnel setup'!$K$4&amp;'Funnel setup'!$K$6,".",IF(A2291=".",1,A2291+1))</f>
        <v>.</v>
      </c>
      <c r="B2292" s="244" t="str">
        <f t="shared" si="35"/>
        <v>Knee Replacement PrimaryProviderLEEDS TEACHING HOSPITALS NHS TRUST (RR8)EQ-5D Index</v>
      </c>
      <c r="C2292" t="s">
        <v>969</v>
      </c>
      <c r="D2292" t="s">
        <v>965</v>
      </c>
      <c r="E2292" t="s">
        <v>300</v>
      </c>
      <c r="F2292" t="s">
        <v>301</v>
      </c>
      <c r="G2292" t="s">
        <v>963</v>
      </c>
      <c r="H2292">
        <v>98</v>
      </c>
      <c r="I2292">
        <v>0.43910199999999999</v>
      </c>
      <c r="J2292">
        <v>0.71045899999999995</v>
      </c>
      <c r="K2292">
        <v>0.27135700000000001</v>
      </c>
      <c r="L2292">
        <v>73</v>
      </c>
      <c r="M2292">
        <v>10</v>
      </c>
      <c r="N2292">
        <v>15</v>
      </c>
      <c r="O2292">
        <v>0.72844799999999998</v>
      </c>
      <c r="P2292">
        <v>0.29965199999999997</v>
      </c>
      <c r="Q2292">
        <v>0.20733399999999999</v>
      </c>
    </row>
    <row r="2293" spans="1:17" x14ac:dyDescent="0.25">
      <c r="A2293" t="str">
        <f>IF(C2293&amp;G2293&amp;D2293&lt;&gt;'Funnel setup'!$K$3&amp;'Funnel setup'!$K$4&amp;'Funnel setup'!$K$6,".",IF(A2292=".",1,A2292+1))</f>
        <v>.</v>
      </c>
      <c r="B2293" s="244" t="str">
        <f t="shared" si="35"/>
        <v>Knee Replacement PrimaryProviderLINCOLN HOSPITAL (NT450)EQ-5D Index</v>
      </c>
      <c r="C2293" t="s">
        <v>969</v>
      </c>
      <c r="D2293" t="s">
        <v>965</v>
      </c>
      <c r="E2293" t="s">
        <v>304</v>
      </c>
      <c r="F2293" t="s">
        <v>305</v>
      </c>
      <c r="G2293" t="s">
        <v>963</v>
      </c>
      <c r="H2293">
        <v>66</v>
      </c>
      <c r="I2293">
        <v>0.52945500000000001</v>
      </c>
      <c r="J2293">
        <v>0.84427300000000005</v>
      </c>
      <c r="K2293">
        <v>0.31481799999999999</v>
      </c>
      <c r="L2293">
        <v>55</v>
      </c>
      <c r="M2293">
        <v>6</v>
      </c>
      <c r="N2293">
        <v>5</v>
      </c>
      <c r="O2293">
        <v>0.81271700000000002</v>
      </c>
      <c r="P2293">
        <v>0.38392199999999999</v>
      </c>
      <c r="Q2293">
        <v>0.15826999999999999</v>
      </c>
    </row>
    <row r="2294" spans="1:17" x14ac:dyDescent="0.25">
      <c r="A2294" t="str">
        <f>IF(C2294&amp;G2294&amp;D2294&lt;&gt;'Funnel setup'!$K$3&amp;'Funnel setup'!$K$4&amp;'Funnel setup'!$K$6,".",IF(A2293=".",1,A2293+1))</f>
        <v>.</v>
      </c>
      <c r="B2294" s="244" t="str">
        <f t="shared" si="35"/>
        <v>Knee Replacement PrimaryProviderLIVERPOOL UNIVERSITY HOSPITALS NHS FOUNDATION TRUST (REM)EQ-5D Index</v>
      </c>
      <c r="C2294" t="s">
        <v>969</v>
      </c>
      <c r="D2294" t="s">
        <v>965</v>
      </c>
      <c r="E2294" t="s">
        <v>306</v>
      </c>
      <c r="F2294" t="s">
        <v>307</v>
      </c>
      <c r="G2294" t="s">
        <v>963</v>
      </c>
      <c r="H2294">
        <v>60</v>
      </c>
      <c r="I2294">
        <v>0.22689999999999999</v>
      </c>
      <c r="J2294">
        <v>0.68476700000000001</v>
      </c>
      <c r="K2294">
        <v>0.45786700000000002</v>
      </c>
      <c r="L2294">
        <v>52</v>
      </c>
      <c r="M2294">
        <v>4</v>
      </c>
      <c r="N2294">
        <v>4</v>
      </c>
      <c r="O2294">
        <v>0.74741599999999997</v>
      </c>
      <c r="P2294">
        <v>0.31862000000000001</v>
      </c>
      <c r="Q2294">
        <v>0.27663199999999999</v>
      </c>
    </row>
    <row r="2295" spans="1:17" x14ac:dyDescent="0.25">
      <c r="A2295" t="str">
        <f>IF(C2295&amp;G2295&amp;D2295&lt;&gt;'Funnel setup'!$K$3&amp;'Funnel setup'!$K$4&amp;'Funnel setup'!$K$6,".",IF(A2294=".",1,A2294+1))</f>
        <v>.</v>
      </c>
      <c r="B2295" s="244" t="str">
        <f t="shared" si="35"/>
        <v>Knee Replacement PrimaryProviderLONDON INDEPENDENT HOSPITAL (NT422)EQ-5D Index</v>
      </c>
      <c r="C2295" t="s">
        <v>969</v>
      </c>
      <c r="D2295" t="s">
        <v>965</v>
      </c>
      <c r="E2295" t="s">
        <v>308</v>
      </c>
      <c r="F2295" t="s">
        <v>309</v>
      </c>
      <c r="G2295" t="s">
        <v>963</v>
      </c>
      <c r="H2295">
        <v>8</v>
      </c>
      <c r="I2295">
        <v>0.32224999999999998</v>
      </c>
      <c r="J2295">
        <v>0.42162500000000003</v>
      </c>
      <c r="K2295">
        <v>9.9375000000000005E-2</v>
      </c>
      <c r="L2295">
        <v>4</v>
      </c>
      <c r="M2295">
        <v>1</v>
      </c>
      <c r="N2295">
        <v>3</v>
      </c>
      <c r="O2295" t="s">
        <v>127</v>
      </c>
      <c r="P2295" t="s">
        <v>127</v>
      </c>
      <c r="Q2295" t="s">
        <v>127</v>
      </c>
    </row>
    <row r="2296" spans="1:17" x14ac:dyDescent="0.25">
      <c r="A2296" t="str">
        <f>IF(C2296&amp;G2296&amp;D2296&lt;&gt;'Funnel setup'!$K$3&amp;'Funnel setup'!$K$4&amp;'Funnel setup'!$K$6,".",IF(A2295=".",1,A2295+1))</f>
        <v>.</v>
      </c>
      <c r="B2296" s="244" t="str">
        <f t="shared" si="35"/>
        <v>Knee Replacement PrimaryProviderMAIDSTONE AND TUNBRIDGE WELLS NHS TRUST (RWF)EQ-5D Index</v>
      </c>
      <c r="C2296" t="s">
        <v>969</v>
      </c>
      <c r="D2296" t="s">
        <v>965</v>
      </c>
      <c r="E2296" t="s">
        <v>312</v>
      </c>
      <c r="F2296" t="s">
        <v>313</v>
      </c>
      <c r="G2296" t="s">
        <v>963</v>
      </c>
      <c r="H2296">
        <v>135</v>
      </c>
      <c r="I2296">
        <v>0.47679300000000002</v>
      </c>
      <c r="J2296">
        <v>0.81216999999999995</v>
      </c>
      <c r="K2296">
        <v>0.33537800000000001</v>
      </c>
      <c r="L2296">
        <v>114</v>
      </c>
      <c r="M2296">
        <v>14</v>
      </c>
      <c r="N2296">
        <v>7</v>
      </c>
      <c r="O2296">
        <v>0.790767</v>
      </c>
      <c r="P2296">
        <v>0.36197099999999999</v>
      </c>
      <c r="Q2296">
        <v>0.189389</v>
      </c>
    </row>
    <row r="2297" spans="1:17" x14ac:dyDescent="0.25">
      <c r="A2297" t="str">
        <f>IF(C2297&amp;G2297&amp;D2297&lt;&gt;'Funnel setup'!$K$3&amp;'Funnel setup'!$K$4&amp;'Funnel setup'!$K$6,".",IF(A2296=".",1,A2296+1))</f>
        <v>.</v>
      </c>
      <c r="B2297" s="244" t="str">
        <f t="shared" si="35"/>
        <v>Knee Replacement PrimaryProviderMANCHESTER UNIVERSITY NHS FOUNDATION TRUST (R0A)EQ-5D Index</v>
      </c>
      <c r="C2297" t="s">
        <v>969</v>
      </c>
      <c r="D2297" t="s">
        <v>965</v>
      </c>
      <c r="E2297" t="s">
        <v>316</v>
      </c>
      <c r="F2297" t="s">
        <v>317</v>
      </c>
      <c r="G2297" t="s">
        <v>963</v>
      </c>
      <c r="H2297">
        <v>100</v>
      </c>
      <c r="I2297">
        <v>0.30647999999999997</v>
      </c>
      <c r="J2297">
        <v>0.70235999999999998</v>
      </c>
      <c r="K2297">
        <v>0.39588000000000001</v>
      </c>
      <c r="L2297">
        <v>85</v>
      </c>
      <c r="M2297">
        <v>6</v>
      </c>
      <c r="N2297">
        <v>9</v>
      </c>
      <c r="O2297">
        <v>0.73353699999999999</v>
      </c>
      <c r="P2297">
        <v>0.30474099999999998</v>
      </c>
      <c r="Q2297">
        <v>0.26979999999999998</v>
      </c>
    </row>
    <row r="2298" spans="1:17" x14ac:dyDescent="0.25">
      <c r="A2298" t="str">
        <f>IF(C2298&amp;G2298&amp;D2298&lt;&gt;'Funnel setup'!$K$3&amp;'Funnel setup'!$K$4&amp;'Funnel setup'!$K$6,".",IF(A2297=".",1,A2297+1))</f>
        <v>.</v>
      </c>
      <c r="B2298" s="244" t="str">
        <f t="shared" si="35"/>
        <v>Knee Replacement PrimaryProviderMANOR HOSPITAL (NT423)EQ-5D Index</v>
      </c>
      <c r="C2298" t="s">
        <v>969</v>
      </c>
      <c r="D2298" t="s">
        <v>965</v>
      </c>
      <c r="E2298" t="s">
        <v>318</v>
      </c>
      <c r="F2298" t="s">
        <v>319</v>
      </c>
      <c r="G2298" t="s">
        <v>963</v>
      </c>
      <c r="H2298">
        <v>14</v>
      </c>
      <c r="I2298">
        <v>0.40550000000000003</v>
      </c>
      <c r="J2298">
        <v>0.77</v>
      </c>
      <c r="K2298">
        <v>0.36449999999999999</v>
      </c>
      <c r="L2298">
        <v>13</v>
      </c>
      <c r="M2298">
        <v>1</v>
      </c>
      <c r="N2298">
        <v>0</v>
      </c>
      <c r="O2298" t="s">
        <v>127</v>
      </c>
      <c r="P2298" t="s">
        <v>127</v>
      </c>
      <c r="Q2298" t="s">
        <v>127</v>
      </c>
    </row>
    <row r="2299" spans="1:17" x14ac:dyDescent="0.25">
      <c r="A2299" t="str">
        <f>IF(C2299&amp;G2299&amp;D2299&lt;&gt;'Funnel setup'!$K$3&amp;'Funnel setup'!$K$4&amp;'Funnel setup'!$K$6,".",IF(A2298=".",1,A2298+1))</f>
        <v>.</v>
      </c>
      <c r="B2299" s="244" t="str">
        <f t="shared" si="35"/>
        <v>Knee Replacement PrimaryProviderMEDWAY NHS FOUNDATION TRUST (RPA)EQ-5D Index</v>
      </c>
      <c r="C2299" t="s">
        <v>969</v>
      </c>
      <c r="D2299" t="s">
        <v>965</v>
      </c>
      <c r="E2299" t="s">
        <v>320</v>
      </c>
      <c r="F2299" t="s">
        <v>321</v>
      </c>
      <c r="G2299" t="s">
        <v>963</v>
      </c>
      <c r="H2299">
        <v>45</v>
      </c>
      <c r="I2299">
        <v>0.49802200000000002</v>
      </c>
      <c r="J2299">
        <v>0.76819999999999999</v>
      </c>
      <c r="K2299">
        <v>0.27017799999999997</v>
      </c>
      <c r="L2299">
        <v>36</v>
      </c>
      <c r="M2299">
        <v>4</v>
      </c>
      <c r="N2299">
        <v>5</v>
      </c>
      <c r="O2299">
        <v>0.774343</v>
      </c>
      <c r="P2299">
        <v>0.34554699999999999</v>
      </c>
      <c r="Q2299">
        <v>0.246227</v>
      </c>
    </row>
    <row r="2300" spans="1:17" x14ac:dyDescent="0.25">
      <c r="A2300" t="str">
        <f>IF(C2300&amp;G2300&amp;D2300&lt;&gt;'Funnel setup'!$K$3&amp;'Funnel setup'!$K$4&amp;'Funnel setup'!$K$6,".",IF(A2299=".",1,A2299+1))</f>
        <v>.</v>
      </c>
      <c r="B2300" s="244" t="str">
        <f t="shared" si="35"/>
        <v>Knee Replacement PrimaryProviderMERIDEN HOSPITAL (NT424)EQ-5D Index</v>
      </c>
      <c r="C2300" t="s">
        <v>969</v>
      </c>
      <c r="D2300" t="s">
        <v>965</v>
      </c>
      <c r="E2300" t="s">
        <v>322</v>
      </c>
      <c r="F2300" t="s">
        <v>323</v>
      </c>
      <c r="G2300" t="s">
        <v>963</v>
      </c>
      <c r="H2300">
        <v>7</v>
      </c>
      <c r="I2300">
        <v>0.45214300000000002</v>
      </c>
      <c r="J2300">
        <v>0.89685700000000002</v>
      </c>
      <c r="K2300">
        <v>0.444714</v>
      </c>
      <c r="L2300">
        <v>7</v>
      </c>
      <c r="M2300">
        <v>0</v>
      </c>
      <c r="N2300">
        <v>0</v>
      </c>
      <c r="O2300" t="s">
        <v>127</v>
      </c>
      <c r="P2300" t="s">
        <v>127</v>
      </c>
      <c r="Q2300" t="s">
        <v>127</v>
      </c>
    </row>
    <row r="2301" spans="1:17" x14ac:dyDescent="0.25">
      <c r="A2301" t="str">
        <f>IF(C2301&amp;G2301&amp;D2301&lt;&gt;'Funnel setup'!$K$3&amp;'Funnel setup'!$K$4&amp;'Funnel setup'!$K$6,".",IF(A2300=".",1,A2300+1))</f>
        <v>.</v>
      </c>
      <c r="B2301" s="244" t="str">
        <f t="shared" si="35"/>
        <v>Knee Replacement PrimaryProviderMID AND SOUTH ESSEX NHS FOUNDATION TRUST (RAJ)EQ-5D Index</v>
      </c>
      <c r="C2301" t="s">
        <v>969</v>
      </c>
      <c r="D2301" t="s">
        <v>965</v>
      </c>
      <c r="E2301" t="s">
        <v>324</v>
      </c>
      <c r="F2301" t="s">
        <v>325</v>
      </c>
      <c r="G2301" t="s">
        <v>963</v>
      </c>
      <c r="H2301">
        <v>125</v>
      </c>
      <c r="I2301">
        <v>0.32406400000000002</v>
      </c>
      <c r="J2301">
        <v>0.71110399999999996</v>
      </c>
      <c r="K2301">
        <v>0.38704</v>
      </c>
      <c r="L2301">
        <v>103</v>
      </c>
      <c r="M2301">
        <v>6</v>
      </c>
      <c r="N2301">
        <v>16</v>
      </c>
      <c r="O2301">
        <v>0.75424999999999998</v>
      </c>
      <c r="P2301">
        <v>0.32545400000000002</v>
      </c>
      <c r="Q2301">
        <v>0.28833799999999998</v>
      </c>
    </row>
    <row r="2302" spans="1:17" x14ac:dyDescent="0.25">
      <c r="A2302" t="str">
        <f>IF(C2302&amp;G2302&amp;D2302&lt;&gt;'Funnel setup'!$K$3&amp;'Funnel setup'!$K$4&amp;'Funnel setup'!$K$6,".",IF(A2301=".",1,A2301+1))</f>
        <v>.</v>
      </c>
      <c r="B2302" s="244" t="str">
        <f t="shared" si="35"/>
        <v>Knee Replacement PrimaryProviderMID CHESHIRE HOSPITALS NHS FOUNDATION TRUST (RBT)EQ-5D Index</v>
      </c>
      <c r="C2302" t="s">
        <v>969</v>
      </c>
      <c r="D2302" t="s">
        <v>965</v>
      </c>
      <c r="E2302" t="s">
        <v>326</v>
      </c>
      <c r="F2302" t="s">
        <v>327</v>
      </c>
      <c r="G2302" t="s">
        <v>963</v>
      </c>
      <c r="H2302">
        <v>82</v>
      </c>
      <c r="I2302">
        <v>0.47086600000000001</v>
      </c>
      <c r="J2302">
        <v>0.77896299999999996</v>
      </c>
      <c r="K2302">
        <v>0.30809799999999998</v>
      </c>
      <c r="L2302">
        <v>67</v>
      </c>
      <c r="M2302">
        <v>7</v>
      </c>
      <c r="N2302">
        <v>8</v>
      </c>
      <c r="O2302">
        <v>0.77636700000000003</v>
      </c>
      <c r="P2302">
        <v>0.34757100000000002</v>
      </c>
      <c r="Q2302">
        <v>0.22124099999999999</v>
      </c>
    </row>
    <row r="2303" spans="1:17" x14ac:dyDescent="0.25">
      <c r="A2303" t="str">
        <f>IF(C2303&amp;G2303&amp;D2303&lt;&gt;'Funnel setup'!$K$3&amp;'Funnel setup'!$K$4&amp;'Funnel setup'!$K$6,".",IF(A2302=".",1,A2302+1))</f>
        <v>.</v>
      </c>
      <c r="B2303" s="244" t="str">
        <f t="shared" si="35"/>
        <v>Knee Replacement PrimaryProviderMID YORKSHIRE TEACHING NHS TRUST (RXF)EQ-5D Index</v>
      </c>
      <c r="C2303" t="s">
        <v>969</v>
      </c>
      <c r="D2303" t="s">
        <v>965</v>
      </c>
      <c r="E2303" t="s">
        <v>330</v>
      </c>
      <c r="F2303" t="s">
        <v>331</v>
      </c>
      <c r="G2303" t="s">
        <v>963</v>
      </c>
      <c r="H2303">
        <v>164</v>
      </c>
      <c r="I2303">
        <v>0.34843299999999999</v>
      </c>
      <c r="J2303">
        <v>0.70172000000000001</v>
      </c>
      <c r="K2303">
        <v>0.35328700000000002</v>
      </c>
      <c r="L2303">
        <v>133</v>
      </c>
      <c r="M2303">
        <v>14</v>
      </c>
      <c r="N2303">
        <v>17</v>
      </c>
      <c r="O2303">
        <v>0.73275599999999996</v>
      </c>
      <c r="P2303">
        <v>0.30396000000000001</v>
      </c>
      <c r="Q2303">
        <v>0.25561600000000001</v>
      </c>
    </row>
    <row r="2304" spans="1:17" x14ac:dyDescent="0.25">
      <c r="A2304" t="str">
        <f>IF(C2304&amp;G2304&amp;D2304&lt;&gt;'Funnel setup'!$K$3&amp;'Funnel setup'!$K$4&amp;'Funnel setup'!$K$6,".",IF(A2303=".",1,A2303+1))</f>
        <v>.</v>
      </c>
      <c r="B2304" s="244" t="str">
        <f t="shared" si="35"/>
        <v>Knee Replacement PrimaryProviderMILTON KEYNES UNIVERSITY HOSPITAL NHS FOUNDATION TRUST (RD8)EQ-5D Index</v>
      </c>
      <c r="C2304" t="s">
        <v>969</v>
      </c>
      <c r="D2304" t="s">
        <v>965</v>
      </c>
      <c r="E2304" t="s">
        <v>332</v>
      </c>
      <c r="F2304" t="s">
        <v>333</v>
      </c>
      <c r="G2304" t="s">
        <v>963</v>
      </c>
      <c r="H2304">
        <v>28</v>
      </c>
      <c r="I2304">
        <v>0.26010699999999998</v>
      </c>
      <c r="J2304">
        <v>0.69267900000000004</v>
      </c>
      <c r="K2304">
        <v>0.43257099999999998</v>
      </c>
      <c r="L2304">
        <v>23</v>
      </c>
      <c r="M2304">
        <v>1</v>
      </c>
      <c r="N2304">
        <v>4</v>
      </c>
      <c r="O2304" t="s">
        <v>127</v>
      </c>
      <c r="P2304" t="s">
        <v>127</v>
      </c>
      <c r="Q2304" t="s">
        <v>127</v>
      </c>
    </row>
    <row r="2305" spans="1:17" x14ac:dyDescent="0.25">
      <c r="A2305" t="str">
        <f>IF(C2305&amp;G2305&amp;D2305&lt;&gt;'Funnel setup'!$K$3&amp;'Funnel setup'!$K$4&amp;'Funnel setup'!$K$6,".",IF(A2304=".",1,A2304+1))</f>
        <v>.</v>
      </c>
      <c r="B2305" s="244" t="str">
        <f t="shared" si="35"/>
        <v>Knee Replacement PrimaryProviderMOUNT ALVERNIA HOSPITAL (NT455)EQ-5D Index</v>
      </c>
      <c r="C2305" t="s">
        <v>969</v>
      </c>
      <c r="D2305" t="s">
        <v>965</v>
      </c>
      <c r="E2305" t="s">
        <v>334</v>
      </c>
      <c r="F2305" t="s">
        <v>335</v>
      </c>
      <c r="G2305" t="s">
        <v>963</v>
      </c>
      <c r="H2305">
        <v>7</v>
      </c>
      <c r="I2305">
        <v>0.73814299999999999</v>
      </c>
      <c r="J2305">
        <v>0.84842899999999999</v>
      </c>
      <c r="K2305">
        <v>0.110286</v>
      </c>
      <c r="L2305">
        <v>5</v>
      </c>
      <c r="M2305">
        <v>1</v>
      </c>
      <c r="N2305">
        <v>1</v>
      </c>
      <c r="O2305" t="s">
        <v>127</v>
      </c>
      <c r="P2305" t="s">
        <v>127</v>
      </c>
      <c r="Q2305" t="s">
        <v>127</v>
      </c>
    </row>
    <row r="2306" spans="1:17" x14ac:dyDescent="0.25">
      <c r="A2306" t="str">
        <f>IF(C2306&amp;G2306&amp;D2306&lt;&gt;'Funnel setup'!$K$3&amp;'Funnel setup'!$K$4&amp;'Funnel setup'!$K$6,".",IF(A2305=".",1,A2305+1))</f>
        <v>.</v>
      </c>
      <c r="B2306" s="244" t="str">
        <f t="shared" ref="B2306:B2369" si="36">C2306&amp;D2306&amp;F2306&amp;G2306</f>
        <v>Knee Replacement PrimaryProviderMOUNT STUART HOSPITAL (NVC08)EQ-5D Index</v>
      </c>
      <c r="C2306" t="s">
        <v>969</v>
      </c>
      <c r="D2306" t="s">
        <v>965</v>
      </c>
      <c r="E2306" t="s">
        <v>336</v>
      </c>
      <c r="F2306" t="s">
        <v>337</v>
      </c>
      <c r="G2306" t="s">
        <v>963</v>
      </c>
      <c r="H2306">
        <v>102</v>
      </c>
      <c r="I2306">
        <v>0.49901000000000001</v>
      </c>
      <c r="J2306">
        <v>0.78947999999999996</v>
      </c>
      <c r="K2306">
        <v>0.29047099999999998</v>
      </c>
      <c r="L2306">
        <v>87</v>
      </c>
      <c r="M2306">
        <v>6</v>
      </c>
      <c r="N2306">
        <v>9</v>
      </c>
      <c r="O2306">
        <v>0.77222199999999996</v>
      </c>
      <c r="P2306">
        <v>0.34342600000000001</v>
      </c>
      <c r="Q2306">
        <v>0.211816</v>
      </c>
    </row>
    <row r="2307" spans="1:17" x14ac:dyDescent="0.25">
      <c r="A2307" t="str">
        <f>IF(C2307&amp;G2307&amp;D2307&lt;&gt;'Funnel setup'!$K$3&amp;'Funnel setup'!$K$4&amp;'Funnel setup'!$K$6,".",IF(A2306=".",1,A2306+1))</f>
        <v>.</v>
      </c>
      <c r="B2307" s="244" t="str">
        <f t="shared" si="36"/>
        <v>Knee Replacement PrimaryProviderNEW HALL HOSPITAL (NVC09)EQ-5D Index</v>
      </c>
      <c r="C2307" t="s">
        <v>969</v>
      </c>
      <c r="D2307" t="s">
        <v>965</v>
      </c>
      <c r="E2307" t="s">
        <v>338</v>
      </c>
      <c r="F2307" t="s">
        <v>339</v>
      </c>
      <c r="G2307" t="s">
        <v>963</v>
      </c>
      <c r="H2307">
        <v>96</v>
      </c>
      <c r="I2307">
        <v>0.48583300000000001</v>
      </c>
      <c r="J2307">
        <v>0.81918800000000003</v>
      </c>
      <c r="K2307">
        <v>0.33335399999999998</v>
      </c>
      <c r="L2307">
        <v>82</v>
      </c>
      <c r="M2307">
        <v>8</v>
      </c>
      <c r="N2307">
        <v>6</v>
      </c>
      <c r="O2307">
        <v>0.79171800000000003</v>
      </c>
      <c r="P2307">
        <v>0.36292200000000002</v>
      </c>
      <c r="Q2307">
        <v>0.213676</v>
      </c>
    </row>
    <row r="2308" spans="1:17" x14ac:dyDescent="0.25">
      <c r="A2308" t="str">
        <f>IF(C2308&amp;G2308&amp;D2308&lt;&gt;'Funnel setup'!$K$3&amp;'Funnel setup'!$K$4&amp;'Funnel setup'!$K$6,".",IF(A2307=".",1,A2307+1))</f>
        <v>.</v>
      </c>
      <c r="B2308" s="244" t="str">
        <f t="shared" si="36"/>
        <v>Knee Replacement PrimaryProviderNORFOLK AND NORWICH UNIVERSITY HOSPITALS NHS FOUNDATION TRUST (RM1)EQ-5D Index</v>
      </c>
      <c r="C2308" t="s">
        <v>969</v>
      </c>
      <c r="D2308" t="s">
        <v>965</v>
      </c>
      <c r="E2308" t="s">
        <v>340</v>
      </c>
      <c r="F2308" t="s">
        <v>341</v>
      </c>
      <c r="G2308" t="s">
        <v>963</v>
      </c>
      <c r="H2308">
        <v>135</v>
      </c>
      <c r="I2308">
        <v>0.32397799999999999</v>
      </c>
      <c r="J2308">
        <v>0.66297799999999996</v>
      </c>
      <c r="K2308">
        <v>0.33900000000000002</v>
      </c>
      <c r="L2308">
        <v>106</v>
      </c>
      <c r="M2308">
        <v>16</v>
      </c>
      <c r="N2308">
        <v>13</v>
      </c>
      <c r="O2308">
        <v>0.70928899999999995</v>
      </c>
      <c r="P2308">
        <v>0.28049299999999999</v>
      </c>
      <c r="Q2308">
        <v>0.26788200000000001</v>
      </c>
    </row>
    <row r="2309" spans="1:17" x14ac:dyDescent="0.25">
      <c r="A2309" t="str">
        <f>IF(C2309&amp;G2309&amp;D2309&lt;&gt;'Funnel setup'!$K$3&amp;'Funnel setup'!$K$4&amp;'Funnel setup'!$K$6,".",IF(A2308=".",1,A2308+1))</f>
        <v>.</v>
      </c>
      <c r="B2309" s="244" t="str">
        <f t="shared" si="36"/>
        <v>Knee Replacement PrimaryProviderNORTH BRISTOL NHS TRUST (RVJ)EQ-5D Index</v>
      </c>
      <c r="C2309" t="s">
        <v>969</v>
      </c>
      <c r="D2309" t="s">
        <v>965</v>
      </c>
      <c r="E2309" t="s">
        <v>342</v>
      </c>
      <c r="F2309" t="s">
        <v>343</v>
      </c>
      <c r="G2309" t="s">
        <v>963</v>
      </c>
      <c r="H2309">
        <v>5</v>
      </c>
      <c r="I2309">
        <v>0.3014</v>
      </c>
      <c r="J2309">
        <v>0.80179999999999996</v>
      </c>
      <c r="K2309">
        <v>0.50039999999999996</v>
      </c>
      <c r="L2309">
        <v>5</v>
      </c>
      <c r="M2309">
        <v>0</v>
      </c>
      <c r="N2309">
        <v>0</v>
      </c>
      <c r="O2309" t="s">
        <v>127</v>
      </c>
      <c r="P2309" t="s">
        <v>127</v>
      </c>
      <c r="Q2309" t="s">
        <v>127</v>
      </c>
    </row>
    <row r="2310" spans="1:17" x14ac:dyDescent="0.25">
      <c r="A2310" t="str">
        <f>IF(C2310&amp;G2310&amp;D2310&lt;&gt;'Funnel setup'!$K$3&amp;'Funnel setup'!$K$4&amp;'Funnel setup'!$K$6,".",IF(A2309=".",1,A2309+1))</f>
        <v>.</v>
      </c>
      <c r="B2310" s="244" t="str">
        <f t="shared" si="36"/>
        <v>Knee Replacement PrimaryProviderNORTH CUMBRIA INTEGRATED CARE NHS FOUNDATION TRUST (RNN)EQ-5D Index</v>
      </c>
      <c r="C2310" t="s">
        <v>969</v>
      </c>
      <c r="D2310" t="s">
        <v>965</v>
      </c>
      <c r="E2310" t="s">
        <v>344</v>
      </c>
      <c r="F2310" t="s">
        <v>345</v>
      </c>
      <c r="G2310" t="s">
        <v>963</v>
      </c>
      <c r="H2310">
        <v>122</v>
      </c>
      <c r="I2310">
        <v>0.34539300000000001</v>
      </c>
      <c r="J2310">
        <v>0.75368000000000002</v>
      </c>
      <c r="K2310">
        <v>0.40828700000000001</v>
      </c>
      <c r="L2310">
        <v>104</v>
      </c>
      <c r="M2310">
        <v>6</v>
      </c>
      <c r="N2310">
        <v>12</v>
      </c>
      <c r="O2310">
        <v>0.76973400000000003</v>
      </c>
      <c r="P2310">
        <v>0.34093800000000002</v>
      </c>
      <c r="Q2310">
        <v>0.21886</v>
      </c>
    </row>
    <row r="2311" spans="1:17" x14ac:dyDescent="0.25">
      <c r="A2311" t="str">
        <f>IF(C2311&amp;G2311&amp;D2311&lt;&gt;'Funnel setup'!$K$3&amp;'Funnel setup'!$K$4&amp;'Funnel setup'!$K$6,".",IF(A2310=".",1,A2310+1))</f>
        <v>.</v>
      </c>
      <c r="B2311" s="244" t="str">
        <f t="shared" si="36"/>
        <v>Knee Replacement PrimaryProviderNORTH DOWNS HOSPITAL (NVC11)EQ-5D Index</v>
      </c>
      <c r="C2311" t="s">
        <v>969</v>
      </c>
      <c r="D2311" t="s">
        <v>965</v>
      </c>
      <c r="E2311" t="s">
        <v>348</v>
      </c>
      <c r="F2311" t="s">
        <v>349</v>
      </c>
      <c r="G2311" t="s">
        <v>963</v>
      </c>
      <c r="H2311">
        <v>29</v>
      </c>
      <c r="I2311">
        <v>0.41875899999999999</v>
      </c>
      <c r="J2311">
        <v>0.81137899999999996</v>
      </c>
      <c r="K2311">
        <v>0.392621</v>
      </c>
      <c r="L2311">
        <v>27</v>
      </c>
      <c r="M2311">
        <v>2</v>
      </c>
      <c r="N2311">
        <v>0</v>
      </c>
      <c r="O2311" t="s">
        <v>127</v>
      </c>
      <c r="P2311" t="s">
        <v>127</v>
      </c>
      <c r="Q2311" t="s">
        <v>127</v>
      </c>
    </row>
    <row r="2312" spans="1:17" x14ac:dyDescent="0.25">
      <c r="A2312" t="str">
        <f>IF(C2312&amp;G2312&amp;D2312&lt;&gt;'Funnel setup'!$K$3&amp;'Funnel setup'!$K$4&amp;'Funnel setup'!$K$6,".",IF(A2311=".",1,A2311+1))</f>
        <v>.</v>
      </c>
      <c r="B2312" s="244" t="str">
        <f t="shared" si="36"/>
        <v>Knee Replacement PrimaryProviderNORTH MIDDLESEX UNIVERSITY HOSPITAL NHS TRUST (RAP)EQ-5D Index</v>
      </c>
      <c r="C2312" t="s">
        <v>969</v>
      </c>
      <c r="D2312" t="s">
        <v>965</v>
      </c>
      <c r="E2312" t="s">
        <v>350</v>
      </c>
      <c r="F2312" t="s">
        <v>351</v>
      </c>
      <c r="G2312" t="s">
        <v>963</v>
      </c>
      <c r="H2312">
        <v>7</v>
      </c>
      <c r="I2312">
        <v>0.19542899999999999</v>
      </c>
      <c r="J2312">
        <v>0.59114299999999997</v>
      </c>
      <c r="K2312">
        <v>0.39571400000000001</v>
      </c>
      <c r="L2312">
        <v>6</v>
      </c>
      <c r="M2312">
        <v>1</v>
      </c>
      <c r="N2312">
        <v>0</v>
      </c>
      <c r="O2312" t="s">
        <v>127</v>
      </c>
      <c r="P2312" t="s">
        <v>127</v>
      </c>
      <c r="Q2312" t="s">
        <v>127</v>
      </c>
    </row>
    <row r="2313" spans="1:17" x14ac:dyDescent="0.25">
      <c r="A2313" t="str">
        <f>IF(C2313&amp;G2313&amp;D2313&lt;&gt;'Funnel setup'!$K$3&amp;'Funnel setup'!$K$4&amp;'Funnel setup'!$K$6,".",IF(A2312=".",1,A2312+1))</f>
        <v>.</v>
      </c>
      <c r="B2313" s="244" t="str">
        <f t="shared" si="36"/>
        <v>Knee Replacement PrimaryProviderNORTH TEES AND HARTLEPOOL NHS FOUNDATION TRUST (RVW)EQ-5D Index</v>
      </c>
      <c r="C2313" t="s">
        <v>969</v>
      </c>
      <c r="D2313" t="s">
        <v>965</v>
      </c>
      <c r="E2313" t="s">
        <v>352</v>
      </c>
      <c r="F2313" t="s">
        <v>353</v>
      </c>
      <c r="G2313" t="s">
        <v>963</v>
      </c>
      <c r="H2313">
        <v>97</v>
      </c>
      <c r="I2313">
        <v>0.23610300000000001</v>
      </c>
      <c r="J2313">
        <v>0.70016500000000004</v>
      </c>
      <c r="K2313">
        <v>0.46406199999999997</v>
      </c>
      <c r="L2313">
        <v>85</v>
      </c>
      <c r="M2313">
        <v>2</v>
      </c>
      <c r="N2313">
        <v>10</v>
      </c>
      <c r="O2313">
        <v>0.778443</v>
      </c>
      <c r="P2313">
        <v>0.34964699999999999</v>
      </c>
      <c r="Q2313">
        <v>0.26771</v>
      </c>
    </row>
    <row r="2314" spans="1:17" x14ac:dyDescent="0.25">
      <c r="A2314" t="str">
        <f>IF(C2314&amp;G2314&amp;D2314&lt;&gt;'Funnel setup'!$K$3&amp;'Funnel setup'!$K$4&amp;'Funnel setup'!$K$6,".",IF(A2313=".",1,A2313+1))</f>
        <v>.</v>
      </c>
      <c r="B2314" s="244" t="str">
        <f t="shared" si="36"/>
        <v>Knee Replacement PrimaryProviderNORTH WEST ANGLIA NHS FOUNDATION TRUST (RGN)EQ-5D Index</v>
      </c>
      <c r="C2314" t="s">
        <v>969</v>
      </c>
      <c r="D2314" t="s">
        <v>965</v>
      </c>
      <c r="E2314" t="s">
        <v>354</v>
      </c>
      <c r="F2314" t="s">
        <v>355</v>
      </c>
      <c r="G2314" t="s">
        <v>963</v>
      </c>
      <c r="H2314">
        <v>126</v>
      </c>
      <c r="I2314">
        <v>0.393563</v>
      </c>
      <c r="J2314">
        <v>0.72840499999999997</v>
      </c>
      <c r="K2314">
        <v>0.334841</v>
      </c>
      <c r="L2314">
        <v>109</v>
      </c>
      <c r="M2314">
        <v>10</v>
      </c>
      <c r="N2314">
        <v>7</v>
      </c>
      <c r="O2314">
        <v>0.735734</v>
      </c>
      <c r="P2314">
        <v>0.30693799999999999</v>
      </c>
      <c r="Q2314">
        <v>0.20324500000000001</v>
      </c>
    </row>
    <row r="2315" spans="1:17" x14ac:dyDescent="0.25">
      <c r="A2315" t="str">
        <f>IF(C2315&amp;G2315&amp;D2315&lt;&gt;'Funnel setup'!$K$3&amp;'Funnel setup'!$K$4&amp;'Funnel setup'!$K$6,".",IF(A2314=".",1,A2314+1))</f>
        <v>.</v>
      </c>
      <c r="B2315" s="244" t="str">
        <f t="shared" si="36"/>
        <v>Knee Replacement PrimaryProviderNORTHAMPTON GENERAL HOSPITAL NHS TRUST (RNS)EQ-5D Index</v>
      </c>
      <c r="C2315" t="s">
        <v>969</v>
      </c>
      <c r="D2315" t="s">
        <v>965</v>
      </c>
      <c r="E2315" t="s">
        <v>356</v>
      </c>
      <c r="F2315" t="s">
        <v>357</v>
      </c>
      <c r="G2315" t="s">
        <v>963</v>
      </c>
      <c r="H2315">
        <v>43</v>
      </c>
      <c r="I2315">
        <v>0.37611600000000001</v>
      </c>
      <c r="J2315">
        <v>0.67860500000000001</v>
      </c>
      <c r="K2315">
        <v>0.30248799999999998</v>
      </c>
      <c r="L2315">
        <v>33</v>
      </c>
      <c r="M2315">
        <v>2</v>
      </c>
      <c r="N2315">
        <v>8</v>
      </c>
      <c r="O2315">
        <v>0.71514200000000006</v>
      </c>
      <c r="P2315">
        <v>0.28634599999999999</v>
      </c>
      <c r="Q2315">
        <v>0.322523</v>
      </c>
    </row>
    <row r="2316" spans="1:17" x14ac:dyDescent="0.25">
      <c r="A2316" t="str">
        <f>IF(C2316&amp;G2316&amp;D2316&lt;&gt;'Funnel setup'!$K$3&amp;'Funnel setup'!$K$4&amp;'Funnel setup'!$K$6,".",IF(A2315=".",1,A2315+1))</f>
        <v>.</v>
      </c>
      <c r="B2316" s="244" t="str">
        <f t="shared" si="36"/>
        <v>Knee Replacement PrimaryProviderNORTHERN CARE ALLIANCE NHS FOUNDATION TRUST (RM3)EQ-5D Index</v>
      </c>
      <c r="C2316" t="s">
        <v>969</v>
      </c>
      <c r="D2316" t="s">
        <v>965</v>
      </c>
      <c r="E2316" t="s">
        <v>358</v>
      </c>
      <c r="F2316" t="s">
        <v>359</v>
      </c>
      <c r="G2316" t="s">
        <v>963</v>
      </c>
      <c r="H2316">
        <v>7</v>
      </c>
      <c r="I2316">
        <v>0.36842900000000001</v>
      </c>
      <c r="J2316">
        <v>0.58785699999999996</v>
      </c>
      <c r="K2316">
        <v>0.21942900000000001</v>
      </c>
      <c r="L2316">
        <v>6</v>
      </c>
      <c r="M2316">
        <v>0</v>
      </c>
      <c r="N2316">
        <v>1</v>
      </c>
      <c r="O2316" t="s">
        <v>127</v>
      </c>
      <c r="P2316" t="s">
        <v>127</v>
      </c>
      <c r="Q2316" t="s">
        <v>127</v>
      </c>
    </row>
    <row r="2317" spans="1:17" x14ac:dyDescent="0.25">
      <c r="A2317" t="str">
        <f>IF(C2317&amp;G2317&amp;D2317&lt;&gt;'Funnel setup'!$K$3&amp;'Funnel setup'!$K$4&amp;'Funnel setup'!$K$6,".",IF(A2316=".",1,A2316+1))</f>
        <v>.</v>
      </c>
      <c r="B2317" s="244" t="str">
        <f t="shared" si="36"/>
        <v>Knee Replacement PrimaryProviderNORTHERN DEVON HEALTHCARE NHS TRUST (RBZ)EQ-5D Index</v>
      </c>
      <c r="C2317" t="s">
        <v>969</v>
      </c>
      <c r="D2317" t="s">
        <v>965</v>
      </c>
      <c r="E2317" t="s">
        <v>360</v>
      </c>
      <c r="F2317" t="s">
        <v>361</v>
      </c>
      <c r="G2317" t="s">
        <v>963</v>
      </c>
      <c r="H2317">
        <v>36</v>
      </c>
      <c r="I2317">
        <v>0.32338899999999998</v>
      </c>
      <c r="J2317">
        <v>0.67133299999999996</v>
      </c>
      <c r="K2317">
        <v>0.34794399999999998</v>
      </c>
      <c r="L2317">
        <v>30</v>
      </c>
      <c r="M2317">
        <v>3</v>
      </c>
      <c r="N2317">
        <v>3</v>
      </c>
      <c r="O2317">
        <v>0.75320699999999996</v>
      </c>
      <c r="P2317">
        <v>0.324411</v>
      </c>
      <c r="Q2317">
        <v>0.26125599999999999</v>
      </c>
    </row>
    <row r="2318" spans="1:17" x14ac:dyDescent="0.25">
      <c r="A2318" t="str">
        <f>IF(C2318&amp;G2318&amp;D2318&lt;&gt;'Funnel setup'!$K$3&amp;'Funnel setup'!$K$4&amp;'Funnel setup'!$K$6,".",IF(A2317=".",1,A2317+1))</f>
        <v>.</v>
      </c>
      <c r="B2318" s="244" t="str">
        <f t="shared" si="36"/>
        <v>Knee Replacement PrimaryProviderNORTHERN LINCOLNSHIRE AND GOOLE NHS FOUNDATION TRUST (RJL)EQ-5D Index</v>
      </c>
      <c r="C2318" t="s">
        <v>969</v>
      </c>
      <c r="D2318" t="s">
        <v>965</v>
      </c>
      <c r="E2318" t="s">
        <v>362</v>
      </c>
      <c r="F2318" t="s">
        <v>363</v>
      </c>
      <c r="G2318" t="s">
        <v>963</v>
      </c>
      <c r="H2318">
        <v>71</v>
      </c>
      <c r="I2318">
        <v>0.37025400000000003</v>
      </c>
      <c r="J2318">
        <v>0.69663399999999998</v>
      </c>
      <c r="K2318">
        <v>0.32638</v>
      </c>
      <c r="L2318">
        <v>54</v>
      </c>
      <c r="M2318">
        <v>5</v>
      </c>
      <c r="N2318">
        <v>12</v>
      </c>
      <c r="O2318">
        <v>0.71689199999999997</v>
      </c>
      <c r="P2318">
        <v>0.28809600000000002</v>
      </c>
      <c r="Q2318">
        <v>0.248084</v>
      </c>
    </row>
    <row r="2319" spans="1:17" x14ac:dyDescent="0.25">
      <c r="A2319" t="str">
        <f>IF(C2319&amp;G2319&amp;D2319&lt;&gt;'Funnel setup'!$K$3&amp;'Funnel setup'!$K$4&amp;'Funnel setup'!$K$6,".",IF(A2318=".",1,A2318+1))</f>
        <v>.</v>
      </c>
      <c r="B2319" s="244" t="str">
        <f t="shared" si="36"/>
        <v>Knee Replacement PrimaryProviderNORTHUMBRIA HEALTHCARE NHS FOUNDATION TRUST (RTF)EQ-5D Index</v>
      </c>
      <c r="C2319" t="s">
        <v>969</v>
      </c>
      <c r="D2319" t="s">
        <v>965</v>
      </c>
      <c r="E2319" t="s">
        <v>364</v>
      </c>
      <c r="F2319" t="s">
        <v>365</v>
      </c>
      <c r="G2319" t="s">
        <v>963</v>
      </c>
      <c r="H2319">
        <v>370</v>
      </c>
      <c r="I2319">
        <v>0.399808</v>
      </c>
      <c r="J2319">
        <v>0.78886800000000001</v>
      </c>
      <c r="K2319">
        <v>0.38905899999999999</v>
      </c>
      <c r="L2319">
        <v>322</v>
      </c>
      <c r="M2319">
        <v>31</v>
      </c>
      <c r="N2319">
        <v>17</v>
      </c>
      <c r="O2319">
        <v>0.793489</v>
      </c>
      <c r="P2319">
        <v>0.36469400000000002</v>
      </c>
      <c r="Q2319">
        <v>0.20227600000000001</v>
      </c>
    </row>
    <row r="2320" spans="1:17" x14ac:dyDescent="0.25">
      <c r="A2320" t="str">
        <f>IF(C2320&amp;G2320&amp;D2320&lt;&gt;'Funnel setup'!$K$3&amp;'Funnel setup'!$K$4&amp;'Funnel setup'!$K$6,".",IF(A2319=".",1,A2319+1))</f>
        <v>.</v>
      </c>
      <c r="B2320" s="244" t="str">
        <f t="shared" si="36"/>
        <v>Knee Replacement PrimaryProviderNOTTINGHAM UNIVERSITY HOSPITALS NHS TRUST (RX1)EQ-5D Index</v>
      </c>
      <c r="C2320" t="s">
        <v>969</v>
      </c>
      <c r="D2320" t="s">
        <v>965</v>
      </c>
      <c r="E2320" t="s">
        <v>366</v>
      </c>
      <c r="F2320" t="s">
        <v>367</v>
      </c>
      <c r="G2320" t="s">
        <v>963</v>
      </c>
      <c r="H2320">
        <v>4</v>
      </c>
      <c r="I2320">
        <v>0.24825</v>
      </c>
      <c r="J2320">
        <v>0.73724999999999996</v>
      </c>
      <c r="K2320">
        <v>0.48899999999999999</v>
      </c>
      <c r="L2320">
        <v>4</v>
      </c>
      <c r="M2320">
        <v>0</v>
      </c>
      <c r="N2320">
        <v>0</v>
      </c>
      <c r="O2320" t="s">
        <v>127</v>
      </c>
      <c r="P2320" t="s">
        <v>127</v>
      </c>
      <c r="Q2320" t="s">
        <v>127</v>
      </c>
    </row>
    <row r="2321" spans="1:17" x14ac:dyDescent="0.25">
      <c r="A2321" t="str">
        <f>IF(C2321&amp;G2321&amp;D2321&lt;&gt;'Funnel setup'!$K$3&amp;'Funnel setup'!$K$4&amp;'Funnel setup'!$K$6,".",IF(A2320=".",1,A2320+1))</f>
        <v>.</v>
      </c>
      <c r="B2321" s="244" t="str">
        <f t="shared" si="36"/>
        <v>Knee Replacement PrimaryProviderNUFFIELD HEALTH, BOURNEMOUTH HOSPITAL (NT202)EQ-5D Index</v>
      </c>
      <c r="C2321" t="s">
        <v>969</v>
      </c>
      <c r="D2321" t="s">
        <v>965</v>
      </c>
      <c r="E2321" t="s">
        <v>368</v>
      </c>
      <c r="F2321" t="s">
        <v>369</v>
      </c>
      <c r="G2321" t="s">
        <v>963</v>
      </c>
      <c r="H2321">
        <v>23</v>
      </c>
      <c r="I2321">
        <v>0.51887000000000005</v>
      </c>
      <c r="J2321">
        <v>0.81408700000000001</v>
      </c>
      <c r="K2321">
        <v>0.29521700000000001</v>
      </c>
      <c r="L2321">
        <v>22</v>
      </c>
      <c r="M2321">
        <v>0</v>
      </c>
      <c r="N2321">
        <v>1</v>
      </c>
      <c r="O2321" t="s">
        <v>127</v>
      </c>
      <c r="P2321" t="s">
        <v>127</v>
      </c>
      <c r="Q2321" t="s">
        <v>127</v>
      </c>
    </row>
    <row r="2322" spans="1:17" x14ac:dyDescent="0.25">
      <c r="A2322" t="str">
        <f>IF(C2322&amp;G2322&amp;D2322&lt;&gt;'Funnel setup'!$K$3&amp;'Funnel setup'!$K$4&amp;'Funnel setup'!$K$6,".",IF(A2321=".",1,A2321+1))</f>
        <v>.</v>
      </c>
      <c r="B2322" s="244" t="str">
        <f t="shared" si="36"/>
        <v>Knee Replacement PrimaryProviderNUFFIELD HEALTH, BRENTWOOD HOSPITAL (NT204)EQ-5D Index</v>
      </c>
      <c r="C2322" t="s">
        <v>969</v>
      </c>
      <c r="D2322" t="s">
        <v>965</v>
      </c>
      <c r="E2322" t="s">
        <v>370</v>
      </c>
      <c r="F2322" t="s">
        <v>371</v>
      </c>
      <c r="G2322" t="s">
        <v>963</v>
      </c>
      <c r="H2322">
        <v>15</v>
      </c>
      <c r="I2322">
        <v>0.42906699999999998</v>
      </c>
      <c r="J2322">
        <v>0.78086699999999998</v>
      </c>
      <c r="K2322">
        <v>0.3518</v>
      </c>
      <c r="L2322">
        <v>12</v>
      </c>
      <c r="M2322">
        <v>2</v>
      </c>
      <c r="N2322">
        <v>1</v>
      </c>
      <c r="O2322" t="s">
        <v>127</v>
      </c>
      <c r="P2322" t="s">
        <v>127</v>
      </c>
      <c r="Q2322" t="s">
        <v>127</v>
      </c>
    </row>
    <row r="2323" spans="1:17" x14ac:dyDescent="0.25">
      <c r="A2323" t="str">
        <f>IF(C2323&amp;G2323&amp;D2323&lt;&gt;'Funnel setup'!$K$3&amp;'Funnel setup'!$K$4&amp;'Funnel setup'!$K$6,".",IF(A2322=".",1,A2322+1))</f>
        <v>.</v>
      </c>
      <c r="B2323" s="244" t="str">
        <f t="shared" si="36"/>
        <v>Knee Replacement PrimaryProviderNUFFIELD HEALTH, BRIGHTON HOSPITAL (NT205)EQ-5D Index</v>
      </c>
      <c r="C2323" t="s">
        <v>969</v>
      </c>
      <c r="D2323" t="s">
        <v>965</v>
      </c>
      <c r="E2323" t="s">
        <v>372</v>
      </c>
      <c r="F2323" t="s">
        <v>373</v>
      </c>
      <c r="G2323" t="s">
        <v>963</v>
      </c>
      <c r="H2323">
        <v>9</v>
      </c>
      <c r="I2323">
        <v>0.53488899999999995</v>
      </c>
      <c r="J2323">
        <v>0.90844400000000003</v>
      </c>
      <c r="K2323">
        <v>0.373556</v>
      </c>
      <c r="L2323">
        <v>7</v>
      </c>
      <c r="M2323">
        <v>2</v>
      </c>
      <c r="N2323">
        <v>0</v>
      </c>
      <c r="O2323" t="s">
        <v>127</v>
      </c>
      <c r="P2323" t="s">
        <v>127</v>
      </c>
      <c r="Q2323" t="s">
        <v>127</v>
      </c>
    </row>
    <row r="2324" spans="1:17" x14ac:dyDescent="0.25">
      <c r="A2324" t="str">
        <f>IF(C2324&amp;G2324&amp;D2324&lt;&gt;'Funnel setup'!$K$3&amp;'Funnel setup'!$K$4&amp;'Funnel setup'!$K$6,".",IF(A2323=".",1,A2323+1))</f>
        <v>.</v>
      </c>
      <c r="B2324" s="244" t="str">
        <f t="shared" si="36"/>
        <v>Knee Replacement PrimaryProviderNUFFIELD HEALTH, BRISTOL HOSPITAL (CHESTERFIELD) (NT206)EQ-5D Index</v>
      </c>
      <c r="C2324" t="s">
        <v>969</v>
      </c>
      <c r="D2324" t="s">
        <v>965</v>
      </c>
      <c r="E2324" t="s">
        <v>374</v>
      </c>
      <c r="F2324" t="s">
        <v>375</v>
      </c>
      <c r="G2324" t="s">
        <v>963</v>
      </c>
      <c r="H2324">
        <v>29</v>
      </c>
      <c r="I2324">
        <v>0.490172</v>
      </c>
      <c r="J2324">
        <v>0.838897</v>
      </c>
      <c r="K2324">
        <v>0.34872399999999998</v>
      </c>
      <c r="L2324">
        <v>24</v>
      </c>
      <c r="M2324">
        <v>2</v>
      </c>
      <c r="N2324">
        <v>3</v>
      </c>
      <c r="O2324" t="s">
        <v>127</v>
      </c>
      <c r="P2324" t="s">
        <v>127</v>
      </c>
      <c r="Q2324" t="s">
        <v>127</v>
      </c>
    </row>
    <row r="2325" spans="1:17" x14ac:dyDescent="0.25">
      <c r="A2325" t="str">
        <f>IF(C2325&amp;G2325&amp;D2325&lt;&gt;'Funnel setup'!$K$3&amp;'Funnel setup'!$K$4&amp;'Funnel setup'!$K$6,".",IF(A2324=".",1,A2324+1))</f>
        <v>.</v>
      </c>
      <c r="B2325" s="244" t="str">
        <f t="shared" si="36"/>
        <v>Knee Replacement PrimaryProviderNUFFIELD HEALTH, CAMBRIDGE HOSPITAL (NT209)EQ-5D Index</v>
      </c>
      <c r="C2325" t="s">
        <v>969</v>
      </c>
      <c r="D2325" t="s">
        <v>965</v>
      </c>
      <c r="E2325" t="s">
        <v>376</v>
      </c>
      <c r="F2325" t="s">
        <v>377</v>
      </c>
      <c r="G2325" t="s">
        <v>963</v>
      </c>
      <c r="H2325">
        <v>32</v>
      </c>
      <c r="I2325">
        <v>0.52775000000000005</v>
      </c>
      <c r="J2325">
        <v>0.75284399999999996</v>
      </c>
      <c r="K2325">
        <v>0.22509399999999999</v>
      </c>
      <c r="L2325">
        <v>25</v>
      </c>
      <c r="M2325">
        <v>4</v>
      </c>
      <c r="N2325">
        <v>3</v>
      </c>
      <c r="O2325">
        <v>0.69175799999999998</v>
      </c>
      <c r="P2325">
        <v>0.26296199999999997</v>
      </c>
      <c r="Q2325">
        <v>0.248448</v>
      </c>
    </row>
    <row r="2326" spans="1:17" x14ac:dyDescent="0.25">
      <c r="A2326" t="str">
        <f>IF(C2326&amp;G2326&amp;D2326&lt;&gt;'Funnel setup'!$K$3&amp;'Funnel setup'!$K$4&amp;'Funnel setup'!$K$6,".",IF(A2325=".",1,A2325+1))</f>
        <v>.</v>
      </c>
      <c r="B2326" s="244" t="str">
        <f t="shared" si="36"/>
        <v>Knee Replacement PrimaryProviderNUFFIELD HEALTH, CHELTENHAM HOSPITAL (NT211)EQ-5D Index</v>
      </c>
      <c r="C2326" t="s">
        <v>969</v>
      </c>
      <c r="D2326" t="s">
        <v>965</v>
      </c>
      <c r="E2326" t="s">
        <v>378</v>
      </c>
      <c r="F2326" t="s">
        <v>379</v>
      </c>
      <c r="G2326" t="s">
        <v>963</v>
      </c>
      <c r="H2326">
        <v>7</v>
      </c>
      <c r="I2326">
        <v>0.446857</v>
      </c>
      <c r="J2326">
        <v>0.743143</v>
      </c>
      <c r="K2326">
        <v>0.29628599999999999</v>
      </c>
      <c r="L2326">
        <v>6</v>
      </c>
      <c r="M2326">
        <v>0</v>
      </c>
      <c r="N2326">
        <v>1</v>
      </c>
      <c r="O2326" t="s">
        <v>127</v>
      </c>
      <c r="P2326" t="s">
        <v>127</v>
      </c>
      <c r="Q2326" t="s">
        <v>127</v>
      </c>
    </row>
    <row r="2327" spans="1:17" x14ac:dyDescent="0.25">
      <c r="A2327" t="str">
        <f>IF(C2327&amp;G2327&amp;D2327&lt;&gt;'Funnel setup'!$K$3&amp;'Funnel setup'!$K$4&amp;'Funnel setup'!$K$6,".",IF(A2326=".",1,A2326+1))</f>
        <v>.</v>
      </c>
      <c r="B2327" s="244" t="str">
        <f t="shared" si="36"/>
        <v>Knee Replacement PrimaryProviderNUFFIELD HEALTH, CHICHESTER HOSPITAL (NT212)EQ-5D Index</v>
      </c>
      <c r="C2327" t="s">
        <v>969</v>
      </c>
      <c r="D2327" t="s">
        <v>965</v>
      </c>
      <c r="E2327" t="s">
        <v>380</v>
      </c>
      <c r="F2327" t="s">
        <v>381</v>
      </c>
      <c r="G2327" t="s">
        <v>963</v>
      </c>
      <c r="H2327">
        <v>18</v>
      </c>
      <c r="I2327">
        <v>0.63383299999999998</v>
      </c>
      <c r="J2327">
        <v>0.84383300000000006</v>
      </c>
      <c r="K2327">
        <v>0.21</v>
      </c>
      <c r="L2327">
        <v>12</v>
      </c>
      <c r="M2327">
        <v>1</v>
      </c>
      <c r="N2327">
        <v>5</v>
      </c>
      <c r="O2327" t="s">
        <v>127</v>
      </c>
      <c r="P2327" t="s">
        <v>127</v>
      </c>
      <c r="Q2327" t="s">
        <v>127</v>
      </c>
    </row>
    <row r="2328" spans="1:17" x14ac:dyDescent="0.25">
      <c r="A2328" t="str">
        <f>IF(C2328&amp;G2328&amp;D2328&lt;&gt;'Funnel setup'!$K$3&amp;'Funnel setup'!$K$4&amp;'Funnel setup'!$K$6,".",IF(A2327=".",1,A2327+1))</f>
        <v>.</v>
      </c>
      <c r="B2328" s="244" t="str">
        <f t="shared" si="36"/>
        <v>Knee Replacement PrimaryProviderNUFFIELD HEALTH, DERBY HOSPITAL (NT213)EQ-5D Index</v>
      </c>
      <c r="C2328" t="s">
        <v>969</v>
      </c>
      <c r="D2328" t="s">
        <v>965</v>
      </c>
      <c r="E2328" t="s">
        <v>382</v>
      </c>
      <c r="F2328" t="s">
        <v>383</v>
      </c>
      <c r="G2328" t="s">
        <v>963</v>
      </c>
      <c r="H2328">
        <v>104</v>
      </c>
      <c r="I2328">
        <v>0.39738499999999999</v>
      </c>
      <c r="J2328">
        <v>0.75881699999999996</v>
      </c>
      <c r="K2328">
        <v>0.361433</v>
      </c>
      <c r="L2328">
        <v>89</v>
      </c>
      <c r="M2328">
        <v>7</v>
      </c>
      <c r="N2328">
        <v>8</v>
      </c>
      <c r="O2328">
        <v>0.76415299999999997</v>
      </c>
      <c r="P2328">
        <v>0.33535700000000002</v>
      </c>
      <c r="Q2328">
        <v>0.225301</v>
      </c>
    </row>
    <row r="2329" spans="1:17" x14ac:dyDescent="0.25">
      <c r="A2329" t="str">
        <f>IF(C2329&amp;G2329&amp;D2329&lt;&gt;'Funnel setup'!$K$3&amp;'Funnel setup'!$K$4&amp;'Funnel setup'!$K$6,".",IF(A2328=".",1,A2328+1))</f>
        <v>.</v>
      </c>
      <c r="B2329" s="244" t="str">
        <f t="shared" si="36"/>
        <v>Knee Replacement PrimaryProviderNUFFIELD HEALTH, EXETER HOSPITAL (NT215)EQ-5D Index</v>
      </c>
      <c r="C2329" t="s">
        <v>969</v>
      </c>
      <c r="D2329" t="s">
        <v>965</v>
      </c>
      <c r="E2329" t="s">
        <v>384</v>
      </c>
      <c r="F2329" t="s">
        <v>385</v>
      </c>
      <c r="G2329" t="s">
        <v>963</v>
      </c>
      <c r="H2329">
        <v>1</v>
      </c>
      <c r="I2329">
        <v>0.58699999999999997</v>
      </c>
      <c r="J2329">
        <v>1</v>
      </c>
      <c r="K2329">
        <v>0.41299999999999998</v>
      </c>
      <c r="L2329">
        <v>1</v>
      </c>
      <c r="M2329">
        <v>0</v>
      </c>
      <c r="N2329">
        <v>0</v>
      </c>
      <c r="O2329" t="s">
        <v>127</v>
      </c>
      <c r="P2329" t="s">
        <v>127</v>
      </c>
      <c r="Q2329" t="s">
        <v>127</v>
      </c>
    </row>
    <row r="2330" spans="1:17" x14ac:dyDescent="0.25">
      <c r="A2330" t="str">
        <f>IF(C2330&amp;G2330&amp;D2330&lt;&gt;'Funnel setup'!$K$3&amp;'Funnel setup'!$K$4&amp;'Funnel setup'!$K$6,".",IF(A2329=".",1,A2329+1))</f>
        <v>.</v>
      </c>
      <c r="B2330" s="244" t="str">
        <f t="shared" si="36"/>
        <v>Knee Replacement PrimaryProviderNUFFIELD HEALTH, HAYWARDS HEATH HOSPITAL (NT218)EQ-5D Index</v>
      </c>
      <c r="C2330" t="s">
        <v>969</v>
      </c>
      <c r="D2330" t="s">
        <v>965</v>
      </c>
      <c r="E2330" t="s">
        <v>386</v>
      </c>
      <c r="F2330" t="s">
        <v>387</v>
      </c>
      <c r="G2330" t="s">
        <v>963</v>
      </c>
      <c r="H2330">
        <v>15</v>
      </c>
      <c r="I2330">
        <v>0.54559999999999997</v>
      </c>
      <c r="J2330">
        <v>0.84553299999999998</v>
      </c>
      <c r="K2330">
        <v>0.29993300000000001</v>
      </c>
      <c r="L2330">
        <v>11</v>
      </c>
      <c r="M2330">
        <v>1</v>
      </c>
      <c r="N2330">
        <v>3</v>
      </c>
      <c r="O2330" t="s">
        <v>127</v>
      </c>
      <c r="P2330" t="s">
        <v>127</v>
      </c>
      <c r="Q2330" t="s">
        <v>127</v>
      </c>
    </row>
    <row r="2331" spans="1:17" x14ac:dyDescent="0.25">
      <c r="A2331" t="str">
        <f>IF(C2331&amp;G2331&amp;D2331&lt;&gt;'Funnel setup'!$K$3&amp;'Funnel setup'!$K$4&amp;'Funnel setup'!$K$6,".",IF(A2330=".",1,A2330+1))</f>
        <v>.</v>
      </c>
      <c r="B2331" s="244" t="str">
        <f t="shared" si="36"/>
        <v>Knee Replacement PrimaryProviderNUFFIELD HEALTH, HEREFORD HOSPITAL (NT219)EQ-5D Index</v>
      </c>
      <c r="C2331" t="s">
        <v>969</v>
      </c>
      <c r="D2331" t="s">
        <v>965</v>
      </c>
      <c r="E2331" t="s">
        <v>388</v>
      </c>
      <c r="F2331" t="s">
        <v>389</v>
      </c>
      <c r="G2331" t="s">
        <v>963</v>
      </c>
      <c r="H2331">
        <v>9</v>
      </c>
      <c r="I2331">
        <v>0.47699999999999998</v>
      </c>
      <c r="J2331">
        <v>0.78955600000000004</v>
      </c>
      <c r="K2331">
        <v>0.312556</v>
      </c>
      <c r="L2331">
        <v>9</v>
      </c>
      <c r="M2331">
        <v>0</v>
      </c>
      <c r="N2331">
        <v>0</v>
      </c>
      <c r="O2331" t="s">
        <v>127</v>
      </c>
      <c r="P2331" t="s">
        <v>127</v>
      </c>
      <c r="Q2331" t="s">
        <v>127</v>
      </c>
    </row>
    <row r="2332" spans="1:17" x14ac:dyDescent="0.25">
      <c r="A2332" t="str">
        <f>IF(C2332&amp;G2332&amp;D2332&lt;&gt;'Funnel setup'!$K$3&amp;'Funnel setup'!$K$4&amp;'Funnel setup'!$K$6,".",IF(A2331=".",1,A2331+1))</f>
        <v>.</v>
      </c>
      <c r="B2332" s="244" t="str">
        <f t="shared" si="36"/>
        <v>Knee Replacement PrimaryProviderNUFFIELD HEALTH, IPSWICH HOSPITAL (NT222)EQ-5D Index</v>
      </c>
      <c r="C2332" t="s">
        <v>969</v>
      </c>
      <c r="D2332" t="s">
        <v>965</v>
      </c>
      <c r="E2332" t="s">
        <v>390</v>
      </c>
      <c r="F2332" t="s">
        <v>391</v>
      </c>
      <c r="G2332" t="s">
        <v>963</v>
      </c>
      <c r="H2332">
        <v>5</v>
      </c>
      <c r="I2332">
        <v>0.47960000000000003</v>
      </c>
      <c r="J2332">
        <v>0.75639999999999996</v>
      </c>
      <c r="K2332">
        <v>0.27679999999999999</v>
      </c>
      <c r="L2332">
        <v>5</v>
      </c>
      <c r="M2332">
        <v>0</v>
      </c>
      <c r="N2332">
        <v>0</v>
      </c>
      <c r="O2332" t="s">
        <v>127</v>
      </c>
      <c r="P2332" t="s">
        <v>127</v>
      </c>
      <c r="Q2332" t="s">
        <v>127</v>
      </c>
    </row>
    <row r="2333" spans="1:17" x14ac:dyDescent="0.25">
      <c r="A2333" t="str">
        <f>IF(C2333&amp;G2333&amp;D2333&lt;&gt;'Funnel setup'!$K$3&amp;'Funnel setup'!$K$4&amp;'Funnel setup'!$K$6,".",IF(A2332=".",1,A2332+1))</f>
        <v>.</v>
      </c>
      <c r="B2333" s="244" t="str">
        <f t="shared" si="36"/>
        <v>Knee Replacement PrimaryProviderNUFFIELD HEALTH, LEEDS HOSPITAL (NT225)EQ-5D Index</v>
      </c>
      <c r="C2333" t="s">
        <v>969</v>
      </c>
      <c r="D2333" t="s">
        <v>965</v>
      </c>
      <c r="E2333" t="s">
        <v>392</v>
      </c>
      <c r="F2333" t="s">
        <v>393</v>
      </c>
      <c r="G2333" t="s">
        <v>963</v>
      </c>
      <c r="H2333">
        <v>133</v>
      </c>
      <c r="I2333">
        <v>0.454737</v>
      </c>
      <c r="J2333">
        <v>0.79088700000000001</v>
      </c>
      <c r="K2333">
        <v>0.33615</v>
      </c>
      <c r="L2333">
        <v>107</v>
      </c>
      <c r="M2333">
        <v>18</v>
      </c>
      <c r="N2333">
        <v>8</v>
      </c>
      <c r="O2333">
        <v>0.76970400000000005</v>
      </c>
      <c r="P2333">
        <v>0.34090799999999999</v>
      </c>
      <c r="Q2333">
        <v>0.19047500000000001</v>
      </c>
    </row>
    <row r="2334" spans="1:17" x14ac:dyDescent="0.25">
      <c r="A2334" t="str">
        <f>IF(C2334&amp;G2334&amp;D2334&lt;&gt;'Funnel setup'!$K$3&amp;'Funnel setup'!$K$4&amp;'Funnel setup'!$K$6,".",IF(A2333=".",1,A2333+1))</f>
        <v>.</v>
      </c>
      <c r="B2334" s="244" t="str">
        <f t="shared" si="36"/>
        <v>Knee Replacement PrimaryProviderNUFFIELD HEALTH, LEICESTER HOSPITAL (NT226)EQ-5D Index</v>
      </c>
      <c r="C2334" t="s">
        <v>969</v>
      </c>
      <c r="D2334" t="s">
        <v>965</v>
      </c>
      <c r="E2334" t="s">
        <v>394</v>
      </c>
      <c r="F2334" t="s">
        <v>395</v>
      </c>
      <c r="G2334" t="s">
        <v>963</v>
      </c>
      <c r="H2334">
        <v>25</v>
      </c>
      <c r="I2334">
        <v>0.50375999999999999</v>
      </c>
      <c r="J2334">
        <v>0.76</v>
      </c>
      <c r="K2334">
        <v>0.25624000000000002</v>
      </c>
      <c r="L2334">
        <v>20</v>
      </c>
      <c r="M2334">
        <v>2</v>
      </c>
      <c r="N2334">
        <v>3</v>
      </c>
      <c r="O2334" t="s">
        <v>127</v>
      </c>
      <c r="P2334" t="s">
        <v>127</v>
      </c>
      <c r="Q2334" t="s">
        <v>127</v>
      </c>
    </row>
    <row r="2335" spans="1:17" x14ac:dyDescent="0.25">
      <c r="A2335" t="str">
        <f>IF(C2335&amp;G2335&amp;D2335&lt;&gt;'Funnel setup'!$K$3&amp;'Funnel setup'!$K$4&amp;'Funnel setup'!$K$6,".",IF(A2334=".",1,A2334+1))</f>
        <v>.</v>
      </c>
      <c r="B2335" s="244" t="str">
        <f t="shared" si="36"/>
        <v>Knee Replacement PrimaryProviderNUFFIELD HEALTH, NEWCASTLE UPON TYNE HOSPITAL (NT229)EQ-5D Index</v>
      </c>
      <c r="C2335" t="s">
        <v>969</v>
      </c>
      <c r="D2335" t="s">
        <v>965</v>
      </c>
      <c r="E2335" t="s">
        <v>396</v>
      </c>
      <c r="F2335" t="s">
        <v>397</v>
      </c>
      <c r="G2335" t="s">
        <v>963</v>
      </c>
      <c r="H2335">
        <v>27</v>
      </c>
      <c r="I2335">
        <v>0.51559299999999997</v>
      </c>
      <c r="J2335">
        <v>0.76566699999999999</v>
      </c>
      <c r="K2335">
        <v>0.25007400000000002</v>
      </c>
      <c r="L2335">
        <v>22</v>
      </c>
      <c r="M2335">
        <v>4</v>
      </c>
      <c r="N2335">
        <v>1</v>
      </c>
      <c r="O2335" t="s">
        <v>127</v>
      </c>
      <c r="P2335" t="s">
        <v>127</v>
      </c>
      <c r="Q2335" t="s">
        <v>127</v>
      </c>
    </row>
    <row r="2336" spans="1:17" x14ac:dyDescent="0.25">
      <c r="A2336" t="str">
        <f>IF(C2336&amp;G2336&amp;D2336&lt;&gt;'Funnel setup'!$K$3&amp;'Funnel setup'!$K$4&amp;'Funnel setup'!$K$6,".",IF(A2335=".",1,A2335+1))</f>
        <v>.</v>
      </c>
      <c r="B2336" s="244" t="str">
        <f t="shared" si="36"/>
        <v>Knee Replacement PrimaryProviderNUFFIELD HEALTH, NORTH STAFFORDSHIRE HOSPITAL (NT230)EQ-5D Index</v>
      </c>
      <c r="C2336" t="s">
        <v>969</v>
      </c>
      <c r="D2336" t="s">
        <v>965</v>
      </c>
      <c r="E2336" t="s">
        <v>398</v>
      </c>
      <c r="F2336" t="s">
        <v>399</v>
      </c>
      <c r="G2336" t="s">
        <v>963</v>
      </c>
      <c r="H2336">
        <v>42</v>
      </c>
      <c r="I2336">
        <v>0.39783299999999999</v>
      </c>
      <c r="J2336">
        <v>0.76919000000000004</v>
      </c>
      <c r="K2336">
        <v>0.37135699999999999</v>
      </c>
      <c r="L2336">
        <v>34</v>
      </c>
      <c r="M2336">
        <v>4</v>
      </c>
      <c r="N2336">
        <v>4</v>
      </c>
      <c r="O2336">
        <v>0.78827199999999997</v>
      </c>
      <c r="P2336">
        <v>0.35947600000000002</v>
      </c>
      <c r="Q2336">
        <v>0.18649199999999999</v>
      </c>
    </row>
    <row r="2337" spans="1:17" x14ac:dyDescent="0.25">
      <c r="A2337" t="str">
        <f>IF(C2337&amp;G2337&amp;D2337&lt;&gt;'Funnel setup'!$K$3&amp;'Funnel setup'!$K$4&amp;'Funnel setup'!$K$6,".",IF(A2336=".",1,A2336+1))</f>
        <v>.</v>
      </c>
      <c r="B2337" s="244" t="str">
        <f t="shared" si="36"/>
        <v>Knee Replacement PrimaryProviderNUFFIELD HEALTH, PLYMOUTH HOSPITAL (NT233)EQ-5D Index</v>
      </c>
      <c r="C2337" t="s">
        <v>969</v>
      </c>
      <c r="D2337" t="s">
        <v>965</v>
      </c>
      <c r="E2337" t="s">
        <v>400</v>
      </c>
      <c r="F2337" t="s">
        <v>401</v>
      </c>
      <c r="G2337" t="s">
        <v>963</v>
      </c>
      <c r="H2337">
        <v>44</v>
      </c>
      <c r="I2337">
        <v>0.41870499999999999</v>
      </c>
      <c r="J2337">
        <v>0.80838600000000005</v>
      </c>
      <c r="K2337">
        <v>0.38968199999999997</v>
      </c>
      <c r="L2337">
        <v>40</v>
      </c>
      <c r="M2337">
        <v>2</v>
      </c>
      <c r="N2337">
        <v>2</v>
      </c>
      <c r="O2337">
        <v>0.81783499999999998</v>
      </c>
      <c r="P2337">
        <v>0.38903900000000002</v>
      </c>
      <c r="Q2337">
        <v>0.183643</v>
      </c>
    </row>
    <row r="2338" spans="1:17" x14ac:dyDescent="0.25">
      <c r="A2338" t="str">
        <f>IF(C2338&amp;G2338&amp;D2338&lt;&gt;'Funnel setup'!$K$3&amp;'Funnel setup'!$K$4&amp;'Funnel setup'!$K$6,".",IF(A2337=".",1,A2337+1))</f>
        <v>.</v>
      </c>
      <c r="B2338" s="244" t="str">
        <f t="shared" si="36"/>
        <v>Knee Replacement PrimaryProviderNUFFIELD HEALTH, SHREWSBURY HOSPITAL (NT235)EQ-5D Index</v>
      </c>
      <c r="C2338" t="s">
        <v>969</v>
      </c>
      <c r="D2338" t="s">
        <v>965</v>
      </c>
      <c r="E2338" t="s">
        <v>402</v>
      </c>
      <c r="F2338" t="s">
        <v>403</v>
      </c>
      <c r="G2338" t="s">
        <v>963</v>
      </c>
      <c r="H2338">
        <v>2</v>
      </c>
      <c r="I2338">
        <v>0.30199999999999999</v>
      </c>
      <c r="J2338">
        <v>0.26800000000000002</v>
      </c>
      <c r="K2338">
        <v>-3.4000000000000002E-2</v>
      </c>
      <c r="L2338">
        <v>0</v>
      </c>
      <c r="M2338">
        <v>1</v>
      </c>
      <c r="N2338">
        <v>1</v>
      </c>
      <c r="O2338" t="s">
        <v>127</v>
      </c>
      <c r="P2338" t="s">
        <v>127</v>
      </c>
      <c r="Q2338" t="s">
        <v>127</v>
      </c>
    </row>
    <row r="2339" spans="1:17" x14ac:dyDescent="0.25">
      <c r="A2339" t="str">
        <f>IF(C2339&amp;G2339&amp;D2339&lt;&gt;'Funnel setup'!$K$3&amp;'Funnel setup'!$K$4&amp;'Funnel setup'!$K$6,".",IF(A2338=".",1,A2338+1))</f>
        <v>.</v>
      </c>
      <c r="B2339" s="244" t="str">
        <f t="shared" si="36"/>
        <v>Knee Replacement PrimaryProviderNUFFIELD HEALTH, TAUNTON HOSPITAL (NT238)EQ-5D Index</v>
      </c>
      <c r="C2339" t="s">
        <v>969</v>
      </c>
      <c r="D2339" t="s">
        <v>965</v>
      </c>
      <c r="E2339" t="s">
        <v>404</v>
      </c>
      <c r="F2339" t="s">
        <v>405</v>
      </c>
      <c r="G2339" t="s">
        <v>963</v>
      </c>
      <c r="H2339">
        <v>23</v>
      </c>
      <c r="I2339">
        <v>0.45534799999999997</v>
      </c>
      <c r="J2339">
        <v>0.81699999999999995</v>
      </c>
      <c r="K2339">
        <v>0.36165199999999997</v>
      </c>
      <c r="L2339">
        <v>22</v>
      </c>
      <c r="M2339">
        <v>0</v>
      </c>
      <c r="N2339">
        <v>1</v>
      </c>
      <c r="O2339" t="s">
        <v>127</v>
      </c>
      <c r="P2339" t="s">
        <v>127</v>
      </c>
      <c r="Q2339" t="s">
        <v>127</v>
      </c>
    </row>
    <row r="2340" spans="1:17" x14ac:dyDescent="0.25">
      <c r="A2340" t="str">
        <f>IF(C2340&amp;G2340&amp;D2340&lt;&gt;'Funnel setup'!$K$3&amp;'Funnel setup'!$K$4&amp;'Funnel setup'!$K$6,".",IF(A2339=".",1,A2339+1))</f>
        <v>.</v>
      </c>
      <c r="B2340" s="244" t="str">
        <f t="shared" si="36"/>
        <v>Knee Replacement PrimaryProviderNUFFIELD HEALTH, TEES HOSPITAL (NT237)EQ-5D Index</v>
      </c>
      <c r="C2340" t="s">
        <v>969</v>
      </c>
      <c r="D2340" t="s">
        <v>965</v>
      </c>
      <c r="E2340" t="s">
        <v>406</v>
      </c>
      <c r="F2340" t="s">
        <v>407</v>
      </c>
      <c r="G2340" t="s">
        <v>963</v>
      </c>
      <c r="H2340">
        <v>217</v>
      </c>
      <c r="I2340">
        <v>0.454567</v>
      </c>
      <c r="J2340">
        <v>0.78447</v>
      </c>
      <c r="K2340">
        <v>0.329903</v>
      </c>
      <c r="L2340">
        <v>192</v>
      </c>
      <c r="M2340">
        <v>6</v>
      </c>
      <c r="N2340">
        <v>19</v>
      </c>
      <c r="O2340">
        <v>0.779694</v>
      </c>
      <c r="P2340">
        <v>0.35089799999999999</v>
      </c>
      <c r="Q2340">
        <v>0.23245399999999999</v>
      </c>
    </row>
    <row r="2341" spans="1:17" x14ac:dyDescent="0.25">
      <c r="A2341" t="str">
        <f>IF(C2341&amp;G2341&amp;D2341&lt;&gt;'Funnel setup'!$K$3&amp;'Funnel setup'!$K$4&amp;'Funnel setup'!$K$6,".",IF(A2340=".",1,A2340+1))</f>
        <v>.</v>
      </c>
      <c r="B2341" s="244" t="str">
        <f t="shared" si="36"/>
        <v>Knee Replacement PrimaryProviderNUFFIELD HEALTH, THE GROSVENOR HOSPITAL, CHESTER (NT210)EQ-5D Index</v>
      </c>
      <c r="C2341" t="s">
        <v>969</v>
      </c>
      <c r="D2341" t="s">
        <v>965</v>
      </c>
      <c r="E2341" t="s">
        <v>408</v>
      </c>
      <c r="F2341" t="s">
        <v>409</v>
      </c>
      <c r="G2341" t="s">
        <v>963</v>
      </c>
      <c r="H2341">
        <v>13</v>
      </c>
      <c r="I2341">
        <v>0.492923</v>
      </c>
      <c r="J2341">
        <v>0.78061499999999995</v>
      </c>
      <c r="K2341">
        <v>0.287692</v>
      </c>
      <c r="L2341">
        <v>12</v>
      </c>
      <c r="M2341">
        <v>1</v>
      </c>
      <c r="N2341">
        <v>0</v>
      </c>
      <c r="O2341" t="s">
        <v>127</v>
      </c>
      <c r="P2341" t="s">
        <v>127</v>
      </c>
      <c r="Q2341" t="s">
        <v>127</v>
      </c>
    </row>
    <row r="2342" spans="1:17" x14ac:dyDescent="0.25">
      <c r="A2342" t="str">
        <f>IF(C2342&amp;G2342&amp;D2342&lt;&gt;'Funnel setup'!$K$3&amp;'Funnel setup'!$K$4&amp;'Funnel setup'!$K$6,".",IF(A2341=".",1,A2341+1))</f>
        <v>.</v>
      </c>
      <c r="B2342" s="244" t="str">
        <f t="shared" si="36"/>
        <v>Knee Replacement PrimaryProviderNUFFIELD HEALTH, TUNBRIDGE WELLS HOSPITAL (NT239)EQ-5D Index</v>
      </c>
      <c r="C2342" t="s">
        <v>969</v>
      </c>
      <c r="D2342" t="s">
        <v>965</v>
      </c>
      <c r="E2342" t="s">
        <v>410</v>
      </c>
      <c r="F2342" t="s">
        <v>411</v>
      </c>
      <c r="G2342" t="s">
        <v>963</v>
      </c>
      <c r="H2342">
        <v>6</v>
      </c>
      <c r="I2342">
        <v>0.64933300000000005</v>
      </c>
      <c r="J2342">
        <v>0.93683300000000003</v>
      </c>
      <c r="K2342">
        <v>0.28749999999999998</v>
      </c>
      <c r="L2342">
        <v>6</v>
      </c>
      <c r="M2342">
        <v>0</v>
      </c>
      <c r="N2342">
        <v>0</v>
      </c>
      <c r="O2342" t="s">
        <v>127</v>
      </c>
      <c r="P2342" t="s">
        <v>127</v>
      </c>
      <c r="Q2342" t="s">
        <v>127</v>
      </c>
    </row>
    <row r="2343" spans="1:17" x14ac:dyDescent="0.25">
      <c r="A2343" t="str">
        <f>IF(C2343&amp;G2343&amp;D2343&lt;&gt;'Funnel setup'!$K$3&amp;'Funnel setup'!$K$4&amp;'Funnel setup'!$K$6,".",IF(A2342=".",1,A2342+1))</f>
        <v>.</v>
      </c>
      <c r="B2343" s="244" t="str">
        <f t="shared" si="36"/>
        <v>Knee Replacement PrimaryProviderNUFFIELD HEALTH, WARWICKSHIRE HOSPITAL (NT224)EQ-5D Index</v>
      </c>
      <c r="C2343" t="s">
        <v>969</v>
      </c>
      <c r="D2343" t="s">
        <v>965</v>
      </c>
      <c r="E2343" t="s">
        <v>412</v>
      </c>
      <c r="F2343" t="s">
        <v>413</v>
      </c>
      <c r="G2343" t="s">
        <v>963</v>
      </c>
      <c r="H2343">
        <v>13</v>
      </c>
      <c r="I2343">
        <v>0.45630799999999999</v>
      </c>
      <c r="J2343">
        <v>0.74153800000000003</v>
      </c>
      <c r="K2343">
        <v>0.28523100000000001</v>
      </c>
      <c r="L2343">
        <v>9</v>
      </c>
      <c r="M2343">
        <v>3</v>
      </c>
      <c r="N2343">
        <v>1</v>
      </c>
      <c r="O2343" t="s">
        <v>127</v>
      </c>
      <c r="P2343" t="s">
        <v>127</v>
      </c>
      <c r="Q2343" t="s">
        <v>127</v>
      </c>
    </row>
    <row r="2344" spans="1:17" x14ac:dyDescent="0.25">
      <c r="A2344" t="str">
        <f>IF(C2344&amp;G2344&amp;D2344&lt;&gt;'Funnel setup'!$K$3&amp;'Funnel setup'!$K$4&amp;'Funnel setup'!$K$6,".",IF(A2343=".",1,A2343+1))</f>
        <v>.</v>
      </c>
      <c r="B2344" s="244" t="str">
        <f t="shared" si="36"/>
        <v>Knee Replacement PrimaryProviderNUFFIELD HEALTH, WESSEX HOSPITAL (NT214)EQ-5D Index</v>
      </c>
      <c r="C2344" t="s">
        <v>969</v>
      </c>
      <c r="D2344" t="s">
        <v>965</v>
      </c>
      <c r="E2344" t="s">
        <v>414</v>
      </c>
      <c r="F2344" t="s">
        <v>415</v>
      </c>
      <c r="G2344" t="s">
        <v>963</v>
      </c>
      <c r="H2344">
        <v>29</v>
      </c>
      <c r="I2344">
        <v>0.52662100000000001</v>
      </c>
      <c r="J2344">
        <v>0.74241400000000002</v>
      </c>
      <c r="K2344">
        <v>0.21579300000000001</v>
      </c>
      <c r="L2344">
        <v>19</v>
      </c>
      <c r="M2344">
        <v>5</v>
      </c>
      <c r="N2344">
        <v>5</v>
      </c>
      <c r="O2344" t="s">
        <v>127</v>
      </c>
      <c r="P2344" t="s">
        <v>127</v>
      </c>
      <c r="Q2344" t="s">
        <v>127</v>
      </c>
    </row>
    <row r="2345" spans="1:17" x14ac:dyDescent="0.25">
      <c r="A2345" t="str">
        <f>IF(C2345&amp;G2345&amp;D2345&lt;&gt;'Funnel setup'!$K$3&amp;'Funnel setup'!$K$4&amp;'Funnel setup'!$K$6,".",IF(A2344=".",1,A2344+1))</f>
        <v>.</v>
      </c>
      <c r="B2345" s="244" t="str">
        <f t="shared" si="36"/>
        <v>Knee Replacement PrimaryProviderNUFFIELD HEALTH, WOLVERHAMPTON HOSPITAL (NT242)EQ-5D Index</v>
      </c>
      <c r="C2345" t="s">
        <v>969</v>
      </c>
      <c r="D2345" t="s">
        <v>965</v>
      </c>
      <c r="E2345" t="s">
        <v>418</v>
      </c>
      <c r="F2345" t="s">
        <v>419</v>
      </c>
      <c r="G2345" t="s">
        <v>963</v>
      </c>
      <c r="H2345">
        <v>15</v>
      </c>
      <c r="I2345">
        <v>0.397067</v>
      </c>
      <c r="J2345">
        <v>0.67213299999999998</v>
      </c>
      <c r="K2345">
        <v>0.27506700000000001</v>
      </c>
      <c r="L2345">
        <v>11</v>
      </c>
      <c r="M2345">
        <v>2</v>
      </c>
      <c r="N2345">
        <v>2</v>
      </c>
      <c r="O2345" t="s">
        <v>127</v>
      </c>
      <c r="P2345" t="s">
        <v>127</v>
      </c>
      <c r="Q2345" t="s">
        <v>127</v>
      </c>
    </row>
    <row r="2346" spans="1:17" x14ac:dyDescent="0.25">
      <c r="A2346" t="str">
        <f>IF(C2346&amp;G2346&amp;D2346&lt;&gt;'Funnel setup'!$K$3&amp;'Funnel setup'!$K$4&amp;'Funnel setup'!$K$6,".",IF(A2345=".",1,A2345+1))</f>
        <v>.</v>
      </c>
      <c r="B2346" s="244" t="str">
        <f t="shared" si="36"/>
        <v>Knee Replacement PrimaryProviderNUFFIELD HEALTH, YORK HOSPITAL (NT245)EQ-5D Index</v>
      </c>
      <c r="C2346" t="s">
        <v>969</v>
      </c>
      <c r="D2346" t="s">
        <v>965</v>
      </c>
      <c r="E2346" t="s">
        <v>420</v>
      </c>
      <c r="F2346" t="s">
        <v>421</v>
      </c>
      <c r="G2346" t="s">
        <v>963</v>
      </c>
      <c r="H2346">
        <v>56</v>
      </c>
      <c r="I2346">
        <v>0.51308900000000002</v>
      </c>
      <c r="J2346">
        <v>0.77655399999999997</v>
      </c>
      <c r="K2346">
        <v>0.26346399999999998</v>
      </c>
      <c r="L2346">
        <v>46</v>
      </c>
      <c r="M2346">
        <v>4</v>
      </c>
      <c r="N2346">
        <v>6</v>
      </c>
      <c r="O2346">
        <v>0.75228600000000001</v>
      </c>
      <c r="P2346">
        <v>0.32349</v>
      </c>
      <c r="Q2346">
        <v>0.18800800000000001</v>
      </c>
    </row>
    <row r="2347" spans="1:17" x14ac:dyDescent="0.25">
      <c r="A2347" t="str">
        <f>IF(C2347&amp;G2347&amp;D2347&lt;&gt;'Funnel setup'!$K$3&amp;'Funnel setup'!$K$4&amp;'Funnel setup'!$K$6,".",IF(A2346=".",1,A2346+1))</f>
        <v>.</v>
      </c>
      <c r="B2347" s="244" t="str">
        <f t="shared" si="36"/>
        <v>Knee Replacement PrimaryProviderOAKLANDS HOSPITAL (NVC12)EQ-5D Index</v>
      </c>
      <c r="C2347" t="s">
        <v>969</v>
      </c>
      <c r="D2347" t="s">
        <v>965</v>
      </c>
      <c r="E2347" t="s">
        <v>424</v>
      </c>
      <c r="F2347" t="s">
        <v>425</v>
      </c>
      <c r="G2347" t="s">
        <v>963</v>
      </c>
      <c r="H2347">
        <v>77</v>
      </c>
      <c r="I2347">
        <v>0.35394799999999998</v>
      </c>
      <c r="J2347">
        <v>0.71116900000000005</v>
      </c>
      <c r="K2347">
        <v>0.35722100000000001</v>
      </c>
      <c r="L2347">
        <v>57</v>
      </c>
      <c r="M2347">
        <v>8</v>
      </c>
      <c r="N2347">
        <v>12</v>
      </c>
      <c r="O2347">
        <v>0.75379700000000005</v>
      </c>
      <c r="P2347">
        <v>0.32500099999999998</v>
      </c>
      <c r="Q2347">
        <v>0.25322499999999998</v>
      </c>
    </row>
    <row r="2348" spans="1:17" x14ac:dyDescent="0.25">
      <c r="A2348" t="str">
        <f>IF(C2348&amp;G2348&amp;D2348&lt;&gt;'Funnel setup'!$K$3&amp;'Funnel setup'!$K$4&amp;'Funnel setup'!$K$6,".",IF(A2347=".",1,A2347+1))</f>
        <v>.</v>
      </c>
      <c r="B2348" s="244" t="str">
        <f t="shared" si="36"/>
        <v>Knee Replacement PrimaryProviderOAKS HOSPITAL (NVC13)EQ-5D Index</v>
      </c>
      <c r="C2348" t="s">
        <v>969</v>
      </c>
      <c r="D2348" t="s">
        <v>965</v>
      </c>
      <c r="E2348" t="s">
        <v>426</v>
      </c>
      <c r="F2348" t="s">
        <v>427</v>
      </c>
      <c r="G2348" t="s">
        <v>963</v>
      </c>
      <c r="H2348">
        <v>4</v>
      </c>
      <c r="I2348">
        <v>0.53149999999999997</v>
      </c>
      <c r="J2348">
        <v>0.96199999999999997</v>
      </c>
      <c r="K2348">
        <v>0.43049999999999999</v>
      </c>
      <c r="L2348">
        <v>4</v>
      </c>
      <c r="M2348">
        <v>0</v>
      </c>
      <c r="N2348">
        <v>0</v>
      </c>
      <c r="O2348" t="s">
        <v>127</v>
      </c>
      <c r="P2348" t="s">
        <v>127</v>
      </c>
      <c r="Q2348" t="s">
        <v>127</v>
      </c>
    </row>
    <row r="2349" spans="1:17" x14ac:dyDescent="0.25">
      <c r="A2349" t="str">
        <f>IF(C2349&amp;G2349&amp;D2349&lt;&gt;'Funnel setup'!$K$3&amp;'Funnel setup'!$K$4&amp;'Funnel setup'!$K$6,".",IF(A2348=".",1,A2348+1))</f>
        <v>.</v>
      </c>
      <c r="B2349" s="244" t="str">
        <f t="shared" si="36"/>
        <v>Knee Replacement PrimaryProviderONE HEALTHCARE (AVQ)EQ-5D Index</v>
      </c>
      <c r="C2349" t="s">
        <v>969</v>
      </c>
      <c r="D2349" t="s">
        <v>965</v>
      </c>
      <c r="E2349" t="s">
        <v>434</v>
      </c>
      <c r="F2349" t="s">
        <v>435</v>
      </c>
      <c r="G2349" t="s">
        <v>963</v>
      </c>
      <c r="H2349">
        <v>61</v>
      </c>
      <c r="I2349">
        <v>0.44601600000000002</v>
      </c>
      <c r="J2349">
        <v>0.79560699999999995</v>
      </c>
      <c r="K2349">
        <v>0.34959000000000001</v>
      </c>
      <c r="L2349">
        <v>54</v>
      </c>
      <c r="M2349">
        <v>5</v>
      </c>
      <c r="N2349">
        <v>2</v>
      </c>
      <c r="O2349">
        <v>0.766123</v>
      </c>
      <c r="P2349">
        <v>0.33732699999999999</v>
      </c>
      <c r="Q2349">
        <v>0.171519</v>
      </c>
    </row>
    <row r="2350" spans="1:17" x14ac:dyDescent="0.25">
      <c r="A2350" t="str">
        <f>IF(C2350&amp;G2350&amp;D2350&lt;&gt;'Funnel setup'!$K$3&amp;'Funnel setup'!$K$4&amp;'Funnel setup'!$K$6,".",IF(A2349=".",1,A2349+1))</f>
        <v>.</v>
      </c>
      <c r="B2350" s="244" t="str">
        <f t="shared" si="36"/>
        <v>Knee Replacement PrimaryProviderORTHOPAEDICS &amp; SPINE SPECIALIST HOSPITAL SITE (NQM01)EQ-5D Index</v>
      </c>
      <c r="C2350" t="s">
        <v>969</v>
      </c>
      <c r="D2350" t="s">
        <v>965</v>
      </c>
      <c r="E2350" t="s">
        <v>436</v>
      </c>
      <c r="F2350" t="s">
        <v>437</v>
      </c>
      <c r="G2350" t="s">
        <v>963</v>
      </c>
      <c r="H2350">
        <v>6</v>
      </c>
      <c r="I2350">
        <v>0.17</v>
      </c>
      <c r="J2350">
        <v>0.47499999999999998</v>
      </c>
      <c r="K2350">
        <v>0.30499999999999999</v>
      </c>
      <c r="L2350">
        <v>5</v>
      </c>
      <c r="M2350">
        <v>0</v>
      </c>
      <c r="N2350">
        <v>1</v>
      </c>
      <c r="O2350" t="s">
        <v>127</v>
      </c>
      <c r="P2350" t="s">
        <v>127</v>
      </c>
      <c r="Q2350" t="s">
        <v>127</v>
      </c>
    </row>
    <row r="2351" spans="1:17" x14ac:dyDescent="0.25">
      <c r="A2351" t="str">
        <f>IF(C2351&amp;G2351&amp;D2351&lt;&gt;'Funnel setup'!$K$3&amp;'Funnel setup'!$K$4&amp;'Funnel setup'!$K$6,".",IF(A2350=".",1,A2350+1))</f>
        <v>.</v>
      </c>
      <c r="B2351" s="244" t="str">
        <f t="shared" si="36"/>
        <v>Knee Replacement PrimaryProviderOXFORD UNIVERSITY HOSPITALS NHS FOUNDATION TRUST (RTH)EQ-5D Index</v>
      </c>
      <c r="C2351" t="s">
        <v>969</v>
      </c>
      <c r="D2351" t="s">
        <v>965</v>
      </c>
      <c r="E2351" t="s">
        <v>438</v>
      </c>
      <c r="F2351" t="s">
        <v>439</v>
      </c>
      <c r="G2351" t="s">
        <v>963</v>
      </c>
      <c r="H2351">
        <v>229</v>
      </c>
      <c r="I2351">
        <v>0.42772900000000003</v>
      </c>
      <c r="J2351">
        <v>0.77341899999999997</v>
      </c>
      <c r="K2351">
        <v>0.34569</v>
      </c>
      <c r="L2351">
        <v>198</v>
      </c>
      <c r="M2351">
        <v>16</v>
      </c>
      <c r="N2351">
        <v>15</v>
      </c>
      <c r="O2351">
        <v>0.76320600000000005</v>
      </c>
      <c r="P2351">
        <v>0.33441100000000001</v>
      </c>
      <c r="Q2351">
        <v>0.20733399999999999</v>
      </c>
    </row>
    <row r="2352" spans="1:17" x14ac:dyDescent="0.25">
      <c r="A2352" t="str">
        <f>IF(C2352&amp;G2352&amp;D2352&lt;&gt;'Funnel setup'!$K$3&amp;'Funnel setup'!$K$4&amp;'Funnel setup'!$K$6,".",IF(A2351=".",1,A2351+1))</f>
        <v>.</v>
      </c>
      <c r="B2352" s="244" t="str">
        <f t="shared" si="36"/>
        <v>Knee Replacement PrimaryProviderPARK HILL HOSPITAL (NVC14)EQ-5D Index</v>
      </c>
      <c r="C2352" t="s">
        <v>969</v>
      </c>
      <c r="D2352" t="s">
        <v>965</v>
      </c>
      <c r="E2352" t="s">
        <v>440</v>
      </c>
      <c r="F2352" t="s">
        <v>441</v>
      </c>
      <c r="G2352" t="s">
        <v>963</v>
      </c>
      <c r="H2352">
        <v>36</v>
      </c>
      <c r="I2352">
        <v>0.376861</v>
      </c>
      <c r="J2352">
        <v>0.692944</v>
      </c>
      <c r="K2352">
        <v>0.316083</v>
      </c>
      <c r="L2352">
        <v>27</v>
      </c>
      <c r="M2352">
        <v>4</v>
      </c>
      <c r="N2352">
        <v>5</v>
      </c>
      <c r="O2352">
        <v>0.71048800000000001</v>
      </c>
      <c r="P2352">
        <v>0.281692</v>
      </c>
      <c r="Q2352">
        <v>0.25261099999999997</v>
      </c>
    </row>
    <row r="2353" spans="1:17" x14ac:dyDescent="0.25">
      <c r="A2353" t="str">
        <f>IF(C2353&amp;G2353&amp;D2353&lt;&gt;'Funnel setup'!$K$3&amp;'Funnel setup'!$K$4&amp;'Funnel setup'!$K$6,".",IF(A2352=".",1,A2352+1))</f>
        <v>.</v>
      </c>
      <c r="B2353" s="244" t="str">
        <f t="shared" si="36"/>
        <v>Knee Replacement PrimaryProviderPARK HOSPITAL (NT427)EQ-5D Index</v>
      </c>
      <c r="C2353" t="s">
        <v>969</v>
      </c>
      <c r="D2353" t="s">
        <v>965</v>
      </c>
      <c r="E2353" t="s">
        <v>442</v>
      </c>
      <c r="F2353" t="s">
        <v>443</v>
      </c>
      <c r="G2353" t="s">
        <v>963</v>
      </c>
      <c r="H2353">
        <v>56</v>
      </c>
      <c r="I2353">
        <v>0.49560700000000002</v>
      </c>
      <c r="J2353">
        <v>0.74235700000000004</v>
      </c>
      <c r="K2353">
        <v>0.24675</v>
      </c>
      <c r="L2353">
        <v>38</v>
      </c>
      <c r="M2353">
        <v>9</v>
      </c>
      <c r="N2353">
        <v>9</v>
      </c>
      <c r="O2353">
        <v>0.70498799999999995</v>
      </c>
      <c r="P2353">
        <v>0.27619199999999999</v>
      </c>
      <c r="Q2353">
        <v>0.25126700000000002</v>
      </c>
    </row>
    <row r="2354" spans="1:17" x14ac:dyDescent="0.25">
      <c r="A2354" t="str">
        <f>IF(C2354&amp;G2354&amp;D2354&lt;&gt;'Funnel setup'!$K$3&amp;'Funnel setup'!$K$4&amp;'Funnel setup'!$K$6,".",IF(A2353=".",1,A2353+1))</f>
        <v>.</v>
      </c>
      <c r="B2354" s="244" t="str">
        <f t="shared" si="36"/>
        <v>Knee Replacement PrimaryProviderPENNINE ACUTE HOSPITALS NHS TRUST (RW6)EQ-5D Index</v>
      </c>
      <c r="C2354" t="s">
        <v>969</v>
      </c>
      <c r="D2354" t="s">
        <v>965</v>
      </c>
      <c r="E2354" t="s">
        <v>444</v>
      </c>
      <c r="F2354" t="s">
        <v>445</v>
      </c>
      <c r="G2354" t="s">
        <v>963</v>
      </c>
      <c r="H2354">
        <v>4</v>
      </c>
      <c r="I2354">
        <v>0.48825000000000002</v>
      </c>
      <c r="J2354">
        <v>0.80274999999999996</v>
      </c>
      <c r="K2354">
        <v>0.3145</v>
      </c>
      <c r="L2354">
        <v>4</v>
      </c>
      <c r="M2354">
        <v>0</v>
      </c>
      <c r="N2354">
        <v>0</v>
      </c>
      <c r="O2354" t="s">
        <v>127</v>
      </c>
      <c r="P2354" t="s">
        <v>127</v>
      </c>
      <c r="Q2354" t="s">
        <v>127</v>
      </c>
    </row>
    <row r="2355" spans="1:17" x14ac:dyDescent="0.25">
      <c r="A2355" t="str">
        <f>IF(C2355&amp;G2355&amp;D2355&lt;&gt;'Funnel setup'!$K$3&amp;'Funnel setup'!$K$4&amp;'Funnel setup'!$K$6,".",IF(A2354=".",1,A2354+1))</f>
        <v>.</v>
      </c>
      <c r="B2355" s="244" t="str">
        <f t="shared" si="36"/>
        <v>Knee Replacement PrimaryProviderPINEHILL HOSPITAL (NVC15)EQ-5D Index</v>
      </c>
      <c r="C2355" t="s">
        <v>969</v>
      </c>
      <c r="D2355" t="s">
        <v>965</v>
      </c>
      <c r="E2355" t="s">
        <v>448</v>
      </c>
      <c r="F2355" t="s">
        <v>449</v>
      </c>
      <c r="G2355" t="s">
        <v>963</v>
      </c>
      <c r="H2355">
        <v>7</v>
      </c>
      <c r="I2355">
        <v>0.37757099999999999</v>
      </c>
      <c r="J2355">
        <v>0.80142899999999995</v>
      </c>
      <c r="K2355">
        <v>0.42385699999999998</v>
      </c>
      <c r="L2355">
        <v>6</v>
      </c>
      <c r="M2355">
        <v>1</v>
      </c>
      <c r="N2355">
        <v>0</v>
      </c>
      <c r="O2355" t="s">
        <v>127</v>
      </c>
      <c r="P2355" t="s">
        <v>127</v>
      </c>
      <c r="Q2355" t="s">
        <v>127</v>
      </c>
    </row>
    <row r="2356" spans="1:17" x14ac:dyDescent="0.25">
      <c r="A2356" t="str">
        <f>IF(C2356&amp;G2356&amp;D2356&lt;&gt;'Funnel setup'!$K$3&amp;'Funnel setup'!$K$4&amp;'Funnel setup'!$K$6,".",IF(A2355=".",1,A2355+1))</f>
        <v>.</v>
      </c>
      <c r="B2356" s="244" t="str">
        <f t="shared" si="36"/>
        <v>Knee Replacement PrimaryProviderPORTSMOUTH HOSPITALS UNIVERSITY NATIONAL HEALTH SERVICE TRUST (RHU)EQ-5D Index</v>
      </c>
      <c r="C2356" t="s">
        <v>969</v>
      </c>
      <c r="D2356" t="s">
        <v>965</v>
      </c>
      <c r="E2356" t="s">
        <v>450</v>
      </c>
      <c r="F2356" t="s">
        <v>451</v>
      </c>
      <c r="G2356" t="s">
        <v>963</v>
      </c>
      <c r="H2356">
        <v>13</v>
      </c>
      <c r="I2356">
        <v>0.15238499999999999</v>
      </c>
      <c r="J2356">
        <v>0.663385</v>
      </c>
      <c r="K2356">
        <v>0.51100000000000001</v>
      </c>
      <c r="L2356">
        <v>10</v>
      </c>
      <c r="M2356">
        <v>1</v>
      </c>
      <c r="N2356">
        <v>2</v>
      </c>
      <c r="O2356" t="s">
        <v>127</v>
      </c>
      <c r="P2356" t="s">
        <v>127</v>
      </c>
      <c r="Q2356" t="s">
        <v>127</v>
      </c>
    </row>
    <row r="2357" spans="1:17" x14ac:dyDescent="0.25">
      <c r="A2357" t="str">
        <f>IF(C2357&amp;G2357&amp;D2357&lt;&gt;'Funnel setup'!$K$3&amp;'Funnel setup'!$K$4&amp;'Funnel setup'!$K$6,".",IF(A2356=".",1,A2356+1))</f>
        <v>.</v>
      </c>
      <c r="B2357" s="244" t="str">
        <f t="shared" si="36"/>
        <v>Knee Replacement PrimaryProviderPRACTICE PLUS GROUP HOSPITAL - BARLBOROUGH (NTP13)EQ-5D Index</v>
      </c>
      <c r="C2357" t="s">
        <v>969</v>
      </c>
      <c r="D2357" t="s">
        <v>965</v>
      </c>
      <c r="E2357" t="s">
        <v>452</v>
      </c>
      <c r="F2357" t="s">
        <v>453</v>
      </c>
      <c r="G2357" t="s">
        <v>963</v>
      </c>
      <c r="H2357">
        <v>241</v>
      </c>
      <c r="I2357">
        <v>0.46137299999999998</v>
      </c>
      <c r="J2357">
        <v>0.79791299999999998</v>
      </c>
      <c r="K2357">
        <v>0.33653899999999998</v>
      </c>
      <c r="L2357">
        <v>203</v>
      </c>
      <c r="M2357">
        <v>21</v>
      </c>
      <c r="N2357">
        <v>17</v>
      </c>
      <c r="O2357">
        <v>0.77620999999999996</v>
      </c>
      <c r="P2357">
        <v>0.347414</v>
      </c>
      <c r="Q2357">
        <v>0.21052199999999999</v>
      </c>
    </row>
    <row r="2358" spans="1:17" x14ac:dyDescent="0.25">
      <c r="A2358" t="str">
        <f>IF(C2358&amp;G2358&amp;D2358&lt;&gt;'Funnel setup'!$K$3&amp;'Funnel setup'!$K$4&amp;'Funnel setup'!$K$6,".",IF(A2357=".",1,A2357+1))</f>
        <v>.</v>
      </c>
      <c r="B2358" s="244" t="str">
        <f t="shared" si="36"/>
        <v>Knee Replacement PrimaryProviderPRACTICE PLUS GROUP HOSPITAL - EMERSONS GREEN (NTPH2)EQ-5D Index</v>
      </c>
      <c r="C2358" t="s">
        <v>969</v>
      </c>
      <c r="D2358" t="s">
        <v>965</v>
      </c>
      <c r="E2358" t="s">
        <v>454</v>
      </c>
      <c r="F2358" t="s">
        <v>455</v>
      </c>
      <c r="G2358" t="s">
        <v>963</v>
      </c>
      <c r="H2358">
        <v>138</v>
      </c>
      <c r="I2358">
        <v>0.51229000000000002</v>
      </c>
      <c r="J2358">
        <v>0.76452200000000003</v>
      </c>
      <c r="K2358">
        <v>0.25223200000000001</v>
      </c>
      <c r="L2358">
        <v>110</v>
      </c>
      <c r="M2358">
        <v>14</v>
      </c>
      <c r="N2358">
        <v>14</v>
      </c>
      <c r="O2358">
        <v>0.72861500000000001</v>
      </c>
      <c r="P2358">
        <v>0.299819</v>
      </c>
      <c r="Q2358">
        <v>0.228328</v>
      </c>
    </row>
    <row r="2359" spans="1:17" x14ac:dyDescent="0.25">
      <c r="A2359" t="str">
        <f>IF(C2359&amp;G2359&amp;D2359&lt;&gt;'Funnel setup'!$K$3&amp;'Funnel setup'!$K$4&amp;'Funnel setup'!$K$6,".",IF(A2358=".",1,A2358+1))</f>
        <v>.</v>
      </c>
      <c r="B2359" s="244" t="str">
        <f t="shared" si="36"/>
        <v>Knee Replacement PrimaryProviderPRACTICE PLUS GROUP HOSPITAL - ILFORD (NTP15)EQ-5D Index</v>
      </c>
      <c r="C2359" t="s">
        <v>969</v>
      </c>
      <c r="D2359" t="s">
        <v>965</v>
      </c>
      <c r="E2359" t="s">
        <v>456</v>
      </c>
      <c r="F2359" t="s">
        <v>457</v>
      </c>
      <c r="G2359" t="s">
        <v>963</v>
      </c>
      <c r="H2359">
        <v>78</v>
      </c>
      <c r="I2359">
        <v>0.39276899999999998</v>
      </c>
      <c r="J2359">
        <v>0.67548699999999995</v>
      </c>
      <c r="K2359">
        <v>0.28271800000000002</v>
      </c>
      <c r="L2359">
        <v>61</v>
      </c>
      <c r="M2359">
        <v>5</v>
      </c>
      <c r="N2359">
        <v>12</v>
      </c>
      <c r="O2359">
        <v>0.69802600000000004</v>
      </c>
      <c r="P2359">
        <v>0.26923000000000002</v>
      </c>
      <c r="Q2359">
        <v>0.249893</v>
      </c>
    </row>
    <row r="2360" spans="1:17" x14ac:dyDescent="0.25">
      <c r="A2360" t="str">
        <f>IF(C2360&amp;G2360&amp;D2360&lt;&gt;'Funnel setup'!$K$3&amp;'Funnel setup'!$K$4&amp;'Funnel setup'!$K$6,".",IF(A2359=".",1,A2359+1))</f>
        <v>.</v>
      </c>
      <c r="B2360" s="244" t="str">
        <f t="shared" si="36"/>
        <v>Knee Replacement PrimaryProviderPRACTICE PLUS GROUP HOSPITAL - PLYMOUTH (NTPH5)EQ-5D Index</v>
      </c>
      <c r="C2360" t="s">
        <v>969</v>
      </c>
      <c r="D2360" t="s">
        <v>965</v>
      </c>
      <c r="E2360" t="s">
        <v>458</v>
      </c>
      <c r="F2360" t="s">
        <v>459</v>
      </c>
      <c r="G2360" t="s">
        <v>963</v>
      </c>
      <c r="H2360">
        <v>188</v>
      </c>
      <c r="I2360">
        <v>0.477543</v>
      </c>
      <c r="J2360">
        <v>0.76531899999999997</v>
      </c>
      <c r="K2360">
        <v>0.28777700000000001</v>
      </c>
      <c r="L2360">
        <v>154</v>
      </c>
      <c r="M2360">
        <v>18</v>
      </c>
      <c r="N2360">
        <v>16</v>
      </c>
      <c r="O2360">
        <v>0.74895999999999996</v>
      </c>
      <c r="P2360">
        <v>0.320164</v>
      </c>
      <c r="Q2360">
        <v>0.20682700000000001</v>
      </c>
    </row>
    <row r="2361" spans="1:17" x14ac:dyDescent="0.25">
      <c r="A2361" t="str">
        <f>IF(C2361&amp;G2361&amp;D2361&lt;&gt;'Funnel setup'!$K$3&amp;'Funnel setup'!$K$4&amp;'Funnel setup'!$K$6,".",IF(A2360=".",1,A2360+1))</f>
        <v>.</v>
      </c>
      <c r="B2361" s="244" t="str">
        <f t="shared" si="36"/>
        <v>Knee Replacement PrimaryProviderPRACTICE PLUS GROUP HOSPITAL - SHEPTON MALLET (NTPH1)EQ-5D Index</v>
      </c>
      <c r="C2361" t="s">
        <v>969</v>
      </c>
      <c r="D2361" t="s">
        <v>965</v>
      </c>
      <c r="E2361" t="s">
        <v>460</v>
      </c>
      <c r="F2361" t="s">
        <v>461</v>
      </c>
      <c r="G2361" t="s">
        <v>963</v>
      </c>
      <c r="H2361">
        <v>221</v>
      </c>
      <c r="I2361">
        <v>0.48247099999999998</v>
      </c>
      <c r="J2361">
        <v>0.797041</v>
      </c>
      <c r="K2361">
        <v>0.31457000000000002</v>
      </c>
      <c r="L2361">
        <v>193</v>
      </c>
      <c r="M2361">
        <v>15</v>
      </c>
      <c r="N2361">
        <v>13</v>
      </c>
      <c r="O2361">
        <v>0.77554100000000004</v>
      </c>
      <c r="P2361">
        <v>0.34674500000000003</v>
      </c>
      <c r="Q2361">
        <v>0.18978999999999999</v>
      </c>
    </row>
    <row r="2362" spans="1:17" x14ac:dyDescent="0.25">
      <c r="A2362" t="str">
        <f>IF(C2362&amp;G2362&amp;D2362&lt;&gt;'Funnel setup'!$K$3&amp;'Funnel setup'!$K$4&amp;'Funnel setup'!$K$6,".",IF(A2361=".",1,A2361+1))</f>
        <v>.</v>
      </c>
      <c r="B2362" s="244" t="str">
        <f t="shared" si="36"/>
        <v>Knee Replacement PrimaryProviderPRACTICE PLUS GROUP HOSPITAL - SOUTHAMPTON (NTP11)EQ-5D Index</v>
      </c>
      <c r="C2362" t="s">
        <v>969</v>
      </c>
      <c r="D2362" t="s">
        <v>965</v>
      </c>
      <c r="E2362" t="s">
        <v>462</v>
      </c>
      <c r="F2362" t="s">
        <v>463</v>
      </c>
      <c r="G2362" t="s">
        <v>963</v>
      </c>
      <c r="H2362">
        <v>69</v>
      </c>
      <c r="I2362">
        <v>0.42794199999999999</v>
      </c>
      <c r="J2362">
        <v>0.74644900000000003</v>
      </c>
      <c r="K2362">
        <v>0.31850699999999998</v>
      </c>
      <c r="L2362">
        <v>57</v>
      </c>
      <c r="M2362">
        <v>5</v>
      </c>
      <c r="N2362">
        <v>7</v>
      </c>
      <c r="O2362">
        <v>0.75420100000000001</v>
      </c>
      <c r="P2362">
        <v>0.325405</v>
      </c>
      <c r="Q2362">
        <v>0.25789800000000002</v>
      </c>
    </row>
    <row r="2363" spans="1:17" x14ac:dyDescent="0.25">
      <c r="A2363" t="str">
        <f>IF(C2363&amp;G2363&amp;D2363&lt;&gt;'Funnel setup'!$K$3&amp;'Funnel setup'!$K$4&amp;'Funnel setup'!$K$6,".",IF(A2362=".",1,A2362+1))</f>
        <v>.</v>
      </c>
      <c r="B2363" s="244" t="str">
        <f t="shared" si="36"/>
        <v>Knee Replacement PrimaryProviderPRINCESS MARGARET HOSPITAL (NT428)EQ-5D Index</v>
      </c>
      <c r="C2363" t="s">
        <v>969</v>
      </c>
      <c r="D2363" t="s">
        <v>965</v>
      </c>
      <c r="E2363" t="s">
        <v>464</v>
      </c>
      <c r="F2363" t="s">
        <v>465</v>
      </c>
      <c r="G2363" t="s">
        <v>963</v>
      </c>
      <c r="H2363" t="s">
        <v>127</v>
      </c>
      <c r="I2363" t="s">
        <v>127</v>
      </c>
      <c r="J2363" t="s">
        <v>127</v>
      </c>
      <c r="K2363" t="s">
        <v>127</v>
      </c>
      <c r="L2363" t="s">
        <v>127</v>
      </c>
      <c r="M2363" t="s">
        <v>127</v>
      </c>
      <c r="N2363" t="s">
        <v>127</v>
      </c>
      <c r="O2363" t="s">
        <v>127</v>
      </c>
      <c r="P2363" t="s">
        <v>127</v>
      </c>
      <c r="Q2363" t="s">
        <v>127</v>
      </c>
    </row>
    <row r="2364" spans="1:17" x14ac:dyDescent="0.25">
      <c r="A2364" t="str">
        <f>IF(C2364&amp;G2364&amp;D2364&lt;&gt;'Funnel setup'!$K$3&amp;'Funnel setup'!$K$4&amp;'Funnel setup'!$K$6,".",IF(A2363=".",1,A2363+1))</f>
        <v>.</v>
      </c>
      <c r="B2364" s="244" t="str">
        <f t="shared" si="36"/>
        <v>Knee Replacement PrimaryProviderPRIORY HOSPITAL (NT429)EQ-5D Index</v>
      </c>
      <c r="C2364" t="s">
        <v>969</v>
      </c>
      <c r="D2364" t="s">
        <v>965</v>
      </c>
      <c r="E2364" t="s">
        <v>466</v>
      </c>
      <c r="F2364" t="s">
        <v>467</v>
      </c>
      <c r="G2364" t="s">
        <v>963</v>
      </c>
      <c r="H2364">
        <v>26</v>
      </c>
      <c r="I2364">
        <v>0.45746199999999998</v>
      </c>
      <c r="J2364">
        <v>0.79449999999999998</v>
      </c>
      <c r="K2364">
        <v>0.337038</v>
      </c>
      <c r="L2364">
        <v>24</v>
      </c>
      <c r="M2364">
        <v>2</v>
      </c>
      <c r="N2364">
        <v>0</v>
      </c>
      <c r="O2364" t="s">
        <v>127</v>
      </c>
      <c r="P2364" t="s">
        <v>127</v>
      </c>
      <c r="Q2364" t="s">
        <v>127</v>
      </c>
    </row>
    <row r="2365" spans="1:17" x14ac:dyDescent="0.25">
      <c r="A2365" t="str">
        <f>IF(C2365&amp;G2365&amp;D2365&lt;&gt;'Funnel setup'!$K$3&amp;'Funnel setup'!$K$4&amp;'Funnel setup'!$K$6,".",IF(A2364=".",1,A2364+1))</f>
        <v>.</v>
      </c>
      <c r="B2365" s="244" t="str">
        <f t="shared" si="36"/>
        <v>Knee Replacement PrimaryProviderRENACRES HOSPITAL (NVC16)EQ-5D Index</v>
      </c>
      <c r="C2365" t="s">
        <v>969</v>
      </c>
      <c r="D2365" t="s">
        <v>965</v>
      </c>
      <c r="E2365" t="s">
        <v>470</v>
      </c>
      <c r="F2365" t="s">
        <v>471</v>
      </c>
      <c r="G2365" t="s">
        <v>963</v>
      </c>
      <c r="H2365">
        <v>67</v>
      </c>
      <c r="I2365">
        <v>0.40449299999999999</v>
      </c>
      <c r="J2365">
        <v>0.79400000000000004</v>
      </c>
      <c r="K2365">
        <v>0.38950699999999999</v>
      </c>
      <c r="L2365">
        <v>59</v>
      </c>
      <c r="M2365">
        <v>6</v>
      </c>
      <c r="N2365">
        <v>2</v>
      </c>
      <c r="O2365">
        <v>0.78347599999999995</v>
      </c>
      <c r="P2365">
        <v>0.35468</v>
      </c>
      <c r="Q2365">
        <v>0.20755199999999999</v>
      </c>
    </row>
    <row r="2366" spans="1:17" x14ac:dyDescent="0.25">
      <c r="A2366" t="str">
        <f>IF(C2366&amp;G2366&amp;D2366&lt;&gt;'Funnel setup'!$K$3&amp;'Funnel setup'!$K$4&amp;'Funnel setup'!$K$6,".",IF(A2365=".",1,A2365+1))</f>
        <v>.</v>
      </c>
      <c r="B2366" s="244" t="str">
        <f t="shared" si="36"/>
        <v>Knee Replacement PrimaryProviderRIDGEWAY HOSPITAL (NT430)EQ-5D Index</v>
      </c>
      <c r="C2366" t="s">
        <v>969</v>
      </c>
      <c r="D2366" t="s">
        <v>965</v>
      </c>
      <c r="E2366" t="s">
        <v>472</v>
      </c>
      <c r="F2366" t="s">
        <v>473</v>
      </c>
      <c r="G2366" t="s">
        <v>963</v>
      </c>
      <c r="H2366">
        <v>1</v>
      </c>
      <c r="I2366">
        <v>0.62</v>
      </c>
      <c r="J2366">
        <v>1</v>
      </c>
      <c r="K2366">
        <v>0.38</v>
      </c>
      <c r="L2366">
        <v>1</v>
      </c>
      <c r="M2366">
        <v>0</v>
      </c>
      <c r="N2366">
        <v>0</v>
      </c>
      <c r="O2366" t="s">
        <v>127</v>
      </c>
      <c r="P2366" t="s">
        <v>127</v>
      </c>
      <c r="Q2366" t="s">
        <v>127</v>
      </c>
    </row>
    <row r="2367" spans="1:17" x14ac:dyDescent="0.25">
      <c r="A2367" t="str">
        <f>IF(C2367&amp;G2367&amp;D2367&lt;&gt;'Funnel setup'!$K$3&amp;'Funnel setup'!$K$4&amp;'Funnel setup'!$K$6,".",IF(A2366=".",1,A2366+1))</f>
        <v>.</v>
      </c>
      <c r="B2367" s="244" t="str">
        <f t="shared" si="36"/>
        <v>Knee Replacement PrimaryProviderRIVERS HOSPITAL (NVC19)EQ-5D Index</v>
      </c>
      <c r="C2367" t="s">
        <v>969</v>
      </c>
      <c r="D2367" t="s">
        <v>965</v>
      </c>
      <c r="E2367" t="s">
        <v>474</v>
      </c>
      <c r="F2367" t="s">
        <v>475</v>
      </c>
      <c r="G2367" t="s">
        <v>963</v>
      </c>
      <c r="H2367">
        <v>38</v>
      </c>
      <c r="I2367">
        <v>0.51023700000000005</v>
      </c>
      <c r="J2367">
        <v>0.83865800000000001</v>
      </c>
      <c r="K2367">
        <v>0.32842100000000002</v>
      </c>
      <c r="L2367">
        <v>31</v>
      </c>
      <c r="M2367">
        <v>4</v>
      </c>
      <c r="N2367">
        <v>3</v>
      </c>
      <c r="O2367">
        <v>0.794906</v>
      </c>
      <c r="P2367">
        <v>0.36610999999999999</v>
      </c>
      <c r="Q2367">
        <v>0.24370700000000001</v>
      </c>
    </row>
    <row r="2368" spans="1:17" x14ac:dyDescent="0.25">
      <c r="A2368" t="str">
        <f>IF(C2368&amp;G2368&amp;D2368&lt;&gt;'Funnel setup'!$K$3&amp;'Funnel setup'!$K$4&amp;'Funnel setup'!$K$6,".",IF(A2367=".",1,A2367+1))</f>
        <v>.</v>
      </c>
      <c r="B2368" s="244" t="str">
        <f t="shared" si="36"/>
        <v>Knee Replacement PrimaryProviderROWLEY HALL HOSPITAL (NVC17)EQ-5D Index</v>
      </c>
      <c r="C2368" t="s">
        <v>969</v>
      </c>
      <c r="D2368" t="s">
        <v>965</v>
      </c>
      <c r="E2368" t="s">
        <v>476</v>
      </c>
      <c r="F2368" t="s">
        <v>477</v>
      </c>
      <c r="G2368" t="s">
        <v>963</v>
      </c>
      <c r="H2368">
        <v>42</v>
      </c>
      <c r="I2368">
        <v>0.47811900000000002</v>
      </c>
      <c r="J2368">
        <v>0.770119</v>
      </c>
      <c r="K2368">
        <v>0.29199999999999998</v>
      </c>
      <c r="L2368">
        <v>33</v>
      </c>
      <c r="M2368">
        <v>6</v>
      </c>
      <c r="N2368">
        <v>3</v>
      </c>
      <c r="O2368">
        <v>0.74696399999999996</v>
      </c>
      <c r="P2368">
        <v>0.31816800000000001</v>
      </c>
      <c r="Q2368">
        <v>0.24703700000000001</v>
      </c>
    </row>
    <row r="2369" spans="1:17" x14ac:dyDescent="0.25">
      <c r="A2369" t="str">
        <f>IF(C2369&amp;G2369&amp;D2369&lt;&gt;'Funnel setup'!$K$3&amp;'Funnel setup'!$K$4&amp;'Funnel setup'!$K$6,".",IF(A2368=".",1,A2368+1))</f>
        <v>.</v>
      </c>
      <c r="B2369" s="244" t="str">
        <f t="shared" si="36"/>
        <v>Knee Replacement PrimaryProviderROYAL BERKSHIRE NHS FOUNDATION TRUST (RHW)EQ-5D Index</v>
      </c>
      <c r="C2369" t="s">
        <v>969</v>
      </c>
      <c r="D2369" t="s">
        <v>965</v>
      </c>
      <c r="E2369" t="s">
        <v>478</v>
      </c>
      <c r="F2369" t="s">
        <v>479</v>
      </c>
      <c r="G2369" t="s">
        <v>963</v>
      </c>
      <c r="H2369">
        <v>7</v>
      </c>
      <c r="I2369">
        <v>0.42657099999999998</v>
      </c>
      <c r="J2369">
        <v>0.71328599999999998</v>
      </c>
      <c r="K2369">
        <v>0.28671400000000002</v>
      </c>
      <c r="L2369">
        <v>5</v>
      </c>
      <c r="M2369">
        <v>1</v>
      </c>
      <c r="N2369">
        <v>1</v>
      </c>
      <c r="O2369" t="s">
        <v>127</v>
      </c>
      <c r="P2369" t="s">
        <v>127</v>
      </c>
      <c r="Q2369" t="s">
        <v>127</v>
      </c>
    </row>
    <row r="2370" spans="1:17" x14ac:dyDescent="0.25">
      <c r="A2370" t="str">
        <f>IF(C2370&amp;G2370&amp;D2370&lt;&gt;'Funnel setup'!$K$3&amp;'Funnel setup'!$K$4&amp;'Funnel setup'!$K$6,".",IF(A2369=".",1,A2369+1))</f>
        <v>.</v>
      </c>
      <c r="B2370" s="244" t="str">
        <f t="shared" ref="B2370:B2433" si="37">C2370&amp;D2370&amp;F2370&amp;G2370</f>
        <v>Knee Replacement PrimaryProviderROYAL CORNWALL HOSPITALS NHS TRUST (REF)EQ-5D Index</v>
      </c>
      <c r="C2370" t="s">
        <v>969</v>
      </c>
      <c r="D2370" t="s">
        <v>965</v>
      </c>
      <c r="E2370" t="s">
        <v>480</v>
      </c>
      <c r="F2370" t="s">
        <v>481</v>
      </c>
      <c r="G2370" t="s">
        <v>963</v>
      </c>
      <c r="H2370">
        <v>35</v>
      </c>
      <c r="I2370">
        <v>0.47439999999999999</v>
      </c>
      <c r="J2370">
        <v>0.75139999999999996</v>
      </c>
      <c r="K2370">
        <v>0.27700000000000002</v>
      </c>
      <c r="L2370">
        <v>26</v>
      </c>
      <c r="M2370">
        <v>4</v>
      </c>
      <c r="N2370">
        <v>5</v>
      </c>
      <c r="O2370">
        <v>0.75491799999999998</v>
      </c>
      <c r="P2370">
        <v>0.32612200000000002</v>
      </c>
      <c r="Q2370">
        <v>0.25879200000000002</v>
      </c>
    </row>
    <row r="2371" spans="1:17" x14ac:dyDescent="0.25">
      <c r="A2371" t="str">
        <f>IF(C2371&amp;G2371&amp;D2371&lt;&gt;'Funnel setup'!$K$3&amp;'Funnel setup'!$K$4&amp;'Funnel setup'!$K$6,".",IF(A2370=".",1,A2370+1))</f>
        <v>.</v>
      </c>
      <c r="B2371" s="244" t="str">
        <f t="shared" si="37"/>
        <v>Knee Replacement PrimaryProviderROYAL DEVON UNIVERSITY HEALTHCARE NHS FOUNDATION TRUST (RH8)EQ-5D Index</v>
      </c>
      <c r="C2371" t="s">
        <v>969</v>
      </c>
      <c r="D2371" t="s">
        <v>965</v>
      </c>
      <c r="E2371" t="s">
        <v>482</v>
      </c>
      <c r="F2371" t="s">
        <v>483</v>
      </c>
      <c r="G2371" t="s">
        <v>963</v>
      </c>
      <c r="H2371">
        <v>26</v>
      </c>
      <c r="I2371">
        <v>0.351385</v>
      </c>
      <c r="J2371">
        <v>0.69142300000000001</v>
      </c>
      <c r="K2371">
        <v>0.34003800000000001</v>
      </c>
      <c r="L2371">
        <v>24</v>
      </c>
      <c r="M2371">
        <v>0</v>
      </c>
      <c r="N2371">
        <v>2</v>
      </c>
      <c r="O2371" t="s">
        <v>127</v>
      </c>
      <c r="P2371" t="s">
        <v>127</v>
      </c>
      <c r="Q2371" t="s">
        <v>127</v>
      </c>
    </row>
    <row r="2372" spans="1:17" x14ac:dyDescent="0.25">
      <c r="A2372" t="str">
        <f>IF(C2372&amp;G2372&amp;D2372&lt;&gt;'Funnel setup'!$K$3&amp;'Funnel setup'!$K$4&amp;'Funnel setup'!$K$6,".",IF(A2371=".",1,A2371+1))</f>
        <v>.</v>
      </c>
      <c r="B2372" s="244" t="str">
        <f t="shared" si="37"/>
        <v>Knee Replacement PrimaryProviderROYAL NATIONAL ORTHOPAEDIC HOSPITAL NHS TRUST (RAN)EQ-5D Index</v>
      </c>
      <c r="C2372" t="s">
        <v>969</v>
      </c>
      <c r="D2372" t="s">
        <v>965</v>
      </c>
      <c r="E2372" t="s">
        <v>486</v>
      </c>
      <c r="F2372" t="s">
        <v>487</v>
      </c>
      <c r="G2372" t="s">
        <v>963</v>
      </c>
      <c r="H2372">
        <v>78</v>
      </c>
      <c r="I2372">
        <v>0.45446199999999998</v>
      </c>
      <c r="J2372">
        <v>0.66176900000000005</v>
      </c>
      <c r="K2372">
        <v>0.20730799999999999</v>
      </c>
      <c r="L2372">
        <v>53</v>
      </c>
      <c r="M2372">
        <v>10</v>
      </c>
      <c r="N2372">
        <v>15</v>
      </c>
      <c r="O2372">
        <v>0.71661200000000003</v>
      </c>
      <c r="P2372">
        <v>0.28781600000000002</v>
      </c>
      <c r="Q2372">
        <v>0.252666</v>
      </c>
    </row>
    <row r="2373" spans="1:17" x14ac:dyDescent="0.25">
      <c r="A2373" t="str">
        <f>IF(C2373&amp;G2373&amp;D2373&lt;&gt;'Funnel setup'!$K$3&amp;'Funnel setup'!$K$4&amp;'Funnel setup'!$K$6,".",IF(A2372=".",1,A2372+1))</f>
        <v>.</v>
      </c>
      <c r="B2373" s="244" t="str">
        <f t="shared" si="37"/>
        <v>Knee Replacement PrimaryProviderROYAL SURREY COUNTY HOSPITAL NHS FOUNDATION TRUST (RA2)EQ-5D Index</v>
      </c>
      <c r="C2373" t="s">
        <v>969</v>
      </c>
      <c r="D2373" t="s">
        <v>965</v>
      </c>
      <c r="E2373" t="s">
        <v>488</v>
      </c>
      <c r="F2373" t="s">
        <v>489</v>
      </c>
      <c r="G2373" t="s">
        <v>963</v>
      </c>
      <c r="H2373">
        <v>46</v>
      </c>
      <c r="I2373">
        <v>0.397478</v>
      </c>
      <c r="J2373">
        <v>0.77017400000000003</v>
      </c>
      <c r="K2373">
        <v>0.37269600000000003</v>
      </c>
      <c r="L2373">
        <v>39</v>
      </c>
      <c r="M2373">
        <v>3</v>
      </c>
      <c r="N2373">
        <v>4</v>
      </c>
      <c r="O2373">
        <v>0.77453399999999994</v>
      </c>
      <c r="P2373">
        <v>0.34573900000000002</v>
      </c>
      <c r="Q2373">
        <v>0.18127799999999999</v>
      </c>
    </row>
    <row r="2374" spans="1:17" x14ac:dyDescent="0.25">
      <c r="A2374" t="str">
        <f>IF(C2374&amp;G2374&amp;D2374&lt;&gt;'Funnel setup'!$K$3&amp;'Funnel setup'!$K$4&amp;'Funnel setup'!$K$6,".",IF(A2373=".",1,A2373+1))</f>
        <v>.</v>
      </c>
      <c r="B2374" s="244" t="str">
        <f t="shared" si="37"/>
        <v>Knee Replacement PrimaryProviderROYAL UNITED HOSPITALS BATH NHS FOUNDATION TRUST (RD1)EQ-5D Index</v>
      </c>
      <c r="C2374" t="s">
        <v>969</v>
      </c>
      <c r="D2374" t="s">
        <v>965</v>
      </c>
      <c r="E2374" t="s">
        <v>490</v>
      </c>
      <c r="F2374" t="s">
        <v>491</v>
      </c>
      <c r="G2374" t="s">
        <v>963</v>
      </c>
      <c r="H2374">
        <v>13</v>
      </c>
      <c r="I2374">
        <v>0.35023100000000001</v>
      </c>
      <c r="J2374">
        <v>0.68576899999999996</v>
      </c>
      <c r="K2374">
        <v>0.335538</v>
      </c>
      <c r="L2374">
        <v>11</v>
      </c>
      <c r="M2374">
        <v>0</v>
      </c>
      <c r="N2374">
        <v>2</v>
      </c>
      <c r="O2374" t="s">
        <v>127</v>
      </c>
      <c r="P2374" t="s">
        <v>127</v>
      </c>
      <c r="Q2374" t="s">
        <v>127</v>
      </c>
    </row>
    <row r="2375" spans="1:17" x14ac:dyDescent="0.25">
      <c r="A2375" t="str">
        <f>IF(C2375&amp;G2375&amp;D2375&lt;&gt;'Funnel setup'!$K$3&amp;'Funnel setup'!$K$4&amp;'Funnel setup'!$K$6,".",IF(A2374=".",1,A2374+1))</f>
        <v>.</v>
      </c>
      <c r="B2375" s="244" t="str">
        <f t="shared" si="37"/>
        <v>Knee Replacement PrimaryProviderRUNNYMEDE HOSPITAL (NT431)EQ-5D Index</v>
      </c>
      <c r="C2375" t="s">
        <v>969</v>
      </c>
      <c r="D2375" t="s">
        <v>965</v>
      </c>
      <c r="E2375" t="s">
        <v>492</v>
      </c>
      <c r="F2375" t="s">
        <v>493</v>
      </c>
      <c r="G2375" t="s">
        <v>963</v>
      </c>
      <c r="H2375">
        <v>6</v>
      </c>
      <c r="I2375">
        <v>0.64449999999999996</v>
      </c>
      <c r="J2375">
        <v>0.845333</v>
      </c>
      <c r="K2375">
        <v>0.20083300000000001</v>
      </c>
      <c r="L2375">
        <v>5</v>
      </c>
      <c r="M2375">
        <v>1</v>
      </c>
      <c r="N2375">
        <v>0</v>
      </c>
      <c r="O2375" t="s">
        <v>127</v>
      </c>
      <c r="P2375" t="s">
        <v>127</v>
      </c>
      <c r="Q2375" t="s">
        <v>127</v>
      </c>
    </row>
    <row r="2376" spans="1:17" x14ac:dyDescent="0.25">
      <c r="A2376" t="str">
        <f>IF(C2376&amp;G2376&amp;D2376&lt;&gt;'Funnel setup'!$K$3&amp;'Funnel setup'!$K$4&amp;'Funnel setup'!$K$6,".",IF(A2375=".",1,A2375+1))</f>
        <v>.</v>
      </c>
      <c r="B2376" s="244" t="str">
        <f t="shared" si="37"/>
        <v>Knee Replacement PrimaryProviderSALISBURY NHS FOUNDATION TRUST (RNZ)EQ-5D Index</v>
      </c>
      <c r="C2376" t="s">
        <v>969</v>
      </c>
      <c r="D2376" t="s">
        <v>965</v>
      </c>
      <c r="E2376" t="s">
        <v>494</v>
      </c>
      <c r="F2376" t="s">
        <v>495</v>
      </c>
      <c r="G2376" t="s">
        <v>963</v>
      </c>
      <c r="H2376">
        <v>1</v>
      </c>
      <c r="I2376">
        <v>0.26</v>
      </c>
      <c r="J2376">
        <v>1</v>
      </c>
      <c r="K2376">
        <v>0.74</v>
      </c>
      <c r="L2376">
        <v>1</v>
      </c>
      <c r="M2376">
        <v>0</v>
      </c>
      <c r="N2376">
        <v>0</v>
      </c>
      <c r="O2376" t="s">
        <v>127</v>
      </c>
      <c r="P2376" t="s">
        <v>127</v>
      </c>
      <c r="Q2376" t="s">
        <v>127</v>
      </c>
    </row>
    <row r="2377" spans="1:17" x14ac:dyDescent="0.25">
      <c r="A2377" t="str">
        <f>IF(C2377&amp;G2377&amp;D2377&lt;&gt;'Funnel setup'!$K$3&amp;'Funnel setup'!$K$4&amp;'Funnel setup'!$K$6,".",IF(A2376=".",1,A2376+1))</f>
        <v>.</v>
      </c>
      <c r="B2377" s="244" t="str">
        <f t="shared" si="37"/>
        <v>Knee Replacement PrimaryProviderSANDWELL AND WEST BIRMINGHAM HOSPITALS NHS TRUST (RXK)EQ-5D Index</v>
      </c>
      <c r="C2377" t="s">
        <v>969</v>
      </c>
      <c r="D2377" t="s">
        <v>965</v>
      </c>
      <c r="E2377" t="s">
        <v>496</v>
      </c>
      <c r="F2377" t="s">
        <v>497</v>
      </c>
      <c r="G2377" t="s">
        <v>963</v>
      </c>
      <c r="H2377">
        <v>67</v>
      </c>
      <c r="I2377">
        <v>0.34907500000000002</v>
      </c>
      <c r="J2377">
        <v>0.65520900000000004</v>
      </c>
      <c r="K2377">
        <v>0.30613400000000002</v>
      </c>
      <c r="L2377">
        <v>53</v>
      </c>
      <c r="M2377">
        <v>5</v>
      </c>
      <c r="N2377">
        <v>9</v>
      </c>
      <c r="O2377">
        <v>0.70253600000000005</v>
      </c>
      <c r="P2377">
        <v>0.27374100000000001</v>
      </c>
      <c r="Q2377">
        <v>0.27549699999999999</v>
      </c>
    </row>
    <row r="2378" spans="1:17" x14ac:dyDescent="0.25">
      <c r="A2378" t="str">
        <f>IF(C2378&amp;G2378&amp;D2378&lt;&gt;'Funnel setup'!$K$3&amp;'Funnel setup'!$K$4&amp;'Funnel setup'!$K$6,".",IF(A2377=".",1,A2377+1))</f>
        <v>.</v>
      </c>
      <c r="B2378" s="244" t="str">
        <f t="shared" si="37"/>
        <v>Knee Replacement PrimaryProviderSARUM ROAD HOSPITAL (NT433)EQ-5D Index</v>
      </c>
      <c r="C2378" t="s">
        <v>969</v>
      </c>
      <c r="D2378" t="s">
        <v>965</v>
      </c>
      <c r="E2378" t="s">
        <v>498</v>
      </c>
      <c r="F2378" t="s">
        <v>499</v>
      </c>
      <c r="G2378" t="s">
        <v>963</v>
      </c>
      <c r="H2378">
        <v>27</v>
      </c>
      <c r="I2378">
        <v>0.52963000000000005</v>
      </c>
      <c r="J2378">
        <v>0.87366699999999997</v>
      </c>
      <c r="K2378">
        <v>0.34403699999999998</v>
      </c>
      <c r="L2378">
        <v>26</v>
      </c>
      <c r="M2378">
        <v>1</v>
      </c>
      <c r="N2378">
        <v>0</v>
      </c>
      <c r="O2378" t="s">
        <v>127</v>
      </c>
      <c r="P2378" t="s">
        <v>127</v>
      </c>
      <c r="Q2378" t="s">
        <v>127</v>
      </c>
    </row>
    <row r="2379" spans="1:17" x14ac:dyDescent="0.25">
      <c r="A2379" t="str">
        <f>IF(C2379&amp;G2379&amp;D2379&lt;&gt;'Funnel setup'!$K$3&amp;'Funnel setup'!$K$4&amp;'Funnel setup'!$K$6,".",IF(A2378=".",1,A2378+1))</f>
        <v>.</v>
      </c>
      <c r="B2379" s="244" t="str">
        <f t="shared" si="37"/>
        <v>Knee Replacement PrimaryProviderSAXON CLINIC (NT434)EQ-5D Index</v>
      </c>
      <c r="C2379" t="s">
        <v>969</v>
      </c>
      <c r="D2379" t="s">
        <v>965</v>
      </c>
      <c r="E2379" t="s">
        <v>500</v>
      </c>
      <c r="F2379" t="s">
        <v>501</v>
      </c>
      <c r="G2379" t="s">
        <v>963</v>
      </c>
      <c r="H2379">
        <v>12</v>
      </c>
      <c r="I2379">
        <v>0.32391700000000001</v>
      </c>
      <c r="J2379">
        <v>0.811917</v>
      </c>
      <c r="K2379">
        <v>0.48799999999999999</v>
      </c>
      <c r="L2379">
        <v>11</v>
      </c>
      <c r="M2379">
        <v>1</v>
      </c>
      <c r="N2379">
        <v>0</v>
      </c>
      <c r="O2379" t="s">
        <v>127</v>
      </c>
      <c r="P2379" t="s">
        <v>127</v>
      </c>
      <c r="Q2379" t="s">
        <v>127</v>
      </c>
    </row>
    <row r="2380" spans="1:17" x14ac:dyDescent="0.25">
      <c r="A2380" t="str">
        <f>IF(C2380&amp;G2380&amp;D2380&lt;&gt;'Funnel setup'!$K$3&amp;'Funnel setup'!$K$4&amp;'Funnel setup'!$K$6,".",IF(A2379=".",1,A2379+1))</f>
        <v>.</v>
      </c>
      <c r="B2380" s="244" t="str">
        <f t="shared" si="37"/>
        <v>Knee Replacement PrimaryProviderSHEFFIELD TEACHING HOSPITALS NHS FOUNDATION TRUST (RHQ)EQ-5D Index</v>
      </c>
      <c r="C2380" t="s">
        <v>969</v>
      </c>
      <c r="D2380" t="s">
        <v>965</v>
      </c>
      <c r="E2380" t="s">
        <v>506</v>
      </c>
      <c r="F2380" t="s">
        <v>507</v>
      </c>
      <c r="G2380" t="s">
        <v>963</v>
      </c>
      <c r="H2380">
        <v>32</v>
      </c>
      <c r="I2380">
        <v>0.45340599999999998</v>
      </c>
      <c r="J2380">
        <v>0.78034400000000004</v>
      </c>
      <c r="K2380">
        <v>0.32693699999999998</v>
      </c>
      <c r="L2380">
        <v>27</v>
      </c>
      <c r="M2380">
        <v>2</v>
      </c>
      <c r="N2380">
        <v>3</v>
      </c>
      <c r="O2380">
        <v>0.76298299999999997</v>
      </c>
      <c r="P2380">
        <v>0.33418799999999999</v>
      </c>
      <c r="Q2380">
        <v>0.20730399999999999</v>
      </c>
    </row>
    <row r="2381" spans="1:17" x14ac:dyDescent="0.25">
      <c r="A2381" t="str">
        <f>IF(C2381&amp;G2381&amp;D2381&lt;&gt;'Funnel setup'!$K$3&amp;'Funnel setup'!$K$4&amp;'Funnel setup'!$K$6,".",IF(A2380=".",1,A2380+1))</f>
        <v>.</v>
      </c>
      <c r="B2381" s="244" t="str">
        <f t="shared" si="37"/>
        <v>Knee Replacement PrimaryProviderSHERWOOD FOREST HOSPITALS NHS FOUNDATION TRUST (RK5)EQ-5D Index</v>
      </c>
      <c r="C2381" t="s">
        <v>969</v>
      </c>
      <c r="D2381" t="s">
        <v>965</v>
      </c>
      <c r="E2381" t="s">
        <v>508</v>
      </c>
      <c r="F2381" t="s">
        <v>509</v>
      </c>
      <c r="G2381" t="s">
        <v>963</v>
      </c>
      <c r="H2381">
        <v>61</v>
      </c>
      <c r="I2381">
        <v>0.40634399999999998</v>
      </c>
      <c r="J2381">
        <v>0.72929500000000003</v>
      </c>
      <c r="K2381">
        <v>0.32295099999999999</v>
      </c>
      <c r="L2381">
        <v>50</v>
      </c>
      <c r="M2381">
        <v>4</v>
      </c>
      <c r="N2381">
        <v>7</v>
      </c>
      <c r="O2381">
        <v>0.748054</v>
      </c>
      <c r="P2381">
        <v>0.31925799999999999</v>
      </c>
      <c r="Q2381">
        <v>0.22466</v>
      </c>
    </row>
    <row r="2382" spans="1:17" x14ac:dyDescent="0.25">
      <c r="A2382" t="str">
        <f>IF(C2382&amp;G2382&amp;D2382&lt;&gt;'Funnel setup'!$K$3&amp;'Funnel setup'!$K$4&amp;'Funnel setup'!$K$6,".",IF(A2381=".",1,A2381+1))</f>
        <v>.</v>
      </c>
      <c r="B2382" s="244" t="str">
        <f t="shared" si="37"/>
        <v>Knee Replacement PrimaryProviderSHIRLEY OAKS HOSPITAL (NT436)EQ-5D Index</v>
      </c>
      <c r="C2382" t="s">
        <v>969</v>
      </c>
      <c r="D2382" t="s">
        <v>965</v>
      </c>
      <c r="E2382" t="s">
        <v>510</v>
      </c>
      <c r="F2382" t="s">
        <v>511</v>
      </c>
      <c r="G2382" t="s">
        <v>963</v>
      </c>
      <c r="H2382">
        <v>3</v>
      </c>
      <c r="I2382">
        <v>0.63266699999999998</v>
      </c>
      <c r="J2382">
        <v>0.77800000000000002</v>
      </c>
      <c r="K2382">
        <v>0.14533299999999999</v>
      </c>
      <c r="L2382">
        <v>3</v>
      </c>
      <c r="M2382">
        <v>0</v>
      </c>
      <c r="N2382">
        <v>0</v>
      </c>
      <c r="O2382" t="s">
        <v>127</v>
      </c>
      <c r="P2382" t="s">
        <v>127</v>
      </c>
      <c r="Q2382" t="s">
        <v>127</v>
      </c>
    </row>
    <row r="2383" spans="1:17" x14ac:dyDescent="0.25">
      <c r="A2383" t="str">
        <f>IF(C2383&amp;G2383&amp;D2383&lt;&gt;'Funnel setup'!$K$3&amp;'Funnel setup'!$K$4&amp;'Funnel setup'!$K$6,".",IF(A2382=".",1,A2382+1))</f>
        <v>.</v>
      </c>
      <c r="B2383" s="244" t="str">
        <f t="shared" si="37"/>
        <v>Knee Replacement PrimaryProviderSOUTH TEES HOSPITALS NHS FOUNDATION TRUST (RTR)EQ-5D Index</v>
      </c>
      <c r="C2383" t="s">
        <v>969</v>
      </c>
      <c r="D2383" t="s">
        <v>965</v>
      </c>
      <c r="E2383" t="s">
        <v>516</v>
      </c>
      <c r="F2383" t="s">
        <v>517</v>
      </c>
      <c r="G2383" t="s">
        <v>963</v>
      </c>
      <c r="H2383">
        <v>109</v>
      </c>
      <c r="I2383">
        <v>0.29402800000000001</v>
      </c>
      <c r="J2383">
        <v>0.722028</v>
      </c>
      <c r="K2383">
        <v>0.42799999999999999</v>
      </c>
      <c r="L2383">
        <v>93</v>
      </c>
      <c r="M2383">
        <v>6</v>
      </c>
      <c r="N2383">
        <v>10</v>
      </c>
      <c r="O2383">
        <v>0.78440299999999996</v>
      </c>
      <c r="P2383">
        <v>0.35560799999999998</v>
      </c>
      <c r="Q2383">
        <v>0.28337600000000002</v>
      </c>
    </row>
    <row r="2384" spans="1:17" x14ac:dyDescent="0.25">
      <c r="A2384" t="str">
        <f>IF(C2384&amp;G2384&amp;D2384&lt;&gt;'Funnel setup'!$K$3&amp;'Funnel setup'!$K$4&amp;'Funnel setup'!$K$6,".",IF(A2383=".",1,A2383+1))</f>
        <v>.</v>
      </c>
      <c r="B2384" s="244" t="str">
        <f t="shared" si="37"/>
        <v>Knee Replacement PrimaryProviderSOUTH TYNESIDE AND SUNDERLAND NHS FOUNDATION TRUST (R0B)EQ-5D Index</v>
      </c>
      <c r="C2384" t="s">
        <v>969</v>
      </c>
      <c r="D2384" t="s">
        <v>965</v>
      </c>
      <c r="E2384" t="s">
        <v>518</v>
      </c>
      <c r="F2384" t="s">
        <v>519</v>
      </c>
      <c r="G2384" t="s">
        <v>963</v>
      </c>
      <c r="H2384">
        <v>6</v>
      </c>
      <c r="I2384">
        <v>0.23283300000000001</v>
      </c>
      <c r="J2384">
        <v>0.66349999999999998</v>
      </c>
      <c r="K2384">
        <v>0.43066700000000002</v>
      </c>
      <c r="L2384">
        <v>6</v>
      </c>
      <c r="M2384">
        <v>0</v>
      </c>
      <c r="N2384">
        <v>0</v>
      </c>
      <c r="O2384" t="s">
        <v>127</v>
      </c>
      <c r="P2384" t="s">
        <v>127</v>
      </c>
      <c r="Q2384" t="s">
        <v>127</v>
      </c>
    </row>
    <row r="2385" spans="1:17" x14ac:dyDescent="0.25">
      <c r="A2385" t="str">
        <f>IF(C2385&amp;G2385&amp;D2385&lt;&gt;'Funnel setup'!$K$3&amp;'Funnel setup'!$K$4&amp;'Funnel setup'!$K$6,".",IF(A2384=".",1,A2384+1))</f>
        <v>.</v>
      </c>
      <c r="B2385" s="244" t="str">
        <f t="shared" si="37"/>
        <v>Knee Replacement PrimaryProviderSOUTH WARWICKSHIRE UNIVERSITY NHS FOUNDATION TRUST (RJC)EQ-5D Index</v>
      </c>
      <c r="C2385" t="s">
        <v>969</v>
      </c>
      <c r="D2385" t="s">
        <v>965</v>
      </c>
      <c r="E2385" t="s">
        <v>520</v>
      </c>
      <c r="F2385" t="s">
        <v>521</v>
      </c>
      <c r="G2385" t="s">
        <v>963</v>
      </c>
      <c r="H2385">
        <v>147</v>
      </c>
      <c r="I2385">
        <v>0.486286</v>
      </c>
      <c r="J2385">
        <v>0.77625200000000005</v>
      </c>
      <c r="K2385">
        <v>0.289966</v>
      </c>
      <c r="L2385">
        <v>123</v>
      </c>
      <c r="M2385">
        <v>11</v>
      </c>
      <c r="N2385">
        <v>13</v>
      </c>
      <c r="O2385">
        <v>0.74932799999999999</v>
      </c>
      <c r="P2385">
        <v>0.32053199999999998</v>
      </c>
      <c r="Q2385">
        <v>0.24554400000000001</v>
      </c>
    </row>
    <row r="2386" spans="1:17" x14ac:dyDescent="0.25">
      <c r="A2386" t="str">
        <f>IF(C2386&amp;G2386&amp;D2386&lt;&gt;'Funnel setup'!$K$3&amp;'Funnel setup'!$K$4&amp;'Funnel setup'!$K$6,".",IF(A2385=".",1,A2385+1))</f>
        <v>.</v>
      </c>
      <c r="B2386" s="244" t="str">
        <f t="shared" si="37"/>
        <v>Knee Replacement PrimaryProviderSOUTHPORT AND ORMSKIRK HOSPITAL NHS TRUST (RVY)EQ-5D Index</v>
      </c>
      <c r="C2386" t="s">
        <v>969</v>
      </c>
      <c r="D2386" t="s">
        <v>965</v>
      </c>
      <c r="E2386" t="s">
        <v>522</v>
      </c>
      <c r="F2386" t="s">
        <v>523</v>
      </c>
      <c r="G2386" t="s">
        <v>963</v>
      </c>
      <c r="H2386">
        <v>10</v>
      </c>
      <c r="I2386">
        <v>0.54620000000000002</v>
      </c>
      <c r="J2386">
        <v>0.87519999999999998</v>
      </c>
      <c r="K2386">
        <v>0.32900000000000001</v>
      </c>
      <c r="L2386">
        <v>10</v>
      </c>
      <c r="M2386">
        <v>0</v>
      </c>
      <c r="N2386">
        <v>0</v>
      </c>
      <c r="O2386" t="s">
        <v>127</v>
      </c>
      <c r="P2386" t="s">
        <v>127</v>
      </c>
      <c r="Q2386" t="s">
        <v>127</v>
      </c>
    </row>
    <row r="2387" spans="1:17" x14ac:dyDescent="0.25">
      <c r="A2387" t="str">
        <f>IF(C2387&amp;G2387&amp;D2387&lt;&gt;'Funnel setup'!$K$3&amp;'Funnel setup'!$K$4&amp;'Funnel setup'!$K$6,".",IF(A2386=".",1,A2386+1))</f>
        <v>.</v>
      </c>
      <c r="B2387" s="244" t="str">
        <f t="shared" si="37"/>
        <v>Knee Replacement PrimaryProviderSPENCER PRIVATE HOSPITALS - MARGATE (NN801)EQ-5D Index</v>
      </c>
      <c r="C2387" t="s">
        <v>969</v>
      </c>
      <c r="D2387" t="s">
        <v>965</v>
      </c>
      <c r="E2387" t="s">
        <v>526</v>
      </c>
      <c r="F2387" t="s">
        <v>527</v>
      </c>
      <c r="G2387" t="s">
        <v>963</v>
      </c>
      <c r="H2387">
        <v>18</v>
      </c>
      <c r="I2387">
        <v>0.373444</v>
      </c>
      <c r="J2387">
        <v>0.77361100000000005</v>
      </c>
      <c r="K2387">
        <v>0.40016699999999999</v>
      </c>
      <c r="L2387">
        <v>15</v>
      </c>
      <c r="M2387">
        <v>3</v>
      </c>
      <c r="N2387">
        <v>0</v>
      </c>
      <c r="O2387" t="s">
        <v>127</v>
      </c>
      <c r="P2387" t="s">
        <v>127</v>
      </c>
      <c r="Q2387" t="s">
        <v>127</v>
      </c>
    </row>
    <row r="2388" spans="1:17" x14ac:dyDescent="0.25">
      <c r="A2388" t="str">
        <f>IF(C2388&amp;G2388&amp;D2388&lt;&gt;'Funnel setup'!$K$3&amp;'Funnel setup'!$K$4&amp;'Funnel setup'!$K$6,".",IF(A2387=".",1,A2387+1))</f>
        <v>.</v>
      </c>
      <c r="B2388" s="244" t="str">
        <f t="shared" si="37"/>
        <v>Knee Replacement PrimaryProviderSPIRE ALEXANDRA HOSPITAL (NT312)EQ-5D Index</v>
      </c>
      <c r="C2388" t="s">
        <v>969</v>
      </c>
      <c r="D2388" t="s">
        <v>965</v>
      </c>
      <c r="E2388" t="s">
        <v>528</v>
      </c>
      <c r="F2388" t="s">
        <v>529</v>
      </c>
      <c r="G2388" t="s">
        <v>963</v>
      </c>
      <c r="H2388">
        <v>26</v>
      </c>
      <c r="I2388">
        <v>0.63280800000000004</v>
      </c>
      <c r="J2388">
        <v>0.79142299999999999</v>
      </c>
      <c r="K2388">
        <v>0.15861500000000001</v>
      </c>
      <c r="L2388">
        <v>17</v>
      </c>
      <c r="M2388">
        <v>4</v>
      </c>
      <c r="N2388">
        <v>5</v>
      </c>
      <c r="O2388" t="s">
        <v>127</v>
      </c>
      <c r="P2388" t="s">
        <v>127</v>
      </c>
      <c r="Q2388" t="s">
        <v>127</v>
      </c>
    </row>
    <row r="2389" spans="1:17" x14ac:dyDescent="0.25">
      <c r="A2389" t="str">
        <f>IF(C2389&amp;G2389&amp;D2389&lt;&gt;'Funnel setup'!$K$3&amp;'Funnel setup'!$K$4&amp;'Funnel setup'!$K$6,".",IF(A2388=".",1,A2388+1))</f>
        <v>.</v>
      </c>
      <c r="B2389" s="244" t="str">
        <f t="shared" si="37"/>
        <v>Knee Replacement PrimaryProviderSPIRE BRISTOL HOSPITAL (NT302)EQ-5D Index</v>
      </c>
      <c r="C2389" t="s">
        <v>969</v>
      </c>
      <c r="D2389" t="s">
        <v>965</v>
      </c>
      <c r="E2389" t="s">
        <v>530</v>
      </c>
      <c r="F2389" t="s">
        <v>531</v>
      </c>
      <c r="G2389" t="s">
        <v>963</v>
      </c>
      <c r="H2389">
        <v>59</v>
      </c>
      <c r="I2389">
        <v>0.45649200000000001</v>
      </c>
      <c r="J2389">
        <v>0.77874600000000005</v>
      </c>
      <c r="K2389">
        <v>0.32225399999999998</v>
      </c>
      <c r="L2389">
        <v>48</v>
      </c>
      <c r="M2389">
        <v>6</v>
      </c>
      <c r="N2389">
        <v>5</v>
      </c>
      <c r="O2389">
        <v>0.76160600000000001</v>
      </c>
      <c r="P2389">
        <v>0.33280999999999999</v>
      </c>
      <c r="Q2389">
        <v>0.193657</v>
      </c>
    </row>
    <row r="2390" spans="1:17" x14ac:dyDescent="0.25">
      <c r="A2390" t="str">
        <f>IF(C2390&amp;G2390&amp;D2390&lt;&gt;'Funnel setup'!$K$3&amp;'Funnel setup'!$K$4&amp;'Funnel setup'!$K$6,".",IF(A2389=".",1,A2389+1))</f>
        <v>.</v>
      </c>
      <c r="B2390" s="244" t="str">
        <f t="shared" si="37"/>
        <v>Knee Replacement PrimaryProviderSPIRE BUSHEY HOSPITAL (NT315)EQ-5D Index</v>
      </c>
      <c r="C2390" t="s">
        <v>969</v>
      </c>
      <c r="D2390" t="s">
        <v>965</v>
      </c>
      <c r="E2390" t="s">
        <v>532</v>
      </c>
      <c r="F2390" t="s">
        <v>533</v>
      </c>
      <c r="G2390" t="s">
        <v>963</v>
      </c>
      <c r="H2390">
        <v>5</v>
      </c>
      <c r="I2390">
        <v>0.56999999999999995</v>
      </c>
      <c r="J2390">
        <v>0.85019999999999996</v>
      </c>
      <c r="K2390">
        <v>0.2802</v>
      </c>
      <c r="L2390">
        <v>4</v>
      </c>
      <c r="M2390">
        <v>1</v>
      </c>
      <c r="N2390">
        <v>0</v>
      </c>
      <c r="O2390" t="s">
        <v>127</v>
      </c>
      <c r="P2390" t="s">
        <v>127</v>
      </c>
      <c r="Q2390" t="s">
        <v>127</v>
      </c>
    </row>
    <row r="2391" spans="1:17" x14ac:dyDescent="0.25">
      <c r="A2391" t="str">
        <f>IF(C2391&amp;G2391&amp;D2391&lt;&gt;'Funnel setup'!$K$3&amp;'Funnel setup'!$K$4&amp;'Funnel setup'!$K$6,".",IF(A2390=".",1,A2390+1))</f>
        <v>.</v>
      </c>
      <c r="B2391" s="244" t="str">
        <f t="shared" si="37"/>
        <v>Knee Replacement PrimaryProviderSPIRE CAMBRIDGE LEA HOSPITAL (NT317)EQ-5D Index</v>
      </c>
      <c r="C2391" t="s">
        <v>969</v>
      </c>
      <c r="D2391" t="s">
        <v>965</v>
      </c>
      <c r="E2391" t="s">
        <v>534</v>
      </c>
      <c r="F2391" t="s">
        <v>535</v>
      </c>
      <c r="G2391" t="s">
        <v>963</v>
      </c>
      <c r="H2391">
        <v>29</v>
      </c>
      <c r="I2391">
        <v>0.49527599999999999</v>
      </c>
      <c r="J2391">
        <v>0.732379</v>
      </c>
      <c r="K2391">
        <v>0.23710300000000001</v>
      </c>
      <c r="L2391">
        <v>25</v>
      </c>
      <c r="M2391">
        <v>1</v>
      </c>
      <c r="N2391">
        <v>3</v>
      </c>
      <c r="O2391" t="s">
        <v>127</v>
      </c>
      <c r="P2391" t="s">
        <v>127</v>
      </c>
      <c r="Q2391" t="s">
        <v>127</v>
      </c>
    </row>
    <row r="2392" spans="1:17" x14ac:dyDescent="0.25">
      <c r="A2392" t="str">
        <f>IF(C2392&amp;G2392&amp;D2392&lt;&gt;'Funnel setup'!$K$3&amp;'Funnel setup'!$K$4&amp;'Funnel setup'!$K$6,".",IF(A2391=".",1,A2391+1))</f>
        <v>.</v>
      </c>
      <c r="B2392" s="244" t="str">
        <f t="shared" si="37"/>
        <v>Knee Replacement PrimaryProviderSPIRE CHESHIRE HOSPITAL (NT324)EQ-5D Index</v>
      </c>
      <c r="C2392" t="s">
        <v>969</v>
      </c>
      <c r="D2392" t="s">
        <v>965</v>
      </c>
      <c r="E2392" t="s">
        <v>536</v>
      </c>
      <c r="F2392" t="s">
        <v>537</v>
      </c>
      <c r="G2392" t="s">
        <v>963</v>
      </c>
      <c r="H2392">
        <v>31</v>
      </c>
      <c r="I2392">
        <v>0.46606500000000001</v>
      </c>
      <c r="J2392">
        <v>0.81554800000000005</v>
      </c>
      <c r="K2392">
        <v>0.34948400000000002</v>
      </c>
      <c r="L2392">
        <v>26</v>
      </c>
      <c r="M2392">
        <v>2</v>
      </c>
      <c r="N2392">
        <v>3</v>
      </c>
      <c r="O2392">
        <v>0.78694799999999998</v>
      </c>
      <c r="P2392">
        <v>0.35815200000000003</v>
      </c>
      <c r="Q2392">
        <v>0.14704100000000001</v>
      </c>
    </row>
    <row r="2393" spans="1:17" x14ac:dyDescent="0.25">
      <c r="A2393" t="str">
        <f>IF(C2393&amp;G2393&amp;D2393&lt;&gt;'Funnel setup'!$K$3&amp;'Funnel setup'!$K$4&amp;'Funnel setup'!$K$6,".",IF(A2392=".",1,A2392+1))</f>
        <v>.</v>
      </c>
      <c r="B2393" s="244" t="str">
        <f t="shared" si="37"/>
        <v>Knee Replacement PrimaryProviderSPIRE CLARE PARK HOSPITAL (NT345)EQ-5D Index</v>
      </c>
      <c r="C2393" t="s">
        <v>969</v>
      </c>
      <c r="D2393" t="s">
        <v>965</v>
      </c>
      <c r="E2393" t="s">
        <v>538</v>
      </c>
      <c r="F2393" t="s">
        <v>539</v>
      </c>
      <c r="G2393" t="s">
        <v>963</v>
      </c>
      <c r="H2393">
        <v>15</v>
      </c>
      <c r="I2393">
        <v>0.440133</v>
      </c>
      <c r="J2393">
        <v>0.75926700000000003</v>
      </c>
      <c r="K2393">
        <v>0.319133</v>
      </c>
      <c r="L2393">
        <v>11</v>
      </c>
      <c r="M2393">
        <v>2</v>
      </c>
      <c r="N2393">
        <v>2</v>
      </c>
      <c r="O2393" t="s">
        <v>127</v>
      </c>
      <c r="P2393" t="s">
        <v>127</v>
      </c>
      <c r="Q2393" t="s">
        <v>127</v>
      </c>
    </row>
    <row r="2394" spans="1:17" x14ac:dyDescent="0.25">
      <c r="A2394" t="str">
        <f>IF(C2394&amp;G2394&amp;D2394&lt;&gt;'Funnel setup'!$K$3&amp;'Funnel setup'!$K$4&amp;'Funnel setup'!$K$6,".",IF(A2393=".",1,A2393+1))</f>
        <v>.</v>
      </c>
      <c r="B2394" s="244" t="str">
        <f t="shared" si="37"/>
        <v>Knee Replacement PrimaryProviderSPIRE DUNEDIN HOSPITAL (NT344)EQ-5D Index</v>
      </c>
      <c r="C2394" t="s">
        <v>969</v>
      </c>
      <c r="D2394" t="s">
        <v>965</v>
      </c>
      <c r="E2394" t="s">
        <v>540</v>
      </c>
      <c r="F2394" t="s">
        <v>541</v>
      </c>
      <c r="G2394" t="s">
        <v>963</v>
      </c>
      <c r="H2394">
        <v>2</v>
      </c>
      <c r="I2394">
        <v>0.63900000000000001</v>
      </c>
      <c r="J2394">
        <v>0.79600000000000004</v>
      </c>
      <c r="K2394">
        <v>0.157</v>
      </c>
      <c r="L2394">
        <v>2</v>
      </c>
      <c r="M2394">
        <v>0</v>
      </c>
      <c r="N2394">
        <v>0</v>
      </c>
      <c r="O2394" t="s">
        <v>127</v>
      </c>
      <c r="P2394" t="s">
        <v>127</v>
      </c>
      <c r="Q2394" t="s">
        <v>127</v>
      </c>
    </row>
    <row r="2395" spans="1:17" x14ac:dyDescent="0.25">
      <c r="A2395" t="str">
        <f>IF(C2395&amp;G2395&amp;D2395&lt;&gt;'Funnel setup'!$K$3&amp;'Funnel setup'!$K$4&amp;'Funnel setup'!$K$6,".",IF(A2394=".",1,A2394+1))</f>
        <v>.</v>
      </c>
      <c r="B2395" s="244" t="str">
        <f t="shared" si="37"/>
        <v>Knee Replacement PrimaryProviderSPIRE ELLAND HOSPITAL (NT348)EQ-5D Index</v>
      </c>
      <c r="C2395" t="s">
        <v>969</v>
      </c>
      <c r="D2395" t="s">
        <v>965</v>
      </c>
      <c r="E2395" t="s">
        <v>542</v>
      </c>
      <c r="F2395" t="s">
        <v>543</v>
      </c>
      <c r="G2395" t="s">
        <v>963</v>
      </c>
      <c r="H2395">
        <v>19</v>
      </c>
      <c r="I2395">
        <v>0.45389499999999999</v>
      </c>
      <c r="J2395">
        <v>0.795211</v>
      </c>
      <c r="K2395">
        <v>0.34131600000000001</v>
      </c>
      <c r="L2395">
        <v>16</v>
      </c>
      <c r="M2395">
        <v>2</v>
      </c>
      <c r="N2395">
        <v>1</v>
      </c>
      <c r="O2395" t="s">
        <v>127</v>
      </c>
      <c r="P2395" t="s">
        <v>127</v>
      </c>
      <c r="Q2395" t="s">
        <v>127</v>
      </c>
    </row>
    <row r="2396" spans="1:17" x14ac:dyDescent="0.25">
      <c r="A2396" t="str">
        <f>IF(C2396&amp;G2396&amp;D2396&lt;&gt;'Funnel setup'!$K$3&amp;'Funnel setup'!$K$4&amp;'Funnel setup'!$K$6,".",IF(A2395=".",1,A2395+1))</f>
        <v>.</v>
      </c>
      <c r="B2396" s="244" t="str">
        <f t="shared" si="37"/>
        <v>Knee Replacement PrimaryProviderSPIRE FYLDE COAST HOSPITAL (NT347)EQ-5D Index</v>
      </c>
      <c r="C2396" t="s">
        <v>969</v>
      </c>
      <c r="D2396" t="s">
        <v>965</v>
      </c>
      <c r="E2396" t="s">
        <v>544</v>
      </c>
      <c r="F2396" t="s">
        <v>545</v>
      </c>
      <c r="G2396" t="s">
        <v>963</v>
      </c>
      <c r="H2396">
        <v>27</v>
      </c>
      <c r="I2396">
        <v>0.53733299999999995</v>
      </c>
      <c r="J2396">
        <v>0.75470400000000004</v>
      </c>
      <c r="K2396">
        <v>0.21737000000000001</v>
      </c>
      <c r="L2396">
        <v>23</v>
      </c>
      <c r="M2396">
        <v>2</v>
      </c>
      <c r="N2396">
        <v>2</v>
      </c>
      <c r="O2396" t="s">
        <v>127</v>
      </c>
      <c r="P2396" t="s">
        <v>127</v>
      </c>
      <c r="Q2396" t="s">
        <v>127</v>
      </c>
    </row>
    <row r="2397" spans="1:17" x14ac:dyDescent="0.25">
      <c r="A2397" t="str">
        <f>IF(C2397&amp;G2397&amp;D2397&lt;&gt;'Funnel setup'!$K$3&amp;'Funnel setup'!$K$4&amp;'Funnel setup'!$K$6,".",IF(A2396=".",1,A2396+1))</f>
        <v>.</v>
      </c>
      <c r="B2397" s="244" t="str">
        <f t="shared" si="37"/>
        <v>Knee Replacement PrimaryProviderSPIRE GATWICK PARK HOSPITAL (NT308)EQ-5D Index</v>
      </c>
      <c r="C2397" t="s">
        <v>969</v>
      </c>
      <c r="D2397" t="s">
        <v>965</v>
      </c>
      <c r="E2397" t="s">
        <v>546</v>
      </c>
      <c r="F2397" t="s">
        <v>547</v>
      </c>
      <c r="G2397" t="s">
        <v>963</v>
      </c>
      <c r="H2397">
        <v>6</v>
      </c>
      <c r="I2397">
        <v>0.45533299999999999</v>
      </c>
      <c r="J2397">
        <v>0.65949999999999998</v>
      </c>
      <c r="K2397">
        <v>0.20416699999999999</v>
      </c>
      <c r="L2397">
        <v>5</v>
      </c>
      <c r="M2397">
        <v>1</v>
      </c>
      <c r="N2397">
        <v>0</v>
      </c>
      <c r="O2397" t="s">
        <v>127</v>
      </c>
      <c r="P2397" t="s">
        <v>127</v>
      </c>
      <c r="Q2397" t="s">
        <v>127</v>
      </c>
    </row>
    <row r="2398" spans="1:17" x14ac:dyDescent="0.25">
      <c r="A2398" t="str">
        <f>IF(C2398&amp;G2398&amp;D2398&lt;&gt;'Funnel setup'!$K$3&amp;'Funnel setup'!$K$4&amp;'Funnel setup'!$K$6,".",IF(A2397=".",1,A2397+1))</f>
        <v>.</v>
      </c>
      <c r="B2398" s="244" t="str">
        <f t="shared" si="37"/>
        <v>Knee Replacement PrimaryProviderSPIRE HARPENDEN HOSPITAL (NT316)EQ-5D Index</v>
      </c>
      <c r="C2398" t="s">
        <v>969</v>
      </c>
      <c r="D2398" t="s">
        <v>965</v>
      </c>
      <c r="E2398" t="s">
        <v>548</v>
      </c>
      <c r="F2398" t="s">
        <v>549</v>
      </c>
      <c r="G2398" t="s">
        <v>963</v>
      </c>
      <c r="H2398">
        <v>19</v>
      </c>
      <c r="I2398">
        <v>0.38526300000000002</v>
      </c>
      <c r="J2398">
        <v>0.77100000000000002</v>
      </c>
      <c r="K2398">
        <v>0.385737</v>
      </c>
      <c r="L2398">
        <v>14</v>
      </c>
      <c r="M2398">
        <v>4</v>
      </c>
      <c r="N2398">
        <v>1</v>
      </c>
      <c r="O2398" t="s">
        <v>127</v>
      </c>
      <c r="P2398" t="s">
        <v>127</v>
      </c>
      <c r="Q2398" t="s">
        <v>127</v>
      </c>
    </row>
    <row r="2399" spans="1:17" x14ac:dyDescent="0.25">
      <c r="A2399" t="str">
        <f>IF(C2399&amp;G2399&amp;D2399&lt;&gt;'Funnel setup'!$K$3&amp;'Funnel setup'!$K$4&amp;'Funnel setup'!$K$6,".",IF(A2398=".",1,A2398+1))</f>
        <v>.</v>
      </c>
      <c r="B2399" s="244" t="str">
        <f t="shared" si="37"/>
        <v>Knee Replacement PrimaryProviderSPIRE HARTSWOOD HOSPITAL (NT319)EQ-5D Index</v>
      </c>
      <c r="C2399" t="s">
        <v>969</v>
      </c>
      <c r="D2399" t="s">
        <v>965</v>
      </c>
      <c r="E2399" t="s">
        <v>550</v>
      </c>
      <c r="F2399" t="s">
        <v>551</v>
      </c>
      <c r="G2399" t="s">
        <v>963</v>
      </c>
      <c r="H2399">
        <v>12</v>
      </c>
      <c r="I2399">
        <v>0.61408300000000005</v>
      </c>
      <c r="J2399">
        <v>0.782833</v>
      </c>
      <c r="K2399">
        <v>0.16875000000000001</v>
      </c>
      <c r="L2399">
        <v>12</v>
      </c>
      <c r="M2399">
        <v>0</v>
      </c>
      <c r="N2399">
        <v>0</v>
      </c>
      <c r="O2399" t="s">
        <v>127</v>
      </c>
      <c r="P2399" t="s">
        <v>127</v>
      </c>
      <c r="Q2399" t="s">
        <v>127</v>
      </c>
    </row>
    <row r="2400" spans="1:17" x14ac:dyDescent="0.25">
      <c r="A2400" t="str">
        <f>IF(C2400&amp;G2400&amp;D2400&lt;&gt;'Funnel setup'!$K$3&amp;'Funnel setup'!$K$4&amp;'Funnel setup'!$K$6,".",IF(A2399=".",1,A2399+1))</f>
        <v>.</v>
      </c>
      <c r="B2400" s="244" t="str">
        <f t="shared" si="37"/>
        <v>Knee Replacement PrimaryProviderSPIRE HULL AND EAST RIDING HOSPITAL (NT351)EQ-5D Index</v>
      </c>
      <c r="C2400" t="s">
        <v>969</v>
      </c>
      <c r="D2400" t="s">
        <v>965</v>
      </c>
      <c r="E2400" t="s">
        <v>554</v>
      </c>
      <c r="F2400" t="s">
        <v>555</v>
      </c>
      <c r="G2400" t="s">
        <v>963</v>
      </c>
      <c r="H2400">
        <v>36</v>
      </c>
      <c r="I2400">
        <v>0.44230599999999998</v>
      </c>
      <c r="J2400">
        <v>0.73433300000000001</v>
      </c>
      <c r="K2400">
        <v>0.29202800000000001</v>
      </c>
      <c r="L2400">
        <v>28</v>
      </c>
      <c r="M2400">
        <v>6</v>
      </c>
      <c r="N2400">
        <v>2</v>
      </c>
      <c r="O2400">
        <v>0.72512399999999999</v>
      </c>
      <c r="P2400">
        <v>0.29632900000000001</v>
      </c>
      <c r="Q2400">
        <v>0.20333599999999999</v>
      </c>
    </row>
    <row r="2401" spans="1:17" x14ac:dyDescent="0.25">
      <c r="A2401" t="str">
        <f>IF(C2401&amp;G2401&amp;D2401&lt;&gt;'Funnel setup'!$K$3&amp;'Funnel setup'!$K$4&amp;'Funnel setup'!$K$6,".",IF(A2400=".",1,A2400+1))</f>
        <v>.</v>
      </c>
      <c r="B2401" s="244" t="str">
        <f t="shared" si="37"/>
        <v>Knee Replacement PrimaryProviderSPIRE LEEDS HOSPITAL (NT332)EQ-5D Index</v>
      </c>
      <c r="C2401" t="s">
        <v>969</v>
      </c>
      <c r="D2401" t="s">
        <v>965</v>
      </c>
      <c r="E2401" t="s">
        <v>556</v>
      </c>
      <c r="F2401" t="s">
        <v>557</v>
      </c>
      <c r="G2401" t="s">
        <v>963</v>
      </c>
      <c r="H2401">
        <v>14</v>
      </c>
      <c r="I2401">
        <v>0.51035699999999995</v>
      </c>
      <c r="J2401">
        <v>0.70292900000000003</v>
      </c>
      <c r="K2401">
        <v>0.19257099999999999</v>
      </c>
      <c r="L2401">
        <v>10</v>
      </c>
      <c r="M2401">
        <v>3</v>
      </c>
      <c r="N2401">
        <v>1</v>
      </c>
      <c r="O2401" t="s">
        <v>127</v>
      </c>
      <c r="P2401" t="s">
        <v>127</v>
      </c>
      <c r="Q2401" t="s">
        <v>127</v>
      </c>
    </row>
    <row r="2402" spans="1:17" x14ac:dyDescent="0.25">
      <c r="A2402" t="str">
        <f>IF(C2402&amp;G2402&amp;D2402&lt;&gt;'Funnel setup'!$K$3&amp;'Funnel setup'!$K$4&amp;'Funnel setup'!$K$6,".",IF(A2401=".",1,A2401+1))</f>
        <v>.</v>
      </c>
      <c r="B2402" s="244" t="str">
        <f t="shared" si="37"/>
        <v>Knee Replacement PrimaryProviderSPIRE LEICESTER HOSPITAL (NT322)EQ-5D Index</v>
      </c>
      <c r="C2402" t="s">
        <v>969</v>
      </c>
      <c r="D2402" t="s">
        <v>965</v>
      </c>
      <c r="E2402" t="s">
        <v>558</v>
      </c>
      <c r="F2402" t="s">
        <v>559</v>
      </c>
      <c r="G2402" t="s">
        <v>963</v>
      </c>
      <c r="H2402">
        <v>58</v>
      </c>
      <c r="I2402">
        <v>0.43506899999999998</v>
      </c>
      <c r="J2402">
        <v>0.75437900000000002</v>
      </c>
      <c r="K2402">
        <v>0.31930999999999998</v>
      </c>
      <c r="L2402">
        <v>48</v>
      </c>
      <c r="M2402">
        <v>6</v>
      </c>
      <c r="N2402">
        <v>4</v>
      </c>
      <c r="O2402">
        <v>0.74030399999999996</v>
      </c>
      <c r="P2402">
        <v>0.31150800000000001</v>
      </c>
      <c r="Q2402">
        <v>0.16564799999999999</v>
      </c>
    </row>
    <row r="2403" spans="1:17" x14ac:dyDescent="0.25">
      <c r="A2403" t="str">
        <f>IF(C2403&amp;G2403&amp;D2403&lt;&gt;'Funnel setup'!$K$3&amp;'Funnel setup'!$K$4&amp;'Funnel setup'!$K$6,".",IF(A2402=".",1,A2402+1))</f>
        <v>.</v>
      </c>
      <c r="B2403" s="244" t="str">
        <f t="shared" si="37"/>
        <v>Knee Replacement PrimaryProviderSPIRE LITTLE ASTON HOSPITAL (NT321)EQ-5D Index</v>
      </c>
      <c r="C2403" t="s">
        <v>969</v>
      </c>
      <c r="D2403" t="s">
        <v>965</v>
      </c>
      <c r="E2403" t="s">
        <v>560</v>
      </c>
      <c r="F2403" t="s">
        <v>561</v>
      </c>
      <c r="G2403" t="s">
        <v>963</v>
      </c>
      <c r="H2403">
        <v>21</v>
      </c>
      <c r="I2403">
        <v>0.47342899999999999</v>
      </c>
      <c r="J2403">
        <v>0.73933300000000002</v>
      </c>
      <c r="K2403">
        <v>0.265905</v>
      </c>
      <c r="L2403">
        <v>15</v>
      </c>
      <c r="M2403">
        <v>2</v>
      </c>
      <c r="N2403">
        <v>4</v>
      </c>
      <c r="O2403" t="s">
        <v>127</v>
      </c>
      <c r="P2403" t="s">
        <v>127</v>
      </c>
      <c r="Q2403" t="s">
        <v>127</v>
      </c>
    </row>
    <row r="2404" spans="1:17" x14ac:dyDescent="0.25">
      <c r="A2404" t="str">
        <f>IF(C2404&amp;G2404&amp;D2404&lt;&gt;'Funnel setup'!$K$3&amp;'Funnel setup'!$K$4&amp;'Funnel setup'!$K$6,".",IF(A2403=".",1,A2403+1))</f>
        <v>.</v>
      </c>
      <c r="B2404" s="244" t="str">
        <f t="shared" si="37"/>
        <v>Knee Replacement PrimaryProviderSPIRE LIVERPOOL HOSPITAL (NT337)EQ-5D Index</v>
      </c>
      <c r="C2404" t="s">
        <v>969</v>
      </c>
      <c r="D2404" t="s">
        <v>965</v>
      </c>
      <c r="E2404" t="s">
        <v>562</v>
      </c>
      <c r="F2404" t="s">
        <v>563</v>
      </c>
      <c r="G2404" t="s">
        <v>963</v>
      </c>
      <c r="H2404">
        <v>13</v>
      </c>
      <c r="I2404">
        <v>0.44238499999999997</v>
      </c>
      <c r="J2404">
        <v>0.61046199999999995</v>
      </c>
      <c r="K2404">
        <v>0.168077</v>
      </c>
      <c r="L2404">
        <v>9</v>
      </c>
      <c r="M2404">
        <v>3</v>
      </c>
      <c r="N2404">
        <v>1</v>
      </c>
      <c r="O2404" t="s">
        <v>127</v>
      </c>
      <c r="P2404" t="s">
        <v>127</v>
      </c>
      <c r="Q2404" t="s">
        <v>127</v>
      </c>
    </row>
    <row r="2405" spans="1:17" x14ac:dyDescent="0.25">
      <c r="A2405" t="str">
        <f>IF(C2405&amp;G2405&amp;D2405&lt;&gt;'Funnel setup'!$K$3&amp;'Funnel setup'!$K$4&amp;'Funnel setup'!$K$6,".",IF(A2404=".",1,A2404+1))</f>
        <v>.</v>
      </c>
      <c r="B2405" s="244" t="str">
        <f t="shared" si="37"/>
        <v>Knee Replacement PrimaryProviderSPIRE MANCHESTER HOSPITAL (NT327)EQ-5D Index</v>
      </c>
      <c r="C2405" t="s">
        <v>969</v>
      </c>
      <c r="D2405" t="s">
        <v>965</v>
      </c>
      <c r="E2405" t="s">
        <v>566</v>
      </c>
      <c r="F2405" t="s">
        <v>567</v>
      </c>
      <c r="G2405" t="s">
        <v>963</v>
      </c>
      <c r="H2405">
        <v>37</v>
      </c>
      <c r="I2405">
        <v>0.391486</v>
      </c>
      <c r="J2405">
        <v>0.69594599999999995</v>
      </c>
      <c r="K2405">
        <v>0.30445899999999998</v>
      </c>
      <c r="L2405">
        <v>26</v>
      </c>
      <c r="M2405">
        <v>8</v>
      </c>
      <c r="N2405">
        <v>3</v>
      </c>
      <c r="O2405">
        <v>0.70940000000000003</v>
      </c>
      <c r="P2405">
        <v>0.28060400000000002</v>
      </c>
      <c r="Q2405">
        <v>0.23746</v>
      </c>
    </row>
    <row r="2406" spans="1:17" x14ac:dyDescent="0.25">
      <c r="A2406" t="str">
        <f>IF(C2406&amp;G2406&amp;D2406&lt;&gt;'Funnel setup'!$K$3&amp;'Funnel setup'!$K$4&amp;'Funnel setup'!$K$6,".",IF(A2405=".",1,A2405+1))</f>
        <v>.</v>
      </c>
      <c r="B2406" s="244" t="str">
        <f t="shared" si="37"/>
        <v>Knee Replacement PrimaryProviderSPIRE METHLEY PARK HOSPITAL (NT350)EQ-5D Index</v>
      </c>
      <c r="C2406" t="s">
        <v>969</v>
      </c>
      <c r="D2406" t="s">
        <v>965</v>
      </c>
      <c r="E2406" t="s">
        <v>568</v>
      </c>
      <c r="F2406" t="s">
        <v>569</v>
      </c>
      <c r="G2406" t="s">
        <v>963</v>
      </c>
      <c r="H2406">
        <v>32</v>
      </c>
      <c r="I2406">
        <v>0.52293800000000001</v>
      </c>
      <c r="J2406">
        <v>0.79640599999999995</v>
      </c>
      <c r="K2406">
        <v>0.27346900000000002</v>
      </c>
      <c r="L2406">
        <v>29</v>
      </c>
      <c r="M2406">
        <v>3</v>
      </c>
      <c r="N2406">
        <v>0</v>
      </c>
      <c r="O2406">
        <v>0.74100100000000002</v>
      </c>
      <c r="P2406">
        <v>0.31220599999999998</v>
      </c>
      <c r="Q2406">
        <v>0.170793</v>
      </c>
    </row>
    <row r="2407" spans="1:17" x14ac:dyDescent="0.25">
      <c r="A2407" t="str">
        <f>IF(C2407&amp;G2407&amp;D2407&lt;&gt;'Funnel setup'!$K$3&amp;'Funnel setup'!$K$4&amp;'Funnel setup'!$K$6,".",IF(A2406=".",1,A2406+1))</f>
        <v>.</v>
      </c>
      <c r="B2407" s="244" t="str">
        <f t="shared" si="37"/>
        <v>Knee Replacement PrimaryProviderSPIRE MONTEFIORE HOSPITAL (NT364)EQ-5D Index</v>
      </c>
      <c r="C2407" t="s">
        <v>969</v>
      </c>
      <c r="D2407" t="s">
        <v>965</v>
      </c>
      <c r="E2407" t="s">
        <v>570</v>
      </c>
      <c r="F2407" t="s">
        <v>571</v>
      </c>
      <c r="G2407" t="s">
        <v>963</v>
      </c>
      <c r="H2407">
        <v>10</v>
      </c>
      <c r="I2407">
        <v>0.57869999999999999</v>
      </c>
      <c r="J2407">
        <v>0.89049999999999996</v>
      </c>
      <c r="K2407">
        <v>0.31180000000000002</v>
      </c>
      <c r="L2407">
        <v>9</v>
      </c>
      <c r="M2407">
        <v>1</v>
      </c>
      <c r="N2407">
        <v>0</v>
      </c>
      <c r="O2407" t="s">
        <v>127</v>
      </c>
      <c r="P2407" t="s">
        <v>127</v>
      </c>
      <c r="Q2407" t="s">
        <v>127</v>
      </c>
    </row>
    <row r="2408" spans="1:17" x14ac:dyDescent="0.25">
      <c r="A2408" t="str">
        <f>IF(C2408&amp;G2408&amp;D2408&lt;&gt;'Funnel setup'!$K$3&amp;'Funnel setup'!$K$4&amp;'Funnel setup'!$K$6,".",IF(A2407=".",1,A2407+1))</f>
        <v>.</v>
      </c>
      <c r="B2408" s="244" t="str">
        <f t="shared" si="37"/>
        <v>Knee Replacement PrimaryProviderSPIRE MURRAYFIELD HOSPITAL (NT325)EQ-5D Index</v>
      </c>
      <c r="C2408" t="s">
        <v>969</v>
      </c>
      <c r="D2408" t="s">
        <v>965</v>
      </c>
      <c r="E2408" t="s">
        <v>572</v>
      </c>
      <c r="F2408" t="s">
        <v>573</v>
      </c>
      <c r="G2408" t="s">
        <v>963</v>
      </c>
      <c r="H2408">
        <v>3</v>
      </c>
      <c r="I2408">
        <v>0.49433300000000002</v>
      </c>
      <c r="J2408">
        <v>1</v>
      </c>
      <c r="K2408">
        <v>0.50566699999999998</v>
      </c>
      <c r="L2408">
        <v>3</v>
      </c>
      <c r="M2408">
        <v>0</v>
      </c>
      <c r="N2408">
        <v>0</v>
      </c>
      <c r="O2408" t="s">
        <v>127</v>
      </c>
      <c r="P2408" t="s">
        <v>127</v>
      </c>
      <c r="Q2408" t="s">
        <v>127</v>
      </c>
    </row>
    <row r="2409" spans="1:17" x14ac:dyDescent="0.25">
      <c r="A2409" t="str">
        <f>IF(C2409&amp;G2409&amp;D2409&lt;&gt;'Funnel setup'!$K$3&amp;'Funnel setup'!$K$4&amp;'Funnel setup'!$K$6,".",IF(A2408=".",1,A2408+1))</f>
        <v>.</v>
      </c>
      <c r="B2409" s="244" t="str">
        <f t="shared" si="37"/>
        <v>Knee Replacement PrimaryProviderSPIRE NOTTINGHAM HOSPITAL (NT30A)EQ-5D Index</v>
      </c>
      <c r="C2409" t="s">
        <v>969</v>
      </c>
      <c r="D2409" t="s">
        <v>965</v>
      </c>
      <c r="E2409" t="s">
        <v>576</v>
      </c>
      <c r="F2409" t="s">
        <v>577</v>
      </c>
      <c r="G2409" t="s">
        <v>963</v>
      </c>
      <c r="H2409">
        <v>10</v>
      </c>
      <c r="I2409">
        <v>0.61819999999999997</v>
      </c>
      <c r="J2409">
        <v>0.82950000000000002</v>
      </c>
      <c r="K2409">
        <v>0.21129999999999999</v>
      </c>
      <c r="L2409">
        <v>7</v>
      </c>
      <c r="M2409">
        <v>2</v>
      </c>
      <c r="N2409">
        <v>1</v>
      </c>
      <c r="O2409" t="s">
        <v>127</v>
      </c>
      <c r="P2409" t="s">
        <v>127</v>
      </c>
      <c r="Q2409" t="s">
        <v>127</v>
      </c>
    </row>
    <row r="2410" spans="1:17" x14ac:dyDescent="0.25">
      <c r="A2410" t="str">
        <f>IF(C2410&amp;G2410&amp;D2410&lt;&gt;'Funnel setup'!$K$3&amp;'Funnel setup'!$K$4&amp;'Funnel setup'!$K$6,".",IF(A2409=".",1,A2409+1))</f>
        <v>.</v>
      </c>
      <c r="B2410" s="244" t="str">
        <f t="shared" si="37"/>
        <v>Knee Replacement PrimaryProviderSPIRE PARKWAY HOSPITAL (NT320)EQ-5D Index</v>
      </c>
      <c r="C2410" t="s">
        <v>969</v>
      </c>
      <c r="D2410" t="s">
        <v>965</v>
      </c>
      <c r="E2410" t="s">
        <v>578</v>
      </c>
      <c r="F2410" t="s">
        <v>579</v>
      </c>
      <c r="G2410" t="s">
        <v>963</v>
      </c>
      <c r="H2410">
        <v>16</v>
      </c>
      <c r="I2410">
        <v>0.48225000000000001</v>
      </c>
      <c r="J2410">
        <v>0.71156299999999995</v>
      </c>
      <c r="K2410">
        <v>0.22931299999999999</v>
      </c>
      <c r="L2410">
        <v>12</v>
      </c>
      <c r="M2410">
        <v>3</v>
      </c>
      <c r="N2410">
        <v>1</v>
      </c>
      <c r="O2410" t="s">
        <v>127</v>
      </c>
      <c r="P2410" t="s">
        <v>127</v>
      </c>
      <c r="Q2410" t="s">
        <v>127</v>
      </c>
    </row>
    <row r="2411" spans="1:17" x14ac:dyDescent="0.25">
      <c r="A2411" t="str">
        <f>IF(C2411&amp;G2411&amp;D2411&lt;&gt;'Funnel setup'!$K$3&amp;'Funnel setup'!$K$4&amp;'Funnel setup'!$K$6,".",IF(A2410=".",1,A2410+1))</f>
        <v>.</v>
      </c>
      <c r="B2411" s="244" t="str">
        <f t="shared" si="37"/>
        <v>Knee Replacement PrimaryProviderSPIRE PORTSMOUTH HOSPITAL (NT305)EQ-5D Index</v>
      </c>
      <c r="C2411" t="s">
        <v>969</v>
      </c>
      <c r="D2411" t="s">
        <v>965</v>
      </c>
      <c r="E2411" t="s">
        <v>580</v>
      </c>
      <c r="F2411" t="s">
        <v>581</v>
      </c>
      <c r="G2411" t="s">
        <v>963</v>
      </c>
      <c r="H2411">
        <v>15</v>
      </c>
      <c r="I2411">
        <v>0.42806699999999998</v>
      </c>
      <c r="J2411">
        <v>0.69320000000000004</v>
      </c>
      <c r="K2411">
        <v>0.26513300000000001</v>
      </c>
      <c r="L2411">
        <v>11</v>
      </c>
      <c r="M2411">
        <v>1</v>
      </c>
      <c r="N2411">
        <v>3</v>
      </c>
      <c r="O2411" t="s">
        <v>127</v>
      </c>
      <c r="P2411" t="s">
        <v>127</v>
      </c>
      <c r="Q2411" t="s">
        <v>127</v>
      </c>
    </row>
    <row r="2412" spans="1:17" x14ac:dyDescent="0.25">
      <c r="A2412" t="str">
        <f>IF(C2412&amp;G2412&amp;D2412&lt;&gt;'Funnel setup'!$K$3&amp;'Funnel setup'!$K$4&amp;'Funnel setup'!$K$6,".",IF(A2411=".",1,A2411+1))</f>
        <v>.</v>
      </c>
      <c r="B2412" s="244" t="str">
        <f t="shared" si="37"/>
        <v>Knee Replacement PrimaryProviderSPIRE REGENCY HOSPITAL (NT339)EQ-5D Index</v>
      </c>
      <c r="C2412" t="s">
        <v>969</v>
      </c>
      <c r="D2412" t="s">
        <v>965</v>
      </c>
      <c r="E2412" t="s">
        <v>582</v>
      </c>
      <c r="F2412" t="s">
        <v>583</v>
      </c>
      <c r="G2412" t="s">
        <v>963</v>
      </c>
      <c r="H2412">
        <v>43</v>
      </c>
      <c r="I2412">
        <v>0.50183699999999998</v>
      </c>
      <c r="J2412">
        <v>0.75460499999999997</v>
      </c>
      <c r="K2412">
        <v>0.25276700000000002</v>
      </c>
      <c r="L2412">
        <v>36</v>
      </c>
      <c r="M2412">
        <v>4</v>
      </c>
      <c r="N2412">
        <v>3</v>
      </c>
      <c r="O2412">
        <v>0.71940899999999997</v>
      </c>
      <c r="P2412">
        <v>0.29061300000000001</v>
      </c>
      <c r="Q2412">
        <v>0.20242599999999999</v>
      </c>
    </row>
    <row r="2413" spans="1:17" x14ac:dyDescent="0.25">
      <c r="A2413" t="str">
        <f>IF(C2413&amp;G2413&amp;D2413&lt;&gt;'Funnel setup'!$K$3&amp;'Funnel setup'!$K$4&amp;'Funnel setup'!$K$6,".",IF(A2412=".",1,A2412+1))</f>
        <v>.</v>
      </c>
      <c r="B2413" s="244" t="str">
        <f t="shared" si="37"/>
        <v>Knee Replacement PrimaryProviderSPIRE SOUTHAMPTON HOSPITAL (NT304)EQ-5D Index</v>
      </c>
      <c r="C2413" t="s">
        <v>969</v>
      </c>
      <c r="D2413" t="s">
        <v>965</v>
      </c>
      <c r="E2413" t="s">
        <v>586</v>
      </c>
      <c r="F2413" t="s">
        <v>587</v>
      </c>
      <c r="G2413" t="s">
        <v>963</v>
      </c>
      <c r="H2413">
        <v>20</v>
      </c>
      <c r="I2413">
        <v>0.56000000000000005</v>
      </c>
      <c r="J2413">
        <v>0.7611</v>
      </c>
      <c r="K2413">
        <v>0.2011</v>
      </c>
      <c r="L2413">
        <v>13</v>
      </c>
      <c r="M2413">
        <v>6</v>
      </c>
      <c r="N2413">
        <v>1</v>
      </c>
      <c r="O2413" t="s">
        <v>127</v>
      </c>
      <c r="P2413" t="s">
        <v>127</v>
      </c>
      <c r="Q2413" t="s">
        <v>127</v>
      </c>
    </row>
    <row r="2414" spans="1:17" x14ac:dyDescent="0.25">
      <c r="A2414" t="str">
        <f>IF(C2414&amp;G2414&amp;D2414&lt;&gt;'Funnel setup'!$K$3&amp;'Funnel setup'!$K$4&amp;'Funnel setup'!$K$6,".",IF(A2413=".",1,A2413+1))</f>
        <v>.</v>
      </c>
      <c r="B2414" s="244" t="str">
        <f t="shared" si="37"/>
        <v>Knee Replacement PrimaryProviderSPIRE ST ANTHONY'S HOSPITAL (NT3X3)EQ-5D Index</v>
      </c>
      <c r="C2414" t="s">
        <v>969</v>
      </c>
      <c r="D2414" t="s">
        <v>965</v>
      </c>
      <c r="E2414" t="s">
        <v>588</v>
      </c>
      <c r="F2414" t="s">
        <v>589</v>
      </c>
      <c r="G2414" t="s">
        <v>963</v>
      </c>
      <c r="H2414">
        <v>4</v>
      </c>
      <c r="I2414">
        <v>0.443</v>
      </c>
      <c r="J2414">
        <v>0.76824999999999999</v>
      </c>
      <c r="K2414">
        <v>0.32524999999999998</v>
      </c>
      <c r="L2414">
        <v>3</v>
      </c>
      <c r="M2414">
        <v>1</v>
      </c>
      <c r="N2414">
        <v>0</v>
      </c>
      <c r="O2414" t="s">
        <v>127</v>
      </c>
      <c r="P2414" t="s">
        <v>127</v>
      </c>
      <c r="Q2414" t="s">
        <v>127</v>
      </c>
    </row>
    <row r="2415" spans="1:17" x14ac:dyDescent="0.25">
      <c r="A2415" t="str">
        <f>IF(C2415&amp;G2415&amp;D2415&lt;&gt;'Funnel setup'!$K$3&amp;'Funnel setup'!$K$4&amp;'Funnel setup'!$K$6,".",IF(A2414=".",1,A2414+1))</f>
        <v>.</v>
      </c>
      <c r="B2415" s="244" t="str">
        <f t="shared" si="37"/>
        <v>Knee Replacement PrimaryProviderSPIRE SUSSEX HOSPITAL (NT309)EQ-5D Index</v>
      </c>
      <c r="C2415" t="s">
        <v>969</v>
      </c>
      <c r="D2415" t="s">
        <v>965</v>
      </c>
      <c r="E2415" t="s">
        <v>590</v>
      </c>
      <c r="F2415" t="s">
        <v>591</v>
      </c>
      <c r="G2415" t="s">
        <v>963</v>
      </c>
      <c r="H2415">
        <v>24</v>
      </c>
      <c r="I2415">
        <v>0.58866700000000005</v>
      </c>
      <c r="J2415">
        <v>0.74991699999999994</v>
      </c>
      <c r="K2415">
        <v>0.16125</v>
      </c>
      <c r="L2415">
        <v>19</v>
      </c>
      <c r="M2415">
        <v>2</v>
      </c>
      <c r="N2415">
        <v>3</v>
      </c>
      <c r="O2415" t="s">
        <v>127</v>
      </c>
      <c r="P2415" t="s">
        <v>127</v>
      </c>
      <c r="Q2415" t="s">
        <v>127</v>
      </c>
    </row>
    <row r="2416" spans="1:17" x14ac:dyDescent="0.25">
      <c r="A2416" t="str">
        <f>IF(C2416&amp;G2416&amp;D2416&lt;&gt;'Funnel setup'!$K$3&amp;'Funnel setup'!$K$4&amp;'Funnel setup'!$K$6,".",IF(A2415=".",1,A2415+1))</f>
        <v>.</v>
      </c>
      <c r="B2416" s="244" t="str">
        <f t="shared" si="37"/>
        <v>Knee Replacement PrimaryProviderSPIRE THAMES VALLEY HOSPITAL (NT343)EQ-5D Index</v>
      </c>
      <c r="C2416" t="s">
        <v>969</v>
      </c>
      <c r="D2416" t="s">
        <v>965</v>
      </c>
      <c r="E2416" t="s">
        <v>592</v>
      </c>
      <c r="F2416" t="s">
        <v>593</v>
      </c>
      <c r="G2416" t="s">
        <v>963</v>
      </c>
      <c r="H2416">
        <v>1</v>
      </c>
      <c r="I2416">
        <v>0.68899999999999995</v>
      </c>
      <c r="J2416">
        <v>0.81399999999999995</v>
      </c>
      <c r="K2416">
        <v>0.125</v>
      </c>
      <c r="L2416">
        <v>1</v>
      </c>
      <c r="M2416">
        <v>0</v>
      </c>
      <c r="N2416">
        <v>0</v>
      </c>
      <c r="O2416" t="s">
        <v>127</v>
      </c>
      <c r="P2416" t="s">
        <v>127</v>
      </c>
      <c r="Q2416" t="s">
        <v>127</v>
      </c>
    </row>
    <row r="2417" spans="1:17" x14ac:dyDescent="0.25">
      <c r="A2417" t="str">
        <f>IF(C2417&amp;G2417&amp;D2417&lt;&gt;'Funnel setup'!$K$3&amp;'Funnel setup'!$K$4&amp;'Funnel setup'!$K$6,".",IF(A2416=".",1,A2416+1))</f>
        <v>.</v>
      </c>
      <c r="B2417" s="244" t="str">
        <f t="shared" si="37"/>
        <v>Knee Replacement PrimaryProviderSPIRE TUNBRIDGE WELLS HOSPITAL (NT310)EQ-5D Index</v>
      </c>
      <c r="C2417" t="s">
        <v>969</v>
      </c>
      <c r="D2417" t="s">
        <v>965</v>
      </c>
      <c r="E2417" t="s">
        <v>594</v>
      </c>
      <c r="F2417" t="s">
        <v>595</v>
      </c>
      <c r="G2417" t="s">
        <v>963</v>
      </c>
      <c r="H2417">
        <v>1</v>
      </c>
      <c r="I2417">
        <v>0.159</v>
      </c>
      <c r="J2417">
        <v>0.79600000000000004</v>
      </c>
      <c r="K2417">
        <v>0.63700000000000001</v>
      </c>
      <c r="L2417">
        <v>1</v>
      </c>
      <c r="M2417">
        <v>0</v>
      </c>
      <c r="N2417">
        <v>0</v>
      </c>
      <c r="O2417" t="s">
        <v>127</v>
      </c>
      <c r="P2417" t="s">
        <v>127</v>
      </c>
      <c r="Q2417" t="s">
        <v>127</v>
      </c>
    </row>
    <row r="2418" spans="1:17" x14ac:dyDescent="0.25">
      <c r="A2418" t="str">
        <f>IF(C2418&amp;G2418&amp;D2418&lt;&gt;'Funnel setup'!$K$3&amp;'Funnel setup'!$K$4&amp;'Funnel setup'!$K$6,".",IF(A2417=".",1,A2417+1))</f>
        <v>.</v>
      </c>
      <c r="B2418" s="244" t="str">
        <f t="shared" si="37"/>
        <v>Knee Replacement PrimaryProviderSPIRE WASHINGTON HOSPITAL (NT333)EQ-5D Index</v>
      </c>
      <c r="C2418" t="s">
        <v>969</v>
      </c>
      <c r="D2418" t="s">
        <v>965</v>
      </c>
      <c r="E2418" t="s">
        <v>596</v>
      </c>
      <c r="F2418" t="s">
        <v>597</v>
      </c>
      <c r="G2418" t="s">
        <v>963</v>
      </c>
      <c r="H2418">
        <v>101</v>
      </c>
      <c r="I2418">
        <v>0.44539600000000001</v>
      </c>
      <c r="J2418">
        <v>0.75197000000000003</v>
      </c>
      <c r="K2418">
        <v>0.30657400000000001</v>
      </c>
      <c r="L2418">
        <v>80</v>
      </c>
      <c r="M2418">
        <v>9</v>
      </c>
      <c r="N2418">
        <v>12</v>
      </c>
      <c r="O2418">
        <v>0.74917299999999998</v>
      </c>
      <c r="P2418">
        <v>0.32037700000000002</v>
      </c>
      <c r="Q2418">
        <v>0.20663999999999999</v>
      </c>
    </row>
    <row r="2419" spans="1:17" x14ac:dyDescent="0.25">
      <c r="A2419" t="str">
        <f>IF(C2419&amp;G2419&amp;D2419&lt;&gt;'Funnel setup'!$K$3&amp;'Funnel setup'!$K$4&amp;'Funnel setup'!$K$6,".",IF(A2418=".",1,A2418+1))</f>
        <v>.</v>
      </c>
      <c r="B2419" s="244" t="str">
        <f t="shared" si="37"/>
        <v>Knee Replacement PrimaryProviderSPRINGFIELD HOSPITAL (NVC18)EQ-5D Index</v>
      </c>
      <c r="C2419" t="s">
        <v>969</v>
      </c>
      <c r="D2419" t="s">
        <v>965</v>
      </c>
      <c r="E2419" t="s">
        <v>602</v>
      </c>
      <c r="F2419" t="s">
        <v>603</v>
      </c>
      <c r="G2419" t="s">
        <v>963</v>
      </c>
      <c r="H2419">
        <v>95</v>
      </c>
      <c r="I2419">
        <v>0.469642</v>
      </c>
      <c r="J2419">
        <v>0.80694699999999997</v>
      </c>
      <c r="K2419">
        <v>0.33730500000000002</v>
      </c>
      <c r="L2419">
        <v>82</v>
      </c>
      <c r="M2419">
        <v>7</v>
      </c>
      <c r="N2419">
        <v>6</v>
      </c>
      <c r="O2419">
        <v>0.77381800000000001</v>
      </c>
      <c r="P2419">
        <v>0.345022</v>
      </c>
      <c r="Q2419">
        <v>0.22387799999999999</v>
      </c>
    </row>
    <row r="2420" spans="1:17" x14ac:dyDescent="0.25">
      <c r="A2420" t="str">
        <f>IF(C2420&amp;G2420&amp;D2420&lt;&gt;'Funnel setup'!$K$3&amp;'Funnel setup'!$K$4&amp;'Funnel setup'!$K$6,".",IF(A2419=".",1,A2419+1))</f>
        <v>.</v>
      </c>
      <c r="B2420" s="244" t="str">
        <f t="shared" si="37"/>
        <v>Knee Replacement PrimaryProviderST EDMUNDS HOSPITAL (NT446)EQ-5D Index</v>
      </c>
      <c r="C2420" t="s">
        <v>969</v>
      </c>
      <c r="D2420" t="s">
        <v>965</v>
      </c>
      <c r="E2420" t="s">
        <v>604</v>
      </c>
      <c r="F2420" t="s">
        <v>605</v>
      </c>
      <c r="G2420" t="s">
        <v>963</v>
      </c>
      <c r="H2420">
        <v>27</v>
      </c>
      <c r="I2420">
        <v>0.52407400000000004</v>
      </c>
      <c r="J2420">
        <v>0.74440700000000004</v>
      </c>
      <c r="K2420">
        <v>0.220333</v>
      </c>
      <c r="L2420">
        <v>22</v>
      </c>
      <c r="M2420">
        <v>3</v>
      </c>
      <c r="N2420">
        <v>2</v>
      </c>
      <c r="O2420" t="s">
        <v>127</v>
      </c>
      <c r="P2420" t="s">
        <v>127</v>
      </c>
      <c r="Q2420" t="s">
        <v>127</v>
      </c>
    </row>
    <row r="2421" spans="1:17" x14ac:dyDescent="0.25">
      <c r="A2421" t="str">
        <f>IF(C2421&amp;G2421&amp;D2421&lt;&gt;'Funnel setup'!$K$3&amp;'Funnel setup'!$K$4&amp;'Funnel setup'!$K$6,".",IF(A2420=".",1,A2420+1))</f>
        <v>.</v>
      </c>
      <c r="B2421" s="244" t="str">
        <f t="shared" si="37"/>
        <v>Knee Replacement PrimaryProviderST HELENS AND KNOWSLEY TEACHING HOSPITALS NHS TRUST (RBN)EQ-5D Index</v>
      </c>
      <c r="C2421" t="s">
        <v>969</v>
      </c>
      <c r="D2421" t="s">
        <v>965</v>
      </c>
      <c r="E2421" t="s">
        <v>608</v>
      </c>
      <c r="F2421" t="s">
        <v>609</v>
      </c>
      <c r="G2421" t="s">
        <v>963</v>
      </c>
      <c r="H2421">
        <v>68</v>
      </c>
      <c r="I2421">
        <v>0.38523499999999999</v>
      </c>
      <c r="J2421">
        <v>0.64104399999999995</v>
      </c>
      <c r="K2421">
        <v>0.25580900000000001</v>
      </c>
      <c r="L2421">
        <v>52</v>
      </c>
      <c r="M2421">
        <v>6</v>
      </c>
      <c r="N2421">
        <v>10</v>
      </c>
      <c r="O2421">
        <v>0.68513800000000002</v>
      </c>
      <c r="P2421">
        <v>0.25634200000000001</v>
      </c>
      <c r="Q2421">
        <v>0.29430099999999998</v>
      </c>
    </row>
    <row r="2422" spans="1:17" x14ac:dyDescent="0.25">
      <c r="A2422" t="str">
        <f>IF(C2422&amp;G2422&amp;D2422&lt;&gt;'Funnel setup'!$K$3&amp;'Funnel setup'!$K$4&amp;'Funnel setup'!$K$6,".",IF(A2421=".",1,A2421+1))</f>
        <v>.</v>
      </c>
      <c r="B2422" s="244" t="str">
        <f t="shared" si="37"/>
        <v>Knee Replacement PrimaryProviderST HUGH'S HOSPITAL (NTE02)EQ-5D Index</v>
      </c>
      <c r="C2422" t="s">
        <v>969</v>
      </c>
      <c r="D2422" t="s">
        <v>965</v>
      </c>
      <c r="E2422" t="s">
        <v>610</v>
      </c>
      <c r="F2422" t="s">
        <v>611</v>
      </c>
      <c r="G2422" t="s">
        <v>963</v>
      </c>
      <c r="H2422">
        <v>123</v>
      </c>
      <c r="I2422">
        <v>0.46745500000000001</v>
      </c>
      <c r="J2422">
        <v>0.78900800000000004</v>
      </c>
      <c r="K2422">
        <v>0.32155299999999998</v>
      </c>
      <c r="L2422">
        <v>103</v>
      </c>
      <c r="M2422">
        <v>11</v>
      </c>
      <c r="N2422">
        <v>9</v>
      </c>
      <c r="O2422">
        <v>0.76242399999999999</v>
      </c>
      <c r="P2422">
        <v>0.33362799999999998</v>
      </c>
      <c r="Q2422">
        <v>0.199633</v>
      </c>
    </row>
    <row r="2423" spans="1:17" x14ac:dyDescent="0.25">
      <c r="A2423" t="str">
        <f>IF(C2423&amp;G2423&amp;D2423&lt;&gt;'Funnel setup'!$K$3&amp;'Funnel setup'!$K$4&amp;'Funnel setup'!$K$6,".",IF(A2422=".",1,A2422+1))</f>
        <v>.</v>
      </c>
      <c r="B2423" s="244" t="str">
        <f t="shared" si="37"/>
        <v>Knee Replacement PrimaryProviderSTOCKPORT NHS FOUNDATION TRUST (RWJ)EQ-5D Index</v>
      </c>
      <c r="C2423" t="s">
        <v>969</v>
      </c>
      <c r="D2423" t="s">
        <v>965</v>
      </c>
      <c r="E2423" t="s">
        <v>614</v>
      </c>
      <c r="F2423" t="s">
        <v>615</v>
      </c>
      <c r="G2423" t="s">
        <v>963</v>
      </c>
      <c r="H2423">
        <v>26</v>
      </c>
      <c r="I2423">
        <v>0.45811499999999999</v>
      </c>
      <c r="J2423">
        <v>0.85215399999999997</v>
      </c>
      <c r="K2423">
        <v>0.394038</v>
      </c>
      <c r="L2423">
        <v>22</v>
      </c>
      <c r="M2423">
        <v>2</v>
      </c>
      <c r="N2423">
        <v>2</v>
      </c>
      <c r="O2423" t="s">
        <v>127</v>
      </c>
      <c r="P2423" t="s">
        <v>127</v>
      </c>
      <c r="Q2423" t="s">
        <v>127</v>
      </c>
    </row>
    <row r="2424" spans="1:17" x14ac:dyDescent="0.25">
      <c r="A2424" t="str">
        <f>IF(C2424&amp;G2424&amp;D2424&lt;&gt;'Funnel setup'!$K$3&amp;'Funnel setup'!$K$4&amp;'Funnel setup'!$K$6,".",IF(A2423=".",1,A2423+1))</f>
        <v>.</v>
      </c>
      <c r="B2424" s="244" t="str">
        <f t="shared" si="37"/>
        <v>Knee Replacement PrimaryProviderSURREY AND SUSSEX HEALTHCARE NHS TRUST (RTP)EQ-5D Index</v>
      </c>
      <c r="C2424" t="s">
        <v>969</v>
      </c>
      <c r="D2424" t="s">
        <v>965</v>
      </c>
      <c r="E2424" t="s">
        <v>618</v>
      </c>
      <c r="F2424" t="s">
        <v>619</v>
      </c>
      <c r="G2424" t="s">
        <v>963</v>
      </c>
      <c r="H2424">
        <v>30</v>
      </c>
      <c r="I2424">
        <v>0.427867</v>
      </c>
      <c r="J2424">
        <v>0.73136699999999999</v>
      </c>
      <c r="K2424">
        <v>0.30349999999999999</v>
      </c>
      <c r="L2424">
        <v>24</v>
      </c>
      <c r="M2424">
        <v>5</v>
      </c>
      <c r="N2424">
        <v>1</v>
      </c>
      <c r="O2424">
        <v>0.73625700000000005</v>
      </c>
      <c r="P2424">
        <v>0.30746099999999998</v>
      </c>
      <c r="Q2424">
        <v>0.18562300000000001</v>
      </c>
    </row>
    <row r="2425" spans="1:17" x14ac:dyDescent="0.25">
      <c r="A2425" t="str">
        <f>IF(C2425&amp;G2425&amp;D2425&lt;&gt;'Funnel setup'!$K$3&amp;'Funnel setup'!$K$4&amp;'Funnel setup'!$K$6,".",IF(A2424=".",1,A2424+1))</f>
        <v>.</v>
      </c>
      <c r="B2425" s="244" t="str">
        <f t="shared" si="37"/>
        <v>Knee Replacement PrimaryProviderTEES VALLEY HOSPITAL (NVC0R)EQ-5D Index</v>
      </c>
      <c r="C2425" t="s">
        <v>969</v>
      </c>
      <c r="D2425" t="s">
        <v>965</v>
      </c>
      <c r="E2425" t="s">
        <v>624</v>
      </c>
      <c r="F2425" t="s">
        <v>625</v>
      </c>
      <c r="G2425" t="s">
        <v>963</v>
      </c>
      <c r="H2425">
        <v>44</v>
      </c>
      <c r="I2425">
        <v>0.458455</v>
      </c>
      <c r="J2425">
        <v>0.77913600000000005</v>
      </c>
      <c r="K2425">
        <v>0.32068200000000002</v>
      </c>
      <c r="L2425">
        <v>39</v>
      </c>
      <c r="M2425">
        <v>1</v>
      </c>
      <c r="N2425">
        <v>4</v>
      </c>
      <c r="O2425">
        <v>0.76017500000000005</v>
      </c>
      <c r="P2425">
        <v>0.33138000000000001</v>
      </c>
      <c r="Q2425">
        <v>0.222275</v>
      </c>
    </row>
    <row r="2426" spans="1:17" x14ac:dyDescent="0.25">
      <c r="A2426" t="str">
        <f>IF(C2426&amp;G2426&amp;D2426&lt;&gt;'Funnel setup'!$K$3&amp;'Funnel setup'!$K$4&amp;'Funnel setup'!$K$6,".",IF(A2425=".",1,A2425+1))</f>
        <v>.</v>
      </c>
      <c r="B2426" s="244" t="str">
        <f t="shared" si="37"/>
        <v>Knee Replacement PrimaryProviderTHE BERKSHIRE INDEPENDENT HOSPITAL (NVC02)EQ-5D Index</v>
      </c>
      <c r="C2426" t="s">
        <v>969</v>
      </c>
      <c r="D2426" t="s">
        <v>965</v>
      </c>
      <c r="E2426" t="s">
        <v>626</v>
      </c>
      <c r="F2426" t="s">
        <v>627</v>
      </c>
      <c r="G2426" t="s">
        <v>963</v>
      </c>
      <c r="H2426">
        <v>12</v>
      </c>
      <c r="I2426">
        <v>0.47458299999999998</v>
      </c>
      <c r="J2426">
        <v>0.72266699999999995</v>
      </c>
      <c r="K2426">
        <v>0.248083</v>
      </c>
      <c r="L2426">
        <v>9</v>
      </c>
      <c r="M2426">
        <v>3</v>
      </c>
      <c r="N2426">
        <v>0</v>
      </c>
      <c r="O2426" t="s">
        <v>127</v>
      </c>
      <c r="P2426" t="s">
        <v>127</v>
      </c>
      <c r="Q2426" t="s">
        <v>127</v>
      </c>
    </row>
    <row r="2427" spans="1:17" x14ac:dyDescent="0.25">
      <c r="A2427" t="str">
        <f>IF(C2427&amp;G2427&amp;D2427&lt;&gt;'Funnel setup'!$K$3&amp;'Funnel setup'!$K$4&amp;'Funnel setup'!$K$6,".",IF(A2426=".",1,A2426+1))</f>
        <v>.</v>
      </c>
      <c r="B2427" s="244" t="str">
        <f t="shared" si="37"/>
        <v>Knee Replacement PrimaryProviderTHE CHERWELL HOSPITAL (NVC25)EQ-5D Index</v>
      </c>
      <c r="C2427" t="s">
        <v>969</v>
      </c>
      <c r="D2427" t="s">
        <v>965</v>
      </c>
      <c r="E2427" t="s">
        <v>628</v>
      </c>
      <c r="F2427" t="s">
        <v>629</v>
      </c>
      <c r="G2427" t="s">
        <v>963</v>
      </c>
      <c r="H2427">
        <v>241</v>
      </c>
      <c r="I2427">
        <v>0.50805800000000001</v>
      </c>
      <c r="J2427">
        <v>0.78934899999999997</v>
      </c>
      <c r="K2427">
        <v>0.28128999999999998</v>
      </c>
      <c r="L2427">
        <v>198</v>
      </c>
      <c r="M2427">
        <v>27</v>
      </c>
      <c r="N2427">
        <v>16</v>
      </c>
      <c r="O2427">
        <v>0.76029100000000005</v>
      </c>
      <c r="P2427">
        <v>0.33149499999999998</v>
      </c>
      <c r="Q2427">
        <v>0.215782</v>
      </c>
    </row>
    <row r="2428" spans="1:17" x14ac:dyDescent="0.25">
      <c r="A2428" t="str">
        <f>IF(C2428&amp;G2428&amp;D2428&lt;&gt;'Funnel setup'!$K$3&amp;'Funnel setup'!$K$4&amp;'Funnel setup'!$K$6,".",IF(A2427=".",1,A2427+1))</f>
        <v>.</v>
      </c>
      <c r="B2428" s="244" t="str">
        <f t="shared" si="37"/>
        <v>Knee Replacement PrimaryProviderTHE DUDLEY GROUP NHS FOUNDATION TRUST (RNA)EQ-5D Index</v>
      </c>
      <c r="C2428" t="s">
        <v>969</v>
      </c>
      <c r="D2428" t="s">
        <v>965</v>
      </c>
      <c r="E2428" t="s">
        <v>630</v>
      </c>
      <c r="F2428" t="s">
        <v>631</v>
      </c>
      <c r="G2428" t="s">
        <v>963</v>
      </c>
      <c r="H2428">
        <v>1</v>
      </c>
      <c r="I2428">
        <v>0.62</v>
      </c>
      <c r="J2428">
        <v>0.69099999999999995</v>
      </c>
      <c r="K2428">
        <v>7.0999999999999994E-2</v>
      </c>
      <c r="L2428">
        <v>1</v>
      </c>
      <c r="M2428">
        <v>0</v>
      </c>
      <c r="N2428">
        <v>0</v>
      </c>
      <c r="O2428" t="s">
        <v>127</v>
      </c>
      <c r="P2428" t="s">
        <v>127</v>
      </c>
      <c r="Q2428" t="s">
        <v>127</v>
      </c>
    </row>
    <row r="2429" spans="1:17" x14ac:dyDescent="0.25">
      <c r="A2429" t="str">
        <f>IF(C2429&amp;G2429&amp;D2429&lt;&gt;'Funnel setup'!$K$3&amp;'Funnel setup'!$K$4&amp;'Funnel setup'!$K$6,".",IF(A2428=".",1,A2428+1))</f>
        <v>.</v>
      </c>
      <c r="B2429" s="244" t="str">
        <f t="shared" si="37"/>
        <v>Knee Replacement PrimaryProviderTHE HILLINGDON HOSPITALS NHS FOUNDATION TRUST (RAS)EQ-5D Index</v>
      </c>
      <c r="C2429" t="s">
        <v>969</v>
      </c>
      <c r="D2429" t="s">
        <v>965</v>
      </c>
      <c r="E2429" t="s">
        <v>632</v>
      </c>
      <c r="F2429" t="s">
        <v>633</v>
      </c>
      <c r="G2429" t="s">
        <v>963</v>
      </c>
      <c r="H2429">
        <v>104</v>
      </c>
      <c r="I2429">
        <v>0.45343299999999997</v>
      </c>
      <c r="J2429">
        <v>0.75196200000000002</v>
      </c>
      <c r="K2429">
        <v>0.29852899999999999</v>
      </c>
      <c r="L2429">
        <v>80</v>
      </c>
      <c r="M2429">
        <v>14</v>
      </c>
      <c r="N2429">
        <v>10</v>
      </c>
      <c r="O2429">
        <v>0.73494899999999996</v>
      </c>
      <c r="P2429">
        <v>0.30615300000000001</v>
      </c>
      <c r="Q2429">
        <v>0.19916700000000001</v>
      </c>
    </row>
    <row r="2430" spans="1:17" x14ac:dyDescent="0.25">
      <c r="A2430" t="str">
        <f>IF(C2430&amp;G2430&amp;D2430&lt;&gt;'Funnel setup'!$K$3&amp;'Funnel setup'!$K$4&amp;'Funnel setup'!$K$6,".",IF(A2429=".",1,A2429+1))</f>
        <v>.</v>
      </c>
      <c r="B2430" s="244" t="str">
        <f t="shared" si="37"/>
        <v>Knee Replacement PrimaryProviderTHE HORDER CENTRE - ST JOHNS ROAD (NXM01)EQ-5D Index</v>
      </c>
      <c r="C2430" t="s">
        <v>969</v>
      </c>
      <c r="D2430" t="s">
        <v>965</v>
      </c>
      <c r="E2430" t="s">
        <v>634</v>
      </c>
      <c r="F2430" t="s">
        <v>635</v>
      </c>
      <c r="G2430" t="s">
        <v>963</v>
      </c>
      <c r="H2430">
        <v>246</v>
      </c>
      <c r="I2430">
        <v>0.50751199999999996</v>
      </c>
      <c r="J2430">
        <v>0.81582900000000003</v>
      </c>
      <c r="K2430">
        <v>0.30831700000000001</v>
      </c>
      <c r="L2430">
        <v>204</v>
      </c>
      <c r="M2430">
        <v>28</v>
      </c>
      <c r="N2430">
        <v>14</v>
      </c>
      <c r="O2430">
        <v>0.78305999999999998</v>
      </c>
      <c r="P2430">
        <v>0.35426400000000002</v>
      </c>
      <c r="Q2430">
        <v>0.20875099999999999</v>
      </c>
    </row>
    <row r="2431" spans="1:17" x14ac:dyDescent="0.25">
      <c r="A2431" t="str">
        <f>IF(C2431&amp;G2431&amp;D2431&lt;&gt;'Funnel setup'!$K$3&amp;'Funnel setup'!$K$4&amp;'Funnel setup'!$K$6,".",IF(A2430=".",1,A2430+1))</f>
        <v>.</v>
      </c>
      <c r="B2431" s="244" t="str">
        <f t="shared" si="37"/>
        <v>Knee Replacement PrimaryProviderTHE NEWCASTLE UPON TYNE HOSPITALS NHS FOUNDATION TRUST (RTD)EQ-5D Index</v>
      </c>
      <c r="C2431" t="s">
        <v>969</v>
      </c>
      <c r="D2431" t="s">
        <v>965</v>
      </c>
      <c r="E2431" t="s">
        <v>638</v>
      </c>
      <c r="F2431" t="s">
        <v>639</v>
      </c>
      <c r="G2431" t="s">
        <v>963</v>
      </c>
      <c r="H2431">
        <v>23</v>
      </c>
      <c r="I2431">
        <v>0.28512999999999999</v>
      </c>
      <c r="J2431">
        <v>0.72713000000000005</v>
      </c>
      <c r="K2431">
        <v>0.442</v>
      </c>
      <c r="L2431">
        <v>20</v>
      </c>
      <c r="M2431">
        <v>2</v>
      </c>
      <c r="N2431">
        <v>1</v>
      </c>
      <c r="O2431" t="s">
        <v>127</v>
      </c>
      <c r="P2431" t="s">
        <v>127</v>
      </c>
      <c r="Q2431" t="s">
        <v>127</v>
      </c>
    </row>
    <row r="2432" spans="1:17" x14ac:dyDescent="0.25">
      <c r="A2432" t="str">
        <f>IF(C2432&amp;G2432&amp;D2432&lt;&gt;'Funnel setup'!$K$3&amp;'Funnel setup'!$K$4&amp;'Funnel setup'!$K$6,".",IF(A2431=".",1,A2431+1))</f>
        <v>.</v>
      </c>
      <c r="B2432" s="244" t="str">
        <f t="shared" si="37"/>
        <v>Knee Replacement PrimaryProviderTHE PRINCESS ALEXANDRA HOSPITAL NHS TRUST (RQW)EQ-5D Index</v>
      </c>
      <c r="C2432" t="s">
        <v>969</v>
      </c>
      <c r="D2432" t="s">
        <v>965</v>
      </c>
      <c r="E2432" t="s">
        <v>640</v>
      </c>
      <c r="F2432" t="s">
        <v>641</v>
      </c>
      <c r="G2432" t="s">
        <v>963</v>
      </c>
      <c r="H2432">
        <v>27</v>
      </c>
      <c r="I2432">
        <v>0.38100000000000001</v>
      </c>
      <c r="J2432">
        <v>0.72599999999999998</v>
      </c>
      <c r="K2432">
        <v>0.34499999999999997</v>
      </c>
      <c r="L2432">
        <v>20</v>
      </c>
      <c r="M2432">
        <v>3</v>
      </c>
      <c r="N2432">
        <v>4</v>
      </c>
      <c r="O2432" t="s">
        <v>127</v>
      </c>
      <c r="P2432" t="s">
        <v>127</v>
      </c>
      <c r="Q2432" t="s">
        <v>127</v>
      </c>
    </row>
    <row r="2433" spans="1:17" x14ac:dyDescent="0.25">
      <c r="A2433" t="str">
        <f>IF(C2433&amp;G2433&amp;D2433&lt;&gt;'Funnel setup'!$K$3&amp;'Funnel setup'!$K$4&amp;'Funnel setup'!$K$6,".",IF(A2432=".",1,A2432+1))</f>
        <v>.</v>
      </c>
      <c r="B2433" s="244" t="str">
        <f t="shared" si="37"/>
        <v>Knee Replacement PrimaryProviderTHE QUEEN ELIZABETH HOSPITAL, KING'S LYNN, NHS FOUNDATION TRUST (RCX)EQ-5D Index</v>
      </c>
      <c r="C2433" t="s">
        <v>969</v>
      </c>
      <c r="D2433" t="s">
        <v>965</v>
      </c>
      <c r="E2433" t="s">
        <v>644</v>
      </c>
      <c r="F2433" t="s">
        <v>645</v>
      </c>
      <c r="G2433" t="s">
        <v>963</v>
      </c>
      <c r="H2433">
        <v>75</v>
      </c>
      <c r="I2433">
        <v>0.40726699999999999</v>
      </c>
      <c r="J2433">
        <v>0.70925300000000002</v>
      </c>
      <c r="K2433">
        <v>0.30198700000000001</v>
      </c>
      <c r="L2433">
        <v>60</v>
      </c>
      <c r="M2433">
        <v>9</v>
      </c>
      <c r="N2433">
        <v>6</v>
      </c>
      <c r="O2433">
        <v>0.72375699999999998</v>
      </c>
      <c r="P2433">
        <v>0.29496099999999997</v>
      </c>
      <c r="Q2433">
        <v>0.23605200000000001</v>
      </c>
    </row>
    <row r="2434" spans="1:17" x14ac:dyDescent="0.25">
      <c r="A2434" t="str">
        <f>IF(C2434&amp;G2434&amp;D2434&lt;&gt;'Funnel setup'!$K$3&amp;'Funnel setup'!$K$4&amp;'Funnel setup'!$K$6,".",IF(A2433=".",1,A2433+1))</f>
        <v>.</v>
      </c>
      <c r="B2434" s="244" t="str">
        <f t="shared" ref="B2434:B2497" si="38">C2434&amp;D2434&amp;F2434&amp;G2434</f>
        <v>Knee Replacement PrimaryProviderTHE ROBERT JONES AND AGNES HUNT ORTHOPAEDIC HOSPITAL NHS FOUNDATION TRUST (RL1)EQ-5D Index</v>
      </c>
      <c r="C2434" t="s">
        <v>969</v>
      </c>
      <c r="D2434" t="s">
        <v>965</v>
      </c>
      <c r="E2434" t="s">
        <v>646</v>
      </c>
      <c r="F2434" t="s">
        <v>647</v>
      </c>
      <c r="G2434" t="s">
        <v>963</v>
      </c>
      <c r="H2434">
        <v>290</v>
      </c>
      <c r="I2434">
        <v>0.38640999999999998</v>
      </c>
      <c r="J2434">
        <v>0.76080999999999999</v>
      </c>
      <c r="K2434">
        <v>0.37440000000000001</v>
      </c>
      <c r="L2434">
        <v>247</v>
      </c>
      <c r="M2434">
        <v>24</v>
      </c>
      <c r="N2434">
        <v>19</v>
      </c>
      <c r="O2434">
        <v>0.778837</v>
      </c>
      <c r="P2434">
        <v>0.35004099999999999</v>
      </c>
      <c r="Q2434">
        <v>0.21764900000000001</v>
      </c>
    </row>
    <row r="2435" spans="1:17" x14ac:dyDescent="0.25">
      <c r="A2435" t="str">
        <f>IF(C2435&amp;G2435&amp;D2435&lt;&gt;'Funnel setup'!$K$3&amp;'Funnel setup'!$K$4&amp;'Funnel setup'!$K$6,".",IF(A2434=".",1,A2434+1))</f>
        <v>.</v>
      </c>
      <c r="B2435" s="244" t="str">
        <f t="shared" si="38"/>
        <v>Knee Replacement PrimaryProviderTHE ROTHERHAM NHS FOUNDATION TRUST (RFR)EQ-5D Index</v>
      </c>
      <c r="C2435" t="s">
        <v>969</v>
      </c>
      <c r="D2435" t="s">
        <v>965</v>
      </c>
      <c r="E2435" t="s">
        <v>648</v>
      </c>
      <c r="F2435" t="s">
        <v>649</v>
      </c>
      <c r="G2435" t="s">
        <v>963</v>
      </c>
      <c r="H2435">
        <v>29</v>
      </c>
      <c r="I2435">
        <v>0.22817200000000001</v>
      </c>
      <c r="J2435">
        <v>0.76786200000000004</v>
      </c>
      <c r="K2435">
        <v>0.53969</v>
      </c>
      <c r="L2435">
        <v>27</v>
      </c>
      <c r="M2435">
        <v>2</v>
      </c>
      <c r="N2435">
        <v>0</v>
      </c>
      <c r="O2435" t="s">
        <v>127</v>
      </c>
      <c r="P2435" t="s">
        <v>127</v>
      </c>
      <c r="Q2435" t="s">
        <v>127</v>
      </c>
    </row>
    <row r="2436" spans="1:17" x14ac:dyDescent="0.25">
      <c r="A2436" t="str">
        <f>IF(C2436&amp;G2436&amp;D2436&lt;&gt;'Funnel setup'!$K$3&amp;'Funnel setup'!$K$4&amp;'Funnel setup'!$K$6,".",IF(A2435=".",1,A2435+1))</f>
        <v>.</v>
      </c>
      <c r="B2436" s="244" t="str">
        <f t="shared" si="38"/>
        <v>Knee Replacement PrimaryProviderTHE ROYAL ORTHOPAEDIC HOSPITAL NHS FOUNDATION TRUST (RRJ)EQ-5D Index</v>
      </c>
      <c r="C2436" t="s">
        <v>969</v>
      </c>
      <c r="D2436" t="s">
        <v>965</v>
      </c>
      <c r="E2436" t="s">
        <v>652</v>
      </c>
      <c r="F2436" t="s">
        <v>653</v>
      </c>
      <c r="G2436" t="s">
        <v>963</v>
      </c>
      <c r="H2436">
        <v>400</v>
      </c>
      <c r="I2436">
        <v>0.35068500000000002</v>
      </c>
      <c r="J2436">
        <v>0.74166200000000004</v>
      </c>
      <c r="K2436">
        <v>0.39097700000000002</v>
      </c>
      <c r="L2436">
        <v>343</v>
      </c>
      <c r="M2436">
        <v>16</v>
      </c>
      <c r="N2436">
        <v>41</v>
      </c>
      <c r="O2436">
        <v>0.76161100000000004</v>
      </c>
      <c r="P2436">
        <v>0.33281500000000003</v>
      </c>
      <c r="Q2436">
        <v>0.25698500000000002</v>
      </c>
    </row>
    <row r="2437" spans="1:17" x14ac:dyDescent="0.25">
      <c r="A2437" t="str">
        <f>IF(C2437&amp;G2437&amp;D2437&lt;&gt;'Funnel setup'!$K$3&amp;'Funnel setup'!$K$4&amp;'Funnel setup'!$K$6,".",IF(A2436=".",1,A2436+1))</f>
        <v>.</v>
      </c>
      <c r="B2437" s="244" t="str">
        <f t="shared" si="38"/>
        <v>Knee Replacement PrimaryProviderTHE ROYAL WOLVERHAMPTON NHS TRUST (RL4)EQ-5D Index</v>
      </c>
      <c r="C2437" t="s">
        <v>969</v>
      </c>
      <c r="D2437" t="s">
        <v>965</v>
      </c>
      <c r="E2437" t="s">
        <v>654</v>
      </c>
      <c r="F2437" t="s">
        <v>655</v>
      </c>
      <c r="G2437" t="s">
        <v>963</v>
      </c>
      <c r="H2437">
        <v>22</v>
      </c>
      <c r="I2437">
        <v>0.46577299999999999</v>
      </c>
      <c r="J2437">
        <v>0.77504499999999998</v>
      </c>
      <c r="K2437">
        <v>0.30927300000000002</v>
      </c>
      <c r="L2437">
        <v>19</v>
      </c>
      <c r="M2437">
        <v>2</v>
      </c>
      <c r="N2437">
        <v>1</v>
      </c>
      <c r="O2437" t="s">
        <v>127</v>
      </c>
      <c r="P2437" t="s">
        <v>127</v>
      </c>
      <c r="Q2437" t="s">
        <v>127</v>
      </c>
    </row>
    <row r="2438" spans="1:17" x14ac:dyDescent="0.25">
      <c r="A2438" t="str">
        <f>IF(C2438&amp;G2438&amp;D2438&lt;&gt;'Funnel setup'!$K$3&amp;'Funnel setup'!$K$4&amp;'Funnel setup'!$K$6,".",IF(A2437=".",1,A2437+1))</f>
        <v>.</v>
      </c>
      <c r="B2438" s="244" t="str">
        <f t="shared" si="38"/>
        <v>Knee Replacement PrimaryProviderTHE SHREWSBURY AND TELFORD HOSPITAL NHS TRUST (RXW)EQ-5D Index</v>
      </c>
      <c r="C2438" t="s">
        <v>969</v>
      </c>
      <c r="D2438" t="s">
        <v>965</v>
      </c>
      <c r="E2438" t="s">
        <v>656</v>
      </c>
      <c r="F2438" t="s">
        <v>657</v>
      </c>
      <c r="G2438" t="s">
        <v>963</v>
      </c>
      <c r="H2438">
        <v>13</v>
      </c>
      <c r="I2438">
        <v>0.41553800000000002</v>
      </c>
      <c r="J2438">
        <v>0.70215399999999994</v>
      </c>
      <c r="K2438">
        <v>0.28661500000000001</v>
      </c>
      <c r="L2438">
        <v>11</v>
      </c>
      <c r="M2438">
        <v>2</v>
      </c>
      <c r="N2438">
        <v>0</v>
      </c>
      <c r="O2438" t="s">
        <v>127</v>
      </c>
      <c r="P2438" t="s">
        <v>127</v>
      </c>
      <c r="Q2438" t="s">
        <v>127</v>
      </c>
    </row>
    <row r="2439" spans="1:17" x14ac:dyDescent="0.25">
      <c r="A2439" t="str">
        <f>IF(C2439&amp;G2439&amp;D2439&lt;&gt;'Funnel setup'!$K$3&amp;'Funnel setup'!$K$4&amp;'Funnel setup'!$K$6,".",IF(A2438=".",1,A2438+1))</f>
        <v>.</v>
      </c>
      <c r="B2439" s="244" t="str">
        <f t="shared" si="38"/>
        <v>Knee Replacement PrimaryProviderTHE YORKSHIRE CLINIC (NVC20)EQ-5D Index</v>
      </c>
      <c r="C2439" t="s">
        <v>969</v>
      </c>
      <c r="D2439" t="s">
        <v>965</v>
      </c>
      <c r="E2439" t="s">
        <v>662</v>
      </c>
      <c r="F2439" t="s">
        <v>663</v>
      </c>
      <c r="G2439" t="s">
        <v>963</v>
      </c>
      <c r="H2439">
        <v>32</v>
      </c>
      <c r="I2439">
        <v>0.48556300000000002</v>
      </c>
      <c r="J2439">
        <v>0.76334400000000002</v>
      </c>
      <c r="K2439">
        <v>0.277781</v>
      </c>
      <c r="L2439">
        <v>29</v>
      </c>
      <c r="M2439">
        <v>2</v>
      </c>
      <c r="N2439">
        <v>1</v>
      </c>
      <c r="O2439">
        <v>0.77098299999999997</v>
      </c>
      <c r="P2439">
        <v>0.34218799999999999</v>
      </c>
      <c r="Q2439">
        <v>0.15761600000000001</v>
      </c>
    </row>
    <row r="2440" spans="1:17" x14ac:dyDescent="0.25">
      <c r="A2440" t="str">
        <f>IF(C2440&amp;G2440&amp;D2440&lt;&gt;'Funnel setup'!$K$3&amp;'Funnel setup'!$K$4&amp;'Funnel setup'!$K$6,".",IF(A2439=".",1,A2439+1))</f>
        <v>.</v>
      </c>
      <c r="B2440" s="244" t="str">
        <f t="shared" si="38"/>
        <v>Knee Replacement PrimaryProviderTHORNBURY HOSPITAL (NT440)EQ-5D Index</v>
      </c>
      <c r="C2440" t="s">
        <v>969</v>
      </c>
      <c r="D2440" t="s">
        <v>965</v>
      </c>
      <c r="E2440" t="s">
        <v>664</v>
      </c>
      <c r="F2440" t="s">
        <v>665</v>
      </c>
      <c r="G2440" t="s">
        <v>963</v>
      </c>
      <c r="H2440">
        <v>4</v>
      </c>
      <c r="I2440">
        <v>0.46224999999999999</v>
      </c>
      <c r="J2440">
        <v>0.57950000000000002</v>
      </c>
      <c r="K2440">
        <v>0.11724999999999999</v>
      </c>
      <c r="L2440">
        <v>3</v>
      </c>
      <c r="M2440">
        <v>1</v>
      </c>
      <c r="N2440">
        <v>0</v>
      </c>
      <c r="O2440" t="s">
        <v>127</v>
      </c>
      <c r="P2440" t="s">
        <v>127</v>
      </c>
      <c r="Q2440" t="s">
        <v>127</v>
      </c>
    </row>
    <row r="2441" spans="1:17" x14ac:dyDescent="0.25">
      <c r="A2441" t="str">
        <f>IF(C2441&amp;G2441&amp;D2441&lt;&gt;'Funnel setup'!$K$3&amp;'Funnel setup'!$K$4&amp;'Funnel setup'!$K$6,".",IF(A2440=".",1,A2440+1))</f>
        <v>.</v>
      </c>
      <c r="B2441" s="244" t="str">
        <f t="shared" si="38"/>
        <v>Knee Replacement PrimaryProviderTHREE SHIRES HOSPITAL (NT441)EQ-5D Index</v>
      </c>
      <c r="C2441" t="s">
        <v>969</v>
      </c>
      <c r="D2441" t="s">
        <v>965</v>
      </c>
      <c r="E2441" t="s">
        <v>666</v>
      </c>
      <c r="F2441" t="s">
        <v>667</v>
      </c>
      <c r="G2441" t="s">
        <v>963</v>
      </c>
      <c r="H2441">
        <v>78</v>
      </c>
      <c r="I2441">
        <v>0.409244</v>
      </c>
      <c r="J2441">
        <v>0.77601299999999995</v>
      </c>
      <c r="K2441">
        <v>0.36676900000000001</v>
      </c>
      <c r="L2441">
        <v>60</v>
      </c>
      <c r="M2441">
        <v>11</v>
      </c>
      <c r="N2441">
        <v>7</v>
      </c>
      <c r="O2441">
        <v>0.74624400000000002</v>
      </c>
      <c r="P2441">
        <v>0.31744800000000001</v>
      </c>
      <c r="Q2441">
        <v>0.235232</v>
      </c>
    </row>
    <row r="2442" spans="1:17" x14ac:dyDescent="0.25">
      <c r="A2442" t="str">
        <f>IF(C2442&amp;G2442&amp;D2442&lt;&gt;'Funnel setup'!$K$3&amp;'Funnel setup'!$K$4&amp;'Funnel setup'!$K$6,".",IF(A2441=".",1,A2441+1))</f>
        <v>.</v>
      </c>
      <c r="B2442" s="244" t="str">
        <f t="shared" si="38"/>
        <v>Knee Replacement PrimaryProviderTORBAY AND SOUTH DEVON NHS FOUNDATION TRUST (RA9)EQ-5D Index</v>
      </c>
      <c r="C2442" t="s">
        <v>969</v>
      </c>
      <c r="D2442" t="s">
        <v>965</v>
      </c>
      <c r="E2442" t="s">
        <v>668</v>
      </c>
      <c r="F2442" t="s">
        <v>669</v>
      </c>
      <c r="G2442" t="s">
        <v>963</v>
      </c>
      <c r="H2442">
        <v>6</v>
      </c>
      <c r="I2442">
        <v>0.338667</v>
      </c>
      <c r="J2442">
        <v>0.57883300000000004</v>
      </c>
      <c r="K2442">
        <v>0.24016699999999999</v>
      </c>
      <c r="L2442">
        <v>4</v>
      </c>
      <c r="M2442">
        <v>1</v>
      </c>
      <c r="N2442">
        <v>1</v>
      </c>
      <c r="O2442" t="s">
        <v>127</v>
      </c>
      <c r="P2442" t="s">
        <v>127</v>
      </c>
      <c r="Q2442" t="s">
        <v>127</v>
      </c>
    </row>
    <row r="2443" spans="1:17" x14ac:dyDescent="0.25">
      <c r="A2443" t="str">
        <f>IF(C2443&amp;G2443&amp;D2443&lt;&gt;'Funnel setup'!$K$3&amp;'Funnel setup'!$K$4&amp;'Funnel setup'!$K$6,".",IF(A2442=".",1,A2442+1))</f>
        <v>.</v>
      </c>
      <c r="B2443" s="244" t="str">
        <f t="shared" si="38"/>
        <v>Knee Replacement PrimaryProviderUNITED LINCOLNSHIRE HOSPITALS NHS TRUST (RWD)EQ-5D Index</v>
      </c>
      <c r="C2443" t="s">
        <v>969</v>
      </c>
      <c r="D2443" t="s">
        <v>965</v>
      </c>
      <c r="E2443" t="s">
        <v>672</v>
      </c>
      <c r="F2443" t="s">
        <v>673</v>
      </c>
      <c r="G2443" t="s">
        <v>963</v>
      </c>
      <c r="H2443">
        <v>35</v>
      </c>
      <c r="I2443">
        <v>0.32962900000000001</v>
      </c>
      <c r="J2443">
        <v>0.683114</v>
      </c>
      <c r="K2443">
        <v>0.35348600000000002</v>
      </c>
      <c r="L2443">
        <v>34</v>
      </c>
      <c r="M2443">
        <v>0</v>
      </c>
      <c r="N2443">
        <v>1</v>
      </c>
      <c r="O2443">
        <v>0.70584000000000002</v>
      </c>
      <c r="P2443">
        <v>0.27704499999999999</v>
      </c>
      <c r="Q2443">
        <v>0.25594699999999998</v>
      </c>
    </row>
    <row r="2444" spans="1:17" x14ac:dyDescent="0.25">
      <c r="A2444" t="str">
        <f>IF(C2444&amp;G2444&amp;D2444&lt;&gt;'Funnel setup'!$K$3&amp;'Funnel setup'!$K$4&amp;'Funnel setup'!$K$6,".",IF(A2443=".",1,A2443+1))</f>
        <v>.</v>
      </c>
      <c r="B2444" s="244" t="str">
        <f t="shared" si="38"/>
        <v>Knee Replacement PrimaryProviderUNIVERSITY COLLEGE LONDON HOSPITALS NHS FOUNDATION TRUST (RRV)EQ-5D Index</v>
      </c>
      <c r="C2444" t="s">
        <v>969</v>
      </c>
      <c r="D2444" t="s">
        <v>965</v>
      </c>
      <c r="E2444" t="s">
        <v>674</v>
      </c>
      <c r="F2444" t="s">
        <v>675</v>
      </c>
      <c r="G2444" t="s">
        <v>963</v>
      </c>
      <c r="H2444">
        <v>158</v>
      </c>
      <c r="I2444">
        <v>0.459032</v>
      </c>
      <c r="J2444">
        <v>0.69442400000000004</v>
      </c>
      <c r="K2444">
        <v>0.23539199999999999</v>
      </c>
      <c r="L2444">
        <v>118</v>
      </c>
      <c r="M2444">
        <v>22</v>
      </c>
      <c r="N2444">
        <v>18</v>
      </c>
      <c r="O2444">
        <v>0.717005</v>
      </c>
      <c r="P2444">
        <v>0.28820899999999999</v>
      </c>
      <c r="Q2444">
        <v>0.24404200000000001</v>
      </c>
    </row>
    <row r="2445" spans="1:17" x14ac:dyDescent="0.25">
      <c r="A2445" t="str">
        <f>IF(C2445&amp;G2445&amp;D2445&lt;&gt;'Funnel setup'!$K$3&amp;'Funnel setup'!$K$4&amp;'Funnel setup'!$K$6,".",IF(A2444=".",1,A2444+1))</f>
        <v>.</v>
      </c>
      <c r="B2445" s="244" t="str">
        <f t="shared" si="38"/>
        <v>Knee Replacement PrimaryProviderUNIVERSITY HOSPITAL SOUTHAMPTON NHS FOUNDATION TRUST (RHM)EQ-5D Index</v>
      </c>
      <c r="C2445" t="s">
        <v>969</v>
      </c>
      <c r="D2445" t="s">
        <v>965</v>
      </c>
      <c r="E2445" t="s">
        <v>676</v>
      </c>
      <c r="F2445" t="s">
        <v>677</v>
      </c>
      <c r="G2445" t="s">
        <v>963</v>
      </c>
      <c r="H2445">
        <v>77</v>
      </c>
      <c r="I2445">
        <v>0.45255800000000002</v>
      </c>
      <c r="J2445">
        <v>0.76464900000000002</v>
      </c>
      <c r="K2445">
        <v>0.31209100000000001</v>
      </c>
      <c r="L2445">
        <v>63</v>
      </c>
      <c r="M2445">
        <v>6</v>
      </c>
      <c r="N2445">
        <v>8</v>
      </c>
      <c r="O2445">
        <v>0.75539800000000001</v>
      </c>
      <c r="P2445">
        <v>0.326602</v>
      </c>
      <c r="Q2445">
        <v>0.24940699999999999</v>
      </c>
    </row>
    <row r="2446" spans="1:17" x14ac:dyDescent="0.25">
      <c r="A2446" t="str">
        <f>IF(C2446&amp;G2446&amp;D2446&lt;&gt;'Funnel setup'!$K$3&amp;'Funnel setup'!$K$4&amp;'Funnel setup'!$K$6,".",IF(A2445=".",1,A2445+1))</f>
        <v>.</v>
      </c>
      <c r="B2446" s="244" t="str">
        <f t="shared" si="38"/>
        <v>Knee Replacement PrimaryProviderUNIVERSITY HOSPITALS BRISTOL AND WESTON NHS FOUNDATION TRUST (RA7)EQ-5D Index</v>
      </c>
      <c r="C2446" t="s">
        <v>969</v>
      </c>
      <c r="D2446" t="s">
        <v>965</v>
      </c>
      <c r="E2446" t="s">
        <v>680</v>
      </c>
      <c r="F2446" t="s">
        <v>681</v>
      </c>
      <c r="G2446" t="s">
        <v>963</v>
      </c>
      <c r="H2446">
        <v>17</v>
      </c>
      <c r="I2446">
        <v>0.20452899999999999</v>
      </c>
      <c r="J2446">
        <v>0.67676499999999995</v>
      </c>
      <c r="K2446">
        <v>0.47223500000000002</v>
      </c>
      <c r="L2446">
        <v>16</v>
      </c>
      <c r="M2446">
        <v>0</v>
      </c>
      <c r="N2446">
        <v>1</v>
      </c>
      <c r="O2446" t="s">
        <v>127</v>
      </c>
      <c r="P2446" t="s">
        <v>127</v>
      </c>
      <c r="Q2446" t="s">
        <v>127</v>
      </c>
    </row>
    <row r="2447" spans="1:17" x14ac:dyDescent="0.25">
      <c r="A2447" t="str">
        <f>IF(C2447&amp;G2447&amp;D2447&lt;&gt;'Funnel setup'!$K$3&amp;'Funnel setup'!$K$4&amp;'Funnel setup'!$K$6,".",IF(A2446=".",1,A2446+1))</f>
        <v>.</v>
      </c>
      <c r="B2447" s="244" t="str">
        <f t="shared" si="38"/>
        <v>Knee Replacement PrimaryProviderUNIVERSITY HOSPITALS COVENTRY AND WARWICKSHIRE NHS TRUST (RKB)EQ-5D Index</v>
      </c>
      <c r="C2447" t="s">
        <v>969</v>
      </c>
      <c r="D2447" t="s">
        <v>965</v>
      </c>
      <c r="E2447" t="s">
        <v>682</v>
      </c>
      <c r="F2447" t="s">
        <v>683</v>
      </c>
      <c r="G2447" t="s">
        <v>963</v>
      </c>
      <c r="H2447">
        <v>17</v>
      </c>
      <c r="I2447">
        <v>0.39005899999999999</v>
      </c>
      <c r="J2447">
        <v>0.85305900000000001</v>
      </c>
      <c r="K2447">
        <v>0.46300000000000002</v>
      </c>
      <c r="L2447">
        <v>17</v>
      </c>
      <c r="M2447">
        <v>0</v>
      </c>
      <c r="N2447">
        <v>0</v>
      </c>
      <c r="O2447" t="s">
        <v>127</v>
      </c>
      <c r="P2447" t="s">
        <v>127</v>
      </c>
      <c r="Q2447" t="s">
        <v>127</v>
      </c>
    </row>
    <row r="2448" spans="1:17" x14ac:dyDescent="0.25">
      <c r="A2448" t="str">
        <f>IF(C2448&amp;G2448&amp;D2448&lt;&gt;'Funnel setup'!$K$3&amp;'Funnel setup'!$K$4&amp;'Funnel setup'!$K$6,".",IF(A2447=".",1,A2447+1))</f>
        <v>.</v>
      </c>
      <c r="B2448" s="244" t="str">
        <f t="shared" si="38"/>
        <v>Knee Replacement PrimaryProviderUNIVERSITY HOSPITAL DORSET NHS FUNDATION TRUST (R0D)EQ-5D Index</v>
      </c>
      <c r="C2448" t="s">
        <v>969</v>
      </c>
      <c r="D2448" t="s">
        <v>965</v>
      </c>
      <c r="E2448" t="s">
        <v>684</v>
      </c>
      <c r="F2448" t="s">
        <v>966</v>
      </c>
      <c r="G2448" t="s">
        <v>963</v>
      </c>
      <c r="H2448">
        <v>186</v>
      </c>
      <c r="I2448">
        <v>0.50364500000000001</v>
      </c>
      <c r="J2448">
        <v>0.75782300000000002</v>
      </c>
      <c r="K2448">
        <v>0.25417699999999999</v>
      </c>
      <c r="L2448">
        <v>150</v>
      </c>
      <c r="M2448">
        <v>14</v>
      </c>
      <c r="N2448">
        <v>22</v>
      </c>
      <c r="O2448">
        <v>0.74750799999999995</v>
      </c>
      <c r="P2448">
        <v>0.318712</v>
      </c>
      <c r="Q2448">
        <v>0.21345800000000001</v>
      </c>
    </row>
    <row r="2449" spans="1:17" x14ac:dyDescent="0.25">
      <c r="A2449" t="str">
        <f>IF(C2449&amp;G2449&amp;D2449&lt;&gt;'Funnel setup'!$K$3&amp;'Funnel setup'!$K$4&amp;'Funnel setup'!$K$6,".",IF(A2448=".",1,A2448+1))</f>
        <v>.</v>
      </c>
      <c r="B2449" s="244" t="str">
        <f t="shared" si="38"/>
        <v>Knee Replacement PrimaryProviderUNIVERSITY HOSPITALS OF DERBY AND BURTON NHS FOUNDATION TRUST (RTG)EQ-5D Index</v>
      </c>
      <c r="C2449" t="s">
        <v>969</v>
      </c>
      <c r="D2449" t="s">
        <v>965</v>
      </c>
      <c r="E2449" t="s">
        <v>686</v>
      </c>
      <c r="F2449" t="s">
        <v>687</v>
      </c>
      <c r="G2449" t="s">
        <v>963</v>
      </c>
      <c r="H2449">
        <v>350</v>
      </c>
      <c r="I2449">
        <v>0.43531999999999998</v>
      </c>
      <c r="J2449">
        <v>0.738097</v>
      </c>
      <c r="K2449">
        <v>0.30277700000000002</v>
      </c>
      <c r="L2449">
        <v>277</v>
      </c>
      <c r="M2449">
        <v>38</v>
      </c>
      <c r="N2449">
        <v>35</v>
      </c>
      <c r="O2449">
        <v>0.744251</v>
      </c>
      <c r="P2449">
        <v>0.31545499999999999</v>
      </c>
      <c r="Q2449">
        <v>0.23924899999999999</v>
      </c>
    </row>
    <row r="2450" spans="1:17" x14ac:dyDescent="0.25">
      <c r="A2450" t="str">
        <f>IF(C2450&amp;G2450&amp;D2450&lt;&gt;'Funnel setup'!$K$3&amp;'Funnel setup'!$K$4&amp;'Funnel setup'!$K$6,".",IF(A2449=".",1,A2449+1))</f>
        <v>.</v>
      </c>
      <c r="B2450" s="244" t="str">
        <f t="shared" si="38"/>
        <v>Knee Replacement PrimaryProviderUNIVERSITY HOSPITALS OF LEICESTER NHS TRUST (RWE)EQ-5D Index</v>
      </c>
      <c r="C2450" t="s">
        <v>969</v>
      </c>
      <c r="D2450" t="s">
        <v>965</v>
      </c>
      <c r="E2450" t="s">
        <v>688</v>
      </c>
      <c r="F2450" t="s">
        <v>689</v>
      </c>
      <c r="G2450" t="s">
        <v>963</v>
      </c>
      <c r="H2450">
        <v>165</v>
      </c>
      <c r="I2450">
        <v>0.342279</v>
      </c>
      <c r="J2450">
        <v>0.68359999999999999</v>
      </c>
      <c r="K2450">
        <v>0.34132099999999999</v>
      </c>
      <c r="L2450">
        <v>127</v>
      </c>
      <c r="M2450">
        <v>20</v>
      </c>
      <c r="N2450">
        <v>18</v>
      </c>
      <c r="O2450">
        <v>0.72653000000000001</v>
      </c>
      <c r="P2450">
        <v>0.297734</v>
      </c>
      <c r="Q2450">
        <v>0.24509400000000001</v>
      </c>
    </row>
    <row r="2451" spans="1:17" x14ac:dyDescent="0.25">
      <c r="A2451" t="str">
        <f>IF(C2451&amp;G2451&amp;D2451&lt;&gt;'Funnel setup'!$K$3&amp;'Funnel setup'!$K$4&amp;'Funnel setup'!$K$6,".",IF(A2450=".",1,A2450+1))</f>
        <v>.</v>
      </c>
      <c r="B2451" s="244" t="str">
        <f t="shared" si="38"/>
        <v>Knee Replacement PrimaryProviderUNIVERSITY HOSPITALS OF MORECAMBE BAY NHS FOUNDATION TRUST (RTX)EQ-5D Index</v>
      </c>
      <c r="C2451" t="s">
        <v>969</v>
      </c>
      <c r="D2451" t="s">
        <v>965</v>
      </c>
      <c r="E2451" t="s">
        <v>690</v>
      </c>
      <c r="F2451" t="s">
        <v>691</v>
      </c>
      <c r="G2451" t="s">
        <v>963</v>
      </c>
      <c r="H2451">
        <v>158</v>
      </c>
      <c r="I2451">
        <v>0.41652499999999998</v>
      </c>
      <c r="J2451">
        <v>0.74297500000000005</v>
      </c>
      <c r="K2451">
        <v>0.32644899999999999</v>
      </c>
      <c r="L2451">
        <v>126</v>
      </c>
      <c r="M2451">
        <v>12</v>
      </c>
      <c r="N2451">
        <v>20</v>
      </c>
      <c r="O2451">
        <v>0.74561900000000003</v>
      </c>
      <c r="P2451">
        <v>0.31682300000000002</v>
      </c>
      <c r="Q2451">
        <v>0.23624000000000001</v>
      </c>
    </row>
    <row r="2452" spans="1:17" x14ac:dyDescent="0.25">
      <c r="A2452" t="str">
        <f>IF(C2452&amp;G2452&amp;D2452&lt;&gt;'Funnel setup'!$K$3&amp;'Funnel setup'!$K$4&amp;'Funnel setup'!$K$6,".",IF(A2451=".",1,A2451+1))</f>
        <v>.</v>
      </c>
      <c r="B2452" s="244" t="str">
        <f t="shared" si="38"/>
        <v>Knee Replacement PrimaryProviderUNIVERSITY HOSPITALS OF NORTH MIDLANDS NHS TRUST (RJE)EQ-5D Index</v>
      </c>
      <c r="C2452" t="s">
        <v>969</v>
      </c>
      <c r="D2452" t="s">
        <v>965</v>
      </c>
      <c r="E2452" t="s">
        <v>692</v>
      </c>
      <c r="F2452" t="s">
        <v>693</v>
      </c>
      <c r="G2452" t="s">
        <v>963</v>
      </c>
      <c r="H2452">
        <v>17</v>
      </c>
      <c r="I2452">
        <v>0.28176499999999999</v>
      </c>
      <c r="J2452">
        <v>0.64817599999999997</v>
      </c>
      <c r="K2452">
        <v>0.36641200000000002</v>
      </c>
      <c r="L2452">
        <v>15</v>
      </c>
      <c r="M2452">
        <v>1</v>
      </c>
      <c r="N2452">
        <v>1</v>
      </c>
      <c r="O2452" t="s">
        <v>127</v>
      </c>
      <c r="P2452" t="s">
        <v>127</v>
      </c>
      <c r="Q2452" t="s">
        <v>127</v>
      </c>
    </row>
    <row r="2453" spans="1:17" x14ac:dyDescent="0.25">
      <c r="A2453" t="str">
        <f>IF(C2453&amp;G2453&amp;D2453&lt;&gt;'Funnel setup'!$K$3&amp;'Funnel setup'!$K$4&amp;'Funnel setup'!$K$6,".",IF(A2452=".",1,A2452+1))</f>
        <v>.</v>
      </c>
      <c r="B2453" s="244" t="str">
        <f t="shared" si="38"/>
        <v>Knee Replacement PrimaryProviderUNIVERSITY HOSPITALS PLYMOUTH NHS TRUST (RK9)EQ-5D Index</v>
      </c>
      <c r="C2453" t="s">
        <v>969</v>
      </c>
      <c r="D2453" t="s">
        <v>965</v>
      </c>
      <c r="E2453" t="s">
        <v>694</v>
      </c>
      <c r="F2453" t="s">
        <v>695</v>
      </c>
      <c r="G2453" t="s">
        <v>963</v>
      </c>
      <c r="H2453">
        <v>3</v>
      </c>
      <c r="I2453">
        <v>7.7333299999999994E-2</v>
      </c>
      <c r="J2453">
        <v>0.20033300000000001</v>
      </c>
      <c r="K2453">
        <v>0.123</v>
      </c>
      <c r="L2453">
        <v>1</v>
      </c>
      <c r="M2453">
        <v>0</v>
      </c>
      <c r="N2453">
        <v>2</v>
      </c>
      <c r="O2453" t="s">
        <v>127</v>
      </c>
      <c r="P2453" t="s">
        <v>127</v>
      </c>
      <c r="Q2453" t="s">
        <v>127</v>
      </c>
    </row>
    <row r="2454" spans="1:17" x14ac:dyDescent="0.25">
      <c r="A2454" t="str">
        <f>IF(C2454&amp;G2454&amp;D2454&lt;&gt;'Funnel setup'!$K$3&amp;'Funnel setup'!$K$4&amp;'Funnel setup'!$K$6,".",IF(A2453=".",1,A2453+1))</f>
        <v>.</v>
      </c>
      <c r="B2454" s="244" t="str">
        <f t="shared" si="38"/>
        <v>Knee Replacement PrimaryProviderUNIVERSITY HOSPITALS SUSSEX NHS FOUNDATION TRUST (RYR)EQ-5D Index</v>
      </c>
      <c r="C2454" t="s">
        <v>969</v>
      </c>
      <c r="D2454" t="s">
        <v>965</v>
      </c>
      <c r="E2454" t="s">
        <v>696</v>
      </c>
      <c r="F2454" t="s">
        <v>697</v>
      </c>
      <c r="G2454" t="s">
        <v>963</v>
      </c>
      <c r="H2454">
        <v>125</v>
      </c>
      <c r="I2454">
        <v>0.36530400000000002</v>
      </c>
      <c r="J2454">
        <v>0.71421599999999996</v>
      </c>
      <c r="K2454">
        <v>0.348912</v>
      </c>
      <c r="L2454">
        <v>102</v>
      </c>
      <c r="M2454">
        <v>14</v>
      </c>
      <c r="N2454">
        <v>9</v>
      </c>
      <c r="O2454">
        <v>0.72353999999999996</v>
      </c>
      <c r="P2454">
        <v>0.29474400000000001</v>
      </c>
      <c r="Q2454">
        <v>0.23413300000000001</v>
      </c>
    </row>
    <row r="2455" spans="1:17" x14ac:dyDescent="0.25">
      <c r="A2455" t="str">
        <f>IF(C2455&amp;G2455&amp;D2455&lt;&gt;'Funnel setup'!$K$3&amp;'Funnel setup'!$K$4&amp;'Funnel setup'!$K$6,".",IF(A2454=".",1,A2454+1))</f>
        <v>.</v>
      </c>
      <c r="B2455" s="244" t="str">
        <f t="shared" si="38"/>
        <v>Knee Replacement PrimaryProviderWALSALL HEALTHCARE NHS TRUST (RBK)EQ-5D Index</v>
      </c>
      <c r="C2455" t="s">
        <v>969</v>
      </c>
      <c r="D2455" t="s">
        <v>965</v>
      </c>
      <c r="E2455" t="s">
        <v>698</v>
      </c>
      <c r="F2455" t="s">
        <v>699</v>
      </c>
      <c r="G2455" t="s">
        <v>963</v>
      </c>
      <c r="H2455">
        <v>9</v>
      </c>
      <c r="I2455">
        <v>0.42611100000000002</v>
      </c>
      <c r="J2455">
        <v>0.751</v>
      </c>
      <c r="K2455">
        <v>0.32488899999999998</v>
      </c>
      <c r="L2455">
        <v>7</v>
      </c>
      <c r="M2455">
        <v>0</v>
      </c>
      <c r="N2455">
        <v>2</v>
      </c>
      <c r="O2455" t="s">
        <v>127</v>
      </c>
      <c r="P2455" t="s">
        <v>127</v>
      </c>
      <c r="Q2455" t="s">
        <v>127</v>
      </c>
    </row>
    <row r="2456" spans="1:17" x14ac:dyDescent="0.25">
      <c r="A2456" t="str">
        <f>IF(C2456&amp;G2456&amp;D2456&lt;&gt;'Funnel setup'!$K$3&amp;'Funnel setup'!$K$4&amp;'Funnel setup'!$K$6,".",IF(A2455=".",1,A2455+1))</f>
        <v>.</v>
      </c>
      <c r="B2456" s="244" t="str">
        <f t="shared" si="38"/>
        <v>Knee Replacement PrimaryProviderWARRINGTON AND HALTON TEACHING HOSPITALS NHS FOUNDATION TRUST (RWW)EQ-5D Index</v>
      </c>
      <c r="C2456" t="s">
        <v>969</v>
      </c>
      <c r="D2456" t="s">
        <v>965</v>
      </c>
      <c r="E2456" t="s">
        <v>700</v>
      </c>
      <c r="F2456" t="s">
        <v>701</v>
      </c>
      <c r="G2456" t="s">
        <v>963</v>
      </c>
      <c r="H2456">
        <v>30</v>
      </c>
      <c r="I2456">
        <v>0.39800000000000002</v>
      </c>
      <c r="J2456">
        <v>0.72046699999999997</v>
      </c>
      <c r="K2456">
        <v>0.322467</v>
      </c>
      <c r="L2456">
        <v>22</v>
      </c>
      <c r="M2456">
        <v>4</v>
      </c>
      <c r="N2456">
        <v>4</v>
      </c>
      <c r="O2456">
        <v>0.74775599999999998</v>
      </c>
      <c r="P2456">
        <v>0.31896099999999999</v>
      </c>
      <c r="Q2456">
        <v>0.21398500000000001</v>
      </c>
    </row>
    <row r="2457" spans="1:17" x14ac:dyDescent="0.25">
      <c r="A2457" t="str">
        <f>IF(C2457&amp;G2457&amp;D2457&lt;&gt;'Funnel setup'!$K$3&amp;'Funnel setup'!$K$4&amp;'Funnel setup'!$K$6,".",IF(A2456=".",1,A2456+1))</f>
        <v>.</v>
      </c>
      <c r="B2457" s="244" t="str">
        <f t="shared" si="38"/>
        <v>Knee Replacement PrimaryProviderWEST HERTFORDSHIRE TEACHING HOSPITALS NHS TRUST (RWG)EQ-5D Index</v>
      </c>
      <c r="C2457" t="s">
        <v>969</v>
      </c>
      <c r="D2457" t="s">
        <v>965</v>
      </c>
      <c r="E2457" t="s">
        <v>702</v>
      </c>
      <c r="F2457" t="s">
        <v>703</v>
      </c>
      <c r="G2457" t="s">
        <v>963</v>
      </c>
      <c r="H2457">
        <v>76</v>
      </c>
      <c r="I2457">
        <v>0.445579</v>
      </c>
      <c r="J2457">
        <v>0.72682899999999995</v>
      </c>
      <c r="K2457">
        <v>0.28125</v>
      </c>
      <c r="L2457">
        <v>57</v>
      </c>
      <c r="M2457">
        <v>9</v>
      </c>
      <c r="N2457">
        <v>10</v>
      </c>
      <c r="O2457">
        <v>0.71671799999999997</v>
      </c>
      <c r="P2457">
        <v>0.28792200000000001</v>
      </c>
      <c r="Q2457">
        <v>0.27504899999999999</v>
      </c>
    </row>
    <row r="2458" spans="1:17" x14ac:dyDescent="0.25">
      <c r="A2458" t="str">
        <f>IF(C2458&amp;G2458&amp;D2458&lt;&gt;'Funnel setup'!$K$3&amp;'Funnel setup'!$K$4&amp;'Funnel setup'!$K$6,".",IF(A2457=".",1,A2457+1))</f>
        <v>.</v>
      </c>
      <c r="B2458" s="244" t="str">
        <f t="shared" si="38"/>
        <v>Knee Replacement PrimaryProviderWEST MIDLANDS HOSPITAL (NVC21)EQ-5D Index</v>
      </c>
      <c r="C2458" t="s">
        <v>969</v>
      </c>
      <c r="D2458" t="s">
        <v>965</v>
      </c>
      <c r="E2458" t="s">
        <v>704</v>
      </c>
      <c r="F2458" t="s">
        <v>705</v>
      </c>
      <c r="G2458" t="s">
        <v>963</v>
      </c>
      <c r="H2458">
        <v>61</v>
      </c>
      <c r="I2458">
        <v>0.37414799999999998</v>
      </c>
      <c r="J2458">
        <v>0.76780300000000001</v>
      </c>
      <c r="K2458">
        <v>0.39365600000000001</v>
      </c>
      <c r="L2458">
        <v>54</v>
      </c>
      <c r="M2458">
        <v>3</v>
      </c>
      <c r="N2458">
        <v>4</v>
      </c>
      <c r="O2458">
        <v>0.79846200000000001</v>
      </c>
      <c r="P2458">
        <v>0.36966599999999999</v>
      </c>
      <c r="Q2458">
        <v>0.21226200000000001</v>
      </c>
    </row>
    <row r="2459" spans="1:17" x14ac:dyDescent="0.25">
      <c r="A2459" t="str">
        <f>IF(C2459&amp;G2459&amp;D2459&lt;&gt;'Funnel setup'!$K$3&amp;'Funnel setup'!$K$4&amp;'Funnel setup'!$K$6,".",IF(A2458=".",1,A2458+1))</f>
        <v>.</v>
      </c>
      <c r="B2459" s="244" t="str">
        <f t="shared" si="38"/>
        <v>Knee Replacement PrimaryProviderWEST SUFFOLK NHS FOUNDATION TRUST (RGR)EQ-5D Index</v>
      </c>
      <c r="C2459" t="s">
        <v>969</v>
      </c>
      <c r="D2459" t="s">
        <v>965</v>
      </c>
      <c r="E2459" t="s">
        <v>706</v>
      </c>
      <c r="F2459" t="s">
        <v>707</v>
      </c>
      <c r="G2459" t="s">
        <v>963</v>
      </c>
      <c r="H2459">
        <v>66</v>
      </c>
      <c r="I2459">
        <v>0.39007599999999998</v>
      </c>
      <c r="J2459">
        <v>0.74237900000000001</v>
      </c>
      <c r="K2459">
        <v>0.35230299999999998</v>
      </c>
      <c r="L2459">
        <v>52</v>
      </c>
      <c r="M2459">
        <v>5</v>
      </c>
      <c r="N2459">
        <v>9</v>
      </c>
      <c r="O2459">
        <v>0.73754799999999998</v>
      </c>
      <c r="P2459">
        <v>0.30875200000000003</v>
      </c>
      <c r="Q2459">
        <v>0.255911</v>
      </c>
    </row>
    <row r="2460" spans="1:17" x14ac:dyDescent="0.25">
      <c r="A2460" t="str">
        <f>IF(C2460&amp;G2460&amp;D2460&lt;&gt;'Funnel setup'!$K$3&amp;'Funnel setup'!$K$4&amp;'Funnel setup'!$K$6,".",IF(A2459=".",1,A2459+1))</f>
        <v>.</v>
      </c>
      <c r="B2460" s="244" t="str">
        <f t="shared" si="38"/>
        <v>Knee Replacement PrimaryProviderWINFIELD HOSPITAL (NVC22)EQ-5D Index</v>
      </c>
      <c r="C2460" t="s">
        <v>969</v>
      </c>
      <c r="D2460" t="s">
        <v>965</v>
      </c>
      <c r="E2460" t="s">
        <v>710</v>
      </c>
      <c r="F2460" t="s">
        <v>711</v>
      </c>
      <c r="G2460" t="s">
        <v>963</v>
      </c>
      <c r="H2460">
        <v>50</v>
      </c>
      <c r="I2460">
        <v>0.55991999999999997</v>
      </c>
      <c r="J2460">
        <v>0.81198000000000004</v>
      </c>
      <c r="K2460">
        <v>0.25206000000000001</v>
      </c>
      <c r="L2460">
        <v>44</v>
      </c>
      <c r="M2460">
        <v>4</v>
      </c>
      <c r="N2460">
        <v>2</v>
      </c>
      <c r="O2460">
        <v>0.76419300000000001</v>
      </c>
      <c r="P2460">
        <v>0.335397</v>
      </c>
      <c r="Q2460">
        <v>0.22256500000000001</v>
      </c>
    </row>
    <row r="2461" spans="1:17" x14ac:dyDescent="0.25">
      <c r="A2461" t="str">
        <f>IF(C2461&amp;G2461&amp;D2461&lt;&gt;'Funnel setup'!$K$3&amp;'Funnel setup'!$K$4&amp;'Funnel setup'!$K$6,".",IF(A2460=".",1,A2460+1))</f>
        <v>.</v>
      </c>
      <c r="B2461" s="244" t="str">
        <f t="shared" si="38"/>
        <v>Knee Replacement PrimaryProviderWINTERBOURNE HOSPITAL (NT443)EQ-5D Index</v>
      </c>
      <c r="C2461" t="s">
        <v>969</v>
      </c>
      <c r="D2461" t="s">
        <v>965</v>
      </c>
      <c r="E2461" t="s">
        <v>712</v>
      </c>
      <c r="F2461" t="s">
        <v>713</v>
      </c>
      <c r="G2461" t="s">
        <v>963</v>
      </c>
      <c r="H2461">
        <v>39</v>
      </c>
      <c r="I2461">
        <v>0.47051300000000001</v>
      </c>
      <c r="J2461">
        <v>0.83310300000000004</v>
      </c>
      <c r="K2461">
        <v>0.36259000000000002</v>
      </c>
      <c r="L2461">
        <v>35</v>
      </c>
      <c r="M2461">
        <v>0</v>
      </c>
      <c r="N2461">
        <v>4</v>
      </c>
      <c r="O2461">
        <v>0.80580099999999999</v>
      </c>
      <c r="P2461">
        <v>0.37700499999999998</v>
      </c>
      <c r="Q2461">
        <v>0.21589900000000001</v>
      </c>
    </row>
    <row r="2462" spans="1:17" x14ac:dyDescent="0.25">
      <c r="A2462" t="str">
        <f>IF(C2462&amp;G2462&amp;D2462&lt;&gt;'Funnel setup'!$K$3&amp;'Funnel setup'!$K$4&amp;'Funnel setup'!$K$6,".",IF(A2461=".",1,A2461+1))</f>
        <v>.</v>
      </c>
      <c r="B2462" s="244" t="str">
        <f t="shared" si="38"/>
        <v>Knee Replacement PrimaryProviderWIRRAL UNIVERSITY TEACHING HOSPITAL NHS FOUNDATION TRUST (RBL)EQ-5D Index</v>
      </c>
      <c r="C2462" t="s">
        <v>969</v>
      </c>
      <c r="D2462" t="s">
        <v>965</v>
      </c>
      <c r="E2462" t="s">
        <v>714</v>
      </c>
      <c r="F2462" t="s">
        <v>715</v>
      </c>
      <c r="G2462" t="s">
        <v>963</v>
      </c>
      <c r="H2462">
        <v>81</v>
      </c>
      <c r="I2462">
        <v>0.39454299999999998</v>
      </c>
      <c r="J2462">
        <v>0.75276500000000002</v>
      </c>
      <c r="K2462">
        <v>0.35822199999999998</v>
      </c>
      <c r="L2462">
        <v>69</v>
      </c>
      <c r="M2462">
        <v>2</v>
      </c>
      <c r="N2462">
        <v>10</v>
      </c>
      <c r="O2462">
        <v>0.76360600000000001</v>
      </c>
      <c r="P2462">
        <v>0.33481100000000003</v>
      </c>
      <c r="Q2462">
        <v>0.251911</v>
      </c>
    </row>
    <row r="2463" spans="1:17" x14ac:dyDescent="0.25">
      <c r="A2463" t="str">
        <f>IF(C2463&amp;G2463&amp;D2463&lt;&gt;'Funnel setup'!$K$3&amp;'Funnel setup'!$K$4&amp;'Funnel setup'!$K$6,".",IF(A2462=".",1,A2462+1))</f>
        <v>.</v>
      </c>
      <c r="B2463" s="244" t="str">
        <f t="shared" si="38"/>
        <v>Knee Replacement PrimaryProviderWOODLAND HOSPITAL (NVC23)EQ-5D Index</v>
      </c>
      <c r="C2463" t="s">
        <v>969</v>
      </c>
      <c r="D2463" t="s">
        <v>965</v>
      </c>
      <c r="E2463" t="s">
        <v>716</v>
      </c>
      <c r="F2463" t="s">
        <v>717</v>
      </c>
      <c r="G2463" t="s">
        <v>963</v>
      </c>
      <c r="H2463">
        <v>62</v>
      </c>
      <c r="I2463">
        <v>0.277339</v>
      </c>
      <c r="J2463">
        <v>0.75059699999999996</v>
      </c>
      <c r="K2463">
        <v>0.47325800000000001</v>
      </c>
      <c r="L2463">
        <v>54</v>
      </c>
      <c r="M2463">
        <v>6</v>
      </c>
      <c r="N2463">
        <v>2</v>
      </c>
      <c r="O2463">
        <v>0.76576599999999995</v>
      </c>
      <c r="P2463">
        <v>0.33696999999999999</v>
      </c>
      <c r="Q2463">
        <v>0.23625499999999999</v>
      </c>
    </row>
    <row r="2464" spans="1:17" x14ac:dyDescent="0.25">
      <c r="A2464" t="str">
        <f>IF(C2464&amp;G2464&amp;D2464&lt;&gt;'Funnel setup'!$K$3&amp;'Funnel setup'!$K$4&amp;'Funnel setup'!$K$6,".",IF(A2463=".",1,A2463+1))</f>
        <v>.</v>
      </c>
      <c r="B2464" s="244" t="str">
        <f t="shared" si="38"/>
        <v>Knee Replacement PrimaryProviderWOODLANDS HOSPITAL (NT457)EQ-5D Index</v>
      </c>
      <c r="C2464" t="s">
        <v>969</v>
      </c>
      <c r="D2464" t="s">
        <v>965</v>
      </c>
      <c r="E2464" t="s">
        <v>718</v>
      </c>
      <c r="F2464" t="s">
        <v>719</v>
      </c>
      <c r="G2464" t="s">
        <v>963</v>
      </c>
      <c r="H2464">
        <v>86</v>
      </c>
      <c r="I2464">
        <v>0.46247700000000003</v>
      </c>
      <c r="J2464">
        <v>0.78100000000000003</v>
      </c>
      <c r="K2464">
        <v>0.318523</v>
      </c>
      <c r="L2464">
        <v>67</v>
      </c>
      <c r="M2464">
        <v>8</v>
      </c>
      <c r="N2464">
        <v>11</v>
      </c>
      <c r="O2464">
        <v>0.75356800000000002</v>
      </c>
      <c r="P2464">
        <v>0.32477299999999998</v>
      </c>
      <c r="Q2464">
        <v>0.26630100000000001</v>
      </c>
    </row>
    <row r="2465" spans="1:17" x14ac:dyDescent="0.25">
      <c r="A2465" t="str">
        <f>IF(C2465&amp;G2465&amp;D2465&lt;&gt;'Funnel setup'!$K$3&amp;'Funnel setup'!$K$4&amp;'Funnel setup'!$K$6,".",IF(A2464=".",1,A2464+1))</f>
        <v>.</v>
      </c>
      <c r="B2465" s="244" t="str">
        <f t="shared" si="38"/>
        <v>Knee Replacement PrimaryProviderWOODTHORPE HOSPITAL (NVC40)EQ-5D Index</v>
      </c>
      <c r="C2465" t="s">
        <v>969</v>
      </c>
      <c r="D2465" t="s">
        <v>965</v>
      </c>
      <c r="E2465" t="s">
        <v>720</v>
      </c>
      <c r="F2465" t="s">
        <v>721</v>
      </c>
      <c r="G2465" t="s">
        <v>963</v>
      </c>
      <c r="H2465">
        <v>116</v>
      </c>
      <c r="I2465">
        <v>0.464698</v>
      </c>
      <c r="J2465">
        <v>0.756741</v>
      </c>
      <c r="K2465">
        <v>0.292043</v>
      </c>
      <c r="L2465">
        <v>95</v>
      </c>
      <c r="M2465">
        <v>6</v>
      </c>
      <c r="N2465">
        <v>15</v>
      </c>
      <c r="O2465">
        <v>0.72335700000000003</v>
      </c>
      <c r="P2465">
        <v>0.29456100000000002</v>
      </c>
      <c r="Q2465">
        <v>0.211287</v>
      </c>
    </row>
    <row r="2466" spans="1:17" x14ac:dyDescent="0.25">
      <c r="A2466" t="str">
        <f>IF(C2466&amp;G2466&amp;D2466&lt;&gt;'Funnel setup'!$K$3&amp;'Funnel setup'!$K$4&amp;'Funnel setup'!$K$6,".",IF(A2465=".",1,A2465+1))</f>
        <v>.</v>
      </c>
      <c r="B2466" s="244" t="str">
        <f t="shared" si="38"/>
        <v>Knee Replacement PrimaryProviderWORCESTERSHIRE ACUTE HOSPITALS NHS TRUST (RWP)EQ-5D Index</v>
      </c>
      <c r="C2466" t="s">
        <v>969</v>
      </c>
      <c r="D2466" t="s">
        <v>965</v>
      </c>
      <c r="E2466" t="s">
        <v>722</v>
      </c>
      <c r="F2466" t="s">
        <v>723</v>
      </c>
      <c r="G2466" t="s">
        <v>963</v>
      </c>
      <c r="H2466">
        <v>46</v>
      </c>
      <c r="I2466">
        <v>0.320413</v>
      </c>
      <c r="J2466">
        <v>0.68391299999999999</v>
      </c>
      <c r="K2466">
        <v>0.36349999999999999</v>
      </c>
      <c r="L2466">
        <v>38</v>
      </c>
      <c r="M2466">
        <v>2</v>
      </c>
      <c r="N2466">
        <v>6</v>
      </c>
      <c r="O2466">
        <v>0.708874</v>
      </c>
      <c r="P2466">
        <v>0.28007799999999999</v>
      </c>
      <c r="Q2466">
        <v>0.258793</v>
      </c>
    </row>
    <row r="2467" spans="1:17" x14ac:dyDescent="0.25">
      <c r="A2467" t="str">
        <f>IF(C2467&amp;G2467&amp;D2467&lt;&gt;'Funnel setup'!$K$3&amp;'Funnel setup'!$K$4&amp;'Funnel setup'!$K$6,".",IF(A2466=".",1,A2466+1))</f>
        <v>.</v>
      </c>
      <c r="B2467" s="244" t="str">
        <f t="shared" si="38"/>
        <v>Knee Replacement PrimaryProviderWRIGHTINGTON, WIGAN AND LEIGH NHS FOUNDATION TRUST (RRF)EQ-5D Index</v>
      </c>
      <c r="C2467" t="s">
        <v>969</v>
      </c>
      <c r="D2467" t="s">
        <v>965</v>
      </c>
      <c r="E2467" t="s">
        <v>724</v>
      </c>
      <c r="F2467" t="s">
        <v>725</v>
      </c>
      <c r="G2467" t="s">
        <v>963</v>
      </c>
      <c r="H2467">
        <v>11</v>
      </c>
      <c r="I2467">
        <v>0.484182</v>
      </c>
      <c r="J2467">
        <v>0.73563599999999996</v>
      </c>
      <c r="K2467">
        <v>0.25145499999999998</v>
      </c>
      <c r="L2467">
        <v>7</v>
      </c>
      <c r="M2467">
        <v>1</v>
      </c>
      <c r="N2467">
        <v>3</v>
      </c>
      <c r="O2467" t="s">
        <v>127</v>
      </c>
      <c r="P2467" t="s">
        <v>127</v>
      </c>
      <c r="Q2467" t="s">
        <v>127</v>
      </c>
    </row>
    <row r="2468" spans="1:17" x14ac:dyDescent="0.25">
      <c r="A2468" t="str">
        <f>IF(C2468&amp;G2468&amp;D2468&lt;&gt;'Funnel setup'!$K$3&amp;'Funnel setup'!$K$4&amp;'Funnel setup'!$K$6,".",IF(A2467=".",1,A2467+1))</f>
        <v>.</v>
      </c>
      <c r="B2468" s="244" t="str">
        <f t="shared" si="38"/>
        <v>Knee Replacement PrimaryProviderWYE VALLEY NHS TRUST (RLQ)EQ-5D Index</v>
      </c>
      <c r="C2468" t="s">
        <v>969</v>
      </c>
      <c r="D2468" t="s">
        <v>965</v>
      </c>
      <c r="E2468" t="s">
        <v>726</v>
      </c>
      <c r="F2468" t="s">
        <v>727</v>
      </c>
      <c r="G2468" t="s">
        <v>963</v>
      </c>
      <c r="H2468">
        <v>32</v>
      </c>
      <c r="I2468">
        <v>0.53403100000000003</v>
      </c>
      <c r="J2468">
        <v>0.74393699999999996</v>
      </c>
      <c r="K2468">
        <v>0.20990600000000001</v>
      </c>
      <c r="L2468">
        <v>26</v>
      </c>
      <c r="M2468">
        <v>3</v>
      </c>
      <c r="N2468">
        <v>3</v>
      </c>
      <c r="O2468">
        <v>0.74616199999999999</v>
      </c>
      <c r="P2468">
        <v>0.31736599999999998</v>
      </c>
      <c r="Q2468">
        <v>0.21090999999999999</v>
      </c>
    </row>
    <row r="2469" spans="1:17" x14ac:dyDescent="0.25">
      <c r="A2469" t="str">
        <f>IF(C2469&amp;G2469&amp;D2469&lt;&gt;'Funnel setup'!$K$3&amp;'Funnel setup'!$K$4&amp;'Funnel setup'!$K$6,".",IF(A2468=".",1,A2468+1))</f>
        <v>.</v>
      </c>
      <c r="B2469" s="244" t="str">
        <f t="shared" si="38"/>
        <v>Knee Replacement PrimaryProviderYEOVIL DISTRICT HOSPITAL NHS FOUNDATION TRUST (RA4)EQ-5D Index</v>
      </c>
      <c r="C2469" t="s">
        <v>969</v>
      </c>
      <c r="D2469" t="s">
        <v>965</v>
      </c>
      <c r="E2469" t="s">
        <v>728</v>
      </c>
      <c r="F2469" t="s">
        <v>729</v>
      </c>
      <c r="G2469" t="s">
        <v>963</v>
      </c>
      <c r="H2469" t="s">
        <v>968</v>
      </c>
      <c r="I2469" t="s">
        <v>968</v>
      </c>
      <c r="J2469" t="s">
        <v>968</v>
      </c>
      <c r="K2469" t="s">
        <v>968</v>
      </c>
      <c r="L2469" t="s">
        <v>968</v>
      </c>
      <c r="M2469" t="s">
        <v>968</v>
      </c>
      <c r="N2469" t="s">
        <v>968</v>
      </c>
      <c r="O2469" t="s">
        <v>968</v>
      </c>
      <c r="P2469" t="s">
        <v>968</v>
      </c>
      <c r="Q2469" t="s">
        <v>968</v>
      </c>
    </row>
    <row r="2470" spans="1:17" x14ac:dyDescent="0.25">
      <c r="A2470" t="str">
        <f>IF(C2470&amp;G2470&amp;D2470&lt;&gt;'Funnel setup'!$K$3&amp;'Funnel setup'!$K$4&amp;'Funnel setup'!$K$6,".",IF(A2469=".",1,A2469+1))</f>
        <v>.</v>
      </c>
      <c r="B2470" s="244" t="str">
        <f t="shared" si="38"/>
        <v>Knee Replacement PrimaryProviderSULIS HOSPITAL BATHOxford Knee Score</v>
      </c>
      <c r="C2470" t="s">
        <v>969</v>
      </c>
      <c r="D2470" t="s">
        <v>965</v>
      </c>
      <c r="E2470" t="s">
        <v>732</v>
      </c>
      <c r="F2470" t="s">
        <v>1325</v>
      </c>
      <c r="G2470" t="s">
        <v>972</v>
      </c>
      <c r="H2470">
        <v>38</v>
      </c>
      <c r="I2470">
        <v>20.236799999999999</v>
      </c>
      <c r="J2470">
        <v>38.526299999999999</v>
      </c>
      <c r="K2470">
        <v>18.2895</v>
      </c>
      <c r="L2470">
        <v>34</v>
      </c>
      <c r="M2470">
        <v>1</v>
      </c>
      <c r="N2470">
        <v>3</v>
      </c>
      <c r="O2470">
        <v>38.053199999999997</v>
      </c>
      <c r="P2470">
        <v>18.664899999999999</v>
      </c>
      <c r="Q2470">
        <v>8.9951399999999992</v>
      </c>
    </row>
    <row r="2471" spans="1:17" x14ac:dyDescent="0.25">
      <c r="A2471" t="str">
        <f>IF(C2471&amp;G2471&amp;D2471&lt;&gt;'Funnel setup'!$K$3&amp;'Funnel setup'!$K$4&amp;'Funnel setup'!$K$6,".",IF(A2470=".",1,A2470+1))</f>
        <v>.</v>
      </c>
      <c r="B2471" s="244" t="str">
        <f t="shared" si="38"/>
        <v>Knee Replacement PrimaryProviderAIREDALE NHS FOUNDATION TRUST (RCF)Oxford Knee Score</v>
      </c>
      <c r="C2471" t="s">
        <v>969</v>
      </c>
      <c r="D2471" t="s">
        <v>965</v>
      </c>
      <c r="E2471" t="s">
        <v>125</v>
      </c>
      <c r="F2471" t="s">
        <v>126</v>
      </c>
      <c r="G2471" t="s">
        <v>972</v>
      </c>
      <c r="H2471">
        <v>36</v>
      </c>
      <c r="I2471">
        <v>18.305599999999998</v>
      </c>
      <c r="J2471">
        <v>39.777799999999999</v>
      </c>
      <c r="K2471">
        <v>21.472200000000001</v>
      </c>
      <c r="L2471">
        <v>34</v>
      </c>
      <c r="M2471">
        <v>0</v>
      </c>
      <c r="N2471">
        <v>2</v>
      </c>
      <c r="O2471">
        <v>40.021900000000002</v>
      </c>
      <c r="P2471">
        <v>20.633600000000001</v>
      </c>
      <c r="Q2471">
        <v>9.4216999999999995</v>
      </c>
    </row>
    <row r="2472" spans="1:17" x14ac:dyDescent="0.25">
      <c r="A2472" t="str">
        <f>IF(C2472&amp;G2472&amp;D2472&lt;&gt;'Funnel setup'!$K$3&amp;'Funnel setup'!$K$4&amp;'Funnel setup'!$K$6,".",IF(A2471=".",1,A2471+1))</f>
        <v>.</v>
      </c>
      <c r="B2472" s="244" t="str">
        <f t="shared" si="38"/>
        <v>Knee Replacement PrimaryProviderALEXANDRA HOSPITAL (NT401)Oxford Knee Score</v>
      </c>
      <c r="C2472" t="s">
        <v>969</v>
      </c>
      <c r="D2472" t="s">
        <v>965</v>
      </c>
      <c r="E2472" t="s">
        <v>130</v>
      </c>
      <c r="F2472" t="s">
        <v>131</v>
      </c>
      <c r="G2472" t="s">
        <v>972</v>
      </c>
      <c r="H2472">
        <v>48</v>
      </c>
      <c r="I2472">
        <v>20.5</v>
      </c>
      <c r="J2472">
        <v>37.666699999999999</v>
      </c>
      <c r="K2472">
        <v>17.166699999999999</v>
      </c>
      <c r="L2472">
        <v>47</v>
      </c>
      <c r="M2472">
        <v>0</v>
      </c>
      <c r="N2472">
        <v>1</v>
      </c>
      <c r="O2472">
        <v>36.7926</v>
      </c>
      <c r="P2472">
        <v>17.404299999999999</v>
      </c>
      <c r="Q2472">
        <v>6.9947499999999998</v>
      </c>
    </row>
    <row r="2473" spans="1:17" x14ac:dyDescent="0.25">
      <c r="A2473" t="str">
        <f>IF(C2473&amp;G2473&amp;D2473&lt;&gt;'Funnel setup'!$K$3&amp;'Funnel setup'!$K$4&amp;'Funnel setup'!$K$6,".",IF(A2472=".",1,A2472+1))</f>
        <v>.</v>
      </c>
      <c r="B2473" s="244" t="str">
        <f t="shared" si="38"/>
        <v>Knee Replacement PrimaryProviderASHFORD AND ST PETER'S HOSPITALS NHS FOUNDATION TRUST (RTK)Oxford Knee Score</v>
      </c>
      <c r="C2473" t="s">
        <v>969</v>
      </c>
      <c r="D2473" t="s">
        <v>965</v>
      </c>
      <c r="E2473" t="s">
        <v>132</v>
      </c>
      <c r="F2473" t="s">
        <v>133</v>
      </c>
      <c r="G2473" t="s">
        <v>972</v>
      </c>
      <c r="H2473">
        <v>31</v>
      </c>
      <c r="I2473">
        <v>22.903199999999998</v>
      </c>
      <c r="J2473">
        <v>39.548400000000001</v>
      </c>
      <c r="K2473">
        <v>16.645199999999999</v>
      </c>
      <c r="L2473">
        <v>29</v>
      </c>
      <c r="M2473">
        <v>1</v>
      </c>
      <c r="N2473">
        <v>1</v>
      </c>
      <c r="O2473">
        <v>37.410600000000002</v>
      </c>
      <c r="P2473">
        <v>18.022300000000001</v>
      </c>
      <c r="Q2473">
        <v>8.0671300000000006</v>
      </c>
    </row>
    <row r="2474" spans="1:17" x14ac:dyDescent="0.25">
      <c r="A2474" t="str">
        <f>IF(C2474&amp;G2474&amp;D2474&lt;&gt;'Funnel setup'!$K$3&amp;'Funnel setup'!$K$4&amp;'Funnel setup'!$K$6,".",IF(A2473=".",1,A2473+1))</f>
        <v>.</v>
      </c>
      <c r="B2474" s="244" t="str">
        <f t="shared" si="38"/>
        <v>Knee Replacement PrimaryProviderASHTEAD HOSPITAL (NVC01)Oxford Knee Score</v>
      </c>
      <c r="C2474" t="s">
        <v>969</v>
      </c>
      <c r="D2474" t="s">
        <v>965</v>
      </c>
      <c r="E2474" t="s">
        <v>134</v>
      </c>
      <c r="F2474" t="s">
        <v>135</v>
      </c>
      <c r="G2474" t="s">
        <v>972</v>
      </c>
      <c r="H2474">
        <v>5</v>
      </c>
      <c r="I2474">
        <v>28</v>
      </c>
      <c r="J2474">
        <v>44.4</v>
      </c>
      <c r="K2474">
        <v>16.399999999999999</v>
      </c>
      <c r="L2474">
        <v>5</v>
      </c>
      <c r="M2474">
        <v>0</v>
      </c>
      <c r="N2474">
        <v>0</v>
      </c>
      <c r="O2474" t="s">
        <v>127</v>
      </c>
      <c r="P2474" t="s">
        <v>127</v>
      </c>
      <c r="Q2474" t="s">
        <v>127</v>
      </c>
    </row>
    <row r="2475" spans="1:17" x14ac:dyDescent="0.25">
      <c r="A2475" t="str">
        <f>IF(C2475&amp;G2475&amp;D2475&lt;&gt;'Funnel setup'!$K$3&amp;'Funnel setup'!$K$4&amp;'Funnel setup'!$K$6,".",IF(A2474=".",1,A2474+1))</f>
        <v>.</v>
      </c>
      <c r="B2475" s="244" t="str">
        <f t="shared" si="38"/>
        <v>Knee Replacement PrimaryProviderBARKING, HAVERING AND REDBRIDGE UNIVERSITY HOSPITALS NHS TRUST (RF4)Oxford Knee Score</v>
      </c>
      <c r="C2475" t="s">
        <v>969</v>
      </c>
      <c r="D2475" t="s">
        <v>965</v>
      </c>
      <c r="E2475" t="s">
        <v>144</v>
      </c>
      <c r="F2475" t="s">
        <v>145</v>
      </c>
      <c r="G2475" t="s">
        <v>972</v>
      </c>
      <c r="H2475">
        <v>64</v>
      </c>
      <c r="I2475">
        <v>16.984400000000001</v>
      </c>
      <c r="J2475">
        <v>33.328099999999999</v>
      </c>
      <c r="K2475">
        <v>16.343800000000002</v>
      </c>
      <c r="L2475">
        <v>59</v>
      </c>
      <c r="M2475">
        <v>0</v>
      </c>
      <c r="N2475">
        <v>5</v>
      </c>
      <c r="O2475">
        <v>35.534799999999997</v>
      </c>
      <c r="P2475">
        <v>16.1465</v>
      </c>
      <c r="Q2475">
        <v>9.3743599999999994</v>
      </c>
    </row>
    <row r="2476" spans="1:17" x14ac:dyDescent="0.25">
      <c r="A2476" t="str">
        <f>IF(C2476&amp;G2476&amp;D2476&lt;&gt;'Funnel setup'!$K$3&amp;'Funnel setup'!$K$4&amp;'Funnel setup'!$K$6,".",IF(A2475=".",1,A2475+1))</f>
        <v>.</v>
      </c>
      <c r="B2476" s="244" t="str">
        <f t="shared" si="38"/>
        <v>Knee Replacement PrimaryProviderBARNSLEY HOSPITAL NHS FOUNDATION TRUST (RFF)Oxford Knee Score</v>
      </c>
      <c r="C2476" t="s">
        <v>969</v>
      </c>
      <c r="D2476" t="s">
        <v>965</v>
      </c>
      <c r="E2476" t="s">
        <v>146</v>
      </c>
      <c r="F2476" t="s">
        <v>147</v>
      </c>
      <c r="G2476" t="s">
        <v>972</v>
      </c>
      <c r="H2476">
        <v>54</v>
      </c>
      <c r="I2476">
        <v>18.2593</v>
      </c>
      <c r="J2476">
        <v>35.722200000000001</v>
      </c>
      <c r="K2476">
        <v>17.463000000000001</v>
      </c>
      <c r="L2476">
        <v>48</v>
      </c>
      <c r="M2476">
        <v>1</v>
      </c>
      <c r="N2476">
        <v>5</v>
      </c>
      <c r="O2476">
        <v>36.906999999999996</v>
      </c>
      <c r="P2476">
        <v>17.518699999999999</v>
      </c>
      <c r="Q2476">
        <v>10.1953</v>
      </c>
    </row>
    <row r="2477" spans="1:17" x14ac:dyDescent="0.25">
      <c r="A2477" t="str">
        <f>IF(C2477&amp;G2477&amp;D2477&lt;&gt;'Funnel setup'!$K$3&amp;'Funnel setup'!$K$4&amp;'Funnel setup'!$K$6,".",IF(A2476=".",1,A2476+1))</f>
        <v>.</v>
      </c>
      <c r="B2477" s="244" t="str">
        <f t="shared" si="38"/>
        <v>Knee Replacement PrimaryProviderBARTS HEALTH NHS TRUST (R1H)Oxford Knee Score</v>
      </c>
      <c r="C2477" t="s">
        <v>969</v>
      </c>
      <c r="D2477" t="s">
        <v>965</v>
      </c>
      <c r="E2477" t="s">
        <v>148</v>
      </c>
      <c r="F2477" t="s">
        <v>149</v>
      </c>
      <c r="G2477" t="s">
        <v>972</v>
      </c>
      <c r="H2477">
        <v>66</v>
      </c>
      <c r="I2477">
        <v>17.893899999999999</v>
      </c>
      <c r="J2477">
        <v>32.878799999999998</v>
      </c>
      <c r="K2477">
        <v>14.9848</v>
      </c>
      <c r="L2477">
        <v>59</v>
      </c>
      <c r="M2477">
        <v>0</v>
      </c>
      <c r="N2477">
        <v>7</v>
      </c>
      <c r="O2477">
        <v>35.502099999999999</v>
      </c>
      <c r="P2477">
        <v>16.113800000000001</v>
      </c>
      <c r="Q2477">
        <v>9.6874500000000001</v>
      </c>
    </row>
    <row r="2478" spans="1:17" x14ac:dyDescent="0.25">
      <c r="A2478" t="str">
        <f>IF(C2478&amp;G2478&amp;D2478&lt;&gt;'Funnel setup'!$K$3&amp;'Funnel setup'!$K$4&amp;'Funnel setup'!$K$6,".",IF(A2477=".",1,A2477+1))</f>
        <v>.</v>
      </c>
      <c r="B2478" s="244" t="str">
        <f t="shared" si="38"/>
        <v>Knee Replacement PrimaryProviderBATH CLINIC (NT402)Oxford Knee Score</v>
      </c>
      <c r="C2478" t="s">
        <v>969</v>
      </c>
      <c r="D2478" t="s">
        <v>965</v>
      </c>
      <c r="E2478" t="s">
        <v>152</v>
      </c>
      <c r="F2478" t="s">
        <v>153</v>
      </c>
      <c r="G2478" t="s">
        <v>972</v>
      </c>
      <c r="H2478">
        <v>57</v>
      </c>
      <c r="I2478">
        <v>18.9649</v>
      </c>
      <c r="J2478">
        <v>39.192999999999998</v>
      </c>
      <c r="K2478">
        <v>20.228100000000001</v>
      </c>
      <c r="L2478">
        <v>54</v>
      </c>
      <c r="M2478">
        <v>1</v>
      </c>
      <c r="N2478">
        <v>2</v>
      </c>
      <c r="O2478">
        <v>37.7898</v>
      </c>
      <c r="P2478">
        <v>18.401499999999999</v>
      </c>
      <c r="Q2478">
        <v>7.9548699999999997</v>
      </c>
    </row>
    <row r="2479" spans="1:17" x14ac:dyDescent="0.25">
      <c r="A2479" t="str">
        <f>IF(C2479&amp;G2479&amp;D2479&lt;&gt;'Funnel setup'!$K$3&amp;'Funnel setup'!$K$4&amp;'Funnel setup'!$K$6,".",IF(A2478=".",1,A2478+1))</f>
        <v>.</v>
      </c>
      <c r="B2479" s="244" t="str">
        <f t="shared" si="38"/>
        <v>Knee Replacement PrimaryProviderBEARDWOOD HOSPITAL (NT403)Oxford Knee Score</v>
      </c>
      <c r="C2479" t="s">
        <v>969</v>
      </c>
      <c r="D2479" t="s">
        <v>965</v>
      </c>
      <c r="E2479" t="s">
        <v>154</v>
      </c>
      <c r="F2479" t="s">
        <v>155</v>
      </c>
      <c r="G2479" t="s">
        <v>972</v>
      </c>
      <c r="H2479">
        <v>79</v>
      </c>
      <c r="I2479">
        <v>21.278500000000001</v>
      </c>
      <c r="J2479">
        <v>38.392400000000002</v>
      </c>
      <c r="K2479">
        <v>17.113900000000001</v>
      </c>
      <c r="L2479">
        <v>75</v>
      </c>
      <c r="M2479">
        <v>1</v>
      </c>
      <c r="N2479">
        <v>3</v>
      </c>
      <c r="O2479">
        <v>37.112200000000001</v>
      </c>
      <c r="P2479">
        <v>17.7239</v>
      </c>
      <c r="Q2479">
        <v>8.6773199999999999</v>
      </c>
    </row>
    <row r="2480" spans="1:17" x14ac:dyDescent="0.25">
      <c r="A2480" t="str">
        <f>IF(C2480&amp;G2480&amp;D2480&lt;&gt;'Funnel setup'!$K$3&amp;'Funnel setup'!$K$4&amp;'Funnel setup'!$K$6,".",IF(A2479=".",1,A2479+1))</f>
        <v>.</v>
      </c>
      <c r="B2480" s="244" t="str">
        <f t="shared" si="38"/>
        <v>Knee Replacement PrimaryProviderBEAUMONT HOSPITAL (NT404)Oxford Knee Score</v>
      </c>
      <c r="C2480" t="s">
        <v>969</v>
      </c>
      <c r="D2480" t="s">
        <v>965</v>
      </c>
      <c r="E2480" t="s">
        <v>156</v>
      </c>
      <c r="F2480" t="s">
        <v>157</v>
      </c>
      <c r="G2480" t="s">
        <v>972</v>
      </c>
      <c r="H2480">
        <v>44</v>
      </c>
      <c r="I2480">
        <v>21.704499999999999</v>
      </c>
      <c r="J2480">
        <v>38.840899999999998</v>
      </c>
      <c r="K2480">
        <v>17.136399999999998</v>
      </c>
      <c r="L2480">
        <v>42</v>
      </c>
      <c r="M2480">
        <v>0</v>
      </c>
      <c r="N2480">
        <v>2</v>
      </c>
      <c r="O2480">
        <v>37.397599999999997</v>
      </c>
      <c r="P2480">
        <v>18.0093</v>
      </c>
      <c r="Q2480">
        <v>9.04331</v>
      </c>
    </row>
    <row r="2481" spans="1:17" x14ac:dyDescent="0.25">
      <c r="A2481" t="str">
        <f>IF(C2481&amp;G2481&amp;D2481&lt;&gt;'Funnel setup'!$K$3&amp;'Funnel setup'!$K$4&amp;'Funnel setup'!$K$6,".",IF(A2480=".",1,A2480+1))</f>
        <v>.</v>
      </c>
      <c r="B2481" s="244" t="str">
        <f t="shared" si="38"/>
        <v>Knee Replacement PrimaryProviderBEDFORDSHIRE HOSPITALS NHS FOUNDATION TRUST (RC9)Oxford Knee Score</v>
      </c>
      <c r="C2481" t="s">
        <v>969</v>
      </c>
      <c r="D2481" t="s">
        <v>965</v>
      </c>
      <c r="E2481" t="s">
        <v>158</v>
      </c>
      <c r="F2481" t="s">
        <v>159</v>
      </c>
      <c r="G2481" t="s">
        <v>972</v>
      </c>
      <c r="H2481">
        <v>159</v>
      </c>
      <c r="I2481">
        <v>17.069199999999999</v>
      </c>
      <c r="J2481">
        <v>34.251600000000003</v>
      </c>
      <c r="K2481">
        <v>17.182400000000001</v>
      </c>
      <c r="L2481">
        <v>141</v>
      </c>
      <c r="M2481">
        <v>5</v>
      </c>
      <c r="N2481">
        <v>13</v>
      </c>
      <c r="O2481">
        <v>35.646799999999999</v>
      </c>
      <c r="P2481">
        <v>16.258500000000002</v>
      </c>
      <c r="Q2481">
        <v>10.161300000000001</v>
      </c>
    </row>
    <row r="2482" spans="1:17" x14ac:dyDescent="0.25">
      <c r="A2482" t="str">
        <f>IF(C2482&amp;G2482&amp;D2482&lt;&gt;'Funnel setup'!$K$3&amp;'Funnel setup'!$K$4&amp;'Funnel setup'!$K$6,".",IF(A2481=".",1,A2481+1))</f>
        <v>.</v>
      </c>
      <c r="B2482" s="244" t="str">
        <f t="shared" si="38"/>
        <v>Knee Replacement PrimaryProviderBENENDEN HOSPITAL (NWF01)Oxford Knee Score</v>
      </c>
      <c r="C2482" t="s">
        <v>969</v>
      </c>
      <c r="D2482" t="s">
        <v>965</v>
      </c>
      <c r="E2482" t="s">
        <v>160</v>
      </c>
      <c r="F2482" t="s">
        <v>161</v>
      </c>
      <c r="G2482" t="s">
        <v>972</v>
      </c>
      <c r="H2482">
        <v>26</v>
      </c>
      <c r="I2482">
        <v>24.461500000000001</v>
      </c>
      <c r="J2482">
        <v>39.192300000000003</v>
      </c>
      <c r="K2482">
        <v>14.7308</v>
      </c>
      <c r="L2482">
        <v>25</v>
      </c>
      <c r="M2482">
        <v>0</v>
      </c>
      <c r="N2482">
        <v>1</v>
      </c>
      <c r="O2482" t="s">
        <v>127</v>
      </c>
      <c r="P2482" t="s">
        <v>127</v>
      </c>
      <c r="Q2482" t="s">
        <v>127</v>
      </c>
    </row>
    <row r="2483" spans="1:17" x14ac:dyDescent="0.25">
      <c r="A2483" t="str">
        <f>IF(C2483&amp;G2483&amp;D2483&lt;&gt;'Funnel setup'!$K$3&amp;'Funnel setup'!$K$4&amp;'Funnel setup'!$K$6,".",IF(A2482=".",1,A2482+1))</f>
        <v>.</v>
      </c>
      <c r="B2483" s="244" t="str">
        <f t="shared" si="38"/>
        <v>Knee Replacement PrimaryProviderBLACKHEATH HOSPITAL (NT406)Oxford Knee Score</v>
      </c>
      <c r="C2483" t="s">
        <v>969</v>
      </c>
      <c r="D2483" t="s">
        <v>965</v>
      </c>
      <c r="E2483" t="s">
        <v>168</v>
      </c>
      <c r="F2483" t="s">
        <v>169</v>
      </c>
      <c r="G2483" t="s">
        <v>972</v>
      </c>
      <c r="H2483">
        <v>20</v>
      </c>
      <c r="I2483">
        <v>20.95</v>
      </c>
      <c r="J2483">
        <v>35.549999999999997</v>
      </c>
      <c r="K2483">
        <v>14.6</v>
      </c>
      <c r="L2483">
        <v>18</v>
      </c>
      <c r="M2483">
        <v>1</v>
      </c>
      <c r="N2483">
        <v>1</v>
      </c>
      <c r="O2483" t="s">
        <v>127</v>
      </c>
      <c r="P2483" t="s">
        <v>127</v>
      </c>
      <c r="Q2483" t="s">
        <v>127</v>
      </c>
    </row>
    <row r="2484" spans="1:17" x14ac:dyDescent="0.25">
      <c r="A2484" t="str">
        <f>IF(C2484&amp;G2484&amp;D2484&lt;&gt;'Funnel setup'!$K$3&amp;'Funnel setup'!$K$4&amp;'Funnel setup'!$K$6,".",IF(A2483=".",1,A2483+1))</f>
        <v>.</v>
      </c>
      <c r="B2484" s="244" t="str">
        <f t="shared" si="38"/>
        <v>Knee Replacement PrimaryProviderBLACKPOOL TEACHING HOSPITALS NHS FOUNDATION TRUST (RXL)Oxford Knee Score</v>
      </c>
      <c r="C2484" t="s">
        <v>969</v>
      </c>
      <c r="D2484" t="s">
        <v>965</v>
      </c>
      <c r="E2484" t="s">
        <v>170</v>
      </c>
      <c r="F2484" t="s">
        <v>171</v>
      </c>
      <c r="G2484" t="s">
        <v>972</v>
      </c>
      <c r="H2484">
        <v>60</v>
      </c>
      <c r="I2484">
        <v>21.15</v>
      </c>
      <c r="J2484">
        <v>35.4833</v>
      </c>
      <c r="K2484">
        <v>14.333299999999999</v>
      </c>
      <c r="L2484">
        <v>54</v>
      </c>
      <c r="M2484">
        <v>1</v>
      </c>
      <c r="N2484">
        <v>5</v>
      </c>
      <c r="O2484">
        <v>36.161999999999999</v>
      </c>
      <c r="P2484">
        <v>16.773700000000002</v>
      </c>
      <c r="Q2484">
        <v>8.6735100000000003</v>
      </c>
    </row>
    <row r="2485" spans="1:17" x14ac:dyDescent="0.25">
      <c r="A2485" t="str">
        <f>IF(C2485&amp;G2485&amp;D2485&lt;&gt;'Funnel setup'!$K$3&amp;'Funnel setup'!$K$4&amp;'Funnel setup'!$K$6,".",IF(A2484=".",1,A2484+1))</f>
        <v>.</v>
      </c>
      <c r="B2485" s="244" t="str">
        <f t="shared" si="38"/>
        <v>Knee Replacement PrimaryProviderBOLTON NHS FOUNDATION TRUST (RMC)Oxford Knee Score</v>
      </c>
      <c r="C2485" t="s">
        <v>969</v>
      </c>
      <c r="D2485" t="s">
        <v>965</v>
      </c>
      <c r="E2485" t="s">
        <v>172</v>
      </c>
      <c r="F2485" t="s">
        <v>173</v>
      </c>
      <c r="G2485" t="s">
        <v>972</v>
      </c>
      <c r="H2485">
        <v>48</v>
      </c>
      <c r="I2485">
        <v>19.208300000000001</v>
      </c>
      <c r="J2485">
        <v>35.1875</v>
      </c>
      <c r="K2485">
        <v>15.979200000000001</v>
      </c>
      <c r="L2485">
        <v>45</v>
      </c>
      <c r="M2485">
        <v>0</v>
      </c>
      <c r="N2485">
        <v>3</v>
      </c>
      <c r="O2485">
        <v>36.228000000000002</v>
      </c>
      <c r="P2485">
        <v>16.839700000000001</v>
      </c>
      <c r="Q2485">
        <v>9.1695200000000003</v>
      </c>
    </row>
    <row r="2486" spans="1:17" x14ac:dyDescent="0.25">
      <c r="A2486" t="str">
        <f>IF(C2486&amp;G2486&amp;D2486&lt;&gt;'Funnel setup'!$K$3&amp;'Funnel setup'!$K$4&amp;'Funnel setup'!$K$6,".",IF(A2485=".",1,A2485+1))</f>
        <v>.</v>
      </c>
      <c r="B2486" s="244" t="str">
        <f t="shared" si="38"/>
        <v>Knee Replacement PrimaryProviderBRADFORD TEACHING HOSPITALS NHS FOUNDATION TRUST (RAE)Oxford Knee Score</v>
      </c>
      <c r="C2486" t="s">
        <v>969</v>
      </c>
      <c r="D2486" t="s">
        <v>965</v>
      </c>
      <c r="E2486" t="s">
        <v>174</v>
      </c>
      <c r="F2486" t="s">
        <v>175</v>
      </c>
      <c r="G2486" t="s">
        <v>972</v>
      </c>
      <c r="H2486">
        <v>4</v>
      </c>
      <c r="I2486">
        <v>17.75</v>
      </c>
      <c r="J2486">
        <v>39</v>
      </c>
      <c r="K2486">
        <v>21.25</v>
      </c>
      <c r="L2486">
        <v>4</v>
      </c>
      <c r="M2486">
        <v>0</v>
      </c>
      <c r="N2486">
        <v>0</v>
      </c>
      <c r="O2486" t="s">
        <v>127</v>
      </c>
      <c r="P2486" t="s">
        <v>127</v>
      </c>
      <c r="Q2486" t="s">
        <v>127</v>
      </c>
    </row>
    <row r="2487" spans="1:17" x14ac:dyDescent="0.25">
      <c r="A2487" t="str">
        <f>IF(C2487&amp;G2487&amp;D2487&lt;&gt;'Funnel setup'!$K$3&amp;'Funnel setup'!$K$4&amp;'Funnel setup'!$K$6,".",IF(A2486=".",1,A2486+1))</f>
        <v>.</v>
      </c>
      <c r="B2487" s="244" t="str">
        <f t="shared" si="38"/>
        <v>Knee Replacement PrimaryProviderBUCKINGHAMSHIRE HEALTHCARE NHS TRUST (RXQ)Oxford Knee Score</v>
      </c>
      <c r="C2487" t="s">
        <v>969</v>
      </c>
      <c r="D2487" t="s">
        <v>965</v>
      </c>
      <c r="E2487" t="s">
        <v>178</v>
      </c>
      <c r="F2487" t="s">
        <v>179</v>
      </c>
      <c r="G2487" t="s">
        <v>972</v>
      </c>
      <c r="H2487">
        <v>83</v>
      </c>
      <c r="I2487">
        <v>20.1084</v>
      </c>
      <c r="J2487">
        <v>37.469900000000003</v>
      </c>
      <c r="K2487">
        <v>17.3614</v>
      </c>
      <c r="L2487">
        <v>82</v>
      </c>
      <c r="M2487">
        <v>0</v>
      </c>
      <c r="N2487">
        <v>1</v>
      </c>
      <c r="O2487">
        <v>37.017200000000003</v>
      </c>
      <c r="P2487">
        <v>17.628799999999998</v>
      </c>
      <c r="Q2487">
        <v>7.5201799999999999</v>
      </c>
    </row>
    <row r="2488" spans="1:17" x14ac:dyDescent="0.25">
      <c r="A2488" t="str">
        <f>IF(C2488&amp;G2488&amp;D2488&lt;&gt;'Funnel setup'!$K$3&amp;'Funnel setup'!$K$4&amp;'Funnel setup'!$K$6,".",IF(A2487=".",1,A2487+1))</f>
        <v>.</v>
      </c>
      <c r="B2488" s="244" t="str">
        <f t="shared" si="38"/>
        <v>Knee Replacement PrimaryProviderCALDERDALE AND HUDDERSFIELD NHS FOUNDATION TRUST (RWY)Oxford Knee Score</v>
      </c>
      <c r="C2488" t="s">
        <v>969</v>
      </c>
      <c r="D2488" t="s">
        <v>965</v>
      </c>
      <c r="E2488" t="s">
        <v>180</v>
      </c>
      <c r="F2488" t="s">
        <v>181</v>
      </c>
      <c r="G2488" t="s">
        <v>972</v>
      </c>
      <c r="H2488">
        <v>68</v>
      </c>
      <c r="I2488">
        <v>19.367599999999999</v>
      </c>
      <c r="J2488">
        <v>33.852899999999998</v>
      </c>
      <c r="K2488">
        <v>14.485300000000001</v>
      </c>
      <c r="L2488">
        <v>59</v>
      </c>
      <c r="M2488">
        <v>3</v>
      </c>
      <c r="N2488">
        <v>6</v>
      </c>
      <c r="O2488">
        <v>34.082999999999998</v>
      </c>
      <c r="P2488">
        <v>14.694699999999999</v>
      </c>
      <c r="Q2488">
        <v>11.421900000000001</v>
      </c>
    </row>
    <row r="2489" spans="1:17" x14ac:dyDescent="0.25">
      <c r="A2489" t="str">
        <f>IF(C2489&amp;G2489&amp;D2489&lt;&gt;'Funnel setup'!$K$3&amp;'Funnel setup'!$K$4&amp;'Funnel setup'!$K$6,".",IF(A2488=".",1,A2488+1))</f>
        <v>.</v>
      </c>
      <c r="B2489" s="244" t="str">
        <f t="shared" si="38"/>
        <v>Knee Replacement PrimaryProviderCAMBRIDGE UNIVERSITY HOSPITALS NHS FOUNDATION TRUST (RGT)Oxford Knee Score</v>
      </c>
      <c r="C2489" t="s">
        <v>969</v>
      </c>
      <c r="D2489" t="s">
        <v>965</v>
      </c>
      <c r="E2489" t="s">
        <v>182</v>
      </c>
      <c r="F2489" t="s">
        <v>183</v>
      </c>
      <c r="G2489" t="s">
        <v>972</v>
      </c>
      <c r="H2489">
        <v>53</v>
      </c>
      <c r="I2489">
        <v>14.0943</v>
      </c>
      <c r="J2489">
        <v>31.490600000000001</v>
      </c>
      <c r="K2489">
        <v>17.3962</v>
      </c>
      <c r="L2489">
        <v>49</v>
      </c>
      <c r="M2489">
        <v>0</v>
      </c>
      <c r="N2489">
        <v>4</v>
      </c>
      <c r="O2489">
        <v>35.073999999999998</v>
      </c>
      <c r="P2489">
        <v>15.685700000000001</v>
      </c>
      <c r="Q2489">
        <v>9.8252799999999993</v>
      </c>
    </row>
    <row r="2490" spans="1:17" x14ac:dyDescent="0.25">
      <c r="A2490" t="str">
        <f>IF(C2490&amp;G2490&amp;D2490&lt;&gt;'Funnel setup'!$K$3&amp;'Funnel setup'!$K$4&amp;'Funnel setup'!$K$6,".",IF(A2489=".",1,A2489+1))</f>
        <v>.</v>
      </c>
      <c r="B2490" s="244" t="str">
        <f t="shared" si="38"/>
        <v>Knee Replacement PrimaryProviderCAVELL HOSPITAL (NT451)Oxford Knee Score</v>
      </c>
      <c r="C2490" t="s">
        <v>969</v>
      </c>
      <c r="D2490" t="s">
        <v>965</v>
      </c>
      <c r="E2490" t="s">
        <v>184</v>
      </c>
      <c r="F2490" t="s">
        <v>185</v>
      </c>
      <c r="G2490" t="s">
        <v>972</v>
      </c>
      <c r="H2490">
        <v>42</v>
      </c>
      <c r="I2490">
        <v>18.5</v>
      </c>
      <c r="J2490">
        <v>36.571399999999997</v>
      </c>
      <c r="K2490">
        <v>18.071400000000001</v>
      </c>
      <c r="L2490">
        <v>39</v>
      </c>
      <c r="M2490">
        <v>2</v>
      </c>
      <c r="N2490">
        <v>1</v>
      </c>
      <c r="O2490">
        <v>36.283999999999999</v>
      </c>
      <c r="P2490">
        <v>16.895700000000001</v>
      </c>
      <c r="Q2490">
        <v>7.7350000000000003</v>
      </c>
    </row>
    <row r="2491" spans="1:17" x14ac:dyDescent="0.25">
      <c r="A2491" t="str">
        <f>IF(C2491&amp;G2491&amp;D2491&lt;&gt;'Funnel setup'!$K$3&amp;'Funnel setup'!$K$4&amp;'Funnel setup'!$K$6,".",IF(A2490=".",1,A2490+1))</f>
        <v>.</v>
      </c>
      <c r="B2491" s="244" t="str">
        <f t="shared" si="38"/>
        <v>Knee Replacement PrimaryProviderCHAUCER HOSPITAL (NT408)Oxford Knee Score</v>
      </c>
      <c r="C2491" t="s">
        <v>969</v>
      </c>
      <c r="D2491" t="s">
        <v>965</v>
      </c>
      <c r="E2491" t="s">
        <v>186</v>
      </c>
      <c r="F2491" t="s">
        <v>187</v>
      </c>
      <c r="G2491" t="s">
        <v>972</v>
      </c>
      <c r="H2491">
        <v>48</v>
      </c>
      <c r="I2491">
        <v>22.104199999999999</v>
      </c>
      <c r="J2491">
        <v>37.520800000000001</v>
      </c>
      <c r="K2491">
        <v>15.416700000000001</v>
      </c>
      <c r="L2491">
        <v>47</v>
      </c>
      <c r="M2491">
        <v>0</v>
      </c>
      <c r="N2491">
        <v>1</v>
      </c>
      <c r="O2491">
        <v>36.113700000000001</v>
      </c>
      <c r="P2491">
        <v>16.725300000000001</v>
      </c>
      <c r="Q2491">
        <v>7.1158200000000003</v>
      </c>
    </row>
    <row r="2492" spans="1:17" x14ac:dyDescent="0.25">
      <c r="A2492" t="str">
        <f>IF(C2492&amp;G2492&amp;D2492&lt;&gt;'Funnel setup'!$K$3&amp;'Funnel setup'!$K$4&amp;'Funnel setup'!$K$6,".",IF(A2491=".",1,A2491+1))</f>
        <v>.</v>
      </c>
      <c r="B2492" s="244" t="str">
        <f t="shared" si="38"/>
        <v>Knee Replacement PrimaryProviderCHELSEA AND WESTMINSTER HOSPITAL NHS FOUNDATION TRUST (RQM)Oxford Knee Score</v>
      </c>
      <c r="C2492" t="s">
        <v>969</v>
      </c>
      <c r="D2492" t="s">
        <v>965</v>
      </c>
      <c r="E2492" t="s">
        <v>188</v>
      </c>
      <c r="F2492" t="s">
        <v>189</v>
      </c>
      <c r="G2492" t="s">
        <v>972</v>
      </c>
      <c r="H2492">
        <v>5</v>
      </c>
      <c r="I2492">
        <v>17.2</v>
      </c>
      <c r="J2492">
        <v>34</v>
      </c>
      <c r="K2492">
        <v>16.8</v>
      </c>
      <c r="L2492">
        <v>5</v>
      </c>
      <c r="M2492">
        <v>0</v>
      </c>
      <c r="N2492">
        <v>0</v>
      </c>
      <c r="O2492" t="s">
        <v>127</v>
      </c>
      <c r="P2492" t="s">
        <v>127</v>
      </c>
      <c r="Q2492" t="s">
        <v>127</v>
      </c>
    </row>
    <row r="2493" spans="1:17" x14ac:dyDescent="0.25">
      <c r="A2493" t="str">
        <f>IF(C2493&amp;G2493&amp;D2493&lt;&gt;'Funnel setup'!$K$3&amp;'Funnel setup'!$K$4&amp;'Funnel setup'!$K$6,".",IF(A2492=".",1,A2492+1))</f>
        <v>.</v>
      </c>
      <c r="B2493" s="244" t="str">
        <f t="shared" si="38"/>
        <v>Knee Replacement PrimaryProviderCHELSFIELD PARK HOSPITAL (NT409)Oxford Knee Score</v>
      </c>
      <c r="C2493" t="s">
        <v>969</v>
      </c>
      <c r="D2493" t="s">
        <v>965</v>
      </c>
      <c r="E2493" t="s">
        <v>190</v>
      </c>
      <c r="F2493" t="s">
        <v>191</v>
      </c>
      <c r="G2493" t="s">
        <v>972</v>
      </c>
      <c r="H2493">
        <v>32</v>
      </c>
      <c r="I2493">
        <v>26.281300000000002</v>
      </c>
      <c r="J2493">
        <v>42.593800000000002</v>
      </c>
      <c r="K2493">
        <v>16.3125</v>
      </c>
      <c r="L2493">
        <v>31</v>
      </c>
      <c r="M2493">
        <v>0</v>
      </c>
      <c r="N2493">
        <v>1</v>
      </c>
      <c r="O2493">
        <v>39.171999999999997</v>
      </c>
      <c r="P2493">
        <v>19.7837</v>
      </c>
      <c r="Q2493">
        <v>5.3720499999999998</v>
      </c>
    </row>
    <row r="2494" spans="1:17" x14ac:dyDescent="0.25">
      <c r="A2494" t="str">
        <f>IF(C2494&amp;G2494&amp;D2494&lt;&gt;'Funnel setup'!$K$3&amp;'Funnel setup'!$K$4&amp;'Funnel setup'!$K$6,".",IF(A2493=".",1,A2493+1))</f>
        <v>.</v>
      </c>
      <c r="B2494" s="244" t="str">
        <f t="shared" si="38"/>
        <v>Knee Replacement PrimaryProviderCHESTERFIELD ROYAL HOSPITAL NHS FOUNDATION TRUST (RFS)Oxford Knee Score</v>
      </c>
      <c r="C2494" t="s">
        <v>969</v>
      </c>
      <c r="D2494" t="s">
        <v>965</v>
      </c>
      <c r="E2494" t="s">
        <v>192</v>
      </c>
      <c r="F2494" t="s">
        <v>193</v>
      </c>
      <c r="G2494" t="s">
        <v>972</v>
      </c>
      <c r="H2494">
        <v>57</v>
      </c>
      <c r="I2494">
        <v>17.7544</v>
      </c>
      <c r="J2494">
        <v>33.736800000000002</v>
      </c>
      <c r="K2494">
        <v>15.9825</v>
      </c>
      <c r="L2494">
        <v>52</v>
      </c>
      <c r="M2494">
        <v>3</v>
      </c>
      <c r="N2494">
        <v>2</v>
      </c>
      <c r="O2494">
        <v>35.346499999999999</v>
      </c>
      <c r="P2494">
        <v>15.9582</v>
      </c>
      <c r="Q2494">
        <v>9.2327100000000009</v>
      </c>
    </row>
    <row r="2495" spans="1:17" x14ac:dyDescent="0.25">
      <c r="A2495" t="str">
        <f>IF(C2495&amp;G2495&amp;D2495&lt;&gt;'Funnel setup'!$K$3&amp;'Funnel setup'!$K$4&amp;'Funnel setup'!$K$6,".",IF(A2494=".",1,A2494+1))</f>
        <v>.</v>
      </c>
      <c r="B2495" s="244" t="str">
        <f t="shared" si="38"/>
        <v>Knee Replacement PrimaryProviderCHILTERN HOSPITAL (NT410)Oxford Knee Score</v>
      </c>
      <c r="C2495" t="s">
        <v>969</v>
      </c>
      <c r="D2495" t="s">
        <v>965</v>
      </c>
      <c r="E2495" t="s">
        <v>194</v>
      </c>
      <c r="F2495" t="s">
        <v>195</v>
      </c>
      <c r="G2495" t="s">
        <v>972</v>
      </c>
      <c r="H2495">
        <v>87</v>
      </c>
      <c r="I2495">
        <v>22.988499999999998</v>
      </c>
      <c r="J2495">
        <v>39.172400000000003</v>
      </c>
      <c r="K2495">
        <v>16.183900000000001</v>
      </c>
      <c r="L2495">
        <v>80</v>
      </c>
      <c r="M2495">
        <v>1</v>
      </c>
      <c r="N2495">
        <v>6</v>
      </c>
      <c r="O2495">
        <v>36.302999999999997</v>
      </c>
      <c r="P2495">
        <v>16.9147</v>
      </c>
      <c r="Q2495">
        <v>8.0190699999999993</v>
      </c>
    </row>
    <row r="2496" spans="1:17" x14ac:dyDescent="0.25">
      <c r="A2496" t="str">
        <f>IF(C2496&amp;G2496&amp;D2496&lt;&gt;'Funnel setup'!$K$3&amp;'Funnel setup'!$K$4&amp;'Funnel setup'!$K$6,".",IF(A2495=".",1,A2495+1))</f>
        <v>.</v>
      </c>
      <c r="B2496" s="244" t="str">
        <f t="shared" si="38"/>
        <v>Knee Replacement PrimaryProviderCIRCLE BATH HOSPITAL (NV302)Oxford Knee Score</v>
      </c>
      <c r="C2496" t="s">
        <v>969</v>
      </c>
      <c r="D2496" t="s">
        <v>965</v>
      </c>
      <c r="E2496" t="s">
        <v>196</v>
      </c>
      <c r="F2496" t="s">
        <v>197</v>
      </c>
      <c r="G2496" t="s">
        <v>972</v>
      </c>
      <c r="H2496">
        <v>13</v>
      </c>
      <c r="I2496">
        <v>17.769200000000001</v>
      </c>
      <c r="J2496">
        <v>39.230800000000002</v>
      </c>
      <c r="K2496">
        <v>21.461500000000001</v>
      </c>
      <c r="L2496">
        <v>12</v>
      </c>
      <c r="M2496">
        <v>0</v>
      </c>
      <c r="N2496">
        <v>1</v>
      </c>
      <c r="O2496" t="s">
        <v>127</v>
      </c>
      <c r="P2496" t="s">
        <v>127</v>
      </c>
      <c r="Q2496" t="s">
        <v>127</v>
      </c>
    </row>
    <row r="2497" spans="1:17" x14ac:dyDescent="0.25">
      <c r="A2497" t="str">
        <f>IF(C2497&amp;G2497&amp;D2497&lt;&gt;'Funnel setup'!$K$3&amp;'Funnel setup'!$K$4&amp;'Funnel setup'!$K$6,".",IF(A2496=".",1,A2496+1))</f>
        <v>.</v>
      </c>
      <c r="B2497" s="244" t="str">
        <f t="shared" si="38"/>
        <v>Knee Replacement PrimaryProviderCIRCLE READING HOSPITAL (NV323)Oxford Knee Score</v>
      </c>
      <c r="C2497" t="s">
        <v>969</v>
      </c>
      <c r="D2497" t="s">
        <v>965</v>
      </c>
      <c r="E2497" t="s">
        <v>198</v>
      </c>
      <c r="F2497" t="s">
        <v>199</v>
      </c>
      <c r="G2497" t="s">
        <v>972</v>
      </c>
      <c r="H2497">
        <v>61</v>
      </c>
      <c r="I2497">
        <v>21.5246</v>
      </c>
      <c r="J2497">
        <v>39.245899999999999</v>
      </c>
      <c r="K2497">
        <v>17.721299999999999</v>
      </c>
      <c r="L2497">
        <v>57</v>
      </c>
      <c r="M2497">
        <v>1</v>
      </c>
      <c r="N2497">
        <v>3</v>
      </c>
      <c r="O2497">
        <v>37.137099999999997</v>
      </c>
      <c r="P2497">
        <v>17.748799999999999</v>
      </c>
      <c r="Q2497">
        <v>8.1852300000000007</v>
      </c>
    </row>
    <row r="2498" spans="1:17" x14ac:dyDescent="0.25">
      <c r="A2498" t="str">
        <f>IF(C2498&amp;G2498&amp;D2498&lt;&gt;'Funnel setup'!$K$3&amp;'Funnel setup'!$K$4&amp;'Funnel setup'!$K$6,".",IF(A2497=".",1,A2497+1))</f>
        <v>.</v>
      </c>
      <c r="B2498" s="244" t="str">
        <f t="shared" ref="B2498:B2561" si="39">C2498&amp;D2498&amp;F2498&amp;G2498</f>
        <v>Knee Replacement PrimaryProviderCLEMENTINE CHURCHILL HOSPITAL (NT411)Oxford Knee Score</v>
      </c>
      <c r="C2498" t="s">
        <v>969</v>
      </c>
      <c r="D2498" t="s">
        <v>965</v>
      </c>
      <c r="E2498" t="s">
        <v>200</v>
      </c>
      <c r="F2498" t="s">
        <v>201</v>
      </c>
      <c r="G2498" t="s">
        <v>972</v>
      </c>
      <c r="H2498">
        <v>32</v>
      </c>
      <c r="I2498">
        <v>23.25</v>
      </c>
      <c r="J2498">
        <v>35.6875</v>
      </c>
      <c r="K2498">
        <v>12.4375</v>
      </c>
      <c r="L2498">
        <v>31</v>
      </c>
      <c r="M2498">
        <v>0</v>
      </c>
      <c r="N2498">
        <v>1</v>
      </c>
      <c r="O2498">
        <v>34.910200000000003</v>
      </c>
      <c r="P2498">
        <v>15.5219</v>
      </c>
      <c r="Q2498">
        <v>6.2849199999999996</v>
      </c>
    </row>
    <row r="2499" spans="1:17" x14ac:dyDescent="0.25">
      <c r="A2499" t="str">
        <f>IF(C2499&amp;G2499&amp;D2499&lt;&gt;'Funnel setup'!$K$3&amp;'Funnel setup'!$K$4&amp;'Funnel setup'!$K$6,".",IF(A2498=".",1,A2498+1))</f>
        <v>.</v>
      </c>
      <c r="B2499" s="244" t="str">
        <f t="shared" si="39"/>
        <v>Knee Replacement PrimaryProviderCLIFTON PARK HOSPITAL (NVC28)Oxford Knee Score</v>
      </c>
      <c r="C2499" t="s">
        <v>969</v>
      </c>
      <c r="D2499" t="s">
        <v>965</v>
      </c>
      <c r="E2499" t="s">
        <v>202</v>
      </c>
      <c r="F2499" t="s">
        <v>203</v>
      </c>
      <c r="G2499" t="s">
        <v>972</v>
      </c>
      <c r="H2499">
        <v>58</v>
      </c>
      <c r="I2499">
        <v>18.689699999999998</v>
      </c>
      <c r="J2499">
        <v>35.448300000000003</v>
      </c>
      <c r="K2499">
        <v>16.758600000000001</v>
      </c>
      <c r="L2499">
        <v>56</v>
      </c>
      <c r="M2499">
        <v>1</v>
      </c>
      <c r="N2499">
        <v>1</v>
      </c>
      <c r="O2499">
        <v>34.849400000000003</v>
      </c>
      <c r="P2499">
        <v>15.461</v>
      </c>
      <c r="Q2499">
        <v>8.8452900000000003</v>
      </c>
    </row>
    <row r="2500" spans="1:17" x14ac:dyDescent="0.25">
      <c r="A2500" t="str">
        <f>IF(C2500&amp;G2500&amp;D2500&lt;&gt;'Funnel setup'!$K$3&amp;'Funnel setup'!$K$4&amp;'Funnel setup'!$K$6,".",IF(A2499=".",1,A2499+1))</f>
        <v>.</v>
      </c>
      <c r="B2500" s="244" t="str">
        <f t="shared" si="39"/>
        <v>Knee Replacement PrimaryProviderCOUNTESS OF CHESTER HOSPITAL NHS FOUNDATION TRUST (RJR)Oxford Knee Score</v>
      </c>
      <c r="C2500" t="s">
        <v>969</v>
      </c>
      <c r="D2500" t="s">
        <v>965</v>
      </c>
      <c r="E2500" t="s">
        <v>204</v>
      </c>
      <c r="F2500" t="s">
        <v>205</v>
      </c>
      <c r="G2500" t="s">
        <v>972</v>
      </c>
      <c r="H2500">
        <v>29</v>
      </c>
      <c r="I2500">
        <v>18.2759</v>
      </c>
      <c r="J2500">
        <v>35.965499999999999</v>
      </c>
      <c r="K2500">
        <v>17.689699999999998</v>
      </c>
      <c r="L2500">
        <v>27</v>
      </c>
      <c r="M2500">
        <v>0</v>
      </c>
      <c r="N2500">
        <v>2</v>
      </c>
      <c r="O2500" t="s">
        <v>127</v>
      </c>
      <c r="P2500" t="s">
        <v>127</v>
      </c>
      <c r="Q2500" t="s">
        <v>127</v>
      </c>
    </row>
    <row r="2501" spans="1:17" x14ac:dyDescent="0.25">
      <c r="A2501" t="str">
        <f>IF(C2501&amp;G2501&amp;D2501&lt;&gt;'Funnel setup'!$K$3&amp;'Funnel setup'!$K$4&amp;'Funnel setup'!$K$6,".",IF(A2500=".",1,A2500+1))</f>
        <v>.</v>
      </c>
      <c r="B2501" s="244" t="str">
        <f t="shared" si="39"/>
        <v>Knee Replacement PrimaryProviderCOUNTY DURHAM AND DARLINGTON NHS FOUNDATION TRUST (RXP)Oxford Knee Score</v>
      </c>
      <c r="C2501" t="s">
        <v>969</v>
      </c>
      <c r="D2501" t="s">
        <v>965</v>
      </c>
      <c r="E2501" t="s">
        <v>206</v>
      </c>
      <c r="F2501" t="s">
        <v>207</v>
      </c>
      <c r="G2501" t="s">
        <v>972</v>
      </c>
      <c r="H2501">
        <v>137</v>
      </c>
      <c r="I2501">
        <v>19.474499999999999</v>
      </c>
      <c r="J2501">
        <v>36.561999999999998</v>
      </c>
      <c r="K2501">
        <v>17.087599999999998</v>
      </c>
      <c r="L2501">
        <v>132</v>
      </c>
      <c r="M2501">
        <v>1</v>
      </c>
      <c r="N2501">
        <v>4</v>
      </c>
      <c r="O2501">
        <v>36.695</v>
      </c>
      <c r="P2501">
        <v>17.306699999999999</v>
      </c>
      <c r="Q2501">
        <v>8.4749199999999991</v>
      </c>
    </row>
    <row r="2502" spans="1:17" x14ac:dyDescent="0.25">
      <c r="A2502" t="str">
        <f>IF(C2502&amp;G2502&amp;D2502&lt;&gt;'Funnel setup'!$K$3&amp;'Funnel setup'!$K$4&amp;'Funnel setup'!$K$6,".",IF(A2501=".",1,A2501+1))</f>
        <v>.</v>
      </c>
      <c r="B2502" s="244" t="str">
        <f t="shared" si="39"/>
        <v>Knee Replacement PrimaryProviderDONCASTER AND BASSETLAW TEACHING HOSPITALS NHS FOUNDATION TRUST (RP5)Oxford Knee Score</v>
      </c>
      <c r="C2502" t="s">
        <v>969</v>
      </c>
      <c r="D2502" t="s">
        <v>965</v>
      </c>
      <c r="E2502" t="s">
        <v>212</v>
      </c>
      <c r="F2502" t="s">
        <v>213</v>
      </c>
      <c r="G2502" t="s">
        <v>972</v>
      </c>
      <c r="H2502">
        <v>89</v>
      </c>
      <c r="I2502">
        <v>16.763999999999999</v>
      </c>
      <c r="J2502">
        <v>32.9101</v>
      </c>
      <c r="K2502">
        <v>16.146100000000001</v>
      </c>
      <c r="L2502">
        <v>81</v>
      </c>
      <c r="M2502">
        <v>0</v>
      </c>
      <c r="N2502">
        <v>8</v>
      </c>
      <c r="O2502">
        <v>35.373100000000001</v>
      </c>
      <c r="P2502">
        <v>15.9847</v>
      </c>
      <c r="Q2502">
        <v>9.8973600000000008</v>
      </c>
    </row>
    <row r="2503" spans="1:17" x14ac:dyDescent="0.25">
      <c r="A2503" t="str">
        <f>IF(C2503&amp;G2503&amp;D2503&lt;&gt;'Funnel setup'!$K$3&amp;'Funnel setup'!$K$4&amp;'Funnel setup'!$K$6,".",IF(A2502=".",1,A2502+1))</f>
        <v>.</v>
      </c>
      <c r="B2503" s="244" t="str">
        <f t="shared" si="39"/>
        <v>Knee Replacement PrimaryProviderDORSET COUNTY HOSPITAL NHS FOUNDATION TRUST (RBD)Oxford Knee Score</v>
      </c>
      <c r="C2503" t="s">
        <v>969</v>
      </c>
      <c r="D2503" t="s">
        <v>965</v>
      </c>
      <c r="E2503" t="s">
        <v>214</v>
      </c>
      <c r="F2503" t="s">
        <v>215</v>
      </c>
      <c r="G2503" t="s">
        <v>972</v>
      </c>
      <c r="H2503">
        <v>16</v>
      </c>
      <c r="I2503">
        <v>19.8125</v>
      </c>
      <c r="J2503">
        <v>37.4375</v>
      </c>
      <c r="K2503">
        <v>17.625</v>
      </c>
      <c r="L2503">
        <v>16</v>
      </c>
      <c r="M2503">
        <v>0</v>
      </c>
      <c r="N2503">
        <v>0</v>
      </c>
      <c r="O2503" t="s">
        <v>127</v>
      </c>
      <c r="P2503" t="s">
        <v>127</v>
      </c>
      <c r="Q2503" t="s">
        <v>127</v>
      </c>
    </row>
    <row r="2504" spans="1:17" x14ac:dyDescent="0.25">
      <c r="A2504" t="str">
        <f>IF(C2504&amp;G2504&amp;D2504&lt;&gt;'Funnel setup'!$K$3&amp;'Funnel setup'!$K$4&amp;'Funnel setup'!$K$6,".",IF(A2503=".",1,A2503+1))</f>
        <v>.</v>
      </c>
      <c r="B2504" s="244" t="str">
        <f t="shared" si="39"/>
        <v>Knee Replacement PrimaryProviderDROITWICH SPA HOSPITAL (NT412)Oxford Knee Score</v>
      </c>
      <c r="C2504" t="s">
        <v>969</v>
      </c>
      <c r="D2504" t="s">
        <v>965</v>
      </c>
      <c r="E2504" t="s">
        <v>216</v>
      </c>
      <c r="F2504" t="s">
        <v>217</v>
      </c>
      <c r="G2504" t="s">
        <v>972</v>
      </c>
      <c r="H2504">
        <v>25</v>
      </c>
      <c r="I2504">
        <v>20.239999999999998</v>
      </c>
      <c r="J2504">
        <v>38.520000000000003</v>
      </c>
      <c r="K2504">
        <v>18.28</v>
      </c>
      <c r="L2504">
        <v>25</v>
      </c>
      <c r="M2504">
        <v>0</v>
      </c>
      <c r="N2504">
        <v>0</v>
      </c>
      <c r="O2504" t="s">
        <v>127</v>
      </c>
      <c r="P2504" t="s">
        <v>127</v>
      </c>
      <c r="Q2504" t="s">
        <v>127</v>
      </c>
    </row>
    <row r="2505" spans="1:17" x14ac:dyDescent="0.25">
      <c r="A2505" t="str">
        <f>IF(C2505&amp;G2505&amp;D2505&lt;&gt;'Funnel setup'!$K$3&amp;'Funnel setup'!$K$4&amp;'Funnel setup'!$K$6,".",IF(A2504=".",1,A2504+1))</f>
        <v>.</v>
      </c>
      <c r="B2505" s="244" t="str">
        <f t="shared" si="39"/>
        <v>Knee Replacement PrimaryProviderDUCHY HOSPITAL (NT447)Oxford Knee Score</v>
      </c>
      <c r="C2505" t="s">
        <v>969</v>
      </c>
      <c r="D2505" t="s">
        <v>965</v>
      </c>
      <c r="E2505" t="s">
        <v>218</v>
      </c>
      <c r="F2505" t="s">
        <v>219</v>
      </c>
      <c r="G2505" t="s">
        <v>972</v>
      </c>
      <c r="H2505">
        <v>38</v>
      </c>
      <c r="I2505">
        <v>21.7895</v>
      </c>
      <c r="J2505">
        <v>41.631599999999999</v>
      </c>
      <c r="K2505">
        <v>19.842099999999999</v>
      </c>
      <c r="L2505">
        <v>37</v>
      </c>
      <c r="M2505">
        <v>0</v>
      </c>
      <c r="N2505">
        <v>1</v>
      </c>
      <c r="O2505">
        <v>39.395899999999997</v>
      </c>
      <c r="P2505">
        <v>20.0075</v>
      </c>
      <c r="Q2505">
        <v>4.4652000000000003</v>
      </c>
    </row>
    <row r="2506" spans="1:17" x14ac:dyDescent="0.25">
      <c r="A2506" t="str">
        <f>IF(C2506&amp;G2506&amp;D2506&lt;&gt;'Funnel setup'!$K$3&amp;'Funnel setup'!$K$4&amp;'Funnel setup'!$K$6,".",IF(A2505=".",1,A2505+1))</f>
        <v>.</v>
      </c>
      <c r="B2506" s="244" t="str">
        <f t="shared" si="39"/>
        <v>Knee Replacement PrimaryProviderDUCHY HOSPITAL (NVC04)Oxford Knee Score</v>
      </c>
      <c r="C2506" t="s">
        <v>969</v>
      </c>
      <c r="D2506" t="s">
        <v>965</v>
      </c>
      <c r="E2506" t="s">
        <v>220</v>
      </c>
      <c r="F2506" t="s">
        <v>221</v>
      </c>
      <c r="G2506" t="s">
        <v>972</v>
      </c>
      <c r="H2506">
        <v>26</v>
      </c>
      <c r="I2506">
        <v>23.115400000000001</v>
      </c>
      <c r="J2506">
        <v>37.346200000000003</v>
      </c>
      <c r="K2506">
        <v>14.2308</v>
      </c>
      <c r="L2506">
        <v>24</v>
      </c>
      <c r="M2506">
        <v>0</v>
      </c>
      <c r="N2506">
        <v>2</v>
      </c>
      <c r="O2506" t="s">
        <v>127</v>
      </c>
      <c r="P2506" t="s">
        <v>127</v>
      </c>
      <c r="Q2506" t="s">
        <v>127</v>
      </c>
    </row>
    <row r="2507" spans="1:17" x14ac:dyDescent="0.25">
      <c r="A2507" t="str">
        <f>IF(C2507&amp;G2507&amp;D2507&lt;&gt;'Funnel setup'!$K$3&amp;'Funnel setup'!$K$4&amp;'Funnel setup'!$K$6,".",IF(A2506=".",1,A2506+1))</f>
        <v>.</v>
      </c>
      <c r="B2507" s="244" t="str">
        <f t="shared" si="39"/>
        <v>Knee Replacement PrimaryProviderEAST AND NORTH HERTFORDSHIRE NHS TRUST (RWH)Oxford Knee Score</v>
      </c>
      <c r="C2507" t="s">
        <v>969</v>
      </c>
      <c r="D2507" t="s">
        <v>965</v>
      </c>
      <c r="E2507" t="s">
        <v>224</v>
      </c>
      <c r="F2507" t="s">
        <v>225</v>
      </c>
      <c r="G2507" t="s">
        <v>972</v>
      </c>
      <c r="H2507">
        <v>29</v>
      </c>
      <c r="I2507">
        <v>19.413799999999998</v>
      </c>
      <c r="J2507">
        <v>35.379300000000001</v>
      </c>
      <c r="K2507">
        <v>15.9655</v>
      </c>
      <c r="L2507">
        <v>26</v>
      </c>
      <c r="M2507">
        <v>0</v>
      </c>
      <c r="N2507">
        <v>3</v>
      </c>
      <c r="O2507" t="s">
        <v>127</v>
      </c>
      <c r="P2507" t="s">
        <v>127</v>
      </c>
      <c r="Q2507" t="s">
        <v>127</v>
      </c>
    </row>
    <row r="2508" spans="1:17" x14ac:dyDescent="0.25">
      <c r="A2508" t="str">
        <f>IF(C2508&amp;G2508&amp;D2508&lt;&gt;'Funnel setup'!$K$3&amp;'Funnel setup'!$K$4&amp;'Funnel setup'!$K$6,".",IF(A2507=".",1,A2507+1))</f>
        <v>.</v>
      </c>
      <c r="B2508" s="244" t="str">
        <f t="shared" si="39"/>
        <v>Knee Replacement PrimaryProviderEAST CHESHIRE NHS TRUST (RJN)Oxford Knee Score</v>
      </c>
      <c r="C2508" t="s">
        <v>969</v>
      </c>
      <c r="D2508" t="s">
        <v>965</v>
      </c>
      <c r="E2508" t="s">
        <v>226</v>
      </c>
      <c r="F2508" t="s">
        <v>227</v>
      </c>
      <c r="G2508" t="s">
        <v>972</v>
      </c>
      <c r="H2508">
        <v>6</v>
      </c>
      <c r="I2508">
        <v>11.833299999999999</v>
      </c>
      <c r="J2508">
        <v>35.166699999999999</v>
      </c>
      <c r="K2508">
        <v>23.333300000000001</v>
      </c>
      <c r="L2508">
        <v>6</v>
      </c>
      <c r="M2508">
        <v>0</v>
      </c>
      <c r="N2508">
        <v>0</v>
      </c>
      <c r="O2508" t="s">
        <v>127</v>
      </c>
      <c r="P2508" t="s">
        <v>127</v>
      </c>
      <c r="Q2508" t="s">
        <v>127</v>
      </c>
    </row>
    <row r="2509" spans="1:17" x14ac:dyDescent="0.25">
      <c r="A2509" t="str">
        <f>IF(C2509&amp;G2509&amp;D2509&lt;&gt;'Funnel setup'!$K$3&amp;'Funnel setup'!$K$4&amp;'Funnel setup'!$K$6,".",IF(A2508=".",1,A2508+1))</f>
        <v>.</v>
      </c>
      <c r="B2509" s="244" t="str">
        <f t="shared" si="39"/>
        <v>Knee Replacement PrimaryProviderEAST KENT HOSPITALS UNIVERSITY NHS FOUNDATION TRUST (RVV)Oxford Knee Score</v>
      </c>
      <c r="C2509" t="s">
        <v>969</v>
      </c>
      <c r="D2509" t="s">
        <v>965</v>
      </c>
      <c r="E2509" t="s">
        <v>228</v>
      </c>
      <c r="F2509" t="s">
        <v>229</v>
      </c>
      <c r="G2509" t="s">
        <v>972</v>
      </c>
      <c r="H2509">
        <v>87</v>
      </c>
      <c r="I2509">
        <v>19.666699999999999</v>
      </c>
      <c r="J2509">
        <v>36.080500000000001</v>
      </c>
      <c r="K2509">
        <v>16.413799999999998</v>
      </c>
      <c r="L2509">
        <v>80</v>
      </c>
      <c r="M2509">
        <v>1</v>
      </c>
      <c r="N2509">
        <v>6</v>
      </c>
      <c r="O2509">
        <v>36.921399999999998</v>
      </c>
      <c r="P2509">
        <v>17.533100000000001</v>
      </c>
      <c r="Q2509">
        <v>8.1453100000000003</v>
      </c>
    </row>
    <row r="2510" spans="1:17" x14ac:dyDescent="0.25">
      <c r="A2510" t="str">
        <f>IF(C2510&amp;G2510&amp;D2510&lt;&gt;'Funnel setup'!$K$3&amp;'Funnel setup'!$K$4&amp;'Funnel setup'!$K$6,".",IF(A2509=".",1,A2509+1))</f>
        <v>.</v>
      </c>
      <c r="B2510" s="244" t="str">
        <f t="shared" si="39"/>
        <v>Knee Replacement PrimaryProviderEAST LANCASHIRE HOSPITALS NHS TRUST (RXR)Oxford Knee Score</v>
      </c>
      <c r="C2510" t="s">
        <v>969</v>
      </c>
      <c r="D2510" t="s">
        <v>965</v>
      </c>
      <c r="E2510" t="s">
        <v>230</v>
      </c>
      <c r="F2510" t="s">
        <v>231</v>
      </c>
      <c r="G2510" t="s">
        <v>972</v>
      </c>
      <c r="H2510">
        <v>97</v>
      </c>
      <c r="I2510">
        <v>19.164899999999999</v>
      </c>
      <c r="J2510">
        <v>36.515500000000003</v>
      </c>
      <c r="K2510">
        <v>17.3505</v>
      </c>
      <c r="L2510">
        <v>89</v>
      </c>
      <c r="M2510">
        <v>2</v>
      </c>
      <c r="N2510">
        <v>6</v>
      </c>
      <c r="O2510">
        <v>37.369100000000003</v>
      </c>
      <c r="P2510">
        <v>17.980699999999999</v>
      </c>
      <c r="Q2510">
        <v>9.4771199999999993</v>
      </c>
    </row>
    <row r="2511" spans="1:17" x14ac:dyDescent="0.25">
      <c r="A2511" t="str">
        <f>IF(C2511&amp;G2511&amp;D2511&lt;&gt;'Funnel setup'!$K$3&amp;'Funnel setup'!$K$4&amp;'Funnel setup'!$K$6,".",IF(A2510=".",1,A2510+1))</f>
        <v>.</v>
      </c>
      <c r="B2511" s="244" t="str">
        <f t="shared" si="39"/>
        <v>Knee Replacement PrimaryProviderEAST SUFFOLK AND NORTH ESSEX NHS FOUNDATION TRUST (RDE)Oxford Knee Score</v>
      </c>
      <c r="C2511" t="s">
        <v>969</v>
      </c>
      <c r="D2511" t="s">
        <v>965</v>
      </c>
      <c r="E2511" t="s">
        <v>232</v>
      </c>
      <c r="F2511" t="s">
        <v>233</v>
      </c>
      <c r="G2511" t="s">
        <v>972</v>
      </c>
      <c r="H2511">
        <v>134</v>
      </c>
      <c r="I2511">
        <v>18.082100000000001</v>
      </c>
      <c r="J2511">
        <v>37.082099999999997</v>
      </c>
      <c r="K2511">
        <v>19</v>
      </c>
      <c r="L2511">
        <v>130</v>
      </c>
      <c r="M2511">
        <v>0</v>
      </c>
      <c r="N2511">
        <v>4</v>
      </c>
      <c r="O2511">
        <v>37.6676</v>
      </c>
      <c r="P2511">
        <v>18.279299999999999</v>
      </c>
      <c r="Q2511">
        <v>8.0859100000000002</v>
      </c>
    </row>
    <row r="2512" spans="1:17" x14ac:dyDescent="0.25">
      <c r="A2512" t="str">
        <f>IF(C2512&amp;G2512&amp;D2512&lt;&gt;'Funnel setup'!$K$3&amp;'Funnel setup'!$K$4&amp;'Funnel setup'!$K$6,".",IF(A2511=".",1,A2511+1))</f>
        <v>.</v>
      </c>
      <c r="B2512" s="244" t="str">
        <f t="shared" si="39"/>
        <v>Knee Replacement PrimaryProviderEAST SUSSEX HEALTHCARE NHS TRUST (RXC)Oxford Knee Score</v>
      </c>
      <c r="C2512" t="s">
        <v>969</v>
      </c>
      <c r="D2512" t="s">
        <v>965</v>
      </c>
      <c r="E2512" t="s">
        <v>234</v>
      </c>
      <c r="F2512" t="s">
        <v>235</v>
      </c>
      <c r="G2512" t="s">
        <v>972</v>
      </c>
      <c r="H2512">
        <v>82</v>
      </c>
      <c r="I2512">
        <v>18.5976</v>
      </c>
      <c r="J2512">
        <v>36.8902</v>
      </c>
      <c r="K2512">
        <v>18.2927</v>
      </c>
      <c r="L2512">
        <v>80</v>
      </c>
      <c r="M2512">
        <v>0</v>
      </c>
      <c r="N2512">
        <v>2</v>
      </c>
      <c r="O2512">
        <v>37.636099999999999</v>
      </c>
      <c r="P2512">
        <v>18.247699999999998</v>
      </c>
      <c r="Q2512">
        <v>7.7497199999999999</v>
      </c>
    </row>
    <row r="2513" spans="1:17" x14ac:dyDescent="0.25">
      <c r="A2513" t="str">
        <f>IF(C2513&amp;G2513&amp;D2513&lt;&gt;'Funnel setup'!$K$3&amp;'Funnel setup'!$K$4&amp;'Funnel setup'!$K$6,".",IF(A2512=".",1,A2512+1))</f>
        <v>.</v>
      </c>
      <c r="B2513" s="244" t="str">
        <f t="shared" si="39"/>
        <v>Knee Replacement PrimaryProviderEPSOM AND ST HELIER UNIVERSITY HOSPITALS NHS TRUST (RVR)Oxford Knee Score</v>
      </c>
      <c r="C2513" t="s">
        <v>969</v>
      </c>
      <c r="D2513" t="s">
        <v>965</v>
      </c>
      <c r="E2513" t="s">
        <v>238</v>
      </c>
      <c r="F2513" t="s">
        <v>239</v>
      </c>
      <c r="G2513" t="s">
        <v>972</v>
      </c>
      <c r="H2513">
        <v>674</v>
      </c>
      <c r="I2513">
        <v>20.578600000000002</v>
      </c>
      <c r="J2513">
        <v>37.016300000000001</v>
      </c>
      <c r="K2513">
        <v>16.4377</v>
      </c>
      <c r="L2513">
        <v>644</v>
      </c>
      <c r="M2513">
        <v>2</v>
      </c>
      <c r="N2513">
        <v>28</v>
      </c>
      <c r="O2513">
        <v>36.552100000000003</v>
      </c>
      <c r="P2513">
        <v>17.163799999999998</v>
      </c>
      <c r="Q2513">
        <v>8.0344700000000007</v>
      </c>
    </row>
    <row r="2514" spans="1:17" x14ac:dyDescent="0.25">
      <c r="A2514" t="str">
        <f>IF(C2514&amp;G2514&amp;D2514&lt;&gt;'Funnel setup'!$K$3&amp;'Funnel setup'!$K$4&amp;'Funnel setup'!$K$6,".",IF(A2513=".",1,A2513+1))</f>
        <v>.</v>
      </c>
      <c r="B2514" s="244" t="str">
        <f t="shared" si="39"/>
        <v>Knee Replacement PrimaryProviderEUXTON HALL HOSPITAL (NVC05)Oxford Knee Score</v>
      </c>
      <c r="C2514" t="s">
        <v>969</v>
      </c>
      <c r="D2514" t="s">
        <v>965</v>
      </c>
      <c r="E2514" t="s">
        <v>240</v>
      </c>
      <c r="F2514" t="s">
        <v>241</v>
      </c>
      <c r="G2514" t="s">
        <v>972</v>
      </c>
      <c r="H2514">
        <v>54</v>
      </c>
      <c r="I2514">
        <v>17.925899999999999</v>
      </c>
      <c r="J2514">
        <v>39.463000000000001</v>
      </c>
      <c r="K2514">
        <v>21.536999999999999</v>
      </c>
      <c r="L2514">
        <v>53</v>
      </c>
      <c r="M2514">
        <v>1</v>
      </c>
      <c r="N2514">
        <v>0</v>
      </c>
      <c r="O2514">
        <v>39.685499999999998</v>
      </c>
      <c r="P2514">
        <v>20.2972</v>
      </c>
      <c r="Q2514">
        <v>8.1142299999999992</v>
      </c>
    </row>
    <row r="2515" spans="1:17" x14ac:dyDescent="0.25">
      <c r="A2515" t="str">
        <f>IF(C2515&amp;G2515&amp;D2515&lt;&gt;'Funnel setup'!$K$3&amp;'Funnel setup'!$K$4&amp;'Funnel setup'!$K$6,".",IF(A2514=".",1,A2514+1))</f>
        <v>.</v>
      </c>
      <c r="B2515" s="244" t="str">
        <f t="shared" si="39"/>
        <v>Knee Replacement PrimaryProviderFAIRFIELD HOSPITAL (NVG01)Oxford Knee Score</v>
      </c>
      <c r="C2515" t="s">
        <v>969</v>
      </c>
      <c r="D2515" t="s">
        <v>965</v>
      </c>
      <c r="E2515" t="s">
        <v>242</v>
      </c>
      <c r="F2515" t="s">
        <v>243</v>
      </c>
      <c r="G2515" t="s">
        <v>972</v>
      </c>
      <c r="H2515">
        <v>48</v>
      </c>
      <c r="I2515">
        <v>18.583300000000001</v>
      </c>
      <c r="J2515">
        <v>35.25</v>
      </c>
      <c r="K2515">
        <v>16.666699999999999</v>
      </c>
      <c r="L2515">
        <v>44</v>
      </c>
      <c r="M2515">
        <v>1</v>
      </c>
      <c r="N2515">
        <v>3</v>
      </c>
      <c r="O2515">
        <v>35.459400000000002</v>
      </c>
      <c r="P2515">
        <v>16.071100000000001</v>
      </c>
      <c r="Q2515">
        <v>9.1244499999999995</v>
      </c>
    </row>
    <row r="2516" spans="1:17" x14ac:dyDescent="0.25">
      <c r="A2516" t="str">
        <f>IF(C2516&amp;G2516&amp;D2516&lt;&gt;'Funnel setup'!$K$3&amp;'Funnel setup'!$K$4&amp;'Funnel setup'!$K$6,".",IF(A2515=".",1,A2515+1))</f>
        <v>.</v>
      </c>
      <c r="B2516" s="244" t="str">
        <f t="shared" si="39"/>
        <v>Knee Replacement PrimaryProviderFITZWILLIAM HOSPITAL (NVC06)Oxford Knee Score</v>
      </c>
      <c r="C2516" t="s">
        <v>969</v>
      </c>
      <c r="D2516" t="s">
        <v>965</v>
      </c>
      <c r="E2516" t="s">
        <v>244</v>
      </c>
      <c r="F2516" t="s">
        <v>245</v>
      </c>
      <c r="G2516" t="s">
        <v>972</v>
      </c>
      <c r="H2516">
        <v>94</v>
      </c>
      <c r="I2516">
        <v>19.617000000000001</v>
      </c>
      <c r="J2516">
        <v>39.5319</v>
      </c>
      <c r="K2516">
        <v>19.914899999999999</v>
      </c>
      <c r="L2516">
        <v>92</v>
      </c>
      <c r="M2516">
        <v>0</v>
      </c>
      <c r="N2516">
        <v>2</v>
      </c>
      <c r="O2516">
        <v>38.860900000000001</v>
      </c>
      <c r="P2516">
        <v>19.4726</v>
      </c>
      <c r="Q2516">
        <v>7.3139900000000004</v>
      </c>
    </row>
    <row r="2517" spans="1:17" x14ac:dyDescent="0.25">
      <c r="A2517" t="str">
        <f>IF(C2517&amp;G2517&amp;D2517&lt;&gt;'Funnel setup'!$K$3&amp;'Funnel setup'!$K$4&amp;'Funnel setup'!$K$6,".",IF(A2516=".",1,A2516+1))</f>
        <v>.</v>
      </c>
      <c r="B2517" s="244" t="str">
        <f t="shared" si="39"/>
        <v>Knee Replacement PrimaryProviderFRIMLEY HEALTH NHS FOUNDATION TRUST (RDU)Oxford Knee Score</v>
      </c>
      <c r="C2517" t="s">
        <v>969</v>
      </c>
      <c r="D2517" t="s">
        <v>965</v>
      </c>
      <c r="E2517" t="s">
        <v>248</v>
      </c>
      <c r="F2517" t="s">
        <v>249</v>
      </c>
      <c r="G2517" t="s">
        <v>972</v>
      </c>
      <c r="H2517">
        <v>197</v>
      </c>
      <c r="I2517">
        <v>21.314699999999998</v>
      </c>
      <c r="J2517">
        <v>36.101500000000001</v>
      </c>
      <c r="K2517">
        <v>14.786799999999999</v>
      </c>
      <c r="L2517">
        <v>179</v>
      </c>
      <c r="M2517">
        <v>6</v>
      </c>
      <c r="N2517">
        <v>12</v>
      </c>
      <c r="O2517">
        <v>35.1432</v>
      </c>
      <c r="P2517">
        <v>15.754899999999999</v>
      </c>
      <c r="Q2517">
        <v>8.9444700000000008</v>
      </c>
    </row>
    <row r="2518" spans="1:17" x14ac:dyDescent="0.25">
      <c r="A2518" t="str">
        <f>IF(C2518&amp;G2518&amp;D2518&lt;&gt;'Funnel setup'!$K$3&amp;'Funnel setup'!$K$4&amp;'Funnel setup'!$K$6,".",IF(A2517=".",1,A2517+1))</f>
        <v>.</v>
      </c>
      <c r="B2518" s="244" t="str">
        <f t="shared" si="39"/>
        <v>Knee Replacement PrimaryProviderFULWOOD HALL HOSPITAL (NVC07)Oxford Knee Score</v>
      </c>
      <c r="C2518" t="s">
        <v>969</v>
      </c>
      <c r="D2518" t="s">
        <v>965</v>
      </c>
      <c r="E2518" t="s">
        <v>250</v>
      </c>
      <c r="F2518" t="s">
        <v>251</v>
      </c>
      <c r="G2518" t="s">
        <v>972</v>
      </c>
      <c r="H2518">
        <v>87</v>
      </c>
      <c r="I2518">
        <v>20.8736</v>
      </c>
      <c r="J2518">
        <v>39.8506</v>
      </c>
      <c r="K2518">
        <v>18.977</v>
      </c>
      <c r="L2518">
        <v>85</v>
      </c>
      <c r="M2518">
        <v>0</v>
      </c>
      <c r="N2518">
        <v>2</v>
      </c>
      <c r="O2518">
        <v>38.989800000000002</v>
      </c>
      <c r="P2518">
        <v>19.601500000000001</v>
      </c>
      <c r="Q2518">
        <v>8.0562400000000007</v>
      </c>
    </row>
    <row r="2519" spans="1:17" x14ac:dyDescent="0.25">
      <c r="A2519" t="str">
        <f>IF(C2519&amp;G2519&amp;D2519&lt;&gt;'Funnel setup'!$K$3&amp;'Funnel setup'!$K$4&amp;'Funnel setup'!$K$6,".",IF(A2518=".",1,A2518+1))</f>
        <v>.</v>
      </c>
      <c r="B2519" s="244" t="str">
        <f t="shared" si="39"/>
        <v>Knee Replacement PrimaryProviderGATESHEAD HEALTH NHS FOUNDATION TRUST (RR7)Oxford Knee Score</v>
      </c>
      <c r="C2519" t="s">
        <v>969</v>
      </c>
      <c r="D2519" t="s">
        <v>965</v>
      </c>
      <c r="E2519" t="s">
        <v>252</v>
      </c>
      <c r="F2519" t="s">
        <v>253</v>
      </c>
      <c r="G2519" t="s">
        <v>972</v>
      </c>
      <c r="H2519">
        <v>42</v>
      </c>
      <c r="I2519">
        <v>14.5952</v>
      </c>
      <c r="J2519">
        <v>36.357100000000003</v>
      </c>
      <c r="K2519">
        <v>21.761900000000001</v>
      </c>
      <c r="L2519">
        <v>41</v>
      </c>
      <c r="M2519">
        <v>0</v>
      </c>
      <c r="N2519">
        <v>1</v>
      </c>
      <c r="O2519">
        <v>39.451599999999999</v>
      </c>
      <c r="P2519">
        <v>20.063300000000002</v>
      </c>
      <c r="Q2519">
        <v>9.2497000000000007</v>
      </c>
    </row>
    <row r="2520" spans="1:17" x14ac:dyDescent="0.25">
      <c r="A2520" t="str">
        <f>IF(C2520&amp;G2520&amp;D2520&lt;&gt;'Funnel setup'!$K$3&amp;'Funnel setup'!$K$4&amp;'Funnel setup'!$K$6,".",IF(A2519=".",1,A2519+1))</f>
        <v>.</v>
      </c>
      <c r="B2520" s="244" t="str">
        <f t="shared" si="39"/>
        <v>Knee Replacement PrimaryProviderGLOUCESTERSHIRE HOSPITALS NHS FOUNDATION TRUST (RTE)Oxford Knee Score</v>
      </c>
      <c r="C2520" t="s">
        <v>969</v>
      </c>
      <c r="D2520" t="s">
        <v>965</v>
      </c>
      <c r="E2520" t="s">
        <v>256</v>
      </c>
      <c r="F2520" t="s">
        <v>257</v>
      </c>
      <c r="G2520" t="s">
        <v>972</v>
      </c>
      <c r="H2520">
        <v>67</v>
      </c>
      <c r="I2520">
        <v>16.3582</v>
      </c>
      <c r="J2520">
        <v>36.910400000000003</v>
      </c>
      <c r="K2520">
        <v>20.552199999999999</v>
      </c>
      <c r="L2520">
        <v>66</v>
      </c>
      <c r="M2520">
        <v>0</v>
      </c>
      <c r="N2520">
        <v>1</v>
      </c>
      <c r="O2520">
        <v>38.410299999999999</v>
      </c>
      <c r="P2520">
        <v>19.021999999999998</v>
      </c>
      <c r="Q2520">
        <v>7.7014300000000002</v>
      </c>
    </row>
    <row r="2521" spans="1:17" x14ac:dyDescent="0.25">
      <c r="A2521" t="str">
        <f>IF(C2521&amp;G2521&amp;D2521&lt;&gt;'Funnel setup'!$K$3&amp;'Funnel setup'!$K$4&amp;'Funnel setup'!$K$6,".",IF(A2520=".",1,A2520+1))</f>
        <v>.</v>
      </c>
      <c r="B2521" s="244" t="str">
        <f t="shared" si="39"/>
        <v>Knee Replacement PrimaryProviderGORING HALL HOSPITAL (NT417)Oxford Knee Score</v>
      </c>
      <c r="C2521" t="s">
        <v>969</v>
      </c>
      <c r="D2521" t="s">
        <v>965</v>
      </c>
      <c r="E2521" t="s">
        <v>258</v>
      </c>
      <c r="F2521" t="s">
        <v>259</v>
      </c>
      <c r="G2521" t="s">
        <v>972</v>
      </c>
      <c r="H2521">
        <v>25</v>
      </c>
      <c r="I2521">
        <v>20.88</v>
      </c>
      <c r="J2521">
        <v>39.64</v>
      </c>
      <c r="K2521">
        <v>18.760000000000002</v>
      </c>
      <c r="L2521">
        <v>23</v>
      </c>
      <c r="M2521">
        <v>0</v>
      </c>
      <c r="N2521">
        <v>2</v>
      </c>
      <c r="O2521" t="s">
        <v>127</v>
      </c>
      <c r="P2521" t="s">
        <v>127</v>
      </c>
      <c r="Q2521" t="s">
        <v>127</v>
      </c>
    </row>
    <row r="2522" spans="1:17" x14ac:dyDescent="0.25">
      <c r="A2522" t="str">
        <f>IF(C2522&amp;G2522&amp;D2522&lt;&gt;'Funnel setup'!$K$3&amp;'Funnel setup'!$K$4&amp;'Funnel setup'!$K$6,".",IF(A2521=".",1,A2521+1))</f>
        <v>.</v>
      </c>
      <c r="B2522" s="244" t="str">
        <f t="shared" si="39"/>
        <v>Knee Replacement PrimaryProviderGUY'S AND ST THOMAS' NHS FOUNDATION TRUST (RJ1)Oxford Knee Score</v>
      </c>
      <c r="C2522" t="s">
        <v>969</v>
      </c>
      <c r="D2522" t="s">
        <v>965</v>
      </c>
      <c r="E2522" t="s">
        <v>262</v>
      </c>
      <c r="F2522" t="s">
        <v>263</v>
      </c>
      <c r="G2522" t="s">
        <v>972</v>
      </c>
      <c r="H2522">
        <v>59</v>
      </c>
      <c r="I2522">
        <v>18.118600000000001</v>
      </c>
      <c r="J2522">
        <v>33.813600000000001</v>
      </c>
      <c r="K2522">
        <v>15.694900000000001</v>
      </c>
      <c r="L2522">
        <v>56</v>
      </c>
      <c r="M2522">
        <v>0</v>
      </c>
      <c r="N2522">
        <v>3</v>
      </c>
      <c r="O2522">
        <v>35.332099999999997</v>
      </c>
      <c r="P2522">
        <v>15.9438</v>
      </c>
      <c r="Q2522">
        <v>8.7576900000000002</v>
      </c>
    </row>
    <row r="2523" spans="1:17" x14ac:dyDescent="0.25">
      <c r="A2523" t="str">
        <f>IF(C2523&amp;G2523&amp;D2523&lt;&gt;'Funnel setup'!$K$3&amp;'Funnel setup'!$K$4&amp;'Funnel setup'!$K$6,".",IF(A2522=".",1,A2522+1))</f>
        <v>.</v>
      </c>
      <c r="B2523" s="244" t="str">
        <f t="shared" si="39"/>
        <v>Knee Replacement PrimaryProviderHAMPSHIRE CLINIC (NT418)Oxford Knee Score</v>
      </c>
      <c r="C2523" t="s">
        <v>969</v>
      </c>
      <c r="D2523" t="s">
        <v>965</v>
      </c>
      <c r="E2523" t="s">
        <v>264</v>
      </c>
      <c r="F2523" t="s">
        <v>265</v>
      </c>
      <c r="G2523" t="s">
        <v>972</v>
      </c>
      <c r="H2523">
        <v>22</v>
      </c>
      <c r="I2523">
        <v>24.636399999999998</v>
      </c>
      <c r="J2523">
        <v>39.954500000000003</v>
      </c>
      <c r="K2523">
        <v>15.318199999999999</v>
      </c>
      <c r="L2523">
        <v>20</v>
      </c>
      <c r="M2523">
        <v>0</v>
      </c>
      <c r="N2523">
        <v>2</v>
      </c>
      <c r="O2523" t="s">
        <v>127</v>
      </c>
      <c r="P2523" t="s">
        <v>127</v>
      </c>
      <c r="Q2523" t="s">
        <v>127</v>
      </c>
    </row>
    <row r="2524" spans="1:17" x14ac:dyDescent="0.25">
      <c r="A2524" t="str">
        <f>IF(C2524&amp;G2524&amp;D2524&lt;&gt;'Funnel setup'!$K$3&amp;'Funnel setup'!$K$4&amp;'Funnel setup'!$K$6,".",IF(A2523=".",1,A2523+1))</f>
        <v>.</v>
      </c>
      <c r="B2524" s="244" t="str">
        <f t="shared" si="39"/>
        <v>Knee Replacement PrimaryProviderHAMPSHIRE HOSPITALS NHS FOUNDATION TRUST (RN5)Oxford Knee Score</v>
      </c>
      <c r="C2524" t="s">
        <v>969</v>
      </c>
      <c r="D2524" t="s">
        <v>965</v>
      </c>
      <c r="E2524" t="s">
        <v>266</v>
      </c>
      <c r="F2524" t="s">
        <v>267</v>
      </c>
      <c r="G2524" t="s">
        <v>972</v>
      </c>
      <c r="H2524">
        <v>27</v>
      </c>
      <c r="I2524">
        <v>20.963000000000001</v>
      </c>
      <c r="J2524">
        <v>39</v>
      </c>
      <c r="K2524">
        <v>18.036999999999999</v>
      </c>
      <c r="L2524">
        <v>25</v>
      </c>
      <c r="M2524">
        <v>0</v>
      </c>
      <c r="N2524">
        <v>2</v>
      </c>
      <c r="O2524" t="s">
        <v>127</v>
      </c>
      <c r="P2524" t="s">
        <v>127</v>
      </c>
      <c r="Q2524" t="s">
        <v>127</v>
      </c>
    </row>
    <row r="2525" spans="1:17" x14ac:dyDescent="0.25">
      <c r="A2525" t="str">
        <f>IF(C2525&amp;G2525&amp;D2525&lt;&gt;'Funnel setup'!$K$3&amp;'Funnel setup'!$K$4&amp;'Funnel setup'!$K$6,".",IF(A2524=".",1,A2524+1))</f>
        <v>.</v>
      </c>
      <c r="B2525" s="244" t="str">
        <f t="shared" si="39"/>
        <v>Knee Replacement PrimaryProviderHARROGATE AND DISTRICT NHS FOUNDATION TRUST (RCD)Oxford Knee Score</v>
      </c>
      <c r="C2525" t="s">
        <v>969</v>
      </c>
      <c r="D2525" t="s">
        <v>965</v>
      </c>
      <c r="E2525" t="s">
        <v>270</v>
      </c>
      <c r="F2525" t="s">
        <v>271</v>
      </c>
      <c r="G2525" t="s">
        <v>972</v>
      </c>
      <c r="H2525">
        <v>82</v>
      </c>
      <c r="I2525">
        <v>18.9756</v>
      </c>
      <c r="J2525">
        <v>36.658499999999997</v>
      </c>
      <c r="K2525">
        <v>17.6829</v>
      </c>
      <c r="L2525">
        <v>79</v>
      </c>
      <c r="M2525">
        <v>2</v>
      </c>
      <c r="N2525">
        <v>1</v>
      </c>
      <c r="O2525">
        <v>36.683700000000002</v>
      </c>
      <c r="P2525">
        <v>17.295400000000001</v>
      </c>
      <c r="Q2525">
        <v>8.5947899999999997</v>
      </c>
    </row>
    <row r="2526" spans="1:17" x14ac:dyDescent="0.25">
      <c r="A2526" t="str">
        <f>IF(C2526&amp;G2526&amp;D2526&lt;&gt;'Funnel setup'!$K$3&amp;'Funnel setup'!$K$4&amp;'Funnel setup'!$K$6,".",IF(A2525=".",1,A2525+1))</f>
        <v>.</v>
      </c>
      <c r="B2526" s="244" t="str">
        <f t="shared" si="39"/>
        <v>Knee Replacement PrimaryProviderHIGHFIELD HOSPITAL (NT420)Oxford Knee Score</v>
      </c>
      <c r="C2526" t="s">
        <v>969</v>
      </c>
      <c r="D2526" t="s">
        <v>965</v>
      </c>
      <c r="E2526" t="s">
        <v>272</v>
      </c>
      <c r="F2526" t="s">
        <v>273</v>
      </c>
      <c r="G2526" t="s">
        <v>972</v>
      </c>
      <c r="H2526">
        <v>128</v>
      </c>
      <c r="I2526">
        <v>19.218800000000002</v>
      </c>
      <c r="J2526">
        <v>35.867199999999997</v>
      </c>
      <c r="K2526">
        <v>16.648399999999999</v>
      </c>
      <c r="L2526">
        <v>119</v>
      </c>
      <c r="M2526">
        <v>0</v>
      </c>
      <c r="N2526">
        <v>9</v>
      </c>
      <c r="O2526">
        <v>35.776299999999999</v>
      </c>
      <c r="P2526">
        <v>16.387899999999998</v>
      </c>
      <c r="Q2526">
        <v>8.9752500000000008</v>
      </c>
    </row>
    <row r="2527" spans="1:17" x14ac:dyDescent="0.25">
      <c r="A2527" t="str">
        <f>IF(C2527&amp;G2527&amp;D2527&lt;&gt;'Funnel setup'!$K$3&amp;'Funnel setup'!$K$4&amp;'Funnel setup'!$K$6,".",IF(A2526=".",1,A2526+1))</f>
        <v>.</v>
      </c>
      <c r="B2527" s="244" t="str">
        <f t="shared" si="39"/>
        <v>Knee Replacement PrimaryProviderHOMERTON HEALTHCARE NHS FOUNDATION TRUST (RQX)Oxford Knee Score</v>
      </c>
      <c r="C2527" t="s">
        <v>969</v>
      </c>
      <c r="D2527" t="s">
        <v>965</v>
      </c>
      <c r="E2527" t="s">
        <v>274</v>
      </c>
      <c r="F2527" t="s">
        <v>275</v>
      </c>
      <c r="G2527" t="s">
        <v>972</v>
      </c>
      <c r="H2527">
        <v>4</v>
      </c>
      <c r="I2527">
        <v>15.5</v>
      </c>
      <c r="J2527">
        <v>36.25</v>
      </c>
      <c r="K2527">
        <v>20.75</v>
      </c>
      <c r="L2527">
        <v>4</v>
      </c>
      <c r="M2527">
        <v>0</v>
      </c>
      <c r="N2527">
        <v>0</v>
      </c>
      <c r="O2527" t="s">
        <v>127</v>
      </c>
      <c r="P2527" t="s">
        <v>127</v>
      </c>
      <c r="Q2527" t="s">
        <v>127</v>
      </c>
    </row>
    <row r="2528" spans="1:17" x14ac:dyDescent="0.25">
      <c r="A2528" t="str">
        <f>IF(C2528&amp;G2528&amp;D2528&lt;&gt;'Funnel setup'!$K$3&amp;'Funnel setup'!$K$4&amp;'Funnel setup'!$K$6,".",IF(A2527=".",1,A2527+1))</f>
        <v>.</v>
      </c>
      <c r="B2528" s="244" t="str">
        <f t="shared" si="39"/>
        <v>Knee Replacement PrimaryProviderHUDDERSFIELD HOSPITAL (NT448)Oxford Knee Score</v>
      </c>
      <c r="C2528" t="s">
        <v>969</v>
      </c>
      <c r="D2528" t="s">
        <v>965</v>
      </c>
      <c r="E2528" t="s">
        <v>276</v>
      </c>
      <c r="F2528" t="s">
        <v>277</v>
      </c>
      <c r="G2528" t="s">
        <v>972</v>
      </c>
      <c r="H2528">
        <v>4</v>
      </c>
      <c r="I2528">
        <v>25</v>
      </c>
      <c r="J2528">
        <v>36.75</v>
      </c>
      <c r="K2528">
        <v>11.75</v>
      </c>
      <c r="L2528">
        <v>4</v>
      </c>
      <c r="M2528">
        <v>0</v>
      </c>
      <c r="N2528">
        <v>0</v>
      </c>
      <c r="O2528" t="s">
        <v>127</v>
      </c>
      <c r="P2528" t="s">
        <v>127</v>
      </c>
      <c r="Q2528" t="s">
        <v>127</v>
      </c>
    </row>
    <row r="2529" spans="1:17" x14ac:dyDescent="0.25">
      <c r="A2529" t="str">
        <f>IF(C2529&amp;G2529&amp;D2529&lt;&gt;'Funnel setup'!$K$3&amp;'Funnel setup'!$K$4&amp;'Funnel setup'!$K$6,".",IF(A2528=".",1,A2528+1))</f>
        <v>.</v>
      </c>
      <c r="B2529" s="244" t="str">
        <f t="shared" si="39"/>
        <v>Knee Replacement PrimaryProviderHULL UNIVERSITY TEACHING HOSPITALS NHS TRUST (RWA)Oxford Knee Score</v>
      </c>
      <c r="C2529" t="s">
        <v>969</v>
      </c>
      <c r="D2529" t="s">
        <v>965</v>
      </c>
      <c r="E2529" t="s">
        <v>278</v>
      </c>
      <c r="F2529" t="s">
        <v>279</v>
      </c>
      <c r="G2529" t="s">
        <v>972</v>
      </c>
      <c r="H2529">
        <v>28</v>
      </c>
      <c r="I2529">
        <v>18.357099999999999</v>
      </c>
      <c r="J2529">
        <v>34.5</v>
      </c>
      <c r="K2529">
        <v>16.142900000000001</v>
      </c>
      <c r="L2529">
        <v>26</v>
      </c>
      <c r="M2529">
        <v>1</v>
      </c>
      <c r="N2529">
        <v>1</v>
      </c>
      <c r="O2529" t="s">
        <v>127</v>
      </c>
      <c r="P2529" t="s">
        <v>127</v>
      </c>
      <c r="Q2529" t="s">
        <v>127</v>
      </c>
    </row>
    <row r="2530" spans="1:17" x14ac:dyDescent="0.25">
      <c r="A2530" t="str">
        <f>IF(C2530&amp;G2530&amp;D2530&lt;&gt;'Funnel setup'!$K$3&amp;'Funnel setup'!$K$4&amp;'Funnel setup'!$K$6,".",IF(A2529=".",1,A2529+1))</f>
        <v>.</v>
      </c>
      <c r="B2530" s="244" t="str">
        <f t="shared" si="39"/>
        <v>Knee Replacement PrimaryProviderIMPERIAL COLLEGE HEALTHCARE NHS TRUST (RYJ)Oxford Knee Score</v>
      </c>
      <c r="C2530" t="s">
        <v>969</v>
      </c>
      <c r="D2530" t="s">
        <v>965</v>
      </c>
      <c r="E2530" t="s">
        <v>280</v>
      </c>
      <c r="F2530" t="s">
        <v>281</v>
      </c>
      <c r="G2530" t="s">
        <v>972</v>
      </c>
      <c r="H2530">
        <v>22</v>
      </c>
      <c r="I2530">
        <v>15.2727</v>
      </c>
      <c r="J2530">
        <v>34.545499999999997</v>
      </c>
      <c r="K2530">
        <v>19.2727</v>
      </c>
      <c r="L2530">
        <v>21</v>
      </c>
      <c r="M2530">
        <v>0</v>
      </c>
      <c r="N2530">
        <v>1</v>
      </c>
      <c r="O2530" t="s">
        <v>127</v>
      </c>
      <c r="P2530" t="s">
        <v>127</v>
      </c>
      <c r="Q2530" t="s">
        <v>127</v>
      </c>
    </row>
    <row r="2531" spans="1:17" x14ac:dyDescent="0.25">
      <c r="A2531" t="str">
        <f>IF(C2531&amp;G2531&amp;D2531&lt;&gt;'Funnel setup'!$K$3&amp;'Funnel setup'!$K$4&amp;'Funnel setup'!$K$6,".",IF(A2530=".",1,A2530+1))</f>
        <v>.</v>
      </c>
      <c r="B2531" s="244" t="str">
        <f t="shared" si="39"/>
        <v>Knee Replacement PrimaryProviderISLE OF WIGHT NHS TRUST (R1F)Oxford Knee Score</v>
      </c>
      <c r="C2531" t="s">
        <v>969</v>
      </c>
      <c r="D2531" t="s">
        <v>965</v>
      </c>
      <c r="E2531" t="s">
        <v>282</v>
      </c>
      <c r="F2531" t="s">
        <v>283</v>
      </c>
      <c r="G2531" t="s">
        <v>972</v>
      </c>
      <c r="H2531">
        <v>2</v>
      </c>
      <c r="I2531">
        <v>28</v>
      </c>
      <c r="J2531">
        <v>39.5</v>
      </c>
      <c r="K2531">
        <v>11.5</v>
      </c>
      <c r="L2531">
        <v>2</v>
      </c>
      <c r="M2531">
        <v>0</v>
      </c>
      <c r="N2531">
        <v>0</v>
      </c>
      <c r="O2531" t="s">
        <v>127</v>
      </c>
      <c r="P2531" t="s">
        <v>127</v>
      </c>
      <c r="Q2531" t="s">
        <v>127</v>
      </c>
    </row>
    <row r="2532" spans="1:17" x14ac:dyDescent="0.25">
      <c r="A2532" t="str">
        <f>IF(C2532&amp;G2532&amp;D2532&lt;&gt;'Funnel setup'!$K$3&amp;'Funnel setup'!$K$4&amp;'Funnel setup'!$K$6,".",IF(A2531=".",1,A2531+1))</f>
        <v>.</v>
      </c>
      <c r="B2532" s="244" t="str">
        <f t="shared" si="39"/>
        <v>Knee Replacement PrimaryProviderJAMES PAGET UNIVERSITY HOSPITALS NHS FOUNDATION TRUST (RGP)Oxford Knee Score</v>
      </c>
      <c r="C2532" t="s">
        <v>969</v>
      </c>
      <c r="D2532" t="s">
        <v>965</v>
      </c>
      <c r="E2532" t="s">
        <v>284</v>
      </c>
      <c r="F2532" t="s">
        <v>285</v>
      </c>
      <c r="G2532" t="s">
        <v>972</v>
      </c>
      <c r="H2532">
        <v>67</v>
      </c>
      <c r="I2532">
        <v>18.014900000000001</v>
      </c>
      <c r="J2532">
        <v>34.865699999999997</v>
      </c>
      <c r="K2532">
        <v>16.8507</v>
      </c>
      <c r="L2532">
        <v>64</v>
      </c>
      <c r="M2532">
        <v>0</v>
      </c>
      <c r="N2532">
        <v>3</v>
      </c>
      <c r="O2532">
        <v>35.982599999999998</v>
      </c>
      <c r="P2532">
        <v>16.5943</v>
      </c>
      <c r="Q2532">
        <v>8.0158199999999997</v>
      </c>
    </row>
    <row r="2533" spans="1:17" x14ac:dyDescent="0.25">
      <c r="A2533" t="str">
        <f>IF(C2533&amp;G2533&amp;D2533&lt;&gt;'Funnel setup'!$K$3&amp;'Funnel setup'!$K$4&amp;'Funnel setup'!$K$6,".",IF(A2532=".",1,A2532+1))</f>
        <v>.</v>
      </c>
      <c r="B2533" s="244" t="str">
        <f t="shared" si="39"/>
        <v>Knee Replacement PrimaryProviderKETTERING GENERAL HOSPITAL NHS FOUNDATION TRUST (RNQ)Oxford Knee Score</v>
      </c>
      <c r="C2533" t="s">
        <v>969</v>
      </c>
      <c r="D2533" t="s">
        <v>965</v>
      </c>
      <c r="E2533" t="s">
        <v>286</v>
      </c>
      <c r="F2533" t="s">
        <v>287</v>
      </c>
      <c r="G2533" t="s">
        <v>972</v>
      </c>
      <c r="H2533">
        <v>25</v>
      </c>
      <c r="I2533">
        <v>17.52</v>
      </c>
      <c r="J2533">
        <v>34.36</v>
      </c>
      <c r="K2533">
        <v>16.84</v>
      </c>
      <c r="L2533">
        <v>25</v>
      </c>
      <c r="M2533">
        <v>0</v>
      </c>
      <c r="N2533">
        <v>0</v>
      </c>
      <c r="O2533" t="s">
        <v>127</v>
      </c>
      <c r="P2533" t="s">
        <v>127</v>
      </c>
      <c r="Q2533" t="s">
        <v>127</v>
      </c>
    </row>
    <row r="2534" spans="1:17" x14ac:dyDescent="0.25">
      <c r="A2534" t="str">
        <f>IF(C2534&amp;G2534&amp;D2534&lt;&gt;'Funnel setup'!$K$3&amp;'Funnel setup'!$K$4&amp;'Funnel setup'!$K$6,".",IF(A2533=".",1,A2533+1))</f>
        <v>.</v>
      </c>
      <c r="B2534" s="244" t="str">
        <f t="shared" si="39"/>
        <v>Knee Replacement PrimaryProviderKIMS HOSPITAL (NEWNHAM COURT) (ADP02)Oxford Knee Score</v>
      </c>
      <c r="C2534" t="s">
        <v>969</v>
      </c>
      <c r="D2534" t="s">
        <v>965</v>
      </c>
      <c r="E2534" t="s">
        <v>288</v>
      </c>
      <c r="F2534" t="s">
        <v>289</v>
      </c>
      <c r="G2534" t="s">
        <v>972</v>
      </c>
      <c r="H2534">
        <v>135</v>
      </c>
      <c r="I2534">
        <v>21.9556</v>
      </c>
      <c r="J2534">
        <v>39.896299999999997</v>
      </c>
      <c r="K2534">
        <v>17.9407</v>
      </c>
      <c r="L2534">
        <v>131</v>
      </c>
      <c r="M2534">
        <v>0</v>
      </c>
      <c r="N2534">
        <v>4</v>
      </c>
      <c r="O2534">
        <v>38.889200000000002</v>
      </c>
      <c r="P2534">
        <v>19.500900000000001</v>
      </c>
      <c r="Q2534">
        <v>7.8050199999999998</v>
      </c>
    </row>
    <row r="2535" spans="1:17" x14ac:dyDescent="0.25">
      <c r="A2535" t="str">
        <f>IF(C2535&amp;G2535&amp;D2535&lt;&gt;'Funnel setup'!$K$3&amp;'Funnel setup'!$K$4&amp;'Funnel setup'!$K$6,".",IF(A2534=".",1,A2534+1))</f>
        <v>.</v>
      </c>
      <c r="B2535" s="244" t="str">
        <f t="shared" si="39"/>
        <v>Knee Replacement PrimaryProviderKING'S COLLEGE HOSPITAL NHS FOUNDATION TRUST (RJZ)Oxford Knee Score</v>
      </c>
      <c r="C2535" t="s">
        <v>969</v>
      </c>
      <c r="D2535" t="s">
        <v>965</v>
      </c>
      <c r="E2535" t="s">
        <v>290</v>
      </c>
      <c r="F2535" t="s">
        <v>291</v>
      </c>
      <c r="G2535" t="s">
        <v>972</v>
      </c>
      <c r="H2535">
        <v>14</v>
      </c>
      <c r="I2535">
        <v>20.214300000000001</v>
      </c>
      <c r="J2535">
        <v>30.142900000000001</v>
      </c>
      <c r="K2535">
        <v>9.9285700000000006</v>
      </c>
      <c r="L2535">
        <v>11</v>
      </c>
      <c r="M2535">
        <v>1</v>
      </c>
      <c r="N2535">
        <v>2</v>
      </c>
      <c r="O2535" t="s">
        <v>127</v>
      </c>
      <c r="P2535" t="s">
        <v>127</v>
      </c>
      <c r="Q2535" t="s">
        <v>127</v>
      </c>
    </row>
    <row r="2536" spans="1:17" x14ac:dyDescent="0.25">
      <c r="A2536" t="str">
        <f>IF(C2536&amp;G2536&amp;D2536&lt;&gt;'Funnel setup'!$K$3&amp;'Funnel setup'!$K$4&amp;'Funnel setup'!$K$6,".",IF(A2535=".",1,A2535+1))</f>
        <v>.</v>
      </c>
      <c r="B2536" s="244" t="str">
        <f t="shared" si="39"/>
        <v>Knee Replacement PrimaryProviderKINGS OAK HOSPITAL (NT421)Oxford Knee Score</v>
      </c>
      <c r="C2536" t="s">
        <v>969</v>
      </c>
      <c r="D2536" t="s">
        <v>965</v>
      </c>
      <c r="E2536" t="s">
        <v>292</v>
      </c>
      <c r="F2536" t="s">
        <v>293</v>
      </c>
      <c r="G2536" t="s">
        <v>972</v>
      </c>
      <c r="H2536">
        <v>6</v>
      </c>
      <c r="I2536">
        <v>14</v>
      </c>
      <c r="J2536">
        <v>29.333300000000001</v>
      </c>
      <c r="K2536">
        <v>15.333299999999999</v>
      </c>
      <c r="L2536">
        <v>6</v>
      </c>
      <c r="M2536">
        <v>0</v>
      </c>
      <c r="N2536">
        <v>0</v>
      </c>
      <c r="O2536" t="s">
        <v>127</v>
      </c>
      <c r="P2536" t="s">
        <v>127</v>
      </c>
      <c r="Q2536" t="s">
        <v>127</v>
      </c>
    </row>
    <row r="2537" spans="1:17" x14ac:dyDescent="0.25">
      <c r="A2537" t="str">
        <f>IF(C2537&amp;G2537&amp;D2537&lt;&gt;'Funnel setup'!$K$3&amp;'Funnel setup'!$K$4&amp;'Funnel setup'!$K$6,".",IF(A2536=".",1,A2536+1))</f>
        <v>.</v>
      </c>
      <c r="B2537" s="244" t="str">
        <f t="shared" si="39"/>
        <v>Knee Replacement PrimaryProviderLANCASHIRE TEACHING HOSPITALS NHS FOUNDATION TRUST (RXN)Oxford Knee Score</v>
      </c>
      <c r="C2537" t="s">
        <v>969</v>
      </c>
      <c r="D2537" t="s">
        <v>965</v>
      </c>
      <c r="E2537" t="s">
        <v>296</v>
      </c>
      <c r="F2537" t="s">
        <v>297</v>
      </c>
      <c r="G2537" t="s">
        <v>972</v>
      </c>
      <c r="H2537">
        <v>38</v>
      </c>
      <c r="I2537">
        <v>17.973700000000001</v>
      </c>
      <c r="J2537">
        <v>33.210500000000003</v>
      </c>
      <c r="K2537">
        <v>15.236800000000001</v>
      </c>
      <c r="L2537">
        <v>33</v>
      </c>
      <c r="M2537">
        <v>2</v>
      </c>
      <c r="N2537">
        <v>3</v>
      </c>
      <c r="O2537">
        <v>34.732999999999997</v>
      </c>
      <c r="P2537">
        <v>15.3447</v>
      </c>
      <c r="Q2537">
        <v>10.6638</v>
      </c>
    </row>
    <row r="2538" spans="1:17" x14ac:dyDescent="0.25">
      <c r="A2538" t="str">
        <f>IF(C2538&amp;G2538&amp;D2538&lt;&gt;'Funnel setup'!$K$3&amp;'Funnel setup'!$K$4&amp;'Funnel setup'!$K$6,".",IF(A2537=".",1,A2537+1))</f>
        <v>.</v>
      </c>
      <c r="B2538" s="244" t="str">
        <f t="shared" si="39"/>
        <v>Knee Replacement PrimaryProviderLANCASTER HOSPITAL (NT449)Oxford Knee Score</v>
      </c>
      <c r="C2538" t="s">
        <v>969</v>
      </c>
      <c r="D2538" t="s">
        <v>965</v>
      </c>
      <c r="E2538" t="s">
        <v>298</v>
      </c>
      <c r="F2538" t="s">
        <v>299</v>
      </c>
      <c r="G2538" t="s">
        <v>972</v>
      </c>
      <c r="H2538">
        <v>32</v>
      </c>
      <c r="I2538">
        <v>21.875</v>
      </c>
      <c r="J2538">
        <v>38.593800000000002</v>
      </c>
      <c r="K2538">
        <v>16.718800000000002</v>
      </c>
      <c r="L2538">
        <v>29</v>
      </c>
      <c r="M2538">
        <v>0</v>
      </c>
      <c r="N2538">
        <v>3</v>
      </c>
      <c r="O2538">
        <v>36.942</v>
      </c>
      <c r="P2538">
        <v>17.553699999999999</v>
      </c>
      <c r="Q2538">
        <v>5.9304800000000002</v>
      </c>
    </row>
    <row r="2539" spans="1:17" x14ac:dyDescent="0.25">
      <c r="A2539" t="str">
        <f>IF(C2539&amp;G2539&amp;D2539&lt;&gt;'Funnel setup'!$K$3&amp;'Funnel setup'!$K$4&amp;'Funnel setup'!$K$6,".",IF(A2538=".",1,A2538+1))</f>
        <v>.</v>
      </c>
      <c r="B2539" s="244" t="str">
        <f t="shared" si="39"/>
        <v>Knee Replacement PrimaryProviderLEEDS TEACHING HOSPITALS NHS TRUST (RR8)Oxford Knee Score</v>
      </c>
      <c r="C2539" t="s">
        <v>969</v>
      </c>
      <c r="D2539" t="s">
        <v>965</v>
      </c>
      <c r="E2539" t="s">
        <v>300</v>
      </c>
      <c r="F2539" t="s">
        <v>301</v>
      </c>
      <c r="G2539" t="s">
        <v>972</v>
      </c>
      <c r="H2539">
        <v>101</v>
      </c>
      <c r="I2539">
        <v>19.7822</v>
      </c>
      <c r="J2539">
        <v>36.554499999999997</v>
      </c>
      <c r="K2539">
        <v>16.772300000000001</v>
      </c>
      <c r="L2539">
        <v>98</v>
      </c>
      <c r="M2539">
        <v>0</v>
      </c>
      <c r="N2539">
        <v>3</v>
      </c>
      <c r="O2539">
        <v>36.794800000000002</v>
      </c>
      <c r="P2539">
        <v>17.406500000000001</v>
      </c>
      <c r="Q2539">
        <v>8.5216799999999999</v>
      </c>
    </row>
    <row r="2540" spans="1:17" x14ac:dyDescent="0.25">
      <c r="A2540" t="str">
        <f>IF(C2540&amp;G2540&amp;D2540&lt;&gt;'Funnel setup'!$K$3&amp;'Funnel setup'!$K$4&amp;'Funnel setup'!$K$6,".",IF(A2539=".",1,A2539+1))</f>
        <v>.</v>
      </c>
      <c r="B2540" s="244" t="str">
        <f t="shared" si="39"/>
        <v>Knee Replacement PrimaryProviderLINCOLN HOSPITAL (NT450)Oxford Knee Score</v>
      </c>
      <c r="C2540" t="s">
        <v>969</v>
      </c>
      <c r="D2540" t="s">
        <v>965</v>
      </c>
      <c r="E2540" t="s">
        <v>304</v>
      </c>
      <c r="F2540" t="s">
        <v>305</v>
      </c>
      <c r="G2540" t="s">
        <v>972</v>
      </c>
      <c r="H2540">
        <v>72</v>
      </c>
      <c r="I2540">
        <v>21.958300000000001</v>
      </c>
      <c r="J2540">
        <v>39.4861</v>
      </c>
      <c r="K2540">
        <v>17.527799999999999</v>
      </c>
      <c r="L2540">
        <v>70</v>
      </c>
      <c r="M2540">
        <v>1</v>
      </c>
      <c r="N2540">
        <v>1</v>
      </c>
      <c r="O2540">
        <v>38.032400000000003</v>
      </c>
      <c r="P2540">
        <v>18.644100000000002</v>
      </c>
      <c r="Q2540">
        <v>6.11686</v>
      </c>
    </row>
    <row r="2541" spans="1:17" x14ac:dyDescent="0.25">
      <c r="A2541" t="str">
        <f>IF(C2541&amp;G2541&amp;D2541&lt;&gt;'Funnel setup'!$K$3&amp;'Funnel setup'!$K$4&amp;'Funnel setup'!$K$6,".",IF(A2540=".",1,A2540+1))</f>
        <v>.</v>
      </c>
      <c r="B2541" s="244" t="str">
        <f t="shared" si="39"/>
        <v>Knee Replacement PrimaryProviderLIVERPOOL UNIVERSITY HOSPITALS NHS FOUNDATION TRUST (REM)Oxford Knee Score</v>
      </c>
      <c r="C2541" t="s">
        <v>969</v>
      </c>
      <c r="D2541" t="s">
        <v>965</v>
      </c>
      <c r="E2541" t="s">
        <v>306</v>
      </c>
      <c r="F2541" t="s">
        <v>307</v>
      </c>
      <c r="G2541" t="s">
        <v>972</v>
      </c>
      <c r="H2541">
        <v>59</v>
      </c>
      <c r="I2541">
        <v>16.474599999999999</v>
      </c>
      <c r="J2541">
        <v>35.2712</v>
      </c>
      <c r="K2541">
        <v>18.796600000000002</v>
      </c>
      <c r="L2541">
        <v>55</v>
      </c>
      <c r="M2541">
        <v>0</v>
      </c>
      <c r="N2541">
        <v>4</v>
      </c>
      <c r="O2541">
        <v>37.292099999999998</v>
      </c>
      <c r="P2541">
        <v>17.9038</v>
      </c>
      <c r="Q2541">
        <v>9.2311099999999993</v>
      </c>
    </row>
    <row r="2542" spans="1:17" x14ac:dyDescent="0.25">
      <c r="A2542" t="str">
        <f>IF(C2542&amp;G2542&amp;D2542&lt;&gt;'Funnel setup'!$K$3&amp;'Funnel setup'!$K$4&amp;'Funnel setup'!$K$6,".",IF(A2541=".",1,A2541+1))</f>
        <v>.</v>
      </c>
      <c r="B2542" s="244" t="str">
        <f t="shared" si="39"/>
        <v>Knee Replacement PrimaryProviderLONDON INDEPENDENT HOSPITAL (NT422)Oxford Knee Score</v>
      </c>
      <c r="C2542" t="s">
        <v>969</v>
      </c>
      <c r="D2542" t="s">
        <v>965</v>
      </c>
      <c r="E2542" t="s">
        <v>308</v>
      </c>
      <c r="F2542" t="s">
        <v>309</v>
      </c>
      <c r="G2542" t="s">
        <v>972</v>
      </c>
      <c r="H2542">
        <v>11</v>
      </c>
      <c r="I2542">
        <v>18.363600000000002</v>
      </c>
      <c r="J2542">
        <v>25.818200000000001</v>
      </c>
      <c r="K2542">
        <v>7.4545500000000002</v>
      </c>
      <c r="L2542">
        <v>7</v>
      </c>
      <c r="M2542">
        <v>0</v>
      </c>
      <c r="N2542">
        <v>4</v>
      </c>
      <c r="O2542" t="s">
        <v>127</v>
      </c>
      <c r="P2542" t="s">
        <v>127</v>
      </c>
      <c r="Q2542" t="s">
        <v>127</v>
      </c>
    </row>
    <row r="2543" spans="1:17" x14ac:dyDescent="0.25">
      <c r="A2543" t="str">
        <f>IF(C2543&amp;G2543&amp;D2543&lt;&gt;'Funnel setup'!$K$3&amp;'Funnel setup'!$K$4&amp;'Funnel setup'!$K$6,".",IF(A2542=".",1,A2542+1))</f>
        <v>.</v>
      </c>
      <c r="B2543" s="244" t="str">
        <f t="shared" si="39"/>
        <v>Knee Replacement PrimaryProviderMAIDSTONE AND TUNBRIDGE WELLS NHS TRUST (RWF)Oxford Knee Score</v>
      </c>
      <c r="C2543" t="s">
        <v>969</v>
      </c>
      <c r="D2543" t="s">
        <v>965</v>
      </c>
      <c r="E2543" t="s">
        <v>312</v>
      </c>
      <c r="F2543" t="s">
        <v>313</v>
      </c>
      <c r="G2543" t="s">
        <v>972</v>
      </c>
      <c r="H2543">
        <v>158</v>
      </c>
      <c r="I2543">
        <v>21</v>
      </c>
      <c r="J2543">
        <v>38.0443</v>
      </c>
      <c r="K2543">
        <v>17.0443</v>
      </c>
      <c r="L2543">
        <v>150</v>
      </c>
      <c r="M2543">
        <v>2</v>
      </c>
      <c r="N2543">
        <v>6</v>
      </c>
      <c r="O2543">
        <v>37.202599999999997</v>
      </c>
      <c r="P2543">
        <v>17.814299999999999</v>
      </c>
      <c r="Q2543">
        <v>7.7062799999999996</v>
      </c>
    </row>
    <row r="2544" spans="1:17" x14ac:dyDescent="0.25">
      <c r="A2544" t="str">
        <f>IF(C2544&amp;G2544&amp;D2544&lt;&gt;'Funnel setup'!$K$3&amp;'Funnel setup'!$K$4&amp;'Funnel setup'!$K$6,".",IF(A2543=".",1,A2543+1))</f>
        <v>.</v>
      </c>
      <c r="B2544" s="244" t="str">
        <f t="shared" si="39"/>
        <v>Knee Replacement PrimaryProviderMANCHESTER UNIVERSITY NHS FOUNDATION TRUST (R0A)Oxford Knee Score</v>
      </c>
      <c r="C2544" t="s">
        <v>969</v>
      </c>
      <c r="D2544" t="s">
        <v>965</v>
      </c>
      <c r="E2544" t="s">
        <v>316</v>
      </c>
      <c r="F2544" t="s">
        <v>317</v>
      </c>
      <c r="G2544" t="s">
        <v>972</v>
      </c>
      <c r="H2544">
        <v>109</v>
      </c>
      <c r="I2544">
        <v>17.844000000000001</v>
      </c>
      <c r="J2544">
        <v>34.596299999999999</v>
      </c>
      <c r="K2544">
        <v>16.752300000000002</v>
      </c>
      <c r="L2544">
        <v>102</v>
      </c>
      <c r="M2544">
        <v>0</v>
      </c>
      <c r="N2544">
        <v>7</v>
      </c>
      <c r="O2544">
        <v>35.4741</v>
      </c>
      <c r="P2544">
        <v>16.085699999999999</v>
      </c>
      <c r="Q2544">
        <v>9.4010700000000007</v>
      </c>
    </row>
    <row r="2545" spans="1:17" x14ac:dyDescent="0.25">
      <c r="A2545" t="str">
        <f>IF(C2545&amp;G2545&amp;D2545&lt;&gt;'Funnel setup'!$K$3&amp;'Funnel setup'!$K$4&amp;'Funnel setup'!$K$6,".",IF(A2544=".",1,A2544+1))</f>
        <v>.</v>
      </c>
      <c r="B2545" s="244" t="str">
        <f t="shared" si="39"/>
        <v>Knee Replacement PrimaryProviderMANOR HOSPITAL (NT423)Oxford Knee Score</v>
      </c>
      <c r="C2545" t="s">
        <v>969</v>
      </c>
      <c r="D2545" t="s">
        <v>965</v>
      </c>
      <c r="E2545" t="s">
        <v>318</v>
      </c>
      <c r="F2545" t="s">
        <v>319</v>
      </c>
      <c r="G2545" t="s">
        <v>972</v>
      </c>
      <c r="H2545">
        <v>16</v>
      </c>
      <c r="I2545">
        <v>17.6875</v>
      </c>
      <c r="J2545">
        <v>37.3125</v>
      </c>
      <c r="K2545">
        <v>19.625</v>
      </c>
      <c r="L2545">
        <v>16</v>
      </c>
      <c r="M2545">
        <v>0</v>
      </c>
      <c r="N2545">
        <v>0</v>
      </c>
      <c r="O2545" t="s">
        <v>127</v>
      </c>
      <c r="P2545" t="s">
        <v>127</v>
      </c>
      <c r="Q2545" t="s">
        <v>127</v>
      </c>
    </row>
    <row r="2546" spans="1:17" x14ac:dyDescent="0.25">
      <c r="A2546" t="str">
        <f>IF(C2546&amp;G2546&amp;D2546&lt;&gt;'Funnel setup'!$K$3&amp;'Funnel setup'!$K$4&amp;'Funnel setup'!$K$6,".",IF(A2545=".",1,A2545+1))</f>
        <v>.</v>
      </c>
      <c r="B2546" s="244" t="str">
        <f t="shared" si="39"/>
        <v>Knee Replacement PrimaryProviderMEDWAY NHS FOUNDATION TRUST (RPA)Oxford Knee Score</v>
      </c>
      <c r="C2546" t="s">
        <v>969</v>
      </c>
      <c r="D2546" t="s">
        <v>965</v>
      </c>
      <c r="E2546" t="s">
        <v>320</v>
      </c>
      <c r="F2546" t="s">
        <v>321</v>
      </c>
      <c r="G2546" t="s">
        <v>972</v>
      </c>
      <c r="H2546">
        <v>46</v>
      </c>
      <c r="I2546">
        <v>20.065200000000001</v>
      </c>
      <c r="J2546">
        <v>37.608699999999999</v>
      </c>
      <c r="K2546">
        <v>17.543500000000002</v>
      </c>
      <c r="L2546">
        <v>41</v>
      </c>
      <c r="M2546">
        <v>1</v>
      </c>
      <c r="N2546">
        <v>4</v>
      </c>
      <c r="O2546">
        <v>38.226199999999999</v>
      </c>
      <c r="P2546">
        <v>18.837900000000001</v>
      </c>
      <c r="Q2546">
        <v>9.2691800000000004</v>
      </c>
    </row>
    <row r="2547" spans="1:17" x14ac:dyDescent="0.25">
      <c r="A2547" t="str">
        <f>IF(C2547&amp;G2547&amp;D2547&lt;&gt;'Funnel setup'!$K$3&amp;'Funnel setup'!$K$4&amp;'Funnel setup'!$K$6,".",IF(A2546=".",1,A2546+1))</f>
        <v>.</v>
      </c>
      <c r="B2547" s="244" t="str">
        <f t="shared" si="39"/>
        <v>Knee Replacement PrimaryProviderMERIDEN HOSPITAL (NT424)Oxford Knee Score</v>
      </c>
      <c r="C2547" t="s">
        <v>969</v>
      </c>
      <c r="D2547" t="s">
        <v>965</v>
      </c>
      <c r="E2547" t="s">
        <v>322</v>
      </c>
      <c r="F2547" t="s">
        <v>323</v>
      </c>
      <c r="G2547" t="s">
        <v>972</v>
      </c>
      <c r="H2547">
        <v>7</v>
      </c>
      <c r="I2547">
        <v>22</v>
      </c>
      <c r="J2547">
        <v>41.857100000000003</v>
      </c>
      <c r="K2547">
        <v>19.857099999999999</v>
      </c>
      <c r="L2547">
        <v>7</v>
      </c>
      <c r="M2547">
        <v>0</v>
      </c>
      <c r="N2547">
        <v>0</v>
      </c>
      <c r="O2547" t="s">
        <v>127</v>
      </c>
      <c r="P2547" t="s">
        <v>127</v>
      </c>
      <c r="Q2547" t="s">
        <v>127</v>
      </c>
    </row>
    <row r="2548" spans="1:17" x14ac:dyDescent="0.25">
      <c r="A2548" t="str">
        <f>IF(C2548&amp;G2548&amp;D2548&lt;&gt;'Funnel setup'!$K$3&amp;'Funnel setup'!$K$4&amp;'Funnel setup'!$K$6,".",IF(A2547=".",1,A2547+1))</f>
        <v>.</v>
      </c>
      <c r="B2548" s="244" t="str">
        <f t="shared" si="39"/>
        <v>Knee Replacement PrimaryProviderMID AND SOUTH ESSEX NHS FOUNDATION TRUST (RAJ)Oxford Knee Score</v>
      </c>
      <c r="C2548" t="s">
        <v>969</v>
      </c>
      <c r="D2548" t="s">
        <v>965</v>
      </c>
      <c r="E2548" t="s">
        <v>324</v>
      </c>
      <c r="F2548" t="s">
        <v>325</v>
      </c>
      <c r="G2548" t="s">
        <v>972</v>
      </c>
      <c r="H2548">
        <v>140</v>
      </c>
      <c r="I2548">
        <v>16.4786</v>
      </c>
      <c r="J2548">
        <v>35.642899999999997</v>
      </c>
      <c r="K2548">
        <v>19.164300000000001</v>
      </c>
      <c r="L2548">
        <v>131</v>
      </c>
      <c r="M2548">
        <v>1</v>
      </c>
      <c r="N2548">
        <v>8</v>
      </c>
      <c r="O2548">
        <v>37.147300000000001</v>
      </c>
      <c r="P2548">
        <v>17.759</v>
      </c>
      <c r="Q2548">
        <v>10.256600000000001</v>
      </c>
    </row>
    <row r="2549" spans="1:17" x14ac:dyDescent="0.25">
      <c r="A2549" t="str">
        <f>IF(C2549&amp;G2549&amp;D2549&lt;&gt;'Funnel setup'!$K$3&amp;'Funnel setup'!$K$4&amp;'Funnel setup'!$K$6,".",IF(A2548=".",1,A2548+1))</f>
        <v>.</v>
      </c>
      <c r="B2549" s="244" t="str">
        <f t="shared" si="39"/>
        <v>Knee Replacement PrimaryProviderMID CHESHIRE HOSPITALS NHS FOUNDATION TRUST (RBT)Oxford Knee Score</v>
      </c>
      <c r="C2549" t="s">
        <v>969</v>
      </c>
      <c r="D2549" t="s">
        <v>965</v>
      </c>
      <c r="E2549" t="s">
        <v>326</v>
      </c>
      <c r="F2549" t="s">
        <v>327</v>
      </c>
      <c r="G2549" t="s">
        <v>972</v>
      </c>
      <c r="H2549">
        <v>85</v>
      </c>
      <c r="I2549">
        <v>21.282399999999999</v>
      </c>
      <c r="J2549">
        <v>39.258800000000001</v>
      </c>
      <c r="K2549">
        <v>17.976500000000001</v>
      </c>
      <c r="L2549">
        <v>81</v>
      </c>
      <c r="M2549">
        <v>1</v>
      </c>
      <c r="N2549">
        <v>3</v>
      </c>
      <c r="O2549">
        <v>38.476300000000002</v>
      </c>
      <c r="P2549">
        <v>19.088000000000001</v>
      </c>
      <c r="Q2549">
        <v>6.6421200000000002</v>
      </c>
    </row>
    <row r="2550" spans="1:17" x14ac:dyDescent="0.25">
      <c r="A2550" t="str">
        <f>IF(C2550&amp;G2550&amp;D2550&lt;&gt;'Funnel setup'!$K$3&amp;'Funnel setup'!$K$4&amp;'Funnel setup'!$K$6,".",IF(A2549=".",1,A2549+1))</f>
        <v>.</v>
      </c>
      <c r="B2550" s="244" t="str">
        <f t="shared" si="39"/>
        <v>Knee Replacement PrimaryProviderMID YORKSHIRE TEACHING NHS TRUST (RXF)Oxford Knee Score</v>
      </c>
      <c r="C2550" t="s">
        <v>969</v>
      </c>
      <c r="D2550" t="s">
        <v>965</v>
      </c>
      <c r="E2550" t="s">
        <v>330</v>
      </c>
      <c r="F2550" t="s">
        <v>331</v>
      </c>
      <c r="G2550" t="s">
        <v>972</v>
      </c>
      <c r="H2550">
        <v>181</v>
      </c>
      <c r="I2550">
        <v>18.105</v>
      </c>
      <c r="J2550">
        <v>35.878500000000003</v>
      </c>
      <c r="K2550">
        <v>17.773499999999999</v>
      </c>
      <c r="L2550">
        <v>170</v>
      </c>
      <c r="M2550">
        <v>1</v>
      </c>
      <c r="N2550">
        <v>10</v>
      </c>
      <c r="O2550">
        <v>36.855899999999998</v>
      </c>
      <c r="P2550">
        <v>17.467600000000001</v>
      </c>
      <c r="Q2550">
        <v>9.2654599999999991</v>
      </c>
    </row>
    <row r="2551" spans="1:17" x14ac:dyDescent="0.25">
      <c r="A2551" t="str">
        <f>IF(C2551&amp;G2551&amp;D2551&lt;&gt;'Funnel setup'!$K$3&amp;'Funnel setup'!$K$4&amp;'Funnel setup'!$K$6,".",IF(A2550=".",1,A2550+1))</f>
        <v>.</v>
      </c>
      <c r="B2551" s="244" t="str">
        <f t="shared" si="39"/>
        <v>Knee Replacement PrimaryProviderMILTON KEYNES UNIVERSITY HOSPITAL NHS FOUNDATION TRUST (RD8)Oxford Knee Score</v>
      </c>
      <c r="C2551" t="s">
        <v>969</v>
      </c>
      <c r="D2551" t="s">
        <v>965</v>
      </c>
      <c r="E2551" t="s">
        <v>332</v>
      </c>
      <c r="F2551" t="s">
        <v>333</v>
      </c>
      <c r="G2551" t="s">
        <v>972</v>
      </c>
      <c r="H2551">
        <v>32</v>
      </c>
      <c r="I2551">
        <v>15.625</v>
      </c>
      <c r="J2551">
        <v>35.0625</v>
      </c>
      <c r="K2551">
        <v>19.4375</v>
      </c>
      <c r="L2551">
        <v>30</v>
      </c>
      <c r="M2551">
        <v>0</v>
      </c>
      <c r="N2551">
        <v>2</v>
      </c>
      <c r="O2551">
        <v>36.485799999999998</v>
      </c>
      <c r="P2551">
        <v>17.0975</v>
      </c>
      <c r="Q2551">
        <v>9.9224499999999995</v>
      </c>
    </row>
    <row r="2552" spans="1:17" x14ac:dyDescent="0.25">
      <c r="A2552" t="str">
        <f>IF(C2552&amp;G2552&amp;D2552&lt;&gt;'Funnel setup'!$K$3&amp;'Funnel setup'!$K$4&amp;'Funnel setup'!$K$6,".",IF(A2551=".",1,A2551+1))</f>
        <v>.</v>
      </c>
      <c r="B2552" s="244" t="str">
        <f t="shared" si="39"/>
        <v>Knee Replacement PrimaryProviderMOUNT ALVERNIA HOSPITAL (NT455)Oxford Knee Score</v>
      </c>
      <c r="C2552" t="s">
        <v>969</v>
      </c>
      <c r="D2552" t="s">
        <v>965</v>
      </c>
      <c r="E2552" t="s">
        <v>334</v>
      </c>
      <c r="F2552" t="s">
        <v>335</v>
      </c>
      <c r="G2552" t="s">
        <v>972</v>
      </c>
      <c r="H2552">
        <v>7</v>
      </c>
      <c r="I2552">
        <v>27.142900000000001</v>
      </c>
      <c r="J2552">
        <v>44.714300000000001</v>
      </c>
      <c r="K2552">
        <v>17.571400000000001</v>
      </c>
      <c r="L2552">
        <v>7</v>
      </c>
      <c r="M2552">
        <v>0</v>
      </c>
      <c r="N2552">
        <v>0</v>
      </c>
      <c r="O2552" t="s">
        <v>127</v>
      </c>
      <c r="P2552" t="s">
        <v>127</v>
      </c>
      <c r="Q2552" t="s">
        <v>127</v>
      </c>
    </row>
    <row r="2553" spans="1:17" x14ac:dyDescent="0.25">
      <c r="A2553" t="str">
        <f>IF(C2553&amp;G2553&amp;D2553&lt;&gt;'Funnel setup'!$K$3&amp;'Funnel setup'!$K$4&amp;'Funnel setup'!$K$6,".",IF(A2552=".",1,A2552+1))</f>
        <v>.</v>
      </c>
      <c r="B2553" s="244" t="str">
        <f t="shared" si="39"/>
        <v>Knee Replacement PrimaryProviderMOUNT STUART HOSPITAL (NVC08)Oxford Knee Score</v>
      </c>
      <c r="C2553" t="s">
        <v>969</v>
      </c>
      <c r="D2553" t="s">
        <v>965</v>
      </c>
      <c r="E2553" t="s">
        <v>336</v>
      </c>
      <c r="F2553" t="s">
        <v>337</v>
      </c>
      <c r="G2553" t="s">
        <v>972</v>
      </c>
      <c r="H2553">
        <v>104</v>
      </c>
      <c r="I2553">
        <v>20.884599999999999</v>
      </c>
      <c r="J2553">
        <v>39.644199999999998</v>
      </c>
      <c r="K2553">
        <v>18.759599999999999</v>
      </c>
      <c r="L2553">
        <v>101</v>
      </c>
      <c r="M2553">
        <v>1</v>
      </c>
      <c r="N2553">
        <v>2</v>
      </c>
      <c r="O2553">
        <v>38.786700000000003</v>
      </c>
      <c r="P2553">
        <v>19.398399999999999</v>
      </c>
      <c r="Q2553">
        <v>6.9292999999999996</v>
      </c>
    </row>
    <row r="2554" spans="1:17" x14ac:dyDescent="0.25">
      <c r="A2554" t="str">
        <f>IF(C2554&amp;G2554&amp;D2554&lt;&gt;'Funnel setup'!$K$3&amp;'Funnel setup'!$K$4&amp;'Funnel setup'!$K$6,".",IF(A2553=".",1,A2553+1))</f>
        <v>.</v>
      </c>
      <c r="B2554" s="244" t="str">
        <f t="shared" si="39"/>
        <v>Knee Replacement PrimaryProviderNEW HALL HOSPITAL (NVC09)Oxford Knee Score</v>
      </c>
      <c r="C2554" t="s">
        <v>969</v>
      </c>
      <c r="D2554" t="s">
        <v>965</v>
      </c>
      <c r="E2554" t="s">
        <v>338</v>
      </c>
      <c r="F2554" t="s">
        <v>339</v>
      </c>
      <c r="G2554" t="s">
        <v>972</v>
      </c>
      <c r="H2554">
        <v>105</v>
      </c>
      <c r="I2554">
        <v>21.371400000000001</v>
      </c>
      <c r="J2554">
        <v>39.3048</v>
      </c>
      <c r="K2554">
        <v>17.933299999999999</v>
      </c>
      <c r="L2554">
        <v>102</v>
      </c>
      <c r="M2554">
        <v>0</v>
      </c>
      <c r="N2554">
        <v>3</v>
      </c>
      <c r="O2554">
        <v>37.817900000000002</v>
      </c>
      <c r="P2554">
        <v>18.429600000000001</v>
      </c>
      <c r="Q2554">
        <v>7.9068699999999996</v>
      </c>
    </row>
    <row r="2555" spans="1:17" x14ac:dyDescent="0.25">
      <c r="A2555" t="str">
        <f>IF(C2555&amp;G2555&amp;D2555&lt;&gt;'Funnel setup'!$K$3&amp;'Funnel setup'!$K$4&amp;'Funnel setup'!$K$6,".",IF(A2554=".",1,A2554+1))</f>
        <v>.</v>
      </c>
      <c r="B2555" s="244" t="str">
        <f t="shared" si="39"/>
        <v>Knee Replacement PrimaryProviderNORFOLK AND NORWICH UNIVERSITY HOSPITALS NHS FOUNDATION TRUST (RM1)Oxford Knee Score</v>
      </c>
      <c r="C2555" t="s">
        <v>969</v>
      </c>
      <c r="D2555" t="s">
        <v>965</v>
      </c>
      <c r="E2555" t="s">
        <v>340</v>
      </c>
      <c r="F2555" t="s">
        <v>341</v>
      </c>
      <c r="G2555" t="s">
        <v>972</v>
      </c>
      <c r="H2555">
        <v>141</v>
      </c>
      <c r="I2555">
        <v>16.2057</v>
      </c>
      <c r="J2555">
        <v>34.070900000000002</v>
      </c>
      <c r="K2555">
        <v>17.865200000000002</v>
      </c>
      <c r="L2555">
        <v>132</v>
      </c>
      <c r="M2555">
        <v>3</v>
      </c>
      <c r="N2555">
        <v>6</v>
      </c>
      <c r="O2555">
        <v>36.039400000000001</v>
      </c>
      <c r="P2555">
        <v>16.6511</v>
      </c>
      <c r="Q2555">
        <v>9.5733300000000003</v>
      </c>
    </row>
    <row r="2556" spans="1:17" x14ac:dyDescent="0.25">
      <c r="A2556" t="str">
        <f>IF(C2556&amp;G2556&amp;D2556&lt;&gt;'Funnel setup'!$K$3&amp;'Funnel setup'!$K$4&amp;'Funnel setup'!$K$6,".",IF(A2555=".",1,A2555+1))</f>
        <v>.</v>
      </c>
      <c r="B2556" s="244" t="str">
        <f t="shared" si="39"/>
        <v>Knee Replacement PrimaryProviderNORTH BRISTOL NHS TRUST (RVJ)Oxford Knee Score</v>
      </c>
      <c r="C2556" t="s">
        <v>969</v>
      </c>
      <c r="D2556" t="s">
        <v>965</v>
      </c>
      <c r="E2556" t="s">
        <v>342</v>
      </c>
      <c r="F2556" t="s">
        <v>343</v>
      </c>
      <c r="G2556" t="s">
        <v>972</v>
      </c>
      <c r="H2556">
        <v>5</v>
      </c>
      <c r="I2556">
        <v>14</v>
      </c>
      <c r="J2556">
        <v>39</v>
      </c>
      <c r="K2556">
        <v>25</v>
      </c>
      <c r="L2556">
        <v>5</v>
      </c>
      <c r="M2556">
        <v>0</v>
      </c>
      <c r="N2556">
        <v>0</v>
      </c>
      <c r="O2556" t="s">
        <v>127</v>
      </c>
      <c r="P2556" t="s">
        <v>127</v>
      </c>
      <c r="Q2556" t="s">
        <v>127</v>
      </c>
    </row>
    <row r="2557" spans="1:17" x14ac:dyDescent="0.25">
      <c r="A2557" t="str">
        <f>IF(C2557&amp;G2557&amp;D2557&lt;&gt;'Funnel setup'!$K$3&amp;'Funnel setup'!$K$4&amp;'Funnel setup'!$K$6,".",IF(A2556=".",1,A2556+1))</f>
        <v>.</v>
      </c>
      <c r="B2557" s="244" t="str">
        <f t="shared" si="39"/>
        <v>Knee Replacement PrimaryProviderNORTH CUMBRIA INTEGRATED CARE NHS FOUNDATION TRUST (RNN)Oxford Knee Score</v>
      </c>
      <c r="C2557" t="s">
        <v>969</v>
      </c>
      <c r="D2557" t="s">
        <v>965</v>
      </c>
      <c r="E2557" t="s">
        <v>344</v>
      </c>
      <c r="F2557" t="s">
        <v>345</v>
      </c>
      <c r="G2557" t="s">
        <v>972</v>
      </c>
      <c r="H2557">
        <v>129</v>
      </c>
      <c r="I2557">
        <v>17.046500000000002</v>
      </c>
      <c r="J2557">
        <v>37.085299999999997</v>
      </c>
      <c r="K2557">
        <v>20.038799999999998</v>
      </c>
      <c r="L2557">
        <v>128</v>
      </c>
      <c r="M2557">
        <v>0</v>
      </c>
      <c r="N2557">
        <v>1</v>
      </c>
      <c r="O2557">
        <v>38.049700000000001</v>
      </c>
      <c r="P2557">
        <v>18.661300000000001</v>
      </c>
      <c r="Q2557">
        <v>7.14018</v>
      </c>
    </row>
    <row r="2558" spans="1:17" x14ac:dyDescent="0.25">
      <c r="A2558" t="str">
        <f>IF(C2558&amp;G2558&amp;D2558&lt;&gt;'Funnel setup'!$K$3&amp;'Funnel setup'!$K$4&amp;'Funnel setup'!$K$6,".",IF(A2557=".",1,A2557+1))</f>
        <v>.</v>
      </c>
      <c r="B2558" s="244" t="str">
        <f t="shared" si="39"/>
        <v>Knee Replacement PrimaryProviderNORTH DOWNS HOSPITAL (NVC11)Oxford Knee Score</v>
      </c>
      <c r="C2558" t="s">
        <v>969</v>
      </c>
      <c r="D2558" t="s">
        <v>965</v>
      </c>
      <c r="E2558" t="s">
        <v>348</v>
      </c>
      <c r="F2558" t="s">
        <v>349</v>
      </c>
      <c r="G2558" t="s">
        <v>972</v>
      </c>
      <c r="H2558">
        <v>30</v>
      </c>
      <c r="I2558">
        <v>21.3</v>
      </c>
      <c r="J2558">
        <v>38.1</v>
      </c>
      <c r="K2558">
        <v>16.8</v>
      </c>
      <c r="L2558">
        <v>29</v>
      </c>
      <c r="M2558">
        <v>0</v>
      </c>
      <c r="N2558">
        <v>1</v>
      </c>
      <c r="O2558">
        <v>36.464500000000001</v>
      </c>
      <c r="P2558">
        <v>17.0762</v>
      </c>
      <c r="Q2558">
        <v>7.5493899999999998</v>
      </c>
    </row>
    <row r="2559" spans="1:17" x14ac:dyDescent="0.25">
      <c r="A2559" t="str">
        <f>IF(C2559&amp;G2559&amp;D2559&lt;&gt;'Funnel setup'!$K$3&amp;'Funnel setup'!$K$4&amp;'Funnel setup'!$K$6,".",IF(A2558=".",1,A2558+1))</f>
        <v>.</v>
      </c>
      <c r="B2559" s="244" t="str">
        <f t="shared" si="39"/>
        <v>Knee Replacement PrimaryProviderNORTH MIDDLESEX UNIVERSITY HOSPITAL NHS TRUST (RAP)Oxford Knee Score</v>
      </c>
      <c r="C2559" t="s">
        <v>969</v>
      </c>
      <c r="D2559" t="s">
        <v>965</v>
      </c>
      <c r="E2559" t="s">
        <v>350</v>
      </c>
      <c r="F2559" t="s">
        <v>351</v>
      </c>
      <c r="G2559" t="s">
        <v>972</v>
      </c>
      <c r="H2559">
        <v>7</v>
      </c>
      <c r="I2559">
        <v>16</v>
      </c>
      <c r="J2559">
        <v>36.857100000000003</v>
      </c>
      <c r="K2559">
        <v>20.857099999999999</v>
      </c>
      <c r="L2559">
        <v>7</v>
      </c>
      <c r="M2559">
        <v>0</v>
      </c>
      <c r="N2559">
        <v>0</v>
      </c>
      <c r="O2559" t="s">
        <v>127</v>
      </c>
      <c r="P2559" t="s">
        <v>127</v>
      </c>
      <c r="Q2559" t="s">
        <v>127</v>
      </c>
    </row>
    <row r="2560" spans="1:17" x14ac:dyDescent="0.25">
      <c r="A2560" t="str">
        <f>IF(C2560&amp;G2560&amp;D2560&lt;&gt;'Funnel setup'!$K$3&amp;'Funnel setup'!$K$4&amp;'Funnel setup'!$K$6,".",IF(A2559=".",1,A2559+1))</f>
        <v>.</v>
      </c>
      <c r="B2560" s="244" t="str">
        <f t="shared" si="39"/>
        <v>Knee Replacement PrimaryProviderNORTH TEES AND HARTLEPOOL NHS FOUNDATION TRUST (RVW)Oxford Knee Score</v>
      </c>
      <c r="C2560" t="s">
        <v>969</v>
      </c>
      <c r="D2560" t="s">
        <v>965</v>
      </c>
      <c r="E2560" t="s">
        <v>352</v>
      </c>
      <c r="F2560" t="s">
        <v>353</v>
      </c>
      <c r="G2560" t="s">
        <v>972</v>
      </c>
      <c r="H2560">
        <v>100</v>
      </c>
      <c r="I2560">
        <v>16.46</v>
      </c>
      <c r="J2560">
        <v>34.909999999999997</v>
      </c>
      <c r="K2560">
        <v>18.45</v>
      </c>
      <c r="L2560">
        <v>94</v>
      </c>
      <c r="M2560">
        <v>1</v>
      </c>
      <c r="N2560">
        <v>5</v>
      </c>
      <c r="O2560">
        <v>36.913400000000003</v>
      </c>
      <c r="P2560">
        <v>17.525099999999998</v>
      </c>
      <c r="Q2560">
        <v>10.231</v>
      </c>
    </row>
    <row r="2561" spans="1:17" x14ac:dyDescent="0.25">
      <c r="A2561" t="str">
        <f>IF(C2561&amp;G2561&amp;D2561&lt;&gt;'Funnel setup'!$K$3&amp;'Funnel setup'!$K$4&amp;'Funnel setup'!$K$6,".",IF(A2560=".",1,A2560+1))</f>
        <v>.</v>
      </c>
      <c r="B2561" s="244" t="str">
        <f t="shared" si="39"/>
        <v>Knee Replacement PrimaryProviderNORTH WEST ANGLIA NHS FOUNDATION TRUST (RGN)Oxford Knee Score</v>
      </c>
      <c r="C2561" t="s">
        <v>969</v>
      </c>
      <c r="D2561" t="s">
        <v>965</v>
      </c>
      <c r="E2561" t="s">
        <v>354</v>
      </c>
      <c r="F2561" t="s">
        <v>355</v>
      </c>
      <c r="G2561" t="s">
        <v>972</v>
      </c>
      <c r="H2561">
        <v>129</v>
      </c>
      <c r="I2561">
        <v>17.682200000000002</v>
      </c>
      <c r="J2561">
        <v>36.426400000000001</v>
      </c>
      <c r="K2561">
        <v>18.744199999999999</v>
      </c>
      <c r="L2561">
        <v>127</v>
      </c>
      <c r="M2561">
        <v>1</v>
      </c>
      <c r="N2561">
        <v>1</v>
      </c>
      <c r="O2561">
        <v>36.881500000000003</v>
      </c>
      <c r="P2561">
        <v>17.493200000000002</v>
      </c>
      <c r="Q2561">
        <v>7.9180000000000001</v>
      </c>
    </row>
    <row r="2562" spans="1:17" x14ac:dyDescent="0.25">
      <c r="A2562" t="str">
        <f>IF(C2562&amp;G2562&amp;D2562&lt;&gt;'Funnel setup'!$K$3&amp;'Funnel setup'!$K$4&amp;'Funnel setup'!$K$6,".",IF(A2561=".",1,A2561+1))</f>
        <v>.</v>
      </c>
      <c r="B2562" s="244" t="str">
        <f t="shared" ref="B2562:B2625" si="40">C2562&amp;D2562&amp;F2562&amp;G2562</f>
        <v>Knee Replacement PrimaryProviderNORTHAMPTON GENERAL HOSPITAL NHS TRUST (RNS)Oxford Knee Score</v>
      </c>
      <c r="C2562" t="s">
        <v>969</v>
      </c>
      <c r="D2562" t="s">
        <v>965</v>
      </c>
      <c r="E2562" t="s">
        <v>356</v>
      </c>
      <c r="F2562" t="s">
        <v>357</v>
      </c>
      <c r="G2562" t="s">
        <v>972</v>
      </c>
      <c r="H2562">
        <v>45</v>
      </c>
      <c r="I2562">
        <v>17.533300000000001</v>
      </c>
      <c r="J2562">
        <v>36.666699999999999</v>
      </c>
      <c r="K2562">
        <v>19.133299999999998</v>
      </c>
      <c r="L2562">
        <v>44</v>
      </c>
      <c r="M2562">
        <v>0</v>
      </c>
      <c r="N2562">
        <v>1</v>
      </c>
      <c r="O2562">
        <v>37.924599999999998</v>
      </c>
      <c r="P2562">
        <v>18.536200000000001</v>
      </c>
      <c r="Q2562">
        <v>8.3713099999999994</v>
      </c>
    </row>
    <row r="2563" spans="1:17" x14ac:dyDescent="0.25">
      <c r="A2563" t="str">
        <f>IF(C2563&amp;G2563&amp;D2563&lt;&gt;'Funnel setup'!$K$3&amp;'Funnel setup'!$K$4&amp;'Funnel setup'!$K$6,".",IF(A2562=".",1,A2562+1))</f>
        <v>.</v>
      </c>
      <c r="B2563" s="244" t="str">
        <f t="shared" si="40"/>
        <v>Knee Replacement PrimaryProviderNORTHERN CARE ALLIANCE NHS FOUNDATION TRUST (RM3)Oxford Knee Score</v>
      </c>
      <c r="C2563" t="s">
        <v>969</v>
      </c>
      <c r="D2563" t="s">
        <v>965</v>
      </c>
      <c r="E2563" t="s">
        <v>358</v>
      </c>
      <c r="F2563" t="s">
        <v>359</v>
      </c>
      <c r="G2563" t="s">
        <v>972</v>
      </c>
      <c r="H2563">
        <v>7</v>
      </c>
      <c r="I2563">
        <v>18.428599999999999</v>
      </c>
      <c r="J2563">
        <v>35.285699999999999</v>
      </c>
      <c r="K2563">
        <v>16.857099999999999</v>
      </c>
      <c r="L2563">
        <v>7</v>
      </c>
      <c r="M2563">
        <v>0</v>
      </c>
      <c r="N2563">
        <v>0</v>
      </c>
      <c r="O2563" t="s">
        <v>127</v>
      </c>
      <c r="P2563" t="s">
        <v>127</v>
      </c>
      <c r="Q2563" t="s">
        <v>127</v>
      </c>
    </row>
    <row r="2564" spans="1:17" x14ac:dyDescent="0.25">
      <c r="A2564" t="str">
        <f>IF(C2564&amp;G2564&amp;D2564&lt;&gt;'Funnel setup'!$K$3&amp;'Funnel setup'!$K$4&amp;'Funnel setup'!$K$6,".",IF(A2563=".",1,A2563+1))</f>
        <v>.</v>
      </c>
      <c r="B2564" s="244" t="str">
        <f t="shared" si="40"/>
        <v>Knee Replacement PrimaryProviderNORTHERN DEVON HEALTHCARE NHS TRUST (RBZ)Oxford Knee Score</v>
      </c>
      <c r="C2564" t="s">
        <v>969</v>
      </c>
      <c r="D2564" t="s">
        <v>965</v>
      </c>
      <c r="E2564" t="s">
        <v>360</v>
      </c>
      <c r="F2564" t="s">
        <v>361</v>
      </c>
      <c r="G2564" t="s">
        <v>972</v>
      </c>
      <c r="H2564">
        <v>34</v>
      </c>
      <c r="I2564">
        <v>17.647099999999998</v>
      </c>
      <c r="J2564">
        <v>36.852899999999998</v>
      </c>
      <c r="K2564">
        <v>19.2059</v>
      </c>
      <c r="L2564">
        <v>32</v>
      </c>
      <c r="M2564">
        <v>0</v>
      </c>
      <c r="N2564">
        <v>2</v>
      </c>
      <c r="O2564">
        <v>38.914200000000001</v>
      </c>
      <c r="P2564">
        <v>19.5259</v>
      </c>
      <c r="Q2564">
        <v>10.107799999999999</v>
      </c>
    </row>
    <row r="2565" spans="1:17" x14ac:dyDescent="0.25">
      <c r="A2565" t="str">
        <f>IF(C2565&amp;G2565&amp;D2565&lt;&gt;'Funnel setup'!$K$3&amp;'Funnel setup'!$K$4&amp;'Funnel setup'!$K$6,".",IF(A2564=".",1,A2564+1))</f>
        <v>.</v>
      </c>
      <c r="B2565" s="244" t="str">
        <f t="shared" si="40"/>
        <v>Knee Replacement PrimaryProviderNORTHERN LINCOLNSHIRE AND GOOLE NHS FOUNDATION TRUST (RJL)Oxford Knee Score</v>
      </c>
      <c r="C2565" t="s">
        <v>969</v>
      </c>
      <c r="D2565" t="s">
        <v>965</v>
      </c>
      <c r="E2565" t="s">
        <v>362</v>
      </c>
      <c r="F2565" t="s">
        <v>363</v>
      </c>
      <c r="G2565" t="s">
        <v>972</v>
      </c>
      <c r="H2565">
        <v>73</v>
      </c>
      <c r="I2565">
        <v>18.438400000000001</v>
      </c>
      <c r="J2565">
        <v>34.9589</v>
      </c>
      <c r="K2565">
        <v>16.520499999999998</v>
      </c>
      <c r="L2565">
        <v>67</v>
      </c>
      <c r="M2565">
        <v>1</v>
      </c>
      <c r="N2565">
        <v>5</v>
      </c>
      <c r="O2565">
        <v>35.750799999999998</v>
      </c>
      <c r="P2565">
        <v>16.362400000000001</v>
      </c>
      <c r="Q2565">
        <v>9.7740200000000002</v>
      </c>
    </row>
    <row r="2566" spans="1:17" x14ac:dyDescent="0.25">
      <c r="A2566" t="str">
        <f>IF(C2566&amp;G2566&amp;D2566&lt;&gt;'Funnel setup'!$K$3&amp;'Funnel setup'!$K$4&amp;'Funnel setup'!$K$6,".",IF(A2565=".",1,A2565+1))</f>
        <v>.</v>
      </c>
      <c r="B2566" s="244" t="str">
        <f t="shared" si="40"/>
        <v>Knee Replacement PrimaryProviderNORTHUMBRIA HEALTHCARE NHS FOUNDATION TRUST (RTF)Oxford Knee Score</v>
      </c>
      <c r="C2566" t="s">
        <v>969</v>
      </c>
      <c r="D2566" t="s">
        <v>965</v>
      </c>
      <c r="E2566" t="s">
        <v>364</v>
      </c>
      <c r="F2566" t="s">
        <v>365</v>
      </c>
      <c r="G2566" t="s">
        <v>972</v>
      </c>
      <c r="H2566">
        <v>392</v>
      </c>
      <c r="I2566">
        <v>19.5</v>
      </c>
      <c r="J2566">
        <v>38.497399999999999</v>
      </c>
      <c r="K2566">
        <v>18.997399999999999</v>
      </c>
      <c r="L2566">
        <v>384</v>
      </c>
      <c r="M2566">
        <v>0</v>
      </c>
      <c r="N2566">
        <v>8</v>
      </c>
      <c r="O2566">
        <v>38.360900000000001</v>
      </c>
      <c r="P2566">
        <v>18.9725</v>
      </c>
      <c r="Q2566">
        <v>7.79643</v>
      </c>
    </row>
    <row r="2567" spans="1:17" x14ac:dyDescent="0.25">
      <c r="A2567" t="str">
        <f>IF(C2567&amp;G2567&amp;D2567&lt;&gt;'Funnel setup'!$K$3&amp;'Funnel setup'!$K$4&amp;'Funnel setup'!$K$6,".",IF(A2566=".",1,A2566+1))</f>
        <v>.</v>
      </c>
      <c r="B2567" s="244" t="str">
        <f t="shared" si="40"/>
        <v>Knee Replacement PrimaryProviderNOTTINGHAM UNIVERSITY HOSPITALS NHS TRUST (RX1)Oxford Knee Score</v>
      </c>
      <c r="C2567" t="s">
        <v>969</v>
      </c>
      <c r="D2567" t="s">
        <v>965</v>
      </c>
      <c r="E2567" t="s">
        <v>366</v>
      </c>
      <c r="F2567" t="s">
        <v>367</v>
      </c>
      <c r="G2567" t="s">
        <v>972</v>
      </c>
      <c r="H2567">
        <v>4</v>
      </c>
      <c r="I2567">
        <v>19</v>
      </c>
      <c r="J2567">
        <v>35.75</v>
      </c>
      <c r="K2567">
        <v>16.75</v>
      </c>
      <c r="L2567">
        <v>3</v>
      </c>
      <c r="M2567">
        <v>0</v>
      </c>
      <c r="N2567">
        <v>1</v>
      </c>
      <c r="O2567" t="s">
        <v>127</v>
      </c>
      <c r="P2567" t="s">
        <v>127</v>
      </c>
      <c r="Q2567" t="s">
        <v>127</v>
      </c>
    </row>
    <row r="2568" spans="1:17" x14ac:dyDescent="0.25">
      <c r="A2568" t="str">
        <f>IF(C2568&amp;G2568&amp;D2568&lt;&gt;'Funnel setup'!$K$3&amp;'Funnel setup'!$K$4&amp;'Funnel setup'!$K$6,".",IF(A2567=".",1,A2567+1))</f>
        <v>.</v>
      </c>
      <c r="B2568" s="244" t="str">
        <f t="shared" si="40"/>
        <v>Knee Replacement PrimaryProviderNUFFIELD HEALTH, BOURNEMOUTH HOSPITAL (NT202)Oxford Knee Score</v>
      </c>
      <c r="C2568" t="s">
        <v>969</v>
      </c>
      <c r="D2568" t="s">
        <v>965</v>
      </c>
      <c r="E2568" t="s">
        <v>368</v>
      </c>
      <c r="F2568" t="s">
        <v>369</v>
      </c>
      <c r="G2568" t="s">
        <v>972</v>
      </c>
      <c r="H2568">
        <v>24</v>
      </c>
      <c r="I2568">
        <v>19.416699999999999</v>
      </c>
      <c r="J2568">
        <v>40.958300000000001</v>
      </c>
      <c r="K2568">
        <v>21.541699999999999</v>
      </c>
      <c r="L2568">
        <v>24</v>
      </c>
      <c r="M2568">
        <v>0</v>
      </c>
      <c r="N2568">
        <v>0</v>
      </c>
      <c r="O2568" t="s">
        <v>127</v>
      </c>
      <c r="P2568" t="s">
        <v>127</v>
      </c>
      <c r="Q2568" t="s">
        <v>127</v>
      </c>
    </row>
    <row r="2569" spans="1:17" x14ac:dyDescent="0.25">
      <c r="A2569" t="str">
        <f>IF(C2569&amp;G2569&amp;D2569&lt;&gt;'Funnel setup'!$K$3&amp;'Funnel setup'!$K$4&amp;'Funnel setup'!$K$6,".",IF(A2568=".",1,A2568+1))</f>
        <v>.</v>
      </c>
      <c r="B2569" s="244" t="str">
        <f t="shared" si="40"/>
        <v>Knee Replacement PrimaryProviderNUFFIELD HEALTH, BRENTWOOD HOSPITAL (NT204)Oxford Knee Score</v>
      </c>
      <c r="C2569" t="s">
        <v>969</v>
      </c>
      <c r="D2569" t="s">
        <v>965</v>
      </c>
      <c r="E2569" t="s">
        <v>370</v>
      </c>
      <c r="F2569" t="s">
        <v>371</v>
      </c>
      <c r="G2569" t="s">
        <v>972</v>
      </c>
      <c r="H2569">
        <v>13</v>
      </c>
      <c r="I2569">
        <v>18</v>
      </c>
      <c r="J2569">
        <v>35.769199999999998</v>
      </c>
      <c r="K2569">
        <v>17.769200000000001</v>
      </c>
      <c r="L2569">
        <v>10</v>
      </c>
      <c r="M2569">
        <v>1</v>
      </c>
      <c r="N2569">
        <v>2</v>
      </c>
      <c r="O2569" t="s">
        <v>127</v>
      </c>
      <c r="P2569" t="s">
        <v>127</v>
      </c>
      <c r="Q2569" t="s">
        <v>127</v>
      </c>
    </row>
    <row r="2570" spans="1:17" x14ac:dyDescent="0.25">
      <c r="A2570" t="str">
        <f>IF(C2570&amp;G2570&amp;D2570&lt;&gt;'Funnel setup'!$K$3&amp;'Funnel setup'!$K$4&amp;'Funnel setup'!$K$6,".",IF(A2569=".",1,A2569+1))</f>
        <v>.</v>
      </c>
      <c r="B2570" s="244" t="str">
        <f t="shared" si="40"/>
        <v>Knee Replacement PrimaryProviderNUFFIELD HEALTH, BRIGHTON HOSPITAL (NT205)Oxford Knee Score</v>
      </c>
      <c r="C2570" t="s">
        <v>969</v>
      </c>
      <c r="D2570" t="s">
        <v>965</v>
      </c>
      <c r="E2570" t="s">
        <v>372</v>
      </c>
      <c r="F2570" t="s">
        <v>373</v>
      </c>
      <c r="G2570" t="s">
        <v>972</v>
      </c>
      <c r="H2570">
        <v>9</v>
      </c>
      <c r="I2570">
        <v>20.8889</v>
      </c>
      <c r="J2570">
        <v>40.1111</v>
      </c>
      <c r="K2570">
        <v>19.222200000000001</v>
      </c>
      <c r="L2570">
        <v>9</v>
      </c>
      <c r="M2570">
        <v>0</v>
      </c>
      <c r="N2570">
        <v>0</v>
      </c>
      <c r="O2570" t="s">
        <v>127</v>
      </c>
      <c r="P2570" t="s">
        <v>127</v>
      </c>
      <c r="Q2570" t="s">
        <v>127</v>
      </c>
    </row>
    <row r="2571" spans="1:17" x14ac:dyDescent="0.25">
      <c r="A2571" t="str">
        <f>IF(C2571&amp;G2571&amp;D2571&lt;&gt;'Funnel setup'!$K$3&amp;'Funnel setup'!$K$4&amp;'Funnel setup'!$K$6,".",IF(A2570=".",1,A2570+1))</f>
        <v>.</v>
      </c>
      <c r="B2571" s="244" t="str">
        <f t="shared" si="40"/>
        <v>Knee Replacement PrimaryProviderNUFFIELD HEALTH, BRISTOL HOSPITAL (CHESTERFIELD) (NT206)Oxford Knee Score</v>
      </c>
      <c r="C2571" t="s">
        <v>969</v>
      </c>
      <c r="D2571" t="s">
        <v>965</v>
      </c>
      <c r="E2571" t="s">
        <v>374</v>
      </c>
      <c r="F2571" t="s">
        <v>375</v>
      </c>
      <c r="G2571" t="s">
        <v>972</v>
      </c>
      <c r="H2571">
        <v>34</v>
      </c>
      <c r="I2571">
        <v>20.323499999999999</v>
      </c>
      <c r="J2571">
        <v>39.823500000000003</v>
      </c>
      <c r="K2571">
        <v>19.5</v>
      </c>
      <c r="L2571">
        <v>33</v>
      </c>
      <c r="M2571">
        <v>0</v>
      </c>
      <c r="N2571">
        <v>1</v>
      </c>
      <c r="O2571">
        <v>39.015300000000003</v>
      </c>
      <c r="P2571">
        <v>19.626999999999999</v>
      </c>
      <c r="Q2571">
        <v>6.9881099999999998</v>
      </c>
    </row>
    <row r="2572" spans="1:17" x14ac:dyDescent="0.25">
      <c r="A2572" t="str">
        <f>IF(C2572&amp;G2572&amp;D2572&lt;&gt;'Funnel setup'!$K$3&amp;'Funnel setup'!$K$4&amp;'Funnel setup'!$K$6,".",IF(A2571=".",1,A2571+1))</f>
        <v>.</v>
      </c>
      <c r="B2572" s="244" t="str">
        <f t="shared" si="40"/>
        <v>Knee Replacement PrimaryProviderNUFFIELD HEALTH, CAMBRIDGE HOSPITAL (NT209)Oxford Knee Score</v>
      </c>
      <c r="C2572" t="s">
        <v>969</v>
      </c>
      <c r="D2572" t="s">
        <v>965</v>
      </c>
      <c r="E2572" t="s">
        <v>376</v>
      </c>
      <c r="F2572" t="s">
        <v>377</v>
      </c>
      <c r="G2572" t="s">
        <v>972</v>
      </c>
      <c r="H2572">
        <v>35</v>
      </c>
      <c r="I2572">
        <v>19.285699999999999</v>
      </c>
      <c r="J2572">
        <v>35.4</v>
      </c>
      <c r="K2572">
        <v>16.1143</v>
      </c>
      <c r="L2572">
        <v>32</v>
      </c>
      <c r="M2572">
        <v>0</v>
      </c>
      <c r="N2572">
        <v>3</v>
      </c>
      <c r="O2572">
        <v>33.655099999999997</v>
      </c>
      <c r="P2572">
        <v>14.2667</v>
      </c>
      <c r="Q2572">
        <v>8.7818100000000001</v>
      </c>
    </row>
    <row r="2573" spans="1:17" x14ac:dyDescent="0.25">
      <c r="A2573" t="str">
        <f>IF(C2573&amp;G2573&amp;D2573&lt;&gt;'Funnel setup'!$K$3&amp;'Funnel setup'!$K$4&amp;'Funnel setup'!$K$6,".",IF(A2572=".",1,A2572+1))</f>
        <v>.</v>
      </c>
      <c r="B2573" s="244" t="str">
        <f t="shared" si="40"/>
        <v>Knee Replacement PrimaryProviderNUFFIELD HEALTH, CHELTENHAM HOSPITAL (NT211)Oxford Knee Score</v>
      </c>
      <c r="C2573" t="s">
        <v>969</v>
      </c>
      <c r="D2573" t="s">
        <v>965</v>
      </c>
      <c r="E2573" t="s">
        <v>378</v>
      </c>
      <c r="F2573" t="s">
        <v>379</v>
      </c>
      <c r="G2573" t="s">
        <v>972</v>
      </c>
      <c r="H2573">
        <v>7</v>
      </c>
      <c r="I2573">
        <v>18.428599999999999</v>
      </c>
      <c r="J2573">
        <v>38.142899999999997</v>
      </c>
      <c r="K2573">
        <v>19.714300000000001</v>
      </c>
      <c r="L2573">
        <v>6</v>
      </c>
      <c r="M2573">
        <v>0</v>
      </c>
      <c r="N2573">
        <v>1</v>
      </c>
      <c r="O2573" t="s">
        <v>127</v>
      </c>
      <c r="P2573" t="s">
        <v>127</v>
      </c>
      <c r="Q2573" t="s">
        <v>127</v>
      </c>
    </row>
    <row r="2574" spans="1:17" x14ac:dyDescent="0.25">
      <c r="A2574" t="str">
        <f>IF(C2574&amp;G2574&amp;D2574&lt;&gt;'Funnel setup'!$K$3&amp;'Funnel setup'!$K$4&amp;'Funnel setup'!$K$6,".",IF(A2573=".",1,A2573+1))</f>
        <v>.</v>
      </c>
      <c r="B2574" s="244" t="str">
        <f t="shared" si="40"/>
        <v>Knee Replacement PrimaryProviderNUFFIELD HEALTH, CHICHESTER HOSPITAL (NT212)Oxford Knee Score</v>
      </c>
      <c r="C2574" t="s">
        <v>969</v>
      </c>
      <c r="D2574" t="s">
        <v>965</v>
      </c>
      <c r="E2574" t="s">
        <v>380</v>
      </c>
      <c r="F2574" t="s">
        <v>381</v>
      </c>
      <c r="G2574" t="s">
        <v>972</v>
      </c>
      <c r="H2574">
        <v>17</v>
      </c>
      <c r="I2574">
        <v>24.176500000000001</v>
      </c>
      <c r="J2574">
        <v>40.176499999999997</v>
      </c>
      <c r="K2574">
        <v>16</v>
      </c>
      <c r="L2574">
        <v>15</v>
      </c>
      <c r="M2574">
        <v>0</v>
      </c>
      <c r="N2574">
        <v>2</v>
      </c>
      <c r="O2574" t="s">
        <v>127</v>
      </c>
      <c r="P2574" t="s">
        <v>127</v>
      </c>
      <c r="Q2574" t="s">
        <v>127</v>
      </c>
    </row>
    <row r="2575" spans="1:17" x14ac:dyDescent="0.25">
      <c r="A2575" t="str">
        <f>IF(C2575&amp;G2575&amp;D2575&lt;&gt;'Funnel setup'!$K$3&amp;'Funnel setup'!$K$4&amp;'Funnel setup'!$K$6,".",IF(A2574=".",1,A2574+1))</f>
        <v>.</v>
      </c>
      <c r="B2575" s="244" t="str">
        <f t="shared" si="40"/>
        <v>Knee Replacement PrimaryProviderNUFFIELD HEALTH, DERBY HOSPITAL (NT213)Oxford Knee Score</v>
      </c>
      <c r="C2575" t="s">
        <v>969</v>
      </c>
      <c r="D2575" t="s">
        <v>965</v>
      </c>
      <c r="E2575" t="s">
        <v>382</v>
      </c>
      <c r="F2575" t="s">
        <v>383</v>
      </c>
      <c r="G2575" t="s">
        <v>972</v>
      </c>
      <c r="H2575">
        <v>112</v>
      </c>
      <c r="I2575">
        <v>19.008900000000001</v>
      </c>
      <c r="J2575">
        <v>37.3125</v>
      </c>
      <c r="K2575">
        <v>18.303599999999999</v>
      </c>
      <c r="L2575">
        <v>109</v>
      </c>
      <c r="M2575">
        <v>0</v>
      </c>
      <c r="N2575">
        <v>3</v>
      </c>
      <c r="O2575">
        <v>37.407499999999999</v>
      </c>
      <c r="P2575">
        <v>18.019200000000001</v>
      </c>
      <c r="Q2575">
        <v>8.3650900000000004</v>
      </c>
    </row>
    <row r="2576" spans="1:17" x14ac:dyDescent="0.25">
      <c r="A2576" t="str">
        <f>IF(C2576&amp;G2576&amp;D2576&lt;&gt;'Funnel setup'!$K$3&amp;'Funnel setup'!$K$4&amp;'Funnel setup'!$K$6,".",IF(A2575=".",1,A2575+1))</f>
        <v>.</v>
      </c>
      <c r="B2576" s="244" t="str">
        <f t="shared" si="40"/>
        <v>Knee Replacement PrimaryProviderNUFFIELD HEALTH, EXETER HOSPITAL (NT215)Oxford Knee Score</v>
      </c>
      <c r="C2576" t="s">
        <v>969</v>
      </c>
      <c r="D2576" t="s">
        <v>965</v>
      </c>
      <c r="E2576" t="s">
        <v>384</v>
      </c>
      <c r="F2576" t="s">
        <v>385</v>
      </c>
      <c r="G2576" t="s">
        <v>972</v>
      </c>
      <c r="H2576">
        <v>1</v>
      </c>
      <c r="I2576">
        <v>20</v>
      </c>
      <c r="J2576">
        <v>38</v>
      </c>
      <c r="K2576">
        <v>18</v>
      </c>
      <c r="L2576">
        <v>1</v>
      </c>
      <c r="M2576">
        <v>0</v>
      </c>
      <c r="N2576">
        <v>0</v>
      </c>
      <c r="O2576" t="s">
        <v>127</v>
      </c>
      <c r="P2576" t="s">
        <v>127</v>
      </c>
      <c r="Q2576" t="s">
        <v>127</v>
      </c>
    </row>
    <row r="2577" spans="1:17" x14ac:dyDescent="0.25">
      <c r="A2577" t="str">
        <f>IF(C2577&amp;G2577&amp;D2577&lt;&gt;'Funnel setup'!$K$3&amp;'Funnel setup'!$K$4&amp;'Funnel setup'!$K$6,".",IF(A2576=".",1,A2576+1))</f>
        <v>.</v>
      </c>
      <c r="B2577" s="244" t="str">
        <f t="shared" si="40"/>
        <v>Knee Replacement PrimaryProviderNUFFIELD HEALTH, HAYWARDS HEATH HOSPITAL (NT218)Oxford Knee Score</v>
      </c>
      <c r="C2577" t="s">
        <v>969</v>
      </c>
      <c r="D2577" t="s">
        <v>965</v>
      </c>
      <c r="E2577" t="s">
        <v>386</v>
      </c>
      <c r="F2577" t="s">
        <v>387</v>
      </c>
      <c r="G2577" t="s">
        <v>972</v>
      </c>
      <c r="H2577">
        <v>18</v>
      </c>
      <c r="I2577">
        <v>22.8889</v>
      </c>
      <c r="J2577">
        <v>38.777799999999999</v>
      </c>
      <c r="K2577">
        <v>15.8889</v>
      </c>
      <c r="L2577">
        <v>17</v>
      </c>
      <c r="M2577">
        <v>1</v>
      </c>
      <c r="N2577">
        <v>0</v>
      </c>
      <c r="O2577" t="s">
        <v>127</v>
      </c>
      <c r="P2577" t="s">
        <v>127</v>
      </c>
      <c r="Q2577" t="s">
        <v>127</v>
      </c>
    </row>
    <row r="2578" spans="1:17" x14ac:dyDescent="0.25">
      <c r="A2578" t="str">
        <f>IF(C2578&amp;G2578&amp;D2578&lt;&gt;'Funnel setup'!$K$3&amp;'Funnel setup'!$K$4&amp;'Funnel setup'!$K$6,".",IF(A2577=".",1,A2577+1))</f>
        <v>.</v>
      </c>
      <c r="B2578" s="244" t="str">
        <f t="shared" si="40"/>
        <v>Knee Replacement PrimaryProviderNUFFIELD HEALTH, HEREFORD HOSPITAL (NT219)Oxford Knee Score</v>
      </c>
      <c r="C2578" t="s">
        <v>969</v>
      </c>
      <c r="D2578" t="s">
        <v>965</v>
      </c>
      <c r="E2578" t="s">
        <v>388</v>
      </c>
      <c r="F2578" t="s">
        <v>389</v>
      </c>
      <c r="G2578" t="s">
        <v>972</v>
      </c>
      <c r="H2578">
        <v>9</v>
      </c>
      <c r="I2578">
        <v>18.333300000000001</v>
      </c>
      <c r="J2578">
        <v>40.333300000000001</v>
      </c>
      <c r="K2578">
        <v>22</v>
      </c>
      <c r="L2578">
        <v>9</v>
      </c>
      <c r="M2578">
        <v>0</v>
      </c>
      <c r="N2578">
        <v>0</v>
      </c>
      <c r="O2578" t="s">
        <v>127</v>
      </c>
      <c r="P2578" t="s">
        <v>127</v>
      </c>
      <c r="Q2578" t="s">
        <v>127</v>
      </c>
    </row>
    <row r="2579" spans="1:17" x14ac:dyDescent="0.25">
      <c r="A2579" t="str">
        <f>IF(C2579&amp;G2579&amp;D2579&lt;&gt;'Funnel setup'!$K$3&amp;'Funnel setup'!$K$4&amp;'Funnel setup'!$K$6,".",IF(A2578=".",1,A2578+1))</f>
        <v>.</v>
      </c>
      <c r="B2579" s="244" t="str">
        <f t="shared" si="40"/>
        <v>Knee Replacement PrimaryProviderNUFFIELD HEALTH, IPSWICH HOSPITAL (NT222)Oxford Knee Score</v>
      </c>
      <c r="C2579" t="s">
        <v>969</v>
      </c>
      <c r="D2579" t="s">
        <v>965</v>
      </c>
      <c r="E2579" t="s">
        <v>390</v>
      </c>
      <c r="F2579" t="s">
        <v>391</v>
      </c>
      <c r="G2579" t="s">
        <v>972</v>
      </c>
      <c r="H2579">
        <v>4</v>
      </c>
      <c r="I2579">
        <v>21.75</v>
      </c>
      <c r="J2579">
        <v>38</v>
      </c>
      <c r="K2579">
        <v>16.25</v>
      </c>
      <c r="L2579">
        <v>4</v>
      </c>
      <c r="M2579">
        <v>0</v>
      </c>
      <c r="N2579">
        <v>0</v>
      </c>
      <c r="O2579" t="s">
        <v>127</v>
      </c>
      <c r="P2579" t="s">
        <v>127</v>
      </c>
      <c r="Q2579" t="s">
        <v>127</v>
      </c>
    </row>
    <row r="2580" spans="1:17" x14ac:dyDescent="0.25">
      <c r="A2580" t="str">
        <f>IF(C2580&amp;G2580&amp;D2580&lt;&gt;'Funnel setup'!$K$3&amp;'Funnel setup'!$K$4&amp;'Funnel setup'!$K$6,".",IF(A2579=".",1,A2579+1))</f>
        <v>.</v>
      </c>
      <c r="B2580" s="244" t="str">
        <f t="shared" si="40"/>
        <v>Knee Replacement PrimaryProviderNUFFIELD HEALTH, LEEDS HOSPITAL (NT225)Oxford Knee Score</v>
      </c>
      <c r="C2580" t="s">
        <v>969</v>
      </c>
      <c r="D2580" t="s">
        <v>965</v>
      </c>
      <c r="E2580" t="s">
        <v>392</v>
      </c>
      <c r="F2580" t="s">
        <v>393</v>
      </c>
      <c r="G2580" t="s">
        <v>972</v>
      </c>
      <c r="H2580">
        <v>143</v>
      </c>
      <c r="I2580">
        <v>19.755199999999999</v>
      </c>
      <c r="J2580">
        <v>38.4056</v>
      </c>
      <c r="K2580">
        <v>18.650300000000001</v>
      </c>
      <c r="L2580">
        <v>140</v>
      </c>
      <c r="M2580">
        <v>1</v>
      </c>
      <c r="N2580">
        <v>2</v>
      </c>
      <c r="O2580">
        <v>37.779400000000003</v>
      </c>
      <c r="P2580">
        <v>18.391100000000002</v>
      </c>
      <c r="Q2580">
        <v>7.3665200000000004</v>
      </c>
    </row>
    <row r="2581" spans="1:17" x14ac:dyDescent="0.25">
      <c r="A2581" t="str">
        <f>IF(C2581&amp;G2581&amp;D2581&lt;&gt;'Funnel setup'!$K$3&amp;'Funnel setup'!$K$4&amp;'Funnel setup'!$K$6,".",IF(A2580=".",1,A2580+1))</f>
        <v>.</v>
      </c>
      <c r="B2581" s="244" t="str">
        <f t="shared" si="40"/>
        <v>Knee Replacement PrimaryProviderNUFFIELD HEALTH, LEICESTER HOSPITAL (NT226)Oxford Knee Score</v>
      </c>
      <c r="C2581" t="s">
        <v>969</v>
      </c>
      <c r="D2581" t="s">
        <v>965</v>
      </c>
      <c r="E2581" t="s">
        <v>394</v>
      </c>
      <c r="F2581" t="s">
        <v>395</v>
      </c>
      <c r="G2581" t="s">
        <v>972</v>
      </c>
      <c r="H2581">
        <v>28</v>
      </c>
      <c r="I2581">
        <v>18.75</v>
      </c>
      <c r="J2581">
        <v>35.571399999999997</v>
      </c>
      <c r="K2581">
        <v>16.821400000000001</v>
      </c>
      <c r="L2581">
        <v>27</v>
      </c>
      <c r="M2581">
        <v>0</v>
      </c>
      <c r="N2581">
        <v>1</v>
      </c>
      <c r="O2581" t="s">
        <v>127</v>
      </c>
      <c r="P2581" t="s">
        <v>127</v>
      </c>
      <c r="Q2581" t="s">
        <v>127</v>
      </c>
    </row>
    <row r="2582" spans="1:17" x14ac:dyDescent="0.25">
      <c r="A2582" t="str">
        <f>IF(C2582&amp;G2582&amp;D2582&lt;&gt;'Funnel setup'!$K$3&amp;'Funnel setup'!$K$4&amp;'Funnel setup'!$K$6,".",IF(A2581=".",1,A2581+1))</f>
        <v>.</v>
      </c>
      <c r="B2582" s="244" t="str">
        <f t="shared" si="40"/>
        <v>Knee Replacement PrimaryProviderNUFFIELD HEALTH, NEWCASTLE UPON TYNE HOSPITAL (NT229)Oxford Knee Score</v>
      </c>
      <c r="C2582" t="s">
        <v>969</v>
      </c>
      <c r="D2582" t="s">
        <v>965</v>
      </c>
      <c r="E2582" t="s">
        <v>396</v>
      </c>
      <c r="F2582" t="s">
        <v>397</v>
      </c>
      <c r="G2582" t="s">
        <v>972</v>
      </c>
      <c r="H2582">
        <v>27</v>
      </c>
      <c r="I2582">
        <v>21.2593</v>
      </c>
      <c r="J2582">
        <v>37.851900000000001</v>
      </c>
      <c r="K2582">
        <v>16.592600000000001</v>
      </c>
      <c r="L2582">
        <v>27</v>
      </c>
      <c r="M2582">
        <v>0</v>
      </c>
      <c r="N2582">
        <v>0</v>
      </c>
      <c r="O2582" t="s">
        <v>127</v>
      </c>
      <c r="P2582" t="s">
        <v>127</v>
      </c>
      <c r="Q2582" t="s">
        <v>127</v>
      </c>
    </row>
    <row r="2583" spans="1:17" x14ac:dyDescent="0.25">
      <c r="A2583" t="str">
        <f>IF(C2583&amp;G2583&amp;D2583&lt;&gt;'Funnel setup'!$K$3&amp;'Funnel setup'!$K$4&amp;'Funnel setup'!$K$6,".",IF(A2582=".",1,A2582+1))</f>
        <v>.</v>
      </c>
      <c r="B2583" s="244" t="str">
        <f t="shared" si="40"/>
        <v>Knee Replacement PrimaryProviderNUFFIELD HEALTH, NORTH STAFFORDSHIRE HOSPITAL (NT230)Oxford Knee Score</v>
      </c>
      <c r="C2583" t="s">
        <v>969</v>
      </c>
      <c r="D2583" t="s">
        <v>965</v>
      </c>
      <c r="E2583" t="s">
        <v>398</v>
      </c>
      <c r="F2583" t="s">
        <v>399</v>
      </c>
      <c r="G2583" t="s">
        <v>972</v>
      </c>
      <c r="H2583">
        <v>45</v>
      </c>
      <c r="I2583">
        <v>19.399999999999999</v>
      </c>
      <c r="J2583">
        <v>36.799999999999997</v>
      </c>
      <c r="K2583">
        <v>17.399999999999999</v>
      </c>
      <c r="L2583">
        <v>43</v>
      </c>
      <c r="M2583">
        <v>0</v>
      </c>
      <c r="N2583">
        <v>2</v>
      </c>
      <c r="O2583">
        <v>37.085700000000003</v>
      </c>
      <c r="P2583">
        <v>17.697399999999998</v>
      </c>
      <c r="Q2583">
        <v>7.4290700000000003</v>
      </c>
    </row>
    <row r="2584" spans="1:17" x14ac:dyDescent="0.25">
      <c r="A2584" t="str">
        <f>IF(C2584&amp;G2584&amp;D2584&lt;&gt;'Funnel setup'!$K$3&amp;'Funnel setup'!$K$4&amp;'Funnel setup'!$K$6,".",IF(A2583=".",1,A2583+1))</f>
        <v>.</v>
      </c>
      <c r="B2584" s="244" t="str">
        <f t="shared" si="40"/>
        <v>Knee Replacement PrimaryProviderNUFFIELD HEALTH, PLYMOUTH HOSPITAL (NT233)Oxford Knee Score</v>
      </c>
      <c r="C2584" t="s">
        <v>969</v>
      </c>
      <c r="D2584" t="s">
        <v>965</v>
      </c>
      <c r="E2584" t="s">
        <v>400</v>
      </c>
      <c r="F2584" t="s">
        <v>401</v>
      </c>
      <c r="G2584" t="s">
        <v>972</v>
      </c>
      <c r="H2584">
        <v>45</v>
      </c>
      <c r="I2584">
        <v>21.133299999999998</v>
      </c>
      <c r="J2584">
        <v>38.799999999999997</v>
      </c>
      <c r="K2584">
        <v>17.666699999999999</v>
      </c>
      <c r="L2584">
        <v>43</v>
      </c>
      <c r="M2584">
        <v>0</v>
      </c>
      <c r="N2584">
        <v>2</v>
      </c>
      <c r="O2584">
        <v>38.527500000000003</v>
      </c>
      <c r="P2584">
        <v>19.139199999999999</v>
      </c>
      <c r="Q2584">
        <v>9.3686900000000009</v>
      </c>
    </row>
    <row r="2585" spans="1:17" x14ac:dyDescent="0.25">
      <c r="A2585" t="str">
        <f>IF(C2585&amp;G2585&amp;D2585&lt;&gt;'Funnel setup'!$K$3&amp;'Funnel setup'!$K$4&amp;'Funnel setup'!$K$6,".",IF(A2584=".",1,A2584+1))</f>
        <v>.</v>
      </c>
      <c r="B2585" s="244" t="str">
        <f t="shared" si="40"/>
        <v>Knee Replacement PrimaryProviderNUFFIELD HEALTH, SHREWSBURY HOSPITAL (NT235)Oxford Knee Score</v>
      </c>
      <c r="C2585" t="s">
        <v>969</v>
      </c>
      <c r="D2585" t="s">
        <v>965</v>
      </c>
      <c r="E2585" t="s">
        <v>402</v>
      </c>
      <c r="F2585" t="s">
        <v>403</v>
      </c>
      <c r="G2585" t="s">
        <v>972</v>
      </c>
      <c r="H2585">
        <v>2</v>
      </c>
      <c r="I2585">
        <v>21</v>
      </c>
      <c r="J2585">
        <v>25</v>
      </c>
      <c r="K2585">
        <v>4</v>
      </c>
      <c r="L2585">
        <v>1</v>
      </c>
      <c r="M2585">
        <v>0</v>
      </c>
      <c r="N2585">
        <v>1</v>
      </c>
      <c r="O2585" t="s">
        <v>127</v>
      </c>
      <c r="P2585" t="s">
        <v>127</v>
      </c>
      <c r="Q2585" t="s">
        <v>127</v>
      </c>
    </row>
    <row r="2586" spans="1:17" x14ac:dyDescent="0.25">
      <c r="A2586" t="str">
        <f>IF(C2586&amp;G2586&amp;D2586&lt;&gt;'Funnel setup'!$K$3&amp;'Funnel setup'!$K$4&amp;'Funnel setup'!$K$6,".",IF(A2585=".",1,A2585+1))</f>
        <v>.</v>
      </c>
      <c r="B2586" s="244" t="str">
        <f t="shared" si="40"/>
        <v>Knee Replacement PrimaryProviderNUFFIELD HEALTH, TAUNTON HOSPITAL (NT238)Oxford Knee Score</v>
      </c>
      <c r="C2586" t="s">
        <v>969</v>
      </c>
      <c r="D2586" t="s">
        <v>965</v>
      </c>
      <c r="E2586" t="s">
        <v>404</v>
      </c>
      <c r="F2586" t="s">
        <v>405</v>
      </c>
      <c r="G2586" t="s">
        <v>972</v>
      </c>
      <c r="H2586">
        <v>29</v>
      </c>
      <c r="I2586">
        <v>18.4483</v>
      </c>
      <c r="J2586">
        <v>38.551699999999997</v>
      </c>
      <c r="K2586">
        <v>20.103400000000001</v>
      </c>
      <c r="L2586">
        <v>28</v>
      </c>
      <c r="M2586">
        <v>0</v>
      </c>
      <c r="N2586">
        <v>1</v>
      </c>
      <c r="O2586" t="s">
        <v>127</v>
      </c>
      <c r="P2586" t="s">
        <v>127</v>
      </c>
      <c r="Q2586" t="s">
        <v>127</v>
      </c>
    </row>
    <row r="2587" spans="1:17" x14ac:dyDescent="0.25">
      <c r="A2587" t="str">
        <f>IF(C2587&amp;G2587&amp;D2587&lt;&gt;'Funnel setup'!$K$3&amp;'Funnel setup'!$K$4&amp;'Funnel setup'!$K$6,".",IF(A2586=".",1,A2586+1))</f>
        <v>.</v>
      </c>
      <c r="B2587" s="244" t="str">
        <f t="shared" si="40"/>
        <v>Knee Replacement PrimaryProviderNUFFIELD HEALTH, TEES HOSPITAL (NT237)Oxford Knee Score</v>
      </c>
      <c r="C2587" t="s">
        <v>969</v>
      </c>
      <c r="D2587" t="s">
        <v>965</v>
      </c>
      <c r="E2587" t="s">
        <v>406</v>
      </c>
      <c r="F2587" t="s">
        <v>407</v>
      </c>
      <c r="G2587" t="s">
        <v>972</v>
      </c>
      <c r="H2587">
        <v>229</v>
      </c>
      <c r="I2587">
        <v>18.7118</v>
      </c>
      <c r="J2587">
        <v>38.602600000000002</v>
      </c>
      <c r="K2587">
        <v>19.890799999999999</v>
      </c>
      <c r="L2587">
        <v>223</v>
      </c>
      <c r="M2587">
        <v>0</v>
      </c>
      <c r="N2587">
        <v>6</v>
      </c>
      <c r="O2587">
        <v>38.739699999999999</v>
      </c>
      <c r="P2587">
        <v>19.351400000000002</v>
      </c>
      <c r="Q2587">
        <v>8.3688900000000004</v>
      </c>
    </row>
    <row r="2588" spans="1:17" x14ac:dyDescent="0.25">
      <c r="A2588" t="str">
        <f>IF(C2588&amp;G2588&amp;D2588&lt;&gt;'Funnel setup'!$K$3&amp;'Funnel setup'!$K$4&amp;'Funnel setup'!$K$6,".",IF(A2587=".",1,A2587+1))</f>
        <v>.</v>
      </c>
      <c r="B2588" s="244" t="str">
        <f t="shared" si="40"/>
        <v>Knee Replacement PrimaryProviderNUFFIELD HEALTH, THE GROSVENOR HOSPITAL, CHESTER (NT210)Oxford Knee Score</v>
      </c>
      <c r="C2588" t="s">
        <v>969</v>
      </c>
      <c r="D2588" t="s">
        <v>965</v>
      </c>
      <c r="E2588" t="s">
        <v>408</v>
      </c>
      <c r="F2588" t="s">
        <v>409</v>
      </c>
      <c r="G2588" t="s">
        <v>972</v>
      </c>
      <c r="H2588">
        <v>14</v>
      </c>
      <c r="I2588">
        <v>22.214300000000001</v>
      </c>
      <c r="J2588">
        <v>39.357100000000003</v>
      </c>
      <c r="K2588">
        <v>17.142900000000001</v>
      </c>
      <c r="L2588">
        <v>12</v>
      </c>
      <c r="M2588">
        <v>1</v>
      </c>
      <c r="N2588">
        <v>1</v>
      </c>
      <c r="O2588" t="s">
        <v>127</v>
      </c>
      <c r="P2588" t="s">
        <v>127</v>
      </c>
      <c r="Q2588" t="s">
        <v>127</v>
      </c>
    </row>
    <row r="2589" spans="1:17" x14ac:dyDescent="0.25">
      <c r="A2589" t="str">
        <f>IF(C2589&amp;G2589&amp;D2589&lt;&gt;'Funnel setup'!$K$3&amp;'Funnel setup'!$K$4&amp;'Funnel setup'!$K$6,".",IF(A2588=".",1,A2588+1))</f>
        <v>.</v>
      </c>
      <c r="B2589" s="244" t="str">
        <f t="shared" si="40"/>
        <v>Knee Replacement PrimaryProviderNUFFIELD HEALTH, TUNBRIDGE WELLS HOSPITAL (NT239)Oxford Knee Score</v>
      </c>
      <c r="C2589" t="s">
        <v>969</v>
      </c>
      <c r="D2589" t="s">
        <v>965</v>
      </c>
      <c r="E2589" t="s">
        <v>410</v>
      </c>
      <c r="F2589" t="s">
        <v>411</v>
      </c>
      <c r="G2589" t="s">
        <v>972</v>
      </c>
      <c r="H2589">
        <v>5</v>
      </c>
      <c r="I2589">
        <v>22.8</v>
      </c>
      <c r="J2589">
        <v>45.4</v>
      </c>
      <c r="K2589">
        <v>22.6</v>
      </c>
      <c r="L2589">
        <v>5</v>
      </c>
      <c r="M2589">
        <v>0</v>
      </c>
      <c r="N2589">
        <v>0</v>
      </c>
      <c r="O2589" t="s">
        <v>127</v>
      </c>
      <c r="P2589" t="s">
        <v>127</v>
      </c>
      <c r="Q2589" t="s">
        <v>127</v>
      </c>
    </row>
    <row r="2590" spans="1:17" x14ac:dyDescent="0.25">
      <c r="A2590" t="str">
        <f>IF(C2590&amp;G2590&amp;D2590&lt;&gt;'Funnel setup'!$K$3&amp;'Funnel setup'!$K$4&amp;'Funnel setup'!$K$6,".",IF(A2589=".",1,A2589+1))</f>
        <v>.</v>
      </c>
      <c r="B2590" s="244" t="str">
        <f t="shared" si="40"/>
        <v>Knee Replacement PrimaryProviderNUFFIELD HEALTH, WARWICKSHIRE HOSPITAL (NT224)Oxford Knee Score</v>
      </c>
      <c r="C2590" t="s">
        <v>969</v>
      </c>
      <c r="D2590" t="s">
        <v>965</v>
      </c>
      <c r="E2590" t="s">
        <v>412</v>
      </c>
      <c r="F2590" t="s">
        <v>413</v>
      </c>
      <c r="G2590" t="s">
        <v>972</v>
      </c>
      <c r="H2590">
        <v>14</v>
      </c>
      <c r="I2590">
        <v>20.428599999999999</v>
      </c>
      <c r="J2590">
        <v>35.785699999999999</v>
      </c>
      <c r="K2590">
        <v>15.357100000000001</v>
      </c>
      <c r="L2590">
        <v>14</v>
      </c>
      <c r="M2590">
        <v>0</v>
      </c>
      <c r="N2590">
        <v>0</v>
      </c>
      <c r="O2590" t="s">
        <v>127</v>
      </c>
      <c r="P2590" t="s">
        <v>127</v>
      </c>
      <c r="Q2590" t="s">
        <v>127</v>
      </c>
    </row>
    <row r="2591" spans="1:17" x14ac:dyDescent="0.25">
      <c r="A2591" t="str">
        <f>IF(C2591&amp;G2591&amp;D2591&lt;&gt;'Funnel setup'!$K$3&amp;'Funnel setup'!$K$4&amp;'Funnel setup'!$K$6,".",IF(A2590=".",1,A2590+1))</f>
        <v>.</v>
      </c>
      <c r="B2591" s="244" t="str">
        <f t="shared" si="40"/>
        <v>Knee Replacement PrimaryProviderNUFFIELD HEALTH, WESSEX HOSPITAL (NT214)Oxford Knee Score</v>
      </c>
      <c r="C2591" t="s">
        <v>969</v>
      </c>
      <c r="D2591" t="s">
        <v>965</v>
      </c>
      <c r="E2591" t="s">
        <v>414</v>
      </c>
      <c r="F2591" t="s">
        <v>415</v>
      </c>
      <c r="G2591" t="s">
        <v>972</v>
      </c>
      <c r="H2591">
        <v>33</v>
      </c>
      <c r="I2591">
        <v>23.060600000000001</v>
      </c>
      <c r="J2591">
        <v>37.393900000000002</v>
      </c>
      <c r="K2591">
        <v>14.333299999999999</v>
      </c>
      <c r="L2591">
        <v>31</v>
      </c>
      <c r="M2591">
        <v>1</v>
      </c>
      <c r="N2591">
        <v>1</v>
      </c>
      <c r="O2591">
        <v>35.490200000000002</v>
      </c>
      <c r="P2591">
        <v>16.101900000000001</v>
      </c>
      <c r="Q2591">
        <v>6.9333200000000001</v>
      </c>
    </row>
    <row r="2592" spans="1:17" x14ac:dyDescent="0.25">
      <c r="A2592" t="str">
        <f>IF(C2592&amp;G2592&amp;D2592&lt;&gt;'Funnel setup'!$K$3&amp;'Funnel setup'!$K$4&amp;'Funnel setup'!$K$6,".",IF(A2591=".",1,A2591+1))</f>
        <v>.</v>
      </c>
      <c r="B2592" s="244" t="str">
        <f t="shared" si="40"/>
        <v>Knee Replacement PrimaryProviderNUFFIELD HEALTH, WOLVERHAMPTON HOSPITAL (NT242)Oxford Knee Score</v>
      </c>
      <c r="C2592" t="s">
        <v>969</v>
      </c>
      <c r="D2592" t="s">
        <v>965</v>
      </c>
      <c r="E2592" t="s">
        <v>418</v>
      </c>
      <c r="F2592" t="s">
        <v>419</v>
      </c>
      <c r="G2592" t="s">
        <v>972</v>
      </c>
      <c r="H2592">
        <v>15</v>
      </c>
      <c r="I2592">
        <v>18.666699999999999</v>
      </c>
      <c r="J2592">
        <v>33</v>
      </c>
      <c r="K2592">
        <v>14.333299999999999</v>
      </c>
      <c r="L2592">
        <v>14</v>
      </c>
      <c r="M2592">
        <v>0</v>
      </c>
      <c r="N2592">
        <v>1</v>
      </c>
      <c r="O2592" t="s">
        <v>127</v>
      </c>
      <c r="P2592" t="s">
        <v>127</v>
      </c>
      <c r="Q2592" t="s">
        <v>127</v>
      </c>
    </row>
    <row r="2593" spans="1:17" x14ac:dyDescent="0.25">
      <c r="A2593" t="str">
        <f>IF(C2593&amp;G2593&amp;D2593&lt;&gt;'Funnel setup'!$K$3&amp;'Funnel setup'!$K$4&amp;'Funnel setup'!$K$6,".",IF(A2592=".",1,A2592+1))</f>
        <v>.</v>
      </c>
      <c r="B2593" s="244" t="str">
        <f t="shared" si="40"/>
        <v>Knee Replacement PrimaryProviderNUFFIELD HEALTH, YORK HOSPITAL (NT245)Oxford Knee Score</v>
      </c>
      <c r="C2593" t="s">
        <v>969</v>
      </c>
      <c r="D2593" t="s">
        <v>965</v>
      </c>
      <c r="E2593" t="s">
        <v>420</v>
      </c>
      <c r="F2593" t="s">
        <v>421</v>
      </c>
      <c r="G2593" t="s">
        <v>972</v>
      </c>
      <c r="H2593">
        <v>56</v>
      </c>
      <c r="I2593">
        <v>20.767900000000001</v>
      </c>
      <c r="J2593">
        <v>37.571399999999997</v>
      </c>
      <c r="K2593">
        <v>16.803599999999999</v>
      </c>
      <c r="L2593">
        <v>53</v>
      </c>
      <c r="M2593">
        <v>2</v>
      </c>
      <c r="N2593">
        <v>1</v>
      </c>
      <c r="O2593">
        <v>36.6006</v>
      </c>
      <c r="P2593">
        <v>17.212299999999999</v>
      </c>
      <c r="Q2593">
        <v>7.8680599999999998</v>
      </c>
    </row>
    <row r="2594" spans="1:17" x14ac:dyDescent="0.25">
      <c r="A2594" t="str">
        <f>IF(C2594&amp;G2594&amp;D2594&lt;&gt;'Funnel setup'!$K$3&amp;'Funnel setup'!$K$4&amp;'Funnel setup'!$K$6,".",IF(A2593=".",1,A2593+1))</f>
        <v>.</v>
      </c>
      <c r="B2594" s="244" t="str">
        <f t="shared" si="40"/>
        <v>Knee Replacement PrimaryProviderOAKLANDS HOSPITAL (NVC12)Oxford Knee Score</v>
      </c>
      <c r="C2594" t="s">
        <v>969</v>
      </c>
      <c r="D2594" t="s">
        <v>965</v>
      </c>
      <c r="E2594" t="s">
        <v>424</v>
      </c>
      <c r="F2594" t="s">
        <v>425</v>
      </c>
      <c r="G2594" t="s">
        <v>972</v>
      </c>
      <c r="H2594">
        <v>83</v>
      </c>
      <c r="I2594">
        <v>17.6145</v>
      </c>
      <c r="J2594">
        <v>35.228900000000003</v>
      </c>
      <c r="K2594">
        <v>17.6145</v>
      </c>
      <c r="L2594">
        <v>79</v>
      </c>
      <c r="M2594">
        <v>1</v>
      </c>
      <c r="N2594">
        <v>3</v>
      </c>
      <c r="O2594">
        <v>36.7361</v>
      </c>
      <c r="P2594">
        <v>17.347799999999999</v>
      </c>
      <c r="Q2594">
        <v>9.3463200000000004</v>
      </c>
    </row>
    <row r="2595" spans="1:17" x14ac:dyDescent="0.25">
      <c r="A2595" t="str">
        <f>IF(C2595&amp;G2595&amp;D2595&lt;&gt;'Funnel setup'!$K$3&amp;'Funnel setup'!$K$4&amp;'Funnel setup'!$K$6,".",IF(A2594=".",1,A2594+1))</f>
        <v>.</v>
      </c>
      <c r="B2595" s="244" t="str">
        <f t="shared" si="40"/>
        <v>Knee Replacement PrimaryProviderOAKS HOSPITAL (NVC13)Oxford Knee Score</v>
      </c>
      <c r="C2595" t="s">
        <v>969</v>
      </c>
      <c r="D2595" t="s">
        <v>965</v>
      </c>
      <c r="E2595" t="s">
        <v>426</v>
      </c>
      <c r="F2595" t="s">
        <v>427</v>
      </c>
      <c r="G2595" t="s">
        <v>972</v>
      </c>
      <c r="H2595">
        <v>4</v>
      </c>
      <c r="I2595">
        <v>19.25</v>
      </c>
      <c r="J2595">
        <v>43.5</v>
      </c>
      <c r="K2595">
        <v>24.25</v>
      </c>
      <c r="L2595">
        <v>4</v>
      </c>
      <c r="M2595">
        <v>0</v>
      </c>
      <c r="N2595">
        <v>0</v>
      </c>
      <c r="O2595" t="s">
        <v>127</v>
      </c>
      <c r="P2595" t="s">
        <v>127</v>
      </c>
      <c r="Q2595" t="s">
        <v>127</v>
      </c>
    </row>
    <row r="2596" spans="1:17" x14ac:dyDescent="0.25">
      <c r="A2596" t="str">
        <f>IF(C2596&amp;G2596&amp;D2596&lt;&gt;'Funnel setup'!$K$3&amp;'Funnel setup'!$K$4&amp;'Funnel setup'!$K$6,".",IF(A2595=".",1,A2595+1))</f>
        <v>.</v>
      </c>
      <c r="B2596" s="244" t="str">
        <f t="shared" si="40"/>
        <v>Knee Replacement PrimaryProviderONE HEALTHCARE (AVQ)Oxford Knee Score</v>
      </c>
      <c r="C2596" t="s">
        <v>969</v>
      </c>
      <c r="D2596" t="s">
        <v>965</v>
      </c>
      <c r="E2596" t="s">
        <v>434</v>
      </c>
      <c r="F2596" t="s">
        <v>435</v>
      </c>
      <c r="G2596" t="s">
        <v>972</v>
      </c>
      <c r="H2596">
        <v>69</v>
      </c>
      <c r="I2596">
        <v>21.333300000000001</v>
      </c>
      <c r="J2596">
        <v>38.898600000000002</v>
      </c>
      <c r="K2596">
        <v>17.565200000000001</v>
      </c>
      <c r="L2596">
        <v>66</v>
      </c>
      <c r="M2596">
        <v>0</v>
      </c>
      <c r="N2596">
        <v>3</v>
      </c>
      <c r="O2596">
        <v>37.404699999999998</v>
      </c>
      <c r="P2596">
        <v>18.016300000000001</v>
      </c>
      <c r="Q2596">
        <v>7.0926</v>
      </c>
    </row>
    <row r="2597" spans="1:17" x14ac:dyDescent="0.25">
      <c r="A2597" t="str">
        <f>IF(C2597&amp;G2597&amp;D2597&lt;&gt;'Funnel setup'!$K$3&amp;'Funnel setup'!$K$4&amp;'Funnel setup'!$K$6,".",IF(A2596=".",1,A2596+1))</f>
        <v>.</v>
      </c>
      <c r="B2597" s="244" t="str">
        <f t="shared" si="40"/>
        <v>Knee Replacement PrimaryProviderORTHOPAEDICS &amp; SPINE SPECIALIST HOSPITAL SITE (NQM01)Oxford Knee Score</v>
      </c>
      <c r="C2597" t="s">
        <v>969</v>
      </c>
      <c r="D2597" t="s">
        <v>965</v>
      </c>
      <c r="E2597" t="s">
        <v>436</v>
      </c>
      <c r="F2597" t="s">
        <v>437</v>
      </c>
      <c r="G2597" t="s">
        <v>972</v>
      </c>
      <c r="H2597">
        <v>6</v>
      </c>
      <c r="I2597">
        <v>14.166700000000001</v>
      </c>
      <c r="J2597">
        <v>33.5</v>
      </c>
      <c r="K2597">
        <v>19.333300000000001</v>
      </c>
      <c r="L2597">
        <v>6</v>
      </c>
      <c r="M2597">
        <v>0</v>
      </c>
      <c r="N2597">
        <v>0</v>
      </c>
      <c r="O2597" t="s">
        <v>127</v>
      </c>
      <c r="P2597" t="s">
        <v>127</v>
      </c>
      <c r="Q2597" t="s">
        <v>127</v>
      </c>
    </row>
    <row r="2598" spans="1:17" x14ac:dyDescent="0.25">
      <c r="A2598" t="str">
        <f>IF(C2598&amp;G2598&amp;D2598&lt;&gt;'Funnel setup'!$K$3&amp;'Funnel setup'!$K$4&amp;'Funnel setup'!$K$6,".",IF(A2597=".",1,A2597+1))</f>
        <v>.</v>
      </c>
      <c r="B2598" s="244" t="str">
        <f t="shared" si="40"/>
        <v>Knee Replacement PrimaryProviderOXFORD UNIVERSITY HOSPITALS NHS FOUNDATION TRUST (RTH)Oxford Knee Score</v>
      </c>
      <c r="C2598" t="s">
        <v>969</v>
      </c>
      <c r="D2598" t="s">
        <v>965</v>
      </c>
      <c r="E2598" t="s">
        <v>438</v>
      </c>
      <c r="F2598" t="s">
        <v>439</v>
      </c>
      <c r="G2598" t="s">
        <v>972</v>
      </c>
      <c r="H2598">
        <v>240</v>
      </c>
      <c r="I2598">
        <v>20.270800000000001</v>
      </c>
      <c r="J2598">
        <v>37.924999999999997</v>
      </c>
      <c r="K2598">
        <v>17.654199999999999</v>
      </c>
      <c r="L2598">
        <v>228</v>
      </c>
      <c r="M2598">
        <v>1</v>
      </c>
      <c r="N2598">
        <v>11</v>
      </c>
      <c r="O2598">
        <v>37.279899999999998</v>
      </c>
      <c r="P2598">
        <v>17.8916</v>
      </c>
      <c r="Q2598">
        <v>8.2157099999999996</v>
      </c>
    </row>
    <row r="2599" spans="1:17" x14ac:dyDescent="0.25">
      <c r="A2599" t="str">
        <f>IF(C2599&amp;G2599&amp;D2599&lt;&gt;'Funnel setup'!$K$3&amp;'Funnel setup'!$K$4&amp;'Funnel setup'!$K$6,".",IF(A2598=".",1,A2598+1))</f>
        <v>.</v>
      </c>
      <c r="B2599" s="244" t="str">
        <f t="shared" si="40"/>
        <v>Knee Replacement PrimaryProviderPARK HILL HOSPITAL (NVC14)Oxford Knee Score</v>
      </c>
      <c r="C2599" t="s">
        <v>969</v>
      </c>
      <c r="D2599" t="s">
        <v>965</v>
      </c>
      <c r="E2599" t="s">
        <v>440</v>
      </c>
      <c r="F2599" t="s">
        <v>441</v>
      </c>
      <c r="G2599" t="s">
        <v>972</v>
      </c>
      <c r="H2599">
        <v>36</v>
      </c>
      <c r="I2599">
        <v>17.833300000000001</v>
      </c>
      <c r="J2599">
        <v>35.833300000000001</v>
      </c>
      <c r="K2599">
        <v>18</v>
      </c>
      <c r="L2599">
        <v>31</v>
      </c>
      <c r="M2599">
        <v>0</v>
      </c>
      <c r="N2599">
        <v>5</v>
      </c>
      <c r="O2599">
        <v>36.893799999999999</v>
      </c>
      <c r="P2599">
        <v>17.505500000000001</v>
      </c>
      <c r="Q2599">
        <v>9.9636700000000005</v>
      </c>
    </row>
    <row r="2600" spans="1:17" x14ac:dyDescent="0.25">
      <c r="A2600" t="str">
        <f>IF(C2600&amp;G2600&amp;D2600&lt;&gt;'Funnel setup'!$K$3&amp;'Funnel setup'!$K$4&amp;'Funnel setup'!$K$6,".",IF(A2599=".",1,A2599+1))</f>
        <v>.</v>
      </c>
      <c r="B2600" s="244" t="str">
        <f t="shared" si="40"/>
        <v>Knee Replacement PrimaryProviderPARK HOSPITAL (NT427)Oxford Knee Score</v>
      </c>
      <c r="C2600" t="s">
        <v>969</v>
      </c>
      <c r="D2600" t="s">
        <v>965</v>
      </c>
      <c r="E2600" t="s">
        <v>442</v>
      </c>
      <c r="F2600" t="s">
        <v>443</v>
      </c>
      <c r="G2600" t="s">
        <v>972</v>
      </c>
      <c r="H2600">
        <v>56</v>
      </c>
      <c r="I2600">
        <v>20.607099999999999</v>
      </c>
      <c r="J2600">
        <v>37.142899999999997</v>
      </c>
      <c r="K2600">
        <v>16.535699999999999</v>
      </c>
      <c r="L2600">
        <v>52</v>
      </c>
      <c r="M2600">
        <v>0</v>
      </c>
      <c r="N2600">
        <v>4</v>
      </c>
      <c r="O2600">
        <v>35.974800000000002</v>
      </c>
      <c r="P2600">
        <v>16.586500000000001</v>
      </c>
      <c r="Q2600">
        <v>8.9823400000000007</v>
      </c>
    </row>
    <row r="2601" spans="1:17" x14ac:dyDescent="0.25">
      <c r="A2601" t="str">
        <f>IF(C2601&amp;G2601&amp;D2601&lt;&gt;'Funnel setup'!$K$3&amp;'Funnel setup'!$K$4&amp;'Funnel setup'!$K$6,".",IF(A2600=".",1,A2600+1))</f>
        <v>.</v>
      </c>
      <c r="B2601" s="244" t="str">
        <f t="shared" si="40"/>
        <v>Knee Replacement PrimaryProviderPENNINE ACUTE HOSPITALS NHS TRUST (RW6)Oxford Knee Score</v>
      </c>
      <c r="C2601" t="s">
        <v>969</v>
      </c>
      <c r="D2601" t="s">
        <v>965</v>
      </c>
      <c r="E2601" t="s">
        <v>444</v>
      </c>
      <c r="F2601" t="s">
        <v>445</v>
      </c>
      <c r="G2601" t="s">
        <v>972</v>
      </c>
      <c r="H2601">
        <v>4</v>
      </c>
      <c r="I2601">
        <v>14.75</v>
      </c>
      <c r="J2601">
        <v>37</v>
      </c>
      <c r="K2601">
        <v>22.25</v>
      </c>
      <c r="L2601">
        <v>4</v>
      </c>
      <c r="M2601">
        <v>0</v>
      </c>
      <c r="N2601">
        <v>0</v>
      </c>
      <c r="O2601" t="s">
        <v>127</v>
      </c>
      <c r="P2601" t="s">
        <v>127</v>
      </c>
      <c r="Q2601" t="s">
        <v>127</v>
      </c>
    </row>
    <row r="2602" spans="1:17" x14ac:dyDescent="0.25">
      <c r="A2602" t="str">
        <f>IF(C2602&amp;G2602&amp;D2602&lt;&gt;'Funnel setup'!$K$3&amp;'Funnel setup'!$K$4&amp;'Funnel setup'!$K$6,".",IF(A2601=".",1,A2601+1))</f>
        <v>.</v>
      </c>
      <c r="B2602" s="244" t="str">
        <f t="shared" si="40"/>
        <v>Knee Replacement PrimaryProviderPINEHILL HOSPITAL (NVC15)Oxford Knee Score</v>
      </c>
      <c r="C2602" t="s">
        <v>969</v>
      </c>
      <c r="D2602" t="s">
        <v>965</v>
      </c>
      <c r="E2602" t="s">
        <v>448</v>
      </c>
      <c r="F2602" t="s">
        <v>449</v>
      </c>
      <c r="G2602" t="s">
        <v>972</v>
      </c>
      <c r="H2602">
        <v>7</v>
      </c>
      <c r="I2602">
        <v>17.857099999999999</v>
      </c>
      <c r="J2602">
        <v>37.285699999999999</v>
      </c>
      <c r="K2602">
        <v>19.428599999999999</v>
      </c>
      <c r="L2602">
        <v>7</v>
      </c>
      <c r="M2602">
        <v>0</v>
      </c>
      <c r="N2602">
        <v>0</v>
      </c>
      <c r="O2602" t="s">
        <v>127</v>
      </c>
      <c r="P2602" t="s">
        <v>127</v>
      </c>
      <c r="Q2602" t="s">
        <v>127</v>
      </c>
    </row>
    <row r="2603" spans="1:17" x14ac:dyDescent="0.25">
      <c r="A2603" t="str">
        <f>IF(C2603&amp;G2603&amp;D2603&lt;&gt;'Funnel setup'!$K$3&amp;'Funnel setup'!$K$4&amp;'Funnel setup'!$K$6,".",IF(A2602=".",1,A2602+1))</f>
        <v>.</v>
      </c>
      <c r="B2603" s="244" t="str">
        <f t="shared" si="40"/>
        <v>Knee Replacement PrimaryProviderPORTSMOUTH HOSPITALS UNIVERSITY NATIONAL HEALTH SERVICE TRUST (RHU)Oxford Knee Score</v>
      </c>
      <c r="C2603" t="s">
        <v>969</v>
      </c>
      <c r="D2603" t="s">
        <v>965</v>
      </c>
      <c r="E2603" t="s">
        <v>450</v>
      </c>
      <c r="F2603" t="s">
        <v>451</v>
      </c>
      <c r="G2603" t="s">
        <v>972</v>
      </c>
      <c r="H2603">
        <v>15</v>
      </c>
      <c r="I2603">
        <v>14.2667</v>
      </c>
      <c r="J2603">
        <v>35.4</v>
      </c>
      <c r="K2603">
        <v>21.133299999999998</v>
      </c>
      <c r="L2603">
        <v>14</v>
      </c>
      <c r="M2603">
        <v>0</v>
      </c>
      <c r="N2603">
        <v>1</v>
      </c>
      <c r="O2603" t="s">
        <v>127</v>
      </c>
      <c r="P2603" t="s">
        <v>127</v>
      </c>
      <c r="Q2603" t="s">
        <v>127</v>
      </c>
    </row>
    <row r="2604" spans="1:17" x14ac:dyDescent="0.25">
      <c r="A2604" t="str">
        <f>IF(C2604&amp;G2604&amp;D2604&lt;&gt;'Funnel setup'!$K$3&amp;'Funnel setup'!$K$4&amp;'Funnel setup'!$K$6,".",IF(A2603=".",1,A2603+1))</f>
        <v>.</v>
      </c>
      <c r="B2604" s="244" t="str">
        <f t="shared" si="40"/>
        <v>Knee Replacement PrimaryProviderPRACTICE PLUS GROUP HOSPITAL - BARLBOROUGH (NTP13)Oxford Knee Score</v>
      </c>
      <c r="C2604" t="s">
        <v>969</v>
      </c>
      <c r="D2604" t="s">
        <v>965</v>
      </c>
      <c r="E2604" t="s">
        <v>452</v>
      </c>
      <c r="F2604" t="s">
        <v>453</v>
      </c>
      <c r="G2604" t="s">
        <v>972</v>
      </c>
      <c r="H2604">
        <v>252</v>
      </c>
      <c r="I2604">
        <v>19.238099999999999</v>
      </c>
      <c r="J2604">
        <v>37.865099999999998</v>
      </c>
      <c r="K2604">
        <v>18.626999999999999</v>
      </c>
      <c r="L2604">
        <v>243</v>
      </c>
      <c r="M2604">
        <v>2</v>
      </c>
      <c r="N2604">
        <v>7</v>
      </c>
      <c r="O2604">
        <v>37.514000000000003</v>
      </c>
      <c r="P2604">
        <v>18.125699999999998</v>
      </c>
      <c r="Q2604">
        <v>8.3333899999999996</v>
      </c>
    </row>
    <row r="2605" spans="1:17" x14ac:dyDescent="0.25">
      <c r="A2605" t="str">
        <f>IF(C2605&amp;G2605&amp;D2605&lt;&gt;'Funnel setup'!$K$3&amp;'Funnel setup'!$K$4&amp;'Funnel setup'!$K$6,".",IF(A2604=".",1,A2604+1))</f>
        <v>.</v>
      </c>
      <c r="B2605" s="244" t="str">
        <f t="shared" si="40"/>
        <v>Knee Replacement PrimaryProviderPRACTICE PLUS GROUP HOSPITAL - EMERSONS GREEN (NTPH2)Oxford Knee Score</v>
      </c>
      <c r="C2605" t="s">
        <v>969</v>
      </c>
      <c r="D2605" t="s">
        <v>965</v>
      </c>
      <c r="E2605" t="s">
        <v>454</v>
      </c>
      <c r="F2605" t="s">
        <v>455</v>
      </c>
      <c r="G2605" t="s">
        <v>972</v>
      </c>
      <c r="H2605">
        <v>141</v>
      </c>
      <c r="I2605">
        <v>20.3901</v>
      </c>
      <c r="J2605">
        <v>37.773000000000003</v>
      </c>
      <c r="K2605">
        <v>17.382999999999999</v>
      </c>
      <c r="L2605">
        <v>135</v>
      </c>
      <c r="M2605">
        <v>1</v>
      </c>
      <c r="N2605">
        <v>5</v>
      </c>
      <c r="O2605">
        <v>36.7151</v>
      </c>
      <c r="P2605">
        <v>17.326799999999999</v>
      </c>
      <c r="Q2605">
        <v>7.7740900000000002</v>
      </c>
    </row>
    <row r="2606" spans="1:17" x14ac:dyDescent="0.25">
      <c r="A2606" t="str">
        <f>IF(C2606&amp;G2606&amp;D2606&lt;&gt;'Funnel setup'!$K$3&amp;'Funnel setup'!$K$4&amp;'Funnel setup'!$K$6,".",IF(A2605=".",1,A2605+1))</f>
        <v>.</v>
      </c>
      <c r="B2606" s="244" t="str">
        <f t="shared" si="40"/>
        <v>Knee Replacement PrimaryProviderPRACTICE PLUS GROUP HOSPITAL - ILFORD (NTP15)Oxford Knee Score</v>
      </c>
      <c r="C2606" t="s">
        <v>969</v>
      </c>
      <c r="D2606" t="s">
        <v>965</v>
      </c>
      <c r="E2606" t="s">
        <v>456</v>
      </c>
      <c r="F2606" t="s">
        <v>457</v>
      </c>
      <c r="G2606" t="s">
        <v>972</v>
      </c>
      <c r="H2606">
        <v>85</v>
      </c>
      <c r="I2606">
        <v>17.2941</v>
      </c>
      <c r="J2606">
        <v>33.058799999999998</v>
      </c>
      <c r="K2606">
        <v>15.764699999999999</v>
      </c>
      <c r="L2606">
        <v>78</v>
      </c>
      <c r="M2606">
        <v>1</v>
      </c>
      <c r="N2606">
        <v>6</v>
      </c>
      <c r="O2606">
        <v>34.390900000000002</v>
      </c>
      <c r="P2606">
        <v>15.0025</v>
      </c>
      <c r="Q2606">
        <v>9.7392599999999998</v>
      </c>
    </row>
    <row r="2607" spans="1:17" x14ac:dyDescent="0.25">
      <c r="A2607" t="str">
        <f>IF(C2607&amp;G2607&amp;D2607&lt;&gt;'Funnel setup'!$K$3&amp;'Funnel setup'!$K$4&amp;'Funnel setup'!$K$6,".",IF(A2606=".",1,A2606+1))</f>
        <v>.</v>
      </c>
      <c r="B2607" s="244" t="str">
        <f t="shared" si="40"/>
        <v>Knee Replacement PrimaryProviderPRACTICE PLUS GROUP HOSPITAL - PLYMOUTH (NTPH5)Oxford Knee Score</v>
      </c>
      <c r="C2607" t="s">
        <v>969</v>
      </c>
      <c r="D2607" t="s">
        <v>965</v>
      </c>
      <c r="E2607" t="s">
        <v>458</v>
      </c>
      <c r="F2607" t="s">
        <v>459</v>
      </c>
      <c r="G2607" t="s">
        <v>972</v>
      </c>
      <c r="H2607">
        <v>200</v>
      </c>
      <c r="I2607">
        <v>20.22</v>
      </c>
      <c r="J2607">
        <v>38.31</v>
      </c>
      <c r="K2607">
        <v>18.09</v>
      </c>
      <c r="L2607">
        <v>195</v>
      </c>
      <c r="M2607">
        <v>1</v>
      </c>
      <c r="N2607">
        <v>4</v>
      </c>
      <c r="O2607">
        <v>37.677599999999998</v>
      </c>
      <c r="P2607">
        <v>18.289300000000001</v>
      </c>
      <c r="Q2607">
        <v>7.3285600000000004</v>
      </c>
    </row>
    <row r="2608" spans="1:17" x14ac:dyDescent="0.25">
      <c r="A2608" t="str">
        <f>IF(C2608&amp;G2608&amp;D2608&lt;&gt;'Funnel setup'!$K$3&amp;'Funnel setup'!$K$4&amp;'Funnel setup'!$K$6,".",IF(A2607=".",1,A2607+1))</f>
        <v>.</v>
      </c>
      <c r="B2608" s="244" t="str">
        <f t="shared" si="40"/>
        <v>Knee Replacement PrimaryProviderPRACTICE PLUS GROUP HOSPITAL - SHEPTON MALLET (NTPH1)Oxford Knee Score</v>
      </c>
      <c r="C2608" t="s">
        <v>969</v>
      </c>
      <c r="D2608" t="s">
        <v>965</v>
      </c>
      <c r="E2608" t="s">
        <v>460</v>
      </c>
      <c r="F2608" t="s">
        <v>461</v>
      </c>
      <c r="G2608" t="s">
        <v>972</v>
      </c>
      <c r="H2608">
        <v>229</v>
      </c>
      <c r="I2608">
        <v>19.690000000000001</v>
      </c>
      <c r="J2608">
        <v>38.807899999999997</v>
      </c>
      <c r="K2608">
        <v>19.117899999999999</v>
      </c>
      <c r="L2608">
        <v>223</v>
      </c>
      <c r="M2608">
        <v>1</v>
      </c>
      <c r="N2608">
        <v>5</v>
      </c>
      <c r="O2608">
        <v>38.197200000000002</v>
      </c>
      <c r="P2608">
        <v>18.808800000000002</v>
      </c>
      <c r="Q2608">
        <v>7.4576799999999999</v>
      </c>
    </row>
    <row r="2609" spans="1:17" x14ac:dyDescent="0.25">
      <c r="A2609" t="str">
        <f>IF(C2609&amp;G2609&amp;D2609&lt;&gt;'Funnel setup'!$K$3&amp;'Funnel setup'!$K$4&amp;'Funnel setup'!$K$6,".",IF(A2608=".",1,A2608+1))</f>
        <v>.</v>
      </c>
      <c r="B2609" s="244" t="str">
        <f t="shared" si="40"/>
        <v>Knee Replacement PrimaryProviderPRACTICE PLUS GROUP HOSPITAL - SOUTHAMPTON (NTP11)Oxford Knee Score</v>
      </c>
      <c r="C2609" t="s">
        <v>969</v>
      </c>
      <c r="D2609" t="s">
        <v>965</v>
      </c>
      <c r="E2609" t="s">
        <v>462</v>
      </c>
      <c r="F2609" t="s">
        <v>463</v>
      </c>
      <c r="G2609" t="s">
        <v>972</v>
      </c>
      <c r="H2609">
        <v>72</v>
      </c>
      <c r="I2609">
        <v>19.194400000000002</v>
      </c>
      <c r="J2609">
        <v>36.805599999999998</v>
      </c>
      <c r="K2609">
        <v>17.6111</v>
      </c>
      <c r="L2609">
        <v>68</v>
      </c>
      <c r="M2609">
        <v>0</v>
      </c>
      <c r="N2609">
        <v>4</v>
      </c>
      <c r="O2609">
        <v>36.818800000000003</v>
      </c>
      <c r="P2609">
        <v>17.430499999999999</v>
      </c>
      <c r="Q2609">
        <v>8.4702900000000003</v>
      </c>
    </row>
    <row r="2610" spans="1:17" x14ac:dyDescent="0.25">
      <c r="A2610" t="str">
        <f>IF(C2610&amp;G2610&amp;D2610&lt;&gt;'Funnel setup'!$K$3&amp;'Funnel setup'!$K$4&amp;'Funnel setup'!$K$6,".",IF(A2609=".",1,A2609+1))</f>
        <v>.</v>
      </c>
      <c r="B2610" s="244" t="str">
        <f t="shared" si="40"/>
        <v>Knee Replacement PrimaryProviderPRINCESS MARGARET HOSPITAL (NT428)Oxford Knee Score</v>
      </c>
      <c r="C2610" t="s">
        <v>969</v>
      </c>
      <c r="D2610" t="s">
        <v>965</v>
      </c>
      <c r="E2610" t="s">
        <v>464</v>
      </c>
      <c r="F2610" t="s">
        <v>465</v>
      </c>
      <c r="G2610" t="s">
        <v>972</v>
      </c>
      <c r="H2610" t="s">
        <v>127</v>
      </c>
      <c r="I2610" t="s">
        <v>127</v>
      </c>
      <c r="J2610" t="s">
        <v>127</v>
      </c>
      <c r="K2610" t="s">
        <v>127</v>
      </c>
      <c r="L2610" t="s">
        <v>127</v>
      </c>
      <c r="M2610" t="s">
        <v>127</v>
      </c>
      <c r="N2610" t="s">
        <v>127</v>
      </c>
      <c r="O2610" t="s">
        <v>127</v>
      </c>
      <c r="P2610" t="s">
        <v>127</v>
      </c>
      <c r="Q2610" t="s">
        <v>127</v>
      </c>
    </row>
    <row r="2611" spans="1:17" x14ac:dyDescent="0.25">
      <c r="A2611" t="str">
        <f>IF(C2611&amp;G2611&amp;D2611&lt;&gt;'Funnel setup'!$K$3&amp;'Funnel setup'!$K$4&amp;'Funnel setup'!$K$6,".",IF(A2610=".",1,A2610+1))</f>
        <v>.</v>
      </c>
      <c r="B2611" s="244" t="str">
        <f t="shared" si="40"/>
        <v>Knee Replacement PrimaryProviderPRIORY HOSPITAL (NT429)Oxford Knee Score</v>
      </c>
      <c r="C2611" t="s">
        <v>969</v>
      </c>
      <c r="D2611" t="s">
        <v>965</v>
      </c>
      <c r="E2611" t="s">
        <v>466</v>
      </c>
      <c r="F2611" t="s">
        <v>467</v>
      </c>
      <c r="G2611" t="s">
        <v>972</v>
      </c>
      <c r="H2611">
        <v>28</v>
      </c>
      <c r="I2611">
        <v>20.678599999999999</v>
      </c>
      <c r="J2611">
        <v>38.428600000000003</v>
      </c>
      <c r="K2611">
        <v>17.75</v>
      </c>
      <c r="L2611">
        <v>28</v>
      </c>
      <c r="M2611">
        <v>0</v>
      </c>
      <c r="N2611">
        <v>0</v>
      </c>
      <c r="O2611" t="s">
        <v>127</v>
      </c>
      <c r="P2611" t="s">
        <v>127</v>
      </c>
      <c r="Q2611" t="s">
        <v>127</v>
      </c>
    </row>
    <row r="2612" spans="1:17" x14ac:dyDescent="0.25">
      <c r="A2612" t="str">
        <f>IF(C2612&amp;G2612&amp;D2612&lt;&gt;'Funnel setup'!$K$3&amp;'Funnel setup'!$K$4&amp;'Funnel setup'!$K$6,".",IF(A2611=".",1,A2611+1))</f>
        <v>.</v>
      </c>
      <c r="B2612" s="244" t="str">
        <f t="shared" si="40"/>
        <v>Knee Replacement PrimaryProviderRENACRES HOSPITAL (NVC16)Oxford Knee Score</v>
      </c>
      <c r="C2612" t="s">
        <v>969</v>
      </c>
      <c r="D2612" t="s">
        <v>965</v>
      </c>
      <c r="E2612" t="s">
        <v>470</v>
      </c>
      <c r="F2612" t="s">
        <v>471</v>
      </c>
      <c r="G2612" t="s">
        <v>972</v>
      </c>
      <c r="H2612">
        <v>65</v>
      </c>
      <c r="I2612">
        <v>18.923100000000002</v>
      </c>
      <c r="J2612">
        <v>37.230800000000002</v>
      </c>
      <c r="K2612">
        <v>18.307700000000001</v>
      </c>
      <c r="L2612">
        <v>61</v>
      </c>
      <c r="M2612">
        <v>0</v>
      </c>
      <c r="N2612">
        <v>4</v>
      </c>
      <c r="O2612">
        <v>37.028100000000002</v>
      </c>
      <c r="P2612">
        <v>17.639800000000001</v>
      </c>
      <c r="Q2612">
        <v>8.6170100000000005</v>
      </c>
    </row>
    <row r="2613" spans="1:17" x14ac:dyDescent="0.25">
      <c r="A2613" t="str">
        <f>IF(C2613&amp;G2613&amp;D2613&lt;&gt;'Funnel setup'!$K$3&amp;'Funnel setup'!$K$4&amp;'Funnel setup'!$K$6,".",IF(A2612=".",1,A2612+1))</f>
        <v>.</v>
      </c>
      <c r="B2613" s="244" t="str">
        <f t="shared" si="40"/>
        <v>Knee Replacement PrimaryProviderRIDGEWAY HOSPITAL (NT430)Oxford Knee Score</v>
      </c>
      <c r="C2613" t="s">
        <v>969</v>
      </c>
      <c r="D2613" t="s">
        <v>965</v>
      </c>
      <c r="E2613" t="s">
        <v>472</v>
      </c>
      <c r="F2613" t="s">
        <v>473</v>
      </c>
      <c r="G2613" t="s">
        <v>972</v>
      </c>
      <c r="H2613">
        <v>1</v>
      </c>
      <c r="I2613">
        <v>19</v>
      </c>
      <c r="J2613">
        <v>43</v>
      </c>
      <c r="K2613">
        <v>24</v>
      </c>
      <c r="L2613">
        <v>1</v>
      </c>
      <c r="M2613">
        <v>0</v>
      </c>
      <c r="N2613">
        <v>0</v>
      </c>
      <c r="O2613" t="s">
        <v>127</v>
      </c>
      <c r="P2613" t="s">
        <v>127</v>
      </c>
      <c r="Q2613" t="s">
        <v>127</v>
      </c>
    </row>
    <row r="2614" spans="1:17" x14ac:dyDescent="0.25">
      <c r="A2614" t="str">
        <f>IF(C2614&amp;G2614&amp;D2614&lt;&gt;'Funnel setup'!$K$3&amp;'Funnel setup'!$K$4&amp;'Funnel setup'!$K$6,".",IF(A2613=".",1,A2613+1))</f>
        <v>.</v>
      </c>
      <c r="B2614" s="244" t="str">
        <f t="shared" si="40"/>
        <v>Knee Replacement PrimaryProviderRIVERS HOSPITAL (NVC19)Oxford Knee Score</v>
      </c>
      <c r="C2614" t="s">
        <v>969</v>
      </c>
      <c r="D2614" t="s">
        <v>965</v>
      </c>
      <c r="E2614" t="s">
        <v>474</v>
      </c>
      <c r="F2614" t="s">
        <v>475</v>
      </c>
      <c r="G2614" t="s">
        <v>972</v>
      </c>
      <c r="H2614">
        <v>38</v>
      </c>
      <c r="I2614">
        <v>21.447399999999998</v>
      </c>
      <c r="J2614">
        <v>39.578899999999997</v>
      </c>
      <c r="K2614">
        <v>18.131599999999999</v>
      </c>
      <c r="L2614">
        <v>36</v>
      </c>
      <c r="M2614">
        <v>0</v>
      </c>
      <c r="N2614">
        <v>2</v>
      </c>
      <c r="O2614">
        <v>37.923400000000001</v>
      </c>
      <c r="P2614">
        <v>18.5351</v>
      </c>
      <c r="Q2614">
        <v>9.0412400000000002</v>
      </c>
    </row>
    <row r="2615" spans="1:17" x14ac:dyDescent="0.25">
      <c r="A2615" t="str">
        <f>IF(C2615&amp;G2615&amp;D2615&lt;&gt;'Funnel setup'!$K$3&amp;'Funnel setup'!$K$4&amp;'Funnel setup'!$K$6,".",IF(A2614=".",1,A2614+1))</f>
        <v>.</v>
      </c>
      <c r="B2615" s="244" t="str">
        <f t="shared" si="40"/>
        <v>Knee Replacement PrimaryProviderROWLEY HALL HOSPITAL (NVC17)Oxford Knee Score</v>
      </c>
      <c r="C2615" t="s">
        <v>969</v>
      </c>
      <c r="D2615" t="s">
        <v>965</v>
      </c>
      <c r="E2615" t="s">
        <v>476</v>
      </c>
      <c r="F2615" t="s">
        <v>477</v>
      </c>
      <c r="G2615" t="s">
        <v>972</v>
      </c>
      <c r="H2615">
        <v>43</v>
      </c>
      <c r="I2615">
        <v>18.5581</v>
      </c>
      <c r="J2615">
        <v>37.186</v>
      </c>
      <c r="K2615">
        <v>18.6279</v>
      </c>
      <c r="L2615">
        <v>42</v>
      </c>
      <c r="M2615">
        <v>0</v>
      </c>
      <c r="N2615">
        <v>1</v>
      </c>
      <c r="O2615">
        <v>37.114600000000003</v>
      </c>
      <c r="P2615">
        <v>17.726299999999998</v>
      </c>
      <c r="Q2615">
        <v>8.20974</v>
      </c>
    </row>
    <row r="2616" spans="1:17" x14ac:dyDescent="0.25">
      <c r="A2616" t="str">
        <f>IF(C2616&amp;G2616&amp;D2616&lt;&gt;'Funnel setup'!$K$3&amp;'Funnel setup'!$K$4&amp;'Funnel setup'!$K$6,".",IF(A2615=".",1,A2615+1))</f>
        <v>.</v>
      </c>
      <c r="B2616" s="244" t="str">
        <f t="shared" si="40"/>
        <v>Knee Replacement PrimaryProviderROYAL BERKSHIRE NHS FOUNDATION TRUST (RHW)Oxford Knee Score</v>
      </c>
      <c r="C2616" t="s">
        <v>969</v>
      </c>
      <c r="D2616" t="s">
        <v>965</v>
      </c>
      <c r="E2616" t="s">
        <v>478</v>
      </c>
      <c r="F2616" t="s">
        <v>479</v>
      </c>
      <c r="G2616" t="s">
        <v>972</v>
      </c>
      <c r="H2616">
        <v>7</v>
      </c>
      <c r="I2616">
        <v>17.142900000000001</v>
      </c>
      <c r="J2616">
        <v>34.857100000000003</v>
      </c>
      <c r="K2616">
        <v>17.714300000000001</v>
      </c>
      <c r="L2616">
        <v>7</v>
      </c>
      <c r="M2616">
        <v>0</v>
      </c>
      <c r="N2616">
        <v>0</v>
      </c>
      <c r="O2616" t="s">
        <v>127</v>
      </c>
      <c r="P2616" t="s">
        <v>127</v>
      </c>
      <c r="Q2616" t="s">
        <v>127</v>
      </c>
    </row>
    <row r="2617" spans="1:17" x14ac:dyDescent="0.25">
      <c r="A2617" t="str">
        <f>IF(C2617&amp;G2617&amp;D2617&lt;&gt;'Funnel setup'!$K$3&amp;'Funnel setup'!$K$4&amp;'Funnel setup'!$K$6,".",IF(A2616=".",1,A2616+1))</f>
        <v>.</v>
      </c>
      <c r="B2617" s="244" t="str">
        <f t="shared" si="40"/>
        <v>Knee Replacement PrimaryProviderROYAL CORNWALL HOSPITALS NHS TRUST (REF)Oxford Knee Score</v>
      </c>
      <c r="C2617" t="s">
        <v>969</v>
      </c>
      <c r="D2617" t="s">
        <v>965</v>
      </c>
      <c r="E2617" t="s">
        <v>480</v>
      </c>
      <c r="F2617" t="s">
        <v>481</v>
      </c>
      <c r="G2617" t="s">
        <v>972</v>
      </c>
      <c r="H2617">
        <v>37</v>
      </c>
      <c r="I2617">
        <v>21.7027</v>
      </c>
      <c r="J2617">
        <v>38.945900000000002</v>
      </c>
      <c r="K2617">
        <v>17.243200000000002</v>
      </c>
      <c r="L2617">
        <v>37</v>
      </c>
      <c r="M2617">
        <v>0</v>
      </c>
      <c r="N2617">
        <v>0</v>
      </c>
      <c r="O2617">
        <v>38.511099999999999</v>
      </c>
      <c r="P2617">
        <v>19.122800000000002</v>
      </c>
      <c r="Q2617">
        <v>6.73461</v>
      </c>
    </row>
    <row r="2618" spans="1:17" x14ac:dyDescent="0.25">
      <c r="A2618" t="str">
        <f>IF(C2618&amp;G2618&amp;D2618&lt;&gt;'Funnel setup'!$K$3&amp;'Funnel setup'!$K$4&amp;'Funnel setup'!$K$6,".",IF(A2617=".",1,A2617+1))</f>
        <v>.</v>
      </c>
      <c r="B2618" s="244" t="str">
        <f t="shared" si="40"/>
        <v>Knee Replacement PrimaryProviderROYAL DEVON UNIVERSITY HEALTHCARE NHS FOUNDATION TRUST (RH8)Oxford Knee Score</v>
      </c>
      <c r="C2618" t="s">
        <v>969</v>
      </c>
      <c r="D2618" t="s">
        <v>965</v>
      </c>
      <c r="E2618" t="s">
        <v>482</v>
      </c>
      <c r="F2618" t="s">
        <v>483</v>
      </c>
      <c r="G2618" t="s">
        <v>972</v>
      </c>
      <c r="H2618">
        <v>27</v>
      </c>
      <c r="I2618">
        <v>18.333300000000001</v>
      </c>
      <c r="J2618">
        <v>35.1111</v>
      </c>
      <c r="K2618">
        <v>16.777799999999999</v>
      </c>
      <c r="L2618">
        <v>26</v>
      </c>
      <c r="M2618">
        <v>0</v>
      </c>
      <c r="N2618">
        <v>1</v>
      </c>
      <c r="O2618" t="s">
        <v>127</v>
      </c>
      <c r="P2618" t="s">
        <v>127</v>
      </c>
      <c r="Q2618" t="s">
        <v>127</v>
      </c>
    </row>
    <row r="2619" spans="1:17" x14ac:dyDescent="0.25">
      <c r="A2619" t="str">
        <f>IF(C2619&amp;G2619&amp;D2619&lt;&gt;'Funnel setup'!$K$3&amp;'Funnel setup'!$K$4&amp;'Funnel setup'!$K$6,".",IF(A2618=".",1,A2618+1))</f>
        <v>.</v>
      </c>
      <c r="B2619" s="244" t="str">
        <f t="shared" si="40"/>
        <v>Knee Replacement PrimaryProviderROYAL NATIONAL ORTHOPAEDIC HOSPITAL NHS TRUST (RAN)Oxford Knee Score</v>
      </c>
      <c r="C2619" t="s">
        <v>969</v>
      </c>
      <c r="D2619" t="s">
        <v>965</v>
      </c>
      <c r="E2619" t="s">
        <v>486</v>
      </c>
      <c r="F2619" t="s">
        <v>487</v>
      </c>
      <c r="G2619" t="s">
        <v>972</v>
      </c>
      <c r="H2619">
        <v>82</v>
      </c>
      <c r="I2619">
        <v>18.9024</v>
      </c>
      <c r="J2619">
        <v>32.561</v>
      </c>
      <c r="K2619">
        <v>13.6585</v>
      </c>
      <c r="L2619">
        <v>74</v>
      </c>
      <c r="M2619">
        <v>1</v>
      </c>
      <c r="N2619">
        <v>7</v>
      </c>
      <c r="O2619">
        <v>34.752699999999997</v>
      </c>
      <c r="P2619">
        <v>15.3643</v>
      </c>
      <c r="Q2619">
        <v>8.30945</v>
      </c>
    </row>
    <row r="2620" spans="1:17" x14ac:dyDescent="0.25">
      <c r="A2620" t="str">
        <f>IF(C2620&amp;G2620&amp;D2620&lt;&gt;'Funnel setup'!$K$3&amp;'Funnel setup'!$K$4&amp;'Funnel setup'!$K$6,".",IF(A2619=".",1,A2619+1))</f>
        <v>.</v>
      </c>
      <c r="B2620" s="244" t="str">
        <f t="shared" si="40"/>
        <v>Knee Replacement PrimaryProviderROYAL SURREY COUNTY HOSPITAL NHS FOUNDATION TRUST (RA2)Oxford Knee Score</v>
      </c>
      <c r="C2620" t="s">
        <v>969</v>
      </c>
      <c r="D2620" t="s">
        <v>965</v>
      </c>
      <c r="E2620" t="s">
        <v>488</v>
      </c>
      <c r="F2620" t="s">
        <v>489</v>
      </c>
      <c r="G2620" t="s">
        <v>972</v>
      </c>
      <c r="H2620">
        <v>52</v>
      </c>
      <c r="I2620">
        <v>19.3462</v>
      </c>
      <c r="J2620">
        <v>37.653799999999997</v>
      </c>
      <c r="K2620">
        <v>18.307700000000001</v>
      </c>
      <c r="L2620">
        <v>50</v>
      </c>
      <c r="M2620">
        <v>1</v>
      </c>
      <c r="N2620">
        <v>1</v>
      </c>
      <c r="O2620">
        <v>37.494700000000002</v>
      </c>
      <c r="P2620">
        <v>18.106400000000001</v>
      </c>
      <c r="Q2620">
        <v>7.7917100000000001</v>
      </c>
    </row>
    <row r="2621" spans="1:17" x14ac:dyDescent="0.25">
      <c r="A2621" t="str">
        <f>IF(C2621&amp;G2621&amp;D2621&lt;&gt;'Funnel setup'!$K$3&amp;'Funnel setup'!$K$4&amp;'Funnel setup'!$K$6,".",IF(A2620=".",1,A2620+1))</f>
        <v>.</v>
      </c>
      <c r="B2621" s="244" t="str">
        <f t="shared" si="40"/>
        <v>Knee Replacement PrimaryProviderROYAL UNITED HOSPITALS BATH NHS FOUNDATION TRUST (RD1)Oxford Knee Score</v>
      </c>
      <c r="C2621" t="s">
        <v>969</v>
      </c>
      <c r="D2621" t="s">
        <v>965</v>
      </c>
      <c r="E2621" t="s">
        <v>490</v>
      </c>
      <c r="F2621" t="s">
        <v>491</v>
      </c>
      <c r="G2621" t="s">
        <v>972</v>
      </c>
      <c r="H2621">
        <v>12</v>
      </c>
      <c r="I2621">
        <v>18.416699999999999</v>
      </c>
      <c r="J2621">
        <v>37.75</v>
      </c>
      <c r="K2621">
        <v>19.333300000000001</v>
      </c>
      <c r="L2621">
        <v>12</v>
      </c>
      <c r="M2621">
        <v>0</v>
      </c>
      <c r="N2621">
        <v>0</v>
      </c>
      <c r="O2621" t="s">
        <v>127</v>
      </c>
      <c r="P2621" t="s">
        <v>127</v>
      </c>
      <c r="Q2621" t="s">
        <v>127</v>
      </c>
    </row>
    <row r="2622" spans="1:17" x14ac:dyDescent="0.25">
      <c r="A2622" t="str">
        <f>IF(C2622&amp;G2622&amp;D2622&lt;&gt;'Funnel setup'!$K$3&amp;'Funnel setup'!$K$4&amp;'Funnel setup'!$K$6,".",IF(A2621=".",1,A2621+1))</f>
        <v>.</v>
      </c>
      <c r="B2622" s="244" t="str">
        <f t="shared" si="40"/>
        <v>Knee Replacement PrimaryProviderRUNNYMEDE HOSPITAL (NT431)Oxford Knee Score</v>
      </c>
      <c r="C2622" t="s">
        <v>969</v>
      </c>
      <c r="D2622" t="s">
        <v>965</v>
      </c>
      <c r="E2622" t="s">
        <v>492</v>
      </c>
      <c r="F2622" t="s">
        <v>493</v>
      </c>
      <c r="G2622" t="s">
        <v>972</v>
      </c>
      <c r="H2622">
        <v>6</v>
      </c>
      <c r="I2622">
        <v>20</v>
      </c>
      <c r="J2622">
        <v>39.333300000000001</v>
      </c>
      <c r="K2622">
        <v>19.333300000000001</v>
      </c>
      <c r="L2622">
        <v>6</v>
      </c>
      <c r="M2622">
        <v>0</v>
      </c>
      <c r="N2622">
        <v>0</v>
      </c>
      <c r="O2622" t="s">
        <v>127</v>
      </c>
      <c r="P2622" t="s">
        <v>127</v>
      </c>
      <c r="Q2622" t="s">
        <v>127</v>
      </c>
    </row>
    <row r="2623" spans="1:17" x14ac:dyDescent="0.25">
      <c r="A2623" t="str">
        <f>IF(C2623&amp;G2623&amp;D2623&lt;&gt;'Funnel setup'!$K$3&amp;'Funnel setup'!$K$4&amp;'Funnel setup'!$K$6,".",IF(A2622=".",1,A2622+1))</f>
        <v>.</v>
      </c>
      <c r="B2623" s="244" t="str">
        <f t="shared" si="40"/>
        <v>Knee Replacement PrimaryProviderSALISBURY NHS FOUNDATION TRUST (RNZ)Oxford Knee Score</v>
      </c>
      <c r="C2623" t="s">
        <v>969</v>
      </c>
      <c r="D2623" t="s">
        <v>965</v>
      </c>
      <c r="E2623" t="s">
        <v>494</v>
      </c>
      <c r="F2623" t="s">
        <v>495</v>
      </c>
      <c r="G2623" t="s">
        <v>972</v>
      </c>
      <c r="H2623">
        <v>1</v>
      </c>
      <c r="I2623">
        <v>11</v>
      </c>
      <c r="J2623">
        <v>45</v>
      </c>
      <c r="K2623">
        <v>34</v>
      </c>
      <c r="L2623">
        <v>1</v>
      </c>
      <c r="M2623">
        <v>0</v>
      </c>
      <c r="N2623">
        <v>0</v>
      </c>
      <c r="O2623" t="s">
        <v>127</v>
      </c>
      <c r="P2623" t="s">
        <v>127</v>
      </c>
      <c r="Q2623" t="s">
        <v>127</v>
      </c>
    </row>
    <row r="2624" spans="1:17" x14ac:dyDescent="0.25">
      <c r="A2624" t="str">
        <f>IF(C2624&amp;G2624&amp;D2624&lt;&gt;'Funnel setup'!$K$3&amp;'Funnel setup'!$K$4&amp;'Funnel setup'!$K$6,".",IF(A2623=".",1,A2623+1))</f>
        <v>.</v>
      </c>
      <c r="B2624" s="244" t="str">
        <f t="shared" si="40"/>
        <v>Knee Replacement PrimaryProviderSANDWELL AND WEST BIRMINGHAM HOSPITALS NHS TRUST (RXK)Oxford Knee Score</v>
      </c>
      <c r="C2624" t="s">
        <v>969</v>
      </c>
      <c r="D2624" t="s">
        <v>965</v>
      </c>
      <c r="E2624" t="s">
        <v>496</v>
      </c>
      <c r="F2624" t="s">
        <v>497</v>
      </c>
      <c r="G2624" t="s">
        <v>972</v>
      </c>
      <c r="H2624">
        <v>70</v>
      </c>
      <c r="I2624">
        <v>16.7286</v>
      </c>
      <c r="J2624">
        <v>32.142899999999997</v>
      </c>
      <c r="K2624">
        <v>15.414300000000001</v>
      </c>
      <c r="L2624">
        <v>61</v>
      </c>
      <c r="M2624">
        <v>0</v>
      </c>
      <c r="N2624">
        <v>9</v>
      </c>
      <c r="O2624">
        <v>35.040300000000002</v>
      </c>
      <c r="P2624">
        <v>15.651999999999999</v>
      </c>
      <c r="Q2624">
        <v>10.023</v>
      </c>
    </row>
    <row r="2625" spans="1:17" x14ac:dyDescent="0.25">
      <c r="A2625" t="str">
        <f>IF(C2625&amp;G2625&amp;D2625&lt;&gt;'Funnel setup'!$K$3&amp;'Funnel setup'!$K$4&amp;'Funnel setup'!$K$6,".",IF(A2624=".",1,A2624+1))</f>
        <v>.</v>
      </c>
      <c r="B2625" s="244" t="str">
        <f t="shared" si="40"/>
        <v>Knee Replacement PrimaryProviderSARUM ROAD HOSPITAL (NT433)Oxford Knee Score</v>
      </c>
      <c r="C2625" t="s">
        <v>969</v>
      </c>
      <c r="D2625" t="s">
        <v>965</v>
      </c>
      <c r="E2625" t="s">
        <v>498</v>
      </c>
      <c r="F2625" t="s">
        <v>499</v>
      </c>
      <c r="G2625" t="s">
        <v>972</v>
      </c>
      <c r="H2625">
        <v>28</v>
      </c>
      <c r="I2625">
        <v>21.857099999999999</v>
      </c>
      <c r="J2625">
        <v>41.214300000000001</v>
      </c>
      <c r="K2625">
        <v>19.357099999999999</v>
      </c>
      <c r="L2625">
        <v>28</v>
      </c>
      <c r="M2625">
        <v>0</v>
      </c>
      <c r="N2625">
        <v>0</v>
      </c>
      <c r="O2625" t="s">
        <v>127</v>
      </c>
      <c r="P2625" t="s">
        <v>127</v>
      </c>
      <c r="Q2625" t="s">
        <v>127</v>
      </c>
    </row>
    <row r="2626" spans="1:17" x14ac:dyDescent="0.25">
      <c r="A2626" t="str">
        <f>IF(C2626&amp;G2626&amp;D2626&lt;&gt;'Funnel setup'!$K$3&amp;'Funnel setup'!$K$4&amp;'Funnel setup'!$K$6,".",IF(A2625=".",1,A2625+1))</f>
        <v>.</v>
      </c>
      <c r="B2626" s="244" t="str">
        <f t="shared" ref="B2626:B2689" si="41">C2626&amp;D2626&amp;F2626&amp;G2626</f>
        <v>Knee Replacement PrimaryProviderSAXON CLINIC (NT434)Oxford Knee Score</v>
      </c>
      <c r="C2626" t="s">
        <v>969</v>
      </c>
      <c r="D2626" t="s">
        <v>965</v>
      </c>
      <c r="E2626" t="s">
        <v>500</v>
      </c>
      <c r="F2626" t="s">
        <v>501</v>
      </c>
      <c r="G2626" t="s">
        <v>972</v>
      </c>
      <c r="H2626">
        <v>13</v>
      </c>
      <c r="I2626">
        <v>16.384599999999999</v>
      </c>
      <c r="J2626">
        <v>35</v>
      </c>
      <c r="K2626">
        <v>18.615400000000001</v>
      </c>
      <c r="L2626">
        <v>12</v>
      </c>
      <c r="M2626">
        <v>0</v>
      </c>
      <c r="N2626">
        <v>1</v>
      </c>
      <c r="O2626" t="s">
        <v>127</v>
      </c>
      <c r="P2626" t="s">
        <v>127</v>
      </c>
      <c r="Q2626" t="s">
        <v>127</v>
      </c>
    </row>
    <row r="2627" spans="1:17" x14ac:dyDescent="0.25">
      <c r="A2627" t="str">
        <f>IF(C2627&amp;G2627&amp;D2627&lt;&gt;'Funnel setup'!$K$3&amp;'Funnel setup'!$K$4&amp;'Funnel setup'!$K$6,".",IF(A2626=".",1,A2626+1))</f>
        <v>.</v>
      </c>
      <c r="B2627" s="244" t="str">
        <f t="shared" si="41"/>
        <v>Knee Replacement PrimaryProviderSHEFFIELD TEACHING HOSPITALS NHS FOUNDATION TRUST (RHQ)Oxford Knee Score</v>
      </c>
      <c r="C2627" t="s">
        <v>969</v>
      </c>
      <c r="D2627" t="s">
        <v>965</v>
      </c>
      <c r="E2627" t="s">
        <v>506</v>
      </c>
      <c r="F2627" t="s">
        <v>507</v>
      </c>
      <c r="G2627" t="s">
        <v>972</v>
      </c>
      <c r="H2627">
        <v>35</v>
      </c>
      <c r="I2627">
        <v>19.514299999999999</v>
      </c>
      <c r="J2627">
        <v>37.628599999999999</v>
      </c>
      <c r="K2627">
        <v>18.1143</v>
      </c>
      <c r="L2627">
        <v>33</v>
      </c>
      <c r="M2627">
        <v>0</v>
      </c>
      <c r="N2627">
        <v>2</v>
      </c>
      <c r="O2627">
        <v>37.149799999999999</v>
      </c>
      <c r="P2627">
        <v>17.761500000000002</v>
      </c>
      <c r="Q2627">
        <v>7.99993</v>
      </c>
    </row>
    <row r="2628" spans="1:17" x14ac:dyDescent="0.25">
      <c r="A2628" t="str">
        <f>IF(C2628&amp;G2628&amp;D2628&lt;&gt;'Funnel setup'!$K$3&amp;'Funnel setup'!$K$4&amp;'Funnel setup'!$K$6,".",IF(A2627=".",1,A2627+1))</f>
        <v>.</v>
      </c>
      <c r="B2628" s="244" t="str">
        <f t="shared" si="41"/>
        <v>Knee Replacement PrimaryProviderSHERWOOD FOREST HOSPITALS NHS FOUNDATION TRUST (RK5)Oxford Knee Score</v>
      </c>
      <c r="C2628" t="s">
        <v>969</v>
      </c>
      <c r="D2628" t="s">
        <v>965</v>
      </c>
      <c r="E2628" t="s">
        <v>508</v>
      </c>
      <c r="F2628" t="s">
        <v>509</v>
      </c>
      <c r="G2628" t="s">
        <v>972</v>
      </c>
      <c r="H2628">
        <v>68</v>
      </c>
      <c r="I2628">
        <v>17.485299999999999</v>
      </c>
      <c r="J2628">
        <v>35.352899999999998</v>
      </c>
      <c r="K2628">
        <v>17.867599999999999</v>
      </c>
      <c r="L2628">
        <v>65</v>
      </c>
      <c r="M2628">
        <v>0</v>
      </c>
      <c r="N2628">
        <v>3</v>
      </c>
      <c r="O2628">
        <v>36.481999999999999</v>
      </c>
      <c r="P2628">
        <v>17.093699999999998</v>
      </c>
      <c r="Q2628">
        <v>8.8072199999999992</v>
      </c>
    </row>
    <row r="2629" spans="1:17" x14ac:dyDescent="0.25">
      <c r="A2629" t="str">
        <f>IF(C2629&amp;G2629&amp;D2629&lt;&gt;'Funnel setup'!$K$3&amp;'Funnel setup'!$K$4&amp;'Funnel setup'!$K$6,".",IF(A2628=".",1,A2628+1))</f>
        <v>.</v>
      </c>
      <c r="B2629" s="244" t="str">
        <f t="shared" si="41"/>
        <v>Knee Replacement PrimaryProviderSHIRLEY OAKS HOSPITAL (NT436)Oxford Knee Score</v>
      </c>
      <c r="C2629" t="s">
        <v>969</v>
      </c>
      <c r="D2629" t="s">
        <v>965</v>
      </c>
      <c r="E2629" t="s">
        <v>510</v>
      </c>
      <c r="F2629" t="s">
        <v>511</v>
      </c>
      <c r="G2629" t="s">
        <v>972</v>
      </c>
      <c r="H2629">
        <v>3</v>
      </c>
      <c r="I2629">
        <v>24</v>
      </c>
      <c r="J2629">
        <v>36.333300000000001</v>
      </c>
      <c r="K2629">
        <v>12.333299999999999</v>
      </c>
      <c r="L2629">
        <v>3</v>
      </c>
      <c r="M2629">
        <v>0</v>
      </c>
      <c r="N2629">
        <v>0</v>
      </c>
      <c r="O2629" t="s">
        <v>127</v>
      </c>
      <c r="P2629" t="s">
        <v>127</v>
      </c>
      <c r="Q2629" t="s">
        <v>127</v>
      </c>
    </row>
    <row r="2630" spans="1:17" x14ac:dyDescent="0.25">
      <c r="A2630" t="str">
        <f>IF(C2630&amp;G2630&amp;D2630&lt;&gt;'Funnel setup'!$K$3&amp;'Funnel setup'!$K$4&amp;'Funnel setup'!$K$6,".",IF(A2629=".",1,A2629+1))</f>
        <v>.</v>
      </c>
      <c r="B2630" s="244" t="str">
        <f t="shared" si="41"/>
        <v>Knee Replacement PrimaryProviderSOUTH TEES HOSPITALS NHS FOUNDATION TRUST (RTR)Oxford Knee Score</v>
      </c>
      <c r="C2630" t="s">
        <v>969</v>
      </c>
      <c r="D2630" t="s">
        <v>965</v>
      </c>
      <c r="E2630" t="s">
        <v>516</v>
      </c>
      <c r="F2630" t="s">
        <v>517</v>
      </c>
      <c r="G2630" t="s">
        <v>972</v>
      </c>
      <c r="H2630">
        <v>120</v>
      </c>
      <c r="I2630">
        <v>15.2583</v>
      </c>
      <c r="J2630">
        <v>35.3917</v>
      </c>
      <c r="K2630">
        <v>20.133299999999998</v>
      </c>
      <c r="L2630">
        <v>114</v>
      </c>
      <c r="M2630">
        <v>2</v>
      </c>
      <c r="N2630">
        <v>4</v>
      </c>
      <c r="O2630">
        <v>37.781599999999997</v>
      </c>
      <c r="P2630">
        <v>18.3933</v>
      </c>
      <c r="Q2630">
        <v>9.5578900000000004</v>
      </c>
    </row>
    <row r="2631" spans="1:17" x14ac:dyDescent="0.25">
      <c r="A2631" t="str">
        <f>IF(C2631&amp;G2631&amp;D2631&lt;&gt;'Funnel setup'!$K$3&amp;'Funnel setup'!$K$4&amp;'Funnel setup'!$K$6,".",IF(A2630=".",1,A2630+1))</f>
        <v>.</v>
      </c>
      <c r="B2631" s="244" t="str">
        <f t="shared" si="41"/>
        <v>Knee Replacement PrimaryProviderSOUTH TYNESIDE AND SUNDERLAND NHS FOUNDATION TRUST (R0B)Oxford Knee Score</v>
      </c>
      <c r="C2631" t="s">
        <v>969</v>
      </c>
      <c r="D2631" t="s">
        <v>965</v>
      </c>
      <c r="E2631" t="s">
        <v>518</v>
      </c>
      <c r="F2631" t="s">
        <v>519</v>
      </c>
      <c r="G2631" t="s">
        <v>972</v>
      </c>
      <c r="H2631">
        <v>6</v>
      </c>
      <c r="I2631">
        <v>17</v>
      </c>
      <c r="J2631">
        <v>34</v>
      </c>
      <c r="K2631">
        <v>17</v>
      </c>
      <c r="L2631">
        <v>5</v>
      </c>
      <c r="M2631">
        <v>0</v>
      </c>
      <c r="N2631">
        <v>1</v>
      </c>
      <c r="O2631" t="s">
        <v>127</v>
      </c>
      <c r="P2631" t="s">
        <v>127</v>
      </c>
      <c r="Q2631" t="s">
        <v>127</v>
      </c>
    </row>
    <row r="2632" spans="1:17" x14ac:dyDescent="0.25">
      <c r="A2632" t="str">
        <f>IF(C2632&amp;G2632&amp;D2632&lt;&gt;'Funnel setup'!$K$3&amp;'Funnel setup'!$K$4&amp;'Funnel setup'!$K$6,".",IF(A2631=".",1,A2631+1))</f>
        <v>.</v>
      </c>
      <c r="B2632" s="244" t="str">
        <f t="shared" si="41"/>
        <v>Knee Replacement PrimaryProviderSOUTH WARWICKSHIRE UNIVERSITY NHS FOUNDATION TRUST (RJC)Oxford Knee Score</v>
      </c>
      <c r="C2632" t="s">
        <v>969</v>
      </c>
      <c r="D2632" t="s">
        <v>965</v>
      </c>
      <c r="E2632" t="s">
        <v>520</v>
      </c>
      <c r="F2632" t="s">
        <v>521</v>
      </c>
      <c r="G2632" t="s">
        <v>972</v>
      </c>
      <c r="H2632">
        <v>153</v>
      </c>
      <c r="I2632">
        <v>21.300699999999999</v>
      </c>
      <c r="J2632">
        <v>38.379100000000001</v>
      </c>
      <c r="K2632">
        <v>17.078399999999998</v>
      </c>
      <c r="L2632">
        <v>146</v>
      </c>
      <c r="M2632">
        <v>1</v>
      </c>
      <c r="N2632">
        <v>6</v>
      </c>
      <c r="O2632">
        <v>37.442399999999999</v>
      </c>
      <c r="P2632">
        <v>18.054099999999998</v>
      </c>
      <c r="Q2632">
        <v>8.5757300000000001</v>
      </c>
    </row>
    <row r="2633" spans="1:17" x14ac:dyDescent="0.25">
      <c r="A2633" t="str">
        <f>IF(C2633&amp;G2633&amp;D2633&lt;&gt;'Funnel setup'!$K$3&amp;'Funnel setup'!$K$4&amp;'Funnel setup'!$K$6,".",IF(A2632=".",1,A2632+1))</f>
        <v>.</v>
      </c>
      <c r="B2633" s="244" t="str">
        <f t="shared" si="41"/>
        <v>Knee Replacement PrimaryProviderSOUTHPORT AND ORMSKIRK HOSPITAL NHS TRUST (RVY)Oxford Knee Score</v>
      </c>
      <c r="C2633" t="s">
        <v>969</v>
      </c>
      <c r="D2633" t="s">
        <v>965</v>
      </c>
      <c r="E2633" t="s">
        <v>522</v>
      </c>
      <c r="F2633" t="s">
        <v>523</v>
      </c>
      <c r="G2633" t="s">
        <v>972</v>
      </c>
      <c r="H2633">
        <v>12</v>
      </c>
      <c r="I2633">
        <v>18.833300000000001</v>
      </c>
      <c r="J2633">
        <v>39.333300000000001</v>
      </c>
      <c r="K2633">
        <v>20.5</v>
      </c>
      <c r="L2633">
        <v>12</v>
      </c>
      <c r="M2633">
        <v>0</v>
      </c>
      <c r="N2633">
        <v>0</v>
      </c>
      <c r="O2633" t="s">
        <v>127</v>
      </c>
      <c r="P2633" t="s">
        <v>127</v>
      </c>
      <c r="Q2633" t="s">
        <v>127</v>
      </c>
    </row>
    <row r="2634" spans="1:17" x14ac:dyDescent="0.25">
      <c r="A2634" t="str">
        <f>IF(C2634&amp;G2634&amp;D2634&lt;&gt;'Funnel setup'!$K$3&amp;'Funnel setup'!$K$4&amp;'Funnel setup'!$K$6,".",IF(A2633=".",1,A2633+1))</f>
        <v>.</v>
      </c>
      <c r="B2634" s="244" t="str">
        <f t="shared" si="41"/>
        <v>Knee Replacement PrimaryProviderSPENCER PRIVATE HOSPITALS - MARGATE (NN801)Oxford Knee Score</v>
      </c>
      <c r="C2634" t="s">
        <v>969</v>
      </c>
      <c r="D2634" t="s">
        <v>965</v>
      </c>
      <c r="E2634" t="s">
        <v>526</v>
      </c>
      <c r="F2634" t="s">
        <v>527</v>
      </c>
      <c r="G2634" t="s">
        <v>972</v>
      </c>
      <c r="H2634">
        <v>18</v>
      </c>
      <c r="I2634">
        <v>17.6111</v>
      </c>
      <c r="J2634">
        <v>38.666699999999999</v>
      </c>
      <c r="K2634">
        <v>21.055599999999998</v>
      </c>
      <c r="L2634">
        <v>17</v>
      </c>
      <c r="M2634">
        <v>1</v>
      </c>
      <c r="N2634">
        <v>0</v>
      </c>
      <c r="O2634" t="s">
        <v>127</v>
      </c>
      <c r="P2634" t="s">
        <v>127</v>
      </c>
      <c r="Q2634" t="s">
        <v>127</v>
      </c>
    </row>
    <row r="2635" spans="1:17" x14ac:dyDescent="0.25">
      <c r="A2635" t="str">
        <f>IF(C2635&amp;G2635&amp;D2635&lt;&gt;'Funnel setup'!$K$3&amp;'Funnel setup'!$K$4&amp;'Funnel setup'!$K$6,".",IF(A2634=".",1,A2634+1))</f>
        <v>.</v>
      </c>
      <c r="B2635" s="244" t="str">
        <f t="shared" si="41"/>
        <v>Knee Replacement PrimaryProviderSPIRE ALEXANDRA HOSPITAL (NT312)Oxford Knee Score</v>
      </c>
      <c r="C2635" t="s">
        <v>969</v>
      </c>
      <c r="D2635" t="s">
        <v>965</v>
      </c>
      <c r="E2635" t="s">
        <v>528</v>
      </c>
      <c r="F2635" t="s">
        <v>529</v>
      </c>
      <c r="G2635" t="s">
        <v>972</v>
      </c>
      <c r="H2635">
        <v>26</v>
      </c>
      <c r="I2635">
        <v>24.8462</v>
      </c>
      <c r="J2635">
        <v>37.846200000000003</v>
      </c>
      <c r="K2635">
        <v>13</v>
      </c>
      <c r="L2635">
        <v>24</v>
      </c>
      <c r="M2635">
        <v>2</v>
      </c>
      <c r="N2635">
        <v>0</v>
      </c>
      <c r="O2635" t="s">
        <v>127</v>
      </c>
      <c r="P2635" t="s">
        <v>127</v>
      </c>
      <c r="Q2635" t="s">
        <v>127</v>
      </c>
    </row>
    <row r="2636" spans="1:17" x14ac:dyDescent="0.25">
      <c r="A2636" t="str">
        <f>IF(C2636&amp;G2636&amp;D2636&lt;&gt;'Funnel setup'!$K$3&amp;'Funnel setup'!$K$4&amp;'Funnel setup'!$K$6,".",IF(A2635=".",1,A2635+1))</f>
        <v>.</v>
      </c>
      <c r="B2636" s="244" t="str">
        <f t="shared" si="41"/>
        <v>Knee Replacement PrimaryProviderSPIRE BRISTOL HOSPITAL (NT302)Oxford Knee Score</v>
      </c>
      <c r="C2636" t="s">
        <v>969</v>
      </c>
      <c r="D2636" t="s">
        <v>965</v>
      </c>
      <c r="E2636" t="s">
        <v>530</v>
      </c>
      <c r="F2636" t="s">
        <v>531</v>
      </c>
      <c r="G2636" t="s">
        <v>972</v>
      </c>
      <c r="H2636">
        <v>59</v>
      </c>
      <c r="I2636">
        <v>19.915299999999998</v>
      </c>
      <c r="J2636">
        <v>38.338999999999999</v>
      </c>
      <c r="K2636">
        <v>18.4237</v>
      </c>
      <c r="L2636">
        <v>57</v>
      </c>
      <c r="M2636">
        <v>1</v>
      </c>
      <c r="N2636">
        <v>1</v>
      </c>
      <c r="O2636">
        <v>37.675899999999999</v>
      </c>
      <c r="P2636">
        <v>18.287600000000001</v>
      </c>
      <c r="Q2636">
        <v>7.8931100000000001</v>
      </c>
    </row>
    <row r="2637" spans="1:17" x14ac:dyDescent="0.25">
      <c r="A2637" t="str">
        <f>IF(C2637&amp;G2637&amp;D2637&lt;&gt;'Funnel setup'!$K$3&amp;'Funnel setup'!$K$4&amp;'Funnel setup'!$K$6,".",IF(A2636=".",1,A2636+1))</f>
        <v>.</v>
      </c>
      <c r="B2637" s="244" t="str">
        <f t="shared" si="41"/>
        <v>Knee Replacement PrimaryProviderSPIRE BUSHEY HOSPITAL (NT315)Oxford Knee Score</v>
      </c>
      <c r="C2637" t="s">
        <v>969</v>
      </c>
      <c r="D2637" t="s">
        <v>965</v>
      </c>
      <c r="E2637" t="s">
        <v>532</v>
      </c>
      <c r="F2637" t="s">
        <v>533</v>
      </c>
      <c r="G2637" t="s">
        <v>972</v>
      </c>
      <c r="H2637">
        <v>5</v>
      </c>
      <c r="I2637">
        <v>23.6</v>
      </c>
      <c r="J2637">
        <v>37.200000000000003</v>
      </c>
      <c r="K2637">
        <v>13.6</v>
      </c>
      <c r="L2637">
        <v>5</v>
      </c>
      <c r="M2637">
        <v>0</v>
      </c>
      <c r="N2637">
        <v>0</v>
      </c>
      <c r="O2637" t="s">
        <v>127</v>
      </c>
      <c r="P2637" t="s">
        <v>127</v>
      </c>
      <c r="Q2637" t="s">
        <v>127</v>
      </c>
    </row>
    <row r="2638" spans="1:17" x14ac:dyDescent="0.25">
      <c r="A2638" t="str">
        <f>IF(C2638&amp;G2638&amp;D2638&lt;&gt;'Funnel setup'!$K$3&amp;'Funnel setup'!$K$4&amp;'Funnel setup'!$K$6,".",IF(A2637=".",1,A2637+1))</f>
        <v>.</v>
      </c>
      <c r="B2638" s="244" t="str">
        <f t="shared" si="41"/>
        <v>Knee Replacement PrimaryProviderSPIRE CAMBRIDGE LEA HOSPITAL (NT317)Oxford Knee Score</v>
      </c>
      <c r="C2638" t="s">
        <v>969</v>
      </c>
      <c r="D2638" t="s">
        <v>965</v>
      </c>
      <c r="E2638" t="s">
        <v>534</v>
      </c>
      <c r="F2638" t="s">
        <v>535</v>
      </c>
      <c r="G2638" t="s">
        <v>972</v>
      </c>
      <c r="H2638">
        <v>29</v>
      </c>
      <c r="I2638">
        <v>20.103400000000001</v>
      </c>
      <c r="J2638">
        <v>35.965499999999999</v>
      </c>
      <c r="K2638">
        <v>15.8621</v>
      </c>
      <c r="L2638">
        <v>28</v>
      </c>
      <c r="M2638">
        <v>0</v>
      </c>
      <c r="N2638">
        <v>1</v>
      </c>
      <c r="O2638" t="s">
        <v>127</v>
      </c>
      <c r="P2638" t="s">
        <v>127</v>
      </c>
      <c r="Q2638" t="s">
        <v>127</v>
      </c>
    </row>
    <row r="2639" spans="1:17" x14ac:dyDescent="0.25">
      <c r="A2639" t="str">
        <f>IF(C2639&amp;G2639&amp;D2639&lt;&gt;'Funnel setup'!$K$3&amp;'Funnel setup'!$K$4&amp;'Funnel setup'!$K$6,".",IF(A2638=".",1,A2638+1))</f>
        <v>.</v>
      </c>
      <c r="B2639" s="244" t="str">
        <f t="shared" si="41"/>
        <v>Knee Replacement PrimaryProviderSPIRE CHESHIRE HOSPITAL (NT324)Oxford Knee Score</v>
      </c>
      <c r="C2639" t="s">
        <v>969</v>
      </c>
      <c r="D2639" t="s">
        <v>965</v>
      </c>
      <c r="E2639" t="s">
        <v>536</v>
      </c>
      <c r="F2639" t="s">
        <v>537</v>
      </c>
      <c r="G2639" t="s">
        <v>972</v>
      </c>
      <c r="H2639">
        <v>31</v>
      </c>
      <c r="I2639">
        <v>20.4194</v>
      </c>
      <c r="J2639">
        <v>40.128999999999998</v>
      </c>
      <c r="K2639">
        <v>19.709700000000002</v>
      </c>
      <c r="L2639">
        <v>30</v>
      </c>
      <c r="M2639">
        <v>0</v>
      </c>
      <c r="N2639">
        <v>1</v>
      </c>
      <c r="O2639">
        <v>38.872300000000003</v>
      </c>
      <c r="P2639">
        <v>19.484000000000002</v>
      </c>
      <c r="Q2639">
        <v>6.7866099999999996</v>
      </c>
    </row>
    <row r="2640" spans="1:17" x14ac:dyDescent="0.25">
      <c r="A2640" t="str">
        <f>IF(C2640&amp;G2640&amp;D2640&lt;&gt;'Funnel setup'!$K$3&amp;'Funnel setup'!$K$4&amp;'Funnel setup'!$K$6,".",IF(A2639=".",1,A2639+1))</f>
        <v>.</v>
      </c>
      <c r="B2640" s="244" t="str">
        <f t="shared" si="41"/>
        <v>Knee Replacement PrimaryProviderSPIRE CLARE PARK HOSPITAL (NT345)Oxford Knee Score</v>
      </c>
      <c r="C2640" t="s">
        <v>969</v>
      </c>
      <c r="D2640" t="s">
        <v>965</v>
      </c>
      <c r="E2640" t="s">
        <v>538</v>
      </c>
      <c r="F2640" t="s">
        <v>539</v>
      </c>
      <c r="G2640" t="s">
        <v>972</v>
      </c>
      <c r="H2640">
        <v>15</v>
      </c>
      <c r="I2640">
        <v>23.2667</v>
      </c>
      <c r="J2640">
        <v>36.7333</v>
      </c>
      <c r="K2640">
        <v>13.466699999999999</v>
      </c>
      <c r="L2640">
        <v>14</v>
      </c>
      <c r="M2640">
        <v>1</v>
      </c>
      <c r="N2640">
        <v>0</v>
      </c>
      <c r="O2640" t="s">
        <v>127</v>
      </c>
      <c r="P2640" t="s">
        <v>127</v>
      </c>
      <c r="Q2640" t="s">
        <v>127</v>
      </c>
    </row>
    <row r="2641" spans="1:17" x14ac:dyDescent="0.25">
      <c r="A2641" t="str">
        <f>IF(C2641&amp;G2641&amp;D2641&lt;&gt;'Funnel setup'!$K$3&amp;'Funnel setup'!$K$4&amp;'Funnel setup'!$K$6,".",IF(A2640=".",1,A2640+1))</f>
        <v>.</v>
      </c>
      <c r="B2641" s="244" t="str">
        <f t="shared" si="41"/>
        <v>Knee Replacement PrimaryProviderSPIRE DUNEDIN HOSPITAL (NT344)Oxford Knee Score</v>
      </c>
      <c r="C2641" t="s">
        <v>969</v>
      </c>
      <c r="D2641" t="s">
        <v>965</v>
      </c>
      <c r="E2641" t="s">
        <v>540</v>
      </c>
      <c r="F2641" t="s">
        <v>541</v>
      </c>
      <c r="G2641" t="s">
        <v>972</v>
      </c>
      <c r="H2641">
        <v>2</v>
      </c>
      <c r="I2641">
        <v>24.5</v>
      </c>
      <c r="J2641">
        <v>36.5</v>
      </c>
      <c r="K2641">
        <v>12</v>
      </c>
      <c r="L2641">
        <v>2</v>
      </c>
      <c r="M2641">
        <v>0</v>
      </c>
      <c r="N2641">
        <v>0</v>
      </c>
      <c r="O2641" t="s">
        <v>127</v>
      </c>
      <c r="P2641" t="s">
        <v>127</v>
      </c>
      <c r="Q2641" t="s">
        <v>127</v>
      </c>
    </row>
    <row r="2642" spans="1:17" x14ac:dyDescent="0.25">
      <c r="A2642" t="str">
        <f>IF(C2642&amp;G2642&amp;D2642&lt;&gt;'Funnel setup'!$K$3&amp;'Funnel setup'!$K$4&amp;'Funnel setup'!$K$6,".",IF(A2641=".",1,A2641+1))</f>
        <v>.</v>
      </c>
      <c r="B2642" s="244" t="str">
        <f t="shared" si="41"/>
        <v>Knee Replacement PrimaryProviderSPIRE ELLAND HOSPITAL (NT348)Oxford Knee Score</v>
      </c>
      <c r="C2642" t="s">
        <v>969</v>
      </c>
      <c r="D2642" t="s">
        <v>965</v>
      </c>
      <c r="E2642" t="s">
        <v>542</v>
      </c>
      <c r="F2642" t="s">
        <v>543</v>
      </c>
      <c r="G2642" t="s">
        <v>972</v>
      </c>
      <c r="H2642">
        <v>19</v>
      </c>
      <c r="I2642">
        <v>22.578900000000001</v>
      </c>
      <c r="J2642">
        <v>38.578899999999997</v>
      </c>
      <c r="K2642">
        <v>16</v>
      </c>
      <c r="L2642">
        <v>17</v>
      </c>
      <c r="M2642">
        <v>0</v>
      </c>
      <c r="N2642">
        <v>2</v>
      </c>
      <c r="O2642" t="s">
        <v>127</v>
      </c>
      <c r="P2642" t="s">
        <v>127</v>
      </c>
      <c r="Q2642" t="s">
        <v>127</v>
      </c>
    </row>
    <row r="2643" spans="1:17" x14ac:dyDescent="0.25">
      <c r="A2643" t="str">
        <f>IF(C2643&amp;G2643&amp;D2643&lt;&gt;'Funnel setup'!$K$3&amp;'Funnel setup'!$K$4&amp;'Funnel setup'!$K$6,".",IF(A2642=".",1,A2642+1))</f>
        <v>.</v>
      </c>
      <c r="B2643" s="244" t="str">
        <f t="shared" si="41"/>
        <v>Knee Replacement PrimaryProviderSPIRE FYLDE COAST HOSPITAL (NT347)Oxford Knee Score</v>
      </c>
      <c r="C2643" t="s">
        <v>969</v>
      </c>
      <c r="D2643" t="s">
        <v>965</v>
      </c>
      <c r="E2643" t="s">
        <v>544</v>
      </c>
      <c r="F2643" t="s">
        <v>545</v>
      </c>
      <c r="G2643" t="s">
        <v>972</v>
      </c>
      <c r="H2643">
        <v>27</v>
      </c>
      <c r="I2643">
        <v>22.148099999999999</v>
      </c>
      <c r="J2643">
        <v>36.814799999999998</v>
      </c>
      <c r="K2643">
        <v>14.666700000000001</v>
      </c>
      <c r="L2643">
        <v>26</v>
      </c>
      <c r="M2643">
        <v>0</v>
      </c>
      <c r="N2643">
        <v>1</v>
      </c>
      <c r="O2643" t="s">
        <v>127</v>
      </c>
      <c r="P2643" t="s">
        <v>127</v>
      </c>
      <c r="Q2643" t="s">
        <v>127</v>
      </c>
    </row>
    <row r="2644" spans="1:17" x14ac:dyDescent="0.25">
      <c r="A2644" t="str">
        <f>IF(C2644&amp;G2644&amp;D2644&lt;&gt;'Funnel setup'!$K$3&amp;'Funnel setup'!$K$4&amp;'Funnel setup'!$K$6,".",IF(A2643=".",1,A2643+1))</f>
        <v>.</v>
      </c>
      <c r="B2644" s="244" t="str">
        <f t="shared" si="41"/>
        <v>Knee Replacement PrimaryProviderSPIRE GATWICK PARK HOSPITAL (NT308)Oxford Knee Score</v>
      </c>
      <c r="C2644" t="s">
        <v>969</v>
      </c>
      <c r="D2644" t="s">
        <v>965</v>
      </c>
      <c r="E2644" t="s">
        <v>546</v>
      </c>
      <c r="F2644" t="s">
        <v>547</v>
      </c>
      <c r="G2644" t="s">
        <v>972</v>
      </c>
      <c r="H2644">
        <v>6</v>
      </c>
      <c r="I2644">
        <v>23.5</v>
      </c>
      <c r="J2644">
        <v>36</v>
      </c>
      <c r="K2644">
        <v>12.5</v>
      </c>
      <c r="L2644">
        <v>5</v>
      </c>
      <c r="M2644">
        <v>1</v>
      </c>
      <c r="N2644">
        <v>0</v>
      </c>
      <c r="O2644" t="s">
        <v>127</v>
      </c>
      <c r="P2644" t="s">
        <v>127</v>
      </c>
      <c r="Q2644" t="s">
        <v>127</v>
      </c>
    </row>
    <row r="2645" spans="1:17" x14ac:dyDescent="0.25">
      <c r="A2645" t="str">
        <f>IF(C2645&amp;G2645&amp;D2645&lt;&gt;'Funnel setup'!$K$3&amp;'Funnel setup'!$K$4&amp;'Funnel setup'!$K$6,".",IF(A2644=".",1,A2644+1))</f>
        <v>.</v>
      </c>
      <c r="B2645" s="244" t="str">
        <f t="shared" si="41"/>
        <v>Knee Replacement PrimaryProviderSPIRE HARPENDEN HOSPITAL (NT316)Oxford Knee Score</v>
      </c>
      <c r="C2645" t="s">
        <v>969</v>
      </c>
      <c r="D2645" t="s">
        <v>965</v>
      </c>
      <c r="E2645" t="s">
        <v>548</v>
      </c>
      <c r="F2645" t="s">
        <v>549</v>
      </c>
      <c r="G2645" t="s">
        <v>972</v>
      </c>
      <c r="H2645">
        <v>19</v>
      </c>
      <c r="I2645">
        <v>18.631599999999999</v>
      </c>
      <c r="J2645">
        <v>39.578899999999997</v>
      </c>
      <c r="K2645">
        <v>20.947399999999998</v>
      </c>
      <c r="L2645">
        <v>17</v>
      </c>
      <c r="M2645">
        <v>0</v>
      </c>
      <c r="N2645">
        <v>2</v>
      </c>
      <c r="O2645" t="s">
        <v>127</v>
      </c>
      <c r="P2645" t="s">
        <v>127</v>
      </c>
      <c r="Q2645" t="s">
        <v>127</v>
      </c>
    </row>
    <row r="2646" spans="1:17" x14ac:dyDescent="0.25">
      <c r="A2646" t="str">
        <f>IF(C2646&amp;G2646&amp;D2646&lt;&gt;'Funnel setup'!$K$3&amp;'Funnel setup'!$K$4&amp;'Funnel setup'!$K$6,".",IF(A2645=".",1,A2645+1))</f>
        <v>.</v>
      </c>
      <c r="B2646" s="244" t="str">
        <f t="shared" si="41"/>
        <v>Knee Replacement PrimaryProviderSPIRE HARTSWOOD HOSPITAL (NT319)Oxford Knee Score</v>
      </c>
      <c r="C2646" t="s">
        <v>969</v>
      </c>
      <c r="D2646" t="s">
        <v>965</v>
      </c>
      <c r="E2646" t="s">
        <v>550</v>
      </c>
      <c r="F2646" t="s">
        <v>551</v>
      </c>
      <c r="G2646" t="s">
        <v>972</v>
      </c>
      <c r="H2646">
        <v>12</v>
      </c>
      <c r="I2646">
        <v>20</v>
      </c>
      <c r="J2646">
        <v>37.25</v>
      </c>
      <c r="K2646">
        <v>17.25</v>
      </c>
      <c r="L2646">
        <v>12</v>
      </c>
      <c r="M2646">
        <v>0</v>
      </c>
      <c r="N2646">
        <v>0</v>
      </c>
      <c r="O2646" t="s">
        <v>127</v>
      </c>
      <c r="P2646" t="s">
        <v>127</v>
      </c>
      <c r="Q2646" t="s">
        <v>127</v>
      </c>
    </row>
    <row r="2647" spans="1:17" x14ac:dyDescent="0.25">
      <c r="A2647" t="str">
        <f>IF(C2647&amp;G2647&amp;D2647&lt;&gt;'Funnel setup'!$K$3&amp;'Funnel setup'!$K$4&amp;'Funnel setup'!$K$6,".",IF(A2646=".",1,A2646+1))</f>
        <v>.</v>
      </c>
      <c r="B2647" s="244" t="str">
        <f t="shared" si="41"/>
        <v>Knee Replacement PrimaryProviderSPIRE HULL AND EAST RIDING HOSPITAL (NT351)Oxford Knee Score</v>
      </c>
      <c r="C2647" t="s">
        <v>969</v>
      </c>
      <c r="D2647" t="s">
        <v>965</v>
      </c>
      <c r="E2647" t="s">
        <v>554</v>
      </c>
      <c r="F2647" t="s">
        <v>555</v>
      </c>
      <c r="G2647" t="s">
        <v>972</v>
      </c>
      <c r="H2647">
        <v>38</v>
      </c>
      <c r="I2647">
        <v>20.157900000000001</v>
      </c>
      <c r="J2647">
        <v>38.052599999999998</v>
      </c>
      <c r="K2647">
        <v>17.8947</v>
      </c>
      <c r="L2647">
        <v>38</v>
      </c>
      <c r="M2647">
        <v>0</v>
      </c>
      <c r="N2647">
        <v>0</v>
      </c>
      <c r="O2647">
        <v>37.600099999999998</v>
      </c>
      <c r="P2647">
        <v>18.2118</v>
      </c>
      <c r="Q2647">
        <v>6.3706500000000004</v>
      </c>
    </row>
    <row r="2648" spans="1:17" x14ac:dyDescent="0.25">
      <c r="A2648" t="str">
        <f>IF(C2648&amp;G2648&amp;D2648&lt;&gt;'Funnel setup'!$K$3&amp;'Funnel setup'!$K$4&amp;'Funnel setup'!$K$6,".",IF(A2647=".",1,A2647+1))</f>
        <v>.</v>
      </c>
      <c r="B2648" s="244" t="str">
        <f t="shared" si="41"/>
        <v>Knee Replacement PrimaryProviderSPIRE LEEDS HOSPITAL (NT332)Oxford Knee Score</v>
      </c>
      <c r="C2648" t="s">
        <v>969</v>
      </c>
      <c r="D2648" t="s">
        <v>965</v>
      </c>
      <c r="E2648" t="s">
        <v>556</v>
      </c>
      <c r="F2648" t="s">
        <v>557</v>
      </c>
      <c r="G2648" t="s">
        <v>972</v>
      </c>
      <c r="H2648">
        <v>14</v>
      </c>
      <c r="I2648">
        <v>20.714300000000001</v>
      </c>
      <c r="J2648">
        <v>35.428600000000003</v>
      </c>
      <c r="K2648">
        <v>14.7143</v>
      </c>
      <c r="L2648">
        <v>14</v>
      </c>
      <c r="M2648">
        <v>0</v>
      </c>
      <c r="N2648">
        <v>0</v>
      </c>
      <c r="O2648" t="s">
        <v>127</v>
      </c>
      <c r="P2648" t="s">
        <v>127</v>
      </c>
      <c r="Q2648" t="s">
        <v>127</v>
      </c>
    </row>
    <row r="2649" spans="1:17" x14ac:dyDescent="0.25">
      <c r="A2649" t="str">
        <f>IF(C2649&amp;G2649&amp;D2649&lt;&gt;'Funnel setup'!$K$3&amp;'Funnel setup'!$K$4&amp;'Funnel setup'!$K$6,".",IF(A2648=".",1,A2648+1))</f>
        <v>.</v>
      </c>
      <c r="B2649" s="244" t="str">
        <f t="shared" si="41"/>
        <v>Knee Replacement PrimaryProviderSPIRE LEICESTER HOSPITAL (NT322)Oxford Knee Score</v>
      </c>
      <c r="C2649" t="s">
        <v>969</v>
      </c>
      <c r="D2649" t="s">
        <v>965</v>
      </c>
      <c r="E2649" t="s">
        <v>558</v>
      </c>
      <c r="F2649" t="s">
        <v>559</v>
      </c>
      <c r="G2649" t="s">
        <v>972</v>
      </c>
      <c r="H2649">
        <v>58</v>
      </c>
      <c r="I2649">
        <v>18.810300000000002</v>
      </c>
      <c r="J2649">
        <v>37.7241</v>
      </c>
      <c r="K2649">
        <v>18.913799999999998</v>
      </c>
      <c r="L2649">
        <v>57</v>
      </c>
      <c r="M2649">
        <v>1</v>
      </c>
      <c r="N2649">
        <v>0</v>
      </c>
      <c r="O2649">
        <v>37.2881</v>
      </c>
      <c r="P2649">
        <v>17.899699999999999</v>
      </c>
      <c r="Q2649">
        <v>6.5534299999999996</v>
      </c>
    </row>
    <row r="2650" spans="1:17" x14ac:dyDescent="0.25">
      <c r="A2650" t="str">
        <f>IF(C2650&amp;G2650&amp;D2650&lt;&gt;'Funnel setup'!$K$3&amp;'Funnel setup'!$K$4&amp;'Funnel setup'!$K$6,".",IF(A2649=".",1,A2649+1))</f>
        <v>.</v>
      </c>
      <c r="B2650" s="244" t="str">
        <f t="shared" si="41"/>
        <v>Knee Replacement PrimaryProviderSPIRE LITTLE ASTON HOSPITAL (NT321)Oxford Knee Score</v>
      </c>
      <c r="C2650" t="s">
        <v>969</v>
      </c>
      <c r="D2650" t="s">
        <v>965</v>
      </c>
      <c r="E2650" t="s">
        <v>560</v>
      </c>
      <c r="F2650" t="s">
        <v>561</v>
      </c>
      <c r="G2650" t="s">
        <v>972</v>
      </c>
      <c r="H2650">
        <v>21</v>
      </c>
      <c r="I2650">
        <v>20.714300000000001</v>
      </c>
      <c r="J2650">
        <v>37.095199999999998</v>
      </c>
      <c r="K2650">
        <v>16.381</v>
      </c>
      <c r="L2650">
        <v>20</v>
      </c>
      <c r="M2650">
        <v>0</v>
      </c>
      <c r="N2650">
        <v>1</v>
      </c>
      <c r="O2650" t="s">
        <v>127</v>
      </c>
      <c r="P2650" t="s">
        <v>127</v>
      </c>
      <c r="Q2650" t="s">
        <v>127</v>
      </c>
    </row>
    <row r="2651" spans="1:17" x14ac:dyDescent="0.25">
      <c r="A2651" t="str">
        <f>IF(C2651&amp;G2651&amp;D2651&lt;&gt;'Funnel setup'!$K$3&amp;'Funnel setup'!$K$4&amp;'Funnel setup'!$K$6,".",IF(A2650=".",1,A2650+1))</f>
        <v>.</v>
      </c>
      <c r="B2651" s="244" t="str">
        <f t="shared" si="41"/>
        <v>Knee Replacement PrimaryProviderSPIRE LIVERPOOL HOSPITAL (NT337)Oxford Knee Score</v>
      </c>
      <c r="C2651" t="s">
        <v>969</v>
      </c>
      <c r="D2651" t="s">
        <v>965</v>
      </c>
      <c r="E2651" t="s">
        <v>562</v>
      </c>
      <c r="F2651" t="s">
        <v>563</v>
      </c>
      <c r="G2651" t="s">
        <v>972</v>
      </c>
      <c r="H2651">
        <v>13</v>
      </c>
      <c r="I2651">
        <v>16.538499999999999</v>
      </c>
      <c r="J2651">
        <v>31.384599999999999</v>
      </c>
      <c r="K2651">
        <v>14.8462</v>
      </c>
      <c r="L2651">
        <v>13</v>
      </c>
      <c r="M2651">
        <v>0</v>
      </c>
      <c r="N2651">
        <v>0</v>
      </c>
      <c r="O2651" t="s">
        <v>127</v>
      </c>
      <c r="P2651" t="s">
        <v>127</v>
      </c>
      <c r="Q2651" t="s">
        <v>127</v>
      </c>
    </row>
    <row r="2652" spans="1:17" x14ac:dyDescent="0.25">
      <c r="A2652" t="str">
        <f>IF(C2652&amp;G2652&amp;D2652&lt;&gt;'Funnel setup'!$K$3&amp;'Funnel setup'!$K$4&amp;'Funnel setup'!$K$6,".",IF(A2651=".",1,A2651+1))</f>
        <v>.</v>
      </c>
      <c r="B2652" s="244" t="str">
        <f t="shared" si="41"/>
        <v>Knee Replacement PrimaryProviderSPIRE MANCHESTER HOSPITAL (NT327)Oxford Knee Score</v>
      </c>
      <c r="C2652" t="s">
        <v>969</v>
      </c>
      <c r="D2652" t="s">
        <v>965</v>
      </c>
      <c r="E2652" t="s">
        <v>566</v>
      </c>
      <c r="F2652" t="s">
        <v>567</v>
      </c>
      <c r="G2652" t="s">
        <v>972</v>
      </c>
      <c r="H2652">
        <v>37</v>
      </c>
      <c r="I2652">
        <v>18.081099999999999</v>
      </c>
      <c r="J2652">
        <v>34.351399999999998</v>
      </c>
      <c r="K2652">
        <v>16.270299999999999</v>
      </c>
      <c r="L2652">
        <v>34</v>
      </c>
      <c r="M2652">
        <v>0</v>
      </c>
      <c r="N2652">
        <v>3</v>
      </c>
      <c r="O2652">
        <v>34.7911</v>
      </c>
      <c r="P2652">
        <v>15.402799999999999</v>
      </c>
      <c r="Q2652">
        <v>8.7810299999999994</v>
      </c>
    </row>
    <row r="2653" spans="1:17" x14ac:dyDescent="0.25">
      <c r="A2653" t="str">
        <f>IF(C2653&amp;G2653&amp;D2653&lt;&gt;'Funnel setup'!$K$3&amp;'Funnel setup'!$K$4&amp;'Funnel setup'!$K$6,".",IF(A2652=".",1,A2652+1))</f>
        <v>.</v>
      </c>
      <c r="B2653" s="244" t="str">
        <f t="shared" si="41"/>
        <v>Knee Replacement PrimaryProviderSPIRE METHLEY PARK HOSPITAL (NT350)Oxford Knee Score</v>
      </c>
      <c r="C2653" t="s">
        <v>969</v>
      </c>
      <c r="D2653" t="s">
        <v>965</v>
      </c>
      <c r="E2653" t="s">
        <v>568</v>
      </c>
      <c r="F2653" t="s">
        <v>569</v>
      </c>
      <c r="G2653" t="s">
        <v>972</v>
      </c>
      <c r="H2653">
        <v>32</v>
      </c>
      <c r="I2653">
        <v>22.5</v>
      </c>
      <c r="J2653">
        <v>38.406300000000002</v>
      </c>
      <c r="K2653">
        <v>15.9063</v>
      </c>
      <c r="L2653">
        <v>29</v>
      </c>
      <c r="M2653">
        <v>0</v>
      </c>
      <c r="N2653">
        <v>3</v>
      </c>
      <c r="O2653">
        <v>36.046700000000001</v>
      </c>
      <c r="P2653">
        <v>16.6584</v>
      </c>
      <c r="Q2653">
        <v>6.6177900000000003</v>
      </c>
    </row>
    <row r="2654" spans="1:17" x14ac:dyDescent="0.25">
      <c r="A2654" t="str">
        <f>IF(C2654&amp;G2654&amp;D2654&lt;&gt;'Funnel setup'!$K$3&amp;'Funnel setup'!$K$4&amp;'Funnel setup'!$K$6,".",IF(A2653=".",1,A2653+1))</f>
        <v>.</v>
      </c>
      <c r="B2654" s="244" t="str">
        <f t="shared" si="41"/>
        <v>Knee Replacement PrimaryProviderSPIRE MONTEFIORE HOSPITAL (NT364)Oxford Knee Score</v>
      </c>
      <c r="C2654" t="s">
        <v>969</v>
      </c>
      <c r="D2654" t="s">
        <v>965</v>
      </c>
      <c r="E2654" t="s">
        <v>570</v>
      </c>
      <c r="F2654" t="s">
        <v>571</v>
      </c>
      <c r="G2654" t="s">
        <v>972</v>
      </c>
      <c r="H2654">
        <v>10</v>
      </c>
      <c r="I2654">
        <v>24.2</v>
      </c>
      <c r="J2654">
        <v>39.700000000000003</v>
      </c>
      <c r="K2654">
        <v>15.5</v>
      </c>
      <c r="L2654">
        <v>9</v>
      </c>
      <c r="M2654">
        <v>1</v>
      </c>
      <c r="N2654">
        <v>0</v>
      </c>
      <c r="O2654" t="s">
        <v>127</v>
      </c>
      <c r="P2654" t="s">
        <v>127</v>
      </c>
      <c r="Q2654" t="s">
        <v>127</v>
      </c>
    </row>
    <row r="2655" spans="1:17" x14ac:dyDescent="0.25">
      <c r="A2655" t="str">
        <f>IF(C2655&amp;G2655&amp;D2655&lt;&gt;'Funnel setup'!$K$3&amp;'Funnel setup'!$K$4&amp;'Funnel setup'!$K$6,".",IF(A2654=".",1,A2654+1))</f>
        <v>.</v>
      </c>
      <c r="B2655" s="244" t="str">
        <f t="shared" si="41"/>
        <v>Knee Replacement PrimaryProviderSPIRE MURRAYFIELD HOSPITAL (NT325)Oxford Knee Score</v>
      </c>
      <c r="C2655" t="s">
        <v>969</v>
      </c>
      <c r="D2655" t="s">
        <v>965</v>
      </c>
      <c r="E2655" t="s">
        <v>572</v>
      </c>
      <c r="F2655" t="s">
        <v>573</v>
      </c>
      <c r="G2655" t="s">
        <v>972</v>
      </c>
      <c r="H2655">
        <v>3</v>
      </c>
      <c r="I2655">
        <v>18</v>
      </c>
      <c r="J2655">
        <v>44.666699999999999</v>
      </c>
      <c r="K2655">
        <v>26.666699999999999</v>
      </c>
      <c r="L2655">
        <v>3</v>
      </c>
      <c r="M2655">
        <v>0</v>
      </c>
      <c r="N2655">
        <v>0</v>
      </c>
      <c r="O2655" t="s">
        <v>127</v>
      </c>
      <c r="P2655" t="s">
        <v>127</v>
      </c>
      <c r="Q2655" t="s">
        <v>127</v>
      </c>
    </row>
    <row r="2656" spans="1:17" x14ac:dyDescent="0.25">
      <c r="A2656" t="str">
        <f>IF(C2656&amp;G2656&amp;D2656&lt;&gt;'Funnel setup'!$K$3&amp;'Funnel setup'!$K$4&amp;'Funnel setup'!$K$6,".",IF(A2655=".",1,A2655+1))</f>
        <v>.</v>
      </c>
      <c r="B2656" s="244" t="str">
        <f t="shared" si="41"/>
        <v>Knee Replacement PrimaryProviderSPIRE NOTTINGHAM HOSPITAL (NT30A)Oxford Knee Score</v>
      </c>
      <c r="C2656" t="s">
        <v>969</v>
      </c>
      <c r="D2656" t="s">
        <v>965</v>
      </c>
      <c r="E2656" t="s">
        <v>576</v>
      </c>
      <c r="F2656" t="s">
        <v>577</v>
      </c>
      <c r="G2656" t="s">
        <v>972</v>
      </c>
      <c r="H2656">
        <v>10</v>
      </c>
      <c r="I2656">
        <v>20.8</v>
      </c>
      <c r="J2656">
        <v>40</v>
      </c>
      <c r="K2656">
        <v>19.2</v>
      </c>
      <c r="L2656">
        <v>10</v>
      </c>
      <c r="M2656">
        <v>0</v>
      </c>
      <c r="N2656">
        <v>0</v>
      </c>
      <c r="O2656" t="s">
        <v>127</v>
      </c>
      <c r="P2656" t="s">
        <v>127</v>
      </c>
      <c r="Q2656" t="s">
        <v>127</v>
      </c>
    </row>
    <row r="2657" spans="1:17" x14ac:dyDescent="0.25">
      <c r="A2657" t="str">
        <f>IF(C2657&amp;G2657&amp;D2657&lt;&gt;'Funnel setup'!$K$3&amp;'Funnel setup'!$K$4&amp;'Funnel setup'!$K$6,".",IF(A2656=".",1,A2656+1))</f>
        <v>.</v>
      </c>
      <c r="B2657" s="244" t="str">
        <f t="shared" si="41"/>
        <v>Knee Replacement PrimaryProviderSPIRE PARKWAY HOSPITAL (NT320)Oxford Knee Score</v>
      </c>
      <c r="C2657" t="s">
        <v>969</v>
      </c>
      <c r="D2657" t="s">
        <v>965</v>
      </c>
      <c r="E2657" t="s">
        <v>578</v>
      </c>
      <c r="F2657" t="s">
        <v>579</v>
      </c>
      <c r="G2657" t="s">
        <v>972</v>
      </c>
      <c r="H2657">
        <v>16</v>
      </c>
      <c r="I2657">
        <v>22.3125</v>
      </c>
      <c r="J2657">
        <v>34.125</v>
      </c>
      <c r="K2657">
        <v>11.8125</v>
      </c>
      <c r="L2657">
        <v>15</v>
      </c>
      <c r="M2657">
        <v>0</v>
      </c>
      <c r="N2657">
        <v>1</v>
      </c>
      <c r="O2657" t="s">
        <v>127</v>
      </c>
      <c r="P2657" t="s">
        <v>127</v>
      </c>
      <c r="Q2657" t="s">
        <v>127</v>
      </c>
    </row>
    <row r="2658" spans="1:17" x14ac:dyDescent="0.25">
      <c r="A2658" t="str">
        <f>IF(C2658&amp;G2658&amp;D2658&lt;&gt;'Funnel setup'!$K$3&amp;'Funnel setup'!$K$4&amp;'Funnel setup'!$K$6,".",IF(A2657=".",1,A2657+1))</f>
        <v>.</v>
      </c>
      <c r="B2658" s="244" t="str">
        <f t="shared" si="41"/>
        <v>Knee Replacement PrimaryProviderSPIRE PORTSMOUTH HOSPITAL (NT305)Oxford Knee Score</v>
      </c>
      <c r="C2658" t="s">
        <v>969</v>
      </c>
      <c r="D2658" t="s">
        <v>965</v>
      </c>
      <c r="E2658" t="s">
        <v>580</v>
      </c>
      <c r="F2658" t="s">
        <v>581</v>
      </c>
      <c r="G2658" t="s">
        <v>972</v>
      </c>
      <c r="H2658">
        <v>15</v>
      </c>
      <c r="I2658">
        <v>21</v>
      </c>
      <c r="J2658">
        <v>37.333300000000001</v>
      </c>
      <c r="K2658">
        <v>16.333300000000001</v>
      </c>
      <c r="L2658">
        <v>15</v>
      </c>
      <c r="M2658">
        <v>0</v>
      </c>
      <c r="N2658">
        <v>0</v>
      </c>
      <c r="O2658" t="s">
        <v>127</v>
      </c>
      <c r="P2658" t="s">
        <v>127</v>
      </c>
      <c r="Q2658" t="s">
        <v>127</v>
      </c>
    </row>
    <row r="2659" spans="1:17" x14ac:dyDescent="0.25">
      <c r="A2659" t="str">
        <f>IF(C2659&amp;G2659&amp;D2659&lt;&gt;'Funnel setup'!$K$3&amp;'Funnel setup'!$K$4&amp;'Funnel setup'!$K$6,".",IF(A2658=".",1,A2658+1))</f>
        <v>.</v>
      </c>
      <c r="B2659" s="244" t="str">
        <f t="shared" si="41"/>
        <v>Knee Replacement PrimaryProviderSPIRE REGENCY HOSPITAL (NT339)Oxford Knee Score</v>
      </c>
      <c r="C2659" t="s">
        <v>969</v>
      </c>
      <c r="D2659" t="s">
        <v>965</v>
      </c>
      <c r="E2659" t="s">
        <v>582</v>
      </c>
      <c r="F2659" t="s">
        <v>583</v>
      </c>
      <c r="G2659" t="s">
        <v>972</v>
      </c>
      <c r="H2659">
        <v>43</v>
      </c>
      <c r="I2659">
        <v>21.395299999999999</v>
      </c>
      <c r="J2659">
        <v>37.604700000000001</v>
      </c>
      <c r="K2659">
        <v>16.209299999999999</v>
      </c>
      <c r="L2659">
        <v>43</v>
      </c>
      <c r="M2659">
        <v>0</v>
      </c>
      <c r="N2659">
        <v>0</v>
      </c>
      <c r="O2659">
        <v>35.911000000000001</v>
      </c>
      <c r="P2659">
        <v>16.522600000000001</v>
      </c>
      <c r="Q2659">
        <v>7.2516800000000003</v>
      </c>
    </row>
    <row r="2660" spans="1:17" x14ac:dyDescent="0.25">
      <c r="A2660" t="str">
        <f>IF(C2660&amp;G2660&amp;D2660&lt;&gt;'Funnel setup'!$K$3&amp;'Funnel setup'!$K$4&amp;'Funnel setup'!$K$6,".",IF(A2659=".",1,A2659+1))</f>
        <v>.</v>
      </c>
      <c r="B2660" s="244" t="str">
        <f t="shared" si="41"/>
        <v>Knee Replacement PrimaryProviderSPIRE SOUTHAMPTON HOSPITAL (NT304)Oxford Knee Score</v>
      </c>
      <c r="C2660" t="s">
        <v>969</v>
      </c>
      <c r="D2660" t="s">
        <v>965</v>
      </c>
      <c r="E2660" t="s">
        <v>586</v>
      </c>
      <c r="F2660" t="s">
        <v>587</v>
      </c>
      <c r="G2660" t="s">
        <v>972</v>
      </c>
      <c r="H2660">
        <v>20</v>
      </c>
      <c r="I2660">
        <v>21.95</v>
      </c>
      <c r="J2660">
        <v>38</v>
      </c>
      <c r="K2660">
        <v>16.05</v>
      </c>
      <c r="L2660">
        <v>19</v>
      </c>
      <c r="M2660">
        <v>1</v>
      </c>
      <c r="N2660">
        <v>0</v>
      </c>
      <c r="O2660" t="s">
        <v>127</v>
      </c>
      <c r="P2660" t="s">
        <v>127</v>
      </c>
      <c r="Q2660" t="s">
        <v>127</v>
      </c>
    </row>
    <row r="2661" spans="1:17" x14ac:dyDescent="0.25">
      <c r="A2661" t="str">
        <f>IF(C2661&amp;G2661&amp;D2661&lt;&gt;'Funnel setup'!$K$3&amp;'Funnel setup'!$K$4&amp;'Funnel setup'!$K$6,".",IF(A2660=".",1,A2660+1))</f>
        <v>.</v>
      </c>
      <c r="B2661" s="244" t="str">
        <f t="shared" si="41"/>
        <v>Knee Replacement PrimaryProviderSPIRE ST ANTHONY'S HOSPITAL (NT3X3)Oxford Knee Score</v>
      </c>
      <c r="C2661" t="s">
        <v>969</v>
      </c>
      <c r="D2661" t="s">
        <v>965</v>
      </c>
      <c r="E2661" t="s">
        <v>588</v>
      </c>
      <c r="F2661" t="s">
        <v>589</v>
      </c>
      <c r="G2661" t="s">
        <v>972</v>
      </c>
      <c r="H2661">
        <v>4</v>
      </c>
      <c r="I2661">
        <v>25.75</v>
      </c>
      <c r="J2661">
        <v>34</v>
      </c>
      <c r="K2661">
        <v>8.25</v>
      </c>
      <c r="L2661">
        <v>3</v>
      </c>
      <c r="M2661">
        <v>0</v>
      </c>
      <c r="N2661">
        <v>1</v>
      </c>
      <c r="O2661" t="s">
        <v>127</v>
      </c>
      <c r="P2661" t="s">
        <v>127</v>
      </c>
      <c r="Q2661" t="s">
        <v>127</v>
      </c>
    </row>
    <row r="2662" spans="1:17" x14ac:dyDescent="0.25">
      <c r="A2662" t="str">
        <f>IF(C2662&amp;G2662&amp;D2662&lt;&gt;'Funnel setup'!$K$3&amp;'Funnel setup'!$K$4&amp;'Funnel setup'!$K$6,".",IF(A2661=".",1,A2661+1))</f>
        <v>.</v>
      </c>
      <c r="B2662" s="244" t="str">
        <f t="shared" si="41"/>
        <v>Knee Replacement PrimaryProviderSPIRE SUSSEX HOSPITAL (NT309)Oxford Knee Score</v>
      </c>
      <c r="C2662" t="s">
        <v>969</v>
      </c>
      <c r="D2662" t="s">
        <v>965</v>
      </c>
      <c r="E2662" t="s">
        <v>590</v>
      </c>
      <c r="F2662" t="s">
        <v>591</v>
      </c>
      <c r="G2662" t="s">
        <v>972</v>
      </c>
      <c r="H2662">
        <v>24</v>
      </c>
      <c r="I2662">
        <v>22.958300000000001</v>
      </c>
      <c r="J2662">
        <v>37.583300000000001</v>
      </c>
      <c r="K2662">
        <v>14.625</v>
      </c>
      <c r="L2662">
        <v>24</v>
      </c>
      <c r="M2662">
        <v>0</v>
      </c>
      <c r="N2662">
        <v>0</v>
      </c>
      <c r="O2662" t="s">
        <v>127</v>
      </c>
      <c r="P2662" t="s">
        <v>127</v>
      </c>
      <c r="Q2662" t="s">
        <v>127</v>
      </c>
    </row>
    <row r="2663" spans="1:17" x14ac:dyDescent="0.25">
      <c r="A2663" t="str">
        <f>IF(C2663&amp;G2663&amp;D2663&lt;&gt;'Funnel setup'!$K$3&amp;'Funnel setup'!$K$4&amp;'Funnel setup'!$K$6,".",IF(A2662=".",1,A2662+1))</f>
        <v>.</v>
      </c>
      <c r="B2663" s="244" t="str">
        <f t="shared" si="41"/>
        <v>Knee Replacement PrimaryProviderSPIRE THAMES VALLEY HOSPITAL (NT343)Oxford Knee Score</v>
      </c>
      <c r="C2663" t="s">
        <v>969</v>
      </c>
      <c r="D2663" t="s">
        <v>965</v>
      </c>
      <c r="E2663" t="s">
        <v>592</v>
      </c>
      <c r="F2663" t="s">
        <v>593</v>
      </c>
      <c r="G2663" t="s">
        <v>972</v>
      </c>
      <c r="H2663">
        <v>1</v>
      </c>
      <c r="I2663">
        <v>23</v>
      </c>
      <c r="J2663">
        <v>43</v>
      </c>
      <c r="K2663">
        <v>20</v>
      </c>
      <c r="L2663">
        <v>1</v>
      </c>
      <c r="M2663">
        <v>0</v>
      </c>
      <c r="N2663">
        <v>0</v>
      </c>
      <c r="O2663" t="s">
        <v>127</v>
      </c>
      <c r="P2663" t="s">
        <v>127</v>
      </c>
      <c r="Q2663" t="s">
        <v>127</v>
      </c>
    </row>
    <row r="2664" spans="1:17" x14ac:dyDescent="0.25">
      <c r="A2664" t="str">
        <f>IF(C2664&amp;G2664&amp;D2664&lt;&gt;'Funnel setup'!$K$3&amp;'Funnel setup'!$K$4&amp;'Funnel setup'!$K$6,".",IF(A2663=".",1,A2663+1))</f>
        <v>.</v>
      </c>
      <c r="B2664" s="244" t="str">
        <f t="shared" si="41"/>
        <v>Knee Replacement PrimaryProviderSPIRE TUNBRIDGE WELLS HOSPITAL (NT310)Oxford Knee Score</v>
      </c>
      <c r="C2664" t="s">
        <v>969</v>
      </c>
      <c r="D2664" t="s">
        <v>965</v>
      </c>
      <c r="E2664" t="s">
        <v>594</v>
      </c>
      <c r="F2664" t="s">
        <v>595</v>
      </c>
      <c r="G2664" t="s">
        <v>972</v>
      </c>
      <c r="H2664">
        <v>1</v>
      </c>
      <c r="I2664">
        <v>24</v>
      </c>
      <c r="J2664">
        <v>43</v>
      </c>
      <c r="K2664">
        <v>19</v>
      </c>
      <c r="L2664">
        <v>1</v>
      </c>
      <c r="M2664">
        <v>0</v>
      </c>
      <c r="N2664">
        <v>0</v>
      </c>
      <c r="O2664" t="s">
        <v>127</v>
      </c>
      <c r="P2664" t="s">
        <v>127</v>
      </c>
      <c r="Q2664" t="s">
        <v>127</v>
      </c>
    </row>
    <row r="2665" spans="1:17" x14ac:dyDescent="0.25">
      <c r="A2665" t="str">
        <f>IF(C2665&amp;G2665&amp;D2665&lt;&gt;'Funnel setup'!$K$3&amp;'Funnel setup'!$K$4&amp;'Funnel setup'!$K$6,".",IF(A2664=".",1,A2664+1))</f>
        <v>.</v>
      </c>
      <c r="B2665" s="244" t="str">
        <f t="shared" si="41"/>
        <v>Knee Replacement PrimaryProviderSPIRE WASHINGTON HOSPITAL (NT333)Oxford Knee Score</v>
      </c>
      <c r="C2665" t="s">
        <v>969</v>
      </c>
      <c r="D2665" t="s">
        <v>965</v>
      </c>
      <c r="E2665" t="s">
        <v>596</v>
      </c>
      <c r="F2665" t="s">
        <v>597</v>
      </c>
      <c r="G2665" t="s">
        <v>972</v>
      </c>
      <c r="H2665">
        <v>101</v>
      </c>
      <c r="I2665">
        <v>18.049499999999998</v>
      </c>
      <c r="J2665">
        <v>36.980200000000004</v>
      </c>
      <c r="K2665">
        <v>18.930700000000002</v>
      </c>
      <c r="L2665">
        <v>97</v>
      </c>
      <c r="M2665">
        <v>2</v>
      </c>
      <c r="N2665">
        <v>2</v>
      </c>
      <c r="O2665">
        <v>37.391399999999997</v>
      </c>
      <c r="P2665">
        <v>18.0031</v>
      </c>
      <c r="Q2665">
        <v>7.7603099999999996</v>
      </c>
    </row>
    <row r="2666" spans="1:17" x14ac:dyDescent="0.25">
      <c r="A2666" t="str">
        <f>IF(C2666&amp;G2666&amp;D2666&lt;&gt;'Funnel setup'!$K$3&amp;'Funnel setup'!$K$4&amp;'Funnel setup'!$K$6,".",IF(A2665=".",1,A2665+1))</f>
        <v>.</v>
      </c>
      <c r="B2666" s="244" t="str">
        <f t="shared" si="41"/>
        <v>Knee Replacement PrimaryProviderSPRINGFIELD HOSPITAL (NVC18)Oxford Knee Score</v>
      </c>
      <c r="C2666" t="s">
        <v>969</v>
      </c>
      <c r="D2666" t="s">
        <v>965</v>
      </c>
      <c r="E2666" t="s">
        <v>602</v>
      </c>
      <c r="F2666" t="s">
        <v>603</v>
      </c>
      <c r="G2666" t="s">
        <v>972</v>
      </c>
      <c r="H2666">
        <v>96</v>
      </c>
      <c r="I2666">
        <v>19.510400000000001</v>
      </c>
      <c r="J2666">
        <v>39.3125</v>
      </c>
      <c r="K2666">
        <v>19.802099999999999</v>
      </c>
      <c r="L2666">
        <v>93</v>
      </c>
      <c r="M2666">
        <v>0</v>
      </c>
      <c r="N2666">
        <v>3</v>
      </c>
      <c r="O2666">
        <v>38.228400000000001</v>
      </c>
      <c r="P2666">
        <v>18.8401</v>
      </c>
      <c r="Q2666">
        <v>8.2475799999999992</v>
      </c>
    </row>
    <row r="2667" spans="1:17" x14ac:dyDescent="0.25">
      <c r="A2667" t="str">
        <f>IF(C2667&amp;G2667&amp;D2667&lt;&gt;'Funnel setup'!$K$3&amp;'Funnel setup'!$K$4&amp;'Funnel setup'!$K$6,".",IF(A2666=".",1,A2666+1))</f>
        <v>.</v>
      </c>
      <c r="B2667" s="244" t="str">
        <f t="shared" si="41"/>
        <v>Knee Replacement PrimaryProviderST EDMUNDS HOSPITAL (NT446)Oxford Knee Score</v>
      </c>
      <c r="C2667" t="s">
        <v>969</v>
      </c>
      <c r="D2667" t="s">
        <v>965</v>
      </c>
      <c r="E2667" t="s">
        <v>604</v>
      </c>
      <c r="F2667" t="s">
        <v>605</v>
      </c>
      <c r="G2667" t="s">
        <v>972</v>
      </c>
      <c r="H2667">
        <v>29</v>
      </c>
      <c r="I2667">
        <v>18.793099999999999</v>
      </c>
      <c r="J2667">
        <v>39.172400000000003</v>
      </c>
      <c r="K2667">
        <v>20.379300000000001</v>
      </c>
      <c r="L2667">
        <v>27</v>
      </c>
      <c r="M2667">
        <v>1</v>
      </c>
      <c r="N2667">
        <v>1</v>
      </c>
      <c r="O2667" t="s">
        <v>127</v>
      </c>
      <c r="P2667" t="s">
        <v>127</v>
      </c>
      <c r="Q2667" t="s">
        <v>127</v>
      </c>
    </row>
    <row r="2668" spans="1:17" x14ac:dyDescent="0.25">
      <c r="A2668" t="str">
        <f>IF(C2668&amp;G2668&amp;D2668&lt;&gt;'Funnel setup'!$K$3&amp;'Funnel setup'!$K$4&amp;'Funnel setup'!$K$6,".",IF(A2667=".",1,A2667+1))</f>
        <v>.</v>
      </c>
      <c r="B2668" s="244" t="str">
        <f t="shared" si="41"/>
        <v>Knee Replacement PrimaryProviderST HELENS AND KNOWSLEY TEACHING HOSPITALS NHS TRUST (RBN)Oxford Knee Score</v>
      </c>
      <c r="C2668" t="s">
        <v>969</v>
      </c>
      <c r="D2668" t="s">
        <v>965</v>
      </c>
      <c r="E2668" t="s">
        <v>608</v>
      </c>
      <c r="F2668" t="s">
        <v>609</v>
      </c>
      <c r="G2668" t="s">
        <v>972</v>
      </c>
      <c r="H2668">
        <v>75</v>
      </c>
      <c r="I2668">
        <v>17.013300000000001</v>
      </c>
      <c r="J2668">
        <v>36.24</v>
      </c>
      <c r="K2668">
        <v>19.226700000000001</v>
      </c>
      <c r="L2668">
        <v>73</v>
      </c>
      <c r="M2668">
        <v>0</v>
      </c>
      <c r="N2668">
        <v>2</v>
      </c>
      <c r="O2668">
        <v>38.262099999999997</v>
      </c>
      <c r="P2668">
        <v>18.873799999999999</v>
      </c>
      <c r="Q2668">
        <v>9.0781100000000006</v>
      </c>
    </row>
    <row r="2669" spans="1:17" x14ac:dyDescent="0.25">
      <c r="A2669" t="str">
        <f>IF(C2669&amp;G2669&amp;D2669&lt;&gt;'Funnel setup'!$K$3&amp;'Funnel setup'!$K$4&amp;'Funnel setup'!$K$6,".",IF(A2668=".",1,A2668+1))</f>
        <v>.</v>
      </c>
      <c r="B2669" s="244" t="str">
        <f t="shared" si="41"/>
        <v>Knee Replacement PrimaryProviderST HUGH'S HOSPITAL (NTE02)Oxford Knee Score</v>
      </c>
      <c r="C2669" t="s">
        <v>969</v>
      </c>
      <c r="D2669" t="s">
        <v>965</v>
      </c>
      <c r="E2669" t="s">
        <v>610</v>
      </c>
      <c r="F2669" t="s">
        <v>611</v>
      </c>
      <c r="G2669" t="s">
        <v>972</v>
      </c>
      <c r="H2669">
        <v>127</v>
      </c>
      <c r="I2669">
        <v>21.559100000000001</v>
      </c>
      <c r="J2669">
        <v>38.181100000000001</v>
      </c>
      <c r="K2669">
        <v>16.622</v>
      </c>
      <c r="L2669">
        <v>123</v>
      </c>
      <c r="M2669">
        <v>2</v>
      </c>
      <c r="N2669">
        <v>2</v>
      </c>
      <c r="O2669">
        <v>36.884700000000002</v>
      </c>
      <c r="P2669">
        <v>17.496400000000001</v>
      </c>
      <c r="Q2669">
        <v>7.1163699999999999</v>
      </c>
    </row>
    <row r="2670" spans="1:17" x14ac:dyDescent="0.25">
      <c r="A2670" t="str">
        <f>IF(C2670&amp;G2670&amp;D2670&lt;&gt;'Funnel setup'!$K$3&amp;'Funnel setup'!$K$4&amp;'Funnel setup'!$K$6,".",IF(A2669=".",1,A2669+1))</f>
        <v>.</v>
      </c>
      <c r="B2670" s="244" t="str">
        <f t="shared" si="41"/>
        <v>Knee Replacement PrimaryProviderSTOCKPORT NHS FOUNDATION TRUST (RWJ)Oxford Knee Score</v>
      </c>
      <c r="C2670" t="s">
        <v>969</v>
      </c>
      <c r="D2670" t="s">
        <v>965</v>
      </c>
      <c r="E2670" t="s">
        <v>614</v>
      </c>
      <c r="F2670" t="s">
        <v>615</v>
      </c>
      <c r="G2670" t="s">
        <v>972</v>
      </c>
      <c r="H2670">
        <v>27</v>
      </c>
      <c r="I2670">
        <v>20.222200000000001</v>
      </c>
      <c r="J2670">
        <v>40.370399999999997</v>
      </c>
      <c r="K2670">
        <v>20.148099999999999</v>
      </c>
      <c r="L2670">
        <v>26</v>
      </c>
      <c r="M2670">
        <v>0</v>
      </c>
      <c r="N2670">
        <v>1</v>
      </c>
      <c r="O2670" t="s">
        <v>127</v>
      </c>
      <c r="P2670" t="s">
        <v>127</v>
      </c>
      <c r="Q2670" t="s">
        <v>127</v>
      </c>
    </row>
    <row r="2671" spans="1:17" x14ac:dyDescent="0.25">
      <c r="A2671" t="str">
        <f>IF(C2671&amp;G2671&amp;D2671&lt;&gt;'Funnel setup'!$K$3&amp;'Funnel setup'!$K$4&amp;'Funnel setup'!$K$6,".",IF(A2670=".",1,A2670+1))</f>
        <v>.</v>
      </c>
      <c r="B2671" s="244" t="str">
        <f t="shared" si="41"/>
        <v>Knee Replacement PrimaryProviderSURREY AND SUSSEX HEALTHCARE NHS TRUST (RTP)Oxford Knee Score</v>
      </c>
      <c r="C2671" t="s">
        <v>969</v>
      </c>
      <c r="D2671" t="s">
        <v>965</v>
      </c>
      <c r="E2671" t="s">
        <v>618</v>
      </c>
      <c r="F2671" t="s">
        <v>619</v>
      </c>
      <c r="G2671" t="s">
        <v>972</v>
      </c>
      <c r="H2671">
        <v>33</v>
      </c>
      <c r="I2671">
        <v>17.393899999999999</v>
      </c>
      <c r="J2671">
        <v>35.181800000000003</v>
      </c>
      <c r="K2671">
        <v>17.7879</v>
      </c>
      <c r="L2671">
        <v>30</v>
      </c>
      <c r="M2671">
        <v>0</v>
      </c>
      <c r="N2671">
        <v>3</v>
      </c>
      <c r="O2671">
        <v>35.850999999999999</v>
      </c>
      <c r="P2671">
        <v>16.462599999999998</v>
      </c>
      <c r="Q2671">
        <v>7.1477399999999998</v>
      </c>
    </row>
    <row r="2672" spans="1:17" x14ac:dyDescent="0.25">
      <c r="A2672" t="str">
        <f>IF(C2672&amp;G2672&amp;D2672&lt;&gt;'Funnel setup'!$K$3&amp;'Funnel setup'!$K$4&amp;'Funnel setup'!$K$6,".",IF(A2671=".",1,A2671+1))</f>
        <v>.</v>
      </c>
      <c r="B2672" s="244" t="str">
        <f t="shared" si="41"/>
        <v>Knee Replacement PrimaryProviderTEES VALLEY HOSPITAL (NVC0R)Oxford Knee Score</v>
      </c>
      <c r="C2672" t="s">
        <v>969</v>
      </c>
      <c r="D2672" t="s">
        <v>965</v>
      </c>
      <c r="E2672" t="s">
        <v>624</v>
      </c>
      <c r="F2672" t="s">
        <v>625</v>
      </c>
      <c r="G2672" t="s">
        <v>972</v>
      </c>
      <c r="H2672">
        <v>49</v>
      </c>
      <c r="I2672">
        <v>20.020399999999999</v>
      </c>
      <c r="J2672">
        <v>38.6327</v>
      </c>
      <c r="K2672">
        <v>18.612200000000001</v>
      </c>
      <c r="L2672">
        <v>48</v>
      </c>
      <c r="M2672">
        <v>1</v>
      </c>
      <c r="N2672">
        <v>0</v>
      </c>
      <c r="O2672">
        <v>38.1066</v>
      </c>
      <c r="P2672">
        <v>18.718299999999999</v>
      </c>
      <c r="Q2672">
        <v>5.4548100000000002</v>
      </c>
    </row>
    <row r="2673" spans="1:17" x14ac:dyDescent="0.25">
      <c r="A2673" t="str">
        <f>IF(C2673&amp;G2673&amp;D2673&lt;&gt;'Funnel setup'!$K$3&amp;'Funnel setup'!$K$4&amp;'Funnel setup'!$K$6,".",IF(A2672=".",1,A2672+1))</f>
        <v>.</v>
      </c>
      <c r="B2673" s="244" t="str">
        <f t="shared" si="41"/>
        <v>Knee Replacement PrimaryProviderTHE BERKSHIRE INDEPENDENT HOSPITAL (NVC02)Oxford Knee Score</v>
      </c>
      <c r="C2673" t="s">
        <v>969</v>
      </c>
      <c r="D2673" t="s">
        <v>965</v>
      </c>
      <c r="E2673" t="s">
        <v>626</v>
      </c>
      <c r="F2673" t="s">
        <v>627</v>
      </c>
      <c r="G2673" t="s">
        <v>972</v>
      </c>
      <c r="H2673">
        <v>13</v>
      </c>
      <c r="I2673">
        <v>20.615400000000001</v>
      </c>
      <c r="J2673">
        <v>35.538499999999999</v>
      </c>
      <c r="K2673">
        <v>14.9231</v>
      </c>
      <c r="L2673">
        <v>13</v>
      </c>
      <c r="M2673">
        <v>0</v>
      </c>
      <c r="N2673">
        <v>0</v>
      </c>
      <c r="O2673" t="s">
        <v>127</v>
      </c>
      <c r="P2673" t="s">
        <v>127</v>
      </c>
      <c r="Q2673" t="s">
        <v>127</v>
      </c>
    </row>
    <row r="2674" spans="1:17" x14ac:dyDescent="0.25">
      <c r="A2674" t="str">
        <f>IF(C2674&amp;G2674&amp;D2674&lt;&gt;'Funnel setup'!$K$3&amp;'Funnel setup'!$K$4&amp;'Funnel setup'!$K$6,".",IF(A2673=".",1,A2673+1))</f>
        <v>.</v>
      </c>
      <c r="B2674" s="244" t="str">
        <f t="shared" si="41"/>
        <v>Knee Replacement PrimaryProviderTHE CHERWELL HOSPITAL (NVC25)Oxford Knee Score</v>
      </c>
      <c r="C2674" t="s">
        <v>969</v>
      </c>
      <c r="D2674" t="s">
        <v>965</v>
      </c>
      <c r="E2674" t="s">
        <v>628</v>
      </c>
      <c r="F2674" t="s">
        <v>629</v>
      </c>
      <c r="G2674" t="s">
        <v>972</v>
      </c>
      <c r="H2674">
        <v>262</v>
      </c>
      <c r="I2674">
        <v>20.805299999999999</v>
      </c>
      <c r="J2674">
        <v>37.984699999999997</v>
      </c>
      <c r="K2674">
        <v>17.179400000000001</v>
      </c>
      <c r="L2674">
        <v>251</v>
      </c>
      <c r="M2674">
        <v>2</v>
      </c>
      <c r="N2674">
        <v>9</v>
      </c>
      <c r="O2674">
        <v>36.810699999999997</v>
      </c>
      <c r="P2674">
        <v>17.4224</v>
      </c>
      <c r="Q2674">
        <v>7.9061599999999999</v>
      </c>
    </row>
    <row r="2675" spans="1:17" x14ac:dyDescent="0.25">
      <c r="A2675" t="str">
        <f>IF(C2675&amp;G2675&amp;D2675&lt;&gt;'Funnel setup'!$K$3&amp;'Funnel setup'!$K$4&amp;'Funnel setup'!$K$6,".",IF(A2674=".",1,A2674+1))</f>
        <v>.</v>
      </c>
      <c r="B2675" s="244" t="str">
        <f t="shared" si="41"/>
        <v>Knee Replacement PrimaryProviderTHE DUDLEY GROUP NHS FOUNDATION TRUST (RNA)Oxford Knee Score</v>
      </c>
      <c r="C2675" t="s">
        <v>969</v>
      </c>
      <c r="D2675" t="s">
        <v>965</v>
      </c>
      <c r="E2675" t="s">
        <v>630</v>
      </c>
      <c r="F2675" t="s">
        <v>631</v>
      </c>
      <c r="G2675" t="s">
        <v>972</v>
      </c>
      <c r="H2675">
        <v>1</v>
      </c>
      <c r="I2675">
        <v>27</v>
      </c>
      <c r="J2675">
        <v>47</v>
      </c>
      <c r="K2675">
        <v>20</v>
      </c>
      <c r="L2675">
        <v>1</v>
      </c>
      <c r="M2675">
        <v>0</v>
      </c>
      <c r="N2675">
        <v>0</v>
      </c>
      <c r="O2675" t="s">
        <v>127</v>
      </c>
      <c r="P2675" t="s">
        <v>127</v>
      </c>
      <c r="Q2675" t="s">
        <v>127</v>
      </c>
    </row>
    <row r="2676" spans="1:17" x14ac:dyDescent="0.25">
      <c r="A2676" t="str">
        <f>IF(C2676&amp;G2676&amp;D2676&lt;&gt;'Funnel setup'!$K$3&amp;'Funnel setup'!$K$4&amp;'Funnel setup'!$K$6,".",IF(A2675=".",1,A2675+1))</f>
        <v>.</v>
      </c>
      <c r="B2676" s="244" t="str">
        <f t="shared" si="41"/>
        <v>Knee Replacement PrimaryProviderTHE HILLINGDON HOSPITALS NHS FOUNDATION TRUST (RAS)Oxford Knee Score</v>
      </c>
      <c r="C2676" t="s">
        <v>969</v>
      </c>
      <c r="D2676" t="s">
        <v>965</v>
      </c>
      <c r="E2676" t="s">
        <v>632</v>
      </c>
      <c r="F2676" t="s">
        <v>633</v>
      </c>
      <c r="G2676" t="s">
        <v>972</v>
      </c>
      <c r="H2676">
        <v>104</v>
      </c>
      <c r="I2676">
        <v>19.980799999999999</v>
      </c>
      <c r="J2676">
        <v>35.826900000000002</v>
      </c>
      <c r="K2676">
        <v>15.8462</v>
      </c>
      <c r="L2676">
        <v>97</v>
      </c>
      <c r="M2676">
        <v>2</v>
      </c>
      <c r="N2676">
        <v>5</v>
      </c>
      <c r="O2676">
        <v>35.700499999999998</v>
      </c>
      <c r="P2676">
        <v>16.312200000000001</v>
      </c>
      <c r="Q2676">
        <v>8.2326899999999998</v>
      </c>
    </row>
    <row r="2677" spans="1:17" x14ac:dyDescent="0.25">
      <c r="A2677" t="str">
        <f>IF(C2677&amp;G2677&amp;D2677&lt;&gt;'Funnel setup'!$K$3&amp;'Funnel setup'!$K$4&amp;'Funnel setup'!$K$6,".",IF(A2676=".",1,A2676+1))</f>
        <v>.</v>
      </c>
      <c r="B2677" s="244" t="str">
        <f t="shared" si="41"/>
        <v>Knee Replacement PrimaryProviderTHE HORDER CENTRE - ST JOHNS ROAD (NXM01)Oxford Knee Score</v>
      </c>
      <c r="C2677" t="s">
        <v>969</v>
      </c>
      <c r="D2677" t="s">
        <v>965</v>
      </c>
      <c r="E2677" t="s">
        <v>634</v>
      </c>
      <c r="F2677" t="s">
        <v>635</v>
      </c>
      <c r="G2677" t="s">
        <v>972</v>
      </c>
      <c r="H2677">
        <v>265</v>
      </c>
      <c r="I2677">
        <v>23.441500000000001</v>
      </c>
      <c r="J2677">
        <v>39.517000000000003</v>
      </c>
      <c r="K2677">
        <v>16.075500000000002</v>
      </c>
      <c r="L2677">
        <v>252</v>
      </c>
      <c r="M2677">
        <v>0</v>
      </c>
      <c r="N2677">
        <v>13</v>
      </c>
      <c r="O2677">
        <v>37.463099999999997</v>
      </c>
      <c r="P2677">
        <v>18.0747</v>
      </c>
      <c r="Q2677">
        <v>7.8213400000000002</v>
      </c>
    </row>
    <row r="2678" spans="1:17" x14ac:dyDescent="0.25">
      <c r="A2678" t="str">
        <f>IF(C2678&amp;G2678&amp;D2678&lt;&gt;'Funnel setup'!$K$3&amp;'Funnel setup'!$K$4&amp;'Funnel setup'!$K$6,".",IF(A2677=".",1,A2677+1))</f>
        <v>.</v>
      </c>
      <c r="B2678" s="244" t="str">
        <f t="shared" si="41"/>
        <v>Knee Replacement PrimaryProviderTHE NEWCASTLE UPON TYNE HOSPITALS NHS FOUNDATION TRUST (RTD)Oxford Knee Score</v>
      </c>
      <c r="C2678" t="s">
        <v>969</v>
      </c>
      <c r="D2678" t="s">
        <v>965</v>
      </c>
      <c r="E2678" t="s">
        <v>638</v>
      </c>
      <c r="F2678" t="s">
        <v>639</v>
      </c>
      <c r="G2678" t="s">
        <v>972</v>
      </c>
      <c r="H2678">
        <v>26</v>
      </c>
      <c r="I2678">
        <v>17.1538</v>
      </c>
      <c r="J2678">
        <v>36.653799999999997</v>
      </c>
      <c r="K2678">
        <v>19.5</v>
      </c>
      <c r="L2678">
        <v>23</v>
      </c>
      <c r="M2678">
        <v>0</v>
      </c>
      <c r="N2678">
        <v>3</v>
      </c>
      <c r="O2678" t="s">
        <v>127</v>
      </c>
      <c r="P2678" t="s">
        <v>127</v>
      </c>
      <c r="Q2678" t="s">
        <v>127</v>
      </c>
    </row>
    <row r="2679" spans="1:17" x14ac:dyDescent="0.25">
      <c r="A2679" t="str">
        <f>IF(C2679&amp;G2679&amp;D2679&lt;&gt;'Funnel setup'!$K$3&amp;'Funnel setup'!$K$4&amp;'Funnel setup'!$K$6,".",IF(A2678=".",1,A2678+1))</f>
        <v>.</v>
      </c>
      <c r="B2679" s="244" t="str">
        <f t="shared" si="41"/>
        <v>Knee Replacement PrimaryProviderTHE PRINCESS ALEXANDRA HOSPITAL NHS TRUST (RQW)Oxford Knee Score</v>
      </c>
      <c r="C2679" t="s">
        <v>969</v>
      </c>
      <c r="D2679" t="s">
        <v>965</v>
      </c>
      <c r="E2679" t="s">
        <v>640</v>
      </c>
      <c r="F2679" t="s">
        <v>641</v>
      </c>
      <c r="G2679" t="s">
        <v>972</v>
      </c>
      <c r="H2679">
        <v>29</v>
      </c>
      <c r="I2679">
        <v>14.758599999999999</v>
      </c>
      <c r="J2679">
        <v>35.241399999999999</v>
      </c>
      <c r="K2679">
        <v>20.482800000000001</v>
      </c>
      <c r="L2679">
        <v>29</v>
      </c>
      <c r="M2679">
        <v>0</v>
      </c>
      <c r="N2679">
        <v>0</v>
      </c>
      <c r="O2679" t="s">
        <v>127</v>
      </c>
      <c r="P2679" t="s">
        <v>127</v>
      </c>
      <c r="Q2679" t="s">
        <v>127</v>
      </c>
    </row>
    <row r="2680" spans="1:17" x14ac:dyDescent="0.25">
      <c r="A2680" t="str">
        <f>IF(C2680&amp;G2680&amp;D2680&lt;&gt;'Funnel setup'!$K$3&amp;'Funnel setup'!$K$4&amp;'Funnel setup'!$K$6,".",IF(A2679=".",1,A2679+1))</f>
        <v>.</v>
      </c>
      <c r="B2680" s="244" t="str">
        <f t="shared" si="41"/>
        <v>Knee Replacement PrimaryProviderTHE QUEEN ELIZABETH HOSPITAL, KING'S LYNN, NHS FOUNDATION TRUST (RCX)Oxford Knee Score</v>
      </c>
      <c r="C2680" t="s">
        <v>969</v>
      </c>
      <c r="D2680" t="s">
        <v>965</v>
      </c>
      <c r="E2680" t="s">
        <v>644</v>
      </c>
      <c r="F2680" t="s">
        <v>645</v>
      </c>
      <c r="G2680" t="s">
        <v>972</v>
      </c>
      <c r="H2680">
        <v>78</v>
      </c>
      <c r="I2680">
        <v>18.9359</v>
      </c>
      <c r="J2680">
        <v>35.923099999999998</v>
      </c>
      <c r="K2680">
        <v>16.987200000000001</v>
      </c>
      <c r="L2680">
        <v>75</v>
      </c>
      <c r="M2680">
        <v>1</v>
      </c>
      <c r="N2680">
        <v>2</v>
      </c>
      <c r="O2680">
        <v>36.625700000000002</v>
      </c>
      <c r="P2680">
        <v>17.237400000000001</v>
      </c>
      <c r="Q2680">
        <v>8.33047</v>
      </c>
    </row>
    <row r="2681" spans="1:17" x14ac:dyDescent="0.25">
      <c r="A2681" t="str">
        <f>IF(C2681&amp;G2681&amp;D2681&lt;&gt;'Funnel setup'!$K$3&amp;'Funnel setup'!$K$4&amp;'Funnel setup'!$K$6,".",IF(A2680=".",1,A2680+1))</f>
        <v>.</v>
      </c>
      <c r="B2681" s="244" t="str">
        <f t="shared" si="41"/>
        <v>Knee Replacement PrimaryProviderTHE ROBERT JONES AND AGNES HUNT ORTHOPAEDIC HOSPITAL NHS FOUNDATION TRUST (RL1)Oxford Knee Score</v>
      </c>
      <c r="C2681" t="s">
        <v>969</v>
      </c>
      <c r="D2681" t="s">
        <v>965</v>
      </c>
      <c r="E2681" t="s">
        <v>646</v>
      </c>
      <c r="F2681" t="s">
        <v>647</v>
      </c>
      <c r="G2681" t="s">
        <v>972</v>
      </c>
      <c r="H2681">
        <v>305</v>
      </c>
      <c r="I2681">
        <v>17.508199999999999</v>
      </c>
      <c r="J2681">
        <v>37.993400000000001</v>
      </c>
      <c r="K2681">
        <v>20.485199999999999</v>
      </c>
      <c r="L2681">
        <v>301</v>
      </c>
      <c r="M2681">
        <v>1</v>
      </c>
      <c r="N2681">
        <v>3</v>
      </c>
      <c r="O2681">
        <v>38.935600000000001</v>
      </c>
      <c r="P2681">
        <v>19.5473</v>
      </c>
      <c r="Q2681">
        <v>7.9261400000000002</v>
      </c>
    </row>
    <row r="2682" spans="1:17" x14ac:dyDescent="0.25">
      <c r="A2682" t="str">
        <f>IF(C2682&amp;G2682&amp;D2682&lt;&gt;'Funnel setup'!$K$3&amp;'Funnel setup'!$K$4&amp;'Funnel setup'!$K$6,".",IF(A2681=".",1,A2681+1))</f>
        <v>.</v>
      </c>
      <c r="B2682" s="244" t="str">
        <f t="shared" si="41"/>
        <v>Knee Replacement PrimaryProviderTHE ROTHERHAM NHS FOUNDATION TRUST (RFR)Oxford Knee Score</v>
      </c>
      <c r="C2682" t="s">
        <v>969</v>
      </c>
      <c r="D2682" t="s">
        <v>965</v>
      </c>
      <c r="E2682" t="s">
        <v>648</v>
      </c>
      <c r="F2682" t="s">
        <v>649</v>
      </c>
      <c r="G2682" t="s">
        <v>972</v>
      </c>
      <c r="H2682">
        <v>31</v>
      </c>
      <c r="I2682">
        <v>14.7742</v>
      </c>
      <c r="J2682">
        <v>37.096800000000002</v>
      </c>
      <c r="K2682">
        <v>22.322600000000001</v>
      </c>
      <c r="L2682">
        <v>30</v>
      </c>
      <c r="M2682">
        <v>0</v>
      </c>
      <c r="N2682">
        <v>1</v>
      </c>
      <c r="O2682">
        <v>39.953400000000002</v>
      </c>
      <c r="P2682">
        <v>20.565000000000001</v>
      </c>
      <c r="Q2682">
        <v>8.9697499999999994</v>
      </c>
    </row>
    <row r="2683" spans="1:17" x14ac:dyDescent="0.25">
      <c r="A2683" t="str">
        <f>IF(C2683&amp;G2683&amp;D2683&lt;&gt;'Funnel setup'!$K$3&amp;'Funnel setup'!$K$4&amp;'Funnel setup'!$K$6,".",IF(A2682=".",1,A2682+1))</f>
        <v>.</v>
      </c>
      <c r="B2683" s="244" t="str">
        <f t="shared" si="41"/>
        <v>Knee Replacement PrimaryProviderTHE ROYAL ORTHOPAEDIC HOSPITAL NHS FOUNDATION TRUST (RRJ)Oxford Knee Score</v>
      </c>
      <c r="C2683" t="s">
        <v>969</v>
      </c>
      <c r="D2683" t="s">
        <v>965</v>
      </c>
      <c r="E2683" t="s">
        <v>652</v>
      </c>
      <c r="F2683" t="s">
        <v>653</v>
      </c>
      <c r="G2683" t="s">
        <v>972</v>
      </c>
      <c r="H2683">
        <v>447</v>
      </c>
      <c r="I2683">
        <v>17.34</v>
      </c>
      <c r="J2683">
        <v>35.094000000000001</v>
      </c>
      <c r="K2683">
        <v>17.753900000000002</v>
      </c>
      <c r="L2683">
        <v>426</v>
      </c>
      <c r="M2683">
        <v>4</v>
      </c>
      <c r="N2683">
        <v>17</v>
      </c>
      <c r="O2683">
        <v>36.128500000000003</v>
      </c>
      <c r="P2683">
        <v>16.740200000000002</v>
      </c>
      <c r="Q2683">
        <v>8.8254000000000001</v>
      </c>
    </row>
    <row r="2684" spans="1:17" x14ac:dyDescent="0.25">
      <c r="A2684" t="str">
        <f>IF(C2684&amp;G2684&amp;D2684&lt;&gt;'Funnel setup'!$K$3&amp;'Funnel setup'!$K$4&amp;'Funnel setup'!$K$6,".",IF(A2683=".",1,A2683+1))</f>
        <v>.</v>
      </c>
      <c r="B2684" s="244" t="str">
        <f t="shared" si="41"/>
        <v>Knee Replacement PrimaryProviderTHE ROYAL WOLVERHAMPTON NHS TRUST (RL4)Oxford Knee Score</v>
      </c>
      <c r="C2684" t="s">
        <v>969</v>
      </c>
      <c r="D2684" t="s">
        <v>965</v>
      </c>
      <c r="E2684" t="s">
        <v>654</v>
      </c>
      <c r="F2684" t="s">
        <v>655</v>
      </c>
      <c r="G2684" t="s">
        <v>972</v>
      </c>
      <c r="H2684">
        <v>24</v>
      </c>
      <c r="I2684">
        <v>18.916699999999999</v>
      </c>
      <c r="J2684">
        <v>38.958300000000001</v>
      </c>
      <c r="K2684">
        <v>20.041699999999999</v>
      </c>
      <c r="L2684">
        <v>23</v>
      </c>
      <c r="M2684">
        <v>0</v>
      </c>
      <c r="N2684">
        <v>1</v>
      </c>
      <c r="O2684" t="s">
        <v>127</v>
      </c>
      <c r="P2684" t="s">
        <v>127</v>
      </c>
      <c r="Q2684" t="s">
        <v>127</v>
      </c>
    </row>
    <row r="2685" spans="1:17" x14ac:dyDescent="0.25">
      <c r="A2685" t="str">
        <f>IF(C2685&amp;G2685&amp;D2685&lt;&gt;'Funnel setup'!$K$3&amp;'Funnel setup'!$K$4&amp;'Funnel setup'!$K$6,".",IF(A2684=".",1,A2684+1))</f>
        <v>.</v>
      </c>
      <c r="B2685" s="244" t="str">
        <f t="shared" si="41"/>
        <v>Knee Replacement PrimaryProviderTHE SHREWSBURY AND TELFORD HOSPITAL NHS TRUST (RXW)Oxford Knee Score</v>
      </c>
      <c r="C2685" t="s">
        <v>969</v>
      </c>
      <c r="D2685" t="s">
        <v>965</v>
      </c>
      <c r="E2685" t="s">
        <v>656</v>
      </c>
      <c r="F2685" t="s">
        <v>657</v>
      </c>
      <c r="G2685" t="s">
        <v>972</v>
      </c>
      <c r="H2685">
        <v>13</v>
      </c>
      <c r="I2685">
        <v>15.692299999999999</v>
      </c>
      <c r="J2685">
        <v>30.692299999999999</v>
      </c>
      <c r="K2685">
        <v>15</v>
      </c>
      <c r="L2685">
        <v>13</v>
      </c>
      <c r="M2685">
        <v>0</v>
      </c>
      <c r="N2685">
        <v>0</v>
      </c>
      <c r="O2685" t="s">
        <v>127</v>
      </c>
      <c r="P2685" t="s">
        <v>127</v>
      </c>
      <c r="Q2685" t="s">
        <v>127</v>
      </c>
    </row>
    <row r="2686" spans="1:17" x14ac:dyDescent="0.25">
      <c r="A2686" t="str">
        <f>IF(C2686&amp;G2686&amp;D2686&lt;&gt;'Funnel setup'!$K$3&amp;'Funnel setup'!$K$4&amp;'Funnel setup'!$K$6,".",IF(A2685=".",1,A2685+1))</f>
        <v>.</v>
      </c>
      <c r="B2686" s="244" t="str">
        <f t="shared" si="41"/>
        <v>Knee Replacement PrimaryProviderTHE YORKSHIRE CLINIC (NVC20)Oxford Knee Score</v>
      </c>
      <c r="C2686" t="s">
        <v>969</v>
      </c>
      <c r="D2686" t="s">
        <v>965</v>
      </c>
      <c r="E2686" t="s">
        <v>662</v>
      </c>
      <c r="F2686" t="s">
        <v>663</v>
      </c>
      <c r="G2686" t="s">
        <v>972</v>
      </c>
      <c r="H2686">
        <v>35</v>
      </c>
      <c r="I2686">
        <v>21.857099999999999</v>
      </c>
      <c r="J2686">
        <v>36.514299999999999</v>
      </c>
      <c r="K2686">
        <v>14.6571</v>
      </c>
      <c r="L2686">
        <v>34</v>
      </c>
      <c r="M2686">
        <v>0</v>
      </c>
      <c r="N2686">
        <v>1</v>
      </c>
      <c r="O2686">
        <v>36.103900000000003</v>
      </c>
      <c r="P2686">
        <v>16.715599999999998</v>
      </c>
      <c r="Q2686">
        <v>6.5559500000000002</v>
      </c>
    </row>
    <row r="2687" spans="1:17" x14ac:dyDescent="0.25">
      <c r="A2687" t="str">
        <f>IF(C2687&amp;G2687&amp;D2687&lt;&gt;'Funnel setup'!$K$3&amp;'Funnel setup'!$K$4&amp;'Funnel setup'!$K$6,".",IF(A2686=".",1,A2686+1))</f>
        <v>.</v>
      </c>
      <c r="B2687" s="244" t="str">
        <f t="shared" si="41"/>
        <v>Knee Replacement PrimaryProviderTHORNBURY HOSPITAL (NT440)Oxford Knee Score</v>
      </c>
      <c r="C2687" t="s">
        <v>969</v>
      </c>
      <c r="D2687" t="s">
        <v>965</v>
      </c>
      <c r="E2687" t="s">
        <v>664</v>
      </c>
      <c r="F2687" t="s">
        <v>665</v>
      </c>
      <c r="G2687" t="s">
        <v>972</v>
      </c>
      <c r="H2687">
        <v>4</v>
      </c>
      <c r="I2687">
        <v>21.75</v>
      </c>
      <c r="J2687">
        <v>30</v>
      </c>
      <c r="K2687">
        <v>8.25</v>
      </c>
      <c r="L2687">
        <v>4</v>
      </c>
      <c r="M2687">
        <v>0</v>
      </c>
      <c r="N2687">
        <v>0</v>
      </c>
      <c r="O2687" t="s">
        <v>127</v>
      </c>
      <c r="P2687" t="s">
        <v>127</v>
      </c>
      <c r="Q2687" t="s">
        <v>127</v>
      </c>
    </row>
    <row r="2688" spans="1:17" x14ac:dyDescent="0.25">
      <c r="A2688" t="str">
        <f>IF(C2688&amp;G2688&amp;D2688&lt;&gt;'Funnel setup'!$K$3&amp;'Funnel setup'!$K$4&amp;'Funnel setup'!$K$6,".",IF(A2687=".",1,A2687+1))</f>
        <v>.</v>
      </c>
      <c r="B2688" s="244" t="str">
        <f t="shared" si="41"/>
        <v>Knee Replacement PrimaryProviderTHREE SHIRES HOSPITAL (NT441)Oxford Knee Score</v>
      </c>
      <c r="C2688" t="s">
        <v>969</v>
      </c>
      <c r="D2688" t="s">
        <v>965</v>
      </c>
      <c r="E2688" t="s">
        <v>666</v>
      </c>
      <c r="F2688" t="s">
        <v>667</v>
      </c>
      <c r="G2688" t="s">
        <v>972</v>
      </c>
      <c r="H2688">
        <v>78</v>
      </c>
      <c r="I2688">
        <v>19.2179</v>
      </c>
      <c r="J2688">
        <v>37.859000000000002</v>
      </c>
      <c r="K2688">
        <v>18.640999999999998</v>
      </c>
      <c r="L2688">
        <v>72</v>
      </c>
      <c r="M2688">
        <v>2</v>
      </c>
      <c r="N2688">
        <v>4</v>
      </c>
      <c r="O2688">
        <v>36.563600000000001</v>
      </c>
      <c r="P2688">
        <v>17.1753</v>
      </c>
      <c r="Q2688">
        <v>9.1157199999999996</v>
      </c>
    </row>
    <row r="2689" spans="1:17" x14ac:dyDescent="0.25">
      <c r="A2689" t="str">
        <f>IF(C2689&amp;G2689&amp;D2689&lt;&gt;'Funnel setup'!$K$3&amp;'Funnel setup'!$K$4&amp;'Funnel setup'!$K$6,".",IF(A2688=".",1,A2688+1))</f>
        <v>.</v>
      </c>
      <c r="B2689" s="244" t="str">
        <f t="shared" si="41"/>
        <v>Knee Replacement PrimaryProviderTORBAY AND SOUTH DEVON NHS FOUNDATION TRUST (RA9)Oxford Knee Score</v>
      </c>
      <c r="C2689" t="s">
        <v>969</v>
      </c>
      <c r="D2689" t="s">
        <v>965</v>
      </c>
      <c r="E2689" t="s">
        <v>668</v>
      </c>
      <c r="F2689" t="s">
        <v>669</v>
      </c>
      <c r="G2689" t="s">
        <v>972</v>
      </c>
      <c r="H2689">
        <v>7</v>
      </c>
      <c r="I2689">
        <v>16.142900000000001</v>
      </c>
      <c r="J2689">
        <v>29.857099999999999</v>
      </c>
      <c r="K2689">
        <v>13.7143</v>
      </c>
      <c r="L2689">
        <v>7</v>
      </c>
      <c r="M2689">
        <v>0</v>
      </c>
      <c r="N2689">
        <v>0</v>
      </c>
      <c r="O2689" t="s">
        <v>127</v>
      </c>
      <c r="P2689" t="s">
        <v>127</v>
      </c>
      <c r="Q2689" t="s">
        <v>127</v>
      </c>
    </row>
    <row r="2690" spans="1:17" x14ac:dyDescent="0.25">
      <c r="A2690" t="str">
        <f>IF(C2690&amp;G2690&amp;D2690&lt;&gt;'Funnel setup'!$K$3&amp;'Funnel setup'!$K$4&amp;'Funnel setup'!$K$6,".",IF(A2689=".",1,A2689+1))</f>
        <v>.</v>
      </c>
      <c r="B2690" s="244" t="str">
        <f t="shared" ref="B2690:B2753" si="42">C2690&amp;D2690&amp;F2690&amp;G2690</f>
        <v>Knee Replacement PrimaryProviderUNITED LINCOLNSHIRE HOSPITALS NHS TRUST (RWD)Oxford Knee Score</v>
      </c>
      <c r="C2690" t="s">
        <v>969</v>
      </c>
      <c r="D2690" t="s">
        <v>965</v>
      </c>
      <c r="E2690" t="s">
        <v>672</v>
      </c>
      <c r="F2690" t="s">
        <v>673</v>
      </c>
      <c r="G2690" t="s">
        <v>972</v>
      </c>
      <c r="H2690">
        <v>33</v>
      </c>
      <c r="I2690">
        <v>16.2727</v>
      </c>
      <c r="J2690">
        <v>34.424199999999999</v>
      </c>
      <c r="K2690">
        <v>18.151499999999999</v>
      </c>
      <c r="L2690">
        <v>31</v>
      </c>
      <c r="M2690">
        <v>0</v>
      </c>
      <c r="N2690">
        <v>2</v>
      </c>
      <c r="O2690">
        <v>35.539200000000001</v>
      </c>
      <c r="P2690">
        <v>16.1509</v>
      </c>
      <c r="Q2690">
        <v>8.8240400000000001</v>
      </c>
    </row>
    <row r="2691" spans="1:17" x14ac:dyDescent="0.25">
      <c r="A2691" t="str">
        <f>IF(C2691&amp;G2691&amp;D2691&lt;&gt;'Funnel setup'!$K$3&amp;'Funnel setup'!$K$4&amp;'Funnel setup'!$K$6,".",IF(A2690=".",1,A2690+1))</f>
        <v>.</v>
      </c>
      <c r="B2691" s="244" t="str">
        <f t="shared" si="42"/>
        <v>Knee Replacement PrimaryProviderUNIVERSITY COLLEGE LONDON HOSPITALS NHS FOUNDATION TRUST (RRV)Oxford Knee Score</v>
      </c>
      <c r="C2691" t="s">
        <v>969</v>
      </c>
      <c r="D2691" t="s">
        <v>965</v>
      </c>
      <c r="E2691" t="s">
        <v>674</v>
      </c>
      <c r="F2691" t="s">
        <v>675</v>
      </c>
      <c r="G2691" t="s">
        <v>972</v>
      </c>
      <c r="H2691">
        <v>168</v>
      </c>
      <c r="I2691">
        <v>21.506</v>
      </c>
      <c r="J2691">
        <v>35.273800000000001</v>
      </c>
      <c r="K2691">
        <v>13.767899999999999</v>
      </c>
      <c r="L2691">
        <v>153</v>
      </c>
      <c r="M2691">
        <v>0</v>
      </c>
      <c r="N2691">
        <v>15</v>
      </c>
      <c r="O2691">
        <v>35.604500000000002</v>
      </c>
      <c r="P2691">
        <v>16.216200000000001</v>
      </c>
      <c r="Q2691">
        <v>8.9688999999999997</v>
      </c>
    </row>
    <row r="2692" spans="1:17" x14ac:dyDescent="0.25">
      <c r="A2692" t="str">
        <f>IF(C2692&amp;G2692&amp;D2692&lt;&gt;'Funnel setup'!$K$3&amp;'Funnel setup'!$K$4&amp;'Funnel setup'!$K$6,".",IF(A2691=".",1,A2691+1))</f>
        <v>.</v>
      </c>
      <c r="B2692" s="244" t="str">
        <f t="shared" si="42"/>
        <v>Knee Replacement PrimaryProviderUNIVERSITY HOSPITAL SOUTHAMPTON NHS FOUNDATION TRUST (RHM)Oxford Knee Score</v>
      </c>
      <c r="C2692" t="s">
        <v>969</v>
      </c>
      <c r="D2692" t="s">
        <v>965</v>
      </c>
      <c r="E2692" t="s">
        <v>676</v>
      </c>
      <c r="F2692" t="s">
        <v>677</v>
      </c>
      <c r="G2692" t="s">
        <v>972</v>
      </c>
      <c r="H2692">
        <v>79</v>
      </c>
      <c r="I2692">
        <v>21.5823</v>
      </c>
      <c r="J2692">
        <v>37.734200000000001</v>
      </c>
      <c r="K2692">
        <v>16.151900000000001</v>
      </c>
      <c r="L2692">
        <v>77</v>
      </c>
      <c r="M2692">
        <v>0</v>
      </c>
      <c r="N2692">
        <v>2</v>
      </c>
      <c r="O2692">
        <v>36.963099999999997</v>
      </c>
      <c r="P2692">
        <v>17.5748</v>
      </c>
      <c r="Q2692">
        <v>8.5850100000000005</v>
      </c>
    </row>
    <row r="2693" spans="1:17" x14ac:dyDescent="0.25">
      <c r="A2693" t="str">
        <f>IF(C2693&amp;G2693&amp;D2693&lt;&gt;'Funnel setup'!$K$3&amp;'Funnel setup'!$K$4&amp;'Funnel setup'!$K$6,".",IF(A2692=".",1,A2692+1))</f>
        <v>.</v>
      </c>
      <c r="B2693" s="244" t="str">
        <f t="shared" si="42"/>
        <v>Knee Replacement PrimaryProviderUNIVERSITY HOSPITALS BRISTOL AND WESTON NHS FOUNDATION TRUST (RA7)Oxford Knee Score</v>
      </c>
      <c r="C2693" t="s">
        <v>969</v>
      </c>
      <c r="D2693" t="s">
        <v>965</v>
      </c>
      <c r="E2693" t="s">
        <v>680</v>
      </c>
      <c r="F2693" t="s">
        <v>681</v>
      </c>
      <c r="G2693" t="s">
        <v>972</v>
      </c>
      <c r="H2693">
        <v>17</v>
      </c>
      <c r="I2693">
        <v>14.411799999999999</v>
      </c>
      <c r="J2693">
        <v>36.764699999999998</v>
      </c>
      <c r="K2693">
        <v>22.352900000000002</v>
      </c>
      <c r="L2693">
        <v>17</v>
      </c>
      <c r="M2693">
        <v>0</v>
      </c>
      <c r="N2693">
        <v>0</v>
      </c>
      <c r="O2693" t="s">
        <v>127</v>
      </c>
      <c r="P2693" t="s">
        <v>127</v>
      </c>
      <c r="Q2693" t="s">
        <v>127</v>
      </c>
    </row>
    <row r="2694" spans="1:17" x14ac:dyDescent="0.25">
      <c r="A2694" t="str">
        <f>IF(C2694&amp;G2694&amp;D2694&lt;&gt;'Funnel setup'!$K$3&amp;'Funnel setup'!$K$4&amp;'Funnel setup'!$K$6,".",IF(A2693=".",1,A2693+1))</f>
        <v>.</v>
      </c>
      <c r="B2694" s="244" t="str">
        <f t="shared" si="42"/>
        <v>Knee Replacement PrimaryProviderUNIVERSITY HOSPITALS COVENTRY AND WARWICKSHIRE NHS TRUST (RKB)Oxford Knee Score</v>
      </c>
      <c r="C2694" t="s">
        <v>969</v>
      </c>
      <c r="D2694" t="s">
        <v>965</v>
      </c>
      <c r="E2694" t="s">
        <v>682</v>
      </c>
      <c r="F2694" t="s">
        <v>683</v>
      </c>
      <c r="G2694" t="s">
        <v>972</v>
      </c>
      <c r="H2694">
        <v>18</v>
      </c>
      <c r="I2694">
        <v>19</v>
      </c>
      <c r="J2694">
        <v>37.833300000000001</v>
      </c>
      <c r="K2694">
        <v>18.833300000000001</v>
      </c>
      <c r="L2694">
        <v>18</v>
      </c>
      <c r="M2694">
        <v>0</v>
      </c>
      <c r="N2694">
        <v>0</v>
      </c>
      <c r="O2694" t="s">
        <v>127</v>
      </c>
      <c r="P2694" t="s">
        <v>127</v>
      </c>
      <c r="Q2694" t="s">
        <v>127</v>
      </c>
    </row>
    <row r="2695" spans="1:17" x14ac:dyDescent="0.25">
      <c r="A2695" t="str">
        <f>IF(C2695&amp;G2695&amp;D2695&lt;&gt;'Funnel setup'!$K$3&amp;'Funnel setup'!$K$4&amp;'Funnel setup'!$K$6,".",IF(A2694=".",1,A2694+1))</f>
        <v>.</v>
      </c>
      <c r="B2695" s="244" t="str">
        <f t="shared" si="42"/>
        <v>Knee Replacement PrimaryProviderUNIVERSITY HOSPITAL DORSET NHS FUNDATION TRUST (R0D)Oxford Knee Score</v>
      </c>
      <c r="C2695" t="s">
        <v>969</v>
      </c>
      <c r="D2695" t="s">
        <v>965</v>
      </c>
      <c r="E2695" t="s">
        <v>684</v>
      </c>
      <c r="F2695" t="s">
        <v>966</v>
      </c>
      <c r="G2695" t="s">
        <v>972</v>
      </c>
      <c r="H2695">
        <v>194</v>
      </c>
      <c r="I2695">
        <v>21.020600000000002</v>
      </c>
      <c r="J2695">
        <v>38.355699999999999</v>
      </c>
      <c r="K2695">
        <v>17.335100000000001</v>
      </c>
      <c r="L2695">
        <v>182</v>
      </c>
      <c r="M2695">
        <v>1</v>
      </c>
      <c r="N2695">
        <v>11</v>
      </c>
      <c r="O2695">
        <v>37.665300000000002</v>
      </c>
      <c r="P2695">
        <v>18.277000000000001</v>
      </c>
      <c r="Q2695">
        <v>8.1583400000000008</v>
      </c>
    </row>
    <row r="2696" spans="1:17" x14ac:dyDescent="0.25">
      <c r="A2696" t="str">
        <f>IF(C2696&amp;G2696&amp;D2696&lt;&gt;'Funnel setup'!$K$3&amp;'Funnel setup'!$K$4&amp;'Funnel setup'!$K$6,".",IF(A2695=".",1,A2695+1))</f>
        <v>.</v>
      </c>
      <c r="B2696" s="244" t="str">
        <f t="shared" si="42"/>
        <v>Knee Replacement PrimaryProviderUNIVERSITY HOSPITALS OF DERBY AND BURTON NHS FOUNDATION TRUST (RTG)Oxford Knee Score</v>
      </c>
      <c r="C2696" t="s">
        <v>969</v>
      </c>
      <c r="D2696" t="s">
        <v>965</v>
      </c>
      <c r="E2696" t="s">
        <v>686</v>
      </c>
      <c r="F2696" t="s">
        <v>687</v>
      </c>
      <c r="G2696" t="s">
        <v>972</v>
      </c>
      <c r="H2696">
        <v>364</v>
      </c>
      <c r="I2696">
        <v>19.225300000000001</v>
      </c>
      <c r="J2696">
        <v>36.659300000000002</v>
      </c>
      <c r="K2696">
        <v>17.434100000000001</v>
      </c>
      <c r="L2696">
        <v>349</v>
      </c>
      <c r="M2696">
        <v>3</v>
      </c>
      <c r="N2696">
        <v>12</v>
      </c>
      <c r="O2696">
        <v>37.015799999999999</v>
      </c>
      <c r="P2696">
        <v>17.627500000000001</v>
      </c>
      <c r="Q2696">
        <v>8.7242700000000006</v>
      </c>
    </row>
    <row r="2697" spans="1:17" x14ac:dyDescent="0.25">
      <c r="A2697" t="str">
        <f>IF(C2697&amp;G2697&amp;D2697&lt;&gt;'Funnel setup'!$K$3&amp;'Funnel setup'!$K$4&amp;'Funnel setup'!$K$6,".",IF(A2696=".",1,A2696+1))</f>
        <v>.</v>
      </c>
      <c r="B2697" s="244" t="str">
        <f t="shared" si="42"/>
        <v>Knee Replacement PrimaryProviderUNIVERSITY HOSPITALS OF LEICESTER NHS TRUST (RWE)Oxford Knee Score</v>
      </c>
      <c r="C2697" t="s">
        <v>969</v>
      </c>
      <c r="D2697" t="s">
        <v>965</v>
      </c>
      <c r="E2697" t="s">
        <v>688</v>
      </c>
      <c r="F2697" t="s">
        <v>689</v>
      </c>
      <c r="G2697" t="s">
        <v>972</v>
      </c>
      <c r="H2697">
        <v>168</v>
      </c>
      <c r="I2697">
        <v>16.517900000000001</v>
      </c>
      <c r="J2697">
        <v>33.452399999999997</v>
      </c>
      <c r="K2697">
        <v>16.9345</v>
      </c>
      <c r="L2697">
        <v>159</v>
      </c>
      <c r="M2697">
        <v>1</v>
      </c>
      <c r="N2697">
        <v>8</v>
      </c>
      <c r="O2697">
        <v>35.489100000000001</v>
      </c>
      <c r="P2697">
        <v>16.1008</v>
      </c>
      <c r="Q2697">
        <v>8.87547</v>
      </c>
    </row>
    <row r="2698" spans="1:17" x14ac:dyDescent="0.25">
      <c r="A2698" t="str">
        <f>IF(C2698&amp;G2698&amp;D2698&lt;&gt;'Funnel setup'!$K$3&amp;'Funnel setup'!$K$4&amp;'Funnel setup'!$K$6,".",IF(A2697=".",1,A2697+1))</f>
        <v>.</v>
      </c>
      <c r="B2698" s="244" t="str">
        <f t="shared" si="42"/>
        <v>Knee Replacement PrimaryProviderUNIVERSITY HOSPITALS OF MORECAMBE BAY NHS FOUNDATION TRUST (RTX)Oxford Knee Score</v>
      </c>
      <c r="C2698" t="s">
        <v>969</v>
      </c>
      <c r="D2698" t="s">
        <v>965</v>
      </c>
      <c r="E2698" t="s">
        <v>690</v>
      </c>
      <c r="F2698" t="s">
        <v>691</v>
      </c>
      <c r="G2698" t="s">
        <v>972</v>
      </c>
      <c r="H2698">
        <v>167</v>
      </c>
      <c r="I2698">
        <v>20.2575</v>
      </c>
      <c r="J2698">
        <v>37.718600000000002</v>
      </c>
      <c r="K2698">
        <v>17.461099999999998</v>
      </c>
      <c r="L2698">
        <v>158</v>
      </c>
      <c r="M2698">
        <v>1</v>
      </c>
      <c r="N2698">
        <v>8</v>
      </c>
      <c r="O2698">
        <v>37.356099999999998</v>
      </c>
      <c r="P2698">
        <v>17.9678</v>
      </c>
      <c r="Q2698">
        <v>8.1130200000000006</v>
      </c>
    </row>
    <row r="2699" spans="1:17" x14ac:dyDescent="0.25">
      <c r="A2699" t="str">
        <f>IF(C2699&amp;G2699&amp;D2699&lt;&gt;'Funnel setup'!$K$3&amp;'Funnel setup'!$K$4&amp;'Funnel setup'!$K$6,".",IF(A2698=".",1,A2698+1))</f>
        <v>.</v>
      </c>
      <c r="B2699" s="244" t="str">
        <f t="shared" si="42"/>
        <v>Knee Replacement PrimaryProviderUNIVERSITY HOSPITALS OF NORTH MIDLANDS NHS TRUST (RJE)Oxford Knee Score</v>
      </c>
      <c r="C2699" t="s">
        <v>969</v>
      </c>
      <c r="D2699" t="s">
        <v>965</v>
      </c>
      <c r="E2699" t="s">
        <v>692</v>
      </c>
      <c r="F2699" t="s">
        <v>693</v>
      </c>
      <c r="G2699" t="s">
        <v>972</v>
      </c>
      <c r="H2699">
        <v>18</v>
      </c>
      <c r="I2699">
        <v>14.1111</v>
      </c>
      <c r="J2699">
        <v>35</v>
      </c>
      <c r="K2699">
        <v>20.8889</v>
      </c>
      <c r="L2699">
        <v>18</v>
      </c>
      <c r="M2699">
        <v>0</v>
      </c>
      <c r="N2699">
        <v>0</v>
      </c>
      <c r="O2699" t="s">
        <v>127</v>
      </c>
      <c r="P2699" t="s">
        <v>127</v>
      </c>
      <c r="Q2699" t="s">
        <v>127</v>
      </c>
    </row>
    <row r="2700" spans="1:17" x14ac:dyDescent="0.25">
      <c r="A2700" t="str">
        <f>IF(C2700&amp;G2700&amp;D2700&lt;&gt;'Funnel setup'!$K$3&amp;'Funnel setup'!$K$4&amp;'Funnel setup'!$K$6,".",IF(A2699=".",1,A2699+1))</f>
        <v>.</v>
      </c>
      <c r="B2700" s="244" t="str">
        <f t="shared" si="42"/>
        <v>Knee Replacement PrimaryProviderUNIVERSITY HOSPITALS PLYMOUTH NHS TRUST (RK9)Oxford Knee Score</v>
      </c>
      <c r="C2700" t="s">
        <v>969</v>
      </c>
      <c r="D2700" t="s">
        <v>965</v>
      </c>
      <c r="E2700" t="s">
        <v>694</v>
      </c>
      <c r="F2700" t="s">
        <v>695</v>
      </c>
      <c r="G2700" t="s">
        <v>972</v>
      </c>
      <c r="H2700">
        <v>3</v>
      </c>
      <c r="I2700">
        <v>8</v>
      </c>
      <c r="J2700">
        <v>19</v>
      </c>
      <c r="K2700">
        <v>11</v>
      </c>
      <c r="L2700">
        <v>2</v>
      </c>
      <c r="M2700">
        <v>0</v>
      </c>
      <c r="N2700">
        <v>1</v>
      </c>
      <c r="O2700" t="s">
        <v>127</v>
      </c>
      <c r="P2700" t="s">
        <v>127</v>
      </c>
      <c r="Q2700" t="s">
        <v>127</v>
      </c>
    </row>
    <row r="2701" spans="1:17" x14ac:dyDescent="0.25">
      <c r="A2701" t="str">
        <f>IF(C2701&amp;G2701&amp;D2701&lt;&gt;'Funnel setup'!$K$3&amp;'Funnel setup'!$K$4&amp;'Funnel setup'!$K$6,".",IF(A2700=".",1,A2700+1))</f>
        <v>.</v>
      </c>
      <c r="B2701" s="244" t="str">
        <f t="shared" si="42"/>
        <v>Knee Replacement PrimaryProviderUNIVERSITY HOSPITALS SUSSEX NHS FOUNDATION TRUST (RYR)Oxford Knee Score</v>
      </c>
      <c r="C2701" t="s">
        <v>969</v>
      </c>
      <c r="D2701" t="s">
        <v>965</v>
      </c>
      <c r="E2701" t="s">
        <v>696</v>
      </c>
      <c r="F2701" t="s">
        <v>697</v>
      </c>
      <c r="G2701" t="s">
        <v>972</v>
      </c>
      <c r="H2701">
        <v>127</v>
      </c>
      <c r="I2701">
        <v>17.157499999999999</v>
      </c>
      <c r="J2701">
        <v>35.3307</v>
      </c>
      <c r="K2701">
        <v>18.173200000000001</v>
      </c>
      <c r="L2701">
        <v>124</v>
      </c>
      <c r="M2701">
        <v>1</v>
      </c>
      <c r="N2701">
        <v>2</v>
      </c>
      <c r="O2701">
        <v>35.943800000000003</v>
      </c>
      <c r="P2701">
        <v>16.555499999999999</v>
      </c>
      <c r="Q2701">
        <v>8.3710599999999999</v>
      </c>
    </row>
    <row r="2702" spans="1:17" x14ac:dyDescent="0.25">
      <c r="A2702" t="str">
        <f>IF(C2702&amp;G2702&amp;D2702&lt;&gt;'Funnel setup'!$K$3&amp;'Funnel setup'!$K$4&amp;'Funnel setup'!$K$6,".",IF(A2701=".",1,A2701+1))</f>
        <v>.</v>
      </c>
      <c r="B2702" s="244" t="str">
        <f t="shared" si="42"/>
        <v>Knee Replacement PrimaryProviderWALSALL HEALTHCARE NHS TRUST (RBK)Oxford Knee Score</v>
      </c>
      <c r="C2702" t="s">
        <v>969</v>
      </c>
      <c r="D2702" t="s">
        <v>965</v>
      </c>
      <c r="E2702" t="s">
        <v>698</v>
      </c>
      <c r="F2702" t="s">
        <v>699</v>
      </c>
      <c r="G2702" t="s">
        <v>972</v>
      </c>
      <c r="H2702">
        <v>10</v>
      </c>
      <c r="I2702">
        <v>19.100000000000001</v>
      </c>
      <c r="J2702">
        <v>34.1</v>
      </c>
      <c r="K2702">
        <v>15</v>
      </c>
      <c r="L2702">
        <v>9</v>
      </c>
      <c r="M2702">
        <v>1</v>
      </c>
      <c r="N2702">
        <v>0</v>
      </c>
      <c r="O2702" t="s">
        <v>127</v>
      </c>
      <c r="P2702" t="s">
        <v>127</v>
      </c>
      <c r="Q2702" t="s">
        <v>127</v>
      </c>
    </row>
    <row r="2703" spans="1:17" x14ac:dyDescent="0.25">
      <c r="A2703" t="str">
        <f>IF(C2703&amp;G2703&amp;D2703&lt;&gt;'Funnel setup'!$K$3&amp;'Funnel setup'!$K$4&amp;'Funnel setup'!$K$6,".",IF(A2702=".",1,A2702+1))</f>
        <v>.</v>
      </c>
      <c r="B2703" s="244" t="str">
        <f t="shared" si="42"/>
        <v>Knee Replacement PrimaryProviderWARRINGTON AND HALTON TEACHING HOSPITALS NHS FOUNDATION TRUST (RWW)Oxford Knee Score</v>
      </c>
      <c r="C2703" t="s">
        <v>969</v>
      </c>
      <c r="D2703" t="s">
        <v>965</v>
      </c>
      <c r="E2703" t="s">
        <v>700</v>
      </c>
      <c r="F2703" t="s">
        <v>701</v>
      </c>
      <c r="G2703" t="s">
        <v>972</v>
      </c>
      <c r="H2703">
        <v>33</v>
      </c>
      <c r="I2703">
        <v>17.848500000000001</v>
      </c>
      <c r="J2703">
        <v>34.2727</v>
      </c>
      <c r="K2703">
        <v>16.424199999999999</v>
      </c>
      <c r="L2703">
        <v>32</v>
      </c>
      <c r="M2703">
        <v>0</v>
      </c>
      <c r="N2703">
        <v>1</v>
      </c>
      <c r="O2703">
        <v>35.372599999999998</v>
      </c>
      <c r="P2703">
        <v>15.984299999999999</v>
      </c>
      <c r="Q2703">
        <v>7.7389400000000004</v>
      </c>
    </row>
    <row r="2704" spans="1:17" x14ac:dyDescent="0.25">
      <c r="A2704" t="str">
        <f>IF(C2704&amp;G2704&amp;D2704&lt;&gt;'Funnel setup'!$K$3&amp;'Funnel setup'!$K$4&amp;'Funnel setup'!$K$6,".",IF(A2703=".",1,A2703+1))</f>
        <v>.</v>
      </c>
      <c r="B2704" s="244" t="str">
        <f t="shared" si="42"/>
        <v>Knee Replacement PrimaryProviderWEST HERTFORDSHIRE TEACHING HOSPITALS NHS TRUST (RWG)Oxford Knee Score</v>
      </c>
      <c r="C2704" t="s">
        <v>969</v>
      </c>
      <c r="D2704" t="s">
        <v>965</v>
      </c>
      <c r="E2704" t="s">
        <v>702</v>
      </c>
      <c r="F2704" t="s">
        <v>703</v>
      </c>
      <c r="G2704" t="s">
        <v>972</v>
      </c>
      <c r="H2704">
        <v>77</v>
      </c>
      <c r="I2704">
        <v>21.129899999999999</v>
      </c>
      <c r="J2704">
        <v>36.909100000000002</v>
      </c>
      <c r="K2704">
        <v>15.779199999999999</v>
      </c>
      <c r="L2704">
        <v>71</v>
      </c>
      <c r="M2704">
        <v>1</v>
      </c>
      <c r="N2704">
        <v>5</v>
      </c>
      <c r="O2704">
        <v>35.963000000000001</v>
      </c>
      <c r="P2704">
        <v>16.5746</v>
      </c>
      <c r="Q2704">
        <v>8.8825699999999994</v>
      </c>
    </row>
    <row r="2705" spans="1:17" x14ac:dyDescent="0.25">
      <c r="A2705" t="str">
        <f>IF(C2705&amp;G2705&amp;D2705&lt;&gt;'Funnel setup'!$K$3&amp;'Funnel setup'!$K$4&amp;'Funnel setup'!$K$6,".",IF(A2704=".",1,A2704+1))</f>
        <v>.</v>
      </c>
      <c r="B2705" s="244" t="str">
        <f t="shared" si="42"/>
        <v>Knee Replacement PrimaryProviderWEST MIDLANDS HOSPITAL (NVC21)Oxford Knee Score</v>
      </c>
      <c r="C2705" t="s">
        <v>969</v>
      </c>
      <c r="D2705" t="s">
        <v>965</v>
      </c>
      <c r="E2705" t="s">
        <v>704</v>
      </c>
      <c r="F2705" t="s">
        <v>705</v>
      </c>
      <c r="G2705" t="s">
        <v>972</v>
      </c>
      <c r="H2705">
        <v>63</v>
      </c>
      <c r="I2705">
        <v>17.968299999999999</v>
      </c>
      <c r="J2705">
        <v>38.238100000000003</v>
      </c>
      <c r="K2705">
        <v>20.2698</v>
      </c>
      <c r="L2705">
        <v>62</v>
      </c>
      <c r="M2705">
        <v>0</v>
      </c>
      <c r="N2705">
        <v>1</v>
      </c>
      <c r="O2705">
        <v>39.308199999999999</v>
      </c>
      <c r="P2705">
        <v>19.919899999999998</v>
      </c>
      <c r="Q2705">
        <v>7.5570599999999999</v>
      </c>
    </row>
    <row r="2706" spans="1:17" x14ac:dyDescent="0.25">
      <c r="A2706" t="str">
        <f>IF(C2706&amp;G2706&amp;D2706&lt;&gt;'Funnel setup'!$K$3&amp;'Funnel setup'!$K$4&amp;'Funnel setup'!$K$6,".",IF(A2705=".",1,A2705+1))</f>
        <v>.</v>
      </c>
      <c r="B2706" s="244" t="str">
        <f t="shared" si="42"/>
        <v>Knee Replacement PrimaryProviderWEST SUFFOLK NHS FOUNDATION TRUST (RGR)Oxford Knee Score</v>
      </c>
      <c r="C2706" t="s">
        <v>969</v>
      </c>
      <c r="D2706" t="s">
        <v>965</v>
      </c>
      <c r="E2706" t="s">
        <v>706</v>
      </c>
      <c r="F2706" t="s">
        <v>707</v>
      </c>
      <c r="G2706" t="s">
        <v>972</v>
      </c>
      <c r="H2706">
        <v>69</v>
      </c>
      <c r="I2706">
        <v>17.043500000000002</v>
      </c>
      <c r="J2706">
        <v>34.507199999999997</v>
      </c>
      <c r="K2706">
        <v>17.463799999999999</v>
      </c>
      <c r="L2706">
        <v>66</v>
      </c>
      <c r="M2706">
        <v>0</v>
      </c>
      <c r="N2706">
        <v>3</v>
      </c>
      <c r="O2706">
        <v>34.902000000000001</v>
      </c>
      <c r="P2706">
        <v>15.5137</v>
      </c>
      <c r="Q2706">
        <v>7.9434899999999997</v>
      </c>
    </row>
    <row r="2707" spans="1:17" x14ac:dyDescent="0.25">
      <c r="A2707" t="str">
        <f>IF(C2707&amp;G2707&amp;D2707&lt;&gt;'Funnel setup'!$K$3&amp;'Funnel setup'!$K$4&amp;'Funnel setup'!$K$6,".",IF(A2706=".",1,A2706+1))</f>
        <v>.</v>
      </c>
      <c r="B2707" s="244" t="str">
        <f t="shared" si="42"/>
        <v>Knee Replacement PrimaryProviderWINFIELD HOSPITAL (NVC22)Oxford Knee Score</v>
      </c>
      <c r="C2707" t="s">
        <v>969</v>
      </c>
      <c r="D2707" t="s">
        <v>965</v>
      </c>
      <c r="E2707" t="s">
        <v>710</v>
      </c>
      <c r="F2707" t="s">
        <v>711</v>
      </c>
      <c r="G2707" t="s">
        <v>972</v>
      </c>
      <c r="H2707">
        <v>53</v>
      </c>
      <c r="I2707">
        <v>21.6981</v>
      </c>
      <c r="J2707">
        <v>38.811300000000003</v>
      </c>
      <c r="K2707">
        <v>17.113199999999999</v>
      </c>
      <c r="L2707">
        <v>49</v>
      </c>
      <c r="M2707">
        <v>0</v>
      </c>
      <c r="N2707">
        <v>4</v>
      </c>
      <c r="O2707">
        <v>37.203499999999998</v>
      </c>
      <c r="P2707">
        <v>17.815200000000001</v>
      </c>
      <c r="Q2707">
        <v>8.5618999999999996</v>
      </c>
    </row>
    <row r="2708" spans="1:17" x14ac:dyDescent="0.25">
      <c r="A2708" t="str">
        <f>IF(C2708&amp;G2708&amp;D2708&lt;&gt;'Funnel setup'!$K$3&amp;'Funnel setup'!$K$4&amp;'Funnel setup'!$K$6,".",IF(A2707=".",1,A2707+1))</f>
        <v>.</v>
      </c>
      <c r="B2708" s="244" t="str">
        <f t="shared" si="42"/>
        <v>Knee Replacement PrimaryProviderWINTERBOURNE HOSPITAL (NT443)Oxford Knee Score</v>
      </c>
      <c r="C2708" t="s">
        <v>969</v>
      </c>
      <c r="D2708" t="s">
        <v>965</v>
      </c>
      <c r="E2708" t="s">
        <v>712</v>
      </c>
      <c r="F2708" t="s">
        <v>713</v>
      </c>
      <c r="G2708" t="s">
        <v>972</v>
      </c>
      <c r="H2708">
        <v>40</v>
      </c>
      <c r="I2708">
        <v>20.5</v>
      </c>
      <c r="J2708">
        <v>40.274999999999999</v>
      </c>
      <c r="K2708">
        <v>19.774999999999999</v>
      </c>
      <c r="L2708">
        <v>39</v>
      </c>
      <c r="M2708">
        <v>0</v>
      </c>
      <c r="N2708">
        <v>1</v>
      </c>
      <c r="O2708">
        <v>39.213099999999997</v>
      </c>
      <c r="P2708">
        <v>19.8248</v>
      </c>
      <c r="Q2708">
        <v>6.52719</v>
      </c>
    </row>
    <row r="2709" spans="1:17" x14ac:dyDescent="0.25">
      <c r="A2709" t="str">
        <f>IF(C2709&amp;G2709&amp;D2709&lt;&gt;'Funnel setup'!$K$3&amp;'Funnel setup'!$K$4&amp;'Funnel setup'!$K$6,".",IF(A2708=".",1,A2708+1))</f>
        <v>.</v>
      </c>
      <c r="B2709" s="244" t="str">
        <f t="shared" si="42"/>
        <v>Knee Replacement PrimaryProviderWIRRAL UNIVERSITY TEACHING HOSPITAL NHS FOUNDATION TRUST (RBL)Oxford Knee Score</v>
      </c>
      <c r="C2709" t="s">
        <v>969</v>
      </c>
      <c r="D2709" t="s">
        <v>965</v>
      </c>
      <c r="E2709" t="s">
        <v>714</v>
      </c>
      <c r="F2709" t="s">
        <v>715</v>
      </c>
      <c r="G2709" t="s">
        <v>972</v>
      </c>
      <c r="H2709">
        <v>90</v>
      </c>
      <c r="I2709">
        <v>19.011099999999999</v>
      </c>
      <c r="J2709">
        <v>38.022199999999998</v>
      </c>
      <c r="K2709">
        <v>19.011099999999999</v>
      </c>
      <c r="L2709">
        <v>84</v>
      </c>
      <c r="M2709">
        <v>0</v>
      </c>
      <c r="N2709">
        <v>6</v>
      </c>
      <c r="O2709">
        <v>38.344999999999999</v>
      </c>
      <c r="P2709">
        <v>18.956700000000001</v>
      </c>
      <c r="Q2709">
        <v>8.7278400000000005</v>
      </c>
    </row>
    <row r="2710" spans="1:17" x14ac:dyDescent="0.25">
      <c r="A2710" t="str">
        <f>IF(C2710&amp;G2710&amp;D2710&lt;&gt;'Funnel setup'!$K$3&amp;'Funnel setup'!$K$4&amp;'Funnel setup'!$K$6,".",IF(A2709=".",1,A2709+1))</f>
        <v>.</v>
      </c>
      <c r="B2710" s="244" t="str">
        <f t="shared" si="42"/>
        <v>Knee Replacement PrimaryProviderWOODLAND HOSPITAL (NVC23)Oxford Knee Score</v>
      </c>
      <c r="C2710" t="s">
        <v>969</v>
      </c>
      <c r="D2710" t="s">
        <v>965</v>
      </c>
      <c r="E2710" t="s">
        <v>716</v>
      </c>
      <c r="F2710" t="s">
        <v>717</v>
      </c>
      <c r="G2710" t="s">
        <v>972</v>
      </c>
      <c r="H2710">
        <v>64</v>
      </c>
      <c r="I2710">
        <v>15.875</v>
      </c>
      <c r="J2710">
        <v>36.765599999999999</v>
      </c>
      <c r="K2710">
        <v>20.890599999999999</v>
      </c>
      <c r="L2710">
        <v>63</v>
      </c>
      <c r="M2710">
        <v>0</v>
      </c>
      <c r="N2710">
        <v>1</v>
      </c>
      <c r="O2710">
        <v>37.837400000000002</v>
      </c>
      <c r="P2710">
        <v>18.449000000000002</v>
      </c>
      <c r="Q2710">
        <v>8.6235800000000005</v>
      </c>
    </row>
    <row r="2711" spans="1:17" x14ac:dyDescent="0.25">
      <c r="A2711" t="str">
        <f>IF(C2711&amp;G2711&amp;D2711&lt;&gt;'Funnel setup'!$K$3&amp;'Funnel setup'!$K$4&amp;'Funnel setup'!$K$6,".",IF(A2710=".",1,A2710+1))</f>
        <v>.</v>
      </c>
      <c r="B2711" s="244" t="str">
        <f t="shared" si="42"/>
        <v>Knee Replacement PrimaryProviderWOODLANDS HOSPITAL (NT457)Oxford Knee Score</v>
      </c>
      <c r="C2711" t="s">
        <v>969</v>
      </c>
      <c r="D2711" t="s">
        <v>965</v>
      </c>
      <c r="E2711" t="s">
        <v>718</v>
      </c>
      <c r="F2711" t="s">
        <v>719</v>
      </c>
      <c r="G2711" t="s">
        <v>972</v>
      </c>
      <c r="H2711">
        <v>92</v>
      </c>
      <c r="I2711">
        <v>20.456499999999998</v>
      </c>
      <c r="J2711">
        <v>39.510899999999999</v>
      </c>
      <c r="K2711">
        <v>19.054300000000001</v>
      </c>
      <c r="L2711">
        <v>88</v>
      </c>
      <c r="M2711">
        <v>0</v>
      </c>
      <c r="N2711">
        <v>4</v>
      </c>
      <c r="O2711">
        <v>38.466700000000003</v>
      </c>
      <c r="P2711">
        <v>19.078399999999998</v>
      </c>
      <c r="Q2711">
        <v>7.8740699999999997</v>
      </c>
    </row>
    <row r="2712" spans="1:17" x14ac:dyDescent="0.25">
      <c r="A2712" t="str">
        <f>IF(C2712&amp;G2712&amp;D2712&lt;&gt;'Funnel setup'!$K$3&amp;'Funnel setup'!$K$4&amp;'Funnel setup'!$K$6,".",IF(A2711=".",1,A2711+1))</f>
        <v>.</v>
      </c>
      <c r="B2712" s="244" t="str">
        <f t="shared" si="42"/>
        <v>Knee Replacement PrimaryProviderWOODTHORPE HOSPITAL (NVC40)Oxford Knee Score</v>
      </c>
      <c r="C2712" t="s">
        <v>969</v>
      </c>
      <c r="D2712" t="s">
        <v>965</v>
      </c>
      <c r="E2712" t="s">
        <v>720</v>
      </c>
      <c r="F2712" t="s">
        <v>721</v>
      </c>
      <c r="G2712" t="s">
        <v>972</v>
      </c>
      <c r="H2712">
        <v>128</v>
      </c>
      <c r="I2712">
        <v>20.148399999999999</v>
      </c>
      <c r="J2712">
        <v>37.484400000000001</v>
      </c>
      <c r="K2712">
        <v>17.335899999999999</v>
      </c>
      <c r="L2712">
        <v>122</v>
      </c>
      <c r="M2712">
        <v>1</v>
      </c>
      <c r="N2712">
        <v>5</v>
      </c>
      <c r="O2712">
        <v>36.346200000000003</v>
      </c>
      <c r="P2712">
        <v>16.957899999999999</v>
      </c>
      <c r="Q2712">
        <v>7.8416899999999998</v>
      </c>
    </row>
    <row r="2713" spans="1:17" x14ac:dyDescent="0.25">
      <c r="A2713" t="str">
        <f>IF(C2713&amp;G2713&amp;D2713&lt;&gt;'Funnel setup'!$K$3&amp;'Funnel setup'!$K$4&amp;'Funnel setup'!$K$6,".",IF(A2712=".",1,A2712+1))</f>
        <v>.</v>
      </c>
      <c r="B2713" s="244" t="str">
        <f t="shared" si="42"/>
        <v>Knee Replacement PrimaryProviderWORCESTERSHIRE ACUTE HOSPITALS NHS TRUST (RWP)Oxford Knee Score</v>
      </c>
      <c r="C2713" t="s">
        <v>969</v>
      </c>
      <c r="D2713" t="s">
        <v>965</v>
      </c>
      <c r="E2713" t="s">
        <v>722</v>
      </c>
      <c r="F2713" t="s">
        <v>723</v>
      </c>
      <c r="G2713" t="s">
        <v>972</v>
      </c>
      <c r="H2713">
        <v>45</v>
      </c>
      <c r="I2713">
        <v>15.466699999999999</v>
      </c>
      <c r="J2713">
        <v>33.666699999999999</v>
      </c>
      <c r="K2713">
        <v>18.2</v>
      </c>
      <c r="L2713">
        <v>44</v>
      </c>
      <c r="M2713">
        <v>0</v>
      </c>
      <c r="N2713">
        <v>1</v>
      </c>
      <c r="O2713">
        <v>35.370399999999997</v>
      </c>
      <c r="P2713">
        <v>15.982100000000001</v>
      </c>
      <c r="Q2713">
        <v>8.6217600000000001</v>
      </c>
    </row>
    <row r="2714" spans="1:17" x14ac:dyDescent="0.25">
      <c r="A2714" t="str">
        <f>IF(C2714&amp;G2714&amp;D2714&lt;&gt;'Funnel setup'!$K$3&amp;'Funnel setup'!$K$4&amp;'Funnel setup'!$K$6,".",IF(A2713=".",1,A2713+1))</f>
        <v>.</v>
      </c>
      <c r="B2714" s="244" t="str">
        <f t="shared" si="42"/>
        <v>Knee Replacement PrimaryProviderWRIGHTINGTON, WIGAN AND LEIGH NHS FOUNDATION TRUST (RRF)Oxford Knee Score</v>
      </c>
      <c r="C2714" t="s">
        <v>969</v>
      </c>
      <c r="D2714" t="s">
        <v>965</v>
      </c>
      <c r="E2714" t="s">
        <v>724</v>
      </c>
      <c r="F2714" t="s">
        <v>725</v>
      </c>
      <c r="G2714" t="s">
        <v>972</v>
      </c>
      <c r="H2714">
        <v>12</v>
      </c>
      <c r="I2714">
        <v>17.833300000000001</v>
      </c>
      <c r="J2714">
        <v>38.75</v>
      </c>
      <c r="K2714">
        <v>20.916699999999999</v>
      </c>
      <c r="L2714">
        <v>11</v>
      </c>
      <c r="M2714">
        <v>0</v>
      </c>
      <c r="N2714">
        <v>1</v>
      </c>
      <c r="O2714" t="s">
        <v>127</v>
      </c>
      <c r="P2714" t="s">
        <v>127</v>
      </c>
      <c r="Q2714" t="s">
        <v>127</v>
      </c>
    </row>
    <row r="2715" spans="1:17" x14ac:dyDescent="0.25">
      <c r="A2715" t="str">
        <f>IF(C2715&amp;G2715&amp;D2715&lt;&gt;'Funnel setup'!$K$3&amp;'Funnel setup'!$K$4&amp;'Funnel setup'!$K$6,".",IF(A2714=".",1,A2714+1))</f>
        <v>.</v>
      </c>
      <c r="B2715" s="244" t="str">
        <f t="shared" si="42"/>
        <v>Knee Replacement PrimaryProviderWYE VALLEY NHS TRUST (RLQ)Oxford Knee Score</v>
      </c>
      <c r="C2715" t="s">
        <v>969</v>
      </c>
      <c r="D2715" t="s">
        <v>965</v>
      </c>
      <c r="E2715" t="s">
        <v>726</v>
      </c>
      <c r="F2715" t="s">
        <v>727</v>
      </c>
      <c r="G2715" t="s">
        <v>972</v>
      </c>
      <c r="H2715">
        <v>36</v>
      </c>
      <c r="I2715">
        <v>22.166699999999999</v>
      </c>
      <c r="J2715">
        <v>35.972200000000001</v>
      </c>
      <c r="K2715">
        <v>13.8056</v>
      </c>
      <c r="L2715">
        <v>31</v>
      </c>
      <c r="M2715">
        <v>0</v>
      </c>
      <c r="N2715">
        <v>5</v>
      </c>
      <c r="O2715">
        <v>35.285400000000003</v>
      </c>
      <c r="P2715">
        <v>15.8971</v>
      </c>
      <c r="Q2715">
        <v>9.7564700000000002</v>
      </c>
    </row>
    <row r="2716" spans="1:17" x14ac:dyDescent="0.25">
      <c r="A2716" t="str">
        <f>IF(C2716&amp;G2716&amp;D2716&lt;&gt;'Funnel setup'!$K$3&amp;'Funnel setup'!$K$4&amp;'Funnel setup'!$K$6,".",IF(A2715=".",1,A2715+1))</f>
        <v>.</v>
      </c>
      <c r="B2716" s="244" t="str">
        <f t="shared" si="42"/>
        <v>Knee Replacement PrimaryProviderYEOVIL DISTRICT HOSPITAL NHS FOUNDATION TRUST (RA4)Oxford Knee Score</v>
      </c>
      <c r="C2716" t="s">
        <v>969</v>
      </c>
      <c r="D2716" t="s">
        <v>965</v>
      </c>
      <c r="E2716" t="s">
        <v>728</v>
      </c>
      <c r="F2716" t="s">
        <v>729</v>
      </c>
      <c r="G2716" t="s">
        <v>972</v>
      </c>
      <c r="H2716">
        <v>1</v>
      </c>
      <c r="I2716">
        <v>27</v>
      </c>
      <c r="J2716">
        <v>32</v>
      </c>
      <c r="K2716">
        <v>5</v>
      </c>
      <c r="L2716">
        <v>1</v>
      </c>
      <c r="M2716">
        <v>0</v>
      </c>
      <c r="N2716">
        <v>0</v>
      </c>
      <c r="O2716" t="s">
        <v>127</v>
      </c>
      <c r="P2716" t="s">
        <v>127</v>
      </c>
      <c r="Q2716" t="s">
        <v>127</v>
      </c>
    </row>
    <row r="2717" spans="1:17" x14ac:dyDescent="0.25">
      <c r="A2717" t="str">
        <f>IF(C2717&amp;G2717&amp;D2717&lt;&gt;'Funnel setup'!$K$3&amp;'Funnel setup'!$K$4&amp;'Funnel setup'!$K$6,".",IF(A2716=".",1,A2716+1))</f>
        <v>.</v>
      </c>
      <c r="B2717" s="244" t="str">
        <f t="shared" si="42"/>
        <v>Knee Replacement RevisionSub-ICB of GP PracticeNHS BATH AND NORTH EAST SOMERSET, SWINDON AND WILTSHIRE ICB - 92G (92G)EQ VAS</v>
      </c>
      <c r="C2717" t="s">
        <v>973</v>
      </c>
      <c r="D2717" t="s">
        <v>1021</v>
      </c>
      <c r="E2717" t="s">
        <v>750</v>
      </c>
      <c r="F2717" t="s">
        <v>751</v>
      </c>
      <c r="G2717" t="s">
        <v>752</v>
      </c>
      <c r="H2717">
        <v>2</v>
      </c>
      <c r="I2717">
        <v>45</v>
      </c>
      <c r="J2717">
        <v>70</v>
      </c>
      <c r="K2717">
        <v>25</v>
      </c>
      <c r="L2717">
        <v>2</v>
      </c>
      <c r="M2717">
        <v>0</v>
      </c>
      <c r="N2717">
        <v>0</v>
      </c>
      <c r="O2717" t="s">
        <v>127</v>
      </c>
      <c r="P2717" t="s">
        <v>127</v>
      </c>
      <c r="Q2717" t="s">
        <v>127</v>
      </c>
    </row>
    <row r="2718" spans="1:17" x14ac:dyDescent="0.25">
      <c r="A2718" t="str">
        <f>IF(C2718&amp;G2718&amp;D2718&lt;&gt;'Funnel setup'!$K$3&amp;'Funnel setup'!$K$4&amp;'Funnel setup'!$K$6,".",IF(A2717=".",1,A2717+1))</f>
        <v>.</v>
      </c>
      <c r="B2718" s="244" t="str">
        <f t="shared" si="42"/>
        <v>Knee Replacement RevisionSub-ICB of GP PracticeNHS BEDFORDSHIRE, LUTON AND MILTON KEYNES ICB - M1J4Y (M1J4Y)EQ VAS</v>
      </c>
      <c r="C2718" t="s">
        <v>973</v>
      </c>
      <c r="D2718" t="s">
        <v>1021</v>
      </c>
      <c r="E2718" t="s">
        <v>753</v>
      </c>
      <c r="F2718" t="s">
        <v>754</v>
      </c>
      <c r="G2718" t="s">
        <v>752</v>
      </c>
      <c r="H2718">
        <v>8</v>
      </c>
      <c r="I2718">
        <v>61.875</v>
      </c>
      <c r="J2718">
        <v>64.5</v>
      </c>
      <c r="K2718">
        <v>2.625</v>
      </c>
      <c r="L2718">
        <v>4</v>
      </c>
      <c r="M2718">
        <v>1</v>
      </c>
      <c r="N2718">
        <v>3</v>
      </c>
      <c r="O2718" t="s">
        <v>127</v>
      </c>
      <c r="P2718" t="s">
        <v>127</v>
      </c>
      <c r="Q2718" t="s">
        <v>127</v>
      </c>
    </row>
    <row r="2719" spans="1:17" x14ac:dyDescent="0.25">
      <c r="A2719" t="str">
        <f>IF(C2719&amp;G2719&amp;D2719&lt;&gt;'Funnel setup'!$K$3&amp;'Funnel setup'!$K$4&amp;'Funnel setup'!$K$6,".",IF(A2718=".",1,A2718+1))</f>
        <v>.</v>
      </c>
      <c r="B2719" s="244" t="str">
        <f t="shared" si="42"/>
        <v>Knee Replacement RevisionSub-ICB of GP PracticeNHS BIRMINGHAM AND SOLIHULL ICB - 15E (15E)EQ VAS</v>
      </c>
      <c r="C2719" t="s">
        <v>973</v>
      </c>
      <c r="D2719" t="s">
        <v>1021</v>
      </c>
      <c r="E2719" t="s">
        <v>755</v>
      </c>
      <c r="F2719" t="s">
        <v>756</v>
      </c>
      <c r="G2719" t="s">
        <v>752</v>
      </c>
      <c r="H2719">
        <v>11</v>
      </c>
      <c r="I2719">
        <v>61.363599999999998</v>
      </c>
      <c r="J2719">
        <v>64.7273</v>
      </c>
      <c r="K2719">
        <v>3.3636400000000002</v>
      </c>
      <c r="L2719">
        <v>5</v>
      </c>
      <c r="M2719">
        <v>1</v>
      </c>
      <c r="N2719">
        <v>5</v>
      </c>
      <c r="O2719" t="s">
        <v>127</v>
      </c>
      <c r="P2719" t="s">
        <v>127</v>
      </c>
      <c r="Q2719" t="s">
        <v>127</v>
      </c>
    </row>
    <row r="2720" spans="1:17" x14ac:dyDescent="0.25">
      <c r="A2720" t="str">
        <f>IF(C2720&amp;G2720&amp;D2720&lt;&gt;'Funnel setup'!$K$3&amp;'Funnel setup'!$K$4&amp;'Funnel setup'!$K$6,".",IF(A2719=".",1,A2719+1))</f>
        <v>.</v>
      </c>
      <c r="B2720" s="244" t="str">
        <f t="shared" si="42"/>
        <v>Knee Replacement RevisionSub-ICB of GP PracticeNHS BLACK COUNTRY ICB - D2P2L (D2P2L)EQ VAS</v>
      </c>
      <c r="C2720" t="s">
        <v>973</v>
      </c>
      <c r="D2720" t="s">
        <v>1021</v>
      </c>
      <c r="E2720" t="s">
        <v>757</v>
      </c>
      <c r="F2720" t="s">
        <v>758</v>
      </c>
      <c r="G2720" t="s">
        <v>752</v>
      </c>
      <c r="H2720">
        <v>14</v>
      </c>
      <c r="I2720">
        <v>64.428600000000003</v>
      </c>
      <c r="J2720">
        <v>66.785700000000006</v>
      </c>
      <c r="K2720">
        <v>2.3571399999999998</v>
      </c>
      <c r="L2720">
        <v>8</v>
      </c>
      <c r="M2720">
        <v>1</v>
      </c>
      <c r="N2720">
        <v>5</v>
      </c>
      <c r="O2720" t="s">
        <v>127</v>
      </c>
      <c r="P2720" t="s">
        <v>127</v>
      </c>
      <c r="Q2720" t="s">
        <v>127</v>
      </c>
    </row>
    <row r="2721" spans="1:17" x14ac:dyDescent="0.25">
      <c r="A2721" t="str">
        <f>IF(C2721&amp;G2721&amp;D2721&lt;&gt;'Funnel setup'!$K$3&amp;'Funnel setup'!$K$4&amp;'Funnel setup'!$K$6,".",IF(A2720=".",1,A2720+1))</f>
        <v>.</v>
      </c>
      <c r="B2721" s="244" t="str">
        <f t="shared" si="42"/>
        <v>Knee Replacement RevisionSub-ICB of GP PracticeNHS BRISTOL, NORTH SOMERSET AND SOUTH GLOUCESTERSHIRE ICB - 15C (15C)EQ VAS</v>
      </c>
      <c r="C2721" t="s">
        <v>973</v>
      </c>
      <c r="D2721" t="s">
        <v>1021</v>
      </c>
      <c r="E2721" t="s">
        <v>759</v>
      </c>
      <c r="F2721" t="s">
        <v>760</v>
      </c>
      <c r="G2721" t="s">
        <v>752</v>
      </c>
      <c r="H2721">
        <v>3</v>
      </c>
      <c r="I2721">
        <v>55.666699999999999</v>
      </c>
      <c r="J2721">
        <v>72.333299999999994</v>
      </c>
      <c r="K2721">
        <v>16.666699999999999</v>
      </c>
      <c r="L2721">
        <v>2</v>
      </c>
      <c r="M2721">
        <v>0</v>
      </c>
      <c r="N2721">
        <v>1</v>
      </c>
      <c r="O2721" t="s">
        <v>127</v>
      </c>
      <c r="P2721" t="s">
        <v>127</v>
      </c>
      <c r="Q2721" t="s">
        <v>127</v>
      </c>
    </row>
    <row r="2722" spans="1:17" x14ac:dyDescent="0.25">
      <c r="A2722" t="str">
        <f>IF(C2722&amp;G2722&amp;D2722&lt;&gt;'Funnel setup'!$K$3&amp;'Funnel setup'!$K$4&amp;'Funnel setup'!$K$6,".",IF(A2721=".",1,A2721+1))</f>
        <v>.</v>
      </c>
      <c r="B2722" s="244" t="str">
        <f t="shared" si="42"/>
        <v>Knee Replacement RevisionSub-ICB of GP PracticeNHS BUCKINGHAMSHIRE, OXFORDSHIRE AND BERKSHIRE WEST ICB - 10Q (10Q)EQ VAS</v>
      </c>
      <c r="C2722" t="s">
        <v>973</v>
      </c>
      <c r="D2722" t="s">
        <v>1021</v>
      </c>
      <c r="E2722" t="s">
        <v>761</v>
      </c>
      <c r="F2722" t="s">
        <v>762</v>
      </c>
      <c r="G2722" t="s">
        <v>752</v>
      </c>
      <c r="H2722">
        <v>19</v>
      </c>
      <c r="I2722">
        <v>62.1053</v>
      </c>
      <c r="J2722">
        <v>73.8947</v>
      </c>
      <c r="K2722">
        <v>11.7895</v>
      </c>
      <c r="L2722">
        <v>9</v>
      </c>
      <c r="M2722">
        <v>3</v>
      </c>
      <c r="N2722">
        <v>7</v>
      </c>
      <c r="O2722" t="s">
        <v>127</v>
      </c>
      <c r="P2722" t="s">
        <v>127</v>
      </c>
      <c r="Q2722" t="s">
        <v>127</v>
      </c>
    </row>
    <row r="2723" spans="1:17" x14ac:dyDescent="0.25">
      <c r="A2723" t="str">
        <f>IF(C2723&amp;G2723&amp;D2723&lt;&gt;'Funnel setup'!$K$3&amp;'Funnel setup'!$K$4&amp;'Funnel setup'!$K$6,".",IF(A2722=".",1,A2722+1))</f>
        <v>.</v>
      </c>
      <c r="B2723" s="244" t="str">
        <f t="shared" si="42"/>
        <v>Knee Replacement RevisionSub-ICB of GP PracticeNHS BUCKINGHAMSHIRE, OXFORDSHIRE AND BERKSHIRE WEST ICB - 14Y (14Y)EQ VAS</v>
      </c>
      <c r="C2723" t="s">
        <v>973</v>
      </c>
      <c r="D2723" t="s">
        <v>1021</v>
      </c>
      <c r="E2723" t="s">
        <v>763</v>
      </c>
      <c r="F2723" t="s">
        <v>764</v>
      </c>
      <c r="G2723" t="s">
        <v>752</v>
      </c>
      <c r="H2723">
        <v>6</v>
      </c>
      <c r="I2723">
        <v>82</v>
      </c>
      <c r="J2723">
        <v>81.333299999999994</v>
      </c>
      <c r="K2723">
        <v>-0.66666700000000001</v>
      </c>
      <c r="L2723">
        <v>2</v>
      </c>
      <c r="M2723">
        <v>1</v>
      </c>
      <c r="N2723">
        <v>3</v>
      </c>
      <c r="O2723" t="s">
        <v>127</v>
      </c>
      <c r="P2723" t="s">
        <v>127</v>
      </c>
      <c r="Q2723" t="s">
        <v>127</v>
      </c>
    </row>
    <row r="2724" spans="1:17" x14ac:dyDescent="0.25">
      <c r="A2724" t="str">
        <f>IF(C2724&amp;G2724&amp;D2724&lt;&gt;'Funnel setup'!$K$3&amp;'Funnel setup'!$K$4&amp;'Funnel setup'!$K$6,".",IF(A2723=".",1,A2723+1))</f>
        <v>.</v>
      </c>
      <c r="B2724" s="244" t="str">
        <f t="shared" si="42"/>
        <v>Knee Replacement RevisionSub-ICB of GP PracticeNHS BUCKINGHAMSHIRE, OXFORDSHIRE AND BERKSHIRE WEST ICB - 15A (15A)EQ VAS</v>
      </c>
      <c r="C2724" t="s">
        <v>973</v>
      </c>
      <c r="D2724" t="s">
        <v>1021</v>
      </c>
      <c r="E2724" t="s">
        <v>765</v>
      </c>
      <c r="F2724" t="s">
        <v>766</v>
      </c>
      <c r="G2724" t="s">
        <v>752</v>
      </c>
      <c r="H2724">
        <v>8</v>
      </c>
      <c r="I2724">
        <v>58.125</v>
      </c>
      <c r="J2724">
        <v>65.5</v>
      </c>
      <c r="K2724">
        <v>7.375</v>
      </c>
      <c r="L2724">
        <v>5</v>
      </c>
      <c r="M2724">
        <v>1</v>
      </c>
      <c r="N2724">
        <v>2</v>
      </c>
      <c r="O2724" t="s">
        <v>127</v>
      </c>
      <c r="P2724" t="s">
        <v>127</v>
      </c>
      <c r="Q2724" t="s">
        <v>127</v>
      </c>
    </row>
    <row r="2725" spans="1:17" x14ac:dyDescent="0.25">
      <c r="A2725" t="str">
        <f>IF(C2725&amp;G2725&amp;D2725&lt;&gt;'Funnel setup'!$K$3&amp;'Funnel setup'!$K$4&amp;'Funnel setup'!$K$6,".",IF(A2724=".",1,A2724+1))</f>
        <v>.</v>
      </c>
      <c r="B2725" s="244" t="str">
        <f t="shared" si="42"/>
        <v>Knee Replacement RevisionSub-ICB of GP PracticeNHS CAMBRIDGESHIRE AND PETERBOROUGH ICB - 06H (06H)EQ VAS</v>
      </c>
      <c r="C2725" t="s">
        <v>973</v>
      </c>
      <c r="D2725" t="s">
        <v>1021</v>
      </c>
      <c r="E2725" t="s">
        <v>767</v>
      </c>
      <c r="F2725" t="s">
        <v>768</v>
      </c>
      <c r="G2725" t="s">
        <v>752</v>
      </c>
      <c r="H2725">
        <v>5</v>
      </c>
      <c r="I2725">
        <v>58</v>
      </c>
      <c r="J2725">
        <v>70.8</v>
      </c>
      <c r="K2725">
        <v>12.8</v>
      </c>
      <c r="L2725">
        <v>4</v>
      </c>
      <c r="M2725">
        <v>0</v>
      </c>
      <c r="N2725">
        <v>1</v>
      </c>
      <c r="O2725" t="s">
        <v>127</v>
      </c>
      <c r="P2725" t="s">
        <v>127</v>
      </c>
      <c r="Q2725" t="s">
        <v>127</v>
      </c>
    </row>
    <row r="2726" spans="1:17" x14ac:dyDescent="0.25">
      <c r="A2726" t="str">
        <f>IF(C2726&amp;G2726&amp;D2726&lt;&gt;'Funnel setup'!$K$3&amp;'Funnel setup'!$K$4&amp;'Funnel setup'!$K$6,".",IF(A2725=".",1,A2725+1))</f>
        <v>.</v>
      </c>
      <c r="B2726" s="244" t="str">
        <f t="shared" si="42"/>
        <v>Knee Replacement RevisionSub-ICB of GP PracticeNHS CHESHIRE AND MERSEYSIDE ICB - 01J (01J)EQ VAS</v>
      </c>
      <c r="C2726" t="s">
        <v>973</v>
      </c>
      <c r="D2726" t="s">
        <v>1021</v>
      </c>
      <c r="E2726" t="s">
        <v>771</v>
      </c>
      <c r="F2726" t="s">
        <v>772</v>
      </c>
      <c r="G2726" t="s">
        <v>752</v>
      </c>
      <c r="H2726">
        <v>1</v>
      </c>
      <c r="I2726">
        <v>30</v>
      </c>
      <c r="J2726">
        <v>45</v>
      </c>
      <c r="K2726">
        <v>15</v>
      </c>
      <c r="L2726">
        <v>1</v>
      </c>
      <c r="M2726">
        <v>0</v>
      </c>
      <c r="N2726">
        <v>0</v>
      </c>
      <c r="O2726" t="s">
        <v>127</v>
      </c>
      <c r="P2726" t="s">
        <v>127</v>
      </c>
      <c r="Q2726" t="s">
        <v>127</v>
      </c>
    </row>
    <row r="2727" spans="1:17" x14ac:dyDescent="0.25">
      <c r="A2727" t="str">
        <f>IF(C2727&amp;G2727&amp;D2727&lt;&gt;'Funnel setup'!$K$3&amp;'Funnel setup'!$K$4&amp;'Funnel setup'!$K$6,".",IF(A2726=".",1,A2726+1))</f>
        <v>.</v>
      </c>
      <c r="B2727" s="244" t="str">
        <f t="shared" si="42"/>
        <v>Knee Replacement RevisionSub-ICB of GP PracticeNHS CHESHIRE AND MERSEYSIDE ICB - 01X (01X)EQ VAS</v>
      </c>
      <c r="C2727" t="s">
        <v>973</v>
      </c>
      <c r="D2727" t="s">
        <v>1021</v>
      </c>
      <c r="E2727" t="s">
        <v>777</v>
      </c>
      <c r="F2727" t="s">
        <v>778</v>
      </c>
      <c r="G2727" t="s">
        <v>752</v>
      </c>
      <c r="H2727">
        <v>2</v>
      </c>
      <c r="I2727">
        <v>45</v>
      </c>
      <c r="J2727">
        <v>47.5</v>
      </c>
      <c r="K2727">
        <v>2.5</v>
      </c>
      <c r="L2727">
        <v>1</v>
      </c>
      <c r="M2727">
        <v>0</v>
      </c>
      <c r="N2727">
        <v>1</v>
      </c>
      <c r="O2727" t="s">
        <v>127</v>
      </c>
      <c r="P2727" t="s">
        <v>127</v>
      </c>
      <c r="Q2727" t="s">
        <v>127</v>
      </c>
    </row>
    <row r="2728" spans="1:17" x14ac:dyDescent="0.25">
      <c r="A2728" t="str">
        <f>IF(C2728&amp;G2728&amp;D2728&lt;&gt;'Funnel setup'!$K$3&amp;'Funnel setup'!$K$4&amp;'Funnel setup'!$K$6,".",IF(A2727=".",1,A2727+1))</f>
        <v>.</v>
      </c>
      <c r="B2728" s="244" t="str">
        <f t="shared" si="42"/>
        <v>Knee Replacement RevisionSub-ICB of GP PracticeNHS CHESHIRE AND MERSEYSIDE ICB - 12F (12F)EQ VAS</v>
      </c>
      <c r="C2728" t="s">
        <v>973</v>
      </c>
      <c r="D2728" t="s">
        <v>1021</v>
      </c>
      <c r="E2728" t="s">
        <v>781</v>
      </c>
      <c r="F2728" t="s">
        <v>782</v>
      </c>
      <c r="G2728" t="s">
        <v>752</v>
      </c>
      <c r="H2728">
        <v>2</v>
      </c>
      <c r="I2728">
        <v>71.5</v>
      </c>
      <c r="J2728">
        <v>80</v>
      </c>
      <c r="K2728">
        <v>8.5</v>
      </c>
      <c r="L2728">
        <v>2</v>
      </c>
      <c r="M2728">
        <v>0</v>
      </c>
      <c r="N2728">
        <v>0</v>
      </c>
      <c r="O2728" t="s">
        <v>127</v>
      </c>
      <c r="P2728" t="s">
        <v>127</v>
      </c>
      <c r="Q2728" t="s">
        <v>127</v>
      </c>
    </row>
    <row r="2729" spans="1:17" x14ac:dyDescent="0.25">
      <c r="A2729" t="str">
        <f>IF(C2729&amp;G2729&amp;D2729&lt;&gt;'Funnel setup'!$K$3&amp;'Funnel setup'!$K$4&amp;'Funnel setup'!$K$6,".",IF(A2728=".",1,A2728+1))</f>
        <v>.</v>
      </c>
      <c r="B2729" s="244" t="str">
        <f t="shared" si="42"/>
        <v>Knee Replacement RevisionSub-ICB of GP PracticeNHS CHESHIRE AND MERSEYSIDE ICB - 27D (27D)EQ VAS</v>
      </c>
      <c r="C2729" t="s">
        <v>973</v>
      </c>
      <c r="D2729" t="s">
        <v>1021</v>
      </c>
      <c r="E2729" t="s">
        <v>783</v>
      </c>
      <c r="F2729" t="s">
        <v>784</v>
      </c>
      <c r="G2729" t="s">
        <v>752</v>
      </c>
      <c r="H2729">
        <v>6</v>
      </c>
      <c r="I2729">
        <v>64.333299999999994</v>
      </c>
      <c r="J2729">
        <v>61</v>
      </c>
      <c r="K2729">
        <v>-3.3333300000000001</v>
      </c>
      <c r="L2729">
        <v>3</v>
      </c>
      <c r="M2729">
        <v>1</v>
      </c>
      <c r="N2729">
        <v>2</v>
      </c>
      <c r="O2729" t="s">
        <v>127</v>
      </c>
      <c r="P2729" t="s">
        <v>127</v>
      </c>
      <c r="Q2729" t="s">
        <v>127</v>
      </c>
    </row>
    <row r="2730" spans="1:17" x14ac:dyDescent="0.25">
      <c r="A2730" t="str">
        <f>IF(C2730&amp;G2730&amp;D2730&lt;&gt;'Funnel setup'!$K$3&amp;'Funnel setup'!$K$4&amp;'Funnel setup'!$K$6,".",IF(A2729=".",1,A2729+1))</f>
        <v>.</v>
      </c>
      <c r="B2730" s="244" t="str">
        <f t="shared" si="42"/>
        <v>Knee Replacement RevisionSub-ICB of GP PracticeNHS CHESHIRE AND MERSEYSIDE ICB - 99A (99A)EQ VAS</v>
      </c>
      <c r="C2730" t="s">
        <v>973</v>
      </c>
      <c r="D2730" t="s">
        <v>1021</v>
      </c>
      <c r="E2730" t="s">
        <v>785</v>
      </c>
      <c r="F2730" t="s">
        <v>786</v>
      </c>
      <c r="G2730" t="s">
        <v>752</v>
      </c>
      <c r="H2730">
        <v>1</v>
      </c>
      <c r="I2730">
        <v>50</v>
      </c>
      <c r="J2730">
        <v>40</v>
      </c>
      <c r="K2730">
        <v>-10</v>
      </c>
      <c r="L2730">
        <v>0</v>
      </c>
      <c r="M2730">
        <v>0</v>
      </c>
      <c r="N2730">
        <v>1</v>
      </c>
      <c r="O2730" t="s">
        <v>127</v>
      </c>
      <c r="P2730" t="s">
        <v>127</v>
      </c>
      <c r="Q2730" t="s">
        <v>127</v>
      </c>
    </row>
    <row r="2731" spans="1:17" x14ac:dyDescent="0.25">
      <c r="A2731" t="str">
        <f>IF(C2731&amp;G2731&amp;D2731&lt;&gt;'Funnel setup'!$K$3&amp;'Funnel setup'!$K$4&amp;'Funnel setup'!$K$6,".",IF(A2730=".",1,A2730+1))</f>
        <v>.</v>
      </c>
      <c r="B2731" s="244" t="str">
        <f t="shared" si="42"/>
        <v>Knee Replacement RevisionSub-ICB of GP PracticeNHS CORNWALL AND THE ISLES OF SCILLY ICB - 11N (11N)EQ VAS</v>
      </c>
      <c r="C2731" t="s">
        <v>973</v>
      </c>
      <c r="D2731" t="s">
        <v>1021</v>
      </c>
      <c r="E2731" t="s">
        <v>787</v>
      </c>
      <c r="F2731" t="s">
        <v>788</v>
      </c>
      <c r="G2731" t="s">
        <v>752</v>
      </c>
      <c r="H2731">
        <v>9</v>
      </c>
      <c r="I2731">
        <v>66.444400000000002</v>
      </c>
      <c r="J2731">
        <v>75.333299999999994</v>
      </c>
      <c r="K2731">
        <v>8.88889</v>
      </c>
      <c r="L2731">
        <v>5</v>
      </c>
      <c r="M2731">
        <v>1</v>
      </c>
      <c r="N2731">
        <v>3</v>
      </c>
      <c r="O2731" t="s">
        <v>127</v>
      </c>
      <c r="P2731" t="s">
        <v>127</v>
      </c>
      <c r="Q2731" t="s">
        <v>127</v>
      </c>
    </row>
    <row r="2732" spans="1:17" x14ac:dyDescent="0.25">
      <c r="A2732" t="str">
        <f>IF(C2732&amp;G2732&amp;D2732&lt;&gt;'Funnel setup'!$K$3&amp;'Funnel setup'!$K$4&amp;'Funnel setup'!$K$6,".",IF(A2731=".",1,A2731+1))</f>
        <v>.</v>
      </c>
      <c r="B2732" s="244" t="str">
        <f t="shared" si="42"/>
        <v>Knee Replacement RevisionSub-ICB of GP PracticeNHS COVENTRY AND WARWICKSHIRE ICB - B2M3M (B2M3M)EQ VAS</v>
      </c>
      <c r="C2732" t="s">
        <v>973</v>
      </c>
      <c r="D2732" t="s">
        <v>1021</v>
      </c>
      <c r="E2732" t="s">
        <v>789</v>
      </c>
      <c r="F2732" t="s">
        <v>790</v>
      </c>
      <c r="G2732" t="s">
        <v>752</v>
      </c>
      <c r="H2732">
        <v>13</v>
      </c>
      <c r="I2732">
        <v>61.769199999999998</v>
      </c>
      <c r="J2732">
        <v>73.923100000000005</v>
      </c>
      <c r="K2732">
        <v>12.1538</v>
      </c>
      <c r="L2732">
        <v>8</v>
      </c>
      <c r="M2732">
        <v>1</v>
      </c>
      <c r="N2732">
        <v>4</v>
      </c>
      <c r="O2732" t="s">
        <v>127</v>
      </c>
      <c r="P2732" t="s">
        <v>127</v>
      </c>
      <c r="Q2732" t="s">
        <v>127</v>
      </c>
    </row>
    <row r="2733" spans="1:17" x14ac:dyDescent="0.25">
      <c r="A2733" t="str">
        <f>IF(C2733&amp;G2733&amp;D2733&lt;&gt;'Funnel setup'!$K$3&amp;'Funnel setup'!$K$4&amp;'Funnel setup'!$K$6,".",IF(A2732=".",1,A2732+1))</f>
        <v>.</v>
      </c>
      <c r="B2733" s="244" t="str">
        <f t="shared" si="42"/>
        <v>Knee Replacement RevisionSub-ICB of GP PracticeNHS DERBY AND DERBYSHIRE ICB - 15M (15M)EQ VAS</v>
      </c>
      <c r="C2733" t="s">
        <v>973</v>
      </c>
      <c r="D2733" t="s">
        <v>1021</v>
      </c>
      <c r="E2733" t="s">
        <v>791</v>
      </c>
      <c r="F2733" t="s">
        <v>792</v>
      </c>
      <c r="G2733" t="s">
        <v>752</v>
      </c>
      <c r="H2733">
        <v>19</v>
      </c>
      <c r="I2733">
        <v>49.315800000000003</v>
      </c>
      <c r="J2733">
        <v>61.315800000000003</v>
      </c>
      <c r="K2733">
        <v>12</v>
      </c>
      <c r="L2733">
        <v>15</v>
      </c>
      <c r="M2733">
        <v>0</v>
      </c>
      <c r="N2733">
        <v>4</v>
      </c>
      <c r="O2733" t="s">
        <v>127</v>
      </c>
      <c r="P2733" t="s">
        <v>127</v>
      </c>
      <c r="Q2733" t="s">
        <v>127</v>
      </c>
    </row>
    <row r="2734" spans="1:17" x14ac:dyDescent="0.25">
      <c r="A2734" t="str">
        <f>IF(C2734&amp;G2734&amp;D2734&lt;&gt;'Funnel setup'!$K$3&amp;'Funnel setup'!$K$4&amp;'Funnel setup'!$K$6,".",IF(A2733=".",1,A2733+1))</f>
        <v>.</v>
      </c>
      <c r="B2734" s="244" t="str">
        <f t="shared" si="42"/>
        <v>Knee Replacement RevisionSub-ICB of GP PracticeNHS DEVON ICB - 15N (15N)EQ VAS</v>
      </c>
      <c r="C2734" t="s">
        <v>973</v>
      </c>
      <c r="D2734" t="s">
        <v>1021</v>
      </c>
      <c r="E2734" t="s">
        <v>793</v>
      </c>
      <c r="F2734" t="s">
        <v>794</v>
      </c>
      <c r="G2734" t="s">
        <v>752</v>
      </c>
      <c r="H2734">
        <v>11</v>
      </c>
      <c r="I2734">
        <v>60.363599999999998</v>
      </c>
      <c r="J2734">
        <v>67.2727</v>
      </c>
      <c r="K2734">
        <v>6.90909</v>
      </c>
      <c r="L2734">
        <v>7</v>
      </c>
      <c r="M2734">
        <v>0</v>
      </c>
      <c r="N2734">
        <v>4</v>
      </c>
      <c r="O2734" t="s">
        <v>127</v>
      </c>
      <c r="P2734" t="s">
        <v>127</v>
      </c>
      <c r="Q2734" t="s">
        <v>127</v>
      </c>
    </row>
    <row r="2735" spans="1:17" x14ac:dyDescent="0.25">
      <c r="A2735" t="str">
        <f>IF(C2735&amp;G2735&amp;D2735&lt;&gt;'Funnel setup'!$K$3&amp;'Funnel setup'!$K$4&amp;'Funnel setup'!$K$6,".",IF(A2734=".",1,A2734+1))</f>
        <v>.</v>
      </c>
      <c r="B2735" s="244" t="str">
        <f t="shared" si="42"/>
        <v>Knee Replacement RevisionSub-ICB of GP PracticeNHS DORSET ICB - 11J (11J)EQ VAS</v>
      </c>
      <c r="C2735" t="s">
        <v>973</v>
      </c>
      <c r="D2735" t="s">
        <v>1021</v>
      </c>
      <c r="E2735" t="s">
        <v>795</v>
      </c>
      <c r="F2735" t="s">
        <v>796</v>
      </c>
      <c r="G2735" t="s">
        <v>752</v>
      </c>
      <c r="H2735">
        <v>13</v>
      </c>
      <c r="I2735">
        <v>62.615400000000001</v>
      </c>
      <c r="J2735">
        <v>71.538499999999999</v>
      </c>
      <c r="K2735">
        <v>8.9230800000000006</v>
      </c>
      <c r="L2735">
        <v>8</v>
      </c>
      <c r="M2735">
        <v>4</v>
      </c>
      <c r="N2735">
        <v>1</v>
      </c>
      <c r="O2735" t="s">
        <v>127</v>
      </c>
      <c r="P2735" t="s">
        <v>127</v>
      </c>
      <c r="Q2735" t="s">
        <v>127</v>
      </c>
    </row>
    <row r="2736" spans="1:17" x14ac:dyDescent="0.25">
      <c r="A2736" t="str">
        <f>IF(C2736&amp;G2736&amp;D2736&lt;&gt;'Funnel setup'!$K$3&amp;'Funnel setup'!$K$4&amp;'Funnel setup'!$K$6,".",IF(A2735=".",1,A2735+1))</f>
        <v>.</v>
      </c>
      <c r="B2736" s="244" t="str">
        <f t="shared" si="42"/>
        <v>Knee Replacement RevisionSub-ICB of GP PracticeNHS FRIMLEY ICB - D4U1Y (D4U1Y)EQ VAS</v>
      </c>
      <c r="C2736" t="s">
        <v>973</v>
      </c>
      <c r="D2736" t="s">
        <v>1021</v>
      </c>
      <c r="E2736" t="s">
        <v>797</v>
      </c>
      <c r="F2736" t="s">
        <v>798</v>
      </c>
      <c r="G2736" t="s">
        <v>752</v>
      </c>
      <c r="H2736">
        <v>8</v>
      </c>
      <c r="I2736">
        <v>63.75</v>
      </c>
      <c r="J2736">
        <v>63.5</v>
      </c>
      <c r="K2736">
        <v>-0.25</v>
      </c>
      <c r="L2736">
        <v>5</v>
      </c>
      <c r="M2736">
        <v>0</v>
      </c>
      <c r="N2736">
        <v>3</v>
      </c>
      <c r="O2736" t="s">
        <v>127</v>
      </c>
      <c r="P2736" t="s">
        <v>127</v>
      </c>
      <c r="Q2736" t="s">
        <v>127</v>
      </c>
    </row>
    <row r="2737" spans="1:17" x14ac:dyDescent="0.25">
      <c r="A2737" t="str">
        <f>IF(C2737&amp;G2737&amp;D2737&lt;&gt;'Funnel setup'!$K$3&amp;'Funnel setup'!$K$4&amp;'Funnel setup'!$K$6,".",IF(A2736=".",1,A2736+1))</f>
        <v>.</v>
      </c>
      <c r="B2737" s="244" t="str">
        <f t="shared" si="42"/>
        <v>Knee Replacement RevisionSub-ICB of GP PracticeNHS GLOUCESTERSHIRE ICB - 11M (11M)EQ VAS</v>
      </c>
      <c r="C2737" t="s">
        <v>973</v>
      </c>
      <c r="D2737" t="s">
        <v>1021</v>
      </c>
      <c r="E2737" t="s">
        <v>799</v>
      </c>
      <c r="F2737" t="s">
        <v>800</v>
      </c>
      <c r="G2737" t="s">
        <v>752</v>
      </c>
      <c r="H2737">
        <v>3</v>
      </c>
      <c r="I2737">
        <v>50</v>
      </c>
      <c r="J2737">
        <v>68</v>
      </c>
      <c r="K2737">
        <v>18</v>
      </c>
      <c r="L2737">
        <v>3</v>
      </c>
      <c r="M2737">
        <v>0</v>
      </c>
      <c r="N2737">
        <v>0</v>
      </c>
      <c r="O2737" t="s">
        <v>127</v>
      </c>
      <c r="P2737" t="s">
        <v>127</v>
      </c>
      <c r="Q2737" t="s">
        <v>127</v>
      </c>
    </row>
    <row r="2738" spans="1:17" x14ac:dyDescent="0.25">
      <c r="A2738" t="str">
        <f>IF(C2738&amp;G2738&amp;D2738&lt;&gt;'Funnel setup'!$K$3&amp;'Funnel setup'!$K$4&amp;'Funnel setup'!$K$6,".",IF(A2737=".",1,A2737+1))</f>
        <v>.</v>
      </c>
      <c r="B2738" s="244" t="str">
        <f t="shared" si="42"/>
        <v>Knee Replacement RevisionSub-ICB of GP PracticeNHS GREATER MANCHESTER ICB - 00T (00T)EQ VAS</v>
      </c>
      <c r="C2738" t="s">
        <v>973</v>
      </c>
      <c r="D2738" t="s">
        <v>1021</v>
      </c>
      <c r="E2738" t="s">
        <v>801</v>
      </c>
      <c r="F2738" t="s">
        <v>802</v>
      </c>
      <c r="G2738" t="s">
        <v>752</v>
      </c>
      <c r="H2738">
        <v>4</v>
      </c>
      <c r="I2738">
        <v>65.25</v>
      </c>
      <c r="J2738">
        <v>63.25</v>
      </c>
      <c r="K2738">
        <v>-2</v>
      </c>
      <c r="L2738">
        <v>0</v>
      </c>
      <c r="M2738">
        <v>2</v>
      </c>
      <c r="N2738">
        <v>2</v>
      </c>
      <c r="O2738" t="s">
        <v>127</v>
      </c>
      <c r="P2738" t="s">
        <v>127</v>
      </c>
      <c r="Q2738" t="s">
        <v>127</v>
      </c>
    </row>
    <row r="2739" spans="1:17" x14ac:dyDescent="0.25">
      <c r="A2739" t="str">
        <f>IF(C2739&amp;G2739&amp;D2739&lt;&gt;'Funnel setup'!$K$3&amp;'Funnel setup'!$K$4&amp;'Funnel setup'!$K$6,".",IF(A2738=".",1,A2738+1))</f>
        <v>.</v>
      </c>
      <c r="B2739" s="244" t="str">
        <f t="shared" si="42"/>
        <v>Knee Replacement RevisionSub-ICB of GP PracticeNHS GREATER MANCHESTER ICB - 00V (00V)EQ VAS</v>
      </c>
      <c r="C2739" t="s">
        <v>973</v>
      </c>
      <c r="D2739" t="s">
        <v>1021</v>
      </c>
      <c r="E2739" t="s">
        <v>803</v>
      </c>
      <c r="F2739" t="s">
        <v>804</v>
      </c>
      <c r="G2739" t="s">
        <v>752</v>
      </c>
      <c r="H2739">
        <v>1</v>
      </c>
      <c r="I2739">
        <v>85</v>
      </c>
      <c r="J2739">
        <v>96</v>
      </c>
      <c r="K2739">
        <v>11</v>
      </c>
      <c r="L2739">
        <v>1</v>
      </c>
      <c r="M2739">
        <v>0</v>
      </c>
      <c r="N2739">
        <v>0</v>
      </c>
      <c r="O2739" t="s">
        <v>127</v>
      </c>
      <c r="P2739" t="s">
        <v>127</v>
      </c>
      <c r="Q2739" t="s">
        <v>127</v>
      </c>
    </row>
    <row r="2740" spans="1:17" x14ac:dyDescent="0.25">
      <c r="A2740" t="str">
        <f>IF(C2740&amp;G2740&amp;D2740&lt;&gt;'Funnel setup'!$K$3&amp;'Funnel setup'!$K$4&amp;'Funnel setup'!$K$6,".",IF(A2739=".",1,A2739+1))</f>
        <v>.</v>
      </c>
      <c r="B2740" s="244" t="str">
        <f t="shared" si="42"/>
        <v>Knee Replacement RevisionSub-ICB of GP PracticeNHS GREATER MANCHESTER ICB - 01W (01W)EQ VAS</v>
      </c>
      <c r="C2740" t="s">
        <v>973</v>
      </c>
      <c r="D2740" t="s">
        <v>1021</v>
      </c>
      <c r="E2740" t="s">
        <v>811</v>
      </c>
      <c r="F2740" t="s">
        <v>812</v>
      </c>
      <c r="G2740" t="s">
        <v>752</v>
      </c>
      <c r="H2740">
        <v>3</v>
      </c>
      <c r="I2740">
        <v>58.333300000000001</v>
      </c>
      <c r="J2740">
        <v>80</v>
      </c>
      <c r="K2740">
        <v>21.666699999999999</v>
      </c>
      <c r="L2740">
        <v>3</v>
      </c>
      <c r="M2740">
        <v>0</v>
      </c>
      <c r="N2740">
        <v>0</v>
      </c>
      <c r="O2740" t="s">
        <v>127</v>
      </c>
      <c r="P2740" t="s">
        <v>127</v>
      </c>
      <c r="Q2740" t="s">
        <v>127</v>
      </c>
    </row>
    <row r="2741" spans="1:17" x14ac:dyDescent="0.25">
      <c r="A2741" t="str">
        <f>IF(C2741&amp;G2741&amp;D2741&lt;&gt;'Funnel setup'!$K$3&amp;'Funnel setup'!$K$4&amp;'Funnel setup'!$K$6,".",IF(A2740=".",1,A2740+1))</f>
        <v>.</v>
      </c>
      <c r="B2741" s="244" t="str">
        <f t="shared" si="42"/>
        <v>Knee Replacement RevisionSub-ICB of GP PracticeNHS GREATER MANCHESTER ICB - 02A (02A)EQ VAS</v>
      </c>
      <c r="C2741" t="s">
        <v>973</v>
      </c>
      <c r="D2741" t="s">
        <v>1021</v>
      </c>
      <c r="E2741" t="s">
        <v>815</v>
      </c>
      <c r="F2741" t="s">
        <v>816</v>
      </c>
      <c r="G2741" t="s">
        <v>752</v>
      </c>
      <c r="H2741">
        <v>3</v>
      </c>
      <c r="I2741">
        <v>57.666699999999999</v>
      </c>
      <c r="J2741">
        <v>66</v>
      </c>
      <c r="K2741">
        <v>8.3333300000000001</v>
      </c>
      <c r="L2741">
        <v>2</v>
      </c>
      <c r="M2741">
        <v>1</v>
      </c>
      <c r="N2741">
        <v>0</v>
      </c>
      <c r="O2741" t="s">
        <v>127</v>
      </c>
      <c r="P2741" t="s">
        <v>127</v>
      </c>
      <c r="Q2741" t="s">
        <v>127</v>
      </c>
    </row>
    <row r="2742" spans="1:17" x14ac:dyDescent="0.25">
      <c r="A2742" t="str">
        <f>IF(C2742&amp;G2742&amp;D2742&lt;&gt;'Funnel setup'!$K$3&amp;'Funnel setup'!$K$4&amp;'Funnel setup'!$K$6,".",IF(A2741=".",1,A2741+1))</f>
        <v>.</v>
      </c>
      <c r="B2742" s="244" t="str">
        <f t="shared" si="42"/>
        <v>Knee Replacement RevisionSub-ICB of GP PracticeNHS GREATER MANCHESTER ICB - 02H (02H)EQ VAS</v>
      </c>
      <c r="C2742" t="s">
        <v>973</v>
      </c>
      <c r="D2742" t="s">
        <v>1021</v>
      </c>
      <c r="E2742" t="s">
        <v>817</v>
      </c>
      <c r="F2742" t="s">
        <v>818</v>
      </c>
      <c r="G2742" t="s">
        <v>752</v>
      </c>
      <c r="H2742">
        <v>1</v>
      </c>
      <c r="I2742">
        <v>90</v>
      </c>
      <c r="J2742">
        <v>60</v>
      </c>
      <c r="K2742">
        <v>-30</v>
      </c>
      <c r="L2742">
        <v>0</v>
      </c>
      <c r="M2742">
        <v>0</v>
      </c>
      <c r="N2742">
        <v>1</v>
      </c>
      <c r="O2742" t="s">
        <v>127</v>
      </c>
      <c r="P2742" t="s">
        <v>127</v>
      </c>
      <c r="Q2742" t="s">
        <v>127</v>
      </c>
    </row>
    <row r="2743" spans="1:17" x14ac:dyDescent="0.25">
      <c r="A2743" t="str">
        <f>IF(C2743&amp;G2743&amp;D2743&lt;&gt;'Funnel setup'!$K$3&amp;'Funnel setup'!$K$4&amp;'Funnel setup'!$K$6,".",IF(A2742=".",1,A2742+1))</f>
        <v>.</v>
      </c>
      <c r="B2743" s="244" t="str">
        <f t="shared" si="42"/>
        <v>Knee Replacement RevisionSub-ICB of GP PracticeNHS GREATER MANCHESTER ICB - 14L (14L)EQ VAS</v>
      </c>
      <c r="C2743" t="s">
        <v>973</v>
      </c>
      <c r="D2743" t="s">
        <v>1021</v>
      </c>
      <c r="E2743" t="s">
        <v>819</v>
      </c>
      <c r="F2743" t="s">
        <v>820</v>
      </c>
      <c r="G2743" t="s">
        <v>752</v>
      </c>
      <c r="H2743">
        <v>1</v>
      </c>
      <c r="I2743">
        <v>70</v>
      </c>
      <c r="J2743">
        <v>75</v>
      </c>
      <c r="K2743">
        <v>5</v>
      </c>
      <c r="L2743">
        <v>1</v>
      </c>
      <c r="M2743">
        <v>0</v>
      </c>
      <c r="N2743">
        <v>0</v>
      </c>
      <c r="O2743" t="s">
        <v>127</v>
      </c>
      <c r="P2743" t="s">
        <v>127</v>
      </c>
      <c r="Q2743" t="s">
        <v>127</v>
      </c>
    </row>
    <row r="2744" spans="1:17" x14ac:dyDescent="0.25">
      <c r="A2744" t="str">
        <f>IF(C2744&amp;G2744&amp;D2744&lt;&gt;'Funnel setup'!$K$3&amp;'Funnel setup'!$K$4&amp;'Funnel setup'!$K$6,".",IF(A2743=".",1,A2743+1))</f>
        <v>.</v>
      </c>
      <c r="B2744" s="244" t="str">
        <f t="shared" si="42"/>
        <v>Knee Replacement RevisionSub-ICB of GP PracticeNHS HAMPSHIRE AND ISLE OF WIGHT ICB - 10R (10R)EQ VAS</v>
      </c>
      <c r="C2744" t="s">
        <v>973</v>
      </c>
      <c r="D2744" t="s">
        <v>1021</v>
      </c>
      <c r="E2744" t="s">
        <v>821</v>
      </c>
      <c r="F2744" t="s">
        <v>822</v>
      </c>
      <c r="G2744" t="s">
        <v>752</v>
      </c>
      <c r="H2744">
        <v>1</v>
      </c>
      <c r="I2744">
        <v>69</v>
      </c>
      <c r="J2744">
        <v>70</v>
      </c>
      <c r="K2744">
        <v>1</v>
      </c>
      <c r="L2744">
        <v>1</v>
      </c>
      <c r="M2744">
        <v>0</v>
      </c>
      <c r="N2744">
        <v>0</v>
      </c>
      <c r="O2744" t="s">
        <v>127</v>
      </c>
      <c r="P2744" t="s">
        <v>127</v>
      </c>
      <c r="Q2744" t="s">
        <v>127</v>
      </c>
    </row>
    <row r="2745" spans="1:17" x14ac:dyDescent="0.25">
      <c r="A2745" t="str">
        <f>IF(C2745&amp;G2745&amp;D2745&lt;&gt;'Funnel setup'!$K$3&amp;'Funnel setup'!$K$4&amp;'Funnel setup'!$K$6,".",IF(A2744=".",1,A2744+1))</f>
        <v>.</v>
      </c>
      <c r="B2745" s="244" t="str">
        <f t="shared" si="42"/>
        <v>Knee Replacement RevisionSub-ICB of GP PracticeNHS HAMPSHIRE AND ISLE OF WIGHT ICB - D9Y0V (D9Y0V)EQ VAS</v>
      </c>
      <c r="C2745" t="s">
        <v>973</v>
      </c>
      <c r="D2745" t="s">
        <v>1021</v>
      </c>
      <c r="E2745" t="s">
        <v>823</v>
      </c>
      <c r="F2745" t="s">
        <v>824</v>
      </c>
      <c r="G2745" t="s">
        <v>752</v>
      </c>
      <c r="H2745">
        <v>27</v>
      </c>
      <c r="I2745">
        <v>63.074100000000001</v>
      </c>
      <c r="J2745">
        <v>70.888900000000007</v>
      </c>
      <c r="K2745">
        <v>7.8148099999999996</v>
      </c>
      <c r="L2745">
        <v>18</v>
      </c>
      <c r="M2745">
        <v>3</v>
      </c>
      <c r="N2745">
        <v>6</v>
      </c>
      <c r="O2745" t="s">
        <v>127</v>
      </c>
      <c r="P2745" t="s">
        <v>127</v>
      </c>
      <c r="Q2745" t="s">
        <v>127</v>
      </c>
    </row>
    <row r="2746" spans="1:17" x14ac:dyDescent="0.25">
      <c r="A2746" t="str">
        <f>IF(C2746&amp;G2746&amp;D2746&lt;&gt;'Funnel setup'!$K$3&amp;'Funnel setup'!$K$4&amp;'Funnel setup'!$K$6,".",IF(A2745=".",1,A2745+1))</f>
        <v>.</v>
      </c>
      <c r="B2746" s="244" t="str">
        <f t="shared" si="42"/>
        <v>Knee Replacement RevisionSub-ICB of GP PracticeNHS HEREFORDSHIRE AND WORCESTERSHIRE ICB - 18C (18C)EQ VAS</v>
      </c>
      <c r="C2746" t="s">
        <v>973</v>
      </c>
      <c r="D2746" t="s">
        <v>1021</v>
      </c>
      <c r="E2746" t="s">
        <v>825</v>
      </c>
      <c r="F2746" t="s">
        <v>826</v>
      </c>
      <c r="G2746" t="s">
        <v>752</v>
      </c>
      <c r="H2746">
        <v>13</v>
      </c>
      <c r="I2746">
        <v>59.384599999999999</v>
      </c>
      <c r="J2746">
        <v>69.692300000000003</v>
      </c>
      <c r="K2746">
        <v>10.307700000000001</v>
      </c>
      <c r="L2746">
        <v>7</v>
      </c>
      <c r="M2746">
        <v>1</v>
      </c>
      <c r="N2746">
        <v>5</v>
      </c>
      <c r="O2746" t="s">
        <v>127</v>
      </c>
      <c r="P2746" t="s">
        <v>127</v>
      </c>
      <c r="Q2746" t="s">
        <v>127</v>
      </c>
    </row>
    <row r="2747" spans="1:17" x14ac:dyDescent="0.25">
      <c r="A2747" t="str">
        <f>IF(C2747&amp;G2747&amp;D2747&lt;&gt;'Funnel setup'!$K$3&amp;'Funnel setup'!$K$4&amp;'Funnel setup'!$K$6,".",IF(A2746=".",1,A2746+1))</f>
        <v>.</v>
      </c>
      <c r="B2747" s="244" t="str">
        <f t="shared" si="42"/>
        <v>Knee Replacement RevisionSub-ICB of GP PracticeNHS HERTFORDSHIRE AND WEST ESSEX ICB - 06K (06K)EQ VAS</v>
      </c>
      <c r="C2747" t="s">
        <v>973</v>
      </c>
      <c r="D2747" t="s">
        <v>1021</v>
      </c>
      <c r="E2747" t="s">
        <v>827</v>
      </c>
      <c r="F2747" t="s">
        <v>828</v>
      </c>
      <c r="G2747" t="s">
        <v>752</v>
      </c>
      <c r="H2747">
        <v>2</v>
      </c>
      <c r="I2747">
        <v>41</v>
      </c>
      <c r="J2747">
        <v>85</v>
      </c>
      <c r="K2747">
        <v>44</v>
      </c>
      <c r="L2747">
        <v>2</v>
      </c>
      <c r="M2747">
        <v>0</v>
      </c>
      <c r="N2747">
        <v>0</v>
      </c>
      <c r="O2747" t="s">
        <v>127</v>
      </c>
      <c r="P2747" t="s">
        <v>127</v>
      </c>
      <c r="Q2747" t="s">
        <v>127</v>
      </c>
    </row>
    <row r="2748" spans="1:17" x14ac:dyDescent="0.25">
      <c r="A2748" t="str">
        <f>IF(C2748&amp;G2748&amp;D2748&lt;&gt;'Funnel setup'!$K$3&amp;'Funnel setup'!$K$4&amp;'Funnel setup'!$K$6,".",IF(A2747=".",1,A2747+1))</f>
        <v>.</v>
      </c>
      <c r="B2748" s="244" t="str">
        <f t="shared" si="42"/>
        <v>Knee Replacement RevisionSub-ICB of GP PracticeNHS HERTFORDSHIRE AND WEST ESSEX ICB - 06N (06N)EQ VAS</v>
      </c>
      <c r="C2748" t="s">
        <v>973</v>
      </c>
      <c r="D2748" t="s">
        <v>1021</v>
      </c>
      <c r="E2748" t="s">
        <v>829</v>
      </c>
      <c r="F2748" t="s">
        <v>830</v>
      </c>
      <c r="G2748" t="s">
        <v>752</v>
      </c>
      <c r="H2748">
        <v>9</v>
      </c>
      <c r="I2748">
        <v>53.222200000000001</v>
      </c>
      <c r="J2748">
        <v>48.8889</v>
      </c>
      <c r="K2748">
        <v>-4.3333300000000001</v>
      </c>
      <c r="L2748">
        <v>4</v>
      </c>
      <c r="M2748">
        <v>0</v>
      </c>
      <c r="N2748">
        <v>5</v>
      </c>
      <c r="O2748" t="s">
        <v>127</v>
      </c>
      <c r="P2748" t="s">
        <v>127</v>
      </c>
      <c r="Q2748" t="s">
        <v>127</v>
      </c>
    </row>
    <row r="2749" spans="1:17" x14ac:dyDescent="0.25">
      <c r="A2749" t="str">
        <f>IF(C2749&amp;G2749&amp;D2749&lt;&gt;'Funnel setup'!$K$3&amp;'Funnel setup'!$K$4&amp;'Funnel setup'!$K$6,".",IF(A2748=".",1,A2748+1))</f>
        <v>.</v>
      </c>
      <c r="B2749" s="244" t="str">
        <f t="shared" si="42"/>
        <v>Knee Replacement RevisionSub-ICB of GP PracticeNHS HERTFORDSHIRE AND WEST ESSEX ICB - 07H (07H)EQ VAS</v>
      </c>
      <c r="C2749" t="s">
        <v>973</v>
      </c>
      <c r="D2749" t="s">
        <v>1021</v>
      </c>
      <c r="E2749" t="s">
        <v>831</v>
      </c>
      <c r="F2749" t="s">
        <v>832</v>
      </c>
      <c r="G2749" t="s">
        <v>752</v>
      </c>
      <c r="H2749">
        <v>1</v>
      </c>
      <c r="I2749">
        <v>30</v>
      </c>
      <c r="J2749">
        <v>50</v>
      </c>
      <c r="K2749">
        <v>20</v>
      </c>
      <c r="L2749">
        <v>1</v>
      </c>
      <c r="M2749">
        <v>0</v>
      </c>
      <c r="N2749">
        <v>0</v>
      </c>
      <c r="O2749" t="s">
        <v>127</v>
      </c>
      <c r="P2749" t="s">
        <v>127</v>
      </c>
      <c r="Q2749" t="s">
        <v>127</v>
      </c>
    </row>
    <row r="2750" spans="1:17" x14ac:dyDescent="0.25">
      <c r="A2750" t="str">
        <f>IF(C2750&amp;G2750&amp;D2750&lt;&gt;'Funnel setup'!$K$3&amp;'Funnel setup'!$K$4&amp;'Funnel setup'!$K$6,".",IF(A2749=".",1,A2749+1))</f>
        <v>.</v>
      </c>
      <c r="B2750" s="244" t="str">
        <f t="shared" si="42"/>
        <v>Knee Replacement RevisionSub-ICB of GP PracticeNHS HUMBER AND NORTH YORKSHIRE ICB - 02Y (02Y)EQ VAS</v>
      </c>
      <c r="C2750" t="s">
        <v>973</v>
      </c>
      <c r="D2750" t="s">
        <v>1021</v>
      </c>
      <c r="E2750" t="s">
        <v>833</v>
      </c>
      <c r="F2750" t="s">
        <v>834</v>
      </c>
      <c r="G2750" t="s">
        <v>752</v>
      </c>
      <c r="H2750">
        <v>3</v>
      </c>
      <c r="I2750">
        <v>56</v>
      </c>
      <c r="J2750">
        <v>72.666700000000006</v>
      </c>
      <c r="K2750">
        <v>16.666699999999999</v>
      </c>
      <c r="L2750">
        <v>1</v>
      </c>
      <c r="M2750">
        <v>0</v>
      </c>
      <c r="N2750">
        <v>2</v>
      </c>
      <c r="O2750" t="s">
        <v>127</v>
      </c>
      <c r="P2750" t="s">
        <v>127</v>
      </c>
      <c r="Q2750" t="s">
        <v>127</v>
      </c>
    </row>
    <row r="2751" spans="1:17" x14ac:dyDescent="0.25">
      <c r="A2751" t="str">
        <f>IF(C2751&amp;G2751&amp;D2751&lt;&gt;'Funnel setup'!$K$3&amp;'Funnel setup'!$K$4&amp;'Funnel setup'!$K$6,".",IF(A2750=".",1,A2750+1))</f>
        <v>.</v>
      </c>
      <c r="B2751" s="244" t="str">
        <f t="shared" si="42"/>
        <v>Knee Replacement RevisionSub-ICB of GP PracticeNHS HUMBER AND NORTH YORKSHIRE ICB - 03F (03F)EQ VAS</v>
      </c>
      <c r="C2751" t="s">
        <v>973</v>
      </c>
      <c r="D2751" t="s">
        <v>1021</v>
      </c>
      <c r="E2751" t="s">
        <v>835</v>
      </c>
      <c r="F2751" t="s">
        <v>836</v>
      </c>
      <c r="G2751" t="s">
        <v>752</v>
      </c>
      <c r="H2751">
        <v>1</v>
      </c>
      <c r="I2751">
        <v>50</v>
      </c>
      <c r="J2751">
        <v>35</v>
      </c>
      <c r="K2751">
        <v>-15</v>
      </c>
      <c r="L2751">
        <v>0</v>
      </c>
      <c r="M2751">
        <v>0</v>
      </c>
      <c r="N2751">
        <v>1</v>
      </c>
      <c r="O2751" t="s">
        <v>127</v>
      </c>
      <c r="P2751" t="s">
        <v>127</v>
      </c>
      <c r="Q2751" t="s">
        <v>127</v>
      </c>
    </row>
    <row r="2752" spans="1:17" x14ac:dyDescent="0.25">
      <c r="A2752" t="str">
        <f>IF(C2752&amp;G2752&amp;D2752&lt;&gt;'Funnel setup'!$K$3&amp;'Funnel setup'!$K$4&amp;'Funnel setup'!$K$6,".",IF(A2751=".",1,A2751+1))</f>
        <v>.</v>
      </c>
      <c r="B2752" s="244" t="str">
        <f t="shared" si="42"/>
        <v>Knee Replacement RevisionSub-ICB of GP PracticeNHS HUMBER AND NORTH YORKSHIRE ICB - 03H (03H)EQ VAS</v>
      </c>
      <c r="C2752" t="s">
        <v>973</v>
      </c>
      <c r="D2752" t="s">
        <v>1021</v>
      </c>
      <c r="E2752" t="s">
        <v>837</v>
      </c>
      <c r="F2752" t="s">
        <v>838</v>
      </c>
      <c r="G2752" t="s">
        <v>752</v>
      </c>
      <c r="H2752">
        <v>2</v>
      </c>
      <c r="I2752">
        <v>52.5</v>
      </c>
      <c r="J2752">
        <v>62.5</v>
      </c>
      <c r="K2752">
        <v>10</v>
      </c>
      <c r="L2752">
        <v>1</v>
      </c>
      <c r="M2752">
        <v>0</v>
      </c>
      <c r="N2752">
        <v>1</v>
      </c>
      <c r="O2752" t="s">
        <v>127</v>
      </c>
      <c r="P2752" t="s">
        <v>127</v>
      </c>
      <c r="Q2752" t="s">
        <v>127</v>
      </c>
    </row>
    <row r="2753" spans="1:17" x14ac:dyDescent="0.25">
      <c r="A2753" t="str">
        <f>IF(C2753&amp;G2753&amp;D2753&lt;&gt;'Funnel setup'!$K$3&amp;'Funnel setup'!$K$4&amp;'Funnel setup'!$K$6,".",IF(A2752=".",1,A2752+1))</f>
        <v>.</v>
      </c>
      <c r="B2753" s="244" t="str">
        <f t="shared" si="42"/>
        <v>Knee Replacement RevisionSub-ICB of GP PracticeNHS HUMBER AND NORTH YORKSHIRE ICB - 03K (03K)EQ VAS</v>
      </c>
      <c r="C2753" t="s">
        <v>973</v>
      </c>
      <c r="D2753" t="s">
        <v>1021</v>
      </c>
      <c r="E2753" t="s">
        <v>839</v>
      </c>
      <c r="F2753" t="s">
        <v>840</v>
      </c>
      <c r="G2753" t="s">
        <v>752</v>
      </c>
      <c r="H2753">
        <v>3</v>
      </c>
      <c r="I2753">
        <v>66.666700000000006</v>
      </c>
      <c r="J2753">
        <v>61.666699999999999</v>
      </c>
      <c r="K2753">
        <v>-5</v>
      </c>
      <c r="L2753">
        <v>0</v>
      </c>
      <c r="M2753">
        <v>1</v>
      </c>
      <c r="N2753">
        <v>2</v>
      </c>
      <c r="O2753" t="s">
        <v>127</v>
      </c>
      <c r="P2753" t="s">
        <v>127</v>
      </c>
      <c r="Q2753" t="s">
        <v>127</v>
      </c>
    </row>
    <row r="2754" spans="1:17" x14ac:dyDescent="0.25">
      <c r="A2754" t="str">
        <f>IF(C2754&amp;G2754&amp;D2754&lt;&gt;'Funnel setup'!$K$3&amp;'Funnel setup'!$K$4&amp;'Funnel setup'!$K$6,".",IF(A2753=".",1,A2753+1))</f>
        <v>.</v>
      </c>
      <c r="B2754" s="244" t="str">
        <f t="shared" ref="B2754:B2817" si="43">C2754&amp;D2754&amp;F2754&amp;G2754</f>
        <v>Knee Replacement RevisionSub-ICB of GP PracticeNHS HUMBER AND NORTH YORKSHIRE ICB - 03Q (03Q)EQ VAS</v>
      </c>
      <c r="C2754" t="s">
        <v>973</v>
      </c>
      <c r="D2754" t="s">
        <v>1021</v>
      </c>
      <c r="E2754" t="s">
        <v>841</v>
      </c>
      <c r="F2754" t="s">
        <v>842</v>
      </c>
      <c r="G2754" t="s">
        <v>752</v>
      </c>
      <c r="H2754">
        <v>9</v>
      </c>
      <c r="I2754">
        <v>49.777799999999999</v>
      </c>
      <c r="J2754">
        <v>84.444400000000002</v>
      </c>
      <c r="K2754">
        <v>34.666699999999999</v>
      </c>
      <c r="L2754">
        <v>7</v>
      </c>
      <c r="M2754">
        <v>0</v>
      </c>
      <c r="N2754">
        <v>2</v>
      </c>
      <c r="O2754" t="s">
        <v>127</v>
      </c>
      <c r="P2754" t="s">
        <v>127</v>
      </c>
      <c r="Q2754" t="s">
        <v>127</v>
      </c>
    </row>
    <row r="2755" spans="1:17" x14ac:dyDescent="0.25">
      <c r="A2755" t="str">
        <f>IF(C2755&amp;G2755&amp;D2755&lt;&gt;'Funnel setup'!$K$3&amp;'Funnel setup'!$K$4&amp;'Funnel setup'!$K$6,".",IF(A2754=".",1,A2754+1))</f>
        <v>.</v>
      </c>
      <c r="B2755" s="244" t="str">
        <f t="shared" si="43"/>
        <v>Knee Replacement RevisionSub-ICB of GP PracticeNHS HUMBER AND NORTH YORKSHIRE ICB - 42D (42D)EQ VAS</v>
      </c>
      <c r="C2755" t="s">
        <v>973</v>
      </c>
      <c r="D2755" t="s">
        <v>1021</v>
      </c>
      <c r="E2755" t="s">
        <v>843</v>
      </c>
      <c r="F2755" t="s">
        <v>844</v>
      </c>
      <c r="G2755" t="s">
        <v>752</v>
      </c>
      <c r="H2755">
        <v>11</v>
      </c>
      <c r="I2755">
        <v>58.909100000000002</v>
      </c>
      <c r="J2755">
        <v>67.454499999999996</v>
      </c>
      <c r="K2755">
        <v>8.5454500000000007</v>
      </c>
      <c r="L2755">
        <v>7</v>
      </c>
      <c r="M2755">
        <v>2</v>
      </c>
      <c r="N2755">
        <v>2</v>
      </c>
      <c r="O2755" t="s">
        <v>127</v>
      </c>
      <c r="P2755" t="s">
        <v>127</v>
      </c>
      <c r="Q2755" t="s">
        <v>127</v>
      </c>
    </row>
    <row r="2756" spans="1:17" x14ac:dyDescent="0.25">
      <c r="A2756" t="str">
        <f>IF(C2756&amp;G2756&amp;D2756&lt;&gt;'Funnel setup'!$K$3&amp;'Funnel setup'!$K$4&amp;'Funnel setup'!$K$6,".",IF(A2755=".",1,A2755+1))</f>
        <v>.</v>
      </c>
      <c r="B2756" s="244" t="str">
        <f t="shared" si="43"/>
        <v>Knee Replacement RevisionSub-ICB of GP PracticeNHS KENT AND MEDWAY ICB - 91Q (91Q)EQ VAS</v>
      </c>
      <c r="C2756" t="s">
        <v>973</v>
      </c>
      <c r="D2756" t="s">
        <v>1021</v>
      </c>
      <c r="E2756" t="s">
        <v>845</v>
      </c>
      <c r="F2756" t="s">
        <v>846</v>
      </c>
      <c r="G2756" t="s">
        <v>752</v>
      </c>
      <c r="H2756">
        <v>17</v>
      </c>
      <c r="I2756">
        <v>59.470599999999997</v>
      </c>
      <c r="J2756">
        <v>67.058800000000005</v>
      </c>
      <c r="K2756">
        <v>7.5882399999999999</v>
      </c>
      <c r="L2756">
        <v>11</v>
      </c>
      <c r="M2756">
        <v>2</v>
      </c>
      <c r="N2756">
        <v>4</v>
      </c>
      <c r="O2756" t="s">
        <v>127</v>
      </c>
      <c r="P2756" t="s">
        <v>127</v>
      </c>
      <c r="Q2756" t="s">
        <v>127</v>
      </c>
    </row>
    <row r="2757" spans="1:17" x14ac:dyDescent="0.25">
      <c r="A2757" t="str">
        <f>IF(C2757&amp;G2757&amp;D2757&lt;&gt;'Funnel setup'!$K$3&amp;'Funnel setup'!$K$4&amp;'Funnel setup'!$K$6,".",IF(A2756=".",1,A2756+1))</f>
        <v>.</v>
      </c>
      <c r="B2757" s="244" t="str">
        <f t="shared" si="43"/>
        <v>Knee Replacement RevisionSub-ICB of GP PracticeNHS LANCASHIRE AND SOUTH CUMBRIA ICB - 00Q (00Q)EQ VAS</v>
      </c>
      <c r="C2757" t="s">
        <v>973</v>
      </c>
      <c r="D2757" t="s">
        <v>1021</v>
      </c>
      <c r="E2757" t="s">
        <v>847</v>
      </c>
      <c r="F2757" t="s">
        <v>848</v>
      </c>
      <c r="G2757" t="s">
        <v>752</v>
      </c>
      <c r="H2757">
        <v>1</v>
      </c>
      <c r="I2757">
        <v>85</v>
      </c>
      <c r="J2757">
        <v>60</v>
      </c>
      <c r="K2757">
        <v>-25</v>
      </c>
      <c r="L2757">
        <v>0</v>
      </c>
      <c r="M2757">
        <v>0</v>
      </c>
      <c r="N2757">
        <v>1</v>
      </c>
      <c r="O2757" t="s">
        <v>127</v>
      </c>
      <c r="P2757" t="s">
        <v>127</v>
      </c>
      <c r="Q2757" t="s">
        <v>127</v>
      </c>
    </row>
    <row r="2758" spans="1:17" x14ac:dyDescent="0.25">
      <c r="A2758" t="str">
        <f>IF(C2758&amp;G2758&amp;D2758&lt;&gt;'Funnel setup'!$K$3&amp;'Funnel setup'!$K$4&amp;'Funnel setup'!$K$6,".",IF(A2757=".",1,A2757+1))</f>
        <v>.</v>
      </c>
      <c r="B2758" s="244" t="str">
        <f t="shared" si="43"/>
        <v>Knee Replacement RevisionSub-ICB of GP PracticeNHS LANCASHIRE AND SOUTH CUMBRIA ICB - 00R (00R)EQ VAS</v>
      </c>
      <c r="C2758" t="s">
        <v>973</v>
      </c>
      <c r="D2758" t="s">
        <v>1021</v>
      </c>
      <c r="E2758" t="s">
        <v>849</v>
      </c>
      <c r="F2758" t="s">
        <v>850</v>
      </c>
      <c r="G2758" t="s">
        <v>752</v>
      </c>
      <c r="H2758">
        <v>1</v>
      </c>
      <c r="I2758">
        <v>50</v>
      </c>
      <c r="J2758">
        <v>49</v>
      </c>
      <c r="K2758">
        <v>-1</v>
      </c>
      <c r="L2758">
        <v>0</v>
      </c>
      <c r="M2758">
        <v>0</v>
      </c>
      <c r="N2758">
        <v>1</v>
      </c>
      <c r="O2758" t="s">
        <v>127</v>
      </c>
      <c r="P2758" t="s">
        <v>127</v>
      </c>
      <c r="Q2758" t="s">
        <v>127</v>
      </c>
    </row>
    <row r="2759" spans="1:17" x14ac:dyDescent="0.25">
      <c r="A2759" t="str">
        <f>IF(C2759&amp;G2759&amp;D2759&lt;&gt;'Funnel setup'!$K$3&amp;'Funnel setup'!$K$4&amp;'Funnel setup'!$K$6,".",IF(A2758=".",1,A2758+1))</f>
        <v>.</v>
      </c>
      <c r="B2759" s="244" t="str">
        <f t="shared" si="43"/>
        <v>Knee Replacement RevisionSub-ICB of GP PracticeNHS LANCASHIRE AND SOUTH CUMBRIA ICB - 00X (00X)EQ VAS</v>
      </c>
      <c r="C2759" t="s">
        <v>973</v>
      </c>
      <c r="D2759" t="s">
        <v>1021</v>
      </c>
      <c r="E2759" t="s">
        <v>851</v>
      </c>
      <c r="F2759" t="s">
        <v>852</v>
      </c>
      <c r="G2759" t="s">
        <v>752</v>
      </c>
      <c r="H2759">
        <v>4</v>
      </c>
      <c r="I2759">
        <v>72.25</v>
      </c>
      <c r="J2759">
        <v>72</v>
      </c>
      <c r="K2759">
        <v>-0.25</v>
      </c>
      <c r="L2759">
        <v>3</v>
      </c>
      <c r="M2759">
        <v>0</v>
      </c>
      <c r="N2759">
        <v>1</v>
      </c>
      <c r="O2759" t="s">
        <v>127</v>
      </c>
      <c r="P2759" t="s">
        <v>127</v>
      </c>
      <c r="Q2759" t="s">
        <v>127</v>
      </c>
    </row>
    <row r="2760" spans="1:17" x14ac:dyDescent="0.25">
      <c r="A2760" t="str">
        <f>IF(C2760&amp;G2760&amp;D2760&lt;&gt;'Funnel setup'!$K$3&amp;'Funnel setup'!$K$4&amp;'Funnel setup'!$K$6,".",IF(A2759=".",1,A2759+1))</f>
        <v>.</v>
      </c>
      <c r="B2760" s="244" t="str">
        <f t="shared" si="43"/>
        <v>Knee Replacement RevisionSub-ICB of GP PracticeNHS LANCASHIRE AND SOUTH CUMBRIA ICB - 01A (01A)EQ VAS</v>
      </c>
      <c r="C2760" t="s">
        <v>973</v>
      </c>
      <c r="D2760" t="s">
        <v>1021</v>
      </c>
      <c r="E2760" t="s">
        <v>853</v>
      </c>
      <c r="F2760" t="s">
        <v>854</v>
      </c>
      <c r="G2760" t="s">
        <v>752</v>
      </c>
      <c r="H2760">
        <v>3</v>
      </c>
      <c r="I2760">
        <v>52.666699999999999</v>
      </c>
      <c r="J2760">
        <v>73</v>
      </c>
      <c r="K2760">
        <v>20.333300000000001</v>
      </c>
      <c r="L2760">
        <v>3</v>
      </c>
      <c r="M2760">
        <v>0</v>
      </c>
      <c r="N2760">
        <v>0</v>
      </c>
      <c r="O2760" t="s">
        <v>127</v>
      </c>
      <c r="P2760" t="s">
        <v>127</v>
      </c>
      <c r="Q2760" t="s">
        <v>127</v>
      </c>
    </row>
    <row r="2761" spans="1:17" x14ac:dyDescent="0.25">
      <c r="A2761" t="str">
        <f>IF(C2761&amp;G2761&amp;D2761&lt;&gt;'Funnel setup'!$K$3&amp;'Funnel setup'!$K$4&amp;'Funnel setup'!$K$6,".",IF(A2760=".",1,A2760+1))</f>
        <v>.</v>
      </c>
      <c r="B2761" s="244" t="str">
        <f t="shared" si="43"/>
        <v>Knee Replacement RevisionSub-ICB of GP PracticeNHS LANCASHIRE AND SOUTH CUMBRIA ICB - 01E (01E)EQ VAS</v>
      </c>
      <c r="C2761" t="s">
        <v>973</v>
      </c>
      <c r="D2761" t="s">
        <v>1021</v>
      </c>
      <c r="E2761" t="s">
        <v>855</v>
      </c>
      <c r="F2761" t="s">
        <v>856</v>
      </c>
      <c r="G2761" t="s">
        <v>752</v>
      </c>
      <c r="H2761">
        <v>2</v>
      </c>
      <c r="I2761">
        <v>87.5</v>
      </c>
      <c r="J2761">
        <v>77.5</v>
      </c>
      <c r="K2761">
        <v>-10</v>
      </c>
      <c r="L2761">
        <v>0</v>
      </c>
      <c r="M2761">
        <v>1</v>
      </c>
      <c r="N2761">
        <v>1</v>
      </c>
      <c r="O2761" t="s">
        <v>127</v>
      </c>
      <c r="P2761" t="s">
        <v>127</v>
      </c>
      <c r="Q2761" t="s">
        <v>127</v>
      </c>
    </row>
    <row r="2762" spans="1:17" x14ac:dyDescent="0.25">
      <c r="A2762" t="str">
        <f>IF(C2762&amp;G2762&amp;D2762&lt;&gt;'Funnel setup'!$K$3&amp;'Funnel setup'!$K$4&amp;'Funnel setup'!$K$6,".",IF(A2761=".",1,A2761+1))</f>
        <v>.</v>
      </c>
      <c r="B2762" s="244" t="str">
        <f t="shared" si="43"/>
        <v>Knee Replacement RevisionSub-ICB of GP PracticeNHS LANCASHIRE AND SOUTH CUMBRIA ICB - 01K (01K)EQ VAS</v>
      </c>
      <c r="C2762" t="s">
        <v>973</v>
      </c>
      <c r="D2762" t="s">
        <v>1021</v>
      </c>
      <c r="E2762" t="s">
        <v>857</v>
      </c>
      <c r="F2762" t="s">
        <v>858</v>
      </c>
      <c r="G2762" t="s">
        <v>752</v>
      </c>
      <c r="H2762">
        <v>3</v>
      </c>
      <c r="I2762">
        <v>59.666699999999999</v>
      </c>
      <c r="J2762">
        <v>78.333299999999994</v>
      </c>
      <c r="K2762">
        <v>18.666699999999999</v>
      </c>
      <c r="L2762">
        <v>3</v>
      </c>
      <c r="M2762">
        <v>0</v>
      </c>
      <c r="N2762">
        <v>0</v>
      </c>
      <c r="O2762" t="s">
        <v>127</v>
      </c>
      <c r="P2762" t="s">
        <v>127</v>
      </c>
      <c r="Q2762" t="s">
        <v>127</v>
      </c>
    </row>
    <row r="2763" spans="1:17" x14ac:dyDescent="0.25">
      <c r="A2763" t="str">
        <f>IF(C2763&amp;G2763&amp;D2763&lt;&gt;'Funnel setup'!$K$3&amp;'Funnel setup'!$K$4&amp;'Funnel setup'!$K$6,".",IF(A2762=".",1,A2762+1))</f>
        <v>.</v>
      </c>
      <c r="B2763" s="244" t="str">
        <f t="shared" si="43"/>
        <v>Knee Replacement RevisionSub-ICB of GP PracticeNHS LANCASHIRE AND SOUTH CUMBRIA ICB - 02M (02M)EQ VAS</v>
      </c>
      <c r="C2763" t="s">
        <v>973</v>
      </c>
      <c r="D2763" t="s">
        <v>1021</v>
      </c>
      <c r="E2763" t="s">
        <v>861</v>
      </c>
      <c r="F2763" t="s">
        <v>862</v>
      </c>
      <c r="G2763" t="s">
        <v>752</v>
      </c>
      <c r="H2763">
        <v>1</v>
      </c>
      <c r="I2763">
        <v>70</v>
      </c>
      <c r="J2763">
        <v>50</v>
      </c>
      <c r="K2763">
        <v>-20</v>
      </c>
      <c r="L2763">
        <v>0</v>
      </c>
      <c r="M2763">
        <v>0</v>
      </c>
      <c r="N2763">
        <v>1</v>
      </c>
      <c r="O2763" t="s">
        <v>127</v>
      </c>
      <c r="P2763" t="s">
        <v>127</v>
      </c>
      <c r="Q2763" t="s">
        <v>127</v>
      </c>
    </row>
    <row r="2764" spans="1:17" x14ac:dyDescent="0.25">
      <c r="A2764" t="str">
        <f>IF(C2764&amp;G2764&amp;D2764&lt;&gt;'Funnel setup'!$K$3&amp;'Funnel setup'!$K$4&amp;'Funnel setup'!$K$6,".",IF(A2763=".",1,A2763+1))</f>
        <v>.</v>
      </c>
      <c r="B2764" s="244" t="str">
        <f t="shared" si="43"/>
        <v>Knee Replacement RevisionSub-ICB of GP PracticeNHS LEICESTER, LEICESTERSHIRE AND RUTLAND ICB - 03W (03W)EQ VAS</v>
      </c>
      <c r="C2764" t="s">
        <v>973</v>
      </c>
      <c r="D2764" t="s">
        <v>1021</v>
      </c>
      <c r="E2764" t="s">
        <v>863</v>
      </c>
      <c r="F2764" t="s">
        <v>864</v>
      </c>
      <c r="G2764" t="s">
        <v>752</v>
      </c>
      <c r="H2764">
        <v>5</v>
      </c>
      <c r="I2764">
        <v>68.8</v>
      </c>
      <c r="J2764">
        <v>82</v>
      </c>
      <c r="K2764">
        <v>13.2</v>
      </c>
      <c r="L2764">
        <v>4</v>
      </c>
      <c r="M2764">
        <v>0</v>
      </c>
      <c r="N2764">
        <v>1</v>
      </c>
      <c r="O2764" t="s">
        <v>127</v>
      </c>
      <c r="P2764" t="s">
        <v>127</v>
      </c>
      <c r="Q2764" t="s">
        <v>127</v>
      </c>
    </row>
    <row r="2765" spans="1:17" x14ac:dyDescent="0.25">
      <c r="A2765" t="str">
        <f>IF(C2765&amp;G2765&amp;D2765&lt;&gt;'Funnel setup'!$K$3&amp;'Funnel setup'!$K$4&amp;'Funnel setup'!$K$6,".",IF(A2764=".",1,A2764+1))</f>
        <v>.</v>
      </c>
      <c r="B2765" s="244" t="str">
        <f t="shared" si="43"/>
        <v>Knee Replacement RevisionSub-ICB of GP PracticeNHS LEICESTER, LEICESTERSHIRE AND RUTLAND ICB - 04C (04C)EQ VAS</v>
      </c>
      <c r="C2765" t="s">
        <v>973</v>
      </c>
      <c r="D2765" t="s">
        <v>1021</v>
      </c>
      <c r="E2765" t="s">
        <v>865</v>
      </c>
      <c r="F2765" t="s">
        <v>866</v>
      </c>
      <c r="G2765" t="s">
        <v>752</v>
      </c>
      <c r="H2765">
        <v>1</v>
      </c>
      <c r="I2765">
        <v>88</v>
      </c>
      <c r="J2765">
        <v>50</v>
      </c>
      <c r="K2765">
        <v>-38</v>
      </c>
      <c r="L2765">
        <v>0</v>
      </c>
      <c r="M2765">
        <v>0</v>
      </c>
      <c r="N2765">
        <v>1</v>
      </c>
      <c r="O2765" t="s">
        <v>127</v>
      </c>
      <c r="P2765" t="s">
        <v>127</v>
      </c>
      <c r="Q2765" t="s">
        <v>127</v>
      </c>
    </row>
    <row r="2766" spans="1:17" x14ac:dyDescent="0.25">
      <c r="A2766" t="str">
        <f>IF(C2766&amp;G2766&amp;D2766&lt;&gt;'Funnel setup'!$K$3&amp;'Funnel setup'!$K$4&amp;'Funnel setup'!$K$6,".",IF(A2765=".",1,A2765+1))</f>
        <v>.</v>
      </c>
      <c r="B2766" s="244" t="str">
        <f t="shared" si="43"/>
        <v>Knee Replacement RevisionSub-ICB of GP PracticeNHS LEICESTER, LEICESTERSHIRE AND RUTLAND ICB - 04V (04V)EQ VAS</v>
      </c>
      <c r="C2766" t="s">
        <v>973</v>
      </c>
      <c r="D2766" t="s">
        <v>1021</v>
      </c>
      <c r="E2766" t="s">
        <v>867</v>
      </c>
      <c r="F2766" t="s">
        <v>868</v>
      </c>
      <c r="G2766" t="s">
        <v>752</v>
      </c>
      <c r="H2766">
        <v>11</v>
      </c>
      <c r="I2766">
        <v>64.181799999999996</v>
      </c>
      <c r="J2766">
        <v>61.090899999999998</v>
      </c>
      <c r="K2766">
        <v>-3.09091</v>
      </c>
      <c r="L2766">
        <v>8</v>
      </c>
      <c r="M2766">
        <v>0</v>
      </c>
      <c r="N2766">
        <v>3</v>
      </c>
      <c r="O2766" t="s">
        <v>127</v>
      </c>
      <c r="P2766" t="s">
        <v>127</v>
      </c>
      <c r="Q2766" t="s">
        <v>127</v>
      </c>
    </row>
    <row r="2767" spans="1:17" x14ac:dyDescent="0.25">
      <c r="A2767" t="str">
        <f>IF(C2767&amp;G2767&amp;D2767&lt;&gt;'Funnel setup'!$K$3&amp;'Funnel setup'!$K$4&amp;'Funnel setup'!$K$6,".",IF(A2766=".",1,A2766+1))</f>
        <v>.</v>
      </c>
      <c r="B2767" s="244" t="str">
        <f t="shared" si="43"/>
        <v>Knee Replacement RevisionSub-ICB of GP PracticeNHS LINCOLNSHIRE ICB - 71E (71E)EQ VAS</v>
      </c>
      <c r="C2767" t="s">
        <v>973</v>
      </c>
      <c r="D2767" t="s">
        <v>1021</v>
      </c>
      <c r="E2767" t="s">
        <v>869</v>
      </c>
      <c r="F2767" t="s">
        <v>870</v>
      </c>
      <c r="G2767" t="s">
        <v>752</v>
      </c>
      <c r="H2767">
        <v>4</v>
      </c>
      <c r="I2767">
        <v>37.5</v>
      </c>
      <c r="J2767">
        <v>57.5</v>
      </c>
      <c r="K2767">
        <v>20</v>
      </c>
      <c r="L2767">
        <v>3</v>
      </c>
      <c r="M2767">
        <v>0</v>
      </c>
      <c r="N2767">
        <v>1</v>
      </c>
      <c r="O2767" t="s">
        <v>127</v>
      </c>
      <c r="P2767" t="s">
        <v>127</v>
      </c>
      <c r="Q2767" t="s">
        <v>127</v>
      </c>
    </row>
    <row r="2768" spans="1:17" x14ac:dyDescent="0.25">
      <c r="A2768" t="str">
        <f>IF(C2768&amp;G2768&amp;D2768&lt;&gt;'Funnel setup'!$K$3&amp;'Funnel setup'!$K$4&amp;'Funnel setup'!$K$6,".",IF(A2767=".",1,A2767+1))</f>
        <v>.</v>
      </c>
      <c r="B2768" s="244" t="str">
        <f t="shared" si="43"/>
        <v>Knee Replacement RevisionSub-ICB of GP PracticeNHS MID AND SOUTH ESSEX ICB - 06Q (06Q)EQ VAS</v>
      </c>
      <c r="C2768" t="s">
        <v>973</v>
      </c>
      <c r="D2768" t="s">
        <v>1021</v>
      </c>
      <c r="E2768" t="s">
        <v>871</v>
      </c>
      <c r="F2768" t="s">
        <v>872</v>
      </c>
      <c r="G2768" t="s">
        <v>752</v>
      </c>
      <c r="H2768">
        <v>2</v>
      </c>
      <c r="I2768">
        <v>60</v>
      </c>
      <c r="J2768">
        <v>45</v>
      </c>
      <c r="K2768">
        <v>-15</v>
      </c>
      <c r="L2768">
        <v>0</v>
      </c>
      <c r="M2768">
        <v>1</v>
      </c>
      <c r="N2768">
        <v>1</v>
      </c>
      <c r="O2768" t="s">
        <v>127</v>
      </c>
      <c r="P2768" t="s">
        <v>127</v>
      </c>
      <c r="Q2768" t="s">
        <v>127</v>
      </c>
    </row>
    <row r="2769" spans="1:17" x14ac:dyDescent="0.25">
      <c r="A2769" t="str">
        <f>IF(C2769&amp;G2769&amp;D2769&lt;&gt;'Funnel setup'!$K$3&amp;'Funnel setup'!$K$4&amp;'Funnel setup'!$K$6,".",IF(A2768=".",1,A2768+1))</f>
        <v>.</v>
      </c>
      <c r="B2769" s="244" t="str">
        <f t="shared" si="43"/>
        <v>Knee Replacement RevisionSub-ICB of GP PracticeNHS MID AND SOUTH ESSEX ICB - 99F (99F)EQ VAS</v>
      </c>
      <c r="C2769" t="s">
        <v>973</v>
      </c>
      <c r="D2769" t="s">
        <v>1021</v>
      </c>
      <c r="E2769" t="s">
        <v>877</v>
      </c>
      <c r="F2769" t="s">
        <v>878</v>
      </c>
      <c r="G2769" t="s">
        <v>752</v>
      </c>
      <c r="H2769">
        <v>1</v>
      </c>
      <c r="I2769">
        <v>40</v>
      </c>
      <c r="J2769">
        <v>80</v>
      </c>
      <c r="K2769">
        <v>40</v>
      </c>
      <c r="L2769">
        <v>1</v>
      </c>
      <c r="M2769">
        <v>0</v>
      </c>
      <c r="N2769">
        <v>0</v>
      </c>
      <c r="O2769" t="s">
        <v>127</v>
      </c>
      <c r="P2769" t="s">
        <v>127</v>
      </c>
      <c r="Q2769" t="s">
        <v>127</v>
      </c>
    </row>
    <row r="2770" spans="1:17" x14ac:dyDescent="0.25">
      <c r="A2770" t="str">
        <f>IF(C2770&amp;G2770&amp;D2770&lt;&gt;'Funnel setup'!$K$3&amp;'Funnel setup'!$K$4&amp;'Funnel setup'!$K$6,".",IF(A2769=".",1,A2769+1))</f>
        <v>.</v>
      </c>
      <c r="B2770" s="244" t="str">
        <f t="shared" si="43"/>
        <v>Knee Replacement RevisionSub-ICB of GP PracticeNHS NORFOLK AND WAVENEY ICB - 26A (26A)EQ VAS</v>
      </c>
      <c r="C2770" t="s">
        <v>973</v>
      </c>
      <c r="D2770" t="s">
        <v>1021</v>
      </c>
      <c r="E2770" t="s">
        <v>881</v>
      </c>
      <c r="F2770" t="s">
        <v>882</v>
      </c>
      <c r="G2770" t="s">
        <v>752</v>
      </c>
      <c r="H2770">
        <v>22</v>
      </c>
      <c r="I2770">
        <v>53</v>
      </c>
      <c r="J2770">
        <v>63.545499999999997</v>
      </c>
      <c r="K2770">
        <v>10.545500000000001</v>
      </c>
      <c r="L2770">
        <v>14</v>
      </c>
      <c r="M2770">
        <v>3</v>
      </c>
      <c r="N2770">
        <v>5</v>
      </c>
      <c r="O2770" t="s">
        <v>127</v>
      </c>
      <c r="P2770" t="s">
        <v>127</v>
      </c>
      <c r="Q2770" t="s">
        <v>127</v>
      </c>
    </row>
    <row r="2771" spans="1:17" x14ac:dyDescent="0.25">
      <c r="A2771" t="str">
        <f>IF(C2771&amp;G2771&amp;D2771&lt;&gt;'Funnel setup'!$K$3&amp;'Funnel setup'!$K$4&amp;'Funnel setup'!$K$6,".",IF(A2770=".",1,A2770+1))</f>
        <v>.</v>
      </c>
      <c r="B2771" s="244" t="str">
        <f t="shared" si="43"/>
        <v>Knee Replacement RevisionSub-ICB of GP PracticeNHS NORTH CENTRAL LONDON ICB - 93C (93C)EQ VAS</v>
      </c>
      <c r="C2771" t="s">
        <v>973</v>
      </c>
      <c r="D2771" t="s">
        <v>1021</v>
      </c>
      <c r="E2771" t="s">
        <v>883</v>
      </c>
      <c r="F2771" t="s">
        <v>884</v>
      </c>
      <c r="G2771" t="s">
        <v>752</v>
      </c>
      <c r="H2771">
        <v>3</v>
      </c>
      <c r="I2771">
        <v>62.666699999999999</v>
      </c>
      <c r="J2771">
        <v>86.666700000000006</v>
      </c>
      <c r="K2771">
        <v>24</v>
      </c>
      <c r="L2771">
        <v>3</v>
      </c>
      <c r="M2771">
        <v>0</v>
      </c>
      <c r="N2771">
        <v>0</v>
      </c>
      <c r="O2771" t="s">
        <v>127</v>
      </c>
      <c r="P2771" t="s">
        <v>127</v>
      </c>
      <c r="Q2771" t="s">
        <v>127</v>
      </c>
    </row>
    <row r="2772" spans="1:17" x14ac:dyDescent="0.25">
      <c r="A2772" t="str">
        <f>IF(C2772&amp;G2772&amp;D2772&lt;&gt;'Funnel setup'!$K$3&amp;'Funnel setup'!$K$4&amp;'Funnel setup'!$K$6,".",IF(A2771=".",1,A2771+1))</f>
        <v>.</v>
      </c>
      <c r="B2772" s="244" t="str">
        <f t="shared" si="43"/>
        <v>Knee Replacement RevisionSub-ICB of GP PracticeNHS NORTH EAST AND NORTH CUMBRIA ICB - 00L (00L)EQ VAS</v>
      </c>
      <c r="C2772" t="s">
        <v>973</v>
      </c>
      <c r="D2772" t="s">
        <v>1021</v>
      </c>
      <c r="E2772" t="s">
        <v>885</v>
      </c>
      <c r="F2772" t="s">
        <v>886</v>
      </c>
      <c r="G2772" t="s">
        <v>752</v>
      </c>
      <c r="H2772">
        <v>4</v>
      </c>
      <c r="I2772">
        <v>63.25</v>
      </c>
      <c r="J2772">
        <v>57.5</v>
      </c>
      <c r="K2772">
        <v>-5.75</v>
      </c>
      <c r="L2772">
        <v>2</v>
      </c>
      <c r="M2772">
        <v>0</v>
      </c>
      <c r="N2772">
        <v>2</v>
      </c>
      <c r="O2772" t="s">
        <v>127</v>
      </c>
      <c r="P2772" t="s">
        <v>127</v>
      </c>
      <c r="Q2772" t="s">
        <v>127</v>
      </c>
    </row>
    <row r="2773" spans="1:17" x14ac:dyDescent="0.25">
      <c r="A2773" t="str">
        <f>IF(C2773&amp;G2773&amp;D2773&lt;&gt;'Funnel setup'!$K$3&amp;'Funnel setup'!$K$4&amp;'Funnel setup'!$K$6,".",IF(A2772=".",1,A2772+1))</f>
        <v>.</v>
      </c>
      <c r="B2773" s="244" t="str">
        <f t="shared" si="43"/>
        <v>Knee Replacement RevisionSub-ICB of GP PracticeNHS NORTH EAST AND NORTH CUMBRIA ICB - 00P (00P)EQ VAS</v>
      </c>
      <c r="C2773" t="s">
        <v>973</v>
      </c>
      <c r="D2773" t="s">
        <v>1021</v>
      </c>
      <c r="E2773" t="s">
        <v>889</v>
      </c>
      <c r="F2773" t="s">
        <v>890</v>
      </c>
      <c r="G2773" t="s">
        <v>752</v>
      </c>
      <c r="H2773">
        <v>1</v>
      </c>
      <c r="I2773">
        <v>67</v>
      </c>
      <c r="J2773">
        <v>55</v>
      </c>
      <c r="K2773">
        <v>-12</v>
      </c>
      <c r="L2773">
        <v>0</v>
      </c>
      <c r="M2773">
        <v>0</v>
      </c>
      <c r="N2773">
        <v>1</v>
      </c>
      <c r="O2773" t="s">
        <v>127</v>
      </c>
      <c r="P2773" t="s">
        <v>127</v>
      </c>
      <c r="Q2773" t="s">
        <v>127</v>
      </c>
    </row>
    <row r="2774" spans="1:17" x14ac:dyDescent="0.25">
      <c r="A2774" t="str">
        <f>IF(C2774&amp;G2774&amp;D2774&lt;&gt;'Funnel setup'!$K$3&amp;'Funnel setup'!$K$4&amp;'Funnel setup'!$K$6,".",IF(A2773=".",1,A2773+1))</f>
        <v>.</v>
      </c>
      <c r="B2774" s="244" t="str">
        <f t="shared" si="43"/>
        <v>Knee Replacement RevisionSub-ICB of GP PracticeNHS NORTH EAST AND NORTH CUMBRIA ICB - 01H (01H)EQ VAS</v>
      </c>
      <c r="C2774" t="s">
        <v>973</v>
      </c>
      <c r="D2774" t="s">
        <v>1021</v>
      </c>
      <c r="E2774" t="s">
        <v>891</v>
      </c>
      <c r="F2774" t="s">
        <v>892</v>
      </c>
      <c r="G2774" t="s">
        <v>752</v>
      </c>
      <c r="H2774">
        <v>4</v>
      </c>
      <c r="I2774">
        <v>70.5</v>
      </c>
      <c r="J2774">
        <v>66.25</v>
      </c>
      <c r="K2774">
        <v>-4.25</v>
      </c>
      <c r="L2774">
        <v>1</v>
      </c>
      <c r="M2774">
        <v>2</v>
      </c>
      <c r="N2774">
        <v>1</v>
      </c>
      <c r="O2774" t="s">
        <v>127</v>
      </c>
      <c r="P2774" t="s">
        <v>127</v>
      </c>
      <c r="Q2774" t="s">
        <v>127</v>
      </c>
    </row>
    <row r="2775" spans="1:17" x14ac:dyDescent="0.25">
      <c r="A2775" t="str">
        <f>IF(C2775&amp;G2775&amp;D2775&lt;&gt;'Funnel setup'!$K$3&amp;'Funnel setup'!$K$4&amp;'Funnel setup'!$K$6,".",IF(A2774=".",1,A2774+1))</f>
        <v>.</v>
      </c>
      <c r="B2775" s="244" t="str">
        <f t="shared" si="43"/>
        <v>Knee Replacement RevisionSub-ICB of GP PracticeNHS NORTH EAST AND NORTH CUMBRIA ICB - 13T (13T)EQ VAS</v>
      </c>
      <c r="C2775" t="s">
        <v>973</v>
      </c>
      <c r="D2775" t="s">
        <v>1021</v>
      </c>
      <c r="E2775" t="s">
        <v>893</v>
      </c>
      <c r="F2775" t="s">
        <v>894</v>
      </c>
      <c r="G2775" t="s">
        <v>752</v>
      </c>
      <c r="H2775">
        <v>2</v>
      </c>
      <c r="I2775">
        <v>71.5</v>
      </c>
      <c r="J2775">
        <v>78</v>
      </c>
      <c r="K2775">
        <v>6.5</v>
      </c>
      <c r="L2775">
        <v>1</v>
      </c>
      <c r="M2775">
        <v>1</v>
      </c>
      <c r="N2775">
        <v>0</v>
      </c>
      <c r="O2775" t="s">
        <v>127</v>
      </c>
      <c r="P2775" t="s">
        <v>127</v>
      </c>
      <c r="Q2775" t="s">
        <v>127</v>
      </c>
    </row>
    <row r="2776" spans="1:17" x14ac:dyDescent="0.25">
      <c r="A2776" t="str">
        <f>IF(C2776&amp;G2776&amp;D2776&lt;&gt;'Funnel setup'!$K$3&amp;'Funnel setup'!$K$4&amp;'Funnel setup'!$K$6,".",IF(A2775=".",1,A2775+1))</f>
        <v>.</v>
      </c>
      <c r="B2776" s="244" t="str">
        <f t="shared" si="43"/>
        <v>Knee Replacement RevisionSub-ICB of GP PracticeNHS NORTH EAST AND NORTH CUMBRIA ICB - 16C (16C)EQ VAS</v>
      </c>
      <c r="C2776" t="s">
        <v>973</v>
      </c>
      <c r="D2776" t="s">
        <v>1021</v>
      </c>
      <c r="E2776" t="s">
        <v>895</v>
      </c>
      <c r="F2776" t="s">
        <v>896</v>
      </c>
      <c r="G2776" t="s">
        <v>752</v>
      </c>
      <c r="H2776">
        <v>17</v>
      </c>
      <c r="I2776">
        <v>57.352899999999998</v>
      </c>
      <c r="J2776">
        <v>57.352899999999998</v>
      </c>
      <c r="K2776">
        <v>0</v>
      </c>
      <c r="L2776">
        <v>9</v>
      </c>
      <c r="M2776">
        <v>1</v>
      </c>
      <c r="N2776">
        <v>7</v>
      </c>
      <c r="O2776" t="s">
        <v>127</v>
      </c>
      <c r="P2776" t="s">
        <v>127</v>
      </c>
      <c r="Q2776" t="s">
        <v>127</v>
      </c>
    </row>
    <row r="2777" spans="1:17" x14ac:dyDescent="0.25">
      <c r="A2777" t="str">
        <f>IF(C2777&amp;G2777&amp;D2777&lt;&gt;'Funnel setup'!$K$3&amp;'Funnel setup'!$K$4&amp;'Funnel setup'!$K$6,".",IF(A2776=".",1,A2776+1))</f>
        <v>.</v>
      </c>
      <c r="B2777" s="244" t="str">
        <f t="shared" si="43"/>
        <v>Knee Replacement RevisionSub-ICB of GP PracticeNHS NORTH EAST AND NORTH CUMBRIA ICB - 84H (84H)EQ VAS</v>
      </c>
      <c r="C2777" t="s">
        <v>973</v>
      </c>
      <c r="D2777" t="s">
        <v>1021</v>
      </c>
      <c r="E2777" t="s">
        <v>897</v>
      </c>
      <c r="F2777" t="s">
        <v>898</v>
      </c>
      <c r="G2777" t="s">
        <v>752</v>
      </c>
      <c r="H2777">
        <v>9</v>
      </c>
      <c r="I2777">
        <v>46.555599999999998</v>
      </c>
      <c r="J2777">
        <v>49</v>
      </c>
      <c r="K2777">
        <v>2.4444400000000002</v>
      </c>
      <c r="L2777">
        <v>5</v>
      </c>
      <c r="M2777">
        <v>1</v>
      </c>
      <c r="N2777">
        <v>3</v>
      </c>
      <c r="O2777" t="s">
        <v>127</v>
      </c>
      <c r="P2777" t="s">
        <v>127</v>
      </c>
      <c r="Q2777" t="s">
        <v>127</v>
      </c>
    </row>
    <row r="2778" spans="1:17" x14ac:dyDescent="0.25">
      <c r="A2778" t="str">
        <f>IF(C2778&amp;G2778&amp;D2778&lt;&gt;'Funnel setup'!$K$3&amp;'Funnel setup'!$K$4&amp;'Funnel setup'!$K$6,".",IF(A2777=".",1,A2777+1))</f>
        <v>.</v>
      </c>
      <c r="B2778" s="244" t="str">
        <f t="shared" si="43"/>
        <v>Knee Replacement RevisionSub-ICB of GP PracticeNHS NORTH EAST AND NORTH CUMBRIA ICB - 99C (99C)EQ VAS</v>
      </c>
      <c r="C2778" t="s">
        <v>973</v>
      </c>
      <c r="D2778" t="s">
        <v>1021</v>
      </c>
      <c r="E2778" t="s">
        <v>899</v>
      </c>
      <c r="F2778" t="s">
        <v>900</v>
      </c>
      <c r="G2778" t="s">
        <v>752</v>
      </c>
      <c r="H2778">
        <v>1</v>
      </c>
      <c r="I2778">
        <v>72</v>
      </c>
      <c r="J2778">
        <v>45</v>
      </c>
      <c r="K2778">
        <v>-27</v>
      </c>
      <c r="L2778">
        <v>0</v>
      </c>
      <c r="M2778">
        <v>0</v>
      </c>
      <c r="N2778">
        <v>1</v>
      </c>
      <c r="O2778" t="s">
        <v>127</v>
      </c>
      <c r="P2778" t="s">
        <v>127</v>
      </c>
      <c r="Q2778" t="s">
        <v>127</v>
      </c>
    </row>
    <row r="2779" spans="1:17" x14ac:dyDescent="0.25">
      <c r="A2779" t="str">
        <f>IF(C2779&amp;G2779&amp;D2779&lt;&gt;'Funnel setup'!$K$3&amp;'Funnel setup'!$K$4&amp;'Funnel setup'!$K$6,".",IF(A2778=".",1,A2778+1))</f>
        <v>.</v>
      </c>
      <c r="B2779" s="244" t="str">
        <f t="shared" si="43"/>
        <v>Knee Replacement RevisionSub-ICB of GP PracticeNHS NORTH EAST LONDON ICB - A3A8R (A3A8R)EQ VAS</v>
      </c>
      <c r="C2779" t="s">
        <v>973</v>
      </c>
      <c r="D2779" t="s">
        <v>1021</v>
      </c>
      <c r="E2779" t="s">
        <v>901</v>
      </c>
      <c r="F2779" t="s">
        <v>902</v>
      </c>
      <c r="G2779" t="s">
        <v>752</v>
      </c>
      <c r="H2779">
        <v>10</v>
      </c>
      <c r="I2779">
        <v>61.2</v>
      </c>
      <c r="J2779">
        <v>66.8</v>
      </c>
      <c r="K2779">
        <v>5.6</v>
      </c>
      <c r="L2779">
        <v>5</v>
      </c>
      <c r="M2779">
        <v>1</v>
      </c>
      <c r="N2779">
        <v>4</v>
      </c>
      <c r="O2779" t="s">
        <v>127</v>
      </c>
      <c r="P2779" t="s">
        <v>127</v>
      </c>
      <c r="Q2779" t="s">
        <v>127</v>
      </c>
    </row>
    <row r="2780" spans="1:17" x14ac:dyDescent="0.25">
      <c r="A2780" t="str">
        <f>IF(C2780&amp;G2780&amp;D2780&lt;&gt;'Funnel setup'!$K$3&amp;'Funnel setup'!$K$4&amp;'Funnel setup'!$K$6,".",IF(A2779=".",1,A2779+1))</f>
        <v>.</v>
      </c>
      <c r="B2780" s="244" t="str">
        <f t="shared" si="43"/>
        <v>Knee Replacement RevisionSub-ICB of GP PracticeNHS NORTH WEST LONDON ICB - W2U3Z (W2U3Z)EQ VAS</v>
      </c>
      <c r="C2780" t="s">
        <v>973</v>
      </c>
      <c r="D2780" t="s">
        <v>1021</v>
      </c>
      <c r="E2780" t="s">
        <v>903</v>
      </c>
      <c r="F2780" t="s">
        <v>904</v>
      </c>
      <c r="G2780" t="s">
        <v>752</v>
      </c>
      <c r="H2780">
        <v>10</v>
      </c>
      <c r="I2780">
        <v>60.2</v>
      </c>
      <c r="J2780">
        <v>73</v>
      </c>
      <c r="K2780">
        <v>12.8</v>
      </c>
      <c r="L2780">
        <v>5</v>
      </c>
      <c r="M2780">
        <v>4</v>
      </c>
      <c r="N2780">
        <v>1</v>
      </c>
      <c r="O2780" t="s">
        <v>127</v>
      </c>
      <c r="P2780" t="s">
        <v>127</v>
      </c>
      <c r="Q2780" t="s">
        <v>127</v>
      </c>
    </row>
    <row r="2781" spans="1:17" x14ac:dyDescent="0.25">
      <c r="A2781" t="str">
        <f>IF(C2781&amp;G2781&amp;D2781&lt;&gt;'Funnel setup'!$K$3&amp;'Funnel setup'!$K$4&amp;'Funnel setup'!$K$6,".",IF(A2780=".",1,A2780+1))</f>
        <v>.</v>
      </c>
      <c r="B2781" s="244" t="str">
        <f t="shared" si="43"/>
        <v>Knee Replacement RevisionSub-ICB of GP PracticeNHS NORTHAMPTONSHIRE ICB - 78H (78H)EQ VAS</v>
      </c>
      <c r="C2781" t="s">
        <v>973</v>
      </c>
      <c r="D2781" t="s">
        <v>1021</v>
      </c>
      <c r="E2781" t="s">
        <v>905</v>
      </c>
      <c r="F2781" t="s">
        <v>906</v>
      </c>
      <c r="G2781" t="s">
        <v>752</v>
      </c>
      <c r="H2781">
        <v>12</v>
      </c>
      <c r="I2781">
        <v>54.5</v>
      </c>
      <c r="J2781">
        <v>71.333299999999994</v>
      </c>
      <c r="K2781">
        <v>16.833300000000001</v>
      </c>
      <c r="L2781">
        <v>9</v>
      </c>
      <c r="M2781">
        <v>2</v>
      </c>
      <c r="N2781">
        <v>1</v>
      </c>
      <c r="O2781" t="s">
        <v>127</v>
      </c>
      <c r="P2781" t="s">
        <v>127</v>
      </c>
      <c r="Q2781" t="s">
        <v>127</v>
      </c>
    </row>
    <row r="2782" spans="1:17" x14ac:dyDescent="0.25">
      <c r="A2782" t="str">
        <f>IF(C2782&amp;G2782&amp;D2782&lt;&gt;'Funnel setup'!$K$3&amp;'Funnel setup'!$K$4&amp;'Funnel setup'!$K$6,".",IF(A2781=".",1,A2781+1))</f>
        <v>.</v>
      </c>
      <c r="B2782" s="244" t="str">
        <f t="shared" si="43"/>
        <v>Knee Replacement RevisionSub-ICB of GP PracticeNHS NOTTINGHAM AND NOTTINGHAMSHIRE ICB - 02Q (02Q)EQ VAS</v>
      </c>
      <c r="C2782" t="s">
        <v>973</v>
      </c>
      <c r="D2782" t="s">
        <v>1021</v>
      </c>
      <c r="E2782" t="s">
        <v>907</v>
      </c>
      <c r="F2782" t="s">
        <v>908</v>
      </c>
      <c r="G2782" t="s">
        <v>752</v>
      </c>
      <c r="H2782">
        <v>3</v>
      </c>
      <c r="I2782">
        <v>65.333299999999994</v>
      </c>
      <c r="J2782">
        <v>53.333300000000001</v>
      </c>
      <c r="K2782">
        <v>-12</v>
      </c>
      <c r="L2782">
        <v>1</v>
      </c>
      <c r="M2782">
        <v>0</v>
      </c>
      <c r="N2782">
        <v>2</v>
      </c>
      <c r="O2782" t="s">
        <v>127</v>
      </c>
      <c r="P2782" t="s">
        <v>127</v>
      </c>
      <c r="Q2782" t="s">
        <v>127</v>
      </c>
    </row>
    <row r="2783" spans="1:17" x14ac:dyDescent="0.25">
      <c r="A2783" t="str">
        <f>IF(C2783&amp;G2783&amp;D2783&lt;&gt;'Funnel setup'!$K$3&amp;'Funnel setup'!$K$4&amp;'Funnel setup'!$K$6,".",IF(A2782=".",1,A2782+1))</f>
        <v>.</v>
      </c>
      <c r="B2783" s="244" t="str">
        <f t="shared" si="43"/>
        <v>Knee Replacement RevisionSub-ICB of GP PracticeNHS NOTTINGHAM AND NOTTINGHAMSHIRE ICB - 52R (52R)EQ VAS</v>
      </c>
      <c r="C2783" t="s">
        <v>973</v>
      </c>
      <c r="D2783" t="s">
        <v>1021</v>
      </c>
      <c r="E2783" t="s">
        <v>909</v>
      </c>
      <c r="F2783" t="s">
        <v>910</v>
      </c>
      <c r="G2783" t="s">
        <v>752</v>
      </c>
      <c r="H2783">
        <v>2</v>
      </c>
      <c r="I2783">
        <v>30</v>
      </c>
      <c r="J2783">
        <v>60</v>
      </c>
      <c r="K2783">
        <v>30</v>
      </c>
      <c r="L2783">
        <v>1</v>
      </c>
      <c r="M2783">
        <v>1</v>
      </c>
      <c r="N2783">
        <v>0</v>
      </c>
      <c r="O2783" t="s">
        <v>127</v>
      </c>
      <c r="P2783" t="s">
        <v>127</v>
      </c>
      <c r="Q2783" t="s">
        <v>127</v>
      </c>
    </row>
    <row r="2784" spans="1:17" x14ac:dyDescent="0.25">
      <c r="A2784" t="str">
        <f>IF(C2784&amp;G2784&amp;D2784&lt;&gt;'Funnel setup'!$K$3&amp;'Funnel setup'!$K$4&amp;'Funnel setup'!$K$6,".",IF(A2783=".",1,A2783+1))</f>
        <v>.</v>
      </c>
      <c r="B2784" s="244" t="str">
        <f t="shared" si="43"/>
        <v>Knee Replacement RevisionSub-ICB of GP PracticeNHS SHROPSHIRE, TELFORD AND WREKIN ICB - M2L0M (M2L0M)EQ VAS</v>
      </c>
      <c r="C2784" t="s">
        <v>973</v>
      </c>
      <c r="D2784" t="s">
        <v>1021</v>
      </c>
      <c r="E2784" t="s">
        <v>911</v>
      </c>
      <c r="F2784" t="s">
        <v>912</v>
      </c>
      <c r="G2784" t="s">
        <v>752</v>
      </c>
      <c r="H2784">
        <v>17</v>
      </c>
      <c r="I2784">
        <v>61.058799999999998</v>
      </c>
      <c r="J2784">
        <v>65.647099999999995</v>
      </c>
      <c r="K2784">
        <v>4.5882399999999999</v>
      </c>
      <c r="L2784">
        <v>9</v>
      </c>
      <c r="M2784">
        <v>1</v>
      </c>
      <c r="N2784">
        <v>7</v>
      </c>
      <c r="O2784" t="s">
        <v>127</v>
      </c>
      <c r="P2784" t="s">
        <v>127</v>
      </c>
      <c r="Q2784" t="s">
        <v>127</v>
      </c>
    </row>
    <row r="2785" spans="1:17" x14ac:dyDescent="0.25">
      <c r="A2785" t="str">
        <f>IF(C2785&amp;G2785&amp;D2785&lt;&gt;'Funnel setup'!$K$3&amp;'Funnel setup'!$K$4&amp;'Funnel setup'!$K$6,".",IF(A2784=".",1,A2784+1))</f>
        <v>.</v>
      </c>
      <c r="B2785" s="244" t="str">
        <f t="shared" si="43"/>
        <v>Knee Replacement RevisionSub-ICB of GP PracticeNHS SOUTH EAST LONDON ICB - 72Q (72Q)EQ VAS</v>
      </c>
      <c r="C2785" t="s">
        <v>973</v>
      </c>
      <c r="D2785" t="s">
        <v>1021</v>
      </c>
      <c r="E2785" t="s">
        <v>915</v>
      </c>
      <c r="F2785" t="s">
        <v>916</v>
      </c>
      <c r="G2785" t="s">
        <v>752</v>
      </c>
      <c r="H2785">
        <v>9</v>
      </c>
      <c r="I2785">
        <v>54.444400000000002</v>
      </c>
      <c r="J2785">
        <v>54.333300000000001</v>
      </c>
      <c r="K2785">
        <v>-0.111111</v>
      </c>
      <c r="L2785">
        <v>5</v>
      </c>
      <c r="M2785">
        <v>2</v>
      </c>
      <c r="N2785">
        <v>2</v>
      </c>
      <c r="O2785" t="s">
        <v>127</v>
      </c>
      <c r="P2785" t="s">
        <v>127</v>
      </c>
      <c r="Q2785" t="s">
        <v>127</v>
      </c>
    </row>
    <row r="2786" spans="1:17" x14ac:dyDescent="0.25">
      <c r="A2786" t="str">
        <f>IF(C2786&amp;G2786&amp;D2786&lt;&gt;'Funnel setup'!$K$3&amp;'Funnel setup'!$K$4&amp;'Funnel setup'!$K$6,".",IF(A2785=".",1,A2785+1))</f>
        <v>.</v>
      </c>
      <c r="B2786" s="244" t="str">
        <f t="shared" si="43"/>
        <v>Knee Replacement RevisionSub-ICB of GP PracticeNHS SOUTH WEST LONDON ICB - 36L (36L)EQ VAS</v>
      </c>
      <c r="C2786" t="s">
        <v>973</v>
      </c>
      <c r="D2786" t="s">
        <v>1021</v>
      </c>
      <c r="E2786" t="s">
        <v>917</v>
      </c>
      <c r="F2786" t="s">
        <v>918</v>
      </c>
      <c r="G2786" t="s">
        <v>752</v>
      </c>
      <c r="H2786">
        <v>10</v>
      </c>
      <c r="I2786">
        <v>49.6</v>
      </c>
      <c r="J2786">
        <v>66.900000000000006</v>
      </c>
      <c r="K2786">
        <v>17.3</v>
      </c>
      <c r="L2786">
        <v>5</v>
      </c>
      <c r="M2786">
        <v>1</v>
      </c>
      <c r="N2786">
        <v>4</v>
      </c>
      <c r="O2786" t="s">
        <v>127</v>
      </c>
      <c r="P2786" t="s">
        <v>127</v>
      </c>
      <c r="Q2786" t="s">
        <v>127</v>
      </c>
    </row>
    <row r="2787" spans="1:17" x14ac:dyDescent="0.25">
      <c r="A2787" t="str">
        <f>IF(C2787&amp;G2787&amp;D2787&lt;&gt;'Funnel setup'!$K$3&amp;'Funnel setup'!$K$4&amp;'Funnel setup'!$K$6,".",IF(A2786=".",1,A2786+1))</f>
        <v>.</v>
      </c>
      <c r="B2787" s="244" t="str">
        <f t="shared" si="43"/>
        <v>Knee Replacement RevisionSub-ICB of GP PracticeNHS SOUTH YORKSHIRE ICB - 02P (02P)EQ VAS</v>
      </c>
      <c r="C2787" t="s">
        <v>973</v>
      </c>
      <c r="D2787" t="s">
        <v>1021</v>
      </c>
      <c r="E2787" t="s">
        <v>919</v>
      </c>
      <c r="F2787" t="s">
        <v>920</v>
      </c>
      <c r="G2787" t="s">
        <v>752</v>
      </c>
      <c r="H2787">
        <v>2</v>
      </c>
      <c r="I2787">
        <v>47.5</v>
      </c>
      <c r="J2787">
        <v>59.5</v>
      </c>
      <c r="K2787">
        <v>12</v>
      </c>
      <c r="L2787">
        <v>2</v>
      </c>
      <c r="M2787">
        <v>0</v>
      </c>
      <c r="N2787">
        <v>0</v>
      </c>
      <c r="O2787" t="s">
        <v>127</v>
      </c>
      <c r="P2787" t="s">
        <v>127</v>
      </c>
      <c r="Q2787" t="s">
        <v>127</v>
      </c>
    </row>
    <row r="2788" spans="1:17" x14ac:dyDescent="0.25">
      <c r="A2788" t="str">
        <f>IF(C2788&amp;G2788&amp;D2788&lt;&gt;'Funnel setup'!$K$3&amp;'Funnel setup'!$K$4&amp;'Funnel setup'!$K$6,".",IF(A2787=".",1,A2787+1))</f>
        <v>.</v>
      </c>
      <c r="B2788" s="244" t="str">
        <f t="shared" si="43"/>
        <v>Knee Replacement RevisionSub-ICB of GP PracticeNHS SOUTH YORKSHIRE ICB - 03N (03N)EQ VAS</v>
      </c>
      <c r="C2788" t="s">
        <v>973</v>
      </c>
      <c r="D2788" t="s">
        <v>1021</v>
      </c>
      <c r="E2788" t="s">
        <v>925</v>
      </c>
      <c r="F2788" t="s">
        <v>926</v>
      </c>
      <c r="G2788" t="s">
        <v>752</v>
      </c>
      <c r="H2788">
        <v>1</v>
      </c>
      <c r="I2788">
        <v>70</v>
      </c>
      <c r="J2788">
        <v>75</v>
      </c>
      <c r="K2788">
        <v>5</v>
      </c>
      <c r="L2788">
        <v>1</v>
      </c>
      <c r="M2788">
        <v>0</v>
      </c>
      <c r="N2788">
        <v>0</v>
      </c>
      <c r="O2788" t="s">
        <v>127</v>
      </c>
      <c r="P2788" t="s">
        <v>127</v>
      </c>
      <c r="Q2788" t="s">
        <v>127</v>
      </c>
    </row>
    <row r="2789" spans="1:17" x14ac:dyDescent="0.25">
      <c r="A2789" t="str">
        <f>IF(C2789&amp;G2789&amp;D2789&lt;&gt;'Funnel setup'!$K$3&amp;'Funnel setup'!$K$4&amp;'Funnel setup'!$K$6,".",IF(A2788=".",1,A2788+1))</f>
        <v>.</v>
      </c>
      <c r="B2789" s="244" t="str">
        <f t="shared" si="43"/>
        <v>Knee Replacement RevisionSub-ICB of GP PracticeNHS STAFFORDSHIRE AND STOKE-ON-TRENT ICB - 05D (05D)EQ VAS</v>
      </c>
      <c r="C2789" t="s">
        <v>973</v>
      </c>
      <c r="D2789" t="s">
        <v>1021</v>
      </c>
      <c r="E2789" t="s">
        <v>929</v>
      </c>
      <c r="F2789" t="s">
        <v>930</v>
      </c>
      <c r="G2789" t="s">
        <v>752</v>
      </c>
      <c r="H2789">
        <v>6</v>
      </c>
      <c r="I2789">
        <v>62.833300000000001</v>
      </c>
      <c r="J2789">
        <v>57.833300000000001</v>
      </c>
      <c r="K2789">
        <v>-5</v>
      </c>
      <c r="L2789">
        <v>2</v>
      </c>
      <c r="M2789">
        <v>2</v>
      </c>
      <c r="N2789">
        <v>2</v>
      </c>
      <c r="O2789" t="s">
        <v>127</v>
      </c>
      <c r="P2789" t="s">
        <v>127</v>
      </c>
      <c r="Q2789" t="s">
        <v>127</v>
      </c>
    </row>
    <row r="2790" spans="1:17" x14ac:dyDescent="0.25">
      <c r="A2790" t="str">
        <f>IF(C2790&amp;G2790&amp;D2790&lt;&gt;'Funnel setup'!$K$3&amp;'Funnel setup'!$K$4&amp;'Funnel setup'!$K$6,".",IF(A2789=".",1,A2789+1))</f>
        <v>.</v>
      </c>
      <c r="B2790" s="244" t="str">
        <f t="shared" si="43"/>
        <v>Knee Replacement RevisionSub-ICB of GP PracticeNHS STAFFORDSHIRE AND STOKE-ON-TRENT ICB - 05G (05G)EQ VAS</v>
      </c>
      <c r="C2790" t="s">
        <v>973</v>
      </c>
      <c r="D2790" t="s">
        <v>1021</v>
      </c>
      <c r="E2790" t="s">
        <v>931</v>
      </c>
      <c r="F2790" t="s">
        <v>932</v>
      </c>
      <c r="G2790" t="s">
        <v>752</v>
      </c>
      <c r="H2790">
        <v>3</v>
      </c>
      <c r="I2790">
        <v>53.333300000000001</v>
      </c>
      <c r="J2790">
        <v>53.666699999999999</v>
      </c>
      <c r="K2790">
        <v>0.33333299999999999</v>
      </c>
      <c r="L2790">
        <v>1</v>
      </c>
      <c r="M2790">
        <v>0</v>
      </c>
      <c r="N2790">
        <v>2</v>
      </c>
      <c r="O2790" t="s">
        <v>127</v>
      </c>
      <c r="P2790" t="s">
        <v>127</v>
      </c>
      <c r="Q2790" t="s">
        <v>127</v>
      </c>
    </row>
    <row r="2791" spans="1:17" x14ac:dyDescent="0.25">
      <c r="A2791" t="str">
        <f>IF(C2791&amp;G2791&amp;D2791&lt;&gt;'Funnel setup'!$K$3&amp;'Funnel setup'!$K$4&amp;'Funnel setup'!$K$6,".",IF(A2790=".",1,A2790+1))</f>
        <v>.</v>
      </c>
      <c r="B2791" s="244" t="str">
        <f t="shared" si="43"/>
        <v>Knee Replacement RevisionSub-ICB of GP PracticeNHS STAFFORDSHIRE AND STOKE-ON-TRENT ICB - 05Q (05Q)EQ VAS</v>
      </c>
      <c r="C2791" t="s">
        <v>973</v>
      </c>
      <c r="D2791" t="s">
        <v>1021</v>
      </c>
      <c r="E2791" t="s">
        <v>933</v>
      </c>
      <c r="F2791" t="s">
        <v>934</v>
      </c>
      <c r="G2791" t="s">
        <v>752</v>
      </c>
      <c r="H2791">
        <v>8</v>
      </c>
      <c r="I2791">
        <v>59.75</v>
      </c>
      <c r="J2791">
        <v>79.375</v>
      </c>
      <c r="K2791">
        <v>19.625</v>
      </c>
      <c r="L2791">
        <v>6</v>
      </c>
      <c r="M2791">
        <v>2</v>
      </c>
      <c r="N2791">
        <v>0</v>
      </c>
      <c r="O2791" t="s">
        <v>127</v>
      </c>
      <c r="P2791" t="s">
        <v>127</v>
      </c>
      <c r="Q2791" t="s">
        <v>127</v>
      </c>
    </row>
    <row r="2792" spans="1:17" x14ac:dyDescent="0.25">
      <c r="A2792" t="str">
        <f>IF(C2792&amp;G2792&amp;D2792&lt;&gt;'Funnel setup'!$K$3&amp;'Funnel setup'!$K$4&amp;'Funnel setup'!$K$6,".",IF(A2791=".",1,A2791+1))</f>
        <v>.</v>
      </c>
      <c r="B2792" s="244" t="str">
        <f t="shared" si="43"/>
        <v>Knee Replacement RevisionSub-ICB of GP PracticeNHS STAFFORDSHIRE AND STOKE-ON-TRENT ICB - 05W (05W)EQ VAS</v>
      </c>
      <c r="C2792" t="s">
        <v>973</v>
      </c>
      <c r="D2792" t="s">
        <v>1021</v>
      </c>
      <c r="E2792" t="s">
        <v>937</v>
      </c>
      <c r="F2792" t="s">
        <v>938</v>
      </c>
      <c r="G2792" t="s">
        <v>752</v>
      </c>
      <c r="H2792">
        <v>4</v>
      </c>
      <c r="I2792">
        <v>58.75</v>
      </c>
      <c r="J2792">
        <v>66.75</v>
      </c>
      <c r="K2792">
        <v>8</v>
      </c>
      <c r="L2792">
        <v>2</v>
      </c>
      <c r="M2792">
        <v>1</v>
      </c>
      <c r="N2792">
        <v>1</v>
      </c>
      <c r="O2792" t="s">
        <v>127</v>
      </c>
      <c r="P2792" t="s">
        <v>127</v>
      </c>
      <c r="Q2792" t="s">
        <v>127</v>
      </c>
    </row>
    <row r="2793" spans="1:17" x14ac:dyDescent="0.25">
      <c r="A2793" t="str">
        <f>IF(C2793&amp;G2793&amp;D2793&lt;&gt;'Funnel setup'!$K$3&amp;'Funnel setup'!$K$4&amp;'Funnel setup'!$K$6,".",IF(A2792=".",1,A2792+1))</f>
        <v>.</v>
      </c>
      <c r="B2793" s="244" t="str">
        <f t="shared" si="43"/>
        <v>Knee Replacement RevisionSub-ICB of GP PracticeNHS SUFFOLK AND NORTH EAST ESSEX ICB - 06L (06L)EQ VAS</v>
      </c>
      <c r="C2793" t="s">
        <v>973</v>
      </c>
      <c r="D2793" t="s">
        <v>1021</v>
      </c>
      <c r="E2793" t="s">
        <v>939</v>
      </c>
      <c r="F2793" t="s">
        <v>940</v>
      </c>
      <c r="G2793" t="s">
        <v>752</v>
      </c>
      <c r="H2793">
        <v>4</v>
      </c>
      <c r="I2793">
        <v>58.5</v>
      </c>
      <c r="J2793">
        <v>78.5</v>
      </c>
      <c r="K2793">
        <v>20</v>
      </c>
      <c r="L2793">
        <v>2</v>
      </c>
      <c r="M2793">
        <v>1</v>
      </c>
      <c r="N2793">
        <v>1</v>
      </c>
      <c r="O2793" t="s">
        <v>127</v>
      </c>
      <c r="P2793" t="s">
        <v>127</v>
      </c>
      <c r="Q2793" t="s">
        <v>127</v>
      </c>
    </row>
    <row r="2794" spans="1:17" x14ac:dyDescent="0.25">
      <c r="A2794" t="str">
        <f>IF(C2794&amp;G2794&amp;D2794&lt;&gt;'Funnel setup'!$K$3&amp;'Funnel setup'!$K$4&amp;'Funnel setup'!$K$6,".",IF(A2793=".",1,A2793+1))</f>
        <v>.</v>
      </c>
      <c r="B2794" s="244" t="str">
        <f t="shared" si="43"/>
        <v>Knee Replacement RevisionSub-ICB of GP PracticeNHS SUFFOLK AND NORTH EAST ESSEX ICB - 06T (06T)EQ VAS</v>
      </c>
      <c r="C2794" t="s">
        <v>973</v>
      </c>
      <c r="D2794" t="s">
        <v>1021</v>
      </c>
      <c r="E2794" t="s">
        <v>941</v>
      </c>
      <c r="F2794" t="s">
        <v>942</v>
      </c>
      <c r="G2794" t="s">
        <v>752</v>
      </c>
      <c r="H2794">
        <v>2</v>
      </c>
      <c r="I2794">
        <v>87.5</v>
      </c>
      <c r="J2794">
        <v>52.5</v>
      </c>
      <c r="K2794">
        <v>-35</v>
      </c>
      <c r="L2794">
        <v>0</v>
      </c>
      <c r="M2794">
        <v>0</v>
      </c>
      <c r="N2794">
        <v>2</v>
      </c>
      <c r="O2794" t="s">
        <v>127</v>
      </c>
      <c r="P2794" t="s">
        <v>127</v>
      </c>
      <c r="Q2794" t="s">
        <v>127</v>
      </c>
    </row>
    <row r="2795" spans="1:17" x14ac:dyDescent="0.25">
      <c r="A2795" t="str">
        <f>IF(C2795&amp;G2795&amp;D2795&lt;&gt;'Funnel setup'!$K$3&amp;'Funnel setup'!$K$4&amp;'Funnel setup'!$K$6,".",IF(A2794=".",1,A2794+1))</f>
        <v>.</v>
      </c>
      <c r="B2795" s="244" t="str">
        <f t="shared" si="43"/>
        <v>Knee Replacement RevisionSub-ICB of GP PracticeNHS SUFFOLK AND NORTH EAST ESSEX ICB - 07K (07K)EQ VAS</v>
      </c>
      <c r="C2795" t="s">
        <v>973</v>
      </c>
      <c r="D2795" t="s">
        <v>1021</v>
      </c>
      <c r="E2795" t="s">
        <v>943</v>
      </c>
      <c r="F2795" t="s">
        <v>944</v>
      </c>
      <c r="G2795" t="s">
        <v>752</v>
      </c>
      <c r="H2795">
        <v>4</v>
      </c>
      <c r="I2795">
        <v>68.75</v>
      </c>
      <c r="J2795">
        <v>69</v>
      </c>
      <c r="K2795">
        <v>0.25</v>
      </c>
      <c r="L2795">
        <v>1</v>
      </c>
      <c r="M2795">
        <v>2</v>
      </c>
      <c r="N2795">
        <v>1</v>
      </c>
      <c r="O2795" t="s">
        <v>127</v>
      </c>
      <c r="P2795" t="s">
        <v>127</v>
      </c>
      <c r="Q2795" t="s">
        <v>127</v>
      </c>
    </row>
    <row r="2796" spans="1:17" x14ac:dyDescent="0.25">
      <c r="A2796" t="str">
        <f>IF(C2796&amp;G2796&amp;D2796&lt;&gt;'Funnel setup'!$K$3&amp;'Funnel setup'!$K$4&amp;'Funnel setup'!$K$6,".",IF(A2795=".",1,A2795+1))</f>
        <v>.</v>
      </c>
      <c r="B2796" s="244" t="str">
        <f t="shared" si="43"/>
        <v>Knee Replacement RevisionSub-ICB of GP PracticeNHS SURREY HEARTLANDS ICB - 92A (92A)EQ VAS</v>
      </c>
      <c r="C2796" t="s">
        <v>973</v>
      </c>
      <c r="D2796" t="s">
        <v>1021</v>
      </c>
      <c r="E2796" t="s">
        <v>945</v>
      </c>
      <c r="F2796" t="s">
        <v>946</v>
      </c>
      <c r="G2796" t="s">
        <v>752</v>
      </c>
      <c r="H2796">
        <v>11</v>
      </c>
      <c r="I2796">
        <v>65.181799999999996</v>
      </c>
      <c r="J2796">
        <v>65</v>
      </c>
      <c r="K2796">
        <v>-0.18181800000000001</v>
      </c>
      <c r="L2796">
        <v>4</v>
      </c>
      <c r="M2796">
        <v>1</v>
      </c>
      <c r="N2796">
        <v>6</v>
      </c>
      <c r="O2796" t="s">
        <v>127</v>
      </c>
      <c r="P2796" t="s">
        <v>127</v>
      </c>
      <c r="Q2796" t="s">
        <v>127</v>
      </c>
    </row>
    <row r="2797" spans="1:17" x14ac:dyDescent="0.25">
      <c r="A2797" t="str">
        <f>IF(C2797&amp;G2797&amp;D2797&lt;&gt;'Funnel setup'!$K$3&amp;'Funnel setup'!$K$4&amp;'Funnel setup'!$K$6,".",IF(A2796=".",1,A2796+1))</f>
        <v>.</v>
      </c>
      <c r="B2797" s="244" t="str">
        <f t="shared" si="43"/>
        <v>Knee Replacement RevisionSub-ICB of GP PracticeNHS SUSSEX ICB - 70F (70F)EQ VAS</v>
      </c>
      <c r="C2797" t="s">
        <v>973</v>
      </c>
      <c r="D2797" t="s">
        <v>1021</v>
      </c>
      <c r="E2797" t="s">
        <v>949</v>
      </c>
      <c r="F2797" t="s">
        <v>950</v>
      </c>
      <c r="G2797" t="s">
        <v>752</v>
      </c>
      <c r="H2797">
        <v>6</v>
      </c>
      <c r="I2797">
        <v>53.666699999999999</v>
      </c>
      <c r="J2797">
        <v>74.666700000000006</v>
      </c>
      <c r="K2797">
        <v>21</v>
      </c>
      <c r="L2797">
        <v>5</v>
      </c>
      <c r="M2797">
        <v>0</v>
      </c>
      <c r="N2797">
        <v>1</v>
      </c>
      <c r="O2797" t="s">
        <v>127</v>
      </c>
      <c r="P2797" t="s">
        <v>127</v>
      </c>
      <c r="Q2797" t="s">
        <v>127</v>
      </c>
    </row>
    <row r="2798" spans="1:17" x14ac:dyDescent="0.25">
      <c r="A2798" t="str">
        <f>IF(C2798&amp;G2798&amp;D2798&lt;&gt;'Funnel setup'!$K$3&amp;'Funnel setup'!$K$4&amp;'Funnel setup'!$K$6,".",IF(A2797=".",1,A2797+1))</f>
        <v>.</v>
      </c>
      <c r="B2798" s="244" t="str">
        <f t="shared" si="43"/>
        <v>Knee Replacement RevisionSub-ICB of GP PracticeNHS SUSSEX ICB - 97R (97R)EQ VAS</v>
      </c>
      <c r="C2798" t="s">
        <v>973</v>
      </c>
      <c r="D2798" t="s">
        <v>1021</v>
      </c>
      <c r="E2798" t="s">
        <v>951</v>
      </c>
      <c r="F2798" t="s">
        <v>952</v>
      </c>
      <c r="G2798" t="s">
        <v>752</v>
      </c>
      <c r="H2798">
        <v>7</v>
      </c>
      <c r="I2798">
        <v>52.714300000000001</v>
      </c>
      <c r="J2798">
        <v>65</v>
      </c>
      <c r="K2798">
        <v>12.2857</v>
      </c>
      <c r="L2798">
        <v>5</v>
      </c>
      <c r="M2798">
        <v>1</v>
      </c>
      <c r="N2798">
        <v>1</v>
      </c>
      <c r="O2798" t="s">
        <v>127</v>
      </c>
      <c r="P2798" t="s">
        <v>127</v>
      </c>
      <c r="Q2798" t="s">
        <v>127</v>
      </c>
    </row>
    <row r="2799" spans="1:17" x14ac:dyDescent="0.25">
      <c r="A2799" t="str">
        <f>IF(C2799&amp;G2799&amp;D2799&lt;&gt;'Funnel setup'!$K$3&amp;'Funnel setup'!$K$4&amp;'Funnel setup'!$K$6,".",IF(A2798=".",1,A2798+1))</f>
        <v>.</v>
      </c>
      <c r="B2799" s="244" t="str">
        <f t="shared" si="43"/>
        <v>Knee Replacement RevisionSub-ICB of GP PracticeNHS WEST YORKSHIRE ICB - 02T (02T)EQ VAS</v>
      </c>
      <c r="C2799" t="s">
        <v>973</v>
      </c>
      <c r="D2799" t="s">
        <v>1021</v>
      </c>
      <c r="E2799" t="s">
        <v>953</v>
      </c>
      <c r="F2799" t="s">
        <v>954</v>
      </c>
      <c r="G2799" t="s">
        <v>752</v>
      </c>
      <c r="H2799">
        <v>4</v>
      </c>
      <c r="I2799">
        <v>65</v>
      </c>
      <c r="J2799">
        <v>82.5</v>
      </c>
      <c r="K2799">
        <v>17.5</v>
      </c>
      <c r="L2799">
        <v>3</v>
      </c>
      <c r="M2799">
        <v>0</v>
      </c>
      <c r="N2799">
        <v>1</v>
      </c>
      <c r="O2799" t="s">
        <v>127</v>
      </c>
      <c r="P2799" t="s">
        <v>127</v>
      </c>
      <c r="Q2799" t="s">
        <v>127</v>
      </c>
    </row>
    <row r="2800" spans="1:17" x14ac:dyDescent="0.25">
      <c r="A2800" t="str">
        <f>IF(C2800&amp;G2800&amp;D2800&lt;&gt;'Funnel setup'!$K$3&amp;'Funnel setup'!$K$4&amp;'Funnel setup'!$K$6,".",IF(A2799=".",1,A2799+1))</f>
        <v>.</v>
      </c>
      <c r="B2800" s="244" t="str">
        <f t="shared" si="43"/>
        <v>Knee Replacement RevisionSub-ICB of GP PracticeNHS WEST YORKSHIRE ICB - 03R (03R)EQ VAS</v>
      </c>
      <c r="C2800" t="s">
        <v>973</v>
      </c>
      <c r="D2800" t="s">
        <v>1021</v>
      </c>
      <c r="E2800" t="s">
        <v>955</v>
      </c>
      <c r="F2800" t="s">
        <v>956</v>
      </c>
      <c r="G2800" t="s">
        <v>752</v>
      </c>
      <c r="H2800">
        <v>15</v>
      </c>
      <c r="I2800">
        <v>64.2667</v>
      </c>
      <c r="J2800">
        <v>65.599999999999994</v>
      </c>
      <c r="K2800">
        <v>1.3333299999999999</v>
      </c>
      <c r="L2800">
        <v>8</v>
      </c>
      <c r="M2800">
        <v>0</v>
      </c>
      <c r="N2800">
        <v>7</v>
      </c>
      <c r="O2800" t="s">
        <v>127</v>
      </c>
      <c r="P2800" t="s">
        <v>127</v>
      </c>
      <c r="Q2800" t="s">
        <v>127</v>
      </c>
    </row>
    <row r="2801" spans="1:17" x14ac:dyDescent="0.25">
      <c r="A2801" t="str">
        <f>IF(C2801&amp;G2801&amp;D2801&lt;&gt;'Funnel setup'!$K$3&amp;'Funnel setup'!$K$4&amp;'Funnel setup'!$K$6,".",IF(A2800=".",1,A2800+1))</f>
        <v>.</v>
      </c>
      <c r="B2801" s="244" t="str">
        <f t="shared" si="43"/>
        <v>Knee Replacement RevisionSub-ICB of GP PracticeNHS WEST YORKSHIRE ICB - 15F (15F)EQ VAS</v>
      </c>
      <c r="C2801" t="s">
        <v>973</v>
      </c>
      <c r="D2801" t="s">
        <v>1021</v>
      </c>
      <c r="E2801" t="s">
        <v>957</v>
      </c>
      <c r="F2801" t="s">
        <v>958</v>
      </c>
      <c r="G2801" t="s">
        <v>752</v>
      </c>
      <c r="H2801">
        <v>12</v>
      </c>
      <c r="I2801">
        <v>61.166699999999999</v>
      </c>
      <c r="J2801">
        <v>61.833300000000001</v>
      </c>
      <c r="K2801">
        <v>0.66666700000000001</v>
      </c>
      <c r="L2801">
        <v>5</v>
      </c>
      <c r="M2801">
        <v>2</v>
      </c>
      <c r="N2801">
        <v>5</v>
      </c>
      <c r="O2801" t="s">
        <v>127</v>
      </c>
      <c r="P2801" t="s">
        <v>127</v>
      </c>
      <c r="Q2801" t="s">
        <v>127</v>
      </c>
    </row>
    <row r="2802" spans="1:17" x14ac:dyDescent="0.25">
      <c r="A2802" t="str">
        <f>IF(C2802&amp;G2802&amp;D2802&lt;&gt;'Funnel setup'!$K$3&amp;'Funnel setup'!$K$4&amp;'Funnel setup'!$K$6,".",IF(A2801=".",1,A2801+1))</f>
        <v>.</v>
      </c>
      <c r="B2802" s="244" t="str">
        <f t="shared" si="43"/>
        <v>Knee Replacement RevisionSub-ICB of GP PracticeNHS WEST YORKSHIRE ICB - 36J (36J)EQ VAS</v>
      </c>
      <c r="C2802" t="s">
        <v>973</v>
      </c>
      <c r="D2802" t="s">
        <v>1021</v>
      </c>
      <c r="E2802" t="s">
        <v>959</v>
      </c>
      <c r="F2802" t="s">
        <v>960</v>
      </c>
      <c r="G2802" t="s">
        <v>752</v>
      </c>
      <c r="H2802">
        <v>1</v>
      </c>
      <c r="I2802">
        <v>88</v>
      </c>
      <c r="J2802">
        <v>74</v>
      </c>
      <c r="K2802">
        <v>-14</v>
      </c>
      <c r="L2802">
        <v>0</v>
      </c>
      <c r="M2802">
        <v>0</v>
      </c>
      <c r="N2802">
        <v>1</v>
      </c>
      <c r="O2802" t="s">
        <v>127</v>
      </c>
      <c r="P2802" t="s">
        <v>127</v>
      </c>
      <c r="Q2802" t="s">
        <v>127</v>
      </c>
    </row>
    <row r="2803" spans="1:17" x14ac:dyDescent="0.25">
      <c r="A2803" t="str">
        <f>IF(C2803&amp;G2803&amp;D2803&lt;&gt;'Funnel setup'!$K$3&amp;'Funnel setup'!$K$4&amp;'Funnel setup'!$K$6,".",IF(A2802=".",1,A2802+1))</f>
        <v>.</v>
      </c>
      <c r="B2803" s="244" t="str">
        <f t="shared" si="43"/>
        <v>Knee Replacement RevisionSub-ICB of GP PracticeNHS WEST YORKSHIRE ICB - X2C4Y (X2C4Y)EQ VAS</v>
      </c>
      <c r="C2803" t="s">
        <v>973</v>
      </c>
      <c r="D2803" t="s">
        <v>1021</v>
      </c>
      <c r="E2803" t="s">
        <v>961</v>
      </c>
      <c r="F2803" t="s">
        <v>962</v>
      </c>
      <c r="G2803" t="s">
        <v>752</v>
      </c>
      <c r="H2803">
        <v>11</v>
      </c>
      <c r="I2803">
        <v>66.545500000000004</v>
      </c>
      <c r="J2803">
        <v>76.909099999999995</v>
      </c>
      <c r="K2803">
        <v>10.3636</v>
      </c>
      <c r="L2803">
        <v>6</v>
      </c>
      <c r="M2803">
        <v>1</v>
      </c>
      <c r="N2803">
        <v>4</v>
      </c>
      <c r="O2803" t="s">
        <v>127</v>
      </c>
      <c r="P2803" t="s">
        <v>127</v>
      </c>
      <c r="Q2803" t="s">
        <v>127</v>
      </c>
    </row>
    <row r="2804" spans="1:17" x14ac:dyDescent="0.25">
      <c r="A2804" t="str">
        <f>IF(C2804&amp;G2804&amp;D2804&lt;&gt;'Funnel setup'!$K$3&amp;'Funnel setup'!$K$4&amp;'Funnel setup'!$K$6,".",IF(A2803=".",1,A2803+1))</f>
        <v>.</v>
      </c>
      <c r="B2804" s="244" t="str">
        <f t="shared" si="43"/>
        <v>Knee Replacement RevisionSub-ICB of GP PracticeNHS BATH AND NORTH EAST SOMERSET, SWINDON AND WILTSHIRE ICB - 92G (92G)EQ-5D Index</v>
      </c>
      <c r="C2804" t="s">
        <v>973</v>
      </c>
      <c r="D2804" t="s">
        <v>1021</v>
      </c>
      <c r="E2804" t="s">
        <v>750</v>
      </c>
      <c r="F2804" t="s">
        <v>751</v>
      </c>
      <c r="G2804" t="s">
        <v>963</v>
      </c>
      <c r="H2804">
        <v>2</v>
      </c>
      <c r="I2804">
        <v>0.17399999999999999</v>
      </c>
      <c r="J2804">
        <v>0.6915</v>
      </c>
      <c r="K2804">
        <v>0.51749999999999996</v>
      </c>
      <c r="L2804">
        <v>2</v>
      </c>
      <c r="M2804">
        <v>0</v>
      </c>
      <c r="N2804">
        <v>0</v>
      </c>
      <c r="O2804" t="s">
        <v>127</v>
      </c>
      <c r="P2804" t="s">
        <v>127</v>
      </c>
      <c r="Q2804" t="s">
        <v>127</v>
      </c>
    </row>
    <row r="2805" spans="1:17" x14ac:dyDescent="0.25">
      <c r="A2805" t="str">
        <f>IF(C2805&amp;G2805&amp;D2805&lt;&gt;'Funnel setup'!$K$3&amp;'Funnel setup'!$K$4&amp;'Funnel setup'!$K$6,".",IF(A2804=".",1,A2804+1))</f>
        <v>.</v>
      </c>
      <c r="B2805" s="244" t="str">
        <f t="shared" si="43"/>
        <v>Knee Replacement RevisionSub-ICB of GP PracticeNHS BEDFORDSHIRE, LUTON AND MILTON KEYNES ICB - M1J4Y (M1J4Y)EQ-5D Index</v>
      </c>
      <c r="C2805" t="s">
        <v>973</v>
      </c>
      <c r="D2805" t="s">
        <v>1021</v>
      </c>
      <c r="E2805" t="s">
        <v>753</v>
      </c>
      <c r="F2805" t="s">
        <v>754</v>
      </c>
      <c r="G2805" t="s">
        <v>963</v>
      </c>
      <c r="H2805">
        <v>7</v>
      </c>
      <c r="I2805">
        <v>0.27700000000000002</v>
      </c>
      <c r="J2805">
        <v>0.64314300000000002</v>
      </c>
      <c r="K2805">
        <v>0.366143</v>
      </c>
      <c r="L2805">
        <v>4</v>
      </c>
      <c r="M2805">
        <v>1</v>
      </c>
      <c r="N2805">
        <v>2</v>
      </c>
      <c r="O2805" t="s">
        <v>127</v>
      </c>
      <c r="P2805" t="s">
        <v>127</v>
      </c>
      <c r="Q2805" t="s">
        <v>127</v>
      </c>
    </row>
    <row r="2806" spans="1:17" x14ac:dyDescent="0.25">
      <c r="A2806" t="str">
        <f>IF(C2806&amp;G2806&amp;D2806&lt;&gt;'Funnel setup'!$K$3&amp;'Funnel setup'!$K$4&amp;'Funnel setup'!$K$6,".",IF(A2805=".",1,A2805+1))</f>
        <v>.</v>
      </c>
      <c r="B2806" s="244" t="str">
        <f t="shared" si="43"/>
        <v>Knee Replacement RevisionSub-ICB of GP PracticeNHS BIRMINGHAM AND SOLIHULL ICB - 15E (15E)EQ-5D Index</v>
      </c>
      <c r="C2806" t="s">
        <v>973</v>
      </c>
      <c r="D2806" t="s">
        <v>1021</v>
      </c>
      <c r="E2806" t="s">
        <v>755</v>
      </c>
      <c r="F2806" t="s">
        <v>756</v>
      </c>
      <c r="G2806" t="s">
        <v>963</v>
      </c>
      <c r="H2806">
        <v>11</v>
      </c>
      <c r="I2806">
        <v>0.255</v>
      </c>
      <c r="J2806">
        <v>0.51290899999999995</v>
      </c>
      <c r="K2806">
        <v>0.257909</v>
      </c>
      <c r="L2806">
        <v>7</v>
      </c>
      <c r="M2806">
        <v>1</v>
      </c>
      <c r="N2806">
        <v>3</v>
      </c>
      <c r="O2806" t="s">
        <v>127</v>
      </c>
      <c r="P2806" t="s">
        <v>127</v>
      </c>
      <c r="Q2806" t="s">
        <v>127</v>
      </c>
    </row>
    <row r="2807" spans="1:17" x14ac:dyDescent="0.25">
      <c r="A2807" t="str">
        <f>IF(C2807&amp;G2807&amp;D2807&lt;&gt;'Funnel setup'!$K$3&amp;'Funnel setup'!$K$4&amp;'Funnel setup'!$K$6,".",IF(A2806=".",1,A2806+1))</f>
        <v>.</v>
      </c>
      <c r="B2807" s="244" t="str">
        <f t="shared" si="43"/>
        <v>Knee Replacement RevisionSub-ICB of GP PracticeNHS BLACK COUNTRY ICB - D2P2L (D2P2L)EQ-5D Index</v>
      </c>
      <c r="C2807" t="s">
        <v>973</v>
      </c>
      <c r="D2807" t="s">
        <v>1021</v>
      </c>
      <c r="E2807" t="s">
        <v>757</v>
      </c>
      <c r="F2807" t="s">
        <v>758</v>
      </c>
      <c r="G2807" t="s">
        <v>963</v>
      </c>
      <c r="H2807">
        <v>16</v>
      </c>
      <c r="I2807">
        <v>0.27362500000000001</v>
      </c>
      <c r="J2807">
        <v>0.62050000000000005</v>
      </c>
      <c r="K2807">
        <v>0.34687499999999999</v>
      </c>
      <c r="L2807">
        <v>12</v>
      </c>
      <c r="M2807">
        <v>0</v>
      </c>
      <c r="N2807">
        <v>4</v>
      </c>
      <c r="O2807" t="s">
        <v>127</v>
      </c>
      <c r="P2807" t="s">
        <v>127</v>
      </c>
      <c r="Q2807" t="s">
        <v>127</v>
      </c>
    </row>
    <row r="2808" spans="1:17" x14ac:dyDescent="0.25">
      <c r="A2808" t="str">
        <f>IF(C2808&amp;G2808&amp;D2808&lt;&gt;'Funnel setup'!$K$3&amp;'Funnel setup'!$K$4&amp;'Funnel setup'!$K$6,".",IF(A2807=".",1,A2807+1))</f>
        <v>.</v>
      </c>
      <c r="B2808" s="244" t="str">
        <f t="shared" si="43"/>
        <v>Knee Replacement RevisionSub-ICB of GP PracticeNHS BRISTOL, NORTH SOMERSET AND SOUTH GLOUCESTERSHIRE ICB - 15C (15C)EQ-5D Index</v>
      </c>
      <c r="C2808" t="s">
        <v>973</v>
      </c>
      <c r="D2808" t="s">
        <v>1021</v>
      </c>
      <c r="E2808" t="s">
        <v>759</v>
      </c>
      <c r="F2808" t="s">
        <v>760</v>
      </c>
      <c r="G2808" t="s">
        <v>963</v>
      </c>
      <c r="H2808">
        <v>3</v>
      </c>
      <c r="I2808">
        <v>0.36933300000000002</v>
      </c>
      <c r="J2808">
        <v>0.65500000000000003</v>
      </c>
      <c r="K2808">
        <v>0.285667</v>
      </c>
      <c r="L2808">
        <v>3</v>
      </c>
      <c r="M2808">
        <v>0</v>
      </c>
      <c r="N2808">
        <v>0</v>
      </c>
      <c r="O2808" t="s">
        <v>127</v>
      </c>
      <c r="P2808" t="s">
        <v>127</v>
      </c>
      <c r="Q2808" t="s">
        <v>127</v>
      </c>
    </row>
    <row r="2809" spans="1:17" x14ac:dyDescent="0.25">
      <c r="A2809" t="str">
        <f>IF(C2809&amp;G2809&amp;D2809&lt;&gt;'Funnel setup'!$K$3&amp;'Funnel setup'!$K$4&amp;'Funnel setup'!$K$6,".",IF(A2808=".",1,A2808+1))</f>
        <v>.</v>
      </c>
      <c r="B2809" s="244" t="str">
        <f t="shared" si="43"/>
        <v>Knee Replacement RevisionSub-ICB of GP PracticeNHS BUCKINGHAMSHIRE, OXFORDSHIRE AND BERKSHIRE WEST ICB - 10Q (10Q)EQ-5D Index</v>
      </c>
      <c r="C2809" t="s">
        <v>973</v>
      </c>
      <c r="D2809" t="s">
        <v>1021</v>
      </c>
      <c r="E2809" t="s">
        <v>761</v>
      </c>
      <c r="F2809" t="s">
        <v>762</v>
      </c>
      <c r="G2809" t="s">
        <v>963</v>
      </c>
      <c r="H2809">
        <v>17</v>
      </c>
      <c r="I2809">
        <v>0.240235</v>
      </c>
      <c r="J2809">
        <v>0.59782400000000002</v>
      </c>
      <c r="K2809">
        <v>0.35758800000000002</v>
      </c>
      <c r="L2809">
        <v>14</v>
      </c>
      <c r="M2809">
        <v>0</v>
      </c>
      <c r="N2809">
        <v>3</v>
      </c>
      <c r="O2809" t="s">
        <v>127</v>
      </c>
      <c r="P2809" t="s">
        <v>127</v>
      </c>
      <c r="Q2809" t="s">
        <v>127</v>
      </c>
    </row>
    <row r="2810" spans="1:17" x14ac:dyDescent="0.25">
      <c r="A2810" t="str">
        <f>IF(C2810&amp;G2810&amp;D2810&lt;&gt;'Funnel setup'!$K$3&amp;'Funnel setup'!$K$4&amp;'Funnel setup'!$K$6,".",IF(A2809=".",1,A2809+1))</f>
        <v>.</v>
      </c>
      <c r="B2810" s="244" t="str">
        <f t="shared" si="43"/>
        <v>Knee Replacement RevisionSub-ICB of GP PracticeNHS BUCKINGHAMSHIRE, OXFORDSHIRE AND BERKSHIRE WEST ICB - 14Y (14Y)EQ-5D Index</v>
      </c>
      <c r="C2810" t="s">
        <v>973</v>
      </c>
      <c r="D2810" t="s">
        <v>1021</v>
      </c>
      <c r="E2810" t="s">
        <v>763</v>
      </c>
      <c r="F2810" t="s">
        <v>764</v>
      </c>
      <c r="G2810" t="s">
        <v>963</v>
      </c>
      <c r="H2810">
        <v>5</v>
      </c>
      <c r="I2810">
        <v>0.31159999999999999</v>
      </c>
      <c r="J2810">
        <v>0.76380000000000003</v>
      </c>
      <c r="K2810">
        <v>0.45219999999999999</v>
      </c>
      <c r="L2810">
        <v>4</v>
      </c>
      <c r="M2810">
        <v>1</v>
      </c>
      <c r="N2810">
        <v>0</v>
      </c>
      <c r="O2810" t="s">
        <v>127</v>
      </c>
      <c r="P2810" t="s">
        <v>127</v>
      </c>
      <c r="Q2810" t="s">
        <v>127</v>
      </c>
    </row>
    <row r="2811" spans="1:17" x14ac:dyDescent="0.25">
      <c r="A2811" t="str">
        <f>IF(C2811&amp;G2811&amp;D2811&lt;&gt;'Funnel setup'!$K$3&amp;'Funnel setup'!$K$4&amp;'Funnel setup'!$K$6,".",IF(A2810=".",1,A2810+1))</f>
        <v>.</v>
      </c>
      <c r="B2811" s="244" t="str">
        <f t="shared" si="43"/>
        <v>Knee Replacement RevisionSub-ICB of GP PracticeNHS BUCKINGHAMSHIRE, OXFORDSHIRE AND BERKSHIRE WEST ICB - 15A (15A)EQ-5D Index</v>
      </c>
      <c r="C2811" t="s">
        <v>973</v>
      </c>
      <c r="D2811" t="s">
        <v>1021</v>
      </c>
      <c r="E2811" t="s">
        <v>765</v>
      </c>
      <c r="F2811" t="s">
        <v>766</v>
      </c>
      <c r="G2811" t="s">
        <v>963</v>
      </c>
      <c r="H2811">
        <v>7</v>
      </c>
      <c r="I2811">
        <v>0.34285700000000002</v>
      </c>
      <c r="J2811">
        <v>0.66142900000000004</v>
      </c>
      <c r="K2811">
        <v>0.31857099999999999</v>
      </c>
      <c r="L2811">
        <v>4</v>
      </c>
      <c r="M2811">
        <v>3</v>
      </c>
      <c r="N2811">
        <v>0</v>
      </c>
      <c r="O2811" t="s">
        <v>127</v>
      </c>
      <c r="P2811" t="s">
        <v>127</v>
      </c>
      <c r="Q2811" t="s">
        <v>127</v>
      </c>
    </row>
    <row r="2812" spans="1:17" x14ac:dyDescent="0.25">
      <c r="A2812" t="str">
        <f>IF(C2812&amp;G2812&amp;D2812&lt;&gt;'Funnel setup'!$K$3&amp;'Funnel setup'!$K$4&amp;'Funnel setup'!$K$6,".",IF(A2811=".",1,A2811+1))</f>
        <v>.</v>
      </c>
      <c r="B2812" s="244" t="str">
        <f t="shared" si="43"/>
        <v>Knee Replacement RevisionSub-ICB of GP PracticeNHS CAMBRIDGESHIRE AND PETERBOROUGH ICB - 06H (06H)EQ-5D Index</v>
      </c>
      <c r="C2812" t="s">
        <v>973</v>
      </c>
      <c r="D2812" t="s">
        <v>1021</v>
      </c>
      <c r="E2812" t="s">
        <v>767</v>
      </c>
      <c r="F2812" t="s">
        <v>768</v>
      </c>
      <c r="G2812" t="s">
        <v>963</v>
      </c>
      <c r="H2812">
        <v>4</v>
      </c>
      <c r="I2812">
        <v>0.36349999999999999</v>
      </c>
      <c r="J2812">
        <v>0.65575000000000006</v>
      </c>
      <c r="K2812">
        <v>0.29225000000000001</v>
      </c>
      <c r="L2812">
        <v>3</v>
      </c>
      <c r="M2812">
        <v>0</v>
      </c>
      <c r="N2812">
        <v>1</v>
      </c>
      <c r="O2812" t="s">
        <v>127</v>
      </c>
      <c r="P2812" t="s">
        <v>127</v>
      </c>
      <c r="Q2812" t="s">
        <v>127</v>
      </c>
    </row>
    <row r="2813" spans="1:17" x14ac:dyDescent="0.25">
      <c r="A2813" t="str">
        <f>IF(C2813&amp;G2813&amp;D2813&lt;&gt;'Funnel setup'!$K$3&amp;'Funnel setup'!$K$4&amp;'Funnel setup'!$K$6,".",IF(A2812=".",1,A2812+1))</f>
        <v>.</v>
      </c>
      <c r="B2813" s="244" t="str">
        <f t="shared" si="43"/>
        <v>Knee Replacement RevisionSub-ICB of GP PracticeNHS CHESHIRE AND MERSEYSIDE ICB - 01J (01J)EQ-5D Index</v>
      </c>
      <c r="C2813" t="s">
        <v>973</v>
      </c>
      <c r="D2813" t="s">
        <v>1021</v>
      </c>
      <c r="E2813" t="s">
        <v>771</v>
      </c>
      <c r="F2813" t="s">
        <v>772</v>
      </c>
      <c r="G2813" t="s">
        <v>963</v>
      </c>
      <c r="H2813">
        <v>1</v>
      </c>
      <c r="I2813">
        <v>0.124</v>
      </c>
      <c r="J2813">
        <v>0.69099999999999995</v>
      </c>
      <c r="K2813">
        <v>0.56699999999999995</v>
      </c>
      <c r="L2813">
        <v>1</v>
      </c>
      <c r="M2813">
        <v>0</v>
      </c>
      <c r="N2813">
        <v>0</v>
      </c>
      <c r="O2813" t="s">
        <v>127</v>
      </c>
      <c r="P2813" t="s">
        <v>127</v>
      </c>
      <c r="Q2813" t="s">
        <v>127</v>
      </c>
    </row>
    <row r="2814" spans="1:17" x14ac:dyDescent="0.25">
      <c r="A2814" t="str">
        <f>IF(C2814&amp;G2814&amp;D2814&lt;&gt;'Funnel setup'!$K$3&amp;'Funnel setup'!$K$4&amp;'Funnel setup'!$K$6,".",IF(A2813=".",1,A2813+1))</f>
        <v>.</v>
      </c>
      <c r="B2814" s="244" t="str">
        <f t="shared" si="43"/>
        <v>Knee Replacement RevisionSub-ICB of GP PracticeNHS CHESHIRE AND MERSEYSIDE ICB - 01X (01X)EQ-5D Index</v>
      </c>
      <c r="C2814" t="s">
        <v>973</v>
      </c>
      <c r="D2814" t="s">
        <v>1021</v>
      </c>
      <c r="E2814" t="s">
        <v>777</v>
      </c>
      <c r="F2814" t="s">
        <v>778</v>
      </c>
      <c r="G2814" t="s">
        <v>963</v>
      </c>
      <c r="H2814">
        <v>3</v>
      </c>
      <c r="I2814">
        <v>7.0999999999999994E-2</v>
      </c>
      <c r="J2814">
        <v>0.31166700000000003</v>
      </c>
      <c r="K2814">
        <v>0.24066699999999999</v>
      </c>
      <c r="L2814">
        <v>2</v>
      </c>
      <c r="M2814">
        <v>0</v>
      </c>
      <c r="N2814">
        <v>1</v>
      </c>
      <c r="O2814" t="s">
        <v>127</v>
      </c>
      <c r="P2814" t="s">
        <v>127</v>
      </c>
      <c r="Q2814" t="s">
        <v>127</v>
      </c>
    </row>
    <row r="2815" spans="1:17" x14ac:dyDescent="0.25">
      <c r="A2815" t="str">
        <f>IF(C2815&amp;G2815&amp;D2815&lt;&gt;'Funnel setup'!$K$3&amp;'Funnel setup'!$K$4&amp;'Funnel setup'!$K$6,".",IF(A2814=".",1,A2814+1))</f>
        <v>.</v>
      </c>
      <c r="B2815" s="244" t="str">
        <f t="shared" si="43"/>
        <v>Knee Replacement RevisionSub-ICB of GP PracticeNHS CHESHIRE AND MERSEYSIDE ICB - 12F (12F)EQ-5D Index</v>
      </c>
      <c r="C2815" t="s">
        <v>973</v>
      </c>
      <c r="D2815" t="s">
        <v>1021</v>
      </c>
      <c r="E2815" t="s">
        <v>781</v>
      </c>
      <c r="F2815" t="s">
        <v>782</v>
      </c>
      <c r="G2815" t="s">
        <v>963</v>
      </c>
      <c r="H2815">
        <v>2</v>
      </c>
      <c r="I2815">
        <v>0.43049999999999999</v>
      </c>
      <c r="J2815">
        <v>0.76049999999999995</v>
      </c>
      <c r="K2815">
        <v>0.33</v>
      </c>
      <c r="L2815">
        <v>2</v>
      </c>
      <c r="M2815">
        <v>0</v>
      </c>
      <c r="N2815">
        <v>0</v>
      </c>
      <c r="O2815" t="s">
        <v>127</v>
      </c>
      <c r="P2815" t="s">
        <v>127</v>
      </c>
      <c r="Q2815" t="s">
        <v>127</v>
      </c>
    </row>
    <row r="2816" spans="1:17" x14ac:dyDescent="0.25">
      <c r="A2816" t="str">
        <f>IF(C2816&amp;G2816&amp;D2816&lt;&gt;'Funnel setup'!$K$3&amp;'Funnel setup'!$K$4&amp;'Funnel setup'!$K$6,".",IF(A2815=".",1,A2815+1))</f>
        <v>.</v>
      </c>
      <c r="B2816" s="244" t="str">
        <f t="shared" si="43"/>
        <v>Knee Replacement RevisionSub-ICB of GP PracticeNHS CHESHIRE AND MERSEYSIDE ICB - 27D (27D)EQ-5D Index</v>
      </c>
      <c r="C2816" t="s">
        <v>973</v>
      </c>
      <c r="D2816" t="s">
        <v>1021</v>
      </c>
      <c r="E2816" t="s">
        <v>783</v>
      </c>
      <c r="F2816" t="s">
        <v>784</v>
      </c>
      <c r="G2816" t="s">
        <v>963</v>
      </c>
      <c r="H2816">
        <v>8</v>
      </c>
      <c r="I2816">
        <v>0.23549999999999999</v>
      </c>
      <c r="J2816">
        <v>0.60037499999999999</v>
      </c>
      <c r="K2816">
        <v>0.364875</v>
      </c>
      <c r="L2816">
        <v>6</v>
      </c>
      <c r="M2816">
        <v>2</v>
      </c>
      <c r="N2816">
        <v>0</v>
      </c>
      <c r="O2816" t="s">
        <v>127</v>
      </c>
      <c r="P2816" t="s">
        <v>127</v>
      </c>
      <c r="Q2816" t="s">
        <v>127</v>
      </c>
    </row>
    <row r="2817" spans="1:17" x14ac:dyDescent="0.25">
      <c r="A2817" t="str">
        <f>IF(C2817&amp;G2817&amp;D2817&lt;&gt;'Funnel setup'!$K$3&amp;'Funnel setup'!$K$4&amp;'Funnel setup'!$K$6,".",IF(A2816=".",1,A2816+1))</f>
        <v>.</v>
      </c>
      <c r="B2817" s="244" t="str">
        <f t="shared" si="43"/>
        <v>Knee Replacement RevisionSub-ICB of GP PracticeNHS CHESHIRE AND MERSEYSIDE ICB - 99A (99A)EQ-5D Index</v>
      </c>
      <c r="C2817" t="s">
        <v>973</v>
      </c>
      <c r="D2817" t="s">
        <v>1021</v>
      </c>
      <c r="E2817" t="s">
        <v>785</v>
      </c>
      <c r="F2817" t="s">
        <v>786</v>
      </c>
      <c r="G2817" t="s">
        <v>963</v>
      </c>
      <c r="H2817">
        <v>1</v>
      </c>
      <c r="I2817">
        <v>-0.23899999999999999</v>
      </c>
      <c r="J2817">
        <v>0.62</v>
      </c>
      <c r="K2817">
        <v>0.85899999999999999</v>
      </c>
      <c r="L2817">
        <v>1</v>
      </c>
      <c r="M2817">
        <v>0</v>
      </c>
      <c r="N2817">
        <v>0</v>
      </c>
      <c r="O2817" t="s">
        <v>127</v>
      </c>
      <c r="P2817" t="s">
        <v>127</v>
      </c>
      <c r="Q2817" t="s">
        <v>127</v>
      </c>
    </row>
    <row r="2818" spans="1:17" x14ac:dyDescent="0.25">
      <c r="A2818" t="str">
        <f>IF(C2818&amp;G2818&amp;D2818&lt;&gt;'Funnel setup'!$K$3&amp;'Funnel setup'!$K$4&amp;'Funnel setup'!$K$6,".",IF(A2817=".",1,A2817+1))</f>
        <v>.</v>
      </c>
      <c r="B2818" s="244" t="str">
        <f t="shared" ref="B2818:B2881" si="44">C2818&amp;D2818&amp;F2818&amp;G2818</f>
        <v>Knee Replacement RevisionSub-ICB of GP PracticeNHS CORNWALL AND THE ISLES OF SCILLY ICB - 11N (11N)EQ-5D Index</v>
      </c>
      <c r="C2818" t="s">
        <v>973</v>
      </c>
      <c r="D2818" t="s">
        <v>1021</v>
      </c>
      <c r="E2818" t="s">
        <v>787</v>
      </c>
      <c r="F2818" t="s">
        <v>788</v>
      </c>
      <c r="G2818" t="s">
        <v>963</v>
      </c>
      <c r="H2818">
        <v>10</v>
      </c>
      <c r="I2818">
        <v>0.5151</v>
      </c>
      <c r="J2818">
        <v>0.71499999999999997</v>
      </c>
      <c r="K2818">
        <v>0.19989999999999999</v>
      </c>
      <c r="L2818">
        <v>7</v>
      </c>
      <c r="M2818">
        <v>2</v>
      </c>
      <c r="N2818">
        <v>1</v>
      </c>
      <c r="O2818" t="s">
        <v>127</v>
      </c>
      <c r="P2818" t="s">
        <v>127</v>
      </c>
      <c r="Q2818" t="s">
        <v>127</v>
      </c>
    </row>
    <row r="2819" spans="1:17" x14ac:dyDescent="0.25">
      <c r="A2819" t="str">
        <f>IF(C2819&amp;G2819&amp;D2819&lt;&gt;'Funnel setup'!$K$3&amp;'Funnel setup'!$K$4&amp;'Funnel setup'!$K$6,".",IF(A2818=".",1,A2818+1))</f>
        <v>.</v>
      </c>
      <c r="B2819" s="244" t="str">
        <f t="shared" si="44"/>
        <v>Knee Replacement RevisionSub-ICB of GP PracticeNHS COVENTRY AND WARWICKSHIRE ICB - B2M3M (B2M3M)EQ-5D Index</v>
      </c>
      <c r="C2819" t="s">
        <v>973</v>
      </c>
      <c r="D2819" t="s">
        <v>1021</v>
      </c>
      <c r="E2819" t="s">
        <v>789</v>
      </c>
      <c r="F2819" t="s">
        <v>790</v>
      </c>
      <c r="G2819" t="s">
        <v>963</v>
      </c>
      <c r="H2819">
        <v>14</v>
      </c>
      <c r="I2819">
        <v>0.30549999999999999</v>
      </c>
      <c r="J2819">
        <v>0.72221400000000002</v>
      </c>
      <c r="K2819">
        <v>0.41671399999999997</v>
      </c>
      <c r="L2819">
        <v>11</v>
      </c>
      <c r="M2819">
        <v>1</v>
      </c>
      <c r="N2819">
        <v>2</v>
      </c>
      <c r="O2819" t="s">
        <v>127</v>
      </c>
      <c r="P2819" t="s">
        <v>127</v>
      </c>
      <c r="Q2819" t="s">
        <v>127</v>
      </c>
    </row>
    <row r="2820" spans="1:17" x14ac:dyDescent="0.25">
      <c r="A2820" t="str">
        <f>IF(C2820&amp;G2820&amp;D2820&lt;&gt;'Funnel setup'!$K$3&amp;'Funnel setup'!$K$4&amp;'Funnel setup'!$K$6,".",IF(A2819=".",1,A2819+1))</f>
        <v>.</v>
      </c>
      <c r="B2820" s="244" t="str">
        <f t="shared" si="44"/>
        <v>Knee Replacement RevisionSub-ICB of GP PracticeNHS DERBY AND DERBYSHIRE ICB - 15M (15M)EQ-5D Index</v>
      </c>
      <c r="C2820" t="s">
        <v>973</v>
      </c>
      <c r="D2820" t="s">
        <v>1021</v>
      </c>
      <c r="E2820" t="s">
        <v>791</v>
      </c>
      <c r="F2820" t="s">
        <v>792</v>
      </c>
      <c r="G2820" t="s">
        <v>963</v>
      </c>
      <c r="H2820">
        <v>20</v>
      </c>
      <c r="I2820">
        <v>0.35770000000000002</v>
      </c>
      <c r="J2820">
        <v>0.60370000000000001</v>
      </c>
      <c r="K2820">
        <v>0.246</v>
      </c>
      <c r="L2820">
        <v>18</v>
      </c>
      <c r="M2820">
        <v>0</v>
      </c>
      <c r="N2820">
        <v>2</v>
      </c>
      <c r="O2820" t="s">
        <v>127</v>
      </c>
      <c r="P2820" t="s">
        <v>127</v>
      </c>
      <c r="Q2820" t="s">
        <v>127</v>
      </c>
    </row>
    <row r="2821" spans="1:17" x14ac:dyDescent="0.25">
      <c r="A2821" t="str">
        <f>IF(C2821&amp;G2821&amp;D2821&lt;&gt;'Funnel setup'!$K$3&amp;'Funnel setup'!$K$4&amp;'Funnel setup'!$K$6,".",IF(A2820=".",1,A2820+1))</f>
        <v>.</v>
      </c>
      <c r="B2821" s="244" t="str">
        <f t="shared" si="44"/>
        <v>Knee Replacement RevisionSub-ICB of GP PracticeNHS DEVON ICB - 15N (15N)EQ-5D Index</v>
      </c>
      <c r="C2821" t="s">
        <v>973</v>
      </c>
      <c r="D2821" t="s">
        <v>1021</v>
      </c>
      <c r="E2821" t="s">
        <v>793</v>
      </c>
      <c r="F2821" t="s">
        <v>794</v>
      </c>
      <c r="G2821" t="s">
        <v>963</v>
      </c>
      <c r="H2821">
        <v>11</v>
      </c>
      <c r="I2821">
        <v>0.316</v>
      </c>
      <c r="J2821">
        <v>0.54081800000000002</v>
      </c>
      <c r="K2821">
        <v>0.22481799999999999</v>
      </c>
      <c r="L2821">
        <v>7</v>
      </c>
      <c r="M2821">
        <v>3</v>
      </c>
      <c r="N2821">
        <v>1</v>
      </c>
      <c r="O2821" t="s">
        <v>127</v>
      </c>
      <c r="P2821" t="s">
        <v>127</v>
      </c>
      <c r="Q2821" t="s">
        <v>127</v>
      </c>
    </row>
    <row r="2822" spans="1:17" x14ac:dyDescent="0.25">
      <c r="A2822" t="str">
        <f>IF(C2822&amp;G2822&amp;D2822&lt;&gt;'Funnel setup'!$K$3&amp;'Funnel setup'!$K$4&amp;'Funnel setup'!$K$6,".",IF(A2821=".",1,A2821+1))</f>
        <v>.</v>
      </c>
      <c r="B2822" s="244" t="str">
        <f t="shared" si="44"/>
        <v>Knee Replacement RevisionSub-ICB of GP PracticeNHS DORSET ICB - 11J (11J)EQ-5D Index</v>
      </c>
      <c r="C2822" t="s">
        <v>973</v>
      </c>
      <c r="D2822" t="s">
        <v>1021</v>
      </c>
      <c r="E2822" t="s">
        <v>795</v>
      </c>
      <c r="F2822" t="s">
        <v>796</v>
      </c>
      <c r="G2822" t="s">
        <v>963</v>
      </c>
      <c r="H2822">
        <v>16</v>
      </c>
      <c r="I2822">
        <v>0.34399999999999997</v>
      </c>
      <c r="J2822">
        <v>0.65006200000000003</v>
      </c>
      <c r="K2822">
        <v>0.30606299999999997</v>
      </c>
      <c r="L2822">
        <v>12</v>
      </c>
      <c r="M2822">
        <v>2</v>
      </c>
      <c r="N2822">
        <v>2</v>
      </c>
      <c r="O2822" t="s">
        <v>127</v>
      </c>
      <c r="P2822" t="s">
        <v>127</v>
      </c>
      <c r="Q2822" t="s">
        <v>127</v>
      </c>
    </row>
    <row r="2823" spans="1:17" x14ac:dyDescent="0.25">
      <c r="A2823" t="str">
        <f>IF(C2823&amp;G2823&amp;D2823&lt;&gt;'Funnel setup'!$K$3&amp;'Funnel setup'!$K$4&amp;'Funnel setup'!$K$6,".",IF(A2822=".",1,A2822+1))</f>
        <v>.</v>
      </c>
      <c r="B2823" s="244" t="str">
        <f t="shared" si="44"/>
        <v>Knee Replacement RevisionSub-ICB of GP PracticeNHS FRIMLEY ICB - D4U1Y (D4U1Y)EQ-5D Index</v>
      </c>
      <c r="C2823" t="s">
        <v>973</v>
      </c>
      <c r="D2823" t="s">
        <v>1021</v>
      </c>
      <c r="E2823" t="s">
        <v>797</v>
      </c>
      <c r="F2823" t="s">
        <v>798</v>
      </c>
      <c r="G2823" t="s">
        <v>963</v>
      </c>
      <c r="H2823">
        <v>8</v>
      </c>
      <c r="I2823">
        <v>0.49612499999999998</v>
      </c>
      <c r="J2823">
        <v>0.57062500000000005</v>
      </c>
      <c r="K2823">
        <v>7.4499999999999997E-2</v>
      </c>
      <c r="L2823">
        <v>5</v>
      </c>
      <c r="M2823">
        <v>0</v>
      </c>
      <c r="N2823">
        <v>3</v>
      </c>
      <c r="O2823" t="s">
        <v>127</v>
      </c>
      <c r="P2823" t="s">
        <v>127</v>
      </c>
      <c r="Q2823" t="s">
        <v>127</v>
      </c>
    </row>
    <row r="2824" spans="1:17" x14ac:dyDescent="0.25">
      <c r="A2824" t="str">
        <f>IF(C2824&amp;G2824&amp;D2824&lt;&gt;'Funnel setup'!$K$3&amp;'Funnel setup'!$K$4&amp;'Funnel setup'!$K$6,".",IF(A2823=".",1,A2823+1))</f>
        <v>.</v>
      </c>
      <c r="B2824" s="244" t="str">
        <f t="shared" si="44"/>
        <v>Knee Replacement RevisionSub-ICB of GP PracticeNHS GLOUCESTERSHIRE ICB - 11M (11M)EQ-5D Index</v>
      </c>
      <c r="C2824" t="s">
        <v>973</v>
      </c>
      <c r="D2824" t="s">
        <v>1021</v>
      </c>
      <c r="E2824" t="s">
        <v>799</v>
      </c>
      <c r="F2824" t="s">
        <v>800</v>
      </c>
      <c r="G2824" t="s">
        <v>963</v>
      </c>
      <c r="H2824">
        <v>3</v>
      </c>
      <c r="I2824">
        <v>0.34300000000000003</v>
      </c>
      <c r="J2824">
        <v>0.77033300000000005</v>
      </c>
      <c r="K2824">
        <v>0.42733300000000002</v>
      </c>
      <c r="L2824">
        <v>3</v>
      </c>
      <c r="M2824">
        <v>0</v>
      </c>
      <c r="N2824">
        <v>0</v>
      </c>
      <c r="O2824" t="s">
        <v>127</v>
      </c>
      <c r="P2824" t="s">
        <v>127</v>
      </c>
      <c r="Q2824" t="s">
        <v>127</v>
      </c>
    </row>
    <row r="2825" spans="1:17" x14ac:dyDescent="0.25">
      <c r="A2825" t="str">
        <f>IF(C2825&amp;G2825&amp;D2825&lt;&gt;'Funnel setup'!$K$3&amp;'Funnel setup'!$K$4&amp;'Funnel setup'!$K$6,".",IF(A2824=".",1,A2824+1))</f>
        <v>.</v>
      </c>
      <c r="B2825" s="244" t="str">
        <f t="shared" si="44"/>
        <v>Knee Replacement RevisionSub-ICB of GP PracticeNHS GREATER MANCHESTER ICB - 00T (00T)EQ-5D Index</v>
      </c>
      <c r="C2825" t="s">
        <v>973</v>
      </c>
      <c r="D2825" t="s">
        <v>1021</v>
      </c>
      <c r="E2825" t="s">
        <v>801</v>
      </c>
      <c r="F2825" t="s">
        <v>802</v>
      </c>
      <c r="G2825" t="s">
        <v>963</v>
      </c>
      <c r="H2825">
        <v>3</v>
      </c>
      <c r="I2825">
        <v>0.73566699999999996</v>
      </c>
      <c r="J2825">
        <v>0.80600000000000005</v>
      </c>
      <c r="K2825">
        <v>7.0333300000000001E-2</v>
      </c>
      <c r="L2825">
        <v>2</v>
      </c>
      <c r="M2825">
        <v>1</v>
      </c>
      <c r="N2825">
        <v>0</v>
      </c>
      <c r="O2825" t="s">
        <v>127</v>
      </c>
      <c r="P2825" t="s">
        <v>127</v>
      </c>
      <c r="Q2825" t="s">
        <v>127</v>
      </c>
    </row>
    <row r="2826" spans="1:17" x14ac:dyDescent="0.25">
      <c r="A2826" t="str">
        <f>IF(C2826&amp;G2826&amp;D2826&lt;&gt;'Funnel setup'!$K$3&amp;'Funnel setup'!$K$4&amp;'Funnel setup'!$K$6,".",IF(A2825=".",1,A2825+1))</f>
        <v>.</v>
      </c>
      <c r="B2826" s="244" t="str">
        <f t="shared" si="44"/>
        <v>Knee Replacement RevisionSub-ICB of GP PracticeNHS GREATER MANCHESTER ICB - 00V (00V)EQ-5D Index</v>
      </c>
      <c r="C2826" t="s">
        <v>973</v>
      </c>
      <c r="D2826" t="s">
        <v>1021</v>
      </c>
      <c r="E2826" t="s">
        <v>803</v>
      </c>
      <c r="F2826" t="s">
        <v>804</v>
      </c>
      <c r="G2826" t="s">
        <v>963</v>
      </c>
      <c r="H2826" t="s">
        <v>968</v>
      </c>
      <c r="I2826" t="s">
        <v>968</v>
      </c>
      <c r="J2826" t="s">
        <v>968</v>
      </c>
      <c r="K2826" t="s">
        <v>968</v>
      </c>
      <c r="L2826" t="s">
        <v>968</v>
      </c>
      <c r="M2826" t="s">
        <v>968</v>
      </c>
      <c r="N2826" t="s">
        <v>968</v>
      </c>
      <c r="O2826" t="s">
        <v>968</v>
      </c>
      <c r="P2826" t="s">
        <v>968</v>
      </c>
      <c r="Q2826" t="s">
        <v>968</v>
      </c>
    </row>
    <row r="2827" spans="1:17" x14ac:dyDescent="0.25">
      <c r="A2827" t="str">
        <f>IF(C2827&amp;G2827&amp;D2827&lt;&gt;'Funnel setup'!$K$3&amp;'Funnel setup'!$K$4&amp;'Funnel setup'!$K$6,".",IF(A2826=".",1,A2826+1))</f>
        <v>.</v>
      </c>
      <c r="B2827" s="244" t="str">
        <f t="shared" si="44"/>
        <v>Knee Replacement RevisionSub-ICB of GP PracticeNHS GREATER MANCHESTER ICB - 01W (01W)EQ-5D Index</v>
      </c>
      <c r="C2827" t="s">
        <v>973</v>
      </c>
      <c r="D2827" t="s">
        <v>1021</v>
      </c>
      <c r="E2827" t="s">
        <v>811</v>
      </c>
      <c r="F2827" t="s">
        <v>812</v>
      </c>
      <c r="G2827" t="s">
        <v>963</v>
      </c>
      <c r="H2827">
        <v>3</v>
      </c>
      <c r="I2827">
        <v>0.126</v>
      </c>
      <c r="J2827">
        <v>0.64366699999999999</v>
      </c>
      <c r="K2827">
        <v>0.51766699999999999</v>
      </c>
      <c r="L2827">
        <v>3</v>
      </c>
      <c r="M2827">
        <v>0</v>
      </c>
      <c r="N2827">
        <v>0</v>
      </c>
      <c r="O2827" t="s">
        <v>127</v>
      </c>
      <c r="P2827" t="s">
        <v>127</v>
      </c>
      <c r="Q2827" t="s">
        <v>127</v>
      </c>
    </row>
    <row r="2828" spans="1:17" x14ac:dyDescent="0.25">
      <c r="A2828" t="str">
        <f>IF(C2828&amp;G2828&amp;D2828&lt;&gt;'Funnel setup'!$K$3&amp;'Funnel setup'!$K$4&amp;'Funnel setup'!$K$6,".",IF(A2827=".",1,A2827+1))</f>
        <v>.</v>
      </c>
      <c r="B2828" s="244" t="str">
        <f t="shared" si="44"/>
        <v>Knee Replacement RevisionSub-ICB of GP PracticeNHS GREATER MANCHESTER ICB - 02A (02A)EQ-5D Index</v>
      </c>
      <c r="C2828" t="s">
        <v>973</v>
      </c>
      <c r="D2828" t="s">
        <v>1021</v>
      </c>
      <c r="E2828" t="s">
        <v>815</v>
      </c>
      <c r="F2828" t="s">
        <v>816</v>
      </c>
      <c r="G2828" t="s">
        <v>963</v>
      </c>
      <c r="H2828">
        <v>3</v>
      </c>
      <c r="I2828">
        <v>0.38600000000000001</v>
      </c>
      <c r="J2828">
        <v>0.72466699999999995</v>
      </c>
      <c r="K2828">
        <v>0.338667</v>
      </c>
      <c r="L2828">
        <v>2</v>
      </c>
      <c r="M2828">
        <v>1</v>
      </c>
      <c r="N2828">
        <v>0</v>
      </c>
      <c r="O2828" t="s">
        <v>127</v>
      </c>
      <c r="P2828" t="s">
        <v>127</v>
      </c>
      <c r="Q2828" t="s">
        <v>127</v>
      </c>
    </row>
    <row r="2829" spans="1:17" x14ac:dyDescent="0.25">
      <c r="A2829" t="str">
        <f>IF(C2829&amp;G2829&amp;D2829&lt;&gt;'Funnel setup'!$K$3&amp;'Funnel setup'!$K$4&amp;'Funnel setup'!$K$6,".",IF(A2828=".",1,A2828+1))</f>
        <v>.</v>
      </c>
      <c r="B2829" s="244" t="str">
        <f t="shared" si="44"/>
        <v>Knee Replacement RevisionSub-ICB of GP PracticeNHS GREATER MANCHESTER ICB - 02H (02H)EQ-5D Index</v>
      </c>
      <c r="C2829" t="s">
        <v>973</v>
      </c>
      <c r="D2829" t="s">
        <v>1021</v>
      </c>
      <c r="E2829" t="s">
        <v>817</v>
      </c>
      <c r="F2829" t="s">
        <v>818</v>
      </c>
      <c r="G2829" t="s">
        <v>963</v>
      </c>
      <c r="H2829">
        <v>1</v>
      </c>
      <c r="I2829">
        <v>5.5E-2</v>
      </c>
      <c r="J2829">
        <v>0.58699999999999997</v>
      </c>
      <c r="K2829">
        <v>0.53200000000000003</v>
      </c>
      <c r="L2829">
        <v>1</v>
      </c>
      <c r="M2829">
        <v>0</v>
      </c>
      <c r="N2829">
        <v>0</v>
      </c>
      <c r="O2829" t="s">
        <v>127</v>
      </c>
      <c r="P2829" t="s">
        <v>127</v>
      </c>
      <c r="Q2829" t="s">
        <v>127</v>
      </c>
    </row>
    <row r="2830" spans="1:17" x14ac:dyDescent="0.25">
      <c r="A2830" t="str">
        <f>IF(C2830&amp;G2830&amp;D2830&lt;&gt;'Funnel setup'!$K$3&amp;'Funnel setup'!$K$4&amp;'Funnel setup'!$K$6,".",IF(A2829=".",1,A2829+1))</f>
        <v>.</v>
      </c>
      <c r="B2830" s="244" t="str">
        <f t="shared" si="44"/>
        <v>Knee Replacement RevisionSub-ICB of GP PracticeNHS GREATER MANCHESTER ICB - 14L (14L)EQ-5D Index</v>
      </c>
      <c r="C2830" t="s">
        <v>973</v>
      </c>
      <c r="D2830" t="s">
        <v>1021</v>
      </c>
      <c r="E2830" t="s">
        <v>819</v>
      </c>
      <c r="F2830" t="s">
        <v>820</v>
      </c>
      <c r="G2830" t="s">
        <v>963</v>
      </c>
      <c r="H2830">
        <v>1</v>
      </c>
      <c r="I2830">
        <v>0.159</v>
      </c>
      <c r="J2830">
        <v>0.51600000000000001</v>
      </c>
      <c r="K2830">
        <v>0.35699999999999998</v>
      </c>
      <c r="L2830">
        <v>1</v>
      </c>
      <c r="M2830">
        <v>0</v>
      </c>
      <c r="N2830">
        <v>0</v>
      </c>
      <c r="O2830" t="s">
        <v>127</v>
      </c>
      <c r="P2830" t="s">
        <v>127</v>
      </c>
      <c r="Q2830" t="s">
        <v>127</v>
      </c>
    </row>
    <row r="2831" spans="1:17" x14ac:dyDescent="0.25">
      <c r="A2831" t="str">
        <f>IF(C2831&amp;G2831&amp;D2831&lt;&gt;'Funnel setup'!$K$3&amp;'Funnel setup'!$K$4&amp;'Funnel setup'!$K$6,".",IF(A2830=".",1,A2830+1))</f>
        <v>.</v>
      </c>
      <c r="B2831" s="244" t="str">
        <f t="shared" si="44"/>
        <v>Knee Replacement RevisionSub-ICB of GP PracticeNHS HAMPSHIRE AND ISLE OF WIGHT ICB - 10R (10R)EQ-5D Index</v>
      </c>
      <c r="C2831" t="s">
        <v>973</v>
      </c>
      <c r="D2831" t="s">
        <v>1021</v>
      </c>
      <c r="E2831" t="s">
        <v>821</v>
      </c>
      <c r="F2831" t="s">
        <v>822</v>
      </c>
      <c r="G2831" t="s">
        <v>963</v>
      </c>
      <c r="H2831">
        <v>1</v>
      </c>
      <c r="I2831">
        <v>0.19500000000000001</v>
      </c>
      <c r="J2831">
        <v>0.69099999999999995</v>
      </c>
      <c r="K2831">
        <v>0.496</v>
      </c>
      <c r="L2831">
        <v>1</v>
      </c>
      <c r="M2831">
        <v>0</v>
      </c>
      <c r="N2831">
        <v>0</v>
      </c>
      <c r="O2831" t="s">
        <v>127</v>
      </c>
      <c r="P2831" t="s">
        <v>127</v>
      </c>
      <c r="Q2831" t="s">
        <v>127</v>
      </c>
    </row>
    <row r="2832" spans="1:17" x14ac:dyDescent="0.25">
      <c r="A2832" t="str">
        <f>IF(C2832&amp;G2832&amp;D2832&lt;&gt;'Funnel setup'!$K$3&amp;'Funnel setup'!$K$4&amp;'Funnel setup'!$K$6,".",IF(A2831=".",1,A2831+1))</f>
        <v>.</v>
      </c>
      <c r="B2832" s="244" t="str">
        <f t="shared" si="44"/>
        <v>Knee Replacement RevisionSub-ICB of GP PracticeNHS HAMPSHIRE AND ISLE OF WIGHT ICB - D9Y0V (D9Y0V)EQ-5D Index</v>
      </c>
      <c r="C2832" t="s">
        <v>973</v>
      </c>
      <c r="D2832" t="s">
        <v>1021</v>
      </c>
      <c r="E2832" t="s">
        <v>823</v>
      </c>
      <c r="F2832" t="s">
        <v>824</v>
      </c>
      <c r="G2832" t="s">
        <v>963</v>
      </c>
      <c r="H2832">
        <v>29</v>
      </c>
      <c r="I2832">
        <v>0.31989699999999999</v>
      </c>
      <c r="J2832">
        <v>0.66562100000000002</v>
      </c>
      <c r="K2832">
        <v>0.34572399999999998</v>
      </c>
      <c r="L2832">
        <v>26</v>
      </c>
      <c r="M2832">
        <v>0</v>
      </c>
      <c r="N2832">
        <v>3</v>
      </c>
      <c r="O2832" t="s">
        <v>127</v>
      </c>
      <c r="P2832" t="s">
        <v>127</v>
      </c>
      <c r="Q2832" t="s">
        <v>127</v>
      </c>
    </row>
    <row r="2833" spans="1:17" x14ac:dyDescent="0.25">
      <c r="A2833" t="str">
        <f>IF(C2833&amp;G2833&amp;D2833&lt;&gt;'Funnel setup'!$K$3&amp;'Funnel setup'!$K$4&amp;'Funnel setup'!$K$6,".",IF(A2832=".",1,A2832+1))</f>
        <v>.</v>
      </c>
      <c r="B2833" s="244" t="str">
        <f t="shared" si="44"/>
        <v>Knee Replacement RevisionSub-ICB of GP PracticeNHS HEREFORDSHIRE AND WORCESTERSHIRE ICB - 18C (18C)EQ-5D Index</v>
      </c>
      <c r="C2833" t="s">
        <v>973</v>
      </c>
      <c r="D2833" t="s">
        <v>1021</v>
      </c>
      <c r="E2833" t="s">
        <v>825</v>
      </c>
      <c r="F2833" t="s">
        <v>826</v>
      </c>
      <c r="G2833" t="s">
        <v>963</v>
      </c>
      <c r="H2833">
        <v>13</v>
      </c>
      <c r="I2833">
        <v>0.31023099999999998</v>
      </c>
      <c r="J2833">
        <v>0.72053800000000001</v>
      </c>
      <c r="K2833">
        <v>0.41030800000000001</v>
      </c>
      <c r="L2833">
        <v>10</v>
      </c>
      <c r="M2833">
        <v>1</v>
      </c>
      <c r="N2833">
        <v>2</v>
      </c>
      <c r="O2833" t="s">
        <v>127</v>
      </c>
      <c r="P2833" t="s">
        <v>127</v>
      </c>
      <c r="Q2833" t="s">
        <v>127</v>
      </c>
    </row>
    <row r="2834" spans="1:17" x14ac:dyDescent="0.25">
      <c r="A2834" t="str">
        <f>IF(C2834&amp;G2834&amp;D2834&lt;&gt;'Funnel setup'!$K$3&amp;'Funnel setup'!$K$4&amp;'Funnel setup'!$K$6,".",IF(A2833=".",1,A2833+1))</f>
        <v>.</v>
      </c>
      <c r="B2834" s="244" t="str">
        <f t="shared" si="44"/>
        <v>Knee Replacement RevisionSub-ICB of GP PracticeNHS HERTFORDSHIRE AND WEST ESSEX ICB - 06K (06K)EQ-5D Index</v>
      </c>
      <c r="C2834" t="s">
        <v>973</v>
      </c>
      <c r="D2834" t="s">
        <v>1021</v>
      </c>
      <c r="E2834" t="s">
        <v>827</v>
      </c>
      <c r="F2834" t="s">
        <v>828</v>
      </c>
      <c r="G2834" t="s">
        <v>963</v>
      </c>
      <c r="H2834">
        <v>1</v>
      </c>
      <c r="I2834">
        <v>0.159</v>
      </c>
      <c r="J2834">
        <v>0.69099999999999995</v>
      </c>
      <c r="K2834">
        <v>0.53200000000000003</v>
      </c>
      <c r="L2834">
        <v>1</v>
      </c>
      <c r="M2834">
        <v>0</v>
      </c>
      <c r="N2834">
        <v>0</v>
      </c>
      <c r="O2834" t="s">
        <v>127</v>
      </c>
      <c r="P2834" t="s">
        <v>127</v>
      </c>
      <c r="Q2834" t="s">
        <v>127</v>
      </c>
    </row>
    <row r="2835" spans="1:17" x14ac:dyDescent="0.25">
      <c r="A2835" t="str">
        <f>IF(C2835&amp;G2835&amp;D2835&lt;&gt;'Funnel setup'!$K$3&amp;'Funnel setup'!$K$4&amp;'Funnel setup'!$K$6,".",IF(A2834=".",1,A2834+1))</f>
        <v>.</v>
      </c>
      <c r="B2835" s="244" t="str">
        <f t="shared" si="44"/>
        <v>Knee Replacement RevisionSub-ICB of GP PracticeNHS HERTFORDSHIRE AND WEST ESSEX ICB - 06N (06N)EQ-5D Index</v>
      </c>
      <c r="C2835" t="s">
        <v>973</v>
      </c>
      <c r="D2835" t="s">
        <v>1021</v>
      </c>
      <c r="E2835" t="s">
        <v>829</v>
      </c>
      <c r="F2835" t="s">
        <v>830</v>
      </c>
      <c r="G2835" t="s">
        <v>963</v>
      </c>
      <c r="H2835">
        <v>11</v>
      </c>
      <c r="I2835">
        <v>0.23963599999999999</v>
      </c>
      <c r="J2835">
        <v>0.50581799999999999</v>
      </c>
      <c r="K2835">
        <v>0.26618199999999997</v>
      </c>
      <c r="L2835">
        <v>8</v>
      </c>
      <c r="M2835">
        <v>1</v>
      </c>
      <c r="N2835">
        <v>2</v>
      </c>
      <c r="O2835" t="s">
        <v>127</v>
      </c>
      <c r="P2835" t="s">
        <v>127</v>
      </c>
      <c r="Q2835" t="s">
        <v>127</v>
      </c>
    </row>
    <row r="2836" spans="1:17" x14ac:dyDescent="0.25">
      <c r="A2836" t="str">
        <f>IF(C2836&amp;G2836&amp;D2836&lt;&gt;'Funnel setup'!$K$3&amp;'Funnel setup'!$K$4&amp;'Funnel setup'!$K$6,".",IF(A2835=".",1,A2835+1))</f>
        <v>.</v>
      </c>
      <c r="B2836" s="244" t="str">
        <f t="shared" si="44"/>
        <v>Knee Replacement RevisionSub-ICB of GP PracticeNHS HERTFORDSHIRE AND WEST ESSEX ICB - 07H (07H)EQ-5D Index</v>
      </c>
      <c r="C2836" t="s">
        <v>973</v>
      </c>
      <c r="D2836" t="s">
        <v>1021</v>
      </c>
      <c r="E2836" t="s">
        <v>831</v>
      </c>
      <c r="F2836" t="s">
        <v>832</v>
      </c>
      <c r="G2836" t="s">
        <v>963</v>
      </c>
      <c r="H2836">
        <v>1</v>
      </c>
      <c r="I2836">
        <v>5.5E-2</v>
      </c>
      <c r="J2836">
        <v>0.58699999999999997</v>
      </c>
      <c r="K2836">
        <v>0.53200000000000003</v>
      </c>
      <c r="L2836">
        <v>1</v>
      </c>
      <c r="M2836">
        <v>0</v>
      </c>
      <c r="N2836">
        <v>0</v>
      </c>
      <c r="O2836" t="s">
        <v>127</v>
      </c>
      <c r="P2836" t="s">
        <v>127</v>
      </c>
      <c r="Q2836" t="s">
        <v>127</v>
      </c>
    </row>
    <row r="2837" spans="1:17" x14ac:dyDescent="0.25">
      <c r="A2837" t="str">
        <f>IF(C2837&amp;G2837&amp;D2837&lt;&gt;'Funnel setup'!$K$3&amp;'Funnel setup'!$K$4&amp;'Funnel setup'!$K$6,".",IF(A2836=".",1,A2836+1))</f>
        <v>.</v>
      </c>
      <c r="B2837" s="244" t="str">
        <f t="shared" si="44"/>
        <v>Knee Replacement RevisionSub-ICB of GP PracticeNHS HUMBER AND NORTH YORKSHIRE ICB - 02Y (02Y)EQ-5D Index</v>
      </c>
      <c r="C2837" t="s">
        <v>973</v>
      </c>
      <c r="D2837" t="s">
        <v>1021</v>
      </c>
      <c r="E2837" t="s">
        <v>833</v>
      </c>
      <c r="F2837" t="s">
        <v>834</v>
      </c>
      <c r="G2837" t="s">
        <v>963</v>
      </c>
      <c r="H2837">
        <v>3</v>
      </c>
      <c r="I2837">
        <v>0.465333</v>
      </c>
      <c r="J2837">
        <v>0.52366699999999999</v>
      </c>
      <c r="K2837">
        <v>5.8333299999999998E-2</v>
      </c>
      <c r="L2837">
        <v>1</v>
      </c>
      <c r="M2837">
        <v>1</v>
      </c>
      <c r="N2837">
        <v>1</v>
      </c>
      <c r="O2837" t="s">
        <v>127</v>
      </c>
      <c r="P2837" t="s">
        <v>127</v>
      </c>
      <c r="Q2837" t="s">
        <v>127</v>
      </c>
    </row>
    <row r="2838" spans="1:17" x14ac:dyDescent="0.25">
      <c r="A2838" t="str">
        <f>IF(C2838&amp;G2838&amp;D2838&lt;&gt;'Funnel setup'!$K$3&amp;'Funnel setup'!$K$4&amp;'Funnel setup'!$K$6,".",IF(A2837=".",1,A2837+1))</f>
        <v>.</v>
      </c>
      <c r="B2838" s="244" t="str">
        <f t="shared" si="44"/>
        <v>Knee Replacement RevisionSub-ICB of GP PracticeNHS HUMBER AND NORTH YORKSHIRE ICB - 03F (03F)EQ-5D Index</v>
      </c>
      <c r="C2838" t="s">
        <v>973</v>
      </c>
      <c r="D2838" t="s">
        <v>1021</v>
      </c>
      <c r="E2838" t="s">
        <v>835</v>
      </c>
      <c r="F2838" t="s">
        <v>836</v>
      </c>
      <c r="G2838" t="s">
        <v>963</v>
      </c>
      <c r="H2838">
        <v>1</v>
      </c>
      <c r="I2838">
        <v>-1.6E-2</v>
      </c>
      <c r="J2838">
        <v>-1.6E-2</v>
      </c>
      <c r="K2838">
        <v>0</v>
      </c>
      <c r="L2838">
        <v>0</v>
      </c>
      <c r="M2838">
        <v>1</v>
      </c>
      <c r="N2838">
        <v>0</v>
      </c>
      <c r="O2838" t="s">
        <v>127</v>
      </c>
      <c r="P2838" t="s">
        <v>127</v>
      </c>
      <c r="Q2838" t="s">
        <v>127</v>
      </c>
    </row>
    <row r="2839" spans="1:17" x14ac:dyDescent="0.25">
      <c r="A2839" t="str">
        <f>IF(C2839&amp;G2839&amp;D2839&lt;&gt;'Funnel setup'!$K$3&amp;'Funnel setup'!$K$4&amp;'Funnel setup'!$K$6,".",IF(A2838=".",1,A2838+1))</f>
        <v>.</v>
      </c>
      <c r="B2839" s="244" t="str">
        <f t="shared" si="44"/>
        <v>Knee Replacement RevisionSub-ICB of GP PracticeNHS HUMBER AND NORTH YORKSHIRE ICB - 03H (03H)EQ-5D Index</v>
      </c>
      <c r="C2839" t="s">
        <v>973</v>
      </c>
      <c r="D2839" t="s">
        <v>1021</v>
      </c>
      <c r="E2839" t="s">
        <v>837</v>
      </c>
      <c r="F2839" t="s">
        <v>838</v>
      </c>
      <c r="G2839" t="s">
        <v>963</v>
      </c>
      <c r="H2839">
        <v>2</v>
      </c>
      <c r="I2839">
        <v>0.3085</v>
      </c>
      <c r="J2839">
        <v>0.55149999999999999</v>
      </c>
      <c r="K2839">
        <v>0.24299999999999999</v>
      </c>
      <c r="L2839">
        <v>1</v>
      </c>
      <c r="M2839">
        <v>0</v>
      </c>
      <c r="N2839">
        <v>1</v>
      </c>
      <c r="O2839" t="s">
        <v>127</v>
      </c>
      <c r="P2839" t="s">
        <v>127</v>
      </c>
      <c r="Q2839" t="s">
        <v>127</v>
      </c>
    </row>
    <row r="2840" spans="1:17" x14ac:dyDescent="0.25">
      <c r="A2840" t="str">
        <f>IF(C2840&amp;G2840&amp;D2840&lt;&gt;'Funnel setup'!$K$3&amp;'Funnel setup'!$K$4&amp;'Funnel setup'!$K$6,".",IF(A2839=".",1,A2839+1))</f>
        <v>.</v>
      </c>
      <c r="B2840" s="244" t="str">
        <f t="shared" si="44"/>
        <v>Knee Replacement RevisionSub-ICB of GP PracticeNHS HUMBER AND NORTH YORKSHIRE ICB - 03K (03K)EQ-5D Index</v>
      </c>
      <c r="C2840" t="s">
        <v>973</v>
      </c>
      <c r="D2840" t="s">
        <v>1021</v>
      </c>
      <c r="E2840" t="s">
        <v>839</v>
      </c>
      <c r="F2840" t="s">
        <v>840</v>
      </c>
      <c r="G2840" t="s">
        <v>963</v>
      </c>
      <c r="H2840">
        <v>3</v>
      </c>
      <c r="I2840">
        <v>0.31266699999999997</v>
      </c>
      <c r="J2840">
        <v>0.45466699999999999</v>
      </c>
      <c r="K2840">
        <v>0.14199999999999999</v>
      </c>
      <c r="L2840">
        <v>2</v>
      </c>
      <c r="M2840">
        <v>0</v>
      </c>
      <c r="N2840">
        <v>1</v>
      </c>
      <c r="O2840" t="s">
        <v>127</v>
      </c>
      <c r="P2840" t="s">
        <v>127</v>
      </c>
      <c r="Q2840" t="s">
        <v>127</v>
      </c>
    </row>
    <row r="2841" spans="1:17" x14ac:dyDescent="0.25">
      <c r="A2841" t="str">
        <f>IF(C2841&amp;G2841&amp;D2841&lt;&gt;'Funnel setup'!$K$3&amp;'Funnel setup'!$K$4&amp;'Funnel setup'!$K$6,".",IF(A2840=".",1,A2840+1))</f>
        <v>.</v>
      </c>
      <c r="B2841" s="244" t="str">
        <f t="shared" si="44"/>
        <v>Knee Replacement RevisionSub-ICB of GP PracticeNHS HUMBER AND NORTH YORKSHIRE ICB - 03Q (03Q)EQ-5D Index</v>
      </c>
      <c r="C2841" t="s">
        <v>973</v>
      </c>
      <c r="D2841" t="s">
        <v>1021</v>
      </c>
      <c r="E2841" t="s">
        <v>841</v>
      </c>
      <c r="F2841" t="s">
        <v>842</v>
      </c>
      <c r="G2841" t="s">
        <v>963</v>
      </c>
      <c r="H2841">
        <v>9</v>
      </c>
      <c r="I2841">
        <v>0.55288899999999996</v>
      </c>
      <c r="J2841">
        <v>0.77788900000000005</v>
      </c>
      <c r="K2841">
        <v>0.22500000000000001</v>
      </c>
      <c r="L2841">
        <v>6</v>
      </c>
      <c r="M2841">
        <v>1</v>
      </c>
      <c r="N2841">
        <v>2</v>
      </c>
      <c r="O2841" t="s">
        <v>127</v>
      </c>
      <c r="P2841" t="s">
        <v>127</v>
      </c>
      <c r="Q2841" t="s">
        <v>127</v>
      </c>
    </row>
    <row r="2842" spans="1:17" x14ac:dyDescent="0.25">
      <c r="A2842" t="str">
        <f>IF(C2842&amp;G2842&amp;D2842&lt;&gt;'Funnel setup'!$K$3&amp;'Funnel setup'!$K$4&amp;'Funnel setup'!$K$6,".",IF(A2841=".",1,A2841+1))</f>
        <v>.</v>
      </c>
      <c r="B2842" s="244" t="str">
        <f t="shared" si="44"/>
        <v>Knee Replacement RevisionSub-ICB of GP PracticeNHS HUMBER AND NORTH YORKSHIRE ICB - 42D (42D)EQ-5D Index</v>
      </c>
      <c r="C2842" t="s">
        <v>973</v>
      </c>
      <c r="D2842" t="s">
        <v>1021</v>
      </c>
      <c r="E2842" t="s">
        <v>843</v>
      </c>
      <c r="F2842" t="s">
        <v>844</v>
      </c>
      <c r="G2842" t="s">
        <v>963</v>
      </c>
      <c r="H2842">
        <v>11</v>
      </c>
      <c r="I2842">
        <v>0.347636</v>
      </c>
      <c r="J2842">
        <v>0.71718199999999999</v>
      </c>
      <c r="K2842">
        <v>0.36954500000000001</v>
      </c>
      <c r="L2842">
        <v>8</v>
      </c>
      <c r="M2842">
        <v>2</v>
      </c>
      <c r="N2842">
        <v>1</v>
      </c>
      <c r="O2842" t="s">
        <v>127</v>
      </c>
      <c r="P2842" t="s">
        <v>127</v>
      </c>
      <c r="Q2842" t="s">
        <v>127</v>
      </c>
    </row>
    <row r="2843" spans="1:17" x14ac:dyDescent="0.25">
      <c r="A2843" t="str">
        <f>IF(C2843&amp;G2843&amp;D2843&lt;&gt;'Funnel setup'!$K$3&amp;'Funnel setup'!$K$4&amp;'Funnel setup'!$K$6,".",IF(A2842=".",1,A2842+1))</f>
        <v>.</v>
      </c>
      <c r="B2843" s="244" t="str">
        <f t="shared" si="44"/>
        <v>Knee Replacement RevisionSub-ICB of GP PracticeNHS KENT AND MEDWAY ICB - 91Q (91Q)EQ-5D Index</v>
      </c>
      <c r="C2843" t="s">
        <v>973</v>
      </c>
      <c r="D2843" t="s">
        <v>1021</v>
      </c>
      <c r="E2843" t="s">
        <v>845</v>
      </c>
      <c r="F2843" t="s">
        <v>846</v>
      </c>
      <c r="G2843" t="s">
        <v>963</v>
      </c>
      <c r="H2843">
        <v>18</v>
      </c>
      <c r="I2843">
        <v>0.32100000000000001</v>
      </c>
      <c r="J2843">
        <v>0.63583299999999998</v>
      </c>
      <c r="K2843">
        <v>0.31483299999999997</v>
      </c>
      <c r="L2843">
        <v>12</v>
      </c>
      <c r="M2843">
        <v>3</v>
      </c>
      <c r="N2843">
        <v>3</v>
      </c>
      <c r="O2843" t="s">
        <v>127</v>
      </c>
      <c r="P2843" t="s">
        <v>127</v>
      </c>
      <c r="Q2843" t="s">
        <v>127</v>
      </c>
    </row>
    <row r="2844" spans="1:17" x14ac:dyDescent="0.25">
      <c r="A2844" t="str">
        <f>IF(C2844&amp;G2844&amp;D2844&lt;&gt;'Funnel setup'!$K$3&amp;'Funnel setup'!$K$4&amp;'Funnel setup'!$K$6,".",IF(A2843=".",1,A2843+1))</f>
        <v>.</v>
      </c>
      <c r="B2844" s="244" t="str">
        <f t="shared" si="44"/>
        <v>Knee Replacement RevisionSub-ICB of GP PracticeNHS LANCASHIRE AND SOUTH CUMBRIA ICB - 00Q (00Q)EQ-5D Index</v>
      </c>
      <c r="C2844" t="s">
        <v>973</v>
      </c>
      <c r="D2844" t="s">
        <v>1021</v>
      </c>
      <c r="E2844" t="s">
        <v>847</v>
      </c>
      <c r="F2844" t="s">
        <v>848</v>
      </c>
      <c r="G2844" t="s">
        <v>963</v>
      </c>
      <c r="H2844">
        <v>2</v>
      </c>
      <c r="I2844">
        <v>0.125</v>
      </c>
      <c r="J2844">
        <v>0.35549999999999998</v>
      </c>
      <c r="K2844">
        <v>0.23050000000000001</v>
      </c>
      <c r="L2844">
        <v>1</v>
      </c>
      <c r="M2844">
        <v>0</v>
      </c>
      <c r="N2844">
        <v>1</v>
      </c>
      <c r="O2844" t="s">
        <v>127</v>
      </c>
      <c r="P2844" t="s">
        <v>127</v>
      </c>
      <c r="Q2844" t="s">
        <v>127</v>
      </c>
    </row>
    <row r="2845" spans="1:17" x14ac:dyDescent="0.25">
      <c r="A2845" t="str">
        <f>IF(C2845&amp;G2845&amp;D2845&lt;&gt;'Funnel setup'!$K$3&amp;'Funnel setup'!$K$4&amp;'Funnel setup'!$K$6,".",IF(A2844=".",1,A2844+1))</f>
        <v>.</v>
      </c>
      <c r="B2845" s="244" t="str">
        <f t="shared" si="44"/>
        <v>Knee Replacement RevisionSub-ICB of GP PracticeNHS LANCASHIRE AND SOUTH CUMBRIA ICB - 00R (00R)EQ-5D Index</v>
      </c>
      <c r="C2845" t="s">
        <v>973</v>
      </c>
      <c r="D2845" t="s">
        <v>1021</v>
      </c>
      <c r="E2845" t="s">
        <v>849</v>
      </c>
      <c r="F2845" t="s">
        <v>850</v>
      </c>
      <c r="G2845" t="s">
        <v>963</v>
      </c>
      <c r="H2845">
        <v>1</v>
      </c>
      <c r="I2845">
        <v>-7.3999999999999996E-2</v>
      </c>
      <c r="J2845">
        <v>0.69099999999999995</v>
      </c>
      <c r="K2845">
        <v>0.76500000000000001</v>
      </c>
      <c r="L2845">
        <v>1</v>
      </c>
      <c r="M2845">
        <v>0</v>
      </c>
      <c r="N2845">
        <v>0</v>
      </c>
      <c r="O2845" t="s">
        <v>127</v>
      </c>
      <c r="P2845" t="s">
        <v>127</v>
      </c>
      <c r="Q2845" t="s">
        <v>127</v>
      </c>
    </row>
    <row r="2846" spans="1:17" x14ac:dyDescent="0.25">
      <c r="A2846" t="str">
        <f>IF(C2846&amp;G2846&amp;D2846&lt;&gt;'Funnel setup'!$K$3&amp;'Funnel setup'!$K$4&amp;'Funnel setup'!$K$6,".",IF(A2845=".",1,A2845+1))</f>
        <v>.</v>
      </c>
      <c r="B2846" s="244" t="str">
        <f t="shared" si="44"/>
        <v>Knee Replacement RevisionSub-ICB of GP PracticeNHS LANCASHIRE AND SOUTH CUMBRIA ICB - 00X (00X)EQ-5D Index</v>
      </c>
      <c r="C2846" t="s">
        <v>973</v>
      </c>
      <c r="D2846" t="s">
        <v>1021</v>
      </c>
      <c r="E2846" t="s">
        <v>851</v>
      </c>
      <c r="F2846" t="s">
        <v>852</v>
      </c>
      <c r="G2846" t="s">
        <v>963</v>
      </c>
      <c r="H2846">
        <v>4</v>
      </c>
      <c r="I2846">
        <v>0.28399999999999997</v>
      </c>
      <c r="J2846">
        <v>0.65275000000000005</v>
      </c>
      <c r="K2846">
        <v>0.36875000000000002</v>
      </c>
      <c r="L2846">
        <v>4</v>
      </c>
      <c r="M2846">
        <v>0</v>
      </c>
      <c r="N2846">
        <v>0</v>
      </c>
      <c r="O2846" t="s">
        <v>127</v>
      </c>
      <c r="P2846" t="s">
        <v>127</v>
      </c>
      <c r="Q2846" t="s">
        <v>127</v>
      </c>
    </row>
    <row r="2847" spans="1:17" x14ac:dyDescent="0.25">
      <c r="A2847" t="str">
        <f>IF(C2847&amp;G2847&amp;D2847&lt;&gt;'Funnel setup'!$K$3&amp;'Funnel setup'!$K$4&amp;'Funnel setup'!$K$6,".",IF(A2846=".",1,A2846+1))</f>
        <v>.</v>
      </c>
      <c r="B2847" s="244" t="str">
        <f t="shared" si="44"/>
        <v>Knee Replacement RevisionSub-ICB of GP PracticeNHS LANCASHIRE AND SOUTH CUMBRIA ICB - 01A (01A)EQ-5D Index</v>
      </c>
      <c r="C2847" t="s">
        <v>973</v>
      </c>
      <c r="D2847" t="s">
        <v>1021</v>
      </c>
      <c r="E2847" t="s">
        <v>853</v>
      </c>
      <c r="F2847" t="s">
        <v>854</v>
      </c>
      <c r="G2847" t="s">
        <v>963</v>
      </c>
      <c r="H2847">
        <v>3</v>
      </c>
      <c r="I2847">
        <v>0.31166700000000003</v>
      </c>
      <c r="J2847">
        <v>0.56466700000000003</v>
      </c>
      <c r="K2847">
        <v>0.253</v>
      </c>
      <c r="L2847">
        <v>2</v>
      </c>
      <c r="M2847">
        <v>0</v>
      </c>
      <c r="N2847">
        <v>1</v>
      </c>
      <c r="O2847" t="s">
        <v>127</v>
      </c>
      <c r="P2847" t="s">
        <v>127</v>
      </c>
      <c r="Q2847" t="s">
        <v>127</v>
      </c>
    </row>
    <row r="2848" spans="1:17" x14ac:dyDescent="0.25">
      <c r="A2848" t="str">
        <f>IF(C2848&amp;G2848&amp;D2848&lt;&gt;'Funnel setup'!$K$3&amp;'Funnel setup'!$K$4&amp;'Funnel setup'!$K$6,".",IF(A2847=".",1,A2847+1))</f>
        <v>.</v>
      </c>
      <c r="B2848" s="244" t="str">
        <f t="shared" si="44"/>
        <v>Knee Replacement RevisionSub-ICB of GP PracticeNHS LANCASHIRE AND SOUTH CUMBRIA ICB - 01E (01E)EQ-5D Index</v>
      </c>
      <c r="C2848" t="s">
        <v>973</v>
      </c>
      <c r="D2848" t="s">
        <v>1021</v>
      </c>
      <c r="E2848" t="s">
        <v>855</v>
      </c>
      <c r="F2848" t="s">
        <v>856</v>
      </c>
      <c r="G2848" t="s">
        <v>963</v>
      </c>
      <c r="H2848">
        <v>2</v>
      </c>
      <c r="I2848">
        <v>0.60350000000000004</v>
      </c>
      <c r="J2848">
        <v>1</v>
      </c>
      <c r="K2848">
        <v>0.39650000000000002</v>
      </c>
      <c r="L2848">
        <v>2</v>
      </c>
      <c r="M2848">
        <v>0</v>
      </c>
      <c r="N2848">
        <v>0</v>
      </c>
      <c r="O2848" t="s">
        <v>127</v>
      </c>
      <c r="P2848" t="s">
        <v>127</v>
      </c>
      <c r="Q2848" t="s">
        <v>127</v>
      </c>
    </row>
    <row r="2849" spans="1:17" x14ac:dyDescent="0.25">
      <c r="A2849" t="str">
        <f>IF(C2849&amp;G2849&amp;D2849&lt;&gt;'Funnel setup'!$K$3&amp;'Funnel setup'!$K$4&amp;'Funnel setup'!$K$6,".",IF(A2848=".",1,A2848+1))</f>
        <v>.</v>
      </c>
      <c r="B2849" s="244" t="str">
        <f t="shared" si="44"/>
        <v>Knee Replacement RevisionSub-ICB of GP PracticeNHS LANCASHIRE AND SOUTH CUMBRIA ICB - 01K (01K)EQ-5D Index</v>
      </c>
      <c r="C2849" t="s">
        <v>973</v>
      </c>
      <c r="D2849" t="s">
        <v>1021</v>
      </c>
      <c r="E2849" t="s">
        <v>857</v>
      </c>
      <c r="F2849" t="s">
        <v>858</v>
      </c>
      <c r="G2849" t="s">
        <v>963</v>
      </c>
      <c r="H2849">
        <v>3</v>
      </c>
      <c r="I2849">
        <v>0.219667</v>
      </c>
      <c r="J2849">
        <v>0.749</v>
      </c>
      <c r="K2849">
        <v>0.52933300000000005</v>
      </c>
      <c r="L2849">
        <v>3</v>
      </c>
      <c r="M2849">
        <v>0</v>
      </c>
      <c r="N2849">
        <v>0</v>
      </c>
      <c r="O2849" t="s">
        <v>127</v>
      </c>
      <c r="P2849" t="s">
        <v>127</v>
      </c>
      <c r="Q2849" t="s">
        <v>127</v>
      </c>
    </row>
    <row r="2850" spans="1:17" x14ac:dyDescent="0.25">
      <c r="A2850" t="str">
        <f>IF(C2850&amp;G2850&amp;D2850&lt;&gt;'Funnel setup'!$K$3&amp;'Funnel setup'!$K$4&amp;'Funnel setup'!$K$6,".",IF(A2849=".",1,A2849+1))</f>
        <v>.</v>
      </c>
      <c r="B2850" s="244" t="str">
        <f t="shared" si="44"/>
        <v>Knee Replacement RevisionSub-ICB of GP PracticeNHS LANCASHIRE AND SOUTH CUMBRIA ICB - 02M (02M)EQ-5D Index</v>
      </c>
      <c r="C2850" t="s">
        <v>973</v>
      </c>
      <c r="D2850" t="s">
        <v>1021</v>
      </c>
      <c r="E2850" t="s">
        <v>861</v>
      </c>
      <c r="F2850" t="s">
        <v>862</v>
      </c>
      <c r="G2850" t="s">
        <v>963</v>
      </c>
      <c r="H2850">
        <v>1</v>
      </c>
      <c r="I2850">
        <v>8.7999999999999995E-2</v>
      </c>
      <c r="J2850">
        <v>0.255</v>
      </c>
      <c r="K2850">
        <v>0.16700000000000001</v>
      </c>
      <c r="L2850">
        <v>1</v>
      </c>
      <c r="M2850">
        <v>0</v>
      </c>
      <c r="N2850">
        <v>0</v>
      </c>
      <c r="O2850" t="s">
        <v>127</v>
      </c>
      <c r="P2850" t="s">
        <v>127</v>
      </c>
      <c r="Q2850" t="s">
        <v>127</v>
      </c>
    </row>
    <row r="2851" spans="1:17" x14ac:dyDescent="0.25">
      <c r="A2851" t="str">
        <f>IF(C2851&amp;G2851&amp;D2851&lt;&gt;'Funnel setup'!$K$3&amp;'Funnel setup'!$K$4&amp;'Funnel setup'!$K$6,".",IF(A2850=".",1,A2850+1))</f>
        <v>.</v>
      </c>
      <c r="B2851" s="244" t="str">
        <f t="shared" si="44"/>
        <v>Knee Replacement RevisionSub-ICB of GP PracticeNHS LEICESTER, LEICESTERSHIRE AND RUTLAND ICB - 03W (03W)EQ-5D Index</v>
      </c>
      <c r="C2851" t="s">
        <v>973</v>
      </c>
      <c r="D2851" t="s">
        <v>1021</v>
      </c>
      <c r="E2851" t="s">
        <v>863</v>
      </c>
      <c r="F2851" t="s">
        <v>864</v>
      </c>
      <c r="G2851" t="s">
        <v>963</v>
      </c>
      <c r="H2851">
        <v>4</v>
      </c>
      <c r="I2851">
        <v>0.3745</v>
      </c>
      <c r="J2851">
        <v>0.77725</v>
      </c>
      <c r="K2851">
        <v>0.40275</v>
      </c>
      <c r="L2851">
        <v>4</v>
      </c>
      <c r="M2851">
        <v>0</v>
      </c>
      <c r="N2851">
        <v>0</v>
      </c>
      <c r="O2851" t="s">
        <v>127</v>
      </c>
      <c r="P2851" t="s">
        <v>127</v>
      </c>
      <c r="Q2851" t="s">
        <v>127</v>
      </c>
    </row>
    <row r="2852" spans="1:17" x14ac:dyDescent="0.25">
      <c r="A2852" t="str">
        <f>IF(C2852&amp;G2852&amp;D2852&lt;&gt;'Funnel setup'!$K$3&amp;'Funnel setup'!$K$4&amp;'Funnel setup'!$K$6,".",IF(A2851=".",1,A2851+1))</f>
        <v>.</v>
      </c>
      <c r="B2852" s="244" t="str">
        <f t="shared" si="44"/>
        <v>Knee Replacement RevisionSub-ICB of GP PracticeNHS LEICESTER, LEICESTERSHIRE AND RUTLAND ICB - 04C (04C)EQ-5D Index</v>
      </c>
      <c r="C2852" t="s">
        <v>973</v>
      </c>
      <c r="D2852" t="s">
        <v>1021</v>
      </c>
      <c r="E2852" t="s">
        <v>865</v>
      </c>
      <c r="F2852" t="s">
        <v>866</v>
      </c>
      <c r="G2852" t="s">
        <v>963</v>
      </c>
      <c r="H2852">
        <v>1</v>
      </c>
      <c r="I2852">
        <v>5.5E-2</v>
      </c>
      <c r="J2852">
        <v>0.26</v>
      </c>
      <c r="K2852">
        <v>0.20499999999999999</v>
      </c>
      <c r="L2852">
        <v>1</v>
      </c>
      <c r="M2852">
        <v>0</v>
      </c>
      <c r="N2852">
        <v>0</v>
      </c>
      <c r="O2852" t="s">
        <v>127</v>
      </c>
      <c r="P2852" t="s">
        <v>127</v>
      </c>
      <c r="Q2852" t="s">
        <v>127</v>
      </c>
    </row>
    <row r="2853" spans="1:17" x14ac:dyDescent="0.25">
      <c r="A2853" t="str">
        <f>IF(C2853&amp;G2853&amp;D2853&lt;&gt;'Funnel setup'!$K$3&amp;'Funnel setup'!$K$4&amp;'Funnel setup'!$K$6,".",IF(A2852=".",1,A2852+1))</f>
        <v>.</v>
      </c>
      <c r="B2853" s="244" t="str">
        <f t="shared" si="44"/>
        <v>Knee Replacement RevisionSub-ICB of GP PracticeNHS LEICESTER, LEICESTERSHIRE AND RUTLAND ICB - 04V (04V)EQ-5D Index</v>
      </c>
      <c r="C2853" t="s">
        <v>973</v>
      </c>
      <c r="D2853" t="s">
        <v>1021</v>
      </c>
      <c r="E2853" t="s">
        <v>867</v>
      </c>
      <c r="F2853" t="s">
        <v>868</v>
      </c>
      <c r="G2853" t="s">
        <v>963</v>
      </c>
      <c r="H2853">
        <v>11</v>
      </c>
      <c r="I2853">
        <v>0.28936400000000001</v>
      </c>
      <c r="J2853">
        <v>0.63690899999999995</v>
      </c>
      <c r="K2853">
        <v>0.34754499999999999</v>
      </c>
      <c r="L2853">
        <v>8</v>
      </c>
      <c r="M2853">
        <v>2</v>
      </c>
      <c r="N2853">
        <v>1</v>
      </c>
      <c r="O2853" t="s">
        <v>127</v>
      </c>
      <c r="P2853" t="s">
        <v>127</v>
      </c>
      <c r="Q2853" t="s">
        <v>127</v>
      </c>
    </row>
    <row r="2854" spans="1:17" x14ac:dyDescent="0.25">
      <c r="A2854" t="str">
        <f>IF(C2854&amp;G2854&amp;D2854&lt;&gt;'Funnel setup'!$K$3&amp;'Funnel setup'!$K$4&amp;'Funnel setup'!$K$6,".",IF(A2853=".",1,A2853+1))</f>
        <v>.</v>
      </c>
      <c r="B2854" s="244" t="str">
        <f t="shared" si="44"/>
        <v>Knee Replacement RevisionSub-ICB of GP PracticeNHS LINCOLNSHIRE ICB - 71E (71E)EQ-5D Index</v>
      </c>
      <c r="C2854" t="s">
        <v>973</v>
      </c>
      <c r="D2854" t="s">
        <v>1021</v>
      </c>
      <c r="E2854" t="s">
        <v>869</v>
      </c>
      <c r="F2854" t="s">
        <v>870</v>
      </c>
      <c r="G2854" t="s">
        <v>963</v>
      </c>
      <c r="H2854">
        <v>5</v>
      </c>
      <c r="I2854">
        <v>0.39660000000000001</v>
      </c>
      <c r="J2854">
        <v>0.80879999999999996</v>
      </c>
      <c r="K2854">
        <v>0.41220000000000001</v>
      </c>
      <c r="L2854">
        <v>4</v>
      </c>
      <c r="M2854">
        <v>1</v>
      </c>
      <c r="N2854">
        <v>0</v>
      </c>
      <c r="O2854" t="s">
        <v>127</v>
      </c>
      <c r="P2854" t="s">
        <v>127</v>
      </c>
      <c r="Q2854" t="s">
        <v>127</v>
      </c>
    </row>
    <row r="2855" spans="1:17" x14ac:dyDescent="0.25">
      <c r="A2855" t="str">
        <f>IF(C2855&amp;G2855&amp;D2855&lt;&gt;'Funnel setup'!$K$3&amp;'Funnel setup'!$K$4&amp;'Funnel setup'!$K$6,".",IF(A2854=".",1,A2854+1))</f>
        <v>.</v>
      </c>
      <c r="B2855" s="244" t="str">
        <f t="shared" si="44"/>
        <v>Knee Replacement RevisionSub-ICB of GP PracticeNHS MID AND SOUTH ESSEX ICB - 06Q (06Q)EQ-5D Index</v>
      </c>
      <c r="C2855" t="s">
        <v>973</v>
      </c>
      <c r="D2855" t="s">
        <v>1021</v>
      </c>
      <c r="E2855" t="s">
        <v>871</v>
      </c>
      <c r="F2855" t="s">
        <v>872</v>
      </c>
      <c r="G2855" t="s">
        <v>963</v>
      </c>
      <c r="H2855">
        <v>3</v>
      </c>
      <c r="I2855">
        <v>8.1333299999999997E-2</v>
      </c>
      <c r="J2855">
        <v>0.59299999999999997</v>
      </c>
      <c r="K2855">
        <v>0.51166699999999998</v>
      </c>
      <c r="L2855">
        <v>2</v>
      </c>
      <c r="M2855">
        <v>1</v>
      </c>
      <c r="N2855">
        <v>0</v>
      </c>
      <c r="O2855" t="s">
        <v>127</v>
      </c>
      <c r="P2855" t="s">
        <v>127</v>
      </c>
      <c r="Q2855" t="s">
        <v>127</v>
      </c>
    </row>
    <row r="2856" spans="1:17" x14ac:dyDescent="0.25">
      <c r="A2856" t="str">
        <f>IF(C2856&amp;G2856&amp;D2856&lt;&gt;'Funnel setup'!$K$3&amp;'Funnel setup'!$K$4&amp;'Funnel setup'!$K$6,".",IF(A2855=".",1,A2855+1))</f>
        <v>.</v>
      </c>
      <c r="B2856" s="244" t="str">
        <f t="shared" si="44"/>
        <v>Knee Replacement RevisionSub-ICB of GP PracticeNHS MID AND SOUTH ESSEX ICB - 99F (99F)EQ-5D Index</v>
      </c>
      <c r="C2856" t="s">
        <v>973</v>
      </c>
      <c r="D2856" t="s">
        <v>1021</v>
      </c>
      <c r="E2856" t="s">
        <v>877</v>
      </c>
      <c r="F2856" t="s">
        <v>878</v>
      </c>
      <c r="G2856" t="s">
        <v>963</v>
      </c>
      <c r="H2856">
        <v>1</v>
      </c>
      <c r="I2856">
        <v>8.7999999999999995E-2</v>
      </c>
      <c r="J2856">
        <v>0.69099999999999995</v>
      </c>
      <c r="K2856">
        <v>0.60299999999999998</v>
      </c>
      <c r="L2856">
        <v>1</v>
      </c>
      <c r="M2856">
        <v>0</v>
      </c>
      <c r="N2856">
        <v>0</v>
      </c>
      <c r="O2856" t="s">
        <v>127</v>
      </c>
      <c r="P2856" t="s">
        <v>127</v>
      </c>
      <c r="Q2856" t="s">
        <v>127</v>
      </c>
    </row>
    <row r="2857" spans="1:17" x14ac:dyDescent="0.25">
      <c r="A2857" t="str">
        <f>IF(C2857&amp;G2857&amp;D2857&lt;&gt;'Funnel setup'!$K$3&amp;'Funnel setup'!$K$4&amp;'Funnel setup'!$K$6,".",IF(A2856=".",1,A2856+1))</f>
        <v>.</v>
      </c>
      <c r="B2857" s="244" t="str">
        <f t="shared" si="44"/>
        <v>Knee Replacement RevisionSub-ICB of GP PracticeNHS NORFOLK AND WAVENEY ICB - 26A (26A)EQ-5D Index</v>
      </c>
      <c r="C2857" t="s">
        <v>973</v>
      </c>
      <c r="D2857" t="s">
        <v>1021</v>
      </c>
      <c r="E2857" t="s">
        <v>881</v>
      </c>
      <c r="F2857" t="s">
        <v>882</v>
      </c>
      <c r="G2857" t="s">
        <v>963</v>
      </c>
      <c r="H2857">
        <v>21</v>
      </c>
      <c r="I2857">
        <v>0.294238</v>
      </c>
      <c r="J2857">
        <v>0.60709500000000005</v>
      </c>
      <c r="K2857">
        <v>0.312857</v>
      </c>
      <c r="L2857">
        <v>17</v>
      </c>
      <c r="M2857">
        <v>3</v>
      </c>
      <c r="N2857">
        <v>1</v>
      </c>
      <c r="O2857" t="s">
        <v>127</v>
      </c>
      <c r="P2857" t="s">
        <v>127</v>
      </c>
      <c r="Q2857" t="s">
        <v>127</v>
      </c>
    </row>
    <row r="2858" spans="1:17" x14ac:dyDescent="0.25">
      <c r="A2858" t="str">
        <f>IF(C2858&amp;G2858&amp;D2858&lt;&gt;'Funnel setup'!$K$3&amp;'Funnel setup'!$K$4&amp;'Funnel setup'!$K$6,".",IF(A2857=".",1,A2857+1))</f>
        <v>.</v>
      </c>
      <c r="B2858" s="244" t="str">
        <f t="shared" si="44"/>
        <v>Knee Replacement RevisionSub-ICB of GP PracticeNHS NORTH CENTRAL LONDON ICB - 93C (93C)EQ-5D Index</v>
      </c>
      <c r="C2858" t="s">
        <v>973</v>
      </c>
      <c r="D2858" t="s">
        <v>1021</v>
      </c>
      <c r="E2858" t="s">
        <v>883</v>
      </c>
      <c r="F2858" t="s">
        <v>884</v>
      </c>
      <c r="G2858" t="s">
        <v>963</v>
      </c>
      <c r="H2858">
        <v>4</v>
      </c>
      <c r="I2858">
        <v>0.12275</v>
      </c>
      <c r="J2858">
        <v>0.39600000000000002</v>
      </c>
      <c r="K2858">
        <v>0.27324999999999999</v>
      </c>
      <c r="L2858">
        <v>3</v>
      </c>
      <c r="M2858">
        <v>0</v>
      </c>
      <c r="N2858">
        <v>1</v>
      </c>
      <c r="O2858" t="s">
        <v>127</v>
      </c>
      <c r="P2858" t="s">
        <v>127</v>
      </c>
      <c r="Q2858" t="s">
        <v>127</v>
      </c>
    </row>
    <row r="2859" spans="1:17" x14ac:dyDescent="0.25">
      <c r="A2859" t="str">
        <f>IF(C2859&amp;G2859&amp;D2859&lt;&gt;'Funnel setup'!$K$3&amp;'Funnel setup'!$K$4&amp;'Funnel setup'!$K$6,".",IF(A2858=".",1,A2858+1))</f>
        <v>.</v>
      </c>
      <c r="B2859" s="244" t="str">
        <f t="shared" si="44"/>
        <v>Knee Replacement RevisionSub-ICB of GP PracticeNHS NORTH EAST AND NORTH CUMBRIA ICB - 00L (00L)EQ-5D Index</v>
      </c>
      <c r="C2859" t="s">
        <v>973</v>
      </c>
      <c r="D2859" t="s">
        <v>1021</v>
      </c>
      <c r="E2859" t="s">
        <v>885</v>
      </c>
      <c r="F2859" t="s">
        <v>886</v>
      </c>
      <c r="G2859" t="s">
        <v>963</v>
      </c>
      <c r="H2859">
        <v>4</v>
      </c>
      <c r="I2859">
        <v>-4.2500000000000003E-2</v>
      </c>
      <c r="J2859">
        <v>0.371</v>
      </c>
      <c r="K2859">
        <v>0.41349999999999998</v>
      </c>
      <c r="L2859">
        <v>4</v>
      </c>
      <c r="M2859">
        <v>0</v>
      </c>
      <c r="N2859">
        <v>0</v>
      </c>
      <c r="O2859" t="s">
        <v>127</v>
      </c>
      <c r="P2859" t="s">
        <v>127</v>
      </c>
      <c r="Q2859" t="s">
        <v>127</v>
      </c>
    </row>
    <row r="2860" spans="1:17" x14ac:dyDescent="0.25">
      <c r="A2860" t="str">
        <f>IF(C2860&amp;G2860&amp;D2860&lt;&gt;'Funnel setup'!$K$3&amp;'Funnel setup'!$K$4&amp;'Funnel setup'!$K$6,".",IF(A2859=".",1,A2859+1))</f>
        <v>.</v>
      </c>
      <c r="B2860" s="244" t="str">
        <f t="shared" si="44"/>
        <v>Knee Replacement RevisionSub-ICB of GP PracticeNHS NORTH EAST AND NORTH CUMBRIA ICB - 00P (00P)EQ-5D Index</v>
      </c>
      <c r="C2860" t="s">
        <v>973</v>
      </c>
      <c r="D2860" t="s">
        <v>1021</v>
      </c>
      <c r="E2860" t="s">
        <v>889</v>
      </c>
      <c r="F2860" t="s">
        <v>890</v>
      </c>
      <c r="G2860" t="s">
        <v>963</v>
      </c>
      <c r="H2860">
        <v>1</v>
      </c>
      <c r="I2860">
        <v>8.7999999999999995E-2</v>
      </c>
      <c r="J2860">
        <v>-1.6E-2</v>
      </c>
      <c r="K2860">
        <v>-0.104</v>
      </c>
      <c r="L2860">
        <v>0</v>
      </c>
      <c r="M2860">
        <v>0</v>
      </c>
      <c r="N2860">
        <v>1</v>
      </c>
      <c r="O2860" t="s">
        <v>127</v>
      </c>
      <c r="P2860" t="s">
        <v>127</v>
      </c>
      <c r="Q2860" t="s">
        <v>127</v>
      </c>
    </row>
    <row r="2861" spans="1:17" x14ac:dyDescent="0.25">
      <c r="A2861" t="str">
        <f>IF(C2861&amp;G2861&amp;D2861&lt;&gt;'Funnel setup'!$K$3&amp;'Funnel setup'!$K$4&amp;'Funnel setup'!$K$6,".",IF(A2860=".",1,A2860+1))</f>
        <v>.</v>
      </c>
      <c r="B2861" s="244" t="str">
        <f t="shared" si="44"/>
        <v>Knee Replacement RevisionSub-ICB of GP PracticeNHS NORTH EAST AND NORTH CUMBRIA ICB - 01H (01H)EQ-5D Index</v>
      </c>
      <c r="C2861" t="s">
        <v>973</v>
      </c>
      <c r="D2861" t="s">
        <v>1021</v>
      </c>
      <c r="E2861" t="s">
        <v>891</v>
      </c>
      <c r="F2861" t="s">
        <v>892</v>
      </c>
      <c r="G2861" t="s">
        <v>963</v>
      </c>
      <c r="H2861">
        <v>4</v>
      </c>
      <c r="I2861">
        <v>0.32924999999999999</v>
      </c>
      <c r="J2861">
        <v>0.64424999999999999</v>
      </c>
      <c r="K2861">
        <v>0.315</v>
      </c>
      <c r="L2861">
        <v>4</v>
      </c>
      <c r="M2861">
        <v>0</v>
      </c>
      <c r="N2861">
        <v>0</v>
      </c>
      <c r="O2861" t="s">
        <v>127</v>
      </c>
      <c r="P2861" t="s">
        <v>127</v>
      </c>
      <c r="Q2861" t="s">
        <v>127</v>
      </c>
    </row>
    <row r="2862" spans="1:17" x14ac:dyDescent="0.25">
      <c r="A2862" t="str">
        <f>IF(C2862&amp;G2862&amp;D2862&lt;&gt;'Funnel setup'!$K$3&amp;'Funnel setup'!$K$4&amp;'Funnel setup'!$K$6,".",IF(A2861=".",1,A2861+1))</f>
        <v>.</v>
      </c>
      <c r="B2862" s="244" t="str">
        <f t="shared" si="44"/>
        <v>Knee Replacement RevisionSub-ICB of GP PracticeNHS NORTH EAST AND NORTH CUMBRIA ICB - 13T (13T)EQ-5D Index</v>
      </c>
      <c r="C2862" t="s">
        <v>973</v>
      </c>
      <c r="D2862" t="s">
        <v>1021</v>
      </c>
      <c r="E2862" t="s">
        <v>893</v>
      </c>
      <c r="F2862" t="s">
        <v>894</v>
      </c>
      <c r="G2862" t="s">
        <v>963</v>
      </c>
      <c r="H2862">
        <v>2</v>
      </c>
      <c r="I2862">
        <v>0.60350000000000004</v>
      </c>
      <c r="J2862">
        <v>0.75800000000000001</v>
      </c>
      <c r="K2862">
        <v>0.1545</v>
      </c>
      <c r="L2862">
        <v>1</v>
      </c>
      <c r="M2862">
        <v>1</v>
      </c>
      <c r="N2862">
        <v>0</v>
      </c>
      <c r="O2862" t="s">
        <v>127</v>
      </c>
      <c r="P2862" t="s">
        <v>127</v>
      </c>
      <c r="Q2862" t="s">
        <v>127</v>
      </c>
    </row>
    <row r="2863" spans="1:17" x14ac:dyDescent="0.25">
      <c r="A2863" t="str">
        <f>IF(C2863&amp;G2863&amp;D2863&lt;&gt;'Funnel setup'!$K$3&amp;'Funnel setup'!$K$4&amp;'Funnel setup'!$K$6,".",IF(A2862=".",1,A2862+1))</f>
        <v>.</v>
      </c>
      <c r="B2863" s="244" t="str">
        <f t="shared" si="44"/>
        <v>Knee Replacement RevisionSub-ICB of GP PracticeNHS NORTH EAST AND NORTH CUMBRIA ICB - 16C (16C)EQ-5D Index</v>
      </c>
      <c r="C2863" t="s">
        <v>973</v>
      </c>
      <c r="D2863" t="s">
        <v>1021</v>
      </c>
      <c r="E2863" t="s">
        <v>895</v>
      </c>
      <c r="F2863" t="s">
        <v>896</v>
      </c>
      <c r="G2863" t="s">
        <v>963</v>
      </c>
      <c r="H2863">
        <v>17</v>
      </c>
      <c r="I2863">
        <v>0.134882</v>
      </c>
      <c r="J2863">
        <v>0.45388200000000001</v>
      </c>
      <c r="K2863">
        <v>0.31900000000000001</v>
      </c>
      <c r="L2863">
        <v>13</v>
      </c>
      <c r="M2863">
        <v>0</v>
      </c>
      <c r="N2863">
        <v>4</v>
      </c>
      <c r="O2863" t="s">
        <v>127</v>
      </c>
      <c r="P2863" t="s">
        <v>127</v>
      </c>
      <c r="Q2863" t="s">
        <v>127</v>
      </c>
    </row>
    <row r="2864" spans="1:17" x14ac:dyDescent="0.25">
      <c r="A2864" t="str">
        <f>IF(C2864&amp;G2864&amp;D2864&lt;&gt;'Funnel setup'!$K$3&amp;'Funnel setup'!$K$4&amp;'Funnel setup'!$K$6,".",IF(A2863=".",1,A2863+1))</f>
        <v>.</v>
      </c>
      <c r="B2864" s="244" t="str">
        <f t="shared" si="44"/>
        <v>Knee Replacement RevisionSub-ICB of GP PracticeNHS NORTH EAST AND NORTH CUMBRIA ICB - 84H (84H)EQ-5D Index</v>
      </c>
      <c r="C2864" t="s">
        <v>973</v>
      </c>
      <c r="D2864" t="s">
        <v>1021</v>
      </c>
      <c r="E2864" t="s">
        <v>897</v>
      </c>
      <c r="F2864" t="s">
        <v>898</v>
      </c>
      <c r="G2864" t="s">
        <v>963</v>
      </c>
      <c r="H2864">
        <v>9</v>
      </c>
      <c r="I2864">
        <v>0.32533299999999998</v>
      </c>
      <c r="J2864">
        <v>0.45477800000000002</v>
      </c>
      <c r="K2864">
        <v>0.129444</v>
      </c>
      <c r="L2864">
        <v>5</v>
      </c>
      <c r="M2864">
        <v>0</v>
      </c>
      <c r="N2864">
        <v>4</v>
      </c>
      <c r="O2864" t="s">
        <v>127</v>
      </c>
      <c r="P2864" t="s">
        <v>127</v>
      </c>
      <c r="Q2864" t="s">
        <v>127</v>
      </c>
    </row>
    <row r="2865" spans="1:17" x14ac:dyDescent="0.25">
      <c r="A2865" t="str">
        <f>IF(C2865&amp;G2865&amp;D2865&lt;&gt;'Funnel setup'!$K$3&amp;'Funnel setup'!$K$4&amp;'Funnel setup'!$K$6,".",IF(A2864=".",1,A2864+1))</f>
        <v>.</v>
      </c>
      <c r="B2865" s="244" t="str">
        <f t="shared" si="44"/>
        <v>Knee Replacement RevisionSub-ICB of GP PracticeNHS NORTH EAST AND NORTH CUMBRIA ICB - 99C (99C)EQ-5D Index</v>
      </c>
      <c r="C2865" t="s">
        <v>973</v>
      </c>
      <c r="D2865" t="s">
        <v>1021</v>
      </c>
      <c r="E2865" t="s">
        <v>899</v>
      </c>
      <c r="F2865" t="s">
        <v>900</v>
      </c>
      <c r="G2865" t="s">
        <v>963</v>
      </c>
      <c r="H2865">
        <v>1</v>
      </c>
      <c r="I2865">
        <v>5.5E-2</v>
      </c>
      <c r="J2865">
        <v>0.189</v>
      </c>
      <c r="K2865">
        <v>0.13400000000000001</v>
      </c>
      <c r="L2865">
        <v>1</v>
      </c>
      <c r="M2865">
        <v>0</v>
      </c>
      <c r="N2865">
        <v>0</v>
      </c>
      <c r="O2865" t="s">
        <v>127</v>
      </c>
      <c r="P2865" t="s">
        <v>127</v>
      </c>
      <c r="Q2865" t="s">
        <v>127</v>
      </c>
    </row>
    <row r="2866" spans="1:17" x14ac:dyDescent="0.25">
      <c r="A2866" t="str">
        <f>IF(C2866&amp;G2866&amp;D2866&lt;&gt;'Funnel setup'!$K$3&amp;'Funnel setup'!$K$4&amp;'Funnel setup'!$K$6,".",IF(A2865=".",1,A2865+1))</f>
        <v>.</v>
      </c>
      <c r="B2866" s="244" t="str">
        <f t="shared" si="44"/>
        <v>Knee Replacement RevisionSub-ICB of GP PracticeNHS NORTH EAST LONDON ICB - A3A8R (A3A8R)EQ-5D Index</v>
      </c>
      <c r="C2866" t="s">
        <v>973</v>
      </c>
      <c r="D2866" t="s">
        <v>1021</v>
      </c>
      <c r="E2866" t="s">
        <v>901</v>
      </c>
      <c r="F2866" t="s">
        <v>902</v>
      </c>
      <c r="G2866" t="s">
        <v>963</v>
      </c>
      <c r="H2866">
        <v>10</v>
      </c>
      <c r="I2866">
        <v>0.36020000000000002</v>
      </c>
      <c r="J2866">
        <v>0.51500000000000001</v>
      </c>
      <c r="K2866">
        <v>0.15479999999999999</v>
      </c>
      <c r="L2866">
        <v>9</v>
      </c>
      <c r="M2866">
        <v>0</v>
      </c>
      <c r="N2866">
        <v>1</v>
      </c>
      <c r="O2866" t="s">
        <v>127</v>
      </c>
      <c r="P2866" t="s">
        <v>127</v>
      </c>
      <c r="Q2866" t="s">
        <v>127</v>
      </c>
    </row>
    <row r="2867" spans="1:17" x14ac:dyDescent="0.25">
      <c r="A2867" t="str">
        <f>IF(C2867&amp;G2867&amp;D2867&lt;&gt;'Funnel setup'!$K$3&amp;'Funnel setup'!$K$4&amp;'Funnel setup'!$K$6,".",IF(A2866=".",1,A2866+1))</f>
        <v>.</v>
      </c>
      <c r="B2867" s="244" t="str">
        <f t="shared" si="44"/>
        <v>Knee Replacement RevisionSub-ICB of GP PracticeNHS NORTH WEST LONDON ICB - W2U3Z (W2U3Z)EQ-5D Index</v>
      </c>
      <c r="C2867" t="s">
        <v>973</v>
      </c>
      <c r="D2867" t="s">
        <v>1021</v>
      </c>
      <c r="E2867" t="s">
        <v>903</v>
      </c>
      <c r="F2867" t="s">
        <v>904</v>
      </c>
      <c r="G2867" t="s">
        <v>963</v>
      </c>
      <c r="H2867">
        <v>10</v>
      </c>
      <c r="I2867">
        <v>0.57010000000000005</v>
      </c>
      <c r="J2867">
        <v>0.64759999999999995</v>
      </c>
      <c r="K2867">
        <v>7.7499999999999999E-2</v>
      </c>
      <c r="L2867">
        <v>5</v>
      </c>
      <c r="M2867">
        <v>3</v>
      </c>
      <c r="N2867">
        <v>2</v>
      </c>
      <c r="O2867" t="s">
        <v>127</v>
      </c>
      <c r="P2867" t="s">
        <v>127</v>
      </c>
      <c r="Q2867" t="s">
        <v>127</v>
      </c>
    </row>
    <row r="2868" spans="1:17" x14ac:dyDescent="0.25">
      <c r="A2868" t="str">
        <f>IF(C2868&amp;G2868&amp;D2868&lt;&gt;'Funnel setup'!$K$3&amp;'Funnel setup'!$K$4&amp;'Funnel setup'!$K$6,".",IF(A2867=".",1,A2867+1))</f>
        <v>.</v>
      </c>
      <c r="B2868" s="244" t="str">
        <f t="shared" si="44"/>
        <v>Knee Replacement RevisionSub-ICB of GP PracticeNHS NORTHAMPTONSHIRE ICB - 78H (78H)EQ-5D Index</v>
      </c>
      <c r="C2868" t="s">
        <v>973</v>
      </c>
      <c r="D2868" t="s">
        <v>1021</v>
      </c>
      <c r="E2868" t="s">
        <v>905</v>
      </c>
      <c r="F2868" t="s">
        <v>906</v>
      </c>
      <c r="G2868" t="s">
        <v>963</v>
      </c>
      <c r="H2868">
        <v>12</v>
      </c>
      <c r="I2868">
        <v>0.436</v>
      </c>
      <c r="J2868">
        <v>0.69808300000000001</v>
      </c>
      <c r="K2868">
        <v>0.26208300000000001</v>
      </c>
      <c r="L2868">
        <v>10</v>
      </c>
      <c r="M2868">
        <v>0</v>
      </c>
      <c r="N2868">
        <v>2</v>
      </c>
      <c r="O2868" t="s">
        <v>127</v>
      </c>
      <c r="P2868" t="s">
        <v>127</v>
      </c>
      <c r="Q2868" t="s">
        <v>127</v>
      </c>
    </row>
    <row r="2869" spans="1:17" x14ac:dyDescent="0.25">
      <c r="A2869" t="str">
        <f>IF(C2869&amp;G2869&amp;D2869&lt;&gt;'Funnel setup'!$K$3&amp;'Funnel setup'!$K$4&amp;'Funnel setup'!$K$6,".",IF(A2868=".",1,A2868+1))</f>
        <v>.</v>
      </c>
      <c r="B2869" s="244" t="str">
        <f t="shared" si="44"/>
        <v>Knee Replacement RevisionSub-ICB of GP PracticeNHS NOTTINGHAM AND NOTTINGHAMSHIRE ICB - 02Q (02Q)EQ-5D Index</v>
      </c>
      <c r="C2869" t="s">
        <v>973</v>
      </c>
      <c r="D2869" t="s">
        <v>1021</v>
      </c>
      <c r="E2869" t="s">
        <v>907</v>
      </c>
      <c r="F2869" t="s">
        <v>908</v>
      </c>
      <c r="G2869" t="s">
        <v>963</v>
      </c>
      <c r="H2869">
        <v>3</v>
      </c>
      <c r="I2869">
        <v>0.28799999999999998</v>
      </c>
      <c r="J2869">
        <v>0.69666700000000004</v>
      </c>
      <c r="K2869">
        <v>0.408667</v>
      </c>
      <c r="L2869">
        <v>3</v>
      </c>
      <c r="M2869">
        <v>0</v>
      </c>
      <c r="N2869">
        <v>0</v>
      </c>
      <c r="O2869" t="s">
        <v>127</v>
      </c>
      <c r="P2869" t="s">
        <v>127</v>
      </c>
      <c r="Q2869" t="s">
        <v>127</v>
      </c>
    </row>
    <row r="2870" spans="1:17" x14ac:dyDescent="0.25">
      <c r="A2870" t="str">
        <f>IF(C2870&amp;G2870&amp;D2870&lt;&gt;'Funnel setup'!$K$3&amp;'Funnel setup'!$K$4&amp;'Funnel setup'!$K$6,".",IF(A2869=".",1,A2869+1))</f>
        <v>.</v>
      </c>
      <c r="B2870" s="244" t="str">
        <f t="shared" si="44"/>
        <v>Knee Replacement RevisionSub-ICB of GP PracticeNHS NOTTINGHAM AND NOTTINGHAMSHIRE ICB - 52R (52R)EQ-5D Index</v>
      </c>
      <c r="C2870" t="s">
        <v>973</v>
      </c>
      <c r="D2870" t="s">
        <v>1021</v>
      </c>
      <c r="E2870" t="s">
        <v>909</v>
      </c>
      <c r="F2870" t="s">
        <v>910</v>
      </c>
      <c r="G2870" t="s">
        <v>963</v>
      </c>
      <c r="H2870">
        <v>2</v>
      </c>
      <c r="I2870">
        <v>9.2999999999999999E-2</v>
      </c>
      <c r="J2870">
        <v>0.75800000000000001</v>
      </c>
      <c r="K2870">
        <v>0.66500000000000004</v>
      </c>
      <c r="L2870">
        <v>2</v>
      </c>
      <c r="M2870">
        <v>0</v>
      </c>
      <c r="N2870">
        <v>0</v>
      </c>
      <c r="O2870" t="s">
        <v>127</v>
      </c>
      <c r="P2870" t="s">
        <v>127</v>
      </c>
      <c r="Q2870" t="s">
        <v>127</v>
      </c>
    </row>
    <row r="2871" spans="1:17" x14ac:dyDescent="0.25">
      <c r="A2871" t="str">
        <f>IF(C2871&amp;G2871&amp;D2871&lt;&gt;'Funnel setup'!$K$3&amp;'Funnel setup'!$K$4&amp;'Funnel setup'!$K$6,".",IF(A2870=".",1,A2870+1))</f>
        <v>.</v>
      </c>
      <c r="B2871" s="244" t="str">
        <f t="shared" si="44"/>
        <v>Knee Replacement RevisionSub-ICB of GP PracticeNHS SHROPSHIRE, TELFORD AND WREKIN ICB - M2L0M (M2L0M)EQ-5D Index</v>
      </c>
      <c r="C2871" t="s">
        <v>973</v>
      </c>
      <c r="D2871" t="s">
        <v>1021</v>
      </c>
      <c r="E2871" t="s">
        <v>911</v>
      </c>
      <c r="F2871" t="s">
        <v>912</v>
      </c>
      <c r="G2871" t="s">
        <v>963</v>
      </c>
      <c r="H2871">
        <v>16</v>
      </c>
      <c r="I2871">
        <v>0.33893800000000002</v>
      </c>
      <c r="J2871">
        <v>0.65043799999999996</v>
      </c>
      <c r="K2871">
        <v>0.3115</v>
      </c>
      <c r="L2871">
        <v>11</v>
      </c>
      <c r="M2871">
        <v>2</v>
      </c>
      <c r="N2871">
        <v>3</v>
      </c>
      <c r="O2871" t="s">
        <v>127</v>
      </c>
      <c r="P2871" t="s">
        <v>127</v>
      </c>
      <c r="Q2871" t="s">
        <v>127</v>
      </c>
    </row>
    <row r="2872" spans="1:17" x14ac:dyDescent="0.25">
      <c r="A2872" t="str">
        <f>IF(C2872&amp;G2872&amp;D2872&lt;&gt;'Funnel setup'!$K$3&amp;'Funnel setup'!$K$4&amp;'Funnel setup'!$K$6,".",IF(A2871=".",1,A2871+1))</f>
        <v>.</v>
      </c>
      <c r="B2872" s="244" t="str">
        <f t="shared" si="44"/>
        <v>Knee Replacement RevisionSub-ICB of GP PracticeNHS SOUTH EAST LONDON ICB - 72Q (72Q)EQ-5D Index</v>
      </c>
      <c r="C2872" t="s">
        <v>973</v>
      </c>
      <c r="D2872" t="s">
        <v>1021</v>
      </c>
      <c r="E2872" t="s">
        <v>915</v>
      </c>
      <c r="F2872" t="s">
        <v>916</v>
      </c>
      <c r="G2872" t="s">
        <v>963</v>
      </c>
      <c r="H2872">
        <v>9</v>
      </c>
      <c r="I2872">
        <v>0.14377799999999999</v>
      </c>
      <c r="J2872">
        <v>0.26422200000000001</v>
      </c>
      <c r="K2872">
        <v>0.120444</v>
      </c>
      <c r="L2872">
        <v>3</v>
      </c>
      <c r="M2872">
        <v>2</v>
      </c>
      <c r="N2872">
        <v>4</v>
      </c>
      <c r="O2872" t="s">
        <v>127</v>
      </c>
      <c r="P2872" t="s">
        <v>127</v>
      </c>
      <c r="Q2872" t="s">
        <v>127</v>
      </c>
    </row>
    <row r="2873" spans="1:17" x14ac:dyDescent="0.25">
      <c r="A2873" t="str">
        <f>IF(C2873&amp;G2873&amp;D2873&lt;&gt;'Funnel setup'!$K$3&amp;'Funnel setup'!$K$4&amp;'Funnel setup'!$K$6,".",IF(A2872=".",1,A2872+1))</f>
        <v>.</v>
      </c>
      <c r="B2873" s="244" t="str">
        <f t="shared" si="44"/>
        <v>Knee Replacement RevisionSub-ICB of GP PracticeNHS SOUTH WEST LONDON ICB - 36L (36L)EQ-5D Index</v>
      </c>
      <c r="C2873" t="s">
        <v>973</v>
      </c>
      <c r="D2873" t="s">
        <v>1021</v>
      </c>
      <c r="E2873" t="s">
        <v>917</v>
      </c>
      <c r="F2873" t="s">
        <v>918</v>
      </c>
      <c r="G2873" t="s">
        <v>963</v>
      </c>
      <c r="H2873">
        <v>10</v>
      </c>
      <c r="I2873">
        <v>0.3629</v>
      </c>
      <c r="J2873">
        <v>0.5948</v>
      </c>
      <c r="K2873">
        <v>0.2319</v>
      </c>
      <c r="L2873">
        <v>7</v>
      </c>
      <c r="M2873">
        <v>2</v>
      </c>
      <c r="N2873">
        <v>1</v>
      </c>
      <c r="O2873" t="s">
        <v>127</v>
      </c>
      <c r="P2873" t="s">
        <v>127</v>
      </c>
      <c r="Q2873" t="s">
        <v>127</v>
      </c>
    </row>
    <row r="2874" spans="1:17" x14ac:dyDescent="0.25">
      <c r="A2874" t="str">
        <f>IF(C2874&amp;G2874&amp;D2874&lt;&gt;'Funnel setup'!$K$3&amp;'Funnel setup'!$K$4&amp;'Funnel setup'!$K$6,".",IF(A2873=".",1,A2873+1))</f>
        <v>.</v>
      </c>
      <c r="B2874" s="244" t="str">
        <f t="shared" si="44"/>
        <v>Knee Replacement RevisionSub-ICB of GP PracticeNHS SOUTH YORKSHIRE ICB - 02P (02P)EQ-5D Index</v>
      </c>
      <c r="C2874" t="s">
        <v>973</v>
      </c>
      <c r="D2874" t="s">
        <v>1021</v>
      </c>
      <c r="E2874" t="s">
        <v>919</v>
      </c>
      <c r="F2874" t="s">
        <v>920</v>
      </c>
      <c r="G2874" t="s">
        <v>963</v>
      </c>
      <c r="H2874">
        <v>2</v>
      </c>
      <c r="I2874">
        <v>0.17399999999999999</v>
      </c>
      <c r="J2874">
        <v>0.32</v>
      </c>
      <c r="K2874">
        <v>0.14599999999999999</v>
      </c>
      <c r="L2874">
        <v>1</v>
      </c>
      <c r="M2874">
        <v>1</v>
      </c>
      <c r="N2874">
        <v>0</v>
      </c>
      <c r="O2874" t="s">
        <v>127</v>
      </c>
      <c r="P2874" t="s">
        <v>127</v>
      </c>
      <c r="Q2874" t="s">
        <v>127</v>
      </c>
    </row>
    <row r="2875" spans="1:17" x14ac:dyDescent="0.25">
      <c r="A2875" t="str">
        <f>IF(C2875&amp;G2875&amp;D2875&lt;&gt;'Funnel setup'!$K$3&amp;'Funnel setup'!$K$4&amp;'Funnel setup'!$K$6,".",IF(A2874=".",1,A2874+1))</f>
        <v>.</v>
      </c>
      <c r="B2875" s="244" t="str">
        <f t="shared" si="44"/>
        <v>Knee Replacement RevisionSub-ICB of GP PracticeNHS SOUTH YORKSHIRE ICB - 03N (03N)EQ-5D Index</v>
      </c>
      <c r="C2875" t="s">
        <v>973</v>
      </c>
      <c r="D2875" t="s">
        <v>1021</v>
      </c>
      <c r="E2875" t="s">
        <v>925</v>
      </c>
      <c r="F2875" t="s">
        <v>926</v>
      </c>
      <c r="G2875" t="s">
        <v>963</v>
      </c>
      <c r="H2875">
        <v>1</v>
      </c>
      <c r="I2875">
        <v>0.69099999999999995</v>
      </c>
      <c r="J2875">
        <v>0.69099999999999995</v>
      </c>
      <c r="K2875">
        <v>0</v>
      </c>
      <c r="L2875">
        <v>0</v>
      </c>
      <c r="M2875">
        <v>1</v>
      </c>
      <c r="N2875">
        <v>0</v>
      </c>
      <c r="O2875" t="s">
        <v>127</v>
      </c>
      <c r="P2875" t="s">
        <v>127</v>
      </c>
      <c r="Q2875" t="s">
        <v>127</v>
      </c>
    </row>
    <row r="2876" spans="1:17" x14ac:dyDescent="0.25">
      <c r="A2876" t="str">
        <f>IF(C2876&amp;G2876&amp;D2876&lt;&gt;'Funnel setup'!$K$3&amp;'Funnel setup'!$K$4&amp;'Funnel setup'!$K$6,".",IF(A2875=".",1,A2875+1))</f>
        <v>.</v>
      </c>
      <c r="B2876" s="244" t="str">
        <f t="shared" si="44"/>
        <v>Knee Replacement RevisionSub-ICB of GP PracticeNHS STAFFORDSHIRE AND STOKE-ON-TRENT ICB - 05D (05D)EQ-5D Index</v>
      </c>
      <c r="C2876" t="s">
        <v>973</v>
      </c>
      <c r="D2876" t="s">
        <v>1021</v>
      </c>
      <c r="E2876" t="s">
        <v>929</v>
      </c>
      <c r="F2876" t="s">
        <v>930</v>
      </c>
      <c r="G2876" t="s">
        <v>963</v>
      </c>
      <c r="H2876">
        <v>6</v>
      </c>
      <c r="I2876">
        <v>0.345667</v>
      </c>
      <c r="J2876">
        <v>0.54749999999999999</v>
      </c>
      <c r="K2876">
        <v>0.20183300000000001</v>
      </c>
      <c r="L2876">
        <v>3</v>
      </c>
      <c r="M2876">
        <v>0</v>
      </c>
      <c r="N2876">
        <v>3</v>
      </c>
      <c r="O2876" t="s">
        <v>127</v>
      </c>
      <c r="P2876" t="s">
        <v>127</v>
      </c>
      <c r="Q2876" t="s">
        <v>127</v>
      </c>
    </row>
    <row r="2877" spans="1:17" x14ac:dyDescent="0.25">
      <c r="A2877" t="str">
        <f>IF(C2877&amp;G2877&amp;D2877&lt;&gt;'Funnel setup'!$K$3&amp;'Funnel setup'!$K$4&amp;'Funnel setup'!$K$6,".",IF(A2876=".",1,A2876+1))</f>
        <v>.</v>
      </c>
      <c r="B2877" s="244" t="str">
        <f t="shared" si="44"/>
        <v>Knee Replacement RevisionSub-ICB of GP PracticeNHS STAFFORDSHIRE AND STOKE-ON-TRENT ICB - 05G (05G)EQ-5D Index</v>
      </c>
      <c r="C2877" t="s">
        <v>973</v>
      </c>
      <c r="D2877" t="s">
        <v>1021</v>
      </c>
      <c r="E2877" t="s">
        <v>931</v>
      </c>
      <c r="F2877" t="s">
        <v>932</v>
      </c>
      <c r="G2877" t="s">
        <v>963</v>
      </c>
      <c r="H2877">
        <v>3</v>
      </c>
      <c r="I2877">
        <v>0.25966699999999998</v>
      </c>
      <c r="J2877">
        <v>0.32900000000000001</v>
      </c>
      <c r="K2877">
        <v>6.93333E-2</v>
      </c>
      <c r="L2877">
        <v>1</v>
      </c>
      <c r="M2877">
        <v>0</v>
      </c>
      <c r="N2877">
        <v>2</v>
      </c>
      <c r="O2877" t="s">
        <v>127</v>
      </c>
      <c r="P2877" t="s">
        <v>127</v>
      </c>
      <c r="Q2877" t="s">
        <v>127</v>
      </c>
    </row>
    <row r="2878" spans="1:17" x14ac:dyDescent="0.25">
      <c r="A2878" t="str">
        <f>IF(C2878&amp;G2878&amp;D2878&lt;&gt;'Funnel setup'!$K$3&amp;'Funnel setup'!$K$4&amp;'Funnel setup'!$K$6,".",IF(A2877=".",1,A2877+1))</f>
        <v>.</v>
      </c>
      <c r="B2878" s="244" t="str">
        <f t="shared" si="44"/>
        <v>Knee Replacement RevisionSub-ICB of GP PracticeNHS STAFFORDSHIRE AND STOKE-ON-TRENT ICB - 05Q (05Q)EQ-5D Index</v>
      </c>
      <c r="C2878" t="s">
        <v>973</v>
      </c>
      <c r="D2878" t="s">
        <v>1021</v>
      </c>
      <c r="E2878" t="s">
        <v>933</v>
      </c>
      <c r="F2878" t="s">
        <v>934</v>
      </c>
      <c r="G2878" t="s">
        <v>963</v>
      </c>
      <c r="H2878">
        <v>7</v>
      </c>
      <c r="I2878">
        <v>0.40442899999999998</v>
      </c>
      <c r="J2878">
        <v>0.85757099999999997</v>
      </c>
      <c r="K2878">
        <v>0.45314300000000002</v>
      </c>
      <c r="L2878">
        <v>6</v>
      </c>
      <c r="M2878">
        <v>1</v>
      </c>
      <c r="N2878">
        <v>0</v>
      </c>
      <c r="O2878" t="s">
        <v>127</v>
      </c>
      <c r="P2878" t="s">
        <v>127</v>
      </c>
      <c r="Q2878" t="s">
        <v>127</v>
      </c>
    </row>
    <row r="2879" spans="1:17" x14ac:dyDescent="0.25">
      <c r="A2879" t="str">
        <f>IF(C2879&amp;G2879&amp;D2879&lt;&gt;'Funnel setup'!$K$3&amp;'Funnel setup'!$K$4&amp;'Funnel setup'!$K$6,".",IF(A2878=".",1,A2878+1))</f>
        <v>.</v>
      </c>
      <c r="B2879" s="244" t="str">
        <f t="shared" si="44"/>
        <v>Knee Replacement RevisionSub-ICB of GP PracticeNHS STAFFORDSHIRE AND STOKE-ON-TRENT ICB - 05W (05W)EQ-5D Index</v>
      </c>
      <c r="C2879" t="s">
        <v>973</v>
      </c>
      <c r="D2879" t="s">
        <v>1021</v>
      </c>
      <c r="E2879" t="s">
        <v>937</v>
      </c>
      <c r="F2879" t="s">
        <v>938</v>
      </c>
      <c r="G2879" t="s">
        <v>963</v>
      </c>
      <c r="H2879">
        <v>4</v>
      </c>
      <c r="I2879">
        <v>0.105</v>
      </c>
      <c r="J2879">
        <v>0.55600000000000005</v>
      </c>
      <c r="K2879">
        <v>0.45100000000000001</v>
      </c>
      <c r="L2879">
        <v>4</v>
      </c>
      <c r="M2879">
        <v>0</v>
      </c>
      <c r="N2879">
        <v>0</v>
      </c>
      <c r="O2879" t="s">
        <v>127</v>
      </c>
      <c r="P2879" t="s">
        <v>127</v>
      </c>
      <c r="Q2879" t="s">
        <v>127</v>
      </c>
    </row>
    <row r="2880" spans="1:17" x14ac:dyDescent="0.25">
      <c r="A2880" t="str">
        <f>IF(C2880&amp;G2880&amp;D2880&lt;&gt;'Funnel setup'!$K$3&amp;'Funnel setup'!$K$4&amp;'Funnel setup'!$K$6,".",IF(A2879=".",1,A2879+1))</f>
        <v>.</v>
      </c>
      <c r="B2880" s="244" t="str">
        <f t="shared" si="44"/>
        <v>Knee Replacement RevisionSub-ICB of GP PracticeNHS SUFFOLK AND NORTH EAST ESSEX ICB - 06L (06L)EQ-5D Index</v>
      </c>
      <c r="C2880" t="s">
        <v>973</v>
      </c>
      <c r="D2880" t="s">
        <v>1021</v>
      </c>
      <c r="E2880" t="s">
        <v>939</v>
      </c>
      <c r="F2880" t="s">
        <v>940</v>
      </c>
      <c r="G2880" t="s">
        <v>963</v>
      </c>
      <c r="H2880">
        <v>4</v>
      </c>
      <c r="I2880">
        <v>0.34575</v>
      </c>
      <c r="J2880">
        <v>0.74175000000000002</v>
      </c>
      <c r="K2880">
        <v>0.39600000000000002</v>
      </c>
      <c r="L2880">
        <v>4</v>
      </c>
      <c r="M2880">
        <v>0</v>
      </c>
      <c r="N2880">
        <v>0</v>
      </c>
      <c r="O2880" t="s">
        <v>127</v>
      </c>
      <c r="P2880" t="s">
        <v>127</v>
      </c>
      <c r="Q2880" t="s">
        <v>127</v>
      </c>
    </row>
    <row r="2881" spans="1:17" x14ac:dyDescent="0.25">
      <c r="A2881" t="str">
        <f>IF(C2881&amp;G2881&amp;D2881&lt;&gt;'Funnel setup'!$K$3&amp;'Funnel setup'!$K$4&amp;'Funnel setup'!$K$6,".",IF(A2880=".",1,A2880+1))</f>
        <v>.</v>
      </c>
      <c r="B2881" s="244" t="str">
        <f t="shared" si="44"/>
        <v>Knee Replacement RevisionSub-ICB of GP PracticeNHS SUFFOLK AND NORTH EAST ESSEX ICB - 06T (06T)EQ-5D Index</v>
      </c>
      <c r="C2881" t="s">
        <v>973</v>
      </c>
      <c r="D2881" t="s">
        <v>1021</v>
      </c>
      <c r="E2881" t="s">
        <v>941</v>
      </c>
      <c r="F2881" t="s">
        <v>942</v>
      </c>
      <c r="G2881" t="s">
        <v>963</v>
      </c>
      <c r="H2881">
        <v>2</v>
      </c>
      <c r="I2881">
        <v>0.3085</v>
      </c>
      <c r="J2881">
        <v>0.40450000000000003</v>
      </c>
      <c r="K2881">
        <v>9.6000000000000002E-2</v>
      </c>
      <c r="L2881">
        <v>1</v>
      </c>
      <c r="M2881">
        <v>1</v>
      </c>
      <c r="N2881">
        <v>0</v>
      </c>
      <c r="O2881" t="s">
        <v>127</v>
      </c>
      <c r="P2881" t="s">
        <v>127</v>
      </c>
      <c r="Q2881" t="s">
        <v>127</v>
      </c>
    </row>
    <row r="2882" spans="1:17" x14ac:dyDescent="0.25">
      <c r="A2882" t="str">
        <f>IF(C2882&amp;G2882&amp;D2882&lt;&gt;'Funnel setup'!$K$3&amp;'Funnel setup'!$K$4&amp;'Funnel setup'!$K$6,".",IF(A2881=".",1,A2881+1))</f>
        <v>.</v>
      </c>
      <c r="B2882" s="244" t="str">
        <f t="shared" ref="B2882:B2945" si="45">C2882&amp;D2882&amp;F2882&amp;G2882</f>
        <v>Knee Replacement RevisionSub-ICB of GP PracticeNHS SUFFOLK AND NORTH EAST ESSEX ICB - 07K (07K)EQ-5D Index</v>
      </c>
      <c r="C2882" t="s">
        <v>973</v>
      </c>
      <c r="D2882" t="s">
        <v>1021</v>
      </c>
      <c r="E2882" t="s">
        <v>943</v>
      </c>
      <c r="F2882" t="s">
        <v>944</v>
      </c>
      <c r="G2882" t="s">
        <v>963</v>
      </c>
      <c r="H2882">
        <v>4</v>
      </c>
      <c r="I2882">
        <v>0.1835</v>
      </c>
      <c r="J2882">
        <v>0.79349999999999998</v>
      </c>
      <c r="K2882">
        <v>0.61</v>
      </c>
      <c r="L2882">
        <v>4</v>
      </c>
      <c r="M2882">
        <v>0</v>
      </c>
      <c r="N2882">
        <v>0</v>
      </c>
      <c r="O2882" t="s">
        <v>127</v>
      </c>
      <c r="P2882" t="s">
        <v>127</v>
      </c>
      <c r="Q2882" t="s">
        <v>127</v>
      </c>
    </row>
    <row r="2883" spans="1:17" x14ac:dyDescent="0.25">
      <c r="A2883" t="str">
        <f>IF(C2883&amp;G2883&amp;D2883&lt;&gt;'Funnel setup'!$K$3&amp;'Funnel setup'!$K$4&amp;'Funnel setup'!$K$6,".",IF(A2882=".",1,A2882+1))</f>
        <v>.</v>
      </c>
      <c r="B2883" s="244" t="str">
        <f t="shared" si="45"/>
        <v>Knee Replacement RevisionSub-ICB of GP PracticeNHS SURREY HEARTLANDS ICB - 92A (92A)EQ-5D Index</v>
      </c>
      <c r="C2883" t="s">
        <v>973</v>
      </c>
      <c r="D2883" t="s">
        <v>1021</v>
      </c>
      <c r="E2883" t="s">
        <v>945</v>
      </c>
      <c r="F2883" t="s">
        <v>946</v>
      </c>
      <c r="G2883" t="s">
        <v>963</v>
      </c>
      <c r="H2883">
        <v>11</v>
      </c>
      <c r="I2883">
        <v>0.25863599999999998</v>
      </c>
      <c r="J2883">
        <v>0.42599999999999999</v>
      </c>
      <c r="K2883">
        <v>0.16736400000000001</v>
      </c>
      <c r="L2883">
        <v>8</v>
      </c>
      <c r="M2883">
        <v>0</v>
      </c>
      <c r="N2883">
        <v>3</v>
      </c>
      <c r="O2883" t="s">
        <v>127</v>
      </c>
      <c r="P2883" t="s">
        <v>127</v>
      </c>
      <c r="Q2883" t="s">
        <v>127</v>
      </c>
    </row>
    <row r="2884" spans="1:17" x14ac:dyDescent="0.25">
      <c r="A2884" t="str">
        <f>IF(C2884&amp;G2884&amp;D2884&lt;&gt;'Funnel setup'!$K$3&amp;'Funnel setup'!$K$4&amp;'Funnel setup'!$K$6,".",IF(A2883=".",1,A2883+1))</f>
        <v>.</v>
      </c>
      <c r="B2884" s="244" t="str">
        <f t="shared" si="45"/>
        <v>Knee Replacement RevisionSub-ICB of GP PracticeNHS SUSSEX ICB - 70F (70F)EQ-5D Index</v>
      </c>
      <c r="C2884" t="s">
        <v>973</v>
      </c>
      <c r="D2884" t="s">
        <v>1021</v>
      </c>
      <c r="E2884" t="s">
        <v>949</v>
      </c>
      <c r="F2884" t="s">
        <v>950</v>
      </c>
      <c r="G2884" t="s">
        <v>963</v>
      </c>
      <c r="H2884">
        <v>6</v>
      </c>
      <c r="I2884">
        <v>0.21166699999999999</v>
      </c>
      <c r="J2884">
        <v>0.80566700000000002</v>
      </c>
      <c r="K2884">
        <v>0.59399999999999997</v>
      </c>
      <c r="L2884">
        <v>5</v>
      </c>
      <c r="M2884">
        <v>1</v>
      </c>
      <c r="N2884">
        <v>0</v>
      </c>
      <c r="O2884" t="s">
        <v>127</v>
      </c>
      <c r="P2884" t="s">
        <v>127</v>
      </c>
      <c r="Q2884" t="s">
        <v>127</v>
      </c>
    </row>
    <row r="2885" spans="1:17" x14ac:dyDescent="0.25">
      <c r="A2885" t="str">
        <f>IF(C2885&amp;G2885&amp;D2885&lt;&gt;'Funnel setup'!$K$3&amp;'Funnel setup'!$K$4&amp;'Funnel setup'!$K$6,".",IF(A2884=".",1,A2884+1))</f>
        <v>.</v>
      </c>
      <c r="B2885" s="244" t="str">
        <f t="shared" si="45"/>
        <v>Knee Replacement RevisionSub-ICB of GP PracticeNHS SUSSEX ICB - 97R (97R)EQ-5D Index</v>
      </c>
      <c r="C2885" t="s">
        <v>973</v>
      </c>
      <c r="D2885" t="s">
        <v>1021</v>
      </c>
      <c r="E2885" t="s">
        <v>951</v>
      </c>
      <c r="F2885" t="s">
        <v>952</v>
      </c>
      <c r="G2885" t="s">
        <v>963</v>
      </c>
      <c r="H2885">
        <v>8</v>
      </c>
      <c r="I2885">
        <v>0.301875</v>
      </c>
      <c r="J2885">
        <v>0.72537499999999999</v>
      </c>
      <c r="K2885">
        <v>0.42349999999999999</v>
      </c>
      <c r="L2885">
        <v>6</v>
      </c>
      <c r="M2885">
        <v>1</v>
      </c>
      <c r="N2885">
        <v>1</v>
      </c>
      <c r="O2885" t="s">
        <v>127</v>
      </c>
      <c r="P2885" t="s">
        <v>127</v>
      </c>
      <c r="Q2885" t="s">
        <v>127</v>
      </c>
    </row>
    <row r="2886" spans="1:17" x14ac:dyDescent="0.25">
      <c r="A2886" t="str">
        <f>IF(C2886&amp;G2886&amp;D2886&lt;&gt;'Funnel setup'!$K$3&amp;'Funnel setup'!$K$4&amp;'Funnel setup'!$K$6,".",IF(A2885=".",1,A2885+1))</f>
        <v>.</v>
      </c>
      <c r="B2886" s="244" t="str">
        <f t="shared" si="45"/>
        <v>Knee Replacement RevisionSub-ICB of GP PracticeNHS WEST YORKSHIRE ICB - 02T (02T)EQ-5D Index</v>
      </c>
      <c r="C2886" t="s">
        <v>973</v>
      </c>
      <c r="D2886" t="s">
        <v>1021</v>
      </c>
      <c r="E2886" t="s">
        <v>953</v>
      </c>
      <c r="F2886" t="s">
        <v>954</v>
      </c>
      <c r="G2886" t="s">
        <v>963</v>
      </c>
      <c r="H2886">
        <v>4</v>
      </c>
      <c r="I2886">
        <v>0.5585</v>
      </c>
      <c r="J2886">
        <v>0.87624999999999997</v>
      </c>
      <c r="K2886">
        <v>0.31774999999999998</v>
      </c>
      <c r="L2886">
        <v>3</v>
      </c>
      <c r="M2886">
        <v>0</v>
      </c>
      <c r="N2886">
        <v>1</v>
      </c>
      <c r="O2886" t="s">
        <v>127</v>
      </c>
      <c r="P2886" t="s">
        <v>127</v>
      </c>
      <c r="Q2886" t="s">
        <v>127</v>
      </c>
    </row>
    <row r="2887" spans="1:17" x14ac:dyDescent="0.25">
      <c r="A2887" t="str">
        <f>IF(C2887&amp;G2887&amp;D2887&lt;&gt;'Funnel setup'!$K$3&amp;'Funnel setup'!$K$4&amp;'Funnel setup'!$K$6,".",IF(A2886=".",1,A2886+1))</f>
        <v>.</v>
      </c>
      <c r="B2887" s="244" t="str">
        <f t="shared" si="45"/>
        <v>Knee Replacement RevisionSub-ICB of GP PracticeNHS WEST YORKSHIRE ICB - 03R (03R)EQ-5D Index</v>
      </c>
      <c r="C2887" t="s">
        <v>973</v>
      </c>
      <c r="D2887" t="s">
        <v>1021</v>
      </c>
      <c r="E2887" t="s">
        <v>955</v>
      </c>
      <c r="F2887" t="s">
        <v>956</v>
      </c>
      <c r="G2887" t="s">
        <v>963</v>
      </c>
      <c r="H2887">
        <v>16</v>
      </c>
      <c r="I2887">
        <v>0.34268700000000002</v>
      </c>
      <c r="J2887">
        <v>0.67425000000000002</v>
      </c>
      <c r="K2887">
        <v>0.33156200000000002</v>
      </c>
      <c r="L2887">
        <v>12</v>
      </c>
      <c r="M2887">
        <v>2</v>
      </c>
      <c r="N2887">
        <v>2</v>
      </c>
      <c r="O2887" t="s">
        <v>127</v>
      </c>
      <c r="P2887" t="s">
        <v>127</v>
      </c>
      <c r="Q2887" t="s">
        <v>127</v>
      </c>
    </row>
    <row r="2888" spans="1:17" x14ac:dyDescent="0.25">
      <c r="A2888" t="str">
        <f>IF(C2888&amp;G2888&amp;D2888&lt;&gt;'Funnel setup'!$K$3&amp;'Funnel setup'!$K$4&amp;'Funnel setup'!$K$6,".",IF(A2887=".",1,A2887+1))</f>
        <v>.</v>
      </c>
      <c r="B2888" s="244" t="str">
        <f t="shared" si="45"/>
        <v>Knee Replacement RevisionSub-ICB of GP PracticeNHS WEST YORKSHIRE ICB - 15F (15F)EQ-5D Index</v>
      </c>
      <c r="C2888" t="s">
        <v>973</v>
      </c>
      <c r="D2888" t="s">
        <v>1021</v>
      </c>
      <c r="E2888" t="s">
        <v>957</v>
      </c>
      <c r="F2888" t="s">
        <v>958</v>
      </c>
      <c r="G2888" t="s">
        <v>963</v>
      </c>
      <c r="H2888">
        <v>11</v>
      </c>
      <c r="I2888">
        <v>0.29899999999999999</v>
      </c>
      <c r="J2888">
        <v>0.54581800000000003</v>
      </c>
      <c r="K2888">
        <v>0.24681800000000001</v>
      </c>
      <c r="L2888">
        <v>7</v>
      </c>
      <c r="M2888">
        <v>1</v>
      </c>
      <c r="N2888">
        <v>3</v>
      </c>
      <c r="O2888" t="s">
        <v>127</v>
      </c>
      <c r="P2888" t="s">
        <v>127</v>
      </c>
      <c r="Q2888" t="s">
        <v>127</v>
      </c>
    </row>
    <row r="2889" spans="1:17" x14ac:dyDescent="0.25">
      <c r="A2889" t="str">
        <f>IF(C2889&amp;G2889&amp;D2889&lt;&gt;'Funnel setup'!$K$3&amp;'Funnel setup'!$K$4&amp;'Funnel setup'!$K$6,".",IF(A2888=".",1,A2888+1))</f>
        <v>.</v>
      </c>
      <c r="B2889" s="244" t="str">
        <f t="shared" si="45"/>
        <v>Knee Replacement RevisionSub-ICB of GP PracticeNHS WEST YORKSHIRE ICB - 36J (36J)EQ-5D Index</v>
      </c>
      <c r="C2889" t="s">
        <v>973</v>
      </c>
      <c r="D2889" t="s">
        <v>1021</v>
      </c>
      <c r="E2889" t="s">
        <v>959</v>
      </c>
      <c r="F2889" t="s">
        <v>960</v>
      </c>
      <c r="G2889" t="s">
        <v>963</v>
      </c>
      <c r="H2889">
        <v>1</v>
      </c>
      <c r="I2889">
        <v>-1.6E-2</v>
      </c>
      <c r="J2889">
        <v>-0.18099999999999999</v>
      </c>
      <c r="K2889">
        <v>-0.16500000000000001</v>
      </c>
      <c r="L2889">
        <v>0</v>
      </c>
      <c r="M2889">
        <v>0</v>
      </c>
      <c r="N2889">
        <v>1</v>
      </c>
      <c r="O2889" t="s">
        <v>127</v>
      </c>
      <c r="P2889" t="s">
        <v>127</v>
      </c>
      <c r="Q2889" t="s">
        <v>127</v>
      </c>
    </row>
    <row r="2890" spans="1:17" x14ac:dyDescent="0.25">
      <c r="A2890" t="str">
        <f>IF(C2890&amp;G2890&amp;D2890&lt;&gt;'Funnel setup'!$K$3&amp;'Funnel setup'!$K$4&amp;'Funnel setup'!$K$6,".",IF(A2889=".",1,A2889+1))</f>
        <v>.</v>
      </c>
      <c r="B2890" s="244" t="str">
        <f t="shared" si="45"/>
        <v>Knee Replacement RevisionSub-ICB of GP PracticeNHS WEST YORKSHIRE ICB - X2C4Y (X2C4Y)EQ-5D Index</v>
      </c>
      <c r="C2890" t="s">
        <v>973</v>
      </c>
      <c r="D2890" t="s">
        <v>1021</v>
      </c>
      <c r="E2890" t="s">
        <v>961</v>
      </c>
      <c r="F2890" t="s">
        <v>962</v>
      </c>
      <c r="G2890" t="s">
        <v>963</v>
      </c>
      <c r="H2890">
        <v>10</v>
      </c>
      <c r="I2890">
        <v>0.27950000000000003</v>
      </c>
      <c r="J2890">
        <v>0.76160000000000005</v>
      </c>
      <c r="K2890">
        <v>0.48209999999999997</v>
      </c>
      <c r="L2890">
        <v>10</v>
      </c>
      <c r="M2890">
        <v>0</v>
      </c>
      <c r="N2890">
        <v>0</v>
      </c>
      <c r="O2890" t="s">
        <v>127</v>
      </c>
      <c r="P2890" t="s">
        <v>127</v>
      </c>
      <c r="Q2890" t="s">
        <v>127</v>
      </c>
    </row>
    <row r="2891" spans="1:17" x14ac:dyDescent="0.25">
      <c r="A2891" t="str">
        <f>IF(C2891&amp;G2891&amp;D2891&lt;&gt;'Funnel setup'!$K$3&amp;'Funnel setup'!$K$4&amp;'Funnel setup'!$K$6,".",IF(A2890=".",1,A2890+1))</f>
        <v>.</v>
      </c>
      <c r="B2891" s="244" t="str">
        <f t="shared" si="45"/>
        <v>Knee Replacement RevisionSub-ICB of GP PracticeNHS BATH AND NORTH EAST SOMERSET, SWINDON AND WILTSHIRE ICB - 92G (92G)Oxford Knee Score</v>
      </c>
      <c r="C2891" t="s">
        <v>973</v>
      </c>
      <c r="D2891" t="s">
        <v>1021</v>
      </c>
      <c r="E2891" t="s">
        <v>750</v>
      </c>
      <c r="F2891" t="s">
        <v>751</v>
      </c>
      <c r="G2891" t="s">
        <v>972</v>
      </c>
      <c r="H2891">
        <v>4</v>
      </c>
      <c r="I2891">
        <v>10.25</v>
      </c>
      <c r="J2891">
        <v>36</v>
      </c>
      <c r="K2891">
        <v>25.75</v>
      </c>
      <c r="L2891">
        <v>4</v>
      </c>
      <c r="M2891">
        <v>0</v>
      </c>
      <c r="N2891">
        <v>0</v>
      </c>
      <c r="O2891" t="s">
        <v>127</v>
      </c>
      <c r="P2891" t="s">
        <v>127</v>
      </c>
      <c r="Q2891" t="s">
        <v>127</v>
      </c>
    </row>
    <row r="2892" spans="1:17" x14ac:dyDescent="0.25">
      <c r="A2892" t="str">
        <f>IF(C2892&amp;G2892&amp;D2892&lt;&gt;'Funnel setup'!$K$3&amp;'Funnel setup'!$K$4&amp;'Funnel setup'!$K$6,".",IF(A2891=".",1,A2891+1))</f>
        <v>.</v>
      </c>
      <c r="B2892" s="244" t="str">
        <f t="shared" si="45"/>
        <v>Knee Replacement RevisionSub-ICB of GP PracticeNHS BEDFORDSHIRE, LUTON AND MILTON KEYNES ICB - M1J4Y (M1J4Y)Oxford Knee Score</v>
      </c>
      <c r="C2892" t="s">
        <v>973</v>
      </c>
      <c r="D2892" t="s">
        <v>1021</v>
      </c>
      <c r="E2892" t="s">
        <v>753</v>
      </c>
      <c r="F2892" t="s">
        <v>754</v>
      </c>
      <c r="G2892" t="s">
        <v>972</v>
      </c>
      <c r="H2892">
        <v>8</v>
      </c>
      <c r="I2892">
        <v>15.75</v>
      </c>
      <c r="J2892">
        <v>27.75</v>
      </c>
      <c r="K2892">
        <v>12</v>
      </c>
      <c r="L2892">
        <v>6</v>
      </c>
      <c r="M2892">
        <v>0</v>
      </c>
      <c r="N2892">
        <v>2</v>
      </c>
      <c r="O2892" t="s">
        <v>127</v>
      </c>
      <c r="P2892" t="s">
        <v>127</v>
      </c>
      <c r="Q2892" t="s">
        <v>127</v>
      </c>
    </row>
    <row r="2893" spans="1:17" x14ac:dyDescent="0.25">
      <c r="A2893" t="str">
        <f>IF(C2893&amp;G2893&amp;D2893&lt;&gt;'Funnel setup'!$K$3&amp;'Funnel setup'!$K$4&amp;'Funnel setup'!$K$6,".",IF(A2892=".",1,A2892+1))</f>
        <v>.</v>
      </c>
      <c r="B2893" s="244" t="str">
        <f t="shared" si="45"/>
        <v>Knee Replacement RevisionSub-ICB of GP PracticeNHS BIRMINGHAM AND SOLIHULL ICB - 15E (15E)Oxford Knee Score</v>
      </c>
      <c r="C2893" t="s">
        <v>973</v>
      </c>
      <c r="D2893" t="s">
        <v>1021</v>
      </c>
      <c r="E2893" t="s">
        <v>755</v>
      </c>
      <c r="F2893" t="s">
        <v>756</v>
      </c>
      <c r="G2893" t="s">
        <v>972</v>
      </c>
      <c r="H2893">
        <v>12</v>
      </c>
      <c r="I2893">
        <v>15.5</v>
      </c>
      <c r="J2893">
        <v>23.833300000000001</v>
      </c>
      <c r="K2893">
        <v>8.3333300000000001</v>
      </c>
      <c r="L2893">
        <v>9</v>
      </c>
      <c r="M2893">
        <v>0</v>
      </c>
      <c r="N2893">
        <v>3</v>
      </c>
      <c r="O2893" t="s">
        <v>127</v>
      </c>
      <c r="P2893" t="s">
        <v>127</v>
      </c>
      <c r="Q2893" t="s">
        <v>127</v>
      </c>
    </row>
    <row r="2894" spans="1:17" x14ac:dyDescent="0.25">
      <c r="A2894" t="str">
        <f>IF(C2894&amp;G2894&amp;D2894&lt;&gt;'Funnel setup'!$K$3&amp;'Funnel setup'!$K$4&amp;'Funnel setup'!$K$6,".",IF(A2893=".",1,A2893+1))</f>
        <v>.</v>
      </c>
      <c r="B2894" s="244" t="str">
        <f t="shared" si="45"/>
        <v>Knee Replacement RevisionSub-ICB of GP PracticeNHS BLACK COUNTRY ICB - D2P2L (D2P2L)Oxford Knee Score</v>
      </c>
      <c r="C2894" t="s">
        <v>973</v>
      </c>
      <c r="D2894" t="s">
        <v>1021</v>
      </c>
      <c r="E2894" t="s">
        <v>757</v>
      </c>
      <c r="F2894" t="s">
        <v>758</v>
      </c>
      <c r="G2894" t="s">
        <v>972</v>
      </c>
      <c r="H2894">
        <v>18</v>
      </c>
      <c r="I2894">
        <v>15.5</v>
      </c>
      <c r="J2894">
        <v>27.833300000000001</v>
      </c>
      <c r="K2894">
        <v>12.333299999999999</v>
      </c>
      <c r="L2894">
        <v>15</v>
      </c>
      <c r="M2894">
        <v>0</v>
      </c>
      <c r="N2894">
        <v>3</v>
      </c>
      <c r="O2894" t="s">
        <v>127</v>
      </c>
      <c r="P2894" t="s">
        <v>127</v>
      </c>
      <c r="Q2894" t="s">
        <v>127</v>
      </c>
    </row>
    <row r="2895" spans="1:17" x14ac:dyDescent="0.25">
      <c r="A2895" t="str">
        <f>IF(C2895&amp;G2895&amp;D2895&lt;&gt;'Funnel setup'!$K$3&amp;'Funnel setup'!$K$4&amp;'Funnel setup'!$K$6,".",IF(A2894=".",1,A2894+1))</f>
        <v>.</v>
      </c>
      <c r="B2895" s="244" t="str">
        <f t="shared" si="45"/>
        <v>Knee Replacement RevisionSub-ICB of GP PracticeNHS BRISTOL, NORTH SOMERSET AND SOUTH GLOUCESTERSHIRE ICB - 15C (15C)Oxford Knee Score</v>
      </c>
      <c r="C2895" t="s">
        <v>973</v>
      </c>
      <c r="D2895" t="s">
        <v>1021</v>
      </c>
      <c r="E2895" t="s">
        <v>759</v>
      </c>
      <c r="F2895" t="s">
        <v>760</v>
      </c>
      <c r="G2895" t="s">
        <v>972</v>
      </c>
      <c r="H2895">
        <v>3</v>
      </c>
      <c r="I2895">
        <v>17</v>
      </c>
      <c r="J2895">
        <v>37.666699999999999</v>
      </c>
      <c r="K2895">
        <v>20.666699999999999</v>
      </c>
      <c r="L2895">
        <v>3</v>
      </c>
      <c r="M2895">
        <v>0</v>
      </c>
      <c r="N2895">
        <v>0</v>
      </c>
      <c r="O2895" t="s">
        <v>127</v>
      </c>
      <c r="P2895" t="s">
        <v>127</v>
      </c>
      <c r="Q2895" t="s">
        <v>127</v>
      </c>
    </row>
    <row r="2896" spans="1:17" x14ac:dyDescent="0.25">
      <c r="A2896" t="str">
        <f>IF(C2896&amp;G2896&amp;D2896&lt;&gt;'Funnel setup'!$K$3&amp;'Funnel setup'!$K$4&amp;'Funnel setup'!$K$6,".",IF(A2895=".",1,A2895+1))</f>
        <v>.</v>
      </c>
      <c r="B2896" s="244" t="str">
        <f t="shared" si="45"/>
        <v>Knee Replacement RevisionSub-ICB of GP PracticeNHS BUCKINGHAMSHIRE, OXFORDSHIRE AND BERKSHIRE WEST ICB - 10Q (10Q)Oxford Knee Score</v>
      </c>
      <c r="C2896" t="s">
        <v>973</v>
      </c>
      <c r="D2896" t="s">
        <v>1021</v>
      </c>
      <c r="E2896" t="s">
        <v>761</v>
      </c>
      <c r="F2896" t="s">
        <v>762</v>
      </c>
      <c r="G2896" t="s">
        <v>972</v>
      </c>
      <c r="H2896">
        <v>20</v>
      </c>
      <c r="I2896">
        <v>17.600000000000001</v>
      </c>
      <c r="J2896">
        <v>33.25</v>
      </c>
      <c r="K2896">
        <v>15.65</v>
      </c>
      <c r="L2896">
        <v>18</v>
      </c>
      <c r="M2896">
        <v>0</v>
      </c>
      <c r="N2896">
        <v>2</v>
      </c>
      <c r="O2896" t="s">
        <v>127</v>
      </c>
      <c r="P2896" t="s">
        <v>127</v>
      </c>
      <c r="Q2896" t="s">
        <v>127</v>
      </c>
    </row>
    <row r="2897" spans="1:17" x14ac:dyDescent="0.25">
      <c r="A2897" t="str">
        <f>IF(C2897&amp;G2897&amp;D2897&lt;&gt;'Funnel setup'!$K$3&amp;'Funnel setup'!$K$4&amp;'Funnel setup'!$K$6,".",IF(A2896=".",1,A2896+1))</f>
        <v>.</v>
      </c>
      <c r="B2897" s="244" t="str">
        <f t="shared" si="45"/>
        <v>Knee Replacement RevisionSub-ICB of GP PracticeNHS BUCKINGHAMSHIRE, OXFORDSHIRE AND BERKSHIRE WEST ICB - 14Y (14Y)Oxford Knee Score</v>
      </c>
      <c r="C2897" t="s">
        <v>973</v>
      </c>
      <c r="D2897" t="s">
        <v>1021</v>
      </c>
      <c r="E2897" t="s">
        <v>763</v>
      </c>
      <c r="F2897" t="s">
        <v>764</v>
      </c>
      <c r="G2897" t="s">
        <v>972</v>
      </c>
      <c r="H2897">
        <v>6</v>
      </c>
      <c r="I2897">
        <v>16.5</v>
      </c>
      <c r="J2897">
        <v>35</v>
      </c>
      <c r="K2897">
        <v>18.5</v>
      </c>
      <c r="L2897">
        <v>6</v>
      </c>
      <c r="M2897">
        <v>0</v>
      </c>
      <c r="N2897">
        <v>0</v>
      </c>
      <c r="O2897" t="s">
        <v>127</v>
      </c>
      <c r="P2897" t="s">
        <v>127</v>
      </c>
      <c r="Q2897" t="s">
        <v>127</v>
      </c>
    </row>
    <row r="2898" spans="1:17" x14ac:dyDescent="0.25">
      <c r="A2898" t="str">
        <f>IF(C2898&amp;G2898&amp;D2898&lt;&gt;'Funnel setup'!$K$3&amp;'Funnel setup'!$K$4&amp;'Funnel setup'!$K$6,".",IF(A2897=".",1,A2897+1))</f>
        <v>.</v>
      </c>
      <c r="B2898" s="244" t="str">
        <f t="shared" si="45"/>
        <v>Knee Replacement RevisionSub-ICB of GP PracticeNHS BUCKINGHAMSHIRE, OXFORDSHIRE AND BERKSHIRE WEST ICB - 15A (15A)Oxford Knee Score</v>
      </c>
      <c r="C2898" t="s">
        <v>973</v>
      </c>
      <c r="D2898" t="s">
        <v>1021</v>
      </c>
      <c r="E2898" t="s">
        <v>765</v>
      </c>
      <c r="F2898" t="s">
        <v>766</v>
      </c>
      <c r="G2898" t="s">
        <v>972</v>
      </c>
      <c r="H2898">
        <v>8</v>
      </c>
      <c r="I2898">
        <v>20.75</v>
      </c>
      <c r="J2898">
        <v>32.75</v>
      </c>
      <c r="K2898">
        <v>12</v>
      </c>
      <c r="L2898">
        <v>7</v>
      </c>
      <c r="M2898">
        <v>0</v>
      </c>
      <c r="N2898">
        <v>1</v>
      </c>
      <c r="O2898" t="s">
        <v>127</v>
      </c>
      <c r="P2898" t="s">
        <v>127</v>
      </c>
      <c r="Q2898" t="s">
        <v>127</v>
      </c>
    </row>
    <row r="2899" spans="1:17" x14ac:dyDescent="0.25">
      <c r="A2899" t="str">
        <f>IF(C2899&amp;G2899&amp;D2899&lt;&gt;'Funnel setup'!$K$3&amp;'Funnel setup'!$K$4&amp;'Funnel setup'!$K$6,".",IF(A2898=".",1,A2898+1))</f>
        <v>.</v>
      </c>
      <c r="B2899" s="244" t="str">
        <f t="shared" si="45"/>
        <v>Knee Replacement RevisionSub-ICB of GP PracticeNHS CAMBRIDGESHIRE AND PETERBOROUGH ICB - 06H (06H)Oxford Knee Score</v>
      </c>
      <c r="C2899" t="s">
        <v>973</v>
      </c>
      <c r="D2899" t="s">
        <v>1021</v>
      </c>
      <c r="E2899" t="s">
        <v>767</v>
      </c>
      <c r="F2899" t="s">
        <v>768</v>
      </c>
      <c r="G2899" t="s">
        <v>972</v>
      </c>
      <c r="H2899">
        <v>6</v>
      </c>
      <c r="I2899">
        <v>16.666699999999999</v>
      </c>
      <c r="J2899">
        <v>35.833300000000001</v>
      </c>
      <c r="K2899">
        <v>19.166699999999999</v>
      </c>
      <c r="L2899">
        <v>6</v>
      </c>
      <c r="M2899">
        <v>0</v>
      </c>
      <c r="N2899">
        <v>0</v>
      </c>
      <c r="O2899" t="s">
        <v>127</v>
      </c>
      <c r="P2899" t="s">
        <v>127</v>
      </c>
      <c r="Q2899" t="s">
        <v>127</v>
      </c>
    </row>
    <row r="2900" spans="1:17" x14ac:dyDescent="0.25">
      <c r="A2900" t="str">
        <f>IF(C2900&amp;G2900&amp;D2900&lt;&gt;'Funnel setup'!$K$3&amp;'Funnel setup'!$K$4&amp;'Funnel setup'!$K$6,".",IF(A2899=".",1,A2899+1))</f>
        <v>.</v>
      </c>
      <c r="B2900" s="244" t="str">
        <f t="shared" si="45"/>
        <v>Knee Replacement RevisionSub-ICB of GP PracticeNHS CHESHIRE AND MERSEYSIDE ICB - 01J (01J)Oxford Knee Score</v>
      </c>
      <c r="C2900" t="s">
        <v>973</v>
      </c>
      <c r="D2900" t="s">
        <v>1021</v>
      </c>
      <c r="E2900" t="s">
        <v>771</v>
      </c>
      <c r="F2900" t="s">
        <v>772</v>
      </c>
      <c r="G2900" t="s">
        <v>972</v>
      </c>
      <c r="H2900">
        <v>2</v>
      </c>
      <c r="I2900">
        <v>11.5</v>
      </c>
      <c r="J2900">
        <v>27</v>
      </c>
      <c r="K2900">
        <v>15.5</v>
      </c>
      <c r="L2900">
        <v>2</v>
      </c>
      <c r="M2900">
        <v>0</v>
      </c>
      <c r="N2900">
        <v>0</v>
      </c>
      <c r="O2900" t="s">
        <v>127</v>
      </c>
      <c r="P2900" t="s">
        <v>127</v>
      </c>
      <c r="Q2900" t="s">
        <v>127</v>
      </c>
    </row>
    <row r="2901" spans="1:17" x14ac:dyDescent="0.25">
      <c r="A2901" t="str">
        <f>IF(C2901&amp;G2901&amp;D2901&lt;&gt;'Funnel setup'!$K$3&amp;'Funnel setup'!$K$4&amp;'Funnel setup'!$K$6,".",IF(A2900=".",1,A2900+1))</f>
        <v>.</v>
      </c>
      <c r="B2901" s="244" t="str">
        <f t="shared" si="45"/>
        <v>Knee Replacement RevisionSub-ICB of GP PracticeNHS CHESHIRE AND MERSEYSIDE ICB - 01X (01X)Oxford Knee Score</v>
      </c>
      <c r="C2901" t="s">
        <v>973</v>
      </c>
      <c r="D2901" t="s">
        <v>1021</v>
      </c>
      <c r="E2901" t="s">
        <v>777</v>
      </c>
      <c r="F2901" t="s">
        <v>778</v>
      </c>
      <c r="G2901" t="s">
        <v>972</v>
      </c>
      <c r="H2901">
        <v>3</v>
      </c>
      <c r="I2901">
        <v>18.333300000000001</v>
      </c>
      <c r="J2901">
        <v>30.333300000000001</v>
      </c>
      <c r="K2901">
        <v>12</v>
      </c>
      <c r="L2901">
        <v>3</v>
      </c>
      <c r="M2901">
        <v>0</v>
      </c>
      <c r="N2901">
        <v>0</v>
      </c>
      <c r="O2901" t="s">
        <v>127</v>
      </c>
      <c r="P2901" t="s">
        <v>127</v>
      </c>
      <c r="Q2901" t="s">
        <v>127</v>
      </c>
    </row>
    <row r="2902" spans="1:17" x14ac:dyDescent="0.25">
      <c r="A2902" t="str">
        <f>IF(C2902&amp;G2902&amp;D2902&lt;&gt;'Funnel setup'!$K$3&amp;'Funnel setup'!$K$4&amp;'Funnel setup'!$K$6,".",IF(A2901=".",1,A2901+1))</f>
        <v>.</v>
      </c>
      <c r="B2902" s="244" t="str">
        <f t="shared" si="45"/>
        <v>Knee Replacement RevisionSub-ICB of GP PracticeNHS CHESHIRE AND MERSEYSIDE ICB - 12F (12F)Oxford Knee Score</v>
      </c>
      <c r="C2902" t="s">
        <v>973</v>
      </c>
      <c r="D2902" t="s">
        <v>1021</v>
      </c>
      <c r="E2902" t="s">
        <v>781</v>
      </c>
      <c r="F2902" t="s">
        <v>782</v>
      </c>
      <c r="G2902" t="s">
        <v>972</v>
      </c>
      <c r="H2902">
        <v>2</v>
      </c>
      <c r="I2902">
        <v>27.5</v>
      </c>
      <c r="J2902">
        <v>39</v>
      </c>
      <c r="K2902">
        <v>11.5</v>
      </c>
      <c r="L2902">
        <v>2</v>
      </c>
      <c r="M2902">
        <v>0</v>
      </c>
      <c r="N2902">
        <v>0</v>
      </c>
      <c r="O2902" t="s">
        <v>127</v>
      </c>
      <c r="P2902" t="s">
        <v>127</v>
      </c>
      <c r="Q2902" t="s">
        <v>127</v>
      </c>
    </row>
    <row r="2903" spans="1:17" x14ac:dyDescent="0.25">
      <c r="A2903" t="str">
        <f>IF(C2903&amp;G2903&amp;D2903&lt;&gt;'Funnel setup'!$K$3&amp;'Funnel setup'!$K$4&amp;'Funnel setup'!$K$6,".",IF(A2902=".",1,A2902+1))</f>
        <v>.</v>
      </c>
      <c r="B2903" s="244" t="str">
        <f t="shared" si="45"/>
        <v>Knee Replacement RevisionSub-ICB of GP PracticeNHS CHESHIRE AND MERSEYSIDE ICB - 27D (27D)Oxford Knee Score</v>
      </c>
      <c r="C2903" t="s">
        <v>973</v>
      </c>
      <c r="D2903" t="s">
        <v>1021</v>
      </c>
      <c r="E2903" t="s">
        <v>783</v>
      </c>
      <c r="F2903" t="s">
        <v>784</v>
      </c>
      <c r="G2903" t="s">
        <v>972</v>
      </c>
      <c r="H2903">
        <v>8</v>
      </c>
      <c r="I2903">
        <v>13.625</v>
      </c>
      <c r="J2903">
        <v>27</v>
      </c>
      <c r="K2903">
        <v>13.375</v>
      </c>
      <c r="L2903">
        <v>8</v>
      </c>
      <c r="M2903">
        <v>0</v>
      </c>
      <c r="N2903">
        <v>0</v>
      </c>
      <c r="O2903" t="s">
        <v>127</v>
      </c>
      <c r="P2903" t="s">
        <v>127</v>
      </c>
      <c r="Q2903" t="s">
        <v>127</v>
      </c>
    </row>
    <row r="2904" spans="1:17" x14ac:dyDescent="0.25">
      <c r="A2904" t="str">
        <f>IF(C2904&amp;G2904&amp;D2904&lt;&gt;'Funnel setup'!$K$3&amp;'Funnel setup'!$K$4&amp;'Funnel setup'!$K$6,".",IF(A2903=".",1,A2903+1))</f>
        <v>.</v>
      </c>
      <c r="B2904" s="244" t="str">
        <f t="shared" si="45"/>
        <v>Knee Replacement RevisionSub-ICB of GP PracticeNHS CHESHIRE AND MERSEYSIDE ICB - 99A (99A)Oxford Knee Score</v>
      </c>
      <c r="C2904" t="s">
        <v>973</v>
      </c>
      <c r="D2904" t="s">
        <v>1021</v>
      </c>
      <c r="E2904" t="s">
        <v>785</v>
      </c>
      <c r="F2904" t="s">
        <v>786</v>
      </c>
      <c r="G2904" t="s">
        <v>972</v>
      </c>
      <c r="H2904">
        <v>1</v>
      </c>
      <c r="I2904">
        <v>6</v>
      </c>
      <c r="J2904">
        <v>25</v>
      </c>
      <c r="K2904">
        <v>19</v>
      </c>
      <c r="L2904">
        <v>1</v>
      </c>
      <c r="M2904">
        <v>0</v>
      </c>
      <c r="N2904">
        <v>0</v>
      </c>
      <c r="O2904" t="s">
        <v>127</v>
      </c>
      <c r="P2904" t="s">
        <v>127</v>
      </c>
      <c r="Q2904" t="s">
        <v>127</v>
      </c>
    </row>
    <row r="2905" spans="1:17" x14ac:dyDescent="0.25">
      <c r="A2905" t="str">
        <f>IF(C2905&amp;G2905&amp;D2905&lt;&gt;'Funnel setup'!$K$3&amp;'Funnel setup'!$K$4&amp;'Funnel setup'!$K$6,".",IF(A2904=".",1,A2904+1))</f>
        <v>.</v>
      </c>
      <c r="B2905" s="244" t="str">
        <f t="shared" si="45"/>
        <v>Knee Replacement RevisionSub-ICB of GP PracticeNHS CORNWALL AND THE ISLES OF SCILLY ICB - 11N (11N)Oxford Knee Score</v>
      </c>
      <c r="C2905" t="s">
        <v>973</v>
      </c>
      <c r="D2905" t="s">
        <v>1021</v>
      </c>
      <c r="E2905" t="s">
        <v>787</v>
      </c>
      <c r="F2905" t="s">
        <v>788</v>
      </c>
      <c r="G2905" t="s">
        <v>972</v>
      </c>
      <c r="H2905">
        <v>11</v>
      </c>
      <c r="I2905">
        <v>21.2727</v>
      </c>
      <c r="J2905">
        <v>34.090899999999998</v>
      </c>
      <c r="K2905">
        <v>12.818199999999999</v>
      </c>
      <c r="L2905">
        <v>9</v>
      </c>
      <c r="M2905">
        <v>0</v>
      </c>
      <c r="N2905">
        <v>2</v>
      </c>
      <c r="O2905" t="s">
        <v>127</v>
      </c>
      <c r="P2905" t="s">
        <v>127</v>
      </c>
      <c r="Q2905" t="s">
        <v>127</v>
      </c>
    </row>
    <row r="2906" spans="1:17" x14ac:dyDescent="0.25">
      <c r="A2906" t="str">
        <f>IF(C2906&amp;G2906&amp;D2906&lt;&gt;'Funnel setup'!$K$3&amp;'Funnel setup'!$K$4&amp;'Funnel setup'!$K$6,".",IF(A2905=".",1,A2905+1))</f>
        <v>.</v>
      </c>
      <c r="B2906" s="244" t="str">
        <f t="shared" si="45"/>
        <v>Knee Replacement RevisionSub-ICB of GP PracticeNHS COVENTRY AND WARWICKSHIRE ICB - B2M3M (B2M3M)Oxford Knee Score</v>
      </c>
      <c r="C2906" t="s">
        <v>973</v>
      </c>
      <c r="D2906" t="s">
        <v>1021</v>
      </c>
      <c r="E2906" t="s">
        <v>789</v>
      </c>
      <c r="F2906" t="s">
        <v>790</v>
      </c>
      <c r="G2906" t="s">
        <v>972</v>
      </c>
      <c r="H2906">
        <v>14</v>
      </c>
      <c r="I2906">
        <v>16.071400000000001</v>
      </c>
      <c r="J2906">
        <v>35</v>
      </c>
      <c r="K2906">
        <v>18.928599999999999</v>
      </c>
      <c r="L2906">
        <v>12</v>
      </c>
      <c r="M2906">
        <v>0</v>
      </c>
      <c r="N2906">
        <v>2</v>
      </c>
      <c r="O2906" t="s">
        <v>127</v>
      </c>
      <c r="P2906" t="s">
        <v>127</v>
      </c>
      <c r="Q2906" t="s">
        <v>127</v>
      </c>
    </row>
    <row r="2907" spans="1:17" x14ac:dyDescent="0.25">
      <c r="A2907" t="str">
        <f>IF(C2907&amp;G2907&amp;D2907&lt;&gt;'Funnel setup'!$K$3&amp;'Funnel setup'!$K$4&amp;'Funnel setup'!$K$6,".",IF(A2906=".",1,A2906+1))</f>
        <v>.</v>
      </c>
      <c r="B2907" s="244" t="str">
        <f t="shared" si="45"/>
        <v>Knee Replacement RevisionSub-ICB of GP PracticeNHS DERBY AND DERBYSHIRE ICB - 15M (15M)Oxford Knee Score</v>
      </c>
      <c r="C2907" t="s">
        <v>973</v>
      </c>
      <c r="D2907" t="s">
        <v>1021</v>
      </c>
      <c r="E2907" t="s">
        <v>791</v>
      </c>
      <c r="F2907" t="s">
        <v>792</v>
      </c>
      <c r="G2907" t="s">
        <v>972</v>
      </c>
      <c r="H2907">
        <v>21</v>
      </c>
      <c r="I2907">
        <v>16.857099999999999</v>
      </c>
      <c r="J2907">
        <v>30</v>
      </c>
      <c r="K2907">
        <v>13.142899999999999</v>
      </c>
      <c r="L2907">
        <v>20</v>
      </c>
      <c r="M2907">
        <v>0</v>
      </c>
      <c r="N2907">
        <v>1</v>
      </c>
      <c r="O2907" t="s">
        <v>127</v>
      </c>
      <c r="P2907" t="s">
        <v>127</v>
      </c>
      <c r="Q2907" t="s">
        <v>127</v>
      </c>
    </row>
    <row r="2908" spans="1:17" x14ac:dyDescent="0.25">
      <c r="A2908" t="str">
        <f>IF(C2908&amp;G2908&amp;D2908&lt;&gt;'Funnel setup'!$K$3&amp;'Funnel setup'!$K$4&amp;'Funnel setup'!$K$6,".",IF(A2907=".",1,A2907+1))</f>
        <v>.</v>
      </c>
      <c r="B2908" s="244" t="str">
        <f t="shared" si="45"/>
        <v>Knee Replacement RevisionSub-ICB of GP PracticeNHS DEVON ICB - 15N (15N)Oxford Knee Score</v>
      </c>
      <c r="C2908" t="s">
        <v>973</v>
      </c>
      <c r="D2908" t="s">
        <v>1021</v>
      </c>
      <c r="E2908" t="s">
        <v>793</v>
      </c>
      <c r="F2908" t="s">
        <v>794</v>
      </c>
      <c r="G2908" t="s">
        <v>972</v>
      </c>
      <c r="H2908">
        <v>12</v>
      </c>
      <c r="I2908">
        <v>17.333300000000001</v>
      </c>
      <c r="J2908">
        <v>28.083300000000001</v>
      </c>
      <c r="K2908">
        <v>10.75</v>
      </c>
      <c r="L2908">
        <v>10</v>
      </c>
      <c r="M2908">
        <v>0</v>
      </c>
      <c r="N2908">
        <v>2</v>
      </c>
      <c r="O2908" t="s">
        <v>127</v>
      </c>
      <c r="P2908" t="s">
        <v>127</v>
      </c>
      <c r="Q2908" t="s">
        <v>127</v>
      </c>
    </row>
    <row r="2909" spans="1:17" x14ac:dyDescent="0.25">
      <c r="A2909" t="str">
        <f>IF(C2909&amp;G2909&amp;D2909&lt;&gt;'Funnel setup'!$K$3&amp;'Funnel setup'!$K$4&amp;'Funnel setup'!$K$6,".",IF(A2908=".",1,A2908+1))</f>
        <v>.</v>
      </c>
      <c r="B2909" s="244" t="str">
        <f t="shared" si="45"/>
        <v>Knee Replacement RevisionSub-ICB of GP PracticeNHS DORSET ICB - 11J (11J)Oxford Knee Score</v>
      </c>
      <c r="C2909" t="s">
        <v>973</v>
      </c>
      <c r="D2909" t="s">
        <v>1021</v>
      </c>
      <c r="E2909" t="s">
        <v>795</v>
      </c>
      <c r="F2909" t="s">
        <v>796</v>
      </c>
      <c r="G2909" t="s">
        <v>972</v>
      </c>
      <c r="H2909">
        <v>16</v>
      </c>
      <c r="I2909">
        <v>16.125</v>
      </c>
      <c r="J2909">
        <v>29.875</v>
      </c>
      <c r="K2909">
        <v>13.75</v>
      </c>
      <c r="L2909">
        <v>14</v>
      </c>
      <c r="M2909">
        <v>0</v>
      </c>
      <c r="N2909">
        <v>2</v>
      </c>
      <c r="O2909" t="s">
        <v>127</v>
      </c>
      <c r="P2909" t="s">
        <v>127</v>
      </c>
      <c r="Q2909" t="s">
        <v>127</v>
      </c>
    </row>
    <row r="2910" spans="1:17" x14ac:dyDescent="0.25">
      <c r="A2910" t="str">
        <f>IF(C2910&amp;G2910&amp;D2910&lt;&gt;'Funnel setup'!$K$3&amp;'Funnel setup'!$K$4&amp;'Funnel setup'!$K$6,".",IF(A2909=".",1,A2909+1))</f>
        <v>.</v>
      </c>
      <c r="B2910" s="244" t="str">
        <f t="shared" si="45"/>
        <v>Knee Replacement RevisionSub-ICB of GP PracticeNHS FRIMLEY ICB - D4U1Y (D4U1Y)Oxford Knee Score</v>
      </c>
      <c r="C2910" t="s">
        <v>973</v>
      </c>
      <c r="D2910" t="s">
        <v>1021</v>
      </c>
      <c r="E2910" t="s">
        <v>797</v>
      </c>
      <c r="F2910" t="s">
        <v>798</v>
      </c>
      <c r="G2910" t="s">
        <v>972</v>
      </c>
      <c r="H2910">
        <v>8</v>
      </c>
      <c r="I2910">
        <v>20.625</v>
      </c>
      <c r="J2910">
        <v>30.375</v>
      </c>
      <c r="K2910">
        <v>9.75</v>
      </c>
      <c r="L2910">
        <v>6</v>
      </c>
      <c r="M2910">
        <v>0</v>
      </c>
      <c r="N2910">
        <v>2</v>
      </c>
      <c r="O2910" t="s">
        <v>127</v>
      </c>
      <c r="P2910" t="s">
        <v>127</v>
      </c>
      <c r="Q2910" t="s">
        <v>127</v>
      </c>
    </row>
    <row r="2911" spans="1:17" x14ac:dyDescent="0.25">
      <c r="A2911" t="str">
        <f>IF(C2911&amp;G2911&amp;D2911&lt;&gt;'Funnel setup'!$K$3&amp;'Funnel setup'!$K$4&amp;'Funnel setup'!$K$6,".",IF(A2910=".",1,A2910+1))</f>
        <v>.</v>
      </c>
      <c r="B2911" s="244" t="str">
        <f t="shared" si="45"/>
        <v>Knee Replacement RevisionSub-ICB of GP PracticeNHS GLOUCESTERSHIRE ICB - 11M (11M)Oxford Knee Score</v>
      </c>
      <c r="C2911" t="s">
        <v>973</v>
      </c>
      <c r="D2911" t="s">
        <v>1021</v>
      </c>
      <c r="E2911" t="s">
        <v>799</v>
      </c>
      <c r="F2911" t="s">
        <v>800</v>
      </c>
      <c r="G2911" t="s">
        <v>972</v>
      </c>
      <c r="H2911">
        <v>4</v>
      </c>
      <c r="I2911">
        <v>16</v>
      </c>
      <c r="J2911">
        <v>37.75</v>
      </c>
      <c r="K2911">
        <v>21.75</v>
      </c>
      <c r="L2911">
        <v>4</v>
      </c>
      <c r="M2911">
        <v>0</v>
      </c>
      <c r="N2911">
        <v>0</v>
      </c>
      <c r="O2911" t="s">
        <v>127</v>
      </c>
      <c r="P2911" t="s">
        <v>127</v>
      </c>
      <c r="Q2911" t="s">
        <v>127</v>
      </c>
    </row>
    <row r="2912" spans="1:17" x14ac:dyDescent="0.25">
      <c r="A2912" t="str">
        <f>IF(C2912&amp;G2912&amp;D2912&lt;&gt;'Funnel setup'!$K$3&amp;'Funnel setup'!$K$4&amp;'Funnel setup'!$K$6,".",IF(A2911=".",1,A2911+1))</f>
        <v>.</v>
      </c>
      <c r="B2912" s="244" t="str">
        <f t="shared" si="45"/>
        <v>Knee Replacement RevisionSub-ICB of GP PracticeNHS GREATER MANCHESTER ICB - 00T (00T)Oxford Knee Score</v>
      </c>
      <c r="C2912" t="s">
        <v>973</v>
      </c>
      <c r="D2912" t="s">
        <v>1021</v>
      </c>
      <c r="E2912" t="s">
        <v>801</v>
      </c>
      <c r="F2912" t="s">
        <v>802</v>
      </c>
      <c r="G2912" t="s">
        <v>972</v>
      </c>
      <c r="H2912">
        <v>4</v>
      </c>
      <c r="I2912">
        <v>24.5</v>
      </c>
      <c r="J2912">
        <v>35.25</v>
      </c>
      <c r="K2912">
        <v>10.75</v>
      </c>
      <c r="L2912">
        <v>4</v>
      </c>
      <c r="M2912">
        <v>0</v>
      </c>
      <c r="N2912">
        <v>0</v>
      </c>
      <c r="O2912" t="s">
        <v>127</v>
      </c>
      <c r="P2912" t="s">
        <v>127</v>
      </c>
      <c r="Q2912" t="s">
        <v>127</v>
      </c>
    </row>
    <row r="2913" spans="1:17" x14ac:dyDescent="0.25">
      <c r="A2913" t="str">
        <f>IF(C2913&amp;G2913&amp;D2913&lt;&gt;'Funnel setup'!$K$3&amp;'Funnel setup'!$K$4&amp;'Funnel setup'!$K$6,".",IF(A2912=".",1,A2912+1))</f>
        <v>.</v>
      </c>
      <c r="B2913" s="244" t="str">
        <f t="shared" si="45"/>
        <v>Knee Replacement RevisionSub-ICB of GP PracticeNHS GREATER MANCHESTER ICB - 00V (00V)Oxford Knee Score</v>
      </c>
      <c r="C2913" t="s">
        <v>973</v>
      </c>
      <c r="D2913" t="s">
        <v>1021</v>
      </c>
      <c r="E2913" t="s">
        <v>803</v>
      </c>
      <c r="F2913" t="s">
        <v>804</v>
      </c>
      <c r="G2913" t="s">
        <v>972</v>
      </c>
      <c r="H2913">
        <v>1</v>
      </c>
      <c r="I2913">
        <v>17</v>
      </c>
      <c r="J2913">
        <v>24</v>
      </c>
      <c r="K2913">
        <v>7</v>
      </c>
      <c r="L2913">
        <v>1</v>
      </c>
      <c r="M2913">
        <v>0</v>
      </c>
      <c r="N2913">
        <v>0</v>
      </c>
      <c r="O2913" t="s">
        <v>127</v>
      </c>
      <c r="P2913" t="s">
        <v>127</v>
      </c>
      <c r="Q2913" t="s">
        <v>127</v>
      </c>
    </row>
    <row r="2914" spans="1:17" x14ac:dyDescent="0.25">
      <c r="A2914" t="str">
        <f>IF(C2914&amp;G2914&amp;D2914&lt;&gt;'Funnel setup'!$K$3&amp;'Funnel setup'!$K$4&amp;'Funnel setup'!$K$6,".",IF(A2913=".",1,A2913+1))</f>
        <v>.</v>
      </c>
      <c r="B2914" s="244" t="str">
        <f t="shared" si="45"/>
        <v>Knee Replacement RevisionSub-ICB of GP PracticeNHS GREATER MANCHESTER ICB - 01W (01W)Oxford Knee Score</v>
      </c>
      <c r="C2914" t="s">
        <v>973</v>
      </c>
      <c r="D2914" t="s">
        <v>1021</v>
      </c>
      <c r="E2914" t="s">
        <v>811</v>
      </c>
      <c r="F2914" t="s">
        <v>812</v>
      </c>
      <c r="G2914" t="s">
        <v>972</v>
      </c>
      <c r="H2914">
        <v>3</v>
      </c>
      <c r="I2914">
        <v>10</v>
      </c>
      <c r="J2914">
        <v>32.666699999999999</v>
      </c>
      <c r="K2914">
        <v>22.666699999999999</v>
      </c>
      <c r="L2914">
        <v>3</v>
      </c>
      <c r="M2914">
        <v>0</v>
      </c>
      <c r="N2914">
        <v>0</v>
      </c>
      <c r="O2914" t="s">
        <v>127</v>
      </c>
      <c r="P2914" t="s">
        <v>127</v>
      </c>
      <c r="Q2914" t="s">
        <v>127</v>
      </c>
    </row>
    <row r="2915" spans="1:17" x14ac:dyDescent="0.25">
      <c r="A2915" t="str">
        <f>IF(C2915&amp;G2915&amp;D2915&lt;&gt;'Funnel setup'!$K$3&amp;'Funnel setup'!$K$4&amp;'Funnel setup'!$K$6,".",IF(A2914=".",1,A2914+1))</f>
        <v>.</v>
      </c>
      <c r="B2915" s="244" t="str">
        <f t="shared" si="45"/>
        <v>Knee Replacement RevisionSub-ICB of GP PracticeNHS GREATER MANCHESTER ICB - 02A (02A)Oxford Knee Score</v>
      </c>
      <c r="C2915" t="s">
        <v>973</v>
      </c>
      <c r="D2915" t="s">
        <v>1021</v>
      </c>
      <c r="E2915" t="s">
        <v>815</v>
      </c>
      <c r="F2915" t="s">
        <v>816</v>
      </c>
      <c r="G2915" t="s">
        <v>972</v>
      </c>
      <c r="H2915">
        <v>3</v>
      </c>
      <c r="I2915">
        <v>15</v>
      </c>
      <c r="J2915">
        <v>28.666699999999999</v>
      </c>
      <c r="K2915">
        <v>13.666700000000001</v>
      </c>
      <c r="L2915">
        <v>3</v>
      </c>
      <c r="M2915">
        <v>0</v>
      </c>
      <c r="N2915">
        <v>0</v>
      </c>
      <c r="O2915" t="s">
        <v>127</v>
      </c>
      <c r="P2915" t="s">
        <v>127</v>
      </c>
      <c r="Q2915" t="s">
        <v>127</v>
      </c>
    </row>
    <row r="2916" spans="1:17" x14ac:dyDescent="0.25">
      <c r="A2916" t="str">
        <f>IF(C2916&amp;G2916&amp;D2916&lt;&gt;'Funnel setup'!$K$3&amp;'Funnel setup'!$K$4&amp;'Funnel setup'!$K$6,".",IF(A2915=".",1,A2915+1))</f>
        <v>.</v>
      </c>
      <c r="B2916" s="244" t="str">
        <f t="shared" si="45"/>
        <v>Knee Replacement RevisionSub-ICB of GP PracticeNHS GREATER MANCHESTER ICB - 02H (02H)Oxford Knee Score</v>
      </c>
      <c r="C2916" t="s">
        <v>973</v>
      </c>
      <c r="D2916" t="s">
        <v>1021</v>
      </c>
      <c r="E2916" t="s">
        <v>817</v>
      </c>
      <c r="F2916" t="s">
        <v>818</v>
      </c>
      <c r="G2916" t="s">
        <v>972</v>
      </c>
      <c r="H2916">
        <v>1</v>
      </c>
      <c r="I2916">
        <v>12</v>
      </c>
      <c r="J2916">
        <v>33</v>
      </c>
      <c r="K2916">
        <v>21</v>
      </c>
      <c r="L2916">
        <v>1</v>
      </c>
      <c r="M2916">
        <v>0</v>
      </c>
      <c r="N2916">
        <v>0</v>
      </c>
      <c r="O2916" t="s">
        <v>127</v>
      </c>
      <c r="P2916" t="s">
        <v>127</v>
      </c>
      <c r="Q2916" t="s">
        <v>127</v>
      </c>
    </row>
    <row r="2917" spans="1:17" x14ac:dyDescent="0.25">
      <c r="A2917" t="str">
        <f>IF(C2917&amp;G2917&amp;D2917&lt;&gt;'Funnel setup'!$K$3&amp;'Funnel setup'!$K$4&amp;'Funnel setup'!$K$6,".",IF(A2916=".",1,A2916+1))</f>
        <v>.</v>
      </c>
      <c r="B2917" s="244" t="str">
        <f t="shared" si="45"/>
        <v>Knee Replacement RevisionSub-ICB of GP PracticeNHS GREATER MANCHESTER ICB - 14L (14L)Oxford Knee Score</v>
      </c>
      <c r="C2917" t="s">
        <v>973</v>
      </c>
      <c r="D2917" t="s">
        <v>1021</v>
      </c>
      <c r="E2917" t="s">
        <v>819</v>
      </c>
      <c r="F2917" t="s">
        <v>820</v>
      </c>
      <c r="G2917" t="s">
        <v>972</v>
      </c>
      <c r="H2917">
        <v>2</v>
      </c>
      <c r="I2917">
        <v>11</v>
      </c>
      <c r="J2917">
        <v>17</v>
      </c>
      <c r="K2917">
        <v>6</v>
      </c>
      <c r="L2917">
        <v>1</v>
      </c>
      <c r="M2917">
        <v>0</v>
      </c>
      <c r="N2917">
        <v>1</v>
      </c>
      <c r="O2917" t="s">
        <v>127</v>
      </c>
      <c r="P2917" t="s">
        <v>127</v>
      </c>
      <c r="Q2917" t="s">
        <v>127</v>
      </c>
    </row>
    <row r="2918" spans="1:17" x14ac:dyDescent="0.25">
      <c r="A2918" t="str">
        <f>IF(C2918&amp;G2918&amp;D2918&lt;&gt;'Funnel setup'!$K$3&amp;'Funnel setup'!$K$4&amp;'Funnel setup'!$K$6,".",IF(A2917=".",1,A2917+1))</f>
        <v>.</v>
      </c>
      <c r="B2918" s="244" t="str">
        <f t="shared" si="45"/>
        <v>Knee Replacement RevisionSub-ICB of GP PracticeNHS HAMPSHIRE AND ISLE OF WIGHT ICB - 10R (10R)Oxford Knee Score</v>
      </c>
      <c r="C2918" t="s">
        <v>973</v>
      </c>
      <c r="D2918" t="s">
        <v>1021</v>
      </c>
      <c r="E2918" t="s">
        <v>821</v>
      </c>
      <c r="F2918" t="s">
        <v>822</v>
      </c>
      <c r="G2918" t="s">
        <v>972</v>
      </c>
      <c r="H2918">
        <v>1</v>
      </c>
      <c r="I2918">
        <v>20</v>
      </c>
      <c r="J2918">
        <v>30</v>
      </c>
      <c r="K2918">
        <v>10</v>
      </c>
      <c r="L2918">
        <v>1</v>
      </c>
      <c r="M2918">
        <v>0</v>
      </c>
      <c r="N2918">
        <v>0</v>
      </c>
      <c r="O2918" t="s">
        <v>127</v>
      </c>
      <c r="P2918" t="s">
        <v>127</v>
      </c>
      <c r="Q2918" t="s">
        <v>127</v>
      </c>
    </row>
    <row r="2919" spans="1:17" x14ac:dyDescent="0.25">
      <c r="A2919" t="str">
        <f>IF(C2919&amp;G2919&amp;D2919&lt;&gt;'Funnel setup'!$K$3&amp;'Funnel setup'!$K$4&amp;'Funnel setup'!$K$6,".",IF(A2918=".",1,A2918+1))</f>
        <v>.</v>
      </c>
      <c r="B2919" s="244" t="str">
        <f t="shared" si="45"/>
        <v>Knee Replacement RevisionSub-ICB of GP PracticeNHS HAMPSHIRE AND ISLE OF WIGHT ICB - D9Y0V (D9Y0V)Oxford Knee Score</v>
      </c>
      <c r="C2919" t="s">
        <v>973</v>
      </c>
      <c r="D2919" t="s">
        <v>1021</v>
      </c>
      <c r="E2919" t="s">
        <v>823</v>
      </c>
      <c r="F2919" t="s">
        <v>824</v>
      </c>
      <c r="G2919" t="s">
        <v>972</v>
      </c>
      <c r="H2919">
        <v>29</v>
      </c>
      <c r="I2919">
        <v>17.4483</v>
      </c>
      <c r="J2919">
        <v>32.793100000000003</v>
      </c>
      <c r="K2919">
        <v>15.344799999999999</v>
      </c>
      <c r="L2919">
        <v>26</v>
      </c>
      <c r="M2919">
        <v>1</v>
      </c>
      <c r="N2919">
        <v>2</v>
      </c>
      <c r="O2919" t="s">
        <v>127</v>
      </c>
      <c r="P2919" t="s">
        <v>127</v>
      </c>
      <c r="Q2919" t="s">
        <v>127</v>
      </c>
    </row>
    <row r="2920" spans="1:17" x14ac:dyDescent="0.25">
      <c r="A2920" t="str">
        <f>IF(C2920&amp;G2920&amp;D2920&lt;&gt;'Funnel setup'!$K$3&amp;'Funnel setup'!$K$4&amp;'Funnel setup'!$K$6,".",IF(A2919=".",1,A2919+1))</f>
        <v>.</v>
      </c>
      <c r="B2920" s="244" t="str">
        <f t="shared" si="45"/>
        <v>Knee Replacement RevisionSub-ICB of GP PracticeNHS HEREFORDSHIRE AND WORCESTERSHIRE ICB - 18C (18C)Oxford Knee Score</v>
      </c>
      <c r="C2920" t="s">
        <v>973</v>
      </c>
      <c r="D2920" t="s">
        <v>1021</v>
      </c>
      <c r="E2920" t="s">
        <v>825</v>
      </c>
      <c r="F2920" t="s">
        <v>826</v>
      </c>
      <c r="G2920" t="s">
        <v>972</v>
      </c>
      <c r="H2920">
        <v>13</v>
      </c>
      <c r="I2920">
        <v>17.692299999999999</v>
      </c>
      <c r="J2920">
        <v>33.692300000000003</v>
      </c>
      <c r="K2920">
        <v>16</v>
      </c>
      <c r="L2920">
        <v>12</v>
      </c>
      <c r="M2920">
        <v>1</v>
      </c>
      <c r="N2920">
        <v>0</v>
      </c>
      <c r="O2920" t="s">
        <v>127</v>
      </c>
      <c r="P2920" t="s">
        <v>127</v>
      </c>
      <c r="Q2920" t="s">
        <v>127</v>
      </c>
    </row>
    <row r="2921" spans="1:17" x14ac:dyDescent="0.25">
      <c r="A2921" t="str">
        <f>IF(C2921&amp;G2921&amp;D2921&lt;&gt;'Funnel setup'!$K$3&amp;'Funnel setup'!$K$4&amp;'Funnel setup'!$K$6,".",IF(A2920=".",1,A2920+1))</f>
        <v>.</v>
      </c>
      <c r="B2921" s="244" t="str">
        <f t="shared" si="45"/>
        <v>Knee Replacement RevisionSub-ICB of GP PracticeNHS HERTFORDSHIRE AND WEST ESSEX ICB - 06K (06K)Oxford Knee Score</v>
      </c>
      <c r="C2921" t="s">
        <v>973</v>
      </c>
      <c r="D2921" t="s">
        <v>1021</v>
      </c>
      <c r="E2921" t="s">
        <v>827</v>
      </c>
      <c r="F2921" t="s">
        <v>828</v>
      </c>
      <c r="G2921" t="s">
        <v>972</v>
      </c>
      <c r="H2921">
        <v>3</v>
      </c>
      <c r="I2921">
        <v>18.666699999999999</v>
      </c>
      <c r="J2921">
        <v>40.333300000000001</v>
      </c>
      <c r="K2921">
        <v>21.666699999999999</v>
      </c>
      <c r="L2921">
        <v>3</v>
      </c>
      <c r="M2921">
        <v>0</v>
      </c>
      <c r="N2921">
        <v>0</v>
      </c>
      <c r="O2921" t="s">
        <v>127</v>
      </c>
      <c r="P2921" t="s">
        <v>127</v>
      </c>
      <c r="Q2921" t="s">
        <v>127</v>
      </c>
    </row>
    <row r="2922" spans="1:17" x14ac:dyDescent="0.25">
      <c r="A2922" t="str">
        <f>IF(C2922&amp;G2922&amp;D2922&lt;&gt;'Funnel setup'!$K$3&amp;'Funnel setup'!$K$4&amp;'Funnel setup'!$K$6,".",IF(A2921=".",1,A2921+1))</f>
        <v>.</v>
      </c>
      <c r="B2922" s="244" t="str">
        <f t="shared" si="45"/>
        <v>Knee Replacement RevisionSub-ICB of GP PracticeNHS HERTFORDSHIRE AND WEST ESSEX ICB - 06N (06N)Oxford Knee Score</v>
      </c>
      <c r="C2922" t="s">
        <v>973</v>
      </c>
      <c r="D2922" t="s">
        <v>1021</v>
      </c>
      <c r="E2922" t="s">
        <v>829</v>
      </c>
      <c r="F2922" t="s">
        <v>830</v>
      </c>
      <c r="G2922" t="s">
        <v>972</v>
      </c>
      <c r="H2922">
        <v>11</v>
      </c>
      <c r="I2922">
        <v>15.0909</v>
      </c>
      <c r="J2922">
        <v>25.636399999999998</v>
      </c>
      <c r="K2922">
        <v>10.545500000000001</v>
      </c>
      <c r="L2922">
        <v>9</v>
      </c>
      <c r="M2922">
        <v>1</v>
      </c>
      <c r="N2922">
        <v>1</v>
      </c>
      <c r="O2922" t="s">
        <v>127</v>
      </c>
      <c r="P2922" t="s">
        <v>127</v>
      </c>
      <c r="Q2922" t="s">
        <v>127</v>
      </c>
    </row>
    <row r="2923" spans="1:17" x14ac:dyDescent="0.25">
      <c r="A2923" t="str">
        <f>IF(C2923&amp;G2923&amp;D2923&lt;&gt;'Funnel setup'!$K$3&amp;'Funnel setup'!$K$4&amp;'Funnel setup'!$K$6,".",IF(A2922=".",1,A2922+1))</f>
        <v>.</v>
      </c>
      <c r="B2923" s="244" t="str">
        <f t="shared" si="45"/>
        <v>Knee Replacement RevisionSub-ICB of GP PracticeNHS HERTFORDSHIRE AND WEST ESSEX ICB - 07H (07H)Oxford Knee Score</v>
      </c>
      <c r="C2923" t="s">
        <v>973</v>
      </c>
      <c r="D2923" t="s">
        <v>1021</v>
      </c>
      <c r="E2923" t="s">
        <v>831</v>
      </c>
      <c r="F2923" t="s">
        <v>832</v>
      </c>
      <c r="G2923" t="s">
        <v>972</v>
      </c>
      <c r="H2923">
        <v>1</v>
      </c>
      <c r="I2923">
        <v>6</v>
      </c>
      <c r="J2923">
        <v>19</v>
      </c>
      <c r="K2923">
        <v>13</v>
      </c>
      <c r="L2923">
        <v>1</v>
      </c>
      <c r="M2923">
        <v>0</v>
      </c>
      <c r="N2923">
        <v>0</v>
      </c>
      <c r="O2923" t="s">
        <v>127</v>
      </c>
      <c r="P2923" t="s">
        <v>127</v>
      </c>
      <c r="Q2923" t="s">
        <v>127</v>
      </c>
    </row>
    <row r="2924" spans="1:17" x14ac:dyDescent="0.25">
      <c r="A2924" t="str">
        <f>IF(C2924&amp;G2924&amp;D2924&lt;&gt;'Funnel setup'!$K$3&amp;'Funnel setup'!$K$4&amp;'Funnel setup'!$K$6,".",IF(A2923=".",1,A2923+1))</f>
        <v>.</v>
      </c>
      <c r="B2924" s="244" t="str">
        <f t="shared" si="45"/>
        <v>Knee Replacement RevisionSub-ICB of GP PracticeNHS HUMBER AND NORTH YORKSHIRE ICB - 02Y (02Y)Oxford Knee Score</v>
      </c>
      <c r="C2924" t="s">
        <v>973</v>
      </c>
      <c r="D2924" t="s">
        <v>1021</v>
      </c>
      <c r="E2924" t="s">
        <v>833</v>
      </c>
      <c r="F2924" t="s">
        <v>834</v>
      </c>
      <c r="G2924" t="s">
        <v>972</v>
      </c>
      <c r="H2924">
        <v>3</v>
      </c>
      <c r="I2924">
        <v>19.333300000000001</v>
      </c>
      <c r="J2924">
        <v>20.333300000000001</v>
      </c>
      <c r="K2924">
        <v>1</v>
      </c>
      <c r="L2924">
        <v>2</v>
      </c>
      <c r="M2924">
        <v>0</v>
      </c>
      <c r="N2924">
        <v>1</v>
      </c>
      <c r="O2924" t="s">
        <v>127</v>
      </c>
      <c r="P2924" t="s">
        <v>127</v>
      </c>
      <c r="Q2924" t="s">
        <v>127</v>
      </c>
    </row>
    <row r="2925" spans="1:17" x14ac:dyDescent="0.25">
      <c r="A2925" t="str">
        <f>IF(C2925&amp;G2925&amp;D2925&lt;&gt;'Funnel setup'!$K$3&amp;'Funnel setup'!$K$4&amp;'Funnel setup'!$K$6,".",IF(A2924=".",1,A2924+1))</f>
        <v>.</v>
      </c>
      <c r="B2925" s="244" t="str">
        <f t="shared" si="45"/>
        <v>Knee Replacement RevisionSub-ICB of GP PracticeNHS HUMBER AND NORTH YORKSHIRE ICB - 03F (03F)Oxford Knee Score</v>
      </c>
      <c r="C2925" t="s">
        <v>973</v>
      </c>
      <c r="D2925" t="s">
        <v>1021</v>
      </c>
      <c r="E2925" t="s">
        <v>835</v>
      </c>
      <c r="F2925" t="s">
        <v>836</v>
      </c>
      <c r="G2925" t="s">
        <v>972</v>
      </c>
      <c r="H2925">
        <v>1</v>
      </c>
      <c r="I2925">
        <v>10</v>
      </c>
      <c r="J2925">
        <v>11</v>
      </c>
      <c r="K2925">
        <v>1</v>
      </c>
      <c r="L2925">
        <v>1</v>
      </c>
      <c r="M2925">
        <v>0</v>
      </c>
      <c r="N2925">
        <v>0</v>
      </c>
      <c r="O2925" t="s">
        <v>127</v>
      </c>
      <c r="P2925" t="s">
        <v>127</v>
      </c>
      <c r="Q2925" t="s">
        <v>127</v>
      </c>
    </row>
    <row r="2926" spans="1:17" x14ac:dyDescent="0.25">
      <c r="A2926" t="str">
        <f>IF(C2926&amp;G2926&amp;D2926&lt;&gt;'Funnel setup'!$K$3&amp;'Funnel setup'!$K$4&amp;'Funnel setup'!$K$6,".",IF(A2925=".",1,A2925+1))</f>
        <v>.</v>
      </c>
      <c r="B2926" s="244" t="str">
        <f t="shared" si="45"/>
        <v>Knee Replacement RevisionSub-ICB of GP PracticeNHS HUMBER AND NORTH YORKSHIRE ICB - 03H (03H)Oxford Knee Score</v>
      </c>
      <c r="C2926" t="s">
        <v>973</v>
      </c>
      <c r="D2926" t="s">
        <v>1021</v>
      </c>
      <c r="E2926" t="s">
        <v>837</v>
      </c>
      <c r="F2926" t="s">
        <v>838</v>
      </c>
      <c r="G2926" t="s">
        <v>972</v>
      </c>
      <c r="H2926">
        <v>2</v>
      </c>
      <c r="I2926">
        <v>13</v>
      </c>
      <c r="J2926">
        <v>28</v>
      </c>
      <c r="K2926">
        <v>15</v>
      </c>
      <c r="L2926">
        <v>2</v>
      </c>
      <c r="M2926">
        <v>0</v>
      </c>
      <c r="N2926">
        <v>0</v>
      </c>
      <c r="O2926" t="s">
        <v>127</v>
      </c>
      <c r="P2926" t="s">
        <v>127</v>
      </c>
      <c r="Q2926" t="s">
        <v>127</v>
      </c>
    </row>
    <row r="2927" spans="1:17" x14ac:dyDescent="0.25">
      <c r="A2927" t="str">
        <f>IF(C2927&amp;G2927&amp;D2927&lt;&gt;'Funnel setup'!$K$3&amp;'Funnel setup'!$K$4&amp;'Funnel setup'!$K$6,".",IF(A2926=".",1,A2926+1))</f>
        <v>.</v>
      </c>
      <c r="B2927" s="244" t="str">
        <f t="shared" si="45"/>
        <v>Knee Replacement RevisionSub-ICB of GP PracticeNHS HUMBER AND NORTH YORKSHIRE ICB - 03K (03K)Oxford Knee Score</v>
      </c>
      <c r="C2927" t="s">
        <v>973</v>
      </c>
      <c r="D2927" t="s">
        <v>1021</v>
      </c>
      <c r="E2927" t="s">
        <v>839</v>
      </c>
      <c r="F2927" t="s">
        <v>840</v>
      </c>
      <c r="G2927" t="s">
        <v>972</v>
      </c>
      <c r="H2927">
        <v>3</v>
      </c>
      <c r="I2927">
        <v>17.333300000000001</v>
      </c>
      <c r="J2927">
        <v>25.333300000000001</v>
      </c>
      <c r="K2927">
        <v>8</v>
      </c>
      <c r="L2927">
        <v>3</v>
      </c>
      <c r="M2927">
        <v>0</v>
      </c>
      <c r="N2927">
        <v>0</v>
      </c>
      <c r="O2927" t="s">
        <v>127</v>
      </c>
      <c r="P2927" t="s">
        <v>127</v>
      </c>
      <c r="Q2927" t="s">
        <v>127</v>
      </c>
    </row>
    <row r="2928" spans="1:17" x14ac:dyDescent="0.25">
      <c r="A2928" t="str">
        <f>IF(C2928&amp;G2928&amp;D2928&lt;&gt;'Funnel setup'!$K$3&amp;'Funnel setup'!$K$4&amp;'Funnel setup'!$K$6,".",IF(A2927=".",1,A2927+1))</f>
        <v>.</v>
      </c>
      <c r="B2928" s="244" t="str">
        <f t="shared" si="45"/>
        <v>Knee Replacement RevisionSub-ICB of GP PracticeNHS HUMBER AND NORTH YORKSHIRE ICB - 03Q (03Q)Oxford Knee Score</v>
      </c>
      <c r="C2928" t="s">
        <v>973</v>
      </c>
      <c r="D2928" t="s">
        <v>1021</v>
      </c>
      <c r="E2928" t="s">
        <v>841</v>
      </c>
      <c r="F2928" t="s">
        <v>842</v>
      </c>
      <c r="G2928" t="s">
        <v>972</v>
      </c>
      <c r="H2928">
        <v>9</v>
      </c>
      <c r="I2928">
        <v>21.1111</v>
      </c>
      <c r="J2928">
        <v>36</v>
      </c>
      <c r="K2928">
        <v>14.8889</v>
      </c>
      <c r="L2928">
        <v>8</v>
      </c>
      <c r="M2928">
        <v>0</v>
      </c>
      <c r="N2928">
        <v>1</v>
      </c>
      <c r="O2928" t="s">
        <v>127</v>
      </c>
      <c r="P2928" t="s">
        <v>127</v>
      </c>
      <c r="Q2928" t="s">
        <v>127</v>
      </c>
    </row>
    <row r="2929" spans="1:17" x14ac:dyDescent="0.25">
      <c r="A2929" t="str">
        <f>IF(C2929&amp;G2929&amp;D2929&lt;&gt;'Funnel setup'!$K$3&amp;'Funnel setup'!$K$4&amp;'Funnel setup'!$K$6,".",IF(A2928=".",1,A2928+1))</f>
        <v>.</v>
      </c>
      <c r="B2929" s="244" t="str">
        <f t="shared" si="45"/>
        <v>Knee Replacement RevisionSub-ICB of GP PracticeNHS HUMBER AND NORTH YORKSHIRE ICB - 42D (42D)Oxford Knee Score</v>
      </c>
      <c r="C2929" t="s">
        <v>973</v>
      </c>
      <c r="D2929" t="s">
        <v>1021</v>
      </c>
      <c r="E2929" t="s">
        <v>843</v>
      </c>
      <c r="F2929" t="s">
        <v>844</v>
      </c>
      <c r="G2929" t="s">
        <v>972</v>
      </c>
      <c r="H2929">
        <v>11</v>
      </c>
      <c r="I2929">
        <v>16.454499999999999</v>
      </c>
      <c r="J2929">
        <v>31.636399999999998</v>
      </c>
      <c r="K2929">
        <v>15.181800000000001</v>
      </c>
      <c r="L2929">
        <v>10</v>
      </c>
      <c r="M2929">
        <v>0</v>
      </c>
      <c r="N2929">
        <v>1</v>
      </c>
      <c r="O2929" t="s">
        <v>127</v>
      </c>
      <c r="P2929" t="s">
        <v>127</v>
      </c>
      <c r="Q2929" t="s">
        <v>127</v>
      </c>
    </row>
    <row r="2930" spans="1:17" x14ac:dyDescent="0.25">
      <c r="A2930" t="str">
        <f>IF(C2930&amp;G2930&amp;D2930&lt;&gt;'Funnel setup'!$K$3&amp;'Funnel setup'!$K$4&amp;'Funnel setup'!$K$6,".",IF(A2929=".",1,A2929+1))</f>
        <v>.</v>
      </c>
      <c r="B2930" s="244" t="str">
        <f t="shared" si="45"/>
        <v>Knee Replacement RevisionSub-ICB of GP PracticeNHS KENT AND MEDWAY ICB - 91Q (91Q)Oxford Knee Score</v>
      </c>
      <c r="C2930" t="s">
        <v>973</v>
      </c>
      <c r="D2930" t="s">
        <v>1021</v>
      </c>
      <c r="E2930" t="s">
        <v>845</v>
      </c>
      <c r="F2930" t="s">
        <v>846</v>
      </c>
      <c r="G2930" t="s">
        <v>972</v>
      </c>
      <c r="H2930">
        <v>17</v>
      </c>
      <c r="I2930">
        <v>16.411799999999999</v>
      </c>
      <c r="J2930">
        <v>31.823499999999999</v>
      </c>
      <c r="K2930">
        <v>15.411799999999999</v>
      </c>
      <c r="L2930">
        <v>14</v>
      </c>
      <c r="M2930">
        <v>0</v>
      </c>
      <c r="N2930">
        <v>3</v>
      </c>
      <c r="O2930" t="s">
        <v>127</v>
      </c>
      <c r="P2930" t="s">
        <v>127</v>
      </c>
      <c r="Q2930" t="s">
        <v>127</v>
      </c>
    </row>
    <row r="2931" spans="1:17" x14ac:dyDescent="0.25">
      <c r="A2931" t="str">
        <f>IF(C2931&amp;G2931&amp;D2931&lt;&gt;'Funnel setup'!$K$3&amp;'Funnel setup'!$K$4&amp;'Funnel setup'!$K$6,".",IF(A2930=".",1,A2930+1))</f>
        <v>.</v>
      </c>
      <c r="B2931" s="244" t="str">
        <f t="shared" si="45"/>
        <v>Knee Replacement RevisionSub-ICB of GP PracticeNHS LANCASHIRE AND SOUTH CUMBRIA ICB - 00Q (00Q)Oxford Knee Score</v>
      </c>
      <c r="C2931" t="s">
        <v>973</v>
      </c>
      <c r="D2931" t="s">
        <v>1021</v>
      </c>
      <c r="E2931" t="s">
        <v>847</v>
      </c>
      <c r="F2931" t="s">
        <v>848</v>
      </c>
      <c r="G2931" t="s">
        <v>972</v>
      </c>
      <c r="H2931">
        <v>2</v>
      </c>
      <c r="I2931">
        <v>16.5</v>
      </c>
      <c r="J2931">
        <v>17.5</v>
      </c>
      <c r="K2931">
        <v>1</v>
      </c>
      <c r="L2931">
        <v>1</v>
      </c>
      <c r="M2931">
        <v>0</v>
      </c>
      <c r="N2931">
        <v>1</v>
      </c>
      <c r="O2931" t="s">
        <v>127</v>
      </c>
      <c r="P2931" t="s">
        <v>127</v>
      </c>
      <c r="Q2931" t="s">
        <v>127</v>
      </c>
    </row>
    <row r="2932" spans="1:17" x14ac:dyDescent="0.25">
      <c r="A2932" t="str">
        <f>IF(C2932&amp;G2932&amp;D2932&lt;&gt;'Funnel setup'!$K$3&amp;'Funnel setup'!$K$4&amp;'Funnel setup'!$K$6,".",IF(A2931=".",1,A2931+1))</f>
        <v>.</v>
      </c>
      <c r="B2932" s="244" t="str">
        <f t="shared" si="45"/>
        <v>Knee Replacement RevisionSub-ICB of GP PracticeNHS LANCASHIRE AND SOUTH CUMBRIA ICB - 00R (00R)Oxford Knee Score</v>
      </c>
      <c r="C2932" t="s">
        <v>973</v>
      </c>
      <c r="D2932" t="s">
        <v>1021</v>
      </c>
      <c r="E2932" t="s">
        <v>849</v>
      </c>
      <c r="F2932" t="s">
        <v>850</v>
      </c>
      <c r="G2932" t="s">
        <v>972</v>
      </c>
      <c r="H2932">
        <v>1</v>
      </c>
      <c r="I2932">
        <v>10</v>
      </c>
      <c r="J2932">
        <v>29</v>
      </c>
      <c r="K2932">
        <v>19</v>
      </c>
      <c r="L2932">
        <v>1</v>
      </c>
      <c r="M2932">
        <v>0</v>
      </c>
      <c r="N2932">
        <v>0</v>
      </c>
      <c r="O2932" t="s">
        <v>127</v>
      </c>
      <c r="P2932" t="s">
        <v>127</v>
      </c>
      <c r="Q2932" t="s">
        <v>127</v>
      </c>
    </row>
    <row r="2933" spans="1:17" x14ac:dyDescent="0.25">
      <c r="A2933" t="str">
        <f>IF(C2933&amp;G2933&amp;D2933&lt;&gt;'Funnel setup'!$K$3&amp;'Funnel setup'!$K$4&amp;'Funnel setup'!$K$6,".",IF(A2932=".",1,A2932+1))</f>
        <v>.</v>
      </c>
      <c r="B2933" s="244" t="str">
        <f t="shared" si="45"/>
        <v>Knee Replacement RevisionSub-ICB of GP PracticeNHS LANCASHIRE AND SOUTH CUMBRIA ICB - 00X (00X)Oxford Knee Score</v>
      </c>
      <c r="C2933" t="s">
        <v>973</v>
      </c>
      <c r="D2933" t="s">
        <v>1021</v>
      </c>
      <c r="E2933" t="s">
        <v>851</v>
      </c>
      <c r="F2933" t="s">
        <v>852</v>
      </c>
      <c r="G2933" t="s">
        <v>972</v>
      </c>
      <c r="H2933">
        <v>4</v>
      </c>
      <c r="I2933">
        <v>20.5</v>
      </c>
      <c r="J2933">
        <v>35.25</v>
      </c>
      <c r="K2933">
        <v>14.75</v>
      </c>
      <c r="L2933">
        <v>3</v>
      </c>
      <c r="M2933">
        <v>0</v>
      </c>
      <c r="N2933">
        <v>1</v>
      </c>
      <c r="O2933" t="s">
        <v>127</v>
      </c>
      <c r="P2933" t="s">
        <v>127</v>
      </c>
      <c r="Q2933" t="s">
        <v>127</v>
      </c>
    </row>
    <row r="2934" spans="1:17" x14ac:dyDescent="0.25">
      <c r="A2934" t="str">
        <f>IF(C2934&amp;G2934&amp;D2934&lt;&gt;'Funnel setup'!$K$3&amp;'Funnel setup'!$K$4&amp;'Funnel setup'!$K$6,".",IF(A2933=".",1,A2933+1))</f>
        <v>.</v>
      </c>
      <c r="B2934" s="244" t="str">
        <f t="shared" si="45"/>
        <v>Knee Replacement RevisionSub-ICB of GP PracticeNHS LANCASHIRE AND SOUTH CUMBRIA ICB - 01A (01A)Oxford Knee Score</v>
      </c>
      <c r="C2934" t="s">
        <v>973</v>
      </c>
      <c r="D2934" t="s">
        <v>1021</v>
      </c>
      <c r="E2934" t="s">
        <v>853</v>
      </c>
      <c r="F2934" t="s">
        <v>854</v>
      </c>
      <c r="G2934" t="s">
        <v>972</v>
      </c>
      <c r="H2934">
        <v>4</v>
      </c>
      <c r="I2934">
        <v>20</v>
      </c>
      <c r="J2934">
        <v>33.25</v>
      </c>
      <c r="K2934">
        <v>13.25</v>
      </c>
      <c r="L2934">
        <v>4</v>
      </c>
      <c r="M2934">
        <v>0</v>
      </c>
      <c r="N2934">
        <v>0</v>
      </c>
      <c r="O2934" t="s">
        <v>127</v>
      </c>
      <c r="P2934" t="s">
        <v>127</v>
      </c>
      <c r="Q2934" t="s">
        <v>127</v>
      </c>
    </row>
    <row r="2935" spans="1:17" x14ac:dyDescent="0.25">
      <c r="A2935" t="str">
        <f>IF(C2935&amp;G2935&amp;D2935&lt;&gt;'Funnel setup'!$K$3&amp;'Funnel setup'!$K$4&amp;'Funnel setup'!$K$6,".",IF(A2934=".",1,A2934+1))</f>
        <v>.</v>
      </c>
      <c r="B2935" s="244" t="str">
        <f t="shared" si="45"/>
        <v>Knee Replacement RevisionSub-ICB of GP PracticeNHS LANCASHIRE AND SOUTH CUMBRIA ICB - 01E (01E)Oxford Knee Score</v>
      </c>
      <c r="C2935" t="s">
        <v>973</v>
      </c>
      <c r="D2935" t="s">
        <v>1021</v>
      </c>
      <c r="E2935" t="s">
        <v>855</v>
      </c>
      <c r="F2935" t="s">
        <v>856</v>
      </c>
      <c r="G2935" t="s">
        <v>972</v>
      </c>
      <c r="H2935">
        <v>2</v>
      </c>
      <c r="I2935">
        <v>25</v>
      </c>
      <c r="J2935">
        <v>44.5</v>
      </c>
      <c r="K2935">
        <v>19.5</v>
      </c>
      <c r="L2935">
        <v>2</v>
      </c>
      <c r="M2935">
        <v>0</v>
      </c>
      <c r="N2935">
        <v>0</v>
      </c>
      <c r="O2935" t="s">
        <v>127</v>
      </c>
      <c r="P2935" t="s">
        <v>127</v>
      </c>
      <c r="Q2935" t="s">
        <v>127</v>
      </c>
    </row>
    <row r="2936" spans="1:17" x14ac:dyDescent="0.25">
      <c r="A2936" t="str">
        <f>IF(C2936&amp;G2936&amp;D2936&lt;&gt;'Funnel setup'!$K$3&amp;'Funnel setup'!$K$4&amp;'Funnel setup'!$K$6,".",IF(A2935=".",1,A2935+1))</f>
        <v>.</v>
      </c>
      <c r="B2936" s="244" t="str">
        <f t="shared" si="45"/>
        <v>Knee Replacement RevisionSub-ICB of GP PracticeNHS LANCASHIRE AND SOUTH CUMBRIA ICB - 01K (01K)Oxford Knee Score</v>
      </c>
      <c r="C2936" t="s">
        <v>973</v>
      </c>
      <c r="D2936" t="s">
        <v>1021</v>
      </c>
      <c r="E2936" t="s">
        <v>857</v>
      </c>
      <c r="F2936" t="s">
        <v>858</v>
      </c>
      <c r="G2936" t="s">
        <v>972</v>
      </c>
      <c r="H2936">
        <v>3</v>
      </c>
      <c r="I2936">
        <v>14</v>
      </c>
      <c r="J2936">
        <v>32.666699999999999</v>
      </c>
      <c r="K2936">
        <v>18.666699999999999</v>
      </c>
      <c r="L2936">
        <v>3</v>
      </c>
      <c r="M2936">
        <v>0</v>
      </c>
      <c r="N2936">
        <v>0</v>
      </c>
      <c r="O2936" t="s">
        <v>127</v>
      </c>
      <c r="P2936" t="s">
        <v>127</v>
      </c>
      <c r="Q2936" t="s">
        <v>127</v>
      </c>
    </row>
    <row r="2937" spans="1:17" x14ac:dyDescent="0.25">
      <c r="A2937" t="str">
        <f>IF(C2937&amp;G2937&amp;D2937&lt;&gt;'Funnel setup'!$K$3&amp;'Funnel setup'!$K$4&amp;'Funnel setup'!$K$6,".",IF(A2936=".",1,A2936+1))</f>
        <v>.</v>
      </c>
      <c r="B2937" s="244" t="str">
        <f t="shared" si="45"/>
        <v>Knee Replacement RevisionSub-ICB of GP PracticeNHS LANCASHIRE AND SOUTH CUMBRIA ICB - 02M (02M)Oxford Knee Score</v>
      </c>
      <c r="C2937" t="s">
        <v>973</v>
      </c>
      <c r="D2937" t="s">
        <v>1021</v>
      </c>
      <c r="E2937" t="s">
        <v>861</v>
      </c>
      <c r="F2937" t="s">
        <v>862</v>
      </c>
      <c r="G2937" t="s">
        <v>972</v>
      </c>
      <c r="H2937">
        <v>1</v>
      </c>
      <c r="I2937">
        <v>14</v>
      </c>
      <c r="J2937">
        <v>23</v>
      </c>
      <c r="K2937">
        <v>9</v>
      </c>
      <c r="L2937">
        <v>1</v>
      </c>
      <c r="M2937">
        <v>0</v>
      </c>
      <c r="N2937">
        <v>0</v>
      </c>
      <c r="O2937" t="s">
        <v>127</v>
      </c>
      <c r="P2937" t="s">
        <v>127</v>
      </c>
      <c r="Q2937" t="s">
        <v>127</v>
      </c>
    </row>
    <row r="2938" spans="1:17" x14ac:dyDescent="0.25">
      <c r="A2938" t="str">
        <f>IF(C2938&amp;G2938&amp;D2938&lt;&gt;'Funnel setup'!$K$3&amp;'Funnel setup'!$K$4&amp;'Funnel setup'!$K$6,".",IF(A2937=".",1,A2937+1))</f>
        <v>.</v>
      </c>
      <c r="B2938" s="244" t="str">
        <f t="shared" si="45"/>
        <v>Knee Replacement RevisionSub-ICB of GP PracticeNHS LEICESTER, LEICESTERSHIRE AND RUTLAND ICB - 03W (03W)Oxford Knee Score</v>
      </c>
      <c r="C2938" t="s">
        <v>973</v>
      </c>
      <c r="D2938" t="s">
        <v>1021</v>
      </c>
      <c r="E2938" t="s">
        <v>863</v>
      </c>
      <c r="F2938" t="s">
        <v>864</v>
      </c>
      <c r="G2938" t="s">
        <v>972</v>
      </c>
      <c r="H2938">
        <v>5</v>
      </c>
      <c r="I2938">
        <v>15.4</v>
      </c>
      <c r="J2938">
        <v>25.8</v>
      </c>
      <c r="K2938">
        <v>10.4</v>
      </c>
      <c r="L2938">
        <v>4</v>
      </c>
      <c r="M2938">
        <v>0</v>
      </c>
      <c r="N2938">
        <v>1</v>
      </c>
      <c r="O2938" t="s">
        <v>127</v>
      </c>
      <c r="P2938" t="s">
        <v>127</v>
      </c>
      <c r="Q2938" t="s">
        <v>127</v>
      </c>
    </row>
    <row r="2939" spans="1:17" x14ac:dyDescent="0.25">
      <c r="A2939" t="str">
        <f>IF(C2939&amp;G2939&amp;D2939&lt;&gt;'Funnel setup'!$K$3&amp;'Funnel setup'!$K$4&amp;'Funnel setup'!$K$6,".",IF(A2938=".",1,A2938+1))</f>
        <v>.</v>
      </c>
      <c r="B2939" s="244" t="str">
        <f t="shared" si="45"/>
        <v>Knee Replacement RevisionSub-ICB of GP PracticeNHS LEICESTER, LEICESTERSHIRE AND RUTLAND ICB - 04C (04C)Oxford Knee Score</v>
      </c>
      <c r="C2939" t="s">
        <v>973</v>
      </c>
      <c r="D2939" t="s">
        <v>1021</v>
      </c>
      <c r="E2939" t="s">
        <v>865</v>
      </c>
      <c r="F2939" t="s">
        <v>866</v>
      </c>
      <c r="G2939" t="s">
        <v>972</v>
      </c>
      <c r="H2939">
        <v>1</v>
      </c>
      <c r="I2939">
        <v>16</v>
      </c>
      <c r="J2939">
        <v>15</v>
      </c>
      <c r="K2939">
        <v>-1</v>
      </c>
      <c r="L2939">
        <v>0</v>
      </c>
      <c r="M2939">
        <v>0</v>
      </c>
      <c r="N2939">
        <v>1</v>
      </c>
      <c r="O2939" t="s">
        <v>127</v>
      </c>
      <c r="P2939" t="s">
        <v>127</v>
      </c>
      <c r="Q2939" t="s">
        <v>127</v>
      </c>
    </row>
    <row r="2940" spans="1:17" x14ac:dyDescent="0.25">
      <c r="A2940" t="str">
        <f>IF(C2940&amp;G2940&amp;D2940&lt;&gt;'Funnel setup'!$K$3&amp;'Funnel setup'!$K$4&amp;'Funnel setup'!$K$6,".",IF(A2939=".",1,A2939+1))</f>
        <v>.</v>
      </c>
      <c r="B2940" s="244" t="str">
        <f t="shared" si="45"/>
        <v>Knee Replacement RevisionSub-ICB of GP PracticeNHS LEICESTER, LEICESTERSHIRE AND RUTLAND ICB - 04V (04V)Oxford Knee Score</v>
      </c>
      <c r="C2940" t="s">
        <v>973</v>
      </c>
      <c r="D2940" t="s">
        <v>1021</v>
      </c>
      <c r="E2940" t="s">
        <v>867</v>
      </c>
      <c r="F2940" t="s">
        <v>868</v>
      </c>
      <c r="G2940" t="s">
        <v>972</v>
      </c>
      <c r="H2940">
        <v>10</v>
      </c>
      <c r="I2940">
        <v>15.3</v>
      </c>
      <c r="J2940">
        <v>26.6</v>
      </c>
      <c r="K2940">
        <v>11.3</v>
      </c>
      <c r="L2940">
        <v>7</v>
      </c>
      <c r="M2940">
        <v>1</v>
      </c>
      <c r="N2940">
        <v>2</v>
      </c>
      <c r="O2940" t="s">
        <v>127</v>
      </c>
      <c r="P2940" t="s">
        <v>127</v>
      </c>
      <c r="Q2940" t="s">
        <v>127</v>
      </c>
    </row>
    <row r="2941" spans="1:17" x14ac:dyDescent="0.25">
      <c r="A2941" t="str">
        <f>IF(C2941&amp;G2941&amp;D2941&lt;&gt;'Funnel setup'!$K$3&amp;'Funnel setup'!$K$4&amp;'Funnel setup'!$K$6,".",IF(A2940=".",1,A2940+1))</f>
        <v>.</v>
      </c>
      <c r="B2941" s="244" t="str">
        <f t="shared" si="45"/>
        <v>Knee Replacement RevisionSub-ICB of GP PracticeNHS LINCOLNSHIRE ICB - 71E (71E)Oxford Knee Score</v>
      </c>
      <c r="C2941" t="s">
        <v>973</v>
      </c>
      <c r="D2941" t="s">
        <v>1021</v>
      </c>
      <c r="E2941" t="s">
        <v>869</v>
      </c>
      <c r="F2941" t="s">
        <v>870</v>
      </c>
      <c r="G2941" t="s">
        <v>972</v>
      </c>
      <c r="H2941">
        <v>6</v>
      </c>
      <c r="I2941">
        <v>15.166700000000001</v>
      </c>
      <c r="J2941">
        <v>35.666699999999999</v>
      </c>
      <c r="K2941">
        <v>20.5</v>
      </c>
      <c r="L2941">
        <v>6</v>
      </c>
      <c r="M2941">
        <v>0</v>
      </c>
      <c r="N2941">
        <v>0</v>
      </c>
      <c r="O2941" t="s">
        <v>127</v>
      </c>
      <c r="P2941" t="s">
        <v>127</v>
      </c>
      <c r="Q2941" t="s">
        <v>127</v>
      </c>
    </row>
    <row r="2942" spans="1:17" x14ac:dyDescent="0.25">
      <c r="A2942" t="str">
        <f>IF(C2942&amp;G2942&amp;D2942&lt;&gt;'Funnel setup'!$K$3&amp;'Funnel setup'!$K$4&amp;'Funnel setup'!$K$6,".",IF(A2941=".",1,A2941+1))</f>
        <v>.</v>
      </c>
      <c r="B2942" s="244" t="str">
        <f t="shared" si="45"/>
        <v>Knee Replacement RevisionSub-ICB of GP PracticeNHS MID AND SOUTH ESSEX ICB - 06Q (06Q)Oxford Knee Score</v>
      </c>
      <c r="C2942" t="s">
        <v>973</v>
      </c>
      <c r="D2942" t="s">
        <v>1021</v>
      </c>
      <c r="E2942" t="s">
        <v>871</v>
      </c>
      <c r="F2942" t="s">
        <v>872</v>
      </c>
      <c r="G2942" t="s">
        <v>972</v>
      </c>
      <c r="H2942">
        <v>3</v>
      </c>
      <c r="I2942">
        <v>11.333299999999999</v>
      </c>
      <c r="J2942">
        <v>38</v>
      </c>
      <c r="K2942">
        <v>26.666699999999999</v>
      </c>
      <c r="L2942">
        <v>3</v>
      </c>
      <c r="M2942">
        <v>0</v>
      </c>
      <c r="N2942">
        <v>0</v>
      </c>
      <c r="O2942" t="s">
        <v>127</v>
      </c>
      <c r="P2942" t="s">
        <v>127</v>
      </c>
      <c r="Q2942" t="s">
        <v>127</v>
      </c>
    </row>
    <row r="2943" spans="1:17" x14ac:dyDescent="0.25">
      <c r="A2943" t="str">
        <f>IF(C2943&amp;G2943&amp;D2943&lt;&gt;'Funnel setup'!$K$3&amp;'Funnel setup'!$K$4&amp;'Funnel setup'!$K$6,".",IF(A2942=".",1,A2942+1))</f>
        <v>.</v>
      </c>
      <c r="B2943" s="244" t="str">
        <f t="shared" si="45"/>
        <v>Knee Replacement RevisionSub-ICB of GP PracticeNHS MID AND SOUTH ESSEX ICB - 99F (99F)Oxford Knee Score</v>
      </c>
      <c r="C2943" t="s">
        <v>973</v>
      </c>
      <c r="D2943" t="s">
        <v>1021</v>
      </c>
      <c r="E2943" t="s">
        <v>877</v>
      </c>
      <c r="F2943" t="s">
        <v>878</v>
      </c>
      <c r="G2943" t="s">
        <v>972</v>
      </c>
      <c r="H2943">
        <v>1</v>
      </c>
      <c r="I2943">
        <v>12</v>
      </c>
      <c r="J2943">
        <v>22</v>
      </c>
      <c r="K2943">
        <v>10</v>
      </c>
      <c r="L2943">
        <v>1</v>
      </c>
      <c r="M2943">
        <v>0</v>
      </c>
      <c r="N2943">
        <v>0</v>
      </c>
      <c r="O2943" t="s">
        <v>127</v>
      </c>
      <c r="P2943" t="s">
        <v>127</v>
      </c>
      <c r="Q2943" t="s">
        <v>127</v>
      </c>
    </row>
    <row r="2944" spans="1:17" x14ac:dyDescent="0.25">
      <c r="A2944" t="str">
        <f>IF(C2944&amp;G2944&amp;D2944&lt;&gt;'Funnel setup'!$K$3&amp;'Funnel setup'!$K$4&amp;'Funnel setup'!$K$6,".",IF(A2943=".",1,A2943+1))</f>
        <v>.</v>
      </c>
      <c r="B2944" s="244" t="str">
        <f t="shared" si="45"/>
        <v>Knee Replacement RevisionSub-ICB of GP PracticeNHS NORFOLK AND WAVENEY ICB - 26A (26A)Oxford Knee Score</v>
      </c>
      <c r="C2944" t="s">
        <v>973</v>
      </c>
      <c r="D2944" t="s">
        <v>1021</v>
      </c>
      <c r="E2944" t="s">
        <v>881</v>
      </c>
      <c r="F2944" t="s">
        <v>882</v>
      </c>
      <c r="G2944" t="s">
        <v>972</v>
      </c>
      <c r="H2944">
        <v>22</v>
      </c>
      <c r="I2944">
        <v>15</v>
      </c>
      <c r="J2944">
        <v>28.181799999999999</v>
      </c>
      <c r="K2944">
        <v>13.181800000000001</v>
      </c>
      <c r="L2944">
        <v>20</v>
      </c>
      <c r="M2944">
        <v>0</v>
      </c>
      <c r="N2944">
        <v>2</v>
      </c>
      <c r="O2944" t="s">
        <v>127</v>
      </c>
      <c r="P2944" t="s">
        <v>127</v>
      </c>
      <c r="Q2944" t="s">
        <v>127</v>
      </c>
    </row>
    <row r="2945" spans="1:17" x14ac:dyDescent="0.25">
      <c r="A2945" t="str">
        <f>IF(C2945&amp;G2945&amp;D2945&lt;&gt;'Funnel setup'!$K$3&amp;'Funnel setup'!$K$4&amp;'Funnel setup'!$K$6,".",IF(A2944=".",1,A2944+1))</f>
        <v>.</v>
      </c>
      <c r="B2945" s="244" t="str">
        <f t="shared" si="45"/>
        <v>Knee Replacement RevisionSub-ICB of GP PracticeNHS NORTH CENTRAL LONDON ICB - 93C (93C)Oxford Knee Score</v>
      </c>
      <c r="C2945" t="s">
        <v>973</v>
      </c>
      <c r="D2945" t="s">
        <v>1021</v>
      </c>
      <c r="E2945" t="s">
        <v>883</v>
      </c>
      <c r="F2945" t="s">
        <v>884</v>
      </c>
      <c r="G2945" t="s">
        <v>972</v>
      </c>
      <c r="H2945">
        <v>5</v>
      </c>
      <c r="I2945">
        <v>9.8000000000000007</v>
      </c>
      <c r="J2945">
        <v>23.4</v>
      </c>
      <c r="K2945">
        <v>13.6</v>
      </c>
      <c r="L2945">
        <v>4</v>
      </c>
      <c r="M2945">
        <v>0</v>
      </c>
      <c r="N2945">
        <v>1</v>
      </c>
      <c r="O2945" t="s">
        <v>127</v>
      </c>
      <c r="P2945" t="s">
        <v>127</v>
      </c>
      <c r="Q2945" t="s">
        <v>127</v>
      </c>
    </row>
    <row r="2946" spans="1:17" x14ac:dyDescent="0.25">
      <c r="A2946" t="str">
        <f>IF(C2946&amp;G2946&amp;D2946&lt;&gt;'Funnel setup'!$K$3&amp;'Funnel setup'!$K$4&amp;'Funnel setup'!$K$6,".",IF(A2945=".",1,A2945+1))</f>
        <v>.</v>
      </c>
      <c r="B2946" s="244" t="str">
        <f t="shared" ref="B2946:B3009" si="46">C2946&amp;D2946&amp;F2946&amp;G2946</f>
        <v>Knee Replacement RevisionSub-ICB of GP PracticeNHS NORTH EAST AND NORTH CUMBRIA ICB - 00L (00L)Oxford Knee Score</v>
      </c>
      <c r="C2946" t="s">
        <v>973</v>
      </c>
      <c r="D2946" t="s">
        <v>1021</v>
      </c>
      <c r="E2946" t="s">
        <v>885</v>
      </c>
      <c r="F2946" t="s">
        <v>886</v>
      </c>
      <c r="G2946" t="s">
        <v>972</v>
      </c>
      <c r="H2946">
        <v>4</v>
      </c>
      <c r="I2946">
        <v>7.75</v>
      </c>
      <c r="J2946">
        <v>21.5</v>
      </c>
      <c r="K2946">
        <v>13.75</v>
      </c>
      <c r="L2946">
        <v>4</v>
      </c>
      <c r="M2946">
        <v>0</v>
      </c>
      <c r="N2946">
        <v>0</v>
      </c>
      <c r="O2946" t="s">
        <v>127</v>
      </c>
      <c r="P2946" t="s">
        <v>127</v>
      </c>
      <c r="Q2946" t="s">
        <v>127</v>
      </c>
    </row>
    <row r="2947" spans="1:17" x14ac:dyDescent="0.25">
      <c r="A2947" t="str">
        <f>IF(C2947&amp;G2947&amp;D2947&lt;&gt;'Funnel setup'!$K$3&amp;'Funnel setup'!$K$4&amp;'Funnel setup'!$K$6,".",IF(A2946=".",1,A2946+1))</f>
        <v>.</v>
      </c>
      <c r="B2947" s="244" t="str">
        <f t="shared" si="46"/>
        <v>Knee Replacement RevisionSub-ICB of GP PracticeNHS NORTH EAST AND NORTH CUMBRIA ICB - 00P (00P)Oxford Knee Score</v>
      </c>
      <c r="C2947" t="s">
        <v>973</v>
      </c>
      <c r="D2947" t="s">
        <v>1021</v>
      </c>
      <c r="E2947" t="s">
        <v>889</v>
      </c>
      <c r="F2947" t="s">
        <v>890</v>
      </c>
      <c r="G2947" t="s">
        <v>972</v>
      </c>
      <c r="H2947">
        <v>1</v>
      </c>
      <c r="I2947">
        <v>8</v>
      </c>
      <c r="J2947">
        <v>11</v>
      </c>
      <c r="K2947">
        <v>3</v>
      </c>
      <c r="L2947">
        <v>1</v>
      </c>
      <c r="M2947">
        <v>0</v>
      </c>
      <c r="N2947">
        <v>0</v>
      </c>
      <c r="O2947" t="s">
        <v>127</v>
      </c>
      <c r="P2947" t="s">
        <v>127</v>
      </c>
      <c r="Q2947" t="s">
        <v>127</v>
      </c>
    </row>
    <row r="2948" spans="1:17" x14ac:dyDescent="0.25">
      <c r="A2948" t="str">
        <f>IF(C2948&amp;G2948&amp;D2948&lt;&gt;'Funnel setup'!$K$3&amp;'Funnel setup'!$K$4&amp;'Funnel setup'!$K$6,".",IF(A2947=".",1,A2947+1))</f>
        <v>.</v>
      </c>
      <c r="B2948" s="244" t="str">
        <f t="shared" si="46"/>
        <v>Knee Replacement RevisionSub-ICB of GP PracticeNHS NORTH EAST AND NORTH CUMBRIA ICB - 01H (01H)Oxford Knee Score</v>
      </c>
      <c r="C2948" t="s">
        <v>973</v>
      </c>
      <c r="D2948" t="s">
        <v>1021</v>
      </c>
      <c r="E2948" t="s">
        <v>891</v>
      </c>
      <c r="F2948" t="s">
        <v>892</v>
      </c>
      <c r="G2948" t="s">
        <v>972</v>
      </c>
      <c r="H2948">
        <v>4</v>
      </c>
      <c r="I2948">
        <v>14.5</v>
      </c>
      <c r="J2948">
        <v>35.25</v>
      </c>
      <c r="K2948">
        <v>20.75</v>
      </c>
      <c r="L2948">
        <v>4</v>
      </c>
      <c r="M2948">
        <v>0</v>
      </c>
      <c r="N2948">
        <v>0</v>
      </c>
      <c r="O2948" t="s">
        <v>127</v>
      </c>
      <c r="P2948" t="s">
        <v>127</v>
      </c>
      <c r="Q2948" t="s">
        <v>127</v>
      </c>
    </row>
    <row r="2949" spans="1:17" x14ac:dyDescent="0.25">
      <c r="A2949" t="str">
        <f>IF(C2949&amp;G2949&amp;D2949&lt;&gt;'Funnel setup'!$K$3&amp;'Funnel setup'!$K$4&amp;'Funnel setup'!$K$6,".",IF(A2948=".",1,A2948+1))</f>
        <v>.</v>
      </c>
      <c r="B2949" s="244" t="str">
        <f t="shared" si="46"/>
        <v>Knee Replacement RevisionSub-ICB of GP PracticeNHS NORTH EAST AND NORTH CUMBRIA ICB - 13T (13T)Oxford Knee Score</v>
      </c>
      <c r="C2949" t="s">
        <v>973</v>
      </c>
      <c r="D2949" t="s">
        <v>1021</v>
      </c>
      <c r="E2949" t="s">
        <v>893</v>
      </c>
      <c r="F2949" t="s">
        <v>894</v>
      </c>
      <c r="G2949" t="s">
        <v>972</v>
      </c>
      <c r="H2949">
        <v>2</v>
      </c>
      <c r="I2949">
        <v>19</v>
      </c>
      <c r="J2949">
        <v>30.5</v>
      </c>
      <c r="K2949">
        <v>11.5</v>
      </c>
      <c r="L2949">
        <v>2</v>
      </c>
      <c r="M2949">
        <v>0</v>
      </c>
      <c r="N2949">
        <v>0</v>
      </c>
      <c r="O2949" t="s">
        <v>127</v>
      </c>
      <c r="P2949" t="s">
        <v>127</v>
      </c>
      <c r="Q2949" t="s">
        <v>127</v>
      </c>
    </row>
    <row r="2950" spans="1:17" x14ac:dyDescent="0.25">
      <c r="A2950" t="str">
        <f>IF(C2950&amp;G2950&amp;D2950&lt;&gt;'Funnel setup'!$K$3&amp;'Funnel setup'!$K$4&amp;'Funnel setup'!$K$6,".",IF(A2949=".",1,A2949+1))</f>
        <v>.</v>
      </c>
      <c r="B2950" s="244" t="str">
        <f t="shared" si="46"/>
        <v>Knee Replacement RevisionSub-ICB of GP PracticeNHS NORTH EAST AND NORTH CUMBRIA ICB - 16C (16C)Oxford Knee Score</v>
      </c>
      <c r="C2950" t="s">
        <v>973</v>
      </c>
      <c r="D2950" t="s">
        <v>1021</v>
      </c>
      <c r="E2950" t="s">
        <v>895</v>
      </c>
      <c r="F2950" t="s">
        <v>896</v>
      </c>
      <c r="G2950" t="s">
        <v>972</v>
      </c>
      <c r="H2950">
        <v>20</v>
      </c>
      <c r="I2950">
        <v>12.25</v>
      </c>
      <c r="J2950">
        <v>25</v>
      </c>
      <c r="K2950">
        <v>12.75</v>
      </c>
      <c r="L2950">
        <v>17</v>
      </c>
      <c r="M2950">
        <v>0</v>
      </c>
      <c r="N2950">
        <v>3</v>
      </c>
      <c r="O2950" t="s">
        <v>127</v>
      </c>
      <c r="P2950" t="s">
        <v>127</v>
      </c>
      <c r="Q2950" t="s">
        <v>127</v>
      </c>
    </row>
    <row r="2951" spans="1:17" x14ac:dyDescent="0.25">
      <c r="A2951" t="str">
        <f>IF(C2951&amp;G2951&amp;D2951&lt;&gt;'Funnel setup'!$K$3&amp;'Funnel setup'!$K$4&amp;'Funnel setup'!$K$6,".",IF(A2950=".",1,A2950+1))</f>
        <v>.</v>
      </c>
      <c r="B2951" s="244" t="str">
        <f t="shared" si="46"/>
        <v>Knee Replacement RevisionSub-ICB of GP PracticeNHS NORTH EAST AND NORTH CUMBRIA ICB - 84H (84H)Oxford Knee Score</v>
      </c>
      <c r="C2951" t="s">
        <v>973</v>
      </c>
      <c r="D2951" t="s">
        <v>1021</v>
      </c>
      <c r="E2951" t="s">
        <v>897</v>
      </c>
      <c r="F2951" t="s">
        <v>898</v>
      </c>
      <c r="G2951" t="s">
        <v>972</v>
      </c>
      <c r="H2951">
        <v>9</v>
      </c>
      <c r="I2951">
        <v>15.1111</v>
      </c>
      <c r="J2951">
        <v>27</v>
      </c>
      <c r="K2951">
        <v>11.8889</v>
      </c>
      <c r="L2951">
        <v>6</v>
      </c>
      <c r="M2951">
        <v>0</v>
      </c>
      <c r="N2951">
        <v>3</v>
      </c>
      <c r="O2951" t="s">
        <v>127</v>
      </c>
      <c r="P2951" t="s">
        <v>127</v>
      </c>
      <c r="Q2951" t="s">
        <v>127</v>
      </c>
    </row>
    <row r="2952" spans="1:17" x14ac:dyDescent="0.25">
      <c r="A2952" t="str">
        <f>IF(C2952&amp;G2952&amp;D2952&lt;&gt;'Funnel setup'!$K$3&amp;'Funnel setup'!$K$4&amp;'Funnel setup'!$K$6,".",IF(A2951=".",1,A2951+1))</f>
        <v>.</v>
      </c>
      <c r="B2952" s="244" t="str">
        <f t="shared" si="46"/>
        <v>Knee Replacement RevisionSub-ICB of GP PracticeNHS NORTH EAST AND NORTH CUMBRIA ICB - 99C (99C)Oxford Knee Score</v>
      </c>
      <c r="C2952" t="s">
        <v>973</v>
      </c>
      <c r="D2952" t="s">
        <v>1021</v>
      </c>
      <c r="E2952" t="s">
        <v>899</v>
      </c>
      <c r="F2952" t="s">
        <v>900</v>
      </c>
      <c r="G2952" t="s">
        <v>972</v>
      </c>
      <c r="H2952">
        <v>1</v>
      </c>
      <c r="I2952">
        <v>12</v>
      </c>
      <c r="J2952">
        <v>17</v>
      </c>
      <c r="K2952">
        <v>5</v>
      </c>
      <c r="L2952">
        <v>1</v>
      </c>
      <c r="M2952">
        <v>0</v>
      </c>
      <c r="N2952">
        <v>0</v>
      </c>
      <c r="O2952" t="s">
        <v>127</v>
      </c>
      <c r="P2952" t="s">
        <v>127</v>
      </c>
      <c r="Q2952" t="s">
        <v>127</v>
      </c>
    </row>
    <row r="2953" spans="1:17" x14ac:dyDescent="0.25">
      <c r="A2953" t="str">
        <f>IF(C2953&amp;G2953&amp;D2953&lt;&gt;'Funnel setup'!$K$3&amp;'Funnel setup'!$K$4&amp;'Funnel setup'!$K$6,".",IF(A2952=".",1,A2952+1))</f>
        <v>.</v>
      </c>
      <c r="B2953" s="244" t="str">
        <f t="shared" si="46"/>
        <v>Knee Replacement RevisionSub-ICB of GP PracticeNHS NORTH EAST LONDON ICB - A3A8R (A3A8R)Oxford Knee Score</v>
      </c>
      <c r="C2953" t="s">
        <v>973</v>
      </c>
      <c r="D2953" t="s">
        <v>1021</v>
      </c>
      <c r="E2953" t="s">
        <v>901</v>
      </c>
      <c r="F2953" t="s">
        <v>902</v>
      </c>
      <c r="G2953" t="s">
        <v>972</v>
      </c>
      <c r="H2953">
        <v>11</v>
      </c>
      <c r="I2953">
        <v>15.181800000000001</v>
      </c>
      <c r="J2953">
        <v>27.363600000000002</v>
      </c>
      <c r="K2953">
        <v>12.181800000000001</v>
      </c>
      <c r="L2953">
        <v>10</v>
      </c>
      <c r="M2953">
        <v>0</v>
      </c>
      <c r="N2953">
        <v>1</v>
      </c>
      <c r="O2953" t="s">
        <v>127</v>
      </c>
      <c r="P2953" t="s">
        <v>127</v>
      </c>
      <c r="Q2953" t="s">
        <v>127</v>
      </c>
    </row>
    <row r="2954" spans="1:17" x14ac:dyDescent="0.25">
      <c r="A2954" t="str">
        <f>IF(C2954&amp;G2954&amp;D2954&lt;&gt;'Funnel setup'!$K$3&amp;'Funnel setup'!$K$4&amp;'Funnel setup'!$K$6,".",IF(A2953=".",1,A2953+1))</f>
        <v>.</v>
      </c>
      <c r="B2954" s="244" t="str">
        <f t="shared" si="46"/>
        <v>Knee Replacement RevisionSub-ICB of GP PracticeNHS NORTH WEST LONDON ICB - W2U3Z (W2U3Z)Oxford Knee Score</v>
      </c>
      <c r="C2954" t="s">
        <v>973</v>
      </c>
      <c r="D2954" t="s">
        <v>1021</v>
      </c>
      <c r="E2954" t="s">
        <v>903</v>
      </c>
      <c r="F2954" t="s">
        <v>904</v>
      </c>
      <c r="G2954" t="s">
        <v>972</v>
      </c>
      <c r="H2954">
        <v>11</v>
      </c>
      <c r="I2954">
        <v>22.181799999999999</v>
      </c>
      <c r="J2954">
        <v>31.181799999999999</v>
      </c>
      <c r="K2954">
        <v>9</v>
      </c>
      <c r="L2954">
        <v>10</v>
      </c>
      <c r="M2954">
        <v>0</v>
      </c>
      <c r="N2954">
        <v>1</v>
      </c>
      <c r="O2954" t="s">
        <v>127</v>
      </c>
      <c r="P2954" t="s">
        <v>127</v>
      </c>
      <c r="Q2954" t="s">
        <v>127</v>
      </c>
    </row>
    <row r="2955" spans="1:17" x14ac:dyDescent="0.25">
      <c r="A2955" t="str">
        <f>IF(C2955&amp;G2955&amp;D2955&lt;&gt;'Funnel setup'!$K$3&amp;'Funnel setup'!$K$4&amp;'Funnel setup'!$K$6,".",IF(A2954=".",1,A2954+1))</f>
        <v>.</v>
      </c>
      <c r="B2955" s="244" t="str">
        <f t="shared" si="46"/>
        <v>Knee Replacement RevisionSub-ICB of GP PracticeNHS NORTHAMPTONSHIRE ICB - 78H (78H)Oxford Knee Score</v>
      </c>
      <c r="C2955" t="s">
        <v>973</v>
      </c>
      <c r="D2955" t="s">
        <v>1021</v>
      </c>
      <c r="E2955" t="s">
        <v>905</v>
      </c>
      <c r="F2955" t="s">
        <v>906</v>
      </c>
      <c r="G2955" t="s">
        <v>972</v>
      </c>
      <c r="H2955">
        <v>14</v>
      </c>
      <c r="I2955">
        <v>16.857099999999999</v>
      </c>
      <c r="J2955">
        <v>37.428600000000003</v>
      </c>
      <c r="K2955">
        <v>20.571400000000001</v>
      </c>
      <c r="L2955">
        <v>14</v>
      </c>
      <c r="M2955">
        <v>0</v>
      </c>
      <c r="N2955">
        <v>0</v>
      </c>
      <c r="O2955" t="s">
        <v>127</v>
      </c>
      <c r="P2955" t="s">
        <v>127</v>
      </c>
      <c r="Q2955" t="s">
        <v>127</v>
      </c>
    </row>
    <row r="2956" spans="1:17" x14ac:dyDescent="0.25">
      <c r="A2956" t="str">
        <f>IF(C2956&amp;G2956&amp;D2956&lt;&gt;'Funnel setup'!$K$3&amp;'Funnel setup'!$K$4&amp;'Funnel setup'!$K$6,".",IF(A2955=".",1,A2955+1))</f>
        <v>.</v>
      </c>
      <c r="B2956" s="244" t="str">
        <f t="shared" si="46"/>
        <v>Knee Replacement RevisionSub-ICB of GP PracticeNHS NOTTINGHAM AND NOTTINGHAMSHIRE ICB - 02Q (02Q)Oxford Knee Score</v>
      </c>
      <c r="C2956" t="s">
        <v>973</v>
      </c>
      <c r="D2956" t="s">
        <v>1021</v>
      </c>
      <c r="E2956" t="s">
        <v>907</v>
      </c>
      <c r="F2956" t="s">
        <v>908</v>
      </c>
      <c r="G2956" t="s">
        <v>972</v>
      </c>
      <c r="H2956">
        <v>4</v>
      </c>
      <c r="I2956">
        <v>18.25</v>
      </c>
      <c r="J2956">
        <v>29</v>
      </c>
      <c r="K2956">
        <v>10.75</v>
      </c>
      <c r="L2956">
        <v>4</v>
      </c>
      <c r="M2956">
        <v>0</v>
      </c>
      <c r="N2956">
        <v>0</v>
      </c>
      <c r="O2956" t="s">
        <v>127</v>
      </c>
      <c r="P2956" t="s">
        <v>127</v>
      </c>
      <c r="Q2956" t="s">
        <v>127</v>
      </c>
    </row>
    <row r="2957" spans="1:17" x14ac:dyDescent="0.25">
      <c r="A2957" t="str">
        <f>IF(C2957&amp;G2957&amp;D2957&lt;&gt;'Funnel setup'!$K$3&amp;'Funnel setup'!$K$4&amp;'Funnel setup'!$K$6,".",IF(A2956=".",1,A2956+1))</f>
        <v>.</v>
      </c>
      <c r="B2957" s="244" t="str">
        <f t="shared" si="46"/>
        <v>Knee Replacement RevisionSub-ICB of GP PracticeNHS NOTTINGHAM AND NOTTINGHAMSHIRE ICB - 52R (52R)Oxford Knee Score</v>
      </c>
      <c r="C2957" t="s">
        <v>973</v>
      </c>
      <c r="D2957" t="s">
        <v>1021</v>
      </c>
      <c r="E2957" t="s">
        <v>909</v>
      </c>
      <c r="F2957" t="s">
        <v>910</v>
      </c>
      <c r="G2957" t="s">
        <v>972</v>
      </c>
      <c r="H2957">
        <v>2</v>
      </c>
      <c r="I2957">
        <v>17.5</v>
      </c>
      <c r="J2957">
        <v>37</v>
      </c>
      <c r="K2957">
        <v>19.5</v>
      </c>
      <c r="L2957">
        <v>2</v>
      </c>
      <c r="M2957">
        <v>0</v>
      </c>
      <c r="N2957">
        <v>0</v>
      </c>
      <c r="O2957" t="s">
        <v>127</v>
      </c>
      <c r="P2957" t="s">
        <v>127</v>
      </c>
      <c r="Q2957" t="s">
        <v>127</v>
      </c>
    </row>
    <row r="2958" spans="1:17" x14ac:dyDescent="0.25">
      <c r="A2958" t="str">
        <f>IF(C2958&amp;G2958&amp;D2958&lt;&gt;'Funnel setup'!$K$3&amp;'Funnel setup'!$K$4&amp;'Funnel setup'!$K$6,".",IF(A2957=".",1,A2957+1))</f>
        <v>.</v>
      </c>
      <c r="B2958" s="244" t="str">
        <f t="shared" si="46"/>
        <v>Knee Replacement RevisionSub-ICB of GP PracticeNHS SHROPSHIRE, TELFORD AND WREKIN ICB - M2L0M (M2L0M)Oxford Knee Score</v>
      </c>
      <c r="C2958" t="s">
        <v>973</v>
      </c>
      <c r="D2958" t="s">
        <v>1021</v>
      </c>
      <c r="E2958" t="s">
        <v>911</v>
      </c>
      <c r="F2958" t="s">
        <v>912</v>
      </c>
      <c r="G2958" t="s">
        <v>972</v>
      </c>
      <c r="H2958">
        <v>17</v>
      </c>
      <c r="I2958">
        <v>18.2941</v>
      </c>
      <c r="J2958">
        <v>32</v>
      </c>
      <c r="K2958">
        <v>13.7059</v>
      </c>
      <c r="L2958">
        <v>15</v>
      </c>
      <c r="M2958">
        <v>0</v>
      </c>
      <c r="N2958">
        <v>2</v>
      </c>
      <c r="O2958" t="s">
        <v>127</v>
      </c>
      <c r="P2958" t="s">
        <v>127</v>
      </c>
      <c r="Q2958" t="s">
        <v>127</v>
      </c>
    </row>
    <row r="2959" spans="1:17" x14ac:dyDescent="0.25">
      <c r="A2959" t="str">
        <f>IF(C2959&amp;G2959&amp;D2959&lt;&gt;'Funnel setup'!$K$3&amp;'Funnel setup'!$K$4&amp;'Funnel setup'!$K$6,".",IF(A2958=".",1,A2958+1))</f>
        <v>.</v>
      </c>
      <c r="B2959" s="244" t="str">
        <f t="shared" si="46"/>
        <v>Knee Replacement RevisionSub-ICB of GP PracticeNHS SOUTH EAST LONDON ICB - 72Q (72Q)Oxford Knee Score</v>
      </c>
      <c r="C2959" t="s">
        <v>973</v>
      </c>
      <c r="D2959" t="s">
        <v>1021</v>
      </c>
      <c r="E2959" t="s">
        <v>915</v>
      </c>
      <c r="F2959" t="s">
        <v>916</v>
      </c>
      <c r="G2959" t="s">
        <v>972</v>
      </c>
      <c r="H2959">
        <v>10</v>
      </c>
      <c r="I2959">
        <v>10.8</v>
      </c>
      <c r="J2959">
        <v>18.100000000000001</v>
      </c>
      <c r="K2959">
        <v>7.3</v>
      </c>
      <c r="L2959">
        <v>7</v>
      </c>
      <c r="M2959">
        <v>1</v>
      </c>
      <c r="N2959">
        <v>2</v>
      </c>
      <c r="O2959" t="s">
        <v>127</v>
      </c>
      <c r="P2959" t="s">
        <v>127</v>
      </c>
      <c r="Q2959" t="s">
        <v>127</v>
      </c>
    </row>
    <row r="2960" spans="1:17" x14ac:dyDescent="0.25">
      <c r="A2960" t="str">
        <f>IF(C2960&amp;G2960&amp;D2960&lt;&gt;'Funnel setup'!$K$3&amp;'Funnel setup'!$K$4&amp;'Funnel setup'!$K$6,".",IF(A2959=".",1,A2959+1))</f>
        <v>.</v>
      </c>
      <c r="B2960" s="244" t="str">
        <f t="shared" si="46"/>
        <v>Knee Replacement RevisionSub-ICB of GP PracticeNHS SOUTH WEST LONDON ICB - 36L (36L)Oxford Knee Score</v>
      </c>
      <c r="C2960" t="s">
        <v>973</v>
      </c>
      <c r="D2960" t="s">
        <v>1021</v>
      </c>
      <c r="E2960" t="s">
        <v>917</v>
      </c>
      <c r="F2960" t="s">
        <v>918</v>
      </c>
      <c r="G2960" t="s">
        <v>972</v>
      </c>
      <c r="H2960">
        <v>12</v>
      </c>
      <c r="I2960">
        <v>16</v>
      </c>
      <c r="J2960">
        <v>30</v>
      </c>
      <c r="K2960">
        <v>14</v>
      </c>
      <c r="L2960">
        <v>9</v>
      </c>
      <c r="M2960">
        <v>0</v>
      </c>
      <c r="N2960">
        <v>3</v>
      </c>
      <c r="O2960" t="s">
        <v>127</v>
      </c>
      <c r="P2960" t="s">
        <v>127</v>
      </c>
      <c r="Q2960" t="s">
        <v>127</v>
      </c>
    </row>
    <row r="2961" spans="1:17" x14ac:dyDescent="0.25">
      <c r="A2961" t="str">
        <f>IF(C2961&amp;G2961&amp;D2961&lt;&gt;'Funnel setup'!$K$3&amp;'Funnel setup'!$K$4&amp;'Funnel setup'!$K$6,".",IF(A2960=".",1,A2960+1))</f>
        <v>.</v>
      </c>
      <c r="B2961" s="244" t="str">
        <f t="shared" si="46"/>
        <v>Knee Replacement RevisionSub-ICB of GP PracticeNHS SOUTH YORKSHIRE ICB - 02P (02P)Oxford Knee Score</v>
      </c>
      <c r="C2961" t="s">
        <v>973</v>
      </c>
      <c r="D2961" t="s">
        <v>1021</v>
      </c>
      <c r="E2961" t="s">
        <v>919</v>
      </c>
      <c r="F2961" t="s">
        <v>920</v>
      </c>
      <c r="G2961" t="s">
        <v>972</v>
      </c>
      <c r="H2961">
        <v>2</v>
      </c>
      <c r="I2961">
        <v>12</v>
      </c>
      <c r="J2961">
        <v>24.5</v>
      </c>
      <c r="K2961">
        <v>12.5</v>
      </c>
      <c r="L2961">
        <v>2</v>
      </c>
      <c r="M2961">
        <v>0</v>
      </c>
      <c r="N2961">
        <v>0</v>
      </c>
      <c r="O2961" t="s">
        <v>127</v>
      </c>
      <c r="P2961" t="s">
        <v>127</v>
      </c>
      <c r="Q2961" t="s">
        <v>127</v>
      </c>
    </row>
    <row r="2962" spans="1:17" x14ac:dyDescent="0.25">
      <c r="A2962" t="str">
        <f>IF(C2962&amp;G2962&amp;D2962&lt;&gt;'Funnel setup'!$K$3&amp;'Funnel setup'!$K$4&amp;'Funnel setup'!$K$6,".",IF(A2961=".",1,A2961+1))</f>
        <v>.</v>
      </c>
      <c r="B2962" s="244" t="str">
        <f t="shared" si="46"/>
        <v>Knee Replacement RevisionSub-ICB of GP PracticeNHS SOUTH YORKSHIRE ICB - 03N (03N)Oxford Knee Score</v>
      </c>
      <c r="C2962" t="s">
        <v>973</v>
      </c>
      <c r="D2962" t="s">
        <v>1021</v>
      </c>
      <c r="E2962" t="s">
        <v>925</v>
      </c>
      <c r="F2962" t="s">
        <v>926</v>
      </c>
      <c r="G2962" t="s">
        <v>972</v>
      </c>
      <c r="H2962">
        <v>1</v>
      </c>
      <c r="I2962">
        <v>23</v>
      </c>
      <c r="J2962">
        <v>39</v>
      </c>
      <c r="K2962">
        <v>16</v>
      </c>
      <c r="L2962">
        <v>1</v>
      </c>
      <c r="M2962">
        <v>0</v>
      </c>
      <c r="N2962">
        <v>0</v>
      </c>
      <c r="O2962" t="s">
        <v>127</v>
      </c>
      <c r="P2962" t="s">
        <v>127</v>
      </c>
      <c r="Q2962" t="s">
        <v>127</v>
      </c>
    </row>
    <row r="2963" spans="1:17" x14ac:dyDescent="0.25">
      <c r="A2963" t="str">
        <f>IF(C2963&amp;G2963&amp;D2963&lt;&gt;'Funnel setup'!$K$3&amp;'Funnel setup'!$K$4&amp;'Funnel setup'!$K$6,".",IF(A2962=".",1,A2962+1))</f>
        <v>.</v>
      </c>
      <c r="B2963" s="244" t="str">
        <f t="shared" si="46"/>
        <v>Knee Replacement RevisionSub-ICB of GP PracticeNHS STAFFORDSHIRE AND STOKE-ON-TRENT ICB - 05D (05D)Oxford Knee Score</v>
      </c>
      <c r="C2963" t="s">
        <v>973</v>
      </c>
      <c r="D2963" t="s">
        <v>1021</v>
      </c>
      <c r="E2963" t="s">
        <v>929</v>
      </c>
      <c r="F2963" t="s">
        <v>930</v>
      </c>
      <c r="G2963" t="s">
        <v>972</v>
      </c>
      <c r="H2963">
        <v>7</v>
      </c>
      <c r="I2963">
        <v>14.7143</v>
      </c>
      <c r="J2963">
        <v>25.428599999999999</v>
      </c>
      <c r="K2963">
        <v>10.7143</v>
      </c>
      <c r="L2963">
        <v>5</v>
      </c>
      <c r="M2963">
        <v>0</v>
      </c>
      <c r="N2963">
        <v>2</v>
      </c>
      <c r="O2963" t="s">
        <v>127</v>
      </c>
      <c r="P2963" t="s">
        <v>127</v>
      </c>
      <c r="Q2963" t="s">
        <v>127</v>
      </c>
    </row>
    <row r="2964" spans="1:17" x14ac:dyDescent="0.25">
      <c r="A2964" t="str">
        <f>IF(C2964&amp;G2964&amp;D2964&lt;&gt;'Funnel setup'!$K$3&amp;'Funnel setup'!$K$4&amp;'Funnel setup'!$K$6,".",IF(A2963=".",1,A2963+1))</f>
        <v>.</v>
      </c>
      <c r="B2964" s="244" t="str">
        <f t="shared" si="46"/>
        <v>Knee Replacement RevisionSub-ICB of GP PracticeNHS STAFFORDSHIRE AND STOKE-ON-TRENT ICB - 05G (05G)Oxford Knee Score</v>
      </c>
      <c r="C2964" t="s">
        <v>973</v>
      </c>
      <c r="D2964" t="s">
        <v>1021</v>
      </c>
      <c r="E2964" t="s">
        <v>931</v>
      </c>
      <c r="F2964" t="s">
        <v>932</v>
      </c>
      <c r="G2964" t="s">
        <v>972</v>
      </c>
      <c r="H2964">
        <v>2</v>
      </c>
      <c r="I2964">
        <v>18.5</v>
      </c>
      <c r="J2964">
        <v>11</v>
      </c>
      <c r="K2964">
        <v>-7.5</v>
      </c>
      <c r="L2964">
        <v>0</v>
      </c>
      <c r="M2964">
        <v>0</v>
      </c>
      <c r="N2964">
        <v>2</v>
      </c>
      <c r="O2964" t="s">
        <v>127</v>
      </c>
      <c r="P2964" t="s">
        <v>127</v>
      </c>
      <c r="Q2964" t="s">
        <v>127</v>
      </c>
    </row>
    <row r="2965" spans="1:17" x14ac:dyDescent="0.25">
      <c r="A2965" t="str">
        <f>IF(C2965&amp;G2965&amp;D2965&lt;&gt;'Funnel setup'!$K$3&amp;'Funnel setup'!$K$4&amp;'Funnel setup'!$K$6,".",IF(A2964=".",1,A2964+1))</f>
        <v>.</v>
      </c>
      <c r="B2965" s="244" t="str">
        <f t="shared" si="46"/>
        <v>Knee Replacement RevisionSub-ICB of GP PracticeNHS STAFFORDSHIRE AND STOKE-ON-TRENT ICB - 05Q (05Q)Oxford Knee Score</v>
      </c>
      <c r="C2965" t="s">
        <v>973</v>
      </c>
      <c r="D2965" t="s">
        <v>1021</v>
      </c>
      <c r="E2965" t="s">
        <v>933</v>
      </c>
      <c r="F2965" t="s">
        <v>934</v>
      </c>
      <c r="G2965" t="s">
        <v>972</v>
      </c>
      <c r="H2965">
        <v>6</v>
      </c>
      <c r="I2965">
        <v>19</v>
      </c>
      <c r="J2965">
        <v>34.333300000000001</v>
      </c>
      <c r="K2965">
        <v>15.333299999999999</v>
      </c>
      <c r="L2965">
        <v>6</v>
      </c>
      <c r="M2965">
        <v>0</v>
      </c>
      <c r="N2965">
        <v>0</v>
      </c>
      <c r="O2965" t="s">
        <v>127</v>
      </c>
      <c r="P2965" t="s">
        <v>127</v>
      </c>
      <c r="Q2965" t="s">
        <v>127</v>
      </c>
    </row>
    <row r="2966" spans="1:17" x14ac:dyDescent="0.25">
      <c r="A2966" t="str">
        <f>IF(C2966&amp;G2966&amp;D2966&lt;&gt;'Funnel setup'!$K$3&amp;'Funnel setup'!$K$4&amp;'Funnel setup'!$K$6,".",IF(A2965=".",1,A2965+1))</f>
        <v>.</v>
      </c>
      <c r="B2966" s="244" t="str">
        <f t="shared" si="46"/>
        <v>Knee Replacement RevisionSub-ICB of GP PracticeNHS STAFFORDSHIRE AND STOKE-ON-TRENT ICB - 05W (05W)Oxford Knee Score</v>
      </c>
      <c r="C2966" t="s">
        <v>973</v>
      </c>
      <c r="D2966" t="s">
        <v>1021</v>
      </c>
      <c r="E2966" t="s">
        <v>937</v>
      </c>
      <c r="F2966" t="s">
        <v>938</v>
      </c>
      <c r="G2966" t="s">
        <v>972</v>
      </c>
      <c r="H2966">
        <v>5</v>
      </c>
      <c r="I2966">
        <v>15</v>
      </c>
      <c r="J2966">
        <v>30.6</v>
      </c>
      <c r="K2966">
        <v>15.6</v>
      </c>
      <c r="L2966">
        <v>5</v>
      </c>
      <c r="M2966">
        <v>0</v>
      </c>
      <c r="N2966">
        <v>0</v>
      </c>
      <c r="O2966" t="s">
        <v>127</v>
      </c>
      <c r="P2966" t="s">
        <v>127</v>
      </c>
      <c r="Q2966" t="s">
        <v>127</v>
      </c>
    </row>
    <row r="2967" spans="1:17" x14ac:dyDescent="0.25">
      <c r="A2967" t="str">
        <f>IF(C2967&amp;G2967&amp;D2967&lt;&gt;'Funnel setup'!$K$3&amp;'Funnel setup'!$K$4&amp;'Funnel setup'!$K$6,".",IF(A2966=".",1,A2966+1))</f>
        <v>.</v>
      </c>
      <c r="B2967" s="244" t="str">
        <f t="shared" si="46"/>
        <v>Knee Replacement RevisionSub-ICB of GP PracticeNHS SUFFOLK AND NORTH EAST ESSEX ICB - 06L (06L)Oxford Knee Score</v>
      </c>
      <c r="C2967" t="s">
        <v>973</v>
      </c>
      <c r="D2967" t="s">
        <v>1021</v>
      </c>
      <c r="E2967" t="s">
        <v>939</v>
      </c>
      <c r="F2967" t="s">
        <v>940</v>
      </c>
      <c r="G2967" t="s">
        <v>972</v>
      </c>
      <c r="H2967">
        <v>4</v>
      </c>
      <c r="I2967">
        <v>12.75</v>
      </c>
      <c r="J2967">
        <v>38</v>
      </c>
      <c r="K2967">
        <v>25.25</v>
      </c>
      <c r="L2967">
        <v>4</v>
      </c>
      <c r="M2967">
        <v>0</v>
      </c>
      <c r="N2967">
        <v>0</v>
      </c>
      <c r="O2967" t="s">
        <v>127</v>
      </c>
      <c r="P2967" t="s">
        <v>127</v>
      </c>
      <c r="Q2967" t="s">
        <v>127</v>
      </c>
    </row>
    <row r="2968" spans="1:17" x14ac:dyDescent="0.25">
      <c r="A2968" t="str">
        <f>IF(C2968&amp;G2968&amp;D2968&lt;&gt;'Funnel setup'!$K$3&amp;'Funnel setup'!$K$4&amp;'Funnel setup'!$K$6,".",IF(A2967=".",1,A2967+1))</f>
        <v>.</v>
      </c>
      <c r="B2968" s="244" t="str">
        <f t="shared" si="46"/>
        <v>Knee Replacement RevisionSub-ICB of GP PracticeNHS SUFFOLK AND NORTH EAST ESSEX ICB - 06T (06T)Oxford Knee Score</v>
      </c>
      <c r="C2968" t="s">
        <v>973</v>
      </c>
      <c r="D2968" t="s">
        <v>1021</v>
      </c>
      <c r="E2968" t="s">
        <v>941</v>
      </c>
      <c r="F2968" t="s">
        <v>942</v>
      </c>
      <c r="G2968" t="s">
        <v>972</v>
      </c>
      <c r="H2968">
        <v>2</v>
      </c>
      <c r="I2968">
        <v>15</v>
      </c>
      <c r="J2968">
        <v>20</v>
      </c>
      <c r="K2968">
        <v>5</v>
      </c>
      <c r="L2968">
        <v>1</v>
      </c>
      <c r="M2968">
        <v>0</v>
      </c>
      <c r="N2968">
        <v>1</v>
      </c>
      <c r="O2968" t="s">
        <v>127</v>
      </c>
      <c r="P2968" t="s">
        <v>127</v>
      </c>
      <c r="Q2968" t="s">
        <v>127</v>
      </c>
    </row>
    <row r="2969" spans="1:17" x14ac:dyDescent="0.25">
      <c r="A2969" t="str">
        <f>IF(C2969&amp;G2969&amp;D2969&lt;&gt;'Funnel setup'!$K$3&amp;'Funnel setup'!$K$4&amp;'Funnel setup'!$K$6,".",IF(A2968=".",1,A2968+1))</f>
        <v>.</v>
      </c>
      <c r="B2969" s="244" t="str">
        <f t="shared" si="46"/>
        <v>Knee Replacement RevisionSub-ICB of GP PracticeNHS SUFFOLK AND NORTH EAST ESSEX ICB - 07K (07K)Oxford Knee Score</v>
      </c>
      <c r="C2969" t="s">
        <v>973</v>
      </c>
      <c r="D2969" t="s">
        <v>1021</v>
      </c>
      <c r="E2969" t="s">
        <v>943</v>
      </c>
      <c r="F2969" t="s">
        <v>944</v>
      </c>
      <c r="G2969" t="s">
        <v>972</v>
      </c>
      <c r="H2969">
        <v>4</v>
      </c>
      <c r="I2969">
        <v>10.25</v>
      </c>
      <c r="J2969">
        <v>30.5</v>
      </c>
      <c r="K2969">
        <v>20.25</v>
      </c>
      <c r="L2969">
        <v>4</v>
      </c>
      <c r="M2969">
        <v>0</v>
      </c>
      <c r="N2969">
        <v>0</v>
      </c>
      <c r="O2969" t="s">
        <v>127</v>
      </c>
      <c r="P2969" t="s">
        <v>127</v>
      </c>
      <c r="Q2969" t="s">
        <v>127</v>
      </c>
    </row>
    <row r="2970" spans="1:17" x14ac:dyDescent="0.25">
      <c r="A2970" t="str">
        <f>IF(C2970&amp;G2970&amp;D2970&lt;&gt;'Funnel setup'!$K$3&amp;'Funnel setup'!$K$4&amp;'Funnel setup'!$K$6,".",IF(A2969=".",1,A2969+1))</f>
        <v>.</v>
      </c>
      <c r="B2970" s="244" t="str">
        <f t="shared" si="46"/>
        <v>Knee Replacement RevisionSub-ICB of GP PracticeNHS SURREY HEARTLANDS ICB - 92A (92A)Oxford Knee Score</v>
      </c>
      <c r="C2970" t="s">
        <v>973</v>
      </c>
      <c r="D2970" t="s">
        <v>1021</v>
      </c>
      <c r="E2970" t="s">
        <v>945</v>
      </c>
      <c r="F2970" t="s">
        <v>946</v>
      </c>
      <c r="G2970" t="s">
        <v>972</v>
      </c>
      <c r="H2970">
        <v>11</v>
      </c>
      <c r="I2970">
        <v>16.909099999999999</v>
      </c>
      <c r="J2970">
        <v>23.818200000000001</v>
      </c>
      <c r="K2970">
        <v>6.90909</v>
      </c>
      <c r="L2970">
        <v>7</v>
      </c>
      <c r="M2970">
        <v>0</v>
      </c>
      <c r="N2970">
        <v>4</v>
      </c>
      <c r="O2970" t="s">
        <v>127</v>
      </c>
      <c r="P2970" t="s">
        <v>127</v>
      </c>
      <c r="Q2970" t="s">
        <v>127</v>
      </c>
    </row>
    <row r="2971" spans="1:17" x14ac:dyDescent="0.25">
      <c r="A2971" t="str">
        <f>IF(C2971&amp;G2971&amp;D2971&lt;&gt;'Funnel setup'!$K$3&amp;'Funnel setup'!$K$4&amp;'Funnel setup'!$K$6,".",IF(A2970=".",1,A2970+1))</f>
        <v>.</v>
      </c>
      <c r="B2971" s="244" t="str">
        <f t="shared" si="46"/>
        <v>Knee Replacement RevisionSub-ICB of GP PracticeNHS SUSSEX ICB - 70F (70F)Oxford Knee Score</v>
      </c>
      <c r="C2971" t="s">
        <v>973</v>
      </c>
      <c r="D2971" t="s">
        <v>1021</v>
      </c>
      <c r="E2971" t="s">
        <v>949</v>
      </c>
      <c r="F2971" t="s">
        <v>950</v>
      </c>
      <c r="G2971" t="s">
        <v>972</v>
      </c>
      <c r="H2971">
        <v>5</v>
      </c>
      <c r="I2971">
        <v>10.6</v>
      </c>
      <c r="J2971">
        <v>36.6</v>
      </c>
      <c r="K2971">
        <v>26</v>
      </c>
      <c r="L2971">
        <v>5</v>
      </c>
      <c r="M2971">
        <v>0</v>
      </c>
      <c r="N2971">
        <v>0</v>
      </c>
      <c r="O2971" t="s">
        <v>127</v>
      </c>
      <c r="P2971" t="s">
        <v>127</v>
      </c>
      <c r="Q2971" t="s">
        <v>127</v>
      </c>
    </row>
    <row r="2972" spans="1:17" x14ac:dyDescent="0.25">
      <c r="A2972" t="str">
        <f>IF(C2972&amp;G2972&amp;D2972&lt;&gt;'Funnel setup'!$K$3&amp;'Funnel setup'!$K$4&amp;'Funnel setup'!$K$6,".",IF(A2971=".",1,A2971+1))</f>
        <v>.</v>
      </c>
      <c r="B2972" s="244" t="str">
        <f t="shared" si="46"/>
        <v>Knee Replacement RevisionSub-ICB of GP PracticeNHS SUSSEX ICB - 97R (97R)Oxford Knee Score</v>
      </c>
      <c r="C2972" t="s">
        <v>973</v>
      </c>
      <c r="D2972" t="s">
        <v>1021</v>
      </c>
      <c r="E2972" t="s">
        <v>951</v>
      </c>
      <c r="F2972" t="s">
        <v>952</v>
      </c>
      <c r="G2972" t="s">
        <v>972</v>
      </c>
      <c r="H2972">
        <v>9</v>
      </c>
      <c r="I2972">
        <v>12.8889</v>
      </c>
      <c r="J2972">
        <v>31.777799999999999</v>
      </c>
      <c r="K2972">
        <v>18.8889</v>
      </c>
      <c r="L2972">
        <v>8</v>
      </c>
      <c r="M2972">
        <v>0</v>
      </c>
      <c r="N2972">
        <v>1</v>
      </c>
      <c r="O2972" t="s">
        <v>127</v>
      </c>
      <c r="P2972" t="s">
        <v>127</v>
      </c>
      <c r="Q2972" t="s">
        <v>127</v>
      </c>
    </row>
    <row r="2973" spans="1:17" x14ac:dyDescent="0.25">
      <c r="A2973" t="str">
        <f>IF(C2973&amp;G2973&amp;D2973&lt;&gt;'Funnel setup'!$K$3&amp;'Funnel setup'!$K$4&amp;'Funnel setup'!$K$6,".",IF(A2972=".",1,A2972+1))</f>
        <v>.</v>
      </c>
      <c r="B2973" s="244" t="str">
        <f t="shared" si="46"/>
        <v>Knee Replacement RevisionSub-ICB of GP PracticeNHS WEST YORKSHIRE ICB - 02T (02T)Oxford Knee Score</v>
      </c>
      <c r="C2973" t="s">
        <v>973</v>
      </c>
      <c r="D2973" t="s">
        <v>1021</v>
      </c>
      <c r="E2973" t="s">
        <v>953</v>
      </c>
      <c r="F2973" t="s">
        <v>954</v>
      </c>
      <c r="G2973" t="s">
        <v>972</v>
      </c>
      <c r="H2973">
        <v>4</v>
      </c>
      <c r="I2973">
        <v>22.75</v>
      </c>
      <c r="J2973">
        <v>35.25</v>
      </c>
      <c r="K2973">
        <v>12.5</v>
      </c>
      <c r="L2973">
        <v>3</v>
      </c>
      <c r="M2973">
        <v>0</v>
      </c>
      <c r="N2973">
        <v>1</v>
      </c>
      <c r="O2973" t="s">
        <v>127</v>
      </c>
      <c r="P2973" t="s">
        <v>127</v>
      </c>
      <c r="Q2973" t="s">
        <v>127</v>
      </c>
    </row>
    <row r="2974" spans="1:17" x14ac:dyDescent="0.25">
      <c r="A2974" t="str">
        <f>IF(C2974&amp;G2974&amp;D2974&lt;&gt;'Funnel setup'!$K$3&amp;'Funnel setup'!$K$4&amp;'Funnel setup'!$K$6,".",IF(A2973=".",1,A2973+1))</f>
        <v>.</v>
      </c>
      <c r="B2974" s="244" t="str">
        <f t="shared" si="46"/>
        <v>Knee Replacement RevisionSub-ICB of GP PracticeNHS WEST YORKSHIRE ICB - 03R (03R)Oxford Knee Score</v>
      </c>
      <c r="C2974" t="s">
        <v>973</v>
      </c>
      <c r="D2974" t="s">
        <v>1021</v>
      </c>
      <c r="E2974" t="s">
        <v>955</v>
      </c>
      <c r="F2974" t="s">
        <v>956</v>
      </c>
      <c r="G2974" t="s">
        <v>972</v>
      </c>
      <c r="H2974">
        <v>16</v>
      </c>
      <c r="I2974">
        <v>18.5625</v>
      </c>
      <c r="J2974">
        <v>31.4375</v>
      </c>
      <c r="K2974">
        <v>12.875</v>
      </c>
      <c r="L2974">
        <v>12</v>
      </c>
      <c r="M2974">
        <v>1</v>
      </c>
      <c r="N2974">
        <v>3</v>
      </c>
      <c r="O2974" t="s">
        <v>127</v>
      </c>
      <c r="P2974" t="s">
        <v>127</v>
      </c>
      <c r="Q2974" t="s">
        <v>127</v>
      </c>
    </row>
    <row r="2975" spans="1:17" x14ac:dyDescent="0.25">
      <c r="A2975" t="str">
        <f>IF(C2975&amp;G2975&amp;D2975&lt;&gt;'Funnel setup'!$K$3&amp;'Funnel setup'!$K$4&amp;'Funnel setup'!$K$6,".",IF(A2974=".",1,A2974+1))</f>
        <v>.</v>
      </c>
      <c r="B2975" s="244" t="str">
        <f t="shared" si="46"/>
        <v>Knee Replacement RevisionSub-ICB of GP PracticeNHS WEST YORKSHIRE ICB - 15F (15F)Oxford Knee Score</v>
      </c>
      <c r="C2975" t="s">
        <v>973</v>
      </c>
      <c r="D2975" t="s">
        <v>1021</v>
      </c>
      <c r="E2975" t="s">
        <v>957</v>
      </c>
      <c r="F2975" t="s">
        <v>958</v>
      </c>
      <c r="G2975" t="s">
        <v>972</v>
      </c>
      <c r="H2975">
        <v>14</v>
      </c>
      <c r="I2975">
        <v>15.142899999999999</v>
      </c>
      <c r="J2975">
        <v>30.428599999999999</v>
      </c>
      <c r="K2975">
        <v>15.2857</v>
      </c>
      <c r="L2975">
        <v>14</v>
      </c>
      <c r="M2975">
        <v>0</v>
      </c>
      <c r="N2975">
        <v>0</v>
      </c>
      <c r="O2975" t="s">
        <v>127</v>
      </c>
      <c r="P2975" t="s">
        <v>127</v>
      </c>
      <c r="Q2975" t="s">
        <v>127</v>
      </c>
    </row>
    <row r="2976" spans="1:17" x14ac:dyDescent="0.25">
      <c r="A2976" t="str">
        <f>IF(C2976&amp;G2976&amp;D2976&lt;&gt;'Funnel setup'!$K$3&amp;'Funnel setup'!$K$4&amp;'Funnel setup'!$K$6,".",IF(A2975=".",1,A2975+1))</f>
        <v>.</v>
      </c>
      <c r="B2976" s="244" t="str">
        <f t="shared" si="46"/>
        <v>Knee Replacement RevisionSub-ICB of GP PracticeNHS WEST YORKSHIRE ICB - 36J (36J)Oxford Knee Score</v>
      </c>
      <c r="C2976" t="s">
        <v>973</v>
      </c>
      <c r="D2976" t="s">
        <v>1021</v>
      </c>
      <c r="E2976" t="s">
        <v>959</v>
      </c>
      <c r="F2976" t="s">
        <v>960</v>
      </c>
      <c r="G2976" t="s">
        <v>972</v>
      </c>
      <c r="H2976">
        <v>1</v>
      </c>
      <c r="I2976">
        <v>10</v>
      </c>
      <c r="J2976">
        <v>10</v>
      </c>
      <c r="K2976">
        <v>0</v>
      </c>
      <c r="L2976">
        <v>0</v>
      </c>
      <c r="M2976">
        <v>1</v>
      </c>
      <c r="N2976">
        <v>0</v>
      </c>
      <c r="O2976" t="s">
        <v>127</v>
      </c>
      <c r="P2976" t="s">
        <v>127</v>
      </c>
      <c r="Q2976" t="s">
        <v>127</v>
      </c>
    </row>
    <row r="2977" spans="1:17" x14ac:dyDescent="0.25">
      <c r="A2977" t="str">
        <f>IF(C2977&amp;G2977&amp;D2977&lt;&gt;'Funnel setup'!$K$3&amp;'Funnel setup'!$K$4&amp;'Funnel setup'!$K$6,".",IF(A2976=".",1,A2976+1))</f>
        <v>.</v>
      </c>
      <c r="B2977" s="244" t="str">
        <f t="shared" si="46"/>
        <v>Knee Replacement RevisionSub-ICB of GP PracticeNHS WEST YORKSHIRE ICB - X2C4Y (X2C4Y)Oxford Knee Score</v>
      </c>
      <c r="C2977" t="s">
        <v>973</v>
      </c>
      <c r="D2977" t="s">
        <v>1021</v>
      </c>
      <c r="E2977" t="s">
        <v>961</v>
      </c>
      <c r="F2977" t="s">
        <v>962</v>
      </c>
      <c r="G2977" t="s">
        <v>972</v>
      </c>
      <c r="H2977">
        <v>11</v>
      </c>
      <c r="I2977">
        <v>17.2727</v>
      </c>
      <c r="J2977">
        <v>35.2727</v>
      </c>
      <c r="K2977">
        <v>18</v>
      </c>
      <c r="L2977">
        <v>9</v>
      </c>
      <c r="M2977">
        <v>0</v>
      </c>
      <c r="N2977">
        <v>2</v>
      </c>
      <c r="O2977" t="s">
        <v>127</v>
      </c>
      <c r="P2977" t="s">
        <v>127</v>
      </c>
      <c r="Q2977" t="s">
        <v>127</v>
      </c>
    </row>
    <row r="2978" spans="1:17" x14ac:dyDescent="0.25">
      <c r="A2978" t="str">
        <f>IF(C2978&amp;G2978&amp;D2978&lt;&gt;'Funnel setup'!$K$3&amp;'Funnel setup'!$K$4&amp;'Funnel setup'!$K$6,".",IF(A2977=".",1,A2977+1))</f>
        <v>.</v>
      </c>
      <c r="B2978" s="244" t="str">
        <f t="shared" si="46"/>
        <v>Knee Replacement RevisionEnglandEnglandEQ VAS</v>
      </c>
      <c r="C2978" t="s">
        <v>973</v>
      </c>
      <c r="D2978" t="s">
        <v>122</v>
      </c>
      <c r="E2978" t="s">
        <v>122</v>
      </c>
      <c r="F2978" t="s">
        <v>122</v>
      </c>
      <c r="G2978" t="s">
        <v>752</v>
      </c>
      <c r="H2978">
        <v>561</v>
      </c>
      <c r="I2978">
        <v>59.903700000000001</v>
      </c>
      <c r="J2978">
        <v>67.130099999999999</v>
      </c>
      <c r="K2978">
        <v>7.2263799999999998</v>
      </c>
      <c r="L2978">
        <v>326</v>
      </c>
      <c r="M2978">
        <v>63</v>
      </c>
      <c r="N2978">
        <v>172</v>
      </c>
      <c r="O2978">
        <v>67.130099999999999</v>
      </c>
      <c r="P2978">
        <v>7.2263799999999998</v>
      </c>
      <c r="Q2978">
        <v>18.941500000000001</v>
      </c>
    </row>
    <row r="2979" spans="1:17" x14ac:dyDescent="0.25">
      <c r="A2979" t="str">
        <f>IF(C2979&amp;G2979&amp;D2979&lt;&gt;'Funnel setup'!$K$3&amp;'Funnel setup'!$K$4&amp;'Funnel setup'!$K$6,".",IF(A2978=".",1,A2978+1))</f>
        <v>.</v>
      </c>
      <c r="B2979" s="244" t="str">
        <f t="shared" si="46"/>
        <v>Knee Replacement RevisionEnglandEnglandEQ-5D Index</v>
      </c>
      <c r="C2979" t="s">
        <v>973</v>
      </c>
      <c r="D2979" t="s">
        <v>122</v>
      </c>
      <c r="E2979" t="s">
        <v>122</v>
      </c>
      <c r="F2979" t="s">
        <v>122</v>
      </c>
      <c r="G2979" t="s">
        <v>963</v>
      </c>
      <c r="H2979">
        <v>569</v>
      </c>
      <c r="I2979">
        <v>0.31195600000000001</v>
      </c>
      <c r="J2979">
        <v>0.61948300000000001</v>
      </c>
      <c r="K2979">
        <v>0.30752699999999999</v>
      </c>
      <c r="L2979">
        <v>429</v>
      </c>
      <c r="M2979">
        <v>55</v>
      </c>
      <c r="N2979">
        <v>85</v>
      </c>
      <c r="O2979">
        <v>0.61948300000000001</v>
      </c>
      <c r="P2979">
        <v>0.30752699999999999</v>
      </c>
      <c r="Q2979">
        <v>0.27795300000000001</v>
      </c>
    </row>
    <row r="2980" spans="1:17" x14ac:dyDescent="0.25">
      <c r="A2980" t="str">
        <f>IF(C2980&amp;G2980&amp;D2980&lt;&gt;'Funnel setup'!$K$3&amp;'Funnel setup'!$K$4&amp;'Funnel setup'!$K$6,".",IF(A2979=".",1,A2979+1))</f>
        <v>.</v>
      </c>
      <c r="B2980" s="244" t="str">
        <f t="shared" si="46"/>
        <v>Knee Replacement RevisionEnglandEnglandOxford Knee Score</v>
      </c>
      <c r="C2980" t="s">
        <v>973</v>
      </c>
      <c r="D2980" t="s">
        <v>122</v>
      </c>
      <c r="E2980" t="s">
        <v>122</v>
      </c>
      <c r="F2980" t="s">
        <v>122</v>
      </c>
      <c r="G2980" t="s">
        <v>972</v>
      </c>
      <c r="H2980">
        <v>611</v>
      </c>
      <c r="I2980">
        <v>16.327300000000001</v>
      </c>
      <c r="J2980">
        <v>30.296199999999999</v>
      </c>
      <c r="K2980">
        <v>13.9689</v>
      </c>
      <c r="L2980">
        <v>532</v>
      </c>
      <c r="M2980">
        <v>7</v>
      </c>
      <c r="N2980">
        <v>72</v>
      </c>
      <c r="O2980">
        <v>30.296199999999999</v>
      </c>
      <c r="P2980">
        <v>13.9689</v>
      </c>
      <c r="Q2980">
        <v>10.386699999999999</v>
      </c>
    </row>
    <row r="2981" spans="1:17" x14ac:dyDescent="0.25">
      <c r="A2981" t="str">
        <f>IF(C2981&amp;G2981&amp;D2981&lt;&gt;'Funnel setup'!$K$3&amp;'Funnel setup'!$K$4&amp;'Funnel setup'!$K$6,".",IF(A2980=".",1,A2980+1))</f>
        <v>.</v>
      </c>
      <c r="B2981" s="244" t="str">
        <f t="shared" si="46"/>
        <v>Knee Replacement RevisionProviderASHFORD AND ST PETER'S HOSPITALS NHS FOUNDATION TRUST (RTK)EQ VAS</v>
      </c>
      <c r="C2981" t="s">
        <v>973</v>
      </c>
      <c r="D2981" t="s">
        <v>965</v>
      </c>
      <c r="E2981" t="s">
        <v>132</v>
      </c>
      <c r="F2981" t="s">
        <v>133</v>
      </c>
      <c r="G2981" t="s">
        <v>752</v>
      </c>
      <c r="H2981">
        <v>1</v>
      </c>
      <c r="I2981">
        <v>70</v>
      </c>
      <c r="J2981">
        <v>12</v>
      </c>
      <c r="K2981">
        <v>-58</v>
      </c>
      <c r="L2981">
        <v>0</v>
      </c>
      <c r="M2981">
        <v>0</v>
      </c>
      <c r="N2981">
        <v>1</v>
      </c>
      <c r="O2981" t="s">
        <v>127</v>
      </c>
      <c r="P2981" t="s">
        <v>127</v>
      </c>
      <c r="Q2981" t="s">
        <v>127</v>
      </c>
    </row>
    <row r="2982" spans="1:17" x14ac:dyDescent="0.25">
      <c r="A2982" t="str">
        <f>IF(C2982&amp;G2982&amp;D2982&lt;&gt;'Funnel setup'!$K$3&amp;'Funnel setup'!$K$4&amp;'Funnel setup'!$K$6,".",IF(A2981=".",1,A2981+1))</f>
        <v>.</v>
      </c>
      <c r="B2982" s="244" t="str">
        <f t="shared" si="46"/>
        <v>Knee Replacement RevisionProviderBARKING, HAVERING AND REDBRIDGE UNIVERSITY HOSPITALS NHS TRUST (RF4)EQ VAS</v>
      </c>
      <c r="C2982" t="s">
        <v>973</v>
      </c>
      <c r="D2982" t="s">
        <v>965</v>
      </c>
      <c r="E2982" t="s">
        <v>144</v>
      </c>
      <c r="F2982" t="s">
        <v>145</v>
      </c>
      <c r="G2982" t="s">
        <v>752</v>
      </c>
      <c r="H2982">
        <v>1</v>
      </c>
      <c r="I2982">
        <v>50</v>
      </c>
      <c r="J2982">
        <v>65</v>
      </c>
      <c r="K2982">
        <v>15</v>
      </c>
      <c r="L2982">
        <v>1</v>
      </c>
      <c r="M2982">
        <v>0</v>
      </c>
      <c r="N2982">
        <v>0</v>
      </c>
      <c r="O2982" t="s">
        <v>127</v>
      </c>
      <c r="P2982" t="s">
        <v>127</v>
      </c>
      <c r="Q2982" t="s">
        <v>127</v>
      </c>
    </row>
    <row r="2983" spans="1:17" x14ac:dyDescent="0.25">
      <c r="A2983" t="str">
        <f>IF(C2983&amp;G2983&amp;D2983&lt;&gt;'Funnel setup'!$K$3&amp;'Funnel setup'!$K$4&amp;'Funnel setup'!$K$6,".",IF(A2982=".",1,A2982+1))</f>
        <v>.</v>
      </c>
      <c r="B2983" s="244" t="str">
        <f t="shared" si="46"/>
        <v>Knee Replacement RevisionProviderBARNSLEY HOSPITAL NHS FOUNDATION TRUST (RFF)EQ VAS</v>
      </c>
      <c r="C2983" t="s">
        <v>973</v>
      </c>
      <c r="D2983" t="s">
        <v>965</v>
      </c>
      <c r="E2983" t="s">
        <v>146</v>
      </c>
      <c r="F2983" t="s">
        <v>147</v>
      </c>
      <c r="G2983" t="s">
        <v>752</v>
      </c>
      <c r="H2983">
        <v>1</v>
      </c>
      <c r="I2983">
        <v>50</v>
      </c>
      <c r="J2983">
        <v>69</v>
      </c>
      <c r="K2983">
        <v>19</v>
      </c>
      <c r="L2983">
        <v>1</v>
      </c>
      <c r="M2983">
        <v>0</v>
      </c>
      <c r="N2983">
        <v>0</v>
      </c>
      <c r="O2983" t="s">
        <v>127</v>
      </c>
      <c r="P2983" t="s">
        <v>127</v>
      </c>
      <c r="Q2983" t="s">
        <v>127</v>
      </c>
    </row>
    <row r="2984" spans="1:17" x14ac:dyDescent="0.25">
      <c r="A2984" t="str">
        <f>IF(C2984&amp;G2984&amp;D2984&lt;&gt;'Funnel setup'!$K$3&amp;'Funnel setup'!$K$4&amp;'Funnel setup'!$K$6,".",IF(A2983=".",1,A2983+1))</f>
        <v>.</v>
      </c>
      <c r="B2984" s="244" t="str">
        <f t="shared" si="46"/>
        <v>Knee Replacement RevisionProviderBARTS HEALTH NHS TRUST (R1H)EQ VAS</v>
      </c>
      <c r="C2984" t="s">
        <v>973</v>
      </c>
      <c r="D2984" t="s">
        <v>965</v>
      </c>
      <c r="E2984" t="s">
        <v>148</v>
      </c>
      <c r="F2984" t="s">
        <v>149</v>
      </c>
      <c r="G2984" t="s">
        <v>752</v>
      </c>
      <c r="H2984">
        <v>5</v>
      </c>
      <c r="I2984">
        <v>61.2</v>
      </c>
      <c r="J2984">
        <v>65</v>
      </c>
      <c r="K2984">
        <v>3.8</v>
      </c>
      <c r="L2984">
        <v>2</v>
      </c>
      <c r="M2984">
        <v>1</v>
      </c>
      <c r="N2984">
        <v>2</v>
      </c>
      <c r="O2984" t="s">
        <v>127</v>
      </c>
      <c r="P2984" t="s">
        <v>127</v>
      </c>
      <c r="Q2984" t="s">
        <v>127</v>
      </c>
    </row>
    <row r="2985" spans="1:17" x14ac:dyDescent="0.25">
      <c r="A2985" t="str">
        <f>IF(C2985&amp;G2985&amp;D2985&lt;&gt;'Funnel setup'!$K$3&amp;'Funnel setup'!$K$4&amp;'Funnel setup'!$K$6,".",IF(A2984=".",1,A2984+1))</f>
        <v>.</v>
      </c>
      <c r="B2985" s="244" t="str">
        <f t="shared" si="46"/>
        <v>Knee Replacement RevisionProviderBEARDWOOD HOSPITAL (NT403)EQ VAS</v>
      </c>
      <c r="C2985" t="s">
        <v>973</v>
      </c>
      <c r="D2985" t="s">
        <v>965</v>
      </c>
      <c r="E2985" t="s">
        <v>154</v>
      </c>
      <c r="F2985" t="s">
        <v>155</v>
      </c>
      <c r="G2985" t="s">
        <v>752</v>
      </c>
      <c r="H2985" t="s">
        <v>127</v>
      </c>
      <c r="I2985" t="s">
        <v>127</v>
      </c>
      <c r="J2985" t="s">
        <v>127</v>
      </c>
      <c r="K2985" t="s">
        <v>127</v>
      </c>
      <c r="L2985" t="s">
        <v>127</v>
      </c>
      <c r="M2985" t="s">
        <v>127</v>
      </c>
      <c r="N2985" t="s">
        <v>127</v>
      </c>
      <c r="O2985" t="s">
        <v>127</v>
      </c>
      <c r="P2985" t="s">
        <v>127</v>
      </c>
      <c r="Q2985" t="s">
        <v>127</v>
      </c>
    </row>
    <row r="2986" spans="1:17" x14ac:dyDescent="0.25">
      <c r="A2986" t="str">
        <f>IF(C2986&amp;G2986&amp;D2986&lt;&gt;'Funnel setup'!$K$3&amp;'Funnel setup'!$K$4&amp;'Funnel setup'!$K$6,".",IF(A2985=".",1,A2985+1))</f>
        <v>.</v>
      </c>
      <c r="B2986" s="244" t="str">
        <f t="shared" si="46"/>
        <v>Knee Replacement RevisionProviderBEAUMONT HOSPITAL (NT404)EQ VAS</v>
      </c>
      <c r="C2986" t="s">
        <v>973</v>
      </c>
      <c r="D2986" t="s">
        <v>965</v>
      </c>
      <c r="E2986" t="s">
        <v>156</v>
      </c>
      <c r="F2986" t="s">
        <v>157</v>
      </c>
      <c r="G2986" t="s">
        <v>752</v>
      </c>
      <c r="H2986" t="s">
        <v>127</v>
      </c>
      <c r="I2986" t="s">
        <v>127</v>
      </c>
      <c r="J2986" t="s">
        <v>127</v>
      </c>
      <c r="K2986" t="s">
        <v>127</v>
      </c>
      <c r="L2986" t="s">
        <v>127</v>
      </c>
      <c r="M2986" t="s">
        <v>127</v>
      </c>
      <c r="N2986" t="s">
        <v>127</v>
      </c>
      <c r="O2986" t="s">
        <v>127</v>
      </c>
      <c r="P2986" t="s">
        <v>127</v>
      </c>
      <c r="Q2986" t="s">
        <v>127</v>
      </c>
    </row>
    <row r="2987" spans="1:17" x14ac:dyDescent="0.25">
      <c r="A2987" t="str">
        <f>IF(C2987&amp;G2987&amp;D2987&lt;&gt;'Funnel setup'!$K$3&amp;'Funnel setup'!$K$4&amp;'Funnel setup'!$K$6,".",IF(A2986=".",1,A2986+1))</f>
        <v>.</v>
      </c>
      <c r="B2987" s="244" t="str">
        <f t="shared" si="46"/>
        <v>Knee Replacement RevisionProviderBEDFORDSHIRE HOSPITALS NHS FOUNDATION TRUST (RC9)EQ VAS</v>
      </c>
      <c r="C2987" t="s">
        <v>973</v>
      </c>
      <c r="D2987" t="s">
        <v>965</v>
      </c>
      <c r="E2987" t="s">
        <v>158</v>
      </c>
      <c r="F2987" t="s">
        <v>159</v>
      </c>
      <c r="G2987" t="s">
        <v>752</v>
      </c>
      <c r="H2987">
        <v>3</v>
      </c>
      <c r="I2987">
        <v>68.333299999999994</v>
      </c>
      <c r="J2987">
        <v>85.333299999999994</v>
      </c>
      <c r="K2987">
        <v>17</v>
      </c>
      <c r="L2987">
        <v>3</v>
      </c>
      <c r="M2987">
        <v>0</v>
      </c>
      <c r="N2987">
        <v>0</v>
      </c>
      <c r="O2987" t="s">
        <v>127</v>
      </c>
      <c r="P2987" t="s">
        <v>127</v>
      </c>
      <c r="Q2987" t="s">
        <v>127</v>
      </c>
    </row>
    <row r="2988" spans="1:17" x14ac:dyDescent="0.25">
      <c r="A2988" t="str">
        <f>IF(C2988&amp;G2988&amp;D2988&lt;&gt;'Funnel setup'!$K$3&amp;'Funnel setup'!$K$4&amp;'Funnel setup'!$K$6,".",IF(A2987=".",1,A2987+1))</f>
        <v>.</v>
      </c>
      <c r="B2988" s="244" t="str">
        <f t="shared" si="46"/>
        <v>Knee Replacement RevisionProviderBLACKPOOL TEACHING HOSPITALS NHS FOUNDATION TRUST (RXL)EQ VAS</v>
      </c>
      <c r="C2988" t="s">
        <v>973</v>
      </c>
      <c r="D2988" t="s">
        <v>965</v>
      </c>
      <c r="E2988" t="s">
        <v>170</v>
      </c>
      <c r="F2988" t="s">
        <v>171</v>
      </c>
      <c r="G2988" t="s">
        <v>752</v>
      </c>
      <c r="H2988">
        <v>1</v>
      </c>
      <c r="I2988">
        <v>50</v>
      </c>
      <c r="J2988">
        <v>49</v>
      </c>
      <c r="K2988">
        <v>-1</v>
      </c>
      <c r="L2988">
        <v>0</v>
      </c>
      <c r="M2988">
        <v>0</v>
      </c>
      <c r="N2988">
        <v>1</v>
      </c>
      <c r="O2988" t="s">
        <v>127</v>
      </c>
      <c r="P2988" t="s">
        <v>127</v>
      </c>
      <c r="Q2988" t="s">
        <v>127</v>
      </c>
    </row>
    <row r="2989" spans="1:17" x14ac:dyDescent="0.25">
      <c r="A2989" t="str">
        <f>IF(C2989&amp;G2989&amp;D2989&lt;&gt;'Funnel setup'!$K$3&amp;'Funnel setup'!$K$4&amp;'Funnel setup'!$K$6,".",IF(A2988=".",1,A2988+1))</f>
        <v>.</v>
      </c>
      <c r="B2989" s="244" t="str">
        <f t="shared" si="46"/>
        <v>Knee Replacement RevisionProviderBOLTON NHS FOUNDATION TRUST (RMC)EQ VAS</v>
      </c>
      <c r="C2989" t="s">
        <v>973</v>
      </c>
      <c r="D2989" t="s">
        <v>965</v>
      </c>
      <c r="E2989" t="s">
        <v>172</v>
      </c>
      <c r="F2989" t="s">
        <v>173</v>
      </c>
      <c r="G2989" t="s">
        <v>752</v>
      </c>
      <c r="H2989">
        <v>4</v>
      </c>
      <c r="I2989">
        <v>65</v>
      </c>
      <c r="J2989">
        <v>66.5</v>
      </c>
      <c r="K2989">
        <v>1.5</v>
      </c>
      <c r="L2989">
        <v>1</v>
      </c>
      <c r="M2989">
        <v>2</v>
      </c>
      <c r="N2989">
        <v>1</v>
      </c>
      <c r="O2989" t="s">
        <v>127</v>
      </c>
      <c r="P2989" t="s">
        <v>127</v>
      </c>
      <c r="Q2989" t="s">
        <v>127</v>
      </c>
    </row>
    <row r="2990" spans="1:17" x14ac:dyDescent="0.25">
      <c r="A2990" t="str">
        <f>IF(C2990&amp;G2990&amp;D2990&lt;&gt;'Funnel setup'!$K$3&amp;'Funnel setup'!$K$4&amp;'Funnel setup'!$K$6,".",IF(A2989=".",1,A2989+1))</f>
        <v>.</v>
      </c>
      <c r="B2990" s="244" t="str">
        <f t="shared" si="46"/>
        <v>Knee Replacement RevisionProviderBRADFORD TEACHING HOSPITALS NHS FOUNDATION TRUST (RAE)EQ VAS</v>
      </c>
      <c r="C2990" t="s">
        <v>973</v>
      </c>
      <c r="D2990" t="s">
        <v>965</v>
      </c>
      <c r="E2990" t="s">
        <v>174</v>
      </c>
      <c r="F2990" t="s">
        <v>175</v>
      </c>
      <c r="G2990" t="s">
        <v>752</v>
      </c>
      <c r="H2990">
        <v>1</v>
      </c>
      <c r="I2990">
        <v>70</v>
      </c>
      <c r="J2990">
        <v>71</v>
      </c>
      <c r="K2990">
        <v>1</v>
      </c>
      <c r="L2990">
        <v>1</v>
      </c>
      <c r="M2990">
        <v>0</v>
      </c>
      <c r="N2990">
        <v>0</v>
      </c>
      <c r="O2990" t="s">
        <v>127</v>
      </c>
      <c r="P2990" t="s">
        <v>127</v>
      </c>
      <c r="Q2990" t="s">
        <v>127</v>
      </c>
    </row>
    <row r="2991" spans="1:17" x14ac:dyDescent="0.25">
      <c r="A2991" t="str">
        <f>IF(C2991&amp;G2991&amp;D2991&lt;&gt;'Funnel setup'!$K$3&amp;'Funnel setup'!$K$4&amp;'Funnel setup'!$K$6,".",IF(A2990=".",1,A2990+1))</f>
        <v>.</v>
      </c>
      <c r="B2991" s="244" t="str">
        <f t="shared" si="46"/>
        <v>Knee Replacement RevisionProviderBUCKINGHAMSHIRE HEALTHCARE NHS TRUST (RXQ)EQ VAS</v>
      </c>
      <c r="C2991" t="s">
        <v>973</v>
      </c>
      <c r="D2991" t="s">
        <v>965</v>
      </c>
      <c r="E2991" t="s">
        <v>178</v>
      </c>
      <c r="F2991" t="s">
        <v>179</v>
      </c>
      <c r="G2991" t="s">
        <v>752</v>
      </c>
      <c r="H2991">
        <v>1</v>
      </c>
      <c r="I2991">
        <v>80</v>
      </c>
      <c r="J2991">
        <v>75</v>
      </c>
      <c r="K2991">
        <v>-5</v>
      </c>
      <c r="L2991">
        <v>0</v>
      </c>
      <c r="M2991">
        <v>0</v>
      </c>
      <c r="N2991">
        <v>1</v>
      </c>
      <c r="O2991" t="s">
        <v>127</v>
      </c>
      <c r="P2991" t="s">
        <v>127</v>
      </c>
      <c r="Q2991" t="s">
        <v>127</v>
      </c>
    </row>
    <row r="2992" spans="1:17" x14ac:dyDescent="0.25">
      <c r="A2992" t="str">
        <f>IF(C2992&amp;G2992&amp;D2992&lt;&gt;'Funnel setup'!$K$3&amp;'Funnel setup'!$K$4&amp;'Funnel setup'!$K$6,".",IF(A2991=".",1,A2991+1))</f>
        <v>.</v>
      </c>
      <c r="B2992" s="244" t="str">
        <f t="shared" si="46"/>
        <v>Knee Replacement RevisionProviderCALDERDALE AND HUDDERSFIELD NHS FOUNDATION TRUST (RWY)EQ VAS</v>
      </c>
      <c r="C2992" t="s">
        <v>973</v>
      </c>
      <c r="D2992" t="s">
        <v>965</v>
      </c>
      <c r="E2992" t="s">
        <v>180</v>
      </c>
      <c r="F2992" t="s">
        <v>181</v>
      </c>
      <c r="G2992" t="s">
        <v>752</v>
      </c>
      <c r="H2992">
        <v>5</v>
      </c>
      <c r="I2992">
        <v>69.599999999999994</v>
      </c>
      <c r="J2992">
        <v>80.8</v>
      </c>
      <c r="K2992">
        <v>11.2</v>
      </c>
      <c r="L2992">
        <v>3</v>
      </c>
      <c r="M2992">
        <v>0</v>
      </c>
      <c r="N2992">
        <v>2</v>
      </c>
      <c r="O2992" t="s">
        <v>127</v>
      </c>
      <c r="P2992" t="s">
        <v>127</v>
      </c>
      <c r="Q2992" t="s">
        <v>127</v>
      </c>
    </row>
    <row r="2993" spans="1:17" x14ac:dyDescent="0.25">
      <c r="A2993" t="str">
        <f>IF(C2993&amp;G2993&amp;D2993&lt;&gt;'Funnel setup'!$K$3&amp;'Funnel setup'!$K$4&amp;'Funnel setup'!$K$6,".",IF(A2992=".",1,A2992+1))</f>
        <v>.</v>
      </c>
      <c r="B2993" s="244" t="str">
        <f t="shared" si="46"/>
        <v>Knee Replacement RevisionProviderCAMBRIDGE UNIVERSITY HOSPITALS NHS FOUNDATION TRUST (RGT)EQ VAS</v>
      </c>
      <c r="C2993" t="s">
        <v>973</v>
      </c>
      <c r="D2993" t="s">
        <v>965</v>
      </c>
      <c r="E2993" t="s">
        <v>182</v>
      </c>
      <c r="F2993" t="s">
        <v>183</v>
      </c>
      <c r="G2993" t="s">
        <v>752</v>
      </c>
      <c r="H2993">
        <v>4</v>
      </c>
      <c r="I2993">
        <v>53</v>
      </c>
      <c r="J2993">
        <v>66.25</v>
      </c>
      <c r="K2993">
        <v>13.25</v>
      </c>
      <c r="L2993">
        <v>3</v>
      </c>
      <c r="M2993">
        <v>1</v>
      </c>
      <c r="N2993">
        <v>0</v>
      </c>
      <c r="O2993" t="s">
        <v>127</v>
      </c>
      <c r="P2993" t="s">
        <v>127</v>
      </c>
      <c r="Q2993" t="s">
        <v>127</v>
      </c>
    </row>
    <row r="2994" spans="1:17" x14ac:dyDescent="0.25">
      <c r="A2994" t="str">
        <f>IF(C2994&amp;G2994&amp;D2994&lt;&gt;'Funnel setup'!$K$3&amp;'Funnel setup'!$K$4&amp;'Funnel setup'!$K$6,".",IF(A2993=".",1,A2993+1))</f>
        <v>.</v>
      </c>
      <c r="B2994" s="244" t="str">
        <f t="shared" si="46"/>
        <v>Knee Replacement RevisionProviderCAVELL HOSPITAL (NT451)EQ VAS</v>
      </c>
      <c r="C2994" t="s">
        <v>973</v>
      </c>
      <c r="D2994" t="s">
        <v>965</v>
      </c>
      <c r="E2994" t="s">
        <v>184</v>
      </c>
      <c r="F2994" t="s">
        <v>185</v>
      </c>
      <c r="G2994" t="s">
        <v>752</v>
      </c>
      <c r="H2994" t="s">
        <v>127</v>
      </c>
      <c r="I2994" t="s">
        <v>127</v>
      </c>
      <c r="J2994" t="s">
        <v>127</v>
      </c>
      <c r="K2994" t="s">
        <v>127</v>
      </c>
      <c r="L2994" t="s">
        <v>127</v>
      </c>
      <c r="M2994" t="s">
        <v>127</v>
      </c>
      <c r="N2994" t="s">
        <v>127</v>
      </c>
      <c r="O2994" t="s">
        <v>127</v>
      </c>
      <c r="P2994" t="s">
        <v>127</v>
      </c>
      <c r="Q2994" t="s">
        <v>127</v>
      </c>
    </row>
    <row r="2995" spans="1:17" x14ac:dyDescent="0.25">
      <c r="A2995" t="str">
        <f>IF(C2995&amp;G2995&amp;D2995&lt;&gt;'Funnel setup'!$K$3&amp;'Funnel setup'!$K$4&amp;'Funnel setup'!$K$6,".",IF(A2994=".",1,A2994+1))</f>
        <v>.</v>
      </c>
      <c r="B2995" s="244" t="str">
        <f t="shared" si="46"/>
        <v>Knee Replacement RevisionProviderCHELSEA AND WESTMINSTER HOSPITAL NHS FOUNDATION TRUST (RQM)EQ VAS</v>
      </c>
      <c r="C2995" t="s">
        <v>973</v>
      </c>
      <c r="D2995" t="s">
        <v>965</v>
      </c>
      <c r="E2995" t="s">
        <v>188</v>
      </c>
      <c r="F2995" t="s">
        <v>189</v>
      </c>
      <c r="G2995" t="s">
        <v>752</v>
      </c>
      <c r="H2995">
        <v>1</v>
      </c>
      <c r="I2995">
        <v>65</v>
      </c>
      <c r="J2995">
        <v>80</v>
      </c>
      <c r="K2995">
        <v>15</v>
      </c>
      <c r="L2995">
        <v>1</v>
      </c>
      <c r="M2995">
        <v>0</v>
      </c>
      <c r="N2995">
        <v>0</v>
      </c>
      <c r="O2995" t="s">
        <v>127</v>
      </c>
      <c r="P2995" t="s">
        <v>127</v>
      </c>
      <c r="Q2995" t="s">
        <v>127</v>
      </c>
    </row>
    <row r="2996" spans="1:17" x14ac:dyDescent="0.25">
      <c r="A2996" t="str">
        <f>IF(C2996&amp;G2996&amp;D2996&lt;&gt;'Funnel setup'!$K$3&amp;'Funnel setup'!$K$4&amp;'Funnel setup'!$K$6,".",IF(A2995=".",1,A2995+1))</f>
        <v>.</v>
      </c>
      <c r="B2996" s="244" t="str">
        <f t="shared" si="46"/>
        <v>Knee Replacement RevisionProviderCHESTERFIELD ROYAL HOSPITAL NHS FOUNDATION TRUST (RFS)EQ VAS</v>
      </c>
      <c r="C2996" t="s">
        <v>973</v>
      </c>
      <c r="D2996" t="s">
        <v>965</v>
      </c>
      <c r="E2996" t="s">
        <v>192</v>
      </c>
      <c r="F2996" t="s">
        <v>193</v>
      </c>
      <c r="G2996" t="s">
        <v>752</v>
      </c>
      <c r="H2996">
        <v>2</v>
      </c>
      <c r="I2996">
        <v>53</v>
      </c>
      <c r="J2996">
        <v>37.5</v>
      </c>
      <c r="K2996">
        <v>-15.5</v>
      </c>
      <c r="L2996">
        <v>1</v>
      </c>
      <c r="M2996">
        <v>0</v>
      </c>
      <c r="N2996">
        <v>1</v>
      </c>
      <c r="O2996" t="s">
        <v>127</v>
      </c>
      <c r="P2996" t="s">
        <v>127</v>
      </c>
      <c r="Q2996" t="s">
        <v>127</v>
      </c>
    </row>
    <row r="2997" spans="1:17" x14ac:dyDescent="0.25">
      <c r="A2997" t="str">
        <f>IF(C2997&amp;G2997&amp;D2997&lt;&gt;'Funnel setup'!$K$3&amp;'Funnel setup'!$K$4&amp;'Funnel setup'!$K$6,".",IF(A2996=".",1,A2996+1))</f>
        <v>.</v>
      </c>
      <c r="B2997" s="244" t="str">
        <f t="shared" si="46"/>
        <v>Knee Replacement RevisionProviderCLEMENTINE CHURCHILL HOSPITAL (NT411)EQ VAS</v>
      </c>
      <c r="C2997" t="s">
        <v>973</v>
      </c>
      <c r="D2997" t="s">
        <v>965</v>
      </c>
      <c r="E2997" t="s">
        <v>200</v>
      </c>
      <c r="F2997" t="s">
        <v>201</v>
      </c>
      <c r="G2997" t="s">
        <v>752</v>
      </c>
      <c r="H2997" t="s">
        <v>127</v>
      </c>
      <c r="I2997" t="s">
        <v>127</v>
      </c>
      <c r="J2997" t="s">
        <v>127</v>
      </c>
      <c r="K2997" t="s">
        <v>127</v>
      </c>
      <c r="L2997" t="s">
        <v>127</v>
      </c>
      <c r="M2997" t="s">
        <v>127</v>
      </c>
      <c r="N2997" t="s">
        <v>127</v>
      </c>
      <c r="O2997" t="s">
        <v>127</v>
      </c>
      <c r="P2997" t="s">
        <v>127</v>
      </c>
      <c r="Q2997" t="s">
        <v>127</v>
      </c>
    </row>
    <row r="2998" spans="1:17" x14ac:dyDescent="0.25">
      <c r="A2998" t="str">
        <f>IF(C2998&amp;G2998&amp;D2998&lt;&gt;'Funnel setup'!$K$3&amp;'Funnel setup'!$K$4&amp;'Funnel setup'!$K$6,".",IF(A2997=".",1,A2997+1))</f>
        <v>.</v>
      </c>
      <c r="B2998" s="244" t="str">
        <f t="shared" si="46"/>
        <v>Knee Replacement RevisionProviderCLIFTON PARK HOSPITAL (NVC28)EQ VAS</v>
      </c>
      <c r="C2998" t="s">
        <v>973</v>
      </c>
      <c r="D2998" t="s">
        <v>965</v>
      </c>
      <c r="E2998" t="s">
        <v>202</v>
      </c>
      <c r="F2998" t="s">
        <v>203</v>
      </c>
      <c r="G2998" t="s">
        <v>752</v>
      </c>
      <c r="H2998">
        <v>6</v>
      </c>
      <c r="I2998">
        <v>33</v>
      </c>
      <c r="J2998">
        <v>86.5</v>
      </c>
      <c r="K2998">
        <v>53.5</v>
      </c>
      <c r="L2998">
        <v>6</v>
      </c>
      <c r="M2998">
        <v>0</v>
      </c>
      <c r="N2998">
        <v>0</v>
      </c>
      <c r="O2998" t="s">
        <v>127</v>
      </c>
      <c r="P2998" t="s">
        <v>127</v>
      </c>
      <c r="Q2998" t="s">
        <v>127</v>
      </c>
    </row>
    <row r="2999" spans="1:17" x14ac:dyDescent="0.25">
      <c r="A2999" t="str">
        <f>IF(C2999&amp;G2999&amp;D2999&lt;&gt;'Funnel setup'!$K$3&amp;'Funnel setup'!$K$4&amp;'Funnel setup'!$K$6,".",IF(A2998=".",1,A2998+1))</f>
        <v>.</v>
      </c>
      <c r="B2999" s="244" t="str">
        <f t="shared" si="46"/>
        <v>Knee Replacement RevisionProviderCOUNTY DURHAM AND DARLINGTON NHS FOUNDATION TRUST (RXP)EQ VAS</v>
      </c>
      <c r="C2999" t="s">
        <v>973</v>
      </c>
      <c r="D2999" t="s">
        <v>965</v>
      </c>
      <c r="E2999" t="s">
        <v>206</v>
      </c>
      <c r="F2999" t="s">
        <v>207</v>
      </c>
      <c r="G2999" t="s">
        <v>752</v>
      </c>
      <c r="H2999">
        <v>2</v>
      </c>
      <c r="I2999">
        <v>50</v>
      </c>
      <c r="J2999">
        <v>58.5</v>
      </c>
      <c r="K2999">
        <v>8.5</v>
      </c>
      <c r="L2999">
        <v>2</v>
      </c>
      <c r="M2999">
        <v>0</v>
      </c>
      <c r="N2999">
        <v>0</v>
      </c>
      <c r="O2999" t="s">
        <v>127</v>
      </c>
      <c r="P2999" t="s">
        <v>127</v>
      </c>
      <c r="Q2999" t="s">
        <v>127</v>
      </c>
    </row>
    <row r="3000" spans="1:17" x14ac:dyDescent="0.25">
      <c r="A3000" t="str">
        <f>IF(C3000&amp;G3000&amp;D3000&lt;&gt;'Funnel setup'!$K$3&amp;'Funnel setup'!$K$4&amp;'Funnel setup'!$K$6,".",IF(A2999=".",1,A2999+1))</f>
        <v>.</v>
      </c>
      <c r="B3000" s="244" t="str">
        <f t="shared" si="46"/>
        <v>Knee Replacement RevisionProviderDONCASTER AND BASSETLAW TEACHING HOSPITALS NHS FOUNDATION TRUST (RP5)EQ VAS</v>
      </c>
      <c r="C3000" t="s">
        <v>973</v>
      </c>
      <c r="D3000" t="s">
        <v>965</v>
      </c>
      <c r="E3000" t="s">
        <v>212</v>
      </c>
      <c r="F3000" t="s">
        <v>213</v>
      </c>
      <c r="G3000" t="s">
        <v>752</v>
      </c>
      <c r="H3000">
        <v>1</v>
      </c>
      <c r="I3000">
        <v>60</v>
      </c>
      <c r="J3000">
        <v>80</v>
      </c>
      <c r="K3000">
        <v>20</v>
      </c>
      <c r="L3000">
        <v>1</v>
      </c>
      <c r="M3000">
        <v>0</v>
      </c>
      <c r="N3000">
        <v>0</v>
      </c>
      <c r="O3000" t="s">
        <v>127</v>
      </c>
      <c r="P3000" t="s">
        <v>127</v>
      </c>
      <c r="Q3000" t="s">
        <v>127</v>
      </c>
    </row>
    <row r="3001" spans="1:17" x14ac:dyDescent="0.25">
      <c r="A3001" t="str">
        <f>IF(C3001&amp;G3001&amp;D3001&lt;&gt;'Funnel setup'!$K$3&amp;'Funnel setup'!$K$4&amp;'Funnel setup'!$K$6,".",IF(A3000=".",1,A3000+1))</f>
        <v>.</v>
      </c>
      <c r="B3001" s="244" t="str">
        <f t="shared" si="46"/>
        <v>Knee Replacement RevisionProviderDUCHY HOSPITAL (NVC04)EQ VAS</v>
      </c>
      <c r="C3001" t="s">
        <v>973</v>
      </c>
      <c r="D3001" t="s">
        <v>965</v>
      </c>
      <c r="E3001" t="s">
        <v>220</v>
      </c>
      <c r="F3001" t="s">
        <v>221</v>
      </c>
      <c r="G3001" t="s">
        <v>752</v>
      </c>
      <c r="H3001">
        <v>3</v>
      </c>
      <c r="I3001">
        <v>57.666699999999999</v>
      </c>
      <c r="J3001">
        <v>68.333299999999994</v>
      </c>
      <c r="K3001">
        <v>10.666700000000001</v>
      </c>
      <c r="L3001">
        <v>2</v>
      </c>
      <c r="M3001">
        <v>0</v>
      </c>
      <c r="N3001">
        <v>1</v>
      </c>
      <c r="O3001" t="s">
        <v>127</v>
      </c>
      <c r="P3001" t="s">
        <v>127</v>
      </c>
      <c r="Q3001" t="s">
        <v>127</v>
      </c>
    </row>
    <row r="3002" spans="1:17" x14ac:dyDescent="0.25">
      <c r="A3002" t="str">
        <f>IF(C3002&amp;G3002&amp;D3002&lt;&gt;'Funnel setup'!$K$3&amp;'Funnel setup'!$K$4&amp;'Funnel setup'!$K$6,".",IF(A3001=".",1,A3001+1))</f>
        <v>.</v>
      </c>
      <c r="B3002" s="244" t="str">
        <f t="shared" si="46"/>
        <v>Knee Replacement RevisionProviderEAST KENT HOSPITALS UNIVERSITY NHS FOUNDATION TRUST (RVV)EQ VAS</v>
      </c>
      <c r="C3002" t="s">
        <v>973</v>
      </c>
      <c r="D3002" t="s">
        <v>965</v>
      </c>
      <c r="E3002" t="s">
        <v>228</v>
      </c>
      <c r="F3002" t="s">
        <v>229</v>
      </c>
      <c r="G3002" t="s">
        <v>752</v>
      </c>
      <c r="H3002">
        <v>8</v>
      </c>
      <c r="I3002">
        <v>60.25</v>
      </c>
      <c r="J3002">
        <v>64.25</v>
      </c>
      <c r="K3002">
        <v>4</v>
      </c>
      <c r="L3002">
        <v>4</v>
      </c>
      <c r="M3002">
        <v>2</v>
      </c>
      <c r="N3002">
        <v>2</v>
      </c>
      <c r="O3002" t="s">
        <v>127</v>
      </c>
      <c r="P3002" t="s">
        <v>127</v>
      </c>
      <c r="Q3002" t="s">
        <v>127</v>
      </c>
    </row>
    <row r="3003" spans="1:17" x14ac:dyDescent="0.25">
      <c r="A3003" t="str">
        <f>IF(C3003&amp;G3003&amp;D3003&lt;&gt;'Funnel setup'!$K$3&amp;'Funnel setup'!$K$4&amp;'Funnel setup'!$K$6,".",IF(A3002=".",1,A3002+1))</f>
        <v>.</v>
      </c>
      <c r="B3003" s="244" t="str">
        <f t="shared" si="46"/>
        <v>Knee Replacement RevisionProviderEAST LANCASHIRE HOSPITALS NHS TRUST (RXR)EQ VAS</v>
      </c>
      <c r="C3003" t="s">
        <v>973</v>
      </c>
      <c r="D3003" t="s">
        <v>965</v>
      </c>
      <c r="E3003" t="s">
        <v>230</v>
      </c>
      <c r="F3003" t="s">
        <v>231</v>
      </c>
      <c r="G3003" t="s">
        <v>752</v>
      </c>
      <c r="H3003">
        <v>2</v>
      </c>
      <c r="I3003">
        <v>54</v>
      </c>
      <c r="J3003">
        <v>75</v>
      </c>
      <c r="K3003">
        <v>21</v>
      </c>
      <c r="L3003">
        <v>2</v>
      </c>
      <c r="M3003">
        <v>0</v>
      </c>
      <c r="N3003">
        <v>0</v>
      </c>
      <c r="O3003" t="s">
        <v>127</v>
      </c>
      <c r="P3003" t="s">
        <v>127</v>
      </c>
      <c r="Q3003" t="s">
        <v>127</v>
      </c>
    </row>
    <row r="3004" spans="1:17" x14ac:dyDescent="0.25">
      <c r="A3004" t="str">
        <f>IF(C3004&amp;G3004&amp;D3004&lt;&gt;'Funnel setup'!$K$3&amp;'Funnel setup'!$K$4&amp;'Funnel setup'!$K$6,".",IF(A3003=".",1,A3003+1))</f>
        <v>.</v>
      </c>
      <c r="B3004" s="244" t="str">
        <f t="shared" si="46"/>
        <v>Knee Replacement RevisionProviderEAST SUFFOLK AND NORTH ESSEX NHS FOUNDATION TRUST (RDE)EQ VAS</v>
      </c>
      <c r="C3004" t="s">
        <v>973</v>
      </c>
      <c r="D3004" t="s">
        <v>965</v>
      </c>
      <c r="E3004" t="s">
        <v>232</v>
      </c>
      <c r="F3004" t="s">
        <v>233</v>
      </c>
      <c r="G3004" t="s">
        <v>752</v>
      </c>
      <c r="H3004">
        <v>3</v>
      </c>
      <c r="I3004">
        <v>55</v>
      </c>
      <c r="J3004">
        <v>81.666700000000006</v>
      </c>
      <c r="K3004">
        <v>26.666699999999999</v>
      </c>
      <c r="L3004">
        <v>2</v>
      </c>
      <c r="M3004">
        <v>0</v>
      </c>
      <c r="N3004">
        <v>1</v>
      </c>
      <c r="O3004" t="s">
        <v>127</v>
      </c>
      <c r="P3004" t="s">
        <v>127</v>
      </c>
      <c r="Q3004" t="s">
        <v>127</v>
      </c>
    </row>
    <row r="3005" spans="1:17" x14ac:dyDescent="0.25">
      <c r="A3005" t="str">
        <f>IF(C3005&amp;G3005&amp;D3005&lt;&gt;'Funnel setup'!$K$3&amp;'Funnel setup'!$K$4&amp;'Funnel setup'!$K$6,".",IF(A3004=".",1,A3004+1))</f>
        <v>.</v>
      </c>
      <c r="B3005" s="244" t="str">
        <f t="shared" si="46"/>
        <v>Knee Replacement RevisionProviderEAST SUSSEX HEALTHCARE NHS TRUST (RXC)EQ VAS</v>
      </c>
      <c r="C3005" t="s">
        <v>973</v>
      </c>
      <c r="D3005" t="s">
        <v>965</v>
      </c>
      <c r="E3005" t="s">
        <v>234</v>
      </c>
      <c r="F3005" t="s">
        <v>235</v>
      </c>
      <c r="G3005" t="s">
        <v>752</v>
      </c>
      <c r="H3005">
        <v>3</v>
      </c>
      <c r="I3005">
        <v>41.666699999999999</v>
      </c>
      <c r="J3005">
        <v>60</v>
      </c>
      <c r="K3005">
        <v>18.333300000000001</v>
      </c>
      <c r="L3005">
        <v>2</v>
      </c>
      <c r="M3005">
        <v>0</v>
      </c>
      <c r="N3005">
        <v>1</v>
      </c>
      <c r="O3005" t="s">
        <v>127</v>
      </c>
      <c r="P3005" t="s">
        <v>127</v>
      </c>
      <c r="Q3005" t="s">
        <v>127</v>
      </c>
    </row>
    <row r="3006" spans="1:17" x14ac:dyDescent="0.25">
      <c r="A3006" t="str">
        <f>IF(C3006&amp;G3006&amp;D3006&lt;&gt;'Funnel setup'!$K$3&amp;'Funnel setup'!$K$4&amp;'Funnel setup'!$K$6,".",IF(A3005=".",1,A3005+1))</f>
        <v>.</v>
      </c>
      <c r="B3006" s="244" t="str">
        <f t="shared" si="46"/>
        <v>Knee Replacement RevisionProviderEPSOM AND ST HELIER UNIVERSITY HOSPITALS NHS TRUST (RVR)EQ VAS</v>
      </c>
      <c r="C3006" t="s">
        <v>973</v>
      </c>
      <c r="D3006" t="s">
        <v>965</v>
      </c>
      <c r="E3006" t="s">
        <v>238</v>
      </c>
      <c r="F3006" t="s">
        <v>239</v>
      </c>
      <c r="G3006" t="s">
        <v>752</v>
      </c>
      <c r="H3006">
        <v>13</v>
      </c>
      <c r="I3006">
        <v>52.076900000000002</v>
      </c>
      <c r="J3006">
        <v>70.769199999999998</v>
      </c>
      <c r="K3006">
        <v>18.692299999999999</v>
      </c>
      <c r="L3006">
        <v>6</v>
      </c>
      <c r="M3006">
        <v>2</v>
      </c>
      <c r="N3006">
        <v>5</v>
      </c>
      <c r="O3006" t="s">
        <v>127</v>
      </c>
      <c r="P3006" t="s">
        <v>127</v>
      </c>
      <c r="Q3006" t="s">
        <v>127</v>
      </c>
    </row>
    <row r="3007" spans="1:17" x14ac:dyDescent="0.25">
      <c r="A3007" t="str">
        <f>IF(C3007&amp;G3007&amp;D3007&lt;&gt;'Funnel setup'!$K$3&amp;'Funnel setup'!$K$4&amp;'Funnel setup'!$K$6,".",IF(A3006=".",1,A3006+1))</f>
        <v>.</v>
      </c>
      <c r="B3007" s="244" t="str">
        <f t="shared" si="46"/>
        <v>Knee Replacement RevisionProviderEUXTON HALL HOSPITAL (NVC05)EQ VAS</v>
      </c>
      <c r="C3007" t="s">
        <v>973</v>
      </c>
      <c r="D3007" t="s">
        <v>965</v>
      </c>
      <c r="E3007" t="s">
        <v>240</v>
      </c>
      <c r="F3007" t="s">
        <v>241</v>
      </c>
      <c r="G3007" t="s">
        <v>752</v>
      </c>
      <c r="H3007" t="s">
        <v>127</v>
      </c>
      <c r="I3007" t="s">
        <v>127</v>
      </c>
      <c r="J3007" t="s">
        <v>127</v>
      </c>
      <c r="K3007" t="s">
        <v>127</v>
      </c>
      <c r="L3007" t="s">
        <v>127</v>
      </c>
      <c r="M3007" t="s">
        <v>127</v>
      </c>
      <c r="N3007" t="s">
        <v>127</v>
      </c>
      <c r="O3007" t="s">
        <v>127</v>
      </c>
      <c r="P3007" t="s">
        <v>127</v>
      </c>
      <c r="Q3007" t="s">
        <v>127</v>
      </c>
    </row>
    <row r="3008" spans="1:17" x14ac:dyDescent="0.25">
      <c r="A3008" t="str">
        <f>IF(C3008&amp;G3008&amp;D3008&lt;&gt;'Funnel setup'!$K$3&amp;'Funnel setup'!$K$4&amp;'Funnel setup'!$K$6,".",IF(A3007=".",1,A3007+1))</f>
        <v>.</v>
      </c>
      <c r="B3008" s="244" t="str">
        <f t="shared" si="46"/>
        <v>Knee Replacement RevisionProviderFRIMLEY HEALTH NHS FOUNDATION TRUST (RDU)EQ VAS</v>
      </c>
      <c r="C3008" t="s">
        <v>973</v>
      </c>
      <c r="D3008" t="s">
        <v>965</v>
      </c>
      <c r="E3008" t="s">
        <v>248</v>
      </c>
      <c r="F3008" t="s">
        <v>249</v>
      </c>
      <c r="G3008" t="s">
        <v>752</v>
      </c>
      <c r="H3008">
        <v>7</v>
      </c>
      <c r="I3008">
        <v>64.571399999999997</v>
      </c>
      <c r="J3008">
        <v>68.571399999999997</v>
      </c>
      <c r="K3008">
        <v>4</v>
      </c>
      <c r="L3008">
        <v>4</v>
      </c>
      <c r="M3008">
        <v>0</v>
      </c>
      <c r="N3008">
        <v>3</v>
      </c>
      <c r="O3008" t="s">
        <v>127</v>
      </c>
      <c r="P3008" t="s">
        <v>127</v>
      </c>
      <c r="Q3008" t="s">
        <v>127</v>
      </c>
    </row>
    <row r="3009" spans="1:17" x14ac:dyDescent="0.25">
      <c r="A3009" t="str">
        <f>IF(C3009&amp;G3009&amp;D3009&lt;&gt;'Funnel setup'!$K$3&amp;'Funnel setup'!$K$4&amp;'Funnel setup'!$K$6,".",IF(A3008=".",1,A3008+1))</f>
        <v>.</v>
      </c>
      <c r="B3009" s="244" t="str">
        <f t="shared" si="46"/>
        <v>Knee Replacement RevisionProviderGATESHEAD HEALTH NHS FOUNDATION TRUST (RR7)EQ VAS</v>
      </c>
      <c r="C3009" t="s">
        <v>973</v>
      </c>
      <c r="D3009" t="s">
        <v>965</v>
      </c>
      <c r="E3009" t="s">
        <v>252</v>
      </c>
      <c r="F3009" t="s">
        <v>253</v>
      </c>
      <c r="G3009" t="s">
        <v>752</v>
      </c>
      <c r="H3009">
        <v>3</v>
      </c>
      <c r="I3009">
        <v>70</v>
      </c>
      <c r="J3009">
        <v>70.333299999999994</v>
      </c>
      <c r="K3009">
        <v>0.33333299999999999</v>
      </c>
      <c r="L3009">
        <v>1</v>
      </c>
      <c r="M3009">
        <v>1</v>
      </c>
      <c r="N3009">
        <v>1</v>
      </c>
      <c r="O3009" t="s">
        <v>127</v>
      </c>
      <c r="P3009" t="s">
        <v>127</v>
      </c>
      <c r="Q3009" t="s">
        <v>127</v>
      </c>
    </row>
    <row r="3010" spans="1:17" x14ac:dyDescent="0.25">
      <c r="A3010" t="str">
        <f>IF(C3010&amp;G3010&amp;D3010&lt;&gt;'Funnel setup'!$K$3&amp;'Funnel setup'!$K$4&amp;'Funnel setup'!$K$6,".",IF(A3009=".",1,A3009+1))</f>
        <v>.</v>
      </c>
      <c r="B3010" s="244" t="str">
        <f t="shared" ref="B3010:B3073" si="47">C3010&amp;D3010&amp;F3010&amp;G3010</f>
        <v>Knee Replacement RevisionProviderGLOUCESTERSHIRE HOSPITALS NHS FOUNDATION TRUST (RTE)EQ VAS</v>
      </c>
      <c r="C3010" t="s">
        <v>973</v>
      </c>
      <c r="D3010" t="s">
        <v>965</v>
      </c>
      <c r="E3010" t="s">
        <v>256</v>
      </c>
      <c r="F3010" t="s">
        <v>257</v>
      </c>
      <c r="G3010" t="s">
        <v>752</v>
      </c>
      <c r="H3010">
        <v>1</v>
      </c>
      <c r="I3010">
        <v>80</v>
      </c>
      <c r="J3010">
        <v>84</v>
      </c>
      <c r="K3010">
        <v>4</v>
      </c>
      <c r="L3010">
        <v>1</v>
      </c>
      <c r="M3010">
        <v>0</v>
      </c>
      <c r="N3010">
        <v>0</v>
      </c>
      <c r="O3010" t="s">
        <v>127</v>
      </c>
      <c r="P3010" t="s">
        <v>127</v>
      </c>
      <c r="Q3010" t="s">
        <v>127</v>
      </c>
    </row>
    <row r="3011" spans="1:17" x14ac:dyDescent="0.25">
      <c r="A3011" t="str">
        <f>IF(C3011&amp;G3011&amp;D3011&lt;&gt;'Funnel setup'!$K$3&amp;'Funnel setup'!$K$4&amp;'Funnel setup'!$K$6,".",IF(A3010=".",1,A3010+1))</f>
        <v>.</v>
      </c>
      <c r="B3011" s="244" t="str">
        <f t="shared" si="47"/>
        <v>Knee Replacement RevisionProviderGORING HALL HOSPITAL (NT417)EQ VAS</v>
      </c>
      <c r="C3011" t="s">
        <v>973</v>
      </c>
      <c r="D3011" t="s">
        <v>965</v>
      </c>
      <c r="E3011" t="s">
        <v>258</v>
      </c>
      <c r="F3011" t="s">
        <v>259</v>
      </c>
      <c r="G3011" t="s">
        <v>752</v>
      </c>
      <c r="H3011">
        <v>1</v>
      </c>
      <c r="I3011">
        <v>50</v>
      </c>
      <c r="J3011">
        <v>80</v>
      </c>
      <c r="K3011">
        <v>30</v>
      </c>
      <c r="L3011">
        <v>1</v>
      </c>
      <c r="M3011">
        <v>0</v>
      </c>
      <c r="N3011">
        <v>0</v>
      </c>
      <c r="O3011" t="s">
        <v>127</v>
      </c>
      <c r="P3011" t="s">
        <v>127</v>
      </c>
      <c r="Q3011" t="s">
        <v>127</v>
      </c>
    </row>
    <row r="3012" spans="1:17" x14ac:dyDescent="0.25">
      <c r="A3012" t="str">
        <f>IF(C3012&amp;G3012&amp;D3012&lt;&gt;'Funnel setup'!$K$3&amp;'Funnel setup'!$K$4&amp;'Funnel setup'!$K$6,".",IF(A3011=".",1,A3011+1))</f>
        <v>.</v>
      </c>
      <c r="B3012" s="244" t="str">
        <f t="shared" si="47"/>
        <v>Knee Replacement RevisionProviderGUY'S AND ST THOMAS' NHS FOUNDATION TRUST (RJ1)EQ VAS</v>
      </c>
      <c r="C3012" t="s">
        <v>973</v>
      </c>
      <c r="D3012" t="s">
        <v>965</v>
      </c>
      <c r="E3012" t="s">
        <v>262</v>
      </c>
      <c r="F3012" t="s">
        <v>263</v>
      </c>
      <c r="G3012" t="s">
        <v>752</v>
      </c>
      <c r="H3012">
        <v>12</v>
      </c>
      <c r="I3012">
        <v>53.333300000000001</v>
      </c>
      <c r="J3012">
        <v>63.833300000000001</v>
      </c>
      <c r="K3012">
        <v>10.5</v>
      </c>
      <c r="L3012">
        <v>9</v>
      </c>
      <c r="M3012">
        <v>1</v>
      </c>
      <c r="N3012">
        <v>2</v>
      </c>
      <c r="O3012" t="s">
        <v>127</v>
      </c>
      <c r="P3012" t="s">
        <v>127</v>
      </c>
      <c r="Q3012" t="s">
        <v>127</v>
      </c>
    </row>
    <row r="3013" spans="1:17" x14ac:dyDescent="0.25">
      <c r="A3013" t="str">
        <f>IF(C3013&amp;G3013&amp;D3013&lt;&gt;'Funnel setup'!$K$3&amp;'Funnel setup'!$K$4&amp;'Funnel setup'!$K$6,".",IF(A3012=".",1,A3012+1))</f>
        <v>.</v>
      </c>
      <c r="B3013" s="244" t="str">
        <f t="shared" si="47"/>
        <v>Knee Replacement RevisionProviderHAMPSHIRE CLINIC (NT418)EQ VAS</v>
      </c>
      <c r="C3013" t="s">
        <v>973</v>
      </c>
      <c r="D3013" t="s">
        <v>965</v>
      </c>
      <c r="E3013" t="s">
        <v>264</v>
      </c>
      <c r="F3013" t="s">
        <v>265</v>
      </c>
      <c r="G3013" t="s">
        <v>752</v>
      </c>
      <c r="H3013" t="s">
        <v>127</v>
      </c>
      <c r="I3013" t="s">
        <v>127</v>
      </c>
      <c r="J3013" t="s">
        <v>127</v>
      </c>
      <c r="K3013" t="s">
        <v>127</v>
      </c>
      <c r="L3013" t="s">
        <v>127</v>
      </c>
      <c r="M3013" t="s">
        <v>127</v>
      </c>
      <c r="N3013" t="s">
        <v>127</v>
      </c>
      <c r="O3013" t="s">
        <v>127</v>
      </c>
      <c r="P3013" t="s">
        <v>127</v>
      </c>
      <c r="Q3013" t="s">
        <v>127</v>
      </c>
    </row>
    <row r="3014" spans="1:17" x14ac:dyDescent="0.25">
      <c r="A3014" t="str">
        <f>IF(C3014&amp;G3014&amp;D3014&lt;&gt;'Funnel setup'!$K$3&amp;'Funnel setup'!$K$4&amp;'Funnel setup'!$K$6,".",IF(A3013=".",1,A3013+1))</f>
        <v>.</v>
      </c>
      <c r="B3014" s="244" t="str">
        <f t="shared" si="47"/>
        <v>Knee Replacement RevisionProviderHAMPSHIRE HOSPITALS NHS FOUNDATION TRUST (RN5)EQ VAS</v>
      </c>
      <c r="C3014" t="s">
        <v>973</v>
      </c>
      <c r="D3014" t="s">
        <v>965</v>
      </c>
      <c r="E3014" t="s">
        <v>266</v>
      </c>
      <c r="F3014" t="s">
        <v>267</v>
      </c>
      <c r="G3014" t="s">
        <v>752</v>
      </c>
      <c r="H3014" t="s">
        <v>968</v>
      </c>
      <c r="I3014" t="s">
        <v>968</v>
      </c>
      <c r="J3014" t="s">
        <v>968</v>
      </c>
      <c r="K3014" t="s">
        <v>968</v>
      </c>
      <c r="L3014" t="s">
        <v>968</v>
      </c>
      <c r="M3014" t="s">
        <v>968</v>
      </c>
      <c r="N3014" t="s">
        <v>968</v>
      </c>
      <c r="O3014" t="s">
        <v>968</v>
      </c>
      <c r="P3014" t="s">
        <v>968</v>
      </c>
      <c r="Q3014" t="s">
        <v>968</v>
      </c>
    </row>
    <row r="3015" spans="1:17" x14ac:dyDescent="0.25">
      <c r="A3015" t="str">
        <f>IF(C3015&amp;G3015&amp;D3015&lt;&gt;'Funnel setup'!$K$3&amp;'Funnel setup'!$K$4&amp;'Funnel setup'!$K$6,".",IF(A3014=".",1,A3014+1))</f>
        <v>.</v>
      </c>
      <c r="B3015" s="244" t="str">
        <f t="shared" si="47"/>
        <v>Knee Replacement RevisionProviderHARROGATE AND DISTRICT NHS FOUNDATION TRUST (RCD)EQ VAS</v>
      </c>
      <c r="C3015" t="s">
        <v>973</v>
      </c>
      <c r="D3015" t="s">
        <v>965</v>
      </c>
      <c r="E3015" t="s">
        <v>270</v>
      </c>
      <c r="F3015" t="s">
        <v>271</v>
      </c>
      <c r="G3015" t="s">
        <v>752</v>
      </c>
      <c r="H3015">
        <v>9</v>
      </c>
      <c r="I3015">
        <v>56.222200000000001</v>
      </c>
      <c r="J3015">
        <v>59.1111</v>
      </c>
      <c r="K3015">
        <v>2.88889</v>
      </c>
      <c r="L3015">
        <v>3</v>
      </c>
      <c r="M3015">
        <v>3</v>
      </c>
      <c r="N3015">
        <v>3</v>
      </c>
      <c r="O3015" t="s">
        <v>127</v>
      </c>
      <c r="P3015" t="s">
        <v>127</v>
      </c>
      <c r="Q3015" t="s">
        <v>127</v>
      </c>
    </row>
    <row r="3016" spans="1:17" x14ac:dyDescent="0.25">
      <c r="A3016" t="str">
        <f>IF(C3016&amp;G3016&amp;D3016&lt;&gt;'Funnel setup'!$K$3&amp;'Funnel setup'!$K$4&amp;'Funnel setup'!$K$6,".",IF(A3015=".",1,A3015+1))</f>
        <v>.</v>
      </c>
      <c r="B3016" s="244" t="str">
        <f t="shared" si="47"/>
        <v>Knee Replacement RevisionProviderHULL UNIVERSITY TEACHING HOSPITALS NHS TRUST (RWA)EQ VAS</v>
      </c>
      <c r="C3016" t="s">
        <v>973</v>
      </c>
      <c r="D3016" t="s">
        <v>965</v>
      </c>
      <c r="E3016" t="s">
        <v>278</v>
      </c>
      <c r="F3016" t="s">
        <v>279</v>
      </c>
      <c r="G3016" t="s">
        <v>752</v>
      </c>
      <c r="H3016">
        <v>4</v>
      </c>
      <c r="I3016">
        <v>54.5</v>
      </c>
      <c r="J3016">
        <v>65.75</v>
      </c>
      <c r="K3016">
        <v>11.25</v>
      </c>
      <c r="L3016">
        <v>1</v>
      </c>
      <c r="M3016">
        <v>0</v>
      </c>
      <c r="N3016">
        <v>3</v>
      </c>
      <c r="O3016" t="s">
        <v>127</v>
      </c>
      <c r="P3016" t="s">
        <v>127</v>
      </c>
      <c r="Q3016" t="s">
        <v>127</v>
      </c>
    </row>
    <row r="3017" spans="1:17" x14ac:dyDescent="0.25">
      <c r="A3017" t="str">
        <f>IF(C3017&amp;G3017&amp;D3017&lt;&gt;'Funnel setup'!$K$3&amp;'Funnel setup'!$K$4&amp;'Funnel setup'!$K$6,".",IF(A3016=".",1,A3016+1))</f>
        <v>.</v>
      </c>
      <c r="B3017" s="244" t="str">
        <f t="shared" si="47"/>
        <v>Knee Replacement RevisionProviderISLE OF WIGHT NHS TRUST (R1F)EQ VAS</v>
      </c>
      <c r="C3017" t="s">
        <v>973</v>
      </c>
      <c r="D3017" t="s">
        <v>965</v>
      </c>
      <c r="E3017" t="s">
        <v>282</v>
      </c>
      <c r="F3017" t="s">
        <v>283</v>
      </c>
      <c r="G3017" t="s">
        <v>752</v>
      </c>
      <c r="H3017">
        <v>1</v>
      </c>
      <c r="I3017">
        <v>35</v>
      </c>
      <c r="J3017">
        <v>44</v>
      </c>
      <c r="K3017">
        <v>9</v>
      </c>
      <c r="L3017">
        <v>1</v>
      </c>
      <c r="M3017">
        <v>0</v>
      </c>
      <c r="N3017">
        <v>0</v>
      </c>
      <c r="O3017" t="s">
        <v>127</v>
      </c>
      <c r="P3017" t="s">
        <v>127</v>
      </c>
      <c r="Q3017" t="s">
        <v>127</v>
      </c>
    </row>
    <row r="3018" spans="1:17" x14ac:dyDescent="0.25">
      <c r="A3018" t="str">
        <f>IF(C3018&amp;G3018&amp;D3018&lt;&gt;'Funnel setup'!$K$3&amp;'Funnel setup'!$K$4&amp;'Funnel setup'!$K$6,".",IF(A3017=".",1,A3017+1))</f>
        <v>.</v>
      </c>
      <c r="B3018" s="244" t="str">
        <f t="shared" si="47"/>
        <v>Knee Replacement RevisionProviderJAMES PAGET UNIVERSITY HOSPITALS NHS FOUNDATION TRUST (RGP)EQ VAS</v>
      </c>
      <c r="C3018" t="s">
        <v>973</v>
      </c>
      <c r="D3018" t="s">
        <v>965</v>
      </c>
      <c r="E3018" t="s">
        <v>284</v>
      </c>
      <c r="F3018" t="s">
        <v>285</v>
      </c>
      <c r="G3018" t="s">
        <v>752</v>
      </c>
      <c r="H3018">
        <v>5</v>
      </c>
      <c r="I3018">
        <v>61.6</v>
      </c>
      <c r="J3018">
        <v>78</v>
      </c>
      <c r="K3018">
        <v>16.399999999999999</v>
      </c>
      <c r="L3018">
        <v>4</v>
      </c>
      <c r="M3018">
        <v>1</v>
      </c>
      <c r="N3018">
        <v>0</v>
      </c>
      <c r="O3018" t="s">
        <v>127</v>
      </c>
      <c r="P3018" t="s">
        <v>127</v>
      </c>
      <c r="Q3018" t="s">
        <v>127</v>
      </c>
    </row>
    <row r="3019" spans="1:17" x14ac:dyDescent="0.25">
      <c r="A3019" t="str">
        <f>IF(C3019&amp;G3019&amp;D3019&lt;&gt;'Funnel setup'!$K$3&amp;'Funnel setup'!$K$4&amp;'Funnel setup'!$K$6,".",IF(A3018=".",1,A3018+1))</f>
        <v>.</v>
      </c>
      <c r="B3019" s="244" t="str">
        <f t="shared" si="47"/>
        <v>Knee Replacement RevisionProviderKETTERING GENERAL HOSPITAL NHS FOUNDATION TRUST (RNQ)EQ VAS</v>
      </c>
      <c r="C3019" t="s">
        <v>973</v>
      </c>
      <c r="D3019" t="s">
        <v>965</v>
      </c>
      <c r="E3019" t="s">
        <v>286</v>
      </c>
      <c r="F3019" t="s">
        <v>287</v>
      </c>
      <c r="G3019" t="s">
        <v>752</v>
      </c>
      <c r="H3019">
        <v>6</v>
      </c>
      <c r="I3019">
        <v>35</v>
      </c>
      <c r="J3019">
        <v>66.666700000000006</v>
      </c>
      <c r="K3019">
        <v>31.666699999999999</v>
      </c>
      <c r="L3019">
        <v>6</v>
      </c>
      <c r="M3019">
        <v>0</v>
      </c>
      <c r="N3019">
        <v>0</v>
      </c>
      <c r="O3019" t="s">
        <v>127</v>
      </c>
      <c r="P3019" t="s">
        <v>127</v>
      </c>
      <c r="Q3019" t="s">
        <v>127</v>
      </c>
    </row>
    <row r="3020" spans="1:17" x14ac:dyDescent="0.25">
      <c r="A3020" t="str">
        <f>IF(C3020&amp;G3020&amp;D3020&lt;&gt;'Funnel setup'!$K$3&amp;'Funnel setup'!$K$4&amp;'Funnel setup'!$K$6,".",IF(A3019=".",1,A3019+1))</f>
        <v>.</v>
      </c>
      <c r="B3020" s="244" t="str">
        <f t="shared" si="47"/>
        <v>Knee Replacement RevisionProviderLANCASHIRE TEACHING HOSPITALS NHS FOUNDATION TRUST (RXN)EQ VAS</v>
      </c>
      <c r="C3020" t="s">
        <v>973</v>
      </c>
      <c r="D3020" t="s">
        <v>965</v>
      </c>
      <c r="E3020" t="s">
        <v>296</v>
      </c>
      <c r="F3020" t="s">
        <v>297</v>
      </c>
      <c r="G3020" t="s">
        <v>752</v>
      </c>
      <c r="H3020">
        <v>6</v>
      </c>
      <c r="I3020">
        <v>76.5</v>
      </c>
      <c r="J3020">
        <v>68</v>
      </c>
      <c r="K3020">
        <v>-8.5</v>
      </c>
      <c r="L3020">
        <v>2</v>
      </c>
      <c r="M3020">
        <v>1</v>
      </c>
      <c r="N3020">
        <v>3</v>
      </c>
      <c r="O3020" t="s">
        <v>127</v>
      </c>
      <c r="P3020" t="s">
        <v>127</v>
      </c>
      <c r="Q3020" t="s">
        <v>127</v>
      </c>
    </row>
    <row r="3021" spans="1:17" x14ac:dyDescent="0.25">
      <c r="A3021" t="str">
        <f>IF(C3021&amp;G3021&amp;D3021&lt;&gt;'Funnel setup'!$K$3&amp;'Funnel setup'!$K$4&amp;'Funnel setup'!$K$6,".",IF(A3020=".",1,A3020+1))</f>
        <v>.</v>
      </c>
      <c r="B3021" s="244" t="str">
        <f t="shared" si="47"/>
        <v>Knee Replacement RevisionProviderLEEDS TEACHING HOSPITALS NHS TRUST (RR8)EQ VAS</v>
      </c>
      <c r="C3021" t="s">
        <v>973</v>
      </c>
      <c r="D3021" t="s">
        <v>965</v>
      </c>
      <c r="E3021" t="s">
        <v>300</v>
      </c>
      <c r="F3021" t="s">
        <v>301</v>
      </c>
      <c r="G3021" t="s">
        <v>752</v>
      </c>
      <c r="H3021">
        <v>9</v>
      </c>
      <c r="I3021">
        <v>66</v>
      </c>
      <c r="J3021">
        <v>64.111099999999993</v>
      </c>
      <c r="K3021">
        <v>-1.88889</v>
      </c>
      <c r="L3021">
        <v>4</v>
      </c>
      <c r="M3021">
        <v>1</v>
      </c>
      <c r="N3021">
        <v>4</v>
      </c>
      <c r="O3021" t="s">
        <v>127</v>
      </c>
      <c r="P3021" t="s">
        <v>127</v>
      </c>
      <c r="Q3021" t="s">
        <v>127</v>
      </c>
    </row>
    <row r="3022" spans="1:17" x14ac:dyDescent="0.25">
      <c r="A3022" t="str">
        <f>IF(C3022&amp;G3022&amp;D3022&lt;&gt;'Funnel setup'!$K$3&amp;'Funnel setup'!$K$4&amp;'Funnel setup'!$K$6,".",IF(A3021=".",1,A3021+1))</f>
        <v>.</v>
      </c>
      <c r="B3022" s="244" t="str">
        <f t="shared" si="47"/>
        <v>Knee Replacement RevisionProviderLINCOLN HOSPITAL (NT450)EQ VAS</v>
      </c>
      <c r="C3022" t="s">
        <v>973</v>
      </c>
      <c r="D3022" t="s">
        <v>965</v>
      </c>
      <c r="E3022" t="s">
        <v>304</v>
      </c>
      <c r="F3022" t="s">
        <v>305</v>
      </c>
      <c r="G3022" t="s">
        <v>752</v>
      </c>
      <c r="H3022" t="s">
        <v>127</v>
      </c>
      <c r="I3022" t="s">
        <v>127</v>
      </c>
      <c r="J3022" t="s">
        <v>127</v>
      </c>
      <c r="K3022" t="s">
        <v>127</v>
      </c>
      <c r="L3022" t="s">
        <v>127</v>
      </c>
      <c r="M3022" t="s">
        <v>127</v>
      </c>
      <c r="N3022" t="s">
        <v>127</v>
      </c>
      <c r="O3022" t="s">
        <v>127</v>
      </c>
      <c r="P3022" t="s">
        <v>127</v>
      </c>
      <c r="Q3022" t="s">
        <v>127</v>
      </c>
    </row>
    <row r="3023" spans="1:17" x14ac:dyDescent="0.25">
      <c r="A3023" t="str">
        <f>IF(C3023&amp;G3023&amp;D3023&lt;&gt;'Funnel setup'!$K$3&amp;'Funnel setup'!$K$4&amp;'Funnel setup'!$K$6,".",IF(A3022=".",1,A3022+1))</f>
        <v>.</v>
      </c>
      <c r="B3023" s="244" t="str">
        <f t="shared" si="47"/>
        <v>Knee Replacement RevisionProviderLIVERPOOL UNIVERSITY HOSPITALS NHS FOUNDATION TRUST (REM)EQ VAS</v>
      </c>
      <c r="C3023" t="s">
        <v>973</v>
      </c>
      <c r="D3023" t="s">
        <v>965</v>
      </c>
      <c r="E3023" t="s">
        <v>306</v>
      </c>
      <c r="F3023" t="s">
        <v>307</v>
      </c>
      <c r="G3023" t="s">
        <v>752</v>
      </c>
      <c r="H3023">
        <v>1</v>
      </c>
      <c r="I3023">
        <v>50</v>
      </c>
      <c r="J3023">
        <v>40</v>
      </c>
      <c r="K3023">
        <v>-10</v>
      </c>
      <c r="L3023">
        <v>0</v>
      </c>
      <c r="M3023">
        <v>0</v>
      </c>
      <c r="N3023">
        <v>1</v>
      </c>
      <c r="O3023" t="s">
        <v>127</v>
      </c>
      <c r="P3023" t="s">
        <v>127</v>
      </c>
      <c r="Q3023" t="s">
        <v>127</v>
      </c>
    </row>
    <row r="3024" spans="1:17" x14ac:dyDescent="0.25">
      <c r="A3024" t="str">
        <f>IF(C3024&amp;G3024&amp;D3024&lt;&gt;'Funnel setup'!$K$3&amp;'Funnel setup'!$K$4&amp;'Funnel setup'!$K$6,".",IF(A3023=".",1,A3023+1))</f>
        <v>.</v>
      </c>
      <c r="B3024" s="244" t="str">
        <f t="shared" si="47"/>
        <v>Knee Replacement RevisionProviderMAIDSTONE AND TUNBRIDGE WELLS NHS TRUST (RWF)EQ VAS</v>
      </c>
      <c r="C3024" t="s">
        <v>973</v>
      </c>
      <c r="D3024" t="s">
        <v>965</v>
      </c>
      <c r="E3024" t="s">
        <v>312</v>
      </c>
      <c r="F3024" t="s">
        <v>313</v>
      </c>
      <c r="G3024" t="s">
        <v>752</v>
      </c>
      <c r="H3024">
        <v>2</v>
      </c>
      <c r="I3024">
        <v>70</v>
      </c>
      <c r="J3024">
        <v>62.5</v>
      </c>
      <c r="K3024">
        <v>-7.5</v>
      </c>
      <c r="L3024">
        <v>1</v>
      </c>
      <c r="M3024">
        <v>0</v>
      </c>
      <c r="N3024">
        <v>1</v>
      </c>
      <c r="O3024" t="s">
        <v>127</v>
      </c>
      <c r="P3024" t="s">
        <v>127</v>
      </c>
      <c r="Q3024" t="s">
        <v>127</v>
      </c>
    </row>
    <row r="3025" spans="1:17" x14ac:dyDescent="0.25">
      <c r="A3025" t="str">
        <f>IF(C3025&amp;G3025&amp;D3025&lt;&gt;'Funnel setup'!$K$3&amp;'Funnel setup'!$K$4&amp;'Funnel setup'!$K$6,".",IF(A3024=".",1,A3024+1))</f>
        <v>.</v>
      </c>
      <c r="B3025" s="244" t="str">
        <f t="shared" si="47"/>
        <v>Knee Replacement RevisionProviderMANCHESTER UNIVERSITY NHS FOUNDATION TRUST (R0A)EQ VAS</v>
      </c>
      <c r="C3025" t="s">
        <v>973</v>
      </c>
      <c r="D3025" t="s">
        <v>965</v>
      </c>
      <c r="E3025" t="s">
        <v>316</v>
      </c>
      <c r="F3025" t="s">
        <v>317</v>
      </c>
      <c r="G3025" t="s">
        <v>752</v>
      </c>
      <c r="H3025">
        <v>5</v>
      </c>
      <c r="I3025">
        <v>58.6</v>
      </c>
      <c r="J3025">
        <v>68.599999999999994</v>
      </c>
      <c r="K3025">
        <v>10</v>
      </c>
      <c r="L3025">
        <v>4</v>
      </c>
      <c r="M3025">
        <v>1</v>
      </c>
      <c r="N3025">
        <v>0</v>
      </c>
      <c r="O3025" t="s">
        <v>127</v>
      </c>
      <c r="P3025" t="s">
        <v>127</v>
      </c>
      <c r="Q3025" t="s">
        <v>127</v>
      </c>
    </row>
    <row r="3026" spans="1:17" x14ac:dyDescent="0.25">
      <c r="A3026" t="str">
        <f>IF(C3026&amp;G3026&amp;D3026&lt;&gt;'Funnel setup'!$K$3&amp;'Funnel setup'!$K$4&amp;'Funnel setup'!$K$6,".",IF(A3025=".",1,A3025+1))</f>
        <v>.</v>
      </c>
      <c r="B3026" s="244" t="str">
        <f t="shared" si="47"/>
        <v>Knee Replacement RevisionProviderMEDWAY NHS FOUNDATION TRUST (RPA)EQ VAS</v>
      </c>
      <c r="C3026" t="s">
        <v>973</v>
      </c>
      <c r="D3026" t="s">
        <v>965</v>
      </c>
      <c r="E3026" t="s">
        <v>320</v>
      </c>
      <c r="F3026" t="s">
        <v>321</v>
      </c>
      <c r="G3026" t="s">
        <v>752</v>
      </c>
      <c r="H3026">
        <v>1</v>
      </c>
      <c r="I3026">
        <v>60</v>
      </c>
      <c r="J3026">
        <v>70</v>
      </c>
      <c r="K3026">
        <v>10</v>
      </c>
      <c r="L3026">
        <v>1</v>
      </c>
      <c r="M3026">
        <v>0</v>
      </c>
      <c r="N3026">
        <v>0</v>
      </c>
      <c r="O3026" t="s">
        <v>127</v>
      </c>
      <c r="P3026" t="s">
        <v>127</v>
      </c>
      <c r="Q3026" t="s">
        <v>127</v>
      </c>
    </row>
    <row r="3027" spans="1:17" x14ac:dyDescent="0.25">
      <c r="A3027" t="str">
        <f>IF(C3027&amp;G3027&amp;D3027&lt;&gt;'Funnel setup'!$K$3&amp;'Funnel setup'!$K$4&amp;'Funnel setup'!$K$6,".",IF(A3026=".",1,A3026+1))</f>
        <v>.</v>
      </c>
      <c r="B3027" s="244" t="str">
        <f t="shared" si="47"/>
        <v>Knee Replacement RevisionProviderMID AND SOUTH ESSEX NHS FOUNDATION TRUST (RAJ)EQ VAS</v>
      </c>
      <c r="C3027" t="s">
        <v>973</v>
      </c>
      <c r="D3027" t="s">
        <v>965</v>
      </c>
      <c r="E3027" t="s">
        <v>324</v>
      </c>
      <c r="F3027" t="s">
        <v>325</v>
      </c>
      <c r="G3027" t="s">
        <v>752</v>
      </c>
      <c r="H3027">
        <v>3</v>
      </c>
      <c r="I3027">
        <v>61.666699999999999</v>
      </c>
      <c r="J3027">
        <v>48.333300000000001</v>
      </c>
      <c r="K3027">
        <v>-13.333299999999999</v>
      </c>
      <c r="L3027">
        <v>1</v>
      </c>
      <c r="M3027">
        <v>0</v>
      </c>
      <c r="N3027">
        <v>2</v>
      </c>
      <c r="O3027" t="s">
        <v>127</v>
      </c>
      <c r="P3027" t="s">
        <v>127</v>
      </c>
      <c r="Q3027" t="s">
        <v>127</v>
      </c>
    </row>
    <row r="3028" spans="1:17" x14ac:dyDescent="0.25">
      <c r="A3028" t="str">
        <f>IF(C3028&amp;G3028&amp;D3028&lt;&gt;'Funnel setup'!$K$3&amp;'Funnel setup'!$K$4&amp;'Funnel setup'!$K$6,".",IF(A3027=".",1,A3027+1))</f>
        <v>.</v>
      </c>
      <c r="B3028" s="244" t="str">
        <f t="shared" si="47"/>
        <v>Knee Replacement RevisionProviderMID CHESHIRE HOSPITALS NHS FOUNDATION TRUST (RBT)EQ VAS</v>
      </c>
      <c r="C3028" t="s">
        <v>973</v>
      </c>
      <c r="D3028" t="s">
        <v>965</v>
      </c>
      <c r="E3028" t="s">
        <v>326</v>
      </c>
      <c r="F3028" t="s">
        <v>327</v>
      </c>
      <c r="G3028" t="s">
        <v>752</v>
      </c>
      <c r="H3028">
        <v>2</v>
      </c>
      <c r="I3028">
        <v>64</v>
      </c>
      <c r="J3028">
        <v>67.5</v>
      </c>
      <c r="K3028">
        <v>3.5</v>
      </c>
      <c r="L3028">
        <v>1</v>
      </c>
      <c r="M3028">
        <v>0</v>
      </c>
      <c r="N3028">
        <v>1</v>
      </c>
      <c r="O3028" t="s">
        <v>127</v>
      </c>
      <c r="P3028" t="s">
        <v>127</v>
      </c>
      <c r="Q3028" t="s">
        <v>127</v>
      </c>
    </row>
    <row r="3029" spans="1:17" x14ac:dyDescent="0.25">
      <c r="A3029" t="str">
        <f>IF(C3029&amp;G3029&amp;D3029&lt;&gt;'Funnel setup'!$K$3&amp;'Funnel setup'!$K$4&amp;'Funnel setup'!$K$6,".",IF(A3028=".",1,A3028+1))</f>
        <v>.</v>
      </c>
      <c r="B3029" s="244" t="str">
        <f t="shared" si="47"/>
        <v>Knee Replacement RevisionProviderMID YORKSHIRE TEACHING NHS TRUST (RXF)EQ VAS</v>
      </c>
      <c r="C3029" t="s">
        <v>973</v>
      </c>
      <c r="D3029" t="s">
        <v>965</v>
      </c>
      <c r="E3029" t="s">
        <v>330</v>
      </c>
      <c r="F3029" t="s">
        <v>331</v>
      </c>
      <c r="G3029" t="s">
        <v>752</v>
      </c>
      <c r="H3029">
        <v>25</v>
      </c>
      <c r="I3029">
        <v>66.44</v>
      </c>
      <c r="J3029">
        <v>69.400000000000006</v>
      </c>
      <c r="K3029">
        <v>2.96</v>
      </c>
      <c r="L3029">
        <v>13</v>
      </c>
      <c r="M3029">
        <v>1</v>
      </c>
      <c r="N3029">
        <v>11</v>
      </c>
      <c r="O3029" t="s">
        <v>127</v>
      </c>
      <c r="P3029" t="s">
        <v>127</v>
      </c>
      <c r="Q3029" t="s">
        <v>127</v>
      </c>
    </row>
    <row r="3030" spans="1:17" x14ac:dyDescent="0.25">
      <c r="A3030" t="str">
        <f>IF(C3030&amp;G3030&amp;D3030&lt;&gt;'Funnel setup'!$K$3&amp;'Funnel setup'!$K$4&amp;'Funnel setup'!$K$6,".",IF(A3029=".",1,A3029+1))</f>
        <v>.</v>
      </c>
      <c r="B3030" s="244" t="str">
        <f t="shared" si="47"/>
        <v>Knee Replacement RevisionProviderMILTON KEYNES UNIVERSITY HOSPITAL NHS FOUNDATION TRUST (RD8)EQ VAS</v>
      </c>
      <c r="C3030" t="s">
        <v>973</v>
      </c>
      <c r="D3030" t="s">
        <v>965</v>
      </c>
      <c r="E3030" t="s">
        <v>332</v>
      </c>
      <c r="F3030" t="s">
        <v>333</v>
      </c>
      <c r="G3030" t="s">
        <v>752</v>
      </c>
      <c r="H3030">
        <v>2</v>
      </c>
      <c r="I3030">
        <v>52.5</v>
      </c>
      <c r="J3030">
        <v>57.5</v>
      </c>
      <c r="K3030">
        <v>5</v>
      </c>
      <c r="L3030">
        <v>1</v>
      </c>
      <c r="M3030">
        <v>0</v>
      </c>
      <c r="N3030">
        <v>1</v>
      </c>
      <c r="O3030" t="s">
        <v>127</v>
      </c>
      <c r="P3030" t="s">
        <v>127</v>
      </c>
      <c r="Q3030" t="s">
        <v>127</v>
      </c>
    </row>
    <row r="3031" spans="1:17" x14ac:dyDescent="0.25">
      <c r="A3031" t="str">
        <f>IF(C3031&amp;G3031&amp;D3031&lt;&gt;'Funnel setup'!$K$3&amp;'Funnel setup'!$K$4&amp;'Funnel setup'!$K$6,".",IF(A3030=".",1,A3030+1))</f>
        <v>.</v>
      </c>
      <c r="B3031" s="244" t="str">
        <f t="shared" si="47"/>
        <v>Knee Replacement RevisionProviderMOUNT STUART HOSPITAL (NVC08)EQ VAS</v>
      </c>
      <c r="C3031" t="s">
        <v>973</v>
      </c>
      <c r="D3031" t="s">
        <v>965</v>
      </c>
      <c r="E3031" t="s">
        <v>336</v>
      </c>
      <c r="F3031" t="s">
        <v>337</v>
      </c>
      <c r="G3031" t="s">
        <v>752</v>
      </c>
      <c r="H3031" t="s">
        <v>127</v>
      </c>
      <c r="I3031" t="s">
        <v>127</v>
      </c>
      <c r="J3031" t="s">
        <v>127</v>
      </c>
      <c r="K3031" t="s">
        <v>127</v>
      </c>
      <c r="L3031" t="s">
        <v>127</v>
      </c>
      <c r="M3031" t="s">
        <v>127</v>
      </c>
      <c r="N3031" t="s">
        <v>127</v>
      </c>
      <c r="O3031" t="s">
        <v>127</v>
      </c>
      <c r="P3031" t="s">
        <v>127</v>
      </c>
      <c r="Q3031" t="s">
        <v>127</v>
      </c>
    </row>
    <row r="3032" spans="1:17" x14ac:dyDescent="0.25">
      <c r="A3032" t="str">
        <f>IF(C3032&amp;G3032&amp;D3032&lt;&gt;'Funnel setup'!$K$3&amp;'Funnel setup'!$K$4&amp;'Funnel setup'!$K$6,".",IF(A3031=".",1,A3031+1))</f>
        <v>.</v>
      </c>
      <c r="B3032" s="244" t="str">
        <f t="shared" si="47"/>
        <v>Knee Replacement RevisionProviderNORFOLK AND NORWICH UNIVERSITY HOSPITALS NHS FOUNDATION TRUST (RM1)EQ VAS</v>
      </c>
      <c r="C3032" t="s">
        <v>973</v>
      </c>
      <c r="D3032" t="s">
        <v>965</v>
      </c>
      <c r="E3032" t="s">
        <v>340</v>
      </c>
      <c r="F3032" t="s">
        <v>341</v>
      </c>
      <c r="G3032" t="s">
        <v>752</v>
      </c>
      <c r="H3032">
        <v>13</v>
      </c>
      <c r="I3032">
        <v>52.923099999999998</v>
      </c>
      <c r="J3032">
        <v>62.461500000000001</v>
      </c>
      <c r="K3032">
        <v>9.5384600000000006</v>
      </c>
      <c r="L3032">
        <v>8</v>
      </c>
      <c r="M3032">
        <v>2</v>
      </c>
      <c r="N3032">
        <v>3</v>
      </c>
      <c r="O3032" t="s">
        <v>127</v>
      </c>
      <c r="P3032" t="s">
        <v>127</v>
      </c>
      <c r="Q3032" t="s">
        <v>127</v>
      </c>
    </row>
    <row r="3033" spans="1:17" x14ac:dyDescent="0.25">
      <c r="A3033" t="str">
        <f>IF(C3033&amp;G3033&amp;D3033&lt;&gt;'Funnel setup'!$K$3&amp;'Funnel setup'!$K$4&amp;'Funnel setup'!$K$6,".",IF(A3032=".",1,A3032+1))</f>
        <v>.</v>
      </c>
      <c r="B3033" s="244" t="str">
        <f t="shared" si="47"/>
        <v>Knee Replacement RevisionProviderNORTH BRISTOL NHS TRUST (RVJ)EQ VAS</v>
      </c>
      <c r="C3033" t="s">
        <v>973</v>
      </c>
      <c r="D3033" t="s">
        <v>965</v>
      </c>
      <c r="E3033" t="s">
        <v>342</v>
      </c>
      <c r="F3033" t="s">
        <v>343</v>
      </c>
      <c r="G3033" t="s">
        <v>752</v>
      </c>
      <c r="H3033">
        <v>2</v>
      </c>
      <c r="I3033">
        <v>78.5</v>
      </c>
      <c r="J3033">
        <v>83.5</v>
      </c>
      <c r="K3033">
        <v>5</v>
      </c>
      <c r="L3033">
        <v>1</v>
      </c>
      <c r="M3033">
        <v>0</v>
      </c>
      <c r="N3033">
        <v>1</v>
      </c>
      <c r="O3033" t="s">
        <v>127</v>
      </c>
      <c r="P3033" t="s">
        <v>127</v>
      </c>
      <c r="Q3033" t="s">
        <v>127</v>
      </c>
    </row>
    <row r="3034" spans="1:17" x14ac:dyDescent="0.25">
      <c r="A3034" t="str">
        <f>IF(C3034&amp;G3034&amp;D3034&lt;&gt;'Funnel setup'!$K$3&amp;'Funnel setup'!$K$4&amp;'Funnel setup'!$K$6,".",IF(A3033=".",1,A3033+1))</f>
        <v>.</v>
      </c>
      <c r="B3034" s="244" t="str">
        <f t="shared" si="47"/>
        <v>Knee Replacement RevisionProviderNORTH CUMBRIA INTEGRATED CARE NHS FOUNDATION TRUST (RNN)EQ VAS</v>
      </c>
      <c r="C3034" t="s">
        <v>973</v>
      </c>
      <c r="D3034" t="s">
        <v>965</v>
      </c>
      <c r="E3034" t="s">
        <v>344</v>
      </c>
      <c r="F3034" t="s">
        <v>345</v>
      </c>
      <c r="G3034" t="s">
        <v>752</v>
      </c>
      <c r="H3034">
        <v>3</v>
      </c>
      <c r="I3034">
        <v>77.333299999999994</v>
      </c>
      <c r="J3034">
        <v>75</v>
      </c>
      <c r="K3034">
        <v>-2.3333300000000001</v>
      </c>
      <c r="L3034">
        <v>2</v>
      </c>
      <c r="M3034">
        <v>0</v>
      </c>
      <c r="N3034">
        <v>1</v>
      </c>
      <c r="O3034" t="s">
        <v>127</v>
      </c>
      <c r="P3034" t="s">
        <v>127</v>
      </c>
      <c r="Q3034" t="s">
        <v>127</v>
      </c>
    </row>
    <row r="3035" spans="1:17" x14ac:dyDescent="0.25">
      <c r="A3035" t="str">
        <f>IF(C3035&amp;G3035&amp;D3035&lt;&gt;'Funnel setup'!$K$3&amp;'Funnel setup'!$K$4&amp;'Funnel setup'!$K$6,".",IF(A3034=".",1,A3034+1))</f>
        <v>.</v>
      </c>
      <c r="B3035" s="244" t="str">
        <f t="shared" si="47"/>
        <v>Knee Replacement RevisionProviderNORTH DOWNS HOSPITAL (NVC11)EQ VAS</v>
      </c>
      <c r="C3035" t="s">
        <v>973</v>
      </c>
      <c r="D3035" t="s">
        <v>965</v>
      </c>
      <c r="E3035" t="s">
        <v>348</v>
      </c>
      <c r="F3035" t="s">
        <v>349</v>
      </c>
      <c r="G3035" t="s">
        <v>752</v>
      </c>
      <c r="H3035" t="s">
        <v>127</v>
      </c>
      <c r="I3035" t="s">
        <v>127</v>
      </c>
      <c r="J3035" t="s">
        <v>127</v>
      </c>
      <c r="K3035" t="s">
        <v>127</v>
      </c>
      <c r="L3035" t="s">
        <v>127</v>
      </c>
      <c r="M3035" t="s">
        <v>127</v>
      </c>
      <c r="N3035" t="s">
        <v>127</v>
      </c>
      <c r="O3035" t="s">
        <v>127</v>
      </c>
      <c r="P3035" t="s">
        <v>127</v>
      </c>
      <c r="Q3035" t="s">
        <v>127</v>
      </c>
    </row>
    <row r="3036" spans="1:17" x14ac:dyDescent="0.25">
      <c r="A3036" t="str">
        <f>IF(C3036&amp;G3036&amp;D3036&lt;&gt;'Funnel setup'!$K$3&amp;'Funnel setup'!$K$4&amp;'Funnel setup'!$K$6,".",IF(A3035=".",1,A3035+1))</f>
        <v>.</v>
      </c>
      <c r="B3036" s="244" t="str">
        <f t="shared" si="47"/>
        <v>Knee Replacement RevisionProviderNORTH TEES AND HARTLEPOOL NHS FOUNDATION TRUST (RVW)EQ VAS</v>
      </c>
      <c r="C3036" t="s">
        <v>973</v>
      </c>
      <c r="D3036" t="s">
        <v>965</v>
      </c>
      <c r="E3036" t="s">
        <v>352</v>
      </c>
      <c r="F3036" t="s">
        <v>353</v>
      </c>
      <c r="G3036" t="s">
        <v>752</v>
      </c>
      <c r="H3036">
        <v>11</v>
      </c>
      <c r="I3036">
        <v>58.636400000000002</v>
      </c>
      <c r="J3036">
        <v>55.454500000000003</v>
      </c>
      <c r="K3036">
        <v>-3.1818200000000001</v>
      </c>
      <c r="L3036">
        <v>6</v>
      </c>
      <c r="M3036">
        <v>0</v>
      </c>
      <c r="N3036">
        <v>5</v>
      </c>
      <c r="O3036" t="s">
        <v>127</v>
      </c>
      <c r="P3036" t="s">
        <v>127</v>
      </c>
      <c r="Q3036" t="s">
        <v>127</v>
      </c>
    </row>
    <row r="3037" spans="1:17" x14ac:dyDescent="0.25">
      <c r="A3037" t="str">
        <f>IF(C3037&amp;G3037&amp;D3037&lt;&gt;'Funnel setup'!$K$3&amp;'Funnel setup'!$K$4&amp;'Funnel setup'!$K$6,".",IF(A3036=".",1,A3036+1))</f>
        <v>.</v>
      </c>
      <c r="B3037" s="244" t="str">
        <f t="shared" si="47"/>
        <v>Knee Replacement RevisionProviderNORTH WEST ANGLIA NHS FOUNDATION TRUST (RGN)EQ VAS</v>
      </c>
      <c r="C3037" t="s">
        <v>973</v>
      </c>
      <c r="D3037" t="s">
        <v>965</v>
      </c>
      <c r="E3037" t="s">
        <v>354</v>
      </c>
      <c r="F3037" t="s">
        <v>355</v>
      </c>
      <c r="G3037" t="s">
        <v>752</v>
      </c>
      <c r="H3037">
        <v>7</v>
      </c>
      <c r="I3037">
        <v>55.714300000000001</v>
      </c>
      <c r="J3037">
        <v>60.571399999999997</v>
      </c>
      <c r="K3037">
        <v>4.8571400000000002</v>
      </c>
      <c r="L3037">
        <v>3</v>
      </c>
      <c r="M3037">
        <v>1</v>
      </c>
      <c r="N3037">
        <v>3</v>
      </c>
      <c r="O3037" t="s">
        <v>127</v>
      </c>
      <c r="P3037" t="s">
        <v>127</v>
      </c>
      <c r="Q3037" t="s">
        <v>127</v>
      </c>
    </row>
    <row r="3038" spans="1:17" x14ac:dyDescent="0.25">
      <c r="A3038" t="str">
        <f>IF(C3038&amp;G3038&amp;D3038&lt;&gt;'Funnel setup'!$K$3&amp;'Funnel setup'!$K$4&amp;'Funnel setup'!$K$6,".",IF(A3037=".",1,A3037+1))</f>
        <v>.</v>
      </c>
      <c r="B3038" s="244" t="str">
        <f t="shared" si="47"/>
        <v>Knee Replacement RevisionProviderNORTHAMPTON GENERAL HOSPITAL NHS TRUST (RNS)EQ VAS</v>
      </c>
      <c r="C3038" t="s">
        <v>973</v>
      </c>
      <c r="D3038" t="s">
        <v>965</v>
      </c>
      <c r="E3038" t="s">
        <v>356</v>
      </c>
      <c r="F3038" t="s">
        <v>357</v>
      </c>
      <c r="G3038" t="s">
        <v>752</v>
      </c>
      <c r="H3038">
        <v>2</v>
      </c>
      <c r="I3038">
        <v>65</v>
      </c>
      <c r="J3038">
        <v>85.5</v>
      </c>
      <c r="K3038">
        <v>20.5</v>
      </c>
      <c r="L3038">
        <v>2</v>
      </c>
      <c r="M3038">
        <v>0</v>
      </c>
      <c r="N3038">
        <v>0</v>
      </c>
      <c r="O3038" t="s">
        <v>127</v>
      </c>
      <c r="P3038" t="s">
        <v>127</v>
      </c>
      <c r="Q3038" t="s">
        <v>127</v>
      </c>
    </row>
    <row r="3039" spans="1:17" x14ac:dyDescent="0.25">
      <c r="A3039" t="str">
        <f>IF(C3039&amp;G3039&amp;D3039&lt;&gt;'Funnel setup'!$K$3&amp;'Funnel setup'!$K$4&amp;'Funnel setup'!$K$6,".",IF(A3038=".",1,A3038+1))</f>
        <v>.</v>
      </c>
      <c r="B3039" s="244" t="str">
        <f t="shared" si="47"/>
        <v>Knee Replacement RevisionProviderNORTHERN DEVON HEALTHCARE NHS TRUST (RBZ)EQ VAS</v>
      </c>
      <c r="C3039" t="s">
        <v>973</v>
      </c>
      <c r="D3039" t="s">
        <v>965</v>
      </c>
      <c r="E3039" t="s">
        <v>360</v>
      </c>
      <c r="F3039" t="s">
        <v>361</v>
      </c>
      <c r="G3039" t="s">
        <v>752</v>
      </c>
      <c r="H3039" t="s">
        <v>127</v>
      </c>
      <c r="I3039" t="s">
        <v>127</v>
      </c>
      <c r="J3039" t="s">
        <v>127</v>
      </c>
      <c r="K3039" t="s">
        <v>127</v>
      </c>
      <c r="L3039" t="s">
        <v>127</v>
      </c>
      <c r="M3039" t="s">
        <v>127</v>
      </c>
      <c r="N3039" t="s">
        <v>127</v>
      </c>
      <c r="O3039" t="s">
        <v>127</v>
      </c>
      <c r="P3039" t="s">
        <v>127</v>
      </c>
      <c r="Q3039" t="s">
        <v>127</v>
      </c>
    </row>
    <row r="3040" spans="1:17" x14ac:dyDescent="0.25">
      <c r="A3040" t="str">
        <f>IF(C3040&amp;G3040&amp;D3040&lt;&gt;'Funnel setup'!$K$3&amp;'Funnel setup'!$K$4&amp;'Funnel setup'!$K$6,".",IF(A3039=".",1,A3039+1))</f>
        <v>.</v>
      </c>
      <c r="B3040" s="244" t="str">
        <f t="shared" si="47"/>
        <v>Knee Replacement RevisionProviderNORTHERN LINCOLNSHIRE AND GOOLE NHS FOUNDATION TRUST (RJL)EQ VAS</v>
      </c>
      <c r="C3040" t="s">
        <v>973</v>
      </c>
      <c r="D3040" t="s">
        <v>965</v>
      </c>
      <c r="E3040" t="s">
        <v>362</v>
      </c>
      <c r="F3040" t="s">
        <v>363</v>
      </c>
      <c r="G3040" t="s">
        <v>752</v>
      </c>
      <c r="H3040">
        <v>3</v>
      </c>
      <c r="I3040">
        <v>51.666699999999999</v>
      </c>
      <c r="J3040">
        <v>53.333300000000001</v>
      </c>
      <c r="K3040">
        <v>1.6666700000000001</v>
      </c>
      <c r="L3040">
        <v>1</v>
      </c>
      <c r="M3040">
        <v>0</v>
      </c>
      <c r="N3040">
        <v>2</v>
      </c>
      <c r="O3040" t="s">
        <v>127</v>
      </c>
      <c r="P3040" t="s">
        <v>127</v>
      </c>
      <c r="Q3040" t="s">
        <v>127</v>
      </c>
    </row>
    <row r="3041" spans="1:17" x14ac:dyDescent="0.25">
      <c r="A3041" t="str">
        <f>IF(C3041&amp;G3041&amp;D3041&lt;&gt;'Funnel setup'!$K$3&amp;'Funnel setup'!$K$4&amp;'Funnel setup'!$K$6,".",IF(A3040=".",1,A3040+1))</f>
        <v>.</v>
      </c>
      <c r="B3041" s="244" t="str">
        <f t="shared" si="47"/>
        <v>Knee Replacement RevisionProviderNORTHUMBRIA HEALTHCARE NHS FOUNDATION TRUST (RTF)EQ VAS</v>
      </c>
      <c r="C3041" t="s">
        <v>973</v>
      </c>
      <c r="D3041" t="s">
        <v>965</v>
      </c>
      <c r="E3041" t="s">
        <v>364</v>
      </c>
      <c r="F3041" t="s">
        <v>365</v>
      </c>
      <c r="G3041" t="s">
        <v>752</v>
      </c>
      <c r="H3041">
        <v>9</v>
      </c>
      <c r="I3041">
        <v>63.333300000000001</v>
      </c>
      <c r="J3041">
        <v>56.1111</v>
      </c>
      <c r="K3041">
        <v>-7.2222200000000001</v>
      </c>
      <c r="L3041">
        <v>2</v>
      </c>
      <c r="M3041">
        <v>3</v>
      </c>
      <c r="N3041">
        <v>4</v>
      </c>
      <c r="O3041" t="s">
        <v>127</v>
      </c>
      <c r="P3041" t="s">
        <v>127</v>
      </c>
      <c r="Q3041" t="s">
        <v>127</v>
      </c>
    </row>
    <row r="3042" spans="1:17" x14ac:dyDescent="0.25">
      <c r="A3042" t="str">
        <f>IF(C3042&amp;G3042&amp;D3042&lt;&gt;'Funnel setup'!$K$3&amp;'Funnel setup'!$K$4&amp;'Funnel setup'!$K$6,".",IF(A3041=".",1,A3041+1))</f>
        <v>.</v>
      </c>
      <c r="B3042" s="244" t="str">
        <f t="shared" si="47"/>
        <v>Knee Replacement RevisionProviderNUFFIELD HEALTH, DERBY HOSPITAL (NT213)EQ VAS</v>
      </c>
      <c r="C3042" t="s">
        <v>973</v>
      </c>
      <c r="D3042" t="s">
        <v>965</v>
      </c>
      <c r="E3042" t="s">
        <v>382</v>
      </c>
      <c r="F3042" t="s">
        <v>383</v>
      </c>
      <c r="G3042" t="s">
        <v>752</v>
      </c>
      <c r="H3042">
        <v>2</v>
      </c>
      <c r="I3042">
        <v>35</v>
      </c>
      <c r="J3042">
        <v>77.5</v>
      </c>
      <c r="K3042">
        <v>42.5</v>
      </c>
      <c r="L3042">
        <v>2</v>
      </c>
      <c r="M3042">
        <v>0</v>
      </c>
      <c r="N3042">
        <v>0</v>
      </c>
      <c r="O3042" t="s">
        <v>127</v>
      </c>
      <c r="P3042" t="s">
        <v>127</v>
      </c>
      <c r="Q3042" t="s">
        <v>127</v>
      </c>
    </row>
    <row r="3043" spans="1:17" x14ac:dyDescent="0.25">
      <c r="A3043" t="str">
        <f>IF(C3043&amp;G3043&amp;D3043&lt;&gt;'Funnel setup'!$K$3&amp;'Funnel setup'!$K$4&amp;'Funnel setup'!$K$6,".",IF(A3042=".",1,A3042+1))</f>
        <v>.</v>
      </c>
      <c r="B3043" s="244" t="str">
        <f t="shared" si="47"/>
        <v>Knee Replacement RevisionProviderNUFFIELD HEALTH, LEEDS HOSPITAL (NT225)EQ VAS</v>
      </c>
      <c r="C3043" t="s">
        <v>973</v>
      </c>
      <c r="D3043" t="s">
        <v>965</v>
      </c>
      <c r="E3043" t="s">
        <v>392</v>
      </c>
      <c r="F3043" t="s">
        <v>393</v>
      </c>
      <c r="G3043" t="s">
        <v>752</v>
      </c>
      <c r="H3043" t="s">
        <v>127</v>
      </c>
      <c r="I3043" t="s">
        <v>127</v>
      </c>
      <c r="J3043" t="s">
        <v>127</v>
      </c>
      <c r="K3043" t="s">
        <v>127</v>
      </c>
      <c r="L3043" t="s">
        <v>127</v>
      </c>
      <c r="M3043" t="s">
        <v>127</v>
      </c>
      <c r="N3043" t="s">
        <v>127</v>
      </c>
      <c r="O3043" t="s">
        <v>127</v>
      </c>
      <c r="P3043" t="s">
        <v>127</v>
      </c>
      <c r="Q3043" t="s">
        <v>127</v>
      </c>
    </row>
    <row r="3044" spans="1:17" x14ac:dyDescent="0.25">
      <c r="A3044" t="str">
        <f>IF(C3044&amp;G3044&amp;D3044&lt;&gt;'Funnel setup'!$K$3&amp;'Funnel setup'!$K$4&amp;'Funnel setup'!$K$6,".",IF(A3043=".",1,A3043+1))</f>
        <v>.</v>
      </c>
      <c r="B3044" s="244" t="str">
        <f t="shared" si="47"/>
        <v>Knee Replacement RevisionProviderNUFFIELD HEALTH, NORTH STAFFORDSHIRE HOSPITAL (NT230)EQ VAS</v>
      </c>
      <c r="C3044" t="s">
        <v>973</v>
      </c>
      <c r="D3044" t="s">
        <v>965</v>
      </c>
      <c r="E3044" t="s">
        <v>398</v>
      </c>
      <c r="F3044" t="s">
        <v>399</v>
      </c>
      <c r="G3044" t="s">
        <v>752</v>
      </c>
      <c r="H3044" t="s">
        <v>127</v>
      </c>
      <c r="I3044" t="s">
        <v>127</v>
      </c>
      <c r="J3044" t="s">
        <v>127</v>
      </c>
      <c r="K3044" t="s">
        <v>127</v>
      </c>
      <c r="L3044" t="s">
        <v>127</v>
      </c>
      <c r="M3044" t="s">
        <v>127</v>
      </c>
      <c r="N3044" t="s">
        <v>127</v>
      </c>
      <c r="O3044" t="s">
        <v>127</v>
      </c>
      <c r="P3044" t="s">
        <v>127</v>
      </c>
      <c r="Q3044" t="s">
        <v>127</v>
      </c>
    </row>
    <row r="3045" spans="1:17" x14ac:dyDescent="0.25">
      <c r="A3045" t="str">
        <f>IF(C3045&amp;G3045&amp;D3045&lt;&gt;'Funnel setup'!$K$3&amp;'Funnel setup'!$K$4&amp;'Funnel setup'!$K$6,".",IF(A3044=".",1,A3044+1))</f>
        <v>.</v>
      </c>
      <c r="B3045" s="244" t="str">
        <f t="shared" si="47"/>
        <v>Knee Replacement RevisionProviderNUFFIELD HEALTH, PLYMOUTH HOSPITAL (NT233)EQ VAS</v>
      </c>
      <c r="C3045" t="s">
        <v>973</v>
      </c>
      <c r="D3045" t="s">
        <v>965</v>
      </c>
      <c r="E3045" t="s">
        <v>400</v>
      </c>
      <c r="F3045" t="s">
        <v>401</v>
      </c>
      <c r="G3045" t="s">
        <v>752</v>
      </c>
      <c r="H3045" t="s">
        <v>127</v>
      </c>
      <c r="I3045" t="s">
        <v>127</v>
      </c>
      <c r="J3045" t="s">
        <v>127</v>
      </c>
      <c r="K3045" t="s">
        <v>127</v>
      </c>
      <c r="L3045" t="s">
        <v>127</v>
      </c>
      <c r="M3045" t="s">
        <v>127</v>
      </c>
      <c r="N3045" t="s">
        <v>127</v>
      </c>
      <c r="O3045" t="s">
        <v>127</v>
      </c>
      <c r="P3045" t="s">
        <v>127</v>
      </c>
      <c r="Q3045" t="s">
        <v>127</v>
      </c>
    </row>
    <row r="3046" spans="1:17" x14ac:dyDescent="0.25">
      <c r="A3046" t="str">
        <f>IF(C3046&amp;G3046&amp;D3046&lt;&gt;'Funnel setup'!$K$3&amp;'Funnel setup'!$K$4&amp;'Funnel setup'!$K$6,".",IF(A3045=".",1,A3045+1))</f>
        <v>.</v>
      </c>
      <c r="B3046" s="244" t="str">
        <f t="shared" si="47"/>
        <v>Knee Replacement RevisionProviderNUFFIELD HEALTH, TEES HOSPITAL (NT237)EQ VAS</v>
      </c>
      <c r="C3046" t="s">
        <v>973</v>
      </c>
      <c r="D3046" t="s">
        <v>965</v>
      </c>
      <c r="E3046" t="s">
        <v>406</v>
      </c>
      <c r="F3046" t="s">
        <v>407</v>
      </c>
      <c r="G3046" t="s">
        <v>752</v>
      </c>
      <c r="H3046" t="s">
        <v>127</v>
      </c>
      <c r="I3046" t="s">
        <v>127</v>
      </c>
      <c r="J3046" t="s">
        <v>127</v>
      </c>
      <c r="K3046" t="s">
        <v>127</v>
      </c>
      <c r="L3046" t="s">
        <v>127</v>
      </c>
      <c r="M3046" t="s">
        <v>127</v>
      </c>
      <c r="N3046" t="s">
        <v>127</v>
      </c>
      <c r="O3046" t="s">
        <v>127</v>
      </c>
      <c r="P3046" t="s">
        <v>127</v>
      </c>
      <c r="Q3046" t="s">
        <v>127</v>
      </c>
    </row>
    <row r="3047" spans="1:17" x14ac:dyDescent="0.25">
      <c r="A3047" t="str">
        <f>IF(C3047&amp;G3047&amp;D3047&lt;&gt;'Funnel setup'!$K$3&amp;'Funnel setup'!$K$4&amp;'Funnel setup'!$K$6,".",IF(A3046=".",1,A3046+1))</f>
        <v>.</v>
      </c>
      <c r="B3047" s="244" t="str">
        <f t="shared" si="47"/>
        <v>Knee Replacement RevisionProviderNUFFIELD HEALTH, WARWICKSHIRE HOSPITAL (NT224)EQ VAS</v>
      </c>
      <c r="C3047" t="s">
        <v>973</v>
      </c>
      <c r="D3047" t="s">
        <v>965</v>
      </c>
      <c r="E3047" t="s">
        <v>412</v>
      </c>
      <c r="F3047" t="s">
        <v>413</v>
      </c>
      <c r="G3047" t="s">
        <v>752</v>
      </c>
      <c r="H3047" t="s">
        <v>127</v>
      </c>
      <c r="I3047" t="s">
        <v>127</v>
      </c>
      <c r="J3047" t="s">
        <v>127</v>
      </c>
      <c r="K3047" t="s">
        <v>127</v>
      </c>
      <c r="L3047" t="s">
        <v>127</v>
      </c>
      <c r="M3047" t="s">
        <v>127</v>
      </c>
      <c r="N3047" t="s">
        <v>127</v>
      </c>
      <c r="O3047" t="s">
        <v>127</v>
      </c>
      <c r="P3047" t="s">
        <v>127</v>
      </c>
      <c r="Q3047" t="s">
        <v>127</v>
      </c>
    </row>
    <row r="3048" spans="1:17" x14ac:dyDescent="0.25">
      <c r="A3048" t="str">
        <f>IF(C3048&amp;G3048&amp;D3048&lt;&gt;'Funnel setup'!$K$3&amp;'Funnel setup'!$K$4&amp;'Funnel setup'!$K$6,".",IF(A3047=".",1,A3047+1))</f>
        <v>.</v>
      </c>
      <c r="B3048" s="244" t="str">
        <f t="shared" si="47"/>
        <v>Knee Replacement RevisionProviderNUFFIELD HEALTH, YORK HOSPITAL (NT245)EQ VAS</v>
      </c>
      <c r="C3048" t="s">
        <v>973</v>
      </c>
      <c r="D3048" t="s">
        <v>965</v>
      </c>
      <c r="E3048" t="s">
        <v>420</v>
      </c>
      <c r="F3048" t="s">
        <v>421</v>
      </c>
      <c r="G3048" t="s">
        <v>752</v>
      </c>
      <c r="H3048">
        <v>3</v>
      </c>
      <c r="I3048">
        <v>83.333299999999994</v>
      </c>
      <c r="J3048">
        <v>80.333299999999994</v>
      </c>
      <c r="K3048">
        <v>-3</v>
      </c>
      <c r="L3048">
        <v>1</v>
      </c>
      <c r="M3048">
        <v>0</v>
      </c>
      <c r="N3048">
        <v>2</v>
      </c>
      <c r="O3048" t="s">
        <v>127</v>
      </c>
      <c r="P3048" t="s">
        <v>127</v>
      </c>
      <c r="Q3048" t="s">
        <v>127</v>
      </c>
    </row>
    <row r="3049" spans="1:17" x14ac:dyDescent="0.25">
      <c r="A3049" t="str">
        <f>IF(C3049&amp;G3049&amp;D3049&lt;&gt;'Funnel setup'!$K$3&amp;'Funnel setup'!$K$4&amp;'Funnel setup'!$K$6,".",IF(A3048=".",1,A3048+1))</f>
        <v>.</v>
      </c>
      <c r="B3049" s="244" t="str">
        <f t="shared" si="47"/>
        <v>Knee Replacement RevisionProviderOXFORD UNIVERSITY HOSPITALS NHS FOUNDATION TRUST (RTH)EQ VAS</v>
      </c>
      <c r="C3049" t="s">
        <v>973</v>
      </c>
      <c r="D3049" t="s">
        <v>965</v>
      </c>
      <c r="E3049" t="s">
        <v>438</v>
      </c>
      <c r="F3049" t="s">
        <v>439</v>
      </c>
      <c r="G3049" t="s">
        <v>752</v>
      </c>
      <c r="H3049">
        <v>41</v>
      </c>
      <c r="I3049">
        <v>62.756100000000004</v>
      </c>
      <c r="J3049">
        <v>70.195099999999996</v>
      </c>
      <c r="K3049">
        <v>7.4390200000000002</v>
      </c>
      <c r="L3049">
        <v>23</v>
      </c>
      <c r="M3049">
        <v>6</v>
      </c>
      <c r="N3049">
        <v>12</v>
      </c>
      <c r="O3049">
        <v>67.362099999999998</v>
      </c>
      <c r="P3049">
        <v>7.4583199999999996</v>
      </c>
      <c r="Q3049">
        <v>19.683599999999998</v>
      </c>
    </row>
    <row r="3050" spans="1:17" x14ac:dyDescent="0.25">
      <c r="A3050" t="str">
        <f>IF(C3050&amp;G3050&amp;D3050&lt;&gt;'Funnel setup'!$K$3&amp;'Funnel setup'!$K$4&amp;'Funnel setup'!$K$6,".",IF(A3049=".",1,A3049+1))</f>
        <v>.</v>
      </c>
      <c r="B3050" s="244" t="str">
        <f t="shared" si="47"/>
        <v>Knee Replacement RevisionProviderPARK HILL HOSPITAL (NVC14)EQ VAS</v>
      </c>
      <c r="C3050" t="s">
        <v>973</v>
      </c>
      <c r="D3050" t="s">
        <v>965</v>
      </c>
      <c r="E3050" t="s">
        <v>440</v>
      </c>
      <c r="F3050" t="s">
        <v>441</v>
      </c>
      <c r="G3050" t="s">
        <v>752</v>
      </c>
      <c r="H3050" t="s">
        <v>127</v>
      </c>
      <c r="I3050" t="s">
        <v>127</v>
      </c>
      <c r="J3050" t="s">
        <v>127</v>
      </c>
      <c r="K3050" t="s">
        <v>127</v>
      </c>
      <c r="L3050" t="s">
        <v>127</v>
      </c>
      <c r="M3050" t="s">
        <v>127</v>
      </c>
      <c r="N3050" t="s">
        <v>127</v>
      </c>
      <c r="O3050" t="s">
        <v>127</v>
      </c>
      <c r="P3050" t="s">
        <v>127</v>
      </c>
      <c r="Q3050" t="s">
        <v>127</v>
      </c>
    </row>
    <row r="3051" spans="1:17" x14ac:dyDescent="0.25">
      <c r="A3051" t="str">
        <f>IF(C3051&amp;G3051&amp;D3051&lt;&gt;'Funnel setup'!$K$3&amp;'Funnel setup'!$K$4&amp;'Funnel setup'!$K$6,".",IF(A3050=".",1,A3050+1))</f>
        <v>.</v>
      </c>
      <c r="B3051" s="244" t="str">
        <f t="shared" si="47"/>
        <v>Knee Replacement RevisionProviderPORTSMOUTH HOSPITALS UNIVERSITY NATIONAL HEALTH SERVICE TRUST (RHU)EQ VAS</v>
      </c>
      <c r="C3051" t="s">
        <v>973</v>
      </c>
      <c r="D3051" t="s">
        <v>965</v>
      </c>
      <c r="E3051" t="s">
        <v>450</v>
      </c>
      <c r="F3051" t="s">
        <v>451</v>
      </c>
      <c r="G3051" t="s">
        <v>752</v>
      </c>
      <c r="H3051">
        <v>1</v>
      </c>
      <c r="I3051">
        <v>69</v>
      </c>
      <c r="J3051">
        <v>70</v>
      </c>
      <c r="K3051">
        <v>1</v>
      </c>
      <c r="L3051">
        <v>1</v>
      </c>
      <c r="M3051">
        <v>0</v>
      </c>
      <c r="N3051">
        <v>0</v>
      </c>
      <c r="O3051" t="s">
        <v>127</v>
      </c>
      <c r="P3051" t="s">
        <v>127</v>
      </c>
      <c r="Q3051" t="s">
        <v>127</v>
      </c>
    </row>
    <row r="3052" spans="1:17" x14ac:dyDescent="0.25">
      <c r="A3052" t="str">
        <f>IF(C3052&amp;G3052&amp;D3052&lt;&gt;'Funnel setup'!$K$3&amp;'Funnel setup'!$K$4&amp;'Funnel setup'!$K$6,".",IF(A3051=".",1,A3051+1))</f>
        <v>.</v>
      </c>
      <c r="B3052" s="244" t="str">
        <f t="shared" si="47"/>
        <v>Knee Replacement RevisionProviderPRACTICE PLUS GROUP HOSPITAL - BARLBOROUGH (NTP13)EQ VAS</v>
      </c>
      <c r="C3052" t="s">
        <v>973</v>
      </c>
      <c r="D3052" t="s">
        <v>965</v>
      </c>
      <c r="E3052" t="s">
        <v>452</v>
      </c>
      <c r="F3052" t="s">
        <v>453</v>
      </c>
      <c r="G3052" t="s">
        <v>752</v>
      </c>
      <c r="H3052" t="s">
        <v>127</v>
      </c>
      <c r="I3052" t="s">
        <v>127</v>
      </c>
      <c r="J3052" t="s">
        <v>127</v>
      </c>
      <c r="K3052" t="s">
        <v>127</v>
      </c>
      <c r="L3052" t="s">
        <v>127</v>
      </c>
      <c r="M3052" t="s">
        <v>127</v>
      </c>
      <c r="N3052" t="s">
        <v>127</v>
      </c>
      <c r="O3052" t="s">
        <v>127</v>
      </c>
      <c r="P3052" t="s">
        <v>127</v>
      </c>
      <c r="Q3052" t="s">
        <v>127</v>
      </c>
    </row>
    <row r="3053" spans="1:17" x14ac:dyDescent="0.25">
      <c r="A3053" t="str">
        <f>IF(C3053&amp;G3053&amp;D3053&lt;&gt;'Funnel setup'!$K$3&amp;'Funnel setup'!$K$4&amp;'Funnel setup'!$K$6,".",IF(A3052=".",1,A3052+1))</f>
        <v>.</v>
      </c>
      <c r="B3053" s="244" t="str">
        <f t="shared" si="47"/>
        <v>Knee Replacement RevisionProviderPRACTICE PLUS GROUP HOSPITAL - ILFORD (NTP15)EQ VAS</v>
      </c>
      <c r="C3053" t="s">
        <v>973</v>
      </c>
      <c r="D3053" t="s">
        <v>965</v>
      </c>
      <c r="E3053" t="s">
        <v>456</v>
      </c>
      <c r="F3053" t="s">
        <v>457</v>
      </c>
      <c r="G3053" t="s">
        <v>752</v>
      </c>
      <c r="H3053">
        <v>1</v>
      </c>
      <c r="I3053">
        <v>50</v>
      </c>
      <c r="J3053">
        <v>70</v>
      </c>
      <c r="K3053">
        <v>20</v>
      </c>
      <c r="L3053">
        <v>1</v>
      </c>
      <c r="M3053">
        <v>0</v>
      </c>
      <c r="N3053">
        <v>0</v>
      </c>
      <c r="O3053" t="s">
        <v>127</v>
      </c>
      <c r="P3053" t="s">
        <v>127</v>
      </c>
      <c r="Q3053" t="s">
        <v>127</v>
      </c>
    </row>
    <row r="3054" spans="1:17" x14ac:dyDescent="0.25">
      <c r="A3054" t="str">
        <f>IF(C3054&amp;G3054&amp;D3054&lt;&gt;'Funnel setup'!$K$3&amp;'Funnel setup'!$K$4&amp;'Funnel setup'!$K$6,".",IF(A3053=".",1,A3053+1))</f>
        <v>.</v>
      </c>
      <c r="B3054" s="244" t="str">
        <f t="shared" si="47"/>
        <v>Knee Replacement RevisionProviderPRACTICE PLUS GROUP HOSPITAL - PLYMOUTH (NTPH5)EQ VAS</v>
      </c>
      <c r="C3054" t="s">
        <v>973</v>
      </c>
      <c r="D3054" t="s">
        <v>965</v>
      </c>
      <c r="E3054" t="s">
        <v>458</v>
      </c>
      <c r="F3054" t="s">
        <v>459</v>
      </c>
      <c r="G3054" t="s">
        <v>752</v>
      </c>
      <c r="H3054">
        <v>5</v>
      </c>
      <c r="I3054">
        <v>77</v>
      </c>
      <c r="J3054">
        <v>77.599999999999994</v>
      </c>
      <c r="K3054">
        <v>0.6</v>
      </c>
      <c r="L3054">
        <v>2</v>
      </c>
      <c r="M3054">
        <v>0</v>
      </c>
      <c r="N3054">
        <v>3</v>
      </c>
      <c r="O3054" t="s">
        <v>127</v>
      </c>
      <c r="P3054" t="s">
        <v>127</v>
      </c>
      <c r="Q3054" t="s">
        <v>127</v>
      </c>
    </row>
    <row r="3055" spans="1:17" x14ac:dyDescent="0.25">
      <c r="A3055" t="str">
        <f>IF(C3055&amp;G3055&amp;D3055&lt;&gt;'Funnel setup'!$K$3&amp;'Funnel setup'!$K$4&amp;'Funnel setup'!$K$6,".",IF(A3054=".",1,A3054+1))</f>
        <v>.</v>
      </c>
      <c r="B3055" s="244" t="str">
        <f t="shared" si="47"/>
        <v>Knee Replacement RevisionProviderPRACTICE PLUS GROUP HOSPITAL - SOUTHAMPTON (NTP11)EQ VAS</v>
      </c>
      <c r="C3055" t="s">
        <v>973</v>
      </c>
      <c r="D3055" t="s">
        <v>965</v>
      </c>
      <c r="E3055" t="s">
        <v>462</v>
      </c>
      <c r="F3055" t="s">
        <v>463</v>
      </c>
      <c r="G3055" t="s">
        <v>752</v>
      </c>
      <c r="H3055">
        <v>1</v>
      </c>
      <c r="I3055">
        <v>55</v>
      </c>
      <c r="J3055">
        <v>78</v>
      </c>
      <c r="K3055">
        <v>23</v>
      </c>
      <c r="L3055">
        <v>1</v>
      </c>
      <c r="M3055">
        <v>0</v>
      </c>
      <c r="N3055">
        <v>0</v>
      </c>
      <c r="O3055" t="s">
        <v>127</v>
      </c>
      <c r="P3055" t="s">
        <v>127</v>
      </c>
      <c r="Q3055" t="s">
        <v>127</v>
      </c>
    </row>
    <row r="3056" spans="1:17" x14ac:dyDescent="0.25">
      <c r="A3056" t="str">
        <f>IF(C3056&amp;G3056&amp;D3056&lt;&gt;'Funnel setup'!$K$3&amp;'Funnel setup'!$K$4&amp;'Funnel setup'!$K$6,".",IF(A3055=".",1,A3055+1))</f>
        <v>.</v>
      </c>
      <c r="B3056" s="244" t="str">
        <f t="shared" si="47"/>
        <v>Knee Replacement RevisionProviderPRIORY HOSPITAL (NT429)EQ VAS</v>
      </c>
      <c r="C3056" t="s">
        <v>973</v>
      </c>
      <c r="D3056" t="s">
        <v>965</v>
      </c>
      <c r="E3056" t="s">
        <v>466</v>
      </c>
      <c r="F3056" t="s">
        <v>467</v>
      </c>
      <c r="G3056" t="s">
        <v>752</v>
      </c>
      <c r="H3056" t="s">
        <v>127</v>
      </c>
      <c r="I3056" t="s">
        <v>127</v>
      </c>
      <c r="J3056" t="s">
        <v>127</v>
      </c>
      <c r="K3056" t="s">
        <v>127</v>
      </c>
      <c r="L3056" t="s">
        <v>127</v>
      </c>
      <c r="M3056" t="s">
        <v>127</v>
      </c>
      <c r="N3056" t="s">
        <v>127</v>
      </c>
      <c r="O3056" t="s">
        <v>127</v>
      </c>
      <c r="P3056" t="s">
        <v>127</v>
      </c>
      <c r="Q3056" t="s">
        <v>127</v>
      </c>
    </row>
    <row r="3057" spans="1:17" x14ac:dyDescent="0.25">
      <c r="A3057" t="str">
        <f>IF(C3057&amp;G3057&amp;D3057&lt;&gt;'Funnel setup'!$K$3&amp;'Funnel setup'!$K$4&amp;'Funnel setup'!$K$6,".",IF(A3056=".",1,A3056+1))</f>
        <v>.</v>
      </c>
      <c r="B3057" s="244" t="str">
        <f t="shared" si="47"/>
        <v>Knee Replacement RevisionProviderROWLEY HALL HOSPITAL (NVC17)EQ VAS</v>
      </c>
      <c r="C3057" t="s">
        <v>973</v>
      </c>
      <c r="D3057" t="s">
        <v>965</v>
      </c>
      <c r="E3057" t="s">
        <v>476</v>
      </c>
      <c r="F3057" t="s">
        <v>477</v>
      </c>
      <c r="G3057" t="s">
        <v>752</v>
      </c>
      <c r="H3057" t="s">
        <v>127</v>
      </c>
      <c r="I3057" t="s">
        <v>127</v>
      </c>
      <c r="J3057" t="s">
        <v>127</v>
      </c>
      <c r="K3057" t="s">
        <v>127</v>
      </c>
      <c r="L3057" t="s">
        <v>127</v>
      </c>
      <c r="M3057" t="s">
        <v>127</v>
      </c>
      <c r="N3057" t="s">
        <v>127</v>
      </c>
      <c r="O3057" t="s">
        <v>127</v>
      </c>
      <c r="P3057" t="s">
        <v>127</v>
      </c>
      <c r="Q3057" t="s">
        <v>127</v>
      </c>
    </row>
    <row r="3058" spans="1:17" x14ac:dyDescent="0.25">
      <c r="A3058" t="str">
        <f>IF(C3058&amp;G3058&amp;D3058&lt;&gt;'Funnel setup'!$K$3&amp;'Funnel setup'!$K$4&amp;'Funnel setup'!$K$6,".",IF(A3057=".",1,A3057+1))</f>
        <v>.</v>
      </c>
      <c r="B3058" s="244" t="str">
        <f t="shared" si="47"/>
        <v>Knee Replacement RevisionProviderROYAL CORNWALL HOSPITALS NHS TRUST (REF)EQ VAS</v>
      </c>
      <c r="C3058" t="s">
        <v>973</v>
      </c>
      <c r="D3058" t="s">
        <v>965</v>
      </c>
      <c r="E3058" t="s">
        <v>480</v>
      </c>
      <c r="F3058" t="s">
        <v>481</v>
      </c>
      <c r="G3058" t="s">
        <v>752</v>
      </c>
      <c r="H3058">
        <v>3</v>
      </c>
      <c r="I3058">
        <v>75</v>
      </c>
      <c r="J3058">
        <v>82.666700000000006</v>
      </c>
      <c r="K3058">
        <v>7.6666699999999999</v>
      </c>
      <c r="L3058">
        <v>2</v>
      </c>
      <c r="M3058">
        <v>1</v>
      </c>
      <c r="N3058">
        <v>0</v>
      </c>
      <c r="O3058" t="s">
        <v>127</v>
      </c>
      <c r="P3058" t="s">
        <v>127</v>
      </c>
      <c r="Q3058" t="s">
        <v>127</v>
      </c>
    </row>
    <row r="3059" spans="1:17" x14ac:dyDescent="0.25">
      <c r="A3059" t="str">
        <f>IF(C3059&amp;G3059&amp;D3059&lt;&gt;'Funnel setup'!$K$3&amp;'Funnel setup'!$K$4&amp;'Funnel setup'!$K$6,".",IF(A3058=".",1,A3058+1))</f>
        <v>.</v>
      </c>
      <c r="B3059" s="244" t="str">
        <f t="shared" si="47"/>
        <v>Knee Replacement RevisionProviderROYAL DEVON UNIVERSITY HEALTHCARE NHS FOUNDATION TRUST (RH8)EQ VAS</v>
      </c>
      <c r="C3059" t="s">
        <v>973</v>
      </c>
      <c r="D3059" t="s">
        <v>965</v>
      </c>
      <c r="E3059" t="s">
        <v>482</v>
      </c>
      <c r="F3059" t="s">
        <v>483</v>
      </c>
      <c r="G3059" t="s">
        <v>752</v>
      </c>
      <c r="H3059">
        <v>5</v>
      </c>
      <c r="I3059">
        <v>49</v>
      </c>
      <c r="J3059">
        <v>63</v>
      </c>
      <c r="K3059">
        <v>14</v>
      </c>
      <c r="L3059">
        <v>4</v>
      </c>
      <c r="M3059">
        <v>0</v>
      </c>
      <c r="N3059">
        <v>1</v>
      </c>
      <c r="O3059" t="s">
        <v>127</v>
      </c>
      <c r="P3059" t="s">
        <v>127</v>
      </c>
      <c r="Q3059" t="s">
        <v>127</v>
      </c>
    </row>
    <row r="3060" spans="1:17" x14ac:dyDescent="0.25">
      <c r="A3060" t="str">
        <f>IF(C3060&amp;G3060&amp;D3060&lt;&gt;'Funnel setup'!$K$3&amp;'Funnel setup'!$K$4&amp;'Funnel setup'!$K$6,".",IF(A3059=".",1,A3059+1))</f>
        <v>.</v>
      </c>
      <c r="B3060" s="244" t="str">
        <f t="shared" si="47"/>
        <v>Knee Replacement RevisionProviderROYAL NATIONAL ORTHOPAEDIC HOSPITAL NHS TRUST (RAN)EQ VAS</v>
      </c>
      <c r="C3060" t="s">
        <v>973</v>
      </c>
      <c r="D3060" t="s">
        <v>965</v>
      </c>
      <c r="E3060" t="s">
        <v>486</v>
      </c>
      <c r="F3060" t="s">
        <v>487</v>
      </c>
      <c r="G3060" t="s">
        <v>752</v>
      </c>
      <c r="H3060">
        <v>26</v>
      </c>
      <c r="I3060">
        <v>62.346200000000003</v>
      </c>
      <c r="J3060">
        <v>60.615400000000001</v>
      </c>
      <c r="K3060">
        <v>-1.7307699999999999</v>
      </c>
      <c r="L3060">
        <v>12</v>
      </c>
      <c r="M3060">
        <v>5</v>
      </c>
      <c r="N3060">
        <v>9</v>
      </c>
      <c r="O3060" t="s">
        <v>127</v>
      </c>
      <c r="P3060" t="s">
        <v>127</v>
      </c>
      <c r="Q3060" t="s">
        <v>127</v>
      </c>
    </row>
    <row r="3061" spans="1:17" x14ac:dyDescent="0.25">
      <c r="A3061" t="str">
        <f>IF(C3061&amp;G3061&amp;D3061&lt;&gt;'Funnel setup'!$K$3&amp;'Funnel setup'!$K$4&amp;'Funnel setup'!$K$6,".",IF(A3060=".",1,A3060+1))</f>
        <v>.</v>
      </c>
      <c r="B3061" s="244" t="str">
        <f t="shared" si="47"/>
        <v>Knee Replacement RevisionProviderROYAL UNITED HOSPITALS BATH NHS FOUNDATION TRUST (RD1)EQ VAS</v>
      </c>
      <c r="C3061" t="s">
        <v>973</v>
      </c>
      <c r="D3061" t="s">
        <v>965</v>
      </c>
      <c r="E3061" t="s">
        <v>490</v>
      </c>
      <c r="F3061" t="s">
        <v>491</v>
      </c>
      <c r="G3061" t="s">
        <v>752</v>
      </c>
      <c r="H3061">
        <v>1</v>
      </c>
      <c r="I3061">
        <v>10</v>
      </c>
      <c r="J3061">
        <v>50</v>
      </c>
      <c r="K3061">
        <v>40</v>
      </c>
      <c r="L3061">
        <v>1</v>
      </c>
      <c r="M3061">
        <v>0</v>
      </c>
      <c r="N3061">
        <v>0</v>
      </c>
      <c r="O3061" t="s">
        <v>127</v>
      </c>
      <c r="P3061" t="s">
        <v>127</v>
      </c>
      <c r="Q3061" t="s">
        <v>127</v>
      </c>
    </row>
    <row r="3062" spans="1:17" x14ac:dyDescent="0.25">
      <c r="A3062" t="str">
        <f>IF(C3062&amp;G3062&amp;D3062&lt;&gt;'Funnel setup'!$K$3&amp;'Funnel setup'!$K$4&amp;'Funnel setup'!$K$6,".",IF(A3061=".",1,A3061+1))</f>
        <v>.</v>
      </c>
      <c r="B3062" s="244" t="str">
        <f t="shared" si="47"/>
        <v>Knee Replacement RevisionProviderSANDWELL AND WEST BIRMINGHAM HOSPITALS NHS TRUST (RXK)EQ VAS</v>
      </c>
      <c r="C3062" t="s">
        <v>973</v>
      </c>
      <c r="D3062" t="s">
        <v>965</v>
      </c>
      <c r="E3062" t="s">
        <v>496</v>
      </c>
      <c r="F3062" t="s">
        <v>497</v>
      </c>
      <c r="G3062" t="s">
        <v>752</v>
      </c>
      <c r="H3062">
        <v>3</v>
      </c>
      <c r="I3062">
        <v>76.666700000000006</v>
      </c>
      <c r="J3062">
        <v>65</v>
      </c>
      <c r="K3062">
        <v>-11.666700000000001</v>
      </c>
      <c r="L3062">
        <v>1</v>
      </c>
      <c r="M3062">
        <v>0</v>
      </c>
      <c r="N3062">
        <v>2</v>
      </c>
      <c r="O3062" t="s">
        <v>127</v>
      </c>
      <c r="P3062" t="s">
        <v>127</v>
      </c>
      <c r="Q3062" t="s">
        <v>127</v>
      </c>
    </row>
    <row r="3063" spans="1:17" x14ac:dyDescent="0.25">
      <c r="A3063" t="str">
        <f>IF(C3063&amp;G3063&amp;D3063&lt;&gt;'Funnel setup'!$K$3&amp;'Funnel setup'!$K$4&amp;'Funnel setup'!$K$6,".",IF(A3062=".",1,A3062+1))</f>
        <v>.</v>
      </c>
      <c r="B3063" s="244" t="str">
        <f t="shared" si="47"/>
        <v>Knee Replacement RevisionProviderSHEFFIELD TEACHING HOSPITALS NHS FOUNDATION TRUST (RHQ)EQ VAS</v>
      </c>
      <c r="C3063" t="s">
        <v>973</v>
      </c>
      <c r="D3063" t="s">
        <v>965</v>
      </c>
      <c r="E3063" t="s">
        <v>506</v>
      </c>
      <c r="F3063" t="s">
        <v>507</v>
      </c>
      <c r="G3063" t="s">
        <v>752</v>
      </c>
      <c r="H3063">
        <v>1</v>
      </c>
      <c r="I3063">
        <v>70</v>
      </c>
      <c r="J3063">
        <v>75</v>
      </c>
      <c r="K3063">
        <v>5</v>
      </c>
      <c r="L3063">
        <v>1</v>
      </c>
      <c r="M3063">
        <v>0</v>
      </c>
      <c r="N3063">
        <v>0</v>
      </c>
      <c r="O3063" t="s">
        <v>127</v>
      </c>
      <c r="P3063" t="s">
        <v>127</v>
      </c>
      <c r="Q3063" t="s">
        <v>127</v>
      </c>
    </row>
    <row r="3064" spans="1:17" x14ac:dyDescent="0.25">
      <c r="A3064" t="str">
        <f>IF(C3064&amp;G3064&amp;D3064&lt;&gt;'Funnel setup'!$K$3&amp;'Funnel setup'!$K$4&amp;'Funnel setup'!$K$6,".",IF(A3063=".",1,A3063+1))</f>
        <v>.</v>
      </c>
      <c r="B3064" s="244" t="str">
        <f t="shared" si="47"/>
        <v>Knee Replacement RevisionProviderSHERWOOD FOREST HOSPITALS NHS FOUNDATION TRUST (RK5)EQ VAS</v>
      </c>
      <c r="C3064" t="s">
        <v>973</v>
      </c>
      <c r="D3064" t="s">
        <v>965</v>
      </c>
      <c r="E3064" t="s">
        <v>508</v>
      </c>
      <c r="F3064" t="s">
        <v>509</v>
      </c>
      <c r="G3064" t="s">
        <v>752</v>
      </c>
      <c r="H3064">
        <v>2</v>
      </c>
      <c r="I3064">
        <v>30</v>
      </c>
      <c r="J3064">
        <v>60</v>
      </c>
      <c r="K3064">
        <v>30</v>
      </c>
      <c r="L3064">
        <v>1</v>
      </c>
      <c r="M3064">
        <v>1</v>
      </c>
      <c r="N3064">
        <v>0</v>
      </c>
      <c r="O3064" t="s">
        <v>127</v>
      </c>
      <c r="P3064" t="s">
        <v>127</v>
      </c>
      <c r="Q3064" t="s">
        <v>127</v>
      </c>
    </row>
    <row r="3065" spans="1:17" x14ac:dyDescent="0.25">
      <c r="A3065" t="str">
        <f>IF(C3065&amp;G3065&amp;D3065&lt;&gt;'Funnel setup'!$K$3&amp;'Funnel setup'!$K$4&amp;'Funnel setup'!$K$6,".",IF(A3064=".",1,A3064+1))</f>
        <v>.</v>
      </c>
      <c r="B3065" s="244" t="str">
        <f t="shared" si="47"/>
        <v>Knee Replacement RevisionProviderSOUTH TEES HOSPITALS NHS FOUNDATION TRUST (RTR)EQ VAS</v>
      </c>
      <c r="C3065" t="s">
        <v>973</v>
      </c>
      <c r="D3065" t="s">
        <v>965</v>
      </c>
      <c r="E3065" t="s">
        <v>516</v>
      </c>
      <c r="F3065" t="s">
        <v>517</v>
      </c>
      <c r="G3065" t="s">
        <v>752</v>
      </c>
      <c r="H3065">
        <v>8</v>
      </c>
      <c r="I3065">
        <v>50.875</v>
      </c>
      <c r="J3065">
        <v>70.375</v>
      </c>
      <c r="K3065">
        <v>19.5</v>
      </c>
      <c r="L3065">
        <v>6</v>
      </c>
      <c r="M3065">
        <v>1</v>
      </c>
      <c r="N3065">
        <v>1</v>
      </c>
      <c r="O3065" t="s">
        <v>127</v>
      </c>
      <c r="P3065" t="s">
        <v>127</v>
      </c>
      <c r="Q3065" t="s">
        <v>127</v>
      </c>
    </row>
    <row r="3066" spans="1:17" x14ac:dyDescent="0.25">
      <c r="A3066" t="str">
        <f>IF(C3066&amp;G3066&amp;D3066&lt;&gt;'Funnel setup'!$K$3&amp;'Funnel setup'!$K$4&amp;'Funnel setup'!$K$6,".",IF(A3065=".",1,A3065+1))</f>
        <v>.</v>
      </c>
      <c r="B3066" s="244" t="str">
        <f t="shared" si="47"/>
        <v>Knee Replacement RevisionProviderSOUTH TYNESIDE AND SUNDERLAND NHS FOUNDATION TRUST (R0B)EQ VAS</v>
      </c>
      <c r="C3066" t="s">
        <v>973</v>
      </c>
      <c r="D3066" t="s">
        <v>965</v>
      </c>
      <c r="E3066" t="s">
        <v>518</v>
      </c>
      <c r="F3066" t="s">
        <v>519</v>
      </c>
      <c r="G3066" t="s">
        <v>752</v>
      </c>
      <c r="H3066">
        <v>1</v>
      </c>
      <c r="I3066">
        <v>70</v>
      </c>
      <c r="J3066">
        <v>10</v>
      </c>
      <c r="K3066">
        <v>-60</v>
      </c>
      <c r="L3066">
        <v>0</v>
      </c>
      <c r="M3066">
        <v>0</v>
      </c>
      <c r="N3066">
        <v>1</v>
      </c>
      <c r="O3066" t="s">
        <v>127</v>
      </c>
      <c r="P3066" t="s">
        <v>127</v>
      </c>
      <c r="Q3066" t="s">
        <v>127</v>
      </c>
    </row>
    <row r="3067" spans="1:17" x14ac:dyDescent="0.25">
      <c r="A3067" t="str">
        <f>IF(C3067&amp;G3067&amp;D3067&lt;&gt;'Funnel setup'!$K$3&amp;'Funnel setup'!$K$4&amp;'Funnel setup'!$K$6,".",IF(A3066=".",1,A3066+1))</f>
        <v>.</v>
      </c>
      <c r="B3067" s="244" t="str">
        <f t="shared" si="47"/>
        <v>Knee Replacement RevisionProviderSOUTH WARWICKSHIRE UNIVERSITY NHS FOUNDATION TRUST (RJC)EQ VAS</v>
      </c>
      <c r="C3067" t="s">
        <v>973</v>
      </c>
      <c r="D3067" t="s">
        <v>965</v>
      </c>
      <c r="E3067" t="s">
        <v>520</v>
      </c>
      <c r="F3067" t="s">
        <v>521</v>
      </c>
      <c r="G3067" t="s">
        <v>752</v>
      </c>
      <c r="H3067">
        <v>4</v>
      </c>
      <c r="I3067">
        <v>56</v>
      </c>
      <c r="J3067">
        <v>88.75</v>
      </c>
      <c r="K3067">
        <v>32.75</v>
      </c>
      <c r="L3067">
        <v>3</v>
      </c>
      <c r="M3067">
        <v>0</v>
      </c>
      <c r="N3067">
        <v>1</v>
      </c>
      <c r="O3067" t="s">
        <v>127</v>
      </c>
      <c r="P3067" t="s">
        <v>127</v>
      </c>
      <c r="Q3067" t="s">
        <v>127</v>
      </c>
    </row>
    <row r="3068" spans="1:17" x14ac:dyDescent="0.25">
      <c r="A3068" t="str">
        <f>IF(C3068&amp;G3068&amp;D3068&lt;&gt;'Funnel setup'!$K$3&amp;'Funnel setup'!$K$4&amp;'Funnel setup'!$K$6,".",IF(A3067=".",1,A3067+1))</f>
        <v>.</v>
      </c>
      <c r="B3068" s="244" t="str">
        <f t="shared" si="47"/>
        <v>Knee Replacement RevisionProviderSPIRE FYLDE COAST HOSPITAL (NT347)EQ VAS</v>
      </c>
      <c r="C3068" t="s">
        <v>973</v>
      </c>
      <c r="D3068" t="s">
        <v>965</v>
      </c>
      <c r="E3068" t="s">
        <v>544</v>
      </c>
      <c r="F3068" t="s">
        <v>545</v>
      </c>
      <c r="G3068" t="s">
        <v>752</v>
      </c>
      <c r="H3068" t="s">
        <v>127</v>
      </c>
      <c r="I3068" t="s">
        <v>127</v>
      </c>
      <c r="J3068" t="s">
        <v>127</v>
      </c>
      <c r="K3068" t="s">
        <v>127</v>
      </c>
      <c r="L3068" t="s">
        <v>127</v>
      </c>
      <c r="M3068" t="s">
        <v>127</v>
      </c>
      <c r="N3068" t="s">
        <v>127</v>
      </c>
      <c r="O3068" t="s">
        <v>127</v>
      </c>
      <c r="P3068" t="s">
        <v>127</v>
      </c>
      <c r="Q3068" t="s">
        <v>127</v>
      </c>
    </row>
    <row r="3069" spans="1:17" x14ac:dyDescent="0.25">
      <c r="A3069" t="str">
        <f>IF(C3069&amp;G3069&amp;D3069&lt;&gt;'Funnel setup'!$K$3&amp;'Funnel setup'!$K$4&amp;'Funnel setup'!$K$6,".",IF(A3068=".",1,A3068+1))</f>
        <v>.</v>
      </c>
      <c r="B3069" s="244" t="str">
        <f t="shared" si="47"/>
        <v>Knee Replacement RevisionProviderSPIRE WASHINGTON HOSPITAL (NT333)EQ VAS</v>
      </c>
      <c r="C3069" t="s">
        <v>973</v>
      </c>
      <c r="D3069" t="s">
        <v>965</v>
      </c>
      <c r="E3069" t="s">
        <v>596</v>
      </c>
      <c r="F3069" t="s">
        <v>597</v>
      </c>
      <c r="G3069" t="s">
        <v>752</v>
      </c>
      <c r="H3069" t="s">
        <v>127</v>
      </c>
      <c r="I3069" t="s">
        <v>127</v>
      </c>
      <c r="J3069" t="s">
        <v>127</v>
      </c>
      <c r="K3069" t="s">
        <v>127</v>
      </c>
      <c r="L3069" t="s">
        <v>127</v>
      </c>
      <c r="M3069" t="s">
        <v>127</v>
      </c>
      <c r="N3069" t="s">
        <v>127</v>
      </c>
      <c r="O3069" t="s">
        <v>127</v>
      </c>
      <c r="P3069" t="s">
        <v>127</v>
      </c>
      <c r="Q3069" t="s">
        <v>127</v>
      </c>
    </row>
    <row r="3070" spans="1:17" x14ac:dyDescent="0.25">
      <c r="A3070" t="str">
        <f>IF(C3070&amp;G3070&amp;D3070&lt;&gt;'Funnel setup'!$K$3&amp;'Funnel setup'!$K$4&amp;'Funnel setup'!$K$6,".",IF(A3069=".",1,A3069+1))</f>
        <v>.</v>
      </c>
      <c r="B3070" s="244" t="str">
        <f t="shared" si="47"/>
        <v>Knee Replacement RevisionProviderSPRINGFIELD HOSPITAL (NVC18)EQ VAS</v>
      </c>
      <c r="C3070" t="s">
        <v>973</v>
      </c>
      <c r="D3070" t="s">
        <v>965</v>
      </c>
      <c r="E3070" t="s">
        <v>602</v>
      </c>
      <c r="F3070" t="s">
        <v>603</v>
      </c>
      <c r="G3070" t="s">
        <v>752</v>
      </c>
      <c r="H3070" t="s">
        <v>127</v>
      </c>
      <c r="I3070" t="s">
        <v>127</v>
      </c>
      <c r="J3070" t="s">
        <v>127</v>
      </c>
      <c r="K3070" t="s">
        <v>127</v>
      </c>
      <c r="L3070" t="s">
        <v>127</v>
      </c>
      <c r="M3070" t="s">
        <v>127</v>
      </c>
      <c r="N3070" t="s">
        <v>127</v>
      </c>
      <c r="O3070" t="s">
        <v>127</v>
      </c>
      <c r="P3070" t="s">
        <v>127</v>
      </c>
      <c r="Q3070" t="s">
        <v>127</v>
      </c>
    </row>
    <row r="3071" spans="1:17" x14ac:dyDescent="0.25">
      <c r="A3071" t="str">
        <f>IF(C3071&amp;G3071&amp;D3071&lt;&gt;'Funnel setup'!$K$3&amp;'Funnel setup'!$K$4&amp;'Funnel setup'!$K$6,".",IF(A3070=".",1,A3070+1))</f>
        <v>.</v>
      </c>
      <c r="B3071" s="244" t="str">
        <f t="shared" si="47"/>
        <v>Knee Replacement RevisionProviderST HELENS AND KNOWSLEY TEACHING HOSPITALS NHS TRUST (RBN)EQ VAS</v>
      </c>
      <c r="C3071" t="s">
        <v>973</v>
      </c>
      <c r="D3071" t="s">
        <v>965</v>
      </c>
      <c r="E3071" t="s">
        <v>608</v>
      </c>
      <c r="F3071" t="s">
        <v>609</v>
      </c>
      <c r="G3071" t="s">
        <v>752</v>
      </c>
      <c r="H3071">
        <v>3</v>
      </c>
      <c r="I3071">
        <v>60</v>
      </c>
      <c r="J3071">
        <v>61.666699999999999</v>
      </c>
      <c r="K3071">
        <v>1.6666700000000001</v>
      </c>
      <c r="L3071">
        <v>2</v>
      </c>
      <c r="M3071">
        <v>0</v>
      </c>
      <c r="N3071">
        <v>1</v>
      </c>
      <c r="O3071" t="s">
        <v>127</v>
      </c>
      <c r="P3071" t="s">
        <v>127</v>
      </c>
      <c r="Q3071" t="s">
        <v>127</v>
      </c>
    </row>
    <row r="3072" spans="1:17" x14ac:dyDescent="0.25">
      <c r="A3072" t="str">
        <f>IF(C3072&amp;G3072&amp;D3072&lt;&gt;'Funnel setup'!$K$3&amp;'Funnel setup'!$K$4&amp;'Funnel setup'!$K$6,".",IF(A3071=".",1,A3071+1))</f>
        <v>.</v>
      </c>
      <c r="B3072" s="244" t="str">
        <f t="shared" si="47"/>
        <v>Knee Replacement RevisionProviderST HUGH'S HOSPITAL (NTE02)EQ VAS</v>
      </c>
      <c r="C3072" t="s">
        <v>973</v>
      </c>
      <c r="D3072" t="s">
        <v>965</v>
      </c>
      <c r="E3072" t="s">
        <v>610</v>
      </c>
      <c r="F3072" t="s">
        <v>611</v>
      </c>
      <c r="G3072" t="s">
        <v>752</v>
      </c>
      <c r="H3072">
        <v>2</v>
      </c>
      <c r="I3072">
        <v>75</v>
      </c>
      <c r="J3072">
        <v>70</v>
      </c>
      <c r="K3072">
        <v>-5</v>
      </c>
      <c r="L3072">
        <v>0</v>
      </c>
      <c r="M3072">
        <v>1</v>
      </c>
      <c r="N3072">
        <v>1</v>
      </c>
      <c r="O3072" t="s">
        <v>127</v>
      </c>
      <c r="P3072" t="s">
        <v>127</v>
      </c>
      <c r="Q3072" t="s">
        <v>127</v>
      </c>
    </row>
    <row r="3073" spans="1:17" x14ac:dyDescent="0.25">
      <c r="A3073" t="str">
        <f>IF(C3073&amp;G3073&amp;D3073&lt;&gt;'Funnel setup'!$K$3&amp;'Funnel setup'!$K$4&amp;'Funnel setup'!$K$6,".",IF(A3072=".",1,A3072+1))</f>
        <v>.</v>
      </c>
      <c r="B3073" s="244" t="str">
        <f t="shared" si="47"/>
        <v>Knee Replacement RevisionProviderSTOCKPORT NHS FOUNDATION TRUST (RWJ)EQ VAS</v>
      </c>
      <c r="C3073" t="s">
        <v>973</v>
      </c>
      <c r="D3073" t="s">
        <v>965</v>
      </c>
      <c r="E3073" t="s">
        <v>614</v>
      </c>
      <c r="F3073" t="s">
        <v>615</v>
      </c>
      <c r="G3073" t="s">
        <v>752</v>
      </c>
      <c r="H3073">
        <v>3</v>
      </c>
      <c r="I3073">
        <v>58.333300000000001</v>
      </c>
      <c r="J3073">
        <v>85</v>
      </c>
      <c r="K3073">
        <v>26.666699999999999</v>
      </c>
      <c r="L3073">
        <v>3</v>
      </c>
      <c r="M3073">
        <v>0</v>
      </c>
      <c r="N3073">
        <v>0</v>
      </c>
      <c r="O3073" t="s">
        <v>127</v>
      </c>
      <c r="P3073" t="s">
        <v>127</v>
      </c>
      <c r="Q3073" t="s">
        <v>127</v>
      </c>
    </row>
    <row r="3074" spans="1:17" x14ac:dyDescent="0.25">
      <c r="A3074" t="str">
        <f>IF(C3074&amp;G3074&amp;D3074&lt;&gt;'Funnel setup'!$K$3&amp;'Funnel setup'!$K$4&amp;'Funnel setup'!$K$6,".",IF(A3073=".",1,A3073+1))</f>
        <v>.</v>
      </c>
      <c r="B3074" s="244" t="str">
        <f t="shared" ref="B3074:B3137" si="48">C3074&amp;D3074&amp;F3074&amp;G3074</f>
        <v>Knee Replacement RevisionProviderSURREY AND SUSSEX HEALTHCARE NHS TRUST (RTP)EQ VAS</v>
      </c>
      <c r="C3074" t="s">
        <v>973</v>
      </c>
      <c r="D3074" t="s">
        <v>965</v>
      </c>
      <c r="E3074" t="s">
        <v>618</v>
      </c>
      <c r="F3074" t="s">
        <v>619</v>
      </c>
      <c r="G3074" t="s">
        <v>752</v>
      </c>
      <c r="H3074">
        <v>2</v>
      </c>
      <c r="I3074">
        <v>52.5</v>
      </c>
      <c r="J3074">
        <v>45</v>
      </c>
      <c r="K3074">
        <v>-7.5</v>
      </c>
      <c r="L3074">
        <v>0</v>
      </c>
      <c r="M3074">
        <v>0</v>
      </c>
      <c r="N3074">
        <v>2</v>
      </c>
      <c r="O3074" t="s">
        <v>127</v>
      </c>
      <c r="P3074" t="s">
        <v>127</v>
      </c>
      <c r="Q3074" t="s">
        <v>127</v>
      </c>
    </row>
    <row r="3075" spans="1:17" x14ac:dyDescent="0.25">
      <c r="A3075" t="str">
        <f>IF(C3075&amp;G3075&amp;D3075&lt;&gt;'Funnel setup'!$K$3&amp;'Funnel setup'!$K$4&amp;'Funnel setup'!$K$6,".",IF(A3074=".",1,A3074+1))</f>
        <v>.</v>
      </c>
      <c r="B3075" s="244" t="str">
        <f t="shared" si="48"/>
        <v>Knee Replacement RevisionProviderTEES VALLEY HOSPITAL (NVC0R)EQ VAS</v>
      </c>
      <c r="C3075" t="s">
        <v>973</v>
      </c>
      <c r="D3075" t="s">
        <v>965</v>
      </c>
      <c r="E3075" t="s">
        <v>624</v>
      </c>
      <c r="F3075" t="s">
        <v>625</v>
      </c>
      <c r="G3075" t="s">
        <v>752</v>
      </c>
      <c r="H3075" t="s">
        <v>127</v>
      </c>
      <c r="I3075" t="s">
        <v>127</v>
      </c>
      <c r="J3075" t="s">
        <v>127</v>
      </c>
      <c r="K3075" t="s">
        <v>127</v>
      </c>
      <c r="L3075" t="s">
        <v>127</v>
      </c>
      <c r="M3075" t="s">
        <v>127</v>
      </c>
      <c r="N3075" t="s">
        <v>127</v>
      </c>
      <c r="O3075" t="s">
        <v>127</v>
      </c>
      <c r="P3075" t="s">
        <v>127</v>
      </c>
      <c r="Q3075" t="s">
        <v>127</v>
      </c>
    </row>
    <row r="3076" spans="1:17" x14ac:dyDescent="0.25">
      <c r="A3076" t="str">
        <f>IF(C3076&amp;G3076&amp;D3076&lt;&gt;'Funnel setup'!$K$3&amp;'Funnel setup'!$K$4&amp;'Funnel setup'!$K$6,".",IF(A3075=".",1,A3075+1))</f>
        <v>.</v>
      </c>
      <c r="B3076" s="244" t="str">
        <f t="shared" si="48"/>
        <v>Knee Replacement RevisionProviderTHE CHERWELL HOSPITAL (NVC25)EQ VAS</v>
      </c>
      <c r="C3076" t="s">
        <v>973</v>
      </c>
      <c r="D3076" t="s">
        <v>965</v>
      </c>
      <c r="E3076" t="s">
        <v>628</v>
      </c>
      <c r="F3076" t="s">
        <v>629</v>
      </c>
      <c r="G3076" t="s">
        <v>752</v>
      </c>
      <c r="H3076">
        <v>8</v>
      </c>
      <c r="I3076">
        <v>59.25</v>
      </c>
      <c r="J3076">
        <v>75.125</v>
      </c>
      <c r="K3076">
        <v>15.875</v>
      </c>
      <c r="L3076">
        <v>5</v>
      </c>
      <c r="M3076">
        <v>0</v>
      </c>
      <c r="N3076">
        <v>3</v>
      </c>
      <c r="O3076" t="s">
        <v>127</v>
      </c>
      <c r="P3076" t="s">
        <v>127</v>
      </c>
      <c r="Q3076" t="s">
        <v>127</v>
      </c>
    </row>
    <row r="3077" spans="1:17" x14ac:dyDescent="0.25">
      <c r="A3077" t="str">
        <f>IF(C3077&amp;G3077&amp;D3077&lt;&gt;'Funnel setup'!$K$3&amp;'Funnel setup'!$K$4&amp;'Funnel setup'!$K$6,".",IF(A3076=".",1,A3076+1))</f>
        <v>.</v>
      </c>
      <c r="B3077" s="244" t="str">
        <f t="shared" si="48"/>
        <v>Knee Replacement RevisionProviderTHE HILLINGDON HOSPITALS NHS FOUNDATION TRUST (RAS)EQ VAS</v>
      </c>
      <c r="C3077" t="s">
        <v>973</v>
      </c>
      <c r="D3077" t="s">
        <v>965</v>
      </c>
      <c r="E3077" t="s">
        <v>632</v>
      </c>
      <c r="F3077" t="s">
        <v>633</v>
      </c>
      <c r="G3077" t="s">
        <v>752</v>
      </c>
      <c r="H3077">
        <v>5</v>
      </c>
      <c r="I3077">
        <v>63.4</v>
      </c>
      <c r="J3077">
        <v>79</v>
      </c>
      <c r="K3077">
        <v>15.6</v>
      </c>
      <c r="L3077">
        <v>3</v>
      </c>
      <c r="M3077">
        <v>1</v>
      </c>
      <c r="N3077">
        <v>1</v>
      </c>
      <c r="O3077" t="s">
        <v>127</v>
      </c>
      <c r="P3077" t="s">
        <v>127</v>
      </c>
      <c r="Q3077" t="s">
        <v>127</v>
      </c>
    </row>
    <row r="3078" spans="1:17" x14ac:dyDescent="0.25">
      <c r="A3078" t="str">
        <f>IF(C3078&amp;G3078&amp;D3078&lt;&gt;'Funnel setup'!$K$3&amp;'Funnel setup'!$K$4&amp;'Funnel setup'!$K$6,".",IF(A3077=".",1,A3077+1))</f>
        <v>.</v>
      </c>
      <c r="B3078" s="244" t="str">
        <f t="shared" si="48"/>
        <v>Knee Replacement RevisionProviderTHE HORDER CENTRE - ST JOHNS ROAD (NXM01)EQ VAS</v>
      </c>
      <c r="C3078" t="s">
        <v>973</v>
      </c>
      <c r="D3078" t="s">
        <v>965</v>
      </c>
      <c r="E3078" t="s">
        <v>634</v>
      </c>
      <c r="F3078" t="s">
        <v>635</v>
      </c>
      <c r="G3078" t="s">
        <v>752</v>
      </c>
      <c r="H3078">
        <v>5</v>
      </c>
      <c r="I3078">
        <v>71.2</v>
      </c>
      <c r="J3078">
        <v>78.599999999999994</v>
      </c>
      <c r="K3078">
        <v>7.4</v>
      </c>
      <c r="L3078">
        <v>4</v>
      </c>
      <c r="M3078">
        <v>1</v>
      </c>
      <c r="N3078">
        <v>0</v>
      </c>
      <c r="O3078" t="s">
        <v>127</v>
      </c>
      <c r="P3078" t="s">
        <v>127</v>
      </c>
      <c r="Q3078" t="s">
        <v>127</v>
      </c>
    </row>
    <row r="3079" spans="1:17" x14ac:dyDescent="0.25">
      <c r="A3079" t="str">
        <f>IF(C3079&amp;G3079&amp;D3079&lt;&gt;'Funnel setup'!$K$3&amp;'Funnel setup'!$K$4&amp;'Funnel setup'!$K$6,".",IF(A3078=".",1,A3078+1))</f>
        <v>.</v>
      </c>
      <c r="B3079" s="244" t="str">
        <f t="shared" si="48"/>
        <v>Knee Replacement RevisionProviderTHE PRINCESS ALEXANDRA HOSPITAL NHS TRUST (RQW)EQ VAS</v>
      </c>
      <c r="C3079" t="s">
        <v>973</v>
      </c>
      <c r="D3079" t="s">
        <v>965</v>
      </c>
      <c r="E3079" t="s">
        <v>640</v>
      </c>
      <c r="F3079" t="s">
        <v>641</v>
      </c>
      <c r="G3079" t="s">
        <v>752</v>
      </c>
      <c r="H3079">
        <v>1</v>
      </c>
      <c r="I3079">
        <v>20</v>
      </c>
      <c r="J3079">
        <v>90</v>
      </c>
      <c r="K3079">
        <v>70</v>
      </c>
      <c r="L3079">
        <v>1</v>
      </c>
      <c r="M3079">
        <v>0</v>
      </c>
      <c r="N3079">
        <v>0</v>
      </c>
      <c r="O3079" t="s">
        <v>127</v>
      </c>
      <c r="P3079" t="s">
        <v>127</v>
      </c>
      <c r="Q3079" t="s">
        <v>127</v>
      </c>
    </row>
    <row r="3080" spans="1:17" x14ac:dyDescent="0.25">
      <c r="A3080" t="str">
        <f>IF(C3080&amp;G3080&amp;D3080&lt;&gt;'Funnel setup'!$K$3&amp;'Funnel setup'!$K$4&amp;'Funnel setup'!$K$6,".",IF(A3079=".",1,A3079+1))</f>
        <v>.</v>
      </c>
      <c r="B3080" s="244" t="str">
        <f t="shared" si="48"/>
        <v>Knee Replacement RevisionProviderTHE QUEEN ELIZABETH HOSPITAL, KING'S LYNN, NHS FOUNDATION TRUST (RCX)EQ VAS</v>
      </c>
      <c r="C3080" t="s">
        <v>973</v>
      </c>
      <c r="D3080" t="s">
        <v>965</v>
      </c>
      <c r="E3080" t="s">
        <v>644</v>
      </c>
      <c r="F3080" t="s">
        <v>645</v>
      </c>
      <c r="G3080" t="s">
        <v>752</v>
      </c>
      <c r="H3080">
        <v>3</v>
      </c>
      <c r="I3080">
        <v>51.666699999999999</v>
      </c>
      <c r="J3080">
        <v>53</v>
      </c>
      <c r="K3080">
        <v>1.3333299999999999</v>
      </c>
      <c r="L3080">
        <v>1</v>
      </c>
      <c r="M3080">
        <v>0</v>
      </c>
      <c r="N3080">
        <v>2</v>
      </c>
      <c r="O3080" t="s">
        <v>127</v>
      </c>
      <c r="P3080" t="s">
        <v>127</v>
      </c>
      <c r="Q3080" t="s">
        <v>127</v>
      </c>
    </row>
    <row r="3081" spans="1:17" x14ac:dyDescent="0.25">
      <c r="A3081" t="str">
        <f>IF(C3081&amp;G3081&amp;D3081&lt;&gt;'Funnel setup'!$K$3&amp;'Funnel setup'!$K$4&amp;'Funnel setup'!$K$6,".",IF(A3080=".",1,A3080+1))</f>
        <v>.</v>
      </c>
      <c r="B3081" s="244" t="str">
        <f t="shared" si="48"/>
        <v>Knee Replacement RevisionProviderTHE ROBERT JONES AND AGNES HUNT ORTHOPAEDIC HOSPITAL NHS FOUNDATION TRUST (RL1)EQ VAS</v>
      </c>
      <c r="C3081" t="s">
        <v>973</v>
      </c>
      <c r="D3081" t="s">
        <v>965</v>
      </c>
      <c r="E3081" t="s">
        <v>646</v>
      </c>
      <c r="F3081" t="s">
        <v>647</v>
      </c>
      <c r="G3081" t="s">
        <v>752</v>
      </c>
      <c r="H3081">
        <v>33</v>
      </c>
      <c r="I3081">
        <v>58.393900000000002</v>
      </c>
      <c r="J3081">
        <v>65.666700000000006</v>
      </c>
      <c r="K3081">
        <v>7.2727300000000001</v>
      </c>
      <c r="L3081">
        <v>19</v>
      </c>
      <c r="M3081">
        <v>3</v>
      </c>
      <c r="N3081">
        <v>11</v>
      </c>
      <c r="O3081">
        <v>65.902500000000003</v>
      </c>
      <c r="P3081">
        <v>5.9987300000000001</v>
      </c>
      <c r="Q3081">
        <v>20.865500000000001</v>
      </c>
    </row>
    <row r="3082" spans="1:17" x14ac:dyDescent="0.25">
      <c r="A3082" t="str">
        <f>IF(C3082&amp;G3082&amp;D3082&lt;&gt;'Funnel setup'!$K$3&amp;'Funnel setup'!$K$4&amp;'Funnel setup'!$K$6,".",IF(A3081=".",1,A3081+1))</f>
        <v>.</v>
      </c>
      <c r="B3082" s="244" t="str">
        <f t="shared" si="48"/>
        <v>Knee Replacement RevisionProviderTHE ROYAL ORTHOPAEDIC HOSPITAL NHS FOUNDATION TRUST (RRJ)EQ VAS</v>
      </c>
      <c r="C3082" t="s">
        <v>973</v>
      </c>
      <c r="D3082" t="s">
        <v>965</v>
      </c>
      <c r="E3082" t="s">
        <v>652</v>
      </c>
      <c r="F3082" t="s">
        <v>653</v>
      </c>
      <c r="G3082" t="s">
        <v>752</v>
      </c>
      <c r="H3082">
        <v>31</v>
      </c>
      <c r="I3082">
        <v>63.8065</v>
      </c>
      <c r="J3082">
        <v>66.677400000000006</v>
      </c>
      <c r="K3082">
        <v>2.8709699999999998</v>
      </c>
      <c r="L3082">
        <v>16</v>
      </c>
      <c r="M3082">
        <v>4</v>
      </c>
      <c r="N3082">
        <v>11</v>
      </c>
      <c r="O3082">
        <v>67.644800000000004</v>
      </c>
      <c r="P3082">
        <v>7.7410899999999998</v>
      </c>
      <c r="Q3082">
        <v>17.66</v>
      </c>
    </row>
    <row r="3083" spans="1:17" x14ac:dyDescent="0.25">
      <c r="A3083" t="str">
        <f>IF(C3083&amp;G3083&amp;D3083&lt;&gt;'Funnel setup'!$K$3&amp;'Funnel setup'!$K$4&amp;'Funnel setup'!$K$6,".",IF(A3082=".",1,A3082+1))</f>
        <v>.</v>
      </c>
      <c r="B3083" s="244" t="str">
        <f t="shared" si="48"/>
        <v>Knee Replacement RevisionProviderTHE ROYAL WOLVERHAMPTON NHS TRUST (RL4)EQ VAS</v>
      </c>
      <c r="C3083" t="s">
        <v>973</v>
      </c>
      <c r="D3083" t="s">
        <v>965</v>
      </c>
      <c r="E3083" t="s">
        <v>654</v>
      </c>
      <c r="F3083" t="s">
        <v>655</v>
      </c>
      <c r="G3083" t="s">
        <v>752</v>
      </c>
      <c r="H3083">
        <v>1</v>
      </c>
      <c r="I3083">
        <v>89</v>
      </c>
      <c r="J3083">
        <v>100</v>
      </c>
      <c r="K3083">
        <v>11</v>
      </c>
      <c r="L3083">
        <v>1</v>
      </c>
      <c r="M3083">
        <v>0</v>
      </c>
      <c r="N3083">
        <v>0</v>
      </c>
      <c r="O3083" t="s">
        <v>127</v>
      </c>
      <c r="P3083" t="s">
        <v>127</v>
      </c>
      <c r="Q3083" t="s">
        <v>127</v>
      </c>
    </row>
    <row r="3084" spans="1:17" x14ac:dyDescent="0.25">
      <c r="A3084" t="str">
        <f>IF(C3084&amp;G3084&amp;D3084&lt;&gt;'Funnel setup'!$K$3&amp;'Funnel setup'!$K$4&amp;'Funnel setup'!$K$6,".",IF(A3083=".",1,A3083+1))</f>
        <v>.</v>
      </c>
      <c r="B3084" s="244" t="str">
        <f t="shared" si="48"/>
        <v>Knee Replacement RevisionProviderTHE YORKSHIRE CLINIC (NVC20)EQ VAS</v>
      </c>
      <c r="C3084" t="s">
        <v>973</v>
      </c>
      <c r="D3084" t="s">
        <v>965</v>
      </c>
      <c r="E3084" t="s">
        <v>662</v>
      </c>
      <c r="F3084" t="s">
        <v>663</v>
      </c>
      <c r="G3084" t="s">
        <v>752</v>
      </c>
      <c r="H3084">
        <v>1</v>
      </c>
      <c r="I3084">
        <v>50</v>
      </c>
      <c r="J3084">
        <v>69</v>
      </c>
      <c r="K3084">
        <v>19</v>
      </c>
      <c r="L3084">
        <v>1</v>
      </c>
      <c r="M3084">
        <v>0</v>
      </c>
      <c r="N3084">
        <v>0</v>
      </c>
      <c r="O3084" t="s">
        <v>127</v>
      </c>
      <c r="P3084" t="s">
        <v>127</v>
      </c>
      <c r="Q3084" t="s">
        <v>127</v>
      </c>
    </row>
    <row r="3085" spans="1:17" x14ac:dyDescent="0.25">
      <c r="A3085" t="str">
        <f>IF(C3085&amp;G3085&amp;D3085&lt;&gt;'Funnel setup'!$K$3&amp;'Funnel setup'!$K$4&amp;'Funnel setup'!$K$6,".",IF(A3084=".",1,A3084+1))</f>
        <v>.</v>
      </c>
      <c r="B3085" s="244" t="str">
        <f t="shared" si="48"/>
        <v>Knee Replacement RevisionProviderTHREE SHIRES HOSPITAL (NT441)EQ VAS</v>
      </c>
      <c r="C3085" t="s">
        <v>973</v>
      </c>
      <c r="D3085" t="s">
        <v>965</v>
      </c>
      <c r="E3085" t="s">
        <v>666</v>
      </c>
      <c r="F3085" t="s">
        <v>667</v>
      </c>
      <c r="G3085" t="s">
        <v>752</v>
      </c>
      <c r="H3085" t="s">
        <v>968</v>
      </c>
      <c r="I3085" t="s">
        <v>968</v>
      </c>
      <c r="J3085" t="s">
        <v>968</v>
      </c>
      <c r="K3085" t="s">
        <v>968</v>
      </c>
      <c r="L3085" t="s">
        <v>968</v>
      </c>
      <c r="M3085" t="s">
        <v>968</v>
      </c>
      <c r="N3085" t="s">
        <v>968</v>
      </c>
      <c r="O3085" t="s">
        <v>968</v>
      </c>
      <c r="P3085" t="s">
        <v>968</v>
      </c>
      <c r="Q3085" t="s">
        <v>968</v>
      </c>
    </row>
    <row r="3086" spans="1:17" x14ac:dyDescent="0.25">
      <c r="A3086" t="str">
        <f>IF(C3086&amp;G3086&amp;D3086&lt;&gt;'Funnel setup'!$K$3&amp;'Funnel setup'!$K$4&amp;'Funnel setup'!$K$6,".",IF(A3085=".",1,A3085+1))</f>
        <v>.</v>
      </c>
      <c r="B3086" s="244" t="str">
        <f t="shared" si="48"/>
        <v>Knee Replacement RevisionProviderTORBAY AND SOUTH DEVON NHS FOUNDATION TRUST (RA9)EQ VAS</v>
      </c>
      <c r="C3086" t="s">
        <v>973</v>
      </c>
      <c r="D3086" t="s">
        <v>965</v>
      </c>
      <c r="E3086" t="s">
        <v>668</v>
      </c>
      <c r="F3086" t="s">
        <v>669</v>
      </c>
      <c r="G3086" t="s">
        <v>752</v>
      </c>
      <c r="H3086">
        <v>1</v>
      </c>
      <c r="I3086">
        <v>40</v>
      </c>
      <c r="J3086">
        <v>35</v>
      </c>
      <c r="K3086">
        <v>-5</v>
      </c>
      <c r="L3086">
        <v>0</v>
      </c>
      <c r="M3086">
        <v>0</v>
      </c>
      <c r="N3086">
        <v>1</v>
      </c>
      <c r="O3086" t="s">
        <v>127</v>
      </c>
      <c r="P3086" t="s">
        <v>127</v>
      </c>
      <c r="Q3086" t="s">
        <v>127</v>
      </c>
    </row>
    <row r="3087" spans="1:17" x14ac:dyDescent="0.25">
      <c r="A3087" t="str">
        <f>IF(C3087&amp;G3087&amp;D3087&lt;&gt;'Funnel setup'!$K$3&amp;'Funnel setup'!$K$4&amp;'Funnel setup'!$K$6,".",IF(A3086=".",1,A3086+1))</f>
        <v>.</v>
      </c>
      <c r="B3087" s="244" t="str">
        <f t="shared" si="48"/>
        <v>Knee Replacement RevisionProviderUNITED LINCOLNSHIRE HOSPITALS NHS TRUST (RWD)EQ VAS</v>
      </c>
      <c r="C3087" t="s">
        <v>973</v>
      </c>
      <c r="D3087" t="s">
        <v>965</v>
      </c>
      <c r="E3087" t="s">
        <v>672</v>
      </c>
      <c r="F3087" t="s">
        <v>673</v>
      </c>
      <c r="G3087" t="s">
        <v>752</v>
      </c>
      <c r="H3087">
        <v>1</v>
      </c>
      <c r="I3087">
        <v>50</v>
      </c>
      <c r="J3087">
        <v>70</v>
      </c>
      <c r="K3087">
        <v>20</v>
      </c>
      <c r="L3087">
        <v>1</v>
      </c>
      <c r="M3087">
        <v>0</v>
      </c>
      <c r="N3087">
        <v>0</v>
      </c>
      <c r="O3087" t="s">
        <v>127</v>
      </c>
      <c r="P3087" t="s">
        <v>127</v>
      </c>
      <c r="Q3087" t="s">
        <v>127</v>
      </c>
    </row>
    <row r="3088" spans="1:17" x14ac:dyDescent="0.25">
      <c r="A3088" t="str">
        <f>IF(C3088&amp;G3088&amp;D3088&lt;&gt;'Funnel setup'!$K$3&amp;'Funnel setup'!$K$4&amp;'Funnel setup'!$K$6,".",IF(A3087=".",1,A3087+1))</f>
        <v>.</v>
      </c>
      <c r="B3088" s="244" t="str">
        <f t="shared" si="48"/>
        <v>Knee Replacement RevisionProviderUNIVERSITY COLLEGE LONDON HOSPITALS NHS FOUNDATION TRUST (RRV)EQ VAS</v>
      </c>
      <c r="C3088" t="s">
        <v>973</v>
      </c>
      <c r="D3088" t="s">
        <v>965</v>
      </c>
      <c r="E3088" t="s">
        <v>674</v>
      </c>
      <c r="F3088" t="s">
        <v>675</v>
      </c>
      <c r="G3088" t="s">
        <v>752</v>
      </c>
      <c r="H3088">
        <v>3</v>
      </c>
      <c r="I3088">
        <v>62.666699999999999</v>
      </c>
      <c r="J3088">
        <v>86.666700000000006</v>
      </c>
      <c r="K3088">
        <v>24</v>
      </c>
      <c r="L3088">
        <v>3</v>
      </c>
      <c r="M3088">
        <v>0</v>
      </c>
      <c r="N3088">
        <v>0</v>
      </c>
      <c r="O3088" t="s">
        <v>127</v>
      </c>
      <c r="P3088" t="s">
        <v>127</v>
      </c>
      <c r="Q3088" t="s">
        <v>127</v>
      </c>
    </row>
    <row r="3089" spans="1:17" x14ac:dyDescent="0.25">
      <c r="A3089" t="str">
        <f>IF(C3089&amp;G3089&amp;D3089&lt;&gt;'Funnel setup'!$K$3&amp;'Funnel setup'!$K$4&amp;'Funnel setup'!$K$6,".",IF(A3088=".",1,A3088+1))</f>
        <v>.</v>
      </c>
      <c r="B3089" s="244" t="str">
        <f t="shared" si="48"/>
        <v>Knee Replacement RevisionProviderUNIVERSITY HOSPITAL SOUTHAMPTON NHS FOUNDATION TRUST (RHM)EQ VAS</v>
      </c>
      <c r="C3089" t="s">
        <v>973</v>
      </c>
      <c r="D3089" t="s">
        <v>965</v>
      </c>
      <c r="E3089" t="s">
        <v>676</v>
      </c>
      <c r="F3089" t="s">
        <v>677</v>
      </c>
      <c r="G3089" t="s">
        <v>752</v>
      </c>
      <c r="H3089">
        <v>20</v>
      </c>
      <c r="I3089">
        <v>64.900000000000006</v>
      </c>
      <c r="J3089">
        <v>74.05</v>
      </c>
      <c r="K3089">
        <v>9.15</v>
      </c>
      <c r="L3089">
        <v>14</v>
      </c>
      <c r="M3089">
        <v>3</v>
      </c>
      <c r="N3089">
        <v>3</v>
      </c>
      <c r="O3089" t="s">
        <v>127</v>
      </c>
      <c r="P3089" t="s">
        <v>127</v>
      </c>
      <c r="Q3089" t="s">
        <v>127</v>
      </c>
    </row>
    <row r="3090" spans="1:17" x14ac:dyDescent="0.25">
      <c r="A3090" t="str">
        <f>IF(C3090&amp;G3090&amp;D3090&lt;&gt;'Funnel setup'!$K$3&amp;'Funnel setup'!$K$4&amp;'Funnel setup'!$K$6,".",IF(A3089=".",1,A3089+1))</f>
        <v>.</v>
      </c>
      <c r="B3090" s="244" t="str">
        <f t="shared" si="48"/>
        <v>Knee Replacement RevisionProviderUNIVERSITY HOSPITALS COVENTRY AND WARWICKSHIRE NHS TRUST (RKB)EQ VAS</v>
      </c>
      <c r="C3090" t="s">
        <v>973</v>
      </c>
      <c r="D3090" t="s">
        <v>965</v>
      </c>
      <c r="E3090" t="s">
        <v>682</v>
      </c>
      <c r="F3090" t="s">
        <v>683</v>
      </c>
      <c r="G3090" t="s">
        <v>752</v>
      </c>
      <c r="H3090">
        <v>2</v>
      </c>
      <c r="I3090">
        <v>60</v>
      </c>
      <c r="J3090">
        <v>82.5</v>
      </c>
      <c r="K3090">
        <v>22.5</v>
      </c>
      <c r="L3090">
        <v>1</v>
      </c>
      <c r="M3090">
        <v>1</v>
      </c>
      <c r="N3090">
        <v>0</v>
      </c>
      <c r="O3090" t="s">
        <v>127</v>
      </c>
      <c r="P3090" t="s">
        <v>127</v>
      </c>
      <c r="Q3090" t="s">
        <v>127</v>
      </c>
    </row>
    <row r="3091" spans="1:17" x14ac:dyDescent="0.25">
      <c r="A3091" t="str">
        <f>IF(C3091&amp;G3091&amp;D3091&lt;&gt;'Funnel setup'!$K$3&amp;'Funnel setup'!$K$4&amp;'Funnel setup'!$K$6,".",IF(A3090=".",1,A3090+1))</f>
        <v>.</v>
      </c>
      <c r="B3091" s="244" t="str">
        <f t="shared" si="48"/>
        <v>Knee Replacement RevisionProviderUNIVERSITY HOSPITAL DORSET NHS FUNDATION TRUST (R0D)EQ VAS</v>
      </c>
      <c r="C3091" t="s">
        <v>973</v>
      </c>
      <c r="D3091" t="s">
        <v>965</v>
      </c>
      <c r="E3091" t="s">
        <v>684</v>
      </c>
      <c r="F3091" t="s">
        <v>966</v>
      </c>
      <c r="G3091" t="s">
        <v>752</v>
      </c>
      <c r="H3091">
        <v>8</v>
      </c>
      <c r="I3091">
        <v>61.125</v>
      </c>
      <c r="J3091">
        <v>65.625</v>
      </c>
      <c r="K3091">
        <v>4.5</v>
      </c>
      <c r="L3091">
        <v>3</v>
      </c>
      <c r="M3091">
        <v>4</v>
      </c>
      <c r="N3091">
        <v>1</v>
      </c>
      <c r="O3091" t="s">
        <v>127</v>
      </c>
      <c r="P3091" t="s">
        <v>127</v>
      </c>
      <c r="Q3091" t="s">
        <v>127</v>
      </c>
    </row>
    <row r="3092" spans="1:17" x14ac:dyDescent="0.25">
      <c r="A3092" t="str">
        <f>IF(C3092&amp;G3092&amp;D3092&lt;&gt;'Funnel setup'!$K$3&amp;'Funnel setup'!$K$4&amp;'Funnel setup'!$K$6,".",IF(A3091=".",1,A3091+1))</f>
        <v>.</v>
      </c>
      <c r="B3092" s="244" t="str">
        <f t="shared" si="48"/>
        <v>Knee Replacement RevisionProviderUNIVERSITY HOSPITALS OF DERBY AND BURTON NHS FOUNDATION TRUST (RTG)EQ VAS</v>
      </c>
      <c r="C3092" t="s">
        <v>973</v>
      </c>
      <c r="D3092" t="s">
        <v>965</v>
      </c>
      <c r="E3092" t="s">
        <v>686</v>
      </c>
      <c r="F3092" t="s">
        <v>687</v>
      </c>
      <c r="G3092" t="s">
        <v>752</v>
      </c>
      <c r="H3092">
        <v>25</v>
      </c>
      <c r="I3092">
        <v>56.12</v>
      </c>
      <c r="J3092">
        <v>63.88</v>
      </c>
      <c r="K3092">
        <v>7.76</v>
      </c>
      <c r="L3092">
        <v>16</v>
      </c>
      <c r="M3092">
        <v>3</v>
      </c>
      <c r="N3092">
        <v>6</v>
      </c>
      <c r="O3092" t="s">
        <v>127</v>
      </c>
      <c r="P3092" t="s">
        <v>127</v>
      </c>
      <c r="Q3092" t="s">
        <v>127</v>
      </c>
    </row>
    <row r="3093" spans="1:17" x14ac:dyDescent="0.25">
      <c r="A3093" t="str">
        <f>IF(C3093&amp;G3093&amp;D3093&lt;&gt;'Funnel setup'!$K$3&amp;'Funnel setup'!$K$4&amp;'Funnel setup'!$K$6,".",IF(A3092=".",1,A3092+1))</f>
        <v>.</v>
      </c>
      <c r="B3093" s="244" t="str">
        <f t="shared" si="48"/>
        <v>Knee Replacement RevisionProviderUNIVERSITY HOSPITALS OF LEICESTER NHS TRUST (RWE)EQ VAS</v>
      </c>
      <c r="C3093" t="s">
        <v>973</v>
      </c>
      <c r="D3093" t="s">
        <v>965</v>
      </c>
      <c r="E3093" t="s">
        <v>688</v>
      </c>
      <c r="F3093" t="s">
        <v>689</v>
      </c>
      <c r="G3093" t="s">
        <v>752</v>
      </c>
      <c r="H3093">
        <v>13</v>
      </c>
      <c r="I3093">
        <v>68.461500000000001</v>
      </c>
      <c r="J3093">
        <v>65.153800000000004</v>
      </c>
      <c r="K3093">
        <v>-3.30769</v>
      </c>
      <c r="L3093">
        <v>9</v>
      </c>
      <c r="M3093">
        <v>0</v>
      </c>
      <c r="N3093">
        <v>4</v>
      </c>
      <c r="O3093" t="s">
        <v>127</v>
      </c>
      <c r="P3093" t="s">
        <v>127</v>
      </c>
      <c r="Q3093" t="s">
        <v>127</v>
      </c>
    </row>
    <row r="3094" spans="1:17" x14ac:dyDescent="0.25">
      <c r="A3094" t="str">
        <f>IF(C3094&amp;G3094&amp;D3094&lt;&gt;'Funnel setup'!$K$3&amp;'Funnel setup'!$K$4&amp;'Funnel setup'!$K$6,".",IF(A3093=".",1,A3093+1))</f>
        <v>.</v>
      </c>
      <c r="B3094" s="244" t="str">
        <f t="shared" si="48"/>
        <v>Knee Replacement RevisionProviderUNIVERSITY HOSPITALS OF MORECAMBE BAY NHS FOUNDATION TRUST (RTX)EQ VAS</v>
      </c>
      <c r="C3094" t="s">
        <v>973</v>
      </c>
      <c r="D3094" t="s">
        <v>965</v>
      </c>
      <c r="E3094" t="s">
        <v>690</v>
      </c>
      <c r="F3094" t="s">
        <v>691</v>
      </c>
      <c r="G3094" t="s">
        <v>752</v>
      </c>
      <c r="H3094">
        <v>2</v>
      </c>
      <c r="I3094">
        <v>49.5</v>
      </c>
      <c r="J3094">
        <v>72.5</v>
      </c>
      <c r="K3094">
        <v>23</v>
      </c>
      <c r="L3094">
        <v>2</v>
      </c>
      <c r="M3094">
        <v>0</v>
      </c>
      <c r="N3094">
        <v>0</v>
      </c>
      <c r="O3094" t="s">
        <v>127</v>
      </c>
      <c r="P3094" t="s">
        <v>127</v>
      </c>
      <c r="Q3094" t="s">
        <v>127</v>
      </c>
    </row>
    <row r="3095" spans="1:17" x14ac:dyDescent="0.25">
      <c r="A3095" t="str">
        <f>IF(C3095&amp;G3095&amp;D3095&lt;&gt;'Funnel setup'!$K$3&amp;'Funnel setup'!$K$4&amp;'Funnel setup'!$K$6,".",IF(A3094=".",1,A3094+1))</f>
        <v>.</v>
      </c>
      <c r="B3095" s="244" t="str">
        <f t="shared" si="48"/>
        <v>Knee Replacement RevisionProviderUNIVERSITY HOSPITALS OF NORTH MIDLANDS NHS TRUST (RJE)EQ VAS</v>
      </c>
      <c r="C3095" t="s">
        <v>973</v>
      </c>
      <c r="D3095" t="s">
        <v>965</v>
      </c>
      <c r="E3095" t="s">
        <v>692</v>
      </c>
      <c r="F3095" t="s">
        <v>693</v>
      </c>
      <c r="G3095" t="s">
        <v>752</v>
      </c>
      <c r="H3095">
        <v>2</v>
      </c>
      <c r="I3095">
        <v>73.5</v>
      </c>
      <c r="J3095">
        <v>57.5</v>
      </c>
      <c r="K3095">
        <v>-16</v>
      </c>
      <c r="L3095">
        <v>1</v>
      </c>
      <c r="M3095">
        <v>0</v>
      </c>
      <c r="N3095">
        <v>1</v>
      </c>
      <c r="O3095" t="s">
        <v>127</v>
      </c>
      <c r="P3095" t="s">
        <v>127</v>
      </c>
      <c r="Q3095" t="s">
        <v>127</v>
      </c>
    </row>
    <row r="3096" spans="1:17" x14ac:dyDescent="0.25">
      <c r="A3096" t="str">
        <f>IF(C3096&amp;G3096&amp;D3096&lt;&gt;'Funnel setup'!$K$3&amp;'Funnel setup'!$K$4&amp;'Funnel setup'!$K$6,".",IF(A3095=".",1,A3095+1))</f>
        <v>.</v>
      </c>
      <c r="B3096" s="244" t="str">
        <f t="shared" si="48"/>
        <v>Knee Replacement RevisionProviderUNIVERSITY HOSPITALS PLYMOUTH NHS TRUST (RK9)EQ VAS</v>
      </c>
      <c r="C3096" t="s">
        <v>973</v>
      </c>
      <c r="D3096" t="s">
        <v>965</v>
      </c>
      <c r="E3096" t="s">
        <v>694</v>
      </c>
      <c r="F3096" t="s">
        <v>695</v>
      </c>
      <c r="G3096" t="s">
        <v>752</v>
      </c>
      <c r="H3096">
        <v>1</v>
      </c>
      <c r="I3096">
        <v>20</v>
      </c>
      <c r="J3096">
        <v>70</v>
      </c>
      <c r="K3096">
        <v>50</v>
      </c>
      <c r="L3096">
        <v>1</v>
      </c>
      <c r="M3096">
        <v>0</v>
      </c>
      <c r="N3096">
        <v>0</v>
      </c>
      <c r="O3096" t="s">
        <v>127</v>
      </c>
      <c r="P3096" t="s">
        <v>127</v>
      </c>
      <c r="Q3096" t="s">
        <v>127</v>
      </c>
    </row>
    <row r="3097" spans="1:17" x14ac:dyDescent="0.25">
      <c r="A3097" t="str">
        <f>IF(C3097&amp;G3097&amp;D3097&lt;&gt;'Funnel setup'!$K$3&amp;'Funnel setup'!$K$4&amp;'Funnel setup'!$K$6,".",IF(A3096=".",1,A3096+1))</f>
        <v>.</v>
      </c>
      <c r="B3097" s="244" t="str">
        <f t="shared" si="48"/>
        <v>Knee Replacement RevisionProviderUNIVERSITY HOSPITALS SUSSEX NHS FOUNDATION TRUST (RYR)EQ VAS</v>
      </c>
      <c r="C3097" t="s">
        <v>973</v>
      </c>
      <c r="D3097" t="s">
        <v>965</v>
      </c>
      <c r="E3097" t="s">
        <v>696</v>
      </c>
      <c r="F3097" t="s">
        <v>697</v>
      </c>
      <c r="G3097" t="s">
        <v>752</v>
      </c>
      <c r="H3097">
        <v>4</v>
      </c>
      <c r="I3097">
        <v>48</v>
      </c>
      <c r="J3097">
        <v>69.5</v>
      </c>
      <c r="K3097">
        <v>21.5</v>
      </c>
      <c r="L3097">
        <v>3</v>
      </c>
      <c r="M3097">
        <v>0</v>
      </c>
      <c r="N3097">
        <v>1</v>
      </c>
      <c r="O3097" t="s">
        <v>127</v>
      </c>
      <c r="P3097" t="s">
        <v>127</v>
      </c>
      <c r="Q3097" t="s">
        <v>127</v>
      </c>
    </row>
    <row r="3098" spans="1:17" x14ac:dyDescent="0.25">
      <c r="A3098" t="str">
        <f>IF(C3098&amp;G3098&amp;D3098&lt;&gt;'Funnel setup'!$K$3&amp;'Funnel setup'!$K$4&amp;'Funnel setup'!$K$6,".",IF(A3097=".",1,A3097+1))</f>
        <v>.</v>
      </c>
      <c r="B3098" s="244" t="str">
        <f t="shared" si="48"/>
        <v>Knee Replacement RevisionProviderWARRINGTON AND HALTON TEACHING HOSPITALS NHS FOUNDATION TRUST (RWW)EQ VAS</v>
      </c>
      <c r="C3098" t="s">
        <v>973</v>
      </c>
      <c r="D3098" t="s">
        <v>965</v>
      </c>
      <c r="E3098" t="s">
        <v>700</v>
      </c>
      <c r="F3098" t="s">
        <v>701</v>
      </c>
      <c r="G3098" t="s">
        <v>752</v>
      </c>
      <c r="H3098">
        <v>1</v>
      </c>
      <c r="I3098">
        <v>60</v>
      </c>
      <c r="J3098">
        <v>50</v>
      </c>
      <c r="K3098">
        <v>-10</v>
      </c>
      <c r="L3098">
        <v>0</v>
      </c>
      <c r="M3098">
        <v>0</v>
      </c>
      <c r="N3098">
        <v>1</v>
      </c>
      <c r="O3098" t="s">
        <v>127</v>
      </c>
      <c r="P3098" t="s">
        <v>127</v>
      </c>
      <c r="Q3098" t="s">
        <v>127</v>
      </c>
    </row>
    <row r="3099" spans="1:17" x14ac:dyDescent="0.25">
      <c r="A3099" t="str">
        <f>IF(C3099&amp;G3099&amp;D3099&lt;&gt;'Funnel setup'!$K$3&amp;'Funnel setup'!$K$4&amp;'Funnel setup'!$K$6,".",IF(A3098=".",1,A3098+1))</f>
        <v>.</v>
      </c>
      <c r="B3099" s="244" t="str">
        <f t="shared" si="48"/>
        <v>Knee Replacement RevisionProviderWEST HERTFORDSHIRE TEACHING HOSPITALS NHS TRUST (RWG)EQ VAS</v>
      </c>
      <c r="C3099" t="s">
        <v>973</v>
      </c>
      <c r="D3099" t="s">
        <v>965</v>
      </c>
      <c r="E3099" t="s">
        <v>702</v>
      </c>
      <c r="F3099" t="s">
        <v>703</v>
      </c>
      <c r="G3099" t="s">
        <v>752</v>
      </c>
      <c r="H3099">
        <v>4</v>
      </c>
      <c r="I3099">
        <v>59.75</v>
      </c>
      <c r="J3099">
        <v>56.25</v>
      </c>
      <c r="K3099">
        <v>-3.5</v>
      </c>
      <c r="L3099">
        <v>1</v>
      </c>
      <c r="M3099">
        <v>0</v>
      </c>
      <c r="N3099">
        <v>3</v>
      </c>
      <c r="O3099" t="s">
        <v>127</v>
      </c>
      <c r="P3099" t="s">
        <v>127</v>
      </c>
      <c r="Q3099" t="s">
        <v>127</v>
      </c>
    </row>
    <row r="3100" spans="1:17" x14ac:dyDescent="0.25">
      <c r="A3100" t="str">
        <f>IF(C3100&amp;G3100&amp;D3100&lt;&gt;'Funnel setup'!$K$3&amp;'Funnel setup'!$K$4&amp;'Funnel setup'!$K$6,".",IF(A3099=".",1,A3099+1))</f>
        <v>.</v>
      </c>
      <c r="B3100" s="244" t="str">
        <f t="shared" si="48"/>
        <v>Knee Replacement RevisionProviderWEST SUFFOLK NHS FOUNDATION TRUST (RGR)EQ VAS</v>
      </c>
      <c r="C3100" t="s">
        <v>973</v>
      </c>
      <c r="D3100" t="s">
        <v>965</v>
      </c>
      <c r="E3100" t="s">
        <v>706</v>
      </c>
      <c r="F3100" t="s">
        <v>707</v>
      </c>
      <c r="G3100" t="s">
        <v>752</v>
      </c>
      <c r="H3100">
        <v>5</v>
      </c>
      <c r="I3100">
        <v>64.8</v>
      </c>
      <c r="J3100">
        <v>67.400000000000006</v>
      </c>
      <c r="K3100">
        <v>2.6</v>
      </c>
      <c r="L3100">
        <v>2</v>
      </c>
      <c r="M3100">
        <v>2</v>
      </c>
      <c r="N3100">
        <v>1</v>
      </c>
      <c r="O3100" t="s">
        <v>127</v>
      </c>
      <c r="P3100" t="s">
        <v>127</v>
      </c>
      <c r="Q3100" t="s">
        <v>127</v>
      </c>
    </row>
    <row r="3101" spans="1:17" x14ac:dyDescent="0.25">
      <c r="A3101" t="str">
        <f>IF(C3101&amp;G3101&amp;D3101&lt;&gt;'Funnel setup'!$K$3&amp;'Funnel setup'!$K$4&amp;'Funnel setup'!$K$6,".",IF(A3100=".",1,A3100+1))</f>
        <v>.</v>
      </c>
      <c r="B3101" s="244" t="str">
        <f t="shared" si="48"/>
        <v>Knee Replacement RevisionProviderWINFIELD HOSPITAL (NVC22)EQ VAS</v>
      </c>
      <c r="C3101" t="s">
        <v>973</v>
      </c>
      <c r="D3101" t="s">
        <v>965</v>
      </c>
      <c r="E3101" t="s">
        <v>710</v>
      </c>
      <c r="F3101" t="s">
        <v>711</v>
      </c>
      <c r="G3101" t="s">
        <v>752</v>
      </c>
      <c r="H3101">
        <v>1</v>
      </c>
      <c r="I3101">
        <v>90</v>
      </c>
      <c r="J3101">
        <v>90</v>
      </c>
      <c r="K3101">
        <v>0</v>
      </c>
      <c r="L3101">
        <v>0</v>
      </c>
      <c r="M3101">
        <v>1</v>
      </c>
      <c r="N3101">
        <v>0</v>
      </c>
      <c r="O3101" t="s">
        <v>127</v>
      </c>
      <c r="P3101" t="s">
        <v>127</v>
      </c>
      <c r="Q3101" t="s">
        <v>127</v>
      </c>
    </row>
    <row r="3102" spans="1:17" x14ac:dyDescent="0.25">
      <c r="A3102" t="str">
        <f>IF(C3102&amp;G3102&amp;D3102&lt;&gt;'Funnel setup'!$K$3&amp;'Funnel setup'!$K$4&amp;'Funnel setup'!$K$6,".",IF(A3101=".",1,A3101+1))</f>
        <v>.</v>
      </c>
      <c r="B3102" s="244" t="str">
        <f t="shared" si="48"/>
        <v>Knee Replacement RevisionProviderWIRRAL UNIVERSITY TEACHING HOSPITAL NHS FOUNDATION TRUST (RBL)EQ VAS</v>
      </c>
      <c r="C3102" t="s">
        <v>973</v>
      </c>
      <c r="D3102" t="s">
        <v>965</v>
      </c>
      <c r="E3102" t="s">
        <v>714</v>
      </c>
      <c r="F3102" t="s">
        <v>715</v>
      </c>
      <c r="G3102" t="s">
        <v>752</v>
      </c>
      <c r="H3102">
        <v>2</v>
      </c>
      <c r="I3102">
        <v>71.5</v>
      </c>
      <c r="J3102">
        <v>80</v>
      </c>
      <c r="K3102">
        <v>8.5</v>
      </c>
      <c r="L3102">
        <v>2</v>
      </c>
      <c r="M3102">
        <v>0</v>
      </c>
      <c r="N3102">
        <v>0</v>
      </c>
      <c r="O3102" t="s">
        <v>127</v>
      </c>
      <c r="P3102" t="s">
        <v>127</v>
      </c>
      <c r="Q3102" t="s">
        <v>127</v>
      </c>
    </row>
    <row r="3103" spans="1:17" x14ac:dyDescent="0.25">
      <c r="A3103" t="str">
        <f>IF(C3103&amp;G3103&amp;D3103&lt;&gt;'Funnel setup'!$K$3&amp;'Funnel setup'!$K$4&amp;'Funnel setup'!$K$6,".",IF(A3102=".",1,A3102+1))</f>
        <v>.</v>
      </c>
      <c r="B3103" s="244" t="str">
        <f t="shared" si="48"/>
        <v>Knee Replacement RevisionProviderWOODTHORPE HOSPITAL (NVC40)EQ VAS</v>
      </c>
      <c r="C3103" t="s">
        <v>973</v>
      </c>
      <c r="D3103" t="s">
        <v>965</v>
      </c>
      <c r="E3103" t="s">
        <v>720</v>
      </c>
      <c r="F3103" t="s">
        <v>721</v>
      </c>
      <c r="G3103" t="s">
        <v>752</v>
      </c>
      <c r="H3103" t="s">
        <v>127</v>
      </c>
      <c r="I3103" t="s">
        <v>127</v>
      </c>
      <c r="J3103" t="s">
        <v>127</v>
      </c>
      <c r="K3103" t="s">
        <v>127</v>
      </c>
      <c r="L3103" t="s">
        <v>127</v>
      </c>
      <c r="M3103" t="s">
        <v>127</v>
      </c>
      <c r="N3103" t="s">
        <v>127</v>
      </c>
      <c r="O3103" t="s">
        <v>127</v>
      </c>
      <c r="P3103" t="s">
        <v>127</v>
      </c>
      <c r="Q3103" t="s">
        <v>127</v>
      </c>
    </row>
    <row r="3104" spans="1:17" x14ac:dyDescent="0.25">
      <c r="A3104" t="str">
        <f>IF(C3104&amp;G3104&amp;D3104&lt;&gt;'Funnel setup'!$K$3&amp;'Funnel setup'!$K$4&amp;'Funnel setup'!$K$6,".",IF(A3103=".",1,A3103+1))</f>
        <v>.</v>
      </c>
      <c r="B3104" s="244" t="str">
        <f t="shared" si="48"/>
        <v>Knee Replacement RevisionProviderWORCESTERSHIRE ACUTE HOSPITALS NHS TRUST (RWP)EQ VAS</v>
      </c>
      <c r="C3104" t="s">
        <v>973</v>
      </c>
      <c r="D3104" t="s">
        <v>965</v>
      </c>
      <c r="E3104" t="s">
        <v>722</v>
      </c>
      <c r="F3104" t="s">
        <v>723</v>
      </c>
      <c r="G3104" t="s">
        <v>752</v>
      </c>
      <c r="H3104">
        <v>3</v>
      </c>
      <c r="I3104">
        <v>42.666699999999999</v>
      </c>
      <c r="J3104">
        <v>65</v>
      </c>
      <c r="K3104">
        <v>22.333300000000001</v>
      </c>
      <c r="L3104">
        <v>2</v>
      </c>
      <c r="M3104">
        <v>0</v>
      </c>
      <c r="N3104">
        <v>1</v>
      </c>
      <c r="O3104" t="s">
        <v>127</v>
      </c>
      <c r="P3104" t="s">
        <v>127</v>
      </c>
      <c r="Q3104" t="s">
        <v>127</v>
      </c>
    </row>
    <row r="3105" spans="1:17" x14ac:dyDescent="0.25">
      <c r="A3105" t="str">
        <f>IF(C3105&amp;G3105&amp;D3105&lt;&gt;'Funnel setup'!$K$3&amp;'Funnel setup'!$K$4&amp;'Funnel setup'!$K$6,".",IF(A3104=".",1,A3104+1))</f>
        <v>.</v>
      </c>
      <c r="B3105" s="244" t="str">
        <f t="shared" si="48"/>
        <v>Knee Replacement RevisionProviderWRIGHTINGTON, WIGAN AND LEIGH NHS FOUNDATION TRUST (RRF)EQ VAS</v>
      </c>
      <c r="C3105" t="s">
        <v>973</v>
      </c>
      <c r="D3105" t="s">
        <v>965</v>
      </c>
      <c r="E3105" t="s">
        <v>724</v>
      </c>
      <c r="F3105" t="s">
        <v>725</v>
      </c>
      <c r="G3105" t="s">
        <v>752</v>
      </c>
      <c r="H3105">
        <v>1</v>
      </c>
      <c r="I3105">
        <v>50</v>
      </c>
      <c r="J3105">
        <v>80</v>
      </c>
      <c r="K3105">
        <v>30</v>
      </c>
      <c r="L3105">
        <v>1</v>
      </c>
      <c r="M3105">
        <v>0</v>
      </c>
      <c r="N3105">
        <v>0</v>
      </c>
      <c r="O3105" t="s">
        <v>127</v>
      </c>
      <c r="P3105" t="s">
        <v>127</v>
      </c>
      <c r="Q3105" t="s">
        <v>127</v>
      </c>
    </row>
    <row r="3106" spans="1:17" x14ac:dyDescent="0.25">
      <c r="A3106" t="str">
        <f>IF(C3106&amp;G3106&amp;D3106&lt;&gt;'Funnel setup'!$K$3&amp;'Funnel setup'!$K$4&amp;'Funnel setup'!$K$6,".",IF(A3105=".",1,A3105+1))</f>
        <v>.</v>
      </c>
      <c r="B3106" s="244" t="str">
        <f t="shared" si="48"/>
        <v>Knee Replacement RevisionProviderWYE VALLEY NHS TRUST (RLQ)EQ VAS</v>
      </c>
      <c r="C3106" t="s">
        <v>973</v>
      </c>
      <c r="D3106" t="s">
        <v>965</v>
      </c>
      <c r="E3106" t="s">
        <v>726</v>
      </c>
      <c r="F3106" t="s">
        <v>727</v>
      </c>
      <c r="G3106" t="s">
        <v>752</v>
      </c>
      <c r="H3106">
        <v>1</v>
      </c>
      <c r="I3106">
        <v>87</v>
      </c>
      <c r="J3106">
        <v>95</v>
      </c>
      <c r="K3106">
        <v>8</v>
      </c>
      <c r="L3106">
        <v>1</v>
      </c>
      <c r="M3106">
        <v>0</v>
      </c>
      <c r="N3106">
        <v>0</v>
      </c>
      <c r="O3106" t="s">
        <v>127</v>
      </c>
      <c r="P3106" t="s">
        <v>127</v>
      </c>
      <c r="Q3106" t="s">
        <v>127</v>
      </c>
    </row>
    <row r="3107" spans="1:17" x14ac:dyDescent="0.25">
      <c r="A3107" t="str">
        <f>IF(C3107&amp;G3107&amp;D3107&lt;&gt;'Funnel setup'!$K$3&amp;'Funnel setup'!$K$4&amp;'Funnel setup'!$K$6,".",IF(A3106=".",1,A3106+1))</f>
        <v>.</v>
      </c>
      <c r="B3107" s="244" t="str">
        <f t="shared" si="48"/>
        <v>Knee Replacement RevisionProviderASHFORD AND ST PETER'S HOSPITALS NHS FOUNDATION TRUST (RTK)EQ-5D Index</v>
      </c>
      <c r="C3107" t="s">
        <v>973</v>
      </c>
      <c r="D3107" t="s">
        <v>965</v>
      </c>
      <c r="E3107" t="s">
        <v>132</v>
      </c>
      <c r="F3107" t="s">
        <v>133</v>
      </c>
      <c r="G3107" t="s">
        <v>963</v>
      </c>
      <c r="H3107">
        <v>1</v>
      </c>
      <c r="I3107">
        <v>8.7999999999999995E-2</v>
      </c>
      <c r="J3107">
        <v>-4.1000000000000002E-2</v>
      </c>
      <c r="K3107">
        <v>-0.129</v>
      </c>
      <c r="L3107">
        <v>0</v>
      </c>
      <c r="M3107">
        <v>0</v>
      </c>
      <c r="N3107">
        <v>1</v>
      </c>
      <c r="O3107" t="s">
        <v>127</v>
      </c>
      <c r="P3107" t="s">
        <v>127</v>
      </c>
      <c r="Q3107" t="s">
        <v>127</v>
      </c>
    </row>
    <row r="3108" spans="1:17" x14ac:dyDescent="0.25">
      <c r="A3108" t="str">
        <f>IF(C3108&amp;G3108&amp;D3108&lt;&gt;'Funnel setup'!$K$3&amp;'Funnel setup'!$K$4&amp;'Funnel setup'!$K$6,".",IF(A3107=".",1,A3107+1))</f>
        <v>.</v>
      </c>
      <c r="B3108" s="244" t="str">
        <f t="shared" si="48"/>
        <v>Knee Replacement RevisionProviderBARKING, HAVERING AND REDBRIDGE UNIVERSITY HOSPITALS NHS TRUST (RF4)EQ-5D Index</v>
      </c>
      <c r="C3108" t="s">
        <v>973</v>
      </c>
      <c r="D3108" t="s">
        <v>965</v>
      </c>
      <c r="E3108" t="s">
        <v>144</v>
      </c>
      <c r="F3108" t="s">
        <v>145</v>
      </c>
      <c r="G3108" t="s">
        <v>963</v>
      </c>
      <c r="H3108">
        <v>1</v>
      </c>
      <c r="I3108">
        <v>0.69099999999999995</v>
      </c>
      <c r="J3108">
        <v>0.84799999999999998</v>
      </c>
      <c r="K3108">
        <v>0.157</v>
      </c>
      <c r="L3108">
        <v>1</v>
      </c>
      <c r="M3108">
        <v>0</v>
      </c>
      <c r="N3108">
        <v>0</v>
      </c>
      <c r="O3108" t="s">
        <v>127</v>
      </c>
      <c r="P3108" t="s">
        <v>127</v>
      </c>
      <c r="Q3108" t="s">
        <v>127</v>
      </c>
    </row>
    <row r="3109" spans="1:17" x14ac:dyDescent="0.25">
      <c r="A3109" t="str">
        <f>IF(C3109&amp;G3109&amp;D3109&lt;&gt;'Funnel setup'!$K$3&amp;'Funnel setup'!$K$4&amp;'Funnel setup'!$K$6,".",IF(A3108=".",1,A3108+1))</f>
        <v>.</v>
      </c>
      <c r="B3109" s="244" t="str">
        <f t="shared" si="48"/>
        <v>Knee Replacement RevisionProviderBARNSLEY HOSPITAL NHS FOUNDATION TRUST (RFF)EQ-5D Index</v>
      </c>
      <c r="C3109" t="s">
        <v>973</v>
      </c>
      <c r="D3109" t="s">
        <v>965</v>
      </c>
      <c r="E3109" t="s">
        <v>146</v>
      </c>
      <c r="F3109" t="s">
        <v>147</v>
      </c>
      <c r="G3109" t="s">
        <v>963</v>
      </c>
      <c r="H3109">
        <v>1</v>
      </c>
      <c r="I3109">
        <v>5.5E-2</v>
      </c>
      <c r="J3109">
        <v>5.5E-2</v>
      </c>
      <c r="K3109">
        <v>0</v>
      </c>
      <c r="L3109">
        <v>0</v>
      </c>
      <c r="M3109">
        <v>1</v>
      </c>
      <c r="N3109">
        <v>0</v>
      </c>
      <c r="O3109" t="s">
        <v>127</v>
      </c>
      <c r="P3109" t="s">
        <v>127</v>
      </c>
      <c r="Q3109" t="s">
        <v>127</v>
      </c>
    </row>
    <row r="3110" spans="1:17" x14ac:dyDescent="0.25">
      <c r="A3110" t="str">
        <f>IF(C3110&amp;G3110&amp;D3110&lt;&gt;'Funnel setup'!$K$3&amp;'Funnel setup'!$K$4&amp;'Funnel setup'!$K$6,".",IF(A3109=".",1,A3109+1))</f>
        <v>.</v>
      </c>
      <c r="B3110" s="244" t="str">
        <f t="shared" si="48"/>
        <v>Knee Replacement RevisionProviderBARTS HEALTH NHS TRUST (R1H)EQ-5D Index</v>
      </c>
      <c r="C3110" t="s">
        <v>973</v>
      </c>
      <c r="D3110" t="s">
        <v>965</v>
      </c>
      <c r="E3110" t="s">
        <v>148</v>
      </c>
      <c r="F3110" t="s">
        <v>149</v>
      </c>
      <c r="G3110" t="s">
        <v>963</v>
      </c>
      <c r="H3110">
        <v>5</v>
      </c>
      <c r="I3110">
        <v>0.42720000000000002</v>
      </c>
      <c r="J3110">
        <v>0.5786</v>
      </c>
      <c r="K3110">
        <v>0.15140000000000001</v>
      </c>
      <c r="L3110">
        <v>5</v>
      </c>
      <c r="M3110">
        <v>0</v>
      </c>
      <c r="N3110">
        <v>0</v>
      </c>
      <c r="O3110" t="s">
        <v>127</v>
      </c>
      <c r="P3110" t="s">
        <v>127</v>
      </c>
      <c r="Q3110" t="s">
        <v>127</v>
      </c>
    </row>
    <row r="3111" spans="1:17" x14ac:dyDescent="0.25">
      <c r="A3111" t="str">
        <f>IF(C3111&amp;G3111&amp;D3111&lt;&gt;'Funnel setup'!$K$3&amp;'Funnel setup'!$K$4&amp;'Funnel setup'!$K$6,".",IF(A3110=".",1,A3110+1))</f>
        <v>.</v>
      </c>
      <c r="B3111" s="244" t="str">
        <f t="shared" si="48"/>
        <v>Knee Replacement RevisionProviderBEARDWOOD HOSPITAL (NT403)EQ-5D Index</v>
      </c>
      <c r="C3111" t="s">
        <v>973</v>
      </c>
      <c r="D3111" t="s">
        <v>965</v>
      </c>
      <c r="E3111" t="s">
        <v>154</v>
      </c>
      <c r="F3111" t="s">
        <v>155</v>
      </c>
      <c r="G3111" t="s">
        <v>963</v>
      </c>
      <c r="H3111" t="s">
        <v>127</v>
      </c>
      <c r="I3111" t="s">
        <v>127</v>
      </c>
      <c r="J3111" t="s">
        <v>127</v>
      </c>
      <c r="K3111" t="s">
        <v>127</v>
      </c>
      <c r="L3111" t="s">
        <v>127</v>
      </c>
      <c r="M3111" t="s">
        <v>127</v>
      </c>
      <c r="N3111" t="s">
        <v>127</v>
      </c>
      <c r="O3111" t="s">
        <v>127</v>
      </c>
      <c r="P3111" t="s">
        <v>127</v>
      </c>
      <c r="Q3111" t="s">
        <v>127</v>
      </c>
    </row>
    <row r="3112" spans="1:17" x14ac:dyDescent="0.25">
      <c r="A3112" t="str">
        <f>IF(C3112&amp;G3112&amp;D3112&lt;&gt;'Funnel setup'!$K$3&amp;'Funnel setup'!$K$4&amp;'Funnel setup'!$K$6,".",IF(A3111=".",1,A3111+1))</f>
        <v>.</v>
      </c>
      <c r="B3112" s="244" t="str">
        <f t="shared" si="48"/>
        <v>Knee Replacement RevisionProviderBEAUMONT HOSPITAL (NT404)EQ-5D Index</v>
      </c>
      <c r="C3112" t="s">
        <v>973</v>
      </c>
      <c r="D3112" t="s">
        <v>965</v>
      </c>
      <c r="E3112" t="s">
        <v>156</v>
      </c>
      <c r="F3112" t="s">
        <v>157</v>
      </c>
      <c r="G3112" t="s">
        <v>963</v>
      </c>
      <c r="H3112" t="s">
        <v>127</v>
      </c>
      <c r="I3112" t="s">
        <v>127</v>
      </c>
      <c r="J3112" t="s">
        <v>127</v>
      </c>
      <c r="K3112" t="s">
        <v>127</v>
      </c>
      <c r="L3112" t="s">
        <v>127</v>
      </c>
      <c r="M3112" t="s">
        <v>127</v>
      </c>
      <c r="N3112" t="s">
        <v>127</v>
      </c>
      <c r="O3112" t="s">
        <v>127</v>
      </c>
      <c r="P3112" t="s">
        <v>127</v>
      </c>
      <c r="Q3112" t="s">
        <v>127</v>
      </c>
    </row>
    <row r="3113" spans="1:17" x14ac:dyDescent="0.25">
      <c r="A3113" t="str">
        <f>IF(C3113&amp;G3113&amp;D3113&lt;&gt;'Funnel setup'!$K$3&amp;'Funnel setup'!$K$4&amp;'Funnel setup'!$K$6,".",IF(A3112=".",1,A3112+1))</f>
        <v>.</v>
      </c>
      <c r="B3113" s="244" t="str">
        <f t="shared" si="48"/>
        <v>Knee Replacement RevisionProviderBEDFORDSHIRE HOSPITALS NHS FOUNDATION TRUST (RC9)EQ-5D Index</v>
      </c>
      <c r="C3113" t="s">
        <v>973</v>
      </c>
      <c r="D3113" t="s">
        <v>965</v>
      </c>
      <c r="E3113" t="s">
        <v>158</v>
      </c>
      <c r="F3113" t="s">
        <v>159</v>
      </c>
      <c r="G3113" t="s">
        <v>963</v>
      </c>
      <c r="H3113">
        <v>4</v>
      </c>
      <c r="I3113">
        <v>0.3725</v>
      </c>
      <c r="J3113">
        <v>0.79900000000000004</v>
      </c>
      <c r="K3113">
        <v>0.42649999999999999</v>
      </c>
      <c r="L3113">
        <v>3</v>
      </c>
      <c r="M3113">
        <v>0</v>
      </c>
      <c r="N3113">
        <v>1</v>
      </c>
      <c r="O3113" t="s">
        <v>127</v>
      </c>
      <c r="P3113" t="s">
        <v>127</v>
      </c>
      <c r="Q3113" t="s">
        <v>127</v>
      </c>
    </row>
    <row r="3114" spans="1:17" x14ac:dyDescent="0.25">
      <c r="A3114" t="str">
        <f>IF(C3114&amp;G3114&amp;D3114&lt;&gt;'Funnel setup'!$K$3&amp;'Funnel setup'!$K$4&amp;'Funnel setup'!$K$6,".",IF(A3113=".",1,A3113+1))</f>
        <v>.</v>
      </c>
      <c r="B3114" s="244" t="str">
        <f t="shared" si="48"/>
        <v>Knee Replacement RevisionProviderBLACKPOOL TEACHING HOSPITALS NHS FOUNDATION TRUST (RXL)EQ-5D Index</v>
      </c>
      <c r="C3114" t="s">
        <v>973</v>
      </c>
      <c r="D3114" t="s">
        <v>965</v>
      </c>
      <c r="E3114" t="s">
        <v>170</v>
      </c>
      <c r="F3114" t="s">
        <v>171</v>
      </c>
      <c r="G3114" t="s">
        <v>963</v>
      </c>
      <c r="H3114">
        <v>1</v>
      </c>
      <c r="I3114">
        <v>-7.3999999999999996E-2</v>
      </c>
      <c r="J3114">
        <v>0.69099999999999995</v>
      </c>
      <c r="K3114">
        <v>0.76500000000000001</v>
      </c>
      <c r="L3114">
        <v>1</v>
      </c>
      <c r="M3114">
        <v>0</v>
      </c>
      <c r="N3114">
        <v>0</v>
      </c>
      <c r="O3114" t="s">
        <v>127</v>
      </c>
      <c r="P3114" t="s">
        <v>127</v>
      </c>
      <c r="Q3114" t="s">
        <v>127</v>
      </c>
    </row>
    <row r="3115" spans="1:17" x14ac:dyDescent="0.25">
      <c r="A3115" t="str">
        <f>IF(C3115&amp;G3115&amp;D3115&lt;&gt;'Funnel setup'!$K$3&amp;'Funnel setup'!$K$4&amp;'Funnel setup'!$K$6,".",IF(A3114=".",1,A3114+1))</f>
        <v>.</v>
      </c>
      <c r="B3115" s="244" t="str">
        <f t="shared" si="48"/>
        <v>Knee Replacement RevisionProviderBOLTON NHS FOUNDATION TRUST (RMC)EQ-5D Index</v>
      </c>
      <c r="C3115" t="s">
        <v>973</v>
      </c>
      <c r="D3115" t="s">
        <v>965</v>
      </c>
      <c r="E3115" t="s">
        <v>172</v>
      </c>
      <c r="F3115" t="s">
        <v>173</v>
      </c>
      <c r="G3115" t="s">
        <v>963</v>
      </c>
      <c r="H3115">
        <v>2</v>
      </c>
      <c r="I3115">
        <v>0.60350000000000004</v>
      </c>
      <c r="J3115">
        <v>0.70899999999999996</v>
      </c>
      <c r="K3115">
        <v>0.1055</v>
      </c>
      <c r="L3115">
        <v>2</v>
      </c>
      <c r="M3115">
        <v>0</v>
      </c>
      <c r="N3115">
        <v>0</v>
      </c>
      <c r="O3115" t="s">
        <v>127</v>
      </c>
      <c r="P3115" t="s">
        <v>127</v>
      </c>
      <c r="Q3115" t="s">
        <v>127</v>
      </c>
    </row>
    <row r="3116" spans="1:17" x14ac:dyDescent="0.25">
      <c r="A3116" t="str">
        <f>IF(C3116&amp;G3116&amp;D3116&lt;&gt;'Funnel setup'!$K$3&amp;'Funnel setup'!$K$4&amp;'Funnel setup'!$K$6,".",IF(A3115=".",1,A3115+1))</f>
        <v>.</v>
      </c>
      <c r="B3116" s="244" t="str">
        <f t="shared" si="48"/>
        <v>Knee Replacement RevisionProviderBRADFORD TEACHING HOSPITALS NHS FOUNDATION TRUST (RAE)EQ-5D Index</v>
      </c>
      <c r="C3116" t="s">
        <v>973</v>
      </c>
      <c r="D3116" t="s">
        <v>965</v>
      </c>
      <c r="E3116" t="s">
        <v>174</v>
      </c>
      <c r="F3116" t="s">
        <v>175</v>
      </c>
      <c r="G3116" t="s">
        <v>963</v>
      </c>
      <c r="H3116">
        <v>1</v>
      </c>
      <c r="I3116">
        <v>0.51600000000000001</v>
      </c>
      <c r="J3116">
        <v>0.58699999999999997</v>
      </c>
      <c r="K3116">
        <v>7.0999999999999994E-2</v>
      </c>
      <c r="L3116">
        <v>1</v>
      </c>
      <c r="M3116">
        <v>0</v>
      </c>
      <c r="N3116">
        <v>0</v>
      </c>
      <c r="O3116" t="s">
        <v>127</v>
      </c>
      <c r="P3116" t="s">
        <v>127</v>
      </c>
      <c r="Q3116" t="s">
        <v>127</v>
      </c>
    </row>
    <row r="3117" spans="1:17" x14ac:dyDescent="0.25">
      <c r="A3117" t="str">
        <f>IF(C3117&amp;G3117&amp;D3117&lt;&gt;'Funnel setup'!$K$3&amp;'Funnel setup'!$K$4&amp;'Funnel setup'!$K$6,".",IF(A3116=".",1,A3116+1))</f>
        <v>.</v>
      </c>
      <c r="B3117" s="244" t="str">
        <f t="shared" si="48"/>
        <v>Knee Replacement RevisionProviderBUCKINGHAMSHIRE HEALTHCARE NHS TRUST (RXQ)EQ-5D Index</v>
      </c>
      <c r="C3117" t="s">
        <v>973</v>
      </c>
      <c r="D3117" t="s">
        <v>965</v>
      </c>
      <c r="E3117" t="s">
        <v>178</v>
      </c>
      <c r="F3117" t="s">
        <v>179</v>
      </c>
      <c r="G3117" t="s">
        <v>963</v>
      </c>
      <c r="H3117">
        <v>1</v>
      </c>
      <c r="I3117">
        <v>0.69099999999999995</v>
      </c>
      <c r="J3117">
        <v>0.69099999999999995</v>
      </c>
      <c r="K3117">
        <v>0</v>
      </c>
      <c r="L3117">
        <v>0</v>
      </c>
      <c r="M3117">
        <v>1</v>
      </c>
      <c r="N3117">
        <v>0</v>
      </c>
      <c r="O3117" t="s">
        <v>127</v>
      </c>
      <c r="P3117" t="s">
        <v>127</v>
      </c>
      <c r="Q3117" t="s">
        <v>127</v>
      </c>
    </row>
    <row r="3118" spans="1:17" x14ac:dyDescent="0.25">
      <c r="A3118" t="str">
        <f>IF(C3118&amp;G3118&amp;D3118&lt;&gt;'Funnel setup'!$K$3&amp;'Funnel setup'!$K$4&amp;'Funnel setup'!$K$6,".",IF(A3117=".",1,A3117+1))</f>
        <v>.</v>
      </c>
      <c r="B3118" s="244" t="str">
        <f t="shared" si="48"/>
        <v>Knee Replacement RevisionProviderCALDERDALE AND HUDDERSFIELD NHS FOUNDATION TRUST (RWY)EQ-5D Index</v>
      </c>
      <c r="C3118" t="s">
        <v>973</v>
      </c>
      <c r="D3118" t="s">
        <v>965</v>
      </c>
      <c r="E3118" t="s">
        <v>180</v>
      </c>
      <c r="F3118" t="s">
        <v>181</v>
      </c>
      <c r="G3118" t="s">
        <v>963</v>
      </c>
      <c r="H3118">
        <v>5</v>
      </c>
      <c r="I3118">
        <v>0.44359999999999999</v>
      </c>
      <c r="J3118">
        <v>0.66479999999999995</v>
      </c>
      <c r="K3118">
        <v>0.22120000000000001</v>
      </c>
      <c r="L3118">
        <v>3</v>
      </c>
      <c r="M3118">
        <v>0</v>
      </c>
      <c r="N3118">
        <v>2</v>
      </c>
      <c r="O3118" t="s">
        <v>127</v>
      </c>
      <c r="P3118" t="s">
        <v>127</v>
      </c>
      <c r="Q3118" t="s">
        <v>127</v>
      </c>
    </row>
    <row r="3119" spans="1:17" x14ac:dyDescent="0.25">
      <c r="A3119" t="str">
        <f>IF(C3119&amp;G3119&amp;D3119&lt;&gt;'Funnel setup'!$K$3&amp;'Funnel setup'!$K$4&amp;'Funnel setup'!$K$6,".",IF(A3118=".",1,A3118+1))</f>
        <v>.</v>
      </c>
      <c r="B3119" s="244" t="str">
        <f t="shared" si="48"/>
        <v>Knee Replacement RevisionProviderCAMBRIDGE UNIVERSITY HOSPITALS NHS FOUNDATION TRUST (RGT)EQ-5D Index</v>
      </c>
      <c r="C3119" t="s">
        <v>973</v>
      </c>
      <c r="D3119" t="s">
        <v>965</v>
      </c>
      <c r="E3119" t="s">
        <v>182</v>
      </c>
      <c r="F3119" t="s">
        <v>183</v>
      </c>
      <c r="G3119" t="s">
        <v>963</v>
      </c>
      <c r="H3119">
        <v>3</v>
      </c>
      <c r="I3119">
        <v>0.124333</v>
      </c>
      <c r="J3119">
        <v>0.65633300000000006</v>
      </c>
      <c r="K3119">
        <v>0.53200000000000003</v>
      </c>
      <c r="L3119">
        <v>3</v>
      </c>
      <c r="M3119">
        <v>0</v>
      </c>
      <c r="N3119">
        <v>0</v>
      </c>
      <c r="O3119" t="s">
        <v>127</v>
      </c>
      <c r="P3119" t="s">
        <v>127</v>
      </c>
      <c r="Q3119" t="s">
        <v>127</v>
      </c>
    </row>
    <row r="3120" spans="1:17" x14ac:dyDescent="0.25">
      <c r="A3120" t="str">
        <f>IF(C3120&amp;G3120&amp;D3120&lt;&gt;'Funnel setup'!$K$3&amp;'Funnel setup'!$K$4&amp;'Funnel setup'!$K$6,".",IF(A3119=".",1,A3119+1))</f>
        <v>.</v>
      </c>
      <c r="B3120" s="244" t="str">
        <f t="shared" si="48"/>
        <v>Knee Replacement RevisionProviderCAVELL HOSPITAL (NT451)EQ-5D Index</v>
      </c>
      <c r="C3120" t="s">
        <v>973</v>
      </c>
      <c r="D3120" t="s">
        <v>965</v>
      </c>
      <c r="E3120" t="s">
        <v>184</v>
      </c>
      <c r="F3120" t="s">
        <v>185</v>
      </c>
      <c r="G3120" t="s">
        <v>963</v>
      </c>
      <c r="H3120" t="s">
        <v>127</v>
      </c>
      <c r="I3120" t="s">
        <v>127</v>
      </c>
      <c r="J3120" t="s">
        <v>127</v>
      </c>
      <c r="K3120" t="s">
        <v>127</v>
      </c>
      <c r="L3120" t="s">
        <v>127</v>
      </c>
      <c r="M3120" t="s">
        <v>127</v>
      </c>
      <c r="N3120" t="s">
        <v>127</v>
      </c>
      <c r="O3120" t="s">
        <v>127</v>
      </c>
      <c r="P3120" t="s">
        <v>127</v>
      </c>
      <c r="Q3120" t="s">
        <v>127</v>
      </c>
    </row>
    <row r="3121" spans="1:17" x14ac:dyDescent="0.25">
      <c r="A3121" t="str">
        <f>IF(C3121&amp;G3121&amp;D3121&lt;&gt;'Funnel setup'!$K$3&amp;'Funnel setup'!$K$4&amp;'Funnel setup'!$K$6,".",IF(A3120=".",1,A3120+1))</f>
        <v>.</v>
      </c>
      <c r="B3121" s="244" t="str">
        <f t="shared" si="48"/>
        <v>Knee Replacement RevisionProviderCHELSEA AND WESTMINSTER HOSPITAL NHS FOUNDATION TRUST (RQM)EQ-5D Index</v>
      </c>
      <c r="C3121" t="s">
        <v>973</v>
      </c>
      <c r="D3121" t="s">
        <v>965</v>
      </c>
      <c r="E3121" t="s">
        <v>188</v>
      </c>
      <c r="F3121" t="s">
        <v>189</v>
      </c>
      <c r="G3121" t="s">
        <v>963</v>
      </c>
      <c r="H3121">
        <v>1</v>
      </c>
      <c r="I3121">
        <v>0.62</v>
      </c>
      <c r="J3121">
        <v>0.69099999999999995</v>
      </c>
      <c r="K3121">
        <v>7.0999999999999994E-2</v>
      </c>
      <c r="L3121">
        <v>1</v>
      </c>
      <c r="M3121">
        <v>0</v>
      </c>
      <c r="N3121">
        <v>0</v>
      </c>
      <c r="O3121" t="s">
        <v>127</v>
      </c>
      <c r="P3121" t="s">
        <v>127</v>
      </c>
      <c r="Q3121" t="s">
        <v>127</v>
      </c>
    </row>
    <row r="3122" spans="1:17" x14ac:dyDescent="0.25">
      <c r="A3122" t="str">
        <f>IF(C3122&amp;G3122&amp;D3122&lt;&gt;'Funnel setup'!$K$3&amp;'Funnel setup'!$K$4&amp;'Funnel setup'!$K$6,".",IF(A3121=".",1,A3121+1))</f>
        <v>.</v>
      </c>
      <c r="B3122" s="244" t="str">
        <f t="shared" si="48"/>
        <v>Knee Replacement RevisionProviderCHESTERFIELD ROYAL HOSPITAL NHS FOUNDATION TRUST (RFS)EQ-5D Index</v>
      </c>
      <c r="C3122" t="s">
        <v>973</v>
      </c>
      <c r="D3122" t="s">
        <v>965</v>
      </c>
      <c r="E3122" t="s">
        <v>192</v>
      </c>
      <c r="F3122" t="s">
        <v>193</v>
      </c>
      <c r="G3122" t="s">
        <v>963</v>
      </c>
      <c r="H3122">
        <v>2</v>
      </c>
      <c r="I3122">
        <v>-9.35E-2</v>
      </c>
      <c r="J3122">
        <v>0.51600000000000001</v>
      </c>
      <c r="K3122">
        <v>0.60950000000000004</v>
      </c>
      <c r="L3122">
        <v>2</v>
      </c>
      <c r="M3122">
        <v>0</v>
      </c>
      <c r="N3122">
        <v>0</v>
      </c>
      <c r="O3122" t="s">
        <v>127</v>
      </c>
      <c r="P3122" t="s">
        <v>127</v>
      </c>
      <c r="Q3122" t="s">
        <v>127</v>
      </c>
    </row>
    <row r="3123" spans="1:17" x14ac:dyDescent="0.25">
      <c r="A3123" t="str">
        <f>IF(C3123&amp;G3123&amp;D3123&lt;&gt;'Funnel setup'!$K$3&amp;'Funnel setup'!$K$4&amp;'Funnel setup'!$K$6,".",IF(A3122=".",1,A3122+1))</f>
        <v>.</v>
      </c>
      <c r="B3123" s="244" t="str">
        <f t="shared" si="48"/>
        <v>Knee Replacement RevisionProviderCLEMENTINE CHURCHILL HOSPITAL (NT411)EQ-5D Index</v>
      </c>
      <c r="C3123" t="s">
        <v>973</v>
      </c>
      <c r="D3123" t="s">
        <v>965</v>
      </c>
      <c r="E3123" t="s">
        <v>200</v>
      </c>
      <c r="F3123" t="s">
        <v>201</v>
      </c>
      <c r="G3123" t="s">
        <v>963</v>
      </c>
      <c r="H3123" t="s">
        <v>127</v>
      </c>
      <c r="I3123" t="s">
        <v>127</v>
      </c>
      <c r="J3123" t="s">
        <v>127</v>
      </c>
      <c r="K3123" t="s">
        <v>127</v>
      </c>
      <c r="L3123" t="s">
        <v>127</v>
      </c>
      <c r="M3123" t="s">
        <v>127</v>
      </c>
      <c r="N3123" t="s">
        <v>127</v>
      </c>
      <c r="O3123" t="s">
        <v>127</v>
      </c>
      <c r="P3123" t="s">
        <v>127</v>
      </c>
      <c r="Q3123" t="s">
        <v>127</v>
      </c>
    </row>
    <row r="3124" spans="1:17" x14ac:dyDescent="0.25">
      <c r="A3124" t="str">
        <f>IF(C3124&amp;G3124&amp;D3124&lt;&gt;'Funnel setup'!$K$3&amp;'Funnel setup'!$K$4&amp;'Funnel setup'!$K$6,".",IF(A3123=".",1,A3123+1))</f>
        <v>.</v>
      </c>
      <c r="B3124" s="244" t="str">
        <f t="shared" si="48"/>
        <v>Knee Replacement RevisionProviderCLIFTON PARK HOSPITAL (NVC28)EQ-5D Index</v>
      </c>
      <c r="C3124" t="s">
        <v>973</v>
      </c>
      <c r="D3124" t="s">
        <v>965</v>
      </c>
      <c r="E3124" t="s">
        <v>202</v>
      </c>
      <c r="F3124" t="s">
        <v>203</v>
      </c>
      <c r="G3124" t="s">
        <v>963</v>
      </c>
      <c r="H3124">
        <v>6</v>
      </c>
      <c r="I3124">
        <v>0.50149999999999995</v>
      </c>
      <c r="J3124">
        <v>0.80066700000000002</v>
      </c>
      <c r="K3124">
        <v>0.29916700000000002</v>
      </c>
      <c r="L3124">
        <v>4</v>
      </c>
      <c r="M3124">
        <v>1</v>
      </c>
      <c r="N3124">
        <v>1</v>
      </c>
      <c r="O3124" t="s">
        <v>127</v>
      </c>
      <c r="P3124" t="s">
        <v>127</v>
      </c>
      <c r="Q3124" t="s">
        <v>127</v>
      </c>
    </row>
    <row r="3125" spans="1:17" x14ac:dyDescent="0.25">
      <c r="A3125" t="str">
        <f>IF(C3125&amp;G3125&amp;D3125&lt;&gt;'Funnel setup'!$K$3&amp;'Funnel setup'!$K$4&amp;'Funnel setup'!$K$6,".",IF(A3124=".",1,A3124+1))</f>
        <v>.</v>
      </c>
      <c r="B3125" s="244" t="str">
        <f t="shared" si="48"/>
        <v>Knee Replacement RevisionProviderCOUNTY DURHAM AND DARLINGTON NHS FOUNDATION TRUST (RXP)EQ-5D Index</v>
      </c>
      <c r="C3125" t="s">
        <v>973</v>
      </c>
      <c r="D3125" t="s">
        <v>965</v>
      </c>
      <c r="E3125" t="s">
        <v>206</v>
      </c>
      <c r="F3125" t="s">
        <v>207</v>
      </c>
      <c r="G3125" t="s">
        <v>963</v>
      </c>
      <c r="H3125">
        <v>2</v>
      </c>
      <c r="I3125">
        <v>0.78749999999999998</v>
      </c>
      <c r="J3125">
        <v>0.74350000000000005</v>
      </c>
      <c r="K3125">
        <v>-4.3999999999999997E-2</v>
      </c>
      <c r="L3125">
        <v>1</v>
      </c>
      <c r="M3125">
        <v>0</v>
      </c>
      <c r="N3125">
        <v>1</v>
      </c>
      <c r="O3125" t="s">
        <v>127</v>
      </c>
      <c r="P3125" t="s">
        <v>127</v>
      </c>
      <c r="Q3125" t="s">
        <v>127</v>
      </c>
    </row>
    <row r="3126" spans="1:17" x14ac:dyDescent="0.25">
      <c r="A3126" t="str">
        <f>IF(C3126&amp;G3126&amp;D3126&lt;&gt;'Funnel setup'!$K$3&amp;'Funnel setup'!$K$4&amp;'Funnel setup'!$K$6,".",IF(A3125=".",1,A3125+1))</f>
        <v>.</v>
      </c>
      <c r="B3126" s="244" t="str">
        <f t="shared" si="48"/>
        <v>Knee Replacement RevisionProviderDONCASTER AND BASSETLAW TEACHING HOSPITALS NHS FOUNDATION TRUST (RP5)EQ-5D Index</v>
      </c>
      <c r="C3126" t="s">
        <v>973</v>
      </c>
      <c r="D3126" t="s">
        <v>965</v>
      </c>
      <c r="E3126" t="s">
        <v>212</v>
      </c>
      <c r="F3126" t="s">
        <v>213</v>
      </c>
      <c r="G3126" t="s">
        <v>963</v>
      </c>
      <c r="H3126">
        <v>1</v>
      </c>
      <c r="I3126">
        <v>5.5E-2</v>
      </c>
      <c r="J3126">
        <v>0.69099999999999995</v>
      </c>
      <c r="K3126">
        <v>0.63600000000000001</v>
      </c>
      <c r="L3126">
        <v>1</v>
      </c>
      <c r="M3126">
        <v>0</v>
      </c>
      <c r="N3126">
        <v>0</v>
      </c>
      <c r="O3126" t="s">
        <v>127</v>
      </c>
      <c r="P3126" t="s">
        <v>127</v>
      </c>
      <c r="Q3126" t="s">
        <v>127</v>
      </c>
    </row>
    <row r="3127" spans="1:17" x14ac:dyDescent="0.25">
      <c r="A3127" t="str">
        <f>IF(C3127&amp;G3127&amp;D3127&lt;&gt;'Funnel setup'!$K$3&amp;'Funnel setup'!$K$4&amp;'Funnel setup'!$K$6,".",IF(A3126=".",1,A3126+1))</f>
        <v>.</v>
      </c>
      <c r="B3127" s="244" t="str">
        <f t="shared" si="48"/>
        <v>Knee Replacement RevisionProviderDUCHY HOSPITAL (NVC04)EQ-5D Index</v>
      </c>
      <c r="C3127" t="s">
        <v>973</v>
      </c>
      <c r="D3127" t="s">
        <v>965</v>
      </c>
      <c r="E3127" t="s">
        <v>220</v>
      </c>
      <c r="F3127" t="s">
        <v>221</v>
      </c>
      <c r="G3127" t="s">
        <v>963</v>
      </c>
      <c r="H3127">
        <v>3</v>
      </c>
      <c r="I3127">
        <v>0.43166700000000002</v>
      </c>
      <c r="J3127">
        <v>0.67933299999999996</v>
      </c>
      <c r="K3127">
        <v>0.247667</v>
      </c>
      <c r="L3127">
        <v>3</v>
      </c>
      <c r="M3127">
        <v>0</v>
      </c>
      <c r="N3127">
        <v>0</v>
      </c>
      <c r="O3127" t="s">
        <v>127</v>
      </c>
      <c r="P3127" t="s">
        <v>127</v>
      </c>
      <c r="Q3127" t="s">
        <v>127</v>
      </c>
    </row>
    <row r="3128" spans="1:17" x14ac:dyDescent="0.25">
      <c r="A3128" t="str">
        <f>IF(C3128&amp;G3128&amp;D3128&lt;&gt;'Funnel setup'!$K$3&amp;'Funnel setup'!$K$4&amp;'Funnel setup'!$K$6,".",IF(A3127=".",1,A3127+1))</f>
        <v>.</v>
      </c>
      <c r="B3128" s="244" t="str">
        <f t="shared" si="48"/>
        <v>Knee Replacement RevisionProviderEAST KENT HOSPITALS UNIVERSITY NHS FOUNDATION TRUST (RVV)EQ-5D Index</v>
      </c>
      <c r="C3128" t="s">
        <v>973</v>
      </c>
      <c r="D3128" t="s">
        <v>965</v>
      </c>
      <c r="E3128" t="s">
        <v>228</v>
      </c>
      <c r="F3128" t="s">
        <v>229</v>
      </c>
      <c r="G3128" t="s">
        <v>963</v>
      </c>
      <c r="H3128">
        <v>8</v>
      </c>
      <c r="I3128">
        <v>0.231375</v>
      </c>
      <c r="J3128">
        <v>0.791875</v>
      </c>
      <c r="K3128">
        <v>0.5605</v>
      </c>
      <c r="L3128">
        <v>7</v>
      </c>
      <c r="M3128">
        <v>1</v>
      </c>
      <c r="N3128">
        <v>0</v>
      </c>
      <c r="O3128" t="s">
        <v>127</v>
      </c>
      <c r="P3128" t="s">
        <v>127</v>
      </c>
      <c r="Q3128" t="s">
        <v>127</v>
      </c>
    </row>
    <row r="3129" spans="1:17" x14ac:dyDescent="0.25">
      <c r="A3129" t="str">
        <f>IF(C3129&amp;G3129&amp;D3129&lt;&gt;'Funnel setup'!$K$3&amp;'Funnel setup'!$K$4&amp;'Funnel setup'!$K$6,".",IF(A3128=".",1,A3128+1))</f>
        <v>.</v>
      </c>
      <c r="B3129" s="244" t="str">
        <f t="shared" si="48"/>
        <v>Knee Replacement RevisionProviderEAST LANCASHIRE HOSPITALS NHS TRUST (RXR)EQ-5D Index</v>
      </c>
      <c r="C3129" t="s">
        <v>973</v>
      </c>
      <c r="D3129" t="s">
        <v>965</v>
      </c>
      <c r="E3129" t="s">
        <v>230</v>
      </c>
      <c r="F3129" t="s">
        <v>231</v>
      </c>
      <c r="G3129" t="s">
        <v>963</v>
      </c>
      <c r="H3129">
        <v>2</v>
      </c>
      <c r="I3129">
        <v>0.1575</v>
      </c>
      <c r="J3129">
        <v>0.63900000000000001</v>
      </c>
      <c r="K3129">
        <v>0.48149999999999998</v>
      </c>
      <c r="L3129">
        <v>2</v>
      </c>
      <c r="M3129">
        <v>0</v>
      </c>
      <c r="N3129">
        <v>0</v>
      </c>
      <c r="O3129" t="s">
        <v>127</v>
      </c>
      <c r="P3129" t="s">
        <v>127</v>
      </c>
      <c r="Q3129" t="s">
        <v>127</v>
      </c>
    </row>
    <row r="3130" spans="1:17" x14ac:dyDescent="0.25">
      <c r="A3130" t="str">
        <f>IF(C3130&amp;G3130&amp;D3130&lt;&gt;'Funnel setup'!$K$3&amp;'Funnel setup'!$K$4&amp;'Funnel setup'!$K$6,".",IF(A3129=".",1,A3129+1))</f>
        <v>.</v>
      </c>
      <c r="B3130" s="244" t="str">
        <f t="shared" si="48"/>
        <v>Knee Replacement RevisionProviderEAST SUFFOLK AND NORTH ESSEX NHS FOUNDATION TRUST (RDE)EQ-5D Index</v>
      </c>
      <c r="C3130" t="s">
        <v>973</v>
      </c>
      <c r="D3130" t="s">
        <v>965</v>
      </c>
      <c r="E3130" t="s">
        <v>232</v>
      </c>
      <c r="F3130" t="s">
        <v>233</v>
      </c>
      <c r="G3130" t="s">
        <v>963</v>
      </c>
      <c r="H3130">
        <v>3</v>
      </c>
      <c r="I3130">
        <v>0.44266699999999998</v>
      </c>
      <c r="J3130">
        <v>0.81699999999999995</v>
      </c>
      <c r="K3130">
        <v>0.37433300000000003</v>
      </c>
      <c r="L3130">
        <v>3</v>
      </c>
      <c r="M3130">
        <v>0</v>
      </c>
      <c r="N3130">
        <v>0</v>
      </c>
      <c r="O3130" t="s">
        <v>127</v>
      </c>
      <c r="P3130" t="s">
        <v>127</v>
      </c>
      <c r="Q3130" t="s">
        <v>127</v>
      </c>
    </row>
    <row r="3131" spans="1:17" x14ac:dyDescent="0.25">
      <c r="A3131" t="str">
        <f>IF(C3131&amp;G3131&amp;D3131&lt;&gt;'Funnel setup'!$K$3&amp;'Funnel setup'!$K$4&amp;'Funnel setup'!$K$6,".",IF(A3130=".",1,A3130+1))</f>
        <v>.</v>
      </c>
      <c r="B3131" s="244" t="str">
        <f t="shared" si="48"/>
        <v>Knee Replacement RevisionProviderEAST SUSSEX HEALTHCARE NHS TRUST (RXC)EQ-5D Index</v>
      </c>
      <c r="C3131" t="s">
        <v>973</v>
      </c>
      <c r="D3131" t="s">
        <v>965</v>
      </c>
      <c r="E3131" t="s">
        <v>234</v>
      </c>
      <c r="F3131" t="s">
        <v>235</v>
      </c>
      <c r="G3131" t="s">
        <v>963</v>
      </c>
      <c r="H3131">
        <v>4</v>
      </c>
      <c r="I3131">
        <v>0.32250000000000001</v>
      </c>
      <c r="J3131">
        <v>0.92274999999999996</v>
      </c>
      <c r="K3131">
        <v>0.60024999999999995</v>
      </c>
      <c r="L3131">
        <v>3</v>
      </c>
      <c r="M3131">
        <v>0</v>
      </c>
      <c r="N3131">
        <v>1</v>
      </c>
      <c r="O3131" t="s">
        <v>127</v>
      </c>
      <c r="P3131" t="s">
        <v>127</v>
      </c>
      <c r="Q3131" t="s">
        <v>127</v>
      </c>
    </row>
    <row r="3132" spans="1:17" x14ac:dyDescent="0.25">
      <c r="A3132" t="str">
        <f>IF(C3132&amp;G3132&amp;D3132&lt;&gt;'Funnel setup'!$K$3&amp;'Funnel setup'!$K$4&amp;'Funnel setup'!$K$6,".",IF(A3131=".",1,A3131+1))</f>
        <v>.</v>
      </c>
      <c r="B3132" s="244" t="str">
        <f t="shared" si="48"/>
        <v>Knee Replacement RevisionProviderEPSOM AND ST HELIER UNIVERSITY HOSPITALS NHS TRUST (RVR)EQ-5D Index</v>
      </c>
      <c r="C3132" t="s">
        <v>973</v>
      </c>
      <c r="D3132" t="s">
        <v>965</v>
      </c>
      <c r="E3132" t="s">
        <v>238</v>
      </c>
      <c r="F3132" t="s">
        <v>239</v>
      </c>
      <c r="G3132" t="s">
        <v>963</v>
      </c>
      <c r="H3132">
        <v>13</v>
      </c>
      <c r="I3132">
        <v>0.38400000000000001</v>
      </c>
      <c r="J3132">
        <v>0.60115399999999997</v>
      </c>
      <c r="K3132">
        <v>0.21715400000000001</v>
      </c>
      <c r="L3132">
        <v>10</v>
      </c>
      <c r="M3132">
        <v>1</v>
      </c>
      <c r="N3132">
        <v>2</v>
      </c>
      <c r="O3132" t="s">
        <v>127</v>
      </c>
      <c r="P3132" t="s">
        <v>127</v>
      </c>
      <c r="Q3132" t="s">
        <v>127</v>
      </c>
    </row>
    <row r="3133" spans="1:17" x14ac:dyDescent="0.25">
      <c r="A3133" t="str">
        <f>IF(C3133&amp;G3133&amp;D3133&lt;&gt;'Funnel setup'!$K$3&amp;'Funnel setup'!$K$4&amp;'Funnel setup'!$K$6,".",IF(A3132=".",1,A3132+1))</f>
        <v>.</v>
      </c>
      <c r="B3133" s="244" t="str">
        <f t="shared" si="48"/>
        <v>Knee Replacement RevisionProviderEUXTON HALL HOSPITAL (NVC05)EQ-5D Index</v>
      </c>
      <c r="C3133" t="s">
        <v>973</v>
      </c>
      <c r="D3133" t="s">
        <v>965</v>
      </c>
      <c r="E3133" t="s">
        <v>240</v>
      </c>
      <c r="F3133" t="s">
        <v>241</v>
      </c>
      <c r="G3133" t="s">
        <v>963</v>
      </c>
      <c r="H3133" t="s">
        <v>127</v>
      </c>
      <c r="I3133" t="s">
        <v>127</v>
      </c>
      <c r="J3133" t="s">
        <v>127</v>
      </c>
      <c r="K3133" t="s">
        <v>127</v>
      </c>
      <c r="L3133" t="s">
        <v>127</v>
      </c>
      <c r="M3133" t="s">
        <v>127</v>
      </c>
      <c r="N3133" t="s">
        <v>127</v>
      </c>
      <c r="O3133" t="s">
        <v>127</v>
      </c>
      <c r="P3133" t="s">
        <v>127</v>
      </c>
      <c r="Q3133" t="s">
        <v>127</v>
      </c>
    </row>
    <row r="3134" spans="1:17" x14ac:dyDescent="0.25">
      <c r="A3134" t="str">
        <f>IF(C3134&amp;G3134&amp;D3134&lt;&gt;'Funnel setup'!$K$3&amp;'Funnel setup'!$K$4&amp;'Funnel setup'!$K$6,".",IF(A3133=".",1,A3133+1))</f>
        <v>.</v>
      </c>
      <c r="B3134" s="244" t="str">
        <f t="shared" si="48"/>
        <v>Knee Replacement RevisionProviderFRIMLEY HEALTH NHS FOUNDATION TRUST (RDU)EQ-5D Index</v>
      </c>
      <c r="C3134" t="s">
        <v>973</v>
      </c>
      <c r="D3134" t="s">
        <v>965</v>
      </c>
      <c r="E3134" t="s">
        <v>248</v>
      </c>
      <c r="F3134" t="s">
        <v>249</v>
      </c>
      <c r="G3134" t="s">
        <v>963</v>
      </c>
      <c r="H3134">
        <v>7</v>
      </c>
      <c r="I3134">
        <v>0.40242899999999998</v>
      </c>
      <c r="J3134">
        <v>0.63742900000000002</v>
      </c>
      <c r="K3134">
        <v>0.23499999999999999</v>
      </c>
      <c r="L3134">
        <v>6</v>
      </c>
      <c r="M3134">
        <v>0</v>
      </c>
      <c r="N3134">
        <v>1</v>
      </c>
      <c r="O3134" t="s">
        <v>127</v>
      </c>
      <c r="P3134" t="s">
        <v>127</v>
      </c>
      <c r="Q3134" t="s">
        <v>127</v>
      </c>
    </row>
    <row r="3135" spans="1:17" x14ac:dyDescent="0.25">
      <c r="A3135" t="str">
        <f>IF(C3135&amp;G3135&amp;D3135&lt;&gt;'Funnel setup'!$K$3&amp;'Funnel setup'!$K$4&amp;'Funnel setup'!$K$6,".",IF(A3134=".",1,A3134+1))</f>
        <v>.</v>
      </c>
      <c r="B3135" s="244" t="str">
        <f t="shared" si="48"/>
        <v>Knee Replacement RevisionProviderGATESHEAD HEALTH NHS FOUNDATION TRUST (RR7)EQ-5D Index</v>
      </c>
      <c r="C3135" t="s">
        <v>973</v>
      </c>
      <c r="D3135" t="s">
        <v>965</v>
      </c>
      <c r="E3135" t="s">
        <v>252</v>
      </c>
      <c r="F3135" t="s">
        <v>253</v>
      </c>
      <c r="G3135" t="s">
        <v>963</v>
      </c>
      <c r="H3135">
        <v>3</v>
      </c>
      <c r="I3135">
        <v>0.43166700000000002</v>
      </c>
      <c r="J3135">
        <v>0.5</v>
      </c>
      <c r="K3135">
        <v>6.83333E-2</v>
      </c>
      <c r="L3135">
        <v>1</v>
      </c>
      <c r="M3135">
        <v>1</v>
      </c>
      <c r="N3135">
        <v>1</v>
      </c>
      <c r="O3135" t="s">
        <v>127</v>
      </c>
      <c r="P3135" t="s">
        <v>127</v>
      </c>
      <c r="Q3135" t="s">
        <v>127</v>
      </c>
    </row>
    <row r="3136" spans="1:17" x14ac:dyDescent="0.25">
      <c r="A3136" t="str">
        <f>IF(C3136&amp;G3136&amp;D3136&lt;&gt;'Funnel setup'!$K$3&amp;'Funnel setup'!$K$4&amp;'Funnel setup'!$K$6,".",IF(A3135=".",1,A3135+1))</f>
        <v>.</v>
      </c>
      <c r="B3136" s="244" t="str">
        <f t="shared" si="48"/>
        <v>Knee Replacement RevisionProviderGLOUCESTERSHIRE HOSPITALS NHS FOUNDATION TRUST (RTE)EQ-5D Index</v>
      </c>
      <c r="C3136" t="s">
        <v>973</v>
      </c>
      <c r="D3136" t="s">
        <v>965</v>
      </c>
      <c r="E3136" t="s">
        <v>256</v>
      </c>
      <c r="F3136" t="s">
        <v>257</v>
      </c>
      <c r="G3136" t="s">
        <v>963</v>
      </c>
      <c r="H3136">
        <v>1</v>
      </c>
      <c r="I3136">
        <v>-7.3999999999999996E-2</v>
      </c>
      <c r="J3136">
        <v>1</v>
      </c>
      <c r="K3136">
        <v>1.0740000000000001</v>
      </c>
      <c r="L3136">
        <v>1</v>
      </c>
      <c r="M3136">
        <v>0</v>
      </c>
      <c r="N3136">
        <v>0</v>
      </c>
      <c r="O3136" t="s">
        <v>127</v>
      </c>
      <c r="P3136" t="s">
        <v>127</v>
      </c>
      <c r="Q3136" t="s">
        <v>127</v>
      </c>
    </row>
    <row r="3137" spans="1:17" x14ac:dyDescent="0.25">
      <c r="A3137" t="str">
        <f>IF(C3137&amp;G3137&amp;D3137&lt;&gt;'Funnel setup'!$K$3&amp;'Funnel setup'!$K$4&amp;'Funnel setup'!$K$6,".",IF(A3136=".",1,A3136+1))</f>
        <v>.</v>
      </c>
      <c r="B3137" s="244" t="str">
        <f t="shared" si="48"/>
        <v>Knee Replacement RevisionProviderGORING HALL HOSPITAL (NT417)EQ-5D Index</v>
      </c>
      <c r="C3137" t="s">
        <v>973</v>
      </c>
      <c r="D3137" t="s">
        <v>965</v>
      </c>
      <c r="E3137" t="s">
        <v>258</v>
      </c>
      <c r="F3137" t="s">
        <v>259</v>
      </c>
      <c r="G3137" t="s">
        <v>963</v>
      </c>
      <c r="H3137">
        <v>1</v>
      </c>
      <c r="I3137">
        <v>0.159</v>
      </c>
      <c r="J3137">
        <v>0.79600000000000004</v>
      </c>
      <c r="K3137">
        <v>0.63700000000000001</v>
      </c>
      <c r="L3137">
        <v>1</v>
      </c>
      <c r="M3137">
        <v>0</v>
      </c>
      <c r="N3137">
        <v>0</v>
      </c>
      <c r="O3137" t="s">
        <v>127</v>
      </c>
      <c r="P3137" t="s">
        <v>127</v>
      </c>
      <c r="Q3137" t="s">
        <v>127</v>
      </c>
    </row>
    <row r="3138" spans="1:17" x14ac:dyDescent="0.25">
      <c r="A3138" t="str">
        <f>IF(C3138&amp;G3138&amp;D3138&lt;&gt;'Funnel setup'!$K$3&amp;'Funnel setup'!$K$4&amp;'Funnel setup'!$K$6,".",IF(A3137=".",1,A3137+1))</f>
        <v>.</v>
      </c>
      <c r="B3138" s="244" t="str">
        <f t="shared" ref="B3138:B3201" si="49">C3138&amp;D3138&amp;F3138&amp;G3138</f>
        <v>Knee Replacement RevisionProviderGUY'S AND ST THOMAS' NHS FOUNDATION TRUST (RJ1)EQ-5D Index</v>
      </c>
      <c r="C3138" t="s">
        <v>973</v>
      </c>
      <c r="D3138" t="s">
        <v>965</v>
      </c>
      <c r="E3138" t="s">
        <v>262</v>
      </c>
      <c r="F3138" t="s">
        <v>263</v>
      </c>
      <c r="G3138" t="s">
        <v>963</v>
      </c>
      <c r="H3138">
        <v>12</v>
      </c>
      <c r="I3138">
        <v>9.35E-2</v>
      </c>
      <c r="J3138">
        <v>0.26383299999999998</v>
      </c>
      <c r="K3138">
        <v>0.17033300000000001</v>
      </c>
      <c r="L3138">
        <v>4</v>
      </c>
      <c r="M3138">
        <v>4</v>
      </c>
      <c r="N3138">
        <v>4</v>
      </c>
      <c r="O3138" t="s">
        <v>127</v>
      </c>
      <c r="P3138" t="s">
        <v>127</v>
      </c>
      <c r="Q3138" t="s">
        <v>127</v>
      </c>
    </row>
    <row r="3139" spans="1:17" x14ac:dyDescent="0.25">
      <c r="A3139" t="str">
        <f>IF(C3139&amp;G3139&amp;D3139&lt;&gt;'Funnel setup'!$K$3&amp;'Funnel setup'!$K$4&amp;'Funnel setup'!$K$6,".",IF(A3138=".",1,A3138+1))</f>
        <v>.</v>
      </c>
      <c r="B3139" s="244" t="str">
        <f t="shared" si="49"/>
        <v>Knee Replacement RevisionProviderHAMPSHIRE CLINIC (NT418)EQ-5D Index</v>
      </c>
      <c r="C3139" t="s">
        <v>973</v>
      </c>
      <c r="D3139" t="s">
        <v>965</v>
      </c>
      <c r="E3139" t="s">
        <v>264</v>
      </c>
      <c r="F3139" t="s">
        <v>265</v>
      </c>
      <c r="G3139" t="s">
        <v>963</v>
      </c>
      <c r="H3139" t="s">
        <v>127</v>
      </c>
      <c r="I3139" t="s">
        <v>127</v>
      </c>
      <c r="J3139" t="s">
        <v>127</v>
      </c>
      <c r="K3139" t="s">
        <v>127</v>
      </c>
      <c r="L3139" t="s">
        <v>127</v>
      </c>
      <c r="M3139" t="s">
        <v>127</v>
      </c>
      <c r="N3139" t="s">
        <v>127</v>
      </c>
      <c r="O3139" t="s">
        <v>127</v>
      </c>
      <c r="P3139" t="s">
        <v>127</v>
      </c>
      <c r="Q3139" t="s">
        <v>127</v>
      </c>
    </row>
    <row r="3140" spans="1:17" x14ac:dyDescent="0.25">
      <c r="A3140" t="str">
        <f>IF(C3140&amp;G3140&amp;D3140&lt;&gt;'Funnel setup'!$K$3&amp;'Funnel setup'!$K$4&amp;'Funnel setup'!$K$6,".",IF(A3139=".",1,A3139+1))</f>
        <v>.</v>
      </c>
      <c r="B3140" s="244" t="str">
        <f t="shared" si="49"/>
        <v>Knee Replacement RevisionProviderHAMPSHIRE HOSPITALS NHS FOUNDATION TRUST (RN5)EQ-5D Index</v>
      </c>
      <c r="C3140" t="s">
        <v>973</v>
      </c>
      <c r="D3140" t="s">
        <v>965</v>
      </c>
      <c r="E3140" t="s">
        <v>266</v>
      </c>
      <c r="F3140" t="s">
        <v>267</v>
      </c>
      <c r="G3140" t="s">
        <v>963</v>
      </c>
      <c r="H3140">
        <v>1</v>
      </c>
      <c r="I3140">
        <v>0.69099999999999995</v>
      </c>
      <c r="J3140">
        <v>1</v>
      </c>
      <c r="K3140">
        <v>0.309</v>
      </c>
      <c r="L3140">
        <v>1</v>
      </c>
      <c r="M3140">
        <v>0</v>
      </c>
      <c r="N3140">
        <v>0</v>
      </c>
      <c r="O3140" t="s">
        <v>127</v>
      </c>
      <c r="P3140" t="s">
        <v>127</v>
      </c>
      <c r="Q3140" t="s">
        <v>127</v>
      </c>
    </row>
    <row r="3141" spans="1:17" x14ac:dyDescent="0.25">
      <c r="A3141" t="str">
        <f>IF(C3141&amp;G3141&amp;D3141&lt;&gt;'Funnel setup'!$K$3&amp;'Funnel setup'!$K$4&amp;'Funnel setup'!$K$6,".",IF(A3140=".",1,A3140+1))</f>
        <v>.</v>
      </c>
      <c r="B3141" s="244" t="str">
        <f t="shared" si="49"/>
        <v>Knee Replacement RevisionProviderHARROGATE AND DISTRICT NHS FOUNDATION TRUST (RCD)EQ-5D Index</v>
      </c>
      <c r="C3141" t="s">
        <v>973</v>
      </c>
      <c r="D3141" t="s">
        <v>965</v>
      </c>
      <c r="E3141" t="s">
        <v>270</v>
      </c>
      <c r="F3141" t="s">
        <v>271</v>
      </c>
      <c r="G3141" t="s">
        <v>963</v>
      </c>
      <c r="H3141">
        <v>9</v>
      </c>
      <c r="I3141">
        <v>0.32300000000000001</v>
      </c>
      <c r="J3141">
        <v>0.66622199999999998</v>
      </c>
      <c r="K3141">
        <v>0.34322200000000003</v>
      </c>
      <c r="L3141">
        <v>5</v>
      </c>
      <c r="M3141">
        <v>3</v>
      </c>
      <c r="N3141">
        <v>1</v>
      </c>
      <c r="O3141" t="s">
        <v>127</v>
      </c>
      <c r="P3141" t="s">
        <v>127</v>
      </c>
      <c r="Q3141" t="s">
        <v>127</v>
      </c>
    </row>
    <row r="3142" spans="1:17" x14ac:dyDescent="0.25">
      <c r="A3142" t="str">
        <f>IF(C3142&amp;G3142&amp;D3142&lt;&gt;'Funnel setup'!$K$3&amp;'Funnel setup'!$K$4&amp;'Funnel setup'!$K$6,".",IF(A3141=".",1,A3141+1))</f>
        <v>.</v>
      </c>
      <c r="B3142" s="244" t="str">
        <f t="shared" si="49"/>
        <v>Knee Replacement RevisionProviderHULL UNIVERSITY TEACHING HOSPITALS NHS TRUST (RWA)EQ-5D Index</v>
      </c>
      <c r="C3142" t="s">
        <v>973</v>
      </c>
      <c r="D3142" t="s">
        <v>965</v>
      </c>
      <c r="E3142" t="s">
        <v>278</v>
      </c>
      <c r="F3142" t="s">
        <v>279</v>
      </c>
      <c r="G3142" t="s">
        <v>963</v>
      </c>
      <c r="H3142">
        <v>4</v>
      </c>
      <c r="I3142">
        <v>0.38874999999999998</v>
      </c>
      <c r="J3142">
        <v>0.41475000000000001</v>
      </c>
      <c r="K3142">
        <v>2.5999999999999999E-2</v>
      </c>
      <c r="L3142">
        <v>1</v>
      </c>
      <c r="M3142">
        <v>1</v>
      </c>
      <c r="N3142">
        <v>2</v>
      </c>
      <c r="O3142" t="s">
        <v>127</v>
      </c>
      <c r="P3142" t="s">
        <v>127</v>
      </c>
      <c r="Q3142" t="s">
        <v>127</v>
      </c>
    </row>
    <row r="3143" spans="1:17" x14ac:dyDescent="0.25">
      <c r="A3143" t="str">
        <f>IF(C3143&amp;G3143&amp;D3143&lt;&gt;'Funnel setup'!$K$3&amp;'Funnel setup'!$K$4&amp;'Funnel setup'!$K$6,".",IF(A3142=".",1,A3142+1))</f>
        <v>.</v>
      </c>
      <c r="B3143" s="244" t="str">
        <f t="shared" si="49"/>
        <v>Knee Replacement RevisionProviderISLE OF WIGHT NHS TRUST (R1F)EQ-5D Index</v>
      </c>
      <c r="C3143" t="s">
        <v>973</v>
      </c>
      <c r="D3143" t="s">
        <v>965</v>
      </c>
      <c r="E3143" t="s">
        <v>282</v>
      </c>
      <c r="F3143" t="s">
        <v>283</v>
      </c>
      <c r="G3143" t="s">
        <v>963</v>
      </c>
      <c r="H3143">
        <v>1</v>
      </c>
      <c r="I3143">
        <v>0.159</v>
      </c>
      <c r="J3143">
        <v>-1.6E-2</v>
      </c>
      <c r="K3143">
        <v>-0.17499999999999999</v>
      </c>
      <c r="L3143">
        <v>0</v>
      </c>
      <c r="M3143">
        <v>0</v>
      </c>
      <c r="N3143">
        <v>1</v>
      </c>
      <c r="O3143" t="s">
        <v>127</v>
      </c>
      <c r="P3143" t="s">
        <v>127</v>
      </c>
      <c r="Q3143" t="s">
        <v>127</v>
      </c>
    </row>
    <row r="3144" spans="1:17" x14ac:dyDescent="0.25">
      <c r="A3144" t="str">
        <f>IF(C3144&amp;G3144&amp;D3144&lt;&gt;'Funnel setup'!$K$3&amp;'Funnel setup'!$K$4&amp;'Funnel setup'!$K$6,".",IF(A3143=".",1,A3143+1))</f>
        <v>.</v>
      </c>
      <c r="B3144" s="244" t="str">
        <f t="shared" si="49"/>
        <v>Knee Replacement RevisionProviderJAMES PAGET UNIVERSITY HOSPITALS NHS FOUNDATION TRUST (RGP)EQ-5D Index</v>
      </c>
      <c r="C3144" t="s">
        <v>973</v>
      </c>
      <c r="D3144" t="s">
        <v>965</v>
      </c>
      <c r="E3144" t="s">
        <v>284</v>
      </c>
      <c r="F3144" t="s">
        <v>285</v>
      </c>
      <c r="G3144" t="s">
        <v>963</v>
      </c>
      <c r="H3144">
        <v>5</v>
      </c>
      <c r="I3144">
        <v>0.47060000000000002</v>
      </c>
      <c r="J3144">
        <v>0.66059999999999997</v>
      </c>
      <c r="K3144">
        <v>0.19</v>
      </c>
      <c r="L3144">
        <v>4</v>
      </c>
      <c r="M3144">
        <v>1</v>
      </c>
      <c r="N3144">
        <v>0</v>
      </c>
      <c r="O3144" t="s">
        <v>127</v>
      </c>
      <c r="P3144" t="s">
        <v>127</v>
      </c>
      <c r="Q3144" t="s">
        <v>127</v>
      </c>
    </row>
    <row r="3145" spans="1:17" x14ac:dyDescent="0.25">
      <c r="A3145" t="str">
        <f>IF(C3145&amp;G3145&amp;D3145&lt;&gt;'Funnel setup'!$K$3&amp;'Funnel setup'!$K$4&amp;'Funnel setup'!$K$6,".",IF(A3144=".",1,A3144+1))</f>
        <v>.</v>
      </c>
      <c r="B3145" s="244" t="str">
        <f t="shared" si="49"/>
        <v>Knee Replacement RevisionProviderKETTERING GENERAL HOSPITAL NHS FOUNDATION TRUST (RNQ)EQ-5D Index</v>
      </c>
      <c r="C3145" t="s">
        <v>973</v>
      </c>
      <c r="D3145" t="s">
        <v>965</v>
      </c>
      <c r="E3145" t="s">
        <v>286</v>
      </c>
      <c r="F3145" t="s">
        <v>287</v>
      </c>
      <c r="G3145" t="s">
        <v>963</v>
      </c>
      <c r="H3145">
        <v>5</v>
      </c>
      <c r="I3145">
        <v>0.36159999999999998</v>
      </c>
      <c r="J3145">
        <v>0.56359999999999999</v>
      </c>
      <c r="K3145">
        <v>0.20200000000000001</v>
      </c>
      <c r="L3145">
        <v>3</v>
      </c>
      <c r="M3145">
        <v>0</v>
      </c>
      <c r="N3145">
        <v>2</v>
      </c>
      <c r="O3145" t="s">
        <v>127</v>
      </c>
      <c r="P3145" t="s">
        <v>127</v>
      </c>
      <c r="Q3145" t="s">
        <v>127</v>
      </c>
    </row>
    <row r="3146" spans="1:17" x14ac:dyDescent="0.25">
      <c r="A3146" t="str">
        <f>IF(C3146&amp;G3146&amp;D3146&lt;&gt;'Funnel setup'!$K$3&amp;'Funnel setup'!$K$4&amp;'Funnel setup'!$K$6,".",IF(A3145=".",1,A3145+1))</f>
        <v>.</v>
      </c>
      <c r="B3146" s="244" t="str">
        <f t="shared" si="49"/>
        <v>Knee Replacement RevisionProviderLANCASHIRE TEACHING HOSPITALS NHS FOUNDATION TRUST (RXN)EQ-5D Index</v>
      </c>
      <c r="C3146" t="s">
        <v>973</v>
      </c>
      <c r="D3146" t="s">
        <v>965</v>
      </c>
      <c r="E3146" t="s">
        <v>296</v>
      </c>
      <c r="F3146" t="s">
        <v>297</v>
      </c>
      <c r="G3146" t="s">
        <v>963</v>
      </c>
      <c r="H3146">
        <v>6</v>
      </c>
      <c r="I3146">
        <v>0.35533300000000001</v>
      </c>
      <c r="J3146">
        <v>0.77400000000000002</v>
      </c>
      <c r="K3146">
        <v>0.41866700000000001</v>
      </c>
      <c r="L3146">
        <v>6</v>
      </c>
      <c r="M3146">
        <v>0</v>
      </c>
      <c r="N3146">
        <v>0</v>
      </c>
      <c r="O3146" t="s">
        <v>127</v>
      </c>
      <c r="P3146" t="s">
        <v>127</v>
      </c>
      <c r="Q3146" t="s">
        <v>127</v>
      </c>
    </row>
    <row r="3147" spans="1:17" x14ac:dyDescent="0.25">
      <c r="A3147" t="str">
        <f>IF(C3147&amp;G3147&amp;D3147&lt;&gt;'Funnel setup'!$K$3&amp;'Funnel setup'!$K$4&amp;'Funnel setup'!$K$6,".",IF(A3146=".",1,A3146+1))</f>
        <v>.</v>
      </c>
      <c r="B3147" s="244" t="str">
        <f t="shared" si="49"/>
        <v>Knee Replacement RevisionProviderLEEDS TEACHING HOSPITALS NHS TRUST (RR8)EQ-5D Index</v>
      </c>
      <c r="C3147" t="s">
        <v>973</v>
      </c>
      <c r="D3147" t="s">
        <v>965</v>
      </c>
      <c r="E3147" t="s">
        <v>300</v>
      </c>
      <c r="F3147" t="s">
        <v>301</v>
      </c>
      <c r="G3147" t="s">
        <v>963</v>
      </c>
      <c r="H3147">
        <v>8</v>
      </c>
      <c r="I3147">
        <v>0.30075000000000002</v>
      </c>
      <c r="J3147">
        <v>0.486875</v>
      </c>
      <c r="K3147">
        <v>0.18612500000000001</v>
      </c>
      <c r="L3147">
        <v>5</v>
      </c>
      <c r="M3147">
        <v>0</v>
      </c>
      <c r="N3147">
        <v>3</v>
      </c>
      <c r="O3147" t="s">
        <v>127</v>
      </c>
      <c r="P3147" t="s">
        <v>127</v>
      </c>
      <c r="Q3147" t="s">
        <v>127</v>
      </c>
    </row>
    <row r="3148" spans="1:17" x14ac:dyDescent="0.25">
      <c r="A3148" t="str">
        <f>IF(C3148&amp;G3148&amp;D3148&lt;&gt;'Funnel setup'!$K$3&amp;'Funnel setup'!$K$4&amp;'Funnel setup'!$K$6,".",IF(A3147=".",1,A3147+1))</f>
        <v>.</v>
      </c>
      <c r="B3148" s="244" t="str">
        <f t="shared" si="49"/>
        <v>Knee Replacement RevisionProviderLINCOLN HOSPITAL (NT450)EQ-5D Index</v>
      </c>
      <c r="C3148" t="s">
        <v>973</v>
      </c>
      <c r="D3148" t="s">
        <v>965</v>
      </c>
      <c r="E3148" t="s">
        <v>304</v>
      </c>
      <c r="F3148" t="s">
        <v>305</v>
      </c>
      <c r="G3148" t="s">
        <v>963</v>
      </c>
      <c r="H3148" t="s">
        <v>127</v>
      </c>
      <c r="I3148" t="s">
        <v>127</v>
      </c>
      <c r="J3148" t="s">
        <v>127</v>
      </c>
      <c r="K3148" t="s">
        <v>127</v>
      </c>
      <c r="L3148" t="s">
        <v>127</v>
      </c>
      <c r="M3148" t="s">
        <v>127</v>
      </c>
      <c r="N3148" t="s">
        <v>127</v>
      </c>
      <c r="O3148" t="s">
        <v>127</v>
      </c>
      <c r="P3148" t="s">
        <v>127</v>
      </c>
      <c r="Q3148" t="s">
        <v>127</v>
      </c>
    </row>
    <row r="3149" spans="1:17" x14ac:dyDescent="0.25">
      <c r="A3149" t="str">
        <f>IF(C3149&amp;G3149&amp;D3149&lt;&gt;'Funnel setup'!$K$3&amp;'Funnel setup'!$K$4&amp;'Funnel setup'!$K$6,".",IF(A3148=".",1,A3148+1))</f>
        <v>.</v>
      </c>
      <c r="B3149" s="244" t="str">
        <f t="shared" si="49"/>
        <v>Knee Replacement RevisionProviderLIVERPOOL UNIVERSITY HOSPITALS NHS FOUNDATION TRUST (REM)EQ-5D Index</v>
      </c>
      <c r="C3149" t="s">
        <v>973</v>
      </c>
      <c r="D3149" t="s">
        <v>965</v>
      </c>
      <c r="E3149" t="s">
        <v>306</v>
      </c>
      <c r="F3149" t="s">
        <v>307</v>
      </c>
      <c r="G3149" t="s">
        <v>963</v>
      </c>
      <c r="H3149">
        <v>1</v>
      </c>
      <c r="I3149">
        <v>-0.23899999999999999</v>
      </c>
      <c r="J3149">
        <v>0.62</v>
      </c>
      <c r="K3149">
        <v>0.85899999999999999</v>
      </c>
      <c r="L3149">
        <v>1</v>
      </c>
      <c r="M3149">
        <v>0</v>
      </c>
      <c r="N3149">
        <v>0</v>
      </c>
      <c r="O3149" t="s">
        <v>127</v>
      </c>
      <c r="P3149" t="s">
        <v>127</v>
      </c>
      <c r="Q3149" t="s">
        <v>127</v>
      </c>
    </row>
    <row r="3150" spans="1:17" x14ac:dyDescent="0.25">
      <c r="A3150" t="str">
        <f>IF(C3150&amp;G3150&amp;D3150&lt;&gt;'Funnel setup'!$K$3&amp;'Funnel setup'!$K$4&amp;'Funnel setup'!$K$6,".",IF(A3149=".",1,A3149+1))</f>
        <v>.</v>
      </c>
      <c r="B3150" s="244" t="str">
        <f t="shared" si="49"/>
        <v>Knee Replacement RevisionProviderMAIDSTONE AND TUNBRIDGE WELLS NHS TRUST (RWF)EQ-5D Index</v>
      </c>
      <c r="C3150" t="s">
        <v>973</v>
      </c>
      <c r="D3150" t="s">
        <v>965</v>
      </c>
      <c r="E3150" t="s">
        <v>312</v>
      </c>
      <c r="F3150" t="s">
        <v>313</v>
      </c>
      <c r="G3150" t="s">
        <v>963</v>
      </c>
      <c r="H3150">
        <v>2</v>
      </c>
      <c r="I3150">
        <v>0.65549999999999997</v>
      </c>
      <c r="J3150">
        <v>0.69099999999999995</v>
      </c>
      <c r="K3150">
        <v>3.5499999999999997E-2</v>
      </c>
      <c r="L3150">
        <v>1</v>
      </c>
      <c r="M3150">
        <v>1</v>
      </c>
      <c r="N3150">
        <v>0</v>
      </c>
      <c r="O3150" t="s">
        <v>127</v>
      </c>
      <c r="P3150" t="s">
        <v>127</v>
      </c>
      <c r="Q3150" t="s">
        <v>127</v>
      </c>
    </row>
    <row r="3151" spans="1:17" x14ac:dyDescent="0.25">
      <c r="A3151" t="str">
        <f>IF(C3151&amp;G3151&amp;D3151&lt;&gt;'Funnel setup'!$K$3&amp;'Funnel setup'!$K$4&amp;'Funnel setup'!$K$6,".",IF(A3150=".",1,A3150+1))</f>
        <v>.</v>
      </c>
      <c r="B3151" s="244" t="str">
        <f t="shared" si="49"/>
        <v>Knee Replacement RevisionProviderMANCHESTER UNIVERSITY NHS FOUNDATION TRUST (R0A)EQ-5D Index</v>
      </c>
      <c r="C3151" t="s">
        <v>973</v>
      </c>
      <c r="D3151" t="s">
        <v>965</v>
      </c>
      <c r="E3151" t="s">
        <v>316</v>
      </c>
      <c r="F3151" t="s">
        <v>317</v>
      </c>
      <c r="G3151" t="s">
        <v>963</v>
      </c>
      <c r="H3151">
        <v>5</v>
      </c>
      <c r="I3151">
        <v>0.28100000000000003</v>
      </c>
      <c r="J3151">
        <v>0.66200000000000003</v>
      </c>
      <c r="K3151">
        <v>0.38100000000000001</v>
      </c>
      <c r="L3151">
        <v>4</v>
      </c>
      <c r="M3151">
        <v>1</v>
      </c>
      <c r="N3151">
        <v>0</v>
      </c>
      <c r="O3151" t="s">
        <v>127</v>
      </c>
      <c r="P3151" t="s">
        <v>127</v>
      </c>
      <c r="Q3151" t="s">
        <v>127</v>
      </c>
    </row>
    <row r="3152" spans="1:17" x14ac:dyDescent="0.25">
      <c r="A3152" t="str">
        <f>IF(C3152&amp;G3152&amp;D3152&lt;&gt;'Funnel setup'!$K$3&amp;'Funnel setup'!$K$4&amp;'Funnel setup'!$K$6,".",IF(A3151=".",1,A3151+1))</f>
        <v>.</v>
      </c>
      <c r="B3152" s="244" t="str">
        <f t="shared" si="49"/>
        <v>Knee Replacement RevisionProviderMEDWAY NHS FOUNDATION TRUST (RPA)EQ-5D Index</v>
      </c>
      <c r="C3152" t="s">
        <v>973</v>
      </c>
      <c r="D3152" t="s">
        <v>965</v>
      </c>
      <c r="E3152" t="s">
        <v>320</v>
      </c>
      <c r="F3152" t="s">
        <v>321</v>
      </c>
      <c r="G3152" t="s">
        <v>963</v>
      </c>
      <c r="H3152">
        <v>1</v>
      </c>
      <c r="I3152">
        <v>-1.6E-2</v>
      </c>
      <c r="J3152">
        <v>0.76</v>
      </c>
      <c r="K3152">
        <v>0.77600000000000002</v>
      </c>
      <c r="L3152">
        <v>1</v>
      </c>
      <c r="M3152">
        <v>0</v>
      </c>
      <c r="N3152">
        <v>0</v>
      </c>
      <c r="O3152" t="s">
        <v>127</v>
      </c>
      <c r="P3152" t="s">
        <v>127</v>
      </c>
      <c r="Q3152" t="s">
        <v>127</v>
      </c>
    </row>
    <row r="3153" spans="1:17" x14ac:dyDescent="0.25">
      <c r="A3153" t="str">
        <f>IF(C3153&amp;G3153&amp;D3153&lt;&gt;'Funnel setup'!$K$3&amp;'Funnel setup'!$K$4&amp;'Funnel setup'!$K$6,".",IF(A3152=".",1,A3152+1))</f>
        <v>.</v>
      </c>
      <c r="B3153" s="244" t="str">
        <f t="shared" si="49"/>
        <v>Knee Replacement RevisionProviderMID AND SOUTH ESSEX NHS FOUNDATION TRUST (RAJ)EQ-5D Index</v>
      </c>
      <c r="C3153" t="s">
        <v>973</v>
      </c>
      <c r="D3153" t="s">
        <v>965</v>
      </c>
      <c r="E3153" t="s">
        <v>324</v>
      </c>
      <c r="F3153" t="s">
        <v>325</v>
      </c>
      <c r="G3153" t="s">
        <v>963</v>
      </c>
      <c r="H3153">
        <v>4</v>
      </c>
      <c r="I3153">
        <v>0.10075000000000001</v>
      </c>
      <c r="J3153">
        <v>0.41475000000000001</v>
      </c>
      <c r="K3153">
        <v>0.314</v>
      </c>
      <c r="L3153">
        <v>3</v>
      </c>
      <c r="M3153">
        <v>1</v>
      </c>
      <c r="N3153">
        <v>0</v>
      </c>
      <c r="O3153" t="s">
        <v>127</v>
      </c>
      <c r="P3153" t="s">
        <v>127</v>
      </c>
      <c r="Q3153" t="s">
        <v>127</v>
      </c>
    </row>
    <row r="3154" spans="1:17" x14ac:dyDescent="0.25">
      <c r="A3154" t="str">
        <f>IF(C3154&amp;G3154&amp;D3154&lt;&gt;'Funnel setup'!$K$3&amp;'Funnel setup'!$K$4&amp;'Funnel setup'!$K$6,".",IF(A3153=".",1,A3153+1))</f>
        <v>.</v>
      </c>
      <c r="B3154" s="244" t="str">
        <f t="shared" si="49"/>
        <v>Knee Replacement RevisionProviderMID CHESHIRE HOSPITALS NHS FOUNDATION TRUST (RBT)EQ-5D Index</v>
      </c>
      <c r="C3154" t="s">
        <v>973</v>
      </c>
      <c r="D3154" t="s">
        <v>965</v>
      </c>
      <c r="E3154" t="s">
        <v>326</v>
      </c>
      <c r="F3154" t="s">
        <v>327</v>
      </c>
      <c r="G3154" t="s">
        <v>963</v>
      </c>
      <c r="H3154">
        <v>2</v>
      </c>
      <c r="I3154">
        <v>0.1575</v>
      </c>
      <c r="J3154">
        <v>0.65700000000000003</v>
      </c>
      <c r="K3154">
        <v>0.4995</v>
      </c>
      <c r="L3154">
        <v>2</v>
      </c>
      <c r="M3154">
        <v>0</v>
      </c>
      <c r="N3154">
        <v>0</v>
      </c>
      <c r="O3154" t="s">
        <v>127</v>
      </c>
      <c r="P3154" t="s">
        <v>127</v>
      </c>
      <c r="Q3154" t="s">
        <v>127</v>
      </c>
    </row>
    <row r="3155" spans="1:17" x14ac:dyDescent="0.25">
      <c r="A3155" t="str">
        <f>IF(C3155&amp;G3155&amp;D3155&lt;&gt;'Funnel setup'!$K$3&amp;'Funnel setup'!$K$4&amp;'Funnel setup'!$K$6,".",IF(A3154=".",1,A3154+1))</f>
        <v>.</v>
      </c>
      <c r="B3155" s="244" t="str">
        <f t="shared" si="49"/>
        <v>Knee Replacement RevisionProviderMID YORKSHIRE TEACHING NHS TRUST (RXF)EQ-5D Index</v>
      </c>
      <c r="C3155" t="s">
        <v>973</v>
      </c>
      <c r="D3155" t="s">
        <v>965</v>
      </c>
      <c r="E3155" t="s">
        <v>330</v>
      </c>
      <c r="F3155" t="s">
        <v>331</v>
      </c>
      <c r="G3155" t="s">
        <v>963</v>
      </c>
      <c r="H3155">
        <v>25</v>
      </c>
      <c r="I3155">
        <v>0.31940000000000002</v>
      </c>
      <c r="J3155">
        <v>0.70852000000000004</v>
      </c>
      <c r="K3155">
        <v>0.38912000000000002</v>
      </c>
      <c r="L3155">
        <v>21</v>
      </c>
      <c r="M3155">
        <v>2</v>
      </c>
      <c r="N3155">
        <v>2</v>
      </c>
      <c r="O3155" t="s">
        <v>127</v>
      </c>
      <c r="P3155" t="s">
        <v>127</v>
      </c>
      <c r="Q3155" t="s">
        <v>127</v>
      </c>
    </row>
    <row r="3156" spans="1:17" x14ac:dyDescent="0.25">
      <c r="A3156" t="str">
        <f>IF(C3156&amp;G3156&amp;D3156&lt;&gt;'Funnel setup'!$K$3&amp;'Funnel setup'!$K$4&amp;'Funnel setup'!$K$6,".",IF(A3155=".",1,A3155+1))</f>
        <v>.</v>
      </c>
      <c r="B3156" s="244" t="str">
        <f t="shared" si="49"/>
        <v>Knee Replacement RevisionProviderMILTON KEYNES UNIVERSITY HOSPITAL NHS FOUNDATION TRUST (RD8)EQ-5D Index</v>
      </c>
      <c r="C3156" t="s">
        <v>973</v>
      </c>
      <c r="D3156" t="s">
        <v>965</v>
      </c>
      <c r="E3156" t="s">
        <v>332</v>
      </c>
      <c r="F3156" t="s">
        <v>333</v>
      </c>
      <c r="G3156" t="s">
        <v>963</v>
      </c>
      <c r="H3156">
        <v>2</v>
      </c>
      <c r="I3156">
        <v>9.4500000000000001E-2</v>
      </c>
      <c r="J3156">
        <v>0.69</v>
      </c>
      <c r="K3156">
        <v>0.59550000000000003</v>
      </c>
      <c r="L3156">
        <v>2</v>
      </c>
      <c r="M3156">
        <v>0</v>
      </c>
      <c r="N3156">
        <v>0</v>
      </c>
      <c r="O3156" t="s">
        <v>127</v>
      </c>
      <c r="P3156" t="s">
        <v>127</v>
      </c>
      <c r="Q3156" t="s">
        <v>127</v>
      </c>
    </row>
    <row r="3157" spans="1:17" x14ac:dyDescent="0.25">
      <c r="A3157" t="str">
        <f>IF(C3157&amp;G3157&amp;D3157&lt;&gt;'Funnel setup'!$K$3&amp;'Funnel setup'!$K$4&amp;'Funnel setup'!$K$6,".",IF(A3156=".",1,A3156+1))</f>
        <v>.</v>
      </c>
      <c r="B3157" s="244" t="str">
        <f t="shared" si="49"/>
        <v>Knee Replacement RevisionProviderMOUNT STUART HOSPITAL (NVC08)EQ-5D Index</v>
      </c>
      <c r="C3157" t="s">
        <v>973</v>
      </c>
      <c r="D3157" t="s">
        <v>965</v>
      </c>
      <c r="E3157" t="s">
        <v>336</v>
      </c>
      <c r="F3157" t="s">
        <v>337</v>
      </c>
      <c r="G3157" t="s">
        <v>963</v>
      </c>
      <c r="H3157" t="s">
        <v>127</v>
      </c>
      <c r="I3157" t="s">
        <v>127</v>
      </c>
      <c r="J3157" t="s">
        <v>127</v>
      </c>
      <c r="K3157" t="s">
        <v>127</v>
      </c>
      <c r="L3157" t="s">
        <v>127</v>
      </c>
      <c r="M3157" t="s">
        <v>127</v>
      </c>
      <c r="N3157" t="s">
        <v>127</v>
      </c>
      <c r="O3157" t="s">
        <v>127</v>
      </c>
      <c r="P3157" t="s">
        <v>127</v>
      </c>
      <c r="Q3157" t="s">
        <v>127</v>
      </c>
    </row>
    <row r="3158" spans="1:17" x14ac:dyDescent="0.25">
      <c r="A3158" t="str">
        <f>IF(C3158&amp;G3158&amp;D3158&lt;&gt;'Funnel setup'!$K$3&amp;'Funnel setup'!$K$4&amp;'Funnel setup'!$K$6,".",IF(A3157=".",1,A3157+1))</f>
        <v>.</v>
      </c>
      <c r="B3158" s="244" t="str">
        <f t="shared" si="49"/>
        <v>Knee Replacement RevisionProviderNORFOLK AND NORWICH UNIVERSITY HOSPITALS NHS FOUNDATION TRUST (RM1)EQ-5D Index</v>
      </c>
      <c r="C3158" t="s">
        <v>973</v>
      </c>
      <c r="D3158" t="s">
        <v>965</v>
      </c>
      <c r="E3158" t="s">
        <v>340</v>
      </c>
      <c r="F3158" t="s">
        <v>341</v>
      </c>
      <c r="G3158" t="s">
        <v>963</v>
      </c>
      <c r="H3158">
        <v>13</v>
      </c>
      <c r="I3158">
        <v>0.248308</v>
      </c>
      <c r="J3158">
        <v>0.63500000000000001</v>
      </c>
      <c r="K3158">
        <v>0.38669199999999998</v>
      </c>
      <c r="L3158">
        <v>11</v>
      </c>
      <c r="M3158">
        <v>1</v>
      </c>
      <c r="N3158">
        <v>1</v>
      </c>
      <c r="O3158" t="s">
        <v>127</v>
      </c>
      <c r="P3158" t="s">
        <v>127</v>
      </c>
      <c r="Q3158" t="s">
        <v>127</v>
      </c>
    </row>
    <row r="3159" spans="1:17" x14ac:dyDescent="0.25">
      <c r="A3159" t="str">
        <f>IF(C3159&amp;G3159&amp;D3159&lt;&gt;'Funnel setup'!$K$3&amp;'Funnel setup'!$K$4&amp;'Funnel setup'!$K$6,".",IF(A3158=".",1,A3158+1))</f>
        <v>.</v>
      </c>
      <c r="B3159" s="244" t="str">
        <f t="shared" si="49"/>
        <v>Knee Replacement RevisionProviderNORTH BRISTOL NHS TRUST (RVJ)EQ-5D Index</v>
      </c>
      <c r="C3159" t="s">
        <v>973</v>
      </c>
      <c r="D3159" t="s">
        <v>965</v>
      </c>
      <c r="E3159" t="s">
        <v>342</v>
      </c>
      <c r="F3159" t="s">
        <v>343</v>
      </c>
      <c r="G3159" t="s">
        <v>963</v>
      </c>
      <c r="H3159">
        <v>2</v>
      </c>
      <c r="I3159">
        <v>0.67349999999999999</v>
      </c>
      <c r="J3159">
        <v>0.88949999999999996</v>
      </c>
      <c r="K3159">
        <v>0.216</v>
      </c>
      <c r="L3159">
        <v>2</v>
      </c>
      <c r="M3159">
        <v>0</v>
      </c>
      <c r="N3159">
        <v>0</v>
      </c>
      <c r="O3159" t="s">
        <v>127</v>
      </c>
      <c r="P3159" t="s">
        <v>127</v>
      </c>
      <c r="Q3159" t="s">
        <v>127</v>
      </c>
    </row>
    <row r="3160" spans="1:17" x14ac:dyDescent="0.25">
      <c r="A3160" t="str">
        <f>IF(C3160&amp;G3160&amp;D3160&lt;&gt;'Funnel setup'!$K$3&amp;'Funnel setup'!$K$4&amp;'Funnel setup'!$K$6,".",IF(A3159=".",1,A3159+1))</f>
        <v>.</v>
      </c>
      <c r="B3160" s="244" t="str">
        <f t="shared" si="49"/>
        <v>Knee Replacement RevisionProviderNORTH CUMBRIA INTEGRATED CARE NHS FOUNDATION TRUST (RNN)EQ-5D Index</v>
      </c>
      <c r="C3160" t="s">
        <v>973</v>
      </c>
      <c r="D3160" t="s">
        <v>965</v>
      </c>
      <c r="E3160" t="s">
        <v>344</v>
      </c>
      <c r="F3160" t="s">
        <v>345</v>
      </c>
      <c r="G3160" t="s">
        <v>963</v>
      </c>
      <c r="H3160">
        <v>3</v>
      </c>
      <c r="I3160">
        <v>0.20866699999999999</v>
      </c>
      <c r="J3160">
        <v>0.651667</v>
      </c>
      <c r="K3160">
        <v>0.443</v>
      </c>
      <c r="L3160">
        <v>3</v>
      </c>
      <c r="M3160">
        <v>0</v>
      </c>
      <c r="N3160">
        <v>0</v>
      </c>
      <c r="O3160" t="s">
        <v>127</v>
      </c>
      <c r="P3160" t="s">
        <v>127</v>
      </c>
      <c r="Q3160" t="s">
        <v>127</v>
      </c>
    </row>
    <row r="3161" spans="1:17" x14ac:dyDescent="0.25">
      <c r="A3161" t="str">
        <f>IF(C3161&amp;G3161&amp;D3161&lt;&gt;'Funnel setup'!$K$3&amp;'Funnel setup'!$K$4&amp;'Funnel setup'!$K$6,".",IF(A3160=".",1,A3160+1))</f>
        <v>.</v>
      </c>
      <c r="B3161" s="244" t="str">
        <f t="shared" si="49"/>
        <v>Knee Replacement RevisionProviderNORTH DOWNS HOSPITAL (NVC11)EQ-5D Index</v>
      </c>
      <c r="C3161" t="s">
        <v>973</v>
      </c>
      <c r="D3161" t="s">
        <v>965</v>
      </c>
      <c r="E3161" t="s">
        <v>348</v>
      </c>
      <c r="F3161" t="s">
        <v>349</v>
      </c>
      <c r="G3161" t="s">
        <v>963</v>
      </c>
      <c r="H3161" t="s">
        <v>127</v>
      </c>
      <c r="I3161" t="s">
        <v>127</v>
      </c>
      <c r="J3161" t="s">
        <v>127</v>
      </c>
      <c r="K3161" t="s">
        <v>127</v>
      </c>
      <c r="L3161" t="s">
        <v>127</v>
      </c>
      <c r="M3161" t="s">
        <v>127</v>
      </c>
      <c r="N3161" t="s">
        <v>127</v>
      </c>
      <c r="O3161" t="s">
        <v>127</v>
      </c>
      <c r="P3161" t="s">
        <v>127</v>
      </c>
      <c r="Q3161" t="s">
        <v>127</v>
      </c>
    </row>
    <row r="3162" spans="1:17" x14ac:dyDescent="0.25">
      <c r="A3162" t="str">
        <f>IF(C3162&amp;G3162&amp;D3162&lt;&gt;'Funnel setup'!$K$3&amp;'Funnel setup'!$K$4&amp;'Funnel setup'!$K$6,".",IF(A3161=".",1,A3161+1))</f>
        <v>.</v>
      </c>
      <c r="B3162" s="244" t="str">
        <f t="shared" si="49"/>
        <v>Knee Replacement RevisionProviderNORTH TEES AND HARTLEPOOL NHS FOUNDATION TRUST (RVW)EQ-5D Index</v>
      </c>
      <c r="C3162" t="s">
        <v>973</v>
      </c>
      <c r="D3162" t="s">
        <v>965</v>
      </c>
      <c r="E3162" t="s">
        <v>352</v>
      </c>
      <c r="F3162" t="s">
        <v>353</v>
      </c>
      <c r="G3162" t="s">
        <v>963</v>
      </c>
      <c r="H3162">
        <v>11</v>
      </c>
      <c r="I3162">
        <v>9.0999999999999998E-2</v>
      </c>
      <c r="J3162">
        <v>0.44227300000000003</v>
      </c>
      <c r="K3162">
        <v>0.351273</v>
      </c>
      <c r="L3162">
        <v>8</v>
      </c>
      <c r="M3162">
        <v>0</v>
      </c>
      <c r="N3162">
        <v>3</v>
      </c>
      <c r="O3162" t="s">
        <v>127</v>
      </c>
      <c r="P3162" t="s">
        <v>127</v>
      </c>
      <c r="Q3162" t="s">
        <v>127</v>
      </c>
    </row>
    <row r="3163" spans="1:17" x14ac:dyDescent="0.25">
      <c r="A3163" t="str">
        <f>IF(C3163&amp;G3163&amp;D3163&lt;&gt;'Funnel setup'!$K$3&amp;'Funnel setup'!$K$4&amp;'Funnel setup'!$K$6,".",IF(A3162=".",1,A3162+1))</f>
        <v>.</v>
      </c>
      <c r="B3163" s="244" t="str">
        <f t="shared" si="49"/>
        <v>Knee Replacement RevisionProviderNORTH WEST ANGLIA NHS FOUNDATION TRUST (RGN)EQ-5D Index</v>
      </c>
      <c r="C3163" t="s">
        <v>973</v>
      </c>
      <c r="D3163" t="s">
        <v>965</v>
      </c>
      <c r="E3163" t="s">
        <v>354</v>
      </c>
      <c r="F3163" t="s">
        <v>355</v>
      </c>
      <c r="G3163" t="s">
        <v>963</v>
      </c>
      <c r="H3163">
        <v>7</v>
      </c>
      <c r="I3163">
        <v>0.31857099999999999</v>
      </c>
      <c r="J3163">
        <v>0.74242900000000001</v>
      </c>
      <c r="K3163">
        <v>0.42385699999999998</v>
      </c>
      <c r="L3163">
        <v>7</v>
      </c>
      <c r="M3163">
        <v>0</v>
      </c>
      <c r="N3163">
        <v>0</v>
      </c>
      <c r="O3163" t="s">
        <v>127</v>
      </c>
      <c r="P3163" t="s">
        <v>127</v>
      </c>
      <c r="Q3163" t="s">
        <v>127</v>
      </c>
    </row>
    <row r="3164" spans="1:17" x14ac:dyDescent="0.25">
      <c r="A3164" t="str">
        <f>IF(C3164&amp;G3164&amp;D3164&lt;&gt;'Funnel setup'!$K$3&amp;'Funnel setup'!$K$4&amp;'Funnel setup'!$K$6,".",IF(A3163=".",1,A3163+1))</f>
        <v>.</v>
      </c>
      <c r="B3164" s="244" t="str">
        <f t="shared" si="49"/>
        <v>Knee Replacement RevisionProviderNORTHAMPTON GENERAL HOSPITAL NHS TRUST (RNS)EQ-5D Index</v>
      </c>
      <c r="C3164" t="s">
        <v>973</v>
      </c>
      <c r="D3164" t="s">
        <v>965</v>
      </c>
      <c r="E3164" t="s">
        <v>356</v>
      </c>
      <c r="F3164" t="s">
        <v>357</v>
      </c>
      <c r="G3164" t="s">
        <v>963</v>
      </c>
      <c r="H3164">
        <v>2</v>
      </c>
      <c r="I3164">
        <v>0.33750000000000002</v>
      </c>
      <c r="J3164">
        <v>0.67349999999999999</v>
      </c>
      <c r="K3164">
        <v>0.33600000000000002</v>
      </c>
      <c r="L3164">
        <v>2</v>
      </c>
      <c r="M3164">
        <v>0</v>
      </c>
      <c r="N3164">
        <v>0</v>
      </c>
      <c r="O3164" t="s">
        <v>127</v>
      </c>
      <c r="P3164" t="s">
        <v>127</v>
      </c>
      <c r="Q3164" t="s">
        <v>127</v>
      </c>
    </row>
    <row r="3165" spans="1:17" x14ac:dyDescent="0.25">
      <c r="A3165" t="str">
        <f>IF(C3165&amp;G3165&amp;D3165&lt;&gt;'Funnel setup'!$K$3&amp;'Funnel setup'!$K$4&amp;'Funnel setup'!$K$6,".",IF(A3164=".",1,A3164+1))</f>
        <v>.</v>
      </c>
      <c r="B3165" s="244" t="str">
        <f t="shared" si="49"/>
        <v>Knee Replacement RevisionProviderNORTHERN DEVON HEALTHCARE NHS TRUST (RBZ)EQ-5D Index</v>
      </c>
      <c r="C3165" t="s">
        <v>973</v>
      </c>
      <c r="D3165" t="s">
        <v>965</v>
      </c>
      <c r="E3165" t="s">
        <v>360</v>
      </c>
      <c r="F3165" t="s">
        <v>361</v>
      </c>
      <c r="G3165" t="s">
        <v>963</v>
      </c>
      <c r="H3165" t="s">
        <v>127</v>
      </c>
      <c r="I3165" t="s">
        <v>127</v>
      </c>
      <c r="J3165" t="s">
        <v>127</v>
      </c>
      <c r="K3165" t="s">
        <v>127</v>
      </c>
      <c r="L3165" t="s">
        <v>127</v>
      </c>
      <c r="M3165" t="s">
        <v>127</v>
      </c>
      <c r="N3165" t="s">
        <v>127</v>
      </c>
      <c r="O3165" t="s">
        <v>127</v>
      </c>
      <c r="P3165" t="s">
        <v>127</v>
      </c>
      <c r="Q3165" t="s">
        <v>127</v>
      </c>
    </row>
    <row r="3166" spans="1:17" x14ac:dyDescent="0.25">
      <c r="A3166" t="str">
        <f>IF(C3166&amp;G3166&amp;D3166&lt;&gt;'Funnel setup'!$K$3&amp;'Funnel setup'!$K$4&amp;'Funnel setup'!$K$6,".",IF(A3165=".",1,A3165+1))</f>
        <v>.</v>
      </c>
      <c r="B3166" s="244" t="str">
        <f t="shared" si="49"/>
        <v>Knee Replacement RevisionProviderNORTHERN LINCOLNSHIRE AND GOOLE NHS FOUNDATION TRUST (RJL)EQ-5D Index</v>
      </c>
      <c r="C3166" t="s">
        <v>973</v>
      </c>
      <c r="D3166" t="s">
        <v>965</v>
      </c>
      <c r="E3166" t="s">
        <v>362</v>
      </c>
      <c r="F3166" t="s">
        <v>363</v>
      </c>
      <c r="G3166" t="s">
        <v>963</v>
      </c>
      <c r="H3166">
        <v>3</v>
      </c>
      <c r="I3166">
        <v>0.20033300000000001</v>
      </c>
      <c r="J3166">
        <v>0.36233300000000002</v>
      </c>
      <c r="K3166">
        <v>0.16200000000000001</v>
      </c>
      <c r="L3166">
        <v>1</v>
      </c>
      <c r="M3166">
        <v>1</v>
      </c>
      <c r="N3166">
        <v>1</v>
      </c>
      <c r="O3166" t="s">
        <v>127</v>
      </c>
      <c r="P3166" t="s">
        <v>127</v>
      </c>
      <c r="Q3166" t="s">
        <v>127</v>
      </c>
    </row>
    <row r="3167" spans="1:17" x14ac:dyDescent="0.25">
      <c r="A3167" t="str">
        <f>IF(C3167&amp;G3167&amp;D3167&lt;&gt;'Funnel setup'!$K$3&amp;'Funnel setup'!$K$4&amp;'Funnel setup'!$K$6,".",IF(A3166=".",1,A3166+1))</f>
        <v>.</v>
      </c>
      <c r="B3167" s="244" t="str">
        <f t="shared" si="49"/>
        <v>Knee Replacement RevisionProviderNORTHUMBRIA HEALTHCARE NHS FOUNDATION TRUST (RTF)EQ-5D Index</v>
      </c>
      <c r="C3167" t="s">
        <v>973</v>
      </c>
      <c r="D3167" t="s">
        <v>965</v>
      </c>
      <c r="E3167" t="s">
        <v>364</v>
      </c>
      <c r="F3167" t="s">
        <v>365</v>
      </c>
      <c r="G3167" t="s">
        <v>963</v>
      </c>
      <c r="H3167">
        <v>9</v>
      </c>
      <c r="I3167">
        <v>0.25911099999999998</v>
      </c>
      <c r="J3167">
        <v>0.42799999999999999</v>
      </c>
      <c r="K3167">
        <v>0.16888900000000001</v>
      </c>
      <c r="L3167">
        <v>8</v>
      </c>
      <c r="M3167">
        <v>0</v>
      </c>
      <c r="N3167">
        <v>1</v>
      </c>
      <c r="O3167" t="s">
        <v>127</v>
      </c>
      <c r="P3167" t="s">
        <v>127</v>
      </c>
      <c r="Q3167" t="s">
        <v>127</v>
      </c>
    </row>
    <row r="3168" spans="1:17" x14ac:dyDescent="0.25">
      <c r="A3168" t="str">
        <f>IF(C3168&amp;G3168&amp;D3168&lt;&gt;'Funnel setup'!$K$3&amp;'Funnel setup'!$K$4&amp;'Funnel setup'!$K$6,".",IF(A3167=".",1,A3167+1))</f>
        <v>.</v>
      </c>
      <c r="B3168" s="244" t="str">
        <f t="shared" si="49"/>
        <v>Knee Replacement RevisionProviderNUFFIELD HEALTH, DERBY HOSPITAL (NT213)EQ-5D Index</v>
      </c>
      <c r="C3168" t="s">
        <v>973</v>
      </c>
      <c r="D3168" t="s">
        <v>965</v>
      </c>
      <c r="E3168" t="s">
        <v>382</v>
      </c>
      <c r="F3168" t="s">
        <v>383</v>
      </c>
      <c r="G3168" t="s">
        <v>963</v>
      </c>
      <c r="H3168">
        <v>3</v>
      </c>
      <c r="I3168">
        <v>0.69099999999999995</v>
      </c>
      <c r="J3168">
        <v>0.84099999999999997</v>
      </c>
      <c r="K3168">
        <v>0.15</v>
      </c>
      <c r="L3168">
        <v>3</v>
      </c>
      <c r="M3168">
        <v>0</v>
      </c>
      <c r="N3168">
        <v>0</v>
      </c>
      <c r="O3168" t="s">
        <v>127</v>
      </c>
      <c r="P3168" t="s">
        <v>127</v>
      </c>
      <c r="Q3168" t="s">
        <v>127</v>
      </c>
    </row>
    <row r="3169" spans="1:17" x14ac:dyDescent="0.25">
      <c r="A3169" t="str">
        <f>IF(C3169&amp;G3169&amp;D3169&lt;&gt;'Funnel setup'!$K$3&amp;'Funnel setup'!$K$4&amp;'Funnel setup'!$K$6,".",IF(A3168=".",1,A3168+1))</f>
        <v>.</v>
      </c>
      <c r="B3169" s="244" t="str">
        <f t="shared" si="49"/>
        <v>Knee Replacement RevisionProviderNUFFIELD HEALTH, LEEDS HOSPITAL (NT225)EQ-5D Index</v>
      </c>
      <c r="C3169" t="s">
        <v>973</v>
      </c>
      <c r="D3169" t="s">
        <v>965</v>
      </c>
      <c r="E3169" t="s">
        <v>392</v>
      </c>
      <c r="F3169" t="s">
        <v>393</v>
      </c>
      <c r="G3169" t="s">
        <v>963</v>
      </c>
      <c r="H3169" t="s">
        <v>127</v>
      </c>
      <c r="I3169" t="s">
        <v>127</v>
      </c>
      <c r="J3169" t="s">
        <v>127</v>
      </c>
      <c r="K3169" t="s">
        <v>127</v>
      </c>
      <c r="L3169" t="s">
        <v>127</v>
      </c>
      <c r="M3169" t="s">
        <v>127</v>
      </c>
      <c r="N3169" t="s">
        <v>127</v>
      </c>
      <c r="O3169" t="s">
        <v>127</v>
      </c>
      <c r="P3169" t="s">
        <v>127</v>
      </c>
      <c r="Q3169" t="s">
        <v>127</v>
      </c>
    </row>
    <row r="3170" spans="1:17" x14ac:dyDescent="0.25">
      <c r="A3170" t="str">
        <f>IF(C3170&amp;G3170&amp;D3170&lt;&gt;'Funnel setup'!$K$3&amp;'Funnel setup'!$K$4&amp;'Funnel setup'!$K$6,".",IF(A3169=".",1,A3169+1))</f>
        <v>.</v>
      </c>
      <c r="B3170" s="244" t="str">
        <f t="shared" si="49"/>
        <v>Knee Replacement RevisionProviderNUFFIELD HEALTH, NORTH STAFFORDSHIRE HOSPITAL (NT230)EQ-5D Index</v>
      </c>
      <c r="C3170" t="s">
        <v>973</v>
      </c>
      <c r="D3170" t="s">
        <v>965</v>
      </c>
      <c r="E3170" t="s">
        <v>398</v>
      </c>
      <c r="F3170" t="s">
        <v>399</v>
      </c>
      <c r="G3170" t="s">
        <v>963</v>
      </c>
      <c r="H3170" t="s">
        <v>127</v>
      </c>
      <c r="I3170" t="s">
        <v>127</v>
      </c>
      <c r="J3170" t="s">
        <v>127</v>
      </c>
      <c r="K3170" t="s">
        <v>127</v>
      </c>
      <c r="L3170" t="s">
        <v>127</v>
      </c>
      <c r="M3170" t="s">
        <v>127</v>
      </c>
      <c r="N3170" t="s">
        <v>127</v>
      </c>
      <c r="O3170" t="s">
        <v>127</v>
      </c>
      <c r="P3170" t="s">
        <v>127</v>
      </c>
      <c r="Q3170" t="s">
        <v>127</v>
      </c>
    </row>
    <row r="3171" spans="1:17" x14ac:dyDescent="0.25">
      <c r="A3171" t="str">
        <f>IF(C3171&amp;G3171&amp;D3171&lt;&gt;'Funnel setup'!$K$3&amp;'Funnel setup'!$K$4&amp;'Funnel setup'!$K$6,".",IF(A3170=".",1,A3170+1))</f>
        <v>.</v>
      </c>
      <c r="B3171" s="244" t="str">
        <f t="shared" si="49"/>
        <v>Knee Replacement RevisionProviderNUFFIELD HEALTH, PLYMOUTH HOSPITAL (NT233)EQ-5D Index</v>
      </c>
      <c r="C3171" t="s">
        <v>973</v>
      </c>
      <c r="D3171" t="s">
        <v>965</v>
      </c>
      <c r="E3171" t="s">
        <v>400</v>
      </c>
      <c r="F3171" t="s">
        <v>401</v>
      </c>
      <c r="G3171" t="s">
        <v>963</v>
      </c>
      <c r="H3171" t="s">
        <v>127</v>
      </c>
      <c r="I3171" t="s">
        <v>127</v>
      </c>
      <c r="J3171" t="s">
        <v>127</v>
      </c>
      <c r="K3171" t="s">
        <v>127</v>
      </c>
      <c r="L3171" t="s">
        <v>127</v>
      </c>
      <c r="M3171" t="s">
        <v>127</v>
      </c>
      <c r="N3171" t="s">
        <v>127</v>
      </c>
      <c r="O3171" t="s">
        <v>127</v>
      </c>
      <c r="P3171" t="s">
        <v>127</v>
      </c>
      <c r="Q3171" t="s">
        <v>127</v>
      </c>
    </row>
    <row r="3172" spans="1:17" x14ac:dyDescent="0.25">
      <c r="A3172" t="str">
        <f>IF(C3172&amp;G3172&amp;D3172&lt;&gt;'Funnel setup'!$K$3&amp;'Funnel setup'!$K$4&amp;'Funnel setup'!$K$6,".",IF(A3171=".",1,A3171+1))</f>
        <v>.</v>
      </c>
      <c r="B3172" s="244" t="str">
        <f t="shared" si="49"/>
        <v>Knee Replacement RevisionProviderNUFFIELD HEALTH, TEES HOSPITAL (NT237)EQ-5D Index</v>
      </c>
      <c r="C3172" t="s">
        <v>973</v>
      </c>
      <c r="D3172" t="s">
        <v>965</v>
      </c>
      <c r="E3172" t="s">
        <v>406</v>
      </c>
      <c r="F3172" t="s">
        <v>407</v>
      </c>
      <c r="G3172" t="s">
        <v>963</v>
      </c>
      <c r="H3172" t="s">
        <v>127</v>
      </c>
      <c r="I3172" t="s">
        <v>127</v>
      </c>
      <c r="J3172" t="s">
        <v>127</v>
      </c>
      <c r="K3172" t="s">
        <v>127</v>
      </c>
      <c r="L3172" t="s">
        <v>127</v>
      </c>
      <c r="M3172" t="s">
        <v>127</v>
      </c>
      <c r="N3172" t="s">
        <v>127</v>
      </c>
      <c r="O3172" t="s">
        <v>127</v>
      </c>
      <c r="P3172" t="s">
        <v>127</v>
      </c>
      <c r="Q3172" t="s">
        <v>127</v>
      </c>
    </row>
    <row r="3173" spans="1:17" x14ac:dyDescent="0.25">
      <c r="A3173" t="str">
        <f>IF(C3173&amp;G3173&amp;D3173&lt;&gt;'Funnel setup'!$K$3&amp;'Funnel setup'!$K$4&amp;'Funnel setup'!$K$6,".",IF(A3172=".",1,A3172+1))</f>
        <v>.</v>
      </c>
      <c r="B3173" s="244" t="str">
        <f t="shared" si="49"/>
        <v>Knee Replacement RevisionProviderNUFFIELD HEALTH, WARWICKSHIRE HOSPITAL (NT224)EQ-5D Index</v>
      </c>
      <c r="C3173" t="s">
        <v>973</v>
      </c>
      <c r="D3173" t="s">
        <v>965</v>
      </c>
      <c r="E3173" t="s">
        <v>412</v>
      </c>
      <c r="F3173" t="s">
        <v>413</v>
      </c>
      <c r="G3173" t="s">
        <v>963</v>
      </c>
      <c r="H3173" t="s">
        <v>127</v>
      </c>
      <c r="I3173" t="s">
        <v>127</v>
      </c>
      <c r="J3173" t="s">
        <v>127</v>
      </c>
      <c r="K3173" t="s">
        <v>127</v>
      </c>
      <c r="L3173" t="s">
        <v>127</v>
      </c>
      <c r="M3173" t="s">
        <v>127</v>
      </c>
      <c r="N3173" t="s">
        <v>127</v>
      </c>
      <c r="O3173" t="s">
        <v>127</v>
      </c>
      <c r="P3173" t="s">
        <v>127</v>
      </c>
      <c r="Q3173" t="s">
        <v>127</v>
      </c>
    </row>
    <row r="3174" spans="1:17" x14ac:dyDescent="0.25">
      <c r="A3174" t="str">
        <f>IF(C3174&amp;G3174&amp;D3174&lt;&gt;'Funnel setup'!$K$3&amp;'Funnel setup'!$K$4&amp;'Funnel setup'!$K$6,".",IF(A3173=".",1,A3173+1))</f>
        <v>.</v>
      </c>
      <c r="B3174" s="244" t="str">
        <f t="shared" si="49"/>
        <v>Knee Replacement RevisionProviderNUFFIELD HEALTH, YORK HOSPITAL (NT245)EQ-5D Index</v>
      </c>
      <c r="C3174" t="s">
        <v>973</v>
      </c>
      <c r="D3174" t="s">
        <v>965</v>
      </c>
      <c r="E3174" t="s">
        <v>420</v>
      </c>
      <c r="F3174" t="s">
        <v>421</v>
      </c>
      <c r="G3174" t="s">
        <v>963</v>
      </c>
      <c r="H3174">
        <v>3</v>
      </c>
      <c r="I3174">
        <v>0.655667</v>
      </c>
      <c r="J3174">
        <v>0.73233300000000001</v>
      </c>
      <c r="K3174">
        <v>7.6666700000000004E-2</v>
      </c>
      <c r="L3174">
        <v>2</v>
      </c>
      <c r="M3174">
        <v>0</v>
      </c>
      <c r="N3174">
        <v>1</v>
      </c>
      <c r="O3174" t="s">
        <v>127</v>
      </c>
      <c r="P3174" t="s">
        <v>127</v>
      </c>
      <c r="Q3174" t="s">
        <v>127</v>
      </c>
    </row>
    <row r="3175" spans="1:17" x14ac:dyDescent="0.25">
      <c r="A3175" t="str">
        <f>IF(C3175&amp;G3175&amp;D3175&lt;&gt;'Funnel setup'!$K$3&amp;'Funnel setup'!$K$4&amp;'Funnel setup'!$K$6,".",IF(A3174=".",1,A3174+1))</f>
        <v>.</v>
      </c>
      <c r="B3175" s="244" t="str">
        <f t="shared" si="49"/>
        <v>Knee Replacement RevisionProviderOXFORD UNIVERSITY HOSPITALS NHS FOUNDATION TRUST (RTH)EQ-5D Index</v>
      </c>
      <c r="C3175" t="s">
        <v>973</v>
      </c>
      <c r="D3175" t="s">
        <v>965</v>
      </c>
      <c r="E3175" t="s">
        <v>438</v>
      </c>
      <c r="F3175" t="s">
        <v>439</v>
      </c>
      <c r="G3175" t="s">
        <v>963</v>
      </c>
      <c r="H3175">
        <v>40</v>
      </c>
      <c r="I3175">
        <v>0.28484999999999999</v>
      </c>
      <c r="J3175">
        <v>0.64195000000000002</v>
      </c>
      <c r="K3175">
        <v>0.35709999999999997</v>
      </c>
      <c r="L3175">
        <v>32</v>
      </c>
      <c r="M3175">
        <v>4</v>
      </c>
      <c r="N3175">
        <v>4</v>
      </c>
      <c r="O3175">
        <v>0.61505900000000002</v>
      </c>
      <c r="P3175">
        <v>0.30310300000000001</v>
      </c>
      <c r="Q3175">
        <v>0.223056</v>
      </c>
    </row>
    <row r="3176" spans="1:17" x14ac:dyDescent="0.25">
      <c r="A3176" t="str">
        <f>IF(C3176&amp;G3176&amp;D3176&lt;&gt;'Funnel setup'!$K$3&amp;'Funnel setup'!$K$4&amp;'Funnel setup'!$K$6,".",IF(A3175=".",1,A3175+1))</f>
        <v>.</v>
      </c>
      <c r="B3176" s="244" t="str">
        <f t="shared" si="49"/>
        <v>Knee Replacement RevisionProviderPARK HILL HOSPITAL (NVC14)EQ-5D Index</v>
      </c>
      <c r="C3176" t="s">
        <v>973</v>
      </c>
      <c r="D3176" t="s">
        <v>965</v>
      </c>
      <c r="E3176" t="s">
        <v>440</v>
      </c>
      <c r="F3176" t="s">
        <v>441</v>
      </c>
      <c r="G3176" t="s">
        <v>963</v>
      </c>
      <c r="H3176" t="s">
        <v>127</v>
      </c>
      <c r="I3176" t="s">
        <v>127</v>
      </c>
      <c r="J3176" t="s">
        <v>127</v>
      </c>
      <c r="K3176" t="s">
        <v>127</v>
      </c>
      <c r="L3176" t="s">
        <v>127</v>
      </c>
      <c r="M3176" t="s">
        <v>127</v>
      </c>
      <c r="N3176" t="s">
        <v>127</v>
      </c>
      <c r="O3176" t="s">
        <v>127</v>
      </c>
      <c r="P3176" t="s">
        <v>127</v>
      </c>
      <c r="Q3176" t="s">
        <v>127</v>
      </c>
    </row>
    <row r="3177" spans="1:17" x14ac:dyDescent="0.25">
      <c r="A3177" t="str">
        <f>IF(C3177&amp;G3177&amp;D3177&lt;&gt;'Funnel setup'!$K$3&amp;'Funnel setup'!$K$4&amp;'Funnel setup'!$K$6,".",IF(A3176=".",1,A3176+1))</f>
        <v>.</v>
      </c>
      <c r="B3177" s="244" t="str">
        <f t="shared" si="49"/>
        <v>Knee Replacement RevisionProviderPORTSMOUTH HOSPITALS UNIVERSITY NATIONAL HEALTH SERVICE TRUST (RHU)EQ-5D Index</v>
      </c>
      <c r="C3177" t="s">
        <v>973</v>
      </c>
      <c r="D3177" t="s">
        <v>965</v>
      </c>
      <c r="E3177" t="s">
        <v>450</v>
      </c>
      <c r="F3177" t="s">
        <v>451</v>
      </c>
      <c r="G3177" t="s">
        <v>963</v>
      </c>
      <c r="H3177">
        <v>1</v>
      </c>
      <c r="I3177">
        <v>0.19500000000000001</v>
      </c>
      <c r="J3177">
        <v>0.69099999999999995</v>
      </c>
      <c r="K3177">
        <v>0.496</v>
      </c>
      <c r="L3177">
        <v>1</v>
      </c>
      <c r="M3177">
        <v>0</v>
      </c>
      <c r="N3177">
        <v>0</v>
      </c>
      <c r="O3177" t="s">
        <v>127</v>
      </c>
      <c r="P3177" t="s">
        <v>127</v>
      </c>
      <c r="Q3177" t="s">
        <v>127</v>
      </c>
    </row>
    <row r="3178" spans="1:17" x14ac:dyDescent="0.25">
      <c r="A3178" t="str">
        <f>IF(C3178&amp;G3178&amp;D3178&lt;&gt;'Funnel setup'!$K$3&amp;'Funnel setup'!$K$4&amp;'Funnel setup'!$K$6,".",IF(A3177=".",1,A3177+1))</f>
        <v>.</v>
      </c>
      <c r="B3178" s="244" t="str">
        <f t="shared" si="49"/>
        <v>Knee Replacement RevisionProviderPRACTICE PLUS GROUP HOSPITAL - BARLBOROUGH (NTP13)EQ-5D Index</v>
      </c>
      <c r="C3178" t="s">
        <v>973</v>
      </c>
      <c r="D3178" t="s">
        <v>965</v>
      </c>
      <c r="E3178" t="s">
        <v>452</v>
      </c>
      <c r="F3178" t="s">
        <v>453</v>
      </c>
      <c r="G3178" t="s">
        <v>963</v>
      </c>
      <c r="H3178" t="s">
        <v>127</v>
      </c>
      <c r="I3178" t="s">
        <v>127</v>
      </c>
      <c r="J3178" t="s">
        <v>127</v>
      </c>
      <c r="K3178" t="s">
        <v>127</v>
      </c>
      <c r="L3178" t="s">
        <v>127</v>
      </c>
      <c r="M3178" t="s">
        <v>127</v>
      </c>
      <c r="N3178" t="s">
        <v>127</v>
      </c>
      <c r="O3178" t="s">
        <v>127</v>
      </c>
      <c r="P3178" t="s">
        <v>127</v>
      </c>
      <c r="Q3178" t="s">
        <v>127</v>
      </c>
    </row>
    <row r="3179" spans="1:17" x14ac:dyDescent="0.25">
      <c r="A3179" t="str">
        <f>IF(C3179&amp;G3179&amp;D3179&lt;&gt;'Funnel setup'!$K$3&amp;'Funnel setup'!$K$4&amp;'Funnel setup'!$K$6,".",IF(A3178=".",1,A3178+1))</f>
        <v>.</v>
      </c>
      <c r="B3179" s="244" t="str">
        <f t="shared" si="49"/>
        <v>Knee Replacement RevisionProviderPRACTICE PLUS GROUP HOSPITAL - ILFORD (NTP15)EQ-5D Index</v>
      </c>
      <c r="C3179" t="s">
        <v>973</v>
      </c>
      <c r="D3179" t="s">
        <v>965</v>
      </c>
      <c r="E3179" t="s">
        <v>456</v>
      </c>
      <c r="F3179" t="s">
        <v>457</v>
      </c>
      <c r="G3179" t="s">
        <v>963</v>
      </c>
      <c r="H3179">
        <v>1</v>
      </c>
      <c r="I3179">
        <v>-7.3999999999999996E-2</v>
      </c>
      <c r="J3179">
        <v>0.58699999999999997</v>
      </c>
      <c r="K3179">
        <v>0.66100000000000003</v>
      </c>
      <c r="L3179">
        <v>1</v>
      </c>
      <c r="M3179">
        <v>0</v>
      </c>
      <c r="N3179">
        <v>0</v>
      </c>
      <c r="O3179" t="s">
        <v>127</v>
      </c>
      <c r="P3179" t="s">
        <v>127</v>
      </c>
      <c r="Q3179" t="s">
        <v>127</v>
      </c>
    </row>
    <row r="3180" spans="1:17" x14ac:dyDescent="0.25">
      <c r="A3180" t="str">
        <f>IF(C3180&amp;G3180&amp;D3180&lt;&gt;'Funnel setup'!$K$3&amp;'Funnel setup'!$K$4&amp;'Funnel setup'!$K$6,".",IF(A3179=".",1,A3179+1))</f>
        <v>.</v>
      </c>
      <c r="B3180" s="244" t="str">
        <f t="shared" si="49"/>
        <v>Knee Replacement RevisionProviderPRACTICE PLUS GROUP HOSPITAL - PLYMOUTH (NTPH5)EQ-5D Index</v>
      </c>
      <c r="C3180" t="s">
        <v>973</v>
      </c>
      <c r="D3180" t="s">
        <v>965</v>
      </c>
      <c r="E3180" t="s">
        <v>458</v>
      </c>
      <c r="F3180" t="s">
        <v>459</v>
      </c>
      <c r="G3180" t="s">
        <v>963</v>
      </c>
      <c r="H3180">
        <v>5</v>
      </c>
      <c r="I3180">
        <v>0.58040000000000003</v>
      </c>
      <c r="J3180">
        <v>0.6966</v>
      </c>
      <c r="K3180">
        <v>0.1162</v>
      </c>
      <c r="L3180">
        <v>2</v>
      </c>
      <c r="M3180">
        <v>1</v>
      </c>
      <c r="N3180">
        <v>2</v>
      </c>
      <c r="O3180" t="s">
        <v>127</v>
      </c>
      <c r="P3180" t="s">
        <v>127</v>
      </c>
      <c r="Q3180" t="s">
        <v>127</v>
      </c>
    </row>
    <row r="3181" spans="1:17" x14ac:dyDescent="0.25">
      <c r="A3181" t="str">
        <f>IF(C3181&amp;G3181&amp;D3181&lt;&gt;'Funnel setup'!$K$3&amp;'Funnel setup'!$K$4&amp;'Funnel setup'!$K$6,".",IF(A3180=".",1,A3180+1))</f>
        <v>.</v>
      </c>
      <c r="B3181" s="244" t="str">
        <f t="shared" si="49"/>
        <v>Knee Replacement RevisionProviderPRACTICE PLUS GROUP HOSPITAL - SOUTHAMPTON (NTP11)EQ-5D Index</v>
      </c>
      <c r="C3181" t="s">
        <v>973</v>
      </c>
      <c r="D3181" t="s">
        <v>965</v>
      </c>
      <c r="E3181" t="s">
        <v>462</v>
      </c>
      <c r="F3181" t="s">
        <v>463</v>
      </c>
      <c r="G3181" t="s">
        <v>963</v>
      </c>
      <c r="H3181">
        <v>1</v>
      </c>
      <c r="I3181">
        <v>0.22800000000000001</v>
      </c>
      <c r="J3181">
        <v>0.79600000000000004</v>
      </c>
      <c r="K3181">
        <v>0.56799999999999995</v>
      </c>
      <c r="L3181">
        <v>1</v>
      </c>
      <c r="M3181">
        <v>0</v>
      </c>
      <c r="N3181">
        <v>0</v>
      </c>
      <c r="O3181" t="s">
        <v>127</v>
      </c>
      <c r="P3181" t="s">
        <v>127</v>
      </c>
      <c r="Q3181" t="s">
        <v>127</v>
      </c>
    </row>
    <row r="3182" spans="1:17" x14ac:dyDescent="0.25">
      <c r="A3182" t="str">
        <f>IF(C3182&amp;G3182&amp;D3182&lt;&gt;'Funnel setup'!$K$3&amp;'Funnel setup'!$K$4&amp;'Funnel setup'!$K$6,".",IF(A3181=".",1,A3181+1))</f>
        <v>.</v>
      </c>
      <c r="B3182" s="244" t="str">
        <f t="shared" si="49"/>
        <v>Knee Replacement RevisionProviderPRIORY HOSPITAL (NT429)EQ-5D Index</v>
      </c>
      <c r="C3182" t="s">
        <v>973</v>
      </c>
      <c r="D3182" t="s">
        <v>965</v>
      </c>
      <c r="E3182" t="s">
        <v>466</v>
      </c>
      <c r="F3182" t="s">
        <v>467</v>
      </c>
      <c r="G3182" t="s">
        <v>963</v>
      </c>
      <c r="H3182" t="s">
        <v>127</v>
      </c>
      <c r="I3182" t="s">
        <v>127</v>
      </c>
      <c r="J3182" t="s">
        <v>127</v>
      </c>
      <c r="K3182" t="s">
        <v>127</v>
      </c>
      <c r="L3182" t="s">
        <v>127</v>
      </c>
      <c r="M3182" t="s">
        <v>127</v>
      </c>
      <c r="N3182" t="s">
        <v>127</v>
      </c>
      <c r="O3182" t="s">
        <v>127</v>
      </c>
      <c r="P3182" t="s">
        <v>127</v>
      </c>
      <c r="Q3182" t="s">
        <v>127</v>
      </c>
    </row>
    <row r="3183" spans="1:17" x14ac:dyDescent="0.25">
      <c r="A3183" t="str">
        <f>IF(C3183&amp;G3183&amp;D3183&lt;&gt;'Funnel setup'!$K$3&amp;'Funnel setup'!$K$4&amp;'Funnel setup'!$K$6,".",IF(A3182=".",1,A3182+1))</f>
        <v>.</v>
      </c>
      <c r="B3183" s="244" t="str">
        <f t="shared" si="49"/>
        <v>Knee Replacement RevisionProviderROWLEY HALL HOSPITAL (NVC17)EQ-5D Index</v>
      </c>
      <c r="C3183" t="s">
        <v>973</v>
      </c>
      <c r="D3183" t="s">
        <v>965</v>
      </c>
      <c r="E3183" t="s">
        <v>476</v>
      </c>
      <c r="F3183" t="s">
        <v>477</v>
      </c>
      <c r="G3183" t="s">
        <v>963</v>
      </c>
      <c r="H3183" t="s">
        <v>127</v>
      </c>
      <c r="I3183" t="s">
        <v>127</v>
      </c>
      <c r="J3183" t="s">
        <v>127</v>
      </c>
      <c r="K3183" t="s">
        <v>127</v>
      </c>
      <c r="L3183" t="s">
        <v>127</v>
      </c>
      <c r="M3183" t="s">
        <v>127</v>
      </c>
      <c r="N3183" t="s">
        <v>127</v>
      </c>
      <c r="O3183" t="s">
        <v>127</v>
      </c>
      <c r="P3183" t="s">
        <v>127</v>
      </c>
      <c r="Q3183" t="s">
        <v>127</v>
      </c>
    </row>
    <row r="3184" spans="1:17" x14ac:dyDescent="0.25">
      <c r="A3184" t="str">
        <f>IF(C3184&amp;G3184&amp;D3184&lt;&gt;'Funnel setup'!$K$3&amp;'Funnel setup'!$K$4&amp;'Funnel setup'!$K$6,".",IF(A3183=".",1,A3183+1))</f>
        <v>.</v>
      </c>
      <c r="B3184" s="244" t="str">
        <f t="shared" si="49"/>
        <v>Knee Replacement RevisionProviderROYAL CORNWALL HOSPITALS NHS TRUST (REF)EQ-5D Index</v>
      </c>
      <c r="C3184" t="s">
        <v>973</v>
      </c>
      <c r="D3184" t="s">
        <v>965</v>
      </c>
      <c r="E3184" t="s">
        <v>480</v>
      </c>
      <c r="F3184" t="s">
        <v>481</v>
      </c>
      <c r="G3184" t="s">
        <v>963</v>
      </c>
      <c r="H3184">
        <v>4</v>
      </c>
      <c r="I3184">
        <v>0.53200000000000003</v>
      </c>
      <c r="J3184">
        <v>0.76849999999999996</v>
      </c>
      <c r="K3184">
        <v>0.23649999999999999</v>
      </c>
      <c r="L3184">
        <v>2</v>
      </c>
      <c r="M3184">
        <v>2</v>
      </c>
      <c r="N3184">
        <v>0</v>
      </c>
      <c r="O3184" t="s">
        <v>127</v>
      </c>
      <c r="P3184" t="s">
        <v>127</v>
      </c>
      <c r="Q3184" t="s">
        <v>127</v>
      </c>
    </row>
    <row r="3185" spans="1:17" x14ac:dyDescent="0.25">
      <c r="A3185" t="str">
        <f>IF(C3185&amp;G3185&amp;D3185&lt;&gt;'Funnel setup'!$K$3&amp;'Funnel setup'!$K$4&amp;'Funnel setup'!$K$6,".",IF(A3184=".",1,A3184+1))</f>
        <v>.</v>
      </c>
      <c r="B3185" s="244" t="str">
        <f t="shared" si="49"/>
        <v>Knee Replacement RevisionProviderROYAL DEVON UNIVERSITY HEALTHCARE NHS FOUNDATION TRUST (RH8)EQ-5D Index</v>
      </c>
      <c r="C3185" t="s">
        <v>973</v>
      </c>
      <c r="D3185" t="s">
        <v>965</v>
      </c>
      <c r="E3185" t="s">
        <v>482</v>
      </c>
      <c r="F3185" t="s">
        <v>483</v>
      </c>
      <c r="G3185" t="s">
        <v>963</v>
      </c>
      <c r="H3185">
        <v>4</v>
      </c>
      <c r="I3185">
        <v>0.2555</v>
      </c>
      <c r="J3185">
        <v>0.49049999999999999</v>
      </c>
      <c r="K3185">
        <v>0.23499999999999999</v>
      </c>
      <c r="L3185">
        <v>4</v>
      </c>
      <c r="M3185">
        <v>0</v>
      </c>
      <c r="N3185">
        <v>0</v>
      </c>
      <c r="O3185" t="s">
        <v>127</v>
      </c>
      <c r="P3185" t="s">
        <v>127</v>
      </c>
      <c r="Q3185" t="s">
        <v>127</v>
      </c>
    </row>
    <row r="3186" spans="1:17" x14ac:dyDescent="0.25">
      <c r="A3186" t="str">
        <f>IF(C3186&amp;G3186&amp;D3186&lt;&gt;'Funnel setup'!$K$3&amp;'Funnel setup'!$K$4&amp;'Funnel setup'!$K$6,".",IF(A3185=".",1,A3185+1))</f>
        <v>.</v>
      </c>
      <c r="B3186" s="244" t="str">
        <f t="shared" si="49"/>
        <v>Knee Replacement RevisionProviderROYAL NATIONAL ORTHOPAEDIC HOSPITAL NHS TRUST (RAN)EQ-5D Index</v>
      </c>
      <c r="C3186" t="s">
        <v>973</v>
      </c>
      <c r="D3186" t="s">
        <v>965</v>
      </c>
      <c r="E3186" t="s">
        <v>486</v>
      </c>
      <c r="F3186" t="s">
        <v>487</v>
      </c>
      <c r="G3186" t="s">
        <v>963</v>
      </c>
      <c r="H3186">
        <v>27</v>
      </c>
      <c r="I3186">
        <v>0.43085200000000001</v>
      </c>
      <c r="J3186">
        <v>0.57485200000000003</v>
      </c>
      <c r="K3186">
        <v>0.14399999999999999</v>
      </c>
      <c r="L3186">
        <v>16</v>
      </c>
      <c r="M3186">
        <v>2</v>
      </c>
      <c r="N3186">
        <v>9</v>
      </c>
      <c r="O3186" t="s">
        <v>127</v>
      </c>
      <c r="P3186" t="s">
        <v>127</v>
      </c>
      <c r="Q3186" t="s">
        <v>127</v>
      </c>
    </row>
    <row r="3187" spans="1:17" x14ac:dyDescent="0.25">
      <c r="A3187" t="str">
        <f>IF(C3187&amp;G3187&amp;D3187&lt;&gt;'Funnel setup'!$K$3&amp;'Funnel setup'!$K$4&amp;'Funnel setup'!$K$6,".",IF(A3186=".",1,A3186+1))</f>
        <v>.</v>
      </c>
      <c r="B3187" s="244" t="str">
        <f t="shared" si="49"/>
        <v>Knee Replacement RevisionProviderROYAL UNITED HOSPITALS BATH NHS FOUNDATION TRUST (RD1)EQ-5D Index</v>
      </c>
      <c r="C3187" t="s">
        <v>973</v>
      </c>
      <c r="D3187" t="s">
        <v>965</v>
      </c>
      <c r="E3187" t="s">
        <v>490</v>
      </c>
      <c r="F3187" t="s">
        <v>491</v>
      </c>
      <c r="G3187" t="s">
        <v>963</v>
      </c>
      <c r="H3187">
        <v>1</v>
      </c>
      <c r="I3187">
        <v>-0.23899999999999999</v>
      </c>
      <c r="J3187">
        <v>0.186</v>
      </c>
      <c r="K3187">
        <v>0.42499999999999999</v>
      </c>
      <c r="L3187">
        <v>1</v>
      </c>
      <c r="M3187">
        <v>0</v>
      </c>
      <c r="N3187">
        <v>0</v>
      </c>
      <c r="O3187" t="s">
        <v>127</v>
      </c>
      <c r="P3187" t="s">
        <v>127</v>
      </c>
      <c r="Q3187" t="s">
        <v>127</v>
      </c>
    </row>
    <row r="3188" spans="1:17" x14ac:dyDescent="0.25">
      <c r="A3188" t="str">
        <f>IF(C3188&amp;G3188&amp;D3188&lt;&gt;'Funnel setup'!$K$3&amp;'Funnel setup'!$K$4&amp;'Funnel setup'!$K$6,".",IF(A3187=".",1,A3187+1))</f>
        <v>.</v>
      </c>
      <c r="B3188" s="244" t="str">
        <f t="shared" si="49"/>
        <v>Knee Replacement RevisionProviderSANDWELL AND WEST BIRMINGHAM HOSPITALS NHS TRUST (RXK)EQ-5D Index</v>
      </c>
      <c r="C3188" t="s">
        <v>973</v>
      </c>
      <c r="D3188" t="s">
        <v>965</v>
      </c>
      <c r="E3188" t="s">
        <v>496</v>
      </c>
      <c r="F3188" t="s">
        <v>497</v>
      </c>
      <c r="G3188" t="s">
        <v>963</v>
      </c>
      <c r="H3188">
        <v>4</v>
      </c>
      <c r="I3188">
        <v>0.36349999999999999</v>
      </c>
      <c r="J3188">
        <v>0.60375000000000001</v>
      </c>
      <c r="K3188">
        <v>0.24024999999999999</v>
      </c>
      <c r="L3188">
        <v>2</v>
      </c>
      <c r="M3188">
        <v>0</v>
      </c>
      <c r="N3188">
        <v>2</v>
      </c>
      <c r="O3188" t="s">
        <v>127</v>
      </c>
      <c r="P3188" t="s">
        <v>127</v>
      </c>
      <c r="Q3188" t="s">
        <v>127</v>
      </c>
    </row>
    <row r="3189" spans="1:17" x14ac:dyDescent="0.25">
      <c r="A3189" t="str">
        <f>IF(C3189&amp;G3189&amp;D3189&lt;&gt;'Funnel setup'!$K$3&amp;'Funnel setup'!$K$4&amp;'Funnel setup'!$K$6,".",IF(A3188=".",1,A3188+1))</f>
        <v>.</v>
      </c>
      <c r="B3189" s="244" t="str">
        <f t="shared" si="49"/>
        <v>Knee Replacement RevisionProviderSHEFFIELD TEACHING HOSPITALS NHS FOUNDATION TRUST (RHQ)EQ-5D Index</v>
      </c>
      <c r="C3189" t="s">
        <v>973</v>
      </c>
      <c r="D3189" t="s">
        <v>965</v>
      </c>
      <c r="E3189" t="s">
        <v>506</v>
      </c>
      <c r="F3189" t="s">
        <v>507</v>
      </c>
      <c r="G3189" t="s">
        <v>963</v>
      </c>
      <c r="H3189">
        <v>1</v>
      </c>
      <c r="I3189">
        <v>0.69099999999999995</v>
      </c>
      <c r="J3189">
        <v>0.69099999999999995</v>
      </c>
      <c r="K3189">
        <v>0</v>
      </c>
      <c r="L3189">
        <v>0</v>
      </c>
      <c r="M3189">
        <v>1</v>
      </c>
      <c r="N3189">
        <v>0</v>
      </c>
      <c r="O3189" t="s">
        <v>127</v>
      </c>
      <c r="P3189" t="s">
        <v>127</v>
      </c>
      <c r="Q3189" t="s">
        <v>127</v>
      </c>
    </row>
    <row r="3190" spans="1:17" x14ac:dyDescent="0.25">
      <c r="A3190" t="str">
        <f>IF(C3190&amp;G3190&amp;D3190&lt;&gt;'Funnel setup'!$K$3&amp;'Funnel setup'!$K$4&amp;'Funnel setup'!$K$6,".",IF(A3189=".",1,A3189+1))</f>
        <v>.</v>
      </c>
      <c r="B3190" s="244" t="str">
        <f t="shared" si="49"/>
        <v>Knee Replacement RevisionProviderSHERWOOD FOREST HOSPITALS NHS FOUNDATION TRUST (RK5)EQ-5D Index</v>
      </c>
      <c r="C3190" t="s">
        <v>973</v>
      </c>
      <c r="D3190" t="s">
        <v>965</v>
      </c>
      <c r="E3190" t="s">
        <v>508</v>
      </c>
      <c r="F3190" t="s">
        <v>509</v>
      </c>
      <c r="G3190" t="s">
        <v>963</v>
      </c>
      <c r="H3190">
        <v>2</v>
      </c>
      <c r="I3190">
        <v>9.2999999999999999E-2</v>
      </c>
      <c r="J3190">
        <v>0.75800000000000001</v>
      </c>
      <c r="K3190">
        <v>0.66500000000000004</v>
      </c>
      <c r="L3190">
        <v>2</v>
      </c>
      <c r="M3190">
        <v>0</v>
      </c>
      <c r="N3190">
        <v>0</v>
      </c>
      <c r="O3190" t="s">
        <v>127</v>
      </c>
      <c r="P3190" t="s">
        <v>127</v>
      </c>
      <c r="Q3190" t="s">
        <v>127</v>
      </c>
    </row>
    <row r="3191" spans="1:17" x14ac:dyDescent="0.25">
      <c r="A3191" t="str">
        <f>IF(C3191&amp;G3191&amp;D3191&lt;&gt;'Funnel setup'!$K$3&amp;'Funnel setup'!$K$4&amp;'Funnel setup'!$K$6,".",IF(A3190=".",1,A3190+1))</f>
        <v>.</v>
      </c>
      <c r="B3191" s="244" t="str">
        <f t="shared" si="49"/>
        <v>Knee Replacement RevisionProviderSOUTH TEES HOSPITALS NHS FOUNDATION TRUST (RTR)EQ-5D Index</v>
      </c>
      <c r="C3191" t="s">
        <v>973</v>
      </c>
      <c r="D3191" t="s">
        <v>965</v>
      </c>
      <c r="E3191" t="s">
        <v>516</v>
      </c>
      <c r="F3191" t="s">
        <v>517</v>
      </c>
      <c r="G3191" t="s">
        <v>963</v>
      </c>
      <c r="H3191">
        <v>8</v>
      </c>
      <c r="I3191">
        <v>0.32987499999999997</v>
      </c>
      <c r="J3191">
        <v>0.75512500000000005</v>
      </c>
      <c r="K3191">
        <v>0.42525000000000002</v>
      </c>
      <c r="L3191">
        <v>8</v>
      </c>
      <c r="M3191">
        <v>0</v>
      </c>
      <c r="N3191">
        <v>0</v>
      </c>
      <c r="O3191" t="s">
        <v>127</v>
      </c>
      <c r="P3191" t="s">
        <v>127</v>
      </c>
      <c r="Q3191" t="s">
        <v>127</v>
      </c>
    </row>
    <row r="3192" spans="1:17" x14ac:dyDescent="0.25">
      <c r="A3192" t="str">
        <f>IF(C3192&amp;G3192&amp;D3192&lt;&gt;'Funnel setup'!$K$3&amp;'Funnel setup'!$K$4&amp;'Funnel setup'!$K$6,".",IF(A3191=".",1,A3191+1))</f>
        <v>.</v>
      </c>
      <c r="B3192" s="244" t="str">
        <f t="shared" si="49"/>
        <v>Knee Replacement RevisionProviderSOUTH TYNESIDE AND SUNDERLAND NHS FOUNDATION TRUST (R0B)EQ-5D Index</v>
      </c>
      <c r="C3192" t="s">
        <v>973</v>
      </c>
      <c r="D3192" t="s">
        <v>965</v>
      </c>
      <c r="E3192" t="s">
        <v>518</v>
      </c>
      <c r="F3192" t="s">
        <v>519</v>
      </c>
      <c r="G3192" t="s">
        <v>963</v>
      </c>
      <c r="H3192">
        <v>1</v>
      </c>
      <c r="I3192">
        <v>-1.6E-2</v>
      </c>
      <c r="J3192">
        <v>-0.23899999999999999</v>
      </c>
      <c r="K3192">
        <v>-0.223</v>
      </c>
      <c r="L3192">
        <v>0</v>
      </c>
      <c r="M3192">
        <v>0</v>
      </c>
      <c r="N3192">
        <v>1</v>
      </c>
      <c r="O3192" t="s">
        <v>127</v>
      </c>
      <c r="P3192" t="s">
        <v>127</v>
      </c>
      <c r="Q3192" t="s">
        <v>127</v>
      </c>
    </row>
    <row r="3193" spans="1:17" x14ac:dyDescent="0.25">
      <c r="A3193" t="str">
        <f>IF(C3193&amp;G3193&amp;D3193&lt;&gt;'Funnel setup'!$K$3&amp;'Funnel setup'!$K$4&amp;'Funnel setup'!$K$6,".",IF(A3192=".",1,A3192+1))</f>
        <v>.</v>
      </c>
      <c r="B3193" s="244" t="str">
        <f t="shared" si="49"/>
        <v>Knee Replacement RevisionProviderSOUTH WARWICKSHIRE UNIVERSITY NHS FOUNDATION TRUST (RJC)EQ-5D Index</v>
      </c>
      <c r="C3193" t="s">
        <v>973</v>
      </c>
      <c r="D3193" t="s">
        <v>965</v>
      </c>
      <c r="E3193" t="s">
        <v>520</v>
      </c>
      <c r="F3193" t="s">
        <v>521</v>
      </c>
      <c r="G3193" t="s">
        <v>963</v>
      </c>
      <c r="H3193">
        <v>4</v>
      </c>
      <c r="I3193">
        <v>0.15775</v>
      </c>
      <c r="J3193">
        <v>0.91100000000000003</v>
      </c>
      <c r="K3193">
        <v>0.75324999999999998</v>
      </c>
      <c r="L3193">
        <v>4</v>
      </c>
      <c r="M3193">
        <v>0</v>
      </c>
      <c r="N3193">
        <v>0</v>
      </c>
      <c r="O3193" t="s">
        <v>127</v>
      </c>
      <c r="P3193" t="s">
        <v>127</v>
      </c>
      <c r="Q3193" t="s">
        <v>127</v>
      </c>
    </row>
    <row r="3194" spans="1:17" x14ac:dyDescent="0.25">
      <c r="A3194" t="str">
        <f>IF(C3194&amp;G3194&amp;D3194&lt;&gt;'Funnel setup'!$K$3&amp;'Funnel setup'!$K$4&amp;'Funnel setup'!$K$6,".",IF(A3193=".",1,A3193+1))</f>
        <v>.</v>
      </c>
      <c r="B3194" s="244" t="str">
        <f t="shared" si="49"/>
        <v>Knee Replacement RevisionProviderSPIRE FYLDE COAST HOSPITAL (NT347)EQ-5D Index</v>
      </c>
      <c r="C3194" t="s">
        <v>973</v>
      </c>
      <c r="D3194" t="s">
        <v>965</v>
      </c>
      <c r="E3194" t="s">
        <v>544</v>
      </c>
      <c r="F3194" t="s">
        <v>545</v>
      </c>
      <c r="G3194" t="s">
        <v>963</v>
      </c>
      <c r="H3194" t="s">
        <v>127</v>
      </c>
      <c r="I3194" t="s">
        <v>127</v>
      </c>
      <c r="J3194" t="s">
        <v>127</v>
      </c>
      <c r="K3194" t="s">
        <v>127</v>
      </c>
      <c r="L3194" t="s">
        <v>127</v>
      </c>
      <c r="M3194" t="s">
        <v>127</v>
      </c>
      <c r="N3194" t="s">
        <v>127</v>
      </c>
      <c r="O3194" t="s">
        <v>127</v>
      </c>
      <c r="P3194" t="s">
        <v>127</v>
      </c>
      <c r="Q3194" t="s">
        <v>127</v>
      </c>
    </row>
    <row r="3195" spans="1:17" x14ac:dyDescent="0.25">
      <c r="A3195" t="str">
        <f>IF(C3195&amp;G3195&amp;D3195&lt;&gt;'Funnel setup'!$K$3&amp;'Funnel setup'!$K$4&amp;'Funnel setup'!$K$6,".",IF(A3194=".",1,A3194+1))</f>
        <v>.</v>
      </c>
      <c r="B3195" s="244" t="str">
        <f t="shared" si="49"/>
        <v>Knee Replacement RevisionProviderSPIRE WASHINGTON HOSPITAL (NT333)EQ-5D Index</v>
      </c>
      <c r="C3195" t="s">
        <v>973</v>
      </c>
      <c r="D3195" t="s">
        <v>965</v>
      </c>
      <c r="E3195" t="s">
        <v>596</v>
      </c>
      <c r="F3195" t="s">
        <v>597</v>
      </c>
      <c r="G3195" t="s">
        <v>963</v>
      </c>
      <c r="H3195" t="s">
        <v>127</v>
      </c>
      <c r="I3195" t="s">
        <v>127</v>
      </c>
      <c r="J3195" t="s">
        <v>127</v>
      </c>
      <c r="K3195" t="s">
        <v>127</v>
      </c>
      <c r="L3195" t="s">
        <v>127</v>
      </c>
      <c r="M3195" t="s">
        <v>127</v>
      </c>
      <c r="N3195" t="s">
        <v>127</v>
      </c>
      <c r="O3195" t="s">
        <v>127</v>
      </c>
      <c r="P3195" t="s">
        <v>127</v>
      </c>
      <c r="Q3195" t="s">
        <v>127</v>
      </c>
    </row>
    <row r="3196" spans="1:17" x14ac:dyDescent="0.25">
      <c r="A3196" t="str">
        <f>IF(C3196&amp;G3196&amp;D3196&lt;&gt;'Funnel setup'!$K$3&amp;'Funnel setup'!$K$4&amp;'Funnel setup'!$K$6,".",IF(A3195=".",1,A3195+1))</f>
        <v>.</v>
      </c>
      <c r="B3196" s="244" t="str">
        <f t="shared" si="49"/>
        <v>Knee Replacement RevisionProviderSPRINGFIELD HOSPITAL (NVC18)EQ-5D Index</v>
      </c>
      <c r="C3196" t="s">
        <v>973</v>
      </c>
      <c r="D3196" t="s">
        <v>965</v>
      </c>
      <c r="E3196" t="s">
        <v>602</v>
      </c>
      <c r="F3196" t="s">
        <v>603</v>
      </c>
      <c r="G3196" t="s">
        <v>963</v>
      </c>
      <c r="H3196" t="s">
        <v>127</v>
      </c>
      <c r="I3196" t="s">
        <v>127</v>
      </c>
      <c r="J3196" t="s">
        <v>127</v>
      </c>
      <c r="K3196" t="s">
        <v>127</v>
      </c>
      <c r="L3196" t="s">
        <v>127</v>
      </c>
      <c r="M3196" t="s">
        <v>127</v>
      </c>
      <c r="N3196" t="s">
        <v>127</v>
      </c>
      <c r="O3196" t="s">
        <v>127</v>
      </c>
      <c r="P3196" t="s">
        <v>127</v>
      </c>
      <c r="Q3196" t="s">
        <v>127</v>
      </c>
    </row>
    <row r="3197" spans="1:17" x14ac:dyDescent="0.25">
      <c r="A3197" t="str">
        <f>IF(C3197&amp;G3197&amp;D3197&lt;&gt;'Funnel setup'!$K$3&amp;'Funnel setup'!$K$4&amp;'Funnel setup'!$K$6,".",IF(A3196=".",1,A3196+1))</f>
        <v>.</v>
      </c>
      <c r="B3197" s="244" t="str">
        <f t="shared" si="49"/>
        <v>Knee Replacement RevisionProviderST HELENS AND KNOWSLEY TEACHING HOSPITALS NHS TRUST (RBN)EQ-5D Index</v>
      </c>
      <c r="C3197" t="s">
        <v>973</v>
      </c>
      <c r="D3197" t="s">
        <v>965</v>
      </c>
      <c r="E3197" t="s">
        <v>608</v>
      </c>
      <c r="F3197" t="s">
        <v>609</v>
      </c>
      <c r="G3197" t="s">
        <v>963</v>
      </c>
      <c r="H3197">
        <v>4</v>
      </c>
      <c r="I3197">
        <v>7.7499999999999999E-2</v>
      </c>
      <c r="J3197">
        <v>0.61299999999999999</v>
      </c>
      <c r="K3197">
        <v>0.53549999999999998</v>
      </c>
      <c r="L3197">
        <v>4</v>
      </c>
      <c r="M3197">
        <v>0</v>
      </c>
      <c r="N3197">
        <v>0</v>
      </c>
      <c r="O3197" t="s">
        <v>127</v>
      </c>
      <c r="P3197" t="s">
        <v>127</v>
      </c>
      <c r="Q3197" t="s">
        <v>127</v>
      </c>
    </row>
    <row r="3198" spans="1:17" x14ac:dyDescent="0.25">
      <c r="A3198" t="str">
        <f>IF(C3198&amp;G3198&amp;D3198&lt;&gt;'Funnel setup'!$K$3&amp;'Funnel setup'!$K$4&amp;'Funnel setup'!$K$6,".",IF(A3197=".",1,A3197+1))</f>
        <v>.</v>
      </c>
      <c r="B3198" s="244" t="str">
        <f t="shared" si="49"/>
        <v>Knee Replacement RevisionProviderST HUGH'S HOSPITAL (NTE02)EQ-5D Index</v>
      </c>
      <c r="C3198" t="s">
        <v>973</v>
      </c>
      <c r="D3198" t="s">
        <v>965</v>
      </c>
      <c r="E3198" t="s">
        <v>610</v>
      </c>
      <c r="F3198" t="s">
        <v>611</v>
      </c>
      <c r="G3198" t="s">
        <v>963</v>
      </c>
      <c r="H3198">
        <v>2</v>
      </c>
      <c r="I3198">
        <v>0.38950000000000001</v>
      </c>
      <c r="J3198">
        <v>0.63800000000000001</v>
      </c>
      <c r="K3198">
        <v>0.2485</v>
      </c>
      <c r="L3198">
        <v>2</v>
      </c>
      <c r="M3198">
        <v>0</v>
      </c>
      <c r="N3198">
        <v>0</v>
      </c>
      <c r="O3198" t="s">
        <v>127</v>
      </c>
      <c r="P3198" t="s">
        <v>127</v>
      </c>
      <c r="Q3198" t="s">
        <v>127</v>
      </c>
    </row>
    <row r="3199" spans="1:17" x14ac:dyDescent="0.25">
      <c r="A3199" t="str">
        <f>IF(C3199&amp;G3199&amp;D3199&lt;&gt;'Funnel setup'!$K$3&amp;'Funnel setup'!$K$4&amp;'Funnel setup'!$K$6,".",IF(A3198=".",1,A3198+1))</f>
        <v>.</v>
      </c>
      <c r="B3199" s="244" t="str">
        <f t="shared" si="49"/>
        <v>Knee Replacement RevisionProviderSTOCKPORT NHS FOUNDATION TRUST (RWJ)EQ-5D Index</v>
      </c>
      <c r="C3199" t="s">
        <v>973</v>
      </c>
      <c r="D3199" t="s">
        <v>965</v>
      </c>
      <c r="E3199" t="s">
        <v>614</v>
      </c>
      <c r="F3199" t="s">
        <v>615</v>
      </c>
      <c r="G3199" t="s">
        <v>963</v>
      </c>
      <c r="H3199">
        <v>3</v>
      </c>
      <c r="I3199">
        <v>0.29233300000000001</v>
      </c>
      <c r="J3199">
        <v>0.51833300000000004</v>
      </c>
      <c r="K3199">
        <v>0.22600000000000001</v>
      </c>
      <c r="L3199">
        <v>2</v>
      </c>
      <c r="M3199">
        <v>0</v>
      </c>
      <c r="N3199">
        <v>1</v>
      </c>
      <c r="O3199" t="s">
        <v>127</v>
      </c>
      <c r="P3199" t="s">
        <v>127</v>
      </c>
      <c r="Q3199" t="s">
        <v>127</v>
      </c>
    </row>
    <row r="3200" spans="1:17" x14ac:dyDescent="0.25">
      <c r="A3200" t="str">
        <f>IF(C3200&amp;G3200&amp;D3200&lt;&gt;'Funnel setup'!$K$3&amp;'Funnel setup'!$K$4&amp;'Funnel setup'!$K$6,".",IF(A3199=".",1,A3199+1))</f>
        <v>.</v>
      </c>
      <c r="B3200" s="244" t="str">
        <f t="shared" si="49"/>
        <v>Knee Replacement RevisionProviderSURREY AND SUSSEX HEALTHCARE NHS TRUST (RTP)EQ-5D Index</v>
      </c>
      <c r="C3200" t="s">
        <v>973</v>
      </c>
      <c r="D3200" t="s">
        <v>965</v>
      </c>
      <c r="E3200" t="s">
        <v>618</v>
      </c>
      <c r="F3200" t="s">
        <v>619</v>
      </c>
      <c r="G3200" t="s">
        <v>963</v>
      </c>
      <c r="H3200">
        <v>2</v>
      </c>
      <c r="I3200">
        <v>9.1499999999999998E-2</v>
      </c>
      <c r="J3200">
        <v>0.65549999999999997</v>
      </c>
      <c r="K3200">
        <v>0.56399999999999995</v>
      </c>
      <c r="L3200">
        <v>2</v>
      </c>
      <c r="M3200">
        <v>0</v>
      </c>
      <c r="N3200">
        <v>0</v>
      </c>
      <c r="O3200" t="s">
        <v>127</v>
      </c>
      <c r="P3200" t="s">
        <v>127</v>
      </c>
      <c r="Q3200" t="s">
        <v>127</v>
      </c>
    </row>
    <row r="3201" spans="1:17" x14ac:dyDescent="0.25">
      <c r="A3201" t="str">
        <f>IF(C3201&amp;G3201&amp;D3201&lt;&gt;'Funnel setup'!$K$3&amp;'Funnel setup'!$K$4&amp;'Funnel setup'!$K$6,".",IF(A3200=".",1,A3200+1))</f>
        <v>.</v>
      </c>
      <c r="B3201" s="244" t="str">
        <f t="shared" si="49"/>
        <v>Knee Replacement RevisionProviderTEES VALLEY HOSPITAL (NVC0R)EQ-5D Index</v>
      </c>
      <c r="C3201" t="s">
        <v>973</v>
      </c>
      <c r="D3201" t="s">
        <v>965</v>
      </c>
      <c r="E3201" t="s">
        <v>624</v>
      </c>
      <c r="F3201" t="s">
        <v>625</v>
      </c>
      <c r="G3201" t="s">
        <v>963</v>
      </c>
      <c r="H3201" t="s">
        <v>127</v>
      </c>
      <c r="I3201" t="s">
        <v>127</v>
      </c>
      <c r="J3201" t="s">
        <v>127</v>
      </c>
      <c r="K3201" t="s">
        <v>127</v>
      </c>
      <c r="L3201" t="s">
        <v>127</v>
      </c>
      <c r="M3201" t="s">
        <v>127</v>
      </c>
      <c r="N3201" t="s">
        <v>127</v>
      </c>
      <c r="O3201" t="s">
        <v>127</v>
      </c>
      <c r="P3201" t="s">
        <v>127</v>
      </c>
      <c r="Q3201" t="s">
        <v>127</v>
      </c>
    </row>
    <row r="3202" spans="1:17" x14ac:dyDescent="0.25">
      <c r="A3202" t="str">
        <f>IF(C3202&amp;G3202&amp;D3202&lt;&gt;'Funnel setup'!$K$3&amp;'Funnel setup'!$K$4&amp;'Funnel setup'!$K$6,".",IF(A3201=".",1,A3201+1))</f>
        <v>.</v>
      </c>
      <c r="B3202" s="244" t="str">
        <f t="shared" ref="B3202:B3265" si="50">C3202&amp;D3202&amp;F3202&amp;G3202</f>
        <v>Knee Replacement RevisionProviderTHE CHERWELL HOSPITAL (NVC25)EQ-5D Index</v>
      </c>
      <c r="C3202" t="s">
        <v>973</v>
      </c>
      <c r="D3202" t="s">
        <v>965</v>
      </c>
      <c r="E3202" t="s">
        <v>628</v>
      </c>
      <c r="F3202" t="s">
        <v>629</v>
      </c>
      <c r="G3202" t="s">
        <v>963</v>
      </c>
      <c r="H3202">
        <v>7</v>
      </c>
      <c r="I3202">
        <v>0.41971399999999998</v>
      </c>
      <c r="J3202">
        <v>0.68785700000000005</v>
      </c>
      <c r="K3202">
        <v>0.26814300000000002</v>
      </c>
      <c r="L3202">
        <v>5</v>
      </c>
      <c r="M3202">
        <v>0</v>
      </c>
      <c r="N3202">
        <v>2</v>
      </c>
      <c r="O3202" t="s">
        <v>127</v>
      </c>
      <c r="P3202" t="s">
        <v>127</v>
      </c>
      <c r="Q3202" t="s">
        <v>127</v>
      </c>
    </row>
    <row r="3203" spans="1:17" x14ac:dyDescent="0.25">
      <c r="A3203" t="str">
        <f>IF(C3203&amp;G3203&amp;D3203&lt;&gt;'Funnel setup'!$K$3&amp;'Funnel setup'!$K$4&amp;'Funnel setup'!$K$6,".",IF(A3202=".",1,A3202+1))</f>
        <v>.</v>
      </c>
      <c r="B3203" s="244" t="str">
        <f t="shared" si="50"/>
        <v>Knee Replacement RevisionProviderTHE HILLINGDON HOSPITALS NHS FOUNDATION TRUST (RAS)EQ-5D Index</v>
      </c>
      <c r="C3203" t="s">
        <v>973</v>
      </c>
      <c r="D3203" t="s">
        <v>965</v>
      </c>
      <c r="E3203" t="s">
        <v>632</v>
      </c>
      <c r="F3203" t="s">
        <v>633</v>
      </c>
      <c r="G3203" t="s">
        <v>963</v>
      </c>
      <c r="H3203">
        <v>5</v>
      </c>
      <c r="I3203">
        <v>0.57299999999999995</v>
      </c>
      <c r="J3203">
        <v>0.59160000000000001</v>
      </c>
      <c r="K3203">
        <v>1.8599999999999998E-2</v>
      </c>
      <c r="L3203">
        <v>2</v>
      </c>
      <c r="M3203">
        <v>2</v>
      </c>
      <c r="N3203">
        <v>1</v>
      </c>
      <c r="O3203" t="s">
        <v>127</v>
      </c>
      <c r="P3203" t="s">
        <v>127</v>
      </c>
      <c r="Q3203" t="s">
        <v>127</v>
      </c>
    </row>
    <row r="3204" spans="1:17" x14ac:dyDescent="0.25">
      <c r="A3204" t="str">
        <f>IF(C3204&amp;G3204&amp;D3204&lt;&gt;'Funnel setup'!$K$3&amp;'Funnel setup'!$K$4&amp;'Funnel setup'!$K$6,".",IF(A3203=".",1,A3203+1))</f>
        <v>.</v>
      </c>
      <c r="B3204" s="244" t="str">
        <f t="shared" si="50"/>
        <v>Knee Replacement RevisionProviderTHE HORDER CENTRE - ST JOHNS ROAD (NXM01)EQ-5D Index</v>
      </c>
      <c r="C3204" t="s">
        <v>973</v>
      </c>
      <c r="D3204" t="s">
        <v>965</v>
      </c>
      <c r="E3204" t="s">
        <v>634</v>
      </c>
      <c r="F3204" t="s">
        <v>635</v>
      </c>
      <c r="G3204" t="s">
        <v>963</v>
      </c>
      <c r="H3204">
        <v>5</v>
      </c>
      <c r="I3204">
        <v>0.46700000000000003</v>
      </c>
      <c r="J3204">
        <v>0.67420000000000002</v>
      </c>
      <c r="K3204">
        <v>0.2072</v>
      </c>
      <c r="L3204">
        <v>4</v>
      </c>
      <c r="M3204">
        <v>1</v>
      </c>
      <c r="N3204">
        <v>0</v>
      </c>
      <c r="O3204" t="s">
        <v>127</v>
      </c>
      <c r="P3204" t="s">
        <v>127</v>
      </c>
      <c r="Q3204" t="s">
        <v>127</v>
      </c>
    </row>
    <row r="3205" spans="1:17" x14ac:dyDescent="0.25">
      <c r="A3205" t="str">
        <f>IF(C3205&amp;G3205&amp;D3205&lt;&gt;'Funnel setup'!$K$3&amp;'Funnel setup'!$K$4&amp;'Funnel setup'!$K$6,".",IF(A3204=".",1,A3204+1))</f>
        <v>.</v>
      </c>
      <c r="B3205" s="244" t="str">
        <f t="shared" si="50"/>
        <v>Knee Replacement RevisionProviderTHE PRINCESS ALEXANDRA HOSPITAL NHS TRUST (RQW)EQ-5D Index</v>
      </c>
      <c r="C3205" t="s">
        <v>973</v>
      </c>
      <c r="D3205" t="s">
        <v>965</v>
      </c>
      <c r="E3205" t="s">
        <v>640</v>
      </c>
      <c r="F3205" t="s">
        <v>641</v>
      </c>
      <c r="G3205" t="s">
        <v>963</v>
      </c>
      <c r="H3205" t="s">
        <v>968</v>
      </c>
      <c r="I3205" t="s">
        <v>968</v>
      </c>
      <c r="J3205" t="s">
        <v>968</v>
      </c>
      <c r="K3205" t="s">
        <v>968</v>
      </c>
      <c r="L3205" t="s">
        <v>968</v>
      </c>
      <c r="M3205" t="s">
        <v>968</v>
      </c>
      <c r="N3205" t="s">
        <v>968</v>
      </c>
      <c r="O3205" t="s">
        <v>968</v>
      </c>
      <c r="P3205" t="s">
        <v>968</v>
      </c>
      <c r="Q3205" t="s">
        <v>968</v>
      </c>
    </row>
    <row r="3206" spans="1:17" x14ac:dyDescent="0.25">
      <c r="A3206" t="str">
        <f>IF(C3206&amp;G3206&amp;D3206&lt;&gt;'Funnel setup'!$K$3&amp;'Funnel setup'!$K$4&amp;'Funnel setup'!$K$6,".",IF(A3205=".",1,A3205+1))</f>
        <v>.</v>
      </c>
      <c r="B3206" s="244" t="str">
        <f t="shared" si="50"/>
        <v>Knee Replacement RevisionProviderTHE QUEEN ELIZABETH HOSPITAL, KING'S LYNN, NHS FOUNDATION TRUST (RCX)EQ-5D Index</v>
      </c>
      <c r="C3206" t="s">
        <v>973</v>
      </c>
      <c r="D3206" t="s">
        <v>965</v>
      </c>
      <c r="E3206" t="s">
        <v>644</v>
      </c>
      <c r="F3206" t="s">
        <v>645</v>
      </c>
      <c r="G3206" t="s">
        <v>963</v>
      </c>
      <c r="H3206">
        <v>3</v>
      </c>
      <c r="I3206">
        <v>0.45533299999999999</v>
      </c>
      <c r="J3206">
        <v>0.48899999999999999</v>
      </c>
      <c r="K3206">
        <v>3.3666700000000001E-2</v>
      </c>
      <c r="L3206">
        <v>1</v>
      </c>
      <c r="M3206">
        <v>1</v>
      </c>
      <c r="N3206">
        <v>1</v>
      </c>
      <c r="O3206" t="s">
        <v>127</v>
      </c>
      <c r="P3206" t="s">
        <v>127</v>
      </c>
      <c r="Q3206" t="s">
        <v>127</v>
      </c>
    </row>
    <row r="3207" spans="1:17" x14ac:dyDescent="0.25">
      <c r="A3207" t="str">
        <f>IF(C3207&amp;G3207&amp;D3207&lt;&gt;'Funnel setup'!$K$3&amp;'Funnel setup'!$K$4&amp;'Funnel setup'!$K$6,".",IF(A3206=".",1,A3206+1))</f>
        <v>.</v>
      </c>
      <c r="B3207" s="244" t="str">
        <f t="shared" si="50"/>
        <v>Knee Replacement RevisionProviderTHE ROBERT JONES AND AGNES HUNT ORTHOPAEDIC HOSPITAL NHS FOUNDATION TRUST (RL1)EQ-5D Index</v>
      </c>
      <c r="C3207" t="s">
        <v>973</v>
      </c>
      <c r="D3207" t="s">
        <v>965</v>
      </c>
      <c r="E3207" t="s">
        <v>646</v>
      </c>
      <c r="F3207" t="s">
        <v>647</v>
      </c>
      <c r="G3207" t="s">
        <v>963</v>
      </c>
      <c r="H3207">
        <v>33</v>
      </c>
      <c r="I3207">
        <v>0.33230300000000002</v>
      </c>
      <c r="J3207">
        <v>0.63112100000000004</v>
      </c>
      <c r="K3207">
        <v>0.29881799999999997</v>
      </c>
      <c r="L3207">
        <v>24</v>
      </c>
      <c r="M3207">
        <v>4</v>
      </c>
      <c r="N3207">
        <v>5</v>
      </c>
      <c r="O3207">
        <v>0.61912999999999996</v>
      </c>
      <c r="P3207">
        <v>0.307174</v>
      </c>
      <c r="Q3207">
        <v>0.29264899999999999</v>
      </c>
    </row>
    <row r="3208" spans="1:17" x14ac:dyDescent="0.25">
      <c r="A3208" t="str">
        <f>IF(C3208&amp;G3208&amp;D3208&lt;&gt;'Funnel setup'!$K$3&amp;'Funnel setup'!$K$4&amp;'Funnel setup'!$K$6,".",IF(A3207=".",1,A3207+1))</f>
        <v>.</v>
      </c>
      <c r="B3208" s="244" t="str">
        <f t="shared" si="50"/>
        <v>Knee Replacement RevisionProviderTHE ROYAL ORTHOPAEDIC HOSPITAL NHS FOUNDATION TRUST (RRJ)EQ-5D Index</v>
      </c>
      <c r="C3208" t="s">
        <v>973</v>
      </c>
      <c r="D3208" t="s">
        <v>965</v>
      </c>
      <c r="E3208" t="s">
        <v>652</v>
      </c>
      <c r="F3208" t="s">
        <v>653</v>
      </c>
      <c r="G3208" t="s">
        <v>963</v>
      </c>
      <c r="H3208">
        <v>32</v>
      </c>
      <c r="I3208">
        <v>0.262125</v>
      </c>
      <c r="J3208">
        <v>0.58515600000000001</v>
      </c>
      <c r="K3208">
        <v>0.32303100000000001</v>
      </c>
      <c r="L3208">
        <v>22</v>
      </c>
      <c r="M3208">
        <v>2</v>
      </c>
      <c r="N3208">
        <v>8</v>
      </c>
      <c r="O3208">
        <v>0.63476100000000002</v>
      </c>
      <c r="P3208">
        <v>0.32280500000000001</v>
      </c>
      <c r="Q3208">
        <v>0.322824</v>
      </c>
    </row>
    <row r="3209" spans="1:17" x14ac:dyDescent="0.25">
      <c r="A3209" t="str">
        <f>IF(C3209&amp;G3209&amp;D3209&lt;&gt;'Funnel setup'!$K$3&amp;'Funnel setup'!$K$4&amp;'Funnel setup'!$K$6,".",IF(A3208=".",1,A3208+1))</f>
        <v>.</v>
      </c>
      <c r="B3209" s="244" t="str">
        <f t="shared" si="50"/>
        <v>Knee Replacement RevisionProviderTHE ROYAL WOLVERHAMPTON NHS TRUST (RL4)EQ-5D Index</v>
      </c>
      <c r="C3209" t="s">
        <v>973</v>
      </c>
      <c r="D3209" t="s">
        <v>965</v>
      </c>
      <c r="E3209" t="s">
        <v>654</v>
      </c>
      <c r="F3209" t="s">
        <v>655</v>
      </c>
      <c r="G3209" t="s">
        <v>963</v>
      </c>
      <c r="H3209">
        <v>1</v>
      </c>
      <c r="I3209">
        <v>0.69099999999999995</v>
      </c>
      <c r="J3209">
        <v>1</v>
      </c>
      <c r="K3209">
        <v>0.309</v>
      </c>
      <c r="L3209">
        <v>1</v>
      </c>
      <c r="M3209">
        <v>0</v>
      </c>
      <c r="N3209">
        <v>0</v>
      </c>
      <c r="O3209" t="s">
        <v>127</v>
      </c>
      <c r="P3209" t="s">
        <v>127</v>
      </c>
      <c r="Q3209" t="s">
        <v>127</v>
      </c>
    </row>
    <row r="3210" spans="1:17" x14ac:dyDescent="0.25">
      <c r="A3210" t="str">
        <f>IF(C3210&amp;G3210&amp;D3210&lt;&gt;'Funnel setup'!$K$3&amp;'Funnel setup'!$K$4&amp;'Funnel setup'!$K$6,".",IF(A3209=".",1,A3209+1))</f>
        <v>.</v>
      </c>
      <c r="B3210" s="244" t="str">
        <f t="shared" si="50"/>
        <v>Knee Replacement RevisionProviderTHE YORKSHIRE CLINIC (NVC20)EQ-5D Index</v>
      </c>
      <c r="C3210" t="s">
        <v>973</v>
      </c>
      <c r="D3210" t="s">
        <v>965</v>
      </c>
      <c r="E3210" t="s">
        <v>662</v>
      </c>
      <c r="F3210" t="s">
        <v>663</v>
      </c>
      <c r="G3210" t="s">
        <v>963</v>
      </c>
      <c r="H3210">
        <v>1</v>
      </c>
      <c r="I3210">
        <v>0.62</v>
      </c>
      <c r="J3210">
        <v>0.41599999999999998</v>
      </c>
      <c r="K3210">
        <v>-0.20399999999999999</v>
      </c>
      <c r="L3210">
        <v>0</v>
      </c>
      <c r="M3210">
        <v>0</v>
      </c>
      <c r="N3210">
        <v>1</v>
      </c>
      <c r="O3210" t="s">
        <v>127</v>
      </c>
      <c r="P3210" t="s">
        <v>127</v>
      </c>
      <c r="Q3210" t="s">
        <v>127</v>
      </c>
    </row>
    <row r="3211" spans="1:17" x14ac:dyDescent="0.25">
      <c r="A3211" t="str">
        <f>IF(C3211&amp;G3211&amp;D3211&lt;&gt;'Funnel setup'!$K$3&amp;'Funnel setup'!$K$4&amp;'Funnel setup'!$K$6,".",IF(A3210=".",1,A3210+1))</f>
        <v>.</v>
      </c>
      <c r="B3211" s="244" t="str">
        <f t="shared" si="50"/>
        <v>Knee Replacement RevisionProviderTHREE SHIRES HOSPITAL (NT441)EQ-5D Index</v>
      </c>
      <c r="C3211" t="s">
        <v>973</v>
      </c>
      <c r="D3211" t="s">
        <v>965</v>
      </c>
      <c r="E3211" t="s">
        <v>666</v>
      </c>
      <c r="F3211" t="s">
        <v>667</v>
      </c>
      <c r="G3211" t="s">
        <v>963</v>
      </c>
      <c r="H3211">
        <v>1</v>
      </c>
      <c r="I3211">
        <v>0.76</v>
      </c>
      <c r="J3211">
        <v>0.79600000000000004</v>
      </c>
      <c r="K3211">
        <v>3.5999999999999997E-2</v>
      </c>
      <c r="L3211">
        <v>1</v>
      </c>
      <c r="M3211">
        <v>0</v>
      </c>
      <c r="N3211">
        <v>0</v>
      </c>
      <c r="O3211" t="s">
        <v>127</v>
      </c>
      <c r="P3211" t="s">
        <v>127</v>
      </c>
      <c r="Q3211" t="s">
        <v>127</v>
      </c>
    </row>
    <row r="3212" spans="1:17" x14ac:dyDescent="0.25">
      <c r="A3212" t="str">
        <f>IF(C3212&amp;G3212&amp;D3212&lt;&gt;'Funnel setup'!$K$3&amp;'Funnel setup'!$K$4&amp;'Funnel setup'!$K$6,".",IF(A3211=".",1,A3211+1))</f>
        <v>.</v>
      </c>
      <c r="B3212" s="244" t="str">
        <f t="shared" si="50"/>
        <v>Knee Replacement RevisionProviderTORBAY AND SOUTH DEVON NHS FOUNDATION TRUST (RA9)EQ-5D Index</v>
      </c>
      <c r="C3212" t="s">
        <v>973</v>
      </c>
      <c r="D3212" t="s">
        <v>965</v>
      </c>
      <c r="E3212" t="s">
        <v>668</v>
      </c>
      <c r="F3212" t="s">
        <v>669</v>
      </c>
      <c r="G3212" t="s">
        <v>963</v>
      </c>
      <c r="H3212">
        <v>1</v>
      </c>
      <c r="I3212">
        <v>-1.6E-2</v>
      </c>
      <c r="J3212">
        <v>-1.6E-2</v>
      </c>
      <c r="K3212">
        <v>0</v>
      </c>
      <c r="L3212">
        <v>0</v>
      </c>
      <c r="M3212">
        <v>1</v>
      </c>
      <c r="N3212">
        <v>0</v>
      </c>
      <c r="O3212" t="s">
        <v>127</v>
      </c>
      <c r="P3212" t="s">
        <v>127</v>
      </c>
      <c r="Q3212" t="s">
        <v>127</v>
      </c>
    </row>
    <row r="3213" spans="1:17" x14ac:dyDescent="0.25">
      <c r="A3213" t="str">
        <f>IF(C3213&amp;G3213&amp;D3213&lt;&gt;'Funnel setup'!$K$3&amp;'Funnel setup'!$K$4&amp;'Funnel setup'!$K$6,".",IF(A3212=".",1,A3212+1))</f>
        <v>.</v>
      </c>
      <c r="B3213" s="244" t="str">
        <f t="shared" si="50"/>
        <v>Knee Replacement RevisionProviderUNITED LINCOLNSHIRE HOSPITALS NHS TRUST (RWD)EQ-5D Index</v>
      </c>
      <c r="C3213" t="s">
        <v>973</v>
      </c>
      <c r="D3213" t="s">
        <v>965</v>
      </c>
      <c r="E3213" t="s">
        <v>672</v>
      </c>
      <c r="F3213" t="s">
        <v>673</v>
      </c>
      <c r="G3213" t="s">
        <v>963</v>
      </c>
      <c r="H3213">
        <v>1</v>
      </c>
      <c r="I3213">
        <v>-1.6E-2</v>
      </c>
      <c r="J3213">
        <v>0.81200000000000006</v>
      </c>
      <c r="K3213">
        <v>0.82799999999999996</v>
      </c>
      <c r="L3213">
        <v>1</v>
      </c>
      <c r="M3213">
        <v>0</v>
      </c>
      <c r="N3213">
        <v>0</v>
      </c>
      <c r="O3213" t="s">
        <v>127</v>
      </c>
      <c r="P3213" t="s">
        <v>127</v>
      </c>
      <c r="Q3213" t="s">
        <v>127</v>
      </c>
    </row>
    <row r="3214" spans="1:17" x14ac:dyDescent="0.25">
      <c r="A3214" t="str">
        <f>IF(C3214&amp;G3214&amp;D3214&lt;&gt;'Funnel setup'!$K$3&amp;'Funnel setup'!$K$4&amp;'Funnel setup'!$K$6,".",IF(A3213=".",1,A3213+1))</f>
        <v>.</v>
      </c>
      <c r="B3214" s="244" t="str">
        <f t="shared" si="50"/>
        <v>Knee Replacement RevisionProviderUNIVERSITY COLLEGE LONDON HOSPITALS NHS FOUNDATION TRUST (RRV)EQ-5D Index</v>
      </c>
      <c r="C3214" t="s">
        <v>973</v>
      </c>
      <c r="D3214" t="s">
        <v>965</v>
      </c>
      <c r="E3214" t="s">
        <v>674</v>
      </c>
      <c r="F3214" t="s">
        <v>675</v>
      </c>
      <c r="G3214" t="s">
        <v>963</v>
      </c>
      <c r="H3214">
        <v>4</v>
      </c>
      <c r="I3214">
        <v>0.12275</v>
      </c>
      <c r="J3214">
        <v>0.39600000000000002</v>
      </c>
      <c r="K3214">
        <v>0.27324999999999999</v>
      </c>
      <c r="L3214">
        <v>3</v>
      </c>
      <c r="M3214">
        <v>0</v>
      </c>
      <c r="N3214">
        <v>1</v>
      </c>
      <c r="O3214" t="s">
        <v>127</v>
      </c>
      <c r="P3214" t="s">
        <v>127</v>
      </c>
      <c r="Q3214" t="s">
        <v>127</v>
      </c>
    </row>
    <row r="3215" spans="1:17" x14ac:dyDescent="0.25">
      <c r="A3215" t="str">
        <f>IF(C3215&amp;G3215&amp;D3215&lt;&gt;'Funnel setup'!$K$3&amp;'Funnel setup'!$K$4&amp;'Funnel setup'!$K$6,".",IF(A3214=".",1,A3214+1))</f>
        <v>.</v>
      </c>
      <c r="B3215" s="244" t="str">
        <f t="shared" si="50"/>
        <v>Knee Replacement RevisionProviderUNIVERSITY HOSPITAL SOUTHAMPTON NHS FOUNDATION TRUST (RHM)EQ-5D Index</v>
      </c>
      <c r="C3215" t="s">
        <v>973</v>
      </c>
      <c r="D3215" t="s">
        <v>965</v>
      </c>
      <c r="E3215" t="s">
        <v>676</v>
      </c>
      <c r="F3215" t="s">
        <v>677</v>
      </c>
      <c r="G3215" t="s">
        <v>963</v>
      </c>
      <c r="H3215">
        <v>19</v>
      </c>
      <c r="I3215">
        <v>0.38121100000000002</v>
      </c>
      <c r="J3215">
        <v>0.65342100000000003</v>
      </c>
      <c r="K3215">
        <v>0.27221099999999998</v>
      </c>
      <c r="L3215">
        <v>17</v>
      </c>
      <c r="M3215">
        <v>0</v>
      </c>
      <c r="N3215">
        <v>2</v>
      </c>
      <c r="O3215" t="s">
        <v>127</v>
      </c>
      <c r="P3215" t="s">
        <v>127</v>
      </c>
      <c r="Q3215" t="s">
        <v>127</v>
      </c>
    </row>
    <row r="3216" spans="1:17" x14ac:dyDescent="0.25">
      <c r="A3216" t="str">
        <f>IF(C3216&amp;G3216&amp;D3216&lt;&gt;'Funnel setup'!$K$3&amp;'Funnel setup'!$K$4&amp;'Funnel setup'!$K$6,".",IF(A3215=".",1,A3215+1))</f>
        <v>.</v>
      </c>
      <c r="B3216" s="244" t="str">
        <f t="shared" si="50"/>
        <v>Knee Replacement RevisionProviderUNIVERSITY HOSPITALS COVENTRY AND WARWICKSHIRE NHS TRUST (RKB)EQ-5D Index</v>
      </c>
      <c r="C3216" t="s">
        <v>973</v>
      </c>
      <c r="D3216" t="s">
        <v>965</v>
      </c>
      <c r="E3216" t="s">
        <v>682</v>
      </c>
      <c r="F3216" t="s">
        <v>683</v>
      </c>
      <c r="G3216" t="s">
        <v>963</v>
      </c>
      <c r="H3216">
        <v>3</v>
      </c>
      <c r="I3216">
        <v>0.34200000000000003</v>
      </c>
      <c r="J3216">
        <v>0.73266699999999996</v>
      </c>
      <c r="K3216">
        <v>0.39066699999999999</v>
      </c>
      <c r="L3216">
        <v>3</v>
      </c>
      <c r="M3216">
        <v>0</v>
      </c>
      <c r="N3216">
        <v>0</v>
      </c>
      <c r="O3216" t="s">
        <v>127</v>
      </c>
      <c r="P3216" t="s">
        <v>127</v>
      </c>
      <c r="Q3216" t="s">
        <v>127</v>
      </c>
    </row>
    <row r="3217" spans="1:17" x14ac:dyDescent="0.25">
      <c r="A3217" t="str">
        <f>IF(C3217&amp;G3217&amp;D3217&lt;&gt;'Funnel setup'!$K$3&amp;'Funnel setup'!$K$4&amp;'Funnel setup'!$K$6,".",IF(A3216=".",1,A3216+1))</f>
        <v>.</v>
      </c>
      <c r="B3217" s="244" t="str">
        <f t="shared" si="50"/>
        <v>Knee Replacement RevisionProviderUNIVERSITY HOSPITAL DORSET NHS FUNDATION TRUST (R0D)EQ-5D Index</v>
      </c>
      <c r="C3217" t="s">
        <v>973</v>
      </c>
      <c r="D3217" t="s">
        <v>965</v>
      </c>
      <c r="E3217" t="s">
        <v>684</v>
      </c>
      <c r="F3217" t="s">
        <v>966</v>
      </c>
      <c r="G3217" t="s">
        <v>963</v>
      </c>
      <c r="H3217">
        <v>10</v>
      </c>
      <c r="I3217">
        <v>0.27260000000000001</v>
      </c>
      <c r="J3217">
        <v>0.62390000000000001</v>
      </c>
      <c r="K3217">
        <v>0.3513</v>
      </c>
      <c r="L3217">
        <v>7</v>
      </c>
      <c r="M3217">
        <v>2</v>
      </c>
      <c r="N3217">
        <v>1</v>
      </c>
      <c r="O3217" t="s">
        <v>127</v>
      </c>
      <c r="P3217" t="s">
        <v>127</v>
      </c>
      <c r="Q3217" t="s">
        <v>127</v>
      </c>
    </row>
    <row r="3218" spans="1:17" x14ac:dyDescent="0.25">
      <c r="A3218" t="str">
        <f>IF(C3218&amp;G3218&amp;D3218&lt;&gt;'Funnel setup'!$K$3&amp;'Funnel setup'!$K$4&amp;'Funnel setup'!$K$6,".",IF(A3217=".",1,A3217+1))</f>
        <v>.</v>
      </c>
      <c r="B3218" s="244" t="str">
        <f t="shared" si="50"/>
        <v>Knee Replacement RevisionProviderUNIVERSITY HOSPITALS OF DERBY AND BURTON NHS FOUNDATION TRUST (RTG)EQ-5D Index</v>
      </c>
      <c r="C3218" t="s">
        <v>973</v>
      </c>
      <c r="D3218" t="s">
        <v>965</v>
      </c>
      <c r="E3218" t="s">
        <v>686</v>
      </c>
      <c r="F3218" t="s">
        <v>687</v>
      </c>
      <c r="G3218" t="s">
        <v>963</v>
      </c>
      <c r="H3218">
        <v>25</v>
      </c>
      <c r="I3218">
        <v>0.35511999999999999</v>
      </c>
      <c r="J3218">
        <v>0.63488</v>
      </c>
      <c r="K3218">
        <v>0.27976000000000001</v>
      </c>
      <c r="L3218">
        <v>20</v>
      </c>
      <c r="M3218">
        <v>1</v>
      </c>
      <c r="N3218">
        <v>4</v>
      </c>
      <c r="O3218" t="s">
        <v>127</v>
      </c>
      <c r="P3218" t="s">
        <v>127</v>
      </c>
      <c r="Q3218" t="s">
        <v>127</v>
      </c>
    </row>
    <row r="3219" spans="1:17" x14ac:dyDescent="0.25">
      <c r="A3219" t="str">
        <f>IF(C3219&amp;G3219&amp;D3219&lt;&gt;'Funnel setup'!$K$3&amp;'Funnel setup'!$K$4&amp;'Funnel setup'!$K$6,".",IF(A3218=".",1,A3218+1))</f>
        <v>.</v>
      </c>
      <c r="B3219" s="244" t="str">
        <f t="shared" si="50"/>
        <v>Knee Replacement RevisionProviderUNIVERSITY HOSPITALS OF LEICESTER NHS TRUST (RWE)EQ-5D Index</v>
      </c>
      <c r="C3219" t="s">
        <v>973</v>
      </c>
      <c r="D3219" t="s">
        <v>965</v>
      </c>
      <c r="E3219" t="s">
        <v>688</v>
      </c>
      <c r="F3219" t="s">
        <v>689</v>
      </c>
      <c r="G3219" t="s">
        <v>963</v>
      </c>
      <c r="H3219">
        <v>13</v>
      </c>
      <c r="I3219">
        <v>0.204846</v>
      </c>
      <c r="J3219">
        <v>0.614846</v>
      </c>
      <c r="K3219">
        <v>0.41</v>
      </c>
      <c r="L3219">
        <v>12</v>
      </c>
      <c r="M3219">
        <v>0</v>
      </c>
      <c r="N3219">
        <v>1</v>
      </c>
      <c r="O3219" t="s">
        <v>127</v>
      </c>
      <c r="P3219" t="s">
        <v>127</v>
      </c>
      <c r="Q3219" t="s">
        <v>127</v>
      </c>
    </row>
    <row r="3220" spans="1:17" x14ac:dyDescent="0.25">
      <c r="A3220" t="str">
        <f>IF(C3220&amp;G3220&amp;D3220&lt;&gt;'Funnel setup'!$K$3&amp;'Funnel setup'!$K$4&amp;'Funnel setup'!$K$6,".",IF(A3219=".",1,A3219+1))</f>
        <v>.</v>
      </c>
      <c r="B3220" s="244" t="str">
        <f t="shared" si="50"/>
        <v>Knee Replacement RevisionProviderUNIVERSITY HOSPITALS OF MORECAMBE BAY NHS FOUNDATION TRUST (RTX)EQ-5D Index</v>
      </c>
      <c r="C3220" t="s">
        <v>973</v>
      </c>
      <c r="D3220" t="s">
        <v>965</v>
      </c>
      <c r="E3220" t="s">
        <v>690</v>
      </c>
      <c r="F3220" t="s">
        <v>691</v>
      </c>
      <c r="G3220" t="s">
        <v>963</v>
      </c>
      <c r="H3220">
        <v>2</v>
      </c>
      <c r="I3220">
        <v>7.1499999999999994E-2</v>
      </c>
      <c r="J3220">
        <v>0.72550000000000003</v>
      </c>
      <c r="K3220">
        <v>0.65400000000000003</v>
      </c>
      <c r="L3220">
        <v>2</v>
      </c>
      <c r="M3220">
        <v>0</v>
      </c>
      <c r="N3220">
        <v>0</v>
      </c>
      <c r="O3220" t="s">
        <v>127</v>
      </c>
      <c r="P3220" t="s">
        <v>127</v>
      </c>
      <c r="Q3220" t="s">
        <v>127</v>
      </c>
    </row>
    <row r="3221" spans="1:17" x14ac:dyDescent="0.25">
      <c r="A3221" t="str">
        <f>IF(C3221&amp;G3221&amp;D3221&lt;&gt;'Funnel setup'!$K$3&amp;'Funnel setup'!$K$4&amp;'Funnel setup'!$K$6,".",IF(A3220=".",1,A3220+1))</f>
        <v>.</v>
      </c>
      <c r="B3221" s="244" t="str">
        <f t="shared" si="50"/>
        <v>Knee Replacement RevisionProviderUNIVERSITY HOSPITALS OF NORTH MIDLANDS NHS TRUST (RJE)EQ-5D Index</v>
      </c>
      <c r="C3221" t="s">
        <v>973</v>
      </c>
      <c r="D3221" t="s">
        <v>965</v>
      </c>
      <c r="E3221" t="s">
        <v>692</v>
      </c>
      <c r="F3221" t="s">
        <v>693</v>
      </c>
      <c r="G3221" t="s">
        <v>963</v>
      </c>
      <c r="H3221">
        <v>2</v>
      </c>
      <c r="I3221">
        <v>-6.3E-2</v>
      </c>
      <c r="J3221">
        <v>0.46450000000000002</v>
      </c>
      <c r="K3221">
        <v>0.52749999999999997</v>
      </c>
      <c r="L3221">
        <v>2</v>
      </c>
      <c r="M3221">
        <v>0</v>
      </c>
      <c r="N3221">
        <v>0</v>
      </c>
      <c r="O3221" t="s">
        <v>127</v>
      </c>
      <c r="P3221" t="s">
        <v>127</v>
      </c>
      <c r="Q3221" t="s">
        <v>127</v>
      </c>
    </row>
    <row r="3222" spans="1:17" x14ac:dyDescent="0.25">
      <c r="A3222" t="str">
        <f>IF(C3222&amp;G3222&amp;D3222&lt;&gt;'Funnel setup'!$K$3&amp;'Funnel setup'!$K$4&amp;'Funnel setup'!$K$6,".",IF(A3221=".",1,A3221+1))</f>
        <v>.</v>
      </c>
      <c r="B3222" s="244" t="str">
        <f t="shared" si="50"/>
        <v>Knee Replacement RevisionProviderUNIVERSITY HOSPITALS PLYMOUTH NHS TRUST (RK9)EQ-5D Index</v>
      </c>
      <c r="C3222" t="s">
        <v>973</v>
      </c>
      <c r="D3222" t="s">
        <v>965</v>
      </c>
      <c r="E3222" t="s">
        <v>694</v>
      </c>
      <c r="F3222" t="s">
        <v>695</v>
      </c>
      <c r="G3222" t="s">
        <v>963</v>
      </c>
      <c r="H3222">
        <v>1</v>
      </c>
      <c r="I3222">
        <v>0.29299999999999998</v>
      </c>
      <c r="J3222">
        <v>0.69099999999999995</v>
      </c>
      <c r="K3222">
        <v>0.39800000000000002</v>
      </c>
      <c r="L3222">
        <v>1</v>
      </c>
      <c r="M3222">
        <v>0</v>
      </c>
      <c r="N3222">
        <v>0</v>
      </c>
      <c r="O3222" t="s">
        <v>127</v>
      </c>
      <c r="P3222" t="s">
        <v>127</v>
      </c>
      <c r="Q3222" t="s">
        <v>127</v>
      </c>
    </row>
    <row r="3223" spans="1:17" x14ac:dyDescent="0.25">
      <c r="A3223" t="str">
        <f>IF(C3223&amp;G3223&amp;D3223&lt;&gt;'Funnel setup'!$K$3&amp;'Funnel setup'!$K$4&amp;'Funnel setup'!$K$6,".",IF(A3222=".",1,A3222+1))</f>
        <v>.</v>
      </c>
      <c r="B3223" s="244" t="str">
        <f t="shared" si="50"/>
        <v>Knee Replacement RevisionProviderUNIVERSITY HOSPITALS SUSSEX NHS FOUNDATION TRUST (RYR)EQ-5D Index</v>
      </c>
      <c r="C3223" t="s">
        <v>973</v>
      </c>
      <c r="D3223" t="s">
        <v>965</v>
      </c>
      <c r="E3223" t="s">
        <v>696</v>
      </c>
      <c r="F3223" t="s">
        <v>697</v>
      </c>
      <c r="G3223" t="s">
        <v>963</v>
      </c>
      <c r="H3223">
        <v>4</v>
      </c>
      <c r="I3223">
        <v>0.16400000000000001</v>
      </c>
      <c r="J3223">
        <v>0.746</v>
      </c>
      <c r="K3223">
        <v>0.58199999999999996</v>
      </c>
      <c r="L3223">
        <v>3</v>
      </c>
      <c r="M3223">
        <v>1</v>
      </c>
      <c r="N3223">
        <v>0</v>
      </c>
      <c r="O3223" t="s">
        <v>127</v>
      </c>
      <c r="P3223" t="s">
        <v>127</v>
      </c>
      <c r="Q3223" t="s">
        <v>127</v>
      </c>
    </row>
    <row r="3224" spans="1:17" x14ac:dyDescent="0.25">
      <c r="A3224" t="str">
        <f>IF(C3224&amp;G3224&amp;D3224&lt;&gt;'Funnel setup'!$K$3&amp;'Funnel setup'!$K$4&amp;'Funnel setup'!$K$6,".",IF(A3223=".",1,A3223+1))</f>
        <v>.</v>
      </c>
      <c r="B3224" s="244" t="str">
        <f t="shared" si="50"/>
        <v>Knee Replacement RevisionProviderWARRINGTON AND HALTON TEACHING HOSPITALS NHS FOUNDATION TRUST (RWW)EQ-5D Index</v>
      </c>
      <c r="C3224" t="s">
        <v>973</v>
      </c>
      <c r="D3224" t="s">
        <v>965</v>
      </c>
      <c r="E3224" t="s">
        <v>700</v>
      </c>
      <c r="F3224" t="s">
        <v>701</v>
      </c>
      <c r="G3224" t="s">
        <v>963</v>
      </c>
      <c r="H3224">
        <v>1</v>
      </c>
      <c r="I3224">
        <v>0.62</v>
      </c>
      <c r="J3224">
        <v>0.62</v>
      </c>
      <c r="K3224">
        <v>0</v>
      </c>
      <c r="L3224">
        <v>0</v>
      </c>
      <c r="M3224">
        <v>1</v>
      </c>
      <c r="N3224">
        <v>0</v>
      </c>
      <c r="O3224" t="s">
        <v>127</v>
      </c>
      <c r="P3224" t="s">
        <v>127</v>
      </c>
      <c r="Q3224" t="s">
        <v>127</v>
      </c>
    </row>
    <row r="3225" spans="1:17" x14ac:dyDescent="0.25">
      <c r="A3225" t="str">
        <f>IF(C3225&amp;G3225&amp;D3225&lt;&gt;'Funnel setup'!$K$3&amp;'Funnel setup'!$K$4&amp;'Funnel setup'!$K$6,".",IF(A3224=".",1,A3224+1))</f>
        <v>.</v>
      </c>
      <c r="B3225" s="244" t="str">
        <f t="shared" si="50"/>
        <v>Knee Replacement RevisionProviderWEST HERTFORDSHIRE TEACHING HOSPITALS NHS TRUST (RWG)EQ-5D Index</v>
      </c>
      <c r="C3225" t="s">
        <v>973</v>
      </c>
      <c r="D3225" t="s">
        <v>965</v>
      </c>
      <c r="E3225" t="s">
        <v>702</v>
      </c>
      <c r="F3225" t="s">
        <v>703</v>
      </c>
      <c r="G3225" t="s">
        <v>963</v>
      </c>
      <c r="H3225">
        <v>5</v>
      </c>
      <c r="I3225">
        <v>0.1426</v>
      </c>
      <c r="J3225">
        <v>0.3982</v>
      </c>
      <c r="K3225">
        <v>0.25559999999999999</v>
      </c>
      <c r="L3225">
        <v>4</v>
      </c>
      <c r="M3225">
        <v>1</v>
      </c>
      <c r="N3225">
        <v>0</v>
      </c>
      <c r="O3225" t="s">
        <v>127</v>
      </c>
      <c r="P3225" t="s">
        <v>127</v>
      </c>
      <c r="Q3225" t="s">
        <v>127</v>
      </c>
    </row>
    <row r="3226" spans="1:17" x14ac:dyDescent="0.25">
      <c r="A3226" t="str">
        <f>IF(C3226&amp;G3226&amp;D3226&lt;&gt;'Funnel setup'!$K$3&amp;'Funnel setup'!$K$4&amp;'Funnel setup'!$K$6,".",IF(A3225=".",1,A3225+1))</f>
        <v>.</v>
      </c>
      <c r="B3226" s="244" t="str">
        <f t="shared" si="50"/>
        <v>Knee Replacement RevisionProviderWEST SUFFOLK NHS FOUNDATION TRUST (RGR)EQ-5D Index</v>
      </c>
      <c r="C3226" t="s">
        <v>973</v>
      </c>
      <c r="D3226" t="s">
        <v>965</v>
      </c>
      <c r="E3226" t="s">
        <v>706</v>
      </c>
      <c r="F3226" t="s">
        <v>707</v>
      </c>
      <c r="G3226" t="s">
        <v>963</v>
      </c>
      <c r="H3226">
        <v>5</v>
      </c>
      <c r="I3226">
        <v>0.1106</v>
      </c>
      <c r="J3226">
        <v>0.66200000000000003</v>
      </c>
      <c r="K3226">
        <v>0.5514</v>
      </c>
      <c r="L3226">
        <v>5</v>
      </c>
      <c r="M3226">
        <v>0</v>
      </c>
      <c r="N3226">
        <v>0</v>
      </c>
      <c r="O3226" t="s">
        <v>127</v>
      </c>
      <c r="P3226" t="s">
        <v>127</v>
      </c>
      <c r="Q3226" t="s">
        <v>127</v>
      </c>
    </row>
    <row r="3227" spans="1:17" x14ac:dyDescent="0.25">
      <c r="A3227" t="str">
        <f>IF(C3227&amp;G3227&amp;D3227&lt;&gt;'Funnel setup'!$K$3&amp;'Funnel setup'!$K$4&amp;'Funnel setup'!$K$6,".",IF(A3226=".",1,A3226+1))</f>
        <v>.</v>
      </c>
      <c r="B3227" s="244" t="str">
        <f t="shared" si="50"/>
        <v>Knee Replacement RevisionProviderWINFIELD HOSPITAL (NVC22)EQ-5D Index</v>
      </c>
      <c r="C3227" t="s">
        <v>973</v>
      </c>
      <c r="D3227" t="s">
        <v>965</v>
      </c>
      <c r="E3227" t="s">
        <v>710</v>
      </c>
      <c r="F3227" t="s">
        <v>711</v>
      </c>
      <c r="G3227" t="s">
        <v>963</v>
      </c>
      <c r="H3227">
        <v>1</v>
      </c>
      <c r="I3227">
        <v>0.36399999999999999</v>
      </c>
      <c r="J3227">
        <v>1</v>
      </c>
      <c r="K3227">
        <v>0.63600000000000001</v>
      </c>
      <c r="L3227">
        <v>1</v>
      </c>
      <c r="M3227">
        <v>0</v>
      </c>
      <c r="N3227">
        <v>0</v>
      </c>
      <c r="O3227" t="s">
        <v>127</v>
      </c>
      <c r="P3227" t="s">
        <v>127</v>
      </c>
      <c r="Q3227" t="s">
        <v>127</v>
      </c>
    </row>
    <row r="3228" spans="1:17" x14ac:dyDescent="0.25">
      <c r="A3228" t="str">
        <f>IF(C3228&amp;G3228&amp;D3228&lt;&gt;'Funnel setup'!$K$3&amp;'Funnel setup'!$K$4&amp;'Funnel setup'!$K$6,".",IF(A3227=".",1,A3227+1))</f>
        <v>.</v>
      </c>
      <c r="B3228" s="244" t="str">
        <f t="shared" si="50"/>
        <v>Knee Replacement RevisionProviderWIRRAL UNIVERSITY TEACHING HOSPITAL NHS FOUNDATION TRUST (RBL)EQ-5D Index</v>
      </c>
      <c r="C3228" t="s">
        <v>973</v>
      </c>
      <c r="D3228" t="s">
        <v>965</v>
      </c>
      <c r="E3228" t="s">
        <v>714</v>
      </c>
      <c r="F3228" t="s">
        <v>715</v>
      </c>
      <c r="G3228" t="s">
        <v>963</v>
      </c>
      <c r="H3228">
        <v>2</v>
      </c>
      <c r="I3228">
        <v>0.43049999999999999</v>
      </c>
      <c r="J3228">
        <v>0.76049999999999995</v>
      </c>
      <c r="K3228">
        <v>0.33</v>
      </c>
      <c r="L3228">
        <v>2</v>
      </c>
      <c r="M3228">
        <v>0</v>
      </c>
      <c r="N3228">
        <v>0</v>
      </c>
      <c r="O3228" t="s">
        <v>127</v>
      </c>
      <c r="P3228" t="s">
        <v>127</v>
      </c>
      <c r="Q3228" t="s">
        <v>127</v>
      </c>
    </row>
    <row r="3229" spans="1:17" x14ac:dyDescent="0.25">
      <c r="A3229" t="str">
        <f>IF(C3229&amp;G3229&amp;D3229&lt;&gt;'Funnel setup'!$K$3&amp;'Funnel setup'!$K$4&amp;'Funnel setup'!$K$6,".",IF(A3228=".",1,A3228+1))</f>
        <v>.</v>
      </c>
      <c r="B3229" s="244" t="str">
        <f t="shared" si="50"/>
        <v>Knee Replacement RevisionProviderWOODTHORPE HOSPITAL (NVC40)EQ-5D Index</v>
      </c>
      <c r="C3229" t="s">
        <v>973</v>
      </c>
      <c r="D3229" t="s">
        <v>965</v>
      </c>
      <c r="E3229" t="s">
        <v>720</v>
      </c>
      <c r="F3229" t="s">
        <v>721</v>
      </c>
      <c r="G3229" t="s">
        <v>963</v>
      </c>
      <c r="H3229" t="s">
        <v>127</v>
      </c>
      <c r="I3229" t="s">
        <v>127</v>
      </c>
      <c r="J3229" t="s">
        <v>127</v>
      </c>
      <c r="K3229" t="s">
        <v>127</v>
      </c>
      <c r="L3229" t="s">
        <v>127</v>
      </c>
      <c r="M3229" t="s">
        <v>127</v>
      </c>
      <c r="N3229" t="s">
        <v>127</v>
      </c>
      <c r="O3229" t="s">
        <v>127</v>
      </c>
      <c r="P3229" t="s">
        <v>127</v>
      </c>
      <c r="Q3229" t="s">
        <v>127</v>
      </c>
    </row>
    <row r="3230" spans="1:17" x14ac:dyDescent="0.25">
      <c r="A3230" t="str">
        <f>IF(C3230&amp;G3230&amp;D3230&lt;&gt;'Funnel setup'!$K$3&amp;'Funnel setup'!$K$4&amp;'Funnel setup'!$K$6,".",IF(A3229=".",1,A3229+1))</f>
        <v>.</v>
      </c>
      <c r="B3230" s="244" t="str">
        <f t="shared" si="50"/>
        <v>Knee Replacement RevisionProviderWORCESTERSHIRE ACUTE HOSPITALS NHS TRUST (RWP)EQ-5D Index</v>
      </c>
      <c r="C3230" t="s">
        <v>973</v>
      </c>
      <c r="D3230" t="s">
        <v>965</v>
      </c>
      <c r="E3230" t="s">
        <v>722</v>
      </c>
      <c r="F3230" t="s">
        <v>723</v>
      </c>
      <c r="G3230" t="s">
        <v>963</v>
      </c>
      <c r="H3230">
        <v>3</v>
      </c>
      <c r="I3230">
        <v>0.33566699999999999</v>
      </c>
      <c r="J3230">
        <v>0.70233299999999999</v>
      </c>
      <c r="K3230">
        <v>0.36666700000000002</v>
      </c>
      <c r="L3230">
        <v>2</v>
      </c>
      <c r="M3230">
        <v>0</v>
      </c>
      <c r="N3230">
        <v>1</v>
      </c>
      <c r="O3230" t="s">
        <v>127</v>
      </c>
      <c r="P3230" t="s">
        <v>127</v>
      </c>
      <c r="Q3230" t="s">
        <v>127</v>
      </c>
    </row>
    <row r="3231" spans="1:17" x14ac:dyDescent="0.25">
      <c r="A3231" t="str">
        <f>IF(C3231&amp;G3231&amp;D3231&lt;&gt;'Funnel setup'!$K$3&amp;'Funnel setup'!$K$4&amp;'Funnel setup'!$K$6,".",IF(A3230=".",1,A3230+1))</f>
        <v>.</v>
      </c>
      <c r="B3231" s="244" t="str">
        <f t="shared" si="50"/>
        <v>Knee Replacement RevisionProviderWRIGHTINGTON, WIGAN AND LEIGH NHS FOUNDATION TRUST (RRF)EQ-5D Index</v>
      </c>
      <c r="C3231" t="s">
        <v>973</v>
      </c>
      <c r="D3231" t="s">
        <v>965</v>
      </c>
      <c r="E3231" t="s">
        <v>724</v>
      </c>
      <c r="F3231" t="s">
        <v>725</v>
      </c>
      <c r="G3231" t="s">
        <v>963</v>
      </c>
      <c r="H3231">
        <v>1</v>
      </c>
      <c r="I3231">
        <v>0.19500000000000001</v>
      </c>
      <c r="J3231">
        <v>0.72699999999999998</v>
      </c>
      <c r="K3231">
        <v>0.53200000000000003</v>
      </c>
      <c r="L3231">
        <v>1</v>
      </c>
      <c r="M3231">
        <v>0</v>
      </c>
      <c r="N3231">
        <v>0</v>
      </c>
      <c r="O3231" t="s">
        <v>127</v>
      </c>
      <c r="P3231" t="s">
        <v>127</v>
      </c>
      <c r="Q3231" t="s">
        <v>127</v>
      </c>
    </row>
    <row r="3232" spans="1:17" x14ac:dyDescent="0.25">
      <c r="A3232" t="str">
        <f>IF(C3232&amp;G3232&amp;D3232&lt;&gt;'Funnel setup'!$K$3&amp;'Funnel setup'!$K$4&amp;'Funnel setup'!$K$6,".",IF(A3231=".",1,A3231+1))</f>
        <v>.</v>
      </c>
      <c r="B3232" s="244" t="str">
        <f t="shared" si="50"/>
        <v>Knee Replacement RevisionProviderWYE VALLEY NHS TRUST (RLQ)EQ-5D Index</v>
      </c>
      <c r="C3232" t="s">
        <v>973</v>
      </c>
      <c r="D3232" t="s">
        <v>965</v>
      </c>
      <c r="E3232" t="s">
        <v>726</v>
      </c>
      <c r="F3232" t="s">
        <v>727</v>
      </c>
      <c r="G3232" t="s">
        <v>963</v>
      </c>
      <c r="H3232">
        <v>1</v>
      </c>
      <c r="I3232">
        <v>0.69099999999999995</v>
      </c>
      <c r="J3232">
        <v>0.79600000000000004</v>
      </c>
      <c r="K3232">
        <v>0.105</v>
      </c>
      <c r="L3232">
        <v>1</v>
      </c>
      <c r="M3232">
        <v>0</v>
      </c>
      <c r="N3232">
        <v>0</v>
      </c>
      <c r="O3232" t="s">
        <v>127</v>
      </c>
      <c r="P3232" t="s">
        <v>127</v>
      </c>
      <c r="Q3232" t="s">
        <v>127</v>
      </c>
    </row>
    <row r="3233" spans="1:17" x14ac:dyDescent="0.25">
      <c r="A3233" t="str">
        <f>IF(C3233&amp;G3233&amp;D3233&lt;&gt;'Funnel setup'!$K$3&amp;'Funnel setup'!$K$4&amp;'Funnel setup'!$K$6,".",IF(A3232=".",1,A3232+1))</f>
        <v>.</v>
      </c>
      <c r="B3233" s="244" t="str">
        <f t="shared" si="50"/>
        <v>Knee Replacement RevisionProviderASHFORD AND ST PETER'S HOSPITALS NHS FOUNDATION TRUST (RTK)Oxford Knee Score</v>
      </c>
      <c r="C3233" t="s">
        <v>973</v>
      </c>
      <c r="D3233" t="s">
        <v>965</v>
      </c>
      <c r="E3233" t="s">
        <v>132</v>
      </c>
      <c r="F3233" t="s">
        <v>133</v>
      </c>
      <c r="G3233" t="s">
        <v>972</v>
      </c>
      <c r="H3233">
        <v>1</v>
      </c>
      <c r="I3233">
        <v>20</v>
      </c>
      <c r="J3233">
        <v>16</v>
      </c>
      <c r="K3233">
        <v>-4</v>
      </c>
      <c r="L3233">
        <v>0</v>
      </c>
      <c r="M3233">
        <v>0</v>
      </c>
      <c r="N3233">
        <v>1</v>
      </c>
      <c r="O3233" t="s">
        <v>127</v>
      </c>
      <c r="P3233" t="s">
        <v>127</v>
      </c>
      <c r="Q3233" t="s">
        <v>127</v>
      </c>
    </row>
    <row r="3234" spans="1:17" x14ac:dyDescent="0.25">
      <c r="A3234" t="str">
        <f>IF(C3234&amp;G3234&amp;D3234&lt;&gt;'Funnel setup'!$K$3&amp;'Funnel setup'!$K$4&amp;'Funnel setup'!$K$6,".",IF(A3233=".",1,A3233+1))</f>
        <v>.</v>
      </c>
      <c r="B3234" s="244" t="str">
        <f t="shared" si="50"/>
        <v>Knee Replacement RevisionProviderBARKING, HAVERING AND REDBRIDGE UNIVERSITY HOSPITALS NHS TRUST (RF4)Oxford Knee Score</v>
      </c>
      <c r="C3234" t="s">
        <v>973</v>
      </c>
      <c r="D3234" t="s">
        <v>965</v>
      </c>
      <c r="E3234" t="s">
        <v>144</v>
      </c>
      <c r="F3234" t="s">
        <v>145</v>
      </c>
      <c r="G3234" t="s">
        <v>972</v>
      </c>
      <c r="H3234">
        <v>2</v>
      </c>
      <c r="I3234">
        <v>16</v>
      </c>
      <c r="J3234">
        <v>38.5</v>
      </c>
      <c r="K3234">
        <v>22.5</v>
      </c>
      <c r="L3234">
        <v>2</v>
      </c>
      <c r="M3234">
        <v>0</v>
      </c>
      <c r="N3234">
        <v>0</v>
      </c>
      <c r="O3234" t="s">
        <v>127</v>
      </c>
      <c r="P3234" t="s">
        <v>127</v>
      </c>
      <c r="Q3234" t="s">
        <v>127</v>
      </c>
    </row>
    <row r="3235" spans="1:17" x14ac:dyDescent="0.25">
      <c r="A3235" t="str">
        <f>IF(C3235&amp;G3235&amp;D3235&lt;&gt;'Funnel setup'!$K$3&amp;'Funnel setup'!$K$4&amp;'Funnel setup'!$K$6,".",IF(A3234=".",1,A3234+1))</f>
        <v>.</v>
      </c>
      <c r="B3235" s="244" t="str">
        <f t="shared" si="50"/>
        <v>Knee Replacement RevisionProviderBARNSLEY HOSPITAL NHS FOUNDATION TRUST (RFF)Oxford Knee Score</v>
      </c>
      <c r="C3235" t="s">
        <v>973</v>
      </c>
      <c r="D3235" t="s">
        <v>965</v>
      </c>
      <c r="E3235" t="s">
        <v>146</v>
      </c>
      <c r="F3235" t="s">
        <v>147</v>
      </c>
      <c r="G3235" t="s">
        <v>972</v>
      </c>
      <c r="H3235">
        <v>1</v>
      </c>
      <c r="I3235">
        <v>12</v>
      </c>
      <c r="J3235">
        <v>23</v>
      </c>
      <c r="K3235">
        <v>11</v>
      </c>
      <c r="L3235">
        <v>1</v>
      </c>
      <c r="M3235">
        <v>0</v>
      </c>
      <c r="N3235">
        <v>0</v>
      </c>
      <c r="O3235" t="s">
        <v>127</v>
      </c>
      <c r="P3235" t="s">
        <v>127</v>
      </c>
      <c r="Q3235" t="s">
        <v>127</v>
      </c>
    </row>
    <row r="3236" spans="1:17" x14ac:dyDescent="0.25">
      <c r="A3236" t="str">
        <f>IF(C3236&amp;G3236&amp;D3236&lt;&gt;'Funnel setup'!$K$3&amp;'Funnel setup'!$K$4&amp;'Funnel setup'!$K$6,".",IF(A3235=".",1,A3235+1))</f>
        <v>.</v>
      </c>
      <c r="B3236" s="244" t="str">
        <f t="shared" si="50"/>
        <v>Knee Replacement RevisionProviderBARTS HEALTH NHS TRUST (R1H)Oxford Knee Score</v>
      </c>
      <c r="C3236" t="s">
        <v>973</v>
      </c>
      <c r="D3236" t="s">
        <v>965</v>
      </c>
      <c r="E3236" t="s">
        <v>148</v>
      </c>
      <c r="F3236" t="s">
        <v>149</v>
      </c>
      <c r="G3236" t="s">
        <v>972</v>
      </c>
      <c r="H3236">
        <v>5</v>
      </c>
      <c r="I3236">
        <v>17.2</v>
      </c>
      <c r="J3236">
        <v>26</v>
      </c>
      <c r="K3236">
        <v>8.8000000000000007</v>
      </c>
      <c r="L3236">
        <v>5</v>
      </c>
      <c r="M3236">
        <v>0</v>
      </c>
      <c r="N3236">
        <v>0</v>
      </c>
      <c r="O3236" t="s">
        <v>127</v>
      </c>
      <c r="P3236" t="s">
        <v>127</v>
      </c>
      <c r="Q3236" t="s">
        <v>127</v>
      </c>
    </row>
    <row r="3237" spans="1:17" x14ac:dyDescent="0.25">
      <c r="A3237" t="str">
        <f>IF(C3237&amp;G3237&amp;D3237&lt;&gt;'Funnel setup'!$K$3&amp;'Funnel setup'!$K$4&amp;'Funnel setup'!$K$6,".",IF(A3236=".",1,A3236+1))</f>
        <v>.</v>
      </c>
      <c r="B3237" s="244" t="str">
        <f t="shared" si="50"/>
        <v>Knee Replacement RevisionProviderBEARDWOOD HOSPITAL (NT403)Oxford Knee Score</v>
      </c>
      <c r="C3237" t="s">
        <v>973</v>
      </c>
      <c r="D3237" t="s">
        <v>965</v>
      </c>
      <c r="E3237" t="s">
        <v>154</v>
      </c>
      <c r="F3237" t="s">
        <v>155</v>
      </c>
      <c r="G3237" t="s">
        <v>972</v>
      </c>
      <c r="H3237" t="s">
        <v>127</v>
      </c>
      <c r="I3237" t="s">
        <v>127</v>
      </c>
      <c r="J3237" t="s">
        <v>127</v>
      </c>
      <c r="K3237" t="s">
        <v>127</v>
      </c>
      <c r="L3237" t="s">
        <v>127</v>
      </c>
      <c r="M3237" t="s">
        <v>127</v>
      </c>
      <c r="N3237" t="s">
        <v>127</v>
      </c>
      <c r="O3237" t="s">
        <v>127</v>
      </c>
      <c r="P3237" t="s">
        <v>127</v>
      </c>
      <c r="Q3237" t="s">
        <v>127</v>
      </c>
    </row>
    <row r="3238" spans="1:17" x14ac:dyDescent="0.25">
      <c r="A3238" t="str">
        <f>IF(C3238&amp;G3238&amp;D3238&lt;&gt;'Funnel setup'!$K$3&amp;'Funnel setup'!$K$4&amp;'Funnel setup'!$K$6,".",IF(A3237=".",1,A3237+1))</f>
        <v>.</v>
      </c>
      <c r="B3238" s="244" t="str">
        <f t="shared" si="50"/>
        <v>Knee Replacement RevisionProviderBEAUMONT HOSPITAL (NT404)Oxford Knee Score</v>
      </c>
      <c r="C3238" t="s">
        <v>973</v>
      </c>
      <c r="D3238" t="s">
        <v>965</v>
      </c>
      <c r="E3238" t="s">
        <v>156</v>
      </c>
      <c r="F3238" t="s">
        <v>157</v>
      </c>
      <c r="G3238" t="s">
        <v>972</v>
      </c>
      <c r="H3238" t="s">
        <v>127</v>
      </c>
      <c r="I3238" t="s">
        <v>127</v>
      </c>
      <c r="J3238" t="s">
        <v>127</v>
      </c>
      <c r="K3238" t="s">
        <v>127</v>
      </c>
      <c r="L3238" t="s">
        <v>127</v>
      </c>
      <c r="M3238" t="s">
        <v>127</v>
      </c>
      <c r="N3238" t="s">
        <v>127</v>
      </c>
      <c r="O3238" t="s">
        <v>127</v>
      </c>
      <c r="P3238" t="s">
        <v>127</v>
      </c>
      <c r="Q3238" t="s">
        <v>127</v>
      </c>
    </row>
    <row r="3239" spans="1:17" x14ac:dyDescent="0.25">
      <c r="A3239" t="str">
        <f>IF(C3239&amp;G3239&amp;D3239&lt;&gt;'Funnel setup'!$K$3&amp;'Funnel setup'!$K$4&amp;'Funnel setup'!$K$6,".",IF(A3238=".",1,A3238+1))</f>
        <v>.</v>
      </c>
      <c r="B3239" s="244" t="str">
        <f t="shared" si="50"/>
        <v>Knee Replacement RevisionProviderBEDFORDSHIRE HOSPITALS NHS FOUNDATION TRUST (RC9)Oxford Knee Score</v>
      </c>
      <c r="C3239" t="s">
        <v>973</v>
      </c>
      <c r="D3239" t="s">
        <v>965</v>
      </c>
      <c r="E3239" t="s">
        <v>158</v>
      </c>
      <c r="F3239" t="s">
        <v>159</v>
      </c>
      <c r="G3239" t="s">
        <v>972</v>
      </c>
      <c r="H3239">
        <v>4</v>
      </c>
      <c r="I3239">
        <v>17.5</v>
      </c>
      <c r="J3239">
        <v>37</v>
      </c>
      <c r="K3239">
        <v>19.5</v>
      </c>
      <c r="L3239">
        <v>4</v>
      </c>
      <c r="M3239">
        <v>0</v>
      </c>
      <c r="N3239">
        <v>0</v>
      </c>
      <c r="O3239" t="s">
        <v>127</v>
      </c>
      <c r="P3239" t="s">
        <v>127</v>
      </c>
      <c r="Q3239" t="s">
        <v>127</v>
      </c>
    </row>
    <row r="3240" spans="1:17" x14ac:dyDescent="0.25">
      <c r="A3240" t="str">
        <f>IF(C3240&amp;G3240&amp;D3240&lt;&gt;'Funnel setup'!$K$3&amp;'Funnel setup'!$K$4&amp;'Funnel setup'!$K$6,".",IF(A3239=".",1,A3239+1))</f>
        <v>.</v>
      </c>
      <c r="B3240" s="244" t="str">
        <f t="shared" si="50"/>
        <v>Knee Replacement RevisionProviderBLACKPOOL TEACHING HOSPITALS NHS FOUNDATION TRUST (RXL)Oxford Knee Score</v>
      </c>
      <c r="C3240" t="s">
        <v>973</v>
      </c>
      <c r="D3240" t="s">
        <v>965</v>
      </c>
      <c r="E3240" t="s">
        <v>170</v>
      </c>
      <c r="F3240" t="s">
        <v>171</v>
      </c>
      <c r="G3240" t="s">
        <v>972</v>
      </c>
      <c r="H3240">
        <v>1</v>
      </c>
      <c r="I3240">
        <v>10</v>
      </c>
      <c r="J3240">
        <v>29</v>
      </c>
      <c r="K3240">
        <v>19</v>
      </c>
      <c r="L3240">
        <v>1</v>
      </c>
      <c r="M3240">
        <v>0</v>
      </c>
      <c r="N3240">
        <v>0</v>
      </c>
      <c r="O3240" t="s">
        <v>127</v>
      </c>
      <c r="P3240" t="s">
        <v>127</v>
      </c>
      <c r="Q3240" t="s">
        <v>127</v>
      </c>
    </row>
    <row r="3241" spans="1:17" x14ac:dyDescent="0.25">
      <c r="A3241" t="str">
        <f>IF(C3241&amp;G3241&amp;D3241&lt;&gt;'Funnel setup'!$K$3&amp;'Funnel setup'!$K$4&amp;'Funnel setup'!$K$6,".",IF(A3240=".",1,A3240+1))</f>
        <v>.</v>
      </c>
      <c r="B3241" s="244" t="str">
        <f t="shared" si="50"/>
        <v>Knee Replacement RevisionProviderBOLTON NHS FOUNDATION TRUST (RMC)Oxford Knee Score</v>
      </c>
      <c r="C3241" t="s">
        <v>973</v>
      </c>
      <c r="D3241" t="s">
        <v>965</v>
      </c>
      <c r="E3241" t="s">
        <v>172</v>
      </c>
      <c r="F3241" t="s">
        <v>173</v>
      </c>
      <c r="G3241" t="s">
        <v>972</v>
      </c>
      <c r="H3241">
        <v>4</v>
      </c>
      <c r="I3241">
        <v>19.5</v>
      </c>
      <c r="J3241">
        <v>30</v>
      </c>
      <c r="K3241">
        <v>10.5</v>
      </c>
      <c r="L3241">
        <v>4</v>
      </c>
      <c r="M3241">
        <v>0</v>
      </c>
      <c r="N3241">
        <v>0</v>
      </c>
      <c r="O3241" t="s">
        <v>127</v>
      </c>
      <c r="P3241" t="s">
        <v>127</v>
      </c>
      <c r="Q3241" t="s">
        <v>127</v>
      </c>
    </row>
    <row r="3242" spans="1:17" x14ac:dyDescent="0.25">
      <c r="A3242" t="str">
        <f>IF(C3242&amp;G3242&amp;D3242&lt;&gt;'Funnel setup'!$K$3&amp;'Funnel setup'!$K$4&amp;'Funnel setup'!$K$6,".",IF(A3241=".",1,A3241+1))</f>
        <v>.</v>
      </c>
      <c r="B3242" s="244" t="str">
        <f t="shared" si="50"/>
        <v>Knee Replacement RevisionProviderBRADFORD TEACHING HOSPITALS NHS FOUNDATION TRUST (RAE)Oxford Knee Score</v>
      </c>
      <c r="C3242" t="s">
        <v>973</v>
      </c>
      <c r="D3242" t="s">
        <v>965</v>
      </c>
      <c r="E3242" t="s">
        <v>174</v>
      </c>
      <c r="F3242" t="s">
        <v>175</v>
      </c>
      <c r="G3242" t="s">
        <v>972</v>
      </c>
      <c r="H3242">
        <v>1</v>
      </c>
      <c r="I3242">
        <v>17</v>
      </c>
      <c r="J3242">
        <v>21</v>
      </c>
      <c r="K3242">
        <v>4</v>
      </c>
      <c r="L3242">
        <v>1</v>
      </c>
      <c r="M3242">
        <v>0</v>
      </c>
      <c r="N3242">
        <v>0</v>
      </c>
      <c r="O3242" t="s">
        <v>127</v>
      </c>
      <c r="P3242" t="s">
        <v>127</v>
      </c>
      <c r="Q3242" t="s">
        <v>127</v>
      </c>
    </row>
    <row r="3243" spans="1:17" x14ac:dyDescent="0.25">
      <c r="A3243" t="str">
        <f>IF(C3243&amp;G3243&amp;D3243&lt;&gt;'Funnel setup'!$K$3&amp;'Funnel setup'!$K$4&amp;'Funnel setup'!$K$6,".",IF(A3242=".",1,A3242+1))</f>
        <v>.</v>
      </c>
      <c r="B3243" s="244" t="str">
        <f t="shared" si="50"/>
        <v>Knee Replacement RevisionProviderBUCKINGHAMSHIRE HEALTHCARE NHS TRUST (RXQ)Oxford Knee Score</v>
      </c>
      <c r="C3243" t="s">
        <v>973</v>
      </c>
      <c r="D3243" t="s">
        <v>965</v>
      </c>
      <c r="E3243" t="s">
        <v>178</v>
      </c>
      <c r="F3243" t="s">
        <v>179</v>
      </c>
      <c r="G3243" t="s">
        <v>972</v>
      </c>
      <c r="H3243">
        <v>1</v>
      </c>
      <c r="I3243">
        <v>23</v>
      </c>
      <c r="J3243">
        <v>32</v>
      </c>
      <c r="K3243">
        <v>9</v>
      </c>
      <c r="L3243">
        <v>1</v>
      </c>
      <c r="M3243">
        <v>0</v>
      </c>
      <c r="N3243">
        <v>0</v>
      </c>
      <c r="O3243" t="s">
        <v>127</v>
      </c>
      <c r="P3243" t="s">
        <v>127</v>
      </c>
      <c r="Q3243" t="s">
        <v>127</v>
      </c>
    </row>
    <row r="3244" spans="1:17" x14ac:dyDescent="0.25">
      <c r="A3244" t="str">
        <f>IF(C3244&amp;G3244&amp;D3244&lt;&gt;'Funnel setup'!$K$3&amp;'Funnel setup'!$K$4&amp;'Funnel setup'!$K$6,".",IF(A3243=".",1,A3243+1))</f>
        <v>.</v>
      </c>
      <c r="B3244" s="244" t="str">
        <f t="shared" si="50"/>
        <v>Knee Replacement RevisionProviderCALDERDALE AND HUDDERSFIELD NHS FOUNDATION TRUST (RWY)Oxford Knee Score</v>
      </c>
      <c r="C3244" t="s">
        <v>973</v>
      </c>
      <c r="D3244" t="s">
        <v>965</v>
      </c>
      <c r="E3244" t="s">
        <v>180</v>
      </c>
      <c r="F3244" t="s">
        <v>181</v>
      </c>
      <c r="G3244" t="s">
        <v>972</v>
      </c>
      <c r="H3244">
        <v>5</v>
      </c>
      <c r="I3244">
        <v>20.2</v>
      </c>
      <c r="J3244">
        <v>30.2</v>
      </c>
      <c r="K3244">
        <v>10</v>
      </c>
      <c r="L3244">
        <v>3</v>
      </c>
      <c r="M3244">
        <v>1</v>
      </c>
      <c r="N3244">
        <v>1</v>
      </c>
      <c r="O3244" t="s">
        <v>127</v>
      </c>
      <c r="P3244" t="s">
        <v>127</v>
      </c>
      <c r="Q3244" t="s">
        <v>127</v>
      </c>
    </row>
    <row r="3245" spans="1:17" x14ac:dyDescent="0.25">
      <c r="A3245" t="str">
        <f>IF(C3245&amp;G3245&amp;D3245&lt;&gt;'Funnel setup'!$K$3&amp;'Funnel setup'!$K$4&amp;'Funnel setup'!$K$6,".",IF(A3244=".",1,A3244+1))</f>
        <v>.</v>
      </c>
      <c r="B3245" s="244" t="str">
        <f t="shared" si="50"/>
        <v>Knee Replacement RevisionProviderCAMBRIDGE UNIVERSITY HOSPITALS NHS FOUNDATION TRUST (RGT)Oxford Knee Score</v>
      </c>
      <c r="C3245" t="s">
        <v>973</v>
      </c>
      <c r="D3245" t="s">
        <v>965</v>
      </c>
      <c r="E3245" t="s">
        <v>182</v>
      </c>
      <c r="F3245" t="s">
        <v>183</v>
      </c>
      <c r="G3245" t="s">
        <v>972</v>
      </c>
      <c r="H3245">
        <v>4</v>
      </c>
      <c r="I3245">
        <v>13.5</v>
      </c>
      <c r="J3245">
        <v>27.75</v>
      </c>
      <c r="K3245">
        <v>14.25</v>
      </c>
      <c r="L3245">
        <v>4</v>
      </c>
      <c r="M3245">
        <v>0</v>
      </c>
      <c r="N3245">
        <v>0</v>
      </c>
      <c r="O3245" t="s">
        <v>127</v>
      </c>
      <c r="P3245" t="s">
        <v>127</v>
      </c>
      <c r="Q3245" t="s">
        <v>127</v>
      </c>
    </row>
    <row r="3246" spans="1:17" x14ac:dyDescent="0.25">
      <c r="A3246" t="str">
        <f>IF(C3246&amp;G3246&amp;D3246&lt;&gt;'Funnel setup'!$K$3&amp;'Funnel setup'!$K$4&amp;'Funnel setup'!$K$6,".",IF(A3245=".",1,A3245+1))</f>
        <v>.</v>
      </c>
      <c r="B3246" s="244" t="str">
        <f t="shared" si="50"/>
        <v>Knee Replacement RevisionProviderCAVELL HOSPITAL (NT451)Oxford Knee Score</v>
      </c>
      <c r="C3246" t="s">
        <v>973</v>
      </c>
      <c r="D3246" t="s">
        <v>965</v>
      </c>
      <c r="E3246" t="s">
        <v>184</v>
      </c>
      <c r="F3246" t="s">
        <v>185</v>
      </c>
      <c r="G3246" t="s">
        <v>972</v>
      </c>
      <c r="H3246" t="s">
        <v>127</v>
      </c>
      <c r="I3246" t="s">
        <v>127</v>
      </c>
      <c r="J3246" t="s">
        <v>127</v>
      </c>
      <c r="K3246" t="s">
        <v>127</v>
      </c>
      <c r="L3246" t="s">
        <v>127</v>
      </c>
      <c r="M3246" t="s">
        <v>127</v>
      </c>
      <c r="N3246" t="s">
        <v>127</v>
      </c>
      <c r="O3246" t="s">
        <v>127</v>
      </c>
      <c r="P3246" t="s">
        <v>127</v>
      </c>
      <c r="Q3246" t="s">
        <v>127</v>
      </c>
    </row>
    <row r="3247" spans="1:17" x14ac:dyDescent="0.25">
      <c r="A3247" t="str">
        <f>IF(C3247&amp;G3247&amp;D3247&lt;&gt;'Funnel setup'!$K$3&amp;'Funnel setup'!$K$4&amp;'Funnel setup'!$K$6,".",IF(A3246=".",1,A3246+1))</f>
        <v>.</v>
      </c>
      <c r="B3247" s="244" t="str">
        <f t="shared" si="50"/>
        <v>Knee Replacement RevisionProviderCHELSEA AND WESTMINSTER HOSPITAL NHS FOUNDATION TRUST (RQM)Oxford Knee Score</v>
      </c>
      <c r="C3247" t="s">
        <v>973</v>
      </c>
      <c r="D3247" t="s">
        <v>965</v>
      </c>
      <c r="E3247" t="s">
        <v>188</v>
      </c>
      <c r="F3247" t="s">
        <v>189</v>
      </c>
      <c r="G3247" t="s">
        <v>972</v>
      </c>
      <c r="H3247">
        <v>1</v>
      </c>
      <c r="I3247">
        <v>22</v>
      </c>
      <c r="J3247">
        <v>27</v>
      </c>
      <c r="K3247">
        <v>5</v>
      </c>
      <c r="L3247">
        <v>1</v>
      </c>
      <c r="M3247">
        <v>0</v>
      </c>
      <c r="N3247">
        <v>0</v>
      </c>
      <c r="O3247" t="s">
        <v>127</v>
      </c>
      <c r="P3247" t="s">
        <v>127</v>
      </c>
      <c r="Q3247" t="s">
        <v>127</v>
      </c>
    </row>
    <row r="3248" spans="1:17" x14ac:dyDescent="0.25">
      <c r="A3248" t="str">
        <f>IF(C3248&amp;G3248&amp;D3248&lt;&gt;'Funnel setup'!$K$3&amp;'Funnel setup'!$K$4&amp;'Funnel setup'!$K$6,".",IF(A3247=".",1,A3247+1))</f>
        <v>.</v>
      </c>
      <c r="B3248" s="244" t="str">
        <f t="shared" si="50"/>
        <v>Knee Replacement RevisionProviderCHESTERFIELD ROYAL HOSPITAL NHS FOUNDATION TRUST (RFS)Oxford Knee Score</v>
      </c>
      <c r="C3248" t="s">
        <v>973</v>
      </c>
      <c r="D3248" t="s">
        <v>965</v>
      </c>
      <c r="E3248" t="s">
        <v>192</v>
      </c>
      <c r="F3248" t="s">
        <v>193</v>
      </c>
      <c r="G3248" t="s">
        <v>972</v>
      </c>
      <c r="H3248">
        <v>2</v>
      </c>
      <c r="I3248">
        <v>6.5</v>
      </c>
      <c r="J3248">
        <v>18.5</v>
      </c>
      <c r="K3248">
        <v>12</v>
      </c>
      <c r="L3248">
        <v>2</v>
      </c>
      <c r="M3248">
        <v>0</v>
      </c>
      <c r="N3248">
        <v>0</v>
      </c>
      <c r="O3248" t="s">
        <v>127</v>
      </c>
      <c r="P3248" t="s">
        <v>127</v>
      </c>
      <c r="Q3248" t="s">
        <v>127</v>
      </c>
    </row>
    <row r="3249" spans="1:17" x14ac:dyDescent="0.25">
      <c r="A3249" t="str">
        <f>IF(C3249&amp;G3249&amp;D3249&lt;&gt;'Funnel setup'!$K$3&amp;'Funnel setup'!$K$4&amp;'Funnel setup'!$K$6,".",IF(A3248=".",1,A3248+1))</f>
        <v>.</v>
      </c>
      <c r="B3249" s="244" t="str">
        <f t="shared" si="50"/>
        <v>Knee Replacement RevisionProviderCLEMENTINE CHURCHILL HOSPITAL (NT411)Oxford Knee Score</v>
      </c>
      <c r="C3249" t="s">
        <v>973</v>
      </c>
      <c r="D3249" t="s">
        <v>965</v>
      </c>
      <c r="E3249" t="s">
        <v>200</v>
      </c>
      <c r="F3249" t="s">
        <v>201</v>
      </c>
      <c r="G3249" t="s">
        <v>972</v>
      </c>
      <c r="H3249" t="s">
        <v>127</v>
      </c>
      <c r="I3249" t="s">
        <v>127</v>
      </c>
      <c r="J3249" t="s">
        <v>127</v>
      </c>
      <c r="K3249" t="s">
        <v>127</v>
      </c>
      <c r="L3249" t="s">
        <v>127</v>
      </c>
      <c r="M3249" t="s">
        <v>127</v>
      </c>
      <c r="N3249" t="s">
        <v>127</v>
      </c>
      <c r="O3249" t="s">
        <v>127</v>
      </c>
      <c r="P3249" t="s">
        <v>127</v>
      </c>
      <c r="Q3249" t="s">
        <v>127</v>
      </c>
    </row>
    <row r="3250" spans="1:17" x14ac:dyDescent="0.25">
      <c r="A3250" t="str">
        <f>IF(C3250&amp;G3250&amp;D3250&lt;&gt;'Funnel setup'!$K$3&amp;'Funnel setup'!$K$4&amp;'Funnel setup'!$K$6,".",IF(A3249=".",1,A3249+1))</f>
        <v>.</v>
      </c>
      <c r="B3250" s="244" t="str">
        <f t="shared" si="50"/>
        <v>Knee Replacement RevisionProviderCLIFTON PARK HOSPITAL (NVC28)Oxford Knee Score</v>
      </c>
      <c r="C3250" t="s">
        <v>973</v>
      </c>
      <c r="D3250" t="s">
        <v>965</v>
      </c>
      <c r="E3250" t="s">
        <v>202</v>
      </c>
      <c r="F3250" t="s">
        <v>203</v>
      </c>
      <c r="G3250" t="s">
        <v>972</v>
      </c>
      <c r="H3250">
        <v>6</v>
      </c>
      <c r="I3250">
        <v>20.5</v>
      </c>
      <c r="J3250">
        <v>37.333300000000001</v>
      </c>
      <c r="K3250">
        <v>16.833300000000001</v>
      </c>
      <c r="L3250">
        <v>6</v>
      </c>
      <c r="M3250">
        <v>0</v>
      </c>
      <c r="N3250">
        <v>0</v>
      </c>
      <c r="O3250" t="s">
        <v>127</v>
      </c>
      <c r="P3250" t="s">
        <v>127</v>
      </c>
      <c r="Q3250" t="s">
        <v>127</v>
      </c>
    </row>
    <row r="3251" spans="1:17" x14ac:dyDescent="0.25">
      <c r="A3251" t="str">
        <f>IF(C3251&amp;G3251&amp;D3251&lt;&gt;'Funnel setup'!$K$3&amp;'Funnel setup'!$K$4&amp;'Funnel setup'!$K$6,".",IF(A3250=".",1,A3250+1))</f>
        <v>.</v>
      </c>
      <c r="B3251" s="244" t="str">
        <f t="shared" si="50"/>
        <v>Knee Replacement RevisionProviderCOUNTY DURHAM AND DARLINGTON NHS FOUNDATION TRUST (RXP)Oxford Knee Score</v>
      </c>
      <c r="C3251" t="s">
        <v>973</v>
      </c>
      <c r="D3251" t="s">
        <v>965</v>
      </c>
      <c r="E3251" t="s">
        <v>206</v>
      </c>
      <c r="F3251" t="s">
        <v>207</v>
      </c>
      <c r="G3251" t="s">
        <v>972</v>
      </c>
      <c r="H3251">
        <v>2</v>
      </c>
      <c r="I3251">
        <v>24.5</v>
      </c>
      <c r="J3251">
        <v>30</v>
      </c>
      <c r="K3251">
        <v>5.5</v>
      </c>
      <c r="L3251">
        <v>1</v>
      </c>
      <c r="M3251">
        <v>0</v>
      </c>
      <c r="N3251">
        <v>1</v>
      </c>
      <c r="O3251" t="s">
        <v>127</v>
      </c>
      <c r="P3251" t="s">
        <v>127</v>
      </c>
      <c r="Q3251" t="s">
        <v>127</v>
      </c>
    </row>
    <row r="3252" spans="1:17" x14ac:dyDescent="0.25">
      <c r="A3252" t="str">
        <f>IF(C3252&amp;G3252&amp;D3252&lt;&gt;'Funnel setup'!$K$3&amp;'Funnel setup'!$K$4&amp;'Funnel setup'!$K$6,".",IF(A3251=".",1,A3251+1))</f>
        <v>.</v>
      </c>
      <c r="B3252" s="244" t="str">
        <f t="shared" si="50"/>
        <v>Knee Replacement RevisionProviderDONCASTER AND BASSETLAW TEACHING HOSPITALS NHS FOUNDATION TRUST (RP5)Oxford Knee Score</v>
      </c>
      <c r="C3252" t="s">
        <v>973</v>
      </c>
      <c r="D3252" t="s">
        <v>965</v>
      </c>
      <c r="E3252" t="s">
        <v>212</v>
      </c>
      <c r="F3252" t="s">
        <v>213</v>
      </c>
      <c r="G3252" t="s">
        <v>972</v>
      </c>
      <c r="H3252">
        <v>1</v>
      </c>
      <c r="I3252">
        <v>13</v>
      </c>
      <c r="J3252">
        <v>18</v>
      </c>
      <c r="K3252">
        <v>5</v>
      </c>
      <c r="L3252">
        <v>1</v>
      </c>
      <c r="M3252">
        <v>0</v>
      </c>
      <c r="N3252">
        <v>0</v>
      </c>
      <c r="O3252" t="s">
        <v>127</v>
      </c>
      <c r="P3252" t="s">
        <v>127</v>
      </c>
      <c r="Q3252" t="s">
        <v>127</v>
      </c>
    </row>
    <row r="3253" spans="1:17" x14ac:dyDescent="0.25">
      <c r="A3253" t="str">
        <f>IF(C3253&amp;G3253&amp;D3253&lt;&gt;'Funnel setup'!$K$3&amp;'Funnel setup'!$K$4&amp;'Funnel setup'!$K$6,".",IF(A3252=".",1,A3252+1))</f>
        <v>.</v>
      </c>
      <c r="B3253" s="244" t="str">
        <f t="shared" si="50"/>
        <v>Knee Replacement RevisionProviderDUCHY HOSPITAL (NVC04)Oxford Knee Score</v>
      </c>
      <c r="C3253" t="s">
        <v>973</v>
      </c>
      <c r="D3253" t="s">
        <v>965</v>
      </c>
      <c r="E3253" t="s">
        <v>220</v>
      </c>
      <c r="F3253" t="s">
        <v>221</v>
      </c>
      <c r="G3253" t="s">
        <v>972</v>
      </c>
      <c r="H3253">
        <v>3</v>
      </c>
      <c r="I3253">
        <v>17.333300000000001</v>
      </c>
      <c r="J3253">
        <v>32.333300000000001</v>
      </c>
      <c r="K3253">
        <v>15</v>
      </c>
      <c r="L3253">
        <v>3</v>
      </c>
      <c r="M3253">
        <v>0</v>
      </c>
      <c r="N3253">
        <v>0</v>
      </c>
      <c r="O3253" t="s">
        <v>127</v>
      </c>
      <c r="P3253" t="s">
        <v>127</v>
      </c>
      <c r="Q3253" t="s">
        <v>127</v>
      </c>
    </row>
    <row r="3254" spans="1:17" x14ac:dyDescent="0.25">
      <c r="A3254" t="str">
        <f>IF(C3254&amp;G3254&amp;D3254&lt;&gt;'Funnel setup'!$K$3&amp;'Funnel setup'!$K$4&amp;'Funnel setup'!$K$6,".",IF(A3253=".",1,A3253+1))</f>
        <v>.</v>
      </c>
      <c r="B3254" s="244" t="str">
        <f t="shared" si="50"/>
        <v>Knee Replacement RevisionProviderEAST KENT HOSPITALS UNIVERSITY NHS FOUNDATION TRUST (RVV)Oxford Knee Score</v>
      </c>
      <c r="C3254" t="s">
        <v>973</v>
      </c>
      <c r="D3254" t="s">
        <v>965</v>
      </c>
      <c r="E3254" t="s">
        <v>228</v>
      </c>
      <c r="F3254" t="s">
        <v>229</v>
      </c>
      <c r="G3254" t="s">
        <v>972</v>
      </c>
      <c r="H3254">
        <v>8</v>
      </c>
      <c r="I3254">
        <v>13.75</v>
      </c>
      <c r="J3254">
        <v>35.625</v>
      </c>
      <c r="K3254">
        <v>21.875</v>
      </c>
      <c r="L3254">
        <v>8</v>
      </c>
      <c r="M3254">
        <v>0</v>
      </c>
      <c r="N3254">
        <v>0</v>
      </c>
      <c r="O3254" t="s">
        <v>127</v>
      </c>
      <c r="P3254" t="s">
        <v>127</v>
      </c>
      <c r="Q3254" t="s">
        <v>127</v>
      </c>
    </row>
    <row r="3255" spans="1:17" x14ac:dyDescent="0.25">
      <c r="A3255" t="str">
        <f>IF(C3255&amp;G3255&amp;D3255&lt;&gt;'Funnel setup'!$K$3&amp;'Funnel setup'!$K$4&amp;'Funnel setup'!$K$6,".",IF(A3254=".",1,A3254+1))</f>
        <v>.</v>
      </c>
      <c r="B3255" s="244" t="str">
        <f t="shared" si="50"/>
        <v>Knee Replacement RevisionProviderEAST LANCASHIRE HOSPITALS NHS TRUST (RXR)Oxford Knee Score</v>
      </c>
      <c r="C3255" t="s">
        <v>973</v>
      </c>
      <c r="D3255" t="s">
        <v>965</v>
      </c>
      <c r="E3255" t="s">
        <v>230</v>
      </c>
      <c r="F3255" t="s">
        <v>231</v>
      </c>
      <c r="G3255" t="s">
        <v>972</v>
      </c>
      <c r="H3255">
        <v>3</v>
      </c>
      <c r="I3255">
        <v>19.666699999999999</v>
      </c>
      <c r="J3255">
        <v>34</v>
      </c>
      <c r="K3255">
        <v>14.333299999999999</v>
      </c>
      <c r="L3255">
        <v>3</v>
      </c>
      <c r="M3255">
        <v>0</v>
      </c>
      <c r="N3255">
        <v>0</v>
      </c>
      <c r="O3255" t="s">
        <v>127</v>
      </c>
      <c r="P3255" t="s">
        <v>127</v>
      </c>
      <c r="Q3255" t="s">
        <v>127</v>
      </c>
    </row>
    <row r="3256" spans="1:17" x14ac:dyDescent="0.25">
      <c r="A3256" t="str">
        <f>IF(C3256&amp;G3256&amp;D3256&lt;&gt;'Funnel setup'!$K$3&amp;'Funnel setup'!$K$4&amp;'Funnel setup'!$K$6,".",IF(A3255=".",1,A3255+1))</f>
        <v>.</v>
      </c>
      <c r="B3256" s="244" t="str">
        <f t="shared" si="50"/>
        <v>Knee Replacement RevisionProviderEAST SUFFOLK AND NORTH ESSEX NHS FOUNDATION TRUST (RDE)Oxford Knee Score</v>
      </c>
      <c r="C3256" t="s">
        <v>973</v>
      </c>
      <c r="D3256" t="s">
        <v>965</v>
      </c>
      <c r="E3256" t="s">
        <v>232</v>
      </c>
      <c r="F3256" t="s">
        <v>233</v>
      </c>
      <c r="G3256" t="s">
        <v>972</v>
      </c>
      <c r="H3256">
        <v>3</v>
      </c>
      <c r="I3256">
        <v>13</v>
      </c>
      <c r="J3256">
        <v>39.666699999999999</v>
      </c>
      <c r="K3256">
        <v>26.666699999999999</v>
      </c>
      <c r="L3256">
        <v>3</v>
      </c>
      <c r="M3256">
        <v>0</v>
      </c>
      <c r="N3256">
        <v>0</v>
      </c>
      <c r="O3256" t="s">
        <v>127</v>
      </c>
      <c r="P3256" t="s">
        <v>127</v>
      </c>
      <c r="Q3256" t="s">
        <v>127</v>
      </c>
    </row>
    <row r="3257" spans="1:17" x14ac:dyDescent="0.25">
      <c r="A3257" t="str">
        <f>IF(C3257&amp;G3257&amp;D3257&lt;&gt;'Funnel setup'!$K$3&amp;'Funnel setup'!$K$4&amp;'Funnel setup'!$K$6,".",IF(A3256=".",1,A3256+1))</f>
        <v>.</v>
      </c>
      <c r="B3257" s="244" t="str">
        <f t="shared" si="50"/>
        <v>Knee Replacement RevisionProviderEAST SUSSEX HEALTHCARE NHS TRUST (RXC)Oxford Knee Score</v>
      </c>
      <c r="C3257" t="s">
        <v>973</v>
      </c>
      <c r="D3257" t="s">
        <v>965</v>
      </c>
      <c r="E3257" t="s">
        <v>234</v>
      </c>
      <c r="F3257" t="s">
        <v>235</v>
      </c>
      <c r="G3257" t="s">
        <v>972</v>
      </c>
      <c r="H3257">
        <v>5</v>
      </c>
      <c r="I3257">
        <v>10.8</v>
      </c>
      <c r="J3257">
        <v>36.200000000000003</v>
      </c>
      <c r="K3257">
        <v>25.4</v>
      </c>
      <c r="L3257">
        <v>4</v>
      </c>
      <c r="M3257">
        <v>0</v>
      </c>
      <c r="N3257">
        <v>1</v>
      </c>
      <c r="O3257" t="s">
        <v>127</v>
      </c>
      <c r="P3257" t="s">
        <v>127</v>
      </c>
      <c r="Q3257" t="s">
        <v>127</v>
      </c>
    </row>
    <row r="3258" spans="1:17" x14ac:dyDescent="0.25">
      <c r="A3258" t="str">
        <f>IF(C3258&amp;G3258&amp;D3258&lt;&gt;'Funnel setup'!$K$3&amp;'Funnel setup'!$K$4&amp;'Funnel setup'!$K$6,".",IF(A3257=".",1,A3257+1))</f>
        <v>.</v>
      </c>
      <c r="B3258" s="244" t="str">
        <f t="shared" si="50"/>
        <v>Knee Replacement RevisionProviderEPSOM AND ST HELIER UNIVERSITY HOSPITALS NHS TRUST (RVR)Oxford Knee Score</v>
      </c>
      <c r="C3258" t="s">
        <v>973</v>
      </c>
      <c r="D3258" t="s">
        <v>965</v>
      </c>
      <c r="E3258" t="s">
        <v>238</v>
      </c>
      <c r="F3258" t="s">
        <v>239</v>
      </c>
      <c r="G3258" t="s">
        <v>972</v>
      </c>
      <c r="H3258">
        <v>15</v>
      </c>
      <c r="I3258">
        <v>16.866700000000002</v>
      </c>
      <c r="J3258">
        <v>30.4</v>
      </c>
      <c r="K3258">
        <v>13.533300000000001</v>
      </c>
      <c r="L3258">
        <v>12</v>
      </c>
      <c r="M3258">
        <v>0</v>
      </c>
      <c r="N3258">
        <v>3</v>
      </c>
      <c r="O3258" t="s">
        <v>127</v>
      </c>
      <c r="P3258" t="s">
        <v>127</v>
      </c>
      <c r="Q3258" t="s">
        <v>127</v>
      </c>
    </row>
    <row r="3259" spans="1:17" x14ac:dyDescent="0.25">
      <c r="A3259" t="str">
        <f>IF(C3259&amp;G3259&amp;D3259&lt;&gt;'Funnel setup'!$K$3&amp;'Funnel setup'!$K$4&amp;'Funnel setup'!$K$6,".",IF(A3258=".",1,A3258+1))</f>
        <v>.</v>
      </c>
      <c r="B3259" s="244" t="str">
        <f t="shared" si="50"/>
        <v>Knee Replacement RevisionProviderEUXTON HALL HOSPITAL (NVC05)Oxford Knee Score</v>
      </c>
      <c r="C3259" t="s">
        <v>973</v>
      </c>
      <c r="D3259" t="s">
        <v>965</v>
      </c>
      <c r="E3259" t="s">
        <v>240</v>
      </c>
      <c r="F3259" t="s">
        <v>241</v>
      </c>
      <c r="G3259" t="s">
        <v>972</v>
      </c>
      <c r="H3259" t="s">
        <v>127</v>
      </c>
      <c r="I3259" t="s">
        <v>127</v>
      </c>
      <c r="J3259" t="s">
        <v>127</v>
      </c>
      <c r="K3259" t="s">
        <v>127</v>
      </c>
      <c r="L3259" t="s">
        <v>127</v>
      </c>
      <c r="M3259" t="s">
        <v>127</v>
      </c>
      <c r="N3259" t="s">
        <v>127</v>
      </c>
      <c r="O3259" t="s">
        <v>127</v>
      </c>
      <c r="P3259" t="s">
        <v>127</v>
      </c>
      <c r="Q3259" t="s">
        <v>127</v>
      </c>
    </row>
    <row r="3260" spans="1:17" x14ac:dyDescent="0.25">
      <c r="A3260" t="str">
        <f>IF(C3260&amp;G3260&amp;D3260&lt;&gt;'Funnel setup'!$K$3&amp;'Funnel setup'!$K$4&amp;'Funnel setup'!$K$6,".",IF(A3259=".",1,A3259+1))</f>
        <v>.</v>
      </c>
      <c r="B3260" s="244" t="str">
        <f t="shared" si="50"/>
        <v>Knee Replacement RevisionProviderFRIMLEY HEALTH NHS FOUNDATION TRUST (RDU)Oxford Knee Score</v>
      </c>
      <c r="C3260" t="s">
        <v>973</v>
      </c>
      <c r="D3260" t="s">
        <v>965</v>
      </c>
      <c r="E3260" t="s">
        <v>248</v>
      </c>
      <c r="F3260" t="s">
        <v>249</v>
      </c>
      <c r="G3260" t="s">
        <v>972</v>
      </c>
      <c r="H3260">
        <v>7</v>
      </c>
      <c r="I3260">
        <v>19.428599999999999</v>
      </c>
      <c r="J3260">
        <v>32.285699999999999</v>
      </c>
      <c r="K3260">
        <v>12.857100000000001</v>
      </c>
      <c r="L3260">
        <v>6</v>
      </c>
      <c r="M3260">
        <v>0</v>
      </c>
      <c r="N3260">
        <v>1</v>
      </c>
      <c r="O3260" t="s">
        <v>127</v>
      </c>
      <c r="P3260" t="s">
        <v>127</v>
      </c>
      <c r="Q3260" t="s">
        <v>127</v>
      </c>
    </row>
    <row r="3261" spans="1:17" x14ac:dyDescent="0.25">
      <c r="A3261" t="str">
        <f>IF(C3261&amp;G3261&amp;D3261&lt;&gt;'Funnel setup'!$K$3&amp;'Funnel setup'!$K$4&amp;'Funnel setup'!$K$6,".",IF(A3260=".",1,A3260+1))</f>
        <v>.</v>
      </c>
      <c r="B3261" s="244" t="str">
        <f t="shared" si="50"/>
        <v>Knee Replacement RevisionProviderGATESHEAD HEALTH NHS FOUNDATION TRUST (RR7)Oxford Knee Score</v>
      </c>
      <c r="C3261" t="s">
        <v>973</v>
      </c>
      <c r="D3261" t="s">
        <v>965</v>
      </c>
      <c r="E3261" t="s">
        <v>252</v>
      </c>
      <c r="F3261" t="s">
        <v>253</v>
      </c>
      <c r="G3261" t="s">
        <v>972</v>
      </c>
      <c r="H3261">
        <v>3</v>
      </c>
      <c r="I3261">
        <v>15.333299999999999</v>
      </c>
      <c r="J3261">
        <v>24</v>
      </c>
      <c r="K3261">
        <v>8.6666699999999999</v>
      </c>
      <c r="L3261">
        <v>3</v>
      </c>
      <c r="M3261">
        <v>0</v>
      </c>
      <c r="N3261">
        <v>0</v>
      </c>
      <c r="O3261" t="s">
        <v>127</v>
      </c>
      <c r="P3261" t="s">
        <v>127</v>
      </c>
      <c r="Q3261" t="s">
        <v>127</v>
      </c>
    </row>
    <row r="3262" spans="1:17" x14ac:dyDescent="0.25">
      <c r="A3262" t="str">
        <f>IF(C3262&amp;G3262&amp;D3262&lt;&gt;'Funnel setup'!$K$3&amp;'Funnel setup'!$K$4&amp;'Funnel setup'!$K$6,".",IF(A3261=".",1,A3261+1))</f>
        <v>.</v>
      </c>
      <c r="B3262" s="244" t="str">
        <f t="shared" si="50"/>
        <v>Knee Replacement RevisionProviderGLOUCESTERSHIRE HOSPITALS NHS FOUNDATION TRUST (RTE)Oxford Knee Score</v>
      </c>
      <c r="C3262" t="s">
        <v>973</v>
      </c>
      <c r="D3262" t="s">
        <v>965</v>
      </c>
      <c r="E3262" t="s">
        <v>256</v>
      </c>
      <c r="F3262" t="s">
        <v>257</v>
      </c>
      <c r="G3262" t="s">
        <v>972</v>
      </c>
      <c r="H3262">
        <v>2</v>
      </c>
      <c r="I3262">
        <v>13.5</v>
      </c>
      <c r="J3262">
        <v>34.5</v>
      </c>
      <c r="K3262">
        <v>21</v>
      </c>
      <c r="L3262">
        <v>2</v>
      </c>
      <c r="M3262">
        <v>0</v>
      </c>
      <c r="N3262">
        <v>0</v>
      </c>
      <c r="O3262" t="s">
        <v>127</v>
      </c>
      <c r="P3262" t="s">
        <v>127</v>
      </c>
      <c r="Q3262" t="s">
        <v>127</v>
      </c>
    </row>
    <row r="3263" spans="1:17" x14ac:dyDescent="0.25">
      <c r="A3263" t="str">
        <f>IF(C3263&amp;G3263&amp;D3263&lt;&gt;'Funnel setup'!$K$3&amp;'Funnel setup'!$K$4&amp;'Funnel setup'!$K$6,".",IF(A3262=".",1,A3262+1))</f>
        <v>.</v>
      </c>
      <c r="B3263" s="244" t="str">
        <f t="shared" si="50"/>
        <v>Knee Replacement RevisionProviderGORING HALL HOSPITAL (NT417)Oxford Knee Score</v>
      </c>
      <c r="C3263" t="s">
        <v>973</v>
      </c>
      <c r="D3263" t="s">
        <v>965</v>
      </c>
      <c r="E3263" t="s">
        <v>258</v>
      </c>
      <c r="F3263" t="s">
        <v>259</v>
      </c>
      <c r="G3263" t="s">
        <v>972</v>
      </c>
      <c r="H3263">
        <v>1</v>
      </c>
      <c r="I3263">
        <v>10</v>
      </c>
      <c r="J3263">
        <v>30</v>
      </c>
      <c r="K3263">
        <v>20</v>
      </c>
      <c r="L3263">
        <v>1</v>
      </c>
      <c r="M3263">
        <v>0</v>
      </c>
      <c r="N3263">
        <v>0</v>
      </c>
      <c r="O3263" t="s">
        <v>127</v>
      </c>
      <c r="P3263" t="s">
        <v>127</v>
      </c>
      <c r="Q3263" t="s">
        <v>127</v>
      </c>
    </row>
    <row r="3264" spans="1:17" x14ac:dyDescent="0.25">
      <c r="A3264" t="str">
        <f>IF(C3264&amp;G3264&amp;D3264&lt;&gt;'Funnel setup'!$K$3&amp;'Funnel setup'!$K$4&amp;'Funnel setup'!$K$6,".",IF(A3263=".",1,A3263+1))</f>
        <v>.</v>
      </c>
      <c r="B3264" s="244" t="str">
        <f t="shared" si="50"/>
        <v>Knee Replacement RevisionProviderGUY'S AND ST THOMAS' NHS FOUNDATION TRUST (RJ1)Oxford Knee Score</v>
      </c>
      <c r="C3264" t="s">
        <v>973</v>
      </c>
      <c r="D3264" t="s">
        <v>965</v>
      </c>
      <c r="E3264" t="s">
        <v>262</v>
      </c>
      <c r="F3264" t="s">
        <v>263</v>
      </c>
      <c r="G3264" t="s">
        <v>972</v>
      </c>
      <c r="H3264">
        <v>12</v>
      </c>
      <c r="I3264">
        <v>11</v>
      </c>
      <c r="J3264">
        <v>21.333300000000001</v>
      </c>
      <c r="K3264">
        <v>10.333299999999999</v>
      </c>
      <c r="L3264">
        <v>10</v>
      </c>
      <c r="M3264">
        <v>0</v>
      </c>
      <c r="N3264">
        <v>2</v>
      </c>
      <c r="O3264" t="s">
        <v>127</v>
      </c>
      <c r="P3264" t="s">
        <v>127</v>
      </c>
      <c r="Q3264" t="s">
        <v>127</v>
      </c>
    </row>
    <row r="3265" spans="1:17" x14ac:dyDescent="0.25">
      <c r="A3265" t="str">
        <f>IF(C3265&amp;G3265&amp;D3265&lt;&gt;'Funnel setup'!$K$3&amp;'Funnel setup'!$K$4&amp;'Funnel setup'!$K$6,".",IF(A3264=".",1,A3264+1))</f>
        <v>.</v>
      </c>
      <c r="B3265" s="244" t="str">
        <f t="shared" si="50"/>
        <v>Knee Replacement RevisionProviderHAMPSHIRE CLINIC (NT418)Oxford Knee Score</v>
      </c>
      <c r="C3265" t="s">
        <v>973</v>
      </c>
      <c r="D3265" t="s">
        <v>965</v>
      </c>
      <c r="E3265" t="s">
        <v>264</v>
      </c>
      <c r="F3265" t="s">
        <v>265</v>
      </c>
      <c r="G3265" t="s">
        <v>972</v>
      </c>
      <c r="H3265" t="s">
        <v>127</v>
      </c>
      <c r="I3265" t="s">
        <v>127</v>
      </c>
      <c r="J3265" t="s">
        <v>127</v>
      </c>
      <c r="K3265" t="s">
        <v>127</v>
      </c>
      <c r="L3265" t="s">
        <v>127</v>
      </c>
      <c r="M3265" t="s">
        <v>127</v>
      </c>
      <c r="N3265" t="s">
        <v>127</v>
      </c>
      <c r="O3265" t="s">
        <v>127</v>
      </c>
      <c r="P3265" t="s">
        <v>127</v>
      </c>
      <c r="Q3265" t="s">
        <v>127</v>
      </c>
    </row>
    <row r="3266" spans="1:17" x14ac:dyDescent="0.25">
      <c r="A3266" t="str">
        <f>IF(C3266&amp;G3266&amp;D3266&lt;&gt;'Funnel setup'!$K$3&amp;'Funnel setup'!$K$4&amp;'Funnel setup'!$K$6,".",IF(A3265=".",1,A3265+1))</f>
        <v>.</v>
      </c>
      <c r="B3266" s="244" t="str">
        <f t="shared" ref="B3266:B3329" si="51">C3266&amp;D3266&amp;F3266&amp;G3266</f>
        <v>Knee Replacement RevisionProviderHAMPSHIRE HOSPITALS NHS FOUNDATION TRUST (RN5)Oxford Knee Score</v>
      </c>
      <c r="C3266" t="s">
        <v>973</v>
      </c>
      <c r="D3266" t="s">
        <v>965</v>
      </c>
      <c r="E3266" t="s">
        <v>266</v>
      </c>
      <c r="F3266" t="s">
        <v>267</v>
      </c>
      <c r="G3266" t="s">
        <v>972</v>
      </c>
      <c r="H3266">
        <v>1</v>
      </c>
      <c r="I3266">
        <v>27</v>
      </c>
      <c r="J3266">
        <v>26</v>
      </c>
      <c r="K3266">
        <v>-1</v>
      </c>
      <c r="L3266">
        <v>0</v>
      </c>
      <c r="M3266">
        <v>0</v>
      </c>
      <c r="N3266">
        <v>1</v>
      </c>
      <c r="O3266" t="s">
        <v>127</v>
      </c>
      <c r="P3266" t="s">
        <v>127</v>
      </c>
      <c r="Q3266" t="s">
        <v>127</v>
      </c>
    </row>
    <row r="3267" spans="1:17" x14ac:dyDescent="0.25">
      <c r="A3267" t="str">
        <f>IF(C3267&amp;G3267&amp;D3267&lt;&gt;'Funnel setup'!$K$3&amp;'Funnel setup'!$K$4&amp;'Funnel setup'!$K$6,".",IF(A3266=".",1,A3266+1))</f>
        <v>.</v>
      </c>
      <c r="B3267" s="244" t="str">
        <f t="shared" si="51"/>
        <v>Knee Replacement RevisionProviderHARROGATE AND DISTRICT NHS FOUNDATION TRUST (RCD)Oxford Knee Score</v>
      </c>
      <c r="C3267" t="s">
        <v>973</v>
      </c>
      <c r="D3267" t="s">
        <v>965</v>
      </c>
      <c r="E3267" t="s">
        <v>270</v>
      </c>
      <c r="F3267" t="s">
        <v>271</v>
      </c>
      <c r="G3267" t="s">
        <v>972</v>
      </c>
      <c r="H3267">
        <v>9</v>
      </c>
      <c r="I3267">
        <v>17.777799999999999</v>
      </c>
      <c r="J3267">
        <v>31.333300000000001</v>
      </c>
      <c r="K3267">
        <v>13.5556</v>
      </c>
      <c r="L3267">
        <v>8</v>
      </c>
      <c r="M3267">
        <v>0</v>
      </c>
      <c r="N3267">
        <v>1</v>
      </c>
      <c r="O3267" t="s">
        <v>127</v>
      </c>
      <c r="P3267" t="s">
        <v>127</v>
      </c>
      <c r="Q3267" t="s">
        <v>127</v>
      </c>
    </row>
    <row r="3268" spans="1:17" x14ac:dyDescent="0.25">
      <c r="A3268" t="str">
        <f>IF(C3268&amp;G3268&amp;D3268&lt;&gt;'Funnel setup'!$K$3&amp;'Funnel setup'!$K$4&amp;'Funnel setup'!$K$6,".",IF(A3267=".",1,A3267+1))</f>
        <v>.</v>
      </c>
      <c r="B3268" s="244" t="str">
        <f t="shared" si="51"/>
        <v>Knee Replacement RevisionProviderHULL UNIVERSITY TEACHING HOSPITALS NHS TRUST (RWA)Oxford Knee Score</v>
      </c>
      <c r="C3268" t="s">
        <v>973</v>
      </c>
      <c r="D3268" t="s">
        <v>965</v>
      </c>
      <c r="E3268" t="s">
        <v>278</v>
      </c>
      <c r="F3268" t="s">
        <v>279</v>
      </c>
      <c r="G3268" t="s">
        <v>972</v>
      </c>
      <c r="H3268">
        <v>4</v>
      </c>
      <c r="I3268">
        <v>18</v>
      </c>
      <c r="J3268">
        <v>19.75</v>
      </c>
      <c r="K3268">
        <v>1.75</v>
      </c>
      <c r="L3268">
        <v>3</v>
      </c>
      <c r="M3268">
        <v>0</v>
      </c>
      <c r="N3268">
        <v>1</v>
      </c>
      <c r="O3268" t="s">
        <v>127</v>
      </c>
      <c r="P3268" t="s">
        <v>127</v>
      </c>
      <c r="Q3268" t="s">
        <v>127</v>
      </c>
    </row>
    <row r="3269" spans="1:17" x14ac:dyDescent="0.25">
      <c r="A3269" t="str">
        <f>IF(C3269&amp;G3269&amp;D3269&lt;&gt;'Funnel setup'!$K$3&amp;'Funnel setup'!$K$4&amp;'Funnel setup'!$K$6,".",IF(A3268=".",1,A3268+1))</f>
        <v>.</v>
      </c>
      <c r="B3269" s="244" t="str">
        <f t="shared" si="51"/>
        <v>Knee Replacement RevisionProviderISLE OF WIGHT NHS TRUST (R1F)Oxford Knee Score</v>
      </c>
      <c r="C3269" t="s">
        <v>973</v>
      </c>
      <c r="D3269" t="s">
        <v>965</v>
      </c>
      <c r="E3269" t="s">
        <v>282</v>
      </c>
      <c r="F3269" t="s">
        <v>283</v>
      </c>
      <c r="G3269" t="s">
        <v>972</v>
      </c>
      <c r="H3269">
        <v>1</v>
      </c>
      <c r="I3269">
        <v>11</v>
      </c>
      <c r="J3269">
        <v>11</v>
      </c>
      <c r="K3269">
        <v>0</v>
      </c>
      <c r="L3269">
        <v>0</v>
      </c>
      <c r="M3269">
        <v>1</v>
      </c>
      <c r="N3269">
        <v>0</v>
      </c>
      <c r="O3269" t="s">
        <v>127</v>
      </c>
      <c r="P3269" t="s">
        <v>127</v>
      </c>
      <c r="Q3269" t="s">
        <v>127</v>
      </c>
    </row>
    <row r="3270" spans="1:17" x14ac:dyDescent="0.25">
      <c r="A3270" t="str">
        <f>IF(C3270&amp;G3270&amp;D3270&lt;&gt;'Funnel setup'!$K$3&amp;'Funnel setup'!$K$4&amp;'Funnel setup'!$K$6,".",IF(A3269=".",1,A3269+1))</f>
        <v>.</v>
      </c>
      <c r="B3270" s="244" t="str">
        <f t="shared" si="51"/>
        <v>Knee Replacement RevisionProviderJAMES PAGET UNIVERSITY HOSPITALS NHS FOUNDATION TRUST (RGP)Oxford Knee Score</v>
      </c>
      <c r="C3270" t="s">
        <v>973</v>
      </c>
      <c r="D3270" t="s">
        <v>965</v>
      </c>
      <c r="E3270" t="s">
        <v>284</v>
      </c>
      <c r="F3270" t="s">
        <v>285</v>
      </c>
      <c r="G3270" t="s">
        <v>972</v>
      </c>
      <c r="H3270">
        <v>5</v>
      </c>
      <c r="I3270">
        <v>21.2</v>
      </c>
      <c r="J3270">
        <v>36</v>
      </c>
      <c r="K3270">
        <v>14.8</v>
      </c>
      <c r="L3270">
        <v>5</v>
      </c>
      <c r="M3270">
        <v>0</v>
      </c>
      <c r="N3270">
        <v>0</v>
      </c>
      <c r="O3270" t="s">
        <v>127</v>
      </c>
      <c r="P3270" t="s">
        <v>127</v>
      </c>
      <c r="Q3270" t="s">
        <v>127</v>
      </c>
    </row>
    <row r="3271" spans="1:17" x14ac:dyDescent="0.25">
      <c r="A3271" t="str">
        <f>IF(C3271&amp;G3271&amp;D3271&lt;&gt;'Funnel setup'!$K$3&amp;'Funnel setup'!$K$4&amp;'Funnel setup'!$K$6,".",IF(A3270=".",1,A3270+1))</f>
        <v>.</v>
      </c>
      <c r="B3271" s="244" t="str">
        <f t="shared" si="51"/>
        <v>Knee Replacement RevisionProviderKETTERING GENERAL HOSPITAL NHS FOUNDATION TRUST (RNQ)Oxford Knee Score</v>
      </c>
      <c r="C3271" t="s">
        <v>973</v>
      </c>
      <c r="D3271" t="s">
        <v>965</v>
      </c>
      <c r="E3271" t="s">
        <v>286</v>
      </c>
      <c r="F3271" t="s">
        <v>287</v>
      </c>
      <c r="G3271" t="s">
        <v>972</v>
      </c>
      <c r="H3271">
        <v>7</v>
      </c>
      <c r="I3271">
        <v>15</v>
      </c>
      <c r="J3271">
        <v>31.857099999999999</v>
      </c>
      <c r="K3271">
        <v>16.857099999999999</v>
      </c>
      <c r="L3271">
        <v>6</v>
      </c>
      <c r="M3271">
        <v>0</v>
      </c>
      <c r="N3271">
        <v>1</v>
      </c>
      <c r="O3271" t="s">
        <v>127</v>
      </c>
      <c r="P3271" t="s">
        <v>127</v>
      </c>
      <c r="Q3271" t="s">
        <v>127</v>
      </c>
    </row>
    <row r="3272" spans="1:17" x14ac:dyDescent="0.25">
      <c r="A3272" t="str">
        <f>IF(C3272&amp;G3272&amp;D3272&lt;&gt;'Funnel setup'!$K$3&amp;'Funnel setup'!$K$4&amp;'Funnel setup'!$K$6,".",IF(A3271=".",1,A3271+1))</f>
        <v>.</v>
      </c>
      <c r="B3272" s="244" t="str">
        <f t="shared" si="51"/>
        <v>Knee Replacement RevisionProviderLANCASHIRE TEACHING HOSPITALS NHS FOUNDATION TRUST (RXN)Oxford Knee Score</v>
      </c>
      <c r="C3272" t="s">
        <v>973</v>
      </c>
      <c r="D3272" t="s">
        <v>965</v>
      </c>
      <c r="E3272" t="s">
        <v>296</v>
      </c>
      <c r="F3272" t="s">
        <v>297</v>
      </c>
      <c r="G3272" t="s">
        <v>972</v>
      </c>
      <c r="H3272">
        <v>6</v>
      </c>
      <c r="I3272">
        <v>21.666699999999999</v>
      </c>
      <c r="J3272">
        <v>34.166699999999999</v>
      </c>
      <c r="K3272">
        <v>12.5</v>
      </c>
      <c r="L3272">
        <v>5</v>
      </c>
      <c r="M3272">
        <v>0</v>
      </c>
      <c r="N3272">
        <v>1</v>
      </c>
      <c r="O3272" t="s">
        <v>127</v>
      </c>
      <c r="P3272" t="s">
        <v>127</v>
      </c>
      <c r="Q3272" t="s">
        <v>127</v>
      </c>
    </row>
    <row r="3273" spans="1:17" x14ac:dyDescent="0.25">
      <c r="A3273" t="str">
        <f>IF(C3273&amp;G3273&amp;D3273&lt;&gt;'Funnel setup'!$K$3&amp;'Funnel setup'!$K$4&amp;'Funnel setup'!$K$6,".",IF(A3272=".",1,A3272+1))</f>
        <v>.</v>
      </c>
      <c r="B3273" s="244" t="str">
        <f t="shared" si="51"/>
        <v>Knee Replacement RevisionProviderLEEDS TEACHING HOSPITALS NHS TRUST (RR8)Oxford Knee Score</v>
      </c>
      <c r="C3273" t="s">
        <v>973</v>
      </c>
      <c r="D3273" t="s">
        <v>965</v>
      </c>
      <c r="E3273" t="s">
        <v>300</v>
      </c>
      <c r="F3273" t="s">
        <v>301</v>
      </c>
      <c r="G3273" t="s">
        <v>972</v>
      </c>
      <c r="H3273">
        <v>11</v>
      </c>
      <c r="I3273">
        <v>15.545500000000001</v>
      </c>
      <c r="J3273">
        <v>29</v>
      </c>
      <c r="K3273">
        <v>13.454499999999999</v>
      </c>
      <c r="L3273">
        <v>11</v>
      </c>
      <c r="M3273">
        <v>0</v>
      </c>
      <c r="N3273">
        <v>0</v>
      </c>
      <c r="O3273" t="s">
        <v>127</v>
      </c>
      <c r="P3273" t="s">
        <v>127</v>
      </c>
      <c r="Q3273" t="s">
        <v>127</v>
      </c>
    </row>
    <row r="3274" spans="1:17" x14ac:dyDescent="0.25">
      <c r="A3274" t="str">
        <f>IF(C3274&amp;G3274&amp;D3274&lt;&gt;'Funnel setup'!$K$3&amp;'Funnel setup'!$K$4&amp;'Funnel setup'!$K$6,".",IF(A3273=".",1,A3273+1))</f>
        <v>.</v>
      </c>
      <c r="B3274" s="244" t="str">
        <f t="shared" si="51"/>
        <v>Knee Replacement RevisionProviderLINCOLN HOSPITAL (NT450)Oxford Knee Score</v>
      </c>
      <c r="C3274" t="s">
        <v>973</v>
      </c>
      <c r="D3274" t="s">
        <v>965</v>
      </c>
      <c r="E3274" t="s">
        <v>304</v>
      </c>
      <c r="F3274" t="s">
        <v>305</v>
      </c>
      <c r="G3274" t="s">
        <v>972</v>
      </c>
      <c r="H3274" t="s">
        <v>127</v>
      </c>
      <c r="I3274" t="s">
        <v>127</v>
      </c>
      <c r="J3274" t="s">
        <v>127</v>
      </c>
      <c r="K3274" t="s">
        <v>127</v>
      </c>
      <c r="L3274" t="s">
        <v>127</v>
      </c>
      <c r="M3274" t="s">
        <v>127</v>
      </c>
      <c r="N3274" t="s">
        <v>127</v>
      </c>
      <c r="O3274" t="s">
        <v>127</v>
      </c>
      <c r="P3274" t="s">
        <v>127</v>
      </c>
      <c r="Q3274" t="s">
        <v>127</v>
      </c>
    </row>
    <row r="3275" spans="1:17" x14ac:dyDescent="0.25">
      <c r="A3275" t="str">
        <f>IF(C3275&amp;G3275&amp;D3275&lt;&gt;'Funnel setup'!$K$3&amp;'Funnel setup'!$K$4&amp;'Funnel setup'!$K$6,".",IF(A3274=".",1,A3274+1))</f>
        <v>.</v>
      </c>
      <c r="B3275" s="244" t="str">
        <f t="shared" si="51"/>
        <v>Knee Replacement RevisionProviderLIVERPOOL UNIVERSITY HOSPITALS NHS FOUNDATION TRUST (REM)Oxford Knee Score</v>
      </c>
      <c r="C3275" t="s">
        <v>973</v>
      </c>
      <c r="D3275" t="s">
        <v>965</v>
      </c>
      <c r="E3275" t="s">
        <v>306</v>
      </c>
      <c r="F3275" t="s">
        <v>307</v>
      </c>
      <c r="G3275" t="s">
        <v>972</v>
      </c>
      <c r="H3275">
        <v>1</v>
      </c>
      <c r="I3275">
        <v>6</v>
      </c>
      <c r="J3275">
        <v>25</v>
      </c>
      <c r="K3275">
        <v>19</v>
      </c>
      <c r="L3275">
        <v>1</v>
      </c>
      <c r="M3275">
        <v>0</v>
      </c>
      <c r="N3275">
        <v>0</v>
      </c>
      <c r="O3275" t="s">
        <v>127</v>
      </c>
      <c r="P3275" t="s">
        <v>127</v>
      </c>
      <c r="Q3275" t="s">
        <v>127</v>
      </c>
    </row>
    <row r="3276" spans="1:17" x14ac:dyDescent="0.25">
      <c r="A3276" t="str">
        <f>IF(C3276&amp;G3276&amp;D3276&lt;&gt;'Funnel setup'!$K$3&amp;'Funnel setup'!$K$4&amp;'Funnel setup'!$K$6,".",IF(A3275=".",1,A3275+1))</f>
        <v>.</v>
      </c>
      <c r="B3276" s="244" t="str">
        <f t="shared" si="51"/>
        <v>Knee Replacement RevisionProviderMAIDSTONE AND TUNBRIDGE WELLS NHS TRUST (RWF)Oxford Knee Score</v>
      </c>
      <c r="C3276" t="s">
        <v>973</v>
      </c>
      <c r="D3276" t="s">
        <v>965</v>
      </c>
      <c r="E3276" t="s">
        <v>312</v>
      </c>
      <c r="F3276" t="s">
        <v>313</v>
      </c>
      <c r="G3276" t="s">
        <v>972</v>
      </c>
      <c r="H3276">
        <v>1</v>
      </c>
      <c r="I3276">
        <v>28</v>
      </c>
      <c r="J3276">
        <v>24</v>
      </c>
      <c r="K3276">
        <v>-4</v>
      </c>
      <c r="L3276">
        <v>0</v>
      </c>
      <c r="M3276">
        <v>0</v>
      </c>
      <c r="N3276">
        <v>1</v>
      </c>
      <c r="O3276" t="s">
        <v>127</v>
      </c>
      <c r="P3276" t="s">
        <v>127</v>
      </c>
      <c r="Q3276" t="s">
        <v>127</v>
      </c>
    </row>
    <row r="3277" spans="1:17" x14ac:dyDescent="0.25">
      <c r="A3277" t="str">
        <f>IF(C3277&amp;G3277&amp;D3277&lt;&gt;'Funnel setup'!$K$3&amp;'Funnel setup'!$K$4&amp;'Funnel setup'!$K$6,".",IF(A3276=".",1,A3276+1))</f>
        <v>.</v>
      </c>
      <c r="B3277" s="244" t="str">
        <f t="shared" si="51"/>
        <v>Knee Replacement RevisionProviderMANCHESTER UNIVERSITY NHS FOUNDATION TRUST (R0A)Oxford Knee Score</v>
      </c>
      <c r="C3277" t="s">
        <v>973</v>
      </c>
      <c r="D3277" t="s">
        <v>965</v>
      </c>
      <c r="E3277" t="s">
        <v>316</v>
      </c>
      <c r="F3277" t="s">
        <v>317</v>
      </c>
      <c r="G3277" t="s">
        <v>972</v>
      </c>
      <c r="H3277">
        <v>6</v>
      </c>
      <c r="I3277">
        <v>13</v>
      </c>
      <c r="J3277">
        <v>24</v>
      </c>
      <c r="K3277">
        <v>11</v>
      </c>
      <c r="L3277">
        <v>5</v>
      </c>
      <c r="M3277">
        <v>0</v>
      </c>
      <c r="N3277">
        <v>1</v>
      </c>
      <c r="O3277" t="s">
        <v>127</v>
      </c>
      <c r="P3277" t="s">
        <v>127</v>
      </c>
      <c r="Q3277" t="s">
        <v>127</v>
      </c>
    </row>
    <row r="3278" spans="1:17" x14ac:dyDescent="0.25">
      <c r="A3278" t="str">
        <f>IF(C3278&amp;G3278&amp;D3278&lt;&gt;'Funnel setup'!$K$3&amp;'Funnel setup'!$K$4&amp;'Funnel setup'!$K$6,".",IF(A3277=".",1,A3277+1))</f>
        <v>.</v>
      </c>
      <c r="B3278" s="244" t="str">
        <f t="shared" si="51"/>
        <v>Knee Replacement RevisionProviderMEDWAY NHS FOUNDATION TRUST (RPA)Oxford Knee Score</v>
      </c>
      <c r="C3278" t="s">
        <v>973</v>
      </c>
      <c r="D3278" t="s">
        <v>965</v>
      </c>
      <c r="E3278" t="s">
        <v>320</v>
      </c>
      <c r="F3278" t="s">
        <v>321</v>
      </c>
      <c r="G3278" t="s">
        <v>972</v>
      </c>
      <c r="H3278">
        <v>1</v>
      </c>
      <c r="I3278">
        <v>11</v>
      </c>
      <c r="J3278">
        <v>38</v>
      </c>
      <c r="K3278">
        <v>27</v>
      </c>
      <c r="L3278">
        <v>1</v>
      </c>
      <c r="M3278">
        <v>0</v>
      </c>
      <c r="N3278">
        <v>0</v>
      </c>
      <c r="O3278" t="s">
        <v>127</v>
      </c>
      <c r="P3278" t="s">
        <v>127</v>
      </c>
      <c r="Q3278" t="s">
        <v>127</v>
      </c>
    </row>
    <row r="3279" spans="1:17" x14ac:dyDescent="0.25">
      <c r="A3279" t="str">
        <f>IF(C3279&amp;G3279&amp;D3279&lt;&gt;'Funnel setup'!$K$3&amp;'Funnel setup'!$K$4&amp;'Funnel setup'!$K$6,".",IF(A3278=".",1,A3278+1))</f>
        <v>.</v>
      </c>
      <c r="B3279" s="244" t="str">
        <f t="shared" si="51"/>
        <v>Knee Replacement RevisionProviderMID AND SOUTH ESSEX NHS FOUNDATION TRUST (RAJ)Oxford Knee Score</v>
      </c>
      <c r="C3279" t="s">
        <v>973</v>
      </c>
      <c r="D3279" t="s">
        <v>965</v>
      </c>
      <c r="E3279" t="s">
        <v>324</v>
      </c>
      <c r="F3279" t="s">
        <v>325</v>
      </c>
      <c r="G3279" t="s">
        <v>972</v>
      </c>
      <c r="H3279">
        <v>4</v>
      </c>
      <c r="I3279">
        <v>10.25</v>
      </c>
      <c r="J3279">
        <v>26.5</v>
      </c>
      <c r="K3279">
        <v>16.25</v>
      </c>
      <c r="L3279">
        <v>4</v>
      </c>
      <c r="M3279">
        <v>0</v>
      </c>
      <c r="N3279">
        <v>0</v>
      </c>
      <c r="O3279" t="s">
        <v>127</v>
      </c>
      <c r="P3279" t="s">
        <v>127</v>
      </c>
      <c r="Q3279" t="s">
        <v>127</v>
      </c>
    </row>
    <row r="3280" spans="1:17" x14ac:dyDescent="0.25">
      <c r="A3280" t="str">
        <f>IF(C3280&amp;G3280&amp;D3280&lt;&gt;'Funnel setup'!$K$3&amp;'Funnel setup'!$K$4&amp;'Funnel setup'!$K$6,".",IF(A3279=".",1,A3279+1))</f>
        <v>.</v>
      </c>
      <c r="B3280" s="244" t="str">
        <f t="shared" si="51"/>
        <v>Knee Replacement RevisionProviderMID CHESHIRE HOSPITALS NHS FOUNDATION TRUST (RBT)Oxford Knee Score</v>
      </c>
      <c r="C3280" t="s">
        <v>973</v>
      </c>
      <c r="D3280" t="s">
        <v>965</v>
      </c>
      <c r="E3280" t="s">
        <v>326</v>
      </c>
      <c r="F3280" t="s">
        <v>327</v>
      </c>
      <c r="G3280" t="s">
        <v>972</v>
      </c>
      <c r="H3280">
        <v>3</v>
      </c>
      <c r="I3280">
        <v>15</v>
      </c>
      <c r="J3280">
        <v>28.333300000000001</v>
      </c>
      <c r="K3280">
        <v>13.333299999999999</v>
      </c>
      <c r="L3280">
        <v>3</v>
      </c>
      <c r="M3280">
        <v>0</v>
      </c>
      <c r="N3280">
        <v>0</v>
      </c>
      <c r="O3280" t="s">
        <v>127</v>
      </c>
      <c r="P3280" t="s">
        <v>127</v>
      </c>
      <c r="Q3280" t="s">
        <v>127</v>
      </c>
    </row>
    <row r="3281" spans="1:17" x14ac:dyDescent="0.25">
      <c r="A3281" t="str">
        <f>IF(C3281&amp;G3281&amp;D3281&lt;&gt;'Funnel setup'!$K$3&amp;'Funnel setup'!$K$4&amp;'Funnel setup'!$K$6,".",IF(A3280=".",1,A3280+1))</f>
        <v>.</v>
      </c>
      <c r="B3281" s="244" t="str">
        <f t="shared" si="51"/>
        <v>Knee Replacement RevisionProviderMID YORKSHIRE TEACHING NHS TRUST (RXF)Oxford Knee Score</v>
      </c>
      <c r="C3281" t="s">
        <v>973</v>
      </c>
      <c r="D3281" t="s">
        <v>965</v>
      </c>
      <c r="E3281" t="s">
        <v>330</v>
      </c>
      <c r="F3281" t="s">
        <v>331</v>
      </c>
      <c r="G3281" t="s">
        <v>972</v>
      </c>
      <c r="H3281">
        <v>26</v>
      </c>
      <c r="I3281">
        <v>17.807700000000001</v>
      </c>
      <c r="J3281">
        <v>33.384599999999999</v>
      </c>
      <c r="K3281">
        <v>15.5769</v>
      </c>
      <c r="L3281">
        <v>21</v>
      </c>
      <c r="M3281">
        <v>1</v>
      </c>
      <c r="N3281">
        <v>4</v>
      </c>
      <c r="O3281" t="s">
        <v>127</v>
      </c>
      <c r="P3281" t="s">
        <v>127</v>
      </c>
      <c r="Q3281" t="s">
        <v>127</v>
      </c>
    </row>
    <row r="3282" spans="1:17" x14ac:dyDescent="0.25">
      <c r="A3282" t="str">
        <f>IF(C3282&amp;G3282&amp;D3282&lt;&gt;'Funnel setup'!$K$3&amp;'Funnel setup'!$K$4&amp;'Funnel setup'!$K$6,".",IF(A3281=".",1,A3281+1))</f>
        <v>.</v>
      </c>
      <c r="B3282" s="244" t="str">
        <f t="shared" si="51"/>
        <v>Knee Replacement RevisionProviderMILTON KEYNES UNIVERSITY HOSPITAL NHS FOUNDATION TRUST (RD8)Oxford Knee Score</v>
      </c>
      <c r="C3282" t="s">
        <v>973</v>
      </c>
      <c r="D3282" t="s">
        <v>965</v>
      </c>
      <c r="E3282" t="s">
        <v>332</v>
      </c>
      <c r="F3282" t="s">
        <v>333</v>
      </c>
      <c r="G3282" t="s">
        <v>972</v>
      </c>
      <c r="H3282">
        <v>2</v>
      </c>
      <c r="I3282">
        <v>14</v>
      </c>
      <c r="J3282">
        <v>33</v>
      </c>
      <c r="K3282">
        <v>19</v>
      </c>
      <c r="L3282">
        <v>2</v>
      </c>
      <c r="M3282">
        <v>0</v>
      </c>
      <c r="N3282">
        <v>0</v>
      </c>
      <c r="O3282" t="s">
        <v>127</v>
      </c>
      <c r="P3282" t="s">
        <v>127</v>
      </c>
      <c r="Q3282" t="s">
        <v>127</v>
      </c>
    </row>
    <row r="3283" spans="1:17" x14ac:dyDescent="0.25">
      <c r="A3283" t="str">
        <f>IF(C3283&amp;G3283&amp;D3283&lt;&gt;'Funnel setup'!$K$3&amp;'Funnel setup'!$K$4&amp;'Funnel setup'!$K$6,".",IF(A3282=".",1,A3282+1))</f>
        <v>.</v>
      </c>
      <c r="B3283" s="244" t="str">
        <f t="shared" si="51"/>
        <v>Knee Replacement RevisionProviderMOUNT STUART HOSPITAL (NVC08)Oxford Knee Score</v>
      </c>
      <c r="C3283" t="s">
        <v>973</v>
      </c>
      <c r="D3283" t="s">
        <v>965</v>
      </c>
      <c r="E3283" t="s">
        <v>336</v>
      </c>
      <c r="F3283" t="s">
        <v>337</v>
      </c>
      <c r="G3283" t="s">
        <v>972</v>
      </c>
      <c r="H3283" t="s">
        <v>127</v>
      </c>
      <c r="I3283" t="s">
        <v>127</v>
      </c>
      <c r="J3283" t="s">
        <v>127</v>
      </c>
      <c r="K3283" t="s">
        <v>127</v>
      </c>
      <c r="L3283" t="s">
        <v>127</v>
      </c>
      <c r="M3283" t="s">
        <v>127</v>
      </c>
      <c r="N3283" t="s">
        <v>127</v>
      </c>
      <c r="O3283" t="s">
        <v>127</v>
      </c>
      <c r="P3283" t="s">
        <v>127</v>
      </c>
      <c r="Q3283" t="s">
        <v>127</v>
      </c>
    </row>
    <row r="3284" spans="1:17" x14ac:dyDescent="0.25">
      <c r="A3284" t="str">
        <f>IF(C3284&amp;G3284&amp;D3284&lt;&gt;'Funnel setup'!$K$3&amp;'Funnel setup'!$K$4&amp;'Funnel setup'!$K$6,".",IF(A3283=".",1,A3283+1))</f>
        <v>.</v>
      </c>
      <c r="B3284" s="244" t="str">
        <f t="shared" si="51"/>
        <v>Knee Replacement RevisionProviderNORFOLK AND NORWICH UNIVERSITY HOSPITALS NHS FOUNDATION TRUST (RM1)Oxford Knee Score</v>
      </c>
      <c r="C3284" t="s">
        <v>973</v>
      </c>
      <c r="D3284" t="s">
        <v>965</v>
      </c>
      <c r="E3284" t="s">
        <v>340</v>
      </c>
      <c r="F3284" t="s">
        <v>341</v>
      </c>
      <c r="G3284" t="s">
        <v>972</v>
      </c>
      <c r="H3284">
        <v>13</v>
      </c>
      <c r="I3284">
        <v>13.9231</v>
      </c>
      <c r="J3284">
        <v>27.230799999999999</v>
      </c>
      <c r="K3284">
        <v>13.307700000000001</v>
      </c>
      <c r="L3284">
        <v>12</v>
      </c>
      <c r="M3284">
        <v>0</v>
      </c>
      <c r="N3284">
        <v>1</v>
      </c>
      <c r="O3284" t="s">
        <v>127</v>
      </c>
      <c r="P3284" t="s">
        <v>127</v>
      </c>
      <c r="Q3284" t="s">
        <v>127</v>
      </c>
    </row>
    <row r="3285" spans="1:17" x14ac:dyDescent="0.25">
      <c r="A3285" t="str">
        <f>IF(C3285&amp;G3285&amp;D3285&lt;&gt;'Funnel setup'!$K$3&amp;'Funnel setup'!$K$4&amp;'Funnel setup'!$K$6,".",IF(A3284=".",1,A3284+1))</f>
        <v>.</v>
      </c>
      <c r="B3285" s="244" t="str">
        <f t="shared" si="51"/>
        <v>Knee Replacement RevisionProviderNORTH BRISTOL NHS TRUST (RVJ)Oxford Knee Score</v>
      </c>
      <c r="C3285" t="s">
        <v>973</v>
      </c>
      <c r="D3285" t="s">
        <v>965</v>
      </c>
      <c r="E3285" t="s">
        <v>342</v>
      </c>
      <c r="F3285" t="s">
        <v>343</v>
      </c>
      <c r="G3285" t="s">
        <v>972</v>
      </c>
      <c r="H3285">
        <v>2</v>
      </c>
      <c r="I3285">
        <v>23.5</v>
      </c>
      <c r="J3285">
        <v>40.5</v>
      </c>
      <c r="K3285">
        <v>17</v>
      </c>
      <c r="L3285">
        <v>2</v>
      </c>
      <c r="M3285">
        <v>0</v>
      </c>
      <c r="N3285">
        <v>0</v>
      </c>
      <c r="O3285" t="s">
        <v>127</v>
      </c>
      <c r="P3285" t="s">
        <v>127</v>
      </c>
      <c r="Q3285" t="s">
        <v>127</v>
      </c>
    </row>
    <row r="3286" spans="1:17" x14ac:dyDescent="0.25">
      <c r="A3286" t="str">
        <f>IF(C3286&amp;G3286&amp;D3286&lt;&gt;'Funnel setup'!$K$3&amp;'Funnel setup'!$K$4&amp;'Funnel setup'!$K$6,".",IF(A3285=".",1,A3285+1))</f>
        <v>.</v>
      </c>
      <c r="B3286" s="244" t="str">
        <f t="shared" si="51"/>
        <v>Knee Replacement RevisionProviderNORTH CUMBRIA INTEGRATED CARE NHS FOUNDATION TRUST (RNN)Oxford Knee Score</v>
      </c>
      <c r="C3286" t="s">
        <v>973</v>
      </c>
      <c r="D3286" t="s">
        <v>965</v>
      </c>
      <c r="E3286" t="s">
        <v>344</v>
      </c>
      <c r="F3286" t="s">
        <v>345</v>
      </c>
      <c r="G3286" t="s">
        <v>972</v>
      </c>
      <c r="H3286">
        <v>3</v>
      </c>
      <c r="I3286">
        <v>14.666700000000001</v>
      </c>
      <c r="J3286">
        <v>35.666699999999999</v>
      </c>
      <c r="K3286">
        <v>21</v>
      </c>
      <c r="L3286">
        <v>3</v>
      </c>
      <c r="M3286">
        <v>0</v>
      </c>
      <c r="N3286">
        <v>0</v>
      </c>
      <c r="O3286" t="s">
        <v>127</v>
      </c>
      <c r="P3286" t="s">
        <v>127</v>
      </c>
      <c r="Q3286" t="s">
        <v>127</v>
      </c>
    </row>
    <row r="3287" spans="1:17" x14ac:dyDescent="0.25">
      <c r="A3287" t="str">
        <f>IF(C3287&amp;G3287&amp;D3287&lt;&gt;'Funnel setup'!$K$3&amp;'Funnel setup'!$K$4&amp;'Funnel setup'!$K$6,".",IF(A3286=".",1,A3286+1))</f>
        <v>.</v>
      </c>
      <c r="B3287" s="244" t="str">
        <f t="shared" si="51"/>
        <v>Knee Replacement RevisionProviderNORTH DOWNS HOSPITAL (NVC11)Oxford Knee Score</v>
      </c>
      <c r="C3287" t="s">
        <v>973</v>
      </c>
      <c r="D3287" t="s">
        <v>965</v>
      </c>
      <c r="E3287" t="s">
        <v>348</v>
      </c>
      <c r="F3287" t="s">
        <v>349</v>
      </c>
      <c r="G3287" t="s">
        <v>972</v>
      </c>
      <c r="H3287" t="s">
        <v>127</v>
      </c>
      <c r="I3287" t="s">
        <v>127</v>
      </c>
      <c r="J3287" t="s">
        <v>127</v>
      </c>
      <c r="K3287" t="s">
        <v>127</v>
      </c>
      <c r="L3287" t="s">
        <v>127</v>
      </c>
      <c r="M3287" t="s">
        <v>127</v>
      </c>
      <c r="N3287" t="s">
        <v>127</v>
      </c>
      <c r="O3287" t="s">
        <v>127</v>
      </c>
      <c r="P3287" t="s">
        <v>127</v>
      </c>
      <c r="Q3287" t="s">
        <v>127</v>
      </c>
    </row>
    <row r="3288" spans="1:17" x14ac:dyDescent="0.25">
      <c r="A3288" t="str">
        <f>IF(C3288&amp;G3288&amp;D3288&lt;&gt;'Funnel setup'!$K$3&amp;'Funnel setup'!$K$4&amp;'Funnel setup'!$K$6,".",IF(A3287=".",1,A3287+1))</f>
        <v>.</v>
      </c>
      <c r="B3288" s="244" t="str">
        <f t="shared" si="51"/>
        <v>Knee Replacement RevisionProviderNORTH TEES AND HARTLEPOOL NHS FOUNDATION TRUST (RVW)Oxford Knee Score</v>
      </c>
      <c r="C3288" t="s">
        <v>973</v>
      </c>
      <c r="D3288" t="s">
        <v>965</v>
      </c>
      <c r="E3288" t="s">
        <v>352</v>
      </c>
      <c r="F3288" t="s">
        <v>353</v>
      </c>
      <c r="G3288" t="s">
        <v>972</v>
      </c>
      <c r="H3288">
        <v>12</v>
      </c>
      <c r="I3288">
        <v>11</v>
      </c>
      <c r="J3288">
        <v>23.666699999999999</v>
      </c>
      <c r="K3288">
        <v>12.666700000000001</v>
      </c>
      <c r="L3288">
        <v>11</v>
      </c>
      <c r="M3288">
        <v>0</v>
      </c>
      <c r="N3288">
        <v>1</v>
      </c>
      <c r="O3288" t="s">
        <v>127</v>
      </c>
      <c r="P3288" t="s">
        <v>127</v>
      </c>
      <c r="Q3288" t="s">
        <v>127</v>
      </c>
    </row>
    <row r="3289" spans="1:17" x14ac:dyDescent="0.25">
      <c r="A3289" t="str">
        <f>IF(C3289&amp;G3289&amp;D3289&lt;&gt;'Funnel setup'!$K$3&amp;'Funnel setup'!$K$4&amp;'Funnel setup'!$K$6,".",IF(A3288=".",1,A3288+1))</f>
        <v>.</v>
      </c>
      <c r="B3289" s="244" t="str">
        <f t="shared" si="51"/>
        <v>Knee Replacement RevisionProviderNORTH WEST ANGLIA NHS FOUNDATION TRUST (RGN)Oxford Knee Score</v>
      </c>
      <c r="C3289" t="s">
        <v>973</v>
      </c>
      <c r="D3289" t="s">
        <v>965</v>
      </c>
      <c r="E3289" t="s">
        <v>354</v>
      </c>
      <c r="F3289" t="s">
        <v>355</v>
      </c>
      <c r="G3289" t="s">
        <v>972</v>
      </c>
      <c r="H3289">
        <v>10</v>
      </c>
      <c r="I3289">
        <v>16.3</v>
      </c>
      <c r="J3289">
        <v>36</v>
      </c>
      <c r="K3289">
        <v>19.7</v>
      </c>
      <c r="L3289">
        <v>10</v>
      </c>
      <c r="M3289">
        <v>0</v>
      </c>
      <c r="N3289">
        <v>0</v>
      </c>
      <c r="O3289" t="s">
        <v>127</v>
      </c>
      <c r="P3289" t="s">
        <v>127</v>
      </c>
      <c r="Q3289" t="s">
        <v>127</v>
      </c>
    </row>
    <row r="3290" spans="1:17" x14ac:dyDescent="0.25">
      <c r="A3290" t="str">
        <f>IF(C3290&amp;G3290&amp;D3290&lt;&gt;'Funnel setup'!$K$3&amp;'Funnel setup'!$K$4&amp;'Funnel setup'!$K$6,".",IF(A3289=".",1,A3289+1))</f>
        <v>.</v>
      </c>
      <c r="B3290" s="244" t="str">
        <f t="shared" si="51"/>
        <v>Knee Replacement RevisionProviderNORTHAMPTON GENERAL HOSPITAL NHS TRUST (RNS)Oxford Knee Score</v>
      </c>
      <c r="C3290" t="s">
        <v>973</v>
      </c>
      <c r="D3290" t="s">
        <v>965</v>
      </c>
      <c r="E3290" t="s">
        <v>356</v>
      </c>
      <c r="F3290" t="s">
        <v>357</v>
      </c>
      <c r="G3290" t="s">
        <v>972</v>
      </c>
      <c r="H3290">
        <v>2</v>
      </c>
      <c r="I3290">
        <v>11</v>
      </c>
      <c r="J3290">
        <v>36.5</v>
      </c>
      <c r="K3290">
        <v>25.5</v>
      </c>
      <c r="L3290">
        <v>2</v>
      </c>
      <c r="M3290">
        <v>0</v>
      </c>
      <c r="N3290">
        <v>0</v>
      </c>
      <c r="O3290" t="s">
        <v>127</v>
      </c>
      <c r="P3290" t="s">
        <v>127</v>
      </c>
      <c r="Q3290" t="s">
        <v>127</v>
      </c>
    </row>
    <row r="3291" spans="1:17" x14ac:dyDescent="0.25">
      <c r="A3291" t="str">
        <f>IF(C3291&amp;G3291&amp;D3291&lt;&gt;'Funnel setup'!$K$3&amp;'Funnel setup'!$K$4&amp;'Funnel setup'!$K$6,".",IF(A3290=".",1,A3290+1))</f>
        <v>.</v>
      </c>
      <c r="B3291" s="244" t="str">
        <f t="shared" si="51"/>
        <v>Knee Replacement RevisionProviderNORTHERN DEVON HEALTHCARE NHS TRUST (RBZ)Oxford Knee Score</v>
      </c>
      <c r="C3291" t="s">
        <v>973</v>
      </c>
      <c r="D3291" t="s">
        <v>965</v>
      </c>
      <c r="E3291" t="s">
        <v>360</v>
      </c>
      <c r="F3291" t="s">
        <v>361</v>
      </c>
      <c r="G3291" t="s">
        <v>972</v>
      </c>
      <c r="H3291" t="s">
        <v>127</v>
      </c>
      <c r="I3291" t="s">
        <v>127</v>
      </c>
      <c r="J3291" t="s">
        <v>127</v>
      </c>
      <c r="K3291" t="s">
        <v>127</v>
      </c>
      <c r="L3291" t="s">
        <v>127</v>
      </c>
      <c r="M3291" t="s">
        <v>127</v>
      </c>
      <c r="N3291" t="s">
        <v>127</v>
      </c>
      <c r="O3291" t="s">
        <v>127</v>
      </c>
      <c r="P3291" t="s">
        <v>127</v>
      </c>
      <c r="Q3291" t="s">
        <v>127</v>
      </c>
    </row>
    <row r="3292" spans="1:17" x14ac:dyDescent="0.25">
      <c r="A3292" t="str">
        <f>IF(C3292&amp;G3292&amp;D3292&lt;&gt;'Funnel setup'!$K$3&amp;'Funnel setup'!$K$4&amp;'Funnel setup'!$K$6,".",IF(A3291=".",1,A3291+1))</f>
        <v>.</v>
      </c>
      <c r="B3292" s="244" t="str">
        <f t="shared" si="51"/>
        <v>Knee Replacement RevisionProviderNORTHERN LINCOLNSHIRE AND GOOLE NHS FOUNDATION TRUST (RJL)Oxford Knee Score</v>
      </c>
      <c r="C3292" t="s">
        <v>973</v>
      </c>
      <c r="D3292" t="s">
        <v>965</v>
      </c>
      <c r="E3292" t="s">
        <v>362</v>
      </c>
      <c r="F3292" t="s">
        <v>363</v>
      </c>
      <c r="G3292" t="s">
        <v>972</v>
      </c>
      <c r="H3292">
        <v>3</v>
      </c>
      <c r="I3292">
        <v>12</v>
      </c>
      <c r="J3292">
        <v>22.333300000000001</v>
      </c>
      <c r="K3292">
        <v>10.333299999999999</v>
      </c>
      <c r="L3292">
        <v>3</v>
      </c>
      <c r="M3292">
        <v>0</v>
      </c>
      <c r="N3292">
        <v>0</v>
      </c>
      <c r="O3292" t="s">
        <v>127</v>
      </c>
      <c r="P3292" t="s">
        <v>127</v>
      </c>
      <c r="Q3292" t="s">
        <v>127</v>
      </c>
    </row>
    <row r="3293" spans="1:17" x14ac:dyDescent="0.25">
      <c r="A3293" t="str">
        <f>IF(C3293&amp;G3293&amp;D3293&lt;&gt;'Funnel setup'!$K$3&amp;'Funnel setup'!$K$4&amp;'Funnel setup'!$K$6,".",IF(A3292=".",1,A3292+1))</f>
        <v>.</v>
      </c>
      <c r="B3293" s="244" t="str">
        <f t="shared" si="51"/>
        <v>Knee Replacement RevisionProviderNORTHUMBRIA HEALTHCARE NHS FOUNDATION TRUST (RTF)Oxford Knee Score</v>
      </c>
      <c r="C3293" t="s">
        <v>973</v>
      </c>
      <c r="D3293" t="s">
        <v>965</v>
      </c>
      <c r="E3293" t="s">
        <v>364</v>
      </c>
      <c r="F3293" t="s">
        <v>365</v>
      </c>
      <c r="G3293" t="s">
        <v>972</v>
      </c>
      <c r="H3293">
        <v>9</v>
      </c>
      <c r="I3293">
        <v>12.4444</v>
      </c>
      <c r="J3293">
        <v>26</v>
      </c>
      <c r="K3293">
        <v>13.5556</v>
      </c>
      <c r="L3293">
        <v>8</v>
      </c>
      <c r="M3293">
        <v>0</v>
      </c>
      <c r="N3293">
        <v>1</v>
      </c>
      <c r="O3293" t="s">
        <v>127</v>
      </c>
      <c r="P3293" t="s">
        <v>127</v>
      </c>
      <c r="Q3293" t="s">
        <v>127</v>
      </c>
    </row>
    <row r="3294" spans="1:17" x14ac:dyDescent="0.25">
      <c r="A3294" t="str">
        <f>IF(C3294&amp;G3294&amp;D3294&lt;&gt;'Funnel setup'!$K$3&amp;'Funnel setup'!$K$4&amp;'Funnel setup'!$K$6,".",IF(A3293=".",1,A3293+1))</f>
        <v>.</v>
      </c>
      <c r="B3294" s="244" t="str">
        <f t="shared" si="51"/>
        <v>Knee Replacement RevisionProviderNUFFIELD HEALTH, DERBY HOSPITAL (NT213)Oxford Knee Score</v>
      </c>
      <c r="C3294" t="s">
        <v>973</v>
      </c>
      <c r="D3294" t="s">
        <v>965</v>
      </c>
      <c r="E3294" t="s">
        <v>382</v>
      </c>
      <c r="F3294" t="s">
        <v>383</v>
      </c>
      <c r="G3294" t="s">
        <v>972</v>
      </c>
      <c r="H3294">
        <v>3</v>
      </c>
      <c r="I3294">
        <v>21</v>
      </c>
      <c r="J3294">
        <v>38</v>
      </c>
      <c r="K3294">
        <v>17</v>
      </c>
      <c r="L3294">
        <v>3</v>
      </c>
      <c r="M3294">
        <v>0</v>
      </c>
      <c r="N3294">
        <v>0</v>
      </c>
      <c r="O3294" t="s">
        <v>127</v>
      </c>
      <c r="P3294" t="s">
        <v>127</v>
      </c>
      <c r="Q3294" t="s">
        <v>127</v>
      </c>
    </row>
    <row r="3295" spans="1:17" x14ac:dyDescent="0.25">
      <c r="A3295" t="str">
        <f>IF(C3295&amp;G3295&amp;D3295&lt;&gt;'Funnel setup'!$K$3&amp;'Funnel setup'!$K$4&amp;'Funnel setup'!$K$6,".",IF(A3294=".",1,A3294+1))</f>
        <v>.</v>
      </c>
      <c r="B3295" s="244" t="str">
        <f t="shared" si="51"/>
        <v>Knee Replacement RevisionProviderNUFFIELD HEALTH, LEEDS HOSPITAL (NT225)Oxford Knee Score</v>
      </c>
      <c r="C3295" t="s">
        <v>973</v>
      </c>
      <c r="D3295" t="s">
        <v>965</v>
      </c>
      <c r="E3295" t="s">
        <v>392</v>
      </c>
      <c r="F3295" t="s">
        <v>393</v>
      </c>
      <c r="G3295" t="s">
        <v>972</v>
      </c>
      <c r="H3295" t="s">
        <v>127</v>
      </c>
      <c r="I3295" t="s">
        <v>127</v>
      </c>
      <c r="J3295" t="s">
        <v>127</v>
      </c>
      <c r="K3295" t="s">
        <v>127</v>
      </c>
      <c r="L3295" t="s">
        <v>127</v>
      </c>
      <c r="M3295" t="s">
        <v>127</v>
      </c>
      <c r="N3295" t="s">
        <v>127</v>
      </c>
      <c r="O3295" t="s">
        <v>127</v>
      </c>
      <c r="P3295" t="s">
        <v>127</v>
      </c>
      <c r="Q3295" t="s">
        <v>127</v>
      </c>
    </row>
    <row r="3296" spans="1:17" x14ac:dyDescent="0.25">
      <c r="A3296" t="str">
        <f>IF(C3296&amp;G3296&amp;D3296&lt;&gt;'Funnel setup'!$K$3&amp;'Funnel setup'!$K$4&amp;'Funnel setup'!$K$6,".",IF(A3295=".",1,A3295+1))</f>
        <v>.</v>
      </c>
      <c r="B3296" s="244" t="str">
        <f t="shared" si="51"/>
        <v>Knee Replacement RevisionProviderNUFFIELD HEALTH, NORTH STAFFORDSHIRE HOSPITAL (NT230)Oxford Knee Score</v>
      </c>
      <c r="C3296" t="s">
        <v>973</v>
      </c>
      <c r="D3296" t="s">
        <v>965</v>
      </c>
      <c r="E3296" t="s">
        <v>398</v>
      </c>
      <c r="F3296" t="s">
        <v>399</v>
      </c>
      <c r="G3296" t="s">
        <v>972</v>
      </c>
      <c r="H3296" t="s">
        <v>127</v>
      </c>
      <c r="I3296" t="s">
        <v>127</v>
      </c>
      <c r="J3296" t="s">
        <v>127</v>
      </c>
      <c r="K3296" t="s">
        <v>127</v>
      </c>
      <c r="L3296" t="s">
        <v>127</v>
      </c>
      <c r="M3296" t="s">
        <v>127</v>
      </c>
      <c r="N3296" t="s">
        <v>127</v>
      </c>
      <c r="O3296" t="s">
        <v>127</v>
      </c>
      <c r="P3296" t="s">
        <v>127</v>
      </c>
      <c r="Q3296" t="s">
        <v>127</v>
      </c>
    </row>
    <row r="3297" spans="1:17" x14ac:dyDescent="0.25">
      <c r="A3297" t="str">
        <f>IF(C3297&amp;G3297&amp;D3297&lt;&gt;'Funnel setup'!$K$3&amp;'Funnel setup'!$K$4&amp;'Funnel setup'!$K$6,".",IF(A3296=".",1,A3296+1))</f>
        <v>.</v>
      </c>
      <c r="B3297" s="244" t="str">
        <f t="shared" si="51"/>
        <v>Knee Replacement RevisionProviderNUFFIELD HEALTH, PLYMOUTH HOSPITAL (NT233)Oxford Knee Score</v>
      </c>
      <c r="C3297" t="s">
        <v>973</v>
      </c>
      <c r="D3297" t="s">
        <v>965</v>
      </c>
      <c r="E3297" t="s">
        <v>400</v>
      </c>
      <c r="F3297" t="s">
        <v>401</v>
      </c>
      <c r="G3297" t="s">
        <v>972</v>
      </c>
      <c r="H3297" t="s">
        <v>127</v>
      </c>
      <c r="I3297" t="s">
        <v>127</v>
      </c>
      <c r="J3297" t="s">
        <v>127</v>
      </c>
      <c r="K3297" t="s">
        <v>127</v>
      </c>
      <c r="L3297" t="s">
        <v>127</v>
      </c>
      <c r="M3297" t="s">
        <v>127</v>
      </c>
      <c r="N3297" t="s">
        <v>127</v>
      </c>
      <c r="O3297" t="s">
        <v>127</v>
      </c>
      <c r="P3297" t="s">
        <v>127</v>
      </c>
      <c r="Q3297" t="s">
        <v>127</v>
      </c>
    </row>
    <row r="3298" spans="1:17" x14ac:dyDescent="0.25">
      <c r="A3298" t="str">
        <f>IF(C3298&amp;G3298&amp;D3298&lt;&gt;'Funnel setup'!$K$3&amp;'Funnel setup'!$K$4&amp;'Funnel setup'!$K$6,".",IF(A3297=".",1,A3297+1))</f>
        <v>.</v>
      </c>
      <c r="B3298" s="244" t="str">
        <f t="shared" si="51"/>
        <v>Knee Replacement RevisionProviderNUFFIELD HEALTH, TEES HOSPITAL (NT237)Oxford Knee Score</v>
      </c>
      <c r="C3298" t="s">
        <v>973</v>
      </c>
      <c r="D3298" t="s">
        <v>965</v>
      </c>
      <c r="E3298" t="s">
        <v>406</v>
      </c>
      <c r="F3298" t="s">
        <v>407</v>
      </c>
      <c r="G3298" t="s">
        <v>972</v>
      </c>
      <c r="H3298" t="s">
        <v>127</v>
      </c>
      <c r="I3298" t="s">
        <v>127</v>
      </c>
      <c r="J3298" t="s">
        <v>127</v>
      </c>
      <c r="K3298" t="s">
        <v>127</v>
      </c>
      <c r="L3298" t="s">
        <v>127</v>
      </c>
      <c r="M3298" t="s">
        <v>127</v>
      </c>
      <c r="N3298" t="s">
        <v>127</v>
      </c>
      <c r="O3298" t="s">
        <v>127</v>
      </c>
      <c r="P3298" t="s">
        <v>127</v>
      </c>
      <c r="Q3298" t="s">
        <v>127</v>
      </c>
    </row>
    <row r="3299" spans="1:17" x14ac:dyDescent="0.25">
      <c r="A3299" t="str">
        <f>IF(C3299&amp;G3299&amp;D3299&lt;&gt;'Funnel setup'!$K$3&amp;'Funnel setup'!$K$4&amp;'Funnel setup'!$K$6,".",IF(A3298=".",1,A3298+1))</f>
        <v>.</v>
      </c>
      <c r="B3299" s="244" t="str">
        <f t="shared" si="51"/>
        <v>Knee Replacement RevisionProviderNUFFIELD HEALTH, WARWICKSHIRE HOSPITAL (NT224)Oxford Knee Score</v>
      </c>
      <c r="C3299" t="s">
        <v>973</v>
      </c>
      <c r="D3299" t="s">
        <v>965</v>
      </c>
      <c r="E3299" t="s">
        <v>412</v>
      </c>
      <c r="F3299" t="s">
        <v>413</v>
      </c>
      <c r="G3299" t="s">
        <v>972</v>
      </c>
      <c r="H3299" t="s">
        <v>127</v>
      </c>
      <c r="I3299" t="s">
        <v>127</v>
      </c>
      <c r="J3299" t="s">
        <v>127</v>
      </c>
      <c r="K3299" t="s">
        <v>127</v>
      </c>
      <c r="L3299" t="s">
        <v>127</v>
      </c>
      <c r="M3299" t="s">
        <v>127</v>
      </c>
      <c r="N3299" t="s">
        <v>127</v>
      </c>
      <c r="O3299" t="s">
        <v>127</v>
      </c>
      <c r="P3299" t="s">
        <v>127</v>
      </c>
      <c r="Q3299" t="s">
        <v>127</v>
      </c>
    </row>
    <row r="3300" spans="1:17" x14ac:dyDescent="0.25">
      <c r="A3300" t="str">
        <f>IF(C3300&amp;G3300&amp;D3300&lt;&gt;'Funnel setup'!$K$3&amp;'Funnel setup'!$K$4&amp;'Funnel setup'!$K$6,".",IF(A3299=".",1,A3299+1))</f>
        <v>.</v>
      </c>
      <c r="B3300" s="244" t="str">
        <f t="shared" si="51"/>
        <v>Knee Replacement RevisionProviderNUFFIELD HEALTH, YORK HOSPITAL (NT245)Oxford Knee Score</v>
      </c>
      <c r="C3300" t="s">
        <v>973</v>
      </c>
      <c r="D3300" t="s">
        <v>965</v>
      </c>
      <c r="E3300" t="s">
        <v>420</v>
      </c>
      <c r="F3300" t="s">
        <v>421</v>
      </c>
      <c r="G3300" t="s">
        <v>972</v>
      </c>
      <c r="H3300">
        <v>3</v>
      </c>
      <c r="I3300">
        <v>22.333300000000001</v>
      </c>
      <c r="J3300">
        <v>33.333300000000001</v>
      </c>
      <c r="K3300">
        <v>11</v>
      </c>
      <c r="L3300">
        <v>2</v>
      </c>
      <c r="M3300">
        <v>0</v>
      </c>
      <c r="N3300">
        <v>1</v>
      </c>
      <c r="O3300" t="s">
        <v>127</v>
      </c>
      <c r="P3300" t="s">
        <v>127</v>
      </c>
      <c r="Q3300" t="s">
        <v>127</v>
      </c>
    </row>
    <row r="3301" spans="1:17" x14ac:dyDescent="0.25">
      <c r="A3301" t="str">
        <f>IF(C3301&amp;G3301&amp;D3301&lt;&gt;'Funnel setup'!$K$3&amp;'Funnel setup'!$K$4&amp;'Funnel setup'!$K$6,".",IF(A3300=".",1,A3300+1))</f>
        <v>.</v>
      </c>
      <c r="B3301" s="244" t="str">
        <f t="shared" si="51"/>
        <v>Knee Replacement RevisionProviderOXFORD UNIVERSITY HOSPITALS NHS FOUNDATION TRUST (RTH)Oxford Knee Score</v>
      </c>
      <c r="C3301" t="s">
        <v>973</v>
      </c>
      <c r="D3301" t="s">
        <v>965</v>
      </c>
      <c r="E3301" t="s">
        <v>438</v>
      </c>
      <c r="F3301" t="s">
        <v>439</v>
      </c>
      <c r="G3301" t="s">
        <v>972</v>
      </c>
      <c r="H3301">
        <v>45</v>
      </c>
      <c r="I3301">
        <v>17.6889</v>
      </c>
      <c r="J3301">
        <v>31.6</v>
      </c>
      <c r="K3301">
        <v>13.911099999999999</v>
      </c>
      <c r="L3301">
        <v>39</v>
      </c>
      <c r="M3301">
        <v>0</v>
      </c>
      <c r="N3301">
        <v>6</v>
      </c>
      <c r="O3301">
        <v>29.917999999999999</v>
      </c>
      <c r="P3301">
        <v>13.5906</v>
      </c>
      <c r="Q3301">
        <v>9.1344999999999992</v>
      </c>
    </row>
    <row r="3302" spans="1:17" x14ac:dyDescent="0.25">
      <c r="A3302" t="str">
        <f>IF(C3302&amp;G3302&amp;D3302&lt;&gt;'Funnel setup'!$K$3&amp;'Funnel setup'!$K$4&amp;'Funnel setup'!$K$6,".",IF(A3301=".",1,A3301+1))</f>
        <v>.</v>
      </c>
      <c r="B3302" s="244" t="str">
        <f t="shared" si="51"/>
        <v>Knee Replacement RevisionProviderPARK HILL HOSPITAL (NVC14)Oxford Knee Score</v>
      </c>
      <c r="C3302" t="s">
        <v>973</v>
      </c>
      <c r="D3302" t="s">
        <v>965</v>
      </c>
      <c r="E3302" t="s">
        <v>440</v>
      </c>
      <c r="F3302" t="s">
        <v>441</v>
      </c>
      <c r="G3302" t="s">
        <v>972</v>
      </c>
      <c r="H3302" t="s">
        <v>127</v>
      </c>
      <c r="I3302" t="s">
        <v>127</v>
      </c>
      <c r="J3302" t="s">
        <v>127</v>
      </c>
      <c r="K3302" t="s">
        <v>127</v>
      </c>
      <c r="L3302" t="s">
        <v>127</v>
      </c>
      <c r="M3302" t="s">
        <v>127</v>
      </c>
      <c r="N3302" t="s">
        <v>127</v>
      </c>
      <c r="O3302" t="s">
        <v>127</v>
      </c>
      <c r="P3302" t="s">
        <v>127</v>
      </c>
      <c r="Q3302" t="s">
        <v>127</v>
      </c>
    </row>
    <row r="3303" spans="1:17" x14ac:dyDescent="0.25">
      <c r="A3303" t="str">
        <f>IF(C3303&amp;G3303&amp;D3303&lt;&gt;'Funnel setup'!$K$3&amp;'Funnel setup'!$K$4&amp;'Funnel setup'!$K$6,".",IF(A3302=".",1,A3302+1))</f>
        <v>.</v>
      </c>
      <c r="B3303" s="244" t="str">
        <f t="shared" si="51"/>
        <v>Knee Replacement RevisionProviderPORTSMOUTH HOSPITALS UNIVERSITY NATIONAL HEALTH SERVICE TRUST (RHU)Oxford Knee Score</v>
      </c>
      <c r="C3303" t="s">
        <v>973</v>
      </c>
      <c r="D3303" t="s">
        <v>965</v>
      </c>
      <c r="E3303" t="s">
        <v>450</v>
      </c>
      <c r="F3303" t="s">
        <v>451</v>
      </c>
      <c r="G3303" t="s">
        <v>972</v>
      </c>
      <c r="H3303">
        <v>1</v>
      </c>
      <c r="I3303">
        <v>20</v>
      </c>
      <c r="J3303">
        <v>30</v>
      </c>
      <c r="K3303">
        <v>10</v>
      </c>
      <c r="L3303">
        <v>1</v>
      </c>
      <c r="M3303">
        <v>0</v>
      </c>
      <c r="N3303">
        <v>0</v>
      </c>
      <c r="O3303" t="s">
        <v>127</v>
      </c>
      <c r="P3303" t="s">
        <v>127</v>
      </c>
      <c r="Q3303" t="s">
        <v>127</v>
      </c>
    </row>
    <row r="3304" spans="1:17" x14ac:dyDescent="0.25">
      <c r="A3304" t="str">
        <f>IF(C3304&amp;G3304&amp;D3304&lt;&gt;'Funnel setup'!$K$3&amp;'Funnel setup'!$K$4&amp;'Funnel setup'!$K$6,".",IF(A3303=".",1,A3303+1))</f>
        <v>.</v>
      </c>
      <c r="B3304" s="244" t="str">
        <f t="shared" si="51"/>
        <v>Knee Replacement RevisionProviderPRACTICE PLUS GROUP HOSPITAL - BARLBOROUGH (NTP13)Oxford Knee Score</v>
      </c>
      <c r="C3304" t="s">
        <v>973</v>
      </c>
      <c r="D3304" t="s">
        <v>965</v>
      </c>
      <c r="E3304" t="s">
        <v>452</v>
      </c>
      <c r="F3304" t="s">
        <v>453</v>
      </c>
      <c r="G3304" t="s">
        <v>972</v>
      </c>
      <c r="H3304" t="s">
        <v>127</v>
      </c>
      <c r="I3304" t="s">
        <v>127</v>
      </c>
      <c r="J3304" t="s">
        <v>127</v>
      </c>
      <c r="K3304" t="s">
        <v>127</v>
      </c>
      <c r="L3304" t="s">
        <v>127</v>
      </c>
      <c r="M3304" t="s">
        <v>127</v>
      </c>
      <c r="N3304" t="s">
        <v>127</v>
      </c>
      <c r="O3304" t="s">
        <v>127</v>
      </c>
      <c r="P3304" t="s">
        <v>127</v>
      </c>
      <c r="Q3304" t="s">
        <v>127</v>
      </c>
    </row>
    <row r="3305" spans="1:17" x14ac:dyDescent="0.25">
      <c r="A3305" t="str">
        <f>IF(C3305&amp;G3305&amp;D3305&lt;&gt;'Funnel setup'!$K$3&amp;'Funnel setup'!$K$4&amp;'Funnel setup'!$K$6,".",IF(A3304=".",1,A3304+1))</f>
        <v>.</v>
      </c>
      <c r="B3305" s="244" t="str">
        <f t="shared" si="51"/>
        <v>Knee Replacement RevisionProviderPRACTICE PLUS GROUP HOSPITAL - ILFORD (NTP15)Oxford Knee Score</v>
      </c>
      <c r="C3305" t="s">
        <v>973</v>
      </c>
      <c r="D3305" t="s">
        <v>965</v>
      </c>
      <c r="E3305" t="s">
        <v>456</v>
      </c>
      <c r="F3305" t="s">
        <v>457</v>
      </c>
      <c r="G3305" t="s">
        <v>972</v>
      </c>
      <c r="H3305">
        <v>1</v>
      </c>
      <c r="I3305">
        <v>6</v>
      </c>
      <c r="J3305">
        <v>25</v>
      </c>
      <c r="K3305">
        <v>19</v>
      </c>
      <c r="L3305">
        <v>1</v>
      </c>
      <c r="M3305">
        <v>0</v>
      </c>
      <c r="N3305">
        <v>0</v>
      </c>
      <c r="O3305" t="s">
        <v>127</v>
      </c>
      <c r="P3305" t="s">
        <v>127</v>
      </c>
      <c r="Q3305" t="s">
        <v>127</v>
      </c>
    </row>
    <row r="3306" spans="1:17" x14ac:dyDescent="0.25">
      <c r="A3306" t="str">
        <f>IF(C3306&amp;G3306&amp;D3306&lt;&gt;'Funnel setup'!$K$3&amp;'Funnel setup'!$K$4&amp;'Funnel setup'!$K$6,".",IF(A3305=".",1,A3305+1))</f>
        <v>.</v>
      </c>
      <c r="B3306" s="244" t="str">
        <f t="shared" si="51"/>
        <v>Knee Replacement RevisionProviderPRACTICE PLUS GROUP HOSPITAL - PLYMOUTH (NTPH5)Oxford Knee Score</v>
      </c>
      <c r="C3306" t="s">
        <v>973</v>
      </c>
      <c r="D3306" t="s">
        <v>965</v>
      </c>
      <c r="E3306" t="s">
        <v>458</v>
      </c>
      <c r="F3306" t="s">
        <v>459</v>
      </c>
      <c r="G3306" t="s">
        <v>972</v>
      </c>
      <c r="H3306">
        <v>5</v>
      </c>
      <c r="I3306">
        <v>23</v>
      </c>
      <c r="J3306">
        <v>33.200000000000003</v>
      </c>
      <c r="K3306">
        <v>10.199999999999999</v>
      </c>
      <c r="L3306">
        <v>3</v>
      </c>
      <c r="M3306">
        <v>0</v>
      </c>
      <c r="N3306">
        <v>2</v>
      </c>
      <c r="O3306" t="s">
        <v>127</v>
      </c>
      <c r="P3306" t="s">
        <v>127</v>
      </c>
      <c r="Q3306" t="s">
        <v>127</v>
      </c>
    </row>
    <row r="3307" spans="1:17" x14ac:dyDescent="0.25">
      <c r="A3307" t="str">
        <f>IF(C3307&amp;G3307&amp;D3307&lt;&gt;'Funnel setup'!$K$3&amp;'Funnel setup'!$K$4&amp;'Funnel setup'!$K$6,".",IF(A3306=".",1,A3306+1))</f>
        <v>.</v>
      </c>
      <c r="B3307" s="244" t="str">
        <f t="shared" si="51"/>
        <v>Knee Replacement RevisionProviderPRACTICE PLUS GROUP HOSPITAL - SOUTHAMPTON (NTP11)Oxford Knee Score</v>
      </c>
      <c r="C3307" t="s">
        <v>973</v>
      </c>
      <c r="D3307" t="s">
        <v>965</v>
      </c>
      <c r="E3307" t="s">
        <v>462</v>
      </c>
      <c r="F3307" t="s">
        <v>463</v>
      </c>
      <c r="G3307" t="s">
        <v>972</v>
      </c>
      <c r="H3307">
        <v>1</v>
      </c>
      <c r="I3307">
        <v>24</v>
      </c>
      <c r="J3307">
        <v>41</v>
      </c>
      <c r="K3307">
        <v>17</v>
      </c>
      <c r="L3307">
        <v>1</v>
      </c>
      <c r="M3307">
        <v>0</v>
      </c>
      <c r="N3307">
        <v>0</v>
      </c>
      <c r="O3307" t="s">
        <v>127</v>
      </c>
      <c r="P3307" t="s">
        <v>127</v>
      </c>
      <c r="Q3307" t="s">
        <v>127</v>
      </c>
    </row>
    <row r="3308" spans="1:17" x14ac:dyDescent="0.25">
      <c r="A3308" t="str">
        <f>IF(C3308&amp;G3308&amp;D3308&lt;&gt;'Funnel setup'!$K$3&amp;'Funnel setup'!$K$4&amp;'Funnel setup'!$K$6,".",IF(A3307=".",1,A3307+1))</f>
        <v>.</v>
      </c>
      <c r="B3308" s="244" t="str">
        <f t="shared" si="51"/>
        <v>Knee Replacement RevisionProviderPRIORY HOSPITAL (NT429)Oxford Knee Score</v>
      </c>
      <c r="C3308" t="s">
        <v>973</v>
      </c>
      <c r="D3308" t="s">
        <v>965</v>
      </c>
      <c r="E3308" t="s">
        <v>466</v>
      </c>
      <c r="F3308" t="s">
        <v>467</v>
      </c>
      <c r="G3308" t="s">
        <v>972</v>
      </c>
      <c r="H3308" t="s">
        <v>127</v>
      </c>
      <c r="I3308" t="s">
        <v>127</v>
      </c>
      <c r="J3308" t="s">
        <v>127</v>
      </c>
      <c r="K3308" t="s">
        <v>127</v>
      </c>
      <c r="L3308" t="s">
        <v>127</v>
      </c>
      <c r="M3308" t="s">
        <v>127</v>
      </c>
      <c r="N3308" t="s">
        <v>127</v>
      </c>
      <c r="O3308" t="s">
        <v>127</v>
      </c>
      <c r="P3308" t="s">
        <v>127</v>
      </c>
      <c r="Q3308" t="s">
        <v>127</v>
      </c>
    </row>
    <row r="3309" spans="1:17" x14ac:dyDescent="0.25">
      <c r="A3309" t="str">
        <f>IF(C3309&amp;G3309&amp;D3309&lt;&gt;'Funnel setup'!$K$3&amp;'Funnel setup'!$K$4&amp;'Funnel setup'!$K$6,".",IF(A3308=".",1,A3308+1))</f>
        <v>.</v>
      </c>
      <c r="B3309" s="244" t="str">
        <f t="shared" si="51"/>
        <v>Knee Replacement RevisionProviderROWLEY HALL HOSPITAL (NVC17)Oxford Knee Score</v>
      </c>
      <c r="C3309" t="s">
        <v>973</v>
      </c>
      <c r="D3309" t="s">
        <v>965</v>
      </c>
      <c r="E3309" t="s">
        <v>476</v>
      </c>
      <c r="F3309" t="s">
        <v>477</v>
      </c>
      <c r="G3309" t="s">
        <v>972</v>
      </c>
      <c r="H3309" t="s">
        <v>127</v>
      </c>
      <c r="I3309" t="s">
        <v>127</v>
      </c>
      <c r="J3309" t="s">
        <v>127</v>
      </c>
      <c r="K3309" t="s">
        <v>127</v>
      </c>
      <c r="L3309" t="s">
        <v>127</v>
      </c>
      <c r="M3309" t="s">
        <v>127</v>
      </c>
      <c r="N3309" t="s">
        <v>127</v>
      </c>
      <c r="O3309" t="s">
        <v>127</v>
      </c>
      <c r="P3309" t="s">
        <v>127</v>
      </c>
      <c r="Q3309" t="s">
        <v>127</v>
      </c>
    </row>
    <row r="3310" spans="1:17" x14ac:dyDescent="0.25">
      <c r="A3310" t="str">
        <f>IF(C3310&amp;G3310&amp;D3310&lt;&gt;'Funnel setup'!$K$3&amp;'Funnel setup'!$K$4&amp;'Funnel setup'!$K$6,".",IF(A3309=".",1,A3309+1))</f>
        <v>.</v>
      </c>
      <c r="B3310" s="244" t="str">
        <f t="shared" si="51"/>
        <v>Knee Replacement RevisionProviderROYAL CORNWALL HOSPITALS NHS TRUST (REF)Oxford Knee Score</v>
      </c>
      <c r="C3310" t="s">
        <v>973</v>
      </c>
      <c r="D3310" t="s">
        <v>965</v>
      </c>
      <c r="E3310" t="s">
        <v>480</v>
      </c>
      <c r="F3310" t="s">
        <v>481</v>
      </c>
      <c r="G3310" t="s">
        <v>972</v>
      </c>
      <c r="H3310">
        <v>5</v>
      </c>
      <c r="I3310">
        <v>20.8</v>
      </c>
      <c r="J3310">
        <v>35.6</v>
      </c>
      <c r="K3310">
        <v>14.8</v>
      </c>
      <c r="L3310">
        <v>4</v>
      </c>
      <c r="M3310">
        <v>0</v>
      </c>
      <c r="N3310">
        <v>1</v>
      </c>
      <c r="O3310" t="s">
        <v>127</v>
      </c>
      <c r="P3310" t="s">
        <v>127</v>
      </c>
      <c r="Q3310" t="s">
        <v>127</v>
      </c>
    </row>
    <row r="3311" spans="1:17" x14ac:dyDescent="0.25">
      <c r="A3311" t="str">
        <f>IF(C3311&amp;G3311&amp;D3311&lt;&gt;'Funnel setup'!$K$3&amp;'Funnel setup'!$K$4&amp;'Funnel setup'!$K$6,".",IF(A3310=".",1,A3310+1))</f>
        <v>.</v>
      </c>
      <c r="B3311" s="244" t="str">
        <f t="shared" si="51"/>
        <v>Knee Replacement RevisionProviderROYAL DEVON UNIVERSITY HEALTHCARE NHS FOUNDATION TRUST (RH8)Oxford Knee Score</v>
      </c>
      <c r="C3311" t="s">
        <v>973</v>
      </c>
      <c r="D3311" t="s">
        <v>965</v>
      </c>
      <c r="E3311" t="s">
        <v>482</v>
      </c>
      <c r="F3311" t="s">
        <v>483</v>
      </c>
      <c r="G3311" t="s">
        <v>972</v>
      </c>
      <c r="H3311">
        <v>5</v>
      </c>
      <c r="I3311">
        <v>19.8</v>
      </c>
      <c r="J3311">
        <v>28.2</v>
      </c>
      <c r="K3311">
        <v>8.4</v>
      </c>
      <c r="L3311">
        <v>4</v>
      </c>
      <c r="M3311">
        <v>0</v>
      </c>
      <c r="N3311">
        <v>1</v>
      </c>
      <c r="O3311" t="s">
        <v>127</v>
      </c>
      <c r="P3311" t="s">
        <v>127</v>
      </c>
      <c r="Q3311" t="s">
        <v>127</v>
      </c>
    </row>
    <row r="3312" spans="1:17" x14ac:dyDescent="0.25">
      <c r="A3312" t="str">
        <f>IF(C3312&amp;G3312&amp;D3312&lt;&gt;'Funnel setup'!$K$3&amp;'Funnel setup'!$K$4&amp;'Funnel setup'!$K$6,".",IF(A3311=".",1,A3311+1))</f>
        <v>.</v>
      </c>
      <c r="B3312" s="244" t="str">
        <f t="shared" si="51"/>
        <v>Knee Replacement RevisionProviderROYAL NATIONAL ORTHOPAEDIC HOSPITAL NHS TRUST (RAN)Oxford Knee Score</v>
      </c>
      <c r="C3312" t="s">
        <v>973</v>
      </c>
      <c r="D3312" t="s">
        <v>965</v>
      </c>
      <c r="E3312" t="s">
        <v>486</v>
      </c>
      <c r="F3312" t="s">
        <v>487</v>
      </c>
      <c r="G3312" t="s">
        <v>972</v>
      </c>
      <c r="H3312">
        <v>27</v>
      </c>
      <c r="I3312">
        <v>18.592600000000001</v>
      </c>
      <c r="J3312">
        <v>25.703700000000001</v>
      </c>
      <c r="K3312">
        <v>7.11111</v>
      </c>
      <c r="L3312">
        <v>18</v>
      </c>
      <c r="M3312">
        <v>1</v>
      </c>
      <c r="N3312">
        <v>8</v>
      </c>
      <c r="O3312" t="s">
        <v>127</v>
      </c>
      <c r="P3312" t="s">
        <v>127</v>
      </c>
      <c r="Q3312" t="s">
        <v>127</v>
      </c>
    </row>
    <row r="3313" spans="1:17" x14ac:dyDescent="0.25">
      <c r="A3313" t="str">
        <f>IF(C3313&amp;G3313&amp;D3313&lt;&gt;'Funnel setup'!$K$3&amp;'Funnel setup'!$K$4&amp;'Funnel setup'!$K$6,".",IF(A3312=".",1,A3312+1))</f>
        <v>.</v>
      </c>
      <c r="B3313" s="244" t="str">
        <f t="shared" si="51"/>
        <v>Knee Replacement RevisionProviderROYAL UNITED HOSPITALS BATH NHS FOUNDATION TRUST (RD1)Oxford Knee Score</v>
      </c>
      <c r="C3313" t="s">
        <v>973</v>
      </c>
      <c r="D3313" t="s">
        <v>965</v>
      </c>
      <c r="E3313" t="s">
        <v>490</v>
      </c>
      <c r="F3313" t="s">
        <v>491</v>
      </c>
      <c r="G3313" t="s">
        <v>972</v>
      </c>
      <c r="H3313">
        <v>2</v>
      </c>
      <c r="I3313">
        <v>8.5</v>
      </c>
      <c r="J3313">
        <v>38.5</v>
      </c>
      <c r="K3313">
        <v>30</v>
      </c>
      <c r="L3313">
        <v>2</v>
      </c>
      <c r="M3313">
        <v>0</v>
      </c>
      <c r="N3313">
        <v>0</v>
      </c>
      <c r="O3313" t="s">
        <v>127</v>
      </c>
      <c r="P3313" t="s">
        <v>127</v>
      </c>
      <c r="Q3313" t="s">
        <v>127</v>
      </c>
    </row>
    <row r="3314" spans="1:17" x14ac:dyDescent="0.25">
      <c r="A3314" t="str">
        <f>IF(C3314&amp;G3314&amp;D3314&lt;&gt;'Funnel setup'!$K$3&amp;'Funnel setup'!$K$4&amp;'Funnel setup'!$K$6,".",IF(A3313=".",1,A3313+1))</f>
        <v>.</v>
      </c>
      <c r="B3314" s="244" t="str">
        <f t="shared" si="51"/>
        <v>Knee Replacement RevisionProviderSANDWELL AND WEST BIRMINGHAM HOSPITALS NHS TRUST (RXK)Oxford Knee Score</v>
      </c>
      <c r="C3314" t="s">
        <v>973</v>
      </c>
      <c r="D3314" t="s">
        <v>965</v>
      </c>
      <c r="E3314" t="s">
        <v>496</v>
      </c>
      <c r="F3314" t="s">
        <v>497</v>
      </c>
      <c r="G3314" t="s">
        <v>972</v>
      </c>
      <c r="H3314">
        <v>4</v>
      </c>
      <c r="I3314">
        <v>15</v>
      </c>
      <c r="J3314">
        <v>22.5</v>
      </c>
      <c r="K3314">
        <v>7.5</v>
      </c>
      <c r="L3314">
        <v>4</v>
      </c>
      <c r="M3314">
        <v>0</v>
      </c>
      <c r="N3314">
        <v>0</v>
      </c>
      <c r="O3314" t="s">
        <v>127</v>
      </c>
      <c r="P3314" t="s">
        <v>127</v>
      </c>
      <c r="Q3314" t="s">
        <v>127</v>
      </c>
    </row>
    <row r="3315" spans="1:17" x14ac:dyDescent="0.25">
      <c r="A3315" t="str">
        <f>IF(C3315&amp;G3315&amp;D3315&lt;&gt;'Funnel setup'!$K$3&amp;'Funnel setup'!$K$4&amp;'Funnel setup'!$K$6,".",IF(A3314=".",1,A3314+1))</f>
        <v>.</v>
      </c>
      <c r="B3315" s="244" t="str">
        <f t="shared" si="51"/>
        <v>Knee Replacement RevisionProviderSHEFFIELD TEACHING HOSPITALS NHS FOUNDATION TRUST (RHQ)Oxford Knee Score</v>
      </c>
      <c r="C3315" t="s">
        <v>973</v>
      </c>
      <c r="D3315" t="s">
        <v>965</v>
      </c>
      <c r="E3315" t="s">
        <v>506</v>
      </c>
      <c r="F3315" t="s">
        <v>507</v>
      </c>
      <c r="G3315" t="s">
        <v>972</v>
      </c>
      <c r="H3315">
        <v>1</v>
      </c>
      <c r="I3315">
        <v>23</v>
      </c>
      <c r="J3315">
        <v>39</v>
      </c>
      <c r="K3315">
        <v>16</v>
      </c>
      <c r="L3315">
        <v>1</v>
      </c>
      <c r="M3315">
        <v>0</v>
      </c>
      <c r="N3315">
        <v>0</v>
      </c>
      <c r="O3315" t="s">
        <v>127</v>
      </c>
      <c r="P3315" t="s">
        <v>127</v>
      </c>
      <c r="Q3315" t="s">
        <v>127</v>
      </c>
    </row>
    <row r="3316" spans="1:17" x14ac:dyDescent="0.25">
      <c r="A3316" t="str">
        <f>IF(C3316&amp;G3316&amp;D3316&lt;&gt;'Funnel setup'!$K$3&amp;'Funnel setup'!$K$4&amp;'Funnel setup'!$K$6,".",IF(A3315=".",1,A3315+1))</f>
        <v>.</v>
      </c>
      <c r="B3316" s="244" t="str">
        <f t="shared" si="51"/>
        <v>Knee Replacement RevisionProviderSHERWOOD FOREST HOSPITALS NHS FOUNDATION TRUST (RK5)Oxford Knee Score</v>
      </c>
      <c r="C3316" t="s">
        <v>973</v>
      </c>
      <c r="D3316" t="s">
        <v>965</v>
      </c>
      <c r="E3316" t="s">
        <v>508</v>
      </c>
      <c r="F3316" t="s">
        <v>509</v>
      </c>
      <c r="G3316" t="s">
        <v>972</v>
      </c>
      <c r="H3316">
        <v>2</v>
      </c>
      <c r="I3316">
        <v>17.5</v>
      </c>
      <c r="J3316">
        <v>37</v>
      </c>
      <c r="K3316">
        <v>19.5</v>
      </c>
      <c r="L3316">
        <v>2</v>
      </c>
      <c r="M3316">
        <v>0</v>
      </c>
      <c r="N3316">
        <v>0</v>
      </c>
      <c r="O3316" t="s">
        <v>127</v>
      </c>
      <c r="P3316" t="s">
        <v>127</v>
      </c>
      <c r="Q3316" t="s">
        <v>127</v>
      </c>
    </row>
    <row r="3317" spans="1:17" x14ac:dyDescent="0.25">
      <c r="A3317" t="str">
        <f>IF(C3317&amp;G3317&amp;D3317&lt;&gt;'Funnel setup'!$K$3&amp;'Funnel setup'!$K$4&amp;'Funnel setup'!$K$6,".",IF(A3316=".",1,A3316+1))</f>
        <v>.</v>
      </c>
      <c r="B3317" s="244" t="str">
        <f t="shared" si="51"/>
        <v>Knee Replacement RevisionProviderSOUTH TEES HOSPITALS NHS FOUNDATION TRUST (RTR)Oxford Knee Score</v>
      </c>
      <c r="C3317" t="s">
        <v>973</v>
      </c>
      <c r="D3317" t="s">
        <v>965</v>
      </c>
      <c r="E3317" t="s">
        <v>516</v>
      </c>
      <c r="F3317" t="s">
        <v>517</v>
      </c>
      <c r="G3317" t="s">
        <v>972</v>
      </c>
      <c r="H3317">
        <v>9</v>
      </c>
      <c r="I3317">
        <v>14.1111</v>
      </c>
      <c r="J3317">
        <v>35.8889</v>
      </c>
      <c r="K3317">
        <v>21.777799999999999</v>
      </c>
      <c r="L3317">
        <v>9</v>
      </c>
      <c r="M3317">
        <v>0</v>
      </c>
      <c r="N3317">
        <v>0</v>
      </c>
      <c r="O3317" t="s">
        <v>127</v>
      </c>
      <c r="P3317" t="s">
        <v>127</v>
      </c>
      <c r="Q3317" t="s">
        <v>127</v>
      </c>
    </row>
    <row r="3318" spans="1:17" x14ac:dyDescent="0.25">
      <c r="A3318" t="str">
        <f>IF(C3318&amp;G3318&amp;D3318&lt;&gt;'Funnel setup'!$K$3&amp;'Funnel setup'!$K$4&amp;'Funnel setup'!$K$6,".",IF(A3317=".",1,A3317+1))</f>
        <v>.</v>
      </c>
      <c r="B3318" s="244" t="str">
        <f t="shared" si="51"/>
        <v>Knee Replacement RevisionProviderSOUTH TYNESIDE AND SUNDERLAND NHS FOUNDATION TRUST (R0B)Oxford Knee Score</v>
      </c>
      <c r="C3318" t="s">
        <v>973</v>
      </c>
      <c r="D3318" t="s">
        <v>965</v>
      </c>
      <c r="E3318" t="s">
        <v>518</v>
      </c>
      <c r="F3318" t="s">
        <v>519</v>
      </c>
      <c r="G3318" t="s">
        <v>972</v>
      </c>
      <c r="H3318">
        <v>1</v>
      </c>
      <c r="I3318">
        <v>12</v>
      </c>
      <c r="J3318">
        <v>9</v>
      </c>
      <c r="K3318">
        <v>-3</v>
      </c>
      <c r="L3318">
        <v>0</v>
      </c>
      <c r="M3318">
        <v>0</v>
      </c>
      <c r="N3318">
        <v>1</v>
      </c>
      <c r="O3318" t="s">
        <v>127</v>
      </c>
      <c r="P3318" t="s">
        <v>127</v>
      </c>
      <c r="Q3318" t="s">
        <v>127</v>
      </c>
    </row>
    <row r="3319" spans="1:17" x14ac:dyDescent="0.25">
      <c r="A3319" t="str">
        <f>IF(C3319&amp;G3319&amp;D3319&lt;&gt;'Funnel setup'!$K$3&amp;'Funnel setup'!$K$4&amp;'Funnel setup'!$K$6,".",IF(A3318=".",1,A3318+1))</f>
        <v>.</v>
      </c>
      <c r="B3319" s="244" t="str">
        <f t="shared" si="51"/>
        <v>Knee Replacement RevisionProviderSOUTH WARWICKSHIRE UNIVERSITY NHS FOUNDATION TRUST (RJC)Oxford Knee Score</v>
      </c>
      <c r="C3319" t="s">
        <v>973</v>
      </c>
      <c r="D3319" t="s">
        <v>965</v>
      </c>
      <c r="E3319" t="s">
        <v>520</v>
      </c>
      <c r="F3319" t="s">
        <v>521</v>
      </c>
      <c r="G3319" t="s">
        <v>972</v>
      </c>
      <c r="H3319">
        <v>4</v>
      </c>
      <c r="I3319">
        <v>12.75</v>
      </c>
      <c r="J3319">
        <v>44.25</v>
      </c>
      <c r="K3319">
        <v>31.5</v>
      </c>
      <c r="L3319">
        <v>4</v>
      </c>
      <c r="M3319">
        <v>0</v>
      </c>
      <c r="N3319">
        <v>0</v>
      </c>
      <c r="O3319" t="s">
        <v>127</v>
      </c>
      <c r="P3319" t="s">
        <v>127</v>
      </c>
      <c r="Q3319" t="s">
        <v>127</v>
      </c>
    </row>
    <row r="3320" spans="1:17" x14ac:dyDescent="0.25">
      <c r="A3320" t="str">
        <f>IF(C3320&amp;G3320&amp;D3320&lt;&gt;'Funnel setup'!$K$3&amp;'Funnel setup'!$K$4&amp;'Funnel setup'!$K$6,".",IF(A3319=".",1,A3319+1))</f>
        <v>.</v>
      </c>
      <c r="B3320" s="244" t="str">
        <f t="shared" si="51"/>
        <v>Knee Replacement RevisionProviderSPIRE FYLDE COAST HOSPITAL (NT347)Oxford Knee Score</v>
      </c>
      <c r="C3320" t="s">
        <v>973</v>
      </c>
      <c r="D3320" t="s">
        <v>965</v>
      </c>
      <c r="E3320" t="s">
        <v>544</v>
      </c>
      <c r="F3320" t="s">
        <v>545</v>
      </c>
      <c r="G3320" t="s">
        <v>972</v>
      </c>
      <c r="H3320" t="s">
        <v>127</v>
      </c>
      <c r="I3320" t="s">
        <v>127</v>
      </c>
      <c r="J3320" t="s">
        <v>127</v>
      </c>
      <c r="K3320" t="s">
        <v>127</v>
      </c>
      <c r="L3320" t="s">
        <v>127</v>
      </c>
      <c r="M3320" t="s">
        <v>127</v>
      </c>
      <c r="N3320" t="s">
        <v>127</v>
      </c>
      <c r="O3320" t="s">
        <v>127</v>
      </c>
      <c r="P3320" t="s">
        <v>127</v>
      </c>
      <c r="Q3320" t="s">
        <v>127</v>
      </c>
    </row>
    <row r="3321" spans="1:17" x14ac:dyDescent="0.25">
      <c r="A3321" t="str">
        <f>IF(C3321&amp;G3321&amp;D3321&lt;&gt;'Funnel setup'!$K$3&amp;'Funnel setup'!$K$4&amp;'Funnel setup'!$K$6,".",IF(A3320=".",1,A3320+1))</f>
        <v>.</v>
      </c>
      <c r="B3321" s="244" t="str">
        <f t="shared" si="51"/>
        <v>Knee Replacement RevisionProviderSPIRE WASHINGTON HOSPITAL (NT333)Oxford Knee Score</v>
      </c>
      <c r="C3321" t="s">
        <v>973</v>
      </c>
      <c r="D3321" t="s">
        <v>965</v>
      </c>
      <c r="E3321" t="s">
        <v>596</v>
      </c>
      <c r="F3321" t="s">
        <v>597</v>
      </c>
      <c r="G3321" t="s">
        <v>972</v>
      </c>
      <c r="H3321" t="s">
        <v>127</v>
      </c>
      <c r="I3321" t="s">
        <v>127</v>
      </c>
      <c r="J3321" t="s">
        <v>127</v>
      </c>
      <c r="K3321" t="s">
        <v>127</v>
      </c>
      <c r="L3321" t="s">
        <v>127</v>
      </c>
      <c r="M3321" t="s">
        <v>127</v>
      </c>
      <c r="N3321" t="s">
        <v>127</v>
      </c>
      <c r="O3321" t="s">
        <v>127</v>
      </c>
      <c r="P3321" t="s">
        <v>127</v>
      </c>
      <c r="Q3321" t="s">
        <v>127</v>
      </c>
    </row>
    <row r="3322" spans="1:17" x14ac:dyDescent="0.25">
      <c r="A3322" t="str">
        <f>IF(C3322&amp;G3322&amp;D3322&lt;&gt;'Funnel setup'!$K$3&amp;'Funnel setup'!$K$4&amp;'Funnel setup'!$K$6,".",IF(A3321=".",1,A3321+1))</f>
        <v>.</v>
      </c>
      <c r="B3322" s="244" t="str">
        <f t="shared" si="51"/>
        <v>Knee Replacement RevisionProviderSPRINGFIELD HOSPITAL (NVC18)Oxford Knee Score</v>
      </c>
      <c r="C3322" t="s">
        <v>973</v>
      </c>
      <c r="D3322" t="s">
        <v>965</v>
      </c>
      <c r="E3322" t="s">
        <v>602</v>
      </c>
      <c r="F3322" t="s">
        <v>603</v>
      </c>
      <c r="G3322" t="s">
        <v>972</v>
      </c>
      <c r="H3322" t="s">
        <v>127</v>
      </c>
      <c r="I3322" t="s">
        <v>127</v>
      </c>
      <c r="J3322" t="s">
        <v>127</v>
      </c>
      <c r="K3322" t="s">
        <v>127</v>
      </c>
      <c r="L3322" t="s">
        <v>127</v>
      </c>
      <c r="M3322" t="s">
        <v>127</v>
      </c>
      <c r="N3322" t="s">
        <v>127</v>
      </c>
      <c r="O3322" t="s">
        <v>127</v>
      </c>
      <c r="P3322" t="s">
        <v>127</v>
      </c>
      <c r="Q3322" t="s">
        <v>127</v>
      </c>
    </row>
    <row r="3323" spans="1:17" x14ac:dyDescent="0.25">
      <c r="A3323" t="str">
        <f>IF(C3323&amp;G3323&amp;D3323&lt;&gt;'Funnel setup'!$K$3&amp;'Funnel setup'!$K$4&amp;'Funnel setup'!$K$6,".",IF(A3322=".",1,A3322+1))</f>
        <v>.</v>
      </c>
      <c r="B3323" s="244" t="str">
        <f t="shared" si="51"/>
        <v>Knee Replacement RevisionProviderST HELENS AND KNOWSLEY TEACHING HOSPITALS NHS TRUST (RBN)Oxford Knee Score</v>
      </c>
      <c r="C3323" t="s">
        <v>973</v>
      </c>
      <c r="D3323" t="s">
        <v>965</v>
      </c>
      <c r="E3323" t="s">
        <v>608</v>
      </c>
      <c r="F3323" t="s">
        <v>609</v>
      </c>
      <c r="G3323" t="s">
        <v>972</v>
      </c>
      <c r="H3323">
        <v>5</v>
      </c>
      <c r="I3323">
        <v>15.4</v>
      </c>
      <c r="J3323">
        <v>32.6</v>
      </c>
      <c r="K3323">
        <v>17.2</v>
      </c>
      <c r="L3323">
        <v>5</v>
      </c>
      <c r="M3323">
        <v>0</v>
      </c>
      <c r="N3323">
        <v>0</v>
      </c>
      <c r="O3323" t="s">
        <v>127</v>
      </c>
      <c r="P3323" t="s">
        <v>127</v>
      </c>
      <c r="Q3323" t="s">
        <v>127</v>
      </c>
    </row>
    <row r="3324" spans="1:17" x14ac:dyDescent="0.25">
      <c r="A3324" t="str">
        <f>IF(C3324&amp;G3324&amp;D3324&lt;&gt;'Funnel setup'!$K$3&amp;'Funnel setup'!$K$4&amp;'Funnel setup'!$K$6,".",IF(A3323=".",1,A3323+1))</f>
        <v>.</v>
      </c>
      <c r="B3324" s="244" t="str">
        <f t="shared" si="51"/>
        <v>Knee Replacement RevisionProviderST HUGH'S HOSPITAL (NTE02)Oxford Knee Score</v>
      </c>
      <c r="C3324" t="s">
        <v>973</v>
      </c>
      <c r="D3324" t="s">
        <v>965</v>
      </c>
      <c r="E3324" t="s">
        <v>610</v>
      </c>
      <c r="F3324" t="s">
        <v>611</v>
      </c>
      <c r="G3324" t="s">
        <v>972</v>
      </c>
      <c r="H3324">
        <v>2</v>
      </c>
      <c r="I3324">
        <v>19</v>
      </c>
      <c r="J3324">
        <v>29</v>
      </c>
      <c r="K3324">
        <v>10</v>
      </c>
      <c r="L3324">
        <v>2</v>
      </c>
      <c r="M3324">
        <v>0</v>
      </c>
      <c r="N3324">
        <v>0</v>
      </c>
      <c r="O3324" t="s">
        <v>127</v>
      </c>
      <c r="P3324" t="s">
        <v>127</v>
      </c>
      <c r="Q3324" t="s">
        <v>127</v>
      </c>
    </row>
    <row r="3325" spans="1:17" x14ac:dyDescent="0.25">
      <c r="A3325" t="str">
        <f>IF(C3325&amp;G3325&amp;D3325&lt;&gt;'Funnel setup'!$K$3&amp;'Funnel setup'!$K$4&amp;'Funnel setup'!$K$6,".",IF(A3324=".",1,A3324+1))</f>
        <v>.</v>
      </c>
      <c r="B3325" s="244" t="str">
        <f t="shared" si="51"/>
        <v>Knee Replacement RevisionProviderSTOCKPORT NHS FOUNDATION TRUST (RWJ)Oxford Knee Score</v>
      </c>
      <c r="C3325" t="s">
        <v>973</v>
      </c>
      <c r="D3325" t="s">
        <v>965</v>
      </c>
      <c r="E3325" t="s">
        <v>614</v>
      </c>
      <c r="F3325" t="s">
        <v>615</v>
      </c>
      <c r="G3325" t="s">
        <v>972</v>
      </c>
      <c r="H3325">
        <v>3</v>
      </c>
      <c r="I3325">
        <v>12</v>
      </c>
      <c r="J3325">
        <v>35.666699999999999</v>
      </c>
      <c r="K3325">
        <v>23.666699999999999</v>
      </c>
      <c r="L3325">
        <v>3</v>
      </c>
      <c r="M3325">
        <v>0</v>
      </c>
      <c r="N3325">
        <v>0</v>
      </c>
      <c r="O3325" t="s">
        <v>127</v>
      </c>
      <c r="P3325" t="s">
        <v>127</v>
      </c>
      <c r="Q3325" t="s">
        <v>127</v>
      </c>
    </row>
    <row r="3326" spans="1:17" x14ac:dyDescent="0.25">
      <c r="A3326" t="str">
        <f>IF(C3326&amp;G3326&amp;D3326&lt;&gt;'Funnel setup'!$K$3&amp;'Funnel setup'!$K$4&amp;'Funnel setup'!$K$6,".",IF(A3325=".",1,A3325+1))</f>
        <v>.</v>
      </c>
      <c r="B3326" s="244" t="str">
        <f t="shared" si="51"/>
        <v>Knee Replacement RevisionProviderSURREY AND SUSSEX HEALTHCARE NHS TRUST (RTP)Oxford Knee Score</v>
      </c>
      <c r="C3326" t="s">
        <v>973</v>
      </c>
      <c r="D3326" t="s">
        <v>965</v>
      </c>
      <c r="E3326" t="s">
        <v>618</v>
      </c>
      <c r="F3326" t="s">
        <v>619</v>
      </c>
      <c r="G3326" t="s">
        <v>972</v>
      </c>
      <c r="H3326">
        <v>2</v>
      </c>
      <c r="I3326">
        <v>15.5</v>
      </c>
      <c r="J3326">
        <v>19</v>
      </c>
      <c r="K3326">
        <v>3.5</v>
      </c>
      <c r="L3326">
        <v>1</v>
      </c>
      <c r="M3326">
        <v>0</v>
      </c>
      <c r="N3326">
        <v>1</v>
      </c>
      <c r="O3326" t="s">
        <v>127</v>
      </c>
      <c r="P3326" t="s">
        <v>127</v>
      </c>
      <c r="Q3326" t="s">
        <v>127</v>
      </c>
    </row>
    <row r="3327" spans="1:17" x14ac:dyDescent="0.25">
      <c r="A3327" t="str">
        <f>IF(C3327&amp;G3327&amp;D3327&lt;&gt;'Funnel setup'!$K$3&amp;'Funnel setup'!$K$4&amp;'Funnel setup'!$K$6,".",IF(A3326=".",1,A3326+1))</f>
        <v>.</v>
      </c>
      <c r="B3327" s="244" t="str">
        <f t="shared" si="51"/>
        <v>Knee Replacement RevisionProviderTEES VALLEY HOSPITAL (NVC0R)Oxford Knee Score</v>
      </c>
      <c r="C3327" t="s">
        <v>973</v>
      </c>
      <c r="D3327" t="s">
        <v>965</v>
      </c>
      <c r="E3327" t="s">
        <v>624</v>
      </c>
      <c r="F3327" t="s">
        <v>625</v>
      </c>
      <c r="G3327" t="s">
        <v>972</v>
      </c>
      <c r="H3327" t="s">
        <v>127</v>
      </c>
      <c r="I3327" t="s">
        <v>127</v>
      </c>
      <c r="J3327" t="s">
        <v>127</v>
      </c>
      <c r="K3327" t="s">
        <v>127</v>
      </c>
      <c r="L3327" t="s">
        <v>127</v>
      </c>
      <c r="M3327" t="s">
        <v>127</v>
      </c>
      <c r="N3327" t="s">
        <v>127</v>
      </c>
      <c r="O3327" t="s">
        <v>127</v>
      </c>
      <c r="P3327" t="s">
        <v>127</v>
      </c>
      <c r="Q3327" t="s">
        <v>127</v>
      </c>
    </row>
    <row r="3328" spans="1:17" x14ac:dyDescent="0.25">
      <c r="A3328" t="str">
        <f>IF(C3328&amp;G3328&amp;D3328&lt;&gt;'Funnel setup'!$K$3&amp;'Funnel setup'!$K$4&amp;'Funnel setup'!$K$6,".",IF(A3327=".",1,A3327+1))</f>
        <v>.</v>
      </c>
      <c r="B3328" s="244" t="str">
        <f t="shared" si="51"/>
        <v>Knee Replacement RevisionProviderTHE CHERWELL HOSPITAL (NVC25)Oxford Knee Score</v>
      </c>
      <c r="C3328" t="s">
        <v>973</v>
      </c>
      <c r="D3328" t="s">
        <v>965</v>
      </c>
      <c r="E3328" t="s">
        <v>628</v>
      </c>
      <c r="F3328" t="s">
        <v>629</v>
      </c>
      <c r="G3328" t="s">
        <v>972</v>
      </c>
      <c r="H3328">
        <v>9</v>
      </c>
      <c r="I3328">
        <v>18</v>
      </c>
      <c r="J3328">
        <v>37.666699999999999</v>
      </c>
      <c r="K3328">
        <v>19.666699999999999</v>
      </c>
      <c r="L3328">
        <v>8</v>
      </c>
      <c r="M3328">
        <v>0</v>
      </c>
      <c r="N3328">
        <v>1</v>
      </c>
      <c r="O3328" t="s">
        <v>127</v>
      </c>
      <c r="P3328" t="s">
        <v>127</v>
      </c>
      <c r="Q3328" t="s">
        <v>127</v>
      </c>
    </row>
    <row r="3329" spans="1:17" x14ac:dyDescent="0.25">
      <c r="A3329" t="str">
        <f>IF(C3329&amp;G3329&amp;D3329&lt;&gt;'Funnel setup'!$K$3&amp;'Funnel setup'!$K$4&amp;'Funnel setup'!$K$6,".",IF(A3328=".",1,A3328+1))</f>
        <v>.</v>
      </c>
      <c r="B3329" s="244" t="str">
        <f t="shared" si="51"/>
        <v>Knee Replacement RevisionProviderTHE HILLINGDON HOSPITALS NHS FOUNDATION TRUST (RAS)Oxford Knee Score</v>
      </c>
      <c r="C3329" t="s">
        <v>973</v>
      </c>
      <c r="D3329" t="s">
        <v>965</v>
      </c>
      <c r="E3329" t="s">
        <v>632</v>
      </c>
      <c r="F3329" t="s">
        <v>633</v>
      </c>
      <c r="G3329" t="s">
        <v>972</v>
      </c>
      <c r="H3329">
        <v>6</v>
      </c>
      <c r="I3329">
        <v>20.333300000000001</v>
      </c>
      <c r="J3329">
        <v>33</v>
      </c>
      <c r="K3329">
        <v>12.666700000000001</v>
      </c>
      <c r="L3329">
        <v>6</v>
      </c>
      <c r="M3329">
        <v>0</v>
      </c>
      <c r="N3329">
        <v>0</v>
      </c>
      <c r="O3329" t="s">
        <v>127</v>
      </c>
      <c r="P3329" t="s">
        <v>127</v>
      </c>
      <c r="Q3329" t="s">
        <v>127</v>
      </c>
    </row>
    <row r="3330" spans="1:17" x14ac:dyDescent="0.25">
      <c r="A3330" t="str">
        <f>IF(C3330&amp;G3330&amp;D3330&lt;&gt;'Funnel setup'!$K$3&amp;'Funnel setup'!$K$4&amp;'Funnel setup'!$K$6,".",IF(A3329=".",1,A3329+1))</f>
        <v>.</v>
      </c>
      <c r="B3330" s="244" t="str">
        <f t="shared" ref="B3330:B3393" si="52">C3330&amp;D3330&amp;F3330&amp;G3330</f>
        <v>Knee Replacement RevisionProviderTHE HORDER CENTRE - ST JOHNS ROAD (NXM01)Oxford Knee Score</v>
      </c>
      <c r="C3330" t="s">
        <v>973</v>
      </c>
      <c r="D3330" t="s">
        <v>965</v>
      </c>
      <c r="E3330" t="s">
        <v>634</v>
      </c>
      <c r="F3330" t="s">
        <v>635</v>
      </c>
      <c r="G3330" t="s">
        <v>972</v>
      </c>
      <c r="H3330">
        <v>5</v>
      </c>
      <c r="I3330">
        <v>21</v>
      </c>
      <c r="J3330">
        <v>36.799999999999997</v>
      </c>
      <c r="K3330">
        <v>15.8</v>
      </c>
      <c r="L3330">
        <v>5</v>
      </c>
      <c r="M3330">
        <v>0</v>
      </c>
      <c r="N3330">
        <v>0</v>
      </c>
      <c r="O3330" t="s">
        <v>127</v>
      </c>
      <c r="P3330" t="s">
        <v>127</v>
      </c>
      <c r="Q3330" t="s">
        <v>127</v>
      </c>
    </row>
    <row r="3331" spans="1:17" x14ac:dyDescent="0.25">
      <c r="A3331" t="str">
        <f>IF(C3331&amp;G3331&amp;D3331&lt;&gt;'Funnel setup'!$K$3&amp;'Funnel setup'!$K$4&amp;'Funnel setup'!$K$6,".",IF(A3330=".",1,A3330+1))</f>
        <v>.</v>
      </c>
      <c r="B3331" s="244" t="str">
        <f t="shared" si="52"/>
        <v>Knee Replacement RevisionProviderTHE PRINCESS ALEXANDRA HOSPITAL NHS TRUST (RQW)Oxford Knee Score</v>
      </c>
      <c r="C3331" t="s">
        <v>973</v>
      </c>
      <c r="D3331" t="s">
        <v>965</v>
      </c>
      <c r="E3331" t="s">
        <v>640</v>
      </c>
      <c r="F3331" t="s">
        <v>641</v>
      </c>
      <c r="G3331" t="s">
        <v>972</v>
      </c>
      <c r="H3331">
        <v>1</v>
      </c>
      <c r="I3331">
        <v>14</v>
      </c>
      <c r="J3331">
        <v>39</v>
      </c>
      <c r="K3331">
        <v>25</v>
      </c>
      <c r="L3331">
        <v>1</v>
      </c>
      <c r="M3331">
        <v>0</v>
      </c>
      <c r="N3331">
        <v>0</v>
      </c>
      <c r="O3331" t="s">
        <v>127</v>
      </c>
      <c r="P3331" t="s">
        <v>127</v>
      </c>
      <c r="Q3331" t="s">
        <v>127</v>
      </c>
    </row>
    <row r="3332" spans="1:17" x14ac:dyDescent="0.25">
      <c r="A3332" t="str">
        <f>IF(C3332&amp;G3332&amp;D3332&lt;&gt;'Funnel setup'!$K$3&amp;'Funnel setup'!$K$4&amp;'Funnel setup'!$K$6,".",IF(A3331=".",1,A3331+1))</f>
        <v>.</v>
      </c>
      <c r="B3332" s="244" t="str">
        <f t="shared" si="52"/>
        <v>Knee Replacement RevisionProviderTHE QUEEN ELIZABETH HOSPITAL, KING'S LYNN, NHS FOUNDATION TRUST (RCX)Oxford Knee Score</v>
      </c>
      <c r="C3332" t="s">
        <v>973</v>
      </c>
      <c r="D3332" t="s">
        <v>965</v>
      </c>
      <c r="E3332" t="s">
        <v>644</v>
      </c>
      <c r="F3332" t="s">
        <v>645</v>
      </c>
      <c r="G3332" t="s">
        <v>972</v>
      </c>
      <c r="H3332">
        <v>3</v>
      </c>
      <c r="I3332">
        <v>17.333300000000001</v>
      </c>
      <c r="J3332">
        <v>26.666699999999999</v>
      </c>
      <c r="K3332">
        <v>9.3333300000000001</v>
      </c>
      <c r="L3332">
        <v>2</v>
      </c>
      <c r="M3332">
        <v>0</v>
      </c>
      <c r="N3332">
        <v>1</v>
      </c>
      <c r="O3332" t="s">
        <v>127</v>
      </c>
      <c r="P3332" t="s">
        <v>127</v>
      </c>
      <c r="Q3332" t="s">
        <v>127</v>
      </c>
    </row>
    <row r="3333" spans="1:17" x14ac:dyDescent="0.25">
      <c r="A3333" t="str">
        <f>IF(C3333&amp;G3333&amp;D3333&lt;&gt;'Funnel setup'!$K$3&amp;'Funnel setup'!$K$4&amp;'Funnel setup'!$K$6,".",IF(A3332=".",1,A3332+1))</f>
        <v>.</v>
      </c>
      <c r="B3333" s="244" t="str">
        <f t="shared" si="52"/>
        <v>Knee Replacement RevisionProviderTHE ROBERT JONES AND AGNES HUNT ORTHOPAEDIC HOSPITAL NHS FOUNDATION TRUST (RL1)Oxford Knee Score</v>
      </c>
      <c r="C3333" t="s">
        <v>973</v>
      </c>
      <c r="D3333" t="s">
        <v>965</v>
      </c>
      <c r="E3333" t="s">
        <v>646</v>
      </c>
      <c r="F3333" t="s">
        <v>647</v>
      </c>
      <c r="G3333" t="s">
        <v>972</v>
      </c>
      <c r="H3333">
        <v>36</v>
      </c>
      <c r="I3333">
        <v>17.527799999999999</v>
      </c>
      <c r="J3333">
        <v>30.472200000000001</v>
      </c>
      <c r="K3333">
        <v>12.9444</v>
      </c>
      <c r="L3333">
        <v>31</v>
      </c>
      <c r="M3333">
        <v>1</v>
      </c>
      <c r="N3333">
        <v>4</v>
      </c>
      <c r="O3333">
        <v>30.0992</v>
      </c>
      <c r="P3333">
        <v>13.7719</v>
      </c>
      <c r="Q3333">
        <v>10.3666</v>
      </c>
    </row>
    <row r="3334" spans="1:17" x14ac:dyDescent="0.25">
      <c r="A3334" t="str">
        <f>IF(C3334&amp;G3334&amp;D3334&lt;&gt;'Funnel setup'!$K$3&amp;'Funnel setup'!$K$4&amp;'Funnel setup'!$K$6,".",IF(A3333=".",1,A3333+1))</f>
        <v>.</v>
      </c>
      <c r="B3334" s="244" t="str">
        <f t="shared" si="52"/>
        <v>Knee Replacement RevisionProviderTHE ROYAL ORTHOPAEDIC HOSPITAL NHS FOUNDATION TRUST (RRJ)Oxford Knee Score</v>
      </c>
      <c r="C3334" t="s">
        <v>973</v>
      </c>
      <c r="D3334" t="s">
        <v>965</v>
      </c>
      <c r="E3334" t="s">
        <v>652</v>
      </c>
      <c r="F3334" t="s">
        <v>653</v>
      </c>
      <c r="G3334" t="s">
        <v>972</v>
      </c>
      <c r="H3334">
        <v>36</v>
      </c>
      <c r="I3334">
        <v>16.6389</v>
      </c>
      <c r="J3334">
        <v>27.3889</v>
      </c>
      <c r="K3334">
        <v>10.75</v>
      </c>
      <c r="L3334">
        <v>27</v>
      </c>
      <c r="M3334">
        <v>1</v>
      </c>
      <c r="N3334">
        <v>8</v>
      </c>
      <c r="O3334">
        <v>28.052900000000001</v>
      </c>
      <c r="P3334">
        <v>11.7256</v>
      </c>
      <c r="Q3334">
        <v>10.329499999999999</v>
      </c>
    </row>
    <row r="3335" spans="1:17" x14ac:dyDescent="0.25">
      <c r="A3335" t="str">
        <f>IF(C3335&amp;G3335&amp;D3335&lt;&gt;'Funnel setup'!$K$3&amp;'Funnel setup'!$K$4&amp;'Funnel setup'!$K$6,".",IF(A3334=".",1,A3334+1))</f>
        <v>.</v>
      </c>
      <c r="B3335" s="244" t="str">
        <f t="shared" si="52"/>
        <v>Knee Replacement RevisionProviderTHE ROYAL WOLVERHAMPTON NHS TRUST (RL4)Oxford Knee Score</v>
      </c>
      <c r="C3335" t="s">
        <v>973</v>
      </c>
      <c r="D3335" t="s">
        <v>965</v>
      </c>
      <c r="E3335" t="s">
        <v>654</v>
      </c>
      <c r="F3335" t="s">
        <v>655</v>
      </c>
      <c r="G3335" t="s">
        <v>972</v>
      </c>
      <c r="H3335">
        <v>1</v>
      </c>
      <c r="I3335">
        <v>28</v>
      </c>
      <c r="J3335">
        <v>48</v>
      </c>
      <c r="K3335">
        <v>20</v>
      </c>
      <c r="L3335">
        <v>1</v>
      </c>
      <c r="M3335">
        <v>0</v>
      </c>
      <c r="N3335">
        <v>0</v>
      </c>
      <c r="O3335" t="s">
        <v>127</v>
      </c>
      <c r="P3335" t="s">
        <v>127</v>
      </c>
      <c r="Q3335" t="s">
        <v>127</v>
      </c>
    </row>
    <row r="3336" spans="1:17" x14ac:dyDescent="0.25">
      <c r="A3336" t="str">
        <f>IF(C3336&amp;G3336&amp;D3336&lt;&gt;'Funnel setup'!$K$3&amp;'Funnel setup'!$K$4&amp;'Funnel setup'!$K$6,".",IF(A3335=".",1,A3335+1))</f>
        <v>.</v>
      </c>
      <c r="B3336" s="244" t="str">
        <f t="shared" si="52"/>
        <v>Knee Replacement RevisionProviderTHE YORKSHIRE CLINIC (NVC20)Oxford Knee Score</v>
      </c>
      <c r="C3336" t="s">
        <v>973</v>
      </c>
      <c r="D3336" t="s">
        <v>965</v>
      </c>
      <c r="E3336" t="s">
        <v>662</v>
      </c>
      <c r="F3336" t="s">
        <v>663</v>
      </c>
      <c r="G3336" t="s">
        <v>972</v>
      </c>
      <c r="H3336">
        <v>1</v>
      </c>
      <c r="I3336">
        <v>21</v>
      </c>
      <c r="J3336">
        <v>31</v>
      </c>
      <c r="K3336">
        <v>10</v>
      </c>
      <c r="L3336">
        <v>1</v>
      </c>
      <c r="M3336">
        <v>0</v>
      </c>
      <c r="N3336">
        <v>0</v>
      </c>
      <c r="O3336" t="s">
        <v>127</v>
      </c>
      <c r="P3336" t="s">
        <v>127</v>
      </c>
      <c r="Q3336" t="s">
        <v>127</v>
      </c>
    </row>
    <row r="3337" spans="1:17" x14ac:dyDescent="0.25">
      <c r="A3337" t="str">
        <f>IF(C3337&amp;G3337&amp;D3337&lt;&gt;'Funnel setup'!$K$3&amp;'Funnel setup'!$K$4&amp;'Funnel setup'!$K$6,".",IF(A3336=".",1,A3336+1))</f>
        <v>.</v>
      </c>
      <c r="B3337" s="244" t="str">
        <f t="shared" si="52"/>
        <v>Knee Replacement RevisionProviderTHREE SHIRES HOSPITAL (NT441)Oxford Knee Score</v>
      </c>
      <c r="C3337" t="s">
        <v>973</v>
      </c>
      <c r="D3337" t="s">
        <v>965</v>
      </c>
      <c r="E3337" t="s">
        <v>666</v>
      </c>
      <c r="F3337" t="s">
        <v>667</v>
      </c>
      <c r="G3337" t="s">
        <v>972</v>
      </c>
      <c r="H3337">
        <v>1</v>
      </c>
      <c r="I3337">
        <v>20</v>
      </c>
      <c r="J3337">
        <v>36</v>
      </c>
      <c r="K3337">
        <v>16</v>
      </c>
      <c r="L3337">
        <v>1</v>
      </c>
      <c r="M3337">
        <v>0</v>
      </c>
      <c r="N3337">
        <v>0</v>
      </c>
      <c r="O3337" t="s">
        <v>127</v>
      </c>
      <c r="P3337" t="s">
        <v>127</v>
      </c>
      <c r="Q3337" t="s">
        <v>127</v>
      </c>
    </row>
    <row r="3338" spans="1:17" x14ac:dyDescent="0.25">
      <c r="A3338" t="str">
        <f>IF(C3338&amp;G3338&amp;D3338&lt;&gt;'Funnel setup'!$K$3&amp;'Funnel setup'!$K$4&amp;'Funnel setup'!$K$6,".",IF(A3337=".",1,A3337+1))</f>
        <v>.</v>
      </c>
      <c r="B3338" s="244" t="str">
        <f t="shared" si="52"/>
        <v>Knee Replacement RevisionProviderTORBAY AND SOUTH DEVON NHS FOUNDATION TRUST (RA9)Oxford Knee Score</v>
      </c>
      <c r="C3338" t="s">
        <v>973</v>
      </c>
      <c r="D3338" t="s">
        <v>965</v>
      </c>
      <c r="E3338" t="s">
        <v>668</v>
      </c>
      <c r="F3338" t="s">
        <v>669</v>
      </c>
      <c r="G3338" t="s">
        <v>972</v>
      </c>
      <c r="H3338">
        <v>1</v>
      </c>
      <c r="I3338">
        <v>5</v>
      </c>
      <c r="J3338">
        <v>11</v>
      </c>
      <c r="K3338">
        <v>6</v>
      </c>
      <c r="L3338">
        <v>1</v>
      </c>
      <c r="M3338">
        <v>0</v>
      </c>
      <c r="N3338">
        <v>0</v>
      </c>
      <c r="O3338" t="s">
        <v>127</v>
      </c>
      <c r="P3338" t="s">
        <v>127</v>
      </c>
      <c r="Q3338" t="s">
        <v>127</v>
      </c>
    </row>
    <row r="3339" spans="1:17" x14ac:dyDescent="0.25">
      <c r="A3339" t="str">
        <f>IF(C3339&amp;G3339&amp;D3339&lt;&gt;'Funnel setup'!$K$3&amp;'Funnel setup'!$K$4&amp;'Funnel setup'!$K$6,".",IF(A3338=".",1,A3338+1))</f>
        <v>.</v>
      </c>
      <c r="B3339" s="244" t="str">
        <f t="shared" si="52"/>
        <v>Knee Replacement RevisionProviderUNITED LINCOLNSHIRE HOSPITALS NHS TRUST (RWD)Oxford Knee Score</v>
      </c>
      <c r="C3339" t="s">
        <v>973</v>
      </c>
      <c r="D3339" t="s">
        <v>965</v>
      </c>
      <c r="E3339" t="s">
        <v>672</v>
      </c>
      <c r="F3339" t="s">
        <v>673</v>
      </c>
      <c r="G3339" t="s">
        <v>972</v>
      </c>
      <c r="H3339">
        <v>1</v>
      </c>
      <c r="I3339">
        <v>8</v>
      </c>
      <c r="J3339">
        <v>36</v>
      </c>
      <c r="K3339">
        <v>28</v>
      </c>
      <c r="L3339">
        <v>1</v>
      </c>
      <c r="M3339">
        <v>0</v>
      </c>
      <c r="N3339">
        <v>0</v>
      </c>
      <c r="O3339" t="s">
        <v>127</v>
      </c>
      <c r="P3339" t="s">
        <v>127</v>
      </c>
      <c r="Q3339" t="s">
        <v>127</v>
      </c>
    </row>
    <row r="3340" spans="1:17" x14ac:dyDescent="0.25">
      <c r="A3340" t="str">
        <f>IF(C3340&amp;G3340&amp;D3340&lt;&gt;'Funnel setup'!$K$3&amp;'Funnel setup'!$K$4&amp;'Funnel setup'!$K$6,".",IF(A3339=".",1,A3339+1))</f>
        <v>.</v>
      </c>
      <c r="B3340" s="244" t="str">
        <f t="shared" si="52"/>
        <v>Knee Replacement RevisionProviderUNIVERSITY COLLEGE LONDON HOSPITALS NHS FOUNDATION TRUST (RRV)Oxford Knee Score</v>
      </c>
      <c r="C3340" t="s">
        <v>973</v>
      </c>
      <c r="D3340" t="s">
        <v>965</v>
      </c>
      <c r="E3340" t="s">
        <v>674</v>
      </c>
      <c r="F3340" t="s">
        <v>675</v>
      </c>
      <c r="G3340" t="s">
        <v>972</v>
      </c>
      <c r="H3340">
        <v>5</v>
      </c>
      <c r="I3340">
        <v>9.8000000000000007</v>
      </c>
      <c r="J3340">
        <v>23.4</v>
      </c>
      <c r="K3340">
        <v>13.6</v>
      </c>
      <c r="L3340">
        <v>4</v>
      </c>
      <c r="M3340">
        <v>0</v>
      </c>
      <c r="N3340">
        <v>1</v>
      </c>
      <c r="O3340" t="s">
        <v>127</v>
      </c>
      <c r="P3340" t="s">
        <v>127</v>
      </c>
      <c r="Q3340" t="s">
        <v>127</v>
      </c>
    </row>
    <row r="3341" spans="1:17" x14ac:dyDescent="0.25">
      <c r="A3341" t="str">
        <f>IF(C3341&amp;G3341&amp;D3341&lt;&gt;'Funnel setup'!$K$3&amp;'Funnel setup'!$K$4&amp;'Funnel setup'!$K$6,".",IF(A3340=".",1,A3340+1))</f>
        <v>.</v>
      </c>
      <c r="B3341" s="244" t="str">
        <f t="shared" si="52"/>
        <v>Knee Replacement RevisionProviderUNIVERSITY HOSPITAL SOUTHAMPTON NHS FOUNDATION TRUST (RHM)Oxford Knee Score</v>
      </c>
      <c r="C3341" t="s">
        <v>973</v>
      </c>
      <c r="D3341" t="s">
        <v>965</v>
      </c>
      <c r="E3341" t="s">
        <v>676</v>
      </c>
      <c r="F3341" t="s">
        <v>677</v>
      </c>
      <c r="G3341" t="s">
        <v>972</v>
      </c>
      <c r="H3341">
        <v>19</v>
      </c>
      <c r="I3341">
        <v>17.947399999999998</v>
      </c>
      <c r="J3341">
        <v>34.578899999999997</v>
      </c>
      <c r="K3341">
        <v>16.631599999999999</v>
      </c>
      <c r="L3341">
        <v>19</v>
      </c>
      <c r="M3341">
        <v>0</v>
      </c>
      <c r="N3341">
        <v>0</v>
      </c>
      <c r="O3341" t="s">
        <v>127</v>
      </c>
      <c r="P3341" t="s">
        <v>127</v>
      </c>
      <c r="Q3341" t="s">
        <v>127</v>
      </c>
    </row>
    <row r="3342" spans="1:17" x14ac:dyDescent="0.25">
      <c r="A3342" t="str">
        <f>IF(C3342&amp;G3342&amp;D3342&lt;&gt;'Funnel setup'!$K$3&amp;'Funnel setup'!$K$4&amp;'Funnel setup'!$K$6,".",IF(A3341=".",1,A3341+1))</f>
        <v>.</v>
      </c>
      <c r="B3342" s="244" t="str">
        <f t="shared" si="52"/>
        <v>Knee Replacement RevisionProviderUNIVERSITY HOSPITALS COVENTRY AND WARWICKSHIRE NHS TRUST (RKB)Oxford Knee Score</v>
      </c>
      <c r="C3342" t="s">
        <v>973</v>
      </c>
      <c r="D3342" t="s">
        <v>965</v>
      </c>
      <c r="E3342" t="s">
        <v>682</v>
      </c>
      <c r="F3342" t="s">
        <v>683</v>
      </c>
      <c r="G3342" t="s">
        <v>972</v>
      </c>
      <c r="H3342">
        <v>3</v>
      </c>
      <c r="I3342">
        <v>17</v>
      </c>
      <c r="J3342">
        <v>39.666699999999999</v>
      </c>
      <c r="K3342">
        <v>22.666699999999999</v>
      </c>
      <c r="L3342">
        <v>3</v>
      </c>
      <c r="M3342">
        <v>0</v>
      </c>
      <c r="N3342">
        <v>0</v>
      </c>
      <c r="O3342" t="s">
        <v>127</v>
      </c>
      <c r="P3342" t="s">
        <v>127</v>
      </c>
      <c r="Q3342" t="s">
        <v>127</v>
      </c>
    </row>
    <row r="3343" spans="1:17" x14ac:dyDescent="0.25">
      <c r="A3343" t="str">
        <f>IF(C3343&amp;G3343&amp;D3343&lt;&gt;'Funnel setup'!$K$3&amp;'Funnel setup'!$K$4&amp;'Funnel setup'!$K$6,".",IF(A3342=".",1,A3342+1))</f>
        <v>.</v>
      </c>
      <c r="B3343" s="244" t="str">
        <f t="shared" si="52"/>
        <v>Knee Replacement RevisionProviderUNIVERSITY HOSPITAL DORSET NHS FUNDATION TRUST (R0D)Oxford Knee Score</v>
      </c>
      <c r="C3343" t="s">
        <v>973</v>
      </c>
      <c r="D3343" t="s">
        <v>965</v>
      </c>
      <c r="E3343" t="s">
        <v>684</v>
      </c>
      <c r="F3343" t="s">
        <v>966</v>
      </c>
      <c r="G3343" t="s">
        <v>972</v>
      </c>
      <c r="H3343">
        <v>9</v>
      </c>
      <c r="I3343">
        <v>14.1111</v>
      </c>
      <c r="J3343">
        <v>30.555599999999998</v>
      </c>
      <c r="K3343">
        <v>16.444400000000002</v>
      </c>
      <c r="L3343">
        <v>8</v>
      </c>
      <c r="M3343">
        <v>0</v>
      </c>
      <c r="N3343">
        <v>1</v>
      </c>
      <c r="O3343" t="s">
        <v>127</v>
      </c>
      <c r="P3343" t="s">
        <v>127</v>
      </c>
      <c r="Q3343" t="s">
        <v>127</v>
      </c>
    </row>
    <row r="3344" spans="1:17" x14ac:dyDescent="0.25">
      <c r="A3344" t="str">
        <f>IF(C3344&amp;G3344&amp;D3344&lt;&gt;'Funnel setup'!$K$3&amp;'Funnel setup'!$K$4&amp;'Funnel setup'!$K$6,".",IF(A3343=".",1,A3343+1))</f>
        <v>.</v>
      </c>
      <c r="B3344" s="244" t="str">
        <f t="shared" si="52"/>
        <v>Knee Replacement RevisionProviderUNIVERSITY HOSPITALS OF DERBY AND BURTON NHS FOUNDATION TRUST (RTG)Oxford Knee Score</v>
      </c>
      <c r="C3344" t="s">
        <v>973</v>
      </c>
      <c r="D3344" t="s">
        <v>965</v>
      </c>
      <c r="E3344" t="s">
        <v>686</v>
      </c>
      <c r="F3344" t="s">
        <v>687</v>
      </c>
      <c r="G3344" t="s">
        <v>972</v>
      </c>
      <c r="H3344">
        <v>25</v>
      </c>
      <c r="I3344">
        <v>16.12</v>
      </c>
      <c r="J3344">
        <v>28.92</v>
      </c>
      <c r="K3344">
        <v>12.8</v>
      </c>
      <c r="L3344">
        <v>22</v>
      </c>
      <c r="M3344">
        <v>0</v>
      </c>
      <c r="N3344">
        <v>3</v>
      </c>
      <c r="O3344" t="s">
        <v>127</v>
      </c>
      <c r="P3344" t="s">
        <v>127</v>
      </c>
      <c r="Q3344" t="s">
        <v>127</v>
      </c>
    </row>
    <row r="3345" spans="1:17" x14ac:dyDescent="0.25">
      <c r="A3345" t="str">
        <f>IF(C3345&amp;G3345&amp;D3345&lt;&gt;'Funnel setup'!$K$3&amp;'Funnel setup'!$K$4&amp;'Funnel setup'!$K$6,".",IF(A3344=".",1,A3344+1))</f>
        <v>.</v>
      </c>
      <c r="B3345" s="244" t="str">
        <f t="shared" si="52"/>
        <v>Knee Replacement RevisionProviderUNIVERSITY HOSPITALS OF LEICESTER NHS TRUST (RWE)Oxford Knee Score</v>
      </c>
      <c r="C3345" t="s">
        <v>973</v>
      </c>
      <c r="D3345" t="s">
        <v>965</v>
      </c>
      <c r="E3345" t="s">
        <v>688</v>
      </c>
      <c r="F3345" t="s">
        <v>689</v>
      </c>
      <c r="G3345" t="s">
        <v>972</v>
      </c>
      <c r="H3345">
        <v>12</v>
      </c>
      <c r="I3345">
        <v>14.583299999999999</v>
      </c>
      <c r="J3345">
        <v>26.083300000000001</v>
      </c>
      <c r="K3345">
        <v>11.5</v>
      </c>
      <c r="L3345">
        <v>9</v>
      </c>
      <c r="M3345">
        <v>0</v>
      </c>
      <c r="N3345">
        <v>3</v>
      </c>
      <c r="O3345" t="s">
        <v>127</v>
      </c>
      <c r="P3345" t="s">
        <v>127</v>
      </c>
      <c r="Q3345" t="s">
        <v>127</v>
      </c>
    </row>
    <row r="3346" spans="1:17" x14ac:dyDescent="0.25">
      <c r="A3346" t="str">
        <f>IF(C3346&amp;G3346&amp;D3346&lt;&gt;'Funnel setup'!$K$3&amp;'Funnel setup'!$K$4&amp;'Funnel setup'!$K$6,".",IF(A3345=".",1,A3345+1))</f>
        <v>.</v>
      </c>
      <c r="B3346" s="244" t="str">
        <f t="shared" si="52"/>
        <v>Knee Replacement RevisionProviderUNIVERSITY HOSPITALS OF MORECAMBE BAY NHS FOUNDATION TRUST (RTX)Oxford Knee Score</v>
      </c>
      <c r="C3346" t="s">
        <v>973</v>
      </c>
      <c r="D3346" t="s">
        <v>965</v>
      </c>
      <c r="E3346" t="s">
        <v>690</v>
      </c>
      <c r="F3346" t="s">
        <v>691</v>
      </c>
      <c r="G3346" t="s">
        <v>972</v>
      </c>
      <c r="H3346">
        <v>2</v>
      </c>
      <c r="I3346">
        <v>14</v>
      </c>
      <c r="J3346">
        <v>28.5</v>
      </c>
      <c r="K3346">
        <v>14.5</v>
      </c>
      <c r="L3346">
        <v>2</v>
      </c>
      <c r="M3346">
        <v>0</v>
      </c>
      <c r="N3346">
        <v>0</v>
      </c>
      <c r="O3346" t="s">
        <v>127</v>
      </c>
      <c r="P3346" t="s">
        <v>127</v>
      </c>
      <c r="Q3346" t="s">
        <v>127</v>
      </c>
    </row>
    <row r="3347" spans="1:17" x14ac:dyDescent="0.25">
      <c r="A3347" t="str">
        <f>IF(C3347&amp;G3347&amp;D3347&lt;&gt;'Funnel setup'!$K$3&amp;'Funnel setup'!$K$4&amp;'Funnel setup'!$K$6,".",IF(A3346=".",1,A3346+1))</f>
        <v>.</v>
      </c>
      <c r="B3347" s="244" t="str">
        <f t="shared" si="52"/>
        <v>Knee Replacement RevisionProviderUNIVERSITY HOSPITALS OF NORTH MIDLANDS NHS TRUST (RJE)Oxford Knee Score</v>
      </c>
      <c r="C3347" t="s">
        <v>973</v>
      </c>
      <c r="D3347" t="s">
        <v>965</v>
      </c>
      <c r="E3347" t="s">
        <v>692</v>
      </c>
      <c r="F3347" t="s">
        <v>693</v>
      </c>
      <c r="G3347" t="s">
        <v>972</v>
      </c>
      <c r="H3347">
        <v>1</v>
      </c>
      <c r="I3347">
        <v>5</v>
      </c>
      <c r="J3347">
        <v>23</v>
      </c>
      <c r="K3347">
        <v>18</v>
      </c>
      <c r="L3347">
        <v>1</v>
      </c>
      <c r="M3347">
        <v>0</v>
      </c>
      <c r="N3347">
        <v>0</v>
      </c>
      <c r="O3347" t="s">
        <v>127</v>
      </c>
      <c r="P3347" t="s">
        <v>127</v>
      </c>
      <c r="Q3347" t="s">
        <v>127</v>
      </c>
    </row>
    <row r="3348" spans="1:17" x14ac:dyDescent="0.25">
      <c r="A3348" t="str">
        <f>IF(C3348&amp;G3348&amp;D3348&lt;&gt;'Funnel setup'!$K$3&amp;'Funnel setup'!$K$4&amp;'Funnel setup'!$K$6,".",IF(A3347=".",1,A3347+1))</f>
        <v>.</v>
      </c>
      <c r="B3348" s="244" t="str">
        <f t="shared" si="52"/>
        <v>Knee Replacement RevisionProviderUNIVERSITY HOSPITALS PLYMOUTH NHS TRUST (RK9)Oxford Knee Score</v>
      </c>
      <c r="C3348" t="s">
        <v>973</v>
      </c>
      <c r="D3348" t="s">
        <v>965</v>
      </c>
      <c r="E3348" t="s">
        <v>694</v>
      </c>
      <c r="F3348" t="s">
        <v>695</v>
      </c>
      <c r="G3348" t="s">
        <v>972</v>
      </c>
      <c r="H3348">
        <v>1</v>
      </c>
      <c r="I3348">
        <v>15</v>
      </c>
      <c r="J3348">
        <v>35</v>
      </c>
      <c r="K3348">
        <v>20</v>
      </c>
      <c r="L3348">
        <v>1</v>
      </c>
      <c r="M3348">
        <v>0</v>
      </c>
      <c r="N3348">
        <v>0</v>
      </c>
      <c r="O3348" t="s">
        <v>127</v>
      </c>
      <c r="P3348" t="s">
        <v>127</v>
      </c>
      <c r="Q3348" t="s">
        <v>127</v>
      </c>
    </row>
    <row r="3349" spans="1:17" x14ac:dyDescent="0.25">
      <c r="A3349" t="str">
        <f>IF(C3349&amp;G3349&amp;D3349&lt;&gt;'Funnel setup'!$K$3&amp;'Funnel setup'!$K$4&amp;'Funnel setup'!$K$6,".",IF(A3348=".",1,A3348+1))</f>
        <v>.</v>
      </c>
      <c r="B3349" s="244" t="str">
        <f t="shared" si="52"/>
        <v>Knee Replacement RevisionProviderUNIVERSITY HOSPITALS SUSSEX NHS FOUNDATION TRUST (RYR)Oxford Knee Score</v>
      </c>
      <c r="C3349" t="s">
        <v>973</v>
      </c>
      <c r="D3349" t="s">
        <v>965</v>
      </c>
      <c r="E3349" t="s">
        <v>696</v>
      </c>
      <c r="F3349" t="s">
        <v>697</v>
      </c>
      <c r="G3349" t="s">
        <v>972</v>
      </c>
      <c r="H3349">
        <v>4</v>
      </c>
      <c r="I3349">
        <v>10.5</v>
      </c>
      <c r="J3349">
        <v>32</v>
      </c>
      <c r="K3349">
        <v>21.5</v>
      </c>
      <c r="L3349">
        <v>4</v>
      </c>
      <c r="M3349">
        <v>0</v>
      </c>
      <c r="N3349">
        <v>0</v>
      </c>
      <c r="O3349" t="s">
        <v>127</v>
      </c>
      <c r="P3349" t="s">
        <v>127</v>
      </c>
      <c r="Q3349" t="s">
        <v>127</v>
      </c>
    </row>
    <row r="3350" spans="1:17" x14ac:dyDescent="0.25">
      <c r="A3350" t="str">
        <f>IF(C3350&amp;G3350&amp;D3350&lt;&gt;'Funnel setup'!$K$3&amp;'Funnel setup'!$K$4&amp;'Funnel setup'!$K$6,".",IF(A3349=".",1,A3349+1))</f>
        <v>.</v>
      </c>
      <c r="B3350" s="244" t="str">
        <f t="shared" si="52"/>
        <v>Knee Replacement RevisionProviderWARRINGTON AND HALTON TEACHING HOSPITALS NHS FOUNDATION TRUST (RWW)Oxford Knee Score</v>
      </c>
      <c r="C3350" t="s">
        <v>973</v>
      </c>
      <c r="D3350" t="s">
        <v>965</v>
      </c>
      <c r="E3350" t="s">
        <v>700</v>
      </c>
      <c r="F3350" t="s">
        <v>701</v>
      </c>
      <c r="G3350" t="s">
        <v>972</v>
      </c>
      <c r="H3350">
        <v>1</v>
      </c>
      <c r="I3350">
        <v>20</v>
      </c>
      <c r="J3350">
        <v>24</v>
      </c>
      <c r="K3350">
        <v>4</v>
      </c>
      <c r="L3350">
        <v>1</v>
      </c>
      <c r="M3350">
        <v>0</v>
      </c>
      <c r="N3350">
        <v>0</v>
      </c>
      <c r="O3350" t="s">
        <v>127</v>
      </c>
      <c r="P3350" t="s">
        <v>127</v>
      </c>
      <c r="Q3350" t="s">
        <v>127</v>
      </c>
    </row>
    <row r="3351" spans="1:17" x14ac:dyDescent="0.25">
      <c r="A3351" t="str">
        <f>IF(C3351&amp;G3351&amp;D3351&lt;&gt;'Funnel setup'!$K$3&amp;'Funnel setup'!$K$4&amp;'Funnel setup'!$K$6,".",IF(A3350=".",1,A3350+1))</f>
        <v>.</v>
      </c>
      <c r="B3351" s="244" t="str">
        <f t="shared" si="52"/>
        <v>Knee Replacement RevisionProviderWEST HERTFORDSHIRE TEACHING HOSPITALS NHS TRUST (RWG)Oxford Knee Score</v>
      </c>
      <c r="C3351" t="s">
        <v>973</v>
      </c>
      <c r="D3351" t="s">
        <v>965</v>
      </c>
      <c r="E3351" t="s">
        <v>702</v>
      </c>
      <c r="F3351" t="s">
        <v>703</v>
      </c>
      <c r="G3351" t="s">
        <v>972</v>
      </c>
      <c r="H3351">
        <v>5</v>
      </c>
      <c r="I3351">
        <v>14.4</v>
      </c>
      <c r="J3351">
        <v>27.6</v>
      </c>
      <c r="K3351">
        <v>13.2</v>
      </c>
      <c r="L3351">
        <v>5</v>
      </c>
      <c r="M3351">
        <v>0</v>
      </c>
      <c r="N3351">
        <v>0</v>
      </c>
      <c r="O3351" t="s">
        <v>127</v>
      </c>
      <c r="P3351" t="s">
        <v>127</v>
      </c>
      <c r="Q3351" t="s">
        <v>127</v>
      </c>
    </row>
    <row r="3352" spans="1:17" x14ac:dyDescent="0.25">
      <c r="A3352" t="str">
        <f>IF(C3352&amp;G3352&amp;D3352&lt;&gt;'Funnel setup'!$K$3&amp;'Funnel setup'!$K$4&amp;'Funnel setup'!$K$6,".",IF(A3351=".",1,A3351+1))</f>
        <v>.</v>
      </c>
      <c r="B3352" s="244" t="str">
        <f t="shared" si="52"/>
        <v>Knee Replacement RevisionProviderWEST SUFFOLK NHS FOUNDATION TRUST (RGR)Oxford Knee Score</v>
      </c>
      <c r="C3352" t="s">
        <v>973</v>
      </c>
      <c r="D3352" t="s">
        <v>965</v>
      </c>
      <c r="E3352" t="s">
        <v>706</v>
      </c>
      <c r="F3352" t="s">
        <v>707</v>
      </c>
      <c r="G3352" t="s">
        <v>972</v>
      </c>
      <c r="H3352">
        <v>5</v>
      </c>
      <c r="I3352">
        <v>9.8000000000000007</v>
      </c>
      <c r="J3352">
        <v>27.6</v>
      </c>
      <c r="K3352">
        <v>17.8</v>
      </c>
      <c r="L3352">
        <v>5</v>
      </c>
      <c r="M3352">
        <v>0</v>
      </c>
      <c r="N3352">
        <v>0</v>
      </c>
      <c r="O3352" t="s">
        <v>127</v>
      </c>
      <c r="P3352" t="s">
        <v>127</v>
      </c>
      <c r="Q3352" t="s">
        <v>127</v>
      </c>
    </row>
    <row r="3353" spans="1:17" x14ac:dyDescent="0.25">
      <c r="A3353" t="str">
        <f>IF(C3353&amp;G3353&amp;D3353&lt;&gt;'Funnel setup'!$K$3&amp;'Funnel setup'!$K$4&amp;'Funnel setup'!$K$6,".",IF(A3352=".",1,A3352+1))</f>
        <v>.</v>
      </c>
      <c r="B3353" s="244" t="str">
        <f t="shared" si="52"/>
        <v>Knee Replacement RevisionProviderWINFIELD HOSPITAL (NVC22)Oxford Knee Score</v>
      </c>
      <c r="C3353" t="s">
        <v>973</v>
      </c>
      <c r="D3353" t="s">
        <v>965</v>
      </c>
      <c r="E3353" t="s">
        <v>710</v>
      </c>
      <c r="F3353" t="s">
        <v>711</v>
      </c>
      <c r="G3353" t="s">
        <v>972</v>
      </c>
      <c r="H3353">
        <v>1</v>
      </c>
      <c r="I3353">
        <v>26</v>
      </c>
      <c r="J3353">
        <v>48</v>
      </c>
      <c r="K3353">
        <v>22</v>
      </c>
      <c r="L3353">
        <v>1</v>
      </c>
      <c r="M3353">
        <v>0</v>
      </c>
      <c r="N3353">
        <v>0</v>
      </c>
      <c r="O3353" t="s">
        <v>127</v>
      </c>
      <c r="P3353" t="s">
        <v>127</v>
      </c>
      <c r="Q3353" t="s">
        <v>127</v>
      </c>
    </row>
    <row r="3354" spans="1:17" x14ac:dyDescent="0.25">
      <c r="A3354" t="str">
        <f>IF(C3354&amp;G3354&amp;D3354&lt;&gt;'Funnel setup'!$K$3&amp;'Funnel setup'!$K$4&amp;'Funnel setup'!$K$6,".",IF(A3353=".",1,A3353+1))</f>
        <v>.</v>
      </c>
      <c r="B3354" s="244" t="str">
        <f t="shared" si="52"/>
        <v>Knee Replacement RevisionProviderWIRRAL UNIVERSITY TEACHING HOSPITAL NHS FOUNDATION TRUST (RBL)Oxford Knee Score</v>
      </c>
      <c r="C3354" t="s">
        <v>973</v>
      </c>
      <c r="D3354" t="s">
        <v>965</v>
      </c>
      <c r="E3354" t="s">
        <v>714</v>
      </c>
      <c r="F3354" t="s">
        <v>715</v>
      </c>
      <c r="G3354" t="s">
        <v>972</v>
      </c>
      <c r="H3354">
        <v>2</v>
      </c>
      <c r="I3354">
        <v>27.5</v>
      </c>
      <c r="J3354">
        <v>39</v>
      </c>
      <c r="K3354">
        <v>11.5</v>
      </c>
      <c r="L3354">
        <v>2</v>
      </c>
      <c r="M3354">
        <v>0</v>
      </c>
      <c r="N3354">
        <v>0</v>
      </c>
      <c r="O3354" t="s">
        <v>127</v>
      </c>
      <c r="P3354" t="s">
        <v>127</v>
      </c>
      <c r="Q3354" t="s">
        <v>127</v>
      </c>
    </row>
    <row r="3355" spans="1:17" x14ac:dyDescent="0.25">
      <c r="A3355" t="str">
        <f>IF(C3355&amp;G3355&amp;D3355&lt;&gt;'Funnel setup'!$K$3&amp;'Funnel setup'!$K$4&amp;'Funnel setup'!$K$6,".",IF(A3354=".",1,A3354+1))</f>
        <v>.</v>
      </c>
      <c r="B3355" s="244" t="str">
        <f t="shared" si="52"/>
        <v>Knee Replacement RevisionProviderWOODTHORPE HOSPITAL (NVC40)Oxford Knee Score</v>
      </c>
      <c r="C3355" t="s">
        <v>973</v>
      </c>
      <c r="D3355" t="s">
        <v>965</v>
      </c>
      <c r="E3355" t="s">
        <v>720</v>
      </c>
      <c r="F3355" t="s">
        <v>721</v>
      </c>
      <c r="G3355" t="s">
        <v>972</v>
      </c>
      <c r="H3355" t="s">
        <v>127</v>
      </c>
      <c r="I3355" t="s">
        <v>127</v>
      </c>
      <c r="J3355" t="s">
        <v>127</v>
      </c>
      <c r="K3355" t="s">
        <v>127</v>
      </c>
      <c r="L3355" t="s">
        <v>127</v>
      </c>
      <c r="M3355" t="s">
        <v>127</v>
      </c>
      <c r="N3355" t="s">
        <v>127</v>
      </c>
      <c r="O3355" t="s">
        <v>127</v>
      </c>
      <c r="P3355" t="s">
        <v>127</v>
      </c>
      <c r="Q3355" t="s">
        <v>127</v>
      </c>
    </row>
    <row r="3356" spans="1:17" x14ac:dyDescent="0.25">
      <c r="A3356" t="str">
        <f>IF(C3356&amp;G3356&amp;D3356&lt;&gt;'Funnel setup'!$K$3&amp;'Funnel setup'!$K$4&amp;'Funnel setup'!$K$6,".",IF(A3355=".",1,A3355+1))</f>
        <v>.</v>
      </c>
      <c r="B3356" s="244" t="str">
        <f t="shared" si="52"/>
        <v>Knee Replacement RevisionProviderWORCESTERSHIRE ACUTE HOSPITALS NHS TRUST (RWP)Oxford Knee Score</v>
      </c>
      <c r="C3356" t="s">
        <v>973</v>
      </c>
      <c r="D3356" t="s">
        <v>965</v>
      </c>
      <c r="E3356" t="s">
        <v>722</v>
      </c>
      <c r="F3356" t="s">
        <v>723</v>
      </c>
      <c r="G3356" t="s">
        <v>972</v>
      </c>
      <c r="H3356">
        <v>3</v>
      </c>
      <c r="I3356">
        <v>18</v>
      </c>
      <c r="J3356">
        <v>32.666699999999999</v>
      </c>
      <c r="K3356">
        <v>14.666700000000001</v>
      </c>
      <c r="L3356">
        <v>3</v>
      </c>
      <c r="M3356">
        <v>0</v>
      </c>
      <c r="N3356">
        <v>0</v>
      </c>
      <c r="O3356" t="s">
        <v>127</v>
      </c>
      <c r="P3356" t="s">
        <v>127</v>
      </c>
      <c r="Q3356" t="s">
        <v>127</v>
      </c>
    </row>
    <row r="3357" spans="1:17" x14ac:dyDescent="0.25">
      <c r="A3357" t="str">
        <f>IF(C3357&amp;G3357&amp;D3357&lt;&gt;'Funnel setup'!$K$3&amp;'Funnel setup'!$K$4&amp;'Funnel setup'!$K$6,".",IF(A3356=".",1,A3356+1))</f>
        <v>.</v>
      </c>
      <c r="B3357" s="244" t="str">
        <f t="shared" si="52"/>
        <v>Knee Replacement RevisionProviderWRIGHTINGTON, WIGAN AND LEIGH NHS FOUNDATION TRUST (RRF)Oxford Knee Score</v>
      </c>
      <c r="C3357" t="s">
        <v>973</v>
      </c>
      <c r="D3357" t="s">
        <v>965</v>
      </c>
      <c r="E3357" t="s">
        <v>724</v>
      </c>
      <c r="F3357" t="s">
        <v>725</v>
      </c>
      <c r="G3357" t="s">
        <v>972</v>
      </c>
      <c r="H3357">
        <v>1</v>
      </c>
      <c r="I3357">
        <v>17</v>
      </c>
      <c r="J3357">
        <v>39</v>
      </c>
      <c r="K3357">
        <v>22</v>
      </c>
      <c r="L3357">
        <v>1</v>
      </c>
      <c r="M3357">
        <v>0</v>
      </c>
      <c r="N3357">
        <v>0</v>
      </c>
      <c r="O3357" t="s">
        <v>127</v>
      </c>
      <c r="P3357" t="s">
        <v>127</v>
      </c>
      <c r="Q3357" t="s">
        <v>127</v>
      </c>
    </row>
    <row r="3358" spans="1:17" x14ac:dyDescent="0.25">
      <c r="A3358" t="str">
        <f>IF(C3358&amp;G3358&amp;D3358&lt;&gt;'Funnel setup'!$K$3&amp;'Funnel setup'!$K$4&amp;'Funnel setup'!$K$6,".",IF(A3357=".",1,A3357+1))</f>
        <v>.</v>
      </c>
      <c r="B3358" s="244" t="str">
        <f t="shared" si="52"/>
        <v>Knee Replacement RevisionProviderWYE VALLEY NHS TRUST (RLQ)Oxford Knee Score</v>
      </c>
      <c r="C3358" t="s">
        <v>973</v>
      </c>
      <c r="D3358" t="s">
        <v>965</v>
      </c>
      <c r="E3358" t="s">
        <v>726</v>
      </c>
      <c r="F3358" t="s">
        <v>727</v>
      </c>
      <c r="G3358" t="s">
        <v>972</v>
      </c>
      <c r="H3358">
        <v>1</v>
      </c>
      <c r="I3358">
        <v>23</v>
      </c>
      <c r="J3358">
        <v>37</v>
      </c>
      <c r="K3358">
        <v>14</v>
      </c>
      <c r="L3358">
        <v>1</v>
      </c>
      <c r="M3358">
        <v>0</v>
      </c>
      <c r="N3358">
        <v>0</v>
      </c>
      <c r="O3358" t="s">
        <v>127</v>
      </c>
      <c r="P3358" t="s">
        <v>127</v>
      </c>
      <c r="Q3358" t="s">
        <v>127</v>
      </c>
    </row>
    <row r="3359" spans="1:17" x14ac:dyDescent="0.25">
      <c r="A3359" t="str">
        <f>IF(C3359&amp;G3359&amp;D3359&lt;&gt;'Funnel setup'!$K$3&amp;'Funnel setup'!$K$4&amp;'Funnel setup'!$K$6,".",IF(A3358=".",1,A3358+1))</f>
        <v>.</v>
      </c>
      <c r="B3359" s="244" t="str">
        <f t="shared" si="52"/>
        <v>Total Hip ReplacementSub-ICB of GP PracticeNHS BATH AND NORTH EAST SOMERSET, SWINDON AND WILTSHIRE ICB - 92G (92G)EQ VAS</v>
      </c>
      <c r="C3359" t="s">
        <v>974</v>
      </c>
      <c r="D3359" t="s">
        <v>1021</v>
      </c>
      <c r="E3359" t="s">
        <v>750</v>
      </c>
      <c r="F3359" t="s">
        <v>751</v>
      </c>
      <c r="G3359" t="s">
        <v>752</v>
      </c>
      <c r="H3359">
        <v>244</v>
      </c>
      <c r="I3359">
        <v>64.319699999999997</v>
      </c>
      <c r="J3359">
        <v>78.405699999999996</v>
      </c>
      <c r="K3359">
        <v>14.0861</v>
      </c>
      <c r="L3359">
        <v>173</v>
      </c>
      <c r="M3359">
        <v>15</v>
      </c>
      <c r="N3359">
        <v>56</v>
      </c>
      <c r="O3359">
        <v>75.290000000000006</v>
      </c>
      <c r="P3359">
        <v>14.4739</v>
      </c>
      <c r="Q3359">
        <v>15.715199999999999</v>
      </c>
    </row>
    <row r="3360" spans="1:17" x14ac:dyDescent="0.25">
      <c r="A3360" t="str">
        <f>IF(C3360&amp;G3360&amp;D3360&lt;&gt;'Funnel setup'!$K$3&amp;'Funnel setup'!$K$4&amp;'Funnel setup'!$K$6,".",IF(A3359=".",1,A3359+1))</f>
        <v>.</v>
      </c>
      <c r="B3360" s="244" t="str">
        <f t="shared" si="52"/>
        <v>Total Hip ReplacementSub-ICB of GP PracticeNHS BEDFORDSHIRE, LUTON AND MILTON KEYNES ICB - M1J4Y (M1J4Y)EQ VAS</v>
      </c>
      <c r="C3360" t="s">
        <v>974</v>
      </c>
      <c r="D3360" t="s">
        <v>1021</v>
      </c>
      <c r="E3360" t="s">
        <v>753</v>
      </c>
      <c r="F3360" t="s">
        <v>754</v>
      </c>
      <c r="G3360" t="s">
        <v>752</v>
      </c>
      <c r="H3360">
        <v>217</v>
      </c>
      <c r="I3360">
        <v>57.299500000000002</v>
      </c>
      <c r="J3360">
        <v>73.073700000000002</v>
      </c>
      <c r="K3360">
        <v>15.7742</v>
      </c>
      <c r="L3360">
        <v>152</v>
      </c>
      <c r="M3360">
        <v>17</v>
      </c>
      <c r="N3360">
        <v>48</v>
      </c>
      <c r="O3360">
        <v>75.284199999999998</v>
      </c>
      <c r="P3360">
        <v>14.4681</v>
      </c>
      <c r="Q3360">
        <v>19.130600000000001</v>
      </c>
    </row>
    <row r="3361" spans="1:17" x14ac:dyDescent="0.25">
      <c r="A3361" t="str">
        <f>IF(C3361&amp;G3361&amp;D3361&lt;&gt;'Funnel setup'!$K$3&amp;'Funnel setup'!$K$4&amp;'Funnel setup'!$K$6,".",IF(A3360=".",1,A3360+1))</f>
        <v>.</v>
      </c>
      <c r="B3361" s="244" t="str">
        <f t="shared" si="52"/>
        <v>Total Hip ReplacementSub-ICB of GP PracticeNHS BIRMINGHAM AND SOLIHULL ICB - 15E (15E)EQ VAS</v>
      </c>
      <c r="C3361" t="s">
        <v>974</v>
      </c>
      <c r="D3361" t="s">
        <v>1021</v>
      </c>
      <c r="E3361" t="s">
        <v>755</v>
      </c>
      <c r="F3361" t="s">
        <v>756</v>
      </c>
      <c r="G3361" t="s">
        <v>752</v>
      </c>
      <c r="H3361">
        <v>355</v>
      </c>
      <c r="I3361">
        <v>63.7408</v>
      </c>
      <c r="J3361">
        <v>75.912700000000001</v>
      </c>
      <c r="K3361">
        <v>12.171799999999999</v>
      </c>
      <c r="L3361">
        <v>241</v>
      </c>
      <c r="M3361">
        <v>31</v>
      </c>
      <c r="N3361">
        <v>83</v>
      </c>
      <c r="O3361">
        <v>75.179699999999997</v>
      </c>
      <c r="P3361">
        <v>14.3636</v>
      </c>
      <c r="Q3361">
        <v>18.094200000000001</v>
      </c>
    </row>
    <row r="3362" spans="1:17" x14ac:dyDescent="0.25">
      <c r="A3362" t="str">
        <f>IF(C3362&amp;G3362&amp;D3362&lt;&gt;'Funnel setup'!$K$3&amp;'Funnel setup'!$K$4&amp;'Funnel setup'!$K$6,".",IF(A3361=".",1,A3361+1))</f>
        <v>.</v>
      </c>
      <c r="B3362" s="244" t="str">
        <f t="shared" si="52"/>
        <v>Total Hip ReplacementSub-ICB of GP PracticeNHS BLACK COUNTRY ICB - D2P2L (D2P2L)EQ VAS</v>
      </c>
      <c r="C3362" t="s">
        <v>974</v>
      </c>
      <c r="D3362" t="s">
        <v>1021</v>
      </c>
      <c r="E3362" t="s">
        <v>757</v>
      </c>
      <c r="F3362" t="s">
        <v>758</v>
      </c>
      <c r="G3362" t="s">
        <v>752</v>
      </c>
      <c r="H3362">
        <v>255</v>
      </c>
      <c r="I3362">
        <v>61.541200000000003</v>
      </c>
      <c r="J3362">
        <v>74.709800000000001</v>
      </c>
      <c r="K3362">
        <v>13.1686</v>
      </c>
      <c r="L3362">
        <v>182</v>
      </c>
      <c r="M3362">
        <v>15</v>
      </c>
      <c r="N3362">
        <v>58</v>
      </c>
      <c r="O3362">
        <v>75.7971</v>
      </c>
      <c r="P3362">
        <v>14.981</v>
      </c>
      <c r="Q3362">
        <v>16.352900000000002</v>
      </c>
    </row>
    <row r="3363" spans="1:17" x14ac:dyDescent="0.25">
      <c r="A3363" t="str">
        <f>IF(C3363&amp;G3363&amp;D3363&lt;&gt;'Funnel setup'!$K$3&amp;'Funnel setup'!$K$4&amp;'Funnel setup'!$K$6,".",IF(A3362=".",1,A3362+1))</f>
        <v>.</v>
      </c>
      <c r="B3363" s="244" t="str">
        <f t="shared" si="52"/>
        <v>Total Hip ReplacementSub-ICB of GP PracticeNHS BRISTOL, NORTH SOMERSET AND SOUTH GLOUCESTERSHIRE ICB - 15C (15C)EQ VAS</v>
      </c>
      <c r="C3363" t="s">
        <v>974</v>
      </c>
      <c r="D3363" t="s">
        <v>1021</v>
      </c>
      <c r="E3363" t="s">
        <v>759</v>
      </c>
      <c r="F3363" t="s">
        <v>760</v>
      </c>
      <c r="G3363" t="s">
        <v>752</v>
      </c>
      <c r="H3363">
        <v>223</v>
      </c>
      <c r="I3363">
        <v>60.977600000000002</v>
      </c>
      <c r="J3363">
        <v>79.878900000000002</v>
      </c>
      <c r="K3363">
        <v>18.901299999999999</v>
      </c>
      <c r="L3363">
        <v>169</v>
      </c>
      <c r="M3363">
        <v>19</v>
      </c>
      <c r="N3363">
        <v>35</v>
      </c>
      <c r="O3363">
        <v>78.921800000000005</v>
      </c>
      <c r="P3363">
        <v>18.105699999999999</v>
      </c>
      <c r="Q3363">
        <v>15.828900000000001</v>
      </c>
    </row>
    <row r="3364" spans="1:17" x14ac:dyDescent="0.25">
      <c r="A3364" t="str">
        <f>IF(C3364&amp;G3364&amp;D3364&lt;&gt;'Funnel setup'!$K$3&amp;'Funnel setup'!$K$4&amp;'Funnel setup'!$K$6,".",IF(A3363=".",1,A3363+1))</f>
        <v>.</v>
      </c>
      <c r="B3364" s="244" t="str">
        <f t="shared" si="52"/>
        <v>Total Hip ReplacementSub-ICB of GP PracticeNHS BUCKINGHAMSHIRE, OXFORDSHIRE AND BERKSHIRE WEST ICB - 10Q (10Q)EQ VAS</v>
      </c>
      <c r="C3364" t="s">
        <v>974</v>
      </c>
      <c r="D3364" t="s">
        <v>1021</v>
      </c>
      <c r="E3364" t="s">
        <v>761</v>
      </c>
      <c r="F3364" t="s">
        <v>762</v>
      </c>
      <c r="G3364" t="s">
        <v>752</v>
      </c>
      <c r="H3364">
        <v>344</v>
      </c>
      <c r="I3364">
        <v>62.607599999999998</v>
      </c>
      <c r="J3364">
        <v>75.927300000000002</v>
      </c>
      <c r="K3364">
        <v>13.319800000000001</v>
      </c>
      <c r="L3364">
        <v>241</v>
      </c>
      <c r="M3364">
        <v>36</v>
      </c>
      <c r="N3364">
        <v>67</v>
      </c>
      <c r="O3364">
        <v>74.459299999999999</v>
      </c>
      <c r="P3364">
        <v>13.6432</v>
      </c>
      <c r="Q3364">
        <v>15.5932</v>
      </c>
    </row>
    <row r="3365" spans="1:17" x14ac:dyDescent="0.25">
      <c r="A3365" t="str">
        <f>IF(C3365&amp;G3365&amp;D3365&lt;&gt;'Funnel setup'!$K$3&amp;'Funnel setup'!$K$4&amp;'Funnel setup'!$K$6,".",IF(A3364=".",1,A3364+1))</f>
        <v>.</v>
      </c>
      <c r="B3365" s="244" t="str">
        <f t="shared" si="52"/>
        <v>Total Hip ReplacementSub-ICB of GP PracticeNHS BUCKINGHAMSHIRE, OXFORDSHIRE AND BERKSHIRE WEST ICB - 14Y (14Y)EQ VAS</v>
      </c>
      <c r="C3365" t="s">
        <v>974</v>
      </c>
      <c r="D3365" t="s">
        <v>1021</v>
      </c>
      <c r="E3365" t="s">
        <v>763</v>
      </c>
      <c r="F3365" t="s">
        <v>764</v>
      </c>
      <c r="G3365" t="s">
        <v>752</v>
      </c>
      <c r="H3365">
        <v>217</v>
      </c>
      <c r="I3365">
        <v>62.658999999999999</v>
      </c>
      <c r="J3365">
        <v>77.317999999999998</v>
      </c>
      <c r="K3365">
        <v>14.659000000000001</v>
      </c>
      <c r="L3365">
        <v>157</v>
      </c>
      <c r="M3365">
        <v>13</v>
      </c>
      <c r="N3365">
        <v>47</v>
      </c>
      <c r="O3365">
        <v>75.202600000000004</v>
      </c>
      <c r="P3365">
        <v>14.3865</v>
      </c>
      <c r="Q3365">
        <v>17.239000000000001</v>
      </c>
    </row>
    <row r="3366" spans="1:17" x14ac:dyDescent="0.25">
      <c r="A3366" t="str">
        <f>IF(C3366&amp;G3366&amp;D3366&lt;&gt;'Funnel setup'!$K$3&amp;'Funnel setup'!$K$4&amp;'Funnel setup'!$K$6,".",IF(A3365=".",1,A3365+1))</f>
        <v>.</v>
      </c>
      <c r="B3366" s="244" t="str">
        <f t="shared" si="52"/>
        <v>Total Hip ReplacementSub-ICB of GP PracticeNHS BUCKINGHAMSHIRE, OXFORDSHIRE AND BERKSHIRE WEST ICB - 15A (15A)EQ VAS</v>
      </c>
      <c r="C3366" t="s">
        <v>974</v>
      </c>
      <c r="D3366" t="s">
        <v>1021</v>
      </c>
      <c r="E3366" t="s">
        <v>765</v>
      </c>
      <c r="F3366" t="s">
        <v>766</v>
      </c>
      <c r="G3366" t="s">
        <v>752</v>
      </c>
      <c r="H3366">
        <v>67</v>
      </c>
      <c r="I3366">
        <v>55.194000000000003</v>
      </c>
      <c r="J3366">
        <v>77.059700000000007</v>
      </c>
      <c r="K3366">
        <v>21.8657</v>
      </c>
      <c r="L3366">
        <v>53</v>
      </c>
      <c r="M3366">
        <v>4</v>
      </c>
      <c r="N3366">
        <v>10</v>
      </c>
      <c r="O3366">
        <v>75.351200000000006</v>
      </c>
      <c r="P3366">
        <v>14.5351</v>
      </c>
      <c r="Q3366">
        <v>17.101900000000001</v>
      </c>
    </row>
    <row r="3367" spans="1:17" x14ac:dyDescent="0.25">
      <c r="A3367" t="str">
        <f>IF(C3367&amp;G3367&amp;D3367&lt;&gt;'Funnel setup'!$K$3&amp;'Funnel setup'!$K$4&amp;'Funnel setup'!$K$6,".",IF(A3366=".",1,A3366+1))</f>
        <v>.</v>
      </c>
      <c r="B3367" s="244" t="str">
        <f t="shared" si="52"/>
        <v>Total Hip ReplacementSub-ICB of GP PracticeNHS CAMBRIDGESHIRE AND PETERBOROUGH ICB - 06H (06H)EQ VAS</v>
      </c>
      <c r="C3367" t="s">
        <v>974</v>
      </c>
      <c r="D3367" t="s">
        <v>1021</v>
      </c>
      <c r="E3367" t="s">
        <v>767</v>
      </c>
      <c r="F3367" t="s">
        <v>768</v>
      </c>
      <c r="G3367" t="s">
        <v>752</v>
      </c>
      <c r="H3367">
        <v>219</v>
      </c>
      <c r="I3367">
        <v>58.657499999999999</v>
      </c>
      <c r="J3367">
        <v>73.328800000000001</v>
      </c>
      <c r="K3367">
        <v>14.671200000000001</v>
      </c>
      <c r="L3367">
        <v>146</v>
      </c>
      <c r="M3367">
        <v>14</v>
      </c>
      <c r="N3367">
        <v>59</v>
      </c>
      <c r="O3367">
        <v>74.221999999999994</v>
      </c>
      <c r="P3367">
        <v>13.405900000000001</v>
      </c>
      <c r="Q3367">
        <v>18.940100000000001</v>
      </c>
    </row>
    <row r="3368" spans="1:17" x14ac:dyDescent="0.25">
      <c r="A3368" t="str">
        <f>IF(C3368&amp;G3368&amp;D3368&lt;&gt;'Funnel setup'!$K$3&amp;'Funnel setup'!$K$4&amp;'Funnel setup'!$K$6,".",IF(A3367=".",1,A3367+1))</f>
        <v>.</v>
      </c>
      <c r="B3368" s="244" t="str">
        <f t="shared" si="52"/>
        <v>Total Hip ReplacementSub-ICB of GP PracticeNHS CHESHIRE AND MERSEYSIDE ICB - 01F (01F)EQ VAS</v>
      </c>
      <c r="C3368" t="s">
        <v>974</v>
      </c>
      <c r="D3368" t="s">
        <v>1021</v>
      </c>
      <c r="E3368" t="s">
        <v>769</v>
      </c>
      <c r="F3368" t="s">
        <v>770</v>
      </c>
      <c r="G3368" t="s">
        <v>752</v>
      </c>
      <c r="H3368">
        <v>27</v>
      </c>
      <c r="I3368">
        <v>55.777799999999999</v>
      </c>
      <c r="J3368">
        <v>69.629599999999996</v>
      </c>
      <c r="K3368">
        <v>13.851900000000001</v>
      </c>
      <c r="L3368">
        <v>18</v>
      </c>
      <c r="M3368">
        <v>3</v>
      </c>
      <c r="N3368">
        <v>6</v>
      </c>
      <c r="O3368" t="s">
        <v>127</v>
      </c>
      <c r="P3368" t="s">
        <v>127</v>
      </c>
      <c r="Q3368" t="s">
        <v>127</v>
      </c>
    </row>
    <row r="3369" spans="1:17" x14ac:dyDescent="0.25">
      <c r="A3369" t="str">
        <f>IF(C3369&amp;G3369&amp;D3369&lt;&gt;'Funnel setup'!$K$3&amp;'Funnel setup'!$K$4&amp;'Funnel setup'!$K$6,".",IF(A3368=".",1,A3368+1))</f>
        <v>.</v>
      </c>
      <c r="B3369" s="244" t="str">
        <f t="shared" si="52"/>
        <v>Total Hip ReplacementSub-ICB of GP PracticeNHS CHESHIRE AND MERSEYSIDE ICB - 01J (01J)EQ VAS</v>
      </c>
      <c r="C3369" t="s">
        <v>974</v>
      </c>
      <c r="D3369" t="s">
        <v>1021</v>
      </c>
      <c r="E3369" t="s">
        <v>771</v>
      </c>
      <c r="F3369" t="s">
        <v>772</v>
      </c>
      <c r="G3369" t="s">
        <v>752</v>
      </c>
      <c r="H3369">
        <v>35</v>
      </c>
      <c r="I3369">
        <v>51.7714</v>
      </c>
      <c r="J3369">
        <v>79.714299999999994</v>
      </c>
      <c r="K3369">
        <v>27.942900000000002</v>
      </c>
      <c r="L3369">
        <v>30</v>
      </c>
      <c r="M3369">
        <v>0</v>
      </c>
      <c r="N3369">
        <v>5</v>
      </c>
      <c r="O3369">
        <v>83.665099999999995</v>
      </c>
      <c r="P3369">
        <v>22.849</v>
      </c>
      <c r="Q3369">
        <v>13.236000000000001</v>
      </c>
    </row>
    <row r="3370" spans="1:17" x14ac:dyDescent="0.25">
      <c r="A3370" t="str">
        <f>IF(C3370&amp;G3370&amp;D3370&lt;&gt;'Funnel setup'!$K$3&amp;'Funnel setup'!$K$4&amp;'Funnel setup'!$K$6,".",IF(A3369=".",1,A3369+1))</f>
        <v>.</v>
      </c>
      <c r="B3370" s="244" t="str">
        <f t="shared" si="52"/>
        <v>Total Hip ReplacementSub-ICB of GP PracticeNHS CHESHIRE AND MERSEYSIDE ICB - 01T (01T)EQ VAS</v>
      </c>
      <c r="C3370" t="s">
        <v>974</v>
      </c>
      <c r="D3370" t="s">
        <v>1021</v>
      </c>
      <c r="E3370" t="s">
        <v>773</v>
      </c>
      <c r="F3370" t="s">
        <v>774</v>
      </c>
      <c r="G3370" t="s">
        <v>752</v>
      </c>
      <c r="H3370">
        <v>42</v>
      </c>
      <c r="I3370">
        <v>58.785699999999999</v>
      </c>
      <c r="J3370">
        <v>74.047600000000003</v>
      </c>
      <c r="K3370">
        <v>15.261900000000001</v>
      </c>
      <c r="L3370">
        <v>29</v>
      </c>
      <c r="M3370">
        <v>5</v>
      </c>
      <c r="N3370">
        <v>8</v>
      </c>
      <c r="O3370">
        <v>74.491799999999998</v>
      </c>
      <c r="P3370">
        <v>13.675700000000001</v>
      </c>
      <c r="Q3370">
        <v>19.839700000000001</v>
      </c>
    </row>
    <row r="3371" spans="1:17" x14ac:dyDescent="0.25">
      <c r="A3371" t="str">
        <f>IF(C3371&amp;G3371&amp;D3371&lt;&gt;'Funnel setup'!$K$3&amp;'Funnel setup'!$K$4&amp;'Funnel setup'!$K$6,".",IF(A3370=".",1,A3370+1))</f>
        <v>.</v>
      </c>
      <c r="B3371" s="244" t="str">
        <f t="shared" si="52"/>
        <v>Total Hip ReplacementSub-ICB of GP PracticeNHS CHESHIRE AND MERSEYSIDE ICB - 01V (01V)EQ VAS</v>
      </c>
      <c r="C3371" t="s">
        <v>974</v>
      </c>
      <c r="D3371" t="s">
        <v>1021</v>
      </c>
      <c r="E3371" t="s">
        <v>775</v>
      </c>
      <c r="F3371" t="s">
        <v>776</v>
      </c>
      <c r="G3371" t="s">
        <v>752</v>
      </c>
      <c r="H3371">
        <v>23</v>
      </c>
      <c r="I3371">
        <v>57.695700000000002</v>
      </c>
      <c r="J3371">
        <v>74.826099999999997</v>
      </c>
      <c r="K3371">
        <v>17.130400000000002</v>
      </c>
      <c r="L3371">
        <v>19</v>
      </c>
      <c r="M3371">
        <v>2</v>
      </c>
      <c r="N3371">
        <v>2</v>
      </c>
      <c r="O3371" t="s">
        <v>127</v>
      </c>
      <c r="P3371" t="s">
        <v>127</v>
      </c>
      <c r="Q3371" t="s">
        <v>127</v>
      </c>
    </row>
    <row r="3372" spans="1:17" x14ac:dyDescent="0.25">
      <c r="A3372" t="str">
        <f>IF(C3372&amp;G3372&amp;D3372&lt;&gt;'Funnel setup'!$K$3&amp;'Funnel setup'!$K$4&amp;'Funnel setup'!$K$6,".",IF(A3371=".",1,A3371+1))</f>
        <v>.</v>
      </c>
      <c r="B3372" s="244" t="str">
        <f t="shared" si="52"/>
        <v>Total Hip ReplacementSub-ICB of GP PracticeNHS CHESHIRE AND MERSEYSIDE ICB - 01X (01X)EQ VAS</v>
      </c>
      <c r="C3372" t="s">
        <v>974</v>
      </c>
      <c r="D3372" t="s">
        <v>1021</v>
      </c>
      <c r="E3372" t="s">
        <v>777</v>
      </c>
      <c r="F3372" t="s">
        <v>778</v>
      </c>
      <c r="G3372" t="s">
        <v>752</v>
      </c>
      <c r="H3372">
        <v>58</v>
      </c>
      <c r="I3372">
        <v>58.603400000000001</v>
      </c>
      <c r="J3372">
        <v>67.913799999999995</v>
      </c>
      <c r="K3372">
        <v>9.3103400000000001</v>
      </c>
      <c r="L3372">
        <v>40</v>
      </c>
      <c r="M3372">
        <v>2</v>
      </c>
      <c r="N3372">
        <v>16</v>
      </c>
      <c r="O3372">
        <v>71.188999999999993</v>
      </c>
      <c r="P3372">
        <v>10.3729</v>
      </c>
      <c r="Q3372">
        <v>18.796900000000001</v>
      </c>
    </row>
    <row r="3373" spans="1:17" x14ac:dyDescent="0.25">
      <c r="A3373" t="str">
        <f>IF(C3373&amp;G3373&amp;D3373&lt;&gt;'Funnel setup'!$K$3&amp;'Funnel setup'!$K$4&amp;'Funnel setup'!$K$6,".",IF(A3372=".",1,A3372+1))</f>
        <v>.</v>
      </c>
      <c r="B3373" s="244" t="str">
        <f t="shared" si="52"/>
        <v>Total Hip ReplacementSub-ICB of GP PracticeNHS CHESHIRE AND MERSEYSIDE ICB - 02E (02E)EQ VAS</v>
      </c>
      <c r="C3373" t="s">
        <v>974</v>
      </c>
      <c r="D3373" t="s">
        <v>1021</v>
      </c>
      <c r="E3373" t="s">
        <v>779</v>
      </c>
      <c r="F3373" t="s">
        <v>780</v>
      </c>
      <c r="G3373" t="s">
        <v>752</v>
      </c>
      <c r="H3373">
        <v>29</v>
      </c>
      <c r="I3373">
        <v>64.724100000000007</v>
      </c>
      <c r="J3373">
        <v>76.379300000000001</v>
      </c>
      <c r="K3373">
        <v>11.655200000000001</v>
      </c>
      <c r="L3373">
        <v>20</v>
      </c>
      <c r="M3373">
        <v>1</v>
      </c>
      <c r="N3373">
        <v>8</v>
      </c>
      <c r="O3373" t="s">
        <v>127</v>
      </c>
      <c r="P3373" t="s">
        <v>127</v>
      </c>
      <c r="Q3373" t="s">
        <v>127</v>
      </c>
    </row>
    <row r="3374" spans="1:17" x14ac:dyDescent="0.25">
      <c r="A3374" t="str">
        <f>IF(C3374&amp;G3374&amp;D3374&lt;&gt;'Funnel setup'!$K$3&amp;'Funnel setup'!$K$4&amp;'Funnel setup'!$K$6,".",IF(A3373=".",1,A3373+1))</f>
        <v>.</v>
      </c>
      <c r="B3374" s="244" t="str">
        <f t="shared" si="52"/>
        <v>Total Hip ReplacementSub-ICB of GP PracticeNHS CHESHIRE AND MERSEYSIDE ICB - 12F (12F)EQ VAS</v>
      </c>
      <c r="C3374" t="s">
        <v>974</v>
      </c>
      <c r="D3374" t="s">
        <v>1021</v>
      </c>
      <c r="E3374" t="s">
        <v>781</v>
      </c>
      <c r="F3374" t="s">
        <v>782</v>
      </c>
      <c r="G3374" t="s">
        <v>752</v>
      </c>
      <c r="H3374">
        <v>89</v>
      </c>
      <c r="I3374">
        <v>58.842700000000001</v>
      </c>
      <c r="J3374">
        <v>75.202200000000005</v>
      </c>
      <c r="K3374">
        <v>16.3596</v>
      </c>
      <c r="L3374">
        <v>64</v>
      </c>
      <c r="M3374">
        <v>7</v>
      </c>
      <c r="N3374">
        <v>18</v>
      </c>
      <c r="O3374">
        <v>76.182500000000005</v>
      </c>
      <c r="P3374">
        <v>15.366400000000001</v>
      </c>
      <c r="Q3374">
        <v>15.919</v>
      </c>
    </row>
    <row r="3375" spans="1:17" x14ac:dyDescent="0.25">
      <c r="A3375" t="str">
        <f>IF(C3375&amp;G3375&amp;D3375&lt;&gt;'Funnel setup'!$K$3&amp;'Funnel setup'!$K$4&amp;'Funnel setup'!$K$6,".",IF(A3374=".",1,A3374+1))</f>
        <v>.</v>
      </c>
      <c r="B3375" s="244" t="str">
        <f t="shared" si="52"/>
        <v>Total Hip ReplacementSub-ICB of GP PracticeNHS CHESHIRE AND MERSEYSIDE ICB - 27D (27D)EQ VAS</v>
      </c>
      <c r="C3375" t="s">
        <v>974</v>
      </c>
      <c r="D3375" t="s">
        <v>1021</v>
      </c>
      <c r="E3375" t="s">
        <v>783</v>
      </c>
      <c r="F3375" t="s">
        <v>784</v>
      </c>
      <c r="G3375" t="s">
        <v>752</v>
      </c>
      <c r="H3375">
        <v>256</v>
      </c>
      <c r="I3375">
        <v>60.949199999999998</v>
      </c>
      <c r="J3375">
        <v>78.226600000000005</v>
      </c>
      <c r="K3375">
        <v>17.2773</v>
      </c>
      <c r="L3375">
        <v>187</v>
      </c>
      <c r="M3375">
        <v>17</v>
      </c>
      <c r="N3375">
        <v>52</v>
      </c>
      <c r="O3375">
        <v>77.546999999999997</v>
      </c>
      <c r="P3375">
        <v>16.730899999999998</v>
      </c>
      <c r="Q3375">
        <v>15.963900000000001</v>
      </c>
    </row>
    <row r="3376" spans="1:17" x14ac:dyDescent="0.25">
      <c r="A3376" t="str">
        <f>IF(C3376&amp;G3376&amp;D3376&lt;&gt;'Funnel setup'!$K$3&amp;'Funnel setup'!$K$4&amp;'Funnel setup'!$K$6,".",IF(A3375=".",1,A3375+1))</f>
        <v>.</v>
      </c>
      <c r="B3376" s="244" t="str">
        <f t="shared" si="52"/>
        <v>Total Hip ReplacementSub-ICB of GP PracticeNHS CHESHIRE AND MERSEYSIDE ICB - 99A (99A)EQ VAS</v>
      </c>
      <c r="C3376" t="s">
        <v>974</v>
      </c>
      <c r="D3376" t="s">
        <v>1021</v>
      </c>
      <c r="E3376" t="s">
        <v>785</v>
      </c>
      <c r="F3376" t="s">
        <v>786</v>
      </c>
      <c r="G3376" t="s">
        <v>752</v>
      </c>
      <c r="H3376">
        <v>78</v>
      </c>
      <c r="I3376">
        <v>52.3718</v>
      </c>
      <c r="J3376">
        <v>72.564099999999996</v>
      </c>
      <c r="K3376">
        <v>20.192299999999999</v>
      </c>
      <c r="L3376">
        <v>56</v>
      </c>
      <c r="M3376">
        <v>8</v>
      </c>
      <c r="N3376">
        <v>14</v>
      </c>
      <c r="O3376">
        <v>78.763900000000007</v>
      </c>
      <c r="P3376">
        <v>17.947700000000001</v>
      </c>
      <c r="Q3376">
        <v>16.040500000000002</v>
      </c>
    </row>
    <row r="3377" spans="1:17" x14ac:dyDescent="0.25">
      <c r="A3377" t="str">
        <f>IF(C3377&amp;G3377&amp;D3377&lt;&gt;'Funnel setup'!$K$3&amp;'Funnel setup'!$K$4&amp;'Funnel setup'!$K$6,".",IF(A3376=".",1,A3376+1))</f>
        <v>.</v>
      </c>
      <c r="B3377" s="244" t="str">
        <f t="shared" si="52"/>
        <v>Total Hip ReplacementSub-ICB of GP PracticeNHS CORNWALL AND THE ISLES OF SCILLY ICB - 11N (11N)EQ VAS</v>
      </c>
      <c r="C3377" t="s">
        <v>974</v>
      </c>
      <c r="D3377" t="s">
        <v>1021</v>
      </c>
      <c r="E3377" t="s">
        <v>787</v>
      </c>
      <c r="F3377" t="s">
        <v>788</v>
      </c>
      <c r="G3377" t="s">
        <v>752</v>
      </c>
      <c r="H3377">
        <v>153</v>
      </c>
      <c r="I3377">
        <v>62.398699999999998</v>
      </c>
      <c r="J3377">
        <v>78.653599999999997</v>
      </c>
      <c r="K3377">
        <v>16.254899999999999</v>
      </c>
      <c r="L3377">
        <v>113</v>
      </c>
      <c r="M3377">
        <v>16</v>
      </c>
      <c r="N3377">
        <v>24</v>
      </c>
      <c r="O3377">
        <v>77.975499999999997</v>
      </c>
      <c r="P3377">
        <v>17.159400000000002</v>
      </c>
      <c r="Q3377">
        <v>16.519400000000001</v>
      </c>
    </row>
    <row r="3378" spans="1:17" x14ac:dyDescent="0.25">
      <c r="A3378" t="str">
        <f>IF(C3378&amp;G3378&amp;D3378&lt;&gt;'Funnel setup'!$K$3&amp;'Funnel setup'!$K$4&amp;'Funnel setup'!$K$6,".",IF(A3377=".",1,A3377+1))</f>
        <v>.</v>
      </c>
      <c r="B3378" s="244" t="str">
        <f t="shared" si="52"/>
        <v>Total Hip ReplacementSub-ICB of GP PracticeNHS COVENTRY AND WARWICKSHIRE ICB - B2M3M (B2M3M)EQ VAS</v>
      </c>
      <c r="C3378" t="s">
        <v>974</v>
      </c>
      <c r="D3378" t="s">
        <v>1021</v>
      </c>
      <c r="E3378" t="s">
        <v>789</v>
      </c>
      <c r="F3378" t="s">
        <v>790</v>
      </c>
      <c r="G3378" t="s">
        <v>752</v>
      </c>
      <c r="H3378">
        <v>256</v>
      </c>
      <c r="I3378">
        <v>65.168000000000006</v>
      </c>
      <c r="J3378">
        <v>78.964799999999997</v>
      </c>
      <c r="K3378">
        <v>13.796900000000001</v>
      </c>
      <c r="L3378">
        <v>174</v>
      </c>
      <c r="M3378">
        <v>29</v>
      </c>
      <c r="N3378">
        <v>53</v>
      </c>
      <c r="O3378">
        <v>75.969800000000006</v>
      </c>
      <c r="P3378">
        <v>15.153700000000001</v>
      </c>
      <c r="Q3378">
        <v>14.2783</v>
      </c>
    </row>
    <row r="3379" spans="1:17" x14ac:dyDescent="0.25">
      <c r="A3379" t="str">
        <f>IF(C3379&amp;G3379&amp;D3379&lt;&gt;'Funnel setup'!$K$3&amp;'Funnel setup'!$K$4&amp;'Funnel setup'!$K$6,".",IF(A3378=".",1,A3378+1))</f>
        <v>.</v>
      </c>
      <c r="B3379" s="244" t="str">
        <f t="shared" si="52"/>
        <v>Total Hip ReplacementSub-ICB of GP PracticeNHS DERBY AND DERBYSHIRE ICB - 15M (15M)EQ VAS</v>
      </c>
      <c r="C3379" t="s">
        <v>974</v>
      </c>
      <c r="D3379" t="s">
        <v>1021</v>
      </c>
      <c r="E3379" t="s">
        <v>791</v>
      </c>
      <c r="F3379" t="s">
        <v>792</v>
      </c>
      <c r="G3379" t="s">
        <v>752</v>
      </c>
      <c r="H3379">
        <v>454</v>
      </c>
      <c r="I3379">
        <v>58.110100000000003</v>
      </c>
      <c r="J3379">
        <v>74.176199999999994</v>
      </c>
      <c r="K3379">
        <v>16.066099999999999</v>
      </c>
      <c r="L3379">
        <v>310</v>
      </c>
      <c r="M3379">
        <v>41</v>
      </c>
      <c r="N3379">
        <v>103</v>
      </c>
      <c r="O3379">
        <v>75.389399999999995</v>
      </c>
      <c r="P3379">
        <v>14.5733</v>
      </c>
      <c r="Q3379">
        <v>17.041799999999999</v>
      </c>
    </row>
    <row r="3380" spans="1:17" x14ac:dyDescent="0.25">
      <c r="A3380" t="str">
        <f>IF(C3380&amp;G3380&amp;D3380&lt;&gt;'Funnel setup'!$K$3&amp;'Funnel setup'!$K$4&amp;'Funnel setup'!$K$6,".",IF(A3379=".",1,A3379+1))</f>
        <v>.</v>
      </c>
      <c r="B3380" s="244" t="str">
        <f t="shared" si="52"/>
        <v>Total Hip ReplacementSub-ICB of GP PracticeNHS DEVON ICB - 15N (15N)EQ VAS</v>
      </c>
      <c r="C3380" t="s">
        <v>974</v>
      </c>
      <c r="D3380" t="s">
        <v>1021</v>
      </c>
      <c r="E3380" t="s">
        <v>793</v>
      </c>
      <c r="F3380" t="s">
        <v>794</v>
      </c>
      <c r="G3380" t="s">
        <v>752</v>
      </c>
      <c r="H3380">
        <v>344</v>
      </c>
      <c r="I3380">
        <v>65.401200000000003</v>
      </c>
      <c r="J3380">
        <v>76.395300000000006</v>
      </c>
      <c r="K3380">
        <v>10.994199999999999</v>
      </c>
      <c r="L3380">
        <v>232</v>
      </c>
      <c r="M3380">
        <v>27</v>
      </c>
      <c r="N3380">
        <v>85</v>
      </c>
      <c r="O3380">
        <v>74.915800000000004</v>
      </c>
      <c r="P3380">
        <v>14.0997</v>
      </c>
      <c r="Q3380">
        <v>15.863200000000001</v>
      </c>
    </row>
    <row r="3381" spans="1:17" x14ac:dyDescent="0.25">
      <c r="A3381" t="str">
        <f>IF(C3381&amp;G3381&amp;D3381&lt;&gt;'Funnel setup'!$K$3&amp;'Funnel setup'!$K$4&amp;'Funnel setup'!$K$6,".",IF(A3380=".",1,A3380+1))</f>
        <v>.</v>
      </c>
      <c r="B3381" s="244" t="str">
        <f t="shared" si="52"/>
        <v>Total Hip ReplacementSub-ICB of GP PracticeNHS DORSET ICB - 11J (11J)EQ VAS</v>
      </c>
      <c r="C3381" t="s">
        <v>974</v>
      </c>
      <c r="D3381" t="s">
        <v>1021</v>
      </c>
      <c r="E3381" t="s">
        <v>795</v>
      </c>
      <c r="F3381" t="s">
        <v>796</v>
      </c>
      <c r="G3381" t="s">
        <v>752</v>
      </c>
      <c r="H3381">
        <v>269</v>
      </c>
      <c r="I3381">
        <v>64.795500000000004</v>
      </c>
      <c r="J3381">
        <v>77.672899999999998</v>
      </c>
      <c r="K3381">
        <v>12.8773</v>
      </c>
      <c r="L3381">
        <v>196</v>
      </c>
      <c r="M3381">
        <v>24</v>
      </c>
      <c r="N3381">
        <v>49</v>
      </c>
      <c r="O3381">
        <v>75.959699999999998</v>
      </c>
      <c r="P3381">
        <v>15.143599999999999</v>
      </c>
      <c r="Q3381">
        <v>15.435499999999999</v>
      </c>
    </row>
    <row r="3382" spans="1:17" x14ac:dyDescent="0.25">
      <c r="A3382" t="str">
        <f>IF(C3382&amp;G3382&amp;D3382&lt;&gt;'Funnel setup'!$K$3&amp;'Funnel setup'!$K$4&amp;'Funnel setup'!$K$6,".",IF(A3381=".",1,A3381+1))</f>
        <v>.</v>
      </c>
      <c r="B3382" s="244" t="str">
        <f t="shared" si="52"/>
        <v>Total Hip ReplacementSub-ICB of GP PracticeNHS FRIMLEY ICB - D4U1Y (D4U1Y)EQ VAS</v>
      </c>
      <c r="C3382" t="s">
        <v>974</v>
      </c>
      <c r="D3382" t="s">
        <v>1021</v>
      </c>
      <c r="E3382" t="s">
        <v>797</v>
      </c>
      <c r="F3382" t="s">
        <v>798</v>
      </c>
      <c r="G3382" t="s">
        <v>752</v>
      </c>
      <c r="H3382">
        <v>162</v>
      </c>
      <c r="I3382">
        <v>61.697499999999998</v>
      </c>
      <c r="J3382">
        <v>75.203699999999998</v>
      </c>
      <c r="K3382">
        <v>13.5062</v>
      </c>
      <c r="L3382">
        <v>113</v>
      </c>
      <c r="M3382">
        <v>12</v>
      </c>
      <c r="N3382">
        <v>37</v>
      </c>
      <c r="O3382">
        <v>74.144099999999995</v>
      </c>
      <c r="P3382">
        <v>13.327999999999999</v>
      </c>
      <c r="Q3382">
        <v>17.3</v>
      </c>
    </row>
    <row r="3383" spans="1:17" x14ac:dyDescent="0.25">
      <c r="A3383" t="str">
        <f>IF(C3383&amp;G3383&amp;D3383&lt;&gt;'Funnel setup'!$K$3&amp;'Funnel setup'!$K$4&amp;'Funnel setup'!$K$6,".",IF(A3382=".",1,A3382+1))</f>
        <v>.</v>
      </c>
      <c r="B3383" s="244" t="str">
        <f t="shared" si="52"/>
        <v>Total Hip ReplacementSub-ICB of GP PracticeNHS GLOUCESTERSHIRE ICB - 11M (11M)EQ VAS</v>
      </c>
      <c r="C3383" t="s">
        <v>974</v>
      </c>
      <c r="D3383" t="s">
        <v>1021</v>
      </c>
      <c r="E3383" t="s">
        <v>799</v>
      </c>
      <c r="F3383" t="s">
        <v>800</v>
      </c>
      <c r="G3383" t="s">
        <v>752</v>
      </c>
      <c r="H3383">
        <v>158</v>
      </c>
      <c r="I3383">
        <v>55.968400000000003</v>
      </c>
      <c r="J3383">
        <v>76.848100000000002</v>
      </c>
      <c r="K3383">
        <v>20.8797</v>
      </c>
      <c r="L3383">
        <v>121</v>
      </c>
      <c r="M3383">
        <v>15</v>
      </c>
      <c r="N3383">
        <v>22</v>
      </c>
      <c r="O3383">
        <v>77.029200000000003</v>
      </c>
      <c r="P3383">
        <v>16.213100000000001</v>
      </c>
      <c r="Q3383">
        <v>15.545199999999999</v>
      </c>
    </row>
    <row r="3384" spans="1:17" x14ac:dyDescent="0.25">
      <c r="A3384" t="str">
        <f>IF(C3384&amp;G3384&amp;D3384&lt;&gt;'Funnel setup'!$K$3&amp;'Funnel setup'!$K$4&amp;'Funnel setup'!$K$6,".",IF(A3383=".",1,A3383+1))</f>
        <v>.</v>
      </c>
      <c r="B3384" s="244" t="str">
        <f t="shared" si="52"/>
        <v>Total Hip ReplacementSub-ICB of GP PracticeNHS GREATER MANCHESTER ICB - 00T (00T)EQ VAS</v>
      </c>
      <c r="C3384" t="s">
        <v>974</v>
      </c>
      <c r="D3384" t="s">
        <v>1021</v>
      </c>
      <c r="E3384" t="s">
        <v>801</v>
      </c>
      <c r="F3384" t="s">
        <v>802</v>
      </c>
      <c r="G3384" t="s">
        <v>752</v>
      </c>
      <c r="H3384">
        <v>50</v>
      </c>
      <c r="I3384">
        <v>65.260000000000005</v>
      </c>
      <c r="J3384">
        <v>74.040000000000006</v>
      </c>
      <c r="K3384">
        <v>8.7799999999999994</v>
      </c>
      <c r="L3384">
        <v>35</v>
      </c>
      <c r="M3384">
        <v>3</v>
      </c>
      <c r="N3384">
        <v>12</v>
      </c>
      <c r="O3384">
        <v>76.765600000000006</v>
      </c>
      <c r="P3384">
        <v>15.9495</v>
      </c>
      <c r="Q3384">
        <v>18.712</v>
      </c>
    </row>
    <row r="3385" spans="1:17" x14ac:dyDescent="0.25">
      <c r="A3385" t="str">
        <f>IF(C3385&amp;G3385&amp;D3385&lt;&gt;'Funnel setup'!$K$3&amp;'Funnel setup'!$K$4&amp;'Funnel setup'!$K$6,".",IF(A3384=".",1,A3384+1))</f>
        <v>.</v>
      </c>
      <c r="B3385" s="244" t="str">
        <f t="shared" si="52"/>
        <v>Total Hip ReplacementSub-ICB of GP PracticeNHS GREATER MANCHESTER ICB - 00V (00V)EQ VAS</v>
      </c>
      <c r="C3385" t="s">
        <v>974</v>
      </c>
      <c r="D3385" t="s">
        <v>1021</v>
      </c>
      <c r="E3385" t="s">
        <v>803</v>
      </c>
      <c r="F3385" t="s">
        <v>804</v>
      </c>
      <c r="G3385" t="s">
        <v>752</v>
      </c>
      <c r="H3385">
        <v>16</v>
      </c>
      <c r="I3385">
        <v>63.5625</v>
      </c>
      <c r="J3385">
        <v>73.5</v>
      </c>
      <c r="K3385">
        <v>9.9375</v>
      </c>
      <c r="L3385">
        <v>10</v>
      </c>
      <c r="M3385">
        <v>2</v>
      </c>
      <c r="N3385">
        <v>4</v>
      </c>
      <c r="O3385" t="s">
        <v>127</v>
      </c>
      <c r="P3385" t="s">
        <v>127</v>
      </c>
      <c r="Q3385" t="s">
        <v>127</v>
      </c>
    </row>
    <row r="3386" spans="1:17" x14ac:dyDescent="0.25">
      <c r="A3386" t="str">
        <f>IF(C3386&amp;G3386&amp;D3386&lt;&gt;'Funnel setup'!$K$3&amp;'Funnel setup'!$K$4&amp;'Funnel setup'!$K$6,".",IF(A3385=".",1,A3385+1))</f>
        <v>.</v>
      </c>
      <c r="B3386" s="244" t="str">
        <f t="shared" si="52"/>
        <v>Total Hip ReplacementSub-ICB of GP PracticeNHS GREATER MANCHESTER ICB - 00Y (00Y)EQ VAS</v>
      </c>
      <c r="C3386" t="s">
        <v>974</v>
      </c>
      <c r="D3386" t="s">
        <v>1021</v>
      </c>
      <c r="E3386" t="s">
        <v>805</v>
      </c>
      <c r="F3386" t="s">
        <v>806</v>
      </c>
      <c r="G3386" t="s">
        <v>752</v>
      </c>
      <c r="H3386">
        <v>66</v>
      </c>
      <c r="I3386">
        <v>61.348500000000001</v>
      </c>
      <c r="J3386">
        <v>78.909099999999995</v>
      </c>
      <c r="K3386">
        <v>17.560600000000001</v>
      </c>
      <c r="L3386">
        <v>53</v>
      </c>
      <c r="M3386">
        <v>3</v>
      </c>
      <c r="N3386">
        <v>10</v>
      </c>
      <c r="O3386">
        <v>77.380099999999999</v>
      </c>
      <c r="P3386">
        <v>16.564</v>
      </c>
      <c r="Q3386">
        <v>15.170299999999999</v>
      </c>
    </row>
    <row r="3387" spans="1:17" x14ac:dyDescent="0.25">
      <c r="A3387" t="str">
        <f>IF(C3387&amp;G3387&amp;D3387&lt;&gt;'Funnel setup'!$K$3&amp;'Funnel setup'!$K$4&amp;'Funnel setup'!$K$6,".",IF(A3386=".",1,A3386+1))</f>
        <v>.</v>
      </c>
      <c r="B3387" s="244" t="str">
        <f t="shared" si="52"/>
        <v>Total Hip ReplacementSub-ICB of GP PracticeNHS GREATER MANCHESTER ICB - 01D (01D)EQ VAS</v>
      </c>
      <c r="C3387" t="s">
        <v>974</v>
      </c>
      <c r="D3387" t="s">
        <v>1021</v>
      </c>
      <c r="E3387" t="s">
        <v>807</v>
      </c>
      <c r="F3387" t="s">
        <v>808</v>
      </c>
      <c r="G3387" t="s">
        <v>752</v>
      </c>
      <c r="H3387">
        <v>17</v>
      </c>
      <c r="I3387">
        <v>52.470599999999997</v>
      </c>
      <c r="J3387">
        <v>73.882400000000004</v>
      </c>
      <c r="K3387">
        <v>21.411799999999999</v>
      </c>
      <c r="L3387">
        <v>13</v>
      </c>
      <c r="M3387">
        <v>0</v>
      </c>
      <c r="N3387">
        <v>4</v>
      </c>
      <c r="O3387" t="s">
        <v>127</v>
      </c>
      <c r="P3387" t="s">
        <v>127</v>
      </c>
      <c r="Q3387" t="s">
        <v>127</v>
      </c>
    </row>
    <row r="3388" spans="1:17" x14ac:dyDescent="0.25">
      <c r="A3388" t="str">
        <f>IF(C3388&amp;G3388&amp;D3388&lt;&gt;'Funnel setup'!$K$3&amp;'Funnel setup'!$K$4&amp;'Funnel setup'!$K$6,".",IF(A3387=".",1,A3387+1))</f>
        <v>.</v>
      </c>
      <c r="B3388" s="244" t="str">
        <f t="shared" si="52"/>
        <v>Total Hip ReplacementSub-ICB of GP PracticeNHS GREATER MANCHESTER ICB - 01G (01G)EQ VAS</v>
      </c>
      <c r="C3388" t="s">
        <v>974</v>
      </c>
      <c r="D3388" t="s">
        <v>1021</v>
      </c>
      <c r="E3388" t="s">
        <v>809</v>
      </c>
      <c r="F3388" t="s">
        <v>810</v>
      </c>
      <c r="G3388" t="s">
        <v>752</v>
      </c>
      <c r="H3388">
        <v>31</v>
      </c>
      <c r="I3388">
        <v>62.096800000000002</v>
      </c>
      <c r="J3388">
        <v>68.8065</v>
      </c>
      <c r="K3388">
        <v>6.7096799999999996</v>
      </c>
      <c r="L3388">
        <v>19</v>
      </c>
      <c r="M3388">
        <v>4</v>
      </c>
      <c r="N3388">
        <v>8</v>
      </c>
      <c r="O3388">
        <v>70.089600000000004</v>
      </c>
      <c r="P3388">
        <v>9.2735400000000006</v>
      </c>
      <c r="Q3388">
        <v>17.979299999999999</v>
      </c>
    </row>
    <row r="3389" spans="1:17" x14ac:dyDescent="0.25">
      <c r="A3389" t="str">
        <f>IF(C3389&amp;G3389&amp;D3389&lt;&gt;'Funnel setup'!$K$3&amp;'Funnel setup'!$K$4&amp;'Funnel setup'!$K$6,".",IF(A3388=".",1,A3388+1))</f>
        <v>.</v>
      </c>
      <c r="B3389" s="244" t="str">
        <f t="shared" si="52"/>
        <v>Total Hip ReplacementSub-ICB of GP PracticeNHS GREATER MANCHESTER ICB - 01W (01W)EQ VAS</v>
      </c>
      <c r="C3389" t="s">
        <v>974</v>
      </c>
      <c r="D3389" t="s">
        <v>1021</v>
      </c>
      <c r="E3389" t="s">
        <v>811</v>
      </c>
      <c r="F3389" t="s">
        <v>812</v>
      </c>
      <c r="G3389" t="s">
        <v>752</v>
      </c>
      <c r="H3389">
        <v>75</v>
      </c>
      <c r="I3389">
        <v>59.466700000000003</v>
      </c>
      <c r="J3389">
        <v>73.64</v>
      </c>
      <c r="K3389">
        <v>14.173299999999999</v>
      </c>
      <c r="L3389">
        <v>50</v>
      </c>
      <c r="M3389">
        <v>10</v>
      </c>
      <c r="N3389">
        <v>15</v>
      </c>
      <c r="O3389">
        <v>75.088999999999999</v>
      </c>
      <c r="P3389">
        <v>14.2729</v>
      </c>
      <c r="Q3389">
        <v>18.568999999999999</v>
      </c>
    </row>
    <row r="3390" spans="1:17" x14ac:dyDescent="0.25">
      <c r="A3390" t="str">
        <f>IF(C3390&amp;G3390&amp;D3390&lt;&gt;'Funnel setup'!$K$3&amp;'Funnel setup'!$K$4&amp;'Funnel setup'!$K$6,".",IF(A3389=".",1,A3389+1))</f>
        <v>.</v>
      </c>
      <c r="B3390" s="244" t="str">
        <f t="shared" si="52"/>
        <v>Total Hip ReplacementSub-ICB of GP PracticeNHS GREATER MANCHESTER ICB - 01Y (01Y)EQ VAS</v>
      </c>
      <c r="C3390" t="s">
        <v>974</v>
      </c>
      <c r="D3390" t="s">
        <v>1021</v>
      </c>
      <c r="E3390" t="s">
        <v>813</v>
      </c>
      <c r="F3390" t="s">
        <v>814</v>
      </c>
      <c r="G3390" t="s">
        <v>752</v>
      </c>
      <c r="H3390">
        <v>33</v>
      </c>
      <c r="I3390">
        <v>62.7879</v>
      </c>
      <c r="J3390">
        <v>76.606099999999998</v>
      </c>
      <c r="K3390">
        <v>13.818199999999999</v>
      </c>
      <c r="L3390">
        <v>19</v>
      </c>
      <c r="M3390">
        <v>3</v>
      </c>
      <c r="N3390">
        <v>11</v>
      </c>
      <c r="O3390">
        <v>74.575699999999998</v>
      </c>
      <c r="P3390">
        <v>13.759600000000001</v>
      </c>
      <c r="Q3390">
        <v>19.643999999999998</v>
      </c>
    </row>
    <row r="3391" spans="1:17" x14ac:dyDescent="0.25">
      <c r="A3391" t="str">
        <f>IF(C3391&amp;G3391&amp;D3391&lt;&gt;'Funnel setup'!$K$3&amp;'Funnel setup'!$K$4&amp;'Funnel setup'!$K$6,".",IF(A3390=".",1,A3390+1))</f>
        <v>.</v>
      </c>
      <c r="B3391" s="244" t="str">
        <f t="shared" si="52"/>
        <v>Total Hip ReplacementSub-ICB of GP PracticeNHS GREATER MANCHESTER ICB - 02A (02A)EQ VAS</v>
      </c>
      <c r="C3391" t="s">
        <v>974</v>
      </c>
      <c r="D3391" t="s">
        <v>1021</v>
      </c>
      <c r="E3391" t="s">
        <v>815</v>
      </c>
      <c r="F3391" t="s">
        <v>816</v>
      </c>
      <c r="G3391" t="s">
        <v>752</v>
      </c>
      <c r="H3391">
        <v>71</v>
      </c>
      <c r="I3391">
        <v>55.816899999999997</v>
      </c>
      <c r="J3391">
        <v>71.605599999999995</v>
      </c>
      <c r="K3391">
        <v>15.7887</v>
      </c>
      <c r="L3391">
        <v>51</v>
      </c>
      <c r="M3391">
        <v>2</v>
      </c>
      <c r="N3391">
        <v>18</v>
      </c>
      <c r="O3391">
        <v>71.979200000000006</v>
      </c>
      <c r="P3391">
        <v>11.1631</v>
      </c>
      <c r="Q3391">
        <v>16.200299999999999</v>
      </c>
    </row>
    <row r="3392" spans="1:17" x14ac:dyDescent="0.25">
      <c r="A3392" t="str">
        <f>IF(C3392&amp;G3392&amp;D3392&lt;&gt;'Funnel setup'!$K$3&amp;'Funnel setup'!$K$4&amp;'Funnel setup'!$K$6,".",IF(A3391=".",1,A3391+1))</f>
        <v>.</v>
      </c>
      <c r="B3392" s="244" t="str">
        <f t="shared" si="52"/>
        <v>Total Hip ReplacementSub-ICB of GP PracticeNHS GREATER MANCHESTER ICB - 02H (02H)EQ VAS</v>
      </c>
      <c r="C3392" t="s">
        <v>974</v>
      </c>
      <c r="D3392" t="s">
        <v>1021</v>
      </c>
      <c r="E3392" t="s">
        <v>817</v>
      </c>
      <c r="F3392" t="s">
        <v>818</v>
      </c>
      <c r="G3392" t="s">
        <v>752</v>
      </c>
      <c r="H3392">
        <v>22</v>
      </c>
      <c r="I3392">
        <v>60.409100000000002</v>
      </c>
      <c r="J3392">
        <v>74.363600000000005</v>
      </c>
      <c r="K3392">
        <v>13.954499999999999</v>
      </c>
      <c r="L3392">
        <v>14</v>
      </c>
      <c r="M3392">
        <v>0</v>
      </c>
      <c r="N3392">
        <v>8</v>
      </c>
      <c r="O3392" t="s">
        <v>127</v>
      </c>
      <c r="P3392" t="s">
        <v>127</v>
      </c>
      <c r="Q3392" t="s">
        <v>127</v>
      </c>
    </row>
    <row r="3393" spans="1:17" x14ac:dyDescent="0.25">
      <c r="A3393" t="str">
        <f>IF(C3393&amp;G3393&amp;D3393&lt;&gt;'Funnel setup'!$K$3&amp;'Funnel setup'!$K$4&amp;'Funnel setup'!$K$6,".",IF(A3392=".",1,A3392+1))</f>
        <v>.</v>
      </c>
      <c r="B3393" s="244" t="str">
        <f t="shared" si="52"/>
        <v>Total Hip ReplacementSub-ICB of GP PracticeNHS GREATER MANCHESTER ICB - 14L (14L)EQ VAS</v>
      </c>
      <c r="C3393" t="s">
        <v>974</v>
      </c>
      <c r="D3393" t="s">
        <v>1021</v>
      </c>
      <c r="E3393" t="s">
        <v>819</v>
      </c>
      <c r="F3393" t="s">
        <v>820</v>
      </c>
      <c r="G3393" t="s">
        <v>752</v>
      </c>
      <c r="H3393">
        <v>42</v>
      </c>
      <c r="I3393">
        <v>61.738100000000003</v>
      </c>
      <c r="J3393">
        <v>75.976200000000006</v>
      </c>
      <c r="K3393">
        <v>14.238099999999999</v>
      </c>
      <c r="L3393">
        <v>31</v>
      </c>
      <c r="M3393">
        <v>3</v>
      </c>
      <c r="N3393">
        <v>8</v>
      </c>
      <c r="O3393">
        <v>77.649600000000007</v>
      </c>
      <c r="P3393">
        <v>16.833500000000001</v>
      </c>
      <c r="Q3393">
        <v>19.491599999999998</v>
      </c>
    </row>
    <row r="3394" spans="1:17" x14ac:dyDescent="0.25">
      <c r="A3394" t="str">
        <f>IF(C3394&amp;G3394&amp;D3394&lt;&gt;'Funnel setup'!$K$3&amp;'Funnel setup'!$K$4&amp;'Funnel setup'!$K$6,".",IF(A3393=".",1,A3393+1))</f>
        <v>.</v>
      </c>
      <c r="B3394" s="244" t="str">
        <f t="shared" ref="B3394:B3457" si="53">C3394&amp;D3394&amp;F3394&amp;G3394</f>
        <v>Total Hip ReplacementSub-ICB of GP PracticeNHS HAMPSHIRE AND ISLE OF WIGHT ICB - 10R (10R)EQ VAS</v>
      </c>
      <c r="C3394" t="s">
        <v>974</v>
      </c>
      <c r="D3394" t="s">
        <v>1021</v>
      </c>
      <c r="E3394" t="s">
        <v>821</v>
      </c>
      <c r="F3394" t="s">
        <v>822</v>
      </c>
      <c r="G3394" t="s">
        <v>752</v>
      </c>
      <c r="H3394">
        <v>13</v>
      </c>
      <c r="I3394">
        <v>57.461500000000001</v>
      </c>
      <c r="J3394">
        <v>81.230800000000002</v>
      </c>
      <c r="K3394">
        <v>23.769200000000001</v>
      </c>
      <c r="L3394">
        <v>10</v>
      </c>
      <c r="M3394">
        <v>1</v>
      </c>
      <c r="N3394">
        <v>2</v>
      </c>
      <c r="O3394" t="s">
        <v>127</v>
      </c>
      <c r="P3394" t="s">
        <v>127</v>
      </c>
      <c r="Q3394" t="s">
        <v>127</v>
      </c>
    </row>
    <row r="3395" spans="1:17" x14ac:dyDescent="0.25">
      <c r="A3395" t="str">
        <f>IF(C3395&amp;G3395&amp;D3395&lt;&gt;'Funnel setup'!$K$3&amp;'Funnel setup'!$K$4&amp;'Funnel setup'!$K$6,".",IF(A3394=".",1,A3394+1))</f>
        <v>.</v>
      </c>
      <c r="B3395" s="244" t="str">
        <f t="shared" si="53"/>
        <v>Total Hip ReplacementSub-ICB of GP PracticeNHS HAMPSHIRE AND ISLE OF WIGHT ICB - D9Y0V (D9Y0V)EQ VAS</v>
      </c>
      <c r="C3395" t="s">
        <v>974</v>
      </c>
      <c r="D3395" t="s">
        <v>1021</v>
      </c>
      <c r="E3395" t="s">
        <v>823</v>
      </c>
      <c r="F3395" t="s">
        <v>824</v>
      </c>
      <c r="G3395" t="s">
        <v>752</v>
      </c>
      <c r="H3395">
        <v>398</v>
      </c>
      <c r="I3395">
        <v>62.801499999999997</v>
      </c>
      <c r="J3395">
        <v>77.356800000000007</v>
      </c>
      <c r="K3395">
        <v>14.555300000000001</v>
      </c>
      <c r="L3395">
        <v>280</v>
      </c>
      <c r="M3395">
        <v>37</v>
      </c>
      <c r="N3395">
        <v>81</v>
      </c>
      <c r="O3395">
        <v>76.198400000000007</v>
      </c>
      <c r="P3395">
        <v>15.382300000000001</v>
      </c>
      <c r="Q3395">
        <v>15.603999999999999</v>
      </c>
    </row>
    <row r="3396" spans="1:17" x14ac:dyDescent="0.25">
      <c r="A3396" t="str">
        <f>IF(C3396&amp;G3396&amp;D3396&lt;&gt;'Funnel setup'!$K$3&amp;'Funnel setup'!$K$4&amp;'Funnel setup'!$K$6,".",IF(A3395=".",1,A3395+1))</f>
        <v>.</v>
      </c>
      <c r="B3396" s="244" t="str">
        <f t="shared" si="53"/>
        <v>Total Hip ReplacementSub-ICB of GP PracticeNHS HEREFORDSHIRE AND WORCESTERSHIRE ICB - 18C (18C)EQ VAS</v>
      </c>
      <c r="C3396" t="s">
        <v>974</v>
      </c>
      <c r="D3396" t="s">
        <v>1021</v>
      </c>
      <c r="E3396" t="s">
        <v>825</v>
      </c>
      <c r="F3396" t="s">
        <v>826</v>
      </c>
      <c r="G3396" t="s">
        <v>752</v>
      </c>
      <c r="H3396">
        <v>205</v>
      </c>
      <c r="I3396">
        <v>59.107300000000002</v>
      </c>
      <c r="J3396">
        <v>74.282899999999998</v>
      </c>
      <c r="K3396">
        <v>15.175599999999999</v>
      </c>
      <c r="L3396">
        <v>148</v>
      </c>
      <c r="M3396">
        <v>20</v>
      </c>
      <c r="N3396">
        <v>37</v>
      </c>
      <c r="O3396">
        <v>75.409800000000004</v>
      </c>
      <c r="P3396">
        <v>14.5937</v>
      </c>
      <c r="Q3396">
        <v>17.1784</v>
      </c>
    </row>
    <row r="3397" spans="1:17" x14ac:dyDescent="0.25">
      <c r="A3397" t="str">
        <f>IF(C3397&amp;G3397&amp;D3397&lt;&gt;'Funnel setup'!$K$3&amp;'Funnel setup'!$K$4&amp;'Funnel setup'!$K$6,".",IF(A3396=".",1,A3396+1))</f>
        <v>.</v>
      </c>
      <c r="B3397" s="244" t="str">
        <f t="shared" si="53"/>
        <v>Total Hip ReplacementSub-ICB of GP PracticeNHS HERTFORDSHIRE AND WEST ESSEX ICB - 06K (06K)EQ VAS</v>
      </c>
      <c r="C3397" t="s">
        <v>974</v>
      </c>
      <c r="D3397" t="s">
        <v>1021</v>
      </c>
      <c r="E3397" t="s">
        <v>827</v>
      </c>
      <c r="F3397" t="s">
        <v>828</v>
      </c>
      <c r="G3397" t="s">
        <v>752</v>
      </c>
      <c r="H3397">
        <v>111</v>
      </c>
      <c r="I3397">
        <v>61.027000000000001</v>
      </c>
      <c r="J3397">
        <v>74.315299999999993</v>
      </c>
      <c r="K3397">
        <v>13.2883</v>
      </c>
      <c r="L3397">
        <v>72</v>
      </c>
      <c r="M3397">
        <v>12</v>
      </c>
      <c r="N3397">
        <v>27</v>
      </c>
      <c r="O3397">
        <v>74.356899999999996</v>
      </c>
      <c r="P3397">
        <v>13.540800000000001</v>
      </c>
      <c r="Q3397">
        <v>18.2348</v>
      </c>
    </row>
    <row r="3398" spans="1:17" x14ac:dyDescent="0.25">
      <c r="A3398" t="str">
        <f>IF(C3398&amp;G3398&amp;D3398&lt;&gt;'Funnel setup'!$K$3&amp;'Funnel setup'!$K$4&amp;'Funnel setup'!$K$6,".",IF(A3397=".",1,A3397+1))</f>
        <v>.</v>
      </c>
      <c r="B3398" s="244" t="str">
        <f t="shared" si="53"/>
        <v>Total Hip ReplacementSub-ICB of GP PracticeNHS HERTFORDSHIRE AND WEST ESSEX ICB - 06N (06N)EQ VAS</v>
      </c>
      <c r="C3398" t="s">
        <v>974</v>
      </c>
      <c r="D3398" t="s">
        <v>1021</v>
      </c>
      <c r="E3398" t="s">
        <v>829</v>
      </c>
      <c r="F3398" t="s">
        <v>830</v>
      </c>
      <c r="G3398" t="s">
        <v>752</v>
      </c>
      <c r="H3398">
        <v>124</v>
      </c>
      <c r="I3398">
        <v>59.637099999999997</v>
      </c>
      <c r="J3398">
        <v>73.387100000000004</v>
      </c>
      <c r="K3398">
        <v>13.75</v>
      </c>
      <c r="L3398">
        <v>88</v>
      </c>
      <c r="M3398">
        <v>7</v>
      </c>
      <c r="N3398">
        <v>29</v>
      </c>
      <c r="O3398">
        <v>73.425299999999993</v>
      </c>
      <c r="P3398">
        <v>12.6092</v>
      </c>
      <c r="Q3398">
        <v>18.709599999999998</v>
      </c>
    </row>
    <row r="3399" spans="1:17" x14ac:dyDescent="0.25">
      <c r="A3399" t="str">
        <f>IF(C3399&amp;G3399&amp;D3399&lt;&gt;'Funnel setup'!$K$3&amp;'Funnel setup'!$K$4&amp;'Funnel setup'!$K$6,".",IF(A3398=".",1,A3398+1))</f>
        <v>.</v>
      </c>
      <c r="B3399" s="244" t="str">
        <f t="shared" si="53"/>
        <v>Total Hip ReplacementSub-ICB of GP PracticeNHS HERTFORDSHIRE AND WEST ESSEX ICB - 07H (07H)EQ VAS</v>
      </c>
      <c r="C3399" t="s">
        <v>974</v>
      </c>
      <c r="D3399" t="s">
        <v>1021</v>
      </c>
      <c r="E3399" t="s">
        <v>831</v>
      </c>
      <c r="F3399" t="s">
        <v>832</v>
      </c>
      <c r="G3399" t="s">
        <v>752</v>
      </c>
      <c r="H3399">
        <v>71</v>
      </c>
      <c r="I3399">
        <v>58.831000000000003</v>
      </c>
      <c r="J3399">
        <v>75.929599999999994</v>
      </c>
      <c r="K3399">
        <v>17.098600000000001</v>
      </c>
      <c r="L3399">
        <v>51</v>
      </c>
      <c r="M3399">
        <v>6</v>
      </c>
      <c r="N3399">
        <v>14</v>
      </c>
      <c r="O3399">
        <v>76.2</v>
      </c>
      <c r="P3399">
        <v>15.383900000000001</v>
      </c>
      <c r="Q3399">
        <v>17.086099999999998</v>
      </c>
    </row>
    <row r="3400" spans="1:17" x14ac:dyDescent="0.25">
      <c r="A3400" t="str">
        <f>IF(C3400&amp;G3400&amp;D3400&lt;&gt;'Funnel setup'!$K$3&amp;'Funnel setup'!$K$4&amp;'Funnel setup'!$K$6,".",IF(A3399=".",1,A3399+1))</f>
        <v>.</v>
      </c>
      <c r="B3400" s="244" t="str">
        <f t="shared" si="53"/>
        <v>Total Hip ReplacementSub-ICB of GP PracticeNHS HUMBER AND NORTH YORKSHIRE ICB - 02Y (02Y)EQ VAS</v>
      </c>
      <c r="C3400" t="s">
        <v>974</v>
      </c>
      <c r="D3400" t="s">
        <v>1021</v>
      </c>
      <c r="E3400" t="s">
        <v>833</v>
      </c>
      <c r="F3400" t="s">
        <v>834</v>
      </c>
      <c r="G3400" t="s">
        <v>752</v>
      </c>
      <c r="H3400">
        <v>63</v>
      </c>
      <c r="I3400">
        <v>65.968299999999999</v>
      </c>
      <c r="J3400">
        <v>77.158699999999996</v>
      </c>
      <c r="K3400">
        <v>11.1905</v>
      </c>
      <c r="L3400">
        <v>45</v>
      </c>
      <c r="M3400">
        <v>3</v>
      </c>
      <c r="N3400">
        <v>15</v>
      </c>
      <c r="O3400">
        <v>75.634299999999996</v>
      </c>
      <c r="P3400">
        <v>14.818199999999999</v>
      </c>
      <c r="Q3400">
        <v>18.157900000000001</v>
      </c>
    </row>
    <row r="3401" spans="1:17" x14ac:dyDescent="0.25">
      <c r="A3401" t="str">
        <f>IF(C3401&amp;G3401&amp;D3401&lt;&gt;'Funnel setup'!$K$3&amp;'Funnel setup'!$K$4&amp;'Funnel setup'!$K$6,".",IF(A3400=".",1,A3400+1))</f>
        <v>.</v>
      </c>
      <c r="B3401" s="244" t="str">
        <f t="shared" si="53"/>
        <v>Total Hip ReplacementSub-ICB of GP PracticeNHS HUMBER AND NORTH YORKSHIRE ICB - 03F (03F)EQ VAS</v>
      </c>
      <c r="C3401" t="s">
        <v>974</v>
      </c>
      <c r="D3401" t="s">
        <v>1021</v>
      </c>
      <c r="E3401" t="s">
        <v>835</v>
      </c>
      <c r="F3401" t="s">
        <v>836</v>
      </c>
      <c r="G3401" t="s">
        <v>752</v>
      </c>
      <c r="H3401">
        <v>26</v>
      </c>
      <c r="I3401">
        <v>56.692300000000003</v>
      </c>
      <c r="J3401">
        <v>66.038499999999999</v>
      </c>
      <c r="K3401">
        <v>9.3461499999999997</v>
      </c>
      <c r="L3401">
        <v>17</v>
      </c>
      <c r="M3401">
        <v>3</v>
      </c>
      <c r="N3401">
        <v>6</v>
      </c>
      <c r="O3401" t="s">
        <v>127</v>
      </c>
      <c r="P3401" t="s">
        <v>127</v>
      </c>
      <c r="Q3401" t="s">
        <v>127</v>
      </c>
    </row>
    <row r="3402" spans="1:17" x14ac:dyDescent="0.25">
      <c r="A3402" t="str">
        <f>IF(C3402&amp;G3402&amp;D3402&lt;&gt;'Funnel setup'!$K$3&amp;'Funnel setup'!$K$4&amp;'Funnel setup'!$K$6,".",IF(A3401=".",1,A3401+1))</f>
        <v>.</v>
      </c>
      <c r="B3402" s="244" t="str">
        <f t="shared" si="53"/>
        <v>Total Hip ReplacementSub-ICB of GP PracticeNHS HUMBER AND NORTH YORKSHIRE ICB - 03H (03H)EQ VAS</v>
      </c>
      <c r="C3402" t="s">
        <v>974</v>
      </c>
      <c r="D3402" t="s">
        <v>1021</v>
      </c>
      <c r="E3402" t="s">
        <v>837</v>
      </c>
      <c r="F3402" t="s">
        <v>838</v>
      </c>
      <c r="G3402" t="s">
        <v>752</v>
      </c>
      <c r="H3402">
        <v>68</v>
      </c>
      <c r="I3402">
        <v>60.691200000000002</v>
      </c>
      <c r="J3402">
        <v>72.808800000000005</v>
      </c>
      <c r="K3402">
        <v>12.117599999999999</v>
      </c>
      <c r="L3402">
        <v>39</v>
      </c>
      <c r="M3402">
        <v>8</v>
      </c>
      <c r="N3402">
        <v>21</v>
      </c>
      <c r="O3402">
        <v>72.986000000000004</v>
      </c>
      <c r="P3402">
        <v>12.1699</v>
      </c>
      <c r="Q3402">
        <v>19.447299999999998</v>
      </c>
    </row>
    <row r="3403" spans="1:17" x14ac:dyDescent="0.25">
      <c r="A3403" t="str">
        <f>IF(C3403&amp;G3403&amp;D3403&lt;&gt;'Funnel setup'!$K$3&amp;'Funnel setup'!$K$4&amp;'Funnel setup'!$K$6,".",IF(A3402=".",1,A3402+1))</f>
        <v>.</v>
      </c>
      <c r="B3403" s="244" t="str">
        <f t="shared" si="53"/>
        <v>Total Hip ReplacementSub-ICB of GP PracticeNHS HUMBER AND NORTH YORKSHIRE ICB - 03K (03K)EQ VAS</v>
      </c>
      <c r="C3403" t="s">
        <v>974</v>
      </c>
      <c r="D3403" t="s">
        <v>1021</v>
      </c>
      <c r="E3403" t="s">
        <v>839</v>
      </c>
      <c r="F3403" t="s">
        <v>840</v>
      </c>
      <c r="G3403" t="s">
        <v>752</v>
      </c>
      <c r="H3403">
        <v>56</v>
      </c>
      <c r="I3403">
        <v>61.428600000000003</v>
      </c>
      <c r="J3403">
        <v>74.017899999999997</v>
      </c>
      <c r="K3403">
        <v>12.5893</v>
      </c>
      <c r="L3403">
        <v>39</v>
      </c>
      <c r="M3403">
        <v>7</v>
      </c>
      <c r="N3403">
        <v>10</v>
      </c>
      <c r="O3403">
        <v>73.468299999999999</v>
      </c>
      <c r="P3403">
        <v>12.652200000000001</v>
      </c>
      <c r="Q3403">
        <v>21.635400000000001</v>
      </c>
    </row>
    <row r="3404" spans="1:17" x14ac:dyDescent="0.25">
      <c r="A3404" t="str">
        <f>IF(C3404&amp;G3404&amp;D3404&lt;&gt;'Funnel setup'!$K$3&amp;'Funnel setup'!$K$4&amp;'Funnel setup'!$K$6,".",IF(A3403=".",1,A3403+1))</f>
        <v>.</v>
      </c>
      <c r="B3404" s="244" t="str">
        <f t="shared" si="53"/>
        <v>Total Hip ReplacementSub-ICB of GP PracticeNHS HUMBER AND NORTH YORKSHIRE ICB - 03Q (03Q)EQ VAS</v>
      </c>
      <c r="C3404" t="s">
        <v>974</v>
      </c>
      <c r="D3404" t="s">
        <v>1021</v>
      </c>
      <c r="E3404" t="s">
        <v>841</v>
      </c>
      <c r="F3404" t="s">
        <v>842</v>
      </c>
      <c r="G3404" t="s">
        <v>752</v>
      </c>
      <c r="H3404">
        <v>80</v>
      </c>
      <c r="I3404">
        <v>57.5</v>
      </c>
      <c r="J3404">
        <v>75.099999999999994</v>
      </c>
      <c r="K3404">
        <v>17.600000000000001</v>
      </c>
      <c r="L3404">
        <v>60</v>
      </c>
      <c r="M3404">
        <v>3</v>
      </c>
      <c r="N3404">
        <v>17</v>
      </c>
      <c r="O3404">
        <v>74.992900000000006</v>
      </c>
      <c r="P3404">
        <v>14.1767</v>
      </c>
      <c r="Q3404">
        <v>18.805900000000001</v>
      </c>
    </row>
    <row r="3405" spans="1:17" x14ac:dyDescent="0.25">
      <c r="A3405" t="str">
        <f>IF(C3405&amp;G3405&amp;D3405&lt;&gt;'Funnel setup'!$K$3&amp;'Funnel setup'!$K$4&amp;'Funnel setup'!$K$6,".",IF(A3404=".",1,A3404+1))</f>
        <v>.</v>
      </c>
      <c r="B3405" s="244" t="str">
        <f t="shared" si="53"/>
        <v>Total Hip ReplacementSub-ICB of GP PracticeNHS HUMBER AND NORTH YORKSHIRE ICB - 42D (42D)EQ VAS</v>
      </c>
      <c r="C3405" t="s">
        <v>974</v>
      </c>
      <c r="D3405" t="s">
        <v>1021</v>
      </c>
      <c r="E3405" t="s">
        <v>843</v>
      </c>
      <c r="F3405" t="s">
        <v>844</v>
      </c>
      <c r="G3405" t="s">
        <v>752</v>
      </c>
      <c r="H3405">
        <v>240</v>
      </c>
      <c r="I3405">
        <v>62.424999999999997</v>
      </c>
      <c r="J3405">
        <v>78.791700000000006</v>
      </c>
      <c r="K3405">
        <v>16.366700000000002</v>
      </c>
      <c r="L3405">
        <v>171</v>
      </c>
      <c r="M3405">
        <v>15</v>
      </c>
      <c r="N3405">
        <v>54</v>
      </c>
      <c r="O3405">
        <v>79.490300000000005</v>
      </c>
      <c r="P3405">
        <v>18.674199999999999</v>
      </c>
      <c r="Q3405">
        <v>16.636500000000002</v>
      </c>
    </row>
    <row r="3406" spans="1:17" x14ac:dyDescent="0.25">
      <c r="A3406" t="str">
        <f>IF(C3406&amp;G3406&amp;D3406&lt;&gt;'Funnel setup'!$K$3&amp;'Funnel setup'!$K$4&amp;'Funnel setup'!$K$6,".",IF(A3405=".",1,A3405+1))</f>
        <v>.</v>
      </c>
      <c r="B3406" s="244" t="str">
        <f t="shared" si="53"/>
        <v>Total Hip ReplacementSub-ICB of GP PracticeNHS KENT AND MEDWAY ICB - 91Q (91Q)EQ VAS</v>
      </c>
      <c r="C3406" t="s">
        <v>974</v>
      </c>
      <c r="D3406" t="s">
        <v>1021</v>
      </c>
      <c r="E3406" t="s">
        <v>845</v>
      </c>
      <c r="F3406" t="s">
        <v>846</v>
      </c>
      <c r="G3406" t="s">
        <v>752</v>
      </c>
      <c r="H3406">
        <v>474</v>
      </c>
      <c r="I3406">
        <v>62.816499999999998</v>
      </c>
      <c r="J3406">
        <v>75.660300000000007</v>
      </c>
      <c r="K3406">
        <v>12.8439</v>
      </c>
      <c r="L3406">
        <v>332</v>
      </c>
      <c r="M3406">
        <v>34</v>
      </c>
      <c r="N3406">
        <v>108</v>
      </c>
      <c r="O3406">
        <v>74.709599999999995</v>
      </c>
      <c r="P3406">
        <v>13.8935</v>
      </c>
      <c r="Q3406">
        <v>16.6372</v>
      </c>
    </row>
    <row r="3407" spans="1:17" x14ac:dyDescent="0.25">
      <c r="A3407" t="str">
        <f>IF(C3407&amp;G3407&amp;D3407&lt;&gt;'Funnel setup'!$K$3&amp;'Funnel setup'!$K$4&amp;'Funnel setup'!$K$6,".",IF(A3406=".",1,A3406+1))</f>
        <v>.</v>
      </c>
      <c r="B3407" s="244" t="str">
        <f t="shared" si="53"/>
        <v>Total Hip ReplacementSub-ICB of GP PracticeNHS LANCASHIRE AND SOUTH CUMBRIA ICB - 00Q (00Q)EQ VAS</v>
      </c>
      <c r="C3407" t="s">
        <v>974</v>
      </c>
      <c r="D3407" t="s">
        <v>1021</v>
      </c>
      <c r="E3407" t="s">
        <v>847</v>
      </c>
      <c r="F3407" t="s">
        <v>848</v>
      </c>
      <c r="G3407" t="s">
        <v>752</v>
      </c>
      <c r="H3407">
        <v>38</v>
      </c>
      <c r="I3407">
        <v>67.5</v>
      </c>
      <c r="J3407">
        <v>75.210499999999996</v>
      </c>
      <c r="K3407">
        <v>7.7105300000000003</v>
      </c>
      <c r="L3407">
        <v>23</v>
      </c>
      <c r="M3407">
        <v>3</v>
      </c>
      <c r="N3407">
        <v>12</v>
      </c>
      <c r="O3407">
        <v>75.130600000000001</v>
      </c>
      <c r="P3407">
        <v>14.314500000000001</v>
      </c>
      <c r="Q3407">
        <v>13.935600000000001</v>
      </c>
    </row>
    <row r="3408" spans="1:17" x14ac:dyDescent="0.25">
      <c r="A3408" t="str">
        <f>IF(C3408&amp;G3408&amp;D3408&lt;&gt;'Funnel setup'!$K$3&amp;'Funnel setup'!$K$4&amp;'Funnel setup'!$K$6,".",IF(A3407=".",1,A3407+1))</f>
        <v>.</v>
      </c>
      <c r="B3408" s="244" t="str">
        <f t="shared" si="53"/>
        <v>Total Hip ReplacementSub-ICB of GP PracticeNHS LANCASHIRE AND SOUTH CUMBRIA ICB - 00R (00R)EQ VAS</v>
      </c>
      <c r="C3408" t="s">
        <v>974</v>
      </c>
      <c r="D3408" t="s">
        <v>1021</v>
      </c>
      <c r="E3408" t="s">
        <v>849</v>
      </c>
      <c r="F3408" t="s">
        <v>850</v>
      </c>
      <c r="G3408" t="s">
        <v>752</v>
      </c>
      <c r="H3408">
        <v>33</v>
      </c>
      <c r="I3408">
        <v>59.969700000000003</v>
      </c>
      <c r="J3408">
        <v>75.484800000000007</v>
      </c>
      <c r="K3408">
        <v>15.5152</v>
      </c>
      <c r="L3408">
        <v>26</v>
      </c>
      <c r="M3408">
        <v>1</v>
      </c>
      <c r="N3408">
        <v>6</v>
      </c>
      <c r="O3408">
        <v>76.647300000000001</v>
      </c>
      <c r="P3408">
        <v>15.831200000000001</v>
      </c>
      <c r="Q3408">
        <v>17.9953</v>
      </c>
    </row>
    <row r="3409" spans="1:17" x14ac:dyDescent="0.25">
      <c r="A3409" t="str">
        <f>IF(C3409&amp;G3409&amp;D3409&lt;&gt;'Funnel setup'!$K$3&amp;'Funnel setup'!$K$4&amp;'Funnel setup'!$K$6,".",IF(A3408=".",1,A3408+1))</f>
        <v>.</v>
      </c>
      <c r="B3409" s="244" t="str">
        <f t="shared" si="53"/>
        <v>Total Hip ReplacementSub-ICB of GP PracticeNHS LANCASHIRE AND SOUTH CUMBRIA ICB - 00X (00X)EQ VAS</v>
      </c>
      <c r="C3409" t="s">
        <v>974</v>
      </c>
      <c r="D3409" t="s">
        <v>1021</v>
      </c>
      <c r="E3409" t="s">
        <v>851</v>
      </c>
      <c r="F3409" t="s">
        <v>852</v>
      </c>
      <c r="G3409" t="s">
        <v>752</v>
      </c>
      <c r="H3409">
        <v>56</v>
      </c>
      <c r="I3409">
        <v>61.5</v>
      </c>
      <c r="J3409">
        <v>75.75</v>
      </c>
      <c r="K3409">
        <v>14.25</v>
      </c>
      <c r="L3409">
        <v>42</v>
      </c>
      <c r="M3409">
        <v>6</v>
      </c>
      <c r="N3409">
        <v>8</v>
      </c>
      <c r="O3409">
        <v>76.558300000000003</v>
      </c>
      <c r="P3409">
        <v>15.7422</v>
      </c>
      <c r="Q3409">
        <v>18.685099999999998</v>
      </c>
    </row>
    <row r="3410" spans="1:17" x14ac:dyDescent="0.25">
      <c r="A3410" t="str">
        <f>IF(C3410&amp;G3410&amp;D3410&lt;&gt;'Funnel setup'!$K$3&amp;'Funnel setup'!$K$4&amp;'Funnel setup'!$K$6,".",IF(A3409=".",1,A3409+1))</f>
        <v>.</v>
      </c>
      <c r="B3410" s="244" t="str">
        <f t="shared" si="53"/>
        <v>Total Hip ReplacementSub-ICB of GP PracticeNHS LANCASHIRE AND SOUTH CUMBRIA ICB - 01A (01A)EQ VAS</v>
      </c>
      <c r="C3410" t="s">
        <v>974</v>
      </c>
      <c r="D3410" t="s">
        <v>1021</v>
      </c>
      <c r="E3410" t="s">
        <v>853</v>
      </c>
      <c r="F3410" t="s">
        <v>854</v>
      </c>
      <c r="G3410" t="s">
        <v>752</v>
      </c>
      <c r="H3410">
        <v>139</v>
      </c>
      <c r="I3410">
        <v>60.647500000000001</v>
      </c>
      <c r="J3410">
        <v>76.532399999999996</v>
      </c>
      <c r="K3410">
        <v>15.8849</v>
      </c>
      <c r="L3410">
        <v>89</v>
      </c>
      <c r="M3410">
        <v>11</v>
      </c>
      <c r="N3410">
        <v>39</v>
      </c>
      <c r="O3410">
        <v>75.892099999999999</v>
      </c>
      <c r="P3410">
        <v>15.076000000000001</v>
      </c>
      <c r="Q3410">
        <v>15.1952</v>
      </c>
    </row>
    <row r="3411" spans="1:17" x14ac:dyDescent="0.25">
      <c r="A3411" t="str">
        <f>IF(C3411&amp;G3411&amp;D3411&lt;&gt;'Funnel setup'!$K$3&amp;'Funnel setup'!$K$4&amp;'Funnel setup'!$K$6,".",IF(A3410=".",1,A3410+1))</f>
        <v>.</v>
      </c>
      <c r="B3411" s="244" t="str">
        <f t="shared" si="53"/>
        <v>Total Hip ReplacementSub-ICB of GP PracticeNHS LANCASHIRE AND SOUTH CUMBRIA ICB - 01E (01E)EQ VAS</v>
      </c>
      <c r="C3411" t="s">
        <v>974</v>
      </c>
      <c r="D3411" t="s">
        <v>1021</v>
      </c>
      <c r="E3411" t="s">
        <v>855</v>
      </c>
      <c r="F3411" t="s">
        <v>856</v>
      </c>
      <c r="G3411" t="s">
        <v>752</v>
      </c>
      <c r="H3411">
        <v>59</v>
      </c>
      <c r="I3411">
        <v>71.169499999999999</v>
      </c>
      <c r="J3411">
        <v>77.779700000000005</v>
      </c>
      <c r="K3411">
        <v>6.6101700000000001</v>
      </c>
      <c r="L3411">
        <v>39</v>
      </c>
      <c r="M3411">
        <v>4</v>
      </c>
      <c r="N3411">
        <v>16</v>
      </c>
      <c r="O3411">
        <v>75.049899999999994</v>
      </c>
      <c r="P3411">
        <v>14.2338</v>
      </c>
      <c r="Q3411">
        <v>14.1798</v>
      </c>
    </row>
    <row r="3412" spans="1:17" x14ac:dyDescent="0.25">
      <c r="A3412" t="str">
        <f>IF(C3412&amp;G3412&amp;D3412&lt;&gt;'Funnel setup'!$K$3&amp;'Funnel setup'!$K$4&amp;'Funnel setup'!$K$6,".",IF(A3411=".",1,A3411+1))</f>
        <v>.</v>
      </c>
      <c r="B3412" s="244" t="str">
        <f t="shared" si="53"/>
        <v>Total Hip ReplacementSub-ICB of GP PracticeNHS LANCASHIRE AND SOUTH CUMBRIA ICB - 01K (01K)EQ VAS</v>
      </c>
      <c r="C3412" t="s">
        <v>974</v>
      </c>
      <c r="D3412" t="s">
        <v>1021</v>
      </c>
      <c r="E3412" t="s">
        <v>857</v>
      </c>
      <c r="F3412" t="s">
        <v>858</v>
      </c>
      <c r="G3412" t="s">
        <v>752</v>
      </c>
      <c r="H3412">
        <v>183</v>
      </c>
      <c r="I3412">
        <v>60.147500000000001</v>
      </c>
      <c r="J3412">
        <v>76.366100000000003</v>
      </c>
      <c r="K3412">
        <v>16.218599999999999</v>
      </c>
      <c r="L3412">
        <v>131</v>
      </c>
      <c r="M3412">
        <v>13</v>
      </c>
      <c r="N3412">
        <v>39</v>
      </c>
      <c r="O3412">
        <v>76.025800000000004</v>
      </c>
      <c r="P3412">
        <v>15.2097</v>
      </c>
      <c r="Q3412">
        <v>15.4298</v>
      </c>
    </row>
    <row r="3413" spans="1:17" x14ac:dyDescent="0.25">
      <c r="A3413" t="str">
        <f>IF(C3413&amp;G3413&amp;D3413&lt;&gt;'Funnel setup'!$K$3&amp;'Funnel setup'!$K$4&amp;'Funnel setup'!$K$6,".",IF(A3412=".",1,A3412+1))</f>
        <v>.</v>
      </c>
      <c r="B3413" s="244" t="str">
        <f t="shared" si="53"/>
        <v>Total Hip ReplacementSub-ICB of GP PracticeNHS LANCASHIRE AND SOUTH CUMBRIA ICB - 02G (02G)EQ VAS</v>
      </c>
      <c r="C3413" t="s">
        <v>974</v>
      </c>
      <c r="D3413" t="s">
        <v>1021</v>
      </c>
      <c r="E3413" t="s">
        <v>859</v>
      </c>
      <c r="F3413" t="s">
        <v>860</v>
      </c>
      <c r="G3413" t="s">
        <v>752</v>
      </c>
      <c r="H3413">
        <v>33</v>
      </c>
      <c r="I3413">
        <v>66.393900000000002</v>
      </c>
      <c r="J3413">
        <v>79</v>
      </c>
      <c r="K3413">
        <v>12.6061</v>
      </c>
      <c r="L3413">
        <v>19</v>
      </c>
      <c r="M3413">
        <v>8</v>
      </c>
      <c r="N3413">
        <v>6</v>
      </c>
      <c r="O3413">
        <v>75.3352</v>
      </c>
      <c r="P3413">
        <v>14.5191</v>
      </c>
      <c r="Q3413">
        <v>17.9283</v>
      </c>
    </row>
    <row r="3414" spans="1:17" x14ac:dyDescent="0.25">
      <c r="A3414" t="str">
        <f>IF(C3414&amp;G3414&amp;D3414&lt;&gt;'Funnel setup'!$K$3&amp;'Funnel setup'!$K$4&amp;'Funnel setup'!$K$6,".",IF(A3413=".",1,A3413+1))</f>
        <v>.</v>
      </c>
      <c r="B3414" s="244" t="str">
        <f t="shared" si="53"/>
        <v>Total Hip ReplacementSub-ICB of GP PracticeNHS LANCASHIRE AND SOUTH CUMBRIA ICB - 02M (02M)EQ VAS</v>
      </c>
      <c r="C3414" t="s">
        <v>974</v>
      </c>
      <c r="D3414" t="s">
        <v>1021</v>
      </c>
      <c r="E3414" t="s">
        <v>861</v>
      </c>
      <c r="F3414" t="s">
        <v>862</v>
      </c>
      <c r="G3414" t="s">
        <v>752</v>
      </c>
      <c r="H3414">
        <v>73</v>
      </c>
      <c r="I3414">
        <v>67.0548</v>
      </c>
      <c r="J3414">
        <v>76.397300000000001</v>
      </c>
      <c r="K3414">
        <v>9.3424700000000005</v>
      </c>
      <c r="L3414">
        <v>51</v>
      </c>
      <c r="M3414">
        <v>5</v>
      </c>
      <c r="N3414">
        <v>17</v>
      </c>
      <c r="O3414">
        <v>75.674400000000006</v>
      </c>
      <c r="P3414">
        <v>14.8583</v>
      </c>
      <c r="Q3414">
        <v>14.4542</v>
      </c>
    </row>
    <row r="3415" spans="1:17" x14ac:dyDescent="0.25">
      <c r="A3415" t="str">
        <f>IF(C3415&amp;G3415&amp;D3415&lt;&gt;'Funnel setup'!$K$3&amp;'Funnel setup'!$K$4&amp;'Funnel setup'!$K$6,".",IF(A3414=".",1,A3414+1))</f>
        <v>.</v>
      </c>
      <c r="B3415" s="244" t="str">
        <f t="shared" si="53"/>
        <v>Total Hip ReplacementSub-ICB of GP PracticeNHS LEICESTER, LEICESTERSHIRE AND RUTLAND ICB - 03W (03W)EQ VAS</v>
      </c>
      <c r="C3415" t="s">
        <v>974</v>
      </c>
      <c r="D3415" t="s">
        <v>1021</v>
      </c>
      <c r="E3415" t="s">
        <v>863</v>
      </c>
      <c r="F3415" t="s">
        <v>864</v>
      </c>
      <c r="G3415" t="s">
        <v>752</v>
      </c>
      <c r="H3415">
        <v>112</v>
      </c>
      <c r="I3415">
        <v>61.428600000000003</v>
      </c>
      <c r="J3415">
        <v>74.160700000000006</v>
      </c>
      <c r="K3415">
        <v>12.732100000000001</v>
      </c>
      <c r="L3415">
        <v>82</v>
      </c>
      <c r="M3415">
        <v>6</v>
      </c>
      <c r="N3415">
        <v>24</v>
      </c>
      <c r="O3415">
        <v>73.645200000000003</v>
      </c>
      <c r="P3415">
        <v>12.8291</v>
      </c>
      <c r="Q3415">
        <v>15.3017</v>
      </c>
    </row>
    <row r="3416" spans="1:17" x14ac:dyDescent="0.25">
      <c r="A3416" t="str">
        <f>IF(C3416&amp;G3416&amp;D3416&lt;&gt;'Funnel setup'!$K$3&amp;'Funnel setup'!$K$4&amp;'Funnel setup'!$K$6,".",IF(A3415=".",1,A3415+1))</f>
        <v>.</v>
      </c>
      <c r="B3416" s="244" t="str">
        <f t="shared" si="53"/>
        <v>Total Hip ReplacementSub-ICB of GP PracticeNHS LEICESTER, LEICESTERSHIRE AND RUTLAND ICB - 04C (04C)EQ VAS</v>
      </c>
      <c r="C3416" t="s">
        <v>974</v>
      </c>
      <c r="D3416" t="s">
        <v>1021</v>
      </c>
      <c r="E3416" t="s">
        <v>865</v>
      </c>
      <c r="F3416" t="s">
        <v>866</v>
      </c>
      <c r="G3416" t="s">
        <v>752</v>
      </c>
      <c r="H3416">
        <v>37</v>
      </c>
      <c r="I3416">
        <v>56.973700000000001</v>
      </c>
      <c r="J3416">
        <v>68.8947</v>
      </c>
      <c r="K3416">
        <v>11.921099999999999</v>
      </c>
      <c r="L3416">
        <v>25</v>
      </c>
      <c r="M3416">
        <v>2</v>
      </c>
      <c r="N3416">
        <v>10</v>
      </c>
      <c r="O3416">
        <v>71.833200000000005</v>
      </c>
      <c r="P3416">
        <v>11.017099999999999</v>
      </c>
      <c r="Q3416">
        <v>16.256699999999999</v>
      </c>
    </row>
    <row r="3417" spans="1:17" x14ac:dyDescent="0.25">
      <c r="A3417" t="str">
        <f>IF(C3417&amp;G3417&amp;D3417&lt;&gt;'Funnel setup'!$K$3&amp;'Funnel setup'!$K$4&amp;'Funnel setup'!$K$6,".",IF(A3416=".",1,A3416+1))</f>
        <v>.</v>
      </c>
      <c r="B3417" s="244" t="str">
        <f t="shared" si="53"/>
        <v>Total Hip ReplacementSub-ICB of GP PracticeNHS LEICESTER, LEICESTERSHIRE AND RUTLAND ICB - 04V (04V)EQ VAS</v>
      </c>
      <c r="C3417" t="s">
        <v>974</v>
      </c>
      <c r="D3417" t="s">
        <v>1021</v>
      </c>
      <c r="E3417" t="s">
        <v>867</v>
      </c>
      <c r="F3417" t="s">
        <v>868</v>
      </c>
      <c r="G3417" t="s">
        <v>752</v>
      </c>
      <c r="H3417">
        <v>112</v>
      </c>
      <c r="I3417">
        <v>58.044600000000003</v>
      </c>
      <c r="J3417">
        <v>75.741100000000003</v>
      </c>
      <c r="K3417">
        <v>17.696400000000001</v>
      </c>
      <c r="L3417">
        <v>85</v>
      </c>
      <c r="M3417">
        <v>8</v>
      </c>
      <c r="N3417">
        <v>19</v>
      </c>
      <c r="O3417">
        <v>76.608099999999993</v>
      </c>
      <c r="P3417">
        <v>15.792</v>
      </c>
      <c r="Q3417">
        <v>14.9171</v>
      </c>
    </row>
    <row r="3418" spans="1:17" x14ac:dyDescent="0.25">
      <c r="A3418" t="str">
        <f>IF(C3418&amp;G3418&amp;D3418&lt;&gt;'Funnel setup'!$K$3&amp;'Funnel setup'!$K$4&amp;'Funnel setup'!$K$6,".",IF(A3417=".",1,A3417+1))</f>
        <v>.</v>
      </c>
      <c r="B3418" s="244" t="str">
        <f t="shared" si="53"/>
        <v>Total Hip ReplacementSub-ICB of GP PracticeNHS LINCOLNSHIRE ICB - 71E (71E)EQ VAS</v>
      </c>
      <c r="C3418" t="s">
        <v>974</v>
      </c>
      <c r="D3418" t="s">
        <v>1021</v>
      </c>
      <c r="E3418" t="s">
        <v>869</v>
      </c>
      <c r="F3418" t="s">
        <v>870</v>
      </c>
      <c r="G3418" t="s">
        <v>752</v>
      </c>
      <c r="H3418">
        <v>249</v>
      </c>
      <c r="I3418">
        <v>62.831299999999999</v>
      </c>
      <c r="J3418">
        <v>75.887600000000006</v>
      </c>
      <c r="K3418">
        <v>13.0562</v>
      </c>
      <c r="L3418">
        <v>168</v>
      </c>
      <c r="M3418">
        <v>21</v>
      </c>
      <c r="N3418">
        <v>60</v>
      </c>
      <c r="O3418">
        <v>75.447699999999998</v>
      </c>
      <c r="P3418">
        <v>14.631600000000001</v>
      </c>
      <c r="Q3418">
        <v>16.770099999999999</v>
      </c>
    </row>
    <row r="3419" spans="1:17" x14ac:dyDescent="0.25">
      <c r="A3419" t="str">
        <f>IF(C3419&amp;G3419&amp;D3419&lt;&gt;'Funnel setup'!$K$3&amp;'Funnel setup'!$K$4&amp;'Funnel setup'!$K$6,".",IF(A3418=".",1,A3418+1))</f>
        <v>.</v>
      </c>
      <c r="B3419" s="244" t="str">
        <f t="shared" si="53"/>
        <v>Total Hip ReplacementSub-ICB of GP PracticeNHS MID AND SOUTH ESSEX ICB - 06Q (06Q)EQ VAS</v>
      </c>
      <c r="C3419" t="s">
        <v>974</v>
      </c>
      <c r="D3419" t="s">
        <v>1021</v>
      </c>
      <c r="E3419" t="s">
        <v>871</v>
      </c>
      <c r="F3419" t="s">
        <v>872</v>
      </c>
      <c r="G3419" t="s">
        <v>752</v>
      </c>
      <c r="H3419">
        <v>110</v>
      </c>
      <c r="I3419">
        <v>61.090899999999998</v>
      </c>
      <c r="J3419">
        <v>75.5</v>
      </c>
      <c r="K3419">
        <v>14.4091</v>
      </c>
      <c r="L3419">
        <v>73</v>
      </c>
      <c r="M3419">
        <v>10</v>
      </c>
      <c r="N3419">
        <v>27</v>
      </c>
      <c r="O3419">
        <v>74.642399999999995</v>
      </c>
      <c r="P3419">
        <v>13.8263</v>
      </c>
      <c r="Q3419">
        <v>18.9358</v>
      </c>
    </row>
    <row r="3420" spans="1:17" x14ac:dyDescent="0.25">
      <c r="A3420" t="str">
        <f>IF(C3420&amp;G3420&amp;D3420&lt;&gt;'Funnel setup'!$K$3&amp;'Funnel setup'!$K$4&amp;'Funnel setup'!$K$6,".",IF(A3419=".",1,A3419+1))</f>
        <v>.</v>
      </c>
      <c r="B3420" s="244" t="str">
        <f t="shared" si="53"/>
        <v>Total Hip ReplacementSub-ICB of GP PracticeNHS MID AND SOUTH ESSEX ICB - 07G (07G)EQ VAS</v>
      </c>
      <c r="C3420" t="s">
        <v>974</v>
      </c>
      <c r="D3420" t="s">
        <v>1021</v>
      </c>
      <c r="E3420" t="s">
        <v>873</v>
      </c>
      <c r="F3420" t="s">
        <v>874</v>
      </c>
      <c r="G3420" t="s">
        <v>752</v>
      </c>
      <c r="H3420">
        <v>31</v>
      </c>
      <c r="I3420">
        <v>49.677399999999999</v>
      </c>
      <c r="J3420">
        <v>77.967699999999994</v>
      </c>
      <c r="K3420">
        <v>28.290299999999998</v>
      </c>
      <c r="L3420">
        <v>24</v>
      </c>
      <c r="M3420">
        <v>1</v>
      </c>
      <c r="N3420">
        <v>6</v>
      </c>
      <c r="O3420">
        <v>80.546700000000001</v>
      </c>
      <c r="P3420">
        <v>19.730599999999999</v>
      </c>
      <c r="Q3420">
        <v>13.4049</v>
      </c>
    </row>
    <row r="3421" spans="1:17" x14ac:dyDescent="0.25">
      <c r="A3421" t="str">
        <f>IF(C3421&amp;G3421&amp;D3421&lt;&gt;'Funnel setup'!$K$3&amp;'Funnel setup'!$K$4&amp;'Funnel setup'!$K$6,".",IF(A3420=".",1,A3420+1))</f>
        <v>.</v>
      </c>
      <c r="B3421" s="244" t="str">
        <f t="shared" si="53"/>
        <v>Total Hip ReplacementSub-ICB of GP PracticeNHS MID AND SOUTH ESSEX ICB - 99E (99E)EQ VAS</v>
      </c>
      <c r="C3421" t="s">
        <v>974</v>
      </c>
      <c r="D3421" t="s">
        <v>1021</v>
      </c>
      <c r="E3421" t="s">
        <v>875</v>
      </c>
      <c r="F3421" t="s">
        <v>876</v>
      </c>
      <c r="G3421" t="s">
        <v>752</v>
      </c>
      <c r="H3421">
        <v>44</v>
      </c>
      <c r="I3421">
        <v>50</v>
      </c>
      <c r="J3421">
        <v>70.4773</v>
      </c>
      <c r="K3421">
        <v>20.4773</v>
      </c>
      <c r="L3421">
        <v>33</v>
      </c>
      <c r="M3421">
        <v>5</v>
      </c>
      <c r="N3421">
        <v>6</v>
      </c>
      <c r="O3421">
        <v>74.631</v>
      </c>
      <c r="P3421">
        <v>13.8149</v>
      </c>
      <c r="Q3421">
        <v>19.6203</v>
      </c>
    </row>
    <row r="3422" spans="1:17" x14ac:dyDescent="0.25">
      <c r="A3422" t="str">
        <f>IF(C3422&amp;G3422&amp;D3422&lt;&gt;'Funnel setup'!$K$3&amp;'Funnel setup'!$K$4&amp;'Funnel setup'!$K$6,".",IF(A3421=".",1,A3421+1))</f>
        <v>.</v>
      </c>
      <c r="B3422" s="244" t="str">
        <f t="shared" si="53"/>
        <v>Total Hip ReplacementSub-ICB of GP PracticeNHS MID AND SOUTH ESSEX ICB - 99F (99F)EQ VAS</v>
      </c>
      <c r="C3422" t="s">
        <v>974</v>
      </c>
      <c r="D3422" t="s">
        <v>1021</v>
      </c>
      <c r="E3422" t="s">
        <v>877</v>
      </c>
      <c r="F3422" t="s">
        <v>878</v>
      </c>
      <c r="G3422" t="s">
        <v>752</v>
      </c>
      <c r="H3422">
        <v>26</v>
      </c>
      <c r="I3422">
        <v>64.269199999999998</v>
      </c>
      <c r="J3422">
        <v>76.307699999999997</v>
      </c>
      <c r="K3422">
        <v>12.038500000000001</v>
      </c>
      <c r="L3422">
        <v>21</v>
      </c>
      <c r="M3422">
        <v>0</v>
      </c>
      <c r="N3422">
        <v>5</v>
      </c>
      <c r="O3422" t="s">
        <v>127</v>
      </c>
      <c r="P3422" t="s">
        <v>127</v>
      </c>
      <c r="Q3422" t="s">
        <v>127</v>
      </c>
    </row>
    <row r="3423" spans="1:17" x14ac:dyDescent="0.25">
      <c r="A3423" t="str">
        <f>IF(C3423&amp;G3423&amp;D3423&lt;&gt;'Funnel setup'!$K$3&amp;'Funnel setup'!$K$4&amp;'Funnel setup'!$K$6,".",IF(A3422=".",1,A3422+1))</f>
        <v>.</v>
      </c>
      <c r="B3423" s="244" t="str">
        <f t="shared" si="53"/>
        <v>Total Hip ReplacementSub-ICB of GP PracticeNHS MID AND SOUTH ESSEX ICB - 99G (99G)EQ VAS</v>
      </c>
      <c r="C3423" t="s">
        <v>974</v>
      </c>
      <c r="D3423" t="s">
        <v>1021</v>
      </c>
      <c r="E3423" t="s">
        <v>879</v>
      </c>
      <c r="F3423" t="s">
        <v>880</v>
      </c>
      <c r="G3423" t="s">
        <v>752</v>
      </c>
      <c r="H3423">
        <v>11</v>
      </c>
      <c r="I3423">
        <v>52.545499999999997</v>
      </c>
      <c r="J3423">
        <v>68.363600000000005</v>
      </c>
      <c r="K3423">
        <v>15.818199999999999</v>
      </c>
      <c r="L3423">
        <v>9</v>
      </c>
      <c r="M3423">
        <v>1</v>
      </c>
      <c r="N3423">
        <v>1</v>
      </c>
      <c r="O3423" t="s">
        <v>127</v>
      </c>
      <c r="P3423" t="s">
        <v>127</v>
      </c>
      <c r="Q3423" t="s">
        <v>127</v>
      </c>
    </row>
    <row r="3424" spans="1:17" x14ac:dyDescent="0.25">
      <c r="A3424" t="str">
        <f>IF(C3424&amp;G3424&amp;D3424&lt;&gt;'Funnel setup'!$K$3&amp;'Funnel setup'!$K$4&amp;'Funnel setup'!$K$6,".",IF(A3423=".",1,A3423+1))</f>
        <v>.</v>
      </c>
      <c r="B3424" s="244" t="str">
        <f t="shared" si="53"/>
        <v>Total Hip ReplacementSub-ICB of GP PracticeNHS NORFOLK AND WAVENEY ICB - 26A (26A)EQ VAS</v>
      </c>
      <c r="C3424" t="s">
        <v>974</v>
      </c>
      <c r="D3424" t="s">
        <v>1021</v>
      </c>
      <c r="E3424" t="s">
        <v>881</v>
      </c>
      <c r="F3424" t="s">
        <v>882</v>
      </c>
      <c r="G3424" t="s">
        <v>752</v>
      </c>
      <c r="H3424">
        <v>363</v>
      </c>
      <c r="I3424">
        <v>58.159799999999997</v>
      </c>
      <c r="J3424">
        <v>74.815399999999997</v>
      </c>
      <c r="K3424">
        <v>16.6556</v>
      </c>
      <c r="L3424">
        <v>256</v>
      </c>
      <c r="M3424">
        <v>23</v>
      </c>
      <c r="N3424">
        <v>84</v>
      </c>
      <c r="O3424">
        <v>76.403000000000006</v>
      </c>
      <c r="P3424">
        <v>15.5869</v>
      </c>
      <c r="Q3424">
        <v>17.441199999999998</v>
      </c>
    </row>
    <row r="3425" spans="1:17" x14ac:dyDescent="0.25">
      <c r="A3425" t="str">
        <f>IF(C3425&amp;G3425&amp;D3425&lt;&gt;'Funnel setup'!$K$3&amp;'Funnel setup'!$K$4&amp;'Funnel setup'!$K$6,".",IF(A3424=".",1,A3424+1))</f>
        <v>.</v>
      </c>
      <c r="B3425" s="244" t="str">
        <f t="shared" si="53"/>
        <v>Total Hip ReplacementSub-ICB of GP PracticeNHS NORTH CENTRAL LONDON ICB - 93C (93C)EQ VAS</v>
      </c>
      <c r="C3425" t="s">
        <v>974</v>
      </c>
      <c r="D3425" t="s">
        <v>1021</v>
      </c>
      <c r="E3425" t="s">
        <v>883</v>
      </c>
      <c r="F3425" t="s">
        <v>884</v>
      </c>
      <c r="G3425" t="s">
        <v>752</v>
      </c>
      <c r="H3425">
        <v>131</v>
      </c>
      <c r="I3425">
        <v>61.236600000000003</v>
      </c>
      <c r="J3425">
        <v>73.259500000000003</v>
      </c>
      <c r="K3425">
        <v>12.0229</v>
      </c>
      <c r="L3425">
        <v>88</v>
      </c>
      <c r="M3425">
        <v>12</v>
      </c>
      <c r="N3425">
        <v>31</v>
      </c>
      <c r="O3425">
        <v>73.430700000000002</v>
      </c>
      <c r="P3425">
        <v>12.614599999999999</v>
      </c>
      <c r="Q3425">
        <v>17.360499999999998</v>
      </c>
    </row>
    <row r="3426" spans="1:17" x14ac:dyDescent="0.25">
      <c r="A3426" t="str">
        <f>IF(C3426&amp;G3426&amp;D3426&lt;&gt;'Funnel setup'!$K$3&amp;'Funnel setup'!$K$4&amp;'Funnel setup'!$K$6,".",IF(A3425=".",1,A3425+1))</f>
        <v>.</v>
      </c>
      <c r="B3426" s="244" t="str">
        <f t="shared" si="53"/>
        <v>Total Hip ReplacementSub-ICB of GP PracticeNHS NORTH EAST AND NORTH CUMBRIA ICB - 00L (00L)EQ VAS</v>
      </c>
      <c r="C3426" t="s">
        <v>974</v>
      </c>
      <c r="D3426" t="s">
        <v>1021</v>
      </c>
      <c r="E3426" t="s">
        <v>885</v>
      </c>
      <c r="F3426" t="s">
        <v>886</v>
      </c>
      <c r="G3426" t="s">
        <v>752</v>
      </c>
      <c r="H3426">
        <v>141</v>
      </c>
      <c r="I3426">
        <v>56.666699999999999</v>
      </c>
      <c r="J3426">
        <v>73.156000000000006</v>
      </c>
      <c r="K3426">
        <v>16.4894</v>
      </c>
      <c r="L3426">
        <v>103</v>
      </c>
      <c r="M3426">
        <v>7</v>
      </c>
      <c r="N3426">
        <v>31</v>
      </c>
      <c r="O3426">
        <v>75.044499999999999</v>
      </c>
      <c r="P3426">
        <v>14.228400000000001</v>
      </c>
      <c r="Q3426">
        <v>18.154399999999999</v>
      </c>
    </row>
    <row r="3427" spans="1:17" x14ac:dyDescent="0.25">
      <c r="A3427" t="str">
        <f>IF(C3427&amp;G3427&amp;D3427&lt;&gt;'Funnel setup'!$K$3&amp;'Funnel setup'!$K$4&amp;'Funnel setup'!$K$6,".",IF(A3426=".",1,A3426+1))</f>
        <v>.</v>
      </c>
      <c r="B3427" s="244" t="str">
        <f t="shared" si="53"/>
        <v>Total Hip ReplacementSub-ICB of GP PracticeNHS NORTH EAST AND NORTH CUMBRIA ICB - 00N (00N)EQ VAS</v>
      </c>
      <c r="C3427" t="s">
        <v>974</v>
      </c>
      <c r="D3427" t="s">
        <v>1021</v>
      </c>
      <c r="E3427" t="s">
        <v>887</v>
      </c>
      <c r="F3427" t="s">
        <v>888</v>
      </c>
      <c r="G3427" t="s">
        <v>752</v>
      </c>
      <c r="H3427">
        <v>12</v>
      </c>
      <c r="I3427">
        <v>55.083300000000001</v>
      </c>
      <c r="J3427">
        <v>72.25</v>
      </c>
      <c r="K3427">
        <v>17.166699999999999</v>
      </c>
      <c r="L3427">
        <v>10</v>
      </c>
      <c r="M3427">
        <v>0</v>
      </c>
      <c r="N3427">
        <v>2</v>
      </c>
      <c r="O3427" t="s">
        <v>127</v>
      </c>
      <c r="P3427" t="s">
        <v>127</v>
      </c>
      <c r="Q3427" t="s">
        <v>127</v>
      </c>
    </row>
    <row r="3428" spans="1:17" x14ac:dyDescent="0.25">
      <c r="A3428" t="str">
        <f>IF(C3428&amp;G3428&amp;D3428&lt;&gt;'Funnel setup'!$K$3&amp;'Funnel setup'!$K$4&amp;'Funnel setup'!$K$6,".",IF(A3427=".",1,A3427+1))</f>
        <v>.</v>
      </c>
      <c r="B3428" s="244" t="str">
        <f t="shared" si="53"/>
        <v>Total Hip ReplacementSub-ICB of GP PracticeNHS NORTH EAST AND NORTH CUMBRIA ICB - 00P (00P)EQ VAS</v>
      </c>
      <c r="C3428" t="s">
        <v>974</v>
      </c>
      <c r="D3428" t="s">
        <v>1021</v>
      </c>
      <c r="E3428" t="s">
        <v>889</v>
      </c>
      <c r="F3428" t="s">
        <v>890</v>
      </c>
      <c r="G3428" t="s">
        <v>752</v>
      </c>
      <c r="H3428">
        <v>32</v>
      </c>
      <c r="I3428">
        <v>51.8125</v>
      </c>
      <c r="J3428">
        <v>66.8125</v>
      </c>
      <c r="K3428">
        <v>15</v>
      </c>
      <c r="L3428">
        <v>23</v>
      </c>
      <c r="M3428">
        <v>3</v>
      </c>
      <c r="N3428">
        <v>6</v>
      </c>
      <c r="O3428">
        <v>72.071200000000005</v>
      </c>
      <c r="P3428">
        <v>11.255100000000001</v>
      </c>
      <c r="Q3428">
        <v>16.1858</v>
      </c>
    </row>
    <row r="3429" spans="1:17" x14ac:dyDescent="0.25">
      <c r="A3429" t="str">
        <f>IF(C3429&amp;G3429&amp;D3429&lt;&gt;'Funnel setup'!$K$3&amp;'Funnel setup'!$K$4&amp;'Funnel setup'!$K$6,".",IF(A3428=".",1,A3428+1))</f>
        <v>.</v>
      </c>
      <c r="B3429" s="244" t="str">
        <f t="shared" si="53"/>
        <v>Total Hip ReplacementSub-ICB of GP PracticeNHS NORTH EAST AND NORTH CUMBRIA ICB - 01H (01H)EQ VAS</v>
      </c>
      <c r="C3429" t="s">
        <v>974</v>
      </c>
      <c r="D3429" t="s">
        <v>1021</v>
      </c>
      <c r="E3429" t="s">
        <v>891</v>
      </c>
      <c r="F3429" t="s">
        <v>892</v>
      </c>
      <c r="G3429" t="s">
        <v>752</v>
      </c>
      <c r="H3429">
        <v>171</v>
      </c>
      <c r="I3429">
        <v>60.713500000000003</v>
      </c>
      <c r="J3429">
        <v>77.462000000000003</v>
      </c>
      <c r="K3429">
        <v>16.7485</v>
      </c>
      <c r="L3429">
        <v>118</v>
      </c>
      <c r="M3429">
        <v>17</v>
      </c>
      <c r="N3429">
        <v>36</v>
      </c>
      <c r="O3429">
        <v>78.204400000000007</v>
      </c>
      <c r="P3429">
        <v>17.388300000000001</v>
      </c>
      <c r="Q3429">
        <v>15.1343</v>
      </c>
    </row>
    <row r="3430" spans="1:17" x14ac:dyDescent="0.25">
      <c r="A3430" t="str">
        <f>IF(C3430&amp;G3430&amp;D3430&lt;&gt;'Funnel setup'!$K$3&amp;'Funnel setup'!$K$4&amp;'Funnel setup'!$K$6,".",IF(A3429=".",1,A3429+1))</f>
        <v>.</v>
      </c>
      <c r="B3430" s="244" t="str">
        <f t="shared" si="53"/>
        <v>Total Hip ReplacementSub-ICB of GP PracticeNHS NORTH EAST AND NORTH CUMBRIA ICB - 13T (13T)EQ VAS</v>
      </c>
      <c r="C3430" t="s">
        <v>974</v>
      </c>
      <c r="D3430" t="s">
        <v>1021</v>
      </c>
      <c r="E3430" t="s">
        <v>893</v>
      </c>
      <c r="F3430" t="s">
        <v>894</v>
      </c>
      <c r="G3430" t="s">
        <v>752</v>
      </c>
      <c r="H3430">
        <v>104</v>
      </c>
      <c r="I3430">
        <v>53.634599999999999</v>
      </c>
      <c r="J3430">
        <v>73.826899999999995</v>
      </c>
      <c r="K3430">
        <v>20.192299999999999</v>
      </c>
      <c r="L3430">
        <v>69</v>
      </c>
      <c r="M3430">
        <v>13</v>
      </c>
      <c r="N3430">
        <v>22</v>
      </c>
      <c r="O3430">
        <v>77.055300000000003</v>
      </c>
      <c r="P3430">
        <v>16.2392</v>
      </c>
      <c r="Q3430">
        <v>17.928799999999999</v>
      </c>
    </row>
    <row r="3431" spans="1:17" x14ac:dyDescent="0.25">
      <c r="A3431" t="str">
        <f>IF(C3431&amp;G3431&amp;D3431&lt;&gt;'Funnel setup'!$K$3&amp;'Funnel setup'!$K$4&amp;'Funnel setup'!$K$6,".",IF(A3430=".",1,A3430+1))</f>
        <v>.</v>
      </c>
      <c r="B3431" s="244" t="str">
        <f t="shared" si="53"/>
        <v>Total Hip ReplacementSub-ICB of GP PracticeNHS NORTH EAST AND NORTH CUMBRIA ICB - 16C (16C)EQ VAS</v>
      </c>
      <c r="C3431" t="s">
        <v>974</v>
      </c>
      <c r="D3431" t="s">
        <v>1021</v>
      </c>
      <c r="E3431" t="s">
        <v>895</v>
      </c>
      <c r="F3431" t="s">
        <v>896</v>
      </c>
      <c r="G3431" t="s">
        <v>752</v>
      </c>
      <c r="H3431">
        <v>352</v>
      </c>
      <c r="I3431">
        <v>66.051100000000005</v>
      </c>
      <c r="J3431">
        <v>74.193200000000004</v>
      </c>
      <c r="K3431">
        <v>8.1420499999999993</v>
      </c>
      <c r="L3431">
        <v>201</v>
      </c>
      <c r="M3431">
        <v>38</v>
      </c>
      <c r="N3431">
        <v>113</v>
      </c>
      <c r="O3431">
        <v>74.499399999999994</v>
      </c>
      <c r="P3431">
        <v>13.683299999999999</v>
      </c>
      <c r="Q3431">
        <v>16.625599999999999</v>
      </c>
    </row>
    <row r="3432" spans="1:17" x14ac:dyDescent="0.25">
      <c r="A3432" t="str">
        <f>IF(C3432&amp;G3432&amp;D3432&lt;&gt;'Funnel setup'!$K$3&amp;'Funnel setup'!$K$4&amp;'Funnel setup'!$K$6,".",IF(A3431=".",1,A3431+1))</f>
        <v>.</v>
      </c>
      <c r="B3432" s="244" t="str">
        <f t="shared" si="53"/>
        <v>Total Hip ReplacementSub-ICB of GP PracticeNHS NORTH EAST AND NORTH CUMBRIA ICB - 84H (84H)EQ VAS</v>
      </c>
      <c r="C3432" t="s">
        <v>974</v>
      </c>
      <c r="D3432" t="s">
        <v>1021</v>
      </c>
      <c r="E3432" t="s">
        <v>897</v>
      </c>
      <c r="F3432" t="s">
        <v>898</v>
      </c>
      <c r="G3432" t="s">
        <v>752</v>
      </c>
      <c r="H3432">
        <v>248</v>
      </c>
      <c r="I3432">
        <v>62.201599999999999</v>
      </c>
      <c r="J3432">
        <v>73.092699999999994</v>
      </c>
      <c r="K3432">
        <v>10.8911</v>
      </c>
      <c r="L3432">
        <v>160</v>
      </c>
      <c r="M3432">
        <v>23</v>
      </c>
      <c r="N3432">
        <v>65</v>
      </c>
      <c r="O3432">
        <v>74.274500000000003</v>
      </c>
      <c r="P3432">
        <v>13.458399999999999</v>
      </c>
      <c r="Q3432">
        <v>17.347300000000001</v>
      </c>
    </row>
    <row r="3433" spans="1:17" x14ac:dyDescent="0.25">
      <c r="A3433" t="str">
        <f>IF(C3433&amp;G3433&amp;D3433&lt;&gt;'Funnel setup'!$K$3&amp;'Funnel setup'!$K$4&amp;'Funnel setup'!$K$6,".",IF(A3432=".",1,A3432+1))</f>
        <v>.</v>
      </c>
      <c r="B3433" s="244" t="str">
        <f t="shared" si="53"/>
        <v>Total Hip ReplacementSub-ICB of GP PracticeNHS NORTH EAST AND NORTH CUMBRIA ICB - 99C (99C)EQ VAS</v>
      </c>
      <c r="C3433" t="s">
        <v>974</v>
      </c>
      <c r="D3433" t="s">
        <v>1021</v>
      </c>
      <c r="E3433" t="s">
        <v>899</v>
      </c>
      <c r="F3433" t="s">
        <v>900</v>
      </c>
      <c r="G3433" t="s">
        <v>752</v>
      </c>
      <c r="H3433">
        <v>74</v>
      </c>
      <c r="I3433">
        <v>60.972999999999999</v>
      </c>
      <c r="J3433">
        <v>79.1892</v>
      </c>
      <c r="K3433">
        <v>18.216200000000001</v>
      </c>
      <c r="L3433">
        <v>58</v>
      </c>
      <c r="M3433">
        <v>10</v>
      </c>
      <c r="N3433">
        <v>6</v>
      </c>
      <c r="O3433">
        <v>79.419399999999996</v>
      </c>
      <c r="P3433">
        <v>18.603300000000001</v>
      </c>
      <c r="Q3433">
        <v>16.314800000000002</v>
      </c>
    </row>
    <row r="3434" spans="1:17" x14ac:dyDescent="0.25">
      <c r="A3434" t="str">
        <f>IF(C3434&amp;G3434&amp;D3434&lt;&gt;'Funnel setup'!$K$3&amp;'Funnel setup'!$K$4&amp;'Funnel setup'!$K$6,".",IF(A3433=".",1,A3433+1))</f>
        <v>.</v>
      </c>
      <c r="B3434" s="244" t="str">
        <f t="shared" si="53"/>
        <v>Total Hip ReplacementSub-ICB of GP PracticeNHS NORTH EAST LONDON ICB - A3A8R (A3A8R)EQ VAS</v>
      </c>
      <c r="C3434" t="s">
        <v>974</v>
      </c>
      <c r="D3434" t="s">
        <v>1021</v>
      </c>
      <c r="E3434" t="s">
        <v>901</v>
      </c>
      <c r="F3434" t="s">
        <v>902</v>
      </c>
      <c r="G3434" t="s">
        <v>752</v>
      </c>
      <c r="H3434">
        <v>155</v>
      </c>
      <c r="I3434">
        <v>61.1419</v>
      </c>
      <c r="J3434">
        <v>73.9161</v>
      </c>
      <c r="K3434">
        <v>12.7742</v>
      </c>
      <c r="L3434">
        <v>98</v>
      </c>
      <c r="M3434">
        <v>19</v>
      </c>
      <c r="N3434">
        <v>38</v>
      </c>
      <c r="O3434">
        <v>74.910600000000002</v>
      </c>
      <c r="P3434">
        <v>14.0945</v>
      </c>
      <c r="Q3434">
        <v>18.258600000000001</v>
      </c>
    </row>
    <row r="3435" spans="1:17" x14ac:dyDescent="0.25">
      <c r="A3435" t="str">
        <f>IF(C3435&amp;G3435&amp;D3435&lt;&gt;'Funnel setup'!$K$3&amp;'Funnel setup'!$K$4&amp;'Funnel setup'!$K$6,".",IF(A3434=".",1,A3434+1))</f>
        <v>.</v>
      </c>
      <c r="B3435" s="244" t="str">
        <f t="shared" si="53"/>
        <v>Total Hip ReplacementSub-ICB of GP PracticeNHS NORTH WEST LONDON ICB - W2U3Z (W2U3Z)EQ VAS</v>
      </c>
      <c r="C3435" t="s">
        <v>974</v>
      </c>
      <c r="D3435" t="s">
        <v>1021</v>
      </c>
      <c r="E3435" t="s">
        <v>903</v>
      </c>
      <c r="F3435" t="s">
        <v>904</v>
      </c>
      <c r="G3435" t="s">
        <v>752</v>
      </c>
      <c r="H3435">
        <v>146</v>
      </c>
      <c r="I3435">
        <v>63.0959</v>
      </c>
      <c r="J3435">
        <v>72.164400000000001</v>
      </c>
      <c r="K3435">
        <v>9.0684900000000006</v>
      </c>
      <c r="L3435">
        <v>93</v>
      </c>
      <c r="M3435">
        <v>16</v>
      </c>
      <c r="N3435">
        <v>37</v>
      </c>
      <c r="O3435">
        <v>71.544700000000006</v>
      </c>
      <c r="P3435">
        <v>10.7286</v>
      </c>
      <c r="Q3435">
        <v>18.21</v>
      </c>
    </row>
    <row r="3436" spans="1:17" x14ac:dyDescent="0.25">
      <c r="A3436" t="str">
        <f>IF(C3436&amp;G3436&amp;D3436&lt;&gt;'Funnel setup'!$K$3&amp;'Funnel setup'!$K$4&amp;'Funnel setup'!$K$6,".",IF(A3435=".",1,A3435+1))</f>
        <v>.</v>
      </c>
      <c r="B3436" s="244" t="str">
        <f t="shared" si="53"/>
        <v>Total Hip ReplacementSub-ICB of GP PracticeNHS NORTHAMPTONSHIRE ICB - 78H (78H)EQ VAS</v>
      </c>
      <c r="C3436" t="s">
        <v>974</v>
      </c>
      <c r="D3436" t="s">
        <v>1021</v>
      </c>
      <c r="E3436" t="s">
        <v>905</v>
      </c>
      <c r="F3436" t="s">
        <v>906</v>
      </c>
      <c r="G3436" t="s">
        <v>752</v>
      </c>
      <c r="H3436">
        <v>235</v>
      </c>
      <c r="I3436">
        <v>56.5702</v>
      </c>
      <c r="J3436">
        <v>75.153199999999998</v>
      </c>
      <c r="K3436">
        <v>18.582999999999998</v>
      </c>
      <c r="L3436">
        <v>172</v>
      </c>
      <c r="M3436">
        <v>18</v>
      </c>
      <c r="N3436">
        <v>45</v>
      </c>
      <c r="O3436">
        <v>76.127200000000002</v>
      </c>
      <c r="P3436">
        <v>15.311</v>
      </c>
      <c r="Q3436">
        <v>16.055199999999999</v>
      </c>
    </row>
    <row r="3437" spans="1:17" x14ac:dyDescent="0.25">
      <c r="A3437" t="str">
        <f>IF(C3437&amp;G3437&amp;D3437&lt;&gt;'Funnel setup'!$K$3&amp;'Funnel setup'!$K$4&amp;'Funnel setup'!$K$6,".",IF(A3436=".",1,A3436+1))</f>
        <v>.</v>
      </c>
      <c r="B3437" s="244" t="str">
        <f t="shared" si="53"/>
        <v>Total Hip ReplacementSub-ICB of GP PracticeNHS NOTTINGHAM AND NOTTINGHAMSHIRE ICB - 02Q (02Q)EQ VAS</v>
      </c>
      <c r="C3437" t="s">
        <v>974</v>
      </c>
      <c r="D3437" t="s">
        <v>1021</v>
      </c>
      <c r="E3437" t="s">
        <v>907</v>
      </c>
      <c r="F3437" t="s">
        <v>908</v>
      </c>
      <c r="G3437" t="s">
        <v>752</v>
      </c>
      <c r="H3437">
        <v>49</v>
      </c>
      <c r="I3437">
        <v>53.898000000000003</v>
      </c>
      <c r="J3437">
        <v>73.612200000000001</v>
      </c>
      <c r="K3437">
        <v>19.714300000000001</v>
      </c>
      <c r="L3437">
        <v>37</v>
      </c>
      <c r="M3437">
        <v>2</v>
      </c>
      <c r="N3437">
        <v>10</v>
      </c>
      <c r="O3437">
        <v>77.030699999999996</v>
      </c>
      <c r="P3437">
        <v>16.214600000000001</v>
      </c>
      <c r="Q3437">
        <v>13.652900000000001</v>
      </c>
    </row>
    <row r="3438" spans="1:17" x14ac:dyDescent="0.25">
      <c r="A3438" t="str">
        <f>IF(C3438&amp;G3438&amp;D3438&lt;&gt;'Funnel setup'!$K$3&amp;'Funnel setup'!$K$4&amp;'Funnel setup'!$K$6,".",IF(A3437=".",1,A3437+1))</f>
        <v>.</v>
      </c>
      <c r="B3438" s="244" t="str">
        <f t="shared" si="53"/>
        <v>Total Hip ReplacementSub-ICB of GP PracticeNHS NOTTINGHAM AND NOTTINGHAMSHIRE ICB - 52R (52R)EQ VAS</v>
      </c>
      <c r="C3438" t="s">
        <v>974</v>
      </c>
      <c r="D3438" t="s">
        <v>1021</v>
      </c>
      <c r="E3438" t="s">
        <v>909</v>
      </c>
      <c r="F3438" t="s">
        <v>910</v>
      </c>
      <c r="G3438" t="s">
        <v>752</v>
      </c>
      <c r="H3438">
        <v>133</v>
      </c>
      <c r="I3438">
        <v>54.827100000000002</v>
      </c>
      <c r="J3438">
        <v>73.8797</v>
      </c>
      <c r="K3438">
        <v>19.052600000000002</v>
      </c>
      <c r="L3438">
        <v>99</v>
      </c>
      <c r="M3438">
        <v>11</v>
      </c>
      <c r="N3438">
        <v>23</v>
      </c>
      <c r="O3438">
        <v>74.778400000000005</v>
      </c>
      <c r="P3438">
        <v>13.962300000000001</v>
      </c>
      <c r="Q3438">
        <v>16.8066</v>
      </c>
    </row>
    <row r="3439" spans="1:17" x14ac:dyDescent="0.25">
      <c r="A3439" t="str">
        <f>IF(C3439&amp;G3439&amp;D3439&lt;&gt;'Funnel setup'!$K$3&amp;'Funnel setup'!$K$4&amp;'Funnel setup'!$K$6,".",IF(A3438=".",1,A3438+1))</f>
        <v>.</v>
      </c>
      <c r="B3439" s="244" t="str">
        <f t="shared" si="53"/>
        <v>Total Hip ReplacementSub-ICB of GP PracticeNHS SHROPSHIRE, TELFORD AND WREKIN ICB - M2L0M (M2L0M)EQ VAS</v>
      </c>
      <c r="C3439" t="s">
        <v>974</v>
      </c>
      <c r="D3439" t="s">
        <v>1021</v>
      </c>
      <c r="E3439" t="s">
        <v>911</v>
      </c>
      <c r="F3439" t="s">
        <v>912</v>
      </c>
      <c r="G3439" t="s">
        <v>752</v>
      </c>
      <c r="H3439">
        <v>259</v>
      </c>
      <c r="I3439">
        <v>53.498100000000001</v>
      </c>
      <c r="J3439">
        <v>76.853300000000004</v>
      </c>
      <c r="K3439">
        <v>23.3552</v>
      </c>
      <c r="L3439">
        <v>198</v>
      </c>
      <c r="M3439">
        <v>19</v>
      </c>
      <c r="N3439">
        <v>42</v>
      </c>
      <c r="O3439">
        <v>79.193899999999999</v>
      </c>
      <c r="P3439">
        <v>18.377800000000001</v>
      </c>
      <c r="Q3439">
        <v>15.3711</v>
      </c>
    </row>
    <row r="3440" spans="1:17" x14ac:dyDescent="0.25">
      <c r="A3440" t="str">
        <f>IF(C3440&amp;G3440&amp;D3440&lt;&gt;'Funnel setup'!$K$3&amp;'Funnel setup'!$K$4&amp;'Funnel setup'!$K$6,".",IF(A3439=".",1,A3439+1))</f>
        <v>.</v>
      </c>
      <c r="B3440" s="244" t="str">
        <f t="shared" si="53"/>
        <v>Total Hip ReplacementSub-ICB of GP PracticeNHS SOMERSET ICB - 11X (11X)EQ VAS</v>
      </c>
      <c r="C3440" t="s">
        <v>974</v>
      </c>
      <c r="D3440" t="s">
        <v>1021</v>
      </c>
      <c r="E3440" t="s">
        <v>913</v>
      </c>
      <c r="F3440" t="s">
        <v>914</v>
      </c>
      <c r="G3440" t="s">
        <v>752</v>
      </c>
      <c r="H3440">
        <v>234</v>
      </c>
      <c r="I3440">
        <v>63.166699999999999</v>
      </c>
      <c r="J3440">
        <v>79.688000000000002</v>
      </c>
      <c r="K3440">
        <v>16.5214</v>
      </c>
      <c r="L3440">
        <v>169</v>
      </c>
      <c r="M3440">
        <v>24</v>
      </c>
      <c r="N3440">
        <v>41</v>
      </c>
      <c r="O3440">
        <v>77.195999999999998</v>
      </c>
      <c r="P3440">
        <v>16.379799999999999</v>
      </c>
      <c r="Q3440">
        <v>14.9818</v>
      </c>
    </row>
    <row r="3441" spans="1:17" x14ac:dyDescent="0.25">
      <c r="A3441" t="str">
        <f>IF(C3441&amp;G3441&amp;D3441&lt;&gt;'Funnel setup'!$K$3&amp;'Funnel setup'!$K$4&amp;'Funnel setup'!$K$6,".",IF(A3440=".",1,A3440+1))</f>
        <v>.</v>
      </c>
      <c r="B3441" s="244" t="str">
        <f t="shared" si="53"/>
        <v>Total Hip ReplacementSub-ICB of GP PracticeNHS SOUTH EAST LONDON ICB - 72Q (72Q)EQ VAS</v>
      </c>
      <c r="C3441" t="s">
        <v>974</v>
      </c>
      <c r="D3441" t="s">
        <v>1021</v>
      </c>
      <c r="E3441" t="s">
        <v>915</v>
      </c>
      <c r="F3441" t="s">
        <v>916</v>
      </c>
      <c r="G3441" t="s">
        <v>752</v>
      </c>
      <c r="H3441">
        <v>136</v>
      </c>
      <c r="I3441">
        <v>55.316200000000002</v>
      </c>
      <c r="J3441">
        <v>71.9191</v>
      </c>
      <c r="K3441">
        <v>16.602900000000002</v>
      </c>
      <c r="L3441">
        <v>101</v>
      </c>
      <c r="M3441">
        <v>10</v>
      </c>
      <c r="N3441">
        <v>25</v>
      </c>
      <c r="O3441">
        <v>72.369600000000005</v>
      </c>
      <c r="P3441">
        <v>11.5535</v>
      </c>
      <c r="Q3441">
        <v>15.263299999999999</v>
      </c>
    </row>
    <row r="3442" spans="1:17" x14ac:dyDescent="0.25">
      <c r="A3442" t="str">
        <f>IF(C3442&amp;G3442&amp;D3442&lt;&gt;'Funnel setup'!$K$3&amp;'Funnel setup'!$K$4&amp;'Funnel setup'!$K$6,".",IF(A3441=".",1,A3441+1))</f>
        <v>.</v>
      </c>
      <c r="B3442" s="244" t="str">
        <f t="shared" si="53"/>
        <v>Total Hip ReplacementSub-ICB of GP PracticeNHS SOUTH WEST LONDON ICB - 36L (36L)EQ VAS</v>
      </c>
      <c r="C3442" t="s">
        <v>974</v>
      </c>
      <c r="D3442" t="s">
        <v>1021</v>
      </c>
      <c r="E3442" t="s">
        <v>917</v>
      </c>
      <c r="F3442" t="s">
        <v>918</v>
      </c>
      <c r="G3442" t="s">
        <v>752</v>
      </c>
      <c r="H3442">
        <v>377</v>
      </c>
      <c r="I3442">
        <v>60.612699999999997</v>
      </c>
      <c r="J3442">
        <v>75.313000000000002</v>
      </c>
      <c r="K3442">
        <v>14.7003</v>
      </c>
      <c r="L3442">
        <v>271</v>
      </c>
      <c r="M3442">
        <v>41</v>
      </c>
      <c r="N3442">
        <v>65</v>
      </c>
      <c r="O3442">
        <v>75.709400000000002</v>
      </c>
      <c r="P3442">
        <v>14.8933</v>
      </c>
      <c r="Q3442">
        <v>17.178699999999999</v>
      </c>
    </row>
    <row r="3443" spans="1:17" x14ac:dyDescent="0.25">
      <c r="A3443" t="str">
        <f>IF(C3443&amp;G3443&amp;D3443&lt;&gt;'Funnel setup'!$K$3&amp;'Funnel setup'!$K$4&amp;'Funnel setup'!$K$6,".",IF(A3442=".",1,A3442+1))</f>
        <v>.</v>
      </c>
      <c r="B3443" s="244" t="str">
        <f t="shared" si="53"/>
        <v>Total Hip ReplacementSub-ICB of GP PracticeNHS SOUTH YORKSHIRE ICB - 02P (02P)EQ VAS</v>
      </c>
      <c r="C3443" t="s">
        <v>974</v>
      </c>
      <c r="D3443" t="s">
        <v>1021</v>
      </c>
      <c r="E3443" t="s">
        <v>919</v>
      </c>
      <c r="F3443" t="s">
        <v>920</v>
      </c>
      <c r="G3443" t="s">
        <v>752</v>
      </c>
      <c r="H3443">
        <v>43</v>
      </c>
      <c r="I3443">
        <v>53.7209</v>
      </c>
      <c r="J3443">
        <v>71.883700000000005</v>
      </c>
      <c r="K3443">
        <v>18.162800000000001</v>
      </c>
      <c r="L3443">
        <v>29</v>
      </c>
      <c r="M3443">
        <v>3</v>
      </c>
      <c r="N3443">
        <v>11</v>
      </c>
      <c r="O3443">
        <v>76.627600000000001</v>
      </c>
      <c r="P3443">
        <v>15.811500000000001</v>
      </c>
      <c r="Q3443">
        <v>15.9033</v>
      </c>
    </row>
    <row r="3444" spans="1:17" x14ac:dyDescent="0.25">
      <c r="A3444" t="str">
        <f>IF(C3444&amp;G3444&amp;D3444&lt;&gt;'Funnel setup'!$K$3&amp;'Funnel setup'!$K$4&amp;'Funnel setup'!$K$6,".",IF(A3443=".",1,A3443+1))</f>
        <v>.</v>
      </c>
      <c r="B3444" s="244" t="str">
        <f t="shared" si="53"/>
        <v>Total Hip ReplacementSub-ICB of GP PracticeNHS SOUTH YORKSHIRE ICB - 02X (02X)EQ VAS</v>
      </c>
      <c r="C3444" t="s">
        <v>974</v>
      </c>
      <c r="D3444" t="s">
        <v>1021</v>
      </c>
      <c r="E3444" t="s">
        <v>921</v>
      </c>
      <c r="F3444" t="s">
        <v>922</v>
      </c>
      <c r="G3444" t="s">
        <v>752</v>
      </c>
      <c r="H3444">
        <v>80</v>
      </c>
      <c r="I3444">
        <v>58.3</v>
      </c>
      <c r="J3444">
        <v>73.650000000000006</v>
      </c>
      <c r="K3444">
        <v>15.35</v>
      </c>
      <c r="L3444">
        <v>58</v>
      </c>
      <c r="M3444">
        <v>5</v>
      </c>
      <c r="N3444">
        <v>17</v>
      </c>
      <c r="O3444">
        <v>73.797600000000003</v>
      </c>
      <c r="P3444">
        <v>12.9815</v>
      </c>
      <c r="Q3444">
        <v>18.861000000000001</v>
      </c>
    </row>
    <row r="3445" spans="1:17" x14ac:dyDescent="0.25">
      <c r="A3445" t="str">
        <f>IF(C3445&amp;G3445&amp;D3445&lt;&gt;'Funnel setup'!$K$3&amp;'Funnel setup'!$K$4&amp;'Funnel setup'!$K$6,".",IF(A3444=".",1,A3444+1))</f>
        <v>.</v>
      </c>
      <c r="B3445" s="244" t="str">
        <f t="shared" si="53"/>
        <v>Total Hip ReplacementSub-ICB of GP PracticeNHS SOUTH YORKSHIRE ICB - 03L (03L)EQ VAS</v>
      </c>
      <c r="C3445" t="s">
        <v>974</v>
      </c>
      <c r="D3445" t="s">
        <v>1021</v>
      </c>
      <c r="E3445" t="s">
        <v>923</v>
      </c>
      <c r="F3445" t="s">
        <v>924</v>
      </c>
      <c r="G3445" t="s">
        <v>752</v>
      </c>
      <c r="H3445">
        <v>37</v>
      </c>
      <c r="I3445">
        <v>62.135100000000001</v>
      </c>
      <c r="J3445">
        <v>69.567599999999999</v>
      </c>
      <c r="K3445">
        <v>7.4324300000000001</v>
      </c>
      <c r="L3445">
        <v>19</v>
      </c>
      <c r="M3445">
        <v>3</v>
      </c>
      <c r="N3445">
        <v>15</v>
      </c>
      <c r="O3445">
        <v>70.418899999999994</v>
      </c>
      <c r="P3445">
        <v>9.6028300000000009</v>
      </c>
      <c r="Q3445">
        <v>20.095700000000001</v>
      </c>
    </row>
    <row r="3446" spans="1:17" x14ac:dyDescent="0.25">
      <c r="A3446" t="str">
        <f>IF(C3446&amp;G3446&amp;D3446&lt;&gt;'Funnel setup'!$K$3&amp;'Funnel setup'!$K$4&amp;'Funnel setup'!$K$6,".",IF(A3445=".",1,A3445+1))</f>
        <v>.</v>
      </c>
      <c r="B3446" s="244" t="str">
        <f t="shared" si="53"/>
        <v>Total Hip ReplacementSub-ICB of GP PracticeNHS SOUTH YORKSHIRE ICB - 03N (03N)EQ VAS</v>
      </c>
      <c r="C3446" t="s">
        <v>974</v>
      </c>
      <c r="D3446" t="s">
        <v>1021</v>
      </c>
      <c r="E3446" t="s">
        <v>925</v>
      </c>
      <c r="F3446" t="s">
        <v>926</v>
      </c>
      <c r="G3446" t="s">
        <v>752</v>
      </c>
      <c r="H3446">
        <v>32</v>
      </c>
      <c r="I3446">
        <v>60.625</v>
      </c>
      <c r="J3446">
        <v>76.625</v>
      </c>
      <c r="K3446">
        <v>16</v>
      </c>
      <c r="L3446">
        <v>25</v>
      </c>
      <c r="M3446">
        <v>1</v>
      </c>
      <c r="N3446">
        <v>6</v>
      </c>
      <c r="O3446">
        <v>76.2119</v>
      </c>
      <c r="P3446">
        <v>15.395799999999999</v>
      </c>
      <c r="Q3446">
        <v>15.5359</v>
      </c>
    </row>
    <row r="3447" spans="1:17" x14ac:dyDescent="0.25">
      <c r="A3447" t="str">
        <f>IF(C3447&amp;G3447&amp;D3447&lt;&gt;'Funnel setup'!$K$3&amp;'Funnel setup'!$K$4&amp;'Funnel setup'!$K$6,".",IF(A3446=".",1,A3446+1))</f>
        <v>.</v>
      </c>
      <c r="B3447" s="244" t="str">
        <f t="shared" si="53"/>
        <v>Total Hip ReplacementSub-ICB of GP PracticeNHS STAFFORDSHIRE AND STOKE-ON-TRENT ICB - 04Y (04Y)EQ VAS</v>
      </c>
      <c r="C3447" t="s">
        <v>974</v>
      </c>
      <c r="D3447" t="s">
        <v>1021</v>
      </c>
      <c r="E3447" t="s">
        <v>927</v>
      </c>
      <c r="F3447" t="s">
        <v>928</v>
      </c>
      <c r="G3447" t="s">
        <v>752</v>
      </c>
      <c r="H3447">
        <v>32</v>
      </c>
      <c r="I3447">
        <v>60.968800000000002</v>
      </c>
      <c r="J3447">
        <v>79.468800000000002</v>
      </c>
      <c r="K3447">
        <v>18.5</v>
      </c>
      <c r="L3447">
        <v>21</v>
      </c>
      <c r="M3447">
        <v>2</v>
      </c>
      <c r="N3447">
        <v>9</v>
      </c>
      <c r="O3447">
        <v>78.134200000000007</v>
      </c>
      <c r="P3447">
        <v>17.318100000000001</v>
      </c>
      <c r="Q3447">
        <v>16.137499999999999</v>
      </c>
    </row>
    <row r="3448" spans="1:17" x14ac:dyDescent="0.25">
      <c r="A3448" t="str">
        <f>IF(C3448&amp;G3448&amp;D3448&lt;&gt;'Funnel setup'!$K$3&amp;'Funnel setup'!$K$4&amp;'Funnel setup'!$K$6,".",IF(A3447=".",1,A3447+1))</f>
        <v>.</v>
      </c>
      <c r="B3448" s="244" t="str">
        <f t="shared" si="53"/>
        <v>Total Hip ReplacementSub-ICB of GP PracticeNHS STAFFORDSHIRE AND STOKE-ON-TRENT ICB - 05D (05D)EQ VAS</v>
      </c>
      <c r="C3448" t="s">
        <v>974</v>
      </c>
      <c r="D3448" t="s">
        <v>1021</v>
      </c>
      <c r="E3448" t="s">
        <v>929</v>
      </c>
      <c r="F3448" t="s">
        <v>930</v>
      </c>
      <c r="G3448" t="s">
        <v>752</v>
      </c>
      <c r="H3448">
        <v>49</v>
      </c>
      <c r="I3448">
        <v>56.5</v>
      </c>
      <c r="J3448">
        <v>75.86</v>
      </c>
      <c r="K3448">
        <v>19.36</v>
      </c>
      <c r="L3448">
        <v>37</v>
      </c>
      <c r="M3448">
        <v>6</v>
      </c>
      <c r="N3448">
        <v>6</v>
      </c>
      <c r="O3448">
        <v>77.631799999999998</v>
      </c>
      <c r="P3448">
        <v>16.8157</v>
      </c>
      <c r="Q3448">
        <v>18.189399999999999</v>
      </c>
    </row>
    <row r="3449" spans="1:17" x14ac:dyDescent="0.25">
      <c r="A3449" t="str">
        <f>IF(C3449&amp;G3449&amp;D3449&lt;&gt;'Funnel setup'!$K$3&amp;'Funnel setup'!$K$4&amp;'Funnel setup'!$K$6,".",IF(A3448=".",1,A3448+1))</f>
        <v>.</v>
      </c>
      <c r="B3449" s="244" t="str">
        <f t="shared" si="53"/>
        <v>Total Hip ReplacementSub-ICB of GP PracticeNHS STAFFORDSHIRE AND STOKE-ON-TRENT ICB - 05G (05G)EQ VAS</v>
      </c>
      <c r="C3449" t="s">
        <v>974</v>
      </c>
      <c r="D3449" t="s">
        <v>1021</v>
      </c>
      <c r="E3449" t="s">
        <v>931</v>
      </c>
      <c r="F3449" t="s">
        <v>932</v>
      </c>
      <c r="G3449" t="s">
        <v>752</v>
      </c>
      <c r="H3449">
        <v>38</v>
      </c>
      <c r="I3449">
        <v>60.263199999999998</v>
      </c>
      <c r="J3449">
        <v>75.684200000000004</v>
      </c>
      <c r="K3449">
        <v>15.421099999999999</v>
      </c>
      <c r="L3449">
        <v>26</v>
      </c>
      <c r="M3449">
        <v>5</v>
      </c>
      <c r="N3449">
        <v>7</v>
      </c>
      <c r="O3449">
        <v>74.841999999999999</v>
      </c>
      <c r="P3449">
        <v>14.0259</v>
      </c>
      <c r="Q3449">
        <v>18.9831</v>
      </c>
    </row>
    <row r="3450" spans="1:17" x14ac:dyDescent="0.25">
      <c r="A3450" t="str">
        <f>IF(C3450&amp;G3450&amp;D3450&lt;&gt;'Funnel setup'!$K$3&amp;'Funnel setup'!$K$4&amp;'Funnel setup'!$K$6,".",IF(A3449=".",1,A3449+1))</f>
        <v>.</v>
      </c>
      <c r="B3450" s="244" t="str">
        <f t="shared" si="53"/>
        <v>Total Hip ReplacementSub-ICB of GP PracticeNHS STAFFORDSHIRE AND STOKE-ON-TRENT ICB - 05Q (05Q)EQ VAS</v>
      </c>
      <c r="C3450" t="s">
        <v>974</v>
      </c>
      <c r="D3450" t="s">
        <v>1021</v>
      </c>
      <c r="E3450" t="s">
        <v>933</v>
      </c>
      <c r="F3450" t="s">
        <v>934</v>
      </c>
      <c r="G3450" t="s">
        <v>752</v>
      </c>
      <c r="H3450">
        <v>68</v>
      </c>
      <c r="I3450">
        <v>61.808799999999998</v>
      </c>
      <c r="J3450">
        <v>70.264700000000005</v>
      </c>
      <c r="K3450">
        <v>8.4558800000000005</v>
      </c>
      <c r="L3450">
        <v>40</v>
      </c>
      <c r="M3450">
        <v>8</v>
      </c>
      <c r="N3450">
        <v>20</v>
      </c>
      <c r="O3450">
        <v>70.113699999999994</v>
      </c>
      <c r="P3450">
        <v>9.2975600000000007</v>
      </c>
      <c r="Q3450">
        <v>16.7346</v>
      </c>
    </row>
    <row r="3451" spans="1:17" x14ac:dyDescent="0.25">
      <c r="A3451" t="str">
        <f>IF(C3451&amp;G3451&amp;D3451&lt;&gt;'Funnel setup'!$K$3&amp;'Funnel setup'!$K$4&amp;'Funnel setup'!$K$6,".",IF(A3450=".",1,A3450+1))</f>
        <v>.</v>
      </c>
      <c r="B3451" s="244" t="str">
        <f t="shared" si="53"/>
        <v>Total Hip ReplacementSub-ICB of GP PracticeNHS STAFFORDSHIRE AND STOKE-ON-TRENT ICB - 05V (05V)EQ VAS</v>
      </c>
      <c r="C3451" t="s">
        <v>974</v>
      </c>
      <c r="D3451" t="s">
        <v>1021</v>
      </c>
      <c r="E3451" t="s">
        <v>935</v>
      </c>
      <c r="F3451" t="s">
        <v>936</v>
      </c>
      <c r="G3451" t="s">
        <v>752</v>
      </c>
      <c r="H3451">
        <v>54</v>
      </c>
      <c r="I3451">
        <v>65.388900000000007</v>
      </c>
      <c r="J3451">
        <v>79.518500000000003</v>
      </c>
      <c r="K3451">
        <v>14.1296</v>
      </c>
      <c r="L3451">
        <v>39</v>
      </c>
      <c r="M3451">
        <v>6</v>
      </c>
      <c r="N3451">
        <v>9</v>
      </c>
      <c r="O3451">
        <v>77.292000000000002</v>
      </c>
      <c r="P3451">
        <v>16.4758</v>
      </c>
      <c r="Q3451">
        <v>11.437900000000001</v>
      </c>
    </row>
    <row r="3452" spans="1:17" x14ac:dyDescent="0.25">
      <c r="A3452" t="str">
        <f>IF(C3452&amp;G3452&amp;D3452&lt;&gt;'Funnel setup'!$K$3&amp;'Funnel setup'!$K$4&amp;'Funnel setup'!$K$6,".",IF(A3451=".",1,A3451+1))</f>
        <v>.</v>
      </c>
      <c r="B3452" s="244" t="str">
        <f t="shared" si="53"/>
        <v>Total Hip ReplacementSub-ICB of GP PracticeNHS STAFFORDSHIRE AND STOKE-ON-TRENT ICB - 05W (05W)EQ VAS</v>
      </c>
      <c r="C3452" t="s">
        <v>974</v>
      </c>
      <c r="D3452" t="s">
        <v>1021</v>
      </c>
      <c r="E3452" t="s">
        <v>937</v>
      </c>
      <c r="F3452" t="s">
        <v>938</v>
      </c>
      <c r="G3452" t="s">
        <v>752</v>
      </c>
      <c r="H3452">
        <v>33</v>
      </c>
      <c r="I3452">
        <v>59.121200000000002</v>
      </c>
      <c r="J3452">
        <v>74.787899999999993</v>
      </c>
      <c r="K3452">
        <v>15.666700000000001</v>
      </c>
      <c r="L3452">
        <v>24</v>
      </c>
      <c r="M3452">
        <v>3</v>
      </c>
      <c r="N3452">
        <v>6</v>
      </c>
      <c r="O3452">
        <v>77.443600000000004</v>
      </c>
      <c r="P3452">
        <v>16.627500000000001</v>
      </c>
      <c r="Q3452">
        <v>16.953800000000001</v>
      </c>
    </row>
    <row r="3453" spans="1:17" x14ac:dyDescent="0.25">
      <c r="A3453" t="str">
        <f>IF(C3453&amp;G3453&amp;D3453&lt;&gt;'Funnel setup'!$K$3&amp;'Funnel setup'!$K$4&amp;'Funnel setup'!$K$6,".",IF(A3452=".",1,A3452+1))</f>
        <v>.</v>
      </c>
      <c r="B3453" s="244" t="str">
        <f t="shared" si="53"/>
        <v>Total Hip ReplacementSub-ICB of GP PracticeNHS SUFFOLK AND NORTH EAST ESSEX ICB - 06L (06L)EQ VAS</v>
      </c>
      <c r="C3453" t="s">
        <v>974</v>
      </c>
      <c r="D3453" t="s">
        <v>1021</v>
      </c>
      <c r="E3453" t="s">
        <v>939</v>
      </c>
      <c r="F3453" t="s">
        <v>940</v>
      </c>
      <c r="G3453" t="s">
        <v>752</v>
      </c>
      <c r="H3453">
        <v>138</v>
      </c>
      <c r="I3453">
        <v>54.420299999999997</v>
      </c>
      <c r="J3453">
        <v>74.528999999999996</v>
      </c>
      <c r="K3453">
        <v>20.108699999999999</v>
      </c>
      <c r="L3453">
        <v>104</v>
      </c>
      <c r="M3453">
        <v>12</v>
      </c>
      <c r="N3453">
        <v>22</v>
      </c>
      <c r="O3453">
        <v>76.172499999999999</v>
      </c>
      <c r="P3453">
        <v>15.356299999999999</v>
      </c>
      <c r="Q3453">
        <v>17.052900000000001</v>
      </c>
    </row>
    <row r="3454" spans="1:17" x14ac:dyDescent="0.25">
      <c r="A3454" t="str">
        <f>IF(C3454&amp;G3454&amp;D3454&lt;&gt;'Funnel setup'!$K$3&amp;'Funnel setup'!$K$4&amp;'Funnel setup'!$K$6,".",IF(A3453=".",1,A3453+1))</f>
        <v>.</v>
      </c>
      <c r="B3454" s="244" t="str">
        <f t="shared" si="53"/>
        <v>Total Hip ReplacementSub-ICB of GP PracticeNHS SUFFOLK AND NORTH EAST ESSEX ICB - 06T (06T)EQ VAS</v>
      </c>
      <c r="C3454" t="s">
        <v>974</v>
      </c>
      <c r="D3454" t="s">
        <v>1021</v>
      </c>
      <c r="E3454" t="s">
        <v>941</v>
      </c>
      <c r="F3454" t="s">
        <v>942</v>
      </c>
      <c r="G3454" t="s">
        <v>752</v>
      </c>
      <c r="H3454">
        <v>28</v>
      </c>
      <c r="I3454">
        <v>67.857100000000003</v>
      </c>
      <c r="J3454">
        <v>79.142899999999997</v>
      </c>
      <c r="K3454">
        <v>11.2857</v>
      </c>
      <c r="L3454">
        <v>18</v>
      </c>
      <c r="M3454">
        <v>6</v>
      </c>
      <c r="N3454">
        <v>4</v>
      </c>
      <c r="O3454" t="s">
        <v>127</v>
      </c>
      <c r="P3454" t="s">
        <v>127</v>
      </c>
      <c r="Q3454" t="s">
        <v>127</v>
      </c>
    </row>
    <row r="3455" spans="1:17" x14ac:dyDescent="0.25">
      <c r="A3455" t="str">
        <f>IF(C3455&amp;G3455&amp;D3455&lt;&gt;'Funnel setup'!$K$3&amp;'Funnel setup'!$K$4&amp;'Funnel setup'!$K$6,".",IF(A3454=".",1,A3454+1))</f>
        <v>.</v>
      </c>
      <c r="B3455" s="244" t="str">
        <f t="shared" si="53"/>
        <v>Total Hip ReplacementSub-ICB of GP PracticeNHS SUFFOLK AND NORTH EAST ESSEX ICB - 07K (07K)EQ VAS</v>
      </c>
      <c r="C3455" t="s">
        <v>974</v>
      </c>
      <c r="D3455" t="s">
        <v>1021</v>
      </c>
      <c r="E3455" t="s">
        <v>943</v>
      </c>
      <c r="F3455" t="s">
        <v>944</v>
      </c>
      <c r="G3455" t="s">
        <v>752</v>
      </c>
      <c r="H3455">
        <v>138</v>
      </c>
      <c r="I3455">
        <v>55.804299999999998</v>
      </c>
      <c r="J3455">
        <v>72.804299999999998</v>
      </c>
      <c r="K3455">
        <v>17</v>
      </c>
      <c r="L3455">
        <v>94</v>
      </c>
      <c r="M3455">
        <v>10</v>
      </c>
      <c r="N3455">
        <v>34</v>
      </c>
      <c r="O3455">
        <v>73.174599999999998</v>
      </c>
      <c r="P3455">
        <v>12.358499999999999</v>
      </c>
      <c r="Q3455">
        <v>18.5291</v>
      </c>
    </row>
    <row r="3456" spans="1:17" x14ac:dyDescent="0.25">
      <c r="A3456" t="str">
        <f>IF(C3456&amp;G3456&amp;D3456&lt;&gt;'Funnel setup'!$K$3&amp;'Funnel setup'!$K$4&amp;'Funnel setup'!$K$6,".",IF(A3455=".",1,A3455+1))</f>
        <v>.</v>
      </c>
      <c r="B3456" s="244" t="str">
        <f t="shared" si="53"/>
        <v>Total Hip ReplacementSub-ICB of GP PracticeNHS SURREY HEARTLANDS ICB - 92A (92A)EQ VAS</v>
      </c>
      <c r="C3456" t="s">
        <v>974</v>
      </c>
      <c r="D3456" t="s">
        <v>1021</v>
      </c>
      <c r="E3456" t="s">
        <v>945</v>
      </c>
      <c r="F3456" t="s">
        <v>946</v>
      </c>
      <c r="G3456" t="s">
        <v>752</v>
      </c>
      <c r="H3456">
        <v>377</v>
      </c>
      <c r="I3456">
        <v>63.822299999999998</v>
      </c>
      <c r="J3456">
        <v>77.124700000000004</v>
      </c>
      <c r="K3456">
        <v>13.3024</v>
      </c>
      <c r="L3456">
        <v>258</v>
      </c>
      <c r="M3456">
        <v>42</v>
      </c>
      <c r="N3456">
        <v>77</v>
      </c>
      <c r="O3456">
        <v>75.237700000000004</v>
      </c>
      <c r="P3456">
        <v>14.4216</v>
      </c>
      <c r="Q3456">
        <v>15.376200000000001</v>
      </c>
    </row>
    <row r="3457" spans="1:17" x14ac:dyDescent="0.25">
      <c r="A3457" t="str">
        <f>IF(C3457&amp;G3457&amp;D3457&lt;&gt;'Funnel setup'!$K$3&amp;'Funnel setup'!$K$4&amp;'Funnel setup'!$K$6,".",IF(A3456=".",1,A3456+1))</f>
        <v>.</v>
      </c>
      <c r="B3457" s="244" t="str">
        <f t="shared" si="53"/>
        <v>Total Hip ReplacementSub-ICB of GP PracticeNHS SUSSEX ICB - 09D (09D)EQ VAS</v>
      </c>
      <c r="C3457" t="s">
        <v>974</v>
      </c>
      <c r="D3457" t="s">
        <v>1021</v>
      </c>
      <c r="E3457" t="s">
        <v>947</v>
      </c>
      <c r="F3457" t="s">
        <v>948</v>
      </c>
      <c r="G3457" t="s">
        <v>752</v>
      </c>
      <c r="H3457">
        <v>12</v>
      </c>
      <c r="I3457">
        <v>62.416699999999999</v>
      </c>
      <c r="J3457">
        <v>71</v>
      </c>
      <c r="K3457">
        <v>8.5833300000000001</v>
      </c>
      <c r="L3457">
        <v>8</v>
      </c>
      <c r="M3457">
        <v>0</v>
      </c>
      <c r="N3457">
        <v>4</v>
      </c>
      <c r="O3457" t="s">
        <v>127</v>
      </c>
      <c r="P3457" t="s">
        <v>127</v>
      </c>
      <c r="Q3457" t="s">
        <v>127</v>
      </c>
    </row>
    <row r="3458" spans="1:17" x14ac:dyDescent="0.25">
      <c r="A3458" t="str">
        <f>IF(C3458&amp;G3458&amp;D3458&lt;&gt;'Funnel setup'!$K$3&amp;'Funnel setup'!$K$4&amp;'Funnel setup'!$K$6,".",IF(A3457=".",1,A3457+1))</f>
        <v>.</v>
      </c>
      <c r="B3458" s="244" t="str">
        <f t="shared" ref="B3458:B3521" si="54">C3458&amp;D3458&amp;F3458&amp;G3458</f>
        <v>Total Hip ReplacementSub-ICB of GP PracticeNHS SUSSEX ICB - 70F (70F)EQ VAS</v>
      </c>
      <c r="C3458" t="s">
        <v>974</v>
      </c>
      <c r="D3458" t="s">
        <v>1021</v>
      </c>
      <c r="E3458" t="s">
        <v>949</v>
      </c>
      <c r="F3458" t="s">
        <v>950</v>
      </c>
      <c r="G3458" t="s">
        <v>752</v>
      </c>
      <c r="H3458">
        <v>258</v>
      </c>
      <c r="I3458">
        <v>60.282899999999998</v>
      </c>
      <c r="J3458">
        <v>73.251900000000006</v>
      </c>
      <c r="K3458">
        <v>12.968999999999999</v>
      </c>
      <c r="L3458">
        <v>176</v>
      </c>
      <c r="M3458">
        <v>21</v>
      </c>
      <c r="N3458">
        <v>61</v>
      </c>
      <c r="O3458">
        <v>73.334699999999998</v>
      </c>
      <c r="P3458">
        <v>12.518599999999999</v>
      </c>
      <c r="Q3458">
        <v>18.001000000000001</v>
      </c>
    </row>
    <row r="3459" spans="1:17" x14ac:dyDescent="0.25">
      <c r="A3459" t="str">
        <f>IF(C3459&amp;G3459&amp;D3459&lt;&gt;'Funnel setup'!$K$3&amp;'Funnel setup'!$K$4&amp;'Funnel setup'!$K$6,".",IF(A3458=".",1,A3458+1))</f>
        <v>.</v>
      </c>
      <c r="B3459" s="244" t="str">
        <f t="shared" si="54"/>
        <v>Total Hip ReplacementSub-ICB of GP PracticeNHS SUSSEX ICB - 97R (97R)EQ VAS</v>
      </c>
      <c r="C3459" t="s">
        <v>974</v>
      </c>
      <c r="D3459" t="s">
        <v>1021</v>
      </c>
      <c r="E3459" t="s">
        <v>951</v>
      </c>
      <c r="F3459" t="s">
        <v>952</v>
      </c>
      <c r="G3459" t="s">
        <v>752</v>
      </c>
      <c r="H3459">
        <v>273</v>
      </c>
      <c r="I3459">
        <v>64.615399999999994</v>
      </c>
      <c r="J3459">
        <v>77.047600000000003</v>
      </c>
      <c r="K3459">
        <v>12.4322</v>
      </c>
      <c r="L3459">
        <v>172</v>
      </c>
      <c r="M3459">
        <v>32</v>
      </c>
      <c r="N3459">
        <v>69</v>
      </c>
      <c r="O3459">
        <v>75.526300000000006</v>
      </c>
      <c r="P3459">
        <v>14.7102</v>
      </c>
      <c r="Q3459">
        <v>15.817500000000001</v>
      </c>
    </row>
    <row r="3460" spans="1:17" x14ac:dyDescent="0.25">
      <c r="A3460" t="str">
        <f>IF(C3460&amp;G3460&amp;D3460&lt;&gt;'Funnel setup'!$K$3&amp;'Funnel setup'!$K$4&amp;'Funnel setup'!$K$6,".",IF(A3459=".",1,A3459+1))</f>
        <v>.</v>
      </c>
      <c r="B3460" s="244" t="str">
        <f t="shared" si="54"/>
        <v>Total Hip ReplacementSub-ICB of GP PracticeNHS WEST YORKSHIRE ICB - 02T (02T)EQ VAS</v>
      </c>
      <c r="C3460" t="s">
        <v>974</v>
      </c>
      <c r="D3460" t="s">
        <v>1021</v>
      </c>
      <c r="E3460" t="s">
        <v>953</v>
      </c>
      <c r="F3460" t="s">
        <v>954</v>
      </c>
      <c r="G3460" t="s">
        <v>752</v>
      </c>
      <c r="H3460">
        <v>55</v>
      </c>
      <c r="I3460">
        <v>60.054499999999997</v>
      </c>
      <c r="J3460">
        <v>73.363600000000005</v>
      </c>
      <c r="K3460">
        <v>13.309100000000001</v>
      </c>
      <c r="L3460">
        <v>37</v>
      </c>
      <c r="M3460">
        <v>4</v>
      </c>
      <c r="N3460">
        <v>14</v>
      </c>
      <c r="O3460">
        <v>73.058899999999994</v>
      </c>
      <c r="P3460">
        <v>12.242800000000001</v>
      </c>
      <c r="Q3460">
        <v>18.784300000000002</v>
      </c>
    </row>
    <row r="3461" spans="1:17" x14ac:dyDescent="0.25">
      <c r="A3461" t="str">
        <f>IF(C3461&amp;G3461&amp;D3461&lt;&gt;'Funnel setup'!$K$3&amp;'Funnel setup'!$K$4&amp;'Funnel setup'!$K$6,".",IF(A3460=".",1,A3460+1))</f>
        <v>.</v>
      </c>
      <c r="B3461" s="244" t="str">
        <f t="shared" si="54"/>
        <v>Total Hip ReplacementSub-ICB of GP PracticeNHS WEST YORKSHIRE ICB - 03R (03R)EQ VAS</v>
      </c>
      <c r="C3461" t="s">
        <v>974</v>
      </c>
      <c r="D3461" t="s">
        <v>1021</v>
      </c>
      <c r="E3461" t="s">
        <v>955</v>
      </c>
      <c r="F3461" t="s">
        <v>956</v>
      </c>
      <c r="G3461" t="s">
        <v>752</v>
      </c>
      <c r="H3461">
        <v>163</v>
      </c>
      <c r="I3461">
        <v>58.128799999999998</v>
      </c>
      <c r="J3461">
        <v>72.638000000000005</v>
      </c>
      <c r="K3461">
        <v>14.5092</v>
      </c>
      <c r="L3461">
        <v>113</v>
      </c>
      <c r="M3461">
        <v>9</v>
      </c>
      <c r="N3461">
        <v>41</v>
      </c>
      <c r="O3461">
        <v>74.302300000000002</v>
      </c>
      <c r="P3461">
        <v>13.4862</v>
      </c>
      <c r="Q3461">
        <v>16.8172</v>
      </c>
    </row>
    <row r="3462" spans="1:17" x14ac:dyDescent="0.25">
      <c r="A3462" t="str">
        <f>IF(C3462&amp;G3462&amp;D3462&lt;&gt;'Funnel setup'!$K$3&amp;'Funnel setup'!$K$4&amp;'Funnel setup'!$K$6,".",IF(A3461=".",1,A3461+1))</f>
        <v>.</v>
      </c>
      <c r="B3462" s="244" t="str">
        <f t="shared" si="54"/>
        <v>Total Hip ReplacementSub-ICB of GP PracticeNHS WEST YORKSHIRE ICB - 15F (15F)EQ VAS</v>
      </c>
      <c r="C3462" t="s">
        <v>974</v>
      </c>
      <c r="D3462" t="s">
        <v>1021</v>
      </c>
      <c r="E3462" t="s">
        <v>957</v>
      </c>
      <c r="F3462" t="s">
        <v>958</v>
      </c>
      <c r="G3462" t="s">
        <v>752</v>
      </c>
      <c r="H3462">
        <v>221</v>
      </c>
      <c r="I3462">
        <v>61.914000000000001</v>
      </c>
      <c r="J3462">
        <v>74.547499999999999</v>
      </c>
      <c r="K3462">
        <v>12.6335</v>
      </c>
      <c r="L3462">
        <v>148</v>
      </c>
      <c r="M3462">
        <v>25</v>
      </c>
      <c r="N3462">
        <v>48</v>
      </c>
      <c r="O3462">
        <v>73.925600000000003</v>
      </c>
      <c r="P3462">
        <v>13.109500000000001</v>
      </c>
      <c r="Q3462">
        <v>16.757999999999999</v>
      </c>
    </row>
    <row r="3463" spans="1:17" x14ac:dyDescent="0.25">
      <c r="A3463" t="str">
        <f>IF(C3463&amp;G3463&amp;D3463&lt;&gt;'Funnel setup'!$K$3&amp;'Funnel setup'!$K$4&amp;'Funnel setup'!$K$6,".",IF(A3462=".",1,A3462+1))</f>
        <v>.</v>
      </c>
      <c r="B3463" s="244" t="str">
        <f t="shared" si="54"/>
        <v>Total Hip ReplacementSub-ICB of GP PracticeNHS WEST YORKSHIRE ICB - 36J (36J)EQ VAS</v>
      </c>
      <c r="C3463" t="s">
        <v>974</v>
      </c>
      <c r="D3463" t="s">
        <v>1021</v>
      </c>
      <c r="E3463" t="s">
        <v>959</v>
      </c>
      <c r="F3463" t="s">
        <v>960</v>
      </c>
      <c r="G3463" t="s">
        <v>752</v>
      </c>
      <c r="H3463">
        <v>90</v>
      </c>
      <c r="I3463">
        <v>60.7333</v>
      </c>
      <c r="J3463">
        <v>79.122200000000007</v>
      </c>
      <c r="K3463">
        <v>18.3889</v>
      </c>
      <c r="L3463">
        <v>67</v>
      </c>
      <c r="M3463">
        <v>7</v>
      </c>
      <c r="N3463">
        <v>16</v>
      </c>
      <c r="O3463">
        <v>79.452500000000001</v>
      </c>
      <c r="P3463">
        <v>18.636399999999998</v>
      </c>
      <c r="Q3463">
        <v>15.8879</v>
      </c>
    </row>
    <row r="3464" spans="1:17" x14ac:dyDescent="0.25">
      <c r="A3464" t="str">
        <f>IF(C3464&amp;G3464&amp;D3464&lt;&gt;'Funnel setup'!$K$3&amp;'Funnel setup'!$K$4&amp;'Funnel setup'!$K$6,".",IF(A3463=".",1,A3463+1))</f>
        <v>.</v>
      </c>
      <c r="B3464" s="244" t="str">
        <f t="shared" si="54"/>
        <v>Total Hip ReplacementSub-ICB of GP PracticeNHS WEST YORKSHIRE ICB - X2C4Y (X2C4Y)EQ VAS</v>
      </c>
      <c r="C3464" t="s">
        <v>974</v>
      </c>
      <c r="D3464" t="s">
        <v>1021</v>
      </c>
      <c r="E3464" t="s">
        <v>961</v>
      </c>
      <c r="F3464" t="s">
        <v>962</v>
      </c>
      <c r="G3464" t="s">
        <v>752</v>
      </c>
      <c r="H3464">
        <v>110</v>
      </c>
      <c r="I3464">
        <v>59.145499999999998</v>
      </c>
      <c r="J3464">
        <v>74.690899999999999</v>
      </c>
      <c r="K3464">
        <v>15.545500000000001</v>
      </c>
      <c r="L3464">
        <v>76</v>
      </c>
      <c r="M3464">
        <v>12</v>
      </c>
      <c r="N3464">
        <v>22</v>
      </c>
      <c r="O3464">
        <v>77.02</v>
      </c>
      <c r="P3464">
        <v>16.203900000000001</v>
      </c>
      <c r="Q3464">
        <v>16.289899999999999</v>
      </c>
    </row>
    <row r="3465" spans="1:17" x14ac:dyDescent="0.25">
      <c r="A3465" t="str">
        <f>IF(C3465&amp;G3465&amp;D3465&lt;&gt;'Funnel setup'!$K$3&amp;'Funnel setup'!$K$4&amp;'Funnel setup'!$K$6,".",IF(A3464=".",1,A3464+1))</f>
        <v>.</v>
      </c>
      <c r="B3465" s="244" t="str">
        <f t="shared" si="54"/>
        <v>Total Hip ReplacementSub-ICB of GP PracticeNHS BATH AND NORTH EAST SOMERSET, SWINDON AND WILTSHIRE ICB - 92G (92G)EQ-5D Index</v>
      </c>
      <c r="C3465" t="s">
        <v>974</v>
      </c>
      <c r="D3465" t="s">
        <v>1021</v>
      </c>
      <c r="E3465" t="s">
        <v>750</v>
      </c>
      <c r="F3465" t="s">
        <v>751</v>
      </c>
      <c r="G3465" t="s">
        <v>963</v>
      </c>
      <c r="H3465">
        <v>247</v>
      </c>
      <c r="I3465">
        <v>0.435923</v>
      </c>
      <c r="J3465">
        <v>0.82544499999999998</v>
      </c>
      <c r="K3465">
        <v>0.38952199999999998</v>
      </c>
      <c r="L3465">
        <v>222</v>
      </c>
      <c r="M3465">
        <v>13</v>
      </c>
      <c r="N3465">
        <v>12</v>
      </c>
      <c r="O3465">
        <v>0.77617499999999995</v>
      </c>
      <c r="P3465">
        <v>0.44861899999999999</v>
      </c>
      <c r="Q3465">
        <v>0.20158699999999999</v>
      </c>
    </row>
    <row r="3466" spans="1:17" x14ac:dyDescent="0.25">
      <c r="A3466" t="str">
        <f>IF(C3466&amp;G3466&amp;D3466&lt;&gt;'Funnel setup'!$K$3&amp;'Funnel setup'!$K$4&amp;'Funnel setup'!$K$6,".",IF(A3465=".",1,A3465+1))</f>
        <v>.</v>
      </c>
      <c r="B3466" s="244" t="str">
        <f t="shared" si="54"/>
        <v>Total Hip ReplacementSub-ICB of GP PracticeNHS BEDFORDSHIRE, LUTON AND MILTON KEYNES ICB - M1J4Y (M1J4Y)EQ-5D Index</v>
      </c>
      <c r="C3466" t="s">
        <v>974</v>
      </c>
      <c r="D3466" t="s">
        <v>1021</v>
      </c>
      <c r="E3466" t="s">
        <v>753</v>
      </c>
      <c r="F3466" t="s">
        <v>754</v>
      </c>
      <c r="G3466" t="s">
        <v>963</v>
      </c>
      <c r="H3466">
        <v>227</v>
      </c>
      <c r="I3466">
        <v>0.25144899999999998</v>
      </c>
      <c r="J3466">
        <v>0.74398200000000003</v>
      </c>
      <c r="K3466">
        <v>0.492533</v>
      </c>
      <c r="L3466">
        <v>203</v>
      </c>
      <c r="M3466">
        <v>14</v>
      </c>
      <c r="N3466">
        <v>10</v>
      </c>
      <c r="O3466">
        <v>0.77225900000000003</v>
      </c>
      <c r="P3466">
        <v>0.44470300000000001</v>
      </c>
      <c r="Q3466">
        <v>0.25840999999999997</v>
      </c>
    </row>
    <row r="3467" spans="1:17" x14ac:dyDescent="0.25">
      <c r="A3467" t="str">
        <f>IF(C3467&amp;G3467&amp;D3467&lt;&gt;'Funnel setup'!$K$3&amp;'Funnel setup'!$K$4&amp;'Funnel setup'!$K$6,".",IF(A3466=".",1,A3466+1))</f>
        <v>.</v>
      </c>
      <c r="B3467" s="244" t="str">
        <f t="shared" si="54"/>
        <v>Total Hip ReplacementSub-ICB of GP PracticeNHS BIRMINGHAM AND SOLIHULL ICB - 15E (15E)EQ-5D Index</v>
      </c>
      <c r="C3467" t="s">
        <v>974</v>
      </c>
      <c r="D3467" t="s">
        <v>1021</v>
      </c>
      <c r="E3467" t="s">
        <v>755</v>
      </c>
      <c r="F3467" t="s">
        <v>756</v>
      </c>
      <c r="G3467" t="s">
        <v>963</v>
      </c>
      <c r="H3467">
        <v>361</v>
      </c>
      <c r="I3467">
        <v>0.29694199999999998</v>
      </c>
      <c r="J3467">
        <v>0.80916900000000003</v>
      </c>
      <c r="K3467">
        <v>0.51222699999999999</v>
      </c>
      <c r="L3467">
        <v>339</v>
      </c>
      <c r="M3467">
        <v>6</v>
      </c>
      <c r="N3467">
        <v>16</v>
      </c>
      <c r="O3467">
        <v>0.812662</v>
      </c>
      <c r="P3467">
        <v>0.48510700000000001</v>
      </c>
      <c r="Q3467">
        <v>0.20998700000000001</v>
      </c>
    </row>
    <row r="3468" spans="1:17" x14ac:dyDescent="0.25">
      <c r="A3468" t="str">
        <f>IF(C3468&amp;G3468&amp;D3468&lt;&gt;'Funnel setup'!$K$3&amp;'Funnel setup'!$K$4&amp;'Funnel setup'!$K$6,".",IF(A3467=".",1,A3467+1))</f>
        <v>.</v>
      </c>
      <c r="B3468" s="244" t="str">
        <f t="shared" si="54"/>
        <v>Total Hip ReplacementSub-ICB of GP PracticeNHS BLACK COUNTRY ICB - D2P2L (D2P2L)EQ-5D Index</v>
      </c>
      <c r="C3468" t="s">
        <v>974</v>
      </c>
      <c r="D3468" t="s">
        <v>1021</v>
      </c>
      <c r="E3468" t="s">
        <v>757</v>
      </c>
      <c r="F3468" t="s">
        <v>758</v>
      </c>
      <c r="G3468" t="s">
        <v>963</v>
      </c>
      <c r="H3468">
        <v>259</v>
      </c>
      <c r="I3468">
        <v>0.29181499999999999</v>
      </c>
      <c r="J3468">
        <v>0.77471400000000001</v>
      </c>
      <c r="K3468">
        <v>0.4829</v>
      </c>
      <c r="L3468">
        <v>232</v>
      </c>
      <c r="M3468">
        <v>11</v>
      </c>
      <c r="N3468">
        <v>16</v>
      </c>
      <c r="O3468">
        <v>0.80023999999999995</v>
      </c>
      <c r="P3468">
        <v>0.47268399999999999</v>
      </c>
      <c r="Q3468">
        <v>0.23117799999999999</v>
      </c>
    </row>
    <row r="3469" spans="1:17" x14ac:dyDescent="0.25">
      <c r="A3469" t="str">
        <f>IF(C3469&amp;G3469&amp;D3469&lt;&gt;'Funnel setup'!$K$3&amp;'Funnel setup'!$K$4&amp;'Funnel setup'!$K$6,".",IF(A3468=".",1,A3468+1))</f>
        <v>.</v>
      </c>
      <c r="B3469" s="244" t="str">
        <f t="shared" si="54"/>
        <v>Total Hip ReplacementSub-ICB of GP PracticeNHS BRISTOL, NORTH SOMERSET AND SOUTH GLOUCESTERSHIRE ICB - 15C (15C)EQ-5D Index</v>
      </c>
      <c r="C3469" t="s">
        <v>974</v>
      </c>
      <c r="D3469" t="s">
        <v>1021</v>
      </c>
      <c r="E3469" t="s">
        <v>759</v>
      </c>
      <c r="F3469" t="s">
        <v>760</v>
      </c>
      <c r="G3469" t="s">
        <v>963</v>
      </c>
      <c r="H3469">
        <v>223</v>
      </c>
      <c r="I3469">
        <v>0.38193700000000003</v>
      </c>
      <c r="J3469">
        <v>0.84074000000000004</v>
      </c>
      <c r="K3469">
        <v>0.45880300000000002</v>
      </c>
      <c r="L3469">
        <v>206</v>
      </c>
      <c r="M3469">
        <v>10</v>
      </c>
      <c r="N3469">
        <v>7</v>
      </c>
      <c r="O3469">
        <v>0.81079299999999999</v>
      </c>
      <c r="P3469">
        <v>0.48323700000000003</v>
      </c>
      <c r="Q3469">
        <v>0.21240400000000001</v>
      </c>
    </row>
    <row r="3470" spans="1:17" x14ac:dyDescent="0.25">
      <c r="A3470" t="str">
        <f>IF(C3470&amp;G3470&amp;D3470&lt;&gt;'Funnel setup'!$K$3&amp;'Funnel setup'!$K$4&amp;'Funnel setup'!$K$6,".",IF(A3469=".",1,A3469+1))</f>
        <v>.</v>
      </c>
      <c r="B3470" s="244" t="str">
        <f t="shared" si="54"/>
        <v>Total Hip ReplacementSub-ICB of GP PracticeNHS BUCKINGHAMSHIRE, OXFORDSHIRE AND BERKSHIRE WEST ICB - 10Q (10Q)EQ-5D Index</v>
      </c>
      <c r="C3470" t="s">
        <v>974</v>
      </c>
      <c r="D3470" t="s">
        <v>1021</v>
      </c>
      <c r="E3470" t="s">
        <v>761</v>
      </c>
      <c r="F3470" t="s">
        <v>762</v>
      </c>
      <c r="G3470" t="s">
        <v>963</v>
      </c>
      <c r="H3470">
        <v>355</v>
      </c>
      <c r="I3470">
        <v>0.36388500000000001</v>
      </c>
      <c r="J3470">
        <v>0.80468200000000001</v>
      </c>
      <c r="K3470">
        <v>0.44079699999999999</v>
      </c>
      <c r="L3470">
        <v>320</v>
      </c>
      <c r="M3470">
        <v>18</v>
      </c>
      <c r="N3470">
        <v>17</v>
      </c>
      <c r="O3470">
        <v>0.78405499999999995</v>
      </c>
      <c r="P3470">
        <v>0.45650000000000002</v>
      </c>
      <c r="Q3470">
        <v>0.23813100000000001</v>
      </c>
    </row>
    <row r="3471" spans="1:17" x14ac:dyDescent="0.25">
      <c r="A3471" t="str">
        <f>IF(C3471&amp;G3471&amp;D3471&lt;&gt;'Funnel setup'!$K$3&amp;'Funnel setup'!$K$4&amp;'Funnel setup'!$K$6,".",IF(A3470=".",1,A3470+1))</f>
        <v>.</v>
      </c>
      <c r="B3471" s="244" t="str">
        <f t="shared" si="54"/>
        <v>Total Hip ReplacementSub-ICB of GP PracticeNHS BUCKINGHAMSHIRE, OXFORDSHIRE AND BERKSHIRE WEST ICB - 14Y (14Y)EQ-5D Index</v>
      </c>
      <c r="C3471" t="s">
        <v>974</v>
      </c>
      <c r="D3471" t="s">
        <v>1021</v>
      </c>
      <c r="E3471" t="s">
        <v>763</v>
      </c>
      <c r="F3471" t="s">
        <v>764</v>
      </c>
      <c r="G3471" t="s">
        <v>963</v>
      </c>
      <c r="H3471">
        <v>227</v>
      </c>
      <c r="I3471">
        <v>0.35141899999999998</v>
      </c>
      <c r="J3471">
        <v>0.768154</v>
      </c>
      <c r="K3471">
        <v>0.416736</v>
      </c>
      <c r="L3471">
        <v>202</v>
      </c>
      <c r="M3471">
        <v>11</v>
      </c>
      <c r="N3471">
        <v>14</v>
      </c>
      <c r="O3471">
        <v>0.74222200000000005</v>
      </c>
      <c r="P3471">
        <v>0.41466599999999998</v>
      </c>
      <c r="Q3471">
        <v>0.25421199999999999</v>
      </c>
    </row>
    <row r="3472" spans="1:17" x14ac:dyDescent="0.25">
      <c r="A3472" t="str">
        <f>IF(C3472&amp;G3472&amp;D3472&lt;&gt;'Funnel setup'!$K$3&amp;'Funnel setup'!$K$4&amp;'Funnel setup'!$K$6,".",IF(A3471=".",1,A3471+1))</f>
        <v>.</v>
      </c>
      <c r="B3472" s="244" t="str">
        <f t="shared" si="54"/>
        <v>Total Hip ReplacementSub-ICB of GP PracticeNHS BUCKINGHAMSHIRE, OXFORDSHIRE AND BERKSHIRE WEST ICB - 15A (15A)EQ-5D Index</v>
      </c>
      <c r="C3472" t="s">
        <v>974</v>
      </c>
      <c r="D3472" t="s">
        <v>1021</v>
      </c>
      <c r="E3472" t="s">
        <v>765</v>
      </c>
      <c r="F3472" t="s">
        <v>766</v>
      </c>
      <c r="G3472" t="s">
        <v>963</v>
      </c>
      <c r="H3472">
        <v>65</v>
      </c>
      <c r="I3472">
        <v>0.393123</v>
      </c>
      <c r="J3472">
        <v>0.83587699999999998</v>
      </c>
      <c r="K3472">
        <v>0.44275399999999998</v>
      </c>
      <c r="L3472">
        <v>55</v>
      </c>
      <c r="M3472">
        <v>9</v>
      </c>
      <c r="N3472">
        <v>1</v>
      </c>
      <c r="O3472">
        <v>0.78825800000000001</v>
      </c>
      <c r="P3472">
        <v>0.460702</v>
      </c>
      <c r="Q3472">
        <v>0.21054999999999999</v>
      </c>
    </row>
    <row r="3473" spans="1:17" x14ac:dyDescent="0.25">
      <c r="A3473" t="str">
        <f>IF(C3473&amp;G3473&amp;D3473&lt;&gt;'Funnel setup'!$K$3&amp;'Funnel setup'!$K$4&amp;'Funnel setup'!$K$6,".",IF(A3472=".",1,A3472+1))</f>
        <v>.</v>
      </c>
      <c r="B3473" s="244" t="str">
        <f t="shared" si="54"/>
        <v>Total Hip ReplacementSub-ICB of GP PracticeNHS CAMBRIDGESHIRE AND PETERBOROUGH ICB - 06H (06H)EQ-5D Index</v>
      </c>
      <c r="C3473" t="s">
        <v>974</v>
      </c>
      <c r="D3473" t="s">
        <v>1021</v>
      </c>
      <c r="E3473" t="s">
        <v>767</v>
      </c>
      <c r="F3473" t="s">
        <v>768</v>
      </c>
      <c r="G3473" t="s">
        <v>963</v>
      </c>
      <c r="H3473">
        <v>225</v>
      </c>
      <c r="I3473">
        <v>0.25650699999999999</v>
      </c>
      <c r="J3473">
        <v>0.73540000000000005</v>
      </c>
      <c r="K3473">
        <v>0.47889300000000001</v>
      </c>
      <c r="L3473">
        <v>191</v>
      </c>
      <c r="M3473">
        <v>17</v>
      </c>
      <c r="N3473">
        <v>17</v>
      </c>
      <c r="O3473">
        <v>0.75766900000000004</v>
      </c>
      <c r="P3473">
        <v>0.43011300000000002</v>
      </c>
      <c r="Q3473">
        <v>0.24571000000000001</v>
      </c>
    </row>
    <row r="3474" spans="1:17" x14ac:dyDescent="0.25">
      <c r="A3474" t="str">
        <f>IF(C3474&amp;G3474&amp;D3474&lt;&gt;'Funnel setup'!$K$3&amp;'Funnel setup'!$K$4&amp;'Funnel setup'!$K$6,".",IF(A3473=".",1,A3473+1))</f>
        <v>.</v>
      </c>
      <c r="B3474" s="244" t="str">
        <f t="shared" si="54"/>
        <v>Total Hip ReplacementSub-ICB of GP PracticeNHS CHESHIRE AND MERSEYSIDE ICB - 01F (01F)EQ-5D Index</v>
      </c>
      <c r="C3474" t="s">
        <v>974</v>
      </c>
      <c r="D3474" t="s">
        <v>1021</v>
      </c>
      <c r="E3474" t="s">
        <v>769</v>
      </c>
      <c r="F3474" t="s">
        <v>770</v>
      </c>
      <c r="G3474" t="s">
        <v>963</v>
      </c>
      <c r="H3474">
        <v>32</v>
      </c>
      <c r="I3474">
        <v>0.29909400000000003</v>
      </c>
      <c r="J3474">
        <v>0.68300000000000005</v>
      </c>
      <c r="K3474">
        <v>0.38390600000000003</v>
      </c>
      <c r="L3474">
        <v>29</v>
      </c>
      <c r="M3474">
        <v>1</v>
      </c>
      <c r="N3474">
        <v>2</v>
      </c>
      <c r="O3474">
        <v>0.72335099999999997</v>
      </c>
      <c r="P3474">
        <v>0.39579500000000001</v>
      </c>
      <c r="Q3474">
        <v>0.25573899999999999</v>
      </c>
    </row>
    <row r="3475" spans="1:17" x14ac:dyDescent="0.25">
      <c r="A3475" t="str">
        <f>IF(C3475&amp;G3475&amp;D3475&lt;&gt;'Funnel setup'!$K$3&amp;'Funnel setup'!$K$4&amp;'Funnel setup'!$K$6,".",IF(A3474=".",1,A3474+1))</f>
        <v>.</v>
      </c>
      <c r="B3475" s="244" t="str">
        <f t="shared" si="54"/>
        <v>Total Hip ReplacementSub-ICB of GP PracticeNHS CHESHIRE AND MERSEYSIDE ICB - 01J (01J)EQ-5D Index</v>
      </c>
      <c r="C3475" t="s">
        <v>974</v>
      </c>
      <c r="D3475" t="s">
        <v>1021</v>
      </c>
      <c r="E3475" t="s">
        <v>771</v>
      </c>
      <c r="F3475" t="s">
        <v>772</v>
      </c>
      <c r="G3475" t="s">
        <v>963</v>
      </c>
      <c r="H3475">
        <v>37</v>
      </c>
      <c r="I3475">
        <v>0.18740499999999999</v>
      </c>
      <c r="J3475">
        <v>0.77805400000000002</v>
      </c>
      <c r="K3475">
        <v>0.59064899999999998</v>
      </c>
      <c r="L3475">
        <v>32</v>
      </c>
      <c r="M3475">
        <v>3</v>
      </c>
      <c r="N3475">
        <v>2</v>
      </c>
      <c r="O3475">
        <v>0.83952000000000004</v>
      </c>
      <c r="P3475">
        <v>0.51196399999999997</v>
      </c>
      <c r="Q3475">
        <v>0.22932</v>
      </c>
    </row>
    <row r="3476" spans="1:17" x14ac:dyDescent="0.25">
      <c r="A3476" t="str">
        <f>IF(C3476&amp;G3476&amp;D3476&lt;&gt;'Funnel setup'!$K$3&amp;'Funnel setup'!$K$4&amp;'Funnel setup'!$K$6,".",IF(A3475=".",1,A3475+1))</f>
        <v>.</v>
      </c>
      <c r="B3476" s="244" t="str">
        <f t="shared" si="54"/>
        <v>Total Hip ReplacementSub-ICB of GP PracticeNHS CHESHIRE AND MERSEYSIDE ICB - 01T (01T)EQ-5D Index</v>
      </c>
      <c r="C3476" t="s">
        <v>974</v>
      </c>
      <c r="D3476" t="s">
        <v>1021</v>
      </c>
      <c r="E3476" t="s">
        <v>773</v>
      </c>
      <c r="F3476" t="s">
        <v>774</v>
      </c>
      <c r="G3476" t="s">
        <v>963</v>
      </c>
      <c r="H3476">
        <v>43</v>
      </c>
      <c r="I3476">
        <v>0.31095299999999998</v>
      </c>
      <c r="J3476">
        <v>0.772837</v>
      </c>
      <c r="K3476">
        <v>0.46188400000000002</v>
      </c>
      <c r="L3476">
        <v>39</v>
      </c>
      <c r="M3476">
        <v>3</v>
      </c>
      <c r="N3476">
        <v>1</v>
      </c>
      <c r="O3476">
        <v>0.775617</v>
      </c>
      <c r="P3476">
        <v>0.44806099999999999</v>
      </c>
      <c r="Q3476">
        <v>0.26979700000000001</v>
      </c>
    </row>
    <row r="3477" spans="1:17" x14ac:dyDescent="0.25">
      <c r="A3477" t="str">
        <f>IF(C3477&amp;G3477&amp;D3477&lt;&gt;'Funnel setup'!$K$3&amp;'Funnel setup'!$K$4&amp;'Funnel setup'!$K$6,".",IF(A3476=".",1,A3476+1))</f>
        <v>.</v>
      </c>
      <c r="B3477" s="244" t="str">
        <f t="shared" si="54"/>
        <v>Total Hip ReplacementSub-ICB of GP PracticeNHS CHESHIRE AND MERSEYSIDE ICB - 01V (01V)EQ-5D Index</v>
      </c>
      <c r="C3477" t="s">
        <v>974</v>
      </c>
      <c r="D3477" t="s">
        <v>1021</v>
      </c>
      <c r="E3477" t="s">
        <v>775</v>
      </c>
      <c r="F3477" t="s">
        <v>776</v>
      </c>
      <c r="G3477" t="s">
        <v>963</v>
      </c>
      <c r="H3477">
        <v>23</v>
      </c>
      <c r="I3477">
        <v>0.35178300000000001</v>
      </c>
      <c r="J3477">
        <v>0.76904300000000003</v>
      </c>
      <c r="K3477">
        <v>0.41726099999999999</v>
      </c>
      <c r="L3477">
        <v>22</v>
      </c>
      <c r="M3477">
        <v>0</v>
      </c>
      <c r="N3477">
        <v>1</v>
      </c>
      <c r="O3477" t="s">
        <v>127</v>
      </c>
      <c r="P3477" t="s">
        <v>127</v>
      </c>
      <c r="Q3477" t="s">
        <v>127</v>
      </c>
    </row>
    <row r="3478" spans="1:17" x14ac:dyDescent="0.25">
      <c r="A3478" t="str">
        <f>IF(C3478&amp;G3478&amp;D3478&lt;&gt;'Funnel setup'!$K$3&amp;'Funnel setup'!$K$4&amp;'Funnel setup'!$K$6,".",IF(A3477=".",1,A3477+1))</f>
        <v>.</v>
      </c>
      <c r="B3478" s="244" t="str">
        <f t="shared" si="54"/>
        <v>Total Hip ReplacementSub-ICB of GP PracticeNHS CHESHIRE AND MERSEYSIDE ICB - 01X (01X)EQ-5D Index</v>
      </c>
      <c r="C3478" t="s">
        <v>974</v>
      </c>
      <c r="D3478" t="s">
        <v>1021</v>
      </c>
      <c r="E3478" t="s">
        <v>777</v>
      </c>
      <c r="F3478" t="s">
        <v>778</v>
      </c>
      <c r="G3478" t="s">
        <v>963</v>
      </c>
      <c r="H3478">
        <v>60</v>
      </c>
      <c r="I3478">
        <v>0.22451699999999999</v>
      </c>
      <c r="J3478">
        <v>0.65925</v>
      </c>
      <c r="K3478">
        <v>0.43473299999999998</v>
      </c>
      <c r="L3478">
        <v>51</v>
      </c>
      <c r="M3478">
        <v>5</v>
      </c>
      <c r="N3478">
        <v>4</v>
      </c>
      <c r="O3478">
        <v>0.71500699999999995</v>
      </c>
      <c r="P3478">
        <v>0.38745099999999999</v>
      </c>
      <c r="Q3478">
        <v>0.262324</v>
      </c>
    </row>
    <row r="3479" spans="1:17" x14ac:dyDescent="0.25">
      <c r="A3479" t="str">
        <f>IF(C3479&amp;G3479&amp;D3479&lt;&gt;'Funnel setup'!$K$3&amp;'Funnel setup'!$K$4&amp;'Funnel setup'!$K$6,".",IF(A3478=".",1,A3478+1))</f>
        <v>.</v>
      </c>
      <c r="B3479" s="244" t="str">
        <f t="shared" si="54"/>
        <v>Total Hip ReplacementSub-ICB of GP PracticeNHS CHESHIRE AND MERSEYSIDE ICB - 02E (02E)EQ-5D Index</v>
      </c>
      <c r="C3479" t="s">
        <v>974</v>
      </c>
      <c r="D3479" t="s">
        <v>1021</v>
      </c>
      <c r="E3479" t="s">
        <v>779</v>
      </c>
      <c r="F3479" t="s">
        <v>780</v>
      </c>
      <c r="G3479" t="s">
        <v>963</v>
      </c>
      <c r="H3479">
        <v>32</v>
      </c>
      <c r="I3479">
        <v>0.32200000000000001</v>
      </c>
      <c r="J3479">
        <v>0.74550000000000005</v>
      </c>
      <c r="K3479">
        <v>0.42349999999999999</v>
      </c>
      <c r="L3479">
        <v>29</v>
      </c>
      <c r="M3479">
        <v>1</v>
      </c>
      <c r="N3479">
        <v>2</v>
      </c>
      <c r="O3479">
        <v>0.74266600000000005</v>
      </c>
      <c r="P3479">
        <v>0.41510999999999998</v>
      </c>
      <c r="Q3479">
        <v>0.17203199999999999</v>
      </c>
    </row>
    <row r="3480" spans="1:17" x14ac:dyDescent="0.25">
      <c r="A3480" t="str">
        <f>IF(C3480&amp;G3480&amp;D3480&lt;&gt;'Funnel setup'!$K$3&amp;'Funnel setup'!$K$4&amp;'Funnel setup'!$K$6,".",IF(A3479=".",1,A3479+1))</f>
        <v>.</v>
      </c>
      <c r="B3480" s="244" t="str">
        <f t="shared" si="54"/>
        <v>Total Hip ReplacementSub-ICB of GP PracticeNHS CHESHIRE AND MERSEYSIDE ICB - 12F (12F)EQ-5D Index</v>
      </c>
      <c r="C3480" t="s">
        <v>974</v>
      </c>
      <c r="D3480" t="s">
        <v>1021</v>
      </c>
      <c r="E3480" t="s">
        <v>781</v>
      </c>
      <c r="F3480" t="s">
        <v>782</v>
      </c>
      <c r="G3480" t="s">
        <v>963</v>
      </c>
      <c r="H3480">
        <v>89</v>
      </c>
      <c r="I3480">
        <v>0.32280900000000001</v>
      </c>
      <c r="J3480">
        <v>0.744618</v>
      </c>
      <c r="K3480">
        <v>0.42180899999999999</v>
      </c>
      <c r="L3480">
        <v>76</v>
      </c>
      <c r="M3480">
        <v>11</v>
      </c>
      <c r="N3480">
        <v>2</v>
      </c>
      <c r="O3480">
        <v>0.74427200000000004</v>
      </c>
      <c r="P3480">
        <v>0.41671599999999998</v>
      </c>
      <c r="Q3480">
        <v>0.24282300000000001</v>
      </c>
    </row>
    <row r="3481" spans="1:17" x14ac:dyDescent="0.25">
      <c r="A3481" t="str">
        <f>IF(C3481&amp;G3481&amp;D3481&lt;&gt;'Funnel setup'!$K$3&amp;'Funnel setup'!$K$4&amp;'Funnel setup'!$K$6,".",IF(A3480=".",1,A3480+1))</f>
        <v>.</v>
      </c>
      <c r="B3481" s="244" t="str">
        <f t="shared" si="54"/>
        <v>Total Hip ReplacementSub-ICB of GP PracticeNHS CHESHIRE AND MERSEYSIDE ICB - 27D (27D)EQ-5D Index</v>
      </c>
      <c r="C3481" t="s">
        <v>974</v>
      </c>
      <c r="D3481" t="s">
        <v>1021</v>
      </c>
      <c r="E3481" t="s">
        <v>783</v>
      </c>
      <c r="F3481" t="s">
        <v>784</v>
      </c>
      <c r="G3481" t="s">
        <v>963</v>
      </c>
      <c r="H3481">
        <v>265</v>
      </c>
      <c r="I3481">
        <v>0.32916200000000001</v>
      </c>
      <c r="J3481">
        <v>0.81670900000000002</v>
      </c>
      <c r="K3481">
        <v>0.48754700000000001</v>
      </c>
      <c r="L3481">
        <v>240</v>
      </c>
      <c r="M3481">
        <v>12</v>
      </c>
      <c r="N3481">
        <v>13</v>
      </c>
      <c r="O3481">
        <v>0.808786</v>
      </c>
      <c r="P3481">
        <v>0.48122999999999999</v>
      </c>
      <c r="Q3481">
        <v>0.19422700000000001</v>
      </c>
    </row>
    <row r="3482" spans="1:17" x14ac:dyDescent="0.25">
      <c r="A3482" t="str">
        <f>IF(C3482&amp;G3482&amp;D3482&lt;&gt;'Funnel setup'!$K$3&amp;'Funnel setup'!$K$4&amp;'Funnel setup'!$K$6,".",IF(A3481=".",1,A3481+1))</f>
        <v>.</v>
      </c>
      <c r="B3482" s="244" t="str">
        <f t="shared" si="54"/>
        <v>Total Hip ReplacementSub-ICB of GP PracticeNHS CHESHIRE AND MERSEYSIDE ICB - 99A (99A)EQ-5D Index</v>
      </c>
      <c r="C3482" t="s">
        <v>974</v>
      </c>
      <c r="D3482" t="s">
        <v>1021</v>
      </c>
      <c r="E3482" t="s">
        <v>785</v>
      </c>
      <c r="F3482" t="s">
        <v>786</v>
      </c>
      <c r="G3482" t="s">
        <v>963</v>
      </c>
      <c r="H3482">
        <v>83</v>
      </c>
      <c r="I3482">
        <v>0.171241</v>
      </c>
      <c r="J3482">
        <v>0.70749399999999996</v>
      </c>
      <c r="K3482">
        <v>0.53625299999999998</v>
      </c>
      <c r="L3482">
        <v>76</v>
      </c>
      <c r="M3482">
        <v>5</v>
      </c>
      <c r="N3482">
        <v>2</v>
      </c>
      <c r="O3482">
        <v>0.79805499999999996</v>
      </c>
      <c r="P3482">
        <v>0.470499</v>
      </c>
      <c r="Q3482">
        <v>0.27444000000000002</v>
      </c>
    </row>
    <row r="3483" spans="1:17" x14ac:dyDescent="0.25">
      <c r="A3483" t="str">
        <f>IF(C3483&amp;G3483&amp;D3483&lt;&gt;'Funnel setup'!$K$3&amp;'Funnel setup'!$K$4&amp;'Funnel setup'!$K$6,".",IF(A3482=".",1,A3482+1))</f>
        <v>.</v>
      </c>
      <c r="B3483" s="244" t="str">
        <f t="shared" si="54"/>
        <v>Total Hip ReplacementSub-ICB of GP PracticeNHS CORNWALL AND THE ISLES OF SCILLY ICB - 11N (11N)EQ-5D Index</v>
      </c>
      <c r="C3483" t="s">
        <v>974</v>
      </c>
      <c r="D3483" t="s">
        <v>1021</v>
      </c>
      <c r="E3483" t="s">
        <v>787</v>
      </c>
      <c r="F3483" t="s">
        <v>788</v>
      </c>
      <c r="G3483" t="s">
        <v>963</v>
      </c>
      <c r="H3483">
        <v>160</v>
      </c>
      <c r="I3483">
        <v>0.40044999999999997</v>
      </c>
      <c r="J3483">
        <v>0.83939399999999997</v>
      </c>
      <c r="K3483">
        <v>0.438944</v>
      </c>
      <c r="L3483">
        <v>147</v>
      </c>
      <c r="M3483">
        <v>5</v>
      </c>
      <c r="N3483">
        <v>8</v>
      </c>
      <c r="O3483">
        <v>0.82519500000000001</v>
      </c>
      <c r="P3483">
        <v>0.497639</v>
      </c>
      <c r="Q3483">
        <v>0.24649099999999999</v>
      </c>
    </row>
    <row r="3484" spans="1:17" x14ac:dyDescent="0.25">
      <c r="A3484" t="str">
        <f>IF(C3484&amp;G3484&amp;D3484&lt;&gt;'Funnel setup'!$K$3&amp;'Funnel setup'!$K$4&amp;'Funnel setup'!$K$6,".",IF(A3483=".",1,A3483+1))</f>
        <v>.</v>
      </c>
      <c r="B3484" s="244" t="str">
        <f t="shared" si="54"/>
        <v>Total Hip ReplacementSub-ICB of GP PracticeNHS COVENTRY AND WARWICKSHIRE ICB - B2M3M (B2M3M)EQ-5D Index</v>
      </c>
      <c r="C3484" t="s">
        <v>974</v>
      </c>
      <c r="D3484" t="s">
        <v>1021</v>
      </c>
      <c r="E3484" t="s">
        <v>789</v>
      </c>
      <c r="F3484" t="s">
        <v>790</v>
      </c>
      <c r="G3484" t="s">
        <v>963</v>
      </c>
      <c r="H3484">
        <v>263</v>
      </c>
      <c r="I3484">
        <v>0.40902300000000003</v>
      </c>
      <c r="J3484">
        <v>0.83055900000000005</v>
      </c>
      <c r="K3484">
        <v>0.42153600000000002</v>
      </c>
      <c r="L3484">
        <v>231</v>
      </c>
      <c r="M3484">
        <v>19</v>
      </c>
      <c r="N3484">
        <v>13</v>
      </c>
      <c r="O3484">
        <v>0.78751499999999997</v>
      </c>
      <c r="P3484">
        <v>0.45995900000000001</v>
      </c>
      <c r="Q3484">
        <v>0.21493899999999999</v>
      </c>
    </row>
    <row r="3485" spans="1:17" x14ac:dyDescent="0.25">
      <c r="A3485" t="str">
        <f>IF(C3485&amp;G3485&amp;D3485&lt;&gt;'Funnel setup'!$K$3&amp;'Funnel setup'!$K$4&amp;'Funnel setup'!$K$6,".",IF(A3484=".",1,A3484+1))</f>
        <v>.</v>
      </c>
      <c r="B3485" s="244" t="str">
        <f t="shared" si="54"/>
        <v>Total Hip ReplacementSub-ICB of GP PracticeNHS DERBY AND DERBYSHIRE ICB - 15M (15M)EQ-5D Index</v>
      </c>
      <c r="C3485" t="s">
        <v>974</v>
      </c>
      <c r="D3485" t="s">
        <v>1021</v>
      </c>
      <c r="E3485" t="s">
        <v>791</v>
      </c>
      <c r="F3485" t="s">
        <v>792</v>
      </c>
      <c r="G3485" t="s">
        <v>963</v>
      </c>
      <c r="H3485">
        <v>469</v>
      </c>
      <c r="I3485">
        <v>0.281362</v>
      </c>
      <c r="J3485">
        <v>0.75836899999999996</v>
      </c>
      <c r="K3485">
        <v>0.47700599999999999</v>
      </c>
      <c r="L3485">
        <v>413</v>
      </c>
      <c r="M3485">
        <v>22</v>
      </c>
      <c r="N3485">
        <v>34</v>
      </c>
      <c r="O3485">
        <v>0.77604499999999998</v>
      </c>
      <c r="P3485">
        <v>0.44848900000000003</v>
      </c>
      <c r="Q3485">
        <v>0.24310999999999999</v>
      </c>
    </row>
    <row r="3486" spans="1:17" x14ac:dyDescent="0.25">
      <c r="A3486" t="str">
        <f>IF(C3486&amp;G3486&amp;D3486&lt;&gt;'Funnel setup'!$K$3&amp;'Funnel setup'!$K$4&amp;'Funnel setup'!$K$6,".",IF(A3485=".",1,A3485+1))</f>
        <v>.</v>
      </c>
      <c r="B3486" s="244" t="str">
        <f t="shared" si="54"/>
        <v>Total Hip ReplacementSub-ICB of GP PracticeNHS DEVON ICB - 15N (15N)EQ-5D Index</v>
      </c>
      <c r="C3486" t="s">
        <v>974</v>
      </c>
      <c r="D3486" t="s">
        <v>1021</v>
      </c>
      <c r="E3486" t="s">
        <v>793</v>
      </c>
      <c r="F3486" t="s">
        <v>794</v>
      </c>
      <c r="G3486" t="s">
        <v>963</v>
      </c>
      <c r="H3486">
        <v>359</v>
      </c>
      <c r="I3486">
        <v>0.31923099999999999</v>
      </c>
      <c r="J3486">
        <v>0.811774</v>
      </c>
      <c r="K3486">
        <v>0.49254300000000001</v>
      </c>
      <c r="L3486">
        <v>324</v>
      </c>
      <c r="M3486">
        <v>14</v>
      </c>
      <c r="N3486">
        <v>21</v>
      </c>
      <c r="O3486">
        <v>0.81181199999999998</v>
      </c>
      <c r="P3486">
        <v>0.48425600000000002</v>
      </c>
      <c r="Q3486">
        <v>0.21498600000000001</v>
      </c>
    </row>
    <row r="3487" spans="1:17" x14ac:dyDescent="0.25">
      <c r="A3487" t="str">
        <f>IF(C3487&amp;G3487&amp;D3487&lt;&gt;'Funnel setup'!$K$3&amp;'Funnel setup'!$K$4&amp;'Funnel setup'!$K$6,".",IF(A3486=".",1,A3486+1))</f>
        <v>.</v>
      </c>
      <c r="B3487" s="244" t="str">
        <f t="shared" si="54"/>
        <v>Total Hip ReplacementSub-ICB of GP PracticeNHS DORSET ICB - 11J (11J)EQ-5D Index</v>
      </c>
      <c r="C3487" t="s">
        <v>974</v>
      </c>
      <c r="D3487" t="s">
        <v>1021</v>
      </c>
      <c r="E3487" t="s">
        <v>795</v>
      </c>
      <c r="F3487" t="s">
        <v>796</v>
      </c>
      <c r="G3487" t="s">
        <v>963</v>
      </c>
      <c r="H3487">
        <v>277</v>
      </c>
      <c r="I3487">
        <v>0.38672899999999999</v>
      </c>
      <c r="J3487">
        <v>0.81212600000000001</v>
      </c>
      <c r="K3487">
        <v>0.42539700000000003</v>
      </c>
      <c r="L3487">
        <v>245</v>
      </c>
      <c r="M3487">
        <v>17</v>
      </c>
      <c r="N3487">
        <v>15</v>
      </c>
      <c r="O3487">
        <v>0.79161000000000004</v>
      </c>
      <c r="P3487">
        <v>0.46405400000000002</v>
      </c>
      <c r="Q3487">
        <v>0.23991699999999999</v>
      </c>
    </row>
    <row r="3488" spans="1:17" x14ac:dyDescent="0.25">
      <c r="A3488" t="str">
        <f>IF(C3488&amp;G3488&amp;D3488&lt;&gt;'Funnel setup'!$K$3&amp;'Funnel setup'!$K$4&amp;'Funnel setup'!$K$6,".",IF(A3487=".",1,A3487+1))</f>
        <v>.</v>
      </c>
      <c r="B3488" s="244" t="str">
        <f t="shared" si="54"/>
        <v>Total Hip ReplacementSub-ICB of GP PracticeNHS FRIMLEY ICB - D4U1Y (D4U1Y)EQ-5D Index</v>
      </c>
      <c r="C3488" t="s">
        <v>974</v>
      </c>
      <c r="D3488" t="s">
        <v>1021</v>
      </c>
      <c r="E3488" t="s">
        <v>797</v>
      </c>
      <c r="F3488" t="s">
        <v>798</v>
      </c>
      <c r="G3488" t="s">
        <v>963</v>
      </c>
      <c r="H3488">
        <v>174</v>
      </c>
      <c r="I3488">
        <v>0.35222399999999998</v>
      </c>
      <c r="J3488">
        <v>0.80652900000000005</v>
      </c>
      <c r="K3488">
        <v>0.45430500000000001</v>
      </c>
      <c r="L3488">
        <v>160</v>
      </c>
      <c r="M3488">
        <v>6</v>
      </c>
      <c r="N3488">
        <v>8</v>
      </c>
      <c r="O3488">
        <v>0.79210199999999997</v>
      </c>
      <c r="P3488">
        <v>0.46454600000000001</v>
      </c>
      <c r="Q3488">
        <v>0.20605299999999999</v>
      </c>
    </row>
    <row r="3489" spans="1:17" x14ac:dyDescent="0.25">
      <c r="A3489" t="str">
        <f>IF(C3489&amp;G3489&amp;D3489&lt;&gt;'Funnel setup'!$K$3&amp;'Funnel setup'!$K$4&amp;'Funnel setup'!$K$6,".",IF(A3488=".",1,A3488+1))</f>
        <v>.</v>
      </c>
      <c r="B3489" s="244" t="str">
        <f t="shared" si="54"/>
        <v>Total Hip ReplacementSub-ICB of GP PracticeNHS GLOUCESTERSHIRE ICB - 11M (11M)EQ-5D Index</v>
      </c>
      <c r="C3489" t="s">
        <v>974</v>
      </c>
      <c r="D3489" t="s">
        <v>1021</v>
      </c>
      <c r="E3489" t="s">
        <v>799</v>
      </c>
      <c r="F3489" t="s">
        <v>800</v>
      </c>
      <c r="G3489" t="s">
        <v>963</v>
      </c>
      <c r="H3489">
        <v>166</v>
      </c>
      <c r="I3489">
        <v>0.328795</v>
      </c>
      <c r="J3489">
        <v>0.80465699999999996</v>
      </c>
      <c r="K3489">
        <v>0.47586099999999998</v>
      </c>
      <c r="L3489">
        <v>155</v>
      </c>
      <c r="M3489">
        <v>5</v>
      </c>
      <c r="N3489">
        <v>6</v>
      </c>
      <c r="O3489">
        <v>0.79203599999999996</v>
      </c>
      <c r="P3489">
        <v>0.46448</v>
      </c>
      <c r="Q3489">
        <v>0.20690700000000001</v>
      </c>
    </row>
    <row r="3490" spans="1:17" x14ac:dyDescent="0.25">
      <c r="A3490" t="str">
        <f>IF(C3490&amp;G3490&amp;D3490&lt;&gt;'Funnel setup'!$K$3&amp;'Funnel setup'!$K$4&amp;'Funnel setup'!$K$6,".",IF(A3489=".",1,A3489+1))</f>
        <v>.</v>
      </c>
      <c r="B3490" s="244" t="str">
        <f t="shared" si="54"/>
        <v>Total Hip ReplacementSub-ICB of GP PracticeNHS GREATER MANCHESTER ICB - 00T (00T)EQ-5D Index</v>
      </c>
      <c r="C3490" t="s">
        <v>974</v>
      </c>
      <c r="D3490" t="s">
        <v>1021</v>
      </c>
      <c r="E3490" t="s">
        <v>801</v>
      </c>
      <c r="F3490" t="s">
        <v>802</v>
      </c>
      <c r="G3490" t="s">
        <v>963</v>
      </c>
      <c r="H3490">
        <v>49</v>
      </c>
      <c r="I3490">
        <v>0.24804100000000001</v>
      </c>
      <c r="J3490">
        <v>0.74481600000000003</v>
      </c>
      <c r="K3490">
        <v>0.496776</v>
      </c>
      <c r="L3490">
        <v>44</v>
      </c>
      <c r="M3490">
        <v>1</v>
      </c>
      <c r="N3490">
        <v>4</v>
      </c>
      <c r="O3490">
        <v>0.79913400000000001</v>
      </c>
      <c r="P3490">
        <v>0.471578</v>
      </c>
      <c r="Q3490">
        <v>0.26017699999999999</v>
      </c>
    </row>
    <row r="3491" spans="1:17" x14ac:dyDescent="0.25">
      <c r="A3491" t="str">
        <f>IF(C3491&amp;G3491&amp;D3491&lt;&gt;'Funnel setup'!$K$3&amp;'Funnel setup'!$K$4&amp;'Funnel setup'!$K$6,".",IF(A3490=".",1,A3490+1))</f>
        <v>.</v>
      </c>
      <c r="B3491" s="244" t="str">
        <f t="shared" si="54"/>
        <v>Total Hip ReplacementSub-ICB of GP PracticeNHS GREATER MANCHESTER ICB - 00V (00V)EQ-5D Index</v>
      </c>
      <c r="C3491" t="s">
        <v>974</v>
      </c>
      <c r="D3491" t="s">
        <v>1021</v>
      </c>
      <c r="E3491" t="s">
        <v>803</v>
      </c>
      <c r="F3491" t="s">
        <v>804</v>
      </c>
      <c r="G3491" t="s">
        <v>963</v>
      </c>
      <c r="H3491">
        <v>15</v>
      </c>
      <c r="I3491">
        <v>0.235933</v>
      </c>
      <c r="J3491">
        <v>0.77573300000000001</v>
      </c>
      <c r="K3491">
        <v>0.53979999999999995</v>
      </c>
      <c r="L3491">
        <v>15</v>
      </c>
      <c r="M3491">
        <v>0</v>
      </c>
      <c r="N3491">
        <v>0</v>
      </c>
      <c r="O3491" t="s">
        <v>127</v>
      </c>
      <c r="P3491" t="s">
        <v>127</v>
      </c>
      <c r="Q3491" t="s">
        <v>127</v>
      </c>
    </row>
    <row r="3492" spans="1:17" x14ac:dyDescent="0.25">
      <c r="A3492" t="str">
        <f>IF(C3492&amp;G3492&amp;D3492&lt;&gt;'Funnel setup'!$K$3&amp;'Funnel setup'!$K$4&amp;'Funnel setup'!$K$6,".",IF(A3491=".",1,A3491+1))</f>
        <v>.</v>
      </c>
      <c r="B3492" s="244" t="str">
        <f t="shared" si="54"/>
        <v>Total Hip ReplacementSub-ICB of GP PracticeNHS GREATER MANCHESTER ICB - 00Y (00Y)EQ-5D Index</v>
      </c>
      <c r="C3492" t="s">
        <v>974</v>
      </c>
      <c r="D3492" t="s">
        <v>1021</v>
      </c>
      <c r="E3492" t="s">
        <v>805</v>
      </c>
      <c r="F3492" t="s">
        <v>806</v>
      </c>
      <c r="G3492" t="s">
        <v>963</v>
      </c>
      <c r="H3492">
        <v>66</v>
      </c>
      <c r="I3492">
        <v>0.340227</v>
      </c>
      <c r="J3492">
        <v>0.84721199999999997</v>
      </c>
      <c r="K3492">
        <v>0.50698500000000002</v>
      </c>
      <c r="L3492">
        <v>63</v>
      </c>
      <c r="M3492">
        <v>2</v>
      </c>
      <c r="N3492">
        <v>1</v>
      </c>
      <c r="O3492">
        <v>0.82295499999999999</v>
      </c>
      <c r="P3492">
        <v>0.49539899999999998</v>
      </c>
      <c r="Q3492">
        <v>0.181092</v>
      </c>
    </row>
    <row r="3493" spans="1:17" x14ac:dyDescent="0.25">
      <c r="A3493" t="str">
        <f>IF(C3493&amp;G3493&amp;D3493&lt;&gt;'Funnel setup'!$K$3&amp;'Funnel setup'!$K$4&amp;'Funnel setup'!$K$6,".",IF(A3492=".",1,A3492+1))</f>
        <v>.</v>
      </c>
      <c r="B3493" s="244" t="str">
        <f t="shared" si="54"/>
        <v>Total Hip ReplacementSub-ICB of GP PracticeNHS GREATER MANCHESTER ICB - 01D (01D)EQ-5D Index</v>
      </c>
      <c r="C3493" t="s">
        <v>974</v>
      </c>
      <c r="D3493" t="s">
        <v>1021</v>
      </c>
      <c r="E3493" t="s">
        <v>807</v>
      </c>
      <c r="F3493" t="s">
        <v>808</v>
      </c>
      <c r="G3493" t="s">
        <v>963</v>
      </c>
      <c r="H3493">
        <v>19</v>
      </c>
      <c r="I3493">
        <v>0.331737</v>
      </c>
      <c r="J3493">
        <v>0.71415799999999996</v>
      </c>
      <c r="K3493">
        <v>0.38242100000000001</v>
      </c>
      <c r="L3493">
        <v>17</v>
      </c>
      <c r="M3493">
        <v>0</v>
      </c>
      <c r="N3493">
        <v>2</v>
      </c>
      <c r="O3493" t="s">
        <v>127</v>
      </c>
      <c r="P3493" t="s">
        <v>127</v>
      </c>
      <c r="Q3493" t="s">
        <v>127</v>
      </c>
    </row>
    <row r="3494" spans="1:17" x14ac:dyDescent="0.25">
      <c r="A3494" t="str">
        <f>IF(C3494&amp;G3494&amp;D3494&lt;&gt;'Funnel setup'!$K$3&amp;'Funnel setup'!$K$4&amp;'Funnel setup'!$K$6,".",IF(A3493=".",1,A3493+1))</f>
        <v>.</v>
      </c>
      <c r="B3494" s="244" t="str">
        <f t="shared" si="54"/>
        <v>Total Hip ReplacementSub-ICB of GP PracticeNHS GREATER MANCHESTER ICB - 01G (01G)EQ-5D Index</v>
      </c>
      <c r="C3494" t="s">
        <v>974</v>
      </c>
      <c r="D3494" t="s">
        <v>1021</v>
      </c>
      <c r="E3494" t="s">
        <v>809</v>
      </c>
      <c r="F3494" t="s">
        <v>810</v>
      </c>
      <c r="G3494" t="s">
        <v>963</v>
      </c>
      <c r="H3494">
        <v>35</v>
      </c>
      <c r="I3494">
        <v>0.34548600000000002</v>
      </c>
      <c r="J3494">
        <v>0.77217100000000005</v>
      </c>
      <c r="K3494">
        <v>0.42668600000000001</v>
      </c>
      <c r="L3494">
        <v>27</v>
      </c>
      <c r="M3494">
        <v>5</v>
      </c>
      <c r="N3494">
        <v>3</v>
      </c>
      <c r="O3494">
        <v>0.78304600000000002</v>
      </c>
      <c r="P3494">
        <v>0.45549099999999998</v>
      </c>
      <c r="Q3494">
        <v>0.24240800000000001</v>
      </c>
    </row>
    <row r="3495" spans="1:17" x14ac:dyDescent="0.25">
      <c r="A3495" t="str">
        <f>IF(C3495&amp;G3495&amp;D3495&lt;&gt;'Funnel setup'!$K$3&amp;'Funnel setup'!$K$4&amp;'Funnel setup'!$K$6,".",IF(A3494=".",1,A3494+1))</f>
        <v>.</v>
      </c>
      <c r="B3495" s="244" t="str">
        <f t="shared" si="54"/>
        <v>Total Hip ReplacementSub-ICB of GP PracticeNHS GREATER MANCHESTER ICB - 01W (01W)EQ-5D Index</v>
      </c>
      <c r="C3495" t="s">
        <v>974</v>
      </c>
      <c r="D3495" t="s">
        <v>1021</v>
      </c>
      <c r="E3495" t="s">
        <v>811</v>
      </c>
      <c r="F3495" t="s">
        <v>812</v>
      </c>
      <c r="G3495" t="s">
        <v>963</v>
      </c>
      <c r="H3495">
        <v>83</v>
      </c>
      <c r="I3495">
        <v>0.32195200000000002</v>
      </c>
      <c r="J3495">
        <v>0.80144599999999999</v>
      </c>
      <c r="K3495">
        <v>0.47949399999999998</v>
      </c>
      <c r="L3495">
        <v>77</v>
      </c>
      <c r="M3495">
        <v>3</v>
      </c>
      <c r="N3495">
        <v>3</v>
      </c>
      <c r="O3495">
        <v>0.81904399999999999</v>
      </c>
      <c r="P3495">
        <v>0.49148799999999998</v>
      </c>
      <c r="Q3495">
        <v>0.194575</v>
      </c>
    </row>
    <row r="3496" spans="1:17" x14ac:dyDescent="0.25">
      <c r="A3496" t="str">
        <f>IF(C3496&amp;G3496&amp;D3496&lt;&gt;'Funnel setup'!$K$3&amp;'Funnel setup'!$K$4&amp;'Funnel setup'!$K$6,".",IF(A3495=".",1,A3495+1))</f>
        <v>.</v>
      </c>
      <c r="B3496" s="244" t="str">
        <f t="shared" si="54"/>
        <v>Total Hip ReplacementSub-ICB of GP PracticeNHS GREATER MANCHESTER ICB - 01Y (01Y)EQ-5D Index</v>
      </c>
      <c r="C3496" t="s">
        <v>974</v>
      </c>
      <c r="D3496" t="s">
        <v>1021</v>
      </c>
      <c r="E3496" t="s">
        <v>813</v>
      </c>
      <c r="F3496" t="s">
        <v>814</v>
      </c>
      <c r="G3496" t="s">
        <v>963</v>
      </c>
      <c r="H3496">
        <v>33</v>
      </c>
      <c r="I3496">
        <v>0.33700000000000002</v>
      </c>
      <c r="J3496">
        <v>0.74351500000000004</v>
      </c>
      <c r="K3496">
        <v>0.40651500000000002</v>
      </c>
      <c r="L3496">
        <v>29</v>
      </c>
      <c r="M3496">
        <v>2</v>
      </c>
      <c r="N3496">
        <v>2</v>
      </c>
      <c r="O3496">
        <v>0.73902599999999996</v>
      </c>
      <c r="P3496">
        <v>0.41147</v>
      </c>
      <c r="Q3496">
        <v>0.21974299999999999</v>
      </c>
    </row>
    <row r="3497" spans="1:17" x14ac:dyDescent="0.25">
      <c r="A3497" t="str">
        <f>IF(C3497&amp;G3497&amp;D3497&lt;&gt;'Funnel setup'!$K$3&amp;'Funnel setup'!$K$4&amp;'Funnel setup'!$K$6,".",IF(A3496=".",1,A3496+1))</f>
        <v>.</v>
      </c>
      <c r="B3497" s="244" t="str">
        <f t="shared" si="54"/>
        <v>Total Hip ReplacementSub-ICB of GP PracticeNHS GREATER MANCHESTER ICB - 02A (02A)EQ-5D Index</v>
      </c>
      <c r="C3497" t="s">
        <v>974</v>
      </c>
      <c r="D3497" t="s">
        <v>1021</v>
      </c>
      <c r="E3497" t="s">
        <v>815</v>
      </c>
      <c r="F3497" t="s">
        <v>816</v>
      </c>
      <c r="G3497" t="s">
        <v>963</v>
      </c>
      <c r="H3497">
        <v>78</v>
      </c>
      <c r="I3497">
        <v>0.31962800000000002</v>
      </c>
      <c r="J3497">
        <v>0.75156400000000001</v>
      </c>
      <c r="K3497">
        <v>0.43193599999999999</v>
      </c>
      <c r="L3497">
        <v>70</v>
      </c>
      <c r="M3497">
        <v>2</v>
      </c>
      <c r="N3497">
        <v>6</v>
      </c>
      <c r="O3497">
        <v>0.74857799999999997</v>
      </c>
      <c r="P3497">
        <v>0.42102200000000001</v>
      </c>
      <c r="Q3497">
        <v>0.217224</v>
      </c>
    </row>
    <row r="3498" spans="1:17" x14ac:dyDescent="0.25">
      <c r="A3498" t="str">
        <f>IF(C3498&amp;G3498&amp;D3498&lt;&gt;'Funnel setup'!$K$3&amp;'Funnel setup'!$K$4&amp;'Funnel setup'!$K$6,".",IF(A3497=".",1,A3497+1))</f>
        <v>.</v>
      </c>
      <c r="B3498" s="244" t="str">
        <f t="shared" si="54"/>
        <v>Total Hip ReplacementSub-ICB of GP PracticeNHS GREATER MANCHESTER ICB - 02H (02H)EQ-5D Index</v>
      </c>
      <c r="C3498" t="s">
        <v>974</v>
      </c>
      <c r="D3498" t="s">
        <v>1021</v>
      </c>
      <c r="E3498" t="s">
        <v>817</v>
      </c>
      <c r="F3498" t="s">
        <v>818</v>
      </c>
      <c r="G3498" t="s">
        <v>963</v>
      </c>
      <c r="H3498">
        <v>29</v>
      </c>
      <c r="I3498">
        <v>0.228379</v>
      </c>
      <c r="J3498">
        <v>0.73317200000000005</v>
      </c>
      <c r="K3498">
        <v>0.50479300000000005</v>
      </c>
      <c r="L3498">
        <v>25</v>
      </c>
      <c r="M3498">
        <v>2</v>
      </c>
      <c r="N3498">
        <v>2</v>
      </c>
      <c r="O3498" t="s">
        <v>127</v>
      </c>
      <c r="P3498" t="s">
        <v>127</v>
      </c>
      <c r="Q3498" t="s">
        <v>127</v>
      </c>
    </row>
    <row r="3499" spans="1:17" x14ac:dyDescent="0.25">
      <c r="A3499" t="str">
        <f>IF(C3499&amp;G3499&amp;D3499&lt;&gt;'Funnel setup'!$K$3&amp;'Funnel setup'!$K$4&amp;'Funnel setup'!$K$6,".",IF(A3498=".",1,A3498+1))</f>
        <v>.</v>
      </c>
      <c r="B3499" s="244" t="str">
        <f t="shared" si="54"/>
        <v>Total Hip ReplacementSub-ICB of GP PracticeNHS GREATER MANCHESTER ICB - 14L (14L)EQ-5D Index</v>
      </c>
      <c r="C3499" t="s">
        <v>974</v>
      </c>
      <c r="D3499" t="s">
        <v>1021</v>
      </c>
      <c r="E3499" t="s">
        <v>819</v>
      </c>
      <c r="F3499" t="s">
        <v>820</v>
      </c>
      <c r="G3499" t="s">
        <v>963</v>
      </c>
      <c r="H3499">
        <v>45</v>
      </c>
      <c r="I3499">
        <v>0.24951100000000001</v>
      </c>
      <c r="J3499">
        <v>0.69671099999999997</v>
      </c>
      <c r="K3499">
        <v>0.44719999999999999</v>
      </c>
      <c r="L3499">
        <v>36</v>
      </c>
      <c r="M3499">
        <v>4</v>
      </c>
      <c r="N3499">
        <v>5</v>
      </c>
      <c r="O3499">
        <v>0.73772700000000002</v>
      </c>
      <c r="P3499">
        <v>0.41017100000000001</v>
      </c>
      <c r="Q3499">
        <v>0.30044999999999999</v>
      </c>
    </row>
    <row r="3500" spans="1:17" x14ac:dyDescent="0.25">
      <c r="A3500" t="str">
        <f>IF(C3500&amp;G3500&amp;D3500&lt;&gt;'Funnel setup'!$K$3&amp;'Funnel setup'!$K$4&amp;'Funnel setup'!$K$6,".",IF(A3499=".",1,A3499+1))</f>
        <v>.</v>
      </c>
      <c r="B3500" s="244" t="str">
        <f t="shared" si="54"/>
        <v>Total Hip ReplacementSub-ICB of GP PracticeNHS HAMPSHIRE AND ISLE OF WIGHT ICB - 10R (10R)EQ-5D Index</v>
      </c>
      <c r="C3500" t="s">
        <v>974</v>
      </c>
      <c r="D3500" t="s">
        <v>1021</v>
      </c>
      <c r="E3500" t="s">
        <v>821</v>
      </c>
      <c r="F3500" t="s">
        <v>822</v>
      </c>
      <c r="G3500" t="s">
        <v>963</v>
      </c>
      <c r="H3500">
        <v>12</v>
      </c>
      <c r="I3500">
        <v>0.35483300000000001</v>
      </c>
      <c r="J3500">
        <v>0.723333</v>
      </c>
      <c r="K3500">
        <v>0.36849999999999999</v>
      </c>
      <c r="L3500">
        <v>11</v>
      </c>
      <c r="M3500">
        <v>1</v>
      </c>
      <c r="N3500">
        <v>0</v>
      </c>
      <c r="O3500" t="s">
        <v>127</v>
      </c>
      <c r="P3500" t="s">
        <v>127</v>
      </c>
      <c r="Q3500" t="s">
        <v>127</v>
      </c>
    </row>
    <row r="3501" spans="1:17" x14ac:dyDescent="0.25">
      <c r="A3501" t="str">
        <f>IF(C3501&amp;G3501&amp;D3501&lt;&gt;'Funnel setup'!$K$3&amp;'Funnel setup'!$K$4&amp;'Funnel setup'!$K$6,".",IF(A3500=".",1,A3500+1))</f>
        <v>.</v>
      </c>
      <c r="B3501" s="244" t="str">
        <f t="shared" si="54"/>
        <v>Total Hip ReplacementSub-ICB of GP PracticeNHS HAMPSHIRE AND ISLE OF WIGHT ICB - D9Y0V (D9Y0V)EQ-5D Index</v>
      </c>
      <c r="C3501" t="s">
        <v>974</v>
      </c>
      <c r="D3501" t="s">
        <v>1021</v>
      </c>
      <c r="E3501" t="s">
        <v>823</v>
      </c>
      <c r="F3501" t="s">
        <v>824</v>
      </c>
      <c r="G3501" t="s">
        <v>963</v>
      </c>
      <c r="H3501">
        <v>422</v>
      </c>
      <c r="I3501">
        <v>0.38518000000000002</v>
      </c>
      <c r="J3501">
        <v>0.80040299999999998</v>
      </c>
      <c r="K3501">
        <v>0.41522300000000001</v>
      </c>
      <c r="L3501">
        <v>365</v>
      </c>
      <c r="M3501">
        <v>31</v>
      </c>
      <c r="N3501">
        <v>26</v>
      </c>
      <c r="O3501">
        <v>0.77790599999999999</v>
      </c>
      <c r="P3501">
        <v>0.45034999999999997</v>
      </c>
      <c r="Q3501">
        <v>0.22089200000000001</v>
      </c>
    </row>
    <row r="3502" spans="1:17" x14ac:dyDescent="0.25">
      <c r="A3502" t="str">
        <f>IF(C3502&amp;G3502&amp;D3502&lt;&gt;'Funnel setup'!$K$3&amp;'Funnel setup'!$K$4&amp;'Funnel setup'!$K$6,".",IF(A3501=".",1,A3501+1))</f>
        <v>.</v>
      </c>
      <c r="B3502" s="244" t="str">
        <f t="shared" si="54"/>
        <v>Total Hip ReplacementSub-ICB of GP PracticeNHS HEREFORDSHIRE AND WORCESTERSHIRE ICB - 18C (18C)EQ-5D Index</v>
      </c>
      <c r="C3502" t="s">
        <v>974</v>
      </c>
      <c r="D3502" t="s">
        <v>1021</v>
      </c>
      <c r="E3502" t="s">
        <v>825</v>
      </c>
      <c r="F3502" t="s">
        <v>826</v>
      </c>
      <c r="G3502" t="s">
        <v>963</v>
      </c>
      <c r="H3502">
        <v>220</v>
      </c>
      <c r="I3502">
        <v>0.25375500000000001</v>
      </c>
      <c r="J3502">
        <v>0.77179500000000001</v>
      </c>
      <c r="K3502">
        <v>0.51804099999999997</v>
      </c>
      <c r="L3502">
        <v>201</v>
      </c>
      <c r="M3502">
        <v>6</v>
      </c>
      <c r="N3502">
        <v>13</v>
      </c>
      <c r="O3502">
        <v>0.79596299999999998</v>
      </c>
      <c r="P3502">
        <v>0.46840700000000002</v>
      </c>
      <c r="Q3502">
        <v>0.24491599999999999</v>
      </c>
    </row>
    <row r="3503" spans="1:17" x14ac:dyDescent="0.25">
      <c r="A3503" t="str">
        <f>IF(C3503&amp;G3503&amp;D3503&lt;&gt;'Funnel setup'!$K$3&amp;'Funnel setup'!$K$4&amp;'Funnel setup'!$K$6,".",IF(A3502=".",1,A3502+1))</f>
        <v>.</v>
      </c>
      <c r="B3503" s="244" t="str">
        <f t="shared" si="54"/>
        <v>Total Hip ReplacementSub-ICB of GP PracticeNHS HERTFORDSHIRE AND WEST ESSEX ICB - 06K (06K)EQ-5D Index</v>
      </c>
      <c r="C3503" t="s">
        <v>974</v>
      </c>
      <c r="D3503" t="s">
        <v>1021</v>
      </c>
      <c r="E3503" t="s">
        <v>827</v>
      </c>
      <c r="F3503" t="s">
        <v>828</v>
      </c>
      <c r="G3503" t="s">
        <v>963</v>
      </c>
      <c r="H3503">
        <v>112</v>
      </c>
      <c r="I3503">
        <v>0.32813399999999998</v>
      </c>
      <c r="J3503">
        <v>0.73290200000000005</v>
      </c>
      <c r="K3503">
        <v>0.40476800000000002</v>
      </c>
      <c r="L3503">
        <v>99</v>
      </c>
      <c r="M3503">
        <v>2</v>
      </c>
      <c r="N3503">
        <v>11</v>
      </c>
      <c r="O3503">
        <v>0.73621000000000003</v>
      </c>
      <c r="P3503">
        <v>0.40865400000000002</v>
      </c>
      <c r="Q3503">
        <v>0.26052399999999998</v>
      </c>
    </row>
    <row r="3504" spans="1:17" x14ac:dyDescent="0.25">
      <c r="A3504" t="str">
        <f>IF(C3504&amp;G3504&amp;D3504&lt;&gt;'Funnel setup'!$K$3&amp;'Funnel setup'!$K$4&amp;'Funnel setup'!$K$6,".",IF(A3503=".",1,A3503+1))</f>
        <v>.</v>
      </c>
      <c r="B3504" s="244" t="str">
        <f t="shared" si="54"/>
        <v>Total Hip ReplacementSub-ICB of GP PracticeNHS HERTFORDSHIRE AND WEST ESSEX ICB - 06N (06N)EQ-5D Index</v>
      </c>
      <c r="C3504" t="s">
        <v>974</v>
      </c>
      <c r="D3504" t="s">
        <v>1021</v>
      </c>
      <c r="E3504" t="s">
        <v>829</v>
      </c>
      <c r="F3504" t="s">
        <v>830</v>
      </c>
      <c r="G3504" t="s">
        <v>963</v>
      </c>
      <c r="H3504">
        <v>132</v>
      </c>
      <c r="I3504">
        <v>0.324515</v>
      </c>
      <c r="J3504">
        <v>0.74258299999999999</v>
      </c>
      <c r="K3504">
        <v>0.418068</v>
      </c>
      <c r="L3504">
        <v>115</v>
      </c>
      <c r="M3504">
        <v>7</v>
      </c>
      <c r="N3504">
        <v>10</v>
      </c>
      <c r="O3504">
        <v>0.73796499999999998</v>
      </c>
      <c r="P3504">
        <v>0.41040900000000002</v>
      </c>
      <c r="Q3504">
        <v>0.25375199999999998</v>
      </c>
    </row>
    <row r="3505" spans="1:17" x14ac:dyDescent="0.25">
      <c r="A3505" t="str">
        <f>IF(C3505&amp;G3505&amp;D3505&lt;&gt;'Funnel setup'!$K$3&amp;'Funnel setup'!$K$4&amp;'Funnel setup'!$K$6,".",IF(A3504=".",1,A3504+1))</f>
        <v>.</v>
      </c>
      <c r="B3505" s="244" t="str">
        <f t="shared" si="54"/>
        <v>Total Hip ReplacementSub-ICB of GP PracticeNHS HERTFORDSHIRE AND WEST ESSEX ICB - 07H (07H)EQ-5D Index</v>
      </c>
      <c r="C3505" t="s">
        <v>974</v>
      </c>
      <c r="D3505" t="s">
        <v>1021</v>
      </c>
      <c r="E3505" t="s">
        <v>831</v>
      </c>
      <c r="F3505" t="s">
        <v>832</v>
      </c>
      <c r="G3505" t="s">
        <v>963</v>
      </c>
      <c r="H3505">
        <v>78</v>
      </c>
      <c r="I3505">
        <v>0.35237200000000002</v>
      </c>
      <c r="J3505">
        <v>0.779026</v>
      </c>
      <c r="K3505">
        <v>0.42665399999999998</v>
      </c>
      <c r="L3505">
        <v>73</v>
      </c>
      <c r="M3505">
        <v>2</v>
      </c>
      <c r="N3505">
        <v>3</v>
      </c>
      <c r="O3505">
        <v>0.77216499999999999</v>
      </c>
      <c r="P3505">
        <v>0.44460899999999998</v>
      </c>
      <c r="Q3505">
        <v>0.23486199999999999</v>
      </c>
    </row>
    <row r="3506" spans="1:17" x14ac:dyDescent="0.25">
      <c r="A3506" t="str">
        <f>IF(C3506&amp;G3506&amp;D3506&lt;&gt;'Funnel setup'!$K$3&amp;'Funnel setup'!$K$4&amp;'Funnel setup'!$K$6,".",IF(A3505=".",1,A3505+1))</f>
        <v>.</v>
      </c>
      <c r="B3506" s="244" t="str">
        <f t="shared" si="54"/>
        <v>Total Hip ReplacementSub-ICB of GP PracticeNHS HUMBER AND NORTH YORKSHIRE ICB - 02Y (02Y)EQ-5D Index</v>
      </c>
      <c r="C3506" t="s">
        <v>974</v>
      </c>
      <c r="D3506" t="s">
        <v>1021</v>
      </c>
      <c r="E3506" t="s">
        <v>833</v>
      </c>
      <c r="F3506" t="s">
        <v>834</v>
      </c>
      <c r="G3506" t="s">
        <v>963</v>
      </c>
      <c r="H3506">
        <v>68</v>
      </c>
      <c r="I3506">
        <v>0.31976500000000002</v>
      </c>
      <c r="J3506">
        <v>0.80286800000000003</v>
      </c>
      <c r="K3506">
        <v>0.483103</v>
      </c>
      <c r="L3506">
        <v>61</v>
      </c>
      <c r="M3506">
        <v>2</v>
      </c>
      <c r="N3506">
        <v>5</v>
      </c>
      <c r="O3506">
        <v>0.79856799999999994</v>
      </c>
      <c r="P3506">
        <v>0.47101199999999999</v>
      </c>
      <c r="Q3506">
        <v>0.24621399999999999</v>
      </c>
    </row>
    <row r="3507" spans="1:17" x14ac:dyDescent="0.25">
      <c r="A3507" t="str">
        <f>IF(C3507&amp;G3507&amp;D3507&lt;&gt;'Funnel setup'!$K$3&amp;'Funnel setup'!$K$4&amp;'Funnel setup'!$K$6,".",IF(A3506=".",1,A3506+1))</f>
        <v>.</v>
      </c>
      <c r="B3507" s="244" t="str">
        <f t="shared" si="54"/>
        <v>Total Hip ReplacementSub-ICB of GP PracticeNHS HUMBER AND NORTH YORKSHIRE ICB - 03F (03F)EQ-5D Index</v>
      </c>
      <c r="C3507" t="s">
        <v>974</v>
      </c>
      <c r="D3507" t="s">
        <v>1021</v>
      </c>
      <c r="E3507" t="s">
        <v>835</v>
      </c>
      <c r="F3507" t="s">
        <v>836</v>
      </c>
      <c r="G3507" t="s">
        <v>963</v>
      </c>
      <c r="H3507">
        <v>26</v>
      </c>
      <c r="I3507">
        <v>0.147731</v>
      </c>
      <c r="J3507">
        <v>0.657308</v>
      </c>
      <c r="K3507">
        <v>0.50957699999999995</v>
      </c>
      <c r="L3507">
        <v>23</v>
      </c>
      <c r="M3507">
        <v>2</v>
      </c>
      <c r="N3507">
        <v>1</v>
      </c>
      <c r="O3507" t="s">
        <v>127</v>
      </c>
      <c r="P3507" t="s">
        <v>127</v>
      </c>
      <c r="Q3507" t="s">
        <v>127</v>
      </c>
    </row>
    <row r="3508" spans="1:17" x14ac:dyDescent="0.25">
      <c r="A3508" t="str">
        <f>IF(C3508&amp;G3508&amp;D3508&lt;&gt;'Funnel setup'!$K$3&amp;'Funnel setup'!$K$4&amp;'Funnel setup'!$K$6,".",IF(A3507=".",1,A3507+1))</f>
        <v>.</v>
      </c>
      <c r="B3508" s="244" t="str">
        <f t="shared" si="54"/>
        <v>Total Hip ReplacementSub-ICB of GP PracticeNHS HUMBER AND NORTH YORKSHIRE ICB - 03H (03H)EQ-5D Index</v>
      </c>
      <c r="C3508" t="s">
        <v>974</v>
      </c>
      <c r="D3508" t="s">
        <v>1021</v>
      </c>
      <c r="E3508" t="s">
        <v>837</v>
      </c>
      <c r="F3508" t="s">
        <v>838</v>
      </c>
      <c r="G3508" t="s">
        <v>963</v>
      </c>
      <c r="H3508">
        <v>73</v>
      </c>
      <c r="I3508">
        <v>0.33469900000000002</v>
      </c>
      <c r="J3508">
        <v>0.73953400000000002</v>
      </c>
      <c r="K3508">
        <v>0.40483599999999997</v>
      </c>
      <c r="L3508">
        <v>59</v>
      </c>
      <c r="M3508">
        <v>10</v>
      </c>
      <c r="N3508">
        <v>4</v>
      </c>
      <c r="O3508">
        <v>0.74176200000000003</v>
      </c>
      <c r="P3508">
        <v>0.41420699999999999</v>
      </c>
      <c r="Q3508">
        <v>0.24074100000000001</v>
      </c>
    </row>
    <row r="3509" spans="1:17" x14ac:dyDescent="0.25">
      <c r="A3509" t="str">
        <f>IF(C3509&amp;G3509&amp;D3509&lt;&gt;'Funnel setup'!$K$3&amp;'Funnel setup'!$K$4&amp;'Funnel setup'!$K$6,".",IF(A3508=".",1,A3508+1))</f>
        <v>.</v>
      </c>
      <c r="B3509" s="244" t="str">
        <f t="shared" si="54"/>
        <v>Total Hip ReplacementSub-ICB of GP PracticeNHS HUMBER AND NORTH YORKSHIRE ICB - 03K (03K)EQ-5D Index</v>
      </c>
      <c r="C3509" t="s">
        <v>974</v>
      </c>
      <c r="D3509" t="s">
        <v>1021</v>
      </c>
      <c r="E3509" t="s">
        <v>839</v>
      </c>
      <c r="F3509" t="s">
        <v>840</v>
      </c>
      <c r="G3509" t="s">
        <v>963</v>
      </c>
      <c r="H3509">
        <v>59</v>
      </c>
      <c r="I3509">
        <v>0.30033900000000002</v>
      </c>
      <c r="J3509">
        <v>0.81083099999999997</v>
      </c>
      <c r="K3509">
        <v>0.51049199999999995</v>
      </c>
      <c r="L3509">
        <v>56</v>
      </c>
      <c r="M3509">
        <v>1</v>
      </c>
      <c r="N3509">
        <v>2</v>
      </c>
      <c r="O3509">
        <v>0.80541600000000002</v>
      </c>
      <c r="P3509">
        <v>0.47786000000000001</v>
      </c>
      <c r="Q3509">
        <v>0.20692199999999999</v>
      </c>
    </row>
    <row r="3510" spans="1:17" x14ac:dyDescent="0.25">
      <c r="A3510" t="str">
        <f>IF(C3510&amp;G3510&amp;D3510&lt;&gt;'Funnel setup'!$K$3&amp;'Funnel setup'!$K$4&amp;'Funnel setup'!$K$6,".",IF(A3509=".",1,A3509+1))</f>
        <v>.</v>
      </c>
      <c r="B3510" s="244" t="str">
        <f t="shared" si="54"/>
        <v>Total Hip ReplacementSub-ICB of GP PracticeNHS HUMBER AND NORTH YORKSHIRE ICB - 03Q (03Q)EQ-5D Index</v>
      </c>
      <c r="C3510" t="s">
        <v>974</v>
      </c>
      <c r="D3510" t="s">
        <v>1021</v>
      </c>
      <c r="E3510" t="s">
        <v>841</v>
      </c>
      <c r="F3510" t="s">
        <v>842</v>
      </c>
      <c r="G3510" t="s">
        <v>963</v>
      </c>
      <c r="H3510">
        <v>79</v>
      </c>
      <c r="I3510">
        <v>0.354937</v>
      </c>
      <c r="J3510">
        <v>0.79051899999999997</v>
      </c>
      <c r="K3510">
        <v>0.43558200000000002</v>
      </c>
      <c r="L3510">
        <v>70</v>
      </c>
      <c r="M3510">
        <v>5</v>
      </c>
      <c r="N3510">
        <v>4</v>
      </c>
      <c r="O3510">
        <v>0.78142999999999996</v>
      </c>
      <c r="P3510">
        <v>0.453874</v>
      </c>
      <c r="Q3510">
        <v>0.212367</v>
      </c>
    </row>
    <row r="3511" spans="1:17" x14ac:dyDescent="0.25">
      <c r="A3511" t="str">
        <f>IF(C3511&amp;G3511&amp;D3511&lt;&gt;'Funnel setup'!$K$3&amp;'Funnel setup'!$K$4&amp;'Funnel setup'!$K$6,".",IF(A3510=".",1,A3510+1))</f>
        <v>.</v>
      </c>
      <c r="B3511" s="244" t="str">
        <f t="shared" si="54"/>
        <v>Total Hip ReplacementSub-ICB of GP PracticeNHS HUMBER AND NORTH YORKSHIRE ICB - 42D (42D)EQ-5D Index</v>
      </c>
      <c r="C3511" t="s">
        <v>974</v>
      </c>
      <c r="D3511" t="s">
        <v>1021</v>
      </c>
      <c r="E3511" t="s">
        <v>843</v>
      </c>
      <c r="F3511" t="s">
        <v>844</v>
      </c>
      <c r="G3511" t="s">
        <v>963</v>
      </c>
      <c r="H3511">
        <v>255</v>
      </c>
      <c r="I3511">
        <v>0.30598799999999998</v>
      </c>
      <c r="J3511">
        <v>0.81398400000000004</v>
      </c>
      <c r="K3511">
        <v>0.507996</v>
      </c>
      <c r="L3511">
        <v>237</v>
      </c>
      <c r="M3511">
        <v>8</v>
      </c>
      <c r="N3511">
        <v>10</v>
      </c>
      <c r="O3511">
        <v>0.82396199999999997</v>
      </c>
      <c r="P3511">
        <v>0.49640600000000001</v>
      </c>
      <c r="Q3511">
        <v>0.21981700000000001</v>
      </c>
    </row>
    <row r="3512" spans="1:17" x14ac:dyDescent="0.25">
      <c r="A3512" t="str">
        <f>IF(C3512&amp;G3512&amp;D3512&lt;&gt;'Funnel setup'!$K$3&amp;'Funnel setup'!$K$4&amp;'Funnel setup'!$K$6,".",IF(A3511=".",1,A3511+1))</f>
        <v>.</v>
      </c>
      <c r="B3512" s="244" t="str">
        <f t="shared" si="54"/>
        <v>Total Hip ReplacementSub-ICB of GP PracticeNHS KENT AND MEDWAY ICB - 91Q (91Q)EQ-5D Index</v>
      </c>
      <c r="C3512" t="s">
        <v>974</v>
      </c>
      <c r="D3512" t="s">
        <v>1021</v>
      </c>
      <c r="E3512" t="s">
        <v>845</v>
      </c>
      <c r="F3512" t="s">
        <v>846</v>
      </c>
      <c r="G3512" t="s">
        <v>963</v>
      </c>
      <c r="H3512">
        <v>501</v>
      </c>
      <c r="I3512">
        <v>0.35641299999999998</v>
      </c>
      <c r="J3512">
        <v>0.78615800000000002</v>
      </c>
      <c r="K3512">
        <v>0.42974499999999999</v>
      </c>
      <c r="L3512">
        <v>450</v>
      </c>
      <c r="M3512">
        <v>28</v>
      </c>
      <c r="N3512">
        <v>23</v>
      </c>
      <c r="O3512">
        <v>0.77323900000000001</v>
      </c>
      <c r="P3512">
        <v>0.445683</v>
      </c>
      <c r="Q3512">
        <v>0.221554</v>
      </c>
    </row>
    <row r="3513" spans="1:17" x14ac:dyDescent="0.25">
      <c r="A3513" t="str">
        <f>IF(C3513&amp;G3513&amp;D3513&lt;&gt;'Funnel setup'!$K$3&amp;'Funnel setup'!$K$4&amp;'Funnel setup'!$K$6,".",IF(A3512=".",1,A3512+1))</f>
        <v>.</v>
      </c>
      <c r="B3513" s="244" t="str">
        <f t="shared" si="54"/>
        <v>Total Hip ReplacementSub-ICB of GP PracticeNHS LANCASHIRE AND SOUTH CUMBRIA ICB - 00Q (00Q)EQ-5D Index</v>
      </c>
      <c r="C3513" t="s">
        <v>974</v>
      </c>
      <c r="D3513" t="s">
        <v>1021</v>
      </c>
      <c r="E3513" t="s">
        <v>847</v>
      </c>
      <c r="F3513" t="s">
        <v>848</v>
      </c>
      <c r="G3513" t="s">
        <v>963</v>
      </c>
      <c r="H3513">
        <v>41</v>
      </c>
      <c r="I3513">
        <v>0.36456100000000002</v>
      </c>
      <c r="J3513">
        <v>0.74673199999999995</v>
      </c>
      <c r="K3513">
        <v>0.38217099999999998</v>
      </c>
      <c r="L3513">
        <v>38</v>
      </c>
      <c r="M3513">
        <v>0</v>
      </c>
      <c r="N3513">
        <v>3</v>
      </c>
      <c r="O3513">
        <v>0.76048800000000005</v>
      </c>
      <c r="P3513">
        <v>0.43293199999999998</v>
      </c>
      <c r="Q3513">
        <v>0.22529199999999999</v>
      </c>
    </row>
    <row r="3514" spans="1:17" x14ac:dyDescent="0.25">
      <c r="A3514" t="str">
        <f>IF(C3514&amp;G3514&amp;D3514&lt;&gt;'Funnel setup'!$K$3&amp;'Funnel setup'!$K$4&amp;'Funnel setup'!$K$6,".",IF(A3513=".",1,A3513+1))</f>
        <v>.</v>
      </c>
      <c r="B3514" s="244" t="str">
        <f t="shared" si="54"/>
        <v>Total Hip ReplacementSub-ICB of GP PracticeNHS LANCASHIRE AND SOUTH CUMBRIA ICB - 00R (00R)EQ-5D Index</v>
      </c>
      <c r="C3514" t="s">
        <v>974</v>
      </c>
      <c r="D3514" t="s">
        <v>1021</v>
      </c>
      <c r="E3514" t="s">
        <v>849</v>
      </c>
      <c r="F3514" t="s">
        <v>850</v>
      </c>
      <c r="G3514" t="s">
        <v>963</v>
      </c>
      <c r="H3514">
        <v>37</v>
      </c>
      <c r="I3514">
        <v>0.35248600000000002</v>
      </c>
      <c r="J3514">
        <v>0.78927000000000003</v>
      </c>
      <c r="K3514">
        <v>0.43678400000000001</v>
      </c>
      <c r="L3514">
        <v>33</v>
      </c>
      <c r="M3514">
        <v>2</v>
      </c>
      <c r="N3514">
        <v>2</v>
      </c>
      <c r="O3514">
        <v>0.80529700000000004</v>
      </c>
      <c r="P3514">
        <v>0.477742</v>
      </c>
      <c r="Q3514">
        <v>0.232242</v>
      </c>
    </row>
    <row r="3515" spans="1:17" x14ac:dyDescent="0.25">
      <c r="A3515" t="str">
        <f>IF(C3515&amp;G3515&amp;D3515&lt;&gt;'Funnel setup'!$K$3&amp;'Funnel setup'!$K$4&amp;'Funnel setup'!$K$6,".",IF(A3514=".",1,A3514+1))</f>
        <v>.</v>
      </c>
      <c r="B3515" s="244" t="str">
        <f t="shared" si="54"/>
        <v>Total Hip ReplacementSub-ICB of GP PracticeNHS LANCASHIRE AND SOUTH CUMBRIA ICB - 00X (00X)EQ-5D Index</v>
      </c>
      <c r="C3515" t="s">
        <v>974</v>
      </c>
      <c r="D3515" t="s">
        <v>1021</v>
      </c>
      <c r="E3515" t="s">
        <v>851</v>
      </c>
      <c r="F3515" t="s">
        <v>852</v>
      </c>
      <c r="G3515" t="s">
        <v>963</v>
      </c>
      <c r="H3515">
        <v>61</v>
      </c>
      <c r="I3515">
        <v>0.27213100000000001</v>
      </c>
      <c r="J3515">
        <v>0.80945900000000004</v>
      </c>
      <c r="K3515">
        <v>0.53732800000000003</v>
      </c>
      <c r="L3515">
        <v>58</v>
      </c>
      <c r="M3515">
        <v>2</v>
      </c>
      <c r="N3515">
        <v>1</v>
      </c>
      <c r="O3515">
        <v>0.82344700000000004</v>
      </c>
      <c r="P3515">
        <v>0.49589100000000003</v>
      </c>
      <c r="Q3515">
        <v>0.20807999999999999</v>
      </c>
    </row>
    <row r="3516" spans="1:17" x14ac:dyDescent="0.25">
      <c r="A3516" t="str">
        <f>IF(C3516&amp;G3516&amp;D3516&lt;&gt;'Funnel setup'!$K$3&amp;'Funnel setup'!$K$4&amp;'Funnel setup'!$K$6,".",IF(A3515=".",1,A3515+1))</f>
        <v>.</v>
      </c>
      <c r="B3516" s="244" t="str">
        <f t="shared" si="54"/>
        <v>Total Hip ReplacementSub-ICB of GP PracticeNHS LANCASHIRE AND SOUTH CUMBRIA ICB - 01A (01A)EQ-5D Index</v>
      </c>
      <c r="C3516" t="s">
        <v>974</v>
      </c>
      <c r="D3516" t="s">
        <v>1021</v>
      </c>
      <c r="E3516" t="s">
        <v>853</v>
      </c>
      <c r="F3516" t="s">
        <v>854</v>
      </c>
      <c r="G3516" t="s">
        <v>963</v>
      </c>
      <c r="H3516">
        <v>150</v>
      </c>
      <c r="I3516">
        <v>0.34940700000000002</v>
      </c>
      <c r="J3516">
        <v>0.81202700000000005</v>
      </c>
      <c r="K3516">
        <v>0.46261999999999998</v>
      </c>
      <c r="L3516">
        <v>138</v>
      </c>
      <c r="M3516">
        <v>2</v>
      </c>
      <c r="N3516">
        <v>10</v>
      </c>
      <c r="O3516">
        <v>0.80558799999999997</v>
      </c>
      <c r="P3516">
        <v>0.47803200000000001</v>
      </c>
      <c r="Q3516">
        <v>0.243588</v>
      </c>
    </row>
    <row r="3517" spans="1:17" x14ac:dyDescent="0.25">
      <c r="A3517" t="str">
        <f>IF(C3517&amp;G3517&amp;D3517&lt;&gt;'Funnel setup'!$K$3&amp;'Funnel setup'!$K$4&amp;'Funnel setup'!$K$6,".",IF(A3516=".",1,A3516+1))</f>
        <v>.</v>
      </c>
      <c r="B3517" s="244" t="str">
        <f t="shared" si="54"/>
        <v>Total Hip ReplacementSub-ICB of GP PracticeNHS LANCASHIRE AND SOUTH CUMBRIA ICB - 01E (01E)EQ-5D Index</v>
      </c>
      <c r="C3517" t="s">
        <v>974</v>
      </c>
      <c r="D3517" t="s">
        <v>1021</v>
      </c>
      <c r="E3517" t="s">
        <v>855</v>
      </c>
      <c r="F3517" t="s">
        <v>856</v>
      </c>
      <c r="G3517" t="s">
        <v>963</v>
      </c>
      <c r="H3517">
        <v>58</v>
      </c>
      <c r="I3517">
        <v>0.40615499999999999</v>
      </c>
      <c r="J3517">
        <v>0.83008599999999999</v>
      </c>
      <c r="K3517">
        <v>0.423931</v>
      </c>
      <c r="L3517">
        <v>51</v>
      </c>
      <c r="M3517">
        <v>3</v>
      </c>
      <c r="N3517">
        <v>4</v>
      </c>
      <c r="O3517">
        <v>0.80582200000000004</v>
      </c>
      <c r="P3517">
        <v>0.47826600000000002</v>
      </c>
      <c r="Q3517">
        <v>0.22722999999999999</v>
      </c>
    </row>
    <row r="3518" spans="1:17" x14ac:dyDescent="0.25">
      <c r="A3518" t="str">
        <f>IF(C3518&amp;G3518&amp;D3518&lt;&gt;'Funnel setup'!$K$3&amp;'Funnel setup'!$K$4&amp;'Funnel setup'!$K$6,".",IF(A3517=".",1,A3517+1))</f>
        <v>.</v>
      </c>
      <c r="B3518" s="244" t="str">
        <f t="shared" si="54"/>
        <v>Total Hip ReplacementSub-ICB of GP PracticeNHS LANCASHIRE AND SOUTH CUMBRIA ICB - 01K (01K)EQ-5D Index</v>
      </c>
      <c r="C3518" t="s">
        <v>974</v>
      </c>
      <c r="D3518" t="s">
        <v>1021</v>
      </c>
      <c r="E3518" t="s">
        <v>857</v>
      </c>
      <c r="F3518" t="s">
        <v>858</v>
      </c>
      <c r="G3518" t="s">
        <v>963</v>
      </c>
      <c r="H3518">
        <v>192</v>
      </c>
      <c r="I3518">
        <v>0.32804699999999998</v>
      </c>
      <c r="J3518">
        <v>0.80043200000000003</v>
      </c>
      <c r="K3518">
        <v>0.472385</v>
      </c>
      <c r="L3518">
        <v>179</v>
      </c>
      <c r="M3518">
        <v>7</v>
      </c>
      <c r="N3518">
        <v>6</v>
      </c>
      <c r="O3518">
        <v>0.79293400000000003</v>
      </c>
      <c r="P3518">
        <v>0.46537800000000001</v>
      </c>
      <c r="Q3518">
        <v>0.19955800000000001</v>
      </c>
    </row>
    <row r="3519" spans="1:17" x14ac:dyDescent="0.25">
      <c r="A3519" t="str">
        <f>IF(C3519&amp;G3519&amp;D3519&lt;&gt;'Funnel setup'!$K$3&amp;'Funnel setup'!$K$4&amp;'Funnel setup'!$K$6,".",IF(A3518=".",1,A3518+1))</f>
        <v>.</v>
      </c>
      <c r="B3519" s="244" t="str">
        <f t="shared" si="54"/>
        <v>Total Hip ReplacementSub-ICB of GP PracticeNHS LANCASHIRE AND SOUTH CUMBRIA ICB - 02G (02G)EQ-5D Index</v>
      </c>
      <c r="C3519" t="s">
        <v>974</v>
      </c>
      <c r="D3519" t="s">
        <v>1021</v>
      </c>
      <c r="E3519" t="s">
        <v>859</v>
      </c>
      <c r="F3519" t="s">
        <v>860</v>
      </c>
      <c r="G3519" t="s">
        <v>963</v>
      </c>
      <c r="H3519">
        <v>32</v>
      </c>
      <c r="I3519">
        <v>0.28096900000000002</v>
      </c>
      <c r="J3519">
        <v>0.83387500000000003</v>
      </c>
      <c r="K3519">
        <v>0.55290600000000001</v>
      </c>
      <c r="L3519">
        <v>30</v>
      </c>
      <c r="M3519">
        <v>1</v>
      </c>
      <c r="N3519">
        <v>1</v>
      </c>
      <c r="O3519">
        <v>0.80928</v>
      </c>
      <c r="P3519">
        <v>0.48172500000000001</v>
      </c>
      <c r="Q3519">
        <v>0.25123400000000001</v>
      </c>
    </row>
    <row r="3520" spans="1:17" x14ac:dyDescent="0.25">
      <c r="A3520" t="str">
        <f>IF(C3520&amp;G3520&amp;D3520&lt;&gt;'Funnel setup'!$K$3&amp;'Funnel setup'!$K$4&amp;'Funnel setup'!$K$6,".",IF(A3519=".",1,A3519+1))</f>
        <v>.</v>
      </c>
      <c r="B3520" s="244" t="str">
        <f t="shared" si="54"/>
        <v>Total Hip ReplacementSub-ICB of GP PracticeNHS LANCASHIRE AND SOUTH CUMBRIA ICB - 02M (02M)EQ-5D Index</v>
      </c>
      <c r="C3520" t="s">
        <v>974</v>
      </c>
      <c r="D3520" t="s">
        <v>1021</v>
      </c>
      <c r="E3520" t="s">
        <v>861</v>
      </c>
      <c r="F3520" t="s">
        <v>862</v>
      </c>
      <c r="G3520" t="s">
        <v>963</v>
      </c>
      <c r="H3520">
        <v>74</v>
      </c>
      <c r="I3520">
        <v>0.43817600000000001</v>
      </c>
      <c r="J3520">
        <v>0.77762200000000004</v>
      </c>
      <c r="K3520">
        <v>0.33944600000000003</v>
      </c>
      <c r="L3520">
        <v>65</v>
      </c>
      <c r="M3520">
        <v>3</v>
      </c>
      <c r="N3520">
        <v>6</v>
      </c>
      <c r="O3520">
        <v>0.76007999999999998</v>
      </c>
      <c r="P3520">
        <v>0.43252499999999999</v>
      </c>
      <c r="Q3520">
        <v>0.22507099999999999</v>
      </c>
    </row>
    <row r="3521" spans="1:17" x14ac:dyDescent="0.25">
      <c r="A3521" t="str">
        <f>IF(C3521&amp;G3521&amp;D3521&lt;&gt;'Funnel setup'!$K$3&amp;'Funnel setup'!$K$4&amp;'Funnel setup'!$K$6,".",IF(A3520=".",1,A3520+1))</f>
        <v>.</v>
      </c>
      <c r="B3521" s="244" t="str">
        <f t="shared" si="54"/>
        <v>Total Hip ReplacementSub-ICB of GP PracticeNHS LEICESTER, LEICESTERSHIRE AND RUTLAND ICB - 03W (03W)EQ-5D Index</v>
      </c>
      <c r="C3521" t="s">
        <v>974</v>
      </c>
      <c r="D3521" t="s">
        <v>1021</v>
      </c>
      <c r="E3521" t="s">
        <v>863</v>
      </c>
      <c r="F3521" t="s">
        <v>864</v>
      </c>
      <c r="G3521" t="s">
        <v>963</v>
      </c>
      <c r="H3521">
        <v>111</v>
      </c>
      <c r="I3521">
        <v>0.32413500000000001</v>
      </c>
      <c r="J3521">
        <v>0.76270300000000002</v>
      </c>
      <c r="K3521">
        <v>0.43856800000000001</v>
      </c>
      <c r="L3521">
        <v>102</v>
      </c>
      <c r="M3521">
        <v>3</v>
      </c>
      <c r="N3521">
        <v>6</v>
      </c>
      <c r="O3521">
        <v>0.75760700000000003</v>
      </c>
      <c r="P3521">
        <v>0.43005100000000002</v>
      </c>
      <c r="Q3521">
        <v>0.225379</v>
      </c>
    </row>
    <row r="3522" spans="1:17" x14ac:dyDescent="0.25">
      <c r="A3522" t="str">
        <f>IF(C3522&amp;G3522&amp;D3522&lt;&gt;'Funnel setup'!$K$3&amp;'Funnel setup'!$K$4&amp;'Funnel setup'!$K$6,".",IF(A3521=".",1,A3521+1))</f>
        <v>.</v>
      </c>
      <c r="B3522" s="244" t="str">
        <f t="shared" ref="B3522:B3585" si="55">C3522&amp;D3522&amp;F3522&amp;G3522</f>
        <v>Total Hip ReplacementSub-ICB of GP PracticeNHS LEICESTER, LEICESTERSHIRE AND RUTLAND ICB - 04C (04C)EQ-5D Index</v>
      </c>
      <c r="C3522" t="s">
        <v>974</v>
      </c>
      <c r="D3522" t="s">
        <v>1021</v>
      </c>
      <c r="E3522" t="s">
        <v>865</v>
      </c>
      <c r="F3522" t="s">
        <v>866</v>
      </c>
      <c r="G3522" t="s">
        <v>963</v>
      </c>
      <c r="H3522">
        <v>36</v>
      </c>
      <c r="I3522">
        <v>0.243919</v>
      </c>
      <c r="J3522">
        <v>0.76497300000000001</v>
      </c>
      <c r="K3522">
        <v>0.52105400000000002</v>
      </c>
      <c r="L3522">
        <v>30</v>
      </c>
      <c r="M3522">
        <v>3</v>
      </c>
      <c r="N3522">
        <v>3</v>
      </c>
      <c r="O3522">
        <v>0.80696900000000005</v>
      </c>
      <c r="P3522">
        <v>0.47941299999999998</v>
      </c>
      <c r="Q3522">
        <v>0.21757799999999999</v>
      </c>
    </row>
    <row r="3523" spans="1:17" x14ac:dyDescent="0.25">
      <c r="A3523" t="str">
        <f>IF(C3523&amp;G3523&amp;D3523&lt;&gt;'Funnel setup'!$K$3&amp;'Funnel setup'!$K$4&amp;'Funnel setup'!$K$6,".",IF(A3522=".",1,A3522+1))</f>
        <v>.</v>
      </c>
      <c r="B3523" s="244" t="str">
        <f t="shared" si="55"/>
        <v>Total Hip ReplacementSub-ICB of GP PracticeNHS LEICESTER, LEICESTERSHIRE AND RUTLAND ICB - 04V (04V)EQ-5D Index</v>
      </c>
      <c r="C3523" t="s">
        <v>974</v>
      </c>
      <c r="D3523" t="s">
        <v>1021</v>
      </c>
      <c r="E3523" t="s">
        <v>867</v>
      </c>
      <c r="F3523" t="s">
        <v>868</v>
      </c>
      <c r="G3523" t="s">
        <v>963</v>
      </c>
      <c r="H3523">
        <v>112</v>
      </c>
      <c r="I3523">
        <v>0.35398200000000002</v>
      </c>
      <c r="J3523">
        <v>0.79049100000000005</v>
      </c>
      <c r="K3523">
        <v>0.43650899999999998</v>
      </c>
      <c r="L3523">
        <v>97</v>
      </c>
      <c r="M3523">
        <v>11</v>
      </c>
      <c r="N3523">
        <v>4</v>
      </c>
      <c r="O3523">
        <v>0.78391299999999997</v>
      </c>
      <c r="P3523">
        <v>0.45635700000000001</v>
      </c>
      <c r="Q3523">
        <v>0.21163399999999999</v>
      </c>
    </row>
    <row r="3524" spans="1:17" x14ac:dyDescent="0.25">
      <c r="A3524" t="str">
        <f>IF(C3524&amp;G3524&amp;D3524&lt;&gt;'Funnel setup'!$K$3&amp;'Funnel setup'!$K$4&amp;'Funnel setup'!$K$6,".",IF(A3523=".",1,A3523+1))</f>
        <v>.</v>
      </c>
      <c r="B3524" s="244" t="str">
        <f t="shared" si="55"/>
        <v>Total Hip ReplacementSub-ICB of GP PracticeNHS LINCOLNSHIRE ICB - 71E (71E)EQ-5D Index</v>
      </c>
      <c r="C3524" t="s">
        <v>974</v>
      </c>
      <c r="D3524" t="s">
        <v>1021</v>
      </c>
      <c r="E3524" t="s">
        <v>869</v>
      </c>
      <c r="F3524" t="s">
        <v>870</v>
      </c>
      <c r="G3524" t="s">
        <v>963</v>
      </c>
      <c r="H3524">
        <v>258</v>
      </c>
      <c r="I3524">
        <v>0.33505400000000002</v>
      </c>
      <c r="J3524">
        <v>0.80088000000000004</v>
      </c>
      <c r="K3524">
        <v>0.46582600000000002</v>
      </c>
      <c r="L3524">
        <v>230</v>
      </c>
      <c r="M3524">
        <v>15</v>
      </c>
      <c r="N3524">
        <v>13</v>
      </c>
      <c r="O3524">
        <v>0.79919799999999996</v>
      </c>
      <c r="P3524">
        <v>0.47164200000000001</v>
      </c>
      <c r="Q3524">
        <v>0.241926</v>
      </c>
    </row>
    <row r="3525" spans="1:17" x14ac:dyDescent="0.25">
      <c r="A3525" t="str">
        <f>IF(C3525&amp;G3525&amp;D3525&lt;&gt;'Funnel setup'!$K$3&amp;'Funnel setup'!$K$4&amp;'Funnel setup'!$K$6,".",IF(A3524=".",1,A3524+1))</f>
        <v>.</v>
      </c>
      <c r="B3525" s="244" t="str">
        <f t="shared" si="55"/>
        <v>Total Hip ReplacementSub-ICB of GP PracticeNHS MID AND SOUTH ESSEX ICB - 06Q (06Q)EQ-5D Index</v>
      </c>
      <c r="C3525" t="s">
        <v>974</v>
      </c>
      <c r="D3525" t="s">
        <v>1021</v>
      </c>
      <c r="E3525" t="s">
        <v>871</v>
      </c>
      <c r="F3525" t="s">
        <v>872</v>
      </c>
      <c r="G3525" t="s">
        <v>963</v>
      </c>
      <c r="H3525">
        <v>111</v>
      </c>
      <c r="I3525">
        <v>0.32561299999999999</v>
      </c>
      <c r="J3525">
        <v>0.81910799999999995</v>
      </c>
      <c r="K3525">
        <v>0.49349500000000002</v>
      </c>
      <c r="L3525">
        <v>106</v>
      </c>
      <c r="M3525">
        <v>2</v>
      </c>
      <c r="N3525">
        <v>3</v>
      </c>
      <c r="O3525">
        <v>0.812944</v>
      </c>
      <c r="P3525">
        <v>0.48538900000000001</v>
      </c>
      <c r="Q3525">
        <v>0.227071</v>
      </c>
    </row>
    <row r="3526" spans="1:17" x14ac:dyDescent="0.25">
      <c r="A3526" t="str">
        <f>IF(C3526&amp;G3526&amp;D3526&lt;&gt;'Funnel setup'!$K$3&amp;'Funnel setup'!$K$4&amp;'Funnel setup'!$K$6,".",IF(A3525=".",1,A3525+1))</f>
        <v>.</v>
      </c>
      <c r="B3526" s="244" t="str">
        <f t="shared" si="55"/>
        <v>Total Hip ReplacementSub-ICB of GP PracticeNHS MID AND SOUTH ESSEX ICB - 07G (07G)EQ-5D Index</v>
      </c>
      <c r="C3526" t="s">
        <v>974</v>
      </c>
      <c r="D3526" t="s">
        <v>1021</v>
      </c>
      <c r="E3526" t="s">
        <v>873</v>
      </c>
      <c r="F3526" t="s">
        <v>874</v>
      </c>
      <c r="G3526" t="s">
        <v>963</v>
      </c>
      <c r="H3526">
        <v>33</v>
      </c>
      <c r="I3526">
        <v>0.25212099999999998</v>
      </c>
      <c r="J3526">
        <v>0.754</v>
      </c>
      <c r="K3526">
        <v>0.50187899999999996</v>
      </c>
      <c r="L3526">
        <v>29</v>
      </c>
      <c r="M3526">
        <v>2</v>
      </c>
      <c r="N3526">
        <v>2</v>
      </c>
      <c r="O3526">
        <v>0.78993000000000002</v>
      </c>
      <c r="P3526">
        <v>0.46237400000000001</v>
      </c>
      <c r="Q3526">
        <v>0.205564</v>
      </c>
    </row>
    <row r="3527" spans="1:17" x14ac:dyDescent="0.25">
      <c r="A3527" t="str">
        <f>IF(C3527&amp;G3527&amp;D3527&lt;&gt;'Funnel setup'!$K$3&amp;'Funnel setup'!$K$4&amp;'Funnel setup'!$K$6,".",IF(A3526=".",1,A3526+1))</f>
        <v>.</v>
      </c>
      <c r="B3527" s="244" t="str">
        <f t="shared" si="55"/>
        <v>Total Hip ReplacementSub-ICB of GP PracticeNHS MID AND SOUTH ESSEX ICB - 99E (99E)EQ-5D Index</v>
      </c>
      <c r="C3527" t="s">
        <v>974</v>
      </c>
      <c r="D3527" t="s">
        <v>1021</v>
      </c>
      <c r="E3527" t="s">
        <v>875</v>
      </c>
      <c r="F3527" t="s">
        <v>876</v>
      </c>
      <c r="G3527" t="s">
        <v>963</v>
      </c>
      <c r="H3527">
        <v>43</v>
      </c>
      <c r="I3527">
        <v>0.19869800000000001</v>
      </c>
      <c r="J3527">
        <v>0.75769799999999998</v>
      </c>
      <c r="K3527">
        <v>0.55900000000000005</v>
      </c>
      <c r="L3527">
        <v>42</v>
      </c>
      <c r="M3527">
        <v>1</v>
      </c>
      <c r="N3527">
        <v>0</v>
      </c>
      <c r="O3527">
        <v>0.79110499999999995</v>
      </c>
      <c r="P3527">
        <v>0.46354899999999999</v>
      </c>
      <c r="Q3527">
        <v>0.246278</v>
      </c>
    </row>
    <row r="3528" spans="1:17" x14ac:dyDescent="0.25">
      <c r="A3528" t="str">
        <f>IF(C3528&amp;G3528&amp;D3528&lt;&gt;'Funnel setup'!$K$3&amp;'Funnel setup'!$K$4&amp;'Funnel setup'!$K$6,".",IF(A3527=".",1,A3527+1))</f>
        <v>.</v>
      </c>
      <c r="B3528" s="244" t="str">
        <f t="shared" si="55"/>
        <v>Total Hip ReplacementSub-ICB of GP PracticeNHS MID AND SOUTH ESSEX ICB - 99F (99F)EQ-5D Index</v>
      </c>
      <c r="C3528" t="s">
        <v>974</v>
      </c>
      <c r="D3528" t="s">
        <v>1021</v>
      </c>
      <c r="E3528" t="s">
        <v>877</v>
      </c>
      <c r="F3528" t="s">
        <v>878</v>
      </c>
      <c r="G3528" t="s">
        <v>963</v>
      </c>
      <c r="H3528">
        <v>28</v>
      </c>
      <c r="I3528">
        <v>0.27675</v>
      </c>
      <c r="J3528">
        <v>0.73778600000000005</v>
      </c>
      <c r="K3528">
        <v>0.461036</v>
      </c>
      <c r="L3528">
        <v>24</v>
      </c>
      <c r="M3528">
        <v>0</v>
      </c>
      <c r="N3528">
        <v>4</v>
      </c>
      <c r="O3528" t="s">
        <v>127</v>
      </c>
      <c r="P3528" t="s">
        <v>127</v>
      </c>
      <c r="Q3528" t="s">
        <v>127</v>
      </c>
    </row>
    <row r="3529" spans="1:17" x14ac:dyDescent="0.25">
      <c r="A3529" t="str">
        <f>IF(C3529&amp;G3529&amp;D3529&lt;&gt;'Funnel setup'!$K$3&amp;'Funnel setup'!$K$4&amp;'Funnel setup'!$K$6,".",IF(A3528=".",1,A3528+1))</f>
        <v>.</v>
      </c>
      <c r="B3529" s="244" t="str">
        <f t="shared" si="55"/>
        <v>Total Hip ReplacementSub-ICB of GP PracticeNHS MID AND SOUTH ESSEX ICB - 99G (99G)EQ-5D Index</v>
      </c>
      <c r="C3529" t="s">
        <v>974</v>
      </c>
      <c r="D3529" t="s">
        <v>1021</v>
      </c>
      <c r="E3529" t="s">
        <v>879</v>
      </c>
      <c r="F3529" t="s">
        <v>880</v>
      </c>
      <c r="G3529" t="s">
        <v>963</v>
      </c>
      <c r="H3529">
        <v>11</v>
      </c>
      <c r="I3529">
        <v>0.28699999999999998</v>
      </c>
      <c r="J3529">
        <v>0.76709099999999997</v>
      </c>
      <c r="K3529">
        <v>0.48009099999999999</v>
      </c>
      <c r="L3529">
        <v>11</v>
      </c>
      <c r="M3529">
        <v>0</v>
      </c>
      <c r="N3529">
        <v>0</v>
      </c>
      <c r="O3529" t="s">
        <v>127</v>
      </c>
      <c r="P3529" t="s">
        <v>127</v>
      </c>
      <c r="Q3529" t="s">
        <v>127</v>
      </c>
    </row>
    <row r="3530" spans="1:17" x14ac:dyDescent="0.25">
      <c r="A3530" t="str">
        <f>IF(C3530&amp;G3530&amp;D3530&lt;&gt;'Funnel setup'!$K$3&amp;'Funnel setup'!$K$4&amp;'Funnel setup'!$K$6,".",IF(A3529=".",1,A3529+1))</f>
        <v>.</v>
      </c>
      <c r="B3530" s="244" t="str">
        <f t="shared" si="55"/>
        <v>Total Hip ReplacementSub-ICB of GP PracticeNHS NORFOLK AND WAVENEY ICB - 26A (26A)EQ-5D Index</v>
      </c>
      <c r="C3530" t="s">
        <v>974</v>
      </c>
      <c r="D3530" t="s">
        <v>1021</v>
      </c>
      <c r="E3530" t="s">
        <v>881</v>
      </c>
      <c r="F3530" t="s">
        <v>882</v>
      </c>
      <c r="G3530" t="s">
        <v>963</v>
      </c>
      <c r="H3530">
        <v>366</v>
      </c>
      <c r="I3530">
        <v>0.29199999999999998</v>
      </c>
      <c r="J3530">
        <v>0.75936300000000001</v>
      </c>
      <c r="K3530">
        <v>0.46736299999999997</v>
      </c>
      <c r="L3530">
        <v>322</v>
      </c>
      <c r="M3530">
        <v>26</v>
      </c>
      <c r="N3530">
        <v>18</v>
      </c>
      <c r="O3530">
        <v>0.777949</v>
      </c>
      <c r="P3530">
        <v>0.45039400000000002</v>
      </c>
      <c r="Q3530">
        <v>0.26445600000000002</v>
      </c>
    </row>
    <row r="3531" spans="1:17" x14ac:dyDescent="0.25">
      <c r="A3531" t="str">
        <f>IF(C3531&amp;G3531&amp;D3531&lt;&gt;'Funnel setup'!$K$3&amp;'Funnel setup'!$K$4&amp;'Funnel setup'!$K$6,".",IF(A3530=".",1,A3530+1))</f>
        <v>.</v>
      </c>
      <c r="B3531" s="244" t="str">
        <f t="shared" si="55"/>
        <v>Total Hip ReplacementSub-ICB of GP PracticeNHS NORTH CENTRAL LONDON ICB - 93C (93C)EQ-5D Index</v>
      </c>
      <c r="C3531" t="s">
        <v>974</v>
      </c>
      <c r="D3531" t="s">
        <v>1021</v>
      </c>
      <c r="E3531" t="s">
        <v>883</v>
      </c>
      <c r="F3531" t="s">
        <v>884</v>
      </c>
      <c r="G3531" t="s">
        <v>963</v>
      </c>
      <c r="H3531">
        <v>132</v>
      </c>
      <c r="I3531">
        <v>0.35845500000000002</v>
      </c>
      <c r="J3531">
        <v>0.75121199999999999</v>
      </c>
      <c r="K3531">
        <v>0.392758</v>
      </c>
      <c r="L3531">
        <v>111</v>
      </c>
      <c r="M3531">
        <v>9</v>
      </c>
      <c r="N3531">
        <v>12</v>
      </c>
      <c r="O3531">
        <v>0.75041999999999998</v>
      </c>
      <c r="P3531">
        <v>0.42286400000000002</v>
      </c>
      <c r="Q3531">
        <v>0.25337799999999999</v>
      </c>
    </row>
    <row r="3532" spans="1:17" x14ac:dyDescent="0.25">
      <c r="A3532" t="str">
        <f>IF(C3532&amp;G3532&amp;D3532&lt;&gt;'Funnel setup'!$K$3&amp;'Funnel setup'!$K$4&amp;'Funnel setup'!$K$6,".",IF(A3531=".",1,A3531+1))</f>
        <v>.</v>
      </c>
      <c r="B3532" s="244" t="str">
        <f t="shared" si="55"/>
        <v>Total Hip ReplacementSub-ICB of GP PracticeNHS NORTH EAST AND NORTH CUMBRIA ICB - 00L (00L)EQ-5D Index</v>
      </c>
      <c r="C3532" t="s">
        <v>974</v>
      </c>
      <c r="D3532" t="s">
        <v>1021</v>
      </c>
      <c r="E3532" t="s">
        <v>885</v>
      </c>
      <c r="F3532" t="s">
        <v>886</v>
      </c>
      <c r="G3532" t="s">
        <v>963</v>
      </c>
      <c r="H3532">
        <v>155</v>
      </c>
      <c r="I3532">
        <v>0.286277</v>
      </c>
      <c r="J3532">
        <v>0.77387099999999998</v>
      </c>
      <c r="K3532">
        <v>0.48759400000000003</v>
      </c>
      <c r="L3532">
        <v>136</v>
      </c>
      <c r="M3532">
        <v>11</v>
      </c>
      <c r="N3532">
        <v>8</v>
      </c>
      <c r="O3532">
        <v>0.79146000000000005</v>
      </c>
      <c r="P3532">
        <v>0.46390399999999998</v>
      </c>
      <c r="Q3532">
        <v>0.26168200000000003</v>
      </c>
    </row>
    <row r="3533" spans="1:17" x14ac:dyDescent="0.25">
      <c r="A3533" t="str">
        <f>IF(C3533&amp;G3533&amp;D3533&lt;&gt;'Funnel setup'!$K$3&amp;'Funnel setup'!$K$4&amp;'Funnel setup'!$K$6,".",IF(A3532=".",1,A3532+1))</f>
        <v>.</v>
      </c>
      <c r="B3533" s="244" t="str">
        <f t="shared" si="55"/>
        <v>Total Hip ReplacementSub-ICB of GP PracticeNHS NORTH EAST AND NORTH CUMBRIA ICB - 00N (00N)EQ-5D Index</v>
      </c>
      <c r="C3533" t="s">
        <v>974</v>
      </c>
      <c r="D3533" t="s">
        <v>1021</v>
      </c>
      <c r="E3533" t="s">
        <v>887</v>
      </c>
      <c r="F3533" t="s">
        <v>888</v>
      </c>
      <c r="G3533" t="s">
        <v>963</v>
      </c>
      <c r="H3533">
        <v>12</v>
      </c>
      <c r="I3533">
        <v>0.20366699999999999</v>
      </c>
      <c r="J3533">
        <v>0.70341699999999996</v>
      </c>
      <c r="K3533">
        <v>0.49975000000000003</v>
      </c>
      <c r="L3533">
        <v>9</v>
      </c>
      <c r="M3533">
        <v>1</v>
      </c>
      <c r="N3533">
        <v>2</v>
      </c>
      <c r="O3533" t="s">
        <v>127</v>
      </c>
      <c r="P3533" t="s">
        <v>127</v>
      </c>
      <c r="Q3533" t="s">
        <v>127</v>
      </c>
    </row>
    <row r="3534" spans="1:17" x14ac:dyDescent="0.25">
      <c r="A3534" t="str">
        <f>IF(C3534&amp;G3534&amp;D3534&lt;&gt;'Funnel setup'!$K$3&amp;'Funnel setup'!$K$4&amp;'Funnel setup'!$K$6,".",IF(A3533=".",1,A3533+1))</f>
        <v>.</v>
      </c>
      <c r="B3534" s="244" t="str">
        <f t="shared" si="55"/>
        <v>Total Hip ReplacementSub-ICB of GP PracticeNHS NORTH EAST AND NORTH CUMBRIA ICB - 00P (00P)EQ-5D Index</v>
      </c>
      <c r="C3534" t="s">
        <v>974</v>
      </c>
      <c r="D3534" t="s">
        <v>1021</v>
      </c>
      <c r="E3534" t="s">
        <v>889</v>
      </c>
      <c r="F3534" t="s">
        <v>890</v>
      </c>
      <c r="G3534" t="s">
        <v>963</v>
      </c>
      <c r="H3534">
        <v>32</v>
      </c>
      <c r="I3534">
        <v>0.20896899999999999</v>
      </c>
      <c r="J3534">
        <v>0.59768699999999997</v>
      </c>
      <c r="K3534">
        <v>0.38871899999999998</v>
      </c>
      <c r="L3534">
        <v>23</v>
      </c>
      <c r="M3534">
        <v>3</v>
      </c>
      <c r="N3534">
        <v>6</v>
      </c>
      <c r="O3534">
        <v>0.67489299999999997</v>
      </c>
      <c r="P3534">
        <v>0.34733700000000001</v>
      </c>
      <c r="Q3534">
        <v>0.33239000000000002</v>
      </c>
    </row>
    <row r="3535" spans="1:17" x14ac:dyDescent="0.25">
      <c r="A3535" t="str">
        <f>IF(C3535&amp;G3535&amp;D3535&lt;&gt;'Funnel setup'!$K$3&amp;'Funnel setup'!$K$4&amp;'Funnel setup'!$K$6,".",IF(A3534=".",1,A3534+1))</f>
        <v>.</v>
      </c>
      <c r="B3535" s="244" t="str">
        <f t="shared" si="55"/>
        <v>Total Hip ReplacementSub-ICB of GP PracticeNHS NORTH EAST AND NORTH CUMBRIA ICB - 01H (01H)EQ-5D Index</v>
      </c>
      <c r="C3535" t="s">
        <v>974</v>
      </c>
      <c r="D3535" t="s">
        <v>1021</v>
      </c>
      <c r="E3535" t="s">
        <v>891</v>
      </c>
      <c r="F3535" t="s">
        <v>892</v>
      </c>
      <c r="G3535" t="s">
        <v>963</v>
      </c>
      <c r="H3535">
        <v>176</v>
      </c>
      <c r="I3535">
        <v>0.27824399999999999</v>
      </c>
      <c r="J3535">
        <v>0.79601100000000002</v>
      </c>
      <c r="K3535">
        <v>0.51776699999999998</v>
      </c>
      <c r="L3535">
        <v>163</v>
      </c>
      <c r="M3535">
        <v>3</v>
      </c>
      <c r="N3535">
        <v>10</v>
      </c>
      <c r="O3535">
        <v>0.81045900000000004</v>
      </c>
      <c r="P3535">
        <v>0.482904</v>
      </c>
      <c r="Q3535">
        <v>0.227802</v>
      </c>
    </row>
    <row r="3536" spans="1:17" x14ac:dyDescent="0.25">
      <c r="A3536" t="str">
        <f>IF(C3536&amp;G3536&amp;D3536&lt;&gt;'Funnel setup'!$K$3&amp;'Funnel setup'!$K$4&amp;'Funnel setup'!$K$6,".",IF(A3535=".",1,A3535+1))</f>
        <v>.</v>
      </c>
      <c r="B3536" s="244" t="str">
        <f t="shared" si="55"/>
        <v>Total Hip ReplacementSub-ICB of GP PracticeNHS NORTH EAST AND NORTH CUMBRIA ICB - 13T (13T)EQ-5D Index</v>
      </c>
      <c r="C3536" t="s">
        <v>974</v>
      </c>
      <c r="D3536" t="s">
        <v>1021</v>
      </c>
      <c r="E3536" t="s">
        <v>893</v>
      </c>
      <c r="F3536" t="s">
        <v>894</v>
      </c>
      <c r="G3536" t="s">
        <v>963</v>
      </c>
      <c r="H3536">
        <v>96</v>
      </c>
      <c r="I3536">
        <v>0.24355199999999999</v>
      </c>
      <c r="J3536">
        <v>0.77563499999999996</v>
      </c>
      <c r="K3536">
        <v>0.53208299999999997</v>
      </c>
      <c r="L3536">
        <v>92</v>
      </c>
      <c r="M3536">
        <v>3</v>
      </c>
      <c r="N3536">
        <v>1</v>
      </c>
      <c r="O3536">
        <v>0.810338</v>
      </c>
      <c r="P3536">
        <v>0.48278199999999999</v>
      </c>
      <c r="Q3536">
        <v>0.240346</v>
      </c>
    </row>
    <row r="3537" spans="1:17" x14ac:dyDescent="0.25">
      <c r="A3537" t="str">
        <f>IF(C3537&amp;G3537&amp;D3537&lt;&gt;'Funnel setup'!$K$3&amp;'Funnel setup'!$K$4&amp;'Funnel setup'!$K$6,".",IF(A3536=".",1,A3536+1))</f>
        <v>.</v>
      </c>
      <c r="B3537" s="244" t="str">
        <f t="shared" si="55"/>
        <v>Total Hip ReplacementSub-ICB of GP PracticeNHS NORTH EAST AND NORTH CUMBRIA ICB - 16C (16C)EQ-5D Index</v>
      </c>
      <c r="C3537" t="s">
        <v>974</v>
      </c>
      <c r="D3537" t="s">
        <v>1021</v>
      </c>
      <c r="E3537" t="s">
        <v>895</v>
      </c>
      <c r="F3537" t="s">
        <v>896</v>
      </c>
      <c r="G3537" t="s">
        <v>963</v>
      </c>
      <c r="H3537">
        <v>351</v>
      </c>
      <c r="I3537">
        <v>0.33914800000000001</v>
      </c>
      <c r="J3537">
        <v>0.75973500000000005</v>
      </c>
      <c r="K3537">
        <v>0.42058699999999999</v>
      </c>
      <c r="L3537">
        <v>312</v>
      </c>
      <c r="M3537">
        <v>13</v>
      </c>
      <c r="N3537">
        <v>26</v>
      </c>
      <c r="O3537">
        <v>0.77429599999999998</v>
      </c>
      <c r="P3537">
        <v>0.446741</v>
      </c>
      <c r="Q3537">
        <v>0.25054599999999999</v>
      </c>
    </row>
    <row r="3538" spans="1:17" x14ac:dyDescent="0.25">
      <c r="A3538" t="str">
        <f>IF(C3538&amp;G3538&amp;D3538&lt;&gt;'Funnel setup'!$K$3&amp;'Funnel setup'!$K$4&amp;'Funnel setup'!$K$6,".",IF(A3537=".",1,A3537+1))</f>
        <v>.</v>
      </c>
      <c r="B3538" s="244" t="str">
        <f t="shared" si="55"/>
        <v>Total Hip ReplacementSub-ICB of GP PracticeNHS NORTH EAST AND NORTH CUMBRIA ICB - 84H (84H)EQ-5D Index</v>
      </c>
      <c r="C3538" t="s">
        <v>974</v>
      </c>
      <c r="D3538" t="s">
        <v>1021</v>
      </c>
      <c r="E3538" t="s">
        <v>897</v>
      </c>
      <c r="F3538" t="s">
        <v>898</v>
      </c>
      <c r="G3538" t="s">
        <v>963</v>
      </c>
      <c r="H3538">
        <v>262</v>
      </c>
      <c r="I3538">
        <v>0.31406499999999998</v>
      </c>
      <c r="J3538">
        <v>0.76118300000000005</v>
      </c>
      <c r="K3538">
        <v>0.44711800000000002</v>
      </c>
      <c r="L3538">
        <v>233</v>
      </c>
      <c r="M3538">
        <v>15</v>
      </c>
      <c r="N3538">
        <v>14</v>
      </c>
      <c r="O3538">
        <v>0.77835100000000002</v>
      </c>
      <c r="P3538">
        <v>0.450795</v>
      </c>
      <c r="Q3538">
        <v>0.22545000000000001</v>
      </c>
    </row>
    <row r="3539" spans="1:17" x14ac:dyDescent="0.25">
      <c r="A3539" t="str">
        <f>IF(C3539&amp;G3539&amp;D3539&lt;&gt;'Funnel setup'!$K$3&amp;'Funnel setup'!$K$4&amp;'Funnel setup'!$K$6,".",IF(A3538=".",1,A3538+1))</f>
        <v>.</v>
      </c>
      <c r="B3539" s="244" t="str">
        <f t="shared" si="55"/>
        <v>Total Hip ReplacementSub-ICB of GP PracticeNHS NORTH EAST AND NORTH CUMBRIA ICB - 99C (99C)EQ-5D Index</v>
      </c>
      <c r="C3539" t="s">
        <v>974</v>
      </c>
      <c r="D3539" t="s">
        <v>1021</v>
      </c>
      <c r="E3539" t="s">
        <v>899</v>
      </c>
      <c r="F3539" t="s">
        <v>900</v>
      </c>
      <c r="G3539" t="s">
        <v>963</v>
      </c>
      <c r="H3539">
        <v>75</v>
      </c>
      <c r="I3539">
        <v>0.316747</v>
      </c>
      <c r="J3539">
        <v>0.79414700000000005</v>
      </c>
      <c r="K3539">
        <v>0.47739999999999999</v>
      </c>
      <c r="L3539">
        <v>71</v>
      </c>
      <c r="M3539">
        <v>2</v>
      </c>
      <c r="N3539">
        <v>2</v>
      </c>
      <c r="O3539">
        <v>0.79583400000000004</v>
      </c>
      <c r="P3539">
        <v>0.46827800000000003</v>
      </c>
      <c r="Q3539">
        <v>0.21881900000000001</v>
      </c>
    </row>
    <row r="3540" spans="1:17" x14ac:dyDescent="0.25">
      <c r="A3540" t="str">
        <f>IF(C3540&amp;G3540&amp;D3540&lt;&gt;'Funnel setup'!$K$3&amp;'Funnel setup'!$K$4&amp;'Funnel setup'!$K$6,".",IF(A3539=".",1,A3539+1))</f>
        <v>.</v>
      </c>
      <c r="B3540" s="244" t="str">
        <f t="shared" si="55"/>
        <v>Total Hip ReplacementSub-ICB of GP PracticeNHS NORTH EAST LONDON ICB - A3A8R (A3A8R)EQ-5D Index</v>
      </c>
      <c r="C3540" t="s">
        <v>974</v>
      </c>
      <c r="D3540" t="s">
        <v>1021</v>
      </c>
      <c r="E3540" t="s">
        <v>901</v>
      </c>
      <c r="F3540" t="s">
        <v>902</v>
      </c>
      <c r="G3540" t="s">
        <v>963</v>
      </c>
      <c r="H3540">
        <v>159</v>
      </c>
      <c r="I3540">
        <v>0.292101</v>
      </c>
      <c r="J3540">
        <v>0.73405699999999996</v>
      </c>
      <c r="K3540">
        <v>0.44195600000000002</v>
      </c>
      <c r="L3540">
        <v>140</v>
      </c>
      <c r="M3540">
        <v>10</v>
      </c>
      <c r="N3540">
        <v>9</v>
      </c>
      <c r="O3540">
        <v>0.76211200000000001</v>
      </c>
      <c r="P3540">
        <v>0.434556</v>
      </c>
      <c r="Q3540">
        <v>0.25592900000000002</v>
      </c>
    </row>
    <row r="3541" spans="1:17" x14ac:dyDescent="0.25">
      <c r="A3541" t="str">
        <f>IF(C3541&amp;G3541&amp;D3541&lt;&gt;'Funnel setup'!$K$3&amp;'Funnel setup'!$K$4&amp;'Funnel setup'!$K$6,".",IF(A3540=".",1,A3540+1))</f>
        <v>.</v>
      </c>
      <c r="B3541" s="244" t="str">
        <f t="shared" si="55"/>
        <v>Total Hip ReplacementSub-ICB of GP PracticeNHS NORTH WEST LONDON ICB - W2U3Z (W2U3Z)EQ-5D Index</v>
      </c>
      <c r="C3541" t="s">
        <v>974</v>
      </c>
      <c r="D3541" t="s">
        <v>1021</v>
      </c>
      <c r="E3541" t="s">
        <v>903</v>
      </c>
      <c r="F3541" t="s">
        <v>904</v>
      </c>
      <c r="G3541" t="s">
        <v>963</v>
      </c>
      <c r="H3541">
        <v>153</v>
      </c>
      <c r="I3541">
        <v>0.37151600000000001</v>
      </c>
      <c r="J3541">
        <v>0.78453600000000001</v>
      </c>
      <c r="K3541">
        <v>0.41302</v>
      </c>
      <c r="L3541">
        <v>134</v>
      </c>
      <c r="M3541">
        <v>10</v>
      </c>
      <c r="N3541">
        <v>9</v>
      </c>
      <c r="O3541">
        <v>0.77263300000000001</v>
      </c>
      <c r="P3541">
        <v>0.445077</v>
      </c>
      <c r="Q3541">
        <v>0.229042</v>
      </c>
    </row>
    <row r="3542" spans="1:17" x14ac:dyDescent="0.25">
      <c r="A3542" t="str">
        <f>IF(C3542&amp;G3542&amp;D3542&lt;&gt;'Funnel setup'!$K$3&amp;'Funnel setup'!$K$4&amp;'Funnel setup'!$K$6,".",IF(A3541=".",1,A3541+1))</f>
        <v>.</v>
      </c>
      <c r="B3542" s="244" t="str">
        <f t="shared" si="55"/>
        <v>Total Hip ReplacementSub-ICB of GP PracticeNHS NORTHAMPTONSHIRE ICB - 78H (78H)EQ-5D Index</v>
      </c>
      <c r="C3542" t="s">
        <v>974</v>
      </c>
      <c r="D3542" t="s">
        <v>1021</v>
      </c>
      <c r="E3542" t="s">
        <v>905</v>
      </c>
      <c r="F3542" t="s">
        <v>906</v>
      </c>
      <c r="G3542" t="s">
        <v>963</v>
      </c>
      <c r="H3542">
        <v>248</v>
      </c>
      <c r="I3542">
        <v>0.30890699999999999</v>
      </c>
      <c r="J3542">
        <v>0.78158899999999998</v>
      </c>
      <c r="K3542">
        <v>0.47268100000000002</v>
      </c>
      <c r="L3542">
        <v>220</v>
      </c>
      <c r="M3542">
        <v>13</v>
      </c>
      <c r="N3542">
        <v>15</v>
      </c>
      <c r="O3542">
        <v>0.78223799999999999</v>
      </c>
      <c r="P3542">
        <v>0.45468199999999998</v>
      </c>
      <c r="Q3542">
        <v>0.227354</v>
      </c>
    </row>
    <row r="3543" spans="1:17" x14ac:dyDescent="0.25">
      <c r="A3543" t="str">
        <f>IF(C3543&amp;G3543&amp;D3543&lt;&gt;'Funnel setup'!$K$3&amp;'Funnel setup'!$K$4&amp;'Funnel setup'!$K$6,".",IF(A3542=".",1,A3542+1))</f>
        <v>.</v>
      </c>
      <c r="B3543" s="244" t="str">
        <f t="shared" si="55"/>
        <v>Total Hip ReplacementSub-ICB of GP PracticeNHS NOTTINGHAM AND NOTTINGHAMSHIRE ICB - 02Q (02Q)EQ-5D Index</v>
      </c>
      <c r="C3543" t="s">
        <v>974</v>
      </c>
      <c r="D3543" t="s">
        <v>1021</v>
      </c>
      <c r="E3543" t="s">
        <v>907</v>
      </c>
      <c r="F3543" t="s">
        <v>908</v>
      </c>
      <c r="G3543" t="s">
        <v>963</v>
      </c>
      <c r="H3543">
        <v>47</v>
      </c>
      <c r="I3543">
        <v>0.25172299999999997</v>
      </c>
      <c r="J3543">
        <v>0.76419099999999995</v>
      </c>
      <c r="K3543">
        <v>0.51246800000000003</v>
      </c>
      <c r="L3543">
        <v>42</v>
      </c>
      <c r="M3543">
        <v>3</v>
      </c>
      <c r="N3543">
        <v>2</v>
      </c>
      <c r="O3543">
        <v>0.80249899999999996</v>
      </c>
      <c r="P3543">
        <v>0.474943</v>
      </c>
      <c r="Q3543">
        <v>0.197855</v>
      </c>
    </row>
    <row r="3544" spans="1:17" x14ac:dyDescent="0.25">
      <c r="A3544" t="str">
        <f>IF(C3544&amp;G3544&amp;D3544&lt;&gt;'Funnel setup'!$K$3&amp;'Funnel setup'!$K$4&amp;'Funnel setup'!$K$6,".",IF(A3543=".",1,A3543+1))</f>
        <v>.</v>
      </c>
      <c r="B3544" s="244" t="str">
        <f t="shared" si="55"/>
        <v>Total Hip ReplacementSub-ICB of GP PracticeNHS NOTTINGHAM AND NOTTINGHAMSHIRE ICB - 52R (52R)EQ-5D Index</v>
      </c>
      <c r="C3544" t="s">
        <v>974</v>
      </c>
      <c r="D3544" t="s">
        <v>1021</v>
      </c>
      <c r="E3544" t="s">
        <v>909</v>
      </c>
      <c r="F3544" t="s">
        <v>910</v>
      </c>
      <c r="G3544" t="s">
        <v>963</v>
      </c>
      <c r="H3544">
        <v>138</v>
      </c>
      <c r="I3544">
        <v>0.28749999999999998</v>
      </c>
      <c r="J3544">
        <v>0.76051400000000002</v>
      </c>
      <c r="K3544">
        <v>0.47301399999999999</v>
      </c>
      <c r="L3544">
        <v>126</v>
      </c>
      <c r="M3544">
        <v>4</v>
      </c>
      <c r="N3544">
        <v>8</v>
      </c>
      <c r="O3544">
        <v>0.767621</v>
      </c>
      <c r="P3544">
        <v>0.44006499999999998</v>
      </c>
      <c r="Q3544">
        <v>0.21357699999999999</v>
      </c>
    </row>
    <row r="3545" spans="1:17" x14ac:dyDescent="0.25">
      <c r="A3545" t="str">
        <f>IF(C3545&amp;G3545&amp;D3545&lt;&gt;'Funnel setup'!$K$3&amp;'Funnel setup'!$K$4&amp;'Funnel setup'!$K$6,".",IF(A3544=".",1,A3544+1))</f>
        <v>.</v>
      </c>
      <c r="B3545" s="244" t="str">
        <f t="shared" si="55"/>
        <v>Total Hip ReplacementSub-ICB of GP PracticeNHS SHROPSHIRE, TELFORD AND WREKIN ICB - M2L0M (M2L0M)EQ-5D Index</v>
      </c>
      <c r="C3545" t="s">
        <v>974</v>
      </c>
      <c r="D3545" t="s">
        <v>1021</v>
      </c>
      <c r="E3545" t="s">
        <v>911</v>
      </c>
      <c r="F3545" t="s">
        <v>912</v>
      </c>
      <c r="G3545" t="s">
        <v>963</v>
      </c>
      <c r="H3545">
        <v>255</v>
      </c>
      <c r="I3545">
        <v>0.18324299999999999</v>
      </c>
      <c r="J3545">
        <v>0.81354099999999996</v>
      </c>
      <c r="K3545">
        <v>0.63029800000000002</v>
      </c>
      <c r="L3545">
        <v>241</v>
      </c>
      <c r="M3545">
        <v>7</v>
      </c>
      <c r="N3545">
        <v>7</v>
      </c>
      <c r="O3545">
        <v>0.85172899999999996</v>
      </c>
      <c r="P3545">
        <v>0.524173</v>
      </c>
      <c r="Q3545">
        <v>0.21332999999999999</v>
      </c>
    </row>
    <row r="3546" spans="1:17" x14ac:dyDescent="0.25">
      <c r="A3546" t="str">
        <f>IF(C3546&amp;G3546&amp;D3546&lt;&gt;'Funnel setup'!$K$3&amp;'Funnel setup'!$K$4&amp;'Funnel setup'!$K$6,".",IF(A3545=".",1,A3545+1))</f>
        <v>.</v>
      </c>
      <c r="B3546" s="244" t="str">
        <f t="shared" si="55"/>
        <v>Total Hip ReplacementSub-ICB of GP PracticeNHS SOMERSET ICB - 11X (11X)EQ-5D Index</v>
      </c>
      <c r="C3546" t="s">
        <v>974</v>
      </c>
      <c r="D3546" t="s">
        <v>1021</v>
      </c>
      <c r="E3546" t="s">
        <v>913</v>
      </c>
      <c r="F3546" t="s">
        <v>914</v>
      </c>
      <c r="G3546" t="s">
        <v>963</v>
      </c>
      <c r="H3546">
        <v>240</v>
      </c>
      <c r="I3546">
        <v>0.40837899999999999</v>
      </c>
      <c r="J3546">
        <v>0.849387</v>
      </c>
      <c r="K3546">
        <v>0.44100800000000001</v>
      </c>
      <c r="L3546">
        <v>220</v>
      </c>
      <c r="M3546">
        <v>9</v>
      </c>
      <c r="N3546">
        <v>11</v>
      </c>
      <c r="O3546">
        <v>0.80860799999999999</v>
      </c>
      <c r="P3546">
        <v>0.48105199999999998</v>
      </c>
      <c r="Q3546">
        <v>0.186248</v>
      </c>
    </row>
    <row r="3547" spans="1:17" x14ac:dyDescent="0.25">
      <c r="A3547" t="str">
        <f>IF(C3547&amp;G3547&amp;D3547&lt;&gt;'Funnel setup'!$K$3&amp;'Funnel setup'!$K$4&amp;'Funnel setup'!$K$6,".",IF(A3546=".",1,A3546+1))</f>
        <v>.</v>
      </c>
      <c r="B3547" s="244" t="str">
        <f t="shared" si="55"/>
        <v>Total Hip ReplacementSub-ICB of GP PracticeNHS SOUTH EAST LONDON ICB - 72Q (72Q)EQ-5D Index</v>
      </c>
      <c r="C3547" t="s">
        <v>974</v>
      </c>
      <c r="D3547" t="s">
        <v>1021</v>
      </c>
      <c r="E3547" t="s">
        <v>915</v>
      </c>
      <c r="F3547" t="s">
        <v>916</v>
      </c>
      <c r="G3547" t="s">
        <v>963</v>
      </c>
      <c r="H3547">
        <v>139</v>
      </c>
      <c r="I3547">
        <v>0.35163299999999997</v>
      </c>
      <c r="J3547">
        <v>0.736317</v>
      </c>
      <c r="K3547">
        <v>0.384683</v>
      </c>
      <c r="L3547">
        <v>117</v>
      </c>
      <c r="M3547">
        <v>10</v>
      </c>
      <c r="N3547">
        <v>12</v>
      </c>
      <c r="O3547">
        <v>0.734518</v>
      </c>
      <c r="P3547">
        <v>0.40696199999999999</v>
      </c>
      <c r="Q3547">
        <v>0.267536</v>
      </c>
    </row>
    <row r="3548" spans="1:17" x14ac:dyDescent="0.25">
      <c r="A3548" t="str">
        <f>IF(C3548&amp;G3548&amp;D3548&lt;&gt;'Funnel setup'!$K$3&amp;'Funnel setup'!$K$4&amp;'Funnel setup'!$K$6,".",IF(A3547=".",1,A3547+1))</f>
        <v>.</v>
      </c>
      <c r="B3548" s="244" t="str">
        <f t="shared" si="55"/>
        <v>Total Hip ReplacementSub-ICB of GP PracticeNHS SOUTH WEST LONDON ICB - 36L (36L)EQ-5D Index</v>
      </c>
      <c r="C3548" t="s">
        <v>974</v>
      </c>
      <c r="D3548" t="s">
        <v>1021</v>
      </c>
      <c r="E3548" t="s">
        <v>917</v>
      </c>
      <c r="F3548" t="s">
        <v>918</v>
      </c>
      <c r="G3548" t="s">
        <v>963</v>
      </c>
      <c r="H3548">
        <v>380</v>
      </c>
      <c r="I3548">
        <v>0.37386799999999998</v>
      </c>
      <c r="J3548">
        <v>0.78831099999999998</v>
      </c>
      <c r="K3548">
        <v>0.41444199999999998</v>
      </c>
      <c r="L3548">
        <v>343</v>
      </c>
      <c r="M3548">
        <v>18</v>
      </c>
      <c r="N3548">
        <v>19</v>
      </c>
      <c r="O3548">
        <v>0.780246</v>
      </c>
      <c r="P3548">
        <v>0.45268999999999998</v>
      </c>
      <c r="Q3548">
        <v>0.22173300000000001</v>
      </c>
    </row>
    <row r="3549" spans="1:17" x14ac:dyDescent="0.25">
      <c r="A3549" t="str">
        <f>IF(C3549&amp;G3549&amp;D3549&lt;&gt;'Funnel setup'!$K$3&amp;'Funnel setup'!$K$4&amp;'Funnel setup'!$K$6,".",IF(A3548=".",1,A3548+1))</f>
        <v>.</v>
      </c>
      <c r="B3549" s="244" t="str">
        <f t="shared" si="55"/>
        <v>Total Hip ReplacementSub-ICB of GP PracticeNHS SOUTH YORKSHIRE ICB - 02P (02P)EQ-5D Index</v>
      </c>
      <c r="C3549" t="s">
        <v>974</v>
      </c>
      <c r="D3549" t="s">
        <v>1021</v>
      </c>
      <c r="E3549" t="s">
        <v>919</v>
      </c>
      <c r="F3549" t="s">
        <v>920</v>
      </c>
      <c r="G3549" t="s">
        <v>963</v>
      </c>
      <c r="H3549">
        <v>44</v>
      </c>
      <c r="I3549">
        <v>0.184364</v>
      </c>
      <c r="J3549">
        <v>0.71020499999999998</v>
      </c>
      <c r="K3549">
        <v>0.525841</v>
      </c>
      <c r="L3549">
        <v>42</v>
      </c>
      <c r="M3549">
        <v>1</v>
      </c>
      <c r="N3549">
        <v>1</v>
      </c>
      <c r="O3549">
        <v>0.77376500000000004</v>
      </c>
      <c r="P3549">
        <v>0.44620900000000002</v>
      </c>
      <c r="Q3549">
        <v>0.188304</v>
      </c>
    </row>
    <row r="3550" spans="1:17" x14ac:dyDescent="0.25">
      <c r="A3550" t="str">
        <f>IF(C3550&amp;G3550&amp;D3550&lt;&gt;'Funnel setup'!$K$3&amp;'Funnel setup'!$K$4&amp;'Funnel setup'!$K$6,".",IF(A3549=".",1,A3549+1))</f>
        <v>.</v>
      </c>
      <c r="B3550" s="244" t="str">
        <f t="shared" si="55"/>
        <v>Total Hip ReplacementSub-ICB of GP PracticeNHS SOUTH YORKSHIRE ICB - 02X (02X)EQ-5D Index</v>
      </c>
      <c r="C3550" t="s">
        <v>974</v>
      </c>
      <c r="D3550" t="s">
        <v>1021</v>
      </c>
      <c r="E3550" t="s">
        <v>921</v>
      </c>
      <c r="F3550" t="s">
        <v>922</v>
      </c>
      <c r="G3550" t="s">
        <v>963</v>
      </c>
      <c r="H3550">
        <v>84</v>
      </c>
      <c r="I3550">
        <v>0.29160700000000001</v>
      </c>
      <c r="J3550">
        <v>0.74076200000000003</v>
      </c>
      <c r="K3550">
        <v>0.44915500000000003</v>
      </c>
      <c r="L3550">
        <v>75</v>
      </c>
      <c r="M3550">
        <v>1</v>
      </c>
      <c r="N3550">
        <v>8</v>
      </c>
      <c r="O3550">
        <v>0.74579300000000004</v>
      </c>
      <c r="P3550">
        <v>0.418238</v>
      </c>
      <c r="Q3550">
        <v>0.297786</v>
      </c>
    </row>
    <row r="3551" spans="1:17" x14ac:dyDescent="0.25">
      <c r="A3551" t="str">
        <f>IF(C3551&amp;G3551&amp;D3551&lt;&gt;'Funnel setup'!$K$3&amp;'Funnel setup'!$K$4&amp;'Funnel setup'!$K$6,".",IF(A3550=".",1,A3550+1))</f>
        <v>.</v>
      </c>
      <c r="B3551" s="244" t="str">
        <f t="shared" si="55"/>
        <v>Total Hip ReplacementSub-ICB of GP PracticeNHS SOUTH YORKSHIRE ICB - 03L (03L)EQ-5D Index</v>
      </c>
      <c r="C3551" t="s">
        <v>974</v>
      </c>
      <c r="D3551" t="s">
        <v>1021</v>
      </c>
      <c r="E3551" t="s">
        <v>923</v>
      </c>
      <c r="F3551" t="s">
        <v>924</v>
      </c>
      <c r="G3551" t="s">
        <v>963</v>
      </c>
      <c r="H3551">
        <v>38</v>
      </c>
      <c r="I3551">
        <v>0.33918399999999999</v>
      </c>
      <c r="J3551">
        <v>0.79028900000000002</v>
      </c>
      <c r="K3551">
        <v>0.45110499999999998</v>
      </c>
      <c r="L3551">
        <v>32</v>
      </c>
      <c r="M3551">
        <v>4</v>
      </c>
      <c r="N3551">
        <v>2</v>
      </c>
      <c r="O3551">
        <v>0.79845600000000005</v>
      </c>
      <c r="P3551">
        <v>0.47089999999999999</v>
      </c>
      <c r="Q3551">
        <v>0.220753</v>
      </c>
    </row>
    <row r="3552" spans="1:17" x14ac:dyDescent="0.25">
      <c r="A3552" t="str">
        <f>IF(C3552&amp;G3552&amp;D3552&lt;&gt;'Funnel setup'!$K$3&amp;'Funnel setup'!$K$4&amp;'Funnel setup'!$K$6,".",IF(A3551=".",1,A3551+1))</f>
        <v>.</v>
      </c>
      <c r="B3552" s="244" t="str">
        <f t="shared" si="55"/>
        <v>Total Hip ReplacementSub-ICB of GP PracticeNHS SOUTH YORKSHIRE ICB - 03N (03N)EQ-5D Index</v>
      </c>
      <c r="C3552" t="s">
        <v>974</v>
      </c>
      <c r="D3552" t="s">
        <v>1021</v>
      </c>
      <c r="E3552" t="s">
        <v>925</v>
      </c>
      <c r="F3552" t="s">
        <v>926</v>
      </c>
      <c r="G3552" t="s">
        <v>963</v>
      </c>
      <c r="H3552">
        <v>33</v>
      </c>
      <c r="I3552">
        <v>0.40575800000000001</v>
      </c>
      <c r="J3552">
        <v>0.78318200000000004</v>
      </c>
      <c r="K3552">
        <v>0.37742399999999998</v>
      </c>
      <c r="L3552">
        <v>29</v>
      </c>
      <c r="M3552">
        <v>1</v>
      </c>
      <c r="N3552">
        <v>3</v>
      </c>
      <c r="O3552">
        <v>0.76828399999999997</v>
      </c>
      <c r="P3552">
        <v>0.44072800000000001</v>
      </c>
      <c r="Q3552">
        <v>0.289325</v>
      </c>
    </row>
    <row r="3553" spans="1:17" x14ac:dyDescent="0.25">
      <c r="A3553" t="str">
        <f>IF(C3553&amp;G3553&amp;D3553&lt;&gt;'Funnel setup'!$K$3&amp;'Funnel setup'!$K$4&amp;'Funnel setup'!$K$6,".",IF(A3552=".",1,A3552+1))</f>
        <v>.</v>
      </c>
      <c r="B3553" s="244" t="str">
        <f t="shared" si="55"/>
        <v>Total Hip ReplacementSub-ICB of GP PracticeNHS STAFFORDSHIRE AND STOKE-ON-TRENT ICB - 04Y (04Y)EQ-5D Index</v>
      </c>
      <c r="C3553" t="s">
        <v>974</v>
      </c>
      <c r="D3553" t="s">
        <v>1021</v>
      </c>
      <c r="E3553" t="s">
        <v>927</v>
      </c>
      <c r="F3553" t="s">
        <v>928</v>
      </c>
      <c r="G3553" t="s">
        <v>963</v>
      </c>
      <c r="H3553">
        <v>31</v>
      </c>
      <c r="I3553">
        <v>0.31054799999999999</v>
      </c>
      <c r="J3553">
        <v>0.854742</v>
      </c>
      <c r="K3553">
        <v>0.54419399999999996</v>
      </c>
      <c r="L3553">
        <v>28</v>
      </c>
      <c r="M3553">
        <v>2</v>
      </c>
      <c r="N3553">
        <v>1</v>
      </c>
      <c r="O3553">
        <v>0.85240000000000005</v>
      </c>
      <c r="P3553">
        <v>0.52484399999999998</v>
      </c>
      <c r="Q3553">
        <v>0.13420000000000001</v>
      </c>
    </row>
    <row r="3554" spans="1:17" x14ac:dyDescent="0.25">
      <c r="A3554" t="str">
        <f>IF(C3554&amp;G3554&amp;D3554&lt;&gt;'Funnel setup'!$K$3&amp;'Funnel setup'!$K$4&amp;'Funnel setup'!$K$6,".",IF(A3553=".",1,A3553+1))</f>
        <v>.</v>
      </c>
      <c r="B3554" s="244" t="str">
        <f t="shared" si="55"/>
        <v>Total Hip ReplacementSub-ICB of GP PracticeNHS STAFFORDSHIRE AND STOKE-ON-TRENT ICB - 05D (05D)EQ-5D Index</v>
      </c>
      <c r="C3554" t="s">
        <v>974</v>
      </c>
      <c r="D3554" t="s">
        <v>1021</v>
      </c>
      <c r="E3554" t="s">
        <v>929</v>
      </c>
      <c r="F3554" t="s">
        <v>930</v>
      </c>
      <c r="G3554" t="s">
        <v>963</v>
      </c>
      <c r="H3554">
        <v>52</v>
      </c>
      <c r="I3554">
        <v>0.30009599999999997</v>
      </c>
      <c r="J3554">
        <v>0.77182700000000004</v>
      </c>
      <c r="K3554">
        <v>0.47173100000000001</v>
      </c>
      <c r="L3554">
        <v>49</v>
      </c>
      <c r="M3554">
        <v>1</v>
      </c>
      <c r="N3554">
        <v>2</v>
      </c>
      <c r="O3554">
        <v>0.78939800000000004</v>
      </c>
      <c r="P3554">
        <v>0.46184199999999997</v>
      </c>
      <c r="Q3554">
        <v>0.237762</v>
      </c>
    </row>
    <row r="3555" spans="1:17" x14ac:dyDescent="0.25">
      <c r="A3555" t="str">
        <f>IF(C3555&amp;G3555&amp;D3555&lt;&gt;'Funnel setup'!$K$3&amp;'Funnel setup'!$K$4&amp;'Funnel setup'!$K$6,".",IF(A3554=".",1,A3554+1))</f>
        <v>.</v>
      </c>
      <c r="B3555" s="244" t="str">
        <f t="shared" si="55"/>
        <v>Total Hip ReplacementSub-ICB of GP PracticeNHS STAFFORDSHIRE AND STOKE-ON-TRENT ICB - 05G (05G)EQ-5D Index</v>
      </c>
      <c r="C3555" t="s">
        <v>974</v>
      </c>
      <c r="D3555" t="s">
        <v>1021</v>
      </c>
      <c r="E3555" t="s">
        <v>931</v>
      </c>
      <c r="F3555" t="s">
        <v>932</v>
      </c>
      <c r="G3555" t="s">
        <v>963</v>
      </c>
      <c r="H3555">
        <v>42</v>
      </c>
      <c r="I3555">
        <v>0.306452</v>
      </c>
      <c r="J3555">
        <v>0.69257100000000005</v>
      </c>
      <c r="K3555">
        <v>0.38611899999999999</v>
      </c>
      <c r="L3555">
        <v>37</v>
      </c>
      <c r="M3555">
        <v>2</v>
      </c>
      <c r="N3555">
        <v>3</v>
      </c>
      <c r="O3555">
        <v>0.69344499999999998</v>
      </c>
      <c r="P3555">
        <v>0.36588900000000002</v>
      </c>
      <c r="Q3555">
        <v>0.30223800000000001</v>
      </c>
    </row>
    <row r="3556" spans="1:17" x14ac:dyDescent="0.25">
      <c r="A3556" t="str">
        <f>IF(C3556&amp;G3556&amp;D3556&lt;&gt;'Funnel setup'!$K$3&amp;'Funnel setup'!$K$4&amp;'Funnel setup'!$K$6,".",IF(A3555=".",1,A3555+1))</f>
        <v>.</v>
      </c>
      <c r="B3556" s="244" t="str">
        <f t="shared" si="55"/>
        <v>Total Hip ReplacementSub-ICB of GP PracticeNHS STAFFORDSHIRE AND STOKE-ON-TRENT ICB - 05Q (05Q)EQ-5D Index</v>
      </c>
      <c r="C3556" t="s">
        <v>974</v>
      </c>
      <c r="D3556" t="s">
        <v>1021</v>
      </c>
      <c r="E3556" t="s">
        <v>933</v>
      </c>
      <c r="F3556" t="s">
        <v>934</v>
      </c>
      <c r="G3556" t="s">
        <v>963</v>
      </c>
      <c r="H3556">
        <v>76</v>
      </c>
      <c r="I3556">
        <v>0.34828900000000002</v>
      </c>
      <c r="J3556">
        <v>0.71453900000000004</v>
      </c>
      <c r="K3556">
        <v>0.36625000000000002</v>
      </c>
      <c r="L3556">
        <v>61</v>
      </c>
      <c r="M3556">
        <v>8</v>
      </c>
      <c r="N3556">
        <v>7</v>
      </c>
      <c r="O3556">
        <v>0.71524799999999999</v>
      </c>
      <c r="P3556">
        <v>0.38769199999999998</v>
      </c>
      <c r="Q3556">
        <v>0.24296200000000001</v>
      </c>
    </row>
    <row r="3557" spans="1:17" x14ac:dyDescent="0.25">
      <c r="A3557" t="str">
        <f>IF(C3557&amp;G3557&amp;D3557&lt;&gt;'Funnel setup'!$K$3&amp;'Funnel setup'!$K$4&amp;'Funnel setup'!$K$6,".",IF(A3556=".",1,A3556+1))</f>
        <v>.</v>
      </c>
      <c r="B3557" s="244" t="str">
        <f t="shared" si="55"/>
        <v>Total Hip ReplacementSub-ICB of GP PracticeNHS STAFFORDSHIRE AND STOKE-ON-TRENT ICB - 05V (05V)EQ-5D Index</v>
      </c>
      <c r="C3557" t="s">
        <v>974</v>
      </c>
      <c r="D3557" t="s">
        <v>1021</v>
      </c>
      <c r="E3557" t="s">
        <v>935</v>
      </c>
      <c r="F3557" t="s">
        <v>936</v>
      </c>
      <c r="G3557" t="s">
        <v>963</v>
      </c>
      <c r="H3557">
        <v>59</v>
      </c>
      <c r="I3557">
        <v>0.41737299999999999</v>
      </c>
      <c r="J3557">
        <v>0.81991499999999995</v>
      </c>
      <c r="K3557">
        <v>0.40254200000000001</v>
      </c>
      <c r="L3557">
        <v>54</v>
      </c>
      <c r="M3557">
        <v>3</v>
      </c>
      <c r="N3557">
        <v>2</v>
      </c>
      <c r="O3557">
        <v>0.78164999999999996</v>
      </c>
      <c r="P3557">
        <v>0.45409500000000003</v>
      </c>
      <c r="Q3557">
        <v>0.19463800000000001</v>
      </c>
    </row>
    <row r="3558" spans="1:17" x14ac:dyDescent="0.25">
      <c r="A3558" t="str">
        <f>IF(C3558&amp;G3558&amp;D3558&lt;&gt;'Funnel setup'!$K$3&amp;'Funnel setup'!$K$4&amp;'Funnel setup'!$K$6,".",IF(A3557=".",1,A3557+1))</f>
        <v>.</v>
      </c>
      <c r="B3558" s="244" t="str">
        <f t="shared" si="55"/>
        <v>Total Hip ReplacementSub-ICB of GP PracticeNHS STAFFORDSHIRE AND STOKE-ON-TRENT ICB - 05W (05W)EQ-5D Index</v>
      </c>
      <c r="C3558" t="s">
        <v>974</v>
      </c>
      <c r="D3558" t="s">
        <v>1021</v>
      </c>
      <c r="E3558" t="s">
        <v>937</v>
      </c>
      <c r="F3558" t="s">
        <v>938</v>
      </c>
      <c r="G3558" t="s">
        <v>963</v>
      </c>
      <c r="H3558">
        <v>32</v>
      </c>
      <c r="I3558">
        <v>0.27021899999999999</v>
      </c>
      <c r="J3558">
        <v>0.80934399999999995</v>
      </c>
      <c r="K3558">
        <v>0.53912499999999997</v>
      </c>
      <c r="L3558">
        <v>29</v>
      </c>
      <c r="M3558">
        <v>2</v>
      </c>
      <c r="N3558">
        <v>1</v>
      </c>
      <c r="O3558">
        <v>0.85396899999999998</v>
      </c>
      <c r="P3558">
        <v>0.52641300000000002</v>
      </c>
      <c r="Q3558">
        <v>0.18928300000000001</v>
      </c>
    </row>
    <row r="3559" spans="1:17" x14ac:dyDescent="0.25">
      <c r="A3559" t="str">
        <f>IF(C3559&amp;G3559&amp;D3559&lt;&gt;'Funnel setup'!$K$3&amp;'Funnel setup'!$K$4&amp;'Funnel setup'!$K$6,".",IF(A3558=".",1,A3558+1))</f>
        <v>.</v>
      </c>
      <c r="B3559" s="244" t="str">
        <f t="shared" si="55"/>
        <v>Total Hip ReplacementSub-ICB of GP PracticeNHS SUFFOLK AND NORTH EAST ESSEX ICB - 06L (06L)EQ-5D Index</v>
      </c>
      <c r="C3559" t="s">
        <v>974</v>
      </c>
      <c r="D3559" t="s">
        <v>1021</v>
      </c>
      <c r="E3559" t="s">
        <v>939</v>
      </c>
      <c r="F3559" t="s">
        <v>940</v>
      </c>
      <c r="G3559" t="s">
        <v>963</v>
      </c>
      <c r="H3559">
        <v>144</v>
      </c>
      <c r="I3559">
        <v>0.24145800000000001</v>
      </c>
      <c r="J3559">
        <v>0.761938</v>
      </c>
      <c r="K3559">
        <v>0.52047900000000002</v>
      </c>
      <c r="L3559">
        <v>134</v>
      </c>
      <c r="M3559">
        <v>7</v>
      </c>
      <c r="N3559">
        <v>3</v>
      </c>
      <c r="O3559">
        <v>0.78358000000000005</v>
      </c>
      <c r="P3559">
        <v>0.45602500000000001</v>
      </c>
      <c r="Q3559">
        <v>0.23951</v>
      </c>
    </row>
    <row r="3560" spans="1:17" x14ac:dyDescent="0.25">
      <c r="A3560" t="str">
        <f>IF(C3560&amp;G3560&amp;D3560&lt;&gt;'Funnel setup'!$K$3&amp;'Funnel setup'!$K$4&amp;'Funnel setup'!$K$6,".",IF(A3559=".",1,A3559+1))</f>
        <v>.</v>
      </c>
      <c r="B3560" s="244" t="str">
        <f t="shared" si="55"/>
        <v>Total Hip ReplacementSub-ICB of GP PracticeNHS SUFFOLK AND NORTH EAST ESSEX ICB - 06T (06T)EQ-5D Index</v>
      </c>
      <c r="C3560" t="s">
        <v>974</v>
      </c>
      <c r="D3560" t="s">
        <v>1021</v>
      </c>
      <c r="E3560" t="s">
        <v>941</v>
      </c>
      <c r="F3560" t="s">
        <v>942</v>
      </c>
      <c r="G3560" t="s">
        <v>963</v>
      </c>
      <c r="H3560">
        <v>32</v>
      </c>
      <c r="I3560">
        <v>0.402281</v>
      </c>
      <c r="J3560">
        <v>0.80025000000000002</v>
      </c>
      <c r="K3560">
        <v>0.39796900000000002</v>
      </c>
      <c r="L3560">
        <v>29</v>
      </c>
      <c r="M3560">
        <v>3</v>
      </c>
      <c r="N3560">
        <v>0</v>
      </c>
      <c r="O3560">
        <v>0.79104200000000002</v>
      </c>
      <c r="P3560">
        <v>0.46348600000000001</v>
      </c>
      <c r="Q3560">
        <v>0.157693</v>
      </c>
    </row>
    <row r="3561" spans="1:17" x14ac:dyDescent="0.25">
      <c r="A3561" t="str">
        <f>IF(C3561&amp;G3561&amp;D3561&lt;&gt;'Funnel setup'!$K$3&amp;'Funnel setup'!$K$4&amp;'Funnel setup'!$K$6,".",IF(A3560=".",1,A3560+1))</f>
        <v>.</v>
      </c>
      <c r="B3561" s="244" t="str">
        <f t="shared" si="55"/>
        <v>Total Hip ReplacementSub-ICB of GP PracticeNHS SUFFOLK AND NORTH EAST ESSEX ICB - 07K (07K)EQ-5D Index</v>
      </c>
      <c r="C3561" t="s">
        <v>974</v>
      </c>
      <c r="D3561" t="s">
        <v>1021</v>
      </c>
      <c r="E3561" t="s">
        <v>943</v>
      </c>
      <c r="F3561" t="s">
        <v>944</v>
      </c>
      <c r="G3561" t="s">
        <v>963</v>
      </c>
      <c r="H3561">
        <v>136</v>
      </c>
      <c r="I3561">
        <v>0.23858799999999999</v>
      </c>
      <c r="J3561">
        <v>0.74209599999999998</v>
      </c>
      <c r="K3561">
        <v>0.50350700000000004</v>
      </c>
      <c r="L3561">
        <v>117</v>
      </c>
      <c r="M3561">
        <v>9</v>
      </c>
      <c r="N3561">
        <v>10</v>
      </c>
      <c r="O3561">
        <v>0.75370499999999996</v>
      </c>
      <c r="P3561">
        <v>0.426149</v>
      </c>
      <c r="Q3561">
        <v>0.253023</v>
      </c>
    </row>
    <row r="3562" spans="1:17" x14ac:dyDescent="0.25">
      <c r="A3562" t="str">
        <f>IF(C3562&amp;G3562&amp;D3562&lt;&gt;'Funnel setup'!$K$3&amp;'Funnel setup'!$K$4&amp;'Funnel setup'!$K$6,".",IF(A3561=".",1,A3561+1))</f>
        <v>.</v>
      </c>
      <c r="B3562" s="244" t="str">
        <f t="shared" si="55"/>
        <v>Total Hip ReplacementSub-ICB of GP PracticeNHS SURREY HEARTLANDS ICB - 92A (92A)EQ-5D Index</v>
      </c>
      <c r="C3562" t="s">
        <v>974</v>
      </c>
      <c r="D3562" t="s">
        <v>1021</v>
      </c>
      <c r="E3562" t="s">
        <v>945</v>
      </c>
      <c r="F3562" t="s">
        <v>946</v>
      </c>
      <c r="G3562" t="s">
        <v>963</v>
      </c>
      <c r="H3562">
        <v>390</v>
      </c>
      <c r="I3562">
        <v>0.41162300000000002</v>
      </c>
      <c r="J3562">
        <v>0.82548200000000005</v>
      </c>
      <c r="K3562">
        <v>0.41385899999999998</v>
      </c>
      <c r="L3562">
        <v>352</v>
      </c>
      <c r="M3562">
        <v>20</v>
      </c>
      <c r="N3562">
        <v>18</v>
      </c>
      <c r="O3562">
        <v>0.79094200000000003</v>
      </c>
      <c r="P3562">
        <v>0.46338600000000002</v>
      </c>
      <c r="Q3562">
        <v>0.184091</v>
      </c>
    </row>
    <row r="3563" spans="1:17" x14ac:dyDescent="0.25">
      <c r="A3563" t="str">
        <f>IF(C3563&amp;G3563&amp;D3563&lt;&gt;'Funnel setup'!$K$3&amp;'Funnel setup'!$K$4&amp;'Funnel setup'!$K$6,".",IF(A3562=".",1,A3562+1))</f>
        <v>.</v>
      </c>
      <c r="B3563" s="244" t="str">
        <f t="shared" si="55"/>
        <v>Total Hip ReplacementSub-ICB of GP PracticeNHS SUSSEX ICB - 09D (09D)EQ-5D Index</v>
      </c>
      <c r="C3563" t="s">
        <v>974</v>
      </c>
      <c r="D3563" t="s">
        <v>1021</v>
      </c>
      <c r="E3563" t="s">
        <v>947</v>
      </c>
      <c r="F3563" t="s">
        <v>948</v>
      </c>
      <c r="G3563" t="s">
        <v>963</v>
      </c>
      <c r="H3563">
        <v>12</v>
      </c>
      <c r="I3563">
        <v>0.51666699999999999</v>
      </c>
      <c r="J3563">
        <v>0.74775000000000003</v>
      </c>
      <c r="K3563">
        <v>0.23108300000000001</v>
      </c>
      <c r="L3563">
        <v>10</v>
      </c>
      <c r="M3563">
        <v>2</v>
      </c>
      <c r="N3563">
        <v>0</v>
      </c>
      <c r="O3563" t="s">
        <v>127</v>
      </c>
      <c r="P3563" t="s">
        <v>127</v>
      </c>
      <c r="Q3563" t="s">
        <v>127</v>
      </c>
    </row>
    <row r="3564" spans="1:17" x14ac:dyDescent="0.25">
      <c r="A3564" t="str">
        <f>IF(C3564&amp;G3564&amp;D3564&lt;&gt;'Funnel setup'!$K$3&amp;'Funnel setup'!$K$4&amp;'Funnel setup'!$K$6,".",IF(A3563=".",1,A3563+1))</f>
        <v>.</v>
      </c>
      <c r="B3564" s="244" t="str">
        <f t="shared" si="55"/>
        <v>Total Hip ReplacementSub-ICB of GP PracticeNHS SUSSEX ICB - 70F (70F)EQ-5D Index</v>
      </c>
      <c r="C3564" t="s">
        <v>974</v>
      </c>
      <c r="D3564" t="s">
        <v>1021</v>
      </c>
      <c r="E3564" t="s">
        <v>949</v>
      </c>
      <c r="F3564" t="s">
        <v>950</v>
      </c>
      <c r="G3564" t="s">
        <v>963</v>
      </c>
      <c r="H3564">
        <v>265</v>
      </c>
      <c r="I3564">
        <v>0.32885300000000001</v>
      </c>
      <c r="J3564">
        <v>0.75442600000000004</v>
      </c>
      <c r="K3564">
        <v>0.42557400000000001</v>
      </c>
      <c r="L3564">
        <v>228</v>
      </c>
      <c r="M3564">
        <v>14</v>
      </c>
      <c r="N3564">
        <v>23</v>
      </c>
      <c r="O3564">
        <v>0.74958400000000003</v>
      </c>
      <c r="P3564">
        <v>0.42202800000000001</v>
      </c>
      <c r="Q3564">
        <v>0.26291100000000001</v>
      </c>
    </row>
    <row r="3565" spans="1:17" x14ac:dyDescent="0.25">
      <c r="A3565" t="str">
        <f>IF(C3565&amp;G3565&amp;D3565&lt;&gt;'Funnel setup'!$K$3&amp;'Funnel setup'!$K$4&amp;'Funnel setup'!$K$6,".",IF(A3564=".",1,A3564+1))</f>
        <v>.</v>
      </c>
      <c r="B3565" s="244" t="str">
        <f t="shared" si="55"/>
        <v>Total Hip ReplacementSub-ICB of GP PracticeNHS SUSSEX ICB - 97R (97R)EQ-5D Index</v>
      </c>
      <c r="C3565" t="s">
        <v>974</v>
      </c>
      <c r="D3565" t="s">
        <v>1021</v>
      </c>
      <c r="E3565" t="s">
        <v>951</v>
      </c>
      <c r="F3565" t="s">
        <v>952</v>
      </c>
      <c r="G3565" t="s">
        <v>963</v>
      </c>
      <c r="H3565">
        <v>284</v>
      </c>
      <c r="I3565">
        <v>0.38387300000000002</v>
      </c>
      <c r="J3565">
        <v>0.79366199999999998</v>
      </c>
      <c r="K3565">
        <v>0.40978900000000001</v>
      </c>
      <c r="L3565">
        <v>245</v>
      </c>
      <c r="M3565">
        <v>16</v>
      </c>
      <c r="N3565">
        <v>23</v>
      </c>
      <c r="O3565">
        <v>0.78089900000000001</v>
      </c>
      <c r="P3565">
        <v>0.45334400000000002</v>
      </c>
      <c r="Q3565">
        <v>0.27019900000000002</v>
      </c>
    </row>
    <row r="3566" spans="1:17" x14ac:dyDescent="0.25">
      <c r="A3566" t="str">
        <f>IF(C3566&amp;G3566&amp;D3566&lt;&gt;'Funnel setup'!$K$3&amp;'Funnel setup'!$K$4&amp;'Funnel setup'!$K$6,".",IF(A3565=".",1,A3565+1))</f>
        <v>.</v>
      </c>
      <c r="B3566" s="244" t="str">
        <f t="shared" si="55"/>
        <v>Total Hip ReplacementSub-ICB of GP PracticeNHS WEST YORKSHIRE ICB - 02T (02T)EQ-5D Index</v>
      </c>
      <c r="C3566" t="s">
        <v>974</v>
      </c>
      <c r="D3566" t="s">
        <v>1021</v>
      </c>
      <c r="E3566" t="s">
        <v>953</v>
      </c>
      <c r="F3566" t="s">
        <v>954</v>
      </c>
      <c r="G3566" t="s">
        <v>963</v>
      </c>
      <c r="H3566">
        <v>59</v>
      </c>
      <c r="I3566">
        <v>0.37679699999999999</v>
      </c>
      <c r="J3566">
        <v>0.79911900000000002</v>
      </c>
      <c r="K3566">
        <v>0.42232199999999998</v>
      </c>
      <c r="L3566">
        <v>55</v>
      </c>
      <c r="M3566">
        <v>2</v>
      </c>
      <c r="N3566">
        <v>2</v>
      </c>
      <c r="O3566">
        <v>0.78793899999999994</v>
      </c>
      <c r="P3566">
        <v>0.46038299999999999</v>
      </c>
      <c r="Q3566">
        <v>0.215506</v>
      </c>
    </row>
    <row r="3567" spans="1:17" x14ac:dyDescent="0.25">
      <c r="A3567" t="str">
        <f>IF(C3567&amp;G3567&amp;D3567&lt;&gt;'Funnel setup'!$K$3&amp;'Funnel setup'!$K$4&amp;'Funnel setup'!$K$6,".",IF(A3566=".",1,A3566+1))</f>
        <v>.</v>
      </c>
      <c r="B3567" s="244" t="str">
        <f t="shared" si="55"/>
        <v>Total Hip ReplacementSub-ICB of GP PracticeNHS WEST YORKSHIRE ICB - 03R (03R)EQ-5D Index</v>
      </c>
      <c r="C3567" t="s">
        <v>974</v>
      </c>
      <c r="D3567" t="s">
        <v>1021</v>
      </c>
      <c r="E3567" t="s">
        <v>955</v>
      </c>
      <c r="F3567" t="s">
        <v>956</v>
      </c>
      <c r="G3567" t="s">
        <v>963</v>
      </c>
      <c r="H3567">
        <v>171</v>
      </c>
      <c r="I3567">
        <v>0.28666700000000001</v>
      </c>
      <c r="J3567">
        <v>0.71956100000000001</v>
      </c>
      <c r="K3567">
        <v>0.43289499999999997</v>
      </c>
      <c r="L3567">
        <v>153</v>
      </c>
      <c r="M3567">
        <v>8</v>
      </c>
      <c r="N3567">
        <v>10</v>
      </c>
      <c r="O3567">
        <v>0.73956500000000003</v>
      </c>
      <c r="P3567">
        <v>0.41200900000000001</v>
      </c>
      <c r="Q3567">
        <v>0.26204699999999997</v>
      </c>
    </row>
    <row r="3568" spans="1:17" x14ac:dyDescent="0.25">
      <c r="A3568" t="str">
        <f>IF(C3568&amp;G3568&amp;D3568&lt;&gt;'Funnel setup'!$K$3&amp;'Funnel setup'!$K$4&amp;'Funnel setup'!$K$6,".",IF(A3567=".",1,A3567+1))</f>
        <v>.</v>
      </c>
      <c r="B3568" s="244" t="str">
        <f t="shared" si="55"/>
        <v>Total Hip ReplacementSub-ICB of GP PracticeNHS WEST YORKSHIRE ICB - 15F (15F)EQ-5D Index</v>
      </c>
      <c r="C3568" t="s">
        <v>974</v>
      </c>
      <c r="D3568" t="s">
        <v>1021</v>
      </c>
      <c r="E3568" t="s">
        <v>957</v>
      </c>
      <c r="F3568" t="s">
        <v>958</v>
      </c>
      <c r="G3568" t="s">
        <v>963</v>
      </c>
      <c r="H3568">
        <v>234</v>
      </c>
      <c r="I3568">
        <v>0.34049099999999999</v>
      </c>
      <c r="J3568">
        <v>0.77433799999999997</v>
      </c>
      <c r="K3568">
        <v>0.43384600000000001</v>
      </c>
      <c r="L3568">
        <v>204</v>
      </c>
      <c r="M3568">
        <v>9</v>
      </c>
      <c r="N3568">
        <v>21</v>
      </c>
      <c r="O3568">
        <v>0.769984</v>
      </c>
      <c r="P3568">
        <v>0.44242799999999999</v>
      </c>
      <c r="Q3568">
        <v>0.229352</v>
      </c>
    </row>
    <row r="3569" spans="1:17" x14ac:dyDescent="0.25">
      <c r="A3569" t="str">
        <f>IF(C3569&amp;G3569&amp;D3569&lt;&gt;'Funnel setup'!$K$3&amp;'Funnel setup'!$K$4&amp;'Funnel setup'!$K$6,".",IF(A3568=".",1,A3568+1))</f>
        <v>.</v>
      </c>
      <c r="B3569" s="244" t="str">
        <f t="shared" si="55"/>
        <v>Total Hip ReplacementSub-ICB of GP PracticeNHS WEST YORKSHIRE ICB - 36J (36J)EQ-5D Index</v>
      </c>
      <c r="C3569" t="s">
        <v>974</v>
      </c>
      <c r="D3569" t="s">
        <v>1021</v>
      </c>
      <c r="E3569" t="s">
        <v>959</v>
      </c>
      <c r="F3569" t="s">
        <v>960</v>
      </c>
      <c r="G3569" t="s">
        <v>963</v>
      </c>
      <c r="H3569">
        <v>90</v>
      </c>
      <c r="I3569">
        <v>0.33571099999999998</v>
      </c>
      <c r="J3569">
        <v>0.831044</v>
      </c>
      <c r="K3569">
        <v>0.49533300000000002</v>
      </c>
      <c r="L3569">
        <v>82</v>
      </c>
      <c r="M3569">
        <v>7</v>
      </c>
      <c r="N3569">
        <v>1</v>
      </c>
      <c r="O3569">
        <v>0.83584899999999995</v>
      </c>
      <c r="P3569">
        <v>0.50829299999999999</v>
      </c>
      <c r="Q3569">
        <v>0.19559299999999999</v>
      </c>
    </row>
    <row r="3570" spans="1:17" x14ac:dyDescent="0.25">
      <c r="A3570" t="str">
        <f>IF(C3570&amp;G3570&amp;D3570&lt;&gt;'Funnel setup'!$K$3&amp;'Funnel setup'!$K$4&amp;'Funnel setup'!$K$6,".",IF(A3569=".",1,A3569+1))</f>
        <v>.</v>
      </c>
      <c r="B3570" s="244" t="str">
        <f t="shared" si="55"/>
        <v>Total Hip ReplacementSub-ICB of GP PracticeNHS WEST YORKSHIRE ICB - X2C4Y (X2C4Y)EQ-5D Index</v>
      </c>
      <c r="C3570" t="s">
        <v>974</v>
      </c>
      <c r="D3570" t="s">
        <v>1021</v>
      </c>
      <c r="E3570" t="s">
        <v>961</v>
      </c>
      <c r="F3570" t="s">
        <v>962</v>
      </c>
      <c r="G3570" t="s">
        <v>963</v>
      </c>
      <c r="H3570">
        <v>120</v>
      </c>
      <c r="I3570">
        <v>0.30120000000000002</v>
      </c>
      <c r="J3570">
        <v>0.72283299999999995</v>
      </c>
      <c r="K3570">
        <v>0.42163299999999998</v>
      </c>
      <c r="L3570">
        <v>101</v>
      </c>
      <c r="M3570">
        <v>6</v>
      </c>
      <c r="N3570">
        <v>13</v>
      </c>
      <c r="O3570">
        <v>0.75168500000000005</v>
      </c>
      <c r="P3570">
        <v>0.42412899999999998</v>
      </c>
      <c r="Q3570">
        <v>0.27518999999999999</v>
      </c>
    </row>
    <row r="3571" spans="1:17" x14ac:dyDescent="0.25">
      <c r="A3571" t="str">
        <f>IF(C3571&amp;G3571&amp;D3571&lt;&gt;'Funnel setup'!$K$3&amp;'Funnel setup'!$K$4&amp;'Funnel setup'!$K$6,".",IF(A3570=".",1,A3570+1))</f>
        <v>.</v>
      </c>
      <c r="B3571" s="244" t="str">
        <f t="shared" si="55"/>
        <v>Total Hip ReplacementSub-ICB of GP PracticeNHS BATH AND NORTH EAST SOMERSET, SWINDON AND WILTSHIRE ICB - 92G (92G)Oxford Hip Score</v>
      </c>
      <c r="C3571" t="s">
        <v>974</v>
      </c>
      <c r="D3571" t="s">
        <v>1021</v>
      </c>
      <c r="E3571" t="s">
        <v>750</v>
      </c>
      <c r="F3571" t="s">
        <v>751</v>
      </c>
      <c r="G3571" t="s">
        <v>964</v>
      </c>
      <c r="H3571">
        <v>257</v>
      </c>
      <c r="I3571">
        <v>19.124500000000001</v>
      </c>
      <c r="J3571">
        <v>41.525300000000001</v>
      </c>
      <c r="K3571">
        <v>22.4008</v>
      </c>
      <c r="L3571">
        <v>252</v>
      </c>
      <c r="M3571">
        <v>1</v>
      </c>
      <c r="N3571">
        <v>4</v>
      </c>
      <c r="O3571">
        <v>39.6053</v>
      </c>
      <c r="P3571">
        <v>22.393799999999999</v>
      </c>
      <c r="Q3571">
        <v>7.6685299999999996</v>
      </c>
    </row>
    <row r="3572" spans="1:17" x14ac:dyDescent="0.25">
      <c r="A3572" t="str">
        <f>IF(C3572&amp;G3572&amp;D3572&lt;&gt;'Funnel setup'!$K$3&amp;'Funnel setup'!$K$4&amp;'Funnel setup'!$K$6,".",IF(A3571=".",1,A3571+1))</f>
        <v>.</v>
      </c>
      <c r="B3572" s="244" t="str">
        <f t="shared" si="55"/>
        <v>Total Hip ReplacementSub-ICB of GP PracticeNHS BEDFORDSHIRE, LUTON AND MILTON KEYNES ICB - M1J4Y (M1J4Y)Oxford Hip Score</v>
      </c>
      <c r="C3572" t="s">
        <v>974</v>
      </c>
      <c r="D3572" t="s">
        <v>1021</v>
      </c>
      <c r="E3572" t="s">
        <v>753</v>
      </c>
      <c r="F3572" t="s">
        <v>754</v>
      </c>
      <c r="G3572" t="s">
        <v>964</v>
      </c>
      <c r="H3572">
        <v>246</v>
      </c>
      <c r="I3572">
        <v>15.540699999999999</v>
      </c>
      <c r="J3572">
        <v>38.638199999999998</v>
      </c>
      <c r="K3572">
        <v>23.0976</v>
      </c>
      <c r="L3572">
        <v>240</v>
      </c>
      <c r="M3572">
        <v>0</v>
      </c>
      <c r="N3572">
        <v>6</v>
      </c>
      <c r="O3572">
        <v>39.358800000000002</v>
      </c>
      <c r="P3572">
        <v>22.147400000000001</v>
      </c>
      <c r="Q3572">
        <v>8.8901199999999996</v>
      </c>
    </row>
    <row r="3573" spans="1:17" x14ac:dyDescent="0.25">
      <c r="A3573" t="str">
        <f>IF(C3573&amp;G3573&amp;D3573&lt;&gt;'Funnel setup'!$K$3&amp;'Funnel setup'!$K$4&amp;'Funnel setup'!$K$6,".",IF(A3572=".",1,A3572+1))</f>
        <v>.</v>
      </c>
      <c r="B3573" s="244" t="str">
        <f t="shared" si="55"/>
        <v>Total Hip ReplacementSub-ICB of GP PracticeNHS BIRMINGHAM AND SOLIHULL ICB - 15E (15E)Oxford Hip Score</v>
      </c>
      <c r="C3573" t="s">
        <v>974</v>
      </c>
      <c r="D3573" t="s">
        <v>1021</v>
      </c>
      <c r="E3573" t="s">
        <v>755</v>
      </c>
      <c r="F3573" t="s">
        <v>756</v>
      </c>
      <c r="G3573" t="s">
        <v>964</v>
      </c>
      <c r="H3573">
        <v>385</v>
      </c>
      <c r="I3573">
        <v>17.389600000000002</v>
      </c>
      <c r="J3573">
        <v>40.140300000000003</v>
      </c>
      <c r="K3573">
        <v>22.750599999999999</v>
      </c>
      <c r="L3573">
        <v>378</v>
      </c>
      <c r="M3573">
        <v>1</v>
      </c>
      <c r="N3573">
        <v>6</v>
      </c>
      <c r="O3573">
        <v>39.890900000000002</v>
      </c>
      <c r="P3573">
        <v>22.679400000000001</v>
      </c>
      <c r="Q3573">
        <v>7.7816200000000002</v>
      </c>
    </row>
    <row r="3574" spans="1:17" x14ac:dyDescent="0.25">
      <c r="A3574" t="str">
        <f>IF(C3574&amp;G3574&amp;D3574&lt;&gt;'Funnel setup'!$K$3&amp;'Funnel setup'!$K$4&amp;'Funnel setup'!$K$6,".",IF(A3573=".",1,A3573+1))</f>
        <v>.</v>
      </c>
      <c r="B3574" s="244" t="str">
        <f t="shared" si="55"/>
        <v>Total Hip ReplacementSub-ICB of GP PracticeNHS BLACK COUNTRY ICB - D2P2L (D2P2L)Oxford Hip Score</v>
      </c>
      <c r="C3574" t="s">
        <v>974</v>
      </c>
      <c r="D3574" t="s">
        <v>1021</v>
      </c>
      <c r="E3574" t="s">
        <v>757</v>
      </c>
      <c r="F3574" t="s">
        <v>758</v>
      </c>
      <c r="G3574" t="s">
        <v>964</v>
      </c>
      <c r="H3574">
        <v>280</v>
      </c>
      <c r="I3574">
        <v>16.439299999999999</v>
      </c>
      <c r="J3574">
        <v>38.817900000000002</v>
      </c>
      <c r="K3574">
        <v>22.378599999999999</v>
      </c>
      <c r="L3574">
        <v>271</v>
      </c>
      <c r="M3574">
        <v>1</v>
      </c>
      <c r="N3574">
        <v>8</v>
      </c>
      <c r="O3574">
        <v>39.235199999999999</v>
      </c>
      <c r="P3574">
        <v>22.023700000000002</v>
      </c>
      <c r="Q3574">
        <v>8.9184599999999996</v>
      </c>
    </row>
    <row r="3575" spans="1:17" x14ac:dyDescent="0.25">
      <c r="A3575" t="str">
        <f>IF(C3575&amp;G3575&amp;D3575&lt;&gt;'Funnel setup'!$K$3&amp;'Funnel setup'!$K$4&amp;'Funnel setup'!$K$6,".",IF(A3574=".",1,A3574+1))</f>
        <v>.</v>
      </c>
      <c r="B3575" s="244" t="str">
        <f t="shared" si="55"/>
        <v>Total Hip ReplacementSub-ICB of GP PracticeNHS BRISTOL, NORTH SOMERSET AND SOUTH GLOUCESTERSHIRE ICB - 15C (15C)Oxford Hip Score</v>
      </c>
      <c r="C3575" t="s">
        <v>974</v>
      </c>
      <c r="D3575" t="s">
        <v>1021</v>
      </c>
      <c r="E3575" t="s">
        <v>759</v>
      </c>
      <c r="F3575" t="s">
        <v>760</v>
      </c>
      <c r="G3575" t="s">
        <v>964</v>
      </c>
      <c r="H3575">
        <v>233</v>
      </c>
      <c r="I3575">
        <v>16.965699999999998</v>
      </c>
      <c r="J3575">
        <v>42.463500000000003</v>
      </c>
      <c r="K3575">
        <v>25.497900000000001</v>
      </c>
      <c r="L3575">
        <v>231</v>
      </c>
      <c r="M3575">
        <v>1</v>
      </c>
      <c r="N3575">
        <v>1</v>
      </c>
      <c r="O3575">
        <v>41.621499999999997</v>
      </c>
      <c r="P3575">
        <v>24.4101</v>
      </c>
      <c r="Q3575">
        <v>6.7545700000000002</v>
      </c>
    </row>
    <row r="3576" spans="1:17" x14ac:dyDescent="0.25">
      <c r="A3576" t="str">
        <f>IF(C3576&amp;G3576&amp;D3576&lt;&gt;'Funnel setup'!$K$3&amp;'Funnel setup'!$K$4&amp;'Funnel setup'!$K$6,".",IF(A3575=".",1,A3575+1))</f>
        <v>.</v>
      </c>
      <c r="B3576" s="244" t="str">
        <f t="shared" si="55"/>
        <v>Total Hip ReplacementSub-ICB of GP PracticeNHS BUCKINGHAMSHIRE, OXFORDSHIRE AND BERKSHIRE WEST ICB - 10Q (10Q)Oxford Hip Score</v>
      </c>
      <c r="C3576" t="s">
        <v>974</v>
      </c>
      <c r="D3576" t="s">
        <v>1021</v>
      </c>
      <c r="E3576" t="s">
        <v>761</v>
      </c>
      <c r="F3576" t="s">
        <v>762</v>
      </c>
      <c r="G3576" t="s">
        <v>964</v>
      </c>
      <c r="H3576">
        <v>376</v>
      </c>
      <c r="I3576">
        <v>18.670200000000001</v>
      </c>
      <c r="J3576">
        <v>41.1676</v>
      </c>
      <c r="K3576">
        <v>22.497299999999999</v>
      </c>
      <c r="L3576">
        <v>366</v>
      </c>
      <c r="M3576">
        <v>1</v>
      </c>
      <c r="N3576">
        <v>9</v>
      </c>
      <c r="O3576">
        <v>40.359400000000001</v>
      </c>
      <c r="P3576">
        <v>23.148</v>
      </c>
      <c r="Q3576">
        <v>7.7651500000000002</v>
      </c>
    </row>
    <row r="3577" spans="1:17" x14ac:dyDescent="0.25">
      <c r="A3577" t="str">
        <f>IF(C3577&amp;G3577&amp;D3577&lt;&gt;'Funnel setup'!$K$3&amp;'Funnel setup'!$K$4&amp;'Funnel setup'!$K$6,".",IF(A3576=".",1,A3576+1))</f>
        <v>.</v>
      </c>
      <c r="B3577" s="244" t="str">
        <f t="shared" si="55"/>
        <v>Total Hip ReplacementSub-ICB of GP PracticeNHS BUCKINGHAMSHIRE, OXFORDSHIRE AND BERKSHIRE WEST ICB - 14Y (14Y)Oxford Hip Score</v>
      </c>
      <c r="C3577" t="s">
        <v>974</v>
      </c>
      <c r="D3577" t="s">
        <v>1021</v>
      </c>
      <c r="E3577" t="s">
        <v>763</v>
      </c>
      <c r="F3577" t="s">
        <v>764</v>
      </c>
      <c r="G3577" t="s">
        <v>964</v>
      </c>
      <c r="H3577">
        <v>240</v>
      </c>
      <c r="I3577">
        <v>17.770800000000001</v>
      </c>
      <c r="J3577">
        <v>39.629199999999997</v>
      </c>
      <c r="K3577">
        <v>21.8583</v>
      </c>
      <c r="L3577">
        <v>230</v>
      </c>
      <c r="M3577">
        <v>1</v>
      </c>
      <c r="N3577">
        <v>9</v>
      </c>
      <c r="O3577">
        <v>38.465499999999999</v>
      </c>
      <c r="P3577">
        <v>21.254100000000001</v>
      </c>
      <c r="Q3577">
        <v>8.3841999999999999</v>
      </c>
    </row>
    <row r="3578" spans="1:17" x14ac:dyDescent="0.25">
      <c r="A3578" t="str">
        <f>IF(C3578&amp;G3578&amp;D3578&lt;&gt;'Funnel setup'!$K$3&amp;'Funnel setup'!$K$4&amp;'Funnel setup'!$K$6,".",IF(A3577=".",1,A3577+1))</f>
        <v>.</v>
      </c>
      <c r="B3578" s="244" t="str">
        <f t="shared" si="55"/>
        <v>Total Hip ReplacementSub-ICB of GP PracticeNHS BUCKINGHAMSHIRE, OXFORDSHIRE AND BERKSHIRE WEST ICB - 15A (15A)Oxford Hip Score</v>
      </c>
      <c r="C3578" t="s">
        <v>974</v>
      </c>
      <c r="D3578" t="s">
        <v>1021</v>
      </c>
      <c r="E3578" t="s">
        <v>765</v>
      </c>
      <c r="F3578" t="s">
        <v>766</v>
      </c>
      <c r="G3578" t="s">
        <v>964</v>
      </c>
      <c r="H3578">
        <v>76</v>
      </c>
      <c r="I3578">
        <v>21.236799999999999</v>
      </c>
      <c r="J3578">
        <v>41.289499999999997</v>
      </c>
      <c r="K3578">
        <v>20.052600000000002</v>
      </c>
      <c r="L3578">
        <v>72</v>
      </c>
      <c r="M3578">
        <v>0</v>
      </c>
      <c r="N3578">
        <v>4</v>
      </c>
      <c r="O3578">
        <v>38.335000000000001</v>
      </c>
      <c r="P3578">
        <v>21.1235</v>
      </c>
      <c r="Q3578">
        <v>8.7634600000000002</v>
      </c>
    </row>
    <row r="3579" spans="1:17" x14ac:dyDescent="0.25">
      <c r="A3579" t="str">
        <f>IF(C3579&amp;G3579&amp;D3579&lt;&gt;'Funnel setup'!$K$3&amp;'Funnel setup'!$K$4&amp;'Funnel setup'!$K$6,".",IF(A3578=".",1,A3578+1))</f>
        <v>.</v>
      </c>
      <c r="B3579" s="244" t="str">
        <f t="shared" si="55"/>
        <v>Total Hip ReplacementSub-ICB of GP PracticeNHS CAMBRIDGESHIRE AND PETERBOROUGH ICB - 06H (06H)Oxford Hip Score</v>
      </c>
      <c r="C3579" t="s">
        <v>974</v>
      </c>
      <c r="D3579" t="s">
        <v>1021</v>
      </c>
      <c r="E3579" t="s">
        <v>767</v>
      </c>
      <c r="F3579" t="s">
        <v>768</v>
      </c>
      <c r="G3579" t="s">
        <v>964</v>
      </c>
      <c r="H3579">
        <v>239</v>
      </c>
      <c r="I3579">
        <v>14.9749</v>
      </c>
      <c r="J3579">
        <v>38.778199999999998</v>
      </c>
      <c r="K3579">
        <v>23.8033</v>
      </c>
      <c r="L3579">
        <v>233</v>
      </c>
      <c r="M3579">
        <v>3</v>
      </c>
      <c r="N3579">
        <v>3</v>
      </c>
      <c r="O3579">
        <v>39.8416</v>
      </c>
      <c r="P3579">
        <v>22.630199999999999</v>
      </c>
      <c r="Q3579">
        <v>8.5045099999999998</v>
      </c>
    </row>
    <row r="3580" spans="1:17" x14ac:dyDescent="0.25">
      <c r="A3580" t="str">
        <f>IF(C3580&amp;G3580&amp;D3580&lt;&gt;'Funnel setup'!$K$3&amp;'Funnel setup'!$K$4&amp;'Funnel setup'!$K$6,".",IF(A3579=".",1,A3579+1))</f>
        <v>.</v>
      </c>
      <c r="B3580" s="244" t="str">
        <f t="shared" si="55"/>
        <v>Total Hip ReplacementSub-ICB of GP PracticeNHS CHESHIRE AND MERSEYSIDE ICB - 01F (01F)Oxford Hip Score</v>
      </c>
      <c r="C3580" t="s">
        <v>974</v>
      </c>
      <c r="D3580" t="s">
        <v>1021</v>
      </c>
      <c r="E3580" t="s">
        <v>769</v>
      </c>
      <c r="F3580" t="s">
        <v>770</v>
      </c>
      <c r="G3580" t="s">
        <v>964</v>
      </c>
      <c r="H3580">
        <v>33</v>
      </c>
      <c r="I3580">
        <v>17.2121</v>
      </c>
      <c r="J3580">
        <v>37.757599999999996</v>
      </c>
      <c r="K3580">
        <v>20.545500000000001</v>
      </c>
      <c r="L3580">
        <v>33</v>
      </c>
      <c r="M3580">
        <v>0</v>
      </c>
      <c r="N3580">
        <v>0</v>
      </c>
      <c r="O3580">
        <v>39.609699999999997</v>
      </c>
      <c r="P3580">
        <v>22.398299999999999</v>
      </c>
      <c r="Q3580">
        <v>7.47262</v>
      </c>
    </row>
    <row r="3581" spans="1:17" x14ac:dyDescent="0.25">
      <c r="A3581" t="str">
        <f>IF(C3581&amp;G3581&amp;D3581&lt;&gt;'Funnel setup'!$K$3&amp;'Funnel setup'!$K$4&amp;'Funnel setup'!$K$6,".",IF(A3580=".",1,A3580+1))</f>
        <v>.</v>
      </c>
      <c r="B3581" s="244" t="str">
        <f t="shared" si="55"/>
        <v>Total Hip ReplacementSub-ICB of GP PracticeNHS CHESHIRE AND MERSEYSIDE ICB - 01J (01J)Oxford Hip Score</v>
      </c>
      <c r="C3581" t="s">
        <v>974</v>
      </c>
      <c r="D3581" t="s">
        <v>1021</v>
      </c>
      <c r="E3581" t="s">
        <v>771</v>
      </c>
      <c r="F3581" t="s">
        <v>772</v>
      </c>
      <c r="G3581" t="s">
        <v>964</v>
      </c>
      <c r="H3581">
        <v>38</v>
      </c>
      <c r="I3581">
        <v>13.736800000000001</v>
      </c>
      <c r="J3581">
        <v>38.289499999999997</v>
      </c>
      <c r="K3581">
        <v>24.552600000000002</v>
      </c>
      <c r="L3581">
        <v>37</v>
      </c>
      <c r="M3581">
        <v>0</v>
      </c>
      <c r="N3581">
        <v>1</v>
      </c>
      <c r="O3581">
        <v>40.776299999999999</v>
      </c>
      <c r="P3581">
        <v>23.564800000000002</v>
      </c>
      <c r="Q3581">
        <v>9.5175000000000001</v>
      </c>
    </row>
    <row r="3582" spans="1:17" x14ac:dyDescent="0.25">
      <c r="A3582" t="str">
        <f>IF(C3582&amp;G3582&amp;D3582&lt;&gt;'Funnel setup'!$K$3&amp;'Funnel setup'!$K$4&amp;'Funnel setup'!$K$6,".",IF(A3581=".",1,A3581+1))</f>
        <v>.</v>
      </c>
      <c r="B3582" s="244" t="str">
        <f t="shared" si="55"/>
        <v>Total Hip ReplacementSub-ICB of GP PracticeNHS CHESHIRE AND MERSEYSIDE ICB - 01T (01T)Oxford Hip Score</v>
      </c>
      <c r="C3582" t="s">
        <v>974</v>
      </c>
      <c r="D3582" t="s">
        <v>1021</v>
      </c>
      <c r="E3582" t="s">
        <v>773</v>
      </c>
      <c r="F3582" t="s">
        <v>774</v>
      </c>
      <c r="G3582" t="s">
        <v>964</v>
      </c>
      <c r="H3582">
        <v>46</v>
      </c>
      <c r="I3582">
        <v>17.239100000000001</v>
      </c>
      <c r="J3582">
        <v>38.282600000000002</v>
      </c>
      <c r="K3582">
        <v>21.043500000000002</v>
      </c>
      <c r="L3582">
        <v>44</v>
      </c>
      <c r="M3582">
        <v>0</v>
      </c>
      <c r="N3582">
        <v>2</v>
      </c>
      <c r="O3582">
        <v>38.593600000000002</v>
      </c>
      <c r="P3582">
        <v>21.382200000000001</v>
      </c>
      <c r="Q3582">
        <v>10.0001</v>
      </c>
    </row>
    <row r="3583" spans="1:17" x14ac:dyDescent="0.25">
      <c r="A3583" t="str">
        <f>IF(C3583&amp;G3583&amp;D3583&lt;&gt;'Funnel setup'!$K$3&amp;'Funnel setup'!$K$4&amp;'Funnel setup'!$K$6,".",IF(A3582=".",1,A3582+1))</f>
        <v>.</v>
      </c>
      <c r="B3583" s="244" t="str">
        <f t="shared" si="55"/>
        <v>Total Hip ReplacementSub-ICB of GP PracticeNHS CHESHIRE AND MERSEYSIDE ICB - 01V (01V)Oxford Hip Score</v>
      </c>
      <c r="C3583" t="s">
        <v>974</v>
      </c>
      <c r="D3583" t="s">
        <v>1021</v>
      </c>
      <c r="E3583" t="s">
        <v>775</v>
      </c>
      <c r="F3583" t="s">
        <v>776</v>
      </c>
      <c r="G3583" t="s">
        <v>964</v>
      </c>
      <c r="H3583">
        <v>25</v>
      </c>
      <c r="I3583">
        <v>16.12</v>
      </c>
      <c r="J3583">
        <v>37.92</v>
      </c>
      <c r="K3583">
        <v>21.8</v>
      </c>
      <c r="L3583">
        <v>25</v>
      </c>
      <c r="M3583">
        <v>0</v>
      </c>
      <c r="N3583">
        <v>0</v>
      </c>
      <c r="O3583" t="s">
        <v>127</v>
      </c>
      <c r="P3583" t="s">
        <v>127</v>
      </c>
      <c r="Q3583" t="s">
        <v>127</v>
      </c>
    </row>
    <row r="3584" spans="1:17" x14ac:dyDescent="0.25">
      <c r="A3584" t="str">
        <f>IF(C3584&amp;G3584&amp;D3584&lt;&gt;'Funnel setup'!$K$3&amp;'Funnel setup'!$K$4&amp;'Funnel setup'!$K$6,".",IF(A3583=".",1,A3583+1))</f>
        <v>.</v>
      </c>
      <c r="B3584" s="244" t="str">
        <f t="shared" si="55"/>
        <v>Total Hip ReplacementSub-ICB of GP PracticeNHS CHESHIRE AND MERSEYSIDE ICB - 01X (01X)Oxford Hip Score</v>
      </c>
      <c r="C3584" t="s">
        <v>974</v>
      </c>
      <c r="D3584" t="s">
        <v>1021</v>
      </c>
      <c r="E3584" t="s">
        <v>777</v>
      </c>
      <c r="F3584" t="s">
        <v>778</v>
      </c>
      <c r="G3584" t="s">
        <v>964</v>
      </c>
      <c r="H3584">
        <v>65</v>
      </c>
      <c r="I3584">
        <v>15.553800000000001</v>
      </c>
      <c r="J3584">
        <v>36.076900000000002</v>
      </c>
      <c r="K3584">
        <v>20.523099999999999</v>
      </c>
      <c r="L3584">
        <v>61</v>
      </c>
      <c r="M3584">
        <v>1</v>
      </c>
      <c r="N3584">
        <v>3</v>
      </c>
      <c r="O3584">
        <v>38.069499999999998</v>
      </c>
      <c r="P3584">
        <v>20.858000000000001</v>
      </c>
      <c r="Q3584">
        <v>9.6898599999999995</v>
      </c>
    </row>
    <row r="3585" spans="1:17" x14ac:dyDescent="0.25">
      <c r="A3585" t="str">
        <f>IF(C3585&amp;G3585&amp;D3585&lt;&gt;'Funnel setup'!$K$3&amp;'Funnel setup'!$K$4&amp;'Funnel setup'!$K$6,".",IF(A3584=".",1,A3584+1))</f>
        <v>.</v>
      </c>
      <c r="B3585" s="244" t="str">
        <f t="shared" si="55"/>
        <v>Total Hip ReplacementSub-ICB of GP PracticeNHS CHESHIRE AND MERSEYSIDE ICB - 02E (02E)Oxford Hip Score</v>
      </c>
      <c r="C3585" t="s">
        <v>974</v>
      </c>
      <c r="D3585" t="s">
        <v>1021</v>
      </c>
      <c r="E3585" t="s">
        <v>779</v>
      </c>
      <c r="F3585" t="s">
        <v>780</v>
      </c>
      <c r="G3585" t="s">
        <v>964</v>
      </c>
      <c r="H3585">
        <v>34</v>
      </c>
      <c r="I3585">
        <v>16.5</v>
      </c>
      <c r="J3585">
        <v>37.058799999999998</v>
      </c>
      <c r="K3585">
        <v>20.558800000000002</v>
      </c>
      <c r="L3585">
        <v>32</v>
      </c>
      <c r="M3585">
        <v>0</v>
      </c>
      <c r="N3585">
        <v>2</v>
      </c>
      <c r="O3585">
        <v>37.430199999999999</v>
      </c>
      <c r="P3585">
        <v>20.218699999999998</v>
      </c>
      <c r="Q3585">
        <v>8.9237300000000008</v>
      </c>
    </row>
    <row r="3586" spans="1:17" x14ac:dyDescent="0.25">
      <c r="A3586" t="str">
        <f>IF(C3586&amp;G3586&amp;D3586&lt;&gt;'Funnel setup'!$K$3&amp;'Funnel setup'!$K$4&amp;'Funnel setup'!$K$6,".",IF(A3585=".",1,A3585+1))</f>
        <v>.</v>
      </c>
      <c r="B3586" s="244" t="str">
        <f t="shared" ref="B3586:B3649" si="56">C3586&amp;D3586&amp;F3586&amp;G3586</f>
        <v>Total Hip ReplacementSub-ICB of GP PracticeNHS CHESHIRE AND MERSEYSIDE ICB - 12F (12F)Oxford Hip Score</v>
      </c>
      <c r="C3586" t="s">
        <v>974</v>
      </c>
      <c r="D3586" t="s">
        <v>1021</v>
      </c>
      <c r="E3586" t="s">
        <v>781</v>
      </c>
      <c r="F3586" t="s">
        <v>782</v>
      </c>
      <c r="G3586" t="s">
        <v>964</v>
      </c>
      <c r="H3586">
        <v>103</v>
      </c>
      <c r="I3586">
        <v>15.601900000000001</v>
      </c>
      <c r="J3586">
        <v>37.252400000000002</v>
      </c>
      <c r="K3586">
        <v>21.650500000000001</v>
      </c>
      <c r="L3586">
        <v>101</v>
      </c>
      <c r="M3586">
        <v>0</v>
      </c>
      <c r="N3586">
        <v>2</v>
      </c>
      <c r="O3586">
        <v>38.377600000000001</v>
      </c>
      <c r="P3586">
        <v>21.1661</v>
      </c>
      <c r="Q3586">
        <v>8.2125599999999999</v>
      </c>
    </row>
    <row r="3587" spans="1:17" x14ac:dyDescent="0.25">
      <c r="A3587" t="str">
        <f>IF(C3587&amp;G3587&amp;D3587&lt;&gt;'Funnel setup'!$K$3&amp;'Funnel setup'!$K$4&amp;'Funnel setup'!$K$6,".",IF(A3586=".",1,A3586+1))</f>
        <v>.</v>
      </c>
      <c r="B3587" s="244" t="str">
        <f t="shared" si="56"/>
        <v>Total Hip ReplacementSub-ICB of GP PracticeNHS CHESHIRE AND MERSEYSIDE ICB - 27D (27D)Oxford Hip Score</v>
      </c>
      <c r="C3587" t="s">
        <v>974</v>
      </c>
      <c r="D3587" t="s">
        <v>1021</v>
      </c>
      <c r="E3587" t="s">
        <v>783</v>
      </c>
      <c r="F3587" t="s">
        <v>784</v>
      </c>
      <c r="G3587" t="s">
        <v>964</v>
      </c>
      <c r="H3587">
        <v>287</v>
      </c>
      <c r="I3587">
        <v>16.661999999999999</v>
      </c>
      <c r="J3587">
        <v>40.9373</v>
      </c>
      <c r="K3587">
        <v>24.275300000000001</v>
      </c>
      <c r="L3587">
        <v>284</v>
      </c>
      <c r="M3587">
        <v>1</v>
      </c>
      <c r="N3587">
        <v>2</v>
      </c>
      <c r="O3587">
        <v>40.869100000000003</v>
      </c>
      <c r="P3587">
        <v>23.657599999999999</v>
      </c>
      <c r="Q3587">
        <v>7.1483999999999996</v>
      </c>
    </row>
    <row r="3588" spans="1:17" x14ac:dyDescent="0.25">
      <c r="A3588" t="str">
        <f>IF(C3588&amp;G3588&amp;D3588&lt;&gt;'Funnel setup'!$K$3&amp;'Funnel setup'!$K$4&amp;'Funnel setup'!$K$6,".",IF(A3587=".",1,A3587+1))</f>
        <v>.</v>
      </c>
      <c r="B3588" s="244" t="str">
        <f t="shared" si="56"/>
        <v>Total Hip ReplacementSub-ICB of GP PracticeNHS CHESHIRE AND MERSEYSIDE ICB - 99A (99A)Oxford Hip Score</v>
      </c>
      <c r="C3588" t="s">
        <v>974</v>
      </c>
      <c r="D3588" t="s">
        <v>1021</v>
      </c>
      <c r="E3588" t="s">
        <v>785</v>
      </c>
      <c r="F3588" t="s">
        <v>786</v>
      </c>
      <c r="G3588" t="s">
        <v>964</v>
      </c>
      <c r="H3588">
        <v>87</v>
      </c>
      <c r="I3588">
        <v>13.7126</v>
      </c>
      <c r="J3588">
        <v>36.747100000000003</v>
      </c>
      <c r="K3588">
        <v>23.034500000000001</v>
      </c>
      <c r="L3588">
        <v>83</v>
      </c>
      <c r="M3588">
        <v>0</v>
      </c>
      <c r="N3588">
        <v>4</v>
      </c>
      <c r="O3588">
        <v>40.241399999999999</v>
      </c>
      <c r="P3588">
        <v>23.029900000000001</v>
      </c>
      <c r="Q3588">
        <v>9.2313299999999998</v>
      </c>
    </row>
    <row r="3589" spans="1:17" x14ac:dyDescent="0.25">
      <c r="A3589" t="str">
        <f>IF(C3589&amp;G3589&amp;D3589&lt;&gt;'Funnel setup'!$K$3&amp;'Funnel setup'!$K$4&amp;'Funnel setup'!$K$6,".",IF(A3588=".",1,A3588+1))</f>
        <v>.</v>
      </c>
      <c r="B3589" s="244" t="str">
        <f t="shared" si="56"/>
        <v>Total Hip ReplacementSub-ICB of GP PracticeNHS CORNWALL AND THE ISLES OF SCILLY ICB - 11N (11N)Oxford Hip Score</v>
      </c>
      <c r="C3589" t="s">
        <v>974</v>
      </c>
      <c r="D3589" t="s">
        <v>1021</v>
      </c>
      <c r="E3589" t="s">
        <v>787</v>
      </c>
      <c r="F3589" t="s">
        <v>788</v>
      </c>
      <c r="G3589" t="s">
        <v>964</v>
      </c>
      <c r="H3589">
        <v>167</v>
      </c>
      <c r="I3589">
        <v>20.736499999999999</v>
      </c>
      <c r="J3589">
        <v>39.820399999999999</v>
      </c>
      <c r="K3589">
        <v>19.0838</v>
      </c>
      <c r="L3589">
        <v>154</v>
      </c>
      <c r="M3589">
        <v>1</v>
      </c>
      <c r="N3589">
        <v>12</v>
      </c>
      <c r="O3589">
        <v>38.905500000000004</v>
      </c>
      <c r="P3589">
        <v>21.693999999999999</v>
      </c>
      <c r="Q3589">
        <v>8.7917699999999996</v>
      </c>
    </row>
    <row r="3590" spans="1:17" x14ac:dyDescent="0.25">
      <c r="A3590" t="str">
        <f>IF(C3590&amp;G3590&amp;D3590&lt;&gt;'Funnel setup'!$K$3&amp;'Funnel setup'!$K$4&amp;'Funnel setup'!$K$6,".",IF(A3589=".",1,A3589+1))</f>
        <v>.</v>
      </c>
      <c r="B3590" s="244" t="str">
        <f t="shared" si="56"/>
        <v>Total Hip ReplacementSub-ICB of GP PracticeNHS COVENTRY AND WARWICKSHIRE ICB - B2M3M (B2M3M)Oxford Hip Score</v>
      </c>
      <c r="C3590" t="s">
        <v>974</v>
      </c>
      <c r="D3590" t="s">
        <v>1021</v>
      </c>
      <c r="E3590" t="s">
        <v>789</v>
      </c>
      <c r="F3590" t="s">
        <v>790</v>
      </c>
      <c r="G3590" t="s">
        <v>964</v>
      </c>
      <c r="H3590">
        <v>289</v>
      </c>
      <c r="I3590">
        <v>20.6678</v>
      </c>
      <c r="J3590">
        <v>41.401400000000002</v>
      </c>
      <c r="K3590">
        <v>20.733599999999999</v>
      </c>
      <c r="L3590">
        <v>281</v>
      </c>
      <c r="M3590">
        <v>1</v>
      </c>
      <c r="N3590">
        <v>7</v>
      </c>
      <c r="O3590">
        <v>38.8309</v>
      </c>
      <c r="P3590">
        <v>21.619399999999999</v>
      </c>
      <c r="Q3590">
        <v>7.1821000000000002</v>
      </c>
    </row>
    <row r="3591" spans="1:17" x14ac:dyDescent="0.25">
      <c r="A3591" t="str">
        <f>IF(C3591&amp;G3591&amp;D3591&lt;&gt;'Funnel setup'!$K$3&amp;'Funnel setup'!$K$4&amp;'Funnel setup'!$K$6,".",IF(A3590=".",1,A3590+1))</f>
        <v>.</v>
      </c>
      <c r="B3591" s="244" t="str">
        <f t="shared" si="56"/>
        <v>Total Hip ReplacementSub-ICB of GP PracticeNHS DERBY AND DERBYSHIRE ICB - 15M (15M)Oxford Hip Score</v>
      </c>
      <c r="C3591" t="s">
        <v>974</v>
      </c>
      <c r="D3591" t="s">
        <v>1021</v>
      </c>
      <c r="E3591" t="s">
        <v>791</v>
      </c>
      <c r="F3591" t="s">
        <v>792</v>
      </c>
      <c r="G3591" t="s">
        <v>964</v>
      </c>
      <c r="H3591">
        <v>489</v>
      </c>
      <c r="I3591">
        <v>16.094100000000001</v>
      </c>
      <c r="J3591">
        <v>38.644199999999998</v>
      </c>
      <c r="K3591">
        <v>22.5501</v>
      </c>
      <c r="L3591">
        <v>474</v>
      </c>
      <c r="M3591">
        <v>2</v>
      </c>
      <c r="N3591">
        <v>13</v>
      </c>
      <c r="O3591">
        <v>39.537300000000002</v>
      </c>
      <c r="P3591">
        <v>22.325800000000001</v>
      </c>
      <c r="Q3591">
        <v>8.4814799999999995</v>
      </c>
    </row>
    <row r="3592" spans="1:17" x14ac:dyDescent="0.25">
      <c r="A3592" t="str">
        <f>IF(C3592&amp;G3592&amp;D3592&lt;&gt;'Funnel setup'!$K$3&amp;'Funnel setup'!$K$4&amp;'Funnel setup'!$K$6,".",IF(A3591=".",1,A3591+1))</f>
        <v>.</v>
      </c>
      <c r="B3592" s="244" t="str">
        <f t="shared" si="56"/>
        <v>Total Hip ReplacementSub-ICB of GP PracticeNHS DEVON ICB - 15N (15N)Oxford Hip Score</v>
      </c>
      <c r="C3592" t="s">
        <v>974</v>
      </c>
      <c r="D3592" t="s">
        <v>1021</v>
      </c>
      <c r="E3592" t="s">
        <v>793</v>
      </c>
      <c r="F3592" t="s">
        <v>794</v>
      </c>
      <c r="G3592" t="s">
        <v>964</v>
      </c>
      <c r="H3592">
        <v>386</v>
      </c>
      <c r="I3592">
        <v>16.212399999999999</v>
      </c>
      <c r="J3592">
        <v>41.196899999999999</v>
      </c>
      <c r="K3592">
        <v>24.984500000000001</v>
      </c>
      <c r="L3592">
        <v>378</v>
      </c>
      <c r="M3592">
        <v>1</v>
      </c>
      <c r="N3592">
        <v>7</v>
      </c>
      <c r="O3592">
        <v>41.272500000000001</v>
      </c>
      <c r="P3592">
        <v>24.0611</v>
      </c>
      <c r="Q3592">
        <v>7.5198799999999997</v>
      </c>
    </row>
    <row r="3593" spans="1:17" x14ac:dyDescent="0.25">
      <c r="A3593" t="str">
        <f>IF(C3593&amp;G3593&amp;D3593&lt;&gt;'Funnel setup'!$K$3&amp;'Funnel setup'!$K$4&amp;'Funnel setup'!$K$6,".",IF(A3592=".",1,A3592+1))</f>
        <v>.</v>
      </c>
      <c r="B3593" s="244" t="str">
        <f t="shared" si="56"/>
        <v>Total Hip ReplacementSub-ICB of GP PracticeNHS DORSET ICB - 11J (11J)Oxford Hip Score</v>
      </c>
      <c r="C3593" t="s">
        <v>974</v>
      </c>
      <c r="D3593" t="s">
        <v>1021</v>
      </c>
      <c r="E3593" t="s">
        <v>795</v>
      </c>
      <c r="F3593" t="s">
        <v>796</v>
      </c>
      <c r="G3593" t="s">
        <v>964</v>
      </c>
      <c r="H3593">
        <v>310</v>
      </c>
      <c r="I3593">
        <v>18.0548</v>
      </c>
      <c r="J3593">
        <v>40.548400000000001</v>
      </c>
      <c r="K3593">
        <v>22.493500000000001</v>
      </c>
      <c r="L3593">
        <v>301</v>
      </c>
      <c r="M3593">
        <v>3</v>
      </c>
      <c r="N3593">
        <v>6</v>
      </c>
      <c r="O3593">
        <v>40.415700000000001</v>
      </c>
      <c r="P3593">
        <v>23.2043</v>
      </c>
      <c r="Q3593">
        <v>7.9186199999999998</v>
      </c>
    </row>
    <row r="3594" spans="1:17" x14ac:dyDescent="0.25">
      <c r="A3594" t="str">
        <f>IF(C3594&amp;G3594&amp;D3594&lt;&gt;'Funnel setup'!$K$3&amp;'Funnel setup'!$K$4&amp;'Funnel setup'!$K$6,".",IF(A3593=".",1,A3593+1))</f>
        <v>.</v>
      </c>
      <c r="B3594" s="244" t="str">
        <f t="shared" si="56"/>
        <v>Total Hip ReplacementSub-ICB of GP PracticeNHS FRIMLEY ICB - D4U1Y (D4U1Y)Oxford Hip Score</v>
      </c>
      <c r="C3594" t="s">
        <v>974</v>
      </c>
      <c r="D3594" t="s">
        <v>1021</v>
      </c>
      <c r="E3594" t="s">
        <v>797</v>
      </c>
      <c r="F3594" t="s">
        <v>798</v>
      </c>
      <c r="G3594" t="s">
        <v>964</v>
      </c>
      <c r="H3594">
        <v>185</v>
      </c>
      <c r="I3594">
        <v>17.9405</v>
      </c>
      <c r="J3594">
        <v>40.708100000000002</v>
      </c>
      <c r="K3594">
        <v>22.767600000000002</v>
      </c>
      <c r="L3594">
        <v>179</v>
      </c>
      <c r="M3594">
        <v>2</v>
      </c>
      <c r="N3594">
        <v>4</v>
      </c>
      <c r="O3594">
        <v>39.81</v>
      </c>
      <c r="P3594">
        <v>22.598500000000001</v>
      </c>
      <c r="Q3594">
        <v>8.0868699999999993</v>
      </c>
    </row>
    <row r="3595" spans="1:17" x14ac:dyDescent="0.25">
      <c r="A3595" t="str">
        <f>IF(C3595&amp;G3595&amp;D3595&lt;&gt;'Funnel setup'!$K$3&amp;'Funnel setup'!$K$4&amp;'Funnel setup'!$K$6,".",IF(A3594=".",1,A3594+1))</f>
        <v>.</v>
      </c>
      <c r="B3595" s="244" t="str">
        <f t="shared" si="56"/>
        <v>Total Hip ReplacementSub-ICB of GP PracticeNHS GLOUCESTERSHIRE ICB - 11M (11M)Oxford Hip Score</v>
      </c>
      <c r="C3595" t="s">
        <v>974</v>
      </c>
      <c r="D3595" t="s">
        <v>1021</v>
      </c>
      <c r="E3595" t="s">
        <v>799</v>
      </c>
      <c r="F3595" t="s">
        <v>800</v>
      </c>
      <c r="G3595" t="s">
        <v>964</v>
      </c>
      <c r="H3595">
        <v>178</v>
      </c>
      <c r="I3595">
        <v>16.988800000000001</v>
      </c>
      <c r="J3595">
        <v>40.696599999999997</v>
      </c>
      <c r="K3595">
        <v>23.707899999999999</v>
      </c>
      <c r="L3595">
        <v>177</v>
      </c>
      <c r="M3595">
        <v>1</v>
      </c>
      <c r="N3595">
        <v>0</v>
      </c>
      <c r="O3595">
        <v>40.3095</v>
      </c>
      <c r="P3595">
        <v>23.098099999999999</v>
      </c>
      <c r="Q3595">
        <v>7.3900699999999997</v>
      </c>
    </row>
    <row r="3596" spans="1:17" x14ac:dyDescent="0.25">
      <c r="A3596" t="str">
        <f>IF(C3596&amp;G3596&amp;D3596&lt;&gt;'Funnel setup'!$K$3&amp;'Funnel setup'!$K$4&amp;'Funnel setup'!$K$6,".",IF(A3595=".",1,A3595+1))</f>
        <v>.</v>
      </c>
      <c r="B3596" s="244" t="str">
        <f t="shared" si="56"/>
        <v>Total Hip ReplacementSub-ICB of GP PracticeNHS GREATER MANCHESTER ICB - 00T (00T)Oxford Hip Score</v>
      </c>
      <c r="C3596" t="s">
        <v>974</v>
      </c>
      <c r="D3596" t="s">
        <v>1021</v>
      </c>
      <c r="E3596" t="s">
        <v>801</v>
      </c>
      <c r="F3596" t="s">
        <v>802</v>
      </c>
      <c r="G3596" t="s">
        <v>964</v>
      </c>
      <c r="H3596">
        <v>55</v>
      </c>
      <c r="I3596">
        <v>16.163599999999999</v>
      </c>
      <c r="J3596">
        <v>38.927300000000002</v>
      </c>
      <c r="K3596">
        <v>22.7636</v>
      </c>
      <c r="L3596">
        <v>55</v>
      </c>
      <c r="M3596">
        <v>0</v>
      </c>
      <c r="N3596">
        <v>0</v>
      </c>
      <c r="O3596">
        <v>40.901299999999999</v>
      </c>
      <c r="P3596">
        <v>23.689900000000002</v>
      </c>
      <c r="Q3596">
        <v>7.5739700000000001</v>
      </c>
    </row>
    <row r="3597" spans="1:17" x14ac:dyDescent="0.25">
      <c r="A3597" t="str">
        <f>IF(C3597&amp;G3597&amp;D3597&lt;&gt;'Funnel setup'!$K$3&amp;'Funnel setup'!$K$4&amp;'Funnel setup'!$K$6,".",IF(A3596=".",1,A3596+1))</f>
        <v>.</v>
      </c>
      <c r="B3597" s="244" t="str">
        <f t="shared" si="56"/>
        <v>Total Hip ReplacementSub-ICB of GP PracticeNHS GREATER MANCHESTER ICB - 00V (00V)Oxford Hip Score</v>
      </c>
      <c r="C3597" t="s">
        <v>974</v>
      </c>
      <c r="D3597" t="s">
        <v>1021</v>
      </c>
      <c r="E3597" t="s">
        <v>803</v>
      </c>
      <c r="F3597" t="s">
        <v>804</v>
      </c>
      <c r="G3597" t="s">
        <v>964</v>
      </c>
      <c r="H3597">
        <v>18</v>
      </c>
      <c r="I3597">
        <v>16.444400000000002</v>
      </c>
      <c r="J3597">
        <v>40.6111</v>
      </c>
      <c r="K3597">
        <v>24.166699999999999</v>
      </c>
      <c r="L3597">
        <v>18</v>
      </c>
      <c r="M3597">
        <v>0</v>
      </c>
      <c r="N3597">
        <v>0</v>
      </c>
      <c r="O3597" t="s">
        <v>127</v>
      </c>
      <c r="P3597" t="s">
        <v>127</v>
      </c>
      <c r="Q3597" t="s">
        <v>127</v>
      </c>
    </row>
    <row r="3598" spans="1:17" x14ac:dyDescent="0.25">
      <c r="A3598" t="str">
        <f>IF(C3598&amp;G3598&amp;D3598&lt;&gt;'Funnel setup'!$K$3&amp;'Funnel setup'!$K$4&amp;'Funnel setup'!$K$6,".",IF(A3597=".",1,A3597+1))</f>
        <v>.</v>
      </c>
      <c r="B3598" s="244" t="str">
        <f t="shared" si="56"/>
        <v>Total Hip ReplacementSub-ICB of GP PracticeNHS GREATER MANCHESTER ICB - 00Y (00Y)Oxford Hip Score</v>
      </c>
      <c r="C3598" t="s">
        <v>974</v>
      </c>
      <c r="D3598" t="s">
        <v>1021</v>
      </c>
      <c r="E3598" t="s">
        <v>805</v>
      </c>
      <c r="F3598" t="s">
        <v>806</v>
      </c>
      <c r="G3598" t="s">
        <v>964</v>
      </c>
      <c r="H3598">
        <v>69</v>
      </c>
      <c r="I3598">
        <v>19.724599999999999</v>
      </c>
      <c r="J3598">
        <v>42.159399999999998</v>
      </c>
      <c r="K3598">
        <v>22.434799999999999</v>
      </c>
      <c r="L3598">
        <v>66</v>
      </c>
      <c r="M3598">
        <v>1</v>
      </c>
      <c r="N3598">
        <v>2</v>
      </c>
      <c r="O3598">
        <v>39.874600000000001</v>
      </c>
      <c r="P3598">
        <v>22.6632</v>
      </c>
      <c r="Q3598">
        <v>6.6473000000000004</v>
      </c>
    </row>
    <row r="3599" spans="1:17" x14ac:dyDescent="0.25">
      <c r="A3599" t="str">
        <f>IF(C3599&amp;G3599&amp;D3599&lt;&gt;'Funnel setup'!$K$3&amp;'Funnel setup'!$K$4&amp;'Funnel setup'!$K$6,".",IF(A3598=".",1,A3598+1))</f>
        <v>.</v>
      </c>
      <c r="B3599" s="244" t="str">
        <f t="shared" si="56"/>
        <v>Total Hip ReplacementSub-ICB of GP PracticeNHS GREATER MANCHESTER ICB - 01D (01D)Oxford Hip Score</v>
      </c>
      <c r="C3599" t="s">
        <v>974</v>
      </c>
      <c r="D3599" t="s">
        <v>1021</v>
      </c>
      <c r="E3599" t="s">
        <v>807</v>
      </c>
      <c r="F3599" t="s">
        <v>808</v>
      </c>
      <c r="G3599" t="s">
        <v>964</v>
      </c>
      <c r="H3599">
        <v>20</v>
      </c>
      <c r="I3599">
        <v>15.75</v>
      </c>
      <c r="J3599">
        <v>38.75</v>
      </c>
      <c r="K3599">
        <v>23</v>
      </c>
      <c r="L3599">
        <v>18</v>
      </c>
      <c r="M3599">
        <v>1</v>
      </c>
      <c r="N3599">
        <v>1</v>
      </c>
      <c r="O3599" t="s">
        <v>127</v>
      </c>
      <c r="P3599" t="s">
        <v>127</v>
      </c>
      <c r="Q3599" t="s">
        <v>127</v>
      </c>
    </row>
    <row r="3600" spans="1:17" x14ac:dyDescent="0.25">
      <c r="A3600" t="str">
        <f>IF(C3600&amp;G3600&amp;D3600&lt;&gt;'Funnel setup'!$K$3&amp;'Funnel setup'!$K$4&amp;'Funnel setup'!$K$6,".",IF(A3599=".",1,A3599+1))</f>
        <v>.</v>
      </c>
      <c r="B3600" s="244" t="str">
        <f t="shared" si="56"/>
        <v>Total Hip ReplacementSub-ICB of GP PracticeNHS GREATER MANCHESTER ICB - 01G (01G)Oxford Hip Score</v>
      </c>
      <c r="C3600" t="s">
        <v>974</v>
      </c>
      <c r="D3600" t="s">
        <v>1021</v>
      </c>
      <c r="E3600" t="s">
        <v>809</v>
      </c>
      <c r="F3600" t="s">
        <v>810</v>
      </c>
      <c r="G3600" t="s">
        <v>964</v>
      </c>
      <c r="H3600">
        <v>35</v>
      </c>
      <c r="I3600">
        <v>15.8857</v>
      </c>
      <c r="J3600">
        <v>37.314300000000003</v>
      </c>
      <c r="K3600">
        <v>21.428599999999999</v>
      </c>
      <c r="L3600">
        <v>33</v>
      </c>
      <c r="M3600">
        <v>0</v>
      </c>
      <c r="N3600">
        <v>2</v>
      </c>
      <c r="O3600">
        <v>38.318800000000003</v>
      </c>
      <c r="P3600">
        <v>21.107399999999998</v>
      </c>
      <c r="Q3600">
        <v>10.3262</v>
      </c>
    </row>
    <row r="3601" spans="1:17" x14ac:dyDescent="0.25">
      <c r="A3601" t="str">
        <f>IF(C3601&amp;G3601&amp;D3601&lt;&gt;'Funnel setup'!$K$3&amp;'Funnel setup'!$K$4&amp;'Funnel setup'!$K$6,".",IF(A3600=".",1,A3600+1))</f>
        <v>.</v>
      </c>
      <c r="B3601" s="244" t="str">
        <f t="shared" si="56"/>
        <v>Total Hip ReplacementSub-ICB of GP PracticeNHS GREATER MANCHESTER ICB - 01W (01W)Oxford Hip Score</v>
      </c>
      <c r="C3601" t="s">
        <v>974</v>
      </c>
      <c r="D3601" t="s">
        <v>1021</v>
      </c>
      <c r="E3601" t="s">
        <v>811</v>
      </c>
      <c r="F3601" t="s">
        <v>812</v>
      </c>
      <c r="G3601" t="s">
        <v>964</v>
      </c>
      <c r="H3601">
        <v>85</v>
      </c>
      <c r="I3601">
        <v>17.482399999999998</v>
      </c>
      <c r="J3601">
        <v>40.847099999999998</v>
      </c>
      <c r="K3601">
        <v>23.364699999999999</v>
      </c>
      <c r="L3601">
        <v>82</v>
      </c>
      <c r="M3601">
        <v>1</v>
      </c>
      <c r="N3601">
        <v>2</v>
      </c>
      <c r="O3601">
        <v>41.601199999999999</v>
      </c>
      <c r="P3601">
        <v>24.389800000000001</v>
      </c>
      <c r="Q3601">
        <v>7.2830599999999999</v>
      </c>
    </row>
    <row r="3602" spans="1:17" x14ac:dyDescent="0.25">
      <c r="A3602" t="str">
        <f>IF(C3602&amp;G3602&amp;D3602&lt;&gt;'Funnel setup'!$K$3&amp;'Funnel setup'!$K$4&amp;'Funnel setup'!$K$6,".",IF(A3601=".",1,A3601+1))</f>
        <v>.</v>
      </c>
      <c r="B3602" s="244" t="str">
        <f t="shared" si="56"/>
        <v>Total Hip ReplacementSub-ICB of GP PracticeNHS GREATER MANCHESTER ICB - 01Y (01Y)Oxford Hip Score</v>
      </c>
      <c r="C3602" t="s">
        <v>974</v>
      </c>
      <c r="D3602" t="s">
        <v>1021</v>
      </c>
      <c r="E3602" t="s">
        <v>813</v>
      </c>
      <c r="F3602" t="s">
        <v>814</v>
      </c>
      <c r="G3602" t="s">
        <v>964</v>
      </c>
      <c r="H3602">
        <v>33</v>
      </c>
      <c r="I3602">
        <v>15.2121</v>
      </c>
      <c r="J3602">
        <v>37.2121</v>
      </c>
      <c r="K3602">
        <v>22</v>
      </c>
      <c r="L3602">
        <v>32</v>
      </c>
      <c r="M3602">
        <v>1</v>
      </c>
      <c r="N3602">
        <v>0</v>
      </c>
      <c r="O3602">
        <v>37.082099999999997</v>
      </c>
      <c r="P3602">
        <v>19.870699999999999</v>
      </c>
      <c r="Q3602">
        <v>10.0854</v>
      </c>
    </row>
    <row r="3603" spans="1:17" x14ac:dyDescent="0.25">
      <c r="A3603" t="str">
        <f>IF(C3603&amp;G3603&amp;D3603&lt;&gt;'Funnel setup'!$K$3&amp;'Funnel setup'!$K$4&amp;'Funnel setup'!$K$6,".",IF(A3602=".",1,A3602+1))</f>
        <v>.</v>
      </c>
      <c r="B3603" s="244" t="str">
        <f t="shared" si="56"/>
        <v>Total Hip ReplacementSub-ICB of GP PracticeNHS GREATER MANCHESTER ICB - 02A (02A)Oxford Hip Score</v>
      </c>
      <c r="C3603" t="s">
        <v>974</v>
      </c>
      <c r="D3603" t="s">
        <v>1021</v>
      </c>
      <c r="E3603" t="s">
        <v>815</v>
      </c>
      <c r="F3603" t="s">
        <v>816</v>
      </c>
      <c r="G3603" t="s">
        <v>964</v>
      </c>
      <c r="H3603">
        <v>81</v>
      </c>
      <c r="I3603">
        <v>17.024699999999999</v>
      </c>
      <c r="J3603">
        <v>37.370399999999997</v>
      </c>
      <c r="K3603">
        <v>20.345700000000001</v>
      </c>
      <c r="L3603">
        <v>79</v>
      </c>
      <c r="M3603">
        <v>0</v>
      </c>
      <c r="N3603">
        <v>2</v>
      </c>
      <c r="O3603">
        <v>37.237000000000002</v>
      </c>
      <c r="P3603">
        <v>20.025600000000001</v>
      </c>
      <c r="Q3603">
        <v>9.2849599999999999</v>
      </c>
    </row>
    <row r="3604" spans="1:17" x14ac:dyDescent="0.25">
      <c r="A3604" t="str">
        <f>IF(C3604&amp;G3604&amp;D3604&lt;&gt;'Funnel setup'!$K$3&amp;'Funnel setup'!$K$4&amp;'Funnel setup'!$K$6,".",IF(A3603=".",1,A3603+1))</f>
        <v>.</v>
      </c>
      <c r="B3604" s="244" t="str">
        <f t="shared" si="56"/>
        <v>Total Hip ReplacementSub-ICB of GP PracticeNHS GREATER MANCHESTER ICB - 02H (02H)Oxford Hip Score</v>
      </c>
      <c r="C3604" t="s">
        <v>974</v>
      </c>
      <c r="D3604" t="s">
        <v>1021</v>
      </c>
      <c r="E3604" t="s">
        <v>817</v>
      </c>
      <c r="F3604" t="s">
        <v>818</v>
      </c>
      <c r="G3604" t="s">
        <v>964</v>
      </c>
      <c r="H3604">
        <v>31</v>
      </c>
      <c r="I3604">
        <v>14.7097</v>
      </c>
      <c r="J3604">
        <v>37.612900000000003</v>
      </c>
      <c r="K3604">
        <v>22.903199999999998</v>
      </c>
      <c r="L3604">
        <v>29</v>
      </c>
      <c r="M3604">
        <v>1</v>
      </c>
      <c r="N3604">
        <v>1</v>
      </c>
      <c r="O3604">
        <v>38.7607</v>
      </c>
      <c r="P3604">
        <v>21.549299999999999</v>
      </c>
      <c r="Q3604">
        <v>11.1035</v>
      </c>
    </row>
    <row r="3605" spans="1:17" x14ac:dyDescent="0.25">
      <c r="A3605" t="str">
        <f>IF(C3605&amp;G3605&amp;D3605&lt;&gt;'Funnel setup'!$K$3&amp;'Funnel setup'!$K$4&amp;'Funnel setup'!$K$6,".",IF(A3604=".",1,A3604+1))</f>
        <v>.</v>
      </c>
      <c r="B3605" s="244" t="str">
        <f t="shared" si="56"/>
        <v>Total Hip ReplacementSub-ICB of GP PracticeNHS GREATER MANCHESTER ICB - 14L (14L)Oxford Hip Score</v>
      </c>
      <c r="C3605" t="s">
        <v>974</v>
      </c>
      <c r="D3605" t="s">
        <v>1021</v>
      </c>
      <c r="E3605" t="s">
        <v>819</v>
      </c>
      <c r="F3605" t="s">
        <v>820</v>
      </c>
      <c r="G3605" t="s">
        <v>964</v>
      </c>
      <c r="H3605">
        <v>46</v>
      </c>
      <c r="I3605">
        <v>17.152200000000001</v>
      </c>
      <c r="J3605">
        <v>38</v>
      </c>
      <c r="K3605">
        <v>20.847799999999999</v>
      </c>
      <c r="L3605">
        <v>44</v>
      </c>
      <c r="M3605">
        <v>0</v>
      </c>
      <c r="N3605">
        <v>2</v>
      </c>
      <c r="O3605">
        <v>39.383499999999998</v>
      </c>
      <c r="P3605">
        <v>22.1721</v>
      </c>
      <c r="Q3605">
        <v>9.8532899999999994</v>
      </c>
    </row>
    <row r="3606" spans="1:17" x14ac:dyDescent="0.25">
      <c r="A3606" t="str">
        <f>IF(C3606&amp;G3606&amp;D3606&lt;&gt;'Funnel setup'!$K$3&amp;'Funnel setup'!$K$4&amp;'Funnel setup'!$K$6,".",IF(A3605=".",1,A3605+1))</f>
        <v>.</v>
      </c>
      <c r="B3606" s="244" t="str">
        <f t="shared" si="56"/>
        <v>Total Hip ReplacementSub-ICB of GP PracticeNHS HAMPSHIRE AND ISLE OF WIGHT ICB - 10R (10R)Oxford Hip Score</v>
      </c>
      <c r="C3606" t="s">
        <v>974</v>
      </c>
      <c r="D3606" t="s">
        <v>1021</v>
      </c>
      <c r="E3606" t="s">
        <v>821</v>
      </c>
      <c r="F3606" t="s">
        <v>822</v>
      </c>
      <c r="G3606" t="s">
        <v>964</v>
      </c>
      <c r="H3606">
        <v>13</v>
      </c>
      <c r="I3606">
        <v>18.1538</v>
      </c>
      <c r="J3606">
        <v>38.153799999999997</v>
      </c>
      <c r="K3606">
        <v>20</v>
      </c>
      <c r="L3606">
        <v>13</v>
      </c>
      <c r="M3606">
        <v>0</v>
      </c>
      <c r="N3606">
        <v>0</v>
      </c>
      <c r="O3606" t="s">
        <v>127</v>
      </c>
      <c r="P3606" t="s">
        <v>127</v>
      </c>
      <c r="Q3606" t="s">
        <v>127</v>
      </c>
    </row>
    <row r="3607" spans="1:17" x14ac:dyDescent="0.25">
      <c r="A3607" t="str">
        <f>IF(C3607&amp;G3607&amp;D3607&lt;&gt;'Funnel setup'!$K$3&amp;'Funnel setup'!$K$4&amp;'Funnel setup'!$K$6,".",IF(A3606=".",1,A3606+1))</f>
        <v>.</v>
      </c>
      <c r="B3607" s="244" t="str">
        <f t="shared" si="56"/>
        <v>Total Hip ReplacementSub-ICB of GP PracticeNHS HAMPSHIRE AND ISLE OF WIGHT ICB - D9Y0V (D9Y0V)Oxford Hip Score</v>
      </c>
      <c r="C3607" t="s">
        <v>974</v>
      </c>
      <c r="D3607" t="s">
        <v>1021</v>
      </c>
      <c r="E3607" t="s">
        <v>823</v>
      </c>
      <c r="F3607" t="s">
        <v>824</v>
      </c>
      <c r="G3607" t="s">
        <v>964</v>
      </c>
      <c r="H3607">
        <v>457</v>
      </c>
      <c r="I3607">
        <v>18.5383</v>
      </c>
      <c r="J3607">
        <v>40.334800000000001</v>
      </c>
      <c r="K3607">
        <v>21.796500000000002</v>
      </c>
      <c r="L3607">
        <v>443</v>
      </c>
      <c r="M3607">
        <v>0</v>
      </c>
      <c r="N3607">
        <v>14</v>
      </c>
      <c r="O3607">
        <v>39.68</v>
      </c>
      <c r="P3607">
        <v>22.468499999999999</v>
      </c>
      <c r="Q3607">
        <v>7.8811600000000004</v>
      </c>
    </row>
    <row r="3608" spans="1:17" x14ac:dyDescent="0.25">
      <c r="A3608" t="str">
        <f>IF(C3608&amp;G3608&amp;D3608&lt;&gt;'Funnel setup'!$K$3&amp;'Funnel setup'!$K$4&amp;'Funnel setup'!$K$6,".",IF(A3607=".",1,A3607+1))</f>
        <v>.</v>
      </c>
      <c r="B3608" s="244" t="str">
        <f t="shared" si="56"/>
        <v>Total Hip ReplacementSub-ICB of GP PracticeNHS HEREFORDSHIRE AND WORCESTERSHIRE ICB - 18C (18C)Oxford Hip Score</v>
      </c>
      <c r="C3608" t="s">
        <v>974</v>
      </c>
      <c r="D3608" t="s">
        <v>1021</v>
      </c>
      <c r="E3608" t="s">
        <v>825</v>
      </c>
      <c r="F3608" t="s">
        <v>826</v>
      </c>
      <c r="G3608" t="s">
        <v>964</v>
      </c>
      <c r="H3608">
        <v>238</v>
      </c>
      <c r="I3608">
        <v>15.4328</v>
      </c>
      <c r="J3608">
        <v>38.718499999999999</v>
      </c>
      <c r="K3608">
        <v>23.285699999999999</v>
      </c>
      <c r="L3608">
        <v>233</v>
      </c>
      <c r="M3608">
        <v>2</v>
      </c>
      <c r="N3608">
        <v>3</v>
      </c>
      <c r="O3608">
        <v>39.421599999999998</v>
      </c>
      <c r="P3608">
        <v>22.2102</v>
      </c>
      <c r="Q3608">
        <v>8.4321999999999999</v>
      </c>
    </row>
    <row r="3609" spans="1:17" x14ac:dyDescent="0.25">
      <c r="A3609" t="str">
        <f>IF(C3609&amp;G3609&amp;D3609&lt;&gt;'Funnel setup'!$K$3&amp;'Funnel setup'!$K$4&amp;'Funnel setup'!$K$6,".",IF(A3608=".",1,A3608+1))</f>
        <v>.</v>
      </c>
      <c r="B3609" s="244" t="str">
        <f t="shared" si="56"/>
        <v>Total Hip ReplacementSub-ICB of GP PracticeNHS HERTFORDSHIRE AND WEST ESSEX ICB - 06K (06K)Oxford Hip Score</v>
      </c>
      <c r="C3609" t="s">
        <v>974</v>
      </c>
      <c r="D3609" t="s">
        <v>1021</v>
      </c>
      <c r="E3609" t="s">
        <v>827</v>
      </c>
      <c r="F3609" t="s">
        <v>828</v>
      </c>
      <c r="G3609" t="s">
        <v>964</v>
      </c>
      <c r="H3609">
        <v>122</v>
      </c>
      <c r="I3609">
        <v>17.082000000000001</v>
      </c>
      <c r="J3609">
        <v>38.852499999999999</v>
      </c>
      <c r="K3609">
        <v>21.770499999999998</v>
      </c>
      <c r="L3609">
        <v>113</v>
      </c>
      <c r="M3609">
        <v>3</v>
      </c>
      <c r="N3609">
        <v>6</v>
      </c>
      <c r="O3609">
        <v>38.848399999999998</v>
      </c>
      <c r="P3609">
        <v>21.637</v>
      </c>
      <c r="Q3609">
        <v>8.9288100000000004</v>
      </c>
    </row>
    <row r="3610" spans="1:17" x14ac:dyDescent="0.25">
      <c r="A3610" t="str">
        <f>IF(C3610&amp;G3610&amp;D3610&lt;&gt;'Funnel setup'!$K$3&amp;'Funnel setup'!$K$4&amp;'Funnel setup'!$K$6,".",IF(A3609=".",1,A3609+1))</f>
        <v>.</v>
      </c>
      <c r="B3610" s="244" t="str">
        <f t="shared" si="56"/>
        <v>Total Hip ReplacementSub-ICB of GP PracticeNHS HERTFORDSHIRE AND WEST ESSEX ICB - 06N (06N)Oxford Hip Score</v>
      </c>
      <c r="C3610" t="s">
        <v>974</v>
      </c>
      <c r="D3610" t="s">
        <v>1021</v>
      </c>
      <c r="E3610" t="s">
        <v>829</v>
      </c>
      <c r="F3610" t="s">
        <v>830</v>
      </c>
      <c r="G3610" t="s">
        <v>964</v>
      </c>
      <c r="H3610">
        <v>143</v>
      </c>
      <c r="I3610">
        <v>18.069900000000001</v>
      </c>
      <c r="J3610">
        <v>39.223799999999997</v>
      </c>
      <c r="K3610">
        <v>21.1538</v>
      </c>
      <c r="L3610">
        <v>139</v>
      </c>
      <c r="M3610">
        <v>1</v>
      </c>
      <c r="N3610">
        <v>3</v>
      </c>
      <c r="O3610">
        <v>38.407699999999998</v>
      </c>
      <c r="P3610">
        <v>21.196300000000001</v>
      </c>
      <c r="Q3610">
        <v>9.0195500000000006</v>
      </c>
    </row>
    <row r="3611" spans="1:17" x14ac:dyDescent="0.25">
      <c r="A3611" t="str">
        <f>IF(C3611&amp;G3611&amp;D3611&lt;&gt;'Funnel setup'!$K$3&amp;'Funnel setup'!$K$4&amp;'Funnel setup'!$K$6,".",IF(A3610=".",1,A3610+1))</f>
        <v>.</v>
      </c>
      <c r="B3611" s="244" t="str">
        <f t="shared" si="56"/>
        <v>Total Hip ReplacementSub-ICB of GP PracticeNHS HERTFORDSHIRE AND WEST ESSEX ICB - 07H (07H)Oxford Hip Score</v>
      </c>
      <c r="C3611" t="s">
        <v>974</v>
      </c>
      <c r="D3611" t="s">
        <v>1021</v>
      </c>
      <c r="E3611" t="s">
        <v>831</v>
      </c>
      <c r="F3611" t="s">
        <v>832</v>
      </c>
      <c r="G3611" t="s">
        <v>964</v>
      </c>
      <c r="H3611">
        <v>79</v>
      </c>
      <c r="I3611">
        <v>18.3797</v>
      </c>
      <c r="J3611">
        <v>39.468400000000003</v>
      </c>
      <c r="K3611">
        <v>21.0886</v>
      </c>
      <c r="L3611">
        <v>73</v>
      </c>
      <c r="M3611">
        <v>1</v>
      </c>
      <c r="N3611">
        <v>5</v>
      </c>
      <c r="O3611">
        <v>38.675400000000003</v>
      </c>
      <c r="P3611">
        <v>21.463999999999999</v>
      </c>
      <c r="Q3611">
        <v>8.7886399999999991</v>
      </c>
    </row>
    <row r="3612" spans="1:17" x14ac:dyDescent="0.25">
      <c r="A3612" t="str">
        <f>IF(C3612&amp;G3612&amp;D3612&lt;&gt;'Funnel setup'!$K$3&amp;'Funnel setup'!$K$4&amp;'Funnel setup'!$K$6,".",IF(A3611=".",1,A3611+1))</f>
        <v>.</v>
      </c>
      <c r="B3612" s="244" t="str">
        <f t="shared" si="56"/>
        <v>Total Hip ReplacementSub-ICB of GP PracticeNHS HUMBER AND NORTH YORKSHIRE ICB - 02Y (02Y)Oxford Hip Score</v>
      </c>
      <c r="C3612" t="s">
        <v>974</v>
      </c>
      <c r="D3612" t="s">
        <v>1021</v>
      </c>
      <c r="E3612" t="s">
        <v>833</v>
      </c>
      <c r="F3612" t="s">
        <v>834</v>
      </c>
      <c r="G3612" t="s">
        <v>964</v>
      </c>
      <c r="H3612">
        <v>71</v>
      </c>
      <c r="I3612">
        <v>17.169</v>
      </c>
      <c r="J3612">
        <v>40.436599999999999</v>
      </c>
      <c r="K3612">
        <v>23.267600000000002</v>
      </c>
      <c r="L3612">
        <v>69</v>
      </c>
      <c r="M3612">
        <v>0</v>
      </c>
      <c r="N3612">
        <v>2</v>
      </c>
      <c r="O3612">
        <v>39.966999999999999</v>
      </c>
      <c r="P3612">
        <v>22.755600000000001</v>
      </c>
      <c r="Q3612">
        <v>8.8958200000000005</v>
      </c>
    </row>
    <row r="3613" spans="1:17" x14ac:dyDescent="0.25">
      <c r="A3613" t="str">
        <f>IF(C3613&amp;G3613&amp;D3613&lt;&gt;'Funnel setup'!$K$3&amp;'Funnel setup'!$K$4&amp;'Funnel setup'!$K$6,".",IF(A3612=".",1,A3612+1))</f>
        <v>.</v>
      </c>
      <c r="B3613" s="244" t="str">
        <f t="shared" si="56"/>
        <v>Total Hip ReplacementSub-ICB of GP PracticeNHS HUMBER AND NORTH YORKSHIRE ICB - 03F (03F)Oxford Hip Score</v>
      </c>
      <c r="C3613" t="s">
        <v>974</v>
      </c>
      <c r="D3613" t="s">
        <v>1021</v>
      </c>
      <c r="E3613" t="s">
        <v>835</v>
      </c>
      <c r="F3613" t="s">
        <v>836</v>
      </c>
      <c r="G3613" t="s">
        <v>964</v>
      </c>
      <c r="H3613">
        <v>29</v>
      </c>
      <c r="I3613">
        <v>12.620699999999999</v>
      </c>
      <c r="J3613">
        <v>35</v>
      </c>
      <c r="K3613">
        <v>22.379300000000001</v>
      </c>
      <c r="L3613">
        <v>29</v>
      </c>
      <c r="M3613">
        <v>0</v>
      </c>
      <c r="N3613">
        <v>0</v>
      </c>
      <c r="O3613" t="s">
        <v>127</v>
      </c>
      <c r="P3613" t="s">
        <v>127</v>
      </c>
      <c r="Q3613" t="s">
        <v>127</v>
      </c>
    </row>
    <row r="3614" spans="1:17" x14ac:dyDescent="0.25">
      <c r="A3614" t="str">
        <f>IF(C3614&amp;G3614&amp;D3614&lt;&gt;'Funnel setup'!$K$3&amp;'Funnel setup'!$K$4&amp;'Funnel setup'!$K$6,".",IF(A3613=".",1,A3613+1))</f>
        <v>.</v>
      </c>
      <c r="B3614" s="244" t="str">
        <f t="shared" si="56"/>
        <v>Total Hip ReplacementSub-ICB of GP PracticeNHS HUMBER AND NORTH YORKSHIRE ICB - 03H (03H)Oxford Hip Score</v>
      </c>
      <c r="C3614" t="s">
        <v>974</v>
      </c>
      <c r="D3614" t="s">
        <v>1021</v>
      </c>
      <c r="E3614" t="s">
        <v>837</v>
      </c>
      <c r="F3614" t="s">
        <v>838</v>
      </c>
      <c r="G3614" t="s">
        <v>964</v>
      </c>
      <c r="H3614">
        <v>80</v>
      </c>
      <c r="I3614">
        <v>17.6875</v>
      </c>
      <c r="J3614">
        <v>38.15</v>
      </c>
      <c r="K3614">
        <v>20.462499999999999</v>
      </c>
      <c r="L3614">
        <v>76</v>
      </c>
      <c r="M3614">
        <v>0</v>
      </c>
      <c r="N3614">
        <v>4</v>
      </c>
      <c r="O3614">
        <v>37.996099999999998</v>
      </c>
      <c r="P3614">
        <v>20.784600000000001</v>
      </c>
      <c r="Q3614">
        <v>8.94008</v>
      </c>
    </row>
    <row r="3615" spans="1:17" x14ac:dyDescent="0.25">
      <c r="A3615" t="str">
        <f>IF(C3615&amp;G3615&amp;D3615&lt;&gt;'Funnel setup'!$K$3&amp;'Funnel setup'!$K$4&amp;'Funnel setup'!$K$6,".",IF(A3614=".",1,A3614+1))</f>
        <v>.</v>
      </c>
      <c r="B3615" s="244" t="str">
        <f t="shared" si="56"/>
        <v>Total Hip ReplacementSub-ICB of GP PracticeNHS HUMBER AND NORTH YORKSHIRE ICB - 03K (03K)Oxford Hip Score</v>
      </c>
      <c r="C3615" t="s">
        <v>974</v>
      </c>
      <c r="D3615" t="s">
        <v>1021</v>
      </c>
      <c r="E3615" t="s">
        <v>839</v>
      </c>
      <c r="F3615" t="s">
        <v>840</v>
      </c>
      <c r="G3615" t="s">
        <v>964</v>
      </c>
      <c r="H3615">
        <v>62</v>
      </c>
      <c r="I3615">
        <v>15.967700000000001</v>
      </c>
      <c r="J3615">
        <v>40.145200000000003</v>
      </c>
      <c r="K3615">
        <v>24.177399999999999</v>
      </c>
      <c r="L3615">
        <v>61</v>
      </c>
      <c r="M3615">
        <v>1</v>
      </c>
      <c r="N3615">
        <v>0</v>
      </c>
      <c r="O3615">
        <v>39.771799999999999</v>
      </c>
      <c r="P3615">
        <v>22.560400000000001</v>
      </c>
      <c r="Q3615">
        <v>7.3721300000000003</v>
      </c>
    </row>
    <row r="3616" spans="1:17" x14ac:dyDescent="0.25">
      <c r="A3616" t="str">
        <f>IF(C3616&amp;G3616&amp;D3616&lt;&gt;'Funnel setup'!$K$3&amp;'Funnel setup'!$K$4&amp;'Funnel setup'!$K$6,".",IF(A3615=".",1,A3615+1))</f>
        <v>.</v>
      </c>
      <c r="B3616" s="244" t="str">
        <f t="shared" si="56"/>
        <v>Total Hip ReplacementSub-ICB of GP PracticeNHS HUMBER AND NORTH YORKSHIRE ICB - 03Q (03Q)Oxford Hip Score</v>
      </c>
      <c r="C3616" t="s">
        <v>974</v>
      </c>
      <c r="D3616" t="s">
        <v>1021</v>
      </c>
      <c r="E3616" t="s">
        <v>841</v>
      </c>
      <c r="F3616" t="s">
        <v>842</v>
      </c>
      <c r="G3616" t="s">
        <v>964</v>
      </c>
      <c r="H3616">
        <v>87</v>
      </c>
      <c r="I3616">
        <v>20.2989</v>
      </c>
      <c r="J3616">
        <v>36.321800000000003</v>
      </c>
      <c r="K3616">
        <v>16.023</v>
      </c>
      <c r="L3616">
        <v>72</v>
      </c>
      <c r="M3616">
        <v>2</v>
      </c>
      <c r="N3616">
        <v>13</v>
      </c>
      <c r="O3616">
        <v>35.283900000000003</v>
      </c>
      <c r="P3616">
        <v>18.072399999999998</v>
      </c>
      <c r="Q3616">
        <v>10.551399999999999</v>
      </c>
    </row>
    <row r="3617" spans="1:17" x14ac:dyDescent="0.25">
      <c r="A3617" t="str">
        <f>IF(C3617&amp;G3617&amp;D3617&lt;&gt;'Funnel setup'!$K$3&amp;'Funnel setup'!$K$4&amp;'Funnel setup'!$K$6,".",IF(A3616=".",1,A3616+1))</f>
        <v>.</v>
      </c>
      <c r="B3617" s="244" t="str">
        <f t="shared" si="56"/>
        <v>Total Hip ReplacementSub-ICB of GP PracticeNHS HUMBER AND NORTH YORKSHIRE ICB - 42D (42D)Oxford Hip Score</v>
      </c>
      <c r="C3617" t="s">
        <v>974</v>
      </c>
      <c r="D3617" t="s">
        <v>1021</v>
      </c>
      <c r="E3617" t="s">
        <v>843</v>
      </c>
      <c r="F3617" t="s">
        <v>844</v>
      </c>
      <c r="G3617" t="s">
        <v>964</v>
      </c>
      <c r="H3617">
        <v>271</v>
      </c>
      <c r="I3617">
        <v>16.6494</v>
      </c>
      <c r="J3617">
        <v>40.354199999999999</v>
      </c>
      <c r="K3617">
        <v>23.704799999999999</v>
      </c>
      <c r="L3617">
        <v>264</v>
      </c>
      <c r="M3617">
        <v>2</v>
      </c>
      <c r="N3617">
        <v>5</v>
      </c>
      <c r="O3617">
        <v>40.850200000000001</v>
      </c>
      <c r="P3617">
        <v>23.6387</v>
      </c>
      <c r="Q3617">
        <v>8.1422899999999991</v>
      </c>
    </row>
    <row r="3618" spans="1:17" x14ac:dyDescent="0.25">
      <c r="A3618" t="str">
        <f>IF(C3618&amp;G3618&amp;D3618&lt;&gt;'Funnel setup'!$K$3&amp;'Funnel setup'!$K$4&amp;'Funnel setup'!$K$6,".",IF(A3617=".",1,A3617+1))</f>
        <v>.</v>
      </c>
      <c r="B3618" s="244" t="str">
        <f t="shared" si="56"/>
        <v>Total Hip ReplacementSub-ICB of GP PracticeNHS KENT AND MEDWAY ICB - 91Q (91Q)Oxford Hip Score</v>
      </c>
      <c r="C3618" t="s">
        <v>974</v>
      </c>
      <c r="D3618" t="s">
        <v>1021</v>
      </c>
      <c r="E3618" t="s">
        <v>845</v>
      </c>
      <c r="F3618" t="s">
        <v>846</v>
      </c>
      <c r="G3618" t="s">
        <v>964</v>
      </c>
      <c r="H3618">
        <v>529</v>
      </c>
      <c r="I3618">
        <v>17.816600000000001</v>
      </c>
      <c r="J3618">
        <v>40.499099999999999</v>
      </c>
      <c r="K3618">
        <v>22.682400000000001</v>
      </c>
      <c r="L3618">
        <v>519</v>
      </c>
      <c r="M3618">
        <v>3</v>
      </c>
      <c r="N3618">
        <v>7</v>
      </c>
      <c r="O3618">
        <v>39.378100000000003</v>
      </c>
      <c r="P3618">
        <v>22.166599999999999</v>
      </c>
      <c r="Q3618">
        <v>7.4535299999999998</v>
      </c>
    </row>
    <row r="3619" spans="1:17" x14ac:dyDescent="0.25">
      <c r="A3619" t="str">
        <f>IF(C3619&amp;G3619&amp;D3619&lt;&gt;'Funnel setup'!$K$3&amp;'Funnel setup'!$K$4&amp;'Funnel setup'!$K$6,".",IF(A3618=".",1,A3618+1))</f>
        <v>.</v>
      </c>
      <c r="B3619" s="244" t="str">
        <f t="shared" si="56"/>
        <v>Total Hip ReplacementSub-ICB of GP PracticeNHS LANCASHIRE AND SOUTH CUMBRIA ICB - 00Q (00Q)Oxford Hip Score</v>
      </c>
      <c r="C3619" t="s">
        <v>974</v>
      </c>
      <c r="D3619" t="s">
        <v>1021</v>
      </c>
      <c r="E3619" t="s">
        <v>847</v>
      </c>
      <c r="F3619" t="s">
        <v>848</v>
      </c>
      <c r="G3619" t="s">
        <v>964</v>
      </c>
      <c r="H3619">
        <v>47</v>
      </c>
      <c r="I3619">
        <v>16.765999999999998</v>
      </c>
      <c r="J3619">
        <v>39.4255</v>
      </c>
      <c r="K3619">
        <v>22.659600000000001</v>
      </c>
      <c r="L3619">
        <v>46</v>
      </c>
      <c r="M3619">
        <v>0</v>
      </c>
      <c r="N3619">
        <v>1</v>
      </c>
      <c r="O3619">
        <v>40.253999999999998</v>
      </c>
      <c r="P3619">
        <v>23.0425</v>
      </c>
      <c r="Q3619">
        <v>7.7909899999999999</v>
      </c>
    </row>
    <row r="3620" spans="1:17" x14ac:dyDescent="0.25">
      <c r="A3620" t="str">
        <f>IF(C3620&amp;G3620&amp;D3620&lt;&gt;'Funnel setup'!$K$3&amp;'Funnel setup'!$K$4&amp;'Funnel setup'!$K$6,".",IF(A3619=".",1,A3619+1))</f>
        <v>.</v>
      </c>
      <c r="B3620" s="244" t="str">
        <f t="shared" si="56"/>
        <v>Total Hip ReplacementSub-ICB of GP PracticeNHS LANCASHIRE AND SOUTH CUMBRIA ICB - 00R (00R)Oxford Hip Score</v>
      </c>
      <c r="C3620" t="s">
        <v>974</v>
      </c>
      <c r="D3620" t="s">
        <v>1021</v>
      </c>
      <c r="E3620" t="s">
        <v>849</v>
      </c>
      <c r="F3620" t="s">
        <v>850</v>
      </c>
      <c r="G3620" t="s">
        <v>964</v>
      </c>
      <c r="H3620">
        <v>39</v>
      </c>
      <c r="I3620">
        <v>17.769200000000001</v>
      </c>
      <c r="J3620">
        <v>38.538499999999999</v>
      </c>
      <c r="K3620">
        <v>20.769200000000001</v>
      </c>
      <c r="L3620">
        <v>38</v>
      </c>
      <c r="M3620">
        <v>0</v>
      </c>
      <c r="N3620">
        <v>1</v>
      </c>
      <c r="O3620">
        <v>39.589700000000001</v>
      </c>
      <c r="P3620">
        <v>22.378299999999999</v>
      </c>
      <c r="Q3620">
        <v>9.2431199999999993</v>
      </c>
    </row>
    <row r="3621" spans="1:17" x14ac:dyDescent="0.25">
      <c r="A3621" t="str">
        <f>IF(C3621&amp;G3621&amp;D3621&lt;&gt;'Funnel setup'!$K$3&amp;'Funnel setup'!$K$4&amp;'Funnel setup'!$K$6,".",IF(A3620=".",1,A3620+1))</f>
        <v>.</v>
      </c>
      <c r="B3621" s="244" t="str">
        <f t="shared" si="56"/>
        <v>Total Hip ReplacementSub-ICB of GP PracticeNHS LANCASHIRE AND SOUTH CUMBRIA ICB - 00X (00X)Oxford Hip Score</v>
      </c>
      <c r="C3621" t="s">
        <v>974</v>
      </c>
      <c r="D3621" t="s">
        <v>1021</v>
      </c>
      <c r="E3621" t="s">
        <v>851</v>
      </c>
      <c r="F3621" t="s">
        <v>852</v>
      </c>
      <c r="G3621" t="s">
        <v>964</v>
      </c>
      <c r="H3621">
        <v>65</v>
      </c>
      <c r="I3621">
        <v>16.8308</v>
      </c>
      <c r="J3621">
        <v>40.569200000000002</v>
      </c>
      <c r="K3621">
        <v>23.738499999999998</v>
      </c>
      <c r="L3621">
        <v>63</v>
      </c>
      <c r="M3621">
        <v>0</v>
      </c>
      <c r="N3621">
        <v>2</v>
      </c>
      <c r="O3621">
        <v>40.9803</v>
      </c>
      <c r="P3621">
        <v>23.768799999999999</v>
      </c>
      <c r="Q3621">
        <v>8.9360900000000001</v>
      </c>
    </row>
    <row r="3622" spans="1:17" x14ac:dyDescent="0.25">
      <c r="A3622" t="str">
        <f>IF(C3622&amp;G3622&amp;D3622&lt;&gt;'Funnel setup'!$K$3&amp;'Funnel setup'!$K$4&amp;'Funnel setup'!$K$6,".",IF(A3621=".",1,A3621+1))</f>
        <v>.</v>
      </c>
      <c r="B3622" s="244" t="str">
        <f t="shared" si="56"/>
        <v>Total Hip ReplacementSub-ICB of GP PracticeNHS LANCASHIRE AND SOUTH CUMBRIA ICB - 01A (01A)Oxford Hip Score</v>
      </c>
      <c r="C3622" t="s">
        <v>974</v>
      </c>
      <c r="D3622" t="s">
        <v>1021</v>
      </c>
      <c r="E3622" t="s">
        <v>853</v>
      </c>
      <c r="F3622" t="s">
        <v>854</v>
      </c>
      <c r="G3622" t="s">
        <v>964</v>
      </c>
      <c r="H3622">
        <v>160</v>
      </c>
      <c r="I3622">
        <v>17.406300000000002</v>
      </c>
      <c r="J3622">
        <v>40.493699999999997</v>
      </c>
      <c r="K3622">
        <v>23.087499999999999</v>
      </c>
      <c r="L3622">
        <v>154</v>
      </c>
      <c r="M3622">
        <v>2</v>
      </c>
      <c r="N3622">
        <v>4</v>
      </c>
      <c r="O3622">
        <v>40.477699999999999</v>
      </c>
      <c r="P3622">
        <v>23.266200000000001</v>
      </c>
      <c r="Q3622">
        <v>7.2047400000000001</v>
      </c>
    </row>
    <row r="3623" spans="1:17" x14ac:dyDescent="0.25">
      <c r="A3623" t="str">
        <f>IF(C3623&amp;G3623&amp;D3623&lt;&gt;'Funnel setup'!$K$3&amp;'Funnel setup'!$K$4&amp;'Funnel setup'!$K$6,".",IF(A3622=".",1,A3622+1))</f>
        <v>.</v>
      </c>
      <c r="B3623" s="244" t="str">
        <f t="shared" si="56"/>
        <v>Total Hip ReplacementSub-ICB of GP PracticeNHS LANCASHIRE AND SOUTH CUMBRIA ICB - 01E (01E)Oxford Hip Score</v>
      </c>
      <c r="C3623" t="s">
        <v>974</v>
      </c>
      <c r="D3623" t="s">
        <v>1021</v>
      </c>
      <c r="E3623" t="s">
        <v>855</v>
      </c>
      <c r="F3623" t="s">
        <v>856</v>
      </c>
      <c r="G3623" t="s">
        <v>964</v>
      </c>
      <c r="H3623">
        <v>65</v>
      </c>
      <c r="I3623">
        <v>20.246200000000002</v>
      </c>
      <c r="J3623">
        <v>40.907699999999998</v>
      </c>
      <c r="K3623">
        <v>20.6615</v>
      </c>
      <c r="L3623">
        <v>65</v>
      </c>
      <c r="M3623">
        <v>0</v>
      </c>
      <c r="N3623">
        <v>0</v>
      </c>
      <c r="O3623">
        <v>39.831400000000002</v>
      </c>
      <c r="P3623">
        <v>22.62</v>
      </c>
      <c r="Q3623">
        <v>7.3146000000000004</v>
      </c>
    </row>
    <row r="3624" spans="1:17" x14ac:dyDescent="0.25">
      <c r="A3624" t="str">
        <f>IF(C3624&amp;G3624&amp;D3624&lt;&gt;'Funnel setup'!$K$3&amp;'Funnel setup'!$K$4&amp;'Funnel setup'!$K$6,".",IF(A3623=".",1,A3623+1))</f>
        <v>.</v>
      </c>
      <c r="B3624" s="244" t="str">
        <f t="shared" si="56"/>
        <v>Total Hip ReplacementSub-ICB of GP PracticeNHS LANCASHIRE AND SOUTH CUMBRIA ICB - 01K (01K)Oxford Hip Score</v>
      </c>
      <c r="C3624" t="s">
        <v>974</v>
      </c>
      <c r="D3624" t="s">
        <v>1021</v>
      </c>
      <c r="E3624" t="s">
        <v>857</v>
      </c>
      <c r="F3624" t="s">
        <v>858</v>
      </c>
      <c r="G3624" t="s">
        <v>964</v>
      </c>
      <c r="H3624">
        <v>210</v>
      </c>
      <c r="I3624">
        <v>17.676200000000001</v>
      </c>
      <c r="J3624">
        <v>40.4</v>
      </c>
      <c r="K3624">
        <v>22.723800000000001</v>
      </c>
      <c r="L3624">
        <v>206</v>
      </c>
      <c r="M3624">
        <v>1</v>
      </c>
      <c r="N3624">
        <v>3</v>
      </c>
      <c r="O3624">
        <v>39.899299999999997</v>
      </c>
      <c r="P3624">
        <v>22.687899999999999</v>
      </c>
      <c r="Q3624">
        <v>7.18018</v>
      </c>
    </row>
    <row r="3625" spans="1:17" x14ac:dyDescent="0.25">
      <c r="A3625" t="str">
        <f>IF(C3625&amp;G3625&amp;D3625&lt;&gt;'Funnel setup'!$K$3&amp;'Funnel setup'!$K$4&amp;'Funnel setup'!$K$6,".",IF(A3624=".",1,A3624+1))</f>
        <v>.</v>
      </c>
      <c r="B3625" s="244" t="str">
        <f t="shared" si="56"/>
        <v>Total Hip ReplacementSub-ICB of GP PracticeNHS LANCASHIRE AND SOUTH CUMBRIA ICB - 02G (02G)Oxford Hip Score</v>
      </c>
      <c r="C3625" t="s">
        <v>974</v>
      </c>
      <c r="D3625" t="s">
        <v>1021</v>
      </c>
      <c r="E3625" t="s">
        <v>859</v>
      </c>
      <c r="F3625" t="s">
        <v>860</v>
      </c>
      <c r="G3625" t="s">
        <v>964</v>
      </c>
      <c r="H3625">
        <v>34</v>
      </c>
      <c r="I3625">
        <v>16.411799999999999</v>
      </c>
      <c r="J3625">
        <v>41.235300000000002</v>
      </c>
      <c r="K3625">
        <v>24.823499999999999</v>
      </c>
      <c r="L3625">
        <v>34</v>
      </c>
      <c r="M3625">
        <v>0</v>
      </c>
      <c r="N3625">
        <v>0</v>
      </c>
      <c r="O3625">
        <v>41.137700000000002</v>
      </c>
      <c r="P3625">
        <v>23.926200000000001</v>
      </c>
      <c r="Q3625">
        <v>7.7863199999999999</v>
      </c>
    </row>
    <row r="3626" spans="1:17" x14ac:dyDescent="0.25">
      <c r="A3626" t="str">
        <f>IF(C3626&amp;G3626&amp;D3626&lt;&gt;'Funnel setup'!$K$3&amp;'Funnel setup'!$K$4&amp;'Funnel setup'!$K$6,".",IF(A3625=".",1,A3625+1))</f>
        <v>.</v>
      </c>
      <c r="B3626" s="244" t="str">
        <f t="shared" si="56"/>
        <v>Total Hip ReplacementSub-ICB of GP PracticeNHS LANCASHIRE AND SOUTH CUMBRIA ICB - 02M (02M)Oxford Hip Score</v>
      </c>
      <c r="C3626" t="s">
        <v>974</v>
      </c>
      <c r="D3626" t="s">
        <v>1021</v>
      </c>
      <c r="E3626" t="s">
        <v>861</v>
      </c>
      <c r="F3626" t="s">
        <v>862</v>
      </c>
      <c r="G3626" t="s">
        <v>964</v>
      </c>
      <c r="H3626">
        <v>74</v>
      </c>
      <c r="I3626">
        <v>20.918900000000001</v>
      </c>
      <c r="J3626">
        <v>38.351399999999998</v>
      </c>
      <c r="K3626">
        <v>17.432400000000001</v>
      </c>
      <c r="L3626">
        <v>70</v>
      </c>
      <c r="M3626">
        <v>0</v>
      </c>
      <c r="N3626">
        <v>4</v>
      </c>
      <c r="O3626">
        <v>37.584000000000003</v>
      </c>
      <c r="P3626">
        <v>20.372599999999998</v>
      </c>
      <c r="Q3626">
        <v>8.1648300000000003</v>
      </c>
    </row>
    <row r="3627" spans="1:17" x14ac:dyDescent="0.25">
      <c r="A3627" t="str">
        <f>IF(C3627&amp;G3627&amp;D3627&lt;&gt;'Funnel setup'!$K$3&amp;'Funnel setup'!$K$4&amp;'Funnel setup'!$K$6,".",IF(A3626=".",1,A3626+1))</f>
        <v>.</v>
      </c>
      <c r="B3627" s="244" t="str">
        <f t="shared" si="56"/>
        <v>Total Hip ReplacementSub-ICB of GP PracticeNHS LEICESTER, LEICESTERSHIRE AND RUTLAND ICB - 03W (03W)Oxford Hip Score</v>
      </c>
      <c r="C3627" t="s">
        <v>974</v>
      </c>
      <c r="D3627" t="s">
        <v>1021</v>
      </c>
      <c r="E3627" t="s">
        <v>863</v>
      </c>
      <c r="F3627" t="s">
        <v>864</v>
      </c>
      <c r="G3627" t="s">
        <v>964</v>
      </c>
      <c r="H3627">
        <v>125</v>
      </c>
      <c r="I3627">
        <v>16.712</v>
      </c>
      <c r="J3627">
        <v>38.536000000000001</v>
      </c>
      <c r="K3627">
        <v>21.824000000000002</v>
      </c>
      <c r="L3627">
        <v>119</v>
      </c>
      <c r="M3627">
        <v>0</v>
      </c>
      <c r="N3627">
        <v>6</v>
      </c>
      <c r="O3627">
        <v>38.944800000000001</v>
      </c>
      <c r="P3627">
        <v>21.7334</v>
      </c>
      <c r="Q3627">
        <v>8.3444199999999995</v>
      </c>
    </row>
    <row r="3628" spans="1:17" x14ac:dyDescent="0.25">
      <c r="A3628" t="str">
        <f>IF(C3628&amp;G3628&amp;D3628&lt;&gt;'Funnel setup'!$K$3&amp;'Funnel setup'!$K$4&amp;'Funnel setup'!$K$6,".",IF(A3627=".",1,A3627+1))</f>
        <v>.</v>
      </c>
      <c r="B3628" s="244" t="str">
        <f t="shared" si="56"/>
        <v>Total Hip ReplacementSub-ICB of GP PracticeNHS LEICESTER, LEICESTERSHIRE AND RUTLAND ICB - 04C (04C)Oxford Hip Score</v>
      </c>
      <c r="C3628" t="s">
        <v>974</v>
      </c>
      <c r="D3628" t="s">
        <v>1021</v>
      </c>
      <c r="E3628" t="s">
        <v>865</v>
      </c>
      <c r="F3628" t="s">
        <v>866</v>
      </c>
      <c r="G3628" t="s">
        <v>964</v>
      </c>
      <c r="H3628">
        <v>39</v>
      </c>
      <c r="I3628">
        <v>14.025</v>
      </c>
      <c r="J3628">
        <v>36.725000000000001</v>
      </c>
      <c r="K3628">
        <v>22.7</v>
      </c>
      <c r="L3628">
        <v>37</v>
      </c>
      <c r="M3628">
        <v>0</v>
      </c>
      <c r="N3628">
        <v>2</v>
      </c>
      <c r="O3628">
        <v>39.797800000000002</v>
      </c>
      <c r="P3628">
        <v>22.586400000000001</v>
      </c>
      <c r="Q3628">
        <v>10.410500000000001</v>
      </c>
    </row>
    <row r="3629" spans="1:17" x14ac:dyDescent="0.25">
      <c r="A3629" t="str">
        <f>IF(C3629&amp;G3629&amp;D3629&lt;&gt;'Funnel setup'!$K$3&amp;'Funnel setup'!$K$4&amp;'Funnel setup'!$K$6,".",IF(A3628=".",1,A3628+1))</f>
        <v>.</v>
      </c>
      <c r="B3629" s="244" t="str">
        <f t="shared" si="56"/>
        <v>Total Hip ReplacementSub-ICB of GP PracticeNHS LEICESTER, LEICESTERSHIRE AND RUTLAND ICB - 04V (04V)Oxford Hip Score</v>
      </c>
      <c r="C3629" t="s">
        <v>974</v>
      </c>
      <c r="D3629" t="s">
        <v>1021</v>
      </c>
      <c r="E3629" t="s">
        <v>867</v>
      </c>
      <c r="F3629" t="s">
        <v>868</v>
      </c>
      <c r="G3629" t="s">
        <v>964</v>
      </c>
      <c r="H3629">
        <v>118</v>
      </c>
      <c r="I3629">
        <v>16.779699999999998</v>
      </c>
      <c r="J3629">
        <v>40.152500000000003</v>
      </c>
      <c r="K3629">
        <v>23.372900000000001</v>
      </c>
      <c r="L3629">
        <v>115</v>
      </c>
      <c r="M3629">
        <v>3</v>
      </c>
      <c r="N3629">
        <v>0</v>
      </c>
      <c r="O3629">
        <v>40.314799999999998</v>
      </c>
      <c r="P3629">
        <v>23.103300000000001</v>
      </c>
      <c r="Q3629">
        <v>8.3300900000000002</v>
      </c>
    </row>
    <row r="3630" spans="1:17" x14ac:dyDescent="0.25">
      <c r="A3630" t="str">
        <f>IF(C3630&amp;G3630&amp;D3630&lt;&gt;'Funnel setup'!$K$3&amp;'Funnel setup'!$K$4&amp;'Funnel setup'!$K$6,".",IF(A3629=".",1,A3629+1))</f>
        <v>.</v>
      </c>
      <c r="B3630" s="244" t="str">
        <f t="shared" si="56"/>
        <v>Total Hip ReplacementSub-ICB of GP PracticeNHS LINCOLNSHIRE ICB - 71E (71E)Oxford Hip Score</v>
      </c>
      <c r="C3630" t="s">
        <v>974</v>
      </c>
      <c r="D3630" t="s">
        <v>1021</v>
      </c>
      <c r="E3630" t="s">
        <v>869</v>
      </c>
      <c r="F3630" t="s">
        <v>870</v>
      </c>
      <c r="G3630" t="s">
        <v>964</v>
      </c>
      <c r="H3630">
        <v>267</v>
      </c>
      <c r="I3630">
        <v>17.149799999999999</v>
      </c>
      <c r="J3630">
        <v>40.857700000000001</v>
      </c>
      <c r="K3630">
        <v>23.707899999999999</v>
      </c>
      <c r="L3630">
        <v>260</v>
      </c>
      <c r="M3630">
        <v>3</v>
      </c>
      <c r="N3630">
        <v>4</v>
      </c>
      <c r="O3630">
        <v>40.844099999999997</v>
      </c>
      <c r="P3630">
        <v>23.6326</v>
      </c>
      <c r="Q3630">
        <v>7.2000599999999997</v>
      </c>
    </row>
    <row r="3631" spans="1:17" x14ac:dyDescent="0.25">
      <c r="A3631" t="str">
        <f>IF(C3631&amp;G3631&amp;D3631&lt;&gt;'Funnel setup'!$K$3&amp;'Funnel setup'!$K$4&amp;'Funnel setup'!$K$6,".",IF(A3630=".",1,A3630+1))</f>
        <v>.</v>
      </c>
      <c r="B3631" s="244" t="str">
        <f t="shared" si="56"/>
        <v>Total Hip ReplacementSub-ICB of GP PracticeNHS MID AND SOUTH ESSEX ICB - 06Q (06Q)Oxford Hip Score</v>
      </c>
      <c r="C3631" t="s">
        <v>974</v>
      </c>
      <c r="D3631" t="s">
        <v>1021</v>
      </c>
      <c r="E3631" t="s">
        <v>871</v>
      </c>
      <c r="F3631" t="s">
        <v>872</v>
      </c>
      <c r="G3631" t="s">
        <v>964</v>
      </c>
      <c r="H3631">
        <v>119</v>
      </c>
      <c r="I3631">
        <v>15.478999999999999</v>
      </c>
      <c r="J3631">
        <v>41.285699999999999</v>
      </c>
      <c r="K3631">
        <v>25.806699999999999</v>
      </c>
      <c r="L3631">
        <v>117</v>
      </c>
      <c r="M3631">
        <v>0</v>
      </c>
      <c r="N3631">
        <v>2</v>
      </c>
      <c r="O3631">
        <v>41.527299999999997</v>
      </c>
      <c r="P3631">
        <v>24.315899999999999</v>
      </c>
      <c r="Q3631">
        <v>7.2725400000000002</v>
      </c>
    </row>
    <row r="3632" spans="1:17" x14ac:dyDescent="0.25">
      <c r="A3632" t="str">
        <f>IF(C3632&amp;G3632&amp;D3632&lt;&gt;'Funnel setup'!$K$3&amp;'Funnel setup'!$K$4&amp;'Funnel setup'!$K$6,".",IF(A3631=".",1,A3631+1))</f>
        <v>.</v>
      </c>
      <c r="B3632" s="244" t="str">
        <f t="shared" si="56"/>
        <v>Total Hip ReplacementSub-ICB of GP PracticeNHS MID AND SOUTH ESSEX ICB - 07G (07G)Oxford Hip Score</v>
      </c>
      <c r="C3632" t="s">
        <v>974</v>
      </c>
      <c r="D3632" t="s">
        <v>1021</v>
      </c>
      <c r="E3632" t="s">
        <v>873</v>
      </c>
      <c r="F3632" t="s">
        <v>874</v>
      </c>
      <c r="G3632" t="s">
        <v>964</v>
      </c>
      <c r="H3632">
        <v>35</v>
      </c>
      <c r="I3632">
        <v>13.7714</v>
      </c>
      <c r="J3632">
        <v>37.428600000000003</v>
      </c>
      <c r="K3632">
        <v>23.6571</v>
      </c>
      <c r="L3632">
        <v>35</v>
      </c>
      <c r="M3632">
        <v>0</v>
      </c>
      <c r="N3632">
        <v>0</v>
      </c>
      <c r="O3632">
        <v>38.7423</v>
      </c>
      <c r="P3632">
        <v>21.530899999999999</v>
      </c>
      <c r="Q3632">
        <v>7.8510799999999996</v>
      </c>
    </row>
    <row r="3633" spans="1:17" x14ac:dyDescent="0.25">
      <c r="A3633" t="str">
        <f>IF(C3633&amp;G3633&amp;D3633&lt;&gt;'Funnel setup'!$K$3&amp;'Funnel setup'!$K$4&amp;'Funnel setup'!$K$6,".",IF(A3632=".",1,A3632+1))</f>
        <v>.</v>
      </c>
      <c r="B3633" s="244" t="str">
        <f t="shared" si="56"/>
        <v>Total Hip ReplacementSub-ICB of GP PracticeNHS MID AND SOUTH ESSEX ICB - 99E (99E)Oxford Hip Score</v>
      </c>
      <c r="C3633" t="s">
        <v>974</v>
      </c>
      <c r="D3633" t="s">
        <v>1021</v>
      </c>
      <c r="E3633" t="s">
        <v>875</v>
      </c>
      <c r="F3633" t="s">
        <v>876</v>
      </c>
      <c r="G3633" t="s">
        <v>964</v>
      </c>
      <c r="H3633">
        <v>48</v>
      </c>
      <c r="I3633">
        <v>15.145799999999999</v>
      </c>
      <c r="J3633">
        <v>40.458300000000001</v>
      </c>
      <c r="K3633">
        <v>25.3125</v>
      </c>
      <c r="L3633">
        <v>48</v>
      </c>
      <c r="M3633">
        <v>0</v>
      </c>
      <c r="N3633">
        <v>0</v>
      </c>
      <c r="O3633">
        <v>41.355400000000003</v>
      </c>
      <c r="P3633">
        <v>24.143999999999998</v>
      </c>
      <c r="Q3633">
        <v>8.1419300000000003</v>
      </c>
    </row>
    <row r="3634" spans="1:17" x14ac:dyDescent="0.25">
      <c r="A3634" t="str">
        <f>IF(C3634&amp;G3634&amp;D3634&lt;&gt;'Funnel setup'!$K$3&amp;'Funnel setup'!$K$4&amp;'Funnel setup'!$K$6,".",IF(A3633=".",1,A3633+1))</f>
        <v>.</v>
      </c>
      <c r="B3634" s="244" t="str">
        <f t="shared" si="56"/>
        <v>Total Hip ReplacementSub-ICB of GP PracticeNHS MID AND SOUTH ESSEX ICB - 99F (99F)Oxford Hip Score</v>
      </c>
      <c r="C3634" t="s">
        <v>974</v>
      </c>
      <c r="D3634" t="s">
        <v>1021</v>
      </c>
      <c r="E3634" t="s">
        <v>877</v>
      </c>
      <c r="F3634" t="s">
        <v>878</v>
      </c>
      <c r="G3634" t="s">
        <v>964</v>
      </c>
      <c r="H3634">
        <v>28</v>
      </c>
      <c r="I3634">
        <v>15.7857</v>
      </c>
      <c r="J3634">
        <v>40.392899999999997</v>
      </c>
      <c r="K3634">
        <v>24.607099999999999</v>
      </c>
      <c r="L3634">
        <v>27</v>
      </c>
      <c r="M3634">
        <v>0</v>
      </c>
      <c r="N3634">
        <v>1</v>
      </c>
      <c r="O3634" t="s">
        <v>127</v>
      </c>
      <c r="P3634" t="s">
        <v>127</v>
      </c>
      <c r="Q3634" t="s">
        <v>127</v>
      </c>
    </row>
    <row r="3635" spans="1:17" x14ac:dyDescent="0.25">
      <c r="A3635" t="str">
        <f>IF(C3635&amp;G3635&amp;D3635&lt;&gt;'Funnel setup'!$K$3&amp;'Funnel setup'!$K$4&amp;'Funnel setup'!$K$6,".",IF(A3634=".",1,A3634+1))</f>
        <v>.</v>
      </c>
      <c r="B3635" s="244" t="str">
        <f t="shared" si="56"/>
        <v>Total Hip ReplacementSub-ICB of GP PracticeNHS MID AND SOUTH ESSEX ICB - 99G (99G)Oxford Hip Score</v>
      </c>
      <c r="C3635" t="s">
        <v>974</v>
      </c>
      <c r="D3635" t="s">
        <v>1021</v>
      </c>
      <c r="E3635" t="s">
        <v>879</v>
      </c>
      <c r="F3635" t="s">
        <v>880</v>
      </c>
      <c r="G3635" t="s">
        <v>964</v>
      </c>
      <c r="H3635">
        <v>13</v>
      </c>
      <c r="I3635">
        <v>14.9231</v>
      </c>
      <c r="J3635">
        <v>40</v>
      </c>
      <c r="K3635">
        <v>25.076899999999998</v>
      </c>
      <c r="L3635">
        <v>13</v>
      </c>
      <c r="M3635">
        <v>0</v>
      </c>
      <c r="N3635">
        <v>0</v>
      </c>
      <c r="O3635" t="s">
        <v>127</v>
      </c>
      <c r="P3635" t="s">
        <v>127</v>
      </c>
      <c r="Q3635" t="s">
        <v>127</v>
      </c>
    </row>
    <row r="3636" spans="1:17" x14ac:dyDescent="0.25">
      <c r="A3636" t="str">
        <f>IF(C3636&amp;G3636&amp;D3636&lt;&gt;'Funnel setup'!$K$3&amp;'Funnel setup'!$K$4&amp;'Funnel setup'!$K$6,".",IF(A3635=".",1,A3635+1))</f>
        <v>.</v>
      </c>
      <c r="B3636" s="244" t="str">
        <f t="shared" si="56"/>
        <v>Total Hip ReplacementSub-ICB of GP PracticeNHS NORFOLK AND WAVENEY ICB - 26A (26A)Oxford Hip Score</v>
      </c>
      <c r="C3636" t="s">
        <v>974</v>
      </c>
      <c r="D3636" t="s">
        <v>1021</v>
      </c>
      <c r="E3636" t="s">
        <v>881</v>
      </c>
      <c r="F3636" t="s">
        <v>882</v>
      </c>
      <c r="G3636" t="s">
        <v>964</v>
      </c>
      <c r="H3636">
        <v>382</v>
      </c>
      <c r="I3636">
        <v>15.2356</v>
      </c>
      <c r="J3636">
        <v>39.209400000000002</v>
      </c>
      <c r="K3636">
        <v>23.973800000000001</v>
      </c>
      <c r="L3636">
        <v>372</v>
      </c>
      <c r="M3636">
        <v>1</v>
      </c>
      <c r="N3636">
        <v>9</v>
      </c>
      <c r="O3636">
        <v>40.468800000000002</v>
      </c>
      <c r="P3636">
        <v>23.257400000000001</v>
      </c>
      <c r="Q3636">
        <v>8.50746</v>
      </c>
    </row>
    <row r="3637" spans="1:17" x14ac:dyDescent="0.25">
      <c r="A3637" t="str">
        <f>IF(C3637&amp;G3637&amp;D3637&lt;&gt;'Funnel setup'!$K$3&amp;'Funnel setup'!$K$4&amp;'Funnel setup'!$K$6,".",IF(A3636=".",1,A3636+1))</f>
        <v>.</v>
      </c>
      <c r="B3637" s="244" t="str">
        <f t="shared" si="56"/>
        <v>Total Hip ReplacementSub-ICB of GP PracticeNHS NORTH CENTRAL LONDON ICB - 93C (93C)Oxford Hip Score</v>
      </c>
      <c r="C3637" t="s">
        <v>974</v>
      </c>
      <c r="D3637" t="s">
        <v>1021</v>
      </c>
      <c r="E3637" t="s">
        <v>883</v>
      </c>
      <c r="F3637" t="s">
        <v>884</v>
      </c>
      <c r="G3637" t="s">
        <v>964</v>
      </c>
      <c r="H3637">
        <v>155</v>
      </c>
      <c r="I3637">
        <v>18.928999999999998</v>
      </c>
      <c r="J3637">
        <v>38.516100000000002</v>
      </c>
      <c r="K3637">
        <v>19.5871</v>
      </c>
      <c r="L3637">
        <v>147</v>
      </c>
      <c r="M3637">
        <v>2</v>
      </c>
      <c r="N3637">
        <v>6</v>
      </c>
      <c r="O3637">
        <v>37.896500000000003</v>
      </c>
      <c r="P3637">
        <v>20.685099999999998</v>
      </c>
      <c r="Q3637">
        <v>8.7296300000000002</v>
      </c>
    </row>
    <row r="3638" spans="1:17" x14ac:dyDescent="0.25">
      <c r="A3638" t="str">
        <f>IF(C3638&amp;G3638&amp;D3638&lt;&gt;'Funnel setup'!$K$3&amp;'Funnel setup'!$K$4&amp;'Funnel setup'!$K$6,".",IF(A3637=".",1,A3637+1))</f>
        <v>.</v>
      </c>
      <c r="B3638" s="244" t="str">
        <f t="shared" si="56"/>
        <v>Total Hip ReplacementSub-ICB of GP PracticeNHS NORTH EAST AND NORTH CUMBRIA ICB - 00L (00L)Oxford Hip Score</v>
      </c>
      <c r="C3638" t="s">
        <v>974</v>
      </c>
      <c r="D3638" t="s">
        <v>1021</v>
      </c>
      <c r="E3638" t="s">
        <v>885</v>
      </c>
      <c r="F3638" t="s">
        <v>886</v>
      </c>
      <c r="G3638" t="s">
        <v>964</v>
      </c>
      <c r="H3638">
        <v>165</v>
      </c>
      <c r="I3638">
        <v>15.806100000000001</v>
      </c>
      <c r="J3638">
        <v>39.854500000000002</v>
      </c>
      <c r="K3638">
        <v>24.048500000000001</v>
      </c>
      <c r="L3638">
        <v>162</v>
      </c>
      <c r="M3638">
        <v>0</v>
      </c>
      <c r="N3638">
        <v>3</v>
      </c>
      <c r="O3638">
        <v>41.191299999999998</v>
      </c>
      <c r="P3638">
        <v>23.979900000000001</v>
      </c>
      <c r="Q3638">
        <v>8.4079300000000003</v>
      </c>
    </row>
    <row r="3639" spans="1:17" x14ac:dyDescent="0.25">
      <c r="A3639" t="str">
        <f>IF(C3639&amp;G3639&amp;D3639&lt;&gt;'Funnel setup'!$K$3&amp;'Funnel setup'!$K$4&amp;'Funnel setup'!$K$6,".",IF(A3638=".",1,A3638+1))</f>
        <v>.</v>
      </c>
      <c r="B3639" s="244" t="str">
        <f t="shared" si="56"/>
        <v>Total Hip ReplacementSub-ICB of GP PracticeNHS NORTH EAST AND NORTH CUMBRIA ICB - 00N (00N)Oxford Hip Score</v>
      </c>
      <c r="C3639" t="s">
        <v>974</v>
      </c>
      <c r="D3639" t="s">
        <v>1021</v>
      </c>
      <c r="E3639" t="s">
        <v>887</v>
      </c>
      <c r="F3639" t="s">
        <v>888</v>
      </c>
      <c r="G3639" t="s">
        <v>964</v>
      </c>
      <c r="H3639">
        <v>11</v>
      </c>
      <c r="I3639">
        <v>13.9091</v>
      </c>
      <c r="J3639">
        <v>41.454500000000003</v>
      </c>
      <c r="K3639">
        <v>27.545500000000001</v>
      </c>
      <c r="L3639">
        <v>11</v>
      </c>
      <c r="M3639">
        <v>0</v>
      </c>
      <c r="N3639">
        <v>0</v>
      </c>
      <c r="O3639" t="s">
        <v>127</v>
      </c>
      <c r="P3639" t="s">
        <v>127</v>
      </c>
      <c r="Q3639" t="s">
        <v>127</v>
      </c>
    </row>
    <row r="3640" spans="1:17" x14ac:dyDescent="0.25">
      <c r="A3640" t="str">
        <f>IF(C3640&amp;G3640&amp;D3640&lt;&gt;'Funnel setup'!$K$3&amp;'Funnel setup'!$K$4&amp;'Funnel setup'!$K$6,".",IF(A3639=".",1,A3639+1))</f>
        <v>.</v>
      </c>
      <c r="B3640" s="244" t="str">
        <f t="shared" si="56"/>
        <v>Total Hip ReplacementSub-ICB of GP PracticeNHS NORTH EAST AND NORTH CUMBRIA ICB - 00P (00P)Oxford Hip Score</v>
      </c>
      <c r="C3640" t="s">
        <v>974</v>
      </c>
      <c r="D3640" t="s">
        <v>1021</v>
      </c>
      <c r="E3640" t="s">
        <v>889</v>
      </c>
      <c r="F3640" t="s">
        <v>890</v>
      </c>
      <c r="G3640" t="s">
        <v>964</v>
      </c>
      <c r="H3640">
        <v>36</v>
      </c>
      <c r="I3640">
        <v>14.277799999999999</v>
      </c>
      <c r="J3640">
        <v>36.055599999999998</v>
      </c>
      <c r="K3640">
        <v>21.777799999999999</v>
      </c>
      <c r="L3640">
        <v>33</v>
      </c>
      <c r="M3640">
        <v>0</v>
      </c>
      <c r="N3640">
        <v>3</v>
      </c>
      <c r="O3640">
        <v>38.777700000000003</v>
      </c>
      <c r="P3640">
        <v>21.566299999999998</v>
      </c>
      <c r="Q3640">
        <v>10.3428</v>
      </c>
    </row>
    <row r="3641" spans="1:17" x14ac:dyDescent="0.25">
      <c r="A3641" t="str">
        <f>IF(C3641&amp;G3641&amp;D3641&lt;&gt;'Funnel setup'!$K$3&amp;'Funnel setup'!$K$4&amp;'Funnel setup'!$K$6,".",IF(A3640=".",1,A3640+1))</f>
        <v>.</v>
      </c>
      <c r="B3641" s="244" t="str">
        <f t="shared" si="56"/>
        <v>Total Hip ReplacementSub-ICB of GP PracticeNHS NORTH EAST AND NORTH CUMBRIA ICB - 01H (01H)Oxford Hip Score</v>
      </c>
      <c r="C3641" t="s">
        <v>974</v>
      </c>
      <c r="D3641" t="s">
        <v>1021</v>
      </c>
      <c r="E3641" t="s">
        <v>891</v>
      </c>
      <c r="F3641" t="s">
        <v>892</v>
      </c>
      <c r="G3641" t="s">
        <v>964</v>
      </c>
      <c r="H3641">
        <v>185</v>
      </c>
      <c r="I3641">
        <v>15.3622</v>
      </c>
      <c r="J3641">
        <v>40.145899999999997</v>
      </c>
      <c r="K3641">
        <v>24.783799999999999</v>
      </c>
      <c r="L3641">
        <v>182</v>
      </c>
      <c r="M3641">
        <v>1</v>
      </c>
      <c r="N3641">
        <v>2</v>
      </c>
      <c r="O3641">
        <v>41.625999999999998</v>
      </c>
      <c r="P3641">
        <v>24.4146</v>
      </c>
      <c r="Q3641">
        <v>7.9851000000000001</v>
      </c>
    </row>
    <row r="3642" spans="1:17" x14ac:dyDescent="0.25">
      <c r="A3642" t="str">
        <f>IF(C3642&amp;G3642&amp;D3642&lt;&gt;'Funnel setup'!$K$3&amp;'Funnel setup'!$K$4&amp;'Funnel setup'!$K$6,".",IF(A3641=".",1,A3641+1))</f>
        <v>.</v>
      </c>
      <c r="B3642" s="244" t="str">
        <f t="shared" si="56"/>
        <v>Total Hip ReplacementSub-ICB of GP PracticeNHS NORTH EAST AND NORTH CUMBRIA ICB - 13T (13T)Oxford Hip Score</v>
      </c>
      <c r="C3642" t="s">
        <v>974</v>
      </c>
      <c r="D3642" t="s">
        <v>1021</v>
      </c>
      <c r="E3642" t="s">
        <v>893</v>
      </c>
      <c r="F3642" t="s">
        <v>894</v>
      </c>
      <c r="G3642" t="s">
        <v>964</v>
      </c>
      <c r="H3642">
        <v>102</v>
      </c>
      <c r="I3642">
        <v>15.392200000000001</v>
      </c>
      <c r="J3642">
        <v>39.019599999999997</v>
      </c>
      <c r="K3642">
        <v>23.627500000000001</v>
      </c>
      <c r="L3642">
        <v>100</v>
      </c>
      <c r="M3642">
        <v>0</v>
      </c>
      <c r="N3642">
        <v>2</v>
      </c>
      <c r="O3642">
        <v>40.671700000000001</v>
      </c>
      <c r="P3642">
        <v>23.4602</v>
      </c>
      <c r="Q3642">
        <v>8.2366899999999994</v>
      </c>
    </row>
    <row r="3643" spans="1:17" x14ac:dyDescent="0.25">
      <c r="A3643" t="str">
        <f>IF(C3643&amp;G3643&amp;D3643&lt;&gt;'Funnel setup'!$K$3&amp;'Funnel setup'!$K$4&amp;'Funnel setup'!$K$6,".",IF(A3642=".",1,A3642+1))</f>
        <v>.</v>
      </c>
      <c r="B3643" s="244" t="str">
        <f t="shared" si="56"/>
        <v>Total Hip ReplacementSub-ICB of GP PracticeNHS NORTH EAST AND NORTH CUMBRIA ICB - 16C (16C)Oxford Hip Score</v>
      </c>
      <c r="C3643" t="s">
        <v>974</v>
      </c>
      <c r="D3643" t="s">
        <v>1021</v>
      </c>
      <c r="E3643" t="s">
        <v>895</v>
      </c>
      <c r="F3643" t="s">
        <v>896</v>
      </c>
      <c r="G3643" t="s">
        <v>964</v>
      </c>
      <c r="H3643">
        <v>382</v>
      </c>
      <c r="I3643">
        <v>16.966000000000001</v>
      </c>
      <c r="J3643">
        <v>38.916200000000003</v>
      </c>
      <c r="K3643">
        <v>21.950299999999999</v>
      </c>
      <c r="L3643">
        <v>368</v>
      </c>
      <c r="M3643">
        <v>4</v>
      </c>
      <c r="N3643">
        <v>10</v>
      </c>
      <c r="O3643">
        <v>39.875100000000003</v>
      </c>
      <c r="P3643">
        <v>22.663699999999999</v>
      </c>
      <c r="Q3643">
        <v>8.6572899999999997</v>
      </c>
    </row>
    <row r="3644" spans="1:17" x14ac:dyDescent="0.25">
      <c r="A3644" t="str">
        <f>IF(C3644&amp;G3644&amp;D3644&lt;&gt;'Funnel setup'!$K$3&amp;'Funnel setup'!$K$4&amp;'Funnel setup'!$K$6,".",IF(A3643=".",1,A3643+1))</f>
        <v>.</v>
      </c>
      <c r="B3644" s="244" t="str">
        <f t="shared" si="56"/>
        <v>Total Hip ReplacementSub-ICB of GP PracticeNHS NORTH EAST AND NORTH CUMBRIA ICB - 84H (84H)Oxford Hip Score</v>
      </c>
      <c r="C3644" t="s">
        <v>974</v>
      </c>
      <c r="D3644" t="s">
        <v>1021</v>
      </c>
      <c r="E3644" t="s">
        <v>897</v>
      </c>
      <c r="F3644" t="s">
        <v>898</v>
      </c>
      <c r="G3644" t="s">
        <v>964</v>
      </c>
      <c r="H3644">
        <v>276</v>
      </c>
      <c r="I3644">
        <v>16.242799999999999</v>
      </c>
      <c r="J3644">
        <v>39.5</v>
      </c>
      <c r="K3644">
        <v>23.257200000000001</v>
      </c>
      <c r="L3644">
        <v>270</v>
      </c>
      <c r="M3644">
        <v>0</v>
      </c>
      <c r="N3644">
        <v>6</v>
      </c>
      <c r="O3644">
        <v>40.720399999999998</v>
      </c>
      <c r="P3644">
        <v>23.509</v>
      </c>
      <c r="Q3644">
        <v>8.5273800000000008</v>
      </c>
    </row>
    <row r="3645" spans="1:17" x14ac:dyDescent="0.25">
      <c r="A3645" t="str">
        <f>IF(C3645&amp;G3645&amp;D3645&lt;&gt;'Funnel setup'!$K$3&amp;'Funnel setup'!$K$4&amp;'Funnel setup'!$K$6,".",IF(A3644=".",1,A3644+1))</f>
        <v>.</v>
      </c>
      <c r="B3645" s="244" t="str">
        <f t="shared" si="56"/>
        <v>Total Hip ReplacementSub-ICB of GP PracticeNHS NORTH EAST AND NORTH CUMBRIA ICB - 99C (99C)Oxford Hip Score</v>
      </c>
      <c r="C3645" t="s">
        <v>974</v>
      </c>
      <c r="D3645" t="s">
        <v>1021</v>
      </c>
      <c r="E3645" t="s">
        <v>899</v>
      </c>
      <c r="F3645" t="s">
        <v>900</v>
      </c>
      <c r="G3645" t="s">
        <v>964</v>
      </c>
      <c r="H3645">
        <v>81</v>
      </c>
      <c r="I3645">
        <v>16.691400000000002</v>
      </c>
      <c r="J3645">
        <v>40.061700000000002</v>
      </c>
      <c r="K3645">
        <v>23.3704</v>
      </c>
      <c r="L3645">
        <v>79</v>
      </c>
      <c r="M3645">
        <v>0</v>
      </c>
      <c r="N3645">
        <v>2</v>
      </c>
      <c r="O3645">
        <v>41.014099999999999</v>
      </c>
      <c r="P3645">
        <v>23.802700000000002</v>
      </c>
      <c r="Q3645">
        <v>7.5499000000000001</v>
      </c>
    </row>
    <row r="3646" spans="1:17" x14ac:dyDescent="0.25">
      <c r="A3646" t="str">
        <f>IF(C3646&amp;G3646&amp;D3646&lt;&gt;'Funnel setup'!$K$3&amp;'Funnel setup'!$K$4&amp;'Funnel setup'!$K$6,".",IF(A3645=".",1,A3645+1))</f>
        <v>.</v>
      </c>
      <c r="B3646" s="244" t="str">
        <f t="shared" si="56"/>
        <v>Total Hip ReplacementSub-ICB of GP PracticeNHS NORTH EAST LONDON ICB - A3A8R (A3A8R)Oxford Hip Score</v>
      </c>
      <c r="C3646" t="s">
        <v>974</v>
      </c>
      <c r="D3646" t="s">
        <v>1021</v>
      </c>
      <c r="E3646" t="s">
        <v>901</v>
      </c>
      <c r="F3646" t="s">
        <v>902</v>
      </c>
      <c r="G3646" t="s">
        <v>964</v>
      </c>
      <c r="H3646">
        <v>176</v>
      </c>
      <c r="I3646">
        <v>15.9091</v>
      </c>
      <c r="J3646">
        <v>36.806800000000003</v>
      </c>
      <c r="K3646">
        <v>20.8977</v>
      </c>
      <c r="L3646">
        <v>170</v>
      </c>
      <c r="M3646">
        <v>0</v>
      </c>
      <c r="N3646">
        <v>6</v>
      </c>
      <c r="O3646">
        <v>37.945</v>
      </c>
      <c r="P3646">
        <v>20.733599999999999</v>
      </c>
      <c r="Q3646">
        <v>9.0016200000000008</v>
      </c>
    </row>
    <row r="3647" spans="1:17" x14ac:dyDescent="0.25">
      <c r="A3647" t="str">
        <f>IF(C3647&amp;G3647&amp;D3647&lt;&gt;'Funnel setup'!$K$3&amp;'Funnel setup'!$K$4&amp;'Funnel setup'!$K$6,".",IF(A3646=".",1,A3646+1))</f>
        <v>.</v>
      </c>
      <c r="B3647" s="244" t="str">
        <f t="shared" si="56"/>
        <v>Total Hip ReplacementSub-ICB of GP PracticeNHS NORTH WEST LONDON ICB - W2U3Z (W2U3Z)Oxford Hip Score</v>
      </c>
      <c r="C3647" t="s">
        <v>974</v>
      </c>
      <c r="D3647" t="s">
        <v>1021</v>
      </c>
      <c r="E3647" t="s">
        <v>903</v>
      </c>
      <c r="F3647" t="s">
        <v>904</v>
      </c>
      <c r="G3647" t="s">
        <v>964</v>
      </c>
      <c r="H3647">
        <v>162</v>
      </c>
      <c r="I3647">
        <v>18.228400000000001</v>
      </c>
      <c r="J3647">
        <v>40.1173</v>
      </c>
      <c r="K3647">
        <v>21.8889</v>
      </c>
      <c r="L3647">
        <v>157</v>
      </c>
      <c r="M3647">
        <v>0</v>
      </c>
      <c r="N3647">
        <v>5</v>
      </c>
      <c r="O3647">
        <v>39.564399999999999</v>
      </c>
      <c r="P3647">
        <v>22.353000000000002</v>
      </c>
      <c r="Q3647">
        <v>7.5990700000000002</v>
      </c>
    </row>
    <row r="3648" spans="1:17" x14ac:dyDescent="0.25">
      <c r="A3648" t="str">
        <f>IF(C3648&amp;G3648&amp;D3648&lt;&gt;'Funnel setup'!$K$3&amp;'Funnel setup'!$K$4&amp;'Funnel setup'!$K$6,".",IF(A3647=".",1,A3647+1))</f>
        <v>.</v>
      </c>
      <c r="B3648" s="244" t="str">
        <f t="shared" si="56"/>
        <v>Total Hip ReplacementSub-ICB of GP PracticeNHS NORTHAMPTONSHIRE ICB - 78H (78H)Oxford Hip Score</v>
      </c>
      <c r="C3648" t="s">
        <v>974</v>
      </c>
      <c r="D3648" t="s">
        <v>1021</v>
      </c>
      <c r="E3648" t="s">
        <v>905</v>
      </c>
      <c r="F3648" t="s">
        <v>906</v>
      </c>
      <c r="G3648" t="s">
        <v>964</v>
      </c>
      <c r="H3648">
        <v>266</v>
      </c>
      <c r="I3648">
        <v>16.0977</v>
      </c>
      <c r="J3648">
        <v>38.958599999999997</v>
      </c>
      <c r="K3648">
        <v>22.860900000000001</v>
      </c>
      <c r="L3648">
        <v>255</v>
      </c>
      <c r="M3648">
        <v>1</v>
      </c>
      <c r="N3648">
        <v>10</v>
      </c>
      <c r="O3648">
        <v>39.0989</v>
      </c>
      <c r="P3648">
        <v>21.8874</v>
      </c>
      <c r="Q3648">
        <v>8.9830199999999998</v>
      </c>
    </row>
    <row r="3649" spans="1:17" x14ac:dyDescent="0.25">
      <c r="A3649" t="str">
        <f>IF(C3649&amp;G3649&amp;D3649&lt;&gt;'Funnel setup'!$K$3&amp;'Funnel setup'!$K$4&amp;'Funnel setup'!$K$6,".",IF(A3648=".",1,A3648+1))</f>
        <v>.</v>
      </c>
      <c r="B3649" s="244" t="str">
        <f t="shared" si="56"/>
        <v>Total Hip ReplacementSub-ICB of GP PracticeNHS NOTTINGHAM AND NOTTINGHAMSHIRE ICB - 02Q (02Q)Oxford Hip Score</v>
      </c>
      <c r="C3649" t="s">
        <v>974</v>
      </c>
      <c r="D3649" t="s">
        <v>1021</v>
      </c>
      <c r="E3649" t="s">
        <v>907</v>
      </c>
      <c r="F3649" t="s">
        <v>908</v>
      </c>
      <c r="G3649" t="s">
        <v>964</v>
      </c>
      <c r="H3649">
        <v>53</v>
      </c>
      <c r="I3649">
        <v>15.2264</v>
      </c>
      <c r="J3649">
        <v>37.811300000000003</v>
      </c>
      <c r="K3649">
        <v>22.584900000000001</v>
      </c>
      <c r="L3649">
        <v>50</v>
      </c>
      <c r="M3649">
        <v>0</v>
      </c>
      <c r="N3649">
        <v>3</v>
      </c>
      <c r="O3649">
        <v>39.148400000000002</v>
      </c>
      <c r="P3649">
        <v>21.936900000000001</v>
      </c>
      <c r="Q3649">
        <v>7.7507299999999999</v>
      </c>
    </row>
    <row r="3650" spans="1:17" x14ac:dyDescent="0.25">
      <c r="A3650" t="str">
        <f>IF(C3650&amp;G3650&amp;D3650&lt;&gt;'Funnel setup'!$K$3&amp;'Funnel setup'!$K$4&amp;'Funnel setup'!$K$6,".",IF(A3649=".",1,A3649+1))</f>
        <v>.</v>
      </c>
      <c r="B3650" s="244" t="str">
        <f t="shared" ref="B3650:B3713" si="57">C3650&amp;D3650&amp;F3650&amp;G3650</f>
        <v>Total Hip ReplacementSub-ICB of GP PracticeNHS NOTTINGHAM AND NOTTINGHAMSHIRE ICB - 52R (52R)Oxford Hip Score</v>
      </c>
      <c r="C3650" t="s">
        <v>974</v>
      </c>
      <c r="D3650" t="s">
        <v>1021</v>
      </c>
      <c r="E3650" t="s">
        <v>909</v>
      </c>
      <c r="F3650" t="s">
        <v>910</v>
      </c>
      <c r="G3650" t="s">
        <v>964</v>
      </c>
      <c r="H3650">
        <v>149</v>
      </c>
      <c r="I3650">
        <v>15.2819</v>
      </c>
      <c r="J3650">
        <v>39.228200000000001</v>
      </c>
      <c r="K3650">
        <v>23.946300000000001</v>
      </c>
      <c r="L3650">
        <v>147</v>
      </c>
      <c r="M3650">
        <v>0</v>
      </c>
      <c r="N3650">
        <v>2</v>
      </c>
      <c r="O3650">
        <v>39.865900000000003</v>
      </c>
      <c r="P3650">
        <v>22.654499999999999</v>
      </c>
      <c r="Q3650">
        <v>7.8098400000000003</v>
      </c>
    </row>
    <row r="3651" spans="1:17" x14ac:dyDescent="0.25">
      <c r="A3651" t="str">
        <f>IF(C3651&amp;G3651&amp;D3651&lt;&gt;'Funnel setup'!$K$3&amp;'Funnel setup'!$K$4&amp;'Funnel setup'!$K$6,".",IF(A3650=".",1,A3650+1))</f>
        <v>.</v>
      </c>
      <c r="B3651" s="244" t="str">
        <f t="shared" si="57"/>
        <v>Total Hip ReplacementSub-ICB of GP PracticeNHS SHROPSHIRE, TELFORD AND WREKIN ICB - M2L0M (M2L0M)Oxford Hip Score</v>
      </c>
      <c r="C3651" t="s">
        <v>974</v>
      </c>
      <c r="D3651" t="s">
        <v>1021</v>
      </c>
      <c r="E3651" t="s">
        <v>911</v>
      </c>
      <c r="F3651" t="s">
        <v>912</v>
      </c>
      <c r="G3651" t="s">
        <v>964</v>
      </c>
      <c r="H3651">
        <v>277</v>
      </c>
      <c r="I3651">
        <v>13.086600000000001</v>
      </c>
      <c r="J3651">
        <v>40.252699999999997</v>
      </c>
      <c r="K3651">
        <v>27.1661</v>
      </c>
      <c r="L3651">
        <v>276</v>
      </c>
      <c r="M3651">
        <v>0</v>
      </c>
      <c r="N3651">
        <v>1</v>
      </c>
      <c r="O3651">
        <v>41.703800000000001</v>
      </c>
      <c r="P3651">
        <v>24.4923</v>
      </c>
      <c r="Q3651">
        <v>7.8675699999999997</v>
      </c>
    </row>
    <row r="3652" spans="1:17" x14ac:dyDescent="0.25">
      <c r="A3652" t="str">
        <f>IF(C3652&amp;G3652&amp;D3652&lt;&gt;'Funnel setup'!$K$3&amp;'Funnel setup'!$K$4&amp;'Funnel setup'!$K$6,".",IF(A3651=".",1,A3651+1))</f>
        <v>.</v>
      </c>
      <c r="B3652" s="244" t="str">
        <f t="shared" si="57"/>
        <v>Total Hip ReplacementSub-ICB of GP PracticeNHS SOMERSET ICB - 11X (11X)Oxford Hip Score</v>
      </c>
      <c r="C3652" t="s">
        <v>974</v>
      </c>
      <c r="D3652" t="s">
        <v>1021</v>
      </c>
      <c r="E3652" t="s">
        <v>913</v>
      </c>
      <c r="F3652" t="s">
        <v>914</v>
      </c>
      <c r="G3652" t="s">
        <v>964</v>
      </c>
      <c r="H3652">
        <v>259</v>
      </c>
      <c r="I3652">
        <v>18.127400000000002</v>
      </c>
      <c r="J3652">
        <v>41.830100000000002</v>
      </c>
      <c r="K3652">
        <v>23.7027</v>
      </c>
      <c r="L3652">
        <v>256</v>
      </c>
      <c r="M3652">
        <v>0</v>
      </c>
      <c r="N3652">
        <v>3</v>
      </c>
      <c r="O3652">
        <v>40.2057</v>
      </c>
      <c r="P3652">
        <v>22.994299999999999</v>
      </c>
      <c r="Q3652">
        <v>7.2792599999999998</v>
      </c>
    </row>
    <row r="3653" spans="1:17" x14ac:dyDescent="0.25">
      <c r="A3653" t="str">
        <f>IF(C3653&amp;G3653&amp;D3653&lt;&gt;'Funnel setup'!$K$3&amp;'Funnel setup'!$K$4&amp;'Funnel setup'!$K$6,".",IF(A3652=".",1,A3652+1))</f>
        <v>.</v>
      </c>
      <c r="B3653" s="244" t="str">
        <f t="shared" si="57"/>
        <v>Total Hip ReplacementSub-ICB of GP PracticeNHS SOUTH EAST LONDON ICB - 72Q (72Q)Oxford Hip Score</v>
      </c>
      <c r="C3653" t="s">
        <v>974</v>
      </c>
      <c r="D3653" t="s">
        <v>1021</v>
      </c>
      <c r="E3653" t="s">
        <v>915</v>
      </c>
      <c r="F3653" t="s">
        <v>916</v>
      </c>
      <c r="G3653" t="s">
        <v>964</v>
      </c>
      <c r="H3653">
        <v>146</v>
      </c>
      <c r="I3653">
        <v>18.4315</v>
      </c>
      <c r="J3653">
        <v>39.184899999999999</v>
      </c>
      <c r="K3653">
        <v>20.753399999999999</v>
      </c>
      <c r="L3653">
        <v>141</v>
      </c>
      <c r="M3653">
        <v>1</v>
      </c>
      <c r="N3653">
        <v>4</v>
      </c>
      <c r="O3653">
        <v>38.283900000000003</v>
      </c>
      <c r="P3653">
        <v>21.072500000000002</v>
      </c>
      <c r="Q3653">
        <v>8.8574900000000003</v>
      </c>
    </row>
    <row r="3654" spans="1:17" x14ac:dyDescent="0.25">
      <c r="A3654" t="str">
        <f>IF(C3654&amp;G3654&amp;D3654&lt;&gt;'Funnel setup'!$K$3&amp;'Funnel setup'!$K$4&amp;'Funnel setup'!$K$6,".",IF(A3653=".",1,A3653+1))</f>
        <v>.</v>
      </c>
      <c r="B3654" s="244" t="str">
        <f t="shared" si="57"/>
        <v>Total Hip ReplacementSub-ICB of GP PracticeNHS SOUTH WEST LONDON ICB - 36L (36L)Oxford Hip Score</v>
      </c>
      <c r="C3654" t="s">
        <v>974</v>
      </c>
      <c r="D3654" t="s">
        <v>1021</v>
      </c>
      <c r="E3654" t="s">
        <v>917</v>
      </c>
      <c r="F3654" t="s">
        <v>918</v>
      </c>
      <c r="G3654" t="s">
        <v>964</v>
      </c>
      <c r="H3654">
        <v>403</v>
      </c>
      <c r="I3654">
        <v>18.630299999999998</v>
      </c>
      <c r="J3654">
        <v>39.667499999999997</v>
      </c>
      <c r="K3654">
        <v>21.037199999999999</v>
      </c>
      <c r="L3654">
        <v>394</v>
      </c>
      <c r="M3654">
        <v>1</v>
      </c>
      <c r="N3654">
        <v>8</v>
      </c>
      <c r="O3654">
        <v>39.460299999999997</v>
      </c>
      <c r="P3654">
        <v>22.248799999999999</v>
      </c>
      <c r="Q3654">
        <v>8.0034100000000006</v>
      </c>
    </row>
    <row r="3655" spans="1:17" x14ac:dyDescent="0.25">
      <c r="A3655" t="str">
        <f>IF(C3655&amp;G3655&amp;D3655&lt;&gt;'Funnel setup'!$K$3&amp;'Funnel setup'!$K$4&amp;'Funnel setup'!$K$6,".",IF(A3654=".",1,A3654+1))</f>
        <v>.</v>
      </c>
      <c r="B3655" s="244" t="str">
        <f t="shared" si="57"/>
        <v>Total Hip ReplacementSub-ICB of GP PracticeNHS SOUTH YORKSHIRE ICB - 02P (02P)Oxford Hip Score</v>
      </c>
      <c r="C3655" t="s">
        <v>974</v>
      </c>
      <c r="D3655" t="s">
        <v>1021</v>
      </c>
      <c r="E3655" t="s">
        <v>919</v>
      </c>
      <c r="F3655" t="s">
        <v>920</v>
      </c>
      <c r="G3655" t="s">
        <v>964</v>
      </c>
      <c r="H3655">
        <v>46</v>
      </c>
      <c r="I3655">
        <v>13.434799999999999</v>
      </c>
      <c r="J3655">
        <v>36.434800000000003</v>
      </c>
      <c r="K3655">
        <v>23</v>
      </c>
      <c r="L3655">
        <v>44</v>
      </c>
      <c r="M3655">
        <v>0</v>
      </c>
      <c r="N3655">
        <v>2</v>
      </c>
      <c r="O3655">
        <v>39.450899999999997</v>
      </c>
      <c r="P3655">
        <v>22.2395</v>
      </c>
      <c r="Q3655">
        <v>9.0214200000000009</v>
      </c>
    </row>
    <row r="3656" spans="1:17" x14ac:dyDescent="0.25">
      <c r="A3656" t="str">
        <f>IF(C3656&amp;G3656&amp;D3656&lt;&gt;'Funnel setup'!$K$3&amp;'Funnel setup'!$K$4&amp;'Funnel setup'!$K$6,".",IF(A3655=".",1,A3655+1))</f>
        <v>.</v>
      </c>
      <c r="B3656" s="244" t="str">
        <f t="shared" si="57"/>
        <v>Total Hip ReplacementSub-ICB of GP PracticeNHS SOUTH YORKSHIRE ICB - 02X (02X)Oxford Hip Score</v>
      </c>
      <c r="C3656" t="s">
        <v>974</v>
      </c>
      <c r="D3656" t="s">
        <v>1021</v>
      </c>
      <c r="E3656" t="s">
        <v>921</v>
      </c>
      <c r="F3656" t="s">
        <v>922</v>
      </c>
      <c r="G3656" t="s">
        <v>964</v>
      </c>
      <c r="H3656">
        <v>91</v>
      </c>
      <c r="I3656">
        <v>15.3626</v>
      </c>
      <c r="J3656">
        <v>36.988999999999997</v>
      </c>
      <c r="K3656">
        <v>21.6264</v>
      </c>
      <c r="L3656">
        <v>83</v>
      </c>
      <c r="M3656">
        <v>0</v>
      </c>
      <c r="N3656">
        <v>8</v>
      </c>
      <c r="O3656">
        <v>37.543300000000002</v>
      </c>
      <c r="P3656">
        <v>20.331900000000001</v>
      </c>
      <c r="Q3656">
        <v>10.8742</v>
      </c>
    </row>
    <row r="3657" spans="1:17" x14ac:dyDescent="0.25">
      <c r="A3657" t="str">
        <f>IF(C3657&amp;G3657&amp;D3657&lt;&gt;'Funnel setup'!$K$3&amp;'Funnel setup'!$K$4&amp;'Funnel setup'!$K$6,".",IF(A3656=".",1,A3656+1))</f>
        <v>.</v>
      </c>
      <c r="B3657" s="244" t="str">
        <f t="shared" si="57"/>
        <v>Total Hip ReplacementSub-ICB of GP PracticeNHS SOUTH YORKSHIRE ICB - 03L (03L)Oxford Hip Score</v>
      </c>
      <c r="C3657" t="s">
        <v>974</v>
      </c>
      <c r="D3657" t="s">
        <v>1021</v>
      </c>
      <c r="E3657" t="s">
        <v>923</v>
      </c>
      <c r="F3657" t="s">
        <v>924</v>
      </c>
      <c r="G3657" t="s">
        <v>964</v>
      </c>
      <c r="H3657">
        <v>40</v>
      </c>
      <c r="I3657">
        <v>16.3</v>
      </c>
      <c r="J3657">
        <v>37.950000000000003</v>
      </c>
      <c r="K3657">
        <v>21.65</v>
      </c>
      <c r="L3657">
        <v>40</v>
      </c>
      <c r="M3657">
        <v>0</v>
      </c>
      <c r="N3657">
        <v>0</v>
      </c>
      <c r="O3657">
        <v>38.831499999999998</v>
      </c>
      <c r="P3657">
        <v>21.620100000000001</v>
      </c>
      <c r="Q3657">
        <v>9.8761100000000006</v>
      </c>
    </row>
    <row r="3658" spans="1:17" x14ac:dyDescent="0.25">
      <c r="A3658" t="str">
        <f>IF(C3658&amp;G3658&amp;D3658&lt;&gt;'Funnel setup'!$K$3&amp;'Funnel setup'!$K$4&amp;'Funnel setup'!$K$6,".",IF(A3657=".",1,A3657+1))</f>
        <v>.</v>
      </c>
      <c r="B3658" s="244" t="str">
        <f t="shared" si="57"/>
        <v>Total Hip ReplacementSub-ICB of GP PracticeNHS SOUTH YORKSHIRE ICB - 03N (03N)Oxford Hip Score</v>
      </c>
      <c r="C3658" t="s">
        <v>974</v>
      </c>
      <c r="D3658" t="s">
        <v>1021</v>
      </c>
      <c r="E3658" t="s">
        <v>925</v>
      </c>
      <c r="F3658" t="s">
        <v>926</v>
      </c>
      <c r="G3658" t="s">
        <v>964</v>
      </c>
      <c r="H3658">
        <v>35</v>
      </c>
      <c r="I3658">
        <v>18.457100000000001</v>
      </c>
      <c r="J3658">
        <v>41.1143</v>
      </c>
      <c r="K3658">
        <v>22.6571</v>
      </c>
      <c r="L3658">
        <v>34</v>
      </c>
      <c r="M3658">
        <v>0</v>
      </c>
      <c r="N3658">
        <v>1</v>
      </c>
      <c r="O3658">
        <v>40.1556</v>
      </c>
      <c r="P3658">
        <v>22.944199999999999</v>
      </c>
      <c r="Q3658">
        <v>8.1837999999999997</v>
      </c>
    </row>
    <row r="3659" spans="1:17" x14ac:dyDescent="0.25">
      <c r="A3659" t="str">
        <f>IF(C3659&amp;G3659&amp;D3659&lt;&gt;'Funnel setup'!$K$3&amp;'Funnel setup'!$K$4&amp;'Funnel setup'!$K$6,".",IF(A3658=".",1,A3658+1))</f>
        <v>.</v>
      </c>
      <c r="B3659" s="244" t="str">
        <f t="shared" si="57"/>
        <v>Total Hip ReplacementSub-ICB of GP PracticeNHS STAFFORDSHIRE AND STOKE-ON-TRENT ICB - 04Y (04Y)Oxford Hip Score</v>
      </c>
      <c r="C3659" t="s">
        <v>974</v>
      </c>
      <c r="D3659" t="s">
        <v>1021</v>
      </c>
      <c r="E3659" t="s">
        <v>927</v>
      </c>
      <c r="F3659" t="s">
        <v>928</v>
      </c>
      <c r="G3659" t="s">
        <v>964</v>
      </c>
      <c r="H3659">
        <v>34</v>
      </c>
      <c r="I3659">
        <v>18.235299999999999</v>
      </c>
      <c r="J3659">
        <v>41.617600000000003</v>
      </c>
      <c r="K3659">
        <v>23.382400000000001</v>
      </c>
      <c r="L3659">
        <v>34</v>
      </c>
      <c r="M3659">
        <v>0</v>
      </c>
      <c r="N3659">
        <v>0</v>
      </c>
      <c r="O3659">
        <v>41.0107</v>
      </c>
      <c r="P3659">
        <v>23.799299999999999</v>
      </c>
      <c r="Q3659">
        <v>6.3585900000000004</v>
      </c>
    </row>
    <row r="3660" spans="1:17" x14ac:dyDescent="0.25">
      <c r="A3660" t="str">
        <f>IF(C3660&amp;G3660&amp;D3660&lt;&gt;'Funnel setup'!$K$3&amp;'Funnel setup'!$K$4&amp;'Funnel setup'!$K$6,".",IF(A3659=".",1,A3659+1))</f>
        <v>.</v>
      </c>
      <c r="B3660" s="244" t="str">
        <f t="shared" si="57"/>
        <v>Total Hip ReplacementSub-ICB of GP PracticeNHS STAFFORDSHIRE AND STOKE-ON-TRENT ICB - 05D (05D)Oxford Hip Score</v>
      </c>
      <c r="C3660" t="s">
        <v>974</v>
      </c>
      <c r="D3660" t="s">
        <v>1021</v>
      </c>
      <c r="E3660" t="s">
        <v>929</v>
      </c>
      <c r="F3660" t="s">
        <v>930</v>
      </c>
      <c r="G3660" t="s">
        <v>964</v>
      </c>
      <c r="H3660">
        <v>54</v>
      </c>
      <c r="I3660">
        <v>18.2364</v>
      </c>
      <c r="J3660">
        <v>39.436399999999999</v>
      </c>
      <c r="K3660">
        <v>21.2</v>
      </c>
      <c r="L3660">
        <v>53</v>
      </c>
      <c r="M3660">
        <v>0</v>
      </c>
      <c r="N3660">
        <v>1</v>
      </c>
      <c r="O3660">
        <v>39.874000000000002</v>
      </c>
      <c r="P3660">
        <v>22.662500000000001</v>
      </c>
      <c r="Q3660">
        <v>7.4219900000000001</v>
      </c>
    </row>
    <row r="3661" spans="1:17" x14ac:dyDescent="0.25">
      <c r="A3661" t="str">
        <f>IF(C3661&amp;G3661&amp;D3661&lt;&gt;'Funnel setup'!$K$3&amp;'Funnel setup'!$K$4&amp;'Funnel setup'!$K$6,".",IF(A3660=".",1,A3660+1))</f>
        <v>.</v>
      </c>
      <c r="B3661" s="244" t="str">
        <f t="shared" si="57"/>
        <v>Total Hip ReplacementSub-ICB of GP PracticeNHS STAFFORDSHIRE AND STOKE-ON-TRENT ICB - 05G (05G)Oxford Hip Score</v>
      </c>
      <c r="C3661" t="s">
        <v>974</v>
      </c>
      <c r="D3661" t="s">
        <v>1021</v>
      </c>
      <c r="E3661" t="s">
        <v>931</v>
      </c>
      <c r="F3661" t="s">
        <v>932</v>
      </c>
      <c r="G3661" t="s">
        <v>964</v>
      </c>
      <c r="H3661">
        <v>45</v>
      </c>
      <c r="I3661">
        <v>15.5778</v>
      </c>
      <c r="J3661">
        <v>37.933300000000003</v>
      </c>
      <c r="K3661">
        <v>22.355599999999999</v>
      </c>
      <c r="L3661">
        <v>43</v>
      </c>
      <c r="M3661">
        <v>0</v>
      </c>
      <c r="N3661">
        <v>2</v>
      </c>
      <c r="O3661">
        <v>37.584299999999999</v>
      </c>
      <c r="P3661">
        <v>20.372800000000002</v>
      </c>
      <c r="Q3661">
        <v>9.8380100000000006</v>
      </c>
    </row>
    <row r="3662" spans="1:17" x14ac:dyDescent="0.25">
      <c r="A3662" t="str">
        <f>IF(C3662&amp;G3662&amp;D3662&lt;&gt;'Funnel setup'!$K$3&amp;'Funnel setup'!$K$4&amp;'Funnel setup'!$K$6,".",IF(A3661=".",1,A3661+1))</f>
        <v>.</v>
      </c>
      <c r="B3662" s="244" t="str">
        <f t="shared" si="57"/>
        <v>Total Hip ReplacementSub-ICB of GP PracticeNHS STAFFORDSHIRE AND STOKE-ON-TRENT ICB - 05Q (05Q)Oxford Hip Score</v>
      </c>
      <c r="C3662" t="s">
        <v>974</v>
      </c>
      <c r="D3662" t="s">
        <v>1021</v>
      </c>
      <c r="E3662" t="s">
        <v>933</v>
      </c>
      <c r="F3662" t="s">
        <v>934</v>
      </c>
      <c r="G3662" t="s">
        <v>964</v>
      </c>
      <c r="H3662">
        <v>75</v>
      </c>
      <c r="I3662">
        <v>19.013300000000001</v>
      </c>
      <c r="J3662">
        <v>38.200000000000003</v>
      </c>
      <c r="K3662">
        <v>19.186699999999998</v>
      </c>
      <c r="L3662">
        <v>69</v>
      </c>
      <c r="M3662">
        <v>1</v>
      </c>
      <c r="N3662">
        <v>5</v>
      </c>
      <c r="O3662">
        <v>37.805799999999998</v>
      </c>
      <c r="P3662">
        <v>20.5944</v>
      </c>
      <c r="Q3662">
        <v>8.9917800000000003</v>
      </c>
    </row>
    <row r="3663" spans="1:17" x14ac:dyDescent="0.25">
      <c r="A3663" t="str">
        <f>IF(C3663&amp;G3663&amp;D3663&lt;&gt;'Funnel setup'!$K$3&amp;'Funnel setup'!$K$4&amp;'Funnel setup'!$K$6,".",IF(A3662=".",1,A3662+1))</f>
        <v>.</v>
      </c>
      <c r="B3663" s="244" t="str">
        <f t="shared" si="57"/>
        <v>Total Hip ReplacementSub-ICB of GP PracticeNHS STAFFORDSHIRE AND STOKE-ON-TRENT ICB - 05V (05V)Oxford Hip Score</v>
      </c>
      <c r="C3663" t="s">
        <v>974</v>
      </c>
      <c r="D3663" t="s">
        <v>1021</v>
      </c>
      <c r="E3663" t="s">
        <v>935</v>
      </c>
      <c r="F3663" t="s">
        <v>936</v>
      </c>
      <c r="G3663" t="s">
        <v>964</v>
      </c>
      <c r="H3663">
        <v>62</v>
      </c>
      <c r="I3663">
        <v>19.596800000000002</v>
      </c>
      <c r="J3663">
        <v>42.709699999999998</v>
      </c>
      <c r="K3663">
        <v>23.1129</v>
      </c>
      <c r="L3663">
        <v>62</v>
      </c>
      <c r="M3663">
        <v>0</v>
      </c>
      <c r="N3663">
        <v>0</v>
      </c>
      <c r="O3663">
        <v>40.904400000000003</v>
      </c>
      <c r="P3663">
        <v>23.693000000000001</v>
      </c>
      <c r="Q3663">
        <v>6.0838400000000004</v>
      </c>
    </row>
    <row r="3664" spans="1:17" x14ac:dyDescent="0.25">
      <c r="A3664" t="str">
        <f>IF(C3664&amp;G3664&amp;D3664&lt;&gt;'Funnel setup'!$K$3&amp;'Funnel setup'!$K$4&amp;'Funnel setup'!$K$6,".",IF(A3663=".",1,A3663+1))</f>
        <v>.</v>
      </c>
      <c r="B3664" s="244" t="str">
        <f t="shared" si="57"/>
        <v>Total Hip ReplacementSub-ICB of GP PracticeNHS STAFFORDSHIRE AND STOKE-ON-TRENT ICB - 05W (05W)Oxford Hip Score</v>
      </c>
      <c r="C3664" t="s">
        <v>974</v>
      </c>
      <c r="D3664" t="s">
        <v>1021</v>
      </c>
      <c r="E3664" t="s">
        <v>937</v>
      </c>
      <c r="F3664" t="s">
        <v>938</v>
      </c>
      <c r="G3664" t="s">
        <v>964</v>
      </c>
      <c r="H3664">
        <v>36</v>
      </c>
      <c r="I3664">
        <v>15.222200000000001</v>
      </c>
      <c r="J3664">
        <v>40.277799999999999</v>
      </c>
      <c r="K3664">
        <v>25.055599999999998</v>
      </c>
      <c r="L3664">
        <v>36</v>
      </c>
      <c r="M3664">
        <v>0</v>
      </c>
      <c r="N3664">
        <v>0</v>
      </c>
      <c r="O3664">
        <v>40.869799999999998</v>
      </c>
      <c r="P3664">
        <v>23.6584</v>
      </c>
      <c r="Q3664">
        <v>6.383</v>
      </c>
    </row>
    <row r="3665" spans="1:17" x14ac:dyDescent="0.25">
      <c r="A3665" t="str">
        <f>IF(C3665&amp;G3665&amp;D3665&lt;&gt;'Funnel setup'!$K$3&amp;'Funnel setup'!$K$4&amp;'Funnel setup'!$K$6,".",IF(A3664=".",1,A3664+1))</f>
        <v>.</v>
      </c>
      <c r="B3665" s="244" t="str">
        <f t="shared" si="57"/>
        <v>Total Hip ReplacementSub-ICB of GP PracticeNHS SUFFOLK AND NORTH EAST ESSEX ICB - 06L (06L)Oxford Hip Score</v>
      </c>
      <c r="C3665" t="s">
        <v>974</v>
      </c>
      <c r="D3665" t="s">
        <v>1021</v>
      </c>
      <c r="E3665" t="s">
        <v>939</v>
      </c>
      <c r="F3665" t="s">
        <v>940</v>
      </c>
      <c r="G3665" t="s">
        <v>964</v>
      </c>
      <c r="H3665">
        <v>152</v>
      </c>
      <c r="I3665">
        <v>14.703900000000001</v>
      </c>
      <c r="J3665">
        <v>39.3947</v>
      </c>
      <c r="K3665">
        <v>24.690799999999999</v>
      </c>
      <c r="L3665">
        <v>151</v>
      </c>
      <c r="M3665">
        <v>0</v>
      </c>
      <c r="N3665">
        <v>1</v>
      </c>
      <c r="O3665">
        <v>40.630699999999997</v>
      </c>
      <c r="P3665">
        <v>23.4193</v>
      </c>
      <c r="Q3665">
        <v>7.8176399999999999</v>
      </c>
    </row>
    <row r="3666" spans="1:17" x14ac:dyDescent="0.25">
      <c r="A3666" t="str">
        <f>IF(C3666&amp;G3666&amp;D3666&lt;&gt;'Funnel setup'!$K$3&amp;'Funnel setup'!$K$4&amp;'Funnel setup'!$K$6,".",IF(A3665=".",1,A3665+1))</f>
        <v>.</v>
      </c>
      <c r="B3666" s="244" t="str">
        <f t="shared" si="57"/>
        <v>Total Hip ReplacementSub-ICB of GP PracticeNHS SUFFOLK AND NORTH EAST ESSEX ICB - 06T (06T)Oxford Hip Score</v>
      </c>
      <c r="C3666" t="s">
        <v>974</v>
      </c>
      <c r="D3666" t="s">
        <v>1021</v>
      </c>
      <c r="E3666" t="s">
        <v>941</v>
      </c>
      <c r="F3666" t="s">
        <v>942</v>
      </c>
      <c r="G3666" t="s">
        <v>964</v>
      </c>
      <c r="H3666">
        <v>36</v>
      </c>
      <c r="I3666">
        <v>17.416699999999999</v>
      </c>
      <c r="J3666">
        <v>39.333300000000001</v>
      </c>
      <c r="K3666">
        <v>21.916699999999999</v>
      </c>
      <c r="L3666">
        <v>35</v>
      </c>
      <c r="M3666">
        <v>0</v>
      </c>
      <c r="N3666">
        <v>1</v>
      </c>
      <c r="O3666">
        <v>39.387099999999997</v>
      </c>
      <c r="P3666">
        <v>22.175599999999999</v>
      </c>
      <c r="Q3666">
        <v>6.9161400000000004</v>
      </c>
    </row>
    <row r="3667" spans="1:17" x14ac:dyDescent="0.25">
      <c r="A3667" t="str">
        <f>IF(C3667&amp;G3667&amp;D3667&lt;&gt;'Funnel setup'!$K$3&amp;'Funnel setup'!$K$4&amp;'Funnel setup'!$K$6,".",IF(A3666=".",1,A3666+1))</f>
        <v>.</v>
      </c>
      <c r="B3667" s="244" t="str">
        <f t="shared" si="57"/>
        <v>Total Hip ReplacementSub-ICB of GP PracticeNHS SUFFOLK AND NORTH EAST ESSEX ICB - 07K (07K)Oxford Hip Score</v>
      </c>
      <c r="C3667" t="s">
        <v>974</v>
      </c>
      <c r="D3667" t="s">
        <v>1021</v>
      </c>
      <c r="E3667" t="s">
        <v>943</v>
      </c>
      <c r="F3667" t="s">
        <v>944</v>
      </c>
      <c r="G3667" t="s">
        <v>964</v>
      </c>
      <c r="H3667">
        <v>134</v>
      </c>
      <c r="I3667">
        <v>14.7463</v>
      </c>
      <c r="J3667">
        <v>37.7761</v>
      </c>
      <c r="K3667">
        <v>23.029900000000001</v>
      </c>
      <c r="L3667">
        <v>129</v>
      </c>
      <c r="M3667">
        <v>1</v>
      </c>
      <c r="N3667">
        <v>4</v>
      </c>
      <c r="O3667">
        <v>38.7316</v>
      </c>
      <c r="P3667">
        <v>21.520199999999999</v>
      </c>
      <c r="Q3667">
        <v>9.2869899999999994</v>
      </c>
    </row>
    <row r="3668" spans="1:17" x14ac:dyDescent="0.25">
      <c r="A3668" t="str">
        <f>IF(C3668&amp;G3668&amp;D3668&lt;&gt;'Funnel setup'!$K$3&amp;'Funnel setup'!$K$4&amp;'Funnel setup'!$K$6,".",IF(A3667=".",1,A3667+1))</f>
        <v>.</v>
      </c>
      <c r="B3668" s="244" t="str">
        <f t="shared" si="57"/>
        <v>Total Hip ReplacementSub-ICB of GP PracticeNHS SURREY HEARTLANDS ICB - 92A (92A)Oxford Hip Score</v>
      </c>
      <c r="C3668" t="s">
        <v>974</v>
      </c>
      <c r="D3668" t="s">
        <v>1021</v>
      </c>
      <c r="E3668" t="s">
        <v>945</v>
      </c>
      <c r="F3668" t="s">
        <v>946</v>
      </c>
      <c r="G3668" t="s">
        <v>964</v>
      </c>
      <c r="H3668">
        <v>416</v>
      </c>
      <c r="I3668">
        <v>20.192299999999999</v>
      </c>
      <c r="J3668">
        <v>41.846200000000003</v>
      </c>
      <c r="K3668">
        <v>21.6538</v>
      </c>
      <c r="L3668">
        <v>402</v>
      </c>
      <c r="M3668">
        <v>4</v>
      </c>
      <c r="N3668">
        <v>10</v>
      </c>
      <c r="O3668">
        <v>40.298900000000003</v>
      </c>
      <c r="P3668">
        <v>23.087399999999999</v>
      </c>
      <c r="Q3668">
        <v>6.7982899999999997</v>
      </c>
    </row>
    <row r="3669" spans="1:17" x14ac:dyDescent="0.25">
      <c r="A3669" t="str">
        <f>IF(C3669&amp;G3669&amp;D3669&lt;&gt;'Funnel setup'!$K$3&amp;'Funnel setup'!$K$4&amp;'Funnel setup'!$K$6,".",IF(A3668=".",1,A3668+1))</f>
        <v>.</v>
      </c>
      <c r="B3669" s="244" t="str">
        <f t="shared" si="57"/>
        <v>Total Hip ReplacementSub-ICB of GP PracticeNHS SUSSEX ICB - 09D (09D)Oxford Hip Score</v>
      </c>
      <c r="C3669" t="s">
        <v>974</v>
      </c>
      <c r="D3669" t="s">
        <v>1021</v>
      </c>
      <c r="E3669" t="s">
        <v>947</v>
      </c>
      <c r="F3669" t="s">
        <v>948</v>
      </c>
      <c r="G3669" t="s">
        <v>964</v>
      </c>
      <c r="H3669">
        <v>13</v>
      </c>
      <c r="I3669">
        <v>21.076899999999998</v>
      </c>
      <c r="J3669">
        <v>38</v>
      </c>
      <c r="K3669">
        <v>16.923100000000002</v>
      </c>
      <c r="L3669">
        <v>13</v>
      </c>
      <c r="M3669">
        <v>0</v>
      </c>
      <c r="N3669">
        <v>0</v>
      </c>
      <c r="O3669" t="s">
        <v>127</v>
      </c>
      <c r="P3669" t="s">
        <v>127</v>
      </c>
      <c r="Q3669" t="s">
        <v>127</v>
      </c>
    </row>
    <row r="3670" spans="1:17" x14ac:dyDescent="0.25">
      <c r="A3670" t="str">
        <f>IF(C3670&amp;G3670&amp;D3670&lt;&gt;'Funnel setup'!$K$3&amp;'Funnel setup'!$K$4&amp;'Funnel setup'!$K$6,".",IF(A3669=".",1,A3669+1))</f>
        <v>.</v>
      </c>
      <c r="B3670" s="244" t="str">
        <f t="shared" si="57"/>
        <v>Total Hip ReplacementSub-ICB of GP PracticeNHS SUSSEX ICB - 70F (70F)Oxford Hip Score</v>
      </c>
      <c r="C3670" t="s">
        <v>974</v>
      </c>
      <c r="D3670" t="s">
        <v>1021</v>
      </c>
      <c r="E3670" t="s">
        <v>949</v>
      </c>
      <c r="F3670" t="s">
        <v>950</v>
      </c>
      <c r="G3670" t="s">
        <v>964</v>
      </c>
      <c r="H3670">
        <v>287</v>
      </c>
      <c r="I3670">
        <v>17.059200000000001</v>
      </c>
      <c r="J3670">
        <v>38.066200000000002</v>
      </c>
      <c r="K3670">
        <v>21.007000000000001</v>
      </c>
      <c r="L3670">
        <v>272</v>
      </c>
      <c r="M3670">
        <v>2</v>
      </c>
      <c r="N3670">
        <v>13</v>
      </c>
      <c r="O3670">
        <v>37.994599999999998</v>
      </c>
      <c r="P3670">
        <v>20.783200000000001</v>
      </c>
      <c r="Q3670">
        <v>9.6064100000000003</v>
      </c>
    </row>
    <row r="3671" spans="1:17" x14ac:dyDescent="0.25">
      <c r="A3671" t="str">
        <f>IF(C3671&amp;G3671&amp;D3671&lt;&gt;'Funnel setup'!$K$3&amp;'Funnel setup'!$K$4&amp;'Funnel setup'!$K$6,".",IF(A3670=".",1,A3670+1))</f>
        <v>.</v>
      </c>
      <c r="B3671" s="244" t="str">
        <f t="shared" si="57"/>
        <v>Total Hip ReplacementSub-ICB of GP PracticeNHS SUSSEX ICB - 97R (97R)Oxford Hip Score</v>
      </c>
      <c r="C3671" t="s">
        <v>974</v>
      </c>
      <c r="D3671" t="s">
        <v>1021</v>
      </c>
      <c r="E3671" t="s">
        <v>951</v>
      </c>
      <c r="F3671" t="s">
        <v>952</v>
      </c>
      <c r="G3671" t="s">
        <v>964</v>
      </c>
      <c r="H3671">
        <v>308</v>
      </c>
      <c r="I3671">
        <v>19.483799999999999</v>
      </c>
      <c r="J3671">
        <v>41.558399999999999</v>
      </c>
      <c r="K3671">
        <v>22.0747</v>
      </c>
      <c r="L3671">
        <v>293</v>
      </c>
      <c r="M3671">
        <v>3</v>
      </c>
      <c r="N3671">
        <v>12</v>
      </c>
      <c r="O3671">
        <v>40.636699999999998</v>
      </c>
      <c r="P3671">
        <v>23.4252</v>
      </c>
      <c r="Q3671">
        <v>8.0121699999999993</v>
      </c>
    </row>
    <row r="3672" spans="1:17" x14ac:dyDescent="0.25">
      <c r="A3672" t="str">
        <f>IF(C3672&amp;G3672&amp;D3672&lt;&gt;'Funnel setup'!$K$3&amp;'Funnel setup'!$K$4&amp;'Funnel setup'!$K$6,".",IF(A3671=".",1,A3671+1))</f>
        <v>.</v>
      </c>
      <c r="B3672" s="244" t="str">
        <f t="shared" si="57"/>
        <v>Total Hip ReplacementSub-ICB of GP PracticeNHS WEST YORKSHIRE ICB - 02T (02T)Oxford Hip Score</v>
      </c>
      <c r="C3672" t="s">
        <v>974</v>
      </c>
      <c r="D3672" t="s">
        <v>1021</v>
      </c>
      <c r="E3672" t="s">
        <v>953</v>
      </c>
      <c r="F3672" t="s">
        <v>954</v>
      </c>
      <c r="G3672" t="s">
        <v>964</v>
      </c>
      <c r="H3672">
        <v>64</v>
      </c>
      <c r="I3672">
        <v>18.265599999999999</v>
      </c>
      <c r="J3672">
        <v>40.3125</v>
      </c>
      <c r="K3672">
        <v>22.046900000000001</v>
      </c>
      <c r="L3672">
        <v>63</v>
      </c>
      <c r="M3672">
        <v>1</v>
      </c>
      <c r="N3672">
        <v>0</v>
      </c>
      <c r="O3672">
        <v>40.454000000000001</v>
      </c>
      <c r="P3672">
        <v>23.2425</v>
      </c>
      <c r="Q3672">
        <v>7.73325</v>
      </c>
    </row>
    <row r="3673" spans="1:17" x14ac:dyDescent="0.25">
      <c r="A3673" t="str">
        <f>IF(C3673&amp;G3673&amp;D3673&lt;&gt;'Funnel setup'!$K$3&amp;'Funnel setup'!$K$4&amp;'Funnel setup'!$K$6,".",IF(A3672=".",1,A3672+1))</f>
        <v>.</v>
      </c>
      <c r="B3673" s="244" t="str">
        <f t="shared" si="57"/>
        <v>Total Hip ReplacementSub-ICB of GP PracticeNHS WEST YORKSHIRE ICB - 03R (03R)Oxford Hip Score</v>
      </c>
      <c r="C3673" t="s">
        <v>974</v>
      </c>
      <c r="D3673" t="s">
        <v>1021</v>
      </c>
      <c r="E3673" t="s">
        <v>955</v>
      </c>
      <c r="F3673" t="s">
        <v>956</v>
      </c>
      <c r="G3673" t="s">
        <v>964</v>
      </c>
      <c r="H3673">
        <v>176</v>
      </c>
      <c r="I3673">
        <v>16.420500000000001</v>
      </c>
      <c r="J3673">
        <v>38.9602</v>
      </c>
      <c r="K3673">
        <v>22.5398</v>
      </c>
      <c r="L3673">
        <v>174</v>
      </c>
      <c r="M3673">
        <v>0</v>
      </c>
      <c r="N3673">
        <v>2</v>
      </c>
      <c r="O3673">
        <v>39.610199999999999</v>
      </c>
      <c r="P3673">
        <v>22.398800000000001</v>
      </c>
      <c r="Q3673">
        <v>8.6040299999999998</v>
      </c>
    </row>
    <row r="3674" spans="1:17" x14ac:dyDescent="0.25">
      <c r="A3674" t="str">
        <f>IF(C3674&amp;G3674&amp;D3674&lt;&gt;'Funnel setup'!$K$3&amp;'Funnel setup'!$K$4&amp;'Funnel setup'!$K$6,".",IF(A3673=".",1,A3673+1))</f>
        <v>.</v>
      </c>
      <c r="B3674" s="244" t="str">
        <f t="shared" si="57"/>
        <v>Total Hip ReplacementSub-ICB of GP PracticeNHS WEST YORKSHIRE ICB - 15F (15F)Oxford Hip Score</v>
      </c>
      <c r="C3674" t="s">
        <v>974</v>
      </c>
      <c r="D3674" t="s">
        <v>1021</v>
      </c>
      <c r="E3674" t="s">
        <v>957</v>
      </c>
      <c r="F3674" t="s">
        <v>958</v>
      </c>
      <c r="G3674" t="s">
        <v>964</v>
      </c>
      <c r="H3674">
        <v>251</v>
      </c>
      <c r="I3674">
        <v>18.0837</v>
      </c>
      <c r="J3674">
        <v>39.171300000000002</v>
      </c>
      <c r="K3674">
        <v>21.087599999999998</v>
      </c>
      <c r="L3674">
        <v>236</v>
      </c>
      <c r="M3674">
        <v>1</v>
      </c>
      <c r="N3674">
        <v>14</v>
      </c>
      <c r="O3674">
        <v>39.112400000000001</v>
      </c>
      <c r="P3674">
        <v>21.9009</v>
      </c>
      <c r="Q3674">
        <v>8.4693000000000005</v>
      </c>
    </row>
    <row r="3675" spans="1:17" x14ac:dyDescent="0.25">
      <c r="A3675" t="str">
        <f>IF(C3675&amp;G3675&amp;D3675&lt;&gt;'Funnel setup'!$K$3&amp;'Funnel setup'!$K$4&amp;'Funnel setup'!$K$6,".",IF(A3674=".",1,A3674+1))</f>
        <v>.</v>
      </c>
      <c r="B3675" s="244" t="str">
        <f t="shared" si="57"/>
        <v>Total Hip ReplacementSub-ICB of GP PracticeNHS WEST YORKSHIRE ICB - 36J (36J)Oxford Hip Score</v>
      </c>
      <c r="C3675" t="s">
        <v>974</v>
      </c>
      <c r="D3675" t="s">
        <v>1021</v>
      </c>
      <c r="E3675" t="s">
        <v>959</v>
      </c>
      <c r="F3675" t="s">
        <v>960</v>
      </c>
      <c r="G3675" t="s">
        <v>964</v>
      </c>
      <c r="H3675">
        <v>93</v>
      </c>
      <c r="I3675">
        <v>21.827999999999999</v>
      </c>
      <c r="J3675">
        <v>33.4086</v>
      </c>
      <c r="K3675">
        <v>11.5806</v>
      </c>
      <c r="L3675">
        <v>73</v>
      </c>
      <c r="M3675">
        <v>7</v>
      </c>
      <c r="N3675">
        <v>13</v>
      </c>
      <c r="O3675">
        <v>32.392000000000003</v>
      </c>
      <c r="P3675">
        <v>15.1806</v>
      </c>
      <c r="Q3675">
        <v>10.581799999999999</v>
      </c>
    </row>
    <row r="3676" spans="1:17" x14ac:dyDescent="0.25">
      <c r="A3676" t="str">
        <f>IF(C3676&amp;G3676&amp;D3676&lt;&gt;'Funnel setup'!$K$3&amp;'Funnel setup'!$K$4&amp;'Funnel setup'!$K$6,".",IF(A3675=".",1,A3675+1))</f>
        <v>.</v>
      </c>
      <c r="B3676" s="244" t="str">
        <f t="shared" si="57"/>
        <v>Total Hip ReplacementSub-ICB of GP PracticeNHS WEST YORKSHIRE ICB - X2C4Y (X2C4Y)Oxford Hip Score</v>
      </c>
      <c r="C3676" t="s">
        <v>974</v>
      </c>
      <c r="D3676" t="s">
        <v>1021</v>
      </c>
      <c r="E3676" t="s">
        <v>961</v>
      </c>
      <c r="F3676" t="s">
        <v>962</v>
      </c>
      <c r="G3676" t="s">
        <v>964</v>
      </c>
      <c r="H3676">
        <v>124</v>
      </c>
      <c r="I3676">
        <v>17.5565</v>
      </c>
      <c r="J3676">
        <v>38.4758</v>
      </c>
      <c r="K3676">
        <v>20.9194</v>
      </c>
      <c r="L3676">
        <v>120</v>
      </c>
      <c r="M3676">
        <v>1</v>
      </c>
      <c r="N3676">
        <v>3</v>
      </c>
      <c r="O3676">
        <v>39.421199999999999</v>
      </c>
      <c r="P3676">
        <v>22.209700000000002</v>
      </c>
      <c r="Q3676">
        <v>9.1647499999999997</v>
      </c>
    </row>
    <row r="3677" spans="1:17" x14ac:dyDescent="0.25">
      <c r="A3677" t="str">
        <f>IF(C3677&amp;G3677&amp;D3677&lt;&gt;'Funnel setup'!$K$3&amp;'Funnel setup'!$K$4&amp;'Funnel setup'!$K$6,".",IF(A3676=".",1,A3676+1))</f>
        <v>.</v>
      </c>
      <c r="B3677" s="244" t="str">
        <f t="shared" si="57"/>
        <v>Total Hip ReplacementEnglandEnglandEQ VAS</v>
      </c>
      <c r="C3677" t="s">
        <v>974</v>
      </c>
      <c r="D3677" t="s">
        <v>122</v>
      </c>
      <c r="E3677" t="s">
        <v>122</v>
      </c>
      <c r="F3677" t="s">
        <v>122</v>
      </c>
      <c r="G3677" t="s">
        <v>752</v>
      </c>
      <c r="H3677">
        <v>14133</v>
      </c>
      <c r="I3677">
        <v>60.816099999999999</v>
      </c>
      <c r="J3677">
        <v>75.532700000000006</v>
      </c>
      <c r="K3677">
        <v>14.7166</v>
      </c>
      <c r="L3677">
        <v>9866</v>
      </c>
      <c r="M3677">
        <v>1206</v>
      </c>
      <c r="N3677">
        <v>3061</v>
      </c>
      <c r="O3677">
        <v>75.532700000000006</v>
      </c>
      <c r="P3677">
        <v>14.7166</v>
      </c>
      <c r="Q3677">
        <v>16.761500000000002</v>
      </c>
    </row>
    <row r="3678" spans="1:17" x14ac:dyDescent="0.25">
      <c r="A3678" t="str">
        <f>IF(C3678&amp;G3678&amp;D3678&lt;&gt;'Funnel setup'!$K$3&amp;'Funnel setup'!$K$4&amp;'Funnel setup'!$K$6,".",IF(A3677=".",1,A3677+1))</f>
        <v>.</v>
      </c>
      <c r="B3678" s="244" t="str">
        <f t="shared" si="57"/>
        <v>Total Hip ReplacementEnglandEnglandEQ-5D Index</v>
      </c>
      <c r="C3678" t="s">
        <v>974</v>
      </c>
      <c r="D3678" t="s">
        <v>122</v>
      </c>
      <c r="E3678" t="s">
        <v>122</v>
      </c>
      <c r="F3678" t="s">
        <v>122</v>
      </c>
      <c r="G3678" t="s">
        <v>963</v>
      </c>
      <c r="H3678">
        <v>14627</v>
      </c>
      <c r="I3678">
        <v>0.32755600000000001</v>
      </c>
      <c r="J3678">
        <v>0.78361499999999995</v>
      </c>
      <c r="K3678">
        <v>0.45605899999999999</v>
      </c>
      <c r="L3678">
        <v>13096</v>
      </c>
      <c r="M3678">
        <v>727</v>
      </c>
      <c r="N3678">
        <v>804</v>
      </c>
      <c r="O3678">
        <v>0.78361499999999995</v>
      </c>
      <c r="P3678">
        <v>0.45605899999999999</v>
      </c>
      <c r="Q3678">
        <v>0.23358000000000001</v>
      </c>
    </row>
    <row r="3679" spans="1:17" x14ac:dyDescent="0.25">
      <c r="A3679" t="str">
        <f>IF(C3679&amp;G3679&amp;D3679&lt;&gt;'Funnel setup'!$K$3&amp;'Funnel setup'!$K$4&amp;'Funnel setup'!$K$6,".",IF(A3678=".",1,A3678+1))</f>
        <v>.</v>
      </c>
      <c r="B3679" s="244" t="str">
        <f t="shared" si="57"/>
        <v>Total Hip ReplacementEnglandEnglandOxford Hip Score</v>
      </c>
      <c r="C3679" t="s">
        <v>974</v>
      </c>
      <c r="D3679" t="s">
        <v>122</v>
      </c>
      <c r="E3679" t="s">
        <v>122</v>
      </c>
      <c r="F3679" t="s">
        <v>122</v>
      </c>
      <c r="G3679" t="s">
        <v>964</v>
      </c>
      <c r="H3679">
        <v>15626</v>
      </c>
      <c r="I3679">
        <v>17.211400000000001</v>
      </c>
      <c r="J3679">
        <v>39.726799999999997</v>
      </c>
      <c r="K3679">
        <v>22.5154</v>
      </c>
      <c r="L3679">
        <v>15136</v>
      </c>
      <c r="M3679">
        <v>85</v>
      </c>
      <c r="N3679">
        <v>405</v>
      </c>
      <c r="O3679">
        <v>39.726799999999997</v>
      </c>
      <c r="P3679">
        <v>22.5154</v>
      </c>
      <c r="Q3679">
        <v>8.2790099999999995</v>
      </c>
    </row>
    <row r="3680" spans="1:17" x14ac:dyDescent="0.25">
      <c r="A3680" t="str">
        <f>IF(C3680&amp;G3680&amp;D3680&lt;&gt;'Funnel setup'!$K$3&amp;'Funnel setup'!$K$4&amp;'Funnel setup'!$K$6,".",IF(A3679=".",1,A3679+1))</f>
        <v>.</v>
      </c>
      <c r="B3680" s="244" t="str">
        <f t="shared" si="57"/>
        <v>Total Hip ReplacementProviderSULIS HOSPITAL BATHEQ VAS</v>
      </c>
      <c r="C3680" t="s">
        <v>974</v>
      </c>
      <c r="D3680" t="s">
        <v>965</v>
      </c>
      <c r="E3680" t="s">
        <v>732</v>
      </c>
      <c r="F3680" t="s">
        <v>1325</v>
      </c>
      <c r="G3680" t="s">
        <v>752</v>
      </c>
      <c r="H3680">
        <v>34</v>
      </c>
      <c r="I3680">
        <v>57.2059</v>
      </c>
      <c r="J3680">
        <v>80.411799999999999</v>
      </c>
      <c r="K3680">
        <v>23.2059</v>
      </c>
      <c r="L3680">
        <v>30</v>
      </c>
      <c r="M3680">
        <v>3</v>
      </c>
      <c r="N3680">
        <v>1</v>
      </c>
      <c r="O3680">
        <v>79.834400000000002</v>
      </c>
      <c r="P3680">
        <v>19.0183</v>
      </c>
      <c r="Q3680">
        <v>13.0326</v>
      </c>
    </row>
    <row r="3681" spans="1:17" x14ac:dyDescent="0.25">
      <c r="A3681" t="str">
        <f>IF(C3681&amp;G3681&amp;D3681&lt;&gt;'Funnel setup'!$K$3&amp;'Funnel setup'!$K$4&amp;'Funnel setup'!$K$6,".",IF(A3680=".",1,A3680+1))</f>
        <v>.</v>
      </c>
      <c r="B3681" s="244" t="str">
        <f t="shared" si="57"/>
        <v>Total Hip ReplacementProviderAIREDALE NHS FOUNDATION TRUST (RCF)EQ VAS</v>
      </c>
      <c r="C3681" t="s">
        <v>974</v>
      </c>
      <c r="D3681" t="s">
        <v>965</v>
      </c>
      <c r="E3681" t="s">
        <v>125</v>
      </c>
      <c r="F3681" t="s">
        <v>126</v>
      </c>
      <c r="G3681" t="s">
        <v>752</v>
      </c>
      <c r="H3681">
        <v>33</v>
      </c>
      <c r="I3681">
        <v>63.5152</v>
      </c>
      <c r="J3681">
        <v>77.697000000000003</v>
      </c>
      <c r="K3681">
        <v>14.181800000000001</v>
      </c>
      <c r="L3681">
        <v>20</v>
      </c>
      <c r="M3681">
        <v>4</v>
      </c>
      <c r="N3681">
        <v>9</v>
      </c>
      <c r="O3681">
        <v>77.185299999999998</v>
      </c>
      <c r="P3681">
        <v>16.369199999999999</v>
      </c>
      <c r="Q3681">
        <v>15.9588</v>
      </c>
    </row>
    <row r="3682" spans="1:17" x14ac:dyDescent="0.25">
      <c r="A3682" t="str">
        <f>IF(C3682&amp;G3682&amp;D3682&lt;&gt;'Funnel setup'!$K$3&amp;'Funnel setup'!$K$4&amp;'Funnel setup'!$K$6,".",IF(A3681=".",1,A3681+1))</f>
        <v>.</v>
      </c>
      <c r="B3682" s="244" t="str">
        <f t="shared" si="57"/>
        <v>Total Hip ReplacementProviderALEXANDRA HOSPITAL (NT401)EQ VAS</v>
      </c>
      <c r="C3682" t="s">
        <v>974</v>
      </c>
      <c r="D3682" t="s">
        <v>965</v>
      </c>
      <c r="E3682" t="s">
        <v>130</v>
      </c>
      <c r="F3682" t="s">
        <v>131</v>
      </c>
      <c r="G3682" t="s">
        <v>752</v>
      </c>
      <c r="H3682">
        <v>26</v>
      </c>
      <c r="I3682">
        <v>61.807699999999997</v>
      </c>
      <c r="J3682">
        <v>78.461500000000001</v>
      </c>
      <c r="K3682">
        <v>16.6538</v>
      </c>
      <c r="L3682">
        <v>21</v>
      </c>
      <c r="M3682">
        <v>3</v>
      </c>
      <c r="N3682">
        <v>2</v>
      </c>
      <c r="O3682" t="s">
        <v>127</v>
      </c>
      <c r="P3682" t="s">
        <v>127</v>
      </c>
      <c r="Q3682" t="s">
        <v>127</v>
      </c>
    </row>
    <row r="3683" spans="1:17" x14ac:dyDescent="0.25">
      <c r="A3683" t="str">
        <f>IF(C3683&amp;G3683&amp;D3683&lt;&gt;'Funnel setup'!$K$3&amp;'Funnel setup'!$K$4&amp;'Funnel setup'!$K$6,".",IF(A3682=".",1,A3682+1))</f>
        <v>.</v>
      </c>
      <c r="B3683" s="244" t="str">
        <f t="shared" si="57"/>
        <v>Total Hip ReplacementProviderASHFORD AND ST PETER'S HOSPITALS NHS FOUNDATION TRUST (RTK)EQ VAS</v>
      </c>
      <c r="C3683" t="s">
        <v>974</v>
      </c>
      <c r="D3683" t="s">
        <v>965</v>
      </c>
      <c r="E3683" t="s">
        <v>132</v>
      </c>
      <c r="F3683" t="s">
        <v>133</v>
      </c>
      <c r="G3683" t="s">
        <v>752</v>
      </c>
      <c r="H3683">
        <v>63</v>
      </c>
      <c r="I3683">
        <v>71.317499999999995</v>
      </c>
      <c r="J3683">
        <v>78.444400000000002</v>
      </c>
      <c r="K3683">
        <v>7.1269799999999996</v>
      </c>
      <c r="L3683">
        <v>34</v>
      </c>
      <c r="M3683">
        <v>12</v>
      </c>
      <c r="N3683">
        <v>17</v>
      </c>
      <c r="O3683">
        <v>74.487499999999997</v>
      </c>
      <c r="P3683">
        <v>13.6714</v>
      </c>
      <c r="Q3683">
        <v>14.7262</v>
      </c>
    </row>
    <row r="3684" spans="1:17" x14ac:dyDescent="0.25">
      <c r="A3684" t="str">
        <f>IF(C3684&amp;G3684&amp;D3684&lt;&gt;'Funnel setup'!$K$3&amp;'Funnel setup'!$K$4&amp;'Funnel setup'!$K$6,".",IF(A3683=".",1,A3683+1))</f>
        <v>.</v>
      </c>
      <c r="B3684" s="244" t="str">
        <f t="shared" si="57"/>
        <v>Total Hip ReplacementProviderASHTEAD HOSPITAL (NVC01)EQ VAS</v>
      </c>
      <c r="C3684" t="s">
        <v>974</v>
      </c>
      <c r="D3684" t="s">
        <v>965</v>
      </c>
      <c r="E3684" t="s">
        <v>134</v>
      </c>
      <c r="F3684" t="s">
        <v>135</v>
      </c>
      <c r="G3684" t="s">
        <v>752</v>
      </c>
      <c r="H3684">
        <v>11</v>
      </c>
      <c r="I3684">
        <v>65.181799999999996</v>
      </c>
      <c r="J3684">
        <v>80.090900000000005</v>
      </c>
      <c r="K3684">
        <v>14.9091</v>
      </c>
      <c r="L3684">
        <v>8</v>
      </c>
      <c r="M3684">
        <v>1</v>
      </c>
      <c r="N3684">
        <v>2</v>
      </c>
      <c r="O3684" t="s">
        <v>127</v>
      </c>
      <c r="P3684" t="s">
        <v>127</v>
      </c>
      <c r="Q3684" t="s">
        <v>127</v>
      </c>
    </row>
    <row r="3685" spans="1:17" x14ac:dyDescent="0.25">
      <c r="A3685" t="str">
        <f>IF(C3685&amp;G3685&amp;D3685&lt;&gt;'Funnel setup'!$K$3&amp;'Funnel setup'!$K$4&amp;'Funnel setup'!$K$6,".",IF(A3684=".",1,A3684+1))</f>
        <v>.</v>
      </c>
      <c r="B3685" s="244" t="str">
        <f t="shared" si="57"/>
        <v>Total Hip ReplacementProviderBARKING, HAVERING AND REDBRIDGE UNIVERSITY HOSPITALS NHS TRUST (RF4)EQ VAS</v>
      </c>
      <c r="C3685" t="s">
        <v>974</v>
      </c>
      <c r="D3685" t="s">
        <v>965</v>
      </c>
      <c r="E3685" t="s">
        <v>144</v>
      </c>
      <c r="F3685" t="s">
        <v>145</v>
      </c>
      <c r="G3685" t="s">
        <v>752</v>
      </c>
      <c r="H3685">
        <v>49</v>
      </c>
      <c r="I3685">
        <v>53.816299999999998</v>
      </c>
      <c r="J3685">
        <v>69</v>
      </c>
      <c r="K3685">
        <v>15.1837</v>
      </c>
      <c r="L3685">
        <v>30</v>
      </c>
      <c r="M3685">
        <v>7</v>
      </c>
      <c r="N3685">
        <v>12</v>
      </c>
      <c r="O3685">
        <v>71.546400000000006</v>
      </c>
      <c r="P3685">
        <v>10.7303</v>
      </c>
      <c r="Q3685">
        <v>20.834299999999999</v>
      </c>
    </row>
    <row r="3686" spans="1:17" x14ac:dyDescent="0.25">
      <c r="A3686" t="str">
        <f>IF(C3686&amp;G3686&amp;D3686&lt;&gt;'Funnel setup'!$K$3&amp;'Funnel setup'!$K$4&amp;'Funnel setup'!$K$6,".",IF(A3685=".",1,A3685+1))</f>
        <v>.</v>
      </c>
      <c r="B3686" s="244" t="str">
        <f t="shared" si="57"/>
        <v>Total Hip ReplacementProviderBARNSLEY HOSPITAL NHS FOUNDATION TRUST (RFF)EQ VAS</v>
      </c>
      <c r="C3686" t="s">
        <v>974</v>
      </c>
      <c r="D3686" t="s">
        <v>965</v>
      </c>
      <c r="E3686" t="s">
        <v>146</v>
      </c>
      <c r="F3686" t="s">
        <v>147</v>
      </c>
      <c r="G3686" t="s">
        <v>752</v>
      </c>
      <c r="H3686">
        <v>39</v>
      </c>
      <c r="I3686">
        <v>53.307699999999997</v>
      </c>
      <c r="J3686">
        <v>71.538499999999999</v>
      </c>
      <c r="K3686">
        <v>18.230799999999999</v>
      </c>
      <c r="L3686">
        <v>26</v>
      </c>
      <c r="M3686">
        <v>3</v>
      </c>
      <c r="N3686">
        <v>10</v>
      </c>
      <c r="O3686">
        <v>75.703800000000001</v>
      </c>
      <c r="P3686">
        <v>14.887700000000001</v>
      </c>
      <c r="Q3686">
        <v>15.485200000000001</v>
      </c>
    </row>
    <row r="3687" spans="1:17" x14ac:dyDescent="0.25">
      <c r="A3687" t="str">
        <f>IF(C3687&amp;G3687&amp;D3687&lt;&gt;'Funnel setup'!$K$3&amp;'Funnel setup'!$K$4&amp;'Funnel setup'!$K$6,".",IF(A3686=".",1,A3686+1))</f>
        <v>.</v>
      </c>
      <c r="B3687" s="244" t="str">
        <f t="shared" si="57"/>
        <v>Total Hip ReplacementProviderBARTS HEALTH NHS TRUST (R1H)EQ VAS</v>
      </c>
      <c r="C3687" t="s">
        <v>974</v>
      </c>
      <c r="D3687" t="s">
        <v>965</v>
      </c>
      <c r="E3687" t="s">
        <v>148</v>
      </c>
      <c r="F3687" t="s">
        <v>149</v>
      </c>
      <c r="G3687" t="s">
        <v>752</v>
      </c>
      <c r="H3687">
        <v>41</v>
      </c>
      <c r="I3687">
        <v>56.780500000000004</v>
      </c>
      <c r="J3687">
        <v>76.731700000000004</v>
      </c>
      <c r="K3687">
        <v>19.9512</v>
      </c>
      <c r="L3687">
        <v>31</v>
      </c>
      <c r="M3687">
        <v>4</v>
      </c>
      <c r="N3687">
        <v>6</v>
      </c>
      <c r="O3687">
        <v>78.245599999999996</v>
      </c>
      <c r="P3687">
        <v>17.429500000000001</v>
      </c>
      <c r="Q3687">
        <v>16.610099999999999</v>
      </c>
    </row>
    <row r="3688" spans="1:17" x14ac:dyDescent="0.25">
      <c r="A3688" t="str">
        <f>IF(C3688&amp;G3688&amp;D3688&lt;&gt;'Funnel setup'!$K$3&amp;'Funnel setup'!$K$4&amp;'Funnel setup'!$K$6,".",IF(A3687=".",1,A3687+1))</f>
        <v>.</v>
      </c>
      <c r="B3688" s="244" t="str">
        <f t="shared" si="57"/>
        <v>Total Hip ReplacementProviderBATH CLINIC (NT402)EQ VAS</v>
      </c>
      <c r="C3688" t="s">
        <v>974</v>
      </c>
      <c r="D3688" t="s">
        <v>965</v>
      </c>
      <c r="E3688" t="s">
        <v>152</v>
      </c>
      <c r="F3688" t="s">
        <v>153</v>
      </c>
      <c r="G3688" t="s">
        <v>752</v>
      </c>
      <c r="H3688">
        <v>77</v>
      </c>
      <c r="I3688">
        <v>71.259699999999995</v>
      </c>
      <c r="J3688">
        <v>78.064899999999994</v>
      </c>
      <c r="K3688">
        <v>6.8051899999999996</v>
      </c>
      <c r="L3688">
        <v>46</v>
      </c>
      <c r="M3688">
        <v>5</v>
      </c>
      <c r="N3688">
        <v>26</v>
      </c>
      <c r="O3688">
        <v>71.504599999999996</v>
      </c>
      <c r="P3688">
        <v>10.688499999999999</v>
      </c>
      <c r="Q3688">
        <v>18.701000000000001</v>
      </c>
    </row>
    <row r="3689" spans="1:17" x14ac:dyDescent="0.25">
      <c r="A3689" t="str">
        <f>IF(C3689&amp;G3689&amp;D3689&lt;&gt;'Funnel setup'!$K$3&amp;'Funnel setup'!$K$4&amp;'Funnel setup'!$K$6,".",IF(A3688=".",1,A3688+1))</f>
        <v>.</v>
      </c>
      <c r="B3689" s="244" t="str">
        <f t="shared" si="57"/>
        <v>Total Hip ReplacementProviderBEARDWOOD HOSPITAL (NT403)EQ VAS</v>
      </c>
      <c r="C3689" t="s">
        <v>974</v>
      </c>
      <c r="D3689" t="s">
        <v>965</v>
      </c>
      <c r="E3689" t="s">
        <v>154</v>
      </c>
      <c r="F3689" t="s">
        <v>155</v>
      </c>
      <c r="G3689" t="s">
        <v>752</v>
      </c>
      <c r="H3689">
        <v>73</v>
      </c>
      <c r="I3689">
        <v>61.9863</v>
      </c>
      <c r="J3689">
        <v>79.246600000000001</v>
      </c>
      <c r="K3689">
        <v>17.260300000000001</v>
      </c>
      <c r="L3689">
        <v>50</v>
      </c>
      <c r="M3689">
        <v>6</v>
      </c>
      <c r="N3689">
        <v>17</v>
      </c>
      <c r="O3689">
        <v>75.755399999999995</v>
      </c>
      <c r="P3689">
        <v>14.939299999999999</v>
      </c>
      <c r="Q3689">
        <v>14.4129</v>
      </c>
    </row>
    <row r="3690" spans="1:17" x14ac:dyDescent="0.25">
      <c r="A3690" t="str">
        <f>IF(C3690&amp;G3690&amp;D3690&lt;&gt;'Funnel setup'!$K$3&amp;'Funnel setup'!$K$4&amp;'Funnel setup'!$K$6,".",IF(A3689=".",1,A3689+1))</f>
        <v>.</v>
      </c>
      <c r="B3690" s="244" t="str">
        <f t="shared" si="57"/>
        <v>Total Hip ReplacementProviderBEAUMONT HOSPITAL (NT404)EQ VAS</v>
      </c>
      <c r="C3690" t="s">
        <v>974</v>
      </c>
      <c r="D3690" t="s">
        <v>965</v>
      </c>
      <c r="E3690" t="s">
        <v>156</v>
      </c>
      <c r="F3690" t="s">
        <v>157</v>
      </c>
      <c r="G3690" t="s">
        <v>752</v>
      </c>
      <c r="H3690">
        <v>12</v>
      </c>
      <c r="I3690">
        <v>65.833299999999994</v>
      </c>
      <c r="J3690">
        <v>86.25</v>
      </c>
      <c r="K3690">
        <v>20.416699999999999</v>
      </c>
      <c r="L3690">
        <v>11</v>
      </c>
      <c r="M3690">
        <v>0</v>
      </c>
      <c r="N3690">
        <v>1</v>
      </c>
      <c r="O3690" t="s">
        <v>127</v>
      </c>
      <c r="P3690" t="s">
        <v>127</v>
      </c>
      <c r="Q3690" t="s">
        <v>127</v>
      </c>
    </row>
    <row r="3691" spans="1:17" x14ac:dyDescent="0.25">
      <c r="A3691" t="str">
        <f>IF(C3691&amp;G3691&amp;D3691&lt;&gt;'Funnel setup'!$K$3&amp;'Funnel setup'!$K$4&amp;'Funnel setup'!$K$6,".",IF(A3690=".",1,A3690+1))</f>
        <v>.</v>
      </c>
      <c r="B3691" s="244" t="str">
        <f t="shared" si="57"/>
        <v>Total Hip ReplacementProviderBEDFORDSHIRE HOSPITALS NHS FOUNDATION TRUST (RC9)EQ VAS</v>
      </c>
      <c r="C3691" t="s">
        <v>974</v>
      </c>
      <c r="D3691" t="s">
        <v>965</v>
      </c>
      <c r="E3691" t="s">
        <v>158</v>
      </c>
      <c r="F3691" t="s">
        <v>159</v>
      </c>
      <c r="G3691" t="s">
        <v>752</v>
      </c>
      <c r="H3691">
        <v>112</v>
      </c>
      <c r="I3691">
        <v>57.196399999999997</v>
      </c>
      <c r="J3691">
        <v>70.008899999999997</v>
      </c>
      <c r="K3691">
        <v>12.8125</v>
      </c>
      <c r="L3691">
        <v>74</v>
      </c>
      <c r="M3691">
        <v>11</v>
      </c>
      <c r="N3691">
        <v>27</v>
      </c>
      <c r="O3691">
        <v>73.309399999999997</v>
      </c>
      <c r="P3691">
        <v>12.4933</v>
      </c>
      <c r="Q3691">
        <v>19.5793</v>
      </c>
    </row>
    <row r="3692" spans="1:17" x14ac:dyDescent="0.25">
      <c r="A3692" t="str">
        <f>IF(C3692&amp;G3692&amp;D3692&lt;&gt;'Funnel setup'!$K$3&amp;'Funnel setup'!$K$4&amp;'Funnel setup'!$K$6,".",IF(A3691=".",1,A3691+1))</f>
        <v>.</v>
      </c>
      <c r="B3692" s="244" t="str">
        <f t="shared" si="57"/>
        <v>Total Hip ReplacementProviderBENENDEN HOSPITAL (NWF01)EQ VAS</v>
      </c>
      <c r="C3692" t="s">
        <v>974</v>
      </c>
      <c r="D3692" t="s">
        <v>965</v>
      </c>
      <c r="E3692" t="s">
        <v>160</v>
      </c>
      <c r="F3692" t="s">
        <v>161</v>
      </c>
      <c r="G3692" t="s">
        <v>752</v>
      </c>
      <c r="H3692">
        <v>18</v>
      </c>
      <c r="I3692">
        <v>60.833300000000001</v>
      </c>
      <c r="J3692">
        <v>78.111099999999993</v>
      </c>
      <c r="K3692">
        <v>17.277799999999999</v>
      </c>
      <c r="L3692">
        <v>15</v>
      </c>
      <c r="M3692">
        <v>1</v>
      </c>
      <c r="N3692">
        <v>2</v>
      </c>
      <c r="O3692" t="s">
        <v>127</v>
      </c>
      <c r="P3692" t="s">
        <v>127</v>
      </c>
      <c r="Q3692" t="s">
        <v>127</v>
      </c>
    </row>
    <row r="3693" spans="1:17" x14ac:dyDescent="0.25">
      <c r="A3693" t="str">
        <f>IF(C3693&amp;G3693&amp;D3693&lt;&gt;'Funnel setup'!$K$3&amp;'Funnel setup'!$K$4&amp;'Funnel setup'!$K$6,".",IF(A3692=".",1,A3692+1))</f>
        <v>.</v>
      </c>
      <c r="B3693" s="244" t="str">
        <f t="shared" si="57"/>
        <v>Total Hip ReplacementProviderBISHOPS WOOD HOSPITAL (NT405)EQ VAS</v>
      </c>
      <c r="C3693" t="s">
        <v>974</v>
      </c>
      <c r="D3693" t="s">
        <v>965</v>
      </c>
      <c r="E3693" t="s">
        <v>166</v>
      </c>
      <c r="F3693" t="s">
        <v>167</v>
      </c>
      <c r="G3693" t="s">
        <v>752</v>
      </c>
      <c r="H3693">
        <v>3</v>
      </c>
      <c r="I3693">
        <v>76.666700000000006</v>
      </c>
      <c r="J3693">
        <v>85</v>
      </c>
      <c r="K3693">
        <v>8.3333300000000001</v>
      </c>
      <c r="L3693">
        <v>3</v>
      </c>
      <c r="M3693">
        <v>0</v>
      </c>
      <c r="N3693">
        <v>0</v>
      </c>
      <c r="O3693" t="s">
        <v>127</v>
      </c>
      <c r="P3693" t="s">
        <v>127</v>
      </c>
      <c r="Q3693" t="s">
        <v>127</v>
      </c>
    </row>
    <row r="3694" spans="1:17" x14ac:dyDescent="0.25">
      <c r="A3694" t="str">
        <f>IF(C3694&amp;G3694&amp;D3694&lt;&gt;'Funnel setup'!$K$3&amp;'Funnel setup'!$K$4&amp;'Funnel setup'!$K$6,".",IF(A3693=".",1,A3693+1))</f>
        <v>.</v>
      </c>
      <c r="B3694" s="244" t="str">
        <f t="shared" si="57"/>
        <v>Total Hip ReplacementProviderBLACKHEATH HOSPITAL (NT406)EQ VAS</v>
      </c>
      <c r="C3694" t="s">
        <v>974</v>
      </c>
      <c r="D3694" t="s">
        <v>965</v>
      </c>
      <c r="E3694" t="s">
        <v>168</v>
      </c>
      <c r="F3694" t="s">
        <v>169</v>
      </c>
      <c r="G3694" t="s">
        <v>752</v>
      </c>
      <c r="H3694">
        <v>13</v>
      </c>
      <c r="I3694">
        <v>46.538499999999999</v>
      </c>
      <c r="J3694">
        <v>73.461500000000001</v>
      </c>
      <c r="K3694">
        <v>26.923100000000002</v>
      </c>
      <c r="L3694">
        <v>12</v>
      </c>
      <c r="M3694">
        <v>1</v>
      </c>
      <c r="N3694">
        <v>0</v>
      </c>
      <c r="O3694" t="s">
        <v>127</v>
      </c>
      <c r="P3694" t="s">
        <v>127</v>
      </c>
      <c r="Q3694" t="s">
        <v>127</v>
      </c>
    </row>
    <row r="3695" spans="1:17" x14ac:dyDescent="0.25">
      <c r="A3695" t="str">
        <f>IF(C3695&amp;G3695&amp;D3695&lt;&gt;'Funnel setup'!$K$3&amp;'Funnel setup'!$K$4&amp;'Funnel setup'!$K$6,".",IF(A3694=".",1,A3694+1))</f>
        <v>.</v>
      </c>
      <c r="B3695" s="244" t="str">
        <f t="shared" si="57"/>
        <v>Total Hip ReplacementProviderBLACKPOOL TEACHING HOSPITALS NHS FOUNDATION TRUST (RXL)EQ VAS</v>
      </c>
      <c r="C3695" t="s">
        <v>974</v>
      </c>
      <c r="D3695" t="s">
        <v>965</v>
      </c>
      <c r="E3695" t="s">
        <v>170</v>
      </c>
      <c r="F3695" t="s">
        <v>171</v>
      </c>
      <c r="G3695" t="s">
        <v>752</v>
      </c>
      <c r="H3695">
        <v>49</v>
      </c>
      <c r="I3695">
        <v>61.551000000000002</v>
      </c>
      <c r="J3695">
        <v>72.346900000000005</v>
      </c>
      <c r="K3695">
        <v>10.7959</v>
      </c>
      <c r="L3695">
        <v>35</v>
      </c>
      <c r="M3695">
        <v>2</v>
      </c>
      <c r="N3695">
        <v>12</v>
      </c>
      <c r="O3695">
        <v>74.710099999999997</v>
      </c>
      <c r="P3695">
        <v>13.894</v>
      </c>
      <c r="Q3695">
        <v>16.406199999999998</v>
      </c>
    </row>
    <row r="3696" spans="1:17" x14ac:dyDescent="0.25">
      <c r="A3696" t="str">
        <f>IF(C3696&amp;G3696&amp;D3696&lt;&gt;'Funnel setup'!$K$3&amp;'Funnel setup'!$K$4&amp;'Funnel setup'!$K$6,".",IF(A3695=".",1,A3695+1))</f>
        <v>.</v>
      </c>
      <c r="B3696" s="244" t="str">
        <f t="shared" si="57"/>
        <v>Total Hip ReplacementProviderBOLTON NHS FOUNDATION TRUST (RMC)EQ VAS</v>
      </c>
      <c r="C3696" t="s">
        <v>974</v>
      </c>
      <c r="D3696" t="s">
        <v>965</v>
      </c>
      <c r="E3696" t="s">
        <v>172</v>
      </c>
      <c r="F3696" t="s">
        <v>173</v>
      </c>
      <c r="G3696" t="s">
        <v>752</v>
      </c>
      <c r="H3696">
        <v>42</v>
      </c>
      <c r="I3696">
        <v>64.785700000000006</v>
      </c>
      <c r="J3696">
        <v>71.428600000000003</v>
      </c>
      <c r="K3696">
        <v>6.6428599999999998</v>
      </c>
      <c r="L3696">
        <v>26</v>
      </c>
      <c r="M3696">
        <v>4</v>
      </c>
      <c r="N3696">
        <v>12</v>
      </c>
      <c r="O3696">
        <v>74.517799999999994</v>
      </c>
      <c r="P3696">
        <v>13.701700000000001</v>
      </c>
      <c r="Q3696">
        <v>18.967099999999999</v>
      </c>
    </row>
    <row r="3697" spans="1:17" x14ac:dyDescent="0.25">
      <c r="A3697" t="str">
        <f>IF(C3697&amp;G3697&amp;D3697&lt;&gt;'Funnel setup'!$K$3&amp;'Funnel setup'!$K$4&amp;'Funnel setup'!$K$6,".",IF(A3696=".",1,A3696+1))</f>
        <v>.</v>
      </c>
      <c r="B3697" s="244" t="str">
        <f t="shared" si="57"/>
        <v>Total Hip ReplacementProviderBRADFORD TEACHING HOSPITALS NHS FOUNDATION TRUST (RAE)EQ VAS</v>
      </c>
      <c r="C3697" t="s">
        <v>974</v>
      </c>
      <c r="D3697" t="s">
        <v>965</v>
      </c>
      <c r="E3697" t="s">
        <v>174</v>
      </c>
      <c r="F3697" t="s">
        <v>175</v>
      </c>
      <c r="G3697" t="s">
        <v>752</v>
      </c>
      <c r="H3697">
        <v>4</v>
      </c>
      <c r="I3697">
        <v>42.5</v>
      </c>
      <c r="J3697">
        <v>74.5</v>
      </c>
      <c r="K3697">
        <v>32</v>
      </c>
      <c r="L3697">
        <v>4</v>
      </c>
      <c r="M3697">
        <v>0</v>
      </c>
      <c r="N3697">
        <v>0</v>
      </c>
      <c r="O3697" t="s">
        <v>127</v>
      </c>
      <c r="P3697" t="s">
        <v>127</v>
      </c>
      <c r="Q3697" t="s">
        <v>127</v>
      </c>
    </row>
    <row r="3698" spans="1:17" x14ac:dyDescent="0.25">
      <c r="A3698" t="str">
        <f>IF(C3698&amp;G3698&amp;D3698&lt;&gt;'Funnel setup'!$K$3&amp;'Funnel setup'!$K$4&amp;'Funnel setup'!$K$6,".",IF(A3697=".",1,A3697+1))</f>
        <v>.</v>
      </c>
      <c r="B3698" s="244" t="str">
        <f t="shared" si="57"/>
        <v>Total Hip ReplacementProviderBUCKINGHAMSHIRE HEALTHCARE NHS TRUST (RXQ)EQ VAS</v>
      </c>
      <c r="C3698" t="s">
        <v>974</v>
      </c>
      <c r="D3698" t="s">
        <v>965</v>
      </c>
      <c r="E3698" t="s">
        <v>178</v>
      </c>
      <c r="F3698" t="s">
        <v>179</v>
      </c>
      <c r="G3698" t="s">
        <v>752</v>
      </c>
      <c r="H3698">
        <v>88</v>
      </c>
      <c r="I3698">
        <v>57.7273</v>
      </c>
      <c r="J3698">
        <v>70.204499999999996</v>
      </c>
      <c r="K3698">
        <v>12.4773</v>
      </c>
      <c r="L3698">
        <v>61</v>
      </c>
      <c r="M3698">
        <v>4</v>
      </c>
      <c r="N3698">
        <v>23</v>
      </c>
      <c r="O3698">
        <v>71.973299999999995</v>
      </c>
      <c r="P3698">
        <v>11.1572</v>
      </c>
      <c r="Q3698">
        <v>21.036999999999999</v>
      </c>
    </row>
    <row r="3699" spans="1:17" x14ac:dyDescent="0.25">
      <c r="A3699" t="str">
        <f>IF(C3699&amp;G3699&amp;D3699&lt;&gt;'Funnel setup'!$K$3&amp;'Funnel setup'!$K$4&amp;'Funnel setup'!$K$6,".",IF(A3698=".",1,A3698+1))</f>
        <v>.</v>
      </c>
      <c r="B3699" s="244" t="str">
        <f t="shared" si="57"/>
        <v>Total Hip ReplacementProviderCALDERDALE AND HUDDERSFIELD NHS FOUNDATION TRUST (RWY)EQ VAS</v>
      </c>
      <c r="C3699" t="s">
        <v>974</v>
      </c>
      <c r="D3699" t="s">
        <v>965</v>
      </c>
      <c r="E3699" t="s">
        <v>180</v>
      </c>
      <c r="F3699" t="s">
        <v>181</v>
      </c>
      <c r="G3699" t="s">
        <v>752</v>
      </c>
      <c r="H3699">
        <v>87</v>
      </c>
      <c r="I3699">
        <v>58.218400000000003</v>
      </c>
      <c r="J3699">
        <v>71.218400000000003</v>
      </c>
      <c r="K3699">
        <v>13</v>
      </c>
      <c r="L3699">
        <v>59</v>
      </c>
      <c r="M3699">
        <v>9</v>
      </c>
      <c r="N3699">
        <v>19</v>
      </c>
      <c r="O3699">
        <v>72.724699999999999</v>
      </c>
      <c r="P3699">
        <v>11.9086</v>
      </c>
      <c r="Q3699">
        <v>17.978000000000002</v>
      </c>
    </row>
    <row r="3700" spans="1:17" x14ac:dyDescent="0.25">
      <c r="A3700" t="str">
        <f>IF(C3700&amp;G3700&amp;D3700&lt;&gt;'Funnel setup'!$K$3&amp;'Funnel setup'!$K$4&amp;'Funnel setup'!$K$6,".",IF(A3699=".",1,A3699+1))</f>
        <v>.</v>
      </c>
      <c r="B3700" s="244" t="str">
        <f t="shared" si="57"/>
        <v>Total Hip ReplacementProviderCAMBRIDGE UNIVERSITY HOSPITALS NHS FOUNDATION TRUST (RGT)EQ VAS</v>
      </c>
      <c r="C3700" t="s">
        <v>974</v>
      </c>
      <c r="D3700" t="s">
        <v>965</v>
      </c>
      <c r="E3700" t="s">
        <v>182</v>
      </c>
      <c r="F3700" t="s">
        <v>183</v>
      </c>
      <c r="G3700" t="s">
        <v>752</v>
      </c>
      <c r="H3700">
        <v>75</v>
      </c>
      <c r="I3700">
        <v>50.96</v>
      </c>
      <c r="J3700">
        <v>70.466700000000003</v>
      </c>
      <c r="K3700">
        <v>19.506699999999999</v>
      </c>
      <c r="L3700">
        <v>56</v>
      </c>
      <c r="M3700">
        <v>2</v>
      </c>
      <c r="N3700">
        <v>17</v>
      </c>
      <c r="O3700">
        <v>74.503600000000006</v>
      </c>
      <c r="P3700">
        <v>13.6875</v>
      </c>
      <c r="Q3700">
        <v>18.195499999999999</v>
      </c>
    </row>
    <row r="3701" spans="1:17" x14ac:dyDescent="0.25">
      <c r="A3701" t="str">
        <f>IF(C3701&amp;G3701&amp;D3701&lt;&gt;'Funnel setup'!$K$3&amp;'Funnel setup'!$K$4&amp;'Funnel setup'!$K$6,".",IF(A3700=".",1,A3700+1))</f>
        <v>.</v>
      </c>
      <c r="B3701" s="244" t="str">
        <f t="shared" si="57"/>
        <v>Total Hip ReplacementProviderCAVELL HOSPITAL (NT451)EQ VAS</v>
      </c>
      <c r="C3701" t="s">
        <v>974</v>
      </c>
      <c r="D3701" t="s">
        <v>965</v>
      </c>
      <c r="E3701" t="s">
        <v>184</v>
      </c>
      <c r="F3701" t="s">
        <v>185</v>
      </c>
      <c r="G3701" t="s">
        <v>752</v>
      </c>
      <c r="H3701">
        <v>15</v>
      </c>
      <c r="I3701">
        <v>54.533299999999997</v>
      </c>
      <c r="J3701">
        <v>74.8</v>
      </c>
      <c r="K3701">
        <v>20.2667</v>
      </c>
      <c r="L3701">
        <v>11</v>
      </c>
      <c r="M3701">
        <v>1</v>
      </c>
      <c r="N3701">
        <v>3</v>
      </c>
      <c r="O3701" t="s">
        <v>127</v>
      </c>
      <c r="P3701" t="s">
        <v>127</v>
      </c>
      <c r="Q3701" t="s">
        <v>127</v>
      </c>
    </row>
    <row r="3702" spans="1:17" x14ac:dyDescent="0.25">
      <c r="A3702" t="str">
        <f>IF(C3702&amp;G3702&amp;D3702&lt;&gt;'Funnel setup'!$K$3&amp;'Funnel setup'!$K$4&amp;'Funnel setup'!$K$6,".",IF(A3701=".",1,A3701+1))</f>
        <v>.</v>
      </c>
      <c r="B3702" s="244" t="str">
        <f t="shared" si="57"/>
        <v>Total Hip ReplacementProviderCHAUCER HOSPITAL (NT408)EQ VAS</v>
      </c>
      <c r="C3702" t="s">
        <v>974</v>
      </c>
      <c r="D3702" t="s">
        <v>965</v>
      </c>
      <c r="E3702" t="s">
        <v>186</v>
      </c>
      <c r="F3702" t="s">
        <v>187</v>
      </c>
      <c r="G3702" t="s">
        <v>752</v>
      </c>
      <c r="H3702">
        <v>27</v>
      </c>
      <c r="I3702">
        <v>72.481499999999997</v>
      </c>
      <c r="J3702">
        <v>74.111099999999993</v>
      </c>
      <c r="K3702">
        <v>1.6296299999999999</v>
      </c>
      <c r="L3702">
        <v>13</v>
      </c>
      <c r="M3702">
        <v>1</v>
      </c>
      <c r="N3702">
        <v>13</v>
      </c>
      <c r="O3702" t="s">
        <v>127</v>
      </c>
      <c r="P3702" t="s">
        <v>127</v>
      </c>
      <c r="Q3702" t="s">
        <v>127</v>
      </c>
    </row>
    <row r="3703" spans="1:17" x14ac:dyDescent="0.25">
      <c r="A3703" t="str">
        <f>IF(C3703&amp;G3703&amp;D3703&lt;&gt;'Funnel setup'!$K$3&amp;'Funnel setup'!$K$4&amp;'Funnel setup'!$K$6,".",IF(A3702=".",1,A3702+1))</f>
        <v>.</v>
      </c>
      <c r="B3703" s="244" t="str">
        <f t="shared" si="57"/>
        <v>Total Hip ReplacementProviderCHELSEA AND WESTMINSTER HOSPITAL NHS FOUNDATION TRUST (RQM)EQ VAS</v>
      </c>
      <c r="C3703" t="s">
        <v>974</v>
      </c>
      <c r="D3703" t="s">
        <v>965</v>
      </c>
      <c r="E3703" t="s">
        <v>188</v>
      </c>
      <c r="F3703" t="s">
        <v>189</v>
      </c>
      <c r="G3703" t="s">
        <v>752</v>
      </c>
      <c r="H3703">
        <v>18</v>
      </c>
      <c r="I3703">
        <v>57.444400000000002</v>
      </c>
      <c r="J3703">
        <v>71.444400000000002</v>
      </c>
      <c r="K3703">
        <v>14</v>
      </c>
      <c r="L3703">
        <v>12</v>
      </c>
      <c r="M3703">
        <v>2</v>
      </c>
      <c r="N3703">
        <v>4</v>
      </c>
      <c r="O3703" t="s">
        <v>127</v>
      </c>
      <c r="P3703" t="s">
        <v>127</v>
      </c>
      <c r="Q3703" t="s">
        <v>127</v>
      </c>
    </row>
    <row r="3704" spans="1:17" x14ac:dyDescent="0.25">
      <c r="A3704" t="str">
        <f>IF(C3704&amp;G3704&amp;D3704&lt;&gt;'Funnel setup'!$K$3&amp;'Funnel setup'!$K$4&amp;'Funnel setup'!$K$6,".",IF(A3703=".",1,A3703+1))</f>
        <v>.</v>
      </c>
      <c r="B3704" s="244" t="str">
        <f t="shared" si="57"/>
        <v>Total Hip ReplacementProviderCHELSFIELD PARK HOSPITAL (NT409)EQ VAS</v>
      </c>
      <c r="C3704" t="s">
        <v>974</v>
      </c>
      <c r="D3704" t="s">
        <v>965</v>
      </c>
      <c r="E3704" t="s">
        <v>190</v>
      </c>
      <c r="F3704" t="s">
        <v>191</v>
      </c>
      <c r="G3704" t="s">
        <v>752</v>
      </c>
      <c r="H3704">
        <v>28</v>
      </c>
      <c r="I3704">
        <v>65.535700000000006</v>
      </c>
      <c r="J3704">
        <v>80.464299999999994</v>
      </c>
      <c r="K3704">
        <v>14.928599999999999</v>
      </c>
      <c r="L3704">
        <v>18</v>
      </c>
      <c r="M3704">
        <v>3</v>
      </c>
      <c r="N3704">
        <v>7</v>
      </c>
      <c r="O3704" t="s">
        <v>127</v>
      </c>
      <c r="P3704" t="s">
        <v>127</v>
      </c>
      <c r="Q3704" t="s">
        <v>127</v>
      </c>
    </row>
    <row r="3705" spans="1:17" x14ac:dyDescent="0.25">
      <c r="A3705" t="str">
        <f>IF(C3705&amp;G3705&amp;D3705&lt;&gt;'Funnel setup'!$K$3&amp;'Funnel setup'!$K$4&amp;'Funnel setup'!$K$6,".",IF(A3704=".",1,A3704+1))</f>
        <v>.</v>
      </c>
      <c r="B3705" s="244" t="str">
        <f t="shared" si="57"/>
        <v>Total Hip ReplacementProviderCHESTERFIELD ROYAL HOSPITAL NHS FOUNDATION TRUST (RFS)EQ VAS</v>
      </c>
      <c r="C3705" t="s">
        <v>974</v>
      </c>
      <c r="D3705" t="s">
        <v>965</v>
      </c>
      <c r="E3705" t="s">
        <v>192</v>
      </c>
      <c r="F3705" t="s">
        <v>193</v>
      </c>
      <c r="G3705" t="s">
        <v>752</v>
      </c>
      <c r="H3705">
        <v>62</v>
      </c>
      <c r="I3705">
        <v>57.7258</v>
      </c>
      <c r="J3705">
        <v>69.3065</v>
      </c>
      <c r="K3705">
        <v>11.5806</v>
      </c>
      <c r="L3705">
        <v>38</v>
      </c>
      <c r="M3705">
        <v>7</v>
      </c>
      <c r="N3705">
        <v>17</v>
      </c>
      <c r="O3705">
        <v>72.404399999999995</v>
      </c>
      <c r="P3705">
        <v>11.5883</v>
      </c>
      <c r="Q3705">
        <v>20.424299999999999</v>
      </c>
    </row>
    <row r="3706" spans="1:17" x14ac:dyDescent="0.25">
      <c r="A3706" t="str">
        <f>IF(C3706&amp;G3706&amp;D3706&lt;&gt;'Funnel setup'!$K$3&amp;'Funnel setup'!$K$4&amp;'Funnel setup'!$K$6,".",IF(A3705=".",1,A3705+1))</f>
        <v>.</v>
      </c>
      <c r="B3706" s="244" t="str">
        <f t="shared" si="57"/>
        <v>Total Hip ReplacementProviderCHILTERN HOSPITAL (NT410)EQ VAS</v>
      </c>
      <c r="C3706" t="s">
        <v>974</v>
      </c>
      <c r="D3706" t="s">
        <v>965</v>
      </c>
      <c r="E3706" t="s">
        <v>194</v>
      </c>
      <c r="F3706" t="s">
        <v>195</v>
      </c>
      <c r="G3706" t="s">
        <v>752</v>
      </c>
      <c r="H3706">
        <v>75</v>
      </c>
      <c r="I3706">
        <v>66.893299999999996</v>
      </c>
      <c r="J3706">
        <v>82.2667</v>
      </c>
      <c r="K3706">
        <v>15.3733</v>
      </c>
      <c r="L3706">
        <v>55</v>
      </c>
      <c r="M3706">
        <v>3</v>
      </c>
      <c r="N3706">
        <v>17</v>
      </c>
      <c r="O3706">
        <v>77.323800000000006</v>
      </c>
      <c r="P3706">
        <v>16.5077</v>
      </c>
      <c r="Q3706">
        <v>15.167299999999999</v>
      </c>
    </row>
    <row r="3707" spans="1:17" x14ac:dyDescent="0.25">
      <c r="A3707" t="str">
        <f>IF(C3707&amp;G3707&amp;D3707&lt;&gt;'Funnel setup'!$K$3&amp;'Funnel setup'!$K$4&amp;'Funnel setup'!$K$6,".",IF(A3706=".",1,A3706+1))</f>
        <v>.</v>
      </c>
      <c r="B3707" s="244" t="str">
        <f t="shared" si="57"/>
        <v>Total Hip ReplacementProviderCIRCLE BATH HOSPITAL (NV302)EQ VAS</v>
      </c>
      <c r="C3707" t="s">
        <v>974</v>
      </c>
      <c r="D3707" t="s">
        <v>965</v>
      </c>
      <c r="E3707" t="s">
        <v>196</v>
      </c>
      <c r="F3707" t="s">
        <v>197</v>
      </c>
      <c r="G3707" t="s">
        <v>752</v>
      </c>
      <c r="H3707">
        <v>11</v>
      </c>
      <c r="I3707">
        <v>64.818200000000004</v>
      </c>
      <c r="J3707">
        <v>83.7273</v>
      </c>
      <c r="K3707">
        <v>18.909099999999999</v>
      </c>
      <c r="L3707">
        <v>9</v>
      </c>
      <c r="M3707">
        <v>1</v>
      </c>
      <c r="N3707">
        <v>1</v>
      </c>
      <c r="O3707" t="s">
        <v>127</v>
      </c>
      <c r="P3707" t="s">
        <v>127</v>
      </c>
      <c r="Q3707" t="s">
        <v>127</v>
      </c>
    </row>
    <row r="3708" spans="1:17" x14ac:dyDescent="0.25">
      <c r="A3708" t="str">
        <f>IF(C3708&amp;G3708&amp;D3708&lt;&gt;'Funnel setup'!$K$3&amp;'Funnel setup'!$K$4&amp;'Funnel setup'!$K$6,".",IF(A3707=".",1,A3707+1))</f>
        <v>.</v>
      </c>
      <c r="B3708" s="244" t="str">
        <f t="shared" si="57"/>
        <v>Total Hip ReplacementProviderCIRCLE READING HOSPITAL (NV323)EQ VAS</v>
      </c>
      <c r="C3708" t="s">
        <v>974</v>
      </c>
      <c r="D3708" t="s">
        <v>965</v>
      </c>
      <c r="E3708" t="s">
        <v>198</v>
      </c>
      <c r="F3708" t="s">
        <v>199</v>
      </c>
      <c r="G3708" t="s">
        <v>752</v>
      </c>
      <c r="H3708">
        <v>63</v>
      </c>
      <c r="I3708">
        <v>43.904800000000002</v>
      </c>
      <c r="J3708">
        <v>79.206299999999999</v>
      </c>
      <c r="K3708">
        <v>35.301600000000001</v>
      </c>
      <c r="L3708">
        <v>57</v>
      </c>
      <c r="M3708">
        <v>1</v>
      </c>
      <c r="N3708">
        <v>5</v>
      </c>
      <c r="O3708">
        <v>78.618700000000004</v>
      </c>
      <c r="P3708">
        <v>17.802600000000002</v>
      </c>
      <c r="Q3708">
        <v>17.310199999999998</v>
      </c>
    </row>
    <row r="3709" spans="1:17" x14ac:dyDescent="0.25">
      <c r="A3709" t="str">
        <f>IF(C3709&amp;G3709&amp;D3709&lt;&gt;'Funnel setup'!$K$3&amp;'Funnel setup'!$K$4&amp;'Funnel setup'!$K$6,".",IF(A3708=".",1,A3708+1))</f>
        <v>.</v>
      </c>
      <c r="B3709" s="244" t="str">
        <f t="shared" si="57"/>
        <v>Total Hip ReplacementProviderCLEMENTINE CHURCHILL HOSPITAL (NT411)EQ VAS</v>
      </c>
      <c r="C3709" t="s">
        <v>974</v>
      </c>
      <c r="D3709" t="s">
        <v>965</v>
      </c>
      <c r="E3709" t="s">
        <v>200</v>
      </c>
      <c r="F3709" t="s">
        <v>201</v>
      </c>
      <c r="G3709" t="s">
        <v>752</v>
      </c>
      <c r="H3709">
        <v>21</v>
      </c>
      <c r="I3709">
        <v>59.285699999999999</v>
      </c>
      <c r="J3709">
        <v>68.666700000000006</v>
      </c>
      <c r="K3709">
        <v>9.3809500000000003</v>
      </c>
      <c r="L3709">
        <v>13</v>
      </c>
      <c r="M3709">
        <v>0</v>
      </c>
      <c r="N3709">
        <v>8</v>
      </c>
      <c r="O3709" t="s">
        <v>127</v>
      </c>
      <c r="P3709" t="s">
        <v>127</v>
      </c>
      <c r="Q3709" t="s">
        <v>127</v>
      </c>
    </row>
    <row r="3710" spans="1:17" x14ac:dyDescent="0.25">
      <c r="A3710" t="str">
        <f>IF(C3710&amp;G3710&amp;D3710&lt;&gt;'Funnel setup'!$K$3&amp;'Funnel setup'!$K$4&amp;'Funnel setup'!$K$6,".",IF(A3709=".",1,A3709+1))</f>
        <v>.</v>
      </c>
      <c r="B3710" s="244" t="str">
        <f t="shared" si="57"/>
        <v>Total Hip ReplacementProviderCLIFTON PARK HOSPITAL (NVC28)EQ VAS</v>
      </c>
      <c r="C3710" t="s">
        <v>974</v>
      </c>
      <c r="D3710" t="s">
        <v>965</v>
      </c>
      <c r="E3710" t="s">
        <v>202</v>
      </c>
      <c r="F3710" t="s">
        <v>203</v>
      </c>
      <c r="G3710" t="s">
        <v>752</v>
      </c>
      <c r="H3710">
        <v>39</v>
      </c>
      <c r="I3710">
        <v>51.666699999999999</v>
      </c>
      <c r="J3710">
        <v>73.974400000000003</v>
      </c>
      <c r="K3710">
        <v>22.307700000000001</v>
      </c>
      <c r="L3710">
        <v>32</v>
      </c>
      <c r="M3710">
        <v>0</v>
      </c>
      <c r="N3710">
        <v>7</v>
      </c>
      <c r="O3710">
        <v>74.514300000000006</v>
      </c>
      <c r="P3710">
        <v>13.6982</v>
      </c>
      <c r="Q3710">
        <v>21.895900000000001</v>
      </c>
    </row>
    <row r="3711" spans="1:17" x14ac:dyDescent="0.25">
      <c r="A3711" t="str">
        <f>IF(C3711&amp;G3711&amp;D3711&lt;&gt;'Funnel setup'!$K$3&amp;'Funnel setup'!$K$4&amp;'Funnel setup'!$K$6,".",IF(A3710=".",1,A3710+1))</f>
        <v>.</v>
      </c>
      <c r="B3711" s="244" t="str">
        <f t="shared" si="57"/>
        <v>Total Hip ReplacementProviderCOUNTESS OF CHESTER HOSPITAL NHS FOUNDATION TRUST (RJR)EQ VAS</v>
      </c>
      <c r="C3711" t="s">
        <v>974</v>
      </c>
      <c r="D3711" t="s">
        <v>965</v>
      </c>
      <c r="E3711" t="s">
        <v>204</v>
      </c>
      <c r="F3711" t="s">
        <v>205</v>
      </c>
      <c r="G3711" t="s">
        <v>752</v>
      </c>
      <c r="H3711">
        <v>23</v>
      </c>
      <c r="I3711">
        <v>63</v>
      </c>
      <c r="J3711">
        <v>77.782600000000002</v>
      </c>
      <c r="K3711">
        <v>14.7826</v>
      </c>
      <c r="L3711">
        <v>17</v>
      </c>
      <c r="M3711">
        <v>0</v>
      </c>
      <c r="N3711">
        <v>6</v>
      </c>
      <c r="O3711" t="s">
        <v>127</v>
      </c>
      <c r="P3711" t="s">
        <v>127</v>
      </c>
      <c r="Q3711" t="s">
        <v>127</v>
      </c>
    </row>
    <row r="3712" spans="1:17" x14ac:dyDescent="0.25">
      <c r="A3712" t="str">
        <f>IF(C3712&amp;G3712&amp;D3712&lt;&gt;'Funnel setup'!$K$3&amp;'Funnel setup'!$K$4&amp;'Funnel setup'!$K$6,".",IF(A3711=".",1,A3711+1))</f>
        <v>.</v>
      </c>
      <c r="B3712" s="244" t="str">
        <f t="shared" si="57"/>
        <v>Total Hip ReplacementProviderCOUNTY DURHAM AND DARLINGTON NHS FOUNDATION TRUST (RXP)EQ VAS</v>
      </c>
      <c r="C3712" t="s">
        <v>974</v>
      </c>
      <c r="D3712" t="s">
        <v>965</v>
      </c>
      <c r="E3712" t="s">
        <v>206</v>
      </c>
      <c r="F3712" t="s">
        <v>207</v>
      </c>
      <c r="G3712" t="s">
        <v>752</v>
      </c>
      <c r="H3712">
        <v>148</v>
      </c>
      <c r="I3712">
        <v>61.972999999999999</v>
      </c>
      <c r="J3712">
        <v>70.554100000000005</v>
      </c>
      <c r="K3712">
        <v>8.58108</v>
      </c>
      <c r="L3712">
        <v>83</v>
      </c>
      <c r="M3712">
        <v>17</v>
      </c>
      <c r="N3712">
        <v>48</v>
      </c>
      <c r="O3712">
        <v>72.020300000000006</v>
      </c>
      <c r="P3712">
        <v>11.2042</v>
      </c>
      <c r="Q3712">
        <v>19.273399999999999</v>
      </c>
    </row>
    <row r="3713" spans="1:17" x14ac:dyDescent="0.25">
      <c r="A3713" t="str">
        <f>IF(C3713&amp;G3713&amp;D3713&lt;&gt;'Funnel setup'!$K$3&amp;'Funnel setup'!$K$4&amp;'Funnel setup'!$K$6,".",IF(A3712=".",1,A3712+1))</f>
        <v>.</v>
      </c>
      <c r="B3713" s="244" t="str">
        <f t="shared" si="57"/>
        <v>Total Hip ReplacementProviderDONCASTER AND BASSETLAW TEACHING HOSPITALS NHS FOUNDATION TRUST (RP5)EQ VAS</v>
      </c>
      <c r="C3713" t="s">
        <v>974</v>
      </c>
      <c r="D3713" t="s">
        <v>965</v>
      </c>
      <c r="E3713" t="s">
        <v>212</v>
      </c>
      <c r="F3713" t="s">
        <v>213</v>
      </c>
      <c r="G3713" t="s">
        <v>752</v>
      </c>
      <c r="H3713">
        <v>60</v>
      </c>
      <c r="I3713">
        <v>52.966700000000003</v>
      </c>
      <c r="J3713">
        <v>69.666700000000006</v>
      </c>
      <c r="K3713">
        <v>16.7</v>
      </c>
      <c r="L3713">
        <v>44</v>
      </c>
      <c r="M3713">
        <v>4</v>
      </c>
      <c r="N3713">
        <v>12</v>
      </c>
      <c r="O3713">
        <v>75.171800000000005</v>
      </c>
      <c r="P3713">
        <v>14.355700000000001</v>
      </c>
      <c r="Q3713">
        <v>17.542100000000001</v>
      </c>
    </row>
    <row r="3714" spans="1:17" x14ac:dyDescent="0.25">
      <c r="A3714" t="str">
        <f>IF(C3714&amp;G3714&amp;D3714&lt;&gt;'Funnel setup'!$K$3&amp;'Funnel setup'!$K$4&amp;'Funnel setup'!$K$6,".",IF(A3713=".",1,A3713+1))</f>
        <v>.</v>
      </c>
      <c r="B3714" s="244" t="str">
        <f t="shared" ref="B3714:B3777" si="58">C3714&amp;D3714&amp;F3714&amp;G3714</f>
        <v>Total Hip ReplacementProviderDORSET COUNTY HOSPITAL NHS FOUNDATION TRUST (RBD)EQ VAS</v>
      </c>
      <c r="C3714" t="s">
        <v>974</v>
      </c>
      <c r="D3714" t="s">
        <v>965</v>
      </c>
      <c r="E3714" t="s">
        <v>214</v>
      </c>
      <c r="F3714" t="s">
        <v>215</v>
      </c>
      <c r="G3714" t="s">
        <v>752</v>
      </c>
      <c r="H3714">
        <v>12</v>
      </c>
      <c r="I3714">
        <v>62.666699999999999</v>
      </c>
      <c r="J3714">
        <v>77.083299999999994</v>
      </c>
      <c r="K3714">
        <v>14.416700000000001</v>
      </c>
      <c r="L3714">
        <v>10</v>
      </c>
      <c r="M3714">
        <v>0</v>
      </c>
      <c r="N3714">
        <v>2</v>
      </c>
      <c r="O3714" t="s">
        <v>127</v>
      </c>
      <c r="P3714" t="s">
        <v>127</v>
      </c>
      <c r="Q3714" t="s">
        <v>127</v>
      </c>
    </row>
    <row r="3715" spans="1:17" x14ac:dyDescent="0.25">
      <c r="A3715" t="str">
        <f>IF(C3715&amp;G3715&amp;D3715&lt;&gt;'Funnel setup'!$K$3&amp;'Funnel setup'!$K$4&amp;'Funnel setup'!$K$6,".",IF(A3714=".",1,A3714+1))</f>
        <v>.</v>
      </c>
      <c r="B3715" s="244" t="str">
        <f t="shared" si="58"/>
        <v>Total Hip ReplacementProviderDROITWICH SPA HOSPITAL (NT412)EQ VAS</v>
      </c>
      <c r="C3715" t="s">
        <v>974</v>
      </c>
      <c r="D3715" t="s">
        <v>965</v>
      </c>
      <c r="E3715" t="s">
        <v>216</v>
      </c>
      <c r="F3715" t="s">
        <v>217</v>
      </c>
      <c r="G3715" t="s">
        <v>752</v>
      </c>
      <c r="H3715">
        <v>24</v>
      </c>
      <c r="I3715">
        <v>56.958300000000001</v>
      </c>
      <c r="J3715">
        <v>80.083299999999994</v>
      </c>
      <c r="K3715">
        <v>23.125</v>
      </c>
      <c r="L3715">
        <v>19</v>
      </c>
      <c r="M3715">
        <v>2</v>
      </c>
      <c r="N3715">
        <v>3</v>
      </c>
      <c r="O3715" t="s">
        <v>127</v>
      </c>
      <c r="P3715" t="s">
        <v>127</v>
      </c>
      <c r="Q3715" t="s">
        <v>127</v>
      </c>
    </row>
    <row r="3716" spans="1:17" x14ac:dyDescent="0.25">
      <c r="A3716" t="str">
        <f>IF(C3716&amp;G3716&amp;D3716&lt;&gt;'Funnel setup'!$K$3&amp;'Funnel setup'!$K$4&amp;'Funnel setup'!$K$6,".",IF(A3715=".",1,A3715+1))</f>
        <v>.</v>
      </c>
      <c r="B3716" s="244" t="str">
        <f t="shared" si="58"/>
        <v>Total Hip ReplacementProviderDUCHY HOSPITAL (NT447)EQ VAS</v>
      </c>
      <c r="C3716" t="s">
        <v>974</v>
      </c>
      <c r="D3716" t="s">
        <v>965</v>
      </c>
      <c r="E3716" t="s">
        <v>218</v>
      </c>
      <c r="F3716" t="s">
        <v>219</v>
      </c>
      <c r="G3716" t="s">
        <v>752</v>
      </c>
      <c r="H3716">
        <v>27</v>
      </c>
      <c r="I3716">
        <v>64.185199999999995</v>
      </c>
      <c r="J3716">
        <v>81.074100000000001</v>
      </c>
      <c r="K3716">
        <v>16.8889</v>
      </c>
      <c r="L3716">
        <v>18</v>
      </c>
      <c r="M3716">
        <v>2</v>
      </c>
      <c r="N3716">
        <v>7</v>
      </c>
      <c r="O3716" t="s">
        <v>127</v>
      </c>
      <c r="P3716" t="s">
        <v>127</v>
      </c>
      <c r="Q3716" t="s">
        <v>127</v>
      </c>
    </row>
    <row r="3717" spans="1:17" x14ac:dyDescent="0.25">
      <c r="A3717" t="str">
        <f>IF(C3717&amp;G3717&amp;D3717&lt;&gt;'Funnel setup'!$K$3&amp;'Funnel setup'!$K$4&amp;'Funnel setup'!$K$6,".",IF(A3716=".",1,A3716+1))</f>
        <v>.</v>
      </c>
      <c r="B3717" s="244" t="str">
        <f t="shared" si="58"/>
        <v>Total Hip ReplacementProviderDUCHY HOSPITAL (NVC04)EQ VAS</v>
      </c>
      <c r="C3717" t="s">
        <v>974</v>
      </c>
      <c r="D3717" t="s">
        <v>965</v>
      </c>
      <c r="E3717" t="s">
        <v>220</v>
      </c>
      <c r="F3717" t="s">
        <v>221</v>
      </c>
      <c r="G3717" t="s">
        <v>752</v>
      </c>
      <c r="H3717">
        <v>25</v>
      </c>
      <c r="I3717">
        <v>50</v>
      </c>
      <c r="J3717">
        <v>71.959999999999994</v>
      </c>
      <c r="K3717">
        <v>21.96</v>
      </c>
      <c r="L3717">
        <v>20</v>
      </c>
      <c r="M3717">
        <v>3</v>
      </c>
      <c r="N3717">
        <v>2</v>
      </c>
      <c r="O3717" t="s">
        <v>127</v>
      </c>
      <c r="P3717" t="s">
        <v>127</v>
      </c>
      <c r="Q3717" t="s">
        <v>127</v>
      </c>
    </row>
    <row r="3718" spans="1:17" x14ac:dyDescent="0.25">
      <c r="A3718" t="str">
        <f>IF(C3718&amp;G3718&amp;D3718&lt;&gt;'Funnel setup'!$K$3&amp;'Funnel setup'!$K$4&amp;'Funnel setup'!$K$6,".",IF(A3717=".",1,A3717+1))</f>
        <v>.</v>
      </c>
      <c r="B3718" s="244" t="str">
        <f t="shared" si="58"/>
        <v>Total Hip ReplacementProviderEAST AND NORTH HERTFORDSHIRE NHS TRUST (RWH)EQ VAS</v>
      </c>
      <c r="C3718" t="s">
        <v>974</v>
      </c>
      <c r="D3718" t="s">
        <v>965</v>
      </c>
      <c r="E3718" t="s">
        <v>224</v>
      </c>
      <c r="F3718" t="s">
        <v>225</v>
      </c>
      <c r="G3718" t="s">
        <v>752</v>
      </c>
      <c r="H3718">
        <v>41</v>
      </c>
      <c r="I3718">
        <v>59.439</v>
      </c>
      <c r="J3718">
        <v>77.682900000000004</v>
      </c>
      <c r="K3718">
        <v>18.2439</v>
      </c>
      <c r="L3718">
        <v>29</v>
      </c>
      <c r="M3718">
        <v>4</v>
      </c>
      <c r="N3718">
        <v>8</v>
      </c>
      <c r="O3718">
        <v>78.168800000000005</v>
      </c>
      <c r="P3718">
        <v>17.352699999999999</v>
      </c>
      <c r="Q3718">
        <v>15.5006</v>
      </c>
    </row>
    <row r="3719" spans="1:17" x14ac:dyDescent="0.25">
      <c r="A3719" t="str">
        <f>IF(C3719&amp;G3719&amp;D3719&lt;&gt;'Funnel setup'!$K$3&amp;'Funnel setup'!$K$4&amp;'Funnel setup'!$K$6,".",IF(A3718=".",1,A3718+1))</f>
        <v>.</v>
      </c>
      <c r="B3719" s="244" t="str">
        <f t="shared" si="58"/>
        <v>Total Hip ReplacementProviderEAST CHESHIRE NHS TRUST (RJN)EQ VAS</v>
      </c>
      <c r="C3719" t="s">
        <v>974</v>
      </c>
      <c r="D3719" t="s">
        <v>965</v>
      </c>
      <c r="E3719" t="s">
        <v>226</v>
      </c>
      <c r="F3719" t="s">
        <v>227</v>
      </c>
      <c r="G3719" t="s">
        <v>752</v>
      </c>
      <c r="H3719">
        <v>4</v>
      </c>
      <c r="I3719">
        <v>72.5</v>
      </c>
      <c r="J3719">
        <v>63.75</v>
      </c>
      <c r="K3719">
        <v>-8.75</v>
      </c>
      <c r="L3719">
        <v>1</v>
      </c>
      <c r="M3719">
        <v>1</v>
      </c>
      <c r="N3719">
        <v>2</v>
      </c>
      <c r="O3719" t="s">
        <v>127</v>
      </c>
      <c r="P3719" t="s">
        <v>127</v>
      </c>
      <c r="Q3719" t="s">
        <v>127</v>
      </c>
    </row>
    <row r="3720" spans="1:17" x14ac:dyDescent="0.25">
      <c r="A3720" t="str">
        <f>IF(C3720&amp;G3720&amp;D3720&lt;&gt;'Funnel setup'!$K$3&amp;'Funnel setup'!$K$4&amp;'Funnel setup'!$K$6,".",IF(A3719=".",1,A3719+1))</f>
        <v>.</v>
      </c>
      <c r="B3720" s="244" t="str">
        <f t="shared" si="58"/>
        <v>Total Hip ReplacementProviderEAST KENT HOSPITALS UNIVERSITY NHS FOUNDATION TRUST (RVV)EQ VAS</v>
      </c>
      <c r="C3720" t="s">
        <v>974</v>
      </c>
      <c r="D3720" t="s">
        <v>965</v>
      </c>
      <c r="E3720" t="s">
        <v>228</v>
      </c>
      <c r="F3720" t="s">
        <v>229</v>
      </c>
      <c r="G3720" t="s">
        <v>752</v>
      </c>
      <c r="H3720">
        <v>92</v>
      </c>
      <c r="I3720">
        <v>57.630400000000002</v>
      </c>
      <c r="J3720">
        <v>71.706500000000005</v>
      </c>
      <c r="K3720">
        <v>14.0761</v>
      </c>
      <c r="L3720">
        <v>65</v>
      </c>
      <c r="M3720">
        <v>6</v>
      </c>
      <c r="N3720">
        <v>21</v>
      </c>
      <c r="O3720">
        <v>75.429599999999994</v>
      </c>
      <c r="P3720">
        <v>14.6135</v>
      </c>
      <c r="Q3720">
        <v>17.0274</v>
      </c>
    </row>
    <row r="3721" spans="1:17" x14ac:dyDescent="0.25">
      <c r="A3721" t="str">
        <f>IF(C3721&amp;G3721&amp;D3721&lt;&gt;'Funnel setup'!$K$3&amp;'Funnel setup'!$K$4&amp;'Funnel setup'!$K$6,".",IF(A3720=".",1,A3720+1))</f>
        <v>.</v>
      </c>
      <c r="B3721" s="244" t="str">
        <f t="shared" si="58"/>
        <v>Total Hip ReplacementProviderEAST LANCASHIRE HOSPITALS NHS TRUST (RXR)EQ VAS</v>
      </c>
      <c r="C3721" t="s">
        <v>974</v>
      </c>
      <c r="D3721" t="s">
        <v>965</v>
      </c>
      <c r="E3721" t="s">
        <v>230</v>
      </c>
      <c r="F3721" t="s">
        <v>231</v>
      </c>
      <c r="G3721" t="s">
        <v>752</v>
      </c>
      <c r="H3721">
        <v>81</v>
      </c>
      <c r="I3721">
        <v>61.320999999999998</v>
      </c>
      <c r="J3721">
        <v>73.172799999999995</v>
      </c>
      <c r="K3721">
        <v>11.851900000000001</v>
      </c>
      <c r="L3721">
        <v>49</v>
      </c>
      <c r="M3721">
        <v>6</v>
      </c>
      <c r="N3721">
        <v>26</v>
      </c>
      <c r="O3721">
        <v>75.071200000000005</v>
      </c>
      <c r="P3721">
        <v>14.255100000000001</v>
      </c>
      <c r="Q3721">
        <v>15.4528</v>
      </c>
    </row>
    <row r="3722" spans="1:17" x14ac:dyDescent="0.25">
      <c r="A3722" t="str">
        <f>IF(C3722&amp;G3722&amp;D3722&lt;&gt;'Funnel setup'!$K$3&amp;'Funnel setup'!$K$4&amp;'Funnel setup'!$K$6,".",IF(A3721=".",1,A3721+1))</f>
        <v>.</v>
      </c>
      <c r="B3722" s="244" t="str">
        <f t="shared" si="58"/>
        <v>Total Hip ReplacementProviderEAST SUFFOLK AND NORTH ESSEX NHS FOUNDATION TRUST (RDE)EQ VAS</v>
      </c>
      <c r="C3722" t="s">
        <v>974</v>
      </c>
      <c r="D3722" t="s">
        <v>965</v>
      </c>
      <c r="E3722" t="s">
        <v>232</v>
      </c>
      <c r="F3722" t="s">
        <v>233</v>
      </c>
      <c r="G3722" t="s">
        <v>752</v>
      </c>
      <c r="H3722">
        <v>127</v>
      </c>
      <c r="I3722">
        <v>56.551200000000001</v>
      </c>
      <c r="J3722">
        <v>76.196899999999999</v>
      </c>
      <c r="K3722">
        <v>19.645700000000001</v>
      </c>
      <c r="L3722">
        <v>97</v>
      </c>
      <c r="M3722">
        <v>13</v>
      </c>
      <c r="N3722">
        <v>17</v>
      </c>
      <c r="O3722">
        <v>77.639399999999995</v>
      </c>
      <c r="P3722">
        <v>16.8233</v>
      </c>
      <c r="Q3722">
        <v>16.0626</v>
      </c>
    </row>
    <row r="3723" spans="1:17" x14ac:dyDescent="0.25">
      <c r="A3723" t="str">
        <f>IF(C3723&amp;G3723&amp;D3723&lt;&gt;'Funnel setup'!$K$3&amp;'Funnel setup'!$K$4&amp;'Funnel setup'!$K$6,".",IF(A3722=".",1,A3722+1))</f>
        <v>.</v>
      </c>
      <c r="B3723" s="244" t="str">
        <f t="shared" si="58"/>
        <v>Total Hip ReplacementProviderEAST SUSSEX HEALTHCARE NHS TRUST (RXC)EQ VAS</v>
      </c>
      <c r="C3723" t="s">
        <v>974</v>
      </c>
      <c r="D3723" t="s">
        <v>965</v>
      </c>
      <c r="E3723" t="s">
        <v>234</v>
      </c>
      <c r="F3723" t="s">
        <v>235</v>
      </c>
      <c r="G3723" t="s">
        <v>752</v>
      </c>
      <c r="H3723">
        <v>85</v>
      </c>
      <c r="I3723">
        <v>63.058799999999998</v>
      </c>
      <c r="J3723">
        <v>74.494100000000003</v>
      </c>
      <c r="K3723">
        <v>11.4353</v>
      </c>
      <c r="L3723">
        <v>54</v>
      </c>
      <c r="M3723">
        <v>12</v>
      </c>
      <c r="N3723">
        <v>19</v>
      </c>
      <c r="O3723">
        <v>75.185000000000002</v>
      </c>
      <c r="P3723">
        <v>14.3689</v>
      </c>
      <c r="Q3723">
        <v>17.2088</v>
      </c>
    </row>
    <row r="3724" spans="1:17" x14ac:dyDescent="0.25">
      <c r="A3724" t="str">
        <f>IF(C3724&amp;G3724&amp;D3724&lt;&gt;'Funnel setup'!$K$3&amp;'Funnel setup'!$K$4&amp;'Funnel setup'!$K$6,".",IF(A3723=".",1,A3723+1))</f>
        <v>.</v>
      </c>
      <c r="B3724" s="244" t="str">
        <f t="shared" si="58"/>
        <v>Total Hip ReplacementProviderEPSOM AND ST HELIER UNIVERSITY HOSPITALS NHS TRUST (RVR)EQ VAS</v>
      </c>
      <c r="C3724" t="s">
        <v>974</v>
      </c>
      <c r="D3724" t="s">
        <v>965</v>
      </c>
      <c r="E3724" t="s">
        <v>238</v>
      </c>
      <c r="F3724" t="s">
        <v>239</v>
      </c>
      <c r="G3724" t="s">
        <v>752</v>
      </c>
      <c r="H3724">
        <v>527</v>
      </c>
      <c r="I3724">
        <v>59.783700000000003</v>
      </c>
      <c r="J3724">
        <v>76.282700000000006</v>
      </c>
      <c r="K3724">
        <v>16.499099999999999</v>
      </c>
      <c r="L3724">
        <v>391</v>
      </c>
      <c r="M3724">
        <v>59</v>
      </c>
      <c r="N3724">
        <v>77</v>
      </c>
      <c r="O3724">
        <v>76.635900000000007</v>
      </c>
      <c r="P3724">
        <v>15.819800000000001</v>
      </c>
      <c r="Q3724">
        <v>16.000699999999998</v>
      </c>
    </row>
    <row r="3725" spans="1:17" x14ac:dyDescent="0.25">
      <c r="A3725" t="str">
        <f>IF(C3725&amp;G3725&amp;D3725&lt;&gt;'Funnel setup'!$K$3&amp;'Funnel setup'!$K$4&amp;'Funnel setup'!$K$6,".",IF(A3724=".",1,A3724+1))</f>
        <v>.</v>
      </c>
      <c r="B3725" s="244" t="str">
        <f t="shared" si="58"/>
        <v>Total Hip ReplacementProviderEUXTON HALL HOSPITAL (NVC05)EQ VAS</v>
      </c>
      <c r="C3725" t="s">
        <v>974</v>
      </c>
      <c r="D3725" t="s">
        <v>965</v>
      </c>
      <c r="E3725" t="s">
        <v>240</v>
      </c>
      <c r="F3725" t="s">
        <v>241</v>
      </c>
      <c r="G3725" t="s">
        <v>752</v>
      </c>
      <c r="H3725">
        <v>52</v>
      </c>
      <c r="I3725">
        <v>62.076900000000002</v>
      </c>
      <c r="J3725">
        <v>78.615399999999994</v>
      </c>
      <c r="K3725">
        <v>16.538499999999999</v>
      </c>
      <c r="L3725">
        <v>43</v>
      </c>
      <c r="M3725">
        <v>4</v>
      </c>
      <c r="N3725">
        <v>5</v>
      </c>
      <c r="O3725">
        <v>78.552199999999999</v>
      </c>
      <c r="P3725">
        <v>17.7361</v>
      </c>
      <c r="Q3725">
        <v>16.146000000000001</v>
      </c>
    </row>
    <row r="3726" spans="1:17" x14ac:dyDescent="0.25">
      <c r="A3726" t="str">
        <f>IF(C3726&amp;G3726&amp;D3726&lt;&gt;'Funnel setup'!$K$3&amp;'Funnel setup'!$K$4&amp;'Funnel setup'!$K$6,".",IF(A3725=".",1,A3725+1))</f>
        <v>.</v>
      </c>
      <c r="B3726" s="244" t="str">
        <f t="shared" si="58"/>
        <v>Total Hip ReplacementProviderFAIRFIELD HOSPITAL (NVG01)EQ VAS</v>
      </c>
      <c r="C3726" t="s">
        <v>974</v>
      </c>
      <c r="D3726" t="s">
        <v>965</v>
      </c>
      <c r="E3726" t="s">
        <v>242</v>
      </c>
      <c r="F3726" t="s">
        <v>243</v>
      </c>
      <c r="G3726" t="s">
        <v>752</v>
      </c>
      <c r="H3726">
        <v>40</v>
      </c>
      <c r="I3726">
        <v>61.424999999999997</v>
      </c>
      <c r="J3726">
        <v>68.674999999999997</v>
      </c>
      <c r="K3726">
        <v>7.25</v>
      </c>
      <c r="L3726">
        <v>25</v>
      </c>
      <c r="M3726">
        <v>2</v>
      </c>
      <c r="N3726">
        <v>13</v>
      </c>
      <c r="O3726">
        <v>68.696600000000004</v>
      </c>
      <c r="P3726">
        <v>7.8805100000000001</v>
      </c>
      <c r="Q3726">
        <v>19.490200000000002</v>
      </c>
    </row>
    <row r="3727" spans="1:17" x14ac:dyDescent="0.25">
      <c r="A3727" t="str">
        <f>IF(C3727&amp;G3727&amp;D3727&lt;&gt;'Funnel setup'!$K$3&amp;'Funnel setup'!$K$4&amp;'Funnel setup'!$K$6,".",IF(A3726=".",1,A3726+1))</f>
        <v>.</v>
      </c>
      <c r="B3727" s="244" t="str">
        <f t="shared" si="58"/>
        <v>Total Hip ReplacementProviderFITZWILLIAM HOSPITAL (NVC06)EQ VAS</v>
      </c>
      <c r="C3727" t="s">
        <v>974</v>
      </c>
      <c r="D3727" t="s">
        <v>965</v>
      </c>
      <c r="E3727" t="s">
        <v>244</v>
      </c>
      <c r="F3727" t="s">
        <v>245</v>
      </c>
      <c r="G3727" t="s">
        <v>752</v>
      </c>
      <c r="H3727">
        <v>52</v>
      </c>
      <c r="I3727">
        <v>64.207499999999996</v>
      </c>
      <c r="J3727">
        <v>76.490600000000001</v>
      </c>
      <c r="K3727">
        <v>12.282999999999999</v>
      </c>
      <c r="L3727">
        <v>38</v>
      </c>
      <c r="M3727">
        <v>2</v>
      </c>
      <c r="N3727">
        <v>12</v>
      </c>
      <c r="O3727">
        <v>75.503399999999999</v>
      </c>
      <c r="P3727">
        <v>14.6873</v>
      </c>
      <c r="Q3727">
        <v>14.963800000000001</v>
      </c>
    </row>
    <row r="3728" spans="1:17" x14ac:dyDescent="0.25">
      <c r="A3728" t="str">
        <f>IF(C3728&amp;G3728&amp;D3728&lt;&gt;'Funnel setup'!$K$3&amp;'Funnel setup'!$K$4&amp;'Funnel setup'!$K$6,".",IF(A3727=".",1,A3727+1))</f>
        <v>.</v>
      </c>
      <c r="B3728" s="244" t="str">
        <f t="shared" si="58"/>
        <v>Total Hip ReplacementProviderFRIMLEY HEALTH NHS FOUNDATION TRUST (RDU)EQ VAS</v>
      </c>
      <c r="C3728" t="s">
        <v>974</v>
      </c>
      <c r="D3728" t="s">
        <v>965</v>
      </c>
      <c r="E3728" t="s">
        <v>248</v>
      </c>
      <c r="F3728" t="s">
        <v>249</v>
      </c>
      <c r="G3728" t="s">
        <v>752</v>
      </c>
      <c r="H3728">
        <v>161</v>
      </c>
      <c r="I3728">
        <v>63.770200000000003</v>
      </c>
      <c r="J3728">
        <v>75.701899999999995</v>
      </c>
      <c r="K3728">
        <v>11.931699999999999</v>
      </c>
      <c r="L3728">
        <v>110</v>
      </c>
      <c r="M3728">
        <v>14</v>
      </c>
      <c r="N3728">
        <v>37</v>
      </c>
      <c r="O3728">
        <v>73.967200000000005</v>
      </c>
      <c r="P3728">
        <v>13.1511</v>
      </c>
      <c r="Q3728">
        <v>17.743099999999998</v>
      </c>
    </row>
    <row r="3729" spans="1:17" x14ac:dyDescent="0.25">
      <c r="A3729" t="str">
        <f>IF(C3729&amp;G3729&amp;D3729&lt;&gt;'Funnel setup'!$K$3&amp;'Funnel setup'!$K$4&amp;'Funnel setup'!$K$6,".",IF(A3728=".",1,A3728+1))</f>
        <v>.</v>
      </c>
      <c r="B3729" s="244" t="str">
        <f t="shared" si="58"/>
        <v>Total Hip ReplacementProviderFULWOOD HALL HOSPITAL (NVC07)EQ VAS</v>
      </c>
      <c r="C3729" t="s">
        <v>974</v>
      </c>
      <c r="D3729" t="s">
        <v>965</v>
      </c>
      <c r="E3729" t="s">
        <v>250</v>
      </c>
      <c r="F3729" t="s">
        <v>251</v>
      </c>
      <c r="G3729" t="s">
        <v>752</v>
      </c>
      <c r="H3729">
        <v>67</v>
      </c>
      <c r="I3729">
        <v>70.059700000000007</v>
      </c>
      <c r="J3729">
        <v>80.089600000000004</v>
      </c>
      <c r="K3729">
        <v>10.0299</v>
      </c>
      <c r="L3729">
        <v>48</v>
      </c>
      <c r="M3729">
        <v>3</v>
      </c>
      <c r="N3729">
        <v>16</v>
      </c>
      <c r="O3729">
        <v>76.719700000000003</v>
      </c>
      <c r="P3729">
        <v>15.903600000000001</v>
      </c>
      <c r="Q3729">
        <v>12.8101</v>
      </c>
    </row>
    <row r="3730" spans="1:17" x14ac:dyDescent="0.25">
      <c r="A3730" t="str">
        <f>IF(C3730&amp;G3730&amp;D3730&lt;&gt;'Funnel setup'!$K$3&amp;'Funnel setup'!$K$4&amp;'Funnel setup'!$K$6,".",IF(A3729=".",1,A3729+1))</f>
        <v>.</v>
      </c>
      <c r="B3730" s="244" t="str">
        <f t="shared" si="58"/>
        <v>Total Hip ReplacementProviderGATESHEAD HEALTH NHS FOUNDATION TRUST (RR7)EQ VAS</v>
      </c>
      <c r="C3730" t="s">
        <v>974</v>
      </c>
      <c r="D3730" t="s">
        <v>965</v>
      </c>
      <c r="E3730" t="s">
        <v>252</v>
      </c>
      <c r="F3730" t="s">
        <v>253</v>
      </c>
      <c r="G3730" t="s">
        <v>752</v>
      </c>
      <c r="H3730">
        <v>55</v>
      </c>
      <c r="I3730">
        <v>50.618200000000002</v>
      </c>
      <c r="J3730">
        <v>72.581800000000001</v>
      </c>
      <c r="K3730">
        <v>21.9636</v>
      </c>
      <c r="L3730">
        <v>41</v>
      </c>
      <c r="M3730">
        <v>5</v>
      </c>
      <c r="N3730">
        <v>9</v>
      </c>
      <c r="O3730">
        <v>78.127300000000005</v>
      </c>
      <c r="P3730">
        <v>17.311199999999999</v>
      </c>
      <c r="Q3730">
        <v>19.226600000000001</v>
      </c>
    </row>
    <row r="3731" spans="1:17" x14ac:dyDescent="0.25">
      <c r="A3731" t="str">
        <f>IF(C3731&amp;G3731&amp;D3731&lt;&gt;'Funnel setup'!$K$3&amp;'Funnel setup'!$K$4&amp;'Funnel setup'!$K$6,".",IF(A3730=".",1,A3730+1))</f>
        <v>.</v>
      </c>
      <c r="B3731" s="244" t="str">
        <f t="shared" si="58"/>
        <v>Total Hip ReplacementProviderGLOUCESTERSHIRE HOSPITALS NHS FOUNDATION TRUST (RTE)EQ VAS</v>
      </c>
      <c r="C3731" t="s">
        <v>974</v>
      </c>
      <c r="D3731" t="s">
        <v>965</v>
      </c>
      <c r="E3731" t="s">
        <v>256</v>
      </c>
      <c r="F3731" t="s">
        <v>257</v>
      </c>
      <c r="G3731" t="s">
        <v>752</v>
      </c>
      <c r="H3731">
        <v>67</v>
      </c>
      <c r="I3731">
        <v>49.656700000000001</v>
      </c>
      <c r="J3731">
        <v>71.641800000000003</v>
      </c>
      <c r="K3731">
        <v>21.985099999999999</v>
      </c>
      <c r="L3731">
        <v>51</v>
      </c>
      <c r="M3731">
        <v>3</v>
      </c>
      <c r="N3731">
        <v>13</v>
      </c>
      <c r="O3731">
        <v>75.0501</v>
      </c>
      <c r="P3731">
        <v>14.234</v>
      </c>
      <c r="Q3731">
        <v>17.465599999999998</v>
      </c>
    </row>
    <row r="3732" spans="1:17" x14ac:dyDescent="0.25">
      <c r="A3732" t="str">
        <f>IF(C3732&amp;G3732&amp;D3732&lt;&gt;'Funnel setup'!$K$3&amp;'Funnel setup'!$K$4&amp;'Funnel setup'!$K$6,".",IF(A3731=".",1,A3731+1))</f>
        <v>.</v>
      </c>
      <c r="B3732" s="244" t="str">
        <f t="shared" si="58"/>
        <v>Total Hip ReplacementProviderGORING HALL HOSPITAL (NT417)EQ VAS</v>
      </c>
      <c r="C3732" t="s">
        <v>974</v>
      </c>
      <c r="D3732" t="s">
        <v>965</v>
      </c>
      <c r="E3732" t="s">
        <v>258</v>
      </c>
      <c r="F3732" t="s">
        <v>259</v>
      </c>
      <c r="G3732" t="s">
        <v>752</v>
      </c>
      <c r="H3732">
        <v>23</v>
      </c>
      <c r="I3732">
        <v>64.173900000000003</v>
      </c>
      <c r="J3732">
        <v>73.695700000000002</v>
      </c>
      <c r="K3732">
        <v>9.5217399999999994</v>
      </c>
      <c r="L3732">
        <v>14</v>
      </c>
      <c r="M3732">
        <v>2</v>
      </c>
      <c r="N3732">
        <v>7</v>
      </c>
      <c r="O3732" t="s">
        <v>127</v>
      </c>
      <c r="P3732" t="s">
        <v>127</v>
      </c>
      <c r="Q3732" t="s">
        <v>127</v>
      </c>
    </row>
    <row r="3733" spans="1:17" x14ac:dyDescent="0.25">
      <c r="A3733" t="str">
        <f>IF(C3733&amp;G3733&amp;D3733&lt;&gt;'Funnel setup'!$K$3&amp;'Funnel setup'!$K$4&amp;'Funnel setup'!$K$6,".",IF(A3732=".",1,A3732+1))</f>
        <v>.</v>
      </c>
      <c r="B3733" s="244" t="str">
        <f t="shared" si="58"/>
        <v>Total Hip ReplacementProviderGUY'S AND ST THOMAS' NHS FOUNDATION TRUST (RJ1)EQ VAS</v>
      </c>
      <c r="C3733" t="s">
        <v>974</v>
      </c>
      <c r="D3733" t="s">
        <v>965</v>
      </c>
      <c r="E3733" t="s">
        <v>262</v>
      </c>
      <c r="F3733" t="s">
        <v>263</v>
      </c>
      <c r="G3733" t="s">
        <v>752</v>
      </c>
      <c r="H3733">
        <v>83</v>
      </c>
      <c r="I3733">
        <v>55.734900000000003</v>
      </c>
      <c r="J3733">
        <v>68.915700000000001</v>
      </c>
      <c r="K3733">
        <v>13.1807</v>
      </c>
      <c r="L3733">
        <v>65</v>
      </c>
      <c r="M3733">
        <v>4</v>
      </c>
      <c r="N3733">
        <v>14</v>
      </c>
      <c r="O3733">
        <v>70.156599999999997</v>
      </c>
      <c r="P3733">
        <v>9.3405400000000007</v>
      </c>
      <c r="Q3733">
        <v>15.6374</v>
      </c>
    </row>
    <row r="3734" spans="1:17" x14ac:dyDescent="0.25">
      <c r="A3734" t="str">
        <f>IF(C3734&amp;G3734&amp;D3734&lt;&gt;'Funnel setup'!$K$3&amp;'Funnel setup'!$K$4&amp;'Funnel setup'!$K$6,".",IF(A3733=".",1,A3733+1))</f>
        <v>.</v>
      </c>
      <c r="B3734" s="244" t="str">
        <f t="shared" si="58"/>
        <v>Total Hip ReplacementProviderHAMPSHIRE CLINIC (NT418)EQ VAS</v>
      </c>
      <c r="C3734" t="s">
        <v>974</v>
      </c>
      <c r="D3734" t="s">
        <v>965</v>
      </c>
      <c r="E3734" t="s">
        <v>264</v>
      </c>
      <c r="F3734" t="s">
        <v>265</v>
      </c>
      <c r="G3734" t="s">
        <v>752</v>
      </c>
      <c r="H3734">
        <v>25</v>
      </c>
      <c r="I3734">
        <v>67.040000000000006</v>
      </c>
      <c r="J3734">
        <v>81.64</v>
      </c>
      <c r="K3734">
        <v>14.6</v>
      </c>
      <c r="L3734">
        <v>18</v>
      </c>
      <c r="M3734">
        <v>3</v>
      </c>
      <c r="N3734">
        <v>4</v>
      </c>
      <c r="O3734" t="s">
        <v>127</v>
      </c>
      <c r="P3734" t="s">
        <v>127</v>
      </c>
      <c r="Q3734" t="s">
        <v>127</v>
      </c>
    </row>
    <row r="3735" spans="1:17" x14ac:dyDescent="0.25">
      <c r="A3735" t="str">
        <f>IF(C3735&amp;G3735&amp;D3735&lt;&gt;'Funnel setup'!$K$3&amp;'Funnel setup'!$K$4&amp;'Funnel setup'!$K$6,".",IF(A3734=".",1,A3734+1))</f>
        <v>.</v>
      </c>
      <c r="B3735" s="244" t="str">
        <f t="shared" si="58"/>
        <v>Total Hip ReplacementProviderHAMPSHIRE HOSPITALS NHS FOUNDATION TRUST (RN5)EQ VAS</v>
      </c>
      <c r="C3735" t="s">
        <v>974</v>
      </c>
      <c r="D3735" t="s">
        <v>965</v>
      </c>
      <c r="E3735" t="s">
        <v>266</v>
      </c>
      <c r="F3735" t="s">
        <v>267</v>
      </c>
      <c r="G3735" t="s">
        <v>752</v>
      </c>
      <c r="H3735">
        <v>34</v>
      </c>
      <c r="I3735">
        <v>54.558799999999998</v>
      </c>
      <c r="J3735">
        <v>72.882400000000004</v>
      </c>
      <c r="K3735">
        <v>18.323499999999999</v>
      </c>
      <c r="L3735">
        <v>23</v>
      </c>
      <c r="M3735">
        <v>5</v>
      </c>
      <c r="N3735">
        <v>6</v>
      </c>
      <c r="O3735">
        <v>75.905199999999994</v>
      </c>
      <c r="P3735">
        <v>15.0891</v>
      </c>
      <c r="Q3735">
        <v>19.041399999999999</v>
      </c>
    </row>
    <row r="3736" spans="1:17" x14ac:dyDescent="0.25">
      <c r="A3736" t="str">
        <f>IF(C3736&amp;G3736&amp;D3736&lt;&gt;'Funnel setup'!$K$3&amp;'Funnel setup'!$K$4&amp;'Funnel setup'!$K$6,".",IF(A3735=".",1,A3735+1))</f>
        <v>.</v>
      </c>
      <c r="B3736" s="244" t="str">
        <f t="shared" si="58"/>
        <v>Total Hip ReplacementProviderHARBOUR HOSPITAL (NT419)EQ VAS</v>
      </c>
      <c r="C3736" t="s">
        <v>974</v>
      </c>
      <c r="D3736" t="s">
        <v>965</v>
      </c>
      <c r="E3736" t="s">
        <v>268</v>
      </c>
      <c r="F3736" t="s">
        <v>269</v>
      </c>
      <c r="G3736" t="s">
        <v>752</v>
      </c>
      <c r="H3736">
        <v>10</v>
      </c>
      <c r="I3736">
        <v>63</v>
      </c>
      <c r="J3736">
        <v>84.2</v>
      </c>
      <c r="K3736">
        <v>21.2</v>
      </c>
      <c r="L3736">
        <v>9</v>
      </c>
      <c r="M3736">
        <v>1</v>
      </c>
      <c r="N3736">
        <v>0</v>
      </c>
      <c r="O3736" t="s">
        <v>127</v>
      </c>
      <c r="P3736" t="s">
        <v>127</v>
      </c>
      <c r="Q3736" t="s">
        <v>127</v>
      </c>
    </row>
    <row r="3737" spans="1:17" x14ac:dyDescent="0.25">
      <c r="A3737" t="str">
        <f>IF(C3737&amp;G3737&amp;D3737&lt;&gt;'Funnel setup'!$K$3&amp;'Funnel setup'!$K$4&amp;'Funnel setup'!$K$6,".",IF(A3736=".",1,A3736+1))</f>
        <v>.</v>
      </c>
      <c r="B3737" s="244" t="str">
        <f t="shared" si="58"/>
        <v>Total Hip ReplacementProviderHARROGATE AND DISTRICT NHS FOUNDATION TRUST (RCD)EQ VAS</v>
      </c>
      <c r="C3737" t="s">
        <v>974</v>
      </c>
      <c r="D3737" t="s">
        <v>965</v>
      </c>
      <c r="E3737" t="s">
        <v>270</v>
      </c>
      <c r="F3737" t="s">
        <v>271</v>
      </c>
      <c r="G3737" t="s">
        <v>752</v>
      </c>
      <c r="H3737">
        <v>73</v>
      </c>
      <c r="I3737">
        <v>61.616399999999999</v>
      </c>
      <c r="J3737">
        <v>76.780799999999999</v>
      </c>
      <c r="K3737">
        <v>15.164400000000001</v>
      </c>
      <c r="L3737">
        <v>47</v>
      </c>
      <c r="M3737">
        <v>8</v>
      </c>
      <c r="N3737">
        <v>18</v>
      </c>
      <c r="O3737">
        <v>77.721699999999998</v>
      </c>
      <c r="P3737">
        <v>16.9056</v>
      </c>
      <c r="Q3737">
        <v>16.2529</v>
      </c>
    </row>
    <row r="3738" spans="1:17" x14ac:dyDescent="0.25">
      <c r="A3738" t="str">
        <f>IF(C3738&amp;G3738&amp;D3738&lt;&gt;'Funnel setup'!$K$3&amp;'Funnel setup'!$K$4&amp;'Funnel setup'!$K$6,".",IF(A3737=".",1,A3737+1))</f>
        <v>.</v>
      </c>
      <c r="B3738" s="244" t="str">
        <f t="shared" si="58"/>
        <v>Total Hip ReplacementProviderHIGHFIELD HOSPITAL (NT420)EQ VAS</v>
      </c>
      <c r="C3738" t="s">
        <v>974</v>
      </c>
      <c r="D3738" t="s">
        <v>965</v>
      </c>
      <c r="E3738" t="s">
        <v>272</v>
      </c>
      <c r="F3738" t="s">
        <v>273</v>
      </c>
      <c r="G3738" t="s">
        <v>752</v>
      </c>
      <c r="H3738">
        <v>137</v>
      </c>
      <c r="I3738">
        <v>62.313899999999997</v>
      </c>
      <c r="J3738">
        <v>78.503600000000006</v>
      </c>
      <c r="K3738">
        <v>16.189800000000002</v>
      </c>
      <c r="L3738">
        <v>101</v>
      </c>
      <c r="M3738">
        <v>8</v>
      </c>
      <c r="N3738">
        <v>28</v>
      </c>
      <c r="O3738">
        <v>76.977800000000002</v>
      </c>
      <c r="P3738">
        <v>16.1617</v>
      </c>
      <c r="Q3738">
        <v>14.979799999999999</v>
      </c>
    </row>
    <row r="3739" spans="1:17" x14ac:dyDescent="0.25">
      <c r="A3739" t="str">
        <f>IF(C3739&amp;G3739&amp;D3739&lt;&gt;'Funnel setup'!$K$3&amp;'Funnel setup'!$K$4&amp;'Funnel setup'!$K$6,".",IF(A3738=".",1,A3738+1))</f>
        <v>.</v>
      </c>
      <c r="B3739" s="244" t="str">
        <f t="shared" si="58"/>
        <v>Total Hip ReplacementProviderHOMERTON HEALTHCARE NHS FOUNDATION TRUST (RQX)EQ VAS</v>
      </c>
      <c r="C3739" t="s">
        <v>974</v>
      </c>
      <c r="D3739" t="s">
        <v>965</v>
      </c>
      <c r="E3739" t="s">
        <v>274</v>
      </c>
      <c r="F3739" t="s">
        <v>275</v>
      </c>
      <c r="G3739" t="s">
        <v>752</v>
      </c>
      <c r="H3739">
        <v>4</v>
      </c>
      <c r="I3739">
        <v>52.75</v>
      </c>
      <c r="J3739">
        <v>65</v>
      </c>
      <c r="K3739">
        <v>12.25</v>
      </c>
      <c r="L3739">
        <v>4</v>
      </c>
      <c r="M3739">
        <v>0</v>
      </c>
      <c r="N3739">
        <v>0</v>
      </c>
      <c r="O3739" t="s">
        <v>127</v>
      </c>
      <c r="P3739" t="s">
        <v>127</v>
      </c>
      <c r="Q3739" t="s">
        <v>127</v>
      </c>
    </row>
    <row r="3740" spans="1:17" x14ac:dyDescent="0.25">
      <c r="A3740" t="str">
        <f>IF(C3740&amp;G3740&amp;D3740&lt;&gt;'Funnel setup'!$K$3&amp;'Funnel setup'!$K$4&amp;'Funnel setup'!$K$6,".",IF(A3739=".",1,A3739+1))</f>
        <v>.</v>
      </c>
      <c r="B3740" s="244" t="str">
        <f t="shared" si="58"/>
        <v>Total Hip ReplacementProviderHUDDERSFIELD HOSPITAL (NT448)EQ VAS</v>
      </c>
      <c r="C3740" t="s">
        <v>974</v>
      </c>
      <c r="D3740" t="s">
        <v>965</v>
      </c>
      <c r="E3740" t="s">
        <v>276</v>
      </c>
      <c r="F3740" t="s">
        <v>277</v>
      </c>
      <c r="G3740" t="s">
        <v>752</v>
      </c>
      <c r="H3740">
        <v>8</v>
      </c>
      <c r="I3740">
        <v>57.375</v>
      </c>
      <c r="J3740">
        <v>80.625</v>
      </c>
      <c r="K3740">
        <v>23.25</v>
      </c>
      <c r="L3740">
        <v>6</v>
      </c>
      <c r="M3740">
        <v>1</v>
      </c>
      <c r="N3740">
        <v>1</v>
      </c>
      <c r="O3740" t="s">
        <v>127</v>
      </c>
      <c r="P3740" t="s">
        <v>127</v>
      </c>
      <c r="Q3740" t="s">
        <v>127</v>
      </c>
    </row>
    <row r="3741" spans="1:17" x14ac:dyDescent="0.25">
      <c r="A3741" t="str">
        <f>IF(C3741&amp;G3741&amp;D3741&lt;&gt;'Funnel setup'!$K$3&amp;'Funnel setup'!$K$4&amp;'Funnel setup'!$K$6,".",IF(A3740=".",1,A3740+1))</f>
        <v>.</v>
      </c>
      <c r="B3741" s="244" t="str">
        <f t="shared" si="58"/>
        <v>Total Hip ReplacementProviderHULL UNIVERSITY TEACHING HOSPITALS NHS TRUST (RWA)EQ VAS</v>
      </c>
      <c r="C3741" t="s">
        <v>974</v>
      </c>
      <c r="D3741" t="s">
        <v>965</v>
      </c>
      <c r="E3741" t="s">
        <v>278</v>
      </c>
      <c r="F3741" t="s">
        <v>279</v>
      </c>
      <c r="G3741" t="s">
        <v>752</v>
      </c>
      <c r="H3741">
        <v>31</v>
      </c>
      <c r="I3741">
        <v>55.7742</v>
      </c>
      <c r="J3741">
        <v>65.580600000000004</v>
      </c>
      <c r="K3741">
        <v>9.8064499999999999</v>
      </c>
      <c r="L3741">
        <v>20</v>
      </c>
      <c r="M3741">
        <v>3</v>
      </c>
      <c r="N3741">
        <v>8</v>
      </c>
      <c r="O3741">
        <v>72.023499999999999</v>
      </c>
      <c r="P3741">
        <v>11.2074</v>
      </c>
      <c r="Q3741">
        <v>23.874300000000002</v>
      </c>
    </row>
    <row r="3742" spans="1:17" x14ac:dyDescent="0.25">
      <c r="A3742" t="str">
        <f>IF(C3742&amp;G3742&amp;D3742&lt;&gt;'Funnel setup'!$K$3&amp;'Funnel setup'!$K$4&amp;'Funnel setup'!$K$6,".",IF(A3741=".",1,A3741+1))</f>
        <v>.</v>
      </c>
      <c r="B3742" s="244" t="str">
        <f t="shared" si="58"/>
        <v>Total Hip ReplacementProviderIMPERIAL COLLEGE HEALTHCARE NHS TRUST (RYJ)EQ VAS</v>
      </c>
      <c r="C3742" t="s">
        <v>974</v>
      </c>
      <c r="D3742" t="s">
        <v>965</v>
      </c>
      <c r="E3742" t="s">
        <v>280</v>
      </c>
      <c r="F3742" t="s">
        <v>281</v>
      </c>
      <c r="G3742" t="s">
        <v>752</v>
      </c>
      <c r="H3742">
        <v>23</v>
      </c>
      <c r="I3742">
        <v>63.608699999999999</v>
      </c>
      <c r="J3742">
        <v>68</v>
      </c>
      <c r="K3742">
        <v>4.3913000000000002</v>
      </c>
      <c r="L3742">
        <v>12</v>
      </c>
      <c r="M3742">
        <v>4</v>
      </c>
      <c r="N3742">
        <v>7</v>
      </c>
      <c r="O3742" t="s">
        <v>127</v>
      </c>
      <c r="P3742" t="s">
        <v>127</v>
      </c>
      <c r="Q3742" t="s">
        <v>127</v>
      </c>
    </row>
    <row r="3743" spans="1:17" x14ac:dyDescent="0.25">
      <c r="A3743" t="str">
        <f>IF(C3743&amp;G3743&amp;D3743&lt;&gt;'Funnel setup'!$K$3&amp;'Funnel setup'!$K$4&amp;'Funnel setup'!$K$6,".",IF(A3742=".",1,A3742+1))</f>
        <v>.</v>
      </c>
      <c r="B3743" s="244" t="str">
        <f t="shared" si="58"/>
        <v>Total Hip ReplacementProviderISLE OF WIGHT NHS TRUST (R1F)EQ VAS</v>
      </c>
      <c r="C3743" t="s">
        <v>974</v>
      </c>
      <c r="D3743" t="s">
        <v>965</v>
      </c>
      <c r="E3743" t="s">
        <v>282</v>
      </c>
      <c r="F3743" t="s">
        <v>283</v>
      </c>
      <c r="G3743" t="s">
        <v>752</v>
      </c>
      <c r="H3743">
        <v>1</v>
      </c>
      <c r="I3743">
        <v>95</v>
      </c>
      <c r="J3743">
        <v>81</v>
      </c>
      <c r="K3743">
        <v>-14</v>
      </c>
      <c r="L3743">
        <v>0</v>
      </c>
      <c r="M3743">
        <v>0</v>
      </c>
      <c r="N3743">
        <v>1</v>
      </c>
      <c r="O3743" t="s">
        <v>127</v>
      </c>
      <c r="P3743" t="s">
        <v>127</v>
      </c>
      <c r="Q3743" t="s">
        <v>127</v>
      </c>
    </row>
    <row r="3744" spans="1:17" x14ac:dyDescent="0.25">
      <c r="A3744" t="str">
        <f>IF(C3744&amp;G3744&amp;D3744&lt;&gt;'Funnel setup'!$K$3&amp;'Funnel setup'!$K$4&amp;'Funnel setup'!$K$6,".",IF(A3743=".",1,A3743+1))</f>
        <v>.</v>
      </c>
      <c r="B3744" s="244" t="str">
        <f t="shared" si="58"/>
        <v>Total Hip ReplacementProviderJAMES PAGET UNIVERSITY HOSPITALS NHS FOUNDATION TRUST (RGP)EQ VAS</v>
      </c>
      <c r="C3744" t="s">
        <v>974</v>
      </c>
      <c r="D3744" t="s">
        <v>965</v>
      </c>
      <c r="E3744" t="s">
        <v>284</v>
      </c>
      <c r="F3744" t="s">
        <v>285</v>
      </c>
      <c r="G3744" t="s">
        <v>752</v>
      </c>
      <c r="H3744">
        <v>63</v>
      </c>
      <c r="I3744">
        <v>61.492100000000001</v>
      </c>
      <c r="J3744">
        <v>78.8095</v>
      </c>
      <c r="K3744">
        <v>17.317499999999999</v>
      </c>
      <c r="L3744">
        <v>43</v>
      </c>
      <c r="M3744">
        <v>5</v>
      </c>
      <c r="N3744">
        <v>15</v>
      </c>
      <c r="O3744">
        <v>77.860600000000005</v>
      </c>
      <c r="P3744">
        <v>17.044499999999999</v>
      </c>
      <c r="Q3744">
        <v>17.432700000000001</v>
      </c>
    </row>
    <row r="3745" spans="1:17" x14ac:dyDescent="0.25">
      <c r="A3745" t="str">
        <f>IF(C3745&amp;G3745&amp;D3745&lt;&gt;'Funnel setup'!$K$3&amp;'Funnel setup'!$K$4&amp;'Funnel setup'!$K$6,".",IF(A3744=".",1,A3744+1))</f>
        <v>.</v>
      </c>
      <c r="B3745" s="244" t="str">
        <f t="shared" si="58"/>
        <v>Total Hip ReplacementProviderKETTERING GENERAL HOSPITAL NHS FOUNDATION TRUST (RNQ)EQ VAS</v>
      </c>
      <c r="C3745" t="s">
        <v>974</v>
      </c>
      <c r="D3745" t="s">
        <v>965</v>
      </c>
      <c r="E3745" t="s">
        <v>286</v>
      </c>
      <c r="F3745" t="s">
        <v>287</v>
      </c>
      <c r="G3745" t="s">
        <v>752</v>
      </c>
      <c r="H3745">
        <v>32</v>
      </c>
      <c r="I3745">
        <v>35.4375</v>
      </c>
      <c r="J3745">
        <v>75.843800000000002</v>
      </c>
      <c r="K3745">
        <v>40.406300000000002</v>
      </c>
      <c r="L3745">
        <v>28</v>
      </c>
      <c r="M3745">
        <v>1</v>
      </c>
      <c r="N3745">
        <v>3</v>
      </c>
      <c r="O3745">
        <v>84.447999999999993</v>
      </c>
      <c r="P3745">
        <v>23.631900000000002</v>
      </c>
      <c r="Q3745">
        <v>14.5267</v>
      </c>
    </row>
    <row r="3746" spans="1:17" x14ac:dyDescent="0.25">
      <c r="A3746" t="str">
        <f>IF(C3746&amp;G3746&amp;D3746&lt;&gt;'Funnel setup'!$K$3&amp;'Funnel setup'!$K$4&amp;'Funnel setup'!$K$6,".",IF(A3745=".",1,A3745+1))</f>
        <v>.</v>
      </c>
      <c r="B3746" s="244" t="str">
        <f t="shared" si="58"/>
        <v>Total Hip ReplacementProviderKIMS HOSPITAL (NEWNHAM COURT) (ADP02)EQ VAS</v>
      </c>
      <c r="C3746" t="s">
        <v>974</v>
      </c>
      <c r="D3746" t="s">
        <v>965</v>
      </c>
      <c r="E3746" t="s">
        <v>288</v>
      </c>
      <c r="F3746" t="s">
        <v>289</v>
      </c>
      <c r="G3746" t="s">
        <v>752</v>
      </c>
      <c r="H3746">
        <v>93</v>
      </c>
      <c r="I3746">
        <v>66.516099999999994</v>
      </c>
      <c r="J3746">
        <v>79.1828</v>
      </c>
      <c r="K3746">
        <v>12.666700000000001</v>
      </c>
      <c r="L3746">
        <v>70</v>
      </c>
      <c r="M3746">
        <v>5</v>
      </c>
      <c r="N3746">
        <v>18</v>
      </c>
      <c r="O3746">
        <v>75.694999999999993</v>
      </c>
      <c r="P3746">
        <v>14.8789</v>
      </c>
      <c r="Q3746">
        <v>14.8773</v>
      </c>
    </row>
    <row r="3747" spans="1:17" x14ac:dyDescent="0.25">
      <c r="A3747" t="str">
        <f>IF(C3747&amp;G3747&amp;D3747&lt;&gt;'Funnel setup'!$K$3&amp;'Funnel setup'!$K$4&amp;'Funnel setup'!$K$6,".",IF(A3746=".",1,A3746+1))</f>
        <v>.</v>
      </c>
      <c r="B3747" s="244" t="str">
        <f t="shared" si="58"/>
        <v>Total Hip ReplacementProviderKING'S COLLEGE HOSPITAL NHS FOUNDATION TRUST (RJZ)EQ VAS</v>
      </c>
      <c r="C3747" t="s">
        <v>974</v>
      </c>
      <c r="D3747" t="s">
        <v>965</v>
      </c>
      <c r="E3747" t="s">
        <v>290</v>
      </c>
      <c r="F3747" t="s">
        <v>291</v>
      </c>
      <c r="G3747" t="s">
        <v>752</v>
      </c>
      <c r="H3747">
        <v>15</v>
      </c>
      <c r="I3747">
        <v>56.2</v>
      </c>
      <c r="J3747">
        <v>70.2</v>
      </c>
      <c r="K3747">
        <v>14</v>
      </c>
      <c r="L3747">
        <v>14</v>
      </c>
      <c r="M3747">
        <v>0</v>
      </c>
      <c r="N3747">
        <v>1</v>
      </c>
      <c r="O3747" t="s">
        <v>127</v>
      </c>
      <c r="P3747" t="s">
        <v>127</v>
      </c>
      <c r="Q3747" t="s">
        <v>127</v>
      </c>
    </row>
    <row r="3748" spans="1:17" x14ac:dyDescent="0.25">
      <c r="A3748" t="str">
        <f>IF(C3748&amp;G3748&amp;D3748&lt;&gt;'Funnel setup'!$K$3&amp;'Funnel setup'!$K$4&amp;'Funnel setup'!$K$6,".",IF(A3747=".",1,A3747+1))</f>
        <v>.</v>
      </c>
      <c r="B3748" s="244" t="str">
        <f t="shared" si="58"/>
        <v>Total Hip ReplacementProviderKINGS OAK HOSPITAL (NT421)EQ VAS</v>
      </c>
      <c r="C3748" t="s">
        <v>974</v>
      </c>
      <c r="D3748" t="s">
        <v>965</v>
      </c>
      <c r="E3748" t="s">
        <v>292</v>
      </c>
      <c r="F3748" t="s">
        <v>293</v>
      </c>
      <c r="G3748" t="s">
        <v>752</v>
      </c>
      <c r="H3748">
        <v>15</v>
      </c>
      <c r="I3748">
        <v>67.066699999999997</v>
      </c>
      <c r="J3748">
        <v>78.933300000000003</v>
      </c>
      <c r="K3748">
        <v>11.8667</v>
      </c>
      <c r="L3748">
        <v>11</v>
      </c>
      <c r="M3748">
        <v>1</v>
      </c>
      <c r="N3748">
        <v>3</v>
      </c>
      <c r="O3748" t="s">
        <v>127</v>
      </c>
      <c r="P3748" t="s">
        <v>127</v>
      </c>
      <c r="Q3748" t="s">
        <v>127</v>
      </c>
    </row>
    <row r="3749" spans="1:17" x14ac:dyDescent="0.25">
      <c r="A3749" t="str">
        <f>IF(C3749&amp;G3749&amp;D3749&lt;&gt;'Funnel setup'!$K$3&amp;'Funnel setup'!$K$4&amp;'Funnel setup'!$K$6,".",IF(A3748=".",1,A3748+1))</f>
        <v>.</v>
      </c>
      <c r="B3749" s="244" t="str">
        <f t="shared" si="58"/>
        <v>Total Hip ReplacementProviderLANCASHIRE TEACHING HOSPITALS NHS FOUNDATION TRUST (RXN)EQ VAS</v>
      </c>
      <c r="C3749" t="s">
        <v>974</v>
      </c>
      <c r="D3749" t="s">
        <v>965</v>
      </c>
      <c r="E3749" t="s">
        <v>296</v>
      </c>
      <c r="F3749" t="s">
        <v>297</v>
      </c>
      <c r="G3749" t="s">
        <v>752</v>
      </c>
      <c r="H3749">
        <v>32</v>
      </c>
      <c r="I3749">
        <v>65.125</v>
      </c>
      <c r="J3749">
        <v>68.6875</v>
      </c>
      <c r="K3749">
        <v>3.5625</v>
      </c>
      <c r="L3749">
        <v>17</v>
      </c>
      <c r="M3749">
        <v>5</v>
      </c>
      <c r="N3749">
        <v>10</v>
      </c>
      <c r="O3749">
        <v>72.491900000000001</v>
      </c>
      <c r="P3749">
        <v>11.675800000000001</v>
      </c>
      <c r="Q3749">
        <v>21.113399999999999</v>
      </c>
    </row>
    <row r="3750" spans="1:17" x14ac:dyDescent="0.25">
      <c r="A3750" t="str">
        <f>IF(C3750&amp;G3750&amp;D3750&lt;&gt;'Funnel setup'!$K$3&amp;'Funnel setup'!$K$4&amp;'Funnel setup'!$K$6,".",IF(A3749=".",1,A3749+1))</f>
        <v>.</v>
      </c>
      <c r="B3750" s="244" t="str">
        <f t="shared" si="58"/>
        <v>Total Hip ReplacementProviderLANCASTER HOSPITAL (NT449)EQ VAS</v>
      </c>
      <c r="C3750" t="s">
        <v>974</v>
      </c>
      <c r="D3750" t="s">
        <v>965</v>
      </c>
      <c r="E3750" t="s">
        <v>298</v>
      </c>
      <c r="F3750" t="s">
        <v>299</v>
      </c>
      <c r="G3750" t="s">
        <v>752</v>
      </c>
      <c r="H3750">
        <v>20</v>
      </c>
      <c r="I3750">
        <v>65.75</v>
      </c>
      <c r="J3750">
        <v>80.7</v>
      </c>
      <c r="K3750">
        <v>14.95</v>
      </c>
      <c r="L3750">
        <v>16</v>
      </c>
      <c r="M3750">
        <v>1</v>
      </c>
      <c r="N3750">
        <v>3</v>
      </c>
      <c r="O3750" t="s">
        <v>127</v>
      </c>
      <c r="P3750" t="s">
        <v>127</v>
      </c>
      <c r="Q3750" t="s">
        <v>127</v>
      </c>
    </row>
    <row r="3751" spans="1:17" x14ac:dyDescent="0.25">
      <c r="A3751" t="str">
        <f>IF(C3751&amp;G3751&amp;D3751&lt;&gt;'Funnel setup'!$K$3&amp;'Funnel setup'!$K$4&amp;'Funnel setup'!$K$6,".",IF(A3750=".",1,A3750+1))</f>
        <v>.</v>
      </c>
      <c r="B3751" s="244" t="str">
        <f t="shared" si="58"/>
        <v>Total Hip ReplacementProviderLEEDS TEACHING HOSPITALS NHS TRUST (RR8)EQ VAS</v>
      </c>
      <c r="C3751" t="s">
        <v>974</v>
      </c>
      <c r="D3751" t="s">
        <v>965</v>
      </c>
      <c r="E3751" t="s">
        <v>300</v>
      </c>
      <c r="F3751" t="s">
        <v>301</v>
      </c>
      <c r="G3751" t="s">
        <v>752</v>
      </c>
      <c r="H3751">
        <v>110</v>
      </c>
      <c r="I3751">
        <v>59.863599999999998</v>
      </c>
      <c r="J3751">
        <v>70.590900000000005</v>
      </c>
      <c r="K3751">
        <v>10.7273</v>
      </c>
      <c r="L3751">
        <v>76</v>
      </c>
      <c r="M3751">
        <v>9</v>
      </c>
      <c r="N3751">
        <v>25</v>
      </c>
      <c r="O3751">
        <v>71.319500000000005</v>
      </c>
      <c r="P3751">
        <v>10.503399999999999</v>
      </c>
      <c r="Q3751">
        <v>19.8871</v>
      </c>
    </row>
    <row r="3752" spans="1:17" x14ac:dyDescent="0.25">
      <c r="A3752" t="str">
        <f>IF(C3752&amp;G3752&amp;D3752&lt;&gt;'Funnel setup'!$K$3&amp;'Funnel setup'!$K$4&amp;'Funnel setup'!$K$6,".",IF(A3751=".",1,A3751+1))</f>
        <v>.</v>
      </c>
      <c r="B3752" s="244" t="str">
        <f t="shared" si="58"/>
        <v>Total Hip ReplacementProviderLEWISHAM AND GREENWICH NHS TRUST (RJ2)EQ VAS</v>
      </c>
      <c r="C3752" t="s">
        <v>974</v>
      </c>
      <c r="D3752" t="s">
        <v>965</v>
      </c>
      <c r="E3752" t="s">
        <v>302</v>
      </c>
      <c r="F3752" t="s">
        <v>303</v>
      </c>
      <c r="G3752" t="s">
        <v>752</v>
      </c>
      <c r="H3752">
        <v>2</v>
      </c>
      <c r="I3752">
        <v>71</v>
      </c>
      <c r="J3752">
        <v>86</v>
      </c>
      <c r="K3752">
        <v>15</v>
      </c>
      <c r="L3752">
        <v>2</v>
      </c>
      <c r="M3752">
        <v>0</v>
      </c>
      <c r="N3752">
        <v>0</v>
      </c>
      <c r="O3752" t="s">
        <v>127</v>
      </c>
      <c r="P3752" t="s">
        <v>127</v>
      </c>
      <c r="Q3752" t="s">
        <v>127</v>
      </c>
    </row>
    <row r="3753" spans="1:17" x14ac:dyDescent="0.25">
      <c r="A3753" t="str">
        <f>IF(C3753&amp;G3753&amp;D3753&lt;&gt;'Funnel setup'!$K$3&amp;'Funnel setup'!$K$4&amp;'Funnel setup'!$K$6,".",IF(A3752=".",1,A3752+1))</f>
        <v>.</v>
      </c>
      <c r="B3753" s="244" t="str">
        <f t="shared" si="58"/>
        <v>Total Hip ReplacementProviderLINCOLN HOSPITAL (NT450)EQ VAS</v>
      </c>
      <c r="C3753" t="s">
        <v>974</v>
      </c>
      <c r="D3753" t="s">
        <v>965</v>
      </c>
      <c r="E3753" t="s">
        <v>304</v>
      </c>
      <c r="F3753" t="s">
        <v>305</v>
      </c>
      <c r="G3753" t="s">
        <v>752</v>
      </c>
      <c r="H3753">
        <v>66</v>
      </c>
      <c r="I3753">
        <v>66.197000000000003</v>
      </c>
      <c r="J3753">
        <v>76.212100000000007</v>
      </c>
      <c r="K3753">
        <v>10.0152</v>
      </c>
      <c r="L3753">
        <v>43</v>
      </c>
      <c r="M3753">
        <v>8</v>
      </c>
      <c r="N3753">
        <v>15</v>
      </c>
      <c r="O3753">
        <v>75.388999999999996</v>
      </c>
      <c r="P3753">
        <v>14.572900000000001</v>
      </c>
      <c r="Q3753">
        <v>18.2014</v>
      </c>
    </row>
    <row r="3754" spans="1:17" x14ac:dyDescent="0.25">
      <c r="A3754" t="str">
        <f>IF(C3754&amp;G3754&amp;D3754&lt;&gt;'Funnel setup'!$K$3&amp;'Funnel setup'!$K$4&amp;'Funnel setup'!$K$6,".",IF(A3753=".",1,A3753+1))</f>
        <v>.</v>
      </c>
      <c r="B3754" s="244" t="str">
        <f t="shared" si="58"/>
        <v>Total Hip ReplacementProviderLIVERPOOL UNIVERSITY HOSPITALS NHS FOUNDATION TRUST (REM)EQ VAS</v>
      </c>
      <c r="C3754" t="s">
        <v>974</v>
      </c>
      <c r="D3754" t="s">
        <v>965</v>
      </c>
      <c r="E3754" t="s">
        <v>306</v>
      </c>
      <c r="F3754" t="s">
        <v>307</v>
      </c>
      <c r="G3754" t="s">
        <v>752</v>
      </c>
      <c r="H3754">
        <v>86</v>
      </c>
      <c r="I3754">
        <v>53.616300000000003</v>
      </c>
      <c r="J3754">
        <v>71.848799999999997</v>
      </c>
      <c r="K3754">
        <v>18.232600000000001</v>
      </c>
      <c r="L3754">
        <v>61</v>
      </c>
      <c r="M3754">
        <v>7</v>
      </c>
      <c r="N3754">
        <v>18</v>
      </c>
      <c r="O3754">
        <v>78.381500000000003</v>
      </c>
      <c r="P3754">
        <v>17.5654</v>
      </c>
      <c r="Q3754">
        <v>17.3553</v>
      </c>
    </row>
    <row r="3755" spans="1:17" x14ac:dyDescent="0.25">
      <c r="A3755" t="str">
        <f>IF(C3755&amp;G3755&amp;D3755&lt;&gt;'Funnel setup'!$K$3&amp;'Funnel setup'!$K$4&amp;'Funnel setup'!$K$6,".",IF(A3754=".",1,A3754+1))</f>
        <v>.</v>
      </c>
      <c r="B3755" s="244" t="str">
        <f t="shared" si="58"/>
        <v>Total Hip ReplacementProviderLONDON INDEPENDENT HOSPITAL (NT422)EQ VAS</v>
      </c>
      <c r="C3755" t="s">
        <v>974</v>
      </c>
      <c r="D3755" t="s">
        <v>965</v>
      </c>
      <c r="E3755" t="s">
        <v>308</v>
      </c>
      <c r="F3755" t="s">
        <v>309</v>
      </c>
      <c r="G3755" t="s">
        <v>752</v>
      </c>
      <c r="H3755">
        <v>8</v>
      </c>
      <c r="I3755">
        <v>66.25</v>
      </c>
      <c r="J3755">
        <v>70</v>
      </c>
      <c r="K3755">
        <v>3.75</v>
      </c>
      <c r="L3755">
        <v>3</v>
      </c>
      <c r="M3755">
        <v>0</v>
      </c>
      <c r="N3755">
        <v>5</v>
      </c>
      <c r="O3755" t="s">
        <v>127</v>
      </c>
      <c r="P3755" t="s">
        <v>127</v>
      </c>
      <c r="Q3755" t="s">
        <v>127</v>
      </c>
    </row>
    <row r="3756" spans="1:17" x14ac:dyDescent="0.25">
      <c r="A3756" t="str">
        <f>IF(C3756&amp;G3756&amp;D3756&lt;&gt;'Funnel setup'!$K$3&amp;'Funnel setup'!$K$4&amp;'Funnel setup'!$K$6,".",IF(A3755=".",1,A3755+1))</f>
        <v>.</v>
      </c>
      <c r="B3756" s="244" t="str">
        <f t="shared" si="58"/>
        <v>Total Hip ReplacementProviderMAIDSTONE AND TUNBRIDGE WELLS NHS TRUST (RWF)EQ VAS</v>
      </c>
      <c r="C3756" t="s">
        <v>974</v>
      </c>
      <c r="D3756" t="s">
        <v>965</v>
      </c>
      <c r="E3756" t="s">
        <v>312</v>
      </c>
      <c r="F3756" t="s">
        <v>313</v>
      </c>
      <c r="G3756" t="s">
        <v>752</v>
      </c>
      <c r="H3756">
        <v>109</v>
      </c>
      <c r="I3756">
        <v>61.4587</v>
      </c>
      <c r="J3756">
        <v>76.990799999999993</v>
      </c>
      <c r="K3756">
        <v>15.5321</v>
      </c>
      <c r="L3756">
        <v>82</v>
      </c>
      <c r="M3756">
        <v>7</v>
      </c>
      <c r="N3756">
        <v>20</v>
      </c>
      <c r="O3756">
        <v>75.0518</v>
      </c>
      <c r="P3756">
        <v>14.2357</v>
      </c>
      <c r="Q3756">
        <v>17.7272</v>
      </c>
    </row>
    <row r="3757" spans="1:17" x14ac:dyDescent="0.25">
      <c r="A3757" t="str">
        <f>IF(C3757&amp;G3757&amp;D3757&lt;&gt;'Funnel setup'!$K$3&amp;'Funnel setup'!$K$4&amp;'Funnel setup'!$K$6,".",IF(A3756=".",1,A3756+1))</f>
        <v>.</v>
      </c>
      <c r="B3757" s="244" t="str">
        <f t="shared" si="58"/>
        <v>Total Hip ReplacementProviderMANCHESTER UNIVERSITY NHS FOUNDATION TRUST (R0A)EQ VAS</v>
      </c>
      <c r="C3757" t="s">
        <v>974</v>
      </c>
      <c r="D3757" t="s">
        <v>965</v>
      </c>
      <c r="E3757" t="s">
        <v>316</v>
      </c>
      <c r="F3757" t="s">
        <v>317</v>
      </c>
      <c r="G3757" t="s">
        <v>752</v>
      </c>
      <c r="H3757">
        <v>89</v>
      </c>
      <c r="I3757">
        <v>55.752800000000001</v>
      </c>
      <c r="J3757">
        <v>68.2697</v>
      </c>
      <c r="K3757">
        <v>12.5169</v>
      </c>
      <c r="L3757">
        <v>58</v>
      </c>
      <c r="M3757">
        <v>3</v>
      </c>
      <c r="N3757">
        <v>28</v>
      </c>
      <c r="O3757">
        <v>70.840299999999999</v>
      </c>
      <c r="P3757">
        <v>10.0242</v>
      </c>
      <c r="Q3757">
        <v>21.639299999999999</v>
      </c>
    </row>
    <row r="3758" spans="1:17" x14ac:dyDescent="0.25">
      <c r="A3758" t="str">
        <f>IF(C3758&amp;G3758&amp;D3758&lt;&gt;'Funnel setup'!$K$3&amp;'Funnel setup'!$K$4&amp;'Funnel setup'!$K$6,".",IF(A3757=".",1,A3757+1))</f>
        <v>.</v>
      </c>
      <c r="B3758" s="244" t="str">
        <f t="shared" si="58"/>
        <v>Total Hip ReplacementProviderMANOR HOSPITAL (NT423)EQ VAS</v>
      </c>
      <c r="C3758" t="s">
        <v>974</v>
      </c>
      <c r="D3758" t="s">
        <v>965</v>
      </c>
      <c r="E3758" t="s">
        <v>318</v>
      </c>
      <c r="F3758" t="s">
        <v>319</v>
      </c>
      <c r="G3758" t="s">
        <v>752</v>
      </c>
      <c r="H3758">
        <v>14</v>
      </c>
      <c r="I3758">
        <v>67.071399999999997</v>
      </c>
      <c r="J3758">
        <v>82.5</v>
      </c>
      <c r="K3758">
        <v>15.428599999999999</v>
      </c>
      <c r="L3758">
        <v>9</v>
      </c>
      <c r="M3758">
        <v>2</v>
      </c>
      <c r="N3758">
        <v>3</v>
      </c>
      <c r="O3758" t="s">
        <v>127</v>
      </c>
      <c r="P3758" t="s">
        <v>127</v>
      </c>
      <c r="Q3758" t="s">
        <v>127</v>
      </c>
    </row>
    <row r="3759" spans="1:17" x14ac:dyDescent="0.25">
      <c r="A3759" t="str">
        <f>IF(C3759&amp;G3759&amp;D3759&lt;&gt;'Funnel setup'!$K$3&amp;'Funnel setup'!$K$4&amp;'Funnel setup'!$K$6,".",IF(A3758=".",1,A3758+1))</f>
        <v>.</v>
      </c>
      <c r="B3759" s="244" t="str">
        <f t="shared" si="58"/>
        <v>Total Hip ReplacementProviderMEDWAY NHS FOUNDATION TRUST (RPA)EQ VAS</v>
      </c>
      <c r="C3759" t="s">
        <v>974</v>
      </c>
      <c r="D3759" t="s">
        <v>965</v>
      </c>
      <c r="E3759" t="s">
        <v>320</v>
      </c>
      <c r="F3759" t="s">
        <v>321</v>
      </c>
      <c r="G3759" t="s">
        <v>752</v>
      </c>
      <c r="H3759">
        <v>42</v>
      </c>
      <c r="I3759">
        <v>59.666699999999999</v>
      </c>
      <c r="J3759">
        <v>74.428600000000003</v>
      </c>
      <c r="K3759">
        <v>14.761900000000001</v>
      </c>
      <c r="L3759">
        <v>28</v>
      </c>
      <c r="M3759">
        <v>2</v>
      </c>
      <c r="N3759">
        <v>12</v>
      </c>
      <c r="O3759">
        <v>77.456100000000006</v>
      </c>
      <c r="P3759">
        <v>16.64</v>
      </c>
      <c r="Q3759">
        <v>15.8028</v>
      </c>
    </row>
    <row r="3760" spans="1:17" x14ac:dyDescent="0.25">
      <c r="A3760" t="str">
        <f>IF(C3760&amp;G3760&amp;D3760&lt;&gt;'Funnel setup'!$K$3&amp;'Funnel setup'!$K$4&amp;'Funnel setup'!$K$6,".",IF(A3759=".",1,A3759+1))</f>
        <v>.</v>
      </c>
      <c r="B3760" s="244" t="str">
        <f t="shared" si="58"/>
        <v>Total Hip ReplacementProviderMERIDEN HOSPITAL (NT424)EQ VAS</v>
      </c>
      <c r="C3760" t="s">
        <v>974</v>
      </c>
      <c r="D3760" t="s">
        <v>965</v>
      </c>
      <c r="E3760" t="s">
        <v>322</v>
      </c>
      <c r="F3760" t="s">
        <v>323</v>
      </c>
      <c r="G3760" t="s">
        <v>752</v>
      </c>
      <c r="H3760">
        <v>6</v>
      </c>
      <c r="I3760">
        <v>59.666699999999999</v>
      </c>
      <c r="J3760">
        <v>72.833299999999994</v>
      </c>
      <c r="K3760">
        <v>13.166700000000001</v>
      </c>
      <c r="L3760">
        <v>4</v>
      </c>
      <c r="M3760">
        <v>1</v>
      </c>
      <c r="N3760">
        <v>1</v>
      </c>
      <c r="O3760" t="s">
        <v>127</v>
      </c>
      <c r="P3760" t="s">
        <v>127</v>
      </c>
      <c r="Q3760" t="s">
        <v>127</v>
      </c>
    </row>
    <row r="3761" spans="1:17" x14ac:dyDescent="0.25">
      <c r="A3761" t="str">
        <f>IF(C3761&amp;G3761&amp;D3761&lt;&gt;'Funnel setup'!$K$3&amp;'Funnel setup'!$K$4&amp;'Funnel setup'!$K$6,".",IF(A3760=".",1,A3760+1))</f>
        <v>.</v>
      </c>
      <c r="B3761" s="244" t="str">
        <f t="shared" si="58"/>
        <v>Total Hip ReplacementProviderMID AND SOUTH ESSEX NHS FOUNDATION TRUST (RAJ)EQ VAS</v>
      </c>
      <c r="C3761" t="s">
        <v>974</v>
      </c>
      <c r="D3761" t="s">
        <v>965</v>
      </c>
      <c r="E3761" t="s">
        <v>324</v>
      </c>
      <c r="F3761" t="s">
        <v>325</v>
      </c>
      <c r="G3761" t="s">
        <v>752</v>
      </c>
      <c r="H3761">
        <v>113</v>
      </c>
      <c r="I3761">
        <v>51.530999999999999</v>
      </c>
      <c r="J3761">
        <v>70.194699999999997</v>
      </c>
      <c r="K3761">
        <v>18.663699999999999</v>
      </c>
      <c r="L3761">
        <v>84</v>
      </c>
      <c r="M3761">
        <v>7</v>
      </c>
      <c r="N3761">
        <v>22</v>
      </c>
      <c r="O3761">
        <v>74.3446</v>
      </c>
      <c r="P3761">
        <v>13.528499999999999</v>
      </c>
      <c r="Q3761">
        <v>18.1998</v>
      </c>
    </row>
    <row r="3762" spans="1:17" x14ac:dyDescent="0.25">
      <c r="A3762" t="str">
        <f>IF(C3762&amp;G3762&amp;D3762&lt;&gt;'Funnel setup'!$K$3&amp;'Funnel setup'!$K$4&amp;'Funnel setup'!$K$6,".",IF(A3761=".",1,A3761+1))</f>
        <v>.</v>
      </c>
      <c r="B3762" s="244" t="str">
        <f t="shared" si="58"/>
        <v>Total Hip ReplacementProviderMID CHESHIRE HOSPITALS NHS FOUNDATION TRUST (RBT)EQ VAS</v>
      </c>
      <c r="C3762" t="s">
        <v>974</v>
      </c>
      <c r="D3762" t="s">
        <v>965</v>
      </c>
      <c r="E3762" t="s">
        <v>326</v>
      </c>
      <c r="F3762" t="s">
        <v>327</v>
      </c>
      <c r="G3762" t="s">
        <v>752</v>
      </c>
      <c r="H3762">
        <v>91</v>
      </c>
      <c r="I3762">
        <v>56.9011</v>
      </c>
      <c r="J3762">
        <v>75.923100000000005</v>
      </c>
      <c r="K3762">
        <v>19.021999999999998</v>
      </c>
      <c r="L3762">
        <v>68</v>
      </c>
      <c r="M3762">
        <v>7</v>
      </c>
      <c r="N3762">
        <v>16</v>
      </c>
      <c r="O3762">
        <v>76.177999999999997</v>
      </c>
      <c r="P3762">
        <v>15.3619</v>
      </c>
      <c r="Q3762">
        <v>16.293500000000002</v>
      </c>
    </row>
    <row r="3763" spans="1:17" x14ac:dyDescent="0.25">
      <c r="A3763" t="str">
        <f>IF(C3763&amp;G3763&amp;D3763&lt;&gt;'Funnel setup'!$K$3&amp;'Funnel setup'!$K$4&amp;'Funnel setup'!$K$6,".",IF(A3762=".",1,A3762+1))</f>
        <v>.</v>
      </c>
      <c r="B3763" s="244" t="str">
        <f t="shared" si="58"/>
        <v>Total Hip ReplacementProviderMID YORKSHIRE TEACHING NHS TRUST (RXF)EQ VAS</v>
      </c>
      <c r="C3763" t="s">
        <v>974</v>
      </c>
      <c r="D3763" t="s">
        <v>965</v>
      </c>
      <c r="E3763" t="s">
        <v>330</v>
      </c>
      <c r="F3763" t="s">
        <v>331</v>
      </c>
      <c r="G3763" t="s">
        <v>752</v>
      </c>
      <c r="H3763">
        <v>170</v>
      </c>
      <c r="I3763">
        <v>57.370600000000003</v>
      </c>
      <c r="J3763">
        <v>74.123500000000007</v>
      </c>
      <c r="K3763">
        <v>16.7529</v>
      </c>
      <c r="L3763">
        <v>119</v>
      </c>
      <c r="M3763">
        <v>12</v>
      </c>
      <c r="N3763">
        <v>39</v>
      </c>
      <c r="O3763">
        <v>77.154300000000006</v>
      </c>
      <c r="P3763">
        <v>16.338200000000001</v>
      </c>
      <c r="Q3763">
        <v>17.099399999999999</v>
      </c>
    </row>
    <row r="3764" spans="1:17" x14ac:dyDescent="0.25">
      <c r="A3764" t="str">
        <f>IF(C3764&amp;G3764&amp;D3764&lt;&gt;'Funnel setup'!$K$3&amp;'Funnel setup'!$K$4&amp;'Funnel setup'!$K$6,".",IF(A3763=".",1,A3763+1))</f>
        <v>.</v>
      </c>
      <c r="B3764" s="244" t="str">
        <f t="shared" si="58"/>
        <v>Total Hip ReplacementProviderMILTON KEYNES UNIVERSITY HOSPITAL NHS FOUNDATION TRUST (RD8)EQ VAS</v>
      </c>
      <c r="C3764" t="s">
        <v>974</v>
      </c>
      <c r="D3764" t="s">
        <v>965</v>
      </c>
      <c r="E3764" t="s">
        <v>332</v>
      </c>
      <c r="F3764" t="s">
        <v>333</v>
      </c>
      <c r="G3764" t="s">
        <v>752</v>
      </c>
      <c r="H3764">
        <v>36</v>
      </c>
      <c r="I3764">
        <v>51.513500000000001</v>
      </c>
      <c r="J3764">
        <v>75.135099999999994</v>
      </c>
      <c r="K3764">
        <v>23.621600000000001</v>
      </c>
      <c r="L3764">
        <v>28</v>
      </c>
      <c r="M3764">
        <v>2</v>
      </c>
      <c r="N3764">
        <v>6</v>
      </c>
      <c r="O3764">
        <v>78.846699999999998</v>
      </c>
      <c r="P3764">
        <v>18.0306</v>
      </c>
      <c r="Q3764">
        <v>21.0731</v>
      </c>
    </row>
    <row r="3765" spans="1:17" x14ac:dyDescent="0.25">
      <c r="A3765" t="str">
        <f>IF(C3765&amp;G3765&amp;D3765&lt;&gt;'Funnel setup'!$K$3&amp;'Funnel setup'!$K$4&amp;'Funnel setup'!$K$6,".",IF(A3764=".",1,A3764+1))</f>
        <v>.</v>
      </c>
      <c r="B3765" s="244" t="str">
        <f t="shared" si="58"/>
        <v>Total Hip ReplacementProviderMOUNT ALVERNIA HOSPITAL (NT455)EQ VAS</v>
      </c>
      <c r="C3765" t="s">
        <v>974</v>
      </c>
      <c r="D3765" t="s">
        <v>965</v>
      </c>
      <c r="E3765" t="s">
        <v>334</v>
      </c>
      <c r="F3765" t="s">
        <v>335</v>
      </c>
      <c r="G3765" t="s">
        <v>752</v>
      </c>
      <c r="H3765">
        <v>7</v>
      </c>
      <c r="I3765">
        <v>61.285699999999999</v>
      </c>
      <c r="J3765">
        <v>72.428600000000003</v>
      </c>
      <c r="K3765">
        <v>11.142899999999999</v>
      </c>
      <c r="L3765">
        <v>4</v>
      </c>
      <c r="M3765">
        <v>0</v>
      </c>
      <c r="N3765">
        <v>3</v>
      </c>
      <c r="O3765" t="s">
        <v>127</v>
      </c>
      <c r="P3765" t="s">
        <v>127</v>
      </c>
      <c r="Q3765" t="s">
        <v>127</v>
      </c>
    </row>
    <row r="3766" spans="1:17" x14ac:dyDescent="0.25">
      <c r="A3766" t="str">
        <f>IF(C3766&amp;G3766&amp;D3766&lt;&gt;'Funnel setup'!$K$3&amp;'Funnel setup'!$K$4&amp;'Funnel setup'!$K$6,".",IF(A3765=".",1,A3765+1))</f>
        <v>.</v>
      </c>
      <c r="B3766" s="244" t="str">
        <f t="shared" si="58"/>
        <v>Total Hip ReplacementProviderMOUNT STUART HOSPITAL (NVC08)EQ VAS</v>
      </c>
      <c r="C3766" t="s">
        <v>974</v>
      </c>
      <c r="D3766" t="s">
        <v>965</v>
      </c>
      <c r="E3766" t="s">
        <v>336</v>
      </c>
      <c r="F3766" t="s">
        <v>337</v>
      </c>
      <c r="G3766" t="s">
        <v>752</v>
      </c>
      <c r="H3766">
        <v>85</v>
      </c>
      <c r="I3766">
        <v>71.741200000000006</v>
      </c>
      <c r="J3766">
        <v>75.682400000000001</v>
      </c>
      <c r="K3766">
        <v>3.9411800000000001</v>
      </c>
      <c r="L3766">
        <v>45</v>
      </c>
      <c r="M3766">
        <v>7</v>
      </c>
      <c r="N3766">
        <v>33</v>
      </c>
      <c r="O3766">
        <v>72.818299999999994</v>
      </c>
      <c r="P3766">
        <v>12.0022</v>
      </c>
      <c r="Q3766">
        <v>18.8384</v>
      </c>
    </row>
    <row r="3767" spans="1:17" x14ac:dyDescent="0.25">
      <c r="A3767" t="str">
        <f>IF(C3767&amp;G3767&amp;D3767&lt;&gt;'Funnel setup'!$K$3&amp;'Funnel setup'!$K$4&amp;'Funnel setup'!$K$6,".",IF(A3766=".",1,A3766+1))</f>
        <v>.</v>
      </c>
      <c r="B3767" s="244" t="str">
        <f t="shared" si="58"/>
        <v>Total Hip ReplacementProviderNEW HALL HOSPITAL (NVC09)EQ VAS</v>
      </c>
      <c r="C3767" t="s">
        <v>974</v>
      </c>
      <c r="D3767" t="s">
        <v>965</v>
      </c>
      <c r="E3767" t="s">
        <v>338</v>
      </c>
      <c r="F3767" t="s">
        <v>339</v>
      </c>
      <c r="G3767" t="s">
        <v>752</v>
      </c>
      <c r="H3767">
        <v>82</v>
      </c>
      <c r="I3767">
        <v>61.144599999999997</v>
      </c>
      <c r="J3767">
        <v>80.096400000000003</v>
      </c>
      <c r="K3767">
        <v>18.951799999999999</v>
      </c>
      <c r="L3767">
        <v>62</v>
      </c>
      <c r="M3767">
        <v>7</v>
      </c>
      <c r="N3767">
        <v>13</v>
      </c>
      <c r="O3767">
        <v>77.480500000000006</v>
      </c>
      <c r="P3767">
        <v>16.664400000000001</v>
      </c>
      <c r="Q3767">
        <v>14.793799999999999</v>
      </c>
    </row>
    <row r="3768" spans="1:17" x14ac:dyDescent="0.25">
      <c r="A3768" t="str">
        <f>IF(C3768&amp;G3768&amp;D3768&lt;&gt;'Funnel setup'!$K$3&amp;'Funnel setup'!$K$4&amp;'Funnel setup'!$K$6,".",IF(A3767=".",1,A3767+1))</f>
        <v>.</v>
      </c>
      <c r="B3768" s="244" t="str">
        <f t="shared" si="58"/>
        <v>Total Hip ReplacementProviderNORFOLK AND NORWICH UNIVERSITY HOSPITALS NHS FOUNDATION TRUST (RM1)EQ VAS</v>
      </c>
      <c r="C3768" t="s">
        <v>974</v>
      </c>
      <c r="D3768" t="s">
        <v>965</v>
      </c>
      <c r="E3768" t="s">
        <v>340</v>
      </c>
      <c r="F3768" t="s">
        <v>341</v>
      </c>
      <c r="G3768" t="s">
        <v>752</v>
      </c>
      <c r="H3768">
        <v>194</v>
      </c>
      <c r="I3768">
        <v>55.030900000000003</v>
      </c>
      <c r="J3768">
        <v>71.582499999999996</v>
      </c>
      <c r="K3768">
        <v>16.551500000000001</v>
      </c>
      <c r="L3768">
        <v>133</v>
      </c>
      <c r="M3768">
        <v>9</v>
      </c>
      <c r="N3768">
        <v>52</v>
      </c>
      <c r="O3768">
        <v>75.385499999999993</v>
      </c>
      <c r="P3768">
        <v>14.5694</v>
      </c>
      <c r="Q3768">
        <v>18.507100000000001</v>
      </c>
    </row>
    <row r="3769" spans="1:17" x14ac:dyDescent="0.25">
      <c r="A3769" t="str">
        <f>IF(C3769&amp;G3769&amp;D3769&lt;&gt;'Funnel setup'!$K$3&amp;'Funnel setup'!$K$4&amp;'Funnel setup'!$K$6,".",IF(A3768=".",1,A3768+1))</f>
        <v>.</v>
      </c>
      <c r="B3769" s="244" t="str">
        <f t="shared" si="58"/>
        <v>Total Hip ReplacementProviderNORTH BRISTOL NHS TRUST (RVJ)EQ VAS</v>
      </c>
      <c r="C3769" t="s">
        <v>974</v>
      </c>
      <c r="D3769" t="s">
        <v>965</v>
      </c>
      <c r="E3769" t="s">
        <v>342</v>
      </c>
      <c r="F3769" t="s">
        <v>343</v>
      </c>
      <c r="G3769" t="s">
        <v>752</v>
      </c>
      <c r="H3769">
        <v>9</v>
      </c>
      <c r="I3769">
        <v>55.222200000000001</v>
      </c>
      <c r="J3769">
        <v>66.888900000000007</v>
      </c>
      <c r="K3769">
        <v>11.666700000000001</v>
      </c>
      <c r="L3769">
        <v>6</v>
      </c>
      <c r="M3769">
        <v>0</v>
      </c>
      <c r="N3769">
        <v>3</v>
      </c>
      <c r="O3769" t="s">
        <v>127</v>
      </c>
      <c r="P3769" t="s">
        <v>127</v>
      </c>
      <c r="Q3769" t="s">
        <v>127</v>
      </c>
    </row>
    <row r="3770" spans="1:17" x14ac:dyDescent="0.25">
      <c r="A3770" t="str">
        <f>IF(C3770&amp;G3770&amp;D3770&lt;&gt;'Funnel setup'!$K$3&amp;'Funnel setup'!$K$4&amp;'Funnel setup'!$K$6,".",IF(A3769=".",1,A3769+1))</f>
        <v>.</v>
      </c>
      <c r="B3770" s="244" t="str">
        <f t="shared" si="58"/>
        <v>Total Hip ReplacementProviderNORTH CUMBRIA INTEGRATED CARE NHS FOUNDATION TRUST (RNN)EQ VAS</v>
      </c>
      <c r="C3770" t="s">
        <v>974</v>
      </c>
      <c r="D3770" t="s">
        <v>965</v>
      </c>
      <c r="E3770" t="s">
        <v>344</v>
      </c>
      <c r="F3770" t="s">
        <v>345</v>
      </c>
      <c r="G3770" t="s">
        <v>752</v>
      </c>
      <c r="H3770">
        <v>82</v>
      </c>
      <c r="I3770">
        <v>60.780500000000004</v>
      </c>
      <c r="J3770">
        <v>76.4756</v>
      </c>
      <c r="K3770">
        <v>15.6951</v>
      </c>
      <c r="L3770">
        <v>52</v>
      </c>
      <c r="M3770">
        <v>9</v>
      </c>
      <c r="N3770">
        <v>21</v>
      </c>
      <c r="O3770">
        <v>78.097999999999999</v>
      </c>
      <c r="P3770">
        <v>17.2819</v>
      </c>
      <c r="Q3770">
        <v>16.052399999999999</v>
      </c>
    </row>
    <row r="3771" spans="1:17" x14ac:dyDescent="0.25">
      <c r="A3771" t="str">
        <f>IF(C3771&amp;G3771&amp;D3771&lt;&gt;'Funnel setup'!$K$3&amp;'Funnel setup'!$K$4&amp;'Funnel setup'!$K$6,".",IF(A3770=".",1,A3770+1))</f>
        <v>.</v>
      </c>
      <c r="B3771" s="244" t="str">
        <f t="shared" si="58"/>
        <v>Total Hip ReplacementProviderNORTH DOWNS HOSPITAL (NVC11)EQ VAS</v>
      </c>
      <c r="C3771" t="s">
        <v>974</v>
      </c>
      <c r="D3771" t="s">
        <v>965</v>
      </c>
      <c r="E3771" t="s">
        <v>348</v>
      </c>
      <c r="F3771" t="s">
        <v>349</v>
      </c>
      <c r="G3771" t="s">
        <v>752</v>
      </c>
      <c r="H3771">
        <v>53</v>
      </c>
      <c r="I3771">
        <v>68.185199999999995</v>
      </c>
      <c r="J3771">
        <v>80.055599999999998</v>
      </c>
      <c r="K3771">
        <v>11.8704</v>
      </c>
      <c r="L3771">
        <v>34</v>
      </c>
      <c r="M3771">
        <v>7</v>
      </c>
      <c r="N3771">
        <v>12</v>
      </c>
      <c r="O3771">
        <v>75.940200000000004</v>
      </c>
      <c r="P3771">
        <v>15.1241</v>
      </c>
      <c r="Q3771">
        <v>14.239100000000001</v>
      </c>
    </row>
    <row r="3772" spans="1:17" x14ac:dyDescent="0.25">
      <c r="A3772" t="str">
        <f>IF(C3772&amp;G3772&amp;D3772&lt;&gt;'Funnel setup'!$K$3&amp;'Funnel setup'!$K$4&amp;'Funnel setup'!$K$6,".",IF(A3771=".",1,A3771+1))</f>
        <v>.</v>
      </c>
      <c r="B3772" s="244" t="str">
        <f t="shared" si="58"/>
        <v>Total Hip ReplacementProviderNORTH MIDDLESEX UNIVERSITY HOSPITAL NHS TRUST (RAP)EQ VAS</v>
      </c>
      <c r="C3772" t="s">
        <v>974</v>
      </c>
      <c r="D3772" t="s">
        <v>965</v>
      </c>
      <c r="E3772" t="s">
        <v>350</v>
      </c>
      <c r="F3772" t="s">
        <v>351</v>
      </c>
      <c r="G3772" t="s">
        <v>752</v>
      </c>
      <c r="H3772">
        <v>5</v>
      </c>
      <c r="I3772">
        <v>48</v>
      </c>
      <c r="J3772">
        <v>59</v>
      </c>
      <c r="K3772">
        <v>11</v>
      </c>
      <c r="L3772">
        <v>3</v>
      </c>
      <c r="M3772">
        <v>1</v>
      </c>
      <c r="N3772">
        <v>1</v>
      </c>
      <c r="O3772" t="s">
        <v>127</v>
      </c>
      <c r="P3772" t="s">
        <v>127</v>
      </c>
      <c r="Q3772" t="s">
        <v>127</v>
      </c>
    </row>
    <row r="3773" spans="1:17" x14ac:dyDescent="0.25">
      <c r="A3773" t="str">
        <f>IF(C3773&amp;G3773&amp;D3773&lt;&gt;'Funnel setup'!$K$3&amp;'Funnel setup'!$K$4&amp;'Funnel setup'!$K$6,".",IF(A3772=".",1,A3772+1))</f>
        <v>.</v>
      </c>
      <c r="B3773" s="244" t="str">
        <f t="shared" si="58"/>
        <v>Total Hip ReplacementProviderNORTH TEES AND HARTLEPOOL NHS FOUNDATION TRUST (RVW)EQ VAS</v>
      </c>
      <c r="C3773" t="s">
        <v>974</v>
      </c>
      <c r="D3773" t="s">
        <v>965</v>
      </c>
      <c r="E3773" t="s">
        <v>352</v>
      </c>
      <c r="F3773" t="s">
        <v>353</v>
      </c>
      <c r="G3773" t="s">
        <v>752</v>
      </c>
      <c r="H3773">
        <v>106</v>
      </c>
      <c r="I3773">
        <v>66.235799999999998</v>
      </c>
      <c r="J3773">
        <v>69.811300000000003</v>
      </c>
      <c r="K3773">
        <v>3.5754700000000001</v>
      </c>
      <c r="L3773">
        <v>54</v>
      </c>
      <c r="M3773">
        <v>10</v>
      </c>
      <c r="N3773">
        <v>42</v>
      </c>
      <c r="O3773">
        <v>73.943399999999997</v>
      </c>
      <c r="P3773">
        <v>13.1273</v>
      </c>
      <c r="Q3773">
        <v>17.688099999999999</v>
      </c>
    </row>
    <row r="3774" spans="1:17" x14ac:dyDescent="0.25">
      <c r="A3774" t="str">
        <f>IF(C3774&amp;G3774&amp;D3774&lt;&gt;'Funnel setup'!$K$3&amp;'Funnel setup'!$K$4&amp;'Funnel setup'!$K$6,".",IF(A3773=".",1,A3773+1))</f>
        <v>.</v>
      </c>
      <c r="B3774" s="244" t="str">
        <f t="shared" si="58"/>
        <v>Total Hip ReplacementProviderNORTH WEST ANGLIA NHS FOUNDATION TRUST (RGN)EQ VAS</v>
      </c>
      <c r="C3774" t="s">
        <v>974</v>
      </c>
      <c r="D3774" t="s">
        <v>965</v>
      </c>
      <c r="E3774" t="s">
        <v>354</v>
      </c>
      <c r="F3774" t="s">
        <v>355</v>
      </c>
      <c r="G3774" t="s">
        <v>752</v>
      </c>
      <c r="H3774">
        <v>160</v>
      </c>
      <c r="I3774">
        <v>58.35</v>
      </c>
      <c r="J3774">
        <v>72.881200000000007</v>
      </c>
      <c r="K3774">
        <v>14.5313</v>
      </c>
      <c r="L3774">
        <v>108</v>
      </c>
      <c r="M3774">
        <v>11</v>
      </c>
      <c r="N3774">
        <v>41</v>
      </c>
      <c r="O3774">
        <v>74.070700000000002</v>
      </c>
      <c r="P3774">
        <v>13.2546</v>
      </c>
      <c r="Q3774">
        <v>19.606000000000002</v>
      </c>
    </row>
    <row r="3775" spans="1:17" x14ac:dyDescent="0.25">
      <c r="A3775" t="str">
        <f>IF(C3775&amp;G3775&amp;D3775&lt;&gt;'Funnel setup'!$K$3&amp;'Funnel setup'!$K$4&amp;'Funnel setup'!$K$6,".",IF(A3774=".",1,A3774+1))</f>
        <v>.</v>
      </c>
      <c r="B3775" s="244" t="str">
        <f t="shared" si="58"/>
        <v>Total Hip ReplacementProviderNORTHAMPTON GENERAL HOSPITAL NHS TRUST (RNS)EQ VAS</v>
      </c>
      <c r="C3775" t="s">
        <v>974</v>
      </c>
      <c r="D3775" t="s">
        <v>965</v>
      </c>
      <c r="E3775" t="s">
        <v>356</v>
      </c>
      <c r="F3775" t="s">
        <v>357</v>
      </c>
      <c r="G3775" t="s">
        <v>752</v>
      </c>
      <c r="H3775">
        <v>42</v>
      </c>
      <c r="I3775">
        <v>62.928600000000003</v>
      </c>
      <c r="J3775">
        <v>72.095200000000006</v>
      </c>
      <c r="K3775">
        <v>9.1666699999999999</v>
      </c>
      <c r="L3775">
        <v>23</v>
      </c>
      <c r="M3775">
        <v>6</v>
      </c>
      <c r="N3775">
        <v>13</v>
      </c>
      <c r="O3775">
        <v>74.343800000000002</v>
      </c>
      <c r="P3775">
        <v>13.527699999999999</v>
      </c>
      <c r="Q3775">
        <v>15.680999999999999</v>
      </c>
    </row>
    <row r="3776" spans="1:17" x14ac:dyDescent="0.25">
      <c r="A3776" t="str">
        <f>IF(C3776&amp;G3776&amp;D3776&lt;&gt;'Funnel setup'!$K$3&amp;'Funnel setup'!$K$4&amp;'Funnel setup'!$K$6,".",IF(A3775=".",1,A3775+1))</f>
        <v>.</v>
      </c>
      <c r="B3776" s="244" t="str">
        <f t="shared" si="58"/>
        <v>Total Hip ReplacementProviderNORTHERN CARE ALLIANCE NHS FOUNDATION TRUST (RM3)EQ VAS</v>
      </c>
      <c r="C3776" t="s">
        <v>974</v>
      </c>
      <c r="D3776" t="s">
        <v>965</v>
      </c>
      <c r="E3776" t="s">
        <v>358</v>
      </c>
      <c r="F3776" t="s">
        <v>359</v>
      </c>
      <c r="G3776" t="s">
        <v>752</v>
      </c>
      <c r="H3776">
        <v>3</v>
      </c>
      <c r="I3776">
        <v>30</v>
      </c>
      <c r="J3776">
        <v>79</v>
      </c>
      <c r="K3776">
        <v>49</v>
      </c>
      <c r="L3776">
        <v>2</v>
      </c>
      <c r="M3776">
        <v>0</v>
      </c>
      <c r="N3776">
        <v>1</v>
      </c>
      <c r="O3776" t="s">
        <v>127</v>
      </c>
      <c r="P3776" t="s">
        <v>127</v>
      </c>
      <c r="Q3776" t="s">
        <v>127</v>
      </c>
    </row>
    <row r="3777" spans="1:17" x14ac:dyDescent="0.25">
      <c r="A3777" t="str">
        <f>IF(C3777&amp;G3777&amp;D3777&lt;&gt;'Funnel setup'!$K$3&amp;'Funnel setup'!$K$4&amp;'Funnel setup'!$K$6,".",IF(A3776=".",1,A3776+1))</f>
        <v>.</v>
      </c>
      <c r="B3777" s="244" t="str">
        <f t="shared" si="58"/>
        <v>Total Hip ReplacementProviderNORTHERN DEVON HEALTHCARE NHS TRUST (RBZ)EQ VAS</v>
      </c>
      <c r="C3777" t="s">
        <v>974</v>
      </c>
      <c r="D3777" t="s">
        <v>965</v>
      </c>
      <c r="E3777" t="s">
        <v>360</v>
      </c>
      <c r="F3777" t="s">
        <v>361</v>
      </c>
      <c r="G3777" t="s">
        <v>752</v>
      </c>
      <c r="H3777">
        <v>27</v>
      </c>
      <c r="I3777">
        <v>50.666699999999999</v>
      </c>
      <c r="J3777">
        <v>77.222200000000001</v>
      </c>
      <c r="K3777">
        <v>26.555599999999998</v>
      </c>
      <c r="L3777">
        <v>23</v>
      </c>
      <c r="M3777">
        <v>2</v>
      </c>
      <c r="N3777">
        <v>2</v>
      </c>
      <c r="O3777" t="s">
        <v>127</v>
      </c>
      <c r="P3777" t="s">
        <v>127</v>
      </c>
      <c r="Q3777" t="s">
        <v>127</v>
      </c>
    </row>
    <row r="3778" spans="1:17" x14ac:dyDescent="0.25">
      <c r="A3778" t="str">
        <f>IF(C3778&amp;G3778&amp;D3778&lt;&gt;'Funnel setup'!$K$3&amp;'Funnel setup'!$K$4&amp;'Funnel setup'!$K$6,".",IF(A3777=".",1,A3777+1))</f>
        <v>.</v>
      </c>
      <c r="B3778" s="244" t="str">
        <f t="shared" ref="B3778:B3841" si="59">C3778&amp;D3778&amp;F3778&amp;G3778</f>
        <v>Total Hip ReplacementProviderNORTHERN LINCOLNSHIRE AND GOOLE NHS FOUNDATION TRUST (RJL)EQ VAS</v>
      </c>
      <c r="C3778" t="s">
        <v>974</v>
      </c>
      <c r="D3778" t="s">
        <v>965</v>
      </c>
      <c r="E3778" t="s">
        <v>362</v>
      </c>
      <c r="F3778" t="s">
        <v>363</v>
      </c>
      <c r="G3778" t="s">
        <v>752</v>
      </c>
      <c r="H3778">
        <v>84</v>
      </c>
      <c r="I3778">
        <v>59.1905</v>
      </c>
      <c r="J3778">
        <v>74.607100000000003</v>
      </c>
      <c r="K3778">
        <v>15.416700000000001</v>
      </c>
      <c r="L3778">
        <v>54</v>
      </c>
      <c r="M3778">
        <v>11</v>
      </c>
      <c r="N3778">
        <v>19</v>
      </c>
      <c r="O3778">
        <v>75.401899999999998</v>
      </c>
      <c r="P3778">
        <v>14.585800000000001</v>
      </c>
      <c r="Q3778">
        <v>18.5169</v>
      </c>
    </row>
    <row r="3779" spans="1:17" x14ac:dyDescent="0.25">
      <c r="A3779" t="str">
        <f>IF(C3779&amp;G3779&amp;D3779&lt;&gt;'Funnel setup'!$K$3&amp;'Funnel setup'!$K$4&amp;'Funnel setup'!$K$6,".",IF(A3778=".",1,A3778+1))</f>
        <v>.</v>
      </c>
      <c r="B3779" s="244" t="str">
        <f t="shared" si="59"/>
        <v>Total Hip ReplacementProviderNORTHUMBRIA HEALTHCARE NHS FOUNDATION TRUST (RTF)EQ VAS</v>
      </c>
      <c r="C3779" t="s">
        <v>974</v>
      </c>
      <c r="D3779" t="s">
        <v>965</v>
      </c>
      <c r="E3779" t="s">
        <v>364</v>
      </c>
      <c r="F3779" t="s">
        <v>365</v>
      </c>
      <c r="G3779" t="s">
        <v>752</v>
      </c>
      <c r="H3779">
        <v>278</v>
      </c>
      <c r="I3779">
        <v>58.291400000000003</v>
      </c>
      <c r="J3779">
        <v>76.424499999999995</v>
      </c>
      <c r="K3779">
        <v>18.133099999999999</v>
      </c>
      <c r="L3779">
        <v>209</v>
      </c>
      <c r="M3779">
        <v>22</v>
      </c>
      <c r="N3779">
        <v>47</v>
      </c>
      <c r="O3779">
        <v>77.572100000000006</v>
      </c>
      <c r="P3779">
        <v>16.756</v>
      </c>
      <c r="Q3779">
        <v>17.009899999999998</v>
      </c>
    </row>
    <row r="3780" spans="1:17" x14ac:dyDescent="0.25">
      <c r="A3780" t="str">
        <f>IF(C3780&amp;G3780&amp;D3780&lt;&gt;'Funnel setup'!$K$3&amp;'Funnel setup'!$K$4&amp;'Funnel setup'!$K$6,".",IF(A3779=".",1,A3779+1))</f>
        <v>.</v>
      </c>
      <c r="B3780" s="244" t="str">
        <f t="shared" si="59"/>
        <v>Total Hip ReplacementProviderNOTTINGHAM UNIVERSITY HOSPITALS NHS TRUST (RX1)EQ VAS</v>
      </c>
      <c r="C3780" t="s">
        <v>974</v>
      </c>
      <c r="D3780" t="s">
        <v>965</v>
      </c>
      <c r="E3780" t="s">
        <v>366</v>
      </c>
      <c r="F3780" t="s">
        <v>367</v>
      </c>
      <c r="G3780" t="s">
        <v>752</v>
      </c>
      <c r="H3780">
        <v>3</v>
      </c>
      <c r="I3780">
        <v>53.333300000000001</v>
      </c>
      <c r="J3780">
        <v>77.666700000000006</v>
      </c>
      <c r="K3780">
        <v>24.333300000000001</v>
      </c>
      <c r="L3780">
        <v>2</v>
      </c>
      <c r="M3780">
        <v>0</v>
      </c>
      <c r="N3780">
        <v>1</v>
      </c>
      <c r="O3780" t="s">
        <v>127</v>
      </c>
      <c r="P3780" t="s">
        <v>127</v>
      </c>
      <c r="Q3780" t="s">
        <v>127</v>
      </c>
    </row>
    <row r="3781" spans="1:17" x14ac:dyDescent="0.25">
      <c r="A3781" t="str">
        <f>IF(C3781&amp;G3781&amp;D3781&lt;&gt;'Funnel setup'!$K$3&amp;'Funnel setup'!$K$4&amp;'Funnel setup'!$K$6,".",IF(A3780=".",1,A3780+1))</f>
        <v>.</v>
      </c>
      <c r="B3781" s="244" t="str">
        <f t="shared" si="59"/>
        <v>Total Hip ReplacementProviderNUFFIELD HEALTH, BOURNEMOUTH HOSPITAL (NT202)EQ VAS</v>
      </c>
      <c r="C3781" t="s">
        <v>974</v>
      </c>
      <c r="D3781" t="s">
        <v>965</v>
      </c>
      <c r="E3781" t="s">
        <v>368</v>
      </c>
      <c r="F3781" t="s">
        <v>369</v>
      </c>
      <c r="G3781" t="s">
        <v>752</v>
      </c>
      <c r="H3781">
        <v>11</v>
      </c>
      <c r="I3781">
        <v>64.2727</v>
      </c>
      <c r="J3781">
        <v>76.636399999999995</v>
      </c>
      <c r="K3781">
        <v>12.3636</v>
      </c>
      <c r="L3781">
        <v>6</v>
      </c>
      <c r="M3781">
        <v>2</v>
      </c>
      <c r="N3781">
        <v>3</v>
      </c>
      <c r="O3781" t="s">
        <v>127</v>
      </c>
      <c r="P3781" t="s">
        <v>127</v>
      </c>
      <c r="Q3781" t="s">
        <v>127</v>
      </c>
    </row>
    <row r="3782" spans="1:17" x14ac:dyDescent="0.25">
      <c r="A3782" t="str">
        <f>IF(C3782&amp;G3782&amp;D3782&lt;&gt;'Funnel setup'!$K$3&amp;'Funnel setup'!$K$4&amp;'Funnel setup'!$K$6,".",IF(A3781=".",1,A3781+1))</f>
        <v>.</v>
      </c>
      <c r="B3782" s="244" t="str">
        <f t="shared" si="59"/>
        <v>Total Hip ReplacementProviderNUFFIELD HEALTH, BRENTWOOD HOSPITAL (NT204)EQ VAS</v>
      </c>
      <c r="C3782" t="s">
        <v>974</v>
      </c>
      <c r="D3782" t="s">
        <v>965</v>
      </c>
      <c r="E3782" t="s">
        <v>370</v>
      </c>
      <c r="F3782" t="s">
        <v>371</v>
      </c>
      <c r="G3782" t="s">
        <v>752</v>
      </c>
      <c r="H3782">
        <v>15</v>
      </c>
      <c r="I3782">
        <v>70.599999999999994</v>
      </c>
      <c r="J3782">
        <v>76.666700000000006</v>
      </c>
      <c r="K3782">
        <v>6.0666700000000002</v>
      </c>
      <c r="L3782">
        <v>9</v>
      </c>
      <c r="M3782">
        <v>0</v>
      </c>
      <c r="N3782">
        <v>6</v>
      </c>
      <c r="O3782" t="s">
        <v>127</v>
      </c>
      <c r="P3782" t="s">
        <v>127</v>
      </c>
      <c r="Q3782" t="s">
        <v>127</v>
      </c>
    </row>
    <row r="3783" spans="1:17" x14ac:dyDescent="0.25">
      <c r="A3783" t="str">
        <f>IF(C3783&amp;G3783&amp;D3783&lt;&gt;'Funnel setup'!$K$3&amp;'Funnel setup'!$K$4&amp;'Funnel setup'!$K$6,".",IF(A3782=".",1,A3782+1))</f>
        <v>.</v>
      </c>
      <c r="B3783" s="244" t="str">
        <f t="shared" si="59"/>
        <v>Total Hip ReplacementProviderNUFFIELD HEALTH, BRIGHTON HOSPITAL (NT205)EQ VAS</v>
      </c>
      <c r="C3783" t="s">
        <v>974</v>
      </c>
      <c r="D3783" t="s">
        <v>965</v>
      </c>
      <c r="E3783" t="s">
        <v>372</v>
      </c>
      <c r="F3783" t="s">
        <v>373</v>
      </c>
      <c r="G3783" t="s">
        <v>752</v>
      </c>
      <c r="H3783">
        <v>3</v>
      </c>
      <c r="I3783">
        <v>50</v>
      </c>
      <c r="J3783">
        <v>68.333299999999994</v>
      </c>
      <c r="K3783">
        <v>18.333300000000001</v>
      </c>
      <c r="L3783">
        <v>3</v>
      </c>
      <c r="M3783">
        <v>0</v>
      </c>
      <c r="N3783">
        <v>0</v>
      </c>
      <c r="O3783" t="s">
        <v>127</v>
      </c>
      <c r="P3783" t="s">
        <v>127</v>
      </c>
      <c r="Q3783" t="s">
        <v>127</v>
      </c>
    </row>
    <row r="3784" spans="1:17" x14ac:dyDescent="0.25">
      <c r="A3784" t="str">
        <f>IF(C3784&amp;G3784&amp;D3784&lt;&gt;'Funnel setup'!$K$3&amp;'Funnel setup'!$K$4&amp;'Funnel setup'!$K$6,".",IF(A3783=".",1,A3783+1))</f>
        <v>.</v>
      </c>
      <c r="B3784" s="244" t="str">
        <f t="shared" si="59"/>
        <v>Total Hip ReplacementProviderNUFFIELD HEALTH, BRISTOL HOSPITAL (CHESTERFIELD) (NT206)EQ VAS</v>
      </c>
      <c r="C3784" t="s">
        <v>974</v>
      </c>
      <c r="D3784" t="s">
        <v>965</v>
      </c>
      <c r="E3784" t="s">
        <v>374</v>
      </c>
      <c r="F3784" t="s">
        <v>375</v>
      </c>
      <c r="G3784" t="s">
        <v>752</v>
      </c>
      <c r="H3784">
        <v>40</v>
      </c>
      <c r="I3784">
        <v>66.099999999999994</v>
      </c>
      <c r="J3784">
        <v>80.45</v>
      </c>
      <c r="K3784">
        <v>14.35</v>
      </c>
      <c r="L3784">
        <v>31</v>
      </c>
      <c r="M3784">
        <v>5</v>
      </c>
      <c r="N3784">
        <v>4</v>
      </c>
      <c r="O3784">
        <v>76.641300000000001</v>
      </c>
      <c r="P3784">
        <v>15.825200000000001</v>
      </c>
      <c r="Q3784">
        <v>12.1122</v>
      </c>
    </row>
    <row r="3785" spans="1:17" x14ac:dyDescent="0.25">
      <c r="A3785" t="str">
        <f>IF(C3785&amp;G3785&amp;D3785&lt;&gt;'Funnel setup'!$K$3&amp;'Funnel setup'!$K$4&amp;'Funnel setup'!$K$6,".",IF(A3784=".",1,A3784+1))</f>
        <v>.</v>
      </c>
      <c r="B3785" s="244" t="str">
        <f t="shared" si="59"/>
        <v>Total Hip ReplacementProviderNUFFIELD HEALTH, CAMBRIDGE HOSPITAL (NT209)EQ VAS</v>
      </c>
      <c r="C3785" t="s">
        <v>974</v>
      </c>
      <c r="D3785" t="s">
        <v>965</v>
      </c>
      <c r="E3785" t="s">
        <v>376</v>
      </c>
      <c r="F3785" t="s">
        <v>377</v>
      </c>
      <c r="G3785" t="s">
        <v>752</v>
      </c>
      <c r="H3785">
        <v>21</v>
      </c>
      <c r="I3785">
        <v>66.761899999999997</v>
      </c>
      <c r="J3785">
        <v>80.857100000000003</v>
      </c>
      <c r="K3785">
        <v>14.0952</v>
      </c>
      <c r="L3785">
        <v>13</v>
      </c>
      <c r="M3785">
        <v>3</v>
      </c>
      <c r="N3785">
        <v>5</v>
      </c>
      <c r="O3785" t="s">
        <v>127</v>
      </c>
      <c r="P3785" t="s">
        <v>127</v>
      </c>
      <c r="Q3785" t="s">
        <v>127</v>
      </c>
    </row>
    <row r="3786" spans="1:17" x14ac:dyDescent="0.25">
      <c r="A3786" t="str">
        <f>IF(C3786&amp;G3786&amp;D3786&lt;&gt;'Funnel setup'!$K$3&amp;'Funnel setup'!$K$4&amp;'Funnel setup'!$K$6,".",IF(A3785=".",1,A3785+1))</f>
        <v>.</v>
      </c>
      <c r="B3786" s="244" t="str">
        <f t="shared" si="59"/>
        <v>Total Hip ReplacementProviderNUFFIELD HEALTH, CHELTENHAM HOSPITAL (NT211)EQ VAS</v>
      </c>
      <c r="C3786" t="s">
        <v>974</v>
      </c>
      <c r="D3786" t="s">
        <v>965</v>
      </c>
      <c r="E3786" t="s">
        <v>378</v>
      </c>
      <c r="F3786" t="s">
        <v>379</v>
      </c>
      <c r="G3786" t="s">
        <v>752</v>
      </c>
      <c r="H3786">
        <v>1</v>
      </c>
      <c r="I3786">
        <v>73</v>
      </c>
      <c r="J3786">
        <v>70</v>
      </c>
      <c r="K3786">
        <v>-3</v>
      </c>
      <c r="L3786">
        <v>0</v>
      </c>
      <c r="M3786">
        <v>0</v>
      </c>
      <c r="N3786">
        <v>1</v>
      </c>
      <c r="O3786" t="s">
        <v>127</v>
      </c>
      <c r="P3786" t="s">
        <v>127</v>
      </c>
      <c r="Q3786" t="s">
        <v>127</v>
      </c>
    </row>
    <row r="3787" spans="1:17" x14ac:dyDescent="0.25">
      <c r="A3787" t="str">
        <f>IF(C3787&amp;G3787&amp;D3787&lt;&gt;'Funnel setup'!$K$3&amp;'Funnel setup'!$K$4&amp;'Funnel setup'!$K$6,".",IF(A3786=".",1,A3786+1))</f>
        <v>.</v>
      </c>
      <c r="B3787" s="244" t="str">
        <f t="shared" si="59"/>
        <v>Total Hip ReplacementProviderNUFFIELD HEALTH, CHICHESTER HOSPITAL (NT212)EQ VAS</v>
      </c>
      <c r="C3787" t="s">
        <v>974</v>
      </c>
      <c r="D3787" t="s">
        <v>965</v>
      </c>
      <c r="E3787" t="s">
        <v>380</v>
      </c>
      <c r="F3787" t="s">
        <v>381</v>
      </c>
      <c r="G3787" t="s">
        <v>752</v>
      </c>
      <c r="H3787">
        <v>15</v>
      </c>
      <c r="I3787">
        <v>50.4</v>
      </c>
      <c r="J3787">
        <v>73.2667</v>
      </c>
      <c r="K3787">
        <v>22.866700000000002</v>
      </c>
      <c r="L3787">
        <v>11</v>
      </c>
      <c r="M3787">
        <v>1</v>
      </c>
      <c r="N3787">
        <v>3</v>
      </c>
      <c r="O3787" t="s">
        <v>127</v>
      </c>
      <c r="P3787" t="s">
        <v>127</v>
      </c>
      <c r="Q3787" t="s">
        <v>127</v>
      </c>
    </row>
    <row r="3788" spans="1:17" x14ac:dyDescent="0.25">
      <c r="A3788" t="str">
        <f>IF(C3788&amp;G3788&amp;D3788&lt;&gt;'Funnel setup'!$K$3&amp;'Funnel setup'!$K$4&amp;'Funnel setup'!$K$6,".",IF(A3787=".",1,A3787+1))</f>
        <v>.</v>
      </c>
      <c r="B3788" s="244" t="str">
        <f t="shared" si="59"/>
        <v>Total Hip ReplacementProviderNUFFIELD HEALTH, DERBY HOSPITAL (NT213)EQ VAS</v>
      </c>
      <c r="C3788" t="s">
        <v>974</v>
      </c>
      <c r="D3788" t="s">
        <v>965</v>
      </c>
      <c r="E3788" t="s">
        <v>382</v>
      </c>
      <c r="F3788" t="s">
        <v>383</v>
      </c>
      <c r="G3788" t="s">
        <v>752</v>
      </c>
      <c r="H3788">
        <v>49</v>
      </c>
      <c r="I3788">
        <v>62.877600000000001</v>
      </c>
      <c r="J3788">
        <v>80.959199999999996</v>
      </c>
      <c r="K3788">
        <v>18.081600000000002</v>
      </c>
      <c r="L3788">
        <v>37</v>
      </c>
      <c r="M3788">
        <v>7</v>
      </c>
      <c r="N3788">
        <v>5</v>
      </c>
      <c r="O3788">
        <v>79.062100000000001</v>
      </c>
      <c r="P3788">
        <v>18.245999999999999</v>
      </c>
      <c r="Q3788">
        <v>11.4481</v>
      </c>
    </row>
    <row r="3789" spans="1:17" x14ac:dyDescent="0.25">
      <c r="A3789" t="str">
        <f>IF(C3789&amp;G3789&amp;D3789&lt;&gt;'Funnel setup'!$K$3&amp;'Funnel setup'!$K$4&amp;'Funnel setup'!$K$6,".",IF(A3788=".",1,A3788+1))</f>
        <v>.</v>
      </c>
      <c r="B3789" s="244" t="str">
        <f t="shared" si="59"/>
        <v>Total Hip ReplacementProviderNUFFIELD HEALTH, EXETER HOSPITAL (NT215)EQ VAS</v>
      </c>
      <c r="C3789" t="s">
        <v>974</v>
      </c>
      <c r="D3789" t="s">
        <v>965</v>
      </c>
      <c r="E3789" t="s">
        <v>384</v>
      </c>
      <c r="F3789" t="s">
        <v>385</v>
      </c>
      <c r="G3789" t="s">
        <v>752</v>
      </c>
      <c r="H3789">
        <v>2</v>
      </c>
      <c r="I3789">
        <v>67.5</v>
      </c>
      <c r="J3789">
        <v>92.5</v>
      </c>
      <c r="K3789">
        <v>25</v>
      </c>
      <c r="L3789">
        <v>2</v>
      </c>
      <c r="M3789">
        <v>0</v>
      </c>
      <c r="N3789">
        <v>0</v>
      </c>
      <c r="O3789" t="s">
        <v>127</v>
      </c>
      <c r="P3789" t="s">
        <v>127</v>
      </c>
      <c r="Q3789" t="s">
        <v>127</v>
      </c>
    </row>
    <row r="3790" spans="1:17" x14ac:dyDescent="0.25">
      <c r="A3790" t="str">
        <f>IF(C3790&amp;G3790&amp;D3790&lt;&gt;'Funnel setup'!$K$3&amp;'Funnel setup'!$K$4&amp;'Funnel setup'!$K$6,".",IF(A3789=".",1,A3789+1))</f>
        <v>.</v>
      </c>
      <c r="B3790" s="244" t="str">
        <f t="shared" si="59"/>
        <v>Total Hip ReplacementProviderNUFFIELD HEALTH, HAYWARDS HEATH HOSPITAL (NT218)EQ VAS</v>
      </c>
      <c r="C3790" t="s">
        <v>974</v>
      </c>
      <c r="D3790" t="s">
        <v>965</v>
      </c>
      <c r="E3790" t="s">
        <v>386</v>
      </c>
      <c r="F3790" t="s">
        <v>387</v>
      </c>
      <c r="G3790" t="s">
        <v>752</v>
      </c>
      <c r="H3790">
        <v>18</v>
      </c>
      <c r="I3790">
        <v>63.666699999999999</v>
      </c>
      <c r="J3790">
        <v>84.611099999999993</v>
      </c>
      <c r="K3790">
        <v>20.944400000000002</v>
      </c>
      <c r="L3790">
        <v>15</v>
      </c>
      <c r="M3790">
        <v>0</v>
      </c>
      <c r="N3790">
        <v>3</v>
      </c>
      <c r="O3790" t="s">
        <v>127</v>
      </c>
      <c r="P3790" t="s">
        <v>127</v>
      </c>
      <c r="Q3790" t="s">
        <v>127</v>
      </c>
    </row>
    <row r="3791" spans="1:17" x14ac:dyDescent="0.25">
      <c r="A3791" t="str">
        <f>IF(C3791&amp;G3791&amp;D3791&lt;&gt;'Funnel setup'!$K$3&amp;'Funnel setup'!$K$4&amp;'Funnel setup'!$K$6,".",IF(A3790=".",1,A3790+1))</f>
        <v>.</v>
      </c>
      <c r="B3791" s="244" t="str">
        <f t="shared" si="59"/>
        <v>Total Hip ReplacementProviderNUFFIELD HEALTH, HEREFORD HOSPITAL (NT219)EQ VAS</v>
      </c>
      <c r="C3791" t="s">
        <v>974</v>
      </c>
      <c r="D3791" t="s">
        <v>965</v>
      </c>
      <c r="E3791" t="s">
        <v>388</v>
      </c>
      <c r="F3791" t="s">
        <v>389</v>
      </c>
      <c r="G3791" t="s">
        <v>752</v>
      </c>
      <c r="H3791">
        <v>6</v>
      </c>
      <c r="I3791">
        <v>59.166699999999999</v>
      </c>
      <c r="J3791">
        <v>74.166700000000006</v>
      </c>
      <c r="K3791">
        <v>15</v>
      </c>
      <c r="L3791">
        <v>4</v>
      </c>
      <c r="M3791">
        <v>2</v>
      </c>
      <c r="N3791">
        <v>0</v>
      </c>
      <c r="O3791" t="s">
        <v>127</v>
      </c>
      <c r="P3791" t="s">
        <v>127</v>
      </c>
      <c r="Q3791" t="s">
        <v>127</v>
      </c>
    </row>
    <row r="3792" spans="1:17" x14ac:dyDescent="0.25">
      <c r="A3792" t="str">
        <f>IF(C3792&amp;G3792&amp;D3792&lt;&gt;'Funnel setup'!$K$3&amp;'Funnel setup'!$K$4&amp;'Funnel setup'!$K$6,".",IF(A3791=".",1,A3791+1))</f>
        <v>.</v>
      </c>
      <c r="B3792" s="244" t="str">
        <f t="shared" si="59"/>
        <v>Total Hip ReplacementProviderNUFFIELD HEALTH, IPSWICH HOSPITAL (NT222)EQ VAS</v>
      </c>
      <c r="C3792" t="s">
        <v>974</v>
      </c>
      <c r="D3792" t="s">
        <v>965</v>
      </c>
      <c r="E3792" t="s">
        <v>390</v>
      </c>
      <c r="F3792" t="s">
        <v>391</v>
      </c>
      <c r="G3792" t="s">
        <v>752</v>
      </c>
      <c r="H3792">
        <v>7</v>
      </c>
      <c r="I3792">
        <v>68.571399999999997</v>
      </c>
      <c r="J3792">
        <v>76.142899999999997</v>
      </c>
      <c r="K3792">
        <v>7.5714300000000003</v>
      </c>
      <c r="L3792">
        <v>5</v>
      </c>
      <c r="M3792">
        <v>0</v>
      </c>
      <c r="N3792">
        <v>2</v>
      </c>
      <c r="O3792" t="s">
        <v>127</v>
      </c>
      <c r="P3792" t="s">
        <v>127</v>
      </c>
      <c r="Q3792" t="s">
        <v>127</v>
      </c>
    </row>
    <row r="3793" spans="1:17" x14ac:dyDescent="0.25">
      <c r="A3793" t="str">
        <f>IF(C3793&amp;G3793&amp;D3793&lt;&gt;'Funnel setup'!$K$3&amp;'Funnel setup'!$K$4&amp;'Funnel setup'!$K$6,".",IF(A3792=".",1,A3792+1))</f>
        <v>.</v>
      </c>
      <c r="B3793" s="244" t="str">
        <f t="shared" si="59"/>
        <v>Total Hip ReplacementProviderNUFFIELD HEALTH, LEEDS HOSPITAL (NT225)EQ VAS</v>
      </c>
      <c r="C3793" t="s">
        <v>974</v>
      </c>
      <c r="D3793" t="s">
        <v>965</v>
      </c>
      <c r="E3793" t="s">
        <v>392</v>
      </c>
      <c r="F3793" t="s">
        <v>393</v>
      </c>
      <c r="G3793" t="s">
        <v>752</v>
      </c>
      <c r="H3793">
        <v>105</v>
      </c>
      <c r="I3793">
        <v>64</v>
      </c>
      <c r="J3793">
        <v>77.047600000000003</v>
      </c>
      <c r="K3793">
        <v>13.047599999999999</v>
      </c>
      <c r="L3793">
        <v>67</v>
      </c>
      <c r="M3793">
        <v>13</v>
      </c>
      <c r="N3793">
        <v>25</v>
      </c>
      <c r="O3793">
        <v>74.253900000000002</v>
      </c>
      <c r="P3793">
        <v>13.437799999999999</v>
      </c>
      <c r="Q3793">
        <v>15.2049</v>
      </c>
    </row>
    <row r="3794" spans="1:17" x14ac:dyDescent="0.25">
      <c r="A3794" t="str">
        <f>IF(C3794&amp;G3794&amp;D3794&lt;&gt;'Funnel setup'!$K$3&amp;'Funnel setup'!$K$4&amp;'Funnel setup'!$K$6,".",IF(A3793=".",1,A3793+1))</f>
        <v>.</v>
      </c>
      <c r="B3794" s="244" t="str">
        <f t="shared" si="59"/>
        <v>Total Hip ReplacementProviderNUFFIELD HEALTH, LEICESTER HOSPITAL (NT226)EQ VAS</v>
      </c>
      <c r="C3794" t="s">
        <v>974</v>
      </c>
      <c r="D3794" t="s">
        <v>965</v>
      </c>
      <c r="E3794" t="s">
        <v>394</v>
      </c>
      <c r="F3794" t="s">
        <v>395</v>
      </c>
      <c r="G3794" t="s">
        <v>752</v>
      </c>
      <c r="H3794">
        <v>29</v>
      </c>
      <c r="I3794">
        <v>65.965500000000006</v>
      </c>
      <c r="J3794">
        <v>77.930999999999997</v>
      </c>
      <c r="K3794">
        <v>11.9655</v>
      </c>
      <c r="L3794">
        <v>24</v>
      </c>
      <c r="M3794">
        <v>2</v>
      </c>
      <c r="N3794">
        <v>3</v>
      </c>
      <c r="O3794" t="s">
        <v>127</v>
      </c>
      <c r="P3794" t="s">
        <v>127</v>
      </c>
      <c r="Q3794" t="s">
        <v>127</v>
      </c>
    </row>
    <row r="3795" spans="1:17" x14ac:dyDescent="0.25">
      <c r="A3795" t="str">
        <f>IF(C3795&amp;G3795&amp;D3795&lt;&gt;'Funnel setup'!$K$3&amp;'Funnel setup'!$K$4&amp;'Funnel setup'!$K$6,".",IF(A3794=".",1,A3794+1))</f>
        <v>.</v>
      </c>
      <c r="B3795" s="244" t="str">
        <f t="shared" si="59"/>
        <v>Total Hip ReplacementProviderNUFFIELD HEALTH, NEWCASTLE UPON TYNE HOSPITAL (NT229)EQ VAS</v>
      </c>
      <c r="C3795" t="s">
        <v>974</v>
      </c>
      <c r="D3795" t="s">
        <v>965</v>
      </c>
      <c r="E3795" t="s">
        <v>396</v>
      </c>
      <c r="F3795" t="s">
        <v>397</v>
      </c>
      <c r="G3795" t="s">
        <v>752</v>
      </c>
      <c r="H3795">
        <v>45</v>
      </c>
      <c r="I3795">
        <v>58.488900000000001</v>
      </c>
      <c r="J3795">
        <v>76.866699999999994</v>
      </c>
      <c r="K3795">
        <v>18.377800000000001</v>
      </c>
      <c r="L3795">
        <v>31</v>
      </c>
      <c r="M3795">
        <v>7</v>
      </c>
      <c r="N3795">
        <v>7</v>
      </c>
      <c r="O3795">
        <v>76.129800000000003</v>
      </c>
      <c r="P3795">
        <v>15.313700000000001</v>
      </c>
      <c r="Q3795">
        <v>15.7035</v>
      </c>
    </row>
    <row r="3796" spans="1:17" x14ac:dyDescent="0.25">
      <c r="A3796" t="str">
        <f>IF(C3796&amp;G3796&amp;D3796&lt;&gt;'Funnel setup'!$K$3&amp;'Funnel setup'!$K$4&amp;'Funnel setup'!$K$6,".",IF(A3795=".",1,A3795+1))</f>
        <v>.</v>
      </c>
      <c r="B3796" s="244" t="str">
        <f t="shared" si="59"/>
        <v>Total Hip ReplacementProviderNUFFIELD HEALTH, NORTH STAFFORDSHIRE HOSPITAL (NT230)EQ VAS</v>
      </c>
      <c r="C3796" t="s">
        <v>974</v>
      </c>
      <c r="D3796" t="s">
        <v>965</v>
      </c>
      <c r="E3796" t="s">
        <v>398</v>
      </c>
      <c r="F3796" t="s">
        <v>399</v>
      </c>
      <c r="G3796" t="s">
        <v>752</v>
      </c>
      <c r="H3796">
        <v>34</v>
      </c>
      <c r="I3796">
        <v>64.7059</v>
      </c>
      <c r="J3796">
        <v>77.2059</v>
      </c>
      <c r="K3796">
        <v>12.5</v>
      </c>
      <c r="L3796">
        <v>22</v>
      </c>
      <c r="M3796">
        <v>3</v>
      </c>
      <c r="N3796">
        <v>9</v>
      </c>
      <c r="O3796">
        <v>75.656800000000004</v>
      </c>
      <c r="P3796">
        <v>14.8407</v>
      </c>
      <c r="Q3796">
        <v>21.233499999999999</v>
      </c>
    </row>
    <row r="3797" spans="1:17" x14ac:dyDescent="0.25">
      <c r="A3797" t="str">
        <f>IF(C3797&amp;G3797&amp;D3797&lt;&gt;'Funnel setup'!$K$3&amp;'Funnel setup'!$K$4&amp;'Funnel setup'!$K$6,".",IF(A3796=".",1,A3796+1))</f>
        <v>.</v>
      </c>
      <c r="B3797" s="244" t="str">
        <f t="shared" si="59"/>
        <v>Total Hip ReplacementProviderNUFFIELD HEALTH, PLYMOUTH HOSPITAL (NT233)EQ VAS</v>
      </c>
      <c r="C3797" t="s">
        <v>974</v>
      </c>
      <c r="D3797" t="s">
        <v>965</v>
      </c>
      <c r="E3797" t="s">
        <v>400</v>
      </c>
      <c r="F3797" t="s">
        <v>401</v>
      </c>
      <c r="G3797" t="s">
        <v>752</v>
      </c>
      <c r="H3797">
        <v>60</v>
      </c>
      <c r="I3797">
        <v>64.885199999999998</v>
      </c>
      <c r="J3797">
        <v>80.409800000000004</v>
      </c>
      <c r="K3797">
        <v>15.5246</v>
      </c>
      <c r="L3797">
        <v>46</v>
      </c>
      <c r="M3797">
        <v>4</v>
      </c>
      <c r="N3797">
        <v>10</v>
      </c>
      <c r="O3797">
        <v>76.959199999999996</v>
      </c>
      <c r="P3797">
        <v>16.1431</v>
      </c>
      <c r="Q3797">
        <v>13.144399999999999</v>
      </c>
    </row>
    <row r="3798" spans="1:17" x14ac:dyDescent="0.25">
      <c r="A3798" t="str">
        <f>IF(C3798&amp;G3798&amp;D3798&lt;&gt;'Funnel setup'!$K$3&amp;'Funnel setup'!$K$4&amp;'Funnel setup'!$K$6,".",IF(A3797=".",1,A3797+1))</f>
        <v>.</v>
      </c>
      <c r="B3798" s="244" t="str">
        <f t="shared" si="59"/>
        <v>Total Hip ReplacementProviderNUFFIELD HEALTH, SHREWSBURY HOSPITAL (NT235)EQ VAS</v>
      </c>
      <c r="C3798" t="s">
        <v>974</v>
      </c>
      <c r="D3798" t="s">
        <v>965</v>
      </c>
      <c r="E3798" t="s">
        <v>402</v>
      </c>
      <c r="F3798" t="s">
        <v>403</v>
      </c>
      <c r="G3798" t="s">
        <v>752</v>
      </c>
      <c r="H3798">
        <v>8</v>
      </c>
      <c r="I3798">
        <v>54.75</v>
      </c>
      <c r="J3798">
        <v>74</v>
      </c>
      <c r="K3798">
        <v>19.25</v>
      </c>
      <c r="L3798">
        <v>6</v>
      </c>
      <c r="M3798">
        <v>0</v>
      </c>
      <c r="N3798">
        <v>2</v>
      </c>
      <c r="O3798" t="s">
        <v>127</v>
      </c>
      <c r="P3798" t="s">
        <v>127</v>
      </c>
      <c r="Q3798" t="s">
        <v>127</v>
      </c>
    </row>
    <row r="3799" spans="1:17" x14ac:dyDescent="0.25">
      <c r="A3799" t="str">
        <f>IF(C3799&amp;G3799&amp;D3799&lt;&gt;'Funnel setup'!$K$3&amp;'Funnel setup'!$K$4&amp;'Funnel setup'!$K$6,".",IF(A3798=".",1,A3798+1))</f>
        <v>.</v>
      </c>
      <c r="B3799" s="244" t="str">
        <f t="shared" si="59"/>
        <v>Total Hip ReplacementProviderNUFFIELD HEALTH, TAUNTON HOSPITAL (NT238)EQ VAS</v>
      </c>
      <c r="C3799" t="s">
        <v>974</v>
      </c>
      <c r="D3799" t="s">
        <v>965</v>
      </c>
      <c r="E3799" t="s">
        <v>404</v>
      </c>
      <c r="F3799" t="s">
        <v>405</v>
      </c>
      <c r="G3799" t="s">
        <v>752</v>
      </c>
      <c r="H3799">
        <v>22</v>
      </c>
      <c r="I3799">
        <v>61.5</v>
      </c>
      <c r="J3799">
        <v>75.7273</v>
      </c>
      <c r="K3799">
        <v>14.2273</v>
      </c>
      <c r="L3799">
        <v>16</v>
      </c>
      <c r="M3799">
        <v>3</v>
      </c>
      <c r="N3799">
        <v>3</v>
      </c>
      <c r="O3799" t="s">
        <v>127</v>
      </c>
      <c r="P3799" t="s">
        <v>127</v>
      </c>
      <c r="Q3799" t="s">
        <v>127</v>
      </c>
    </row>
    <row r="3800" spans="1:17" x14ac:dyDescent="0.25">
      <c r="A3800" t="str">
        <f>IF(C3800&amp;G3800&amp;D3800&lt;&gt;'Funnel setup'!$K$3&amp;'Funnel setup'!$K$4&amp;'Funnel setup'!$K$6,".",IF(A3799=".",1,A3799+1))</f>
        <v>.</v>
      </c>
      <c r="B3800" s="244" t="str">
        <f t="shared" si="59"/>
        <v>Total Hip ReplacementProviderNUFFIELD HEALTH, TEES HOSPITAL (NT237)EQ VAS</v>
      </c>
      <c r="C3800" t="s">
        <v>974</v>
      </c>
      <c r="D3800" t="s">
        <v>965</v>
      </c>
      <c r="E3800" t="s">
        <v>406</v>
      </c>
      <c r="F3800" t="s">
        <v>407</v>
      </c>
      <c r="G3800" t="s">
        <v>752</v>
      </c>
      <c r="H3800">
        <v>146</v>
      </c>
      <c r="I3800">
        <v>71</v>
      </c>
      <c r="J3800">
        <v>78.691800000000001</v>
      </c>
      <c r="K3800">
        <v>7.6917799999999996</v>
      </c>
      <c r="L3800">
        <v>86</v>
      </c>
      <c r="M3800">
        <v>18</v>
      </c>
      <c r="N3800">
        <v>42</v>
      </c>
      <c r="O3800">
        <v>75.0946</v>
      </c>
      <c r="P3800">
        <v>14.278499999999999</v>
      </c>
      <c r="Q3800">
        <v>14.2211</v>
      </c>
    </row>
    <row r="3801" spans="1:17" x14ac:dyDescent="0.25">
      <c r="A3801" t="str">
        <f>IF(C3801&amp;G3801&amp;D3801&lt;&gt;'Funnel setup'!$K$3&amp;'Funnel setup'!$K$4&amp;'Funnel setup'!$K$6,".",IF(A3800=".",1,A3800+1))</f>
        <v>.</v>
      </c>
      <c r="B3801" s="244" t="str">
        <f t="shared" si="59"/>
        <v>Total Hip ReplacementProviderNUFFIELD HEALTH, THE GROSVENOR HOSPITAL, CHESTER (NT210)EQ VAS</v>
      </c>
      <c r="C3801" t="s">
        <v>974</v>
      </c>
      <c r="D3801" t="s">
        <v>965</v>
      </c>
      <c r="E3801" t="s">
        <v>408</v>
      </c>
      <c r="F3801" t="s">
        <v>409</v>
      </c>
      <c r="G3801" t="s">
        <v>752</v>
      </c>
      <c r="H3801">
        <v>14</v>
      </c>
      <c r="I3801">
        <v>73.214299999999994</v>
      </c>
      <c r="J3801">
        <v>82.071399999999997</v>
      </c>
      <c r="K3801">
        <v>8.8571399999999993</v>
      </c>
      <c r="L3801">
        <v>8</v>
      </c>
      <c r="M3801">
        <v>2</v>
      </c>
      <c r="N3801">
        <v>4</v>
      </c>
      <c r="O3801" t="s">
        <v>127</v>
      </c>
      <c r="P3801" t="s">
        <v>127</v>
      </c>
      <c r="Q3801" t="s">
        <v>127</v>
      </c>
    </row>
    <row r="3802" spans="1:17" x14ac:dyDescent="0.25">
      <c r="A3802" t="str">
        <f>IF(C3802&amp;G3802&amp;D3802&lt;&gt;'Funnel setup'!$K$3&amp;'Funnel setup'!$K$4&amp;'Funnel setup'!$K$6,".",IF(A3801=".",1,A3801+1))</f>
        <v>.</v>
      </c>
      <c r="B3802" s="244" t="str">
        <f t="shared" si="59"/>
        <v>Total Hip ReplacementProviderNUFFIELD HEALTH, TUNBRIDGE WELLS HOSPITAL (NT239)EQ VAS</v>
      </c>
      <c r="C3802" t="s">
        <v>974</v>
      </c>
      <c r="D3802" t="s">
        <v>965</v>
      </c>
      <c r="E3802" t="s">
        <v>410</v>
      </c>
      <c r="F3802" t="s">
        <v>411</v>
      </c>
      <c r="G3802" t="s">
        <v>752</v>
      </c>
      <c r="H3802">
        <v>6</v>
      </c>
      <c r="I3802">
        <v>74.166700000000006</v>
      </c>
      <c r="J3802">
        <v>75.833299999999994</v>
      </c>
      <c r="K3802">
        <v>1.6666700000000001</v>
      </c>
      <c r="L3802">
        <v>3</v>
      </c>
      <c r="M3802">
        <v>0</v>
      </c>
      <c r="N3802">
        <v>3</v>
      </c>
      <c r="O3802" t="s">
        <v>127</v>
      </c>
      <c r="P3802" t="s">
        <v>127</v>
      </c>
      <c r="Q3802" t="s">
        <v>127</v>
      </c>
    </row>
    <row r="3803" spans="1:17" x14ac:dyDescent="0.25">
      <c r="A3803" t="str">
        <f>IF(C3803&amp;G3803&amp;D3803&lt;&gt;'Funnel setup'!$K$3&amp;'Funnel setup'!$K$4&amp;'Funnel setup'!$K$6,".",IF(A3802=".",1,A3802+1))</f>
        <v>.</v>
      </c>
      <c r="B3803" s="244" t="str">
        <f t="shared" si="59"/>
        <v>Total Hip ReplacementProviderNUFFIELD HEALTH, WARWICKSHIRE HOSPITAL (NT224)EQ VAS</v>
      </c>
      <c r="C3803" t="s">
        <v>974</v>
      </c>
      <c r="D3803" t="s">
        <v>965</v>
      </c>
      <c r="E3803" t="s">
        <v>412</v>
      </c>
      <c r="F3803" t="s">
        <v>413</v>
      </c>
      <c r="G3803" t="s">
        <v>752</v>
      </c>
      <c r="H3803">
        <v>17</v>
      </c>
      <c r="I3803">
        <v>64.470600000000005</v>
      </c>
      <c r="J3803">
        <v>81.2941</v>
      </c>
      <c r="K3803">
        <v>16.823499999999999</v>
      </c>
      <c r="L3803">
        <v>13</v>
      </c>
      <c r="M3803">
        <v>1</v>
      </c>
      <c r="N3803">
        <v>3</v>
      </c>
      <c r="O3803" t="s">
        <v>127</v>
      </c>
      <c r="P3803" t="s">
        <v>127</v>
      </c>
      <c r="Q3803" t="s">
        <v>127</v>
      </c>
    </row>
    <row r="3804" spans="1:17" x14ac:dyDescent="0.25">
      <c r="A3804" t="str">
        <f>IF(C3804&amp;G3804&amp;D3804&lt;&gt;'Funnel setup'!$K$3&amp;'Funnel setup'!$K$4&amp;'Funnel setup'!$K$6,".",IF(A3803=".",1,A3803+1))</f>
        <v>.</v>
      </c>
      <c r="B3804" s="244" t="str">
        <f t="shared" si="59"/>
        <v>Total Hip ReplacementProviderNUFFIELD HEALTH, WESSEX HOSPITAL (NT214)EQ VAS</v>
      </c>
      <c r="C3804" t="s">
        <v>974</v>
      </c>
      <c r="D3804" t="s">
        <v>965</v>
      </c>
      <c r="E3804" t="s">
        <v>414</v>
      </c>
      <c r="F3804" t="s">
        <v>415</v>
      </c>
      <c r="G3804" t="s">
        <v>752</v>
      </c>
      <c r="H3804">
        <v>32</v>
      </c>
      <c r="I3804">
        <v>61.593800000000002</v>
      </c>
      <c r="J3804">
        <v>77.718800000000002</v>
      </c>
      <c r="K3804">
        <v>16.125</v>
      </c>
      <c r="L3804">
        <v>25</v>
      </c>
      <c r="M3804">
        <v>2</v>
      </c>
      <c r="N3804">
        <v>5</v>
      </c>
      <c r="O3804">
        <v>75.711799999999997</v>
      </c>
      <c r="P3804">
        <v>14.8957</v>
      </c>
      <c r="Q3804">
        <v>11.804</v>
      </c>
    </row>
    <row r="3805" spans="1:17" x14ac:dyDescent="0.25">
      <c r="A3805" t="str">
        <f>IF(C3805&amp;G3805&amp;D3805&lt;&gt;'Funnel setup'!$K$3&amp;'Funnel setup'!$K$4&amp;'Funnel setup'!$K$6,".",IF(A3804=".",1,A3804+1))</f>
        <v>.</v>
      </c>
      <c r="B3805" s="244" t="str">
        <f t="shared" si="59"/>
        <v>Total Hip ReplacementProviderNUFFIELD HEALTH, WOLVERHAMPTON HOSPITAL (NT242)EQ VAS</v>
      </c>
      <c r="C3805" t="s">
        <v>974</v>
      </c>
      <c r="D3805" t="s">
        <v>965</v>
      </c>
      <c r="E3805" t="s">
        <v>418</v>
      </c>
      <c r="F3805" t="s">
        <v>419</v>
      </c>
      <c r="G3805" t="s">
        <v>752</v>
      </c>
      <c r="H3805">
        <v>4</v>
      </c>
      <c r="I3805">
        <v>59.25</v>
      </c>
      <c r="J3805">
        <v>71.25</v>
      </c>
      <c r="K3805">
        <v>12</v>
      </c>
      <c r="L3805">
        <v>3</v>
      </c>
      <c r="M3805">
        <v>1</v>
      </c>
      <c r="N3805">
        <v>0</v>
      </c>
      <c r="O3805" t="s">
        <v>127</v>
      </c>
      <c r="P3805" t="s">
        <v>127</v>
      </c>
      <c r="Q3805" t="s">
        <v>127</v>
      </c>
    </row>
    <row r="3806" spans="1:17" x14ac:dyDescent="0.25">
      <c r="A3806" t="str">
        <f>IF(C3806&amp;G3806&amp;D3806&lt;&gt;'Funnel setup'!$K$3&amp;'Funnel setup'!$K$4&amp;'Funnel setup'!$K$6,".",IF(A3805=".",1,A3805+1))</f>
        <v>.</v>
      </c>
      <c r="B3806" s="244" t="str">
        <f t="shared" si="59"/>
        <v>Total Hip ReplacementProviderNUFFIELD HEALTH, YORK HOSPITAL (NT245)EQ VAS</v>
      </c>
      <c r="C3806" t="s">
        <v>974</v>
      </c>
      <c r="D3806" t="s">
        <v>965</v>
      </c>
      <c r="E3806" t="s">
        <v>420</v>
      </c>
      <c r="F3806" t="s">
        <v>421</v>
      </c>
      <c r="G3806" t="s">
        <v>752</v>
      </c>
      <c r="H3806">
        <v>73</v>
      </c>
      <c r="I3806">
        <v>63.773299999999999</v>
      </c>
      <c r="J3806">
        <v>79.466700000000003</v>
      </c>
      <c r="K3806">
        <v>15.693300000000001</v>
      </c>
      <c r="L3806">
        <v>57</v>
      </c>
      <c r="M3806">
        <v>4</v>
      </c>
      <c r="N3806">
        <v>12</v>
      </c>
      <c r="O3806">
        <v>78.856399999999994</v>
      </c>
      <c r="P3806">
        <v>18.040299999999998</v>
      </c>
      <c r="Q3806">
        <v>16.170300000000001</v>
      </c>
    </row>
    <row r="3807" spans="1:17" x14ac:dyDescent="0.25">
      <c r="A3807" t="str">
        <f>IF(C3807&amp;G3807&amp;D3807&lt;&gt;'Funnel setup'!$K$3&amp;'Funnel setup'!$K$4&amp;'Funnel setup'!$K$6,".",IF(A3806=".",1,A3806+1))</f>
        <v>.</v>
      </c>
      <c r="B3807" s="244" t="str">
        <f t="shared" si="59"/>
        <v>Total Hip ReplacementProviderOAKLANDS HOSPITAL (NVC12)EQ VAS</v>
      </c>
      <c r="C3807" t="s">
        <v>974</v>
      </c>
      <c r="D3807" t="s">
        <v>965</v>
      </c>
      <c r="E3807" t="s">
        <v>424</v>
      </c>
      <c r="F3807" t="s">
        <v>425</v>
      </c>
      <c r="G3807" t="s">
        <v>752</v>
      </c>
      <c r="H3807">
        <v>58</v>
      </c>
      <c r="I3807">
        <v>66.620699999999999</v>
      </c>
      <c r="J3807">
        <v>71.930999999999997</v>
      </c>
      <c r="K3807">
        <v>5.3103400000000001</v>
      </c>
      <c r="L3807">
        <v>32</v>
      </c>
      <c r="M3807">
        <v>10</v>
      </c>
      <c r="N3807">
        <v>16</v>
      </c>
      <c r="O3807">
        <v>72.128699999999995</v>
      </c>
      <c r="P3807">
        <v>11.3126</v>
      </c>
      <c r="Q3807">
        <v>19.6859</v>
      </c>
    </row>
    <row r="3808" spans="1:17" x14ac:dyDescent="0.25">
      <c r="A3808" t="str">
        <f>IF(C3808&amp;G3808&amp;D3808&lt;&gt;'Funnel setup'!$K$3&amp;'Funnel setup'!$K$4&amp;'Funnel setup'!$K$6,".",IF(A3807=".",1,A3807+1))</f>
        <v>.</v>
      </c>
      <c r="B3808" s="244" t="str">
        <f t="shared" si="59"/>
        <v>Total Hip ReplacementProviderOAKS HOSPITAL (NVC13)EQ VAS</v>
      </c>
      <c r="C3808" t="s">
        <v>974</v>
      </c>
      <c r="D3808" t="s">
        <v>965</v>
      </c>
      <c r="E3808" t="s">
        <v>426</v>
      </c>
      <c r="F3808" t="s">
        <v>427</v>
      </c>
      <c r="G3808" t="s">
        <v>752</v>
      </c>
      <c r="H3808">
        <v>6</v>
      </c>
      <c r="I3808">
        <v>76.666700000000006</v>
      </c>
      <c r="J3808">
        <v>73.5</v>
      </c>
      <c r="K3808">
        <v>-3.1666699999999999</v>
      </c>
      <c r="L3808">
        <v>2</v>
      </c>
      <c r="M3808">
        <v>1</v>
      </c>
      <c r="N3808">
        <v>3</v>
      </c>
      <c r="O3808" t="s">
        <v>127</v>
      </c>
      <c r="P3808" t="s">
        <v>127</v>
      </c>
      <c r="Q3808" t="s">
        <v>127</v>
      </c>
    </row>
    <row r="3809" spans="1:17" x14ac:dyDescent="0.25">
      <c r="A3809" t="str">
        <f>IF(C3809&amp;G3809&amp;D3809&lt;&gt;'Funnel setup'!$K$3&amp;'Funnel setup'!$K$4&amp;'Funnel setup'!$K$6,".",IF(A3808=".",1,A3808+1))</f>
        <v>.</v>
      </c>
      <c r="B3809" s="244" t="str">
        <f t="shared" si="59"/>
        <v>Total Hip ReplacementProviderONE HEALTHCARE (AVQ)EQ VAS</v>
      </c>
      <c r="C3809" t="s">
        <v>974</v>
      </c>
      <c r="D3809" t="s">
        <v>965</v>
      </c>
      <c r="E3809" t="s">
        <v>434</v>
      </c>
      <c r="F3809" t="s">
        <v>435</v>
      </c>
      <c r="G3809" t="s">
        <v>752</v>
      </c>
      <c r="H3809">
        <v>51</v>
      </c>
      <c r="I3809">
        <v>61.2941</v>
      </c>
      <c r="J3809">
        <v>79</v>
      </c>
      <c r="K3809">
        <v>17.7059</v>
      </c>
      <c r="L3809">
        <v>38</v>
      </c>
      <c r="M3809">
        <v>4</v>
      </c>
      <c r="N3809">
        <v>9</v>
      </c>
      <c r="O3809">
        <v>76.486099999999993</v>
      </c>
      <c r="P3809">
        <v>15.6699</v>
      </c>
      <c r="Q3809">
        <v>15.914099999999999</v>
      </c>
    </row>
    <row r="3810" spans="1:17" x14ac:dyDescent="0.25">
      <c r="A3810" t="str">
        <f>IF(C3810&amp;G3810&amp;D3810&lt;&gt;'Funnel setup'!$K$3&amp;'Funnel setup'!$K$4&amp;'Funnel setup'!$K$6,".",IF(A3809=".",1,A3809+1))</f>
        <v>.</v>
      </c>
      <c r="B3810" s="244" t="str">
        <f t="shared" si="59"/>
        <v>Total Hip ReplacementProviderORTHOPAEDICS &amp; SPINE SPECIALIST HOSPITAL SITE (NQM01)EQ VAS</v>
      </c>
      <c r="C3810" t="s">
        <v>974</v>
      </c>
      <c r="D3810" t="s">
        <v>965</v>
      </c>
      <c r="E3810" t="s">
        <v>436</v>
      </c>
      <c r="F3810" t="s">
        <v>437</v>
      </c>
      <c r="G3810" t="s">
        <v>752</v>
      </c>
      <c r="H3810">
        <v>7</v>
      </c>
      <c r="I3810">
        <v>77.142899999999997</v>
      </c>
      <c r="J3810">
        <v>80.714299999999994</v>
      </c>
      <c r="K3810">
        <v>3.5714299999999999</v>
      </c>
      <c r="L3810">
        <v>5</v>
      </c>
      <c r="M3810">
        <v>0</v>
      </c>
      <c r="N3810">
        <v>2</v>
      </c>
      <c r="O3810" t="s">
        <v>127</v>
      </c>
      <c r="P3810" t="s">
        <v>127</v>
      </c>
      <c r="Q3810" t="s">
        <v>127</v>
      </c>
    </row>
    <row r="3811" spans="1:17" x14ac:dyDescent="0.25">
      <c r="A3811" t="str">
        <f>IF(C3811&amp;G3811&amp;D3811&lt;&gt;'Funnel setup'!$K$3&amp;'Funnel setup'!$K$4&amp;'Funnel setup'!$K$6,".",IF(A3810=".",1,A3810+1))</f>
        <v>.</v>
      </c>
      <c r="B3811" s="244" t="str">
        <f t="shared" si="59"/>
        <v>Total Hip ReplacementProviderOXFORD UNIVERSITY HOSPITALS NHS FOUNDATION TRUST (RTH)EQ VAS</v>
      </c>
      <c r="C3811" t="s">
        <v>974</v>
      </c>
      <c r="D3811" t="s">
        <v>965</v>
      </c>
      <c r="E3811" t="s">
        <v>438</v>
      </c>
      <c r="F3811" t="s">
        <v>439</v>
      </c>
      <c r="G3811" t="s">
        <v>752</v>
      </c>
      <c r="H3811">
        <v>310</v>
      </c>
      <c r="I3811">
        <v>61.771000000000001</v>
      </c>
      <c r="J3811">
        <v>74.328999999999994</v>
      </c>
      <c r="K3811">
        <v>12.5581</v>
      </c>
      <c r="L3811">
        <v>217</v>
      </c>
      <c r="M3811">
        <v>23</v>
      </c>
      <c r="N3811">
        <v>70</v>
      </c>
      <c r="O3811">
        <v>74.170699999999997</v>
      </c>
      <c r="P3811">
        <v>13.3546</v>
      </c>
      <c r="Q3811">
        <v>16.337</v>
      </c>
    </row>
    <row r="3812" spans="1:17" x14ac:dyDescent="0.25">
      <c r="A3812" t="str">
        <f>IF(C3812&amp;G3812&amp;D3812&lt;&gt;'Funnel setup'!$K$3&amp;'Funnel setup'!$K$4&amp;'Funnel setup'!$K$6,".",IF(A3811=".",1,A3811+1))</f>
        <v>.</v>
      </c>
      <c r="B3812" s="244" t="str">
        <f t="shared" si="59"/>
        <v>Total Hip ReplacementProviderPARK HILL HOSPITAL (NVC14)EQ VAS</v>
      </c>
      <c r="C3812" t="s">
        <v>974</v>
      </c>
      <c r="D3812" t="s">
        <v>965</v>
      </c>
      <c r="E3812" t="s">
        <v>440</v>
      </c>
      <c r="F3812" t="s">
        <v>441</v>
      </c>
      <c r="G3812" t="s">
        <v>752</v>
      </c>
      <c r="H3812">
        <v>51</v>
      </c>
      <c r="I3812">
        <v>57.2941</v>
      </c>
      <c r="J3812">
        <v>74.862700000000004</v>
      </c>
      <c r="K3812">
        <v>17.5686</v>
      </c>
      <c r="L3812">
        <v>38</v>
      </c>
      <c r="M3812">
        <v>3</v>
      </c>
      <c r="N3812">
        <v>10</v>
      </c>
      <c r="O3812">
        <v>74.566800000000001</v>
      </c>
      <c r="P3812">
        <v>13.7507</v>
      </c>
      <c r="Q3812">
        <v>18.7807</v>
      </c>
    </row>
    <row r="3813" spans="1:17" x14ac:dyDescent="0.25">
      <c r="A3813" t="str">
        <f>IF(C3813&amp;G3813&amp;D3813&lt;&gt;'Funnel setup'!$K$3&amp;'Funnel setup'!$K$4&amp;'Funnel setup'!$K$6,".",IF(A3812=".",1,A3812+1))</f>
        <v>.</v>
      </c>
      <c r="B3813" s="244" t="str">
        <f t="shared" si="59"/>
        <v>Total Hip ReplacementProviderPARK HOSPITAL (NT427)EQ VAS</v>
      </c>
      <c r="C3813" t="s">
        <v>974</v>
      </c>
      <c r="D3813" t="s">
        <v>965</v>
      </c>
      <c r="E3813" t="s">
        <v>442</v>
      </c>
      <c r="F3813" t="s">
        <v>443</v>
      </c>
      <c r="G3813" t="s">
        <v>752</v>
      </c>
      <c r="H3813">
        <v>20</v>
      </c>
      <c r="I3813">
        <v>57.9</v>
      </c>
      <c r="J3813">
        <v>71.5</v>
      </c>
      <c r="K3813">
        <v>13.6</v>
      </c>
      <c r="L3813">
        <v>12</v>
      </c>
      <c r="M3813">
        <v>4</v>
      </c>
      <c r="N3813">
        <v>4</v>
      </c>
      <c r="O3813" t="s">
        <v>127</v>
      </c>
      <c r="P3813" t="s">
        <v>127</v>
      </c>
      <c r="Q3813" t="s">
        <v>127</v>
      </c>
    </row>
    <row r="3814" spans="1:17" x14ac:dyDescent="0.25">
      <c r="A3814" t="str">
        <f>IF(C3814&amp;G3814&amp;D3814&lt;&gt;'Funnel setup'!$K$3&amp;'Funnel setup'!$K$4&amp;'Funnel setup'!$K$6,".",IF(A3813=".",1,A3813+1))</f>
        <v>.</v>
      </c>
      <c r="B3814" s="244" t="str">
        <f t="shared" si="59"/>
        <v>Total Hip ReplacementProviderPENNINE ACUTE HOSPITALS NHS TRUST (RW6)EQ VAS</v>
      </c>
      <c r="C3814" t="s">
        <v>974</v>
      </c>
      <c r="D3814" t="s">
        <v>965</v>
      </c>
      <c r="E3814" t="s">
        <v>444</v>
      </c>
      <c r="F3814" t="s">
        <v>445</v>
      </c>
      <c r="G3814" t="s">
        <v>752</v>
      </c>
      <c r="H3814">
        <v>1</v>
      </c>
      <c r="I3814">
        <v>67</v>
      </c>
      <c r="J3814">
        <v>75</v>
      </c>
      <c r="K3814">
        <v>8</v>
      </c>
      <c r="L3814">
        <v>1</v>
      </c>
      <c r="M3814">
        <v>0</v>
      </c>
      <c r="N3814">
        <v>0</v>
      </c>
      <c r="O3814" t="s">
        <v>127</v>
      </c>
      <c r="P3814" t="s">
        <v>127</v>
      </c>
      <c r="Q3814" t="s">
        <v>127</v>
      </c>
    </row>
    <row r="3815" spans="1:17" x14ac:dyDescent="0.25">
      <c r="A3815" t="str">
        <f>IF(C3815&amp;G3815&amp;D3815&lt;&gt;'Funnel setup'!$K$3&amp;'Funnel setup'!$K$4&amp;'Funnel setup'!$K$6,".",IF(A3814=".",1,A3814+1))</f>
        <v>.</v>
      </c>
      <c r="B3815" s="244" t="str">
        <f t="shared" si="59"/>
        <v>Total Hip ReplacementProviderPINEHILL HOSPITAL (NVC15)EQ VAS</v>
      </c>
      <c r="C3815" t="s">
        <v>974</v>
      </c>
      <c r="D3815" t="s">
        <v>965</v>
      </c>
      <c r="E3815" t="s">
        <v>448</v>
      </c>
      <c r="F3815" t="s">
        <v>449</v>
      </c>
      <c r="G3815" t="s">
        <v>752</v>
      </c>
      <c r="H3815">
        <v>12</v>
      </c>
      <c r="I3815">
        <v>59.916699999999999</v>
      </c>
      <c r="J3815">
        <v>75.75</v>
      </c>
      <c r="K3815">
        <v>15.833299999999999</v>
      </c>
      <c r="L3815">
        <v>9</v>
      </c>
      <c r="M3815">
        <v>0</v>
      </c>
      <c r="N3815">
        <v>3</v>
      </c>
      <c r="O3815" t="s">
        <v>127</v>
      </c>
      <c r="P3815" t="s">
        <v>127</v>
      </c>
      <c r="Q3815" t="s">
        <v>127</v>
      </c>
    </row>
    <row r="3816" spans="1:17" x14ac:dyDescent="0.25">
      <c r="A3816" t="str">
        <f>IF(C3816&amp;G3816&amp;D3816&lt;&gt;'Funnel setup'!$K$3&amp;'Funnel setup'!$K$4&amp;'Funnel setup'!$K$6,".",IF(A3815=".",1,A3815+1))</f>
        <v>.</v>
      </c>
      <c r="B3816" s="244" t="str">
        <f t="shared" si="59"/>
        <v>Total Hip ReplacementProviderPORTSMOUTH HOSPITALS UNIVERSITY NATIONAL HEALTH SERVICE TRUST (RHU)EQ VAS</v>
      </c>
      <c r="C3816" t="s">
        <v>974</v>
      </c>
      <c r="D3816" t="s">
        <v>965</v>
      </c>
      <c r="E3816" t="s">
        <v>450</v>
      </c>
      <c r="F3816" t="s">
        <v>451</v>
      </c>
      <c r="G3816" t="s">
        <v>752</v>
      </c>
      <c r="H3816">
        <v>15</v>
      </c>
      <c r="I3816">
        <v>48.066699999999997</v>
      </c>
      <c r="J3816">
        <v>68</v>
      </c>
      <c r="K3816">
        <v>19.933299999999999</v>
      </c>
      <c r="L3816">
        <v>10</v>
      </c>
      <c r="M3816">
        <v>2</v>
      </c>
      <c r="N3816">
        <v>3</v>
      </c>
      <c r="O3816" t="s">
        <v>127</v>
      </c>
      <c r="P3816" t="s">
        <v>127</v>
      </c>
      <c r="Q3816" t="s">
        <v>127</v>
      </c>
    </row>
    <row r="3817" spans="1:17" x14ac:dyDescent="0.25">
      <c r="A3817" t="str">
        <f>IF(C3817&amp;G3817&amp;D3817&lt;&gt;'Funnel setup'!$K$3&amp;'Funnel setup'!$K$4&amp;'Funnel setup'!$K$6,".",IF(A3816=".",1,A3816+1))</f>
        <v>.</v>
      </c>
      <c r="B3817" s="244" t="str">
        <f t="shared" si="59"/>
        <v>Total Hip ReplacementProviderPRACTICE PLUS GROUP HOSPITAL - BARLBOROUGH (NTP13)EQ VAS</v>
      </c>
      <c r="C3817" t="s">
        <v>974</v>
      </c>
      <c r="D3817" t="s">
        <v>965</v>
      </c>
      <c r="E3817" t="s">
        <v>452</v>
      </c>
      <c r="F3817" t="s">
        <v>453</v>
      </c>
      <c r="G3817" t="s">
        <v>752</v>
      </c>
      <c r="H3817">
        <v>172</v>
      </c>
      <c r="I3817">
        <v>67.75</v>
      </c>
      <c r="J3817">
        <v>75.965100000000007</v>
      </c>
      <c r="K3817">
        <v>8.2151200000000006</v>
      </c>
      <c r="L3817">
        <v>106</v>
      </c>
      <c r="M3817">
        <v>15</v>
      </c>
      <c r="N3817">
        <v>51</v>
      </c>
      <c r="O3817">
        <v>73.735699999999994</v>
      </c>
      <c r="P3817">
        <v>12.919600000000001</v>
      </c>
      <c r="Q3817">
        <v>16.564</v>
      </c>
    </row>
    <row r="3818" spans="1:17" x14ac:dyDescent="0.25">
      <c r="A3818" t="str">
        <f>IF(C3818&amp;G3818&amp;D3818&lt;&gt;'Funnel setup'!$K$3&amp;'Funnel setup'!$K$4&amp;'Funnel setup'!$K$6,".",IF(A3817=".",1,A3817+1))</f>
        <v>.</v>
      </c>
      <c r="B3818" s="244" t="str">
        <f t="shared" si="59"/>
        <v>Total Hip ReplacementProviderPRACTICE PLUS GROUP HOSPITAL - EMERSONS GREEN (NTPH2)EQ VAS</v>
      </c>
      <c r="C3818" t="s">
        <v>974</v>
      </c>
      <c r="D3818" t="s">
        <v>965</v>
      </c>
      <c r="E3818" t="s">
        <v>454</v>
      </c>
      <c r="F3818" t="s">
        <v>455</v>
      </c>
      <c r="G3818" t="s">
        <v>752</v>
      </c>
      <c r="H3818">
        <v>141</v>
      </c>
      <c r="I3818">
        <v>57.383000000000003</v>
      </c>
      <c r="J3818">
        <v>80.758899999999997</v>
      </c>
      <c r="K3818">
        <v>23.375900000000001</v>
      </c>
      <c r="L3818">
        <v>111</v>
      </c>
      <c r="M3818">
        <v>10</v>
      </c>
      <c r="N3818">
        <v>20</v>
      </c>
      <c r="O3818">
        <v>79.624600000000001</v>
      </c>
      <c r="P3818">
        <v>18.808499999999999</v>
      </c>
      <c r="Q3818">
        <v>15.2761</v>
      </c>
    </row>
    <row r="3819" spans="1:17" x14ac:dyDescent="0.25">
      <c r="A3819" t="str">
        <f>IF(C3819&amp;G3819&amp;D3819&lt;&gt;'Funnel setup'!$K$3&amp;'Funnel setup'!$K$4&amp;'Funnel setup'!$K$6,".",IF(A3818=".",1,A3818+1))</f>
        <v>.</v>
      </c>
      <c r="B3819" s="244" t="str">
        <f t="shared" si="59"/>
        <v>Total Hip ReplacementProviderPRACTICE PLUS GROUP HOSPITAL - ILFORD (NTP15)EQ VAS</v>
      </c>
      <c r="C3819" t="s">
        <v>974</v>
      </c>
      <c r="D3819" t="s">
        <v>965</v>
      </c>
      <c r="E3819" t="s">
        <v>456</v>
      </c>
      <c r="F3819" t="s">
        <v>457</v>
      </c>
      <c r="G3819" t="s">
        <v>752</v>
      </c>
      <c r="H3819">
        <v>49</v>
      </c>
      <c r="I3819">
        <v>70.959199999999996</v>
      </c>
      <c r="J3819">
        <v>79.959199999999996</v>
      </c>
      <c r="K3819">
        <v>9</v>
      </c>
      <c r="L3819">
        <v>29</v>
      </c>
      <c r="M3819">
        <v>8</v>
      </c>
      <c r="N3819">
        <v>12</v>
      </c>
      <c r="O3819">
        <v>76.602900000000005</v>
      </c>
      <c r="P3819">
        <v>15.786799999999999</v>
      </c>
      <c r="Q3819">
        <v>16.217099999999999</v>
      </c>
    </row>
    <row r="3820" spans="1:17" x14ac:dyDescent="0.25">
      <c r="A3820" t="str">
        <f>IF(C3820&amp;G3820&amp;D3820&lt;&gt;'Funnel setup'!$K$3&amp;'Funnel setup'!$K$4&amp;'Funnel setup'!$K$6,".",IF(A3819=".",1,A3819+1))</f>
        <v>.</v>
      </c>
      <c r="B3820" s="244" t="str">
        <f t="shared" si="59"/>
        <v>Total Hip ReplacementProviderPRACTICE PLUS GROUP HOSPITAL - PLYMOUTH (NTPH5)EQ VAS</v>
      </c>
      <c r="C3820" t="s">
        <v>974</v>
      </c>
      <c r="D3820" t="s">
        <v>965</v>
      </c>
      <c r="E3820" t="s">
        <v>458</v>
      </c>
      <c r="F3820" t="s">
        <v>459</v>
      </c>
      <c r="G3820" t="s">
        <v>752</v>
      </c>
      <c r="H3820">
        <v>168</v>
      </c>
      <c r="I3820">
        <v>65.023799999999994</v>
      </c>
      <c r="J3820">
        <v>76.196399999999997</v>
      </c>
      <c r="K3820">
        <v>11.172599999999999</v>
      </c>
      <c r="L3820">
        <v>113</v>
      </c>
      <c r="M3820">
        <v>15</v>
      </c>
      <c r="N3820">
        <v>40</v>
      </c>
      <c r="O3820">
        <v>74.946299999999994</v>
      </c>
      <c r="P3820">
        <v>14.1302</v>
      </c>
      <c r="Q3820">
        <v>15.4071</v>
      </c>
    </row>
    <row r="3821" spans="1:17" x14ac:dyDescent="0.25">
      <c r="A3821" t="str">
        <f>IF(C3821&amp;G3821&amp;D3821&lt;&gt;'Funnel setup'!$K$3&amp;'Funnel setup'!$K$4&amp;'Funnel setup'!$K$6,".",IF(A3820=".",1,A3820+1))</f>
        <v>.</v>
      </c>
      <c r="B3821" s="244" t="str">
        <f t="shared" si="59"/>
        <v>Total Hip ReplacementProviderPRACTICE PLUS GROUP HOSPITAL - SHEPTON MALLET (NTPH1)EQ VAS</v>
      </c>
      <c r="C3821" t="s">
        <v>974</v>
      </c>
      <c r="D3821" t="s">
        <v>965</v>
      </c>
      <c r="E3821" t="s">
        <v>460</v>
      </c>
      <c r="F3821" t="s">
        <v>461</v>
      </c>
      <c r="G3821" t="s">
        <v>752</v>
      </c>
      <c r="H3821">
        <v>264</v>
      </c>
      <c r="I3821">
        <v>65.378799999999998</v>
      </c>
      <c r="J3821">
        <v>81.439400000000006</v>
      </c>
      <c r="K3821">
        <v>16.060600000000001</v>
      </c>
      <c r="L3821">
        <v>197</v>
      </c>
      <c r="M3821">
        <v>22</v>
      </c>
      <c r="N3821">
        <v>45</v>
      </c>
      <c r="O3821">
        <v>78.249099999999999</v>
      </c>
      <c r="P3821">
        <v>17.433</v>
      </c>
      <c r="Q3821">
        <v>13.303800000000001</v>
      </c>
    </row>
    <row r="3822" spans="1:17" x14ac:dyDescent="0.25">
      <c r="A3822" t="str">
        <f>IF(C3822&amp;G3822&amp;D3822&lt;&gt;'Funnel setup'!$K$3&amp;'Funnel setup'!$K$4&amp;'Funnel setup'!$K$6,".",IF(A3821=".",1,A3821+1))</f>
        <v>.</v>
      </c>
      <c r="B3822" s="244" t="str">
        <f t="shared" si="59"/>
        <v>Total Hip ReplacementProviderPRACTICE PLUS GROUP HOSPITAL - SOUTHAMPTON (NTP11)EQ VAS</v>
      </c>
      <c r="C3822" t="s">
        <v>974</v>
      </c>
      <c r="D3822" t="s">
        <v>965</v>
      </c>
      <c r="E3822" t="s">
        <v>462</v>
      </c>
      <c r="F3822" t="s">
        <v>463</v>
      </c>
      <c r="G3822" t="s">
        <v>752</v>
      </c>
      <c r="H3822">
        <v>61</v>
      </c>
      <c r="I3822">
        <v>65.459000000000003</v>
      </c>
      <c r="J3822">
        <v>79.442599999999999</v>
      </c>
      <c r="K3822">
        <v>13.983599999999999</v>
      </c>
      <c r="L3822">
        <v>42</v>
      </c>
      <c r="M3822">
        <v>7</v>
      </c>
      <c r="N3822">
        <v>12</v>
      </c>
      <c r="O3822">
        <v>76.124499999999998</v>
      </c>
      <c r="P3822">
        <v>15.308400000000001</v>
      </c>
      <c r="Q3822">
        <v>17.847799999999999</v>
      </c>
    </row>
    <row r="3823" spans="1:17" x14ac:dyDescent="0.25">
      <c r="A3823" t="str">
        <f>IF(C3823&amp;G3823&amp;D3823&lt;&gt;'Funnel setup'!$K$3&amp;'Funnel setup'!$K$4&amp;'Funnel setup'!$K$6,".",IF(A3822=".",1,A3822+1))</f>
        <v>.</v>
      </c>
      <c r="B3823" s="244" t="str">
        <f t="shared" si="59"/>
        <v>Total Hip ReplacementProviderPRINCESS MARGARET HOSPITAL (NT428)EQ VAS</v>
      </c>
      <c r="C3823" t="s">
        <v>974</v>
      </c>
      <c r="D3823" t="s">
        <v>965</v>
      </c>
      <c r="E3823" t="s">
        <v>464</v>
      </c>
      <c r="F3823" t="s">
        <v>465</v>
      </c>
      <c r="G3823" t="s">
        <v>752</v>
      </c>
      <c r="H3823" t="s">
        <v>127</v>
      </c>
      <c r="I3823" t="s">
        <v>127</v>
      </c>
      <c r="J3823" t="s">
        <v>127</v>
      </c>
      <c r="K3823" t="s">
        <v>127</v>
      </c>
      <c r="L3823" t="s">
        <v>127</v>
      </c>
      <c r="M3823" t="s">
        <v>127</v>
      </c>
      <c r="N3823" t="s">
        <v>127</v>
      </c>
      <c r="O3823" t="s">
        <v>127</v>
      </c>
      <c r="P3823" t="s">
        <v>127</v>
      </c>
      <c r="Q3823" t="s">
        <v>127</v>
      </c>
    </row>
    <row r="3824" spans="1:17" x14ac:dyDescent="0.25">
      <c r="A3824" t="str">
        <f>IF(C3824&amp;G3824&amp;D3824&lt;&gt;'Funnel setup'!$K$3&amp;'Funnel setup'!$K$4&amp;'Funnel setup'!$K$6,".",IF(A3823=".",1,A3823+1))</f>
        <v>.</v>
      </c>
      <c r="B3824" s="244" t="str">
        <f t="shared" si="59"/>
        <v>Total Hip ReplacementProviderPRIORY HOSPITAL (NT429)EQ VAS</v>
      </c>
      <c r="C3824" t="s">
        <v>974</v>
      </c>
      <c r="D3824" t="s">
        <v>965</v>
      </c>
      <c r="E3824" t="s">
        <v>466</v>
      </c>
      <c r="F3824" t="s">
        <v>467</v>
      </c>
      <c r="G3824" t="s">
        <v>752</v>
      </c>
      <c r="H3824">
        <v>10</v>
      </c>
      <c r="I3824">
        <v>57.9</v>
      </c>
      <c r="J3824">
        <v>75</v>
      </c>
      <c r="K3824">
        <v>17.100000000000001</v>
      </c>
      <c r="L3824">
        <v>7</v>
      </c>
      <c r="M3824">
        <v>1</v>
      </c>
      <c r="N3824">
        <v>2</v>
      </c>
      <c r="O3824" t="s">
        <v>127</v>
      </c>
      <c r="P3824" t="s">
        <v>127</v>
      </c>
      <c r="Q3824" t="s">
        <v>127</v>
      </c>
    </row>
    <row r="3825" spans="1:17" x14ac:dyDescent="0.25">
      <c r="A3825" t="str">
        <f>IF(C3825&amp;G3825&amp;D3825&lt;&gt;'Funnel setup'!$K$3&amp;'Funnel setup'!$K$4&amp;'Funnel setup'!$K$6,".",IF(A3824=".",1,A3824+1))</f>
        <v>.</v>
      </c>
      <c r="B3825" s="244" t="str">
        <f t="shared" si="59"/>
        <v>Total Hip ReplacementProviderRENACRES HOSPITAL (NVC16)EQ VAS</v>
      </c>
      <c r="C3825" t="s">
        <v>974</v>
      </c>
      <c r="D3825" t="s">
        <v>965</v>
      </c>
      <c r="E3825" t="s">
        <v>470</v>
      </c>
      <c r="F3825" t="s">
        <v>471</v>
      </c>
      <c r="G3825" t="s">
        <v>752</v>
      </c>
      <c r="H3825">
        <v>78</v>
      </c>
      <c r="I3825">
        <v>59.807699999999997</v>
      </c>
      <c r="J3825">
        <v>78.2821</v>
      </c>
      <c r="K3825">
        <v>18.474399999999999</v>
      </c>
      <c r="L3825">
        <v>59</v>
      </c>
      <c r="M3825">
        <v>10</v>
      </c>
      <c r="N3825">
        <v>9</v>
      </c>
      <c r="O3825">
        <v>77.234200000000001</v>
      </c>
      <c r="P3825">
        <v>16.418099999999999</v>
      </c>
      <c r="Q3825">
        <v>16.695499999999999</v>
      </c>
    </row>
    <row r="3826" spans="1:17" x14ac:dyDescent="0.25">
      <c r="A3826" t="str">
        <f>IF(C3826&amp;G3826&amp;D3826&lt;&gt;'Funnel setup'!$K$3&amp;'Funnel setup'!$K$4&amp;'Funnel setup'!$K$6,".",IF(A3825=".",1,A3825+1))</f>
        <v>.</v>
      </c>
      <c r="B3826" s="244" t="str">
        <f t="shared" si="59"/>
        <v>Total Hip ReplacementProviderRIDGEWAY HOSPITAL (NT430)EQ VAS</v>
      </c>
      <c r="C3826" t="s">
        <v>974</v>
      </c>
      <c r="D3826" t="s">
        <v>965</v>
      </c>
      <c r="E3826" t="s">
        <v>472</v>
      </c>
      <c r="F3826" t="s">
        <v>473</v>
      </c>
      <c r="G3826" t="s">
        <v>752</v>
      </c>
      <c r="H3826">
        <v>4</v>
      </c>
      <c r="I3826">
        <v>78.75</v>
      </c>
      <c r="J3826">
        <v>84.5</v>
      </c>
      <c r="K3826">
        <v>5.75</v>
      </c>
      <c r="L3826">
        <v>2</v>
      </c>
      <c r="M3826">
        <v>0</v>
      </c>
      <c r="N3826">
        <v>2</v>
      </c>
      <c r="O3826" t="s">
        <v>127</v>
      </c>
      <c r="P3826" t="s">
        <v>127</v>
      </c>
      <c r="Q3826" t="s">
        <v>127</v>
      </c>
    </row>
    <row r="3827" spans="1:17" x14ac:dyDescent="0.25">
      <c r="A3827" t="str">
        <f>IF(C3827&amp;G3827&amp;D3827&lt;&gt;'Funnel setup'!$K$3&amp;'Funnel setup'!$K$4&amp;'Funnel setup'!$K$6,".",IF(A3826=".",1,A3826+1))</f>
        <v>.</v>
      </c>
      <c r="B3827" s="244" t="str">
        <f t="shared" si="59"/>
        <v>Total Hip ReplacementProviderRIVERS HOSPITAL (NVC19)EQ VAS</v>
      </c>
      <c r="C3827" t="s">
        <v>974</v>
      </c>
      <c r="D3827" t="s">
        <v>965</v>
      </c>
      <c r="E3827" t="s">
        <v>474</v>
      </c>
      <c r="F3827" t="s">
        <v>475</v>
      </c>
      <c r="G3827" t="s">
        <v>752</v>
      </c>
      <c r="H3827">
        <v>54</v>
      </c>
      <c r="I3827">
        <v>65.785700000000006</v>
      </c>
      <c r="J3827">
        <v>76.571399999999997</v>
      </c>
      <c r="K3827">
        <v>10.7857</v>
      </c>
      <c r="L3827">
        <v>35</v>
      </c>
      <c r="M3827">
        <v>8</v>
      </c>
      <c r="N3827">
        <v>11</v>
      </c>
      <c r="O3827">
        <v>73.947500000000005</v>
      </c>
      <c r="P3827">
        <v>13.131399999999999</v>
      </c>
      <c r="Q3827">
        <v>18.648900000000001</v>
      </c>
    </row>
    <row r="3828" spans="1:17" x14ac:dyDescent="0.25">
      <c r="A3828" t="str">
        <f>IF(C3828&amp;G3828&amp;D3828&lt;&gt;'Funnel setup'!$K$3&amp;'Funnel setup'!$K$4&amp;'Funnel setup'!$K$6,".",IF(A3827=".",1,A3827+1))</f>
        <v>.</v>
      </c>
      <c r="B3828" s="244" t="str">
        <f t="shared" si="59"/>
        <v>Total Hip ReplacementProviderROWLEY HALL HOSPITAL (NVC17)EQ VAS</v>
      </c>
      <c r="C3828" t="s">
        <v>974</v>
      </c>
      <c r="D3828" t="s">
        <v>965</v>
      </c>
      <c r="E3828" t="s">
        <v>476</v>
      </c>
      <c r="F3828" t="s">
        <v>477</v>
      </c>
      <c r="G3828" t="s">
        <v>752</v>
      </c>
      <c r="H3828">
        <v>49</v>
      </c>
      <c r="I3828">
        <v>62.66</v>
      </c>
      <c r="J3828">
        <v>76.98</v>
      </c>
      <c r="K3828">
        <v>14.32</v>
      </c>
      <c r="L3828">
        <v>33</v>
      </c>
      <c r="M3828">
        <v>6</v>
      </c>
      <c r="N3828">
        <v>10</v>
      </c>
      <c r="O3828">
        <v>76.082700000000003</v>
      </c>
      <c r="P3828">
        <v>15.2666</v>
      </c>
      <c r="Q3828">
        <v>11.9833</v>
      </c>
    </row>
    <row r="3829" spans="1:17" x14ac:dyDescent="0.25">
      <c r="A3829" t="str">
        <f>IF(C3829&amp;G3829&amp;D3829&lt;&gt;'Funnel setup'!$K$3&amp;'Funnel setup'!$K$4&amp;'Funnel setup'!$K$6,".",IF(A3828=".",1,A3828+1))</f>
        <v>.</v>
      </c>
      <c r="B3829" s="244" t="str">
        <f t="shared" si="59"/>
        <v>Total Hip ReplacementProviderROYAL BERKSHIRE NHS FOUNDATION TRUST (RHW)EQ VAS</v>
      </c>
      <c r="C3829" t="s">
        <v>974</v>
      </c>
      <c r="D3829" t="s">
        <v>965</v>
      </c>
      <c r="E3829" t="s">
        <v>478</v>
      </c>
      <c r="F3829" t="s">
        <v>479</v>
      </c>
      <c r="G3829" t="s">
        <v>752</v>
      </c>
      <c r="H3829">
        <v>4</v>
      </c>
      <c r="I3829">
        <v>42.25</v>
      </c>
      <c r="J3829">
        <v>53.75</v>
      </c>
      <c r="K3829">
        <v>11.5</v>
      </c>
      <c r="L3829">
        <v>3</v>
      </c>
      <c r="M3829">
        <v>0</v>
      </c>
      <c r="N3829">
        <v>1</v>
      </c>
      <c r="O3829" t="s">
        <v>127</v>
      </c>
      <c r="P3829" t="s">
        <v>127</v>
      </c>
      <c r="Q3829" t="s">
        <v>127</v>
      </c>
    </row>
    <row r="3830" spans="1:17" x14ac:dyDescent="0.25">
      <c r="A3830" t="str">
        <f>IF(C3830&amp;G3830&amp;D3830&lt;&gt;'Funnel setup'!$K$3&amp;'Funnel setup'!$K$4&amp;'Funnel setup'!$K$6,".",IF(A3829=".",1,A3829+1))</f>
        <v>.</v>
      </c>
      <c r="B3830" s="244" t="str">
        <f t="shared" si="59"/>
        <v>Total Hip ReplacementProviderROYAL CORNWALL HOSPITALS NHS TRUST (REF)EQ VAS</v>
      </c>
      <c r="C3830" t="s">
        <v>974</v>
      </c>
      <c r="D3830" t="s">
        <v>965</v>
      </c>
      <c r="E3830" t="s">
        <v>480</v>
      </c>
      <c r="F3830" t="s">
        <v>481</v>
      </c>
      <c r="G3830" t="s">
        <v>752</v>
      </c>
      <c r="H3830">
        <v>52</v>
      </c>
      <c r="I3830">
        <v>68.288499999999999</v>
      </c>
      <c r="J3830">
        <v>79.942300000000003</v>
      </c>
      <c r="K3830">
        <v>11.6538</v>
      </c>
      <c r="L3830">
        <v>36</v>
      </c>
      <c r="M3830">
        <v>5</v>
      </c>
      <c r="N3830">
        <v>11</v>
      </c>
      <c r="O3830">
        <v>78.312899999999999</v>
      </c>
      <c r="P3830">
        <v>17.4968</v>
      </c>
      <c r="Q3830">
        <v>14.805099999999999</v>
      </c>
    </row>
    <row r="3831" spans="1:17" x14ac:dyDescent="0.25">
      <c r="A3831" t="str">
        <f>IF(C3831&amp;G3831&amp;D3831&lt;&gt;'Funnel setup'!$K$3&amp;'Funnel setup'!$K$4&amp;'Funnel setup'!$K$6,".",IF(A3830=".",1,A3830+1))</f>
        <v>.</v>
      </c>
      <c r="B3831" s="244" t="str">
        <f t="shared" si="59"/>
        <v>Total Hip ReplacementProviderROYAL DEVON UNIVERSITY HEALTHCARE NHS FOUNDATION TRUST (RH8)EQ VAS</v>
      </c>
      <c r="C3831" t="s">
        <v>974</v>
      </c>
      <c r="D3831" t="s">
        <v>965</v>
      </c>
      <c r="E3831" t="s">
        <v>482</v>
      </c>
      <c r="F3831" t="s">
        <v>483</v>
      </c>
      <c r="G3831" t="s">
        <v>752</v>
      </c>
      <c r="H3831">
        <v>2</v>
      </c>
      <c r="I3831">
        <v>62.5</v>
      </c>
      <c r="J3831">
        <v>70</v>
      </c>
      <c r="K3831">
        <v>7.5</v>
      </c>
      <c r="L3831">
        <v>1</v>
      </c>
      <c r="M3831">
        <v>0</v>
      </c>
      <c r="N3831">
        <v>1</v>
      </c>
      <c r="O3831" t="s">
        <v>127</v>
      </c>
      <c r="P3831" t="s">
        <v>127</v>
      </c>
      <c r="Q3831" t="s">
        <v>127</v>
      </c>
    </row>
    <row r="3832" spans="1:17" x14ac:dyDescent="0.25">
      <c r="A3832" t="str">
        <f>IF(C3832&amp;G3832&amp;D3832&lt;&gt;'Funnel setup'!$K$3&amp;'Funnel setup'!$K$4&amp;'Funnel setup'!$K$6,".",IF(A3831=".",1,A3831+1))</f>
        <v>.</v>
      </c>
      <c r="B3832" s="244" t="str">
        <f t="shared" si="59"/>
        <v>Total Hip ReplacementProviderROYAL NATIONAL ORTHOPAEDIC HOSPITAL NHS TRUST (RAN)EQ VAS</v>
      </c>
      <c r="C3832" t="s">
        <v>974</v>
      </c>
      <c r="D3832" t="s">
        <v>965</v>
      </c>
      <c r="E3832" t="s">
        <v>486</v>
      </c>
      <c r="F3832" t="s">
        <v>487</v>
      </c>
      <c r="G3832" t="s">
        <v>752</v>
      </c>
      <c r="H3832">
        <v>90</v>
      </c>
      <c r="I3832">
        <v>55.277799999999999</v>
      </c>
      <c r="J3832">
        <v>62.1111</v>
      </c>
      <c r="K3832">
        <v>6.8333300000000001</v>
      </c>
      <c r="L3832">
        <v>50</v>
      </c>
      <c r="M3832">
        <v>11</v>
      </c>
      <c r="N3832">
        <v>29</v>
      </c>
      <c r="O3832">
        <v>67.826499999999996</v>
      </c>
      <c r="P3832">
        <v>7.0103999999999997</v>
      </c>
      <c r="Q3832">
        <v>19.931899999999999</v>
      </c>
    </row>
    <row r="3833" spans="1:17" x14ac:dyDescent="0.25">
      <c r="A3833" t="str">
        <f>IF(C3833&amp;G3833&amp;D3833&lt;&gt;'Funnel setup'!$K$3&amp;'Funnel setup'!$K$4&amp;'Funnel setup'!$K$6,".",IF(A3832=".",1,A3832+1))</f>
        <v>.</v>
      </c>
      <c r="B3833" s="244" t="str">
        <f t="shared" si="59"/>
        <v>Total Hip ReplacementProviderROYAL SURREY COUNTY HOSPITAL NHS FOUNDATION TRUST (RA2)EQ VAS</v>
      </c>
      <c r="C3833" t="s">
        <v>974</v>
      </c>
      <c r="D3833" t="s">
        <v>965</v>
      </c>
      <c r="E3833" t="s">
        <v>488</v>
      </c>
      <c r="F3833" t="s">
        <v>489</v>
      </c>
      <c r="G3833" t="s">
        <v>752</v>
      </c>
      <c r="H3833">
        <v>73</v>
      </c>
      <c r="I3833">
        <v>66.274000000000001</v>
      </c>
      <c r="J3833">
        <v>76.178100000000001</v>
      </c>
      <c r="K3833">
        <v>9.9041099999999993</v>
      </c>
      <c r="L3833">
        <v>44</v>
      </c>
      <c r="M3833">
        <v>6</v>
      </c>
      <c r="N3833">
        <v>23</v>
      </c>
      <c r="O3833">
        <v>74.735500000000002</v>
      </c>
      <c r="P3833">
        <v>13.9194</v>
      </c>
      <c r="Q3833">
        <v>16.6404</v>
      </c>
    </row>
    <row r="3834" spans="1:17" x14ac:dyDescent="0.25">
      <c r="A3834" t="str">
        <f>IF(C3834&amp;G3834&amp;D3834&lt;&gt;'Funnel setup'!$K$3&amp;'Funnel setup'!$K$4&amp;'Funnel setup'!$K$6,".",IF(A3833=".",1,A3833+1))</f>
        <v>.</v>
      </c>
      <c r="B3834" s="244" t="str">
        <f t="shared" si="59"/>
        <v>Total Hip ReplacementProviderROYAL UNITED HOSPITALS BATH NHS FOUNDATION TRUST (RD1)EQ VAS</v>
      </c>
      <c r="C3834" t="s">
        <v>974</v>
      </c>
      <c r="D3834" t="s">
        <v>965</v>
      </c>
      <c r="E3834" t="s">
        <v>490</v>
      </c>
      <c r="F3834" t="s">
        <v>491</v>
      </c>
      <c r="G3834" t="s">
        <v>752</v>
      </c>
      <c r="H3834">
        <v>7</v>
      </c>
      <c r="I3834">
        <v>47.142899999999997</v>
      </c>
      <c r="J3834">
        <v>63.285699999999999</v>
      </c>
      <c r="K3834">
        <v>16.142900000000001</v>
      </c>
      <c r="L3834">
        <v>4</v>
      </c>
      <c r="M3834">
        <v>2</v>
      </c>
      <c r="N3834">
        <v>1</v>
      </c>
      <c r="O3834" t="s">
        <v>127</v>
      </c>
      <c r="P3834" t="s">
        <v>127</v>
      </c>
      <c r="Q3834" t="s">
        <v>127</v>
      </c>
    </row>
    <row r="3835" spans="1:17" x14ac:dyDescent="0.25">
      <c r="A3835" t="str">
        <f>IF(C3835&amp;G3835&amp;D3835&lt;&gt;'Funnel setup'!$K$3&amp;'Funnel setup'!$K$4&amp;'Funnel setup'!$K$6,".",IF(A3834=".",1,A3834+1))</f>
        <v>.</v>
      </c>
      <c r="B3835" s="244" t="str">
        <f t="shared" si="59"/>
        <v>Total Hip ReplacementProviderRUNNYMEDE HOSPITAL (NT431)EQ VAS</v>
      </c>
      <c r="C3835" t="s">
        <v>974</v>
      </c>
      <c r="D3835" t="s">
        <v>965</v>
      </c>
      <c r="E3835" t="s">
        <v>492</v>
      </c>
      <c r="F3835" t="s">
        <v>493</v>
      </c>
      <c r="G3835" t="s">
        <v>752</v>
      </c>
      <c r="H3835">
        <v>4</v>
      </c>
      <c r="I3835">
        <v>71.25</v>
      </c>
      <c r="J3835">
        <v>80</v>
      </c>
      <c r="K3835">
        <v>8.75</v>
      </c>
      <c r="L3835">
        <v>2</v>
      </c>
      <c r="M3835">
        <v>1</v>
      </c>
      <c r="N3835">
        <v>1</v>
      </c>
      <c r="O3835" t="s">
        <v>127</v>
      </c>
      <c r="P3835" t="s">
        <v>127</v>
      </c>
      <c r="Q3835" t="s">
        <v>127</v>
      </c>
    </row>
    <row r="3836" spans="1:17" x14ac:dyDescent="0.25">
      <c r="A3836" t="str">
        <f>IF(C3836&amp;G3836&amp;D3836&lt;&gt;'Funnel setup'!$K$3&amp;'Funnel setup'!$K$4&amp;'Funnel setup'!$K$6,".",IF(A3835=".",1,A3835+1))</f>
        <v>.</v>
      </c>
      <c r="B3836" s="244" t="str">
        <f t="shared" si="59"/>
        <v>Total Hip ReplacementProviderSALISBURY NHS FOUNDATION TRUST (RNZ)EQ VAS</v>
      </c>
      <c r="C3836" t="s">
        <v>974</v>
      </c>
      <c r="D3836" t="s">
        <v>965</v>
      </c>
      <c r="E3836" t="s">
        <v>494</v>
      </c>
      <c r="F3836" t="s">
        <v>495</v>
      </c>
      <c r="G3836" t="s">
        <v>752</v>
      </c>
      <c r="H3836">
        <v>3</v>
      </c>
      <c r="I3836">
        <v>48.333300000000001</v>
      </c>
      <c r="J3836">
        <v>74.666700000000006</v>
      </c>
      <c r="K3836">
        <v>26.333300000000001</v>
      </c>
      <c r="L3836">
        <v>3</v>
      </c>
      <c r="M3836">
        <v>0</v>
      </c>
      <c r="N3836">
        <v>0</v>
      </c>
      <c r="O3836" t="s">
        <v>127</v>
      </c>
      <c r="P3836" t="s">
        <v>127</v>
      </c>
      <c r="Q3836" t="s">
        <v>127</v>
      </c>
    </row>
    <row r="3837" spans="1:17" x14ac:dyDescent="0.25">
      <c r="A3837" t="str">
        <f>IF(C3837&amp;G3837&amp;D3837&lt;&gt;'Funnel setup'!$K$3&amp;'Funnel setup'!$K$4&amp;'Funnel setup'!$K$6,".",IF(A3836=".",1,A3836+1))</f>
        <v>.</v>
      </c>
      <c r="B3837" s="244" t="str">
        <f t="shared" si="59"/>
        <v>Total Hip ReplacementProviderSANDWELL AND WEST BIRMINGHAM HOSPITALS NHS TRUST (RXK)EQ VAS</v>
      </c>
      <c r="C3837" t="s">
        <v>974</v>
      </c>
      <c r="D3837" t="s">
        <v>965</v>
      </c>
      <c r="E3837" t="s">
        <v>496</v>
      </c>
      <c r="F3837" t="s">
        <v>497</v>
      </c>
      <c r="G3837" t="s">
        <v>752</v>
      </c>
      <c r="H3837">
        <v>40</v>
      </c>
      <c r="I3837">
        <v>63.35</v>
      </c>
      <c r="J3837">
        <v>70.900000000000006</v>
      </c>
      <c r="K3837">
        <v>7.55</v>
      </c>
      <c r="L3837">
        <v>24</v>
      </c>
      <c r="M3837">
        <v>3</v>
      </c>
      <c r="N3837">
        <v>13</v>
      </c>
      <c r="O3837">
        <v>75.080600000000004</v>
      </c>
      <c r="P3837">
        <v>14.2645</v>
      </c>
      <c r="Q3837">
        <v>16.883700000000001</v>
      </c>
    </row>
    <row r="3838" spans="1:17" x14ac:dyDescent="0.25">
      <c r="A3838" t="str">
        <f>IF(C3838&amp;G3838&amp;D3838&lt;&gt;'Funnel setup'!$K$3&amp;'Funnel setup'!$K$4&amp;'Funnel setup'!$K$6,".",IF(A3837=".",1,A3837+1))</f>
        <v>.</v>
      </c>
      <c r="B3838" s="244" t="str">
        <f t="shared" si="59"/>
        <v>Total Hip ReplacementProviderSARUM ROAD HOSPITAL (NT433)EQ VAS</v>
      </c>
      <c r="C3838" t="s">
        <v>974</v>
      </c>
      <c r="D3838" t="s">
        <v>965</v>
      </c>
      <c r="E3838" t="s">
        <v>498</v>
      </c>
      <c r="F3838" t="s">
        <v>499</v>
      </c>
      <c r="G3838" t="s">
        <v>752</v>
      </c>
      <c r="H3838">
        <v>31</v>
      </c>
      <c r="I3838">
        <v>63.967700000000001</v>
      </c>
      <c r="J3838">
        <v>82.935500000000005</v>
      </c>
      <c r="K3838">
        <v>18.967700000000001</v>
      </c>
      <c r="L3838">
        <v>25</v>
      </c>
      <c r="M3838">
        <v>1</v>
      </c>
      <c r="N3838">
        <v>5</v>
      </c>
      <c r="O3838">
        <v>78.788799999999995</v>
      </c>
      <c r="P3838">
        <v>17.9727</v>
      </c>
      <c r="Q3838">
        <v>9.9574200000000008</v>
      </c>
    </row>
    <row r="3839" spans="1:17" x14ac:dyDescent="0.25">
      <c r="A3839" t="str">
        <f>IF(C3839&amp;G3839&amp;D3839&lt;&gt;'Funnel setup'!$K$3&amp;'Funnel setup'!$K$4&amp;'Funnel setup'!$K$6,".",IF(A3838=".",1,A3838+1))</f>
        <v>.</v>
      </c>
      <c r="B3839" s="244" t="str">
        <f t="shared" si="59"/>
        <v>Total Hip ReplacementProviderSAXON CLINIC (NT434)EQ VAS</v>
      </c>
      <c r="C3839" t="s">
        <v>974</v>
      </c>
      <c r="D3839" t="s">
        <v>965</v>
      </c>
      <c r="E3839" t="s">
        <v>500</v>
      </c>
      <c r="F3839" t="s">
        <v>501</v>
      </c>
      <c r="G3839" t="s">
        <v>752</v>
      </c>
      <c r="H3839">
        <v>13</v>
      </c>
      <c r="I3839">
        <v>54.153799999999997</v>
      </c>
      <c r="J3839">
        <v>85.461500000000001</v>
      </c>
      <c r="K3839">
        <v>31.307700000000001</v>
      </c>
      <c r="L3839">
        <v>12</v>
      </c>
      <c r="M3839">
        <v>0</v>
      </c>
      <c r="N3839">
        <v>1</v>
      </c>
      <c r="O3839" t="s">
        <v>127</v>
      </c>
      <c r="P3839" t="s">
        <v>127</v>
      </c>
      <c r="Q3839" t="s">
        <v>127</v>
      </c>
    </row>
    <row r="3840" spans="1:17" x14ac:dyDescent="0.25">
      <c r="A3840" t="str">
        <f>IF(C3840&amp;G3840&amp;D3840&lt;&gt;'Funnel setup'!$K$3&amp;'Funnel setup'!$K$4&amp;'Funnel setup'!$K$6,".",IF(A3839=".",1,A3839+1))</f>
        <v>.</v>
      </c>
      <c r="B3840" s="244" t="str">
        <f t="shared" si="59"/>
        <v>Total Hip ReplacementProviderSHEFFIELD TEACHING HOSPITALS NHS FOUNDATION TRUST (RHQ)EQ VAS</v>
      </c>
      <c r="C3840" t="s">
        <v>974</v>
      </c>
      <c r="D3840" t="s">
        <v>965</v>
      </c>
      <c r="E3840" t="s">
        <v>506</v>
      </c>
      <c r="F3840" t="s">
        <v>507</v>
      </c>
      <c r="G3840" t="s">
        <v>752</v>
      </c>
      <c r="H3840">
        <v>31</v>
      </c>
      <c r="I3840">
        <v>60.741900000000001</v>
      </c>
      <c r="J3840">
        <v>75.161299999999997</v>
      </c>
      <c r="K3840">
        <v>14.4194</v>
      </c>
      <c r="L3840">
        <v>23</v>
      </c>
      <c r="M3840">
        <v>1</v>
      </c>
      <c r="N3840">
        <v>7</v>
      </c>
      <c r="O3840">
        <v>74.106999999999999</v>
      </c>
      <c r="P3840">
        <v>13.290900000000001</v>
      </c>
      <c r="Q3840">
        <v>15.901</v>
      </c>
    </row>
    <row r="3841" spans="1:17" x14ac:dyDescent="0.25">
      <c r="A3841" t="str">
        <f>IF(C3841&amp;G3841&amp;D3841&lt;&gt;'Funnel setup'!$K$3&amp;'Funnel setup'!$K$4&amp;'Funnel setup'!$K$6,".",IF(A3840=".",1,A3840+1))</f>
        <v>.</v>
      </c>
      <c r="B3841" s="244" t="str">
        <f t="shared" si="59"/>
        <v>Total Hip ReplacementProviderSHERWOOD FOREST HOSPITALS NHS FOUNDATION TRUST (RK5)EQ VAS</v>
      </c>
      <c r="C3841" t="s">
        <v>974</v>
      </c>
      <c r="D3841" t="s">
        <v>965</v>
      </c>
      <c r="E3841" t="s">
        <v>508</v>
      </c>
      <c r="F3841" t="s">
        <v>509</v>
      </c>
      <c r="G3841" t="s">
        <v>752</v>
      </c>
      <c r="H3841">
        <v>70</v>
      </c>
      <c r="I3841">
        <v>52.285699999999999</v>
      </c>
      <c r="J3841">
        <v>75.314300000000003</v>
      </c>
      <c r="K3841">
        <v>23.028600000000001</v>
      </c>
      <c r="L3841">
        <v>54</v>
      </c>
      <c r="M3841">
        <v>6</v>
      </c>
      <c r="N3841">
        <v>10</v>
      </c>
      <c r="O3841">
        <v>77.723500000000001</v>
      </c>
      <c r="P3841">
        <v>16.907299999999999</v>
      </c>
      <c r="Q3841">
        <v>16.860600000000002</v>
      </c>
    </row>
    <row r="3842" spans="1:17" x14ac:dyDescent="0.25">
      <c r="A3842" t="str">
        <f>IF(C3842&amp;G3842&amp;D3842&lt;&gt;'Funnel setup'!$K$3&amp;'Funnel setup'!$K$4&amp;'Funnel setup'!$K$6,".",IF(A3841=".",1,A3841+1))</f>
        <v>.</v>
      </c>
      <c r="B3842" s="244" t="str">
        <f t="shared" ref="B3842:B3905" si="60">C3842&amp;D3842&amp;F3842&amp;G3842</f>
        <v>Total Hip ReplacementProviderSHIRLEY OAKS HOSPITAL (NT436)EQ VAS</v>
      </c>
      <c r="C3842" t="s">
        <v>974</v>
      </c>
      <c r="D3842" t="s">
        <v>965</v>
      </c>
      <c r="E3842" t="s">
        <v>510</v>
      </c>
      <c r="F3842" t="s">
        <v>511</v>
      </c>
      <c r="G3842" t="s">
        <v>752</v>
      </c>
      <c r="H3842">
        <v>2</v>
      </c>
      <c r="I3842">
        <v>67.5</v>
      </c>
      <c r="J3842">
        <v>75</v>
      </c>
      <c r="K3842">
        <v>7.5</v>
      </c>
      <c r="L3842">
        <v>1</v>
      </c>
      <c r="M3842">
        <v>0</v>
      </c>
      <c r="N3842">
        <v>1</v>
      </c>
      <c r="O3842" t="s">
        <v>127</v>
      </c>
      <c r="P3842" t="s">
        <v>127</v>
      </c>
      <c r="Q3842" t="s">
        <v>127</v>
      </c>
    </row>
    <row r="3843" spans="1:17" x14ac:dyDescent="0.25">
      <c r="A3843" t="str">
        <f>IF(C3843&amp;G3843&amp;D3843&lt;&gt;'Funnel setup'!$K$3&amp;'Funnel setup'!$K$4&amp;'Funnel setup'!$K$6,".",IF(A3842=".",1,A3842+1))</f>
        <v>.</v>
      </c>
      <c r="B3843" s="244" t="str">
        <f t="shared" si="60"/>
        <v>Total Hip ReplacementProviderSLOANE HOSPITAL (NT437)EQ VAS</v>
      </c>
      <c r="C3843" t="s">
        <v>974</v>
      </c>
      <c r="D3843" t="s">
        <v>965</v>
      </c>
      <c r="E3843" t="s">
        <v>512</v>
      </c>
      <c r="F3843" t="s">
        <v>513</v>
      </c>
      <c r="G3843" t="s">
        <v>752</v>
      </c>
      <c r="H3843">
        <v>2</v>
      </c>
      <c r="I3843">
        <v>49.5</v>
      </c>
      <c r="J3843">
        <v>93</v>
      </c>
      <c r="K3843">
        <v>43.5</v>
      </c>
      <c r="L3843">
        <v>2</v>
      </c>
      <c r="M3843">
        <v>0</v>
      </c>
      <c r="N3843">
        <v>0</v>
      </c>
      <c r="O3843" t="s">
        <v>127</v>
      </c>
      <c r="P3843" t="s">
        <v>127</v>
      </c>
      <c r="Q3843" t="s">
        <v>127</v>
      </c>
    </row>
    <row r="3844" spans="1:17" x14ac:dyDescent="0.25">
      <c r="A3844" t="str">
        <f>IF(C3844&amp;G3844&amp;D3844&lt;&gt;'Funnel setup'!$K$3&amp;'Funnel setup'!$K$4&amp;'Funnel setup'!$K$6,".",IF(A3843=".",1,A3843+1))</f>
        <v>.</v>
      </c>
      <c r="B3844" s="244" t="str">
        <f t="shared" si="60"/>
        <v>Total Hip ReplacementProviderSOUTH TEES HOSPITALS NHS FOUNDATION TRUST (RTR)EQ VAS</v>
      </c>
      <c r="C3844" t="s">
        <v>974</v>
      </c>
      <c r="D3844" t="s">
        <v>965</v>
      </c>
      <c r="E3844" t="s">
        <v>516</v>
      </c>
      <c r="F3844" t="s">
        <v>517</v>
      </c>
      <c r="G3844" t="s">
        <v>752</v>
      </c>
      <c r="H3844">
        <v>171</v>
      </c>
      <c r="I3844">
        <v>58.877200000000002</v>
      </c>
      <c r="J3844">
        <v>74.9298</v>
      </c>
      <c r="K3844">
        <v>16.052600000000002</v>
      </c>
      <c r="L3844">
        <v>120</v>
      </c>
      <c r="M3844">
        <v>9</v>
      </c>
      <c r="N3844">
        <v>42</v>
      </c>
      <c r="O3844">
        <v>79.5398</v>
      </c>
      <c r="P3844">
        <v>18.723700000000001</v>
      </c>
      <c r="Q3844">
        <v>17.912199999999999</v>
      </c>
    </row>
    <row r="3845" spans="1:17" x14ac:dyDescent="0.25">
      <c r="A3845" t="str">
        <f>IF(C3845&amp;G3845&amp;D3845&lt;&gt;'Funnel setup'!$K$3&amp;'Funnel setup'!$K$4&amp;'Funnel setup'!$K$6,".",IF(A3844=".",1,A3844+1))</f>
        <v>.</v>
      </c>
      <c r="B3845" s="244" t="str">
        <f t="shared" si="60"/>
        <v>Total Hip ReplacementProviderSOUTH TYNESIDE AND SUNDERLAND NHS FOUNDATION TRUST (R0B)EQ VAS</v>
      </c>
      <c r="C3845" t="s">
        <v>974</v>
      </c>
      <c r="D3845" t="s">
        <v>965</v>
      </c>
      <c r="E3845" t="s">
        <v>518</v>
      </c>
      <c r="F3845" t="s">
        <v>519</v>
      </c>
      <c r="G3845" t="s">
        <v>752</v>
      </c>
      <c r="H3845">
        <v>23</v>
      </c>
      <c r="I3845">
        <v>46.565199999999997</v>
      </c>
      <c r="J3845">
        <v>64.173900000000003</v>
      </c>
      <c r="K3845">
        <v>17.608699999999999</v>
      </c>
      <c r="L3845">
        <v>17</v>
      </c>
      <c r="M3845">
        <v>1</v>
      </c>
      <c r="N3845">
        <v>5</v>
      </c>
      <c r="O3845" t="s">
        <v>127</v>
      </c>
      <c r="P3845" t="s">
        <v>127</v>
      </c>
      <c r="Q3845" t="s">
        <v>127</v>
      </c>
    </row>
    <row r="3846" spans="1:17" x14ac:dyDescent="0.25">
      <c r="A3846" t="str">
        <f>IF(C3846&amp;G3846&amp;D3846&lt;&gt;'Funnel setup'!$K$3&amp;'Funnel setup'!$K$4&amp;'Funnel setup'!$K$6,".",IF(A3845=".",1,A3845+1))</f>
        <v>.</v>
      </c>
      <c r="B3846" s="244" t="str">
        <f t="shared" si="60"/>
        <v>Total Hip ReplacementProviderSOUTH WARWICKSHIRE UNIVERSITY NHS FOUNDATION TRUST (RJC)EQ VAS</v>
      </c>
      <c r="C3846" t="s">
        <v>974</v>
      </c>
      <c r="D3846" t="s">
        <v>965</v>
      </c>
      <c r="E3846" t="s">
        <v>520</v>
      </c>
      <c r="F3846" t="s">
        <v>521</v>
      </c>
      <c r="G3846" t="s">
        <v>752</v>
      </c>
      <c r="H3846">
        <v>180</v>
      </c>
      <c r="I3846">
        <v>64.444400000000002</v>
      </c>
      <c r="J3846">
        <v>78.572199999999995</v>
      </c>
      <c r="K3846">
        <v>14.127800000000001</v>
      </c>
      <c r="L3846">
        <v>118</v>
      </c>
      <c r="M3846">
        <v>23</v>
      </c>
      <c r="N3846">
        <v>39</v>
      </c>
      <c r="O3846">
        <v>75.585599999999999</v>
      </c>
      <c r="P3846">
        <v>14.769500000000001</v>
      </c>
      <c r="Q3846">
        <v>14.308299999999999</v>
      </c>
    </row>
    <row r="3847" spans="1:17" x14ac:dyDescent="0.25">
      <c r="A3847" t="str">
        <f>IF(C3847&amp;G3847&amp;D3847&lt;&gt;'Funnel setup'!$K$3&amp;'Funnel setup'!$K$4&amp;'Funnel setup'!$K$6,".",IF(A3846=".",1,A3846+1))</f>
        <v>.</v>
      </c>
      <c r="B3847" s="244" t="str">
        <f t="shared" si="60"/>
        <v>Total Hip ReplacementProviderSOUTHPORT AND ORMSKIRK HOSPITAL NHS TRUST (RVY)EQ VAS</v>
      </c>
      <c r="C3847" t="s">
        <v>974</v>
      </c>
      <c r="D3847" t="s">
        <v>965</v>
      </c>
      <c r="E3847" t="s">
        <v>522</v>
      </c>
      <c r="F3847" t="s">
        <v>523</v>
      </c>
      <c r="G3847" t="s">
        <v>752</v>
      </c>
      <c r="H3847">
        <v>9</v>
      </c>
      <c r="I3847">
        <v>62</v>
      </c>
      <c r="J3847">
        <v>74.666700000000006</v>
      </c>
      <c r="K3847">
        <v>12.666700000000001</v>
      </c>
      <c r="L3847">
        <v>7</v>
      </c>
      <c r="M3847">
        <v>0</v>
      </c>
      <c r="N3847">
        <v>2</v>
      </c>
      <c r="O3847" t="s">
        <v>127</v>
      </c>
      <c r="P3847" t="s">
        <v>127</v>
      </c>
      <c r="Q3847" t="s">
        <v>127</v>
      </c>
    </row>
    <row r="3848" spans="1:17" x14ac:dyDescent="0.25">
      <c r="A3848" t="str">
        <f>IF(C3848&amp;G3848&amp;D3848&lt;&gt;'Funnel setup'!$K$3&amp;'Funnel setup'!$K$4&amp;'Funnel setup'!$K$6,".",IF(A3847=".",1,A3847+1))</f>
        <v>.</v>
      </c>
      <c r="B3848" s="244" t="str">
        <f t="shared" si="60"/>
        <v>Total Hip ReplacementProviderSPENCER PRIVATE HOSPITALS - MARGATE (NN801)EQ VAS</v>
      </c>
      <c r="C3848" t="s">
        <v>974</v>
      </c>
      <c r="D3848" t="s">
        <v>965</v>
      </c>
      <c r="E3848" t="s">
        <v>526</v>
      </c>
      <c r="F3848" t="s">
        <v>527</v>
      </c>
      <c r="G3848" t="s">
        <v>752</v>
      </c>
      <c r="H3848">
        <v>17</v>
      </c>
      <c r="I3848">
        <v>59.411799999999999</v>
      </c>
      <c r="J3848">
        <v>76.176500000000004</v>
      </c>
      <c r="K3848">
        <v>16.764700000000001</v>
      </c>
      <c r="L3848">
        <v>12</v>
      </c>
      <c r="M3848">
        <v>5</v>
      </c>
      <c r="N3848">
        <v>0</v>
      </c>
      <c r="O3848" t="s">
        <v>127</v>
      </c>
      <c r="P3848" t="s">
        <v>127</v>
      </c>
      <c r="Q3848" t="s">
        <v>127</v>
      </c>
    </row>
    <row r="3849" spans="1:17" x14ac:dyDescent="0.25">
      <c r="A3849" t="str">
        <f>IF(C3849&amp;G3849&amp;D3849&lt;&gt;'Funnel setup'!$K$3&amp;'Funnel setup'!$K$4&amp;'Funnel setup'!$K$6,".",IF(A3848=".",1,A3848+1))</f>
        <v>.</v>
      </c>
      <c r="B3849" s="244" t="str">
        <f t="shared" si="60"/>
        <v>Total Hip ReplacementProviderSPIRE ALEXANDRA HOSPITAL (NT312)EQ VAS</v>
      </c>
      <c r="C3849" t="s">
        <v>974</v>
      </c>
      <c r="D3849" t="s">
        <v>965</v>
      </c>
      <c r="E3849" t="s">
        <v>528</v>
      </c>
      <c r="F3849" t="s">
        <v>529</v>
      </c>
      <c r="G3849" t="s">
        <v>752</v>
      </c>
      <c r="H3849">
        <v>13</v>
      </c>
      <c r="I3849">
        <v>70.076899999999995</v>
      </c>
      <c r="J3849">
        <v>83.846199999999996</v>
      </c>
      <c r="K3849">
        <v>13.7692</v>
      </c>
      <c r="L3849">
        <v>10</v>
      </c>
      <c r="M3849">
        <v>1</v>
      </c>
      <c r="N3849">
        <v>2</v>
      </c>
      <c r="O3849" t="s">
        <v>127</v>
      </c>
      <c r="P3849" t="s">
        <v>127</v>
      </c>
      <c r="Q3849" t="s">
        <v>127</v>
      </c>
    </row>
    <row r="3850" spans="1:17" x14ac:dyDescent="0.25">
      <c r="A3850" t="str">
        <f>IF(C3850&amp;G3850&amp;D3850&lt;&gt;'Funnel setup'!$K$3&amp;'Funnel setup'!$K$4&amp;'Funnel setup'!$K$6,".",IF(A3849=".",1,A3849+1))</f>
        <v>.</v>
      </c>
      <c r="B3850" s="244" t="str">
        <f t="shared" si="60"/>
        <v>Total Hip ReplacementProviderSPIRE BRISTOL HOSPITAL (NT302)EQ VAS</v>
      </c>
      <c r="C3850" t="s">
        <v>974</v>
      </c>
      <c r="D3850" t="s">
        <v>965</v>
      </c>
      <c r="E3850" t="s">
        <v>530</v>
      </c>
      <c r="F3850" t="s">
        <v>531</v>
      </c>
      <c r="G3850" t="s">
        <v>752</v>
      </c>
      <c r="H3850">
        <v>56</v>
      </c>
      <c r="I3850">
        <v>66.285700000000006</v>
      </c>
      <c r="J3850">
        <v>76.910700000000006</v>
      </c>
      <c r="K3850">
        <v>10.625</v>
      </c>
      <c r="L3850">
        <v>41</v>
      </c>
      <c r="M3850">
        <v>4</v>
      </c>
      <c r="N3850">
        <v>11</v>
      </c>
      <c r="O3850">
        <v>73.530900000000003</v>
      </c>
      <c r="P3850">
        <v>12.7148</v>
      </c>
      <c r="Q3850">
        <v>19.909700000000001</v>
      </c>
    </row>
    <row r="3851" spans="1:17" x14ac:dyDescent="0.25">
      <c r="A3851" t="str">
        <f>IF(C3851&amp;G3851&amp;D3851&lt;&gt;'Funnel setup'!$K$3&amp;'Funnel setup'!$K$4&amp;'Funnel setup'!$K$6,".",IF(A3850=".",1,A3850+1))</f>
        <v>.</v>
      </c>
      <c r="B3851" s="244" t="str">
        <f t="shared" si="60"/>
        <v>Total Hip ReplacementProviderSPIRE BUSHEY HOSPITAL (NT315)EQ VAS</v>
      </c>
      <c r="C3851" t="s">
        <v>974</v>
      </c>
      <c r="D3851" t="s">
        <v>965</v>
      </c>
      <c r="E3851" t="s">
        <v>532</v>
      </c>
      <c r="F3851" t="s">
        <v>533</v>
      </c>
      <c r="G3851" t="s">
        <v>752</v>
      </c>
      <c r="H3851">
        <v>1</v>
      </c>
      <c r="I3851">
        <v>90</v>
      </c>
      <c r="J3851">
        <v>100</v>
      </c>
      <c r="K3851">
        <v>10</v>
      </c>
      <c r="L3851">
        <v>1</v>
      </c>
      <c r="M3851">
        <v>0</v>
      </c>
      <c r="N3851">
        <v>0</v>
      </c>
      <c r="O3851" t="s">
        <v>127</v>
      </c>
      <c r="P3851" t="s">
        <v>127</v>
      </c>
      <c r="Q3851" t="s">
        <v>127</v>
      </c>
    </row>
    <row r="3852" spans="1:17" x14ac:dyDescent="0.25">
      <c r="A3852" t="str">
        <f>IF(C3852&amp;G3852&amp;D3852&lt;&gt;'Funnel setup'!$K$3&amp;'Funnel setup'!$K$4&amp;'Funnel setup'!$K$6,".",IF(A3851=".",1,A3851+1))</f>
        <v>.</v>
      </c>
      <c r="B3852" s="244" t="str">
        <f t="shared" si="60"/>
        <v>Total Hip ReplacementProviderSPIRE CAMBRIDGE LEA HOSPITAL (NT317)EQ VAS</v>
      </c>
      <c r="C3852" t="s">
        <v>974</v>
      </c>
      <c r="D3852" t="s">
        <v>965</v>
      </c>
      <c r="E3852" t="s">
        <v>534</v>
      </c>
      <c r="F3852" t="s">
        <v>535</v>
      </c>
      <c r="G3852" t="s">
        <v>752</v>
      </c>
      <c r="H3852">
        <v>33</v>
      </c>
      <c r="I3852">
        <v>70.333299999999994</v>
      </c>
      <c r="J3852">
        <v>81.697000000000003</v>
      </c>
      <c r="K3852">
        <v>11.3636</v>
      </c>
      <c r="L3852">
        <v>21</v>
      </c>
      <c r="M3852">
        <v>4</v>
      </c>
      <c r="N3852">
        <v>8</v>
      </c>
      <c r="O3852">
        <v>77.655699999999996</v>
      </c>
      <c r="P3852">
        <v>16.839600000000001</v>
      </c>
      <c r="Q3852">
        <v>14.931800000000001</v>
      </c>
    </row>
    <row r="3853" spans="1:17" x14ac:dyDescent="0.25">
      <c r="A3853" t="str">
        <f>IF(C3853&amp;G3853&amp;D3853&lt;&gt;'Funnel setup'!$K$3&amp;'Funnel setup'!$K$4&amp;'Funnel setup'!$K$6,".",IF(A3852=".",1,A3852+1))</f>
        <v>.</v>
      </c>
      <c r="B3853" s="244" t="str">
        <f t="shared" si="60"/>
        <v>Total Hip ReplacementProviderSPIRE CHESHIRE HOSPITAL (NT324)EQ VAS</v>
      </c>
      <c r="C3853" t="s">
        <v>974</v>
      </c>
      <c r="D3853" t="s">
        <v>965</v>
      </c>
      <c r="E3853" t="s">
        <v>536</v>
      </c>
      <c r="F3853" t="s">
        <v>537</v>
      </c>
      <c r="G3853" t="s">
        <v>752</v>
      </c>
      <c r="H3853">
        <v>23</v>
      </c>
      <c r="I3853">
        <v>62.391300000000001</v>
      </c>
      <c r="J3853">
        <v>76.434799999999996</v>
      </c>
      <c r="K3853">
        <v>14.0435</v>
      </c>
      <c r="L3853">
        <v>17</v>
      </c>
      <c r="M3853">
        <v>2</v>
      </c>
      <c r="N3853">
        <v>4</v>
      </c>
      <c r="O3853" t="s">
        <v>127</v>
      </c>
      <c r="P3853" t="s">
        <v>127</v>
      </c>
      <c r="Q3853" t="s">
        <v>127</v>
      </c>
    </row>
    <row r="3854" spans="1:17" x14ac:dyDescent="0.25">
      <c r="A3854" t="str">
        <f>IF(C3854&amp;G3854&amp;D3854&lt;&gt;'Funnel setup'!$K$3&amp;'Funnel setup'!$K$4&amp;'Funnel setup'!$K$6,".",IF(A3853=".",1,A3853+1))</f>
        <v>.</v>
      </c>
      <c r="B3854" s="244" t="str">
        <f t="shared" si="60"/>
        <v>Total Hip ReplacementProviderSPIRE CLARE PARK HOSPITAL (NT345)EQ VAS</v>
      </c>
      <c r="C3854" t="s">
        <v>974</v>
      </c>
      <c r="D3854" t="s">
        <v>965</v>
      </c>
      <c r="E3854" t="s">
        <v>538</v>
      </c>
      <c r="F3854" t="s">
        <v>539</v>
      </c>
      <c r="G3854" t="s">
        <v>752</v>
      </c>
      <c r="H3854">
        <v>13</v>
      </c>
      <c r="I3854">
        <v>63.846200000000003</v>
      </c>
      <c r="J3854">
        <v>71.846199999999996</v>
      </c>
      <c r="K3854">
        <v>8</v>
      </c>
      <c r="L3854">
        <v>7</v>
      </c>
      <c r="M3854">
        <v>0</v>
      </c>
      <c r="N3854">
        <v>6</v>
      </c>
      <c r="O3854" t="s">
        <v>127</v>
      </c>
      <c r="P3854" t="s">
        <v>127</v>
      </c>
      <c r="Q3854" t="s">
        <v>127</v>
      </c>
    </row>
    <row r="3855" spans="1:17" x14ac:dyDescent="0.25">
      <c r="A3855" t="str">
        <f>IF(C3855&amp;G3855&amp;D3855&lt;&gt;'Funnel setup'!$K$3&amp;'Funnel setup'!$K$4&amp;'Funnel setup'!$K$6,".",IF(A3854=".",1,A3854+1))</f>
        <v>.</v>
      </c>
      <c r="B3855" s="244" t="str">
        <f t="shared" si="60"/>
        <v>Total Hip ReplacementProviderSPIRE DUNEDIN HOSPITAL (NT344)EQ VAS</v>
      </c>
      <c r="C3855" t="s">
        <v>974</v>
      </c>
      <c r="D3855" t="s">
        <v>965</v>
      </c>
      <c r="E3855" t="s">
        <v>540</v>
      </c>
      <c r="F3855" t="s">
        <v>541</v>
      </c>
      <c r="G3855" t="s">
        <v>752</v>
      </c>
      <c r="H3855">
        <v>1</v>
      </c>
      <c r="I3855">
        <v>50</v>
      </c>
      <c r="J3855">
        <v>60</v>
      </c>
      <c r="K3855">
        <v>10</v>
      </c>
      <c r="L3855">
        <v>1</v>
      </c>
      <c r="M3855">
        <v>0</v>
      </c>
      <c r="N3855">
        <v>0</v>
      </c>
      <c r="O3855" t="s">
        <v>127</v>
      </c>
      <c r="P3855" t="s">
        <v>127</v>
      </c>
      <c r="Q3855" t="s">
        <v>127</v>
      </c>
    </row>
    <row r="3856" spans="1:17" x14ac:dyDescent="0.25">
      <c r="A3856" t="str">
        <f>IF(C3856&amp;G3856&amp;D3856&lt;&gt;'Funnel setup'!$K$3&amp;'Funnel setup'!$K$4&amp;'Funnel setup'!$K$6,".",IF(A3855=".",1,A3855+1))</f>
        <v>.</v>
      </c>
      <c r="B3856" s="244" t="str">
        <f t="shared" si="60"/>
        <v>Total Hip ReplacementProviderSPIRE ELLAND HOSPITAL (NT348)EQ VAS</v>
      </c>
      <c r="C3856" t="s">
        <v>974</v>
      </c>
      <c r="D3856" t="s">
        <v>965</v>
      </c>
      <c r="E3856" t="s">
        <v>542</v>
      </c>
      <c r="F3856" t="s">
        <v>543</v>
      </c>
      <c r="G3856" t="s">
        <v>752</v>
      </c>
      <c r="H3856">
        <v>14</v>
      </c>
      <c r="I3856">
        <v>65.357100000000003</v>
      </c>
      <c r="J3856">
        <v>76.357100000000003</v>
      </c>
      <c r="K3856">
        <v>11</v>
      </c>
      <c r="L3856">
        <v>11</v>
      </c>
      <c r="M3856">
        <v>0</v>
      </c>
      <c r="N3856">
        <v>3</v>
      </c>
      <c r="O3856" t="s">
        <v>127</v>
      </c>
      <c r="P3856" t="s">
        <v>127</v>
      </c>
      <c r="Q3856" t="s">
        <v>127</v>
      </c>
    </row>
    <row r="3857" spans="1:17" x14ac:dyDescent="0.25">
      <c r="A3857" t="str">
        <f>IF(C3857&amp;G3857&amp;D3857&lt;&gt;'Funnel setup'!$K$3&amp;'Funnel setup'!$K$4&amp;'Funnel setup'!$K$6,".",IF(A3856=".",1,A3856+1))</f>
        <v>.</v>
      </c>
      <c r="B3857" s="244" t="str">
        <f t="shared" si="60"/>
        <v>Total Hip ReplacementProviderSPIRE FYLDE COAST HOSPITAL (NT347)EQ VAS</v>
      </c>
      <c r="C3857" t="s">
        <v>974</v>
      </c>
      <c r="D3857" t="s">
        <v>965</v>
      </c>
      <c r="E3857" t="s">
        <v>544</v>
      </c>
      <c r="F3857" t="s">
        <v>545</v>
      </c>
      <c r="G3857" t="s">
        <v>752</v>
      </c>
      <c r="H3857">
        <v>29</v>
      </c>
      <c r="I3857">
        <v>70.172399999999996</v>
      </c>
      <c r="J3857">
        <v>80.551699999999997</v>
      </c>
      <c r="K3857">
        <v>10.379300000000001</v>
      </c>
      <c r="L3857">
        <v>20</v>
      </c>
      <c r="M3857">
        <v>3</v>
      </c>
      <c r="N3857">
        <v>6</v>
      </c>
      <c r="O3857" t="s">
        <v>127</v>
      </c>
      <c r="P3857" t="s">
        <v>127</v>
      </c>
      <c r="Q3857" t="s">
        <v>127</v>
      </c>
    </row>
    <row r="3858" spans="1:17" x14ac:dyDescent="0.25">
      <c r="A3858" t="str">
        <f>IF(C3858&amp;G3858&amp;D3858&lt;&gt;'Funnel setup'!$K$3&amp;'Funnel setup'!$K$4&amp;'Funnel setup'!$K$6,".",IF(A3857=".",1,A3857+1))</f>
        <v>.</v>
      </c>
      <c r="B3858" s="244" t="str">
        <f t="shared" si="60"/>
        <v>Total Hip ReplacementProviderSPIRE GATWICK PARK HOSPITAL (NT308)EQ VAS</v>
      </c>
      <c r="C3858" t="s">
        <v>974</v>
      </c>
      <c r="D3858" t="s">
        <v>965</v>
      </c>
      <c r="E3858" t="s">
        <v>546</v>
      </c>
      <c r="F3858" t="s">
        <v>547</v>
      </c>
      <c r="G3858" t="s">
        <v>752</v>
      </c>
      <c r="H3858">
        <v>8</v>
      </c>
      <c r="I3858">
        <v>65.444400000000002</v>
      </c>
      <c r="J3858">
        <v>74.222200000000001</v>
      </c>
      <c r="K3858">
        <v>8.7777799999999999</v>
      </c>
      <c r="L3858">
        <v>6</v>
      </c>
      <c r="M3858">
        <v>1</v>
      </c>
      <c r="N3858">
        <v>1</v>
      </c>
      <c r="O3858" t="s">
        <v>127</v>
      </c>
      <c r="P3858" t="s">
        <v>127</v>
      </c>
      <c r="Q3858" t="s">
        <v>127</v>
      </c>
    </row>
    <row r="3859" spans="1:17" x14ac:dyDescent="0.25">
      <c r="A3859" t="str">
        <f>IF(C3859&amp;G3859&amp;D3859&lt;&gt;'Funnel setup'!$K$3&amp;'Funnel setup'!$K$4&amp;'Funnel setup'!$K$6,".",IF(A3858=".",1,A3858+1))</f>
        <v>.</v>
      </c>
      <c r="B3859" s="244" t="str">
        <f t="shared" si="60"/>
        <v>Total Hip ReplacementProviderSPIRE HARPENDEN HOSPITAL (NT316)EQ VAS</v>
      </c>
      <c r="C3859" t="s">
        <v>974</v>
      </c>
      <c r="D3859" t="s">
        <v>965</v>
      </c>
      <c r="E3859" t="s">
        <v>548</v>
      </c>
      <c r="F3859" t="s">
        <v>549</v>
      </c>
      <c r="G3859" t="s">
        <v>752</v>
      </c>
      <c r="H3859">
        <v>32</v>
      </c>
      <c r="I3859">
        <v>62.8125</v>
      </c>
      <c r="J3859">
        <v>74.343800000000002</v>
      </c>
      <c r="K3859">
        <v>11.5313</v>
      </c>
      <c r="L3859">
        <v>23</v>
      </c>
      <c r="M3859">
        <v>2</v>
      </c>
      <c r="N3859">
        <v>7</v>
      </c>
      <c r="O3859">
        <v>72.734999999999999</v>
      </c>
      <c r="P3859">
        <v>11.918900000000001</v>
      </c>
      <c r="Q3859">
        <v>18.646100000000001</v>
      </c>
    </row>
    <row r="3860" spans="1:17" x14ac:dyDescent="0.25">
      <c r="A3860" t="str">
        <f>IF(C3860&amp;G3860&amp;D3860&lt;&gt;'Funnel setup'!$K$3&amp;'Funnel setup'!$K$4&amp;'Funnel setup'!$K$6,".",IF(A3859=".",1,A3859+1))</f>
        <v>.</v>
      </c>
      <c r="B3860" s="244" t="str">
        <f t="shared" si="60"/>
        <v>Total Hip ReplacementProviderSPIRE HARTSWOOD HOSPITAL (NT319)EQ VAS</v>
      </c>
      <c r="C3860" t="s">
        <v>974</v>
      </c>
      <c r="D3860" t="s">
        <v>965</v>
      </c>
      <c r="E3860" t="s">
        <v>550</v>
      </c>
      <c r="F3860" t="s">
        <v>551</v>
      </c>
      <c r="G3860" t="s">
        <v>752</v>
      </c>
      <c r="H3860">
        <v>12</v>
      </c>
      <c r="I3860">
        <v>58</v>
      </c>
      <c r="J3860">
        <v>79.666700000000006</v>
      </c>
      <c r="K3860">
        <v>21.666699999999999</v>
      </c>
      <c r="L3860">
        <v>10</v>
      </c>
      <c r="M3860">
        <v>1</v>
      </c>
      <c r="N3860">
        <v>1</v>
      </c>
      <c r="O3860" t="s">
        <v>127</v>
      </c>
      <c r="P3860" t="s">
        <v>127</v>
      </c>
      <c r="Q3860" t="s">
        <v>127</v>
      </c>
    </row>
    <row r="3861" spans="1:17" x14ac:dyDescent="0.25">
      <c r="A3861" t="str">
        <f>IF(C3861&amp;G3861&amp;D3861&lt;&gt;'Funnel setup'!$K$3&amp;'Funnel setup'!$K$4&amp;'Funnel setup'!$K$6,".",IF(A3860=".",1,A3860+1))</f>
        <v>.</v>
      </c>
      <c r="B3861" s="244" t="str">
        <f t="shared" si="60"/>
        <v>Total Hip ReplacementProviderSPIRE HULL AND EAST RIDING HOSPITAL (NT351)EQ VAS</v>
      </c>
      <c r="C3861" t="s">
        <v>974</v>
      </c>
      <c r="D3861" t="s">
        <v>965</v>
      </c>
      <c r="E3861" t="s">
        <v>554</v>
      </c>
      <c r="F3861" t="s">
        <v>555</v>
      </c>
      <c r="G3861" t="s">
        <v>752</v>
      </c>
      <c r="H3861">
        <v>37</v>
      </c>
      <c r="I3861">
        <v>63.621600000000001</v>
      </c>
      <c r="J3861">
        <v>74.162199999999999</v>
      </c>
      <c r="K3861">
        <v>10.5405</v>
      </c>
      <c r="L3861">
        <v>27</v>
      </c>
      <c r="M3861">
        <v>1</v>
      </c>
      <c r="N3861">
        <v>9</v>
      </c>
      <c r="O3861">
        <v>73.587100000000007</v>
      </c>
      <c r="P3861">
        <v>12.771000000000001</v>
      </c>
      <c r="Q3861">
        <v>21.037600000000001</v>
      </c>
    </row>
    <row r="3862" spans="1:17" x14ac:dyDescent="0.25">
      <c r="A3862" t="str">
        <f>IF(C3862&amp;G3862&amp;D3862&lt;&gt;'Funnel setup'!$K$3&amp;'Funnel setup'!$K$4&amp;'Funnel setup'!$K$6,".",IF(A3861=".",1,A3861+1))</f>
        <v>.</v>
      </c>
      <c r="B3862" s="244" t="str">
        <f t="shared" si="60"/>
        <v>Total Hip ReplacementProviderSPIRE LEEDS HOSPITAL (NT332)EQ VAS</v>
      </c>
      <c r="C3862" t="s">
        <v>974</v>
      </c>
      <c r="D3862" t="s">
        <v>965</v>
      </c>
      <c r="E3862" t="s">
        <v>556</v>
      </c>
      <c r="F3862" t="s">
        <v>557</v>
      </c>
      <c r="G3862" t="s">
        <v>752</v>
      </c>
      <c r="H3862">
        <v>14</v>
      </c>
      <c r="I3862">
        <v>66.642899999999997</v>
      </c>
      <c r="J3862">
        <v>80.642899999999997</v>
      </c>
      <c r="K3862">
        <v>14</v>
      </c>
      <c r="L3862">
        <v>11</v>
      </c>
      <c r="M3862">
        <v>1</v>
      </c>
      <c r="N3862">
        <v>2</v>
      </c>
      <c r="O3862" t="s">
        <v>127</v>
      </c>
      <c r="P3862" t="s">
        <v>127</v>
      </c>
      <c r="Q3862" t="s">
        <v>127</v>
      </c>
    </row>
    <row r="3863" spans="1:17" x14ac:dyDescent="0.25">
      <c r="A3863" t="str">
        <f>IF(C3863&amp;G3863&amp;D3863&lt;&gt;'Funnel setup'!$K$3&amp;'Funnel setup'!$K$4&amp;'Funnel setup'!$K$6,".",IF(A3862=".",1,A3862+1))</f>
        <v>.</v>
      </c>
      <c r="B3863" s="244" t="str">
        <f t="shared" si="60"/>
        <v>Total Hip ReplacementProviderSPIRE LEICESTER HOSPITAL (NT322)EQ VAS</v>
      </c>
      <c r="C3863" t="s">
        <v>974</v>
      </c>
      <c r="D3863" t="s">
        <v>965</v>
      </c>
      <c r="E3863" t="s">
        <v>558</v>
      </c>
      <c r="F3863" t="s">
        <v>559</v>
      </c>
      <c r="G3863" t="s">
        <v>752</v>
      </c>
      <c r="H3863">
        <v>32</v>
      </c>
      <c r="I3863">
        <v>65.218800000000002</v>
      </c>
      <c r="J3863">
        <v>74.593800000000002</v>
      </c>
      <c r="K3863">
        <v>9.375</v>
      </c>
      <c r="L3863">
        <v>23</v>
      </c>
      <c r="M3863">
        <v>1</v>
      </c>
      <c r="N3863">
        <v>8</v>
      </c>
      <c r="O3863">
        <v>73.411900000000003</v>
      </c>
      <c r="P3863">
        <v>12.595800000000001</v>
      </c>
      <c r="Q3863">
        <v>17.3767</v>
      </c>
    </row>
    <row r="3864" spans="1:17" x14ac:dyDescent="0.25">
      <c r="A3864" t="str">
        <f>IF(C3864&amp;G3864&amp;D3864&lt;&gt;'Funnel setup'!$K$3&amp;'Funnel setup'!$K$4&amp;'Funnel setup'!$K$6,".",IF(A3863=".",1,A3863+1))</f>
        <v>.</v>
      </c>
      <c r="B3864" s="244" t="str">
        <f t="shared" si="60"/>
        <v>Total Hip ReplacementProviderSPIRE LITTLE ASTON HOSPITAL (NT321)EQ VAS</v>
      </c>
      <c r="C3864" t="s">
        <v>974</v>
      </c>
      <c r="D3864" t="s">
        <v>965</v>
      </c>
      <c r="E3864" t="s">
        <v>560</v>
      </c>
      <c r="F3864" t="s">
        <v>561</v>
      </c>
      <c r="G3864" t="s">
        <v>752</v>
      </c>
      <c r="H3864">
        <v>30</v>
      </c>
      <c r="I3864">
        <v>66.966700000000003</v>
      </c>
      <c r="J3864">
        <v>75.400000000000006</v>
      </c>
      <c r="K3864">
        <v>8.4333299999999998</v>
      </c>
      <c r="L3864">
        <v>23</v>
      </c>
      <c r="M3864">
        <v>1</v>
      </c>
      <c r="N3864">
        <v>6</v>
      </c>
      <c r="O3864">
        <v>72.384399999999999</v>
      </c>
      <c r="P3864">
        <v>11.568300000000001</v>
      </c>
      <c r="Q3864">
        <v>14.091799999999999</v>
      </c>
    </row>
    <row r="3865" spans="1:17" x14ac:dyDescent="0.25">
      <c r="A3865" t="str">
        <f>IF(C3865&amp;G3865&amp;D3865&lt;&gt;'Funnel setup'!$K$3&amp;'Funnel setup'!$K$4&amp;'Funnel setup'!$K$6,".",IF(A3864=".",1,A3864+1))</f>
        <v>.</v>
      </c>
      <c r="B3865" s="244" t="str">
        <f t="shared" si="60"/>
        <v>Total Hip ReplacementProviderSPIRE LIVERPOOL HOSPITAL (NT337)EQ VAS</v>
      </c>
      <c r="C3865" t="s">
        <v>974</v>
      </c>
      <c r="D3865" t="s">
        <v>965</v>
      </c>
      <c r="E3865" t="s">
        <v>562</v>
      </c>
      <c r="F3865" t="s">
        <v>563</v>
      </c>
      <c r="G3865" t="s">
        <v>752</v>
      </c>
      <c r="H3865">
        <v>9</v>
      </c>
      <c r="I3865">
        <v>54.777799999999999</v>
      </c>
      <c r="J3865">
        <v>78</v>
      </c>
      <c r="K3865">
        <v>23.222200000000001</v>
      </c>
      <c r="L3865">
        <v>7</v>
      </c>
      <c r="M3865">
        <v>2</v>
      </c>
      <c r="N3865">
        <v>0</v>
      </c>
      <c r="O3865" t="s">
        <v>127</v>
      </c>
      <c r="P3865" t="s">
        <v>127</v>
      </c>
      <c r="Q3865" t="s">
        <v>127</v>
      </c>
    </row>
    <row r="3866" spans="1:17" x14ac:dyDescent="0.25">
      <c r="A3866" t="str">
        <f>IF(C3866&amp;G3866&amp;D3866&lt;&gt;'Funnel setup'!$K$3&amp;'Funnel setup'!$K$4&amp;'Funnel setup'!$K$6,".",IF(A3865=".",1,A3865+1))</f>
        <v>.</v>
      </c>
      <c r="B3866" s="244" t="str">
        <f t="shared" si="60"/>
        <v>Total Hip ReplacementProviderSPIRE MANCHESTER HOSPITAL (NT327)EQ VAS</v>
      </c>
      <c r="C3866" t="s">
        <v>974</v>
      </c>
      <c r="D3866" t="s">
        <v>965</v>
      </c>
      <c r="E3866" t="s">
        <v>566</v>
      </c>
      <c r="F3866" t="s">
        <v>567</v>
      </c>
      <c r="G3866" t="s">
        <v>752</v>
      </c>
      <c r="H3866">
        <v>31</v>
      </c>
      <c r="I3866">
        <v>64.903199999999998</v>
      </c>
      <c r="J3866">
        <v>81.387100000000004</v>
      </c>
      <c r="K3866">
        <v>16.483899999999998</v>
      </c>
      <c r="L3866">
        <v>26</v>
      </c>
      <c r="M3866">
        <v>0</v>
      </c>
      <c r="N3866">
        <v>5</v>
      </c>
      <c r="O3866">
        <v>77.527000000000001</v>
      </c>
      <c r="P3866">
        <v>16.710899999999999</v>
      </c>
      <c r="Q3866">
        <v>14.978899999999999</v>
      </c>
    </row>
    <row r="3867" spans="1:17" x14ac:dyDescent="0.25">
      <c r="A3867" t="str">
        <f>IF(C3867&amp;G3867&amp;D3867&lt;&gt;'Funnel setup'!$K$3&amp;'Funnel setup'!$K$4&amp;'Funnel setup'!$K$6,".",IF(A3866=".",1,A3866+1))</f>
        <v>.</v>
      </c>
      <c r="B3867" s="244" t="str">
        <f t="shared" si="60"/>
        <v>Total Hip ReplacementProviderSPIRE METHLEY PARK HOSPITAL (NT350)EQ VAS</v>
      </c>
      <c r="C3867" t="s">
        <v>974</v>
      </c>
      <c r="D3867" t="s">
        <v>965</v>
      </c>
      <c r="E3867" t="s">
        <v>568</v>
      </c>
      <c r="F3867" t="s">
        <v>569</v>
      </c>
      <c r="G3867" t="s">
        <v>752</v>
      </c>
      <c r="H3867">
        <v>28</v>
      </c>
      <c r="I3867">
        <v>62.464300000000001</v>
      </c>
      <c r="J3867">
        <v>73.035700000000006</v>
      </c>
      <c r="K3867">
        <v>10.571400000000001</v>
      </c>
      <c r="L3867">
        <v>20</v>
      </c>
      <c r="M3867">
        <v>1</v>
      </c>
      <c r="N3867">
        <v>7</v>
      </c>
      <c r="O3867" t="s">
        <v>127</v>
      </c>
      <c r="P3867" t="s">
        <v>127</v>
      </c>
      <c r="Q3867" t="s">
        <v>127</v>
      </c>
    </row>
    <row r="3868" spans="1:17" x14ac:dyDescent="0.25">
      <c r="A3868" t="str">
        <f>IF(C3868&amp;G3868&amp;D3868&lt;&gt;'Funnel setup'!$K$3&amp;'Funnel setup'!$K$4&amp;'Funnel setup'!$K$6,".",IF(A3867=".",1,A3867+1))</f>
        <v>.</v>
      </c>
      <c r="B3868" s="244" t="str">
        <f t="shared" si="60"/>
        <v>Total Hip ReplacementProviderSPIRE MONTEFIORE HOSPITAL (NT364)EQ VAS</v>
      </c>
      <c r="C3868" t="s">
        <v>974</v>
      </c>
      <c r="D3868" t="s">
        <v>965</v>
      </c>
      <c r="E3868" t="s">
        <v>570</v>
      </c>
      <c r="F3868" t="s">
        <v>571</v>
      </c>
      <c r="G3868" t="s">
        <v>752</v>
      </c>
      <c r="H3868">
        <v>3</v>
      </c>
      <c r="I3868">
        <v>61.666699999999999</v>
      </c>
      <c r="J3868">
        <v>79.333299999999994</v>
      </c>
      <c r="K3868">
        <v>17.666699999999999</v>
      </c>
      <c r="L3868">
        <v>2</v>
      </c>
      <c r="M3868">
        <v>0</v>
      </c>
      <c r="N3868">
        <v>1</v>
      </c>
      <c r="O3868" t="s">
        <v>127</v>
      </c>
      <c r="P3868" t="s">
        <v>127</v>
      </c>
      <c r="Q3868" t="s">
        <v>127</v>
      </c>
    </row>
    <row r="3869" spans="1:17" x14ac:dyDescent="0.25">
      <c r="A3869" t="str">
        <f>IF(C3869&amp;G3869&amp;D3869&lt;&gt;'Funnel setup'!$K$3&amp;'Funnel setup'!$K$4&amp;'Funnel setup'!$K$6,".",IF(A3868=".",1,A3868+1))</f>
        <v>.</v>
      </c>
      <c r="B3869" s="244" t="str">
        <f t="shared" si="60"/>
        <v>Total Hip ReplacementProviderSPIRE MURRAYFIELD HOSPITAL (NT325)EQ VAS</v>
      </c>
      <c r="C3869" t="s">
        <v>974</v>
      </c>
      <c r="D3869" t="s">
        <v>965</v>
      </c>
      <c r="E3869" t="s">
        <v>572</v>
      </c>
      <c r="F3869" t="s">
        <v>573</v>
      </c>
      <c r="G3869" t="s">
        <v>752</v>
      </c>
      <c r="H3869">
        <v>5</v>
      </c>
      <c r="I3869">
        <v>68.400000000000006</v>
      </c>
      <c r="J3869">
        <v>90.4</v>
      </c>
      <c r="K3869">
        <v>22</v>
      </c>
      <c r="L3869">
        <v>5</v>
      </c>
      <c r="M3869">
        <v>0</v>
      </c>
      <c r="N3869">
        <v>0</v>
      </c>
      <c r="O3869" t="s">
        <v>127</v>
      </c>
      <c r="P3869" t="s">
        <v>127</v>
      </c>
      <c r="Q3869" t="s">
        <v>127</v>
      </c>
    </row>
    <row r="3870" spans="1:17" x14ac:dyDescent="0.25">
      <c r="A3870" t="str">
        <f>IF(C3870&amp;G3870&amp;D3870&lt;&gt;'Funnel setup'!$K$3&amp;'Funnel setup'!$K$4&amp;'Funnel setup'!$K$6,".",IF(A3869=".",1,A3869+1))</f>
        <v>.</v>
      </c>
      <c r="B3870" s="244" t="str">
        <f t="shared" si="60"/>
        <v>Total Hip ReplacementProviderSPIRE NOTTINGHAM HOSPITAL (NT30A)EQ VAS</v>
      </c>
      <c r="C3870" t="s">
        <v>974</v>
      </c>
      <c r="D3870" t="s">
        <v>965</v>
      </c>
      <c r="E3870" t="s">
        <v>576</v>
      </c>
      <c r="F3870" t="s">
        <v>577</v>
      </c>
      <c r="G3870" t="s">
        <v>752</v>
      </c>
      <c r="H3870">
        <v>1</v>
      </c>
      <c r="I3870">
        <v>40</v>
      </c>
      <c r="J3870">
        <v>70</v>
      </c>
      <c r="K3870">
        <v>30</v>
      </c>
      <c r="L3870">
        <v>1</v>
      </c>
      <c r="M3870">
        <v>0</v>
      </c>
      <c r="N3870">
        <v>0</v>
      </c>
      <c r="O3870" t="s">
        <v>127</v>
      </c>
      <c r="P3870" t="s">
        <v>127</v>
      </c>
      <c r="Q3870" t="s">
        <v>127</v>
      </c>
    </row>
    <row r="3871" spans="1:17" x14ac:dyDescent="0.25">
      <c r="A3871" t="str">
        <f>IF(C3871&amp;G3871&amp;D3871&lt;&gt;'Funnel setup'!$K$3&amp;'Funnel setup'!$K$4&amp;'Funnel setup'!$K$6,".",IF(A3870=".",1,A3870+1))</f>
        <v>.</v>
      </c>
      <c r="B3871" s="244" t="str">
        <f t="shared" si="60"/>
        <v>Total Hip ReplacementProviderSPIRE PARKWAY HOSPITAL (NT320)EQ VAS</v>
      </c>
      <c r="C3871" t="s">
        <v>974</v>
      </c>
      <c r="D3871" t="s">
        <v>965</v>
      </c>
      <c r="E3871" t="s">
        <v>578</v>
      </c>
      <c r="F3871" t="s">
        <v>579</v>
      </c>
      <c r="G3871" t="s">
        <v>752</v>
      </c>
      <c r="H3871">
        <v>19</v>
      </c>
      <c r="I3871">
        <v>60.1053</v>
      </c>
      <c r="J3871">
        <v>69.526300000000006</v>
      </c>
      <c r="K3871">
        <v>9.4210499999999993</v>
      </c>
      <c r="L3871">
        <v>11</v>
      </c>
      <c r="M3871">
        <v>2</v>
      </c>
      <c r="N3871">
        <v>6</v>
      </c>
      <c r="O3871" t="s">
        <v>127</v>
      </c>
      <c r="P3871" t="s">
        <v>127</v>
      </c>
      <c r="Q3871" t="s">
        <v>127</v>
      </c>
    </row>
    <row r="3872" spans="1:17" x14ac:dyDescent="0.25">
      <c r="A3872" t="str">
        <f>IF(C3872&amp;G3872&amp;D3872&lt;&gt;'Funnel setup'!$K$3&amp;'Funnel setup'!$K$4&amp;'Funnel setup'!$K$6,".",IF(A3871=".",1,A3871+1))</f>
        <v>.</v>
      </c>
      <c r="B3872" s="244" t="str">
        <f t="shared" si="60"/>
        <v>Total Hip ReplacementProviderSPIRE PORTSMOUTH HOSPITAL (NT305)EQ VAS</v>
      </c>
      <c r="C3872" t="s">
        <v>974</v>
      </c>
      <c r="D3872" t="s">
        <v>965</v>
      </c>
      <c r="E3872" t="s">
        <v>580</v>
      </c>
      <c r="F3872" t="s">
        <v>581</v>
      </c>
      <c r="G3872" t="s">
        <v>752</v>
      </c>
      <c r="H3872">
        <v>12</v>
      </c>
      <c r="I3872">
        <v>66.583299999999994</v>
      </c>
      <c r="J3872">
        <v>78.25</v>
      </c>
      <c r="K3872">
        <v>11.666700000000001</v>
      </c>
      <c r="L3872">
        <v>9</v>
      </c>
      <c r="M3872">
        <v>0</v>
      </c>
      <c r="N3872">
        <v>3</v>
      </c>
      <c r="O3872" t="s">
        <v>127</v>
      </c>
      <c r="P3872" t="s">
        <v>127</v>
      </c>
      <c r="Q3872" t="s">
        <v>127</v>
      </c>
    </row>
    <row r="3873" spans="1:17" x14ac:dyDescent="0.25">
      <c r="A3873" t="str">
        <f>IF(C3873&amp;G3873&amp;D3873&lt;&gt;'Funnel setup'!$K$3&amp;'Funnel setup'!$K$4&amp;'Funnel setup'!$K$6,".",IF(A3872=".",1,A3872+1))</f>
        <v>.</v>
      </c>
      <c r="B3873" s="244" t="str">
        <f t="shared" si="60"/>
        <v>Total Hip ReplacementProviderSPIRE REGENCY HOSPITAL (NT339)EQ VAS</v>
      </c>
      <c r="C3873" t="s">
        <v>974</v>
      </c>
      <c r="D3873" t="s">
        <v>965</v>
      </c>
      <c r="E3873" t="s">
        <v>582</v>
      </c>
      <c r="F3873" t="s">
        <v>583</v>
      </c>
      <c r="G3873" t="s">
        <v>752</v>
      </c>
      <c r="H3873">
        <v>32</v>
      </c>
      <c r="I3873">
        <v>68.468800000000002</v>
      </c>
      <c r="J3873">
        <v>79.093800000000002</v>
      </c>
      <c r="K3873">
        <v>10.625</v>
      </c>
      <c r="L3873">
        <v>24</v>
      </c>
      <c r="M3873">
        <v>2</v>
      </c>
      <c r="N3873">
        <v>6</v>
      </c>
      <c r="O3873">
        <v>75.529799999999994</v>
      </c>
      <c r="P3873">
        <v>14.713699999999999</v>
      </c>
      <c r="Q3873">
        <v>14.7775</v>
      </c>
    </row>
    <row r="3874" spans="1:17" x14ac:dyDescent="0.25">
      <c r="A3874" t="str">
        <f>IF(C3874&amp;G3874&amp;D3874&lt;&gt;'Funnel setup'!$K$3&amp;'Funnel setup'!$K$4&amp;'Funnel setup'!$K$6,".",IF(A3873=".",1,A3873+1))</f>
        <v>.</v>
      </c>
      <c r="B3874" s="244" t="str">
        <f t="shared" si="60"/>
        <v>Total Hip ReplacementProviderSPIRE SOUTHAMPTON HOSPITAL (NT304)EQ VAS</v>
      </c>
      <c r="C3874" t="s">
        <v>974</v>
      </c>
      <c r="D3874" t="s">
        <v>965</v>
      </c>
      <c r="E3874" t="s">
        <v>586</v>
      </c>
      <c r="F3874" t="s">
        <v>587</v>
      </c>
      <c r="G3874" t="s">
        <v>752</v>
      </c>
      <c r="H3874">
        <v>44</v>
      </c>
      <c r="I3874">
        <v>71.204499999999996</v>
      </c>
      <c r="J3874">
        <v>84.545500000000004</v>
      </c>
      <c r="K3874">
        <v>13.3409</v>
      </c>
      <c r="L3874">
        <v>34</v>
      </c>
      <c r="M3874">
        <v>3</v>
      </c>
      <c r="N3874">
        <v>7</v>
      </c>
      <c r="O3874">
        <v>78.906499999999994</v>
      </c>
      <c r="P3874">
        <v>18.090399999999999</v>
      </c>
      <c r="Q3874">
        <v>12.7974</v>
      </c>
    </row>
    <row r="3875" spans="1:17" x14ac:dyDescent="0.25">
      <c r="A3875" t="str">
        <f>IF(C3875&amp;G3875&amp;D3875&lt;&gt;'Funnel setup'!$K$3&amp;'Funnel setup'!$K$4&amp;'Funnel setup'!$K$6,".",IF(A3874=".",1,A3874+1))</f>
        <v>.</v>
      </c>
      <c r="B3875" s="244" t="str">
        <f t="shared" si="60"/>
        <v>Total Hip ReplacementProviderSPIRE ST ANTHONY'S HOSPITAL (NT3X3)EQ VAS</v>
      </c>
      <c r="C3875" t="s">
        <v>974</v>
      </c>
      <c r="D3875" t="s">
        <v>965</v>
      </c>
      <c r="E3875" t="s">
        <v>588</v>
      </c>
      <c r="F3875" t="s">
        <v>589</v>
      </c>
      <c r="G3875" t="s">
        <v>752</v>
      </c>
      <c r="H3875">
        <v>3</v>
      </c>
      <c r="I3875">
        <v>56.666699999999999</v>
      </c>
      <c r="J3875">
        <v>78.333299999999994</v>
      </c>
      <c r="K3875">
        <v>21.666699999999999</v>
      </c>
      <c r="L3875">
        <v>3</v>
      </c>
      <c r="M3875">
        <v>0</v>
      </c>
      <c r="N3875">
        <v>0</v>
      </c>
      <c r="O3875" t="s">
        <v>127</v>
      </c>
      <c r="P3875" t="s">
        <v>127</v>
      </c>
      <c r="Q3875" t="s">
        <v>127</v>
      </c>
    </row>
    <row r="3876" spans="1:17" x14ac:dyDescent="0.25">
      <c r="A3876" t="str">
        <f>IF(C3876&amp;G3876&amp;D3876&lt;&gt;'Funnel setup'!$K$3&amp;'Funnel setup'!$K$4&amp;'Funnel setup'!$K$6,".",IF(A3875=".",1,A3875+1))</f>
        <v>.</v>
      </c>
      <c r="B3876" s="244" t="str">
        <f t="shared" si="60"/>
        <v>Total Hip ReplacementProviderSPIRE SUSSEX HOSPITAL (NT309)EQ VAS</v>
      </c>
      <c r="C3876" t="s">
        <v>974</v>
      </c>
      <c r="D3876" t="s">
        <v>965</v>
      </c>
      <c r="E3876" t="s">
        <v>590</v>
      </c>
      <c r="F3876" t="s">
        <v>591</v>
      </c>
      <c r="G3876" t="s">
        <v>752</v>
      </c>
      <c r="H3876">
        <v>7</v>
      </c>
      <c r="I3876">
        <v>61.428600000000003</v>
      </c>
      <c r="J3876">
        <v>76.285700000000006</v>
      </c>
      <c r="K3876">
        <v>14.857100000000001</v>
      </c>
      <c r="L3876">
        <v>6</v>
      </c>
      <c r="M3876">
        <v>0</v>
      </c>
      <c r="N3876">
        <v>1</v>
      </c>
      <c r="O3876" t="s">
        <v>127</v>
      </c>
      <c r="P3876" t="s">
        <v>127</v>
      </c>
      <c r="Q3876" t="s">
        <v>127</v>
      </c>
    </row>
    <row r="3877" spans="1:17" x14ac:dyDescent="0.25">
      <c r="A3877" t="str">
        <f>IF(C3877&amp;G3877&amp;D3877&lt;&gt;'Funnel setup'!$K$3&amp;'Funnel setup'!$K$4&amp;'Funnel setup'!$K$6,".",IF(A3876=".",1,A3876+1))</f>
        <v>.</v>
      </c>
      <c r="B3877" s="244" t="str">
        <f t="shared" si="60"/>
        <v>Total Hip ReplacementProviderSPIRE THAMES VALLEY HOSPITAL (NT343)EQ VAS</v>
      </c>
      <c r="C3877" t="s">
        <v>974</v>
      </c>
      <c r="D3877" t="s">
        <v>965</v>
      </c>
      <c r="E3877" t="s">
        <v>592</v>
      </c>
      <c r="F3877" t="s">
        <v>593</v>
      </c>
      <c r="G3877" t="s">
        <v>752</v>
      </c>
      <c r="H3877">
        <v>7</v>
      </c>
      <c r="I3877">
        <v>68.571399999999997</v>
      </c>
      <c r="J3877">
        <v>87.285700000000006</v>
      </c>
      <c r="K3877">
        <v>18.714300000000001</v>
      </c>
      <c r="L3877">
        <v>5</v>
      </c>
      <c r="M3877">
        <v>1</v>
      </c>
      <c r="N3877">
        <v>1</v>
      </c>
      <c r="O3877" t="s">
        <v>127</v>
      </c>
      <c r="P3877" t="s">
        <v>127</v>
      </c>
      <c r="Q3877" t="s">
        <v>127</v>
      </c>
    </row>
    <row r="3878" spans="1:17" x14ac:dyDescent="0.25">
      <c r="A3878" t="str">
        <f>IF(C3878&amp;G3878&amp;D3878&lt;&gt;'Funnel setup'!$K$3&amp;'Funnel setup'!$K$4&amp;'Funnel setup'!$K$6,".",IF(A3877=".",1,A3877+1))</f>
        <v>.</v>
      </c>
      <c r="B3878" s="244" t="str">
        <f t="shared" si="60"/>
        <v>Total Hip ReplacementProviderSPIRE TUNBRIDGE WELLS HOSPITAL (NT310)EQ VAS</v>
      </c>
      <c r="C3878" t="s">
        <v>974</v>
      </c>
      <c r="D3878" t="s">
        <v>965</v>
      </c>
      <c r="E3878" t="s">
        <v>594</v>
      </c>
      <c r="F3878" t="s">
        <v>595</v>
      </c>
      <c r="G3878" t="s">
        <v>752</v>
      </c>
      <c r="H3878">
        <v>7</v>
      </c>
      <c r="I3878">
        <v>62.285699999999999</v>
      </c>
      <c r="J3878">
        <v>75.428600000000003</v>
      </c>
      <c r="K3878">
        <v>13.142899999999999</v>
      </c>
      <c r="L3878">
        <v>5</v>
      </c>
      <c r="M3878">
        <v>1</v>
      </c>
      <c r="N3878">
        <v>1</v>
      </c>
      <c r="O3878" t="s">
        <v>127</v>
      </c>
      <c r="P3878" t="s">
        <v>127</v>
      </c>
      <c r="Q3878" t="s">
        <v>127</v>
      </c>
    </row>
    <row r="3879" spans="1:17" x14ac:dyDescent="0.25">
      <c r="A3879" t="str">
        <f>IF(C3879&amp;G3879&amp;D3879&lt;&gt;'Funnel setup'!$K$3&amp;'Funnel setup'!$K$4&amp;'Funnel setup'!$K$6,".",IF(A3878=".",1,A3878+1))</f>
        <v>.</v>
      </c>
      <c r="B3879" s="244" t="str">
        <f t="shared" si="60"/>
        <v>Total Hip ReplacementProviderSPIRE WASHINGTON HOSPITAL (NT333)EQ VAS</v>
      </c>
      <c r="C3879" t="s">
        <v>974</v>
      </c>
      <c r="D3879" t="s">
        <v>965</v>
      </c>
      <c r="E3879" t="s">
        <v>596</v>
      </c>
      <c r="F3879" t="s">
        <v>597</v>
      </c>
      <c r="G3879" t="s">
        <v>752</v>
      </c>
      <c r="H3879">
        <v>64</v>
      </c>
      <c r="I3879">
        <v>62.5</v>
      </c>
      <c r="J3879">
        <v>76.359399999999994</v>
      </c>
      <c r="K3879">
        <v>13.859400000000001</v>
      </c>
      <c r="L3879">
        <v>49</v>
      </c>
      <c r="M3879">
        <v>3</v>
      </c>
      <c r="N3879">
        <v>12</v>
      </c>
      <c r="O3879">
        <v>76.428899999999999</v>
      </c>
      <c r="P3879">
        <v>15.6128</v>
      </c>
      <c r="Q3879">
        <v>14.517300000000001</v>
      </c>
    </row>
    <row r="3880" spans="1:17" x14ac:dyDescent="0.25">
      <c r="A3880" t="str">
        <f>IF(C3880&amp;G3880&amp;D3880&lt;&gt;'Funnel setup'!$K$3&amp;'Funnel setup'!$K$4&amp;'Funnel setup'!$K$6,".",IF(A3879=".",1,A3879+1))</f>
        <v>.</v>
      </c>
      <c r="B3880" s="244" t="str">
        <f t="shared" si="60"/>
        <v>Total Hip ReplacementProviderSPRINGFIELD HOSPITAL (NVC18)EQ VAS</v>
      </c>
      <c r="C3880" t="s">
        <v>974</v>
      </c>
      <c r="D3880" t="s">
        <v>965</v>
      </c>
      <c r="E3880" t="s">
        <v>602</v>
      </c>
      <c r="F3880" t="s">
        <v>603</v>
      </c>
      <c r="G3880" t="s">
        <v>752</v>
      </c>
      <c r="H3880">
        <v>75</v>
      </c>
      <c r="I3880">
        <v>62.578899999999997</v>
      </c>
      <c r="J3880">
        <v>79.342100000000002</v>
      </c>
      <c r="K3880">
        <v>16.763200000000001</v>
      </c>
      <c r="L3880">
        <v>54</v>
      </c>
      <c r="M3880">
        <v>5</v>
      </c>
      <c r="N3880">
        <v>16</v>
      </c>
      <c r="O3880">
        <v>76.972899999999996</v>
      </c>
      <c r="P3880">
        <v>16.1568</v>
      </c>
      <c r="Q3880">
        <v>18.1526</v>
      </c>
    </row>
    <row r="3881" spans="1:17" x14ac:dyDescent="0.25">
      <c r="A3881" t="str">
        <f>IF(C3881&amp;G3881&amp;D3881&lt;&gt;'Funnel setup'!$K$3&amp;'Funnel setup'!$K$4&amp;'Funnel setup'!$K$6,".",IF(A3880=".",1,A3880+1))</f>
        <v>.</v>
      </c>
      <c r="B3881" s="244" t="str">
        <f t="shared" si="60"/>
        <v>Total Hip ReplacementProviderST EDMUNDS HOSPITAL (NT446)EQ VAS</v>
      </c>
      <c r="C3881" t="s">
        <v>974</v>
      </c>
      <c r="D3881" t="s">
        <v>965</v>
      </c>
      <c r="E3881" t="s">
        <v>604</v>
      </c>
      <c r="F3881" t="s">
        <v>605</v>
      </c>
      <c r="G3881" t="s">
        <v>752</v>
      </c>
      <c r="H3881">
        <v>54</v>
      </c>
      <c r="I3881">
        <v>63.055599999999998</v>
      </c>
      <c r="J3881">
        <v>80.333299999999994</v>
      </c>
      <c r="K3881">
        <v>17.277799999999999</v>
      </c>
      <c r="L3881">
        <v>39</v>
      </c>
      <c r="M3881">
        <v>7</v>
      </c>
      <c r="N3881">
        <v>8</v>
      </c>
      <c r="O3881">
        <v>77.251199999999997</v>
      </c>
      <c r="P3881">
        <v>16.435099999999998</v>
      </c>
      <c r="Q3881">
        <v>13.9069</v>
      </c>
    </row>
    <row r="3882" spans="1:17" x14ac:dyDescent="0.25">
      <c r="A3882" t="str">
        <f>IF(C3882&amp;G3882&amp;D3882&lt;&gt;'Funnel setup'!$K$3&amp;'Funnel setup'!$K$4&amp;'Funnel setup'!$K$6,".",IF(A3881=".",1,A3881+1))</f>
        <v>.</v>
      </c>
      <c r="B3882" s="244" t="str">
        <f t="shared" si="60"/>
        <v>Total Hip ReplacementProviderST HELENS AND KNOWSLEY TEACHING HOSPITALS NHS TRUST (RBN)EQ VAS</v>
      </c>
      <c r="C3882" t="s">
        <v>974</v>
      </c>
      <c r="D3882" t="s">
        <v>965</v>
      </c>
      <c r="E3882" t="s">
        <v>608</v>
      </c>
      <c r="F3882" t="s">
        <v>609</v>
      </c>
      <c r="G3882" t="s">
        <v>752</v>
      </c>
      <c r="H3882">
        <v>66</v>
      </c>
      <c r="I3882">
        <v>54.757599999999996</v>
      </c>
      <c r="J3882">
        <v>70.530299999999997</v>
      </c>
      <c r="K3882">
        <v>15.7727</v>
      </c>
      <c r="L3882">
        <v>46</v>
      </c>
      <c r="M3882">
        <v>3</v>
      </c>
      <c r="N3882">
        <v>17</v>
      </c>
      <c r="O3882">
        <v>75.061899999999994</v>
      </c>
      <c r="P3882">
        <v>14.245799999999999</v>
      </c>
      <c r="Q3882">
        <v>19.246400000000001</v>
      </c>
    </row>
    <row r="3883" spans="1:17" x14ac:dyDescent="0.25">
      <c r="A3883" t="str">
        <f>IF(C3883&amp;G3883&amp;D3883&lt;&gt;'Funnel setup'!$K$3&amp;'Funnel setup'!$K$4&amp;'Funnel setup'!$K$6,".",IF(A3882=".",1,A3882+1))</f>
        <v>.</v>
      </c>
      <c r="B3883" s="244" t="str">
        <f t="shared" si="60"/>
        <v>Total Hip ReplacementProviderST HUGH'S HOSPITAL (NTE02)EQ VAS</v>
      </c>
      <c r="C3883" t="s">
        <v>974</v>
      </c>
      <c r="D3883" t="s">
        <v>965</v>
      </c>
      <c r="E3883" t="s">
        <v>610</v>
      </c>
      <c r="F3883" t="s">
        <v>611</v>
      </c>
      <c r="G3883" t="s">
        <v>752</v>
      </c>
      <c r="H3883">
        <v>90</v>
      </c>
      <c r="I3883">
        <v>65.611099999999993</v>
      </c>
      <c r="J3883">
        <v>74.033299999999997</v>
      </c>
      <c r="K3883">
        <v>8.4222199999999994</v>
      </c>
      <c r="L3883">
        <v>50</v>
      </c>
      <c r="M3883">
        <v>10</v>
      </c>
      <c r="N3883">
        <v>30</v>
      </c>
      <c r="O3883">
        <v>71.357399999999998</v>
      </c>
      <c r="P3883">
        <v>10.5413</v>
      </c>
      <c r="Q3883">
        <v>17.6417</v>
      </c>
    </row>
    <row r="3884" spans="1:17" x14ac:dyDescent="0.25">
      <c r="A3884" t="str">
        <f>IF(C3884&amp;G3884&amp;D3884&lt;&gt;'Funnel setup'!$K$3&amp;'Funnel setup'!$K$4&amp;'Funnel setup'!$K$6,".",IF(A3883=".",1,A3883+1))</f>
        <v>.</v>
      </c>
      <c r="B3884" s="244" t="str">
        <f t="shared" si="60"/>
        <v>Total Hip ReplacementProviderSTOCKPORT NHS FOUNDATION TRUST (RWJ)EQ VAS</v>
      </c>
      <c r="C3884" t="s">
        <v>974</v>
      </c>
      <c r="D3884" t="s">
        <v>965</v>
      </c>
      <c r="E3884" t="s">
        <v>614</v>
      </c>
      <c r="F3884" t="s">
        <v>615</v>
      </c>
      <c r="G3884" t="s">
        <v>752</v>
      </c>
      <c r="H3884">
        <v>55</v>
      </c>
      <c r="I3884">
        <v>53.6</v>
      </c>
      <c r="J3884">
        <v>71.381799999999998</v>
      </c>
      <c r="K3884">
        <v>17.7818</v>
      </c>
      <c r="L3884">
        <v>36</v>
      </c>
      <c r="M3884">
        <v>8</v>
      </c>
      <c r="N3884">
        <v>11</v>
      </c>
      <c r="O3884">
        <v>74.687299999999993</v>
      </c>
      <c r="P3884">
        <v>13.8712</v>
      </c>
      <c r="Q3884">
        <v>18.627500000000001</v>
      </c>
    </row>
    <row r="3885" spans="1:17" x14ac:dyDescent="0.25">
      <c r="A3885" t="str">
        <f>IF(C3885&amp;G3885&amp;D3885&lt;&gt;'Funnel setup'!$K$3&amp;'Funnel setup'!$K$4&amp;'Funnel setup'!$K$6,".",IF(A3884=".",1,A3884+1))</f>
        <v>.</v>
      </c>
      <c r="B3885" s="244" t="str">
        <f t="shared" si="60"/>
        <v>Total Hip ReplacementProviderSURREY AND SUSSEX HEALTHCARE NHS TRUST (RTP)EQ VAS</v>
      </c>
      <c r="C3885" t="s">
        <v>974</v>
      </c>
      <c r="D3885" t="s">
        <v>965</v>
      </c>
      <c r="E3885" t="s">
        <v>618</v>
      </c>
      <c r="F3885" t="s">
        <v>619</v>
      </c>
      <c r="G3885" t="s">
        <v>752</v>
      </c>
      <c r="H3885">
        <v>46</v>
      </c>
      <c r="I3885">
        <v>60.195700000000002</v>
      </c>
      <c r="J3885">
        <v>70.217399999999998</v>
      </c>
      <c r="K3885">
        <v>10.021699999999999</v>
      </c>
      <c r="L3885">
        <v>34</v>
      </c>
      <c r="M3885">
        <v>3</v>
      </c>
      <c r="N3885">
        <v>9</v>
      </c>
      <c r="O3885">
        <v>71.215699999999998</v>
      </c>
      <c r="P3885">
        <v>10.3996</v>
      </c>
      <c r="Q3885">
        <v>19.883600000000001</v>
      </c>
    </row>
    <row r="3886" spans="1:17" x14ac:dyDescent="0.25">
      <c r="A3886" t="str">
        <f>IF(C3886&amp;G3886&amp;D3886&lt;&gt;'Funnel setup'!$K$3&amp;'Funnel setup'!$K$4&amp;'Funnel setup'!$K$6,".",IF(A3885=".",1,A3885+1))</f>
        <v>.</v>
      </c>
      <c r="B3886" s="244" t="str">
        <f t="shared" si="60"/>
        <v>Total Hip ReplacementProviderTAMESIDE AND GLOSSOP INTEGRATED CARE NHS FOUNDATION TRUST (RMP)EQ VAS</v>
      </c>
      <c r="C3886" t="s">
        <v>974</v>
      </c>
      <c r="D3886" t="s">
        <v>965</v>
      </c>
      <c r="E3886" t="s">
        <v>620</v>
      </c>
      <c r="F3886" t="s">
        <v>621</v>
      </c>
      <c r="G3886" t="s">
        <v>752</v>
      </c>
      <c r="H3886">
        <v>2</v>
      </c>
      <c r="I3886">
        <v>55</v>
      </c>
      <c r="J3886">
        <v>15</v>
      </c>
      <c r="K3886">
        <v>-40</v>
      </c>
      <c r="L3886">
        <v>0</v>
      </c>
      <c r="M3886">
        <v>0</v>
      </c>
      <c r="N3886">
        <v>2</v>
      </c>
      <c r="O3886" t="s">
        <v>127</v>
      </c>
      <c r="P3886" t="s">
        <v>127</v>
      </c>
      <c r="Q3886" t="s">
        <v>127</v>
      </c>
    </row>
    <row r="3887" spans="1:17" x14ac:dyDescent="0.25">
      <c r="A3887" t="str">
        <f>IF(C3887&amp;G3887&amp;D3887&lt;&gt;'Funnel setup'!$K$3&amp;'Funnel setup'!$K$4&amp;'Funnel setup'!$K$6,".",IF(A3886=".",1,A3886+1))</f>
        <v>.</v>
      </c>
      <c r="B3887" s="244" t="str">
        <f t="shared" si="60"/>
        <v>Total Hip ReplacementProviderTEES VALLEY HOSPITAL (NVC0R)EQ VAS</v>
      </c>
      <c r="C3887" t="s">
        <v>974</v>
      </c>
      <c r="D3887" t="s">
        <v>965</v>
      </c>
      <c r="E3887" t="s">
        <v>624</v>
      </c>
      <c r="F3887" t="s">
        <v>625</v>
      </c>
      <c r="G3887" t="s">
        <v>752</v>
      </c>
      <c r="H3887">
        <v>43</v>
      </c>
      <c r="I3887">
        <v>67.883700000000005</v>
      </c>
      <c r="J3887">
        <v>77.372100000000003</v>
      </c>
      <c r="K3887">
        <v>9.4883699999999997</v>
      </c>
      <c r="L3887">
        <v>26</v>
      </c>
      <c r="M3887">
        <v>4</v>
      </c>
      <c r="N3887">
        <v>13</v>
      </c>
      <c r="O3887">
        <v>75.302599999999998</v>
      </c>
      <c r="P3887">
        <v>14.486499999999999</v>
      </c>
      <c r="Q3887">
        <v>14.354799999999999</v>
      </c>
    </row>
    <row r="3888" spans="1:17" x14ac:dyDescent="0.25">
      <c r="A3888" t="str">
        <f>IF(C3888&amp;G3888&amp;D3888&lt;&gt;'Funnel setup'!$K$3&amp;'Funnel setup'!$K$4&amp;'Funnel setup'!$K$6,".",IF(A3887=".",1,A3887+1))</f>
        <v>.</v>
      </c>
      <c r="B3888" s="244" t="str">
        <f t="shared" si="60"/>
        <v>Total Hip ReplacementProviderTHE BERKSHIRE INDEPENDENT HOSPITAL (NVC02)EQ VAS</v>
      </c>
      <c r="C3888" t="s">
        <v>974</v>
      </c>
      <c r="D3888" t="s">
        <v>965</v>
      </c>
      <c r="E3888" t="s">
        <v>626</v>
      </c>
      <c r="F3888" t="s">
        <v>627</v>
      </c>
      <c r="G3888" t="s">
        <v>752</v>
      </c>
      <c r="H3888">
        <v>10</v>
      </c>
      <c r="I3888">
        <v>70</v>
      </c>
      <c r="J3888">
        <v>82</v>
      </c>
      <c r="K3888">
        <v>12</v>
      </c>
      <c r="L3888">
        <v>7</v>
      </c>
      <c r="M3888">
        <v>0</v>
      </c>
      <c r="N3888">
        <v>3</v>
      </c>
      <c r="O3888" t="s">
        <v>127</v>
      </c>
      <c r="P3888" t="s">
        <v>127</v>
      </c>
      <c r="Q3888" t="s">
        <v>127</v>
      </c>
    </row>
    <row r="3889" spans="1:17" x14ac:dyDescent="0.25">
      <c r="A3889" t="str">
        <f>IF(C3889&amp;G3889&amp;D3889&lt;&gt;'Funnel setup'!$K$3&amp;'Funnel setup'!$K$4&amp;'Funnel setup'!$K$6,".",IF(A3888=".",1,A3888+1))</f>
        <v>.</v>
      </c>
      <c r="B3889" s="244" t="str">
        <f t="shared" si="60"/>
        <v>Total Hip ReplacementProviderTHE CHERWELL HOSPITAL (NVC25)EQ VAS</v>
      </c>
      <c r="C3889" t="s">
        <v>974</v>
      </c>
      <c r="D3889" t="s">
        <v>965</v>
      </c>
      <c r="E3889" t="s">
        <v>628</v>
      </c>
      <c r="F3889" t="s">
        <v>629</v>
      </c>
      <c r="G3889" t="s">
        <v>752</v>
      </c>
      <c r="H3889">
        <v>199</v>
      </c>
      <c r="I3889">
        <v>66.412099999999995</v>
      </c>
      <c r="J3889">
        <v>79.185900000000004</v>
      </c>
      <c r="K3889">
        <v>12.773899999999999</v>
      </c>
      <c r="L3889">
        <v>135</v>
      </c>
      <c r="M3889">
        <v>24</v>
      </c>
      <c r="N3889">
        <v>40</v>
      </c>
      <c r="O3889">
        <v>75.778899999999993</v>
      </c>
      <c r="P3889">
        <v>14.9628</v>
      </c>
      <c r="Q3889">
        <v>15.3513</v>
      </c>
    </row>
    <row r="3890" spans="1:17" x14ac:dyDescent="0.25">
      <c r="A3890" t="str">
        <f>IF(C3890&amp;G3890&amp;D3890&lt;&gt;'Funnel setup'!$K$3&amp;'Funnel setup'!$K$4&amp;'Funnel setup'!$K$6,".",IF(A3889=".",1,A3889+1))</f>
        <v>.</v>
      </c>
      <c r="B3890" s="244" t="str">
        <f t="shared" si="60"/>
        <v>Total Hip ReplacementProviderTHE DUDLEY GROUP NHS FOUNDATION TRUST (RNA)EQ VAS</v>
      </c>
      <c r="C3890" t="s">
        <v>974</v>
      </c>
      <c r="D3890" t="s">
        <v>965</v>
      </c>
      <c r="E3890" t="s">
        <v>630</v>
      </c>
      <c r="F3890" t="s">
        <v>631</v>
      </c>
      <c r="G3890" t="s">
        <v>752</v>
      </c>
      <c r="H3890">
        <v>1</v>
      </c>
      <c r="I3890">
        <v>90</v>
      </c>
      <c r="J3890">
        <v>100</v>
      </c>
      <c r="K3890">
        <v>10</v>
      </c>
      <c r="L3890">
        <v>1</v>
      </c>
      <c r="M3890">
        <v>0</v>
      </c>
      <c r="N3890">
        <v>0</v>
      </c>
      <c r="O3890" t="s">
        <v>127</v>
      </c>
      <c r="P3890" t="s">
        <v>127</v>
      </c>
      <c r="Q3890" t="s">
        <v>127</v>
      </c>
    </row>
    <row r="3891" spans="1:17" x14ac:dyDescent="0.25">
      <c r="A3891" t="str">
        <f>IF(C3891&amp;G3891&amp;D3891&lt;&gt;'Funnel setup'!$K$3&amp;'Funnel setup'!$K$4&amp;'Funnel setup'!$K$6,".",IF(A3890=".",1,A3890+1))</f>
        <v>.</v>
      </c>
      <c r="B3891" s="244" t="str">
        <f t="shared" si="60"/>
        <v>Total Hip ReplacementProviderTHE HILLINGDON HOSPITALS NHS FOUNDATION TRUST (RAS)EQ VAS</v>
      </c>
      <c r="C3891" t="s">
        <v>974</v>
      </c>
      <c r="D3891" t="s">
        <v>965</v>
      </c>
      <c r="E3891" t="s">
        <v>632</v>
      </c>
      <c r="F3891" t="s">
        <v>633</v>
      </c>
      <c r="G3891" t="s">
        <v>752</v>
      </c>
      <c r="H3891">
        <v>65</v>
      </c>
      <c r="I3891">
        <v>64.907700000000006</v>
      </c>
      <c r="J3891">
        <v>74.584599999999995</v>
      </c>
      <c r="K3891">
        <v>9.6769200000000009</v>
      </c>
      <c r="L3891">
        <v>41</v>
      </c>
      <c r="M3891">
        <v>10</v>
      </c>
      <c r="N3891">
        <v>14</v>
      </c>
      <c r="O3891">
        <v>73.104200000000006</v>
      </c>
      <c r="P3891">
        <v>12.2881</v>
      </c>
      <c r="Q3891">
        <v>18.7072</v>
      </c>
    </row>
    <row r="3892" spans="1:17" x14ac:dyDescent="0.25">
      <c r="A3892" t="str">
        <f>IF(C3892&amp;G3892&amp;D3892&lt;&gt;'Funnel setup'!$K$3&amp;'Funnel setup'!$K$4&amp;'Funnel setup'!$K$6,".",IF(A3891=".",1,A3891+1))</f>
        <v>.</v>
      </c>
      <c r="B3892" s="244" t="str">
        <f t="shared" si="60"/>
        <v>Total Hip ReplacementProviderTHE HORDER CENTRE - ST JOHNS ROAD (NXM01)EQ VAS</v>
      </c>
      <c r="C3892" t="s">
        <v>974</v>
      </c>
      <c r="D3892" t="s">
        <v>965</v>
      </c>
      <c r="E3892" t="s">
        <v>634</v>
      </c>
      <c r="F3892" t="s">
        <v>635</v>
      </c>
      <c r="G3892" t="s">
        <v>752</v>
      </c>
      <c r="H3892">
        <v>245</v>
      </c>
      <c r="I3892">
        <v>66.4816</v>
      </c>
      <c r="J3892">
        <v>78.857100000000003</v>
      </c>
      <c r="K3892">
        <v>12.375500000000001</v>
      </c>
      <c r="L3892">
        <v>160</v>
      </c>
      <c r="M3892">
        <v>23</v>
      </c>
      <c r="N3892">
        <v>62</v>
      </c>
      <c r="O3892">
        <v>75.584800000000001</v>
      </c>
      <c r="P3892">
        <v>14.768700000000001</v>
      </c>
      <c r="Q3892">
        <v>15.4786</v>
      </c>
    </row>
    <row r="3893" spans="1:17" x14ac:dyDescent="0.25">
      <c r="A3893" t="str">
        <f>IF(C3893&amp;G3893&amp;D3893&lt;&gt;'Funnel setup'!$K$3&amp;'Funnel setup'!$K$4&amp;'Funnel setup'!$K$6,".",IF(A3892=".",1,A3892+1))</f>
        <v>.</v>
      </c>
      <c r="B3893" s="244" t="str">
        <f t="shared" si="60"/>
        <v>Total Hip ReplacementProviderTHE NEWCASTLE UPON TYNE HOSPITALS NHS FOUNDATION TRUST (RTD)EQ VAS</v>
      </c>
      <c r="C3893" t="s">
        <v>974</v>
      </c>
      <c r="D3893" t="s">
        <v>965</v>
      </c>
      <c r="E3893" t="s">
        <v>638</v>
      </c>
      <c r="F3893" t="s">
        <v>639</v>
      </c>
      <c r="G3893" t="s">
        <v>752</v>
      </c>
      <c r="H3893">
        <v>39</v>
      </c>
      <c r="I3893">
        <v>58.384599999999999</v>
      </c>
      <c r="J3893">
        <v>68.948700000000002</v>
      </c>
      <c r="K3893">
        <v>10.5641</v>
      </c>
      <c r="L3893">
        <v>25</v>
      </c>
      <c r="M3893">
        <v>4</v>
      </c>
      <c r="N3893">
        <v>10</v>
      </c>
      <c r="O3893">
        <v>72.929299999999998</v>
      </c>
      <c r="P3893">
        <v>12.113200000000001</v>
      </c>
      <c r="Q3893">
        <v>14.3491</v>
      </c>
    </row>
    <row r="3894" spans="1:17" x14ac:dyDescent="0.25">
      <c r="A3894" t="str">
        <f>IF(C3894&amp;G3894&amp;D3894&lt;&gt;'Funnel setup'!$K$3&amp;'Funnel setup'!$K$4&amp;'Funnel setup'!$K$6,".",IF(A3893=".",1,A3893+1))</f>
        <v>.</v>
      </c>
      <c r="B3894" s="244" t="str">
        <f t="shared" si="60"/>
        <v>Total Hip ReplacementProviderTHE PRINCESS ALEXANDRA HOSPITAL NHS TRUST (RQW)EQ VAS</v>
      </c>
      <c r="C3894" t="s">
        <v>974</v>
      </c>
      <c r="D3894" t="s">
        <v>965</v>
      </c>
      <c r="E3894" t="s">
        <v>640</v>
      </c>
      <c r="F3894" t="s">
        <v>641</v>
      </c>
      <c r="G3894" t="s">
        <v>752</v>
      </c>
      <c r="H3894">
        <v>22</v>
      </c>
      <c r="I3894">
        <v>53.090899999999998</v>
      </c>
      <c r="J3894">
        <v>67.136399999999995</v>
      </c>
      <c r="K3894">
        <v>14.045500000000001</v>
      </c>
      <c r="L3894">
        <v>14</v>
      </c>
      <c r="M3894">
        <v>1</v>
      </c>
      <c r="N3894">
        <v>7</v>
      </c>
      <c r="O3894" t="s">
        <v>127</v>
      </c>
      <c r="P3894" t="s">
        <v>127</v>
      </c>
      <c r="Q3894" t="s">
        <v>127</v>
      </c>
    </row>
    <row r="3895" spans="1:17" x14ac:dyDescent="0.25">
      <c r="A3895" t="str">
        <f>IF(C3895&amp;G3895&amp;D3895&lt;&gt;'Funnel setup'!$K$3&amp;'Funnel setup'!$K$4&amp;'Funnel setup'!$K$6,".",IF(A3894=".",1,A3894+1))</f>
        <v>.</v>
      </c>
      <c r="B3895" s="244" t="str">
        <f t="shared" si="60"/>
        <v>Total Hip ReplacementProviderTHE QUEEN ELIZABETH HOSPITAL, KING'S LYNN, NHS FOUNDATION TRUST (RCX)EQ VAS</v>
      </c>
      <c r="C3895" t="s">
        <v>974</v>
      </c>
      <c r="D3895" t="s">
        <v>965</v>
      </c>
      <c r="E3895" t="s">
        <v>644</v>
      </c>
      <c r="F3895" t="s">
        <v>645</v>
      </c>
      <c r="G3895" t="s">
        <v>752</v>
      </c>
      <c r="H3895">
        <v>65</v>
      </c>
      <c r="I3895">
        <v>58.153799999999997</v>
      </c>
      <c r="J3895">
        <v>76.5077</v>
      </c>
      <c r="K3895">
        <v>18.3538</v>
      </c>
      <c r="L3895">
        <v>49</v>
      </c>
      <c r="M3895">
        <v>4</v>
      </c>
      <c r="N3895">
        <v>12</v>
      </c>
      <c r="O3895">
        <v>78.523300000000006</v>
      </c>
      <c r="P3895">
        <v>17.7072</v>
      </c>
      <c r="Q3895">
        <v>15.8748</v>
      </c>
    </row>
    <row r="3896" spans="1:17" x14ac:dyDescent="0.25">
      <c r="A3896" t="str">
        <f>IF(C3896&amp;G3896&amp;D3896&lt;&gt;'Funnel setup'!$K$3&amp;'Funnel setup'!$K$4&amp;'Funnel setup'!$K$6,".",IF(A3895=".",1,A3895+1))</f>
        <v>.</v>
      </c>
      <c r="B3896" s="244" t="str">
        <f t="shared" si="60"/>
        <v>Total Hip ReplacementProviderTHE ROBERT JONES AND AGNES HUNT ORTHOPAEDIC HOSPITAL NHS FOUNDATION TRUST (RL1)EQ VAS</v>
      </c>
      <c r="C3896" t="s">
        <v>974</v>
      </c>
      <c r="D3896" t="s">
        <v>965</v>
      </c>
      <c r="E3896" t="s">
        <v>646</v>
      </c>
      <c r="F3896" t="s">
        <v>647</v>
      </c>
      <c r="G3896" t="s">
        <v>752</v>
      </c>
      <c r="H3896">
        <v>349</v>
      </c>
      <c r="I3896">
        <v>54.822299999999998</v>
      </c>
      <c r="J3896">
        <v>77.280799999999999</v>
      </c>
      <c r="K3896">
        <v>22.458500000000001</v>
      </c>
      <c r="L3896">
        <v>268</v>
      </c>
      <c r="M3896">
        <v>30</v>
      </c>
      <c r="N3896">
        <v>51</v>
      </c>
      <c r="O3896">
        <v>79.249399999999994</v>
      </c>
      <c r="P3896">
        <v>18.433299999999999</v>
      </c>
      <c r="Q3896">
        <v>15.0975</v>
      </c>
    </row>
    <row r="3897" spans="1:17" x14ac:dyDescent="0.25">
      <c r="A3897" t="str">
        <f>IF(C3897&amp;G3897&amp;D3897&lt;&gt;'Funnel setup'!$K$3&amp;'Funnel setup'!$K$4&amp;'Funnel setup'!$K$6,".",IF(A3896=".",1,A3896+1))</f>
        <v>.</v>
      </c>
      <c r="B3897" s="244" t="str">
        <f t="shared" si="60"/>
        <v>Total Hip ReplacementProviderTHE ROTHERHAM NHS FOUNDATION TRUST (RFR)EQ VAS</v>
      </c>
      <c r="C3897" t="s">
        <v>974</v>
      </c>
      <c r="D3897" t="s">
        <v>965</v>
      </c>
      <c r="E3897" t="s">
        <v>648</v>
      </c>
      <c r="F3897" t="s">
        <v>649</v>
      </c>
      <c r="G3897" t="s">
        <v>752</v>
      </c>
      <c r="H3897">
        <v>17</v>
      </c>
      <c r="I3897">
        <v>51.2941</v>
      </c>
      <c r="J3897">
        <v>74.176500000000004</v>
      </c>
      <c r="K3897">
        <v>22.882400000000001</v>
      </c>
      <c r="L3897">
        <v>13</v>
      </c>
      <c r="M3897">
        <v>0</v>
      </c>
      <c r="N3897">
        <v>4</v>
      </c>
      <c r="O3897" t="s">
        <v>127</v>
      </c>
      <c r="P3897" t="s">
        <v>127</v>
      </c>
      <c r="Q3897" t="s">
        <v>127</v>
      </c>
    </row>
    <row r="3898" spans="1:17" x14ac:dyDescent="0.25">
      <c r="A3898" t="str">
        <f>IF(C3898&amp;G3898&amp;D3898&lt;&gt;'Funnel setup'!$K$3&amp;'Funnel setup'!$K$4&amp;'Funnel setup'!$K$6,".",IF(A3897=".",1,A3897+1))</f>
        <v>.</v>
      </c>
      <c r="B3898" s="244" t="str">
        <f t="shared" si="60"/>
        <v>Total Hip ReplacementProviderTHE ROYAL ORTHOPAEDIC HOSPITAL NHS FOUNDATION TRUST (RRJ)EQ VAS</v>
      </c>
      <c r="C3898" t="s">
        <v>974</v>
      </c>
      <c r="D3898" t="s">
        <v>965</v>
      </c>
      <c r="E3898" t="s">
        <v>652</v>
      </c>
      <c r="F3898" t="s">
        <v>653</v>
      </c>
      <c r="G3898" t="s">
        <v>752</v>
      </c>
      <c r="H3898">
        <v>579</v>
      </c>
      <c r="I3898">
        <v>62.806600000000003</v>
      </c>
      <c r="J3898">
        <v>75.858400000000003</v>
      </c>
      <c r="K3898">
        <v>13.0518</v>
      </c>
      <c r="L3898">
        <v>399</v>
      </c>
      <c r="M3898">
        <v>48</v>
      </c>
      <c r="N3898">
        <v>132</v>
      </c>
      <c r="O3898">
        <v>75.228200000000001</v>
      </c>
      <c r="P3898">
        <v>14.412100000000001</v>
      </c>
      <c r="Q3898">
        <v>17.959900000000001</v>
      </c>
    </row>
    <row r="3899" spans="1:17" x14ac:dyDescent="0.25">
      <c r="A3899" t="str">
        <f>IF(C3899&amp;G3899&amp;D3899&lt;&gt;'Funnel setup'!$K$3&amp;'Funnel setup'!$K$4&amp;'Funnel setup'!$K$6,".",IF(A3898=".",1,A3898+1))</f>
        <v>.</v>
      </c>
      <c r="B3899" s="244" t="str">
        <f t="shared" si="60"/>
        <v>Total Hip ReplacementProviderTHE ROYAL WOLVERHAMPTON NHS TRUST (RL4)EQ VAS</v>
      </c>
      <c r="C3899" t="s">
        <v>974</v>
      </c>
      <c r="D3899" t="s">
        <v>965</v>
      </c>
      <c r="E3899" t="s">
        <v>654</v>
      </c>
      <c r="F3899" t="s">
        <v>655</v>
      </c>
      <c r="G3899" t="s">
        <v>752</v>
      </c>
      <c r="H3899">
        <v>17</v>
      </c>
      <c r="I3899">
        <v>59.411799999999999</v>
      </c>
      <c r="J3899">
        <v>77.117599999999996</v>
      </c>
      <c r="K3899">
        <v>17.7059</v>
      </c>
      <c r="L3899">
        <v>12</v>
      </c>
      <c r="M3899">
        <v>1</v>
      </c>
      <c r="N3899">
        <v>4</v>
      </c>
      <c r="O3899" t="s">
        <v>127</v>
      </c>
      <c r="P3899" t="s">
        <v>127</v>
      </c>
      <c r="Q3899" t="s">
        <v>127</v>
      </c>
    </row>
    <row r="3900" spans="1:17" x14ac:dyDescent="0.25">
      <c r="A3900" t="str">
        <f>IF(C3900&amp;G3900&amp;D3900&lt;&gt;'Funnel setup'!$K$3&amp;'Funnel setup'!$K$4&amp;'Funnel setup'!$K$6,".",IF(A3899=".",1,A3899+1))</f>
        <v>.</v>
      </c>
      <c r="B3900" s="244" t="str">
        <f t="shared" si="60"/>
        <v>Total Hip ReplacementProviderTHE SHREWSBURY AND TELFORD HOSPITAL NHS TRUST (RXW)EQ VAS</v>
      </c>
      <c r="C3900" t="s">
        <v>974</v>
      </c>
      <c r="D3900" t="s">
        <v>965</v>
      </c>
      <c r="E3900" t="s">
        <v>656</v>
      </c>
      <c r="F3900" t="s">
        <v>657</v>
      </c>
      <c r="G3900" t="s">
        <v>752</v>
      </c>
      <c r="H3900">
        <v>16</v>
      </c>
      <c r="I3900">
        <v>55.5</v>
      </c>
      <c r="J3900">
        <v>71.5</v>
      </c>
      <c r="K3900">
        <v>16</v>
      </c>
      <c r="L3900">
        <v>9</v>
      </c>
      <c r="M3900">
        <v>1</v>
      </c>
      <c r="N3900">
        <v>6</v>
      </c>
      <c r="O3900" t="s">
        <v>127</v>
      </c>
      <c r="P3900" t="s">
        <v>127</v>
      </c>
      <c r="Q3900" t="s">
        <v>127</v>
      </c>
    </row>
    <row r="3901" spans="1:17" x14ac:dyDescent="0.25">
      <c r="A3901" t="str">
        <f>IF(C3901&amp;G3901&amp;D3901&lt;&gt;'Funnel setup'!$K$3&amp;'Funnel setup'!$K$4&amp;'Funnel setup'!$K$6,".",IF(A3900=".",1,A3900+1))</f>
        <v>.</v>
      </c>
      <c r="B3901" s="244" t="str">
        <f t="shared" si="60"/>
        <v>Total Hip ReplacementProviderTHE YORKSHIRE CLINIC (NVC20)EQ VAS</v>
      </c>
      <c r="C3901" t="s">
        <v>974</v>
      </c>
      <c r="D3901" t="s">
        <v>965</v>
      </c>
      <c r="E3901" t="s">
        <v>662</v>
      </c>
      <c r="F3901" t="s">
        <v>663</v>
      </c>
      <c r="G3901" t="s">
        <v>752</v>
      </c>
      <c r="H3901">
        <v>64</v>
      </c>
      <c r="I3901">
        <v>59.734400000000001</v>
      </c>
      <c r="J3901">
        <v>79.5625</v>
      </c>
      <c r="K3901">
        <v>19.828099999999999</v>
      </c>
      <c r="L3901">
        <v>51</v>
      </c>
      <c r="M3901">
        <v>2</v>
      </c>
      <c r="N3901">
        <v>11</v>
      </c>
      <c r="O3901">
        <v>79.091700000000003</v>
      </c>
      <c r="P3901">
        <v>18.275600000000001</v>
      </c>
      <c r="Q3901">
        <v>16.116499999999998</v>
      </c>
    </row>
    <row r="3902" spans="1:17" x14ac:dyDescent="0.25">
      <c r="A3902" t="str">
        <f>IF(C3902&amp;G3902&amp;D3902&lt;&gt;'Funnel setup'!$K$3&amp;'Funnel setup'!$K$4&amp;'Funnel setup'!$K$6,".",IF(A3901=".",1,A3901+1))</f>
        <v>.</v>
      </c>
      <c r="B3902" s="244" t="str">
        <f t="shared" si="60"/>
        <v>Total Hip ReplacementProviderTHORNBURY HOSPITAL (NT440)EQ VAS</v>
      </c>
      <c r="C3902" t="s">
        <v>974</v>
      </c>
      <c r="D3902" t="s">
        <v>965</v>
      </c>
      <c r="E3902" t="s">
        <v>664</v>
      </c>
      <c r="F3902" t="s">
        <v>665</v>
      </c>
      <c r="G3902" t="s">
        <v>752</v>
      </c>
      <c r="H3902">
        <v>3</v>
      </c>
      <c r="I3902">
        <v>56.666699999999999</v>
      </c>
      <c r="J3902">
        <v>72</v>
      </c>
      <c r="K3902">
        <v>15.333299999999999</v>
      </c>
      <c r="L3902">
        <v>2</v>
      </c>
      <c r="M3902">
        <v>0</v>
      </c>
      <c r="N3902">
        <v>1</v>
      </c>
      <c r="O3902" t="s">
        <v>127</v>
      </c>
      <c r="P3902" t="s">
        <v>127</v>
      </c>
      <c r="Q3902" t="s">
        <v>127</v>
      </c>
    </row>
    <row r="3903" spans="1:17" x14ac:dyDescent="0.25">
      <c r="A3903" t="str">
        <f>IF(C3903&amp;G3903&amp;D3903&lt;&gt;'Funnel setup'!$K$3&amp;'Funnel setup'!$K$4&amp;'Funnel setup'!$K$6,".",IF(A3902=".",1,A3902+1))</f>
        <v>.</v>
      </c>
      <c r="B3903" s="244" t="str">
        <f t="shared" si="60"/>
        <v>Total Hip ReplacementProviderTHREE SHIRES HOSPITAL (NT441)EQ VAS</v>
      </c>
      <c r="C3903" t="s">
        <v>974</v>
      </c>
      <c r="D3903" t="s">
        <v>965</v>
      </c>
      <c r="E3903" t="s">
        <v>666</v>
      </c>
      <c r="F3903" t="s">
        <v>667</v>
      </c>
      <c r="G3903" t="s">
        <v>752</v>
      </c>
      <c r="H3903">
        <v>55</v>
      </c>
      <c r="I3903">
        <v>66.7273</v>
      </c>
      <c r="J3903">
        <v>83.290899999999993</v>
      </c>
      <c r="K3903">
        <v>16.563600000000001</v>
      </c>
      <c r="L3903">
        <v>42</v>
      </c>
      <c r="M3903">
        <v>2</v>
      </c>
      <c r="N3903">
        <v>11</v>
      </c>
      <c r="O3903">
        <v>77.882000000000005</v>
      </c>
      <c r="P3903">
        <v>17.065899999999999</v>
      </c>
      <c r="Q3903">
        <v>11.0886</v>
      </c>
    </row>
    <row r="3904" spans="1:17" x14ac:dyDescent="0.25">
      <c r="A3904" t="str">
        <f>IF(C3904&amp;G3904&amp;D3904&lt;&gt;'Funnel setup'!$K$3&amp;'Funnel setup'!$K$4&amp;'Funnel setup'!$K$6,".",IF(A3903=".",1,A3903+1))</f>
        <v>.</v>
      </c>
      <c r="B3904" s="244" t="str">
        <f t="shared" si="60"/>
        <v>Total Hip ReplacementProviderTORBAY AND SOUTH DEVON NHS FOUNDATION TRUST (RA9)EQ VAS</v>
      </c>
      <c r="C3904" t="s">
        <v>974</v>
      </c>
      <c r="D3904" t="s">
        <v>965</v>
      </c>
      <c r="E3904" t="s">
        <v>668</v>
      </c>
      <c r="F3904" t="s">
        <v>669</v>
      </c>
      <c r="G3904" t="s">
        <v>752</v>
      </c>
      <c r="H3904">
        <v>10</v>
      </c>
      <c r="I3904">
        <v>57</v>
      </c>
      <c r="J3904">
        <v>75.900000000000006</v>
      </c>
      <c r="K3904">
        <v>18.899999999999999</v>
      </c>
      <c r="L3904">
        <v>6</v>
      </c>
      <c r="M3904">
        <v>3</v>
      </c>
      <c r="N3904">
        <v>1</v>
      </c>
      <c r="O3904" t="s">
        <v>127</v>
      </c>
      <c r="P3904" t="s">
        <v>127</v>
      </c>
      <c r="Q3904" t="s">
        <v>127</v>
      </c>
    </row>
    <row r="3905" spans="1:17" x14ac:dyDescent="0.25">
      <c r="A3905" t="str">
        <f>IF(C3905&amp;G3905&amp;D3905&lt;&gt;'Funnel setup'!$K$3&amp;'Funnel setup'!$K$4&amp;'Funnel setup'!$K$6,".",IF(A3904=".",1,A3904+1))</f>
        <v>.</v>
      </c>
      <c r="B3905" s="244" t="str">
        <f t="shared" si="60"/>
        <v>Total Hip ReplacementProviderUNITED LINCOLNSHIRE HOSPITALS NHS TRUST (RWD)EQ VAS</v>
      </c>
      <c r="C3905" t="s">
        <v>974</v>
      </c>
      <c r="D3905" t="s">
        <v>965</v>
      </c>
      <c r="E3905" t="s">
        <v>672</v>
      </c>
      <c r="F3905" t="s">
        <v>673</v>
      </c>
      <c r="G3905" t="s">
        <v>752</v>
      </c>
      <c r="H3905">
        <v>20</v>
      </c>
      <c r="I3905">
        <v>58.95</v>
      </c>
      <c r="J3905">
        <v>75.05</v>
      </c>
      <c r="K3905">
        <v>16.100000000000001</v>
      </c>
      <c r="L3905">
        <v>13</v>
      </c>
      <c r="M3905">
        <v>0</v>
      </c>
      <c r="N3905">
        <v>7</v>
      </c>
      <c r="O3905" t="s">
        <v>127</v>
      </c>
      <c r="P3905" t="s">
        <v>127</v>
      </c>
      <c r="Q3905" t="s">
        <v>127</v>
      </c>
    </row>
    <row r="3906" spans="1:17" x14ac:dyDescent="0.25">
      <c r="A3906" t="str">
        <f>IF(C3906&amp;G3906&amp;D3906&lt;&gt;'Funnel setup'!$K$3&amp;'Funnel setup'!$K$4&amp;'Funnel setup'!$K$6,".",IF(A3905=".",1,A3905+1))</f>
        <v>.</v>
      </c>
      <c r="B3906" s="244" t="str">
        <f t="shared" ref="B3906:B3969" si="61">C3906&amp;D3906&amp;F3906&amp;G3906</f>
        <v>Total Hip ReplacementProviderUNIVERSITY COLLEGE LONDON HOSPITALS NHS FOUNDATION TRUST (RRV)EQ VAS</v>
      </c>
      <c r="C3906" t="s">
        <v>974</v>
      </c>
      <c r="D3906" t="s">
        <v>965</v>
      </c>
      <c r="E3906" t="s">
        <v>674</v>
      </c>
      <c r="F3906" t="s">
        <v>675</v>
      </c>
      <c r="G3906" t="s">
        <v>752</v>
      </c>
      <c r="H3906">
        <v>146</v>
      </c>
      <c r="I3906">
        <v>64.0822</v>
      </c>
      <c r="J3906">
        <v>76.869900000000001</v>
      </c>
      <c r="K3906">
        <v>12.787699999999999</v>
      </c>
      <c r="L3906">
        <v>101</v>
      </c>
      <c r="M3906">
        <v>14</v>
      </c>
      <c r="N3906">
        <v>31</v>
      </c>
      <c r="O3906">
        <v>75.634</v>
      </c>
      <c r="P3906">
        <v>14.8179</v>
      </c>
      <c r="Q3906">
        <v>15.603899999999999</v>
      </c>
    </row>
    <row r="3907" spans="1:17" x14ac:dyDescent="0.25">
      <c r="A3907" t="str">
        <f>IF(C3907&amp;G3907&amp;D3907&lt;&gt;'Funnel setup'!$K$3&amp;'Funnel setup'!$K$4&amp;'Funnel setup'!$K$6,".",IF(A3906=".",1,A3906+1))</f>
        <v>.</v>
      </c>
      <c r="B3907" s="244" t="str">
        <f t="shared" si="61"/>
        <v>Total Hip ReplacementProviderUNIVERSITY HOSPITAL SOUTHAMPTON NHS FOUNDATION TRUST (RHM)EQ VAS</v>
      </c>
      <c r="C3907" t="s">
        <v>974</v>
      </c>
      <c r="D3907" t="s">
        <v>965</v>
      </c>
      <c r="E3907" t="s">
        <v>676</v>
      </c>
      <c r="F3907" t="s">
        <v>677</v>
      </c>
      <c r="G3907" t="s">
        <v>752</v>
      </c>
      <c r="H3907">
        <v>101</v>
      </c>
      <c r="I3907">
        <v>57.217799999999997</v>
      </c>
      <c r="J3907">
        <v>69.900999999999996</v>
      </c>
      <c r="K3907">
        <v>12.683199999999999</v>
      </c>
      <c r="L3907">
        <v>64</v>
      </c>
      <c r="M3907">
        <v>10</v>
      </c>
      <c r="N3907">
        <v>27</v>
      </c>
      <c r="O3907">
        <v>73.193700000000007</v>
      </c>
      <c r="P3907">
        <v>12.377599999999999</v>
      </c>
      <c r="Q3907">
        <v>18.4574</v>
      </c>
    </row>
    <row r="3908" spans="1:17" x14ac:dyDescent="0.25">
      <c r="A3908" t="str">
        <f>IF(C3908&amp;G3908&amp;D3908&lt;&gt;'Funnel setup'!$K$3&amp;'Funnel setup'!$K$4&amp;'Funnel setup'!$K$6,".",IF(A3907=".",1,A3907+1))</f>
        <v>.</v>
      </c>
      <c r="B3908" s="244" t="str">
        <f t="shared" si="61"/>
        <v>Total Hip ReplacementProviderUNIVERSITY HOSPITALS BRISTOL AND WESTON NHS FOUNDATION TRUST (RA7)EQ VAS</v>
      </c>
      <c r="C3908" t="s">
        <v>974</v>
      </c>
      <c r="D3908" t="s">
        <v>965</v>
      </c>
      <c r="E3908" t="s">
        <v>680</v>
      </c>
      <c r="F3908" t="s">
        <v>681</v>
      </c>
      <c r="G3908" t="s">
        <v>752</v>
      </c>
      <c r="H3908">
        <v>17</v>
      </c>
      <c r="I3908">
        <v>47.421100000000003</v>
      </c>
      <c r="J3908">
        <v>69.842100000000002</v>
      </c>
      <c r="K3908">
        <v>22.421099999999999</v>
      </c>
      <c r="L3908">
        <v>12</v>
      </c>
      <c r="M3908">
        <v>3</v>
      </c>
      <c r="N3908">
        <v>2</v>
      </c>
      <c r="O3908" t="s">
        <v>127</v>
      </c>
      <c r="P3908" t="s">
        <v>127</v>
      </c>
      <c r="Q3908" t="s">
        <v>127</v>
      </c>
    </row>
    <row r="3909" spans="1:17" x14ac:dyDescent="0.25">
      <c r="A3909" t="str">
        <f>IF(C3909&amp;G3909&amp;D3909&lt;&gt;'Funnel setup'!$K$3&amp;'Funnel setup'!$K$4&amp;'Funnel setup'!$K$6,".",IF(A3908=".",1,A3908+1))</f>
        <v>.</v>
      </c>
      <c r="B3909" s="244" t="str">
        <f t="shared" si="61"/>
        <v>Total Hip ReplacementProviderUNIVERSITY HOSPITALS COVENTRY AND WARWICKSHIRE NHS TRUST (RKB)EQ VAS</v>
      </c>
      <c r="C3909" t="s">
        <v>974</v>
      </c>
      <c r="D3909" t="s">
        <v>965</v>
      </c>
      <c r="E3909" t="s">
        <v>682</v>
      </c>
      <c r="F3909" t="s">
        <v>683</v>
      </c>
      <c r="G3909" t="s">
        <v>752</v>
      </c>
      <c r="H3909">
        <v>26</v>
      </c>
      <c r="I3909">
        <v>63.115400000000001</v>
      </c>
      <c r="J3909">
        <v>76.576899999999995</v>
      </c>
      <c r="K3909">
        <v>13.461499999999999</v>
      </c>
      <c r="L3909">
        <v>21</v>
      </c>
      <c r="M3909">
        <v>0</v>
      </c>
      <c r="N3909">
        <v>5</v>
      </c>
      <c r="O3909" t="s">
        <v>127</v>
      </c>
      <c r="P3909" t="s">
        <v>127</v>
      </c>
      <c r="Q3909" t="s">
        <v>127</v>
      </c>
    </row>
    <row r="3910" spans="1:17" x14ac:dyDescent="0.25">
      <c r="A3910" t="str">
        <f>IF(C3910&amp;G3910&amp;D3910&lt;&gt;'Funnel setup'!$K$3&amp;'Funnel setup'!$K$4&amp;'Funnel setup'!$K$6,".",IF(A3909=".",1,A3909+1))</f>
        <v>.</v>
      </c>
      <c r="B3910" s="244" t="str">
        <f t="shared" si="61"/>
        <v>Total Hip ReplacementProviderUNIVERSITY HOSPITAL DORSET NHS FUNDATION TRUST (R0D)EQ VAS</v>
      </c>
      <c r="C3910" t="s">
        <v>974</v>
      </c>
      <c r="D3910" t="s">
        <v>965</v>
      </c>
      <c r="E3910" t="s">
        <v>684</v>
      </c>
      <c r="F3910" t="s">
        <v>966</v>
      </c>
      <c r="G3910" t="s">
        <v>752</v>
      </c>
      <c r="H3910">
        <v>216</v>
      </c>
      <c r="I3910">
        <v>65.731499999999997</v>
      </c>
      <c r="J3910">
        <v>77.277799999999999</v>
      </c>
      <c r="K3910">
        <v>11.5463</v>
      </c>
      <c r="L3910">
        <v>154</v>
      </c>
      <c r="M3910">
        <v>18</v>
      </c>
      <c r="N3910">
        <v>44</v>
      </c>
      <c r="O3910">
        <v>75.580799999999996</v>
      </c>
      <c r="P3910">
        <v>14.764699999999999</v>
      </c>
      <c r="Q3910">
        <v>15.361000000000001</v>
      </c>
    </row>
    <row r="3911" spans="1:17" x14ac:dyDescent="0.25">
      <c r="A3911" t="str">
        <f>IF(C3911&amp;G3911&amp;D3911&lt;&gt;'Funnel setup'!$K$3&amp;'Funnel setup'!$K$4&amp;'Funnel setup'!$K$6,".",IF(A3910=".",1,A3910+1))</f>
        <v>.</v>
      </c>
      <c r="B3911" s="244" t="str">
        <f t="shared" si="61"/>
        <v>Total Hip ReplacementProviderUNIVERSITY HOSPITALS OF DERBY AND BURTON NHS FOUNDATION TRUST (RTG)EQ VAS</v>
      </c>
      <c r="C3911" t="s">
        <v>974</v>
      </c>
      <c r="D3911" t="s">
        <v>965</v>
      </c>
      <c r="E3911" t="s">
        <v>686</v>
      </c>
      <c r="F3911" t="s">
        <v>687</v>
      </c>
      <c r="G3911" t="s">
        <v>752</v>
      </c>
      <c r="H3911">
        <v>336</v>
      </c>
      <c r="I3911">
        <v>55.1815</v>
      </c>
      <c r="J3911">
        <v>73.217299999999994</v>
      </c>
      <c r="K3911">
        <v>18.035699999999999</v>
      </c>
      <c r="L3911">
        <v>233</v>
      </c>
      <c r="M3911">
        <v>28</v>
      </c>
      <c r="N3911">
        <v>75</v>
      </c>
      <c r="O3911">
        <v>75.595200000000006</v>
      </c>
      <c r="P3911">
        <v>14.7791</v>
      </c>
      <c r="Q3911">
        <v>17.0093</v>
      </c>
    </row>
    <row r="3912" spans="1:17" x14ac:dyDescent="0.25">
      <c r="A3912" t="str">
        <f>IF(C3912&amp;G3912&amp;D3912&lt;&gt;'Funnel setup'!$K$3&amp;'Funnel setup'!$K$4&amp;'Funnel setup'!$K$6,".",IF(A3911=".",1,A3911+1))</f>
        <v>.</v>
      </c>
      <c r="B3912" s="244" t="str">
        <f t="shared" si="61"/>
        <v>Total Hip ReplacementProviderUNIVERSITY HOSPITALS OF LEICESTER NHS TRUST (RWE)EQ VAS</v>
      </c>
      <c r="C3912" t="s">
        <v>974</v>
      </c>
      <c r="D3912" t="s">
        <v>965</v>
      </c>
      <c r="E3912" t="s">
        <v>688</v>
      </c>
      <c r="F3912" t="s">
        <v>689</v>
      </c>
      <c r="G3912" t="s">
        <v>752</v>
      </c>
      <c r="H3912">
        <v>116</v>
      </c>
      <c r="I3912">
        <v>54.577599999999997</v>
      </c>
      <c r="J3912">
        <v>70.870699999999999</v>
      </c>
      <c r="K3912">
        <v>16.293099999999999</v>
      </c>
      <c r="L3912">
        <v>86</v>
      </c>
      <c r="M3912">
        <v>5</v>
      </c>
      <c r="N3912">
        <v>25</v>
      </c>
      <c r="O3912">
        <v>74.927999999999997</v>
      </c>
      <c r="P3912">
        <v>14.1119</v>
      </c>
      <c r="Q3912">
        <v>15.2738</v>
      </c>
    </row>
    <row r="3913" spans="1:17" x14ac:dyDescent="0.25">
      <c r="A3913" t="str">
        <f>IF(C3913&amp;G3913&amp;D3913&lt;&gt;'Funnel setup'!$K$3&amp;'Funnel setup'!$K$4&amp;'Funnel setup'!$K$6,".",IF(A3912=".",1,A3912+1))</f>
        <v>.</v>
      </c>
      <c r="B3913" s="244" t="str">
        <f t="shared" si="61"/>
        <v>Total Hip ReplacementProviderUNIVERSITY HOSPITALS OF MORECAMBE BAY NHS FOUNDATION TRUST (RTX)EQ VAS</v>
      </c>
      <c r="C3913" t="s">
        <v>974</v>
      </c>
      <c r="D3913" t="s">
        <v>965</v>
      </c>
      <c r="E3913" t="s">
        <v>690</v>
      </c>
      <c r="F3913" t="s">
        <v>691</v>
      </c>
      <c r="G3913" t="s">
        <v>752</v>
      </c>
      <c r="H3913">
        <v>173</v>
      </c>
      <c r="I3913">
        <v>59.173400000000001</v>
      </c>
      <c r="J3913">
        <v>75.283199999999994</v>
      </c>
      <c r="K3913">
        <v>16.1098</v>
      </c>
      <c r="L3913">
        <v>119</v>
      </c>
      <c r="M3913">
        <v>13</v>
      </c>
      <c r="N3913">
        <v>41</v>
      </c>
      <c r="O3913">
        <v>75.300799999999995</v>
      </c>
      <c r="P3913">
        <v>14.4847</v>
      </c>
      <c r="Q3913">
        <v>16.0945</v>
      </c>
    </row>
    <row r="3914" spans="1:17" x14ac:dyDescent="0.25">
      <c r="A3914" t="str">
        <f>IF(C3914&amp;G3914&amp;D3914&lt;&gt;'Funnel setup'!$K$3&amp;'Funnel setup'!$K$4&amp;'Funnel setup'!$K$6,".",IF(A3913=".",1,A3913+1))</f>
        <v>.</v>
      </c>
      <c r="B3914" s="244" t="str">
        <f t="shared" si="61"/>
        <v>Total Hip ReplacementProviderUNIVERSITY HOSPITALS OF NORTH MIDLANDS NHS TRUST (RJE)EQ VAS</v>
      </c>
      <c r="C3914" t="s">
        <v>974</v>
      </c>
      <c r="D3914" t="s">
        <v>965</v>
      </c>
      <c r="E3914" t="s">
        <v>692</v>
      </c>
      <c r="F3914" t="s">
        <v>693</v>
      </c>
      <c r="G3914" t="s">
        <v>752</v>
      </c>
      <c r="H3914">
        <v>28</v>
      </c>
      <c r="I3914">
        <v>58.428600000000003</v>
      </c>
      <c r="J3914">
        <v>77.607100000000003</v>
      </c>
      <c r="K3914">
        <v>19.178599999999999</v>
      </c>
      <c r="L3914">
        <v>22</v>
      </c>
      <c r="M3914">
        <v>2</v>
      </c>
      <c r="N3914">
        <v>4</v>
      </c>
      <c r="O3914" t="s">
        <v>127</v>
      </c>
      <c r="P3914" t="s">
        <v>127</v>
      </c>
      <c r="Q3914" t="s">
        <v>127</v>
      </c>
    </row>
    <row r="3915" spans="1:17" x14ac:dyDescent="0.25">
      <c r="A3915" t="str">
        <f>IF(C3915&amp;G3915&amp;D3915&lt;&gt;'Funnel setup'!$K$3&amp;'Funnel setup'!$K$4&amp;'Funnel setup'!$K$6,".",IF(A3914=".",1,A3914+1))</f>
        <v>.</v>
      </c>
      <c r="B3915" s="244" t="str">
        <f t="shared" si="61"/>
        <v>Total Hip ReplacementProviderUNIVERSITY HOSPITALS PLYMOUTH NHS TRUST (RK9)EQ VAS</v>
      </c>
      <c r="C3915" t="s">
        <v>974</v>
      </c>
      <c r="D3915" t="s">
        <v>965</v>
      </c>
      <c r="E3915" t="s">
        <v>694</v>
      </c>
      <c r="F3915" t="s">
        <v>695</v>
      </c>
      <c r="G3915" t="s">
        <v>752</v>
      </c>
      <c r="H3915">
        <v>6</v>
      </c>
      <c r="I3915">
        <v>47.5</v>
      </c>
      <c r="J3915">
        <v>56.833300000000001</v>
      </c>
      <c r="K3915">
        <v>9.3333300000000001</v>
      </c>
      <c r="L3915">
        <v>2</v>
      </c>
      <c r="M3915">
        <v>2</v>
      </c>
      <c r="N3915">
        <v>2</v>
      </c>
      <c r="O3915" t="s">
        <v>127</v>
      </c>
      <c r="P3915" t="s">
        <v>127</v>
      </c>
      <c r="Q3915" t="s">
        <v>127</v>
      </c>
    </row>
    <row r="3916" spans="1:17" x14ac:dyDescent="0.25">
      <c r="A3916" t="str">
        <f>IF(C3916&amp;G3916&amp;D3916&lt;&gt;'Funnel setup'!$K$3&amp;'Funnel setup'!$K$4&amp;'Funnel setup'!$K$6,".",IF(A3915=".",1,A3915+1))</f>
        <v>.</v>
      </c>
      <c r="B3916" s="244" t="str">
        <f t="shared" si="61"/>
        <v>Total Hip ReplacementProviderUNIVERSITY HOSPITALS SUSSEX NHS FOUNDATION TRUST (RYR)EQ VAS</v>
      </c>
      <c r="C3916" t="s">
        <v>974</v>
      </c>
      <c r="D3916" t="s">
        <v>965</v>
      </c>
      <c r="E3916" t="s">
        <v>696</v>
      </c>
      <c r="F3916" t="s">
        <v>697</v>
      </c>
      <c r="G3916" t="s">
        <v>752</v>
      </c>
      <c r="H3916">
        <v>144</v>
      </c>
      <c r="I3916">
        <v>60.284700000000001</v>
      </c>
      <c r="J3916">
        <v>70.097200000000001</v>
      </c>
      <c r="K3916">
        <v>9.8125</v>
      </c>
      <c r="L3916">
        <v>87</v>
      </c>
      <c r="M3916">
        <v>14</v>
      </c>
      <c r="N3916">
        <v>43</v>
      </c>
      <c r="O3916">
        <v>71.176299999999998</v>
      </c>
      <c r="P3916">
        <v>10.360200000000001</v>
      </c>
      <c r="Q3916">
        <v>18.330300000000001</v>
      </c>
    </row>
    <row r="3917" spans="1:17" x14ac:dyDescent="0.25">
      <c r="A3917" t="str">
        <f>IF(C3917&amp;G3917&amp;D3917&lt;&gt;'Funnel setup'!$K$3&amp;'Funnel setup'!$K$4&amp;'Funnel setup'!$K$6,".",IF(A3916=".",1,A3916+1))</f>
        <v>.</v>
      </c>
      <c r="B3917" s="244" t="str">
        <f t="shared" si="61"/>
        <v>Total Hip ReplacementProviderWALSALL HEALTHCARE NHS TRUST (RBK)EQ VAS</v>
      </c>
      <c r="C3917" t="s">
        <v>974</v>
      </c>
      <c r="D3917" t="s">
        <v>965</v>
      </c>
      <c r="E3917" t="s">
        <v>698</v>
      </c>
      <c r="F3917" t="s">
        <v>699</v>
      </c>
      <c r="G3917" t="s">
        <v>752</v>
      </c>
      <c r="H3917">
        <v>13</v>
      </c>
      <c r="I3917">
        <v>64.923100000000005</v>
      </c>
      <c r="J3917">
        <v>66.615399999999994</v>
      </c>
      <c r="K3917">
        <v>1.69231</v>
      </c>
      <c r="L3917">
        <v>8</v>
      </c>
      <c r="M3917">
        <v>0</v>
      </c>
      <c r="N3917">
        <v>5</v>
      </c>
      <c r="O3917" t="s">
        <v>127</v>
      </c>
      <c r="P3917" t="s">
        <v>127</v>
      </c>
      <c r="Q3917" t="s">
        <v>127</v>
      </c>
    </row>
    <row r="3918" spans="1:17" x14ac:dyDescent="0.25">
      <c r="A3918" t="str">
        <f>IF(C3918&amp;G3918&amp;D3918&lt;&gt;'Funnel setup'!$K$3&amp;'Funnel setup'!$K$4&amp;'Funnel setup'!$K$6,".",IF(A3917=".",1,A3917+1))</f>
        <v>.</v>
      </c>
      <c r="B3918" s="244" t="str">
        <f t="shared" si="61"/>
        <v>Total Hip ReplacementProviderWARRINGTON AND HALTON TEACHING HOSPITALS NHS FOUNDATION TRUST (RWW)EQ VAS</v>
      </c>
      <c r="C3918" t="s">
        <v>974</v>
      </c>
      <c r="D3918" t="s">
        <v>965</v>
      </c>
      <c r="E3918" t="s">
        <v>700</v>
      </c>
      <c r="F3918" t="s">
        <v>701</v>
      </c>
      <c r="G3918" t="s">
        <v>752</v>
      </c>
      <c r="H3918">
        <v>29</v>
      </c>
      <c r="I3918">
        <v>56.103400000000001</v>
      </c>
      <c r="J3918">
        <v>76.551699999999997</v>
      </c>
      <c r="K3918">
        <v>20.4483</v>
      </c>
      <c r="L3918">
        <v>22</v>
      </c>
      <c r="M3918">
        <v>1</v>
      </c>
      <c r="N3918">
        <v>6</v>
      </c>
      <c r="O3918" t="s">
        <v>127</v>
      </c>
      <c r="P3918" t="s">
        <v>127</v>
      </c>
      <c r="Q3918" t="s">
        <v>127</v>
      </c>
    </row>
    <row r="3919" spans="1:17" x14ac:dyDescent="0.25">
      <c r="A3919" t="str">
        <f>IF(C3919&amp;G3919&amp;D3919&lt;&gt;'Funnel setup'!$K$3&amp;'Funnel setup'!$K$4&amp;'Funnel setup'!$K$6,".",IF(A3918=".",1,A3918+1))</f>
        <v>.</v>
      </c>
      <c r="B3919" s="244" t="str">
        <f t="shared" si="61"/>
        <v>Total Hip ReplacementProviderWEST HERTFORDSHIRE TEACHING HOSPITALS NHS TRUST (RWG)EQ VAS</v>
      </c>
      <c r="C3919" t="s">
        <v>974</v>
      </c>
      <c r="D3919" t="s">
        <v>965</v>
      </c>
      <c r="E3919" t="s">
        <v>702</v>
      </c>
      <c r="F3919" t="s">
        <v>703</v>
      </c>
      <c r="G3919" t="s">
        <v>752</v>
      </c>
      <c r="H3919">
        <v>85</v>
      </c>
      <c r="I3919">
        <v>56.788200000000003</v>
      </c>
      <c r="J3919">
        <v>75.023499999999999</v>
      </c>
      <c r="K3919">
        <v>18.235299999999999</v>
      </c>
      <c r="L3919">
        <v>66</v>
      </c>
      <c r="M3919">
        <v>3</v>
      </c>
      <c r="N3919">
        <v>16</v>
      </c>
      <c r="O3919">
        <v>75.614699999999999</v>
      </c>
      <c r="P3919">
        <v>14.7986</v>
      </c>
      <c r="Q3919">
        <v>19.090199999999999</v>
      </c>
    </row>
    <row r="3920" spans="1:17" x14ac:dyDescent="0.25">
      <c r="A3920" t="str">
        <f>IF(C3920&amp;G3920&amp;D3920&lt;&gt;'Funnel setup'!$K$3&amp;'Funnel setup'!$K$4&amp;'Funnel setup'!$K$6,".",IF(A3919=".",1,A3919+1))</f>
        <v>.</v>
      </c>
      <c r="B3920" s="244" t="str">
        <f t="shared" si="61"/>
        <v>Total Hip ReplacementProviderWEST MIDLANDS HOSPITAL (NVC21)EQ VAS</v>
      </c>
      <c r="C3920" t="s">
        <v>974</v>
      </c>
      <c r="D3920" t="s">
        <v>965</v>
      </c>
      <c r="E3920" t="s">
        <v>704</v>
      </c>
      <c r="F3920" t="s">
        <v>705</v>
      </c>
      <c r="G3920" t="s">
        <v>752</v>
      </c>
      <c r="H3920">
        <v>77</v>
      </c>
      <c r="I3920">
        <v>60.584400000000002</v>
      </c>
      <c r="J3920">
        <v>78.480500000000006</v>
      </c>
      <c r="K3920">
        <v>17.896100000000001</v>
      </c>
      <c r="L3920">
        <v>62</v>
      </c>
      <c r="M3920">
        <v>4</v>
      </c>
      <c r="N3920">
        <v>11</v>
      </c>
      <c r="O3920">
        <v>78.797799999999995</v>
      </c>
      <c r="P3920">
        <v>17.9817</v>
      </c>
      <c r="Q3920">
        <v>14.4307</v>
      </c>
    </row>
    <row r="3921" spans="1:17" x14ac:dyDescent="0.25">
      <c r="A3921" t="str">
        <f>IF(C3921&amp;G3921&amp;D3921&lt;&gt;'Funnel setup'!$K$3&amp;'Funnel setup'!$K$4&amp;'Funnel setup'!$K$6,".",IF(A3920=".",1,A3920+1))</f>
        <v>.</v>
      </c>
      <c r="B3921" s="244" t="str">
        <f t="shared" si="61"/>
        <v>Total Hip ReplacementProviderWEST SUFFOLK NHS FOUNDATION TRUST (RGR)EQ VAS</v>
      </c>
      <c r="C3921" t="s">
        <v>974</v>
      </c>
      <c r="D3921" t="s">
        <v>965</v>
      </c>
      <c r="E3921" t="s">
        <v>706</v>
      </c>
      <c r="F3921" t="s">
        <v>707</v>
      </c>
      <c r="G3921" t="s">
        <v>752</v>
      </c>
      <c r="H3921">
        <v>121</v>
      </c>
      <c r="I3921">
        <v>55.454500000000003</v>
      </c>
      <c r="J3921">
        <v>73.123999999999995</v>
      </c>
      <c r="K3921">
        <v>17.6694</v>
      </c>
      <c r="L3921">
        <v>79</v>
      </c>
      <c r="M3921">
        <v>11</v>
      </c>
      <c r="N3921">
        <v>31</v>
      </c>
      <c r="O3921">
        <v>73.158500000000004</v>
      </c>
      <c r="P3921">
        <v>12.3423</v>
      </c>
      <c r="Q3921">
        <v>18.7151</v>
      </c>
    </row>
    <row r="3922" spans="1:17" x14ac:dyDescent="0.25">
      <c r="A3922" t="str">
        <f>IF(C3922&amp;G3922&amp;D3922&lt;&gt;'Funnel setup'!$K$3&amp;'Funnel setup'!$K$4&amp;'Funnel setup'!$K$6,".",IF(A3921=".",1,A3921+1))</f>
        <v>.</v>
      </c>
      <c r="B3922" s="244" t="str">
        <f t="shared" si="61"/>
        <v>Total Hip ReplacementProviderWINFIELD HOSPITAL (NVC22)EQ VAS</v>
      </c>
      <c r="C3922" t="s">
        <v>974</v>
      </c>
      <c r="D3922" t="s">
        <v>965</v>
      </c>
      <c r="E3922" t="s">
        <v>710</v>
      </c>
      <c r="F3922" t="s">
        <v>711</v>
      </c>
      <c r="G3922" t="s">
        <v>752</v>
      </c>
      <c r="H3922">
        <v>45</v>
      </c>
      <c r="I3922">
        <v>56.444400000000002</v>
      </c>
      <c r="J3922">
        <v>76.755600000000001</v>
      </c>
      <c r="K3922">
        <v>20.3111</v>
      </c>
      <c r="L3922">
        <v>35</v>
      </c>
      <c r="M3922">
        <v>7</v>
      </c>
      <c r="N3922">
        <v>3</v>
      </c>
      <c r="O3922">
        <v>76.453199999999995</v>
      </c>
      <c r="P3922">
        <v>15.6371</v>
      </c>
      <c r="Q3922">
        <v>14.754200000000001</v>
      </c>
    </row>
    <row r="3923" spans="1:17" x14ac:dyDescent="0.25">
      <c r="A3923" t="str">
        <f>IF(C3923&amp;G3923&amp;D3923&lt;&gt;'Funnel setup'!$K$3&amp;'Funnel setup'!$K$4&amp;'Funnel setup'!$K$6,".",IF(A3922=".",1,A3922+1))</f>
        <v>.</v>
      </c>
      <c r="B3923" s="244" t="str">
        <f t="shared" si="61"/>
        <v>Total Hip ReplacementProviderWINTERBOURNE HOSPITAL (NT443)EQ VAS</v>
      </c>
      <c r="C3923" t="s">
        <v>974</v>
      </c>
      <c r="D3923" t="s">
        <v>965</v>
      </c>
      <c r="E3923" t="s">
        <v>712</v>
      </c>
      <c r="F3923" t="s">
        <v>713</v>
      </c>
      <c r="G3923" t="s">
        <v>752</v>
      </c>
      <c r="H3923">
        <v>46</v>
      </c>
      <c r="I3923">
        <v>63.912999999999997</v>
      </c>
      <c r="J3923">
        <v>81.347800000000007</v>
      </c>
      <c r="K3923">
        <v>17.434799999999999</v>
      </c>
      <c r="L3923">
        <v>36</v>
      </c>
      <c r="M3923">
        <v>4</v>
      </c>
      <c r="N3923">
        <v>6</v>
      </c>
      <c r="O3923">
        <v>79.0655</v>
      </c>
      <c r="P3923">
        <v>18.249400000000001</v>
      </c>
      <c r="Q3923">
        <v>15.833500000000001</v>
      </c>
    </row>
    <row r="3924" spans="1:17" x14ac:dyDescent="0.25">
      <c r="A3924" t="str">
        <f>IF(C3924&amp;G3924&amp;D3924&lt;&gt;'Funnel setup'!$K$3&amp;'Funnel setup'!$K$4&amp;'Funnel setup'!$K$6,".",IF(A3923=".",1,A3923+1))</f>
        <v>.</v>
      </c>
      <c r="B3924" s="244" t="str">
        <f t="shared" si="61"/>
        <v>Total Hip ReplacementProviderWIRRAL UNIVERSITY TEACHING HOSPITAL NHS FOUNDATION TRUST (RBL)EQ VAS</v>
      </c>
      <c r="C3924" t="s">
        <v>974</v>
      </c>
      <c r="D3924" t="s">
        <v>965</v>
      </c>
      <c r="E3924" t="s">
        <v>714</v>
      </c>
      <c r="F3924" t="s">
        <v>715</v>
      </c>
      <c r="G3924" t="s">
        <v>752</v>
      </c>
      <c r="H3924">
        <v>98</v>
      </c>
      <c r="I3924">
        <v>59.448999999999998</v>
      </c>
      <c r="J3924">
        <v>76.224500000000006</v>
      </c>
      <c r="K3924">
        <v>16.775500000000001</v>
      </c>
      <c r="L3924">
        <v>70</v>
      </c>
      <c r="M3924">
        <v>8</v>
      </c>
      <c r="N3924">
        <v>20</v>
      </c>
      <c r="O3924">
        <v>76.491799999999998</v>
      </c>
      <c r="P3924">
        <v>15.675700000000001</v>
      </c>
      <c r="Q3924">
        <v>15.3644</v>
      </c>
    </row>
    <row r="3925" spans="1:17" x14ac:dyDescent="0.25">
      <c r="A3925" t="str">
        <f>IF(C3925&amp;G3925&amp;D3925&lt;&gt;'Funnel setup'!$K$3&amp;'Funnel setup'!$K$4&amp;'Funnel setup'!$K$6,".",IF(A3924=".",1,A3924+1))</f>
        <v>.</v>
      </c>
      <c r="B3925" s="244" t="str">
        <f t="shared" si="61"/>
        <v>Total Hip ReplacementProviderWOODLAND HOSPITAL (NVC23)EQ VAS</v>
      </c>
      <c r="C3925" t="s">
        <v>974</v>
      </c>
      <c r="D3925" t="s">
        <v>965</v>
      </c>
      <c r="E3925" t="s">
        <v>716</v>
      </c>
      <c r="F3925" t="s">
        <v>717</v>
      </c>
      <c r="G3925" t="s">
        <v>752</v>
      </c>
      <c r="H3925">
        <v>75</v>
      </c>
      <c r="I3925">
        <v>57</v>
      </c>
      <c r="J3925">
        <v>74.368399999999994</v>
      </c>
      <c r="K3925">
        <v>17.368400000000001</v>
      </c>
      <c r="L3925">
        <v>55</v>
      </c>
      <c r="M3925">
        <v>7</v>
      </c>
      <c r="N3925">
        <v>13</v>
      </c>
      <c r="O3925">
        <v>73.871300000000005</v>
      </c>
      <c r="P3925">
        <v>13.055199999999999</v>
      </c>
      <c r="Q3925">
        <v>15.685700000000001</v>
      </c>
    </row>
    <row r="3926" spans="1:17" x14ac:dyDescent="0.25">
      <c r="A3926" t="str">
        <f>IF(C3926&amp;G3926&amp;D3926&lt;&gt;'Funnel setup'!$K$3&amp;'Funnel setup'!$K$4&amp;'Funnel setup'!$K$6,".",IF(A3925=".",1,A3925+1))</f>
        <v>.</v>
      </c>
      <c r="B3926" s="244" t="str">
        <f t="shared" si="61"/>
        <v>Total Hip ReplacementProviderWOODLANDS HOSPITAL (NT457)EQ VAS</v>
      </c>
      <c r="C3926" t="s">
        <v>974</v>
      </c>
      <c r="D3926" t="s">
        <v>965</v>
      </c>
      <c r="E3926" t="s">
        <v>718</v>
      </c>
      <c r="F3926" t="s">
        <v>719</v>
      </c>
      <c r="G3926" t="s">
        <v>752</v>
      </c>
      <c r="H3926">
        <v>66</v>
      </c>
      <c r="I3926">
        <v>64.044799999999995</v>
      </c>
      <c r="J3926">
        <v>78.985100000000003</v>
      </c>
      <c r="K3926">
        <v>14.940300000000001</v>
      </c>
      <c r="L3926">
        <v>43</v>
      </c>
      <c r="M3926">
        <v>10</v>
      </c>
      <c r="N3926">
        <v>13</v>
      </c>
      <c r="O3926">
        <v>74.2697</v>
      </c>
      <c r="P3926">
        <v>13.4536</v>
      </c>
      <c r="Q3926">
        <v>16.163599999999999</v>
      </c>
    </row>
    <row r="3927" spans="1:17" x14ac:dyDescent="0.25">
      <c r="A3927" t="str">
        <f>IF(C3927&amp;G3927&amp;D3927&lt;&gt;'Funnel setup'!$K$3&amp;'Funnel setup'!$K$4&amp;'Funnel setup'!$K$6,".",IF(A3926=".",1,A3926+1))</f>
        <v>.</v>
      </c>
      <c r="B3927" s="244" t="str">
        <f t="shared" si="61"/>
        <v>Total Hip ReplacementProviderWOODTHORPE HOSPITAL (NVC40)EQ VAS</v>
      </c>
      <c r="C3927" t="s">
        <v>974</v>
      </c>
      <c r="D3927" t="s">
        <v>965</v>
      </c>
      <c r="E3927" t="s">
        <v>720</v>
      </c>
      <c r="F3927" t="s">
        <v>721</v>
      </c>
      <c r="G3927" t="s">
        <v>752</v>
      </c>
      <c r="H3927">
        <v>87</v>
      </c>
      <c r="I3927">
        <v>57.264400000000002</v>
      </c>
      <c r="J3927">
        <v>74.206900000000005</v>
      </c>
      <c r="K3927">
        <v>16.942499999999999</v>
      </c>
      <c r="L3927">
        <v>65</v>
      </c>
      <c r="M3927">
        <v>8</v>
      </c>
      <c r="N3927">
        <v>14</v>
      </c>
      <c r="O3927">
        <v>73.058000000000007</v>
      </c>
      <c r="P3927">
        <v>12.241899999999999</v>
      </c>
      <c r="Q3927">
        <v>15.733499999999999</v>
      </c>
    </row>
    <row r="3928" spans="1:17" x14ac:dyDescent="0.25">
      <c r="A3928" t="str">
        <f>IF(C3928&amp;G3928&amp;D3928&lt;&gt;'Funnel setup'!$K$3&amp;'Funnel setup'!$K$4&amp;'Funnel setup'!$K$6,".",IF(A3927=".",1,A3927+1))</f>
        <v>.</v>
      </c>
      <c r="B3928" s="244" t="str">
        <f t="shared" si="61"/>
        <v>Total Hip ReplacementProviderWORCESTERSHIRE ACUTE HOSPITALS NHS TRUST (RWP)EQ VAS</v>
      </c>
      <c r="C3928" t="s">
        <v>974</v>
      </c>
      <c r="D3928" t="s">
        <v>965</v>
      </c>
      <c r="E3928" t="s">
        <v>722</v>
      </c>
      <c r="F3928" t="s">
        <v>723</v>
      </c>
      <c r="G3928" t="s">
        <v>752</v>
      </c>
      <c r="H3928">
        <v>56</v>
      </c>
      <c r="I3928">
        <v>56.071399999999997</v>
      </c>
      <c r="J3928">
        <v>70.803600000000003</v>
      </c>
      <c r="K3928">
        <v>14.732100000000001</v>
      </c>
      <c r="L3928">
        <v>38</v>
      </c>
      <c r="M3928">
        <v>5</v>
      </c>
      <c r="N3928">
        <v>13</v>
      </c>
      <c r="O3928">
        <v>75.4084</v>
      </c>
      <c r="P3928">
        <v>14.5923</v>
      </c>
      <c r="Q3928">
        <v>13.9674</v>
      </c>
    </row>
    <row r="3929" spans="1:17" x14ac:dyDescent="0.25">
      <c r="A3929" t="str">
        <f>IF(C3929&amp;G3929&amp;D3929&lt;&gt;'Funnel setup'!$K$3&amp;'Funnel setup'!$K$4&amp;'Funnel setup'!$K$6,".",IF(A3928=".",1,A3928+1))</f>
        <v>.</v>
      </c>
      <c r="B3929" s="244" t="str">
        <f t="shared" si="61"/>
        <v>Total Hip ReplacementProviderWRIGHTINGTON, WIGAN AND LEIGH NHS FOUNDATION TRUST (RRF)EQ VAS</v>
      </c>
      <c r="C3929" t="s">
        <v>974</v>
      </c>
      <c r="D3929" t="s">
        <v>965</v>
      </c>
      <c r="E3929" t="s">
        <v>724</v>
      </c>
      <c r="F3929" t="s">
        <v>725</v>
      </c>
      <c r="G3929" t="s">
        <v>752</v>
      </c>
      <c r="H3929">
        <v>11</v>
      </c>
      <c r="I3929">
        <v>62.909100000000002</v>
      </c>
      <c r="J3929">
        <v>83.363600000000005</v>
      </c>
      <c r="K3929">
        <v>20.454499999999999</v>
      </c>
      <c r="L3929">
        <v>7</v>
      </c>
      <c r="M3929">
        <v>1</v>
      </c>
      <c r="N3929">
        <v>3</v>
      </c>
      <c r="O3929" t="s">
        <v>127</v>
      </c>
      <c r="P3929" t="s">
        <v>127</v>
      </c>
      <c r="Q3929" t="s">
        <v>127</v>
      </c>
    </row>
    <row r="3930" spans="1:17" x14ac:dyDescent="0.25">
      <c r="A3930" t="str">
        <f>IF(C3930&amp;G3930&amp;D3930&lt;&gt;'Funnel setup'!$K$3&amp;'Funnel setup'!$K$4&amp;'Funnel setup'!$K$6,".",IF(A3929=".",1,A3929+1))</f>
        <v>.</v>
      </c>
      <c r="B3930" s="244" t="str">
        <f t="shared" si="61"/>
        <v>Total Hip ReplacementProviderWYE VALLEY NHS TRUST (RLQ)EQ VAS</v>
      </c>
      <c r="C3930" t="s">
        <v>974</v>
      </c>
      <c r="D3930" t="s">
        <v>965</v>
      </c>
      <c r="E3930" t="s">
        <v>726</v>
      </c>
      <c r="F3930" t="s">
        <v>727</v>
      </c>
      <c r="G3930" t="s">
        <v>752</v>
      </c>
      <c r="H3930">
        <v>20</v>
      </c>
      <c r="I3930">
        <v>54.45</v>
      </c>
      <c r="J3930">
        <v>76.8</v>
      </c>
      <c r="K3930">
        <v>22.35</v>
      </c>
      <c r="L3930">
        <v>17</v>
      </c>
      <c r="M3930">
        <v>3</v>
      </c>
      <c r="N3930">
        <v>0</v>
      </c>
      <c r="O3930" t="s">
        <v>127</v>
      </c>
      <c r="P3930" t="s">
        <v>127</v>
      </c>
      <c r="Q3930" t="s">
        <v>127</v>
      </c>
    </row>
    <row r="3931" spans="1:17" x14ac:dyDescent="0.25">
      <c r="A3931" t="str">
        <f>IF(C3931&amp;G3931&amp;D3931&lt;&gt;'Funnel setup'!$K$3&amp;'Funnel setup'!$K$4&amp;'Funnel setup'!$K$6,".",IF(A3930=".",1,A3930+1))</f>
        <v>.</v>
      </c>
      <c r="B3931" s="244" t="str">
        <f t="shared" si="61"/>
        <v>Total Hip ReplacementProviderYORK AND SCARBOROUGH TEACHING HOSPITALS NHS FOUNDATION TRUST (RCB)EQ VAS</v>
      </c>
      <c r="C3931" t="s">
        <v>974</v>
      </c>
      <c r="D3931" t="s">
        <v>965</v>
      </c>
      <c r="E3931" t="s">
        <v>730</v>
      </c>
      <c r="F3931" t="s">
        <v>731</v>
      </c>
      <c r="G3931" t="s">
        <v>752</v>
      </c>
      <c r="H3931">
        <v>1</v>
      </c>
      <c r="I3931">
        <v>70</v>
      </c>
      <c r="J3931">
        <v>70</v>
      </c>
      <c r="K3931">
        <v>0</v>
      </c>
      <c r="L3931">
        <v>0</v>
      </c>
      <c r="M3931">
        <v>1</v>
      </c>
      <c r="N3931">
        <v>0</v>
      </c>
      <c r="O3931" t="s">
        <v>127</v>
      </c>
      <c r="P3931" t="s">
        <v>127</v>
      </c>
      <c r="Q3931" t="s">
        <v>127</v>
      </c>
    </row>
    <row r="3932" spans="1:17" x14ac:dyDescent="0.25">
      <c r="A3932" t="str">
        <f>IF(C3932&amp;G3932&amp;D3932&lt;&gt;'Funnel setup'!$K$3&amp;'Funnel setup'!$K$4&amp;'Funnel setup'!$K$6,".",IF(A3931=".",1,A3931+1))</f>
        <v>.</v>
      </c>
      <c r="B3932" s="244" t="str">
        <f t="shared" si="61"/>
        <v>Total Hip ReplacementProviderSULIS HOSPITAL BATHEQ-5D Index</v>
      </c>
      <c r="C3932" t="s">
        <v>974</v>
      </c>
      <c r="D3932" t="s">
        <v>965</v>
      </c>
      <c r="E3932" t="s">
        <v>732</v>
      </c>
      <c r="F3932" t="s">
        <v>1325</v>
      </c>
      <c r="G3932" t="s">
        <v>963</v>
      </c>
      <c r="H3932">
        <v>36</v>
      </c>
      <c r="I3932">
        <v>0.34949999999999998</v>
      </c>
      <c r="J3932">
        <v>0.83625000000000005</v>
      </c>
      <c r="K3932">
        <v>0.48675000000000002</v>
      </c>
      <c r="L3932">
        <v>33</v>
      </c>
      <c r="M3932">
        <v>2</v>
      </c>
      <c r="N3932">
        <v>1</v>
      </c>
      <c r="O3932">
        <v>0.81732499999999997</v>
      </c>
      <c r="P3932">
        <v>0.48976900000000001</v>
      </c>
      <c r="Q3932">
        <v>0.209948</v>
      </c>
    </row>
    <row r="3933" spans="1:17" x14ac:dyDescent="0.25">
      <c r="A3933" t="str">
        <f>IF(C3933&amp;G3933&amp;D3933&lt;&gt;'Funnel setup'!$K$3&amp;'Funnel setup'!$K$4&amp;'Funnel setup'!$K$6,".",IF(A3932=".",1,A3932+1))</f>
        <v>.</v>
      </c>
      <c r="B3933" s="244" t="str">
        <f t="shared" si="61"/>
        <v>Total Hip ReplacementProviderAIREDALE NHS FOUNDATION TRUST (RCF)EQ-5D Index</v>
      </c>
      <c r="C3933" t="s">
        <v>974</v>
      </c>
      <c r="D3933" t="s">
        <v>965</v>
      </c>
      <c r="E3933" t="s">
        <v>125</v>
      </c>
      <c r="F3933" t="s">
        <v>126</v>
      </c>
      <c r="G3933" t="s">
        <v>963</v>
      </c>
      <c r="H3933">
        <v>40</v>
      </c>
      <c r="I3933">
        <v>0.32487500000000002</v>
      </c>
      <c r="J3933">
        <v>0.83774999999999999</v>
      </c>
      <c r="K3933">
        <v>0.51287499999999997</v>
      </c>
      <c r="L3933">
        <v>38</v>
      </c>
      <c r="M3933">
        <v>1</v>
      </c>
      <c r="N3933">
        <v>1</v>
      </c>
      <c r="O3933">
        <v>0.82575900000000002</v>
      </c>
      <c r="P3933">
        <v>0.49820300000000001</v>
      </c>
      <c r="Q3933">
        <v>0.17091300000000001</v>
      </c>
    </row>
    <row r="3934" spans="1:17" x14ac:dyDescent="0.25">
      <c r="A3934" t="str">
        <f>IF(C3934&amp;G3934&amp;D3934&lt;&gt;'Funnel setup'!$K$3&amp;'Funnel setup'!$K$4&amp;'Funnel setup'!$K$6,".",IF(A3933=".",1,A3933+1))</f>
        <v>.</v>
      </c>
      <c r="B3934" s="244" t="str">
        <f t="shared" si="61"/>
        <v>Total Hip ReplacementProviderALEXANDRA HOSPITAL (NT401)EQ-5D Index</v>
      </c>
      <c r="C3934" t="s">
        <v>974</v>
      </c>
      <c r="D3934" t="s">
        <v>965</v>
      </c>
      <c r="E3934" t="s">
        <v>130</v>
      </c>
      <c r="F3934" t="s">
        <v>131</v>
      </c>
      <c r="G3934" t="s">
        <v>963</v>
      </c>
      <c r="H3934">
        <v>30</v>
      </c>
      <c r="I3934">
        <v>0.37283300000000003</v>
      </c>
      <c r="J3934">
        <v>0.79490000000000005</v>
      </c>
      <c r="K3934">
        <v>0.42206700000000003</v>
      </c>
      <c r="L3934">
        <v>28</v>
      </c>
      <c r="M3934">
        <v>1</v>
      </c>
      <c r="N3934">
        <v>1</v>
      </c>
      <c r="O3934">
        <v>0.76344699999999999</v>
      </c>
      <c r="P3934">
        <v>0.43589099999999997</v>
      </c>
      <c r="Q3934">
        <v>0.21543899999999999</v>
      </c>
    </row>
    <row r="3935" spans="1:17" x14ac:dyDescent="0.25">
      <c r="A3935" t="str">
        <f>IF(C3935&amp;G3935&amp;D3935&lt;&gt;'Funnel setup'!$K$3&amp;'Funnel setup'!$K$4&amp;'Funnel setup'!$K$6,".",IF(A3934=".",1,A3934+1))</f>
        <v>.</v>
      </c>
      <c r="B3935" s="244" t="str">
        <f t="shared" si="61"/>
        <v>Total Hip ReplacementProviderASHFORD AND ST PETER'S HOSPITALS NHS FOUNDATION TRUST (RTK)EQ-5D Index</v>
      </c>
      <c r="C3935" t="s">
        <v>974</v>
      </c>
      <c r="D3935" t="s">
        <v>965</v>
      </c>
      <c r="E3935" t="s">
        <v>132</v>
      </c>
      <c r="F3935" t="s">
        <v>133</v>
      </c>
      <c r="G3935" t="s">
        <v>963</v>
      </c>
      <c r="H3935">
        <v>63</v>
      </c>
      <c r="I3935">
        <v>0.36922199999999999</v>
      </c>
      <c r="J3935">
        <v>0.82309500000000002</v>
      </c>
      <c r="K3935">
        <v>0.45387300000000003</v>
      </c>
      <c r="L3935">
        <v>56</v>
      </c>
      <c r="M3935">
        <v>2</v>
      </c>
      <c r="N3935">
        <v>5</v>
      </c>
      <c r="O3935">
        <v>0.7883</v>
      </c>
      <c r="P3935">
        <v>0.46074399999999999</v>
      </c>
      <c r="Q3935">
        <v>0.19447900000000001</v>
      </c>
    </row>
    <row r="3936" spans="1:17" x14ac:dyDescent="0.25">
      <c r="A3936" t="str">
        <f>IF(C3936&amp;G3936&amp;D3936&lt;&gt;'Funnel setup'!$K$3&amp;'Funnel setup'!$K$4&amp;'Funnel setup'!$K$6,".",IF(A3935=".",1,A3935+1))</f>
        <v>.</v>
      </c>
      <c r="B3936" s="244" t="str">
        <f t="shared" si="61"/>
        <v>Total Hip ReplacementProviderASHTEAD HOSPITAL (NVC01)EQ-5D Index</v>
      </c>
      <c r="C3936" t="s">
        <v>974</v>
      </c>
      <c r="D3936" t="s">
        <v>965</v>
      </c>
      <c r="E3936" t="s">
        <v>134</v>
      </c>
      <c r="F3936" t="s">
        <v>135</v>
      </c>
      <c r="G3936" t="s">
        <v>963</v>
      </c>
      <c r="H3936">
        <v>12</v>
      </c>
      <c r="I3936">
        <v>0.32574999999999998</v>
      </c>
      <c r="J3936">
        <v>0.89866699999999999</v>
      </c>
      <c r="K3936">
        <v>0.57291700000000001</v>
      </c>
      <c r="L3936">
        <v>12</v>
      </c>
      <c r="M3936">
        <v>0</v>
      </c>
      <c r="N3936">
        <v>0</v>
      </c>
      <c r="O3936" t="s">
        <v>127</v>
      </c>
      <c r="P3936" t="s">
        <v>127</v>
      </c>
      <c r="Q3936" t="s">
        <v>127</v>
      </c>
    </row>
    <row r="3937" spans="1:17" x14ac:dyDescent="0.25">
      <c r="A3937" t="str">
        <f>IF(C3937&amp;G3937&amp;D3937&lt;&gt;'Funnel setup'!$K$3&amp;'Funnel setup'!$K$4&amp;'Funnel setup'!$K$6,".",IF(A3936=".",1,A3936+1))</f>
        <v>.</v>
      </c>
      <c r="B3937" s="244" t="str">
        <f t="shared" si="61"/>
        <v>Total Hip ReplacementProviderBARKING, HAVERING AND REDBRIDGE UNIVERSITY HOSPITALS NHS TRUST (RF4)EQ-5D Index</v>
      </c>
      <c r="C3937" t="s">
        <v>974</v>
      </c>
      <c r="D3937" t="s">
        <v>965</v>
      </c>
      <c r="E3937" t="s">
        <v>144</v>
      </c>
      <c r="F3937" t="s">
        <v>145</v>
      </c>
      <c r="G3937" t="s">
        <v>963</v>
      </c>
      <c r="H3937">
        <v>51</v>
      </c>
      <c r="I3937">
        <v>0.19633300000000001</v>
      </c>
      <c r="J3937">
        <v>0.695627</v>
      </c>
      <c r="K3937">
        <v>0.49929400000000002</v>
      </c>
      <c r="L3937">
        <v>45</v>
      </c>
      <c r="M3937">
        <v>4</v>
      </c>
      <c r="N3937">
        <v>2</v>
      </c>
      <c r="O3937">
        <v>0.74532500000000002</v>
      </c>
      <c r="P3937">
        <v>0.417769</v>
      </c>
      <c r="Q3937">
        <v>0.28366000000000002</v>
      </c>
    </row>
    <row r="3938" spans="1:17" x14ac:dyDescent="0.25">
      <c r="A3938" t="str">
        <f>IF(C3938&amp;G3938&amp;D3938&lt;&gt;'Funnel setup'!$K$3&amp;'Funnel setup'!$K$4&amp;'Funnel setup'!$K$6,".",IF(A3937=".",1,A3937+1))</f>
        <v>.</v>
      </c>
      <c r="B3938" s="244" t="str">
        <f t="shared" si="61"/>
        <v>Total Hip ReplacementProviderBARNSLEY HOSPITAL NHS FOUNDATION TRUST (RFF)EQ-5D Index</v>
      </c>
      <c r="C3938" t="s">
        <v>974</v>
      </c>
      <c r="D3938" t="s">
        <v>965</v>
      </c>
      <c r="E3938" t="s">
        <v>146</v>
      </c>
      <c r="F3938" t="s">
        <v>147</v>
      </c>
      <c r="G3938" t="s">
        <v>963</v>
      </c>
      <c r="H3938">
        <v>41</v>
      </c>
      <c r="I3938">
        <v>0.237293</v>
      </c>
      <c r="J3938">
        <v>0.71826800000000002</v>
      </c>
      <c r="K3938">
        <v>0.48097600000000001</v>
      </c>
      <c r="L3938">
        <v>38</v>
      </c>
      <c r="M3938">
        <v>1</v>
      </c>
      <c r="N3938">
        <v>2</v>
      </c>
      <c r="O3938">
        <v>0.76245300000000005</v>
      </c>
      <c r="P3938">
        <v>0.43489699999999998</v>
      </c>
      <c r="Q3938">
        <v>0.15207499999999999</v>
      </c>
    </row>
    <row r="3939" spans="1:17" x14ac:dyDescent="0.25">
      <c r="A3939" t="str">
        <f>IF(C3939&amp;G3939&amp;D3939&lt;&gt;'Funnel setup'!$K$3&amp;'Funnel setup'!$K$4&amp;'Funnel setup'!$K$6,".",IF(A3938=".",1,A3938+1))</f>
        <v>.</v>
      </c>
      <c r="B3939" s="244" t="str">
        <f t="shared" si="61"/>
        <v>Total Hip ReplacementProviderBARTS HEALTH NHS TRUST (R1H)EQ-5D Index</v>
      </c>
      <c r="C3939" t="s">
        <v>974</v>
      </c>
      <c r="D3939" t="s">
        <v>965</v>
      </c>
      <c r="E3939" t="s">
        <v>148</v>
      </c>
      <c r="F3939" t="s">
        <v>149</v>
      </c>
      <c r="G3939" t="s">
        <v>963</v>
      </c>
      <c r="H3939">
        <v>39</v>
      </c>
      <c r="I3939">
        <v>0.33959</v>
      </c>
      <c r="J3939">
        <v>0.76084600000000002</v>
      </c>
      <c r="K3939">
        <v>0.42125600000000002</v>
      </c>
      <c r="L3939">
        <v>34</v>
      </c>
      <c r="M3939">
        <v>2</v>
      </c>
      <c r="N3939">
        <v>3</v>
      </c>
      <c r="O3939">
        <v>0.77072300000000005</v>
      </c>
      <c r="P3939">
        <v>0.44316699999999998</v>
      </c>
      <c r="Q3939">
        <v>0.241921</v>
      </c>
    </row>
    <row r="3940" spans="1:17" x14ac:dyDescent="0.25">
      <c r="A3940" t="str">
        <f>IF(C3940&amp;G3940&amp;D3940&lt;&gt;'Funnel setup'!$K$3&amp;'Funnel setup'!$K$4&amp;'Funnel setup'!$K$6,".",IF(A3939=".",1,A3939+1))</f>
        <v>.</v>
      </c>
      <c r="B3940" s="244" t="str">
        <f t="shared" si="61"/>
        <v>Total Hip ReplacementProviderBATH CLINIC (NT402)EQ-5D Index</v>
      </c>
      <c r="C3940" t="s">
        <v>974</v>
      </c>
      <c r="D3940" t="s">
        <v>965</v>
      </c>
      <c r="E3940" t="s">
        <v>152</v>
      </c>
      <c r="F3940" t="s">
        <v>153</v>
      </c>
      <c r="G3940" t="s">
        <v>963</v>
      </c>
      <c r="H3940">
        <v>76</v>
      </c>
      <c r="I3940">
        <v>0.47964499999999999</v>
      </c>
      <c r="J3940">
        <v>0.83648699999999998</v>
      </c>
      <c r="K3940">
        <v>0.35684199999999999</v>
      </c>
      <c r="L3940">
        <v>67</v>
      </c>
      <c r="M3940">
        <v>4</v>
      </c>
      <c r="N3940">
        <v>5</v>
      </c>
      <c r="O3940">
        <v>0.75047600000000003</v>
      </c>
      <c r="P3940">
        <v>0.42292000000000002</v>
      </c>
      <c r="Q3940">
        <v>0.190133</v>
      </c>
    </row>
    <row r="3941" spans="1:17" x14ac:dyDescent="0.25">
      <c r="A3941" t="str">
        <f>IF(C3941&amp;G3941&amp;D3941&lt;&gt;'Funnel setup'!$K$3&amp;'Funnel setup'!$K$4&amp;'Funnel setup'!$K$6,".",IF(A3940=".",1,A3940+1))</f>
        <v>.</v>
      </c>
      <c r="B3941" s="244" t="str">
        <f t="shared" si="61"/>
        <v>Total Hip ReplacementProviderBEARDWOOD HOSPITAL (NT403)EQ-5D Index</v>
      </c>
      <c r="C3941" t="s">
        <v>974</v>
      </c>
      <c r="D3941" t="s">
        <v>965</v>
      </c>
      <c r="E3941" t="s">
        <v>154</v>
      </c>
      <c r="F3941" t="s">
        <v>155</v>
      </c>
      <c r="G3941" t="s">
        <v>963</v>
      </c>
      <c r="H3941">
        <v>79</v>
      </c>
      <c r="I3941">
        <v>0.42408899999999999</v>
      </c>
      <c r="J3941">
        <v>0.83927799999999997</v>
      </c>
      <c r="K3941">
        <v>0.41519</v>
      </c>
      <c r="L3941">
        <v>75</v>
      </c>
      <c r="M3941">
        <v>0</v>
      </c>
      <c r="N3941">
        <v>4</v>
      </c>
      <c r="O3941">
        <v>0.78774500000000003</v>
      </c>
      <c r="P3941">
        <v>0.46018999999999999</v>
      </c>
      <c r="Q3941">
        <v>0.20316000000000001</v>
      </c>
    </row>
    <row r="3942" spans="1:17" x14ac:dyDescent="0.25">
      <c r="A3942" t="str">
        <f>IF(C3942&amp;G3942&amp;D3942&lt;&gt;'Funnel setup'!$K$3&amp;'Funnel setup'!$K$4&amp;'Funnel setup'!$K$6,".",IF(A3941=".",1,A3941+1))</f>
        <v>.</v>
      </c>
      <c r="B3942" s="244" t="str">
        <f t="shared" si="61"/>
        <v>Total Hip ReplacementProviderBEAUMONT HOSPITAL (NT404)EQ-5D Index</v>
      </c>
      <c r="C3942" t="s">
        <v>974</v>
      </c>
      <c r="D3942" t="s">
        <v>965</v>
      </c>
      <c r="E3942" t="s">
        <v>156</v>
      </c>
      <c r="F3942" t="s">
        <v>157</v>
      </c>
      <c r="G3942" t="s">
        <v>963</v>
      </c>
      <c r="H3942">
        <v>13</v>
      </c>
      <c r="I3942">
        <v>0.47353800000000001</v>
      </c>
      <c r="J3942">
        <v>0.89238499999999998</v>
      </c>
      <c r="K3942">
        <v>0.418846</v>
      </c>
      <c r="L3942">
        <v>13</v>
      </c>
      <c r="M3942">
        <v>0</v>
      </c>
      <c r="N3942">
        <v>0</v>
      </c>
      <c r="O3942" t="s">
        <v>127</v>
      </c>
      <c r="P3942" t="s">
        <v>127</v>
      </c>
      <c r="Q3942" t="s">
        <v>127</v>
      </c>
    </row>
    <row r="3943" spans="1:17" x14ac:dyDescent="0.25">
      <c r="A3943" t="str">
        <f>IF(C3943&amp;G3943&amp;D3943&lt;&gt;'Funnel setup'!$K$3&amp;'Funnel setup'!$K$4&amp;'Funnel setup'!$K$6,".",IF(A3942=".",1,A3942+1))</f>
        <v>.</v>
      </c>
      <c r="B3943" s="244" t="str">
        <f t="shared" si="61"/>
        <v>Total Hip ReplacementProviderBEDFORDSHIRE HOSPITALS NHS FOUNDATION TRUST (RC9)EQ-5D Index</v>
      </c>
      <c r="C3943" t="s">
        <v>974</v>
      </c>
      <c r="D3943" t="s">
        <v>965</v>
      </c>
      <c r="E3943" t="s">
        <v>158</v>
      </c>
      <c r="F3943" t="s">
        <v>159</v>
      </c>
      <c r="G3943" t="s">
        <v>963</v>
      </c>
      <c r="H3943">
        <v>124</v>
      </c>
      <c r="I3943">
        <v>0.238177</v>
      </c>
      <c r="J3943">
        <v>0.70150000000000001</v>
      </c>
      <c r="K3943">
        <v>0.46332299999999998</v>
      </c>
      <c r="L3943">
        <v>108</v>
      </c>
      <c r="M3943">
        <v>9</v>
      </c>
      <c r="N3943">
        <v>7</v>
      </c>
      <c r="O3943">
        <v>0.73919000000000001</v>
      </c>
      <c r="P3943">
        <v>0.411634</v>
      </c>
      <c r="Q3943">
        <v>0.26210800000000001</v>
      </c>
    </row>
    <row r="3944" spans="1:17" x14ac:dyDescent="0.25">
      <c r="A3944" t="str">
        <f>IF(C3944&amp;G3944&amp;D3944&lt;&gt;'Funnel setup'!$K$3&amp;'Funnel setup'!$K$4&amp;'Funnel setup'!$K$6,".",IF(A3943=".",1,A3943+1))</f>
        <v>.</v>
      </c>
      <c r="B3944" s="244" t="str">
        <f t="shared" si="61"/>
        <v>Total Hip ReplacementProviderBENENDEN HOSPITAL (NWF01)EQ-5D Index</v>
      </c>
      <c r="C3944" t="s">
        <v>974</v>
      </c>
      <c r="D3944" t="s">
        <v>965</v>
      </c>
      <c r="E3944" t="s">
        <v>160</v>
      </c>
      <c r="F3944" t="s">
        <v>161</v>
      </c>
      <c r="G3944" t="s">
        <v>963</v>
      </c>
      <c r="H3944">
        <v>20</v>
      </c>
      <c r="I3944">
        <v>0.36704999999999999</v>
      </c>
      <c r="J3944">
        <v>0.74209999999999998</v>
      </c>
      <c r="K3944">
        <v>0.37504999999999999</v>
      </c>
      <c r="L3944">
        <v>19</v>
      </c>
      <c r="M3944">
        <v>0</v>
      </c>
      <c r="N3944">
        <v>1</v>
      </c>
      <c r="O3944" t="s">
        <v>127</v>
      </c>
      <c r="P3944" t="s">
        <v>127</v>
      </c>
      <c r="Q3944" t="s">
        <v>127</v>
      </c>
    </row>
    <row r="3945" spans="1:17" x14ac:dyDescent="0.25">
      <c r="A3945" t="str">
        <f>IF(C3945&amp;G3945&amp;D3945&lt;&gt;'Funnel setup'!$K$3&amp;'Funnel setup'!$K$4&amp;'Funnel setup'!$K$6,".",IF(A3944=".",1,A3944+1))</f>
        <v>.</v>
      </c>
      <c r="B3945" s="244" t="str">
        <f t="shared" si="61"/>
        <v>Total Hip ReplacementProviderBISHOPS WOOD HOSPITAL (NT405)EQ-5D Index</v>
      </c>
      <c r="C3945" t="s">
        <v>974</v>
      </c>
      <c r="D3945" t="s">
        <v>965</v>
      </c>
      <c r="E3945" t="s">
        <v>166</v>
      </c>
      <c r="F3945" t="s">
        <v>167</v>
      </c>
      <c r="G3945" t="s">
        <v>963</v>
      </c>
      <c r="H3945">
        <v>3</v>
      </c>
      <c r="I3945">
        <v>0.71399999999999997</v>
      </c>
      <c r="J3945">
        <v>1</v>
      </c>
      <c r="K3945">
        <v>0.28599999999999998</v>
      </c>
      <c r="L3945">
        <v>3</v>
      </c>
      <c r="M3945">
        <v>0</v>
      </c>
      <c r="N3945">
        <v>0</v>
      </c>
      <c r="O3945" t="s">
        <v>127</v>
      </c>
      <c r="P3945" t="s">
        <v>127</v>
      </c>
      <c r="Q3945" t="s">
        <v>127</v>
      </c>
    </row>
    <row r="3946" spans="1:17" x14ac:dyDescent="0.25">
      <c r="A3946" t="str">
        <f>IF(C3946&amp;G3946&amp;D3946&lt;&gt;'Funnel setup'!$K$3&amp;'Funnel setup'!$K$4&amp;'Funnel setup'!$K$6,".",IF(A3945=".",1,A3945+1))</f>
        <v>.</v>
      </c>
      <c r="B3946" s="244" t="str">
        <f t="shared" si="61"/>
        <v>Total Hip ReplacementProviderBLACKHEATH HOSPITAL (NT406)EQ-5D Index</v>
      </c>
      <c r="C3946" t="s">
        <v>974</v>
      </c>
      <c r="D3946" t="s">
        <v>965</v>
      </c>
      <c r="E3946" t="s">
        <v>168</v>
      </c>
      <c r="F3946" t="s">
        <v>169</v>
      </c>
      <c r="G3946" t="s">
        <v>963</v>
      </c>
      <c r="H3946">
        <v>13</v>
      </c>
      <c r="I3946">
        <v>0.32938499999999998</v>
      </c>
      <c r="J3946">
        <v>0.856846</v>
      </c>
      <c r="K3946">
        <v>0.52746199999999999</v>
      </c>
      <c r="L3946">
        <v>11</v>
      </c>
      <c r="M3946">
        <v>2</v>
      </c>
      <c r="N3946">
        <v>0</v>
      </c>
      <c r="O3946" t="s">
        <v>127</v>
      </c>
      <c r="P3946" t="s">
        <v>127</v>
      </c>
      <c r="Q3946" t="s">
        <v>127</v>
      </c>
    </row>
    <row r="3947" spans="1:17" x14ac:dyDescent="0.25">
      <c r="A3947" t="str">
        <f>IF(C3947&amp;G3947&amp;D3947&lt;&gt;'Funnel setup'!$K$3&amp;'Funnel setup'!$K$4&amp;'Funnel setup'!$K$6,".",IF(A3946=".",1,A3946+1))</f>
        <v>.</v>
      </c>
      <c r="B3947" s="244" t="str">
        <f t="shared" si="61"/>
        <v>Total Hip ReplacementProviderBLACKPOOL TEACHING HOSPITALS NHS FOUNDATION TRUST (RXL)EQ-5D Index</v>
      </c>
      <c r="C3947" t="s">
        <v>974</v>
      </c>
      <c r="D3947" t="s">
        <v>965</v>
      </c>
      <c r="E3947" t="s">
        <v>170</v>
      </c>
      <c r="F3947" t="s">
        <v>171</v>
      </c>
      <c r="G3947" t="s">
        <v>963</v>
      </c>
      <c r="H3947">
        <v>56</v>
      </c>
      <c r="I3947">
        <v>0.41198200000000001</v>
      </c>
      <c r="J3947">
        <v>0.73260700000000001</v>
      </c>
      <c r="K3947">
        <v>0.32062499999999999</v>
      </c>
      <c r="L3947">
        <v>47</v>
      </c>
      <c r="M3947">
        <v>3</v>
      </c>
      <c r="N3947">
        <v>6</v>
      </c>
      <c r="O3947">
        <v>0.74851100000000004</v>
      </c>
      <c r="P3947">
        <v>0.420956</v>
      </c>
      <c r="Q3947">
        <v>0.23810100000000001</v>
      </c>
    </row>
    <row r="3948" spans="1:17" x14ac:dyDescent="0.25">
      <c r="A3948" t="str">
        <f>IF(C3948&amp;G3948&amp;D3948&lt;&gt;'Funnel setup'!$K$3&amp;'Funnel setup'!$K$4&amp;'Funnel setup'!$K$6,".",IF(A3947=".",1,A3947+1))</f>
        <v>.</v>
      </c>
      <c r="B3948" s="244" t="str">
        <f t="shared" si="61"/>
        <v>Total Hip ReplacementProviderBOLTON NHS FOUNDATION TRUST (RMC)EQ-5D Index</v>
      </c>
      <c r="C3948" t="s">
        <v>974</v>
      </c>
      <c r="D3948" t="s">
        <v>965</v>
      </c>
      <c r="E3948" t="s">
        <v>172</v>
      </c>
      <c r="F3948" t="s">
        <v>173</v>
      </c>
      <c r="G3948" t="s">
        <v>963</v>
      </c>
      <c r="H3948">
        <v>40</v>
      </c>
      <c r="I3948">
        <v>0.18429999999999999</v>
      </c>
      <c r="J3948">
        <v>0.70427499999999998</v>
      </c>
      <c r="K3948">
        <v>0.51997499999999997</v>
      </c>
      <c r="L3948">
        <v>35</v>
      </c>
      <c r="M3948">
        <v>1</v>
      </c>
      <c r="N3948">
        <v>4</v>
      </c>
      <c r="O3948">
        <v>0.774613</v>
      </c>
      <c r="P3948">
        <v>0.44705699999999998</v>
      </c>
      <c r="Q3948">
        <v>0.27319199999999999</v>
      </c>
    </row>
    <row r="3949" spans="1:17" x14ac:dyDescent="0.25">
      <c r="A3949" t="str">
        <f>IF(C3949&amp;G3949&amp;D3949&lt;&gt;'Funnel setup'!$K$3&amp;'Funnel setup'!$K$4&amp;'Funnel setup'!$K$6,".",IF(A3948=".",1,A3948+1))</f>
        <v>.</v>
      </c>
      <c r="B3949" s="244" t="str">
        <f t="shared" si="61"/>
        <v>Total Hip ReplacementProviderBRADFORD TEACHING HOSPITALS NHS FOUNDATION TRUST (RAE)EQ-5D Index</v>
      </c>
      <c r="C3949" t="s">
        <v>974</v>
      </c>
      <c r="D3949" t="s">
        <v>965</v>
      </c>
      <c r="E3949" t="s">
        <v>174</v>
      </c>
      <c r="F3949" t="s">
        <v>175</v>
      </c>
      <c r="G3949" t="s">
        <v>963</v>
      </c>
      <c r="H3949">
        <v>4</v>
      </c>
      <c r="I3949">
        <v>0.13500000000000001</v>
      </c>
      <c r="J3949">
        <v>0.879</v>
      </c>
      <c r="K3949">
        <v>0.74399999999999999</v>
      </c>
      <c r="L3949">
        <v>4</v>
      </c>
      <c r="M3949">
        <v>0</v>
      </c>
      <c r="N3949">
        <v>0</v>
      </c>
      <c r="O3949" t="s">
        <v>127</v>
      </c>
      <c r="P3949" t="s">
        <v>127</v>
      </c>
      <c r="Q3949" t="s">
        <v>127</v>
      </c>
    </row>
    <row r="3950" spans="1:17" x14ac:dyDescent="0.25">
      <c r="A3950" t="str">
        <f>IF(C3950&amp;G3950&amp;D3950&lt;&gt;'Funnel setup'!$K$3&amp;'Funnel setup'!$K$4&amp;'Funnel setup'!$K$6,".",IF(A3949=".",1,A3949+1))</f>
        <v>.</v>
      </c>
      <c r="B3950" s="244" t="str">
        <f t="shared" si="61"/>
        <v>Total Hip ReplacementProviderBUCKINGHAMSHIRE HEALTHCARE NHS TRUST (RXQ)EQ-5D Index</v>
      </c>
      <c r="C3950" t="s">
        <v>974</v>
      </c>
      <c r="D3950" t="s">
        <v>965</v>
      </c>
      <c r="E3950" t="s">
        <v>178</v>
      </c>
      <c r="F3950" t="s">
        <v>179</v>
      </c>
      <c r="G3950" t="s">
        <v>963</v>
      </c>
      <c r="H3950">
        <v>92</v>
      </c>
      <c r="I3950">
        <v>0.28141300000000002</v>
      </c>
      <c r="J3950">
        <v>0.68431500000000001</v>
      </c>
      <c r="K3950">
        <v>0.40290199999999998</v>
      </c>
      <c r="L3950">
        <v>77</v>
      </c>
      <c r="M3950">
        <v>7</v>
      </c>
      <c r="N3950">
        <v>8</v>
      </c>
      <c r="O3950">
        <v>0.70580299999999996</v>
      </c>
      <c r="P3950">
        <v>0.378247</v>
      </c>
      <c r="Q3950">
        <v>0.298373</v>
      </c>
    </row>
    <row r="3951" spans="1:17" x14ac:dyDescent="0.25">
      <c r="A3951" t="str">
        <f>IF(C3951&amp;G3951&amp;D3951&lt;&gt;'Funnel setup'!$K$3&amp;'Funnel setup'!$K$4&amp;'Funnel setup'!$K$6,".",IF(A3950=".",1,A3950+1))</f>
        <v>.</v>
      </c>
      <c r="B3951" s="244" t="str">
        <f t="shared" si="61"/>
        <v>Total Hip ReplacementProviderCALDERDALE AND HUDDERSFIELD NHS FOUNDATION TRUST (RWY)EQ-5D Index</v>
      </c>
      <c r="C3951" t="s">
        <v>974</v>
      </c>
      <c r="D3951" t="s">
        <v>965</v>
      </c>
      <c r="E3951" t="s">
        <v>180</v>
      </c>
      <c r="F3951" t="s">
        <v>181</v>
      </c>
      <c r="G3951" t="s">
        <v>963</v>
      </c>
      <c r="H3951">
        <v>97</v>
      </c>
      <c r="I3951">
        <v>0.33282499999999998</v>
      </c>
      <c r="J3951">
        <v>0.781196</v>
      </c>
      <c r="K3951">
        <v>0.44837100000000002</v>
      </c>
      <c r="L3951">
        <v>86</v>
      </c>
      <c r="M3951">
        <v>4</v>
      </c>
      <c r="N3951">
        <v>7</v>
      </c>
      <c r="O3951">
        <v>0.78602399999999994</v>
      </c>
      <c r="P3951">
        <v>0.45846799999999999</v>
      </c>
      <c r="Q3951">
        <v>0.227549</v>
      </c>
    </row>
    <row r="3952" spans="1:17" x14ac:dyDescent="0.25">
      <c r="A3952" t="str">
        <f>IF(C3952&amp;G3952&amp;D3952&lt;&gt;'Funnel setup'!$K$3&amp;'Funnel setup'!$K$4&amp;'Funnel setup'!$K$6,".",IF(A3951=".",1,A3951+1))</f>
        <v>.</v>
      </c>
      <c r="B3952" s="244" t="str">
        <f t="shared" si="61"/>
        <v>Total Hip ReplacementProviderCAMBRIDGE UNIVERSITY HOSPITALS NHS FOUNDATION TRUST (RGT)EQ-5D Index</v>
      </c>
      <c r="C3952" t="s">
        <v>974</v>
      </c>
      <c r="D3952" t="s">
        <v>965</v>
      </c>
      <c r="E3952" t="s">
        <v>182</v>
      </c>
      <c r="F3952" t="s">
        <v>183</v>
      </c>
      <c r="G3952" t="s">
        <v>963</v>
      </c>
      <c r="H3952">
        <v>76</v>
      </c>
      <c r="I3952">
        <v>0.19797400000000001</v>
      </c>
      <c r="J3952">
        <v>0.70115799999999995</v>
      </c>
      <c r="K3952">
        <v>0.50318399999999996</v>
      </c>
      <c r="L3952">
        <v>62</v>
      </c>
      <c r="M3952">
        <v>8</v>
      </c>
      <c r="N3952">
        <v>6</v>
      </c>
      <c r="O3952">
        <v>0.75763899999999995</v>
      </c>
      <c r="P3952">
        <v>0.43008299999999999</v>
      </c>
      <c r="Q3952">
        <v>0.25067800000000001</v>
      </c>
    </row>
    <row r="3953" spans="1:17" x14ac:dyDescent="0.25">
      <c r="A3953" t="str">
        <f>IF(C3953&amp;G3953&amp;D3953&lt;&gt;'Funnel setup'!$K$3&amp;'Funnel setup'!$K$4&amp;'Funnel setup'!$K$6,".",IF(A3952=".",1,A3952+1))</f>
        <v>.</v>
      </c>
      <c r="B3953" s="244" t="str">
        <f t="shared" si="61"/>
        <v>Total Hip ReplacementProviderCAVELL HOSPITAL (NT451)EQ-5D Index</v>
      </c>
      <c r="C3953" t="s">
        <v>974</v>
      </c>
      <c r="D3953" t="s">
        <v>965</v>
      </c>
      <c r="E3953" t="s">
        <v>184</v>
      </c>
      <c r="F3953" t="s">
        <v>185</v>
      </c>
      <c r="G3953" t="s">
        <v>963</v>
      </c>
      <c r="H3953">
        <v>17</v>
      </c>
      <c r="I3953">
        <v>0.36535299999999998</v>
      </c>
      <c r="J3953">
        <v>0.84629399999999999</v>
      </c>
      <c r="K3953">
        <v>0.48094100000000001</v>
      </c>
      <c r="L3953">
        <v>15</v>
      </c>
      <c r="M3953">
        <v>1</v>
      </c>
      <c r="N3953">
        <v>1</v>
      </c>
      <c r="O3953" t="s">
        <v>127</v>
      </c>
      <c r="P3953" t="s">
        <v>127</v>
      </c>
      <c r="Q3953" t="s">
        <v>127</v>
      </c>
    </row>
    <row r="3954" spans="1:17" x14ac:dyDescent="0.25">
      <c r="A3954" t="str">
        <f>IF(C3954&amp;G3954&amp;D3954&lt;&gt;'Funnel setup'!$K$3&amp;'Funnel setup'!$K$4&amp;'Funnel setup'!$K$6,".",IF(A3953=".",1,A3953+1))</f>
        <v>.</v>
      </c>
      <c r="B3954" s="244" t="str">
        <f t="shared" si="61"/>
        <v>Total Hip ReplacementProviderCHAUCER HOSPITAL (NT408)EQ-5D Index</v>
      </c>
      <c r="C3954" t="s">
        <v>974</v>
      </c>
      <c r="D3954" t="s">
        <v>965</v>
      </c>
      <c r="E3954" t="s">
        <v>186</v>
      </c>
      <c r="F3954" t="s">
        <v>187</v>
      </c>
      <c r="G3954" t="s">
        <v>963</v>
      </c>
      <c r="H3954">
        <v>29</v>
      </c>
      <c r="I3954">
        <v>0.41903400000000002</v>
      </c>
      <c r="J3954">
        <v>0.772621</v>
      </c>
      <c r="K3954">
        <v>0.35358600000000001</v>
      </c>
      <c r="L3954">
        <v>25</v>
      </c>
      <c r="M3954">
        <v>2</v>
      </c>
      <c r="N3954">
        <v>2</v>
      </c>
      <c r="O3954" t="s">
        <v>127</v>
      </c>
      <c r="P3954" t="s">
        <v>127</v>
      </c>
      <c r="Q3954" t="s">
        <v>127</v>
      </c>
    </row>
    <row r="3955" spans="1:17" x14ac:dyDescent="0.25">
      <c r="A3955" t="str">
        <f>IF(C3955&amp;G3955&amp;D3955&lt;&gt;'Funnel setup'!$K$3&amp;'Funnel setup'!$K$4&amp;'Funnel setup'!$K$6,".",IF(A3954=".",1,A3954+1))</f>
        <v>.</v>
      </c>
      <c r="B3955" s="244" t="str">
        <f t="shared" si="61"/>
        <v>Total Hip ReplacementProviderCHELSEA AND WESTMINSTER HOSPITAL NHS FOUNDATION TRUST (RQM)EQ-5D Index</v>
      </c>
      <c r="C3955" t="s">
        <v>974</v>
      </c>
      <c r="D3955" t="s">
        <v>965</v>
      </c>
      <c r="E3955" t="s">
        <v>188</v>
      </c>
      <c r="F3955" t="s">
        <v>189</v>
      </c>
      <c r="G3955" t="s">
        <v>963</v>
      </c>
      <c r="H3955">
        <v>18</v>
      </c>
      <c r="I3955">
        <v>0.27411099999999999</v>
      </c>
      <c r="J3955">
        <v>0.80466700000000002</v>
      </c>
      <c r="K3955">
        <v>0.53055600000000003</v>
      </c>
      <c r="L3955">
        <v>17</v>
      </c>
      <c r="M3955">
        <v>1</v>
      </c>
      <c r="N3955">
        <v>0</v>
      </c>
      <c r="O3955" t="s">
        <v>127</v>
      </c>
      <c r="P3955" t="s">
        <v>127</v>
      </c>
      <c r="Q3955" t="s">
        <v>127</v>
      </c>
    </row>
    <row r="3956" spans="1:17" x14ac:dyDescent="0.25">
      <c r="A3956" t="str">
        <f>IF(C3956&amp;G3956&amp;D3956&lt;&gt;'Funnel setup'!$K$3&amp;'Funnel setup'!$K$4&amp;'Funnel setup'!$K$6,".",IF(A3955=".",1,A3955+1))</f>
        <v>.</v>
      </c>
      <c r="B3956" s="244" t="str">
        <f t="shared" si="61"/>
        <v>Total Hip ReplacementProviderCHELSFIELD PARK HOSPITAL (NT409)EQ-5D Index</v>
      </c>
      <c r="C3956" t="s">
        <v>974</v>
      </c>
      <c r="D3956" t="s">
        <v>965</v>
      </c>
      <c r="E3956" t="s">
        <v>190</v>
      </c>
      <c r="F3956" t="s">
        <v>191</v>
      </c>
      <c r="G3956" t="s">
        <v>963</v>
      </c>
      <c r="H3956">
        <v>30</v>
      </c>
      <c r="I3956">
        <v>0.47836699999999999</v>
      </c>
      <c r="J3956">
        <v>0.86699999999999999</v>
      </c>
      <c r="K3956">
        <v>0.38863300000000001</v>
      </c>
      <c r="L3956">
        <v>26</v>
      </c>
      <c r="M3956">
        <v>2</v>
      </c>
      <c r="N3956">
        <v>2</v>
      </c>
      <c r="O3956">
        <v>0.79225500000000004</v>
      </c>
      <c r="P3956">
        <v>0.46469899999999997</v>
      </c>
      <c r="Q3956">
        <v>0.18621399999999999</v>
      </c>
    </row>
    <row r="3957" spans="1:17" x14ac:dyDescent="0.25">
      <c r="A3957" t="str">
        <f>IF(C3957&amp;G3957&amp;D3957&lt;&gt;'Funnel setup'!$K$3&amp;'Funnel setup'!$K$4&amp;'Funnel setup'!$K$6,".",IF(A3956=".",1,A3956+1))</f>
        <v>.</v>
      </c>
      <c r="B3957" s="244" t="str">
        <f t="shared" si="61"/>
        <v>Total Hip ReplacementProviderCHESTERFIELD ROYAL HOSPITAL NHS FOUNDATION TRUST (RFS)EQ-5D Index</v>
      </c>
      <c r="C3957" t="s">
        <v>974</v>
      </c>
      <c r="D3957" t="s">
        <v>965</v>
      </c>
      <c r="E3957" t="s">
        <v>192</v>
      </c>
      <c r="F3957" t="s">
        <v>193</v>
      </c>
      <c r="G3957" t="s">
        <v>963</v>
      </c>
      <c r="H3957">
        <v>63</v>
      </c>
      <c r="I3957">
        <v>0.27428599999999997</v>
      </c>
      <c r="J3957">
        <v>0.66654000000000002</v>
      </c>
      <c r="K3957">
        <v>0.39225399999999999</v>
      </c>
      <c r="L3957">
        <v>52</v>
      </c>
      <c r="M3957">
        <v>1</v>
      </c>
      <c r="N3957">
        <v>10</v>
      </c>
      <c r="O3957">
        <v>0.70995399999999997</v>
      </c>
      <c r="P3957">
        <v>0.38239800000000002</v>
      </c>
      <c r="Q3957">
        <v>0.28556399999999998</v>
      </c>
    </row>
    <row r="3958" spans="1:17" x14ac:dyDescent="0.25">
      <c r="A3958" t="str">
        <f>IF(C3958&amp;G3958&amp;D3958&lt;&gt;'Funnel setup'!$K$3&amp;'Funnel setup'!$K$4&amp;'Funnel setup'!$K$6,".",IF(A3957=".",1,A3957+1))</f>
        <v>.</v>
      </c>
      <c r="B3958" s="244" t="str">
        <f t="shared" si="61"/>
        <v>Total Hip ReplacementProviderCHILTERN HOSPITAL (NT410)EQ-5D Index</v>
      </c>
      <c r="C3958" t="s">
        <v>974</v>
      </c>
      <c r="D3958" t="s">
        <v>965</v>
      </c>
      <c r="E3958" t="s">
        <v>194</v>
      </c>
      <c r="F3958" t="s">
        <v>195</v>
      </c>
      <c r="G3958" t="s">
        <v>963</v>
      </c>
      <c r="H3958">
        <v>74</v>
      </c>
      <c r="I3958">
        <v>0.38620300000000002</v>
      </c>
      <c r="J3958">
        <v>0.84375699999999998</v>
      </c>
      <c r="K3958">
        <v>0.45755400000000002</v>
      </c>
      <c r="L3958">
        <v>68</v>
      </c>
      <c r="M3958">
        <v>2</v>
      </c>
      <c r="N3958">
        <v>4</v>
      </c>
      <c r="O3958">
        <v>0.78325999999999996</v>
      </c>
      <c r="P3958">
        <v>0.455704</v>
      </c>
      <c r="Q3958">
        <v>0.21559300000000001</v>
      </c>
    </row>
    <row r="3959" spans="1:17" x14ac:dyDescent="0.25">
      <c r="A3959" t="str">
        <f>IF(C3959&amp;G3959&amp;D3959&lt;&gt;'Funnel setup'!$K$3&amp;'Funnel setup'!$K$4&amp;'Funnel setup'!$K$6,".",IF(A3958=".",1,A3958+1))</f>
        <v>.</v>
      </c>
      <c r="B3959" s="244" t="str">
        <f t="shared" si="61"/>
        <v>Total Hip ReplacementProviderCIRCLE BATH HOSPITAL (NV302)EQ-5D Index</v>
      </c>
      <c r="C3959" t="s">
        <v>974</v>
      </c>
      <c r="D3959" t="s">
        <v>965</v>
      </c>
      <c r="E3959" t="s">
        <v>196</v>
      </c>
      <c r="F3959" t="s">
        <v>197</v>
      </c>
      <c r="G3959" t="s">
        <v>963</v>
      </c>
      <c r="H3959">
        <v>12</v>
      </c>
      <c r="I3959">
        <v>0.57091700000000001</v>
      </c>
      <c r="J3959">
        <v>0.93433299999999997</v>
      </c>
      <c r="K3959">
        <v>0.36341699999999999</v>
      </c>
      <c r="L3959">
        <v>11</v>
      </c>
      <c r="M3959">
        <v>1</v>
      </c>
      <c r="N3959">
        <v>0</v>
      </c>
      <c r="O3959" t="s">
        <v>127</v>
      </c>
      <c r="P3959" t="s">
        <v>127</v>
      </c>
      <c r="Q3959" t="s">
        <v>127</v>
      </c>
    </row>
    <row r="3960" spans="1:17" x14ac:dyDescent="0.25">
      <c r="A3960" t="str">
        <f>IF(C3960&amp;G3960&amp;D3960&lt;&gt;'Funnel setup'!$K$3&amp;'Funnel setup'!$K$4&amp;'Funnel setup'!$K$6,".",IF(A3959=".",1,A3959+1))</f>
        <v>.</v>
      </c>
      <c r="B3960" s="244" t="str">
        <f t="shared" si="61"/>
        <v>Total Hip ReplacementProviderCIRCLE READING HOSPITAL (NV323)EQ-5D Index</v>
      </c>
      <c r="C3960" t="s">
        <v>974</v>
      </c>
      <c r="D3960" t="s">
        <v>965</v>
      </c>
      <c r="E3960" t="s">
        <v>198</v>
      </c>
      <c r="F3960" t="s">
        <v>199</v>
      </c>
      <c r="G3960" t="s">
        <v>963</v>
      </c>
      <c r="H3960">
        <v>60</v>
      </c>
      <c r="I3960">
        <v>0.373367</v>
      </c>
      <c r="J3960">
        <v>0.87773299999999999</v>
      </c>
      <c r="K3960">
        <v>0.50436700000000001</v>
      </c>
      <c r="L3960">
        <v>57</v>
      </c>
      <c r="M3960">
        <v>3</v>
      </c>
      <c r="N3960">
        <v>0</v>
      </c>
      <c r="O3960">
        <v>0.824542</v>
      </c>
      <c r="P3960">
        <v>0.49698599999999998</v>
      </c>
      <c r="Q3960">
        <v>0.20444399999999999</v>
      </c>
    </row>
    <row r="3961" spans="1:17" x14ac:dyDescent="0.25">
      <c r="A3961" t="str">
        <f>IF(C3961&amp;G3961&amp;D3961&lt;&gt;'Funnel setup'!$K$3&amp;'Funnel setup'!$K$4&amp;'Funnel setup'!$K$6,".",IF(A3960=".",1,A3960+1))</f>
        <v>.</v>
      </c>
      <c r="B3961" s="244" t="str">
        <f t="shared" si="61"/>
        <v>Total Hip ReplacementProviderCLEMENTINE CHURCHILL HOSPITAL (NT411)EQ-5D Index</v>
      </c>
      <c r="C3961" t="s">
        <v>974</v>
      </c>
      <c r="D3961" t="s">
        <v>965</v>
      </c>
      <c r="E3961" t="s">
        <v>200</v>
      </c>
      <c r="F3961" t="s">
        <v>201</v>
      </c>
      <c r="G3961" t="s">
        <v>963</v>
      </c>
      <c r="H3961">
        <v>23</v>
      </c>
      <c r="I3961">
        <v>0.476435</v>
      </c>
      <c r="J3961">
        <v>0.77130399999999999</v>
      </c>
      <c r="K3961">
        <v>0.29487000000000002</v>
      </c>
      <c r="L3961">
        <v>19</v>
      </c>
      <c r="M3961">
        <v>2</v>
      </c>
      <c r="N3961">
        <v>2</v>
      </c>
      <c r="O3961" t="s">
        <v>127</v>
      </c>
      <c r="P3961" t="s">
        <v>127</v>
      </c>
      <c r="Q3961" t="s">
        <v>127</v>
      </c>
    </row>
    <row r="3962" spans="1:17" x14ac:dyDescent="0.25">
      <c r="A3962" t="str">
        <f>IF(C3962&amp;G3962&amp;D3962&lt;&gt;'Funnel setup'!$K$3&amp;'Funnel setup'!$K$4&amp;'Funnel setup'!$K$6,".",IF(A3961=".",1,A3961+1))</f>
        <v>.</v>
      </c>
      <c r="B3962" s="244" t="str">
        <f t="shared" si="61"/>
        <v>Total Hip ReplacementProviderCLIFTON PARK HOSPITAL (NVC28)EQ-5D Index</v>
      </c>
      <c r="C3962" t="s">
        <v>974</v>
      </c>
      <c r="D3962" t="s">
        <v>965</v>
      </c>
      <c r="E3962" t="s">
        <v>202</v>
      </c>
      <c r="F3962" t="s">
        <v>203</v>
      </c>
      <c r="G3962" t="s">
        <v>963</v>
      </c>
      <c r="H3962">
        <v>39</v>
      </c>
      <c r="I3962">
        <v>0.32430799999999999</v>
      </c>
      <c r="J3962">
        <v>0.77576900000000004</v>
      </c>
      <c r="K3962">
        <v>0.45146199999999997</v>
      </c>
      <c r="L3962">
        <v>32</v>
      </c>
      <c r="M3962">
        <v>4</v>
      </c>
      <c r="N3962">
        <v>3</v>
      </c>
      <c r="O3962">
        <v>0.77256899999999995</v>
      </c>
      <c r="P3962">
        <v>0.44501299999999999</v>
      </c>
      <c r="Q3962">
        <v>0.23680300000000001</v>
      </c>
    </row>
    <row r="3963" spans="1:17" x14ac:dyDescent="0.25">
      <c r="A3963" t="str">
        <f>IF(C3963&amp;G3963&amp;D3963&lt;&gt;'Funnel setup'!$K$3&amp;'Funnel setup'!$K$4&amp;'Funnel setup'!$K$6,".",IF(A3962=".",1,A3962+1))</f>
        <v>.</v>
      </c>
      <c r="B3963" s="244" t="str">
        <f t="shared" si="61"/>
        <v>Total Hip ReplacementProviderCOUNTESS OF CHESTER HOSPITAL NHS FOUNDATION TRUST (RJR)EQ-5D Index</v>
      </c>
      <c r="C3963" t="s">
        <v>974</v>
      </c>
      <c r="D3963" t="s">
        <v>965</v>
      </c>
      <c r="E3963" t="s">
        <v>204</v>
      </c>
      <c r="F3963" t="s">
        <v>205</v>
      </c>
      <c r="G3963" t="s">
        <v>963</v>
      </c>
      <c r="H3963">
        <v>25</v>
      </c>
      <c r="I3963">
        <v>0.29948000000000002</v>
      </c>
      <c r="J3963">
        <v>0.73675999999999997</v>
      </c>
      <c r="K3963">
        <v>0.43728</v>
      </c>
      <c r="L3963">
        <v>22</v>
      </c>
      <c r="M3963">
        <v>1</v>
      </c>
      <c r="N3963">
        <v>2</v>
      </c>
      <c r="O3963" t="s">
        <v>127</v>
      </c>
      <c r="P3963" t="s">
        <v>127</v>
      </c>
      <c r="Q3963" t="s">
        <v>127</v>
      </c>
    </row>
    <row r="3964" spans="1:17" x14ac:dyDescent="0.25">
      <c r="A3964" t="str">
        <f>IF(C3964&amp;G3964&amp;D3964&lt;&gt;'Funnel setup'!$K$3&amp;'Funnel setup'!$K$4&amp;'Funnel setup'!$K$6,".",IF(A3963=".",1,A3963+1))</f>
        <v>.</v>
      </c>
      <c r="B3964" s="244" t="str">
        <f t="shared" si="61"/>
        <v>Total Hip ReplacementProviderCOUNTY DURHAM AND DARLINGTON NHS FOUNDATION TRUST (RXP)EQ-5D Index</v>
      </c>
      <c r="C3964" t="s">
        <v>974</v>
      </c>
      <c r="D3964" t="s">
        <v>965</v>
      </c>
      <c r="E3964" t="s">
        <v>206</v>
      </c>
      <c r="F3964" t="s">
        <v>207</v>
      </c>
      <c r="G3964" t="s">
        <v>963</v>
      </c>
      <c r="H3964">
        <v>160</v>
      </c>
      <c r="I3964">
        <v>0.31869999999999998</v>
      </c>
      <c r="J3964">
        <v>0.73195600000000005</v>
      </c>
      <c r="K3964">
        <v>0.41325600000000001</v>
      </c>
      <c r="L3964">
        <v>142</v>
      </c>
      <c r="M3964">
        <v>9</v>
      </c>
      <c r="N3964">
        <v>9</v>
      </c>
      <c r="O3964">
        <v>0.75585500000000005</v>
      </c>
      <c r="P3964">
        <v>0.42829899999999999</v>
      </c>
      <c r="Q3964">
        <v>0.222917</v>
      </c>
    </row>
    <row r="3965" spans="1:17" x14ac:dyDescent="0.25">
      <c r="A3965" t="str">
        <f>IF(C3965&amp;G3965&amp;D3965&lt;&gt;'Funnel setup'!$K$3&amp;'Funnel setup'!$K$4&amp;'Funnel setup'!$K$6,".",IF(A3964=".",1,A3964+1))</f>
        <v>.</v>
      </c>
      <c r="B3965" s="244" t="str">
        <f t="shared" si="61"/>
        <v>Total Hip ReplacementProviderDONCASTER AND BASSETLAW TEACHING HOSPITALS NHS FOUNDATION TRUST (RP5)EQ-5D Index</v>
      </c>
      <c r="C3965" t="s">
        <v>974</v>
      </c>
      <c r="D3965" t="s">
        <v>965</v>
      </c>
      <c r="E3965" t="s">
        <v>212</v>
      </c>
      <c r="F3965" t="s">
        <v>213</v>
      </c>
      <c r="G3965" t="s">
        <v>963</v>
      </c>
      <c r="H3965">
        <v>59</v>
      </c>
      <c r="I3965">
        <v>0.21001700000000001</v>
      </c>
      <c r="J3965">
        <v>0.68830499999999994</v>
      </c>
      <c r="K3965">
        <v>0.47828799999999999</v>
      </c>
      <c r="L3965">
        <v>52</v>
      </c>
      <c r="M3965">
        <v>1</v>
      </c>
      <c r="N3965">
        <v>6</v>
      </c>
      <c r="O3965">
        <v>0.75424899999999995</v>
      </c>
      <c r="P3965">
        <v>0.42669400000000002</v>
      </c>
      <c r="Q3965">
        <v>0.297759</v>
      </c>
    </row>
    <row r="3966" spans="1:17" x14ac:dyDescent="0.25">
      <c r="A3966" t="str">
        <f>IF(C3966&amp;G3966&amp;D3966&lt;&gt;'Funnel setup'!$K$3&amp;'Funnel setup'!$K$4&amp;'Funnel setup'!$K$6,".",IF(A3965=".",1,A3965+1))</f>
        <v>.</v>
      </c>
      <c r="B3966" s="244" t="str">
        <f t="shared" si="61"/>
        <v>Total Hip ReplacementProviderDORSET COUNTY HOSPITAL NHS FOUNDATION TRUST (RBD)EQ-5D Index</v>
      </c>
      <c r="C3966" t="s">
        <v>974</v>
      </c>
      <c r="D3966" t="s">
        <v>965</v>
      </c>
      <c r="E3966" t="s">
        <v>214</v>
      </c>
      <c r="F3966" t="s">
        <v>215</v>
      </c>
      <c r="G3966" t="s">
        <v>963</v>
      </c>
      <c r="H3966">
        <v>13</v>
      </c>
      <c r="I3966">
        <v>0.359846</v>
      </c>
      <c r="J3966">
        <v>0.79084600000000005</v>
      </c>
      <c r="K3966">
        <v>0.43099999999999999</v>
      </c>
      <c r="L3966">
        <v>11</v>
      </c>
      <c r="M3966">
        <v>0</v>
      </c>
      <c r="N3966">
        <v>2</v>
      </c>
      <c r="O3966" t="s">
        <v>127</v>
      </c>
      <c r="P3966" t="s">
        <v>127</v>
      </c>
      <c r="Q3966" t="s">
        <v>127</v>
      </c>
    </row>
    <row r="3967" spans="1:17" x14ac:dyDescent="0.25">
      <c r="A3967" t="str">
        <f>IF(C3967&amp;G3967&amp;D3967&lt;&gt;'Funnel setup'!$K$3&amp;'Funnel setup'!$K$4&amp;'Funnel setup'!$K$6,".",IF(A3966=".",1,A3966+1))</f>
        <v>.</v>
      </c>
      <c r="B3967" s="244" t="str">
        <f t="shared" si="61"/>
        <v>Total Hip ReplacementProviderDROITWICH SPA HOSPITAL (NT412)EQ-5D Index</v>
      </c>
      <c r="C3967" t="s">
        <v>974</v>
      </c>
      <c r="D3967" t="s">
        <v>965</v>
      </c>
      <c r="E3967" t="s">
        <v>216</v>
      </c>
      <c r="F3967" t="s">
        <v>217</v>
      </c>
      <c r="G3967" t="s">
        <v>963</v>
      </c>
      <c r="H3967">
        <v>27</v>
      </c>
      <c r="I3967">
        <v>0.31474099999999999</v>
      </c>
      <c r="J3967">
        <v>0.825963</v>
      </c>
      <c r="K3967">
        <v>0.51122199999999995</v>
      </c>
      <c r="L3967">
        <v>27</v>
      </c>
      <c r="M3967">
        <v>0</v>
      </c>
      <c r="N3967">
        <v>0</v>
      </c>
      <c r="O3967" t="s">
        <v>127</v>
      </c>
      <c r="P3967" t="s">
        <v>127</v>
      </c>
      <c r="Q3967" t="s">
        <v>127</v>
      </c>
    </row>
    <row r="3968" spans="1:17" x14ac:dyDescent="0.25">
      <c r="A3968" t="str">
        <f>IF(C3968&amp;G3968&amp;D3968&lt;&gt;'Funnel setup'!$K$3&amp;'Funnel setup'!$K$4&amp;'Funnel setup'!$K$6,".",IF(A3967=".",1,A3967+1))</f>
        <v>.</v>
      </c>
      <c r="B3968" s="244" t="str">
        <f t="shared" si="61"/>
        <v>Total Hip ReplacementProviderDUCHY HOSPITAL (NT447)EQ-5D Index</v>
      </c>
      <c r="C3968" t="s">
        <v>974</v>
      </c>
      <c r="D3968" t="s">
        <v>965</v>
      </c>
      <c r="E3968" t="s">
        <v>218</v>
      </c>
      <c r="F3968" t="s">
        <v>219</v>
      </c>
      <c r="G3968" t="s">
        <v>963</v>
      </c>
      <c r="H3968">
        <v>27</v>
      </c>
      <c r="I3968">
        <v>0.40403699999999998</v>
      </c>
      <c r="J3968">
        <v>0.82207399999999997</v>
      </c>
      <c r="K3968">
        <v>0.41803699999999999</v>
      </c>
      <c r="L3968">
        <v>25</v>
      </c>
      <c r="M3968">
        <v>0</v>
      </c>
      <c r="N3968">
        <v>2</v>
      </c>
      <c r="O3968" t="s">
        <v>127</v>
      </c>
      <c r="P3968" t="s">
        <v>127</v>
      </c>
      <c r="Q3968" t="s">
        <v>127</v>
      </c>
    </row>
    <row r="3969" spans="1:17" x14ac:dyDescent="0.25">
      <c r="A3969" t="str">
        <f>IF(C3969&amp;G3969&amp;D3969&lt;&gt;'Funnel setup'!$K$3&amp;'Funnel setup'!$K$4&amp;'Funnel setup'!$K$6,".",IF(A3968=".",1,A3968+1))</f>
        <v>.</v>
      </c>
      <c r="B3969" s="244" t="str">
        <f t="shared" si="61"/>
        <v>Total Hip ReplacementProviderDUCHY HOSPITAL (NVC04)EQ-5D Index</v>
      </c>
      <c r="C3969" t="s">
        <v>974</v>
      </c>
      <c r="D3969" t="s">
        <v>965</v>
      </c>
      <c r="E3969" t="s">
        <v>220</v>
      </c>
      <c r="F3969" t="s">
        <v>221</v>
      </c>
      <c r="G3969" t="s">
        <v>963</v>
      </c>
      <c r="H3969">
        <v>25</v>
      </c>
      <c r="I3969">
        <v>0.31584000000000001</v>
      </c>
      <c r="J3969">
        <v>0.88448000000000004</v>
      </c>
      <c r="K3969">
        <v>0.56864000000000003</v>
      </c>
      <c r="L3969">
        <v>23</v>
      </c>
      <c r="M3969">
        <v>2</v>
      </c>
      <c r="N3969">
        <v>0</v>
      </c>
      <c r="O3969" t="s">
        <v>127</v>
      </c>
      <c r="P3969" t="s">
        <v>127</v>
      </c>
      <c r="Q3969" t="s">
        <v>127</v>
      </c>
    </row>
    <row r="3970" spans="1:17" x14ac:dyDescent="0.25">
      <c r="A3970" t="str">
        <f>IF(C3970&amp;G3970&amp;D3970&lt;&gt;'Funnel setup'!$K$3&amp;'Funnel setup'!$K$4&amp;'Funnel setup'!$K$6,".",IF(A3969=".",1,A3969+1))</f>
        <v>.</v>
      </c>
      <c r="B3970" s="244" t="str">
        <f t="shared" ref="B3970:B4033" si="62">C3970&amp;D3970&amp;F3970&amp;G3970</f>
        <v>Total Hip ReplacementProviderEAST AND NORTH HERTFORDSHIRE NHS TRUST (RWH)EQ-5D Index</v>
      </c>
      <c r="C3970" t="s">
        <v>974</v>
      </c>
      <c r="D3970" t="s">
        <v>965</v>
      </c>
      <c r="E3970" t="s">
        <v>224</v>
      </c>
      <c r="F3970" t="s">
        <v>225</v>
      </c>
      <c r="G3970" t="s">
        <v>963</v>
      </c>
      <c r="H3970">
        <v>38</v>
      </c>
      <c r="I3970">
        <v>0.32292100000000001</v>
      </c>
      <c r="J3970">
        <v>0.78857900000000003</v>
      </c>
      <c r="K3970">
        <v>0.46565800000000002</v>
      </c>
      <c r="L3970">
        <v>36</v>
      </c>
      <c r="M3970">
        <v>0</v>
      </c>
      <c r="N3970">
        <v>2</v>
      </c>
      <c r="O3970">
        <v>0.77615500000000004</v>
      </c>
      <c r="P3970">
        <v>0.44859900000000003</v>
      </c>
      <c r="Q3970">
        <v>0.24077299999999999</v>
      </c>
    </row>
    <row r="3971" spans="1:17" x14ac:dyDescent="0.25">
      <c r="A3971" t="str">
        <f>IF(C3971&amp;G3971&amp;D3971&lt;&gt;'Funnel setup'!$K$3&amp;'Funnel setup'!$K$4&amp;'Funnel setup'!$K$6,".",IF(A3970=".",1,A3970+1))</f>
        <v>.</v>
      </c>
      <c r="B3971" s="244" t="str">
        <f t="shared" si="62"/>
        <v>Total Hip ReplacementProviderEAST CHESHIRE NHS TRUST (RJN)EQ-5D Index</v>
      </c>
      <c r="C3971" t="s">
        <v>974</v>
      </c>
      <c r="D3971" t="s">
        <v>965</v>
      </c>
      <c r="E3971" t="s">
        <v>226</v>
      </c>
      <c r="F3971" t="s">
        <v>227</v>
      </c>
      <c r="G3971" t="s">
        <v>963</v>
      </c>
      <c r="H3971">
        <v>4</v>
      </c>
      <c r="I3971">
        <v>0.49099999999999999</v>
      </c>
      <c r="J3971">
        <v>0.79449999999999998</v>
      </c>
      <c r="K3971">
        <v>0.30349999999999999</v>
      </c>
      <c r="L3971">
        <v>4</v>
      </c>
      <c r="M3971">
        <v>0</v>
      </c>
      <c r="N3971">
        <v>0</v>
      </c>
      <c r="O3971" t="s">
        <v>127</v>
      </c>
      <c r="P3971" t="s">
        <v>127</v>
      </c>
      <c r="Q3971" t="s">
        <v>127</v>
      </c>
    </row>
    <row r="3972" spans="1:17" x14ac:dyDescent="0.25">
      <c r="A3972" t="str">
        <f>IF(C3972&amp;G3972&amp;D3972&lt;&gt;'Funnel setup'!$K$3&amp;'Funnel setup'!$K$4&amp;'Funnel setup'!$K$6,".",IF(A3971=".",1,A3971+1))</f>
        <v>.</v>
      </c>
      <c r="B3972" s="244" t="str">
        <f t="shared" si="62"/>
        <v>Total Hip ReplacementProviderEAST KENT HOSPITALS UNIVERSITY NHS FOUNDATION TRUST (RVV)EQ-5D Index</v>
      </c>
      <c r="C3972" t="s">
        <v>974</v>
      </c>
      <c r="D3972" t="s">
        <v>965</v>
      </c>
      <c r="E3972" t="s">
        <v>228</v>
      </c>
      <c r="F3972" t="s">
        <v>229</v>
      </c>
      <c r="G3972" t="s">
        <v>963</v>
      </c>
      <c r="H3972">
        <v>93</v>
      </c>
      <c r="I3972">
        <v>0.237957</v>
      </c>
      <c r="J3972">
        <v>0.714032</v>
      </c>
      <c r="K3972">
        <v>0.47607500000000003</v>
      </c>
      <c r="L3972">
        <v>81</v>
      </c>
      <c r="M3972">
        <v>8</v>
      </c>
      <c r="N3972">
        <v>4</v>
      </c>
      <c r="O3972">
        <v>0.76274799999999998</v>
      </c>
      <c r="P3972">
        <v>0.43519200000000002</v>
      </c>
      <c r="Q3972">
        <v>0.25107299999999999</v>
      </c>
    </row>
    <row r="3973" spans="1:17" x14ac:dyDescent="0.25">
      <c r="A3973" t="str">
        <f>IF(C3973&amp;G3973&amp;D3973&lt;&gt;'Funnel setup'!$K$3&amp;'Funnel setup'!$K$4&amp;'Funnel setup'!$K$6,".",IF(A3972=".",1,A3972+1))</f>
        <v>.</v>
      </c>
      <c r="B3973" s="244" t="str">
        <f t="shared" si="62"/>
        <v>Total Hip ReplacementProviderEAST LANCASHIRE HOSPITALS NHS TRUST (RXR)EQ-5D Index</v>
      </c>
      <c r="C3973" t="s">
        <v>974</v>
      </c>
      <c r="D3973" t="s">
        <v>965</v>
      </c>
      <c r="E3973" t="s">
        <v>230</v>
      </c>
      <c r="F3973" t="s">
        <v>231</v>
      </c>
      <c r="G3973" t="s">
        <v>963</v>
      </c>
      <c r="H3973">
        <v>86</v>
      </c>
      <c r="I3973">
        <v>0.26237199999999999</v>
      </c>
      <c r="J3973">
        <v>0.73350000000000004</v>
      </c>
      <c r="K3973">
        <v>0.47112799999999999</v>
      </c>
      <c r="L3973">
        <v>76</v>
      </c>
      <c r="M3973">
        <v>2</v>
      </c>
      <c r="N3973">
        <v>8</v>
      </c>
      <c r="O3973">
        <v>0.77476400000000001</v>
      </c>
      <c r="P3973">
        <v>0.44720799999999999</v>
      </c>
      <c r="Q3973">
        <v>0.27765600000000001</v>
      </c>
    </row>
    <row r="3974" spans="1:17" x14ac:dyDescent="0.25">
      <c r="A3974" t="str">
        <f>IF(C3974&amp;G3974&amp;D3974&lt;&gt;'Funnel setup'!$K$3&amp;'Funnel setup'!$K$4&amp;'Funnel setup'!$K$6,".",IF(A3973=".",1,A3973+1))</f>
        <v>.</v>
      </c>
      <c r="B3974" s="244" t="str">
        <f t="shared" si="62"/>
        <v>Total Hip ReplacementProviderEAST SUFFOLK AND NORTH ESSEX NHS FOUNDATION TRUST (RDE)EQ-5D Index</v>
      </c>
      <c r="C3974" t="s">
        <v>974</v>
      </c>
      <c r="D3974" t="s">
        <v>965</v>
      </c>
      <c r="E3974" t="s">
        <v>232</v>
      </c>
      <c r="F3974" t="s">
        <v>233</v>
      </c>
      <c r="G3974" t="s">
        <v>963</v>
      </c>
      <c r="H3974">
        <v>137</v>
      </c>
      <c r="I3974">
        <v>0.26896399999999998</v>
      </c>
      <c r="J3974">
        <v>0.76224800000000004</v>
      </c>
      <c r="K3974">
        <v>0.49328499999999997</v>
      </c>
      <c r="L3974">
        <v>128</v>
      </c>
      <c r="M3974">
        <v>6</v>
      </c>
      <c r="N3974">
        <v>3</v>
      </c>
      <c r="O3974">
        <v>0.78399700000000005</v>
      </c>
      <c r="P3974">
        <v>0.45644099999999999</v>
      </c>
      <c r="Q3974">
        <v>0.24664900000000001</v>
      </c>
    </row>
    <row r="3975" spans="1:17" x14ac:dyDescent="0.25">
      <c r="A3975" t="str">
        <f>IF(C3975&amp;G3975&amp;D3975&lt;&gt;'Funnel setup'!$K$3&amp;'Funnel setup'!$K$4&amp;'Funnel setup'!$K$6,".",IF(A3974=".",1,A3974+1))</f>
        <v>.</v>
      </c>
      <c r="B3975" s="244" t="str">
        <f t="shared" si="62"/>
        <v>Total Hip ReplacementProviderEAST SUSSEX HEALTHCARE NHS TRUST (RXC)EQ-5D Index</v>
      </c>
      <c r="C3975" t="s">
        <v>974</v>
      </c>
      <c r="D3975" t="s">
        <v>965</v>
      </c>
      <c r="E3975" t="s">
        <v>234</v>
      </c>
      <c r="F3975" t="s">
        <v>235</v>
      </c>
      <c r="G3975" t="s">
        <v>963</v>
      </c>
      <c r="H3975">
        <v>96</v>
      </c>
      <c r="I3975">
        <v>0.33507300000000001</v>
      </c>
      <c r="J3975">
        <v>0.75066699999999997</v>
      </c>
      <c r="K3975">
        <v>0.41559400000000002</v>
      </c>
      <c r="L3975">
        <v>81</v>
      </c>
      <c r="M3975">
        <v>7</v>
      </c>
      <c r="N3975">
        <v>8</v>
      </c>
      <c r="O3975">
        <v>0.76757799999999998</v>
      </c>
      <c r="P3975">
        <v>0.44002200000000002</v>
      </c>
      <c r="Q3975">
        <v>0.27975299999999997</v>
      </c>
    </row>
    <row r="3976" spans="1:17" x14ac:dyDescent="0.25">
      <c r="A3976" t="str">
        <f>IF(C3976&amp;G3976&amp;D3976&lt;&gt;'Funnel setup'!$K$3&amp;'Funnel setup'!$K$4&amp;'Funnel setup'!$K$6,".",IF(A3975=".",1,A3975+1))</f>
        <v>.</v>
      </c>
      <c r="B3976" s="244" t="str">
        <f t="shared" si="62"/>
        <v>Total Hip ReplacementProviderEPSOM AND ST HELIER UNIVERSITY HOSPITALS NHS TRUST (RVR)EQ-5D Index</v>
      </c>
      <c r="C3976" t="s">
        <v>974</v>
      </c>
      <c r="D3976" t="s">
        <v>965</v>
      </c>
      <c r="E3976" t="s">
        <v>238</v>
      </c>
      <c r="F3976" t="s">
        <v>239</v>
      </c>
      <c r="G3976" t="s">
        <v>963</v>
      </c>
      <c r="H3976">
        <v>541</v>
      </c>
      <c r="I3976">
        <v>0.38616099999999998</v>
      </c>
      <c r="J3976">
        <v>0.806392</v>
      </c>
      <c r="K3976">
        <v>0.42023100000000002</v>
      </c>
      <c r="L3976">
        <v>495</v>
      </c>
      <c r="M3976">
        <v>23</v>
      </c>
      <c r="N3976">
        <v>23</v>
      </c>
      <c r="O3976">
        <v>0.794184</v>
      </c>
      <c r="P3976">
        <v>0.46662799999999999</v>
      </c>
      <c r="Q3976">
        <v>0.20470099999999999</v>
      </c>
    </row>
    <row r="3977" spans="1:17" x14ac:dyDescent="0.25">
      <c r="A3977" t="str">
        <f>IF(C3977&amp;G3977&amp;D3977&lt;&gt;'Funnel setup'!$K$3&amp;'Funnel setup'!$K$4&amp;'Funnel setup'!$K$6,".",IF(A3976=".",1,A3976+1))</f>
        <v>.</v>
      </c>
      <c r="B3977" s="244" t="str">
        <f t="shared" si="62"/>
        <v>Total Hip ReplacementProviderEUXTON HALL HOSPITAL (NVC05)EQ-5D Index</v>
      </c>
      <c r="C3977" t="s">
        <v>974</v>
      </c>
      <c r="D3977" t="s">
        <v>965</v>
      </c>
      <c r="E3977" t="s">
        <v>240</v>
      </c>
      <c r="F3977" t="s">
        <v>241</v>
      </c>
      <c r="G3977" t="s">
        <v>963</v>
      </c>
      <c r="H3977">
        <v>56</v>
      </c>
      <c r="I3977">
        <v>0.29519600000000001</v>
      </c>
      <c r="J3977">
        <v>0.83523199999999997</v>
      </c>
      <c r="K3977">
        <v>0.54003599999999996</v>
      </c>
      <c r="L3977">
        <v>54</v>
      </c>
      <c r="M3977">
        <v>2</v>
      </c>
      <c r="N3977">
        <v>0</v>
      </c>
      <c r="O3977">
        <v>0.83628199999999997</v>
      </c>
      <c r="P3977">
        <v>0.50872600000000001</v>
      </c>
      <c r="Q3977">
        <v>0.17622099999999999</v>
      </c>
    </row>
    <row r="3978" spans="1:17" x14ac:dyDescent="0.25">
      <c r="A3978" t="str">
        <f>IF(C3978&amp;G3978&amp;D3978&lt;&gt;'Funnel setup'!$K$3&amp;'Funnel setup'!$K$4&amp;'Funnel setup'!$K$6,".",IF(A3977=".",1,A3977+1))</f>
        <v>.</v>
      </c>
      <c r="B3978" s="244" t="str">
        <f t="shared" si="62"/>
        <v>Total Hip ReplacementProviderFAIRFIELD HOSPITAL (NVG01)EQ-5D Index</v>
      </c>
      <c r="C3978" t="s">
        <v>974</v>
      </c>
      <c r="D3978" t="s">
        <v>965</v>
      </c>
      <c r="E3978" t="s">
        <v>242</v>
      </c>
      <c r="F3978" t="s">
        <v>243</v>
      </c>
      <c r="G3978" t="s">
        <v>963</v>
      </c>
      <c r="H3978">
        <v>41</v>
      </c>
      <c r="I3978">
        <v>0.320878</v>
      </c>
      <c r="J3978">
        <v>0.70821999999999996</v>
      </c>
      <c r="K3978">
        <v>0.38734099999999999</v>
      </c>
      <c r="L3978">
        <v>36</v>
      </c>
      <c r="M3978">
        <v>1</v>
      </c>
      <c r="N3978">
        <v>4</v>
      </c>
      <c r="O3978">
        <v>0.70478700000000005</v>
      </c>
      <c r="P3978">
        <v>0.37723099999999998</v>
      </c>
      <c r="Q3978">
        <v>0.27696199999999999</v>
      </c>
    </row>
    <row r="3979" spans="1:17" x14ac:dyDescent="0.25">
      <c r="A3979" t="str">
        <f>IF(C3979&amp;G3979&amp;D3979&lt;&gt;'Funnel setup'!$K$3&amp;'Funnel setup'!$K$4&amp;'Funnel setup'!$K$6,".",IF(A3978=".",1,A3978+1))</f>
        <v>.</v>
      </c>
      <c r="B3979" s="244" t="str">
        <f t="shared" si="62"/>
        <v>Total Hip ReplacementProviderFITZWILLIAM HOSPITAL (NVC06)EQ-5D Index</v>
      </c>
      <c r="C3979" t="s">
        <v>974</v>
      </c>
      <c r="D3979" t="s">
        <v>965</v>
      </c>
      <c r="E3979" t="s">
        <v>244</v>
      </c>
      <c r="F3979" t="s">
        <v>245</v>
      </c>
      <c r="G3979" t="s">
        <v>963</v>
      </c>
      <c r="H3979">
        <v>58</v>
      </c>
      <c r="I3979">
        <v>0.34908499999999998</v>
      </c>
      <c r="J3979">
        <v>0.802508</v>
      </c>
      <c r="K3979">
        <v>0.45342399999999999</v>
      </c>
      <c r="L3979">
        <v>53</v>
      </c>
      <c r="M3979">
        <v>3</v>
      </c>
      <c r="N3979">
        <v>2</v>
      </c>
      <c r="O3979">
        <v>0.79490400000000005</v>
      </c>
      <c r="P3979">
        <v>0.46734799999999999</v>
      </c>
      <c r="Q3979">
        <v>0.19978699999999999</v>
      </c>
    </row>
    <row r="3980" spans="1:17" x14ac:dyDescent="0.25">
      <c r="A3980" t="str">
        <f>IF(C3980&amp;G3980&amp;D3980&lt;&gt;'Funnel setup'!$K$3&amp;'Funnel setup'!$K$4&amp;'Funnel setup'!$K$6,".",IF(A3979=".",1,A3979+1))</f>
        <v>.</v>
      </c>
      <c r="B3980" s="244" t="str">
        <f t="shared" si="62"/>
        <v>Total Hip ReplacementProviderFRIMLEY HEALTH NHS FOUNDATION TRUST (RDU)EQ-5D Index</v>
      </c>
      <c r="C3980" t="s">
        <v>974</v>
      </c>
      <c r="D3980" t="s">
        <v>965</v>
      </c>
      <c r="E3980" t="s">
        <v>248</v>
      </c>
      <c r="F3980" t="s">
        <v>249</v>
      </c>
      <c r="G3980" t="s">
        <v>963</v>
      </c>
      <c r="H3980">
        <v>179</v>
      </c>
      <c r="I3980">
        <v>0.35877700000000001</v>
      </c>
      <c r="J3980">
        <v>0.81384900000000004</v>
      </c>
      <c r="K3980">
        <v>0.45507300000000001</v>
      </c>
      <c r="L3980">
        <v>164</v>
      </c>
      <c r="M3980">
        <v>7</v>
      </c>
      <c r="N3980">
        <v>8</v>
      </c>
      <c r="O3980">
        <v>0.79409799999999997</v>
      </c>
      <c r="P3980">
        <v>0.46654200000000001</v>
      </c>
      <c r="Q3980">
        <v>0.20389399999999999</v>
      </c>
    </row>
    <row r="3981" spans="1:17" x14ac:dyDescent="0.25">
      <c r="A3981" t="str">
        <f>IF(C3981&amp;G3981&amp;D3981&lt;&gt;'Funnel setup'!$K$3&amp;'Funnel setup'!$K$4&amp;'Funnel setup'!$K$6,".",IF(A3980=".",1,A3980+1))</f>
        <v>.</v>
      </c>
      <c r="B3981" s="244" t="str">
        <f t="shared" si="62"/>
        <v>Total Hip ReplacementProviderFULWOOD HALL HOSPITAL (NVC07)EQ-5D Index</v>
      </c>
      <c r="C3981" t="s">
        <v>974</v>
      </c>
      <c r="D3981" t="s">
        <v>965</v>
      </c>
      <c r="E3981" t="s">
        <v>250</v>
      </c>
      <c r="F3981" t="s">
        <v>251</v>
      </c>
      <c r="G3981" t="s">
        <v>963</v>
      </c>
      <c r="H3981">
        <v>65</v>
      </c>
      <c r="I3981">
        <v>0.48353800000000002</v>
      </c>
      <c r="J3981">
        <v>0.86980000000000002</v>
      </c>
      <c r="K3981">
        <v>0.38626199999999999</v>
      </c>
      <c r="L3981">
        <v>59</v>
      </c>
      <c r="M3981">
        <v>3</v>
      </c>
      <c r="N3981">
        <v>3</v>
      </c>
      <c r="O3981">
        <v>0.81417799999999996</v>
      </c>
      <c r="P3981">
        <v>0.486622</v>
      </c>
      <c r="Q3981">
        <v>0.16322500000000001</v>
      </c>
    </row>
    <row r="3982" spans="1:17" x14ac:dyDescent="0.25">
      <c r="A3982" t="str">
        <f>IF(C3982&amp;G3982&amp;D3982&lt;&gt;'Funnel setup'!$K$3&amp;'Funnel setup'!$K$4&amp;'Funnel setup'!$K$6,".",IF(A3981=".",1,A3981+1))</f>
        <v>.</v>
      </c>
      <c r="B3982" s="244" t="str">
        <f t="shared" si="62"/>
        <v>Total Hip ReplacementProviderGATESHEAD HEALTH NHS FOUNDATION TRUST (RR7)EQ-5D Index</v>
      </c>
      <c r="C3982" t="s">
        <v>974</v>
      </c>
      <c r="D3982" t="s">
        <v>965</v>
      </c>
      <c r="E3982" t="s">
        <v>252</v>
      </c>
      <c r="F3982" t="s">
        <v>253</v>
      </c>
      <c r="G3982" t="s">
        <v>963</v>
      </c>
      <c r="H3982">
        <v>51</v>
      </c>
      <c r="I3982">
        <v>0.18229400000000001</v>
      </c>
      <c r="J3982">
        <v>0.71135300000000001</v>
      </c>
      <c r="K3982">
        <v>0.52905899999999995</v>
      </c>
      <c r="L3982">
        <v>46</v>
      </c>
      <c r="M3982">
        <v>2</v>
      </c>
      <c r="N3982">
        <v>3</v>
      </c>
      <c r="O3982">
        <v>0.78806200000000004</v>
      </c>
      <c r="P3982">
        <v>0.460507</v>
      </c>
      <c r="Q3982">
        <v>0.28148000000000001</v>
      </c>
    </row>
    <row r="3983" spans="1:17" x14ac:dyDescent="0.25">
      <c r="A3983" t="str">
        <f>IF(C3983&amp;G3983&amp;D3983&lt;&gt;'Funnel setup'!$K$3&amp;'Funnel setup'!$K$4&amp;'Funnel setup'!$K$6,".",IF(A3982=".",1,A3982+1))</f>
        <v>.</v>
      </c>
      <c r="B3983" s="244" t="str">
        <f t="shared" si="62"/>
        <v>Total Hip ReplacementProviderGLOUCESTERSHIRE HOSPITALS NHS FOUNDATION TRUST (RTE)EQ-5D Index</v>
      </c>
      <c r="C3983" t="s">
        <v>974</v>
      </c>
      <c r="D3983" t="s">
        <v>965</v>
      </c>
      <c r="E3983" t="s">
        <v>256</v>
      </c>
      <c r="F3983" t="s">
        <v>257</v>
      </c>
      <c r="G3983" t="s">
        <v>963</v>
      </c>
      <c r="H3983">
        <v>70</v>
      </c>
      <c r="I3983">
        <v>0.23888599999999999</v>
      </c>
      <c r="J3983">
        <v>0.75177099999999997</v>
      </c>
      <c r="K3983">
        <v>0.51288599999999995</v>
      </c>
      <c r="L3983">
        <v>61</v>
      </c>
      <c r="M3983">
        <v>5</v>
      </c>
      <c r="N3983">
        <v>4</v>
      </c>
      <c r="O3983">
        <v>0.77935699999999997</v>
      </c>
      <c r="P3983">
        <v>0.45180100000000001</v>
      </c>
      <c r="Q3983">
        <v>0.23264599999999999</v>
      </c>
    </row>
    <row r="3984" spans="1:17" x14ac:dyDescent="0.25">
      <c r="A3984" t="str">
        <f>IF(C3984&amp;G3984&amp;D3984&lt;&gt;'Funnel setup'!$K$3&amp;'Funnel setup'!$K$4&amp;'Funnel setup'!$K$6,".",IF(A3983=".",1,A3983+1))</f>
        <v>.</v>
      </c>
      <c r="B3984" s="244" t="str">
        <f t="shared" si="62"/>
        <v>Total Hip ReplacementProviderGORING HALL HOSPITAL (NT417)EQ-5D Index</v>
      </c>
      <c r="C3984" t="s">
        <v>974</v>
      </c>
      <c r="D3984" t="s">
        <v>965</v>
      </c>
      <c r="E3984" t="s">
        <v>258</v>
      </c>
      <c r="F3984" t="s">
        <v>259</v>
      </c>
      <c r="G3984" t="s">
        <v>963</v>
      </c>
      <c r="H3984">
        <v>25</v>
      </c>
      <c r="I3984">
        <v>0.38932</v>
      </c>
      <c r="J3984">
        <v>0.84052000000000004</v>
      </c>
      <c r="K3984">
        <v>0.45119999999999999</v>
      </c>
      <c r="L3984">
        <v>21</v>
      </c>
      <c r="M3984">
        <v>2</v>
      </c>
      <c r="N3984">
        <v>2</v>
      </c>
      <c r="O3984" t="s">
        <v>127</v>
      </c>
      <c r="P3984" t="s">
        <v>127</v>
      </c>
      <c r="Q3984" t="s">
        <v>127</v>
      </c>
    </row>
    <row r="3985" spans="1:17" x14ac:dyDescent="0.25">
      <c r="A3985" t="str">
        <f>IF(C3985&amp;G3985&amp;D3985&lt;&gt;'Funnel setup'!$K$3&amp;'Funnel setup'!$K$4&amp;'Funnel setup'!$K$6,".",IF(A3984=".",1,A3984+1))</f>
        <v>.</v>
      </c>
      <c r="B3985" s="244" t="str">
        <f t="shared" si="62"/>
        <v>Total Hip ReplacementProviderGUY'S AND ST THOMAS' NHS FOUNDATION TRUST (RJ1)EQ-5D Index</v>
      </c>
      <c r="C3985" t="s">
        <v>974</v>
      </c>
      <c r="D3985" t="s">
        <v>965</v>
      </c>
      <c r="E3985" t="s">
        <v>262</v>
      </c>
      <c r="F3985" t="s">
        <v>263</v>
      </c>
      <c r="G3985" t="s">
        <v>963</v>
      </c>
      <c r="H3985">
        <v>82</v>
      </c>
      <c r="I3985">
        <v>0.33976800000000001</v>
      </c>
      <c r="J3985">
        <v>0.67076800000000003</v>
      </c>
      <c r="K3985">
        <v>0.33100000000000002</v>
      </c>
      <c r="L3985">
        <v>67</v>
      </c>
      <c r="M3985">
        <v>5</v>
      </c>
      <c r="N3985">
        <v>10</v>
      </c>
      <c r="O3985">
        <v>0.68104600000000004</v>
      </c>
      <c r="P3985">
        <v>0.35349000000000003</v>
      </c>
      <c r="Q3985">
        <v>0.307226</v>
      </c>
    </row>
    <row r="3986" spans="1:17" x14ac:dyDescent="0.25">
      <c r="A3986" t="str">
        <f>IF(C3986&amp;G3986&amp;D3986&lt;&gt;'Funnel setup'!$K$3&amp;'Funnel setup'!$K$4&amp;'Funnel setup'!$K$6,".",IF(A3985=".",1,A3985+1))</f>
        <v>.</v>
      </c>
      <c r="B3986" s="244" t="str">
        <f t="shared" si="62"/>
        <v>Total Hip ReplacementProviderHAMPSHIRE CLINIC (NT418)EQ-5D Index</v>
      </c>
      <c r="C3986" t="s">
        <v>974</v>
      </c>
      <c r="D3986" t="s">
        <v>965</v>
      </c>
      <c r="E3986" t="s">
        <v>264</v>
      </c>
      <c r="F3986" t="s">
        <v>265</v>
      </c>
      <c r="G3986" t="s">
        <v>963</v>
      </c>
      <c r="H3986">
        <v>27</v>
      </c>
      <c r="I3986">
        <v>0.52533300000000005</v>
      </c>
      <c r="J3986">
        <v>0.85003700000000004</v>
      </c>
      <c r="K3986">
        <v>0.32470399999999999</v>
      </c>
      <c r="L3986">
        <v>22</v>
      </c>
      <c r="M3986">
        <v>4</v>
      </c>
      <c r="N3986">
        <v>1</v>
      </c>
      <c r="O3986" t="s">
        <v>127</v>
      </c>
      <c r="P3986" t="s">
        <v>127</v>
      </c>
      <c r="Q3986" t="s">
        <v>127</v>
      </c>
    </row>
    <row r="3987" spans="1:17" x14ac:dyDescent="0.25">
      <c r="A3987" t="str">
        <f>IF(C3987&amp;G3987&amp;D3987&lt;&gt;'Funnel setup'!$K$3&amp;'Funnel setup'!$K$4&amp;'Funnel setup'!$K$6,".",IF(A3986=".",1,A3986+1))</f>
        <v>.</v>
      </c>
      <c r="B3987" s="244" t="str">
        <f t="shared" si="62"/>
        <v>Total Hip ReplacementProviderHAMPSHIRE HOSPITALS NHS FOUNDATION TRUST (RN5)EQ-5D Index</v>
      </c>
      <c r="C3987" t="s">
        <v>974</v>
      </c>
      <c r="D3987" t="s">
        <v>965</v>
      </c>
      <c r="E3987" t="s">
        <v>266</v>
      </c>
      <c r="F3987" t="s">
        <v>267</v>
      </c>
      <c r="G3987" t="s">
        <v>963</v>
      </c>
      <c r="H3987">
        <v>33</v>
      </c>
      <c r="I3987">
        <v>0.26824199999999998</v>
      </c>
      <c r="J3987">
        <v>0.77793900000000005</v>
      </c>
      <c r="K3987">
        <v>0.50969699999999996</v>
      </c>
      <c r="L3987">
        <v>31</v>
      </c>
      <c r="M3987">
        <v>2</v>
      </c>
      <c r="N3987">
        <v>0</v>
      </c>
      <c r="O3987">
        <v>0.80158300000000005</v>
      </c>
      <c r="P3987">
        <v>0.47402699999999998</v>
      </c>
      <c r="Q3987">
        <v>0.22452900000000001</v>
      </c>
    </row>
    <row r="3988" spans="1:17" x14ac:dyDescent="0.25">
      <c r="A3988" t="str">
        <f>IF(C3988&amp;G3988&amp;D3988&lt;&gt;'Funnel setup'!$K$3&amp;'Funnel setup'!$K$4&amp;'Funnel setup'!$K$6,".",IF(A3987=".",1,A3987+1))</f>
        <v>.</v>
      </c>
      <c r="B3988" s="244" t="str">
        <f t="shared" si="62"/>
        <v>Total Hip ReplacementProviderHARBOUR HOSPITAL (NT419)EQ-5D Index</v>
      </c>
      <c r="C3988" t="s">
        <v>974</v>
      </c>
      <c r="D3988" t="s">
        <v>965</v>
      </c>
      <c r="E3988" t="s">
        <v>268</v>
      </c>
      <c r="F3988" t="s">
        <v>269</v>
      </c>
      <c r="G3988" t="s">
        <v>963</v>
      </c>
      <c r="H3988">
        <v>10</v>
      </c>
      <c r="I3988">
        <v>0.46539999999999998</v>
      </c>
      <c r="J3988">
        <v>0.88749999999999996</v>
      </c>
      <c r="K3988">
        <v>0.42209999999999998</v>
      </c>
      <c r="L3988">
        <v>9</v>
      </c>
      <c r="M3988">
        <v>1</v>
      </c>
      <c r="N3988">
        <v>0</v>
      </c>
      <c r="O3988" t="s">
        <v>127</v>
      </c>
      <c r="P3988" t="s">
        <v>127</v>
      </c>
      <c r="Q3988" t="s">
        <v>127</v>
      </c>
    </row>
    <row r="3989" spans="1:17" x14ac:dyDescent="0.25">
      <c r="A3989" t="str">
        <f>IF(C3989&amp;G3989&amp;D3989&lt;&gt;'Funnel setup'!$K$3&amp;'Funnel setup'!$K$4&amp;'Funnel setup'!$K$6,".",IF(A3988=".",1,A3988+1))</f>
        <v>.</v>
      </c>
      <c r="B3989" s="244" t="str">
        <f t="shared" si="62"/>
        <v>Total Hip ReplacementProviderHARROGATE AND DISTRICT NHS FOUNDATION TRUST (RCD)EQ-5D Index</v>
      </c>
      <c r="C3989" t="s">
        <v>974</v>
      </c>
      <c r="D3989" t="s">
        <v>965</v>
      </c>
      <c r="E3989" t="s">
        <v>270</v>
      </c>
      <c r="F3989" t="s">
        <v>271</v>
      </c>
      <c r="G3989" t="s">
        <v>963</v>
      </c>
      <c r="H3989">
        <v>81</v>
      </c>
      <c r="I3989">
        <v>0.32182699999999997</v>
      </c>
      <c r="J3989">
        <v>0.81465399999999999</v>
      </c>
      <c r="K3989">
        <v>0.49282700000000002</v>
      </c>
      <c r="L3989">
        <v>76</v>
      </c>
      <c r="M3989">
        <v>3</v>
      </c>
      <c r="N3989">
        <v>2</v>
      </c>
      <c r="O3989">
        <v>0.83125099999999996</v>
      </c>
      <c r="P3989">
        <v>0.50369600000000003</v>
      </c>
      <c r="Q3989">
        <v>0.21335299999999999</v>
      </c>
    </row>
    <row r="3990" spans="1:17" x14ac:dyDescent="0.25">
      <c r="A3990" t="str">
        <f>IF(C3990&amp;G3990&amp;D3990&lt;&gt;'Funnel setup'!$K$3&amp;'Funnel setup'!$K$4&amp;'Funnel setup'!$K$6,".",IF(A3989=".",1,A3989+1))</f>
        <v>.</v>
      </c>
      <c r="B3990" s="244" t="str">
        <f t="shared" si="62"/>
        <v>Total Hip ReplacementProviderHIGHFIELD HOSPITAL (NT420)EQ-5D Index</v>
      </c>
      <c r="C3990" t="s">
        <v>974</v>
      </c>
      <c r="D3990" t="s">
        <v>965</v>
      </c>
      <c r="E3990" t="s">
        <v>272</v>
      </c>
      <c r="F3990" t="s">
        <v>273</v>
      </c>
      <c r="G3990" t="s">
        <v>963</v>
      </c>
      <c r="H3990">
        <v>141</v>
      </c>
      <c r="I3990">
        <v>0.37060300000000002</v>
      </c>
      <c r="J3990">
        <v>0.84458900000000003</v>
      </c>
      <c r="K3990">
        <v>0.47398600000000002</v>
      </c>
      <c r="L3990">
        <v>132</v>
      </c>
      <c r="M3990">
        <v>5</v>
      </c>
      <c r="N3990">
        <v>4</v>
      </c>
      <c r="O3990">
        <v>0.81853900000000002</v>
      </c>
      <c r="P3990">
        <v>0.490983</v>
      </c>
      <c r="Q3990">
        <v>0.19597200000000001</v>
      </c>
    </row>
    <row r="3991" spans="1:17" x14ac:dyDescent="0.25">
      <c r="A3991" t="str">
        <f>IF(C3991&amp;G3991&amp;D3991&lt;&gt;'Funnel setup'!$K$3&amp;'Funnel setup'!$K$4&amp;'Funnel setup'!$K$6,".",IF(A3990=".",1,A3990+1))</f>
        <v>.</v>
      </c>
      <c r="B3991" s="244" t="str">
        <f t="shared" si="62"/>
        <v>Total Hip ReplacementProviderHOMERTON HEALTHCARE NHS FOUNDATION TRUST (RQX)EQ-5D Index</v>
      </c>
      <c r="C3991" t="s">
        <v>974</v>
      </c>
      <c r="D3991" t="s">
        <v>965</v>
      </c>
      <c r="E3991" t="s">
        <v>274</v>
      </c>
      <c r="F3991" t="s">
        <v>275</v>
      </c>
      <c r="G3991" t="s">
        <v>963</v>
      </c>
      <c r="H3991">
        <v>4</v>
      </c>
      <c r="I3991">
        <v>0.18124999999999999</v>
      </c>
      <c r="J3991">
        <v>0.72399999999999998</v>
      </c>
      <c r="K3991">
        <v>0.54274999999999995</v>
      </c>
      <c r="L3991">
        <v>4</v>
      </c>
      <c r="M3991">
        <v>0</v>
      </c>
      <c r="N3991">
        <v>0</v>
      </c>
      <c r="O3991" t="s">
        <v>127</v>
      </c>
      <c r="P3991" t="s">
        <v>127</v>
      </c>
      <c r="Q3991" t="s">
        <v>127</v>
      </c>
    </row>
    <row r="3992" spans="1:17" x14ac:dyDescent="0.25">
      <c r="A3992" t="str">
        <f>IF(C3992&amp;G3992&amp;D3992&lt;&gt;'Funnel setup'!$K$3&amp;'Funnel setup'!$K$4&amp;'Funnel setup'!$K$6,".",IF(A3991=".",1,A3991+1))</f>
        <v>.</v>
      </c>
      <c r="B3992" s="244" t="str">
        <f t="shared" si="62"/>
        <v>Total Hip ReplacementProviderHUDDERSFIELD HOSPITAL (NT448)EQ-5D Index</v>
      </c>
      <c r="C3992" t="s">
        <v>974</v>
      </c>
      <c r="D3992" t="s">
        <v>965</v>
      </c>
      <c r="E3992" t="s">
        <v>276</v>
      </c>
      <c r="F3992" t="s">
        <v>277</v>
      </c>
      <c r="G3992" t="s">
        <v>963</v>
      </c>
      <c r="H3992">
        <v>8</v>
      </c>
      <c r="I3992">
        <v>0.40737499999999999</v>
      </c>
      <c r="J3992">
        <v>0.84775</v>
      </c>
      <c r="K3992">
        <v>0.44037500000000002</v>
      </c>
      <c r="L3992">
        <v>8</v>
      </c>
      <c r="M3992">
        <v>0</v>
      </c>
      <c r="N3992">
        <v>0</v>
      </c>
      <c r="O3992" t="s">
        <v>127</v>
      </c>
      <c r="P3992" t="s">
        <v>127</v>
      </c>
      <c r="Q3992" t="s">
        <v>127</v>
      </c>
    </row>
    <row r="3993" spans="1:17" x14ac:dyDescent="0.25">
      <c r="A3993" t="str">
        <f>IF(C3993&amp;G3993&amp;D3993&lt;&gt;'Funnel setup'!$K$3&amp;'Funnel setup'!$K$4&amp;'Funnel setup'!$K$6,".",IF(A3992=".",1,A3992+1))</f>
        <v>.</v>
      </c>
      <c r="B3993" s="244" t="str">
        <f t="shared" si="62"/>
        <v>Total Hip ReplacementProviderHULL UNIVERSITY TEACHING HOSPITALS NHS TRUST (RWA)EQ-5D Index</v>
      </c>
      <c r="C3993" t="s">
        <v>974</v>
      </c>
      <c r="D3993" t="s">
        <v>965</v>
      </c>
      <c r="E3993" t="s">
        <v>278</v>
      </c>
      <c r="F3993" t="s">
        <v>279</v>
      </c>
      <c r="G3993" t="s">
        <v>963</v>
      </c>
      <c r="H3993">
        <v>35</v>
      </c>
      <c r="I3993">
        <v>0.19511400000000001</v>
      </c>
      <c r="J3993">
        <v>0.64759999999999995</v>
      </c>
      <c r="K3993">
        <v>0.452486</v>
      </c>
      <c r="L3993">
        <v>30</v>
      </c>
      <c r="M3993">
        <v>3</v>
      </c>
      <c r="N3993">
        <v>2</v>
      </c>
      <c r="O3993">
        <v>0.72048699999999999</v>
      </c>
      <c r="P3993">
        <v>0.39293099999999997</v>
      </c>
      <c r="Q3993">
        <v>0.309834</v>
      </c>
    </row>
    <row r="3994" spans="1:17" x14ac:dyDescent="0.25">
      <c r="A3994" t="str">
        <f>IF(C3994&amp;G3994&amp;D3994&lt;&gt;'Funnel setup'!$K$3&amp;'Funnel setup'!$K$4&amp;'Funnel setup'!$K$6,".",IF(A3993=".",1,A3993+1))</f>
        <v>.</v>
      </c>
      <c r="B3994" s="244" t="str">
        <f t="shared" si="62"/>
        <v>Total Hip ReplacementProviderIMPERIAL COLLEGE HEALTHCARE NHS TRUST (RYJ)EQ-5D Index</v>
      </c>
      <c r="C3994" t="s">
        <v>974</v>
      </c>
      <c r="D3994" t="s">
        <v>965</v>
      </c>
      <c r="E3994" t="s">
        <v>280</v>
      </c>
      <c r="F3994" t="s">
        <v>281</v>
      </c>
      <c r="G3994" t="s">
        <v>963</v>
      </c>
      <c r="H3994">
        <v>23</v>
      </c>
      <c r="I3994">
        <v>0.18099999999999999</v>
      </c>
      <c r="J3994">
        <v>0.84695699999999996</v>
      </c>
      <c r="K3994">
        <v>0.66595700000000002</v>
      </c>
      <c r="L3994">
        <v>23</v>
      </c>
      <c r="M3994">
        <v>0</v>
      </c>
      <c r="N3994">
        <v>0</v>
      </c>
      <c r="O3994" t="s">
        <v>127</v>
      </c>
      <c r="P3994" t="s">
        <v>127</v>
      </c>
      <c r="Q3994" t="s">
        <v>127</v>
      </c>
    </row>
    <row r="3995" spans="1:17" x14ac:dyDescent="0.25">
      <c r="A3995" t="str">
        <f>IF(C3995&amp;G3995&amp;D3995&lt;&gt;'Funnel setup'!$K$3&amp;'Funnel setup'!$K$4&amp;'Funnel setup'!$K$6,".",IF(A3994=".",1,A3994+1))</f>
        <v>.</v>
      </c>
      <c r="B3995" s="244" t="str">
        <f t="shared" si="62"/>
        <v>Total Hip ReplacementProviderISLE OF WIGHT NHS TRUST (R1F)EQ-5D Index</v>
      </c>
      <c r="C3995" t="s">
        <v>974</v>
      </c>
      <c r="D3995" t="s">
        <v>965</v>
      </c>
      <c r="E3995" t="s">
        <v>282</v>
      </c>
      <c r="F3995" t="s">
        <v>283</v>
      </c>
      <c r="G3995" t="s">
        <v>963</v>
      </c>
      <c r="H3995">
        <v>2</v>
      </c>
      <c r="I3995">
        <v>0.38950000000000001</v>
      </c>
      <c r="J3995">
        <v>0.85499999999999998</v>
      </c>
      <c r="K3995">
        <v>0.46550000000000002</v>
      </c>
      <c r="L3995">
        <v>2</v>
      </c>
      <c r="M3995">
        <v>0</v>
      </c>
      <c r="N3995">
        <v>0</v>
      </c>
      <c r="O3995" t="s">
        <v>127</v>
      </c>
      <c r="P3995" t="s">
        <v>127</v>
      </c>
      <c r="Q3995" t="s">
        <v>127</v>
      </c>
    </row>
    <row r="3996" spans="1:17" x14ac:dyDescent="0.25">
      <c r="A3996" t="str">
        <f>IF(C3996&amp;G3996&amp;D3996&lt;&gt;'Funnel setup'!$K$3&amp;'Funnel setup'!$K$4&amp;'Funnel setup'!$K$6,".",IF(A3995=".",1,A3995+1))</f>
        <v>.</v>
      </c>
      <c r="B3996" s="244" t="str">
        <f t="shared" si="62"/>
        <v>Total Hip ReplacementProviderJAMES PAGET UNIVERSITY HOSPITALS NHS FOUNDATION TRUST (RGP)EQ-5D Index</v>
      </c>
      <c r="C3996" t="s">
        <v>974</v>
      </c>
      <c r="D3996" t="s">
        <v>965</v>
      </c>
      <c r="E3996" t="s">
        <v>284</v>
      </c>
      <c r="F3996" t="s">
        <v>285</v>
      </c>
      <c r="G3996" t="s">
        <v>963</v>
      </c>
      <c r="H3996">
        <v>67</v>
      </c>
      <c r="I3996">
        <v>0.238507</v>
      </c>
      <c r="J3996">
        <v>0.73773100000000003</v>
      </c>
      <c r="K3996">
        <v>0.499224</v>
      </c>
      <c r="L3996">
        <v>61</v>
      </c>
      <c r="M3996">
        <v>3</v>
      </c>
      <c r="N3996">
        <v>3</v>
      </c>
      <c r="O3996">
        <v>0.75262799999999996</v>
      </c>
      <c r="P3996">
        <v>0.42507200000000001</v>
      </c>
      <c r="Q3996">
        <v>0.29257899999999998</v>
      </c>
    </row>
    <row r="3997" spans="1:17" x14ac:dyDescent="0.25">
      <c r="A3997" t="str">
        <f>IF(C3997&amp;G3997&amp;D3997&lt;&gt;'Funnel setup'!$K$3&amp;'Funnel setup'!$K$4&amp;'Funnel setup'!$K$6,".",IF(A3996=".",1,A3996+1))</f>
        <v>.</v>
      </c>
      <c r="B3997" s="244" t="str">
        <f t="shared" si="62"/>
        <v>Total Hip ReplacementProviderKETTERING GENERAL HOSPITAL NHS FOUNDATION TRUST (RNQ)EQ-5D Index</v>
      </c>
      <c r="C3997" t="s">
        <v>974</v>
      </c>
      <c r="D3997" t="s">
        <v>965</v>
      </c>
      <c r="E3997" t="s">
        <v>286</v>
      </c>
      <c r="F3997" t="s">
        <v>287</v>
      </c>
      <c r="G3997" t="s">
        <v>963</v>
      </c>
      <c r="H3997">
        <v>32</v>
      </c>
      <c r="I3997">
        <v>0.213281</v>
      </c>
      <c r="J3997">
        <v>0.71943699999999999</v>
      </c>
      <c r="K3997">
        <v>0.50615600000000005</v>
      </c>
      <c r="L3997">
        <v>26</v>
      </c>
      <c r="M3997">
        <v>3</v>
      </c>
      <c r="N3997">
        <v>3</v>
      </c>
      <c r="O3997">
        <v>0.78396200000000005</v>
      </c>
      <c r="P3997">
        <v>0.45640700000000001</v>
      </c>
      <c r="Q3997">
        <v>0.20106599999999999</v>
      </c>
    </row>
    <row r="3998" spans="1:17" x14ac:dyDescent="0.25">
      <c r="A3998" t="str">
        <f>IF(C3998&amp;G3998&amp;D3998&lt;&gt;'Funnel setup'!$K$3&amp;'Funnel setup'!$K$4&amp;'Funnel setup'!$K$6,".",IF(A3997=".",1,A3997+1))</f>
        <v>.</v>
      </c>
      <c r="B3998" s="244" t="str">
        <f t="shared" si="62"/>
        <v>Total Hip ReplacementProviderKIMS HOSPITAL (NEWNHAM COURT) (ADP02)EQ-5D Index</v>
      </c>
      <c r="C3998" t="s">
        <v>974</v>
      </c>
      <c r="D3998" t="s">
        <v>965</v>
      </c>
      <c r="E3998" t="s">
        <v>288</v>
      </c>
      <c r="F3998" t="s">
        <v>289</v>
      </c>
      <c r="G3998" t="s">
        <v>963</v>
      </c>
      <c r="H3998">
        <v>102</v>
      </c>
      <c r="I3998">
        <v>0.41298000000000001</v>
      </c>
      <c r="J3998">
        <v>0.82252899999999995</v>
      </c>
      <c r="K3998">
        <v>0.409549</v>
      </c>
      <c r="L3998">
        <v>95</v>
      </c>
      <c r="M3998">
        <v>4</v>
      </c>
      <c r="N3998">
        <v>3</v>
      </c>
      <c r="O3998">
        <v>0.77697400000000005</v>
      </c>
      <c r="P3998">
        <v>0.44941799999999998</v>
      </c>
      <c r="Q3998">
        <v>0.19447200000000001</v>
      </c>
    </row>
    <row r="3999" spans="1:17" x14ac:dyDescent="0.25">
      <c r="A3999" t="str">
        <f>IF(C3999&amp;G3999&amp;D3999&lt;&gt;'Funnel setup'!$K$3&amp;'Funnel setup'!$K$4&amp;'Funnel setup'!$K$6,".",IF(A3998=".",1,A3998+1))</f>
        <v>.</v>
      </c>
      <c r="B3999" s="244" t="str">
        <f t="shared" si="62"/>
        <v>Total Hip ReplacementProviderKING'S COLLEGE HOSPITAL NHS FOUNDATION TRUST (RJZ)EQ-5D Index</v>
      </c>
      <c r="C3999" t="s">
        <v>974</v>
      </c>
      <c r="D3999" t="s">
        <v>965</v>
      </c>
      <c r="E3999" t="s">
        <v>290</v>
      </c>
      <c r="F3999" t="s">
        <v>291</v>
      </c>
      <c r="G3999" t="s">
        <v>963</v>
      </c>
      <c r="H3999">
        <v>15</v>
      </c>
      <c r="I3999">
        <v>0.4088</v>
      </c>
      <c r="J3999">
        <v>0.62333300000000003</v>
      </c>
      <c r="K3999">
        <v>0.214533</v>
      </c>
      <c r="L3999">
        <v>9</v>
      </c>
      <c r="M3999">
        <v>4</v>
      </c>
      <c r="N3999">
        <v>2</v>
      </c>
      <c r="O3999" t="s">
        <v>127</v>
      </c>
      <c r="P3999" t="s">
        <v>127</v>
      </c>
      <c r="Q3999" t="s">
        <v>127</v>
      </c>
    </row>
    <row r="4000" spans="1:17" x14ac:dyDescent="0.25">
      <c r="A4000" t="str">
        <f>IF(C4000&amp;G4000&amp;D4000&lt;&gt;'Funnel setup'!$K$3&amp;'Funnel setup'!$K$4&amp;'Funnel setup'!$K$6,".",IF(A3999=".",1,A3999+1))</f>
        <v>.</v>
      </c>
      <c r="B4000" s="244" t="str">
        <f t="shared" si="62"/>
        <v>Total Hip ReplacementProviderKINGS OAK HOSPITAL (NT421)EQ-5D Index</v>
      </c>
      <c r="C4000" t="s">
        <v>974</v>
      </c>
      <c r="D4000" t="s">
        <v>965</v>
      </c>
      <c r="E4000" t="s">
        <v>292</v>
      </c>
      <c r="F4000" t="s">
        <v>293</v>
      </c>
      <c r="G4000" t="s">
        <v>963</v>
      </c>
      <c r="H4000">
        <v>15</v>
      </c>
      <c r="I4000">
        <v>0.32553300000000002</v>
      </c>
      <c r="J4000">
        <v>0.849333</v>
      </c>
      <c r="K4000">
        <v>0.52380000000000004</v>
      </c>
      <c r="L4000">
        <v>14</v>
      </c>
      <c r="M4000">
        <v>0</v>
      </c>
      <c r="N4000">
        <v>1</v>
      </c>
      <c r="O4000" t="s">
        <v>127</v>
      </c>
      <c r="P4000" t="s">
        <v>127</v>
      </c>
      <c r="Q4000" t="s">
        <v>127</v>
      </c>
    </row>
    <row r="4001" spans="1:17" x14ac:dyDescent="0.25">
      <c r="A4001" t="str">
        <f>IF(C4001&amp;G4001&amp;D4001&lt;&gt;'Funnel setup'!$K$3&amp;'Funnel setup'!$K$4&amp;'Funnel setup'!$K$6,".",IF(A4000=".",1,A4000+1))</f>
        <v>.</v>
      </c>
      <c r="B4001" s="244" t="str">
        <f t="shared" si="62"/>
        <v>Total Hip ReplacementProviderLANCASHIRE TEACHING HOSPITALS NHS FOUNDATION TRUST (RXN)EQ-5D Index</v>
      </c>
      <c r="C4001" t="s">
        <v>974</v>
      </c>
      <c r="D4001" t="s">
        <v>965</v>
      </c>
      <c r="E4001" t="s">
        <v>296</v>
      </c>
      <c r="F4001" t="s">
        <v>297</v>
      </c>
      <c r="G4001" t="s">
        <v>963</v>
      </c>
      <c r="H4001">
        <v>35</v>
      </c>
      <c r="I4001">
        <v>0.20468600000000001</v>
      </c>
      <c r="J4001">
        <v>0.64408600000000005</v>
      </c>
      <c r="K4001">
        <v>0.43940000000000001</v>
      </c>
      <c r="L4001">
        <v>29</v>
      </c>
      <c r="M4001">
        <v>2</v>
      </c>
      <c r="N4001">
        <v>4</v>
      </c>
      <c r="O4001">
        <v>0.73284099999999996</v>
      </c>
      <c r="P4001">
        <v>0.40528599999999998</v>
      </c>
      <c r="Q4001">
        <v>0.35245199999999999</v>
      </c>
    </row>
    <row r="4002" spans="1:17" x14ac:dyDescent="0.25">
      <c r="A4002" t="str">
        <f>IF(C4002&amp;G4002&amp;D4002&lt;&gt;'Funnel setup'!$K$3&amp;'Funnel setup'!$K$4&amp;'Funnel setup'!$K$6,".",IF(A4001=".",1,A4001+1))</f>
        <v>.</v>
      </c>
      <c r="B4002" s="244" t="str">
        <f t="shared" si="62"/>
        <v>Total Hip ReplacementProviderLANCASTER HOSPITAL (NT449)EQ-5D Index</v>
      </c>
      <c r="C4002" t="s">
        <v>974</v>
      </c>
      <c r="D4002" t="s">
        <v>965</v>
      </c>
      <c r="E4002" t="s">
        <v>298</v>
      </c>
      <c r="F4002" t="s">
        <v>299</v>
      </c>
      <c r="G4002" t="s">
        <v>963</v>
      </c>
      <c r="H4002">
        <v>22</v>
      </c>
      <c r="I4002">
        <v>0.43490899999999999</v>
      </c>
      <c r="J4002">
        <v>0.90104499999999998</v>
      </c>
      <c r="K4002">
        <v>0.46613599999999999</v>
      </c>
      <c r="L4002">
        <v>21</v>
      </c>
      <c r="M4002">
        <v>1</v>
      </c>
      <c r="N4002">
        <v>0</v>
      </c>
      <c r="O4002" t="s">
        <v>127</v>
      </c>
      <c r="P4002" t="s">
        <v>127</v>
      </c>
      <c r="Q4002" t="s">
        <v>127</v>
      </c>
    </row>
    <row r="4003" spans="1:17" x14ac:dyDescent="0.25">
      <c r="A4003" t="str">
        <f>IF(C4003&amp;G4003&amp;D4003&lt;&gt;'Funnel setup'!$K$3&amp;'Funnel setup'!$K$4&amp;'Funnel setup'!$K$6,".",IF(A4002=".",1,A4002+1))</f>
        <v>.</v>
      </c>
      <c r="B4003" s="244" t="str">
        <f t="shared" si="62"/>
        <v>Total Hip ReplacementProviderLEEDS TEACHING HOSPITALS NHS TRUST (RR8)EQ-5D Index</v>
      </c>
      <c r="C4003" t="s">
        <v>974</v>
      </c>
      <c r="D4003" t="s">
        <v>965</v>
      </c>
      <c r="E4003" t="s">
        <v>300</v>
      </c>
      <c r="F4003" t="s">
        <v>301</v>
      </c>
      <c r="G4003" t="s">
        <v>963</v>
      </c>
      <c r="H4003">
        <v>114</v>
      </c>
      <c r="I4003">
        <v>0.363728</v>
      </c>
      <c r="J4003">
        <v>0.74777199999999999</v>
      </c>
      <c r="K4003">
        <v>0.384044</v>
      </c>
      <c r="L4003">
        <v>90</v>
      </c>
      <c r="M4003">
        <v>10</v>
      </c>
      <c r="N4003">
        <v>14</v>
      </c>
      <c r="O4003">
        <v>0.76015999999999995</v>
      </c>
      <c r="P4003">
        <v>0.43260399999999999</v>
      </c>
      <c r="Q4003">
        <v>0.223941</v>
      </c>
    </row>
    <row r="4004" spans="1:17" x14ac:dyDescent="0.25">
      <c r="A4004" t="str">
        <f>IF(C4004&amp;G4004&amp;D4004&lt;&gt;'Funnel setup'!$K$3&amp;'Funnel setup'!$K$4&amp;'Funnel setup'!$K$6,".",IF(A4003=".",1,A4003+1))</f>
        <v>.</v>
      </c>
      <c r="B4004" s="244" t="str">
        <f t="shared" si="62"/>
        <v>Total Hip ReplacementProviderLEWISHAM AND GREENWICH NHS TRUST (RJ2)EQ-5D Index</v>
      </c>
      <c r="C4004" t="s">
        <v>974</v>
      </c>
      <c r="D4004" t="s">
        <v>965</v>
      </c>
      <c r="E4004" t="s">
        <v>302</v>
      </c>
      <c r="F4004" t="s">
        <v>303</v>
      </c>
      <c r="G4004" t="s">
        <v>963</v>
      </c>
      <c r="H4004">
        <v>2</v>
      </c>
      <c r="I4004">
        <v>0.69</v>
      </c>
      <c r="J4004">
        <v>1</v>
      </c>
      <c r="K4004">
        <v>0.31</v>
      </c>
      <c r="L4004">
        <v>2</v>
      </c>
      <c r="M4004">
        <v>0</v>
      </c>
      <c r="N4004">
        <v>0</v>
      </c>
      <c r="O4004" t="s">
        <v>127</v>
      </c>
      <c r="P4004" t="s">
        <v>127</v>
      </c>
      <c r="Q4004" t="s">
        <v>127</v>
      </c>
    </row>
    <row r="4005" spans="1:17" x14ac:dyDescent="0.25">
      <c r="A4005" t="str">
        <f>IF(C4005&amp;G4005&amp;D4005&lt;&gt;'Funnel setup'!$K$3&amp;'Funnel setup'!$K$4&amp;'Funnel setup'!$K$6,".",IF(A4004=".",1,A4004+1))</f>
        <v>.</v>
      </c>
      <c r="B4005" s="244" t="str">
        <f t="shared" si="62"/>
        <v>Total Hip ReplacementProviderLINCOLN HOSPITAL (NT450)EQ-5D Index</v>
      </c>
      <c r="C4005" t="s">
        <v>974</v>
      </c>
      <c r="D4005" t="s">
        <v>965</v>
      </c>
      <c r="E4005" t="s">
        <v>304</v>
      </c>
      <c r="F4005" t="s">
        <v>305</v>
      </c>
      <c r="G4005" t="s">
        <v>963</v>
      </c>
      <c r="H4005">
        <v>67</v>
      </c>
      <c r="I4005">
        <v>0.38647799999999999</v>
      </c>
      <c r="J4005">
        <v>0.816299</v>
      </c>
      <c r="K4005">
        <v>0.42982100000000001</v>
      </c>
      <c r="L4005">
        <v>57</v>
      </c>
      <c r="M4005">
        <v>5</v>
      </c>
      <c r="N4005">
        <v>5</v>
      </c>
      <c r="O4005">
        <v>0.80115199999999998</v>
      </c>
      <c r="P4005">
        <v>0.47359699999999999</v>
      </c>
      <c r="Q4005">
        <v>0.27355099999999999</v>
      </c>
    </row>
    <row r="4006" spans="1:17" x14ac:dyDescent="0.25">
      <c r="A4006" t="str">
        <f>IF(C4006&amp;G4006&amp;D4006&lt;&gt;'Funnel setup'!$K$3&amp;'Funnel setup'!$K$4&amp;'Funnel setup'!$K$6,".",IF(A4005=".",1,A4005+1))</f>
        <v>.</v>
      </c>
      <c r="B4006" s="244" t="str">
        <f t="shared" si="62"/>
        <v>Total Hip ReplacementProviderLIVERPOOL UNIVERSITY HOSPITALS NHS FOUNDATION TRUST (REM)EQ-5D Index</v>
      </c>
      <c r="C4006" t="s">
        <v>974</v>
      </c>
      <c r="D4006" t="s">
        <v>965</v>
      </c>
      <c r="E4006" t="s">
        <v>306</v>
      </c>
      <c r="F4006" t="s">
        <v>307</v>
      </c>
      <c r="G4006" t="s">
        <v>963</v>
      </c>
      <c r="H4006">
        <v>91</v>
      </c>
      <c r="I4006">
        <v>0.14626400000000001</v>
      </c>
      <c r="J4006">
        <v>0.707901</v>
      </c>
      <c r="K4006">
        <v>0.56163700000000005</v>
      </c>
      <c r="L4006">
        <v>83</v>
      </c>
      <c r="M4006">
        <v>6</v>
      </c>
      <c r="N4006">
        <v>2</v>
      </c>
      <c r="O4006">
        <v>0.80653600000000003</v>
      </c>
      <c r="P4006">
        <v>0.47898099999999999</v>
      </c>
      <c r="Q4006">
        <v>0.272843</v>
      </c>
    </row>
    <row r="4007" spans="1:17" x14ac:dyDescent="0.25">
      <c r="A4007" t="str">
        <f>IF(C4007&amp;G4007&amp;D4007&lt;&gt;'Funnel setup'!$K$3&amp;'Funnel setup'!$K$4&amp;'Funnel setup'!$K$6,".",IF(A4006=".",1,A4006+1))</f>
        <v>.</v>
      </c>
      <c r="B4007" s="244" t="str">
        <f t="shared" si="62"/>
        <v>Total Hip ReplacementProviderLONDON INDEPENDENT HOSPITAL (NT422)EQ-5D Index</v>
      </c>
      <c r="C4007" t="s">
        <v>974</v>
      </c>
      <c r="D4007" t="s">
        <v>965</v>
      </c>
      <c r="E4007" t="s">
        <v>308</v>
      </c>
      <c r="F4007" t="s">
        <v>309</v>
      </c>
      <c r="G4007" t="s">
        <v>963</v>
      </c>
      <c r="H4007">
        <v>8</v>
      </c>
      <c r="I4007">
        <v>0.23874999999999999</v>
      </c>
      <c r="J4007">
        <v>0.82887500000000003</v>
      </c>
      <c r="K4007">
        <v>0.59012500000000001</v>
      </c>
      <c r="L4007">
        <v>8</v>
      </c>
      <c r="M4007">
        <v>0</v>
      </c>
      <c r="N4007">
        <v>0</v>
      </c>
      <c r="O4007" t="s">
        <v>127</v>
      </c>
      <c r="P4007" t="s">
        <v>127</v>
      </c>
      <c r="Q4007" t="s">
        <v>127</v>
      </c>
    </row>
    <row r="4008" spans="1:17" x14ac:dyDescent="0.25">
      <c r="A4008" t="str">
        <f>IF(C4008&amp;G4008&amp;D4008&lt;&gt;'Funnel setup'!$K$3&amp;'Funnel setup'!$K$4&amp;'Funnel setup'!$K$6,".",IF(A4007=".",1,A4007+1))</f>
        <v>.</v>
      </c>
      <c r="B4008" s="244" t="str">
        <f t="shared" si="62"/>
        <v>Total Hip ReplacementProviderMAIDSTONE AND TUNBRIDGE WELLS NHS TRUST (RWF)EQ-5D Index</v>
      </c>
      <c r="C4008" t="s">
        <v>974</v>
      </c>
      <c r="D4008" t="s">
        <v>965</v>
      </c>
      <c r="E4008" t="s">
        <v>312</v>
      </c>
      <c r="F4008" t="s">
        <v>313</v>
      </c>
      <c r="G4008" t="s">
        <v>963</v>
      </c>
      <c r="H4008">
        <v>119</v>
      </c>
      <c r="I4008">
        <v>0.42520200000000002</v>
      </c>
      <c r="J4008">
        <v>0.83015099999999997</v>
      </c>
      <c r="K4008">
        <v>0.40494999999999998</v>
      </c>
      <c r="L4008">
        <v>108</v>
      </c>
      <c r="M4008">
        <v>5</v>
      </c>
      <c r="N4008">
        <v>6</v>
      </c>
      <c r="O4008">
        <v>0.79312800000000006</v>
      </c>
      <c r="P4008">
        <v>0.46557199999999999</v>
      </c>
      <c r="Q4008">
        <v>0.17793500000000001</v>
      </c>
    </row>
    <row r="4009" spans="1:17" x14ac:dyDescent="0.25">
      <c r="A4009" t="str">
        <f>IF(C4009&amp;G4009&amp;D4009&lt;&gt;'Funnel setup'!$K$3&amp;'Funnel setup'!$K$4&amp;'Funnel setup'!$K$6,".",IF(A4008=".",1,A4008+1))</f>
        <v>.</v>
      </c>
      <c r="B4009" s="244" t="str">
        <f t="shared" si="62"/>
        <v>Total Hip ReplacementProviderMANCHESTER UNIVERSITY NHS FOUNDATION TRUST (R0A)EQ-5D Index</v>
      </c>
      <c r="C4009" t="s">
        <v>974</v>
      </c>
      <c r="D4009" t="s">
        <v>965</v>
      </c>
      <c r="E4009" t="s">
        <v>316</v>
      </c>
      <c r="F4009" t="s">
        <v>317</v>
      </c>
      <c r="G4009" t="s">
        <v>963</v>
      </c>
      <c r="H4009">
        <v>100</v>
      </c>
      <c r="I4009">
        <v>0.27066000000000001</v>
      </c>
      <c r="J4009">
        <v>0.72419</v>
      </c>
      <c r="K4009">
        <v>0.45352999999999999</v>
      </c>
      <c r="L4009">
        <v>87</v>
      </c>
      <c r="M4009">
        <v>5</v>
      </c>
      <c r="N4009">
        <v>8</v>
      </c>
      <c r="O4009">
        <v>0.75675899999999996</v>
      </c>
      <c r="P4009">
        <v>0.429203</v>
      </c>
      <c r="Q4009">
        <v>0.27047900000000002</v>
      </c>
    </row>
    <row r="4010" spans="1:17" x14ac:dyDescent="0.25">
      <c r="A4010" t="str">
        <f>IF(C4010&amp;G4010&amp;D4010&lt;&gt;'Funnel setup'!$K$3&amp;'Funnel setup'!$K$4&amp;'Funnel setup'!$K$6,".",IF(A4009=".",1,A4009+1))</f>
        <v>.</v>
      </c>
      <c r="B4010" s="244" t="str">
        <f t="shared" si="62"/>
        <v>Total Hip ReplacementProviderMANOR HOSPITAL (NT423)EQ-5D Index</v>
      </c>
      <c r="C4010" t="s">
        <v>974</v>
      </c>
      <c r="D4010" t="s">
        <v>965</v>
      </c>
      <c r="E4010" t="s">
        <v>318</v>
      </c>
      <c r="F4010" t="s">
        <v>319</v>
      </c>
      <c r="G4010" t="s">
        <v>963</v>
      </c>
      <c r="H4010">
        <v>16</v>
      </c>
      <c r="I4010">
        <v>0.34549999999999997</v>
      </c>
      <c r="J4010">
        <v>0.85006300000000001</v>
      </c>
      <c r="K4010">
        <v>0.50456299999999998</v>
      </c>
      <c r="L4010">
        <v>16</v>
      </c>
      <c r="M4010">
        <v>0</v>
      </c>
      <c r="N4010">
        <v>0</v>
      </c>
      <c r="O4010" t="s">
        <v>127</v>
      </c>
      <c r="P4010" t="s">
        <v>127</v>
      </c>
      <c r="Q4010" t="s">
        <v>127</v>
      </c>
    </row>
    <row r="4011" spans="1:17" x14ac:dyDescent="0.25">
      <c r="A4011" t="str">
        <f>IF(C4011&amp;G4011&amp;D4011&lt;&gt;'Funnel setup'!$K$3&amp;'Funnel setup'!$K$4&amp;'Funnel setup'!$K$6,".",IF(A4010=".",1,A4010+1))</f>
        <v>.</v>
      </c>
      <c r="B4011" s="244" t="str">
        <f t="shared" si="62"/>
        <v>Total Hip ReplacementProviderMEDWAY NHS FOUNDATION TRUST (RPA)EQ-5D Index</v>
      </c>
      <c r="C4011" t="s">
        <v>974</v>
      </c>
      <c r="D4011" t="s">
        <v>965</v>
      </c>
      <c r="E4011" t="s">
        <v>320</v>
      </c>
      <c r="F4011" t="s">
        <v>321</v>
      </c>
      <c r="G4011" t="s">
        <v>963</v>
      </c>
      <c r="H4011">
        <v>41</v>
      </c>
      <c r="I4011">
        <v>0.23143900000000001</v>
      </c>
      <c r="J4011">
        <v>0.75970700000000002</v>
      </c>
      <c r="K4011">
        <v>0.52826799999999996</v>
      </c>
      <c r="L4011">
        <v>38</v>
      </c>
      <c r="M4011">
        <v>1</v>
      </c>
      <c r="N4011">
        <v>2</v>
      </c>
      <c r="O4011">
        <v>0.79510199999999998</v>
      </c>
      <c r="P4011">
        <v>0.46754600000000002</v>
      </c>
      <c r="Q4011">
        <v>0.224664</v>
      </c>
    </row>
    <row r="4012" spans="1:17" x14ac:dyDescent="0.25">
      <c r="A4012" t="str">
        <f>IF(C4012&amp;G4012&amp;D4012&lt;&gt;'Funnel setup'!$K$3&amp;'Funnel setup'!$K$4&amp;'Funnel setup'!$K$6,".",IF(A4011=".",1,A4011+1))</f>
        <v>.</v>
      </c>
      <c r="B4012" s="244" t="str">
        <f t="shared" si="62"/>
        <v>Total Hip ReplacementProviderMERIDEN HOSPITAL (NT424)EQ-5D Index</v>
      </c>
      <c r="C4012" t="s">
        <v>974</v>
      </c>
      <c r="D4012" t="s">
        <v>965</v>
      </c>
      <c r="E4012" t="s">
        <v>322</v>
      </c>
      <c r="F4012" t="s">
        <v>323</v>
      </c>
      <c r="G4012" t="s">
        <v>963</v>
      </c>
      <c r="H4012">
        <v>5</v>
      </c>
      <c r="I4012">
        <v>0.26</v>
      </c>
      <c r="J4012">
        <v>0.92400000000000004</v>
      </c>
      <c r="K4012">
        <v>0.66400000000000003</v>
      </c>
      <c r="L4012">
        <v>5</v>
      </c>
      <c r="M4012">
        <v>0</v>
      </c>
      <c r="N4012">
        <v>0</v>
      </c>
      <c r="O4012" t="s">
        <v>127</v>
      </c>
      <c r="P4012" t="s">
        <v>127</v>
      </c>
      <c r="Q4012" t="s">
        <v>127</v>
      </c>
    </row>
    <row r="4013" spans="1:17" x14ac:dyDescent="0.25">
      <c r="A4013" t="str">
        <f>IF(C4013&amp;G4013&amp;D4013&lt;&gt;'Funnel setup'!$K$3&amp;'Funnel setup'!$K$4&amp;'Funnel setup'!$K$6,".",IF(A4012=".",1,A4012+1))</f>
        <v>.</v>
      </c>
      <c r="B4013" s="244" t="str">
        <f t="shared" si="62"/>
        <v>Total Hip ReplacementProviderMID AND SOUTH ESSEX NHS FOUNDATION TRUST (RAJ)EQ-5D Index</v>
      </c>
      <c r="C4013" t="s">
        <v>974</v>
      </c>
      <c r="D4013" t="s">
        <v>965</v>
      </c>
      <c r="E4013" t="s">
        <v>324</v>
      </c>
      <c r="F4013" t="s">
        <v>325</v>
      </c>
      <c r="G4013" t="s">
        <v>963</v>
      </c>
      <c r="H4013">
        <v>113</v>
      </c>
      <c r="I4013">
        <v>0.23797299999999999</v>
      </c>
      <c r="J4013">
        <v>0.73339799999999999</v>
      </c>
      <c r="K4013">
        <v>0.495425</v>
      </c>
      <c r="L4013">
        <v>104</v>
      </c>
      <c r="M4013">
        <v>2</v>
      </c>
      <c r="N4013">
        <v>7</v>
      </c>
      <c r="O4013">
        <v>0.77659999999999996</v>
      </c>
      <c r="P4013">
        <v>0.449044</v>
      </c>
      <c r="Q4013">
        <v>0.24969</v>
      </c>
    </row>
    <row r="4014" spans="1:17" x14ac:dyDescent="0.25">
      <c r="A4014" t="str">
        <f>IF(C4014&amp;G4014&amp;D4014&lt;&gt;'Funnel setup'!$K$3&amp;'Funnel setup'!$K$4&amp;'Funnel setup'!$K$6,".",IF(A4013=".",1,A4013+1))</f>
        <v>.</v>
      </c>
      <c r="B4014" s="244" t="str">
        <f t="shared" si="62"/>
        <v>Total Hip ReplacementProviderMID CHESHIRE HOSPITALS NHS FOUNDATION TRUST (RBT)EQ-5D Index</v>
      </c>
      <c r="C4014" t="s">
        <v>974</v>
      </c>
      <c r="D4014" t="s">
        <v>965</v>
      </c>
      <c r="E4014" t="s">
        <v>326</v>
      </c>
      <c r="F4014" t="s">
        <v>327</v>
      </c>
      <c r="G4014" t="s">
        <v>963</v>
      </c>
      <c r="H4014">
        <v>98</v>
      </c>
      <c r="I4014">
        <v>0.30466300000000002</v>
      </c>
      <c r="J4014">
        <v>0.80640800000000001</v>
      </c>
      <c r="K4014">
        <v>0.501745</v>
      </c>
      <c r="L4014">
        <v>89</v>
      </c>
      <c r="M4014">
        <v>6</v>
      </c>
      <c r="N4014">
        <v>3</v>
      </c>
      <c r="O4014">
        <v>0.80016500000000002</v>
      </c>
      <c r="P4014">
        <v>0.47260999999999997</v>
      </c>
      <c r="Q4014">
        <v>0.18884400000000001</v>
      </c>
    </row>
    <row r="4015" spans="1:17" x14ac:dyDescent="0.25">
      <c r="A4015" t="str">
        <f>IF(C4015&amp;G4015&amp;D4015&lt;&gt;'Funnel setup'!$K$3&amp;'Funnel setup'!$K$4&amp;'Funnel setup'!$K$6,".",IF(A4014=".",1,A4014+1))</f>
        <v>.</v>
      </c>
      <c r="B4015" s="244" t="str">
        <f t="shared" si="62"/>
        <v>Total Hip ReplacementProviderMID YORKSHIRE TEACHING NHS TRUST (RXF)EQ-5D Index</v>
      </c>
      <c r="C4015" t="s">
        <v>974</v>
      </c>
      <c r="D4015" t="s">
        <v>965</v>
      </c>
      <c r="E4015" t="s">
        <v>330</v>
      </c>
      <c r="F4015" t="s">
        <v>331</v>
      </c>
      <c r="G4015" t="s">
        <v>963</v>
      </c>
      <c r="H4015">
        <v>179</v>
      </c>
      <c r="I4015">
        <v>0.271235</v>
      </c>
      <c r="J4015">
        <v>0.70138</v>
      </c>
      <c r="K4015">
        <v>0.430145</v>
      </c>
      <c r="L4015">
        <v>156</v>
      </c>
      <c r="M4015">
        <v>7</v>
      </c>
      <c r="N4015">
        <v>16</v>
      </c>
      <c r="O4015">
        <v>0.73835200000000001</v>
      </c>
      <c r="P4015">
        <v>0.41079599999999999</v>
      </c>
      <c r="Q4015">
        <v>0.28565499999999999</v>
      </c>
    </row>
    <row r="4016" spans="1:17" x14ac:dyDescent="0.25">
      <c r="A4016" t="str">
        <f>IF(C4016&amp;G4016&amp;D4016&lt;&gt;'Funnel setup'!$K$3&amp;'Funnel setup'!$K$4&amp;'Funnel setup'!$K$6,".",IF(A4015=".",1,A4015+1))</f>
        <v>.</v>
      </c>
      <c r="B4016" s="244" t="str">
        <f t="shared" si="62"/>
        <v>Total Hip ReplacementProviderMILTON KEYNES UNIVERSITY HOSPITAL NHS FOUNDATION TRUST (RD8)EQ-5D Index</v>
      </c>
      <c r="C4016" t="s">
        <v>974</v>
      </c>
      <c r="D4016" t="s">
        <v>965</v>
      </c>
      <c r="E4016" t="s">
        <v>332</v>
      </c>
      <c r="F4016" t="s">
        <v>333</v>
      </c>
      <c r="G4016" t="s">
        <v>963</v>
      </c>
      <c r="H4016">
        <v>33</v>
      </c>
      <c r="I4016">
        <v>0.21567600000000001</v>
      </c>
      <c r="J4016">
        <v>0.81008800000000003</v>
      </c>
      <c r="K4016">
        <v>0.59441200000000005</v>
      </c>
      <c r="L4016">
        <v>32</v>
      </c>
      <c r="M4016">
        <v>0</v>
      </c>
      <c r="N4016">
        <v>1</v>
      </c>
      <c r="O4016">
        <v>0.87160000000000004</v>
      </c>
      <c r="P4016">
        <v>0.54404399999999997</v>
      </c>
      <c r="Q4016">
        <v>0.24884200000000001</v>
      </c>
    </row>
    <row r="4017" spans="1:17" x14ac:dyDescent="0.25">
      <c r="A4017" t="str">
        <f>IF(C4017&amp;G4017&amp;D4017&lt;&gt;'Funnel setup'!$K$3&amp;'Funnel setup'!$K$4&amp;'Funnel setup'!$K$6,".",IF(A4016=".",1,A4016+1))</f>
        <v>.</v>
      </c>
      <c r="B4017" s="244" t="str">
        <f t="shared" si="62"/>
        <v>Total Hip ReplacementProviderMOUNT ALVERNIA HOSPITAL (NT455)EQ-5D Index</v>
      </c>
      <c r="C4017" t="s">
        <v>974</v>
      </c>
      <c r="D4017" t="s">
        <v>965</v>
      </c>
      <c r="E4017" t="s">
        <v>334</v>
      </c>
      <c r="F4017" t="s">
        <v>335</v>
      </c>
      <c r="G4017" t="s">
        <v>963</v>
      </c>
      <c r="H4017">
        <v>8</v>
      </c>
      <c r="I4017">
        <v>0.51424999999999998</v>
      </c>
      <c r="J4017">
        <v>0.89575000000000005</v>
      </c>
      <c r="K4017">
        <v>0.38150000000000001</v>
      </c>
      <c r="L4017">
        <v>8</v>
      </c>
      <c r="M4017">
        <v>0</v>
      </c>
      <c r="N4017">
        <v>0</v>
      </c>
      <c r="O4017" t="s">
        <v>127</v>
      </c>
      <c r="P4017" t="s">
        <v>127</v>
      </c>
      <c r="Q4017" t="s">
        <v>127</v>
      </c>
    </row>
    <row r="4018" spans="1:17" x14ac:dyDescent="0.25">
      <c r="A4018" t="str">
        <f>IF(C4018&amp;G4018&amp;D4018&lt;&gt;'Funnel setup'!$K$3&amp;'Funnel setup'!$K$4&amp;'Funnel setup'!$K$6,".",IF(A4017=".",1,A4017+1))</f>
        <v>.</v>
      </c>
      <c r="B4018" s="244" t="str">
        <f t="shared" si="62"/>
        <v>Total Hip ReplacementProviderMOUNT STUART HOSPITAL (NVC08)EQ-5D Index</v>
      </c>
      <c r="C4018" t="s">
        <v>974</v>
      </c>
      <c r="D4018" t="s">
        <v>965</v>
      </c>
      <c r="E4018" t="s">
        <v>336</v>
      </c>
      <c r="F4018" t="s">
        <v>337</v>
      </c>
      <c r="G4018" t="s">
        <v>963</v>
      </c>
      <c r="H4018">
        <v>84</v>
      </c>
      <c r="I4018">
        <v>0.26645200000000002</v>
      </c>
      <c r="J4018">
        <v>0.81183300000000003</v>
      </c>
      <c r="K4018">
        <v>0.545381</v>
      </c>
      <c r="L4018">
        <v>79</v>
      </c>
      <c r="M4018">
        <v>2</v>
      </c>
      <c r="N4018">
        <v>3</v>
      </c>
      <c r="O4018">
        <v>0.82339200000000001</v>
      </c>
      <c r="P4018">
        <v>0.495836</v>
      </c>
      <c r="Q4018">
        <v>0.20630299999999999</v>
      </c>
    </row>
    <row r="4019" spans="1:17" x14ac:dyDescent="0.25">
      <c r="A4019" t="str">
        <f>IF(C4019&amp;G4019&amp;D4019&lt;&gt;'Funnel setup'!$K$3&amp;'Funnel setup'!$K$4&amp;'Funnel setup'!$K$6,".",IF(A4018=".",1,A4018+1))</f>
        <v>.</v>
      </c>
      <c r="B4019" s="244" t="str">
        <f t="shared" si="62"/>
        <v>Total Hip ReplacementProviderNEW HALL HOSPITAL (NVC09)EQ-5D Index</v>
      </c>
      <c r="C4019" t="s">
        <v>974</v>
      </c>
      <c r="D4019" t="s">
        <v>965</v>
      </c>
      <c r="E4019" t="s">
        <v>338</v>
      </c>
      <c r="F4019" t="s">
        <v>339</v>
      </c>
      <c r="G4019" t="s">
        <v>963</v>
      </c>
      <c r="H4019">
        <v>82</v>
      </c>
      <c r="I4019">
        <v>0.38832499999999998</v>
      </c>
      <c r="J4019">
        <v>0.82804800000000001</v>
      </c>
      <c r="K4019">
        <v>0.43972299999999997</v>
      </c>
      <c r="L4019">
        <v>74</v>
      </c>
      <c r="M4019">
        <v>6</v>
      </c>
      <c r="N4019">
        <v>2</v>
      </c>
      <c r="O4019">
        <v>0.78212899999999996</v>
      </c>
      <c r="P4019">
        <v>0.454573</v>
      </c>
      <c r="Q4019">
        <v>0.236762</v>
      </c>
    </row>
    <row r="4020" spans="1:17" x14ac:dyDescent="0.25">
      <c r="A4020" t="str">
        <f>IF(C4020&amp;G4020&amp;D4020&lt;&gt;'Funnel setup'!$K$3&amp;'Funnel setup'!$K$4&amp;'Funnel setup'!$K$6,".",IF(A4019=".",1,A4019+1))</f>
        <v>.</v>
      </c>
      <c r="B4020" s="244" t="str">
        <f t="shared" si="62"/>
        <v>Total Hip ReplacementProviderNORFOLK AND NORWICH UNIVERSITY HOSPITALS NHS FOUNDATION TRUST (RM1)EQ-5D Index</v>
      </c>
      <c r="C4020" t="s">
        <v>974</v>
      </c>
      <c r="D4020" t="s">
        <v>965</v>
      </c>
      <c r="E4020" t="s">
        <v>340</v>
      </c>
      <c r="F4020" t="s">
        <v>341</v>
      </c>
      <c r="G4020" t="s">
        <v>963</v>
      </c>
      <c r="H4020">
        <v>192</v>
      </c>
      <c r="I4020">
        <v>0.28282800000000002</v>
      </c>
      <c r="J4020">
        <v>0.72958299999999998</v>
      </c>
      <c r="K4020">
        <v>0.44675500000000001</v>
      </c>
      <c r="L4020">
        <v>165</v>
      </c>
      <c r="M4020">
        <v>16</v>
      </c>
      <c r="N4020">
        <v>11</v>
      </c>
      <c r="O4020">
        <v>0.769679</v>
      </c>
      <c r="P4020">
        <v>0.44212299999999999</v>
      </c>
      <c r="Q4020">
        <v>0.28035100000000002</v>
      </c>
    </row>
    <row r="4021" spans="1:17" x14ac:dyDescent="0.25">
      <c r="A4021" t="str">
        <f>IF(C4021&amp;G4021&amp;D4021&lt;&gt;'Funnel setup'!$K$3&amp;'Funnel setup'!$K$4&amp;'Funnel setup'!$K$6,".",IF(A4020=".",1,A4020+1))</f>
        <v>.</v>
      </c>
      <c r="B4021" s="244" t="str">
        <f t="shared" si="62"/>
        <v>Total Hip ReplacementProviderNORTH BRISTOL NHS TRUST (RVJ)EQ-5D Index</v>
      </c>
      <c r="C4021" t="s">
        <v>974</v>
      </c>
      <c r="D4021" t="s">
        <v>965</v>
      </c>
      <c r="E4021" t="s">
        <v>342</v>
      </c>
      <c r="F4021" t="s">
        <v>343</v>
      </c>
      <c r="G4021" t="s">
        <v>963</v>
      </c>
      <c r="H4021">
        <v>9</v>
      </c>
      <c r="I4021">
        <v>6.4111100000000004E-2</v>
      </c>
      <c r="J4021">
        <v>0.69777800000000001</v>
      </c>
      <c r="K4021">
        <v>0.63366699999999998</v>
      </c>
      <c r="L4021">
        <v>9</v>
      </c>
      <c r="M4021">
        <v>0</v>
      </c>
      <c r="N4021">
        <v>0</v>
      </c>
      <c r="O4021" t="s">
        <v>127</v>
      </c>
      <c r="P4021" t="s">
        <v>127</v>
      </c>
      <c r="Q4021" t="s">
        <v>127</v>
      </c>
    </row>
    <row r="4022" spans="1:17" x14ac:dyDescent="0.25">
      <c r="A4022" t="str">
        <f>IF(C4022&amp;G4022&amp;D4022&lt;&gt;'Funnel setup'!$K$3&amp;'Funnel setup'!$K$4&amp;'Funnel setup'!$K$6,".",IF(A4021=".",1,A4021+1))</f>
        <v>.</v>
      </c>
      <c r="B4022" s="244" t="str">
        <f t="shared" si="62"/>
        <v>Total Hip ReplacementProviderNORTH CUMBRIA INTEGRATED CARE NHS FOUNDATION TRUST (RNN)EQ-5D Index</v>
      </c>
      <c r="C4022" t="s">
        <v>974</v>
      </c>
      <c r="D4022" t="s">
        <v>965</v>
      </c>
      <c r="E4022" t="s">
        <v>344</v>
      </c>
      <c r="F4022" t="s">
        <v>345</v>
      </c>
      <c r="G4022" t="s">
        <v>963</v>
      </c>
      <c r="H4022">
        <v>84</v>
      </c>
      <c r="I4022">
        <v>0.19326199999999999</v>
      </c>
      <c r="J4022">
        <v>0.76768999999999998</v>
      </c>
      <c r="K4022">
        <v>0.57442899999999997</v>
      </c>
      <c r="L4022">
        <v>79</v>
      </c>
      <c r="M4022">
        <v>2</v>
      </c>
      <c r="N4022">
        <v>3</v>
      </c>
      <c r="O4022">
        <v>0.81314500000000001</v>
      </c>
      <c r="P4022">
        <v>0.48558899999999999</v>
      </c>
      <c r="Q4022">
        <v>0.23306199999999999</v>
      </c>
    </row>
    <row r="4023" spans="1:17" x14ac:dyDescent="0.25">
      <c r="A4023" t="str">
        <f>IF(C4023&amp;G4023&amp;D4023&lt;&gt;'Funnel setup'!$K$3&amp;'Funnel setup'!$K$4&amp;'Funnel setup'!$K$6,".",IF(A4022=".",1,A4022+1))</f>
        <v>.</v>
      </c>
      <c r="B4023" s="244" t="str">
        <f t="shared" si="62"/>
        <v>Total Hip ReplacementProviderNORTH DOWNS HOSPITAL (NVC11)EQ-5D Index</v>
      </c>
      <c r="C4023" t="s">
        <v>974</v>
      </c>
      <c r="D4023" t="s">
        <v>965</v>
      </c>
      <c r="E4023" t="s">
        <v>348</v>
      </c>
      <c r="F4023" t="s">
        <v>349</v>
      </c>
      <c r="G4023" t="s">
        <v>963</v>
      </c>
      <c r="H4023">
        <v>55</v>
      </c>
      <c r="I4023">
        <v>0.44575900000000002</v>
      </c>
      <c r="J4023">
        <v>0.83855199999999996</v>
      </c>
      <c r="K4023">
        <v>0.392793</v>
      </c>
      <c r="L4023">
        <v>51</v>
      </c>
      <c r="M4023">
        <v>1</v>
      </c>
      <c r="N4023">
        <v>3</v>
      </c>
      <c r="O4023">
        <v>0.77954800000000002</v>
      </c>
      <c r="P4023">
        <v>0.451992</v>
      </c>
      <c r="Q4023">
        <v>0.19386</v>
      </c>
    </row>
    <row r="4024" spans="1:17" x14ac:dyDescent="0.25">
      <c r="A4024" t="str">
        <f>IF(C4024&amp;G4024&amp;D4024&lt;&gt;'Funnel setup'!$K$3&amp;'Funnel setup'!$K$4&amp;'Funnel setup'!$K$6,".",IF(A4023=".",1,A4023+1))</f>
        <v>.</v>
      </c>
      <c r="B4024" s="244" t="str">
        <f t="shared" si="62"/>
        <v>Total Hip ReplacementProviderNORTH MIDDLESEX UNIVERSITY HOSPITAL NHS TRUST (RAP)EQ-5D Index</v>
      </c>
      <c r="C4024" t="s">
        <v>974</v>
      </c>
      <c r="D4024" t="s">
        <v>965</v>
      </c>
      <c r="E4024" t="s">
        <v>350</v>
      </c>
      <c r="F4024" t="s">
        <v>351</v>
      </c>
      <c r="G4024" t="s">
        <v>963</v>
      </c>
      <c r="H4024">
        <v>7</v>
      </c>
      <c r="I4024">
        <v>0.223714</v>
      </c>
      <c r="J4024">
        <v>0.623</v>
      </c>
      <c r="K4024">
        <v>0.39928599999999997</v>
      </c>
      <c r="L4024">
        <v>6</v>
      </c>
      <c r="M4024">
        <v>0</v>
      </c>
      <c r="N4024">
        <v>1</v>
      </c>
      <c r="O4024" t="s">
        <v>127</v>
      </c>
      <c r="P4024" t="s">
        <v>127</v>
      </c>
      <c r="Q4024" t="s">
        <v>127</v>
      </c>
    </row>
    <row r="4025" spans="1:17" x14ac:dyDescent="0.25">
      <c r="A4025" t="str">
        <f>IF(C4025&amp;G4025&amp;D4025&lt;&gt;'Funnel setup'!$K$3&amp;'Funnel setup'!$K$4&amp;'Funnel setup'!$K$6,".",IF(A4024=".",1,A4024+1))</f>
        <v>.</v>
      </c>
      <c r="B4025" s="244" t="str">
        <f t="shared" si="62"/>
        <v>Total Hip ReplacementProviderNORTH TEES AND HARTLEPOOL NHS FOUNDATION TRUST (RVW)EQ-5D Index</v>
      </c>
      <c r="C4025" t="s">
        <v>974</v>
      </c>
      <c r="D4025" t="s">
        <v>965</v>
      </c>
      <c r="E4025" t="s">
        <v>352</v>
      </c>
      <c r="F4025" t="s">
        <v>353</v>
      </c>
      <c r="G4025" t="s">
        <v>963</v>
      </c>
      <c r="H4025">
        <v>107</v>
      </c>
      <c r="I4025">
        <v>0.181953</v>
      </c>
      <c r="J4025">
        <v>0.694299</v>
      </c>
      <c r="K4025">
        <v>0.51234599999999997</v>
      </c>
      <c r="L4025">
        <v>94</v>
      </c>
      <c r="M4025">
        <v>5</v>
      </c>
      <c r="N4025">
        <v>8</v>
      </c>
      <c r="O4025">
        <v>0.77636700000000003</v>
      </c>
      <c r="P4025">
        <v>0.44881100000000002</v>
      </c>
      <c r="Q4025">
        <v>0.28271299999999999</v>
      </c>
    </row>
    <row r="4026" spans="1:17" x14ac:dyDescent="0.25">
      <c r="A4026" t="str">
        <f>IF(C4026&amp;G4026&amp;D4026&lt;&gt;'Funnel setup'!$K$3&amp;'Funnel setup'!$K$4&amp;'Funnel setup'!$K$6,".",IF(A4025=".",1,A4025+1))</f>
        <v>.</v>
      </c>
      <c r="B4026" s="244" t="str">
        <f t="shared" si="62"/>
        <v>Total Hip ReplacementProviderNORTH WEST ANGLIA NHS FOUNDATION TRUST (RGN)EQ-5D Index</v>
      </c>
      <c r="C4026" t="s">
        <v>974</v>
      </c>
      <c r="D4026" t="s">
        <v>965</v>
      </c>
      <c r="E4026" t="s">
        <v>354</v>
      </c>
      <c r="F4026" t="s">
        <v>355</v>
      </c>
      <c r="G4026" t="s">
        <v>963</v>
      </c>
      <c r="H4026">
        <v>168</v>
      </c>
      <c r="I4026">
        <v>0.239899</v>
      </c>
      <c r="J4026">
        <v>0.74975599999999998</v>
      </c>
      <c r="K4026">
        <v>0.509857</v>
      </c>
      <c r="L4026">
        <v>145</v>
      </c>
      <c r="M4026">
        <v>14</v>
      </c>
      <c r="N4026">
        <v>9</v>
      </c>
      <c r="O4026">
        <v>0.77612199999999998</v>
      </c>
      <c r="P4026">
        <v>0.44856600000000002</v>
      </c>
      <c r="Q4026">
        <v>0.25110500000000002</v>
      </c>
    </row>
    <row r="4027" spans="1:17" x14ac:dyDescent="0.25">
      <c r="A4027" t="str">
        <f>IF(C4027&amp;G4027&amp;D4027&lt;&gt;'Funnel setup'!$K$3&amp;'Funnel setup'!$K$4&amp;'Funnel setup'!$K$6,".",IF(A4026=".",1,A4026+1))</f>
        <v>.</v>
      </c>
      <c r="B4027" s="244" t="str">
        <f t="shared" si="62"/>
        <v>Total Hip ReplacementProviderNORTHAMPTON GENERAL HOSPITAL NHS TRUST (RNS)EQ-5D Index</v>
      </c>
      <c r="C4027" t="s">
        <v>974</v>
      </c>
      <c r="D4027" t="s">
        <v>965</v>
      </c>
      <c r="E4027" t="s">
        <v>356</v>
      </c>
      <c r="F4027" t="s">
        <v>357</v>
      </c>
      <c r="G4027" t="s">
        <v>963</v>
      </c>
      <c r="H4027">
        <v>44</v>
      </c>
      <c r="I4027">
        <v>0.25579499999999999</v>
      </c>
      <c r="J4027">
        <v>0.79070499999999999</v>
      </c>
      <c r="K4027">
        <v>0.53490899999999997</v>
      </c>
      <c r="L4027">
        <v>39</v>
      </c>
      <c r="M4027">
        <v>3</v>
      </c>
      <c r="N4027">
        <v>2</v>
      </c>
      <c r="O4027">
        <v>0.835175</v>
      </c>
      <c r="P4027">
        <v>0.50761900000000004</v>
      </c>
      <c r="Q4027">
        <v>0.272596</v>
      </c>
    </row>
    <row r="4028" spans="1:17" x14ac:dyDescent="0.25">
      <c r="A4028" t="str">
        <f>IF(C4028&amp;G4028&amp;D4028&lt;&gt;'Funnel setup'!$K$3&amp;'Funnel setup'!$K$4&amp;'Funnel setup'!$K$6,".",IF(A4027=".",1,A4027+1))</f>
        <v>.</v>
      </c>
      <c r="B4028" s="244" t="str">
        <f t="shared" si="62"/>
        <v>Total Hip ReplacementProviderNORTHERN CARE ALLIANCE NHS FOUNDATION TRUST (RM3)EQ-5D Index</v>
      </c>
      <c r="C4028" t="s">
        <v>974</v>
      </c>
      <c r="D4028" t="s">
        <v>965</v>
      </c>
      <c r="E4028" t="s">
        <v>358</v>
      </c>
      <c r="F4028" t="s">
        <v>359</v>
      </c>
      <c r="G4028" t="s">
        <v>963</v>
      </c>
      <c r="H4028">
        <v>3</v>
      </c>
      <c r="I4028">
        <v>0.06</v>
      </c>
      <c r="J4028">
        <v>0.83866700000000005</v>
      </c>
      <c r="K4028">
        <v>0.778667</v>
      </c>
      <c r="L4028">
        <v>3</v>
      </c>
      <c r="M4028">
        <v>0</v>
      </c>
      <c r="N4028">
        <v>0</v>
      </c>
      <c r="O4028" t="s">
        <v>127</v>
      </c>
      <c r="P4028" t="s">
        <v>127</v>
      </c>
      <c r="Q4028" t="s">
        <v>127</v>
      </c>
    </row>
    <row r="4029" spans="1:17" x14ac:dyDescent="0.25">
      <c r="A4029" t="str">
        <f>IF(C4029&amp;G4029&amp;D4029&lt;&gt;'Funnel setup'!$K$3&amp;'Funnel setup'!$K$4&amp;'Funnel setup'!$K$6,".",IF(A4028=".",1,A4028+1))</f>
        <v>.</v>
      </c>
      <c r="B4029" s="244" t="str">
        <f t="shared" si="62"/>
        <v>Total Hip ReplacementProviderNORTHERN DEVON HEALTHCARE NHS TRUST (RBZ)EQ-5D Index</v>
      </c>
      <c r="C4029" t="s">
        <v>974</v>
      </c>
      <c r="D4029" t="s">
        <v>965</v>
      </c>
      <c r="E4029" t="s">
        <v>360</v>
      </c>
      <c r="F4029" t="s">
        <v>361</v>
      </c>
      <c r="G4029" t="s">
        <v>963</v>
      </c>
      <c r="H4029">
        <v>30</v>
      </c>
      <c r="I4029">
        <v>0.24296699999999999</v>
      </c>
      <c r="J4029">
        <v>0.77096699999999996</v>
      </c>
      <c r="K4029">
        <v>0.52800000000000002</v>
      </c>
      <c r="L4029">
        <v>28</v>
      </c>
      <c r="M4029">
        <v>0</v>
      </c>
      <c r="N4029">
        <v>2</v>
      </c>
      <c r="O4029">
        <v>0.83499000000000001</v>
      </c>
      <c r="P4029">
        <v>0.50743499999999997</v>
      </c>
      <c r="Q4029">
        <v>0.22537599999999999</v>
      </c>
    </row>
    <row r="4030" spans="1:17" x14ac:dyDescent="0.25">
      <c r="A4030" t="str">
        <f>IF(C4030&amp;G4030&amp;D4030&lt;&gt;'Funnel setup'!$K$3&amp;'Funnel setup'!$K$4&amp;'Funnel setup'!$K$6,".",IF(A4029=".",1,A4029+1))</f>
        <v>.</v>
      </c>
      <c r="B4030" s="244" t="str">
        <f t="shared" si="62"/>
        <v>Total Hip ReplacementProviderNORTHERN LINCOLNSHIRE AND GOOLE NHS FOUNDATION TRUST (RJL)EQ-5D Index</v>
      </c>
      <c r="C4030" t="s">
        <v>974</v>
      </c>
      <c r="D4030" t="s">
        <v>965</v>
      </c>
      <c r="E4030" t="s">
        <v>362</v>
      </c>
      <c r="F4030" t="s">
        <v>363</v>
      </c>
      <c r="G4030" t="s">
        <v>963</v>
      </c>
      <c r="H4030">
        <v>89</v>
      </c>
      <c r="I4030">
        <v>0.26122499999999998</v>
      </c>
      <c r="J4030">
        <v>0.77040399999999998</v>
      </c>
      <c r="K4030">
        <v>0.50917999999999997</v>
      </c>
      <c r="L4030">
        <v>79</v>
      </c>
      <c r="M4030">
        <v>7</v>
      </c>
      <c r="N4030">
        <v>3</v>
      </c>
      <c r="O4030">
        <v>0.78530299999999997</v>
      </c>
      <c r="P4030">
        <v>0.45774700000000001</v>
      </c>
      <c r="Q4030">
        <v>0.23760000000000001</v>
      </c>
    </row>
    <row r="4031" spans="1:17" x14ac:dyDescent="0.25">
      <c r="A4031" t="str">
        <f>IF(C4031&amp;G4031&amp;D4031&lt;&gt;'Funnel setup'!$K$3&amp;'Funnel setup'!$K$4&amp;'Funnel setup'!$K$6,".",IF(A4030=".",1,A4030+1))</f>
        <v>.</v>
      </c>
      <c r="B4031" s="244" t="str">
        <f t="shared" si="62"/>
        <v>Total Hip ReplacementProviderNORTHUMBRIA HEALTHCARE NHS FOUNDATION TRUST (RTF)EQ-5D Index</v>
      </c>
      <c r="C4031" t="s">
        <v>974</v>
      </c>
      <c r="D4031" t="s">
        <v>965</v>
      </c>
      <c r="E4031" t="s">
        <v>364</v>
      </c>
      <c r="F4031" t="s">
        <v>365</v>
      </c>
      <c r="G4031" t="s">
        <v>963</v>
      </c>
      <c r="H4031">
        <v>293</v>
      </c>
      <c r="I4031">
        <v>0.30526300000000001</v>
      </c>
      <c r="J4031">
        <v>0.79997300000000005</v>
      </c>
      <c r="K4031">
        <v>0.49470999999999998</v>
      </c>
      <c r="L4031">
        <v>268</v>
      </c>
      <c r="M4031">
        <v>12</v>
      </c>
      <c r="N4031">
        <v>13</v>
      </c>
      <c r="O4031">
        <v>0.80728</v>
      </c>
      <c r="P4031">
        <v>0.47972399999999998</v>
      </c>
      <c r="Q4031">
        <v>0.23880899999999999</v>
      </c>
    </row>
    <row r="4032" spans="1:17" x14ac:dyDescent="0.25">
      <c r="A4032" t="str">
        <f>IF(C4032&amp;G4032&amp;D4032&lt;&gt;'Funnel setup'!$K$3&amp;'Funnel setup'!$K$4&amp;'Funnel setup'!$K$6,".",IF(A4031=".",1,A4031+1))</f>
        <v>.</v>
      </c>
      <c r="B4032" s="244" t="str">
        <f t="shared" si="62"/>
        <v>Total Hip ReplacementProviderNOTTINGHAM UNIVERSITY HOSPITALS NHS TRUST (RX1)EQ-5D Index</v>
      </c>
      <c r="C4032" t="s">
        <v>974</v>
      </c>
      <c r="D4032" t="s">
        <v>965</v>
      </c>
      <c r="E4032" t="s">
        <v>366</v>
      </c>
      <c r="F4032" t="s">
        <v>367</v>
      </c>
      <c r="G4032" t="s">
        <v>963</v>
      </c>
      <c r="H4032">
        <v>3</v>
      </c>
      <c r="I4032">
        <v>0.42066700000000001</v>
      </c>
      <c r="J4032">
        <v>0.73566699999999996</v>
      </c>
      <c r="K4032">
        <v>0.315</v>
      </c>
      <c r="L4032">
        <v>2</v>
      </c>
      <c r="M4032">
        <v>1</v>
      </c>
      <c r="N4032">
        <v>0</v>
      </c>
      <c r="O4032" t="s">
        <v>127</v>
      </c>
      <c r="P4032" t="s">
        <v>127</v>
      </c>
      <c r="Q4032" t="s">
        <v>127</v>
      </c>
    </row>
    <row r="4033" spans="1:17" x14ac:dyDescent="0.25">
      <c r="A4033" t="str">
        <f>IF(C4033&amp;G4033&amp;D4033&lt;&gt;'Funnel setup'!$K$3&amp;'Funnel setup'!$K$4&amp;'Funnel setup'!$K$6,".",IF(A4032=".",1,A4032+1))</f>
        <v>.</v>
      </c>
      <c r="B4033" s="244" t="str">
        <f t="shared" si="62"/>
        <v>Total Hip ReplacementProviderNUFFIELD HEALTH, BOURNEMOUTH HOSPITAL (NT202)EQ-5D Index</v>
      </c>
      <c r="C4033" t="s">
        <v>974</v>
      </c>
      <c r="D4033" t="s">
        <v>965</v>
      </c>
      <c r="E4033" t="s">
        <v>368</v>
      </c>
      <c r="F4033" t="s">
        <v>369</v>
      </c>
      <c r="G4033" t="s">
        <v>963</v>
      </c>
      <c r="H4033">
        <v>12</v>
      </c>
      <c r="I4033">
        <v>0.36375000000000002</v>
      </c>
      <c r="J4033">
        <v>0.89175000000000004</v>
      </c>
      <c r="K4033">
        <v>0.52800000000000002</v>
      </c>
      <c r="L4033">
        <v>12</v>
      </c>
      <c r="M4033">
        <v>0</v>
      </c>
      <c r="N4033">
        <v>0</v>
      </c>
      <c r="O4033" t="s">
        <v>127</v>
      </c>
      <c r="P4033" t="s">
        <v>127</v>
      </c>
      <c r="Q4033" t="s">
        <v>127</v>
      </c>
    </row>
    <row r="4034" spans="1:17" x14ac:dyDescent="0.25">
      <c r="A4034" t="str">
        <f>IF(C4034&amp;G4034&amp;D4034&lt;&gt;'Funnel setup'!$K$3&amp;'Funnel setup'!$K$4&amp;'Funnel setup'!$K$6,".",IF(A4033=".",1,A4033+1))</f>
        <v>.</v>
      </c>
      <c r="B4034" s="244" t="str">
        <f t="shared" ref="B4034:B4097" si="63">C4034&amp;D4034&amp;F4034&amp;G4034</f>
        <v>Total Hip ReplacementProviderNUFFIELD HEALTH, BRENTWOOD HOSPITAL (NT204)EQ-5D Index</v>
      </c>
      <c r="C4034" t="s">
        <v>974</v>
      </c>
      <c r="D4034" t="s">
        <v>965</v>
      </c>
      <c r="E4034" t="s">
        <v>370</v>
      </c>
      <c r="F4034" t="s">
        <v>371</v>
      </c>
      <c r="G4034" t="s">
        <v>963</v>
      </c>
      <c r="H4034">
        <v>16</v>
      </c>
      <c r="I4034">
        <v>0.19931299999999999</v>
      </c>
      <c r="J4034">
        <v>0.74737500000000001</v>
      </c>
      <c r="K4034">
        <v>0.54806299999999997</v>
      </c>
      <c r="L4034">
        <v>14</v>
      </c>
      <c r="M4034">
        <v>1</v>
      </c>
      <c r="N4034">
        <v>1</v>
      </c>
      <c r="O4034" t="s">
        <v>127</v>
      </c>
      <c r="P4034" t="s">
        <v>127</v>
      </c>
      <c r="Q4034" t="s">
        <v>127</v>
      </c>
    </row>
    <row r="4035" spans="1:17" x14ac:dyDescent="0.25">
      <c r="A4035" t="str">
        <f>IF(C4035&amp;G4035&amp;D4035&lt;&gt;'Funnel setup'!$K$3&amp;'Funnel setup'!$K$4&amp;'Funnel setup'!$K$6,".",IF(A4034=".",1,A4034+1))</f>
        <v>.</v>
      </c>
      <c r="B4035" s="244" t="str">
        <f t="shared" si="63"/>
        <v>Total Hip ReplacementProviderNUFFIELD HEALTH, BRIGHTON HOSPITAL (NT205)EQ-5D Index</v>
      </c>
      <c r="C4035" t="s">
        <v>974</v>
      </c>
      <c r="D4035" t="s">
        <v>965</v>
      </c>
      <c r="E4035" t="s">
        <v>372</v>
      </c>
      <c r="F4035" t="s">
        <v>373</v>
      </c>
      <c r="G4035" t="s">
        <v>963</v>
      </c>
      <c r="H4035">
        <v>3</v>
      </c>
      <c r="I4035">
        <v>0.110667</v>
      </c>
      <c r="J4035">
        <v>0.69399999999999995</v>
      </c>
      <c r="K4035">
        <v>0.58333299999999999</v>
      </c>
      <c r="L4035">
        <v>3</v>
      </c>
      <c r="M4035">
        <v>0</v>
      </c>
      <c r="N4035">
        <v>0</v>
      </c>
      <c r="O4035" t="s">
        <v>127</v>
      </c>
      <c r="P4035" t="s">
        <v>127</v>
      </c>
      <c r="Q4035" t="s">
        <v>127</v>
      </c>
    </row>
    <row r="4036" spans="1:17" x14ac:dyDescent="0.25">
      <c r="A4036" t="str">
        <f>IF(C4036&amp;G4036&amp;D4036&lt;&gt;'Funnel setup'!$K$3&amp;'Funnel setup'!$K$4&amp;'Funnel setup'!$K$6,".",IF(A4035=".",1,A4035+1))</f>
        <v>.</v>
      </c>
      <c r="B4036" s="244" t="str">
        <f t="shared" si="63"/>
        <v>Total Hip ReplacementProviderNUFFIELD HEALTH, BRISTOL HOSPITAL (CHESTERFIELD) (NT206)EQ-5D Index</v>
      </c>
      <c r="C4036" t="s">
        <v>974</v>
      </c>
      <c r="D4036" t="s">
        <v>965</v>
      </c>
      <c r="E4036" t="s">
        <v>374</v>
      </c>
      <c r="F4036" t="s">
        <v>375</v>
      </c>
      <c r="G4036" t="s">
        <v>963</v>
      </c>
      <c r="H4036">
        <v>49</v>
      </c>
      <c r="I4036">
        <v>0.41602</v>
      </c>
      <c r="J4036">
        <v>0.84387800000000002</v>
      </c>
      <c r="K4036">
        <v>0.42785699999999999</v>
      </c>
      <c r="L4036">
        <v>45</v>
      </c>
      <c r="M4036">
        <v>2</v>
      </c>
      <c r="N4036">
        <v>2</v>
      </c>
      <c r="O4036">
        <v>0.80145599999999995</v>
      </c>
      <c r="P4036">
        <v>0.47389999999999999</v>
      </c>
      <c r="Q4036">
        <v>0.2021</v>
      </c>
    </row>
    <row r="4037" spans="1:17" x14ac:dyDescent="0.25">
      <c r="A4037" t="str">
        <f>IF(C4037&amp;G4037&amp;D4037&lt;&gt;'Funnel setup'!$K$3&amp;'Funnel setup'!$K$4&amp;'Funnel setup'!$K$6,".",IF(A4036=".",1,A4036+1))</f>
        <v>.</v>
      </c>
      <c r="B4037" s="244" t="str">
        <f t="shared" si="63"/>
        <v>Total Hip ReplacementProviderNUFFIELD HEALTH, CAMBRIDGE HOSPITAL (NT209)EQ-5D Index</v>
      </c>
      <c r="C4037" t="s">
        <v>974</v>
      </c>
      <c r="D4037" t="s">
        <v>965</v>
      </c>
      <c r="E4037" t="s">
        <v>376</v>
      </c>
      <c r="F4037" t="s">
        <v>377</v>
      </c>
      <c r="G4037" t="s">
        <v>963</v>
      </c>
      <c r="H4037">
        <v>19</v>
      </c>
      <c r="I4037">
        <v>0.28010499999999999</v>
      </c>
      <c r="J4037">
        <v>0.89742100000000002</v>
      </c>
      <c r="K4037">
        <v>0.61731599999999998</v>
      </c>
      <c r="L4037">
        <v>18</v>
      </c>
      <c r="M4037">
        <v>0</v>
      </c>
      <c r="N4037">
        <v>1</v>
      </c>
      <c r="O4037" t="s">
        <v>127</v>
      </c>
      <c r="P4037" t="s">
        <v>127</v>
      </c>
      <c r="Q4037" t="s">
        <v>127</v>
      </c>
    </row>
    <row r="4038" spans="1:17" x14ac:dyDescent="0.25">
      <c r="A4038" t="str">
        <f>IF(C4038&amp;G4038&amp;D4038&lt;&gt;'Funnel setup'!$K$3&amp;'Funnel setup'!$K$4&amp;'Funnel setup'!$K$6,".",IF(A4037=".",1,A4037+1))</f>
        <v>.</v>
      </c>
      <c r="B4038" s="244" t="str">
        <f t="shared" si="63"/>
        <v>Total Hip ReplacementProviderNUFFIELD HEALTH, CHELTENHAM HOSPITAL (NT211)EQ-5D Index</v>
      </c>
      <c r="C4038" t="s">
        <v>974</v>
      </c>
      <c r="D4038" t="s">
        <v>965</v>
      </c>
      <c r="E4038" t="s">
        <v>378</v>
      </c>
      <c r="F4038" t="s">
        <v>379</v>
      </c>
      <c r="G4038" t="s">
        <v>963</v>
      </c>
      <c r="H4038">
        <v>1</v>
      </c>
      <c r="I4038">
        <v>0.58699999999999997</v>
      </c>
      <c r="J4038">
        <v>1</v>
      </c>
      <c r="K4038">
        <v>0.41299999999999998</v>
      </c>
      <c r="L4038">
        <v>1</v>
      </c>
      <c r="M4038">
        <v>0</v>
      </c>
      <c r="N4038">
        <v>0</v>
      </c>
      <c r="O4038" t="s">
        <v>127</v>
      </c>
      <c r="P4038" t="s">
        <v>127</v>
      </c>
      <c r="Q4038" t="s">
        <v>127</v>
      </c>
    </row>
    <row r="4039" spans="1:17" x14ac:dyDescent="0.25">
      <c r="A4039" t="str">
        <f>IF(C4039&amp;G4039&amp;D4039&lt;&gt;'Funnel setup'!$K$3&amp;'Funnel setup'!$K$4&amp;'Funnel setup'!$K$6,".",IF(A4038=".",1,A4038+1))</f>
        <v>.</v>
      </c>
      <c r="B4039" s="244" t="str">
        <f t="shared" si="63"/>
        <v>Total Hip ReplacementProviderNUFFIELD HEALTH, CHICHESTER HOSPITAL (NT212)EQ-5D Index</v>
      </c>
      <c r="C4039" t="s">
        <v>974</v>
      </c>
      <c r="D4039" t="s">
        <v>965</v>
      </c>
      <c r="E4039" t="s">
        <v>380</v>
      </c>
      <c r="F4039" t="s">
        <v>381</v>
      </c>
      <c r="G4039" t="s">
        <v>963</v>
      </c>
      <c r="H4039">
        <v>17</v>
      </c>
      <c r="I4039">
        <v>0.39229399999999998</v>
      </c>
      <c r="J4039">
        <v>0.80341200000000002</v>
      </c>
      <c r="K4039">
        <v>0.41111799999999998</v>
      </c>
      <c r="L4039">
        <v>14</v>
      </c>
      <c r="M4039">
        <v>1</v>
      </c>
      <c r="N4039">
        <v>2</v>
      </c>
      <c r="O4039" t="s">
        <v>127</v>
      </c>
      <c r="P4039" t="s">
        <v>127</v>
      </c>
      <c r="Q4039" t="s">
        <v>127</v>
      </c>
    </row>
    <row r="4040" spans="1:17" x14ac:dyDescent="0.25">
      <c r="A4040" t="str">
        <f>IF(C4040&amp;G4040&amp;D4040&lt;&gt;'Funnel setup'!$K$3&amp;'Funnel setup'!$K$4&amp;'Funnel setup'!$K$6,".",IF(A4039=".",1,A4039+1))</f>
        <v>.</v>
      </c>
      <c r="B4040" s="244" t="str">
        <f t="shared" si="63"/>
        <v>Total Hip ReplacementProviderNUFFIELD HEALTH, DERBY HOSPITAL (NT213)EQ-5D Index</v>
      </c>
      <c r="C4040" t="s">
        <v>974</v>
      </c>
      <c r="D4040" t="s">
        <v>965</v>
      </c>
      <c r="E4040" t="s">
        <v>382</v>
      </c>
      <c r="F4040" t="s">
        <v>383</v>
      </c>
      <c r="G4040" t="s">
        <v>963</v>
      </c>
      <c r="H4040">
        <v>53</v>
      </c>
      <c r="I4040">
        <v>0.46090599999999998</v>
      </c>
      <c r="J4040">
        <v>0.85577400000000003</v>
      </c>
      <c r="K4040">
        <v>0.394868</v>
      </c>
      <c r="L4040">
        <v>47</v>
      </c>
      <c r="M4040">
        <v>4</v>
      </c>
      <c r="N4040">
        <v>2</v>
      </c>
      <c r="O4040">
        <v>0.81166499999999997</v>
      </c>
      <c r="P4040">
        <v>0.48410900000000001</v>
      </c>
      <c r="Q4040">
        <v>0.19158900000000001</v>
      </c>
    </row>
    <row r="4041" spans="1:17" x14ac:dyDescent="0.25">
      <c r="A4041" t="str">
        <f>IF(C4041&amp;G4041&amp;D4041&lt;&gt;'Funnel setup'!$K$3&amp;'Funnel setup'!$K$4&amp;'Funnel setup'!$K$6,".",IF(A4040=".",1,A4040+1))</f>
        <v>.</v>
      </c>
      <c r="B4041" s="244" t="str">
        <f t="shared" si="63"/>
        <v>Total Hip ReplacementProviderNUFFIELD HEALTH, EXETER HOSPITAL (NT215)EQ-5D Index</v>
      </c>
      <c r="C4041" t="s">
        <v>974</v>
      </c>
      <c r="D4041" t="s">
        <v>965</v>
      </c>
      <c r="E4041" t="s">
        <v>384</v>
      </c>
      <c r="F4041" t="s">
        <v>385</v>
      </c>
      <c r="G4041" t="s">
        <v>963</v>
      </c>
      <c r="H4041">
        <v>3</v>
      </c>
      <c r="I4041">
        <v>0.23233300000000001</v>
      </c>
      <c r="J4041">
        <v>1</v>
      </c>
      <c r="K4041">
        <v>0.76766699999999999</v>
      </c>
      <c r="L4041">
        <v>3</v>
      </c>
      <c r="M4041">
        <v>0</v>
      </c>
      <c r="N4041">
        <v>0</v>
      </c>
      <c r="O4041" t="s">
        <v>127</v>
      </c>
      <c r="P4041" t="s">
        <v>127</v>
      </c>
      <c r="Q4041" t="s">
        <v>127</v>
      </c>
    </row>
    <row r="4042" spans="1:17" x14ac:dyDescent="0.25">
      <c r="A4042" t="str">
        <f>IF(C4042&amp;G4042&amp;D4042&lt;&gt;'Funnel setup'!$K$3&amp;'Funnel setup'!$K$4&amp;'Funnel setup'!$K$6,".",IF(A4041=".",1,A4041+1))</f>
        <v>.</v>
      </c>
      <c r="B4042" s="244" t="str">
        <f t="shared" si="63"/>
        <v>Total Hip ReplacementProviderNUFFIELD HEALTH, HAYWARDS HEATH HOSPITAL (NT218)EQ-5D Index</v>
      </c>
      <c r="C4042" t="s">
        <v>974</v>
      </c>
      <c r="D4042" t="s">
        <v>965</v>
      </c>
      <c r="E4042" t="s">
        <v>386</v>
      </c>
      <c r="F4042" t="s">
        <v>387</v>
      </c>
      <c r="G4042" t="s">
        <v>963</v>
      </c>
      <c r="H4042">
        <v>18</v>
      </c>
      <c r="I4042">
        <v>0.41955599999999998</v>
      </c>
      <c r="J4042">
        <v>0.92255600000000004</v>
      </c>
      <c r="K4042">
        <v>0.503</v>
      </c>
      <c r="L4042">
        <v>18</v>
      </c>
      <c r="M4042">
        <v>0</v>
      </c>
      <c r="N4042">
        <v>0</v>
      </c>
      <c r="O4042" t="s">
        <v>127</v>
      </c>
      <c r="P4042" t="s">
        <v>127</v>
      </c>
      <c r="Q4042" t="s">
        <v>127</v>
      </c>
    </row>
    <row r="4043" spans="1:17" x14ac:dyDescent="0.25">
      <c r="A4043" t="str">
        <f>IF(C4043&amp;G4043&amp;D4043&lt;&gt;'Funnel setup'!$K$3&amp;'Funnel setup'!$K$4&amp;'Funnel setup'!$K$6,".",IF(A4042=".",1,A4042+1))</f>
        <v>.</v>
      </c>
      <c r="B4043" s="244" t="str">
        <f t="shared" si="63"/>
        <v>Total Hip ReplacementProviderNUFFIELD HEALTH, HEREFORD HOSPITAL (NT219)EQ-5D Index</v>
      </c>
      <c r="C4043" t="s">
        <v>974</v>
      </c>
      <c r="D4043" t="s">
        <v>965</v>
      </c>
      <c r="E4043" t="s">
        <v>388</v>
      </c>
      <c r="F4043" t="s">
        <v>389</v>
      </c>
      <c r="G4043" t="s">
        <v>963</v>
      </c>
      <c r="H4043">
        <v>7</v>
      </c>
      <c r="I4043">
        <v>0.35471399999999997</v>
      </c>
      <c r="J4043">
        <v>0.83671399999999996</v>
      </c>
      <c r="K4043">
        <v>0.48199999999999998</v>
      </c>
      <c r="L4043">
        <v>7</v>
      </c>
      <c r="M4043">
        <v>0</v>
      </c>
      <c r="N4043">
        <v>0</v>
      </c>
      <c r="O4043" t="s">
        <v>127</v>
      </c>
      <c r="P4043" t="s">
        <v>127</v>
      </c>
      <c r="Q4043" t="s">
        <v>127</v>
      </c>
    </row>
    <row r="4044" spans="1:17" x14ac:dyDescent="0.25">
      <c r="A4044" t="str">
        <f>IF(C4044&amp;G4044&amp;D4044&lt;&gt;'Funnel setup'!$K$3&amp;'Funnel setup'!$K$4&amp;'Funnel setup'!$K$6,".",IF(A4043=".",1,A4043+1))</f>
        <v>.</v>
      </c>
      <c r="B4044" s="244" t="str">
        <f t="shared" si="63"/>
        <v>Total Hip ReplacementProviderNUFFIELD HEALTH, IPSWICH HOSPITAL (NT222)EQ-5D Index</v>
      </c>
      <c r="C4044" t="s">
        <v>974</v>
      </c>
      <c r="D4044" t="s">
        <v>965</v>
      </c>
      <c r="E4044" t="s">
        <v>390</v>
      </c>
      <c r="F4044" t="s">
        <v>391</v>
      </c>
      <c r="G4044" t="s">
        <v>963</v>
      </c>
      <c r="H4044">
        <v>7</v>
      </c>
      <c r="I4044">
        <v>0.331571</v>
      </c>
      <c r="J4044">
        <v>0.86057099999999997</v>
      </c>
      <c r="K4044">
        <v>0.52900000000000003</v>
      </c>
      <c r="L4044">
        <v>7</v>
      </c>
      <c r="M4044">
        <v>0</v>
      </c>
      <c r="N4044">
        <v>0</v>
      </c>
      <c r="O4044" t="s">
        <v>127</v>
      </c>
      <c r="P4044" t="s">
        <v>127</v>
      </c>
      <c r="Q4044" t="s">
        <v>127</v>
      </c>
    </row>
    <row r="4045" spans="1:17" x14ac:dyDescent="0.25">
      <c r="A4045" t="str">
        <f>IF(C4045&amp;G4045&amp;D4045&lt;&gt;'Funnel setup'!$K$3&amp;'Funnel setup'!$K$4&amp;'Funnel setup'!$K$6,".",IF(A4044=".",1,A4044+1))</f>
        <v>.</v>
      </c>
      <c r="B4045" s="244" t="str">
        <f t="shared" si="63"/>
        <v>Total Hip ReplacementProviderNUFFIELD HEALTH, LEEDS HOSPITAL (NT225)EQ-5D Index</v>
      </c>
      <c r="C4045" t="s">
        <v>974</v>
      </c>
      <c r="D4045" t="s">
        <v>965</v>
      </c>
      <c r="E4045" t="s">
        <v>392</v>
      </c>
      <c r="F4045" t="s">
        <v>393</v>
      </c>
      <c r="G4045" t="s">
        <v>963</v>
      </c>
      <c r="H4045">
        <v>115</v>
      </c>
      <c r="I4045">
        <v>0.36487000000000003</v>
      </c>
      <c r="J4045">
        <v>0.79802600000000001</v>
      </c>
      <c r="K4045">
        <v>0.43315700000000001</v>
      </c>
      <c r="L4045">
        <v>106</v>
      </c>
      <c r="M4045">
        <v>4</v>
      </c>
      <c r="N4045">
        <v>5</v>
      </c>
      <c r="O4045">
        <v>0.76348199999999999</v>
      </c>
      <c r="P4045">
        <v>0.43592599999999998</v>
      </c>
      <c r="Q4045">
        <v>0.22616</v>
      </c>
    </row>
    <row r="4046" spans="1:17" x14ac:dyDescent="0.25">
      <c r="A4046" t="str">
        <f>IF(C4046&amp;G4046&amp;D4046&lt;&gt;'Funnel setup'!$K$3&amp;'Funnel setup'!$K$4&amp;'Funnel setup'!$K$6,".",IF(A4045=".",1,A4045+1))</f>
        <v>.</v>
      </c>
      <c r="B4046" s="244" t="str">
        <f t="shared" si="63"/>
        <v>Total Hip ReplacementProviderNUFFIELD HEALTH, LEICESTER HOSPITAL (NT226)EQ-5D Index</v>
      </c>
      <c r="C4046" t="s">
        <v>974</v>
      </c>
      <c r="D4046" t="s">
        <v>965</v>
      </c>
      <c r="E4046" t="s">
        <v>394</v>
      </c>
      <c r="F4046" t="s">
        <v>395</v>
      </c>
      <c r="G4046" t="s">
        <v>963</v>
      </c>
      <c r="H4046">
        <v>31</v>
      </c>
      <c r="I4046">
        <v>0.37683899999999998</v>
      </c>
      <c r="J4046">
        <v>0.83851600000000004</v>
      </c>
      <c r="K4046">
        <v>0.461677</v>
      </c>
      <c r="L4046">
        <v>28</v>
      </c>
      <c r="M4046">
        <v>0</v>
      </c>
      <c r="N4046">
        <v>3</v>
      </c>
      <c r="O4046">
        <v>0.81638100000000002</v>
      </c>
      <c r="P4046">
        <v>0.48882500000000001</v>
      </c>
      <c r="Q4046">
        <v>0.20580300000000001</v>
      </c>
    </row>
    <row r="4047" spans="1:17" x14ac:dyDescent="0.25">
      <c r="A4047" t="str">
        <f>IF(C4047&amp;G4047&amp;D4047&lt;&gt;'Funnel setup'!$K$3&amp;'Funnel setup'!$K$4&amp;'Funnel setup'!$K$6,".",IF(A4046=".",1,A4046+1))</f>
        <v>.</v>
      </c>
      <c r="B4047" s="244" t="str">
        <f t="shared" si="63"/>
        <v>Total Hip ReplacementProviderNUFFIELD HEALTH, NEWCASTLE UPON TYNE HOSPITAL (NT229)EQ-5D Index</v>
      </c>
      <c r="C4047" t="s">
        <v>974</v>
      </c>
      <c r="D4047" t="s">
        <v>965</v>
      </c>
      <c r="E4047" t="s">
        <v>396</v>
      </c>
      <c r="F4047" t="s">
        <v>397</v>
      </c>
      <c r="G4047" t="s">
        <v>963</v>
      </c>
      <c r="H4047">
        <v>45</v>
      </c>
      <c r="I4047">
        <v>0.30962200000000001</v>
      </c>
      <c r="J4047">
        <v>0.79528900000000002</v>
      </c>
      <c r="K4047">
        <v>0.48566700000000002</v>
      </c>
      <c r="L4047">
        <v>42</v>
      </c>
      <c r="M4047">
        <v>1</v>
      </c>
      <c r="N4047">
        <v>2</v>
      </c>
      <c r="O4047">
        <v>0.78519399999999995</v>
      </c>
      <c r="P4047">
        <v>0.45763799999999999</v>
      </c>
      <c r="Q4047">
        <v>0.26128699999999999</v>
      </c>
    </row>
    <row r="4048" spans="1:17" x14ac:dyDescent="0.25">
      <c r="A4048" t="str">
        <f>IF(C4048&amp;G4048&amp;D4048&lt;&gt;'Funnel setup'!$K$3&amp;'Funnel setup'!$K$4&amp;'Funnel setup'!$K$6,".",IF(A4047=".",1,A4047+1))</f>
        <v>.</v>
      </c>
      <c r="B4048" s="244" t="str">
        <f t="shared" si="63"/>
        <v>Total Hip ReplacementProviderNUFFIELD HEALTH, NORTH STAFFORDSHIRE HOSPITAL (NT230)EQ-5D Index</v>
      </c>
      <c r="C4048" t="s">
        <v>974</v>
      </c>
      <c r="D4048" t="s">
        <v>965</v>
      </c>
      <c r="E4048" t="s">
        <v>398</v>
      </c>
      <c r="F4048" t="s">
        <v>399</v>
      </c>
      <c r="G4048" t="s">
        <v>963</v>
      </c>
      <c r="H4048">
        <v>31</v>
      </c>
      <c r="I4048">
        <v>0.29345199999999999</v>
      </c>
      <c r="J4048">
        <v>0.73038700000000001</v>
      </c>
      <c r="K4048">
        <v>0.43693500000000002</v>
      </c>
      <c r="L4048">
        <v>26</v>
      </c>
      <c r="M4048">
        <v>1</v>
      </c>
      <c r="N4048">
        <v>4</v>
      </c>
      <c r="O4048">
        <v>0.72428800000000004</v>
      </c>
      <c r="P4048">
        <v>0.39673199999999997</v>
      </c>
      <c r="Q4048">
        <v>0.31170399999999998</v>
      </c>
    </row>
    <row r="4049" spans="1:17" x14ac:dyDescent="0.25">
      <c r="A4049" t="str">
        <f>IF(C4049&amp;G4049&amp;D4049&lt;&gt;'Funnel setup'!$K$3&amp;'Funnel setup'!$K$4&amp;'Funnel setup'!$K$6,".",IF(A4048=".",1,A4048+1))</f>
        <v>.</v>
      </c>
      <c r="B4049" s="244" t="str">
        <f t="shared" si="63"/>
        <v>Total Hip ReplacementProviderNUFFIELD HEALTH, PLYMOUTH HOSPITAL (NT233)EQ-5D Index</v>
      </c>
      <c r="C4049" t="s">
        <v>974</v>
      </c>
      <c r="D4049" t="s">
        <v>965</v>
      </c>
      <c r="E4049" t="s">
        <v>400</v>
      </c>
      <c r="F4049" t="s">
        <v>401</v>
      </c>
      <c r="G4049" t="s">
        <v>963</v>
      </c>
      <c r="H4049">
        <v>61</v>
      </c>
      <c r="I4049">
        <v>0.383548</v>
      </c>
      <c r="J4049">
        <v>0.83199999999999996</v>
      </c>
      <c r="K4049">
        <v>0.44845200000000002</v>
      </c>
      <c r="L4049">
        <v>56</v>
      </c>
      <c r="M4049">
        <v>1</v>
      </c>
      <c r="N4049">
        <v>4</v>
      </c>
      <c r="O4049">
        <v>0.79478300000000002</v>
      </c>
      <c r="P4049">
        <v>0.467227</v>
      </c>
      <c r="Q4049">
        <v>0.24370600000000001</v>
      </c>
    </row>
    <row r="4050" spans="1:17" x14ac:dyDescent="0.25">
      <c r="A4050" t="str">
        <f>IF(C4050&amp;G4050&amp;D4050&lt;&gt;'Funnel setup'!$K$3&amp;'Funnel setup'!$K$4&amp;'Funnel setup'!$K$6,".",IF(A4049=".",1,A4049+1))</f>
        <v>.</v>
      </c>
      <c r="B4050" s="244" t="str">
        <f t="shared" si="63"/>
        <v>Total Hip ReplacementProviderNUFFIELD HEALTH, SHREWSBURY HOSPITAL (NT235)EQ-5D Index</v>
      </c>
      <c r="C4050" t="s">
        <v>974</v>
      </c>
      <c r="D4050" t="s">
        <v>965</v>
      </c>
      <c r="E4050" t="s">
        <v>402</v>
      </c>
      <c r="F4050" t="s">
        <v>403</v>
      </c>
      <c r="G4050" t="s">
        <v>963</v>
      </c>
      <c r="H4050">
        <v>6</v>
      </c>
      <c r="I4050">
        <v>0.22</v>
      </c>
      <c r="J4050">
        <v>0.82599999999999996</v>
      </c>
      <c r="K4050">
        <v>0.60599999999999998</v>
      </c>
      <c r="L4050">
        <v>6</v>
      </c>
      <c r="M4050">
        <v>0</v>
      </c>
      <c r="N4050">
        <v>0</v>
      </c>
      <c r="O4050" t="s">
        <v>127</v>
      </c>
      <c r="P4050" t="s">
        <v>127</v>
      </c>
      <c r="Q4050" t="s">
        <v>127</v>
      </c>
    </row>
    <row r="4051" spans="1:17" x14ac:dyDescent="0.25">
      <c r="A4051" t="str">
        <f>IF(C4051&amp;G4051&amp;D4051&lt;&gt;'Funnel setup'!$K$3&amp;'Funnel setup'!$K$4&amp;'Funnel setup'!$K$6,".",IF(A4050=".",1,A4050+1))</f>
        <v>.</v>
      </c>
      <c r="B4051" s="244" t="str">
        <f t="shared" si="63"/>
        <v>Total Hip ReplacementProviderNUFFIELD HEALTH, TAUNTON HOSPITAL (NT238)EQ-5D Index</v>
      </c>
      <c r="C4051" t="s">
        <v>974</v>
      </c>
      <c r="D4051" t="s">
        <v>965</v>
      </c>
      <c r="E4051" t="s">
        <v>404</v>
      </c>
      <c r="F4051" t="s">
        <v>405</v>
      </c>
      <c r="G4051" t="s">
        <v>963</v>
      </c>
      <c r="H4051">
        <v>22</v>
      </c>
      <c r="I4051">
        <v>0.36386400000000002</v>
      </c>
      <c r="J4051">
        <v>0.83377299999999999</v>
      </c>
      <c r="K4051">
        <v>0.46990900000000002</v>
      </c>
      <c r="L4051">
        <v>21</v>
      </c>
      <c r="M4051">
        <v>1</v>
      </c>
      <c r="N4051">
        <v>0</v>
      </c>
      <c r="O4051" t="s">
        <v>127</v>
      </c>
      <c r="P4051" t="s">
        <v>127</v>
      </c>
      <c r="Q4051" t="s">
        <v>127</v>
      </c>
    </row>
    <row r="4052" spans="1:17" x14ac:dyDescent="0.25">
      <c r="A4052" t="str">
        <f>IF(C4052&amp;G4052&amp;D4052&lt;&gt;'Funnel setup'!$K$3&amp;'Funnel setup'!$K$4&amp;'Funnel setup'!$K$6,".",IF(A4051=".",1,A4051+1))</f>
        <v>.</v>
      </c>
      <c r="B4052" s="244" t="str">
        <f t="shared" si="63"/>
        <v>Total Hip ReplacementProviderNUFFIELD HEALTH, TEES HOSPITAL (NT237)EQ-5D Index</v>
      </c>
      <c r="C4052" t="s">
        <v>974</v>
      </c>
      <c r="D4052" t="s">
        <v>965</v>
      </c>
      <c r="E4052" t="s">
        <v>406</v>
      </c>
      <c r="F4052" t="s">
        <v>407</v>
      </c>
      <c r="G4052" t="s">
        <v>963</v>
      </c>
      <c r="H4052">
        <v>148</v>
      </c>
      <c r="I4052">
        <v>0.46299299999999999</v>
      </c>
      <c r="J4052">
        <v>0.81345299999999998</v>
      </c>
      <c r="K4052">
        <v>0.35045900000000002</v>
      </c>
      <c r="L4052">
        <v>128</v>
      </c>
      <c r="M4052">
        <v>8</v>
      </c>
      <c r="N4052">
        <v>12</v>
      </c>
      <c r="O4052">
        <v>0.77098599999999995</v>
      </c>
      <c r="P4052">
        <v>0.44342999999999999</v>
      </c>
      <c r="Q4052">
        <v>0.237841</v>
      </c>
    </row>
    <row r="4053" spans="1:17" x14ac:dyDescent="0.25">
      <c r="A4053" t="str">
        <f>IF(C4053&amp;G4053&amp;D4053&lt;&gt;'Funnel setup'!$K$3&amp;'Funnel setup'!$K$4&amp;'Funnel setup'!$K$6,".",IF(A4052=".",1,A4052+1))</f>
        <v>.</v>
      </c>
      <c r="B4053" s="244" t="str">
        <f t="shared" si="63"/>
        <v>Total Hip ReplacementProviderNUFFIELD HEALTH, THE GROSVENOR HOSPITAL, CHESTER (NT210)EQ-5D Index</v>
      </c>
      <c r="C4053" t="s">
        <v>974</v>
      </c>
      <c r="D4053" t="s">
        <v>965</v>
      </c>
      <c r="E4053" t="s">
        <v>408</v>
      </c>
      <c r="F4053" t="s">
        <v>409</v>
      </c>
      <c r="G4053" t="s">
        <v>963</v>
      </c>
      <c r="H4053">
        <v>13</v>
      </c>
      <c r="I4053">
        <v>0.346692</v>
      </c>
      <c r="J4053">
        <v>0.872</v>
      </c>
      <c r="K4053">
        <v>0.525308</v>
      </c>
      <c r="L4053">
        <v>12</v>
      </c>
      <c r="M4053">
        <v>0</v>
      </c>
      <c r="N4053">
        <v>1</v>
      </c>
      <c r="O4053" t="s">
        <v>127</v>
      </c>
      <c r="P4053" t="s">
        <v>127</v>
      </c>
      <c r="Q4053" t="s">
        <v>127</v>
      </c>
    </row>
    <row r="4054" spans="1:17" x14ac:dyDescent="0.25">
      <c r="A4054" t="str">
        <f>IF(C4054&amp;G4054&amp;D4054&lt;&gt;'Funnel setup'!$K$3&amp;'Funnel setup'!$K$4&amp;'Funnel setup'!$K$6,".",IF(A4053=".",1,A4053+1))</f>
        <v>.</v>
      </c>
      <c r="B4054" s="244" t="str">
        <f t="shared" si="63"/>
        <v>Total Hip ReplacementProviderNUFFIELD HEALTH, TUNBRIDGE WELLS HOSPITAL (NT239)EQ-5D Index</v>
      </c>
      <c r="C4054" t="s">
        <v>974</v>
      </c>
      <c r="D4054" t="s">
        <v>965</v>
      </c>
      <c r="E4054" t="s">
        <v>410</v>
      </c>
      <c r="F4054" t="s">
        <v>411</v>
      </c>
      <c r="G4054" t="s">
        <v>963</v>
      </c>
      <c r="H4054">
        <v>6</v>
      </c>
      <c r="I4054">
        <v>0.20799999999999999</v>
      </c>
      <c r="J4054">
        <v>0.79649999999999999</v>
      </c>
      <c r="K4054">
        <v>0.58850000000000002</v>
      </c>
      <c r="L4054">
        <v>6</v>
      </c>
      <c r="M4054">
        <v>0</v>
      </c>
      <c r="N4054">
        <v>0</v>
      </c>
      <c r="O4054" t="s">
        <v>127</v>
      </c>
      <c r="P4054" t="s">
        <v>127</v>
      </c>
      <c r="Q4054" t="s">
        <v>127</v>
      </c>
    </row>
    <row r="4055" spans="1:17" x14ac:dyDescent="0.25">
      <c r="A4055" t="str">
        <f>IF(C4055&amp;G4055&amp;D4055&lt;&gt;'Funnel setup'!$K$3&amp;'Funnel setup'!$K$4&amp;'Funnel setup'!$K$6,".",IF(A4054=".",1,A4054+1))</f>
        <v>.</v>
      </c>
      <c r="B4055" s="244" t="str">
        <f t="shared" si="63"/>
        <v>Total Hip ReplacementProviderNUFFIELD HEALTH, WARWICKSHIRE HOSPITAL (NT224)EQ-5D Index</v>
      </c>
      <c r="C4055" t="s">
        <v>974</v>
      </c>
      <c r="D4055" t="s">
        <v>965</v>
      </c>
      <c r="E4055" t="s">
        <v>412</v>
      </c>
      <c r="F4055" t="s">
        <v>413</v>
      </c>
      <c r="G4055" t="s">
        <v>963</v>
      </c>
      <c r="H4055">
        <v>18</v>
      </c>
      <c r="I4055">
        <v>0.34427799999999997</v>
      </c>
      <c r="J4055">
        <v>0.845889</v>
      </c>
      <c r="K4055">
        <v>0.50161100000000003</v>
      </c>
      <c r="L4055">
        <v>18</v>
      </c>
      <c r="M4055">
        <v>0</v>
      </c>
      <c r="N4055">
        <v>0</v>
      </c>
      <c r="O4055" t="s">
        <v>127</v>
      </c>
      <c r="P4055" t="s">
        <v>127</v>
      </c>
      <c r="Q4055" t="s">
        <v>127</v>
      </c>
    </row>
    <row r="4056" spans="1:17" x14ac:dyDescent="0.25">
      <c r="A4056" t="str">
        <f>IF(C4056&amp;G4056&amp;D4056&lt;&gt;'Funnel setup'!$K$3&amp;'Funnel setup'!$K$4&amp;'Funnel setup'!$K$6,".",IF(A4055=".",1,A4055+1))</f>
        <v>.</v>
      </c>
      <c r="B4056" s="244" t="str">
        <f t="shared" si="63"/>
        <v>Total Hip ReplacementProviderNUFFIELD HEALTH, WESSEX HOSPITAL (NT214)EQ-5D Index</v>
      </c>
      <c r="C4056" t="s">
        <v>974</v>
      </c>
      <c r="D4056" t="s">
        <v>965</v>
      </c>
      <c r="E4056" t="s">
        <v>414</v>
      </c>
      <c r="F4056" t="s">
        <v>415</v>
      </c>
      <c r="G4056" t="s">
        <v>963</v>
      </c>
      <c r="H4056">
        <v>33</v>
      </c>
      <c r="I4056">
        <v>0.43233300000000002</v>
      </c>
      <c r="J4056">
        <v>0.82924200000000003</v>
      </c>
      <c r="K4056">
        <v>0.39690900000000001</v>
      </c>
      <c r="L4056">
        <v>28</v>
      </c>
      <c r="M4056">
        <v>3</v>
      </c>
      <c r="N4056">
        <v>2</v>
      </c>
      <c r="O4056">
        <v>0.78200599999999998</v>
      </c>
      <c r="P4056">
        <v>0.45445000000000002</v>
      </c>
      <c r="Q4056">
        <v>0.20643</v>
      </c>
    </row>
    <row r="4057" spans="1:17" x14ac:dyDescent="0.25">
      <c r="A4057" t="str">
        <f>IF(C4057&amp;G4057&amp;D4057&lt;&gt;'Funnel setup'!$K$3&amp;'Funnel setup'!$K$4&amp;'Funnel setup'!$K$6,".",IF(A4056=".",1,A4056+1))</f>
        <v>.</v>
      </c>
      <c r="B4057" s="244" t="str">
        <f t="shared" si="63"/>
        <v>Total Hip ReplacementProviderNUFFIELD HEALTH, WOLVERHAMPTON HOSPITAL (NT242)EQ-5D Index</v>
      </c>
      <c r="C4057" t="s">
        <v>974</v>
      </c>
      <c r="D4057" t="s">
        <v>965</v>
      </c>
      <c r="E4057" t="s">
        <v>418</v>
      </c>
      <c r="F4057" t="s">
        <v>419</v>
      </c>
      <c r="G4057" t="s">
        <v>963</v>
      </c>
      <c r="H4057">
        <v>4</v>
      </c>
      <c r="I4057">
        <v>0.63924999999999998</v>
      </c>
      <c r="J4057">
        <v>0.84575</v>
      </c>
      <c r="K4057">
        <v>0.20649999999999999</v>
      </c>
      <c r="L4057">
        <v>3</v>
      </c>
      <c r="M4057">
        <v>1</v>
      </c>
      <c r="N4057">
        <v>0</v>
      </c>
      <c r="O4057" t="s">
        <v>127</v>
      </c>
      <c r="P4057" t="s">
        <v>127</v>
      </c>
      <c r="Q4057" t="s">
        <v>127</v>
      </c>
    </row>
    <row r="4058" spans="1:17" x14ac:dyDescent="0.25">
      <c r="A4058" t="str">
        <f>IF(C4058&amp;G4058&amp;D4058&lt;&gt;'Funnel setup'!$K$3&amp;'Funnel setup'!$K$4&amp;'Funnel setup'!$K$6,".",IF(A4057=".",1,A4057+1))</f>
        <v>.</v>
      </c>
      <c r="B4058" s="244" t="str">
        <f t="shared" si="63"/>
        <v>Total Hip ReplacementProviderNUFFIELD HEALTH, YORK HOSPITAL (NT245)EQ-5D Index</v>
      </c>
      <c r="C4058" t="s">
        <v>974</v>
      </c>
      <c r="D4058" t="s">
        <v>965</v>
      </c>
      <c r="E4058" t="s">
        <v>420</v>
      </c>
      <c r="F4058" t="s">
        <v>421</v>
      </c>
      <c r="G4058" t="s">
        <v>963</v>
      </c>
      <c r="H4058">
        <v>75</v>
      </c>
      <c r="I4058">
        <v>0.37120799999999998</v>
      </c>
      <c r="J4058">
        <v>0.84702599999999995</v>
      </c>
      <c r="K4058">
        <v>0.47581800000000002</v>
      </c>
      <c r="L4058">
        <v>70</v>
      </c>
      <c r="M4058">
        <v>4</v>
      </c>
      <c r="N4058">
        <v>1</v>
      </c>
      <c r="O4058">
        <v>0.83646600000000004</v>
      </c>
      <c r="P4058">
        <v>0.50890999999999997</v>
      </c>
      <c r="Q4058">
        <v>0.19936300000000001</v>
      </c>
    </row>
    <row r="4059" spans="1:17" x14ac:dyDescent="0.25">
      <c r="A4059" t="str">
        <f>IF(C4059&amp;G4059&amp;D4059&lt;&gt;'Funnel setup'!$K$3&amp;'Funnel setup'!$K$4&amp;'Funnel setup'!$K$6,".",IF(A4058=".",1,A4058+1))</f>
        <v>.</v>
      </c>
      <c r="B4059" s="244" t="str">
        <f t="shared" si="63"/>
        <v>Total Hip ReplacementProviderOAKLANDS HOSPITAL (NVC12)EQ-5D Index</v>
      </c>
      <c r="C4059" t="s">
        <v>974</v>
      </c>
      <c r="D4059" t="s">
        <v>965</v>
      </c>
      <c r="E4059" t="s">
        <v>424</v>
      </c>
      <c r="F4059" t="s">
        <v>425</v>
      </c>
      <c r="G4059" t="s">
        <v>963</v>
      </c>
      <c r="H4059">
        <v>63</v>
      </c>
      <c r="I4059">
        <v>0.36803200000000003</v>
      </c>
      <c r="J4059">
        <v>0.75103200000000003</v>
      </c>
      <c r="K4059">
        <v>0.38300000000000001</v>
      </c>
      <c r="L4059">
        <v>50</v>
      </c>
      <c r="M4059">
        <v>6</v>
      </c>
      <c r="N4059">
        <v>7</v>
      </c>
      <c r="O4059">
        <v>0.75783100000000003</v>
      </c>
      <c r="P4059">
        <v>0.43027500000000002</v>
      </c>
      <c r="Q4059">
        <v>0.26577899999999999</v>
      </c>
    </row>
    <row r="4060" spans="1:17" x14ac:dyDescent="0.25">
      <c r="A4060" t="str">
        <f>IF(C4060&amp;G4060&amp;D4060&lt;&gt;'Funnel setup'!$K$3&amp;'Funnel setup'!$K$4&amp;'Funnel setup'!$K$6,".",IF(A4059=".",1,A4059+1))</f>
        <v>.</v>
      </c>
      <c r="B4060" s="244" t="str">
        <f t="shared" si="63"/>
        <v>Total Hip ReplacementProviderOAKS HOSPITAL (NVC13)EQ-5D Index</v>
      </c>
      <c r="C4060" t="s">
        <v>974</v>
      </c>
      <c r="D4060" t="s">
        <v>965</v>
      </c>
      <c r="E4060" t="s">
        <v>426</v>
      </c>
      <c r="F4060" t="s">
        <v>427</v>
      </c>
      <c r="G4060" t="s">
        <v>963</v>
      </c>
      <c r="H4060">
        <v>7</v>
      </c>
      <c r="I4060">
        <v>0.51871400000000001</v>
      </c>
      <c r="J4060">
        <v>0.741429</v>
      </c>
      <c r="K4060">
        <v>0.222714</v>
      </c>
      <c r="L4060">
        <v>6</v>
      </c>
      <c r="M4060">
        <v>1</v>
      </c>
      <c r="N4060">
        <v>0</v>
      </c>
      <c r="O4060" t="s">
        <v>127</v>
      </c>
      <c r="P4060" t="s">
        <v>127</v>
      </c>
      <c r="Q4060" t="s">
        <v>127</v>
      </c>
    </row>
    <row r="4061" spans="1:17" x14ac:dyDescent="0.25">
      <c r="A4061" t="str">
        <f>IF(C4061&amp;G4061&amp;D4061&lt;&gt;'Funnel setup'!$K$3&amp;'Funnel setup'!$K$4&amp;'Funnel setup'!$K$6,".",IF(A4060=".",1,A4060+1))</f>
        <v>.</v>
      </c>
      <c r="B4061" s="244" t="str">
        <f t="shared" si="63"/>
        <v>Total Hip ReplacementProviderONE HEALTHCARE (AVQ)EQ-5D Index</v>
      </c>
      <c r="C4061" t="s">
        <v>974</v>
      </c>
      <c r="D4061" t="s">
        <v>965</v>
      </c>
      <c r="E4061" t="s">
        <v>434</v>
      </c>
      <c r="F4061" t="s">
        <v>435</v>
      </c>
      <c r="G4061" t="s">
        <v>963</v>
      </c>
      <c r="H4061">
        <v>51</v>
      </c>
      <c r="I4061">
        <v>0.36213699999999999</v>
      </c>
      <c r="J4061">
        <v>0.85878399999999999</v>
      </c>
      <c r="K4061">
        <v>0.49664700000000001</v>
      </c>
      <c r="L4061">
        <v>46</v>
      </c>
      <c r="M4061">
        <v>3</v>
      </c>
      <c r="N4061">
        <v>2</v>
      </c>
      <c r="O4061">
        <v>0.82176199999999999</v>
      </c>
      <c r="P4061">
        <v>0.49420599999999998</v>
      </c>
      <c r="Q4061">
        <v>0.198988</v>
      </c>
    </row>
    <row r="4062" spans="1:17" x14ac:dyDescent="0.25">
      <c r="A4062" t="str">
        <f>IF(C4062&amp;G4062&amp;D4062&lt;&gt;'Funnel setup'!$K$3&amp;'Funnel setup'!$K$4&amp;'Funnel setup'!$K$6,".",IF(A4061=".",1,A4061+1))</f>
        <v>.</v>
      </c>
      <c r="B4062" s="244" t="str">
        <f t="shared" si="63"/>
        <v>Total Hip ReplacementProviderORTHOPAEDICS &amp; SPINE SPECIALIST HOSPITAL SITE (NQM01)EQ-5D Index</v>
      </c>
      <c r="C4062" t="s">
        <v>974</v>
      </c>
      <c r="D4062" t="s">
        <v>965</v>
      </c>
      <c r="E4062" t="s">
        <v>436</v>
      </c>
      <c r="F4062" t="s">
        <v>437</v>
      </c>
      <c r="G4062" t="s">
        <v>963</v>
      </c>
      <c r="H4062">
        <v>7</v>
      </c>
      <c r="I4062">
        <v>0.47928599999999999</v>
      </c>
      <c r="J4062">
        <v>0.79671400000000003</v>
      </c>
      <c r="K4062">
        <v>0.31742900000000002</v>
      </c>
      <c r="L4062">
        <v>6</v>
      </c>
      <c r="M4062">
        <v>0</v>
      </c>
      <c r="N4062">
        <v>1</v>
      </c>
      <c r="O4062" t="s">
        <v>127</v>
      </c>
      <c r="P4062" t="s">
        <v>127</v>
      </c>
      <c r="Q4062" t="s">
        <v>127</v>
      </c>
    </row>
    <row r="4063" spans="1:17" x14ac:dyDescent="0.25">
      <c r="A4063" t="str">
        <f>IF(C4063&amp;G4063&amp;D4063&lt;&gt;'Funnel setup'!$K$3&amp;'Funnel setup'!$K$4&amp;'Funnel setup'!$K$6,".",IF(A4062=".",1,A4062+1))</f>
        <v>.</v>
      </c>
      <c r="B4063" s="244" t="str">
        <f t="shared" si="63"/>
        <v>Total Hip ReplacementProviderOXFORD UNIVERSITY HOSPITALS NHS FOUNDATION TRUST (RTH)EQ-5D Index</v>
      </c>
      <c r="C4063" t="s">
        <v>974</v>
      </c>
      <c r="D4063" t="s">
        <v>965</v>
      </c>
      <c r="E4063" t="s">
        <v>438</v>
      </c>
      <c r="F4063" t="s">
        <v>439</v>
      </c>
      <c r="G4063" t="s">
        <v>963</v>
      </c>
      <c r="H4063">
        <v>310</v>
      </c>
      <c r="I4063">
        <v>0.32450299999999999</v>
      </c>
      <c r="J4063">
        <v>0.76080999999999999</v>
      </c>
      <c r="K4063">
        <v>0.43630600000000003</v>
      </c>
      <c r="L4063">
        <v>275</v>
      </c>
      <c r="M4063">
        <v>19</v>
      </c>
      <c r="N4063">
        <v>16</v>
      </c>
      <c r="O4063">
        <v>0.76355200000000001</v>
      </c>
      <c r="P4063">
        <v>0.43599599999999999</v>
      </c>
      <c r="Q4063">
        <v>0.25747399999999998</v>
      </c>
    </row>
    <row r="4064" spans="1:17" x14ac:dyDescent="0.25">
      <c r="A4064" t="str">
        <f>IF(C4064&amp;G4064&amp;D4064&lt;&gt;'Funnel setup'!$K$3&amp;'Funnel setup'!$K$4&amp;'Funnel setup'!$K$6,".",IF(A4063=".",1,A4063+1))</f>
        <v>.</v>
      </c>
      <c r="B4064" s="244" t="str">
        <f t="shared" si="63"/>
        <v>Total Hip ReplacementProviderPARK HILL HOSPITAL (NVC14)EQ-5D Index</v>
      </c>
      <c r="C4064" t="s">
        <v>974</v>
      </c>
      <c r="D4064" t="s">
        <v>965</v>
      </c>
      <c r="E4064" t="s">
        <v>440</v>
      </c>
      <c r="F4064" t="s">
        <v>441</v>
      </c>
      <c r="G4064" t="s">
        <v>963</v>
      </c>
      <c r="H4064">
        <v>51</v>
      </c>
      <c r="I4064">
        <v>0.274451</v>
      </c>
      <c r="J4064">
        <v>0.77337299999999998</v>
      </c>
      <c r="K4064">
        <v>0.49892199999999998</v>
      </c>
      <c r="L4064">
        <v>45</v>
      </c>
      <c r="M4064">
        <v>1</v>
      </c>
      <c r="N4064">
        <v>5</v>
      </c>
      <c r="O4064">
        <v>0.76900299999999999</v>
      </c>
      <c r="P4064">
        <v>0.44144800000000001</v>
      </c>
      <c r="Q4064">
        <v>0.27050800000000003</v>
      </c>
    </row>
    <row r="4065" spans="1:17" x14ac:dyDescent="0.25">
      <c r="A4065" t="str">
        <f>IF(C4065&amp;G4065&amp;D4065&lt;&gt;'Funnel setup'!$K$3&amp;'Funnel setup'!$K$4&amp;'Funnel setup'!$K$6,".",IF(A4064=".",1,A4064+1))</f>
        <v>.</v>
      </c>
      <c r="B4065" s="244" t="str">
        <f t="shared" si="63"/>
        <v>Total Hip ReplacementProviderPARK HOSPITAL (NT427)EQ-5D Index</v>
      </c>
      <c r="C4065" t="s">
        <v>974</v>
      </c>
      <c r="D4065" t="s">
        <v>965</v>
      </c>
      <c r="E4065" t="s">
        <v>442</v>
      </c>
      <c r="F4065" t="s">
        <v>443</v>
      </c>
      <c r="G4065" t="s">
        <v>963</v>
      </c>
      <c r="H4065">
        <v>23</v>
      </c>
      <c r="I4065">
        <v>0.34787000000000001</v>
      </c>
      <c r="J4065">
        <v>0.74195699999999998</v>
      </c>
      <c r="K4065">
        <v>0.39408700000000002</v>
      </c>
      <c r="L4065">
        <v>19</v>
      </c>
      <c r="M4065">
        <v>1</v>
      </c>
      <c r="N4065">
        <v>3</v>
      </c>
      <c r="O4065" t="s">
        <v>127</v>
      </c>
      <c r="P4065" t="s">
        <v>127</v>
      </c>
      <c r="Q4065" t="s">
        <v>127</v>
      </c>
    </row>
    <row r="4066" spans="1:17" x14ac:dyDescent="0.25">
      <c r="A4066" t="str">
        <f>IF(C4066&amp;G4066&amp;D4066&lt;&gt;'Funnel setup'!$K$3&amp;'Funnel setup'!$K$4&amp;'Funnel setup'!$K$6,".",IF(A4065=".",1,A4065+1))</f>
        <v>.</v>
      </c>
      <c r="B4066" s="244" t="str">
        <f t="shared" si="63"/>
        <v>Total Hip ReplacementProviderPENNINE ACUTE HOSPITALS NHS TRUST (RW6)EQ-5D Index</v>
      </c>
      <c r="C4066" t="s">
        <v>974</v>
      </c>
      <c r="D4066" t="s">
        <v>965</v>
      </c>
      <c r="E4066" t="s">
        <v>444</v>
      </c>
      <c r="F4066" t="s">
        <v>445</v>
      </c>
      <c r="G4066" t="s">
        <v>963</v>
      </c>
      <c r="H4066">
        <v>2</v>
      </c>
      <c r="I4066">
        <v>0.1905</v>
      </c>
      <c r="J4066">
        <v>0.38650000000000001</v>
      </c>
      <c r="K4066">
        <v>0.19600000000000001</v>
      </c>
      <c r="L4066">
        <v>2</v>
      </c>
      <c r="M4066">
        <v>0</v>
      </c>
      <c r="N4066">
        <v>0</v>
      </c>
      <c r="O4066" t="s">
        <v>127</v>
      </c>
      <c r="P4066" t="s">
        <v>127</v>
      </c>
      <c r="Q4066" t="s">
        <v>127</v>
      </c>
    </row>
    <row r="4067" spans="1:17" x14ac:dyDescent="0.25">
      <c r="A4067" t="str">
        <f>IF(C4067&amp;G4067&amp;D4067&lt;&gt;'Funnel setup'!$K$3&amp;'Funnel setup'!$K$4&amp;'Funnel setup'!$K$6,".",IF(A4066=".",1,A4066+1))</f>
        <v>.</v>
      </c>
      <c r="B4067" s="244" t="str">
        <f t="shared" si="63"/>
        <v>Total Hip ReplacementProviderPINEHILL HOSPITAL (NVC15)EQ-5D Index</v>
      </c>
      <c r="C4067" t="s">
        <v>974</v>
      </c>
      <c r="D4067" t="s">
        <v>965</v>
      </c>
      <c r="E4067" t="s">
        <v>448</v>
      </c>
      <c r="F4067" t="s">
        <v>449</v>
      </c>
      <c r="G4067" t="s">
        <v>963</v>
      </c>
      <c r="H4067">
        <v>12</v>
      </c>
      <c r="I4067">
        <v>0.48775000000000002</v>
      </c>
      <c r="J4067">
        <v>0.87350000000000005</v>
      </c>
      <c r="K4067">
        <v>0.38574999999999998</v>
      </c>
      <c r="L4067">
        <v>12</v>
      </c>
      <c r="M4067">
        <v>0</v>
      </c>
      <c r="N4067">
        <v>0</v>
      </c>
      <c r="O4067" t="s">
        <v>127</v>
      </c>
      <c r="P4067" t="s">
        <v>127</v>
      </c>
      <c r="Q4067" t="s">
        <v>127</v>
      </c>
    </row>
    <row r="4068" spans="1:17" x14ac:dyDescent="0.25">
      <c r="A4068" t="str">
        <f>IF(C4068&amp;G4068&amp;D4068&lt;&gt;'Funnel setup'!$K$3&amp;'Funnel setup'!$K$4&amp;'Funnel setup'!$K$6,".",IF(A4067=".",1,A4067+1))</f>
        <v>.</v>
      </c>
      <c r="B4068" s="244" t="str">
        <f t="shared" si="63"/>
        <v>Total Hip ReplacementProviderPORTSMOUTH HOSPITALS UNIVERSITY NATIONAL HEALTH SERVICE TRUST (RHU)EQ-5D Index</v>
      </c>
      <c r="C4068" t="s">
        <v>974</v>
      </c>
      <c r="D4068" t="s">
        <v>965</v>
      </c>
      <c r="E4068" t="s">
        <v>450</v>
      </c>
      <c r="F4068" t="s">
        <v>451</v>
      </c>
      <c r="G4068" t="s">
        <v>963</v>
      </c>
      <c r="H4068">
        <v>14</v>
      </c>
      <c r="I4068">
        <v>8.5142899999999994E-2</v>
      </c>
      <c r="J4068">
        <v>0.614286</v>
      </c>
      <c r="K4068">
        <v>0.52914300000000003</v>
      </c>
      <c r="L4068">
        <v>12</v>
      </c>
      <c r="M4068">
        <v>0</v>
      </c>
      <c r="N4068">
        <v>2</v>
      </c>
      <c r="O4068" t="s">
        <v>127</v>
      </c>
      <c r="P4068" t="s">
        <v>127</v>
      </c>
      <c r="Q4068" t="s">
        <v>127</v>
      </c>
    </row>
    <row r="4069" spans="1:17" x14ac:dyDescent="0.25">
      <c r="A4069" t="str">
        <f>IF(C4069&amp;G4069&amp;D4069&lt;&gt;'Funnel setup'!$K$3&amp;'Funnel setup'!$K$4&amp;'Funnel setup'!$K$6,".",IF(A4068=".",1,A4068+1))</f>
        <v>.</v>
      </c>
      <c r="B4069" s="244" t="str">
        <f t="shared" si="63"/>
        <v>Total Hip ReplacementProviderPRACTICE PLUS GROUP HOSPITAL - BARLBOROUGH (NTP13)EQ-5D Index</v>
      </c>
      <c r="C4069" t="s">
        <v>974</v>
      </c>
      <c r="D4069" t="s">
        <v>965</v>
      </c>
      <c r="E4069" t="s">
        <v>452</v>
      </c>
      <c r="F4069" t="s">
        <v>453</v>
      </c>
      <c r="G4069" t="s">
        <v>963</v>
      </c>
      <c r="H4069">
        <v>179</v>
      </c>
      <c r="I4069">
        <v>0.34151999999999999</v>
      </c>
      <c r="J4069">
        <v>0.79517899999999997</v>
      </c>
      <c r="K4069">
        <v>0.45365899999999998</v>
      </c>
      <c r="L4069">
        <v>160</v>
      </c>
      <c r="M4069">
        <v>8</v>
      </c>
      <c r="N4069">
        <v>11</v>
      </c>
      <c r="O4069">
        <v>0.78373999999999999</v>
      </c>
      <c r="P4069">
        <v>0.45618399999999998</v>
      </c>
      <c r="Q4069">
        <v>0.23627999999999999</v>
      </c>
    </row>
    <row r="4070" spans="1:17" x14ac:dyDescent="0.25">
      <c r="A4070" t="str">
        <f>IF(C4070&amp;G4070&amp;D4070&lt;&gt;'Funnel setup'!$K$3&amp;'Funnel setup'!$K$4&amp;'Funnel setup'!$K$6,".",IF(A4069=".",1,A4069+1))</f>
        <v>.</v>
      </c>
      <c r="B4070" s="244" t="str">
        <f t="shared" si="63"/>
        <v>Total Hip ReplacementProviderPRACTICE PLUS GROUP HOSPITAL - EMERSONS GREEN (NTPH2)EQ-5D Index</v>
      </c>
      <c r="C4070" t="s">
        <v>974</v>
      </c>
      <c r="D4070" t="s">
        <v>965</v>
      </c>
      <c r="E4070" t="s">
        <v>454</v>
      </c>
      <c r="F4070" t="s">
        <v>455</v>
      </c>
      <c r="G4070" t="s">
        <v>963</v>
      </c>
      <c r="H4070">
        <v>142</v>
      </c>
      <c r="I4070">
        <v>0.39661999999999997</v>
      </c>
      <c r="J4070">
        <v>0.85040099999999996</v>
      </c>
      <c r="K4070">
        <v>0.45378200000000002</v>
      </c>
      <c r="L4070">
        <v>130</v>
      </c>
      <c r="M4070">
        <v>7</v>
      </c>
      <c r="N4070">
        <v>5</v>
      </c>
      <c r="O4070">
        <v>0.80520000000000003</v>
      </c>
      <c r="P4070">
        <v>0.47764400000000001</v>
      </c>
      <c r="Q4070">
        <v>0.17758099999999999</v>
      </c>
    </row>
    <row r="4071" spans="1:17" x14ac:dyDescent="0.25">
      <c r="A4071" t="str">
        <f>IF(C4071&amp;G4071&amp;D4071&lt;&gt;'Funnel setup'!$K$3&amp;'Funnel setup'!$K$4&amp;'Funnel setup'!$K$6,".",IF(A4070=".",1,A4070+1))</f>
        <v>.</v>
      </c>
      <c r="B4071" s="244" t="str">
        <f t="shared" si="63"/>
        <v>Total Hip ReplacementProviderPRACTICE PLUS GROUP HOSPITAL - ILFORD (NTP15)EQ-5D Index</v>
      </c>
      <c r="C4071" t="s">
        <v>974</v>
      </c>
      <c r="D4071" t="s">
        <v>965</v>
      </c>
      <c r="E4071" t="s">
        <v>456</v>
      </c>
      <c r="F4071" t="s">
        <v>457</v>
      </c>
      <c r="G4071" t="s">
        <v>963</v>
      </c>
      <c r="H4071">
        <v>54</v>
      </c>
      <c r="I4071">
        <v>0.35437000000000002</v>
      </c>
      <c r="J4071">
        <v>0.80688899999999997</v>
      </c>
      <c r="K4071">
        <v>0.452519</v>
      </c>
      <c r="L4071">
        <v>51</v>
      </c>
      <c r="M4071">
        <v>1</v>
      </c>
      <c r="N4071">
        <v>2</v>
      </c>
      <c r="O4071">
        <v>0.79085499999999997</v>
      </c>
      <c r="P4071">
        <v>0.46329900000000002</v>
      </c>
      <c r="Q4071">
        <v>0.20966699999999999</v>
      </c>
    </row>
    <row r="4072" spans="1:17" x14ac:dyDescent="0.25">
      <c r="A4072" t="str">
        <f>IF(C4072&amp;G4072&amp;D4072&lt;&gt;'Funnel setup'!$K$3&amp;'Funnel setup'!$K$4&amp;'Funnel setup'!$K$6,".",IF(A4071=".",1,A4071+1))</f>
        <v>.</v>
      </c>
      <c r="B4072" s="244" t="str">
        <f t="shared" si="63"/>
        <v>Total Hip ReplacementProviderPRACTICE PLUS GROUP HOSPITAL - PLYMOUTH (NTPH5)EQ-5D Index</v>
      </c>
      <c r="C4072" t="s">
        <v>974</v>
      </c>
      <c r="D4072" t="s">
        <v>965</v>
      </c>
      <c r="E4072" t="s">
        <v>458</v>
      </c>
      <c r="F4072" t="s">
        <v>459</v>
      </c>
      <c r="G4072" t="s">
        <v>963</v>
      </c>
      <c r="H4072">
        <v>183</v>
      </c>
      <c r="I4072">
        <v>0.37532799999999999</v>
      </c>
      <c r="J4072">
        <v>0.83033299999999999</v>
      </c>
      <c r="K4072">
        <v>0.45500499999999999</v>
      </c>
      <c r="L4072">
        <v>165</v>
      </c>
      <c r="M4072">
        <v>9</v>
      </c>
      <c r="N4072">
        <v>9</v>
      </c>
      <c r="O4072">
        <v>0.82256200000000002</v>
      </c>
      <c r="P4072">
        <v>0.49500699999999997</v>
      </c>
      <c r="Q4072">
        <v>0.22636899999999999</v>
      </c>
    </row>
    <row r="4073" spans="1:17" x14ac:dyDescent="0.25">
      <c r="A4073" t="str">
        <f>IF(C4073&amp;G4073&amp;D4073&lt;&gt;'Funnel setup'!$K$3&amp;'Funnel setup'!$K$4&amp;'Funnel setup'!$K$6,".",IF(A4072=".",1,A4072+1))</f>
        <v>.</v>
      </c>
      <c r="B4073" s="244" t="str">
        <f t="shared" si="63"/>
        <v>Total Hip ReplacementProviderPRACTICE PLUS GROUP HOSPITAL - SHEPTON MALLET (NTPH1)EQ-5D Index</v>
      </c>
      <c r="C4073" t="s">
        <v>974</v>
      </c>
      <c r="D4073" t="s">
        <v>965</v>
      </c>
      <c r="E4073" t="s">
        <v>460</v>
      </c>
      <c r="F4073" t="s">
        <v>461</v>
      </c>
      <c r="G4073" t="s">
        <v>963</v>
      </c>
      <c r="H4073">
        <v>273</v>
      </c>
      <c r="I4073">
        <v>0.42285</v>
      </c>
      <c r="J4073">
        <v>0.85709500000000005</v>
      </c>
      <c r="K4073">
        <v>0.43424499999999999</v>
      </c>
      <c r="L4073">
        <v>247</v>
      </c>
      <c r="M4073">
        <v>11</v>
      </c>
      <c r="N4073">
        <v>15</v>
      </c>
      <c r="O4073">
        <v>0.80937999999999999</v>
      </c>
      <c r="P4073">
        <v>0.48182399999999997</v>
      </c>
      <c r="Q4073">
        <v>0.18390699999999999</v>
      </c>
    </row>
    <row r="4074" spans="1:17" x14ac:dyDescent="0.25">
      <c r="A4074" t="str">
        <f>IF(C4074&amp;G4074&amp;D4074&lt;&gt;'Funnel setup'!$K$3&amp;'Funnel setup'!$K$4&amp;'Funnel setup'!$K$6,".",IF(A4073=".",1,A4073+1))</f>
        <v>.</v>
      </c>
      <c r="B4074" s="244" t="str">
        <f t="shared" si="63"/>
        <v>Total Hip ReplacementProviderPRACTICE PLUS GROUP HOSPITAL - SOUTHAMPTON (NTP11)EQ-5D Index</v>
      </c>
      <c r="C4074" t="s">
        <v>974</v>
      </c>
      <c r="D4074" t="s">
        <v>965</v>
      </c>
      <c r="E4074" t="s">
        <v>462</v>
      </c>
      <c r="F4074" t="s">
        <v>463</v>
      </c>
      <c r="G4074" t="s">
        <v>963</v>
      </c>
      <c r="H4074">
        <v>70</v>
      </c>
      <c r="I4074">
        <v>0.36872899999999997</v>
      </c>
      <c r="J4074">
        <v>0.84181399999999995</v>
      </c>
      <c r="K4074">
        <v>0.47308600000000001</v>
      </c>
      <c r="L4074">
        <v>63</v>
      </c>
      <c r="M4074">
        <v>3</v>
      </c>
      <c r="N4074">
        <v>4</v>
      </c>
      <c r="O4074">
        <v>0.81138999999999994</v>
      </c>
      <c r="P4074">
        <v>0.48383399999999999</v>
      </c>
      <c r="Q4074">
        <v>0.21362500000000001</v>
      </c>
    </row>
    <row r="4075" spans="1:17" x14ac:dyDescent="0.25">
      <c r="A4075" t="str">
        <f>IF(C4075&amp;G4075&amp;D4075&lt;&gt;'Funnel setup'!$K$3&amp;'Funnel setup'!$K$4&amp;'Funnel setup'!$K$6,".",IF(A4074=".",1,A4074+1))</f>
        <v>.</v>
      </c>
      <c r="B4075" s="244" t="str">
        <f t="shared" si="63"/>
        <v>Total Hip ReplacementProviderPRINCESS MARGARET HOSPITAL (NT428)EQ-5D Index</v>
      </c>
      <c r="C4075" t="s">
        <v>974</v>
      </c>
      <c r="D4075" t="s">
        <v>965</v>
      </c>
      <c r="E4075" t="s">
        <v>464</v>
      </c>
      <c r="F4075" t="s">
        <v>465</v>
      </c>
      <c r="G4075" t="s">
        <v>963</v>
      </c>
      <c r="H4075" t="s">
        <v>127</v>
      </c>
      <c r="I4075" t="s">
        <v>127</v>
      </c>
      <c r="J4075" t="s">
        <v>127</v>
      </c>
      <c r="K4075" t="s">
        <v>127</v>
      </c>
      <c r="L4075" t="s">
        <v>127</v>
      </c>
      <c r="M4075" t="s">
        <v>127</v>
      </c>
      <c r="N4075" t="s">
        <v>127</v>
      </c>
      <c r="O4075" t="s">
        <v>127</v>
      </c>
      <c r="P4075" t="s">
        <v>127</v>
      </c>
      <c r="Q4075" t="s">
        <v>127</v>
      </c>
    </row>
    <row r="4076" spans="1:17" x14ac:dyDescent="0.25">
      <c r="A4076" t="str">
        <f>IF(C4076&amp;G4076&amp;D4076&lt;&gt;'Funnel setup'!$K$3&amp;'Funnel setup'!$K$4&amp;'Funnel setup'!$K$6,".",IF(A4075=".",1,A4075+1))</f>
        <v>.</v>
      </c>
      <c r="B4076" s="244" t="str">
        <f t="shared" si="63"/>
        <v>Total Hip ReplacementProviderPRIORY HOSPITAL (NT429)EQ-5D Index</v>
      </c>
      <c r="C4076" t="s">
        <v>974</v>
      </c>
      <c r="D4076" t="s">
        <v>965</v>
      </c>
      <c r="E4076" t="s">
        <v>466</v>
      </c>
      <c r="F4076" t="s">
        <v>467</v>
      </c>
      <c r="G4076" t="s">
        <v>963</v>
      </c>
      <c r="H4076">
        <v>10</v>
      </c>
      <c r="I4076">
        <v>0.33289999999999997</v>
      </c>
      <c r="J4076">
        <v>0.83020000000000005</v>
      </c>
      <c r="K4076">
        <v>0.49730000000000002</v>
      </c>
      <c r="L4076">
        <v>9</v>
      </c>
      <c r="M4076">
        <v>0</v>
      </c>
      <c r="N4076">
        <v>1</v>
      </c>
      <c r="O4076" t="s">
        <v>127</v>
      </c>
      <c r="P4076" t="s">
        <v>127</v>
      </c>
      <c r="Q4076" t="s">
        <v>127</v>
      </c>
    </row>
    <row r="4077" spans="1:17" x14ac:dyDescent="0.25">
      <c r="A4077" t="str">
        <f>IF(C4077&amp;G4077&amp;D4077&lt;&gt;'Funnel setup'!$K$3&amp;'Funnel setup'!$K$4&amp;'Funnel setup'!$K$6,".",IF(A4076=".",1,A4076+1))</f>
        <v>.</v>
      </c>
      <c r="B4077" s="244" t="str">
        <f t="shared" si="63"/>
        <v>Total Hip ReplacementProviderRENACRES HOSPITAL (NVC16)EQ-5D Index</v>
      </c>
      <c r="C4077" t="s">
        <v>974</v>
      </c>
      <c r="D4077" t="s">
        <v>965</v>
      </c>
      <c r="E4077" t="s">
        <v>470</v>
      </c>
      <c r="F4077" t="s">
        <v>471</v>
      </c>
      <c r="G4077" t="s">
        <v>963</v>
      </c>
      <c r="H4077">
        <v>79</v>
      </c>
      <c r="I4077">
        <v>0.32577200000000001</v>
      </c>
      <c r="J4077">
        <v>0.81430400000000003</v>
      </c>
      <c r="K4077">
        <v>0.48853200000000002</v>
      </c>
      <c r="L4077">
        <v>74</v>
      </c>
      <c r="M4077">
        <v>2</v>
      </c>
      <c r="N4077">
        <v>3</v>
      </c>
      <c r="O4077">
        <v>0.79546899999999998</v>
      </c>
      <c r="P4077">
        <v>0.46791300000000002</v>
      </c>
      <c r="Q4077">
        <v>0.24223500000000001</v>
      </c>
    </row>
    <row r="4078" spans="1:17" x14ac:dyDescent="0.25">
      <c r="A4078" t="str">
        <f>IF(C4078&amp;G4078&amp;D4078&lt;&gt;'Funnel setup'!$K$3&amp;'Funnel setup'!$K$4&amp;'Funnel setup'!$K$6,".",IF(A4077=".",1,A4077+1))</f>
        <v>.</v>
      </c>
      <c r="B4078" s="244" t="str">
        <f t="shared" si="63"/>
        <v>Total Hip ReplacementProviderRIDGEWAY HOSPITAL (NT430)EQ-5D Index</v>
      </c>
      <c r="C4078" t="s">
        <v>974</v>
      </c>
      <c r="D4078" t="s">
        <v>965</v>
      </c>
      <c r="E4078" t="s">
        <v>472</v>
      </c>
      <c r="F4078" t="s">
        <v>473</v>
      </c>
      <c r="G4078" t="s">
        <v>963</v>
      </c>
      <c r="H4078">
        <v>4</v>
      </c>
      <c r="I4078">
        <v>0.58299999999999996</v>
      </c>
      <c r="J4078">
        <v>0.64400000000000002</v>
      </c>
      <c r="K4078">
        <v>6.0999999999999999E-2</v>
      </c>
      <c r="L4078">
        <v>2</v>
      </c>
      <c r="M4078">
        <v>0</v>
      </c>
      <c r="N4078">
        <v>2</v>
      </c>
      <c r="O4078" t="s">
        <v>127</v>
      </c>
      <c r="P4078" t="s">
        <v>127</v>
      </c>
      <c r="Q4078" t="s">
        <v>127</v>
      </c>
    </row>
    <row r="4079" spans="1:17" x14ac:dyDescent="0.25">
      <c r="A4079" t="str">
        <f>IF(C4079&amp;G4079&amp;D4079&lt;&gt;'Funnel setup'!$K$3&amp;'Funnel setup'!$K$4&amp;'Funnel setup'!$K$6,".",IF(A4078=".",1,A4078+1))</f>
        <v>.</v>
      </c>
      <c r="B4079" s="244" t="str">
        <f t="shared" si="63"/>
        <v>Total Hip ReplacementProviderRIVERS HOSPITAL (NVC19)EQ-5D Index</v>
      </c>
      <c r="C4079" t="s">
        <v>974</v>
      </c>
      <c r="D4079" t="s">
        <v>965</v>
      </c>
      <c r="E4079" t="s">
        <v>474</v>
      </c>
      <c r="F4079" t="s">
        <v>475</v>
      </c>
      <c r="G4079" t="s">
        <v>963</v>
      </c>
      <c r="H4079">
        <v>56</v>
      </c>
      <c r="I4079">
        <v>0.400621</v>
      </c>
      <c r="J4079">
        <v>0.77463800000000005</v>
      </c>
      <c r="K4079">
        <v>0.37401699999999999</v>
      </c>
      <c r="L4079">
        <v>52</v>
      </c>
      <c r="M4079">
        <v>2</v>
      </c>
      <c r="N4079">
        <v>2</v>
      </c>
      <c r="O4079">
        <v>0.74271100000000001</v>
      </c>
      <c r="P4079">
        <v>0.415155</v>
      </c>
      <c r="Q4079">
        <v>0.24901400000000001</v>
      </c>
    </row>
    <row r="4080" spans="1:17" x14ac:dyDescent="0.25">
      <c r="A4080" t="str">
        <f>IF(C4080&amp;G4080&amp;D4080&lt;&gt;'Funnel setup'!$K$3&amp;'Funnel setup'!$K$4&amp;'Funnel setup'!$K$6,".",IF(A4079=".",1,A4079+1))</f>
        <v>.</v>
      </c>
      <c r="B4080" s="244" t="str">
        <f t="shared" si="63"/>
        <v>Total Hip ReplacementProviderROWLEY HALL HOSPITAL (NVC17)EQ-5D Index</v>
      </c>
      <c r="C4080" t="s">
        <v>974</v>
      </c>
      <c r="D4080" t="s">
        <v>965</v>
      </c>
      <c r="E4080" t="s">
        <v>476</v>
      </c>
      <c r="F4080" t="s">
        <v>477</v>
      </c>
      <c r="G4080" t="s">
        <v>963</v>
      </c>
      <c r="H4080">
        <v>52</v>
      </c>
      <c r="I4080">
        <v>0.389208</v>
      </c>
      <c r="J4080">
        <v>0.79562299999999997</v>
      </c>
      <c r="K4080">
        <v>0.40641500000000003</v>
      </c>
      <c r="L4080">
        <v>45</v>
      </c>
      <c r="M4080">
        <v>4</v>
      </c>
      <c r="N4080">
        <v>3</v>
      </c>
      <c r="O4080">
        <v>0.77496299999999996</v>
      </c>
      <c r="P4080">
        <v>0.44740799999999997</v>
      </c>
      <c r="Q4080">
        <v>0.202345</v>
      </c>
    </row>
    <row r="4081" spans="1:17" x14ac:dyDescent="0.25">
      <c r="A4081" t="str">
        <f>IF(C4081&amp;G4081&amp;D4081&lt;&gt;'Funnel setup'!$K$3&amp;'Funnel setup'!$K$4&amp;'Funnel setup'!$K$6,".",IF(A4080=".",1,A4080+1))</f>
        <v>.</v>
      </c>
      <c r="B4081" s="244" t="str">
        <f t="shared" si="63"/>
        <v>Total Hip ReplacementProviderROYAL BERKSHIRE NHS FOUNDATION TRUST (RHW)EQ-5D Index</v>
      </c>
      <c r="C4081" t="s">
        <v>974</v>
      </c>
      <c r="D4081" t="s">
        <v>965</v>
      </c>
      <c r="E4081" t="s">
        <v>478</v>
      </c>
      <c r="F4081" t="s">
        <v>479</v>
      </c>
      <c r="G4081" t="s">
        <v>963</v>
      </c>
      <c r="H4081">
        <v>4</v>
      </c>
      <c r="I4081">
        <v>0.20499999999999999</v>
      </c>
      <c r="J4081">
        <v>0.47925000000000001</v>
      </c>
      <c r="K4081">
        <v>0.27424999999999999</v>
      </c>
      <c r="L4081">
        <v>3</v>
      </c>
      <c r="M4081">
        <v>0</v>
      </c>
      <c r="N4081">
        <v>1</v>
      </c>
      <c r="O4081" t="s">
        <v>127</v>
      </c>
      <c r="P4081" t="s">
        <v>127</v>
      </c>
      <c r="Q4081" t="s">
        <v>127</v>
      </c>
    </row>
    <row r="4082" spans="1:17" x14ac:dyDescent="0.25">
      <c r="A4082" t="str">
        <f>IF(C4082&amp;G4082&amp;D4082&lt;&gt;'Funnel setup'!$K$3&amp;'Funnel setup'!$K$4&amp;'Funnel setup'!$K$6,".",IF(A4081=".",1,A4081+1))</f>
        <v>.</v>
      </c>
      <c r="B4082" s="244" t="str">
        <f t="shared" si="63"/>
        <v>Total Hip ReplacementProviderROYAL CORNWALL HOSPITALS NHS TRUST (REF)EQ-5D Index</v>
      </c>
      <c r="C4082" t="s">
        <v>974</v>
      </c>
      <c r="D4082" t="s">
        <v>965</v>
      </c>
      <c r="E4082" t="s">
        <v>480</v>
      </c>
      <c r="F4082" t="s">
        <v>481</v>
      </c>
      <c r="G4082" t="s">
        <v>963</v>
      </c>
      <c r="H4082">
        <v>53</v>
      </c>
      <c r="I4082">
        <v>0.44971699999999998</v>
      </c>
      <c r="J4082">
        <v>0.79073599999999999</v>
      </c>
      <c r="K4082">
        <v>0.34101900000000002</v>
      </c>
      <c r="L4082">
        <v>46</v>
      </c>
      <c r="M4082">
        <v>2</v>
      </c>
      <c r="N4082">
        <v>5</v>
      </c>
      <c r="O4082">
        <v>0.764683</v>
      </c>
      <c r="P4082">
        <v>0.43712800000000002</v>
      </c>
      <c r="Q4082">
        <v>0.27037699999999998</v>
      </c>
    </row>
    <row r="4083" spans="1:17" x14ac:dyDescent="0.25">
      <c r="A4083" t="str">
        <f>IF(C4083&amp;G4083&amp;D4083&lt;&gt;'Funnel setup'!$K$3&amp;'Funnel setup'!$K$4&amp;'Funnel setup'!$K$6,".",IF(A4082=".",1,A4082+1))</f>
        <v>.</v>
      </c>
      <c r="B4083" s="244" t="str">
        <f t="shared" si="63"/>
        <v>Total Hip ReplacementProviderROYAL DEVON UNIVERSITY HEALTHCARE NHS FOUNDATION TRUST (RH8)EQ-5D Index</v>
      </c>
      <c r="C4083" t="s">
        <v>974</v>
      </c>
      <c r="D4083" t="s">
        <v>965</v>
      </c>
      <c r="E4083" t="s">
        <v>482</v>
      </c>
      <c r="F4083" t="s">
        <v>483</v>
      </c>
      <c r="G4083" t="s">
        <v>963</v>
      </c>
      <c r="H4083">
        <v>3</v>
      </c>
      <c r="I4083">
        <v>0.42066700000000001</v>
      </c>
      <c r="J4083">
        <v>0.82899999999999996</v>
      </c>
      <c r="K4083">
        <v>0.408333</v>
      </c>
      <c r="L4083">
        <v>2</v>
      </c>
      <c r="M4083">
        <v>1</v>
      </c>
      <c r="N4083">
        <v>0</v>
      </c>
      <c r="O4083" t="s">
        <v>127</v>
      </c>
      <c r="P4083" t="s">
        <v>127</v>
      </c>
      <c r="Q4083" t="s">
        <v>127</v>
      </c>
    </row>
    <row r="4084" spans="1:17" x14ac:dyDescent="0.25">
      <c r="A4084" t="str">
        <f>IF(C4084&amp;G4084&amp;D4084&lt;&gt;'Funnel setup'!$K$3&amp;'Funnel setup'!$K$4&amp;'Funnel setup'!$K$6,".",IF(A4083=".",1,A4083+1))</f>
        <v>.</v>
      </c>
      <c r="B4084" s="244" t="str">
        <f t="shared" si="63"/>
        <v>Total Hip ReplacementProviderROYAL NATIONAL ORTHOPAEDIC HOSPITAL NHS TRUST (RAN)EQ-5D Index</v>
      </c>
      <c r="C4084" t="s">
        <v>974</v>
      </c>
      <c r="D4084" t="s">
        <v>965</v>
      </c>
      <c r="E4084" t="s">
        <v>486</v>
      </c>
      <c r="F4084" t="s">
        <v>487</v>
      </c>
      <c r="G4084" t="s">
        <v>963</v>
      </c>
      <c r="H4084">
        <v>90</v>
      </c>
      <c r="I4084">
        <v>0.29055599999999998</v>
      </c>
      <c r="J4084">
        <v>0.60638899999999996</v>
      </c>
      <c r="K4084">
        <v>0.31583299999999997</v>
      </c>
      <c r="L4084">
        <v>71</v>
      </c>
      <c r="M4084">
        <v>5</v>
      </c>
      <c r="N4084">
        <v>14</v>
      </c>
      <c r="O4084">
        <v>0.67380600000000002</v>
      </c>
      <c r="P4084">
        <v>0.34625</v>
      </c>
      <c r="Q4084">
        <v>0.30536200000000002</v>
      </c>
    </row>
    <row r="4085" spans="1:17" x14ac:dyDescent="0.25">
      <c r="A4085" t="str">
        <f>IF(C4085&amp;G4085&amp;D4085&lt;&gt;'Funnel setup'!$K$3&amp;'Funnel setup'!$K$4&amp;'Funnel setup'!$K$6,".",IF(A4084=".",1,A4084+1))</f>
        <v>.</v>
      </c>
      <c r="B4085" s="244" t="str">
        <f t="shared" si="63"/>
        <v>Total Hip ReplacementProviderROYAL SURREY COUNTY HOSPITAL NHS FOUNDATION TRUST (RA2)EQ-5D Index</v>
      </c>
      <c r="C4085" t="s">
        <v>974</v>
      </c>
      <c r="D4085" t="s">
        <v>965</v>
      </c>
      <c r="E4085" t="s">
        <v>488</v>
      </c>
      <c r="F4085" t="s">
        <v>489</v>
      </c>
      <c r="G4085" t="s">
        <v>963</v>
      </c>
      <c r="H4085">
        <v>71</v>
      </c>
      <c r="I4085">
        <v>0.41156300000000001</v>
      </c>
      <c r="J4085">
        <v>0.81040800000000002</v>
      </c>
      <c r="K4085">
        <v>0.39884500000000001</v>
      </c>
      <c r="L4085">
        <v>63</v>
      </c>
      <c r="M4085">
        <v>5</v>
      </c>
      <c r="N4085">
        <v>3</v>
      </c>
      <c r="O4085">
        <v>0.78193800000000002</v>
      </c>
      <c r="P4085">
        <v>0.45438200000000001</v>
      </c>
      <c r="Q4085">
        <v>0.158169</v>
      </c>
    </row>
    <row r="4086" spans="1:17" x14ac:dyDescent="0.25">
      <c r="A4086" t="str">
        <f>IF(C4086&amp;G4086&amp;D4086&lt;&gt;'Funnel setup'!$K$3&amp;'Funnel setup'!$K$4&amp;'Funnel setup'!$K$6,".",IF(A4085=".",1,A4085+1))</f>
        <v>.</v>
      </c>
      <c r="B4086" s="244" t="str">
        <f t="shared" si="63"/>
        <v>Total Hip ReplacementProviderROYAL UNITED HOSPITALS BATH NHS FOUNDATION TRUST (RD1)EQ-5D Index</v>
      </c>
      <c r="C4086" t="s">
        <v>974</v>
      </c>
      <c r="D4086" t="s">
        <v>965</v>
      </c>
      <c r="E4086" t="s">
        <v>490</v>
      </c>
      <c r="F4086" t="s">
        <v>491</v>
      </c>
      <c r="G4086" t="s">
        <v>963</v>
      </c>
      <c r="H4086">
        <v>7</v>
      </c>
      <c r="I4086">
        <v>0.35</v>
      </c>
      <c r="J4086">
        <v>0.498143</v>
      </c>
      <c r="K4086">
        <v>0.148143</v>
      </c>
      <c r="L4086">
        <v>6</v>
      </c>
      <c r="M4086">
        <v>0</v>
      </c>
      <c r="N4086">
        <v>1</v>
      </c>
      <c r="O4086" t="s">
        <v>127</v>
      </c>
      <c r="P4086" t="s">
        <v>127</v>
      </c>
      <c r="Q4086" t="s">
        <v>127</v>
      </c>
    </row>
    <row r="4087" spans="1:17" x14ac:dyDescent="0.25">
      <c r="A4087" t="str">
        <f>IF(C4087&amp;G4087&amp;D4087&lt;&gt;'Funnel setup'!$K$3&amp;'Funnel setup'!$K$4&amp;'Funnel setup'!$K$6,".",IF(A4086=".",1,A4086+1))</f>
        <v>.</v>
      </c>
      <c r="B4087" s="244" t="str">
        <f t="shared" si="63"/>
        <v>Total Hip ReplacementProviderRUNNYMEDE HOSPITAL (NT431)EQ-5D Index</v>
      </c>
      <c r="C4087" t="s">
        <v>974</v>
      </c>
      <c r="D4087" t="s">
        <v>965</v>
      </c>
      <c r="E4087" t="s">
        <v>492</v>
      </c>
      <c r="F4087" t="s">
        <v>493</v>
      </c>
      <c r="G4087" t="s">
        <v>963</v>
      </c>
      <c r="H4087">
        <v>5</v>
      </c>
      <c r="I4087">
        <v>0.45700000000000002</v>
      </c>
      <c r="J4087">
        <v>0.85360000000000003</v>
      </c>
      <c r="K4087">
        <v>0.39660000000000001</v>
      </c>
      <c r="L4087">
        <v>4</v>
      </c>
      <c r="M4087">
        <v>1</v>
      </c>
      <c r="N4087">
        <v>0</v>
      </c>
      <c r="O4087" t="s">
        <v>127</v>
      </c>
      <c r="P4087" t="s">
        <v>127</v>
      </c>
      <c r="Q4087" t="s">
        <v>127</v>
      </c>
    </row>
    <row r="4088" spans="1:17" x14ac:dyDescent="0.25">
      <c r="A4088" t="str">
        <f>IF(C4088&amp;G4088&amp;D4088&lt;&gt;'Funnel setup'!$K$3&amp;'Funnel setup'!$K$4&amp;'Funnel setup'!$K$6,".",IF(A4087=".",1,A4087+1))</f>
        <v>.</v>
      </c>
      <c r="B4088" s="244" t="str">
        <f t="shared" si="63"/>
        <v>Total Hip ReplacementProviderSALISBURY NHS FOUNDATION TRUST (RNZ)EQ-5D Index</v>
      </c>
      <c r="C4088" t="s">
        <v>974</v>
      </c>
      <c r="D4088" t="s">
        <v>965</v>
      </c>
      <c r="E4088" t="s">
        <v>494</v>
      </c>
      <c r="F4088" t="s">
        <v>495</v>
      </c>
      <c r="G4088" t="s">
        <v>963</v>
      </c>
      <c r="H4088">
        <v>3</v>
      </c>
      <c r="I4088">
        <v>0.16566700000000001</v>
      </c>
      <c r="J4088">
        <v>0.93200000000000005</v>
      </c>
      <c r="K4088">
        <v>0.76633300000000004</v>
      </c>
      <c r="L4088">
        <v>3</v>
      </c>
      <c r="M4088">
        <v>0</v>
      </c>
      <c r="N4088">
        <v>0</v>
      </c>
      <c r="O4088" t="s">
        <v>127</v>
      </c>
      <c r="P4088" t="s">
        <v>127</v>
      </c>
      <c r="Q4088" t="s">
        <v>127</v>
      </c>
    </row>
    <row r="4089" spans="1:17" x14ac:dyDescent="0.25">
      <c r="A4089" t="str">
        <f>IF(C4089&amp;G4089&amp;D4089&lt;&gt;'Funnel setup'!$K$3&amp;'Funnel setup'!$K$4&amp;'Funnel setup'!$K$6,".",IF(A4088=".",1,A4088+1))</f>
        <v>.</v>
      </c>
      <c r="B4089" s="244" t="str">
        <f t="shared" si="63"/>
        <v>Total Hip ReplacementProviderSANDWELL AND WEST BIRMINGHAM HOSPITALS NHS TRUST (RXK)EQ-5D Index</v>
      </c>
      <c r="C4089" t="s">
        <v>974</v>
      </c>
      <c r="D4089" t="s">
        <v>965</v>
      </c>
      <c r="E4089" t="s">
        <v>496</v>
      </c>
      <c r="F4089" t="s">
        <v>497</v>
      </c>
      <c r="G4089" t="s">
        <v>963</v>
      </c>
      <c r="H4089">
        <v>41</v>
      </c>
      <c r="I4089">
        <v>0.19522</v>
      </c>
      <c r="J4089">
        <v>0.70195099999999999</v>
      </c>
      <c r="K4089">
        <v>0.50673199999999996</v>
      </c>
      <c r="L4089">
        <v>37</v>
      </c>
      <c r="M4089">
        <v>3</v>
      </c>
      <c r="N4089">
        <v>1</v>
      </c>
      <c r="O4089">
        <v>0.79168000000000005</v>
      </c>
      <c r="P4089">
        <v>0.46412500000000001</v>
      </c>
      <c r="Q4089">
        <v>0.24234</v>
      </c>
    </row>
    <row r="4090" spans="1:17" x14ac:dyDescent="0.25">
      <c r="A4090" t="str">
        <f>IF(C4090&amp;G4090&amp;D4090&lt;&gt;'Funnel setup'!$K$3&amp;'Funnel setup'!$K$4&amp;'Funnel setup'!$K$6,".",IF(A4089=".",1,A4089+1))</f>
        <v>.</v>
      </c>
      <c r="B4090" s="244" t="str">
        <f t="shared" si="63"/>
        <v>Total Hip ReplacementProviderSARUM ROAD HOSPITAL (NT433)EQ-5D Index</v>
      </c>
      <c r="C4090" t="s">
        <v>974</v>
      </c>
      <c r="D4090" t="s">
        <v>965</v>
      </c>
      <c r="E4090" t="s">
        <v>498</v>
      </c>
      <c r="F4090" t="s">
        <v>499</v>
      </c>
      <c r="G4090" t="s">
        <v>963</v>
      </c>
      <c r="H4090">
        <v>35</v>
      </c>
      <c r="I4090">
        <v>0.48771399999999998</v>
      </c>
      <c r="J4090">
        <v>0.85185699999999998</v>
      </c>
      <c r="K4090">
        <v>0.36414299999999999</v>
      </c>
      <c r="L4090">
        <v>31</v>
      </c>
      <c r="M4090">
        <v>1</v>
      </c>
      <c r="N4090">
        <v>3</v>
      </c>
      <c r="O4090">
        <v>0.76970499999999997</v>
      </c>
      <c r="P4090">
        <v>0.44214900000000001</v>
      </c>
      <c r="Q4090">
        <v>0.18134800000000001</v>
      </c>
    </row>
    <row r="4091" spans="1:17" x14ac:dyDescent="0.25">
      <c r="A4091" t="str">
        <f>IF(C4091&amp;G4091&amp;D4091&lt;&gt;'Funnel setup'!$K$3&amp;'Funnel setup'!$K$4&amp;'Funnel setup'!$K$6,".",IF(A4090=".",1,A4090+1))</f>
        <v>.</v>
      </c>
      <c r="B4091" s="244" t="str">
        <f t="shared" si="63"/>
        <v>Total Hip ReplacementProviderSAXON CLINIC (NT434)EQ-5D Index</v>
      </c>
      <c r="C4091" t="s">
        <v>974</v>
      </c>
      <c r="D4091" t="s">
        <v>965</v>
      </c>
      <c r="E4091" t="s">
        <v>500</v>
      </c>
      <c r="F4091" t="s">
        <v>501</v>
      </c>
      <c r="G4091" t="s">
        <v>963</v>
      </c>
      <c r="H4091">
        <v>16</v>
      </c>
      <c r="I4091">
        <v>0.378</v>
      </c>
      <c r="J4091">
        <v>0.89606200000000003</v>
      </c>
      <c r="K4091">
        <v>0.51806300000000005</v>
      </c>
      <c r="L4091">
        <v>15</v>
      </c>
      <c r="M4091">
        <v>0</v>
      </c>
      <c r="N4091">
        <v>1</v>
      </c>
      <c r="O4091" t="s">
        <v>127</v>
      </c>
      <c r="P4091" t="s">
        <v>127</v>
      </c>
      <c r="Q4091" t="s">
        <v>127</v>
      </c>
    </row>
    <row r="4092" spans="1:17" x14ac:dyDescent="0.25">
      <c r="A4092" t="str">
        <f>IF(C4092&amp;G4092&amp;D4092&lt;&gt;'Funnel setup'!$K$3&amp;'Funnel setup'!$K$4&amp;'Funnel setup'!$K$6,".",IF(A4091=".",1,A4091+1))</f>
        <v>.</v>
      </c>
      <c r="B4092" s="244" t="str">
        <f t="shared" si="63"/>
        <v>Total Hip ReplacementProviderSHEFFIELD TEACHING HOSPITALS NHS FOUNDATION TRUST (RHQ)EQ-5D Index</v>
      </c>
      <c r="C4092" t="s">
        <v>974</v>
      </c>
      <c r="D4092" t="s">
        <v>965</v>
      </c>
      <c r="E4092" t="s">
        <v>506</v>
      </c>
      <c r="F4092" t="s">
        <v>507</v>
      </c>
      <c r="G4092" t="s">
        <v>963</v>
      </c>
      <c r="H4092">
        <v>32</v>
      </c>
      <c r="I4092">
        <v>0.39265600000000001</v>
      </c>
      <c r="J4092">
        <v>0.77537500000000004</v>
      </c>
      <c r="K4092">
        <v>0.38271899999999998</v>
      </c>
      <c r="L4092">
        <v>28</v>
      </c>
      <c r="M4092">
        <v>1</v>
      </c>
      <c r="N4092">
        <v>3</v>
      </c>
      <c r="O4092">
        <v>0.75596300000000005</v>
      </c>
      <c r="P4092">
        <v>0.42840800000000001</v>
      </c>
      <c r="Q4092">
        <v>0.29710700000000001</v>
      </c>
    </row>
    <row r="4093" spans="1:17" x14ac:dyDescent="0.25">
      <c r="A4093" t="str">
        <f>IF(C4093&amp;G4093&amp;D4093&lt;&gt;'Funnel setup'!$K$3&amp;'Funnel setup'!$K$4&amp;'Funnel setup'!$K$6,".",IF(A4092=".",1,A4092+1))</f>
        <v>.</v>
      </c>
      <c r="B4093" s="244" t="str">
        <f t="shared" si="63"/>
        <v>Total Hip ReplacementProviderSHERWOOD FOREST HOSPITALS NHS FOUNDATION TRUST (RK5)EQ-5D Index</v>
      </c>
      <c r="C4093" t="s">
        <v>974</v>
      </c>
      <c r="D4093" t="s">
        <v>965</v>
      </c>
      <c r="E4093" t="s">
        <v>508</v>
      </c>
      <c r="F4093" t="s">
        <v>509</v>
      </c>
      <c r="G4093" t="s">
        <v>963</v>
      </c>
      <c r="H4093">
        <v>71</v>
      </c>
      <c r="I4093">
        <v>0.24595800000000001</v>
      </c>
      <c r="J4093">
        <v>0.75922500000000004</v>
      </c>
      <c r="K4093">
        <v>0.51326799999999995</v>
      </c>
      <c r="L4093">
        <v>66</v>
      </c>
      <c r="M4093">
        <v>3</v>
      </c>
      <c r="N4093">
        <v>2</v>
      </c>
      <c r="O4093">
        <v>0.78468899999999997</v>
      </c>
      <c r="P4093">
        <v>0.45713300000000001</v>
      </c>
      <c r="Q4093">
        <v>0.19748399999999999</v>
      </c>
    </row>
    <row r="4094" spans="1:17" x14ac:dyDescent="0.25">
      <c r="A4094" t="str">
        <f>IF(C4094&amp;G4094&amp;D4094&lt;&gt;'Funnel setup'!$K$3&amp;'Funnel setup'!$K$4&amp;'Funnel setup'!$K$6,".",IF(A4093=".",1,A4093+1))</f>
        <v>.</v>
      </c>
      <c r="B4094" s="244" t="str">
        <f t="shared" si="63"/>
        <v>Total Hip ReplacementProviderSHIRLEY OAKS HOSPITAL (NT436)EQ-5D Index</v>
      </c>
      <c r="C4094" t="s">
        <v>974</v>
      </c>
      <c r="D4094" t="s">
        <v>965</v>
      </c>
      <c r="E4094" t="s">
        <v>510</v>
      </c>
      <c r="F4094" t="s">
        <v>511</v>
      </c>
      <c r="G4094" t="s">
        <v>963</v>
      </c>
      <c r="H4094">
        <v>2</v>
      </c>
      <c r="I4094">
        <v>0.60350000000000004</v>
      </c>
      <c r="J4094">
        <v>0.56850000000000001</v>
      </c>
      <c r="K4094">
        <v>-3.5000000000000003E-2</v>
      </c>
      <c r="L4094">
        <v>1</v>
      </c>
      <c r="M4094">
        <v>0</v>
      </c>
      <c r="N4094">
        <v>1</v>
      </c>
      <c r="O4094" t="s">
        <v>127</v>
      </c>
      <c r="P4094" t="s">
        <v>127</v>
      </c>
      <c r="Q4094" t="s">
        <v>127</v>
      </c>
    </row>
    <row r="4095" spans="1:17" x14ac:dyDescent="0.25">
      <c r="A4095" t="str">
        <f>IF(C4095&amp;G4095&amp;D4095&lt;&gt;'Funnel setup'!$K$3&amp;'Funnel setup'!$K$4&amp;'Funnel setup'!$K$6,".",IF(A4094=".",1,A4094+1))</f>
        <v>.</v>
      </c>
      <c r="B4095" s="244" t="str">
        <f t="shared" si="63"/>
        <v>Total Hip ReplacementProviderSLOANE HOSPITAL (NT437)EQ-5D Index</v>
      </c>
      <c r="C4095" t="s">
        <v>974</v>
      </c>
      <c r="D4095" t="s">
        <v>965</v>
      </c>
      <c r="E4095" t="s">
        <v>512</v>
      </c>
      <c r="F4095" t="s">
        <v>513</v>
      </c>
      <c r="G4095" t="s">
        <v>963</v>
      </c>
      <c r="H4095">
        <v>2</v>
      </c>
      <c r="I4095">
        <v>0.28549999999999998</v>
      </c>
      <c r="J4095">
        <v>1</v>
      </c>
      <c r="K4095">
        <v>0.71450000000000002</v>
      </c>
      <c r="L4095">
        <v>2</v>
      </c>
      <c r="M4095">
        <v>0</v>
      </c>
      <c r="N4095">
        <v>0</v>
      </c>
      <c r="O4095" t="s">
        <v>127</v>
      </c>
      <c r="P4095" t="s">
        <v>127</v>
      </c>
      <c r="Q4095" t="s">
        <v>127</v>
      </c>
    </row>
    <row r="4096" spans="1:17" x14ac:dyDescent="0.25">
      <c r="A4096" t="str">
        <f>IF(C4096&amp;G4096&amp;D4096&lt;&gt;'Funnel setup'!$K$3&amp;'Funnel setup'!$K$4&amp;'Funnel setup'!$K$6,".",IF(A4095=".",1,A4095+1))</f>
        <v>.</v>
      </c>
      <c r="B4096" s="244" t="str">
        <f t="shared" si="63"/>
        <v>Total Hip ReplacementProviderSOUTH TEES HOSPITALS NHS FOUNDATION TRUST (RTR)EQ-5D Index</v>
      </c>
      <c r="C4096" t="s">
        <v>974</v>
      </c>
      <c r="D4096" t="s">
        <v>965</v>
      </c>
      <c r="E4096" t="s">
        <v>516</v>
      </c>
      <c r="F4096" t="s">
        <v>517</v>
      </c>
      <c r="G4096" t="s">
        <v>963</v>
      </c>
      <c r="H4096">
        <v>172</v>
      </c>
      <c r="I4096">
        <v>0.193442</v>
      </c>
      <c r="J4096">
        <v>0.753355</v>
      </c>
      <c r="K4096">
        <v>0.55991299999999999</v>
      </c>
      <c r="L4096">
        <v>160</v>
      </c>
      <c r="M4096">
        <v>2</v>
      </c>
      <c r="N4096">
        <v>10</v>
      </c>
      <c r="O4096">
        <v>0.82034399999999996</v>
      </c>
      <c r="P4096">
        <v>0.49278899999999998</v>
      </c>
      <c r="Q4096">
        <v>0.24929399999999999</v>
      </c>
    </row>
    <row r="4097" spans="1:17" x14ac:dyDescent="0.25">
      <c r="A4097" t="str">
        <f>IF(C4097&amp;G4097&amp;D4097&lt;&gt;'Funnel setup'!$K$3&amp;'Funnel setup'!$K$4&amp;'Funnel setup'!$K$6,".",IF(A4096=".",1,A4096+1))</f>
        <v>.</v>
      </c>
      <c r="B4097" s="244" t="str">
        <f t="shared" si="63"/>
        <v>Total Hip ReplacementProviderSOUTH TYNESIDE AND SUNDERLAND NHS FOUNDATION TRUST (R0B)EQ-5D Index</v>
      </c>
      <c r="C4097" t="s">
        <v>974</v>
      </c>
      <c r="D4097" t="s">
        <v>965</v>
      </c>
      <c r="E4097" t="s">
        <v>518</v>
      </c>
      <c r="F4097" t="s">
        <v>519</v>
      </c>
      <c r="G4097" t="s">
        <v>963</v>
      </c>
      <c r="H4097">
        <v>23</v>
      </c>
      <c r="I4097">
        <v>0.12156500000000001</v>
      </c>
      <c r="J4097">
        <v>0.55334799999999995</v>
      </c>
      <c r="K4097">
        <v>0.43178299999999997</v>
      </c>
      <c r="L4097">
        <v>18</v>
      </c>
      <c r="M4097">
        <v>1</v>
      </c>
      <c r="N4097">
        <v>4</v>
      </c>
      <c r="O4097" t="s">
        <v>127</v>
      </c>
      <c r="P4097" t="s">
        <v>127</v>
      </c>
      <c r="Q4097" t="s">
        <v>127</v>
      </c>
    </row>
    <row r="4098" spans="1:17" x14ac:dyDescent="0.25">
      <c r="A4098" t="str">
        <f>IF(C4098&amp;G4098&amp;D4098&lt;&gt;'Funnel setup'!$K$3&amp;'Funnel setup'!$K$4&amp;'Funnel setup'!$K$6,".",IF(A4097=".",1,A4097+1))</f>
        <v>.</v>
      </c>
      <c r="B4098" s="244" t="str">
        <f t="shared" ref="B4098:B4161" si="64">C4098&amp;D4098&amp;F4098&amp;G4098</f>
        <v>Total Hip ReplacementProviderSOUTH WARWICKSHIRE UNIVERSITY NHS FOUNDATION TRUST (RJC)EQ-5D Index</v>
      </c>
      <c r="C4098" t="s">
        <v>974</v>
      </c>
      <c r="D4098" t="s">
        <v>965</v>
      </c>
      <c r="E4098" t="s">
        <v>520</v>
      </c>
      <c r="F4098" t="s">
        <v>521</v>
      </c>
      <c r="G4098" t="s">
        <v>963</v>
      </c>
      <c r="H4098">
        <v>184</v>
      </c>
      <c r="I4098">
        <v>0.42918499999999998</v>
      </c>
      <c r="J4098">
        <v>0.83435300000000001</v>
      </c>
      <c r="K4098">
        <v>0.40516799999999997</v>
      </c>
      <c r="L4098">
        <v>161</v>
      </c>
      <c r="M4098">
        <v>12</v>
      </c>
      <c r="N4098">
        <v>11</v>
      </c>
      <c r="O4098">
        <v>0.78564400000000001</v>
      </c>
      <c r="P4098">
        <v>0.458088</v>
      </c>
      <c r="Q4098">
        <v>0.21426000000000001</v>
      </c>
    </row>
    <row r="4099" spans="1:17" x14ac:dyDescent="0.25">
      <c r="A4099" t="str">
        <f>IF(C4099&amp;G4099&amp;D4099&lt;&gt;'Funnel setup'!$K$3&amp;'Funnel setup'!$K$4&amp;'Funnel setup'!$K$6,".",IF(A4098=".",1,A4098+1))</f>
        <v>.</v>
      </c>
      <c r="B4099" s="244" t="str">
        <f t="shared" si="64"/>
        <v>Total Hip ReplacementProviderSOUTHPORT AND ORMSKIRK HOSPITAL NHS TRUST (RVY)EQ-5D Index</v>
      </c>
      <c r="C4099" t="s">
        <v>974</v>
      </c>
      <c r="D4099" t="s">
        <v>965</v>
      </c>
      <c r="E4099" t="s">
        <v>522</v>
      </c>
      <c r="F4099" t="s">
        <v>523</v>
      </c>
      <c r="G4099" t="s">
        <v>963</v>
      </c>
      <c r="H4099">
        <v>10</v>
      </c>
      <c r="I4099">
        <v>0.30359999999999998</v>
      </c>
      <c r="J4099">
        <v>0.83550000000000002</v>
      </c>
      <c r="K4099">
        <v>0.53190000000000004</v>
      </c>
      <c r="L4099">
        <v>10</v>
      </c>
      <c r="M4099">
        <v>0</v>
      </c>
      <c r="N4099">
        <v>0</v>
      </c>
      <c r="O4099" t="s">
        <v>127</v>
      </c>
      <c r="P4099" t="s">
        <v>127</v>
      </c>
      <c r="Q4099" t="s">
        <v>127</v>
      </c>
    </row>
    <row r="4100" spans="1:17" x14ac:dyDescent="0.25">
      <c r="A4100" t="str">
        <f>IF(C4100&amp;G4100&amp;D4100&lt;&gt;'Funnel setup'!$K$3&amp;'Funnel setup'!$K$4&amp;'Funnel setup'!$K$6,".",IF(A4099=".",1,A4099+1))</f>
        <v>.</v>
      </c>
      <c r="B4100" s="244" t="str">
        <f t="shared" si="64"/>
        <v>Total Hip ReplacementProviderSPENCER PRIVATE HOSPITALS - MARGATE (NN801)EQ-5D Index</v>
      </c>
      <c r="C4100" t="s">
        <v>974</v>
      </c>
      <c r="D4100" t="s">
        <v>965</v>
      </c>
      <c r="E4100" t="s">
        <v>526</v>
      </c>
      <c r="F4100" t="s">
        <v>527</v>
      </c>
      <c r="G4100" t="s">
        <v>963</v>
      </c>
      <c r="H4100">
        <v>18</v>
      </c>
      <c r="I4100">
        <v>0.28177799999999997</v>
      </c>
      <c r="J4100">
        <v>0.88211099999999998</v>
      </c>
      <c r="K4100">
        <v>0.60033300000000001</v>
      </c>
      <c r="L4100">
        <v>17</v>
      </c>
      <c r="M4100">
        <v>1</v>
      </c>
      <c r="N4100">
        <v>0</v>
      </c>
      <c r="O4100" t="s">
        <v>127</v>
      </c>
      <c r="P4100" t="s">
        <v>127</v>
      </c>
      <c r="Q4100" t="s">
        <v>127</v>
      </c>
    </row>
    <row r="4101" spans="1:17" x14ac:dyDescent="0.25">
      <c r="A4101" t="str">
        <f>IF(C4101&amp;G4101&amp;D4101&lt;&gt;'Funnel setup'!$K$3&amp;'Funnel setup'!$K$4&amp;'Funnel setup'!$K$6,".",IF(A4100=".",1,A4100+1))</f>
        <v>.</v>
      </c>
      <c r="B4101" s="244" t="str">
        <f t="shared" si="64"/>
        <v>Total Hip ReplacementProviderSPIRE ALEXANDRA HOSPITAL (NT312)EQ-5D Index</v>
      </c>
      <c r="C4101" t="s">
        <v>974</v>
      </c>
      <c r="D4101" t="s">
        <v>965</v>
      </c>
      <c r="E4101" t="s">
        <v>528</v>
      </c>
      <c r="F4101" t="s">
        <v>529</v>
      </c>
      <c r="G4101" t="s">
        <v>963</v>
      </c>
      <c r="H4101">
        <v>13</v>
      </c>
      <c r="I4101">
        <v>0.27100000000000002</v>
      </c>
      <c r="J4101">
        <v>0.68815400000000004</v>
      </c>
      <c r="K4101">
        <v>0.41715400000000002</v>
      </c>
      <c r="L4101">
        <v>11</v>
      </c>
      <c r="M4101">
        <v>2</v>
      </c>
      <c r="N4101">
        <v>0</v>
      </c>
      <c r="O4101" t="s">
        <v>127</v>
      </c>
      <c r="P4101" t="s">
        <v>127</v>
      </c>
      <c r="Q4101" t="s">
        <v>127</v>
      </c>
    </row>
    <row r="4102" spans="1:17" x14ac:dyDescent="0.25">
      <c r="A4102" t="str">
        <f>IF(C4102&amp;G4102&amp;D4102&lt;&gt;'Funnel setup'!$K$3&amp;'Funnel setup'!$K$4&amp;'Funnel setup'!$K$6,".",IF(A4101=".",1,A4101+1))</f>
        <v>.</v>
      </c>
      <c r="B4102" s="244" t="str">
        <f t="shared" si="64"/>
        <v>Total Hip ReplacementProviderSPIRE BRISTOL HOSPITAL (NT302)EQ-5D Index</v>
      </c>
      <c r="C4102" t="s">
        <v>974</v>
      </c>
      <c r="D4102" t="s">
        <v>965</v>
      </c>
      <c r="E4102" t="s">
        <v>530</v>
      </c>
      <c r="F4102" t="s">
        <v>531</v>
      </c>
      <c r="G4102" t="s">
        <v>963</v>
      </c>
      <c r="H4102">
        <v>56</v>
      </c>
      <c r="I4102">
        <v>0.43325000000000002</v>
      </c>
      <c r="J4102">
        <v>0.80682100000000001</v>
      </c>
      <c r="K4102">
        <v>0.37357099999999999</v>
      </c>
      <c r="L4102">
        <v>51</v>
      </c>
      <c r="M4102">
        <v>3</v>
      </c>
      <c r="N4102">
        <v>2</v>
      </c>
      <c r="O4102">
        <v>0.75885400000000003</v>
      </c>
      <c r="P4102">
        <v>0.43129800000000001</v>
      </c>
      <c r="Q4102">
        <v>0.26500099999999999</v>
      </c>
    </row>
    <row r="4103" spans="1:17" x14ac:dyDescent="0.25">
      <c r="A4103" t="str">
        <f>IF(C4103&amp;G4103&amp;D4103&lt;&gt;'Funnel setup'!$K$3&amp;'Funnel setup'!$K$4&amp;'Funnel setup'!$K$6,".",IF(A4102=".",1,A4102+1))</f>
        <v>.</v>
      </c>
      <c r="B4103" s="244" t="str">
        <f t="shared" si="64"/>
        <v>Total Hip ReplacementProviderSPIRE BUSHEY HOSPITAL (NT315)EQ-5D Index</v>
      </c>
      <c r="C4103" t="s">
        <v>974</v>
      </c>
      <c r="D4103" t="s">
        <v>965</v>
      </c>
      <c r="E4103" t="s">
        <v>532</v>
      </c>
      <c r="F4103" t="s">
        <v>533</v>
      </c>
      <c r="G4103" t="s">
        <v>963</v>
      </c>
      <c r="H4103">
        <v>1</v>
      </c>
      <c r="I4103">
        <v>0.72699999999999998</v>
      </c>
      <c r="J4103">
        <v>1</v>
      </c>
      <c r="K4103">
        <v>0.27300000000000002</v>
      </c>
      <c r="L4103">
        <v>1</v>
      </c>
      <c r="M4103">
        <v>0</v>
      </c>
      <c r="N4103">
        <v>0</v>
      </c>
      <c r="O4103" t="s">
        <v>127</v>
      </c>
      <c r="P4103" t="s">
        <v>127</v>
      </c>
      <c r="Q4103" t="s">
        <v>127</v>
      </c>
    </row>
    <row r="4104" spans="1:17" x14ac:dyDescent="0.25">
      <c r="A4104" t="str">
        <f>IF(C4104&amp;G4104&amp;D4104&lt;&gt;'Funnel setup'!$K$3&amp;'Funnel setup'!$K$4&amp;'Funnel setup'!$K$6,".",IF(A4103=".",1,A4103+1))</f>
        <v>.</v>
      </c>
      <c r="B4104" s="244" t="str">
        <f t="shared" si="64"/>
        <v>Total Hip ReplacementProviderSPIRE CAMBRIDGE LEA HOSPITAL (NT317)EQ-5D Index</v>
      </c>
      <c r="C4104" t="s">
        <v>974</v>
      </c>
      <c r="D4104" t="s">
        <v>965</v>
      </c>
      <c r="E4104" t="s">
        <v>534</v>
      </c>
      <c r="F4104" t="s">
        <v>535</v>
      </c>
      <c r="G4104" t="s">
        <v>963</v>
      </c>
      <c r="H4104">
        <v>33</v>
      </c>
      <c r="I4104">
        <v>0.42099999999999999</v>
      </c>
      <c r="J4104">
        <v>0.84499999999999997</v>
      </c>
      <c r="K4104">
        <v>0.42399999999999999</v>
      </c>
      <c r="L4104">
        <v>31</v>
      </c>
      <c r="M4104">
        <v>2</v>
      </c>
      <c r="N4104">
        <v>0</v>
      </c>
      <c r="O4104">
        <v>0.81786099999999995</v>
      </c>
      <c r="P4104">
        <v>0.49030499999999999</v>
      </c>
      <c r="Q4104">
        <v>0.210339</v>
      </c>
    </row>
    <row r="4105" spans="1:17" x14ac:dyDescent="0.25">
      <c r="A4105" t="str">
        <f>IF(C4105&amp;G4105&amp;D4105&lt;&gt;'Funnel setup'!$K$3&amp;'Funnel setup'!$K$4&amp;'Funnel setup'!$K$6,".",IF(A4104=".",1,A4104+1))</f>
        <v>.</v>
      </c>
      <c r="B4105" s="244" t="str">
        <f t="shared" si="64"/>
        <v>Total Hip ReplacementProviderSPIRE CHESHIRE HOSPITAL (NT324)EQ-5D Index</v>
      </c>
      <c r="C4105" t="s">
        <v>974</v>
      </c>
      <c r="D4105" t="s">
        <v>965</v>
      </c>
      <c r="E4105" t="s">
        <v>536</v>
      </c>
      <c r="F4105" t="s">
        <v>537</v>
      </c>
      <c r="G4105" t="s">
        <v>963</v>
      </c>
      <c r="H4105">
        <v>23</v>
      </c>
      <c r="I4105">
        <v>0.25286999999999998</v>
      </c>
      <c r="J4105">
        <v>0.73373900000000003</v>
      </c>
      <c r="K4105">
        <v>0.48087000000000002</v>
      </c>
      <c r="L4105">
        <v>22</v>
      </c>
      <c r="M4105">
        <v>0</v>
      </c>
      <c r="N4105">
        <v>1</v>
      </c>
      <c r="O4105" t="s">
        <v>127</v>
      </c>
      <c r="P4105" t="s">
        <v>127</v>
      </c>
      <c r="Q4105" t="s">
        <v>127</v>
      </c>
    </row>
    <row r="4106" spans="1:17" x14ac:dyDescent="0.25">
      <c r="A4106" t="str">
        <f>IF(C4106&amp;G4106&amp;D4106&lt;&gt;'Funnel setup'!$K$3&amp;'Funnel setup'!$K$4&amp;'Funnel setup'!$K$6,".",IF(A4105=".",1,A4105+1))</f>
        <v>.</v>
      </c>
      <c r="B4106" s="244" t="str">
        <f t="shared" si="64"/>
        <v>Total Hip ReplacementProviderSPIRE CLARE PARK HOSPITAL (NT345)EQ-5D Index</v>
      </c>
      <c r="C4106" t="s">
        <v>974</v>
      </c>
      <c r="D4106" t="s">
        <v>965</v>
      </c>
      <c r="E4106" t="s">
        <v>538</v>
      </c>
      <c r="F4106" t="s">
        <v>539</v>
      </c>
      <c r="G4106" t="s">
        <v>963</v>
      </c>
      <c r="H4106">
        <v>13</v>
      </c>
      <c r="I4106">
        <v>0.48707699999999998</v>
      </c>
      <c r="J4106">
        <v>0.79192300000000004</v>
      </c>
      <c r="K4106">
        <v>0.30484600000000001</v>
      </c>
      <c r="L4106">
        <v>10</v>
      </c>
      <c r="M4106">
        <v>3</v>
      </c>
      <c r="N4106">
        <v>0</v>
      </c>
      <c r="O4106" t="s">
        <v>127</v>
      </c>
      <c r="P4106" t="s">
        <v>127</v>
      </c>
      <c r="Q4106" t="s">
        <v>127</v>
      </c>
    </row>
    <row r="4107" spans="1:17" x14ac:dyDescent="0.25">
      <c r="A4107" t="str">
        <f>IF(C4107&amp;G4107&amp;D4107&lt;&gt;'Funnel setup'!$K$3&amp;'Funnel setup'!$K$4&amp;'Funnel setup'!$K$6,".",IF(A4106=".",1,A4106+1))</f>
        <v>.</v>
      </c>
      <c r="B4107" s="244" t="str">
        <f t="shared" si="64"/>
        <v>Total Hip ReplacementProviderSPIRE DUNEDIN HOSPITAL (NT344)EQ-5D Index</v>
      </c>
      <c r="C4107" t="s">
        <v>974</v>
      </c>
      <c r="D4107" t="s">
        <v>965</v>
      </c>
      <c r="E4107" t="s">
        <v>540</v>
      </c>
      <c r="F4107" t="s">
        <v>541</v>
      </c>
      <c r="G4107" t="s">
        <v>963</v>
      </c>
      <c r="H4107">
        <v>1</v>
      </c>
      <c r="I4107">
        <v>0.62</v>
      </c>
      <c r="J4107">
        <v>0.74299999999999999</v>
      </c>
      <c r="K4107">
        <v>0.123</v>
      </c>
      <c r="L4107">
        <v>1</v>
      </c>
      <c r="M4107">
        <v>0</v>
      </c>
      <c r="N4107">
        <v>0</v>
      </c>
      <c r="O4107" t="s">
        <v>127</v>
      </c>
      <c r="P4107" t="s">
        <v>127</v>
      </c>
      <c r="Q4107" t="s">
        <v>127</v>
      </c>
    </row>
    <row r="4108" spans="1:17" x14ac:dyDescent="0.25">
      <c r="A4108" t="str">
        <f>IF(C4108&amp;G4108&amp;D4108&lt;&gt;'Funnel setup'!$K$3&amp;'Funnel setup'!$K$4&amp;'Funnel setup'!$K$6,".",IF(A4107=".",1,A4107+1))</f>
        <v>.</v>
      </c>
      <c r="B4108" s="244" t="str">
        <f t="shared" si="64"/>
        <v>Total Hip ReplacementProviderSPIRE ELLAND HOSPITAL (NT348)EQ-5D Index</v>
      </c>
      <c r="C4108" t="s">
        <v>974</v>
      </c>
      <c r="D4108" t="s">
        <v>965</v>
      </c>
      <c r="E4108" t="s">
        <v>542</v>
      </c>
      <c r="F4108" t="s">
        <v>543</v>
      </c>
      <c r="G4108" t="s">
        <v>963</v>
      </c>
      <c r="H4108">
        <v>14</v>
      </c>
      <c r="I4108">
        <v>0.40607100000000002</v>
      </c>
      <c r="J4108">
        <v>0.71157099999999995</v>
      </c>
      <c r="K4108">
        <v>0.30549999999999999</v>
      </c>
      <c r="L4108">
        <v>13</v>
      </c>
      <c r="M4108">
        <v>0</v>
      </c>
      <c r="N4108">
        <v>1</v>
      </c>
      <c r="O4108" t="s">
        <v>127</v>
      </c>
      <c r="P4108" t="s">
        <v>127</v>
      </c>
      <c r="Q4108" t="s">
        <v>127</v>
      </c>
    </row>
    <row r="4109" spans="1:17" x14ac:dyDescent="0.25">
      <c r="A4109" t="str">
        <f>IF(C4109&amp;G4109&amp;D4109&lt;&gt;'Funnel setup'!$K$3&amp;'Funnel setup'!$K$4&amp;'Funnel setup'!$K$6,".",IF(A4108=".",1,A4108+1))</f>
        <v>.</v>
      </c>
      <c r="B4109" s="244" t="str">
        <f t="shared" si="64"/>
        <v>Total Hip ReplacementProviderSPIRE FYLDE COAST HOSPITAL (NT347)EQ-5D Index</v>
      </c>
      <c r="C4109" t="s">
        <v>974</v>
      </c>
      <c r="D4109" t="s">
        <v>965</v>
      </c>
      <c r="E4109" t="s">
        <v>544</v>
      </c>
      <c r="F4109" t="s">
        <v>545</v>
      </c>
      <c r="G4109" t="s">
        <v>963</v>
      </c>
      <c r="H4109">
        <v>29</v>
      </c>
      <c r="I4109">
        <v>0.39658599999999999</v>
      </c>
      <c r="J4109">
        <v>0.87037900000000001</v>
      </c>
      <c r="K4109">
        <v>0.47379300000000002</v>
      </c>
      <c r="L4109">
        <v>28</v>
      </c>
      <c r="M4109">
        <v>0</v>
      </c>
      <c r="N4109">
        <v>1</v>
      </c>
      <c r="O4109" t="s">
        <v>127</v>
      </c>
      <c r="P4109" t="s">
        <v>127</v>
      </c>
      <c r="Q4109" t="s">
        <v>127</v>
      </c>
    </row>
    <row r="4110" spans="1:17" x14ac:dyDescent="0.25">
      <c r="A4110" t="str">
        <f>IF(C4110&amp;G4110&amp;D4110&lt;&gt;'Funnel setup'!$K$3&amp;'Funnel setup'!$K$4&amp;'Funnel setup'!$K$6,".",IF(A4109=".",1,A4109+1))</f>
        <v>.</v>
      </c>
      <c r="B4110" s="244" t="str">
        <f t="shared" si="64"/>
        <v>Total Hip ReplacementProviderSPIRE GATWICK PARK HOSPITAL (NT308)EQ-5D Index</v>
      </c>
      <c r="C4110" t="s">
        <v>974</v>
      </c>
      <c r="D4110" t="s">
        <v>965</v>
      </c>
      <c r="E4110" t="s">
        <v>546</v>
      </c>
      <c r="F4110" t="s">
        <v>547</v>
      </c>
      <c r="G4110" t="s">
        <v>963</v>
      </c>
      <c r="H4110">
        <v>8</v>
      </c>
      <c r="I4110">
        <v>0.45922200000000002</v>
      </c>
      <c r="J4110">
        <v>0.70288899999999999</v>
      </c>
      <c r="K4110">
        <v>0.24366699999999999</v>
      </c>
      <c r="L4110">
        <v>8</v>
      </c>
      <c r="M4110">
        <v>0</v>
      </c>
      <c r="N4110">
        <v>0</v>
      </c>
      <c r="O4110" t="s">
        <v>127</v>
      </c>
      <c r="P4110" t="s">
        <v>127</v>
      </c>
      <c r="Q4110" t="s">
        <v>127</v>
      </c>
    </row>
    <row r="4111" spans="1:17" x14ac:dyDescent="0.25">
      <c r="A4111" t="str">
        <f>IF(C4111&amp;G4111&amp;D4111&lt;&gt;'Funnel setup'!$K$3&amp;'Funnel setup'!$K$4&amp;'Funnel setup'!$K$6,".",IF(A4110=".",1,A4110+1))</f>
        <v>.</v>
      </c>
      <c r="B4111" s="244" t="str">
        <f t="shared" si="64"/>
        <v>Total Hip ReplacementProviderSPIRE HARPENDEN HOSPITAL (NT316)EQ-5D Index</v>
      </c>
      <c r="C4111" t="s">
        <v>974</v>
      </c>
      <c r="D4111" t="s">
        <v>965</v>
      </c>
      <c r="E4111" t="s">
        <v>548</v>
      </c>
      <c r="F4111" t="s">
        <v>549</v>
      </c>
      <c r="G4111" t="s">
        <v>963</v>
      </c>
      <c r="H4111">
        <v>32</v>
      </c>
      <c r="I4111">
        <v>0.33446900000000002</v>
      </c>
      <c r="J4111">
        <v>0.73968800000000001</v>
      </c>
      <c r="K4111">
        <v>0.405219</v>
      </c>
      <c r="L4111">
        <v>29</v>
      </c>
      <c r="M4111">
        <v>1</v>
      </c>
      <c r="N4111">
        <v>2</v>
      </c>
      <c r="O4111">
        <v>0.72511800000000004</v>
      </c>
      <c r="P4111">
        <v>0.39756200000000003</v>
      </c>
      <c r="Q4111">
        <v>0.25121199999999999</v>
      </c>
    </row>
    <row r="4112" spans="1:17" x14ac:dyDescent="0.25">
      <c r="A4112" t="str">
        <f>IF(C4112&amp;G4112&amp;D4112&lt;&gt;'Funnel setup'!$K$3&amp;'Funnel setup'!$K$4&amp;'Funnel setup'!$K$6,".",IF(A4111=".",1,A4111+1))</f>
        <v>.</v>
      </c>
      <c r="B4112" s="244" t="str">
        <f t="shared" si="64"/>
        <v>Total Hip ReplacementProviderSPIRE HARTSWOOD HOSPITAL (NT319)EQ-5D Index</v>
      </c>
      <c r="C4112" t="s">
        <v>974</v>
      </c>
      <c r="D4112" t="s">
        <v>965</v>
      </c>
      <c r="E4112" t="s">
        <v>550</v>
      </c>
      <c r="F4112" t="s">
        <v>551</v>
      </c>
      <c r="G4112" t="s">
        <v>963</v>
      </c>
      <c r="H4112">
        <v>12</v>
      </c>
      <c r="I4112">
        <v>0.32066699999999998</v>
      </c>
      <c r="J4112">
        <v>0.82958299999999996</v>
      </c>
      <c r="K4112">
        <v>0.50891699999999995</v>
      </c>
      <c r="L4112">
        <v>12</v>
      </c>
      <c r="M4112">
        <v>0</v>
      </c>
      <c r="N4112">
        <v>0</v>
      </c>
      <c r="O4112" t="s">
        <v>127</v>
      </c>
      <c r="P4112" t="s">
        <v>127</v>
      </c>
      <c r="Q4112" t="s">
        <v>127</v>
      </c>
    </row>
    <row r="4113" spans="1:17" x14ac:dyDescent="0.25">
      <c r="A4113" t="str">
        <f>IF(C4113&amp;G4113&amp;D4113&lt;&gt;'Funnel setup'!$K$3&amp;'Funnel setup'!$K$4&amp;'Funnel setup'!$K$6,".",IF(A4112=".",1,A4112+1))</f>
        <v>.</v>
      </c>
      <c r="B4113" s="244" t="str">
        <f t="shared" si="64"/>
        <v>Total Hip ReplacementProviderSPIRE HULL AND EAST RIDING HOSPITAL (NT351)EQ-5D Index</v>
      </c>
      <c r="C4113" t="s">
        <v>974</v>
      </c>
      <c r="D4113" t="s">
        <v>965</v>
      </c>
      <c r="E4113" t="s">
        <v>554</v>
      </c>
      <c r="F4113" t="s">
        <v>555</v>
      </c>
      <c r="G4113" t="s">
        <v>963</v>
      </c>
      <c r="H4113">
        <v>37</v>
      </c>
      <c r="I4113">
        <v>0.304811</v>
      </c>
      <c r="J4113">
        <v>0.77689200000000003</v>
      </c>
      <c r="K4113">
        <v>0.47208099999999997</v>
      </c>
      <c r="L4113">
        <v>35</v>
      </c>
      <c r="M4113">
        <v>0</v>
      </c>
      <c r="N4113">
        <v>2</v>
      </c>
      <c r="O4113">
        <v>0.78411900000000001</v>
      </c>
      <c r="P4113">
        <v>0.456563</v>
      </c>
      <c r="Q4113">
        <v>0.23810600000000001</v>
      </c>
    </row>
    <row r="4114" spans="1:17" x14ac:dyDescent="0.25">
      <c r="A4114" t="str">
        <f>IF(C4114&amp;G4114&amp;D4114&lt;&gt;'Funnel setup'!$K$3&amp;'Funnel setup'!$K$4&amp;'Funnel setup'!$K$6,".",IF(A4113=".",1,A4113+1))</f>
        <v>.</v>
      </c>
      <c r="B4114" s="244" t="str">
        <f t="shared" si="64"/>
        <v>Total Hip ReplacementProviderSPIRE LEEDS HOSPITAL (NT332)EQ-5D Index</v>
      </c>
      <c r="C4114" t="s">
        <v>974</v>
      </c>
      <c r="D4114" t="s">
        <v>965</v>
      </c>
      <c r="E4114" t="s">
        <v>556</v>
      </c>
      <c r="F4114" t="s">
        <v>557</v>
      </c>
      <c r="G4114" t="s">
        <v>963</v>
      </c>
      <c r="H4114">
        <v>14</v>
      </c>
      <c r="I4114">
        <v>0.27400000000000002</v>
      </c>
      <c r="J4114">
        <v>0.85221400000000003</v>
      </c>
      <c r="K4114">
        <v>0.57821400000000001</v>
      </c>
      <c r="L4114">
        <v>14</v>
      </c>
      <c r="M4114">
        <v>0</v>
      </c>
      <c r="N4114">
        <v>0</v>
      </c>
      <c r="O4114" t="s">
        <v>127</v>
      </c>
      <c r="P4114" t="s">
        <v>127</v>
      </c>
      <c r="Q4114" t="s">
        <v>127</v>
      </c>
    </row>
    <row r="4115" spans="1:17" x14ac:dyDescent="0.25">
      <c r="A4115" t="str">
        <f>IF(C4115&amp;G4115&amp;D4115&lt;&gt;'Funnel setup'!$K$3&amp;'Funnel setup'!$K$4&amp;'Funnel setup'!$K$6,".",IF(A4114=".",1,A4114+1))</f>
        <v>.</v>
      </c>
      <c r="B4115" s="244" t="str">
        <f t="shared" si="64"/>
        <v>Total Hip ReplacementProviderSPIRE LEICESTER HOSPITAL (NT322)EQ-5D Index</v>
      </c>
      <c r="C4115" t="s">
        <v>974</v>
      </c>
      <c r="D4115" t="s">
        <v>965</v>
      </c>
      <c r="E4115" t="s">
        <v>558</v>
      </c>
      <c r="F4115" t="s">
        <v>559</v>
      </c>
      <c r="G4115" t="s">
        <v>963</v>
      </c>
      <c r="H4115">
        <v>32</v>
      </c>
      <c r="I4115">
        <v>0.41049999999999998</v>
      </c>
      <c r="J4115">
        <v>0.77393699999999999</v>
      </c>
      <c r="K4115">
        <v>0.36343700000000001</v>
      </c>
      <c r="L4115">
        <v>28</v>
      </c>
      <c r="M4115">
        <v>2</v>
      </c>
      <c r="N4115">
        <v>2</v>
      </c>
      <c r="O4115">
        <v>0.76917400000000002</v>
      </c>
      <c r="P4115">
        <v>0.44161800000000001</v>
      </c>
      <c r="Q4115">
        <v>0.26017400000000002</v>
      </c>
    </row>
    <row r="4116" spans="1:17" x14ac:dyDescent="0.25">
      <c r="A4116" t="str">
        <f>IF(C4116&amp;G4116&amp;D4116&lt;&gt;'Funnel setup'!$K$3&amp;'Funnel setup'!$K$4&amp;'Funnel setup'!$K$6,".",IF(A4115=".",1,A4115+1))</f>
        <v>.</v>
      </c>
      <c r="B4116" s="244" t="str">
        <f t="shared" si="64"/>
        <v>Total Hip ReplacementProviderSPIRE LITTLE ASTON HOSPITAL (NT321)EQ-5D Index</v>
      </c>
      <c r="C4116" t="s">
        <v>974</v>
      </c>
      <c r="D4116" t="s">
        <v>965</v>
      </c>
      <c r="E4116" t="s">
        <v>560</v>
      </c>
      <c r="F4116" t="s">
        <v>561</v>
      </c>
      <c r="G4116" t="s">
        <v>963</v>
      </c>
      <c r="H4116">
        <v>30</v>
      </c>
      <c r="I4116">
        <v>0.39279999999999998</v>
      </c>
      <c r="J4116">
        <v>0.72819999999999996</v>
      </c>
      <c r="K4116">
        <v>0.33539999999999998</v>
      </c>
      <c r="L4116">
        <v>27</v>
      </c>
      <c r="M4116">
        <v>2</v>
      </c>
      <c r="N4116">
        <v>1</v>
      </c>
      <c r="O4116">
        <v>0.69017399999999995</v>
      </c>
      <c r="P4116">
        <v>0.362618</v>
      </c>
      <c r="Q4116">
        <v>0.22201699999999999</v>
      </c>
    </row>
    <row r="4117" spans="1:17" x14ac:dyDescent="0.25">
      <c r="A4117" t="str">
        <f>IF(C4117&amp;G4117&amp;D4117&lt;&gt;'Funnel setup'!$K$3&amp;'Funnel setup'!$K$4&amp;'Funnel setup'!$K$6,".",IF(A4116=".",1,A4116+1))</f>
        <v>.</v>
      </c>
      <c r="B4117" s="244" t="str">
        <f t="shared" si="64"/>
        <v>Total Hip ReplacementProviderSPIRE LIVERPOOL HOSPITAL (NT337)EQ-5D Index</v>
      </c>
      <c r="C4117" t="s">
        <v>974</v>
      </c>
      <c r="D4117" t="s">
        <v>965</v>
      </c>
      <c r="E4117" t="s">
        <v>562</v>
      </c>
      <c r="F4117" t="s">
        <v>563</v>
      </c>
      <c r="G4117" t="s">
        <v>963</v>
      </c>
      <c r="H4117">
        <v>9</v>
      </c>
      <c r="I4117">
        <v>0.13611100000000001</v>
      </c>
      <c r="J4117">
        <v>0.75111099999999997</v>
      </c>
      <c r="K4117">
        <v>0.61499999999999999</v>
      </c>
      <c r="L4117">
        <v>9</v>
      </c>
      <c r="M4117">
        <v>0</v>
      </c>
      <c r="N4117">
        <v>0</v>
      </c>
      <c r="O4117" t="s">
        <v>127</v>
      </c>
      <c r="P4117" t="s">
        <v>127</v>
      </c>
      <c r="Q4117" t="s">
        <v>127</v>
      </c>
    </row>
    <row r="4118" spans="1:17" x14ac:dyDescent="0.25">
      <c r="A4118" t="str">
        <f>IF(C4118&amp;G4118&amp;D4118&lt;&gt;'Funnel setup'!$K$3&amp;'Funnel setup'!$K$4&amp;'Funnel setup'!$K$6,".",IF(A4117=".",1,A4117+1))</f>
        <v>.</v>
      </c>
      <c r="B4118" s="244" t="str">
        <f t="shared" si="64"/>
        <v>Total Hip ReplacementProviderSPIRE MANCHESTER HOSPITAL (NT327)EQ-5D Index</v>
      </c>
      <c r="C4118" t="s">
        <v>974</v>
      </c>
      <c r="D4118" t="s">
        <v>965</v>
      </c>
      <c r="E4118" t="s">
        <v>566</v>
      </c>
      <c r="F4118" t="s">
        <v>567</v>
      </c>
      <c r="G4118" t="s">
        <v>963</v>
      </c>
      <c r="H4118">
        <v>31</v>
      </c>
      <c r="I4118">
        <v>0.43412899999999999</v>
      </c>
      <c r="J4118">
        <v>0.80900000000000005</v>
      </c>
      <c r="K4118">
        <v>0.37487100000000001</v>
      </c>
      <c r="L4118">
        <v>27</v>
      </c>
      <c r="M4118">
        <v>1</v>
      </c>
      <c r="N4118">
        <v>3</v>
      </c>
      <c r="O4118">
        <v>0.75244699999999998</v>
      </c>
      <c r="P4118">
        <v>0.42489100000000002</v>
      </c>
      <c r="Q4118">
        <v>0.1678</v>
      </c>
    </row>
    <row r="4119" spans="1:17" x14ac:dyDescent="0.25">
      <c r="A4119" t="str">
        <f>IF(C4119&amp;G4119&amp;D4119&lt;&gt;'Funnel setup'!$K$3&amp;'Funnel setup'!$K$4&amp;'Funnel setup'!$K$6,".",IF(A4118=".",1,A4118+1))</f>
        <v>.</v>
      </c>
      <c r="B4119" s="244" t="str">
        <f t="shared" si="64"/>
        <v>Total Hip ReplacementProviderSPIRE METHLEY PARK HOSPITAL (NT350)EQ-5D Index</v>
      </c>
      <c r="C4119" t="s">
        <v>974</v>
      </c>
      <c r="D4119" t="s">
        <v>965</v>
      </c>
      <c r="E4119" t="s">
        <v>568</v>
      </c>
      <c r="F4119" t="s">
        <v>569</v>
      </c>
      <c r="G4119" t="s">
        <v>963</v>
      </c>
      <c r="H4119">
        <v>28</v>
      </c>
      <c r="I4119">
        <v>0.280607</v>
      </c>
      <c r="J4119">
        <v>0.75289300000000003</v>
      </c>
      <c r="K4119">
        <v>0.47228599999999998</v>
      </c>
      <c r="L4119">
        <v>25</v>
      </c>
      <c r="M4119">
        <v>2</v>
      </c>
      <c r="N4119">
        <v>1</v>
      </c>
      <c r="O4119" t="s">
        <v>127</v>
      </c>
      <c r="P4119" t="s">
        <v>127</v>
      </c>
      <c r="Q4119" t="s">
        <v>127</v>
      </c>
    </row>
    <row r="4120" spans="1:17" x14ac:dyDescent="0.25">
      <c r="A4120" t="str">
        <f>IF(C4120&amp;G4120&amp;D4120&lt;&gt;'Funnel setup'!$K$3&amp;'Funnel setup'!$K$4&amp;'Funnel setup'!$K$6,".",IF(A4119=".",1,A4119+1))</f>
        <v>.</v>
      </c>
      <c r="B4120" s="244" t="str">
        <f t="shared" si="64"/>
        <v>Total Hip ReplacementProviderSPIRE MONTEFIORE HOSPITAL (NT364)EQ-5D Index</v>
      </c>
      <c r="C4120" t="s">
        <v>974</v>
      </c>
      <c r="D4120" t="s">
        <v>965</v>
      </c>
      <c r="E4120" t="s">
        <v>570</v>
      </c>
      <c r="F4120" t="s">
        <v>571</v>
      </c>
      <c r="G4120" t="s">
        <v>963</v>
      </c>
      <c r="H4120">
        <v>3</v>
      </c>
      <c r="I4120">
        <v>0.30099999999999999</v>
      </c>
      <c r="J4120">
        <v>0.89866699999999999</v>
      </c>
      <c r="K4120">
        <v>0.59766699999999995</v>
      </c>
      <c r="L4120">
        <v>3</v>
      </c>
      <c r="M4120">
        <v>0</v>
      </c>
      <c r="N4120">
        <v>0</v>
      </c>
      <c r="O4120" t="s">
        <v>127</v>
      </c>
      <c r="P4120" t="s">
        <v>127</v>
      </c>
      <c r="Q4120" t="s">
        <v>127</v>
      </c>
    </row>
    <row r="4121" spans="1:17" x14ac:dyDescent="0.25">
      <c r="A4121" t="str">
        <f>IF(C4121&amp;G4121&amp;D4121&lt;&gt;'Funnel setup'!$K$3&amp;'Funnel setup'!$K$4&amp;'Funnel setup'!$K$6,".",IF(A4120=".",1,A4120+1))</f>
        <v>.</v>
      </c>
      <c r="B4121" s="244" t="str">
        <f t="shared" si="64"/>
        <v>Total Hip ReplacementProviderSPIRE MURRAYFIELD HOSPITAL (NT325)EQ-5D Index</v>
      </c>
      <c r="C4121" t="s">
        <v>974</v>
      </c>
      <c r="D4121" t="s">
        <v>965</v>
      </c>
      <c r="E4121" t="s">
        <v>572</v>
      </c>
      <c r="F4121" t="s">
        <v>573</v>
      </c>
      <c r="G4121" t="s">
        <v>963</v>
      </c>
      <c r="H4121">
        <v>5</v>
      </c>
      <c r="I4121">
        <v>0.55640000000000001</v>
      </c>
      <c r="J4121">
        <v>0.88380000000000003</v>
      </c>
      <c r="K4121">
        <v>0.32740000000000002</v>
      </c>
      <c r="L4121">
        <v>4</v>
      </c>
      <c r="M4121">
        <v>0</v>
      </c>
      <c r="N4121">
        <v>1</v>
      </c>
      <c r="O4121" t="s">
        <v>127</v>
      </c>
      <c r="P4121" t="s">
        <v>127</v>
      </c>
      <c r="Q4121" t="s">
        <v>127</v>
      </c>
    </row>
    <row r="4122" spans="1:17" x14ac:dyDescent="0.25">
      <c r="A4122" t="str">
        <f>IF(C4122&amp;G4122&amp;D4122&lt;&gt;'Funnel setup'!$K$3&amp;'Funnel setup'!$K$4&amp;'Funnel setup'!$K$6,".",IF(A4121=".",1,A4121+1))</f>
        <v>.</v>
      </c>
      <c r="B4122" s="244" t="str">
        <f t="shared" si="64"/>
        <v>Total Hip ReplacementProviderSPIRE NOTTINGHAM HOSPITAL (NT30A)EQ-5D Index</v>
      </c>
      <c r="C4122" t="s">
        <v>974</v>
      </c>
      <c r="D4122" t="s">
        <v>965</v>
      </c>
      <c r="E4122" t="s">
        <v>576</v>
      </c>
      <c r="F4122" t="s">
        <v>577</v>
      </c>
      <c r="G4122" t="s">
        <v>963</v>
      </c>
      <c r="H4122">
        <v>1</v>
      </c>
      <c r="I4122">
        <v>-1.6E-2</v>
      </c>
      <c r="J4122">
        <v>0.69099999999999995</v>
      </c>
      <c r="K4122">
        <v>0.70699999999999996</v>
      </c>
      <c r="L4122">
        <v>1</v>
      </c>
      <c r="M4122">
        <v>0</v>
      </c>
      <c r="N4122">
        <v>0</v>
      </c>
      <c r="O4122" t="s">
        <v>127</v>
      </c>
      <c r="P4122" t="s">
        <v>127</v>
      </c>
      <c r="Q4122" t="s">
        <v>127</v>
      </c>
    </row>
    <row r="4123" spans="1:17" x14ac:dyDescent="0.25">
      <c r="A4123" t="str">
        <f>IF(C4123&amp;G4123&amp;D4123&lt;&gt;'Funnel setup'!$K$3&amp;'Funnel setup'!$K$4&amp;'Funnel setup'!$K$6,".",IF(A4122=".",1,A4122+1))</f>
        <v>.</v>
      </c>
      <c r="B4123" s="244" t="str">
        <f t="shared" si="64"/>
        <v>Total Hip ReplacementProviderSPIRE PARKWAY HOSPITAL (NT320)EQ-5D Index</v>
      </c>
      <c r="C4123" t="s">
        <v>974</v>
      </c>
      <c r="D4123" t="s">
        <v>965</v>
      </c>
      <c r="E4123" t="s">
        <v>578</v>
      </c>
      <c r="F4123" t="s">
        <v>579</v>
      </c>
      <c r="G4123" t="s">
        <v>963</v>
      </c>
      <c r="H4123">
        <v>19</v>
      </c>
      <c r="I4123">
        <v>0.34778900000000001</v>
      </c>
      <c r="J4123">
        <v>0.69052599999999997</v>
      </c>
      <c r="K4123">
        <v>0.34273700000000001</v>
      </c>
      <c r="L4123">
        <v>17</v>
      </c>
      <c r="M4123">
        <v>1</v>
      </c>
      <c r="N4123">
        <v>1</v>
      </c>
      <c r="O4123" t="s">
        <v>127</v>
      </c>
      <c r="P4123" t="s">
        <v>127</v>
      </c>
      <c r="Q4123" t="s">
        <v>127</v>
      </c>
    </row>
    <row r="4124" spans="1:17" x14ac:dyDescent="0.25">
      <c r="A4124" t="str">
        <f>IF(C4124&amp;G4124&amp;D4124&lt;&gt;'Funnel setup'!$K$3&amp;'Funnel setup'!$K$4&amp;'Funnel setup'!$K$6,".",IF(A4123=".",1,A4123+1))</f>
        <v>.</v>
      </c>
      <c r="B4124" s="244" t="str">
        <f t="shared" si="64"/>
        <v>Total Hip ReplacementProviderSPIRE PORTSMOUTH HOSPITAL (NT305)EQ-5D Index</v>
      </c>
      <c r="C4124" t="s">
        <v>974</v>
      </c>
      <c r="D4124" t="s">
        <v>965</v>
      </c>
      <c r="E4124" t="s">
        <v>580</v>
      </c>
      <c r="F4124" t="s">
        <v>581</v>
      </c>
      <c r="G4124" t="s">
        <v>963</v>
      </c>
      <c r="H4124">
        <v>12</v>
      </c>
      <c r="I4124">
        <v>0.310083</v>
      </c>
      <c r="J4124">
        <v>0.68700000000000006</v>
      </c>
      <c r="K4124">
        <v>0.376917</v>
      </c>
      <c r="L4124">
        <v>11</v>
      </c>
      <c r="M4124">
        <v>1</v>
      </c>
      <c r="N4124">
        <v>0</v>
      </c>
      <c r="O4124" t="s">
        <v>127</v>
      </c>
      <c r="P4124" t="s">
        <v>127</v>
      </c>
      <c r="Q4124" t="s">
        <v>127</v>
      </c>
    </row>
    <row r="4125" spans="1:17" x14ac:dyDescent="0.25">
      <c r="A4125" t="str">
        <f>IF(C4125&amp;G4125&amp;D4125&lt;&gt;'Funnel setup'!$K$3&amp;'Funnel setup'!$K$4&amp;'Funnel setup'!$K$6,".",IF(A4124=".",1,A4124+1))</f>
        <v>.</v>
      </c>
      <c r="B4125" s="244" t="str">
        <f t="shared" si="64"/>
        <v>Total Hip ReplacementProviderSPIRE REGENCY HOSPITAL (NT339)EQ-5D Index</v>
      </c>
      <c r="C4125" t="s">
        <v>974</v>
      </c>
      <c r="D4125" t="s">
        <v>965</v>
      </c>
      <c r="E4125" t="s">
        <v>582</v>
      </c>
      <c r="F4125" t="s">
        <v>583</v>
      </c>
      <c r="G4125" t="s">
        <v>963</v>
      </c>
      <c r="H4125">
        <v>32</v>
      </c>
      <c r="I4125">
        <v>0.45678099999999999</v>
      </c>
      <c r="J4125">
        <v>0.79015599999999997</v>
      </c>
      <c r="K4125">
        <v>0.33337499999999998</v>
      </c>
      <c r="L4125">
        <v>30</v>
      </c>
      <c r="M4125">
        <v>0</v>
      </c>
      <c r="N4125">
        <v>2</v>
      </c>
      <c r="O4125">
        <v>0.743676</v>
      </c>
      <c r="P4125">
        <v>0.41611999999999999</v>
      </c>
      <c r="Q4125">
        <v>0.16633300000000001</v>
      </c>
    </row>
    <row r="4126" spans="1:17" x14ac:dyDescent="0.25">
      <c r="A4126" t="str">
        <f>IF(C4126&amp;G4126&amp;D4126&lt;&gt;'Funnel setup'!$K$3&amp;'Funnel setup'!$K$4&amp;'Funnel setup'!$K$6,".",IF(A4125=".",1,A4125+1))</f>
        <v>.</v>
      </c>
      <c r="B4126" s="244" t="str">
        <f t="shared" si="64"/>
        <v>Total Hip ReplacementProviderSPIRE SOUTHAMPTON HOSPITAL (NT304)EQ-5D Index</v>
      </c>
      <c r="C4126" t="s">
        <v>974</v>
      </c>
      <c r="D4126" t="s">
        <v>965</v>
      </c>
      <c r="E4126" t="s">
        <v>586</v>
      </c>
      <c r="F4126" t="s">
        <v>587</v>
      </c>
      <c r="G4126" t="s">
        <v>963</v>
      </c>
      <c r="H4126">
        <v>44</v>
      </c>
      <c r="I4126">
        <v>0.49784099999999998</v>
      </c>
      <c r="J4126">
        <v>0.82313599999999998</v>
      </c>
      <c r="K4126">
        <v>0.325295</v>
      </c>
      <c r="L4126">
        <v>34</v>
      </c>
      <c r="M4126">
        <v>8</v>
      </c>
      <c r="N4126">
        <v>2</v>
      </c>
      <c r="O4126">
        <v>0.74870000000000003</v>
      </c>
      <c r="P4126">
        <v>0.42114499999999999</v>
      </c>
      <c r="Q4126">
        <v>0.19636700000000001</v>
      </c>
    </row>
    <row r="4127" spans="1:17" x14ac:dyDescent="0.25">
      <c r="A4127" t="str">
        <f>IF(C4127&amp;G4127&amp;D4127&lt;&gt;'Funnel setup'!$K$3&amp;'Funnel setup'!$K$4&amp;'Funnel setup'!$K$6,".",IF(A4126=".",1,A4126+1))</f>
        <v>.</v>
      </c>
      <c r="B4127" s="244" t="str">
        <f t="shared" si="64"/>
        <v>Total Hip ReplacementProviderSPIRE ST ANTHONY'S HOSPITAL (NT3X3)EQ-5D Index</v>
      </c>
      <c r="C4127" t="s">
        <v>974</v>
      </c>
      <c r="D4127" t="s">
        <v>965</v>
      </c>
      <c r="E4127" t="s">
        <v>588</v>
      </c>
      <c r="F4127" t="s">
        <v>589</v>
      </c>
      <c r="G4127" t="s">
        <v>963</v>
      </c>
      <c r="H4127">
        <v>3</v>
      </c>
      <c r="I4127">
        <v>0.21299999999999999</v>
      </c>
      <c r="J4127">
        <v>0.82899999999999996</v>
      </c>
      <c r="K4127">
        <v>0.61599999999999999</v>
      </c>
      <c r="L4127">
        <v>3</v>
      </c>
      <c r="M4127">
        <v>0</v>
      </c>
      <c r="N4127">
        <v>0</v>
      </c>
      <c r="O4127" t="s">
        <v>127</v>
      </c>
      <c r="P4127" t="s">
        <v>127</v>
      </c>
      <c r="Q4127" t="s">
        <v>127</v>
      </c>
    </row>
    <row r="4128" spans="1:17" x14ac:dyDescent="0.25">
      <c r="A4128" t="str">
        <f>IF(C4128&amp;G4128&amp;D4128&lt;&gt;'Funnel setup'!$K$3&amp;'Funnel setup'!$K$4&amp;'Funnel setup'!$K$6,".",IF(A4127=".",1,A4127+1))</f>
        <v>.</v>
      </c>
      <c r="B4128" s="244" t="str">
        <f t="shared" si="64"/>
        <v>Total Hip ReplacementProviderSPIRE SUSSEX HOSPITAL (NT309)EQ-5D Index</v>
      </c>
      <c r="C4128" t="s">
        <v>974</v>
      </c>
      <c r="D4128" t="s">
        <v>965</v>
      </c>
      <c r="E4128" t="s">
        <v>590</v>
      </c>
      <c r="F4128" t="s">
        <v>591</v>
      </c>
      <c r="G4128" t="s">
        <v>963</v>
      </c>
      <c r="H4128">
        <v>7</v>
      </c>
      <c r="I4128">
        <v>0.50557099999999999</v>
      </c>
      <c r="J4128">
        <v>0.87542900000000001</v>
      </c>
      <c r="K4128">
        <v>0.36985699999999999</v>
      </c>
      <c r="L4128">
        <v>6</v>
      </c>
      <c r="M4128">
        <v>0</v>
      </c>
      <c r="N4128">
        <v>1</v>
      </c>
      <c r="O4128" t="s">
        <v>127</v>
      </c>
      <c r="P4128" t="s">
        <v>127</v>
      </c>
      <c r="Q4128" t="s">
        <v>127</v>
      </c>
    </row>
    <row r="4129" spans="1:17" x14ac:dyDescent="0.25">
      <c r="A4129" t="str">
        <f>IF(C4129&amp;G4129&amp;D4129&lt;&gt;'Funnel setup'!$K$3&amp;'Funnel setup'!$K$4&amp;'Funnel setup'!$K$6,".",IF(A4128=".",1,A4128+1))</f>
        <v>.</v>
      </c>
      <c r="B4129" s="244" t="str">
        <f t="shared" si="64"/>
        <v>Total Hip ReplacementProviderSPIRE THAMES VALLEY HOSPITAL (NT343)EQ-5D Index</v>
      </c>
      <c r="C4129" t="s">
        <v>974</v>
      </c>
      <c r="D4129" t="s">
        <v>965</v>
      </c>
      <c r="E4129" t="s">
        <v>592</v>
      </c>
      <c r="F4129" t="s">
        <v>593</v>
      </c>
      <c r="G4129" t="s">
        <v>963</v>
      </c>
      <c r="H4129">
        <v>7</v>
      </c>
      <c r="I4129">
        <v>0.60771399999999998</v>
      </c>
      <c r="J4129">
        <v>0.70814299999999997</v>
      </c>
      <c r="K4129">
        <v>0.100429</v>
      </c>
      <c r="L4129">
        <v>6</v>
      </c>
      <c r="M4129">
        <v>0</v>
      </c>
      <c r="N4129">
        <v>1</v>
      </c>
      <c r="O4129" t="s">
        <v>127</v>
      </c>
      <c r="P4129" t="s">
        <v>127</v>
      </c>
      <c r="Q4129" t="s">
        <v>127</v>
      </c>
    </row>
    <row r="4130" spans="1:17" x14ac:dyDescent="0.25">
      <c r="A4130" t="str">
        <f>IF(C4130&amp;G4130&amp;D4130&lt;&gt;'Funnel setup'!$K$3&amp;'Funnel setup'!$K$4&amp;'Funnel setup'!$K$6,".",IF(A4129=".",1,A4129+1))</f>
        <v>.</v>
      </c>
      <c r="B4130" s="244" t="str">
        <f t="shared" si="64"/>
        <v>Total Hip ReplacementProviderSPIRE TUNBRIDGE WELLS HOSPITAL (NT310)EQ-5D Index</v>
      </c>
      <c r="C4130" t="s">
        <v>974</v>
      </c>
      <c r="D4130" t="s">
        <v>965</v>
      </c>
      <c r="E4130" t="s">
        <v>594</v>
      </c>
      <c r="F4130" t="s">
        <v>595</v>
      </c>
      <c r="G4130" t="s">
        <v>963</v>
      </c>
      <c r="H4130">
        <v>7</v>
      </c>
      <c r="I4130">
        <v>0.13328599999999999</v>
      </c>
      <c r="J4130">
        <v>0.65528600000000004</v>
      </c>
      <c r="K4130">
        <v>0.52200000000000002</v>
      </c>
      <c r="L4130">
        <v>6</v>
      </c>
      <c r="M4130">
        <v>0</v>
      </c>
      <c r="N4130">
        <v>1</v>
      </c>
      <c r="O4130" t="s">
        <v>127</v>
      </c>
      <c r="P4130" t="s">
        <v>127</v>
      </c>
      <c r="Q4130" t="s">
        <v>127</v>
      </c>
    </row>
    <row r="4131" spans="1:17" x14ac:dyDescent="0.25">
      <c r="A4131" t="str">
        <f>IF(C4131&amp;G4131&amp;D4131&lt;&gt;'Funnel setup'!$K$3&amp;'Funnel setup'!$K$4&amp;'Funnel setup'!$K$6,".",IF(A4130=".",1,A4130+1))</f>
        <v>.</v>
      </c>
      <c r="B4131" s="244" t="str">
        <f t="shared" si="64"/>
        <v>Total Hip ReplacementProviderSPIRE WASHINGTON HOSPITAL (NT333)EQ-5D Index</v>
      </c>
      <c r="C4131" t="s">
        <v>974</v>
      </c>
      <c r="D4131" t="s">
        <v>965</v>
      </c>
      <c r="E4131" t="s">
        <v>596</v>
      </c>
      <c r="F4131" t="s">
        <v>597</v>
      </c>
      <c r="G4131" t="s">
        <v>963</v>
      </c>
      <c r="H4131">
        <v>64</v>
      </c>
      <c r="I4131">
        <v>0.32942199999999999</v>
      </c>
      <c r="J4131">
        <v>0.81517200000000001</v>
      </c>
      <c r="K4131">
        <v>0.48575000000000002</v>
      </c>
      <c r="L4131">
        <v>54</v>
      </c>
      <c r="M4131">
        <v>6</v>
      </c>
      <c r="N4131">
        <v>4</v>
      </c>
      <c r="O4131">
        <v>0.81736399999999998</v>
      </c>
      <c r="P4131">
        <v>0.48980800000000002</v>
      </c>
      <c r="Q4131">
        <v>0.20600599999999999</v>
      </c>
    </row>
    <row r="4132" spans="1:17" x14ac:dyDescent="0.25">
      <c r="A4132" t="str">
        <f>IF(C4132&amp;G4132&amp;D4132&lt;&gt;'Funnel setup'!$K$3&amp;'Funnel setup'!$K$4&amp;'Funnel setup'!$K$6,".",IF(A4131=".",1,A4131+1))</f>
        <v>.</v>
      </c>
      <c r="B4132" s="244" t="str">
        <f t="shared" si="64"/>
        <v>Total Hip ReplacementProviderSPRINGFIELD HOSPITAL (NVC18)EQ-5D Index</v>
      </c>
      <c r="C4132" t="s">
        <v>974</v>
      </c>
      <c r="D4132" t="s">
        <v>965</v>
      </c>
      <c r="E4132" t="s">
        <v>602</v>
      </c>
      <c r="F4132" t="s">
        <v>603</v>
      </c>
      <c r="G4132" t="s">
        <v>963</v>
      </c>
      <c r="H4132">
        <v>79</v>
      </c>
      <c r="I4132">
        <v>0.30973699999999998</v>
      </c>
      <c r="J4132">
        <v>0.838337</v>
      </c>
      <c r="K4132">
        <v>0.52859999999999996</v>
      </c>
      <c r="L4132">
        <v>75</v>
      </c>
      <c r="M4132">
        <v>2</v>
      </c>
      <c r="N4132">
        <v>2</v>
      </c>
      <c r="O4132">
        <v>0.82169400000000004</v>
      </c>
      <c r="P4132">
        <v>0.49413800000000002</v>
      </c>
      <c r="Q4132">
        <v>0.23638999999999999</v>
      </c>
    </row>
    <row r="4133" spans="1:17" x14ac:dyDescent="0.25">
      <c r="A4133" t="str">
        <f>IF(C4133&amp;G4133&amp;D4133&lt;&gt;'Funnel setup'!$K$3&amp;'Funnel setup'!$K$4&amp;'Funnel setup'!$K$6,".",IF(A4132=".",1,A4132+1))</f>
        <v>.</v>
      </c>
      <c r="B4133" s="244" t="str">
        <f t="shared" si="64"/>
        <v>Total Hip ReplacementProviderST EDMUNDS HOSPITAL (NT446)EQ-5D Index</v>
      </c>
      <c r="C4133" t="s">
        <v>974</v>
      </c>
      <c r="D4133" t="s">
        <v>965</v>
      </c>
      <c r="E4133" t="s">
        <v>604</v>
      </c>
      <c r="F4133" t="s">
        <v>605</v>
      </c>
      <c r="G4133" t="s">
        <v>963</v>
      </c>
      <c r="H4133">
        <v>53</v>
      </c>
      <c r="I4133">
        <v>0.36050900000000002</v>
      </c>
      <c r="J4133">
        <v>0.84937700000000005</v>
      </c>
      <c r="K4133">
        <v>0.48886800000000002</v>
      </c>
      <c r="L4133">
        <v>47</v>
      </c>
      <c r="M4133">
        <v>3</v>
      </c>
      <c r="N4133">
        <v>3</v>
      </c>
      <c r="O4133">
        <v>0.80799699999999997</v>
      </c>
      <c r="P4133">
        <v>0.48044100000000001</v>
      </c>
      <c r="Q4133">
        <v>0.20923800000000001</v>
      </c>
    </row>
    <row r="4134" spans="1:17" x14ac:dyDescent="0.25">
      <c r="A4134" t="str">
        <f>IF(C4134&amp;G4134&amp;D4134&lt;&gt;'Funnel setup'!$K$3&amp;'Funnel setup'!$K$4&amp;'Funnel setup'!$K$6,".",IF(A4133=".",1,A4133+1))</f>
        <v>.</v>
      </c>
      <c r="B4134" s="244" t="str">
        <f t="shared" si="64"/>
        <v>Total Hip ReplacementProviderST HELENS AND KNOWSLEY TEACHING HOSPITALS NHS TRUST (RBN)EQ-5D Index</v>
      </c>
      <c r="C4134" t="s">
        <v>974</v>
      </c>
      <c r="D4134" t="s">
        <v>965</v>
      </c>
      <c r="E4134" t="s">
        <v>608</v>
      </c>
      <c r="F4134" t="s">
        <v>609</v>
      </c>
      <c r="G4134" t="s">
        <v>963</v>
      </c>
      <c r="H4134">
        <v>72</v>
      </c>
      <c r="I4134">
        <v>0.23252800000000001</v>
      </c>
      <c r="J4134">
        <v>0.66783300000000001</v>
      </c>
      <c r="K4134">
        <v>0.43530600000000003</v>
      </c>
      <c r="L4134">
        <v>59</v>
      </c>
      <c r="M4134">
        <v>8</v>
      </c>
      <c r="N4134">
        <v>5</v>
      </c>
      <c r="O4134">
        <v>0.73250599999999999</v>
      </c>
      <c r="P4134">
        <v>0.40494999999999998</v>
      </c>
      <c r="Q4134">
        <v>0.273509</v>
      </c>
    </row>
    <row r="4135" spans="1:17" x14ac:dyDescent="0.25">
      <c r="A4135" t="str">
        <f>IF(C4135&amp;G4135&amp;D4135&lt;&gt;'Funnel setup'!$K$3&amp;'Funnel setup'!$K$4&amp;'Funnel setup'!$K$6,".",IF(A4134=".",1,A4134+1))</f>
        <v>.</v>
      </c>
      <c r="B4135" s="244" t="str">
        <f t="shared" si="64"/>
        <v>Total Hip ReplacementProviderST HUGH'S HOSPITAL (NTE02)EQ-5D Index</v>
      </c>
      <c r="C4135" t="s">
        <v>974</v>
      </c>
      <c r="D4135" t="s">
        <v>965</v>
      </c>
      <c r="E4135" t="s">
        <v>610</v>
      </c>
      <c r="F4135" t="s">
        <v>611</v>
      </c>
      <c r="G4135" t="s">
        <v>963</v>
      </c>
      <c r="H4135">
        <v>94</v>
      </c>
      <c r="I4135">
        <v>0.36860599999999999</v>
      </c>
      <c r="J4135">
        <v>0.78854299999999999</v>
      </c>
      <c r="K4135">
        <v>0.41993599999999998</v>
      </c>
      <c r="L4135">
        <v>84</v>
      </c>
      <c r="M4135">
        <v>5</v>
      </c>
      <c r="N4135">
        <v>5</v>
      </c>
      <c r="O4135">
        <v>0.76339699999999999</v>
      </c>
      <c r="P4135">
        <v>0.43584099999999998</v>
      </c>
      <c r="Q4135">
        <v>0.205072</v>
      </c>
    </row>
    <row r="4136" spans="1:17" x14ac:dyDescent="0.25">
      <c r="A4136" t="str">
        <f>IF(C4136&amp;G4136&amp;D4136&lt;&gt;'Funnel setup'!$K$3&amp;'Funnel setup'!$K$4&amp;'Funnel setup'!$K$6,".",IF(A4135=".",1,A4135+1))</f>
        <v>.</v>
      </c>
      <c r="B4136" s="244" t="str">
        <f t="shared" si="64"/>
        <v>Total Hip ReplacementProviderSTOCKPORT NHS FOUNDATION TRUST (RWJ)EQ-5D Index</v>
      </c>
      <c r="C4136" t="s">
        <v>974</v>
      </c>
      <c r="D4136" t="s">
        <v>965</v>
      </c>
      <c r="E4136" t="s">
        <v>614</v>
      </c>
      <c r="F4136" t="s">
        <v>615</v>
      </c>
      <c r="G4136" t="s">
        <v>963</v>
      </c>
      <c r="H4136">
        <v>56</v>
      </c>
      <c r="I4136">
        <v>0.21401800000000001</v>
      </c>
      <c r="J4136">
        <v>0.73005399999999998</v>
      </c>
      <c r="K4136">
        <v>0.51603600000000005</v>
      </c>
      <c r="L4136">
        <v>49</v>
      </c>
      <c r="M4136">
        <v>4</v>
      </c>
      <c r="N4136">
        <v>3</v>
      </c>
      <c r="O4136">
        <v>0.78146300000000002</v>
      </c>
      <c r="P4136">
        <v>0.453907</v>
      </c>
      <c r="Q4136">
        <v>0.23030999999999999</v>
      </c>
    </row>
    <row r="4137" spans="1:17" x14ac:dyDescent="0.25">
      <c r="A4137" t="str">
        <f>IF(C4137&amp;G4137&amp;D4137&lt;&gt;'Funnel setup'!$K$3&amp;'Funnel setup'!$K$4&amp;'Funnel setup'!$K$6,".",IF(A4136=".",1,A4136+1))</f>
        <v>.</v>
      </c>
      <c r="B4137" s="244" t="str">
        <f t="shared" si="64"/>
        <v>Total Hip ReplacementProviderSURREY AND SUSSEX HEALTHCARE NHS TRUST (RTP)EQ-5D Index</v>
      </c>
      <c r="C4137" t="s">
        <v>974</v>
      </c>
      <c r="D4137" t="s">
        <v>965</v>
      </c>
      <c r="E4137" t="s">
        <v>618</v>
      </c>
      <c r="F4137" t="s">
        <v>619</v>
      </c>
      <c r="G4137" t="s">
        <v>963</v>
      </c>
      <c r="H4137">
        <v>52</v>
      </c>
      <c r="I4137">
        <v>0.26976899999999998</v>
      </c>
      <c r="J4137">
        <v>0.70092299999999996</v>
      </c>
      <c r="K4137">
        <v>0.43115399999999998</v>
      </c>
      <c r="L4137">
        <v>46</v>
      </c>
      <c r="M4137">
        <v>3</v>
      </c>
      <c r="N4137">
        <v>3</v>
      </c>
      <c r="O4137">
        <v>0.71527799999999997</v>
      </c>
      <c r="P4137">
        <v>0.38772200000000001</v>
      </c>
      <c r="Q4137">
        <v>0.246143</v>
      </c>
    </row>
    <row r="4138" spans="1:17" x14ac:dyDescent="0.25">
      <c r="A4138" t="str">
        <f>IF(C4138&amp;G4138&amp;D4138&lt;&gt;'Funnel setup'!$K$3&amp;'Funnel setup'!$K$4&amp;'Funnel setup'!$K$6,".",IF(A4137=".",1,A4137+1))</f>
        <v>.</v>
      </c>
      <c r="B4138" s="244" t="str">
        <f t="shared" si="64"/>
        <v>Total Hip ReplacementProviderTAMESIDE AND GLOSSOP INTEGRATED CARE NHS FOUNDATION TRUST (RMP)EQ-5D Index</v>
      </c>
      <c r="C4138" t="s">
        <v>974</v>
      </c>
      <c r="D4138" t="s">
        <v>965</v>
      </c>
      <c r="E4138" t="s">
        <v>620</v>
      </c>
      <c r="F4138" t="s">
        <v>621</v>
      </c>
      <c r="G4138" t="s">
        <v>963</v>
      </c>
      <c r="H4138">
        <v>3</v>
      </c>
      <c r="I4138">
        <v>0.115</v>
      </c>
      <c r="J4138">
        <v>0.51733300000000004</v>
      </c>
      <c r="K4138">
        <v>0.402333</v>
      </c>
      <c r="L4138">
        <v>3</v>
      </c>
      <c r="M4138">
        <v>0</v>
      </c>
      <c r="N4138">
        <v>0</v>
      </c>
      <c r="O4138" t="s">
        <v>127</v>
      </c>
      <c r="P4138" t="s">
        <v>127</v>
      </c>
      <c r="Q4138" t="s">
        <v>127</v>
      </c>
    </row>
    <row r="4139" spans="1:17" x14ac:dyDescent="0.25">
      <c r="A4139" t="str">
        <f>IF(C4139&amp;G4139&amp;D4139&lt;&gt;'Funnel setup'!$K$3&amp;'Funnel setup'!$K$4&amp;'Funnel setup'!$K$6,".",IF(A4138=".",1,A4138+1))</f>
        <v>.</v>
      </c>
      <c r="B4139" s="244" t="str">
        <f t="shared" si="64"/>
        <v>Total Hip ReplacementProviderTEES VALLEY HOSPITAL (NVC0R)EQ-5D Index</v>
      </c>
      <c r="C4139" t="s">
        <v>974</v>
      </c>
      <c r="D4139" t="s">
        <v>965</v>
      </c>
      <c r="E4139" t="s">
        <v>624</v>
      </c>
      <c r="F4139" t="s">
        <v>625</v>
      </c>
      <c r="G4139" t="s">
        <v>963</v>
      </c>
      <c r="H4139">
        <v>43</v>
      </c>
      <c r="I4139">
        <v>0.44453500000000001</v>
      </c>
      <c r="J4139">
        <v>0.76407000000000003</v>
      </c>
      <c r="K4139">
        <v>0.31953500000000001</v>
      </c>
      <c r="L4139">
        <v>40</v>
      </c>
      <c r="M4139">
        <v>0</v>
      </c>
      <c r="N4139">
        <v>3</v>
      </c>
      <c r="O4139">
        <v>0.73242200000000002</v>
      </c>
      <c r="P4139">
        <v>0.404866</v>
      </c>
      <c r="Q4139">
        <v>0.22062599999999999</v>
      </c>
    </row>
    <row r="4140" spans="1:17" x14ac:dyDescent="0.25">
      <c r="A4140" t="str">
        <f>IF(C4140&amp;G4140&amp;D4140&lt;&gt;'Funnel setup'!$K$3&amp;'Funnel setup'!$K$4&amp;'Funnel setup'!$K$6,".",IF(A4139=".",1,A4139+1))</f>
        <v>.</v>
      </c>
      <c r="B4140" s="244" t="str">
        <f t="shared" si="64"/>
        <v>Total Hip ReplacementProviderTHE BERKSHIRE INDEPENDENT HOSPITAL (NVC02)EQ-5D Index</v>
      </c>
      <c r="C4140" t="s">
        <v>974</v>
      </c>
      <c r="D4140" t="s">
        <v>965</v>
      </c>
      <c r="E4140" t="s">
        <v>626</v>
      </c>
      <c r="F4140" t="s">
        <v>627</v>
      </c>
      <c r="G4140" t="s">
        <v>963</v>
      </c>
      <c r="H4140">
        <v>12</v>
      </c>
      <c r="I4140">
        <v>0.35516700000000001</v>
      </c>
      <c r="J4140">
        <v>0.875583</v>
      </c>
      <c r="K4140">
        <v>0.52041700000000002</v>
      </c>
      <c r="L4140">
        <v>10</v>
      </c>
      <c r="M4140">
        <v>2</v>
      </c>
      <c r="N4140">
        <v>0</v>
      </c>
      <c r="O4140" t="s">
        <v>127</v>
      </c>
      <c r="P4140" t="s">
        <v>127</v>
      </c>
      <c r="Q4140" t="s">
        <v>127</v>
      </c>
    </row>
    <row r="4141" spans="1:17" x14ac:dyDescent="0.25">
      <c r="A4141" t="str">
        <f>IF(C4141&amp;G4141&amp;D4141&lt;&gt;'Funnel setup'!$K$3&amp;'Funnel setup'!$K$4&amp;'Funnel setup'!$K$6,".",IF(A4140=".",1,A4140+1))</f>
        <v>.</v>
      </c>
      <c r="B4141" s="244" t="str">
        <f t="shared" si="64"/>
        <v>Total Hip ReplacementProviderTHE CHERWELL HOSPITAL (NVC25)EQ-5D Index</v>
      </c>
      <c r="C4141" t="s">
        <v>974</v>
      </c>
      <c r="D4141" t="s">
        <v>965</v>
      </c>
      <c r="E4141" t="s">
        <v>628</v>
      </c>
      <c r="F4141" t="s">
        <v>629</v>
      </c>
      <c r="G4141" t="s">
        <v>963</v>
      </c>
      <c r="H4141">
        <v>207</v>
      </c>
      <c r="I4141">
        <v>0.43490800000000002</v>
      </c>
      <c r="J4141">
        <v>0.83384100000000005</v>
      </c>
      <c r="K4141">
        <v>0.39893200000000001</v>
      </c>
      <c r="L4141">
        <v>186</v>
      </c>
      <c r="M4141">
        <v>11</v>
      </c>
      <c r="N4141">
        <v>10</v>
      </c>
      <c r="O4141">
        <v>0.78348899999999999</v>
      </c>
      <c r="P4141">
        <v>0.45593299999999998</v>
      </c>
      <c r="Q4141">
        <v>0.216007</v>
      </c>
    </row>
    <row r="4142" spans="1:17" x14ac:dyDescent="0.25">
      <c r="A4142" t="str">
        <f>IF(C4142&amp;G4142&amp;D4142&lt;&gt;'Funnel setup'!$K$3&amp;'Funnel setup'!$K$4&amp;'Funnel setup'!$K$6,".",IF(A4141=".",1,A4141+1))</f>
        <v>.</v>
      </c>
      <c r="B4142" s="244" t="str">
        <f t="shared" si="64"/>
        <v>Total Hip ReplacementProviderTHE DUDLEY GROUP NHS FOUNDATION TRUST (RNA)EQ-5D Index</v>
      </c>
      <c r="C4142" t="s">
        <v>974</v>
      </c>
      <c r="D4142" t="s">
        <v>965</v>
      </c>
      <c r="E4142" t="s">
        <v>630</v>
      </c>
      <c r="F4142" t="s">
        <v>631</v>
      </c>
      <c r="G4142" t="s">
        <v>963</v>
      </c>
      <c r="H4142">
        <v>1</v>
      </c>
      <c r="I4142">
        <v>0.186</v>
      </c>
      <c r="J4142">
        <v>0.79600000000000004</v>
      </c>
      <c r="K4142">
        <v>0.61</v>
      </c>
      <c r="L4142">
        <v>1</v>
      </c>
      <c r="M4142">
        <v>0</v>
      </c>
      <c r="N4142">
        <v>0</v>
      </c>
      <c r="O4142" t="s">
        <v>127</v>
      </c>
      <c r="P4142" t="s">
        <v>127</v>
      </c>
      <c r="Q4142" t="s">
        <v>127</v>
      </c>
    </row>
    <row r="4143" spans="1:17" x14ac:dyDescent="0.25">
      <c r="A4143" t="str">
        <f>IF(C4143&amp;G4143&amp;D4143&lt;&gt;'Funnel setup'!$K$3&amp;'Funnel setup'!$K$4&amp;'Funnel setup'!$K$6,".",IF(A4142=".",1,A4142+1))</f>
        <v>.</v>
      </c>
      <c r="B4143" s="244" t="str">
        <f t="shared" si="64"/>
        <v>Total Hip ReplacementProviderTHE HILLINGDON HOSPITALS NHS FOUNDATION TRUST (RAS)EQ-5D Index</v>
      </c>
      <c r="C4143" t="s">
        <v>974</v>
      </c>
      <c r="D4143" t="s">
        <v>965</v>
      </c>
      <c r="E4143" t="s">
        <v>632</v>
      </c>
      <c r="F4143" t="s">
        <v>633</v>
      </c>
      <c r="G4143" t="s">
        <v>963</v>
      </c>
      <c r="H4143">
        <v>69</v>
      </c>
      <c r="I4143">
        <v>0.43152200000000002</v>
      </c>
      <c r="J4143">
        <v>0.78162299999999996</v>
      </c>
      <c r="K4143">
        <v>0.350101</v>
      </c>
      <c r="L4143">
        <v>59</v>
      </c>
      <c r="M4143">
        <v>5</v>
      </c>
      <c r="N4143">
        <v>5</v>
      </c>
      <c r="O4143">
        <v>0.75174300000000005</v>
      </c>
      <c r="P4143">
        <v>0.42418699999999998</v>
      </c>
      <c r="Q4143">
        <v>0.24327499999999999</v>
      </c>
    </row>
    <row r="4144" spans="1:17" x14ac:dyDescent="0.25">
      <c r="A4144" t="str">
        <f>IF(C4144&amp;G4144&amp;D4144&lt;&gt;'Funnel setup'!$K$3&amp;'Funnel setup'!$K$4&amp;'Funnel setup'!$K$6,".",IF(A4143=".",1,A4143+1))</f>
        <v>.</v>
      </c>
      <c r="B4144" s="244" t="str">
        <f t="shared" si="64"/>
        <v>Total Hip ReplacementProviderTHE HORDER CENTRE - ST JOHNS ROAD (NXM01)EQ-5D Index</v>
      </c>
      <c r="C4144" t="s">
        <v>974</v>
      </c>
      <c r="D4144" t="s">
        <v>965</v>
      </c>
      <c r="E4144" t="s">
        <v>634</v>
      </c>
      <c r="F4144" t="s">
        <v>635</v>
      </c>
      <c r="G4144" t="s">
        <v>963</v>
      </c>
      <c r="H4144">
        <v>245</v>
      </c>
      <c r="I4144">
        <v>0.42910599999999999</v>
      </c>
      <c r="J4144">
        <v>0.83252700000000002</v>
      </c>
      <c r="K4144">
        <v>0.40342</v>
      </c>
      <c r="L4144">
        <v>218</v>
      </c>
      <c r="M4144">
        <v>13</v>
      </c>
      <c r="N4144">
        <v>14</v>
      </c>
      <c r="O4144">
        <v>0.79308000000000001</v>
      </c>
      <c r="P4144">
        <v>0.46552399999999999</v>
      </c>
      <c r="Q4144">
        <v>0.24122399999999999</v>
      </c>
    </row>
    <row r="4145" spans="1:17" x14ac:dyDescent="0.25">
      <c r="A4145" t="str">
        <f>IF(C4145&amp;G4145&amp;D4145&lt;&gt;'Funnel setup'!$K$3&amp;'Funnel setup'!$K$4&amp;'Funnel setup'!$K$6,".",IF(A4144=".",1,A4144+1))</f>
        <v>.</v>
      </c>
      <c r="B4145" s="244" t="str">
        <f t="shared" si="64"/>
        <v>Total Hip ReplacementProviderTHE NEWCASTLE UPON TYNE HOSPITALS NHS FOUNDATION TRUST (RTD)EQ-5D Index</v>
      </c>
      <c r="C4145" t="s">
        <v>974</v>
      </c>
      <c r="D4145" t="s">
        <v>965</v>
      </c>
      <c r="E4145" t="s">
        <v>638</v>
      </c>
      <c r="F4145" t="s">
        <v>639</v>
      </c>
      <c r="G4145" t="s">
        <v>963</v>
      </c>
      <c r="H4145">
        <v>37</v>
      </c>
      <c r="I4145">
        <v>0.28967599999999999</v>
      </c>
      <c r="J4145">
        <v>0.73691899999999999</v>
      </c>
      <c r="K4145">
        <v>0.447243</v>
      </c>
      <c r="L4145">
        <v>33</v>
      </c>
      <c r="M4145">
        <v>2</v>
      </c>
      <c r="N4145">
        <v>2</v>
      </c>
      <c r="O4145">
        <v>0.78619399999999995</v>
      </c>
      <c r="P4145">
        <v>0.45863799999999999</v>
      </c>
      <c r="Q4145">
        <v>0.22850899999999999</v>
      </c>
    </row>
    <row r="4146" spans="1:17" x14ac:dyDescent="0.25">
      <c r="A4146" t="str">
        <f>IF(C4146&amp;G4146&amp;D4146&lt;&gt;'Funnel setup'!$K$3&amp;'Funnel setup'!$K$4&amp;'Funnel setup'!$K$6,".",IF(A4145=".",1,A4145+1))</f>
        <v>.</v>
      </c>
      <c r="B4146" s="244" t="str">
        <f t="shared" si="64"/>
        <v>Total Hip ReplacementProviderTHE PRINCESS ALEXANDRA HOSPITAL NHS TRUST (RQW)EQ-5D Index</v>
      </c>
      <c r="C4146" t="s">
        <v>974</v>
      </c>
      <c r="D4146" t="s">
        <v>965</v>
      </c>
      <c r="E4146" t="s">
        <v>640</v>
      </c>
      <c r="F4146" t="s">
        <v>641</v>
      </c>
      <c r="G4146" t="s">
        <v>963</v>
      </c>
      <c r="H4146">
        <v>27</v>
      </c>
      <c r="I4146">
        <v>0.163407</v>
      </c>
      <c r="J4146">
        <v>0.64329599999999998</v>
      </c>
      <c r="K4146">
        <v>0.47988900000000001</v>
      </c>
      <c r="L4146">
        <v>26</v>
      </c>
      <c r="M4146">
        <v>0</v>
      </c>
      <c r="N4146">
        <v>1</v>
      </c>
      <c r="O4146" t="s">
        <v>127</v>
      </c>
      <c r="P4146" t="s">
        <v>127</v>
      </c>
      <c r="Q4146" t="s">
        <v>127</v>
      </c>
    </row>
    <row r="4147" spans="1:17" x14ac:dyDescent="0.25">
      <c r="A4147" t="str">
        <f>IF(C4147&amp;G4147&amp;D4147&lt;&gt;'Funnel setup'!$K$3&amp;'Funnel setup'!$K$4&amp;'Funnel setup'!$K$6,".",IF(A4146=".",1,A4146+1))</f>
        <v>.</v>
      </c>
      <c r="B4147" s="244" t="str">
        <f t="shared" si="64"/>
        <v>Total Hip ReplacementProviderTHE QUEEN ELIZABETH HOSPITAL, KING'S LYNN, NHS FOUNDATION TRUST (RCX)EQ-5D Index</v>
      </c>
      <c r="C4147" t="s">
        <v>974</v>
      </c>
      <c r="D4147" t="s">
        <v>965</v>
      </c>
      <c r="E4147" t="s">
        <v>644</v>
      </c>
      <c r="F4147" t="s">
        <v>645</v>
      </c>
      <c r="G4147" t="s">
        <v>963</v>
      </c>
      <c r="H4147">
        <v>65</v>
      </c>
      <c r="I4147">
        <v>0.31921500000000003</v>
      </c>
      <c r="J4147">
        <v>0.74123099999999997</v>
      </c>
      <c r="K4147">
        <v>0.42201499999999997</v>
      </c>
      <c r="L4147">
        <v>57</v>
      </c>
      <c r="M4147">
        <v>4</v>
      </c>
      <c r="N4147">
        <v>4</v>
      </c>
      <c r="O4147">
        <v>0.75779099999999999</v>
      </c>
      <c r="P4147">
        <v>0.43023600000000001</v>
      </c>
      <c r="Q4147">
        <v>0.259712</v>
      </c>
    </row>
    <row r="4148" spans="1:17" x14ac:dyDescent="0.25">
      <c r="A4148" t="str">
        <f>IF(C4148&amp;G4148&amp;D4148&lt;&gt;'Funnel setup'!$K$3&amp;'Funnel setup'!$K$4&amp;'Funnel setup'!$K$6,".",IF(A4147=".",1,A4147+1))</f>
        <v>.</v>
      </c>
      <c r="B4148" s="244" t="str">
        <f t="shared" si="64"/>
        <v>Total Hip ReplacementProviderTHE ROBERT JONES AND AGNES HUNT ORTHOPAEDIC HOSPITAL NHS FOUNDATION TRUST (RL1)EQ-5D Index</v>
      </c>
      <c r="C4148" t="s">
        <v>974</v>
      </c>
      <c r="D4148" t="s">
        <v>965</v>
      </c>
      <c r="E4148" t="s">
        <v>646</v>
      </c>
      <c r="F4148" t="s">
        <v>647</v>
      </c>
      <c r="G4148" t="s">
        <v>963</v>
      </c>
      <c r="H4148">
        <v>347</v>
      </c>
      <c r="I4148">
        <v>0.215389</v>
      </c>
      <c r="J4148">
        <v>0.81505499999999997</v>
      </c>
      <c r="K4148">
        <v>0.59966600000000003</v>
      </c>
      <c r="L4148">
        <v>325</v>
      </c>
      <c r="M4148">
        <v>13</v>
      </c>
      <c r="N4148">
        <v>9</v>
      </c>
      <c r="O4148">
        <v>0.84574300000000002</v>
      </c>
      <c r="P4148">
        <v>0.51818699999999995</v>
      </c>
      <c r="Q4148">
        <v>0.20610300000000001</v>
      </c>
    </row>
    <row r="4149" spans="1:17" x14ac:dyDescent="0.25">
      <c r="A4149" t="str">
        <f>IF(C4149&amp;G4149&amp;D4149&lt;&gt;'Funnel setup'!$K$3&amp;'Funnel setup'!$K$4&amp;'Funnel setup'!$K$6,".",IF(A4148=".",1,A4148+1))</f>
        <v>.</v>
      </c>
      <c r="B4149" s="244" t="str">
        <f t="shared" si="64"/>
        <v>Total Hip ReplacementProviderTHE ROTHERHAM NHS FOUNDATION TRUST (RFR)EQ-5D Index</v>
      </c>
      <c r="C4149" t="s">
        <v>974</v>
      </c>
      <c r="D4149" t="s">
        <v>965</v>
      </c>
      <c r="E4149" t="s">
        <v>648</v>
      </c>
      <c r="F4149" t="s">
        <v>649</v>
      </c>
      <c r="G4149" t="s">
        <v>963</v>
      </c>
      <c r="H4149">
        <v>18</v>
      </c>
      <c r="I4149">
        <v>0.31866699999999998</v>
      </c>
      <c r="J4149">
        <v>0.82099999999999995</v>
      </c>
      <c r="K4149">
        <v>0.50233300000000003</v>
      </c>
      <c r="L4149">
        <v>15</v>
      </c>
      <c r="M4149">
        <v>3</v>
      </c>
      <c r="N4149">
        <v>0</v>
      </c>
      <c r="O4149" t="s">
        <v>127</v>
      </c>
      <c r="P4149" t="s">
        <v>127</v>
      </c>
      <c r="Q4149" t="s">
        <v>127</v>
      </c>
    </row>
    <row r="4150" spans="1:17" x14ac:dyDescent="0.25">
      <c r="A4150" t="str">
        <f>IF(C4150&amp;G4150&amp;D4150&lt;&gt;'Funnel setup'!$K$3&amp;'Funnel setup'!$K$4&amp;'Funnel setup'!$K$6,".",IF(A4149=".",1,A4149+1))</f>
        <v>.</v>
      </c>
      <c r="B4150" s="244" t="str">
        <f t="shared" si="64"/>
        <v>Total Hip ReplacementProviderTHE ROYAL ORTHOPAEDIC HOSPITAL NHS FOUNDATION TRUST (RRJ)EQ-5D Index</v>
      </c>
      <c r="C4150" t="s">
        <v>974</v>
      </c>
      <c r="D4150" t="s">
        <v>965</v>
      </c>
      <c r="E4150" t="s">
        <v>652</v>
      </c>
      <c r="F4150" t="s">
        <v>653</v>
      </c>
      <c r="G4150" t="s">
        <v>963</v>
      </c>
      <c r="H4150">
        <v>589</v>
      </c>
      <c r="I4150">
        <v>0.30134499999999997</v>
      </c>
      <c r="J4150">
        <v>0.80768099999999998</v>
      </c>
      <c r="K4150">
        <v>0.50633600000000001</v>
      </c>
      <c r="L4150">
        <v>542</v>
      </c>
      <c r="M4150">
        <v>14</v>
      </c>
      <c r="N4150">
        <v>33</v>
      </c>
      <c r="O4150">
        <v>0.81510700000000003</v>
      </c>
      <c r="P4150">
        <v>0.48755100000000001</v>
      </c>
      <c r="Q4150">
        <v>0.22423399999999999</v>
      </c>
    </row>
    <row r="4151" spans="1:17" x14ac:dyDescent="0.25">
      <c r="A4151" t="str">
        <f>IF(C4151&amp;G4151&amp;D4151&lt;&gt;'Funnel setup'!$K$3&amp;'Funnel setup'!$K$4&amp;'Funnel setup'!$K$6,".",IF(A4150=".",1,A4150+1))</f>
        <v>.</v>
      </c>
      <c r="B4151" s="244" t="str">
        <f t="shared" si="64"/>
        <v>Total Hip ReplacementProviderTHE ROYAL WOLVERHAMPTON NHS TRUST (RL4)EQ-5D Index</v>
      </c>
      <c r="C4151" t="s">
        <v>974</v>
      </c>
      <c r="D4151" t="s">
        <v>965</v>
      </c>
      <c r="E4151" t="s">
        <v>654</v>
      </c>
      <c r="F4151" t="s">
        <v>655</v>
      </c>
      <c r="G4151" t="s">
        <v>963</v>
      </c>
      <c r="H4151">
        <v>17</v>
      </c>
      <c r="I4151">
        <v>0.29105900000000001</v>
      </c>
      <c r="J4151">
        <v>0.89317599999999997</v>
      </c>
      <c r="K4151">
        <v>0.60211800000000004</v>
      </c>
      <c r="L4151">
        <v>16</v>
      </c>
      <c r="M4151">
        <v>1</v>
      </c>
      <c r="N4151">
        <v>0</v>
      </c>
      <c r="O4151" t="s">
        <v>127</v>
      </c>
      <c r="P4151" t="s">
        <v>127</v>
      </c>
      <c r="Q4151" t="s">
        <v>127</v>
      </c>
    </row>
    <row r="4152" spans="1:17" x14ac:dyDescent="0.25">
      <c r="A4152" t="str">
        <f>IF(C4152&amp;G4152&amp;D4152&lt;&gt;'Funnel setup'!$K$3&amp;'Funnel setup'!$K$4&amp;'Funnel setup'!$K$6,".",IF(A4151=".",1,A4151+1))</f>
        <v>.</v>
      </c>
      <c r="B4152" s="244" t="str">
        <f t="shared" si="64"/>
        <v>Total Hip ReplacementProviderTHE SHREWSBURY AND TELFORD HOSPITAL NHS TRUST (RXW)EQ-5D Index</v>
      </c>
      <c r="C4152" t="s">
        <v>974</v>
      </c>
      <c r="D4152" t="s">
        <v>965</v>
      </c>
      <c r="E4152" t="s">
        <v>656</v>
      </c>
      <c r="F4152" t="s">
        <v>657</v>
      </c>
      <c r="G4152" t="s">
        <v>963</v>
      </c>
      <c r="H4152">
        <v>17</v>
      </c>
      <c r="I4152">
        <v>3.8176500000000002E-2</v>
      </c>
      <c r="J4152">
        <v>0.75770599999999999</v>
      </c>
      <c r="K4152">
        <v>0.71952899999999997</v>
      </c>
      <c r="L4152">
        <v>16</v>
      </c>
      <c r="M4152">
        <v>0</v>
      </c>
      <c r="N4152">
        <v>1</v>
      </c>
      <c r="O4152" t="s">
        <v>127</v>
      </c>
      <c r="P4152" t="s">
        <v>127</v>
      </c>
      <c r="Q4152" t="s">
        <v>127</v>
      </c>
    </row>
    <row r="4153" spans="1:17" x14ac:dyDescent="0.25">
      <c r="A4153" t="str">
        <f>IF(C4153&amp;G4153&amp;D4153&lt;&gt;'Funnel setup'!$K$3&amp;'Funnel setup'!$K$4&amp;'Funnel setup'!$K$6,".",IF(A4152=".",1,A4152+1))</f>
        <v>.</v>
      </c>
      <c r="B4153" s="244" t="str">
        <f t="shared" si="64"/>
        <v>Total Hip ReplacementProviderTHE YORKSHIRE CLINIC (NVC20)EQ-5D Index</v>
      </c>
      <c r="C4153" t="s">
        <v>974</v>
      </c>
      <c r="D4153" t="s">
        <v>965</v>
      </c>
      <c r="E4153" t="s">
        <v>662</v>
      </c>
      <c r="F4153" t="s">
        <v>663</v>
      </c>
      <c r="G4153" t="s">
        <v>963</v>
      </c>
      <c r="H4153">
        <v>63</v>
      </c>
      <c r="I4153">
        <v>0.33745999999999998</v>
      </c>
      <c r="J4153">
        <v>0.85593699999999995</v>
      </c>
      <c r="K4153">
        <v>0.51847600000000005</v>
      </c>
      <c r="L4153">
        <v>57</v>
      </c>
      <c r="M4153">
        <v>6</v>
      </c>
      <c r="N4153">
        <v>0</v>
      </c>
      <c r="O4153">
        <v>0.85572999999999999</v>
      </c>
      <c r="P4153">
        <v>0.52817400000000003</v>
      </c>
      <c r="Q4153">
        <v>0.18958900000000001</v>
      </c>
    </row>
    <row r="4154" spans="1:17" x14ac:dyDescent="0.25">
      <c r="A4154" t="str">
        <f>IF(C4154&amp;G4154&amp;D4154&lt;&gt;'Funnel setup'!$K$3&amp;'Funnel setup'!$K$4&amp;'Funnel setup'!$K$6,".",IF(A4153=".",1,A4153+1))</f>
        <v>.</v>
      </c>
      <c r="B4154" s="244" t="str">
        <f t="shared" si="64"/>
        <v>Total Hip ReplacementProviderTHORNBURY HOSPITAL (NT440)EQ-5D Index</v>
      </c>
      <c r="C4154" t="s">
        <v>974</v>
      </c>
      <c r="D4154" t="s">
        <v>965</v>
      </c>
      <c r="E4154" t="s">
        <v>664</v>
      </c>
      <c r="F4154" t="s">
        <v>665</v>
      </c>
      <c r="G4154" t="s">
        <v>963</v>
      </c>
      <c r="H4154">
        <v>2</v>
      </c>
      <c r="I4154">
        <v>0.25</v>
      </c>
      <c r="J4154">
        <v>0.35099999999999998</v>
      </c>
      <c r="K4154">
        <v>0.10100000000000001</v>
      </c>
      <c r="L4154">
        <v>2</v>
      </c>
      <c r="M4154">
        <v>0</v>
      </c>
      <c r="N4154">
        <v>0</v>
      </c>
      <c r="O4154" t="s">
        <v>127</v>
      </c>
      <c r="P4154" t="s">
        <v>127</v>
      </c>
      <c r="Q4154" t="s">
        <v>127</v>
      </c>
    </row>
    <row r="4155" spans="1:17" x14ac:dyDescent="0.25">
      <c r="A4155" t="str">
        <f>IF(C4155&amp;G4155&amp;D4155&lt;&gt;'Funnel setup'!$K$3&amp;'Funnel setup'!$K$4&amp;'Funnel setup'!$K$6,".",IF(A4154=".",1,A4154+1))</f>
        <v>.</v>
      </c>
      <c r="B4155" s="244" t="str">
        <f t="shared" si="64"/>
        <v>Total Hip ReplacementProviderTHREE SHIRES HOSPITAL (NT441)EQ-5D Index</v>
      </c>
      <c r="C4155" t="s">
        <v>974</v>
      </c>
      <c r="D4155" t="s">
        <v>965</v>
      </c>
      <c r="E4155" t="s">
        <v>666</v>
      </c>
      <c r="F4155" t="s">
        <v>667</v>
      </c>
      <c r="G4155" t="s">
        <v>963</v>
      </c>
      <c r="H4155">
        <v>63</v>
      </c>
      <c r="I4155">
        <v>0.43349199999999999</v>
      </c>
      <c r="J4155">
        <v>0.88460300000000003</v>
      </c>
      <c r="K4155">
        <v>0.45111099999999998</v>
      </c>
      <c r="L4155">
        <v>58</v>
      </c>
      <c r="M4155">
        <v>4</v>
      </c>
      <c r="N4155">
        <v>1</v>
      </c>
      <c r="O4155">
        <v>0.81385799999999997</v>
      </c>
      <c r="P4155">
        <v>0.48630200000000001</v>
      </c>
      <c r="Q4155">
        <v>0.15009600000000001</v>
      </c>
    </row>
    <row r="4156" spans="1:17" x14ac:dyDescent="0.25">
      <c r="A4156" t="str">
        <f>IF(C4156&amp;G4156&amp;D4156&lt;&gt;'Funnel setup'!$K$3&amp;'Funnel setup'!$K$4&amp;'Funnel setup'!$K$6,".",IF(A4155=".",1,A4155+1))</f>
        <v>.</v>
      </c>
      <c r="B4156" s="244" t="str">
        <f t="shared" si="64"/>
        <v>Total Hip ReplacementProviderTORBAY AND SOUTH DEVON NHS FOUNDATION TRUST (RA9)EQ-5D Index</v>
      </c>
      <c r="C4156" t="s">
        <v>974</v>
      </c>
      <c r="D4156" t="s">
        <v>965</v>
      </c>
      <c r="E4156" t="s">
        <v>668</v>
      </c>
      <c r="F4156" t="s">
        <v>669</v>
      </c>
      <c r="G4156" t="s">
        <v>963</v>
      </c>
      <c r="H4156">
        <v>12</v>
      </c>
      <c r="I4156">
        <v>0.129333</v>
      </c>
      <c r="J4156">
        <v>0.75216700000000003</v>
      </c>
      <c r="K4156">
        <v>0.62283299999999997</v>
      </c>
      <c r="L4156">
        <v>11</v>
      </c>
      <c r="M4156">
        <v>0</v>
      </c>
      <c r="N4156">
        <v>1</v>
      </c>
      <c r="O4156" t="s">
        <v>127</v>
      </c>
      <c r="P4156" t="s">
        <v>127</v>
      </c>
      <c r="Q4156" t="s">
        <v>127</v>
      </c>
    </row>
    <row r="4157" spans="1:17" x14ac:dyDescent="0.25">
      <c r="A4157" t="str">
        <f>IF(C4157&amp;G4157&amp;D4157&lt;&gt;'Funnel setup'!$K$3&amp;'Funnel setup'!$K$4&amp;'Funnel setup'!$K$6,".",IF(A4156=".",1,A4156+1))</f>
        <v>.</v>
      </c>
      <c r="B4157" s="244" t="str">
        <f t="shared" si="64"/>
        <v>Total Hip ReplacementProviderUNITED LINCOLNSHIRE HOSPITALS NHS TRUST (RWD)EQ-5D Index</v>
      </c>
      <c r="C4157" t="s">
        <v>974</v>
      </c>
      <c r="D4157" t="s">
        <v>965</v>
      </c>
      <c r="E4157" t="s">
        <v>672</v>
      </c>
      <c r="F4157" t="s">
        <v>673</v>
      </c>
      <c r="G4157" t="s">
        <v>963</v>
      </c>
      <c r="H4157">
        <v>22</v>
      </c>
      <c r="I4157">
        <v>0.212227</v>
      </c>
      <c r="J4157">
        <v>0.75781799999999999</v>
      </c>
      <c r="K4157">
        <v>0.54559100000000005</v>
      </c>
      <c r="L4157">
        <v>19</v>
      </c>
      <c r="M4157">
        <v>2</v>
      </c>
      <c r="N4157">
        <v>1</v>
      </c>
      <c r="O4157" t="s">
        <v>127</v>
      </c>
      <c r="P4157" t="s">
        <v>127</v>
      </c>
      <c r="Q4157" t="s">
        <v>127</v>
      </c>
    </row>
    <row r="4158" spans="1:17" x14ac:dyDescent="0.25">
      <c r="A4158" t="str">
        <f>IF(C4158&amp;G4158&amp;D4158&lt;&gt;'Funnel setup'!$K$3&amp;'Funnel setup'!$K$4&amp;'Funnel setup'!$K$6,".",IF(A4157=".",1,A4157+1))</f>
        <v>.</v>
      </c>
      <c r="B4158" s="244" t="str">
        <f t="shared" si="64"/>
        <v>Total Hip ReplacementProviderUNIVERSITY COLLEGE LONDON HOSPITALS NHS FOUNDATION TRUST (RRV)EQ-5D Index</v>
      </c>
      <c r="C4158" t="s">
        <v>974</v>
      </c>
      <c r="D4158" t="s">
        <v>965</v>
      </c>
      <c r="E4158" t="s">
        <v>674</v>
      </c>
      <c r="F4158" t="s">
        <v>675</v>
      </c>
      <c r="G4158" t="s">
        <v>963</v>
      </c>
      <c r="H4158">
        <v>147</v>
      </c>
      <c r="I4158">
        <v>0.41571399999999997</v>
      </c>
      <c r="J4158">
        <v>0.79021799999999998</v>
      </c>
      <c r="K4158">
        <v>0.37450299999999997</v>
      </c>
      <c r="L4158">
        <v>124</v>
      </c>
      <c r="M4158">
        <v>14</v>
      </c>
      <c r="N4158">
        <v>9</v>
      </c>
      <c r="O4158">
        <v>0.77756499999999995</v>
      </c>
      <c r="P4158">
        <v>0.45000899999999999</v>
      </c>
      <c r="Q4158">
        <v>0.23924300000000001</v>
      </c>
    </row>
    <row r="4159" spans="1:17" x14ac:dyDescent="0.25">
      <c r="A4159" t="str">
        <f>IF(C4159&amp;G4159&amp;D4159&lt;&gt;'Funnel setup'!$K$3&amp;'Funnel setup'!$K$4&amp;'Funnel setup'!$K$6,".",IF(A4158=".",1,A4158+1))</f>
        <v>.</v>
      </c>
      <c r="B4159" s="244" t="str">
        <f t="shared" si="64"/>
        <v>Total Hip ReplacementProviderUNIVERSITY HOSPITAL SOUTHAMPTON NHS FOUNDATION TRUST (RHM)EQ-5D Index</v>
      </c>
      <c r="C4159" t="s">
        <v>974</v>
      </c>
      <c r="D4159" t="s">
        <v>965</v>
      </c>
      <c r="E4159" t="s">
        <v>676</v>
      </c>
      <c r="F4159" t="s">
        <v>677</v>
      </c>
      <c r="G4159" t="s">
        <v>963</v>
      </c>
      <c r="H4159">
        <v>104</v>
      </c>
      <c r="I4159">
        <v>0.32726899999999998</v>
      </c>
      <c r="J4159">
        <v>0.74083699999999997</v>
      </c>
      <c r="K4159">
        <v>0.41356700000000002</v>
      </c>
      <c r="L4159">
        <v>85</v>
      </c>
      <c r="M4159">
        <v>9</v>
      </c>
      <c r="N4159">
        <v>10</v>
      </c>
      <c r="O4159">
        <v>0.76822699999999999</v>
      </c>
      <c r="P4159">
        <v>0.44067099999999998</v>
      </c>
      <c r="Q4159">
        <v>0.244973</v>
      </c>
    </row>
    <row r="4160" spans="1:17" x14ac:dyDescent="0.25">
      <c r="A4160" t="str">
        <f>IF(C4160&amp;G4160&amp;D4160&lt;&gt;'Funnel setup'!$K$3&amp;'Funnel setup'!$K$4&amp;'Funnel setup'!$K$6,".",IF(A4159=".",1,A4159+1))</f>
        <v>.</v>
      </c>
      <c r="B4160" s="244" t="str">
        <f t="shared" si="64"/>
        <v>Total Hip ReplacementProviderUNIVERSITY HOSPITALS BRISTOL AND WESTON NHS FOUNDATION TRUST (RA7)EQ-5D Index</v>
      </c>
      <c r="C4160" t="s">
        <v>974</v>
      </c>
      <c r="D4160" t="s">
        <v>965</v>
      </c>
      <c r="E4160" t="s">
        <v>680</v>
      </c>
      <c r="F4160" t="s">
        <v>681</v>
      </c>
      <c r="G4160" t="s">
        <v>963</v>
      </c>
      <c r="H4160">
        <v>15</v>
      </c>
      <c r="I4160">
        <v>0.18241199999999999</v>
      </c>
      <c r="J4160">
        <v>0.79217599999999999</v>
      </c>
      <c r="K4160">
        <v>0.609765</v>
      </c>
      <c r="L4160">
        <v>15</v>
      </c>
      <c r="M4160">
        <v>0</v>
      </c>
      <c r="N4160">
        <v>0</v>
      </c>
      <c r="O4160" t="s">
        <v>127</v>
      </c>
      <c r="P4160" t="s">
        <v>127</v>
      </c>
      <c r="Q4160" t="s">
        <v>127</v>
      </c>
    </row>
    <row r="4161" spans="1:17" x14ac:dyDescent="0.25">
      <c r="A4161" t="str">
        <f>IF(C4161&amp;G4161&amp;D4161&lt;&gt;'Funnel setup'!$K$3&amp;'Funnel setup'!$K$4&amp;'Funnel setup'!$K$6,".",IF(A4160=".",1,A4160+1))</f>
        <v>.</v>
      </c>
      <c r="B4161" s="244" t="str">
        <f t="shared" si="64"/>
        <v>Total Hip ReplacementProviderUNIVERSITY HOSPITALS COVENTRY AND WARWICKSHIRE NHS TRUST (RKB)EQ-5D Index</v>
      </c>
      <c r="C4161" t="s">
        <v>974</v>
      </c>
      <c r="D4161" t="s">
        <v>965</v>
      </c>
      <c r="E4161" t="s">
        <v>682</v>
      </c>
      <c r="F4161" t="s">
        <v>683</v>
      </c>
      <c r="G4161" t="s">
        <v>963</v>
      </c>
      <c r="H4161">
        <v>25</v>
      </c>
      <c r="I4161">
        <v>0.33800000000000002</v>
      </c>
      <c r="J4161">
        <v>0.76712000000000002</v>
      </c>
      <c r="K4161">
        <v>0.42912</v>
      </c>
      <c r="L4161">
        <v>21</v>
      </c>
      <c r="M4161">
        <v>3</v>
      </c>
      <c r="N4161">
        <v>1</v>
      </c>
      <c r="O4161" t="s">
        <v>127</v>
      </c>
      <c r="P4161" t="s">
        <v>127</v>
      </c>
      <c r="Q4161" t="s">
        <v>127</v>
      </c>
    </row>
    <row r="4162" spans="1:17" x14ac:dyDescent="0.25">
      <c r="A4162" t="str">
        <f>IF(C4162&amp;G4162&amp;D4162&lt;&gt;'Funnel setup'!$K$3&amp;'Funnel setup'!$K$4&amp;'Funnel setup'!$K$6,".",IF(A4161=".",1,A4161+1))</f>
        <v>.</v>
      </c>
      <c r="B4162" s="244" t="str">
        <f t="shared" ref="B4162:B4225" si="65">C4162&amp;D4162&amp;F4162&amp;G4162</f>
        <v>Total Hip ReplacementProviderUNIVERSITY HOSPITAL DORSET NHS FUNDATION TRUST (R0D)EQ-5D Index</v>
      </c>
      <c r="C4162" t="s">
        <v>974</v>
      </c>
      <c r="D4162" t="s">
        <v>965</v>
      </c>
      <c r="E4162" t="s">
        <v>684</v>
      </c>
      <c r="F4162" t="s">
        <v>966</v>
      </c>
      <c r="G4162" t="s">
        <v>963</v>
      </c>
      <c r="H4162">
        <v>216</v>
      </c>
      <c r="I4162">
        <v>0.35422199999999998</v>
      </c>
      <c r="J4162">
        <v>0.81228199999999995</v>
      </c>
      <c r="K4162">
        <v>0.45806000000000002</v>
      </c>
      <c r="L4162">
        <v>196</v>
      </c>
      <c r="M4162">
        <v>12</v>
      </c>
      <c r="N4162">
        <v>8</v>
      </c>
      <c r="O4162">
        <v>0.80107200000000001</v>
      </c>
      <c r="P4162">
        <v>0.47351599999999999</v>
      </c>
      <c r="Q4162">
        <v>0.22423000000000001</v>
      </c>
    </row>
    <row r="4163" spans="1:17" x14ac:dyDescent="0.25">
      <c r="A4163" t="str">
        <f>IF(C4163&amp;G4163&amp;D4163&lt;&gt;'Funnel setup'!$K$3&amp;'Funnel setup'!$K$4&amp;'Funnel setup'!$K$6,".",IF(A4162=".",1,A4162+1))</f>
        <v>.</v>
      </c>
      <c r="B4163" s="244" t="str">
        <f t="shared" si="65"/>
        <v>Total Hip ReplacementProviderUNIVERSITY HOSPITALS OF DERBY AND BURTON NHS FOUNDATION TRUST (RTG)EQ-5D Index</v>
      </c>
      <c r="C4163" t="s">
        <v>974</v>
      </c>
      <c r="D4163" t="s">
        <v>965</v>
      </c>
      <c r="E4163" t="s">
        <v>686</v>
      </c>
      <c r="F4163" t="s">
        <v>687</v>
      </c>
      <c r="G4163" t="s">
        <v>963</v>
      </c>
      <c r="H4163">
        <v>348</v>
      </c>
      <c r="I4163">
        <v>0.27051399999999998</v>
      </c>
      <c r="J4163">
        <v>0.75164900000000001</v>
      </c>
      <c r="K4163">
        <v>0.48113499999999998</v>
      </c>
      <c r="L4163">
        <v>308</v>
      </c>
      <c r="M4163">
        <v>20</v>
      </c>
      <c r="N4163">
        <v>20</v>
      </c>
      <c r="O4163">
        <v>0.77763899999999997</v>
      </c>
      <c r="P4163">
        <v>0.45008300000000001</v>
      </c>
      <c r="Q4163">
        <v>0.227822</v>
      </c>
    </row>
    <row r="4164" spans="1:17" x14ac:dyDescent="0.25">
      <c r="A4164" t="str">
        <f>IF(C4164&amp;G4164&amp;D4164&lt;&gt;'Funnel setup'!$K$3&amp;'Funnel setup'!$K$4&amp;'Funnel setup'!$K$6,".",IF(A4163=".",1,A4163+1))</f>
        <v>.</v>
      </c>
      <c r="B4164" s="244" t="str">
        <f t="shared" si="65"/>
        <v>Total Hip ReplacementProviderUNIVERSITY HOSPITALS OF LEICESTER NHS TRUST (RWE)EQ-5D Index</v>
      </c>
      <c r="C4164" t="s">
        <v>974</v>
      </c>
      <c r="D4164" t="s">
        <v>965</v>
      </c>
      <c r="E4164" t="s">
        <v>688</v>
      </c>
      <c r="F4164" t="s">
        <v>689</v>
      </c>
      <c r="G4164" t="s">
        <v>963</v>
      </c>
      <c r="H4164">
        <v>111</v>
      </c>
      <c r="I4164">
        <v>0.22923399999999999</v>
      </c>
      <c r="J4164">
        <v>0.73596399999999995</v>
      </c>
      <c r="K4164">
        <v>0.50673000000000001</v>
      </c>
      <c r="L4164">
        <v>100</v>
      </c>
      <c r="M4164">
        <v>6</v>
      </c>
      <c r="N4164">
        <v>5</v>
      </c>
      <c r="O4164">
        <v>0.77989600000000003</v>
      </c>
      <c r="P4164">
        <v>0.45234000000000002</v>
      </c>
      <c r="Q4164">
        <v>0.23327200000000001</v>
      </c>
    </row>
    <row r="4165" spans="1:17" x14ac:dyDescent="0.25">
      <c r="A4165" t="str">
        <f>IF(C4165&amp;G4165&amp;D4165&lt;&gt;'Funnel setup'!$K$3&amp;'Funnel setup'!$K$4&amp;'Funnel setup'!$K$6,".",IF(A4164=".",1,A4164+1))</f>
        <v>.</v>
      </c>
      <c r="B4165" s="244" t="str">
        <f t="shared" si="65"/>
        <v>Total Hip ReplacementProviderUNIVERSITY HOSPITALS OF MORECAMBE BAY NHS FOUNDATION TRUST (RTX)EQ-5D Index</v>
      </c>
      <c r="C4165" t="s">
        <v>974</v>
      </c>
      <c r="D4165" t="s">
        <v>965</v>
      </c>
      <c r="E4165" t="s">
        <v>690</v>
      </c>
      <c r="F4165" t="s">
        <v>691</v>
      </c>
      <c r="G4165" t="s">
        <v>963</v>
      </c>
      <c r="H4165">
        <v>179</v>
      </c>
      <c r="I4165">
        <v>0.31189899999999998</v>
      </c>
      <c r="J4165">
        <v>0.78591100000000003</v>
      </c>
      <c r="K4165">
        <v>0.47401100000000002</v>
      </c>
      <c r="L4165">
        <v>166</v>
      </c>
      <c r="M4165">
        <v>6</v>
      </c>
      <c r="N4165">
        <v>7</v>
      </c>
      <c r="O4165">
        <v>0.78405599999999998</v>
      </c>
      <c r="P4165">
        <v>0.45650000000000002</v>
      </c>
      <c r="Q4165">
        <v>0.20675099999999999</v>
      </c>
    </row>
    <row r="4166" spans="1:17" x14ac:dyDescent="0.25">
      <c r="A4166" t="str">
        <f>IF(C4166&amp;G4166&amp;D4166&lt;&gt;'Funnel setup'!$K$3&amp;'Funnel setup'!$K$4&amp;'Funnel setup'!$K$6,".",IF(A4165=".",1,A4165+1))</f>
        <v>.</v>
      </c>
      <c r="B4166" s="244" t="str">
        <f t="shared" si="65"/>
        <v>Total Hip ReplacementProviderUNIVERSITY HOSPITALS OF NORTH MIDLANDS NHS TRUST (RJE)EQ-5D Index</v>
      </c>
      <c r="C4166" t="s">
        <v>974</v>
      </c>
      <c r="D4166" t="s">
        <v>965</v>
      </c>
      <c r="E4166" t="s">
        <v>692</v>
      </c>
      <c r="F4166" t="s">
        <v>693</v>
      </c>
      <c r="G4166" t="s">
        <v>963</v>
      </c>
      <c r="H4166">
        <v>31</v>
      </c>
      <c r="I4166">
        <v>0.220806</v>
      </c>
      <c r="J4166">
        <v>0.75896799999999998</v>
      </c>
      <c r="K4166">
        <v>0.538161</v>
      </c>
      <c r="L4166">
        <v>29</v>
      </c>
      <c r="M4166">
        <v>2</v>
      </c>
      <c r="N4166">
        <v>0</v>
      </c>
      <c r="O4166">
        <v>0.80419399999999996</v>
      </c>
      <c r="P4166">
        <v>0.47663800000000001</v>
      </c>
      <c r="Q4166">
        <v>0.23269100000000001</v>
      </c>
    </row>
    <row r="4167" spans="1:17" x14ac:dyDescent="0.25">
      <c r="A4167" t="str">
        <f>IF(C4167&amp;G4167&amp;D4167&lt;&gt;'Funnel setup'!$K$3&amp;'Funnel setup'!$K$4&amp;'Funnel setup'!$K$6,".",IF(A4166=".",1,A4166+1))</f>
        <v>.</v>
      </c>
      <c r="B4167" s="244" t="str">
        <f t="shared" si="65"/>
        <v>Total Hip ReplacementProviderUNIVERSITY HOSPITALS PLYMOUTH NHS TRUST (RK9)EQ-5D Index</v>
      </c>
      <c r="C4167" t="s">
        <v>974</v>
      </c>
      <c r="D4167" t="s">
        <v>965</v>
      </c>
      <c r="E4167" t="s">
        <v>694</v>
      </c>
      <c r="F4167" t="s">
        <v>695</v>
      </c>
      <c r="G4167" t="s">
        <v>963</v>
      </c>
      <c r="H4167">
        <v>7</v>
      </c>
      <c r="I4167">
        <v>1.3428600000000001E-2</v>
      </c>
      <c r="J4167">
        <v>0.44228600000000001</v>
      </c>
      <c r="K4167">
        <v>0.42885699999999999</v>
      </c>
      <c r="L4167">
        <v>5</v>
      </c>
      <c r="M4167">
        <v>0</v>
      </c>
      <c r="N4167">
        <v>2</v>
      </c>
      <c r="O4167" t="s">
        <v>127</v>
      </c>
      <c r="P4167" t="s">
        <v>127</v>
      </c>
      <c r="Q4167" t="s">
        <v>127</v>
      </c>
    </row>
    <row r="4168" spans="1:17" x14ac:dyDescent="0.25">
      <c r="A4168" t="str">
        <f>IF(C4168&amp;G4168&amp;D4168&lt;&gt;'Funnel setup'!$K$3&amp;'Funnel setup'!$K$4&amp;'Funnel setup'!$K$6,".",IF(A4167=".",1,A4167+1))</f>
        <v>.</v>
      </c>
      <c r="B4168" s="244" t="str">
        <f t="shared" si="65"/>
        <v>Total Hip ReplacementProviderUNIVERSITY HOSPITALS SUSSEX NHS FOUNDATION TRUST (RYR)EQ-5D Index</v>
      </c>
      <c r="C4168" t="s">
        <v>974</v>
      </c>
      <c r="D4168" t="s">
        <v>965</v>
      </c>
      <c r="E4168" t="s">
        <v>696</v>
      </c>
      <c r="F4168" t="s">
        <v>697</v>
      </c>
      <c r="G4168" t="s">
        <v>963</v>
      </c>
      <c r="H4168">
        <v>145</v>
      </c>
      <c r="I4168">
        <v>0.31686199999999998</v>
      </c>
      <c r="J4168">
        <v>0.69716599999999995</v>
      </c>
      <c r="K4168">
        <v>0.380303</v>
      </c>
      <c r="L4168">
        <v>119</v>
      </c>
      <c r="M4168">
        <v>8</v>
      </c>
      <c r="N4168">
        <v>18</v>
      </c>
      <c r="O4168">
        <v>0.711843</v>
      </c>
      <c r="P4168">
        <v>0.38428699999999999</v>
      </c>
      <c r="Q4168">
        <v>0.27591900000000003</v>
      </c>
    </row>
    <row r="4169" spans="1:17" x14ac:dyDescent="0.25">
      <c r="A4169" t="str">
        <f>IF(C4169&amp;G4169&amp;D4169&lt;&gt;'Funnel setup'!$K$3&amp;'Funnel setup'!$K$4&amp;'Funnel setup'!$K$6,".",IF(A4168=".",1,A4168+1))</f>
        <v>.</v>
      </c>
      <c r="B4169" s="244" t="str">
        <f t="shared" si="65"/>
        <v>Total Hip ReplacementProviderWALSALL HEALTHCARE NHS TRUST (RBK)EQ-5D Index</v>
      </c>
      <c r="C4169" t="s">
        <v>974</v>
      </c>
      <c r="D4169" t="s">
        <v>965</v>
      </c>
      <c r="E4169" t="s">
        <v>698</v>
      </c>
      <c r="F4169" t="s">
        <v>699</v>
      </c>
      <c r="G4169" t="s">
        <v>963</v>
      </c>
      <c r="H4169">
        <v>14</v>
      </c>
      <c r="I4169">
        <v>0.27900000000000003</v>
      </c>
      <c r="J4169">
        <v>0.62107100000000004</v>
      </c>
      <c r="K4169">
        <v>0.34207100000000001</v>
      </c>
      <c r="L4169">
        <v>11</v>
      </c>
      <c r="M4169">
        <v>2</v>
      </c>
      <c r="N4169">
        <v>1</v>
      </c>
      <c r="O4169" t="s">
        <v>127</v>
      </c>
      <c r="P4169" t="s">
        <v>127</v>
      </c>
      <c r="Q4169" t="s">
        <v>127</v>
      </c>
    </row>
    <row r="4170" spans="1:17" x14ac:dyDescent="0.25">
      <c r="A4170" t="str">
        <f>IF(C4170&amp;G4170&amp;D4170&lt;&gt;'Funnel setup'!$K$3&amp;'Funnel setup'!$K$4&amp;'Funnel setup'!$K$6,".",IF(A4169=".",1,A4169+1))</f>
        <v>.</v>
      </c>
      <c r="B4170" s="244" t="str">
        <f t="shared" si="65"/>
        <v>Total Hip ReplacementProviderWARRINGTON AND HALTON TEACHING HOSPITALS NHS FOUNDATION TRUST (RWW)EQ-5D Index</v>
      </c>
      <c r="C4170" t="s">
        <v>974</v>
      </c>
      <c r="D4170" t="s">
        <v>965</v>
      </c>
      <c r="E4170" t="s">
        <v>700</v>
      </c>
      <c r="F4170" t="s">
        <v>701</v>
      </c>
      <c r="G4170" t="s">
        <v>963</v>
      </c>
      <c r="H4170">
        <v>32</v>
      </c>
      <c r="I4170">
        <v>0.31962499999999999</v>
      </c>
      <c r="J4170">
        <v>0.73003099999999999</v>
      </c>
      <c r="K4170">
        <v>0.41040599999999999</v>
      </c>
      <c r="L4170">
        <v>28</v>
      </c>
      <c r="M4170">
        <v>2</v>
      </c>
      <c r="N4170">
        <v>2</v>
      </c>
      <c r="O4170">
        <v>0.74730700000000005</v>
      </c>
      <c r="P4170">
        <v>0.41975200000000001</v>
      </c>
      <c r="Q4170">
        <v>0.22936200000000001</v>
      </c>
    </row>
    <row r="4171" spans="1:17" x14ac:dyDescent="0.25">
      <c r="A4171" t="str">
        <f>IF(C4171&amp;G4171&amp;D4171&lt;&gt;'Funnel setup'!$K$3&amp;'Funnel setup'!$K$4&amp;'Funnel setup'!$K$6,".",IF(A4170=".",1,A4170+1))</f>
        <v>.</v>
      </c>
      <c r="B4171" s="244" t="str">
        <f t="shared" si="65"/>
        <v>Total Hip ReplacementProviderWEST HERTFORDSHIRE TEACHING HOSPITALS NHS TRUST (RWG)EQ-5D Index</v>
      </c>
      <c r="C4171" t="s">
        <v>974</v>
      </c>
      <c r="D4171" t="s">
        <v>965</v>
      </c>
      <c r="E4171" t="s">
        <v>702</v>
      </c>
      <c r="F4171" t="s">
        <v>703</v>
      </c>
      <c r="G4171" t="s">
        <v>963</v>
      </c>
      <c r="H4171">
        <v>91</v>
      </c>
      <c r="I4171">
        <v>0.27798899999999999</v>
      </c>
      <c r="J4171">
        <v>0.76051599999999997</v>
      </c>
      <c r="K4171">
        <v>0.48252699999999998</v>
      </c>
      <c r="L4171">
        <v>79</v>
      </c>
      <c r="M4171">
        <v>5</v>
      </c>
      <c r="N4171">
        <v>7</v>
      </c>
      <c r="O4171">
        <v>0.76602599999999998</v>
      </c>
      <c r="P4171">
        <v>0.43847000000000003</v>
      </c>
      <c r="Q4171">
        <v>0.24598700000000001</v>
      </c>
    </row>
    <row r="4172" spans="1:17" x14ac:dyDescent="0.25">
      <c r="A4172" t="str">
        <f>IF(C4172&amp;G4172&amp;D4172&lt;&gt;'Funnel setup'!$K$3&amp;'Funnel setup'!$K$4&amp;'Funnel setup'!$K$6,".",IF(A4171=".",1,A4171+1))</f>
        <v>.</v>
      </c>
      <c r="B4172" s="244" t="str">
        <f t="shared" si="65"/>
        <v>Total Hip ReplacementProviderWEST MIDLANDS HOSPITAL (NVC21)EQ-5D Index</v>
      </c>
      <c r="C4172" t="s">
        <v>974</v>
      </c>
      <c r="D4172" t="s">
        <v>965</v>
      </c>
      <c r="E4172" t="s">
        <v>704</v>
      </c>
      <c r="F4172" t="s">
        <v>705</v>
      </c>
      <c r="G4172" t="s">
        <v>963</v>
      </c>
      <c r="H4172">
        <v>79</v>
      </c>
      <c r="I4172">
        <v>0.34810099999999999</v>
      </c>
      <c r="J4172">
        <v>0.80641799999999997</v>
      </c>
      <c r="K4172">
        <v>0.458316</v>
      </c>
      <c r="L4172">
        <v>71</v>
      </c>
      <c r="M4172">
        <v>2</v>
      </c>
      <c r="N4172">
        <v>6</v>
      </c>
      <c r="O4172">
        <v>0.79765200000000003</v>
      </c>
      <c r="P4172">
        <v>0.47009600000000001</v>
      </c>
      <c r="Q4172">
        <v>0.220472</v>
      </c>
    </row>
    <row r="4173" spans="1:17" x14ac:dyDescent="0.25">
      <c r="A4173" t="str">
        <f>IF(C4173&amp;G4173&amp;D4173&lt;&gt;'Funnel setup'!$K$3&amp;'Funnel setup'!$K$4&amp;'Funnel setup'!$K$6,".",IF(A4172=".",1,A4172+1))</f>
        <v>.</v>
      </c>
      <c r="B4173" s="244" t="str">
        <f t="shared" si="65"/>
        <v>Total Hip ReplacementProviderWEST SUFFOLK NHS FOUNDATION TRUST (RGR)EQ-5D Index</v>
      </c>
      <c r="C4173" t="s">
        <v>974</v>
      </c>
      <c r="D4173" t="s">
        <v>965</v>
      </c>
      <c r="E4173" t="s">
        <v>706</v>
      </c>
      <c r="F4173" t="s">
        <v>707</v>
      </c>
      <c r="G4173" t="s">
        <v>963</v>
      </c>
      <c r="H4173">
        <v>121</v>
      </c>
      <c r="I4173">
        <v>0.23461199999999999</v>
      </c>
      <c r="J4173">
        <v>0.76266900000000004</v>
      </c>
      <c r="K4173">
        <v>0.52805800000000003</v>
      </c>
      <c r="L4173">
        <v>104</v>
      </c>
      <c r="M4173">
        <v>9</v>
      </c>
      <c r="N4173">
        <v>8</v>
      </c>
      <c r="O4173">
        <v>0.76318200000000003</v>
      </c>
      <c r="P4173">
        <v>0.43562600000000001</v>
      </c>
      <c r="Q4173">
        <v>0.24340700000000001</v>
      </c>
    </row>
    <row r="4174" spans="1:17" x14ac:dyDescent="0.25">
      <c r="A4174" t="str">
        <f>IF(C4174&amp;G4174&amp;D4174&lt;&gt;'Funnel setup'!$K$3&amp;'Funnel setup'!$K$4&amp;'Funnel setup'!$K$6,".",IF(A4173=".",1,A4173+1))</f>
        <v>.</v>
      </c>
      <c r="B4174" s="244" t="str">
        <f t="shared" si="65"/>
        <v>Total Hip ReplacementProviderWINFIELD HOSPITAL (NVC22)EQ-5D Index</v>
      </c>
      <c r="C4174" t="s">
        <v>974</v>
      </c>
      <c r="D4174" t="s">
        <v>965</v>
      </c>
      <c r="E4174" t="s">
        <v>710</v>
      </c>
      <c r="F4174" t="s">
        <v>711</v>
      </c>
      <c r="G4174" t="s">
        <v>963</v>
      </c>
      <c r="H4174">
        <v>46</v>
      </c>
      <c r="I4174">
        <v>0.33534799999999998</v>
      </c>
      <c r="J4174">
        <v>0.79056499999999996</v>
      </c>
      <c r="K4174">
        <v>0.45521699999999998</v>
      </c>
      <c r="L4174">
        <v>44</v>
      </c>
      <c r="M4174">
        <v>0</v>
      </c>
      <c r="N4174">
        <v>2</v>
      </c>
      <c r="O4174">
        <v>0.76391600000000004</v>
      </c>
      <c r="P4174">
        <v>0.436361</v>
      </c>
      <c r="Q4174">
        <v>0.219417</v>
      </c>
    </row>
    <row r="4175" spans="1:17" x14ac:dyDescent="0.25">
      <c r="A4175" t="str">
        <f>IF(C4175&amp;G4175&amp;D4175&lt;&gt;'Funnel setup'!$K$3&amp;'Funnel setup'!$K$4&amp;'Funnel setup'!$K$6,".",IF(A4174=".",1,A4174+1))</f>
        <v>.</v>
      </c>
      <c r="B4175" s="244" t="str">
        <f t="shared" si="65"/>
        <v>Total Hip ReplacementProviderWINTERBOURNE HOSPITAL (NT443)EQ-5D Index</v>
      </c>
      <c r="C4175" t="s">
        <v>974</v>
      </c>
      <c r="D4175" t="s">
        <v>965</v>
      </c>
      <c r="E4175" t="s">
        <v>712</v>
      </c>
      <c r="F4175" t="s">
        <v>713</v>
      </c>
      <c r="G4175" t="s">
        <v>963</v>
      </c>
      <c r="H4175">
        <v>50</v>
      </c>
      <c r="I4175">
        <v>0.48409999999999997</v>
      </c>
      <c r="J4175">
        <v>0.83486000000000005</v>
      </c>
      <c r="K4175">
        <v>0.35076000000000002</v>
      </c>
      <c r="L4175">
        <v>42</v>
      </c>
      <c r="M4175">
        <v>3</v>
      </c>
      <c r="N4175">
        <v>5</v>
      </c>
      <c r="O4175">
        <v>0.787609</v>
      </c>
      <c r="P4175">
        <v>0.46005400000000002</v>
      </c>
      <c r="Q4175">
        <v>0.24721199999999999</v>
      </c>
    </row>
    <row r="4176" spans="1:17" x14ac:dyDescent="0.25">
      <c r="A4176" t="str">
        <f>IF(C4176&amp;G4176&amp;D4176&lt;&gt;'Funnel setup'!$K$3&amp;'Funnel setup'!$K$4&amp;'Funnel setup'!$K$6,".",IF(A4175=".",1,A4175+1))</f>
        <v>.</v>
      </c>
      <c r="B4176" s="244" t="str">
        <f t="shared" si="65"/>
        <v>Total Hip ReplacementProviderWIRRAL UNIVERSITY TEACHING HOSPITAL NHS FOUNDATION TRUST (RBL)EQ-5D Index</v>
      </c>
      <c r="C4176" t="s">
        <v>974</v>
      </c>
      <c r="D4176" t="s">
        <v>965</v>
      </c>
      <c r="E4176" t="s">
        <v>714</v>
      </c>
      <c r="F4176" t="s">
        <v>715</v>
      </c>
      <c r="G4176" t="s">
        <v>963</v>
      </c>
      <c r="H4176">
        <v>98</v>
      </c>
      <c r="I4176">
        <v>0.33984700000000001</v>
      </c>
      <c r="J4176">
        <v>0.76151000000000002</v>
      </c>
      <c r="K4176">
        <v>0.42166300000000001</v>
      </c>
      <c r="L4176">
        <v>85</v>
      </c>
      <c r="M4176">
        <v>11</v>
      </c>
      <c r="N4176">
        <v>2</v>
      </c>
      <c r="O4176">
        <v>0.75263100000000005</v>
      </c>
      <c r="P4176">
        <v>0.42507499999999998</v>
      </c>
      <c r="Q4176">
        <v>0.23458699999999999</v>
      </c>
    </row>
    <row r="4177" spans="1:17" x14ac:dyDescent="0.25">
      <c r="A4177" t="str">
        <f>IF(C4177&amp;G4177&amp;D4177&lt;&gt;'Funnel setup'!$K$3&amp;'Funnel setup'!$K$4&amp;'Funnel setup'!$K$6,".",IF(A4176=".",1,A4176+1))</f>
        <v>.</v>
      </c>
      <c r="B4177" s="244" t="str">
        <f t="shared" si="65"/>
        <v>Total Hip ReplacementProviderWOODLAND HOSPITAL (NVC23)EQ-5D Index</v>
      </c>
      <c r="C4177" t="s">
        <v>974</v>
      </c>
      <c r="D4177" t="s">
        <v>965</v>
      </c>
      <c r="E4177" t="s">
        <v>716</v>
      </c>
      <c r="F4177" t="s">
        <v>717</v>
      </c>
      <c r="G4177" t="s">
        <v>963</v>
      </c>
      <c r="H4177">
        <v>78</v>
      </c>
      <c r="I4177">
        <v>0.28784799999999999</v>
      </c>
      <c r="J4177">
        <v>0.74053199999999997</v>
      </c>
      <c r="K4177">
        <v>0.45268399999999998</v>
      </c>
      <c r="L4177">
        <v>70</v>
      </c>
      <c r="M4177">
        <v>3</v>
      </c>
      <c r="N4177">
        <v>5</v>
      </c>
      <c r="O4177">
        <v>0.72887599999999997</v>
      </c>
      <c r="P4177">
        <v>0.40132000000000001</v>
      </c>
      <c r="Q4177">
        <v>0.22615099999999999</v>
      </c>
    </row>
    <row r="4178" spans="1:17" x14ac:dyDescent="0.25">
      <c r="A4178" t="str">
        <f>IF(C4178&amp;G4178&amp;D4178&lt;&gt;'Funnel setup'!$K$3&amp;'Funnel setup'!$K$4&amp;'Funnel setup'!$K$6,".",IF(A4177=".",1,A4177+1))</f>
        <v>.</v>
      </c>
      <c r="B4178" s="244" t="str">
        <f t="shared" si="65"/>
        <v>Total Hip ReplacementProviderWOODLANDS HOSPITAL (NT457)EQ-5D Index</v>
      </c>
      <c r="C4178" t="s">
        <v>974</v>
      </c>
      <c r="D4178" t="s">
        <v>965</v>
      </c>
      <c r="E4178" t="s">
        <v>718</v>
      </c>
      <c r="F4178" t="s">
        <v>719</v>
      </c>
      <c r="G4178" t="s">
        <v>963</v>
      </c>
      <c r="H4178">
        <v>70</v>
      </c>
      <c r="I4178">
        <v>0.463563</v>
      </c>
      <c r="J4178">
        <v>0.85752099999999998</v>
      </c>
      <c r="K4178">
        <v>0.39395799999999997</v>
      </c>
      <c r="L4178">
        <v>64</v>
      </c>
      <c r="M4178">
        <v>4</v>
      </c>
      <c r="N4178">
        <v>2</v>
      </c>
      <c r="O4178">
        <v>0.78720999999999997</v>
      </c>
      <c r="P4178">
        <v>0.45965400000000001</v>
      </c>
      <c r="Q4178">
        <v>0.20289599999999999</v>
      </c>
    </row>
    <row r="4179" spans="1:17" x14ac:dyDescent="0.25">
      <c r="A4179" t="str">
        <f>IF(C4179&amp;G4179&amp;D4179&lt;&gt;'Funnel setup'!$K$3&amp;'Funnel setup'!$K$4&amp;'Funnel setup'!$K$6,".",IF(A4178=".",1,A4178+1))</f>
        <v>.</v>
      </c>
      <c r="B4179" s="244" t="str">
        <f t="shared" si="65"/>
        <v>Total Hip ReplacementProviderWOODTHORPE HOSPITAL (NVC40)EQ-5D Index</v>
      </c>
      <c r="C4179" t="s">
        <v>974</v>
      </c>
      <c r="D4179" t="s">
        <v>965</v>
      </c>
      <c r="E4179" t="s">
        <v>720</v>
      </c>
      <c r="F4179" t="s">
        <v>721</v>
      </c>
      <c r="G4179" t="s">
        <v>963</v>
      </c>
      <c r="H4179">
        <v>91</v>
      </c>
      <c r="I4179">
        <v>0.32559300000000002</v>
      </c>
      <c r="J4179">
        <v>0.78248399999999996</v>
      </c>
      <c r="K4179">
        <v>0.45689000000000002</v>
      </c>
      <c r="L4179">
        <v>82</v>
      </c>
      <c r="M4179">
        <v>4</v>
      </c>
      <c r="N4179">
        <v>5</v>
      </c>
      <c r="O4179">
        <v>0.765741</v>
      </c>
      <c r="P4179">
        <v>0.43818499999999999</v>
      </c>
      <c r="Q4179">
        <v>0.20947099999999999</v>
      </c>
    </row>
    <row r="4180" spans="1:17" x14ac:dyDescent="0.25">
      <c r="A4180" t="str">
        <f>IF(C4180&amp;G4180&amp;D4180&lt;&gt;'Funnel setup'!$K$3&amp;'Funnel setup'!$K$4&amp;'Funnel setup'!$K$6,".",IF(A4179=".",1,A4179+1))</f>
        <v>.</v>
      </c>
      <c r="B4180" s="244" t="str">
        <f t="shared" si="65"/>
        <v>Total Hip ReplacementProviderWORCESTERSHIRE ACUTE HOSPITALS NHS TRUST (RWP)EQ-5D Index</v>
      </c>
      <c r="C4180" t="s">
        <v>974</v>
      </c>
      <c r="D4180" t="s">
        <v>965</v>
      </c>
      <c r="E4180" t="s">
        <v>722</v>
      </c>
      <c r="F4180" t="s">
        <v>723</v>
      </c>
      <c r="G4180" t="s">
        <v>963</v>
      </c>
      <c r="H4180">
        <v>63</v>
      </c>
      <c r="I4180">
        <v>0.17399999999999999</v>
      </c>
      <c r="J4180">
        <v>0.71652400000000005</v>
      </c>
      <c r="K4180">
        <v>0.54252400000000001</v>
      </c>
      <c r="L4180">
        <v>55</v>
      </c>
      <c r="M4180">
        <v>3</v>
      </c>
      <c r="N4180">
        <v>5</v>
      </c>
      <c r="O4180">
        <v>0.78887200000000002</v>
      </c>
      <c r="P4180">
        <v>0.461316</v>
      </c>
      <c r="Q4180">
        <v>0.245336</v>
      </c>
    </row>
    <row r="4181" spans="1:17" x14ac:dyDescent="0.25">
      <c r="A4181" t="str">
        <f>IF(C4181&amp;G4181&amp;D4181&lt;&gt;'Funnel setup'!$K$3&amp;'Funnel setup'!$K$4&amp;'Funnel setup'!$K$6,".",IF(A4180=".",1,A4180+1))</f>
        <v>.</v>
      </c>
      <c r="B4181" s="244" t="str">
        <f t="shared" si="65"/>
        <v>Total Hip ReplacementProviderWRIGHTINGTON, WIGAN AND LEIGH NHS FOUNDATION TRUST (RRF)EQ-5D Index</v>
      </c>
      <c r="C4181" t="s">
        <v>974</v>
      </c>
      <c r="D4181" t="s">
        <v>965</v>
      </c>
      <c r="E4181" t="s">
        <v>724</v>
      </c>
      <c r="F4181" t="s">
        <v>725</v>
      </c>
      <c r="G4181" t="s">
        <v>963</v>
      </c>
      <c r="H4181">
        <v>17</v>
      </c>
      <c r="I4181">
        <v>0.26011800000000002</v>
      </c>
      <c r="J4181">
        <v>0.94023500000000004</v>
      </c>
      <c r="K4181">
        <v>0.680118</v>
      </c>
      <c r="L4181">
        <v>17</v>
      </c>
      <c r="M4181">
        <v>0</v>
      </c>
      <c r="N4181">
        <v>0</v>
      </c>
      <c r="O4181" t="s">
        <v>127</v>
      </c>
      <c r="P4181" t="s">
        <v>127</v>
      </c>
      <c r="Q4181" t="s">
        <v>127</v>
      </c>
    </row>
    <row r="4182" spans="1:17" x14ac:dyDescent="0.25">
      <c r="A4182" t="str">
        <f>IF(C4182&amp;G4182&amp;D4182&lt;&gt;'Funnel setup'!$K$3&amp;'Funnel setup'!$K$4&amp;'Funnel setup'!$K$6,".",IF(A4181=".",1,A4181+1))</f>
        <v>.</v>
      </c>
      <c r="B4182" s="244" t="str">
        <f t="shared" si="65"/>
        <v>Total Hip ReplacementProviderWYE VALLEY NHS TRUST (RLQ)EQ-5D Index</v>
      </c>
      <c r="C4182" t="s">
        <v>974</v>
      </c>
      <c r="D4182" t="s">
        <v>965</v>
      </c>
      <c r="E4182" t="s">
        <v>726</v>
      </c>
      <c r="F4182" t="s">
        <v>727</v>
      </c>
      <c r="G4182" t="s">
        <v>963</v>
      </c>
      <c r="H4182">
        <v>23</v>
      </c>
      <c r="I4182">
        <v>0.14047799999999999</v>
      </c>
      <c r="J4182">
        <v>0.73787000000000003</v>
      </c>
      <c r="K4182">
        <v>0.59739100000000001</v>
      </c>
      <c r="L4182">
        <v>22</v>
      </c>
      <c r="M4182">
        <v>1</v>
      </c>
      <c r="N4182">
        <v>0</v>
      </c>
      <c r="O4182" t="s">
        <v>127</v>
      </c>
      <c r="P4182" t="s">
        <v>127</v>
      </c>
      <c r="Q4182" t="s">
        <v>127</v>
      </c>
    </row>
    <row r="4183" spans="1:17" x14ac:dyDescent="0.25">
      <c r="A4183" t="str">
        <f>IF(C4183&amp;G4183&amp;D4183&lt;&gt;'Funnel setup'!$K$3&amp;'Funnel setup'!$K$4&amp;'Funnel setup'!$K$6,".",IF(A4182=".",1,A4182+1))</f>
        <v>.</v>
      </c>
      <c r="B4183" s="244" t="str">
        <f t="shared" si="65"/>
        <v>Total Hip ReplacementProviderYORK AND SCARBOROUGH TEACHING HOSPITALS NHS FOUNDATION TRUST (RCB)EQ-5D Index</v>
      </c>
      <c r="C4183" t="s">
        <v>974</v>
      </c>
      <c r="D4183" t="s">
        <v>965</v>
      </c>
      <c r="E4183" t="s">
        <v>730</v>
      </c>
      <c r="F4183" t="s">
        <v>731</v>
      </c>
      <c r="G4183" t="s">
        <v>963</v>
      </c>
      <c r="H4183">
        <v>1</v>
      </c>
      <c r="I4183">
        <v>-1.6E-2</v>
      </c>
      <c r="J4183">
        <v>0.62</v>
      </c>
      <c r="K4183">
        <v>0.63600000000000001</v>
      </c>
      <c r="L4183">
        <v>1</v>
      </c>
      <c r="M4183">
        <v>0</v>
      </c>
      <c r="N4183">
        <v>0</v>
      </c>
      <c r="O4183" t="s">
        <v>127</v>
      </c>
      <c r="P4183" t="s">
        <v>127</v>
      </c>
      <c r="Q4183" t="s">
        <v>127</v>
      </c>
    </row>
    <row r="4184" spans="1:17" x14ac:dyDescent="0.25">
      <c r="A4184">
        <f>IF(C4184&amp;G4184&amp;D4184&lt;&gt;'Funnel setup'!$K$3&amp;'Funnel setup'!$K$4&amp;'Funnel setup'!$K$6,".",IF(A4183=".",1,A4183+1))</f>
        <v>1</v>
      </c>
      <c r="B4184" s="244" t="str">
        <f t="shared" si="65"/>
        <v>Total Hip ReplacementProviderSULIS HOSPITAL BATHOxford Hip Score</v>
      </c>
      <c r="C4184" t="s">
        <v>974</v>
      </c>
      <c r="D4184" t="s">
        <v>965</v>
      </c>
      <c r="E4184" t="s">
        <v>732</v>
      </c>
      <c r="F4184" t="s">
        <v>1325</v>
      </c>
      <c r="G4184" t="s">
        <v>964</v>
      </c>
      <c r="H4184">
        <v>37</v>
      </c>
      <c r="I4184">
        <v>17.216200000000001</v>
      </c>
      <c r="J4184">
        <v>41.378399999999999</v>
      </c>
      <c r="K4184">
        <v>24.162199999999999</v>
      </c>
      <c r="L4184">
        <v>37</v>
      </c>
      <c r="M4184">
        <v>0</v>
      </c>
      <c r="N4184">
        <v>0</v>
      </c>
      <c r="O4184">
        <v>40.436599999999999</v>
      </c>
      <c r="P4184">
        <v>23.225100000000001</v>
      </c>
      <c r="Q4184">
        <v>7.6871200000000002</v>
      </c>
    </row>
    <row r="4185" spans="1:17" x14ac:dyDescent="0.25">
      <c r="A4185">
        <f>IF(C4185&amp;G4185&amp;D4185&lt;&gt;'Funnel setup'!$K$3&amp;'Funnel setup'!$K$4&amp;'Funnel setup'!$K$6,".",IF(A4184=".",1,A4184+1))</f>
        <v>2</v>
      </c>
      <c r="B4185" s="244" t="str">
        <f t="shared" si="65"/>
        <v>Total Hip ReplacementProviderAIREDALE NHS FOUNDATION TRUST (RCF)Oxford Hip Score</v>
      </c>
      <c r="C4185" t="s">
        <v>974</v>
      </c>
      <c r="D4185" t="s">
        <v>965</v>
      </c>
      <c r="E4185" t="s">
        <v>125</v>
      </c>
      <c r="F4185" t="s">
        <v>126</v>
      </c>
      <c r="G4185" t="s">
        <v>964</v>
      </c>
      <c r="H4185">
        <v>42</v>
      </c>
      <c r="I4185">
        <v>16.619</v>
      </c>
      <c r="J4185">
        <v>39.381</v>
      </c>
      <c r="K4185">
        <v>22.761900000000001</v>
      </c>
      <c r="L4185">
        <v>40</v>
      </c>
      <c r="M4185">
        <v>0</v>
      </c>
      <c r="N4185">
        <v>2</v>
      </c>
      <c r="O4185">
        <v>39.961599999999997</v>
      </c>
      <c r="P4185">
        <v>22.7502</v>
      </c>
      <c r="Q4185">
        <v>9.0234799999999993</v>
      </c>
    </row>
    <row r="4186" spans="1:17" x14ac:dyDescent="0.25">
      <c r="A4186">
        <f>IF(C4186&amp;G4186&amp;D4186&lt;&gt;'Funnel setup'!$K$3&amp;'Funnel setup'!$K$4&amp;'Funnel setup'!$K$6,".",IF(A4185=".",1,A4185+1))</f>
        <v>3</v>
      </c>
      <c r="B4186" s="244" t="str">
        <f t="shared" si="65"/>
        <v>Total Hip ReplacementProviderALEXANDRA HOSPITAL (NT401)Oxford Hip Score</v>
      </c>
      <c r="C4186" t="s">
        <v>974</v>
      </c>
      <c r="D4186" t="s">
        <v>965</v>
      </c>
      <c r="E4186" t="s">
        <v>130</v>
      </c>
      <c r="F4186" t="s">
        <v>131</v>
      </c>
      <c r="G4186" t="s">
        <v>964</v>
      </c>
      <c r="H4186">
        <v>30</v>
      </c>
      <c r="I4186">
        <v>18.7</v>
      </c>
      <c r="J4186">
        <v>42.133299999999998</v>
      </c>
      <c r="K4186">
        <v>23.433299999999999</v>
      </c>
      <c r="L4186">
        <v>30</v>
      </c>
      <c r="M4186">
        <v>0</v>
      </c>
      <c r="N4186">
        <v>0</v>
      </c>
      <c r="O4186">
        <v>40.639600000000002</v>
      </c>
      <c r="P4186">
        <v>23.428100000000001</v>
      </c>
      <c r="Q4186">
        <v>6.1445400000000001</v>
      </c>
    </row>
    <row r="4187" spans="1:17" x14ac:dyDescent="0.25">
      <c r="A4187">
        <f>IF(C4187&amp;G4187&amp;D4187&lt;&gt;'Funnel setup'!$K$3&amp;'Funnel setup'!$K$4&amp;'Funnel setup'!$K$6,".",IF(A4186=".",1,A4186+1))</f>
        <v>4</v>
      </c>
      <c r="B4187" s="244" t="str">
        <f t="shared" si="65"/>
        <v>Total Hip ReplacementProviderASHFORD AND ST PETER'S HOSPITALS NHS FOUNDATION TRUST (RTK)Oxford Hip Score</v>
      </c>
      <c r="C4187" t="s">
        <v>974</v>
      </c>
      <c r="D4187" t="s">
        <v>965</v>
      </c>
      <c r="E4187" t="s">
        <v>132</v>
      </c>
      <c r="F4187" t="s">
        <v>133</v>
      </c>
      <c r="G4187" t="s">
        <v>964</v>
      </c>
      <c r="H4187">
        <v>68</v>
      </c>
      <c r="I4187">
        <v>18.720600000000001</v>
      </c>
      <c r="J4187">
        <v>41.985300000000002</v>
      </c>
      <c r="K4187">
        <v>23.264700000000001</v>
      </c>
      <c r="L4187">
        <v>67</v>
      </c>
      <c r="M4187">
        <v>1</v>
      </c>
      <c r="N4187">
        <v>0</v>
      </c>
      <c r="O4187">
        <v>40.5137</v>
      </c>
      <c r="P4187">
        <v>23.302299999999999</v>
      </c>
      <c r="Q4187">
        <v>6.2040699999999998</v>
      </c>
    </row>
    <row r="4188" spans="1:17" x14ac:dyDescent="0.25">
      <c r="A4188">
        <f>IF(C4188&amp;G4188&amp;D4188&lt;&gt;'Funnel setup'!$K$3&amp;'Funnel setup'!$K$4&amp;'Funnel setup'!$K$6,".",IF(A4187=".",1,A4187+1))</f>
        <v>5</v>
      </c>
      <c r="B4188" s="244" t="str">
        <f t="shared" si="65"/>
        <v>Total Hip ReplacementProviderASHTEAD HOSPITAL (NVC01)Oxford Hip Score</v>
      </c>
      <c r="C4188" t="s">
        <v>974</v>
      </c>
      <c r="D4188" t="s">
        <v>965</v>
      </c>
      <c r="E4188" t="s">
        <v>134</v>
      </c>
      <c r="F4188" t="s">
        <v>135</v>
      </c>
      <c r="G4188" t="s">
        <v>964</v>
      </c>
      <c r="H4188">
        <v>12</v>
      </c>
      <c r="I4188">
        <v>20.083300000000001</v>
      </c>
      <c r="J4188">
        <v>44.333300000000001</v>
      </c>
      <c r="K4188">
        <v>24.25</v>
      </c>
      <c r="L4188">
        <v>12</v>
      </c>
      <c r="M4188">
        <v>0</v>
      </c>
      <c r="N4188">
        <v>0</v>
      </c>
      <c r="O4188" t="s">
        <v>127</v>
      </c>
      <c r="P4188" t="s">
        <v>127</v>
      </c>
      <c r="Q4188" t="s">
        <v>127</v>
      </c>
    </row>
    <row r="4189" spans="1:17" x14ac:dyDescent="0.25">
      <c r="A4189">
        <f>IF(C4189&amp;G4189&amp;D4189&lt;&gt;'Funnel setup'!$K$3&amp;'Funnel setup'!$K$4&amp;'Funnel setup'!$K$6,".",IF(A4188=".",1,A4188+1))</f>
        <v>6</v>
      </c>
      <c r="B4189" s="244" t="str">
        <f t="shared" si="65"/>
        <v>Total Hip ReplacementProviderBARKING, HAVERING AND REDBRIDGE UNIVERSITY HOSPITALS NHS TRUST (RF4)Oxford Hip Score</v>
      </c>
      <c r="C4189" t="s">
        <v>974</v>
      </c>
      <c r="D4189" t="s">
        <v>965</v>
      </c>
      <c r="E4189" t="s">
        <v>144</v>
      </c>
      <c r="F4189" t="s">
        <v>145</v>
      </c>
      <c r="G4189" t="s">
        <v>964</v>
      </c>
      <c r="H4189">
        <v>57</v>
      </c>
      <c r="I4189">
        <v>12.807</v>
      </c>
      <c r="J4189">
        <v>34.280700000000003</v>
      </c>
      <c r="K4189">
        <v>21.473700000000001</v>
      </c>
      <c r="L4189">
        <v>57</v>
      </c>
      <c r="M4189">
        <v>0</v>
      </c>
      <c r="N4189">
        <v>0</v>
      </c>
      <c r="O4189">
        <v>36.7502</v>
      </c>
      <c r="P4189">
        <v>19.538699999999999</v>
      </c>
      <c r="Q4189">
        <v>9.7624200000000005</v>
      </c>
    </row>
    <row r="4190" spans="1:17" x14ac:dyDescent="0.25">
      <c r="A4190">
        <f>IF(C4190&amp;G4190&amp;D4190&lt;&gt;'Funnel setup'!$K$3&amp;'Funnel setup'!$K$4&amp;'Funnel setup'!$K$6,".",IF(A4189=".",1,A4189+1))</f>
        <v>7</v>
      </c>
      <c r="B4190" s="244" t="str">
        <f t="shared" si="65"/>
        <v>Total Hip ReplacementProviderBARNSLEY HOSPITAL NHS FOUNDATION TRUST (RFF)Oxford Hip Score</v>
      </c>
      <c r="C4190" t="s">
        <v>974</v>
      </c>
      <c r="D4190" t="s">
        <v>965</v>
      </c>
      <c r="E4190" t="s">
        <v>146</v>
      </c>
      <c r="F4190" t="s">
        <v>147</v>
      </c>
      <c r="G4190" t="s">
        <v>964</v>
      </c>
      <c r="H4190">
        <v>45</v>
      </c>
      <c r="I4190">
        <v>14.3111</v>
      </c>
      <c r="J4190">
        <v>35.977800000000002</v>
      </c>
      <c r="K4190">
        <v>21.666699999999999</v>
      </c>
      <c r="L4190">
        <v>43</v>
      </c>
      <c r="M4190">
        <v>0</v>
      </c>
      <c r="N4190">
        <v>2</v>
      </c>
      <c r="O4190">
        <v>38.479500000000002</v>
      </c>
      <c r="P4190">
        <v>21.2681</v>
      </c>
      <c r="Q4190">
        <v>8.7171900000000004</v>
      </c>
    </row>
    <row r="4191" spans="1:17" x14ac:dyDescent="0.25">
      <c r="A4191">
        <f>IF(C4191&amp;G4191&amp;D4191&lt;&gt;'Funnel setup'!$K$3&amp;'Funnel setup'!$K$4&amp;'Funnel setup'!$K$6,".",IF(A4190=".",1,A4190+1))</f>
        <v>8</v>
      </c>
      <c r="B4191" s="244" t="str">
        <f t="shared" si="65"/>
        <v>Total Hip ReplacementProviderBARTS HEALTH NHS TRUST (R1H)Oxford Hip Score</v>
      </c>
      <c r="C4191" t="s">
        <v>974</v>
      </c>
      <c r="D4191" t="s">
        <v>965</v>
      </c>
      <c r="E4191" t="s">
        <v>148</v>
      </c>
      <c r="F4191" t="s">
        <v>149</v>
      </c>
      <c r="G4191" t="s">
        <v>964</v>
      </c>
      <c r="H4191">
        <v>41</v>
      </c>
      <c r="I4191">
        <v>18.2683</v>
      </c>
      <c r="J4191">
        <v>38.0732</v>
      </c>
      <c r="K4191">
        <v>19.8049</v>
      </c>
      <c r="L4191">
        <v>40</v>
      </c>
      <c r="M4191">
        <v>0</v>
      </c>
      <c r="N4191">
        <v>1</v>
      </c>
      <c r="O4191">
        <v>38.071199999999997</v>
      </c>
      <c r="P4191">
        <v>20.8598</v>
      </c>
      <c r="Q4191">
        <v>8.3608600000000006</v>
      </c>
    </row>
    <row r="4192" spans="1:17" x14ac:dyDescent="0.25">
      <c r="A4192">
        <f>IF(C4192&amp;G4192&amp;D4192&lt;&gt;'Funnel setup'!$K$3&amp;'Funnel setup'!$K$4&amp;'Funnel setup'!$K$6,".",IF(A4191=".",1,A4191+1))</f>
        <v>9</v>
      </c>
      <c r="B4192" s="244" t="str">
        <f t="shared" si="65"/>
        <v>Total Hip ReplacementProviderBATH CLINIC (NT402)Oxford Hip Score</v>
      </c>
      <c r="C4192" t="s">
        <v>974</v>
      </c>
      <c r="D4192" t="s">
        <v>965</v>
      </c>
      <c r="E4192" t="s">
        <v>152</v>
      </c>
      <c r="F4192" t="s">
        <v>153</v>
      </c>
      <c r="G4192" t="s">
        <v>964</v>
      </c>
      <c r="H4192">
        <v>79</v>
      </c>
      <c r="I4192">
        <v>17.518999999999998</v>
      </c>
      <c r="J4192">
        <v>42.113900000000001</v>
      </c>
      <c r="K4192">
        <v>24.594899999999999</v>
      </c>
      <c r="L4192">
        <v>78</v>
      </c>
      <c r="M4192">
        <v>0</v>
      </c>
      <c r="N4192">
        <v>1</v>
      </c>
      <c r="O4192">
        <v>38.880800000000001</v>
      </c>
      <c r="P4192">
        <v>21.6694</v>
      </c>
      <c r="Q4192">
        <v>7.6151</v>
      </c>
    </row>
    <row r="4193" spans="1:17" x14ac:dyDescent="0.25">
      <c r="A4193">
        <f>IF(C4193&amp;G4193&amp;D4193&lt;&gt;'Funnel setup'!$K$3&amp;'Funnel setup'!$K$4&amp;'Funnel setup'!$K$6,".",IF(A4192=".",1,A4192+1))</f>
        <v>10</v>
      </c>
      <c r="B4193" s="244" t="str">
        <f t="shared" si="65"/>
        <v>Total Hip ReplacementProviderBEARDWOOD HOSPITAL (NT403)Oxford Hip Score</v>
      </c>
      <c r="C4193" t="s">
        <v>974</v>
      </c>
      <c r="D4193" t="s">
        <v>965</v>
      </c>
      <c r="E4193" t="s">
        <v>154</v>
      </c>
      <c r="F4193" t="s">
        <v>155</v>
      </c>
      <c r="G4193" t="s">
        <v>964</v>
      </c>
      <c r="H4193">
        <v>86</v>
      </c>
      <c r="I4193">
        <v>19.2791</v>
      </c>
      <c r="J4193">
        <v>41.7791</v>
      </c>
      <c r="K4193">
        <v>22.5</v>
      </c>
      <c r="L4193">
        <v>83</v>
      </c>
      <c r="M4193">
        <v>1</v>
      </c>
      <c r="N4193">
        <v>2</v>
      </c>
      <c r="O4193">
        <v>40.052100000000003</v>
      </c>
      <c r="P4193">
        <v>22.840599999999998</v>
      </c>
      <c r="Q4193">
        <v>6.8842800000000004</v>
      </c>
    </row>
    <row r="4194" spans="1:17" x14ac:dyDescent="0.25">
      <c r="A4194">
        <f>IF(C4194&amp;G4194&amp;D4194&lt;&gt;'Funnel setup'!$K$3&amp;'Funnel setup'!$K$4&amp;'Funnel setup'!$K$6,".",IF(A4193=".",1,A4193+1))</f>
        <v>11</v>
      </c>
      <c r="B4194" s="244" t="str">
        <f t="shared" si="65"/>
        <v>Total Hip ReplacementProviderBEAUMONT HOSPITAL (NT404)Oxford Hip Score</v>
      </c>
      <c r="C4194" t="s">
        <v>974</v>
      </c>
      <c r="D4194" t="s">
        <v>965</v>
      </c>
      <c r="E4194" t="s">
        <v>156</v>
      </c>
      <c r="F4194" t="s">
        <v>157</v>
      </c>
      <c r="G4194" t="s">
        <v>964</v>
      </c>
      <c r="H4194">
        <v>15</v>
      </c>
      <c r="I4194">
        <v>19.866700000000002</v>
      </c>
      <c r="J4194">
        <v>43.2</v>
      </c>
      <c r="K4194">
        <v>23.333300000000001</v>
      </c>
      <c r="L4194">
        <v>15</v>
      </c>
      <c r="M4194">
        <v>0</v>
      </c>
      <c r="N4194">
        <v>0</v>
      </c>
      <c r="O4194" t="s">
        <v>127</v>
      </c>
      <c r="P4194" t="s">
        <v>127</v>
      </c>
      <c r="Q4194" t="s">
        <v>127</v>
      </c>
    </row>
    <row r="4195" spans="1:17" x14ac:dyDescent="0.25">
      <c r="A4195">
        <f>IF(C4195&amp;G4195&amp;D4195&lt;&gt;'Funnel setup'!$K$3&amp;'Funnel setup'!$K$4&amp;'Funnel setup'!$K$6,".",IF(A4194=".",1,A4194+1))</f>
        <v>12</v>
      </c>
      <c r="B4195" s="244" t="str">
        <f t="shared" si="65"/>
        <v>Total Hip ReplacementProviderBEDFORDSHIRE HOSPITALS NHS FOUNDATION TRUST (RC9)Oxford Hip Score</v>
      </c>
      <c r="C4195" t="s">
        <v>974</v>
      </c>
      <c r="D4195" t="s">
        <v>965</v>
      </c>
      <c r="E4195" t="s">
        <v>158</v>
      </c>
      <c r="F4195" t="s">
        <v>159</v>
      </c>
      <c r="G4195" t="s">
        <v>964</v>
      </c>
      <c r="H4195">
        <v>131</v>
      </c>
      <c r="I4195">
        <v>15.6183</v>
      </c>
      <c r="J4195">
        <v>36.961799999999997</v>
      </c>
      <c r="K4195">
        <v>21.343499999999999</v>
      </c>
      <c r="L4195">
        <v>126</v>
      </c>
      <c r="M4195">
        <v>0</v>
      </c>
      <c r="N4195">
        <v>5</v>
      </c>
      <c r="O4195">
        <v>37.973199999999999</v>
      </c>
      <c r="P4195">
        <v>20.761800000000001</v>
      </c>
      <c r="Q4195">
        <v>9.4748599999999996</v>
      </c>
    </row>
    <row r="4196" spans="1:17" x14ac:dyDescent="0.25">
      <c r="A4196">
        <f>IF(C4196&amp;G4196&amp;D4196&lt;&gt;'Funnel setup'!$K$3&amp;'Funnel setup'!$K$4&amp;'Funnel setup'!$K$6,".",IF(A4195=".",1,A4195+1))</f>
        <v>13</v>
      </c>
      <c r="B4196" s="244" t="str">
        <f t="shared" si="65"/>
        <v>Total Hip ReplacementProviderBENENDEN HOSPITAL (NWF01)Oxford Hip Score</v>
      </c>
      <c r="C4196" t="s">
        <v>974</v>
      </c>
      <c r="D4196" t="s">
        <v>965</v>
      </c>
      <c r="E4196" t="s">
        <v>160</v>
      </c>
      <c r="F4196" t="s">
        <v>161</v>
      </c>
      <c r="G4196" t="s">
        <v>964</v>
      </c>
      <c r="H4196">
        <v>20</v>
      </c>
      <c r="I4196">
        <v>19.149999999999999</v>
      </c>
      <c r="J4196">
        <v>39.299999999999997</v>
      </c>
      <c r="K4196">
        <v>20.149999999999999</v>
      </c>
      <c r="L4196">
        <v>20</v>
      </c>
      <c r="M4196">
        <v>0</v>
      </c>
      <c r="N4196">
        <v>0</v>
      </c>
      <c r="O4196" t="s">
        <v>127</v>
      </c>
      <c r="P4196" t="s">
        <v>127</v>
      </c>
      <c r="Q4196" t="s">
        <v>127</v>
      </c>
    </row>
    <row r="4197" spans="1:17" x14ac:dyDescent="0.25">
      <c r="A4197">
        <f>IF(C4197&amp;G4197&amp;D4197&lt;&gt;'Funnel setup'!$K$3&amp;'Funnel setup'!$K$4&amp;'Funnel setup'!$K$6,".",IF(A4196=".",1,A4196+1))</f>
        <v>14</v>
      </c>
      <c r="B4197" s="244" t="str">
        <f t="shared" si="65"/>
        <v>Total Hip ReplacementProviderBISHOPS WOOD HOSPITAL (NT405)Oxford Hip Score</v>
      </c>
      <c r="C4197" t="s">
        <v>974</v>
      </c>
      <c r="D4197" t="s">
        <v>965</v>
      </c>
      <c r="E4197" t="s">
        <v>166</v>
      </c>
      <c r="F4197" t="s">
        <v>167</v>
      </c>
      <c r="G4197" t="s">
        <v>964</v>
      </c>
      <c r="H4197">
        <v>4</v>
      </c>
      <c r="I4197">
        <v>23.25</v>
      </c>
      <c r="J4197">
        <v>39.75</v>
      </c>
      <c r="K4197">
        <v>16.5</v>
      </c>
      <c r="L4197">
        <v>4</v>
      </c>
      <c r="M4197">
        <v>0</v>
      </c>
      <c r="N4197">
        <v>0</v>
      </c>
      <c r="O4197" t="s">
        <v>127</v>
      </c>
      <c r="P4197" t="s">
        <v>127</v>
      </c>
      <c r="Q4197" t="s">
        <v>127</v>
      </c>
    </row>
    <row r="4198" spans="1:17" x14ac:dyDescent="0.25">
      <c r="A4198">
        <f>IF(C4198&amp;G4198&amp;D4198&lt;&gt;'Funnel setup'!$K$3&amp;'Funnel setup'!$K$4&amp;'Funnel setup'!$K$6,".",IF(A4197=".",1,A4197+1))</f>
        <v>15</v>
      </c>
      <c r="B4198" s="244" t="str">
        <f t="shared" si="65"/>
        <v>Total Hip ReplacementProviderBLACKHEATH HOSPITAL (NT406)Oxford Hip Score</v>
      </c>
      <c r="C4198" t="s">
        <v>974</v>
      </c>
      <c r="D4198" t="s">
        <v>965</v>
      </c>
      <c r="E4198" t="s">
        <v>168</v>
      </c>
      <c r="F4198" t="s">
        <v>169</v>
      </c>
      <c r="G4198" t="s">
        <v>964</v>
      </c>
      <c r="H4198">
        <v>14</v>
      </c>
      <c r="I4198">
        <v>17.214300000000001</v>
      </c>
      <c r="J4198">
        <v>40.642899999999997</v>
      </c>
      <c r="K4198">
        <v>23.428599999999999</v>
      </c>
      <c r="L4198">
        <v>13</v>
      </c>
      <c r="M4198">
        <v>0</v>
      </c>
      <c r="N4198">
        <v>1</v>
      </c>
      <c r="O4198" t="s">
        <v>127</v>
      </c>
      <c r="P4198" t="s">
        <v>127</v>
      </c>
      <c r="Q4198" t="s">
        <v>127</v>
      </c>
    </row>
    <row r="4199" spans="1:17" x14ac:dyDescent="0.25">
      <c r="A4199">
        <f>IF(C4199&amp;G4199&amp;D4199&lt;&gt;'Funnel setup'!$K$3&amp;'Funnel setup'!$K$4&amp;'Funnel setup'!$K$6,".",IF(A4198=".",1,A4198+1))</f>
        <v>16</v>
      </c>
      <c r="B4199" s="244" t="str">
        <f t="shared" si="65"/>
        <v>Total Hip ReplacementProviderBLACKPOOL TEACHING HOSPITALS NHS FOUNDATION TRUST (RXL)Oxford Hip Score</v>
      </c>
      <c r="C4199" t="s">
        <v>974</v>
      </c>
      <c r="D4199" t="s">
        <v>965</v>
      </c>
      <c r="E4199" t="s">
        <v>170</v>
      </c>
      <c r="F4199" t="s">
        <v>171</v>
      </c>
      <c r="G4199" t="s">
        <v>964</v>
      </c>
      <c r="H4199">
        <v>56</v>
      </c>
      <c r="I4199">
        <v>19.660699999999999</v>
      </c>
      <c r="J4199">
        <v>36.464300000000001</v>
      </c>
      <c r="K4199">
        <v>16.803599999999999</v>
      </c>
      <c r="L4199">
        <v>53</v>
      </c>
      <c r="M4199">
        <v>0</v>
      </c>
      <c r="N4199">
        <v>3</v>
      </c>
      <c r="O4199">
        <v>37.186300000000003</v>
      </c>
      <c r="P4199">
        <v>19.974900000000002</v>
      </c>
      <c r="Q4199">
        <v>8.5836199999999998</v>
      </c>
    </row>
    <row r="4200" spans="1:17" x14ac:dyDescent="0.25">
      <c r="A4200">
        <f>IF(C4200&amp;G4200&amp;D4200&lt;&gt;'Funnel setup'!$K$3&amp;'Funnel setup'!$K$4&amp;'Funnel setup'!$K$6,".",IF(A4199=".",1,A4199+1))</f>
        <v>17</v>
      </c>
      <c r="B4200" s="244" t="str">
        <f t="shared" si="65"/>
        <v>Total Hip ReplacementProviderBOLTON NHS FOUNDATION TRUST (RMC)Oxford Hip Score</v>
      </c>
      <c r="C4200" t="s">
        <v>974</v>
      </c>
      <c r="D4200" t="s">
        <v>965</v>
      </c>
      <c r="E4200" t="s">
        <v>172</v>
      </c>
      <c r="F4200" t="s">
        <v>173</v>
      </c>
      <c r="G4200" t="s">
        <v>964</v>
      </c>
      <c r="H4200">
        <v>44</v>
      </c>
      <c r="I4200">
        <v>15.931800000000001</v>
      </c>
      <c r="J4200">
        <v>37.181800000000003</v>
      </c>
      <c r="K4200">
        <v>21.25</v>
      </c>
      <c r="L4200">
        <v>44</v>
      </c>
      <c r="M4200">
        <v>0</v>
      </c>
      <c r="N4200">
        <v>0</v>
      </c>
      <c r="O4200">
        <v>39.593200000000003</v>
      </c>
      <c r="P4200">
        <v>22.381799999999998</v>
      </c>
      <c r="Q4200">
        <v>8.6106300000000005</v>
      </c>
    </row>
    <row r="4201" spans="1:17" x14ac:dyDescent="0.25">
      <c r="A4201">
        <f>IF(C4201&amp;G4201&amp;D4201&lt;&gt;'Funnel setup'!$K$3&amp;'Funnel setup'!$K$4&amp;'Funnel setup'!$K$6,".",IF(A4200=".",1,A4200+1))</f>
        <v>18</v>
      </c>
      <c r="B4201" s="244" t="str">
        <f t="shared" si="65"/>
        <v>Total Hip ReplacementProviderBRADFORD TEACHING HOSPITALS NHS FOUNDATION TRUST (RAE)Oxford Hip Score</v>
      </c>
      <c r="C4201" t="s">
        <v>974</v>
      </c>
      <c r="D4201" t="s">
        <v>965</v>
      </c>
      <c r="E4201" t="s">
        <v>174</v>
      </c>
      <c r="F4201" t="s">
        <v>175</v>
      </c>
      <c r="G4201" t="s">
        <v>964</v>
      </c>
      <c r="H4201">
        <v>4</v>
      </c>
      <c r="I4201">
        <v>11.25</v>
      </c>
      <c r="J4201">
        <v>40.75</v>
      </c>
      <c r="K4201">
        <v>29.5</v>
      </c>
      <c r="L4201">
        <v>4</v>
      </c>
      <c r="M4201">
        <v>0</v>
      </c>
      <c r="N4201">
        <v>0</v>
      </c>
      <c r="O4201" t="s">
        <v>127</v>
      </c>
      <c r="P4201" t="s">
        <v>127</v>
      </c>
      <c r="Q4201" t="s">
        <v>127</v>
      </c>
    </row>
    <row r="4202" spans="1:17" x14ac:dyDescent="0.25">
      <c r="A4202">
        <f>IF(C4202&amp;G4202&amp;D4202&lt;&gt;'Funnel setup'!$K$3&amp;'Funnel setup'!$K$4&amp;'Funnel setup'!$K$6,".",IF(A4201=".",1,A4201+1))</f>
        <v>19</v>
      </c>
      <c r="B4202" s="244" t="str">
        <f t="shared" si="65"/>
        <v>Total Hip ReplacementProviderBUCKINGHAMSHIRE HEALTHCARE NHS TRUST (RXQ)Oxford Hip Score</v>
      </c>
      <c r="C4202" t="s">
        <v>974</v>
      </c>
      <c r="D4202" t="s">
        <v>965</v>
      </c>
      <c r="E4202" t="s">
        <v>178</v>
      </c>
      <c r="F4202" t="s">
        <v>179</v>
      </c>
      <c r="G4202" t="s">
        <v>964</v>
      </c>
      <c r="H4202">
        <v>97</v>
      </c>
      <c r="I4202">
        <v>15.793799999999999</v>
      </c>
      <c r="J4202">
        <v>36.8247</v>
      </c>
      <c r="K4202">
        <v>21.030899999999999</v>
      </c>
      <c r="L4202">
        <v>90</v>
      </c>
      <c r="M4202">
        <v>0</v>
      </c>
      <c r="N4202">
        <v>7</v>
      </c>
      <c r="O4202">
        <v>37.559699999999999</v>
      </c>
      <c r="P4202">
        <v>20.348299999999998</v>
      </c>
      <c r="Q4202">
        <v>10.2143</v>
      </c>
    </row>
    <row r="4203" spans="1:17" x14ac:dyDescent="0.25">
      <c r="A4203">
        <f>IF(C4203&amp;G4203&amp;D4203&lt;&gt;'Funnel setup'!$K$3&amp;'Funnel setup'!$K$4&amp;'Funnel setup'!$K$6,".",IF(A4202=".",1,A4202+1))</f>
        <v>20</v>
      </c>
      <c r="B4203" s="244" t="str">
        <f t="shared" si="65"/>
        <v>Total Hip ReplacementProviderCALDERDALE AND HUDDERSFIELD NHS FOUNDATION TRUST (RWY)Oxford Hip Score</v>
      </c>
      <c r="C4203" t="s">
        <v>974</v>
      </c>
      <c r="D4203" t="s">
        <v>965</v>
      </c>
      <c r="E4203" t="s">
        <v>180</v>
      </c>
      <c r="F4203" t="s">
        <v>181</v>
      </c>
      <c r="G4203" t="s">
        <v>964</v>
      </c>
      <c r="H4203">
        <v>104</v>
      </c>
      <c r="I4203">
        <v>17.567299999999999</v>
      </c>
      <c r="J4203">
        <v>40</v>
      </c>
      <c r="K4203">
        <v>22.432700000000001</v>
      </c>
      <c r="L4203">
        <v>102</v>
      </c>
      <c r="M4203">
        <v>2</v>
      </c>
      <c r="N4203">
        <v>0</v>
      </c>
      <c r="O4203">
        <v>40.767899999999997</v>
      </c>
      <c r="P4203">
        <v>23.5565</v>
      </c>
      <c r="Q4203">
        <v>7.5259200000000002</v>
      </c>
    </row>
    <row r="4204" spans="1:17" x14ac:dyDescent="0.25">
      <c r="A4204">
        <f>IF(C4204&amp;G4204&amp;D4204&lt;&gt;'Funnel setup'!$K$3&amp;'Funnel setup'!$K$4&amp;'Funnel setup'!$K$6,".",IF(A4203=".",1,A4203+1))</f>
        <v>21</v>
      </c>
      <c r="B4204" s="244" t="str">
        <f t="shared" si="65"/>
        <v>Total Hip ReplacementProviderCAMBRIDGE UNIVERSITY HOSPITALS NHS FOUNDATION TRUST (RGT)Oxford Hip Score</v>
      </c>
      <c r="C4204" t="s">
        <v>974</v>
      </c>
      <c r="D4204" t="s">
        <v>965</v>
      </c>
      <c r="E4204" t="s">
        <v>182</v>
      </c>
      <c r="F4204" t="s">
        <v>183</v>
      </c>
      <c r="G4204" t="s">
        <v>964</v>
      </c>
      <c r="H4204">
        <v>79</v>
      </c>
      <c r="I4204">
        <v>14.759499999999999</v>
      </c>
      <c r="J4204">
        <v>38.759500000000003</v>
      </c>
      <c r="K4204">
        <v>24</v>
      </c>
      <c r="L4204">
        <v>77</v>
      </c>
      <c r="M4204">
        <v>2</v>
      </c>
      <c r="N4204">
        <v>0</v>
      </c>
      <c r="O4204">
        <v>41.0839</v>
      </c>
      <c r="P4204">
        <v>23.872399999999999</v>
      </c>
      <c r="Q4204">
        <v>7.62988</v>
      </c>
    </row>
    <row r="4205" spans="1:17" x14ac:dyDescent="0.25">
      <c r="A4205">
        <f>IF(C4205&amp;G4205&amp;D4205&lt;&gt;'Funnel setup'!$K$3&amp;'Funnel setup'!$K$4&amp;'Funnel setup'!$K$6,".",IF(A4204=".",1,A4204+1))</f>
        <v>22</v>
      </c>
      <c r="B4205" s="244" t="str">
        <f t="shared" si="65"/>
        <v>Total Hip ReplacementProviderCAVELL HOSPITAL (NT451)Oxford Hip Score</v>
      </c>
      <c r="C4205" t="s">
        <v>974</v>
      </c>
      <c r="D4205" t="s">
        <v>965</v>
      </c>
      <c r="E4205" t="s">
        <v>184</v>
      </c>
      <c r="F4205" t="s">
        <v>185</v>
      </c>
      <c r="G4205" t="s">
        <v>964</v>
      </c>
      <c r="H4205">
        <v>17</v>
      </c>
      <c r="I4205">
        <v>17.588200000000001</v>
      </c>
      <c r="J4205">
        <v>41.411799999999999</v>
      </c>
      <c r="K4205">
        <v>23.823499999999999</v>
      </c>
      <c r="L4205">
        <v>17</v>
      </c>
      <c r="M4205">
        <v>0</v>
      </c>
      <c r="N4205">
        <v>0</v>
      </c>
      <c r="O4205" t="s">
        <v>127</v>
      </c>
      <c r="P4205" t="s">
        <v>127</v>
      </c>
      <c r="Q4205" t="s">
        <v>127</v>
      </c>
    </row>
    <row r="4206" spans="1:17" x14ac:dyDescent="0.25">
      <c r="A4206">
        <f>IF(C4206&amp;G4206&amp;D4206&lt;&gt;'Funnel setup'!$K$3&amp;'Funnel setup'!$K$4&amp;'Funnel setup'!$K$6,".",IF(A4205=".",1,A4205+1))</f>
        <v>23</v>
      </c>
      <c r="B4206" s="244" t="str">
        <f t="shared" si="65"/>
        <v>Total Hip ReplacementProviderCHAUCER HOSPITAL (NT408)Oxford Hip Score</v>
      </c>
      <c r="C4206" t="s">
        <v>974</v>
      </c>
      <c r="D4206" t="s">
        <v>965</v>
      </c>
      <c r="E4206" t="s">
        <v>186</v>
      </c>
      <c r="F4206" t="s">
        <v>187</v>
      </c>
      <c r="G4206" t="s">
        <v>964</v>
      </c>
      <c r="H4206">
        <v>31</v>
      </c>
      <c r="I4206">
        <v>18.645199999999999</v>
      </c>
      <c r="J4206">
        <v>42.258099999999999</v>
      </c>
      <c r="K4206">
        <v>23.6129</v>
      </c>
      <c r="L4206">
        <v>30</v>
      </c>
      <c r="M4206">
        <v>1</v>
      </c>
      <c r="N4206">
        <v>0</v>
      </c>
      <c r="O4206">
        <v>39.7453</v>
      </c>
      <c r="P4206">
        <v>22.533899999999999</v>
      </c>
      <c r="Q4206">
        <v>6.7716799999999999</v>
      </c>
    </row>
    <row r="4207" spans="1:17" x14ac:dyDescent="0.25">
      <c r="A4207">
        <f>IF(C4207&amp;G4207&amp;D4207&lt;&gt;'Funnel setup'!$K$3&amp;'Funnel setup'!$K$4&amp;'Funnel setup'!$K$6,".",IF(A4206=".",1,A4206+1))</f>
        <v>24</v>
      </c>
      <c r="B4207" s="244" t="str">
        <f t="shared" si="65"/>
        <v>Total Hip ReplacementProviderCHELSEA AND WESTMINSTER HOSPITAL NHS FOUNDATION TRUST (RQM)Oxford Hip Score</v>
      </c>
      <c r="C4207" t="s">
        <v>974</v>
      </c>
      <c r="D4207" t="s">
        <v>965</v>
      </c>
      <c r="E4207" t="s">
        <v>188</v>
      </c>
      <c r="F4207" t="s">
        <v>189</v>
      </c>
      <c r="G4207" t="s">
        <v>964</v>
      </c>
      <c r="H4207">
        <v>19</v>
      </c>
      <c r="I4207">
        <v>15</v>
      </c>
      <c r="J4207">
        <v>40.421100000000003</v>
      </c>
      <c r="K4207">
        <v>25.421099999999999</v>
      </c>
      <c r="L4207">
        <v>19</v>
      </c>
      <c r="M4207">
        <v>0</v>
      </c>
      <c r="N4207">
        <v>0</v>
      </c>
      <c r="O4207" t="s">
        <v>127</v>
      </c>
      <c r="P4207" t="s">
        <v>127</v>
      </c>
      <c r="Q4207" t="s">
        <v>127</v>
      </c>
    </row>
    <row r="4208" spans="1:17" x14ac:dyDescent="0.25">
      <c r="A4208">
        <f>IF(C4208&amp;G4208&amp;D4208&lt;&gt;'Funnel setup'!$K$3&amp;'Funnel setup'!$K$4&amp;'Funnel setup'!$K$6,".",IF(A4207=".",1,A4207+1))</f>
        <v>25</v>
      </c>
      <c r="B4208" s="244" t="str">
        <f t="shared" si="65"/>
        <v>Total Hip ReplacementProviderCHELSFIELD PARK HOSPITAL (NT409)Oxford Hip Score</v>
      </c>
      <c r="C4208" t="s">
        <v>974</v>
      </c>
      <c r="D4208" t="s">
        <v>965</v>
      </c>
      <c r="E4208" t="s">
        <v>190</v>
      </c>
      <c r="F4208" t="s">
        <v>191</v>
      </c>
      <c r="G4208" t="s">
        <v>964</v>
      </c>
      <c r="H4208">
        <v>34</v>
      </c>
      <c r="I4208">
        <v>21.176500000000001</v>
      </c>
      <c r="J4208">
        <v>42.529400000000003</v>
      </c>
      <c r="K4208">
        <v>21.352900000000002</v>
      </c>
      <c r="L4208">
        <v>34</v>
      </c>
      <c r="M4208">
        <v>0</v>
      </c>
      <c r="N4208">
        <v>0</v>
      </c>
      <c r="O4208">
        <v>39.248199999999997</v>
      </c>
      <c r="P4208">
        <v>22.036799999999999</v>
      </c>
      <c r="Q4208">
        <v>8.1075900000000001</v>
      </c>
    </row>
    <row r="4209" spans="1:17" x14ac:dyDescent="0.25">
      <c r="A4209">
        <f>IF(C4209&amp;G4209&amp;D4209&lt;&gt;'Funnel setup'!$K$3&amp;'Funnel setup'!$K$4&amp;'Funnel setup'!$K$6,".",IF(A4208=".",1,A4208+1))</f>
        <v>26</v>
      </c>
      <c r="B4209" s="244" t="str">
        <f t="shared" si="65"/>
        <v>Total Hip ReplacementProviderCHESTERFIELD ROYAL HOSPITAL NHS FOUNDATION TRUST (RFS)Oxford Hip Score</v>
      </c>
      <c r="C4209" t="s">
        <v>974</v>
      </c>
      <c r="D4209" t="s">
        <v>965</v>
      </c>
      <c r="E4209" t="s">
        <v>192</v>
      </c>
      <c r="F4209" t="s">
        <v>193</v>
      </c>
      <c r="G4209" t="s">
        <v>964</v>
      </c>
      <c r="H4209">
        <v>65</v>
      </c>
      <c r="I4209">
        <v>14.553800000000001</v>
      </c>
      <c r="J4209">
        <v>35.907699999999998</v>
      </c>
      <c r="K4209">
        <v>21.3538</v>
      </c>
      <c r="L4209">
        <v>62</v>
      </c>
      <c r="M4209">
        <v>0</v>
      </c>
      <c r="N4209">
        <v>3</v>
      </c>
      <c r="O4209">
        <v>38.571599999999997</v>
      </c>
      <c r="P4209">
        <v>21.360099999999999</v>
      </c>
      <c r="Q4209">
        <v>9.9224999999999994</v>
      </c>
    </row>
    <row r="4210" spans="1:17" x14ac:dyDescent="0.25">
      <c r="A4210">
        <f>IF(C4210&amp;G4210&amp;D4210&lt;&gt;'Funnel setup'!$K$3&amp;'Funnel setup'!$K$4&amp;'Funnel setup'!$K$6,".",IF(A4209=".",1,A4209+1))</f>
        <v>27</v>
      </c>
      <c r="B4210" s="244" t="str">
        <f t="shared" si="65"/>
        <v>Total Hip ReplacementProviderCHILTERN HOSPITAL (NT410)Oxford Hip Score</v>
      </c>
      <c r="C4210" t="s">
        <v>974</v>
      </c>
      <c r="D4210" t="s">
        <v>965</v>
      </c>
      <c r="E4210" t="s">
        <v>194</v>
      </c>
      <c r="F4210" t="s">
        <v>195</v>
      </c>
      <c r="G4210" t="s">
        <v>964</v>
      </c>
      <c r="H4210">
        <v>78</v>
      </c>
      <c r="I4210">
        <v>19.359000000000002</v>
      </c>
      <c r="J4210">
        <v>41.538499999999999</v>
      </c>
      <c r="K4210">
        <v>22.179500000000001</v>
      </c>
      <c r="L4210">
        <v>76</v>
      </c>
      <c r="M4210">
        <v>1</v>
      </c>
      <c r="N4210">
        <v>1</v>
      </c>
      <c r="O4210">
        <v>38.528599999999997</v>
      </c>
      <c r="P4210">
        <v>21.3172</v>
      </c>
      <c r="Q4210">
        <v>6.5716999999999999</v>
      </c>
    </row>
    <row r="4211" spans="1:17" x14ac:dyDescent="0.25">
      <c r="A4211">
        <f>IF(C4211&amp;G4211&amp;D4211&lt;&gt;'Funnel setup'!$K$3&amp;'Funnel setup'!$K$4&amp;'Funnel setup'!$K$6,".",IF(A4210=".",1,A4210+1))</f>
        <v>28</v>
      </c>
      <c r="B4211" s="244" t="str">
        <f t="shared" si="65"/>
        <v>Total Hip ReplacementProviderCIRCLE BATH HOSPITAL (NV302)Oxford Hip Score</v>
      </c>
      <c r="C4211" t="s">
        <v>974</v>
      </c>
      <c r="D4211" t="s">
        <v>965</v>
      </c>
      <c r="E4211" t="s">
        <v>196</v>
      </c>
      <c r="F4211" t="s">
        <v>197</v>
      </c>
      <c r="G4211" t="s">
        <v>964</v>
      </c>
      <c r="H4211">
        <v>12</v>
      </c>
      <c r="I4211">
        <v>23.583300000000001</v>
      </c>
      <c r="J4211">
        <v>45.166699999999999</v>
      </c>
      <c r="K4211">
        <v>21.583300000000001</v>
      </c>
      <c r="L4211">
        <v>12</v>
      </c>
      <c r="M4211">
        <v>0</v>
      </c>
      <c r="N4211">
        <v>0</v>
      </c>
      <c r="O4211" t="s">
        <v>127</v>
      </c>
      <c r="P4211" t="s">
        <v>127</v>
      </c>
      <c r="Q4211" t="s">
        <v>127</v>
      </c>
    </row>
    <row r="4212" spans="1:17" x14ac:dyDescent="0.25">
      <c r="A4212">
        <f>IF(C4212&amp;G4212&amp;D4212&lt;&gt;'Funnel setup'!$K$3&amp;'Funnel setup'!$K$4&amp;'Funnel setup'!$K$6,".",IF(A4211=".",1,A4211+1))</f>
        <v>29</v>
      </c>
      <c r="B4212" s="244" t="str">
        <f t="shared" si="65"/>
        <v>Total Hip ReplacementProviderCIRCLE READING HOSPITAL (NV323)Oxford Hip Score</v>
      </c>
      <c r="C4212" t="s">
        <v>974</v>
      </c>
      <c r="D4212" t="s">
        <v>965</v>
      </c>
      <c r="E4212" t="s">
        <v>198</v>
      </c>
      <c r="F4212" t="s">
        <v>199</v>
      </c>
      <c r="G4212" t="s">
        <v>964</v>
      </c>
      <c r="H4212">
        <v>74</v>
      </c>
      <c r="I4212">
        <v>20.824300000000001</v>
      </c>
      <c r="J4212">
        <v>43.027000000000001</v>
      </c>
      <c r="K4212">
        <v>22.2027</v>
      </c>
      <c r="L4212">
        <v>71</v>
      </c>
      <c r="M4212">
        <v>0</v>
      </c>
      <c r="N4212">
        <v>3</v>
      </c>
      <c r="O4212">
        <v>39.841299999999997</v>
      </c>
      <c r="P4212">
        <v>22.629899999999999</v>
      </c>
      <c r="Q4212">
        <v>7.74444</v>
      </c>
    </row>
    <row r="4213" spans="1:17" x14ac:dyDescent="0.25">
      <c r="A4213">
        <f>IF(C4213&amp;G4213&amp;D4213&lt;&gt;'Funnel setup'!$K$3&amp;'Funnel setup'!$K$4&amp;'Funnel setup'!$K$6,".",IF(A4212=".",1,A4212+1))</f>
        <v>30</v>
      </c>
      <c r="B4213" s="244" t="str">
        <f t="shared" si="65"/>
        <v>Total Hip ReplacementProviderCLEMENTINE CHURCHILL HOSPITAL (NT411)Oxford Hip Score</v>
      </c>
      <c r="C4213" t="s">
        <v>974</v>
      </c>
      <c r="D4213" t="s">
        <v>965</v>
      </c>
      <c r="E4213" t="s">
        <v>200</v>
      </c>
      <c r="F4213" t="s">
        <v>201</v>
      </c>
      <c r="G4213" t="s">
        <v>964</v>
      </c>
      <c r="H4213">
        <v>25</v>
      </c>
      <c r="I4213">
        <v>21.68</v>
      </c>
      <c r="J4213">
        <v>40.56</v>
      </c>
      <c r="K4213">
        <v>18.88</v>
      </c>
      <c r="L4213">
        <v>24</v>
      </c>
      <c r="M4213">
        <v>0</v>
      </c>
      <c r="N4213">
        <v>1</v>
      </c>
      <c r="O4213" t="s">
        <v>127</v>
      </c>
      <c r="P4213" t="s">
        <v>127</v>
      </c>
      <c r="Q4213" t="s">
        <v>127</v>
      </c>
    </row>
    <row r="4214" spans="1:17" x14ac:dyDescent="0.25">
      <c r="A4214">
        <f>IF(C4214&amp;G4214&amp;D4214&lt;&gt;'Funnel setup'!$K$3&amp;'Funnel setup'!$K$4&amp;'Funnel setup'!$K$6,".",IF(A4213=".",1,A4213+1))</f>
        <v>31</v>
      </c>
      <c r="B4214" s="244" t="str">
        <f t="shared" si="65"/>
        <v>Total Hip ReplacementProviderCLIFTON PARK HOSPITAL (NVC28)Oxford Hip Score</v>
      </c>
      <c r="C4214" t="s">
        <v>974</v>
      </c>
      <c r="D4214" t="s">
        <v>965</v>
      </c>
      <c r="E4214" t="s">
        <v>202</v>
      </c>
      <c r="F4214" t="s">
        <v>203</v>
      </c>
      <c r="G4214" t="s">
        <v>964</v>
      </c>
      <c r="H4214">
        <v>42</v>
      </c>
      <c r="I4214">
        <v>24.285699999999999</v>
      </c>
      <c r="J4214">
        <v>29.142900000000001</v>
      </c>
      <c r="K4214">
        <v>4.8571400000000002</v>
      </c>
      <c r="L4214">
        <v>24</v>
      </c>
      <c r="M4214">
        <v>4</v>
      </c>
      <c r="N4214">
        <v>14</v>
      </c>
      <c r="O4214">
        <v>26.6755</v>
      </c>
      <c r="P4214">
        <v>9.4640500000000003</v>
      </c>
      <c r="Q4214">
        <v>8.4944199999999999</v>
      </c>
    </row>
    <row r="4215" spans="1:17" x14ac:dyDescent="0.25">
      <c r="A4215">
        <f>IF(C4215&amp;G4215&amp;D4215&lt;&gt;'Funnel setup'!$K$3&amp;'Funnel setup'!$K$4&amp;'Funnel setup'!$K$6,".",IF(A4214=".",1,A4214+1))</f>
        <v>32</v>
      </c>
      <c r="B4215" s="244" t="str">
        <f t="shared" si="65"/>
        <v>Total Hip ReplacementProviderCOUNTESS OF CHESTER HOSPITAL NHS FOUNDATION TRUST (RJR)Oxford Hip Score</v>
      </c>
      <c r="C4215" t="s">
        <v>974</v>
      </c>
      <c r="D4215" t="s">
        <v>965</v>
      </c>
      <c r="E4215" t="s">
        <v>204</v>
      </c>
      <c r="F4215" t="s">
        <v>205</v>
      </c>
      <c r="G4215" t="s">
        <v>964</v>
      </c>
      <c r="H4215">
        <v>29</v>
      </c>
      <c r="I4215">
        <v>15.4483</v>
      </c>
      <c r="J4215">
        <v>39.827599999999997</v>
      </c>
      <c r="K4215">
        <v>24.379300000000001</v>
      </c>
      <c r="L4215">
        <v>29</v>
      </c>
      <c r="M4215">
        <v>0</v>
      </c>
      <c r="N4215">
        <v>0</v>
      </c>
      <c r="O4215" t="s">
        <v>127</v>
      </c>
      <c r="P4215" t="s">
        <v>127</v>
      </c>
      <c r="Q4215" t="s">
        <v>127</v>
      </c>
    </row>
    <row r="4216" spans="1:17" x14ac:dyDescent="0.25">
      <c r="A4216">
        <f>IF(C4216&amp;G4216&amp;D4216&lt;&gt;'Funnel setup'!$K$3&amp;'Funnel setup'!$K$4&amp;'Funnel setup'!$K$6,".",IF(A4215=".",1,A4215+1))</f>
        <v>33</v>
      </c>
      <c r="B4216" s="244" t="str">
        <f t="shared" si="65"/>
        <v>Total Hip ReplacementProviderCOUNTY DURHAM AND DARLINGTON NHS FOUNDATION TRUST (RXP)Oxford Hip Score</v>
      </c>
      <c r="C4216" t="s">
        <v>974</v>
      </c>
      <c r="D4216" t="s">
        <v>965</v>
      </c>
      <c r="E4216" t="s">
        <v>206</v>
      </c>
      <c r="F4216" t="s">
        <v>207</v>
      </c>
      <c r="G4216" t="s">
        <v>964</v>
      </c>
      <c r="H4216">
        <v>174</v>
      </c>
      <c r="I4216">
        <v>16.8218</v>
      </c>
      <c r="J4216">
        <v>37.896599999999999</v>
      </c>
      <c r="K4216">
        <v>21.0747</v>
      </c>
      <c r="L4216">
        <v>166</v>
      </c>
      <c r="M4216">
        <v>0</v>
      </c>
      <c r="N4216">
        <v>8</v>
      </c>
      <c r="O4216">
        <v>39.317599999999999</v>
      </c>
      <c r="P4216">
        <v>22.106200000000001</v>
      </c>
      <c r="Q4216">
        <v>9.1710499999999993</v>
      </c>
    </row>
    <row r="4217" spans="1:17" x14ac:dyDescent="0.25">
      <c r="A4217">
        <f>IF(C4217&amp;G4217&amp;D4217&lt;&gt;'Funnel setup'!$K$3&amp;'Funnel setup'!$K$4&amp;'Funnel setup'!$K$6,".",IF(A4216=".",1,A4216+1))</f>
        <v>34</v>
      </c>
      <c r="B4217" s="244" t="str">
        <f t="shared" si="65"/>
        <v>Total Hip ReplacementProviderDONCASTER AND BASSETLAW TEACHING HOSPITALS NHS FOUNDATION TRUST (RP5)Oxford Hip Score</v>
      </c>
      <c r="C4217" t="s">
        <v>974</v>
      </c>
      <c r="D4217" t="s">
        <v>965</v>
      </c>
      <c r="E4217" t="s">
        <v>212</v>
      </c>
      <c r="F4217" t="s">
        <v>213</v>
      </c>
      <c r="G4217" t="s">
        <v>964</v>
      </c>
      <c r="H4217">
        <v>64</v>
      </c>
      <c r="I4217">
        <v>13.859400000000001</v>
      </c>
      <c r="J4217">
        <v>33.3125</v>
      </c>
      <c r="K4217">
        <v>19.453099999999999</v>
      </c>
      <c r="L4217">
        <v>56</v>
      </c>
      <c r="M4217">
        <v>0</v>
      </c>
      <c r="N4217">
        <v>8</v>
      </c>
      <c r="O4217">
        <v>36.309800000000003</v>
      </c>
      <c r="P4217">
        <v>19.098299999999998</v>
      </c>
      <c r="Q4217">
        <v>11.202199999999999</v>
      </c>
    </row>
    <row r="4218" spans="1:17" x14ac:dyDescent="0.25">
      <c r="A4218">
        <f>IF(C4218&amp;G4218&amp;D4218&lt;&gt;'Funnel setup'!$K$3&amp;'Funnel setup'!$K$4&amp;'Funnel setup'!$K$6,".",IF(A4217=".",1,A4217+1))</f>
        <v>35</v>
      </c>
      <c r="B4218" s="244" t="str">
        <f t="shared" si="65"/>
        <v>Total Hip ReplacementProviderDORSET COUNTY HOSPITAL NHS FOUNDATION TRUST (RBD)Oxford Hip Score</v>
      </c>
      <c r="C4218" t="s">
        <v>974</v>
      </c>
      <c r="D4218" t="s">
        <v>965</v>
      </c>
      <c r="E4218" t="s">
        <v>214</v>
      </c>
      <c r="F4218" t="s">
        <v>215</v>
      </c>
      <c r="G4218" t="s">
        <v>964</v>
      </c>
      <c r="H4218">
        <v>14</v>
      </c>
      <c r="I4218">
        <v>17</v>
      </c>
      <c r="J4218">
        <v>39.714300000000001</v>
      </c>
      <c r="K4218">
        <v>22.714300000000001</v>
      </c>
      <c r="L4218">
        <v>13</v>
      </c>
      <c r="M4218">
        <v>0</v>
      </c>
      <c r="N4218">
        <v>1</v>
      </c>
      <c r="O4218" t="s">
        <v>127</v>
      </c>
      <c r="P4218" t="s">
        <v>127</v>
      </c>
      <c r="Q4218" t="s">
        <v>127</v>
      </c>
    </row>
    <row r="4219" spans="1:17" x14ac:dyDescent="0.25">
      <c r="A4219">
        <f>IF(C4219&amp;G4219&amp;D4219&lt;&gt;'Funnel setup'!$K$3&amp;'Funnel setup'!$K$4&amp;'Funnel setup'!$K$6,".",IF(A4218=".",1,A4218+1))</f>
        <v>36</v>
      </c>
      <c r="B4219" s="244" t="str">
        <f t="shared" si="65"/>
        <v>Total Hip ReplacementProviderDROITWICH SPA HOSPITAL (NT412)Oxford Hip Score</v>
      </c>
      <c r="C4219" t="s">
        <v>974</v>
      </c>
      <c r="D4219" t="s">
        <v>965</v>
      </c>
      <c r="E4219" t="s">
        <v>216</v>
      </c>
      <c r="F4219" t="s">
        <v>217</v>
      </c>
      <c r="G4219" t="s">
        <v>964</v>
      </c>
      <c r="H4219">
        <v>25</v>
      </c>
      <c r="I4219">
        <v>16.48</v>
      </c>
      <c r="J4219">
        <v>42.32</v>
      </c>
      <c r="K4219">
        <v>25.84</v>
      </c>
      <c r="L4219">
        <v>25</v>
      </c>
      <c r="M4219">
        <v>0</v>
      </c>
      <c r="N4219">
        <v>0</v>
      </c>
      <c r="O4219" t="s">
        <v>127</v>
      </c>
      <c r="P4219" t="s">
        <v>127</v>
      </c>
      <c r="Q4219" t="s">
        <v>127</v>
      </c>
    </row>
    <row r="4220" spans="1:17" x14ac:dyDescent="0.25">
      <c r="A4220">
        <f>IF(C4220&amp;G4220&amp;D4220&lt;&gt;'Funnel setup'!$K$3&amp;'Funnel setup'!$K$4&amp;'Funnel setup'!$K$6,".",IF(A4219=".",1,A4219+1))</f>
        <v>37</v>
      </c>
      <c r="B4220" s="244" t="str">
        <f t="shared" si="65"/>
        <v>Total Hip ReplacementProviderDUCHY HOSPITAL (NT447)Oxford Hip Score</v>
      </c>
      <c r="C4220" t="s">
        <v>974</v>
      </c>
      <c r="D4220" t="s">
        <v>965</v>
      </c>
      <c r="E4220" t="s">
        <v>218</v>
      </c>
      <c r="F4220" t="s">
        <v>219</v>
      </c>
      <c r="G4220" t="s">
        <v>964</v>
      </c>
      <c r="H4220">
        <v>29</v>
      </c>
      <c r="I4220">
        <v>19.896599999999999</v>
      </c>
      <c r="J4220">
        <v>42.586199999999998</v>
      </c>
      <c r="K4220">
        <v>22.689699999999998</v>
      </c>
      <c r="L4220">
        <v>29</v>
      </c>
      <c r="M4220">
        <v>0</v>
      </c>
      <c r="N4220">
        <v>0</v>
      </c>
      <c r="O4220" t="s">
        <v>127</v>
      </c>
      <c r="P4220" t="s">
        <v>127</v>
      </c>
      <c r="Q4220" t="s">
        <v>127</v>
      </c>
    </row>
    <row r="4221" spans="1:17" x14ac:dyDescent="0.25">
      <c r="A4221">
        <f>IF(C4221&amp;G4221&amp;D4221&lt;&gt;'Funnel setup'!$K$3&amp;'Funnel setup'!$K$4&amp;'Funnel setup'!$K$6,".",IF(A4220=".",1,A4220+1))</f>
        <v>38</v>
      </c>
      <c r="B4221" s="244" t="str">
        <f t="shared" si="65"/>
        <v>Total Hip ReplacementProviderDUCHY HOSPITAL (NVC04)Oxford Hip Score</v>
      </c>
      <c r="C4221" t="s">
        <v>974</v>
      </c>
      <c r="D4221" t="s">
        <v>965</v>
      </c>
      <c r="E4221" t="s">
        <v>220</v>
      </c>
      <c r="F4221" t="s">
        <v>221</v>
      </c>
      <c r="G4221" t="s">
        <v>964</v>
      </c>
      <c r="H4221">
        <v>25</v>
      </c>
      <c r="I4221">
        <v>26.4</v>
      </c>
      <c r="J4221">
        <v>27.36</v>
      </c>
      <c r="K4221">
        <v>0.96</v>
      </c>
      <c r="L4221">
        <v>15</v>
      </c>
      <c r="M4221">
        <v>1</v>
      </c>
      <c r="N4221">
        <v>9</v>
      </c>
      <c r="O4221" t="s">
        <v>127</v>
      </c>
      <c r="P4221" t="s">
        <v>127</v>
      </c>
      <c r="Q4221" t="s">
        <v>127</v>
      </c>
    </row>
    <row r="4222" spans="1:17" x14ac:dyDescent="0.25">
      <c r="A4222">
        <f>IF(C4222&amp;G4222&amp;D4222&lt;&gt;'Funnel setup'!$K$3&amp;'Funnel setup'!$K$4&amp;'Funnel setup'!$K$6,".",IF(A4221=".",1,A4221+1))</f>
        <v>39</v>
      </c>
      <c r="B4222" s="244" t="str">
        <f t="shared" si="65"/>
        <v>Total Hip ReplacementProviderEAST AND NORTH HERTFORDSHIRE NHS TRUST (RWH)Oxford Hip Score</v>
      </c>
      <c r="C4222" t="s">
        <v>974</v>
      </c>
      <c r="D4222" t="s">
        <v>965</v>
      </c>
      <c r="E4222" t="s">
        <v>224</v>
      </c>
      <c r="F4222" t="s">
        <v>225</v>
      </c>
      <c r="G4222" t="s">
        <v>964</v>
      </c>
      <c r="H4222">
        <v>44</v>
      </c>
      <c r="I4222">
        <v>17.386399999999998</v>
      </c>
      <c r="J4222">
        <v>39.7727</v>
      </c>
      <c r="K4222">
        <v>22.386399999999998</v>
      </c>
      <c r="L4222">
        <v>43</v>
      </c>
      <c r="M4222">
        <v>0</v>
      </c>
      <c r="N4222">
        <v>1</v>
      </c>
      <c r="O4222">
        <v>40.003399999999999</v>
      </c>
      <c r="P4222">
        <v>22.792000000000002</v>
      </c>
      <c r="Q4222">
        <v>7.8142899999999997</v>
      </c>
    </row>
    <row r="4223" spans="1:17" x14ac:dyDescent="0.25">
      <c r="A4223">
        <f>IF(C4223&amp;G4223&amp;D4223&lt;&gt;'Funnel setup'!$K$3&amp;'Funnel setup'!$K$4&amp;'Funnel setup'!$K$6,".",IF(A4222=".",1,A4222+1))</f>
        <v>40</v>
      </c>
      <c r="B4223" s="244" t="str">
        <f t="shared" si="65"/>
        <v>Total Hip ReplacementProviderEAST CHESHIRE NHS TRUST (RJN)Oxford Hip Score</v>
      </c>
      <c r="C4223" t="s">
        <v>974</v>
      </c>
      <c r="D4223" t="s">
        <v>965</v>
      </c>
      <c r="E4223" t="s">
        <v>226</v>
      </c>
      <c r="F4223" t="s">
        <v>227</v>
      </c>
      <c r="G4223" t="s">
        <v>964</v>
      </c>
      <c r="H4223">
        <v>5</v>
      </c>
      <c r="I4223">
        <v>19</v>
      </c>
      <c r="J4223">
        <v>37.4</v>
      </c>
      <c r="K4223">
        <v>18.399999999999999</v>
      </c>
      <c r="L4223">
        <v>5</v>
      </c>
      <c r="M4223">
        <v>0</v>
      </c>
      <c r="N4223">
        <v>0</v>
      </c>
      <c r="O4223" t="s">
        <v>127</v>
      </c>
      <c r="P4223" t="s">
        <v>127</v>
      </c>
      <c r="Q4223" t="s">
        <v>127</v>
      </c>
    </row>
    <row r="4224" spans="1:17" x14ac:dyDescent="0.25">
      <c r="A4224">
        <f>IF(C4224&amp;G4224&amp;D4224&lt;&gt;'Funnel setup'!$K$3&amp;'Funnel setup'!$K$4&amp;'Funnel setup'!$K$6,".",IF(A4223=".",1,A4223+1))</f>
        <v>41</v>
      </c>
      <c r="B4224" s="244" t="str">
        <f t="shared" si="65"/>
        <v>Total Hip ReplacementProviderEAST KENT HOSPITALS UNIVERSITY NHS FOUNDATION TRUST (RVV)Oxford Hip Score</v>
      </c>
      <c r="C4224" t="s">
        <v>974</v>
      </c>
      <c r="D4224" t="s">
        <v>965</v>
      </c>
      <c r="E4224" t="s">
        <v>228</v>
      </c>
      <c r="F4224" t="s">
        <v>229</v>
      </c>
      <c r="G4224" t="s">
        <v>964</v>
      </c>
      <c r="H4224">
        <v>100</v>
      </c>
      <c r="I4224">
        <v>15.45</v>
      </c>
      <c r="J4224">
        <v>39.270000000000003</v>
      </c>
      <c r="K4224">
        <v>23.82</v>
      </c>
      <c r="L4224">
        <v>98</v>
      </c>
      <c r="M4224">
        <v>0</v>
      </c>
      <c r="N4224">
        <v>2</v>
      </c>
      <c r="O4224">
        <v>40.505899999999997</v>
      </c>
      <c r="P4224">
        <v>23.294499999999999</v>
      </c>
      <c r="Q4224">
        <v>7.68492</v>
      </c>
    </row>
    <row r="4225" spans="1:17" x14ac:dyDescent="0.25">
      <c r="A4225">
        <f>IF(C4225&amp;G4225&amp;D4225&lt;&gt;'Funnel setup'!$K$3&amp;'Funnel setup'!$K$4&amp;'Funnel setup'!$K$6,".",IF(A4224=".",1,A4224+1))</f>
        <v>42</v>
      </c>
      <c r="B4225" s="244" t="str">
        <f t="shared" si="65"/>
        <v>Total Hip ReplacementProviderEAST LANCASHIRE HOSPITALS NHS TRUST (RXR)Oxford Hip Score</v>
      </c>
      <c r="C4225" t="s">
        <v>974</v>
      </c>
      <c r="D4225" t="s">
        <v>965</v>
      </c>
      <c r="E4225" t="s">
        <v>230</v>
      </c>
      <c r="F4225" t="s">
        <v>231</v>
      </c>
      <c r="G4225" t="s">
        <v>964</v>
      </c>
      <c r="H4225">
        <v>96</v>
      </c>
      <c r="I4225">
        <v>14.833299999999999</v>
      </c>
      <c r="J4225">
        <v>39.666699999999999</v>
      </c>
      <c r="K4225">
        <v>24.833300000000001</v>
      </c>
      <c r="L4225">
        <v>94</v>
      </c>
      <c r="M4225">
        <v>1</v>
      </c>
      <c r="N4225">
        <v>1</v>
      </c>
      <c r="O4225">
        <v>41.476700000000001</v>
      </c>
      <c r="P4225">
        <v>24.2653</v>
      </c>
      <c r="Q4225">
        <v>6.97776</v>
      </c>
    </row>
    <row r="4226" spans="1:17" x14ac:dyDescent="0.25">
      <c r="A4226">
        <f>IF(C4226&amp;G4226&amp;D4226&lt;&gt;'Funnel setup'!$K$3&amp;'Funnel setup'!$K$4&amp;'Funnel setup'!$K$6,".",IF(A4225=".",1,A4225+1))</f>
        <v>43</v>
      </c>
      <c r="B4226" s="244" t="str">
        <f t="shared" ref="B4226:B4289" si="66">C4226&amp;D4226&amp;F4226&amp;G4226</f>
        <v>Total Hip ReplacementProviderEAST SUFFOLK AND NORTH ESSEX NHS FOUNDATION TRUST (RDE)Oxford Hip Score</v>
      </c>
      <c r="C4226" t="s">
        <v>974</v>
      </c>
      <c r="D4226" t="s">
        <v>965</v>
      </c>
      <c r="E4226" t="s">
        <v>232</v>
      </c>
      <c r="F4226" t="s">
        <v>233</v>
      </c>
      <c r="G4226" t="s">
        <v>964</v>
      </c>
      <c r="H4226">
        <v>147</v>
      </c>
      <c r="I4226">
        <v>15.3741</v>
      </c>
      <c r="J4226">
        <v>39.387799999999999</v>
      </c>
      <c r="K4226">
        <v>24.0136</v>
      </c>
      <c r="L4226">
        <v>146</v>
      </c>
      <c r="M4226">
        <v>0</v>
      </c>
      <c r="N4226">
        <v>1</v>
      </c>
      <c r="O4226">
        <v>40.570900000000002</v>
      </c>
      <c r="P4226">
        <v>23.359400000000001</v>
      </c>
      <c r="Q4226">
        <v>7.7240500000000001</v>
      </c>
    </row>
    <row r="4227" spans="1:17" x14ac:dyDescent="0.25">
      <c r="A4227">
        <f>IF(C4227&amp;G4227&amp;D4227&lt;&gt;'Funnel setup'!$K$3&amp;'Funnel setup'!$K$4&amp;'Funnel setup'!$K$6,".",IF(A4226=".",1,A4226+1))</f>
        <v>44</v>
      </c>
      <c r="B4227" s="244" t="str">
        <f t="shared" si="66"/>
        <v>Total Hip ReplacementProviderEAST SUSSEX HEALTHCARE NHS TRUST (RXC)Oxford Hip Score</v>
      </c>
      <c r="C4227" t="s">
        <v>974</v>
      </c>
      <c r="D4227" t="s">
        <v>965</v>
      </c>
      <c r="E4227" t="s">
        <v>234</v>
      </c>
      <c r="F4227" t="s">
        <v>235</v>
      </c>
      <c r="G4227" t="s">
        <v>964</v>
      </c>
      <c r="H4227">
        <v>101</v>
      </c>
      <c r="I4227">
        <v>18.0198</v>
      </c>
      <c r="J4227">
        <v>39.831699999999998</v>
      </c>
      <c r="K4227">
        <v>21.811900000000001</v>
      </c>
      <c r="L4227">
        <v>94</v>
      </c>
      <c r="M4227">
        <v>1</v>
      </c>
      <c r="N4227">
        <v>6</v>
      </c>
      <c r="O4227">
        <v>40.5319</v>
      </c>
      <c r="P4227">
        <v>23.320399999999999</v>
      </c>
      <c r="Q4227">
        <v>8.4855199999999993</v>
      </c>
    </row>
    <row r="4228" spans="1:17" x14ac:dyDescent="0.25">
      <c r="A4228">
        <f>IF(C4228&amp;G4228&amp;D4228&lt;&gt;'Funnel setup'!$K$3&amp;'Funnel setup'!$K$4&amp;'Funnel setup'!$K$6,".",IF(A4227=".",1,A4227+1))</f>
        <v>45</v>
      </c>
      <c r="B4228" s="244" t="str">
        <f t="shared" si="66"/>
        <v>Total Hip ReplacementProviderEPSOM AND ST HELIER UNIVERSITY HOSPITALS NHS TRUST (RVR)Oxford Hip Score</v>
      </c>
      <c r="C4228" t="s">
        <v>974</v>
      </c>
      <c r="D4228" t="s">
        <v>965</v>
      </c>
      <c r="E4228" t="s">
        <v>238</v>
      </c>
      <c r="F4228" t="s">
        <v>239</v>
      </c>
      <c r="G4228" t="s">
        <v>964</v>
      </c>
      <c r="H4228">
        <v>568</v>
      </c>
      <c r="I4228">
        <v>19.338000000000001</v>
      </c>
      <c r="J4228">
        <v>40.456000000000003</v>
      </c>
      <c r="K4228">
        <v>21.117999999999999</v>
      </c>
      <c r="L4228">
        <v>553</v>
      </c>
      <c r="M4228">
        <v>3</v>
      </c>
      <c r="N4228">
        <v>12</v>
      </c>
      <c r="O4228">
        <v>39.9876</v>
      </c>
      <c r="P4228">
        <v>22.7761</v>
      </c>
      <c r="Q4228">
        <v>7.3856400000000004</v>
      </c>
    </row>
    <row r="4229" spans="1:17" x14ac:dyDescent="0.25">
      <c r="A4229">
        <f>IF(C4229&amp;G4229&amp;D4229&lt;&gt;'Funnel setup'!$K$3&amp;'Funnel setup'!$K$4&amp;'Funnel setup'!$K$6,".",IF(A4228=".",1,A4228+1))</f>
        <v>46</v>
      </c>
      <c r="B4229" s="244" t="str">
        <f t="shared" si="66"/>
        <v>Total Hip ReplacementProviderEUXTON HALL HOSPITAL (NVC05)Oxford Hip Score</v>
      </c>
      <c r="C4229" t="s">
        <v>974</v>
      </c>
      <c r="D4229" t="s">
        <v>965</v>
      </c>
      <c r="E4229" t="s">
        <v>240</v>
      </c>
      <c r="F4229" t="s">
        <v>241</v>
      </c>
      <c r="G4229" t="s">
        <v>964</v>
      </c>
      <c r="H4229">
        <v>59</v>
      </c>
      <c r="I4229">
        <v>16.1525</v>
      </c>
      <c r="J4229">
        <v>40.9831</v>
      </c>
      <c r="K4229">
        <v>24.830500000000001</v>
      </c>
      <c r="L4229">
        <v>58</v>
      </c>
      <c r="M4229">
        <v>0</v>
      </c>
      <c r="N4229">
        <v>1</v>
      </c>
      <c r="O4229">
        <v>41.532299999999999</v>
      </c>
      <c r="P4229">
        <v>24.320900000000002</v>
      </c>
      <c r="Q4229">
        <v>8.1784199999999991</v>
      </c>
    </row>
    <row r="4230" spans="1:17" x14ac:dyDescent="0.25">
      <c r="A4230">
        <f>IF(C4230&amp;G4230&amp;D4230&lt;&gt;'Funnel setup'!$K$3&amp;'Funnel setup'!$K$4&amp;'Funnel setup'!$K$6,".",IF(A4229=".",1,A4229+1))</f>
        <v>47</v>
      </c>
      <c r="B4230" s="244" t="str">
        <f t="shared" si="66"/>
        <v>Total Hip ReplacementProviderFAIRFIELD HOSPITAL (NVG01)Oxford Hip Score</v>
      </c>
      <c r="C4230" t="s">
        <v>974</v>
      </c>
      <c r="D4230" t="s">
        <v>965</v>
      </c>
      <c r="E4230" t="s">
        <v>242</v>
      </c>
      <c r="F4230" t="s">
        <v>243</v>
      </c>
      <c r="G4230" t="s">
        <v>964</v>
      </c>
      <c r="H4230">
        <v>42</v>
      </c>
      <c r="I4230">
        <v>17.119</v>
      </c>
      <c r="J4230">
        <v>37.6905</v>
      </c>
      <c r="K4230">
        <v>20.571400000000001</v>
      </c>
      <c r="L4230">
        <v>40</v>
      </c>
      <c r="M4230">
        <v>0</v>
      </c>
      <c r="N4230">
        <v>2</v>
      </c>
      <c r="O4230">
        <v>37.749499999999998</v>
      </c>
      <c r="P4230">
        <v>20.5381</v>
      </c>
      <c r="Q4230">
        <v>10.2554</v>
      </c>
    </row>
    <row r="4231" spans="1:17" x14ac:dyDescent="0.25">
      <c r="A4231">
        <f>IF(C4231&amp;G4231&amp;D4231&lt;&gt;'Funnel setup'!$K$3&amp;'Funnel setup'!$K$4&amp;'Funnel setup'!$K$6,".",IF(A4230=".",1,A4230+1))</f>
        <v>48</v>
      </c>
      <c r="B4231" s="244" t="str">
        <f t="shared" si="66"/>
        <v>Total Hip ReplacementProviderFITZWILLIAM HOSPITAL (NVC06)Oxford Hip Score</v>
      </c>
      <c r="C4231" t="s">
        <v>974</v>
      </c>
      <c r="D4231" t="s">
        <v>965</v>
      </c>
      <c r="E4231" t="s">
        <v>244</v>
      </c>
      <c r="F4231" t="s">
        <v>245</v>
      </c>
      <c r="G4231" t="s">
        <v>964</v>
      </c>
      <c r="H4231">
        <v>60</v>
      </c>
      <c r="I4231">
        <v>17.245899999999999</v>
      </c>
      <c r="J4231">
        <v>40.426200000000001</v>
      </c>
      <c r="K4231">
        <v>23.180299999999999</v>
      </c>
      <c r="L4231">
        <v>59</v>
      </c>
      <c r="M4231">
        <v>0</v>
      </c>
      <c r="N4231">
        <v>1</v>
      </c>
      <c r="O4231">
        <v>40.205100000000002</v>
      </c>
      <c r="P4231">
        <v>22.9937</v>
      </c>
      <c r="Q4231">
        <v>7.0202099999999996</v>
      </c>
    </row>
    <row r="4232" spans="1:17" x14ac:dyDescent="0.25">
      <c r="A4232">
        <f>IF(C4232&amp;G4232&amp;D4232&lt;&gt;'Funnel setup'!$K$3&amp;'Funnel setup'!$K$4&amp;'Funnel setup'!$K$6,".",IF(A4231=".",1,A4231+1))</f>
        <v>49</v>
      </c>
      <c r="B4232" s="244" t="str">
        <f t="shared" si="66"/>
        <v>Total Hip ReplacementProviderFRIMLEY HEALTH NHS FOUNDATION TRUST (RDU)Oxford Hip Score</v>
      </c>
      <c r="C4232" t="s">
        <v>974</v>
      </c>
      <c r="D4232" t="s">
        <v>965</v>
      </c>
      <c r="E4232" t="s">
        <v>248</v>
      </c>
      <c r="F4232" t="s">
        <v>249</v>
      </c>
      <c r="G4232" t="s">
        <v>964</v>
      </c>
      <c r="H4232">
        <v>191</v>
      </c>
      <c r="I4232">
        <v>18.403099999999998</v>
      </c>
      <c r="J4232">
        <v>40.8063</v>
      </c>
      <c r="K4232">
        <v>22.403099999999998</v>
      </c>
      <c r="L4232">
        <v>187</v>
      </c>
      <c r="M4232">
        <v>2</v>
      </c>
      <c r="N4232">
        <v>2</v>
      </c>
      <c r="O4232">
        <v>39.689300000000003</v>
      </c>
      <c r="P4232">
        <v>22.477799999999998</v>
      </c>
      <c r="Q4232">
        <v>8.0012799999999995</v>
      </c>
    </row>
    <row r="4233" spans="1:17" x14ac:dyDescent="0.25">
      <c r="A4233">
        <f>IF(C4233&amp;G4233&amp;D4233&lt;&gt;'Funnel setup'!$K$3&amp;'Funnel setup'!$K$4&amp;'Funnel setup'!$K$6,".",IF(A4232=".",1,A4232+1))</f>
        <v>50</v>
      </c>
      <c r="B4233" s="244" t="str">
        <f t="shared" si="66"/>
        <v>Total Hip ReplacementProviderFULWOOD HALL HOSPITAL (NVC07)Oxford Hip Score</v>
      </c>
      <c r="C4233" t="s">
        <v>974</v>
      </c>
      <c r="D4233" t="s">
        <v>965</v>
      </c>
      <c r="E4233" t="s">
        <v>250</v>
      </c>
      <c r="F4233" t="s">
        <v>251</v>
      </c>
      <c r="G4233" t="s">
        <v>964</v>
      </c>
      <c r="H4233">
        <v>72</v>
      </c>
      <c r="I4233">
        <v>21.166699999999999</v>
      </c>
      <c r="J4233">
        <v>42.3889</v>
      </c>
      <c r="K4233">
        <v>21.222200000000001</v>
      </c>
      <c r="L4233">
        <v>72</v>
      </c>
      <c r="M4233">
        <v>0</v>
      </c>
      <c r="N4233">
        <v>0</v>
      </c>
      <c r="O4233">
        <v>40.726300000000002</v>
      </c>
      <c r="P4233">
        <v>23.514800000000001</v>
      </c>
      <c r="Q4233">
        <v>6.1913799999999997</v>
      </c>
    </row>
    <row r="4234" spans="1:17" x14ac:dyDescent="0.25">
      <c r="A4234">
        <f>IF(C4234&amp;G4234&amp;D4234&lt;&gt;'Funnel setup'!$K$3&amp;'Funnel setup'!$K$4&amp;'Funnel setup'!$K$6,".",IF(A4233=".",1,A4233+1))</f>
        <v>51</v>
      </c>
      <c r="B4234" s="244" t="str">
        <f t="shared" si="66"/>
        <v>Total Hip ReplacementProviderGATESHEAD HEALTH NHS FOUNDATION TRUST (RR7)Oxford Hip Score</v>
      </c>
      <c r="C4234" t="s">
        <v>974</v>
      </c>
      <c r="D4234" t="s">
        <v>965</v>
      </c>
      <c r="E4234" t="s">
        <v>252</v>
      </c>
      <c r="F4234" t="s">
        <v>253</v>
      </c>
      <c r="G4234" t="s">
        <v>964</v>
      </c>
      <c r="H4234">
        <v>51</v>
      </c>
      <c r="I4234">
        <v>14.0784</v>
      </c>
      <c r="J4234">
        <v>38.764699999999998</v>
      </c>
      <c r="K4234">
        <v>24.686299999999999</v>
      </c>
      <c r="L4234">
        <v>49</v>
      </c>
      <c r="M4234">
        <v>0</v>
      </c>
      <c r="N4234">
        <v>2</v>
      </c>
      <c r="O4234">
        <v>41.509799999999998</v>
      </c>
      <c r="P4234">
        <v>24.298400000000001</v>
      </c>
      <c r="Q4234">
        <v>9.7101699999999997</v>
      </c>
    </row>
    <row r="4235" spans="1:17" x14ac:dyDescent="0.25">
      <c r="A4235">
        <f>IF(C4235&amp;G4235&amp;D4235&lt;&gt;'Funnel setup'!$K$3&amp;'Funnel setup'!$K$4&amp;'Funnel setup'!$K$6,".",IF(A4234=".",1,A4234+1))</f>
        <v>52</v>
      </c>
      <c r="B4235" s="244" t="str">
        <f t="shared" si="66"/>
        <v>Total Hip ReplacementProviderGLOUCESTERSHIRE HOSPITALS NHS FOUNDATION TRUST (RTE)Oxford Hip Score</v>
      </c>
      <c r="C4235" t="s">
        <v>974</v>
      </c>
      <c r="D4235" t="s">
        <v>965</v>
      </c>
      <c r="E4235" t="s">
        <v>256</v>
      </c>
      <c r="F4235" t="s">
        <v>257</v>
      </c>
      <c r="G4235" t="s">
        <v>964</v>
      </c>
      <c r="H4235">
        <v>79</v>
      </c>
      <c r="I4235">
        <v>15.0886</v>
      </c>
      <c r="J4235">
        <v>38.329099999999997</v>
      </c>
      <c r="K4235">
        <v>23.240500000000001</v>
      </c>
      <c r="L4235">
        <v>79</v>
      </c>
      <c r="M4235">
        <v>0</v>
      </c>
      <c r="N4235">
        <v>0</v>
      </c>
      <c r="O4235">
        <v>39.616300000000003</v>
      </c>
      <c r="P4235">
        <v>22.404800000000002</v>
      </c>
      <c r="Q4235">
        <v>8.37974</v>
      </c>
    </row>
    <row r="4236" spans="1:17" x14ac:dyDescent="0.25">
      <c r="A4236">
        <f>IF(C4236&amp;G4236&amp;D4236&lt;&gt;'Funnel setup'!$K$3&amp;'Funnel setup'!$K$4&amp;'Funnel setup'!$K$6,".",IF(A4235=".",1,A4235+1))</f>
        <v>53</v>
      </c>
      <c r="B4236" s="244" t="str">
        <f t="shared" si="66"/>
        <v>Total Hip ReplacementProviderGORING HALL HOSPITAL (NT417)Oxford Hip Score</v>
      </c>
      <c r="C4236" t="s">
        <v>974</v>
      </c>
      <c r="D4236" t="s">
        <v>965</v>
      </c>
      <c r="E4236" t="s">
        <v>258</v>
      </c>
      <c r="F4236" t="s">
        <v>259</v>
      </c>
      <c r="G4236" t="s">
        <v>964</v>
      </c>
      <c r="H4236">
        <v>28</v>
      </c>
      <c r="I4236">
        <v>19.642900000000001</v>
      </c>
      <c r="J4236">
        <v>39.607100000000003</v>
      </c>
      <c r="K4236">
        <v>19.964300000000001</v>
      </c>
      <c r="L4236">
        <v>25</v>
      </c>
      <c r="M4236">
        <v>0</v>
      </c>
      <c r="N4236">
        <v>3</v>
      </c>
      <c r="O4236" t="s">
        <v>127</v>
      </c>
      <c r="P4236" t="s">
        <v>127</v>
      </c>
      <c r="Q4236" t="s">
        <v>127</v>
      </c>
    </row>
    <row r="4237" spans="1:17" x14ac:dyDescent="0.25">
      <c r="A4237">
        <f>IF(C4237&amp;G4237&amp;D4237&lt;&gt;'Funnel setup'!$K$3&amp;'Funnel setup'!$K$4&amp;'Funnel setup'!$K$6,".",IF(A4236=".",1,A4236+1))</f>
        <v>54</v>
      </c>
      <c r="B4237" s="244" t="str">
        <f t="shared" si="66"/>
        <v>Total Hip ReplacementProviderGUY'S AND ST THOMAS' NHS FOUNDATION TRUST (RJ1)Oxford Hip Score</v>
      </c>
      <c r="C4237" t="s">
        <v>974</v>
      </c>
      <c r="D4237" t="s">
        <v>965</v>
      </c>
      <c r="E4237" t="s">
        <v>262</v>
      </c>
      <c r="F4237" t="s">
        <v>263</v>
      </c>
      <c r="G4237" t="s">
        <v>964</v>
      </c>
      <c r="H4237">
        <v>81</v>
      </c>
      <c r="I4237">
        <v>17.6296</v>
      </c>
      <c r="J4237">
        <v>37.296300000000002</v>
      </c>
      <c r="K4237">
        <v>19.666699999999999</v>
      </c>
      <c r="L4237">
        <v>78</v>
      </c>
      <c r="M4237">
        <v>0</v>
      </c>
      <c r="N4237">
        <v>3</v>
      </c>
      <c r="O4237">
        <v>37.011499999999998</v>
      </c>
      <c r="P4237">
        <v>19.8</v>
      </c>
      <c r="Q4237">
        <v>9.8006600000000006</v>
      </c>
    </row>
    <row r="4238" spans="1:17" x14ac:dyDescent="0.25">
      <c r="A4238">
        <f>IF(C4238&amp;G4238&amp;D4238&lt;&gt;'Funnel setup'!$K$3&amp;'Funnel setup'!$K$4&amp;'Funnel setup'!$K$6,".",IF(A4237=".",1,A4237+1))</f>
        <v>55</v>
      </c>
      <c r="B4238" s="244" t="str">
        <f t="shared" si="66"/>
        <v>Total Hip ReplacementProviderHAMPSHIRE CLINIC (NT418)Oxford Hip Score</v>
      </c>
      <c r="C4238" t="s">
        <v>974</v>
      </c>
      <c r="D4238" t="s">
        <v>965</v>
      </c>
      <c r="E4238" t="s">
        <v>264</v>
      </c>
      <c r="F4238" t="s">
        <v>265</v>
      </c>
      <c r="G4238" t="s">
        <v>964</v>
      </c>
      <c r="H4238">
        <v>28</v>
      </c>
      <c r="I4238">
        <v>21.607099999999999</v>
      </c>
      <c r="J4238">
        <v>41.892899999999997</v>
      </c>
      <c r="K4238">
        <v>20.285699999999999</v>
      </c>
      <c r="L4238">
        <v>28</v>
      </c>
      <c r="M4238">
        <v>0</v>
      </c>
      <c r="N4238">
        <v>0</v>
      </c>
      <c r="O4238" t="s">
        <v>127</v>
      </c>
      <c r="P4238" t="s">
        <v>127</v>
      </c>
      <c r="Q4238" t="s">
        <v>127</v>
      </c>
    </row>
    <row r="4239" spans="1:17" x14ac:dyDescent="0.25">
      <c r="A4239">
        <f>IF(C4239&amp;G4239&amp;D4239&lt;&gt;'Funnel setup'!$K$3&amp;'Funnel setup'!$K$4&amp;'Funnel setup'!$K$6,".",IF(A4238=".",1,A4238+1))</f>
        <v>56</v>
      </c>
      <c r="B4239" s="244" t="str">
        <f t="shared" si="66"/>
        <v>Total Hip ReplacementProviderHAMPSHIRE HOSPITALS NHS FOUNDATION TRUST (RN5)Oxford Hip Score</v>
      </c>
      <c r="C4239" t="s">
        <v>974</v>
      </c>
      <c r="D4239" t="s">
        <v>965</v>
      </c>
      <c r="E4239" t="s">
        <v>266</v>
      </c>
      <c r="F4239" t="s">
        <v>267</v>
      </c>
      <c r="G4239" t="s">
        <v>964</v>
      </c>
      <c r="H4239">
        <v>38</v>
      </c>
      <c r="I4239">
        <v>16.184200000000001</v>
      </c>
      <c r="J4239">
        <v>39.736800000000002</v>
      </c>
      <c r="K4239">
        <v>23.552600000000002</v>
      </c>
      <c r="L4239">
        <v>37</v>
      </c>
      <c r="M4239">
        <v>0</v>
      </c>
      <c r="N4239">
        <v>1</v>
      </c>
      <c r="O4239">
        <v>40.000999999999998</v>
      </c>
      <c r="P4239">
        <v>22.7896</v>
      </c>
      <c r="Q4239">
        <v>7.7477799999999997</v>
      </c>
    </row>
    <row r="4240" spans="1:17" x14ac:dyDescent="0.25">
      <c r="A4240">
        <f>IF(C4240&amp;G4240&amp;D4240&lt;&gt;'Funnel setup'!$K$3&amp;'Funnel setup'!$K$4&amp;'Funnel setup'!$K$6,".",IF(A4239=".",1,A4239+1))</f>
        <v>57</v>
      </c>
      <c r="B4240" s="244" t="str">
        <f t="shared" si="66"/>
        <v>Total Hip ReplacementProviderHARBOUR HOSPITAL (NT419)Oxford Hip Score</v>
      </c>
      <c r="C4240" t="s">
        <v>974</v>
      </c>
      <c r="D4240" t="s">
        <v>965</v>
      </c>
      <c r="E4240" t="s">
        <v>268</v>
      </c>
      <c r="F4240" t="s">
        <v>269</v>
      </c>
      <c r="G4240" t="s">
        <v>964</v>
      </c>
      <c r="H4240">
        <v>10</v>
      </c>
      <c r="I4240">
        <v>19</v>
      </c>
      <c r="J4240">
        <v>42.8</v>
      </c>
      <c r="K4240">
        <v>23.8</v>
      </c>
      <c r="L4240">
        <v>10</v>
      </c>
      <c r="M4240">
        <v>0</v>
      </c>
      <c r="N4240">
        <v>0</v>
      </c>
      <c r="O4240" t="s">
        <v>127</v>
      </c>
      <c r="P4240" t="s">
        <v>127</v>
      </c>
      <c r="Q4240" t="s">
        <v>127</v>
      </c>
    </row>
    <row r="4241" spans="1:17" x14ac:dyDescent="0.25">
      <c r="A4241">
        <f>IF(C4241&amp;G4241&amp;D4241&lt;&gt;'Funnel setup'!$K$3&amp;'Funnel setup'!$K$4&amp;'Funnel setup'!$K$6,".",IF(A4240=".",1,A4240+1))</f>
        <v>58</v>
      </c>
      <c r="B4241" s="244" t="str">
        <f t="shared" si="66"/>
        <v>Total Hip ReplacementProviderHARROGATE AND DISTRICT NHS FOUNDATION TRUST (RCD)Oxford Hip Score</v>
      </c>
      <c r="C4241" t="s">
        <v>974</v>
      </c>
      <c r="D4241" t="s">
        <v>965</v>
      </c>
      <c r="E4241" t="s">
        <v>270</v>
      </c>
      <c r="F4241" t="s">
        <v>271</v>
      </c>
      <c r="G4241" t="s">
        <v>964</v>
      </c>
      <c r="H4241">
        <v>90</v>
      </c>
      <c r="I4241">
        <v>17.622199999999999</v>
      </c>
      <c r="J4241">
        <v>39.700000000000003</v>
      </c>
      <c r="K4241">
        <v>22.0778</v>
      </c>
      <c r="L4241">
        <v>87</v>
      </c>
      <c r="M4241">
        <v>0</v>
      </c>
      <c r="N4241">
        <v>3</v>
      </c>
      <c r="O4241">
        <v>40.372799999999998</v>
      </c>
      <c r="P4241">
        <v>23.161300000000001</v>
      </c>
      <c r="Q4241">
        <v>8.1364800000000006</v>
      </c>
    </row>
    <row r="4242" spans="1:17" x14ac:dyDescent="0.25">
      <c r="A4242">
        <f>IF(C4242&amp;G4242&amp;D4242&lt;&gt;'Funnel setup'!$K$3&amp;'Funnel setup'!$K$4&amp;'Funnel setup'!$K$6,".",IF(A4241=".",1,A4241+1))</f>
        <v>59</v>
      </c>
      <c r="B4242" s="244" t="str">
        <f t="shared" si="66"/>
        <v>Total Hip ReplacementProviderHIGHFIELD HOSPITAL (NT420)Oxford Hip Score</v>
      </c>
      <c r="C4242" t="s">
        <v>974</v>
      </c>
      <c r="D4242" t="s">
        <v>965</v>
      </c>
      <c r="E4242" t="s">
        <v>272</v>
      </c>
      <c r="F4242" t="s">
        <v>273</v>
      </c>
      <c r="G4242" t="s">
        <v>964</v>
      </c>
      <c r="H4242">
        <v>143</v>
      </c>
      <c r="I4242">
        <v>18.601400000000002</v>
      </c>
      <c r="J4242">
        <v>41.349699999999999</v>
      </c>
      <c r="K4242">
        <v>22.7483</v>
      </c>
      <c r="L4242">
        <v>139</v>
      </c>
      <c r="M4242">
        <v>3</v>
      </c>
      <c r="N4242">
        <v>1</v>
      </c>
      <c r="O4242">
        <v>39.617600000000003</v>
      </c>
      <c r="P4242">
        <v>22.406099999999999</v>
      </c>
      <c r="Q4242">
        <v>7.4760900000000001</v>
      </c>
    </row>
    <row r="4243" spans="1:17" x14ac:dyDescent="0.25">
      <c r="A4243">
        <f>IF(C4243&amp;G4243&amp;D4243&lt;&gt;'Funnel setup'!$K$3&amp;'Funnel setup'!$K$4&amp;'Funnel setup'!$K$6,".",IF(A4242=".",1,A4242+1))</f>
        <v>60</v>
      </c>
      <c r="B4243" s="244" t="str">
        <f t="shared" si="66"/>
        <v>Total Hip ReplacementProviderHOMERTON HEALTHCARE NHS FOUNDATION TRUST (RQX)Oxford Hip Score</v>
      </c>
      <c r="C4243" t="s">
        <v>974</v>
      </c>
      <c r="D4243" t="s">
        <v>965</v>
      </c>
      <c r="E4243" t="s">
        <v>274</v>
      </c>
      <c r="F4243" t="s">
        <v>275</v>
      </c>
      <c r="G4243" t="s">
        <v>964</v>
      </c>
      <c r="H4243">
        <v>5</v>
      </c>
      <c r="I4243">
        <v>15.2</v>
      </c>
      <c r="J4243">
        <v>34.4</v>
      </c>
      <c r="K4243">
        <v>19.2</v>
      </c>
      <c r="L4243">
        <v>5</v>
      </c>
      <c r="M4243">
        <v>0</v>
      </c>
      <c r="N4243">
        <v>0</v>
      </c>
      <c r="O4243" t="s">
        <v>127</v>
      </c>
      <c r="P4243" t="s">
        <v>127</v>
      </c>
      <c r="Q4243" t="s">
        <v>127</v>
      </c>
    </row>
    <row r="4244" spans="1:17" x14ac:dyDescent="0.25">
      <c r="A4244">
        <f>IF(C4244&amp;G4244&amp;D4244&lt;&gt;'Funnel setup'!$K$3&amp;'Funnel setup'!$K$4&amp;'Funnel setup'!$K$6,".",IF(A4243=".",1,A4243+1))</f>
        <v>61</v>
      </c>
      <c r="B4244" s="244" t="str">
        <f t="shared" si="66"/>
        <v>Total Hip ReplacementProviderHUDDERSFIELD HOSPITAL (NT448)Oxford Hip Score</v>
      </c>
      <c r="C4244" t="s">
        <v>974</v>
      </c>
      <c r="D4244" t="s">
        <v>965</v>
      </c>
      <c r="E4244" t="s">
        <v>276</v>
      </c>
      <c r="F4244" t="s">
        <v>277</v>
      </c>
      <c r="G4244" t="s">
        <v>964</v>
      </c>
      <c r="H4244">
        <v>8</v>
      </c>
      <c r="I4244">
        <v>20.375</v>
      </c>
      <c r="J4244">
        <v>42</v>
      </c>
      <c r="K4244">
        <v>21.625</v>
      </c>
      <c r="L4244">
        <v>8</v>
      </c>
      <c r="M4244">
        <v>0</v>
      </c>
      <c r="N4244">
        <v>0</v>
      </c>
      <c r="O4244" t="s">
        <v>127</v>
      </c>
      <c r="P4244" t="s">
        <v>127</v>
      </c>
      <c r="Q4244" t="s">
        <v>127</v>
      </c>
    </row>
    <row r="4245" spans="1:17" x14ac:dyDescent="0.25">
      <c r="A4245">
        <f>IF(C4245&amp;G4245&amp;D4245&lt;&gt;'Funnel setup'!$K$3&amp;'Funnel setup'!$K$4&amp;'Funnel setup'!$K$6,".",IF(A4244=".",1,A4244+1))</f>
        <v>62</v>
      </c>
      <c r="B4245" s="244" t="str">
        <f t="shared" si="66"/>
        <v>Total Hip ReplacementProviderHULL UNIVERSITY TEACHING HOSPITALS NHS TRUST (RWA)Oxford Hip Score</v>
      </c>
      <c r="C4245" t="s">
        <v>974</v>
      </c>
      <c r="D4245" t="s">
        <v>965</v>
      </c>
      <c r="E4245" t="s">
        <v>278</v>
      </c>
      <c r="F4245" t="s">
        <v>279</v>
      </c>
      <c r="G4245" t="s">
        <v>964</v>
      </c>
      <c r="H4245">
        <v>40</v>
      </c>
      <c r="I4245">
        <v>14.1</v>
      </c>
      <c r="J4245">
        <v>35.375</v>
      </c>
      <c r="K4245">
        <v>21.274999999999999</v>
      </c>
      <c r="L4245">
        <v>40</v>
      </c>
      <c r="M4245">
        <v>0</v>
      </c>
      <c r="N4245">
        <v>0</v>
      </c>
      <c r="O4245">
        <v>38.1113</v>
      </c>
      <c r="P4245">
        <v>20.899899999999999</v>
      </c>
      <c r="Q4245">
        <v>9.2251100000000008</v>
      </c>
    </row>
    <row r="4246" spans="1:17" x14ac:dyDescent="0.25">
      <c r="A4246">
        <f>IF(C4246&amp;G4246&amp;D4246&lt;&gt;'Funnel setup'!$K$3&amp;'Funnel setup'!$K$4&amp;'Funnel setup'!$K$6,".",IF(A4245=".",1,A4245+1))</f>
        <v>63</v>
      </c>
      <c r="B4246" s="244" t="str">
        <f t="shared" si="66"/>
        <v>Total Hip ReplacementProviderIMPERIAL COLLEGE HEALTHCARE NHS TRUST (RYJ)Oxford Hip Score</v>
      </c>
      <c r="C4246" t="s">
        <v>974</v>
      </c>
      <c r="D4246" t="s">
        <v>965</v>
      </c>
      <c r="E4246" t="s">
        <v>280</v>
      </c>
      <c r="F4246" t="s">
        <v>281</v>
      </c>
      <c r="G4246" t="s">
        <v>964</v>
      </c>
      <c r="H4246">
        <v>23</v>
      </c>
      <c r="I4246">
        <v>15.521699999999999</v>
      </c>
      <c r="J4246">
        <v>42.304299999999998</v>
      </c>
      <c r="K4246">
        <v>26.782599999999999</v>
      </c>
      <c r="L4246">
        <v>23</v>
      </c>
      <c r="M4246">
        <v>0</v>
      </c>
      <c r="N4246">
        <v>0</v>
      </c>
      <c r="O4246" t="s">
        <v>127</v>
      </c>
      <c r="P4246" t="s">
        <v>127</v>
      </c>
      <c r="Q4246" t="s">
        <v>127</v>
      </c>
    </row>
    <row r="4247" spans="1:17" x14ac:dyDescent="0.25">
      <c r="A4247">
        <f>IF(C4247&amp;G4247&amp;D4247&lt;&gt;'Funnel setup'!$K$3&amp;'Funnel setup'!$K$4&amp;'Funnel setup'!$K$6,".",IF(A4246=".",1,A4246+1))</f>
        <v>64</v>
      </c>
      <c r="B4247" s="244" t="str">
        <f t="shared" si="66"/>
        <v>Total Hip ReplacementProviderISLE OF WIGHT NHS TRUST (R1F)Oxford Hip Score</v>
      </c>
      <c r="C4247" t="s">
        <v>974</v>
      </c>
      <c r="D4247" t="s">
        <v>965</v>
      </c>
      <c r="E4247" t="s">
        <v>282</v>
      </c>
      <c r="F4247" t="s">
        <v>283</v>
      </c>
      <c r="G4247" t="s">
        <v>964</v>
      </c>
      <c r="H4247">
        <v>2</v>
      </c>
      <c r="I4247">
        <v>17.5</v>
      </c>
      <c r="J4247">
        <v>45</v>
      </c>
      <c r="K4247">
        <v>27.5</v>
      </c>
      <c r="L4247">
        <v>2</v>
      </c>
      <c r="M4247">
        <v>0</v>
      </c>
      <c r="N4247">
        <v>0</v>
      </c>
      <c r="O4247" t="s">
        <v>127</v>
      </c>
      <c r="P4247" t="s">
        <v>127</v>
      </c>
      <c r="Q4247" t="s">
        <v>127</v>
      </c>
    </row>
    <row r="4248" spans="1:17" x14ac:dyDescent="0.25">
      <c r="A4248">
        <f>IF(C4248&amp;G4248&amp;D4248&lt;&gt;'Funnel setup'!$K$3&amp;'Funnel setup'!$K$4&amp;'Funnel setup'!$K$6,".",IF(A4247=".",1,A4247+1))</f>
        <v>65</v>
      </c>
      <c r="B4248" s="244" t="str">
        <f t="shared" si="66"/>
        <v>Total Hip ReplacementProviderJAMES PAGET UNIVERSITY HOSPITALS NHS FOUNDATION TRUST (RGP)Oxford Hip Score</v>
      </c>
      <c r="C4248" t="s">
        <v>974</v>
      </c>
      <c r="D4248" t="s">
        <v>965</v>
      </c>
      <c r="E4248" t="s">
        <v>284</v>
      </c>
      <c r="F4248" t="s">
        <v>285</v>
      </c>
      <c r="G4248" t="s">
        <v>964</v>
      </c>
      <c r="H4248">
        <v>69</v>
      </c>
      <c r="I4248">
        <v>13.7536</v>
      </c>
      <c r="J4248">
        <v>38.869599999999998</v>
      </c>
      <c r="K4248">
        <v>25.1159</v>
      </c>
      <c r="L4248">
        <v>68</v>
      </c>
      <c r="M4248">
        <v>0</v>
      </c>
      <c r="N4248">
        <v>1</v>
      </c>
      <c r="O4248">
        <v>39.156199999999998</v>
      </c>
      <c r="P4248">
        <v>21.944800000000001</v>
      </c>
      <c r="Q4248">
        <v>9.3584200000000006</v>
      </c>
    </row>
    <row r="4249" spans="1:17" x14ac:dyDescent="0.25">
      <c r="A4249">
        <f>IF(C4249&amp;G4249&amp;D4249&lt;&gt;'Funnel setup'!$K$3&amp;'Funnel setup'!$K$4&amp;'Funnel setup'!$K$6,".",IF(A4248=".",1,A4248+1))</f>
        <v>66</v>
      </c>
      <c r="B4249" s="244" t="str">
        <f t="shared" si="66"/>
        <v>Total Hip ReplacementProviderKETTERING GENERAL HOSPITAL NHS FOUNDATION TRUST (RNQ)Oxford Hip Score</v>
      </c>
      <c r="C4249" t="s">
        <v>974</v>
      </c>
      <c r="D4249" t="s">
        <v>965</v>
      </c>
      <c r="E4249" t="s">
        <v>286</v>
      </c>
      <c r="F4249" t="s">
        <v>287</v>
      </c>
      <c r="G4249" t="s">
        <v>964</v>
      </c>
      <c r="H4249">
        <v>33</v>
      </c>
      <c r="I4249">
        <v>13.8788</v>
      </c>
      <c r="J4249">
        <v>37.2121</v>
      </c>
      <c r="K4249">
        <v>23.333300000000001</v>
      </c>
      <c r="L4249">
        <v>30</v>
      </c>
      <c r="M4249">
        <v>1</v>
      </c>
      <c r="N4249">
        <v>2</v>
      </c>
      <c r="O4249">
        <v>40.305100000000003</v>
      </c>
      <c r="P4249">
        <v>23.093699999999998</v>
      </c>
      <c r="Q4249">
        <v>7.9183700000000004</v>
      </c>
    </row>
    <row r="4250" spans="1:17" x14ac:dyDescent="0.25">
      <c r="A4250">
        <f>IF(C4250&amp;G4250&amp;D4250&lt;&gt;'Funnel setup'!$K$3&amp;'Funnel setup'!$K$4&amp;'Funnel setup'!$K$6,".",IF(A4249=".",1,A4249+1))</f>
        <v>67</v>
      </c>
      <c r="B4250" s="244" t="str">
        <f t="shared" si="66"/>
        <v>Total Hip ReplacementProviderKIMS HOSPITAL (NEWNHAM COURT) (ADP02)Oxford Hip Score</v>
      </c>
      <c r="C4250" t="s">
        <v>974</v>
      </c>
      <c r="D4250" t="s">
        <v>965</v>
      </c>
      <c r="E4250" t="s">
        <v>288</v>
      </c>
      <c r="F4250" t="s">
        <v>289</v>
      </c>
      <c r="G4250" t="s">
        <v>964</v>
      </c>
      <c r="H4250">
        <v>108</v>
      </c>
      <c r="I4250">
        <v>18.8704</v>
      </c>
      <c r="J4250">
        <v>42.351900000000001</v>
      </c>
      <c r="K4250">
        <v>23.4815</v>
      </c>
      <c r="L4250">
        <v>107</v>
      </c>
      <c r="M4250">
        <v>1</v>
      </c>
      <c r="N4250">
        <v>0</v>
      </c>
      <c r="O4250">
        <v>39.725900000000003</v>
      </c>
      <c r="P4250">
        <v>22.514399999999998</v>
      </c>
      <c r="Q4250">
        <v>7.3276899999999996</v>
      </c>
    </row>
    <row r="4251" spans="1:17" x14ac:dyDescent="0.25">
      <c r="A4251">
        <f>IF(C4251&amp;G4251&amp;D4251&lt;&gt;'Funnel setup'!$K$3&amp;'Funnel setup'!$K$4&amp;'Funnel setup'!$K$6,".",IF(A4250=".",1,A4250+1))</f>
        <v>68</v>
      </c>
      <c r="B4251" s="244" t="str">
        <f t="shared" si="66"/>
        <v>Total Hip ReplacementProviderKING'S COLLEGE HOSPITAL NHS FOUNDATION TRUST (RJZ)Oxford Hip Score</v>
      </c>
      <c r="C4251" t="s">
        <v>974</v>
      </c>
      <c r="D4251" t="s">
        <v>965</v>
      </c>
      <c r="E4251" t="s">
        <v>290</v>
      </c>
      <c r="F4251" t="s">
        <v>291</v>
      </c>
      <c r="G4251" t="s">
        <v>964</v>
      </c>
      <c r="H4251">
        <v>15</v>
      </c>
      <c r="I4251">
        <v>18.466699999999999</v>
      </c>
      <c r="J4251">
        <v>38.066699999999997</v>
      </c>
      <c r="K4251">
        <v>19.600000000000001</v>
      </c>
      <c r="L4251">
        <v>15</v>
      </c>
      <c r="M4251">
        <v>0</v>
      </c>
      <c r="N4251">
        <v>0</v>
      </c>
      <c r="O4251" t="s">
        <v>127</v>
      </c>
      <c r="P4251" t="s">
        <v>127</v>
      </c>
      <c r="Q4251" t="s">
        <v>127</v>
      </c>
    </row>
    <row r="4252" spans="1:17" x14ac:dyDescent="0.25">
      <c r="A4252">
        <f>IF(C4252&amp;G4252&amp;D4252&lt;&gt;'Funnel setup'!$K$3&amp;'Funnel setup'!$K$4&amp;'Funnel setup'!$K$6,".",IF(A4251=".",1,A4251+1))</f>
        <v>69</v>
      </c>
      <c r="B4252" s="244" t="str">
        <f t="shared" si="66"/>
        <v>Total Hip ReplacementProviderKINGS OAK HOSPITAL (NT421)Oxford Hip Score</v>
      </c>
      <c r="C4252" t="s">
        <v>974</v>
      </c>
      <c r="D4252" t="s">
        <v>965</v>
      </c>
      <c r="E4252" t="s">
        <v>292</v>
      </c>
      <c r="F4252" t="s">
        <v>293</v>
      </c>
      <c r="G4252" t="s">
        <v>964</v>
      </c>
      <c r="H4252">
        <v>14</v>
      </c>
      <c r="I4252">
        <v>19.785699999999999</v>
      </c>
      <c r="J4252">
        <v>41.357100000000003</v>
      </c>
      <c r="K4252">
        <v>21.571400000000001</v>
      </c>
      <c r="L4252">
        <v>14</v>
      </c>
      <c r="M4252">
        <v>0</v>
      </c>
      <c r="N4252">
        <v>0</v>
      </c>
      <c r="O4252" t="s">
        <v>127</v>
      </c>
      <c r="P4252" t="s">
        <v>127</v>
      </c>
      <c r="Q4252" t="s">
        <v>127</v>
      </c>
    </row>
    <row r="4253" spans="1:17" x14ac:dyDescent="0.25">
      <c r="A4253">
        <f>IF(C4253&amp;G4253&amp;D4253&lt;&gt;'Funnel setup'!$K$3&amp;'Funnel setup'!$K$4&amp;'Funnel setup'!$K$6,".",IF(A4252=".",1,A4252+1))</f>
        <v>70</v>
      </c>
      <c r="B4253" s="244" t="str">
        <f t="shared" si="66"/>
        <v>Total Hip ReplacementProviderLANCASHIRE TEACHING HOSPITALS NHS FOUNDATION TRUST (RXN)Oxford Hip Score</v>
      </c>
      <c r="C4253" t="s">
        <v>974</v>
      </c>
      <c r="D4253" t="s">
        <v>965</v>
      </c>
      <c r="E4253" t="s">
        <v>296</v>
      </c>
      <c r="F4253" t="s">
        <v>297</v>
      </c>
      <c r="G4253" t="s">
        <v>964</v>
      </c>
      <c r="H4253">
        <v>37</v>
      </c>
      <c r="I4253">
        <v>17.945900000000002</v>
      </c>
      <c r="J4253">
        <v>34.162199999999999</v>
      </c>
      <c r="K4253">
        <v>16.216200000000001</v>
      </c>
      <c r="L4253">
        <v>34</v>
      </c>
      <c r="M4253">
        <v>0</v>
      </c>
      <c r="N4253">
        <v>3</v>
      </c>
      <c r="O4253">
        <v>35.998699999999999</v>
      </c>
      <c r="P4253">
        <v>18.787299999999998</v>
      </c>
      <c r="Q4253">
        <v>10.6877</v>
      </c>
    </row>
    <row r="4254" spans="1:17" x14ac:dyDescent="0.25">
      <c r="A4254">
        <f>IF(C4254&amp;G4254&amp;D4254&lt;&gt;'Funnel setup'!$K$3&amp;'Funnel setup'!$K$4&amp;'Funnel setup'!$K$6,".",IF(A4253=".",1,A4253+1))</f>
        <v>71</v>
      </c>
      <c r="B4254" s="244" t="str">
        <f t="shared" si="66"/>
        <v>Total Hip ReplacementProviderLANCASTER HOSPITAL (NT449)Oxford Hip Score</v>
      </c>
      <c r="C4254" t="s">
        <v>974</v>
      </c>
      <c r="D4254" t="s">
        <v>965</v>
      </c>
      <c r="E4254" t="s">
        <v>298</v>
      </c>
      <c r="F4254" t="s">
        <v>299</v>
      </c>
      <c r="G4254" t="s">
        <v>964</v>
      </c>
      <c r="H4254">
        <v>23</v>
      </c>
      <c r="I4254">
        <v>21.391300000000001</v>
      </c>
      <c r="J4254">
        <v>42.565199999999997</v>
      </c>
      <c r="K4254">
        <v>21.1739</v>
      </c>
      <c r="L4254">
        <v>22</v>
      </c>
      <c r="M4254">
        <v>0</v>
      </c>
      <c r="N4254">
        <v>1</v>
      </c>
      <c r="O4254" t="s">
        <v>127</v>
      </c>
      <c r="P4254" t="s">
        <v>127</v>
      </c>
      <c r="Q4254" t="s">
        <v>127</v>
      </c>
    </row>
    <row r="4255" spans="1:17" x14ac:dyDescent="0.25">
      <c r="A4255">
        <f>IF(C4255&amp;G4255&amp;D4255&lt;&gt;'Funnel setup'!$K$3&amp;'Funnel setup'!$K$4&amp;'Funnel setup'!$K$6,".",IF(A4254=".",1,A4254+1))</f>
        <v>72</v>
      </c>
      <c r="B4255" s="244" t="str">
        <f t="shared" si="66"/>
        <v>Total Hip ReplacementProviderLEEDS TEACHING HOSPITALS NHS TRUST (RR8)Oxford Hip Score</v>
      </c>
      <c r="C4255" t="s">
        <v>974</v>
      </c>
      <c r="D4255" t="s">
        <v>965</v>
      </c>
      <c r="E4255" t="s">
        <v>300</v>
      </c>
      <c r="F4255" t="s">
        <v>301</v>
      </c>
      <c r="G4255" t="s">
        <v>964</v>
      </c>
      <c r="H4255">
        <v>124</v>
      </c>
      <c r="I4255">
        <v>18.846800000000002</v>
      </c>
      <c r="J4255">
        <v>37.991900000000001</v>
      </c>
      <c r="K4255">
        <v>19.145199999999999</v>
      </c>
      <c r="L4255">
        <v>113</v>
      </c>
      <c r="M4255">
        <v>1</v>
      </c>
      <c r="N4255">
        <v>10</v>
      </c>
      <c r="O4255">
        <v>38.695999999999998</v>
      </c>
      <c r="P4255">
        <v>21.484500000000001</v>
      </c>
      <c r="Q4255">
        <v>8.6430100000000003</v>
      </c>
    </row>
    <row r="4256" spans="1:17" x14ac:dyDescent="0.25">
      <c r="A4256">
        <f>IF(C4256&amp;G4256&amp;D4256&lt;&gt;'Funnel setup'!$K$3&amp;'Funnel setup'!$K$4&amp;'Funnel setup'!$K$6,".",IF(A4255=".",1,A4255+1))</f>
        <v>73</v>
      </c>
      <c r="B4256" s="244" t="str">
        <f t="shared" si="66"/>
        <v>Total Hip ReplacementProviderLEWISHAM AND GREENWICH NHS TRUST (RJ2)Oxford Hip Score</v>
      </c>
      <c r="C4256" t="s">
        <v>974</v>
      </c>
      <c r="D4256" t="s">
        <v>965</v>
      </c>
      <c r="E4256" t="s">
        <v>302</v>
      </c>
      <c r="F4256" t="s">
        <v>303</v>
      </c>
      <c r="G4256" t="s">
        <v>964</v>
      </c>
      <c r="H4256">
        <v>2</v>
      </c>
      <c r="I4256">
        <v>23.5</v>
      </c>
      <c r="J4256">
        <v>46.5</v>
      </c>
      <c r="K4256">
        <v>23</v>
      </c>
      <c r="L4256">
        <v>2</v>
      </c>
      <c r="M4256">
        <v>0</v>
      </c>
      <c r="N4256">
        <v>0</v>
      </c>
      <c r="O4256" t="s">
        <v>127</v>
      </c>
      <c r="P4256" t="s">
        <v>127</v>
      </c>
      <c r="Q4256" t="s">
        <v>127</v>
      </c>
    </row>
    <row r="4257" spans="1:17" x14ac:dyDescent="0.25">
      <c r="A4257">
        <f>IF(C4257&amp;G4257&amp;D4257&lt;&gt;'Funnel setup'!$K$3&amp;'Funnel setup'!$K$4&amp;'Funnel setup'!$K$6,".",IF(A4256=".",1,A4256+1))</f>
        <v>74</v>
      </c>
      <c r="B4257" s="244" t="str">
        <f t="shared" si="66"/>
        <v>Total Hip ReplacementProviderLINCOLN HOSPITAL (NT450)Oxford Hip Score</v>
      </c>
      <c r="C4257" t="s">
        <v>974</v>
      </c>
      <c r="D4257" t="s">
        <v>965</v>
      </c>
      <c r="E4257" t="s">
        <v>304</v>
      </c>
      <c r="F4257" t="s">
        <v>305</v>
      </c>
      <c r="G4257" t="s">
        <v>964</v>
      </c>
      <c r="H4257">
        <v>67</v>
      </c>
      <c r="I4257">
        <v>18.791</v>
      </c>
      <c r="J4257">
        <v>42.731299999999997</v>
      </c>
      <c r="K4257">
        <v>23.940300000000001</v>
      </c>
      <c r="L4257">
        <v>65</v>
      </c>
      <c r="M4257">
        <v>1</v>
      </c>
      <c r="N4257">
        <v>1</v>
      </c>
      <c r="O4257">
        <v>41.976300000000002</v>
      </c>
      <c r="P4257">
        <v>24.764800000000001</v>
      </c>
      <c r="Q4257">
        <v>6.7172299999999998</v>
      </c>
    </row>
    <row r="4258" spans="1:17" x14ac:dyDescent="0.25">
      <c r="A4258">
        <f>IF(C4258&amp;G4258&amp;D4258&lt;&gt;'Funnel setup'!$K$3&amp;'Funnel setup'!$K$4&amp;'Funnel setup'!$K$6,".",IF(A4257=".",1,A4257+1))</f>
        <v>75</v>
      </c>
      <c r="B4258" s="244" t="str">
        <f t="shared" si="66"/>
        <v>Total Hip ReplacementProviderLIVERPOOL UNIVERSITY HOSPITALS NHS FOUNDATION TRUST (REM)Oxford Hip Score</v>
      </c>
      <c r="C4258" t="s">
        <v>974</v>
      </c>
      <c r="D4258" t="s">
        <v>965</v>
      </c>
      <c r="E4258" t="s">
        <v>306</v>
      </c>
      <c r="F4258" t="s">
        <v>307</v>
      </c>
      <c r="G4258" t="s">
        <v>964</v>
      </c>
      <c r="H4258">
        <v>97</v>
      </c>
      <c r="I4258">
        <v>13.2577</v>
      </c>
      <c r="J4258">
        <v>36.092799999999997</v>
      </c>
      <c r="K4258">
        <v>22.835100000000001</v>
      </c>
      <c r="L4258">
        <v>93</v>
      </c>
      <c r="M4258">
        <v>0</v>
      </c>
      <c r="N4258">
        <v>4</v>
      </c>
      <c r="O4258">
        <v>39.662100000000002</v>
      </c>
      <c r="P4258">
        <v>22.450700000000001</v>
      </c>
      <c r="Q4258">
        <v>9.6781199999999998</v>
      </c>
    </row>
    <row r="4259" spans="1:17" x14ac:dyDescent="0.25">
      <c r="A4259">
        <f>IF(C4259&amp;G4259&amp;D4259&lt;&gt;'Funnel setup'!$K$3&amp;'Funnel setup'!$K$4&amp;'Funnel setup'!$K$6,".",IF(A4258=".",1,A4258+1))</f>
        <v>76</v>
      </c>
      <c r="B4259" s="244" t="str">
        <f t="shared" si="66"/>
        <v>Total Hip ReplacementProviderLONDON INDEPENDENT HOSPITAL (NT422)Oxford Hip Score</v>
      </c>
      <c r="C4259" t="s">
        <v>974</v>
      </c>
      <c r="D4259" t="s">
        <v>965</v>
      </c>
      <c r="E4259" t="s">
        <v>308</v>
      </c>
      <c r="F4259" t="s">
        <v>309</v>
      </c>
      <c r="G4259" t="s">
        <v>964</v>
      </c>
      <c r="H4259">
        <v>8</v>
      </c>
      <c r="I4259">
        <v>16.5</v>
      </c>
      <c r="J4259">
        <v>38.125</v>
      </c>
      <c r="K4259">
        <v>21.625</v>
      </c>
      <c r="L4259">
        <v>8</v>
      </c>
      <c r="M4259">
        <v>0</v>
      </c>
      <c r="N4259">
        <v>0</v>
      </c>
      <c r="O4259" t="s">
        <v>127</v>
      </c>
      <c r="P4259" t="s">
        <v>127</v>
      </c>
      <c r="Q4259" t="s">
        <v>127</v>
      </c>
    </row>
    <row r="4260" spans="1:17" x14ac:dyDescent="0.25">
      <c r="A4260">
        <f>IF(C4260&amp;G4260&amp;D4260&lt;&gt;'Funnel setup'!$K$3&amp;'Funnel setup'!$K$4&amp;'Funnel setup'!$K$6,".",IF(A4259=".",1,A4259+1))</f>
        <v>77</v>
      </c>
      <c r="B4260" s="244" t="str">
        <f t="shared" si="66"/>
        <v>Total Hip ReplacementProviderMAIDSTONE AND TUNBRIDGE WELLS NHS TRUST (RWF)Oxford Hip Score</v>
      </c>
      <c r="C4260" t="s">
        <v>974</v>
      </c>
      <c r="D4260" t="s">
        <v>965</v>
      </c>
      <c r="E4260" t="s">
        <v>312</v>
      </c>
      <c r="F4260" t="s">
        <v>313</v>
      </c>
      <c r="G4260" t="s">
        <v>964</v>
      </c>
      <c r="H4260">
        <v>124</v>
      </c>
      <c r="I4260">
        <v>19.1935</v>
      </c>
      <c r="J4260">
        <v>40.532299999999999</v>
      </c>
      <c r="K4260">
        <v>21.338699999999999</v>
      </c>
      <c r="L4260">
        <v>120</v>
      </c>
      <c r="M4260">
        <v>0</v>
      </c>
      <c r="N4260">
        <v>4</v>
      </c>
      <c r="O4260">
        <v>38.865499999999997</v>
      </c>
      <c r="P4260">
        <v>21.6541</v>
      </c>
      <c r="Q4260">
        <v>7.5328900000000001</v>
      </c>
    </row>
    <row r="4261" spans="1:17" x14ac:dyDescent="0.25">
      <c r="A4261">
        <f>IF(C4261&amp;G4261&amp;D4261&lt;&gt;'Funnel setup'!$K$3&amp;'Funnel setup'!$K$4&amp;'Funnel setup'!$K$6,".",IF(A4260=".",1,A4260+1))</f>
        <v>78</v>
      </c>
      <c r="B4261" s="244" t="str">
        <f t="shared" si="66"/>
        <v>Total Hip ReplacementProviderMANCHESTER UNIVERSITY NHS FOUNDATION TRUST (R0A)Oxford Hip Score</v>
      </c>
      <c r="C4261" t="s">
        <v>974</v>
      </c>
      <c r="D4261" t="s">
        <v>965</v>
      </c>
      <c r="E4261" t="s">
        <v>316</v>
      </c>
      <c r="F4261" t="s">
        <v>317</v>
      </c>
      <c r="G4261" t="s">
        <v>964</v>
      </c>
      <c r="H4261">
        <v>103</v>
      </c>
      <c r="I4261">
        <v>17.058299999999999</v>
      </c>
      <c r="J4261">
        <v>37.475700000000003</v>
      </c>
      <c r="K4261">
        <v>20.4175</v>
      </c>
      <c r="L4261">
        <v>98</v>
      </c>
      <c r="M4261">
        <v>0</v>
      </c>
      <c r="N4261">
        <v>5</v>
      </c>
      <c r="O4261">
        <v>38.485999999999997</v>
      </c>
      <c r="P4261">
        <v>21.2746</v>
      </c>
      <c r="Q4261">
        <v>9.7058199999999992</v>
      </c>
    </row>
    <row r="4262" spans="1:17" x14ac:dyDescent="0.25">
      <c r="A4262">
        <f>IF(C4262&amp;G4262&amp;D4262&lt;&gt;'Funnel setup'!$K$3&amp;'Funnel setup'!$K$4&amp;'Funnel setup'!$K$6,".",IF(A4261=".",1,A4261+1))</f>
        <v>79</v>
      </c>
      <c r="B4262" s="244" t="str">
        <f t="shared" si="66"/>
        <v>Total Hip ReplacementProviderMANOR HOSPITAL (NT423)Oxford Hip Score</v>
      </c>
      <c r="C4262" t="s">
        <v>974</v>
      </c>
      <c r="D4262" t="s">
        <v>965</v>
      </c>
      <c r="E4262" t="s">
        <v>318</v>
      </c>
      <c r="F4262" t="s">
        <v>319</v>
      </c>
      <c r="G4262" t="s">
        <v>964</v>
      </c>
      <c r="H4262">
        <v>17</v>
      </c>
      <c r="I4262">
        <v>20.235299999999999</v>
      </c>
      <c r="J4262">
        <v>41.941200000000002</v>
      </c>
      <c r="K4262">
        <v>21.7059</v>
      </c>
      <c r="L4262">
        <v>16</v>
      </c>
      <c r="M4262">
        <v>0</v>
      </c>
      <c r="N4262">
        <v>1</v>
      </c>
      <c r="O4262" t="s">
        <v>127</v>
      </c>
      <c r="P4262" t="s">
        <v>127</v>
      </c>
      <c r="Q4262" t="s">
        <v>127</v>
      </c>
    </row>
    <row r="4263" spans="1:17" x14ac:dyDescent="0.25">
      <c r="A4263">
        <f>IF(C4263&amp;G4263&amp;D4263&lt;&gt;'Funnel setup'!$K$3&amp;'Funnel setup'!$K$4&amp;'Funnel setup'!$K$6,".",IF(A4262=".",1,A4262+1))</f>
        <v>80</v>
      </c>
      <c r="B4263" s="244" t="str">
        <f t="shared" si="66"/>
        <v>Total Hip ReplacementProviderMEDWAY NHS FOUNDATION TRUST (RPA)Oxford Hip Score</v>
      </c>
      <c r="C4263" t="s">
        <v>974</v>
      </c>
      <c r="D4263" t="s">
        <v>965</v>
      </c>
      <c r="E4263" t="s">
        <v>320</v>
      </c>
      <c r="F4263" t="s">
        <v>321</v>
      </c>
      <c r="G4263" t="s">
        <v>964</v>
      </c>
      <c r="H4263">
        <v>48</v>
      </c>
      <c r="I4263">
        <v>14.375</v>
      </c>
      <c r="J4263">
        <v>37.645800000000001</v>
      </c>
      <c r="K4263">
        <v>23.270800000000001</v>
      </c>
      <c r="L4263">
        <v>47</v>
      </c>
      <c r="M4263">
        <v>0</v>
      </c>
      <c r="N4263">
        <v>1</v>
      </c>
      <c r="O4263">
        <v>38.678699999999999</v>
      </c>
      <c r="P4263">
        <v>21.467300000000002</v>
      </c>
      <c r="Q4263">
        <v>8.1486199999999993</v>
      </c>
    </row>
    <row r="4264" spans="1:17" x14ac:dyDescent="0.25">
      <c r="A4264">
        <f>IF(C4264&amp;G4264&amp;D4264&lt;&gt;'Funnel setup'!$K$3&amp;'Funnel setup'!$K$4&amp;'Funnel setup'!$K$6,".",IF(A4263=".",1,A4263+1))</f>
        <v>81</v>
      </c>
      <c r="B4264" s="244" t="str">
        <f t="shared" si="66"/>
        <v>Total Hip ReplacementProviderMERIDEN HOSPITAL (NT424)Oxford Hip Score</v>
      </c>
      <c r="C4264" t="s">
        <v>974</v>
      </c>
      <c r="D4264" t="s">
        <v>965</v>
      </c>
      <c r="E4264" t="s">
        <v>322</v>
      </c>
      <c r="F4264" t="s">
        <v>323</v>
      </c>
      <c r="G4264" t="s">
        <v>964</v>
      </c>
      <c r="H4264">
        <v>6</v>
      </c>
      <c r="I4264">
        <v>15.333299999999999</v>
      </c>
      <c r="J4264">
        <v>43.833300000000001</v>
      </c>
      <c r="K4264">
        <v>28.5</v>
      </c>
      <c r="L4264">
        <v>6</v>
      </c>
      <c r="M4264">
        <v>0</v>
      </c>
      <c r="N4264">
        <v>0</v>
      </c>
      <c r="O4264" t="s">
        <v>127</v>
      </c>
      <c r="P4264" t="s">
        <v>127</v>
      </c>
      <c r="Q4264" t="s">
        <v>127</v>
      </c>
    </row>
    <row r="4265" spans="1:17" x14ac:dyDescent="0.25">
      <c r="A4265">
        <f>IF(C4265&amp;G4265&amp;D4265&lt;&gt;'Funnel setup'!$K$3&amp;'Funnel setup'!$K$4&amp;'Funnel setup'!$K$6,".",IF(A4264=".",1,A4264+1))</f>
        <v>82</v>
      </c>
      <c r="B4265" s="244" t="str">
        <f t="shared" si="66"/>
        <v>Total Hip ReplacementProviderMID AND SOUTH ESSEX NHS FOUNDATION TRUST (RAJ)Oxford Hip Score</v>
      </c>
      <c r="C4265" t="s">
        <v>974</v>
      </c>
      <c r="D4265" t="s">
        <v>965</v>
      </c>
      <c r="E4265" t="s">
        <v>324</v>
      </c>
      <c r="F4265" t="s">
        <v>325</v>
      </c>
      <c r="G4265" t="s">
        <v>964</v>
      </c>
      <c r="H4265">
        <v>127</v>
      </c>
      <c r="I4265">
        <v>14.1417</v>
      </c>
      <c r="J4265">
        <v>39.133899999999997</v>
      </c>
      <c r="K4265">
        <v>24.992100000000001</v>
      </c>
      <c r="L4265">
        <v>126</v>
      </c>
      <c r="M4265">
        <v>0</v>
      </c>
      <c r="N4265">
        <v>1</v>
      </c>
      <c r="O4265">
        <v>40.532800000000002</v>
      </c>
      <c r="P4265">
        <v>23.321400000000001</v>
      </c>
      <c r="Q4265">
        <v>7.6601900000000001</v>
      </c>
    </row>
    <row r="4266" spans="1:17" x14ac:dyDescent="0.25">
      <c r="A4266">
        <f>IF(C4266&amp;G4266&amp;D4266&lt;&gt;'Funnel setup'!$K$3&amp;'Funnel setup'!$K$4&amp;'Funnel setup'!$K$6,".",IF(A4265=".",1,A4265+1))</f>
        <v>83</v>
      </c>
      <c r="B4266" s="244" t="str">
        <f t="shared" si="66"/>
        <v>Total Hip ReplacementProviderMID CHESHIRE HOSPITALS NHS FOUNDATION TRUST (RBT)Oxford Hip Score</v>
      </c>
      <c r="C4266" t="s">
        <v>974</v>
      </c>
      <c r="D4266" t="s">
        <v>965</v>
      </c>
      <c r="E4266" t="s">
        <v>326</v>
      </c>
      <c r="F4266" t="s">
        <v>327</v>
      </c>
      <c r="G4266" t="s">
        <v>964</v>
      </c>
      <c r="H4266">
        <v>112</v>
      </c>
      <c r="I4266">
        <v>16.401800000000001</v>
      </c>
      <c r="J4266">
        <v>40.616100000000003</v>
      </c>
      <c r="K4266">
        <v>24.214300000000001</v>
      </c>
      <c r="L4266">
        <v>111</v>
      </c>
      <c r="M4266">
        <v>1</v>
      </c>
      <c r="N4266">
        <v>0</v>
      </c>
      <c r="O4266">
        <v>40.838700000000003</v>
      </c>
      <c r="P4266">
        <v>23.627300000000002</v>
      </c>
      <c r="Q4266">
        <v>7.5113300000000001</v>
      </c>
    </row>
    <row r="4267" spans="1:17" x14ac:dyDescent="0.25">
      <c r="A4267">
        <f>IF(C4267&amp;G4267&amp;D4267&lt;&gt;'Funnel setup'!$K$3&amp;'Funnel setup'!$K$4&amp;'Funnel setup'!$K$6,".",IF(A4266=".",1,A4266+1))</f>
        <v>84</v>
      </c>
      <c r="B4267" s="244" t="str">
        <f t="shared" si="66"/>
        <v>Total Hip ReplacementProviderMID YORKSHIRE TEACHING NHS TRUST (RXF)Oxford Hip Score</v>
      </c>
      <c r="C4267" t="s">
        <v>974</v>
      </c>
      <c r="D4267" t="s">
        <v>965</v>
      </c>
      <c r="E4267" t="s">
        <v>330</v>
      </c>
      <c r="F4267" t="s">
        <v>331</v>
      </c>
      <c r="G4267" t="s">
        <v>964</v>
      </c>
      <c r="H4267">
        <v>187</v>
      </c>
      <c r="I4267">
        <v>16.507999999999999</v>
      </c>
      <c r="J4267">
        <v>37.855600000000003</v>
      </c>
      <c r="K4267">
        <v>21.3476</v>
      </c>
      <c r="L4267">
        <v>182</v>
      </c>
      <c r="M4267">
        <v>0</v>
      </c>
      <c r="N4267">
        <v>5</v>
      </c>
      <c r="O4267">
        <v>39.020800000000001</v>
      </c>
      <c r="P4267">
        <v>21.8094</v>
      </c>
      <c r="Q4267">
        <v>9.5394699999999997</v>
      </c>
    </row>
    <row r="4268" spans="1:17" x14ac:dyDescent="0.25">
      <c r="A4268">
        <f>IF(C4268&amp;G4268&amp;D4268&lt;&gt;'Funnel setup'!$K$3&amp;'Funnel setup'!$K$4&amp;'Funnel setup'!$K$6,".",IF(A4267=".",1,A4267+1))</f>
        <v>85</v>
      </c>
      <c r="B4268" s="244" t="str">
        <f t="shared" si="66"/>
        <v>Total Hip ReplacementProviderMILTON KEYNES UNIVERSITY HOSPITAL NHS FOUNDATION TRUST (RD8)Oxford Hip Score</v>
      </c>
      <c r="C4268" t="s">
        <v>974</v>
      </c>
      <c r="D4268" t="s">
        <v>965</v>
      </c>
      <c r="E4268" t="s">
        <v>332</v>
      </c>
      <c r="F4268" t="s">
        <v>333</v>
      </c>
      <c r="G4268" t="s">
        <v>964</v>
      </c>
      <c r="H4268">
        <v>39</v>
      </c>
      <c r="I4268">
        <v>12.225</v>
      </c>
      <c r="J4268">
        <v>39.325000000000003</v>
      </c>
      <c r="K4268">
        <v>27.1</v>
      </c>
      <c r="L4268">
        <v>39</v>
      </c>
      <c r="M4268">
        <v>0</v>
      </c>
      <c r="N4268">
        <v>0</v>
      </c>
      <c r="O4268">
        <v>42.176600000000001</v>
      </c>
      <c r="P4268">
        <v>24.965199999999999</v>
      </c>
      <c r="Q4268">
        <v>8.8437900000000003</v>
      </c>
    </row>
    <row r="4269" spans="1:17" x14ac:dyDescent="0.25">
      <c r="A4269">
        <f>IF(C4269&amp;G4269&amp;D4269&lt;&gt;'Funnel setup'!$K$3&amp;'Funnel setup'!$K$4&amp;'Funnel setup'!$K$6,".",IF(A4268=".",1,A4268+1))</f>
        <v>86</v>
      </c>
      <c r="B4269" s="244" t="str">
        <f t="shared" si="66"/>
        <v>Total Hip ReplacementProviderMOUNT ALVERNIA HOSPITAL (NT455)Oxford Hip Score</v>
      </c>
      <c r="C4269" t="s">
        <v>974</v>
      </c>
      <c r="D4269" t="s">
        <v>965</v>
      </c>
      <c r="E4269" t="s">
        <v>334</v>
      </c>
      <c r="F4269" t="s">
        <v>335</v>
      </c>
      <c r="G4269" t="s">
        <v>964</v>
      </c>
      <c r="H4269">
        <v>8</v>
      </c>
      <c r="I4269">
        <v>23.25</v>
      </c>
      <c r="J4269">
        <v>46.25</v>
      </c>
      <c r="K4269">
        <v>23</v>
      </c>
      <c r="L4269">
        <v>8</v>
      </c>
      <c r="M4269">
        <v>0</v>
      </c>
      <c r="N4269">
        <v>0</v>
      </c>
      <c r="O4269" t="s">
        <v>127</v>
      </c>
      <c r="P4269" t="s">
        <v>127</v>
      </c>
      <c r="Q4269" t="s">
        <v>127</v>
      </c>
    </row>
    <row r="4270" spans="1:17" x14ac:dyDescent="0.25">
      <c r="A4270">
        <f>IF(C4270&amp;G4270&amp;D4270&lt;&gt;'Funnel setup'!$K$3&amp;'Funnel setup'!$K$4&amp;'Funnel setup'!$K$6,".",IF(A4269=".",1,A4269+1))</f>
        <v>87</v>
      </c>
      <c r="B4270" s="244" t="str">
        <f t="shared" si="66"/>
        <v>Total Hip ReplacementProviderMOUNT STUART HOSPITAL (NVC08)Oxford Hip Score</v>
      </c>
      <c r="C4270" t="s">
        <v>974</v>
      </c>
      <c r="D4270" t="s">
        <v>965</v>
      </c>
      <c r="E4270" t="s">
        <v>336</v>
      </c>
      <c r="F4270" t="s">
        <v>337</v>
      </c>
      <c r="G4270" t="s">
        <v>964</v>
      </c>
      <c r="H4270">
        <v>88</v>
      </c>
      <c r="I4270">
        <v>16.329499999999999</v>
      </c>
      <c r="J4270">
        <v>40.8977</v>
      </c>
      <c r="K4270">
        <v>24.568200000000001</v>
      </c>
      <c r="L4270">
        <v>87</v>
      </c>
      <c r="M4270">
        <v>0</v>
      </c>
      <c r="N4270">
        <v>1</v>
      </c>
      <c r="O4270">
        <v>41.337699999999998</v>
      </c>
      <c r="P4270">
        <v>24.126200000000001</v>
      </c>
      <c r="Q4270">
        <v>7.7504200000000001</v>
      </c>
    </row>
    <row r="4271" spans="1:17" x14ac:dyDescent="0.25">
      <c r="A4271">
        <f>IF(C4271&amp;G4271&amp;D4271&lt;&gt;'Funnel setup'!$K$3&amp;'Funnel setup'!$K$4&amp;'Funnel setup'!$K$6,".",IF(A4270=".",1,A4270+1))</f>
        <v>88</v>
      </c>
      <c r="B4271" s="244" t="str">
        <f t="shared" si="66"/>
        <v>Total Hip ReplacementProviderNEW HALL HOSPITAL (NVC09)Oxford Hip Score</v>
      </c>
      <c r="C4271" t="s">
        <v>974</v>
      </c>
      <c r="D4271" t="s">
        <v>965</v>
      </c>
      <c r="E4271" t="s">
        <v>338</v>
      </c>
      <c r="F4271" t="s">
        <v>339</v>
      </c>
      <c r="G4271" t="s">
        <v>964</v>
      </c>
      <c r="H4271">
        <v>94</v>
      </c>
      <c r="I4271">
        <v>18.052600000000002</v>
      </c>
      <c r="J4271">
        <v>41.547400000000003</v>
      </c>
      <c r="K4271">
        <v>23.494700000000002</v>
      </c>
      <c r="L4271">
        <v>94</v>
      </c>
      <c r="M4271">
        <v>0</v>
      </c>
      <c r="N4271">
        <v>0</v>
      </c>
      <c r="O4271">
        <v>40.186300000000003</v>
      </c>
      <c r="P4271">
        <v>22.974900000000002</v>
      </c>
      <c r="Q4271">
        <v>7.4834399999999999</v>
      </c>
    </row>
    <row r="4272" spans="1:17" x14ac:dyDescent="0.25">
      <c r="A4272">
        <f>IF(C4272&amp;G4272&amp;D4272&lt;&gt;'Funnel setup'!$K$3&amp;'Funnel setup'!$K$4&amp;'Funnel setup'!$K$6,".",IF(A4271=".",1,A4271+1))</f>
        <v>89</v>
      </c>
      <c r="B4272" s="244" t="str">
        <f t="shared" si="66"/>
        <v>Total Hip ReplacementProviderNORFOLK AND NORWICH UNIVERSITY HOSPITALS NHS FOUNDATION TRUST (RM1)Oxford Hip Score</v>
      </c>
      <c r="C4272" t="s">
        <v>974</v>
      </c>
      <c r="D4272" t="s">
        <v>965</v>
      </c>
      <c r="E4272" t="s">
        <v>340</v>
      </c>
      <c r="F4272" t="s">
        <v>341</v>
      </c>
      <c r="G4272" t="s">
        <v>964</v>
      </c>
      <c r="H4272">
        <v>202</v>
      </c>
      <c r="I4272">
        <v>14.7822</v>
      </c>
      <c r="J4272">
        <v>37.792099999999998</v>
      </c>
      <c r="K4272">
        <v>23.009899999999998</v>
      </c>
      <c r="L4272">
        <v>194</v>
      </c>
      <c r="M4272">
        <v>1</v>
      </c>
      <c r="N4272">
        <v>7</v>
      </c>
      <c r="O4272">
        <v>40.155200000000001</v>
      </c>
      <c r="P4272">
        <v>22.9438</v>
      </c>
      <c r="Q4272">
        <v>9.2104099999999995</v>
      </c>
    </row>
    <row r="4273" spans="1:17" x14ac:dyDescent="0.25">
      <c r="A4273">
        <f>IF(C4273&amp;G4273&amp;D4273&lt;&gt;'Funnel setup'!$K$3&amp;'Funnel setup'!$K$4&amp;'Funnel setup'!$K$6,".",IF(A4272=".",1,A4272+1))</f>
        <v>90</v>
      </c>
      <c r="B4273" s="244" t="str">
        <f t="shared" si="66"/>
        <v>Total Hip ReplacementProviderNORTH BRISTOL NHS TRUST (RVJ)Oxford Hip Score</v>
      </c>
      <c r="C4273" t="s">
        <v>974</v>
      </c>
      <c r="D4273" t="s">
        <v>965</v>
      </c>
      <c r="E4273" t="s">
        <v>342</v>
      </c>
      <c r="F4273" t="s">
        <v>343</v>
      </c>
      <c r="G4273" t="s">
        <v>964</v>
      </c>
      <c r="H4273">
        <v>9</v>
      </c>
      <c r="I4273">
        <v>11.4444</v>
      </c>
      <c r="J4273">
        <v>35.333300000000001</v>
      </c>
      <c r="K4273">
        <v>23.8889</v>
      </c>
      <c r="L4273">
        <v>9</v>
      </c>
      <c r="M4273">
        <v>0</v>
      </c>
      <c r="N4273">
        <v>0</v>
      </c>
      <c r="O4273" t="s">
        <v>127</v>
      </c>
      <c r="P4273" t="s">
        <v>127</v>
      </c>
      <c r="Q4273" t="s">
        <v>127</v>
      </c>
    </row>
    <row r="4274" spans="1:17" x14ac:dyDescent="0.25">
      <c r="A4274">
        <f>IF(C4274&amp;G4274&amp;D4274&lt;&gt;'Funnel setup'!$K$3&amp;'Funnel setup'!$K$4&amp;'Funnel setup'!$K$6,".",IF(A4273=".",1,A4273+1))</f>
        <v>91</v>
      </c>
      <c r="B4274" s="244" t="str">
        <f t="shared" si="66"/>
        <v>Total Hip ReplacementProviderNORTH CUMBRIA INTEGRATED CARE NHS FOUNDATION TRUST (RNN)Oxford Hip Score</v>
      </c>
      <c r="C4274" t="s">
        <v>974</v>
      </c>
      <c r="D4274" t="s">
        <v>965</v>
      </c>
      <c r="E4274" t="s">
        <v>344</v>
      </c>
      <c r="F4274" t="s">
        <v>345</v>
      </c>
      <c r="G4274" t="s">
        <v>964</v>
      </c>
      <c r="H4274">
        <v>90</v>
      </c>
      <c r="I4274">
        <v>12.3889</v>
      </c>
      <c r="J4274">
        <v>38.6</v>
      </c>
      <c r="K4274">
        <v>26.211099999999998</v>
      </c>
      <c r="L4274">
        <v>89</v>
      </c>
      <c r="M4274">
        <v>0</v>
      </c>
      <c r="N4274">
        <v>1</v>
      </c>
      <c r="O4274">
        <v>41.608400000000003</v>
      </c>
      <c r="P4274">
        <v>24.396999999999998</v>
      </c>
      <c r="Q4274">
        <v>8.2959300000000002</v>
      </c>
    </row>
    <row r="4275" spans="1:17" x14ac:dyDescent="0.25">
      <c r="A4275">
        <f>IF(C4275&amp;G4275&amp;D4275&lt;&gt;'Funnel setup'!$K$3&amp;'Funnel setup'!$K$4&amp;'Funnel setup'!$K$6,".",IF(A4274=".",1,A4274+1))</f>
        <v>92</v>
      </c>
      <c r="B4275" s="244" t="str">
        <f t="shared" si="66"/>
        <v>Total Hip ReplacementProviderNORTH DOWNS HOSPITAL (NVC11)Oxford Hip Score</v>
      </c>
      <c r="C4275" t="s">
        <v>974</v>
      </c>
      <c r="D4275" t="s">
        <v>965</v>
      </c>
      <c r="E4275" t="s">
        <v>348</v>
      </c>
      <c r="F4275" t="s">
        <v>349</v>
      </c>
      <c r="G4275" t="s">
        <v>964</v>
      </c>
      <c r="H4275">
        <v>60</v>
      </c>
      <c r="I4275">
        <v>20.571400000000001</v>
      </c>
      <c r="J4275">
        <v>43.095199999999998</v>
      </c>
      <c r="K4275">
        <v>22.523800000000001</v>
      </c>
      <c r="L4275">
        <v>59</v>
      </c>
      <c r="M4275">
        <v>0</v>
      </c>
      <c r="N4275">
        <v>1</v>
      </c>
      <c r="O4275">
        <v>40.416699999999999</v>
      </c>
      <c r="P4275">
        <v>23.205300000000001</v>
      </c>
      <c r="Q4275">
        <v>6.2107999999999999</v>
      </c>
    </row>
    <row r="4276" spans="1:17" x14ac:dyDescent="0.25">
      <c r="A4276">
        <f>IF(C4276&amp;G4276&amp;D4276&lt;&gt;'Funnel setup'!$K$3&amp;'Funnel setup'!$K$4&amp;'Funnel setup'!$K$6,".",IF(A4275=".",1,A4275+1))</f>
        <v>93</v>
      </c>
      <c r="B4276" s="244" t="str">
        <f t="shared" si="66"/>
        <v>Total Hip ReplacementProviderNORTH MIDDLESEX UNIVERSITY HOSPITAL NHS TRUST (RAP)Oxford Hip Score</v>
      </c>
      <c r="C4276" t="s">
        <v>974</v>
      </c>
      <c r="D4276" t="s">
        <v>965</v>
      </c>
      <c r="E4276" t="s">
        <v>350</v>
      </c>
      <c r="F4276" t="s">
        <v>351</v>
      </c>
      <c r="G4276" t="s">
        <v>964</v>
      </c>
      <c r="H4276">
        <v>8</v>
      </c>
      <c r="I4276">
        <v>12.5</v>
      </c>
      <c r="J4276">
        <v>26.25</v>
      </c>
      <c r="K4276">
        <v>13.75</v>
      </c>
      <c r="L4276">
        <v>6</v>
      </c>
      <c r="M4276">
        <v>1</v>
      </c>
      <c r="N4276">
        <v>1</v>
      </c>
      <c r="O4276" t="s">
        <v>127</v>
      </c>
      <c r="P4276" t="s">
        <v>127</v>
      </c>
      <c r="Q4276" t="s">
        <v>127</v>
      </c>
    </row>
    <row r="4277" spans="1:17" x14ac:dyDescent="0.25">
      <c r="A4277">
        <f>IF(C4277&amp;G4277&amp;D4277&lt;&gt;'Funnel setup'!$K$3&amp;'Funnel setup'!$K$4&amp;'Funnel setup'!$K$6,".",IF(A4276=".",1,A4276+1))</f>
        <v>94</v>
      </c>
      <c r="B4277" s="244" t="str">
        <f t="shared" si="66"/>
        <v>Total Hip ReplacementProviderNORTH TEES AND HARTLEPOOL NHS FOUNDATION TRUST (RVW)Oxford Hip Score</v>
      </c>
      <c r="C4277" t="s">
        <v>974</v>
      </c>
      <c r="D4277" t="s">
        <v>965</v>
      </c>
      <c r="E4277" t="s">
        <v>352</v>
      </c>
      <c r="F4277" t="s">
        <v>353</v>
      </c>
      <c r="G4277" t="s">
        <v>964</v>
      </c>
      <c r="H4277">
        <v>116</v>
      </c>
      <c r="I4277">
        <v>14</v>
      </c>
      <c r="J4277">
        <v>36.948300000000003</v>
      </c>
      <c r="K4277">
        <v>22.9483</v>
      </c>
      <c r="L4277">
        <v>115</v>
      </c>
      <c r="M4277">
        <v>0</v>
      </c>
      <c r="N4277">
        <v>1</v>
      </c>
      <c r="O4277">
        <v>39.9437</v>
      </c>
      <c r="P4277">
        <v>22.732199999999999</v>
      </c>
      <c r="Q4277">
        <v>8.9224999999999994</v>
      </c>
    </row>
    <row r="4278" spans="1:17" x14ac:dyDescent="0.25">
      <c r="A4278">
        <f>IF(C4278&amp;G4278&amp;D4278&lt;&gt;'Funnel setup'!$K$3&amp;'Funnel setup'!$K$4&amp;'Funnel setup'!$K$6,".",IF(A4277=".",1,A4277+1))</f>
        <v>95</v>
      </c>
      <c r="B4278" s="244" t="str">
        <f t="shared" si="66"/>
        <v>Total Hip ReplacementProviderNORTH WEST ANGLIA NHS FOUNDATION TRUST (RGN)Oxford Hip Score</v>
      </c>
      <c r="C4278" t="s">
        <v>974</v>
      </c>
      <c r="D4278" t="s">
        <v>965</v>
      </c>
      <c r="E4278" t="s">
        <v>354</v>
      </c>
      <c r="F4278" t="s">
        <v>355</v>
      </c>
      <c r="G4278" t="s">
        <v>964</v>
      </c>
      <c r="H4278">
        <v>175</v>
      </c>
      <c r="I4278">
        <v>13.902900000000001</v>
      </c>
      <c r="J4278">
        <v>38.645699999999998</v>
      </c>
      <c r="K4278">
        <v>24.742899999999999</v>
      </c>
      <c r="L4278">
        <v>172</v>
      </c>
      <c r="M4278">
        <v>0</v>
      </c>
      <c r="N4278">
        <v>3</v>
      </c>
      <c r="O4278">
        <v>40.102400000000003</v>
      </c>
      <c r="P4278">
        <v>22.890999999999998</v>
      </c>
      <c r="Q4278">
        <v>8.7929499999999994</v>
      </c>
    </row>
    <row r="4279" spans="1:17" x14ac:dyDescent="0.25">
      <c r="A4279">
        <f>IF(C4279&amp;G4279&amp;D4279&lt;&gt;'Funnel setup'!$K$3&amp;'Funnel setup'!$K$4&amp;'Funnel setup'!$K$6,".",IF(A4278=".",1,A4278+1))</f>
        <v>96</v>
      </c>
      <c r="B4279" s="244" t="str">
        <f t="shared" si="66"/>
        <v>Total Hip ReplacementProviderNORTHAMPTON GENERAL HOSPITAL NHS TRUST (RNS)Oxford Hip Score</v>
      </c>
      <c r="C4279" t="s">
        <v>974</v>
      </c>
      <c r="D4279" t="s">
        <v>965</v>
      </c>
      <c r="E4279" t="s">
        <v>356</v>
      </c>
      <c r="F4279" t="s">
        <v>357</v>
      </c>
      <c r="G4279" t="s">
        <v>964</v>
      </c>
      <c r="H4279">
        <v>45</v>
      </c>
      <c r="I4279">
        <v>14.2889</v>
      </c>
      <c r="J4279">
        <v>38.488900000000001</v>
      </c>
      <c r="K4279">
        <v>24.2</v>
      </c>
      <c r="L4279">
        <v>44</v>
      </c>
      <c r="M4279">
        <v>0</v>
      </c>
      <c r="N4279">
        <v>1</v>
      </c>
      <c r="O4279">
        <v>40.747799999999998</v>
      </c>
      <c r="P4279">
        <v>23.5364</v>
      </c>
      <c r="Q4279">
        <v>8.8865300000000005</v>
      </c>
    </row>
    <row r="4280" spans="1:17" x14ac:dyDescent="0.25">
      <c r="A4280">
        <f>IF(C4280&amp;G4280&amp;D4280&lt;&gt;'Funnel setup'!$K$3&amp;'Funnel setup'!$K$4&amp;'Funnel setup'!$K$6,".",IF(A4279=".",1,A4279+1))</f>
        <v>97</v>
      </c>
      <c r="B4280" s="244" t="str">
        <f t="shared" si="66"/>
        <v>Total Hip ReplacementProviderNORTHERN CARE ALLIANCE NHS FOUNDATION TRUST (RM3)Oxford Hip Score</v>
      </c>
      <c r="C4280" t="s">
        <v>974</v>
      </c>
      <c r="D4280" t="s">
        <v>965</v>
      </c>
      <c r="E4280" t="s">
        <v>358</v>
      </c>
      <c r="F4280" t="s">
        <v>359</v>
      </c>
      <c r="G4280" t="s">
        <v>964</v>
      </c>
      <c r="H4280">
        <v>5</v>
      </c>
      <c r="I4280">
        <v>11.2</v>
      </c>
      <c r="J4280">
        <v>43.4</v>
      </c>
      <c r="K4280">
        <v>32.200000000000003</v>
      </c>
      <c r="L4280">
        <v>5</v>
      </c>
      <c r="M4280">
        <v>0</v>
      </c>
      <c r="N4280">
        <v>0</v>
      </c>
      <c r="O4280" t="s">
        <v>127</v>
      </c>
      <c r="P4280" t="s">
        <v>127</v>
      </c>
      <c r="Q4280" t="s">
        <v>127</v>
      </c>
    </row>
    <row r="4281" spans="1:17" x14ac:dyDescent="0.25">
      <c r="A4281">
        <f>IF(C4281&amp;G4281&amp;D4281&lt;&gt;'Funnel setup'!$K$3&amp;'Funnel setup'!$K$4&amp;'Funnel setup'!$K$6,".",IF(A4280=".",1,A4280+1))</f>
        <v>98</v>
      </c>
      <c r="B4281" s="244" t="str">
        <f t="shared" si="66"/>
        <v>Total Hip ReplacementProviderNORTHERN DEVON HEALTHCARE NHS TRUST (RBZ)Oxford Hip Score</v>
      </c>
      <c r="C4281" t="s">
        <v>974</v>
      </c>
      <c r="D4281" t="s">
        <v>965</v>
      </c>
      <c r="E4281" t="s">
        <v>360</v>
      </c>
      <c r="F4281" t="s">
        <v>361</v>
      </c>
      <c r="G4281" t="s">
        <v>964</v>
      </c>
      <c r="H4281">
        <v>34</v>
      </c>
      <c r="I4281">
        <v>15.029400000000001</v>
      </c>
      <c r="J4281">
        <v>40.882399999999997</v>
      </c>
      <c r="K4281">
        <v>25.852900000000002</v>
      </c>
      <c r="L4281">
        <v>34</v>
      </c>
      <c r="M4281">
        <v>0</v>
      </c>
      <c r="N4281">
        <v>0</v>
      </c>
      <c r="O4281">
        <v>43.398499999999999</v>
      </c>
      <c r="P4281">
        <v>26.187100000000001</v>
      </c>
      <c r="Q4281">
        <v>6.6360999999999999</v>
      </c>
    </row>
    <row r="4282" spans="1:17" x14ac:dyDescent="0.25">
      <c r="A4282">
        <f>IF(C4282&amp;G4282&amp;D4282&lt;&gt;'Funnel setup'!$K$3&amp;'Funnel setup'!$K$4&amp;'Funnel setup'!$K$6,".",IF(A4281=".",1,A4281+1))</f>
        <v>99</v>
      </c>
      <c r="B4282" s="244" t="str">
        <f t="shared" si="66"/>
        <v>Total Hip ReplacementProviderNORTHERN LINCOLNSHIRE AND GOOLE NHS FOUNDATION TRUST (RJL)Oxford Hip Score</v>
      </c>
      <c r="C4282" t="s">
        <v>974</v>
      </c>
      <c r="D4282" t="s">
        <v>965</v>
      </c>
      <c r="E4282" t="s">
        <v>362</v>
      </c>
      <c r="F4282" t="s">
        <v>363</v>
      </c>
      <c r="G4282" t="s">
        <v>964</v>
      </c>
      <c r="H4282">
        <v>95</v>
      </c>
      <c r="I4282">
        <v>14.4316</v>
      </c>
      <c r="J4282">
        <v>38.2211</v>
      </c>
      <c r="K4282">
        <v>23.7895</v>
      </c>
      <c r="L4282">
        <v>91</v>
      </c>
      <c r="M4282">
        <v>1</v>
      </c>
      <c r="N4282">
        <v>3</v>
      </c>
      <c r="O4282">
        <v>39.234499999999997</v>
      </c>
      <c r="P4282">
        <v>22.023099999999999</v>
      </c>
      <c r="Q4282">
        <v>9.2396100000000008</v>
      </c>
    </row>
    <row r="4283" spans="1:17" x14ac:dyDescent="0.25">
      <c r="A4283">
        <f>IF(C4283&amp;G4283&amp;D4283&lt;&gt;'Funnel setup'!$K$3&amp;'Funnel setup'!$K$4&amp;'Funnel setup'!$K$6,".",IF(A4282=".",1,A4282+1))</f>
        <v>100</v>
      </c>
      <c r="B4283" s="244" t="str">
        <f t="shared" si="66"/>
        <v>Total Hip ReplacementProviderNORTHUMBRIA HEALTHCARE NHS FOUNDATION TRUST (RTF)Oxford Hip Score</v>
      </c>
      <c r="C4283" t="s">
        <v>974</v>
      </c>
      <c r="D4283" t="s">
        <v>965</v>
      </c>
      <c r="E4283" t="s">
        <v>364</v>
      </c>
      <c r="F4283" t="s">
        <v>365</v>
      </c>
      <c r="G4283" t="s">
        <v>964</v>
      </c>
      <c r="H4283">
        <v>310</v>
      </c>
      <c r="I4283">
        <v>16.2226</v>
      </c>
      <c r="J4283">
        <v>40.651600000000002</v>
      </c>
      <c r="K4283">
        <v>24.428999999999998</v>
      </c>
      <c r="L4283">
        <v>304</v>
      </c>
      <c r="M4283">
        <v>1</v>
      </c>
      <c r="N4283">
        <v>5</v>
      </c>
      <c r="O4283">
        <v>41.751800000000003</v>
      </c>
      <c r="P4283">
        <v>24.540400000000002</v>
      </c>
      <c r="Q4283">
        <v>8.0442800000000005</v>
      </c>
    </row>
    <row r="4284" spans="1:17" x14ac:dyDescent="0.25">
      <c r="A4284">
        <f>IF(C4284&amp;G4284&amp;D4284&lt;&gt;'Funnel setup'!$K$3&amp;'Funnel setup'!$K$4&amp;'Funnel setup'!$K$6,".",IF(A4283=".",1,A4283+1))</f>
        <v>101</v>
      </c>
      <c r="B4284" s="244" t="str">
        <f t="shared" si="66"/>
        <v>Total Hip ReplacementProviderNOTTINGHAM UNIVERSITY HOSPITALS NHS TRUST (RX1)Oxford Hip Score</v>
      </c>
      <c r="C4284" t="s">
        <v>974</v>
      </c>
      <c r="D4284" t="s">
        <v>965</v>
      </c>
      <c r="E4284" t="s">
        <v>366</v>
      </c>
      <c r="F4284" t="s">
        <v>367</v>
      </c>
      <c r="G4284" t="s">
        <v>964</v>
      </c>
      <c r="H4284">
        <v>3</v>
      </c>
      <c r="I4284">
        <v>17.666699999999999</v>
      </c>
      <c r="J4284">
        <v>38.666699999999999</v>
      </c>
      <c r="K4284">
        <v>21</v>
      </c>
      <c r="L4284">
        <v>3</v>
      </c>
      <c r="M4284">
        <v>0</v>
      </c>
      <c r="N4284">
        <v>0</v>
      </c>
      <c r="O4284" t="s">
        <v>127</v>
      </c>
      <c r="P4284" t="s">
        <v>127</v>
      </c>
      <c r="Q4284" t="s">
        <v>127</v>
      </c>
    </row>
    <row r="4285" spans="1:17" x14ac:dyDescent="0.25">
      <c r="A4285">
        <f>IF(C4285&amp;G4285&amp;D4285&lt;&gt;'Funnel setup'!$K$3&amp;'Funnel setup'!$K$4&amp;'Funnel setup'!$K$6,".",IF(A4284=".",1,A4284+1))</f>
        <v>102</v>
      </c>
      <c r="B4285" s="244" t="str">
        <f t="shared" si="66"/>
        <v>Total Hip ReplacementProviderNUFFIELD HEALTH, BOURNEMOUTH HOSPITAL (NT202)Oxford Hip Score</v>
      </c>
      <c r="C4285" t="s">
        <v>974</v>
      </c>
      <c r="D4285" t="s">
        <v>965</v>
      </c>
      <c r="E4285" t="s">
        <v>368</v>
      </c>
      <c r="F4285" t="s">
        <v>369</v>
      </c>
      <c r="G4285" t="s">
        <v>964</v>
      </c>
      <c r="H4285">
        <v>14</v>
      </c>
      <c r="I4285">
        <v>16.357099999999999</v>
      </c>
      <c r="J4285">
        <v>43.285699999999999</v>
      </c>
      <c r="K4285">
        <v>26.928599999999999</v>
      </c>
      <c r="L4285">
        <v>14</v>
      </c>
      <c r="M4285">
        <v>0</v>
      </c>
      <c r="N4285">
        <v>0</v>
      </c>
      <c r="O4285" t="s">
        <v>127</v>
      </c>
      <c r="P4285" t="s">
        <v>127</v>
      </c>
      <c r="Q4285" t="s">
        <v>127</v>
      </c>
    </row>
    <row r="4286" spans="1:17" x14ac:dyDescent="0.25">
      <c r="A4286">
        <f>IF(C4286&amp;G4286&amp;D4286&lt;&gt;'Funnel setup'!$K$3&amp;'Funnel setup'!$K$4&amp;'Funnel setup'!$K$6,".",IF(A4285=".",1,A4285+1))</f>
        <v>103</v>
      </c>
      <c r="B4286" s="244" t="str">
        <f t="shared" si="66"/>
        <v>Total Hip ReplacementProviderNUFFIELD HEALTH, BRENTWOOD HOSPITAL (NT204)Oxford Hip Score</v>
      </c>
      <c r="C4286" t="s">
        <v>974</v>
      </c>
      <c r="D4286" t="s">
        <v>965</v>
      </c>
      <c r="E4286" t="s">
        <v>370</v>
      </c>
      <c r="F4286" t="s">
        <v>371</v>
      </c>
      <c r="G4286" t="s">
        <v>964</v>
      </c>
      <c r="H4286">
        <v>16</v>
      </c>
      <c r="I4286">
        <v>14.375</v>
      </c>
      <c r="J4286">
        <v>42.875</v>
      </c>
      <c r="K4286">
        <v>28.5</v>
      </c>
      <c r="L4286">
        <v>16</v>
      </c>
      <c r="M4286">
        <v>0</v>
      </c>
      <c r="N4286">
        <v>0</v>
      </c>
      <c r="O4286" t="s">
        <v>127</v>
      </c>
      <c r="P4286" t="s">
        <v>127</v>
      </c>
      <c r="Q4286" t="s">
        <v>127</v>
      </c>
    </row>
    <row r="4287" spans="1:17" x14ac:dyDescent="0.25">
      <c r="A4287">
        <f>IF(C4287&amp;G4287&amp;D4287&lt;&gt;'Funnel setup'!$K$3&amp;'Funnel setup'!$K$4&amp;'Funnel setup'!$K$6,".",IF(A4286=".",1,A4286+1))</f>
        <v>104</v>
      </c>
      <c r="B4287" s="244" t="str">
        <f t="shared" si="66"/>
        <v>Total Hip ReplacementProviderNUFFIELD HEALTH, BRIGHTON HOSPITAL (NT205)Oxford Hip Score</v>
      </c>
      <c r="C4287" t="s">
        <v>974</v>
      </c>
      <c r="D4287" t="s">
        <v>965</v>
      </c>
      <c r="E4287" t="s">
        <v>372</v>
      </c>
      <c r="F4287" t="s">
        <v>373</v>
      </c>
      <c r="G4287" t="s">
        <v>964</v>
      </c>
      <c r="H4287">
        <v>3</v>
      </c>
      <c r="I4287">
        <v>12.333299999999999</v>
      </c>
      <c r="J4287">
        <v>37</v>
      </c>
      <c r="K4287">
        <v>24.666699999999999</v>
      </c>
      <c r="L4287">
        <v>3</v>
      </c>
      <c r="M4287">
        <v>0</v>
      </c>
      <c r="N4287">
        <v>0</v>
      </c>
      <c r="O4287" t="s">
        <v>127</v>
      </c>
      <c r="P4287" t="s">
        <v>127</v>
      </c>
      <c r="Q4287" t="s">
        <v>127</v>
      </c>
    </row>
    <row r="4288" spans="1:17" x14ac:dyDescent="0.25">
      <c r="A4288">
        <f>IF(C4288&amp;G4288&amp;D4288&lt;&gt;'Funnel setup'!$K$3&amp;'Funnel setup'!$K$4&amp;'Funnel setup'!$K$6,".",IF(A4287=".",1,A4287+1))</f>
        <v>105</v>
      </c>
      <c r="B4288" s="244" t="str">
        <f t="shared" si="66"/>
        <v>Total Hip ReplacementProviderNUFFIELD HEALTH, BRISTOL HOSPITAL (CHESTERFIELD) (NT206)Oxford Hip Score</v>
      </c>
      <c r="C4288" t="s">
        <v>974</v>
      </c>
      <c r="D4288" t="s">
        <v>965</v>
      </c>
      <c r="E4288" t="s">
        <v>374</v>
      </c>
      <c r="F4288" t="s">
        <v>375</v>
      </c>
      <c r="G4288" t="s">
        <v>964</v>
      </c>
      <c r="H4288">
        <v>53</v>
      </c>
      <c r="I4288">
        <v>17.735800000000001</v>
      </c>
      <c r="J4288">
        <v>43.867899999999999</v>
      </c>
      <c r="K4288">
        <v>26.132100000000001</v>
      </c>
      <c r="L4288">
        <v>53</v>
      </c>
      <c r="M4288">
        <v>0</v>
      </c>
      <c r="N4288">
        <v>0</v>
      </c>
      <c r="O4288">
        <v>42.178100000000001</v>
      </c>
      <c r="P4288">
        <v>24.9666</v>
      </c>
      <c r="Q4288">
        <v>5.3614800000000002</v>
      </c>
    </row>
    <row r="4289" spans="1:17" x14ac:dyDescent="0.25">
      <c r="A4289">
        <f>IF(C4289&amp;G4289&amp;D4289&lt;&gt;'Funnel setup'!$K$3&amp;'Funnel setup'!$K$4&amp;'Funnel setup'!$K$6,".",IF(A4288=".",1,A4288+1))</f>
        <v>106</v>
      </c>
      <c r="B4289" s="244" t="str">
        <f t="shared" si="66"/>
        <v>Total Hip ReplacementProviderNUFFIELD HEALTH, CAMBRIDGE HOSPITAL (NT209)Oxford Hip Score</v>
      </c>
      <c r="C4289" t="s">
        <v>974</v>
      </c>
      <c r="D4289" t="s">
        <v>965</v>
      </c>
      <c r="E4289" t="s">
        <v>376</v>
      </c>
      <c r="F4289" t="s">
        <v>377</v>
      </c>
      <c r="G4289" t="s">
        <v>964</v>
      </c>
      <c r="H4289">
        <v>22</v>
      </c>
      <c r="I4289">
        <v>17</v>
      </c>
      <c r="J4289">
        <v>42.909100000000002</v>
      </c>
      <c r="K4289">
        <v>25.909099999999999</v>
      </c>
      <c r="L4289">
        <v>22</v>
      </c>
      <c r="M4289">
        <v>0</v>
      </c>
      <c r="N4289">
        <v>0</v>
      </c>
      <c r="O4289" t="s">
        <v>127</v>
      </c>
      <c r="P4289" t="s">
        <v>127</v>
      </c>
      <c r="Q4289" t="s">
        <v>127</v>
      </c>
    </row>
    <row r="4290" spans="1:17" x14ac:dyDescent="0.25">
      <c r="A4290">
        <f>IF(C4290&amp;G4290&amp;D4290&lt;&gt;'Funnel setup'!$K$3&amp;'Funnel setup'!$K$4&amp;'Funnel setup'!$K$6,".",IF(A4289=".",1,A4289+1))</f>
        <v>107</v>
      </c>
      <c r="B4290" s="244" t="str">
        <f t="shared" ref="B4290:B4353" si="67">C4290&amp;D4290&amp;F4290&amp;G4290</f>
        <v>Total Hip ReplacementProviderNUFFIELD HEALTH, CHELTENHAM HOSPITAL (NT211)Oxford Hip Score</v>
      </c>
      <c r="C4290" t="s">
        <v>974</v>
      </c>
      <c r="D4290" t="s">
        <v>965</v>
      </c>
      <c r="E4290" t="s">
        <v>378</v>
      </c>
      <c r="F4290" t="s">
        <v>379</v>
      </c>
      <c r="G4290" t="s">
        <v>964</v>
      </c>
      <c r="H4290">
        <v>1</v>
      </c>
      <c r="I4290">
        <v>18</v>
      </c>
      <c r="J4290">
        <v>46</v>
      </c>
      <c r="K4290">
        <v>28</v>
      </c>
      <c r="L4290">
        <v>1</v>
      </c>
      <c r="M4290">
        <v>0</v>
      </c>
      <c r="N4290">
        <v>0</v>
      </c>
      <c r="O4290" t="s">
        <v>127</v>
      </c>
      <c r="P4290" t="s">
        <v>127</v>
      </c>
      <c r="Q4290" t="s">
        <v>127</v>
      </c>
    </row>
    <row r="4291" spans="1:17" x14ac:dyDescent="0.25">
      <c r="A4291">
        <f>IF(C4291&amp;G4291&amp;D4291&lt;&gt;'Funnel setup'!$K$3&amp;'Funnel setup'!$K$4&amp;'Funnel setup'!$K$6,".",IF(A4290=".",1,A4290+1))</f>
        <v>108</v>
      </c>
      <c r="B4291" s="244" t="str">
        <f t="shared" si="67"/>
        <v>Total Hip ReplacementProviderNUFFIELD HEALTH, CHICHESTER HOSPITAL (NT212)Oxford Hip Score</v>
      </c>
      <c r="C4291" t="s">
        <v>974</v>
      </c>
      <c r="D4291" t="s">
        <v>965</v>
      </c>
      <c r="E4291" t="s">
        <v>380</v>
      </c>
      <c r="F4291" t="s">
        <v>381</v>
      </c>
      <c r="G4291" t="s">
        <v>964</v>
      </c>
      <c r="H4291">
        <v>20</v>
      </c>
      <c r="I4291">
        <v>16.95</v>
      </c>
      <c r="J4291">
        <v>39.5</v>
      </c>
      <c r="K4291">
        <v>22.55</v>
      </c>
      <c r="L4291">
        <v>20</v>
      </c>
      <c r="M4291">
        <v>0</v>
      </c>
      <c r="N4291">
        <v>0</v>
      </c>
      <c r="O4291" t="s">
        <v>127</v>
      </c>
      <c r="P4291" t="s">
        <v>127</v>
      </c>
      <c r="Q4291" t="s">
        <v>127</v>
      </c>
    </row>
    <row r="4292" spans="1:17" x14ac:dyDescent="0.25">
      <c r="A4292">
        <f>IF(C4292&amp;G4292&amp;D4292&lt;&gt;'Funnel setup'!$K$3&amp;'Funnel setup'!$K$4&amp;'Funnel setup'!$K$6,".",IF(A4291=".",1,A4291+1))</f>
        <v>109</v>
      </c>
      <c r="B4292" s="244" t="str">
        <f t="shared" si="67"/>
        <v>Total Hip ReplacementProviderNUFFIELD HEALTH, DERBY HOSPITAL (NT213)Oxford Hip Score</v>
      </c>
      <c r="C4292" t="s">
        <v>974</v>
      </c>
      <c r="D4292" t="s">
        <v>965</v>
      </c>
      <c r="E4292" t="s">
        <v>382</v>
      </c>
      <c r="F4292" t="s">
        <v>383</v>
      </c>
      <c r="G4292" t="s">
        <v>964</v>
      </c>
      <c r="H4292">
        <v>53</v>
      </c>
      <c r="I4292">
        <v>19.113199999999999</v>
      </c>
      <c r="J4292">
        <v>42.320799999999998</v>
      </c>
      <c r="K4292">
        <v>23.2075</v>
      </c>
      <c r="L4292">
        <v>53</v>
      </c>
      <c r="M4292">
        <v>0</v>
      </c>
      <c r="N4292">
        <v>0</v>
      </c>
      <c r="O4292">
        <v>41.337400000000002</v>
      </c>
      <c r="P4292">
        <v>24.125900000000001</v>
      </c>
      <c r="Q4292">
        <v>6.0900499999999997</v>
      </c>
    </row>
    <row r="4293" spans="1:17" x14ac:dyDescent="0.25">
      <c r="A4293">
        <f>IF(C4293&amp;G4293&amp;D4293&lt;&gt;'Funnel setup'!$K$3&amp;'Funnel setup'!$K$4&amp;'Funnel setup'!$K$6,".",IF(A4292=".",1,A4292+1))</f>
        <v>110</v>
      </c>
      <c r="B4293" s="244" t="str">
        <f t="shared" si="67"/>
        <v>Total Hip ReplacementProviderNUFFIELD HEALTH, EXETER HOSPITAL (NT215)Oxford Hip Score</v>
      </c>
      <c r="C4293" t="s">
        <v>974</v>
      </c>
      <c r="D4293" t="s">
        <v>965</v>
      </c>
      <c r="E4293" t="s">
        <v>384</v>
      </c>
      <c r="F4293" t="s">
        <v>385</v>
      </c>
      <c r="G4293" t="s">
        <v>964</v>
      </c>
      <c r="H4293">
        <v>3</v>
      </c>
      <c r="I4293">
        <v>15</v>
      </c>
      <c r="J4293">
        <v>47</v>
      </c>
      <c r="K4293">
        <v>32</v>
      </c>
      <c r="L4293">
        <v>3</v>
      </c>
      <c r="M4293">
        <v>0</v>
      </c>
      <c r="N4293">
        <v>0</v>
      </c>
      <c r="O4293" t="s">
        <v>127</v>
      </c>
      <c r="P4293" t="s">
        <v>127</v>
      </c>
      <c r="Q4293" t="s">
        <v>127</v>
      </c>
    </row>
    <row r="4294" spans="1:17" x14ac:dyDescent="0.25">
      <c r="A4294">
        <f>IF(C4294&amp;G4294&amp;D4294&lt;&gt;'Funnel setup'!$K$3&amp;'Funnel setup'!$K$4&amp;'Funnel setup'!$K$6,".",IF(A4293=".",1,A4293+1))</f>
        <v>111</v>
      </c>
      <c r="B4294" s="244" t="str">
        <f t="shared" si="67"/>
        <v>Total Hip ReplacementProviderNUFFIELD HEALTH, HAYWARDS HEATH HOSPITAL (NT218)Oxford Hip Score</v>
      </c>
      <c r="C4294" t="s">
        <v>974</v>
      </c>
      <c r="D4294" t="s">
        <v>965</v>
      </c>
      <c r="E4294" t="s">
        <v>386</v>
      </c>
      <c r="F4294" t="s">
        <v>387</v>
      </c>
      <c r="G4294" t="s">
        <v>964</v>
      </c>
      <c r="H4294">
        <v>21</v>
      </c>
      <c r="I4294">
        <v>17.8095</v>
      </c>
      <c r="J4294">
        <v>44.285699999999999</v>
      </c>
      <c r="K4294">
        <v>26.476199999999999</v>
      </c>
      <c r="L4294">
        <v>21</v>
      </c>
      <c r="M4294">
        <v>0</v>
      </c>
      <c r="N4294">
        <v>0</v>
      </c>
      <c r="O4294" t="s">
        <v>127</v>
      </c>
      <c r="P4294" t="s">
        <v>127</v>
      </c>
      <c r="Q4294" t="s">
        <v>127</v>
      </c>
    </row>
    <row r="4295" spans="1:17" x14ac:dyDescent="0.25">
      <c r="A4295">
        <f>IF(C4295&amp;G4295&amp;D4295&lt;&gt;'Funnel setup'!$K$3&amp;'Funnel setup'!$K$4&amp;'Funnel setup'!$K$6,".",IF(A4294=".",1,A4294+1))</f>
        <v>112</v>
      </c>
      <c r="B4295" s="244" t="str">
        <f t="shared" si="67"/>
        <v>Total Hip ReplacementProviderNUFFIELD HEALTH, HEREFORD HOSPITAL (NT219)Oxford Hip Score</v>
      </c>
      <c r="C4295" t="s">
        <v>974</v>
      </c>
      <c r="D4295" t="s">
        <v>965</v>
      </c>
      <c r="E4295" t="s">
        <v>388</v>
      </c>
      <c r="F4295" t="s">
        <v>389</v>
      </c>
      <c r="G4295" t="s">
        <v>964</v>
      </c>
      <c r="H4295">
        <v>8</v>
      </c>
      <c r="I4295">
        <v>18.625</v>
      </c>
      <c r="J4295">
        <v>41.375</v>
      </c>
      <c r="K4295">
        <v>22.75</v>
      </c>
      <c r="L4295">
        <v>8</v>
      </c>
      <c r="M4295">
        <v>0</v>
      </c>
      <c r="N4295">
        <v>0</v>
      </c>
      <c r="O4295" t="s">
        <v>127</v>
      </c>
      <c r="P4295" t="s">
        <v>127</v>
      </c>
      <c r="Q4295" t="s">
        <v>127</v>
      </c>
    </row>
    <row r="4296" spans="1:17" x14ac:dyDescent="0.25">
      <c r="A4296">
        <f>IF(C4296&amp;G4296&amp;D4296&lt;&gt;'Funnel setup'!$K$3&amp;'Funnel setup'!$K$4&amp;'Funnel setup'!$K$6,".",IF(A4295=".",1,A4295+1))</f>
        <v>113</v>
      </c>
      <c r="B4296" s="244" t="str">
        <f t="shared" si="67"/>
        <v>Total Hip ReplacementProviderNUFFIELD HEALTH, IPSWICH HOSPITAL (NT222)Oxford Hip Score</v>
      </c>
      <c r="C4296" t="s">
        <v>974</v>
      </c>
      <c r="D4296" t="s">
        <v>965</v>
      </c>
      <c r="E4296" t="s">
        <v>390</v>
      </c>
      <c r="F4296" t="s">
        <v>391</v>
      </c>
      <c r="G4296" t="s">
        <v>964</v>
      </c>
      <c r="H4296">
        <v>8</v>
      </c>
      <c r="I4296">
        <v>17.375</v>
      </c>
      <c r="J4296">
        <v>41.875</v>
      </c>
      <c r="K4296">
        <v>24.5</v>
      </c>
      <c r="L4296">
        <v>8</v>
      </c>
      <c r="M4296">
        <v>0</v>
      </c>
      <c r="N4296">
        <v>0</v>
      </c>
      <c r="O4296" t="s">
        <v>127</v>
      </c>
      <c r="P4296" t="s">
        <v>127</v>
      </c>
      <c r="Q4296" t="s">
        <v>127</v>
      </c>
    </row>
    <row r="4297" spans="1:17" x14ac:dyDescent="0.25">
      <c r="A4297">
        <f>IF(C4297&amp;G4297&amp;D4297&lt;&gt;'Funnel setup'!$K$3&amp;'Funnel setup'!$K$4&amp;'Funnel setup'!$K$6,".",IF(A4296=".",1,A4296+1))</f>
        <v>114</v>
      </c>
      <c r="B4297" s="244" t="str">
        <f t="shared" si="67"/>
        <v>Total Hip ReplacementProviderNUFFIELD HEALTH, LEEDS HOSPITAL (NT225)Oxford Hip Score</v>
      </c>
      <c r="C4297" t="s">
        <v>974</v>
      </c>
      <c r="D4297" t="s">
        <v>965</v>
      </c>
      <c r="E4297" t="s">
        <v>392</v>
      </c>
      <c r="F4297" t="s">
        <v>393</v>
      </c>
      <c r="G4297" t="s">
        <v>964</v>
      </c>
      <c r="H4297">
        <v>118</v>
      </c>
      <c r="I4297">
        <v>18.050799999999999</v>
      </c>
      <c r="J4297">
        <v>41.254199999999997</v>
      </c>
      <c r="K4297">
        <v>23.203399999999998</v>
      </c>
      <c r="L4297">
        <v>117</v>
      </c>
      <c r="M4297">
        <v>0</v>
      </c>
      <c r="N4297">
        <v>1</v>
      </c>
      <c r="O4297">
        <v>39.850499999999997</v>
      </c>
      <c r="P4297">
        <v>22.639099999999999</v>
      </c>
      <c r="Q4297">
        <v>7.5097800000000001</v>
      </c>
    </row>
    <row r="4298" spans="1:17" x14ac:dyDescent="0.25">
      <c r="A4298">
        <f>IF(C4298&amp;G4298&amp;D4298&lt;&gt;'Funnel setup'!$K$3&amp;'Funnel setup'!$K$4&amp;'Funnel setup'!$K$6,".",IF(A4297=".",1,A4297+1))</f>
        <v>115</v>
      </c>
      <c r="B4298" s="244" t="str">
        <f t="shared" si="67"/>
        <v>Total Hip ReplacementProviderNUFFIELD HEALTH, LEICESTER HOSPITAL (NT226)Oxford Hip Score</v>
      </c>
      <c r="C4298" t="s">
        <v>974</v>
      </c>
      <c r="D4298" t="s">
        <v>965</v>
      </c>
      <c r="E4298" t="s">
        <v>394</v>
      </c>
      <c r="F4298" t="s">
        <v>395</v>
      </c>
      <c r="G4298" t="s">
        <v>964</v>
      </c>
      <c r="H4298">
        <v>34</v>
      </c>
      <c r="I4298">
        <v>17.735299999999999</v>
      </c>
      <c r="J4298">
        <v>40.588200000000001</v>
      </c>
      <c r="K4298">
        <v>22.852900000000002</v>
      </c>
      <c r="L4298">
        <v>32</v>
      </c>
      <c r="M4298">
        <v>0</v>
      </c>
      <c r="N4298">
        <v>2</v>
      </c>
      <c r="O4298">
        <v>40.800800000000002</v>
      </c>
      <c r="P4298">
        <v>23.589400000000001</v>
      </c>
      <c r="Q4298">
        <v>8.3738100000000006</v>
      </c>
    </row>
    <row r="4299" spans="1:17" x14ac:dyDescent="0.25">
      <c r="A4299">
        <f>IF(C4299&amp;G4299&amp;D4299&lt;&gt;'Funnel setup'!$K$3&amp;'Funnel setup'!$K$4&amp;'Funnel setup'!$K$6,".",IF(A4298=".",1,A4298+1))</f>
        <v>116</v>
      </c>
      <c r="B4299" s="244" t="str">
        <f t="shared" si="67"/>
        <v>Total Hip ReplacementProviderNUFFIELD HEALTH, NEWCASTLE UPON TYNE HOSPITAL (NT229)Oxford Hip Score</v>
      </c>
      <c r="C4299" t="s">
        <v>974</v>
      </c>
      <c r="D4299" t="s">
        <v>965</v>
      </c>
      <c r="E4299" t="s">
        <v>396</v>
      </c>
      <c r="F4299" t="s">
        <v>397</v>
      </c>
      <c r="G4299" t="s">
        <v>964</v>
      </c>
      <c r="H4299">
        <v>50</v>
      </c>
      <c r="I4299">
        <v>17.899999999999999</v>
      </c>
      <c r="J4299">
        <v>40.880000000000003</v>
      </c>
      <c r="K4299">
        <v>22.98</v>
      </c>
      <c r="L4299">
        <v>50</v>
      </c>
      <c r="M4299">
        <v>0</v>
      </c>
      <c r="N4299">
        <v>0</v>
      </c>
      <c r="O4299">
        <v>40.645499999999998</v>
      </c>
      <c r="P4299">
        <v>23.434100000000001</v>
      </c>
      <c r="Q4299">
        <v>7.2182199999999996</v>
      </c>
    </row>
    <row r="4300" spans="1:17" x14ac:dyDescent="0.25">
      <c r="A4300">
        <f>IF(C4300&amp;G4300&amp;D4300&lt;&gt;'Funnel setup'!$K$3&amp;'Funnel setup'!$K$4&amp;'Funnel setup'!$K$6,".",IF(A4299=".",1,A4299+1))</f>
        <v>117</v>
      </c>
      <c r="B4300" s="244" t="str">
        <f t="shared" si="67"/>
        <v>Total Hip ReplacementProviderNUFFIELD HEALTH, NORTH STAFFORDSHIRE HOSPITAL (NT230)Oxford Hip Score</v>
      </c>
      <c r="C4300" t="s">
        <v>974</v>
      </c>
      <c r="D4300" t="s">
        <v>965</v>
      </c>
      <c r="E4300" t="s">
        <v>398</v>
      </c>
      <c r="F4300" t="s">
        <v>399</v>
      </c>
      <c r="G4300" t="s">
        <v>964</v>
      </c>
      <c r="H4300">
        <v>35</v>
      </c>
      <c r="I4300">
        <v>16.857099999999999</v>
      </c>
      <c r="J4300">
        <v>39.4</v>
      </c>
      <c r="K4300">
        <v>22.542899999999999</v>
      </c>
      <c r="L4300">
        <v>34</v>
      </c>
      <c r="M4300">
        <v>0</v>
      </c>
      <c r="N4300">
        <v>1</v>
      </c>
      <c r="O4300">
        <v>38.028100000000002</v>
      </c>
      <c r="P4300">
        <v>20.816600000000001</v>
      </c>
      <c r="Q4300">
        <v>9.67807</v>
      </c>
    </row>
    <row r="4301" spans="1:17" x14ac:dyDescent="0.25">
      <c r="A4301">
        <f>IF(C4301&amp;G4301&amp;D4301&lt;&gt;'Funnel setup'!$K$3&amp;'Funnel setup'!$K$4&amp;'Funnel setup'!$K$6,".",IF(A4300=".",1,A4300+1))</f>
        <v>118</v>
      </c>
      <c r="B4301" s="244" t="str">
        <f t="shared" si="67"/>
        <v>Total Hip ReplacementProviderNUFFIELD HEALTH, PLYMOUTH HOSPITAL (NT233)Oxford Hip Score</v>
      </c>
      <c r="C4301" t="s">
        <v>974</v>
      </c>
      <c r="D4301" t="s">
        <v>965</v>
      </c>
      <c r="E4301" t="s">
        <v>400</v>
      </c>
      <c r="F4301" t="s">
        <v>401</v>
      </c>
      <c r="G4301" t="s">
        <v>964</v>
      </c>
      <c r="H4301">
        <v>66</v>
      </c>
      <c r="I4301">
        <v>17.238800000000001</v>
      </c>
      <c r="J4301">
        <v>42.089599999999997</v>
      </c>
      <c r="K4301">
        <v>24.8507</v>
      </c>
      <c r="L4301">
        <v>66</v>
      </c>
      <c r="M4301">
        <v>0</v>
      </c>
      <c r="N4301">
        <v>0</v>
      </c>
      <c r="O4301">
        <v>40.773299999999999</v>
      </c>
      <c r="P4301">
        <v>23.561800000000002</v>
      </c>
      <c r="Q4301">
        <v>7.5172699999999999</v>
      </c>
    </row>
    <row r="4302" spans="1:17" x14ac:dyDescent="0.25">
      <c r="A4302">
        <f>IF(C4302&amp;G4302&amp;D4302&lt;&gt;'Funnel setup'!$K$3&amp;'Funnel setup'!$K$4&amp;'Funnel setup'!$K$6,".",IF(A4301=".",1,A4301+1))</f>
        <v>119</v>
      </c>
      <c r="B4302" s="244" t="str">
        <f t="shared" si="67"/>
        <v>Total Hip ReplacementProviderNUFFIELD HEALTH, SHREWSBURY HOSPITAL (NT235)Oxford Hip Score</v>
      </c>
      <c r="C4302" t="s">
        <v>974</v>
      </c>
      <c r="D4302" t="s">
        <v>965</v>
      </c>
      <c r="E4302" t="s">
        <v>402</v>
      </c>
      <c r="F4302" t="s">
        <v>403</v>
      </c>
      <c r="G4302" t="s">
        <v>964</v>
      </c>
      <c r="H4302">
        <v>8</v>
      </c>
      <c r="I4302">
        <v>13.75</v>
      </c>
      <c r="J4302">
        <v>41.75</v>
      </c>
      <c r="K4302">
        <v>28</v>
      </c>
      <c r="L4302">
        <v>8</v>
      </c>
      <c r="M4302">
        <v>0</v>
      </c>
      <c r="N4302">
        <v>0</v>
      </c>
      <c r="O4302" t="s">
        <v>127</v>
      </c>
      <c r="P4302" t="s">
        <v>127</v>
      </c>
      <c r="Q4302" t="s">
        <v>127</v>
      </c>
    </row>
    <row r="4303" spans="1:17" x14ac:dyDescent="0.25">
      <c r="A4303">
        <f>IF(C4303&amp;G4303&amp;D4303&lt;&gt;'Funnel setup'!$K$3&amp;'Funnel setup'!$K$4&amp;'Funnel setup'!$K$6,".",IF(A4302=".",1,A4302+1))</f>
        <v>120</v>
      </c>
      <c r="B4303" s="244" t="str">
        <f t="shared" si="67"/>
        <v>Total Hip ReplacementProviderNUFFIELD HEALTH, TAUNTON HOSPITAL (NT238)Oxford Hip Score</v>
      </c>
      <c r="C4303" t="s">
        <v>974</v>
      </c>
      <c r="D4303" t="s">
        <v>965</v>
      </c>
      <c r="E4303" t="s">
        <v>404</v>
      </c>
      <c r="F4303" t="s">
        <v>405</v>
      </c>
      <c r="G4303" t="s">
        <v>964</v>
      </c>
      <c r="H4303">
        <v>22</v>
      </c>
      <c r="I4303">
        <v>17.2727</v>
      </c>
      <c r="J4303">
        <v>42.863599999999998</v>
      </c>
      <c r="K4303">
        <v>25.590900000000001</v>
      </c>
      <c r="L4303">
        <v>22</v>
      </c>
      <c r="M4303">
        <v>0</v>
      </c>
      <c r="N4303">
        <v>0</v>
      </c>
      <c r="O4303" t="s">
        <v>127</v>
      </c>
      <c r="P4303" t="s">
        <v>127</v>
      </c>
      <c r="Q4303" t="s">
        <v>127</v>
      </c>
    </row>
    <row r="4304" spans="1:17" x14ac:dyDescent="0.25">
      <c r="A4304">
        <f>IF(C4304&amp;G4304&amp;D4304&lt;&gt;'Funnel setup'!$K$3&amp;'Funnel setup'!$K$4&amp;'Funnel setup'!$K$6,".",IF(A4303=".",1,A4303+1))</f>
        <v>121</v>
      </c>
      <c r="B4304" s="244" t="str">
        <f t="shared" si="67"/>
        <v>Total Hip ReplacementProviderNUFFIELD HEALTH, TEES HOSPITAL (NT237)Oxford Hip Score</v>
      </c>
      <c r="C4304" t="s">
        <v>974</v>
      </c>
      <c r="D4304" t="s">
        <v>965</v>
      </c>
      <c r="E4304" t="s">
        <v>406</v>
      </c>
      <c r="F4304" t="s">
        <v>407</v>
      </c>
      <c r="G4304" t="s">
        <v>964</v>
      </c>
      <c r="H4304">
        <v>150</v>
      </c>
      <c r="I4304">
        <v>18.506699999999999</v>
      </c>
      <c r="J4304">
        <v>40.813299999999998</v>
      </c>
      <c r="K4304">
        <v>22.306699999999999</v>
      </c>
      <c r="L4304">
        <v>145</v>
      </c>
      <c r="M4304">
        <v>3</v>
      </c>
      <c r="N4304">
        <v>2</v>
      </c>
      <c r="O4304">
        <v>40.277200000000001</v>
      </c>
      <c r="P4304">
        <v>23.0657</v>
      </c>
      <c r="Q4304">
        <v>7.7728200000000003</v>
      </c>
    </row>
    <row r="4305" spans="1:17" x14ac:dyDescent="0.25">
      <c r="A4305">
        <f>IF(C4305&amp;G4305&amp;D4305&lt;&gt;'Funnel setup'!$K$3&amp;'Funnel setup'!$K$4&amp;'Funnel setup'!$K$6,".",IF(A4304=".",1,A4304+1))</f>
        <v>122</v>
      </c>
      <c r="B4305" s="244" t="str">
        <f t="shared" si="67"/>
        <v>Total Hip ReplacementProviderNUFFIELD HEALTH, THE GROSVENOR HOSPITAL, CHESTER (NT210)Oxford Hip Score</v>
      </c>
      <c r="C4305" t="s">
        <v>974</v>
      </c>
      <c r="D4305" t="s">
        <v>965</v>
      </c>
      <c r="E4305" t="s">
        <v>408</v>
      </c>
      <c r="F4305" t="s">
        <v>409</v>
      </c>
      <c r="G4305" t="s">
        <v>964</v>
      </c>
      <c r="H4305">
        <v>14</v>
      </c>
      <c r="I4305">
        <v>16.642900000000001</v>
      </c>
      <c r="J4305">
        <v>41.785699999999999</v>
      </c>
      <c r="K4305">
        <v>25.142900000000001</v>
      </c>
      <c r="L4305">
        <v>14</v>
      </c>
      <c r="M4305">
        <v>0</v>
      </c>
      <c r="N4305">
        <v>0</v>
      </c>
      <c r="O4305" t="s">
        <v>127</v>
      </c>
      <c r="P4305" t="s">
        <v>127</v>
      </c>
      <c r="Q4305" t="s">
        <v>127</v>
      </c>
    </row>
    <row r="4306" spans="1:17" x14ac:dyDescent="0.25">
      <c r="A4306">
        <f>IF(C4306&amp;G4306&amp;D4306&lt;&gt;'Funnel setup'!$K$3&amp;'Funnel setup'!$K$4&amp;'Funnel setup'!$K$6,".",IF(A4305=".",1,A4305+1))</f>
        <v>123</v>
      </c>
      <c r="B4306" s="244" t="str">
        <f t="shared" si="67"/>
        <v>Total Hip ReplacementProviderNUFFIELD HEALTH, TUNBRIDGE WELLS HOSPITAL (NT239)Oxford Hip Score</v>
      </c>
      <c r="C4306" t="s">
        <v>974</v>
      </c>
      <c r="D4306" t="s">
        <v>965</v>
      </c>
      <c r="E4306" t="s">
        <v>410</v>
      </c>
      <c r="F4306" t="s">
        <v>411</v>
      </c>
      <c r="G4306" t="s">
        <v>964</v>
      </c>
      <c r="H4306">
        <v>6</v>
      </c>
      <c r="I4306">
        <v>18.833300000000001</v>
      </c>
      <c r="J4306">
        <v>37.166699999999999</v>
      </c>
      <c r="K4306">
        <v>18.333300000000001</v>
      </c>
      <c r="L4306">
        <v>6</v>
      </c>
      <c r="M4306">
        <v>0</v>
      </c>
      <c r="N4306">
        <v>0</v>
      </c>
      <c r="O4306" t="s">
        <v>127</v>
      </c>
      <c r="P4306" t="s">
        <v>127</v>
      </c>
      <c r="Q4306" t="s">
        <v>127</v>
      </c>
    </row>
    <row r="4307" spans="1:17" x14ac:dyDescent="0.25">
      <c r="A4307">
        <f>IF(C4307&amp;G4307&amp;D4307&lt;&gt;'Funnel setup'!$K$3&amp;'Funnel setup'!$K$4&amp;'Funnel setup'!$K$6,".",IF(A4306=".",1,A4306+1))</f>
        <v>124</v>
      </c>
      <c r="B4307" s="244" t="str">
        <f t="shared" si="67"/>
        <v>Total Hip ReplacementProviderNUFFIELD HEALTH, WARWICKSHIRE HOSPITAL (NT224)Oxford Hip Score</v>
      </c>
      <c r="C4307" t="s">
        <v>974</v>
      </c>
      <c r="D4307" t="s">
        <v>965</v>
      </c>
      <c r="E4307" t="s">
        <v>412</v>
      </c>
      <c r="F4307" t="s">
        <v>413</v>
      </c>
      <c r="G4307" t="s">
        <v>964</v>
      </c>
      <c r="H4307">
        <v>19</v>
      </c>
      <c r="I4307">
        <v>21.684200000000001</v>
      </c>
      <c r="J4307">
        <v>41.684199999999997</v>
      </c>
      <c r="K4307">
        <v>20</v>
      </c>
      <c r="L4307">
        <v>18</v>
      </c>
      <c r="M4307">
        <v>0</v>
      </c>
      <c r="N4307">
        <v>1</v>
      </c>
      <c r="O4307" t="s">
        <v>127</v>
      </c>
      <c r="P4307" t="s">
        <v>127</v>
      </c>
      <c r="Q4307" t="s">
        <v>127</v>
      </c>
    </row>
    <row r="4308" spans="1:17" x14ac:dyDescent="0.25">
      <c r="A4308">
        <f>IF(C4308&amp;G4308&amp;D4308&lt;&gt;'Funnel setup'!$K$3&amp;'Funnel setup'!$K$4&amp;'Funnel setup'!$K$6,".",IF(A4307=".",1,A4307+1))</f>
        <v>125</v>
      </c>
      <c r="B4308" s="244" t="str">
        <f t="shared" si="67"/>
        <v>Total Hip ReplacementProviderNUFFIELD HEALTH, WESSEX HOSPITAL (NT214)Oxford Hip Score</v>
      </c>
      <c r="C4308" t="s">
        <v>974</v>
      </c>
      <c r="D4308" t="s">
        <v>965</v>
      </c>
      <c r="E4308" t="s">
        <v>414</v>
      </c>
      <c r="F4308" t="s">
        <v>415</v>
      </c>
      <c r="G4308" t="s">
        <v>964</v>
      </c>
      <c r="H4308">
        <v>35</v>
      </c>
      <c r="I4308">
        <v>20.485700000000001</v>
      </c>
      <c r="J4308">
        <v>41.6571</v>
      </c>
      <c r="K4308">
        <v>21.171399999999998</v>
      </c>
      <c r="L4308">
        <v>35</v>
      </c>
      <c r="M4308">
        <v>0</v>
      </c>
      <c r="N4308">
        <v>0</v>
      </c>
      <c r="O4308">
        <v>39.716799999999999</v>
      </c>
      <c r="P4308">
        <v>22.505400000000002</v>
      </c>
      <c r="Q4308">
        <v>6.0927699999999998</v>
      </c>
    </row>
    <row r="4309" spans="1:17" x14ac:dyDescent="0.25">
      <c r="A4309">
        <f>IF(C4309&amp;G4309&amp;D4309&lt;&gt;'Funnel setup'!$K$3&amp;'Funnel setup'!$K$4&amp;'Funnel setup'!$K$6,".",IF(A4308=".",1,A4308+1))</f>
        <v>126</v>
      </c>
      <c r="B4309" s="244" t="str">
        <f t="shared" si="67"/>
        <v>Total Hip ReplacementProviderNUFFIELD HEALTH, WOLVERHAMPTON HOSPITAL (NT242)Oxford Hip Score</v>
      </c>
      <c r="C4309" t="s">
        <v>974</v>
      </c>
      <c r="D4309" t="s">
        <v>965</v>
      </c>
      <c r="E4309" t="s">
        <v>418</v>
      </c>
      <c r="F4309" t="s">
        <v>419</v>
      </c>
      <c r="G4309" t="s">
        <v>964</v>
      </c>
      <c r="H4309">
        <v>4</v>
      </c>
      <c r="I4309">
        <v>22.75</v>
      </c>
      <c r="J4309">
        <v>40.75</v>
      </c>
      <c r="K4309">
        <v>18</v>
      </c>
      <c r="L4309">
        <v>4</v>
      </c>
      <c r="M4309">
        <v>0</v>
      </c>
      <c r="N4309">
        <v>0</v>
      </c>
      <c r="O4309" t="s">
        <v>127</v>
      </c>
      <c r="P4309" t="s">
        <v>127</v>
      </c>
      <c r="Q4309" t="s">
        <v>127</v>
      </c>
    </row>
    <row r="4310" spans="1:17" x14ac:dyDescent="0.25">
      <c r="A4310">
        <f>IF(C4310&amp;G4310&amp;D4310&lt;&gt;'Funnel setup'!$K$3&amp;'Funnel setup'!$K$4&amp;'Funnel setup'!$K$6,".",IF(A4309=".",1,A4309+1))</f>
        <v>127</v>
      </c>
      <c r="B4310" s="244" t="str">
        <f t="shared" si="67"/>
        <v>Total Hip ReplacementProviderNUFFIELD HEALTH, YORK HOSPITAL (NT245)Oxford Hip Score</v>
      </c>
      <c r="C4310" t="s">
        <v>974</v>
      </c>
      <c r="D4310" t="s">
        <v>965</v>
      </c>
      <c r="E4310" t="s">
        <v>420</v>
      </c>
      <c r="F4310" t="s">
        <v>421</v>
      </c>
      <c r="G4310" t="s">
        <v>964</v>
      </c>
      <c r="H4310">
        <v>80</v>
      </c>
      <c r="I4310">
        <v>17.2683</v>
      </c>
      <c r="J4310">
        <v>42.134099999999997</v>
      </c>
      <c r="K4310">
        <v>24.8659</v>
      </c>
      <c r="L4310">
        <v>79</v>
      </c>
      <c r="M4310">
        <v>0</v>
      </c>
      <c r="N4310">
        <v>1</v>
      </c>
      <c r="O4310">
        <v>42.397500000000001</v>
      </c>
      <c r="P4310">
        <v>25.1861</v>
      </c>
      <c r="Q4310">
        <v>7.5375500000000004</v>
      </c>
    </row>
    <row r="4311" spans="1:17" x14ac:dyDescent="0.25">
      <c r="A4311">
        <f>IF(C4311&amp;G4311&amp;D4311&lt;&gt;'Funnel setup'!$K$3&amp;'Funnel setup'!$K$4&amp;'Funnel setup'!$K$6,".",IF(A4310=".",1,A4310+1))</f>
        <v>128</v>
      </c>
      <c r="B4311" s="244" t="str">
        <f t="shared" si="67"/>
        <v>Total Hip ReplacementProviderOAKLANDS HOSPITAL (NVC12)Oxford Hip Score</v>
      </c>
      <c r="C4311" t="s">
        <v>974</v>
      </c>
      <c r="D4311" t="s">
        <v>965</v>
      </c>
      <c r="E4311" t="s">
        <v>424</v>
      </c>
      <c r="F4311" t="s">
        <v>425</v>
      </c>
      <c r="G4311" t="s">
        <v>964</v>
      </c>
      <c r="H4311">
        <v>65</v>
      </c>
      <c r="I4311">
        <v>15.9846</v>
      </c>
      <c r="J4311">
        <v>37.830800000000004</v>
      </c>
      <c r="K4311">
        <v>21.8462</v>
      </c>
      <c r="L4311">
        <v>62</v>
      </c>
      <c r="M4311">
        <v>0</v>
      </c>
      <c r="N4311">
        <v>3</v>
      </c>
      <c r="O4311">
        <v>38.837299999999999</v>
      </c>
      <c r="P4311">
        <v>21.625900000000001</v>
      </c>
      <c r="Q4311">
        <v>9.3262400000000003</v>
      </c>
    </row>
    <row r="4312" spans="1:17" x14ac:dyDescent="0.25">
      <c r="A4312">
        <f>IF(C4312&amp;G4312&amp;D4312&lt;&gt;'Funnel setup'!$K$3&amp;'Funnel setup'!$K$4&amp;'Funnel setup'!$K$6,".",IF(A4311=".",1,A4311+1))</f>
        <v>129</v>
      </c>
      <c r="B4312" s="244" t="str">
        <f t="shared" si="67"/>
        <v>Total Hip ReplacementProviderOAKS HOSPITAL (NVC13)Oxford Hip Score</v>
      </c>
      <c r="C4312" t="s">
        <v>974</v>
      </c>
      <c r="D4312" t="s">
        <v>965</v>
      </c>
      <c r="E4312" t="s">
        <v>426</v>
      </c>
      <c r="F4312" t="s">
        <v>427</v>
      </c>
      <c r="G4312" t="s">
        <v>964</v>
      </c>
      <c r="H4312">
        <v>7</v>
      </c>
      <c r="I4312">
        <v>21.142900000000001</v>
      </c>
      <c r="J4312">
        <v>42.285699999999999</v>
      </c>
      <c r="K4312">
        <v>21.142900000000001</v>
      </c>
      <c r="L4312">
        <v>7</v>
      </c>
      <c r="M4312">
        <v>0</v>
      </c>
      <c r="N4312">
        <v>0</v>
      </c>
      <c r="O4312" t="s">
        <v>127</v>
      </c>
      <c r="P4312" t="s">
        <v>127</v>
      </c>
      <c r="Q4312" t="s">
        <v>127</v>
      </c>
    </row>
    <row r="4313" spans="1:17" x14ac:dyDescent="0.25">
      <c r="A4313">
        <f>IF(C4313&amp;G4313&amp;D4313&lt;&gt;'Funnel setup'!$K$3&amp;'Funnel setup'!$K$4&amp;'Funnel setup'!$K$6,".",IF(A4312=".",1,A4312+1))</f>
        <v>130</v>
      </c>
      <c r="B4313" s="244" t="str">
        <f t="shared" si="67"/>
        <v>Total Hip ReplacementProviderONE HEALTHCARE (AVQ)Oxford Hip Score</v>
      </c>
      <c r="C4313" t="s">
        <v>974</v>
      </c>
      <c r="D4313" t="s">
        <v>965</v>
      </c>
      <c r="E4313" t="s">
        <v>434</v>
      </c>
      <c r="F4313" t="s">
        <v>435</v>
      </c>
      <c r="G4313" t="s">
        <v>964</v>
      </c>
      <c r="H4313">
        <v>53</v>
      </c>
      <c r="I4313">
        <v>18.132100000000001</v>
      </c>
      <c r="J4313">
        <v>42.660400000000003</v>
      </c>
      <c r="K4313">
        <v>24.528300000000002</v>
      </c>
      <c r="L4313">
        <v>51</v>
      </c>
      <c r="M4313">
        <v>1</v>
      </c>
      <c r="N4313">
        <v>1</v>
      </c>
      <c r="O4313">
        <v>40.263500000000001</v>
      </c>
      <c r="P4313">
        <v>23.052099999999999</v>
      </c>
      <c r="Q4313">
        <v>7.4431500000000002</v>
      </c>
    </row>
    <row r="4314" spans="1:17" x14ac:dyDescent="0.25">
      <c r="A4314">
        <f>IF(C4314&amp;G4314&amp;D4314&lt;&gt;'Funnel setup'!$K$3&amp;'Funnel setup'!$K$4&amp;'Funnel setup'!$K$6,".",IF(A4313=".",1,A4313+1))</f>
        <v>131</v>
      </c>
      <c r="B4314" s="244" t="str">
        <f t="shared" si="67"/>
        <v>Total Hip ReplacementProviderORTHOPAEDICS &amp; SPINE SPECIALIST HOSPITAL SITE (NQM01)Oxford Hip Score</v>
      </c>
      <c r="C4314" t="s">
        <v>974</v>
      </c>
      <c r="D4314" t="s">
        <v>965</v>
      </c>
      <c r="E4314" t="s">
        <v>436</v>
      </c>
      <c r="F4314" t="s">
        <v>437</v>
      </c>
      <c r="G4314" t="s">
        <v>964</v>
      </c>
      <c r="H4314">
        <v>7</v>
      </c>
      <c r="I4314">
        <v>21.857099999999999</v>
      </c>
      <c r="J4314">
        <v>41.571399999999997</v>
      </c>
      <c r="K4314">
        <v>19.714300000000001</v>
      </c>
      <c r="L4314">
        <v>7</v>
      </c>
      <c r="M4314">
        <v>0</v>
      </c>
      <c r="N4314">
        <v>0</v>
      </c>
      <c r="O4314" t="s">
        <v>127</v>
      </c>
      <c r="P4314" t="s">
        <v>127</v>
      </c>
      <c r="Q4314" t="s">
        <v>127</v>
      </c>
    </row>
    <row r="4315" spans="1:17" x14ac:dyDescent="0.25">
      <c r="A4315">
        <f>IF(C4315&amp;G4315&amp;D4315&lt;&gt;'Funnel setup'!$K$3&amp;'Funnel setup'!$K$4&amp;'Funnel setup'!$K$6,".",IF(A4314=".",1,A4314+1))</f>
        <v>132</v>
      </c>
      <c r="B4315" s="244" t="str">
        <f t="shared" si="67"/>
        <v>Total Hip ReplacementProviderOXFORD UNIVERSITY HOSPITALS NHS FOUNDATION TRUST (RTH)Oxford Hip Score</v>
      </c>
      <c r="C4315" t="s">
        <v>974</v>
      </c>
      <c r="D4315" t="s">
        <v>965</v>
      </c>
      <c r="E4315" t="s">
        <v>438</v>
      </c>
      <c r="F4315" t="s">
        <v>439</v>
      </c>
      <c r="G4315" t="s">
        <v>964</v>
      </c>
      <c r="H4315">
        <v>328</v>
      </c>
      <c r="I4315">
        <v>17.6555</v>
      </c>
      <c r="J4315">
        <v>39.783499999999997</v>
      </c>
      <c r="K4315">
        <v>22.128</v>
      </c>
      <c r="L4315">
        <v>316</v>
      </c>
      <c r="M4315">
        <v>1</v>
      </c>
      <c r="N4315">
        <v>11</v>
      </c>
      <c r="O4315">
        <v>39.902900000000002</v>
      </c>
      <c r="P4315">
        <v>22.691400000000002</v>
      </c>
      <c r="Q4315">
        <v>8.4452700000000007</v>
      </c>
    </row>
    <row r="4316" spans="1:17" x14ac:dyDescent="0.25">
      <c r="A4316">
        <f>IF(C4316&amp;G4316&amp;D4316&lt;&gt;'Funnel setup'!$K$3&amp;'Funnel setup'!$K$4&amp;'Funnel setup'!$K$6,".",IF(A4315=".",1,A4315+1))</f>
        <v>133</v>
      </c>
      <c r="B4316" s="244" t="str">
        <f t="shared" si="67"/>
        <v>Total Hip ReplacementProviderPARK HILL HOSPITAL (NVC14)Oxford Hip Score</v>
      </c>
      <c r="C4316" t="s">
        <v>974</v>
      </c>
      <c r="D4316" t="s">
        <v>965</v>
      </c>
      <c r="E4316" t="s">
        <v>440</v>
      </c>
      <c r="F4316" t="s">
        <v>441</v>
      </c>
      <c r="G4316" t="s">
        <v>964</v>
      </c>
      <c r="H4316">
        <v>59</v>
      </c>
      <c r="I4316">
        <v>14.4068</v>
      </c>
      <c r="J4316">
        <v>39.220300000000002</v>
      </c>
      <c r="K4316">
        <v>24.813600000000001</v>
      </c>
      <c r="L4316">
        <v>57</v>
      </c>
      <c r="M4316">
        <v>0</v>
      </c>
      <c r="N4316">
        <v>2</v>
      </c>
      <c r="O4316">
        <v>39.546300000000002</v>
      </c>
      <c r="P4316">
        <v>22.334800000000001</v>
      </c>
      <c r="Q4316">
        <v>8.5760100000000001</v>
      </c>
    </row>
    <row r="4317" spans="1:17" x14ac:dyDescent="0.25">
      <c r="A4317">
        <f>IF(C4317&amp;G4317&amp;D4317&lt;&gt;'Funnel setup'!$K$3&amp;'Funnel setup'!$K$4&amp;'Funnel setup'!$K$6,".",IF(A4316=".",1,A4316+1))</f>
        <v>134</v>
      </c>
      <c r="B4317" s="244" t="str">
        <f t="shared" si="67"/>
        <v>Total Hip ReplacementProviderPARK HOSPITAL (NT427)Oxford Hip Score</v>
      </c>
      <c r="C4317" t="s">
        <v>974</v>
      </c>
      <c r="D4317" t="s">
        <v>965</v>
      </c>
      <c r="E4317" t="s">
        <v>442</v>
      </c>
      <c r="F4317" t="s">
        <v>443</v>
      </c>
      <c r="G4317" t="s">
        <v>964</v>
      </c>
      <c r="H4317">
        <v>25</v>
      </c>
      <c r="I4317">
        <v>14.72</v>
      </c>
      <c r="J4317">
        <v>38</v>
      </c>
      <c r="K4317">
        <v>23.28</v>
      </c>
      <c r="L4317">
        <v>24</v>
      </c>
      <c r="M4317">
        <v>1</v>
      </c>
      <c r="N4317">
        <v>0</v>
      </c>
      <c r="O4317" t="s">
        <v>127</v>
      </c>
      <c r="P4317" t="s">
        <v>127</v>
      </c>
      <c r="Q4317" t="s">
        <v>127</v>
      </c>
    </row>
    <row r="4318" spans="1:17" x14ac:dyDescent="0.25">
      <c r="A4318">
        <f>IF(C4318&amp;G4318&amp;D4318&lt;&gt;'Funnel setup'!$K$3&amp;'Funnel setup'!$K$4&amp;'Funnel setup'!$K$6,".",IF(A4317=".",1,A4317+1))</f>
        <v>135</v>
      </c>
      <c r="B4318" s="244" t="str">
        <f t="shared" si="67"/>
        <v>Total Hip ReplacementProviderPENNINE ACUTE HOSPITALS NHS TRUST (RW6)Oxford Hip Score</v>
      </c>
      <c r="C4318" t="s">
        <v>974</v>
      </c>
      <c r="D4318" t="s">
        <v>965</v>
      </c>
      <c r="E4318" t="s">
        <v>444</v>
      </c>
      <c r="F4318" t="s">
        <v>445</v>
      </c>
      <c r="G4318" t="s">
        <v>964</v>
      </c>
      <c r="H4318">
        <v>3</v>
      </c>
      <c r="I4318">
        <v>11</v>
      </c>
      <c r="J4318">
        <v>29</v>
      </c>
      <c r="K4318">
        <v>18</v>
      </c>
      <c r="L4318">
        <v>3</v>
      </c>
      <c r="M4318">
        <v>0</v>
      </c>
      <c r="N4318">
        <v>0</v>
      </c>
      <c r="O4318" t="s">
        <v>127</v>
      </c>
      <c r="P4318" t="s">
        <v>127</v>
      </c>
      <c r="Q4318" t="s">
        <v>127</v>
      </c>
    </row>
    <row r="4319" spans="1:17" x14ac:dyDescent="0.25">
      <c r="A4319">
        <f>IF(C4319&amp;G4319&amp;D4319&lt;&gt;'Funnel setup'!$K$3&amp;'Funnel setup'!$K$4&amp;'Funnel setup'!$K$6,".",IF(A4318=".",1,A4318+1))</f>
        <v>136</v>
      </c>
      <c r="B4319" s="244" t="str">
        <f t="shared" si="67"/>
        <v>Total Hip ReplacementProviderPINEHILL HOSPITAL (NVC15)Oxford Hip Score</v>
      </c>
      <c r="C4319" t="s">
        <v>974</v>
      </c>
      <c r="D4319" t="s">
        <v>965</v>
      </c>
      <c r="E4319" t="s">
        <v>448</v>
      </c>
      <c r="F4319" t="s">
        <v>449</v>
      </c>
      <c r="G4319" t="s">
        <v>964</v>
      </c>
      <c r="H4319">
        <v>12</v>
      </c>
      <c r="I4319">
        <v>27.416699999999999</v>
      </c>
      <c r="J4319">
        <v>28.5</v>
      </c>
      <c r="K4319">
        <v>1.0833299999999999</v>
      </c>
      <c r="L4319">
        <v>7</v>
      </c>
      <c r="M4319">
        <v>2</v>
      </c>
      <c r="N4319">
        <v>3</v>
      </c>
      <c r="O4319" t="s">
        <v>127</v>
      </c>
      <c r="P4319" t="s">
        <v>127</v>
      </c>
      <c r="Q4319" t="s">
        <v>127</v>
      </c>
    </row>
    <row r="4320" spans="1:17" x14ac:dyDescent="0.25">
      <c r="A4320">
        <f>IF(C4320&amp;G4320&amp;D4320&lt;&gt;'Funnel setup'!$K$3&amp;'Funnel setup'!$K$4&amp;'Funnel setup'!$K$6,".",IF(A4319=".",1,A4319+1))</f>
        <v>137</v>
      </c>
      <c r="B4320" s="244" t="str">
        <f t="shared" si="67"/>
        <v>Total Hip ReplacementProviderPORTSMOUTH HOSPITALS UNIVERSITY NATIONAL HEALTH SERVICE TRUST (RHU)Oxford Hip Score</v>
      </c>
      <c r="C4320" t="s">
        <v>974</v>
      </c>
      <c r="D4320" t="s">
        <v>965</v>
      </c>
      <c r="E4320" t="s">
        <v>450</v>
      </c>
      <c r="F4320" t="s">
        <v>451</v>
      </c>
      <c r="G4320" t="s">
        <v>964</v>
      </c>
      <c r="H4320">
        <v>14</v>
      </c>
      <c r="I4320">
        <v>12</v>
      </c>
      <c r="J4320">
        <v>37.571399999999997</v>
      </c>
      <c r="K4320">
        <v>25.571400000000001</v>
      </c>
      <c r="L4320">
        <v>14</v>
      </c>
      <c r="M4320">
        <v>0</v>
      </c>
      <c r="N4320">
        <v>0</v>
      </c>
      <c r="O4320" t="s">
        <v>127</v>
      </c>
      <c r="P4320" t="s">
        <v>127</v>
      </c>
      <c r="Q4320" t="s">
        <v>127</v>
      </c>
    </row>
    <row r="4321" spans="1:17" x14ac:dyDescent="0.25">
      <c r="A4321">
        <f>IF(C4321&amp;G4321&amp;D4321&lt;&gt;'Funnel setup'!$K$3&amp;'Funnel setup'!$K$4&amp;'Funnel setup'!$K$6,".",IF(A4320=".",1,A4320+1))</f>
        <v>138</v>
      </c>
      <c r="B4321" s="244" t="str">
        <f t="shared" si="67"/>
        <v>Total Hip ReplacementProviderPRACTICE PLUS GROUP HOSPITAL - BARLBOROUGH (NTP13)Oxford Hip Score</v>
      </c>
      <c r="C4321" t="s">
        <v>974</v>
      </c>
      <c r="D4321" t="s">
        <v>965</v>
      </c>
      <c r="E4321" t="s">
        <v>452</v>
      </c>
      <c r="F4321" t="s">
        <v>453</v>
      </c>
      <c r="G4321" t="s">
        <v>964</v>
      </c>
      <c r="H4321">
        <v>183</v>
      </c>
      <c r="I4321">
        <v>17.797799999999999</v>
      </c>
      <c r="J4321">
        <v>40.666699999999999</v>
      </c>
      <c r="K4321">
        <v>22.8689</v>
      </c>
      <c r="L4321">
        <v>178</v>
      </c>
      <c r="M4321">
        <v>1</v>
      </c>
      <c r="N4321">
        <v>4</v>
      </c>
      <c r="O4321">
        <v>39.680500000000002</v>
      </c>
      <c r="P4321">
        <v>22.469100000000001</v>
      </c>
      <c r="Q4321">
        <v>8.2129700000000003</v>
      </c>
    </row>
    <row r="4322" spans="1:17" x14ac:dyDescent="0.25">
      <c r="A4322">
        <f>IF(C4322&amp;G4322&amp;D4322&lt;&gt;'Funnel setup'!$K$3&amp;'Funnel setup'!$K$4&amp;'Funnel setup'!$K$6,".",IF(A4321=".",1,A4321+1))</f>
        <v>139</v>
      </c>
      <c r="B4322" s="244" t="str">
        <f t="shared" si="67"/>
        <v>Total Hip ReplacementProviderPRACTICE PLUS GROUP HOSPITAL - EMERSONS GREEN (NTPH2)Oxford Hip Score</v>
      </c>
      <c r="C4322" t="s">
        <v>974</v>
      </c>
      <c r="D4322" t="s">
        <v>965</v>
      </c>
      <c r="E4322" t="s">
        <v>454</v>
      </c>
      <c r="F4322" t="s">
        <v>455</v>
      </c>
      <c r="G4322" t="s">
        <v>964</v>
      </c>
      <c r="H4322">
        <v>145</v>
      </c>
      <c r="I4322">
        <v>18.034500000000001</v>
      </c>
      <c r="J4322">
        <v>42.496600000000001</v>
      </c>
      <c r="K4322">
        <v>24.4621</v>
      </c>
      <c r="L4322">
        <v>145</v>
      </c>
      <c r="M4322">
        <v>0</v>
      </c>
      <c r="N4322">
        <v>0</v>
      </c>
      <c r="O4322">
        <v>40.807499999999997</v>
      </c>
      <c r="P4322">
        <v>23.5961</v>
      </c>
      <c r="Q4322">
        <v>6.2077999999999998</v>
      </c>
    </row>
    <row r="4323" spans="1:17" x14ac:dyDescent="0.25">
      <c r="A4323">
        <f>IF(C4323&amp;G4323&amp;D4323&lt;&gt;'Funnel setup'!$K$3&amp;'Funnel setup'!$K$4&amp;'Funnel setup'!$K$6,".",IF(A4322=".",1,A4322+1))</f>
        <v>140</v>
      </c>
      <c r="B4323" s="244" t="str">
        <f t="shared" si="67"/>
        <v>Total Hip ReplacementProviderPRACTICE PLUS GROUP HOSPITAL - ILFORD (NTP15)Oxford Hip Score</v>
      </c>
      <c r="C4323" t="s">
        <v>974</v>
      </c>
      <c r="D4323" t="s">
        <v>965</v>
      </c>
      <c r="E4323" t="s">
        <v>456</v>
      </c>
      <c r="F4323" t="s">
        <v>457</v>
      </c>
      <c r="G4323" t="s">
        <v>964</v>
      </c>
      <c r="H4323">
        <v>61</v>
      </c>
      <c r="I4323">
        <v>17.180299999999999</v>
      </c>
      <c r="J4323">
        <v>40.147500000000001</v>
      </c>
      <c r="K4323">
        <v>22.967199999999998</v>
      </c>
      <c r="L4323">
        <v>58</v>
      </c>
      <c r="M4323">
        <v>0</v>
      </c>
      <c r="N4323">
        <v>3</v>
      </c>
      <c r="O4323">
        <v>39.704900000000002</v>
      </c>
      <c r="P4323">
        <v>22.493400000000001</v>
      </c>
      <c r="Q4323">
        <v>7.6871099999999997</v>
      </c>
    </row>
    <row r="4324" spans="1:17" x14ac:dyDescent="0.25">
      <c r="A4324">
        <f>IF(C4324&amp;G4324&amp;D4324&lt;&gt;'Funnel setup'!$K$3&amp;'Funnel setup'!$K$4&amp;'Funnel setup'!$K$6,".",IF(A4323=".",1,A4323+1))</f>
        <v>141</v>
      </c>
      <c r="B4324" s="244" t="str">
        <f t="shared" si="67"/>
        <v>Total Hip ReplacementProviderPRACTICE PLUS GROUP HOSPITAL - PLYMOUTH (NTPH5)Oxford Hip Score</v>
      </c>
      <c r="C4324" t="s">
        <v>974</v>
      </c>
      <c r="D4324" t="s">
        <v>965</v>
      </c>
      <c r="E4324" t="s">
        <v>458</v>
      </c>
      <c r="F4324" t="s">
        <v>459</v>
      </c>
      <c r="G4324" t="s">
        <v>964</v>
      </c>
      <c r="H4324">
        <v>190</v>
      </c>
      <c r="I4324">
        <v>17.9526</v>
      </c>
      <c r="J4324">
        <v>41.578899999999997</v>
      </c>
      <c r="K4324">
        <v>23.626300000000001</v>
      </c>
      <c r="L4324">
        <v>182</v>
      </c>
      <c r="M4324">
        <v>1</v>
      </c>
      <c r="N4324">
        <v>7</v>
      </c>
      <c r="O4324">
        <v>41.084600000000002</v>
      </c>
      <c r="P4324">
        <v>23.873100000000001</v>
      </c>
      <c r="Q4324">
        <v>7.8652800000000003</v>
      </c>
    </row>
    <row r="4325" spans="1:17" x14ac:dyDescent="0.25">
      <c r="A4325">
        <f>IF(C4325&amp;G4325&amp;D4325&lt;&gt;'Funnel setup'!$K$3&amp;'Funnel setup'!$K$4&amp;'Funnel setup'!$K$6,".",IF(A4324=".",1,A4324+1))</f>
        <v>142</v>
      </c>
      <c r="B4325" s="244" t="str">
        <f t="shared" si="67"/>
        <v>Total Hip ReplacementProviderPRACTICE PLUS GROUP HOSPITAL - SHEPTON MALLET (NTPH1)Oxford Hip Score</v>
      </c>
      <c r="C4325" t="s">
        <v>974</v>
      </c>
      <c r="D4325" t="s">
        <v>965</v>
      </c>
      <c r="E4325" t="s">
        <v>460</v>
      </c>
      <c r="F4325" t="s">
        <v>461</v>
      </c>
      <c r="G4325" t="s">
        <v>964</v>
      </c>
      <c r="H4325">
        <v>300</v>
      </c>
      <c r="I4325">
        <v>18.046700000000001</v>
      </c>
      <c r="J4325">
        <v>42.16</v>
      </c>
      <c r="K4325">
        <v>24.113299999999999</v>
      </c>
      <c r="L4325">
        <v>296</v>
      </c>
      <c r="M4325">
        <v>1</v>
      </c>
      <c r="N4325">
        <v>3</v>
      </c>
      <c r="O4325">
        <v>40.399299999999997</v>
      </c>
      <c r="P4325">
        <v>23.187799999999999</v>
      </c>
      <c r="Q4325">
        <v>7.0406300000000002</v>
      </c>
    </row>
    <row r="4326" spans="1:17" x14ac:dyDescent="0.25">
      <c r="A4326">
        <f>IF(C4326&amp;G4326&amp;D4326&lt;&gt;'Funnel setup'!$K$3&amp;'Funnel setup'!$K$4&amp;'Funnel setup'!$K$6,".",IF(A4325=".",1,A4325+1))</f>
        <v>143</v>
      </c>
      <c r="B4326" s="244" t="str">
        <f t="shared" si="67"/>
        <v>Total Hip ReplacementProviderPRACTICE PLUS GROUP HOSPITAL - SOUTHAMPTON (NTP11)Oxford Hip Score</v>
      </c>
      <c r="C4326" t="s">
        <v>974</v>
      </c>
      <c r="D4326" t="s">
        <v>965</v>
      </c>
      <c r="E4326" t="s">
        <v>462</v>
      </c>
      <c r="F4326" t="s">
        <v>463</v>
      </c>
      <c r="G4326" t="s">
        <v>964</v>
      </c>
      <c r="H4326">
        <v>79</v>
      </c>
      <c r="I4326">
        <v>17.4177</v>
      </c>
      <c r="J4326">
        <v>40.037999999999997</v>
      </c>
      <c r="K4326">
        <v>22.6203</v>
      </c>
      <c r="L4326">
        <v>74</v>
      </c>
      <c r="M4326">
        <v>0</v>
      </c>
      <c r="N4326">
        <v>5</v>
      </c>
      <c r="O4326">
        <v>39.494100000000003</v>
      </c>
      <c r="P4326">
        <v>22.282599999999999</v>
      </c>
      <c r="Q4326">
        <v>9.5923400000000001</v>
      </c>
    </row>
    <row r="4327" spans="1:17" x14ac:dyDescent="0.25">
      <c r="A4327">
        <f>IF(C4327&amp;G4327&amp;D4327&lt;&gt;'Funnel setup'!$K$3&amp;'Funnel setup'!$K$4&amp;'Funnel setup'!$K$6,".",IF(A4326=".",1,A4326+1))</f>
        <v>144</v>
      </c>
      <c r="B4327" s="244" t="str">
        <f t="shared" si="67"/>
        <v>Total Hip ReplacementProviderPRINCESS MARGARET HOSPITAL (NT428)Oxford Hip Score</v>
      </c>
      <c r="C4327" t="s">
        <v>974</v>
      </c>
      <c r="D4327" t="s">
        <v>965</v>
      </c>
      <c r="E4327" t="s">
        <v>464</v>
      </c>
      <c r="F4327" t="s">
        <v>465</v>
      </c>
      <c r="G4327" t="s">
        <v>964</v>
      </c>
      <c r="H4327" t="s">
        <v>127</v>
      </c>
      <c r="I4327" t="s">
        <v>127</v>
      </c>
      <c r="J4327" t="s">
        <v>127</v>
      </c>
      <c r="K4327" t="s">
        <v>127</v>
      </c>
      <c r="L4327" t="s">
        <v>127</v>
      </c>
      <c r="M4327" t="s">
        <v>127</v>
      </c>
      <c r="N4327" t="s">
        <v>127</v>
      </c>
      <c r="O4327" t="s">
        <v>127</v>
      </c>
      <c r="P4327" t="s">
        <v>127</v>
      </c>
      <c r="Q4327" t="s">
        <v>127</v>
      </c>
    </row>
    <row r="4328" spans="1:17" x14ac:dyDescent="0.25">
      <c r="A4328">
        <f>IF(C4328&amp;G4328&amp;D4328&lt;&gt;'Funnel setup'!$K$3&amp;'Funnel setup'!$K$4&amp;'Funnel setup'!$K$6,".",IF(A4327=".",1,A4327+1))</f>
        <v>145</v>
      </c>
      <c r="B4328" s="244" t="str">
        <f t="shared" si="67"/>
        <v>Total Hip ReplacementProviderPRIORY HOSPITAL (NT429)Oxford Hip Score</v>
      </c>
      <c r="C4328" t="s">
        <v>974</v>
      </c>
      <c r="D4328" t="s">
        <v>965</v>
      </c>
      <c r="E4328" t="s">
        <v>466</v>
      </c>
      <c r="F4328" t="s">
        <v>467</v>
      </c>
      <c r="G4328" t="s">
        <v>964</v>
      </c>
      <c r="H4328">
        <v>11</v>
      </c>
      <c r="I4328">
        <v>16</v>
      </c>
      <c r="J4328">
        <v>42.7273</v>
      </c>
      <c r="K4328">
        <v>26.7273</v>
      </c>
      <c r="L4328">
        <v>10</v>
      </c>
      <c r="M4328">
        <v>0</v>
      </c>
      <c r="N4328">
        <v>1</v>
      </c>
      <c r="O4328" t="s">
        <v>127</v>
      </c>
      <c r="P4328" t="s">
        <v>127</v>
      </c>
      <c r="Q4328" t="s">
        <v>127</v>
      </c>
    </row>
    <row r="4329" spans="1:17" x14ac:dyDescent="0.25">
      <c r="A4329">
        <f>IF(C4329&amp;G4329&amp;D4329&lt;&gt;'Funnel setup'!$K$3&amp;'Funnel setup'!$K$4&amp;'Funnel setup'!$K$6,".",IF(A4328=".",1,A4328+1))</f>
        <v>146</v>
      </c>
      <c r="B4329" s="244" t="str">
        <f t="shared" si="67"/>
        <v>Total Hip ReplacementProviderRENACRES HOSPITAL (NVC16)Oxford Hip Score</v>
      </c>
      <c r="C4329" t="s">
        <v>974</v>
      </c>
      <c r="D4329" t="s">
        <v>965</v>
      </c>
      <c r="E4329" t="s">
        <v>470</v>
      </c>
      <c r="F4329" t="s">
        <v>471</v>
      </c>
      <c r="G4329" t="s">
        <v>964</v>
      </c>
      <c r="H4329">
        <v>83</v>
      </c>
      <c r="I4329">
        <v>17.2651</v>
      </c>
      <c r="J4329">
        <v>40.530099999999997</v>
      </c>
      <c r="K4329">
        <v>23.2651</v>
      </c>
      <c r="L4329">
        <v>82</v>
      </c>
      <c r="M4329">
        <v>0</v>
      </c>
      <c r="N4329">
        <v>1</v>
      </c>
      <c r="O4329">
        <v>40.450099999999999</v>
      </c>
      <c r="P4329">
        <v>23.238700000000001</v>
      </c>
      <c r="Q4329">
        <v>8.5668399999999991</v>
      </c>
    </row>
    <row r="4330" spans="1:17" x14ac:dyDescent="0.25">
      <c r="A4330">
        <f>IF(C4330&amp;G4330&amp;D4330&lt;&gt;'Funnel setup'!$K$3&amp;'Funnel setup'!$K$4&amp;'Funnel setup'!$K$6,".",IF(A4329=".",1,A4329+1))</f>
        <v>147</v>
      </c>
      <c r="B4330" s="244" t="str">
        <f t="shared" si="67"/>
        <v>Total Hip ReplacementProviderRIDGEWAY HOSPITAL (NT430)Oxford Hip Score</v>
      </c>
      <c r="C4330" t="s">
        <v>974</v>
      </c>
      <c r="D4330" t="s">
        <v>965</v>
      </c>
      <c r="E4330" t="s">
        <v>472</v>
      </c>
      <c r="F4330" t="s">
        <v>473</v>
      </c>
      <c r="G4330" t="s">
        <v>964</v>
      </c>
      <c r="H4330">
        <v>5</v>
      </c>
      <c r="I4330">
        <v>23.2</v>
      </c>
      <c r="J4330">
        <v>43.8</v>
      </c>
      <c r="K4330">
        <v>20.6</v>
      </c>
      <c r="L4330">
        <v>5</v>
      </c>
      <c r="M4330">
        <v>0</v>
      </c>
      <c r="N4330">
        <v>0</v>
      </c>
      <c r="O4330" t="s">
        <v>127</v>
      </c>
      <c r="P4330" t="s">
        <v>127</v>
      </c>
      <c r="Q4330" t="s">
        <v>127</v>
      </c>
    </row>
    <row r="4331" spans="1:17" x14ac:dyDescent="0.25">
      <c r="A4331">
        <f>IF(C4331&amp;G4331&amp;D4331&lt;&gt;'Funnel setup'!$K$3&amp;'Funnel setup'!$K$4&amp;'Funnel setup'!$K$6,".",IF(A4330=".",1,A4330+1))</f>
        <v>148</v>
      </c>
      <c r="B4331" s="244" t="str">
        <f t="shared" si="67"/>
        <v>Total Hip ReplacementProviderRIVERS HOSPITAL (NVC19)Oxford Hip Score</v>
      </c>
      <c r="C4331" t="s">
        <v>974</v>
      </c>
      <c r="D4331" t="s">
        <v>965</v>
      </c>
      <c r="E4331" t="s">
        <v>474</v>
      </c>
      <c r="F4331" t="s">
        <v>475</v>
      </c>
      <c r="G4331" t="s">
        <v>964</v>
      </c>
      <c r="H4331">
        <v>58</v>
      </c>
      <c r="I4331">
        <v>19.100000000000001</v>
      </c>
      <c r="J4331">
        <v>42.1</v>
      </c>
      <c r="K4331">
        <v>23</v>
      </c>
      <c r="L4331">
        <v>57</v>
      </c>
      <c r="M4331">
        <v>0</v>
      </c>
      <c r="N4331">
        <v>1</v>
      </c>
      <c r="O4331">
        <v>40.840400000000002</v>
      </c>
      <c r="P4331">
        <v>23.629000000000001</v>
      </c>
      <c r="Q4331">
        <v>6.9366700000000003</v>
      </c>
    </row>
    <row r="4332" spans="1:17" x14ac:dyDescent="0.25">
      <c r="A4332">
        <f>IF(C4332&amp;G4332&amp;D4332&lt;&gt;'Funnel setup'!$K$3&amp;'Funnel setup'!$K$4&amp;'Funnel setup'!$K$6,".",IF(A4331=".",1,A4331+1))</f>
        <v>149</v>
      </c>
      <c r="B4332" s="244" t="str">
        <f t="shared" si="67"/>
        <v>Total Hip ReplacementProviderROWLEY HALL HOSPITAL (NVC17)Oxford Hip Score</v>
      </c>
      <c r="C4332" t="s">
        <v>974</v>
      </c>
      <c r="D4332" t="s">
        <v>965</v>
      </c>
      <c r="E4332" t="s">
        <v>476</v>
      </c>
      <c r="F4332" t="s">
        <v>477</v>
      </c>
      <c r="G4332" t="s">
        <v>964</v>
      </c>
      <c r="H4332">
        <v>56</v>
      </c>
      <c r="I4332">
        <v>17.421099999999999</v>
      </c>
      <c r="J4332">
        <v>40.877200000000002</v>
      </c>
      <c r="K4332">
        <v>23.456099999999999</v>
      </c>
      <c r="L4332">
        <v>56</v>
      </c>
      <c r="M4332">
        <v>0</v>
      </c>
      <c r="N4332">
        <v>0</v>
      </c>
      <c r="O4332">
        <v>40.206699999999998</v>
      </c>
      <c r="P4332">
        <v>22.995200000000001</v>
      </c>
      <c r="Q4332">
        <v>7.10128</v>
      </c>
    </row>
    <row r="4333" spans="1:17" x14ac:dyDescent="0.25">
      <c r="A4333">
        <f>IF(C4333&amp;G4333&amp;D4333&lt;&gt;'Funnel setup'!$K$3&amp;'Funnel setup'!$K$4&amp;'Funnel setup'!$K$6,".",IF(A4332=".",1,A4332+1))</f>
        <v>150</v>
      </c>
      <c r="B4333" s="244" t="str">
        <f t="shared" si="67"/>
        <v>Total Hip ReplacementProviderROYAL BERKSHIRE NHS FOUNDATION TRUST (RHW)Oxford Hip Score</v>
      </c>
      <c r="C4333" t="s">
        <v>974</v>
      </c>
      <c r="D4333" t="s">
        <v>965</v>
      </c>
      <c r="E4333" t="s">
        <v>478</v>
      </c>
      <c r="F4333" t="s">
        <v>479</v>
      </c>
      <c r="G4333" t="s">
        <v>964</v>
      </c>
      <c r="H4333">
        <v>4</v>
      </c>
      <c r="I4333">
        <v>15</v>
      </c>
      <c r="J4333">
        <v>34.25</v>
      </c>
      <c r="K4333">
        <v>19.25</v>
      </c>
      <c r="L4333">
        <v>4</v>
      </c>
      <c r="M4333">
        <v>0</v>
      </c>
      <c r="N4333">
        <v>0</v>
      </c>
      <c r="O4333" t="s">
        <v>127</v>
      </c>
      <c r="P4333" t="s">
        <v>127</v>
      </c>
      <c r="Q4333" t="s">
        <v>127</v>
      </c>
    </row>
    <row r="4334" spans="1:17" x14ac:dyDescent="0.25">
      <c r="A4334">
        <f>IF(C4334&amp;G4334&amp;D4334&lt;&gt;'Funnel setup'!$K$3&amp;'Funnel setup'!$K$4&amp;'Funnel setup'!$K$6,".",IF(A4333=".",1,A4333+1))</f>
        <v>151</v>
      </c>
      <c r="B4334" s="244" t="str">
        <f t="shared" si="67"/>
        <v>Total Hip ReplacementProviderROYAL CORNWALL HOSPITALS NHS TRUST (REF)Oxford Hip Score</v>
      </c>
      <c r="C4334" t="s">
        <v>974</v>
      </c>
      <c r="D4334" t="s">
        <v>965</v>
      </c>
      <c r="E4334" t="s">
        <v>480</v>
      </c>
      <c r="F4334" t="s">
        <v>481</v>
      </c>
      <c r="G4334" t="s">
        <v>964</v>
      </c>
      <c r="H4334">
        <v>57</v>
      </c>
      <c r="I4334">
        <v>20.701799999999999</v>
      </c>
      <c r="J4334">
        <v>40.877200000000002</v>
      </c>
      <c r="K4334">
        <v>20.1754</v>
      </c>
      <c r="L4334">
        <v>55</v>
      </c>
      <c r="M4334">
        <v>0</v>
      </c>
      <c r="N4334">
        <v>2</v>
      </c>
      <c r="O4334">
        <v>40.267299999999999</v>
      </c>
      <c r="P4334">
        <v>23.055800000000001</v>
      </c>
      <c r="Q4334">
        <v>7.3868999999999998</v>
      </c>
    </row>
    <row r="4335" spans="1:17" x14ac:dyDescent="0.25">
      <c r="A4335">
        <f>IF(C4335&amp;G4335&amp;D4335&lt;&gt;'Funnel setup'!$K$3&amp;'Funnel setup'!$K$4&amp;'Funnel setup'!$K$6,".",IF(A4334=".",1,A4334+1))</f>
        <v>152</v>
      </c>
      <c r="B4335" s="244" t="str">
        <f t="shared" si="67"/>
        <v>Total Hip ReplacementProviderROYAL DEVON UNIVERSITY HEALTHCARE NHS FOUNDATION TRUST (RH8)Oxford Hip Score</v>
      </c>
      <c r="C4335" t="s">
        <v>974</v>
      </c>
      <c r="D4335" t="s">
        <v>965</v>
      </c>
      <c r="E4335" t="s">
        <v>482</v>
      </c>
      <c r="F4335" t="s">
        <v>483</v>
      </c>
      <c r="G4335" t="s">
        <v>964</v>
      </c>
      <c r="H4335">
        <v>4</v>
      </c>
      <c r="I4335">
        <v>15.25</v>
      </c>
      <c r="J4335">
        <v>46.5</v>
      </c>
      <c r="K4335">
        <v>31.25</v>
      </c>
      <c r="L4335">
        <v>4</v>
      </c>
      <c r="M4335">
        <v>0</v>
      </c>
      <c r="N4335">
        <v>0</v>
      </c>
      <c r="O4335" t="s">
        <v>127</v>
      </c>
      <c r="P4335" t="s">
        <v>127</v>
      </c>
      <c r="Q4335" t="s">
        <v>127</v>
      </c>
    </row>
    <row r="4336" spans="1:17" x14ac:dyDescent="0.25">
      <c r="A4336">
        <f>IF(C4336&amp;G4336&amp;D4336&lt;&gt;'Funnel setup'!$K$3&amp;'Funnel setup'!$K$4&amp;'Funnel setup'!$K$6,".",IF(A4335=".",1,A4335+1))</f>
        <v>153</v>
      </c>
      <c r="B4336" s="244" t="str">
        <f t="shared" si="67"/>
        <v>Total Hip ReplacementProviderROYAL NATIONAL ORTHOPAEDIC HOSPITAL NHS TRUST (RAN)Oxford Hip Score</v>
      </c>
      <c r="C4336" t="s">
        <v>974</v>
      </c>
      <c r="D4336" t="s">
        <v>965</v>
      </c>
      <c r="E4336" t="s">
        <v>486</v>
      </c>
      <c r="F4336" t="s">
        <v>487</v>
      </c>
      <c r="G4336" t="s">
        <v>964</v>
      </c>
      <c r="H4336">
        <v>93</v>
      </c>
      <c r="I4336">
        <v>16.881699999999999</v>
      </c>
      <c r="J4336">
        <v>35.064500000000002</v>
      </c>
      <c r="K4336">
        <v>18.1828</v>
      </c>
      <c r="L4336">
        <v>88</v>
      </c>
      <c r="M4336">
        <v>0</v>
      </c>
      <c r="N4336">
        <v>5</v>
      </c>
      <c r="O4336">
        <v>36.963500000000003</v>
      </c>
      <c r="P4336">
        <v>19.752099999999999</v>
      </c>
      <c r="Q4336">
        <v>10.1312</v>
      </c>
    </row>
    <row r="4337" spans="1:17" x14ac:dyDescent="0.25">
      <c r="A4337">
        <f>IF(C4337&amp;G4337&amp;D4337&lt;&gt;'Funnel setup'!$K$3&amp;'Funnel setup'!$K$4&amp;'Funnel setup'!$K$6,".",IF(A4336=".",1,A4336+1))</f>
        <v>154</v>
      </c>
      <c r="B4337" s="244" t="str">
        <f t="shared" si="67"/>
        <v>Total Hip ReplacementProviderROYAL SURREY COUNTY HOSPITAL NHS FOUNDATION TRUST (RA2)Oxford Hip Score</v>
      </c>
      <c r="C4337" t="s">
        <v>974</v>
      </c>
      <c r="D4337" t="s">
        <v>965</v>
      </c>
      <c r="E4337" t="s">
        <v>488</v>
      </c>
      <c r="F4337" t="s">
        <v>489</v>
      </c>
      <c r="G4337" t="s">
        <v>964</v>
      </c>
      <c r="H4337">
        <v>80</v>
      </c>
      <c r="I4337">
        <v>20.612500000000001</v>
      </c>
      <c r="J4337">
        <v>40.012500000000003</v>
      </c>
      <c r="K4337">
        <v>19.399999999999999</v>
      </c>
      <c r="L4337">
        <v>73</v>
      </c>
      <c r="M4337">
        <v>1</v>
      </c>
      <c r="N4337">
        <v>6</v>
      </c>
      <c r="O4337">
        <v>39.195</v>
      </c>
      <c r="P4337">
        <v>21.983499999999999</v>
      </c>
      <c r="Q4337">
        <v>8.1081800000000008</v>
      </c>
    </row>
    <row r="4338" spans="1:17" x14ac:dyDescent="0.25">
      <c r="A4338">
        <f>IF(C4338&amp;G4338&amp;D4338&lt;&gt;'Funnel setup'!$K$3&amp;'Funnel setup'!$K$4&amp;'Funnel setup'!$K$6,".",IF(A4337=".",1,A4337+1))</f>
        <v>155</v>
      </c>
      <c r="B4338" s="244" t="str">
        <f t="shared" si="67"/>
        <v>Total Hip ReplacementProviderROYAL UNITED HOSPITALS BATH NHS FOUNDATION TRUST (RD1)Oxford Hip Score</v>
      </c>
      <c r="C4338" t="s">
        <v>974</v>
      </c>
      <c r="D4338" t="s">
        <v>965</v>
      </c>
      <c r="E4338" t="s">
        <v>490</v>
      </c>
      <c r="F4338" t="s">
        <v>491</v>
      </c>
      <c r="G4338" t="s">
        <v>964</v>
      </c>
      <c r="H4338">
        <v>8</v>
      </c>
      <c r="I4338">
        <v>16.125</v>
      </c>
      <c r="J4338">
        <v>32.25</v>
      </c>
      <c r="K4338">
        <v>16.125</v>
      </c>
      <c r="L4338">
        <v>7</v>
      </c>
      <c r="M4338">
        <v>0</v>
      </c>
      <c r="N4338">
        <v>1</v>
      </c>
      <c r="O4338" t="s">
        <v>127</v>
      </c>
      <c r="P4338" t="s">
        <v>127</v>
      </c>
      <c r="Q4338" t="s">
        <v>127</v>
      </c>
    </row>
    <row r="4339" spans="1:17" x14ac:dyDescent="0.25">
      <c r="A4339">
        <f>IF(C4339&amp;G4339&amp;D4339&lt;&gt;'Funnel setup'!$K$3&amp;'Funnel setup'!$K$4&amp;'Funnel setup'!$K$6,".",IF(A4338=".",1,A4338+1))</f>
        <v>156</v>
      </c>
      <c r="B4339" s="244" t="str">
        <f t="shared" si="67"/>
        <v>Total Hip ReplacementProviderRUNNYMEDE HOSPITAL (NT431)Oxford Hip Score</v>
      </c>
      <c r="C4339" t="s">
        <v>974</v>
      </c>
      <c r="D4339" t="s">
        <v>965</v>
      </c>
      <c r="E4339" t="s">
        <v>492</v>
      </c>
      <c r="F4339" t="s">
        <v>493</v>
      </c>
      <c r="G4339" t="s">
        <v>964</v>
      </c>
      <c r="H4339">
        <v>6</v>
      </c>
      <c r="I4339">
        <v>21.333300000000001</v>
      </c>
      <c r="J4339">
        <v>46.5</v>
      </c>
      <c r="K4339">
        <v>25.166699999999999</v>
      </c>
      <c r="L4339">
        <v>6</v>
      </c>
      <c r="M4339">
        <v>0</v>
      </c>
      <c r="N4339">
        <v>0</v>
      </c>
      <c r="O4339" t="s">
        <v>127</v>
      </c>
      <c r="P4339" t="s">
        <v>127</v>
      </c>
      <c r="Q4339" t="s">
        <v>127</v>
      </c>
    </row>
    <row r="4340" spans="1:17" x14ac:dyDescent="0.25">
      <c r="A4340">
        <f>IF(C4340&amp;G4340&amp;D4340&lt;&gt;'Funnel setup'!$K$3&amp;'Funnel setup'!$K$4&amp;'Funnel setup'!$K$6,".",IF(A4339=".",1,A4339+1))</f>
        <v>157</v>
      </c>
      <c r="B4340" s="244" t="str">
        <f t="shared" si="67"/>
        <v>Total Hip ReplacementProviderSALISBURY NHS FOUNDATION TRUST (RNZ)Oxford Hip Score</v>
      </c>
      <c r="C4340" t="s">
        <v>974</v>
      </c>
      <c r="D4340" t="s">
        <v>965</v>
      </c>
      <c r="E4340" t="s">
        <v>494</v>
      </c>
      <c r="F4340" t="s">
        <v>495</v>
      </c>
      <c r="G4340" t="s">
        <v>964</v>
      </c>
      <c r="H4340">
        <v>3</v>
      </c>
      <c r="I4340">
        <v>12.333299999999999</v>
      </c>
      <c r="J4340">
        <v>42.333300000000001</v>
      </c>
      <c r="K4340">
        <v>30</v>
      </c>
      <c r="L4340">
        <v>3</v>
      </c>
      <c r="M4340">
        <v>0</v>
      </c>
      <c r="N4340">
        <v>0</v>
      </c>
      <c r="O4340" t="s">
        <v>127</v>
      </c>
      <c r="P4340" t="s">
        <v>127</v>
      </c>
      <c r="Q4340" t="s">
        <v>127</v>
      </c>
    </row>
    <row r="4341" spans="1:17" x14ac:dyDescent="0.25">
      <c r="A4341">
        <f>IF(C4341&amp;G4341&amp;D4341&lt;&gt;'Funnel setup'!$K$3&amp;'Funnel setup'!$K$4&amp;'Funnel setup'!$K$6,".",IF(A4340=".",1,A4340+1))</f>
        <v>158</v>
      </c>
      <c r="B4341" s="244" t="str">
        <f t="shared" si="67"/>
        <v>Total Hip ReplacementProviderSANDWELL AND WEST BIRMINGHAM HOSPITALS NHS TRUST (RXK)Oxford Hip Score</v>
      </c>
      <c r="C4341" t="s">
        <v>974</v>
      </c>
      <c r="D4341" t="s">
        <v>965</v>
      </c>
      <c r="E4341" t="s">
        <v>496</v>
      </c>
      <c r="F4341" t="s">
        <v>497</v>
      </c>
      <c r="G4341" t="s">
        <v>964</v>
      </c>
      <c r="H4341">
        <v>44</v>
      </c>
      <c r="I4341">
        <v>12.431800000000001</v>
      </c>
      <c r="J4341">
        <v>36.681800000000003</v>
      </c>
      <c r="K4341">
        <v>24.25</v>
      </c>
      <c r="L4341">
        <v>44</v>
      </c>
      <c r="M4341">
        <v>0</v>
      </c>
      <c r="N4341">
        <v>0</v>
      </c>
      <c r="O4341">
        <v>40.477699999999999</v>
      </c>
      <c r="P4341">
        <v>23.266300000000001</v>
      </c>
      <c r="Q4341">
        <v>9.1951300000000007</v>
      </c>
    </row>
    <row r="4342" spans="1:17" x14ac:dyDescent="0.25">
      <c r="A4342">
        <f>IF(C4342&amp;G4342&amp;D4342&lt;&gt;'Funnel setup'!$K$3&amp;'Funnel setup'!$K$4&amp;'Funnel setup'!$K$6,".",IF(A4341=".",1,A4341+1))</f>
        <v>159</v>
      </c>
      <c r="B4342" s="244" t="str">
        <f t="shared" si="67"/>
        <v>Total Hip ReplacementProviderSARUM ROAD HOSPITAL (NT433)Oxford Hip Score</v>
      </c>
      <c r="C4342" t="s">
        <v>974</v>
      </c>
      <c r="D4342" t="s">
        <v>965</v>
      </c>
      <c r="E4342" t="s">
        <v>498</v>
      </c>
      <c r="F4342" t="s">
        <v>499</v>
      </c>
      <c r="G4342" t="s">
        <v>964</v>
      </c>
      <c r="H4342">
        <v>36</v>
      </c>
      <c r="I4342">
        <v>21.416699999999999</v>
      </c>
      <c r="J4342">
        <v>43</v>
      </c>
      <c r="K4342">
        <v>21.583300000000001</v>
      </c>
      <c r="L4342">
        <v>36</v>
      </c>
      <c r="M4342">
        <v>0</v>
      </c>
      <c r="N4342">
        <v>0</v>
      </c>
      <c r="O4342">
        <v>39.578699999999998</v>
      </c>
      <c r="P4342">
        <v>22.3673</v>
      </c>
      <c r="Q4342">
        <v>4.9612400000000001</v>
      </c>
    </row>
    <row r="4343" spans="1:17" x14ac:dyDescent="0.25">
      <c r="A4343">
        <f>IF(C4343&amp;G4343&amp;D4343&lt;&gt;'Funnel setup'!$K$3&amp;'Funnel setup'!$K$4&amp;'Funnel setup'!$K$6,".",IF(A4342=".",1,A4342+1))</f>
        <v>160</v>
      </c>
      <c r="B4343" s="244" t="str">
        <f t="shared" si="67"/>
        <v>Total Hip ReplacementProviderSAXON CLINIC (NT434)Oxford Hip Score</v>
      </c>
      <c r="C4343" t="s">
        <v>974</v>
      </c>
      <c r="D4343" t="s">
        <v>965</v>
      </c>
      <c r="E4343" t="s">
        <v>500</v>
      </c>
      <c r="F4343" t="s">
        <v>501</v>
      </c>
      <c r="G4343" t="s">
        <v>964</v>
      </c>
      <c r="H4343">
        <v>19</v>
      </c>
      <c r="I4343">
        <v>16.947399999999998</v>
      </c>
      <c r="J4343">
        <v>43.736800000000002</v>
      </c>
      <c r="K4343">
        <v>26.7895</v>
      </c>
      <c r="L4343">
        <v>19</v>
      </c>
      <c r="M4343">
        <v>0</v>
      </c>
      <c r="N4343">
        <v>0</v>
      </c>
      <c r="O4343" t="s">
        <v>127</v>
      </c>
      <c r="P4343" t="s">
        <v>127</v>
      </c>
      <c r="Q4343" t="s">
        <v>127</v>
      </c>
    </row>
    <row r="4344" spans="1:17" x14ac:dyDescent="0.25">
      <c r="A4344">
        <f>IF(C4344&amp;G4344&amp;D4344&lt;&gt;'Funnel setup'!$K$3&amp;'Funnel setup'!$K$4&amp;'Funnel setup'!$K$6,".",IF(A4343=".",1,A4343+1))</f>
        <v>161</v>
      </c>
      <c r="B4344" s="244" t="str">
        <f t="shared" si="67"/>
        <v>Total Hip ReplacementProviderSHEFFIELD TEACHING HOSPITALS NHS FOUNDATION TRUST (RHQ)Oxford Hip Score</v>
      </c>
      <c r="C4344" t="s">
        <v>974</v>
      </c>
      <c r="D4344" t="s">
        <v>965</v>
      </c>
      <c r="E4344" t="s">
        <v>506</v>
      </c>
      <c r="F4344" t="s">
        <v>507</v>
      </c>
      <c r="G4344" t="s">
        <v>964</v>
      </c>
      <c r="H4344">
        <v>34</v>
      </c>
      <c r="I4344">
        <v>18.235299999999999</v>
      </c>
      <c r="J4344">
        <v>39.970599999999997</v>
      </c>
      <c r="K4344">
        <v>21.735299999999999</v>
      </c>
      <c r="L4344">
        <v>33</v>
      </c>
      <c r="M4344">
        <v>0</v>
      </c>
      <c r="N4344">
        <v>1</v>
      </c>
      <c r="O4344">
        <v>38.875599999999999</v>
      </c>
      <c r="P4344">
        <v>21.664100000000001</v>
      </c>
      <c r="Q4344">
        <v>9.3816199999999998</v>
      </c>
    </row>
    <row r="4345" spans="1:17" x14ac:dyDescent="0.25">
      <c r="A4345">
        <f>IF(C4345&amp;G4345&amp;D4345&lt;&gt;'Funnel setup'!$K$3&amp;'Funnel setup'!$K$4&amp;'Funnel setup'!$K$6,".",IF(A4344=".",1,A4344+1))</f>
        <v>162</v>
      </c>
      <c r="B4345" s="244" t="str">
        <f t="shared" si="67"/>
        <v>Total Hip ReplacementProviderSHERWOOD FOREST HOSPITALS NHS FOUNDATION TRUST (RK5)Oxford Hip Score</v>
      </c>
      <c r="C4345" t="s">
        <v>974</v>
      </c>
      <c r="D4345" t="s">
        <v>965</v>
      </c>
      <c r="E4345" t="s">
        <v>508</v>
      </c>
      <c r="F4345" t="s">
        <v>509</v>
      </c>
      <c r="G4345" t="s">
        <v>964</v>
      </c>
      <c r="H4345">
        <v>77</v>
      </c>
      <c r="I4345">
        <v>14.7662</v>
      </c>
      <c r="J4345">
        <v>39.207799999999999</v>
      </c>
      <c r="K4345">
        <v>24.441600000000001</v>
      </c>
      <c r="L4345">
        <v>76</v>
      </c>
      <c r="M4345">
        <v>1</v>
      </c>
      <c r="N4345">
        <v>0</v>
      </c>
      <c r="O4345">
        <v>40.757800000000003</v>
      </c>
      <c r="P4345">
        <v>23.546399999999998</v>
      </c>
      <c r="Q4345">
        <v>7.9378700000000002</v>
      </c>
    </row>
    <row r="4346" spans="1:17" x14ac:dyDescent="0.25">
      <c r="A4346">
        <f>IF(C4346&amp;G4346&amp;D4346&lt;&gt;'Funnel setup'!$K$3&amp;'Funnel setup'!$K$4&amp;'Funnel setup'!$K$6,".",IF(A4345=".",1,A4345+1))</f>
        <v>163</v>
      </c>
      <c r="B4346" s="244" t="str">
        <f t="shared" si="67"/>
        <v>Total Hip ReplacementProviderSHIRLEY OAKS HOSPITAL (NT436)Oxford Hip Score</v>
      </c>
      <c r="C4346" t="s">
        <v>974</v>
      </c>
      <c r="D4346" t="s">
        <v>965</v>
      </c>
      <c r="E4346" t="s">
        <v>510</v>
      </c>
      <c r="F4346" t="s">
        <v>511</v>
      </c>
      <c r="G4346" t="s">
        <v>964</v>
      </c>
      <c r="H4346">
        <v>2</v>
      </c>
      <c r="I4346">
        <v>24.5</v>
      </c>
      <c r="J4346">
        <v>25</v>
      </c>
      <c r="K4346">
        <v>0.5</v>
      </c>
      <c r="L4346">
        <v>1</v>
      </c>
      <c r="M4346">
        <v>0</v>
      </c>
      <c r="N4346">
        <v>1</v>
      </c>
      <c r="O4346" t="s">
        <v>127</v>
      </c>
      <c r="P4346" t="s">
        <v>127</v>
      </c>
      <c r="Q4346" t="s">
        <v>127</v>
      </c>
    </row>
    <row r="4347" spans="1:17" x14ac:dyDescent="0.25">
      <c r="A4347">
        <f>IF(C4347&amp;G4347&amp;D4347&lt;&gt;'Funnel setup'!$K$3&amp;'Funnel setup'!$K$4&amp;'Funnel setup'!$K$6,".",IF(A4346=".",1,A4346+1))</f>
        <v>164</v>
      </c>
      <c r="B4347" s="244" t="str">
        <f t="shared" si="67"/>
        <v>Total Hip ReplacementProviderSLOANE HOSPITAL (NT437)Oxford Hip Score</v>
      </c>
      <c r="C4347" t="s">
        <v>974</v>
      </c>
      <c r="D4347" t="s">
        <v>965</v>
      </c>
      <c r="E4347" t="s">
        <v>512</v>
      </c>
      <c r="F4347" t="s">
        <v>513</v>
      </c>
      <c r="G4347" t="s">
        <v>964</v>
      </c>
      <c r="H4347">
        <v>2</v>
      </c>
      <c r="I4347">
        <v>12</v>
      </c>
      <c r="J4347">
        <v>46</v>
      </c>
      <c r="K4347">
        <v>34</v>
      </c>
      <c r="L4347">
        <v>2</v>
      </c>
      <c r="M4347">
        <v>0</v>
      </c>
      <c r="N4347">
        <v>0</v>
      </c>
      <c r="O4347" t="s">
        <v>127</v>
      </c>
      <c r="P4347" t="s">
        <v>127</v>
      </c>
      <c r="Q4347" t="s">
        <v>127</v>
      </c>
    </row>
    <row r="4348" spans="1:17" x14ac:dyDescent="0.25">
      <c r="A4348">
        <f>IF(C4348&amp;G4348&amp;D4348&lt;&gt;'Funnel setup'!$K$3&amp;'Funnel setup'!$K$4&amp;'Funnel setup'!$K$6,".",IF(A4347=".",1,A4347+1))</f>
        <v>165</v>
      </c>
      <c r="B4348" s="244" t="str">
        <f t="shared" si="67"/>
        <v>Total Hip ReplacementProviderSOUTH TEES HOSPITALS NHS FOUNDATION TRUST (RTR)Oxford Hip Score</v>
      </c>
      <c r="C4348" t="s">
        <v>974</v>
      </c>
      <c r="D4348" t="s">
        <v>965</v>
      </c>
      <c r="E4348" t="s">
        <v>516</v>
      </c>
      <c r="F4348" t="s">
        <v>517</v>
      </c>
      <c r="G4348" t="s">
        <v>964</v>
      </c>
      <c r="H4348">
        <v>192</v>
      </c>
      <c r="I4348">
        <v>13.974</v>
      </c>
      <c r="J4348">
        <v>38.677100000000003</v>
      </c>
      <c r="K4348">
        <v>24.703099999999999</v>
      </c>
      <c r="L4348">
        <v>188</v>
      </c>
      <c r="M4348">
        <v>0</v>
      </c>
      <c r="N4348">
        <v>4</v>
      </c>
      <c r="O4348">
        <v>41.282299999999999</v>
      </c>
      <c r="P4348">
        <v>24.070900000000002</v>
      </c>
      <c r="Q4348">
        <v>8.8240800000000004</v>
      </c>
    </row>
    <row r="4349" spans="1:17" x14ac:dyDescent="0.25">
      <c r="A4349">
        <f>IF(C4349&amp;G4349&amp;D4349&lt;&gt;'Funnel setup'!$K$3&amp;'Funnel setup'!$K$4&amp;'Funnel setup'!$K$6,".",IF(A4348=".",1,A4348+1))</f>
        <v>166</v>
      </c>
      <c r="B4349" s="244" t="str">
        <f t="shared" si="67"/>
        <v>Total Hip ReplacementProviderSOUTH TYNESIDE AND SUNDERLAND NHS FOUNDATION TRUST (R0B)Oxford Hip Score</v>
      </c>
      <c r="C4349" t="s">
        <v>974</v>
      </c>
      <c r="D4349" t="s">
        <v>965</v>
      </c>
      <c r="E4349" t="s">
        <v>518</v>
      </c>
      <c r="F4349" t="s">
        <v>519</v>
      </c>
      <c r="G4349" t="s">
        <v>964</v>
      </c>
      <c r="H4349">
        <v>28</v>
      </c>
      <c r="I4349">
        <v>12.357100000000001</v>
      </c>
      <c r="J4349">
        <v>34.321399999999997</v>
      </c>
      <c r="K4349">
        <v>21.964300000000001</v>
      </c>
      <c r="L4349">
        <v>26</v>
      </c>
      <c r="M4349">
        <v>0</v>
      </c>
      <c r="N4349">
        <v>2</v>
      </c>
      <c r="O4349" t="s">
        <v>127</v>
      </c>
      <c r="P4349" t="s">
        <v>127</v>
      </c>
      <c r="Q4349" t="s">
        <v>127</v>
      </c>
    </row>
    <row r="4350" spans="1:17" x14ac:dyDescent="0.25">
      <c r="A4350">
        <f>IF(C4350&amp;G4350&amp;D4350&lt;&gt;'Funnel setup'!$K$3&amp;'Funnel setup'!$K$4&amp;'Funnel setup'!$K$6,".",IF(A4349=".",1,A4349+1))</f>
        <v>167</v>
      </c>
      <c r="B4350" s="244" t="str">
        <f t="shared" si="67"/>
        <v>Total Hip ReplacementProviderSOUTH WARWICKSHIRE UNIVERSITY NHS FOUNDATION TRUST (RJC)Oxford Hip Score</v>
      </c>
      <c r="C4350" t="s">
        <v>974</v>
      </c>
      <c r="D4350" t="s">
        <v>965</v>
      </c>
      <c r="E4350" t="s">
        <v>520</v>
      </c>
      <c r="F4350" t="s">
        <v>521</v>
      </c>
      <c r="G4350" t="s">
        <v>964</v>
      </c>
      <c r="H4350">
        <v>196</v>
      </c>
      <c r="I4350">
        <v>20.520399999999999</v>
      </c>
      <c r="J4350">
        <v>41.362200000000001</v>
      </c>
      <c r="K4350">
        <v>20.841799999999999</v>
      </c>
      <c r="L4350">
        <v>190</v>
      </c>
      <c r="M4350">
        <v>2</v>
      </c>
      <c r="N4350">
        <v>4</v>
      </c>
      <c r="O4350">
        <v>38.496699999999997</v>
      </c>
      <c r="P4350">
        <v>21.2852</v>
      </c>
      <c r="Q4350">
        <v>7.5869900000000001</v>
      </c>
    </row>
    <row r="4351" spans="1:17" x14ac:dyDescent="0.25">
      <c r="A4351">
        <f>IF(C4351&amp;G4351&amp;D4351&lt;&gt;'Funnel setup'!$K$3&amp;'Funnel setup'!$K$4&amp;'Funnel setup'!$K$6,".",IF(A4350=".",1,A4350+1))</f>
        <v>168</v>
      </c>
      <c r="B4351" s="244" t="str">
        <f t="shared" si="67"/>
        <v>Total Hip ReplacementProviderSOUTHPORT AND ORMSKIRK HOSPITAL NHS TRUST (RVY)Oxford Hip Score</v>
      </c>
      <c r="C4351" t="s">
        <v>974</v>
      </c>
      <c r="D4351" t="s">
        <v>965</v>
      </c>
      <c r="E4351" t="s">
        <v>522</v>
      </c>
      <c r="F4351" t="s">
        <v>523</v>
      </c>
      <c r="G4351" t="s">
        <v>964</v>
      </c>
      <c r="H4351">
        <v>10</v>
      </c>
      <c r="I4351">
        <v>16.600000000000001</v>
      </c>
      <c r="J4351">
        <v>36.9</v>
      </c>
      <c r="K4351">
        <v>20.3</v>
      </c>
      <c r="L4351">
        <v>10</v>
      </c>
      <c r="M4351">
        <v>0</v>
      </c>
      <c r="N4351">
        <v>0</v>
      </c>
      <c r="O4351" t="s">
        <v>127</v>
      </c>
      <c r="P4351" t="s">
        <v>127</v>
      </c>
      <c r="Q4351" t="s">
        <v>127</v>
      </c>
    </row>
    <row r="4352" spans="1:17" x14ac:dyDescent="0.25">
      <c r="A4352">
        <f>IF(C4352&amp;G4352&amp;D4352&lt;&gt;'Funnel setup'!$K$3&amp;'Funnel setup'!$K$4&amp;'Funnel setup'!$K$6,".",IF(A4351=".",1,A4351+1))</f>
        <v>169</v>
      </c>
      <c r="B4352" s="244" t="str">
        <f t="shared" si="67"/>
        <v>Total Hip ReplacementProviderSPENCER PRIVATE HOSPITALS - MARGATE (NN801)Oxford Hip Score</v>
      </c>
      <c r="C4352" t="s">
        <v>974</v>
      </c>
      <c r="D4352" t="s">
        <v>965</v>
      </c>
      <c r="E4352" t="s">
        <v>526</v>
      </c>
      <c r="F4352" t="s">
        <v>527</v>
      </c>
      <c r="G4352" t="s">
        <v>964</v>
      </c>
      <c r="H4352">
        <v>19</v>
      </c>
      <c r="I4352">
        <v>18.052600000000002</v>
      </c>
      <c r="J4352">
        <v>42.789499999999997</v>
      </c>
      <c r="K4352">
        <v>24.736799999999999</v>
      </c>
      <c r="L4352">
        <v>19</v>
      </c>
      <c r="M4352">
        <v>0</v>
      </c>
      <c r="N4352">
        <v>0</v>
      </c>
      <c r="O4352" t="s">
        <v>127</v>
      </c>
      <c r="P4352" t="s">
        <v>127</v>
      </c>
      <c r="Q4352" t="s">
        <v>127</v>
      </c>
    </row>
    <row r="4353" spans="1:17" x14ac:dyDescent="0.25">
      <c r="A4353">
        <f>IF(C4353&amp;G4353&amp;D4353&lt;&gt;'Funnel setup'!$K$3&amp;'Funnel setup'!$K$4&amp;'Funnel setup'!$K$6,".",IF(A4352=".",1,A4352+1))</f>
        <v>170</v>
      </c>
      <c r="B4353" s="244" t="str">
        <f t="shared" si="67"/>
        <v>Total Hip ReplacementProviderSPIRE ALEXANDRA HOSPITAL (NT312)Oxford Hip Score</v>
      </c>
      <c r="C4353" t="s">
        <v>974</v>
      </c>
      <c r="D4353" t="s">
        <v>965</v>
      </c>
      <c r="E4353" t="s">
        <v>528</v>
      </c>
      <c r="F4353" t="s">
        <v>529</v>
      </c>
      <c r="G4353" t="s">
        <v>964</v>
      </c>
      <c r="H4353">
        <v>13</v>
      </c>
      <c r="I4353">
        <v>16</v>
      </c>
      <c r="J4353">
        <v>41</v>
      </c>
      <c r="K4353">
        <v>25</v>
      </c>
      <c r="L4353">
        <v>13</v>
      </c>
      <c r="M4353">
        <v>0</v>
      </c>
      <c r="N4353">
        <v>0</v>
      </c>
      <c r="O4353" t="s">
        <v>127</v>
      </c>
      <c r="P4353" t="s">
        <v>127</v>
      </c>
      <c r="Q4353" t="s">
        <v>127</v>
      </c>
    </row>
    <row r="4354" spans="1:17" x14ac:dyDescent="0.25">
      <c r="A4354">
        <f>IF(C4354&amp;G4354&amp;D4354&lt;&gt;'Funnel setup'!$K$3&amp;'Funnel setup'!$K$4&amp;'Funnel setup'!$K$6,".",IF(A4353=".",1,A4353+1))</f>
        <v>171</v>
      </c>
      <c r="B4354" s="244" t="str">
        <f t="shared" ref="B4354:B4417" si="68">C4354&amp;D4354&amp;F4354&amp;G4354</f>
        <v>Total Hip ReplacementProviderSPIRE BRISTOL HOSPITAL (NT302)Oxford Hip Score</v>
      </c>
      <c r="C4354" t="s">
        <v>974</v>
      </c>
      <c r="D4354" t="s">
        <v>965</v>
      </c>
      <c r="E4354" t="s">
        <v>530</v>
      </c>
      <c r="F4354" t="s">
        <v>531</v>
      </c>
      <c r="G4354" t="s">
        <v>964</v>
      </c>
      <c r="H4354">
        <v>56</v>
      </c>
      <c r="I4354">
        <v>18.660699999999999</v>
      </c>
      <c r="J4354">
        <v>42.607100000000003</v>
      </c>
      <c r="K4354">
        <v>23.946400000000001</v>
      </c>
      <c r="L4354">
        <v>54</v>
      </c>
      <c r="M4354">
        <v>1</v>
      </c>
      <c r="N4354">
        <v>1</v>
      </c>
      <c r="O4354">
        <v>41.239699999999999</v>
      </c>
      <c r="P4354">
        <v>24.028199999999998</v>
      </c>
      <c r="Q4354">
        <v>7.6894</v>
      </c>
    </row>
    <row r="4355" spans="1:17" x14ac:dyDescent="0.25">
      <c r="A4355">
        <f>IF(C4355&amp;G4355&amp;D4355&lt;&gt;'Funnel setup'!$K$3&amp;'Funnel setup'!$K$4&amp;'Funnel setup'!$K$6,".",IF(A4354=".",1,A4354+1))</f>
        <v>172</v>
      </c>
      <c r="B4355" s="244" t="str">
        <f t="shared" si="68"/>
        <v>Total Hip ReplacementProviderSPIRE BUSHEY HOSPITAL (NT315)Oxford Hip Score</v>
      </c>
      <c r="C4355" t="s">
        <v>974</v>
      </c>
      <c r="D4355" t="s">
        <v>965</v>
      </c>
      <c r="E4355" t="s">
        <v>532</v>
      </c>
      <c r="F4355" t="s">
        <v>533</v>
      </c>
      <c r="G4355" t="s">
        <v>964</v>
      </c>
      <c r="H4355">
        <v>1</v>
      </c>
      <c r="I4355">
        <v>21</v>
      </c>
      <c r="J4355">
        <v>44</v>
      </c>
      <c r="K4355">
        <v>23</v>
      </c>
      <c r="L4355">
        <v>1</v>
      </c>
      <c r="M4355">
        <v>0</v>
      </c>
      <c r="N4355">
        <v>0</v>
      </c>
      <c r="O4355" t="s">
        <v>127</v>
      </c>
      <c r="P4355" t="s">
        <v>127</v>
      </c>
      <c r="Q4355" t="s">
        <v>127</v>
      </c>
    </row>
    <row r="4356" spans="1:17" x14ac:dyDescent="0.25">
      <c r="A4356">
        <f>IF(C4356&amp;G4356&amp;D4356&lt;&gt;'Funnel setup'!$K$3&amp;'Funnel setup'!$K$4&amp;'Funnel setup'!$K$6,".",IF(A4355=".",1,A4355+1))</f>
        <v>173</v>
      </c>
      <c r="B4356" s="244" t="str">
        <f t="shared" si="68"/>
        <v>Total Hip ReplacementProviderSPIRE CAMBRIDGE LEA HOSPITAL (NT317)Oxford Hip Score</v>
      </c>
      <c r="C4356" t="s">
        <v>974</v>
      </c>
      <c r="D4356" t="s">
        <v>965</v>
      </c>
      <c r="E4356" t="s">
        <v>534</v>
      </c>
      <c r="F4356" t="s">
        <v>535</v>
      </c>
      <c r="G4356" t="s">
        <v>964</v>
      </c>
      <c r="H4356">
        <v>33</v>
      </c>
      <c r="I4356">
        <v>18.454499999999999</v>
      </c>
      <c r="J4356">
        <v>42.939399999999999</v>
      </c>
      <c r="K4356">
        <v>24.4848</v>
      </c>
      <c r="L4356">
        <v>32</v>
      </c>
      <c r="M4356">
        <v>0</v>
      </c>
      <c r="N4356">
        <v>1</v>
      </c>
      <c r="O4356">
        <v>42.042400000000001</v>
      </c>
      <c r="P4356">
        <v>24.831</v>
      </c>
      <c r="Q4356">
        <v>5.9782400000000004</v>
      </c>
    </row>
    <row r="4357" spans="1:17" x14ac:dyDescent="0.25">
      <c r="A4357">
        <f>IF(C4357&amp;G4357&amp;D4357&lt;&gt;'Funnel setup'!$K$3&amp;'Funnel setup'!$K$4&amp;'Funnel setup'!$K$6,".",IF(A4356=".",1,A4356+1))</f>
        <v>174</v>
      </c>
      <c r="B4357" s="244" t="str">
        <f t="shared" si="68"/>
        <v>Total Hip ReplacementProviderSPIRE CHESHIRE HOSPITAL (NT324)Oxford Hip Score</v>
      </c>
      <c r="C4357" t="s">
        <v>974</v>
      </c>
      <c r="D4357" t="s">
        <v>965</v>
      </c>
      <c r="E4357" t="s">
        <v>536</v>
      </c>
      <c r="F4357" t="s">
        <v>537</v>
      </c>
      <c r="G4357" t="s">
        <v>964</v>
      </c>
      <c r="H4357">
        <v>23</v>
      </c>
      <c r="I4357">
        <v>15.608700000000001</v>
      </c>
      <c r="J4357">
        <v>38.260899999999999</v>
      </c>
      <c r="K4357">
        <v>22.652200000000001</v>
      </c>
      <c r="L4357">
        <v>22</v>
      </c>
      <c r="M4357">
        <v>0</v>
      </c>
      <c r="N4357">
        <v>1</v>
      </c>
      <c r="O4357" t="s">
        <v>127</v>
      </c>
      <c r="P4357" t="s">
        <v>127</v>
      </c>
      <c r="Q4357" t="s">
        <v>127</v>
      </c>
    </row>
    <row r="4358" spans="1:17" x14ac:dyDescent="0.25">
      <c r="A4358">
        <f>IF(C4358&amp;G4358&amp;D4358&lt;&gt;'Funnel setup'!$K$3&amp;'Funnel setup'!$K$4&amp;'Funnel setup'!$K$6,".",IF(A4357=".",1,A4357+1))</f>
        <v>175</v>
      </c>
      <c r="B4358" s="244" t="str">
        <f t="shared" si="68"/>
        <v>Total Hip ReplacementProviderSPIRE CLARE PARK HOSPITAL (NT345)Oxford Hip Score</v>
      </c>
      <c r="C4358" t="s">
        <v>974</v>
      </c>
      <c r="D4358" t="s">
        <v>965</v>
      </c>
      <c r="E4358" t="s">
        <v>538</v>
      </c>
      <c r="F4358" t="s">
        <v>539</v>
      </c>
      <c r="G4358" t="s">
        <v>964</v>
      </c>
      <c r="H4358">
        <v>13</v>
      </c>
      <c r="I4358">
        <v>22.1538</v>
      </c>
      <c r="J4358">
        <v>40.846200000000003</v>
      </c>
      <c r="K4358">
        <v>18.692299999999999</v>
      </c>
      <c r="L4358">
        <v>13</v>
      </c>
      <c r="M4358">
        <v>0</v>
      </c>
      <c r="N4358">
        <v>0</v>
      </c>
      <c r="O4358" t="s">
        <v>127</v>
      </c>
      <c r="P4358" t="s">
        <v>127</v>
      </c>
      <c r="Q4358" t="s">
        <v>127</v>
      </c>
    </row>
    <row r="4359" spans="1:17" x14ac:dyDescent="0.25">
      <c r="A4359">
        <f>IF(C4359&amp;G4359&amp;D4359&lt;&gt;'Funnel setup'!$K$3&amp;'Funnel setup'!$K$4&amp;'Funnel setup'!$K$6,".",IF(A4358=".",1,A4358+1))</f>
        <v>176</v>
      </c>
      <c r="B4359" s="244" t="str">
        <f t="shared" si="68"/>
        <v>Total Hip ReplacementProviderSPIRE DUNEDIN HOSPITAL (NT344)Oxford Hip Score</v>
      </c>
      <c r="C4359" t="s">
        <v>974</v>
      </c>
      <c r="D4359" t="s">
        <v>965</v>
      </c>
      <c r="E4359" t="s">
        <v>540</v>
      </c>
      <c r="F4359" t="s">
        <v>541</v>
      </c>
      <c r="G4359" t="s">
        <v>964</v>
      </c>
      <c r="H4359">
        <v>1</v>
      </c>
      <c r="I4359">
        <v>33</v>
      </c>
      <c r="J4359">
        <v>35</v>
      </c>
      <c r="K4359">
        <v>2</v>
      </c>
      <c r="L4359">
        <v>1</v>
      </c>
      <c r="M4359">
        <v>0</v>
      </c>
      <c r="N4359">
        <v>0</v>
      </c>
      <c r="O4359" t="s">
        <v>127</v>
      </c>
      <c r="P4359" t="s">
        <v>127</v>
      </c>
      <c r="Q4359" t="s">
        <v>127</v>
      </c>
    </row>
    <row r="4360" spans="1:17" x14ac:dyDescent="0.25">
      <c r="A4360">
        <f>IF(C4360&amp;G4360&amp;D4360&lt;&gt;'Funnel setup'!$K$3&amp;'Funnel setup'!$K$4&amp;'Funnel setup'!$K$6,".",IF(A4359=".",1,A4359+1))</f>
        <v>177</v>
      </c>
      <c r="B4360" s="244" t="str">
        <f t="shared" si="68"/>
        <v>Total Hip ReplacementProviderSPIRE ELLAND HOSPITAL (NT348)Oxford Hip Score</v>
      </c>
      <c r="C4360" t="s">
        <v>974</v>
      </c>
      <c r="D4360" t="s">
        <v>965</v>
      </c>
      <c r="E4360" t="s">
        <v>542</v>
      </c>
      <c r="F4360" t="s">
        <v>543</v>
      </c>
      <c r="G4360" t="s">
        <v>964</v>
      </c>
      <c r="H4360">
        <v>14</v>
      </c>
      <c r="I4360">
        <v>16.928599999999999</v>
      </c>
      <c r="J4360">
        <v>38.571399999999997</v>
      </c>
      <c r="K4360">
        <v>21.642900000000001</v>
      </c>
      <c r="L4360">
        <v>14</v>
      </c>
      <c r="M4360">
        <v>0</v>
      </c>
      <c r="N4360">
        <v>0</v>
      </c>
      <c r="O4360" t="s">
        <v>127</v>
      </c>
      <c r="P4360" t="s">
        <v>127</v>
      </c>
      <c r="Q4360" t="s">
        <v>127</v>
      </c>
    </row>
    <row r="4361" spans="1:17" x14ac:dyDescent="0.25">
      <c r="A4361">
        <f>IF(C4361&amp;G4361&amp;D4361&lt;&gt;'Funnel setup'!$K$3&amp;'Funnel setup'!$K$4&amp;'Funnel setup'!$K$6,".",IF(A4360=".",1,A4360+1))</f>
        <v>178</v>
      </c>
      <c r="B4361" s="244" t="str">
        <f t="shared" si="68"/>
        <v>Total Hip ReplacementProviderSPIRE FYLDE COAST HOSPITAL (NT347)Oxford Hip Score</v>
      </c>
      <c r="C4361" t="s">
        <v>974</v>
      </c>
      <c r="D4361" t="s">
        <v>965</v>
      </c>
      <c r="E4361" t="s">
        <v>544</v>
      </c>
      <c r="F4361" t="s">
        <v>545</v>
      </c>
      <c r="G4361" t="s">
        <v>964</v>
      </c>
      <c r="H4361">
        <v>29</v>
      </c>
      <c r="I4361">
        <v>19.862100000000002</v>
      </c>
      <c r="J4361">
        <v>41.413800000000002</v>
      </c>
      <c r="K4361">
        <v>21.5517</v>
      </c>
      <c r="L4361">
        <v>28</v>
      </c>
      <c r="M4361">
        <v>0</v>
      </c>
      <c r="N4361">
        <v>1</v>
      </c>
      <c r="O4361" t="s">
        <v>127</v>
      </c>
      <c r="P4361" t="s">
        <v>127</v>
      </c>
      <c r="Q4361" t="s">
        <v>127</v>
      </c>
    </row>
    <row r="4362" spans="1:17" x14ac:dyDescent="0.25">
      <c r="A4362">
        <f>IF(C4362&amp;G4362&amp;D4362&lt;&gt;'Funnel setup'!$K$3&amp;'Funnel setup'!$K$4&amp;'Funnel setup'!$K$6,".",IF(A4361=".",1,A4361+1))</f>
        <v>179</v>
      </c>
      <c r="B4362" s="244" t="str">
        <f t="shared" si="68"/>
        <v>Total Hip ReplacementProviderSPIRE GATWICK PARK HOSPITAL (NT308)Oxford Hip Score</v>
      </c>
      <c r="C4362" t="s">
        <v>974</v>
      </c>
      <c r="D4362" t="s">
        <v>965</v>
      </c>
      <c r="E4362" t="s">
        <v>546</v>
      </c>
      <c r="F4362" t="s">
        <v>547</v>
      </c>
      <c r="G4362" t="s">
        <v>964</v>
      </c>
      <c r="H4362">
        <v>8</v>
      </c>
      <c r="I4362">
        <v>19.8889</v>
      </c>
      <c r="J4362">
        <v>38.444400000000002</v>
      </c>
      <c r="K4362">
        <v>18.555599999999998</v>
      </c>
      <c r="L4362">
        <v>8</v>
      </c>
      <c r="M4362">
        <v>0</v>
      </c>
      <c r="N4362">
        <v>0</v>
      </c>
      <c r="O4362" t="s">
        <v>127</v>
      </c>
      <c r="P4362" t="s">
        <v>127</v>
      </c>
      <c r="Q4362" t="s">
        <v>127</v>
      </c>
    </row>
    <row r="4363" spans="1:17" x14ac:dyDescent="0.25">
      <c r="A4363">
        <f>IF(C4363&amp;G4363&amp;D4363&lt;&gt;'Funnel setup'!$K$3&amp;'Funnel setup'!$K$4&amp;'Funnel setup'!$K$6,".",IF(A4362=".",1,A4362+1))</f>
        <v>180</v>
      </c>
      <c r="B4363" s="244" t="str">
        <f t="shared" si="68"/>
        <v>Total Hip ReplacementProviderSPIRE HARPENDEN HOSPITAL (NT316)Oxford Hip Score</v>
      </c>
      <c r="C4363" t="s">
        <v>974</v>
      </c>
      <c r="D4363" t="s">
        <v>965</v>
      </c>
      <c r="E4363" t="s">
        <v>548</v>
      </c>
      <c r="F4363" t="s">
        <v>549</v>
      </c>
      <c r="G4363" t="s">
        <v>964</v>
      </c>
      <c r="H4363">
        <v>32</v>
      </c>
      <c r="I4363">
        <v>16.281300000000002</v>
      </c>
      <c r="J4363">
        <v>40.843800000000002</v>
      </c>
      <c r="K4363">
        <v>24.5625</v>
      </c>
      <c r="L4363">
        <v>32</v>
      </c>
      <c r="M4363">
        <v>0</v>
      </c>
      <c r="N4363">
        <v>0</v>
      </c>
      <c r="O4363">
        <v>40.072699999999998</v>
      </c>
      <c r="P4363">
        <v>22.8613</v>
      </c>
      <c r="Q4363">
        <v>6.3998699999999999</v>
      </c>
    </row>
    <row r="4364" spans="1:17" x14ac:dyDescent="0.25">
      <c r="A4364">
        <f>IF(C4364&amp;G4364&amp;D4364&lt;&gt;'Funnel setup'!$K$3&amp;'Funnel setup'!$K$4&amp;'Funnel setup'!$K$6,".",IF(A4363=".",1,A4363+1))</f>
        <v>181</v>
      </c>
      <c r="B4364" s="244" t="str">
        <f t="shared" si="68"/>
        <v>Total Hip ReplacementProviderSPIRE HARTSWOOD HOSPITAL (NT319)Oxford Hip Score</v>
      </c>
      <c r="C4364" t="s">
        <v>974</v>
      </c>
      <c r="D4364" t="s">
        <v>965</v>
      </c>
      <c r="E4364" t="s">
        <v>550</v>
      </c>
      <c r="F4364" t="s">
        <v>551</v>
      </c>
      <c r="G4364" t="s">
        <v>964</v>
      </c>
      <c r="H4364">
        <v>12</v>
      </c>
      <c r="I4364">
        <v>15.083299999999999</v>
      </c>
      <c r="J4364">
        <v>42.333300000000001</v>
      </c>
      <c r="K4364">
        <v>27.25</v>
      </c>
      <c r="L4364">
        <v>12</v>
      </c>
      <c r="M4364">
        <v>0</v>
      </c>
      <c r="N4364">
        <v>0</v>
      </c>
      <c r="O4364" t="s">
        <v>127</v>
      </c>
      <c r="P4364" t="s">
        <v>127</v>
      </c>
      <c r="Q4364" t="s">
        <v>127</v>
      </c>
    </row>
    <row r="4365" spans="1:17" x14ac:dyDescent="0.25">
      <c r="A4365">
        <f>IF(C4365&amp;G4365&amp;D4365&lt;&gt;'Funnel setup'!$K$3&amp;'Funnel setup'!$K$4&amp;'Funnel setup'!$K$6,".",IF(A4364=".",1,A4364+1))</f>
        <v>182</v>
      </c>
      <c r="B4365" s="244" t="str">
        <f t="shared" si="68"/>
        <v>Total Hip ReplacementProviderSPIRE HULL AND EAST RIDING HOSPITAL (NT351)Oxford Hip Score</v>
      </c>
      <c r="C4365" t="s">
        <v>974</v>
      </c>
      <c r="D4365" t="s">
        <v>965</v>
      </c>
      <c r="E4365" t="s">
        <v>554</v>
      </c>
      <c r="F4365" t="s">
        <v>555</v>
      </c>
      <c r="G4365" t="s">
        <v>964</v>
      </c>
      <c r="H4365">
        <v>37</v>
      </c>
      <c r="I4365">
        <v>16.270299999999999</v>
      </c>
      <c r="J4365">
        <v>40.216200000000001</v>
      </c>
      <c r="K4365">
        <v>23.945900000000002</v>
      </c>
      <c r="L4365">
        <v>37</v>
      </c>
      <c r="M4365">
        <v>0</v>
      </c>
      <c r="N4365">
        <v>0</v>
      </c>
      <c r="O4365">
        <v>40.125900000000001</v>
      </c>
      <c r="P4365">
        <v>22.914400000000001</v>
      </c>
      <c r="Q4365">
        <v>7.0212899999999996</v>
      </c>
    </row>
    <row r="4366" spans="1:17" x14ac:dyDescent="0.25">
      <c r="A4366">
        <f>IF(C4366&amp;G4366&amp;D4366&lt;&gt;'Funnel setup'!$K$3&amp;'Funnel setup'!$K$4&amp;'Funnel setup'!$K$6,".",IF(A4365=".",1,A4365+1))</f>
        <v>183</v>
      </c>
      <c r="B4366" s="244" t="str">
        <f t="shared" si="68"/>
        <v>Total Hip ReplacementProviderSPIRE LEEDS HOSPITAL (NT332)Oxford Hip Score</v>
      </c>
      <c r="C4366" t="s">
        <v>974</v>
      </c>
      <c r="D4366" t="s">
        <v>965</v>
      </c>
      <c r="E4366" t="s">
        <v>556</v>
      </c>
      <c r="F4366" t="s">
        <v>557</v>
      </c>
      <c r="G4366" t="s">
        <v>964</v>
      </c>
      <c r="H4366">
        <v>14</v>
      </c>
      <c r="I4366">
        <v>18.071400000000001</v>
      </c>
      <c r="J4366">
        <v>42.785699999999999</v>
      </c>
      <c r="K4366">
        <v>24.714300000000001</v>
      </c>
      <c r="L4366">
        <v>13</v>
      </c>
      <c r="M4366">
        <v>0</v>
      </c>
      <c r="N4366">
        <v>1</v>
      </c>
      <c r="O4366" t="s">
        <v>127</v>
      </c>
      <c r="P4366" t="s">
        <v>127</v>
      </c>
      <c r="Q4366" t="s">
        <v>127</v>
      </c>
    </row>
    <row r="4367" spans="1:17" x14ac:dyDescent="0.25">
      <c r="A4367">
        <f>IF(C4367&amp;G4367&amp;D4367&lt;&gt;'Funnel setup'!$K$3&amp;'Funnel setup'!$K$4&amp;'Funnel setup'!$K$6,".",IF(A4366=".",1,A4366+1))</f>
        <v>184</v>
      </c>
      <c r="B4367" s="244" t="str">
        <f t="shared" si="68"/>
        <v>Total Hip ReplacementProviderSPIRE LEICESTER HOSPITAL (NT322)Oxford Hip Score</v>
      </c>
      <c r="C4367" t="s">
        <v>974</v>
      </c>
      <c r="D4367" t="s">
        <v>965</v>
      </c>
      <c r="E4367" t="s">
        <v>558</v>
      </c>
      <c r="F4367" t="s">
        <v>559</v>
      </c>
      <c r="G4367" t="s">
        <v>964</v>
      </c>
      <c r="H4367">
        <v>32</v>
      </c>
      <c r="I4367">
        <v>18</v>
      </c>
      <c r="J4367">
        <v>41.5</v>
      </c>
      <c r="K4367">
        <v>23.5</v>
      </c>
      <c r="L4367">
        <v>31</v>
      </c>
      <c r="M4367">
        <v>0</v>
      </c>
      <c r="N4367">
        <v>1</v>
      </c>
      <c r="O4367">
        <v>41.5473</v>
      </c>
      <c r="P4367">
        <v>24.335799999999999</v>
      </c>
      <c r="Q4367">
        <v>7.5665500000000003</v>
      </c>
    </row>
    <row r="4368" spans="1:17" x14ac:dyDescent="0.25">
      <c r="A4368">
        <f>IF(C4368&amp;G4368&amp;D4368&lt;&gt;'Funnel setup'!$K$3&amp;'Funnel setup'!$K$4&amp;'Funnel setup'!$K$6,".",IF(A4367=".",1,A4367+1))</f>
        <v>185</v>
      </c>
      <c r="B4368" s="244" t="str">
        <f t="shared" si="68"/>
        <v>Total Hip ReplacementProviderSPIRE LITTLE ASTON HOSPITAL (NT321)Oxford Hip Score</v>
      </c>
      <c r="C4368" t="s">
        <v>974</v>
      </c>
      <c r="D4368" t="s">
        <v>965</v>
      </c>
      <c r="E4368" t="s">
        <v>560</v>
      </c>
      <c r="F4368" t="s">
        <v>561</v>
      </c>
      <c r="G4368" t="s">
        <v>964</v>
      </c>
      <c r="H4368">
        <v>30</v>
      </c>
      <c r="I4368">
        <v>18.7</v>
      </c>
      <c r="J4368">
        <v>37</v>
      </c>
      <c r="K4368">
        <v>18.3</v>
      </c>
      <c r="L4368">
        <v>30</v>
      </c>
      <c r="M4368">
        <v>0</v>
      </c>
      <c r="N4368">
        <v>0</v>
      </c>
      <c r="O4368">
        <v>34.976300000000002</v>
      </c>
      <c r="P4368">
        <v>17.764800000000001</v>
      </c>
      <c r="Q4368">
        <v>7.6356200000000003</v>
      </c>
    </row>
    <row r="4369" spans="1:17" x14ac:dyDescent="0.25">
      <c r="A4369">
        <f>IF(C4369&amp;G4369&amp;D4369&lt;&gt;'Funnel setup'!$K$3&amp;'Funnel setup'!$K$4&amp;'Funnel setup'!$K$6,".",IF(A4368=".",1,A4368+1))</f>
        <v>186</v>
      </c>
      <c r="B4369" s="244" t="str">
        <f t="shared" si="68"/>
        <v>Total Hip ReplacementProviderSPIRE LIVERPOOL HOSPITAL (NT337)Oxford Hip Score</v>
      </c>
      <c r="C4369" t="s">
        <v>974</v>
      </c>
      <c r="D4369" t="s">
        <v>965</v>
      </c>
      <c r="E4369" t="s">
        <v>562</v>
      </c>
      <c r="F4369" t="s">
        <v>563</v>
      </c>
      <c r="G4369" t="s">
        <v>964</v>
      </c>
      <c r="H4369">
        <v>9</v>
      </c>
      <c r="I4369">
        <v>14.1111</v>
      </c>
      <c r="J4369">
        <v>43</v>
      </c>
      <c r="K4369">
        <v>28.8889</v>
      </c>
      <c r="L4369">
        <v>9</v>
      </c>
      <c r="M4369">
        <v>0</v>
      </c>
      <c r="N4369">
        <v>0</v>
      </c>
      <c r="O4369" t="s">
        <v>127</v>
      </c>
      <c r="P4369" t="s">
        <v>127</v>
      </c>
      <c r="Q4369" t="s">
        <v>127</v>
      </c>
    </row>
    <row r="4370" spans="1:17" x14ac:dyDescent="0.25">
      <c r="A4370">
        <f>IF(C4370&amp;G4370&amp;D4370&lt;&gt;'Funnel setup'!$K$3&amp;'Funnel setup'!$K$4&amp;'Funnel setup'!$K$6,".",IF(A4369=".",1,A4369+1))</f>
        <v>187</v>
      </c>
      <c r="B4370" s="244" t="str">
        <f t="shared" si="68"/>
        <v>Total Hip ReplacementProviderSPIRE MANCHESTER HOSPITAL (NT327)Oxford Hip Score</v>
      </c>
      <c r="C4370" t="s">
        <v>974</v>
      </c>
      <c r="D4370" t="s">
        <v>965</v>
      </c>
      <c r="E4370" t="s">
        <v>566</v>
      </c>
      <c r="F4370" t="s">
        <v>567</v>
      </c>
      <c r="G4370" t="s">
        <v>964</v>
      </c>
      <c r="H4370">
        <v>31</v>
      </c>
      <c r="I4370">
        <v>18.709700000000002</v>
      </c>
      <c r="J4370">
        <v>40.451599999999999</v>
      </c>
      <c r="K4370">
        <v>21.741900000000001</v>
      </c>
      <c r="L4370">
        <v>31</v>
      </c>
      <c r="M4370">
        <v>0</v>
      </c>
      <c r="N4370">
        <v>0</v>
      </c>
      <c r="O4370">
        <v>38.3703</v>
      </c>
      <c r="P4370">
        <v>21.158899999999999</v>
      </c>
      <c r="Q4370">
        <v>8.2557500000000008</v>
      </c>
    </row>
    <row r="4371" spans="1:17" x14ac:dyDescent="0.25">
      <c r="A4371">
        <f>IF(C4371&amp;G4371&amp;D4371&lt;&gt;'Funnel setup'!$K$3&amp;'Funnel setup'!$K$4&amp;'Funnel setup'!$K$6,".",IF(A4370=".",1,A4370+1))</f>
        <v>188</v>
      </c>
      <c r="B4371" s="244" t="str">
        <f t="shared" si="68"/>
        <v>Total Hip ReplacementProviderSPIRE METHLEY PARK HOSPITAL (NT350)Oxford Hip Score</v>
      </c>
      <c r="C4371" t="s">
        <v>974</v>
      </c>
      <c r="D4371" t="s">
        <v>965</v>
      </c>
      <c r="E4371" t="s">
        <v>568</v>
      </c>
      <c r="F4371" t="s">
        <v>569</v>
      </c>
      <c r="G4371" t="s">
        <v>964</v>
      </c>
      <c r="H4371">
        <v>28</v>
      </c>
      <c r="I4371">
        <v>16.392900000000001</v>
      </c>
      <c r="J4371">
        <v>39.928600000000003</v>
      </c>
      <c r="K4371">
        <v>23.535699999999999</v>
      </c>
      <c r="L4371">
        <v>28</v>
      </c>
      <c r="M4371">
        <v>0</v>
      </c>
      <c r="N4371">
        <v>0</v>
      </c>
      <c r="O4371" t="s">
        <v>127</v>
      </c>
      <c r="P4371" t="s">
        <v>127</v>
      </c>
      <c r="Q4371" t="s">
        <v>127</v>
      </c>
    </row>
    <row r="4372" spans="1:17" x14ac:dyDescent="0.25">
      <c r="A4372">
        <f>IF(C4372&amp;G4372&amp;D4372&lt;&gt;'Funnel setup'!$K$3&amp;'Funnel setup'!$K$4&amp;'Funnel setup'!$K$6,".",IF(A4371=".",1,A4371+1))</f>
        <v>189</v>
      </c>
      <c r="B4372" s="244" t="str">
        <f t="shared" si="68"/>
        <v>Total Hip ReplacementProviderSPIRE MONTEFIORE HOSPITAL (NT364)Oxford Hip Score</v>
      </c>
      <c r="C4372" t="s">
        <v>974</v>
      </c>
      <c r="D4372" t="s">
        <v>965</v>
      </c>
      <c r="E4372" t="s">
        <v>570</v>
      </c>
      <c r="F4372" t="s">
        <v>571</v>
      </c>
      <c r="G4372" t="s">
        <v>964</v>
      </c>
      <c r="H4372">
        <v>3</v>
      </c>
      <c r="I4372">
        <v>20.333300000000001</v>
      </c>
      <c r="J4372">
        <v>48</v>
      </c>
      <c r="K4372">
        <v>27.666699999999999</v>
      </c>
      <c r="L4372">
        <v>3</v>
      </c>
      <c r="M4372">
        <v>0</v>
      </c>
      <c r="N4372">
        <v>0</v>
      </c>
      <c r="O4372" t="s">
        <v>127</v>
      </c>
      <c r="P4372" t="s">
        <v>127</v>
      </c>
      <c r="Q4372" t="s">
        <v>127</v>
      </c>
    </row>
    <row r="4373" spans="1:17" x14ac:dyDescent="0.25">
      <c r="A4373">
        <f>IF(C4373&amp;G4373&amp;D4373&lt;&gt;'Funnel setup'!$K$3&amp;'Funnel setup'!$K$4&amp;'Funnel setup'!$K$6,".",IF(A4372=".",1,A4372+1))</f>
        <v>190</v>
      </c>
      <c r="B4373" s="244" t="str">
        <f t="shared" si="68"/>
        <v>Total Hip ReplacementProviderSPIRE MURRAYFIELD HOSPITAL (NT325)Oxford Hip Score</v>
      </c>
      <c r="C4373" t="s">
        <v>974</v>
      </c>
      <c r="D4373" t="s">
        <v>965</v>
      </c>
      <c r="E4373" t="s">
        <v>572</v>
      </c>
      <c r="F4373" t="s">
        <v>573</v>
      </c>
      <c r="G4373" t="s">
        <v>964</v>
      </c>
      <c r="H4373">
        <v>5</v>
      </c>
      <c r="I4373">
        <v>23</v>
      </c>
      <c r="J4373">
        <v>43</v>
      </c>
      <c r="K4373">
        <v>20</v>
      </c>
      <c r="L4373">
        <v>5</v>
      </c>
      <c r="M4373">
        <v>0</v>
      </c>
      <c r="N4373">
        <v>0</v>
      </c>
      <c r="O4373" t="s">
        <v>127</v>
      </c>
      <c r="P4373" t="s">
        <v>127</v>
      </c>
      <c r="Q4373" t="s">
        <v>127</v>
      </c>
    </row>
    <row r="4374" spans="1:17" x14ac:dyDescent="0.25">
      <c r="A4374">
        <f>IF(C4374&amp;G4374&amp;D4374&lt;&gt;'Funnel setup'!$K$3&amp;'Funnel setup'!$K$4&amp;'Funnel setup'!$K$6,".",IF(A4373=".",1,A4373+1))</f>
        <v>191</v>
      </c>
      <c r="B4374" s="244" t="str">
        <f t="shared" si="68"/>
        <v>Total Hip ReplacementProviderSPIRE NOTTINGHAM HOSPITAL (NT30A)Oxford Hip Score</v>
      </c>
      <c r="C4374" t="s">
        <v>974</v>
      </c>
      <c r="D4374" t="s">
        <v>965</v>
      </c>
      <c r="E4374" t="s">
        <v>576</v>
      </c>
      <c r="F4374" t="s">
        <v>577</v>
      </c>
      <c r="G4374" t="s">
        <v>964</v>
      </c>
      <c r="H4374">
        <v>1</v>
      </c>
      <c r="I4374">
        <v>17</v>
      </c>
      <c r="J4374">
        <v>38</v>
      </c>
      <c r="K4374">
        <v>21</v>
      </c>
      <c r="L4374">
        <v>1</v>
      </c>
      <c r="M4374">
        <v>0</v>
      </c>
      <c r="N4374">
        <v>0</v>
      </c>
      <c r="O4374" t="s">
        <v>127</v>
      </c>
      <c r="P4374" t="s">
        <v>127</v>
      </c>
      <c r="Q4374" t="s">
        <v>127</v>
      </c>
    </row>
    <row r="4375" spans="1:17" x14ac:dyDescent="0.25">
      <c r="A4375">
        <f>IF(C4375&amp;G4375&amp;D4375&lt;&gt;'Funnel setup'!$K$3&amp;'Funnel setup'!$K$4&amp;'Funnel setup'!$K$6,".",IF(A4374=".",1,A4374+1))</f>
        <v>192</v>
      </c>
      <c r="B4375" s="244" t="str">
        <f t="shared" si="68"/>
        <v>Total Hip ReplacementProviderSPIRE PARKWAY HOSPITAL (NT320)Oxford Hip Score</v>
      </c>
      <c r="C4375" t="s">
        <v>974</v>
      </c>
      <c r="D4375" t="s">
        <v>965</v>
      </c>
      <c r="E4375" t="s">
        <v>578</v>
      </c>
      <c r="F4375" t="s">
        <v>579</v>
      </c>
      <c r="G4375" t="s">
        <v>964</v>
      </c>
      <c r="H4375">
        <v>19</v>
      </c>
      <c r="I4375">
        <v>18.842099999999999</v>
      </c>
      <c r="J4375">
        <v>39.263199999999998</v>
      </c>
      <c r="K4375">
        <v>20.421099999999999</v>
      </c>
      <c r="L4375">
        <v>17</v>
      </c>
      <c r="M4375">
        <v>0</v>
      </c>
      <c r="N4375">
        <v>2</v>
      </c>
      <c r="O4375" t="s">
        <v>127</v>
      </c>
      <c r="P4375" t="s">
        <v>127</v>
      </c>
      <c r="Q4375" t="s">
        <v>127</v>
      </c>
    </row>
    <row r="4376" spans="1:17" x14ac:dyDescent="0.25">
      <c r="A4376">
        <f>IF(C4376&amp;G4376&amp;D4376&lt;&gt;'Funnel setup'!$K$3&amp;'Funnel setup'!$K$4&amp;'Funnel setup'!$K$6,".",IF(A4375=".",1,A4375+1))</f>
        <v>193</v>
      </c>
      <c r="B4376" s="244" t="str">
        <f t="shared" si="68"/>
        <v>Total Hip ReplacementProviderSPIRE PORTSMOUTH HOSPITAL (NT305)Oxford Hip Score</v>
      </c>
      <c r="C4376" t="s">
        <v>974</v>
      </c>
      <c r="D4376" t="s">
        <v>965</v>
      </c>
      <c r="E4376" t="s">
        <v>580</v>
      </c>
      <c r="F4376" t="s">
        <v>581</v>
      </c>
      <c r="G4376" t="s">
        <v>964</v>
      </c>
      <c r="H4376">
        <v>12</v>
      </c>
      <c r="I4376">
        <v>18.5</v>
      </c>
      <c r="J4376">
        <v>36.333300000000001</v>
      </c>
      <c r="K4376">
        <v>17.833300000000001</v>
      </c>
      <c r="L4376">
        <v>11</v>
      </c>
      <c r="M4376">
        <v>0</v>
      </c>
      <c r="N4376">
        <v>1</v>
      </c>
      <c r="O4376" t="s">
        <v>127</v>
      </c>
      <c r="P4376" t="s">
        <v>127</v>
      </c>
      <c r="Q4376" t="s">
        <v>127</v>
      </c>
    </row>
    <row r="4377" spans="1:17" x14ac:dyDescent="0.25">
      <c r="A4377">
        <f>IF(C4377&amp;G4377&amp;D4377&lt;&gt;'Funnel setup'!$K$3&amp;'Funnel setup'!$K$4&amp;'Funnel setup'!$K$6,".",IF(A4376=".",1,A4376+1))</f>
        <v>194</v>
      </c>
      <c r="B4377" s="244" t="str">
        <f t="shared" si="68"/>
        <v>Total Hip ReplacementProviderSPIRE REGENCY HOSPITAL (NT339)Oxford Hip Score</v>
      </c>
      <c r="C4377" t="s">
        <v>974</v>
      </c>
      <c r="D4377" t="s">
        <v>965</v>
      </c>
      <c r="E4377" t="s">
        <v>582</v>
      </c>
      <c r="F4377" t="s">
        <v>583</v>
      </c>
      <c r="G4377" t="s">
        <v>964</v>
      </c>
      <c r="H4377">
        <v>32</v>
      </c>
      <c r="I4377">
        <v>20.468800000000002</v>
      </c>
      <c r="J4377">
        <v>39.8125</v>
      </c>
      <c r="K4377">
        <v>19.343800000000002</v>
      </c>
      <c r="L4377">
        <v>31</v>
      </c>
      <c r="M4377">
        <v>0</v>
      </c>
      <c r="N4377">
        <v>1</v>
      </c>
      <c r="O4377">
        <v>37.599200000000003</v>
      </c>
      <c r="P4377">
        <v>20.387799999999999</v>
      </c>
      <c r="Q4377">
        <v>7.6331800000000003</v>
      </c>
    </row>
    <row r="4378" spans="1:17" x14ac:dyDescent="0.25">
      <c r="A4378">
        <f>IF(C4378&amp;G4378&amp;D4378&lt;&gt;'Funnel setup'!$K$3&amp;'Funnel setup'!$K$4&amp;'Funnel setup'!$K$6,".",IF(A4377=".",1,A4377+1))</f>
        <v>195</v>
      </c>
      <c r="B4378" s="244" t="str">
        <f t="shared" si="68"/>
        <v>Total Hip ReplacementProviderSPIRE SOUTHAMPTON HOSPITAL (NT304)Oxford Hip Score</v>
      </c>
      <c r="C4378" t="s">
        <v>974</v>
      </c>
      <c r="D4378" t="s">
        <v>965</v>
      </c>
      <c r="E4378" t="s">
        <v>586</v>
      </c>
      <c r="F4378" t="s">
        <v>587</v>
      </c>
      <c r="G4378" t="s">
        <v>964</v>
      </c>
      <c r="H4378">
        <v>44</v>
      </c>
      <c r="I4378">
        <v>20.818200000000001</v>
      </c>
      <c r="J4378">
        <v>42.704500000000003</v>
      </c>
      <c r="K4378">
        <v>21.886399999999998</v>
      </c>
      <c r="L4378">
        <v>43</v>
      </c>
      <c r="M4378">
        <v>0</v>
      </c>
      <c r="N4378">
        <v>1</v>
      </c>
      <c r="O4378">
        <v>40.423999999999999</v>
      </c>
      <c r="P4378">
        <v>23.212499999999999</v>
      </c>
      <c r="Q4378">
        <v>5.8747699999999998</v>
      </c>
    </row>
    <row r="4379" spans="1:17" x14ac:dyDescent="0.25">
      <c r="A4379">
        <f>IF(C4379&amp;G4379&amp;D4379&lt;&gt;'Funnel setup'!$K$3&amp;'Funnel setup'!$K$4&amp;'Funnel setup'!$K$6,".",IF(A4378=".",1,A4378+1))</f>
        <v>196</v>
      </c>
      <c r="B4379" s="244" t="str">
        <f t="shared" si="68"/>
        <v>Total Hip ReplacementProviderSPIRE ST ANTHONY'S HOSPITAL (NT3X3)Oxford Hip Score</v>
      </c>
      <c r="C4379" t="s">
        <v>974</v>
      </c>
      <c r="D4379" t="s">
        <v>965</v>
      </c>
      <c r="E4379" t="s">
        <v>588</v>
      </c>
      <c r="F4379" t="s">
        <v>589</v>
      </c>
      <c r="G4379" t="s">
        <v>964</v>
      </c>
      <c r="H4379">
        <v>3</v>
      </c>
      <c r="I4379">
        <v>14</v>
      </c>
      <c r="J4379">
        <v>35.666699999999999</v>
      </c>
      <c r="K4379">
        <v>21.666699999999999</v>
      </c>
      <c r="L4379">
        <v>3</v>
      </c>
      <c r="M4379">
        <v>0</v>
      </c>
      <c r="N4379">
        <v>0</v>
      </c>
      <c r="O4379" t="s">
        <v>127</v>
      </c>
      <c r="P4379" t="s">
        <v>127</v>
      </c>
      <c r="Q4379" t="s">
        <v>127</v>
      </c>
    </row>
    <row r="4380" spans="1:17" x14ac:dyDescent="0.25">
      <c r="A4380">
        <f>IF(C4380&amp;G4380&amp;D4380&lt;&gt;'Funnel setup'!$K$3&amp;'Funnel setup'!$K$4&amp;'Funnel setup'!$K$6,".",IF(A4379=".",1,A4379+1))</f>
        <v>197</v>
      </c>
      <c r="B4380" s="244" t="str">
        <f t="shared" si="68"/>
        <v>Total Hip ReplacementProviderSPIRE SUSSEX HOSPITAL (NT309)Oxford Hip Score</v>
      </c>
      <c r="C4380" t="s">
        <v>974</v>
      </c>
      <c r="D4380" t="s">
        <v>965</v>
      </c>
      <c r="E4380" t="s">
        <v>590</v>
      </c>
      <c r="F4380" t="s">
        <v>591</v>
      </c>
      <c r="G4380" t="s">
        <v>964</v>
      </c>
      <c r="H4380">
        <v>7</v>
      </c>
      <c r="I4380">
        <v>21.428599999999999</v>
      </c>
      <c r="J4380">
        <v>42</v>
      </c>
      <c r="K4380">
        <v>20.571400000000001</v>
      </c>
      <c r="L4380">
        <v>7</v>
      </c>
      <c r="M4380">
        <v>0</v>
      </c>
      <c r="N4380">
        <v>0</v>
      </c>
      <c r="O4380" t="s">
        <v>127</v>
      </c>
      <c r="P4380" t="s">
        <v>127</v>
      </c>
      <c r="Q4380" t="s">
        <v>127</v>
      </c>
    </row>
    <row r="4381" spans="1:17" x14ac:dyDescent="0.25">
      <c r="A4381">
        <f>IF(C4381&amp;G4381&amp;D4381&lt;&gt;'Funnel setup'!$K$3&amp;'Funnel setup'!$K$4&amp;'Funnel setup'!$K$6,".",IF(A4380=".",1,A4380+1))</f>
        <v>198</v>
      </c>
      <c r="B4381" s="244" t="str">
        <f t="shared" si="68"/>
        <v>Total Hip ReplacementProviderSPIRE THAMES VALLEY HOSPITAL (NT343)Oxford Hip Score</v>
      </c>
      <c r="C4381" t="s">
        <v>974</v>
      </c>
      <c r="D4381" t="s">
        <v>965</v>
      </c>
      <c r="E4381" t="s">
        <v>592</v>
      </c>
      <c r="F4381" t="s">
        <v>593</v>
      </c>
      <c r="G4381" t="s">
        <v>964</v>
      </c>
      <c r="H4381">
        <v>7</v>
      </c>
      <c r="I4381">
        <v>20</v>
      </c>
      <c r="J4381">
        <v>44.571399999999997</v>
      </c>
      <c r="K4381">
        <v>24.571400000000001</v>
      </c>
      <c r="L4381">
        <v>7</v>
      </c>
      <c r="M4381">
        <v>0</v>
      </c>
      <c r="N4381">
        <v>0</v>
      </c>
      <c r="O4381" t="s">
        <v>127</v>
      </c>
      <c r="P4381" t="s">
        <v>127</v>
      </c>
      <c r="Q4381" t="s">
        <v>127</v>
      </c>
    </row>
    <row r="4382" spans="1:17" x14ac:dyDescent="0.25">
      <c r="A4382">
        <f>IF(C4382&amp;G4382&amp;D4382&lt;&gt;'Funnel setup'!$K$3&amp;'Funnel setup'!$K$4&amp;'Funnel setup'!$K$6,".",IF(A4381=".",1,A4381+1))</f>
        <v>199</v>
      </c>
      <c r="B4382" s="244" t="str">
        <f t="shared" si="68"/>
        <v>Total Hip ReplacementProviderSPIRE TUNBRIDGE WELLS HOSPITAL (NT310)Oxford Hip Score</v>
      </c>
      <c r="C4382" t="s">
        <v>974</v>
      </c>
      <c r="D4382" t="s">
        <v>965</v>
      </c>
      <c r="E4382" t="s">
        <v>594</v>
      </c>
      <c r="F4382" t="s">
        <v>595</v>
      </c>
      <c r="G4382" t="s">
        <v>964</v>
      </c>
      <c r="H4382">
        <v>7</v>
      </c>
      <c r="I4382">
        <v>12.857100000000001</v>
      </c>
      <c r="J4382">
        <v>36.142899999999997</v>
      </c>
      <c r="K4382">
        <v>23.285699999999999</v>
      </c>
      <c r="L4382">
        <v>7</v>
      </c>
      <c r="M4382">
        <v>0</v>
      </c>
      <c r="N4382">
        <v>0</v>
      </c>
      <c r="O4382" t="s">
        <v>127</v>
      </c>
      <c r="P4382" t="s">
        <v>127</v>
      </c>
      <c r="Q4382" t="s">
        <v>127</v>
      </c>
    </row>
    <row r="4383" spans="1:17" x14ac:dyDescent="0.25">
      <c r="A4383">
        <f>IF(C4383&amp;G4383&amp;D4383&lt;&gt;'Funnel setup'!$K$3&amp;'Funnel setup'!$K$4&amp;'Funnel setup'!$K$6,".",IF(A4382=".",1,A4382+1))</f>
        <v>200</v>
      </c>
      <c r="B4383" s="244" t="str">
        <f t="shared" si="68"/>
        <v>Total Hip ReplacementProviderSPIRE WASHINGTON HOSPITAL (NT333)Oxford Hip Score</v>
      </c>
      <c r="C4383" t="s">
        <v>974</v>
      </c>
      <c r="D4383" t="s">
        <v>965</v>
      </c>
      <c r="E4383" t="s">
        <v>596</v>
      </c>
      <c r="F4383" t="s">
        <v>597</v>
      </c>
      <c r="G4383" t="s">
        <v>964</v>
      </c>
      <c r="H4383">
        <v>64</v>
      </c>
      <c r="I4383">
        <v>16.265599999999999</v>
      </c>
      <c r="J4383">
        <v>42.875</v>
      </c>
      <c r="K4383">
        <v>26.609400000000001</v>
      </c>
      <c r="L4383">
        <v>64</v>
      </c>
      <c r="M4383">
        <v>0</v>
      </c>
      <c r="N4383">
        <v>0</v>
      </c>
      <c r="O4383">
        <v>43.815300000000001</v>
      </c>
      <c r="P4383">
        <v>26.6038</v>
      </c>
      <c r="Q4383">
        <v>6.2274200000000004</v>
      </c>
    </row>
    <row r="4384" spans="1:17" x14ac:dyDescent="0.25">
      <c r="A4384">
        <f>IF(C4384&amp;G4384&amp;D4384&lt;&gt;'Funnel setup'!$K$3&amp;'Funnel setup'!$K$4&amp;'Funnel setup'!$K$6,".",IF(A4383=".",1,A4383+1))</f>
        <v>201</v>
      </c>
      <c r="B4384" s="244" t="str">
        <f t="shared" si="68"/>
        <v>Total Hip ReplacementProviderSPRINGFIELD HOSPITAL (NVC18)Oxford Hip Score</v>
      </c>
      <c r="C4384" t="s">
        <v>974</v>
      </c>
      <c r="D4384" t="s">
        <v>965</v>
      </c>
      <c r="E4384" t="s">
        <v>602</v>
      </c>
      <c r="F4384" t="s">
        <v>603</v>
      </c>
      <c r="G4384" t="s">
        <v>964</v>
      </c>
      <c r="H4384">
        <v>81</v>
      </c>
      <c r="I4384">
        <v>15.5244</v>
      </c>
      <c r="J4384">
        <v>42.0976</v>
      </c>
      <c r="K4384">
        <v>26.5732</v>
      </c>
      <c r="L4384">
        <v>79</v>
      </c>
      <c r="M4384">
        <v>1</v>
      </c>
      <c r="N4384">
        <v>1</v>
      </c>
      <c r="O4384">
        <v>42.007800000000003</v>
      </c>
      <c r="P4384">
        <v>24.796299999999999</v>
      </c>
      <c r="Q4384">
        <v>7.0066300000000004</v>
      </c>
    </row>
    <row r="4385" spans="1:17" x14ac:dyDescent="0.25">
      <c r="A4385">
        <f>IF(C4385&amp;G4385&amp;D4385&lt;&gt;'Funnel setup'!$K$3&amp;'Funnel setup'!$K$4&amp;'Funnel setup'!$K$6,".",IF(A4384=".",1,A4384+1))</f>
        <v>202</v>
      </c>
      <c r="B4385" s="244" t="str">
        <f t="shared" si="68"/>
        <v>Total Hip ReplacementProviderST EDMUNDS HOSPITAL (NT446)Oxford Hip Score</v>
      </c>
      <c r="C4385" t="s">
        <v>974</v>
      </c>
      <c r="D4385" t="s">
        <v>965</v>
      </c>
      <c r="E4385" t="s">
        <v>604</v>
      </c>
      <c r="F4385" t="s">
        <v>605</v>
      </c>
      <c r="G4385" t="s">
        <v>964</v>
      </c>
      <c r="H4385">
        <v>55</v>
      </c>
      <c r="I4385">
        <v>17.672699999999999</v>
      </c>
      <c r="J4385">
        <v>42.854500000000002</v>
      </c>
      <c r="K4385">
        <v>25.181799999999999</v>
      </c>
      <c r="L4385">
        <v>55</v>
      </c>
      <c r="M4385">
        <v>0</v>
      </c>
      <c r="N4385">
        <v>0</v>
      </c>
      <c r="O4385">
        <v>41.327500000000001</v>
      </c>
      <c r="P4385">
        <v>24.116099999999999</v>
      </c>
      <c r="Q4385">
        <v>6.9168399999999997</v>
      </c>
    </row>
    <row r="4386" spans="1:17" x14ac:dyDescent="0.25">
      <c r="A4386">
        <f>IF(C4386&amp;G4386&amp;D4386&lt;&gt;'Funnel setup'!$K$3&amp;'Funnel setup'!$K$4&amp;'Funnel setup'!$K$6,".",IF(A4385=".",1,A4385+1))</f>
        <v>203</v>
      </c>
      <c r="B4386" s="244" t="str">
        <f t="shared" si="68"/>
        <v>Total Hip ReplacementProviderST HELENS AND KNOWSLEY TEACHING HOSPITALS NHS TRUST (RBN)Oxford Hip Score</v>
      </c>
      <c r="C4386" t="s">
        <v>974</v>
      </c>
      <c r="D4386" t="s">
        <v>965</v>
      </c>
      <c r="E4386" t="s">
        <v>608</v>
      </c>
      <c r="F4386" t="s">
        <v>609</v>
      </c>
      <c r="G4386" t="s">
        <v>964</v>
      </c>
      <c r="H4386">
        <v>78</v>
      </c>
      <c r="I4386">
        <v>15.141</v>
      </c>
      <c r="J4386">
        <v>36.076900000000002</v>
      </c>
      <c r="K4386">
        <v>20.9359</v>
      </c>
      <c r="L4386">
        <v>73</v>
      </c>
      <c r="M4386">
        <v>2</v>
      </c>
      <c r="N4386">
        <v>3</v>
      </c>
      <c r="O4386">
        <v>38.763199999999998</v>
      </c>
      <c r="P4386">
        <v>21.5517</v>
      </c>
      <c r="Q4386">
        <v>9.4716900000000006</v>
      </c>
    </row>
    <row r="4387" spans="1:17" x14ac:dyDescent="0.25">
      <c r="A4387">
        <f>IF(C4387&amp;G4387&amp;D4387&lt;&gt;'Funnel setup'!$K$3&amp;'Funnel setup'!$K$4&amp;'Funnel setup'!$K$6,".",IF(A4386=".",1,A4386+1))</f>
        <v>204</v>
      </c>
      <c r="B4387" s="244" t="str">
        <f t="shared" si="68"/>
        <v>Total Hip ReplacementProviderST HUGH'S HOSPITAL (NTE02)Oxford Hip Score</v>
      </c>
      <c r="C4387" t="s">
        <v>974</v>
      </c>
      <c r="D4387" t="s">
        <v>965</v>
      </c>
      <c r="E4387" t="s">
        <v>610</v>
      </c>
      <c r="F4387" t="s">
        <v>611</v>
      </c>
      <c r="G4387" t="s">
        <v>964</v>
      </c>
      <c r="H4387">
        <v>99</v>
      </c>
      <c r="I4387">
        <v>18.979800000000001</v>
      </c>
      <c r="J4387">
        <v>40.525300000000001</v>
      </c>
      <c r="K4387">
        <v>21.545500000000001</v>
      </c>
      <c r="L4387">
        <v>96</v>
      </c>
      <c r="M4387">
        <v>0</v>
      </c>
      <c r="N4387">
        <v>3</v>
      </c>
      <c r="O4387">
        <v>38.9482</v>
      </c>
      <c r="P4387">
        <v>21.736799999999999</v>
      </c>
      <c r="Q4387">
        <v>7.5975099999999998</v>
      </c>
    </row>
    <row r="4388" spans="1:17" x14ac:dyDescent="0.25">
      <c r="A4388">
        <f>IF(C4388&amp;G4388&amp;D4388&lt;&gt;'Funnel setup'!$K$3&amp;'Funnel setup'!$K$4&amp;'Funnel setup'!$K$6,".",IF(A4387=".",1,A4387+1))</f>
        <v>205</v>
      </c>
      <c r="B4388" s="244" t="str">
        <f t="shared" si="68"/>
        <v>Total Hip ReplacementProviderSTOCKPORT NHS FOUNDATION TRUST (RWJ)Oxford Hip Score</v>
      </c>
      <c r="C4388" t="s">
        <v>974</v>
      </c>
      <c r="D4388" t="s">
        <v>965</v>
      </c>
      <c r="E4388" t="s">
        <v>614</v>
      </c>
      <c r="F4388" t="s">
        <v>615</v>
      </c>
      <c r="G4388" t="s">
        <v>964</v>
      </c>
      <c r="H4388">
        <v>60</v>
      </c>
      <c r="I4388">
        <v>15.65</v>
      </c>
      <c r="J4388">
        <v>38.4</v>
      </c>
      <c r="K4388">
        <v>22.75</v>
      </c>
      <c r="L4388">
        <v>56</v>
      </c>
      <c r="M4388">
        <v>1</v>
      </c>
      <c r="N4388">
        <v>3</v>
      </c>
      <c r="O4388">
        <v>40.447299999999998</v>
      </c>
      <c r="P4388">
        <v>23.235800000000001</v>
      </c>
      <c r="Q4388">
        <v>8.8873300000000004</v>
      </c>
    </row>
    <row r="4389" spans="1:17" x14ac:dyDescent="0.25">
      <c r="A4389">
        <f>IF(C4389&amp;G4389&amp;D4389&lt;&gt;'Funnel setup'!$K$3&amp;'Funnel setup'!$K$4&amp;'Funnel setup'!$K$6,".",IF(A4388=".",1,A4388+1))</f>
        <v>206</v>
      </c>
      <c r="B4389" s="244" t="str">
        <f t="shared" si="68"/>
        <v>Total Hip ReplacementProviderSURREY AND SUSSEX HEALTHCARE NHS TRUST (RTP)Oxford Hip Score</v>
      </c>
      <c r="C4389" t="s">
        <v>974</v>
      </c>
      <c r="D4389" t="s">
        <v>965</v>
      </c>
      <c r="E4389" t="s">
        <v>618</v>
      </c>
      <c r="F4389" t="s">
        <v>619</v>
      </c>
      <c r="G4389" t="s">
        <v>964</v>
      </c>
      <c r="H4389">
        <v>56</v>
      </c>
      <c r="I4389">
        <v>15.321400000000001</v>
      </c>
      <c r="J4389">
        <v>38.017899999999997</v>
      </c>
      <c r="K4389">
        <v>22.696400000000001</v>
      </c>
      <c r="L4389">
        <v>54</v>
      </c>
      <c r="M4389">
        <v>0</v>
      </c>
      <c r="N4389">
        <v>2</v>
      </c>
      <c r="O4389">
        <v>38.631399999999999</v>
      </c>
      <c r="P4389">
        <v>21.419899999999998</v>
      </c>
      <c r="Q4389">
        <v>9.2059700000000007</v>
      </c>
    </row>
    <row r="4390" spans="1:17" x14ac:dyDescent="0.25">
      <c r="A4390">
        <f>IF(C4390&amp;G4390&amp;D4390&lt;&gt;'Funnel setup'!$K$3&amp;'Funnel setup'!$K$4&amp;'Funnel setup'!$K$6,".",IF(A4389=".",1,A4389+1))</f>
        <v>207</v>
      </c>
      <c r="B4390" s="244" t="str">
        <f t="shared" si="68"/>
        <v>Total Hip ReplacementProviderTAMESIDE AND GLOSSOP INTEGRATED CARE NHS FOUNDATION TRUST (RMP)Oxford Hip Score</v>
      </c>
      <c r="C4390" t="s">
        <v>974</v>
      </c>
      <c r="D4390" t="s">
        <v>965</v>
      </c>
      <c r="E4390" t="s">
        <v>620</v>
      </c>
      <c r="F4390" t="s">
        <v>621</v>
      </c>
      <c r="G4390" t="s">
        <v>964</v>
      </c>
      <c r="H4390">
        <v>3</v>
      </c>
      <c r="I4390">
        <v>10.666700000000001</v>
      </c>
      <c r="J4390">
        <v>39.333300000000001</v>
      </c>
      <c r="K4390">
        <v>28.666699999999999</v>
      </c>
      <c r="L4390">
        <v>3</v>
      </c>
      <c r="M4390">
        <v>0</v>
      </c>
      <c r="N4390">
        <v>0</v>
      </c>
      <c r="O4390" t="s">
        <v>127</v>
      </c>
      <c r="P4390" t="s">
        <v>127</v>
      </c>
      <c r="Q4390" t="s">
        <v>127</v>
      </c>
    </row>
    <row r="4391" spans="1:17" x14ac:dyDescent="0.25">
      <c r="A4391">
        <f>IF(C4391&amp;G4391&amp;D4391&lt;&gt;'Funnel setup'!$K$3&amp;'Funnel setup'!$K$4&amp;'Funnel setup'!$K$6,".",IF(A4390=".",1,A4390+1))</f>
        <v>208</v>
      </c>
      <c r="B4391" s="244" t="str">
        <f t="shared" si="68"/>
        <v>Total Hip ReplacementProviderTEES VALLEY HOSPITAL (NVC0R)Oxford Hip Score</v>
      </c>
      <c r="C4391" t="s">
        <v>974</v>
      </c>
      <c r="D4391" t="s">
        <v>965</v>
      </c>
      <c r="E4391" t="s">
        <v>624</v>
      </c>
      <c r="F4391" t="s">
        <v>625</v>
      </c>
      <c r="G4391" t="s">
        <v>964</v>
      </c>
      <c r="H4391">
        <v>47</v>
      </c>
      <c r="I4391">
        <v>19.148900000000001</v>
      </c>
      <c r="J4391">
        <v>40.255299999999998</v>
      </c>
      <c r="K4391">
        <v>21.106400000000001</v>
      </c>
      <c r="L4391">
        <v>46</v>
      </c>
      <c r="M4391">
        <v>0</v>
      </c>
      <c r="N4391">
        <v>1</v>
      </c>
      <c r="O4391">
        <v>39.1449</v>
      </c>
      <c r="P4391">
        <v>21.933499999999999</v>
      </c>
      <c r="Q4391">
        <v>8.5860500000000002</v>
      </c>
    </row>
    <row r="4392" spans="1:17" x14ac:dyDescent="0.25">
      <c r="A4392">
        <f>IF(C4392&amp;G4392&amp;D4392&lt;&gt;'Funnel setup'!$K$3&amp;'Funnel setup'!$K$4&amp;'Funnel setup'!$K$6,".",IF(A4391=".",1,A4391+1))</f>
        <v>209</v>
      </c>
      <c r="B4392" s="244" t="str">
        <f t="shared" si="68"/>
        <v>Total Hip ReplacementProviderTHE BERKSHIRE INDEPENDENT HOSPITAL (NVC02)Oxford Hip Score</v>
      </c>
      <c r="C4392" t="s">
        <v>974</v>
      </c>
      <c r="D4392" t="s">
        <v>965</v>
      </c>
      <c r="E4392" t="s">
        <v>626</v>
      </c>
      <c r="F4392" t="s">
        <v>627</v>
      </c>
      <c r="G4392" t="s">
        <v>964</v>
      </c>
      <c r="H4392">
        <v>11</v>
      </c>
      <c r="I4392">
        <v>20</v>
      </c>
      <c r="J4392">
        <v>43.181800000000003</v>
      </c>
      <c r="K4392">
        <v>23.181799999999999</v>
      </c>
      <c r="L4392">
        <v>10</v>
      </c>
      <c r="M4392">
        <v>0</v>
      </c>
      <c r="N4392">
        <v>1</v>
      </c>
      <c r="O4392" t="s">
        <v>127</v>
      </c>
      <c r="P4392" t="s">
        <v>127</v>
      </c>
      <c r="Q4392" t="s">
        <v>127</v>
      </c>
    </row>
    <row r="4393" spans="1:17" x14ac:dyDescent="0.25">
      <c r="A4393">
        <f>IF(C4393&amp;G4393&amp;D4393&lt;&gt;'Funnel setup'!$K$3&amp;'Funnel setup'!$K$4&amp;'Funnel setup'!$K$6,".",IF(A4392=".",1,A4392+1))</f>
        <v>210</v>
      </c>
      <c r="B4393" s="244" t="str">
        <f t="shared" si="68"/>
        <v>Total Hip ReplacementProviderTHE CHERWELL HOSPITAL (NVC25)Oxford Hip Score</v>
      </c>
      <c r="C4393" t="s">
        <v>974</v>
      </c>
      <c r="D4393" t="s">
        <v>965</v>
      </c>
      <c r="E4393" t="s">
        <v>628</v>
      </c>
      <c r="F4393" t="s">
        <v>629</v>
      </c>
      <c r="G4393" t="s">
        <v>964</v>
      </c>
      <c r="H4393">
        <v>226</v>
      </c>
      <c r="I4393">
        <v>19.977900000000002</v>
      </c>
      <c r="J4393">
        <v>41.6327</v>
      </c>
      <c r="K4393">
        <v>21.654900000000001</v>
      </c>
      <c r="L4393">
        <v>220</v>
      </c>
      <c r="M4393">
        <v>1</v>
      </c>
      <c r="N4393">
        <v>5</v>
      </c>
      <c r="O4393">
        <v>39.8626</v>
      </c>
      <c r="P4393">
        <v>22.651199999999999</v>
      </c>
      <c r="Q4393">
        <v>7.6551900000000002</v>
      </c>
    </row>
    <row r="4394" spans="1:17" x14ac:dyDescent="0.25">
      <c r="A4394">
        <f>IF(C4394&amp;G4394&amp;D4394&lt;&gt;'Funnel setup'!$K$3&amp;'Funnel setup'!$K$4&amp;'Funnel setup'!$K$6,".",IF(A4393=".",1,A4393+1))</f>
        <v>211</v>
      </c>
      <c r="B4394" s="244" t="str">
        <f t="shared" si="68"/>
        <v>Total Hip ReplacementProviderTHE DUDLEY GROUP NHS FOUNDATION TRUST (RNA)Oxford Hip Score</v>
      </c>
      <c r="C4394" t="s">
        <v>974</v>
      </c>
      <c r="D4394" t="s">
        <v>965</v>
      </c>
      <c r="E4394" t="s">
        <v>630</v>
      </c>
      <c r="F4394" t="s">
        <v>631</v>
      </c>
      <c r="G4394" t="s">
        <v>964</v>
      </c>
      <c r="H4394">
        <v>1</v>
      </c>
      <c r="I4394">
        <v>16</v>
      </c>
      <c r="J4394">
        <v>46</v>
      </c>
      <c r="K4394">
        <v>30</v>
      </c>
      <c r="L4394">
        <v>1</v>
      </c>
      <c r="M4394">
        <v>0</v>
      </c>
      <c r="N4394">
        <v>0</v>
      </c>
      <c r="O4394" t="s">
        <v>127</v>
      </c>
      <c r="P4394" t="s">
        <v>127</v>
      </c>
      <c r="Q4394" t="s">
        <v>127</v>
      </c>
    </row>
    <row r="4395" spans="1:17" x14ac:dyDescent="0.25">
      <c r="A4395">
        <f>IF(C4395&amp;G4395&amp;D4395&lt;&gt;'Funnel setup'!$K$3&amp;'Funnel setup'!$K$4&amp;'Funnel setup'!$K$6,".",IF(A4394=".",1,A4394+1))</f>
        <v>212</v>
      </c>
      <c r="B4395" s="244" t="str">
        <f t="shared" si="68"/>
        <v>Total Hip ReplacementProviderTHE HILLINGDON HOSPITALS NHS FOUNDATION TRUST (RAS)Oxford Hip Score</v>
      </c>
      <c r="C4395" t="s">
        <v>974</v>
      </c>
      <c r="D4395" t="s">
        <v>965</v>
      </c>
      <c r="E4395" t="s">
        <v>632</v>
      </c>
      <c r="F4395" t="s">
        <v>633</v>
      </c>
      <c r="G4395" t="s">
        <v>964</v>
      </c>
      <c r="H4395">
        <v>73</v>
      </c>
      <c r="I4395">
        <v>19.137</v>
      </c>
      <c r="J4395">
        <v>39.863</v>
      </c>
      <c r="K4395">
        <v>20.725999999999999</v>
      </c>
      <c r="L4395">
        <v>70</v>
      </c>
      <c r="M4395">
        <v>0</v>
      </c>
      <c r="N4395">
        <v>3</v>
      </c>
      <c r="O4395">
        <v>38.316000000000003</v>
      </c>
      <c r="P4395">
        <v>21.104600000000001</v>
      </c>
      <c r="Q4395">
        <v>7.4913699999999999</v>
      </c>
    </row>
    <row r="4396" spans="1:17" x14ac:dyDescent="0.25">
      <c r="A4396">
        <f>IF(C4396&amp;G4396&amp;D4396&lt;&gt;'Funnel setup'!$K$3&amp;'Funnel setup'!$K$4&amp;'Funnel setup'!$K$6,".",IF(A4395=".",1,A4395+1))</f>
        <v>213</v>
      </c>
      <c r="B4396" s="244" t="str">
        <f t="shared" si="68"/>
        <v>Total Hip ReplacementProviderTHE HORDER CENTRE - ST JOHNS ROAD (NXM01)Oxford Hip Score</v>
      </c>
      <c r="C4396" t="s">
        <v>974</v>
      </c>
      <c r="D4396" t="s">
        <v>965</v>
      </c>
      <c r="E4396" t="s">
        <v>634</v>
      </c>
      <c r="F4396" t="s">
        <v>635</v>
      </c>
      <c r="G4396" t="s">
        <v>964</v>
      </c>
      <c r="H4396">
        <v>273</v>
      </c>
      <c r="I4396">
        <v>20.7546</v>
      </c>
      <c r="J4396">
        <v>42.359000000000002</v>
      </c>
      <c r="K4396">
        <v>21.604399999999998</v>
      </c>
      <c r="L4396">
        <v>262</v>
      </c>
      <c r="M4396">
        <v>3</v>
      </c>
      <c r="N4396">
        <v>8</v>
      </c>
      <c r="O4396">
        <v>40.118200000000002</v>
      </c>
      <c r="P4396">
        <v>22.906700000000001</v>
      </c>
      <c r="Q4396">
        <v>7.6849600000000002</v>
      </c>
    </row>
    <row r="4397" spans="1:17" x14ac:dyDescent="0.25">
      <c r="A4397">
        <f>IF(C4397&amp;G4397&amp;D4397&lt;&gt;'Funnel setup'!$K$3&amp;'Funnel setup'!$K$4&amp;'Funnel setup'!$K$6,".",IF(A4396=".",1,A4396+1))</f>
        <v>214</v>
      </c>
      <c r="B4397" s="244" t="str">
        <f t="shared" si="68"/>
        <v>Total Hip ReplacementProviderTHE NEWCASTLE UPON TYNE HOSPITALS NHS FOUNDATION TRUST (RTD)Oxford Hip Score</v>
      </c>
      <c r="C4397" t="s">
        <v>974</v>
      </c>
      <c r="D4397" t="s">
        <v>965</v>
      </c>
      <c r="E4397" t="s">
        <v>638</v>
      </c>
      <c r="F4397" t="s">
        <v>639</v>
      </c>
      <c r="G4397" t="s">
        <v>964</v>
      </c>
      <c r="H4397">
        <v>40</v>
      </c>
      <c r="I4397">
        <v>16.149999999999999</v>
      </c>
      <c r="J4397">
        <v>35.825000000000003</v>
      </c>
      <c r="K4397">
        <v>19.675000000000001</v>
      </c>
      <c r="L4397">
        <v>38</v>
      </c>
      <c r="M4397">
        <v>0</v>
      </c>
      <c r="N4397">
        <v>2</v>
      </c>
      <c r="O4397">
        <v>38.217700000000001</v>
      </c>
      <c r="P4397">
        <v>21.0063</v>
      </c>
      <c r="Q4397">
        <v>9.0444800000000001</v>
      </c>
    </row>
    <row r="4398" spans="1:17" x14ac:dyDescent="0.25">
      <c r="A4398">
        <f>IF(C4398&amp;G4398&amp;D4398&lt;&gt;'Funnel setup'!$K$3&amp;'Funnel setup'!$K$4&amp;'Funnel setup'!$K$6,".",IF(A4397=".",1,A4397+1))</f>
        <v>215</v>
      </c>
      <c r="B4398" s="244" t="str">
        <f t="shared" si="68"/>
        <v>Total Hip ReplacementProviderTHE PRINCESS ALEXANDRA HOSPITAL NHS TRUST (RQW)Oxford Hip Score</v>
      </c>
      <c r="C4398" t="s">
        <v>974</v>
      </c>
      <c r="D4398" t="s">
        <v>965</v>
      </c>
      <c r="E4398" t="s">
        <v>640</v>
      </c>
      <c r="F4398" t="s">
        <v>641</v>
      </c>
      <c r="G4398" t="s">
        <v>964</v>
      </c>
      <c r="H4398">
        <v>28</v>
      </c>
      <c r="I4398">
        <v>11.857100000000001</v>
      </c>
      <c r="J4398">
        <v>34.5</v>
      </c>
      <c r="K4398">
        <v>22.642900000000001</v>
      </c>
      <c r="L4398">
        <v>27</v>
      </c>
      <c r="M4398">
        <v>0</v>
      </c>
      <c r="N4398">
        <v>1</v>
      </c>
      <c r="O4398" t="s">
        <v>127</v>
      </c>
      <c r="P4398" t="s">
        <v>127</v>
      </c>
      <c r="Q4398" t="s">
        <v>127</v>
      </c>
    </row>
    <row r="4399" spans="1:17" x14ac:dyDescent="0.25">
      <c r="A4399">
        <f>IF(C4399&amp;G4399&amp;D4399&lt;&gt;'Funnel setup'!$K$3&amp;'Funnel setup'!$K$4&amp;'Funnel setup'!$K$6,".",IF(A4398=".",1,A4398+1))</f>
        <v>216</v>
      </c>
      <c r="B4399" s="244" t="str">
        <f t="shared" si="68"/>
        <v>Total Hip ReplacementProviderTHE QUEEN ELIZABETH HOSPITAL, KING'S LYNN, NHS FOUNDATION TRUST (RCX)Oxford Hip Score</v>
      </c>
      <c r="C4399" t="s">
        <v>974</v>
      </c>
      <c r="D4399" t="s">
        <v>965</v>
      </c>
      <c r="E4399" t="s">
        <v>644</v>
      </c>
      <c r="F4399" t="s">
        <v>645</v>
      </c>
      <c r="G4399" t="s">
        <v>964</v>
      </c>
      <c r="H4399">
        <v>71</v>
      </c>
      <c r="I4399">
        <v>16.070399999999999</v>
      </c>
      <c r="J4399">
        <v>39.732399999999998</v>
      </c>
      <c r="K4399">
        <v>23.661999999999999</v>
      </c>
      <c r="L4399">
        <v>69</v>
      </c>
      <c r="M4399">
        <v>1</v>
      </c>
      <c r="N4399">
        <v>1</v>
      </c>
      <c r="O4399">
        <v>40.928899999999999</v>
      </c>
      <c r="P4399">
        <v>23.717500000000001</v>
      </c>
      <c r="Q4399">
        <v>7.1513999999999998</v>
      </c>
    </row>
    <row r="4400" spans="1:17" x14ac:dyDescent="0.25">
      <c r="A4400">
        <f>IF(C4400&amp;G4400&amp;D4400&lt;&gt;'Funnel setup'!$K$3&amp;'Funnel setup'!$K$4&amp;'Funnel setup'!$K$6,".",IF(A4399=".",1,A4399+1))</f>
        <v>217</v>
      </c>
      <c r="B4400" s="244" t="str">
        <f t="shared" si="68"/>
        <v>Total Hip ReplacementProviderTHE ROBERT JONES AND AGNES HUNT ORTHOPAEDIC HOSPITAL NHS FOUNDATION TRUST (RL1)Oxford Hip Score</v>
      </c>
      <c r="C4400" t="s">
        <v>974</v>
      </c>
      <c r="D4400" t="s">
        <v>965</v>
      </c>
      <c r="E4400" t="s">
        <v>646</v>
      </c>
      <c r="F4400" t="s">
        <v>647</v>
      </c>
      <c r="G4400" t="s">
        <v>964</v>
      </c>
      <c r="H4400">
        <v>373</v>
      </c>
      <c r="I4400">
        <v>13.8767</v>
      </c>
      <c r="J4400">
        <v>40.581800000000001</v>
      </c>
      <c r="K4400">
        <v>26.705100000000002</v>
      </c>
      <c r="L4400">
        <v>371</v>
      </c>
      <c r="M4400">
        <v>0</v>
      </c>
      <c r="N4400">
        <v>2</v>
      </c>
      <c r="O4400">
        <v>41.632399999999997</v>
      </c>
      <c r="P4400">
        <v>24.420999999999999</v>
      </c>
      <c r="Q4400">
        <v>7.7759299999999998</v>
      </c>
    </row>
    <row r="4401" spans="1:17" x14ac:dyDescent="0.25">
      <c r="A4401">
        <f>IF(C4401&amp;G4401&amp;D4401&lt;&gt;'Funnel setup'!$K$3&amp;'Funnel setup'!$K$4&amp;'Funnel setup'!$K$6,".",IF(A4400=".",1,A4400+1))</f>
        <v>218</v>
      </c>
      <c r="B4401" s="244" t="str">
        <f t="shared" si="68"/>
        <v>Total Hip ReplacementProviderTHE ROTHERHAM NHS FOUNDATION TRUST (RFR)Oxford Hip Score</v>
      </c>
      <c r="C4401" t="s">
        <v>974</v>
      </c>
      <c r="D4401" t="s">
        <v>965</v>
      </c>
      <c r="E4401" t="s">
        <v>648</v>
      </c>
      <c r="F4401" t="s">
        <v>649</v>
      </c>
      <c r="G4401" t="s">
        <v>964</v>
      </c>
      <c r="H4401">
        <v>18</v>
      </c>
      <c r="I4401">
        <v>14.9444</v>
      </c>
      <c r="J4401">
        <v>38.1111</v>
      </c>
      <c r="K4401">
        <v>23.166699999999999</v>
      </c>
      <c r="L4401">
        <v>18</v>
      </c>
      <c r="M4401">
        <v>0</v>
      </c>
      <c r="N4401">
        <v>0</v>
      </c>
      <c r="O4401" t="s">
        <v>127</v>
      </c>
      <c r="P4401" t="s">
        <v>127</v>
      </c>
      <c r="Q4401" t="s">
        <v>127</v>
      </c>
    </row>
    <row r="4402" spans="1:17" x14ac:dyDescent="0.25">
      <c r="A4402">
        <f>IF(C4402&amp;G4402&amp;D4402&lt;&gt;'Funnel setup'!$K$3&amp;'Funnel setup'!$K$4&amp;'Funnel setup'!$K$6,".",IF(A4401=".",1,A4401+1))</f>
        <v>219</v>
      </c>
      <c r="B4402" s="244" t="str">
        <f t="shared" si="68"/>
        <v>Total Hip ReplacementProviderTHE ROYAL ORTHOPAEDIC HOSPITAL NHS FOUNDATION TRUST (RRJ)Oxford Hip Score</v>
      </c>
      <c r="C4402" t="s">
        <v>974</v>
      </c>
      <c r="D4402" t="s">
        <v>965</v>
      </c>
      <c r="E4402" t="s">
        <v>652</v>
      </c>
      <c r="F4402" t="s">
        <v>653</v>
      </c>
      <c r="G4402" t="s">
        <v>964</v>
      </c>
      <c r="H4402">
        <v>644</v>
      </c>
      <c r="I4402">
        <v>17.930099999999999</v>
      </c>
      <c r="J4402">
        <v>39.853999999999999</v>
      </c>
      <c r="K4402">
        <v>21.9239</v>
      </c>
      <c r="L4402">
        <v>628</v>
      </c>
      <c r="M4402">
        <v>2</v>
      </c>
      <c r="N4402">
        <v>14</v>
      </c>
      <c r="O4402">
        <v>39.369199999999999</v>
      </c>
      <c r="P4402">
        <v>22.157800000000002</v>
      </c>
      <c r="Q4402">
        <v>8.3444599999999998</v>
      </c>
    </row>
    <row r="4403" spans="1:17" x14ac:dyDescent="0.25">
      <c r="A4403">
        <f>IF(C4403&amp;G4403&amp;D4403&lt;&gt;'Funnel setup'!$K$3&amp;'Funnel setup'!$K$4&amp;'Funnel setup'!$K$6,".",IF(A4402=".",1,A4402+1))</f>
        <v>220</v>
      </c>
      <c r="B4403" s="244" t="str">
        <f t="shared" si="68"/>
        <v>Total Hip ReplacementProviderTHE ROYAL WOLVERHAMPTON NHS TRUST (RL4)Oxford Hip Score</v>
      </c>
      <c r="C4403" t="s">
        <v>974</v>
      </c>
      <c r="D4403" t="s">
        <v>965</v>
      </c>
      <c r="E4403" t="s">
        <v>654</v>
      </c>
      <c r="F4403" t="s">
        <v>655</v>
      </c>
      <c r="G4403" t="s">
        <v>964</v>
      </c>
      <c r="H4403">
        <v>18</v>
      </c>
      <c r="I4403">
        <v>15.722200000000001</v>
      </c>
      <c r="J4403">
        <v>43.055599999999998</v>
      </c>
      <c r="K4403">
        <v>27.333300000000001</v>
      </c>
      <c r="L4403">
        <v>18</v>
      </c>
      <c r="M4403">
        <v>0</v>
      </c>
      <c r="N4403">
        <v>0</v>
      </c>
      <c r="O4403" t="s">
        <v>127</v>
      </c>
      <c r="P4403" t="s">
        <v>127</v>
      </c>
      <c r="Q4403" t="s">
        <v>127</v>
      </c>
    </row>
    <row r="4404" spans="1:17" x14ac:dyDescent="0.25">
      <c r="A4404">
        <f>IF(C4404&amp;G4404&amp;D4404&lt;&gt;'Funnel setup'!$K$3&amp;'Funnel setup'!$K$4&amp;'Funnel setup'!$K$6,".",IF(A4403=".",1,A4403+1))</f>
        <v>221</v>
      </c>
      <c r="B4404" s="244" t="str">
        <f t="shared" si="68"/>
        <v>Total Hip ReplacementProviderTHE SHREWSBURY AND TELFORD HOSPITAL NHS TRUST (RXW)Oxford Hip Score</v>
      </c>
      <c r="C4404" t="s">
        <v>974</v>
      </c>
      <c r="D4404" t="s">
        <v>965</v>
      </c>
      <c r="E4404" t="s">
        <v>656</v>
      </c>
      <c r="F4404" t="s">
        <v>657</v>
      </c>
      <c r="G4404" t="s">
        <v>964</v>
      </c>
      <c r="H4404">
        <v>20</v>
      </c>
      <c r="I4404">
        <v>8.85</v>
      </c>
      <c r="J4404">
        <v>35.35</v>
      </c>
      <c r="K4404">
        <v>26.5</v>
      </c>
      <c r="L4404">
        <v>20</v>
      </c>
      <c r="M4404">
        <v>0</v>
      </c>
      <c r="N4404">
        <v>0</v>
      </c>
      <c r="O4404" t="s">
        <v>127</v>
      </c>
      <c r="P4404" t="s">
        <v>127</v>
      </c>
      <c r="Q4404" t="s">
        <v>127</v>
      </c>
    </row>
    <row r="4405" spans="1:17" x14ac:dyDescent="0.25">
      <c r="A4405">
        <f>IF(C4405&amp;G4405&amp;D4405&lt;&gt;'Funnel setup'!$K$3&amp;'Funnel setup'!$K$4&amp;'Funnel setup'!$K$6,".",IF(A4404=".",1,A4404+1))</f>
        <v>222</v>
      </c>
      <c r="B4405" s="244" t="str">
        <f t="shared" si="68"/>
        <v>Total Hip ReplacementProviderTHE YORKSHIRE CLINIC (NVC20)Oxford Hip Score</v>
      </c>
      <c r="C4405" t="s">
        <v>974</v>
      </c>
      <c r="D4405" t="s">
        <v>965</v>
      </c>
      <c r="E4405" t="s">
        <v>662</v>
      </c>
      <c r="F4405" t="s">
        <v>663</v>
      </c>
      <c r="G4405" t="s">
        <v>964</v>
      </c>
      <c r="H4405">
        <v>65</v>
      </c>
      <c r="I4405">
        <v>25.692299999999999</v>
      </c>
      <c r="J4405">
        <v>26.784600000000001</v>
      </c>
      <c r="K4405">
        <v>1.0923099999999999</v>
      </c>
      <c r="L4405">
        <v>39</v>
      </c>
      <c r="M4405">
        <v>9</v>
      </c>
      <c r="N4405">
        <v>17</v>
      </c>
      <c r="O4405">
        <v>24.164000000000001</v>
      </c>
      <c r="P4405">
        <v>6.9525399999999999</v>
      </c>
      <c r="Q4405">
        <v>3.3675600000000001</v>
      </c>
    </row>
    <row r="4406" spans="1:17" x14ac:dyDescent="0.25">
      <c r="A4406">
        <f>IF(C4406&amp;G4406&amp;D4406&lt;&gt;'Funnel setup'!$K$3&amp;'Funnel setup'!$K$4&amp;'Funnel setup'!$K$6,".",IF(A4405=".",1,A4405+1))</f>
        <v>223</v>
      </c>
      <c r="B4406" s="244" t="str">
        <f t="shared" si="68"/>
        <v>Total Hip ReplacementProviderTHORNBURY HOSPITAL (NT440)Oxford Hip Score</v>
      </c>
      <c r="C4406" t="s">
        <v>974</v>
      </c>
      <c r="D4406" t="s">
        <v>965</v>
      </c>
      <c r="E4406" t="s">
        <v>664</v>
      </c>
      <c r="F4406" t="s">
        <v>665</v>
      </c>
      <c r="G4406" t="s">
        <v>964</v>
      </c>
      <c r="H4406">
        <v>3</v>
      </c>
      <c r="I4406">
        <v>14.333299999999999</v>
      </c>
      <c r="J4406">
        <v>40.333300000000001</v>
      </c>
      <c r="K4406">
        <v>26</v>
      </c>
      <c r="L4406">
        <v>3</v>
      </c>
      <c r="M4406">
        <v>0</v>
      </c>
      <c r="N4406">
        <v>0</v>
      </c>
      <c r="O4406" t="s">
        <v>127</v>
      </c>
      <c r="P4406" t="s">
        <v>127</v>
      </c>
      <c r="Q4406" t="s">
        <v>127</v>
      </c>
    </row>
    <row r="4407" spans="1:17" x14ac:dyDescent="0.25">
      <c r="A4407">
        <f>IF(C4407&amp;G4407&amp;D4407&lt;&gt;'Funnel setup'!$K$3&amp;'Funnel setup'!$K$4&amp;'Funnel setup'!$K$6,".",IF(A4406=".",1,A4406+1))</f>
        <v>224</v>
      </c>
      <c r="B4407" s="244" t="str">
        <f t="shared" si="68"/>
        <v>Total Hip ReplacementProviderTHREE SHIRES HOSPITAL (NT441)Oxford Hip Score</v>
      </c>
      <c r="C4407" t="s">
        <v>974</v>
      </c>
      <c r="D4407" t="s">
        <v>965</v>
      </c>
      <c r="E4407" t="s">
        <v>666</v>
      </c>
      <c r="F4407" t="s">
        <v>667</v>
      </c>
      <c r="G4407" t="s">
        <v>964</v>
      </c>
      <c r="H4407">
        <v>67</v>
      </c>
      <c r="I4407">
        <v>18.4328</v>
      </c>
      <c r="J4407">
        <v>42.134300000000003</v>
      </c>
      <c r="K4407">
        <v>23.701499999999999</v>
      </c>
      <c r="L4407">
        <v>65</v>
      </c>
      <c r="M4407">
        <v>0</v>
      </c>
      <c r="N4407">
        <v>2</v>
      </c>
      <c r="O4407">
        <v>39.589399999999998</v>
      </c>
      <c r="P4407">
        <v>22.378</v>
      </c>
      <c r="Q4407">
        <v>8.0985300000000002</v>
      </c>
    </row>
    <row r="4408" spans="1:17" x14ac:dyDescent="0.25">
      <c r="A4408">
        <f>IF(C4408&amp;G4408&amp;D4408&lt;&gt;'Funnel setup'!$K$3&amp;'Funnel setup'!$K$4&amp;'Funnel setup'!$K$6,".",IF(A4407=".",1,A4407+1))</f>
        <v>225</v>
      </c>
      <c r="B4408" s="244" t="str">
        <f t="shared" si="68"/>
        <v>Total Hip ReplacementProviderTORBAY AND SOUTH DEVON NHS FOUNDATION TRUST (RA9)Oxford Hip Score</v>
      </c>
      <c r="C4408" t="s">
        <v>974</v>
      </c>
      <c r="D4408" t="s">
        <v>965</v>
      </c>
      <c r="E4408" t="s">
        <v>668</v>
      </c>
      <c r="F4408" t="s">
        <v>669</v>
      </c>
      <c r="G4408" t="s">
        <v>964</v>
      </c>
      <c r="H4408">
        <v>12</v>
      </c>
      <c r="I4408">
        <v>13.833299999999999</v>
      </c>
      <c r="J4408">
        <v>37.5</v>
      </c>
      <c r="K4408">
        <v>23.666699999999999</v>
      </c>
      <c r="L4408">
        <v>12</v>
      </c>
      <c r="M4408">
        <v>0</v>
      </c>
      <c r="N4408">
        <v>0</v>
      </c>
      <c r="O4408" t="s">
        <v>127</v>
      </c>
      <c r="P4408" t="s">
        <v>127</v>
      </c>
      <c r="Q4408" t="s">
        <v>127</v>
      </c>
    </row>
    <row r="4409" spans="1:17" x14ac:dyDescent="0.25">
      <c r="A4409">
        <f>IF(C4409&amp;G4409&amp;D4409&lt;&gt;'Funnel setup'!$K$3&amp;'Funnel setup'!$K$4&amp;'Funnel setup'!$K$6,".",IF(A4408=".",1,A4408+1))</f>
        <v>226</v>
      </c>
      <c r="B4409" s="244" t="str">
        <f t="shared" si="68"/>
        <v>Total Hip ReplacementProviderUNITED LINCOLNSHIRE HOSPITALS NHS TRUST (RWD)Oxford Hip Score</v>
      </c>
      <c r="C4409" t="s">
        <v>974</v>
      </c>
      <c r="D4409" t="s">
        <v>965</v>
      </c>
      <c r="E4409" t="s">
        <v>672</v>
      </c>
      <c r="F4409" t="s">
        <v>673</v>
      </c>
      <c r="G4409" t="s">
        <v>964</v>
      </c>
      <c r="H4409">
        <v>26</v>
      </c>
      <c r="I4409">
        <v>14.384600000000001</v>
      </c>
      <c r="J4409">
        <v>37.884599999999999</v>
      </c>
      <c r="K4409">
        <v>23.5</v>
      </c>
      <c r="L4409">
        <v>25</v>
      </c>
      <c r="M4409">
        <v>1</v>
      </c>
      <c r="N4409">
        <v>0</v>
      </c>
      <c r="O4409" t="s">
        <v>127</v>
      </c>
      <c r="P4409" t="s">
        <v>127</v>
      </c>
      <c r="Q4409" t="s">
        <v>127</v>
      </c>
    </row>
    <row r="4410" spans="1:17" x14ac:dyDescent="0.25">
      <c r="A4410">
        <f>IF(C4410&amp;G4410&amp;D4410&lt;&gt;'Funnel setup'!$K$3&amp;'Funnel setup'!$K$4&amp;'Funnel setup'!$K$6,".",IF(A4409=".",1,A4409+1))</f>
        <v>227</v>
      </c>
      <c r="B4410" s="244" t="str">
        <f t="shared" si="68"/>
        <v>Total Hip ReplacementProviderUNIVERSITY COLLEGE LONDON HOSPITALS NHS FOUNDATION TRUST (RRV)Oxford Hip Score</v>
      </c>
      <c r="C4410" t="s">
        <v>974</v>
      </c>
      <c r="D4410" t="s">
        <v>965</v>
      </c>
      <c r="E4410" t="s">
        <v>674</v>
      </c>
      <c r="F4410" t="s">
        <v>675</v>
      </c>
      <c r="G4410" t="s">
        <v>964</v>
      </c>
      <c r="H4410">
        <v>175</v>
      </c>
      <c r="I4410">
        <v>20.148599999999998</v>
      </c>
      <c r="J4410">
        <v>40.222900000000003</v>
      </c>
      <c r="K4410">
        <v>20.074300000000001</v>
      </c>
      <c r="L4410">
        <v>166</v>
      </c>
      <c r="M4410">
        <v>2</v>
      </c>
      <c r="N4410">
        <v>7</v>
      </c>
      <c r="O4410">
        <v>39.184399999999997</v>
      </c>
      <c r="P4410">
        <v>21.972899999999999</v>
      </c>
      <c r="Q4410">
        <v>7.8812899999999999</v>
      </c>
    </row>
    <row r="4411" spans="1:17" x14ac:dyDescent="0.25">
      <c r="A4411">
        <f>IF(C4411&amp;G4411&amp;D4411&lt;&gt;'Funnel setup'!$K$3&amp;'Funnel setup'!$K$4&amp;'Funnel setup'!$K$6,".",IF(A4410=".",1,A4410+1))</f>
        <v>228</v>
      </c>
      <c r="B4411" s="244" t="str">
        <f t="shared" si="68"/>
        <v>Total Hip ReplacementProviderUNIVERSITY HOSPITAL SOUTHAMPTON NHS FOUNDATION TRUST (RHM)Oxford Hip Score</v>
      </c>
      <c r="C4411" t="s">
        <v>974</v>
      </c>
      <c r="D4411" t="s">
        <v>965</v>
      </c>
      <c r="E4411" t="s">
        <v>676</v>
      </c>
      <c r="F4411" t="s">
        <v>677</v>
      </c>
      <c r="G4411" t="s">
        <v>964</v>
      </c>
      <c r="H4411">
        <v>118</v>
      </c>
      <c r="I4411">
        <v>17.432200000000002</v>
      </c>
      <c r="J4411">
        <v>38.720300000000002</v>
      </c>
      <c r="K4411">
        <v>21.2881</v>
      </c>
      <c r="L4411">
        <v>112</v>
      </c>
      <c r="M4411">
        <v>0</v>
      </c>
      <c r="N4411">
        <v>6</v>
      </c>
      <c r="O4411">
        <v>39.938400000000001</v>
      </c>
      <c r="P4411">
        <v>22.727</v>
      </c>
      <c r="Q4411">
        <v>8.8166399999999996</v>
      </c>
    </row>
    <row r="4412" spans="1:17" x14ac:dyDescent="0.25">
      <c r="A4412">
        <f>IF(C4412&amp;G4412&amp;D4412&lt;&gt;'Funnel setup'!$K$3&amp;'Funnel setup'!$K$4&amp;'Funnel setup'!$K$6,".",IF(A4411=".",1,A4411+1))</f>
        <v>229</v>
      </c>
      <c r="B4412" s="244" t="str">
        <f t="shared" si="68"/>
        <v>Total Hip ReplacementProviderUNIVERSITY HOSPITALS BRISTOL AND WESTON NHS FOUNDATION TRUST (RA7)Oxford Hip Score</v>
      </c>
      <c r="C4412" t="s">
        <v>974</v>
      </c>
      <c r="D4412" t="s">
        <v>965</v>
      </c>
      <c r="E4412" t="s">
        <v>680</v>
      </c>
      <c r="F4412" t="s">
        <v>681</v>
      </c>
      <c r="G4412" t="s">
        <v>964</v>
      </c>
      <c r="H4412">
        <v>17</v>
      </c>
      <c r="I4412">
        <v>12.9474</v>
      </c>
      <c r="J4412">
        <v>38.421100000000003</v>
      </c>
      <c r="K4412">
        <v>25.473700000000001</v>
      </c>
      <c r="L4412">
        <v>17</v>
      </c>
      <c r="M4412">
        <v>0</v>
      </c>
      <c r="N4412">
        <v>0</v>
      </c>
      <c r="O4412" t="s">
        <v>127</v>
      </c>
      <c r="P4412" t="s">
        <v>127</v>
      </c>
      <c r="Q4412" t="s">
        <v>127</v>
      </c>
    </row>
    <row r="4413" spans="1:17" x14ac:dyDescent="0.25">
      <c r="A4413">
        <f>IF(C4413&amp;G4413&amp;D4413&lt;&gt;'Funnel setup'!$K$3&amp;'Funnel setup'!$K$4&amp;'Funnel setup'!$K$6,".",IF(A4412=".",1,A4412+1))</f>
        <v>230</v>
      </c>
      <c r="B4413" s="244" t="str">
        <f t="shared" si="68"/>
        <v>Total Hip ReplacementProviderUNIVERSITY HOSPITALS COVENTRY AND WARWICKSHIRE NHS TRUST (RKB)Oxford Hip Score</v>
      </c>
      <c r="C4413" t="s">
        <v>974</v>
      </c>
      <c r="D4413" t="s">
        <v>965</v>
      </c>
      <c r="E4413" t="s">
        <v>682</v>
      </c>
      <c r="F4413" t="s">
        <v>683</v>
      </c>
      <c r="G4413" t="s">
        <v>964</v>
      </c>
      <c r="H4413">
        <v>30</v>
      </c>
      <c r="I4413">
        <v>19.2667</v>
      </c>
      <c r="J4413">
        <v>40.433300000000003</v>
      </c>
      <c r="K4413">
        <v>21.166699999999999</v>
      </c>
      <c r="L4413">
        <v>28</v>
      </c>
      <c r="M4413">
        <v>0</v>
      </c>
      <c r="N4413">
        <v>2</v>
      </c>
      <c r="O4413">
        <v>39.918599999999998</v>
      </c>
      <c r="P4413">
        <v>22.7072</v>
      </c>
      <c r="Q4413">
        <v>7.5177300000000002</v>
      </c>
    </row>
    <row r="4414" spans="1:17" x14ac:dyDescent="0.25">
      <c r="A4414">
        <f>IF(C4414&amp;G4414&amp;D4414&lt;&gt;'Funnel setup'!$K$3&amp;'Funnel setup'!$K$4&amp;'Funnel setup'!$K$6,".",IF(A4413=".",1,A4413+1))</f>
        <v>231</v>
      </c>
      <c r="B4414" s="244" t="str">
        <f t="shared" si="68"/>
        <v>Total Hip ReplacementProviderUNIVERSITY HOSPITAL DORSET NHS FUNDATION TRUST (R0D)Oxford Hip Score</v>
      </c>
      <c r="C4414" t="s">
        <v>974</v>
      </c>
      <c r="D4414" t="s">
        <v>965</v>
      </c>
      <c r="E4414" t="s">
        <v>684</v>
      </c>
      <c r="F4414" t="s">
        <v>966</v>
      </c>
      <c r="G4414" t="s">
        <v>964</v>
      </c>
      <c r="H4414">
        <v>242</v>
      </c>
      <c r="I4414">
        <v>17.2149</v>
      </c>
      <c r="J4414">
        <v>39.735500000000002</v>
      </c>
      <c r="K4414">
        <v>22.520700000000001</v>
      </c>
      <c r="L4414">
        <v>234</v>
      </c>
      <c r="M4414">
        <v>3</v>
      </c>
      <c r="N4414">
        <v>5</v>
      </c>
      <c r="O4414">
        <v>40.2361</v>
      </c>
      <c r="P4414">
        <v>23.0246</v>
      </c>
      <c r="Q4414">
        <v>8.1595499999999994</v>
      </c>
    </row>
    <row r="4415" spans="1:17" x14ac:dyDescent="0.25">
      <c r="A4415">
        <f>IF(C4415&amp;G4415&amp;D4415&lt;&gt;'Funnel setup'!$K$3&amp;'Funnel setup'!$K$4&amp;'Funnel setup'!$K$6,".",IF(A4414=".",1,A4414+1))</f>
        <v>232</v>
      </c>
      <c r="B4415" s="244" t="str">
        <f t="shared" si="68"/>
        <v>Total Hip ReplacementProviderUNIVERSITY HOSPITALS OF DERBY AND BURTON NHS FOUNDATION TRUST (RTG)Oxford Hip Score</v>
      </c>
      <c r="C4415" t="s">
        <v>974</v>
      </c>
      <c r="D4415" t="s">
        <v>965</v>
      </c>
      <c r="E4415" t="s">
        <v>686</v>
      </c>
      <c r="F4415" t="s">
        <v>687</v>
      </c>
      <c r="G4415" t="s">
        <v>964</v>
      </c>
      <c r="H4415">
        <v>364</v>
      </c>
      <c r="I4415">
        <v>16.302199999999999</v>
      </c>
      <c r="J4415">
        <v>38.315899999999999</v>
      </c>
      <c r="K4415">
        <v>22.0137</v>
      </c>
      <c r="L4415">
        <v>349</v>
      </c>
      <c r="M4415">
        <v>1</v>
      </c>
      <c r="N4415">
        <v>14</v>
      </c>
      <c r="O4415">
        <v>39.556199999999997</v>
      </c>
      <c r="P4415">
        <v>22.3447</v>
      </c>
      <c r="Q4415">
        <v>8.1291600000000006</v>
      </c>
    </row>
    <row r="4416" spans="1:17" x14ac:dyDescent="0.25">
      <c r="A4416">
        <f>IF(C4416&amp;G4416&amp;D4416&lt;&gt;'Funnel setup'!$K$3&amp;'Funnel setup'!$K$4&amp;'Funnel setup'!$K$6,".",IF(A4415=".",1,A4415+1))</f>
        <v>233</v>
      </c>
      <c r="B4416" s="244" t="str">
        <f t="shared" si="68"/>
        <v>Total Hip ReplacementProviderUNIVERSITY HOSPITALS OF LEICESTER NHS TRUST (RWE)Oxford Hip Score</v>
      </c>
      <c r="C4416" t="s">
        <v>974</v>
      </c>
      <c r="D4416" t="s">
        <v>965</v>
      </c>
      <c r="E4416" t="s">
        <v>688</v>
      </c>
      <c r="F4416" t="s">
        <v>689</v>
      </c>
      <c r="G4416" t="s">
        <v>964</v>
      </c>
      <c r="H4416">
        <v>123</v>
      </c>
      <c r="I4416">
        <v>14.6911</v>
      </c>
      <c r="J4416">
        <v>37.577199999999998</v>
      </c>
      <c r="K4416">
        <v>22.886199999999999</v>
      </c>
      <c r="L4416">
        <v>119</v>
      </c>
      <c r="M4416">
        <v>1</v>
      </c>
      <c r="N4416">
        <v>3</v>
      </c>
      <c r="O4416">
        <v>39.96</v>
      </c>
      <c r="P4416">
        <v>22.7486</v>
      </c>
      <c r="Q4416">
        <v>9.34361</v>
      </c>
    </row>
    <row r="4417" spans="1:17" x14ac:dyDescent="0.25">
      <c r="A4417">
        <f>IF(C4417&amp;G4417&amp;D4417&lt;&gt;'Funnel setup'!$K$3&amp;'Funnel setup'!$K$4&amp;'Funnel setup'!$K$6,".",IF(A4416=".",1,A4416+1))</f>
        <v>234</v>
      </c>
      <c r="B4417" s="244" t="str">
        <f t="shared" si="68"/>
        <v>Total Hip ReplacementProviderUNIVERSITY HOSPITALS OF MORECAMBE BAY NHS FOUNDATION TRUST (RTX)Oxford Hip Score</v>
      </c>
      <c r="C4417" t="s">
        <v>974</v>
      </c>
      <c r="D4417" t="s">
        <v>965</v>
      </c>
      <c r="E4417" t="s">
        <v>690</v>
      </c>
      <c r="F4417" t="s">
        <v>691</v>
      </c>
      <c r="G4417" t="s">
        <v>964</v>
      </c>
      <c r="H4417">
        <v>195</v>
      </c>
      <c r="I4417">
        <v>17.2821</v>
      </c>
      <c r="J4417">
        <v>40.092300000000002</v>
      </c>
      <c r="K4417">
        <v>22.810300000000002</v>
      </c>
      <c r="L4417">
        <v>192</v>
      </c>
      <c r="M4417">
        <v>1</v>
      </c>
      <c r="N4417">
        <v>2</v>
      </c>
      <c r="O4417">
        <v>39.789700000000003</v>
      </c>
      <c r="P4417">
        <v>22.578199999999999</v>
      </c>
      <c r="Q4417">
        <v>7.3647900000000002</v>
      </c>
    </row>
    <row r="4418" spans="1:17" x14ac:dyDescent="0.25">
      <c r="A4418">
        <f>IF(C4418&amp;G4418&amp;D4418&lt;&gt;'Funnel setup'!$K$3&amp;'Funnel setup'!$K$4&amp;'Funnel setup'!$K$6,".",IF(A4417=".",1,A4417+1))</f>
        <v>235</v>
      </c>
      <c r="B4418" s="244" t="str">
        <f t="shared" ref="B4418:B4481" si="69">C4418&amp;D4418&amp;F4418&amp;G4418</f>
        <v>Total Hip ReplacementProviderUNIVERSITY HOSPITALS OF NORTH MIDLANDS NHS TRUST (RJE)Oxford Hip Score</v>
      </c>
      <c r="C4418" t="s">
        <v>974</v>
      </c>
      <c r="D4418" t="s">
        <v>965</v>
      </c>
      <c r="E4418" t="s">
        <v>692</v>
      </c>
      <c r="F4418" t="s">
        <v>693</v>
      </c>
      <c r="G4418" t="s">
        <v>964</v>
      </c>
      <c r="H4418">
        <v>34</v>
      </c>
      <c r="I4418">
        <v>14.235300000000001</v>
      </c>
      <c r="J4418">
        <v>40.5</v>
      </c>
      <c r="K4418">
        <v>26.264700000000001</v>
      </c>
      <c r="L4418">
        <v>34</v>
      </c>
      <c r="M4418">
        <v>0</v>
      </c>
      <c r="N4418">
        <v>0</v>
      </c>
      <c r="O4418">
        <v>41.578099999999999</v>
      </c>
      <c r="P4418">
        <v>24.366700000000002</v>
      </c>
      <c r="Q4418">
        <v>5.8881500000000004</v>
      </c>
    </row>
    <row r="4419" spans="1:17" x14ac:dyDescent="0.25">
      <c r="A4419">
        <f>IF(C4419&amp;G4419&amp;D4419&lt;&gt;'Funnel setup'!$K$3&amp;'Funnel setup'!$K$4&amp;'Funnel setup'!$K$6,".",IF(A4418=".",1,A4418+1))</f>
        <v>236</v>
      </c>
      <c r="B4419" s="244" t="str">
        <f t="shared" si="69"/>
        <v>Total Hip ReplacementProviderUNIVERSITY HOSPITALS PLYMOUTH NHS TRUST (RK9)Oxford Hip Score</v>
      </c>
      <c r="C4419" t="s">
        <v>974</v>
      </c>
      <c r="D4419" t="s">
        <v>965</v>
      </c>
      <c r="E4419" t="s">
        <v>694</v>
      </c>
      <c r="F4419" t="s">
        <v>695</v>
      </c>
      <c r="G4419" t="s">
        <v>964</v>
      </c>
      <c r="H4419">
        <v>7</v>
      </c>
      <c r="I4419">
        <v>10</v>
      </c>
      <c r="J4419">
        <v>31.571400000000001</v>
      </c>
      <c r="K4419">
        <v>21.571400000000001</v>
      </c>
      <c r="L4419">
        <v>6</v>
      </c>
      <c r="M4419">
        <v>0</v>
      </c>
      <c r="N4419">
        <v>1</v>
      </c>
      <c r="O4419" t="s">
        <v>127</v>
      </c>
      <c r="P4419" t="s">
        <v>127</v>
      </c>
      <c r="Q4419" t="s">
        <v>127</v>
      </c>
    </row>
    <row r="4420" spans="1:17" x14ac:dyDescent="0.25">
      <c r="A4420">
        <f>IF(C4420&amp;G4420&amp;D4420&lt;&gt;'Funnel setup'!$K$3&amp;'Funnel setup'!$K$4&amp;'Funnel setup'!$K$6,".",IF(A4419=".",1,A4419+1))</f>
        <v>237</v>
      </c>
      <c r="B4420" s="244" t="str">
        <f t="shared" si="69"/>
        <v>Total Hip ReplacementProviderUNIVERSITY HOSPITALS SUSSEX NHS FOUNDATION TRUST (RYR)Oxford Hip Score</v>
      </c>
      <c r="C4420" t="s">
        <v>974</v>
      </c>
      <c r="D4420" t="s">
        <v>965</v>
      </c>
      <c r="E4420" t="s">
        <v>696</v>
      </c>
      <c r="F4420" t="s">
        <v>697</v>
      </c>
      <c r="G4420" t="s">
        <v>964</v>
      </c>
      <c r="H4420">
        <v>151</v>
      </c>
      <c r="I4420">
        <v>15.7881</v>
      </c>
      <c r="J4420">
        <v>35.688699999999997</v>
      </c>
      <c r="K4420">
        <v>19.900700000000001</v>
      </c>
      <c r="L4420">
        <v>143</v>
      </c>
      <c r="M4420">
        <v>2</v>
      </c>
      <c r="N4420">
        <v>6</v>
      </c>
      <c r="O4420">
        <v>36.8369</v>
      </c>
      <c r="P4420">
        <v>19.625499999999999</v>
      </c>
      <c r="Q4420">
        <v>9.90639</v>
      </c>
    </row>
    <row r="4421" spans="1:17" x14ac:dyDescent="0.25">
      <c r="A4421">
        <f>IF(C4421&amp;G4421&amp;D4421&lt;&gt;'Funnel setup'!$K$3&amp;'Funnel setup'!$K$4&amp;'Funnel setup'!$K$6,".",IF(A4420=".",1,A4420+1))</f>
        <v>238</v>
      </c>
      <c r="B4421" s="244" t="str">
        <f t="shared" si="69"/>
        <v>Total Hip ReplacementProviderWALSALL HEALTHCARE NHS TRUST (RBK)Oxford Hip Score</v>
      </c>
      <c r="C4421" t="s">
        <v>974</v>
      </c>
      <c r="D4421" t="s">
        <v>965</v>
      </c>
      <c r="E4421" t="s">
        <v>698</v>
      </c>
      <c r="F4421" t="s">
        <v>699</v>
      </c>
      <c r="G4421" t="s">
        <v>964</v>
      </c>
      <c r="H4421">
        <v>14</v>
      </c>
      <c r="I4421">
        <v>15.857100000000001</v>
      </c>
      <c r="J4421">
        <v>34.5</v>
      </c>
      <c r="K4421">
        <v>18.642900000000001</v>
      </c>
      <c r="L4421">
        <v>12</v>
      </c>
      <c r="M4421">
        <v>1</v>
      </c>
      <c r="N4421">
        <v>1</v>
      </c>
      <c r="O4421" t="s">
        <v>127</v>
      </c>
      <c r="P4421" t="s">
        <v>127</v>
      </c>
      <c r="Q4421" t="s">
        <v>127</v>
      </c>
    </row>
    <row r="4422" spans="1:17" x14ac:dyDescent="0.25">
      <c r="A4422">
        <f>IF(C4422&amp;G4422&amp;D4422&lt;&gt;'Funnel setup'!$K$3&amp;'Funnel setup'!$K$4&amp;'Funnel setup'!$K$6,".",IF(A4421=".",1,A4421+1))</f>
        <v>239</v>
      </c>
      <c r="B4422" s="244" t="str">
        <f t="shared" si="69"/>
        <v>Total Hip ReplacementProviderWARRINGTON AND HALTON TEACHING HOSPITALS NHS FOUNDATION TRUST (RWW)Oxford Hip Score</v>
      </c>
      <c r="C4422" t="s">
        <v>974</v>
      </c>
      <c r="D4422" t="s">
        <v>965</v>
      </c>
      <c r="E4422" t="s">
        <v>700</v>
      </c>
      <c r="F4422" t="s">
        <v>701</v>
      </c>
      <c r="G4422" t="s">
        <v>964</v>
      </c>
      <c r="H4422">
        <v>34</v>
      </c>
      <c r="I4422">
        <v>15.911799999999999</v>
      </c>
      <c r="J4422">
        <v>38.117600000000003</v>
      </c>
      <c r="K4422">
        <v>22.2059</v>
      </c>
      <c r="L4422">
        <v>33</v>
      </c>
      <c r="M4422">
        <v>0</v>
      </c>
      <c r="N4422">
        <v>1</v>
      </c>
      <c r="O4422">
        <v>39.404000000000003</v>
      </c>
      <c r="P4422">
        <v>22.192499999999999</v>
      </c>
      <c r="Q4422">
        <v>8.4657800000000005</v>
      </c>
    </row>
    <row r="4423" spans="1:17" x14ac:dyDescent="0.25">
      <c r="A4423">
        <f>IF(C4423&amp;G4423&amp;D4423&lt;&gt;'Funnel setup'!$K$3&amp;'Funnel setup'!$K$4&amp;'Funnel setup'!$K$6,".",IF(A4422=".",1,A4422+1))</f>
        <v>240</v>
      </c>
      <c r="B4423" s="244" t="str">
        <f t="shared" si="69"/>
        <v>Total Hip ReplacementProviderWEST HERTFORDSHIRE TEACHING HOSPITALS NHS TRUST (RWG)Oxford Hip Score</v>
      </c>
      <c r="C4423" t="s">
        <v>974</v>
      </c>
      <c r="D4423" t="s">
        <v>965</v>
      </c>
      <c r="E4423" t="s">
        <v>702</v>
      </c>
      <c r="F4423" t="s">
        <v>703</v>
      </c>
      <c r="G4423" t="s">
        <v>964</v>
      </c>
      <c r="H4423">
        <v>100</v>
      </c>
      <c r="I4423">
        <v>17.440000000000001</v>
      </c>
      <c r="J4423">
        <v>39.369999999999997</v>
      </c>
      <c r="K4423">
        <v>21.93</v>
      </c>
      <c r="L4423">
        <v>95</v>
      </c>
      <c r="M4423">
        <v>1</v>
      </c>
      <c r="N4423">
        <v>4</v>
      </c>
      <c r="O4423">
        <v>38.809600000000003</v>
      </c>
      <c r="P4423">
        <v>21.598099999999999</v>
      </c>
      <c r="Q4423">
        <v>9.0450700000000008</v>
      </c>
    </row>
    <row r="4424" spans="1:17" x14ac:dyDescent="0.25">
      <c r="A4424">
        <f>IF(C4424&amp;G4424&amp;D4424&lt;&gt;'Funnel setup'!$K$3&amp;'Funnel setup'!$K$4&amp;'Funnel setup'!$K$6,".",IF(A4423=".",1,A4423+1))</f>
        <v>241</v>
      </c>
      <c r="B4424" s="244" t="str">
        <f t="shared" si="69"/>
        <v>Total Hip ReplacementProviderWEST MIDLANDS HOSPITAL (NVC21)Oxford Hip Score</v>
      </c>
      <c r="C4424" t="s">
        <v>974</v>
      </c>
      <c r="D4424" t="s">
        <v>965</v>
      </c>
      <c r="E4424" t="s">
        <v>704</v>
      </c>
      <c r="F4424" t="s">
        <v>705</v>
      </c>
      <c r="G4424" t="s">
        <v>964</v>
      </c>
      <c r="H4424">
        <v>85</v>
      </c>
      <c r="I4424">
        <v>17.423500000000001</v>
      </c>
      <c r="J4424">
        <v>40.6706</v>
      </c>
      <c r="K4424">
        <v>23.2471</v>
      </c>
      <c r="L4424">
        <v>84</v>
      </c>
      <c r="M4424">
        <v>0</v>
      </c>
      <c r="N4424">
        <v>1</v>
      </c>
      <c r="O4424">
        <v>39.909300000000002</v>
      </c>
      <c r="P4424">
        <v>22.697800000000001</v>
      </c>
      <c r="Q4424">
        <v>6.7319100000000001</v>
      </c>
    </row>
    <row r="4425" spans="1:17" x14ac:dyDescent="0.25">
      <c r="A4425">
        <f>IF(C4425&amp;G4425&amp;D4425&lt;&gt;'Funnel setup'!$K$3&amp;'Funnel setup'!$K$4&amp;'Funnel setup'!$K$6,".",IF(A4424=".",1,A4424+1))</f>
        <v>242</v>
      </c>
      <c r="B4425" s="244" t="str">
        <f t="shared" si="69"/>
        <v>Total Hip ReplacementProviderWEST SUFFOLK NHS FOUNDATION TRUST (RGR)Oxford Hip Score</v>
      </c>
      <c r="C4425" t="s">
        <v>974</v>
      </c>
      <c r="D4425" t="s">
        <v>965</v>
      </c>
      <c r="E4425" t="s">
        <v>706</v>
      </c>
      <c r="F4425" t="s">
        <v>707</v>
      </c>
      <c r="G4425" t="s">
        <v>964</v>
      </c>
      <c r="H4425">
        <v>116</v>
      </c>
      <c r="I4425">
        <v>14.3879</v>
      </c>
      <c r="J4425">
        <v>37.491399999999999</v>
      </c>
      <c r="K4425">
        <v>23.103400000000001</v>
      </c>
      <c r="L4425">
        <v>111</v>
      </c>
      <c r="M4425">
        <v>1</v>
      </c>
      <c r="N4425">
        <v>4</v>
      </c>
      <c r="O4425">
        <v>38.394799999999996</v>
      </c>
      <c r="P4425">
        <v>21.183299999999999</v>
      </c>
      <c r="Q4425">
        <v>9.6232699999999998</v>
      </c>
    </row>
    <row r="4426" spans="1:17" x14ac:dyDescent="0.25">
      <c r="A4426">
        <f>IF(C4426&amp;G4426&amp;D4426&lt;&gt;'Funnel setup'!$K$3&amp;'Funnel setup'!$K$4&amp;'Funnel setup'!$K$6,".",IF(A4425=".",1,A4425+1))</f>
        <v>243</v>
      </c>
      <c r="B4426" s="244" t="str">
        <f t="shared" si="69"/>
        <v>Total Hip ReplacementProviderWINFIELD HOSPITAL (NVC22)Oxford Hip Score</v>
      </c>
      <c r="C4426" t="s">
        <v>974</v>
      </c>
      <c r="D4426" t="s">
        <v>965</v>
      </c>
      <c r="E4426" t="s">
        <v>710</v>
      </c>
      <c r="F4426" t="s">
        <v>711</v>
      </c>
      <c r="G4426" t="s">
        <v>964</v>
      </c>
      <c r="H4426">
        <v>49</v>
      </c>
      <c r="I4426">
        <v>16.510200000000001</v>
      </c>
      <c r="J4426">
        <v>41</v>
      </c>
      <c r="K4426">
        <v>24.489799999999999</v>
      </c>
      <c r="L4426">
        <v>49</v>
      </c>
      <c r="M4426">
        <v>0</v>
      </c>
      <c r="N4426">
        <v>0</v>
      </c>
      <c r="O4426">
        <v>40.2515</v>
      </c>
      <c r="P4426">
        <v>23.040099999999999</v>
      </c>
      <c r="Q4426">
        <v>7.7689700000000004</v>
      </c>
    </row>
    <row r="4427" spans="1:17" x14ac:dyDescent="0.25">
      <c r="A4427">
        <f>IF(C4427&amp;G4427&amp;D4427&lt;&gt;'Funnel setup'!$K$3&amp;'Funnel setup'!$K$4&amp;'Funnel setup'!$K$6,".",IF(A4426=".",1,A4426+1))</f>
        <v>244</v>
      </c>
      <c r="B4427" s="244" t="str">
        <f t="shared" si="69"/>
        <v>Total Hip ReplacementProviderWINTERBOURNE HOSPITAL (NT443)Oxford Hip Score</v>
      </c>
      <c r="C4427" t="s">
        <v>974</v>
      </c>
      <c r="D4427" t="s">
        <v>965</v>
      </c>
      <c r="E4427" t="s">
        <v>712</v>
      </c>
      <c r="F4427" t="s">
        <v>713</v>
      </c>
      <c r="G4427" t="s">
        <v>964</v>
      </c>
      <c r="H4427">
        <v>53</v>
      </c>
      <c r="I4427">
        <v>21.434000000000001</v>
      </c>
      <c r="J4427">
        <v>43.169800000000002</v>
      </c>
      <c r="K4427">
        <v>21.735800000000001</v>
      </c>
      <c r="L4427">
        <v>53</v>
      </c>
      <c r="M4427">
        <v>0</v>
      </c>
      <c r="N4427">
        <v>0</v>
      </c>
      <c r="O4427">
        <v>40.866300000000003</v>
      </c>
      <c r="P4427">
        <v>23.654800000000002</v>
      </c>
      <c r="Q4427">
        <v>6.7466499999999998</v>
      </c>
    </row>
    <row r="4428" spans="1:17" x14ac:dyDescent="0.25">
      <c r="A4428">
        <f>IF(C4428&amp;G4428&amp;D4428&lt;&gt;'Funnel setup'!$K$3&amp;'Funnel setup'!$K$4&amp;'Funnel setup'!$K$6,".",IF(A4427=".",1,A4427+1))</f>
        <v>245</v>
      </c>
      <c r="B4428" s="244" t="str">
        <f t="shared" si="69"/>
        <v>Total Hip ReplacementProviderWIRRAL UNIVERSITY TEACHING HOSPITAL NHS FOUNDATION TRUST (RBL)Oxford Hip Score</v>
      </c>
      <c r="C4428" t="s">
        <v>974</v>
      </c>
      <c r="D4428" t="s">
        <v>965</v>
      </c>
      <c r="E4428" t="s">
        <v>714</v>
      </c>
      <c r="F4428" t="s">
        <v>715</v>
      </c>
      <c r="G4428" t="s">
        <v>964</v>
      </c>
      <c r="H4428">
        <v>111</v>
      </c>
      <c r="I4428">
        <v>15.9459</v>
      </c>
      <c r="J4428">
        <v>37.882899999999999</v>
      </c>
      <c r="K4428">
        <v>21.936900000000001</v>
      </c>
      <c r="L4428">
        <v>109</v>
      </c>
      <c r="M4428">
        <v>0</v>
      </c>
      <c r="N4428">
        <v>2</v>
      </c>
      <c r="O4428">
        <v>38.7029</v>
      </c>
      <c r="P4428">
        <v>21.491499999999998</v>
      </c>
      <c r="Q4428">
        <v>8.0312000000000001</v>
      </c>
    </row>
    <row r="4429" spans="1:17" x14ac:dyDescent="0.25">
      <c r="A4429">
        <f>IF(C4429&amp;G4429&amp;D4429&lt;&gt;'Funnel setup'!$K$3&amp;'Funnel setup'!$K$4&amp;'Funnel setup'!$K$6,".",IF(A4428=".",1,A4428+1))</f>
        <v>246</v>
      </c>
      <c r="B4429" s="244" t="str">
        <f t="shared" si="69"/>
        <v>Total Hip ReplacementProviderWOODLAND HOSPITAL (NVC23)Oxford Hip Score</v>
      </c>
      <c r="C4429" t="s">
        <v>974</v>
      </c>
      <c r="D4429" t="s">
        <v>965</v>
      </c>
      <c r="E4429" t="s">
        <v>716</v>
      </c>
      <c r="F4429" t="s">
        <v>717</v>
      </c>
      <c r="G4429" t="s">
        <v>964</v>
      </c>
      <c r="H4429">
        <v>85</v>
      </c>
      <c r="I4429">
        <v>15.569800000000001</v>
      </c>
      <c r="J4429">
        <v>36.744199999999999</v>
      </c>
      <c r="K4429">
        <v>21.174399999999999</v>
      </c>
      <c r="L4429">
        <v>81</v>
      </c>
      <c r="M4429">
        <v>0</v>
      </c>
      <c r="N4429">
        <v>4</v>
      </c>
      <c r="O4429">
        <v>36.2896</v>
      </c>
      <c r="P4429">
        <v>19.078199999999999</v>
      </c>
      <c r="Q4429">
        <v>8.9606700000000004</v>
      </c>
    </row>
    <row r="4430" spans="1:17" x14ac:dyDescent="0.25">
      <c r="A4430">
        <f>IF(C4430&amp;G4430&amp;D4430&lt;&gt;'Funnel setup'!$K$3&amp;'Funnel setup'!$K$4&amp;'Funnel setup'!$K$6,".",IF(A4429=".",1,A4429+1))</f>
        <v>247</v>
      </c>
      <c r="B4430" s="244" t="str">
        <f t="shared" si="69"/>
        <v>Total Hip ReplacementProviderWOODLANDS HOSPITAL (NT457)Oxford Hip Score</v>
      </c>
      <c r="C4430" t="s">
        <v>974</v>
      </c>
      <c r="D4430" t="s">
        <v>965</v>
      </c>
      <c r="E4430" t="s">
        <v>718</v>
      </c>
      <c r="F4430" t="s">
        <v>719</v>
      </c>
      <c r="G4430" t="s">
        <v>964</v>
      </c>
      <c r="H4430">
        <v>74</v>
      </c>
      <c r="I4430">
        <v>21.093299999999999</v>
      </c>
      <c r="J4430">
        <v>42.466700000000003</v>
      </c>
      <c r="K4430">
        <v>21.3733</v>
      </c>
      <c r="L4430">
        <v>71</v>
      </c>
      <c r="M4430">
        <v>1</v>
      </c>
      <c r="N4430">
        <v>2</v>
      </c>
      <c r="O4430">
        <v>39.296599999999998</v>
      </c>
      <c r="P4430">
        <v>22.0852</v>
      </c>
      <c r="Q4430">
        <v>7.2329499999999998</v>
      </c>
    </row>
    <row r="4431" spans="1:17" x14ac:dyDescent="0.25">
      <c r="A4431">
        <f>IF(C4431&amp;G4431&amp;D4431&lt;&gt;'Funnel setup'!$K$3&amp;'Funnel setup'!$K$4&amp;'Funnel setup'!$K$6,".",IF(A4430=".",1,A4430+1))</f>
        <v>248</v>
      </c>
      <c r="B4431" s="244" t="str">
        <f t="shared" si="69"/>
        <v>Total Hip ReplacementProviderWOODTHORPE HOSPITAL (NVC40)Oxford Hip Score</v>
      </c>
      <c r="C4431" t="s">
        <v>974</v>
      </c>
      <c r="D4431" t="s">
        <v>965</v>
      </c>
      <c r="E4431" t="s">
        <v>720</v>
      </c>
      <c r="F4431" t="s">
        <v>721</v>
      </c>
      <c r="G4431" t="s">
        <v>964</v>
      </c>
      <c r="H4431">
        <v>98</v>
      </c>
      <c r="I4431">
        <v>16.275500000000001</v>
      </c>
      <c r="J4431">
        <v>38.887799999999999</v>
      </c>
      <c r="K4431">
        <v>22.612200000000001</v>
      </c>
      <c r="L4431">
        <v>95</v>
      </c>
      <c r="M4431">
        <v>1</v>
      </c>
      <c r="N4431">
        <v>2</v>
      </c>
      <c r="O4431">
        <v>38.774900000000002</v>
      </c>
      <c r="P4431">
        <v>21.563500000000001</v>
      </c>
      <c r="Q4431">
        <v>8.4169900000000002</v>
      </c>
    </row>
    <row r="4432" spans="1:17" x14ac:dyDescent="0.25">
      <c r="A4432">
        <f>IF(C4432&amp;G4432&amp;D4432&lt;&gt;'Funnel setup'!$K$3&amp;'Funnel setup'!$K$4&amp;'Funnel setup'!$K$6,".",IF(A4431=".",1,A4431+1))</f>
        <v>249</v>
      </c>
      <c r="B4432" s="244" t="str">
        <f t="shared" si="69"/>
        <v>Total Hip ReplacementProviderWORCESTERSHIRE ACUTE HOSPITALS NHS TRUST (RWP)Oxford Hip Score</v>
      </c>
      <c r="C4432" t="s">
        <v>974</v>
      </c>
      <c r="D4432" t="s">
        <v>965</v>
      </c>
      <c r="E4432" t="s">
        <v>722</v>
      </c>
      <c r="F4432" t="s">
        <v>723</v>
      </c>
      <c r="G4432" t="s">
        <v>964</v>
      </c>
      <c r="H4432">
        <v>64</v>
      </c>
      <c r="I4432">
        <v>13.4688</v>
      </c>
      <c r="J4432">
        <v>36.031300000000002</v>
      </c>
      <c r="K4432">
        <v>22.5625</v>
      </c>
      <c r="L4432">
        <v>62</v>
      </c>
      <c r="M4432">
        <v>1</v>
      </c>
      <c r="N4432">
        <v>1</v>
      </c>
      <c r="O4432">
        <v>38.847999999999999</v>
      </c>
      <c r="P4432">
        <v>21.636500000000002</v>
      </c>
      <c r="Q4432">
        <v>8.5583600000000004</v>
      </c>
    </row>
    <row r="4433" spans="1:17" x14ac:dyDescent="0.25">
      <c r="A4433">
        <f>IF(C4433&amp;G4433&amp;D4433&lt;&gt;'Funnel setup'!$K$3&amp;'Funnel setup'!$K$4&amp;'Funnel setup'!$K$6,".",IF(A4432=".",1,A4432+1))</f>
        <v>250</v>
      </c>
      <c r="B4433" s="244" t="str">
        <f t="shared" si="69"/>
        <v>Total Hip ReplacementProviderWRIGHTINGTON, WIGAN AND LEIGH NHS FOUNDATION TRUST (RRF)Oxford Hip Score</v>
      </c>
      <c r="C4433" t="s">
        <v>974</v>
      </c>
      <c r="D4433" t="s">
        <v>965</v>
      </c>
      <c r="E4433" t="s">
        <v>724</v>
      </c>
      <c r="F4433" t="s">
        <v>725</v>
      </c>
      <c r="G4433" t="s">
        <v>964</v>
      </c>
      <c r="H4433">
        <v>19</v>
      </c>
      <c r="I4433">
        <v>14.526300000000001</v>
      </c>
      <c r="J4433">
        <v>42.052599999999998</v>
      </c>
      <c r="K4433">
        <v>27.526299999999999</v>
      </c>
      <c r="L4433">
        <v>19</v>
      </c>
      <c r="M4433">
        <v>0</v>
      </c>
      <c r="N4433">
        <v>0</v>
      </c>
      <c r="O4433" t="s">
        <v>127</v>
      </c>
      <c r="P4433" t="s">
        <v>127</v>
      </c>
      <c r="Q4433" t="s">
        <v>127</v>
      </c>
    </row>
    <row r="4434" spans="1:17" x14ac:dyDescent="0.25">
      <c r="A4434">
        <f>IF(C4434&amp;G4434&amp;D4434&lt;&gt;'Funnel setup'!$K$3&amp;'Funnel setup'!$K$4&amp;'Funnel setup'!$K$6,".",IF(A4433=".",1,A4433+1))</f>
        <v>251</v>
      </c>
      <c r="B4434" s="244" t="str">
        <f t="shared" si="69"/>
        <v>Total Hip ReplacementProviderWYE VALLEY NHS TRUST (RLQ)Oxford Hip Score</v>
      </c>
      <c r="C4434" t="s">
        <v>974</v>
      </c>
      <c r="D4434" t="s">
        <v>965</v>
      </c>
      <c r="E4434" t="s">
        <v>726</v>
      </c>
      <c r="F4434" t="s">
        <v>727</v>
      </c>
      <c r="G4434" t="s">
        <v>964</v>
      </c>
      <c r="H4434">
        <v>24</v>
      </c>
      <c r="I4434">
        <v>14.583299999999999</v>
      </c>
      <c r="J4434">
        <v>40</v>
      </c>
      <c r="K4434">
        <v>25.416699999999999</v>
      </c>
      <c r="L4434">
        <v>24</v>
      </c>
      <c r="M4434">
        <v>0</v>
      </c>
      <c r="N4434">
        <v>0</v>
      </c>
      <c r="O4434" t="s">
        <v>127</v>
      </c>
      <c r="P4434" t="s">
        <v>127</v>
      </c>
      <c r="Q4434" t="s">
        <v>127</v>
      </c>
    </row>
    <row r="4435" spans="1:17" x14ac:dyDescent="0.25">
      <c r="A4435">
        <f>IF(C4435&amp;G4435&amp;D4435&lt;&gt;'Funnel setup'!$K$3&amp;'Funnel setup'!$K$4&amp;'Funnel setup'!$K$6,".",IF(A4434=".",1,A4434+1))</f>
        <v>252</v>
      </c>
      <c r="B4435" s="244" t="str">
        <f t="shared" si="69"/>
        <v>Total Hip ReplacementProviderYORK AND SCARBOROUGH TEACHING HOSPITALS NHS FOUNDATION TRUST (RCB)Oxford Hip Score</v>
      </c>
      <c r="C4435" t="s">
        <v>974</v>
      </c>
      <c r="D4435" t="s">
        <v>965</v>
      </c>
      <c r="E4435" t="s">
        <v>730</v>
      </c>
      <c r="F4435" t="s">
        <v>731</v>
      </c>
      <c r="G4435" t="s">
        <v>964</v>
      </c>
      <c r="H4435">
        <v>1</v>
      </c>
      <c r="I4435">
        <v>10</v>
      </c>
      <c r="J4435">
        <v>37</v>
      </c>
      <c r="K4435">
        <v>27</v>
      </c>
      <c r="L4435">
        <v>1</v>
      </c>
      <c r="M4435">
        <v>0</v>
      </c>
      <c r="N4435">
        <v>0</v>
      </c>
      <c r="O4435" t="s">
        <v>127</v>
      </c>
      <c r="P4435" t="s">
        <v>127</v>
      </c>
      <c r="Q4435" t="s">
        <v>127</v>
      </c>
    </row>
    <row r="4436" spans="1:17" x14ac:dyDescent="0.25">
      <c r="A4436" t="str">
        <f>IF(C4436&amp;G4436&amp;D4436&lt;&gt;'Funnel setup'!$K$3&amp;'Funnel setup'!$K$4&amp;'Funnel setup'!$K$6,".",IF(A4435=".",1,A4435+1))</f>
        <v>.</v>
      </c>
      <c r="B4436" s="244" t="str">
        <f t="shared" si="69"/>
        <v>Total Knee ReplacementSub-ICB of GP PracticeNATIONAL COMMISSIONING HUB 1 (13Q)EQ VAS</v>
      </c>
      <c r="C4436" t="s">
        <v>975</v>
      </c>
      <c r="D4436" t="s">
        <v>1021</v>
      </c>
      <c r="E4436" t="s">
        <v>970</v>
      </c>
      <c r="F4436" t="s">
        <v>971</v>
      </c>
      <c r="G4436" t="s">
        <v>752</v>
      </c>
      <c r="H4436" t="s">
        <v>968</v>
      </c>
      <c r="I4436" t="s">
        <v>968</v>
      </c>
      <c r="J4436" t="s">
        <v>968</v>
      </c>
      <c r="K4436" t="s">
        <v>968</v>
      </c>
      <c r="L4436" t="s">
        <v>968</v>
      </c>
      <c r="M4436" t="s">
        <v>968</v>
      </c>
      <c r="N4436" t="s">
        <v>968</v>
      </c>
      <c r="O4436" t="s">
        <v>968</v>
      </c>
      <c r="P4436" t="s">
        <v>968</v>
      </c>
      <c r="Q4436" t="s">
        <v>968</v>
      </c>
    </row>
    <row r="4437" spans="1:17" x14ac:dyDescent="0.25">
      <c r="A4437" t="str">
        <f>IF(C4437&amp;G4437&amp;D4437&lt;&gt;'Funnel setup'!$K$3&amp;'Funnel setup'!$K$4&amp;'Funnel setup'!$K$6,".",IF(A4436=".",1,A4436+1))</f>
        <v>.</v>
      </c>
      <c r="B4437" s="244" t="str">
        <f t="shared" si="69"/>
        <v>Total Knee ReplacementSub-ICB of GP PracticeNHS BATH AND NORTH EAST SOMERSET, SWINDON AND WILTSHIRE ICB - 92G (92G)EQ VAS</v>
      </c>
      <c r="C4437" t="s">
        <v>975</v>
      </c>
      <c r="D4437" t="s">
        <v>1021</v>
      </c>
      <c r="E4437" t="s">
        <v>750</v>
      </c>
      <c r="F4437" t="s">
        <v>751</v>
      </c>
      <c r="G4437" t="s">
        <v>752</v>
      </c>
      <c r="H4437">
        <v>253</v>
      </c>
      <c r="I4437">
        <v>67.924899999999994</v>
      </c>
      <c r="J4437">
        <v>76.150199999999998</v>
      </c>
      <c r="K4437">
        <v>8.2253000000000007</v>
      </c>
      <c r="L4437">
        <v>158</v>
      </c>
      <c r="M4437">
        <v>33</v>
      </c>
      <c r="N4437">
        <v>62</v>
      </c>
      <c r="O4437">
        <v>73.333399999999997</v>
      </c>
      <c r="P4437">
        <v>8.0276399999999999</v>
      </c>
      <c r="Q4437">
        <v>16.614999999999998</v>
      </c>
    </row>
    <row r="4438" spans="1:17" x14ac:dyDescent="0.25">
      <c r="A4438" t="str">
        <f>IF(C4438&amp;G4438&amp;D4438&lt;&gt;'Funnel setup'!$K$3&amp;'Funnel setup'!$K$4&amp;'Funnel setup'!$K$6,".",IF(A4437=".",1,A4437+1))</f>
        <v>.</v>
      </c>
      <c r="B4438" s="244" t="str">
        <f t="shared" si="69"/>
        <v>Total Knee ReplacementSub-ICB of GP PracticeNHS BEDFORDSHIRE, LUTON AND MILTON KEYNES ICB - M1J4Y (M1J4Y)EQ VAS</v>
      </c>
      <c r="C4438" t="s">
        <v>975</v>
      </c>
      <c r="D4438" t="s">
        <v>1021</v>
      </c>
      <c r="E4438" t="s">
        <v>753</v>
      </c>
      <c r="F4438" t="s">
        <v>754</v>
      </c>
      <c r="G4438" t="s">
        <v>752</v>
      </c>
      <c r="H4438">
        <v>221</v>
      </c>
      <c r="I4438">
        <v>62.877800000000001</v>
      </c>
      <c r="J4438">
        <v>69.113100000000003</v>
      </c>
      <c r="K4438">
        <v>6.23529</v>
      </c>
      <c r="L4438">
        <v>127</v>
      </c>
      <c r="M4438">
        <v>24</v>
      </c>
      <c r="N4438">
        <v>70</v>
      </c>
      <c r="O4438">
        <v>70.244</v>
      </c>
      <c r="P4438">
        <v>4.93832</v>
      </c>
      <c r="Q4438">
        <v>18.693000000000001</v>
      </c>
    </row>
    <row r="4439" spans="1:17" x14ac:dyDescent="0.25">
      <c r="A4439" t="str">
        <f>IF(C4439&amp;G4439&amp;D4439&lt;&gt;'Funnel setup'!$K$3&amp;'Funnel setup'!$K$4&amp;'Funnel setup'!$K$6,".",IF(A4438=".",1,A4438+1))</f>
        <v>.</v>
      </c>
      <c r="B4439" s="244" t="str">
        <f t="shared" si="69"/>
        <v>Total Knee ReplacementSub-ICB of GP PracticeNHS BIRMINGHAM AND SOLIHULL ICB - 15E (15E)EQ VAS</v>
      </c>
      <c r="C4439" t="s">
        <v>975</v>
      </c>
      <c r="D4439" t="s">
        <v>1021</v>
      </c>
      <c r="E4439" t="s">
        <v>755</v>
      </c>
      <c r="F4439" t="s">
        <v>756</v>
      </c>
      <c r="G4439" t="s">
        <v>752</v>
      </c>
      <c r="H4439">
        <v>315</v>
      </c>
      <c r="I4439">
        <v>64.511099999999999</v>
      </c>
      <c r="J4439">
        <v>71.339699999999993</v>
      </c>
      <c r="K4439">
        <v>6.82857</v>
      </c>
      <c r="L4439">
        <v>180</v>
      </c>
      <c r="M4439">
        <v>29</v>
      </c>
      <c r="N4439">
        <v>106</v>
      </c>
      <c r="O4439">
        <v>72.771900000000002</v>
      </c>
      <c r="P4439">
        <v>7.46617</v>
      </c>
      <c r="Q4439">
        <v>17.162400000000002</v>
      </c>
    </row>
    <row r="4440" spans="1:17" x14ac:dyDescent="0.25">
      <c r="A4440" t="str">
        <f>IF(C4440&amp;G4440&amp;D4440&lt;&gt;'Funnel setup'!$K$3&amp;'Funnel setup'!$K$4&amp;'Funnel setup'!$K$6,".",IF(A4439=".",1,A4439+1))</f>
        <v>.</v>
      </c>
      <c r="B4440" s="244" t="str">
        <f t="shared" si="69"/>
        <v>Total Knee ReplacementSub-ICB of GP PracticeNHS BLACK COUNTRY ICB - D2P2L (D2P2L)EQ VAS</v>
      </c>
      <c r="C4440" t="s">
        <v>975</v>
      </c>
      <c r="D4440" t="s">
        <v>1021</v>
      </c>
      <c r="E4440" t="s">
        <v>757</v>
      </c>
      <c r="F4440" t="s">
        <v>758</v>
      </c>
      <c r="G4440" t="s">
        <v>752</v>
      </c>
      <c r="H4440">
        <v>197</v>
      </c>
      <c r="I4440">
        <v>63.634500000000003</v>
      </c>
      <c r="J4440">
        <v>72.329899999999995</v>
      </c>
      <c r="K4440">
        <v>8.69543</v>
      </c>
      <c r="L4440">
        <v>120</v>
      </c>
      <c r="M4440">
        <v>19</v>
      </c>
      <c r="N4440">
        <v>58</v>
      </c>
      <c r="O4440">
        <v>75.176500000000004</v>
      </c>
      <c r="P4440">
        <v>9.8707499999999992</v>
      </c>
      <c r="Q4440">
        <v>17.601299999999998</v>
      </c>
    </row>
    <row r="4441" spans="1:17" x14ac:dyDescent="0.25">
      <c r="A4441" t="str">
        <f>IF(C4441&amp;G4441&amp;D4441&lt;&gt;'Funnel setup'!$K$3&amp;'Funnel setup'!$K$4&amp;'Funnel setup'!$K$6,".",IF(A4440=".",1,A4440+1))</f>
        <v>.</v>
      </c>
      <c r="B4441" s="244" t="str">
        <f t="shared" si="69"/>
        <v>Total Knee ReplacementSub-ICB of GP PracticeNHS BRISTOL, NORTH SOMERSET AND SOUTH GLOUCESTERSHIRE ICB - 15C (15C)EQ VAS</v>
      </c>
      <c r="C4441" t="s">
        <v>975</v>
      </c>
      <c r="D4441" t="s">
        <v>1021</v>
      </c>
      <c r="E4441" t="s">
        <v>759</v>
      </c>
      <c r="F4441" t="s">
        <v>760</v>
      </c>
      <c r="G4441" t="s">
        <v>752</v>
      </c>
      <c r="H4441">
        <v>211</v>
      </c>
      <c r="I4441">
        <v>65.061599999999999</v>
      </c>
      <c r="J4441">
        <v>74.919399999999996</v>
      </c>
      <c r="K4441">
        <v>9.8578200000000002</v>
      </c>
      <c r="L4441">
        <v>132</v>
      </c>
      <c r="M4441">
        <v>22</v>
      </c>
      <c r="N4441">
        <v>57</v>
      </c>
      <c r="O4441">
        <v>74.586500000000001</v>
      </c>
      <c r="P4441">
        <v>9.2807399999999998</v>
      </c>
      <c r="Q4441">
        <v>15.6974</v>
      </c>
    </row>
    <row r="4442" spans="1:17" x14ac:dyDescent="0.25">
      <c r="A4442" t="str">
        <f>IF(C4442&amp;G4442&amp;D4442&lt;&gt;'Funnel setup'!$K$3&amp;'Funnel setup'!$K$4&amp;'Funnel setup'!$K$6,".",IF(A4441=".",1,A4441+1))</f>
        <v>.</v>
      </c>
      <c r="B4442" s="244" t="str">
        <f t="shared" si="69"/>
        <v>Total Knee ReplacementSub-ICB of GP PracticeNHS BUCKINGHAMSHIRE, OXFORDSHIRE AND BERKSHIRE WEST ICB - 10Q (10Q)EQ VAS</v>
      </c>
      <c r="C4442" t="s">
        <v>975</v>
      </c>
      <c r="D4442" t="s">
        <v>1021</v>
      </c>
      <c r="E4442" t="s">
        <v>761</v>
      </c>
      <c r="F4442" t="s">
        <v>762</v>
      </c>
      <c r="G4442" t="s">
        <v>752</v>
      </c>
      <c r="H4442">
        <v>290</v>
      </c>
      <c r="I4442">
        <v>65.841399999999993</v>
      </c>
      <c r="J4442">
        <v>76.1828</v>
      </c>
      <c r="K4442">
        <v>10.3414</v>
      </c>
      <c r="L4442">
        <v>176</v>
      </c>
      <c r="M4442">
        <v>41</v>
      </c>
      <c r="N4442">
        <v>73</v>
      </c>
      <c r="O4442">
        <v>75.006500000000003</v>
      </c>
      <c r="P4442">
        <v>9.7007399999999997</v>
      </c>
      <c r="Q4442">
        <v>16.108499999999999</v>
      </c>
    </row>
    <row r="4443" spans="1:17" x14ac:dyDescent="0.25">
      <c r="A4443" t="str">
        <f>IF(C4443&amp;G4443&amp;D4443&lt;&gt;'Funnel setup'!$K$3&amp;'Funnel setup'!$K$4&amp;'Funnel setup'!$K$6,".",IF(A4442=".",1,A4442+1))</f>
        <v>.</v>
      </c>
      <c r="B4443" s="244" t="str">
        <f t="shared" si="69"/>
        <v>Total Knee ReplacementSub-ICB of GP PracticeNHS BUCKINGHAMSHIRE, OXFORDSHIRE AND BERKSHIRE WEST ICB - 14Y (14Y)EQ VAS</v>
      </c>
      <c r="C4443" t="s">
        <v>975</v>
      </c>
      <c r="D4443" t="s">
        <v>1021</v>
      </c>
      <c r="E4443" t="s">
        <v>763</v>
      </c>
      <c r="F4443" t="s">
        <v>764</v>
      </c>
      <c r="G4443" t="s">
        <v>752</v>
      </c>
      <c r="H4443">
        <v>201</v>
      </c>
      <c r="I4443">
        <v>69.144300000000001</v>
      </c>
      <c r="J4443">
        <v>77.467699999999994</v>
      </c>
      <c r="K4443">
        <v>8.3233800000000002</v>
      </c>
      <c r="L4443">
        <v>122</v>
      </c>
      <c r="M4443">
        <v>24</v>
      </c>
      <c r="N4443">
        <v>55</v>
      </c>
      <c r="O4443">
        <v>74.463300000000004</v>
      </c>
      <c r="P4443">
        <v>9.15761</v>
      </c>
      <c r="Q4443">
        <v>16.473099999999999</v>
      </c>
    </row>
    <row r="4444" spans="1:17" x14ac:dyDescent="0.25">
      <c r="A4444" t="str">
        <f>IF(C4444&amp;G4444&amp;D4444&lt;&gt;'Funnel setup'!$K$3&amp;'Funnel setup'!$K$4&amp;'Funnel setup'!$K$6,".",IF(A4443=".",1,A4443+1))</f>
        <v>.</v>
      </c>
      <c r="B4444" s="244" t="str">
        <f t="shared" si="69"/>
        <v>Total Knee ReplacementSub-ICB of GP PracticeNHS BUCKINGHAMSHIRE, OXFORDSHIRE AND BERKSHIRE WEST ICB - 15A (15A)EQ VAS</v>
      </c>
      <c r="C4444" t="s">
        <v>975</v>
      </c>
      <c r="D4444" t="s">
        <v>1021</v>
      </c>
      <c r="E4444" t="s">
        <v>765</v>
      </c>
      <c r="F4444" t="s">
        <v>766</v>
      </c>
      <c r="G4444" t="s">
        <v>752</v>
      </c>
      <c r="H4444">
        <v>71</v>
      </c>
      <c r="I4444">
        <v>53.718299999999999</v>
      </c>
      <c r="J4444">
        <v>76.845100000000002</v>
      </c>
      <c r="K4444">
        <v>23.126799999999999</v>
      </c>
      <c r="L4444">
        <v>58</v>
      </c>
      <c r="M4444">
        <v>4</v>
      </c>
      <c r="N4444">
        <v>9</v>
      </c>
      <c r="O4444">
        <v>77.708500000000001</v>
      </c>
      <c r="P4444">
        <v>12.402799999999999</v>
      </c>
      <c r="Q4444">
        <v>15.261100000000001</v>
      </c>
    </row>
    <row r="4445" spans="1:17" x14ac:dyDescent="0.25">
      <c r="A4445" t="str">
        <f>IF(C4445&amp;G4445&amp;D4445&lt;&gt;'Funnel setup'!$K$3&amp;'Funnel setup'!$K$4&amp;'Funnel setup'!$K$6,".",IF(A4444=".",1,A4444+1))</f>
        <v>.</v>
      </c>
      <c r="B4445" s="244" t="str">
        <f t="shared" si="69"/>
        <v>Total Knee ReplacementSub-ICB of GP PracticeNHS CAMBRIDGESHIRE AND PETERBOROUGH ICB - 06H (06H)EQ VAS</v>
      </c>
      <c r="C4445" t="s">
        <v>975</v>
      </c>
      <c r="D4445" t="s">
        <v>1021</v>
      </c>
      <c r="E4445" t="s">
        <v>767</v>
      </c>
      <c r="F4445" t="s">
        <v>768</v>
      </c>
      <c r="G4445" t="s">
        <v>752</v>
      </c>
      <c r="H4445">
        <v>197</v>
      </c>
      <c r="I4445">
        <v>65.6447</v>
      </c>
      <c r="J4445">
        <v>72.157399999999996</v>
      </c>
      <c r="K4445">
        <v>6.5126900000000001</v>
      </c>
      <c r="L4445">
        <v>114</v>
      </c>
      <c r="M4445">
        <v>17</v>
      </c>
      <c r="N4445">
        <v>66</v>
      </c>
      <c r="O4445">
        <v>72.116</v>
      </c>
      <c r="P4445">
        <v>6.8102900000000002</v>
      </c>
      <c r="Q4445">
        <v>16.945399999999999</v>
      </c>
    </row>
    <row r="4446" spans="1:17" x14ac:dyDescent="0.25">
      <c r="A4446" t="str">
        <f>IF(C4446&amp;G4446&amp;D4446&lt;&gt;'Funnel setup'!$K$3&amp;'Funnel setup'!$K$4&amp;'Funnel setup'!$K$6,".",IF(A4445=".",1,A4445+1))</f>
        <v>.</v>
      </c>
      <c r="B4446" s="244" t="str">
        <f t="shared" si="69"/>
        <v>Total Knee ReplacementSub-ICB of GP PracticeNHS CHESHIRE AND MERSEYSIDE ICB - 01F (01F)EQ VAS</v>
      </c>
      <c r="C4446" t="s">
        <v>975</v>
      </c>
      <c r="D4446" t="s">
        <v>1021</v>
      </c>
      <c r="E4446" t="s">
        <v>769</v>
      </c>
      <c r="F4446" t="s">
        <v>770</v>
      </c>
      <c r="G4446" t="s">
        <v>752</v>
      </c>
      <c r="H4446">
        <v>25</v>
      </c>
      <c r="I4446">
        <v>66.680000000000007</v>
      </c>
      <c r="J4446">
        <v>70.92</v>
      </c>
      <c r="K4446">
        <v>4.24</v>
      </c>
      <c r="L4446">
        <v>12</v>
      </c>
      <c r="M4446">
        <v>4</v>
      </c>
      <c r="N4446">
        <v>9</v>
      </c>
      <c r="O4446" t="s">
        <v>127</v>
      </c>
      <c r="P4446" t="s">
        <v>127</v>
      </c>
      <c r="Q4446" t="s">
        <v>127</v>
      </c>
    </row>
    <row r="4447" spans="1:17" x14ac:dyDescent="0.25">
      <c r="A4447" t="str">
        <f>IF(C4447&amp;G4447&amp;D4447&lt;&gt;'Funnel setup'!$K$3&amp;'Funnel setup'!$K$4&amp;'Funnel setup'!$K$6,".",IF(A4446=".",1,A4446+1))</f>
        <v>.</v>
      </c>
      <c r="B4447" s="244" t="str">
        <f t="shared" si="69"/>
        <v>Total Knee ReplacementSub-ICB of GP PracticeNHS CHESHIRE AND MERSEYSIDE ICB - 01J (01J)EQ VAS</v>
      </c>
      <c r="C4447" t="s">
        <v>975</v>
      </c>
      <c r="D4447" t="s">
        <v>1021</v>
      </c>
      <c r="E4447" t="s">
        <v>771</v>
      </c>
      <c r="F4447" t="s">
        <v>772</v>
      </c>
      <c r="G4447" t="s">
        <v>752</v>
      </c>
      <c r="H4447">
        <v>28</v>
      </c>
      <c r="I4447">
        <v>67.214299999999994</v>
      </c>
      <c r="J4447">
        <v>63.785699999999999</v>
      </c>
      <c r="K4447">
        <v>-3.4285700000000001</v>
      </c>
      <c r="L4447">
        <v>12</v>
      </c>
      <c r="M4447">
        <v>4</v>
      </c>
      <c r="N4447">
        <v>12</v>
      </c>
      <c r="O4447" t="s">
        <v>127</v>
      </c>
      <c r="P4447" t="s">
        <v>127</v>
      </c>
      <c r="Q4447" t="s">
        <v>127</v>
      </c>
    </row>
    <row r="4448" spans="1:17" x14ac:dyDescent="0.25">
      <c r="A4448" t="str">
        <f>IF(C4448&amp;G4448&amp;D4448&lt;&gt;'Funnel setup'!$K$3&amp;'Funnel setup'!$K$4&amp;'Funnel setup'!$K$6,".",IF(A4447=".",1,A4447+1))</f>
        <v>.</v>
      </c>
      <c r="B4448" s="244" t="str">
        <f t="shared" si="69"/>
        <v>Total Knee ReplacementSub-ICB of GP PracticeNHS CHESHIRE AND MERSEYSIDE ICB - 01T (01T)EQ VAS</v>
      </c>
      <c r="C4448" t="s">
        <v>975</v>
      </c>
      <c r="D4448" t="s">
        <v>1021</v>
      </c>
      <c r="E4448" t="s">
        <v>773</v>
      </c>
      <c r="F4448" t="s">
        <v>774</v>
      </c>
      <c r="G4448" t="s">
        <v>752</v>
      </c>
      <c r="H4448">
        <v>46</v>
      </c>
      <c r="I4448">
        <v>70.434799999999996</v>
      </c>
      <c r="J4448">
        <v>77.739099999999993</v>
      </c>
      <c r="K4448">
        <v>7.3043500000000003</v>
      </c>
      <c r="L4448">
        <v>27</v>
      </c>
      <c r="M4448">
        <v>6</v>
      </c>
      <c r="N4448">
        <v>13</v>
      </c>
      <c r="O4448">
        <v>75.341700000000003</v>
      </c>
      <c r="P4448">
        <v>10.036</v>
      </c>
      <c r="Q4448">
        <v>14.2096</v>
      </c>
    </row>
    <row r="4449" spans="1:17" x14ac:dyDescent="0.25">
      <c r="A4449" t="str">
        <f>IF(C4449&amp;G4449&amp;D4449&lt;&gt;'Funnel setup'!$K$3&amp;'Funnel setup'!$K$4&amp;'Funnel setup'!$K$6,".",IF(A4448=".",1,A4448+1))</f>
        <v>.</v>
      </c>
      <c r="B4449" s="244" t="str">
        <f t="shared" si="69"/>
        <v>Total Knee ReplacementSub-ICB of GP PracticeNHS CHESHIRE AND MERSEYSIDE ICB - 01V (01V)EQ VAS</v>
      </c>
      <c r="C4449" t="s">
        <v>975</v>
      </c>
      <c r="D4449" t="s">
        <v>1021</v>
      </c>
      <c r="E4449" t="s">
        <v>775</v>
      </c>
      <c r="F4449" t="s">
        <v>776</v>
      </c>
      <c r="G4449" t="s">
        <v>752</v>
      </c>
      <c r="H4449">
        <v>25</v>
      </c>
      <c r="I4449">
        <v>61.92</v>
      </c>
      <c r="J4449">
        <v>70.239999999999995</v>
      </c>
      <c r="K4449">
        <v>8.32</v>
      </c>
      <c r="L4449">
        <v>17</v>
      </c>
      <c r="M4449">
        <v>2</v>
      </c>
      <c r="N4449">
        <v>6</v>
      </c>
      <c r="O4449" t="s">
        <v>127</v>
      </c>
      <c r="P4449" t="s">
        <v>127</v>
      </c>
      <c r="Q4449" t="s">
        <v>127</v>
      </c>
    </row>
    <row r="4450" spans="1:17" x14ac:dyDescent="0.25">
      <c r="A4450" t="str">
        <f>IF(C4450&amp;G4450&amp;D4450&lt;&gt;'Funnel setup'!$K$3&amp;'Funnel setup'!$K$4&amp;'Funnel setup'!$K$6,".",IF(A4449=".",1,A4449+1))</f>
        <v>.</v>
      </c>
      <c r="B4450" s="244" t="str">
        <f t="shared" si="69"/>
        <v>Total Knee ReplacementSub-ICB of GP PracticeNHS CHESHIRE AND MERSEYSIDE ICB - 01X (01X)EQ VAS</v>
      </c>
      <c r="C4450" t="s">
        <v>975</v>
      </c>
      <c r="D4450" t="s">
        <v>1021</v>
      </c>
      <c r="E4450" t="s">
        <v>777</v>
      </c>
      <c r="F4450" t="s">
        <v>778</v>
      </c>
      <c r="G4450" t="s">
        <v>752</v>
      </c>
      <c r="H4450">
        <v>61</v>
      </c>
      <c r="I4450">
        <v>67.475399999999993</v>
      </c>
      <c r="J4450">
        <v>71.426199999999994</v>
      </c>
      <c r="K4450">
        <v>3.9508200000000002</v>
      </c>
      <c r="L4450">
        <v>33</v>
      </c>
      <c r="M4450">
        <v>5</v>
      </c>
      <c r="N4450">
        <v>23</v>
      </c>
      <c r="O4450">
        <v>70.618700000000004</v>
      </c>
      <c r="P4450">
        <v>5.3129299999999997</v>
      </c>
      <c r="Q4450">
        <v>20.0946</v>
      </c>
    </row>
    <row r="4451" spans="1:17" x14ac:dyDescent="0.25">
      <c r="A4451" t="str">
        <f>IF(C4451&amp;G4451&amp;D4451&lt;&gt;'Funnel setup'!$K$3&amp;'Funnel setup'!$K$4&amp;'Funnel setup'!$K$6,".",IF(A4450=".",1,A4450+1))</f>
        <v>.</v>
      </c>
      <c r="B4451" s="244" t="str">
        <f t="shared" si="69"/>
        <v>Total Knee ReplacementSub-ICB of GP PracticeNHS CHESHIRE AND MERSEYSIDE ICB - 02E (02E)EQ VAS</v>
      </c>
      <c r="C4451" t="s">
        <v>975</v>
      </c>
      <c r="D4451" t="s">
        <v>1021</v>
      </c>
      <c r="E4451" t="s">
        <v>779</v>
      </c>
      <c r="F4451" t="s">
        <v>780</v>
      </c>
      <c r="G4451" t="s">
        <v>752</v>
      </c>
      <c r="H4451">
        <v>41</v>
      </c>
      <c r="I4451">
        <v>74.463399999999993</v>
      </c>
      <c r="J4451">
        <v>79.463399999999993</v>
      </c>
      <c r="K4451">
        <v>5</v>
      </c>
      <c r="L4451">
        <v>21</v>
      </c>
      <c r="M4451">
        <v>7</v>
      </c>
      <c r="N4451">
        <v>13</v>
      </c>
      <c r="O4451">
        <v>75.042900000000003</v>
      </c>
      <c r="P4451">
        <v>9.7371400000000001</v>
      </c>
      <c r="Q4451">
        <v>13.7288</v>
      </c>
    </row>
    <row r="4452" spans="1:17" x14ac:dyDescent="0.25">
      <c r="A4452" t="str">
        <f>IF(C4452&amp;G4452&amp;D4452&lt;&gt;'Funnel setup'!$K$3&amp;'Funnel setup'!$K$4&amp;'Funnel setup'!$K$6,".",IF(A4451=".",1,A4451+1))</f>
        <v>.</v>
      </c>
      <c r="B4452" s="244" t="str">
        <f t="shared" si="69"/>
        <v>Total Knee ReplacementSub-ICB of GP PracticeNHS CHESHIRE AND MERSEYSIDE ICB - 12F (12F)EQ VAS</v>
      </c>
      <c r="C4452" t="s">
        <v>975</v>
      </c>
      <c r="D4452" t="s">
        <v>1021</v>
      </c>
      <c r="E4452" t="s">
        <v>781</v>
      </c>
      <c r="F4452" t="s">
        <v>782</v>
      </c>
      <c r="G4452" t="s">
        <v>752</v>
      </c>
      <c r="H4452">
        <v>75</v>
      </c>
      <c r="I4452">
        <v>69.333299999999994</v>
      </c>
      <c r="J4452">
        <v>73.186700000000002</v>
      </c>
      <c r="K4452">
        <v>3.8533300000000001</v>
      </c>
      <c r="L4452">
        <v>39</v>
      </c>
      <c r="M4452">
        <v>6</v>
      </c>
      <c r="N4452">
        <v>30</v>
      </c>
      <c r="O4452">
        <v>71.324100000000001</v>
      </c>
      <c r="P4452">
        <v>6.01837</v>
      </c>
      <c r="Q4452">
        <v>19.7395</v>
      </c>
    </row>
    <row r="4453" spans="1:17" x14ac:dyDescent="0.25">
      <c r="A4453" t="str">
        <f>IF(C4453&amp;G4453&amp;D4453&lt;&gt;'Funnel setup'!$K$3&amp;'Funnel setup'!$K$4&amp;'Funnel setup'!$K$6,".",IF(A4452=".",1,A4452+1))</f>
        <v>.</v>
      </c>
      <c r="B4453" s="244" t="str">
        <f t="shared" si="69"/>
        <v>Total Knee ReplacementSub-ICB of GP PracticeNHS CHESHIRE AND MERSEYSIDE ICB - 27D (27D)EQ VAS</v>
      </c>
      <c r="C4453" t="s">
        <v>975</v>
      </c>
      <c r="D4453" t="s">
        <v>1021</v>
      </c>
      <c r="E4453" t="s">
        <v>783</v>
      </c>
      <c r="F4453" t="s">
        <v>784</v>
      </c>
      <c r="G4453" t="s">
        <v>752</v>
      </c>
      <c r="H4453">
        <v>239</v>
      </c>
      <c r="I4453">
        <v>66.953999999999994</v>
      </c>
      <c r="J4453">
        <v>75.0167</v>
      </c>
      <c r="K4453">
        <v>8.0627600000000008</v>
      </c>
      <c r="L4453">
        <v>154</v>
      </c>
      <c r="M4453">
        <v>21</v>
      </c>
      <c r="N4453">
        <v>64</v>
      </c>
      <c r="O4453">
        <v>74.332700000000003</v>
      </c>
      <c r="P4453">
        <v>9.0269600000000008</v>
      </c>
      <c r="Q4453">
        <v>15.559100000000001</v>
      </c>
    </row>
    <row r="4454" spans="1:17" x14ac:dyDescent="0.25">
      <c r="A4454" t="str">
        <f>IF(C4454&amp;G4454&amp;D4454&lt;&gt;'Funnel setup'!$K$3&amp;'Funnel setup'!$K$4&amp;'Funnel setup'!$K$6,".",IF(A4453=".",1,A4453+1))</f>
        <v>.</v>
      </c>
      <c r="B4454" s="244" t="str">
        <f t="shared" si="69"/>
        <v>Total Knee ReplacementSub-ICB of GP PracticeNHS CHESHIRE AND MERSEYSIDE ICB - 99A (99A)EQ VAS</v>
      </c>
      <c r="C4454" t="s">
        <v>975</v>
      </c>
      <c r="D4454" t="s">
        <v>1021</v>
      </c>
      <c r="E4454" t="s">
        <v>785</v>
      </c>
      <c r="F4454" t="s">
        <v>786</v>
      </c>
      <c r="G4454" t="s">
        <v>752</v>
      </c>
      <c r="H4454">
        <v>47</v>
      </c>
      <c r="I4454">
        <v>65.021299999999997</v>
      </c>
      <c r="J4454">
        <v>71.872299999999996</v>
      </c>
      <c r="K4454">
        <v>6.8510600000000004</v>
      </c>
      <c r="L4454">
        <v>23</v>
      </c>
      <c r="M4454">
        <v>6</v>
      </c>
      <c r="N4454">
        <v>18</v>
      </c>
      <c r="O4454">
        <v>74.389600000000002</v>
      </c>
      <c r="P4454">
        <v>9.0838800000000006</v>
      </c>
      <c r="Q4454">
        <v>17.320799999999998</v>
      </c>
    </row>
    <row r="4455" spans="1:17" x14ac:dyDescent="0.25">
      <c r="A4455" t="str">
        <f>IF(C4455&amp;G4455&amp;D4455&lt;&gt;'Funnel setup'!$K$3&amp;'Funnel setup'!$K$4&amp;'Funnel setup'!$K$6,".",IF(A4454=".",1,A4454+1))</f>
        <v>.</v>
      </c>
      <c r="B4455" s="244" t="str">
        <f t="shared" si="69"/>
        <v>Total Knee ReplacementSub-ICB of GP PracticeNHS CORNWALL AND THE ISLES OF SCILLY ICB - 11N (11N)EQ VAS</v>
      </c>
      <c r="C4455" t="s">
        <v>975</v>
      </c>
      <c r="D4455" t="s">
        <v>1021</v>
      </c>
      <c r="E4455" t="s">
        <v>787</v>
      </c>
      <c r="F4455" t="s">
        <v>788</v>
      </c>
      <c r="G4455" t="s">
        <v>752</v>
      </c>
      <c r="H4455">
        <v>147</v>
      </c>
      <c r="I4455">
        <v>66.163300000000007</v>
      </c>
      <c r="J4455">
        <v>74.8095</v>
      </c>
      <c r="K4455">
        <v>8.6462599999999998</v>
      </c>
      <c r="L4455">
        <v>86</v>
      </c>
      <c r="M4455">
        <v>18</v>
      </c>
      <c r="N4455">
        <v>43</v>
      </c>
      <c r="O4455">
        <v>74.324200000000005</v>
      </c>
      <c r="P4455">
        <v>9.0185300000000002</v>
      </c>
      <c r="Q4455">
        <v>16.4544</v>
      </c>
    </row>
    <row r="4456" spans="1:17" x14ac:dyDescent="0.25">
      <c r="A4456" t="str">
        <f>IF(C4456&amp;G4456&amp;D4456&lt;&gt;'Funnel setup'!$K$3&amp;'Funnel setup'!$K$4&amp;'Funnel setup'!$K$6,".",IF(A4455=".",1,A4455+1))</f>
        <v>.</v>
      </c>
      <c r="B4456" s="244" t="str">
        <f t="shared" si="69"/>
        <v>Total Knee ReplacementSub-ICB of GP PracticeNHS COVENTRY AND WARWICKSHIRE ICB - B2M3M (B2M3M)EQ VAS</v>
      </c>
      <c r="C4456" t="s">
        <v>975</v>
      </c>
      <c r="D4456" t="s">
        <v>1021</v>
      </c>
      <c r="E4456" t="s">
        <v>789</v>
      </c>
      <c r="F4456" t="s">
        <v>790</v>
      </c>
      <c r="G4456" t="s">
        <v>752</v>
      </c>
      <c r="H4456">
        <v>210</v>
      </c>
      <c r="I4456">
        <v>68.238100000000003</v>
      </c>
      <c r="J4456">
        <v>76.6952</v>
      </c>
      <c r="K4456">
        <v>8.4571400000000008</v>
      </c>
      <c r="L4456">
        <v>133</v>
      </c>
      <c r="M4456">
        <v>32</v>
      </c>
      <c r="N4456">
        <v>45</v>
      </c>
      <c r="O4456">
        <v>74.874099999999999</v>
      </c>
      <c r="P4456">
        <v>9.5684000000000005</v>
      </c>
      <c r="Q4456">
        <v>16.102699999999999</v>
      </c>
    </row>
    <row r="4457" spans="1:17" x14ac:dyDescent="0.25">
      <c r="A4457" t="str">
        <f>IF(C4457&amp;G4457&amp;D4457&lt;&gt;'Funnel setup'!$K$3&amp;'Funnel setup'!$K$4&amp;'Funnel setup'!$K$6,".",IF(A4456=".",1,A4456+1))</f>
        <v>.</v>
      </c>
      <c r="B4457" s="244" t="str">
        <f t="shared" si="69"/>
        <v>Total Knee ReplacementSub-ICB of GP PracticeNHS DERBY AND DERBYSHIRE ICB - 15M (15M)EQ VAS</v>
      </c>
      <c r="C4457" t="s">
        <v>975</v>
      </c>
      <c r="D4457" t="s">
        <v>1021</v>
      </c>
      <c r="E4457" t="s">
        <v>791</v>
      </c>
      <c r="F4457" t="s">
        <v>792</v>
      </c>
      <c r="G4457" t="s">
        <v>752</v>
      </c>
      <c r="H4457">
        <v>480</v>
      </c>
      <c r="I4457">
        <v>62.616700000000002</v>
      </c>
      <c r="J4457">
        <v>72.179199999999994</v>
      </c>
      <c r="K4457">
        <v>9.5625</v>
      </c>
      <c r="L4457">
        <v>300</v>
      </c>
      <c r="M4457">
        <v>58</v>
      </c>
      <c r="N4457">
        <v>122</v>
      </c>
      <c r="O4457">
        <v>73.513999999999996</v>
      </c>
      <c r="P4457">
        <v>8.2083300000000001</v>
      </c>
      <c r="Q4457">
        <v>17.522099999999998</v>
      </c>
    </row>
    <row r="4458" spans="1:17" x14ac:dyDescent="0.25">
      <c r="A4458" t="str">
        <f>IF(C4458&amp;G4458&amp;D4458&lt;&gt;'Funnel setup'!$K$3&amp;'Funnel setup'!$K$4&amp;'Funnel setup'!$K$6,".",IF(A4457=".",1,A4457+1))</f>
        <v>.</v>
      </c>
      <c r="B4458" s="244" t="str">
        <f t="shared" si="69"/>
        <v>Total Knee ReplacementSub-ICB of GP PracticeNHS DEVON ICB - 15N (15N)EQ VAS</v>
      </c>
      <c r="C4458" t="s">
        <v>975</v>
      </c>
      <c r="D4458" t="s">
        <v>1021</v>
      </c>
      <c r="E4458" t="s">
        <v>793</v>
      </c>
      <c r="F4458" t="s">
        <v>794</v>
      </c>
      <c r="G4458" t="s">
        <v>752</v>
      </c>
      <c r="H4458">
        <v>368</v>
      </c>
      <c r="I4458">
        <v>66.334199999999996</v>
      </c>
      <c r="J4458">
        <v>74.923900000000003</v>
      </c>
      <c r="K4458">
        <v>8.5896699999999999</v>
      </c>
      <c r="L4458">
        <v>230</v>
      </c>
      <c r="M4458">
        <v>41</v>
      </c>
      <c r="N4458">
        <v>97</v>
      </c>
      <c r="O4458">
        <v>74.439499999999995</v>
      </c>
      <c r="P4458">
        <v>9.1337600000000005</v>
      </c>
      <c r="Q4458">
        <v>15.9099</v>
      </c>
    </row>
    <row r="4459" spans="1:17" x14ac:dyDescent="0.25">
      <c r="A4459" t="str">
        <f>IF(C4459&amp;G4459&amp;D4459&lt;&gt;'Funnel setup'!$K$3&amp;'Funnel setup'!$K$4&amp;'Funnel setup'!$K$6,".",IF(A4458=".",1,A4458+1))</f>
        <v>.</v>
      </c>
      <c r="B4459" s="244" t="str">
        <f t="shared" si="69"/>
        <v>Total Knee ReplacementSub-ICB of GP PracticeNHS DORSET ICB - 11J (11J)EQ VAS</v>
      </c>
      <c r="C4459" t="s">
        <v>975</v>
      </c>
      <c r="D4459" t="s">
        <v>1021</v>
      </c>
      <c r="E4459" t="s">
        <v>795</v>
      </c>
      <c r="F4459" t="s">
        <v>796</v>
      </c>
      <c r="G4459" t="s">
        <v>752</v>
      </c>
      <c r="H4459">
        <v>261</v>
      </c>
      <c r="I4459">
        <v>66.168599999999998</v>
      </c>
      <c r="J4459">
        <v>74.624499999999998</v>
      </c>
      <c r="K4459">
        <v>8.45594</v>
      </c>
      <c r="L4459">
        <v>153</v>
      </c>
      <c r="M4459">
        <v>36</v>
      </c>
      <c r="N4459">
        <v>72</v>
      </c>
      <c r="O4459">
        <v>73.938599999999994</v>
      </c>
      <c r="P4459">
        <v>8.6328399999999998</v>
      </c>
      <c r="Q4459">
        <v>16.525200000000002</v>
      </c>
    </row>
    <row r="4460" spans="1:17" x14ac:dyDescent="0.25">
      <c r="A4460" t="str">
        <f>IF(C4460&amp;G4460&amp;D4460&lt;&gt;'Funnel setup'!$K$3&amp;'Funnel setup'!$K$4&amp;'Funnel setup'!$K$6,".",IF(A4459=".",1,A4459+1))</f>
        <v>.</v>
      </c>
      <c r="B4460" s="244" t="str">
        <f t="shared" si="69"/>
        <v>Total Knee ReplacementSub-ICB of GP PracticeNHS FRIMLEY ICB - D4U1Y (D4U1Y)EQ VAS</v>
      </c>
      <c r="C4460" t="s">
        <v>975</v>
      </c>
      <c r="D4460" t="s">
        <v>1021</v>
      </c>
      <c r="E4460" t="s">
        <v>797</v>
      </c>
      <c r="F4460" t="s">
        <v>798</v>
      </c>
      <c r="G4460" t="s">
        <v>752</v>
      </c>
      <c r="H4460">
        <v>168</v>
      </c>
      <c r="I4460">
        <v>67.660700000000006</v>
      </c>
      <c r="J4460">
        <v>73.488100000000003</v>
      </c>
      <c r="K4460">
        <v>5.8273799999999998</v>
      </c>
      <c r="L4460">
        <v>91</v>
      </c>
      <c r="M4460">
        <v>21</v>
      </c>
      <c r="N4460">
        <v>56</v>
      </c>
      <c r="O4460">
        <v>71.907700000000006</v>
      </c>
      <c r="P4460">
        <v>6.6020099999999999</v>
      </c>
      <c r="Q4460">
        <v>16.644600000000001</v>
      </c>
    </row>
    <row r="4461" spans="1:17" x14ac:dyDescent="0.25">
      <c r="A4461" t="str">
        <f>IF(C4461&amp;G4461&amp;D4461&lt;&gt;'Funnel setup'!$K$3&amp;'Funnel setup'!$K$4&amp;'Funnel setup'!$K$6,".",IF(A4460=".",1,A4460+1))</f>
        <v>.</v>
      </c>
      <c r="B4461" s="244" t="str">
        <f t="shared" si="69"/>
        <v>Total Knee ReplacementSub-ICB of GP PracticeNHS GLOUCESTERSHIRE ICB - 11M (11M)EQ VAS</v>
      </c>
      <c r="C4461" t="s">
        <v>975</v>
      </c>
      <c r="D4461" t="s">
        <v>1021</v>
      </c>
      <c r="E4461" t="s">
        <v>799</v>
      </c>
      <c r="F4461" t="s">
        <v>800</v>
      </c>
      <c r="G4461" t="s">
        <v>752</v>
      </c>
      <c r="H4461">
        <v>149</v>
      </c>
      <c r="I4461">
        <v>66.778499999999994</v>
      </c>
      <c r="J4461">
        <v>77.597300000000004</v>
      </c>
      <c r="K4461">
        <v>10.8188</v>
      </c>
      <c r="L4461">
        <v>98</v>
      </c>
      <c r="M4461">
        <v>15</v>
      </c>
      <c r="N4461">
        <v>36</v>
      </c>
      <c r="O4461">
        <v>76.290499999999994</v>
      </c>
      <c r="P4461">
        <v>10.9847</v>
      </c>
      <c r="Q4461">
        <v>15.0021</v>
      </c>
    </row>
    <row r="4462" spans="1:17" x14ac:dyDescent="0.25">
      <c r="A4462" t="str">
        <f>IF(C4462&amp;G4462&amp;D4462&lt;&gt;'Funnel setup'!$K$3&amp;'Funnel setup'!$K$4&amp;'Funnel setup'!$K$6,".",IF(A4461=".",1,A4461+1))</f>
        <v>.</v>
      </c>
      <c r="B4462" s="244" t="str">
        <f t="shared" si="69"/>
        <v>Total Knee ReplacementSub-ICB of GP PracticeNHS GREATER MANCHESTER ICB - 00T (00T)EQ VAS</v>
      </c>
      <c r="C4462" t="s">
        <v>975</v>
      </c>
      <c r="D4462" t="s">
        <v>1021</v>
      </c>
      <c r="E4462" t="s">
        <v>801</v>
      </c>
      <c r="F4462" t="s">
        <v>802</v>
      </c>
      <c r="G4462" t="s">
        <v>752</v>
      </c>
      <c r="H4462">
        <v>92</v>
      </c>
      <c r="I4462">
        <v>67.771699999999996</v>
      </c>
      <c r="J4462">
        <v>73.793499999999995</v>
      </c>
      <c r="K4462">
        <v>6.0217400000000003</v>
      </c>
      <c r="L4462">
        <v>50</v>
      </c>
      <c r="M4462">
        <v>15</v>
      </c>
      <c r="N4462">
        <v>27</v>
      </c>
      <c r="O4462">
        <v>73.743099999999998</v>
      </c>
      <c r="P4462">
        <v>8.43736</v>
      </c>
      <c r="Q4462">
        <v>15.3887</v>
      </c>
    </row>
    <row r="4463" spans="1:17" x14ac:dyDescent="0.25">
      <c r="A4463" t="str">
        <f>IF(C4463&amp;G4463&amp;D4463&lt;&gt;'Funnel setup'!$K$3&amp;'Funnel setup'!$K$4&amp;'Funnel setup'!$K$6,".",IF(A4462=".",1,A4462+1))</f>
        <v>.</v>
      </c>
      <c r="B4463" s="244" t="str">
        <f t="shared" si="69"/>
        <v>Total Knee ReplacementSub-ICB of GP PracticeNHS GREATER MANCHESTER ICB - 00V (00V)EQ VAS</v>
      </c>
      <c r="C4463" t="s">
        <v>975</v>
      </c>
      <c r="D4463" t="s">
        <v>1021</v>
      </c>
      <c r="E4463" t="s">
        <v>803</v>
      </c>
      <c r="F4463" t="s">
        <v>804</v>
      </c>
      <c r="G4463" t="s">
        <v>752</v>
      </c>
      <c r="H4463">
        <v>15</v>
      </c>
      <c r="I4463">
        <v>63.2667</v>
      </c>
      <c r="J4463">
        <v>74</v>
      </c>
      <c r="K4463">
        <v>10.7333</v>
      </c>
      <c r="L4463">
        <v>11</v>
      </c>
      <c r="M4463">
        <v>0</v>
      </c>
      <c r="N4463">
        <v>4</v>
      </c>
      <c r="O4463" t="s">
        <v>127</v>
      </c>
      <c r="P4463" t="s">
        <v>127</v>
      </c>
      <c r="Q4463" t="s">
        <v>127</v>
      </c>
    </row>
    <row r="4464" spans="1:17" x14ac:dyDescent="0.25">
      <c r="A4464" t="str">
        <f>IF(C4464&amp;G4464&amp;D4464&lt;&gt;'Funnel setup'!$K$3&amp;'Funnel setup'!$K$4&amp;'Funnel setup'!$K$6,".",IF(A4463=".",1,A4463+1))</f>
        <v>.</v>
      </c>
      <c r="B4464" s="244" t="str">
        <f t="shared" si="69"/>
        <v>Total Knee ReplacementSub-ICB of GP PracticeNHS GREATER MANCHESTER ICB - 00Y (00Y)EQ VAS</v>
      </c>
      <c r="C4464" t="s">
        <v>975</v>
      </c>
      <c r="D4464" t="s">
        <v>1021</v>
      </c>
      <c r="E4464" t="s">
        <v>805</v>
      </c>
      <c r="F4464" t="s">
        <v>806</v>
      </c>
      <c r="G4464" t="s">
        <v>752</v>
      </c>
      <c r="H4464">
        <v>58</v>
      </c>
      <c r="I4464">
        <v>67.413799999999995</v>
      </c>
      <c r="J4464">
        <v>74.206900000000005</v>
      </c>
      <c r="K4464">
        <v>6.7930999999999999</v>
      </c>
      <c r="L4464">
        <v>32</v>
      </c>
      <c r="M4464">
        <v>6</v>
      </c>
      <c r="N4464">
        <v>20</v>
      </c>
      <c r="O4464">
        <v>71.100899999999996</v>
      </c>
      <c r="P4464">
        <v>5.7952000000000004</v>
      </c>
      <c r="Q4464">
        <v>18.348600000000001</v>
      </c>
    </row>
    <row r="4465" spans="1:17" x14ac:dyDescent="0.25">
      <c r="A4465" t="str">
        <f>IF(C4465&amp;G4465&amp;D4465&lt;&gt;'Funnel setup'!$K$3&amp;'Funnel setup'!$K$4&amp;'Funnel setup'!$K$6,".",IF(A4464=".",1,A4464+1))</f>
        <v>.</v>
      </c>
      <c r="B4465" s="244" t="str">
        <f t="shared" si="69"/>
        <v>Total Knee ReplacementSub-ICB of GP PracticeNHS GREATER MANCHESTER ICB - 01D (01D)EQ VAS</v>
      </c>
      <c r="C4465" t="s">
        <v>975</v>
      </c>
      <c r="D4465" t="s">
        <v>1021</v>
      </c>
      <c r="E4465" t="s">
        <v>807</v>
      </c>
      <c r="F4465" t="s">
        <v>808</v>
      </c>
      <c r="G4465" t="s">
        <v>752</v>
      </c>
      <c r="H4465">
        <v>17</v>
      </c>
      <c r="I4465">
        <v>72.058800000000005</v>
      </c>
      <c r="J4465">
        <v>78</v>
      </c>
      <c r="K4465">
        <v>5.9411800000000001</v>
      </c>
      <c r="L4465">
        <v>8</v>
      </c>
      <c r="M4465">
        <v>2</v>
      </c>
      <c r="N4465">
        <v>7</v>
      </c>
      <c r="O4465" t="s">
        <v>127</v>
      </c>
      <c r="P4465" t="s">
        <v>127</v>
      </c>
      <c r="Q4465" t="s">
        <v>127</v>
      </c>
    </row>
    <row r="4466" spans="1:17" x14ac:dyDescent="0.25">
      <c r="A4466" t="str">
        <f>IF(C4466&amp;G4466&amp;D4466&lt;&gt;'Funnel setup'!$K$3&amp;'Funnel setup'!$K$4&amp;'Funnel setup'!$K$6,".",IF(A4465=".",1,A4465+1))</f>
        <v>.</v>
      </c>
      <c r="B4466" s="244" t="str">
        <f t="shared" si="69"/>
        <v>Total Knee ReplacementSub-ICB of GP PracticeNHS GREATER MANCHESTER ICB - 01G (01G)EQ VAS</v>
      </c>
      <c r="C4466" t="s">
        <v>975</v>
      </c>
      <c r="D4466" t="s">
        <v>1021</v>
      </c>
      <c r="E4466" t="s">
        <v>809</v>
      </c>
      <c r="F4466" t="s">
        <v>810</v>
      </c>
      <c r="G4466" t="s">
        <v>752</v>
      </c>
      <c r="H4466">
        <v>60</v>
      </c>
      <c r="I4466">
        <v>69.783299999999997</v>
      </c>
      <c r="J4466">
        <v>74.599999999999994</v>
      </c>
      <c r="K4466">
        <v>4.8166700000000002</v>
      </c>
      <c r="L4466">
        <v>31</v>
      </c>
      <c r="M4466">
        <v>8</v>
      </c>
      <c r="N4466">
        <v>21</v>
      </c>
      <c r="O4466">
        <v>74.674300000000002</v>
      </c>
      <c r="P4466">
        <v>9.3686100000000003</v>
      </c>
      <c r="Q4466">
        <v>17.270099999999999</v>
      </c>
    </row>
    <row r="4467" spans="1:17" x14ac:dyDescent="0.25">
      <c r="A4467" t="str">
        <f>IF(C4467&amp;G4467&amp;D4467&lt;&gt;'Funnel setup'!$K$3&amp;'Funnel setup'!$K$4&amp;'Funnel setup'!$K$6,".",IF(A4466=".",1,A4466+1))</f>
        <v>.</v>
      </c>
      <c r="B4467" s="244" t="str">
        <f t="shared" si="69"/>
        <v>Total Knee ReplacementSub-ICB of GP PracticeNHS GREATER MANCHESTER ICB - 01W (01W)EQ VAS</v>
      </c>
      <c r="C4467" t="s">
        <v>975</v>
      </c>
      <c r="D4467" t="s">
        <v>1021</v>
      </c>
      <c r="E4467" t="s">
        <v>811</v>
      </c>
      <c r="F4467" t="s">
        <v>812</v>
      </c>
      <c r="G4467" t="s">
        <v>752</v>
      </c>
      <c r="H4467">
        <v>52</v>
      </c>
      <c r="I4467">
        <v>67.269199999999998</v>
      </c>
      <c r="J4467">
        <v>76.730800000000002</v>
      </c>
      <c r="K4467">
        <v>9.4615399999999994</v>
      </c>
      <c r="L4467">
        <v>34</v>
      </c>
      <c r="M4467">
        <v>3</v>
      </c>
      <c r="N4467">
        <v>15</v>
      </c>
      <c r="O4467">
        <v>75.791300000000007</v>
      </c>
      <c r="P4467">
        <v>10.4856</v>
      </c>
      <c r="Q4467">
        <v>19.53</v>
      </c>
    </row>
    <row r="4468" spans="1:17" x14ac:dyDescent="0.25">
      <c r="A4468" t="str">
        <f>IF(C4468&amp;G4468&amp;D4468&lt;&gt;'Funnel setup'!$K$3&amp;'Funnel setup'!$K$4&amp;'Funnel setup'!$K$6,".",IF(A4467=".",1,A4467+1))</f>
        <v>.</v>
      </c>
      <c r="B4468" s="244" t="str">
        <f t="shared" si="69"/>
        <v>Total Knee ReplacementSub-ICB of GP PracticeNHS GREATER MANCHESTER ICB - 01Y (01Y)EQ VAS</v>
      </c>
      <c r="C4468" t="s">
        <v>975</v>
      </c>
      <c r="D4468" t="s">
        <v>1021</v>
      </c>
      <c r="E4468" t="s">
        <v>813</v>
      </c>
      <c r="F4468" t="s">
        <v>814</v>
      </c>
      <c r="G4468" t="s">
        <v>752</v>
      </c>
      <c r="H4468">
        <v>23</v>
      </c>
      <c r="I4468">
        <v>67</v>
      </c>
      <c r="J4468">
        <v>78.869600000000005</v>
      </c>
      <c r="K4468">
        <v>11.8696</v>
      </c>
      <c r="L4468">
        <v>17</v>
      </c>
      <c r="M4468">
        <v>1</v>
      </c>
      <c r="N4468">
        <v>5</v>
      </c>
      <c r="O4468" t="s">
        <v>127</v>
      </c>
      <c r="P4468" t="s">
        <v>127</v>
      </c>
      <c r="Q4468" t="s">
        <v>127</v>
      </c>
    </row>
    <row r="4469" spans="1:17" x14ac:dyDescent="0.25">
      <c r="A4469" t="str">
        <f>IF(C4469&amp;G4469&amp;D4469&lt;&gt;'Funnel setup'!$K$3&amp;'Funnel setup'!$K$4&amp;'Funnel setup'!$K$6,".",IF(A4468=".",1,A4468+1))</f>
        <v>.</v>
      </c>
      <c r="B4469" s="244" t="str">
        <f t="shared" si="69"/>
        <v>Total Knee ReplacementSub-ICB of GP PracticeNHS GREATER MANCHESTER ICB - 02A (02A)EQ VAS</v>
      </c>
      <c r="C4469" t="s">
        <v>975</v>
      </c>
      <c r="D4469" t="s">
        <v>1021</v>
      </c>
      <c r="E4469" t="s">
        <v>815</v>
      </c>
      <c r="F4469" t="s">
        <v>816</v>
      </c>
      <c r="G4469" t="s">
        <v>752</v>
      </c>
      <c r="H4469">
        <v>78</v>
      </c>
      <c r="I4469">
        <v>64.397400000000005</v>
      </c>
      <c r="J4469">
        <v>70.846199999999996</v>
      </c>
      <c r="K4469">
        <v>6.4487199999999998</v>
      </c>
      <c r="L4469">
        <v>43</v>
      </c>
      <c r="M4469">
        <v>7</v>
      </c>
      <c r="N4469">
        <v>28</v>
      </c>
      <c r="O4469">
        <v>71.102400000000003</v>
      </c>
      <c r="P4469">
        <v>5.7967300000000002</v>
      </c>
      <c r="Q4469">
        <v>18.508900000000001</v>
      </c>
    </row>
    <row r="4470" spans="1:17" x14ac:dyDescent="0.25">
      <c r="A4470" t="str">
        <f>IF(C4470&amp;G4470&amp;D4470&lt;&gt;'Funnel setup'!$K$3&amp;'Funnel setup'!$K$4&amp;'Funnel setup'!$K$6,".",IF(A4469=".",1,A4469+1))</f>
        <v>.</v>
      </c>
      <c r="B4470" s="244" t="str">
        <f t="shared" si="69"/>
        <v>Total Knee ReplacementSub-ICB of GP PracticeNHS GREATER MANCHESTER ICB - 02H (02H)EQ VAS</v>
      </c>
      <c r="C4470" t="s">
        <v>975</v>
      </c>
      <c r="D4470" t="s">
        <v>1021</v>
      </c>
      <c r="E4470" t="s">
        <v>817</v>
      </c>
      <c r="F4470" t="s">
        <v>818</v>
      </c>
      <c r="G4470" t="s">
        <v>752</v>
      </c>
      <c r="H4470">
        <v>26</v>
      </c>
      <c r="I4470">
        <v>66.038499999999999</v>
      </c>
      <c r="J4470">
        <v>74</v>
      </c>
      <c r="K4470">
        <v>7.9615400000000003</v>
      </c>
      <c r="L4470">
        <v>14</v>
      </c>
      <c r="M4470">
        <v>3</v>
      </c>
      <c r="N4470">
        <v>9</v>
      </c>
      <c r="O4470" t="s">
        <v>127</v>
      </c>
      <c r="P4470" t="s">
        <v>127</v>
      </c>
      <c r="Q4470" t="s">
        <v>127</v>
      </c>
    </row>
    <row r="4471" spans="1:17" x14ac:dyDescent="0.25">
      <c r="A4471" t="str">
        <f>IF(C4471&amp;G4471&amp;D4471&lt;&gt;'Funnel setup'!$K$3&amp;'Funnel setup'!$K$4&amp;'Funnel setup'!$K$6,".",IF(A4470=".",1,A4470+1))</f>
        <v>.</v>
      </c>
      <c r="B4471" s="244" t="str">
        <f t="shared" si="69"/>
        <v>Total Knee ReplacementSub-ICB of GP PracticeNHS GREATER MANCHESTER ICB - 14L (14L)EQ VAS</v>
      </c>
      <c r="C4471" t="s">
        <v>975</v>
      </c>
      <c r="D4471" t="s">
        <v>1021</v>
      </c>
      <c r="E4471" t="s">
        <v>819</v>
      </c>
      <c r="F4471" t="s">
        <v>820</v>
      </c>
      <c r="G4471" t="s">
        <v>752</v>
      </c>
      <c r="H4471">
        <v>48</v>
      </c>
      <c r="I4471">
        <v>60.291699999999999</v>
      </c>
      <c r="J4471">
        <v>73.020799999999994</v>
      </c>
      <c r="K4471">
        <v>12.729200000000001</v>
      </c>
      <c r="L4471">
        <v>28</v>
      </c>
      <c r="M4471">
        <v>6</v>
      </c>
      <c r="N4471">
        <v>14</v>
      </c>
      <c r="O4471">
        <v>77.135800000000003</v>
      </c>
      <c r="P4471">
        <v>11.8301</v>
      </c>
      <c r="Q4471">
        <v>18.1448</v>
      </c>
    </row>
    <row r="4472" spans="1:17" x14ac:dyDescent="0.25">
      <c r="A4472" t="str">
        <f>IF(C4472&amp;G4472&amp;D4472&lt;&gt;'Funnel setup'!$K$3&amp;'Funnel setup'!$K$4&amp;'Funnel setup'!$K$6,".",IF(A4471=".",1,A4471+1))</f>
        <v>.</v>
      </c>
      <c r="B4472" s="244" t="str">
        <f t="shared" si="69"/>
        <v>Total Knee ReplacementSub-ICB of GP PracticeNHS HAMPSHIRE AND ISLE OF WIGHT ICB - 10R (10R)EQ VAS</v>
      </c>
      <c r="C4472" t="s">
        <v>975</v>
      </c>
      <c r="D4472" t="s">
        <v>1021</v>
      </c>
      <c r="E4472" t="s">
        <v>821</v>
      </c>
      <c r="F4472" t="s">
        <v>822</v>
      </c>
      <c r="G4472" t="s">
        <v>752</v>
      </c>
      <c r="H4472">
        <v>9</v>
      </c>
      <c r="I4472">
        <v>73.555599999999998</v>
      </c>
      <c r="J4472">
        <v>72.777799999999999</v>
      </c>
      <c r="K4472">
        <v>-0.77777799999999997</v>
      </c>
      <c r="L4472">
        <v>3</v>
      </c>
      <c r="M4472">
        <v>2</v>
      </c>
      <c r="N4472">
        <v>4</v>
      </c>
      <c r="O4472" t="s">
        <v>127</v>
      </c>
      <c r="P4472" t="s">
        <v>127</v>
      </c>
      <c r="Q4472" t="s">
        <v>127</v>
      </c>
    </row>
    <row r="4473" spans="1:17" x14ac:dyDescent="0.25">
      <c r="A4473" t="str">
        <f>IF(C4473&amp;G4473&amp;D4473&lt;&gt;'Funnel setup'!$K$3&amp;'Funnel setup'!$K$4&amp;'Funnel setup'!$K$6,".",IF(A4472=".",1,A4472+1))</f>
        <v>.</v>
      </c>
      <c r="B4473" s="244" t="str">
        <f t="shared" si="69"/>
        <v>Total Knee ReplacementSub-ICB of GP PracticeNHS HAMPSHIRE AND ISLE OF WIGHT ICB - D9Y0V (D9Y0V)EQ VAS</v>
      </c>
      <c r="C4473" t="s">
        <v>975</v>
      </c>
      <c r="D4473" t="s">
        <v>1021</v>
      </c>
      <c r="E4473" t="s">
        <v>823</v>
      </c>
      <c r="F4473" t="s">
        <v>824</v>
      </c>
      <c r="G4473" t="s">
        <v>752</v>
      </c>
      <c r="H4473">
        <v>346</v>
      </c>
      <c r="I4473">
        <v>66.939300000000003</v>
      </c>
      <c r="J4473">
        <v>73.959500000000006</v>
      </c>
      <c r="K4473">
        <v>7.0202299999999997</v>
      </c>
      <c r="L4473">
        <v>213</v>
      </c>
      <c r="M4473">
        <v>30</v>
      </c>
      <c r="N4473">
        <v>103</v>
      </c>
      <c r="O4473">
        <v>73.058700000000002</v>
      </c>
      <c r="P4473">
        <v>7.7530200000000002</v>
      </c>
      <c r="Q4473">
        <v>17.1051</v>
      </c>
    </row>
    <row r="4474" spans="1:17" x14ac:dyDescent="0.25">
      <c r="A4474" t="str">
        <f>IF(C4474&amp;G4474&amp;D4474&lt;&gt;'Funnel setup'!$K$3&amp;'Funnel setup'!$K$4&amp;'Funnel setup'!$K$6,".",IF(A4473=".",1,A4473+1))</f>
        <v>.</v>
      </c>
      <c r="B4474" s="244" t="str">
        <f t="shared" si="69"/>
        <v>Total Knee ReplacementSub-ICB of GP PracticeNHS HEREFORDSHIRE AND WORCESTERSHIRE ICB - 18C (18C)EQ VAS</v>
      </c>
      <c r="C4474" t="s">
        <v>975</v>
      </c>
      <c r="D4474" t="s">
        <v>1021</v>
      </c>
      <c r="E4474" t="s">
        <v>825</v>
      </c>
      <c r="F4474" t="s">
        <v>826</v>
      </c>
      <c r="G4474" t="s">
        <v>752</v>
      </c>
      <c r="H4474">
        <v>207</v>
      </c>
      <c r="I4474">
        <v>66.289900000000003</v>
      </c>
      <c r="J4474">
        <v>72.372</v>
      </c>
      <c r="K4474">
        <v>6.0821300000000003</v>
      </c>
      <c r="L4474">
        <v>113</v>
      </c>
      <c r="M4474">
        <v>23</v>
      </c>
      <c r="N4474">
        <v>71</v>
      </c>
      <c r="O4474">
        <v>72.004099999999994</v>
      </c>
      <c r="P4474">
        <v>6.69834</v>
      </c>
      <c r="Q4474">
        <v>18.4741</v>
      </c>
    </row>
    <row r="4475" spans="1:17" x14ac:dyDescent="0.25">
      <c r="A4475" t="str">
        <f>IF(C4475&amp;G4475&amp;D4475&lt;&gt;'Funnel setup'!$K$3&amp;'Funnel setup'!$K$4&amp;'Funnel setup'!$K$6,".",IF(A4474=".",1,A4474+1))</f>
        <v>.</v>
      </c>
      <c r="B4475" s="244" t="str">
        <f t="shared" si="69"/>
        <v>Total Knee ReplacementSub-ICB of GP PracticeNHS HERTFORDSHIRE AND WEST ESSEX ICB - 06K (06K)EQ VAS</v>
      </c>
      <c r="C4475" t="s">
        <v>975</v>
      </c>
      <c r="D4475" t="s">
        <v>1021</v>
      </c>
      <c r="E4475" t="s">
        <v>827</v>
      </c>
      <c r="F4475" t="s">
        <v>828</v>
      </c>
      <c r="G4475" t="s">
        <v>752</v>
      </c>
      <c r="H4475">
        <v>89</v>
      </c>
      <c r="I4475">
        <v>65.763999999999996</v>
      </c>
      <c r="J4475">
        <v>74.943799999999996</v>
      </c>
      <c r="K4475">
        <v>9.1797799999999992</v>
      </c>
      <c r="L4475">
        <v>54</v>
      </c>
      <c r="M4475">
        <v>11</v>
      </c>
      <c r="N4475">
        <v>24</v>
      </c>
      <c r="O4475">
        <v>74.348799999999997</v>
      </c>
      <c r="P4475">
        <v>9.0430700000000002</v>
      </c>
      <c r="Q4475">
        <v>17.1538</v>
      </c>
    </row>
    <row r="4476" spans="1:17" x14ac:dyDescent="0.25">
      <c r="A4476" t="str">
        <f>IF(C4476&amp;G4476&amp;D4476&lt;&gt;'Funnel setup'!$K$3&amp;'Funnel setup'!$K$4&amp;'Funnel setup'!$K$6,".",IF(A4475=".",1,A4475+1))</f>
        <v>.</v>
      </c>
      <c r="B4476" s="244" t="str">
        <f t="shared" si="69"/>
        <v>Total Knee ReplacementSub-ICB of GP PracticeNHS HERTFORDSHIRE AND WEST ESSEX ICB - 06N (06N)EQ VAS</v>
      </c>
      <c r="C4476" t="s">
        <v>975</v>
      </c>
      <c r="D4476" t="s">
        <v>1021</v>
      </c>
      <c r="E4476" t="s">
        <v>829</v>
      </c>
      <c r="F4476" t="s">
        <v>830</v>
      </c>
      <c r="G4476" t="s">
        <v>752</v>
      </c>
      <c r="H4476">
        <v>115</v>
      </c>
      <c r="I4476">
        <v>64</v>
      </c>
      <c r="J4476">
        <v>71.634799999999998</v>
      </c>
      <c r="K4476">
        <v>7.6347800000000001</v>
      </c>
      <c r="L4476">
        <v>66</v>
      </c>
      <c r="M4476">
        <v>16</v>
      </c>
      <c r="N4476">
        <v>33</v>
      </c>
      <c r="O4476">
        <v>72.295900000000003</v>
      </c>
      <c r="P4476">
        <v>6.9901400000000002</v>
      </c>
      <c r="Q4476">
        <v>16.961099999999998</v>
      </c>
    </row>
    <row r="4477" spans="1:17" x14ac:dyDescent="0.25">
      <c r="A4477" t="str">
        <f>IF(C4477&amp;G4477&amp;D4477&lt;&gt;'Funnel setup'!$K$3&amp;'Funnel setup'!$K$4&amp;'Funnel setup'!$K$6,".",IF(A4476=".",1,A4476+1))</f>
        <v>.</v>
      </c>
      <c r="B4477" s="244" t="str">
        <f t="shared" si="69"/>
        <v>Total Knee ReplacementSub-ICB of GP PracticeNHS HERTFORDSHIRE AND WEST ESSEX ICB - 07H (07H)EQ VAS</v>
      </c>
      <c r="C4477" t="s">
        <v>975</v>
      </c>
      <c r="D4477" t="s">
        <v>1021</v>
      </c>
      <c r="E4477" t="s">
        <v>831</v>
      </c>
      <c r="F4477" t="s">
        <v>832</v>
      </c>
      <c r="G4477" t="s">
        <v>752</v>
      </c>
      <c r="H4477">
        <v>67</v>
      </c>
      <c r="I4477">
        <v>62.029899999999998</v>
      </c>
      <c r="J4477">
        <v>70.790999999999997</v>
      </c>
      <c r="K4477">
        <v>8.7611899999999991</v>
      </c>
      <c r="L4477">
        <v>43</v>
      </c>
      <c r="M4477">
        <v>5</v>
      </c>
      <c r="N4477">
        <v>19</v>
      </c>
      <c r="O4477">
        <v>71.327299999999994</v>
      </c>
      <c r="P4477">
        <v>6.0215500000000004</v>
      </c>
      <c r="Q4477">
        <v>18.471599999999999</v>
      </c>
    </row>
    <row r="4478" spans="1:17" x14ac:dyDescent="0.25">
      <c r="A4478" t="str">
        <f>IF(C4478&amp;G4478&amp;D4478&lt;&gt;'Funnel setup'!$K$3&amp;'Funnel setup'!$K$4&amp;'Funnel setup'!$K$6,".",IF(A4477=".",1,A4477+1))</f>
        <v>.</v>
      </c>
      <c r="B4478" s="244" t="str">
        <f t="shared" si="69"/>
        <v>Total Knee ReplacementSub-ICB of GP PracticeNHS HUMBER AND NORTH YORKSHIRE ICB - 02Y (02Y)EQ VAS</v>
      </c>
      <c r="C4478" t="s">
        <v>975</v>
      </c>
      <c r="D4478" t="s">
        <v>1021</v>
      </c>
      <c r="E4478" t="s">
        <v>833</v>
      </c>
      <c r="F4478" t="s">
        <v>834</v>
      </c>
      <c r="G4478" t="s">
        <v>752</v>
      </c>
      <c r="H4478">
        <v>75</v>
      </c>
      <c r="I4478">
        <v>64.413300000000007</v>
      </c>
      <c r="J4478">
        <v>70.88</v>
      </c>
      <c r="K4478">
        <v>6.4666699999999997</v>
      </c>
      <c r="L4478">
        <v>45</v>
      </c>
      <c r="M4478">
        <v>6</v>
      </c>
      <c r="N4478">
        <v>24</v>
      </c>
      <c r="O4478">
        <v>70.130799999999994</v>
      </c>
      <c r="P4478">
        <v>4.8251099999999996</v>
      </c>
      <c r="Q4478">
        <v>15.1076</v>
      </c>
    </row>
    <row r="4479" spans="1:17" x14ac:dyDescent="0.25">
      <c r="A4479" t="str">
        <f>IF(C4479&amp;G4479&amp;D4479&lt;&gt;'Funnel setup'!$K$3&amp;'Funnel setup'!$K$4&amp;'Funnel setup'!$K$6,".",IF(A4478=".",1,A4478+1))</f>
        <v>.</v>
      </c>
      <c r="B4479" s="244" t="str">
        <f t="shared" si="69"/>
        <v>Total Knee ReplacementSub-ICB of GP PracticeNHS HUMBER AND NORTH YORKSHIRE ICB - 03F (03F)EQ VAS</v>
      </c>
      <c r="C4479" t="s">
        <v>975</v>
      </c>
      <c r="D4479" t="s">
        <v>1021</v>
      </c>
      <c r="E4479" t="s">
        <v>835</v>
      </c>
      <c r="F4479" t="s">
        <v>836</v>
      </c>
      <c r="G4479" t="s">
        <v>752</v>
      </c>
      <c r="H4479">
        <v>26</v>
      </c>
      <c r="I4479">
        <v>64.423100000000005</v>
      </c>
      <c r="J4479">
        <v>72.076899999999995</v>
      </c>
      <c r="K4479">
        <v>7.6538500000000003</v>
      </c>
      <c r="L4479">
        <v>16</v>
      </c>
      <c r="M4479">
        <v>5</v>
      </c>
      <c r="N4479">
        <v>5</v>
      </c>
      <c r="O4479" t="s">
        <v>127</v>
      </c>
      <c r="P4479" t="s">
        <v>127</v>
      </c>
      <c r="Q4479" t="s">
        <v>127</v>
      </c>
    </row>
    <row r="4480" spans="1:17" x14ac:dyDescent="0.25">
      <c r="A4480" t="str">
        <f>IF(C4480&amp;G4480&amp;D4480&lt;&gt;'Funnel setup'!$K$3&amp;'Funnel setup'!$K$4&amp;'Funnel setup'!$K$6,".",IF(A4479=".",1,A4479+1))</f>
        <v>.</v>
      </c>
      <c r="B4480" s="244" t="str">
        <f t="shared" si="69"/>
        <v>Total Knee ReplacementSub-ICB of GP PracticeNHS HUMBER AND NORTH YORKSHIRE ICB - 03H (03H)EQ VAS</v>
      </c>
      <c r="C4480" t="s">
        <v>975</v>
      </c>
      <c r="D4480" t="s">
        <v>1021</v>
      </c>
      <c r="E4480" t="s">
        <v>837</v>
      </c>
      <c r="F4480" t="s">
        <v>838</v>
      </c>
      <c r="G4480" t="s">
        <v>752</v>
      </c>
      <c r="H4480">
        <v>68</v>
      </c>
      <c r="I4480">
        <v>69.5441</v>
      </c>
      <c r="J4480">
        <v>71.397099999999995</v>
      </c>
      <c r="K4480">
        <v>1.85294</v>
      </c>
      <c r="L4480">
        <v>35</v>
      </c>
      <c r="M4480">
        <v>10</v>
      </c>
      <c r="N4480">
        <v>23</v>
      </c>
      <c r="O4480">
        <v>69.644400000000005</v>
      </c>
      <c r="P4480">
        <v>4.3386899999999997</v>
      </c>
      <c r="Q4480">
        <v>19.9404</v>
      </c>
    </row>
    <row r="4481" spans="1:17" x14ac:dyDescent="0.25">
      <c r="A4481" t="str">
        <f>IF(C4481&amp;G4481&amp;D4481&lt;&gt;'Funnel setup'!$K$3&amp;'Funnel setup'!$K$4&amp;'Funnel setup'!$K$6,".",IF(A4480=".",1,A4480+1))</f>
        <v>.</v>
      </c>
      <c r="B4481" s="244" t="str">
        <f t="shared" si="69"/>
        <v>Total Knee ReplacementSub-ICB of GP PracticeNHS HUMBER AND NORTH YORKSHIRE ICB - 03K (03K)EQ VAS</v>
      </c>
      <c r="C4481" t="s">
        <v>975</v>
      </c>
      <c r="D4481" t="s">
        <v>1021</v>
      </c>
      <c r="E4481" t="s">
        <v>839</v>
      </c>
      <c r="F4481" t="s">
        <v>840</v>
      </c>
      <c r="G4481" t="s">
        <v>752</v>
      </c>
      <c r="H4481">
        <v>63</v>
      </c>
      <c r="I4481">
        <v>64.301599999999993</v>
      </c>
      <c r="J4481">
        <v>68.650800000000004</v>
      </c>
      <c r="K4481">
        <v>4.3492100000000002</v>
      </c>
      <c r="L4481">
        <v>33</v>
      </c>
      <c r="M4481">
        <v>8</v>
      </c>
      <c r="N4481">
        <v>22</v>
      </c>
      <c r="O4481">
        <v>68.723399999999998</v>
      </c>
      <c r="P4481">
        <v>3.41771</v>
      </c>
      <c r="Q4481">
        <v>17.157599999999999</v>
      </c>
    </row>
    <row r="4482" spans="1:17" x14ac:dyDescent="0.25">
      <c r="A4482" t="str">
        <f>IF(C4482&amp;G4482&amp;D4482&lt;&gt;'Funnel setup'!$K$3&amp;'Funnel setup'!$K$4&amp;'Funnel setup'!$K$6,".",IF(A4481=".",1,A4481+1))</f>
        <v>.</v>
      </c>
      <c r="B4482" s="244" t="str">
        <f t="shared" ref="B4482:B4545" si="70">C4482&amp;D4482&amp;F4482&amp;G4482</f>
        <v>Total Knee ReplacementSub-ICB of GP PracticeNHS HUMBER AND NORTH YORKSHIRE ICB - 03Q (03Q)EQ VAS</v>
      </c>
      <c r="C4482" t="s">
        <v>975</v>
      </c>
      <c r="D4482" t="s">
        <v>1021</v>
      </c>
      <c r="E4482" t="s">
        <v>841</v>
      </c>
      <c r="F4482" t="s">
        <v>842</v>
      </c>
      <c r="G4482" t="s">
        <v>752</v>
      </c>
      <c r="H4482">
        <v>73</v>
      </c>
      <c r="I4482">
        <v>62.0822</v>
      </c>
      <c r="J4482">
        <v>76.698599999999999</v>
      </c>
      <c r="K4482">
        <v>14.616400000000001</v>
      </c>
      <c r="L4482">
        <v>48</v>
      </c>
      <c r="M4482">
        <v>4</v>
      </c>
      <c r="N4482">
        <v>21</v>
      </c>
      <c r="O4482">
        <v>75.524199999999993</v>
      </c>
      <c r="P4482">
        <v>10.218500000000001</v>
      </c>
      <c r="Q4482">
        <v>17.058599999999998</v>
      </c>
    </row>
    <row r="4483" spans="1:17" x14ac:dyDescent="0.25">
      <c r="A4483" t="str">
        <f>IF(C4483&amp;G4483&amp;D4483&lt;&gt;'Funnel setup'!$K$3&amp;'Funnel setup'!$K$4&amp;'Funnel setup'!$K$6,".",IF(A4482=".",1,A4482+1))</f>
        <v>.</v>
      </c>
      <c r="B4483" s="244" t="str">
        <f t="shared" si="70"/>
        <v>Total Knee ReplacementSub-ICB of GP PracticeNHS HUMBER AND NORTH YORKSHIRE ICB - 42D (42D)EQ VAS</v>
      </c>
      <c r="C4483" t="s">
        <v>975</v>
      </c>
      <c r="D4483" t="s">
        <v>1021</v>
      </c>
      <c r="E4483" t="s">
        <v>843</v>
      </c>
      <c r="F4483" t="s">
        <v>844</v>
      </c>
      <c r="G4483" t="s">
        <v>752</v>
      </c>
      <c r="H4483">
        <v>204</v>
      </c>
      <c r="I4483">
        <v>63.225499999999997</v>
      </c>
      <c r="J4483">
        <v>74.215699999999998</v>
      </c>
      <c r="K4483">
        <v>10.9902</v>
      </c>
      <c r="L4483">
        <v>139</v>
      </c>
      <c r="M4483">
        <v>15</v>
      </c>
      <c r="N4483">
        <v>50</v>
      </c>
      <c r="O4483">
        <v>74.662000000000006</v>
      </c>
      <c r="P4483">
        <v>9.3562499999999993</v>
      </c>
      <c r="Q4483">
        <v>17.733899999999998</v>
      </c>
    </row>
    <row r="4484" spans="1:17" x14ac:dyDescent="0.25">
      <c r="A4484" t="str">
        <f>IF(C4484&amp;G4484&amp;D4484&lt;&gt;'Funnel setup'!$K$3&amp;'Funnel setup'!$K$4&amp;'Funnel setup'!$K$6,".",IF(A4483=".",1,A4483+1))</f>
        <v>.</v>
      </c>
      <c r="B4484" s="244" t="str">
        <f t="shared" si="70"/>
        <v>Total Knee ReplacementSub-ICB of GP PracticeNHS KENT AND MEDWAY ICB - 91Q (91Q)EQ VAS</v>
      </c>
      <c r="C4484" t="s">
        <v>975</v>
      </c>
      <c r="D4484" t="s">
        <v>1021</v>
      </c>
      <c r="E4484" t="s">
        <v>845</v>
      </c>
      <c r="F4484" t="s">
        <v>846</v>
      </c>
      <c r="G4484" t="s">
        <v>752</v>
      </c>
      <c r="H4484">
        <v>554</v>
      </c>
      <c r="I4484">
        <v>66.897099999999995</v>
      </c>
      <c r="J4484">
        <v>76.229200000000006</v>
      </c>
      <c r="K4484">
        <v>9.3321299999999994</v>
      </c>
      <c r="L4484">
        <v>360</v>
      </c>
      <c r="M4484">
        <v>45</v>
      </c>
      <c r="N4484">
        <v>149</v>
      </c>
      <c r="O4484">
        <v>75.3292</v>
      </c>
      <c r="P4484">
        <v>10.0235</v>
      </c>
      <c r="Q4484">
        <v>15.7814</v>
      </c>
    </row>
    <row r="4485" spans="1:17" x14ac:dyDescent="0.25">
      <c r="A4485" t="str">
        <f>IF(C4485&amp;G4485&amp;D4485&lt;&gt;'Funnel setup'!$K$3&amp;'Funnel setup'!$K$4&amp;'Funnel setup'!$K$6,".",IF(A4484=".",1,A4484+1))</f>
        <v>.</v>
      </c>
      <c r="B4485" s="244" t="str">
        <f t="shared" si="70"/>
        <v>Total Knee ReplacementSub-ICB of GP PracticeNHS LANCASHIRE AND SOUTH CUMBRIA ICB - 00Q (00Q)EQ VAS</v>
      </c>
      <c r="C4485" t="s">
        <v>975</v>
      </c>
      <c r="D4485" t="s">
        <v>1021</v>
      </c>
      <c r="E4485" t="s">
        <v>847</v>
      </c>
      <c r="F4485" t="s">
        <v>848</v>
      </c>
      <c r="G4485" t="s">
        <v>752</v>
      </c>
      <c r="H4485">
        <v>48</v>
      </c>
      <c r="I4485">
        <v>65.3125</v>
      </c>
      <c r="J4485">
        <v>72.645799999999994</v>
      </c>
      <c r="K4485">
        <v>7.3333300000000001</v>
      </c>
      <c r="L4485">
        <v>29</v>
      </c>
      <c r="M4485">
        <v>3</v>
      </c>
      <c r="N4485">
        <v>16</v>
      </c>
      <c r="O4485">
        <v>72.661000000000001</v>
      </c>
      <c r="P4485">
        <v>7.35527</v>
      </c>
      <c r="Q4485">
        <v>18.665299999999998</v>
      </c>
    </row>
    <row r="4486" spans="1:17" x14ac:dyDescent="0.25">
      <c r="A4486" t="str">
        <f>IF(C4486&amp;G4486&amp;D4486&lt;&gt;'Funnel setup'!$K$3&amp;'Funnel setup'!$K$4&amp;'Funnel setup'!$K$6,".",IF(A4485=".",1,A4485+1))</f>
        <v>.</v>
      </c>
      <c r="B4486" s="244" t="str">
        <f t="shared" si="70"/>
        <v>Total Knee ReplacementSub-ICB of GP PracticeNHS LANCASHIRE AND SOUTH CUMBRIA ICB - 00R (00R)EQ VAS</v>
      </c>
      <c r="C4486" t="s">
        <v>975</v>
      </c>
      <c r="D4486" t="s">
        <v>1021</v>
      </c>
      <c r="E4486" t="s">
        <v>849</v>
      </c>
      <c r="F4486" t="s">
        <v>850</v>
      </c>
      <c r="G4486" t="s">
        <v>752</v>
      </c>
      <c r="H4486">
        <v>46</v>
      </c>
      <c r="I4486">
        <v>68.847800000000007</v>
      </c>
      <c r="J4486">
        <v>68.717399999999998</v>
      </c>
      <c r="K4486">
        <v>-0.130435</v>
      </c>
      <c r="L4486">
        <v>23</v>
      </c>
      <c r="M4486">
        <v>7</v>
      </c>
      <c r="N4486">
        <v>16</v>
      </c>
      <c r="O4486">
        <v>71.012699999999995</v>
      </c>
      <c r="P4486">
        <v>5.7069700000000001</v>
      </c>
      <c r="Q4486">
        <v>18.574100000000001</v>
      </c>
    </row>
    <row r="4487" spans="1:17" x14ac:dyDescent="0.25">
      <c r="A4487" t="str">
        <f>IF(C4487&amp;G4487&amp;D4487&lt;&gt;'Funnel setup'!$K$3&amp;'Funnel setup'!$K$4&amp;'Funnel setup'!$K$6,".",IF(A4486=".",1,A4486+1))</f>
        <v>.</v>
      </c>
      <c r="B4487" s="244" t="str">
        <f t="shared" si="70"/>
        <v>Total Knee ReplacementSub-ICB of GP PracticeNHS LANCASHIRE AND SOUTH CUMBRIA ICB - 00X (00X)EQ VAS</v>
      </c>
      <c r="C4487" t="s">
        <v>975</v>
      </c>
      <c r="D4487" t="s">
        <v>1021</v>
      </c>
      <c r="E4487" t="s">
        <v>851</v>
      </c>
      <c r="F4487" t="s">
        <v>852</v>
      </c>
      <c r="G4487" t="s">
        <v>752</v>
      </c>
      <c r="H4487">
        <v>66</v>
      </c>
      <c r="I4487">
        <v>64.424199999999999</v>
      </c>
      <c r="J4487">
        <v>73.681799999999996</v>
      </c>
      <c r="K4487">
        <v>9.2575800000000008</v>
      </c>
      <c r="L4487">
        <v>47</v>
      </c>
      <c r="M4487">
        <v>2</v>
      </c>
      <c r="N4487">
        <v>17</v>
      </c>
      <c r="O4487">
        <v>73.814099999999996</v>
      </c>
      <c r="P4487">
        <v>8.5083599999999997</v>
      </c>
      <c r="Q4487">
        <v>18.9985</v>
      </c>
    </row>
    <row r="4488" spans="1:17" x14ac:dyDescent="0.25">
      <c r="A4488" t="str">
        <f>IF(C4488&amp;G4488&amp;D4488&lt;&gt;'Funnel setup'!$K$3&amp;'Funnel setup'!$K$4&amp;'Funnel setup'!$K$6,".",IF(A4487=".",1,A4487+1))</f>
        <v>.</v>
      </c>
      <c r="B4488" s="244" t="str">
        <f t="shared" si="70"/>
        <v>Total Knee ReplacementSub-ICB of GP PracticeNHS LANCASHIRE AND SOUTH CUMBRIA ICB - 01A (01A)EQ VAS</v>
      </c>
      <c r="C4488" t="s">
        <v>975</v>
      </c>
      <c r="D4488" t="s">
        <v>1021</v>
      </c>
      <c r="E4488" t="s">
        <v>853</v>
      </c>
      <c r="F4488" t="s">
        <v>854</v>
      </c>
      <c r="G4488" t="s">
        <v>752</v>
      </c>
      <c r="H4488">
        <v>125</v>
      </c>
      <c r="I4488">
        <v>69.591999999999999</v>
      </c>
      <c r="J4488">
        <v>73.872</v>
      </c>
      <c r="K4488">
        <v>4.28</v>
      </c>
      <c r="L4488">
        <v>67</v>
      </c>
      <c r="M4488">
        <v>16</v>
      </c>
      <c r="N4488">
        <v>42</v>
      </c>
      <c r="O4488">
        <v>71.980900000000005</v>
      </c>
      <c r="P4488">
        <v>6.67516</v>
      </c>
      <c r="Q4488">
        <v>18.267499999999998</v>
      </c>
    </row>
    <row r="4489" spans="1:17" x14ac:dyDescent="0.25">
      <c r="A4489" t="str">
        <f>IF(C4489&amp;G4489&amp;D4489&lt;&gt;'Funnel setup'!$K$3&amp;'Funnel setup'!$K$4&amp;'Funnel setup'!$K$6,".",IF(A4488=".",1,A4488+1))</f>
        <v>.</v>
      </c>
      <c r="B4489" s="244" t="str">
        <f t="shared" si="70"/>
        <v>Total Knee ReplacementSub-ICB of GP PracticeNHS LANCASHIRE AND SOUTH CUMBRIA ICB - 01E (01E)EQ VAS</v>
      </c>
      <c r="C4489" t="s">
        <v>975</v>
      </c>
      <c r="D4489" t="s">
        <v>1021</v>
      </c>
      <c r="E4489" t="s">
        <v>855</v>
      </c>
      <c r="F4489" t="s">
        <v>856</v>
      </c>
      <c r="G4489" t="s">
        <v>752</v>
      </c>
      <c r="H4489">
        <v>66</v>
      </c>
      <c r="I4489">
        <v>63.560600000000001</v>
      </c>
      <c r="J4489">
        <v>77.348500000000001</v>
      </c>
      <c r="K4489">
        <v>13.7879</v>
      </c>
      <c r="L4489">
        <v>47</v>
      </c>
      <c r="M4489">
        <v>4</v>
      </c>
      <c r="N4489">
        <v>15</v>
      </c>
      <c r="O4489">
        <v>77.889799999999994</v>
      </c>
      <c r="P4489">
        <v>12.584099999999999</v>
      </c>
      <c r="Q4489">
        <v>15.6311</v>
      </c>
    </row>
    <row r="4490" spans="1:17" x14ac:dyDescent="0.25">
      <c r="A4490" t="str">
        <f>IF(C4490&amp;G4490&amp;D4490&lt;&gt;'Funnel setup'!$K$3&amp;'Funnel setup'!$K$4&amp;'Funnel setup'!$K$6,".",IF(A4489=".",1,A4489+1))</f>
        <v>.</v>
      </c>
      <c r="B4490" s="244" t="str">
        <f t="shared" si="70"/>
        <v>Total Knee ReplacementSub-ICB of GP PracticeNHS LANCASHIRE AND SOUTH CUMBRIA ICB - 01K (01K)EQ VAS</v>
      </c>
      <c r="C4490" t="s">
        <v>975</v>
      </c>
      <c r="D4490" t="s">
        <v>1021</v>
      </c>
      <c r="E4490" t="s">
        <v>857</v>
      </c>
      <c r="F4490" t="s">
        <v>858</v>
      </c>
      <c r="G4490" t="s">
        <v>752</v>
      </c>
      <c r="H4490">
        <v>175</v>
      </c>
      <c r="I4490">
        <v>65.731399999999994</v>
      </c>
      <c r="J4490">
        <v>74.3429</v>
      </c>
      <c r="K4490">
        <v>8.6114300000000004</v>
      </c>
      <c r="L4490">
        <v>110</v>
      </c>
      <c r="M4490">
        <v>16</v>
      </c>
      <c r="N4490">
        <v>49</v>
      </c>
      <c r="O4490">
        <v>73.766400000000004</v>
      </c>
      <c r="P4490">
        <v>8.4606600000000007</v>
      </c>
      <c r="Q4490">
        <v>16.632899999999999</v>
      </c>
    </row>
    <row r="4491" spans="1:17" x14ac:dyDescent="0.25">
      <c r="A4491" t="str">
        <f>IF(C4491&amp;G4491&amp;D4491&lt;&gt;'Funnel setup'!$K$3&amp;'Funnel setup'!$K$4&amp;'Funnel setup'!$K$6,".",IF(A4490=".",1,A4490+1))</f>
        <v>.</v>
      </c>
      <c r="B4491" s="244" t="str">
        <f t="shared" si="70"/>
        <v>Total Knee ReplacementSub-ICB of GP PracticeNHS LANCASHIRE AND SOUTH CUMBRIA ICB - 02G (02G)EQ VAS</v>
      </c>
      <c r="C4491" t="s">
        <v>975</v>
      </c>
      <c r="D4491" t="s">
        <v>1021</v>
      </c>
      <c r="E4491" t="s">
        <v>859</v>
      </c>
      <c r="F4491" t="s">
        <v>860</v>
      </c>
      <c r="G4491" t="s">
        <v>752</v>
      </c>
      <c r="H4491">
        <v>23</v>
      </c>
      <c r="I4491">
        <v>70.956500000000005</v>
      </c>
      <c r="J4491">
        <v>78.782600000000002</v>
      </c>
      <c r="K4491">
        <v>7.8260899999999998</v>
      </c>
      <c r="L4491">
        <v>16</v>
      </c>
      <c r="M4491">
        <v>2</v>
      </c>
      <c r="N4491">
        <v>5</v>
      </c>
      <c r="O4491" t="s">
        <v>127</v>
      </c>
      <c r="P4491" t="s">
        <v>127</v>
      </c>
      <c r="Q4491" t="s">
        <v>127</v>
      </c>
    </row>
    <row r="4492" spans="1:17" x14ac:dyDescent="0.25">
      <c r="A4492" t="str">
        <f>IF(C4492&amp;G4492&amp;D4492&lt;&gt;'Funnel setup'!$K$3&amp;'Funnel setup'!$K$4&amp;'Funnel setup'!$K$6,".",IF(A4491=".",1,A4491+1))</f>
        <v>.</v>
      </c>
      <c r="B4492" s="244" t="str">
        <f t="shared" si="70"/>
        <v>Total Knee ReplacementSub-ICB of GP PracticeNHS LANCASHIRE AND SOUTH CUMBRIA ICB - 02M (02M)EQ VAS</v>
      </c>
      <c r="C4492" t="s">
        <v>975</v>
      </c>
      <c r="D4492" t="s">
        <v>1021</v>
      </c>
      <c r="E4492" t="s">
        <v>861</v>
      </c>
      <c r="F4492" t="s">
        <v>862</v>
      </c>
      <c r="G4492" t="s">
        <v>752</v>
      </c>
      <c r="H4492">
        <v>60</v>
      </c>
      <c r="I4492">
        <v>69.966700000000003</v>
      </c>
      <c r="J4492">
        <v>74.383300000000006</v>
      </c>
      <c r="K4492">
        <v>4.4166699999999999</v>
      </c>
      <c r="L4492">
        <v>30</v>
      </c>
      <c r="M4492">
        <v>8</v>
      </c>
      <c r="N4492">
        <v>22</v>
      </c>
      <c r="O4492">
        <v>73.191100000000006</v>
      </c>
      <c r="P4492">
        <v>7.8854100000000003</v>
      </c>
      <c r="Q4492">
        <v>14.5139</v>
      </c>
    </row>
    <row r="4493" spans="1:17" x14ac:dyDescent="0.25">
      <c r="A4493" t="str">
        <f>IF(C4493&amp;G4493&amp;D4493&lt;&gt;'Funnel setup'!$K$3&amp;'Funnel setup'!$K$4&amp;'Funnel setup'!$K$6,".",IF(A4492=".",1,A4492+1))</f>
        <v>.</v>
      </c>
      <c r="B4493" s="244" t="str">
        <f t="shared" si="70"/>
        <v>Total Knee ReplacementSub-ICB of GP PracticeNHS LEICESTER, LEICESTERSHIRE AND RUTLAND ICB - 03W (03W)EQ VAS</v>
      </c>
      <c r="C4493" t="s">
        <v>975</v>
      </c>
      <c r="D4493" t="s">
        <v>1021</v>
      </c>
      <c r="E4493" t="s">
        <v>863</v>
      </c>
      <c r="F4493" t="s">
        <v>864</v>
      </c>
      <c r="G4493" t="s">
        <v>752</v>
      </c>
      <c r="H4493">
        <v>146</v>
      </c>
      <c r="I4493">
        <v>62.9315</v>
      </c>
      <c r="J4493">
        <v>75.246600000000001</v>
      </c>
      <c r="K4493">
        <v>12.315099999999999</v>
      </c>
      <c r="L4493">
        <v>89</v>
      </c>
      <c r="M4493">
        <v>15</v>
      </c>
      <c r="N4493">
        <v>42</v>
      </c>
      <c r="O4493">
        <v>75.444599999999994</v>
      </c>
      <c r="P4493">
        <v>10.1389</v>
      </c>
      <c r="Q4493">
        <v>14.4803</v>
      </c>
    </row>
    <row r="4494" spans="1:17" x14ac:dyDescent="0.25">
      <c r="A4494" t="str">
        <f>IF(C4494&amp;G4494&amp;D4494&lt;&gt;'Funnel setup'!$K$3&amp;'Funnel setup'!$K$4&amp;'Funnel setup'!$K$6,".",IF(A4493=".",1,A4493+1))</f>
        <v>.</v>
      </c>
      <c r="B4494" s="244" t="str">
        <f t="shared" si="70"/>
        <v>Total Knee ReplacementSub-ICB of GP PracticeNHS LEICESTER, LEICESTERSHIRE AND RUTLAND ICB - 04C (04C)EQ VAS</v>
      </c>
      <c r="C4494" t="s">
        <v>975</v>
      </c>
      <c r="D4494" t="s">
        <v>1021</v>
      </c>
      <c r="E4494" t="s">
        <v>865</v>
      </c>
      <c r="F4494" t="s">
        <v>866</v>
      </c>
      <c r="G4494" t="s">
        <v>752</v>
      </c>
      <c r="H4494">
        <v>42</v>
      </c>
      <c r="I4494">
        <v>60.8095</v>
      </c>
      <c r="J4494">
        <v>66.071399999999997</v>
      </c>
      <c r="K4494">
        <v>5.2618999999999998</v>
      </c>
      <c r="L4494">
        <v>24</v>
      </c>
      <c r="M4494">
        <v>5</v>
      </c>
      <c r="N4494">
        <v>13</v>
      </c>
      <c r="O4494">
        <v>71.579599999999999</v>
      </c>
      <c r="P4494">
        <v>6.2738399999999999</v>
      </c>
      <c r="Q4494">
        <v>16.5776</v>
      </c>
    </row>
    <row r="4495" spans="1:17" x14ac:dyDescent="0.25">
      <c r="A4495" t="str">
        <f>IF(C4495&amp;G4495&amp;D4495&lt;&gt;'Funnel setup'!$K$3&amp;'Funnel setup'!$K$4&amp;'Funnel setup'!$K$6,".",IF(A4494=".",1,A4494+1))</f>
        <v>.</v>
      </c>
      <c r="B4495" s="244" t="str">
        <f t="shared" si="70"/>
        <v>Total Knee ReplacementSub-ICB of GP PracticeNHS LEICESTER, LEICESTERSHIRE AND RUTLAND ICB - 04V (04V)EQ VAS</v>
      </c>
      <c r="C4495" t="s">
        <v>975</v>
      </c>
      <c r="D4495" t="s">
        <v>1021</v>
      </c>
      <c r="E4495" t="s">
        <v>867</v>
      </c>
      <c r="F4495" t="s">
        <v>868</v>
      </c>
      <c r="G4495" t="s">
        <v>752</v>
      </c>
      <c r="H4495">
        <v>156</v>
      </c>
      <c r="I4495">
        <v>61.538499999999999</v>
      </c>
      <c r="J4495">
        <v>74.237200000000001</v>
      </c>
      <c r="K4495">
        <v>12.698700000000001</v>
      </c>
      <c r="L4495">
        <v>105</v>
      </c>
      <c r="M4495">
        <v>16</v>
      </c>
      <c r="N4495">
        <v>35</v>
      </c>
      <c r="O4495">
        <v>76.297899999999998</v>
      </c>
      <c r="P4495">
        <v>10.9922</v>
      </c>
      <c r="Q4495">
        <v>16.810600000000001</v>
      </c>
    </row>
    <row r="4496" spans="1:17" x14ac:dyDescent="0.25">
      <c r="A4496" t="str">
        <f>IF(C4496&amp;G4496&amp;D4496&lt;&gt;'Funnel setup'!$K$3&amp;'Funnel setup'!$K$4&amp;'Funnel setup'!$K$6,".",IF(A4495=".",1,A4495+1))</f>
        <v>.</v>
      </c>
      <c r="B4496" s="244" t="str">
        <f t="shared" si="70"/>
        <v>Total Knee ReplacementSub-ICB of GP PracticeNHS LINCOLNSHIRE ICB - 71E (71E)EQ VAS</v>
      </c>
      <c r="C4496" t="s">
        <v>975</v>
      </c>
      <c r="D4496" t="s">
        <v>1021</v>
      </c>
      <c r="E4496" t="s">
        <v>869</v>
      </c>
      <c r="F4496" t="s">
        <v>870</v>
      </c>
      <c r="G4496" t="s">
        <v>752</v>
      </c>
      <c r="H4496">
        <v>280</v>
      </c>
      <c r="I4496">
        <v>67.817899999999995</v>
      </c>
      <c r="J4496">
        <v>75.439300000000003</v>
      </c>
      <c r="K4496">
        <v>7.6214300000000001</v>
      </c>
      <c r="L4496">
        <v>165</v>
      </c>
      <c r="M4496">
        <v>32</v>
      </c>
      <c r="N4496">
        <v>83</v>
      </c>
      <c r="O4496">
        <v>73.524500000000003</v>
      </c>
      <c r="P4496">
        <v>8.2187999999999999</v>
      </c>
      <c r="Q4496">
        <v>16.304500000000001</v>
      </c>
    </row>
    <row r="4497" spans="1:17" x14ac:dyDescent="0.25">
      <c r="A4497" t="str">
        <f>IF(C4497&amp;G4497&amp;D4497&lt;&gt;'Funnel setup'!$K$3&amp;'Funnel setup'!$K$4&amp;'Funnel setup'!$K$6,".",IF(A4496=".",1,A4496+1))</f>
        <v>.</v>
      </c>
      <c r="B4497" s="244" t="str">
        <f t="shared" si="70"/>
        <v>Total Knee ReplacementSub-ICB of GP PracticeNHS MID AND SOUTH ESSEX ICB - 06Q (06Q)EQ VAS</v>
      </c>
      <c r="C4497" t="s">
        <v>975</v>
      </c>
      <c r="D4497" t="s">
        <v>1021</v>
      </c>
      <c r="E4497" t="s">
        <v>871</v>
      </c>
      <c r="F4497" t="s">
        <v>872</v>
      </c>
      <c r="G4497" t="s">
        <v>752</v>
      </c>
      <c r="H4497">
        <v>120</v>
      </c>
      <c r="I4497">
        <v>65.825000000000003</v>
      </c>
      <c r="J4497">
        <v>74.166700000000006</v>
      </c>
      <c r="K4497">
        <v>8.3416700000000006</v>
      </c>
      <c r="L4497">
        <v>76</v>
      </c>
      <c r="M4497">
        <v>11</v>
      </c>
      <c r="N4497">
        <v>33</v>
      </c>
      <c r="O4497">
        <v>72.857100000000003</v>
      </c>
      <c r="P4497">
        <v>7.5514200000000002</v>
      </c>
      <c r="Q4497">
        <v>16.998200000000001</v>
      </c>
    </row>
    <row r="4498" spans="1:17" x14ac:dyDescent="0.25">
      <c r="A4498" t="str">
        <f>IF(C4498&amp;G4498&amp;D4498&lt;&gt;'Funnel setup'!$K$3&amp;'Funnel setup'!$K$4&amp;'Funnel setup'!$K$6,".",IF(A4497=".",1,A4497+1))</f>
        <v>.</v>
      </c>
      <c r="B4498" s="244" t="str">
        <f t="shared" si="70"/>
        <v>Total Knee ReplacementSub-ICB of GP PracticeNHS MID AND SOUTH ESSEX ICB - 07G (07G)EQ VAS</v>
      </c>
      <c r="C4498" t="s">
        <v>975</v>
      </c>
      <c r="D4498" t="s">
        <v>1021</v>
      </c>
      <c r="E4498" t="s">
        <v>873</v>
      </c>
      <c r="F4498" t="s">
        <v>874</v>
      </c>
      <c r="G4498" t="s">
        <v>752</v>
      </c>
      <c r="H4498">
        <v>19</v>
      </c>
      <c r="I4498">
        <v>67.368399999999994</v>
      </c>
      <c r="J4498">
        <v>73.368399999999994</v>
      </c>
      <c r="K4498">
        <v>6</v>
      </c>
      <c r="L4498">
        <v>11</v>
      </c>
      <c r="M4498">
        <v>3</v>
      </c>
      <c r="N4498">
        <v>5</v>
      </c>
      <c r="O4498" t="s">
        <v>127</v>
      </c>
      <c r="P4498" t="s">
        <v>127</v>
      </c>
      <c r="Q4498" t="s">
        <v>127</v>
      </c>
    </row>
    <row r="4499" spans="1:17" x14ac:dyDescent="0.25">
      <c r="A4499" t="str">
        <f>IF(C4499&amp;G4499&amp;D4499&lt;&gt;'Funnel setup'!$K$3&amp;'Funnel setup'!$K$4&amp;'Funnel setup'!$K$6,".",IF(A4498=".",1,A4498+1))</f>
        <v>.</v>
      </c>
      <c r="B4499" s="244" t="str">
        <f t="shared" si="70"/>
        <v>Total Knee ReplacementSub-ICB of GP PracticeNHS MID AND SOUTH ESSEX ICB - 99E (99E)EQ VAS</v>
      </c>
      <c r="C4499" t="s">
        <v>975</v>
      </c>
      <c r="D4499" t="s">
        <v>1021</v>
      </c>
      <c r="E4499" t="s">
        <v>875</v>
      </c>
      <c r="F4499" t="s">
        <v>876</v>
      </c>
      <c r="G4499" t="s">
        <v>752</v>
      </c>
      <c r="H4499">
        <v>51</v>
      </c>
      <c r="I4499">
        <v>61.784300000000002</v>
      </c>
      <c r="J4499">
        <v>67.549000000000007</v>
      </c>
      <c r="K4499">
        <v>5.76471</v>
      </c>
      <c r="L4499">
        <v>31</v>
      </c>
      <c r="M4499">
        <v>3</v>
      </c>
      <c r="N4499">
        <v>17</v>
      </c>
      <c r="O4499">
        <v>69.602400000000003</v>
      </c>
      <c r="P4499">
        <v>4.29671</v>
      </c>
      <c r="Q4499">
        <v>19.0685</v>
      </c>
    </row>
    <row r="4500" spans="1:17" x14ac:dyDescent="0.25">
      <c r="A4500" t="str">
        <f>IF(C4500&amp;G4500&amp;D4500&lt;&gt;'Funnel setup'!$K$3&amp;'Funnel setup'!$K$4&amp;'Funnel setup'!$K$6,".",IF(A4499=".",1,A4499+1))</f>
        <v>.</v>
      </c>
      <c r="B4500" s="244" t="str">
        <f t="shared" si="70"/>
        <v>Total Knee ReplacementSub-ICB of GP PracticeNHS MID AND SOUTH ESSEX ICB - 99F (99F)EQ VAS</v>
      </c>
      <c r="C4500" t="s">
        <v>975</v>
      </c>
      <c r="D4500" t="s">
        <v>1021</v>
      </c>
      <c r="E4500" t="s">
        <v>877</v>
      </c>
      <c r="F4500" t="s">
        <v>878</v>
      </c>
      <c r="G4500" t="s">
        <v>752</v>
      </c>
      <c r="H4500">
        <v>33</v>
      </c>
      <c r="I4500">
        <v>61.333300000000001</v>
      </c>
      <c r="J4500">
        <v>69.484800000000007</v>
      </c>
      <c r="K4500">
        <v>8.1515199999999997</v>
      </c>
      <c r="L4500">
        <v>21</v>
      </c>
      <c r="M4500">
        <v>3</v>
      </c>
      <c r="N4500">
        <v>9</v>
      </c>
      <c r="O4500">
        <v>71.235500000000002</v>
      </c>
      <c r="P4500">
        <v>5.9298099999999998</v>
      </c>
      <c r="Q4500">
        <v>17.782499999999999</v>
      </c>
    </row>
    <row r="4501" spans="1:17" x14ac:dyDescent="0.25">
      <c r="A4501" t="str">
        <f>IF(C4501&amp;G4501&amp;D4501&lt;&gt;'Funnel setup'!$K$3&amp;'Funnel setup'!$K$4&amp;'Funnel setup'!$K$6,".",IF(A4500=".",1,A4500+1))</f>
        <v>.</v>
      </c>
      <c r="B4501" s="244" t="str">
        <f t="shared" si="70"/>
        <v>Total Knee ReplacementSub-ICB of GP PracticeNHS MID AND SOUTH ESSEX ICB - 99G (99G)EQ VAS</v>
      </c>
      <c r="C4501" t="s">
        <v>975</v>
      </c>
      <c r="D4501" t="s">
        <v>1021</v>
      </c>
      <c r="E4501" t="s">
        <v>879</v>
      </c>
      <c r="F4501" t="s">
        <v>880</v>
      </c>
      <c r="G4501" t="s">
        <v>752</v>
      </c>
      <c r="H4501">
        <v>12</v>
      </c>
      <c r="I4501">
        <v>71.25</v>
      </c>
      <c r="J4501">
        <v>69.916700000000006</v>
      </c>
      <c r="K4501">
        <v>-1.3333299999999999</v>
      </c>
      <c r="L4501">
        <v>6</v>
      </c>
      <c r="M4501">
        <v>1</v>
      </c>
      <c r="N4501">
        <v>5</v>
      </c>
      <c r="O4501" t="s">
        <v>127</v>
      </c>
      <c r="P4501" t="s">
        <v>127</v>
      </c>
      <c r="Q4501" t="s">
        <v>127</v>
      </c>
    </row>
    <row r="4502" spans="1:17" x14ac:dyDescent="0.25">
      <c r="A4502" t="str">
        <f>IF(C4502&amp;G4502&amp;D4502&lt;&gt;'Funnel setup'!$K$3&amp;'Funnel setup'!$K$4&amp;'Funnel setup'!$K$6,".",IF(A4501=".",1,A4501+1))</f>
        <v>.</v>
      </c>
      <c r="B4502" s="244" t="str">
        <f t="shared" si="70"/>
        <v>Total Knee ReplacementSub-ICB of GP PracticeNHS NORFOLK AND WAVENEY ICB - 26A (26A)EQ VAS</v>
      </c>
      <c r="C4502" t="s">
        <v>975</v>
      </c>
      <c r="D4502" t="s">
        <v>1021</v>
      </c>
      <c r="E4502" t="s">
        <v>881</v>
      </c>
      <c r="F4502" t="s">
        <v>882</v>
      </c>
      <c r="G4502" t="s">
        <v>752</v>
      </c>
      <c r="H4502">
        <v>308</v>
      </c>
      <c r="I4502">
        <v>60.720799999999997</v>
      </c>
      <c r="J4502">
        <v>70.6721</v>
      </c>
      <c r="K4502">
        <v>9.9512999999999998</v>
      </c>
      <c r="L4502">
        <v>190</v>
      </c>
      <c r="M4502">
        <v>36</v>
      </c>
      <c r="N4502">
        <v>82</v>
      </c>
      <c r="O4502">
        <v>73.242000000000004</v>
      </c>
      <c r="P4502">
        <v>7.9363000000000001</v>
      </c>
      <c r="Q4502">
        <v>16.975200000000001</v>
      </c>
    </row>
    <row r="4503" spans="1:17" x14ac:dyDescent="0.25">
      <c r="A4503" t="str">
        <f>IF(C4503&amp;G4503&amp;D4503&lt;&gt;'Funnel setup'!$K$3&amp;'Funnel setup'!$K$4&amp;'Funnel setup'!$K$6,".",IF(A4502=".",1,A4502+1))</f>
        <v>.</v>
      </c>
      <c r="B4503" s="244" t="str">
        <f t="shared" si="70"/>
        <v>Total Knee ReplacementSub-ICB of GP PracticeNHS NORTH CENTRAL LONDON ICB - 93C (93C)EQ VAS</v>
      </c>
      <c r="C4503" t="s">
        <v>975</v>
      </c>
      <c r="D4503" t="s">
        <v>1021</v>
      </c>
      <c r="E4503" t="s">
        <v>883</v>
      </c>
      <c r="F4503" t="s">
        <v>884</v>
      </c>
      <c r="G4503" t="s">
        <v>752</v>
      </c>
      <c r="H4503">
        <v>148</v>
      </c>
      <c r="I4503">
        <v>65.385099999999994</v>
      </c>
      <c r="J4503">
        <v>72.702699999999993</v>
      </c>
      <c r="K4503">
        <v>7.3175699999999999</v>
      </c>
      <c r="L4503">
        <v>84</v>
      </c>
      <c r="M4503">
        <v>20</v>
      </c>
      <c r="N4503">
        <v>44</v>
      </c>
      <c r="O4503">
        <v>73.9649</v>
      </c>
      <c r="P4503">
        <v>8.6591900000000006</v>
      </c>
      <c r="Q4503">
        <v>16.3765</v>
      </c>
    </row>
    <row r="4504" spans="1:17" x14ac:dyDescent="0.25">
      <c r="A4504" t="str">
        <f>IF(C4504&amp;G4504&amp;D4504&lt;&gt;'Funnel setup'!$K$3&amp;'Funnel setup'!$K$4&amp;'Funnel setup'!$K$6,".",IF(A4503=".",1,A4503+1))</f>
        <v>.</v>
      </c>
      <c r="B4504" s="244" t="str">
        <f t="shared" si="70"/>
        <v>Total Knee ReplacementSub-ICB of GP PracticeNHS NORTH EAST AND NORTH CUMBRIA ICB - 00L (00L)EQ VAS</v>
      </c>
      <c r="C4504" t="s">
        <v>975</v>
      </c>
      <c r="D4504" t="s">
        <v>1021</v>
      </c>
      <c r="E4504" t="s">
        <v>885</v>
      </c>
      <c r="F4504" t="s">
        <v>886</v>
      </c>
      <c r="G4504" t="s">
        <v>752</v>
      </c>
      <c r="H4504">
        <v>198</v>
      </c>
      <c r="I4504">
        <v>62.459600000000002</v>
      </c>
      <c r="J4504">
        <v>72.358599999999996</v>
      </c>
      <c r="K4504">
        <v>9.8989899999999995</v>
      </c>
      <c r="L4504">
        <v>128</v>
      </c>
      <c r="M4504">
        <v>19</v>
      </c>
      <c r="N4504">
        <v>51</v>
      </c>
      <c r="O4504">
        <v>73.645899999999997</v>
      </c>
      <c r="P4504">
        <v>8.3401300000000003</v>
      </c>
      <c r="Q4504">
        <v>16.7209</v>
      </c>
    </row>
    <row r="4505" spans="1:17" x14ac:dyDescent="0.25">
      <c r="A4505" t="str">
        <f>IF(C4505&amp;G4505&amp;D4505&lt;&gt;'Funnel setup'!$K$3&amp;'Funnel setup'!$K$4&amp;'Funnel setup'!$K$6,".",IF(A4504=".",1,A4504+1))</f>
        <v>.</v>
      </c>
      <c r="B4505" s="244" t="str">
        <f t="shared" si="70"/>
        <v>Total Knee ReplacementSub-ICB of GP PracticeNHS NORTH EAST AND NORTH CUMBRIA ICB - 00N (00N)EQ VAS</v>
      </c>
      <c r="C4505" t="s">
        <v>975</v>
      </c>
      <c r="D4505" t="s">
        <v>1021</v>
      </c>
      <c r="E4505" t="s">
        <v>887</v>
      </c>
      <c r="F4505" t="s">
        <v>888</v>
      </c>
      <c r="G4505" t="s">
        <v>752</v>
      </c>
      <c r="H4505">
        <v>9</v>
      </c>
      <c r="I4505">
        <v>73.444400000000002</v>
      </c>
      <c r="J4505">
        <v>86.777799999999999</v>
      </c>
      <c r="K4505">
        <v>13.333299999999999</v>
      </c>
      <c r="L4505">
        <v>5</v>
      </c>
      <c r="M4505">
        <v>0</v>
      </c>
      <c r="N4505">
        <v>4</v>
      </c>
      <c r="O4505" t="s">
        <v>127</v>
      </c>
      <c r="P4505" t="s">
        <v>127</v>
      </c>
      <c r="Q4505" t="s">
        <v>127</v>
      </c>
    </row>
    <row r="4506" spans="1:17" x14ac:dyDescent="0.25">
      <c r="A4506" t="str">
        <f>IF(C4506&amp;G4506&amp;D4506&lt;&gt;'Funnel setup'!$K$3&amp;'Funnel setup'!$K$4&amp;'Funnel setup'!$K$6,".",IF(A4505=".",1,A4505+1))</f>
        <v>.</v>
      </c>
      <c r="B4506" s="244" t="str">
        <f t="shared" si="70"/>
        <v>Total Knee ReplacementSub-ICB of GP PracticeNHS NORTH EAST AND NORTH CUMBRIA ICB - 00P (00P)EQ VAS</v>
      </c>
      <c r="C4506" t="s">
        <v>975</v>
      </c>
      <c r="D4506" t="s">
        <v>1021</v>
      </c>
      <c r="E4506" t="s">
        <v>889</v>
      </c>
      <c r="F4506" t="s">
        <v>890</v>
      </c>
      <c r="G4506" t="s">
        <v>752</v>
      </c>
      <c r="H4506">
        <v>26</v>
      </c>
      <c r="I4506">
        <v>65.153800000000004</v>
      </c>
      <c r="J4506">
        <v>71.769199999999998</v>
      </c>
      <c r="K4506">
        <v>6.61538</v>
      </c>
      <c r="L4506">
        <v>17</v>
      </c>
      <c r="M4506">
        <v>2</v>
      </c>
      <c r="N4506">
        <v>7</v>
      </c>
      <c r="O4506" t="s">
        <v>127</v>
      </c>
      <c r="P4506" t="s">
        <v>127</v>
      </c>
      <c r="Q4506" t="s">
        <v>127</v>
      </c>
    </row>
    <row r="4507" spans="1:17" x14ac:dyDescent="0.25">
      <c r="A4507" t="str">
        <f>IF(C4507&amp;G4507&amp;D4507&lt;&gt;'Funnel setup'!$K$3&amp;'Funnel setup'!$K$4&amp;'Funnel setup'!$K$6,".",IF(A4506=".",1,A4506+1))</f>
        <v>.</v>
      </c>
      <c r="B4507" s="244" t="str">
        <f t="shared" si="70"/>
        <v>Total Knee ReplacementSub-ICB of GP PracticeNHS NORTH EAST AND NORTH CUMBRIA ICB - 01H (01H)EQ VAS</v>
      </c>
      <c r="C4507" t="s">
        <v>975</v>
      </c>
      <c r="D4507" t="s">
        <v>1021</v>
      </c>
      <c r="E4507" t="s">
        <v>891</v>
      </c>
      <c r="F4507" t="s">
        <v>892</v>
      </c>
      <c r="G4507" t="s">
        <v>752</v>
      </c>
      <c r="H4507">
        <v>201</v>
      </c>
      <c r="I4507">
        <v>67.383099999999999</v>
      </c>
      <c r="J4507">
        <v>75.865700000000004</v>
      </c>
      <c r="K4507">
        <v>8.4825900000000001</v>
      </c>
      <c r="L4507">
        <v>122</v>
      </c>
      <c r="M4507">
        <v>23</v>
      </c>
      <c r="N4507">
        <v>56</v>
      </c>
      <c r="O4507">
        <v>74.677700000000002</v>
      </c>
      <c r="P4507">
        <v>9.3720300000000005</v>
      </c>
      <c r="Q4507">
        <v>17.039200000000001</v>
      </c>
    </row>
    <row r="4508" spans="1:17" x14ac:dyDescent="0.25">
      <c r="A4508" t="str">
        <f>IF(C4508&amp;G4508&amp;D4508&lt;&gt;'Funnel setup'!$K$3&amp;'Funnel setup'!$K$4&amp;'Funnel setup'!$K$6,".",IF(A4507=".",1,A4507+1))</f>
        <v>.</v>
      </c>
      <c r="B4508" s="244" t="str">
        <f t="shared" si="70"/>
        <v>Total Knee ReplacementSub-ICB of GP PracticeNHS NORTH EAST AND NORTH CUMBRIA ICB - 13T (13T)EQ VAS</v>
      </c>
      <c r="C4508" t="s">
        <v>975</v>
      </c>
      <c r="D4508" t="s">
        <v>1021</v>
      </c>
      <c r="E4508" t="s">
        <v>893</v>
      </c>
      <c r="F4508" t="s">
        <v>894</v>
      </c>
      <c r="G4508" t="s">
        <v>752</v>
      </c>
      <c r="H4508">
        <v>65</v>
      </c>
      <c r="I4508">
        <v>61.230800000000002</v>
      </c>
      <c r="J4508">
        <v>73.0154</v>
      </c>
      <c r="K4508">
        <v>11.784599999999999</v>
      </c>
      <c r="L4508">
        <v>48</v>
      </c>
      <c r="M4508">
        <v>5</v>
      </c>
      <c r="N4508">
        <v>12</v>
      </c>
      <c r="O4508">
        <v>75.648899999999998</v>
      </c>
      <c r="P4508">
        <v>10.3432</v>
      </c>
      <c r="Q4508">
        <v>15.4801</v>
      </c>
    </row>
    <row r="4509" spans="1:17" x14ac:dyDescent="0.25">
      <c r="A4509" t="str">
        <f>IF(C4509&amp;G4509&amp;D4509&lt;&gt;'Funnel setup'!$K$3&amp;'Funnel setup'!$K$4&amp;'Funnel setup'!$K$6,".",IF(A4508=".",1,A4508+1))</f>
        <v>.</v>
      </c>
      <c r="B4509" s="244" t="str">
        <f t="shared" si="70"/>
        <v>Total Knee ReplacementSub-ICB of GP PracticeNHS NORTH EAST AND NORTH CUMBRIA ICB - 16C (16C)EQ VAS</v>
      </c>
      <c r="C4509" t="s">
        <v>975</v>
      </c>
      <c r="D4509" t="s">
        <v>1021</v>
      </c>
      <c r="E4509" t="s">
        <v>895</v>
      </c>
      <c r="F4509" t="s">
        <v>896</v>
      </c>
      <c r="G4509" t="s">
        <v>752</v>
      </c>
      <c r="H4509">
        <v>380</v>
      </c>
      <c r="I4509">
        <v>69.021100000000004</v>
      </c>
      <c r="J4509">
        <v>72.931600000000003</v>
      </c>
      <c r="K4509">
        <v>3.9105300000000001</v>
      </c>
      <c r="L4509">
        <v>209</v>
      </c>
      <c r="M4509">
        <v>47</v>
      </c>
      <c r="N4509">
        <v>124</v>
      </c>
      <c r="O4509">
        <v>72.927899999999994</v>
      </c>
      <c r="P4509">
        <v>7.6221800000000002</v>
      </c>
      <c r="Q4509">
        <v>17.965599999999998</v>
      </c>
    </row>
    <row r="4510" spans="1:17" x14ac:dyDescent="0.25">
      <c r="A4510" t="str">
        <f>IF(C4510&amp;G4510&amp;D4510&lt;&gt;'Funnel setup'!$K$3&amp;'Funnel setup'!$K$4&amp;'Funnel setup'!$K$6,".",IF(A4509=".",1,A4509+1))</f>
        <v>.</v>
      </c>
      <c r="B4510" s="244" t="str">
        <f t="shared" si="70"/>
        <v>Total Knee ReplacementSub-ICB of GP PracticeNHS NORTH EAST AND NORTH CUMBRIA ICB - 84H (84H)EQ VAS</v>
      </c>
      <c r="C4510" t="s">
        <v>975</v>
      </c>
      <c r="D4510" t="s">
        <v>1021</v>
      </c>
      <c r="E4510" t="s">
        <v>897</v>
      </c>
      <c r="F4510" t="s">
        <v>898</v>
      </c>
      <c r="G4510" t="s">
        <v>752</v>
      </c>
      <c r="H4510">
        <v>276</v>
      </c>
      <c r="I4510">
        <v>67.514499999999998</v>
      </c>
      <c r="J4510">
        <v>74.188400000000001</v>
      </c>
      <c r="K4510">
        <v>6.6739100000000002</v>
      </c>
      <c r="L4510">
        <v>166</v>
      </c>
      <c r="M4510">
        <v>25</v>
      </c>
      <c r="N4510">
        <v>85</v>
      </c>
      <c r="O4510">
        <v>73.820800000000006</v>
      </c>
      <c r="P4510">
        <v>8.5151000000000003</v>
      </c>
      <c r="Q4510">
        <v>14.7057</v>
      </c>
    </row>
    <row r="4511" spans="1:17" x14ac:dyDescent="0.25">
      <c r="A4511" t="str">
        <f>IF(C4511&amp;G4511&amp;D4511&lt;&gt;'Funnel setup'!$K$3&amp;'Funnel setup'!$K$4&amp;'Funnel setup'!$K$6,".",IF(A4510=".",1,A4510+1))</f>
        <v>.</v>
      </c>
      <c r="B4511" s="244" t="str">
        <f t="shared" si="70"/>
        <v>Total Knee ReplacementSub-ICB of GP PracticeNHS NORTH EAST AND NORTH CUMBRIA ICB - 99C (99C)EQ VAS</v>
      </c>
      <c r="C4511" t="s">
        <v>975</v>
      </c>
      <c r="D4511" t="s">
        <v>1021</v>
      </c>
      <c r="E4511" t="s">
        <v>899</v>
      </c>
      <c r="F4511" t="s">
        <v>900</v>
      </c>
      <c r="G4511" t="s">
        <v>752</v>
      </c>
      <c r="H4511">
        <v>101</v>
      </c>
      <c r="I4511">
        <v>62.603999999999999</v>
      </c>
      <c r="J4511">
        <v>75.455399999999997</v>
      </c>
      <c r="K4511">
        <v>12.8515</v>
      </c>
      <c r="L4511">
        <v>70</v>
      </c>
      <c r="M4511">
        <v>10</v>
      </c>
      <c r="N4511">
        <v>21</v>
      </c>
      <c r="O4511">
        <v>76.597200000000001</v>
      </c>
      <c r="P4511">
        <v>11.291499999999999</v>
      </c>
      <c r="Q4511">
        <v>14.356</v>
      </c>
    </row>
    <row r="4512" spans="1:17" x14ac:dyDescent="0.25">
      <c r="A4512" t="str">
        <f>IF(C4512&amp;G4512&amp;D4512&lt;&gt;'Funnel setup'!$K$3&amp;'Funnel setup'!$K$4&amp;'Funnel setup'!$K$6,".",IF(A4511=".",1,A4511+1))</f>
        <v>.</v>
      </c>
      <c r="B4512" s="244" t="str">
        <f t="shared" si="70"/>
        <v>Total Knee ReplacementSub-ICB of GP PracticeNHS NORTH EAST LONDON ICB - A3A8R (A3A8R)EQ VAS</v>
      </c>
      <c r="C4512" t="s">
        <v>975</v>
      </c>
      <c r="D4512" t="s">
        <v>1021</v>
      </c>
      <c r="E4512" t="s">
        <v>901</v>
      </c>
      <c r="F4512" t="s">
        <v>902</v>
      </c>
      <c r="G4512" t="s">
        <v>752</v>
      </c>
      <c r="H4512">
        <v>218</v>
      </c>
      <c r="I4512">
        <v>61.692700000000002</v>
      </c>
      <c r="J4512">
        <v>69.463300000000004</v>
      </c>
      <c r="K4512">
        <v>7.7706400000000002</v>
      </c>
      <c r="L4512">
        <v>133</v>
      </c>
      <c r="M4512">
        <v>20</v>
      </c>
      <c r="N4512">
        <v>65</v>
      </c>
      <c r="O4512">
        <v>73.1357</v>
      </c>
      <c r="P4512">
        <v>7.8299599999999998</v>
      </c>
      <c r="Q4512">
        <v>17.1157</v>
      </c>
    </row>
    <row r="4513" spans="1:17" x14ac:dyDescent="0.25">
      <c r="A4513" t="str">
        <f>IF(C4513&amp;G4513&amp;D4513&lt;&gt;'Funnel setup'!$K$3&amp;'Funnel setup'!$K$4&amp;'Funnel setup'!$K$6,".",IF(A4512=".",1,A4512+1))</f>
        <v>.</v>
      </c>
      <c r="B4513" s="244" t="str">
        <f t="shared" si="70"/>
        <v>Total Knee ReplacementSub-ICB of GP PracticeNHS NORTH WEST LONDON ICB - W2U3Z (W2U3Z)EQ VAS</v>
      </c>
      <c r="C4513" t="s">
        <v>975</v>
      </c>
      <c r="D4513" t="s">
        <v>1021</v>
      </c>
      <c r="E4513" t="s">
        <v>903</v>
      </c>
      <c r="F4513" t="s">
        <v>904</v>
      </c>
      <c r="G4513" t="s">
        <v>752</v>
      </c>
      <c r="H4513">
        <v>201</v>
      </c>
      <c r="I4513">
        <v>63.860700000000001</v>
      </c>
      <c r="J4513">
        <v>70.3035</v>
      </c>
      <c r="K4513">
        <v>6.4427899999999996</v>
      </c>
      <c r="L4513">
        <v>118</v>
      </c>
      <c r="M4513">
        <v>22</v>
      </c>
      <c r="N4513">
        <v>61</v>
      </c>
      <c r="O4513">
        <v>71.869799999999998</v>
      </c>
      <c r="P4513">
        <v>6.5640599999999996</v>
      </c>
      <c r="Q4513">
        <v>18.8826</v>
      </c>
    </row>
    <row r="4514" spans="1:17" x14ac:dyDescent="0.25">
      <c r="A4514" t="str">
        <f>IF(C4514&amp;G4514&amp;D4514&lt;&gt;'Funnel setup'!$K$3&amp;'Funnel setup'!$K$4&amp;'Funnel setup'!$K$6,".",IF(A4513=".",1,A4513+1))</f>
        <v>.</v>
      </c>
      <c r="B4514" s="244" t="str">
        <f t="shared" si="70"/>
        <v>Total Knee ReplacementSub-ICB of GP PracticeNHS NORTHAMPTONSHIRE ICB - 78H (78H)EQ VAS</v>
      </c>
      <c r="C4514" t="s">
        <v>975</v>
      </c>
      <c r="D4514" t="s">
        <v>1021</v>
      </c>
      <c r="E4514" t="s">
        <v>905</v>
      </c>
      <c r="F4514" t="s">
        <v>906</v>
      </c>
      <c r="G4514" t="s">
        <v>752</v>
      </c>
      <c r="H4514">
        <v>225</v>
      </c>
      <c r="I4514">
        <v>60.168900000000001</v>
      </c>
      <c r="J4514">
        <v>72.653300000000002</v>
      </c>
      <c r="K4514">
        <v>12.484400000000001</v>
      </c>
      <c r="L4514">
        <v>145</v>
      </c>
      <c r="M4514">
        <v>19</v>
      </c>
      <c r="N4514">
        <v>61</v>
      </c>
      <c r="O4514">
        <v>73.419700000000006</v>
      </c>
      <c r="P4514">
        <v>8.1140299999999996</v>
      </c>
      <c r="Q4514">
        <v>18.024799999999999</v>
      </c>
    </row>
    <row r="4515" spans="1:17" x14ac:dyDescent="0.25">
      <c r="A4515" t="str">
        <f>IF(C4515&amp;G4515&amp;D4515&lt;&gt;'Funnel setup'!$K$3&amp;'Funnel setup'!$K$4&amp;'Funnel setup'!$K$6,".",IF(A4514=".",1,A4514+1))</f>
        <v>.</v>
      </c>
      <c r="B4515" s="244" t="str">
        <f t="shared" si="70"/>
        <v>Total Knee ReplacementSub-ICB of GP PracticeNHS NOTTINGHAM AND NOTTINGHAMSHIRE ICB - 02Q (02Q)EQ VAS</v>
      </c>
      <c r="C4515" t="s">
        <v>975</v>
      </c>
      <c r="D4515" t="s">
        <v>1021</v>
      </c>
      <c r="E4515" t="s">
        <v>907</v>
      </c>
      <c r="F4515" t="s">
        <v>908</v>
      </c>
      <c r="G4515" t="s">
        <v>752</v>
      </c>
      <c r="H4515">
        <v>45</v>
      </c>
      <c r="I4515">
        <v>63.222200000000001</v>
      </c>
      <c r="J4515">
        <v>72.755600000000001</v>
      </c>
      <c r="K4515">
        <v>9.5333299999999994</v>
      </c>
      <c r="L4515">
        <v>32</v>
      </c>
      <c r="M4515">
        <v>2</v>
      </c>
      <c r="N4515">
        <v>11</v>
      </c>
      <c r="O4515">
        <v>75.559600000000003</v>
      </c>
      <c r="P4515">
        <v>10.2538</v>
      </c>
      <c r="Q4515">
        <v>17.3901</v>
      </c>
    </row>
    <row r="4516" spans="1:17" x14ac:dyDescent="0.25">
      <c r="A4516" t="str">
        <f>IF(C4516&amp;G4516&amp;D4516&lt;&gt;'Funnel setup'!$K$3&amp;'Funnel setup'!$K$4&amp;'Funnel setup'!$K$6,".",IF(A4515=".",1,A4515+1))</f>
        <v>.</v>
      </c>
      <c r="B4516" s="244" t="str">
        <f t="shared" si="70"/>
        <v>Total Knee ReplacementSub-ICB of GP PracticeNHS NOTTINGHAM AND NOTTINGHAMSHIRE ICB - 52R (52R)EQ VAS</v>
      </c>
      <c r="C4516" t="s">
        <v>975</v>
      </c>
      <c r="D4516" t="s">
        <v>1021</v>
      </c>
      <c r="E4516" t="s">
        <v>909</v>
      </c>
      <c r="F4516" t="s">
        <v>910</v>
      </c>
      <c r="G4516" t="s">
        <v>752</v>
      </c>
      <c r="H4516">
        <v>195</v>
      </c>
      <c r="I4516">
        <v>65.769199999999998</v>
      </c>
      <c r="J4516">
        <v>73.7179</v>
      </c>
      <c r="K4516">
        <v>7.9487199999999998</v>
      </c>
      <c r="L4516">
        <v>123</v>
      </c>
      <c r="M4516">
        <v>19</v>
      </c>
      <c r="N4516">
        <v>53</v>
      </c>
      <c r="O4516">
        <v>72.326099999999997</v>
      </c>
      <c r="P4516">
        <v>7.0203899999999999</v>
      </c>
      <c r="Q4516">
        <v>17.980599999999999</v>
      </c>
    </row>
    <row r="4517" spans="1:17" x14ac:dyDescent="0.25">
      <c r="A4517" t="str">
        <f>IF(C4517&amp;G4517&amp;D4517&lt;&gt;'Funnel setup'!$K$3&amp;'Funnel setup'!$K$4&amp;'Funnel setup'!$K$6,".",IF(A4516=".",1,A4516+1))</f>
        <v>.</v>
      </c>
      <c r="B4517" s="244" t="str">
        <f t="shared" si="70"/>
        <v>Total Knee ReplacementSub-ICB of GP PracticeNHS SHROPSHIRE, TELFORD AND WREKIN ICB - M2L0M (M2L0M)EQ VAS</v>
      </c>
      <c r="C4517" t="s">
        <v>975</v>
      </c>
      <c r="D4517" t="s">
        <v>1021</v>
      </c>
      <c r="E4517" t="s">
        <v>911</v>
      </c>
      <c r="F4517" t="s">
        <v>912</v>
      </c>
      <c r="G4517" t="s">
        <v>752</v>
      </c>
      <c r="H4517">
        <v>194</v>
      </c>
      <c r="I4517">
        <v>60.231999999999999</v>
      </c>
      <c r="J4517">
        <v>72.788700000000006</v>
      </c>
      <c r="K4517">
        <v>12.556699999999999</v>
      </c>
      <c r="L4517">
        <v>133</v>
      </c>
      <c r="M4517">
        <v>14</v>
      </c>
      <c r="N4517">
        <v>47</v>
      </c>
      <c r="O4517">
        <v>75.248699999999999</v>
      </c>
      <c r="P4517">
        <v>9.94299</v>
      </c>
      <c r="Q4517">
        <v>15.5787</v>
      </c>
    </row>
    <row r="4518" spans="1:17" x14ac:dyDescent="0.25">
      <c r="A4518" t="str">
        <f>IF(C4518&amp;G4518&amp;D4518&lt;&gt;'Funnel setup'!$K$3&amp;'Funnel setup'!$K$4&amp;'Funnel setup'!$K$6,".",IF(A4517=".",1,A4517+1))</f>
        <v>.</v>
      </c>
      <c r="B4518" s="244" t="str">
        <f t="shared" si="70"/>
        <v>Total Knee ReplacementSub-ICB of GP PracticeNHS SOMERSET ICB - 11X (11X)EQ VAS</v>
      </c>
      <c r="C4518" t="s">
        <v>975</v>
      </c>
      <c r="D4518" t="s">
        <v>1021</v>
      </c>
      <c r="E4518" t="s">
        <v>913</v>
      </c>
      <c r="F4518" t="s">
        <v>914</v>
      </c>
      <c r="G4518" t="s">
        <v>752</v>
      </c>
      <c r="H4518">
        <v>192</v>
      </c>
      <c r="I4518">
        <v>67.416700000000006</v>
      </c>
      <c r="J4518">
        <v>76.0625</v>
      </c>
      <c r="K4518">
        <v>8.6458300000000001</v>
      </c>
      <c r="L4518">
        <v>123</v>
      </c>
      <c r="M4518">
        <v>23</v>
      </c>
      <c r="N4518">
        <v>46</v>
      </c>
      <c r="O4518">
        <v>74.167500000000004</v>
      </c>
      <c r="P4518">
        <v>8.8618000000000006</v>
      </c>
      <c r="Q4518">
        <v>18.0608</v>
      </c>
    </row>
    <row r="4519" spans="1:17" x14ac:dyDescent="0.25">
      <c r="A4519" t="str">
        <f>IF(C4519&amp;G4519&amp;D4519&lt;&gt;'Funnel setup'!$K$3&amp;'Funnel setup'!$K$4&amp;'Funnel setup'!$K$6,".",IF(A4518=".",1,A4518+1))</f>
        <v>.</v>
      </c>
      <c r="B4519" s="244" t="str">
        <f t="shared" si="70"/>
        <v>Total Knee ReplacementSub-ICB of GP PracticeNHS SOUTH EAST LONDON ICB - 72Q (72Q)EQ VAS</v>
      </c>
      <c r="C4519" t="s">
        <v>975</v>
      </c>
      <c r="D4519" t="s">
        <v>1021</v>
      </c>
      <c r="E4519" t="s">
        <v>915</v>
      </c>
      <c r="F4519" t="s">
        <v>916</v>
      </c>
      <c r="G4519" t="s">
        <v>752</v>
      </c>
      <c r="H4519">
        <v>127</v>
      </c>
      <c r="I4519">
        <v>64.992099999999994</v>
      </c>
      <c r="J4519">
        <v>71.897599999999997</v>
      </c>
      <c r="K4519">
        <v>6.9055099999999996</v>
      </c>
      <c r="L4519">
        <v>76</v>
      </c>
      <c r="M4519">
        <v>11</v>
      </c>
      <c r="N4519">
        <v>40</v>
      </c>
      <c r="O4519">
        <v>72.491</v>
      </c>
      <c r="P4519">
        <v>7.1852999999999998</v>
      </c>
      <c r="Q4519">
        <v>14.298</v>
      </c>
    </row>
    <row r="4520" spans="1:17" x14ac:dyDescent="0.25">
      <c r="A4520" t="str">
        <f>IF(C4520&amp;G4520&amp;D4520&lt;&gt;'Funnel setup'!$K$3&amp;'Funnel setup'!$K$4&amp;'Funnel setup'!$K$6,".",IF(A4519=".",1,A4519+1))</f>
        <v>.</v>
      </c>
      <c r="B4520" s="244" t="str">
        <f t="shared" si="70"/>
        <v>Total Knee ReplacementSub-ICB of GP PracticeNHS SOUTH WEST LONDON ICB - 36L (36L)EQ VAS</v>
      </c>
      <c r="C4520" t="s">
        <v>975</v>
      </c>
      <c r="D4520" t="s">
        <v>1021</v>
      </c>
      <c r="E4520" t="s">
        <v>917</v>
      </c>
      <c r="F4520" t="s">
        <v>918</v>
      </c>
      <c r="G4520" t="s">
        <v>752</v>
      </c>
      <c r="H4520">
        <v>485</v>
      </c>
      <c r="I4520">
        <v>63.428899999999999</v>
      </c>
      <c r="J4520">
        <v>73.175299999999993</v>
      </c>
      <c r="K4520">
        <v>9.7463899999999999</v>
      </c>
      <c r="L4520">
        <v>317</v>
      </c>
      <c r="M4520">
        <v>46</v>
      </c>
      <c r="N4520">
        <v>122</v>
      </c>
      <c r="O4520">
        <v>74.300700000000006</v>
      </c>
      <c r="P4520">
        <v>8.99498</v>
      </c>
      <c r="Q4520">
        <v>18.488199999999999</v>
      </c>
    </row>
    <row r="4521" spans="1:17" x14ac:dyDescent="0.25">
      <c r="A4521" t="str">
        <f>IF(C4521&amp;G4521&amp;D4521&lt;&gt;'Funnel setup'!$K$3&amp;'Funnel setup'!$K$4&amp;'Funnel setup'!$K$6,".",IF(A4520=".",1,A4520+1))</f>
        <v>.</v>
      </c>
      <c r="B4521" s="244" t="str">
        <f t="shared" si="70"/>
        <v>Total Knee ReplacementSub-ICB of GP PracticeNHS SOUTH YORKSHIRE ICB - 02P (02P)EQ VAS</v>
      </c>
      <c r="C4521" t="s">
        <v>975</v>
      </c>
      <c r="D4521" t="s">
        <v>1021</v>
      </c>
      <c r="E4521" t="s">
        <v>919</v>
      </c>
      <c r="F4521" t="s">
        <v>920</v>
      </c>
      <c r="G4521" t="s">
        <v>752</v>
      </c>
      <c r="H4521">
        <v>50</v>
      </c>
      <c r="I4521">
        <v>66.14</v>
      </c>
      <c r="J4521">
        <v>74.400000000000006</v>
      </c>
      <c r="K4521">
        <v>8.26</v>
      </c>
      <c r="L4521">
        <v>32</v>
      </c>
      <c r="M4521">
        <v>4</v>
      </c>
      <c r="N4521">
        <v>14</v>
      </c>
      <c r="O4521">
        <v>75.168400000000005</v>
      </c>
      <c r="P4521">
        <v>9.8626799999999992</v>
      </c>
      <c r="Q4521">
        <v>17.022099999999998</v>
      </c>
    </row>
    <row r="4522" spans="1:17" x14ac:dyDescent="0.25">
      <c r="A4522" t="str">
        <f>IF(C4522&amp;G4522&amp;D4522&lt;&gt;'Funnel setup'!$K$3&amp;'Funnel setup'!$K$4&amp;'Funnel setup'!$K$6,".",IF(A4521=".",1,A4521+1))</f>
        <v>.</v>
      </c>
      <c r="B4522" s="244" t="str">
        <f t="shared" si="70"/>
        <v>Total Knee ReplacementSub-ICB of GP PracticeNHS SOUTH YORKSHIRE ICB - 02X (02X)EQ VAS</v>
      </c>
      <c r="C4522" t="s">
        <v>975</v>
      </c>
      <c r="D4522" t="s">
        <v>1021</v>
      </c>
      <c r="E4522" t="s">
        <v>921</v>
      </c>
      <c r="F4522" t="s">
        <v>922</v>
      </c>
      <c r="G4522" t="s">
        <v>752</v>
      </c>
      <c r="H4522">
        <v>110</v>
      </c>
      <c r="I4522">
        <v>63.427300000000002</v>
      </c>
      <c r="J4522">
        <v>67.163600000000002</v>
      </c>
      <c r="K4522">
        <v>3.7363599999999999</v>
      </c>
      <c r="L4522">
        <v>59</v>
      </c>
      <c r="M4522">
        <v>11</v>
      </c>
      <c r="N4522">
        <v>40</v>
      </c>
      <c r="O4522">
        <v>68.443600000000004</v>
      </c>
      <c r="P4522">
        <v>3.1378499999999998</v>
      </c>
      <c r="Q4522">
        <v>18.5242</v>
      </c>
    </row>
    <row r="4523" spans="1:17" x14ac:dyDescent="0.25">
      <c r="A4523" t="str">
        <f>IF(C4523&amp;G4523&amp;D4523&lt;&gt;'Funnel setup'!$K$3&amp;'Funnel setup'!$K$4&amp;'Funnel setup'!$K$6,".",IF(A4522=".",1,A4522+1))</f>
        <v>.</v>
      </c>
      <c r="B4523" s="244" t="str">
        <f t="shared" si="70"/>
        <v>Total Knee ReplacementSub-ICB of GP PracticeNHS SOUTH YORKSHIRE ICB - 03L (03L)EQ VAS</v>
      </c>
      <c r="C4523" t="s">
        <v>975</v>
      </c>
      <c r="D4523" t="s">
        <v>1021</v>
      </c>
      <c r="E4523" t="s">
        <v>923</v>
      </c>
      <c r="F4523" t="s">
        <v>924</v>
      </c>
      <c r="G4523" t="s">
        <v>752</v>
      </c>
      <c r="H4523">
        <v>34</v>
      </c>
      <c r="I4523">
        <v>64.529399999999995</v>
      </c>
      <c r="J4523">
        <v>73.352900000000005</v>
      </c>
      <c r="K4523">
        <v>8.8235299999999999</v>
      </c>
      <c r="L4523">
        <v>23</v>
      </c>
      <c r="M4523">
        <v>3</v>
      </c>
      <c r="N4523">
        <v>8</v>
      </c>
      <c r="O4523">
        <v>73.854900000000001</v>
      </c>
      <c r="P4523">
        <v>8.54922</v>
      </c>
      <c r="Q4523">
        <v>15.9008</v>
      </c>
    </row>
    <row r="4524" spans="1:17" x14ac:dyDescent="0.25">
      <c r="A4524" t="str">
        <f>IF(C4524&amp;G4524&amp;D4524&lt;&gt;'Funnel setup'!$K$3&amp;'Funnel setup'!$K$4&amp;'Funnel setup'!$K$6,".",IF(A4523=".",1,A4523+1))</f>
        <v>.</v>
      </c>
      <c r="B4524" s="244" t="str">
        <f t="shared" si="70"/>
        <v>Total Knee ReplacementSub-ICB of GP PracticeNHS SOUTH YORKSHIRE ICB - 03N (03N)EQ VAS</v>
      </c>
      <c r="C4524" t="s">
        <v>975</v>
      </c>
      <c r="D4524" t="s">
        <v>1021</v>
      </c>
      <c r="E4524" t="s">
        <v>925</v>
      </c>
      <c r="F4524" t="s">
        <v>926</v>
      </c>
      <c r="G4524" t="s">
        <v>752</v>
      </c>
      <c r="H4524">
        <v>37</v>
      </c>
      <c r="I4524">
        <v>62.945900000000002</v>
      </c>
      <c r="J4524">
        <v>73.108099999999993</v>
      </c>
      <c r="K4524">
        <v>10.1622</v>
      </c>
      <c r="L4524">
        <v>25</v>
      </c>
      <c r="M4524">
        <v>4</v>
      </c>
      <c r="N4524">
        <v>8</v>
      </c>
      <c r="O4524">
        <v>72.092699999999994</v>
      </c>
      <c r="P4524">
        <v>6.7869599999999997</v>
      </c>
      <c r="Q4524">
        <v>18.347999999999999</v>
      </c>
    </row>
    <row r="4525" spans="1:17" x14ac:dyDescent="0.25">
      <c r="A4525" t="str">
        <f>IF(C4525&amp;G4525&amp;D4525&lt;&gt;'Funnel setup'!$K$3&amp;'Funnel setup'!$K$4&amp;'Funnel setup'!$K$6,".",IF(A4524=".",1,A4524+1))</f>
        <v>.</v>
      </c>
      <c r="B4525" s="244" t="str">
        <f t="shared" si="70"/>
        <v>Total Knee ReplacementSub-ICB of GP PracticeNHS STAFFORDSHIRE AND STOKE-ON-TRENT ICB - 04Y (04Y)EQ VAS</v>
      </c>
      <c r="C4525" t="s">
        <v>975</v>
      </c>
      <c r="D4525" t="s">
        <v>1021</v>
      </c>
      <c r="E4525" t="s">
        <v>927</v>
      </c>
      <c r="F4525" t="s">
        <v>928</v>
      </c>
      <c r="G4525" t="s">
        <v>752</v>
      </c>
      <c r="H4525">
        <v>22</v>
      </c>
      <c r="I4525">
        <v>70.318200000000004</v>
      </c>
      <c r="J4525">
        <v>84.590900000000005</v>
      </c>
      <c r="K4525">
        <v>14.2727</v>
      </c>
      <c r="L4525">
        <v>19</v>
      </c>
      <c r="M4525">
        <v>0</v>
      </c>
      <c r="N4525">
        <v>3</v>
      </c>
      <c r="O4525" t="s">
        <v>127</v>
      </c>
      <c r="P4525" t="s">
        <v>127</v>
      </c>
      <c r="Q4525" t="s">
        <v>127</v>
      </c>
    </row>
    <row r="4526" spans="1:17" x14ac:dyDescent="0.25">
      <c r="A4526" t="str">
        <f>IF(C4526&amp;G4526&amp;D4526&lt;&gt;'Funnel setup'!$K$3&amp;'Funnel setup'!$K$4&amp;'Funnel setup'!$K$6,".",IF(A4525=".",1,A4525+1))</f>
        <v>.</v>
      </c>
      <c r="B4526" s="244" t="str">
        <f t="shared" si="70"/>
        <v>Total Knee ReplacementSub-ICB of GP PracticeNHS STAFFORDSHIRE AND STOKE-ON-TRENT ICB - 05D (05D)EQ VAS</v>
      </c>
      <c r="C4526" t="s">
        <v>975</v>
      </c>
      <c r="D4526" t="s">
        <v>1021</v>
      </c>
      <c r="E4526" t="s">
        <v>929</v>
      </c>
      <c r="F4526" t="s">
        <v>930</v>
      </c>
      <c r="G4526" t="s">
        <v>752</v>
      </c>
      <c r="H4526">
        <v>65</v>
      </c>
      <c r="I4526">
        <v>62.307699999999997</v>
      </c>
      <c r="J4526">
        <v>71.523099999999999</v>
      </c>
      <c r="K4526">
        <v>9.2153799999999997</v>
      </c>
      <c r="L4526">
        <v>39</v>
      </c>
      <c r="M4526">
        <v>9</v>
      </c>
      <c r="N4526">
        <v>17</v>
      </c>
      <c r="O4526">
        <v>72.600399999999993</v>
      </c>
      <c r="P4526">
        <v>7.2946299999999997</v>
      </c>
      <c r="Q4526">
        <v>17.283100000000001</v>
      </c>
    </row>
    <row r="4527" spans="1:17" x14ac:dyDescent="0.25">
      <c r="A4527" t="str">
        <f>IF(C4527&amp;G4527&amp;D4527&lt;&gt;'Funnel setup'!$K$3&amp;'Funnel setup'!$K$4&amp;'Funnel setup'!$K$6,".",IF(A4526=".",1,A4526+1))</f>
        <v>.</v>
      </c>
      <c r="B4527" s="244" t="str">
        <f t="shared" si="70"/>
        <v>Total Knee ReplacementSub-ICB of GP PracticeNHS STAFFORDSHIRE AND STOKE-ON-TRENT ICB - 05G (05G)EQ VAS</v>
      </c>
      <c r="C4527" t="s">
        <v>975</v>
      </c>
      <c r="D4527" t="s">
        <v>1021</v>
      </c>
      <c r="E4527" t="s">
        <v>931</v>
      </c>
      <c r="F4527" t="s">
        <v>932</v>
      </c>
      <c r="G4527" t="s">
        <v>752</v>
      </c>
      <c r="H4527">
        <v>45</v>
      </c>
      <c r="I4527">
        <v>60.688899999999997</v>
      </c>
      <c r="J4527">
        <v>69.688900000000004</v>
      </c>
      <c r="K4527">
        <v>9</v>
      </c>
      <c r="L4527">
        <v>28</v>
      </c>
      <c r="M4527">
        <v>4</v>
      </c>
      <c r="N4527">
        <v>13</v>
      </c>
      <c r="O4527">
        <v>71.517799999999994</v>
      </c>
      <c r="P4527">
        <v>6.2120899999999999</v>
      </c>
      <c r="Q4527">
        <v>15.681100000000001</v>
      </c>
    </row>
    <row r="4528" spans="1:17" x14ac:dyDescent="0.25">
      <c r="A4528" t="str">
        <f>IF(C4528&amp;G4528&amp;D4528&lt;&gt;'Funnel setup'!$K$3&amp;'Funnel setup'!$K$4&amp;'Funnel setup'!$K$6,".",IF(A4527=".",1,A4527+1))</f>
        <v>.</v>
      </c>
      <c r="B4528" s="244" t="str">
        <f t="shared" si="70"/>
        <v>Total Knee ReplacementSub-ICB of GP PracticeNHS STAFFORDSHIRE AND STOKE-ON-TRENT ICB - 05Q (05Q)EQ VAS</v>
      </c>
      <c r="C4528" t="s">
        <v>975</v>
      </c>
      <c r="D4528" t="s">
        <v>1021</v>
      </c>
      <c r="E4528" t="s">
        <v>933</v>
      </c>
      <c r="F4528" t="s">
        <v>934</v>
      </c>
      <c r="G4528" t="s">
        <v>752</v>
      </c>
      <c r="H4528">
        <v>84</v>
      </c>
      <c r="I4528">
        <v>64.357100000000003</v>
      </c>
      <c r="J4528">
        <v>73.702399999999997</v>
      </c>
      <c r="K4528">
        <v>9.3452400000000004</v>
      </c>
      <c r="L4528">
        <v>51</v>
      </c>
      <c r="M4528">
        <v>11</v>
      </c>
      <c r="N4528">
        <v>22</v>
      </c>
      <c r="O4528">
        <v>73.694599999999994</v>
      </c>
      <c r="P4528">
        <v>8.3888700000000007</v>
      </c>
      <c r="Q4528">
        <v>18.3155</v>
      </c>
    </row>
    <row r="4529" spans="1:17" x14ac:dyDescent="0.25">
      <c r="A4529" t="str">
        <f>IF(C4529&amp;G4529&amp;D4529&lt;&gt;'Funnel setup'!$K$3&amp;'Funnel setup'!$K$4&amp;'Funnel setup'!$K$6,".",IF(A4528=".",1,A4528+1))</f>
        <v>.</v>
      </c>
      <c r="B4529" s="244" t="str">
        <f t="shared" si="70"/>
        <v>Total Knee ReplacementSub-ICB of GP PracticeNHS STAFFORDSHIRE AND STOKE-ON-TRENT ICB - 05V (05V)EQ VAS</v>
      </c>
      <c r="C4529" t="s">
        <v>975</v>
      </c>
      <c r="D4529" t="s">
        <v>1021</v>
      </c>
      <c r="E4529" t="s">
        <v>935</v>
      </c>
      <c r="F4529" t="s">
        <v>936</v>
      </c>
      <c r="G4529" t="s">
        <v>752</v>
      </c>
      <c r="H4529">
        <v>31</v>
      </c>
      <c r="I4529">
        <v>69.451599999999999</v>
      </c>
      <c r="J4529">
        <v>78.322599999999994</v>
      </c>
      <c r="K4529">
        <v>8.8709699999999998</v>
      </c>
      <c r="L4529">
        <v>19</v>
      </c>
      <c r="M4529">
        <v>7</v>
      </c>
      <c r="N4529">
        <v>5</v>
      </c>
      <c r="O4529">
        <v>75.2637</v>
      </c>
      <c r="P4529">
        <v>9.9580099999999998</v>
      </c>
      <c r="Q4529">
        <v>12.8786</v>
      </c>
    </row>
    <row r="4530" spans="1:17" x14ac:dyDescent="0.25">
      <c r="A4530" t="str">
        <f>IF(C4530&amp;G4530&amp;D4530&lt;&gt;'Funnel setup'!$K$3&amp;'Funnel setup'!$K$4&amp;'Funnel setup'!$K$6,".",IF(A4529=".",1,A4529+1))</f>
        <v>.</v>
      </c>
      <c r="B4530" s="244" t="str">
        <f t="shared" si="70"/>
        <v>Total Knee ReplacementSub-ICB of GP PracticeNHS STAFFORDSHIRE AND STOKE-ON-TRENT ICB - 05W (05W)EQ VAS</v>
      </c>
      <c r="C4530" t="s">
        <v>975</v>
      </c>
      <c r="D4530" t="s">
        <v>1021</v>
      </c>
      <c r="E4530" t="s">
        <v>937</v>
      </c>
      <c r="F4530" t="s">
        <v>938</v>
      </c>
      <c r="G4530" t="s">
        <v>752</v>
      </c>
      <c r="H4530">
        <v>42</v>
      </c>
      <c r="I4530">
        <v>59.904800000000002</v>
      </c>
      <c r="J4530">
        <v>71.976200000000006</v>
      </c>
      <c r="K4530">
        <v>12.071400000000001</v>
      </c>
      <c r="L4530">
        <v>26</v>
      </c>
      <c r="M4530">
        <v>5</v>
      </c>
      <c r="N4530">
        <v>11</v>
      </c>
      <c r="O4530">
        <v>75.689300000000003</v>
      </c>
      <c r="P4530">
        <v>10.383599999999999</v>
      </c>
      <c r="Q4530">
        <v>17.6922</v>
      </c>
    </row>
    <row r="4531" spans="1:17" x14ac:dyDescent="0.25">
      <c r="A4531" t="str">
        <f>IF(C4531&amp;G4531&amp;D4531&lt;&gt;'Funnel setup'!$K$3&amp;'Funnel setup'!$K$4&amp;'Funnel setup'!$K$6,".",IF(A4530=".",1,A4530+1))</f>
        <v>.</v>
      </c>
      <c r="B4531" s="244" t="str">
        <f t="shared" si="70"/>
        <v>Total Knee ReplacementSub-ICB of GP PracticeNHS SUFFOLK AND NORTH EAST ESSEX ICB - 06L (06L)EQ VAS</v>
      </c>
      <c r="C4531" t="s">
        <v>975</v>
      </c>
      <c r="D4531" t="s">
        <v>1021</v>
      </c>
      <c r="E4531" t="s">
        <v>939</v>
      </c>
      <c r="F4531" t="s">
        <v>940</v>
      </c>
      <c r="G4531" t="s">
        <v>752</v>
      </c>
      <c r="H4531">
        <v>109</v>
      </c>
      <c r="I4531">
        <v>63.779800000000002</v>
      </c>
      <c r="J4531">
        <v>74.220200000000006</v>
      </c>
      <c r="K4531">
        <v>10.4404</v>
      </c>
      <c r="L4531">
        <v>63</v>
      </c>
      <c r="M4531">
        <v>8</v>
      </c>
      <c r="N4531">
        <v>38</v>
      </c>
      <c r="O4531">
        <v>75.380099999999999</v>
      </c>
      <c r="P4531">
        <v>10.074400000000001</v>
      </c>
      <c r="Q4531">
        <v>17.0274</v>
      </c>
    </row>
    <row r="4532" spans="1:17" x14ac:dyDescent="0.25">
      <c r="A4532" t="str">
        <f>IF(C4532&amp;G4532&amp;D4532&lt;&gt;'Funnel setup'!$K$3&amp;'Funnel setup'!$K$4&amp;'Funnel setup'!$K$6,".",IF(A4531=".",1,A4531+1))</f>
        <v>.</v>
      </c>
      <c r="B4532" s="244" t="str">
        <f t="shared" si="70"/>
        <v>Total Knee ReplacementSub-ICB of GP PracticeNHS SUFFOLK AND NORTH EAST ESSEX ICB - 06T (06T)EQ VAS</v>
      </c>
      <c r="C4532" t="s">
        <v>975</v>
      </c>
      <c r="D4532" t="s">
        <v>1021</v>
      </c>
      <c r="E4532" t="s">
        <v>941</v>
      </c>
      <c r="F4532" t="s">
        <v>942</v>
      </c>
      <c r="G4532" t="s">
        <v>752</v>
      </c>
      <c r="H4532">
        <v>29</v>
      </c>
      <c r="I4532">
        <v>62.758600000000001</v>
      </c>
      <c r="J4532">
        <v>72.517200000000003</v>
      </c>
      <c r="K4532">
        <v>9.7586200000000005</v>
      </c>
      <c r="L4532">
        <v>21</v>
      </c>
      <c r="M4532">
        <v>2</v>
      </c>
      <c r="N4532">
        <v>6</v>
      </c>
      <c r="O4532" t="s">
        <v>127</v>
      </c>
      <c r="P4532" t="s">
        <v>127</v>
      </c>
      <c r="Q4532" t="s">
        <v>127</v>
      </c>
    </row>
    <row r="4533" spans="1:17" x14ac:dyDescent="0.25">
      <c r="A4533" t="str">
        <f>IF(C4533&amp;G4533&amp;D4533&lt;&gt;'Funnel setup'!$K$3&amp;'Funnel setup'!$K$4&amp;'Funnel setup'!$K$6,".",IF(A4532=".",1,A4532+1))</f>
        <v>.</v>
      </c>
      <c r="B4533" s="244" t="str">
        <f t="shared" si="70"/>
        <v>Total Knee ReplacementSub-ICB of GP PracticeNHS SUFFOLK AND NORTH EAST ESSEX ICB - 07K (07K)EQ VAS</v>
      </c>
      <c r="C4533" t="s">
        <v>975</v>
      </c>
      <c r="D4533" t="s">
        <v>1021</v>
      </c>
      <c r="E4533" t="s">
        <v>943</v>
      </c>
      <c r="F4533" t="s">
        <v>944</v>
      </c>
      <c r="G4533" t="s">
        <v>752</v>
      </c>
      <c r="H4533">
        <v>90</v>
      </c>
      <c r="I4533">
        <v>64.822199999999995</v>
      </c>
      <c r="J4533">
        <v>74.088899999999995</v>
      </c>
      <c r="K4533">
        <v>9.2666699999999995</v>
      </c>
      <c r="L4533">
        <v>57</v>
      </c>
      <c r="M4533">
        <v>14</v>
      </c>
      <c r="N4533">
        <v>19</v>
      </c>
      <c r="O4533">
        <v>73.645399999999995</v>
      </c>
      <c r="P4533">
        <v>8.3396699999999999</v>
      </c>
      <c r="Q4533">
        <v>15.9221</v>
      </c>
    </row>
    <row r="4534" spans="1:17" x14ac:dyDescent="0.25">
      <c r="A4534" t="str">
        <f>IF(C4534&amp;G4534&amp;D4534&lt;&gt;'Funnel setup'!$K$3&amp;'Funnel setup'!$K$4&amp;'Funnel setup'!$K$6,".",IF(A4533=".",1,A4533+1))</f>
        <v>.</v>
      </c>
      <c r="B4534" s="244" t="str">
        <f t="shared" si="70"/>
        <v>Total Knee ReplacementSub-ICB of GP PracticeNHS SURREY HEARTLANDS ICB - 92A (92A)EQ VAS</v>
      </c>
      <c r="C4534" t="s">
        <v>975</v>
      </c>
      <c r="D4534" t="s">
        <v>1021</v>
      </c>
      <c r="E4534" t="s">
        <v>945</v>
      </c>
      <c r="F4534" t="s">
        <v>946</v>
      </c>
      <c r="G4534" t="s">
        <v>752</v>
      </c>
      <c r="H4534">
        <v>329</v>
      </c>
      <c r="I4534">
        <v>65.933099999999996</v>
      </c>
      <c r="J4534">
        <v>74.671700000000001</v>
      </c>
      <c r="K4534">
        <v>8.7385999999999999</v>
      </c>
      <c r="L4534">
        <v>203</v>
      </c>
      <c r="M4534">
        <v>38</v>
      </c>
      <c r="N4534">
        <v>88</v>
      </c>
      <c r="O4534">
        <v>73.054900000000004</v>
      </c>
      <c r="P4534">
        <v>7.7492299999999998</v>
      </c>
      <c r="Q4534">
        <v>17.099900000000002</v>
      </c>
    </row>
    <row r="4535" spans="1:17" x14ac:dyDescent="0.25">
      <c r="A4535" t="str">
        <f>IF(C4535&amp;G4535&amp;D4535&lt;&gt;'Funnel setup'!$K$3&amp;'Funnel setup'!$K$4&amp;'Funnel setup'!$K$6,".",IF(A4534=".",1,A4534+1))</f>
        <v>.</v>
      </c>
      <c r="B4535" s="244" t="str">
        <f t="shared" si="70"/>
        <v>Total Knee ReplacementSub-ICB of GP PracticeNHS SUSSEX ICB - 09D (09D)EQ VAS</v>
      </c>
      <c r="C4535" t="s">
        <v>975</v>
      </c>
      <c r="D4535" t="s">
        <v>1021</v>
      </c>
      <c r="E4535" t="s">
        <v>947</v>
      </c>
      <c r="F4535" t="s">
        <v>948</v>
      </c>
      <c r="G4535" t="s">
        <v>752</v>
      </c>
      <c r="H4535">
        <v>25</v>
      </c>
      <c r="I4535">
        <v>70.239999999999995</v>
      </c>
      <c r="J4535">
        <v>81.16</v>
      </c>
      <c r="K4535">
        <v>10.92</v>
      </c>
      <c r="L4535">
        <v>16</v>
      </c>
      <c r="M4535">
        <v>5</v>
      </c>
      <c r="N4535">
        <v>4</v>
      </c>
      <c r="O4535" t="s">
        <v>127</v>
      </c>
      <c r="P4535" t="s">
        <v>127</v>
      </c>
      <c r="Q4535" t="s">
        <v>127</v>
      </c>
    </row>
    <row r="4536" spans="1:17" x14ac:dyDescent="0.25">
      <c r="A4536" t="str">
        <f>IF(C4536&amp;G4536&amp;D4536&lt;&gt;'Funnel setup'!$K$3&amp;'Funnel setup'!$K$4&amp;'Funnel setup'!$K$6,".",IF(A4535=".",1,A4535+1))</f>
        <v>.</v>
      </c>
      <c r="B4536" s="244" t="str">
        <f t="shared" si="70"/>
        <v>Total Knee ReplacementSub-ICB of GP PracticeNHS SUSSEX ICB - 70F (70F)EQ VAS</v>
      </c>
      <c r="C4536" t="s">
        <v>975</v>
      </c>
      <c r="D4536" t="s">
        <v>1021</v>
      </c>
      <c r="E4536" t="s">
        <v>949</v>
      </c>
      <c r="F4536" t="s">
        <v>950</v>
      </c>
      <c r="G4536" t="s">
        <v>752</v>
      </c>
      <c r="H4536">
        <v>225</v>
      </c>
      <c r="I4536">
        <v>66.897800000000004</v>
      </c>
      <c r="J4536">
        <v>74.364400000000003</v>
      </c>
      <c r="K4536">
        <v>7.4666699999999997</v>
      </c>
      <c r="L4536">
        <v>138</v>
      </c>
      <c r="M4536">
        <v>22</v>
      </c>
      <c r="N4536">
        <v>65</v>
      </c>
      <c r="O4536">
        <v>72.902000000000001</v>
      </c>
      <c r="P4536">
        <v>7.5963099999999999</v>
      </c>
      <c r="Q4536">
        <v>16.1309</v>
      </c>
    </row>
    <row r="4537" spans="1:17" x14ac:dyDescent="0.25">
      <c r="A4537" t="str">
        <f>IF(C4537&amp;G4537&amp;D4537&lt;&gt;'Funnel setup'!$K$3&amp;'Funnel setup'!$K$4&amp;'Funnel setup'!$K$6,".",IF(A4536=".",1,A4536+1))</f>
        <v>.</v>
      </c>
      <c r="B4537" s="244" t="str">
        <f t="shared" si="70"/>
        <v>Total Knee ReplacementSub-ICB of GP PracticeNHS SUSSEX ICB - 97R (97R)EQ VAS</v>
      </c>
      <c r="C4537" t="s">
        <v>975</v>
      </c>
      <c r="D4537" t="s">
        <v>1021</v>
      </c>
      <c r="E4537" t="s">
        <v>951</v>
      </c>
      <c r="F4537" t="s">
        <v>952</v>
      </c>
      <c r="G4537" t="s">
        <v>752</v>
      </c>
      <c r="H4537">
        <v>292</v>
      </c>
      <c r="I4537">
        <v>65.8048</v>
      </c>
      <c r="J4537">
        <v>75.3767</v>
      </c>
      <c r="K4537">
        <v>9.5719200000000004</v>
      </c>
      <c r="L4537">
        <v>188</v>
      </c>
      <c r="M4537">
        <v>30</v>
      </c>
      <c r="N4537">
        <v>74</v>
      </c>
      <c r="O4537">
        <v>74.892700000000005</v>
      </c>
      <c r="P4537">
        <v>9.5870300000000004</v>
      </c>
      <c r="Q4537">
        <v>15.587899999999999</v>
      </c>
    </row>
    <row r="4538" spans="1:17" x14ac:dyDescent="0.25">
      <c r="A4538" t="str">
        <f>IF(C4538&amp;G4538&amp;D4538&lt;&gt;'Funnel setup'!$K$3&amp;'Funnel setup'!$K$4&amp;'Funnel setup'!$K$6,".",IF(A4537=".",1,A4537+1))</f>
        <v>.</v>
      </c>
      <c r="B4538" s="244" t="str">
        <f t="shared" si="70"/>
        <v>Total Knee ReplacementSub-ICB of GP PracticeNHS WEST YORKSHIRE ICB - 02T (02T)EQ VAS</v>
      </c>
      <c r="C4538" t="s">
        <v>975</v>
      </c>
      <c r="D4538" t="s">
        <v>1021</v>
      </c>
      <c r="E4538" t="s">
        <v>953</v>
      </c>
      <c r="F4538" t="s">
        <v>954</v>
      </c>
      <c r="G4538" t="s">
        <v>752</v>
      </c>
      <c r="H4538">
        <v>39</v>
      </c>
      <c r="I4538">
        <v>69.615399999999994</v>
      </c>
      <c r="J4538">
        <v>74.410300000000007</v>
      </c>
      <c r="K4538">
        <v>4.7948700000000004</v>
      </c>
      <c r="L4538">
        <v>19</v>
      </c>
      <c r="M4538">
        <v>6</v>
      </c>
      <c r="N4538">
        <v>14</v>
      </c>
      <c r="O4538">
        <v>73.695599999999999</v>
      </c>
      <c r="P4538">
        <v>8.3898399999999995</v>
      </c>
      <c r="Q4538">
        <v>15.3733</v>
      </c>
    </row>
    <row r="4539" spans="1:17" x14ac:dyDescent="0.25">
      <c r="A4539" t="str">
        <f>IF(C4539&amp;G4539&amp;D4539&lt;&gt;'Funnel setup'!$K$3&amp;'Funnel setup'!$K$4&amp;'Funnel setup'!$K$6,".",IF(A4538=".",1,A4538+1))</f>
        <v>.</v>
      </c>
      <c r="B4539" s="244" t="str">
        <f t="shared" si="70"/>
        <v>Total Knee ReplacementSub-ICB of GP PracticeNHS WEST YORKSHIRE ICB - 03R (03R)EQ VAS</v>
      </c>
      <c r="C4539" t="s">
        <v>975</v>
      </c>
      <c r="D4539" t="s">
        <v>1021</v>
      </c>
      <c r="E4539" t="s">
        <v>955</v>
      </c>
      <c r="F4539" t="s">
        <v>956</v>
      </c>
      <c r="G4539" t="s">
        <v>752</v>
      </c>
      <c r="H4539">
        <v>171</v>
      </c>
      <c r="I4539">
        <v>63.877200000000002</v>
      </c>
      <c r="J4539">
        <v>73.204700000000003</v>
      </c>
      <c r="K4539">
        <v>9.3274899999999992</v>
      </c>
      <c r="L4539">
        <v>112</v>
      </c>
      <c r="M4539">
        <v>7</v>
      </c>
      <c r="N4539">
        <v>52</v>
      </c>
      <c r="O4539">
        <v>74.615099999999998</v>
      </c>
      <c r="P4539">
        <v>9.3094300000000008</v>
      </c>
      <c r="Q4539">
        <v>17.191299999999998</v>
      </c>
    </row>
    <row r="4540" spans="1:17" x14ac:dyDescent="0.25">
      <c r="A4540" t="str">
        <f>IF(C4540&amp;G4540&amp;D4540&lt;&gt;'Funnel setup'!$K$3&amp;'Funnel setup'!$K$4&amp;'Funnel setup'!$K$6,".",IF(A4539=".",1,A4539+1))</f>
        <v>.</v>
      </c>
      <c r="B4540" s="244" t="str">
        <f t="shared" si="70"/>
        <v>Total Knee ReplacementSub-ICB of GP PracticeNHS WEST YORKSHIRE ICB - 15F (15F)EQ VAS</v>
      </c>
      <c r="C4540" t="s">
        <v>975</v>
      </c>
      <c r="D4540" t="s">
        <v>1021</v>
      </c>
      <c r="E4540" t="s">
        <v>957</v>
      </c>
      <c r="F4540" t="s">
        <v>958</v>
      </c>
      <c r="G4540" t="s">
        <v>752</v>
      </c>
      <c r="H4540">
        <v>243</v>
      </c>
      <c r="I4540">
        <v>64.465000000000003</v>
      </c>
      <c r="J4540">
        <v>72.448599999999999</v>
      </c>
      <c r="K4540">
        <v>7.9835399999999996</v>
      </c>
      <c r="L4540">
        <v>148</v>
      </c>
      <c r="M4540">
        <v>31</v>
      </c>
      <c r="N4540">
        <v>64</v>
      </c>
      <c r="O4540">
        <v>72.895300000000006</v>
      </c>
      <c r="P4540">
        <v>7.5895900000000003</v>
      </c>
      <c r="Q4540">
        <v>16.468599999999999</v>
      </c>
    </row>
    <row r="4541" spans="1:17" x14ac:dyDescent="0.25">
      <c r="A4541" t="str">
        <f>IF(C4541&amp;G4541&amp;D4541&lt;&gt;'Funnel setup'!$K$3&amp;'Funnel setup'!$K$4&amp;'Funnel setup'!$K$6,".",IF(A4540=".",1,A4540+1))</f>
        <v>.</v>
      </c>
      <c r="B4541" s="244" t="str">
        <f t="shared" si="70"/>
        <v>Total Knee ReplacementSub-ICB of GP PracticeNHS WEST YORKSHIRE ICB - 36J (36J)EQ VAS</v>
      </c>
      <c r="C4541" t="s">
        <v>975</v>
      </c>
      <c r="D4541" t="s">
        <v>1021</v>
      </c>
      <c r="E4541" t="s">
        <v>959</v>
      </c>
      <c r="F4541" t="s">
        <v>960</v>
      </c>
      <c r="G4541" t="s">
        <v>752</v>
      </c>
      <c r="H4541">
        <v>66</v>
      </c>
      <c r="I4541">
        <v>65.545500000000004</v>
      </c>
      <c r="J4541">
        <v>72.318200000000004</v>
      </c>
      <c r="K4541">
        <v>6.7727300000000001</v>
      </c>
      <c r="L4541">
        <v>40</v>
      </c>
      <c r="M4541">
        <v>6</v>
      </c>
      <c r="N4541">
        <v>20</v>
      </c>
      <c r="O4541">
        <v>73.819900000000004</v>
      </c>
      <c r="P4541">
        <v>8.5142299999999995</v>
      </c>
      <c r="Q4541">
        <v>15.588800000000001</v>
      </c>
    </row>
    <row r="4542" spans="1:17" x14ac:dyDescent="0.25">
      <c r="A4542" t="str">
        <f>IF(C4542&amp;G4542&amp;D4542&lt;&gt;'Funnel setup'!$K$3&amp;'Funnel setup'!$K$4&amp;'Funnel setup'!$K$6,".",IF(A4541=".",1,A4541+1))</f>
        <v>.</v>
      </c>
      <c r="B4542" s="244" t="str">
        <f t="shared" si="70"/>
        <v>Total Knee ReplacementSub-ICB of GP PracticeNHS WEST YORKSHIRE ICB - X2C4Y (X2C4Y)EQ VAS</v>
      </c>
      <c r="C4542" t="s">
        <v>975</v>
      </c>
      <c r="D4542" t="s">
        <v>1021</v>
      </c>
      <c r="E4542" t="s">
        <v>961</v>
      </c>
      <c r="F4542" t="s">
        <v>962</v>
      </c>
      <c r="G4542" t="s">
        <v>752</v>
      </c>
      <c r="H4542">
        <v>101</v>
      </c>
      <c r="I4542">
        <v>66.9208</v>
      </c>
      <c r="J4542">
        <v>71.197999999999993</v>
      </c>
      <c r="K4542">
        <v>4.2772300000000003</v>
      </c>
      <c r="L4542">
        <v>47</v>
      </c>
      <c r="M4542">
        <v>11</v>
      </c>
      <c r="N4542">
        <v>43</v>
      </c>
      <c r="O4542">
        <v>71.0244</v>
      </c>
      <c r="P4542">
        <v>5.7186899999999996</v>
      </c>
      <c r="Q4542">
        <v>16.582799999999999</v>
      </c>
    </row>
    <row r="4543" spans="1:17" x14ac:dyDescent="0.25">
      <c r="A4543" t="str">
        <f>IF(C4543&amp;G4543&amp;D4543&lt;&gt;'Funnel setup'!$K$3&amp;'Funnel setup'!$K$4&amp;'Funnel setup'!$K$6,".",IF(A4542=".",1,A4542+1))</f>
        <v>.</v>
      </c>
      <c r="B4543" s="244" t="str">
        <f t="shared" si="70"/>
        <v>Total Knee ReplacementSub-ICB of GP PracticeNATIONAL COMMISSIONING HUB 1 (13Q)EQ-5D Index</v>
      </c>
      <c r="C4543" t="s">
        <v>975</v>
      </c>
      <c r="D4543" t="s">
        <v>1021</v>
      </c>
      <c r="E4543" t="s">
        <v>970</v>
      </c>
      <c r="F4543" t="s">
        <v>971</v>
      </c>
      <c r="G4543" t="s">
        <v>963</v>
      </c>
      <c r="H4543">
        <v>1</v>
      </c>
      <c r="I4543">
        <v>0.85</v>
      </c>
      <c r="J4543">
        <v>1</v>
      </c>
      <c r="K4543">
        <v>0.15</v>
      </c>
      <c r="L4543">
        <v>1</v>
      </c>
      <c r="M4543">
        <v>0</v>
      </c>
      <c r="N4543">
        <v>0</v>
      </c>
      <c r="O4543" t="s">
        <v>127</v>
      </c>
      <c r="P4543" t="s">
        <v>127</v>
      </c>
      <c r="Q4543" t="s">
        <v>127</v>
      </c>
    </row>
    <row r="4544" spans="1:17" x14ac:dyDescent="0.25">
      <c r="A4544" t="str">
        <f>IF(C4544&amp;G4544&amp;D4544&lt;&gt;'Funnel setup'!$K$3&amp;'Funnel setup'!$K$4&amp;'Funnel setup'!$K$6,".",IF(A4543=".",1,A4543+1))</f>
        <v>.</v>
      </c>
      <c r="B4544" s="244" t="str">
        <f t="shared" si="70"/>
        <v>Total Knee ReplacementSub-ICB of GP PracticeNHS BATH AND NORTH EAST SOMERSET, SWINDON AND WILTSHIRE ICB - 92G (92G)EQ-5D Index</v>
      </c>
      <c r="C4544" t="s">
        <v>975</v>
      </c>
      <c r="D4544" t="s">
        <v>1021</v>
      </c>
      <c r="E4544" t="s">
        <v>750</v>
      </c>
      <c r="F4544" t="s">
        <v>751</v>
      </c>
      <c r="G4544" t="s">
        <v>963</v>
      </c>
      <c r="H4544">
        <v>255</v>
      </c>
      <c r="I4544">
        <v>0.46415299999999998</v>
      </c>
      <c r="J4544">
        <v>0.80049000000000003</v>
      </c>
      <c r="K4544">
        <v>0.336337</v>
      </c>
      <c r="L4544">
        <v>216</v>
      </c>
      <c r="M4544">
        <v>20</v>
      </c>
      <c r="N4544">
        <v>19</v>
      </c>
      <c r="O4544">
        <v>0.76860700000000004</v>
      </c>
      <c r="P4544">
        <v>0.34431</v>
      </c>
      <c r="Q4544">
        <v>0.214277</v>
      </c>
    </row>
    <row r="4545" spans="1:17" x14ac:dyDescent="0.25">
      <c r="A4545" t="str">
        <f>IF(C4545&amp;G4545&amp;D4545&lt;&gt;'Funnel setup'!$K$3&amp;'Funnel setup'!$K$4&amp;'Funnel setup'!$K$6,".",IF(A4544=".",1,A4544+1))</f>
        <v>.</v>
      </c>
      <c r="B4545" s="244" t="str">
        <f t="shared" si="70"/>
        <v>Total Knee ReplacementSub-ICB of GP PracticeNHS BEDFORDSHIRE, LUTON AND MILTON KEYNES ICB - M1J4Y (M1J4Y)EQ-5D Index</v>
      </c>
      <c r="C4545" t="s">
        <v>975</v>
      </c>
      <c r="D4545" t="s">
        <v>1021</v>
      </c>
      <c r="E4545" t="s">
        <v>753</v>
      </c>
      <c r="F4545" t="s">
        <v>754</v>
      </c>
      <c r="G4545" t="s">
        <v>963</v>
      </c>
      <c r="H4545">
        <v>233</v>
      </c>
      <c r="I4545">
        <v>0.36608600000000002</v>
      </c>
      <c r="J4545">
        <v>0.70893600000000001</v>
      </c>
      <c r="K4545">
        <v>0.34284999999999999</v>
      </c>
      <c r="L4545">
        <v>183</v>
      </c>
      <c r="M4545">
        <v>23</v>
      </c>
      <c r="N4545">
        <v>27</v>
      </c>
      <c r="O4545">
        <v>0.72345599999999999</v>
      </c>
      <c r="P4545">
        <v>0.29915900000000001</v>
      </c>
      <c r="Q4545">
        <v>0.26023600000000002</v>
      </c>
    </row>
    <row r="4546" spans="1:17" x14ac:dyDescent="0.25">
      <c r="A4546" t="str">
        <f>IF(C4546&amp;G4546&amp;D4546&lt;&gt;'Funnel setup'!$K$3&amp;'Funnel setup'!$K$4&amp;'Funnel setup'!$K$6,".",IF(A4545=".",1,A4545+1))</f>
        <v>.</v>
      </c>
      <c r="B4546" s="244" t="str">
        <f t="shared" ref="B4546:B4609" si="71">C4546&amp;D4546&amp;F4546&amp;G4546</f>
        <v>Total Knee ReplacementSub-ICB of GP PracticeNHS BIRMINGHAM AND SOLIHULL ICB - 15E (15E)EQ-5D Index</v>
      </c>
      <c r="C4546" t="s">
        <v>975</v>
      </c>
      <c r="D4546" t="s">
        <v>1021</v>
      </c>
      <c r="E4546" t="s">
        <v>755</v>
      </c>
      <c r="F4546" t="s">
        <v>756</v>
      </c>
      <c r="G4546" t="s">
        <v>963</v>
      </c>
      <c r="H4546">
        <v>320</v>
      </c>
      <c r="I4546">
        <v>0.37028100000000003</v>
      </c>
      <c r="J4546">
        <v>0.71445599999999998</v>
      </c>
      <c r="K4546">
        <v>0.34417500000000001</v>
      </c>
      <c r="L4546">
        <v>267</v>
      </c>
      <c r="M4546">
        <v>14</v>
      </c>
      <c r="N4546">
        <v>39</v>
      </c>
      <c r="O4546">
        <v>0.73860300000000001</v>
      </c>
      <c r="P4546">
        <v>0.31430599999999997</v>
      </c>
      <c r="Q4546">
        <v>0.245837</v>
      </c>
    </row>
    <row r="4547" spans="1:17" x14ac:dyDescent="0.25">
      <c r="A4547" t="str">
        <f>IF(C4547&amp;G4547&amp;D4547&lt;&gt;'Funnel setup'!$K$3&amp;'Funnel setup'!$K$4&amp;'Funnel setup'!$K$6,".",IF(A4546=".",1,A4546+1))</f>
        <v>.</v>
      </c>
      <c r="B4547" s="244" t="str">
        <f t="shared" si="71"/>
        <v>Total Knee ReplacementSub-ICB of GP PracticeNHS BLACK COUNTRY ICB - D2P2L (D2P2L)EQ-5D Index</v>
      </c>
      <c r="C4547" t="s">
        <v>975</v>
      </c>
      <c r="D4547" t="s">
        <v>1021</v>
      </c>
      <c r="E4547" t="s">
        <v>757</v>
      </c>
      <c r="F4547" t="s">
        <v>758</v>
      </c>
      <c r="G4547" t="s">
        <v>963</v>
      </c>
      <c r="H4547">
        <v>210</v>
      </c>
      <c r="I4547">
        <v>0.34637600000000002</v>
      </c>
      <c r="J4547">
        <v>0.70495200000000002</v>
      </c>
      <c r="K4547">
        <v>0.35857600000000001</v>
      </c>
      <c r="L4547">
        <v>171</v>
      </c>
      <c r="M4547">
        <v>15</v>
      </c>
      <c r="N4547">
        <v>24</v>
      </c>
      <c r="O4547">
        <v>0.75657399999999997</v>
      </c>
      <c r="P4547">
        <v>0.33227699999999999</v>
      </c>
      <c r="Q4547">
        <v>0.26639699999999999</v>
      </c>
    </row>
    <row r="4548" spans="1:17" x14ac:dyDescent="0.25">
      <c r="A4548" t="str">
        <f>IF(C4548&amp;G4548&amp;D4548&lt;&gt;'Funnel setup'!$K$3&amp;'Funnel setup'!$K$4&amp;'Funnel setup'!$K$6,".",IF(A4547=".",1,A4547+1))</f>
        <v>.</v>
      </c>
      <c r="B4548" s="244" t="str">
        <f t="shared" si="71"/>
        <v>Total Knee ReplacementSub-ICB of GP PracticeNHS BRISTOL, NORTH SOMERSET AND SOUTH GLOUCESTERSHIRE ICB - 15C (15C)EQ-5D Index</v>
      </c>
      <c r="C4548" t="s">
        <v>975</v>
      </c>
      <c r="D4548" t="s">
        <v>1021</v>
      </c>
      <c r="E4548" t="s">
        <v>759</v>
      </c>
      <c r="F4548" t="s">
        <v>760</v>
      </c>
      <c r="G4548" t="s">
        <v>963</v>
      </c>
      <c r="H4548">
        <v>219</v>
      </c>
      <c r="I4548">
        <v>0.45599099999999998</v>
      </c>
      <c r="J4548">
        <v>0.75701399999999996</v>
      </c>
      <c r="K4548">
        <v>0.30102299999999999</v>
      </c>
      <c r="L4548">
        <v>178</v>
      </c>
      <c r="M4548">
        <v>19</v>
      </c>
      <c r="N4548">
        <v>22</v>
      </c>
      <c r="O4548">
        <v>0.74141100000000004</v>
      </c>
      <c r="P4548">
        <v>0.31711299999999998</v>
      </c>
      <c r="Q4548">
        <v>0.21934200000000001</v>
      </c>
    </row>
    <row r="4549" spans="1:17" x14ac:dyDescent="0.25">
      <c r="A4549" t="str">
        <f>IF(C4549&amp;G4549&amp;D4549&lt;&gt;'Funnel setup'!$K$3&amp;'Funnel setup'!$K$4&amp;'Funnel setup'!$K$6,".",IF(A4548=".",1,A4548+1))</f>
        <v>.</v>
      </c>
      <c r="B4549" s="244" t="str">
        <f t="shared" si="71"/>
        <v>Total Knee ReplacementSub-ICB of GP PracticeNHS BUCKINGHAMSHIRE, OXFORDSHIRE AND BERKSHIRE WEST ICB - 10Q (10Q)EQ-5D Index</v>
      </c>
      <c r="C4549" t="s">
        <v>975</v>
      </c>
      <c r="D4549" t="s">
        <v>1021</v>
      </c>
      <c r="E4549" t="s">
        <v>761</v>
      </c>
      <c r="F4549" t="s">
        <v>762</v>
      </c>
      <c r="G4549" t="s">
        <v>963</v>
      </c>
      <c r="H4549">
        <v>287</v>
      </c>
      <c r="I4549">
        <v>0.45688899999999999</v>
      </c>
      <c r="J4549">
        <v>0.76774600000000004</v>
      </c>
      <c r="K4549">
        <v>0.31085699999999999</v>
      </c>
      <c r="L4549">
        <v>243</v>
      </c>
      <c r="M4549">
        <v>26</v>
      </c>
      <c r="N4549">
        <v>18</v>
      </c>
      <c r="O4549">
        <v>0.747865</v>
      </c>
      <c r="P4549">
        <v>0.32356800000000002</v>
      </c>
      <c r="Q4549">
        <v>0.22108</v>
      </c>
    </row>
    <row r="4550" spans="1:17" x14ac:dyDescent="0.25">
      <c r="A4550" t="str">
        <f>IF(C4550&amp;G4550&amp;D4550&lt;&gt;'Funnel setup'!$K$3&amp;'Funnel setup'!$K$4&amp;'Funnel setup'!$K$6,".",IF(A4549=".",1,A4549+1))</f>
        <v>.</v>
      </c>
      <c r="B4550" s="244" t="str">
        <f t="shared" si="71"/>
        <v>Total Knee ReplacementSub-ICB of GP PracticeNHS BUCKINGHAMSHIRE, OXFORDSHIRE AND BERKSHIRE WEST ICB - 14Y (14Y)EQ-5D Index</v>
      </c>
      <c r="C4550" t="s">
        <v>975</v>
      </c>
      <c r="D4550" t="s">
        <v>1021</v>
      </c>
      <c r="E4550" t="s">
        <v>763</v>
      </c>
      <c r="F4550" t="s">
        <v>764</v>
      </c>
      <c r="G4550" t="s">
        <v>963</v>
      </c>
      <c r="H4550">
        <v>212</v>
      </c>
      <c r="I4550">
        <v>0.50333499999999998</v>
      </c>
      <c r="J4550">
        <v>0.80938699999999997</v>
      </c>
      <c r="K4550">
        <v>0.30605199999999999</v>
      </c>
      <c r="L4550">
        <v>177</v>
      </c>
      <c r="M4550">
        <v>20</v>
      </c>
      <c r="N4550">
        <v>15</v>
      </c>
      <c r="O4550">
        <v>0.75949900000000004</v>
      </c>
      <c r="P4550">
        <v>0.335202</v>
      </c>
      <c r="Q4550">
        <v>0.19758700000000001</v>
      </c>
    </row>
    <row r="4551" spans="1:17" x14ac:dyDescent="0.25">
      <c r="A4551" t="str">
        <f>IF(C4551&amp;G4551&amp;D4551&lt;&gt;'Funnel setup'!$K$3&amp;'Funnel setup'!$K$4&amp;'Funnel setup'!$K$6,".",IF(A4550=".",1,A4550+1))</f>
        <v>.</v>
      </c>
      <c r="B4551" s="244" t="str">
        <f t="shared" si="71"/>
        <v>Total Knee ReplacementSub-ICB of GP PracticeNHS BUCKINGHAMSHIRE, OXFORDSHIRE AND BERKSHIRE WEST ICB - 15A (15A)EQ-5D Index</v>
      </c>
      <c r="C4551" t="s">
        <v>975</v>
      </c>
      <c r="D4551" t="s">
        <v>1021</v>
      </c>
      <c r="E4551" t="s">
        <v>765</v>
      </c>
      <c r="F4551" t="s">
        <v>766</v>
      </c>
      <c r="G4551" t="s">
        <v>963</v>
      </c>
      <c r="H4551">
        <v>76</v>
      </c>
      <c r="I4551">
        <v>0.45874999999999999</v>
      </c>
      <c r="J4551">
        <v>0.74299999999999999</v>
      </c>
      <c r="K4551">
        <v>0.28425</v>
      </c>
      <c r="L4551">
        <v>57</v>
      </c>
      <c r="M4551">
        <v>15</v>
      </c>
      <c r="N4551">
        <v>4</v>
      </c>
      <c r="O4551">
        <v>0.70726199999999995</v>
      </c>
      <c r="P4551">
        <v>0.28296399999999999</v>
      </c>
      <c r="Q4551">
        <v>0.252328</v>
      </c>
    </row>
    <row r="4552" spans="1:17" x14ac:dyDescent="0.25">
      <c r="A4552" t="str">
        <f>IF(C4552&amp;G4552&amp;D4552&lt;&gt;'Funnel setup'!$K$3&amp;'Funnel setup'!$K$4&amp;'Funnel setup'!$K$6,".",IF(A4551=".",1,A4551+1))</f>
        <v>.</v>
      </c>
      <c r="B4552" s="244" t="str">
        <f t="shared" si="71"/>
        <v>Total Knee ReplacementSub-ICB of GP PracticeNHS CAMBRIDGESHIRE AND PETERBOROUGH ICB - 06H (06H)EQ-5D Index</v>
      </c>
      <c r="C4552" t="s">
        <v>975</v>
      </c>
      <c r="D4552" t="s">
        <v>1021</v>
      </c>
      <c r="E4552" t="s">
        <v>767</v>
      </c>
      <c r="F4552" t="s">
        <v>768</v>
      </c>
      <c r="G4552" t="s">
        <v>963</v>
      </c>
      <c r="H4552">
        <v>197</v>
      </c>
      <c r="I4552">
        <v>0.41936499999999999</v>
      </c>
      <c r="J4552">
        <v>0.72510699999999995</v>
      </c>
      <c r="K4552">
        <v>0.30574099999999999</v>
      </c>
      <c r="L4552">
        <v>162</v>
      </c>
      <c r="M4552">
        <v>16</v>
      </c>
      <c r="N4552">
        <v>19</v>
      </c>
      <c r="O4552">
        <v>0.71789400000000003</v>
      </c>
      <c r="P4552">
        <v>0.293597</v>
      </c>
      <c r="Q4552">
        <v>0.22625400000000001</v>
      </c>
    </row>
    <row r="4553" spans="1:17" x14ac:dyDescent="0.25">
      <c r="A4553" t="str">
        <f>IF(C4553&amp;G4553&amp;D4553&lt;&gt;'Funnel setup'!$K$3&amp;'Funnel setup'!$K$4&amp;'Funnel setup'!$K$6,".",IF(A4552=".",1,A4552+1))</f>
        <v>.</v>
      </c>
      <c r="B4553" s="244" t="str">
        <f t="shared" si="71"/>
        <v>Total Knee ReplacementSub-ICB of GP PracticeNHS CHESHIRE AND MERSEYSIDE ICB - 01F (01F)EQ-5D Index</v>
      </c>
      <c r="C4553" t="s">
        <v>975</v>
      </c>
      <c r="D4553" t="s">
        <v>1021</v>
      </c>
      <c r="E4553" t="s">
        <v>769</v>
      </c>
      <c r="F4553" t="s">
        <v>770</v>
      </c>
      <c r="G4553" t="s">
        <v>963</v>
      </c>
      <c r="H4553">
        <v>31</v>
      </c>
      <c r="I4553">
        <v>0.40790300000000002</v>
      </c>
      <c r="J4553">
        <v>0.70496800000000004</v>
      </c>
      <c r="K4553">
        <v>0.29706500000000002</v>
      </c>
      <c r="L4553">
        <v>23</v>
      </c>
      <c r="M4553">
        <v>2</v>
      </c>
      <c r="N4553">
        <v>6</v>
      </c>
      <c r="O4553">
        <v>0.70991899999999997</v>
      </c>
      <c r="P4553">
        <v>0.28562100000000001</v>
      </c>
      <c r="Q4553">
        <v>0.29781000000000002</v>
      </c>
    </row>
    <row r="4554" spans="1:17" x14ac:dyDescent="0.25">
      <c r="A4554" t="str">
        <f>IF(C4554&amp;G4554&amp;D4554&lt;&gt;'Funnel setup'!$K$3&amp;'Funnel setup'!$K$4&amp;'Funnel setup'!$K$6,".",IF(A4553=".",1,A4553+1))</f>
        <v>.</v>
      </c>
      <c r="B4554" s="244" t="str">
        <f t="shared" si="71"/>
        <v>Total Knee ReplacementSub-ICB of GP PracticeNHS CHESHIRE AND MERSEYSIDE ICB - 01J (01J)EQ-5D Index</v>
      </c>
      <c r="C4554" t="s">
        <v>975</v>
      </c>
      <c r="D4554" t="s">
        <v>1021</v>
      </c>
      <c r="E4554" t="s">
        <v>771</v>
      </c>
      <c r="F4554" t="s">
        <v>772</v>
      </c>
      <c r="G4554" t="s">
        <v>963</v>
      </c>
      <c r="H4554">
        <v>32</v>
      </c>
      <c r="I4554">
        <v>0.284188</v>
      </c>
      <c r="J4554">
        <v>0.574125</v>
      </c>
      <c r="K4554">
        <v>0.28993799999999997</v>
      </c>
      <c r="L4554">
        <v>27</v>
      </c>
      <c r="M4554">
        <v>2</v>
      </c>
      <c r="N4554">
        <v>3</v>
      </c>
      <c r="O4554">
        <v>0.66885600000000001</v>
      </c>
      <c r="P4554">
        <v>0.244558</v>
      </c>
      <c r="Q4554">
        <v>0.31125900000000001</v>
      </c>
    </row>
    <row r="4555" spans="1:17" x14ac:dyDescent="0.25">
      <c r="A4555" t="str">
        <f>IF(C4555&amp;G4555&amp;D4555&lt;&gt;'Funnel setup'!$K$3&amp;'Funnel setup'!$K$4&amp;'Funnel setup'!$K$6,".",IF(A4554=".",1,A4554+1))</f>
        <v>.</v>
      </c>
      <c r="B4555" s="244" t="str">
        <f t="shared" si="71"/>
        <v>Total Knee ReplacementSub-ICB of GP PracticeNHS CHESHIRE AND MERSEYSIDE ICB - 01T (01T)EQ-5D Index</v>
      </c>
      <c r="C4555" t="s">
        <v>975</v>
      </c>
      <c r="D4555" t="s">
        <v>1021</v>
      </c>
      <c r="E4555" t="s">
        <v>773</v>
      </c>
      <c r="F4555" t="s">
        <v>774</v>
      </c>
      <c r="G4555" t="s">
        <v>963</v>
      </c>
      <c r="H4555">
        <v>51</v>
      </c>
      <c r="I4555">
        <v>0.38125500000000001</v>
      </c>
      <c r="J4555">
        <v>0.77047100000000002</v>
      </c>
      <c r="K4555">
        <v>0.38921600000000001</v>
      </c>
      <c r="L4555">
        <v>42</v>
      </c>
      <c r="M4555">
        <v>6</v>
      </c>
      <c r="N4555">
        <v>3</v>
      </c>
      <c r="O4555">
        <v>0.76876999999999995</v>
      </c>
      <c r="P4555">
        <v>0.34447299999999997</v>
      </c>
      <c r="Q4555">
        <v>0.26177499999999998</v>
      </c>
    </row>
    <row r="4556" spans="1:17" x14ac:dyDescent="0.25">
      <c r="A4556" t="str">
        <f>IF(C4556&amp;G4556&amp;D4556&lt;&gt;'Funnel setup'!$K$3&amp;'Funnel setup'!$K$4&amp;'Funnel setup'!$K$6,".",IF(A4555=".",1,A4555+1))</f>
        <v>.</v>
      </c>
      <c r="B4556" s="244" t="str">
        <f t="shared" si="71"/>
        <v>Total Knee ReplacementSub-ICB of GP PracticeNHS CHESHIRE AND MERSEYSIDE ICB - 01V (01V)EQ-5D Index</v>
      </c>
      <c r="C4556" t="s">
        <v>975</v>
      </c>
      <c r="D4556" t="s">
        <v>1021</v>
      </c>
      <c r="E4556" t="s">
        <v>775</v>
      </c>
      <c r="F4556" t="s">
        <v>776</v>
      </c>
      <c r="G4556" t="s">
        <v>963</v>
      </c>
      <c r="H4556">
        <v>28</v>
      </c>
      <c r="I4556">
        <v>0.45535700000000001</v>
      </c>
      <c r="J4556">
        <v>0.79996400000000001</v>
      </c>
      <c r="K4556">
        <v>0.344607</v>
      </c>
      <c r="L4556">
        <v>25</v>
      </c>
      <c r="M4556">
        <v>1</v>
      </c>
      <c r="N4556">
        <v>2</v>
      </c>
      <c r="O4556" t="s">
        <v>127</v>
      </c>
      <c r="P4556" t="s">
        <v>127</v>
      </c>
      <c r="Q4556" t="s">
        <v>127</v>
      </c>
    </row>
    <row r="4557" spans="1:17" x14ac:dyDescent="0.25">
      <c r="A4557" t="str">
        <f>IF(C4557&amp;G4557&amp;D4557&lt;&gt;'Funnel setup'!$K$3&amp;'Funnel setup'!$K$4&amp;'Funnel setup'!$K$6,".",IF(A4556=".",1,A4556+1))</f>
        <v>.</v>
      </c>
      <c r="B4557" s="244" t="str">
        <f t="shared" si="71"/>
        <v>Total Knee ReplacementSub-ICB of GP PracticeNHS CHESHIRE AND MERSEYSIDE ICB - 01X (01X)EQ-5D Index</v>
      </c>
      <c r="C4557" t="s">
        <v>975</v>
      </c>
      <c r="D4557" t="s">
        <v>1021</v>
      </c>
      <c r="E4557" t="s">
        <v>777</v>
      </c>
      <c r="F4557" t="s">
        <v>778</v>
      </c>
      <c r="G4557" t="s">
        <v>963</v>
      </c>
      <c r="H4557">
        <v>65</v>
      </c>
      <c r="I4557">
        <v>0.338169</v>
      </c>
      <c r="J4557">
        <v>0.64980000000000004</v>
      </c>
      <c r="K4557">
        <v>0.31163099999999999</v>
      </c>
      <c r="L4557">
        <v>53</v>
      </c>
      <c r="M4557">
        <v>3</v>
      </c>
      <c r="N4557">
        <v>9</v>
      </c>
      <c r="O4557">
        <v>0.67161499999999996</v>
      </c>
      <c r="P4557">
        <v>0.24731700000000001</v>
      </c>
      <c r="Q4557">
        <v>0.26924300000000001</v>
      </c>
    </row>
    <row r="4558" spans="1:17" x14ac:dyDescent="0.25">
      <c r="A4558" t="str">
        <f>IF(C4558&amp;G4558&amp;D4558&lt;&gt;'Funnel setup'!$K$3&amp;'Funnel setup'!$K$4&amp;'Funnel setup'!$K$6,".",IF(A4557=".",1,A4557+1))</f>
        <v>.</v>
      </c>
      <c r="B4558" s="244" t="str">
        <f t="shared" si="71"/>
        <v>Total Knee ReplacementSub-ICB of GP PracticeNHS CHESHIRE AND MERSEYSIDE ICB - 02E (02E)EQ-5D Index</v>
      </c>
      <c r="C4558" t="s">
        <v>975</v>
      </c>
      <c r="D4558" t="s">
        <v>1021</v>
      </c>
      <c r="E4558" t="s">
        <v>779</v>
      </c>
      <c r="F4558" t="s">
        <v>780</v>
      </c>
      <c r="G4558" t="s">
        <v>963</v>
      </c>
      <c r="H4558">
        <v>40</v>
      </c>
      <c r="I4558">
        <v>0.56420000000000003</v>
      </c>
      <c r="J4558">
        <v>0.79362500000000002</v>
      </c>
      <c r="K4558">
        <v>0.22942499999999999</v>
      </c>
      <c r="L4558">
        <v>30</v>
      </c>
      <c r="M4558">
        <v>5</v>
      </c>
      <c r="N4558">
        <v>5</v>
      </c>
      <c r="O4558">
        <v>0.74012599999999995</v>
      </c>
      <c r="P4558">
        <v>0.31582900000000003</v>
      </c>
      <c r="Q4558">
        <v>0.172597</v>
      </c>
    </row>
    <row r="4559" spans="1:17" x14ac:dyDescent="0.25">
      <c r="A4559" t="str">
        <f>IF(C4559&amp;G4559&amp;D4559&lt;&gt;'Funnel setup'!$K$3&amp;'Funnel setup'!$K$4&amp;'Funnel setup'!$K$6,".",IF(A4558=".",1,A4558+1))</f>
        <v>.</v>
      </c>
      <c r="B4559" s="244" t="str">
        <f t="shared" si="71"/>
        <v>Total Knee ReplacementSub-ICB of GP PracticeNHS CHESHIRE AND MERSEYSIDE ICB - 12F (12F)EQ-5D Index</v>
      </c>
      <c r="C4559" t="s">
        <v>975</v>
      </c>
      <c r="D4559" t="s">
        <v>1021</v>
      </c>
      <c r="E4559" t="s">
        <v>781</v>
      </c>
      <c r="F4559" t="s">
        <v>782</v>
      </c>
      <c r="G4559" t="s">
        <v>963</v>
      </c>
      <c r="H4559">
        <v>78</v>
      </c>
      <c r="I4559">
        <v>0.401615</v>
      </c>
      <c r="J4559">
        <v>0.75358999999999998</v>
      </c>
      <c r="K4559">
        <v>0.35197400000000001</v>
      </c>
      <c r="L4559">
        <v>66</v>
      </c>
      <c r="M4559">
        <v>2</v>
      </c>
      <c r="N4559">
        <v>10</v>
      </c>
      <c r="O4559">
        <v>0.74753800000000004</v>
      </c>
      <c r="P4559">
        <v>0.323241</v>
      </c>
      <c r="Q4559">
        <v>0.25600200000000001</v>
      </c>
    </row>
    <row r="4560" spans="1:17" x14ac:dyDescent="0.25">
      <c r="A4560" t="str">
        <f>IF(C4560&amp;G4560&amp;D4560&lt;&gt;'Funnel setup'!$K$3&amp;'Funnel setup'!$K$4&amp;'Funnel setup'!$K$6,".",IF(A4559=".",1,A4559+1))</f>
        <v>.</v>
      </c>
      <c r="B4560" s="244" t="str">
        <f t="shared" si="71"/>
        <v>Total Knee ReplacementSub-ICB of GP PracticeNHS CHESHIRE AND MERSEYSIDE ICB - 27D (27D)EQ-5D Index</v>
      </c>
      <c r="C4560" t="s">
        <v>975</v>
      </c>
      <c r="D4560" t="s">
        <v>1021</v>
      </c>
      <c r="E4560" t="s">
        <v>783</v>
      </c>
      <c r="F4560" t="s">
        <v>784</v>
      </c>
      <c r="G4560" t="s">
        <v>963</v>
      </c>
      <c r="H4560">
        <v>249</v>
      </c>
      <c r="I4560">
        <v>0.42054200000000003</v>
      </c>
      <c r="J4560">
        <v>0.760791</v>
      </c>
      <c r="K4560">
        <v>0.34024900000000002</v>
      </c>
      <c r="L4560">
        <v>211</v>
      </c>
      <c r="M4560">
        <v>24</v>
      </c>
      <c r="N4560">
        <v>14</v>
      </c>
      <c r="O4560">
        <v>0.760405</v>
      </c>
      <c r="P4560">
        <v>0.33610800000000002</v>
      </c>
      <c r="Q4560">
        <v>0.22082499999999999</v>
      </c>
    </row>
    <row r="4561" spans="1:17" x14ac:dyDescent="0.25">
      <c r="A4561" t="str">
        <f>IF(C4561&amp;G4561&amp;D4561&lt;&gt;'Funnel setup'!$K$3&amp;'Funnel setup'!$K$4&amp;'Funnel setup'!$K$6,".",IF(A4560=".",1,A4560+1))</f>
        <v>.</v>
      </c>
      <c r="B4561" s="244" t="str">
        <f t="shared" si="71"/>
        <v>Total Knee ReplacementSub-ICB of GP PracticeNHS CHESHIRE AND MERSEYSIDE ICB - 99A (99A)EQ-5D Index</v>
      </c>
      <c r="C4561" t="s">
        <v>975</v>
      </c>
      <c r="D4561" t="s">
        <v>1021</v>
      </c>
      <c r="E4561" t="s">
        <v>785</v>
      </c>
      <c r="F4561" t="s">
        <v>786</v>
      </c>
      <c r="G4561" t="s">
        <v>963</v>
      </c>
      <c r="H4561">
        <v>48</v>
      </c>
      <c r="I4561">
        <v>0.22375</v>
      </c>
      <c r="J4561">
        <v>0.638042</v>
      </c>
      <c r="K4561">
        <v>0.41429199999999999</v>
      </c>
      <c r="L4561">
        <v>40</v>
      </c>
      <c r="M4561">
        <v>4</v>
      </c>
      <c r="N4561">
        <v>4</v>
      </c>
      <c r="O4561">
        <v>0.71581799999999995</v>
      </c>
      <c r="P4561">
        <v>0.29152</v>
      </c>
      <c r="Q4561">
        <v>0.25892900000000002</v>
      </c>
    </row>
    <row r="4562" spans="1:17" x14ac:dyDescent="0.25">
      <c r="A4562" t="str">
        <f>IF(C4562&amp;G4562&amp;D4562&lt;&gt;'Funnel setup'!$K$3&amp;'Funnel setup'!$K$4&amp;'Funnel setup'!$K$6,".",IF(A4561=".",1,A4561+1))</f>
        <v>.</v>
      </c>
      <c r="B4562" s="244" t="str">
        <f t="shared" si="71"/>
        <v>Total Knee ReplacementSub-ICB of GP PracticeNHS CORNWALL AND THE ISLES OF SCILLY ICB - 11N (11N)EQ-5D Index</v>
      </c>
      <c r="C4562" t="s">
        <v>975</v>
      </c>
      <c r="D4562" t="s">
        <v>1021</v>
      </c>
      <c r="E4562" t="s">
        <v>787</v>
      </c>
      <c r="F4562" t="s">
        <v>788</v>
      </c>
      <c r="G4562" t="s">
        <v>963</v>
      </c>
      <c r="H4562">
        <v>151</v>
      </c>
      <c r="I4562">
        <v>0.49240400000000001</v>
      </c>
      <c r="J4562">
        <v>0.75819899999999996</v>
      </c>
      <c r="K4562">
        <v>0.265795</v>
      </c>
      <c r="L4562">
        <v>122</v>
      </c>
      <c r="M4562">
        <v>15</v>
      </c>
      <c r="N4562">
        <v>14</v>
      </c>
      <c r="O4562">
        <v>0.75373599999999996</v>
      </c>
      <c r="P4562">
        <v>0.32943899999999998</v>
      </c>
      <c r="Q4562">
        <v>0.210646</v>
      </c>
    </row>
    <row r="4563" spans="1:17" x14ac:dyDescent="0.25">
      <c r="A4563" t="str">
        <f>IF(C4563&amp;G4563&amp;D4563&lt;&gt;'Funnel setup'!$K$3&amp;'Funnel setup'!$K$4&amp;'Funnel setup'!$K$6,".",IF(A4562=".",1,A4562+1))</f>
        <v>.</v>
      </c>
      <c r="B4563" s="244" t="str">
        <f t="shared" si="71"/>
        <v>Total Knee ReplacementSub-ICB of GP PracticeNHS COVENTRY AND WARWICKSHIRE ICB - B2M3M (B2M3M)EQ-5D Index</v>
      </c>
      <c r="C4563" t="s">
        <v>975</v>
      </c>
      <c r="D4563" t="s">
        <v>1021</v>
      </c>
      <c r="E4563" t="s">
        <v>789</v>
      </c>
      <c r="F4563" t="s">
        <v>790</v>
      </c>
      <c r="G4563" t="s">
        <v>963</v>
      </c>
      <c r="H4563">
        <v>228</v>
      </c>
      <c r="I4563">
        <v>0.46212300000000001</v>
      </c>
      <c r="J4563">
        <v>0.78378099999999995</v>
      </c>
      <c r="K4563">
        <v>0.321658</v>
      </c>
      <c r="L4563">
        <v>192</v>
      </c>
      <c r="M4563">
        <v>19</v>
      </c>
      <c r="N4563">
        <v>17</v>
      </c>
      <c r="O4563">
        <v>0.76572799999999996</v>
      </c>
      <c r="P4563">
        <v>0.34143099999999998</v>
      </c>
      <c r="Q4563">
        <v>0.230684</v>
      </c>
    </row>
    <row r="4564" spans="1:17" x14ac:dyDescent="0.25">
      <c r="A4564" t="str">
        <f>IF(C4564&amp;G4564&amp;D4564&lt;&gt;'Funnel setup'!$K$3&amp;'Funnel setup'!$K$4&amp;'Funnel setup'!$K$6,".",IF(A4563=".",1,A4563+1))</f>
        <v>.</v>
      </c>
      <c r="B4564" s="244" t="str">
        <f t="shared" si="71"/>
        <v>Total Knee ReplacementSub-ICB of GP PracticeNHS DERBY AND DERBYSHIRE ICB - 15M (15M)EQ-5D Index</v>
      </c>
      <c r="C4564" t="s">
        <v>975</v>
      </c>
      <c r="D4564" t="s">
        <v>1021</v>
      </c>
      <c r="E4564" t="s">
        <v>791</v>
      </c>
      <c r="F4564" t="s">
        <v>792</v>
      </c>
      <c r="G4564" t="s">
        <v>963</v>
      </c>
      <c r="H4564">
        <v>517</v>
      </c>
      <c r="I4564">
        <v>0.40847</v>
      </c>
      <c r="J4564">
        <v>0.73361900000000002</v>
      </c>
      <c r="K4564">
        <v>0.32514900000000002</v>
      </c>
      <c r="L4564">
        <v>430</v>
      </c>
      <c r="M4564">
        <v>45</v>
      </c>
      <c r="N4564">
        <v>42</v>
      </c>
      <c r="O4564">
        <v>0.74719400000000002</v>
      </c>
      <c r="P4564">
        <v>0.32289699999999999</v>
      </c>
      <c r="Q4564">
        <v>0.22949600000000001</v>
      </c>
    </row>
    <row r="4565" spans="1:17" x14ac:dyDescent="0.25">
      <c r="A4565" t="str">
        <f>IF(C4565&amp;G4565&amp;D4565&lt;&gt;'Funnel setup'!$K$3&amp;'Funnel setup'!$K$4&amp;'Funnel setup'!$K$6,".",IF(A4564=".",1,A4564+1))</f>
        <v>.</v>
      </c>
      <c r="B4565" s="244" t="str">
        <f t="shared" si="71"/>
        <v>Total Knee ReplacementSub-ICB of GP PracticeNHS DEVON ICB - 15N (15N)EQ-5D Index</v>
      </c>
      <c r="C4565" t="s">
        <v>975</v>
      </c>
      <c r="D4565" t="s">
        <v>1021</v>
      </c>
      <c r="E4565" t="s">
        <v>793</v>
      </c>
      <c r="F4565" t="s">
        <v>794</v>
      </c>
      <c r="G4565" t="s">
        <v>963</v>
      </c>
      <c r="H4565">
        <v>384</v>
      </c>
      <c r="I4565">
        <v>0.44983099999999998</v>
      </c>
      <c r="J4565">
        <v>0.76651599999999998</v>
      </c>
      <c r="K4565">
        <v>0.31668499999999999</v>
      </c>
      <c r="L4565">
        <v>325</v>
      </c>
      <c r="M4565">
        <v>31</v>
      </c>
      <c r="N4565">
        <v>28</v>
      </c>
      <c r="O4565">
        <v>0.75942200000000004</v>
      </c>
      <c r="P4565">
        <v>0.33512399999999998</v>
      </c>
      <c r="Q4565">
        <v>0.213869</v>
      </c>
    </row>
    <row r="4566" spans="1:17" x14ac:dyDescent="0.25">
      <c r="A4566" t="str">
        <f>IF(C4566&amp;G4566&amp;D4566&lt;&gt;'Funnel setup'!$K$3&amp;'Funnel setup'!$K$4&amp;'Funnel setup'!$K$6,".",IF(A4565=".",1,A4565+1))</f>
        <v>.</v>
      </c>
      <c r="B4566" s="244" t="str">
        <f t="shared" si="71"/>
        <v>Total Knee ReplacementSub-ICB of GP PracticeNHS DORSET ICB - 11J (11J)EQ-5D Index</v>
      </c>
      <c r="C4566" t="s">
        <v>975</v>
      </c>
      <c r="D4566" t="s">
        <v>1021</v>
      </c>
      <c r="E4566" t="s">
        <v>795</v>
      </c>
      <c r="F4566" t="s">
        <v>796</v>
      </c>
      <c r="G4566" t="s">
        <v>963</v>
      </c>
      <c r="H4566">
        <v>277</v>
      </c>
      <c r="I4566">
        <v>0.492477</v>
      </c>
      <c r="J4566">
        <v>0.77368599999999998</v>
      </c>
      <c r="K4566">
        <v>0.28120899999999999</v>
      </c>
      <c r="L4566">
        <v>228</v>
      </c>
      <c r="M4566">
        <v>21</v>
      </c>
      <c r="N4566">
        <v>28</v>
      </c>
      <c r="O4566">
        <v>0.75761900000000004</v>
      </c>
      <c r="P4566">
        <v>0.33332099999999998</v>
      </c>
      <c r="Q4566">
        <v>0.21501999999999999</v>
      </c>
    </row>
    <row r="4567" spans="1:17" x14ac:dyDescent="0.25">
      <c r="A4567" t="str">
        <f>IF(C4567&amp;G4567&amp;D4567&lt;&gt;'Funnel setup'!$K$3&amp;'Funnel setup'!$K$4&amp;'Funnel setup'!$K$6,".",IF(A4566=".",1,A4566+1))</f>
        <v>.</v>
      </c>
      <c r="B4567" s="244" t="str">
        <f t="shared" si="71"/>
        <v>Total Knee ReplacementSub-ICB of GP PracticeNHS FRIMLEY ICB - D4U1Y (D4U1Y)EQ-5D Index</v>
      </c>
      <c r="C4567" t="s">
        <v>975</v>
      </c>
      <c r="D4567" t="s">
        <v>1021</v>
      </c>
      <c r="E4567" t="s">
        <v>797</v>
      </c>
      <c r="F4567" t="s">
        <v>798</v>
      </c>
      <c r="G4567" t="s">
        <v>963</v>
      </c>
      <c r="H4567">
        <v>182</v>
      </c>
      <c r="I4567">
        <v>0.47592299999999998</v>
      </c>
      <c r="J4567">
        <v>0.73885199999999995</v>
      </c>
      <c r="K4567">
        <v>0.26292900000000002</v>
      </c>
      <c r="L4567">
        <v>144</v>
      </c>
      <c r="M4567">
        <v>13</v>
      </c>
      <c r="N4567">
        <v>25</v>
      </c>
      <c r="O4567">
        <v>0.71701899999999996</v>
      </c>
      <c r="P4567">
        <v>0.29272199999999998</v>
      </c>
      <c r="Q4567">
        <v>0.22275600000000001</v>
      </c>
    </row>
    <row r="4568" spans="1:17" x14ac:dyDescent="0.25">
      <c r="A4568" t="str">
        <f>IF(C4568&amp;G4568&amp;D4568&lt;&gt;'Funnel setup'!$K$3&amp;'Funnel setup'!$K$4&amp;'Funnel setup'!$K$6,".",IF(A4567=".",1,A4567+1))</f>
        <v>.</v>
      </c>
      <c r="B4568" s="244" t="str">
        <f t="shared" si="71"/>
        <v>Total Knee ReplacementSub-ICB of GP PracticeNHS GLOUCESTERSHIRE ICB - 11M (11M)EQ-5D Index</v>
      </c>
      <c r="C4568" t="s">
        <v>975</v>
      </c>
      <c r="D4568" t="s">
        <v>1021</v>
      </c>
      <c r="E4568" t="s">
        <v>799</v>
      </c>
      <c r="F4568" t="s">
        <v>800</v>
      </c>
      <c r="G4568" t="s">
        <v>963</v>
      </c>
      <c r="H4568">
        <v>155</v>
      </c>
      <c r="I4568">
        <v>0.47175499999999998</v>
      </c>
      <c r="J4568">
        <v>0.765845</v>
      </c>
      <c r="K4568">
        <v>0.29409000000000002</v>
      </c>
      <c r="L4568">
        <v>128</v>
      </c>
      <c r="M4568">
        <v>17</v>
      </c>
      <c r="N4568">
        <v>10</v>
      </c>
      <c r="O4568">
        <v>0.74402999999999997</v>
      </c>
      <c r="P4568">
        <v>0.31973299999999999</v>
      </c>
      <c r="Q4568">
        <v>0.24759999999999999</v>
      </c>
    </row>
    <row r="4569" spans="1:17" x14ac:dyDescent="0.25">
      <c r="A4569" t="str">
        <f>IF(C4569&amp;G4569&amp;D4569&lt;&gt;'Funnel setup'!$K$3&amp;'Funnel setup'!$K$4&amp;'Funnel setup'!$K$6,".",IF(A4568=".",1,A4568+1))</f>
        <v>.</v>
      </c>
      <c r="B4569" s="244" t="str">
        <f t="shared" si="71"/>
        <v>Total Knee ReplacementSub-ICB of GP PracticeNHS GREATER MANCHESTER ICB - 00T (00T)EQ-5D Index</v>
      </c>
      <c r="C4569" t="s">
        <v>975</v>
      </c>
      <c r="D4569" t="s">
        <v>1021</v>
      </c>
      <c r="E4569" t="s">
        <v>801</v>
      </c>
      <c r="F4569" t="s">
        <v>802</v>
      </c>
      <c r="G4569" t="s">
        <v>963</v>
      </c>
      <c r="H4569">
        <v>92</v>
      </c>
      <c r="I4569">
        <v>0.42083700000000002</v>
      </c>
      <c r="J4569">
        <v>0.74576100000000001</v>
      </c>
      <c r="K4569">
        <v>0.32492399999999999</v>
      </c>
      <c r="L4569">
        <v>77</v>
      </c>
      <c r="M4569">
        <v>7</v>
      </c>
      <c r="N4569">
        <v>8</v>
      </c>
      <c r="O4569">
        <v>0.750776</v>
      </c>
      <c r="P4569">
        <v>0.32647900000000002</v>
      </c>
      <c r="Q4569">
        <v>0.25098700000000002</v>
      </c>
    </row>
    <row r="4570" spans="1:17" x14ac:dyDescent="0.25">
      <c r="A4570" t="str">
        <f>IF(C4570&amp;G4570&amp;D4570&lt;&gt;'Funnel setup'!$K$3&amp;'Funnel setup'!$K$4&amp;'Funnel setup'!$K$6,".",IF(A4569=".",1,A4569+1))</f>
        <v>.</v>
      </c>
      <c r="B4570" s="244" t="str">
        <f t="shared" si="71"/>
        <v>Total Knee ReplacementSub-ICB of GP PracticeNHS GREATER MANCHESTER ICB - 00V (00V)EQ-5D Index</v>
      </c>
      <c r="C4570" t="s">
        <v>975</v>
      </c>
      <c r="D4570" t="s">
        <v>1021</v>
      </c>
      <c r="E4570" t="s">
        <v>803</v>
      </c>
      <c r="F4570" t="s">
        <v>804</v>
      </c>
      <c r="G4570" t="s">
        <v>963</v>
      </c>
      <c r="H4570">
        <v>17</v>
      </c>
      <c r="I4570">
        <v>0.45617600000000003</v>
      </c>
      <c r="J4570">
        <v>0.71099999999999997</v>
      </c>
      <c r="K4570">
        <v>0.25482399999999999</v>
      </c>
      <c r="L4570">
        <v>13</v>
      </c>
      <c r="M4570">
        <v>2</v>
      </c>
      <c r="N4570">
        <v>2</v>
      </c>
      <c r="O4570" t="s">
        <v>127</v>
      </c>
      <c r="P4570" t="s">
        <v>127</v>
      </c>
      <c r="Q4570" t="s">
        <v>127</v>
      </c>
    </row>
    <row r="4571" spans="1:17" x14ac:dyDescent="0.25">
      <c r="A4571" t="str">
        <f>IF(C4571&amp;G4571&amp;D4571&lt;&gt;'Funnel setup'!$K$3&amp;'Funnel setup'!$K$4&amp;'Funnel setup'!$K$6,".",IF(A4570=".",1,A4570+1))</f>
        <v>.</v>
      </c>
      <c r="B4571" s="244" t="str">
        <f t="shared" si="71"/>
        <v>Total Knee ReplacementSub-ICB of GP PracticeNHS GREATER MANCHESTER ICB - 00Y (00Y)EQ-5D Index</v>
      </c>
      <c r="C4571" t="s">
        <v>975</v>
      </c>
      <c r="D4571" t="s">
        <v>1021</v>
      </c>
      <c r="E4571" t="s">
        <v>805</v>
      </c>
      <c r="F4571" t="s">
        <v>806</v>
      </c>
      <c r="G4571" t="s">
        <v>963</v>
      </c>
      <c r="H4571">
        <v>63</v>
      </c>
      <c r="I4571">
        <v>0.45006299999999999</v>
      </c>
      <c r="J4571">
        <v>0.79885700000000004</v>
      </c>
      <c r="K4571">
        <v>0.34879399999999999</v>
      </c>
      <c r="L4571">
        <v>55</v>
      </c>
      <c r="M4571">
        <v>5</v>
      </c>
      <c r="N4571">
        <v>3</v>
      </c>
      <c r="O4571">
        <v>0.76255600000000001</v>
      </c>
      <c r="P4571">
        <v>0.33825899999999998</v>
      </c>
      <c r="Q4571">
        <v>0.17857600000000001</v>
      </c>
    </row>
    <row r="4572" spans="1:17" x14ac:dyDescent="0.25">
      <c r="A4572" t="str">
        <f>IF(C4572&amp;G4572&amp;D4572&lt;&gt;'Funnel setup'!$K$3&amp;'Funnel setup'!$K$4&amp;'Funnel setup'!$K$6,".",IF(A4571=".",1,A4571+1))</f>
        <v>.</v>
      </c>
      <c r="B4572" s="244" t="str">
        <f t="shared" si="71"/>
        <v>Total Knee ReplacementSub-ICB of GP PracticeNHS GREATER MANCHESTER ICB - 01D (01D)EQ-5D Index</v>
      </c>
      <c r="C4572" t="s">
        <v>975</v>
      </c>
      <c r="D4572" t="s">
        <v>1021</v>
      </c>
      <c r="E4572" t="s">
        <v>807</v>
      </c>
      <c r="F4572" t="s">
        <v>808</v>
      </c>
      <c r="G4572" t="s">
        <v>963</v>
      </c>
      <c r="H4572">
        <v>22</v>
      </c>
      <c r="I4572">
        <v>0.43968200000000002</v>
      </c>
      <c r="J4572">
        <v>0.733545</v>
      </c>
      <c r="K4572">
        <v>0.29386400000000001</v>
      </c>
      <c r="L4572">
        <v>17</v>
      </c>
      <c r="M4572">
        <v>3</v>
      </c>
      <c r="N4572">
        <v>2</v>
      </c>
      <c r="O4572" t="s">
        <v>127</v>
      </c>
      <c r="P4572" t="s">
        <v>127</v>
      </c>
      <c r="Q4572" t="s">
        <v>127</v>
      </c>
    </row>
    <row r="4573" spans="1:17" x14ac:dyDescent="0.25">
      <c r="A4573" t="str">
        <f>IF(C4573&amp;G4573&amp;D4573&lt;&gt;'Funnel setup'!$K$3&amp;'Funnel setup'!$K$4&amp;'Funnel setup'!$K$6,".",IF(A4572=".",1,A4572+1))</f>
        <v>.</v>
      </c>
      <c r="B4573" s="244" t="str">
        <f t="shared" si="71"/>
        <v>Total Knee ReplacementSub-ICB of GP PracticeNHS GREATER MANCHESTER ICB - 01G (01G)EQ-5D Index</v>
      </c>
      <c r="C4573" t="s">
        <v>975</v>
      </c>
      <c r="D4573" t="s">
        <v>1021</v>
      </c>
      <c r="E4573" t="s">
        <v>809</v>
      </c>
      <c r="F4573" t="s">
        <v>810</v>
      </c>
      <c r="G4573" t="s">
        <v>963</v>
      </c>
      <c r="H4573">
        <v>56</v>
      </c>
      <c r="I4573">
        <v>0.35103600000000001</v>
      </c>
      <c r="J4573">
        <v>0.73244600000000004</v>
      </c>
      <c r="K4573">
        <v>0.381411</v>
      </c>
      <c r="L4573">
        <v>44</v>
      </c>
      <c r="M4573">
        <v>6</v>
      </c>
      <c r="N4573">
        <v>6</v>
      </c>
      <c r="O4573">
        <v>0.75647699999999996</v>
      </c>
      <c r="P4573">
        <v>0.332179</v>
      </c>
      <c r="Q4573">
        <v>0.26302900000000001</v>
      </c>
    </row>
    <row r="4574" spans="1:17" x14ac:dyDescent="0.25">
      <c r="A4574" t="str">
        <f>IF(C4574&amp;G4574&amp;D4574&lt;&gt;'Funnel setup'!$K$3&amp;'Funnel setup'!$K$4&amp;'Funnel setup'!$K$6,".",IF(A4573=".",1,A4573+1))</f>
        <v>.</v>
      </c>
      <c r="B4574" s="244" t="str">
        <f t="shared" si="71"/>
        <v>Total Knee ReplacementSub-ICB of GP PracticeNHS GREATER MANCHESTER ICB - 01W (01W)EQ-5D Index</v>
      </c>
      <c r="C4574" t="s">
        <v>975</v>
      </c>
      <c r="D4574" t="s">
        <v>1021</v>
      </c>
      <c r="E4574" t="s">
        <v>811</v>
      </c>
      <c r="F4574" t="s">
        <v>812</v>
      </c>
      <c r="G4574" t="s">
        <v>963</v>
      </c>
      <c r="H4574">
        <v>55</v>
      </c>
      <c r="I4574">
        <v>0.43589099999999997</v>
      </c>
      <c r="J4574">
        <v>0.75925500000000001</v>
      </c>
      <c r="K4574">
        <v>0.32336399999999998</v>
      </c>
      <c r="L4574">
        <v>46</v>
      </c>
      <c r="M4574">
        <v>2</v>
      </c>
      <c r="N4574">
        <v>7</v>
      </c>
      <c r="O4574">
        <v>0.75274799999999997</v>
      </c>
      <c r="P4574">
        <v>0.32845000000000002</v>
      </c>
      <c r="Q4574">
        <v>0.23683899999999999</v>
      </c>
    </row>
    <row r="4575" spans="1:17" x14ac:dyDescent="0.25">
      <c r="A4575" t="str">
        <f>IF(C4575&amp;G4575&amp;D4575&lt;&gt;'Funnel setup'!$K$3&amp;'Funnel setup'!$K$4&amp;'Funnel setup'!$K$6,".",IF(A4574=".",1,A4574+1))</f>
        <v>.</v>
      </c>
      <c r="B4575" s="244" t="str">
        <f t="shared" si="71"/>
        <v>Total Knee ReplacementSub-ICB of GP PracticeNHS GREATER MANCHESTER ICB - 01Y (01Y)EQ-5D Index</v>
      </c>
      <c r="C4575" t="s">
        <v>975</v>
      </c>
      <c r="D4575" t="s">
        <v>1021</v>
      </c>
      <c r="E4575" t="s">
        <v>813</v>
      </c>
      <c r="F4575" t="s">
        <v>814</v>
      </c>
      <c r="G4575" t="s">
        <v>963</v>
      </c>
      <c r="H4575">
        <v>23</v>
      </c>
      <c r="I4575">
        <v>0.44560899999999998</v>
      </c>
      <c r="J4575">
        <v>0.765652</v>
      </c>
      <c r="K4575">
        <v>0.32004300000000002</v>
      </c>
      <c r="L4575">
        <v>20</v>
      </c>
      <c r="M4575">
        <v>0</v>
      </c>
      <c r="N4575">
        <v>3</v>
      </c>
      <c r="O4575" t="s">
        <v>127</v>
      </c>
      <c r="P4575" t="s">
        <v>127</v>
      </c>
      <c r="Q4575" t="s">
        <v>127</v>
      </c>
    </row>
    <row r="4576" spans="1:17" x14ac:dyDescent="0.25">
      <c r="A4576" t="str">
        <f>IF(C4576&amp;G4576&amp;D4576&lt;&gt;'Funnel setup'!$K$3&amp;'Funnel setup'!$K$4&amp;'Funnel setup'!$K$6,".",IF(A4575=".",1,A4575+1))</f>
        <v>.</v>
      </c>
      <c r="B4576" s="244" t="str">
        <f t="shared" si="71"/>
        <v>Total Knee ReplacementSub-ICB of GP PracticeNHS GREATER MANCHESTER ICB - 02A (02A)EQ-5D Index</v>
      </c>
      <c r="C4576" t="s">
        <v>975</v>
      </c>
      <c r="D4576" t="s">
        <v>1021</v>
      </c>
      <c r="E4576" t="s">
        <v>815</v>
      </c>
      <c r="F4576" t="s">
        <v>816</v>
      </c>
      <c r="G4576" t="s">
        <v>963</v>
      </c>
      <c r="H4576">
        <v>82</v>
      </c>
      <c r="I4576">
        <v>0.378085</v>
      </c>
      <c r="J4576">
        <v>0.690805</v>
      </c>
      <c r="K4576">
        <v>0.31272</v>
      </c>
      <c r="L4576">
        <v>61</v>
      </c>
      <c r="M4576">
        <v>11</v>
      </c>
      <c r="N4576">
        <v>10</v>
      </c>
      <c r="O4576">
        <v>0.69474899999999995</v>
      </c>
      <c r="P4576">
        <v>0.27045200000000003</v>
      </c>
      <c r="Q4576">
        <v>0.27338899999999999</v>
      </c>
    </row>
    <row r="4577" spans="1:17" x14ac:dyDescent="0.25">
      <c r="A4577" t="str">
        <f>IF(C4577&amp;G4577&amp;D4577&lt;&gt;'Funnel setup'!$K$3&amp;'Funnel setup'!$K$4&amp;'Funnel setup'!$K$6,".",IF(A4576=".",1,A4576+1))</f>
        <v>.</v>
      </c>
      <c r="B4577" s="244" t="str">
        <f t="shared" si="71"/>
        <v>Total Knee ReplacementSub-ICB of GP PracticeNHS GREATER MANCHESTER ICB - 02H (02H)EQ-5D Index</v>
      </c>
      <c r="C4577" t="s">
        <v>975</v>
      </c>
      <c r="D4577" t="s">
        <v>1021</v>
      </c>
      <c r="E4577" t="s">
        <v>817</v>
      </c>
      <c r="F4577" t="s">
        <v>818</v>
      </c>
      <c r="G4577" t="s">
        <v>963</v>
      </c>
      <c r="H4577">
        <v>28</v>
      </c>
      <c r="I4577">
        <v>0.389679</v>
      </c>
      <c r="J4577">
        <v>0.72467899999999996</v>
      </c>
      <c r="K4577">
        <v>0.33500000000000002</v>
      </c>
      <c r="L4577">
        <v>23</v>
      </c>
      <c r="M4577">
        <v>3</v>
      </c>
      <c r="N4577">
        <v>2</v>
      </c>
      <c r="O4577" t="s">
        <v>127</v>
      </c>
      <c r="P4577" t="s">
        <v>127</v>
      </c>
      <c r="Q4577" t="s">
        <v>127</v>
      </c>
    </row>
    <row r="4578" spans="1:17" x14ac:dyDescent="0.25">
      <c r="A4578" t="str">
        <f>IF(C4578&amp;G4578&amp;D4578&lt;&gt;'Funnel setup'!$K$3&amp;'Funnel setup'!$K$4&amp;'Funnel setup'!$K$6,".",IF(A4577=".",1,A4577+1))</f>
        <v>.</v>
      </c>
      <c r="B4578" s="244" t="str">
        <f t="shared" si="71"/>
        <v>Total Knee ReplacementSub-ICB of GP PracticeNHS GREATER MANCHESTER ICB - 14L (14L)EQ-5D Index</v>
      </c>
      <c r="C4578" t="s">
        <v>975</v>
      </c>
      <c r="D4578" t="s">
        <v>1021</v>
      </c>
      <c r="E4578" t="s">
        <v>819</v>
      </c>
      <c r="F4578" t="s">
        <v>820</v>
      </c>
      <c r="G4578" t="s">
        <v>963</v>
      </c>
      <c r="H4578">
        <v>57</v>
      </c>
      <c r="I4578">
        <v>0.28694700000000001</v>
      </c>
      <c r="J4578">
        <v>0.68242100000000006</v>
      </c>
      <c r="K4578">
        <v>0.39547399999999999</v>
      </c>
      <c r="L4578">
        <v>49</v>
      </c>
      <c r="M4578">
        <v>2</v>
      </c>
      <c r="N4578">
        <v>6</v>
      </c>
      <c r="O4578">
        <v>0.75609800000000005</v>
      </c>
      <c r="P4578">
        <v>0.33180100000000001</v>
      </c>
      <c r="Q4578">
        <v>0.27586300000000002</v>
      </c>
    </row>
    <row r="4579" spans="1:17" x14ac:dyDescent="0.25">
      <c r="A4579" t="str">
        <f>IF(C4579&amp;G4579&amp;D4579&lt;&gt;'Funnel setup'!$K$3&amp;'Funnel setup'!$K$4&amp;'Funnel setup'!$K$6,".",IF(A4578=".",1,A4578+1))</f>
        <v>.</v>
      </c>
      <c r="B4579" s="244" t="str">
        <f t="shared" si="71"/>
        <v>Total Knee ReplacementSub-ICB of GP PracticeNHS HAMPSHIRE AND ISLE OF WIGHT ICB - 10R (10R)EQ-5D Index</v>
      </c>
      <c r="C4579" t="s">
        <v>975</v>
      </c>
      <c r="D4579" t="s">
        <v>1021</v>
      </c>
      <c r="E4579" t="s">
        <v>821</v>
      </c>
      <c r="F4579" t="s">
        <v>822</v>
      </c>
      <c r="G4579" t="s">
        <v>963</v>
      </c>
      <c r="H4579">
        <v>11</v>
      </c>
      <c r="I4579">
        <v>0.361182</v>
      </c>
      <c r="J4579">
        <v>0.68336399999999997</v>
      </c>
      <c r="K4579">
        <v>0.32218200000000002</v>
      </c>
      <c r="L4579">
        <v>9</v>
      </c>
      <c r="M4579">
        <v>1</v>
      </c>
      <c r="N4579">
        <v>1</v>
      </c>
      <c r="O4579" t="s">
        <v>127</v>
      </c>
      <c r="P4579" t="s">
        <v>127</v>
      </c>
      <c r="Q4579" t="s">
        <v>127</v>
      </c>
    </row>
    <row r="4580" spans="1:17" x14ac:dyDescent="0.25">
      <c r="A4580" t="str">
        <f>IF(C4580&amp;G4580&amp;D4580&lt;&gt;'Funnel setup'!$K$3&amp;'Funnel setup'!$K$4&amp;'Funnel setup'!$K$6,".",IF(A4579=".",1,A4579+1))</f>
        <v>.</v>
      </c>
      <c r="B4580" s="244" t="str">
        <f t="shared" si="71"/>
        <v>Total Knee ReplacementSub-ICB of GP PracticeNHS HAMPSHIRE AND ISLE OF WIGHT ICB - D9Y0V (D9Y0V)EQ-5D Index</v>
      </c>
      <c r="C4580" t="s">
        <v>975</v>
      </c>
      <c r="D4580" t="s">
        <v>1021</v>
      </c>
      <c r="E4580" t="s">
        <v>823</v>
      </c>
      <c r="F4580" t="s">
        <v>824</v>
      </c>
      <c r="G4580" t="s">
        <v>963</v>
      </c>
      <c r="H4580">
        <v>371</v>
      </c>
      <c r="I4580">
        <v>0.45484400000000003</v>
      </c>
      <c r="J4580">
        <v>0.76218600000000003</v>
      </c>
      <c r="K4580">
        <v>0.307342</v>
      </c>
      <c r="L4580">
        <v>303</v>
      </c>
      <c r="M4580">
        <v>33</v>
      </c>
      <c r="N4580">
        <v>35</v>
      </c>
      <c r="O4580">
        <v>0.75405999999999995</v>
      </c>
      <c r="P4580">
        <v>0.32976299999999997</v>
      </c>
      <c r="Q4580">
        <v>0.237845</v>
      </c>
    </row>
    <row r="4581" spans="1:17" x14ac:dyDescent="0.25">
      <c r="A4581" t="str">
        <f>IF(C4581&amp;G4581&amp;D4581&lt;&gt;'Funnel setup'!$K$3&amp;'Funnel setup'!$K$4&amp;'Funnel setup'!$K$6,".",IF(A4580=".",1,A4580+1))</f>
        <v>.</v>
      </c>
      <c r="B4581" s="244" t="str">
        <f t="shared" si="71"/>
        <v>Total Knee ReplacementSub-ICB of GP PracticeNHS HEREFORDSHIRE AND WORCESTERSHIRE ICB - 18C (18C)EQ-5D Index</v>
      </c>
      <c r="C4581" t="s">
        <v>975</v>
      </c>
      <c r="D4581" t="s">
        <v>1021</v>
      </c>
      <c r="E4581" t="s">
        <v>825</v>
      </c>
      <c r="F4581" t="s">
        <v>826</v>
      </c>
      <c r="G4581" t="s">
        <v>963</v>
      </c>
      <c r="H4581">
        <v>211</v>
      </c>
      <c r="I4581">
        <v>0.40913699999999997</v>
      </c>
      <c r="J4581">
        <v>0.76213299999999995</v>
      </c>
      <c r="K4581">
        <v>0.352995</v>
      </c>
      <c r="L4581">
        <v>177</v>
      </c>
      <c r="M4581">
        <v>14</v>
      </c>
      <c r="N4581">
        <v>20</v>
      </c>
      <c r="O4581">
        <v>0.76487799999999995</v>
      </c>
      <c r="P4581">
        <v>0.34058100000000002</v>
      </c>
      <c r="Q4581">
        <v>0.23841399999999999</v>
      </c>
    </row>
    <row r="4582" spans="1:17" x14ac:dyDescent="0.25">
      <c r="A4582" t="str">
        <f>IF(C4582&amp;G4582&amp;D4582&lt;&gt;'Funnel setup'!$K$3&amp;'Funnel setup'!$K$4&amp;'Funnel setup'!$K$6,".",IF(A4581=".",1,A4581+1))</f>
        <v>.</v>
      </c>
      <c r="B4582" s="244" t="str">
        <f t="shared" si="71"/>
        <v>Total Knee ReplacementSub-ICB of GP PracticeNHS HERTFORDSHIRE AND WEST ESSEX ICB - 06K (06K)EQ-5D Index</v>
      </c>
      <c r="C4582" t="s">
        <v>975</v>
      </c>
      <c r="D4582" t="s">
        <v>1021</v>
      </c>
      <c r="E4582" t="s">
        <v>827</v>
      </c>
      <c r="F4582" t="s">
        <v>828</v>
      </c>
      <c r="G4582" t="s">
        <v>963</v>
      </c>
      <c r="H4582">
        <v>91</v>
      </c>
      <c r="I4582">
        <v>0.42816500000000002</v>
      </c>
      <c r="J4582">
        <v>0.72693399999999997</v>
      </c>
      <c r="K4582">
        <v>0.29876900000000001</v>
      </c>
      <c r="L4582">
        <v>72</v>
      </c>
      <c r="M4582">
        <v>9</v>
      </c>
      <c r="N4582">
        <v>10</v>
      </c>
      <c r="O4582">
        <v>0.71453100000000003</v>
      </c>
      <c r="P4582">
        <v>0.29023300000000002</v>
      </c>
      <c r="Q4582">
        <v>0.25183299999999997</v>
      </c>
    </row>
    <row r="4583" spans="1:17" x14ac:dyDescent="0.25">
      <c r="A4583" t="str">
        <f>IF(C4583&amp;G4583&amp;D4583&lt;&gt;'Funnel setup'!$K$3&amp;'Funnel setup'!$K$4&amp;'Funnel setup'!$K$6,".",IF(A4582=".",1,A4582+1))</f>
        <v>.</v>
      </c>
      <c r="B4583" s="244" t="str">
        <f t="shared" si="71"/>
        <v>Total Knee ReplacementSub-ICB of GP PracticeNHS HERTFORDSHIRE AND WEST ESSEX ICB - 06N (06N)EQ-5D Index</v>
      </c>
      <c r="C4583" t="s">
        <v>975</v>
      </c>
      <c r="D4583" t="s">
        <v>1021</v>
      </c>
      <c r="E4583" t="s">
        <v>829</v>
      </c>
      <c r="F4583" t="s">
        <v>830</v>
      </c>
      <c r="G4583" t="s">
        <v>963</v>
      </c>
      <c r="H4583">
        <v>123</v>
      </c>
      <c r="I4583">
        <v>0.44339800000000001</v>
      </c>
      <c r="J4583">
        <v>0.71505700000000005</v>
      </c>
      <c r="K4583">
        <v>0.27165899999999998</v>
      </c>
      <c r="L4583">
        <v>92</v>
      </c>
      <c r="M4583">
        <v>16</v>
      </c>
      <c r="N4583">
        <v>15</v>
      </c>
      <c r="O4583">
        <v>0.71294900000000005</v>
      </c>
      <c r="P4583">
        <v>0.28865099999999999</v>
      </c>
      <c r="Q4583">
        <v>0.24515400000000001</v>
      </c>
    </row>
    <row r="4584" spans="1:17" x14ac:dyDescent="0.25">
      <c r="A4584" t="str">
        <f>IF(C4584&amp;G4584&amp;D4584&lt;&gt;'Funnel setup'!$K$3&amp;'Funnel setup'!$K$4&amp;'Funnel setup'!$K$6,".",IF(A4583=".",1,A4583+1))</f>
        <v>.</v>
      </c>
      <c r="B4584" s="244" t="str">
        <f t="shared" si="71"/>
        <v>Total Knee ReplacementSub-ICB of GP PracticeNHS HERTFORDSHIRE AND WEST ESSEX ICB - 07H (07H)EQ-5D Index</v>
      </c>
      <c r="C4584" t="s">
        <v>975</v>
      </c>
      <c r="D4584" t="s">
        <v>1021</v>
      </c>
      <c r="E4584" t="s">
        <v>831</v>
      </c>
      <c r="F4584" t="s">
        <v>832</v>
      </c>
      <c r="G4584" t="s">
        <v>963</v>
      </c>
      <c r="H4584">
        <v>67</v>
      </c>
      <c r="I4584">
        <v>0.45814899999999997</v>
      </c>
      <c r="J4584">
        <v>0.76813399999999998</v>
      </c>
      <c r="K4584">
        <v>0.30998500000000001</v>
      </c>
      <c r="L4584">
        <v>50</v>
      </c>
      <c r="M4584">
        <v>11</v>
      </c>
      <c r="N4584">
        <v>6</v>
      </c>
      <c r="O4584">
        <v>0.746062</v>
      </c>
      <c r="P4584">
        <v>0.32176399999999999</v>
      </c>
      <c r="Q4584">
        <v>0.223385</v>
      </c>
    </row>
    <row r="4585" spans="1:17" x14ac:dyDescent="0.25">
      <c r="A4585" t="str">
        <f>IF(C4585&amp;G4585&amp;D4585&lt;&gt;'Funnel setup'!$K$3&amp;'Funnel setup'!$K$4&amp;'Funnel setup'!$K$6,".",IF(A4584=".",1,A4584+1))</f>
        <v>.</v>
      </c>
      <c r="B4585" s="244" t="str">
        <f t="shared" si="71"/>
        <v>Total Knee ReplacementSub-ICB of GP PracticeNHS HUMBER AND NORTH YORKSHIRE ICB - 02Y (02Y)EQ-5D Index</v>
      </c>
      <c r="C4585" t="s">
        <v>975</v>
      </c>
      <c r="D4585" t="s">
        <v>1021</v>
      </c>
      <c r="E4585" t="s">
        <v>833</v>
      </c>
      <c r="F4585" t="s">
        <v>834</v>
      </c>
      <c r="G4585" t="s">
        <v>963</v>
      </c>
      <c r="H4585">
        <v>75</v>
      </c>
      <c r="I4585">
        <v>0.46955999999999998</v>
      </c>
      <c r="J4585">
        <v>0.72241299999999997</v>
      </c>
      <c r="K4585">
        <v>0.25285299999999999</v>
      </c>
      <c r="L4585">
        <v>54</v>
      </c>
      <c r="M4585">
        <v>12</v>
      </c>
      <c r="N4585">
        <v>9</v>
      </c>
      <c r="O4585">
        <v>0.70502200000000004</v>
      </c>
      <c r="P4585">
        <v>0.280725</v>
      </c>
      <c r="Q4585">
        <v>0.221832</v>
      </c>
    </row>
    <row r="4586" spans="1:17" x14ac:dyDescent="0.25">
      <c r="A4586" t="str">
        <f>IF(C4586&amp;G4586&amp;D4586&lt;&gt;'Funnel setup'!$K$3&amp;'Funnel setup'!$K$4&amp;'Funnel setup'!$K$6,".",IF(A4585=".",1,A4585+1))</f>
        <v>.</v>
      </c>
      <c r="B4586" s="244" t="str">
        <f t="shared" si="71"/>
        <v>Total Knee ReplacementSub-ICB of GP PracticeNHS HUMBER AND NORTH YORKSHIRE ICB - 03F (03F)EQ-5D Index</v>
      </c>
      <c r="C4586" t="s">
        <v>975</v>
      </c>
      <c r="D4586" t="s">
        <v>1021</v>
      </c>
      <c r="E4586" t="s">
        <v>835</v>
      </c>
      <c r="F4586" t="s">
        <v>836</v>
      </c>
      <c r="G4586" t="s">
        <v>963</v>
      </c>
      <c r="H4586">
        <v>27</v>
      </c>
      <c r="I4586">
        <v>0.36733300000000002</v>
      </c>
      <c r="J4586">
        <v>0.72692599999999996</v>
      </c>
      <c r="K4586">
        <v>0.359593</v>
      </c>
      <c r="L4586">
        <v>24</v>
      </c>
      <c r="M4586">
        <v>1</v>
      </c>
      <c r="N4586">
        <v>2</v>
      </c>
      <c r="O4586" t="s">
        <v>127</v>
      </c>
      <c r="P4586" t="s">
        <v>127</v>
      </c>
      <c r="Q4586" t="s">
        <v>127</v>
      </c>
    </row>
    <row r="4587" spans="1:17" x14ac:dyDescent="0.25">
      <c r="A4587" t="str">
        <f>IF(C4587&amp;G4587&amp;D4587&lt;&gt;'Funnel setup'!$K$3&amp;'Funnel setup'!$K$4&amp;'Funnel setup'!$K$6,".",IF(A4586=".",1,A4586+1))</f>
        <v>.</v>
      </c>
      <c r="B4587" s="244" t="str">
        <f t="shared" si="71"/>
        <v>Total Knee ReplacementSub-ICB of GP PracticeNHS HUMBER AND NORTH YORKSHIRE ICB - 03H (03H)EQ-5D Index</v>
      </c>
      <c r="C4587" t="s">
        <v>975</v>
      </c>
      <c r="D4587" t="s">
        <v>1021</v>
      </c>
      <c r="E4587" t="s">
        <v>837</v>
      </c>
      <c r="F4587" t="s">
        <v>838</v>
      </c>
      <c r="G4587" t="s">
        <v>963</v>
      </c>
      <c r="H4587">
        <v>81</v>
      </c>
      <c r="I4587">
        <v>0.414383</v>
      </c>
      <c r="J4587">
        <v>0.77248099999999997</v>
      </c>
      <c r="K4587">
        <v>0.358099</v>
      </c>
      <c r="L4587">
        <v>68</v>
      </c>
      <c r="M4587">
        <v>5</v>
      </c>
      <c r="N4587">
        <v>8</v>
      </c>
      <c r="O4587">
        <v>0.75736800000000004</v>
      </c>
      <c r="P4587">
        <v>0.33306999999999998</v>
      </c>
      <c r="Q4587">
        <v>0.193025</v>
      </c>
    </row>
    <row r="4588" spans="1:17" x14ac:dyDescent="0.25">
      <c r="A4588" t="str">
        <f>IF(C4588&amp;G4588&amp;D4588&lt;&gt;'Funnel setup'!$K$3&amp;'Funnel setup'!$K$4&amp;'Funnel setup'!$K$6,".",IF(A4587=".",1,A4587+1))</f>
        <v>.</v>
      </c>
      <c r="B4588" s="244" t="str">
        <f t="shared" si="71"/>
        <v>Total Knee ReplacementSub-ICB of GP PracticeNHS HUMBER AND NORTH YORKSHIRE ICB - 03K (03K)EQ-5D Index</v>
      </c>
      <c r="C4588" t="s">
        <v>975</v>
      </c>
      <c r="D4588" t="s">
        <v>1021</v>
      </c>
      <c r="E4588" t="s">
        <v>839</v>
      </c>
      <c r="F4588" t="s">
        <v>840</v>
      </c>
      <c r="G4588" t="s">
        <v>963</v>
      </c>
      <c r="H4588">
        <v>69</v>
      </c>
      <c r="I4588">
        <v>0.407362</v>
      </c>
      <c r="J4588">
        <v>0.70901400000000003</v>
      </c>
      <c r="K4588">
        <v>0.30165199999999998</v>
      </c>
      <c r="L4588">
        <v>51</v>
      </c>
      <c r="M4588">
        <v>5</v>
      </c>
      <c r="N4588">
        <v>13</v>
      </c>
      <c r="O4588">
        <v>0.70935000000000004</v>
      </c>
      <c r="P4588">
        <v>0.285053</v>
      </c>
      <c r="Q4588">
        <v>0.26500200000000002</v>
      </c>
    </row>
    <row r="4589" spans="1:17" x14ac:dyDescent="0.25">
      <c r="A4589" t="str">
        <f>IF(C4589&amp;G4589&amp;D4589&lt;&gt;'Funnel setup'!$K$3&amp;'Funnel setup'!$K$4&amp;'Funnel setup'!$K$6,".",IF(A4588=".",1,A4588+1))</f>
        <v>.</v>
      </c>
      <c r="B4589" s="244" t="str">
        <f t="shared" si="71"/>
        <v>Total Knee ReplacementSub-ICB of GP PracticeNHS HUMBER AND NORTH YORKSHIRE ICB - 03Q (03Q)EQ-5D Index</v>
      </c>
      <c r="C4589" t="s">
        <v>975</v>
      </c>
      <c r="D4589" t="s">
        <v>1021</v>
      </c>
      <c r="E4589" t="s">
        <v>841</v>
      </c>
      <c r="F4589" t="s">
        <v>842</v>
      </c>
      <c r="G4589" t="s">
        <v>963</v>
      </c>
      <c r="H4589">
        <v>75</v>
      </c>
      <c r="I4589">
        <v>0.47504000000000002</v>
      </c>
      <c r="J4589">
        <v>0.76342699999999997</v>
      </c>
      <c r="K4589">
        <v>0.288387</v>
      </c>
      <c r="L4589">
        <v>61</v>
      </c>
      <c r="M4589">
        <v>8</v>
      </c>
      <c r="N4589">
        <v>6</v>
      </c>
      <c r="O4589">
        <v>0.739541</v>
      </c>
      <c r="P4589">
        <v>0.31524400000000002</v>
      </c>
      <c r="Q4589">
        <v>0.21241599999999999</v>
      </c>
    </row>
    <row r="4590" spans="1:17" x14ac:dyDescent="0.25">
      <c r="A4590" t="str">
        <f>IF(C4590&amp;G4590&amp;D4590&lt;&gt;'Funnel setup'!$K$3&amp;'Funnel setup'!$K$4&amp;'Funnel setup'!$K$6,".",IF(A4589=".",1,A4589+1))</f>
        <v>.</v>
      </c>
      <c r="B4590" s="244" t="str">
        <f t="shared" si="71"/>
        <v>Total Knee ReplacementSub-ICB of GP PracticeNHS HUMBER AND NORTH YORKSHIRE ICB - 42D (42D)EQ-5D Index</v>
      </c>
      <c r="C4590" t="s">
        <v>975</v>
      </c>
      <c r="D4590" t="s">
        <v>1021</v>
      </c>
      <c r="E4590" t="s">
        <v>843</v>
      </c>
      <c r="F4590" t="s">
        <v>844</v>
      </c>
      <c r="G4590" t="s">
        <v>963</v>
      </c>
      <c r="H4590">
        <v>204</v>
      </c>
      <c r="I4590">
        <v>0.390461</v>
      </c>
      <c r="J4590">
        <v>0.78866199999999997</v>
      </c>
      <c r="K4590">
        <v>0.39820100000000003</v>
      </c>
      <c r="L4590">
        <v>179</v>
      </c>
      <c r="M4590">
        <v>8</v>
      </c>
      <c r="N4590">
        <v>17</v>
      </c>
      <c r="O4590">
        <v>0.78900999999999999</v>
      </c>
      <c r="P4590">
        <v>0.36471300000000001</v>
      </c>
      <c r="Q4590">
        <v>0.22900100000000001</v>
      </c>
    </row>
    <row r="4591" spans="1:17" x14ac:dyDescent="0.25">
      <c r="A4591" t="str">
        <f>IF(C4591&amp;G4591&amp;D4591&lt;&gt;'Funnel setup'!$K$3&amp;'Funnel setup'!$K$4&amp;'Funnel setup'!$K$6,".",IF(A4590=".",1,A4590+1))</f>
        <v>.</v>
      </c>
      <c r="B4591" s="244" t="str">
        <f t="shared" si="71"/>
        <v>Total Knee ReplacementSub-ICB of GP PracticeNHS KENT AND MEDWAY ICB - 91Q (91Q)EQ-5D Index</v>
      </c>
      <c r="C4591" t="s">
        <v>975</v>
      </c>
      <c r="D4591" t="s">
        <v>1021</v>
      </c>
      <c r="E4591" t="s">
        <v>845</v>
      </c>
      <c r="F4591" t="s">
        <v>846</v>
      </c>
      <c r="G4591" t="s">
        <v>963</v>
      </c>
      <c r="H4591">
        <v>577</v>
      </c>
      <c r="I4591">
        <v>0.47151999999999999</v>
      </c>
      <c r="J4591">
        <v>0.79136399999999996</v>
      </c>
      <c r="K4591">
        <v>0.31984400000000002</v>
      </c>
      <c r="L4591">
        <v>481</v>
      </c>
      <c r="M4591">
        <v>50</v>
      </c>
      <c r="N4591">
        <v>46</v>
      </c>
      <c r="O4591">
        <v>0.77596500000000002</v>
      </c>
      <c r="P4591">
        <v>0.35166799999999998</v>
      </c>
      <c r="Q4591">
        <v>0.20652999999999999</v>
      </c>
    </row>
    <row r="4592" spans="1:17" x14ac:dyDescent="0.25">
      <c r="A4592" t="str">
        <f>IF(C4592&amp;G4592&amp;D4592&lt;&gt;'Funnel setup'!$K$3&amp;'Funnel setup'!$K$4&amp;'Funnel setup'!$K$6,".",IF(A4591=".",1,A4591+1))</f>
        <v>.</v>
      </c>
      <c r="B4592" s="244" t="str">
        <f t="shared" si="71"/>
        <v>Total Knee ReplacementSub-ICB of GP PracticeNHS LANCASHIRE AND SOUTH CUMBRIA ICB - 00Q (00Q)EQ-5D Index</v>
      </c>
      <c r="C4592" t="s">
        <v>975</v>
      </c>
      <c r="D4592" t="s">
        <v>1021</v>
      </c>
      <c r="E4592" t="s">
        <v>847</v>
      </c>
      <c r="F4592" t="s">
        <v>848</v>
      </c>
      <c r="G4592" t="s">
        <v>963</v>
      </c>
      <c r="H4592">
        <v>48</v>
      </c>
      <c r="I4592">
        <v>0.43487500000000001</v>
      </c>
      <c r="J4592">
        <v>0.65479200000000004</v>
      </c>
      <c r="K4592">
        <v>0.219917</v>
      </c>
      <c r="L4592">
        <v>35</v>
      </c>
      <c r="M4592">
        <v>8</v>
      </c>
      <c r="N4592">
        <v>5</v>
      </c>
      <c r="O4592">
        <v>0.658412</v>
      </c>
      <c r="P4592">
        <v>0.23411399999999999</v>
      </c>
      <c r="Q4592">
        <v>0.26086900000000002</v>
      </c>
    </row>
    <row r="4593" spans="1:17" x14ac:dyDescent="0.25">
      <c r="A4593" t="str">
        <f>IF(C4593&amp;G4593&amp;D4593&lt;&gt;'Funnel setup'!$K$3&amp;'Funnel setup'!$K$4&amp;'Funnel setup'!$K$6,".",IF(A4592=".",1,A4592+1))</f>
        <v>.</v>
      </c>
      <c r="B4593" s="244" t="str">
        <f t="shared" si="71"/>
        <v>Total Knee ReplacementSub-ICB of GP PracticeNHS LANCASHIRE AND SOUTH CUMBRIA ICB - 00R (00R)EQ-5D Index</v>
      </c>
      <c r="C4593" t="s">
        <v>975</v>
      </c>
      <c r="D4593" t="s">
        <v>1021</v>
      </c>
      <c r="E4593" t="s">
        <v>849</v>
      </c>
      <c r="F4593" t="s">
        <v>850</v>
      </c>
      <c r="G4593" t="s">
        <v>963</v>
      </c>
      <c r="H4593">
        <v>47</v>
      </c>
      <c r="I4593">
        <v>0.43870199999999998</v>
      </c>
      <c r="J4593">
        <v>0.70876600000000001</v>
      </c>
      <c r="K4593">
        <v>0.27006400000000003</v>
      </c>
      <c r="L4593">
        <v>37</v>
      </c>
      <c r="M4593">
        <v>5</v>
      </c>
      <c r="N4593">
        <v>5</v>
      </c>
      <c r="O4593">
        <v>0.75668000000000002</v>
      </c>
      <c r="P4593">
        <v>0.33238200000000001</v>
      </c>
      <c r="Q4593">
        <v>0.240564</v>
      </c>
    </row>
    <row r="4594" spans="1:17" x14ac:dyDescent="0.25">
      <c r="A4594" t="str">
        <f>IF(C4594&amp;G4594&amp;D4594&lt;&gt;'Funnel setup'!$K$3&amp;'Funnel setup'!$K$4&amp;'Funnel setup'!$K$6,".",IF(A4593=".",1,A4593+1))</f>
        <v>.</v>
      </c>
      <c r="B4594" s="244" t="str">
        <f t="shared" si="71"/>
        <v>Total Knee ReplacementSub-ICB of GP PracticeNHS LANCASHIRE AND SOUTH CUMBRIA ICB - 00X (00X)EQ-5D Index</v>
      </c>
      <c r="C4594" t="s">
        <v>975</v>
      </c>
      <c r="D4594" t="s">
        <v>1021</v>
      </c>
      <c r="E4594" t="s">
        <v>851</v>
      </c>
      <c r="F4594" t="s">
        <v>852</v>
      </c>
      <c r="G4594" t="s">
        <v>963</v>
      </c>
      <c r="H4594">
        <v>65</v>
      </c>
      <c r="I4594">
        <v>0.356215</v>
      </c>
      <c r="J4594">
        <v>0.77964599999999995</v>
      </c>
      <c r="K4594">
        <v>0.423431</v>
      </c>
      <c r="L4594">
        <v>61</v>
      </c>
      <c r="M4594">
        <v>3</v>
      </c>
      <c r="N4594">
        <v>1</v>
      </c>
      <c r="O4594">
        <v>0.80242100000000005</v>
      </c>
      <c r="P4594">
        <v>0.37812400000000002</v>
      </c>
      <c r="Q4594">
        <v>0.20901800000000001</v>
      </c>
    </row>
    <row r="4595" spans="1:17" x14ac:dyDescent="0.25">
      <c r="A4595" t="str">
        <f>IF(C4595&amp;G4595&amp;D4595&lt;&gt;'Funnel setup'!$K$3&amp;'Funnel setup'!$K$4&amp;'Funnel setup'!$K$6,".",IF(A4594=".",1,A4594+1))</f>
        <v>.</v>
      </c>
      <c r="B4595" s="244" t="str">
        <f t="shared" si="71"/>
        <v>Total Knee ReplacementSub-ICB of GP PracticeNHS LANCASHIRE AND SOUTH CUMBRIA ICB - 01A (01A)EQ-5D Index</v>
      </c>
      <c r="C4595" t="s">
        <v>975</v>
      </c>
      <c r="D4595" t="s">
        <v>1021</v>
      </c>
      <c r="E4595" t="s">
        <v>853</v>
      </c>
      <c r="F4595" t="s">
        <v>854</v>
      </c>
      <c r="G4595" t="s">
        <v>963</v>
      </c>
      <c r="H4595">
        <v>129</v>
      </c>
      <c r="I4595">
        <v>0.47544999999999998</v>
      </c>
      <c r="J4595">
        <v>0.77159699999999998</v>
      </c>
      <c r="K4595">
        <v>0.29614699999999999</v>
      </c>
      <c r="L4595">
        <v>106</v>
      </c>
      <c r="M4595">
        <v>9</v>
      </c>
      <c r="N4595">
        <v>14</v>
      </c>
      <c r="O4595">
        <v>0.76115600000000005</v>
      </c>
      <c r="P4595">
        <v>0.33685900000000002</v>
      </c>
      <c r="Q4595">
        <v>0.21947</v>
      </c>
    </row>
    <row r="4596" spans="1:17" x14ac:dyDescent="0.25">
      <c r="A4596" t="str">
        <f>IF(C4596&amp;G4596&amp;D4596&lt;&gt;'Funnel setup'!$K$3&amp;'Funnel setup'!$K$4&amp;'Funnel setup'!$K$6,".",IF(A4595=".",1,A4595+1))</f>
        <v>.</v>
      </c>
      <c r="B4596" s="244" t="str">
        <f t="shared" si="71"/>
        <v>Total Knee ReplacementSub-ICB of GP PracticeNHS LANCASHIRE AND SOUTH CUMBRIA ICB - 01E (01E)EQ-5D Index</v>
      </c>
      <c r="C4596" t="s">
        <v>975</v>
      </c>
      <c r="D4596" t="s">
        <v>1021</v>
      </c>
      <c r="E4596" t="s">
        <v>855</v>
      </c>
      <c r="F4596" t="s">
        <v>856</v>
      </c>
      <c r="G4596" t="s">
        <v>963</v>
      </c>
      <c r="H4596">
        <v>70</v>
      </c>
      <c r="I4596">
        <v>0.46975699999999998</v>
      </c>
      <c r="J4596">
        <v>0.80735699999999999</v>
      </c>
      <c r="K4596">
        <v>0.33760000000000001</v>
      </c>
      <c r="L4596">
        <v>59</v>
      </c>
      <c r="M4596">
        <v>6</v>
      </c>
      <c r="N4596">
        <v>5</v>
      </c>
      <c r="O4596">
        <v>0.79436099999999998</v>
      </c>
      <c r="P4596">
        <v>0.370064</v>
      </c>
      <c r="Q4596">
        <v>0.26058700000000001</v>
      </c>
    </row>
    <row r="4597" spans="1:17" x14ac:dyDescent="0.25">
      <c r="A4597" t="str">
        <f>IF(C4597&amp;G4597&amp;D4597&lt;&gt;'Funnel setup'!$K$3&amp;'Funnel setup'!$K$4&amp;'Funnel setup'!$K$6,".",IF(A4596=".",1,A4596+1))</f>
        <v>.</v>
      </c>
      <c r="B4597" s="244" t="str">
        <f t="shared" si="71"/>
        <v>Total Knee ReplacementSub-ICB of GP PracticeNHS LANCASHIRE AND SOUTH CUMBRIA ICB - 01K (01K)EQ-5D Index</v>
      </c>
      <c r="C4597" t="s">
        <v>975</v>
      </c>
      <c r="D4597" t="s">
        <v>1021</v>
      </c>
      <c r="E4597" t="s">
        <v>857</v>
      </c>
      <c r="F4597" t="s">
        <v>858</v>
      </c>
      <c r="G4597" t="s">
        <v>963</v>
      </c>
      <c r="H4597">
        <v>183</v>
      </c>
      <c r="I4597">
        <v>0.41653600000000002</v>
      </c>
      <c r="J4597">
        <v>0.74827299999999997</v>
      </c>
      <c r="K4597">
        <v>0.33173799999999998</v>
      </c>
      <c r="L4597">
        <v>148</v>
      </c>
      <c r="M4597">
        <v>14</v>
      </c>
      <c r="N4597">
        <v>21</v>
      </c>
      <c r="O4597">
        <v>0.74251400000000001</v>
      </c>
      <c r="P4597">
        <v>0.318216</v>
      </c>
      <c r="Q4597">
        <v>0.229327</v>
      </c>
    </row>
    <row r="4598" spans="1:17" x14ac:dyDescent="0.25">
      <c r="A4598" t="str">
        <f>IF(C4598&amp;G4598&amp;D4598&lt;&gt;'Funnel setup'!$K$3&amp;'Funnel setup'!$K$4&amp;'Funnel setup'!$K$6,".",IF(A4597=".",1,A4597+1))</f>
        <v>.</v>
      </c>
      <c r="B4598" s="244" t="str">
        <f t="shared" si="71"/>
        <v>Total Knee ReplacementSub-ICB of GP PracticeNHS LANCASHIRE AND SOUTH CUMBRIA ICB - 02G (02G)EQ-5D Index</v>
      </c>
      <c r="C4598" t="s">
        <v>975</v>
      </c>
      <c r="D4598" t="s">
        <v>1021</v>
      </c>
      <c r="E4598" t="s">
        <v>859</v>
      </c>
      <c r="F4598" t="s">
        <v>860</v>
      </c>
      <c r="G4598" t="s">
        <v>963</v>
      </c>
      <c r="H4598">
        <v>23</v>
      </c>
      <c r="I4598">
        <v>0.315913</v>
      </c>
      <c r="J4598">
        <v>0.85365199999999997</v>
      </c>
      <c r="K4598">
        <v>0.53773899999999997</v>
      </c>
      <c r="L4598">
        <v>22</v>
      </c>
      <c r="M4598">
        <v>1</v>
      </c>
      <c r="N4598">
        <v>0</v>
      </c>
      <c r="O4598" t="s">
        <v>127</v>
      </c>
      <c r="P4598" t="s">
        <v>127</v>
      </c>
      <c r="Q4598" t="s">
        <v>127</v>
      </c>
    </row>
    <row r="4599" spans="1:17" x14ac:dyDescent="0.25">
      <c r="A4599" t="str">
        <f>IF(C4599&amp;G4599&amp;D4599&lt;&gt;'Funnel setup'!$K$3&amp;'Funnel setup'!$K$4&amp;'Funnel setup'!$K$6,".",IF(A4598=".",1,A4598+1))</f>
        <v>.</v>
      </c>
      <c r="B4599" s="244" t="str">
        <f t="shared" si="71"/>
        <v>Total Knee ReplacementSub-ICB of GP PracticeNHS LANCASHIRE AND SOUTH CUMBRIA ICB - 02M (02M)EQ-5D Index</v>
      </c>
      <c r="C4599" t="s">
        <v>975</v>
      </c>
      <c r="D4599" t="s">
        <v>1021</v>
      </c>
      <c r="E4599" t="s">
        <v>861</v>
      </c>
      <c r="F4599" t="s">
        <v>862</v>
      </c>
      <c r="G4599" t="s">
        <v>963</v>
      </c>
      <c r="H4599">
        <v>65</v>
      </c>
      <c r="I4599">
        <v>0.51892300000000002</v>
      </c>
      <c r="J4599">
        <v>0.77473800000000004</v>
      </c>
      <c r="K4599">
        <v>0.25581500000000001</v>
      </c>
      <c r="L4599">
        <v>53</v>
      </c>
      <c r="M4599">
        <v>2</v>
      </c>
      <c r="N4599">
        <v>10</v>
      </c>
      <c r="O4599">
        <v>0.74836199999999997</v>
      </c>
      <c r="P4599">
        <v>0.32406499999999999</v>
      </c>
      <c r="Q4599">
        <v>0.180063</v>
      </c>
    </row>
    <row r="4600" spans="1:17" x14ac:dyDescent="0.25">
      <c r="A4600" t="str">
        <f>IF(C4600&amp;G4600&amp;D4600&lt;&gt;'Funnel setup'!$K$3&amp;'Funnel setup'!$K$4&amp;'Funnel setup'!$K$6,".",IF(A4599=".",1,A4599+1))</f>
        <v>.</v>
      </c>
      <c r="B4600" s="244" t="str">
        <f t="shared" si="71"/>
        <v>Total Knee ReplacementSub-ICB of GP PracticeNHS LEICESTER, LEICESTERSHIRE AND RUTLAND ICB - 03W (03W)EQ-5D Index</v>
      </c>
      <c r="C4600" t="s">
        <v>975</v>
      </c>
      <c r="D4600" t="s">
        <v>1021</v>
      </c>
      <c r="E4600" t="s">
        <v>863</v>
      </c>
      <c r="F4600" t="s">
        <v>864</v>
      </c>
      <c r="G4600" t="s">
        <v>963</v>
      </c>
      <c r="H4600">
        <v>148</v>
      </c>
      <c r="I4600">
        <v>0.430122</v>
      </c>
      <c r="J4600">
        <v>0.77343200000000001</v>
      </c>
      <c r="K4600">
        <v>0.34331099999999998</v>
      </c>
      <c r="L4600">
        <v>125</v>
      </c>
      <c r="M4600">
        <v>14</v>
      </c>
      <c r="N4600">
        <v>9</v>
      </c>
      <c r="O4600">
        <v>0.76503200000000005</v>
      </c>
      <c r="P4600">
        <v>0.34073500000000001</v>
      </c>
      <c r="Q4600">
        <v>0.188753</v>
      </c>
    </row>
    <row r="4601" spans="1:17" x14ac:dyDescent="0.25">
      <c r="A4601" t="str">
        <f>IF(C4601&amp;G4601&amp;D4601&lt;&gt;'Funnel setup'!$K$3&amp;'Funnel setup'!$K$4&amp;'Funnel setup'!$K$6,".",IF(A4600=".",1,A4600+1))</f>
        <v>.</v>
      </c>
      <c r="B4601" s="244" t="str">
        <f t="shared" si="71"/>
        <v>Total Knee ReplacementSub-ICB of GP PracticeNHS LEICESTER, LEICESTERSHIRE AND RUTLAND ICB - 04C (04C)EQ-5D Index</v>
      </c>
      <c r="C4601" t="s">
        <v>975</v>
      </c>
      <c r="D4601" t="s">
        <v>1021</v>
      </c>
      <c r="E4601" t="s">
        <v>865</v>
      </c>
      <c r="F4601" t="s">
        <v>866</v>
      </c>
      <c r="G4601" t="s">
        <v>963</v>
      </c>
      <c r="H4601">
        <v>48</v>
      </c>
      <c r="I4601">
        <v>0.34018700000000002</v>
      </c>
      <c r="J4601">
        <v>0.58360400000000001</v>
      </c>
      <c r="K4601">
        <v>0.24341699999999999</v>
      </c>
      <c r="L4601">
        <v>35</v>
      </c>
      <c r="M4601">
        <v>4</v>
      </c>
      <c r="N4601">
        <v>9</v>
      </c>
      <c r="O4601">
        <v>0.65018600000000004</v>
      </c>
      <c r="P4601">
        <v>0.22588800000000001</v>
      </c>
      <c r="Q4601">
        <v>0.26802500000000001</v>
      </c>
    </row>
    <row r="4602" spans="1:17" x14ac:dyDescent="0.25">
      <c r="A4602" t="str">
        <f>IF(C4602&amp;G4602&amp;D4602&lt;&gt;'Funnel setup'!$K$3&amp;'Funnel setup'!$K$4&amp;'Funnel setup'!$K$6,".",IF(A4601=".",1,A4601+1))</f>
        <v>.</v>
      </c>
      <c r="B4602" s="244" t="str">
        <f t="shared" si="71"/>
        <v>Total Knee ReplacementSub-ICB of GP PracticeNHS LEICESTER, LEICESTERSHIRE AND RUTLAND ICB - 04V (04V)EQ-5D Index</v>
      </c>
      <c r="C4602" t="s">
        <v>975</v>
      </c>
      <c r="D4602" t="s">
        <v>1021</v>
      </c>
      <c r="E4602" t="s">
        <v>867</v>
      </c>
      <c r="F4602" t="s">
        <v>868</v>
      </c>
      <c r="G4602" t="s">
        <v>963</v>
      </c>
      <c r="H4602">
        <v>160</v>
      </c>
      <c r="I4602">
        <v>0.41296899999999997</v>
      </c>
      <c r="J4602">
        <v>0.73913099999999998</v>
      </c>
      <c r="K4602">
        <v>0.32616200000000001</v>
      </c>
      <c r="L4602">
        <v>130</v>
      </c>
      <c r="M4602">
        <v>14</v>
      </c>
      <c r="N4602">
        <v>16</v>
      </c>
      <c r="O4602">
        <v>0.74789099999999997</v>
      </c>
      <c r="P4602">
        <v>0.32359399999999999</v>
      </c>
      <c r="Q4602">
        <v>0.228376</v>
      </c>
    </row>
    <row r="4603" spans="1:17" x14ac:dyDescent="0.25">
      <c r="A4603" t="str">
        <f>IF(C4603&amp;G4603&amp;D4603&lt;&gt;'Funnel setup'!$K$3&amp;'Funnel setup'!$K$4&amp;'Funnel setup'!$K$6,".",IF(A4602=".",1,A4602+1))</f>
        <v>.</v>
      </c>
      <c r="B4603" s="244" t="str">
        <f t="shared" si="71"/>
        <v>Total Knee ReplacementSub-ICB of GP PracticeNHS LINCOLNSHIRE ICB - 71E (71E)EQ-5D Index</v>
      </c>
      <c r="C4603" t="s">
        <v>975</v>
      </c>
      <c r="D4603" t="s">
        <v>1021</v>
      </c>
      <c r="E4603" t="s">
        <v>869</v>
      </c>
      <c r="F4603" t="s">
        <v>870</v>
      </c>
      <c r="G4603" t="s">
        <v>963</v>
      </c>
      <c r="H4603">
        <v>287</v>
      </c>
      <c r="I4603">
        <v>0.44613599999999998</v>
      </c>
      <c r="J4603">
        <v>0.78563799999999995</v>
      </c>
      <c r="K4603">
        <v>0.33950200000000003</v>
      </c>
      <c r="L4603">
        <v>252</v>
      </c>
      <c r="M4603">
        <v>20</v>
      </c>
      <c r="N4603">
        <v>15</v>
      </c>
      <c r="O4603">
        <v>0.763046</v>
      </c>
      <c r="P4603">
        <v>0.33874799999999999</v>
      </c>
      <c r="Q4603">
        <v>0.19708800000000001</v>
      </c>
    </row>
    <row r="4604" spans="1:17" x14ac:dyDescent="0.25">
      <c r="A4604" t="str">
        <f>IF(C4604&amp;G4604&amp;D4604&lt;&gt;'Funnel setup'!$K$3&amp;'Funnel setup'!$K$4&amp;'Funnel setup'!$K$6,".",IF(A4603=".",1,A4603+1))</f>
        <v>.</v>
      </c>
      <c r="B4604" s="244" t="str">
        <f t="shared" si="71"/>
        <v>Total Knee ReplacementSub-ICB of GP PracticeNHS MID AND SOUTH ESSEX ICB - 06Q (06Q)EQ-5D Index</v>
      </c>
      <c r="C4604" t="s">
        <v>975</v>
      </c>
      <c r="D4604" t="s">
        <v>1021</v>
      </c>
      <c r="E4604" t="s">
        <v>871</v>
      </c>
      <c r="F4604" t="s">
        <v>872</v>
      </c>
      <c r="G4604" t="s">
        <v>963</v>
      </c>
      <c r="H4604">
        <v>126</v>
      </c>
      <c r="I4604">
        <v>0.40637299999999998</v>
      </c>
      <c r="J4604">
        <v>0.77023799999999998</v>
      </c>
      <c r="K4604">
        <v>0.36386499999999999</v>
      </c>
      <c r="L4604">
        <v>106</v>
      </c>
      <c r="M4604">
        <v>9</v>
      </c>
      <c r="N4604">
        <v>11</v>
      </c>
      <c r="O4604">
        <v>0.75499700000000003</v>
      </c>
      <c r="P4604">
        <v>0.33069999999999999</v>
      </c>
      <c r="Q4604">
        <v>0.24837600000000001</v>
      </c>
    </row>
    <row r="4605" spans="1:17" x14ac:dyDescent="0.25">
      <c r="A4605" t="str">
        <f>IF(C4605&amp;G4605&amp;D4605&lt;&gt;'Funnel setup'!$K$3&amp;'Funnel setup'!$K$4&amp;'Funnel setup'!$K$6,".",IF(A4604=".",1,A4604+1))</f>
        <v>.</v>
      </c>
      <c r="B4605" s="244" t="str">
        <f t="shared" si="71"/>
        <v>Total Knee ReplacementSub-ICB of GP PracticeNHS MID AND SOUTH ESSEX ICB - 07G (07G)EQ-5D Index</v>
      </c>
      <c r="C4605" t="s">
        <v>975</v>
      </c>
      <c r="D4605" t="s">
        <v>1021</v>
      </c>
      <c r="E4605" t="s">
        <v>873</v>
      </c>
      <c r="F4605" t="s">
        <v>874</v>
      </c>
      <c r="G4605" t="s">
        <v>963</v>
      </c>
      <c r="H4605">
        <v>25</v>
      </c>
      <c r="I4605">
        <v>0.33200000000000002</v>
      </c>
      <c r="J4605">
        <v>0.75392000000000003</v>
      </c>
      <c r="K4605">
        <v>0.42192000000000002</v>
      </c>
      <c r="L4605">
        <v>20</v>
      </c>
      <c r="M4605">
        <v>3</v>
      </c>
      <c r="N4605">
        <v>2</v>
      </c>
      <c r="O4605" t="s">
        <v>127</v>
      </c>
      <c r="P4605" t="s">
        <v>127</v>
      </c>
      <c r="Q4605" t="s">
        <v>127</v>
      </c>
    </row>
    <row r="4606" spans="1:17" x14ac:dyDescent="0.25">
      <c r="A4606" t="str">
        <f>IF(C4606&amp;G4606&amp;D4606&lt;&gt;'Funnel setup'!$K$3&amp;'Funnel setup'!$K$4&amp;'Funnel setup'!$K$6,".",IF(A4605=".",1,A4605+1))</f>
        <v>.</v>
      </c>
      <c r="B4606" s="244" t="str">
        <f t="shared" si="71"/>
        <v>Total Knee ReplacementSub-ICB of GP PracticeNHS MID AND SOUTH ESSEX ICB - 99E (99E)EQ-5D Index</v>
      </c>
      <c r="C4606" t="s">
        <v>975</v>
      </c>
      <c r="D4606" t="s">
        <v>1021</v>
      </c>
      <c r="E4606" t="s">
        <v>875</v>
      </c>
      <c r="F4606" t="s">
        <v>876</v>
      </c>
      <c r="G4606" t="s">
        <v>963</v>
      </c>
      <c r="H4606">
        <v>60</v>
      </c>
      <c r="I4606">
        <v>0.352717</v>
      </c>
      <c r="J4606">
        <v>0.690917</v>
      </c>
      <c r="K4606">
        <v>0.3382</v>
      </c>
      <c r="L4606">
        <v>49</v>
      </c>
      <c r="M4606">
        <v>2</v>
      </c>
      <c r="N4606">
        <v>9</v>
      </c>
      <c r="O4606">
        <v>0.71013199999999999</v>
      </c>
      <c r="P4606">
        <v>0.28583500000000001</v>
      </c>
      <c r="Q4606">
        <v>0.30531999999999998</v>
      </c>
    </row>
    <row r="4607" spans="1:17" x14ac:dyDescent="0.25">
      <c r="A4607" t="str">
        <f>IF(C4607&amp;G4607&amp;D4607&lt;&gt;'Funnel setup'!$K$3&amp;'Funnel setup'!$K$4&amp;'Funnel setup'!$K$6,".",IF(A4606=".",1,A4606+1))</f>
        <v>.</v>
      </c>
      <c r="B4607" s="244" t="str">
        <f t="shared" si="71"/>
        <v>Total Knee ReplacementSub-ICB of GP PracticeNHS MID AND SOUTH ESSEX ICB - 99F (99F)EQ-5D Index</v>
      </c>
      <c r="C4607" t="s">
        <v>975</v>
      </c>
      <c r="D4607" t="s">
        <v>1021</v>
      </c>
      <c r="E4607" t="s">
        <v>877</v>
      </c>
      <c r="F4607" t="s">
        <v>878</v>
      </c>
      <c r="G4607" t="s">
        <v>963</v>
      </c>
      <c r="H4607">
        <v>34</v>
      </c>
      <c r="I4607">
        <v>0.37558799999999998</v>
      </c>
      <c r="J4607">
        <v>0.677647</v>
      </c>
      <c r="K4607">
        <v>0.30205900000000002</v>
      </c>
      <c r="L4607">
        <v>25</v>
      </c>
      <c r="M4607">
        <v>3</v>
      </c>
      <c r="N4607">
        <v>6</v>
      </c>
      <c r="O4607">
        <v>0.68911699999999998</v>
      </c>
      <c r="P4607">
        <v>0.26481900000000003</v>
      </c>
      <c r="Q4607">
        <v>0.348968</v>
      </c>
    </row>
    <row r="4608" spans="1:17" x14ac:dyDescent="0.25">
      <c r="A4608" t="str">
        <f>IF(C4608&amp;G4608&amp;D4608&lt;&gt;'Funnel setup'!$K$3&amp;'Funnel setup'!$K$4&amp;'Funnel setup'!$K$6,".",IF(A4607=".",1,A4607+1))</f>
        <v>.</v>
      </c>
      <c r="B4608" s="244" t="str">
        <f t="shared" si="71"/>
        <v>Total Knee ReplacementSub-ICB of GP PracticeNHS MID AND SOUTH ESSEX ICB - 99G (99G)EQ-5D Index</v>
      </c>
      <c r="C4608" t="s">
        <v>975</v>
      </c>
      <c r="D4608" t="s">
        <v>1021</v>
      </c>
      <c r="E4608" t="s">
        <v>879</v>
      </c>
      <c r="F4608" t="s">
        <v>880</v>
      </c>
      <c r="G4608" t="s">
        <v>963</v>
      </c>
      <c r="H4608">
        <v>12</v>
      </c>
      <c r="I4608">
        <v>0.37824999999999998</v>
      </c>
      <c r="J4608">
        <v>0.67333299999999996</v>
      </c>
      <c r="K4608">
        <v>0.29508299999999998</v>
      </c>
      <c r="L4608">
        <v>11</v>
      </c>
      <c r="M4608">
        <v>0</v>
      </c>
      <c r="N4608">
        <v>1</v>
      </c>
      <c r="O4608" t="s">
        <v>127</v>
      </c>
      <c r="P4608" t="s">
        <v>127</v>
      </c>
      <c r="Q4608" t="s">
        <v>127</v>
      </c>
    </row>
    <row r="4609" spans="1:17" x14ac:dyDescent="0.25">
      <c r="A4609" t="str">
        <f>IF(C4609&amp;G4609&amp;D4609&lt;&gt;'Funnel setup'!$K$3&amp;'Funnel setup'!$K$4&amp;'Funnel setup'!$K$6,".",IF(A4608=".",1,A4608+1))</f>
        <v>.</v>
      </c>
      <c r="B4609" s="244" t="str">
        <f t="shared" si="71"/>
        <v>Total Knee ReplacementSub-ICB of GP PracticeNHS NORFOLK AND WAVENEY ICB - 26A (26A)EQ-5D Index</v>
      </c>
      <c r="C4609" t="s">
        <v>975</v>
      </c>
      <c r="D4609" t="s">
        <v>1021</v>
      </c>
      <c r="E4609" t="s">
        <v>881</v>
      </c>
      <c r="F4609" t="s">
        <v>882</v>
      </c>
      <c r="G4609" t="s">
        <v>963</v>
      </c>
      <c r="H4609">
        <v>315</v>
      </c>
      <c r="I4609">
        <v>0.359705</v>
      </c>
      <c r="J4609">
        <v>0.68935900000000006</v>
      </c>
      <c r="K4609">
        <v>0.329654</v>
      </c>
      <c r="L4609">
        <v>253</v>
      </c>
      <c r="M4609">
        <v>33</v>
      </c>
      <c r="N4609">
        <v>29</v>
      </c>
      <c r="O4609">
        <v>0.72291000000000005</v>
      </c>
      <c r="P4609">
        <v>0.29861300000000002</v>
      </c>
      <c r="Q4609">
        <v>0.25100600000000001</v>
      </c>
    </row>
    <row r="4610" spans="1:17" x14ac:dyDescent="0.25">
      <c r="A4610" t="str">
        <f>IF(C4610&amp;G4610&amp;D4610&lt;&gt;'Funnel setup'!$K$3&amp;'Funnel setup'!$K$4&amp;'Funnel setup'!$K$6,".",IF(A4609=".",1,A4609+1))</f>
        <v>.</v>
      </c>
      <c r="B4610" s="244" t="str">
        <f t="shared" ref="B4610:B4673" si="72">C4610&amp;D4610&amp;F4610&amp;G4610</f>
        <v>Total Knee ReplacementSub-ICB of GP PracticeNHS NORTH CENTRAL LONDON ICB - 93C (93C)EQ-5D Index</v>
      </c>
      <c r="C4610" t="s">
        <v>975</v>
      </c>
      <c r="D4610" t="s">
        <v>1021</v>
      </c>
      <c r="E4610" t="s">
        <v>883</v>
      </c>
      <c r="F4610" t="s">
        <v>884</v>
      </c>
      <c r="G4610" t="s">
        <v>963</v>
      </c>
      <c r="H4610">
        <v>165</v>
      </c>
      <c r="I4610">
        <v>0.45040599999999997</v>
      </c>
      <c r="J4610">
        <v>0.68776999999999999</v>
      </c>
      <c r="K4610">
        <v>0.23736399999999999</v>
      </c>
      <c r="L4610">
        <v>124</v>
      </c>
      <c r="M4610">
        <v>19</v>
      </c>
      <c r="N4610">
        <v>22</v>
      </c>
      <c r="O4610">
        <v>0.70516400000000001</v>
      </c>
      <c r="P4610">
        <v>0.280866</v>
      </c>
      <c r="Q4610">
        <v>0.237454</v>
      </c>
    </row>
    <row r="4611" spans="1:17" x14ac:dyDescent="0.25">
      <c r="A4611" t="str">
        <f>IF(C4611&amp;G4611&amp;D4611&lt;&gt;'Funnel setup'!$K$3&amp;'Funnel setup'!$K$4&amp;'Funnel setup'!$K$6,".",IF(A4610=".",1,A4610+1))</f>
        <v>.</v>
      </c>
      <c r="B4611" s="244" t="str">
        <f t="shared" si="72"/>
        <v>Total Knee ReplacementSub-ICB of GP PracticeNHS NORTH EAST AND NORTH CUMBRIA ICB - 00L (00L)EQ-5D Index</v>
      </c>
      <c r="C4611" t="s">
        <v>975</v>
      </c>
      <c r="D4611" t="s">
        <v>1021</v>
      </c>
      <c r="E4611" t="s">
        <v>885</v>
      </c>
      <c r="F4611" t="s">
        <v>886</v>
      </c>
      <c r="G4611" t="s">
        <v>963</v>
      </c>
      <c r="H4611">
        <v>202</v>
      </c>
      <c r="I4611">
        <v>0.37247999999999998</v>
      </c>
      <c r="J4611">
        <v>0.75666299999999997</v>
      </c>
      <c r="K4611">
        <v>0.384183</v>
      </c>
      <c r="L4611">
        <v>175</v>
      </c>
      <c r="M4611">
        <v>17</v>
      </c>
      <c r="N4611">
        <v>10</v>
      </c>
      <c r="O4611">
        <v>0.77425500000000003</v>
      </c>
      <c r="P4611">
        <v>0.34995700000000002</v>
      </c>
      <c r="Q4611">
        <v>0.21634900000000001</v>
      </c>
    </row>
    <row r="4612" spans="1:17" x14ac:dyDescent="0.25">
      <c r="A4612" t="str">
        <f>IF(C4612&amp;G4612&amp;D4612&lt;&gt;'Funnel setup'!$K$3&amp;'Funnel setup'!$K$4&amp;'Funnel setup'!$K$6,".",IF(A4611=".",1,A4611+1))</f>
        <v>.</v>
      </c>
      <c r="B4612" s="244" t="str">
        <f t="shared" si="72"/>
        <v>Total Knee ReplacementSub-ICB of GP PracticeNHS NORTH EAST AND NORTH CUMBRIA ICB - 00N (00N)EQ-5D Index</v>
      </c>
      <c r="C4612" t="s">
        <v>975</v>
      </c>
      <c r="D4612" t="s">
        <v>1021</v>
      </c>
      <c r="E4612" t="s">
        <v>887</v>
      </c>
      <c r="F4612" t="s">
        <v>888</v>
      </c>
      <c r="G4612" t="s">
        <v>963</v>
      </c>
      <c r="H4612">
        <v>9</v>
      </c>
      <c r="I4612">
        <v>0.46822200000000003</v>
      </c>
      <c r="J4612">
        <v>0.86511099999999996</v>
      </c>
      <c r="K4612">
        <v>0.39688899999999999</v>
      </c>
      <c r="L4612">
        <v>7</v>
      </c>
      <c r="M4612">
        <v>1</v>
      </c>
      <c r="N4612">
        <v>1</v>
      </c>
      <c r="O4612" t="s">
        <v>127</v>
      </c>
      <c r="P4612" t="s">
        <v>127</v>
      </c>
      <c r="Q4612" t="s">
        <v>127</v>
      </c>
    </row>
    <row r="4613" spans="1:17" x14ac:dyDescent="0.25">
      <c r="A4613" t="str">
        <f>IF(C4613&amp;G4613&amp;D4613&lt;&gt;'Funnel setup'!$K$3&amp;'Funnel setup'!$K$4&amp;'Funnel setup'!$K$6,".",IF(A4612=".",1,A4612+1))</f>
        <v>.</v>
      </c>
      <c r="B4613" s="244" t="str">
        <f t="shared" si="72"/>
        <v>Total Knee ReplacementSub-ICB of GP PracticeNHS NORTH EAST AND NORTH CUMBRIA ICB - 00P (00P)EQ-5D Index</v>
      </c>
      <c r="C4613" t="s">
        <v>975</v>
      </c>
      <c r="D4613" t="s">
        <v>1021</v>
      </c>
      <c r="E4613" t="s">
        <v>889</v>
      </c>
      <c r="F4613" t="s">
        <v>890</v>
      </c>
      <c r="G4613" t="s">
        <v>963</v>
      </c>
      <c r="H4613">
        <v>25</v>
      </c>
      <c r="I4613">
        <v>0.27788000000000002</v>
      </c>
      <c r="J4613">
        <v>0.69484000000000001</v>
      </c>
      <c r="K4613">
        <v>0.41696</v>
      </c>
      <c r="L4613">
        <v>22</v>
      </c>
      <c r="M4613">
        <v>1</v>
      </c>
      <c r="N4613">
        <v>2</v>
      </c>
      <c r="O4613" t="s">
        <v>127</v>
      </c>
      <c r="P4613" t="s">
        <v>127</v>
      </c>
      <c r="Q4613" t="s">
        <v>127</v>
      </c>
    </row>
    <row r="4614" spans="1:17" x14ac:dyDescent="0.25">
      <c r="A4614" t="str">
        <f>IF(C4614&amp;G4614&amp;D4614&lt;&gt;'Funnel setup'!$K$3&amp;'Funnel setup'!$K$4&amp;'Funnel setup'!$K$6,".",IF(A4613=".",1,A4613+1))</f>
        <v>.</v>
      </c>
      <c r="B4614" s="244" t="str">
        <f t="shared" si="72"/>
        <v>Total Knee ReplacementSub-ICB of GP PracticeNHS NORTH EAST AND NORTH CUMBRIA ICB - 01H (01H)EQ-5D Index</v>
      </c>
      <c r="C4614" t="s">
        <v>975</v>
      </c>
      <c r="D4614" t="s">
        <v>1021</v>
      </c>
      <c r="E4614" t="s">
        <v>891</v>
      </c>
      <c r="F4614" t="s">
        <v>892</v>
      </c>
      <c r="G4614" t="s">
        <v>963</v>
      </c>
      <c r="H4614">
        <v>215</v>
      </c>
      <c r="I4614">
        <v>0.38542300000000002</v>
      </c>
      <c r="J4614">
        <v>0.78299099999999999</v>
      </c>
      <c r="K4614">
        <v>0.397567</v>
      </c>
      <c r="L4614">
        <v>187</v>
      </c>
      <c r="M4614">
        <v>15</v>
      </c>
      <c r="N4614">
        <v>13</v>
      </c>
      <c r="O4614">
        <v>0.78227800000000003</v>
      </c>
      <c r="P4614">
        <v>0.35798099999999999</v>
      </c>
      <c r="Q4614">
        <v>0.21152599999999999</v>
      </c>
    </row>
    <row r="4615" spans="1:17" x14ac:dyDescent="0.25">
      <c r="A4615" t="str">
        <f>IF(C4615&amp;G4615&amp;D4615&lt;&gt;'Funnel setup'!$K$3&amp;'Funnel setup'!$K$4&amp;'Funnel setup'!$K$6,".",IF(A4614=".",1,A4614+1))</f>
        <v>.</v>
      </c>
      <c r="B4615" s="244" t="str">
        <f t="shared" si="72"/>
        <v>Total Knee ReplacementSub-ICB of GP PracticeNHS NORTH EAST AND NORTH CUMBRIA ICB - 13T (13T)EQ-5D Index</v>
      </c>
      <c r="C4615" t="s">
        <v>975</v>
      </c>
      <c r="D4615" t="s">
        <v>1021</v>
      </c>
      <c r="E4615" t="s">
        <v>893</v>
      </c>
      <c r="F4615" t="s">
        <v>894</v>
      </c>
      <c r="G4615" t="s">
        <v>963</v>
      </c>
      <c r="H4615">
        <v>70</v>
      </c>
      <c r="I4615">
        <v>0.36070000000000002</v>
      </c>
      <c r="J4615">
        <v>0.716229</v>
      </c>
      <c r="K4615">
        <v>0.35552899999999998</v>
      </c>
      <c r="L4615">
        <v>58</v>
      </c>
      <c r="M4615">
        <v>5</v>
      </c>
      <c r="N4615">
        <v>7</v>
      </c>
      <c r="O4615">
        <v>0.74903600000000004</v>
      </c>
      <c r="P4615">
        <v>0.324739</v>
      </c>
      <c r="Q4615">
        <v>0.272839</v>
      </c>
    </row>
    <row r="4616" spans="1:17" x14ac:dyDescent="0.25">
      <c r="A4616" t="str">
        <f>IF(C4616&amp;G4616&amp;D4616&lt;&gt;'Funnel setup'!$K$3&amp;'Funnel setup'!$K$4&amp;'Funnel setup'!$K$6,".",IF(A4615=".",1,A4615+1))</f>
        <v>.</v>
      </c>
      <c r="B4616" s="244" t="str">
        <f t="shared" si="72"/>
        <v>Total Knee ReplacementSub-ICB of GP PracticeNHS NORTH EAST AND NORTH CUMBRIA ICB - 16C (16C)EQ-5D Index</v>
      </c>
      <c r="C4616" t="s">
        <v>975</v>
      </c>
      <c r="D4616" t="s">
        <v>1021</v>
      </c>
      <c r="E4616" t="s">
        <v>895</v>
      </c>
      <c r="F4616" t="s">
        <v>896</v>
      </c>
      <c r="G4616" t="s">
        <v>963</v>
      </c>
      <c r="H4616">
        <v>400</v>
      </c>
      <c r="I4616">
        <v>0.37886300000000001</v>
      </c>
      <c r="J4616">
        <v>0.72614500000000004</v>
      </c>
      <c r="K4616">
        <v>0.34728199999999998</v>
      </c>
      <c r="L4616">
        <v>338</v>
      </c>
      <c r="M4616">
        <v>16</v>
      </c>
      <c r="N4616">
        <v>46</v>
      </c>
      <c r="O4616">
        <v>0.74715200000000004</v>
      </c>
      <c r="P4616">
        <v>0.322855</v>
      </c>
      <c r="Q4616">
        <v>0.26113900000000001</v>
      </c>
    </row>
    <row r="4617" spans="1:17" x14ac:dyDescent="0.25">
      <c r="A4617" t="str">
        <f>IF(C4617&amp;G4617&amp;D4617&lt;&gt;'Funnel setup'!$K$3&amp;'Funnel setup'!$K$4&amp;'Funnel setup'!$K$6,".",IF(A4616=".",1,A4616+1))</f>
        <v>.</v>
      </c>
      <c r="B4617" s="244" t="str">
        <f t="shared" si="72"/>
        <v>Total Knee ReplacementSub-ICB of GP PracticeNHS NORTH EAST AND NORTH CUMBRIA ICB - 84H (84H)EQ-5D Index</v>
      </c>
      <c r="C4617" t="s">
        <v>975</v>
      </c>
      <c r="D4617" t="s">
        <v>1021</v>
      </c>
      <c r="E4617" t="s">
        <v>897</v>
      </c>
      <c r="F4617" t="s">
        <v>898</v>
      </c>
      <c r="G4617" t="s">
        <v>963</v>
      </c>
      <c r="H4617">
        <v>294</v>
      </c>
      <c r="I4617">
        <v>0.44009900000000002</v>
      </c>
      <c r="J4617">
        <v>0.73850300000000002</v>
      </c>
      <c r="K4617">
        <v>0.29840499999999998</v>
      </c>
      <c r="L4617">
        <v>230</v>
      </c>
      <c r="M4617">
        <v>24</v>
      </c>
      <c r="N4617">
        <v>40</v>
      </c>
      <c r="O4617">
        <v>0.74055499999999996</v>
      </c>
      <c r="P4617">
        <v>0.31625700000000001</v>
      </c>
      <c r="Q4617">
        <v>0.245481</v>
      </c>
    </row>
    <row r="4618" spans="1:17" x14ac:dyDescent="0.25">
      <c r="A4618" t="str">
        <f>IF(C4618&amp;G4618&amp;D4618&lt;&gt;'Funnel setup'!$K$3&amp;'Funnel setup'!$K$4&amp;'Funnel setup'!$K$6,".",IF(A4617=".",1,A4617+1))</f>
        <v>.</v>
      </c>
      <c r="B4618" s="244" t="str">
        <f t="shared" si="72"/>
        <v>Total Knee ReplacementSub-ICB of GP PracticeNHS NORTH EAST AND NORTH CUMBRIA ICB - 99C (99C)EQ-5D Index</v>
      </c>
      <c r="C4618" t="s">
        <v>975</v>
      </c>
      <c r="D4618" t="s">
        <v>1021</v>
      </c>
      <c r="E4618" t="s">
        <v>899</v>
      </c>
      <c r="F4618" t="s">
        <v>900</v>
      </c>
      <c r="G4618" t="s">
        <v>963</v>
      </c>
      <c r="H4618">
        <v>102</v>
      </c>
      <c r="I4618">
        <v>0.40678399999999998</v>
      </c>
      <c r="J4618">
        <v>0.79449000000000003</v>
      </c>
      <c r="K4618">
        <v>0.387706</v>
      </c>
      <c r="L4618">
        <v>88</v>
      </c>
      <c r="M4618">
        <v>9</v>
      </c>
      <c r="N4618">
        <v>5</v>
      </c>
      <c r="O4618">
        <v>0.80505499999999997</v>
      </c>
      <c r="P4618">
        <v>0.38075700000000001</v>
      </c>
      <c r="Q4618">
        <v>0.16769500000000001</v>
      </c>
    </row>
    <row r="4619" spans="1:17" x14ac:dyDescent="0.25">
      <c r="A4619" t="str">
        <f>IF(C4619&amp;G4619&amp;D4619&lt;&gt;'Funnel setup'!$K$3&amp;'Funnel setup'!$K$4&amp;'Funnel setup'!$K$6,".",IF(A4618=".",1,A4618+1))</f>
        <v>.</v>
      </c>
      <c r="B4619" s="244" t="str">
        <f t="shared" si="72"/>
        <v>Total Knee ReplacementSub-ICB of GP PracticeNHS NORTH EAST LONDON ICB - A3A8R (A3A8R)EQ-5D Index</v>
      </c>
      <c r="C4619" t="s">
        <v>975</v>
      </c>
      <c r="D4619" t="s">
        <v>1021</v>
      </c>
      <c r="E4619" t="s">
        <v>901</v>
      </c>
      <c r="F4619" t="s">
        <v>902</v>
      </c>
      <c r="G4619" t="s">
        <v>963</v>
      </c>
      <c r="H4619">
        <v>231</v>
      </c>
      <c r="I4619">
        <v>0.38652799999999998</v>
      </c>
      <c r="J4619">
        <v>0.68146300000000004</v>
      </c>
      <c r="K4619">
        <v>0.294935</v>
      </c>
      <c r="L4619">
        <v>180</v>
      </c>
      <c r="M4619">
        <v>20</v>
      </c>
      <c r="N4619">
        <v>31</v>
      </c>
      <c r="O4619">
        <v>0.72689899999999996</v>
      </c>
      <c r="P4619">
        <v>0.30260199999999998</v>
      </c>
      <c r="Q4619">
        <v>0.240563</v>
      </c>
    </row>
    <row r="4620" spans="1:17" x14ac:dyDescent="0.25">
      <c r="A4620" t="str">
        <f>IF(C4620&amp;G4620&amp;D4620&lt;&gt;'Funnel setup'!$K$3&amp;'Funnel setup'!$K$4&amp;'Funnel setup'!$K$6,".",IF(A4619=".",1,A4619+1))</f>
        <v>.</v>
      </c>
      <c r="B4620" s="244" t="str">
        <f t="shared" si="72"/>
        <v>Total Knee ReplacementSub-ICB of GP PracticeNHS NORTH WEST LONDON ICB - W2U3Z (W2U3Z)EQ-5D Index</v>
      </c>
      <c r="C4620" t="s">
        <v>975</v>
      </c>
      <c r="D4620" t="s">
        <v>1021</v>
      </c>
      <c r="E4620" t="s">
        <v>903</v>
      </c>
      <c r="F4620" t="s">
        <v>904</v>
      </c>
      <c r="G4620" t="s">
        <v>963</v>
      </c>
      <c r="H4620">
        <v>206</v>
      </c>
      <c r="I4620">
        <v>0.43522300000000003</v>
      </c>
      <c r="J4620">
        <v>0.72978600000000005</v>
      </c>
      <c r="K4620">
        <v>0.29456300000000002</v>
      </c>
      <c r="L4620">
        <v>158</v>
      </c>
      <c r="M4620">
        <v>26</v>
      </c>
      <c r="N4620">
        <v>22</v>
      </c>
      <c r="O4620">
        <v>0.73670899999999995</v>
      </c>
      <c r="P4620">
        <v>0.31241099999999999</v>
      </c>
      <c r="Q4620">
        <v>0.22896900000000001</v>
      </c>
    </row>
    <row r="4621" spans="1:17" x14ac:dyDescent="0.25">
      <c r="A4621" t="str">
        <f>IF(C4621&amp;G4621&amp;D4621&lt;&gt;'Funnel setup'!$K$3&amp;'Funnel setup'!$K$4&amp;'Funnel setup'!$K$6,".",IF(A4620=".",1,A4620+1))</f>
        <v>.</v>
      </c>
      <c r="B4621" s="244" t="str">
        <f t="shared" si="72"/>
        <v>Total Knee ReplacementSub-ICB of GP PracticeNHS NORTHAMPTONSHIRE ICB - 78H (78H)EQ-5D Index</v>
      </c>
      <c r="C4621" t="s">
        <v>975</v>
      </c>
      <c r="D4621" t="s">
        <v>1021</v>
      </c>
      <c r="E4621" t="s">
        <v>905</v>
      </c>
      <c r="F4621" t="s">
        <v>906</v>
      </c>
      <c r="G4621" t="s">
        <v>963</v>
      </c>
      <c r="H4621">
        <v>246</v>
      </c>
      <c r="I4621">
        <v>0.37922800000000001</v>
      </c>
      <c r="J4621">
        <v>0.73972000000000004</v>
      </c>
      <c r="K4621">
        <v>0.36049199999999998</v>
      </c>
      <c r="L4621">
        <v>197</v>
      </c>
      <c r="M4621">
        <v>25</v>
      </c>
      <c r="N4621">
        <v>24</v>
      </c>
      <c r="O4621">
        <v>0.74478500000000003</v>
      </c>
      <c r="P4621">
        <v>0.32048700000000002</v>
      </c>
      <c r="Q4621">
        <v>0.24285999999999999</v>
      </c>
    </row>
    <row r="4622" spans="1:17" x14ac:dyDescent="0.25">
      <c r="A4622" t="str">
        <f>IF(C4622&amp;G4622&amp;D4622&lt;&gt;'Funnel setup'!$K$3&amp;'Funnel setup'!$K$4&amp;'Funnel setup'!$K$6,".",IF(A4621=".",1,A4621+1))</f>
        <v>.</v>
      </c>
      <c r="B4622" s="244" t="str">
        <f t="shared" si="72"/>
        <v>Total Knee ReplacementSub-ICB of GP PracticeNHS NOTTINGHAM AND NOTTINGHAMSHIRE ICB - 02Q (02Q)EQ-5D Index</v>
      </c>
      <c r="C4622" t="s">
        <v>975</v>
      </c>
      <c r="D4622" t="s">
        <v>1021</v>
      </c>
      <c r="E4622" t="s">
        <v>907</v>
      </c>
      <c r="F4622" t="s">
        <v>908</v>
      </c>
      <c r="G4622" t="s">
        <v>963</v>
      </c>
      <c r="H4622">
        <v>47</v>
      </c>
      <c r="I4622">
        <v>0.38480900000000001</v>
      </c>
      <c r="J4622">
        <v>0.73510600000000004</v>
      </c>
      <c r="K4622">
        <v>0.350298</v>
      </c>
      <c r="L4622">
        <v>38</v>
      </c>
      <c r="M4622">
        <v>2</v>
      </c>
      <c r="N4622">
        <v>7</v>
      </c>
      <c r="O4622">
        <v>0.760409</v>
      </c>
      <c r="P4622">
        <v>0.33611099999999999</v>
      </c>
      <c r="Q4622">
        <v>0.24121100000000001</v>
      </c>
    </row>
    <row r="4623" spans="1:17" x14ac:dyDescent="0.25">
      <c r="A4623" t="str">
        <f>IF(C4623&amp;G4623&amp;D4623&lt;&gt;'Funnel setup'!$K$3&amp;'Funnel setup'!$K$4&amp;'Funnel setup'!$K$6,".",IF(A4622=".",1,A4622+1))</f>
        <v>.</v>
      </c>
      <c r="B4623" s="244" t="str">
        <f t="shared" si="72"/>
        <v>Total Knee ReplacementSub-ICB of GP PracticeNHS NOTTINGHAM AND NOTTINGHAMSHIRE ICB - 52R (52R)EQ-5D Index</v>
      </c>
      <c r="C4623" t="s">
        <v>975</v>
      </c>
      <c r="D4623" t="s">
        <v>1021</v>
      </c>
      <c r="E4623" t="s">
        <v>909</v>
      </c>
      <c r="F4623" t="s">
        <v>910</v>
      </c>
      <c r="G4623" t="s">
        <v>963</v>
      </c>
      <c r="H4623">
        <v>208</v>
      </c>
      <c r="I4623">
        <v>0.44429299999999999</v>
      </c>
      <c r="J4623">
        <v>0.74973100000000004</v>
      </c>
      <c r="K4623">
        <v>0.30543700000000001</v>
      </c>
      <c r="L4623">
        <v>162</v>
      </c>
      <c r="M4623">
        <v>19</v>
      </c>
      <c r="N4623">
        <v>27</v>
      </c>
      <c r="O4623">
        <v>0.724109</v>
      </c>
      <c r="P4623">
        <v>0.29981099999999999</v>
      </c>
      <c r="Q4623">
        <v>0.23641499999999999</v>
      </c>
    </row>
    <row r="4624" spans="1:17" x14ac:dyDescent="0.25">
      <c r="A4624" t="str">
        <f>IF(C4624&amp;G4624&amp;D4624&lt;&gt;'Funnel setup'!$K$3&amp;'Funnel setup'!$K$4&amp;'Funnel setup'!$K$6,".",IF(A4623=".",1,A4623+1))</f>
        <v>.</v>
      </c>
      <c r="B4624" s="244" t="str">
        <f t="shared" si="72"/>
        <v>Total Knee ReplacementSub-ICB of GP PracticeNHS SHROPSHIRE, TELFORD AND WREKIN ICB - M2L0M (M2L0M)EQ-5D Index</v>
      </c>
      <c r="C4624" t="s">
        <v>975</v>
      </c>
      <c r="D4624" t="s">
        <v>1021</v>
      </c>
      <c r="E4624" t="s">
        <v>911</v>
      </c>
      <c r="F4624" t="s">
        <v>912</v>
      </c>
      <c r="G4624" t="s">
        <v>963</v>
      </c>
      <c r="H4624">
        <v>192</v>
      </c>
      <c r="I4624">
        <v>0.36171900000000001</v>
      </c>
      <c r="J4624">
        <v>0.73521400000000003</v>
      </c>
      <c r="K4624">
        <v>0.37349500000000002</v>
      </c>
      <c r="L4624">
        <v>158</v>
      </c>
      <c r="M4624">
        <v>20</v>
      </c>
      <c r="N4624">
        <v>14</v>
      </c>
      <c r="O4624">
        <v>0.76666199999999995</v>
      </c>
      <c r="P4624">
        <v>0.342364</v>
      </c>
      <c r="Q4624">
        <v>0.22558900000000001</v>
      </c>
    </row>
    <row r="4625" spans="1:17" x14ac:dyDescent="0.25">
      <c r="A4625" t="str">
        <f>IF(C4625&amp;G4625&amp;D4625&lt;&gt;'Funnel setup'!$K$3&amp;'Funnel setup'!$K$4&amp;'Funnel setup'!$K$6,".",IF(A4624=".",1,A4624+1))</f>
        <v>.</v>
      </c>
      <c r="B4625" s="244" t="str">
        <f t="shared" si="72"/>
        <v>Total Knee ReplacementSub-ICB of GP PracticeNHS SOMERSET ICB - 11X (11X)EQ-5D Index</v>
      </c>
      <c r="C4625" t="s">
        <v>975</v>
      </c>
      <c r="D4625" t="s">
        <v>1021</v>
      </c>
      <c r="E4625" t="s">
        <v>913</v>
      </c>
      <c r="F4625" t="s">
        <v>914</v>
      </c>
      <c r="G4625" t="s">
        <v>963</v>
      </c>
      <c r="H4625">
        <v>201</v>
      </c>
      <c r="I4625">
        <v>0.47096500000000002</v>
      </c>
      <c r="J4625">
        <v>0.77579600000000004</v>
      </c>
      <c r="K4625">
        <v>0.30483100000000002</v>
      </c>
      <c r="L4625">
        <v>171</v>
      </c>
      <c r="M4625">
        <v>13</v>
      </c>
      <c r="N4625">
        <v>17</v>
      </c>
      <c r="O4625">
        <v>0.75132699999999997</v>
      </c>
      <c r="P4625">
        <v>0.32702900000000001</v>
      </c>
      <c r="Q4625">
        <v>0.21123600000000001</v>
      </c>
    </row>
    <row r="4626" spans="1:17" x14ac:dyDescent="0.25">
      <c r="A4626" t="str">
        <f>IF(C4626&amp;G4626&amp;D4626&lt;&gt;'Funnel setup'!$K$3&amp;'Funnel setup'!$K$4&amp;'Funnel setup'!$K$6,".",IF(A4625=".",1,A4625+1))</f>
        <v>.</v>
      </c>
      <c r="B4626" s="244" t="str">
        <f t="shared" si="72"/>
        <v>Total Knee ReplacementSub-ICB of GP PracticeNHS SOUTH EAST LONDON ICB - 72Q (72Q)EQ-5D Index</v>
      </c>
      <c r="C4626" t="s">
        <v>975</v>
      </c>
      <c r="D4626" t="s">
        <v>1021</v>
      </c>
      <c r="E4626" t="s">
        <v>915</v>
      </c>
      <c r="F4626" t="s">
        <v>916</v>
      </c>
      <c r="G4626" t="s">
        <v>963</v>
      </c>
      <c r="H4626">
        <v>136</v>
      </c>
      <c r="I4626">
        <v>0.42083100000000001</v>
      </c>
      <c r="J4626">
        <v>0.68239000000000005</v>
      </c>
      <c r="K4626">
        <v>0.26155899999999999</v>
      </c>
      <c r="L4626">
        <v>105</v>
      </c>
      <c r="M4626">
        <v>10</v>
      </c>
      <c r="N4626">
        <v>21</v>
      </c>
      <c r="O4626">
        <v>0.69436100000000001</v>
      </c>
      <c r="P4626">
        <v>0.27006400000000003</v>
      </c>
      <c r="Q4626">
        <v>0.271957</v>
      </c>
    </row>
    <row r="4627" spans="1:17" x14ac:dyDescent="0.25">
      <c r="A4627" t="str">
        <f>IF(C4627&amp;G4627&amp;D4627&lt;&gt;'Funnel setup'!$K$3&amp;'Funnel setup'!$K$4&amp;'Funnel setup'!$K$6,".",IF(A4626=".",1,A4626+1))</f>
        <v>.</v>
      </c>
      <c r="B4627" s="244" t="str">
        <f t="shared" si="72"/>
        <v>Total Knee ReplacementSub-ICB of GP PracticeNHS SOUTH WEST LONDON ICB - 36L (36L)EQ-5D Index</v>
      </c>
      <c r="C4627" t="s">
        <v>975</v>
      </c>
      <c r="D4627" t="s">
        <v>1021</v>
      </c>
      <c r="E4627" t="s">
        <v>917</v>
      </c>
      <c r="F4627" t="s">
        <v>918</v>
      </c>
      <c r="G4627" t="s">
        <v>963</v>
      </c>
      <c r="H4627">
        <v>487</v>
      </c>
      <c r="I4627">
        <v>0.41293200000000002</v>
      </c>
      <c r="J4627">
        <v>0.73663400000000001</v>
      </c>
      <c r="K4627">
        <v>0.32370199999999999</v>
      </c>
      <c r="L4627">
        <v>403</v>
      </c>
      <c r="M4627">
        <v>43</v>
      </c>
      <c r="N4627">
        <v>41</v>
      </c>
      <c r="O4627">
        <v>0.74124599999999996</v>
      </c>
      <c r="P4627">
        <v>0.31694899999999998</v>
      </c>
      <c r="Q4627">
        <v>0.22361200000000001</v>
      </c>
    </row>
    <row r="4628" spans="1:17" x14ac:dyDescent="0.25">
      <c r="A4628" t="str">
        <f>IF(C4628&amp;G4628&amp;D4628&lt;&gt;'Funnel setup'!$K$3&amp;'Funnel setup'!$K$4&amp;'Funnel setup'!$K$6,".",IF(A4627=".",1,A4627+1))</f>
        <v>.</v>
      </c>
      <c r="B4628" s="244" t="str">
        <f t="shared" si="72"/>
        <v>Total Knee ReplacementSub-ICB of GP PracticeNHS SOUTH YORKSHIRE ICB - 02P (02P)EQ-5D Index</v>
      </c>
      <c r="C4628" t="s">
        <v>975</v>
      </c>
      <c r="D4628" t="s">
        <v>1021</v>
      </c>
      <c r="E4628" t="s">
        <v>919</v>
      </c>
      <c r="F4628" t="s">
        <v>920</v>
      </c>
      <c r="G4628" t="s">
        <v>963</v>
      </c>
      <c r="H4628">
        <v>51</v>
      </c>
      <c r="I4628">
        <v>0.366647</v>
      </c>
      <c r="J4628">
        <v>0.64041199999999998</v>
      </c>
      <c r="K4628">
        <v>0.27376499999999998</v>
      </c>
      <c r="L4628">
        <v>36</v>
      </c>
      <c r="M4628">
        <v>7</v>
      </c>
      <c r="N4628">
        <v>8</v>
      </c>
      <c r="O4628">
        <v>0.67616299999999996</v>
      </c>
      <c r="P4628">
        <v>0.25186500000000001</v>
      </c>
      <c r="Q4628">
        <v>0.30153799999999997</v>
      </c>
    </row>
    <row r="4629" spans="1:17" x14ac:dyDescent="0.25">
      <c r="A4629" t="str">
        <f>IF(C4629&amp;G4629&amp;D4629&lt;&gt;'Funnel setup'!$K$3&amp;'Funnel setup'!$K$4&amp;'Funnel setup'!$K$6,".",IF(A4628=".",1,A4628+1))</f>
        <v>.</v>
      </c>
      <c r="B4629" s="244" t="str">
        <f t="shared" si="72"/>
        <v>Total Knee ReplacementSub-ICB of GP PracticeNHS SOUTH YORKSHIRE ICB - 02X (02X)EQ-5D Index</v>
      </c>
      <c r="C4629" t="s">
        <v>975</v>
      </c>
      <c r="D4629" t="s">
        <v>1021</v>
      </c>
      <c r="E4629" t="s">
        <v>921</v>
      </c>
      <c r="F4629" t="s">
        <v>922</v>
      </c>
      <c r="G4629" t="s">
        <v>963</v>
      </c>
      <c r="H4629">
        <v>113</v>
      </c>
      <c r="I4629">
        <v>0.40519500000000003</v>
      </c>
      <c r="J4629">
        <v>0.70895600000000003</v>
      </c>
      <c r="K4629">
        <v>0.303761</v>
      </c>
      <c r="L4629">
        <v>88</v>
      </c>
      <c r="M4629">
        <v>14</v>
      </c>
      <c r="N4629">
        <v>11</v>
      </c>
      <c r="O4629">
        <v>0.72042200000000001</v>
      </c>
      <c r="P4629">
        <v>0.29612500000000003</v>
      </c>
      <c r="Q4629">
        <v>0.26155699999999998</v>
      </c>
    </row>
    <row r="4630" spans="1:17" x14ac:dyDescent="0.25">
      <c r="A4630" t="str">
        <f>IF(C4630&amp;G4630&amp;D4630&lt;&gt;'Funnel setup'!$K$3&amp;'Funnel setup'!$K$4&amp;'Funnel setup'!$K$6,".",IF(A4629=".",1,A4629+1))</f>
        <v>.</v>
      </c>
      <c r="B4630" s="244" t="str">
        <f t="shared" si="72"/>
        <v>Total Knee ReplacementSub-ICB of GP PracticeNHS SOUTH YORKSHIRE ICB - 03L (03L)EQ-5D Index</v>
      </c>
      <c r="C4630" t="s">
        <v>975</v>
      </c>
      <c r="D4630" t="s">
        <v>1021</v>
      </c>
      <c r="E4630" t="s">
        <v>923</v>
      </c>
      <c r="F4630" t="s">
        <v>924</v>
      </c>
      <c r="G4630" t="s">
        <v>963</v>
      </c>
      <c r="H4630">
        <v>37</v>
      </c>
      <c r="I4630">
        <v>0.30410799999999999</v>
      </c>
      <c r="J4630">
        <v>0.76729700000000001</v>
      </c>
      <c r="K4630">
        <v>0.46318900000000002</v>
      </c>
      <c r="L4630">
        <v>32</v>
      </c>
      <c r="M4630">
        <v>3</v>
      </c>
      <c r="N4630">
        <v>2</v>
      </c>
      <c r="O4630">
        <v>0.79886199999999996</v>
      </c>
      <c r="P4630">
        <v>0.37456499999999998</v>
      </c>
      <c r="Q4630">
        <v>0.20965200000000001</v>
      </c>
    </row>
    <row r="4631" spans="1:17" x14ac:dyDescent="0.25">
      <c r="A4631" t="str">
        <f>IF(C4631&amp;G4631&amp;D4631&lt;&gt;'Funnel setup'!$K$3&amp;'Funnel setup'!$K$4&amp;'Funnel setup'!$K$6,".",IF(A4630=".",1,A4630+1))</f>
        <v>.</v>
      </c>
      <c r="B4631" s="244" t="str">
        <f t="shared" si="72"/>
        <v>Total Knee ReplacementSub-ICB of GP PracticeNHS SOUTH YORKSHIRE ICB - 03N (03N)EQ-5D Index</v>
      </c>
      <c r="C4631" t="s">
        <v>975</v>
      </c>
      <c r="D4631" t="s">
        <v>1021</v>
      </c>
      <c r="E4631" t="s">
        <v>925</v>
      </c>
      <c r="F4631" t="s">
        <v>926</v>
      </c>
      <c r="G4631" t="s">
        <v>963</v>
      </c>
      <c r="H4631">
        <v>37</v>
      </c>
      <c r="I4631">
        <v>0.45943200000000001</v>
      </c>
      <c r="J4631">
        <v>0.79045900000000002</v>
      </c>
      <c r="K4631">
        <v>0.33102700000000002</v>
      </c>
      <c r="L4631">
        <v>31</v>
      </c>
      <c r="M4631">
        <v>3</v>
      </c>
      <c r="N4631">
        <v>3</v>
      </c>
      <c r="O4631">
        <v>0.77671500000000004</v>
      </c>
      <c r="P4631">
        <v>0.35241699999999998</v>
      </c>
      <c r="Q4631">
        <v>0.19339300000000001</v>
      </c>
    </row>
    <row r="4632" spans="1:17" x14ac:dyDescent="0.25">
      <c r="A4632" t="str">
        <f>IF(C4632&amp;G4632&amp;D4632&lt;&gt;'Funnel setup'!$K$3&amp;'Funnel setup'!$K$4&amp;'Funnel setup'!$K$6,".",IF(A4631=".",1,A4631+1))</f>
        <v>.</v>
      </c>
      <c r="B4632" s="244" t="str">
        <f t="shared" si="72"/>
        <v>Total Knee ReplacementSub-ICB of GP PracticeNHS STAFFORDSHIRE AND STOKE-ON-TRENT ICB - 04Y (04Y)EQ-5D Index</v>
      </c>
      <c r="C4632" t="s">
        <v>975</v>
      </c>
      <c r="D4632" t="s">
        <v>1021</v>
      </c>
      <c r="E4632" t="s">
        <v>927</v>
      </c>
      <c r="F4632" t="s">
        <v>928</v>
      </c>
      <c r="G4632" t="s">
        <v>963</v>
      </c>
      <c r="H4632">
        <v>24</v>
      </c>
      <c r="I4632">
        <v>0.40962500000000002</v>
      </c>
      <c r="J4632">
        <v>0.82804199999999994</v>
      </c>
      <c r="K4632">
        <v>0.41841699999999998</v>
      </c>
      <c r="L4632">
        <v>22</v>
      </c>
      <c r="M4632">
        <v>1</v>
      </c>
      <c r="N4632">
        <v>1</v>
      </c>
      <c r="O4632" t="s">
        <v>127</v>
      </c>
      <c r="P4632" t="s">
        <v>127</v>
      </c>
      <c r="Q4632" t="s">
        <v>127</v>
      </c>
    </row>
    <row r="4633" spans="1:17" x14ac:dyDescent="0.25">
      <c r="A4633" t="str">
        <f>IF(C4633&amp;G4633&amp;D4633&lt;&gt;'Funnel setup'!$K$3&amp;'Funnel setup'!$K$4&amp;'Funnel setup'!$K$6,".",IF(A4632=".",1,A4632+1))</f>
        <v>.</v>
      </c>
      <c r="B4633" s="244" t="str">
        <f t="shared" si="72"/>
        <v>Total Knee ReplacementSub-ICB of GP PracticeNHS STAFFORDSHIRE AND STOKE-ON-TRENT ICB - 05D (05D)EQ-5D Index</v>
      </c>
      <c r="C4633" t="s">
        <v>975</v>
      </c>
      <c r="D4633" t="s">
        <v>1021</v>
      </c>
      <c r="E4633" t="s">
        <v>929</v>
      </c>
      <c r="F4633" t="s">
        <v>930</v>
      </c>
      <c r="G4633" t="s">
        <v>963</v>
      </c>
      <c r="H4633">
        <v>67</v>
      </c>
      <c r="I4633">
        <v>0.42613400000000001</v>
      </c>
      <c r="J4633">
        <v>0.73659699999999995</v>
      </c>
      <c r="K4633">
        <v>0.31046299999999999</v>
      </c>
      <c r="L4633">
        <v>52</v>
      </c>
      <c r="M4633">
        <v>5</v>
      </c>
      <c r="N4633">
        <v>10</v>
      </c>
      <c r="O4633">
        <v>0.73891899999999999</v>
      </c>
      <c r="P4633">
        <v>0.31462099999999998</v>
      </c>
      <c r="Q4633">
        <v>0.25182500000000002</v>
      </c>
    </row>
    <row r="4634" spans="1:17" x14ac:dyDescent="0.25">
      <c r="A4634" t="str">
        <f>IF(C4634&amp;G4634&amp;D4634&lt;&gt;'Funnel setup'!$K$3&amp;'Funnel setup'!$K$4&amp;'Funnel setup'!$K$6,".",IF(A4633=".",1,A4633+1))</f>
        <v>.</v>
      </c>
      <c r="B4634" s="244" t="str">
        <f t="shared" si="72"/>
        <v>Total Knee ReplacementSub-ICB of GP PracticeNHS STAFFORDSHIRE AND STOKE-ON-TRENT ICB - 05G (05G)EQ-5D Index</v>
      </c>
      <c r="C4634" t="s">
        <v>975</v>
      </c>
      <c r="D4634" t="s">
        <v>1021</v>
      </c>
      <c r="E4634" t="s">
        <v>931</v>
      </c>
      <c r="F4634" t="s">
        <v>932</v>
      </c>
      <c r="G4634" t="s">
        <v>963</v>
      </c>
      <c r="H4634">
        <v>49</v>
      </c>
      <c r="I4634">
        <v>0.35957099999999997</v>
      </c>
      <c r="J4634">
        <v>0.69718400000000003</v>
      </c>
      <c r="K4634">
        <v>0.33761200000000002</v>
      </c>
      <c r="L4634">
        <v>43</v>
      </c>
      <c r="M4634">
        <v>2</v>
      </c>
      <c r="N4634">
        <v>4</v>
      </c>
      <c r="O4634">
        <v>0.72021100000000005</v>
      </c>
      <c r="P4634">
        <v>0.29591400000000001</v>
      </c>
      <c r="Q4634">
        <v>0.23249400000000001</v>
      </c>
    </row>
    <row r="4635" spans="1:17" x14ac:dyDescent="0.25">
      <c r="A4635" t="str">
        <f>IF(C4635&amp;G4635&amp;D4635&lt;&gt;'Funnel setup'!$K$3&amp;'Funnel setup'!$K$4&amp;'Funnel setup'!$K$6,".",IF(A4634=".",1,A4634+1))</f>
        <v>.</v>
      </c>
      <c r="B4635" s="244" t="str">
        <f t="shared" si="72"/>
        <v>Total Knee ReplacementSub-ICB of GP PracticeNHS STAFFORDSHIRE AND STOKE-ON-TRENT ICB - 05Q (05Q)EQ-5D Index</v>
      </c>
      <c r="C4635" t="s">
        <v>975</v>
      </c>
      <c r="D4635" t="s">
        <v>1021</v>
      </c>
      <c r="E4635" t="s">
        <v>933</v>
      </c>
      <c r="F4635" t="s">
        <v>934</v>
      </c>
      <c r="G4635" t="s">
        <v>963</v>
      </c>
      <c r="H4635">
        <v>87</v>
      </c>
      <c r="I4635">
        <v>0.42366700000000002</v>
      </c>
      <c r="J4635">
        <v>0.73156299999999996</v>
      </c>
      <c r="K4635">
        <v>0.30789699999999998</v>
      </c>
      <c r="L4635">
        <v>67</v>
      </c>
      <c r="M4635">
        <v>13</v>
      </c>
      <c r="N4635">
        <v>7</v>
      </c>
      <c r="O4635">
        <v>0.73058100000000004</v>
      </c>
      <c r="P4635">
        <v>0.306284</v>
      </c>
      <c r="Q4635">
        <v>0.227188</v>
      </c>
    </row>
    <row r="4636" spans="1:17" x14ac:dyDescent="0.25">
      <c r="A4636" t="str">
        <f>IF(C4636&amp;G4636&amp;D4636&lt;&gt;'Funnel setup'!$K$3&amp;'Funnel setup'!$K$4&amp;'Funnel setup'!$K$6,".",IF(A4635=".",1,A4635+1))</f>
        <v>.</v>
      </c>
      <c r="B4636" s="244" t="str">
        <f t="shared" si="72"/>
        <v>Total Knee ReplacementSub-ICB of GP PracticeNHS STAFFORDSHIRE AND STOKE-ON-TRENT ICB - 05V (05V)EQ-5D Index</v>
      </c>
      <c r="C4636" t="s">
        <v>975</v>
      </c>
      <c r="D4636" t="s">
        <v>1021</v>
      </c>
      <c r="E4636" t="s">
        <v>935</v>
      </c>
      <c r="F4636" t="s">
        <v>936</v>
      </c>
      <c r="G4636" t="s">
        <v>963</v>
      </c>
      <c r="H4636">
        <v>32</v>
      </c>
      <c r="I4636">
        <v>0.55478099999999997</v>
      </c>
      <c r="J4636">
        <v>0.81596900000000006</v>
      </c>
      <c r="K4636">
        <v>0.26118799999999998</v>
      </c>
      <c r="L4636">
        <v>28</v>
      </c>
      <c r="M4636">
        <v>2</v>
      </c>
      <c r="N4636">
        <v>2</v>
      </c>
      <c r="O4636">
        <v>0.75670099999999996</v>
      </c>
      <c r="P4636">
        <v>0.33240399999999998</v>
      </c>
      <c r="Q4636">
        <v>0.19497700000000001</v>
      </c>
    </row>
    <row r="4637" spans="1:17" x14ac:dyDescent="0.25">
      <c r="A4637" t="str">
        <f>IF(C4637&amp;G4637&amp;D4637&lt;&gt;'Funnel setup'!$K$3&amp;'Funnel setup'!$K$4&amp;'Funnel setup'!$K$6,".",IF(A4636=".",1,A4636+1))</f>
        <v>.</v>
      </c>
      <c r="B4637" s="244" t="str">
        <f t="shared" si="72"/>
        <v>Total Knee ReplacementSub-ICB of GP PracticeNHS STAFFORDSHIRE AND STOKE-ON-TRENT ICB - 05W (05W)EQ-5D Index</v>
      </c>
      <c r="C4637" t="s">
        <v>975</v>
      </c>
      <c r="D4637" t="s">
        <v>1021</v>
      </c>
      <c r="E4637" t="s">
        <v>937</v>
      </c>
      <c r="F4637" t="s">
        <v>938</v>
      </c>
      <c r="G4637" t="s">
        <v>963</v>
      </c>
      <c r="H4637">
        <v>42</v>
      </c>
      <c r="I4637">
        <v>0.35381000000000001</v>
      </c>
      <c r="J4637">
        <v>0.70578600000000002</v>
      </c>
      <c r="K4637">
        <v>0.35197600000000001</v>
      </c>
      <c r="L4637">
        <v>32</v>
      </c>
      <c r="M4637">
        <v>5</v>
      </c>
      <c r="N4637">
        <v>5</v>
      </c>
      <c r="O4637">
        <v>0.75835399999999997</v>
      </c>
      <c r="P4637">
        <v>0.33405699999999999</v>
      </c>
      <c r="Q4637">
        <v>0.234597</v>
      </c>
    </row>
    <row r="4638" spans="1:17" x14ac:dyDescent="0.25">
      <c r="A4638" t="str">
        <f>IF(C4638&amp;G4638&amp;D4638&lt;&gt;'Funnel setup'!$K$3&amp;'Funnel setup'!$K$4&amp;'Funnel setup'!$K$6,".",IF(A4637=".",1,A4637+1))</f>
        <v>.</v>
      </c>
      <c r="B4638" s="244" t="str">
        <f t="shared" si="72"/>
        <v>Total Knee ReplacementSub-ICB of GP PracticeNHS SUFFOLK AND NORTH EAST ESSEX ICB - 06L (06L)EQ-5D Index</v>
      </c>
      <c r="C4638" t="s">
        <v>975</v>
      </c>
      <c r="D4638" t="s">
        <v>1021</v>
      </c>
      <c r="E4638" t="s">
        <v>939</v>
      </c>
      <c r="F4638" t="s">
        <v>940</v>
      </c>
      <c r="G4638" t="s">
        <v>963</v>
      </c>
      <c r="H4638">
        <v>112</v>
      </c>
      <c r="I4638">
        <v>0.41298200000000002</v>
      </c>
      <c r="J4638">
        <v>0.76866999999999996</v>
      </c>
      <c r="K4638">
        <v>0.35568699999999998</v>
      </c>
      <c r="L4638">
        <v>99</v>
      </c>
      <c r="M4638">
        <v>7</v>
      </c>
      <c r="N4638">
        <v>6</v>
      </c>
      <c r="O4638">
        <v>0.77863899999999997</v>
      </c>
      <c r="P4638">
        <v>0.35434199999999999</v>
      </c>
      <c r="Q4638">
        <v>0.208616</v>
      </c>
    </row>
    <row r="4639" spans="1:17" x14ac:dyDescent="0.25">
      <c r="A4639" t="str">
        <f>IF(C4639&amp;G4639&amp;D4639&lt;&gt;'Funnel setup'!$K$3&amp;'Funnel setup'!$K$4&amp;'Funnel setup'!$K$6,".",IF(A4638=".",1,A4638+1))</f>
        <v>.</v>
      </c>
      <c r="B4639" s="244" t="str">
        <f t="shared" si="72"/>
        <v>Total Knee ReplacementSub-ICB of GP PracticeNHS SUFFOLK AND NORTH EAST ESSEX ICB - 06T (06T)EQ-5D Index</v>
      </c>
      <c r="C4639" t="s">
        <v>975</v>
      </c>
      <c r="D4639" t="s">
        <v>1021</v>
      </c>
      <c r="E4639" t="s">
        <v>941</v>
      </c>
      <c r="F4639" t="s">
        <v>942</v>
      </c>
      <c r="G4639" t="s">
        <v>963</v>
      </c>
      <c r="H4639">
        <v>32</v>
      </c>
      <c r="I4639">
        <v>0.376469</v>
      </c>
      <c r="J4639">
        <v>0.70221900000000004</v>
      </c>
      <c r="K4639">
        <v>0.32574999999999998</v>
      </c>
      <c r="L4639">
        <v>30</v>
      </c>
      <c r="M4639">
        <v>1</v>
      </c>
      <c r="N4639">
        <v>1</v>
      </c>
      <c r="O4639">
        <v>0.72800299999999996</v>
      </c>
      <c r="P4639">
        <v>0.30370599999999998</v>
      </c>
      <c r="Q4639">
        <v>0.17103399999999999</v>
      </c>
    </row>
    <row r="4640" spans="1:17" x14ac:dyDescent="0.25">
      <c r="A4640" t="str">
        <f>IF(C4640&amp;G4640&amp;D4640&lt;&gt;'Funnel setup'!$K$3&amp;'Funnel setup'!$K$4&amp;'Funnel setup'!$K$6,".",IF(A4639=".",1,A4639+1))</f>
        <v>.</v>
      </c>
      <c r="B4640" s="244" t="str">
        <f t="shared" si="72"/>
        <v>Total Knee ReplacementSub-ICB of GP PracticeNHS SUFFOLK AND NORTH EAST ESSEX ICB - 07K (07K)EQ-5D Index</v>
      </c>
      <c r="C4640" t="s">
        <v>975</v>
      </c>
      <c r="D4640" t="s">
        <v>1021</v>
      </c>
      <c r="E4640" t="s">
        <v>943</v>
      </c>
      <c r="F4640" t="s">
        <v>944</v>
      </c>
      <c r="G4640" t="s">
        <v>963</v>
      </c>
      <c r="H4640">
        <v>94</v>
      </c>
      <c r="I4640">
        <v>0.38035099999999999</v>
      </c>
      <c r="J4640">
        <v>0.77540399999999998</v>
      </c>
      <c r="K4640">
        <v>0.39505299999999999</v>
      </c>
      <c r="L4640">
        <v>78</v>
      </c>
      <c r="M4640">
        <v>9</v>
      </c>
      <c r="N4640">
        <v>7</v>
      </c>
      <c r="O4640">
        <v>0.75917500000000004</v>
      </c>
      <c r="P4640">
        <v>0.33487800000000001</v>
      </c>
      <c r="Q4640">
        <v>0.22720399999999999</v>
      </c>
    </row>
    <row r="4641" spans="1:17" x14ac:dyDescent="0.25">
      <c r="A4641" t="str">
        <f>IF(C4641&amp;G4641&amp;D4641&lt;&gt;'Funnel setup'!$K$3&amp;'Funnel setup'!$K$4&amp;'Funnel setup'!$K$6,".",IF(A4640=".",1,A4640+1))</f>
        <v>.</v>
      </c>
      <c r="B4641" s="244" t="str">
        <f t="shared" si="72"/>
        <v>Total Knee ReplacementSub-ICB of GP PracticeNHS SURREY HEARTLANDS ICB - 92A (92A)EQ-5D Index</v>
      </c>
      <c r="C4641" t="s">
        <v>975</v>
      </c>
      <c r="D4641" t="s">
        <v>1021</v>
      </c>
      <c r="E4641" t="s">
        <v>945</v>
      </c>
      <c r="F4641" t="s">
        <v>946</v>
      </c>
      <c r="G4641" t="s">
        <v>963</v>
      </c>
      <c r="H4641">
        <v>328</v>
      </c>
      <c r="I4641">
        <v>0.48092099999999999</v>
      </c>
      <c r="J4641">
        <v>0.78753700000000004</v>
      </c>
      <c r="K4641">
        <v>0.306616</v>
      </c>
      <c r="L4641">
        <v>276</v>
      </c>
      <c r="M4641">
        <v>30</v>
      </c>
      <c r="N4641">
        <v>22</v>
      </c>
      <c r="O4641">
        <v>0.75450399999999995</v>
      </c>
      <c r="P4641">
        <v>0.330206</v>
      </c>
      <c r="Q4641">
        <v>0.21542700000000001</v>
      </c>
    </row>
    <row r="4642" spans="1:17" x14ac:dyDescent="0.25">
      <c r="A4642" t="str">
        <f>IF(C4642&amp;G4642&amp;D4642&lt;&gt;'Funnel setup'!$K$3&amp;'Funnel setup'!$K$4&amp;'Funnel setup'!$K$6,".",IF(A4641=".",1,A4641+1))</f>
        <v>.</v>
      </c>
      <c r="B4642" s="244" t="str">
        <f t="shared" si="72"/>
        <v>Total Knee ReplacementSub-ICB of GP PracticeNHS SUSSEX ICB - 09D (09D)EQ-5D Index</v>
      </c>
      <c r="C4642" t="s">
        <v>975</v>
      </c>
      <c r="D4642" t="s">
        <v>1021</v>
      </c>
      <c r="E4642" t="s">
        <v>947</v>
      </c>
      <c r="F4642" t="s">
        <v>948</v>
      </c>
      <c r="G4642" t="s">
        <v>963</v>
      </c>
      <c r="H4642">
        <v>28</v>
      </c>
      <c r="I4642">
        <v>0.56214299999999995</v>
      </c>
      <c r="J4642">
        <v>0.81892900000000002</v>
      </c>
      <c r="K4642">
        <v>0.25678600000000001</v>
      </c>
      <c r="L4642">
        <v>22</v>
      </c>
      <c r="M4642">
        <v>4</v>
      </c>
      <c r="N4642">
        <v>2</v>
      </c>
      <c r="O4642" t="s">
        <v>127</v>
      </c>
      <c r="P4642" t="s">
        <v>127</v>
      </c>
      <c r="Q4642" t="s">
        <v>127</v>
      </c>
    </row>
    <row r="4643" spans="1:17" x14ac:dyDescent="0.25">
      <c r="A4643" t="str">
        <f>IF(C4643&amp;G4643&amp;D4643&lt;&gt;'Funnel setup'!$K$3&amp;'Funnel setup'!$K$4&amp;'Funnel setup'!$K$6,".",IF(A4642=".",1,A4642+1))</f>
        <v>.</v>
      </c>
      <c r="B4643" s="244" t="str">
        <f t="shared" si="72"/>
        <v>Total Knee ReplacementSub-ICB of GP PracticeNHS SUSSEX ICB - 70F (70F)EQ-5D Index</v>
      </c>
      <c r="C4643" t="s">
        <v>975</v>
      </c>
      <c r="D4643" t="s">
        <v>1021</v>
      </c>
      <c r="E4643" t="s">
        <v>949</v>
      </c>
      <c r="F4643" t="s">
        <v>950</v>
      </c>
      <c r="G4643" t="s">
        <v>963</v>
      </c>
      <c r="H4643">
        <v>225</v>
      </c>
      <c r="I4643">
        <v>0.41169800000000001</v>
      </c>
      <c r="J4643">
        <v>0.75247600000000003</v>
      </c>
      <c r="K4643">
        <v>0.34077800000000003</v>
      </c>
      <c r="L4643">
        <v>186</v>
      </c>
      <c r="M4643">
        <v>22</v>
      </c>
      <c r="N4643">
        <v>17</v>
      </c>
      <c r="O4643">
        <v>0.74150300000000002</v>
      </c>
      <c r="P4643">
        <v>0.31720599999999999</v>
      </c>
      <c r="Q4643">
        <v>0.229239</v>
      </c>
    </row>
    <row r="4644" spans="1:17" x14ac:dyDescent="0.25">
      <c r="A4644" t="str">
        <f>IF(C4644&amp;G4644&amp;D4644&lt;&gt;'Funnel setup'!$K$3&amp;'Funnel setup'!$K$4&amp;'Funnel setup'!$K$6,".",IF(A4643=".",1,A4643+1))</f>
        <v>.</v>
      </c>
      <c r="B4644" s="244" t="str">
        <f t="shared" si="72"/>
        <v>Total Knee ReplacementSub-ICB of GP PracticeNHS SUSSEX ICB - 97R (97R)EQ-5D Index</v>
      </c>
      <c r="C4644" t="s">
        <v>975</v>
      </c>
      <c r="D4644" t="s">
        <v>1021</v>
      </c>
      <c r="E4644" t="s">
        <v>951</v>
      </c>
      <c r="F4644" t="s">
        <v>952</v>
      </c>
      <c r="G4644" t="s">
        <v>963</v>
      </c>
      <c r="H4644">
        <v>293</v>
      </c>
      <c r="I4644">
        <v>0.49953199999999998</v>
      </c>
      <c r="J4644">
        <v>0.79028299999999996</v>
      </c>
      <c r="K4644">
        <v>0.29075099999999998</v>
      </c>
      <c r="L4644">
        <v>233</v>
      </c>
      <c r="M4644">
        <v>35</v>
      </c>
      <c r="N4644">
        <v>25</v>
      </c>
      <c r="O4644">
        <v>0.76831000000000005</v>
      </c>
      <c r="P4644">
        <v>0.34401199999999998</v>
      </c>
      <c r="Q4644">
        <v>0.22224099999999999</v>
      </c>
    </row>
    <row r="4645" spans="1:17" x14ac:dyDescent="0.25">
      <c r="A4645" t="str">
        <f>IF(C4645&amp;G4645&amp;D4645&lt;&gt;'Funnel setup'!$K$3&amp;'Funnel setup'!$K$4&amp;'Funnel setup'!$K$6,".",IF(A4644=".",1,A4644+1))</f>
        <v>.</v>
      </c>
      <c r="B4645" s="244" t="str">
        <f t="shared" si="72"/>
        <v>Total Knee ReplacementSub-ICB of GP PracticeNHS WEST YORKSHIRE ICB - 02T (02T)EQ-5D Index</v>
      </c>
      <c r="C4645" t="s">
        <v>975</v>
      </c>
      <c r="D4645" t="s">
        <v>1021</v>
      </c>
      <c r="E4645" t="s">
        <v>953</v>
      </c>
      <c r="F4645" t="s">
        <v>954</v>
      </c>
      <c r="G4645" t="s">
        <v>963</v>
      </c>
      <c r="H4645">
        <v>45</v>
      </c>
      <c r="I4645">
        <v>0.50648899999999997</v>
      </c>
      <c r="J4645">
        <v>0.77184399999999997</v>
      </c>
      <c r="K4645">
        <v>0.26535599999999998</v>
      </c>
      <c r="L4645">
        <v>34</v>
      </c>
      <c r="M4645">
        <v>5</v>
      </c>
      <c r="N4645">
        <v>6</v>
      </c>
      <c r="O4645">
        <v>0.75649</v>
      </c>
      <c r="P4645">
        <v>0.33219199999999999</v>
      </c>
      <c r="Q4645">
        <v>0.23286599999999999</v>
      </c>
    </row>
    <row r="4646" spans="1:17" x14ac:dyDescent="0.25">
      <c r="A4646" t="str">
        <f>IF(C4646&amp;G4646&amp;D4646&lt;&gt;'Funnel setup'!$K$3&amp;'Funnel setup'!$K$4&amp;'Funnel setup'!$K$6,".",IF(A4645=".",1,A4645+1))</f>
        <v>.</v>
      </c>
      <c r="B4646" s="244" t="str">
        <f t="shared" si="72"/>
        <v>Total Knee ReplacementSub-ICB of GP PracticeNHS WEST YORKSHIRE ICB - 03R (03R)EQ-5D Index</v>
      </c>
      <c r="C4646" t="s">
        <v>975</v>
      </c>
      <c r="D4646" t="s">
        <v>1021</v>
      </c>
      <c r="E4646" t="s">
        <v>955</v>
      </c>
      <c r="F4646" t="s">
        <v>956</v>
      </c>
      <c r="G4646" t="s">
        <v>963</v>
      </c>
      <c r="H4646">
        <v>185</v>
      </c>
      <c r="I4646">
        <v>0.381027</v>
      </c>
      <c r="J4646">
        <v>0.71371399999999996</v>
      </c>
      <c r="K4646">
        <v>0.33268599999999998</v>
      </c>
      <c r="L4646">
        <v>147</v>
      </c>
      <c r="M4646">
        <v>17</v>
      </c>
      <c r="N4646">
        <v>21</v>
      </c>
      <c r="O4646">
        <v>0.73791899999999999</v>
      </c>
      <c r="P4646">
        <v>0.31362200000000001</v>
      </c>
      <c r="Q4646">
        <v>0.262874</v>
      </c>
    </row>
    <row r="4647" spans="1:17" x14ac:dyDescent="0.25">
      <c r="A4647" t="str">
        <f>IF(C4647&amp;G4647&amp;D4647&lt;&gt;'Funnel setup'!$K$3&amp;'Funnel setup'!$K$4&amp;'Funnel setup'!$K$6,".",IF(A4646=".",1,A4646+1))</f>
        <v>.</v>
      </c>
      <c r="B4647" s="244" t="str">
        <f t="shared" si="72"/>
        <v>Total Knee ReplacementSub-ICB of GP PracticeNHS WEST YORKSHIRE ICB - 15F (15F)EQ-5D Index</v>
      </c>
      <c r="C4647" t="s">
        <v>975</v>
      </c>
      <c r="D4647" t="s">
        <v>1021</v>
      </c>
      <c r="E4647" t="s">
        <v>957</v>
      </c>
      <c r="F4647" t="s">
        <v>958</v>
      </c>
      <c r="G4647" t="s">
        <v>963</v>
      </c>
      <c r="H4647">
        <v>257</v>
      </c>
      <c r="I4647">
        <v>0.44448599999999999</v>
      </c>
      <c r="J4647">
        <v>0.74599199999999999</v>
      </c>
      <c r="K4647">
        <v>0.301506</v>
      </c>
      <c r="L4647">
        <v>207</v>
      </c>
      <c r="M4647">
        <v>26</v>
      </c>
      <c r="N4647">
        <v>24</v>
      </c>
      <c r="O4647">
        <v>0.741699</v>
      </c>
      <c r="P4647">
        <v>0.31740200000000002</v>
      </c>
      <c r="Q4647">
        <v>0.21052299999999999</v>
      </c>
    </row>
    <row r="4648" spans="1:17" x14ac:dyDescent="0.25">
      <c r="A4648" t="str">
        <f>IF(C4648&amp;G4648&amp;D4648&lt;&gt;'Funnel setup'!$K$3&amp;'Funnel setup'!$K$4&amp;'Funnel setup'!$K$6,".",IF(A4647=".",1,A4647+1))</f>
        <v>.</v>
      </c>
      <c r="B4648" s="244" t="str">
        <f t="shared" si="72"/>
        <v>Total Knee ReplacementSub-ICB of GP PracticeNHS WEST YORKSHIRE ICB - 36J (36J)EQ-5D Index</v>
      </c>
      <c r="C4648" t="s">
        <v>975</v>
      </c>
      <c r="D4648" t="s">
        <v>1021</v>
      </c>
      <c r="E4648" t="s">
        <v>959</v>
      </c>
      <c r="F4648" t="s">
        <v>960</v>
      </c>
      <c r="G4648" t="s">
        <v>963</v>
      </c>
      <c r="H4648">
        <v>66</v>
      </c>
      <c r="I4648">
        <v>0.41456100000000001</v>
      </c>
      <c r="J4648">
        <v>0.72260599999999997</v>
      </c>
      <c r="K4648">
        <v>0.30804500000000001</v>
      </c>
      <c r="L4648">
        <v>58</v>
      </c>
      <c r="M4648">
        <v>2</v>
      </c>
      <c r="N4648">
        <v>6</v>
      </c>
      <c r="O4648">
        <v>0.74434100000000003</v>
      </c>
      <c r="P4648">
        <v>0.32004300000000002</v>
      </c>
      <c r="Q4648">
        <v>0.25906200000000001</v>
      </c>
    </row>
    <row r="4649" spans="1:17" x14ac:dyDescent="0.25">
      <c r="A4649" t="str">
        <f>IF(C4649&amp;G4649&amp;D4649&lt;&gt;'Funnel setup'!$K$3&amp;'Funnel setup'!$K$4&amp;'Funnel setup'!$K$6,".",IF(A4648=".",1,A4648+1))</f>
        <v>.</v>
      </c>
      <c r="B4649" s="244" t="str">
        <f t="shared" si="72"/>
        <v>Total Knee ReplacementSub-ICB of GP PracticeNHS WEST YORKSHIRE ICB - X2C4Y (X2C4Y)EQ-5D Index</v>
      </c>
      <c r="C4649" t="s">
        <v>975</v>
      </c>
      <c r="D4649" t="s">
        <v>1021</v>
      </c>
      <c r="E4649" t="s">
        <v>961</v>
      </c>
      <c r="F4649" t="s">
        <v>962</v>
      </c>
      <c r="G4649" t="s">
        <v>963</v>
      </c>
      <c r="H4649">
        <v>105</v>
      </c>
      <c r="I4649">
        <v>0.39960000000000001</v>
      </c>
      <c r="J4649">
        <v>0.76138099999999997</v>
      </c>
      <c r="K4649">
        <v>0.36178100000000002</v>
      </c>
      <c r="L4649">
        <v>88</v>
      </c>
      <c r="M4649">
        <v>12</v>
      </c>
      <c r="N4649">
        <v>5</v>
      </c>
      <c r="O4649">
        <v>0.77011300000000005</v>
      </c>
      <c r="P4649">
        <v>0.34581600000000001</v>
      </c>
      <c r="Q4649">
        <v>0.20630799999999999</v>
      </c>
    </row>
    <row r="4650" spans="1:17" x14ac:dyDescent="0.25">
      <c r="A4650" t="str">
        <f>IF(C4650&amp;G4650&amp;D4650&lt;&gt;'Funnel setup'!$K$3&amp;'Funnel setup'!$K$4&amp;'Funnel setup'!$K$6,".",IF(A4649=".",1,A4649+1))</f>
        <v>.</v>
      </c>
      <c r="B4650" s="244" t="str">
        <f t="shared" si="72"/>
        <v>Total Knee ReplacementSub-ICB of GP PracticeNATIONAL COMMISSIONING HUB 1 (13Q)Oxford Knee Score</v>
      </c>
      <c r="C4650" t="s">
        <v>975</v>
      </c>
      <c r="D4650" t="s">
        <v>1021</v>
      </c>
      <c r="E4650" t="s">
        <v>970</v>
      </c>
      <c r="F4650" t="s">
        <v>971</v>
      </c>
      <c r="G4650" t="s">
        <v>972</v>
      </c>
      <c r="H4650">
        <v>1</v>
      </c>
      <c r="I4650">
        <v>34</v>
      </c>
      <c r="J4650">
        <v>44</v>
      </c>
      <c r="K4650">
        <v>10</v>
      </c>
      <c r="L4650">
        <v>1</v>
      </c>
      <c r="M4650">
        <v>0</v>
      </c>
      <c r="N4650">
        <v>0</v>
      </c>
      <c r="O4650" t="s">
        <v>127</v>
      </c>
      <c r="P4650" t="s">
        <v>127</v>
      </c>
      <c r="Q4650" t="s">
        <v>127</v>
      </c>
    </row>
    <row r="4651" spans="1:17" x14ac:dyDescent="0.25">
      <c r="A4651" t="str">
        <f>IF(C4651&amp;G4651&amp;D4651&lt;&gt;'Funnel setup'!$K$3&amp;'Funnel setup'!$K$4&amp;'Funnel setup'!$K$6,".",IF(A4650=".",1,A4650+1))</f>
        <v>.</v>
      </c>
      <c r="B4651" s="244" t="str">
        <f t="shared" si="72"/>
        <v>Total Knee ReplacementSub-ICB of GP PracticeNHS BATH AND NORTH EAST SOMERSET, SWINDON AND WILTSHIRE ICB - 92G (92G)Oxford Knee Score</v>
      </c>
      <c r="C4651" t="s">
        <v>975</v>
      </c>
      <c r="D4651" t="s">
        <v>1021</v>
      </c>
      <c r="E4651" t="s">
        <v>750</v>
      </c>
      <c r="F4651" t="s">
        <v>751</v>
      </c>
      <c r="G4651" t="s">
        <v>972</v>
      </c>
      <c r="H4651">
        <v>274</v>
      </c>
      <c r="I4651">
        <v>19.587599999999998</v>
      </c>
      <c r="J4651">
        <v>39.124099999999999</v>
      </c>
      <c r="K4651">
        <v>19.5365</v>
      </c>
      <c r="L4651">
        <v>265</v>
      </c>
      <c r="M4651">
        <v>1</v>
      </c>
      <c r="N4651">
        <v>8</v>
      </c>
      <c r="O4651">
        <v>38.1004</v>
      </c>
      <c r="P4651">
        <v>18.831800000000001</v>
      </c>
      <c r="Q4651">
        <v>8.1001700000000003</v>
      </c>
    </row>
    <row r="4652" spans="1:17" x14ac:dyDescent="0.25">
      <c r="A4652" t="str">
        <f>IF(C4652&amp;G4652&amp;D4652&lt;&gt;'Funnel setup'!$K$3&amp;'Funnel setup'!$K$4&amp;'Funnel setup'!$K$6,".",IF(A4651=".",1,A4651+1))</f>
        <v>.</v>
      </c>
      <c r="B4652" s="244" t="str">
        <f t="shared" si="72"/>
        <v>Total Knee ReplacementSub-ICB of GP PracticeNHS BEDFORDSHIRE, LUTON AND MILTON KEYNES ICB - M1J4Y (M1J4Y)Oxford Knee Score</v>
      </c>
      <c r="C4652" t="s">
        <v>975</v>
      </c>
      <c r="D4652" t="s">
        <v>1021</v>
      </c>
      <c r="E4652" t="s">
        <v>753</v>
      </c>
      <c r="F4652" t="s">
        <v>754</v>
      </c>
      <c r="G4652" t="s">
        <v>972</v>
      </c>
      <c r="H4652">
        <v>252</v>
      </c>
      <c r="I4652">
        <v>17.095199999999998</v>
      </c>
      <c r="J4652">
        <v>34.539700000000003</v>
      </c>
      <c r="K4652">
        <v>17.444400000000002</v>
      </c>
      <c r="L4652">
        <v>226</v>
      </c>
      <c r="M4652">
        <v>5</v>
      </c>
      <c r="N4652">
        <v>21</v>
      </c>
      <c r="O4652">
        <v>35.4726</v>
      </c>
      <c r="P4652">
        <v>16.204000000000001</v>
      </c>
      <c r="Q4652">
        <v>9.8278800000000004</v>
      </c>
    </row>
    <row r="4653" spans="1:17" x14ac:dyDescent="0.25">
      <c r="A4653" t="str">
        <f>IF(C4653&amp;G4653&amp;D4653&lt;&gt;'Funnel setup'!$K$3&amp;'Funnel setup'!$K$4&amp;'Funnel setup'!$K$6,".",IF(A4652=".",1,A4652+1))</f>
        <v>.</v>
      </c>
      <c r="B4653" s="244" t="str">
        <f t="shared" si="72"/>
        <v>Total Knee ReplacementSub-ICB of GP PracticeNHS BIRMINGHAM AND SOLIHULL ICB - 15E (15E)Oxford Knee Score</v>
      </c>
      <c r="C4653" t="s">
        <v>975</v>
      </c>
      <c r="D4653" t="s">
        <v>1021</v>
      </c>
      <c r="E4653" t="s">
        <v>755</v>
      </c>
      <c r="F4653" t="s">
        <v>756</v>
      </c>
      <c r="G4653" t="s">
        <v>972</v>
      </c>
      <c r="H4653">
        <v>354</v>
      </c>
      <c r="I4653">
        <v>18.087599999999998</v>
      </c>
      <c r="J4653">
        <v>33.951999999999998</v>
      </c>
      <c r="K4653">
        <v>15.8644</v>
      </c>
      <c r="L4653">
        <v>330</v>
      </c>
      <c r="M4653">
        <v>3</v>
      </c>
      <c r="N4653">
        <v>21</v>
      </c>
      <c r="O4653">
        <v>35.2211</v>
      </c>
      <c r="P4653">
        <v>15.952500000000001</v>
      </c>
      <c r="Q4653">
        <v>8.9759200000000003</v>
      </c>
    </row>
    <row r="4654" spans="1:17" x14ac:dyDescent="0.25">
      <c r="A4654" t="str">
        <f>IF(C4654&amp;G4654&amp;D4654&lt;&gt;'Funnel setup'!$K$3&amp;'Funnel setup'!$K$4&amp;'Funnel setup'!$K$6,".",IF(A4653=".",1,A4653+1))</f>
        <v>.</v>
      </c>
      <c r="B4654" s="244" t="str">
        <f t="shared" si="72"/>
        <v>Total Knee ReplacementSub-ICB of GP PracticeNHS BLACK COUNTRY ICB - D2P2L (D2P2L)Oxford Knee Score</v>
      </c>
      <c r="C4654" t="s">
        <v>975</v>
      </c>
      <c r="D4654" t="s">
        <v>1021</v>
      </c>
      <c r="E4654" t="s">
        <v>757</v>
      </c>
      <c r="F4654" t="s">
        <v>758</v>
      </c>
      <c r="G4654" t="s">
        <v>972</v>
      </c>
      <c r="H4654">
        <v>226</v>
      </c>
      <c r="I4654">
        <v>16.946899999999999</v>
      </c>
      <c r="J4654">
        <v>34.721200000000003</v>
      </c>
      <c r="K4654">
        <v>17.7743</v>
      </c>
      <c r="L4654">
        <v>214</v>
      </c>
      <c r="M4654">
        <v>2</v>
      </c>
      <c r="N4654">
        <v>10</v>
      </c>
      <c r="O4654">
        <v>36.857399999999998</v>
      </c>
      <c r="P4654">
        <v>17.588699999999999</v>
      </c>
      <c r="Q4654">
        <v>8.8469200000000008</v>
      </c>
    </row>
    <row r="4655" spans="1:17" x14ac:dyDescent="0.25">
      <c r="A4655" t="str">
        <f>IF(C4655&amp;G4655&amp;D4655&lt;&gt;'Funnel setup'!$K$3&amp;'Funnel setup'!$K$4&amp;'Funnel setup'!$K$6,".",IF(A4654=".",1,A4654+1))</f>
        <v>.</v>
      </c>
      <c r="B4655" s="244" t="str">
        <f t="shared" si="72"/>
        <v>Total Knee ReplacementSub-ICB of GP PracticeNHS BRISTOL, NORTH SOMERSET AND SOUTH GLOUCESTERSHIRE ICB - 15C (15C)Oxford Knee Score</v>
      </c>
      <c r="C4655" t="s">
        <v>975</v>
      </c>
      <c r="D4655" t="s">
        <v>1021</v>
      </c>
      <c r="E4655" t="s">
        <v>759</v>
      </c>
      <c r="F4655" t="s">
        <v>760</v>
      </c>
      <c r="G4655" t="s">
        <v>972</v>
      </c>
      <c r="H4655">
        <v>223</v>
      </c>
      <c r="I4655">
        <v>19.201799999999999</v>
      </c>
      <c r="J4655">
        <v>37.569499999999998</v>
      </c>
      <c r="K4655">
        <v>18.367699999999999</v>
      </c>
      <c r="L4655">
        <v>214</v>
      </c>
      <c r="M4655">
        <v>3</v>
      </c>
      <c r="N4655">
        <v>6</v>
      </c>
      <c r="O4655">
        <v>37.362099999999998</v>
      </c>
      <c r="P4655">
        <v>18.093499999999999</v>
      </c>
      <c r="Q4655">
        <v>8.0338399999999996</v>
      </c>
    </row>
    <row r="4656" spans="1:17" x14ac:dyDescent="0.25">
      <c r="A4656" t="str">
        <f>IF(C4656&amp;G4656&amp;D4656&lt;&gt;'Funnel setup'!$K$3&amp;'Funnel setup'!$K$4&amp;'Funnel setup'!$K$6,".",IF(A4655=".",1,A4655+1))</f>
        <v>.</v>
      </c>
      <c r="B4656" s="244" t="str">
        <f t="shared" si="72"/>
        <v>Total Knee ReplacementSub-ICB of GP PracticeNHS BUCKINGHAMSHIRE, OXFORDSHIRE AND BERKSHIRE WEST ICB - 10Q (10Q)Oxford Knee Score</v>
      </c>
      <c r="C4656" t="s">
        <v>975</v>
      </c>
      <c r="D4656" t="s">
        <v>1021</v>
      </c>
      <c r="E4656" t="s">
        <v>761</v>
      </c>
      <c r="F4656" t="s">
        <v>762</v>
      </c>
      <c r="G4656" t="s">
        <v>972</v>
      </c>
      <c r="H4656">
        <v>307</v>
      </c>
      <c r="I4656">
        <v>20.661200000000001</v>
      </c>
      <c r="J4656">
        <v>37.905500000000004</v>
      </c>
      <c r="K4656">
        <v>17.244299999999999</v>
      </c>
      <c r="L4656">
        <v>293</v>
      </c>
      <c r="M4656">
        <v>1</v>
      </c>
      <c r="N4656">
        <v>13</v>
      </c>
      <c r="O4656">
        <v>36.888599999999997</v>
      </c>
      <c r="P4656">
        <v>17.619900000000001</v>
      </c>
      <c r="Q4656">
        <v>8.1697299999999995</v>
      </c>
    </row>
    <row r="4657" spans="1:17" x14ac:dyDescent="0.25">
      <c r="A4657" t="str">
        <f>IF(C4657&amp;G4657&amp;D4657&lt;&gt;'Funnel setup'!$K$3&amp;'Funnel setup'!$K$4&amp;'Funnel setup'!$K$6,".",IF(A4656=".",1,A4656+1))</f>
        <v>.</v>
      </c>
      <c r="B4657" s="244" t="str">
        <f t="shared" si="72"/>
        <v>Total Knee ReplacementSub-ICB of GP PracticeNHS BUCKINGHAMSHIRE, OXFORDSHIRE AND BERKSHIRE WEST ICB - 14Y (14Y)Oxford Knee Score</v>
      </c>
      <c r="C4657" t="s">
        <v>975</v>
      </c>
      <c r="D4657" t="s">
        <v>1021</v>
      </c>
      <c r="E4657" t="s">
        <v>763</v>
      </c>
      <c r="F4657" t="s">
        <v>764</v>
      </c>
      <c r="G4657" t="s">
        <v>972</v>
      </c>
      <c r="H4657">
        <v>231</v>
      </c>
      <c r="I4657">
        <v>21.8658</v>
      </c>
      <c r="J4657">
        <v>38.779200000000003</v>
      </c>
      <c r="K4657">
        <v>16.913399999999999</v>
      </c>
      <c r="L4657">
        <v>220</v>
      </c>
      <c r="M4657">
        <v>3</v>
      </c>
      <c r="N4657">
        <v>8</v>
      </c>
      <c r="O4657">
        <v>36.758800000000001</v>
      </c>
      <c r="P4657">
        <v>17.490200000000002</v>
      </c>
      <c r="Q4657">
        <v>7.4839799999999999</v>
      </c>
    </row>
    <row r="4658" spans="1:17" x14ac:dyDescent="0.25">
      <c r="A4658" t="str">
        <f>IF(C4658&amp;G4658&amp;D4658&lt;&gt;'Funnel setup'!$K$3&amp;'Funnel setup'!$K$4&amp;'Funnel setup'!$K$6,".",IF(A4657=".",1,A4657+1))</f>
        <v>.</v>
      </c>
      <c r="B4658" s="244" t="str">
        <f t="shared" si="72"/>
        <v>Total Knee ReplacementSub-ICB of GP PracticeNHS BUCKINGHAMSHIRE, OXFORDSHIRE AND BERKSHIRE WEST ICB - 15A (15A)Oxford Knee Score</v>
      </c>
      <c r="C4658" t="s">
        <v>975</v>
      </c>
      <c r="D4658" t="s">
        <v>1021</v>
      </c>
      <c r="E4658" t="s">
        <v>765</v>
      </c>
      <c r="F4658" t="s">
        <v>766</v>
      </c>
      <c r="G4658" t="s">
        <v>972</v>
      </c>
      <c r="H4658">
        <v>79</v>
      </c>
      <c r="I4658">
        <v>21.063300000000002</v>
      </c>
      <c r="J4658">
        <v>36.531599999999997</v>
      </c>
      <c r="K4658">
        <v>15.468400000000001</v>
      </c>
      <c r="L4658">
        <v>73</v>
      </c>
      <c r="M4658">
        <v>1</v>
      </c>
      <c r="N4658">
        <v>5</v>
      </c>
      <c r="O4658">
        <v>34.946100000000001</v>
      </c>
      <c r="P4658">
        <v>15.6775</v>
      </c>
      <c r="Q4658">
        <v>8.54894</v>
      </c>
    </row>
    <row r="4659" spans="1:17" x14ac:dyDescent="0.25">
      <c r="A4659" t="str">
        <f>IF(C4659&amp;G4659&amp;D4659&lt;&gt;'Funnel setup'!$K$3&amp;'Funnel setup'!$K$4&amp;'Funnel setup'!$K$6,".",IF(A4658=".",1,A4658+1))</f>
        <v>.</v>
      </c>
      <c r="B4659" s="244" t="str">
        <f t="shared" si="72"/>
        <v>Total Knee ReplacementSub-ICB of GP PracticeNHS CAMBRIDGESHIRE AND PETERBOROUGH ICB - 06H (06H)Oxford Knee Score</v>
      </c>
      <c r="C4659" t="s">
        <v>975</v>
      </c>
      <c r="D4659" t="s">
        <v>1021</v>
      </c>
      <c r="E4659" t="s">
        <v>767</v>
      </c>
      <c r="F4659" t="s">
        <v>768</v>
      </c>
      <c r="G4659" t="s">
        <v>972</v>
      </c>
      <c r="H4659">
        <v>210</v>
      </c>
      <c r="I4659">
        <v>17.814299999999999</v>
      </c>
      <c r="J4659">
        <v>35.714300000000001</v>
      </c>
      <c r="K4659">
        <v>17.899999999999999</v>
      </c>
      <c r="L4659">
        <v>202</v>
      </c>
      <c r="M4659">
        <v>0</v>
      </c>
      <c r="N4659">
        <v>8</v>
      </c>
      <c r="O4659">
        <v>36.056600000000003</v>
      </c>
      <c r="P4659">
        <v>16.788</v>
      </c>
      <c r="Q4659">
        <v>8.7654399999999999</v>
      </c>
    </row>
    <row r="4660" spans="1:17" x14ac:dyDescent="0.25">
      <c r="A4660" t="str">
        <f>IF(C4660&amp;G4660&amp;D4660&lt;&gt;'Funnel setup'!$K$3&amp;'Funnel setup'!$K$4&amp;'Funnel setup'!$K$6,".",IF(A4659=".",1,A4659+1))</f>
        <v>.</v>
      </c>
      <c r="B4660" s="244" t="str">
        <f t="shared" si="72"/>
        <v>Total Knee ReplacementSub-ICB of GP PracticeNHS CHESHIRE AND MERSEYSIDE ICB - 01F (01F)Oxford Knee Score</v>
      </c>
      <c r="C4660" t="s">
        <v>975</v>
      </c>
      <c r="D4660" t="s">
        <v>1021</v>
      </c>
      <c r="E4660" t="s">
        <v>769</v>
      </c>
      <c r="F4660" t="s">
        <v>770</v>
      </c>
      <c r="G4660" t="s">
        <v>972</v>
      </c>
      <c r="H4660">
        <v>33</v>
      </c>
      <c r="I4660">
        <v>18.121200000000002</v>
      </c>
      <c r="J4660">
        <v>34.939399999999999</v>
      </c>
      <c r="K4660">
        <v>16.818200000000001</v>
      </c>
      <c r="L4660">
        <v>31</v>
      </c>
      <c r="M4660">
        <v>0</v>
      </c>
      <c r="N4660">
        <v>2</v>
      </c>
      <c r="O4660">
        <v>35.671599999999998</v>
      </c>
      <c r="P4660">
        <v>16.402999999999999</v>
      </c>
      <c r="Q4660">
        <v>10.278600000000001</v>
      </c>
    </row>
    <row r="4661" spans="1:17" x14ac:dyDescent="0.25">
      <c r="A4661" t="str">
        <f>IF(C4661&amp;G4661&amp;D4661&lt;&gt;'Funnel setup'!$K$3&amp;'Funnel setup'!$K$4&amp;'Funnel setup'!$K$6,".",IF(A4660=".",1,A4660+1))</f>
        <v>.</v>
      </c>
      <c r="B4661" s="244" t="str">
        <f t="shared" si="72"/>
        <v>Total Knee ReplacementSub-ICB of GP PracticeNHS CHESHIRE AND MERSEYSIDE ICB - 01J (01J)Oxford Knee Score</v>
      </c>
      <c r="C4661" t="s">
        <v>975</v>
      </c>
      <c r="D4661" t="s">
        <v>1021</v>
      </c>
      <c r="E4661" t="s">
        <v>771</v>
      </c>
      <c r="F4661" t="s">
        <v>772</v>
      </c>
      <c r="G4661" t="s">
        <v>972</v>
      </c>
      <c r="H4661">
        <v>34</v>
      </c>
      <c r="I4661">
        <v>15.5</v>
      </c>
      <c r="J4661">
        <v>31.588200000000001</v>
      </c>
      <c r="K4661">
        <v>16.088200000000001</v>
      </c>
      <c r="L4661">
        <v>31</v>
      </c>
      <c r="M4661">
        <v>0</v>
      </c>
      <c r="N4661">
        <v>3</v>
      </c>
      <c r="O4661">
        <v>35.330300000000001</v>
      </c>
      <c r="P4661">
        <v>16.061599999999999</v>
      </c>
      <c r="Q4661">
        <v>8.9546500000000009</v>
      </c>
    </row>
    <row r="4662" spans="1:17" x14ac:dyDescent="0.25">
      <c r="A4662" t="str">
        <f>IF(C4662&amp;G4662&amp;D4662&lt;&gt;'Funnel setup'!$K$3&amp;'Funnel setup'!$K$4&amp;'Funnel setup'!$K$6,".",IF(A4661=".",1,A4661+1))</f>
        <v>.</v>
      </c>
      <c r="B4662" s="244" t="str">
        <f t="shared" si="72"/>
        <v>Total Knee ReplacementSub-ICB of GP PracticeNHS CHESHIRE AND MERSEYSIDE ICB - 01T (01T)Oxford Knee Score</v>
      </c>
      <c r="C4662" t="s">
        <v>975</v>
      </c>
      <c r="D4662" t="s">
        <v>1021</v>
      </c>
      <c r="E4662" t="s">
        <v>773</v>
      </c>
      <c r="F4662" t="s">
        <v>774</v>
      </c>
      <c r="G4662" t="s">
        <v>972</v>
      </c>
      <c r="H4662">
        <v>48</v>
      </c>
      <c r="I4662">
        <v>19.3125</v>
      </c>
      <c r="J4662">
        <v>37.625</v>
      </c>
      <c r="K4662">
        <v>18.3125</v>
      </c>
      <c r="L4662">
        <v>45</v>
      </c>
      <c r="M4662">
        <v>0</v>
      </c>
      <c r="N4662">
        <v>3</v>
      </c>
      <c r="O4662">
        <v>37.6265</v>
      </c>
      <c r="P4662">
        <v>18.357800000000001</v>
      </c>
      <c r="Q4662">
        <v>8.8660200000000007</v>
      </c>
    </row>
    <row r="4663" spans="1:17" x14ac:dyDescent="0.25">
      <c r="A4663" t="str">
        <f>IF(C4663&amp;G4663&amp;D4663&lt;&gt;'Funnel setup'!$K$3&amp;'Funnel setup'!$K$4&amp;'Funnel setup'!$K$6,".",IF(A4662=".",1,A4662+1))</f>
        <v>.</v>
      </c>
      <c r="B4663" s="244" t="str">
        <f t="shared" si="72"/>
        <v>Total Knee ReplacementSub-ICB of GP PracticeNHS CHESHIRE AND MERSEYSIDE ICB - 01V (01V)Oxford Knee Score</v>
      </c>
      <c r="C4663" t="s">
        <v>975</v>
      </c>
      <c r="D4663" t="s">
        <v>1021</v>
      </c>
      <c r="E4663" t="s">
        <v>775</v>
      </c>
      <c r="F4663" t="s">
        <v>776</v>
      </c>
      <c r="G4663" t="s">
        <v>972</v>
      </c>
      <c r="H4663">
        <v>30</v>
      </c>
      <c r="I4663">
        <v>19.166699999999999</v>
      </c>
      <c r="J4663">
        <v>38.533299999999997</v>
      </c>
      <c r="K4663">
        <v>19.366700000000002</v>
      </c>
      <c r="L4663">
        <v>29</v>
      </c>
      <c r="M4663">
        <v>0</v>
      </c>
      <c r="N4663">
        <v>1</v>
      </c>
      <c r="O4663">
        <v>38.33</v>
      </c>
      <c r="P4663">
        <v>19.061299999999999</v>
      </c>
      <c r="Q4663">
        <v>7.9565799999999998</v>
      </c>
    </row>
    <row r="4664" spans="1:17" x14ac:dyDescent="0.25">
      <c r="A4664" t="str">
        <f>IF(C4664&amp;G4664&amp;D4664&lt;&gt;'Funnel setup'!$K$3&amp;'Funnel setup'!$K$4&amp;'Funnel setup'!$K$6,".",IF(A4663=".",1,A4663+1))</f>
        <v>.</v>
      </c>
      <c r="B4664" s="244" t="str">
        <f t="shared" si="72"/>
        <v>Total Knee ReplacementSub-ICB of GP PracticeNHS CHESHIRE AND MERSEYSIDE ICB - 01X (01X)Oxford Knee Score</v>
      </c>
      <c r="C4664" t="s">
        <v>975</v>
      </c>
      <c r="D4664" t="s">
        <v>1021</v>
      </c>
      <c r="E4664" t="s">
        <v>777</v>
      </c>
      <c r="F4664" t="s">
        <v>778</v>
      </c>
      <c r="G4664" t="s">
        <v>972</v>
      </c>
      <c r="H4664">
        <v>68</v>
      </c>
      <c r="I4664">
        <v>17.573499999999999</v>
      </c>
      <c r="J4664">
        <v>36.852899999999998</v>
      </c>
      <c r="K4664">
        <v>19.279399999999999</v>
      </c>
      <c r="L4664">
        <v>65</v>
      </c>
      <c r="M4664">
        <v>1</v>
      </c>
      <c r="N4664">
        <v>2</v>
      </c>
      <c r="O4664">
        <v>37.843899999999998</v>
      </c>
      <c r="P4664">
        <v>18.575299999999999</v>
      </c>
      <c r="Q4664">
        <v>8.7825500000000005</v>
      </c>
    </row>
    <row r="4665" spans="1:17" x14ac:dyDescent="0.25">
      <c r="A4665" t="str">
        <f>IF(C4665&amp;G4665&amp;D4665&lt;&gt;'Funnel setup'!$K$3&amp;'Funnel setup'!$K$4&amp;'Funnel setup'!$K$6,".",IF(A4664=".",1,A4664+1))</f>
        <v>.</v>
      </c>
      <c r="B4665" s="244" t="str">
        <f t="shared" si="72"/>
        <v>Total Knee ReplacementSub-ICB of GP PracticeNHS CHESHIRE AND MERSEYSIDE ICB - 02E (02E)Oxford Knee Score</v>
      </c>
      <c r="C4665" t="s">
        <v>975</v>
      </c>
      <c r="D4665" t="s">
        <v>1021</v>
      </c>
      <c r="E4665" t="s">
        <v>779</v>
      </c>
      <c r="F4665" t="s">
        <v>780</v>
      </c>
      <c r="G4665" t="s">
        <v>972</v>
      </c>
      <c r="H4665">
        <v>42</v>
      </c>
      <c r="I4665">
        <v>20.428599999999999</v>
      </c>
      <c r="J4665">
        <v>38.1905</v>
      </c>
      <c r="K4665">
        <v>17.761900000000001</v>
      </c>
      <c r="L4665">
        <v>41</v>
      </c>
      <c r="M4665">
        <v>0</v>
      </c>
      <c r="N4665">
        <v>1</v>
      </c>
      <c r="O4665">
        <v>36.820399999999999</v>
      </c>
      <c r="P4665">
        <v>17.5518</v>
      </c>
      <c r="Q4665">
        <v>6.8048700000000002</v>
      </c>
    </row>
    <row r="4666" spans="1:17" x14ac:dyDescent="0.25">
      <c r="A4666" t="str">
        <f>IF(C4666&amp;G4666&amp;D4666&lt;&gt;'Funnel setup'!$K$3&amp;'Funnel setup'!$K$4&amp;'Funnel setup'!$K$6,".",IF(A4665=".",1,A4665+1))</f>
        <v>.</v>
      </c>
      <c r="B4666" s="244" t="str">
        <f t="shared" si="72"/>
        <v>Total Knee ReplacementSub-ICB of GP PracticeNHS CHESHIRE AND MERSEYSIDE ICB - 12F (12F)Oxford Knee Score</v>
      </c>
      <c r="C4666" t="s">
        <v>975</v>
      </c>
      <c r="D4666" t="s">
        <v>1021</v>
      </c>
      <c r="E4666" t="s">
        <v>781</v>
      </c>
      <c r="F4666" t="s">
        <v>782</v>
      </c>
      <c r="G4666" t="s">
        <v>972</v>
      </c>
      <c r="H4666">
        <v>87</v>
      </c>
      <c r="I4666">
        <v>18.896599999999999</v>
      </c>
      <c r="J4666">
        <v>38.069000000000003</v>
      </c>
      <c r="K4666">
        <v>19.1724</v>
      </c>
      <c r="L4666">
        <v>82</v>
      </c>
      <c r="M4666">
        <v>0</v>
      </c>
      <c r="N4666">
        <v>5</v>
      </c>
      <c r="O4666">
        <v>38.1892</v>
      </c>
      <c r="P4666">
        <v>18.9206</v>
      </c>
      <c r="Q4666">
        <v>8.7132199999999997</v>
      </c>
    </row>
    <row r="4667" spans="1:17" x14ac:dyDescent="0.25">
      <c r="A4667" t="str">
        <f>IF(C4667&amp;G4667&amp;D4667&lt;&gt;'Funnel setup'!$K$3&amp;'Funnel setup'!$K$4&amp;'Funnel setup'!$K$6,".",IF(A4666=".",1,A4666+1))</f>
        <v>.</v>
      </c>
      <c r="B4667" s="244" t="str">
        <f t="shared" si="72"/>
        <v>Total Knee ReplacementSub-ICB of GP PracticeNHS CHESHIRE AND MERSEYSIDE ICB - 27D (27D)Oxford Knee Score</v>
      </c>
      <c r="C4667" t="s">
        <v>975</v>
      </c>
      <c r="D4667" t="s">
        <v>1021</v>
      </c>
      <c r="E4667" t="s">
        <v>783</v>
      </c>
      <c r="F4667" t="s">
        <v>784</v>
      </c>
      <c r="G4667" t="s">
        <v>972</v>
      </c>
      <c r="H4667">
        <v>255</v>
      </c>
      <c r="I4667">
        <v>20.231400000000001</v>
      </c>
      <c r="J4667">
        <v>38.235300000000002</v>
      </c>
      <c r="K4667">
        <v>18.003900000000002</v>
      </c>
      <c r="L4667">
        <v>245</v>
      </c>
      <c r="M4667">
        <v>2</v>
      </c>
      <c r="N4667">
        <v>8</v>
      </c>
      <c r="O4667">
        <v>37.665700000000001</v>
      </c>
      <c r="P4667">
        <v>18.397099999999998</v>
      </c>
      <c r="Q4667">
        <v>7.4646999999999997</v>
      </c>
    </row>
    <row r="4668" spans="1:17" x14ac:dyDescent="0.25">
      <c r="A4668" t="str">
        <f>IF(C4668&amp;G4668&amp;D4668&lt;&gt;'Funnel setup'!$K$3&amp;'Funnel setup'!$K$4&amp;'Funnel setup'!$K$6,".",IF(A4667=".",1,A4667+1))</f>
        <v>.</v>
      </c>
      <c r="B4668" s="244" t="str">
        <f t="shared" si="72"/>
        <v>Total Knee ReplacementSub-ICB of GP PracticeNHS CHESHIRE AND MERSEYSIDE ICB - 99A (99A)Oxford Knee Score</v>
      </c>
      <c r="C4668" t="s">
        <v>975</v>
      </c>
      <c r="D4668" t="s">
        <v>1021</v>
      </c>
      <c r="E4668" t="s">
        <v>785</v>
      </c>
      <c r="F4668" t="s">
        <v>786</v>
      </c>
      <c r="G4668" t="s">
        <v>972</v>
      </c>
      <c r="H4668">
        <v>50</v>
      </c>
      <c r="I4668">
        <v>15.42</v>
      </c>
      <c r="J4668">
        <v>33.14</v>
      </c>
      <c r="K4668">
        <v>17.72</v>
      </c>
      <c r="L4668">
        <v>48</v>
      </c>
      <c r="M4668">
        <v>0</v>
      </c>
      <c r="N4668">
        <v>2</v>
      </c>
      <c r="O4668">
        <v>35.736600000000003</v>
      </c>
      <c r="P4668">
        <v>16.4679</v>
      </c>
      <c r="Q4668">
        <v>9.1914499999999997</v>
      </c>
    </row>
    <row r="4669" spans="1:17" x14ac:dyDescent="0.25">
      <c r="A4669" t="str">
        <f>IF(C4669&amp;G4669&amp;D4669&lt;&gt;'Funnel setup'!$K$3&amp;'Funnel setup'!$K$4&amp;'Funnel setup'!$K$6,".",IF(A4668=".",1,A4668+1))</f>
        <v>.</v>
      </c>
      <c r="B4669" s="244" t="str">
        <f t="shared" si="72"/>
        <v>Total Knee ReplacementSub-ICB of GP PracticeNHS CORNWALL AND THE ISLES OF SCILLY ICB - 11N (11N)Oxford Knee Score</v>
      </c>
      <c r="C4669" t="s">
        <v>975</v>
      </c>
      <c r="D4669" t="s">
        <v>1021</v>
      </c>
      <c r="E4669" t="s">
        <v>787</v>
      </c>
      <c r="F4669" t="s">
        <v>788</v>
      </c>
      <c r="G4669" t="s">
        <v>972</v>
      </c>
      <c r="H4669">
        <v>159</v>
      </c>
      <c r="I4669">
        <v>21.434000000000001</v>
      </c>
      <c r="J4669">
        <v>38.075499999999998</v>
      </c>
      <c r="K4669">
        <v>16.641500000000001</v>
      </c>
      <c r="L4669">
        <v>155</v>
      </c>
      <c r="M4669">
        <v>0</v>
      </c>
      <c r="N4669">
        <v>4</v>
      </c>
      <c r="O4669">
        <v>37.513300000000001</v>
      </c>
      <c r="P4669">
        <v>18.244599999999998</v>
      </c>
      <c r="Q4669">
        <v>7.0770499999999998</v>
      </c>
    </row>
    <row r="4670" spans="1:17" x14ac:dyDescent="0.25">
      <c r="A4670" t="str">
        <f>IF(C4670&amp;G4670&amp;D4670&lt;&gt;'Funnel setup'!$K$3&amp;'Funnel setup'!$K$4&amp;'Funnel setup'!$K$6,".",IF(A4669=".",1,A4669+1))</f>
        <v>.</v>
      </c>
      <c r="B4670" s="244" t="str">
        <f t="shared" si="72"/>
        <v>Total Knee ReplacementSub-ICB of GP PracticeNHS COVENTRY AND WARWICKSHIRE ICB - B2M3M (B2M3M)Oxford Knee Score</v>
      </c>
      <c r="C4670" t="s">
        <v>975</v>
      </c>
      <c r="D4670" t="s">
        <v>1021</v>
      </c>
      <c r="E4670" t="s">
        <v>789</v>
      </c>
      <c r="F4670" t="s">
        <v>790</v>
      </c>
      <c r="G4670" t="s">
        <v>972</v>
      </c>
      <c r="H4670">
        <v>241</v>
      </c>
      <c r="I4670">
        <v>20.8216</v>
      </c>
      <c r="J4670">
        <v>38.141100000000002</v>
      </c>
      <c r="K4670">
        <v>17.319500000000001</v>
      </c>
      <c r="L4670">
        <v>232</v>
      </c>
      <c r="M4670">
        <v>1</v>
      </c>
      <c r="N4670">
        <v>8</v>
      </c>
      <c r="O4670">
        <v>37.320700000000002</v>
      </c>
      <c r="P4670">
        <v>18.052099999999999</v>
      </c>
      <c r="Q4670">
        <v>8.2475900000000006</v>
      </c>
    </row>
    <row r="4671" spans="1:17" x14ac:dyDescent="0.25">
      <c r="A4671" t="str">
        <f>IF(C4671&amp;G4671&amp;D4671&lt;&gt;'Funnel setup'!$K$3&amp;'Funnel setup'!$K$4&amp;'Funnel setup'!$K$6,".",IF(A4670=".",1,A4670+1))</f>
        <v>.</v>
      </c>
      <c r="B4671" s="244" t="str">
        <f t="shared" si="72"/>
        <v>Total Knee ReplacementSub-ICB of GP PracticeNHS DERBY AND DERBYSHIRE ICB - 15M (15M)Oxford Knee Score</v>
      </c>
      <c r="C4671" t="s">
        <v>975</v>
      </c>
      <c r="D4671" t="s">
        <v>1021</v>
      </c>
      <c r="E4671" t="s">
        <v>791</v>
      </c>
      <c r="F4671" t="s">
        <v>792</v>
      </c>
      <c r="G4671" t="s">
        <v>972</v>
      </c>
      <c r="H4671">
        <v>541</v>
      </c>
      <c r="I4671">
        <v>18.717199999999998</v>
      </c>
      <c r="J4671">
        <v>36.449199999999998</v>
      </c>
      <c r="K4671">
        <v>17.731999999999999</v>
      </c>
      <c r="L4671">
        <v>524</v>
      </c>
      <c r="M4671">
        <v>5</v>
      </c>
      <c r="N4671">
        <v>12</v>
      </c>
      <c r="O4671">
        <v>36.930300000000003</v>
      </c>
      <c r="P4671">
        <v>17.6617</v>
      </c>
      <c r="Q4671">
        <v>8.3516700000000004</v>
      </c>
    </row>
    <row r="4672" spans="1:17" x14ac:dyDescent="0.25">
      <c r="A4672" t="str">
        <f>IF(C4672&amp;G4672&amp;D4672&lt;&gt;'Funnel setup'!$K$3&amp;'Funnel setup'!$K$4&amp;'Funnel setup'!$K$6,".",IF(A4671=".",1,A4671+1))</f>
        <v>.</v>
      </c>
      <c r="B4672" s="244" t="str">
        <f t="shared" si="72"/>
        <v>Total Knee ReplacementSub-ICB of GP PracticeNHS DEVON ICB - 15N (15N)Oxford Knee Score</v>
      </c>
      <c r="C4672" t="s">
        <v>975</v>
      </c>
      <c r="D4672" t="s">
        <v>1021</v>
      </c>
      <c r="E4672" t="s">
        <v>793</v>
      </c>
      <c r="F4672" t="s">
        <v>794</v>
      </c>
      <c r="G4672" t="s">
        <v>972</v>
      </c>
      <c r="H4672">
        <v>399</v>
      </c>
      <c r="I4672">
        <v>19.8797</v>
      </c>
      <c r="J4672">
        <v>38.137799999999999</v>
      </c>
      <c r="K4672">
        <v>18.258099999999999</v>
      </c>
      <c r="L4672">
        <v>382</v>
      </c>
      <c r="M4672">
        <v>2</v>
      </c>
      <c r="N4672">
        <v>15</v>
      </c>
      <c r="O4672">
        <v>37.706400000000002</v>
      </c>
      <c r="P4672">
        <v>18.437799999999999</v>
      </c>
      <c r="Q4672">
        <v>8.1058599999999998</v>
      </c>
    </row>
    <row r="4673" spans="1:17" x14ac:dyDescent="0.25">
      <c r="A4673" t="str">
        <f>IF(C4673&amp;G4673&amp;D4673&lt;&gt;'Funnel setup'!$K$3&amp;'Funnel setup'!$K$4&amp;'Funnel setup'!$K$6,".",IF(A4672=".",1,A4672+1))</f>
        <v>.</v>
      </c>
      <c r="B4673" s="244" t="str">
        <f t="shared" si="72"/>
        <v>Total Knee ReplacementSub-ICB of GP PracticeNHS DORSET ICB - 11J (11J)Oxford Knee Score</v>
      </c>
      <c r="C4673" t="s">
        <v>975</v>
      </c>
      <c r="D4673" t="s">
        <v>1021</v>
      </c>
      <c r="E4673" t="s">
        <v>795</v>
      </c>
      <c r="F4673" t="s">
        <v>796</v>
      </c>
      <c r="G4673" t="s">
        <v>972</v>
      </c>
      <c r="H4673">
        <v>287</v>
      </c>
      <c r="I4673">
        <v>20.456399999999999</v>
      </c>
      <c r="J4673">
        <v>38.174199999999999</v>
      </c>
      <c r="K4673">
        <v>17.7178</v>
      </c>
      <c r="L4673">
        <v>274</v>
      </c>
      <c r="M4673">
        <v>1</v>
      </c>
      <c r="N4673">
        <v>12</v>
      </c>
      <c r="O4673">
        <v>37.436599999999999</v>
      </c>
      <c r="P4673">
        <v>18.167999999999999</v>
      </c>
      <c r="Q4673">
        <v>7.8025399999999996</v>
      </c>
    </row>
    <row r="4674" spans="1:17" x14ac:dyDescent="0.25">
      <c r="A4674" t="str">
        <f>IF(C4674&amp;G4674&amp;D4674&lt;&gt;'Funnel setup'!$K$3&amp;'Funnel setup'!$K$4&amp;'Funnel setup'!$K$6,".",IF(A4673=".",1,A4673+1))</f>
        <v>.</v>
      </c>
      <c r="B4674" s="244" t="str">
        <f t="shared" ref="B4674:B4737" si="73">C4674&amp;D4674&amp;F4674&amp;G4674</f>
        <v>Total Knee ReplacementSub-ICB of GP PracticeNHS FRIMLEY ICB - D4U1Y (D4U1Y)Oxford Knee Score</v>
      </c>
      <c r="C4674" t="s">
        <v>975</v>
      </c>
      <c r="D4674" t="s">
        <v>1021</v>
      </c>
      <c r="E4674" t="s">
        <v>797</v>
      </c>
      <c r="F4674" t="s">
        <v>798</v>
      </c>
      <c r="G4674" t="s">
        <v>972</v>
      </c>
      <c r="H4674">
        <v>197</v>
      </c>
      <c r="I4674">
        <v>21.456900000000001</v>
      </c>
      <c r="J4674">
        <v>35.822299999999998</v>
      </c>
      <c r="K4674">
        <v>14.365500000000001</v>
      </c>
      <c r="L4674">
        <v>180</v>
      </c>
      <c r="M4674">
        <v>5</v>
      </c>
      <c r="N4674">
        <v>12</v>
      </c>
      <c r="O4674">
        <v>34.707700000000003</v>
      </c>
      <c r="P4674">
        <v>15.4391</v>
      </c>
      <c r="Q4674">
        <v>8.3651800000000005</v>
      </c>
    </row>
    <row r="4675" spans="1:17" x14ac:dyDescent="0.25">
      <c r="A4675" t="str">
        <f>IF(C4675&amp;G4675&amp;D4675&lt;&gt;'Funnel setup'!$K$3&amp;'Funnel setup'!$K$4&amp;'Funnel setup'!$K$6,".",IF(A4674=".",1,A4674+1))</f>
        <v>.</v>
      </c>
      <c r="B4675" s="244" t="str">
        <f t="shared" si="73"/>
        <v>Total Knee ReplacementSub-ICB of GP PracticeNHS GLOUCESTERSHIRE ICB - 11M (11M)Oxford Knee Score</v>
      </c>
      <c r="C4675" t="s">
        <v>975</v>
      </c>
      <c r="D4675" t="s">
        <v>1021</v>
      </c>
      <c r="E4675" t="s">
        <v>799</v>
      </c>
      <c r="F4675" t="s">
        <v>800</v>
      </c>
      <c r="G4675" t="s">
        <v>972</v>
      </c>
      <c r="H4675">
        <v>163</v>
      </c>
      <c r="I4675">
        <v>19.214700000000001</v>
      </c>
      <c r="J4675">
        <v>38.128799999999998</v>
      </c>
      <c r="K4675">
        <v>18.914100000000001</v>
      </c>
      <c r="L4675">
        <v>156</v>
      </c>
      <c r="M4675">
        <v>0</v>
      </c>
      <c r="N4675">
        <v>7</v>
      </c>
      <c r="O4675">
        <v>37.654600000000002</v>
      </c>
      <c r="P4675">
        <v>18.385999999999999</v>
      </c>
      <c r="Q4675">
        <v>7.9822699999999998</v>
      </c>
    </row>
    <row r="4676" spans="1:17" x14ac:dyDescent="0.25">
      <c r="A4676" t="str">
        <f>IF(C4676&amp;G4676&amp;D4676&lt;&gt;'Funnel setup'!$K$3&amp;'Funnel setup'!$K$4&amp;'Funnel setup'!$K$6,".",IF(A4675=".",1,A4675+1))</f>
        <v>.</v>
      </c>
      <c r="B4676" s="244" t="str">
        <f t="shared" si="73"/>
        <v>Total Knee ReplacementSub-ICB of GP PracticeNHS GREATER MANCHESTER ICB - 00T (00T)Oxford Knee Score</v>
      </c>
      <c r="C4676" t="s">
        <v>975</v>
      </c>
      <c r="D4676" t="s">
        <v>1021</v>
      </c>
      <c r="E4676" t="s">
        <v>801</v>
      </c>
      <c r="F4676" t="s">
        <v>802</v>
      </c>
      <c r="G4676" t="s">
        <v>972</v>
      </c>
      <c r="H4676">
        <v>96</v>
      </c>
      <c r="I4676">
        <v>20.229199999999999</v>
      </c>
      <c r="J4676">
        <v>36.781300000000002</v>
      </c>
      <c r="K4676">
        <v>16.552099999999999</v>
      </c>
      <c r="L4676">
        <v>91</v>
      </c>
      <c r="M4676">
        <v>0</v>
      </c>
      <c r="N4676">
        <v>5</v>
      </c>
      <c r="O4676">
        <v>36.633400000000002</v>
      </c>
      <c r="P4676">
        <v>17.364799999999999</v>
      </c>
      <c r="Q4676">
        <v>8.7370199999999993</v>
      </c>
    </row>
    <row r="4677" spans="1:17" x14ac:dyDescent="0.25">
      <c r="A4677" t="str">
        <f>IF(C4677&amp;G4677&amp;D4677&lt;&gt;'Funnel setup'!$K$3&amp;'Funnel setup'!$K$4&amp;'Funnel setup'!$K$6,".",IF(A4676=".",1,A4676+1))</f>
        <v>.</v>
      </c>
      <c r="B4677" s="244" t="str">
        <f t="shared" si="73"/>
        <v>Total Knee ReplacementSub-ICB of GP PracticeNHS GREATER MANCHESTER ICB - 00V (00V)Oxford Knee Score</v>
      </c>
      <c r="C4677" t="s">
        <v>975</v>
      </c>
      <c r="D4677" t="s">
        <v>1021</v>
      </c>
      <c r="E4677" t="s">
        <v>803</v>
      </c>
      <c r="F4677" t="s">
        <v>804</v>
      </c>
      <c r="G4677" t="s">
        <v>972</v>
      </c>
      <c r="H4677">
        <v>18</v>
      </c>
      <c r="I4677">
        <v>18.166699999999999</v>
      </c>
      <c r="J4677">
        <v>34.666699999999999</v>
      </c>
      <c r="K4677">
        <v>16.5</v>
      </c>
      <c r="L4677">
        <v>17</v>
      </c>
      <c r="M4677">
        <v>1</v>
      </c>
      <c r="N4677">
        <v>0</v>
      </c>
      <c r="O4677" t="s">
        <v>127</v>
      </c>
      <c r="P4677" t="s">
        <v>127</v>
      </c>
      <c r="Q4677" t="s">
        <v>127</v>
      </c>
    </row>
    <row r="4678" spans="1:17" x14ac:dyDescent="0.25">
      <c r="A4678" t="str">
        <f>IF(C4678&amp;G4678&amp;D4678&lt;&gt;'Funnel setup'!$K$3&amp;'Funnel setup'!$K$4&amp;'Funnel setup'!$K$6,".",IF(A4677=".",1,A4677+1))</f>
        <v>.</v>
      </c>
      <c r="B4678" s="244" t="str">
        <f t="shared" si="73"/>
        <v>Total Knee ReplacementSub-ICB of GP PracticeNHS GREATER MANCHESTER ICB - 00Y (00Y)Oxford Knee Score</v>
      </c>
      <c r="C4678" t="s">
        <v>975</v>
      </c>
      <c r="D4678" t="s">
        <v>1021</v>
      </c>
      <c r="E4678" t="s">
        <v>805</v>
      </c>
      <c r="F4678" t="s">
        <v>806</v>
      </c>
      <c r="G4678" t="s">
        <v>972</v>
      </c>
      <c r="H4678">
        <v>68</v>
      </c>
      <c r="I4678">
        <v>19.485299999999999</v>
      </c>
      <c r="J4678">
        <v>36.9559</v>
      </c>
      <c r="K4678">
        <v>17.470600000000001</v>
      </c>
      <c r="L4678">
        <v>63</v>
      </c>
      <c r="M4678">
        <v>0</v>
      </c>
      <c r="N4678">
        <v>5</v>
      </c>
      <c r="O4678">
        <v>36.179099999999998</v>
      </c>
      <c r="P4678">
        <v>16.910399999999999</v>
      </c>
      <c r="Q4678">
        <v>8.8875499999999992</v>
      </c>
    </row>
    <row r="4679" spans="1:17" x14ac:dyDescent="0.25">
      <c r="A4679" t="str">
        <f>IF(C4679&amp;G4679&amp;D4679&lt;&gt;'Funnel setup'!$K$3&amp;'Funnel setup'!$K$4&amp;'Funnel setup'!$K$6,".",IF(A4678=".",1,A4678+1))</f>
        <v>.</v>
      </c>
      <c r="B4679" s="244" t="str">
        <f t="shared" si="73"/>
        <v>Total Knee ReplacementSub-ICB of GP PracticeNHS GREATER MANCHESTER ICB - 01D (01D)Oxford Knee Score</v>
      </c>
      <c r="C4679" t="s">
        <v>975</v>
      </c>
      <c r="D4679" t="s">
        <v>1021</v>
      </c>
      <c r="E4679" t="s">
        <v>807</v>
      </c>
      <c r="F4679" t="s">
        <v>808</v>
      </c>
      <c r="G4679" t="s">
        <v>972</v>
      </c>
      <c r="H4679">
        <v>21</v>
      </c>
      <c r="I4679">
        <v>20.8095</v>
      </c>
      <c r="J4679">
        <v>36.714300000000001</v>
      </c>
      <c r="K4679">
        <v>15.9048</v>
      </c>
      <c r="L4679">
        <v>20</v>
      </c>
      <c r="M4679">
        <v>0</v>
      </c>
      <c r="N4679">
        <v>1</v>
      </c>
      <c r="O4679" t="s">
        <v>127</v>
      </c>
      <c r="P4679" t="s">
        <v>127</v>
      </c>
      <c r="Q4679" t="s">
        <v>127</v>
      </c>
    </row>
    <row r="4680" spans="1:17" x14ac:dyDescent="0.25">
      <c r="A4680" t="str">
        <f>IF(C4680&amp;G4680&amp;D4680&lt;&gt;'Funnel setup'!$K$3&amp;'Funnel setup'!$K$4&amp;'Funnel setup'!$K$6,".",IF(A4679=".",1,A4679+1))</f>
        <v>.</v>
      </c>
      <c r="B4680" s="244" t="str">
        <f t="shared" si="73"/>
        <v>Total Knee ReplacementSub-ICB of GP PracticeNHS GREATER MANCHESTER ICB - 01G (01G)Oxford Knee Score</v>
      </c>
      <c r="C4680" t="s">
        <v>975</v>
      </c>
      <c r="D4680" t="s">
        <v>1021</v>
      </c>
      <c r="E4680" t="s">
        <v>809</v>
      </c>
      <c r="F4680" t="s">
        <v>810</v>
      </c>
      <c r="G4680" t="s">
        <v>972</v>
      </c>
      <c r="H4680">
        <v>62</v>
      </c>
      <c r="I4680">
        <v>17.629000000000001</v>
      </c>
      <c r="J4680">
        <v>35.403199999999998</v>
      </c>
      <c r="K4680">
        <v>17.7742</v>
      </c>
      <c r="L4680">
        <v>60</v>
      </c>
      <c r="M4680">
        <v>0</v>
      </c>
      <c r="N4680">
        <v>2</v>
      </c>
      <c r="O4680">
        <v>36.410899999999998</v>
      </c>
      <c r="P4680">
        <v>17.142199999999999</v>
      </c>
      <c r="Q4680">
        <v>9.4318899999999992</v>
      </c>
    </row>
    <row r="4681" spans="1:17" x14ac:dyDescent="0.25">
      <c r="A4681" t="str">
        <f>IF(C4681&amp;G4681&amp;D4681&lt;&gt;'Funnel setup'!$K$3&amp;'Funnel setup'!$K$4&amp;'Funnel setup'!$K$6,".",IF(A4680=".",1,A4680+1))</f>
        <v>.</v>
      </c>
      <c r="B4681" s="244" t="str">
        <f t="shared" si="73"/>
        <v>Total Knee ReplacementSub-ICB of GP PracticeNHS GREATER MANCHESTER ICB - 01W (01W)Oxford Knee Score</v>
      </c>
      <c r="C4681" t="s">
        <v>975</v>
      </c>
      <c r="D4681" t="s">
        <v>1021</v>
      </c>
      <c r="E4681" t="s">
        <v>811</v>
      </c>
      <c r="F4681" t="s">
        <v>812</v>
      </c>
      <c r="G4681" t="s">
        <v>972</v>
      </c>
      <c r="H4681">
        <v>60</v>
      </c>
      <c r="I4681">
        <v>20.216699999999999</v>
      </c>
      <c r="J4681">
        <v>37.066699999999997</v>
      </c>
      <c r="K4681">
        <v>16.850000000000001</v>
      </c>
      <c r="L4681">
        <v>58</v>
      </c>
      <c r="M4681">
        <v>0</v>
      </c>
      <c r="N4681">
        <v>2</v>
      </c>
      <c r="O4681">
        <v>36.400100000000002</v>
      </c>
      <c r="P4681">
        <v>17.131499999999999</v>
      </c>
      <c r="Q4681">
        <v>8.6316100000000002</v>
      </c>
    </row>
    <row r="4682" spans="1:17" x14ac:dyDescent="0.25">
      <c r="A4682" t="str">
        <f>IF(C4682&amp;G4682&amp;D4682&lt;&gt;'Funnel setup'!$K$3&amp;'Funnel setup'!$K$4&amp;'Funnel setup'!$K$6,".",IF(A4681=".",1,A4681+1))</f>
        <v>.</v>
      </c>
      <c r="B4682" s="244" t="str">
        <f t="shared" si="73"/>
        <v>Total Knee ReplacementSub-ICB of GP PracticeNHS GREATER MANCHESTER ICB - 01Y (01Y)Oxford Knee Score</v>
      </c>
      <c r="C4682" t="s">
        <v>975</v>
      </c>
      <c r="D4682" t="s">
        <v>1021</v>
      </c>
      <c r="E4682" t="s">
        <v>813</v>
      </c>
      <c r="F4682" t="s">
        <v>814</v>
      </c>
      <c r="G4682" t="s">
        <v>972</v>
      </c>
      <c r="H4682">
        <v>28</v>
      </c>
      <c r="I4682">
        <v>17.571400000000001</v>
      </c>
      <c r="J4682">
        <v>35.5</v>
      </c>
      <c r="K4682">
        <v>17.928599999999999</v>
      </c>
      <c r="L4682">
        <v>26</v>
      </c>
      <c r="M4682">
        <v>0</v>
      </c>
      <c r="N4682">
        <v>2</v>
      </c>
      <c r="O4682" t="s">
        <v>127</v>
      </c>
      <c r="P4682" t="s">
        <v>127</v>
      </c>
      <c r="Q4682" t="s">
        <v>127</v>
      </c>
    </row>
    <row r="4683" spans="1:17" x14ac:dyDescent="0.25">
      <c r="A4683" t="str">
        <f>IF(C4683&amp;G4683&amp;D4683&lt;&gt;'Funnel setup'!$K$3&amp;'Funnel setup'!$K$4&amp;'Funnel setup'!$K$6,".",IF(A4682=".",1,A4682+1))</f>
        <v>.</v>
      </c>
      <c r="B4683" s="244" t="str">
        <f t="shared" si="73"/>
        <v>Total Knee ReplacementSub-ICB of GP PracticeNHS GREATER MANCHESTER ICB - 02A (02A)Oxford Knee Score</v>
      </c>
      <c r="C4683" t="s">
        <v>975</v>
      </c>
      <c r="D4683" t="s">
        <v>1021</v>
      </c>
      <c r="E4683" t="s">
        <v>815</v>
      </c>
      <c r="F4683" t="s">
        <v>816</v>
      </c>
      <c r="G4683" t="s">
        <v>972</v>
      </c>
      <c r="H4683">
        <v>90</v>
      </c>
      <c r="I4683">
        <v>18.122199999999999</v>
      </c>
      <c r="J4683">
        <v>34.133299999999998</v>
      </c>
      <c r="K4683">
        <v>16.011099999999999</v>
      </c>
      <c r="L4683">
        <v>83</v>
      </c>
      <c r="M4683">
        <v>0</v>
      </c>
      <c r="N4683">
        <v>7</v>
      </c>
      <c r="O4683">
        <v>34.477499999999999</v>
      </c>
      <c r="P4683">
        <v>15.2089</v>
      </c>
      <c r="Q4683">
        <v>9.6820299999999992</v>
      </c>
    </row>
    <row r="4684" spans="1:17" x14ac:dyDescent="0.25">
      <c r="A4684" t="str">
        <f>IF(C4684&amp;G4684&amp;D4684&lt;&gt;'Funnel setup'!$K$3&amp;'Funnel setup'!$K$4&amp;'Funnel setup'!$K$6,".",IF(A4683=".",1,A4683+1))</f>
        <v>.</v>
      </c>
      <c r="B4684" s="244" t="str">
        <f t="shared" si="73"/>
        <v>Total Knee ReplacementSub-ICB of GP PracticeNHS GREATER MANCHESTER ICB - 02H (02H)Oxford Knee Score</v>
      </c>
      <c r="C4684" t="s">
        <v>975</v>
      </c>
      <c r="D4684" t="s">
        <v>1021</v>
      </c>
      <c r="E4684" t="s">
        <v>817</v>
      </c>
      <c r="F4684" t="s">
        <v>818</v>
      </c>
      <c r="G4684" t="s">
        <v>972</v>
      </c>
      <c r="H4684">
        <v>29</v>
      </c>
      <c r="I4684">
        <v>18.655200000000001</v>
      </c>
      <c r="J4684">
        <v>37.172400000000003</v>
      </c>
      <c r="K4684">
        <v>18.517199999999999</v>
      </c>
      <c r="L4684">
        <v>28</v>
      </c>
      <c r="M4684">
        <v>0</v>
      </c>
      <c r="N4684">
        <v>1</v>
      </c>
      <c r="O4684" t="s">
        <v>127</v>
      </c>
      <c r="P4684" t="s">
        <v>127</v>
      </c>
      <c r="Q4684" t="s">
        <v>127</v>
      </c>
    </row>
    <row r="4685" spans="1:17" x14ac:dyDescent="0.25">
      <c r="A4685" t="str">
        <f>IF(C4685&amp;G4685&amp;D4685&lt;&gt;'Funnel setup'!$K$3&amp;'Funnel setup'!$K$4&amp;'Funnel setup'!$K$6,".",IF(A4684=".",1,A4684+1))</f>
        <v>.</v>
      </c>
      <c r="B4685" s="244" t="str">
        <f t="shared" si="73"/>
        <v>Total Knee ReplacementSub-ICB of GP PracticeNHS GREATER MANCHESTER ICB - 14L (14L)Oxford Knee Score</v>
      </c>
      <c r="C4685" t="s">
        <v>975</v>
      </c>
      <c r="D4685" t="s">
        <v>1021</v>
      </c>
      <c r="E4685" t="s">
        <v>819</v>
      </c>
      <c r="F4685" t="s">
        <v>820</v>
      </c>
      <c r="G4685" t="s">
        <v>972</v>
      </c>
      <c r="H4685">
        <v>59</v>
      </c>
      <c r="I4685">
        <v>17.1525</v>
      </c>
      <c r="J4685">
        <v>33.4407</v>
      </c>
      <c r="K4685">
        <v>16.2881</v>
      </c>
      <c r="L4685">
        <v>55</v>
      </c>
      <c r="M4685">
        <v>0</v>
      </c>
      <c r="N4685">
        <v>4</v>
      </c>
      <c r="O4685">
        <v>36.2605</v>
      </c>
      <c r="P4685">
        <v>16.991900000000001</v>
      </c>
      <c r="Q4685">
        <v>8.5133700000000001</v>
      </c>
    </row>
    <row r="4686" spans="1:17" x14ac:dyDescent="0.25">
      <c r="A4686" t="str">
        <f>IF(C4686&amp;G4686&amp;D4686&lt;&gt;'Funnel setup'!$K$3&amp;'Funnel setup'!$K$4&amp;'Funnel setup'!$K$6,".",IF(A4685=".",1,A4685+1))</f>
        <v>.</v>
      </c>
      <c r="B4686" s="244" t="str">
        <f t="shared" si="73"/>
        <v>Total Knee ReplacementSub-ICB of GP PracticeNHS HAMPSHIRE AND ISLE OF WIGHT ICB - 10R (10R)Oxford Knee Score</v>
      </c>
      <c r="C4686" t="s">
        <v>975</v>
      </c>
      <c r="D4686" t="s">
        <v>1021</v>
      </c>
      <c r="E4686" t="s">
        <v>821</v>
      </c>
      <c r="F4686" t="s">
        <v>822</v>
      </c>
      <c r="G4686" t="s">
        <v>972</v>
      </c>
      <c r="H4686">
        <v>12</v>
      </c>
      <c r="I4686">
        <v>19.416699999999999</v>
      </c>
      <c r="J4686">
        <v>33.833300000000001</v>
      </c>
      <c r="K4686">
        <v>14.416700000000001</v>
      </c>
      <c r="L4686">
        <v>12</v>
      </c>
      <c r="M4686">
        <v>0</v>
      </c>
      <c r="N4686">
        <v>0</v>
      </c>
      <c r="O4686" t="s">
        <v>127</v>
      </c>
      <c r="P4686" t="s">
        <v>127</v>
      </c>
      <c r="Q4686" t="s">
        <v>127</v>
      </c>
    </row>
    <row r="4687" spans="1:17" x14ac:dyDescent="0.25">
      <c r="A4687" t="str">
        <f>IF(C4687&amp;G4687&amp;D4687&lt;&gt;'Funnel setup'!$K$3&amp;'Funnel setup'!$K$4&amp;'Funnel setup'!$K$6,".",IF(A4686=".",1,A4686+1))</f>
        <v>.</v>
      </c>
      <c r="B4687" s="244" t="str">
        <f t="shared" si="73"/>
        <v>Total Knee ReplacementSub-ICB of GP PracticeNHS HAMPSHIRE AND ISLE OF WIGHT ICB - D9Y0V (D9Y0V)Oxford Knee Score</v>
      </c>
      <c r="C4687" t="s">
        <v>975</v>
      </c>
      <c r="D4687" t="s">
        <v>1021</v>
      </c>
      <c r="E4687" t="s">
        <v>823</v>
      </c>
      <c r="F4687" t="s">
        <v>824</v>
      </c>
      <c r="G4687" t="s">
        <v>972</v>
      </c>
      <c r="H4687">
        <v>389</v>
      </c>
      <c r="I4687">
        <v>20.7712</v>
      </c>
      <c r="J4687">
        <v>37.825200000000002</v>
      </c>
      <c r="K4687">
        <v>17.053999999999998</v>
      </c>
      <c r="L4687">
        <v>367</v>
      </c>
      <c r="M4687">
        <v>4</v>
      </c>
      <c r="N4687">
        <v>18</v>
      </c>
      <c r="O4687">
        <v>36.890700000000002</v>
      </c>
      <c r="P4687">
        <v>17.6221</v>
      </c>
      <c r="Q4687">
        <v>8.0791799999999991</v>
      </c>
    </row>
    <row r="4688" spans="1:17" x14ac:dyDescent="0.25">
      <c r="A4688" t="str">
        <f>IF(C4688&amp;G4688&amp;D4688&lt;&gt;'Funnel setup'!$K$3&amp;'Funnel setup'!$K$4&amp;'Funnel setup'!$K$6,".",IF(A4687=".",1,A4687+1))</f>
        <v>.</v>
      </c>
      <c r="B4688" s="244" t="str">
        <f t="shared" si="73"/>
        <v>Total Knee ReplacementSub-ICB of GP PracticeNHS HEREFORDSHIRE AND WORCESTERSHIRE ICB - 18C (18C)Oxford Knee Score</v>
      </c>
      <c r="C4688" t="s">
        <v>975</v>
      </c>
      <c r="D4688" t="s">
        <v>1021</v>
      </c>
      <c r="E4688" t="s">
        <v>825</v>
      </c>
      <c r="F4688" t="s">
        <v>826</v>
      </c>
      <c r="G4688" t="s">
        <v>972</v>
      </c>
      <c r="H4688">
        <v>220</v>
      </c>
      <c r="I4688">
        <v>18.0045</v>
      </c>
      <c r="J4688">
        <v>37</v>
      </c>
      <c r="K4688">
        <v>18.9955</v>
      </c>
      <c r="L4688">
        <v>211</v>
      </c>
      <c r="M4688">
        <v>1</v>
      </c>
      <c r="N4688">
        <v>8</v>
      </c>
      <c r="O4688">
        <v>37.371899999999997</v>
      </c>
      <c r="P4688">
        <v>18.103200000000001</v>
      </c>
      <c r="Q4688">
        <v>8.2281600000000008</v>
      </c>
    </row>
    <row r="4689" spans="1:17" x14ac:dyDescent="0.25">
      <c r="A4689" t="str">
        <f>IF(C4689&amp;G4689&amp;D4689&lt;&gt;'Funnel setup'!$K$3&amp;'Funnel setup'!$K$4&amp;'Funnel setup'!$K$6,".",IF(A4688=".",1,A4688+1))</f>
        <v>.</v>
      </c>
      <c r="B4689" s="244" t="str">
        <f t="shared" si="73"/>
        <v>Total Knee ReplacementSub-ICB of GP PracticeNHS HERTFORDSHIRE AND WEST ESSEX ICB - 06K (06K)Oxford Knee Score</v>
      </c>
      <c r="C4689" t="s">
        <v>975</v>
      </c>
      <c r="D4689" t="s">
        <v>1021</v>
      </c>
      <c r="E4689" t="s">
        <v>827</v>
      </c>
      <c r="F4689" t="s">
        <v>828</v>
      </c>
      <c r="G4689" t="s">
        <v>972</v>
      </c>
      <c r="H4689">
        <v>101</v>
      </c>
      <c r="I4689">
        <v>19.8416</v>
      </c>
      <c r="J4689">
        <v>36.7624</v>
      </c>
      <c r="K4689">
        <v>16.9208</v>
      </c>
      <c r="L4689">
        <v>91</v>
      </c>
      <c r="M4689">
        <v>2</v>
      </c>
      <c r="N4689">
        <v>8</v>
      </c>
      <c r="O4689">
        <v>36.015099999999997</v>
      </c>
      <c r="P4689">
        <v>16.746500000000001</v>
      </c>
      <c r="Q4689">
        <v>9.4278600000000008</v>
      </c>
    </row>
    <row r="4690" spans="1:17" x14ac:dyDescent="0.25">
      <c r="A4690" t="str">
        <f>IF(C4690&amp;G4690&amp;D4690&lt;&gt;'Funnel setup'!$K$3&amp;'Funnel setup'!$K$4&amp;'Funnel setup'!$K$6,".",IF(A4689=".",1,A4689+1))</f>
        <v>.</v>
      </c>
      <c r="B4690" s="244" t="str">
        <f t="shared" si="73"/>
        <v>Total Knee ReplacementSub-ICB of GP PracticeNHS HERTFORDSHIRE AND WEST ESSEX ICB - 06N (06N)Oxford Knee Score</v>
      </c>
      <c r="C4690" t="s">
        <v>975</v>
      </c>
      <c r="D4690" t="s">
        <v>1021</v>
      </c>
      <c r="E4690" t="s">
        <v>829</v>
      </c>
      <c r="F4690" t="s">
        <v>830</v>
      </c>
      <c r="G4690" t="s">
        <v>972</v>
      </c>
      <c r="H4690">
        <v>124</v>
      </c>
      <c r="I4690">
        <v>20.596800000000002</v>
      </c>
      <c r="J4690">
        <v>36.112900000000003</v>
      </c>
      <c r="K4690">
        <v>15.5161</v>
      </c>
      <c r="L4690">
        <v>114</v>
      </c>
      <c r="M4690">
        <v>2</v>
      </c>
      <c r="N4690">
        <v>8</v>
      </c>
      <c r="O4690">
        <v>35.430199999999999</v>
      </c>
      <c r="P4690">
        <v>16.1615</v>
      </c>
      <c r="Q4690">
        <v>8.6840499999999992</v>
      </c>
    </row>
    <row r="4691" spans="1:17" x14ac:dyDescent="0.25">
      <c r="A4691" t="str">
        <f>IF(C4691&amp;G4691&amp;D4691&lt;&gt;'Funnel setup'!$K$3&amp;'Funnel setup'!$K$4&amp;'Funnel setup'!$K$6,".",IF(A4690=".",1,A4690+1))</f>
        <v>.</v>
      </c>
      <c r="B4691" s="244" t="str">
        <f t="shared" si="73"/>
        <v>Total Knee ReplacementSub-ICB of GP PracticeNHS HERTFORDSHIRE AND WEST ESSEX ICB - 07H (07H)Oxford Knee Score</v>
      </c>
      <c r="C4691" t="s">
        <v>975</v>
      </c>
      <c r="D4691" t="s">
        <v>1021</v>
      </c>
      <c r="E4691" t="s">
        <v>831</v>
      </c>
      <c r="F4691" t="s">
        <v>832</v>
      </c>
      <c r="G4691" t="s">
        <v>972</v>
      </c>
      <c r="H4691">
        <v>67</v>
      </c>
      <c r="I4691">
        <v>17.940300000000001</v>
      </c>
      <c r="J4691">
        <v>36.388100000000001</v>
      </c>
      <c r="K4691">
        <v>18.447800000000001</v>
      </c>
      <c r="L4691">
        <v>66</v>
      </c>
      <c r="M4691">
        <v>0</v>
      </c>
      <c r="N4691">
        <v>1</v>
      </c>
      <c r="O4691">
        <v>36.277900000000002</v>
      </c>
      <c r="P4691">
        <v>17.0093</v>
      </c>
      <c r="Q4691">
        <v>8.10947</v>
      </c>
    </row>
    <row r="4692" spans="1:17" x14ac:dyDescent="0.25">
      <c r="A4692" t="str">
        <f>IF(C4692&amp;G4692&amp;D4692&lt;&gt;'Funnel setup'!$K$3&amp;'Funnel setup'!$K$4&amp;'Funnel setup'!$K$6,".",IF(A4691=".",1,A4691+1))</f>
        <v>.</v>
      </c>
      <c r="B4692" s="244" t="str">
        <f t="shared" si="73"/>
        <v>Total Knee ReplacementSub-ICB of GP PracticeNHS HUMBER AND NORTH YORKSHIRE ICB - 02Y (02Y)Oxford Knee Score</v>
      </c>
      <c r="C4692" t="s">
        <v>975</v>
      </c>
      <c r="D4692" t="s">
        <v>1021</v>
      </c>
      <c r="E4692" t="s">
        <v>833</v>
      </c>
      <c r="F4692" t="s">
        <v>834</v>
      </c>
      <c r="G4692" t="s">
        <v>972</v>
      </c>
      <c r="H4692">
        <v>81</v>
      </c>
      <c r="I4692">
        <v>20.530899999999999</v>
      </c>
      <c r="J4692">
        <v>35.1111</v>
      </c>
      <c r="K4692">
        <v>14.5802</v>
      </c>
      <c r="L4692">
        <v>74</v>
      </c>
      <c r="M4692">
        <v>1</v>
      </c>
      <c r="N4692">
        <v>6</v>
      </c>
      <c r="O4692">
        <v>34.456200000000003</v>
      </c>
      <c r="P4692">
        <v>15.1875</v>
      </c>
      <c r="Q4692">
        <v>9.8175000000000008</v>
      </c>
    </row>
    <row r="4693" spans="1:17" x14ac:dyDescent="0.25">
      <c r="A4693" t="str">
        <f>IF(C4693&amp;G4693&amp;D4693&lt;&gt;'Funnel setup'!$K$3&amp;'Funnel setup'!$K$4&amp;'Funnel setup'!$K$6,".",IF(A4692=".",1,A4692+1))</f>
        <v>.</v>
      </c>
      <c r="B4693" s="244" t="str">
        <f t="shared" si="73"/>
        <v>Total Knee ReplacementSub-ICB of GP PracticeNHS HUMBER AND NORTH YORKSHIRE ICB - 03F (03F)Oxford Knee Score</v>
      </c>
      <c r="C4693" t="s">
        <v>975</v>
      </c>
      <c r="D4693" t="s">
        <v>1021</v>
      </c>
      <c r="E4693" t="s">
        <v>835</v>
      </c>
      <c r="F4693" t="s">
        <v>836</v>
      </c>
      <c r="G4693" t="s">
        <v>972</v>
      </c>
      <c r="H4693">
        <v>27</v>
      </c>
      <c r="I4693">
        <v>17.555599999999998</v>
      </c>
      <c r="J4693">
        <v>36.555599999999998</v>
      </c>
      <c r="K4693">
        <v>19</v>
      </c>
      <c r="L4693">
        <v>27</v>
      </c>
      <c r="M4693">
        <v>0</v>
      </c>
      <c r="N4693">
        <v>0</v>
      </c>
      <c r="O4693" t="s">
        <v>127</v>
      </c>
      <c r="P4693" t="s">
        <v>127</v>
      </c>
      <c r="Q4693" t="s">
        <v>127</v>
      </c>
    </row>
    <row r="4694" spans="1:17" x14ac:dyDescent="0.25">
      <c r="A4694" t="str">
        <f>IF(C4694&amp;G4694&amp;D4694&lt;&gt;'Funnel setup'!$K$3&amp;'Funnel setup'!$K$4&amp;'Funnel setup'!$K$6,".",IF(A4693=".",1,A4693+1))</f>
        <v>.</v>
      </c>
      <c r="B4694" s="244" t="str">
        <f t="shared" si="73"/>
        <v>Total Knee ReplacementSub-ICB of GP PracticeNHS HUMBER AND NORTH YORKSHIRE ICB - 03H (03H)Oxford Knee Score</v>
      </c>
      <c r="C4694" t="s">
        <v>975</v>
      </c>
      <c r="D4694" t="s">
        <v>1021</v>
      </c>
      <c r="E4694" t="s">
        <v>837</v>
      </c>
      <c r="F4694" t="s">
        <v>838</v>
      </c>
      <c r="G4694" t="s">
        <v>972</v>
      </c>
      <c r="H4694">
        <v>82</v>
      </c>
      <c r="I4694">
        <v>19.8659</v>
      </c>
      <c r="J4694">
        <v>36.5854</v>
      </c>
      <c r="K4694">
        <v>16.7195</v>
      </c>
      <c r="L4694">
        <v>78</v>
      </c>
      <c r="M4694">
        <v>2</v>
      </c>
      <c r="N4694">
        <v>2</v>
      </c>
      <c r="O4694">
        <v>35.9574</v>
      </c>
      <c r="P4694">
        <v>16.688700000000001</v>
      </c>
      <c r="Q4694">
        <v>7.6070799999999998</v>
      </c>
    </row>
    <row r="4695" spans="1:17" x14ac:dyDescent="0.25">
      <c r="A4695" t="str">
        <f>IF(C4695&amp;G4695&amp;D4695&lt;&gt;'Funnel setup'!$K$3&amp;'Funnel setup'!$K$4&amp;'Funnel setup'!$K$6,".",IF(A4694=".",1,A4694+1))</f>
        <v>.</v>
      </c>
      <c r="B4695" s="244" t="str">
        <f t="shared" si="73"/>
        <v>Total Knee ReplacementSub-ICB of GP PracticeNHS HUMBER AND NORTH YORKSHIRE ICB - 03K (03K)Oxford Knee Score</v>
      </c>
      <c r="C4695" t="s">
        <v>975</v>
      </c>
      <c r="D4695" t="s">
        <v>1021</v>
      </c>
      <c r="E4695" t="s">
        <v>839</v>
      </c>
      <c r="F4695" t="s">
        <v>840</v>
      </c>
      <c r="G4695" t="s">
        <v>972</v>
      </c>
      <c r="H4695">
        <v>70</v>
      </c>
      <c r="I4695">
        <v>18.514299999999999</v>
      </c>
      <c r="J4695">
        <v>36.1571</v>
      </c>
      <c r="K4695">
        <v>17.642900000000001</v>
      </c>
      <c r="L4695">
        <v>65</v>
      </c>
      <c r="M4695">
        <v>1</v>
      </c>
      <c r="N4695">
        <v>4</v>
      </c>
      <c r="O4695">
        <v>36.432000000000002</v>
      </c>
      <c r="P4695">
        <v>17.1633</v>
      </c>
      <c r="Q4695">
        <v>8.6451399999999996</v>
      </c>
    </row>
    <row r="4696" spans="1:17" x14ac:dyDescent="0.25">
      <c r="A4696" t="str">
        <f>IF(C4696&amp;G4696&amp;D4696&lt;&gt;'Funnel setup'!$K$3&amp;'Funnel setup'!$K$4&amp;'Funnel setup'!$K$6,".",IF(A4695=".",1,A4695+1))</f>
        <v>.</v>
      </c>
      <c r="B4696" s="244" t="str">
        <f t="shared" si="73"/>
        <v>Total Knee ReplacementSub-ICB of GP PracticeNHS HUMBER AND NORTH YORKSHIRE ICB - 03Q (03Q)Oxford Knee Score</v>
      </c>
      <c r="C4696" t="s">
        <v>975</v>
      </c>
      <c r="D4696" t="s">
        <v>1021</v>
      </c>
      <c r="E4696" t="s">
        <v>841</v>
      </c>
      <c r="F4696" t="s">
        <v>842</v>
      </c>
      <c r="G4696" t="s">
        <v>972</v>
      </c>
      <c r="H4696">
        <v>75</v>
      </c>
      <c r="I4696">
        <v>19.079999999999998</v>
      </c>
      <c r="J4696">
        <v>35.666699999999999</v>
      </c>
      <c r="K4696">
        <v>16.5867</v>
      </c>
      <c r="L4696">
        <v>73</v>
      </c>
      <c r="M4696">
        <v>0</v>
      </c>
      <c r="N4696">
        <v>2</v>
      </c>
      <c r="O4696">
        <v>35.1569</v>
      </c>
      <c r="P4696">
        <v>15.888299999999999</v>
      </c>
      <c r="Q4696">
        <v>8.6416000000000004</v>
      </c>
    </row>
    <row r="4697" spans="1:17" x14ac:dyDescent="0.25">
      <c r="A4697" t="str">
        <f>IF(C4697&amp;G4697&amp;D4697&lt;&gt;'Funnel setup'!$K$3&amp;'Funnel setup'!$K$4&amp;'Funnel setup'!$K$6,".",IF(A4696=".",1,A4696+1))</f>
        <v>.</v>
      </c>
      <c r="B4697" s="244" t="str">
        <f t="shared" si="73"/>
        <v>Total Knee ReplacementSub-ICB of GP PracticeNHS HUMBER AND NORTH YORKSHIRE ICB - 42D (42D)Oxford Knee Score</v>
      </c>
      <c r="C4697" t="s">
        <v>975</v>
      </c>
      <c r="D4697" t="s">
        <v>1021</v>
      </c>
      <c r="E4697" t="s">
        <v>843</v>
      </c>
      <c r="F4697" t="s">
        <v>844</v>
      </c>
      <c r="G4697" t="s">
        <v>972</v>
      </c>
      <c r="H4697">
        <v>215</v>
      </c>
      <c r="I4697">
        <v>18.213999999999999</v>
      </c>
      <c r="J4697">
        <v>38.023299999999999</v>
      </c>
      <c r="K4697">
        <v>19.8093</v>
      </c>
      <c r="L4697">
        <v>210</v>
      </c>
      <c r="M4697">
        <v>3</v>
      </c>
      <c r="N4697">
        <v>2</v>
      </c>
      <c r="O4697">
        <v>38.066299999999998</v>
      </c>
      <c r="P4697">
        <v>18.797699999999999</v>
      </c>
      <c r="Q4697">
        <v>7.8346099999999996</v>
      </c>
    </row>
    <row r="4698" spans="1:17" x14ac:dyDescent="0.25">
      <c r="A4698" t="str">
        <f>IF(C4698&amp;G4698&amp;D4698&lt;&gt;'Funnel setup'!$K$3&amp;'Funnel setup'!$K$4&amp;'Funnel setup'!$K$6,".",IF(A4697=".",1,A4697+1))</f>
        <v>.</v>
      </c>
      <c r="B4698" s="244" t="str">
        <f t="shared" si="73"/>
        <v>Total Knee ReplacementSub-ICB of GP PracticeNHS KENT AND MEDWAY ICB - 91Q (91Q)Oxford Knee Score</v>
      </c>
      <c r="C4698" t="s">
        <v>975</v>
      </c>
      <c r="D4698" t="s">
        <v>1021</v>
      </c>
      <c r="E4698" t="s">
        <v>845</v>
      </c>
      <c r="F4698" t="s">
        <v>846</v>
      </c>
      <c r="G4698" t="s">
        <v>972</v>
      </c>
      <c r="H4698">
        <v>614</v>
      </c>
      <c r="I4698">
        <v>21.267099999999999</v>
      </c>
      <c r="J4698">
        <v>38.123800000000003</v>
      </c>
      <c r="K4698">
        <v>16.8567</v>
      </c>
      <c r="L4698">
        <v>580</v>
      </c>
      <c r="M4698">
        <v>5</v>
      </c>
      <c r="N4698">
        <v>29</v>
      </c>
      <c r="O4698">
        <v>37.204999999999998</v>
      </c>
      <c r="P4698">
        <v>17.936399999999999</v>
      </c>
      <c r="Q4698">
        <v>7.8980499999999996</v>
      </c>
    </row>
    <row r="4699" spans="1:17" x14ac:dyDescent="0.25">
      <c r="A4699" t="str">
        <f>IF(C4699&amp;G4699&amp;D4699&lt;&gt;'Funnel setup'!$K$3&amp;'Funnel setup'!$K$4&amp;'Funnel setup'!$K$6,".",IF(A4698=".",1,A4698+1))</f>
        <v>.</v>
      </c>
      <c r="B4699" s="244" t="str">
        <f t="shared" si="73"/>
        <v>Total Knee ReplacementSub-ICB of GP PracticeNHS LANCASHIRE AND SOUTH CUMBRIA ICB - 00Q (00Q)Oxford Knee Score</v>
      </c>
      <c r="C4699" t="s">
        <v>975</v>
      </c>
      <c r="D4699" t="s">
        <v>1021</v>
      </c>
      <c r="E4699" t="s">
        <v>847</v>
      </c>
      <c r="F4699" t="s">
        <v>848</v>
      </c>
      <c r="G4699" t="s">
        <v>972</v>
      </c>
      <c r="H4699">
        <v>51</v>
      </c>
      <c r="I4699">
        <v>19.039200000000001</v>
      </c>
      <c r="J4699">
        <v>32.431399999999996</v>
      </c>
      <c r="K4699">
        <v>13.392200000000001</v>
      </c>
      <c r="L4699">
        <v>44</v>
      </c>
      <c r="M4699">
        <v>2</v>
      </c>
      <c r="N4699">
        <v>5</v>
      </c>
      <c r="O4699">
        <v>32.802700000000002</v>
      </c>
      <c r="P4699">
        <v>13.5341</v>
      </c>
      <c r="Q4699">
        <v>10.6083</v>
      </c>
    </row>
    <row r="4700" spans="1:17" x14ac:dyDescent="0.25">
      <c r="A4700" t="str">
        <f>IF(C4700&amp;G4700&amp;D4700&lt;&gt;'Funnel setup'!$K$3&amp;'Funnel setup'!$K$4&amp;'Funnel setup'!$K$6,".",IF(A4699=".",1,A4699+1))</f>
        <v>.</v>
      </c>
      <c r="B4700" s="244" t="str">
        <f t="shared" si="73"/>
        <v>Total Knee ReplacementSub-ICB of GP PracticeNHS LANCASHIRE AND SOUTH CUMBRIA ICB - 00R (00R)Oxford Knee Score</v>
      </c>
      <c r="C4700" t="s">
        <v>975</v>
      </c>
      <c r="D4700" t="s">
        <v>1021</v>
      </c>
      <c r="E4700" t="s">
        <v>849</v>
      </c>
      <c r="F4700" t="s">
        <v>850</v>
      </c>
      <c r="G4700" t="s">
        <v>972</v>
      </c>
      <c r="H4700">
        <v>48</v>
      </c>
      <c r="I4700">
        <v>19.791699999999999</v>
      </c>
      <c r="J4700">
        <v>35</v>
      </c>
      <c r="K4700">
        <v>15.208299999999999</v>
      </c>
      <c r="L4700">
        <v>46</v>
      </c>
      <c r="M4700">
        <v>0</v>
      </c>
      <c r="N4700">
        <v>2</v>
      </c>
      <c r="O4700">
        <v>36.387099999999997</v>
      </c>
      <c r="P4700">
        <v>17.118400000000001</v>
      </c>
      <c r="Q4700">
        <v>8.3534500000000005</v>
      </c>
    </row>
    <row r="4701" spans="1:17" x14ac:dyDescent="0.25">
      <c r="A4701" t="str">
        <f>IF(C4701&amp;G4701&amp;D4701&lt;&gt;'Funnel setup'!$K$3&amp;'Funnel setup'!$K$4&amp;'Funnel setup'!$K$6,".",IF(A4700=".",1,A4700+1))</f>
        <v>.</v>
      </c>
      <c r="B4701" s="244" t="str">
        <f t="shared" si="73"/>
        <v>Total Knee ReplacementSub-ICB of GP PracticeNHS LANCASHIRE AND SOUTH CUMBRIA ICB - 00X (00X)Oxford Knee Score</v>
      </c>
      <c r="C4701" t="s">
        <v>975</v>
      </c>
      <c r="D4701" t="s">
        <v>1021</v>
      </c>
      <c r="E4701" t="s">
        <v>851</v>
      </c>
      <c r="F4701" t="s">
        <v>852</v>
      </c>
      <c r="G4701" t="s">
        <v>972</v>
      </c>
      <c r="H4701">
        <v>71</v>
      </c>
      <c r="I4701">
        <v>19</v>
      </c>
      <c r="J4701">
        <v>37.9437</v>
      </c>
      <c r="K4701">
        <v>18.9437</v>
      </c>
      <c r="L4701">
        <v>67</v>
      </c>
      <c r="M4701">
        <v>2</v>
      </c>
      <c r="N4701">
        <v>2</v>
      </c>
      <c r="O4701">
        <v>37.788499999999999</v>
      </c>
      <c r="P4701">
        <v>18.5199</v>
      </c>
      <c r="Q4701">
        <v>9.2505199999999999</v>
      </c>
    </row>
    <row r="4702" spans="1:17" x14ac:dyDescent="0.25">
      <c r="A4702" t="str">
        <f>IF(C4702&amp;G4702&amp;D4702&lt;&gt;'Funnel setup'!$K$3&amp;'Funnel setup'!$K$4&amp;'Funnel setup'!$K$6,".",IF(A4701=".",1,A4701+1))</f>
        <v>.</v>
      </c>
      <c r="B4702" s="244" t="str">
        <f t="shared" si="73"/>
        <v>Total Knee ReplacementSub-ICB of GP PracticeNHS LANCASHIRE AND SOUTH CUMBRIA ICB - 01A (01A)Oxford Knee Score</v>
      </c>
      <c r="C4702" t="s">
        <v>975</v>
      </c>
      <c r="D4702" t="s">
        <v>1021</v>
      </c>
      <c r="E4702" t="s">
        <v>853</v>
      </c>
      <c r="F4702" t="s">
        <v>854</v>
      </c>
      <c r="G4702" t="s">
        <v>972</v>
      </c>
      <c r="H4702">
        <v>146</v>
      </c>
      <c r="I4702">
        <v>19.911000000000001</v>
      </c>
      <c r="J4702">
        <v>37.828800000000001</v>
      </c>
      <c r="K4702">
        <v>17.9178</v>
      </c>
      <c r="L4702">
        <v>138</v>
      </c>
      <c r="M4702">
        <v>1</v>
      </c>
      <c r="N4702">
        <v>7</v>
      </c>
      <c r="O4702">
        <v>37.753500000000003</v>
      </c>
      <c r="P4702">
        <v>18.4849</v>
      </c>
      <c r="Q4702">
        <v>8.4833800000000004</v>
      </c>
    </row>
    <row r="4703" spans="1:17" x14ac:dyDescent="0.25">
      <c r="A4703" t="str">
        <f>IF(C4703&amp;G4703&amp;D4703&lt;&gt;'Funnel setup'!$K$3&amp;'Funnel setup'!$K$4&amp;'Funnel setup'!$K$6,".",IF(A4702=".",1,A4702+1))</f>
        <v>.</v>
      </c>
      <c r="B4703" s="244" t="str">
        <f t="shared" si="73"/>
        <v>Total Knee ReplacementSub-ICB of GP PracticeNHS LANCASHIRE AND SOUTH CUMBRIA ICB - 01E (01E)Oxford Knee Score</v>
      </c>
      <c r="C4703" t="s">
        <v>975</v>
      </c>
      <c r="D4703" t="s">
        <v>1021</v>
      </c>
      <c r="E4703" t="s">
        <v>855</v>
      </c>
      <c r="F4703" t="s">
        <v>856</v>
      </c>
      <c r="G4703" t="s">
        <v>972</v>
      </c>
      <c r="H4703">
        <v>75</v>
      </c>
      <c r="I4703">
        <v>19.7867</v>
      </c>
      <c r="J4703">
        <v>39.293300000000002</v>
      </c>
      <c r="K4703">
        <v>19.506699999999999</v>
      </c>
      <c r="L4703">
        <v>72</v>
      </c>
      <c r="M4703">
        <v>1</v>
      </c>
      <c r="N4703">
        <v>2</v>
      </c>
      <c r="O4703">
        <v>39.228900000000003</v>
      </c>
      <c r="P4703">
        <v>19.9603</v>
      </c>
      <c r="Q4703">
        <v>8.9538799999999998</v>
      </c>
    </row>
    <row r="4704" spans="1:17" x14ac:dyDescent="0.25">
      <c r="A4704" t="str">
        <f>IF(C4704&amp;G4704&amp;D4704&lt;&gt;'Funnel setup'!$K$3&amp;'Funnel setup'!$K$4&amp;'Funnel setup'!$K$6,".",IF(A4703=".",1,A4703+1))</f>
        <v>.</v>
      </c>
      <c r="B4704" s="244" t="str">
        <f t="shared" si="73"/>
        <v>Total Knee ReplacementSub-ICB of GP PracticeNHS LANCASHIRE AND SOUTH CUMBRIA ICB - 01K (01K)Oxford Knee Score</v>
      </c>
      <c r="C4704" t="s">
        <v>975</v>
      </c>
      <c r="D4704" t="s">
        <v>1021</v>
      </c>
      <c r="E4704" t="s">
        <v>857</v>
      </c>
      <c r="F4704" t="s">
        <v>858</v>
      </c>
      <c r="G4704" t="s">
        <v>972</v>
      </c>
      <c r="H4704">
        <v>191</v>
      </c>
      <c r="I4704">
        <v>20.329799999999999</v>
      </c>
      <c r="J4704">
        <v>37.911000000000001</v>
      </c>
      <c r="K4704">
        <v>17.581199999999999</v>
      </c>
      <c r="L4704">
        <v>179</v>
      </c>
      <c r="M4704">
        <v>1</v>
      </c>
      <c r="N4704">
        <v>11</v>
      </c>
      <c r="O4704">
        <v>37.232100000000003</v>
      </c>
      <c r="P4704">
        <v>17.9635</v>
      </c>
      <c r="Q4704">
        <v>7.7560599999999997</v>
      </c>
    </row>
    <row r="4705" spans="1:17" x14ac:dyDescent="0.25">
      <c r="A4705" t="str">
        <f>IF(C4705&amp;G4705&amp;D4705&lt;&gt;'Funnel setup'!$K$3&amp;'Funnel setup'!$K$4&amp;'Funnel setup'!$K$6,".",IF(A4704=".",1,A4704+1))</f>
        <v>.</v>
      </c>
      <c r="B4705" s="244" t="str">
        <f t="shared" si="73"/>
        <v>Total Knee ReplacementSub-ICB of GP PracticeNHS LANCASHIRE AND SOUTH CUMBRIA ICB - 02G (02G)Oxford Knee Score</v>
      </c>
      <c r="C4705" t="s">
        <v>975</v>
      </c>
      <c r="D4705" t="s">
        <v>1021</v>
      </c>
      <c r="E4705" t="s">
        <v>859</v>
      </c>
      <c r="F4705" t="s">
        <v>860</v>
      </c>
      <c r="G4705" t="s">
        <v>972</v>
      </c>
      <c r="H4705">
        <v>22</v>
      </c>
      <c r="I4705">
        <v>15.818199999999999</v>
      </c>
      <c r="J4705">
        <v>39.636400000000002</v>
      </c>
      <c r="K4705">
        <v>23.818200000000001</v>
      </c>
      <c r="L4705">
        <v>22</v>
      </c>
      <c r="M4705">
        <v>0</v>
      </c>
      <c r="N4705">
        <v>0</v>
      </c>
      <c r="O4705" t="s">
        <v>127</v>
      </c>
      <c r="P4705" t="s">
        <v>127</v>
      </c>
      <c r="Q4705" t="s">
        <v>127</v>
      </c>
    </row>
    <row r="4706" spans="1:17" x14ac:dyDescent="0.25">
      <c r="A4706" t="str">
        <f>IF(C4706&amp;G4706&amp;D4706&lt;&gt;'Funnel setup'!$K$3&amp;'Funnel setup'!$K$4&amp;'Funnel setup'!$K$6,".",IF(A4705=".",1,A4705+1))</f>
        <v>.</v>
      </c>
      <c r="B4706" s="244" t="str">
        <f t="shared" si="73"/>
        <v>Total Knee ReplacementSub-ICB of GP PracticeNHS LANCASHIRE AND SOUTH CUMBRIA ICB - 02M (02M)Oxford Knee Score</v>
      </c>
      <c r="C4706" t="s">
        <v>975</v>
      </c>
      <c r="D4706" t="s">
        <v>1021</v>
      </c>
      <c r="E4706" t="s">
        <v>861</v>
      </c>
      <c r="F4706" t="s">
        <v>862</v>
      </c>
      <c r="G4706" t="s">
        <v>972</v>
      </c>
      <c r="H4706">
        <v>71</v>
      </c>
      <c r="I4706">
        <v>22.126799999999999</v>
      </c>
      <c r="J4706">
        <v>37.549300000000002</v>
      </c>
      <c r="K4706">
        <v>15.422499999999999</v>
      </c>
      <c r="L4706">
        <v>65</v>
      </c>
      <c r="M4706">
        <v>1</v>
      </c>
      <c r="N4706">
        <v>5</v>
      </c>
      <c r="O4706">
        <v>36.148899999999998</v>
      </c>
      <c r="P4706">
        <v>16.880199999999999</v>
      </c>
      <c r="Q4706">
        <v>8.1343800000000002</v>
      </c>
    </row>
    <row r="4707" spans="1:17" x14ac:dyDescent="0.25">
      <c r="A4707" t="str">
        <f>IF(C4707&amp;G4707&amp;D4707&lt;&gt;'Funnel setup'!$K$3&amp;'Funnel setup'!$K$4&amp;'Funnel setup'!$K$6,".",IF(A4706=".",1,A4706+1))</f>
        <v>.</v>
      </c>
      <c r="B4707" s="244" t="str">
        <f t="shared" si="73"/>
        <v>Total Knee ReplacementSub-ICB of GP PracticeNHS LEICESTER, LEICESTERSHIRE AND RUTLAND ICB - 03W (03W)Oxford Knee Score</v>
      </c>
      <c r="C4707" t="s">
        <v>975</v>
      </c>
      <c r="D4707" t="s">
        <v>1021</v>
      </c>
      <c r="E4707" t="s">
        <v>863</v>
      </c>
      <c r="F4707" t="s">
        <v>864</v>
      </c>
      <c r="G4707" t="s">
        <v>972</v>
      </c>
      <c r="H4707">
        <v>151</v>
      </c>
      <c r="I4707">
        <v>18.542999999999999</v>
      </c>
      <c r="J4707">
        <v>37.006599999999999</v>
      </c>
      <c r="K4707">
        <v>18.4636</v>
      </c>
      <c r="L4707">
        <v>145</v>
      </c>
      <c r="M4707">
        <v>1</v>
      </c>
      <c r="N4707">
        <v>5</v>
      </c>
      <c r="O4707">
        <v>37.006100000000004</v>
      </c>
      <c r="P4707">
        <v>17.737400000000001</v>
      </c>
      <c r="Q4707">
        <v>7.5447499999999996</v>
      </c>
    </row>
    <row r="4708" spans="1:17" x14ac:dyDescent="0.25">
      <c r="A4708" t="str">
        <f>IF(C4708&amp;G4708&amp;D4708&lt;&gt;'Funnel setup'!$K$3&amp;'Funnel setup'!$K$4&amp;'Funnel setup'!$K$6,".",IF(A4707=".",1,A4707+1))</f>
        <v>.</v>
      </c>
      <c r="B4708" s="244" t="str">
        <f t="shared" si="73"/>
        <v>Total Knee ReplacementSub-ICB of GP PracticeNHS LEICESTER, LEICESTERSHIRE AND RUTLAND ICB - 04C (04C)Oxford Knee Score</v>
      </c>
      <c r="C4708" t="s">
        <v>975</v>
      </c>
      <c r="D4708" t="s">
        <v>1021</v>
      </c>
      <c r="E4708" t="s">
        <v>865</v>
      </c>
      <c r="F4708" t="s">
        <v>866</v>
      </c>
      <c r="G4708" t="s">
        <v>972</v>
      </c>
      <c r="H4708">
        <v>49</v>
      </c>
      <c r="I4708">
        <v>16.918399999999998</v>
      </c>
      <c r="J4708">
        <v>29.2041</v>
      </c>
      <c r="K4708">
        <v>12.2857</v>
      </c>
      <c r="L4708">
        <v>43</v>
      </c>
      <c r="M4708">
        <v>1</v>
      </c>
      <c r="N4708">
        <v>5</v>
      </c>
      <c r="O4708">
        <v>32.586199999999998</v>
      </c>
      <c r="P4708">
        <v>13.317500000000001</v>
      </c>
      <c r="Q4708">
        <v>8.9499600000000008</v>
      </c>
    </row>
    <row r="4709" spans="1:17" x14ac:dyDescent="0.25">
      <c r="A4709" t="str">
        <f>IF(C4709&amp;G4709&amp;D4709&lt;&gt;'Funnel setup'!$K$3&amp;'Funnel setup'!$K$4&amp;'Funnel setup'!$K$6,".",IF(A4708=".",1,A4708+1))</f>
        <v>.</v>
      </c>
      <c r="B4709" s="244" t="str">
        <f t="shared" si="73"/>
        <v>Total Knee ReplacementSub-ICB of GP PracticeNHS LEICESTER, LEICESTERSHIRE AND RUTLAND ICB - 04V (04V)Oxford Knee Score</v>
      </c>
      <c r="C4709" t="s">
        <v>975</v>
      </c>
      <c r="D4709" t="s">
        <v>1021</v>
      </c>
      <c r="E4709" t="s">
        <v>867</v>
      </c>
      <c r="F4709" t="s">
        <v>868</v>
      </c>
      <c r="G4709" t="s">
        <v>972</v>
      </c>
      <c r="H4709">
        <v>170</v>
      </c>
      <c r="I4709">
        <v>17.6647</v>
      </c>
      <c r="J4709">
        <v>35.688200000000002</v>
      </c>
      <c r="K4709">
        <v>18.023499999999999</v>
      </c>
      <c r="L4709">
        <v>162</v>
      </c>
      <c r="M4709">
        <v>2</v>
      </c>
      <c r="N4709">
        <v>6</v>
      </c>
      <c r="O4709">
        <v>36.3245</v>
      </c>
      <c r="P4709">
        <v>17.055900000000001</v>
      </c>
      <c r="Q4709">
        <v>8.2380600000000008</v>
      </c>
    </row>
    <row r="4710" spans="1:17" x14ac:dyDescent="0.25">
      <c r="A4710" t="str">
        <f>IF(C4710&amp;G4710&amp;D4710&lt;&gt;'Funnel setup'!$K$3&amp;'Funnel setup'!$K$4&amp;'Funnel setup'!$K$6,".",IF(A4709=".",1,A4709+1))</f>
        <v>.</v>
      </c>
      <c r="B4710" s="244" t="str">
        <f t="shared" si="73"/>
        <v>Total Knee ReplacementSub-ICB of GP PracticeNHS LINCOLNSHIRE ICB - 71E (71E)Oxford Knee Score</v>
      </c>
      <c r="C4710" t="s">
        <v>975</v>
      </c>
      <c r="D4710" t="s">
        <v>1021</v>
      </c>
      <c r="E4710" t="s">
        <v>869</v>
      </c>
      <c r="F4710" t="s">
        <v>870</v>
      </c>
      <c r="G4710" t="s">
        <v>972</v>
      </c>
      <c r="H4710">
        <v>302</v>
      </c>
      <c r="I4710">
        <v>20.1556</v>
      </c>
      <c r="J4710">
        <v>38.042999999999999</v>
      </c>
      <c r="K4710">
        <v>17.8874</v>
      </c>
      <c r="L4710">
        <v>291</v>
      </c>
      <c r="M4710">
        <v>4</v>
      </c>
      <c r="N4710">
        <v>7</v>
      </c>
      <c r="O4710">
        <v>37.091799999999999</v>
      </c>
      <c r="P4710">
        <v>17.8232</v>
      </c>
      <c r="Q4710">
        <v>7.3430900000000001</v>
      </c>
    </row>
    <row r="4711" spans="1:17" x14ac:dyDescent="0.25">
      <c r="A4711" t="str">
        <f>IF(C4711&amp;G4711&amp;D4711&lt;&gt;'Funnel setup'!$K$3&amp;'Funnel setup'!$K$4&amp;'Funnel setup'!$K$6,".",IF(A4710=".",1,A4710+1))</f>
        <v>.</v>
      </c>
      <c r="B4711" s="244" t="str">
        <f t="shared" si="73"/>
        <v>Total Knee ReplacementSub-ICB of GP PracticeNHS MID AND SOUTH ESSEX ICB - 06Q (06Q)Oxford Knee Score</v>
      </c>
      <c r="C4711" t="s">
        <v>975</v>
      </c>
      <c r="D4711" t="s">
        <v>1021</v>
      </c>
      <c r="E4711" t="s">
        <v>871</v>
      </c>
      <c r="F4711" t="s">
        <v>872</v>
      </c>
      <c r="G4711" t="s">
        <v>972</v>
      </c>
      <c r="H4711">
        <v>132</v>
      </c>
      <c r="I4711">
        <v>18.068200000000001</v>
      </c>
      <c r="J4711">
        <v>37.060600000000001</v>
      </c>
      <c r="K4711">
        <v>18.9924</v>
      </c>
      <c r="L4711">
        <v>125</v>
      </c>
      <c r="M4711">
        <v>1</v>
      </c>
      <c r="N4711">
        <v>6</v>
      </c>
      <c r="O4711">
        <v>36.696899999999999</v>
      </c>
      <c r="P4711">
        <v>17.4282</v>
      </c>
      <c r="Q4711">
        <v>9.8477700000000006</v>
      </c>
    </row>
    <row r="4712" spans="1:17" x14ac:dyDescent="0.25">
      <c r="A4712" t="str">
        <f>IF(C4712&amp;G4712&amp;D4712&lt;&gt;'Funnel setup'!$K$3&amp;'Funnel setup'!$K$4&amp;'Funnel setup'!$K$6,".",IF(A4711=".",1,A4711+1))</f>
        <v>.</v>
      </c>
      <c r="B4712" s="244" t="str">
        <f t="shared" si="73"/>
        <v>Total Knee ReplacementSub-ICB of GP PracticeNHS MID AND SOUTH ESSEX ICB - 07G (07G)Oxford Knee Score</v>
      </c>
      <c r="C4712" t="s">
        <v>975</v>
      </c>
      <c r="D4712" t="s">
        <v>1021</v>
      </c>
      <c r="E4712" t="s">
        <v>873</v>
      </c>
      <c r="F4712" t="s">
        <v>874</v>
      </c>
      <c r="G4712" t="s">
        <v>972</v>
      </c>
      <c r="H4712">
        <v>31</v>
      </c>
      <c r="I4712">
        <v>15.129</v>
      </c>
      <c r="J4712">
        <v>36.258099999999999</v>
      </c>
      <c r="K4712">
        <v>21.129000000000001</v>
      </c>
      <c r="L4712">
        <v>30</v>
      </c>
      <c r="M4712">
        <v>0</v>
      </c>
      <c r="N4712">
        <v>1</v>
      </c>
      <c r="O4712">
        <v>39.159300000000002</v>
      </c>
      <c r="P4712">
        <v>19.890699999999999</v>
      </c>
      <c r="Q4712">
        <v>9.1222999999999992</v>
      </c>
    </row>
    <row r="4713" spans="1:17" x14ac:dyDescent="0.25">
      <c r="A4713" t="str">
        <f>IF(C4713&amp;G4713&amp;D4713&lt;&gt;'Funnel setup'!$K$3&amp;'Funnel setup'!$K$4&amp;'Funnel setup'!$K$6,".",IF(A4712=".",1,A4712+1))</f>
        <v>.</v>
      </c>
      <c r="B4713" s="244" t="str">
        <f t="shared" si="73"/>
        <v>Total Knee ReplacementSub-ICB of GP PracticeNHS MID AND SOUTH ESSEX ICB - 99E (99E)Oxford Knee Score</v>
      </c>
      <c r="C4713" t="s">
        <v>975</v>
      </c>
      <c r="D4713" t="s">
        <v>1021</v>
      </c>
      <c r="E4713" t="s">
        <v>875</v>
      </c>
      <c r="F4713" t="s">
        <v>876</v>
      </c>
      <c r="G4713" t="s">
        <v>972</v>
      </c>
      <c r="H4713">
        <v>61</v>
      </c>
      <c r="I4713">
        <v>16.721299999999999</v>
      </c>
      <c r="J4713">
        <v>35.360700000000001</v>
      </c>
      <c r="K4713">
        <v>18.639299999999999</v>
      </c>
      <c r="L4713">
        <v>56</v>
      </c>
      <c r="M4713">
        <v>0</v>
      </c>
      <c r="N4713">
        <v>5</v>
      </c>
      <c r="O4713">
        <v>36.603200000000001</v>
      </c>
      <c r="P4713">
        <v>17.334599999999998</v>
      </c>
      <c r="Q4713">
        <v>11.2173</v>
      </c>
    </row>
    <row r="4714" spans="1:17" x14ac:dyDescent="0.25">
      <c r="A4714" t="str">
        <f>IF(C4714&amp;G4714&amp;D4714&lt;&gt;'Funnel setup'!$K$3&amp;'Funnel setup'!$K$4&amp;'Funnel setup'!$K$6,".",IF(A4713=".",1,A4713+1))</f>
        <v>.</v>
      </c>
      <c r="B4714" s="244" t="str">
        <f t="shared" si="73"/>
        <v>Total Knee ReplacementSub-ICB of GP PracticeNHS MID AND SOUTH ESSEX ICB - 99F (99F)Oxford Knee Score</v>
      </c>
      <c r="C4714" t="s">
        <v>975</v>
      </c>
      <c r="D4714" t="s">
        <v>1021</v>
      </c>
      <c r="E4714" t="s">
        <v>877</v>
      </c>
      <c r="F4714" t="s">
        <v>878</v>
      </c>
      <c r="G4714" t="s">
        <v>972</v>
      </c>
      <c r="H4714">
        <v>36</v>
      </c>
      <c r="I4714">
        <v>18</v>
      </c>
      <c r="J4714">
        <v>33.694400000000002</v>
      </c>
      <c r="K4714">
        <v>15.6944</v>
      </c>
      <c r="L4714">
        <v>32</v>
      </c>
      <c r="M4714">
        <v>1</v>
      </c>
      <c r="N4714">
        <v>3</v>
      </c>
      <c r="O4714">
        <v>34.019199999999998</v>
      </c>
      <c r="P4714">
        <v>14.750500000000001</v>
      </c>
      <c r="Q4714">
        <v>10.6492</v>
      </c>
    </row>
    <row r="4715" spans="1:17" x14ac:dyDescent="0.25">
      <c r="A4715" t="str">
        <f>IF(C4715&amp;G4715&amp;D4715&lt;&gt;'Funnel setup'!$K$3&amp;'Funnel setup'!$K$4&amp;'Funnel setup'!$K$6,".",IF(A4714=".",1,A4714+1))</f>
        <v>.</v>
      </c>
      <c r="B4715" s="244" t="str">
        <f t="shared" si="73"/>
        <v>Total Knee ReplacementSub-ICB of GP PracticeNHS MID AND SOUTH ESSEX ICB - 99G (99G)Oxford Knee Score</v>
      </c>
      <c r="C4715" t="s">
        <v>975</v>
      </c>
      <c r="D4715" t="s">
        <v>1021</v>
      </c>
      <c r="E4715" t="s">
        <v>879</v>
      </c>
      <c r="F4715" t="s">
        <v>880</v>
      </c>
      <c r="G4715" t="s">
        <v>972</v>
      </c>
      <c r="H4715">
        <v>13</v>
      </c>
      <c r="I4715">
        <v>19.692299999999999</v>
      </c>
      <c r="J4715">
        <v>36.923099999999998</v>
      </c>
      <c r="K4715">
        <v>17.230799999999999</v>
      </c>
      <c r="L4715">
        <v>11</v>
      </c>
      <c r="M4715">
        <v>0</v>
      </c>
      <c r="N4715">
        <v>2</v>
      </c>
      <c r="O4715" t="s">
        <v>127</v>
      </c>
      <c r="P4715" t="s">
        <v>127</v>
      </c>
      <c r="Q4715" t="s">
        <v>127</v>
      </c>
    </row>
    <row r="4716" spans="1:17" x14ac:dyDescent="0.25">
      <c r="A4716" t="str">
        <f>IF(C4716&amp;G4716&amp;D4716&lt;&gt;'Funnel setup'!$K$3&amp;'Funnel setup'!$K$4&amp;'Funnel setup'!$K$6,".",IF(A4715=".",1,A4715+1))</f>
        <v>.</v>
      </c>
      <c r="B4716" s="244" t="str">
        <f t="shared" si="73"/>
        <v>Total Knee ReplacementSub-ICB of GP PracticeNHS NORFOLK AND WAVENEY ICB - 26A (26A)Oxford Knee Score</v>
      </c>
      <c r="C4716" t="s">
        <v>975</v>
      </c>
      <c r="D4716" t="s">
        <v>1021</v>
      </c>
      <c r="E4716" t="s">
        <v>881</v>
      </c>
      <c r="F4716" t="s">
        <v>882</v>
      </c>
      <c r="G4716" t="s">
        <v>972</v>
      </c>
      <c r="H4716">
        <v>339</v>
      </c>
      <c r="I4716">
        <v>17.244800000000001</v>
      </c>
      <c r="J4716">
        <v>34.914499999999997</v>
      </c>
      <c r="K4716">
        <v>17.669599999999999</v>
      </c>
      <c r="L4716">
        <v>322</v>
      </c>
      <c r="M4716">
        <v>4</v>
      </c>
      <c r="N4716">
        <v>13</v>
      </c>
      <c r="O4716">
        <v>36.28</v>
      </c>
      <c r="P4716">
        <v>17.011399999999998</v>
      </c>
      <c r="Q4716">
        <v>8.7979599999999998</v>
      </c>
    </row>
    <row r="4717" spans="1:17" x14ac:dyDescent="0.25">
      <c r="A4717" t="str">
        <f>IF(C4717&amp;G4717&amp;D4717&lt;&gt;'Funnel setup'!$K$3&amp;'Funnel setup'!$K$4&amp;'Funnel setup'!$K$6,".",IF(A4716=".",1,A4716+1))</f>
        <v>.</v>
      </c>
      <c r="B4717" s="244" t="str">
        <f t="shared" si="73"/>
        <v>Total Knee ReplacementSub-ICB of GP PracticeNHS NORTH CENTRAL LONDON ICB - 93C (93C)Oxford Knee Score</v>
      </c>
      <c r="C4717" t="s">
        <v>975</v>
      </c>
      <c r="D4717" t="s">
        <v>1021</v>
      </c>
      <c r="E4717" t="s">
        <v>883</v>
      </c>
      <c r="F4717" t="s">
        <v>884</v>
      </c>
      <c r="G4717" t="s">
        <v>972</v>
      </c>
      <c r="H4717">
        <v>172</v>
      </c>
      <c r="I4717">
        <v>20.924399999999999</v>
      </c>
      <c r="J4717">
        <v>35.232599999999998</v>
      </c>
      <c r="K4717">
        <v>14.3081</v>
      </c>
      <c r="L4717">
        <v>154</v>
      </c>
      <c r="M4717">
        <v>2</v>
      </c>
      <c r="N4717">
        <v>16</v>
      </c>
      <c r="O4717">
        <v>35.519500000000001</v>
      </c>
      <c r="P4717">
        <v>16.250900000000001</v>
      </c>
      <c r="Q4717">
        <v>8.6821699999999993</v>
      </c>
    </row>
    <row r="4718" spans="1:17" x14ac:dyDescent="0.25">
      <c r="A4718" t="str">
        <f>IF(C4718&amp;G4718&amp;D4718&lt;&gt;'Funnel setup'!$K$3&amp;'Funnel setup'!$K$4&amp;'Funnel setup'!$K$6,".",IF(A4717=".",1,A4717+1))</f>
        <v>.</v>
      </c>
      <c r="B4718" s="244" t="str">
        <f t="shared" si="73"/>
        <v>Total Knee ReplacementSub-ICB of GP PracticeNHS NORTH EAST AND NORTH CUMBRIA ICB - 00L (00L)Oxford Knee Score</v>
      </c>
      <c r="C4718" t="s">
        <v>975</v>
      </c>
      <c r="D4718" t="s">
        <v>1021</v>
      </c>
      <c r="E4718" t="s">
        <v>885</v>
      </c>
      <c r="F4718" t="s">
        <v>886</v>
      </c>
      <c r="G4718" t="s">
        <v>972</v>
      </c>
      <c r="H4718">
        <v>211</v>
      </c>
      <c r="I4718">
        <v>18.554500000000001</v>
      </c>
      <c r="J4718">
        <v>38.246400000000001</v>
      </c>
      <c r="K4718">
        <v>19.6919</v>
      </c>
      <c r="L4718">
        <v>208</v>
      </c>
      <c r="M4718">
        <v>0</v>
      </c>
      <c r="N4718">
        <v>3</v>
      </c>
      <c r="O4718">
        <v>38.451799999999999</v>
      </c>
      <c r="P4718">
        <v>19.183199999999999</v>
      </c>
      <c r="Q4718">
        <v>7.8397300000000003</v>
      </c>
    </row>
    <row r="4719" spans="1:17" x14ac:dyDescent="0.25">
      <c r="A4719" t="str">
        <f>IF(C4719&amp;G4719&amp;D4719&lt;&gt;'Funnel setup'!$K$3&amp;'Funnel setup'!$K$4&amp;'Funnel setup'!$K$6,".",IF(A4718=".",1,A4718+1))</f>
        <v>.</v>
      </c>
      <c r="B4719" s="244" t="str">
        <f t="shared" si="73"/>
        <v>Total Knee ReplacementSub-ICB of GP PracticeNHS NORTH EAST AND NORTH CUMBRIA ICB - 00N (00N)Oxford Knee Score</v>
      </c>
      <c r="C4719" t="s">
        <v>975</v>
      </c>
      <c r="D4719" t="s">
        <v>1021</v>
      </c>
      <c r="E4719" t="s">
        <v>887</v>
      </c>
      <c r="F4719" t="s">
        <v>888</v>
      </c>
      <c r="G4719" t="s">
        <v>972</v>
      </c>
      <c r="H4719">
        <v>9</v>
      </c>
      <c r="I4719">
        <v>17.555599999999998</v>
      </c>
      <c r="J4719">
        <v>41.333300000000001</v>
      </c>
      <c r="K4719">
        <v>23.777799999999999</v>
      </c>
      <c r="L4719">
        <v>9</v>
      </c>
      <c r="M4719">
        <v>0</v>
      </c>
      <c r="N4719">
        <v>0</v>
      </c>
      <c r="O4719" t="s">
        <v>127</v>
      </c>
      <c r="P4719" t="s">
        <v>127</v>
      </c>
      <c r="Q4719" t="s">
        <v>127</v>
      </c>
    </row>
    <row r="4720" spans="1:17" x14ac:dyDescent="0.25">
      <c r="A4720" t="str">
        <f>IF(C4720&amp;G4720&amp;D4720&lt;&gt;'Funnel setup'!$K$3&amp;'Funnel setup'!$K$4&amp;'Funnel setup'!$K$6,".",IF(A4719=".",1,A4719+1))</f>
        <v>.</v>
      </c>
      <c r="B4720" s="244" t="str">
        <f t="shared" si="73"/>
        <v>Total Knee ReplacementSub-ICB of GP PracticeNHS NORTH EAST AND NORTH CUMBRIA ICB - 00P (00P)Oxford Knee Score</v>
      </c>
      <c r="C4720" t="s">
        <v>975</v>
      </c>
      <c r="D4720" t="s">
        <v>1021</v>
      </c>
      <c r="E4720" t="s">
        <v>889</v>
      </c>
      <c r="F4720" t="s">
        <v>890</v>
      </c>
      <c r="G4720" t="s">
        <v>972</v>
      </c>
      <c r="H4720">
        <v>25</v>
      </c>
      <c r="I4720">
        <v>16.04</v>
      </c>
      <c r="J4720">
        <v>35.6</v>
      </c>
      <c r="K4720">
        <v>19.559999999999999</v>
      </c>
      <c r="L4720">
        <v>24</v>
      </c>
      <c r="M4720">
        <v>0</v>
      </c>
      <c r="N4720">
        <v>1</v>
      </c>
      <c r="O4720" t="s">
        <v>127</v>
      </c>
      <c r="P4720" t="s">
        <v>127</v>
      </c>
      <c r="Q4720" t="s">
        <v>127</v>
      </c>
    </row>
    <row r="4721" spans="1:17" x14ac:dyDescent="0.25">
      <c r="A4721" t="str">
        <f>IF(C4721&amp;G4721&amp;D4721&lt;&gt;'Funnel setup'!$K$3&amp;'Funnel setup'!$K$4&amp;'Funnel setup'!$K$6,".",IF(A4720=".",1,A4720+1))</f>
        <v>.</v>
      </c>
      <c r="B4721" s="244" t="str">
        <f t="shared" si="73"/>
        <v>Total Knee ReplacementSub-ICB of GP PracticeNHS NORTH EAST AND NORTH CUMBRIA ICB - 01H (01H)Oxford Knee Score</v>
      </c>
      <c r="C4721" t="s">
        <v>975</v>
      </c>
      <c r="D4721" t="s">
        <v>1021</v>
      </c>
      <c r="E4721" t="s">
        <v>891</v>
      </c>
      <c r="F4721" t="s">
        <v>892</v>
      </c>
      <c r="G4721" t="s">
        <v>972</v>
      </c>
      <c r="H4721">
        <v>229</v>
      </c>
      <c r="I4721">
        <v>18.458500000000001</v>
      </c>
      <c r="J4721">
        <v>37.886499999999998</v>
      </c>
      <c r="K4721">
        <v>19.427900000000001</v>
      </c>
      <c r="L4721">
        <v>225</v>
      </c>
      <c r="M4721">
        <v>0</v>
      </c>
      <c r="N4721">
        <v>4</v>
      </c>
      <c r="O4721">
        <v>37.940600000000003</v>
      </c>
      <c r="P4721">
        <v>18.672000000000001</v>
      </c>
      <c r="Q4721">
        <v>7.5828699999999998</v>
      </c>
    </row>
    <row r="4722" spans="1:17" x14ac:dyDescent="0.25">
      <c r="A4722" t="str">
        <f>IF(C4722&amp;G4722&amp;D4722&lt;&gt;'Funnel setup'!$K$3&amp;'Funnel setup'!$K$4&amp;'Funnel setup'!$K$6,".",IF(A4721=".",1,A4721+1))</f>
        <v>.</v>
      </c>
      <c r="B4722" s="244" t="str">
        <f t="shared" si="73"/>
        <v>Total Knee ReplacementSub-ICB of GP PracticeNHS NORTH EAST AND NORTH CUMBRIA ICB - 13T (13T)Oxford Knee Score</v>
      </c>
      <c r="C4722" t="s">
        <v>975</v>
      </c>
      <c r="D4722" t="s">
        <v>1021</v>
      </c>
      <c r="E4722" t="s">
        <v>893</v>
      </c>
      <c r="F4722" t="s">
        <v>894</v>
      </c>
      <c r="G4722" t="s">
        <v>972</v>
      </c>
      <c r="H4722">
        <v>69</v>
      </c>
      <c r="I4722">
        <v>17.536200000000001</v>
      </c>
      <c r="J4722">
        <v>35.724600000000002</v>
      </c>
      <c r="K4722">
        <v>18.188400000000001</v>
      </c>
      <c r="L4722">
        <v>66</v>
      </c>
      <c r="M4722">
        <v>0</v>
      </c>
      <c r="N4722">
        <v>3</v>
      </c>
      <c r="O4722">
        <v>36.962000000000003</v>
      </c>
      <c r="P4722">
        <v>17.693300000000001</v>
      </c>
      <c r="Q4722">
        <v>9.2876300000000001</v>
      </c>
    </row>
    <row r="4723" spans="1:17" x14ac:dyDescent="0.25">
      <c r="A4723" t="str">
        <f>IF(C4723&amp;G4723&amp;D4723&lt;&gt;'Funnel setup'!$K$3&amp;'Funnel setup'!$K$4&amp;'Funnel setup'!$K$6,".",IF(A4722=".",1,A4722+1))</f>
        <v>.</v>
      </c>
      <c r="B4723" s="244" t="str">
        <f t="shared" si="73"/>
        <v>Total Knee ReplacementSub-ICB of GP PracticeNHS NORTH EAST AND NORTH CUMBRIA ICB - 16C (16C)Oxford Knee Score</v>
      </c>
      <c r="C4723" t="s">
        <v>975</v>
      </c>
      <c r="D4723" t="s">
        <v>1021</v>
      </c>
      <c r="E4723" t="s">
        <v>895</v>
      </c>
      <c r="F4723" t="s">
        <v>896</v>
      </c>
      <c r="G4723" t="s">
        <v>972</v>
      </c>
      <c r="H4723">
        <v>426</v>
      </c>
      <c r="I4723">
        <v>17.819199999999999</v>
      </c>
      <c r="J4723">
        <v>36.4131</v>
      </c>
      <c r="K4723">
        <v>18.593900000000001</v>
      </c>
      <c r="L4723">
        <v>401</v>
      </c>
      <c r="M4723">
        <v>4</v>
      </c>
      <c r="N4723">
        <v>21</v>
      </c>
      <c r="O4723">
        <v>37.304200000000002</v>
      </c>
      <c r="P4723">
        <v>18.035599999999999</v>
      </c>
      <c r="Q4723">
        <v>9.2078799999999994</v>
      </c>
    </row>
    <row r="4724" spans="1:17" x14ac:dyDescent="0.25">
      <c r="A4724" t="str">
        <f>IF(C4724&amp;G4724&amp;D4724&lt;&gt;'Funnel setup'!$K$3&amp;'Funnel setup'!$K$4&amp;'Funnel setup'!$K$6,".",IF(A4723=".",1,A4723+1))</f>
        <v>.</v>
      </c>
      <c r="B4724" s="244" t="str">
        <f t="shared" si="73"/>
        <v>Total Knee ReplacementSub-ICB of GP PracticeNHS NORTH EAST AND NORTH CUMBRIA ICB - 84H (84H)Oxford Knee Score</v>
      </c>
      <c r="C4724" t="s">
        <v>975</v>
      </c>
      <c r="D4724" t="s">
        <v>1021</v>
      </c>
      <c r="E4724" t="s">
        <v>897</v>
      </c>
      <c r="F4724" t="s">
        <v>898</v>
      </c>
      <c r="G4724" t="s">
        <v>972</v>
      </c>
      <c r="H4724">
        <v>308</v>
      </c>
      <c r="I4724">
        <v>18.769500000000001</v>
      </c>
      <c r="J4724">
        <v>36.704500000000003</v>
      </c>
      <c r="K4724">
        <v>17.935099999999998</v>
      </c>
      <c r="L4724">
        <v>295</v>
      </c>
      <c r="M4724">
        <v>3</v>
      </c>
      <c r="N4724">
        <v>10</v>
      </c>
      <c r="O4724">
        <v>37.059800000000003</v>
      </c>
      <c r="P4724">
        <v>17.7912</v>
      </c>
      <c r="Q4724">
        <v>8.4618500000000001</v>
      </c>
    </row>
    <row r="4725" spans="1:17" x14ac:dyDescent="0.25">
      <c r="A4725" t="str">
        <f>IF(C4725&amp;G4725&amp;D4725&lt;&gt;'Funnel setup'!$K$3&amp;'Funnel setup'!$K$4&amp;'Funnel setup'!$K$6,".",IF(A4724=".",1,A4724+1))</f>
        <v>.</v>
      </c>
      <c r="B4725" s="244" t="str">
        <f t="shared" si="73"/>
        <v>Total Knee ReplacementSub-ICB of GP PracticeNHS NORTH EAST AND NORTH CUMBRIA ICB - 99C (99C)Oxford Knee Score</v>
      </c>
      <c r="C4725" t="s">
        <v>975</v>
      </c>
      <c r="D4725" t="s">
        <v>1021</v>
      </c>
      <c r="E4725" t="s">
        <v>899</v>
      </c>
      <c r="F4725" t="s">
        <v>900</v>
      </c>
      <c r="G4725" t="s">
        <v>972</v>
      </c>
      <c r="H4725">
        <v>107</v>
      </c>
      <c r="I4725">
        <v>19.542100000000001</v>
      </c>
      <c r="J4725">
        <v>37.485999999999997</v>
      </c>
      <c r="K4725">
        <v>17.943899999999999</v>
      </c>
      <c r="L4725">
        <v>104</v>
      </c>
      <c r="M4725">
        <v>0</v>
      </c>
      <c r="N4725">
        <v>3</v>
      </c>
      <c r="O4725">
        <v>37.569600000000001</v>
      </c>
      <c r="P4725">
        <v>18.300999999999998</v>
      </c>
      <c r="Q4725">
        <v>7.9435700000000002</v>
      </c>
    </row>
    <row r="4726" spans="1:17" x14ac:dyDescent="0.25">
      <c r="A4726" t="str">
        <f>IF(C4726&amp;G4726&amp;D4726&lt;&gt;'Funnel setup'!$K$3&amp;'Funnel setup'!$K$4&amp;'Funnel setup'!$K$6,".",IF(A4725=".",1,A4725+1))</f>
        <v>.</v>
      </c>
      <c r="B4726" s="244" t="str">
        <f t="shared" si="73"/>
        <v>Total Knee ReplacementSub-ICB of GP PracticeNHS NORTH EAST LONDON ICB - A3A8R (A3A8R)Oxford Knee Score</v>
      </c>
      <c r="C4726" t="s">
        <v>975</v>
      </c>
      <c r="D4726" t="s">
        <v>1021</v>
      </c>
      <c r="E4726" t="s">
        <v>901</v>
      </c>
      <c r="F4726" t="s">
        <v>902</v>
      </c>
      <c r="G4726" t="s">
        <v>972</v>
      </c>
      <c r="H4726">
        <v>249</v>
      </c>
      <c r="I4726">
        <v>17.501999999999999</v>
      </c>
      <c r="J4726">
        <v>33.080300000000001</v>
      </c>
      <c r="K4726">
        <v>15.5783</v>
      </c>
      <c r="L4726">
        <v>227</v>
      </c>
      <c r="M4726">
        <v>0</v>
      </c>
      <c r="N4726">
        <v>22</v>
      </c>
      <c r="O4726">
        <v>35.205800000000004</v>
      </c>
      <c r="P4726">
        <v>15.937200000000001</v>
      </c>
      <c r="Q4726">
        <v>9.3843200000000007</v>
      </c>
    </row>
    <row r="4727" spans="1:17" x14ac:dyDescent="0.25">
      <c r="A4727" t="str">
        <f>IF(C4727&amp;G4727&amp;D4727&lt;&gt;'Funnel setup'!$K$3&amp;'Funnel setup'!$K$4&amp;'Funnel setup'!$K$6,".",IF(A4726=".",1,A4726+1))</f>
        <v>.</v>
      </c>
      <c r="B4727" s="244" t="str">
        <f t="shared" si="73"/>
        <v>Total Knee ReplacementSub-ICB of GP PracticeNHS NORTH WEST LONDON ICB - W2U3Z (W2U3Z)Oxford Knee Score</v>
      </c>
      <c r="C4727" t="s">
        <v>975</v>
      </c>
      <c r="D4727" t="s">
        <v>1021</v>
      </c>
      <c r="E4727" t="s">
        <v>903</v>
      </c>
      <c r="F4727" t="s">
        <v>904</v>
      </c>
      <c r="G4727" t="s">
        <v>972</v>
      </c>
      <c r="H4727">
        <v>213</v>
      </c>
      <c r="I4727">
        <v>19.9343</v>
      </c>
      <c r="J4727">
        <v>34.506999999999998</v>
      </c>
      <c r="K4727">
        <v>14.572800000000001</v>
      </c>
      <c r="L4727">
        <v>202</v>
      </c>
      <c r="M4727">
        <v>2</v>
      </c>
      <c r="N4727">
        <v>9</v>
      </c>
      <c r="O4727">
        <v>35.067500000000003</v>
      </c>
      <c r="P4727">
        <v>15.7989</v>
      </c>
      <c r="Q4727">
        <v>8.3043899999999997</v>
      </c>
    </row>
    <row r="4728" spans="1:17" x14ac:dyDescent="0.25">
      <c r="A4728" t="str">
        <f>IF(C4728&amp;G4728&amp;D4728&lt;&gt;'Funnel setup'!$K$3&amp;'Funnel setup'!$K$4&amp;'Funnel setup'!$K$6,".",IF(A4727=".",1,A4727+1))</f>
        <v>.</v>
      </c>
      <c r="B4728" s="244" t="str">
        <f t="shared" si="73"/>
        <v>Total Knee ReplacementSub-ICB of GP PracticeNHS NORTHAMPTONSHIRE ICB - 78H (78H)Oxford Knee Score</v>
      </c>
      <c r="C4728" t="s">
        <v>975</v>
      </c>
      <c r="D4728" t="s">
        <v>1021</v>
      </c>
      <c r="E4728" t="s">
        <v>905</v>
      </c>
      <c r="F4728" t="s">
        <v>906</v>
      </c>
      <c r="G4728" t="s">
        <v>972</v>
      </c>
      <c r="H4728">
        <v>254</v>
      </c>
      <c r="I4728">
        <v>17.878</v>
      </c>
      <c r="J4728">
        <v>36.602400000000003</v>
      </c>
      <c r="K4728">
        <v>18.724399999999999</v>
      </c>
      <c r="L4728">
        <v>244</v>
      </c>
      <c r="M4728">
        <v>3</v>
      </c>
      <c r="N4728">
        <v>7</v>
      </c>
      <c r="O4728">
        <v>36.851999999999997</v>
      </c>
      <c r="P4728">
        <v>17.583300000000001</v>
      </c>
      <c r="Q4728">
        <v>8.7824100000000005</v>
      </c>
    </row>
    <row r="4729" spans="1:17" x14ac:dyDescent="0.25">
      <c r="A4729" t="str">
        <f>IF(C4729&amp;G4729&amp;D4729&lt;&gt;'Funnel setup'!$K$3&amp;'Funnel setup'!$K$4&amp;'Funnel setup'!$K$6,".",IF(A4728=".",1,A4728+1))</f>
        <v>.</v>
      </c>
      <c r="B4729" s="244" t="str">
        <f t="shared" si="73"/>
        <v>Total Knee ReplacementSub-ICB of GP PracticeNHS NOTTINGHAM AND NOTTINGHAMSHIRE ICB - 02Q (02Q)Oxford Knee Score</v>
      </c>
      <c r="C4729" t="s">
        <v>975</v>
      </c>
      <c r="D4729" t="s">
        <v>1021</v>
      </c>
      <c r="E4729" t="s">
        <v>907</v>
      </c>
      <c r="F4729" t="s">
        <v>908</v>
      </c>
      <c r="G4729" t="s">
        <v>972</v>
      </c>
      <c r="H4729">
        <v>52</v>
      </c>
      <c r="I4729">
        <v>18</v>
      </c>
      <c r="J4729">
        <v>35.557699999999997</v>
      </c>
      <c r="K4729">
        <v>17.557700000000001</v>
      </c>
      <c r="L4729">
        <v>49</v>
      </c>
      <c r="M4729">
        <v>0</v>
      </c>
      <c r="N4729">
        <v>3</v>
      </c>
      <c r="O4729">
        <v>36.609299999999998</v>
      </c>
      <c r="P4729">
        <v>17.340599999999998</v>
      </c>
      <c r="Q4729">
        <v>9.2987099999999998</v>
      </c>
    </row>
    <row r="4730" spans="1:17" x14ac:dyDescent="0.25">
      <c r="A4730" t="str">
        <f>IF(C4730&amp;G4730&amp;D4730&lt;&gt;'Funnel setup'!$K$3&amp;'Funnel setup'!$K$4&amp;'Funnel setup'!$K$6,".",IF(A4729=".",1,A4729+1))</f>
        <v>.</v>
      </c>
      <c r="B4730" s="244" t="str">
        <f t="shared" si="73"/>
        <v>Total Knee ReplacementSub-ICB of GP PracticeNHS NOTTINGHAM AND NOTTINGHAMSHIRE ICB - 52R (52R)Oxford Knee Score</v>
      </c>
      <c r="C4730" t="s">
        <v>975</v>
      </c>
      <c r="D4730" t="s">
        <v>1021</v>
      </c>
      <c r="E4730" t="s">
        <v>909</v>
      </c>
      <c r="F4730" t="s">
        <v>910</v>
      </c>
      <c r="G4730" t="s">
        <v>972</v>
      </c>
      <c r="H4730">
        <v>222</v>
      </c>
      <c r="I4730">
        <v>19.171199999999999</v>
      </c>
      <c r="J4730">
        <v>36.648600000000002</v>
      </c>
      <c r="K4730">
        <v>17.477499999999999</v>
      </c>
      <c r="L4730">
        <v>210</v>
      </c>
      <c r="M4730">
        <v>0</v>
      </c>
      <c r="N4730">
        <v>12</v>
      </c>
      <c r="O4730">
        <v>36.076500000000003</v>
      </c>
      <c r="P4730">
        <v>16.8079</v>
      </c>
      <c r="Q4730">
        <v>8.6857900000000008</v>
      </c>
    </row>
    <row r="4731" spans="1:17" x14ac:dyDescent="0.25">
      <c r="A4731" t="str">
        <f>IF(C4731&amp;G4731&amp;D4731&lt;&gt;'Funnel setup'!$K$3&amp;'Funnel setup'!$K$4&amp;'Funnel setup'!$K$6,".",IF(A4730=".",1,A4730+1))</f>
        <v>.</v>
      </c>
      <c r="B4731" s="244" t="str">
        <f t="shared" si="73"/>
        <v>Total Knee ReplacementSub-ICB of GP PracticeNHS SHROPSHIRE, TELFORD AND WREKIN ICB - M2L0M (M2L0M)Oxford Knee Score</v>
      </c>
      <c r="C4731" t="s">
        <v>975</v>
      </c>
      <c r="D4731" t="s">
        <v>1021</v>
      </c>
      <c r="E4731" t="s">
        <v>911</v>
      </c>
      <c r="F4731" t="s">
        <v>912</v>
      </c>
      <c r="G4731" t="s">
        <v>972</v>
      </c>
      <c r="H4731">
        <v>204</v>
      </c>
      <c r="I4731">
        <v>16.558800000000002</v>
      </c>
      <c r="J4731">
        <v>36.573500000000003</v>
      </c>
      <c r="K4731">
        <v>20.014700000000001</v>
      </c>
      <c r="L4731">
        <v>199</v>
      </c>
      <c r="M4731">
        <v>1</v>
      </c>
      <c r="N4731">
        <v>4</v>
      </c>
      <c r="O4731">
        <v>38.1188</v>
      </c>
      <c r="P4731">
        <v>18.850200000000001</v>
      </c>
      <c r="Q4731">
        <v>7.9798999999999998</v>
      </c>
    </row>
    <row r="4732" spans="1:17" x14ac:dyDescent="0.25">
      <c r="A4732" t="str">
        <f>IF(C4732&amp;G4732&amp;D4732&lt;&gt;'Funnel setup'!$K$3&amp;'Funnel setup'!$K$4&amp;'Funnel setup'!$K$6,".",IF(A4731=".",1,A4731+1))</f>
        <v>.</v>
      </c>
      <c r="B4732" s="244" t="str">
        <f t="shared" si="73"/>
        <v>Total Knee ReplacementSub-ICB of GP PracticeNHS SOMERSET ICB - 11X (11X)Oxford Knee Score</v>
      </c>
      <c r="C4732" t="s">
        <v>975</v>
      </c>
      <c r="D4732" t="s">
        <v>1021</v>
      </c>
      <c r="E4732" t="s">
        <v>913</v>
      </c>
      <c r="F4732" t="s">
        <v>914</v>
      </c>
      <c r="G4732" t="s">
        <v>972</v>
      </c>
      <c r="H4732">
        <v>212</v>
      </c>
      <c r="I4732">
        <v>19.589600000000001</v>
      </c>
      <c r="J4732">
        <v>38.033000000000001</v>
      </c>
      <c r="K4732">
        <v>18.4434</v>
      </c>
      <c r="L4732">
        <v>202</v>
      </c>
      <c r="M4732">
        <v>1</v>
      </c>
      <c r="N4732">
        <v>9</v>
      </c>
      <c r="O4732">
        <v>37.3855</v>
      </c>
      <c r="P4732">
        <v>18.116900000000001</v>
      </c>
      <c r="Q4732">
        <v>8.2173200000000008</v>
      </c>
    </row>
    <row r="4733" spans="1:17" x14ac:dyDescent="0.25">
      <c r="A4733" t="str">
        <f>IF(C4733&amp;G4733&amp;D4733&lt;&gt;'Funnel setup'!$K$3&amp;'Funnel setup'!$K$4&amp;'Funnel setup'!$K$6,".",IF(A4732=".",1,A4732+1))</f>
        <v>.</v>
      </c>
      <c r="B4733" s="244" t="str">
        <f t="shared" si="73"/>
        <v>Total Knee ReplacementSub-ICB of GP PracticeNHS SOUTH EAST LONDON ICB - 72Q (72Q)Oxford Knee Score</v>
      </c>
      <c r="C4733" t="s">
        <v>975</v>
      </c>
      <c r="D4733" t="s">
        <v>1021</v>
      </c>
      <c r="E4733" t="s">
        <v>915</v>
      </c>
      <c r="F4733" t="s">
        <v>916</v>
      </c>
      <c r="G4733" t="s">
        <v>972</v>
      </c>
      <c r="H4733">
        <v>141</v>
      </c>
      <c r="I4733">
        <v>20.234000000000002</v>
      </c>
      <c r="J4733">
        <v>34.248199999999997</v>
      </c>
      <c r="K4733">
        <v>14.014200000000001</v>
      </c>
      <c r="L4733">
        <v>127</v>
      </c>
      <c r="M4733">
        <v>5</v>
      </c>
      <c r="N4733">
        <v>9</v>
      </c>
      <c r="O4733">
        <v>34.563899999999997</v>
      </c>
      <c r="P4733">
        <v>15.295299999999999</v>
      </c>
      <c r="Q4733">
        <v>8.9196100000000005</v>
      </c>
    </row>
    <row r="4734" spans="1:17" x14ac:dyDescent="0.25">
      <c r="A4734" t="str">
        <f>IF(C4734&amp;G4734&amp;D4734&lt;&gt;'Funnel setup'!$K$3&amp;'Funnel setup'!$K$4&amp;'Funnel setup'!$K$6,".",IF(A4733=".",1,A4733+1))</f>
        <v>.</v>
      </c>
      <c r="B4734" s="244" t="str">
        <f t="shared" si="73"/>
        <v>Total Knee ReplacementSub-ICB of GP PracticeNHS SOUTH WEST LONDON ICB - 36L (36L)Oxford Knee Score</v>
      </c>
      <c r="C4734" t="s">
        <v>975</v>
      </c>
      <c r="D4734" t="s">
        <v>1021</v>
      </c>
      <c r="E4734" t="s">
        <v>917</v>
      </c>
      <c r="F4734" t="s">
        <v>918</v>
      </c>
      <c r="G4734" t="s">
        <v>972</v>
      </c>
      <c r="H4734">
        <v>506</v>
      </c>
      <c r="I4734">
        <v>19.770800000000001</v>
      </c>
      <c r="J4734">
        <v>36.047400000000003</v>
      </c>
      <c r="K4734">
        <v>16.276700000000002</v>
      </c>
      <c r="L4734">
        <v>479</v>
      </c>
      <c r="M4734">
        <v>2</v>
      </c>
      <c r="N4734">
        <v>25</v>
      </c>
      <c r="O4734">
        <v>36.054099999999998</v>
      </c>
      <c r="P4734">
        <v>16.785499999999999</v>
      </c>
      <c r="Q4734">
        <v>8.3311600000000006</v>
      </c>
    </row>
    <row r="4735" spans="1:17" x14ac:dyDescent="0.25">
      <c r="A4735" t="str">
        <f>IF(C4735&amp;G4735&amp;D4735&lt;&gt;'Funnel setup'!$K$3&amp;'Funnel setup'!$K$4&amp;'Funnel setup'!$K$6,".",IF(A4734=".",1,A4734+1))</f>
        <v>.</v>
      </c>
      <c r="B4735" s="244" t="str">
        <f t="shared" si="73"/>
        <v>Total Knee ReplacementSub-ICB of GP PracticeNHS SOUTH YORKSHIRE ICB - 02P (02P)Oxford Knee Score</v>
      </c>
      <c r="C4735" t="s">
        <v>975</v>
      </c>
      <c r="D4735" t="s">
        <v>1021</v>
      </c>
      <c r="E4735" t="s">
        <v>919</v>
      </c>
      <c r="F4735" t="s">
        <v>920</v>
      </c>
      <c r="G4735" t="s">
        <v>972</v>
      </c>
      <c r="H4735">
        <v>57</v>
      </c>
      <c r="I4735">
        <v>18.052600000000002</v>
      </c>
      <c r="J4735">
        <v>34.245600000000003</v>
      </c>
      <c r="K4735">
        <v>16.193000000000001</v>
      </c>
      <c r="L4735">
        <v>51</v>
      </c>
      <c r="M4735">
        <v>2</v>
      </c>
      <c r="N4735">
        <v>4</v>
      </c>
      <c r="O4735">
        <v>35.751899999999999</v>
      </c>
      <c r="P4735">
        <v>16.4833</v>
      </c>
      <c r="Q4735">
        <v>9.6230899999999995</v>
      </c>
    </row>
    <row r="4736" spans="1:17" x14ac:dyDescent="0.25">
      <c r="A4736" t="str">
        <f>IF(C4736&amp;G4736&amp;D4736&lt;&gt;'Funnel setup'!$K$3&amp;'Funnel setup'!$K$4&amp;'Funnel setup'!$K$6,".",IF(A4735=".",1,A4735+1))</f>
        <v>.</v>
      </c>
      <c r="B4736" s="244" t="str">
        <f t="shared" si="73"/>
        <v>Total Knee ReplacementSub-ICB of GP PracticeNHS SOUTH YORKSHIRE ICB - 02X (02X)Oxford Knee Score</v>
      </c>
      <c r="C4736" t="s">
        <v>975</v>
      </c>
      <c r="D4736" t="s">
        <v>1021</v>
      </c>
      <c r="E4736" t="s">
        <v>921</v>
      </c>
      <c r="F4736" t="s">
        <v>922</v>
      </c>
      <c r="G4736" t="s">
        <v>972</v>
      </c>
      <c r="H4736">
        <v>125</v>
      </c>
      <c r="I4736">
        <v>18.295999999999999</v>
      </c>
      <c r="J4736">
        <v>35.415999999999997</v>
      </c>
      <c r="K4736">
        <v>17.12</v>
      </c>
      <c r="L4736">
        <v>116</v>
      </c>
      <c r="M4736">
        <v>0</v>
      </c>
      <c r="N4736">
        <v>9</v>
      </c>
      <c r="O4736">
        <v>36.2423</v>
      </c>
      <c r="P4736">
        <v>16.973700000000001</v>
      </c>
      <c r="Q4736">
        <v>9.3193400000000004</v>
      </c>
    </row>
    <row r="4737" spans="1:17" x14ac:dyDescent="0.25">
      <c r="A4737" t="str">
        <f>IF(C4737&amp;G4737&amp;D4737&lt;&gt;'Funnel setup'!$K$3&amp;'Funnel setup'!$K$4&amp;'Funnel setup'!$K$6,".",IF(A4736=".",1,A4736+1))</f>
        <v>.</v>
      </c>
      <c r="B4737" s="244" t="str">
        <f t="shared" si="73"/>
        <v>Total Knee ReplacementSub-ICB of GP PracticeNHS SOUTH YORKSHIRE ICB - 03L (03L)Oxford Knee Score</v>
      </c>
      <c r="C4737" t="s">
        <v>975</v>
      </c>
      <c r="D4737" t="s">
        <v>1021</v>
      </c>
      <c r="E4737" t="s">
        <v>923</v>
      </c>
      <c r="F4737" t="s">
        <v>924</v>
      </c>
      <c r="G4737" t="s">
        <v>972</v>
      </c>
      <c r="H4737">
        <v>39</v>
      </c>
      <c r="I4737">
        <v>15.743600000000001</v>
      </c>
      <c r="J4737">
        <v>37.487200000000001</v>
      </c>
      <c r="K4737">
        <v>21.743600000000001</v>
      </c>
      <c r="L4737">
        <v>37</v>
      </c>
      <c r="M4737">
        <v>0</v>
      </c>
      <c r="N4737">
        <v>2</v>
      </c>
      <c r="O4737">
        <v>39.002200000000002</v>
      </c>
      <c r="P4737">
        <v>19.733599999999999</v>
      </c>
      <c r="Q4737">
        <v>9.5967500000000001</v>
      </c>
    </row>
    <row r="4738" spans="1:17" x14ac:dyDescent="0.25">
      <c r="A4738" t="str">
        <f>IF(C4738&amp;G4738&amp;D4738&lt;&gt;'Funnel setup'!$K$3&amp;'Funnel setup'!$K$4&amp;'Funnel setup'!$K$6,".",IF(A4737=".",1,A4737+1))</f>
        <v>.</v>
      </c>
      <c r="B4738" s="244" t="str">
        <f t="shared" ref="B4738:B4801" si="74">C4738&amp;D4738&amp;F4738&amp;G4738</f>
        <v>Total Knee ReplacementSub-ICB of GP PracticeNHS SOUTH YORKSHIRE ICB - 03N (03N)Oxford Knee Score</v>
      </c>
      <c r="C4738" t="s">
        <v>975</v>
      </c>
      <c r="D4738" t="s">
        <v>1021</v>
      </c>
      <c r="E4738" t="s">
        <v>925</v>
      </c>
      <c r="F4738" t="s">
        <v>926</v>
      </c>
      <c r="G4738" t="s">
        <v>972</v>
      </c>
      <c r="H4738">
        <v>40</v>
      </c>
      <c r="I4738">
        <v>19.625</v>
      </c>
      <c r="J4738">
        <v>38.15</v>
      </c>
      <c r="K4738">
        <v>18.524999999999999</v>
      </c>
      <c r="L4738">
        <v>38</v>
      </c>
      <c r="M4738">
        <v>0</v>
      </c>
      <c r="N4738">
        <v>2</v>
      </c>
      <c r="O4738">
        <v>37.619300000000003</v>
      </c>
      <c r="P4738">
        <v>18.3506</v>
      </c>
      <c r="Q4738">
        <v>7.7571300000000001</v>
      </c>
    </row>
    <row r="4739" spans="1:17" x14ac:dyDescent="0.25">
      <c r="A4739" t="str">
        <f>IF(C4739&amp;G4739&amp;D4739&lt;&gt;'Funnel setup'!$K$3&amp;'Funnel setup'!$K$4&amp;'Funnel setup'!$K$6,".",IF(A4738=".",1,A4738+1))</f>
        <v>.</v>
      </c>
      <c r="B4739" s="244" t="str">
        <f t="shared" si="74"/>
        <v>Total Knee ReplacementSub-ICB of GP PracticeNHS STAFFORDSHIRE AND STOKE-ON-TRENT ICB - 04Y (04Y)Oxford Knee Score</v>
      </c>
      <c r="C4739" t="s">
        <v>975</v>
      </c>
      <c r="D4739" t="s">
        <v>1021</v>
      </c>
      <c r="E4739" t="s">
        <v>927</v>
      </c>
      <c r="F4739" t="s">
        <v>928</v>
      </c>
      <c r="G4739" t="s">
        <v>972</v>
      </c>
      <c r="H4739">
        <v>25</v>
      </c>
      <c r="I4739">
        <v>19.88</v>
      </c>
      <c r="J4739">
        <v>38.840000000000003</v>
      </c>
      <c r="K4739">
        <v>18.96</v>
      </c>
      <c r="L4739">
        <v>24</v>
      </c>
      <c r="M4739">
        <v>0</v>
      </c>
      <c r="N4739">
        <v>1</v>
      </c>
      <c r="O4739" t="s">
        <v>127</v>
      </c>
      <c r="P4739" t="s">
        <v>127</v>
      </c>
      <c r="Q4739" t="s">
        <v>127</v>
      </c>
    </row>
    <row r="4740" spans="1:17" x14ac:dyDescent="0.25">
      <c r="A4740" t="str">
        <f>IF(C4740&amp;G4740&amp;D4740&lt;&gt;'Funnel setup'!$K$3&amp;'Funnel setup'!$K$4&amp;'Funnel setup'!$K$6,".",IF(A4739=".",1,A4739+1))</f>
        <v>.</v>
      </c>
      <c r="B4740" s="244" t="str">
        <f t="shared" si="74"/>
        <v>Total Knee ReplacementSub-ICB of GP PracticeNHS STAFFORDSHIRE AND STOKE-ON-TRENT ICB - 05D (05D)Oxford Knee Score</v>
      </c>
      <c r="C4740" t="s">
        <v>975</v>
      </c>
      <c r="D4740" t="s">
        <v>1021</v>
      </c>
      <c r="E4740" t="s">
        <v>929</v>
      </c>
      <c r="F4740" t="s">
        <v>930</v>
      </c>
      <c r="G4740" t="s">
        <v>972</v>
      </c>
      <c r="H4740">
        <v>69</v>
      </c>
      <c r="I4740">
        <v>19.521699999999999</v>
      </c>
      <c r="J4740">
        <v>34.782600000000002</v>
      </c>
      <c r="K4740">
        <v>15.260899999999999</v>
      </c>
      <c r="L4740">
        <v>64</v>
      </c>
      <c r="M4740">
        <v>0</v>
      </c>
      <c r="N4740">
        <v>5</v>
      </c>
      <c r="O4740">
        <v>34.921900000000001</v>
      </c>
      <c r="P4740">
        <v>15.6532</v>
      </c>
      <c r="Q4740">
        <v>9.89724</v>
      </c>
    </row>
    <row r="4741" spans="1:17" x14ac:dyDescent="0.25">
      <c r="A4741" t="str">
        <f>IF(C4741&amp;G4741&amp;D4741&lt;&gt;'Funnel setup'!$K$3&amp;'Funnel setup'!$K$4&amp;'Funnel setup'!$K$6,".",IF(A4740=".",1,A4740+1))</f>
        <v>.</v>
      </c>
      <c r="B4741" s="244" t="str">
        <f t="shared" si="74"/>
        <v>Total Knee ReplacementSub-ICB of GP PracticeNHS STAFFORDSHIRE AND STOKE-ON-TRENT ICB - 05G (05G)Oxford Knee Score</v>
      </c>
      <c r="C4741" t="s">
        <v>975</v>
      </c>
      <c r="D4741" t="s">
        <v>1021</v>
      </c>
      <c r="E4741" t="s">
        <v>931</v>
      </c>
      <c r="F4741" t="s">
        <v>932</v>
      </c>
      <c r="G4741" t="s">
        <v>972</v>
      </c>
      <c r="H4741">
        <v>49</v>
      </c>
      <c r="I4741">
        <v>17.938800000000001</v>
      </c>
      <c r="J4741">
        <v>35.081600000000002</v>
      </c>
      <c r="K4741">
        <v>17.142900000000001</v>
      </c>
      <c r="L4741">
        <v>46</v>
      </c>
      <c r="M4741">
        <v>0</v>
      </c>
      <c r="N4741">
        <v>3</v>
      </c>
      <c r="O4741">
        <v>35.610900000000001</v>
      </c>
      <c r="P4741">
        <v>16.342300000000002</v>
      </c>
      <c r="Q4741">
        <v>8.4879800000000003</v>
      </c>
    </row>
    <row r="4742" spans="1:17" x14ac:dyDescent="0.25">
      <c r="A4742" t="str">
        <f>IF(C4742&amp;G4742&amp;D4742&lt;&gt;'Funnel setup'!$K$3&amp;'Funnel setup'!$K$4&amp;'Funnel setup'!$K$6,".",IF(A4741=".",1,A4741+1))</f>
        <v>.</v>
      </c>
      <c r="B4742" s="244" t="str">
        <f t="shared" si="74"/>
        <v>Total Knee ReplacementSub-ICB of GP PracticeNHS STAFFORDSHIRE AND STOKE-ON-TRENT ICB - 05Q (05Q)Oxford Knee Score</v>
      </c>
      <c r="C4742" t="s">
        <v>975</v>
      </c>
      <c r="D4742" t="s">
        <v>1021</v>
      </c>
      <c r="E4742" t="s">
        <v>933</v>
      </c>
      <c r="F4742" t="s">
        <v>934</v>
      </c>
      <c r="G4742" t="s">
        <v>972</v>
      </c>
      <c r="H4742">
        <v>90</v>
      </c>
      <c r="I4742">
        <v>19.0778</v>
      </c>
      <c r="J4742">
        <v>35.6556</v>
      </c>
      <c r="K4742">
        <v>16.5778</v>
      </c>
      <c r="L4742">
        <v>85</v>
      </c>
      <c r="M4742">
        <v>1</v>
      </c>
      <c r="N4742">
        <v>4</v>
      </c>
      <c r="O4742">
        <v>35.691699999999997</v>
      </c>
      <c r="P4742">
        <v>16.422999999999998</v>
      </c>
      <c r="Q4742">
        <v>8.9042999999999992</v>
      </c>
    </row>
    <row r="4743" spans="1:17" x14ac:dyDescent="0.25">
      <c r="A4743" t="str">
        <f>IF(C4743&amp;G4743&amp;D4743&lt;&gt;'Funnel setup'!$K$3&amp;'Funnel setup'!$K$4&amp;'Funnel setup'!$K$6,".",IF(A4742=".",1,A4742+1))</f>
        <v>.</v>
      </c>
      <c r="B4743" s="244" t="str">
        <f t="shared" si="74"/>
        <v>Total Knee ReplacementSub-ICB of GP PracticeNHS STAFFORDSHIRE AND STOKE-ON-TRENT ICB - 05V (05V)Oxford Knee Score</v>
      </c>
      <c r="C4743" t="s">
        <v>975</v>
      </c>
      <c r="D4743" t="s">
        <v>1021</v>
      </c>
      <c r="E4743" t="s">
        <v>935</v>
      </c>
      <c r="F4743" t="s">
        <v>936</v>
      </c>
      <c r="G4743" t="s">
        <v>972</v>
      </c>
      <c r="H4743">
        <v>36</v>
      </c>
      <c r="I4743">
        <v>19.6389</v>
      </c>
      <c r="J4743">
        <v>39.1389</v>
      </c>
      <c r="K4743">
        <v>19.5</v>
      </c>
      <c r="L4743">
        <v>35</v>
      </c>
      <c r="M4743">
        <v>0</v>
      </c>
      <c r="N4743">
        <v>1</v>
      </c>
      <c r="O4743">
        <v>37.6751</v>
      </c>
      <c r="P4743">
        <v>18.406500000000001</v>
      </c>
      <c r="Q4743">
        <v>7.5230100000000002</v>
      </c>
    </row>
    <row r="4744" spans="1:17" x14ac:dyDescent="0.25">
      <c r="A4744" t="str">
        <f>IF(C4744&amp;G4744&amp;D4744&lt;&gt;'Funnel setup'!$K$3&amp;'Funnel setup'!$K$4&amp;'Funnel setup'!$K$6,".",IF(A4743=".",1,A4743+1))</f>
        <v>.</v>
      </c>
      <c r="B4744" s="244" t="str">
        <f t="shared" si="74"/>
        <v>Total Knee ReplacementSub-ICB of GP PracticeNHS STAFFORDSHIRE AND STOKE-ON-TRENT ICB - 05W (05W)Oxford Knee Score</v>
      </c>
      <c r="C4744" t="s">
        <v>975</v>
      </c>
      <c r="D4744" t="s">
        <v>1021</v>
      </c>
      <c r="E4744" t="s">
        <v>937</v>
      </c>
      <c r="F4744" t="s">
        <v>938</v>
      </c>
      <c r="G4744" t="s">
        <v>972</v>
      </c>
      <c r="H4744">
        <v>46</v>
      </c>
      <c r="I4744">
        <v>17.065200000000001</v>
      </c>
      <c r="J4744">
        <v>34.282600000000002</v>
      </c>
      <c r="K4744">
        <v>17.217400000000001</v>
      </c>
      <c r="L4744">
        <v>42</v>
      </c>
      <c r="M4744">
        <v>0</v>
      </c>
      <c r="N4744">
        <v>4</v>
      </c>
      <c r="O4744">
        <v>36.214700000000001</v>
      </c>
      <c r="P4744">
        <v>16.946100000000001</v>
      </c>
      <c r="Q4744">
        <v>8.4333600000000004</v>
      </c>
    </row>
    <row r="4745" spans="1:17" x14ac:dyDescent="0.25">
      <c r="A4745" t="str">
        <f>IF(C4745&amp;G4745&amp;D4745&lt;&gt;'Funnel setup'!$K$3&amp;'Funnel setup'!$K$4&amp;'Funnel setup'!$K$6,".",IF(A4744=".",1,A4744+1))</f>
        <v>.</v>
      </c>
      <c r="B4745" s="244" t="str">
        <f t="shared" si="74"/>
        <v>Total Knee ReplacementSub-ICB of GP PracticeNHS SUFFOLK AND NORTH EAST ESSEX ICB - 06L (06L)Oxford Knee Score</v>
      </c>
      <c r="C4745" t="s">
        <v>975</v>
      </c>
      <c r="D4745" t="s">
        <v>1021</v>
      </c>
      <c r="E4745" t="s">
        <v>939</v>
      </c>
      <c r="F4745" t="s">
        <v>940</v>
      </c>
      <c r="G4745" t="s">
        <v>972</v>
      </c>
      <c r="H4745">
        <v>124</v>
      </c>
      <c r="I4745">
        <v>17.75</v>
      </c>
      <c r="J4745">
        <v>37.572600000000001</v>
      </c>
      <c r="K4745">
        <v>19.822600000000001</v>
      </c>
      <c r="L4745">
        <v>121</v>
      </c>
      <c r="M4745">
        <v>0</v>
      </c>
      <c r="N4745">
        <v>3</v>
      </c>
      <c r="O4745">
        <v>38.114199999999997</v>
      </c>
      <c r="P4745">
        <v>18.845500000000001</v>
      </c>
      <c r="Q4745">
        <v>7.8466199999999997</v>
      </c>
    </row>
    <row r="4746" spans="1:17" x14ac:dyDescent="0.25">
      <c r="A4746" t="str">
        <f>IF(C4746&amp;G4746&amp;D4746&lt;&gt;'Funnel setup'!$K$3&amp;'Funnel setup'!$K$4&amp;'Funnel setup'!$K$6,".",IF(A4745=".",1,A4745+1))</f>
        <v>.</v>
      </c>
      <c r="B4746" s="244" t="str">
        <f t="shared" si="74"/>
        <v>Total Knee ReplacementSub-ICB of GP PracticeNHS SUFFOLK AND NORTH EAST ESSEX ICB - 06T (06T)Oxford Knee Score</v>
      </c>
      <c r="C4746" t="s">
        <v>975</v>
      </c>
      <c r="D4746" t="s">
        <v>1021</v>
      </c>
      <c r="E4746" t="s">
        <v>941</v>
      </c>
      <c r="F4746" t="s">
        <v>942</v>
      </c>
      <c r="G4746" t="s">
        <v>972</v>
      </c>
      <c r="H4746">
        <v>32</v>
      </c>
      <c r="I4746">
        <v>17.5</v>
      </c>
      <c r="J4746">
        <v>33.6875</v>
      </c>
      <c r="K4746">
        <v>16.1875</v>
      </c>
      <c r="L4746">
        <v>30</v>
      </c>
      <c r="M4746">
        <v>0</v>
      </c>
      <c r="N4746">
        <v>2</v>
      </c>
      <c r="O4746">
        <v>34.707700000000003</v>
      </c>
      <c r="P4746">
        <v>15.4391</v>
      </c>
      <c r="Q4746">
        <v>7.0355800000000004</v>
      </c>
    </row>
    <row r="4747" spans="1:17" x14ac:dyDescent="0.25">
      <c r="A4747" t="str">
        <f>IF(C4747&amp;G4747&amp;D4747&lt;&gt;'Funnel setup'!$K$3&amp;'Funnel setup'!$K$4&amp;'Funnel setup'!$K$6,".",IF(A4746=".",1,A4746+1))</f>
        <v>.</v>
      </c>
      <c r="B4747" s="244" t="str">
        <f t="shared" si="74"/>
        <v>Total Knee ReplacementSub-ICB of GP PracticeNHS SUFFOLK AND NORTH EAST ESSEX ICB - 07K (07K)Oxford Knee Score</v>
      </c>
      <c r="C4747" t="s">
        <v>975</v>
      </c>
      <c r="D4747" t="s">
        <v>1021</v>
      </c>
      <c r="E4747" t="s">
        <v>943</v>
      </c>
      <c r="F4747" t="s">
        <v>944</v>
      </c>
      <c r="G4747" t="s">
        <v>972</v>
      </c>
      <c r="H4747">
        <v>96</v>
      </c>
      <c r="I4747">
        <v>17.25</v>
      </c>
      <c r="J4747">
        <v>35.802100000000003</v>
      </c>
      <c r="K4747">
        <v>18.552099999999999</v>
      </c>
      <c r="L4747">
        <v>92</v>
      </c>
      <c r="M4747">
        <v>1</v>
      </c>
      <c r="N4747">
        <v>3</v>
      </c>
      <c r="O4747">
        <v>35.942399999999999</v>
      </c>
      <c r="P4747">
        <v>16.6738</v>
      </c>
      <c r="Q4747">
        <v>8.1546400000000006</v>
      </c>
    </row>
    <row r="4748" spans="1:17" x14ac:dyDescent="0.25">
      <c r="A4748" t="str">
        <f>IF(C4748&amp;G4748&amp;D4748&lt;&gt;'Funnel setup'!$K$3&amp;'Funnel setup'!$K$4&amp;'Funnel setup'!$K$6,".",IF(A4747=".",1,A4747+1))</f>
        <v>.</v>
      </c>
      <c r="B4748" s="244" t="str">
        <f t="shared" si="74"/>
        <v>Total Knee ReplacementSub-ICB of GP PracticeNHS SURREY HEARTLANDS ICB - 92A (92A)Oxford Knee Score</v>
      </c>
      <c r="C4748" t="s">
        <v>975</v>
      </c>
      <c r="D4748" t="s">
        <v>1021</v>
      </c>
      <c r="E4748" t="s">
        <v>945</v>
      </c>
      <c r="F4748" t="s">
        <v>946</v>
      </c>
      <c r="G4748" t="s">
        <v>972</v>
      </c>
      <c r="H4748">
        <v>343</v>
      </c>
      <c r="I4748">
        <v>21.7638</v>
      </c>
      <c r="J4748">
        <v>38.291499999999999</v>
      </c>
      <c r="K4748">
        <v>16.527699999999999</v>
      </c>
      <c r="L4748">
        <v>324</v>
      </c>
      <c r="M4748">
        <v>3</v>
      </c>
      <c r="N4748">
        <v>16</v>
      </c>
      <c r="O4748">
        <v>36.543399999999998</v>
      </c>
      <c r="P4748">
        <v>17.274699999999999</v>
      </c>
      <c r="Q4748">
        <v>7.8942600000000001</v>
      </c>
    </row>
    <row r="4749" spans="1:17" x14ac:dyDescent="0.25">
      <c r="A4749" t="str">
        <f>IF(C4749&amp;G4749&amp;D4749&lt;&gt;'Funnel setup'!$K$3&amp;'Funnel setup'!$K$4&amp;'Funnel setup'!$K$6,".",IF(A4748=".",1,A4748+1))</f>
        <v>.</v>
      </c>
      <c r="B4749" s="244" t="str">
        <f t="shared" si="74"/>
        <v>Total Knee ReplacementSub-ICB of GP PracticeNHS SUSSEX ICB - 09D (09D)Oxford Knee Score</v>
      </c>
      <c r="C4749" t="s">
        <v>975</v>
      </c>
      <c r="D4749" t="s">
        <v>1021</v>
      </c>
      <c r="E4749" t="s">
        <v>947</v>
      </c>
      <c r="F4749" t="s">
        <v>948</v>
      </c>
      <c r="G4749" t="s">
        <v>972</v>
      </c>
      <c r="H4749">
        <v>28</v>
      </c>
      <c r="I4749">
        <v>22.5</v>
      </c>
      <c r="J4749">
        <v>39.107100000000003</v>
      </c>
      <c r="K4749">
        <v>16.607099999999999</v>
      </c>
      <c r="L4749">
        <v>27</v>
      </c>
      <c r="M4749">
        <v>1</v>
      </c>
      <c r="N4749">
        <v>0</v>
      </c>
      <c r="O4749" t="s">
        <v>127</v>
      </c>
      <c r="P4749" t="s">
        <v>127</v>
      </c>
      <c r="Q4749" t="s">
        <v>127</v>
      </c>
    </row>
    <row r="4750" spans="1:17" x14ac:dyDescent="0.25">
      <c r="A4750" t="str">
        <f>IF(C4750&amp;G4750&amp;D4750&lt;&gt;'Funnel setup'!$K$3&amp;'Funnel setup'!$K$4&amp;'Funnel setup'!$K$6,".",IF(A4749=".",1,A4749+1))</f>
        <v>.</v>
      </c>
      <c r="B4750" s="244" t="str">
        <f t="shared" si="74"/>
        <v>Total Knee ReplacementSub-ICB of GP PracticeNHS SUSSEX ICB - 70F (70F)Oxford Knee Score</v>
      </c>
      <c r="C4750" t="s">
        <v>975</v>
      </c>
      <c r="D4750" t="s">
        <v>1021</v>
      </c>
      <c r="E4750" t="s">
        <v>949</v>
      </c>
      <c r="F4750" t="s">
        <v>950</v>
      </c>
      <c r="G4750" t="s">
        <v>972</v>
      </c>
      <c r="H4750">
        <v>235</v>
      </c>
      <c r="I4750">
        <v>19.1404</v>
      </c>
      <c r="J4750">
        <v>37.0383</v>
      </c>
      <c r="K4750">
        <v>17.8979</v>
      </c>
      <c r="L4750">
        <v>224</v>
      </c>
      <c r="M4750">
        <v>2</v>
      </c>
      <c r="N4750">
        <v>9</v>
      </c>
      <c r="O4750">
        <v>36.656599999999997</v>
      </c>
      <c r="P4750">
        <v>17.388000000000002</v>
      </c>
      <c r="Q4750">
        <v>8.2719900000000006</v>
      </c>
    </row>
    <row r="4751" spans="1:17" x14ac:dyDescent="0.25">
      <c r="A4751" t="str">
        <f>IF(C4751&amp;G4751&amp;D4751&lt;&gt;'Funnel setup'!$K$3&amp;'Funnel setup'!$K$4&amp;'Funnel setup'!$K$6,".",IF(A4750=".",1,A4750+1))</f>
        <v>.</v>
      </c>
      <c r="B4751" s="244" t="str">
        <f t="shared" si="74"/>
        <v>Total Knee ReplacementSub-ICB of GP PracticeNHS SUSSEX ICB - 97R (97R)Oxford Knee Score</v>
      </c>
      <c r="C4751" t="s">
        <v>975</v>
      </c>
      <c r="D4751" t="s">
        <v>1021</v>
      </c>
      <c r="E4751" t="s">
        <v>951</v>
      </c>
      <c r="F4751" t="s">
        <v>952</v>
      </c>
      <c r="G4751" t="s">
        <v>972</v>
      </c>
      <c r="H4751">
        <v>320</v>
      </c>
      <c r="I4751">
        <v>21.6219</v>
      </c>
      <c r="J4751">
        <v>38.218800000000002</v>
      </c>
      <c r="K4751">
        <v>16.596900000000002</v>
      </c>
      <c r="L4751">
        <v>305</v>
      </c>
      <c r="M4751">
        <v>0</v>
      </c>
      <c r="N4751">
        <v>15</v>
      </c>
      <c r="O4751">
        <v>37.122799999999998</v>
      </c>
      <c r="P4751">
        <v>17.854199999999999</v>
      </c>
      <c r="Q4751">
        <v>8.1812299999999993</v>
      </c>
    </row>
    <row r="4752" spans="1:17" x14ac:dyDescent="0.25">
      <c r="A4752" t="str">
        <f>IF(C4752&amp;G4752&amp;D4752&lt;&gt;'Funnel setup'!$K$3&amp;'Funnel setup'!$K$4&amp;'Funnel setup'!$K$6,".",IF(A4751=".",1,A4751+1))</f>
        <v>.</v>
      </c>
      <c r="B4752" s="244" t="str">
        <f t="shared" si="74"/>
        <v>Total Knee ReplacementSub-ICB of GP PracticeNHS WEST YORKSHIRE ICB - 02T (02T)Oxford Knee Score</v>
      </c>
      <c r="C4752" t="s">
        <v>975</v>
      </c>
      <c r="D4752" t="s">
        <v>1021</v>
      </c>
      <c r="E4752" t="s">
        <v>953</v>
      </c>
      <c r="F4752" t="s">
        <v>954</v>
      </c>
      <c r="G4752" t="s">
        <v>972</v>
      </c>
      <c r="H4752">
        <v>47</v>
      </c>
      <c r="I4752">
        <v>19.617000000000001</v>
      </c>
      <c r="J4752">
        <v>37.319099999999999</v>
      </c>
      <c r="K4752">
        <v>17.702100000000002</v>
      </c>
      <c r="L4752">
        <v>44</v>
      </c>
      <c r="M4752">
        <v>0</v>
      </c>
      <c r="N4752">
        <v>3</v>
      </c>
      <c r="O4752">
        <v>37.2121</v>
      </c>
      <c r="P4752">
        <v>17.9435</v>
      </c>
      <c r="Q4752">
        <v>9.4316899999999997</v>
      </c>
    </row>
    <row r="4753" spans="1:17" x14ac:dyDescent="0.25">
      <c r="A4753" t="str">
        <f>IF(C4753&amp;G4753&amp;D4753&lt;&gt;'Funnel setup'!$K$3&amp;'Funnel setup'!$K$4&amp;'Funnel setup'!$K$6,".",IF(A4752=".",1,A4752+1))</f>
        <v>.</v>
      </c>
      <c r="B4753" s="244" t="str">
        <f t="shared" si="74"/>
        <v>Total Knee ReplacementSub-ICB of GP PracticeNHS WEST YORKSHIRE ICB - 03R (03R)Oxford Knee Score</v>
      </c>
      <c r="C4753" t="s">
        <v>975</v>
      </c>
      <c r="D4753" t="s">
        <v>1021</v>
      </c>
      <c r="E4753" t="s">
        <v>955</v>
      </c>
      <c r="F4753" t="s">
        <v>956</v>
      </c>
      <c r="G4753" t="s">
        <v>972</v>
      </c>
      <c r="H4753">
        <v>198</v>
      </c>
      <c r="I4753">
        <v>18.560600000000001</v>
      </c>
      <c r="J4753">
        <v>35.994900000000001</v>
      </c>
      <c r="K4753">
        <v>17.4343</v>
      </c>
      <c r="L4753">
        <v>182</v>
      </c>
      <c r="M4753">
        <v>1</v>
      </c>
      <c r="N4753">
        <v>15</v>
      </c>
      <c r="O4753">
        <v>36.595199999999998</v>
      </c>
      <c r="P4753">
        <v>17.326499999999999</v>
      </c>
      <c r="Q4753">
        <v>9.4944299999999995</v>
      </c>
    </row>
    <row r="4754" spans="1:17" x14ac:dyDescent="0.25">
      <c r="A4754" t="str">
        <f>IF(C4754&amp;G4754&amp;D4754&lt;&gt;'Funnel setup'!$K$3&amp;'Funnel setup'!$K$4&amp;'Funnel setup'!$K$6,".",IF(A4753=".",1,A4753+1))</f>
        <v>.</v>
      </c>
      <c r="B4754" s="244" t="str">
        <f t="shared" si="74"/>
        <v>Total Knee ReplacementSub-ICB of GP PracticeNHS WEST YORKSHIRE ICB - 15F (15F)Oxford Knee Score</v>
      </c>
      <c r="C4754" t="s">
        <v>975</v>
      </c>
      <c r="D4754" t="s">
        <v>1021</v>
      </c>
      <c r="E4754" t="s">
        <v>957</v>
      </c>
      <c r="F4754" t="s">
        <v>958</v>
      </c>
      <c r="G4754" t="s">
        <v>972</v>
      </c>
      <c r="H4754">
        <v>277</v>
      </c>
      <c r="I4754">
        <v>19.740100000000002</v>
      </c>
      <c r="J4754">
        <v>37.054200000000002</v>
      </c>
      <c r="K4754">
        <v>17.3141</v>
      </c>
      <c r="L4754">
        <v>269</v>
      </c>
      <c r="M4754">
        <v>2</v>
      </c>
      <c r="N4754">
        <v>6</v>
      </c>
      <c r="O4754">
        <v>36.813600000000001</v>
      </c>
      <c r="P4754">
        <v>17.545000000000002</v>
      </c>
      <c r="Q4754">
        <v>8.2192100000000003</v>
      </c>
    </row>
    <row r="4755" spans="1:17" x14ac:dyDescent="0.25">
      <c r="A4755" t="str">
        <f>IF(C4755&amp;G4755&amp;D4755&lt;&gt;'Funnel setup'!$K$3&amp;'Funnel setup'!$K$4&amp;'Funnel setup'!$K$6,".",IF(A4754=".",1,A4754+1))</f>
        <v>.</v>
      </c>
      <c r="B4755" s="244" t="str">
        <f t="shared" si="74"/>
        <v>Total Knee ReplacementSub-ICB of GP PracticeNHS WEST YORKSHIRE ICB - 36J (36J)Oxford Knee Score</v>
      </c>
      <c r="C4755" t="s">
        <v>975</v>
      </c>
      <c r="D4755" t="s">
        <v>1021</v>
      </c>
      <c r="E4755" t="s">
        <v>959</v>
      </c>
      <c r="F4755" t="s">
        <v>960</v>
      </c>
      <c r="G4755" t="s">
        <v>972</v>
      </c>
      <c r="H4755">
        <v>72</v>
      </c>
      <c r="I4755">
        <v>19.791699999999999</v>
      </c>
      <c r="J4755">
        <v>36.083300000000001</v>
      </c>
      <c r="K4755">
        <v>16.291699999999999</v>
      </c>
      <c r="L4755">
        <v>66</v>
      </c>
      <c r="M4755">
        <v>2</v>
      </c>
      <c r="N4755">
        <v>4</v>
      </c>
      <c r="O4755">
        <v>36.463900000000002</v>
      </c>
      <c r="P4755">
        <v>17.1953</v>
      </c>
      <c r="Q4755">
        <v>9.2549299999999999</v>
      </c>
    </row>
    <row r="4756" spans="1:17" x14ac:dyDescent="0.25">
      <c r="A4756" t="str">
        <f>IF(C4756&amp;G4756&amp;D4756&lt;&gt;'Funnel setup'!$K$3&amp;'Funnel setup'!$K$4&amp;'Funnel setup'!$K$6,".",IF(A4755=".",1,A4755+1))</f>
        <v>.</v>
      </c>
      <c r="B4756" s="244" t="str">
        <f t="shared" si="74"/>
        <v>Total Knee ReplacementSub-ICB of GP PracticeNHS WEST YORKSHIRE ICB - X2C4Y (X2C4Y)Oxford Knee Score</v>
      </c>
      <c r="C4756" t="s">
        <v>975</v>
      </c>
      <c r="D4756" t="s">
        <v>1021</v>
      </c>
      <c r="E4756" t="s">
        <v>961</v>
      </c>
      <c r="F4756" t="s">
        <v>962</v>
      </c>
      <c r="G4756" t="s">
        <v>972</v>
      </c>
      <c r="H4756">
        <v>119</v>
      </c>
      <c r="I4756">
        <v>20.025200000000002</v>
      </c>
      <c r="J4756">
        <v>36.453800000000001</v>
      </c>
      <c r="K4756">
        <v>16.428599999999999</v>
      </c>
      <c r="L4756">
        <v>107</v>
      </c>
      <c r="M4756">
        <v>2</v>
      </c>
      <c r="N4756">
        <v>10</v>
      </c>
      <c r="O4756">
        <v>36.518700000000003</v>
      </c>
      <c r="P4756">
        <v>17.2501</v>
      </c>
      <c r="Q4756">
        <v>9.6315000000000008</v>
      </c>
    </row>
    <row r="4757" spans="1:17" x14ac:dyDescent="0.25">
      <c r="A4757" t="str">
        <f>IF(C4757&amp;G4757&amp;D4757&lt;&gt;'Funnel setup'!$K$3&amp;'Funnel setup'!$K$4&amp;'Funnel setup'!$K$6,".",IF(A4756=".",1,A4756+1))</f>
        <v>.</v>
      </c>
      <c r="B4757" s="244" t="str">
        <f t="shared" si="74"/>
        <v>Total Knee ReplacementEnglandEnglandEQ VAS</v>
      </c>
      <c r="C4757" t="s">
        <v>975</v>
      </c>
      <c r="D4757" t="s">
        <v>122</v>
      </c>
      <c r="E4757" t="s">
        <v>122</v>
      </c>
      <c r="F4757" t="s">
        <v>122</v>
      </c>
      <c r="G4757" t="s">
        <v>752</v>
      </c>
      <c r="H4757">
        <v>14170</v>
      </c>
      <c r="I4757">
        <v>65.305700000000002</v>
      </c>
      <c r="J4757">
        <v>73.665800000000004</v>
      </c>
      <c r="K4757">
        <v>8.3600600000000007</v>
      </c>
      <c r="L4757">
        <v>8669</v>
      </c>
      <c r="M4757">
        <v>1505</v>
      </c>
      <c r="N4757">
        <v>3996</v>
      </c>
      <c r="O4757">
        <v>73.665800000000004</v>
      </c>
      <c r="P4757">
        <v>8.3600600000000007</v>
      </c>
      <c r="Q4757">
        <v>16.915500000000002</v>
      </c>
    </row>
    <row r="4758" spans="1:17" x14ac:dyDescent="0.25">
      <c r="A4758" t="str">
        <f>IF(C4758&amp;G4758&amp;D4758&lt;&gt;'Funnel setup'!$K$3&amp;'Funnel setup'!$K$4&amp;'Funnel setup'!$K$6,".",IF(A4757=".",1,A4757+1))</f>
        <v>.</v>
      </c>
      <c r="B4758" s="244" t="str">
        <f t="shared" si="74"/>
        <v>Total Knee ReplacementEnglandEnglandEQ-5D Index</v>
      </c>
      <c r="C4758" t="s">
        <v>975</v>
      </c>
      <c r="D4758" t="s">
        <v>122</v>
      </c>
      <c r="E4758" t="s">
        <v>122</v>
      </c>
      <c r="F4758" t="s">
        <v>122</v>
      </c>
      <c r="G4758" t="s">
        <v>963</v>
      </c>
      <c r="H4758">
        <v>14779</v>
      </c>
      <c r="I4758">
        <v>0.42429699999999998</v>
      </c>
      <c r="J4758">
        <v>0.74787899999999996</v>
      </c>
      <c r="K4758">
        <v>0.32358199999999998</v>
      </c>
      <c r="L4758">
        <v>12132</v>
      </c>
      <c r="M4758">
        <v>1275</v>
      </c>
      <c r="N4758">
        <v>1372</v>
      </c>
      <c r="O4758">
        <v>0.74787899999999996</v>
      </c>
      <c r="P4758">
        <v>0.32358199999999998</v>
      </c>
      <c r="Q4758">
        <v>0.23147699999999999</v>
      </c>
    </row>
    <row r="4759" spans="1:17" x14ac:dyDescent="0.25">
      <c r="A4759" t="str">
        <f>IF(C4759&amp;G4759&amp;D4759&lt;&gt;'Funnel setup'!$K$3&amp;'Funnel setup'!$K$4&amp;'Funnel setup'!$K$6,".",IF(A4758=".",1,A4758+1))</f>
        <v>.</v>
      </c>
      <c r="B4759" s="244" t="str">
        <f t="shared" si="74"/>
        <v>Total Knee ReplacementEnglandEnglandOxford Knee Score</v>
      </c>
      <c r="C4759" t="s">
        <v>975</v>
      </c>
      <c r="D4759" t="s">
        <v>122</v>
      </c>
      <c r="E4759" t="s">
        <v>122</v>
      </c>
      <c r="F4759" t="s">
        <v>122</v>
      </c>
      <c r="G4759" t="s">
        <v>972</v>
      </c>
      <c r="H4759">
        <v>15627</v>
      </c>
      <c r="I4759">
        <v>19.268599999999999</v>
      </c>
      <c r="J4759">
        <v>36.750399999999999</v>
      </c>
      <c r="K4759">
        <v>17.4818</v>
      </c>
      <c r="L4759">
        <v>14821</v>
      </c>
      <c r="M4759">
        <v>121</v>
      </c>
      <c r="N4759">
        <v>685</v>
      </c>
      <c r="O4759">
        <v>36.750399999999999</v>
      </c>
      <c r="P4759">
        <v>17.4818</v>
      </c>
      <c r="Q4759">
        <v>8.4698100000000007</v>
      </c>
    </row>
    <row r="4760" spans="1:17" x14ac:dyDescent="0.25">
      <c r="A4760" t="str">
        <f>IF(C4760&amp;G4760&amp;D4760&lt;&gt;'Funnel setup'!$K$3&amp;'Funnel setup'!$K$4&amp;'Funnel setup'!$K$6,".",IF(A4759=".",1,A4759+1))</f>
        <v>.</v>
      </c>
      <c r="B4760" s="244" t="str">
        <f t="shared" si="74"/>
        <v>Total Knee ReplacementProviderSULIS HOSPITAL BATHEQ VAS</v>
      </c>
      <c r="C4760" t="s">
        <v>975</v>
      </c>
      <c r="D4760" t="s">
        <v>965</v>
      </c>
      <c r="E4760" t="s">
        <v>732</v>
      </c>
      <c r="F4760" t="s">
        <v>1325</v>
      </c>
      <c r="G4760" t="s">
        <v>752</v>
      </c>
      <c r="H4760">
        <v>35</v>
      </c>
      <c r="I4760">
        <v>64.857100000000003</v>
      </c>
      <c r="J4760">
        <v>73.6571</v>
      </c>
      <c r="K4760">
        <v>8.8000000000000007</v>
      </c>
      <c r="L4760">
        <v>22</v>
      </c>
      <c r="M4760">
        <v>5</v>
      </c>
      <c r="N4760">
        <v>8</v>
      </c>
      <c r="O4760">
        <v>71.985500000000002</v>
      </c>
      <c r="P4760">
        <v>6.6798000000000002</v>
      </c>
      <c r="Q4760">
        <v>13.946999999999999</v>
      </c>
    </row>
    <row r="4761" spans="1:17" x14ac:dyDescent="0.25">
      <c r="A4761" t="str">
        <f>IF(C4761&amp;G4761&amp;D4761&lt;&gt;'Funnel setup'!$K$3&amp;'Funnel setup'!$K$4&amp;'Funnel setup'!$K$6,".",IF(A4760=".",1,A4760+1))</f>
        <v>.</v>
      </c>
      <c r="B4761" s="244" t="str">
        <f t="shared" si="74"/>
        <v>Total Knee ReplacementProviderAIREDALE NHS FOUNDATION TRUST (RCF)EQ VAS</v>
      </c>
      <c r="C4761" t="s">
        <v>975</v>
      </c>
      <c r="D4761" t="s">
        <v>965</v>
      </c>
      <c r="E4761" t="s">
        <v>125</v>
      </c>
      <c r="F4761" t="s">
        <v>126</v>
      </c>
      <c r="G4761" t="s">
        <v>752</v>
      </c>
      <c r="H4761">
        <v>29</v>
      </c>
      <c r="I4761">
        <v>70.241399999999999</v>
      </c>
      <c r="J4761">
        <v>78.413799999999995</v>
      </c>
      <c r="K4761">
        <v>8.1724099999999993</v>
      </c>
      <c r="L4761">
        <v>14</v>
      </c>
      <c r="M4761">
        <v>7</v>
      </c>
      <c r="N4761">
        <v>8</v>
      </c>
      <c r="O4761" t="s">
        <v>127</v>
      </c>
      <c r="P4761" t="s">
        <v>127</v>
      </c>
      <c r="Q4761" t="s">
        <v>127</v>
      </c>
    </row>
    <row r="4762" spans="1:17" x14ac:dyDescent="0.25">
      <c r="A4762" t="str">
        <f>IF(C4762&amp;G4762&amp;D4762&lt;&gt;'Funnel setup'!$K$3&amp;'Funnel setup'!$K$4&amp;'Funnel setup'!$K$6,".",IF(A4761=".",1,A4761+1))</f>
        <v>.</v>
      </c>
      <c r="B4762" s="244" t="str">
        <f t="shared" si="74"/>
        <v>Total Knee ReplacementProviderALEXANDRA HOSPITAL (NT401)EQ VAS</v>
      </c>
      <c r="C4762" t="s">
        <v>975</v>
      </c>
      <c r="D4762" t="s">
        <v>965</v>
      </c>
      <c r="E4762" t="s">
        <v>130</v>
      </c>
      <c r="F4762" t="s">
        <v>131</v>
      </c>
      <c r="G4762" t="s">
        <v>752</v>
      </c>
      <c r="H4762">
        <v>44</v>
      </c>
      <c r="I4762">
        <v>63.636400000000002</v>
      </c>
      <c r="J4762">
        <v>73.25</v>
      </c>
      <c r="K4762">
        <v>9.6136400000000002</v>
      </c>
      <c r="L4762">
        <v>30</v>
      </c>
      <c r="M4762">
        <v>2</v>
      </c>
      <c r="N4762">
        <v>12</v>
      </c>
      <c r="O4762">
        <v>72.6083</v>
      </c>
      <c r="P4762">
        <v>7.3025799999999998</v>
      </c>
      <c r="Q4762">
        <v>18.6495</v>
      </c>
    </row>
    <row r="4763" spans="1:17" x14ac:dyDescent="0.25">
      <c r="A4763" t="str">
        <f>IF(C4763&amp;G4763&amp;D4763&lt;&gt;'Funnel setup'!$K$3&amp;'Funnel setup'!$K$4&amp;'Funnel setup'!$K$6,".",IF(A4762=".",1,A4762+1))</f>
        <v>.</v>
      </c>
      <c r="B4763" s="244" t="str">
        <f t="shared" si="74"/>
        <v>Total Knee ReplacementProviderASHFORD AND ST PETER'S HOSPITALS NHS FOUNDATION TRUST (RTK)EQ VAS</v>
      </c>
      <c r="C4763" t="s">
        <v>975</v>
      </c>
      <c r="D4763" t="s">
        <v>965</v>
      </c>
      <c r="E4763" t="s">
        <v>132</v>
      </c>
      <c r="F4763" t="s">
        <v>133</v>
      </c>
      <c r="G4763" t="s">
        <v>752</v>
      </c>
      <c r="H4763">
        <v>29</v>
      </c>
      <c r="I4763">
        <v>72.103399999999993</v>
      </c>
      <c r="J4763">
        <v>75.206900000000005</v>
      </c>
      <c r="K4763">
        <v>3.10345</v>
      </c>
      <c r="L4763">
        <v>16</v>
      </c>
      <c r="M4763">
        <v>2</v>
      </c>
      <c r="N4763">
        <v>11</v>
      </c>
      <c r="O4763" t="s">
        <v>127</v>
      </c>
      <c r="P4763" t="s">
        <v>127</v>
      </c>
      <c r="Q4763" t="s">
        <v>127</v>
      </c>
    </row>
    <row r="4764" spans="1:17" x14ac:dyDescent="0.25">
      <c r="A4764" t="str">
        <f>IF(C4764&amp;G4764&amp;D4764&lt;&gt;'Funnel setup'!$K$3&amp;'Funnel setup'!$K$4&amp;'Funnel setup'!$K$6,".",IF(A4763=".",1,A4763+1))</f>
        <v>.</v>
      </c>
      <c r="B4764" s="244" t="str">
        <f t="shared" si="74"/>
        <v>Total Knee ReplacementProviderASHTEAD HOSPITAL (NVC01)EQ VAS</v>
      </c>
      <c r="C4764" t="s">
        <v>975</v>
      </c>
      <c r="D4764" t="s">
        <v>965</v>
      </c>
      <c r="E4764" t="s">
        <v>134</v>
      </c>
      <c r="F4764" t="s">
        <v>135</v>
      </c>
      <c r="G4764" t="s">
        <v>752</v>
      </c>
      <c r="H4764">
        <v>4</v>
      </c>
      <c r="I4764">
        <v>70</v>
      </c>
      <c r="J4764">
        <v>90.5</v>
      </c>
      <c r="K4764">
        <v>20.5</v>
      </c>
      <c r="L4764">
        <v>3</v>
      </c>
      <c r="M4764">
        <v>0</v>
      </c>
      <c r="N4764">
        <v>1</v>
      </c>
      <c r="O4764" t="s">
        <v>127</v>
      </c>
      <c r="P4764" t="s">
        <v>127</v>
      </c>
      <c r="Q4764" t="s">
        <v>127</v>
      </c>
    </row>
    <row r="4765" spans="1:17" x14ac:dyDescent="0.25">
      <c r="A4765" t="str">
        <f>IF(C4765&amp;G4765&amp;D4765&lt;&gt;'Funnel setup'!$K$3&amp;'Funnel setup'!$K$4&amp;'Funnel setup'!$K$6,".",IF(A4764=".",1,A4764+1))</f>
        <v>.</v>
      </c>
      <c r="B4765" s="244" t="str">
        <f t="shared" si="74"/>
        <v>Total Knee ReplacementProviderBARKING, HAVERING AND REDBRIDGE UNIVERSITY HOSPITALS NHS TRUST (RF4)EQ VAS</v>
      </c>
      <c r="C4765" t="s">
        <v>975</v>
      </c>
      <c r="D4765" t="s">
        <v>965</v>
      </c>
      <c r="E4765" t="s">
        <v>144</v>
      </c>
      <c r="F4765" t="s">
        <v>145</v>
      </c>
      <c r="G4765" t="s">
        <v>752</v>
      </c>
      <c r="H4765">
        <v>53</v>
      </c>
      <c r="I4765">
        <v>60.924500000000002</v>
      </c>
      <c r="J4765">
        <v>71.792500000000004</v>
      </c>
      <c r="K4765">
        <v>10.867900000000001</v>
      </c>
      <c r="L4765">
        <v>38</v>
      </c>
      <c r="M4765">
        <v>5</v>
      </c>
      <c r="N4765">
        <v>10</v>
      </c>
      <c r="O4765">
        <v>75.143500000000003</v>
      </c>
      <c r="P4765">
        <v>9.8377599999999994</v>
      </c>
      <c r="Q4765">
        <v>14.6774</v>
      </c>
    </row>
    <row r="4766" spans="1:17" x14ac:dyDescent="0.25">
      <c r="A4766" t="str">
        <f>IF(C4766&amp;G4766&amp;D4766&lt;&gt;'Funnel setup'!$K$3&amp;'Funnel setup'!$K$4&amp;'Funnel setup'!$K$6,".",IF(A4765=".",1,A4765+1))</f>
        <v>.</v>
      </c>
      <c r="B4766" s="244" t="str">
        <f t="shared" si="74"/>
        <v>Total Knee ReplacementProviderBARNSLEY HOSPITAL NHS FOUNDATION TRUST (RFF)EQ VAS</v>
      </c>
      <c r="C4766" t="s">
        <v>975</v>
      </c>
      <c r="D4766" t="s">
        <v>965</v>
      </c>
      <c r="E4766" t="s">
        <v>146</v>
      </c>
      <c r="F4766" t="s">
        <v>147</v>
      </c>
      <c r="G4766" t="s">
        <v>752</v>
      </c>
      <c r="H4766">
        <v>48</v>
      </c>
      <c r="I4766">
        <v>68.416700000000006</v>
      </c>
      <c r="J4766">
        <v>76.104200000000006</v>
      </c>
      <c r="K4766">
        <v>7.6875</v>
      </c>
      <c r="L4766">
        <v>31</v>
      </c>
      <c r="M4766">
        <v>4</v>
      </c>
      <c r="N4766">
        <v>13</v>
      </c>
      <c r="O4766">
        <v>75.058800000000005</v>
      </c>
      <c r="P4766">
        <v>9.7531099999999995</v>
      </c>
      <c r="Q4766">
        <v>16.7668</v>
      </c>
    </row>
    <row r="4767" spans="1:17" x14ac:dyDescent="0.25">
      <c r="A4767" t="str">
        <f>IF(C4767&amp;G4767&amp;D4767&lt;&gt;'Funnel setup'!$K$3&amp;'Funnel setup'!$K$4&amp;'Funnel setup'!$K$6,".",IF(A4766=".",1,A4766+1))</f>
        <v>.</v>
      </c>
      <c r="B4767" s="244" t="str">
        <f t="shared" si="74"/>
        <v>Total Knee ReplacementProviderBARTS HEALTH NHS TRUST (R1H)EQ VAS</v>
      </c>
      <c r="C4767" t="s">
        <v>975</v>
      </c>
      <c r="D4767" t="s">
        <v>965</v>
      </c>
      <c r="E4767" t="s">
        <v>148</v>
      </c>
      <c r="F4767" t="s">
        <v>149</v>
      </c>
      <c r="G4767" t="s">
        <v>752</v>
      </c>
      <c r="H4767">
        <v>68</v>
      </c>
      <c r="I4767">
        <v>59.088200000000001</v>
      </c>
      <c r="J4767">
        <v>67.7059</v>
      </c>
      <c r="K4767">
        <v>8.6176499999999994</v>
      </c>
      <c r="L4767">
        <v>43</v>
      </c>
      <c r="M4767">
        <v>4</v>
      </c>
      <c r="N4767">
        <v>21</v>
      </c>
      <c r="O4767">
        <v>73.443100000000001</v>
      </c>
      <c r="P4767">
        <v>8.1373800000000003</v>
      </c>
      <c r="Q4767">
        <v>20.1511</v>
      </c>
    </row>
    <row r="4768" spans="1:17" x14ac:dyDescent="0.25">
      <c r="A4768" t="str">
        <f>IF(C4768&amp;G4768&amp;D4768&lt;&gt;'Funnel setup'!$K$3&amp;'Funnel setup'!$K$4&amp;'Funnel setup'!$K$6,".",IF(A4767=".",1,A4767+1))</f>
        <v>.</v>
      </c>
      <c r="B4768" s="244" t="str">
        <f t="shared" si="74"/>
        <v>Total Knee ReplacementProviderBATH CLINIC (NT402)EQ VAS</v>
      </c>
      <c r="C4768" t="s">
        <v>975</v>
      </c>
      <c r="D4768" t="s">
        <v>965</v>
      </c>
      <c r="E4768" t="s">
        <v>152</v>
      </c>
      <c r="F4768" t="s">
        <v>153</v>
      </c>
      <c r="G4768" t="s">
        <v>752</v>
      </c>
      <c r="H4768">
        <v>54</v>
      </c>
      <c r="I4768">
        <v>77.277799999999999</v>
      </c>
      <c r="J4768">
        <v>78.425899999999999</v>
      </c>
      <c r="K4768">
        <v>1.14815</v>
      </c>
      <c r="L4768">
        <v>28</v>
      </c>
      <c r="M4768">
        <v>5</v>
      </c>
      <c r="N4768">
        <v>21</v>
      </c>
      <c r="O4768">
        <v>71.584100000000007</v>
      </c>
      <c r="P4768">
        <v>6.2783499999999997</v>
      </c>
      <c r="Q4768">
        <v>16.302399999999999</v>
      </c>
    </row>
    <row r="4769" spans="1:17" x14ac:dyDescent="0.25">
      <c r="A4769" t="str">
        <f>IF(C4769&amp;G4769&amp;D4769&lt;&gt;'Funnel setup'!$K$3&amp;'Funnel setup'!$K$4&amp;'Funnel setup'!$K$6,".",IF(A4768=".",1,A4768+1))</f>
        <v>.</v>
      </c>
      <c r="B4769" s="244" t="str">
        <f t="shared" si="74"/>
        <v>Total Knee ReplacementProviderBEARDWOOD HOSPITAL (NT403)EQ VAS</v>
      </c>
      <c r="C4769" t="s">
        <v>975</v>
      </c>
      <c r="D4769" t="s">
        <v>965</v>
      </c>
      <c r="E4769" t="s">
        <v>154</v>
      </c>
      <c r="F4769" t="s">
        <v>155</v>
      </c>
      <c r="G4769" t="s">
        <v>752</v>
      </c>
      <c r="H4769">
        <v>69</v>
      </c>
      <c r="I4769">
        <v>71.971000000000004</v>
      </c>
      <c r="J4769">
        <v>75.318799999999996</v>
      </c>
      <c r="K4769">
        <v>3.3478300000000001</v>
      </c>
      <c r="L4769">
        <v>35</v>
      </c>
      <c r="M4769">
        <v>12</v>
      </c>
      <c r="N4769">
        <v>22</v>
      </c>
      <c r="O4769">
        <v>71.0745</v>
      </c>
      <c r="P4769">
        <v>5.7688100000000002</v>
      </c>
      <c r="Q4769">
        <v>15.9383</v>
      </c>
    </row>
    <row r="4770" spans="1:17" x14ac:dyDescent="0.25">
      <c r="A4770" t="str">
        <f>IF(C4770&amp;G4770&amp;D4770&lt;&gt;'Funnel setup'!$K$3&amp;'Funnel setup'!$K$4&amp;'Funnel setup'!$K$6,".",IF(A4769=".",1,A4769+1))</f>
        <v>.</v>
      </c>
      <c r="B4770" s="244" t="str">
        <f t="shared" si="74"/>
        <v>Total Knee ReplacementProviderBEAUMONT HOSPITAL (NT404)EQ VAS</v>
      </c>
      <c r="C4770" t="s">
        <v>975</v>
      </c>
      <c r="D4770" t="s">
        <v>965</v>
      </c>
      <c r="E4770" t="s">
        <v>156</v>
      </c>
      <c r="F4770" t="s">
        <v>157</v>
      </c>
      <c r="G4770" t="s">
        <v>752</v>
      </c>
      <c r="H4770">
        <v>42</v>
      </c>
      <c r="I4770">
        <v>67.860500000000002</v>
      </c>
      <c r="J4770">
        <v>77.790700000000001</v>
      </c>
      <c r="K4770">
        <v>9.9302299999999999</v>
      </c>
      <c r="L4770">
        <v>27</v>
      </c>
      <c r="M4770">
        <v>5</v>
      </c>
      <c r="N4770">
        <v>10</v>
      </c>
      <c r="O4770">
        <v>75.995000000000005</v>
      </c>
      <c r="P4770">
        <v>10.689299999999999</v>
      </c>
      <c r="Q4770">
        <v>15.185600000000001</v>
      </c>
    </row>
    <row r="4771" spans="1:17" x14ac:dyDescent="0.25">
      <c r="A4771" t="str">
        <f>IF(C4771&amp;G4771&amp;D4771&lt;&gt;'Funnel setup'!$K$3&amp;'Funnel setup'!$K$4&amp;'Funnel setup'!$K$6,".",IF(A4770=".",1,A4770+1))</f>
        <v>.</v>
      </c>
      <c r="B4771" s="244" t="str">
        <f t="shared" si="74"/>
        <v>Total Knee ReplacementProviderBEDFORDSHIRE HOSPITALS NHS FOUNDATION TRUST (RC9)EQ VAS</v>
      </c>
      <c r="C4771" t="s">
        <v>975</v>
      </c>
      <c r="D4771" t="s">
        <v>965</v>
      </c>
      <c r="E4771" t="s">
        <v>158</v>
      </c>
      <c r="F4771" t="s">
        <v>159</v>
      </c>
      <c r="G4771" t="s">
        <v>752</v>
      </c>
      <c r="H4771">
        <v>136</v>
      </c>
      <c r="I4771">
        <v>62.985300000000002</v>
      </c>
      <c r="J4771">
        <v>68.897099999999995</v>
      </c>
      <c r="K4771">
        <v>5.9117600000000001</v>
      </c>
      <c r="L4771">
        <v>76</v>
      </c>
      <c r="M4771">
        <v>14</v>
      </c>
      <c r="N4771">
        <v>46</v>
      </c>
      <c r="O4771">
        <v>70.450999999999993</v>
      </c>
      <c r="P4771">
        <v>5.1453100000000003</v>
      </c>
      <c r="Q4771">
        <v>20.345300000000002</v>
      </c>
    </row>
    <row r="4772" spans="1:17" x14ac:dyDescent="0.25">
      <c r="A4772" t="str">
        <f>IF(C4772&amp;G4772&amp;D4772&lt;&gt;'Funnel setup'!$K$3&amp;'Funnel setup'!$K$4&amp;'Funnel setup'!$K$6,".",IF(A4771=".",1,A4771+1))</f>
        <v>.</v>
      </c>
      <c r="B4772" s="244" t="str">
        <f t="shared" si="74"/>
        <v>Total Knee ReplacementProviderBENENDEN HOSPITAL (NWF01)EQ VAS</v>
      </c>
      <c r="C4772" t="s">
        <v>975</v>
      </c>
      <c r="D4772" t="s">
        <v>965</v>
      </c>
      <c r="E4772" t="s">
        <v>160</v>
      </c>
      <c r="F4772" t="s">
        <v>161</v>
      </c>
      <c r="G4772" t="s">
        <v>752</v>
      </c>
      <c r="H4772">
        <v>25</v>
      </c>
      <c r="I4772">
        <v>68.12</v>
      </c>
      <c r="J4772">
        <v>78.040000000000006</v>
      </c>
      <c r="K4772">
        <v>9.92</v>
      </c>
      <c r="L4772">
        <v>20</v>
      </c>
      <c r="M4772">
        <v>1</v>
      </c>
      <c r="N4772">
        <v>4</v>
      </c>
      <c r="O4772" t="s">
        <v>127</v>
      </c>
      <c r="P4772" t="s">
        <v>127</v>
      </c>
      <c r="Q4772" t="s">
        <v>127</v>
      </c>
    </row>
    <row r="4773" spans="1:17" x14ac:dyDescent="0.25">
      <c r="A4773" t="str">
        <f>IF(C4773&amp;G4773&amp;D4773&lt;&gt;'Funnel setup'!$K$3&amp;'Funnel setup'!$K$4&amp;'Funnel setup'!$K$6,".",IF(A4772=".",1,A4772+1))</f>
        <v>.</v>
      </c>
      <c r="B4773" s="244" t="str">
        <f t="shared" si="74"/>
        <v>Total Knee ReplacementProviderBLACKHEATH HOSPITAL (NT406)EQ VAS</v>
      </c>
      <c r="C4773" t="s">
        <v>975</v>
      </c>
      <c r="D4773" t="s">
        <v>965</v>
      </c>
      <c r="E4773" t="s">
        <v>168</v>
      </c>
      <c r="F4773" t="s">
        <v>169</v>
      </c>
      <c r="G4773" t="s">
        <v>752</v>
      </c>
      <c r="H4773">
        <v>17</v>
      </c>
      <c r="I4773">
        <v>71.235299999999995</v>
      </c>
      <c r="J4773">
        <v>78.235299999999995</v>
      </c>
      <c r="K4773">
        <v>7</v>
      </c>
      <c r="L4773">
        <v>11</v>
      </c>
      <c r="M4773">
        <v>3</v>
      </c>
      <c r="N4773">
        <v>3</v>
      </c>
      <c r="O4773" t="s">
        <v>127</v>
      </c>
      <c r="P4773" t="s">
        <v>127</v>
      </c>
      <c r="Q4773" t="s">
        <v>127</v>
      </c>
    </row>
    <row r="4774" spans="1:17" x14ac:dyDescent="0.25">
      <c r="A4774" t="str">
        <f>IF(C4774&amp;G4774&amp;D4774&lt;&gt;'Funnel setup'!$K$3&amp;'Funnel setup'!$K$4&amp;'Funnel setup'!$K$6,".",IF(A4773=".",1,A4773+1))</f>
        <v>.</v>
      </c>
      <c r="B4774" s="244" t="str">
        <f t="shared" si="74"/>
        <v>Total Knee ReplacementProviderBLACKPOOL TEACHING HOSPITALS NHS FOUNDATION TRUST (RXL)EQ VAS</v>
      </c>
      <c r="C4774" t="s">
        <v>975</v>
      </c>
      <c r="D4774" t="s">
        <v>965</v>
      </c>
      <c r="E4774" t="s">
        <v>170</v>
      </c>
      <c r="F4774" t="s">
        <v>171</v>
      </c>
      <c r="G4774" t="s">
        <v>752</v>
      </c>
      <c r="H4774">
        <v>55</v>
      </c>
      <c r="I4774">
        <v>67.2727</v>
      </c>
      <c r="J4774">
        <v>69.181799999999996</v>
      </c>
      <c r="K4774">
        <v>1.90909</v>
      </c>
      <c r="L4774">
        <v>24</v>
      </c>
      <c r="M4774">
        <v>9</v>
      </c>
      <c r="N4774">
        <v>22</v>
      </c>
      <c r="O4774">
        <v>72.753200000000007</v>
      </c>
      <c r="P4774">
        <v>7.4474900000000002</v>
      </c>
      <c r="Q4774">
        <v>17.017199999999999</v>
      </c>
    </row>
    <row r="4775" spans="1:17" x14ac:dyDescent="0.25">
      <c r="A4775" t="str">
        <f>IF(C4775&amp;G4775&amp;D4775&lt;&gt;'Funnel setup'!$K$3&amp;'Funnel setup'!$K$4&amp;'Funnel setup'!$K$6,".",IF(A4774=".",1,A4774+1))</f>
        <v>.</v>
      </c>
      <c r="B4775" s="244" t="str">
        <f t="shared" si="74"/>
        <v>Total Knee ReplacementProviderBOLTON NHS FOUNDATION TRUST (RMC)EQ VAS</v>
      </c>
      <c r="C4775" t="s">
        <v>975</v>
      </c>
      <c r="D4775" t="s">
        <v>965</v>
      </c>
      <c r="E4775" t="s">
        <v>172</v>
      </c>
      <c r="F4775" t="s">
        <v>173</v>
      </c>
      <c r="G4775" t="s">
        <v>752</v>
      </c>
      <c r="H4775">
        <v>51</v>
      </c>
      <c r="I4775">
        <v>68.039199999999994</v>
      </c>
      <c r="J4775">
        <v>72.352900000000005</v>
      </c>
      <c r="K4775">
        <v>4.3137299999999996</v>
      </c>
      <c r="L4775">
        <v>25</v>
      </c>
      <c r="M4775">
        <v>10</v>
      </c>
      <c r="N4775">
        <v>16</v>
      </c>
      <c r="O4775">
        <v>74.100999999999999</v>
      </c>
      <c r="P4775">
        <v>8.7952999999999992</v>
      </c>
      <c r="Q4775">
        <v>15.664199999999999</v>
      </c>
    </row>
    <row r="4776" spans="1:17" x14ac:dyDescent="0.25">
      <c r="A4776" t="str">
        <f>IF(C4776&amp;G4776&amp;D4776&lt;&gt;'Funnel setup'!$K$3&amp;'Funnel setup'!$K$4&amp;'Funnel setup'!$K$6,".",IF(A4775=".",1,A4775+1))</f>
        <v>.</v>
      </c>
      <c r="B4776" s="244" t="str">
        <f t="shared" si="74"/>
        <v>Total Knee ReplacementProviderBRADFORD TEACHING HOSPITALS NHS FOUNDATION TRUST (RAE)EQ VAS</v>
      </c>
      <c r="C4776" t="s">
        <v>975</v>
      </c>
      <c r="D4776" t="s">
        <v>965</v>
      </c>
      <c r="E4776" t="s">
        <v>174</v>
      </c>
      <c r="F4776" t="s">
        <v>175</v>
      </c>
      <c r="G4776" t="s">
        <v>752</v>
      </c>
      <c r="H4776">
        <v>5</v>
      </c>
      <c r="I4776">
        <v>60</v>
      </c>
      <c r="J4776">
        <v>72.2</v>
      </c>
      <c r="K4776">
        <v>12.2</v>
      </c>
      <c r="L4776">
        <v>4</v>
      </c>
      <c r="M4776">
        <v>0</v>
      </c>
      <c r="N4776">
        <v>1</v>
      </c>
      <c r="O4776" t="s">
        <v>127</v>
      </c>
      <c r="P4776" t="s">
        <v>127</v>
      </c>
      <c r="Q4776" t="s">
        <v>127</v>
      </c>
    </row>
    <row r="4777" spans="1:17" x14ac:dyDescent="0.25">
      <c r="A4777" t="str">
        <f>IF(C4777&amp;G4777&amp;D4777&lt;&gt;'Funnel setup'!$K$3&amp;'Funnel setup'!$K$4&amp;'Funnel setup'!$K$6,".",IF(A4776=".",1,A4776+1))</f>
        <v>.</v>
      </c>
      <c r="B4777" s="244" t="str">
        <f t="shared" si="74"/>
        <v>Total Knee ReplacementProviderBUCKINGHAMSHIRE HEALTHCARE NHS TRUST (RXQ)EQ VAS</v>
      </c>
      <c r="C4777" t="s">
        <v>975</v>
      </c>
      <c r="D4777" t="s">
        <v>965</v>
      </c>
      <c r="E4777" t="s">
        <v>178</v>
      </c>
      <c r="F4777" t="s">
        <v>179</v>
      </c>
      <c r="G4777" t="s">
        <v>752</v>
      </c>
      <c r="H4777">
        <v>74</v>
      </c>
      <c r="I4777">
        <v>64.891900000000007</v>
      </c>
      <c r="J4777">
        <v>71.716200000000001</v>
      </c>
      <c r="K4777">
        <v>6.8243200000000002</v>
      </c>
      <c r="L4777">
        <v>44</v>
      </c>
      <c r="M4777">
        <v>6</v>
      </c>
      <c r="N4777">
        <v>24</v>
      </c>
      <c r="O4777">
        <v>71.342299999999994</v>
      </c>
      <c r="P4777">
        <v>6.0365500000000001</v>
      </c>
      <c r="Q4777">
        <v>18.458200000000001</v>
      </c>
    </row>
    <row r="4778" spans="1:17" x14ac:dyDescent="0.25">
      <c r="A4778" t="str">
        <f>IF(C4778&amp;G4778&amp;D4778&lt;&gt;'Funnel setup'!$K$3&amp;'Funnel setup'!$K$4&amp;'Funnel setup'!$K$6,".",IF(A4777=".",1,A4777+1))</f>
        <v>.</v>
      </c>
      <c r="B4778" s="244" t="str">
        <f t="shared" si="74"/>
        <v>Total Knee ReplacementProviderCALDERDALE AND HUDDERSFIELD NHS FOUNDATION TRUST (RWY)EQ VAS</v>
      </c>
      <c r="C4778" t="s">
        <v>975</v>
      </c>
      <c r="D4778" t="s">
        <v>965</v>
      </c>
      <c r="E4778" t="s">
        <v>180</v>
      </c>
      <c r="F4778" t="s">
        <v>181</v>
      </c>
      <c r="G4778" t="s">
        <v>752</v>
      </c>
      <c r="H4778">
        <v>55</v>
      </c>
      <c r="I4778">
        <v>66.636399999999995</v>
      </c>
      <c r="J4778">
        <v>69.127300000000005</v>
      </c>
      <c r="K4778">
        <v>2.49091</v>
      </c>
      <c r="L4778">
        <v>26</v>
      </c>
      <c r="M4778">
        <v>6</v>
      </c>
      <c r="N4778">
        <v>23</v>
      </c>
      <c r="O4778">
        <v>69.4846</v>
      </c>
      <c r="P4778">
        <v>4.1788600000000002</v>
      </c>
      <c r="Q4778">
        <v>17.477399999999999</v>
      </c>
    </row>
    <row r="4779" spans="1:17" x14ac:dyDescent="0.25">
      <c r="A4779" t="str">
        <f>IF(C4779&amp;G4779&amp;D4779&lt;&gt;'Funnel setup'!$K$3&amp;'Funnel setup'!$K$4&amp;'Funnel setup'!$K$6,".",IF(A4778=".",1,A4778+1))</f>
        <v>.</v>
      </c>
      <c r="B4779" s="244" t="str">
        <f t="shared" si="74"/>
        <v>Total Knee ReplacementProviderCAMBRIDGE UNIVERSITY HOSPITALS NHS FOUNDATION TRUST (RGT)EQ VAS</v>
      </c>
      <c r="C4779" t="s">
        <v>975</v>
      </c>
      <c r="D4779" t="s">
        <v>965</v>
      </c>
      <c r="E4779" t="s">
        <v>182</v>
      </c>
      <c r="F4779" t="s">
        <v>183</v>
      </c>
      <c r="G4779" t="s">
        <v>752</v>
      </c>
      <c r="H4779">
        <v>51</v>
      </c>
      <c r="I4779">
        <v>52.882399999999997</v>
      </c>
      <c r="J4779">
        <v>63.235300000000002</v>
      </c>
      <c r="K4779">
        <v>10.3529</v>
      </c>
      <c r="L4779">
        <v>29</v>
      </c>
      <c r="M4779">
        <v>5</v>
      </c>
      <c r="N4779">
        <v>17</v>
      </c>
      <c r="O4779">
        <v>71.662199999999999</v>
      </c>
      <c r="P4779">
        <v>6.3565199999999997</v>
      </c>
      <c r="Q4779">
        <v>21.79</v>
      </c>
    </row>
    <row r="4780" spans="1:17" x14ac:dyDescent="0.25">
      <c r="A4780" t="str">
        <f>IF(C4780&amp;G4780&amp;D4780&lt;&gt;'Funnel setup'!$K$3&amp;'Funnel setup'!$K$4&amp;'Funnel setup'!$K$6,".",IF(A4779=".",1,A4779+1))</f>
        <v>.</v>
      </c>
      <c r="B4780" s="244" t="str">
        <f t="shared" si="74"/>
        <v>Total Knee ReplacementProviderCAVELL HOSPITAL (NT451)EQ VAS</v>
      </c>
      <c r="C4780" t="s">
        <v>975</v>
      </c>
      <c r="D4780" t="s">
        <v>965</v>
      </c>
      <c r="E4780" t="s">
        <v>184</v>
      </c>
      <c r="F4780" t="s">
        <v>185</v>
      </c>
      <c r="G4780" t="s">
        <v>752</v>
      </c>
      <c r="H4780">
        <v>35</v>
      </c>
      <c r="I4780">
        <v>65.2286</v>
      </c>
      <c r="J4780">
        <v>76.971400000000003</v>
      </c>
      <c r="K4780">
        <v>11.742900000000001</v>
      </c>
      <c r="L4780">
        <v>23</v>
      </c>
      <c r="M4780">
        <v>4</v>
      </c>
      <c r="N4780">
        <v>8</v>
      </c>
      <c r="O4780">
        <v>75.630499999999998</v>
      </c>
      <c r="P4780">
        <v>10.3248</v>
      </c>
      <c r="Q4780">
        <v>14.6228</v>
      </c>
    </row>
    <row r="4781" spans="1:17" x14ac:dyDescent="0.25">
      <c r="A4781" t="str">
        <f>IF(C4781&amp;G4781&amp;D4781&lt;&gt;'Funnel setup'!$K$3&amp;'Funnel setup'!$K$4&amp;'Funnel setup'!$K$6,".",IF(A4780=".",1,A4780+1))</f>
        <v>.</v>
      </c>
      <c r="B4781" s="244" t="str">
        <f t="shared" si="74"/>
        <v>Total Knee ReplacementProviderCHAUCER HOSPITAL (NT408)EQ VAS</v>
      </c>
      <c r="C4781" t="s">
        <v>975</v>
      </c>
      <c r="D4781" t="s">
        <v>965</v>
      </c>
      <c r="E4781" t="s">
        <v>186</v>
      </c>
      <c r="F4781" t="s">
        <v>187</v>
      </c>
      <c r="G4781" t="s">
        <v>752</v>
      </c>
      <c r="H4781">
        <v>43</v>
      </c>
      <c r="I4781">
        <v>68.604699999999994</v>
      </c>
      <c r="J4781">
        <v>78.441900000000004</v>
      </c>
      <c r="K4781">
        <v>9.8372100000000007</v>
      </c>
      <c r="L4781">
        <v>24</v>
      </c>
      <c r="M4781">
        <v>6</v>
      </c>
      <c r="N4781">
        <v>13</v>
      </c>
      <c r="O4781">
        <v>75.405500000000004</v>
      </c>
      <c r="P4781">
        <v>10.0998</v>
      </c>
      <c r="Q4781">
        <v>11.905799999999999</v>
      </c>
    </row>
    <row r="4782" spans="1:17" x14ac:dyDescent="0.25">
      <c r="A4782" t="str">
        <f>IF(C4782&amp;G4782&amp;D4782&lt;&gt;'Funnel setup'!$K$3&amp;'Funnel setup'!$K$4&amp;'Funnel setup'!$K$6,".",IF(A4781=".",1,A4781+1))</f>
        <v>.</v>
      </c>
      <c r="B4782" s="244" t="str">
        <f t="shared" si="74"/>
        <v>Total Knee ReplacementProviderCHELSEA AND WESTMINSTER HOSPITAL NHS FOUNDATION TRUST (RQM)EQ VAS</v>
      </c>
      <c r="C4782" t="s">
        <v>975</v>
      </c>
      <c r="D4782" t="s">
        <v>965</v>
      </c>
      <c r="E4782" t="s">
        <v>188</v>
      </c>
      <c r="F4782" t="s">
        <v>189</v>
      </c>
      <c r="G4782" t="s">
        <v>752</v>
      </c>
      <c r="H4782">
        <v>6</v>
      </c>
      <c r="I4782">
        <v>77.5</v>
      </c>
      <c r="J4782">
        <v>70</v>
      </c>
      <c r="K4782">
        <v>-7.5</v>
      </c>
      <c r="L4782">
        <v>4</v>
      </c>
      <c r="M4782">
        <v>0</v>
      </c>
      <c r="N4782">
        <v>2</v>
      </c>
      <c r="O4782" t="s">
        <v>127</v>
      </c>
      <c r="P4782" t="s">
        <v>127</v>
      </c>
      <c r="Q4782" t="s">
        <v>127</v>
      </c>
    </row>
    <row r="4783" spans="1:17" x14ac:dyDescent="0.25">
      <c r="A4783" t="str">
        <f>IF(C4783&amp;G4783&amp;D4783&lt;&gt;'Funnel setup'!$K$3&amp;'Funnel setup'!$K$4&amp;'Funnel setup'!$K$6,".",IF(A4782=".",1,A4782+1))</f>
        <v>.</v>
      </c>
      <c r="B4783" s="244" t="str">
        <f t="shared" si="74"/>
        <v>Total Knee ReplacementProviderCHELSFIELD PARK HOSPITAL (NT409)EQ VAS</v>
      </c>
      <c r="C4783" t="s">
        <v>975</v>
      </c>
      <c r="D4783" t="s">
        <v>965</v>
      </c>
      <c r="E4783" t="s">
        <v>190</v>
      </c>
      <c r="F4783" t="s">
        <v>191</v>
      </c>
      <c r="G4783" t="s">
        <v>752</v>
      </c>
      <c r="H4783">
        <v>28</v>
      </c>
      <c r="I4783">
        <v>72.142899999999997</v>
      </c>
      <c r="J4783">
        <v>85</v>
      </c>
      <c r="K4783">
        <v>12.857100000000001</v>
      </c>
      <c r="L4783">
        <v>20</v>
      </c>
      <c r="M4783">
        <v>3</v>
      </c>
      <c r="N4783">
        <v>5</v>
      </c>
      <c r="O4783" t="s">
        <v>127</v>
      </c>
      <c r="P4783" t="s">
        <v>127</v>
      </c>
      <c r="Q4783" t="s">
        <v>127</v>
      </c>
    </row>
    <row r="4784" spans="1:17" x14ac:dyDescent="0.25">
      <c r="A4784" t="str">
        <f>IF(C4784&amp;G4784&amp;D4784&lt;&gt;'Funnel setup'!$K$3&amp;'Funnel setup'!$K$4&amp;'Funnel setup'!$K$6,".",IF(A4783=".",1,A4783+1))</f>
        <v>.</v>
      </c>
      <c r="B4784" s="244" t="str">
        <f t="shared" si="74"/>
        <v>Total Knee ReplacementProviderCHESTERFIELD ROYAL HOSPITAL NHS FOUNDATION TRUST (RFS)EQ VAS</v>
      </c>
      <c r="C4784" t="s">
        <v>975</v>
      </c>
      <c r="D4784" t="s">
        <v>965</v>
      </c>
      <c r="E4784" t="s">
        <v>192</v>
      </c>
      <c r="F4784" t="s">
        <v>193</v>
      </c>
      <c r="G4784" t="s">
        <v>752</v>
      </c>
      <c r="H4784">
        <v>57</v>
      </c>
      <c r="I4784">
        <v>64.982500000000002</v>
      </c>
      <c r="J4784">
        <v>66.754400000000004</v>
      </c>
      <c r="K4784">
        <v>1.77193</v>
      </c>
      <c r="L4784">
        <v>32</v>
      </c>
      <c r="M4784">
        <v>4</v>
      </c>
      <c r="N4784">
        <v>21</v>
      </c>
      <c r="O4784">
        <v>70.077100000000002</v>
      </c>
      <c r="P4784">
        <v>4.7713999999999999</v>
      </c>
      <c r="Q4784">
        <v>22.0884</v>
      </c>
    </row>
    <row r="4785" spans="1:17" x14ac:dyDescent="0.25">
      <c r="A4785" t="str">
        <f>IF(C4785&amp;G4785&amp;D4785&lt;&gt;'Funnel setup'!$K$3&amp;'Funnel setup'!$K$4&amp;'Funnel setup'!$K$6,".",IF(A4784=".",1,A4784+1))</f>
        <v>.</v>
      </c>
      <c r="B4785" s="244" t="str">
        <f t="shared" si="74"/>
        <v>Total Knee ReplacementProviderCHILTERN HOSPITAL (NT410)EQ VAS</v>
      </c>
      <c r="C4785" t="s">
        <v>975</v>
      </c>
      <c r="D4785" t="s">
        <v>965</v>
      </c>
      <c r="E4785" t="s">
        <v>194</v>
      </c>
      <c r="F4785" t="s">
        <v>195</v>
      </c>
      <c r="G4785" t="s">
        <v>752</v>
      </c>
      <c r="H4785">
        <v>71</v>
      </c>
      <c r="I4785">
        <v>72.056299999999993</v>
      </c>
      <c r="J4785">
        <v>82.422499999999999</v>
      </c>
      <c r="K4785">
        <v>10.366199999999999</v>
      </c>
      <c r="L4785">
        <v>47</v>
      </c>
      <c r="M4785">
        <v>9</v>
      </c>
      <c r="N4785">
        <v>15</v>
      </c>
      <c r="O4785">
        <v>76.936800000000005</v>
      </c>
      <c r="P4785">
        <v>11.6311</v>
      </c>
      <c r="Q4785">
        <v>13.7164</v>
      </c>
    </row>
    <row r="4786" spans="1:17" x14ac:dyDescent="0.25">
      <c r="A4786" t="str">
        <f>IF(C4786&amp;G4786&amp;D4786&lt;&gt;'Funnel setup'!$K$3&amp;'Funnel setup'!$K$4&amp;'Funnel setup'!$K$6,".",IF(A4785=".",1,A4785+1))</f>
        <v>.</v>
      </c>
      <c r="B4786" s="244" t="str">
        <f t="shared" si="74"/>
        <v>Total Knee ReplacementProviderCIRCLE BATH HOSPITAL (NV302)EQ VAS</v>
      </c>
      <c r="C4786" t="s">
        <v>975</v>
      </c>
      <c r="D4786" t="s">
        <v>965</v>
      </c>
      <c r="E4786" t="s">
        <v>196</v>
      </c>
      <c r="F4786" t="s">
        <v>197</v>
      </c>
      <c r="G4786" t="s">
        <v>752</v>
      </c>
      <c r="H4786">
        <v>12</v>
      </c>
      <c r="I4786">
        <v>65.5</v>
      </c>
      <c r="J4786">
        <v>77.333299999999994</v>
      </c>
      <c r="K4786">
        <v>11.833299999999999</v>
      </c>
      <c r="L4786">
        <v>7</v>
      </c>
      <c r="M4786">
        <v>2</v>
      </c>
      <c r="N4786">
        <v>3</v>
      </c>
      <c r="O4786" t="s">
        <v>127</v>
      </c>
      <c r="P4786" t="s">
        <v>127</v>
      </c>
      <c r="Q4786" t="s">
        <v>127</v>
      </c>
    </row>
    <row r="4787" spans="1:17" x14ac:dyDescent="0.25">
      <c r="A4787" t="str">
        <f>IF(C4787&amp;G4787&amp;D4787&lt;&gt;'Funnel setup'!$K$3&amp;'Funnel setup'!$K$4&amp;'Funnel setup'!$K$6,".",IF(A4786=".",1,A4786+1))</f>
        <v>.</v>
      </c>
      <c r="B4787" s="244" t="str">
        <f t="shared" si="74"/>
        <v>Total Knee ReplacementProviderCIRCLE READING HOSPITAL (NV323)EQ VAS</v>
      </c>
      <c r="C4787" t="s">
        <v>975</v>
      </c>
      <c r="D4787" t="s">
        <v>965</v>
      </c>
      <c r="E4787" t="s">
        <v>198</v>
      </c>
      <c r="F4787" t="s">
        <v>199</v>
      </c>
      <c r="G4787" t="s">
        <v>752</v>
      </c>
      <c r="H4787">
        <v>59</v>
      </c>
      <c r="I4787">
        <v>45.694899999999997</v>
      </c>
      <c r="J4787">
        <v>80.423699999999997</v>
      </c>
      <c r="K4787">
        <v>34.7288</v>
      </c>
      <c r="L4787">
        <v>56</v>
      </c>
      <c r="M4787">
        <v>2</v>
      </c>
      <c r="N4787">
        <v>1</v>
      </c>
      <c r="O4787">
        <v>81.257400000000004</v>
      </c>
      <c r="P4787">
        <v>15.951700000000001</v>
      </c>
      <c r="Q4787">
        <v>12.944800000000001</v>
      </c>
    </row>
    <row r="4788" spans="1:17" x14ac:dyDescent="0.25">
      <c r="A4788" t="str">
        <f>IF(C4788&amp;G4788&amp;D4788&lt;&gt;'Funnel setup'!$K$3&amp;'Funnel setup'!$K$4&amp;'Funnel setup'!$K$6,".",IF(A4787=".",1,A4787+1))</f>
        <v>.</v>
      </c>
      <c r="B4788" s="244" t="str">
        <f t="shared" si="74"/>
        <v>Total Knee ReplacementProviderCLEMENTINE CHURCHILL HOSPITAL (NT411)EQ VAS</v>
      </c>
      <c r="C4788" t="s">
        <v>975</v>
      </c>
      <c r="D4788" t="s">
        <v>965</v>
      </c>
      <c r="E4788" t="s">
        <v>200</v>
      </c>
      <c r="F4788" t="s">
        <v>201</v>
      </c>
      <c r="G4788" t="s">
        <v>752</v>
      </c>
      <c r="H4788">
        <v>27</v>
      </c>
      <c r="I4788">
        <v>60.964300000000001</v>
      </c>
      <c r="J4788">
        <v>72.392899999999997</v>
      </c>
      <c r="K4788">
        <v>11.428599999999999</v>
      </c>
      <c r="L4788">
        <v>18</v>
      </c>
      <c r="M4788">
        <v>0</v>
      </c>
      <c r="N4788">
        <v>9</v>
      </c>
      <c r="O4788" t="s">
        <v>127</v>
      </c>
      <c r="P4788" t="s">
        <v>127</v>
      </c>
      <c r="Q4788" t="s">
        <v>127</v>
      </c>
    </row>
    <row r="4789" spans="1:17" x14ac:dyDescent="0.25">
      <c r="A4789" t="str">
        <f>IF(C4789&amp;G4789&amp;D4789&lt;&gt;'Funnel setup'!$K$3&amp;'Funnel setup'!$K$4&amp;'Funnel setup'!$K$6,".",IF(A4788=".",1,A4788+1))</f>
        <v>.</v>
      </c>
      <c r="B4789" s="244" t="str">
        <f t="shared" si="74"/>
        <v>Total Knee ReplacementProviderCLIFTON PARK HOSPITAL (NVC28)EQ VAS</v>
      </c>
      <c r="C4789" t="s">
        <v>975</v>
      </c>
      <c r="D4789" t="s">
        <v>965</v>
      </c>
      <c r="E4789" t="s">
        <v>202</v>
      </c>
      <c r="F4789" t="s">
        <v>203</v>
      </c>
      <c r="G4789" t="s">
        <v>752</v>
      </c>
      <c r="H4789">
        <v>63</v>
      </c>
      <c r="I4789">
        <v>55.587299999999999</v>
      </c>
      <c r="J4789">
        <v>74.825400000000002</v>
      </c>
      <c r="K4789">
        <v>19.238099999999999</v>
      </c>
      <c r="L4789">
        <v>47</v>
      </c>
      <c r="M4789">
        <v>0</v>
      </c>
      <c r="N4789">
        <v>16</v>
      </c>
      <c r="O4789">
        <v>75.207999999999998</v>
      </c>
      <c r="P4789">
        <v>9.9023299999999992</v>
      </c>
      <c r="Q4789">
        <v>17.318899999999999</v>
      </c>
    </row>
    <row r="4790" spans="1:17" x14ac:dyDescent="0.25">
      <c r="A4790" t="str">
        <f>IF(C4790&amp;G4790&amp;D4790&lt;&gt;'Funnel setup'!$K$3&amp;'Funnel setup'!$K$4&amp;'Funnel setup'!$K$6,".",IF(A4789=".",1,A4789+1))</f>
        <v>.</v>
      </c>
      <c r="B4790" s="244" t="str">
        <f t="shared" si="74"/>
        <v>Total Knee ReplacementProviderCOUNTESS OF CHESTER HOSPITAL NHS FOUNDATION TRUST (RJR)EQ VAS</v>
      </c>
      <c r="C4790" t="s">
        <v>975</v>
      </c>
      <c r="D4790" t="s">
        <v>965</v>
      </c>
      <c r="E4790" t="s">
        <v>204</v>
      </c>
      <c r="F4790" t="s">
        <v>205</v>
      </c>
      <c r="G4790" t="s">
        <v>752</v>
      </c>
      <c r="H4790">
        <v>25</v>
      </c>
      <c r="I4790">
        <v>76.44</v>
      </c>
      <c r="J4790">
        <v>75.319999999999993</v>
      </c>
      <c r="K4790">
        <v>-1.1200000000000001</v>
      </c>
      <c r="L4790">
        <v>11</v>
      </c>
      <c r="M4790">
        <v>5</v>
      </c>
      <c r="N4790">
        <v>9</v>
      </c>
      <c r="O4790" t="s">
        <v>127</v>
      </c>
      <c r="P4790" t="s">
        <v>127</v>
      </c>
      <c r="Q4790" t="s">
        <v>127</v>
      </c>
    </row>
    <row r="4791" spans="1:17" x14ac:dyDescent="0.25">
      <c r="A4791" t="str">
        <f>IF(C4791&amp;G4791&amp;D4791&lt;&gt;'Funnel setup'!$K$3&amp;'Funnel setup'!$K$4&amp;'Funnel setup'!$K$6,".",IF(A4790=".",1,A4790+1))</f>
        <v>.</v>
      </c>
      <c r="B4791" s="244" t="str">
        <f t="shared" si="74"/>
        <v>Total Knee ReplacementProviderCOUNTY DURHAM AND DARLINGTON NHS FOUNDATION TRUST (RXP)EQ VAS</v>
      </c>
      <c r="C4791" t="s">
        <v>975</v>
      </c>
      <c r="D4791" t="s">
        <v>965</v>
      </c>
      <c r="E4791" t="s">
        <v>206</v>
      </c>
      <c r="F4791" t="s">
        <v>207</v>
      </c>
      <c r="G4791" t="s">
        <v>752</v>
      </c>
      <c r="H4791">
        <v>124</v>
      </c>
      <c r="I4791">
        <v>64.741900000000001</v>
      </c>
      <c r="J4791">
        <v>73.887100000000004</v>
      </c>
      <c r="K4791">
        <v>9.1451600000000006</v>
      </c>
      <c r="L4791">
        <v>72</v>
      </c>
      <c r="M4791">
        <v>13</v>
      </c>
      <c r="N4791">
        <v>39</v>
      </c>
      <c r="O4791">
        <v>73.858199999999997</v>
      </c>
      <c r="P4791">
        <v>8.5524500000000003</v>
      </c>
      <c r="Q4791">
        <v>15.9657</v>
      </c>
    </row>
    <row r="4792" spans="1:17" x14ac:dyDescent="0.25">
      <c r="A4792" t="str">
        <f>IF(C4792&amp;G4792&amp;D4792&lt;&gt;'Funnel setup'!$K$3&amp;'Funnel setup'!$K$4&amp;'Funnel setup'!$K$6,".",IF(A4791=".",1,A4791+1))</f>
        <v>.</v>
      </c>
      <c r="B4792" s="244" t="str">
        <f t="shared" si="74"/>
        <v>Total Knee ReplacementProviderDONCASTER AND BASSETLAW TEACHING HOSPITALS NHS FOUNDATION TRUST (RP5)EQ VAS</v>
      </c>
      <c r="C4792" t="s">
        <v>975</v>
      </c>
      <c r="D4792" t="s">
        <v>965</v>
      </c>
      <c r="E4792" t="s">
        <v>212</v>
      </c>
      <c r="F4792" t="s">
        <v>213</v>
      </c>
      <c r="G4792" t="s">
        <v>752</v>
      </c>
      <c r="H4792">
        <v>80</v>
      </c>
      <c r="I4792">
        <v>59.35</v>
      </c>
      <c r="J4792">
        <v>64.737499999999997</v>
      </c>
      <c r="K4792">
        <v>5.3875000000000002</v>
      </c>
      <c r="L4792">
        <v>50</v>
      </c>
      <c r="M4792">
        <v>6</v>
      </c>
      <c r="N4792">
        <v>24</v>
      </c>
      <c r="O4792">
        <v>69.5702</v>
      </c>
      <c r="P4792">
        <v>4.2644500000000001</v>
      </c>
      <c r="Q4792">
        <v>20.420999999999999</v>
      </c>
    </row>
    <row r="4793" spans="1:17" x14ac:dyDescent="0.25">
      <c r="A4793" t="str">
        <f>IF(C4793&amp;G4793&amp;D4793&lt;&gt;'Funnel setup'!$K$3&amp;'Funnel setup'!$K$4&amp;'Funnel setup'!$K$6,".",IF(A4792=".",1,A4792+1))</f>
        <v>.</v>
      </c>
      <c r="B4793" s="244" t="str">
        <f t="shared" si="74"/>
        <v>Total Knee ReplacementProviderDORSET COUNTY HOSPITAL NHS FOUNDATION TRUST (RBD)EQ VAS</v>
      </c>
      <c r="C4793" t="s">
        <v>975</v>
      </c>
      <c r="D4793" t="s">
        <v>965</v>
      </c>
      <c r="E4793" t="s">
        <v>214</v>
      </c>
      <c r="F4793" t="s">
        <v>215</v>
      </c>
      <c r="G4793" t="s">
        <v>752</v>
      </c>
      <c r="H4793">
        <v>13</v>
      </c>
      <c r="I4793">
        <v>66.769199999999998</v>
      </c>
      <c r="J4793">
        <v>74.923100000000005</v>
      </c>
      <c r="K4793">
        <v>8.1538500000000003</v>
      </c>
      <c r="L4793">
        <v>6</v>
      </c>
      <c r="M4793">
        <v>3</v>
      </c>
      <c r="N4793">
        <v>4</v>
      </c>
      <c r="O4793" t="s">
        <v>127</v>
      </c>
      <c r="P4793" t="s">
        <v>127</v>
      </c>
      <c r="Q4793" t="s">
        <v>127</v>
      </c>
    </row>
    <row r="4794" spans="1:17" x14ac:dyDescent="0.25">
      <c r="A4794" t="str">
        <f>IF(C4794&amp;G4794&amp;D4794&lt;&gt;'Funnel setup'!$K$3&amp;'Funnel setup'!$K$4&amp;'Funnel setup'!$K$6,".",IF(A4793=".",1,A4793+1))</f>
        <v>.</v>
      </c>
      <c r="B4794" s="244" t="str">
        <f t="shared" si="74"/>
        <v>Total Knee ReplacementProviderDROITWICH SPA HOSPITAL (NT412)EQ VAS</v>
      </c>
      <c r="C4794" t="s">
        <v>975</v>
      </c>
      <c r="D4794" t="s">
        <v>965</v>
      </c>
      <c r="E4794" t="s">
        <v>216</v>
      </c>
      <c r="F4794" t="s">
        <v>217</v>
      </c>
      <c r="G4794" t="s">
        <v>752</v>
      </c>
      <c r="H4794">
        <v>21</v>
      </c>
      <c r="I4794">
        <v>68.095200000000006</v>
      </c>
      <c r="J4794">
        <v>77.142899999999997</v>
      </c>
      <c r="K4794">
        <v>9.0476200000000002</v>
      </c>
      <c r="L4794">
        <v>13</v>
      </c>
      <c r="M4794">
        <v>1</v>
      </c>
      <c r="N4794">
        <v>7</v>
      </c>
      <c r="O4794" t="s">
        <v>127</v>
      </c>
      <c r="P4794" t="s">
        <v>127</v>
      </c>
      <c r="Q4794" t="s">
        <v>127</v>
      </c>
    </row>
    <row r="4795" spans="1:17" x14ac:dyDescent="0.25">
      <c r="A4795" t="str">
        <f>IF(C4795&amp;G4795&amp;D4795&lt;&gt;'Funnel setup'!$K$3&amp;'Funnel setup'!$K$4&amp;'Funnel setup'!$K$6,".",IF(A4794=".",1,A4794+1))</f>
        <v>.</v>
      </c>
      <c r="B4795" s="244" t="str">
        <f t="shared" si="74"/>
        <v>Total Knee ReplacementProviderDUCHY HOSPITAL (NT447)EQ VAS</v>
      </c>
      <c r="C4795" t="s">
        <v>975</v>
      </c>
      <c r="D4795" t="s">
        <v>965</v>
      </c>
      <c r="E4795" t="s">
        <v>218</v>
      </c>
      <c r="F4795" t="s">
        <v>219</v>
      </c>
      <c r="G4795" t="s">
        <v>752</v>
      </c>
      <c r="H4795">
        <v>28</v>
      </c>
      <c r="I4795">
        <v>68.285700000000006</v>
      </c>
      <c r="J4795">
        <v>81.678600000000003</v>
      </c>
      <c r="K4795">
        <v>13.392899999999999</v>
      </c>
      <c r="L4795">
        <v>19</v>
      </c>
      <c r="M4795">
        <v>4</v>
      </c>
      <c r="N4795">
        <v>5</v>
      </c>
      <c r="O4795" t="s">
        <v>127</v>
      </c>
      <c r="P4795" t="s">
        <v>127</v>
      </c>
      <c r="Q4795" t="s">
        <v>127</v>
      </c>
    </row>
    <row r="4796" spans="1:17" x14ac:dyDescent="0.25">
      <c r="A4796" t="str">
        <f>IF(C4796&amp;G4796&amp;D4796&lt;&gt;'Funnel setup'!$K$3&amp;'Funnel setup'!$K$4&amp;'Funnel setup'!$K$6,".",IF(A4795=".",1,A4795+1))</f>
        <v>.</v>
      </c>
      <c r="B4796" s="244" t="str">
        <f t="shared" si="74"/>
        <v>Total Knee ReplacementProviderDUCHY HOSPITAL (NVC04)EQ VAS</v>
      </c>
      <c r="C4796" t="s">
        <v>975</v>
      </c>
      <c r="D4796" t="s">
        <v>965</v>
      </c>
      <c r="E4796" t="s">
        <v>220</v>
      </c>
      <c r="F4796" t="s">
        <v>221</v>
      </c>
      <c r="G4796" t="s">
        <v>752</v>
      </c>
      <c r="H4796">
        <v>29</v>
      </c>
      <c r="I4796">
        <v>56.344799999999999</v>
      </c>
      <c r="J4796">
        <v>74.896600000000007</v>
      </c>
      <c r="K4796">
        <v>18.5517</v>
      </c>
      <c r="L4796">
        <v>21</v>
      </c>
      <c r="M4796">
        <v>3</v>
      </c>
      <c r="N4796">
        <v>5</v>
      </c>
      <c r="O4796" t="s">
        <v>127</v>
      </c>
      <c r="P4796" t="s">
        <v>127</v>
      </c>
      <c r="Q4796" t="s">
        <v>127</v>
      </c>
    </row>
    <row r="4797" spans="1:17" x14ac:dyDescent="0.25">
      <c r="A4797" t="str">
        <f>IF(C4797&amp;G4797&amp;D4797&lt;&gt;'Funnel setup'!$K$3&amp;'Funnel setup'!$K$4&amp;'Funnel setup'!$K$6,".",IF(A4796=".",1,A4796+1))</f>
        <v>.</v>
      </c>
      <c r="B4797" s="244" t="str">
        <f t="shared" si="74"/>
        <v>Total Knee ReplacementProviderEAST AND NORTH HERTFORDSHIRE NHS TRUST (RWH)EQ VAS</v>
      </c>
      <c r="C4797" t="s">
        <v>975</v>
      </c>
      <c r="D4797" t="s">
        <v>965</v>
      </c>
      <c r="E4797" t="s">
        <v>224</v>
      </c>
      <c r="F4797" t="s">
        <v>225</v>
      </c>
      <c r="G4797" t="s">
        <v>752</v>
      </c>
      <c r="H4797">
        <v>25</v>
      </c>
      <c r="I4797">
        <v>58.16</v>
      </c>
      <c r="J4797">
        <v>70.8</v>
      </c>
      <c r="K4797">
        <v>12.64</v>
      </c>
      <c r="L4797">
        <v>19</v>
      </c>
      <c r="M4797">
        <v>2</v>
      </c>
      <c r="N4797">
        <v>4</v>
      </c>
      <c r="O4797" t="s">
        <v>127</v>
      </c>
      <c r="P4797" t="s">
        <v>127</v>
      </c>
      <c r="Q4797" t="s">
        <v>127</v>
      </c>
    </row>
    <row r="4798" spans="1:17" x14ac:dyDescent="0.25">
      <c r="A4798" t="str">
        <f>IF(C4798&amp;G4798&amp;D4798&lt;&gt;'Funnel setup'!$K$3&amp;'Funnel setup'!$K$4&amp;'Funnel setup'!$K$6,".",IF(A4797=".",1,A4797+1))</f>
        <v>.</v>
      </c>
      <c r="B4798" s="244" t="str">
        <f t="shared" si="74"/>
        <v>Total Knee ReplacementProviderEAST CHESHIRE NHS TRUST (RJN)EQ VAS</v>
      </c>
      <c r="C4798" t="s">
        <v>975</v>
      </c>
      <c r="D4798" t="s">
        <v>965</v>
      </c>
      <c r="E4798" t="s">
        <v>226</v>
      </c>
      <c r="F4798" t="s">
        <v>227</v>
      </c>
      <c r="G4798" t="s">
        <v>752</v>
      </c>
      <c r="H4798">
        <v>5</v>
      </c>
      <c r="I4798">
        <v>48</v>
      </c>
      <c r="J4798">
        <v>68.8</v>
      </c>
      <c r="K4798">
        <v>20.8</v>
      </c>
      <c r="L4798">
        <v>4</v>
      </c>
      <c r="M4798">
        <v>0</v>
      </c>
      <c r="N4798">
        <v>1</v>
      </c>
      <c r="O4798" t="s">
        <v>127</v>
      </c>
      <c r="P4798" t="s">
        <v>127</v>
      </c>
      <c r="Q4798" t="s">
        <v>127</v>
      </c>
    </row>
    <row r="4799" spans="1:17" x14ac:dyDescent="0.25">
      <c r="A4799" t="str">
        <f>IF(C4799&amp;G4799&amp;D4799&lt;&gt;'Funnel setup'!$K$3&amp;'Funnel setup'!$K$4&amp;'Funnel setup'!$K$6,".",IF(A4798=".",1,A4798+1))</f>
        <v>.</v>
      </c>
      <c r="B4799" s="244" t="str">
        <f t="shared" si="74"/>
        <v>Total Knee ReplacementProviderEAST KENT HOSPITALS UNIVERSITY NHS FOUNDATION TRUST (RVV)EQ VAS</v>
      </c>
      <c r="C4799" t="s">
        <v>975</v>
      </c>
      <c r="D4799" t="s">
        <v>965</v>
      </c>
      <c r="E4799" t="s">
        <v>228</v>
      </c>
      <c r="F4799" t="s">
        <v>229</v>
      </c>
      <c r="G4799" t="s">
        <v>752</v>
      </c>
      <c r="H4799">
        <v>90</v>
      </c>
      <c r="I4799">
        <v>62.877800000000001</v>
      </c>
      <c r="J4799">
        <v>71.900000000000006</v>
      </c>
      <c r="K4799">
        <v>9.0222200000000008</v>
      </c>
      <c r="L4799">
        <v>59</v>
      </c>
      <c r="M4799">
        <v>7</v>
      </c>
      <c r="N4799">
        <v>24</v>
      </c>
      <c r="O4799">
        <v>75.874300000000005</v>
      </c>
      <c r="P4799">
        <v>10.5686</v>
      </c>
      <c r="Q4799">
        <v>18.058</v>
      </c>
    </row>
    <row r="4800" spans="1:17" x14ac:dyDescent="0.25">
      <c r="A4800" t="str">
        <f>IF(C4800&amp;G4800&amp;D4800&lt;&gt;'Funnel setup'!$K$3&amp;'Funnel setup'!$K$4&amp;'Funnel setup'!$K$6,".",IF(A4799=".",1,A4799+1))</f>
        <v>.</v>
      </c>
      <c r="B4800" s="244" t="str">
        <f t="shared" si="74"/>
        <v>Total Knee ReplacementProviderEAST LANCASHIRE HOSPITALS NHS TRUST (RXR)EQ VAS</v>
      </c>
      <c r="C4800" t="s">
        <v>975</v>
      </c>
      <c r="D4800" t="s">
        <v>965</v>
      </c>
      <c r="E4800" t="s">
        <v>230</v>
      </c>
      <c r="F4800" t="s">
        <v>231</v>
      </c>
      <c r="G4800" t="s">
        <v>752</v>
      </c>
      <c r="H4800">
        <v>83</v>
      </c>
      <c r="I4800">
        <v>64.807199999999995</v>
      </c>
      <c r="J4800">
        <v>72.530100000000004</v>
      </c>
      <c r="K4800">
        <v>7.7228899999999996</v>
      </c>
      <c r="L4800">
        <v>50</v>
      </c>
      <c r="M4800">
        <v>8</v>
      </c>
      <c r="N4800">
        <v>25</v>
      </c>
      <c r="O4800">
        <v>73.033199999999994</v>
      </c>
      <c r="P4800">
        <v>7.7274799999999999</v>
      </c>
      <c r="Q4800">
        <v>21.0276</v>
      </c>
    </row>
    <row r="4801" spans="1:17" x14ac:dyDescent="0.25">
      <c r="A4801" t="str">
        <f>IF(C4801&amp;G4801&amp;D4801&lt;&gt;'Funnel setup'!$K$3&amp;'Funnel setup'!$K$4&amp;'Funnel setup'!$K$6,".",IF(A4800=".",1,A4800+1))</f>
        <v>.</v>
      </c>
      <c r="B4801" s="244" t="str">
        <f t="shared" si="74"/>
        <v>Total Knee ReplacementProviderEAST SUFFOLK AND NORTH ESSEX NHS FOUNDATION TRUST (RDE)EQ VAS</v>
      </c>
      <c r="C4801" t="s">
        <v>975</v>
      </c>
      <c r="D4801" t="s">
        <v>965</v>
      </c>
      <c r="E4801" t="s">
        <v>232</v>
      </c>
      <c r="F4801" t="s">
        <v>233</v>
      </c>
      <c r="G4801" t="s">
        <v>752</v>
      </c>
      <c r="H4801">
        <v>122</v>
      </c>
      <c r="I4801">
        <v>60.967199999999998</v>
      </c>
      <c r="J4801">
        <v>74.426199999999994</v>
      </c>
      <c r="K4801">
        <v>13.459</v>
      </c>
      <c r="L4801">
        <v>76</v>
      </c>
      <c r="M4801">
        <v>9</v>
      </c>
      <c r="N4801">
        <v>37</v>
      </c>
      <c r="O4801">
        <v>76.150300000000001</v>
      </c>
      <c r="P4801">
        <v>10.8446</v>
      </c>
      <c r="Q4801">
        <v>16.372199999999999</v>
      </c>
    </row>
    <row r="4802" spans="1:17" x14ac:dyDescent="0.25">
      <c r="A4802" t="str">
        <f>IF(C4802&amp;G4802&amp;D4802&lt;&gt;'Funnel setup'!$K$3&amp;'Funnel setup'!$K$4&amp;'Funnel setup'!$K$6,".",IF(A4801=".",1,A4801+1))</f>
        <v>.</v>
      </c>
      <c r="B4802" s="244" t="str">
        <f t="shared" ref="B4802:B4865" si="75">C4802&amp;D4802&amp;F4802&amp;G4802</f>
        <v>Total Knee ReplacementProviderEAST SUSSEX HEALTHCARE NHS TRUST (RXC)EQ VAS</v>
      </c>
      <c r="C4802" t="s">
        <v>975</v>
      </c>
      <c r="D4802" t="s">
        <v>965</v>
      </c>
      <c r="E4802" t="s">
        <v>234</v>
      </c>
      <c r="F4802" t="s">
        <v>235</v>
      </c>
      <c r="G4802" t="s">
        <v>752</v>
      </c>
      <c r="H4802">
        <v>76</v>
      </c>
      <c r="I4802">
        <v>61.197400000000002</v>
      </c>
      <c r="J4802">
        <v>68.552599999999998</v>
      </c>
      <c r="K4802">
        <v>7.3552600000000004</v>
      </c>
      <c r="L4802">
        <v>45</v>
      </c>
      <c r="M4802">
        <v>7</v>
      </c>
      <c r="N4802">
        <v>24</v>
      </c>
      <c r="O4802">
        <v>71.430700000000002</v>
      </c>
      <c r="P4802">
        <v>6.1249700000000002</v>
      </c>
      <c r="Q4802">
        <v>16.027000000000001</v>
      </c>
    </row>
    <row r="4803" spans="1:17" x14ac:dyDescent="0.25">
      <c r="A4803" t="str">
        <f>IF(C4803&amp;G4803&amp;D4803&lt;&gt;'Funnel setup'!$K$3&amp;'Funnel setup'!$K$4&amp;'Funnel setup'!$K$6,".",IF(A4802=".",1,A4802+1))</f>
        <v>.</v>
      </c>
      <c r="B4803" s="244" t="str">
        <f t="shared" si="75"/>
        <v>Total Knee ReplacementProviderEPSOM AND ST HELIER UNIVERSITY HOSPITALS NHS TRUST (RVR)EQ VAS</v>
      </c>
      <c r="C4803" t="s">
        <v>975</v>
      </c>
      <c r="D4803" t="s">
        <v>965</v>
      </c>
      <c r="E4803" t="s">
        <v>238</v>
      </c>
      <c r="F4803" t="s">
        <v>239</v>
      </c>
      <c r="G4803" t="s">
        <v>752</v>
      </c>
      <c r="H4803">
        <v>665</v>
      </c>
      <c r="I4803">
        <v>63.953400000000002</v>
      </c>
      <c r="J4803">
        <v>74.006</v>
      </c>
      <c r="K4803">
        <v>10.0526</v>
      </c>
      <c r="L4803">
        <v>432</v>
      </c>
      <c r="M4803">
        <v>67</v>
      </c>
      <c r="N4803">
        <v>166</v>
      </c>
      <c r="O4803">
        <v>74.401399999999995</v>
      </c>
      <c r="P4803">
        <v>9.0956600000000005</v>
      </c>
      <c r="Q4803">
        <v>18.157599999999999</v>
      </c>
    </row>
    <row r="4804" spans="1:17" x14ac:dyDescent="0.25">
      <c r="A4804" t="str">
        <f>IF(C4804&amp;G4804&amp;D4804&lt;&gt;'Funnel setup'!$K$3&amp;'Funnel setup'!$K$4&amp;'Funnel setup'!$K$6,".",IF(A4803=".",1,A4803+1))</f>
        <v>.</v>
      </c>
      <c r="B4804" s="244" t="str">
        <f t="shared" si="75"/>
        <v>Total Knee ReplacementProviderEUXTON HALL HOSPITAL (NVC05)EQ VAS</v>
      </c>
      <c r="C4804" t="s">
        <v>975</v>
      </c>
      <c r="D4804" t="s">
        <v>965</v>
      </c>
      <c r="E4804" t="s">
        <v>240</v>
      </c>
      <c r="F4804" t="s">
        <v>241</v>
      </c>
      <c r="G4804" t="s">
        <v>752</v>
      </c>
      <c r="H4804">
        <v>52</v>
      </c>
      <c r="I4804">
        <v>61.679200000000002</v>
      </c>
      <c r="J4804">
        <v>78.283000000000001</v>
      </c>
      <c r="K4804">
        <v>16.6038</v>
      </c>
      <c r="L4804">
        <v>42</v>
      </c>
      <c r="M4804">
        <v>3</v>
      </c>
      <c r="N4804">
        <v>7</v>
      </c>
      <c r="O4804">
        <v>78.076599999999999</v>
      </c>
      <c r="P4804">
        <v>12.770899999999999</v>
      </c>
      <c r="Q4804">
        <v>16.085599999999999</v>
      </c>
    </row>
    <row r="4805" spans="1:17" x14ac:dyDescent="0.25">
      <c r="A4805" t="str">
        <f>IF(C4805&amp;G4805&amp;D4805&lt;&gt;'Funnel setup'!$K$3&amp;'Funnel setup'!$K$4&amp;'Funnel setup'!$K$6,".",IF(A4804=".",1,A4804+1))</f>
        <v>.</v>
      </c>
      <c r="B4805" s="244" t="str">
        <f t="shared" si="75"/>
        <v>Total Knee ReplacementProviderFAIRFIELD HOSPITAL (NVG01)EQ VAS</v>
      </c>
      <c r="C4805" t="s">
        <v>975</v>
      </c>
      <c r="D4805" t="s">
        <v>965</v>
      </c>
      <c r="E4805" t="s">
        <v>242</v>
      </c>
      <c r="F4805" t="s">
        <v>243</v>
      </c>
      <c r="G4805" t="s">
        <v>752</v>
      </c>
      <c r="H4805">
        <v>47</v>
      </c>
      <c r="I4805">
        <v>69.233999999999995</v>
      </c>
      <c r="J4805">
        <v>68.531899999999993</v>
      </c>
      <c r="K4805">
        <v>-0.70212799999999997</v>
      </c>
      <c r="L4805">
        <v>21</v>
      </c>
      <c r="M4805">
        <v>5</v>
      </c>
      <c r="N4805">
        <v>21</v>
      </c>
      <c r="O4805">
        <v>66.601200000000006</v>
      </c>
      <c r="P4805">
        <v>1.2954600000000001</v>
      </c>
      <c r="Q4805">
        <v>19.7288</v>
      </c>
    </row>
    <row r="4806" spans="1:17" x14ac:dyDescent="0.25">
      <c r="A4806" t="str">
        <f>IF(C4806&amp;G4806&amp;D4806&lt;&gt;'Funnel setup'!$K$3&amp;'Funnel setup'!$K$4&amp;'Funnel setup'!$K$6,".",IF(A4805=".",1,A4805+1))</f>
        <v>.</v>
      </c>
      <c r="B4806" s="244" t="str">
        <f t="shared" si="75"/>
        <v>Total Knee ReplacementProviderFITZWILLIAM HOSPITAL (NVC06)EQ VAS</v>
      </c>
      <c r="C4806" t="s">
        <v>975</v>
      </c>
      <c r="D4806" t="s">
        <v>965</v>
      </c>
      <c r="E4806" t="s">
        <v>244</v>
      </c>
      <c r="F4806" t="s">
        <v>245</v>
      </c>
      <c r="G4806" t="s">
        <v>752</v>
      </c>
      <c r="H4806">
        <v>89</v>
      </c>
      <c r="I4806">
        <v>73.404499999999999</v>
      </c>
      <c r="J4806">
        <v>76.0899</v>
      </c>
      <c r="K4806">
        <v>2.6853899999999999</v>
      </c>
      <c r="L4806">
        <v>44</v>
      </c>
      <c r="M4806">
        <v>14</v>
      </c>
      <c r="N4806">
        <v>31</v>
      </c>
      <c r="O4806">
        <v>72.174700000000001</v>
      </c>
      <c r="P4806">
        <v>6.8690300000000004</v>
      </c>
      <c r="Q4806">
        <v>14.5875</v>
      </c>
    </row>
    <row r="4807" spans="1:17" x14ac:dyDescent="0.25">
      <c r="A4807" t="str">
        <f>IF(C4807&amp;G4807&amp;D4807&lt;&gt;'Funnel setup'!$K$3&amp;'Funnel setup'!$K$4&amp;'Funnel setup'!$K$6,".",IF(A4806=".",1,A4806+1))</f>
        <v>.</v>
      </c>
      <c r="B4807" s="244" t="str">
        <f t="shared" si="75"/>
        <v>Total Knee ReplacementProviderFRIMLEY HEALTH NHS FOUNDATION TRUST (RDU)EQ VAS</v>
      </c>
      <c r="C4807" t="s">
        <v>975</v>
      </c>
      <c r="D4807" t="s">
        <v>965</v>
      </c>
      <c r="E4807" t="s">
        <v>248</v>
      </c>
      <c r="F4807" t="s">
        <v>249</v>
      </c>
      <c r="G4807" t="s">
        <v>752</v>
      </c>
      <c r="H4807">
        <v>171</v>
      </c>
      <c r="I4807">
        <v>67.304100000000005</v>
      </c>
      <c r="J4807">
        <v>73.578900000000004</v>
      </c>
      <c r="K4807">
        <v>6.2748499999999998</v>
      </c>
      <c r="L4807">
        <v>95</v>
      </c>
      <c r="M4807">
        <v>18</v>
      </c>
      <c r="N4807">
        <v>58</v>
      </c>
      <c r="O4807">
        <v>72.164599999999993</v>
      </c>
      <c r="P4807">
        <v>6.8589200000000003</v>
      </c>
      <c r="Q4807">
        <v>16.7773</v>
      </c>
    </row>
    <row r="4808" spans="1:17" x14ac:dyDescent="0.25">
      <c r="A4808" t="str">
        <f>IF(C4808&amp;G4808&amp;D4808&lt;&gt;'Funnel setup'!$K$3&amp;'Funnel setup'!$K$4&amp;'Funnel setup'!$K$6,".",IF(A4807=".",1,A4807+1))</f>
        <v>.</v>
      </c>
      <c r="B4808" s="244" t="str">
        <f t="shared" si="75"/>
        <v>Total Knee ReplacementProviderFULWOOD HALL HOSPITAL (NVC07)EQ VAS</v>
      </c>
      <c r="C4808" t="s">
        <v>975</v>
      </c>
      <c r="D4808" t="s">
        <v>965</v>
      </c>
      <c r="E4808" t="s">
        <v>250</v>
      </c>
      <c r="F4808" t="s">
        <v>251</v>
      </c>
      <c r="G4808" t="s">
        <v>752</v>
      </c>
      <c r="H4808">
        <v>75</v>
      </c>
      <c r="I4808">
        <v>65.680000000000007</v>
      </c>
      <c r="J4808">
        <v>77.306700000000006</v>
      </c>
      <c r="K4808">
        <v>11.6267</v>
      </c>
      <c r="L4808">
        <v>55</v>
      </c>
      <c r="M4808">
        <v>4</v>
      </c>
      <c r="N4808">
        <v>16</v>
      </c>
      <c r="O4808">
        <v>75.833200000000005</v>
      </c>
      <c r="P4808">
        <v>10.5275</v>
      </c>
      <c r="Q4808">
        <v>16.088200000000001</v>
      </c>
    </row>
    <row r="4809" spans="1:17" x14ac:dyDescent="0.25">
      <c r="A4809" t="str">
        <f>IF(C4809&amp;G4809&amp;D4809&lt;&gt;'Funnel setup'!$K$3&amp;'Funnel setup'!$K$4&amp;'Funnel setup'!$K$6,".",IF(A4808=".",1,A4808+1))</f>
        <v>.</v>
      </c>
      <c r="B4809" s="244" t="str">
        <f t="shared" si="75"/>
        <v>Total Knee ReplacementProviderGATESHEAD HEALTH NHS FOUNDATION TRUST (RR7)EQ VAS</v>
      </c>
      <c r="C4809" t="s">
        <v>975</v>
      </c>
      <c r="D4809" t="s">
        <v>965</v>
      </c>
      <c r="E4809" t="s">
        <v>252</v>
      </c>
      <c r="F4809" t="s">
        <v>253</v>
      </c>
      <c r="G4809" t="s">
        <v>752</v>
      </c>
      <c r="H4809">
        <v>40</v>
      </c>
      <c r="I4809">
        <v>57.6</v>
      </c>
      <c r="J4809">
        <v>73.275000000000006</v>
      </c>
      <c r="K4809">
        <v>15.675000000000001</v>
      </c>
      <c r="L4809">
        <v>29</v>
      </c>
      <c r="M4809">
        <v>4</v>
      </c>
      <c r="N4809">
        <v>7</v>
      </c>
      <c r="O4809">
        <v>79.364599999999996</v>
      </c>
      <c r="P4809">
        <v>14.0588</v>
      </c>
      <c r="Q4809">
        <v>16.9528</v>
      </c>
    </row>
    <row r="4810" spans="1:17" x14ac:dyDescent="0.25">
      <c r="A4810" t="str">
        <f>IF(C4810&amp;G4810&amp;D4810&lt;&gt;'Funnel setup'!$K$3&amp;'Funnel setup'!$K$4&amp;'Funnel setup'!$K$6,".",IF(A4809=".",1,A4809+1))</f>
        <v>.</v>
      </c>
      <c r="B4810" s="244" t="str">
        <f t="shared" si="75"/>
        <v>Total Knee ReplacementProviderGLOUCESTERSHIRE HOSPITALS NHS FOUNDATION TRUST (RTE)EQ VAS</v>
      </c>
      <c r="C4810" t="s">
        <v>975</v>
      </c>
      <c r="D4810" t="s">
        <v>965</v>
      </c>
      <c r="E4810" t="s">
        <v>256</v>
      </c>
      <c r="F4810" t="s">
        <v>257</v>
      </c>
      <c r="G4810" t="s">
        <v>752</v>
      </c>
      <c r="H4810">
        <v>63</v>
      </c>
      <c r="I4810">
        <v>63.460299999999997</v>
      </c>
      <c r="J4810">
        <v>73.015900000000002</v>
      </c>
      <c r="K4810">
        <v>9.5555599999999998</v>
      </c>
      <c r="L4810">
        <v>38</v>
      </c>
      <c r="M4810">
        <v>9</v>
      </c>
      <c r="N4810">
        <v>16</v>
      </c>
      <c r="O4810">
        <v>75.510199999999998</v>
      </c>
      <c r="P4810">
        <v>10.204499999999999</v>
      </c>
      <c r="Q4810">
        <v>16.175000000000001</v>
      </c>
    </row>
    <row r="4811" spans="1:17" x14ac:dyDescent="0.25">
      <c r="A4811" t="str">
        <f>IF(C4811&amp;G4811&amp;D4811&lt;&gt;'Funnel setup'!$K$3&amp;'Funnel setup'!$K$4&amp;'Funnel setup'!$K$6,".",IF(A4810=".",1,A4810+1))</f>
        <v>.</v>
      </c>
      <c r="B4811" s="244" t="str">
        <f t="shared" si="75"/>
        <v>Total Knee ReplacementProviderGORING HALL HOSPITAL (NT417)EQ VAS</v>
      </c>
      <c r="C4811" t="s">
        <v>975</v>
      </c>
      <c r="D4811" t="s">
        <v>965</v>
      </c>
      <c r="E4811" t="s">
        <v>258</v>
      </c>
      <c r="F4811" t="s">
        <v>259</v>
      </c>
      <c r="G4811" t="s">
        <v>752</v>
      </c>
      <c r="H4811">
        <v>24</v>
      </c>
      <c r="I4811">
        <v>64.708299999999994</v>
      </c>
      <c r="J4811">
        <v>69.166700000000006</v>
      </c>
      <c r="K4811">
        <v>4.4583300000000001</v>
      </c>
      <c r="L4811">
        <v>12</v>
      </c>
      <c r="M4811">
        <v>3</v>
      </c>
      <c r="N4811">
        <v>9</v>
      </c>
      <c r="O4811" t="s">
        <v>127</v>
      </c>
      <c r="P4811" t="s">
        <v>127</v>
      </c>
      <c r="Q4811" t="s">
        <v>127</v>
      </c>
    </row>
    <row r="4812" spans="1:17" x14ac:dyDescent="0.25">
      <c r="A4812" t="str">
        <f>IF(C4812&amp;G4812&amp;D4812&lt;&gt;'Funnel setup'!$K$3&amp;'Funnel setup'!$K$4&amp;'Funnel setup'!$K$6,".",IF(A4811=".",1,A4811+1))</f>
        <v>.</v>
      </c>
      <c r="B4812" s="244" t="str">
        <f t="shared" si="75"/>
        <v>Total Knee ReplacementProviderGUY'S AND ST THOMAS' NHS FOUNDATION TRUST (RJ1)EQ VAS</v>
      </c>
      <c r="C4812" t="s">
        <v>975</v>
      </c>
      <c r="D4812" t="s">
        <v>965</v>
      </c>
      <c r="E4812" t="s">
        <v>262</v>
      </c>
      <c r="F4812" t="s">
        <v>263</v>
      </c>
      <c r="G4812" t="s">
        <v>752</v>
      </c>
      <c r="H4812">
        <v>71</v>
      </c>
      <c r="I4812">
        <v>59.408499999999997</v>
      </c>
      <c r="J4812">
        <v>67.549300000000002</v>
      </c>
      <c r="K4812">
        <v>8.1408500000000004</v>
      </c>
      <c r="L4812">
        <v>45</v>
      </c>
      <c r="M4812">
        <v>7</v>
      </c>
      <c r="N4812">
        <v>19</v>
      </c>
      <c r="O4812">
        <v>72.607600000000005</v>
      </c>
      <c r="P4812">
        <v>7.30192</v>
      </c>
      <c r="Q4812">
        <v>16.296800000000001</v>
      </c>
    </row>
    <row r="4813" spans="1:17" x14ac:dyDescent="0.25">
      <c r="A4813" t="str">
        <f>IF(C4813&amp;G4813&amp;D4813&lt;&gt;'Funnel setup'!$K$3&amp;'Funnel setup'!$K$4&amp;'Funnel setup'!$K$6,".",IF(A4812=".",1,A4812+1))</f>
        <v>.</v>
      </c>
      <c r="B4813" s="244" t="str">
        <f t="shared" si="75"/>
        <v>Total Knee ReplacementProviderHAMPSHIRE CLINIC (NT418)EQ VAS</v>
      </c>
      <c r="C4813" t="s">
        <v>975</v>
      </c>
      <c r="D4813" t="s">
        <v>965</v>
      </c>
      <c r="E4813" t="s">
        <v>264</v>
      </c>
      <c r="F4813" t="s">
        <v>265</v>
      </c>
      <c r="G4813" t="s">
        <v>752</v>
      </c>
      <c r="H4813">
        <v>18</v>
      </c>
      <c r="I4813">
        <v>77.888900000000007</v>
      </c>
      <c r="J4813">
        <v>82.611099999999993</v>
      </c>
      <c r="K4813">
        <v>4.7222200000000001</v>
      </c>
      <c r="L4813">
        <v>9</v>
      </c>
      <c r="M4813">
        <v>5</v>
      </c>
      <c r="N4813">
        <v>4</v>
      </c>
      <c r="O4813" t="s">
        <v>127</v>
      </c>
      <c r="P4813" t="s">
        <v>127</v>
      </c>
      <c r="Q4813" t="s">
        <v>127</v>
      </c>
    </row>
    <row r="4814" spans="1:17" x14ac:dyDescent="0.25">
      <c r="A4814" t="str">
        <f>IF(C4814&amp;G4814&amp;D4814&lt;&gt;'Funnel setup'!$K$3&amp;'Funnel setup'!$K$4&amp;'Funnel setup'!$K$6,".",IF(A4813=".",1,A4813+1))</f>
        <v>.</v>
      </c>
      <c r="B4814" s="244" t="str">
        <f t="shared" si="75"/>
        <v>Total Knee ReplacementProviderHAMPSHIRE HOSPITALS NHS FOUNDATION TRUST (RN5)EQ VAS</v>
      </c>
      <c r="C4814" t="s">
        <v>975</v>
      </c>
      <c r="D4814" t="s">
        <v>965</v>
      </c>
      <c r="E4814" t="s">
        <v>266</v>
      </c>
      <c r="F4814" t="s">
        <v>267</v>
      </c>
      <c r="G4814" t="s">
        <v>752</v>
      </c>
      <c r="H4814">
        <v>21</v>
      </c>
      <c r="I4814">
        <v>67.285700000000006</v>
      </c>
      <c r="J4814">
        <v>68.333299999999994</v>
      </c>
      <c r="K4814">
        <v>1.04762</v>
      </c>
      <c r="L4814">
        <v>10</v>
      </c>
      <c r="M4814">
        <v>1</v>
      </c>
      <c r="N4814">
        <v>10</v>
      </c>
      <c r="O4814" t="s">
        <v>127</v>
      </c>
      <c r="P4814" t="s">
        <v>127</v>
      </c>
      <c r="Q4814" t="s">
        <v>127</v>
      </c>
    </row>
    <row r="4815" spans="1:17" x14ac:dyDescent="0.25">
      <c r="A4815" t="str">
        <f>IF(C4815&amp;G4815&amp;D4815&lt;&gt;'Funnel setup'!$K$3&amp;'Funnel setup'!$K$4&amp;'Funnel setup'!$K$6,".",IF(A4814=".",1,A4814+1))</f>
        <v>.</v>
      </c>
      <c r="B4815" s="244" t="str">
        <f t="shared" si="75"/>
        <v>Total Knee ReplacementProviderHARROGATE AND DISTRICT NHS FOUNDATION TRUST (RCD)EQ VAS</v>
      </c>
      <c r="C4815" t="s">
        <v>975</v>
      </c>
      <c r="D4815" t="s">
        <v>965</v>
      </c>
      <c r="E4815" t="s">
        <v>270</v>
      </c>
      <c r="F4815" t="s">
        <v>271</v>
      </c>
      <c r="G4815" t="s">
        <v>752</v>
      </c>
      <c r="H4815">
        <v>84</v>
      </c>
      <c r="I4815">
        <v>63.226199999999999</v>
      </c>
      <c r="J4815">
        <v>70.047600000000003</v>
      </c>
      <c r="K4815">
        <v>6.8214300000000003</v>
      </c>
      <c r="L4815">
        <v>47</v>
      </c>
      <c r="M4815">
        <v>13</v>
      </c>
      <c r="N4815">
        <v>24</v>
      </c>
      <c r="O4815">
        <v>71.628100000000003</v>
      </c>
      <c r="P4815">
        <v>6.3224299999999998</v>
      </c>
      <c r="Q4815">
        <v>18.749199999999998</v>
      </c>
    </row>
    <row r="4816" spans="1:17" x14ac:dyDescent="0.25">
      <c r="A4816" t="str">
        <f>IF(C4816&amp;G4816&amp;D4816&lt;&gt;'Funnel setup'!$K$3&amp;'Funnel setup'!$K$4&amp;'Funnel setup'!$K$6,".",IF(A4815=".",1,A4815+1))</f>
        <v>.</v>
      </c>
      <c r="B4816" s="244" t="str">
        <f t="shared" si="75"/>
        <v>Total Knee ReplacementProviderHIGHFIELD HOSPITAL (NT420)EQ VAS</v>
      </c>
      <c r="C4816" t="s">
        <v>975</v>
      </c>
      <c r="D4816" t="s">
        <v>965</v>
      </c>
      <c r="E4816" t="s">
        <v>272</v>
      </c>
      <c r="F4816" t="s">
        <v>273</v>
      </c>
      <c r="G4816" t="s">
        <v>752</v>
      </c>
      <c r="H4816">
        <v>107</v>
      </c>
      <c r="I4816">
        <v>69.607500000000002</v>
      </c>
      <c r="J4816">
        <v>74.355099999999993</v>
      </c>
      <c r="K4816">
        <v>4.7476599999999998</v>
      </c>
      <c r="L4816">
        <v>55</v>
      </c>
      <c r="M4816">
        <v>10</v>
      </c>
      <c r="N4816">
        <v>42</v>
      </c>
      <c r="O4816">
        <v>70.883799999999994</v>
      </c>
      <c r="P4816">
        <v>5.5780700000000003</v>
      </c>
      <c r="Q4816">
        <v>18.545400000000001</v>
      </c>
    </row>
    <row r="4817" spans="1:17" x14ac:dyDescent="0.25">
      <c r="A4817" t="str">
        <f>IF(C4817&amp;G4817&amp;D4817&lt;&gt;'Funnel setup'!$K$3&amp;'Funnel setup'!$K$4&amp;'Funnel setup'!$K$6,".",IF(A4816=".",1,A4816+1))</f>
        <v>.</v>
      </c>
      <c r="B4817" s="244" t="str">
        <f t="shared" si="75"/>
        <v>Total Knee ReplacementProviderHOMERTON HEALTHCARE NHS FOUNDATION TRUST (RQX)EQ VAS</v>
      </c>
      <c r="C4817" t="s">
        <v>975</v>
      </c>
      <c r="D4817" t="s">
        <v>965</v>
      </c>
      <c r="E4817" t="s">
        <v>274</v>
      </c>
      <c r="F4817" t="s">
        <v>275</v>
      </c>
      <c r="G4817" t="s">
        <v>752</v>
      </c>
      <c r="H4817">
        <v>3</v>
      </c>
      <c r="I4817">
        <v>61.666699999999999</v>
      </c>
      <c r="J4817">
        <v>81</v>
      </c>
      <c r="K4817">
        <v>19.333300000000001</v>
      </c>
      <c r="L4817">
        <v>3</v>
      </c>
      <c r="M4817">
        <v>0</v>
      </c>
      <c r="N4817">
        <v>0</v>
      </c>
      <c r="O4817" t="s">
        <v>127</v>
      </c>
      <c r="P4817" t="s">
        <v>127</v>
      </c>
      <c r="Q4817" t="s">
        <v>127</v>
      </c>
    </row>
    <row r="4818" spans="1:17" x14ac:dyDescent="0.25">
      <c r="A4818" t="str">
        <f>IF(C4818&amp;G4818&amp;D4818&lt;&gt;'Funnel setup'!$K$3&amp;'Funnel setup'!$K$4&amp;'Funnel setup'!$K$6,".",IF(A4817=".",1,A4817+1))</f>
        <v>.</v>
      </c>
      <c r="B4818" s="244" t="str">
        <f t="shared" si="75"/>
        <v>Total Knee ReplacementProviderHUDDERSFIELD HOSPITAL (NT448)EQ VAS</v>
      </c>
      <c r="C4818" t="s">
        <v>975</v>
      </c>
      <c r="D4818" t="s">
        <v>965</v>
      </c>
      <c r="E4818" t="s">
        <v>276</v>
      </c>
      <c r="F4818" t="s">
        <v>277</v>
      </c>
      <c r="G4818" t="s">
        <v>752</v>
      </c>
      <c r="H4818">
        <v>2</v>
      </c>
      <c r="I4818">
        <v>72.5</v>
      </c>
      <c r="J4818">
        <v>58</v>
      </c>
      <c r="K4818">
        <v>-14.5</v>
      </c>
      <c r="L4818">
        <v>0</v>
      </c>
      <c r="M4818">
        <v>0</v>
      </c>
      <c r="N4818">
        <v>2</v>
      </c>
      <c r="O4818" t="s">
        <v>127</v>
      </c>
      <c r="P4818" t="s">
        <v>127</v>
      </c>
      <c r="Q4818" t="s">
        <v>127</v>
      </c>
    </row>
    <row r="4819" spans="1:17" x14ac:dyDescent="0.25">
      <c r="A4819" t="str">
        <f>IF(C4819&amp;G4819&amp;D4819&lt;&gt;'Funnel setup'!$K$3&amp;'Funnel setup'!$K$4&amp;'Funnel setup'!$K$6,".",IF(A4818=".",1,A4818+1))</f>
        <v>.</v>
      </c>
      <c r="B4819" s="244" t="str">
        <f t="shared" si="75"/>
        <v>Total Knee ReplacementProviderHULL UNIVERSITY TEACHING HOSPITALS NHS TRUST (RWA)EQ VAS</v>
      </c>
      <c r="C4819" t="s">
        <v>975</v>
      </c>
      <c r="D4819" t="s">
        <v>965</v>
      </c>
      <c r="E4819" t="s">
        <v>278</v>
      </c>
      <c r="F4819" t="s">
        <v>279</v>
      </c>
      <c r="G4819" t="s">
        <v>752</v>
      </c>
      <c r="H4819">
        <v>30</v>
      </c>
      <c r="I4819">
        <v>65.166700000000006</v>
      </c>
      <c r="J4819">
        <v>72.2667</v>
      </c>
      <c r="K4819">
        <v>7.1</v>
      </c>
      <c r="L4819">
        <v>18</v>
      </c>
      <c r="M4819">
        <v>3</v>
      </c>
      <c r="N4819">
        <v>9</v>
      </c>
      <c r="O4819">
        <v>74.363299999999995</v>
      </c>
      <c r="P4819">
        <v>9.0575899999999994</v>
      </c>
      <c r="Q4819">
        <v>12.680099999999999</v>
      </c>
    </row>
    <row r="4820" spans="1:17" x14ac:dyDescent="0.25">
      <c r="A4820" t="str">
        <f>IF(C4820&amp;G4820&amp;D4820&lt;&gt;'Funnel setup'!$K$3&amp;'Funnel setup'!$K$4&amp;'Funnel setup'!$K$6,".",IF(A4819=".",1,A4819+1))</f>
        <v>.</v>
      </c>
      <c r="B4820" s="244" t="str">
        <f t="shared" si="75"/>
        <v>Total Knee ReplacementProviderIMPERIAL COLLEGE HEALTHCARE NHS TRUST (RYJ)EQ VAS</v>
      </c>
      <c r="C4820" t="s">
        <v>975</v>
      </c>
      <c r="D4820" t="s">
        <v>965</v>
      </c>
      <c r="E4820" t="s">
        <v>280</v>
      </c>
      <c r="F4820" t="s">
        <v>281</v>
      </c>
      <c r="G4820" t="s">
        <v>752</v>
      </c>
      <c r="H4820">
        <v>22</v>
      </c>
      <c r="I4820">
        <v>62.5</v>
      </c>
      <c r="J4820">
        <v>69.045500000000004</v>
      </c>
      <c r="K4820">
        <v>6.5454499999999998</v>
      </c>
      <c r="L4820">
        <v>15</v>
      </c>
      <c r="M4820">
        <v>1</v>
      </c>
      <c r="N4820">
        <v>6</v>
      </c>
      <c r="O4820" t="s">
        <v>127</v>
      </c>
      <c r="P4820" t="s">
        <v>127</v>
      </c>
      <c r="Q4820" t="s">
        <v>127</v>
      </c>
    </row>
    <row r="4821" spans="1:17" x14ac:dyDescent="0.25">
      <c r="A4821" t="str">
        <f>IF(C4821&amp;G4821&amp;D4821&lt;&gt;'Funnel setup'!$K$3&amp;'Funnel setup'!$K$4&amp;'Funnel setup'!$K$6,".",IF(A4820=".",1,A4820+1))</f>
        <v>.</v>
      </c>
      <c r="B4821" s="244" t="str">
        <f t="shared" si="75"/>
        <v>Total Knee ReplacementProviderISLE OF WIGHT NHS TRUST (R1F)EQ VAS</v>
      </c>
      <c r="C4821" t="s">
        <v>975</v>
      </c>
      <c r="D4821" t="s">
        <v>965</v>
      </c>
      <c r="E4821" t="s">
        <v>282</v>
      </c>
      <c r="F4821" t="s">
        <v>283</v>
      </c>
      <c r="G4821" t="s">
        <v>752</v>
      </c>
      <c r="H4821">
        <v>3</v>
      </c>
      <c r="I4821">
        <v>66.666700000000006</v>
      </c>
      <c r="J4821">
        <v>73</v>
      </c>
      <c r="K4821">
        <v>6.3333300000000001</v>
      </c>
      <c r="L4821">
        <v>2</v>
      </c>
      <c r="M4821">
        <v>1</v>
      </c>
      <c r="N4821">
        <v>0</v>
      </c>
      <c r="O4821" t="s">
        <v>127</v>
      </c>
      <c r="P4821" t="s">
        <v>127</v>
      </c>
      <c r="Q4821" t="s">
        <v>127</v>
      </c>
    </row>
    <row r="4822" spans="1:17" x14ac:dyDescent="0.25">
      <c r="A4822" t="str">
        <f>IF(C4822&amp;G4822&amp;D4822&lt;&gt;'Funnel setup'!$K$3&amp;'Funnel setup'!$K$4&amp;'Funnel setup'!$K$6,".",IF(A4821=".",1,A4821+1))</f>
        <v>.</v>
      </c>
      <c r="B4822" s="244" t="str">
        <f t="shared" si="75"/>
        <v>Total Knee ReplacementProviderJAMES PAGET UNIVERSITY HOSPITALS NHS FOUNDATION TRUST (RGP)EQ VAS</v>
      </c>
      <c r="C4822" t="s">
        <v>975</v>
      </c>
      <c r="D4822" t="s">
        <v>965</v>
      </c>
      <c r="E4822" t="s">
        <v>284</v>
      </c>
      <c r="F4822" t="s">
        <v>285</v>
      </c>
      <c r="G4822" t="s">
        <v>752</v>
      </c>
      <c r="H4822">
        <v>55</v>
      </c>
      <c r="I4822">
        <v>61.672699999999999</v>
      </c>
      <c r="J4822">
        <v>75.381799999999998</v>
      </c>
      <c r="K4822">
        <v>13.709099999999999</v>
      </c>
      <c r="L4822">
        <v>40</v>
      </c>
      <c r="M4822">
        <v>4</v>
      </c>
      <c r="N4822">
        <v>11</v>
      </c>
      <c r="O4822">
        <v>77.846599999999995</v>
      </c>
      <c r="P4822">
        <v>12.540900000000001</v>
      </c>
      <c r="Q4822">
        <v>14.6608</v>
      </c>
    </row>
    <row r="4823" spans="1:17" x14ac:dyDescent="0.25">
      <c r="A4823" t="str">
        <f>IF(C4823&amp;G4823&amp;D4823&lt;&gt;'Funnel setup'!$K$3&amp;'Funnel setup'!$K$4&amp;'Funnel setup'!$K$6,".",IF(A4822=".",1,A4822+1))</f>
        <v>.</v>
      </c>
      <c r="B4823" s="244" t="str">
        <f t="shared" si="75"/>
        <v>Total Knee ReplacementProviderKETTERING GENERAL HOSPITAL NHS FOUNDATION TRUST (RNQ)EQ VAS</v>
      </c>
      <c r="C4823" t="s">
        <v>975</v>
      </c>
      <c r="D4823" t="s">
        <v>965</v>
      </c>
      <c r="E4823" t="s">
        <v>286</v>
      </c>
      <c r="F4823" t="s">
        <v>287</v>
      </c>
      <c r="G4823" t="s">
        <v>752</v>
      </c>
      <c r="H4823">
        <v>30</v>
      </c>
      <c r="I4823">
        <v>33.799999999999997</v>
      </c>
      <c r="J4823">
        <v>70.366699999999994</v>
      </c>
      <c r="K4823">
        <v>36.566699999999997</v>
      </c>
      <c r="L4823">
        <v>28</v>
      </c>
      <c r="M4823">
        <v>0</v>
      </c>
      <c r="N4823">
        <v>2</v>
      </c>
      <c r="O4823">
        <v>81.457899999999995</v>
      </c>
      <c r="P4823">
        <v>16.152200000000001</v>
      </c>
      <c r="Q4823">
        <v>20.463799999999999</v>
      </c>
    </row>
    <row r="4824" spans="1:17" x14ac:dyDescent="0.25">
      <c r="A4824" t="str">
        <f>IF(C4824&amp;G4824&amp;D4824&lt;&gt;'Funnel setup'!$K$3&amp;'Funnel setup'!$K$4&amp;'Funnel setup'!$K$6,".",IF(A4823=".",1,A4823+1))</f>
        <v>.</v>
      </c>
      <c r="B4824" s="244" t="str">
        <f t="shared" si="75"/>
        <v>Total Knee ReplacementProviderKIMS HOSPITAL (NEWNHAM COURT) (ADP02)EQ VAS</v>
      </c>
      <c r="C4824" t="s">
        <v>975</v>
      </c>
      <c r="D4824" t="s">
        <v>965</v>
      </c>
      <c r="E4824" t="s">
        <v>288</v>
      </c>
      <c r="F4824" t="s">
        <v>289</v>
      </c>
      <c r="G4824" t="s">
        <v>752</v>
      </c>
      <c r="H4824">
        <v>130</v>
      </c>
      <c r="I4824">
        <v>67.261499999999998</v>
      </c>
      <c r="J4824">
        <v>77.953800000000001</v>
      </c>
      <c r="K4824">
        <v>10.692299999999999</v>
      </c>
      <c r="L4824">
        <v>92</v>
      </c>
      <c r="M4824">
        <v>12</v>
      </c>
      <c r="N4824">
        <v>26</v>
      </c>
      <c r="O4824">
        <v>76.027199999999993</v>
      </c>
      <c r="P4824">
        <v>10.721500000000001</v>
      </c>
      <c r="Q4824">
        <v>15.4603</v>
      </c>
    </row>
    <row r="4825" spans="1:17" x14ac:dyDescent="0.25">
      <c r="A4825" t="str">
        <f>IF(C4825&amp;G4825&amp;D4825&lt;&gt;'Funnel setup'!$K$3&amp;'Funnel setup'!$K$4&amp;'Funnel setup'!$K$6,".",IF(A4824=".",1,A4824+1))</f>
        <v>.</v>
      </c>
      <c r="B4825" s="244" t="str">
        <f t="shared" si="75"/>
        <v>Total Knee ReplacementProviderKING'S COLLEGE HOSPITAL NHS FOUNDATION TRUST (RJZ)EQ VAS</v>
      </c>
      <c r="C4825" t="s">
        <v>975</v>
      </c>
      <c r="D4825" t="s">
        <v>965</v>
      </c>
      <c r="E4825" t="s">
        <v>290</v>
      </c>
      <c r="F4825" t="s">
        <v>291</v>
      </c>
      <c r="G4825" t="s">
        <v>752</v>
      </c>
      <c r="H4825">
        <v>14</v>
      </c>
      <c r="I4825">
        <v>65.5</v>
      </c>
      <c r="J4825">
        <v>66.142899999999997</v>
      </c>
      <c r="K4825">
        <v>0.64285700000000001</v>
      </c>
      <c r="L4825">
        <v>6</v>
      </c>
      <c r="M4825">
        <v>0</v>
      </c>
      <c r="N4825">
        <v>8</v>
      </c>
      <c r="O4825" t="s">
        <v>127</v>
      </c>
      <c r="P4825" t="s">
        <v>127</v>
      </c>
      <c r="Q4825" t="s">
        <v>127</v>
      </c>
    </row>
    <row r="4826" spans="1:17" x14ac:dyDescent="0.25">
      <c r="A4826" t="str">
        <f>IF(C4826&amp;G4826&amp;D4826&lt;&gt;'Funnel setup'!$K$3&amp;'Funnel setup'!$K$4&amp;'Funnel setup'!$K$6,".",IF(A4825=".",1,A4825+1))</f>
        <v>.</v>
      </c>
      <c r="B4826" s="244" t="str">
        <f t="shared" si="75"/>
        <v>Total Knee ReplacementProviderKINGS OAK HOSPITAL (NT421)EQ VAS</v>
      </c>
      <c r="C4826" t="s">
        <v>975</v>
      </c>
      <c r="D4826" t="s">
        <v>965</v>
      </c>
      <c r="E4826" t="s">
        <v>292</v>
      </c>
      <c r="F4826" t="s">
        <v>293</v>
      </c>
      <c r="G4826" t="s">
        <v>752</v>
      </c>
      <c r="H4826">
        <v>6</v>
      </c>
      <c r="I4826">
        <v>54.166699999999999</v>
      </c>
      <c r="J4826">
        <v>68</v>
      </c>
      <c r="K4826">
        <v>13.833299999999999</v>
      </c>
      <c r="L4826">
        <v>4</v>
      </c>
      <c r="M4826">
        <v>1</v>
      </c>
      <c r="N4826">
        <v>1</v>
      </c>
      <c r="O4826" t="s">
        <v>127</v>
      </c>
      <c r="P4826" t="s">
        <v>127</v>
      </c>
      <c r="Q4826" t="s">
        <v>127</v>
      </c>
    </row>
    <row r="4827" spans="1:17" x14ac:dyDescent="0.25">
      <c r="A4827" t="str">
        <f>IF(C4827&amp;G4827&amp;D4827&lt;&gt;'Funnel setup'!$K$3&amp;'Funnel setup'!$K$4&amp;'Funnel setup'!$K$6,".",IF(A4826=".",1,A4826+1))</f>
        <v>.</v>
      </c>
      <c r="B4827" s="244" t="str">
        <f t="shared" si="75"/>
        <v>Total Knee ReplacementProviderLANCASHIRE TEACHING HOSPITALS NHS FOUNDATION TRUST (RXN)EQ VAS</v>
      </c>
      <c r="C4827" t="s">
        <v>975</v>
      </c>
      <c r="D4827" t="s">
        <v>965</v>
      </c>
      <c r="E4827" t="s">
        <v>296</v>
      </c>
      <c r="F4827" t="s">
        <v>297</v>
      </c>
      <c r="G4827" t="s">
        <v>752</v>
      </c>
      <c r="H4827">
        <v>42</v>
      </c>
      <c r="I4827">
        <v>66.476200000000006</v>
      </c>
      <c r="J4827">
        <v>70.976200000000006</v>
      </c>
      <c r="K4827">
        <v>4.5</v>
      </c>
      <c r="L4827">
        <v>25</v>
      </c>
      <c r="M4827">
        <v>3</v>
      </c>
      <c r="N4827">
        <v>14</v>
      </c>
      <c r="O4827">
        <v>74.048599999999993</v>
      </c>
      <c r="P4827">
        <v>8.7428600000000003</v>
      </c>
      <c r="Q4827">
        <v>17.7181</v>
      </c>
    </row>
    <row r="4828" spans="1:17" x14ac:dyDescent="0.25">
      <c r="A4828" t="str">
        <f>IF(C4828&amp;G4828&amp;D4828&lt;&gt;'Funnel setup'!$K$3&amp;'Funnel setup'!$K$4&amp;'Funnel setup'!$K$6,".",IF(A4827=".",1,A4827+1))</f>
        <v>.</v>
      </c>
      <c r="B4828" s="244" t="str">
        <f t="shared" si="75"/>
        <v>Total Knee ReplacementProviderLANCASTER HOSPITAL (NT449)EQ VAS</v>
      </c>
      <c r="C4828" t="s">
        <v>975</v>
      </c>
      <c r="D4828" t="s">
        <v>965</v>
      </c>
      <c r="E4828" t="s">
        <v>298</v>
      </c>
      <c r="F4828" t="s">
        <v>299</v>
      </c>
      <c r="G4828" t="s">
        <v>752</v>
      </c>
      <c r="H4828">
        <v>30</v>
      </c>
      <c r="I4828">
        <v>69.433300000000003</v>
      </c>
      <c r="J4828">
        <v>81.566699999999997</v>
      </c>
      <c r="K4828">
        <v>12.1333</v>
      </c>
      <c r="L4828">
        <v>22</v>
      </c>
      <c r="M4828">
        <v>2</v>
      </c>
      <c r="N4828">
        <v>6</v>
      </c>
      <c r="O4828">
        <v>77.962400000000002</v>
      </c>
      <c r="P4828">
        <v>12.656700000000001</v>
      </c>
      <c r="Q4828">
        <v>10.7936</v>
      </c>
    </row>
    <row r="4829" spans="1:17" x14ac:dyDescent="0.25">
      <c r="A4829" t="str">
        <f>IF(C4829&amp;G4829&amp;D4829&lt;&gt;'Funnel setup'!$K$3&amp;'Funnel setup'!$K$4&amp;'Funnel setup'!$K$6,".",IF(A4828=".",1,A4828+1))</f>
        <v>.</v>
      </c>
      <c r="B4829" s="244" t="str">
        <f t="shared" si="75"/>
        <v>Total Knee ReplacementProviderLEEDS TEACHING HOSPITALS NHS TRUST (RR8)EQ VAS</v>
      </c>
      <c r="C4829" t="s">
        <v>975</v>
      </c>
      <c r="D4829" t="s">
        <v>965</v>
      </c>
      <c r="E4829" t="s">
        <v>300</v>
      </c>
      <c r="F4829" t="s">
        <v>301</v>
      </c>
      <c r="G4829" t="s">
        <v>752</v>
      </c>
      <c r="H4829">
        <v>101</v>
      </c>
      <c r="I4829">
        <v>59.8416</v>
      </c>
      <c r="J4829">
        <v>70.594099999999997</v>
      </c>
      <c r="K4829">
        <v>10.7525</v>
      </c>
      <c r="L4829">
        <v>66</v>
      </c>
      <c r="M4829">
        <v>13</v>
      </c>
      <c r="N4829">
        <v>22</v>
      </c>
      <c r="O4829">
        <v>74.066900000000004</v>
      </c>
      <c r="P4829">
        <v>8.7611600000000003</v>
      </c>
      <c r="Q4829">
        <v>15.829599999999999</v>
      </c>
    </row>
    <row r="4830" spans="1:17" x14ac:dyDescent="0.25">
      <c r="A4830" t="str">
        <f>IF(C4830&amp;G4830&amp;D4830&lt;&gt;'Funnel setup'!$K$3&amp;'Funnel setup'!$K$4&amp;'Funnel setup'!$K$6,".",IF(A4829=".",1,A4829+1))</f>
        <v>.</v>
      </c>
      <c r="B4830" s="244" t="str">
        <f t="shared" si="75"/>
        <v>Total Knee ReplacementProviderLINCOLN HOSPITAL (NT450)EQ VAS</v>
      </c>
      <c r="C4830" t="s">
        <v>975</v>
      </c>
      <c r="D4830" t="s">
        <v>965</v>
      </c>
      <c r="E4830" t="s">
        <v>304</v>
      </c>
      <c r="F4830" t="s">
        <v>305</v>
      </c>
      <c r="G4830" t="s">
        <v>752</v>
      </c>
      <c r="H4830">
        <v>66</v>
      </c>
      <c r="I4830">
        <v>65.477599999999995</v>
      </c>
      <c r="J4830">
        <v>77.537300000000002</v>
      </c>
      <c r="K4830">
        <v>12.059699999999999</v>
      </c>
      <c r="L4830">
        <v>45</v>
      </c>
      <c r="M4830">
        <v>4</v>
      </c>
      <c r="N4830">
        <v>17</v>
      </c>
      <c r="O4830">
        <v>76.681700000000006</v>
      </c>
      <c r="P4830">
        <v>11.375999999999999</v>
      </c>
      <c r="Q4830">
        <v>15.3766</v>
      </c>
    </row>
    <row r="4831" spans="1:17" x14ac:dyDescent="0.25">
      <c r="A4831" t="str">
        <f>IF(C4831&amp;G4831&amp;D4831&lt;&gt;'Funnel setup'!$K$3&amp;'Funnel setup'!$K$4&amp;'Funnel setup'!$K$6,".",IF(A4830=".",1,A4830+1))</f>
        <v>.</v>
      </c>
      <c r="B4831" s="244" t="str">
        <f t="shared" si="75"/>
        <v>Total Knee ReplacementProviderLIVERPOOL UNIVERSITY HOSPITALS NHS FOUNDATION TRUST (REM)EQ VAS</v>
      </c>
      <c r="C4831" t="s">
        <v>975</v>
      </c>
      <c r="D4831" t="s">
        <v>965</v>
      </c>
      <c r="E4831" t="s">
        <v>306</v>
      </c>
      <c r="F4831" t="s">
        <v>307</v>
      </c>
      <c r="G4831" t="s">
        <v>752</v>
      </c>
      <c r="H4831">
        <v>58</v>
      </c>
      <c r="I4831">
        <v>63.948300000000003</v>
      </c>
      <c r="J4831">
        <v>71.793099999999995</v>
      </c>
      <c r="K4831">
        <v>7.84483</v>
      </c>
      <c r="L4831">
        <v>32</v>
      </c>
      <c r="M4831">
        <v>6</v>
      </c>
      <c r="N4831">
        <v>20</v>
      </c>
      <c r="O4831">
        <v>74.184700000000007</v>
      </c>
      <c r="P4831">
        <v>8.8789700000000007</v>
      </c>
      <c r="Q4831">
        <v>16.6966</v>
      </c>
    </row>
    <row r="4832" spans="1:17" x14ac:dyDescent="0.25">
      <c r="A4832" t="str">
        <f>IF(C4832&amp;G4832&amp;D4832&lt;&gt;'Funnel setup'!$K$3&amp;'Funnel setup'!$K$4&amp;'Funnel setup'!$K$6,".",IF(A4831=".",1,A4831+1))</f>
        <v>.</v>
      </c>
      <c r="B4832" s="244" t="str">
        <f t="shared" si="75"/>
        <v>Total Knee ReplacementProviderLONDON INDEPENDENT HOSPITAL (NT422)EQ VAS</v>
      </c>
      <c r="C4832" t="s">
        <v>975</v>
      </c>
      <c r="D4832" t="s">
        <v>965</v>
      </c>
      <c r="E4832" t="s">
        <v>308</v>
      </c>
      <c r="F4832" t="s">
        <v>309</v>
      </c>
      <c r="G4832" t="s">
        <v>752</v>
      </c>
      <c r="H4832">
        <v>8</v>
      </c>
      <c r="I4832">
        <v>56.25</v>
      </c>
      <c r="J4832">
        <v>57.25</v>
      </c>
      <c r="K4832">
        <v>1</v>
      </c>
      <c r="L4832">
        <v>4</v>
      </c>
      <c r="M4832">
        <v>0</v>
      </c>
      <c r="N4832">
        <v>4</v>
      </c>
      <c r="O4832" t="s">
        <v>127</v>
      </c>
      <c r="P4832" t="s">
        <v>127</v>
      </c>
      <c r="Q4832" t="s">
        <v>127</v>
      </c>
    </row>
    <row r="4833" spans="1:17" x14ac:dyDescent="0.25">
      <c r="A4833" t="str">
        <f>IF(C4833&amp;G4833&amp;D4833&lt;&gt;'Funnel setup'!$K$3&amp;'Funnel setup'!$K$4&amp;'Funnel setup'!$K$6,".",IF(A4832=".",1,A4832+1))</f>
        <v>.</v>
      </c>
      <c r="B4833" s="244" t="str">
        <f t="shared" si="75"/>
        <v>Total Knee ReplacementProviderMAIDSTONE AND TUNBRIDGE WELLS NHS TRUST (RWF)EQ VAS</v>
      </c>
      <c r="C4833" t="s">
        <v>975</v>
      </c>
      <c r="D4833" t="s">
        <v>965</v>
      </c>
      <c r="E4833" t="s">
        <v>312</v>
      </c>
      <c r="F4833" t="s">
        <v>313</v>
      </c>
      <c r="G4833" t="s">
        <v>752</v>
      </c>
      <c r="H4833">
        <v>130</v>
      </c>
      <c r="I4833">
        <v>67.476900000000001</v>
      </c>
      <c r="J4833">
        <v>76.784599999999998</v>
      </c>
      <c r="K4833">
        <v>9.3076899999999991</v>
      </c>
      <c r="L4833">
        <v>81</v>
      </c>
      <c r="M4833">
        <v>12</v>
      </c>
      <c r="N4833">
        <v>37</v>
      </c>
      <c r="O4833">
        <v>75.228499999999997</v>
      </c>
      <c r="P4833">
        <v>9.9227500000000006</v>
      </c>
      <c r="Q4833">
        <v>15.595000000000001</v>
      </c>
    </row>
    <row r="4834" spans="1:17" x14ac:dyDescent="0.25">
      <c r="A4834" t="str">
        <f>IF(C4834&amp;G4834&amp;D4834&lt;&gt;'Funnel setup'!$K$3&amp;'Funnel setup'!$K$4&amp;'Funnel setup'!$K$6,".",IF(A4833=".",1,A4833+1))</f>
        <v>.</v>
      </c>
      <c r="B4834" s="244" t="str">
        <f t="shared" si="75"/>
        <v>Total Knee ReplacementProviderMANCHESTER UNIVERSITY NHS FOUNDATION TRUST (R0A)EQ VAS</v>
      </c>
      <c r="C4834" t="s">
        <v>975</v>
      </c>
      <c r="D4834" t="s">
        <v>965</v>
      </c>
      <c r="E4834" t="s">
        <v>316</v>
      </c>
      <c r="F4834" t="s">
        <v>317</v>
      </c>
      <c r="G4834" t="s">
        <v>752</v>
      </c>
      <c r="H4834">
        <v>94</v>
      </c>
      <c r="I4834">
        <v>60.212800000000001</v>
      </c>
      <c r="J4834">
        <v>70.638300000000001</v>
      </c>
      <c r="K4834">
        <v>10.4255</v>
      </c>
      <c r="L4834">
        <v>57</v>
      </c>
      <c r="M4834">
        <v>11</v>
      </c>
      <c r="N4834">
        <v>26</v>
      </c>
      <c r="O4834">
        <v>73.279899999999998</v>
      </c>
      <c r="P4834">
        <v>7.9741900000000001</v>
      </c>
      <c r="Q4834">
        <v>20.444199999999999</v>
      </c>
    </row>
    <row r="4835" spans="1:17" x14ac:dyDescent="0.25">
      <c r="A4835" t="str">
        <f>IF(C4835&amp;G4835&amp;D4835&lt;&gt;'Funnel setup'!$K$3&amp;'Funnel setup'!$K$4&amp;'Funnel setup'!$K$6,".",IF(A4834=".",1,A4834+1))</f>
        <v>.</v>
      </c>
      <c r="B4835" s="244" t="str">
        <f t="shared" si="75"/>
        <v>Total Knee ReplacementProviderMANOR HOSPITAL (NT423)EQ VAS</v>
      </c>
      <c r="C4835" t="s">
        <v>975</v>
      </c>
      <c r="D4835" t="s">
        <v>965</v>
      </c>
      <c r="E4835" t="s">
        <v>318</v>
      </c>
      <c r="F4835" t="s">
        <v>319</v>
      </c>
      <c r="G4835" t="s">
        <v>752</v>
      </c>
      <c r="H4835">
        <v>13</v>
      </c>
      <c r="I4835">
        <v>69</v>
      </c>
      <c r="J4835">
        <v>72.461500000000001</v>
      </c>
      <c r="K4835">
        <v>3.4615399999999998</v>
      </c>
      <c r="L4835">
        <v>8</v>
      </c>
      <c r="M4835">
        <v>2</v>
      </c>
      <c r="N4835">
        <v>3</v>
      </c>
      <c r="O4835" t="s">
        <v>127</v>
      </c>
      <c r="P4835" t="s">
        <v>127</v>
      </c>
      <c r="Q4835" t="s">
        <v>127</v>
      </c>
    </row>
    <row r="4836" spans="1:17" x14ac:dyDescent="0.25">
      <c r="A4836" t="str">
        <f>IF(C4836&amp;G4836&amp;D4836&lt;&gt;'Funnel setup'!$K$3&amp;'Funnel setup'!$K$4&amp;'Funnel setup'!$K$6,".",IF(A4835=".",1,A4835+1))</f>
        <v>.</v>
      </c>
      <c r="B4836" s="244" t="str">
        <f t="shared" si="75"/>
        <v>Total Knee ReplacementProviderMEDWAY NHS FOUNDATION TRUST (RPA)EQ VAS</v>
      </c>
      <c r="C4836" t="s">
        <v>975</v>
      </c>
      <c r="D4836" t="s">
        <v>965</v>
      </c>
      <c r="E4836" t="s">
        <v>320</v>
      </c>
      <c r="F4836" t="s">
        <v>321</v>
      </c>
      <c r="G4836" t="s">
        <v>752</v>
      </c>
      <c r="H4836">
        <v>42</v>
      </c>
      <c r="I4836">
        <v>66.595200000000006</v>
      </c>
      <c r="J4836">
        <v>75.238100000000003</v>
      </c>
      <c r="K4836">
        <v>8.6428600000000007</v>
      </c>
      <c r="L4836">
        <v>29</v>
      </c>
      <c r="M4836">
        <v>2</v>
      </c>
      <c r="N4836">
        <v>11</v>
      </c>
      <c r="O4836">
        <v>75.516499999999994</v>
      </c>
      <c r="P4836">
        <v>10.210800000000001</v>
      </c>
      <c r="Q4836">
        <v>16.779</v>
      </c>
    </row>
    <row r="4837" spans="1:17" x14ac:dyDescent="0.25">
      <c r="A4837" t="str">
        <f>IF(C4837&amp;G4837&amp;D4837&lt;&gt;'Funnel setup'!$K$3&amp;'Funnel setup'!$K$4&amp;'Funnel setup'!$K$6,".",IF(A4836=".",1,A4836+1))</f>
        <v>.</v>
      </c>
      <c r="B4837" s="244" t="str">
        <f t="shared" si="75"/>
        <v>Total Knee ReplacementProviderMERIDEN HOSPITAL (NT424)EQ VAS</v>
      </c>
      <c r="C4837" t="s">
        <v>975</v>
      </c>
      <c r="D4837" t="s">
        <v>965</v>
      </c>
      <c r="E4837" t="s">
        <v>322</v>
      </c>
      <c r="F4837" t="s">
        <v>323</v>
      </c>
      <c r="G4837" t="s">
        <v>752</v>
      </c>
      <c r="H4837">
        <v>7</v>
      </c>
      <c r="I4837">
        <v>68.571399999999997</v>
      </c>
      <c r="J4837">
        <v>80</v>
      </c>
      <c r="K4837">
        <v>11.428599999999999</v>
      </c>
      <c r="L4837">
        <v>5</v>
      </c>
      <c r="M4837">
        <v>1</v>
      </c>
      <c r="N4837">
        <v>1</v>
      </c>
      <c r="O4837" t="s">
        <v>127</v>
      </c>
      <c r="P4837" t="s">
        <v>127</v>
      </c>
      <c r="Q4837" t="s">
        <v>127</v>
      </c>
    </row>
    <row r="4838" spans="1:17" x14ac:dyDescent="0.25">
      <c r="A4838" t="str">
        <f>IF(C4838&amp;G4838&amp;D4838&lt;&gt;'Funnel setup'!$K$3&amp;'Funnel setup'!$K$4&amp;'Funnel setup'!$K$6,".",IF(A4837=".",1,A4837+1))</f>
        <v>.</v>
      </c>
      <c r="B4838" s="244" t="str">
        <f t="shared" si="75"/>
        <v>Total Knee ReplacementProviderMID AND SOUTH ESSEX NHS FOUNDATION TRUST (RAJ)EQ VAS</v>
      </c>
      <c r="C4838" t="s">
        <v>975</v>
      </c>
      <c r="D4838" t="s">
        <v>965</v>
      </c>
      <c r="E4838" t="s">
        <v>324</v>
      </c>
      <c r="F4838" t="s">
        <v>325</v>
      </c>
      <c r="G4838" t="s">
        <v>752</v>
      </c>
      <c r="H4838">
        <v>118</v>
      </c>
      <c r="I4838">
        <v>64.406800000000004</v>
      </c>
      <c r="J4838">
        <v>69.745800000000003</v>
      </c>
      <c r="K4838">
        <v>5.3389800000000003</v>
      </c>
      <c r="L4838">
        <v>71</v>
      </c>
      <c r="M4838">
        <v>13</v>
      </c>
      <c r="N4838">
        <v>34</v>
      </c>
      <c r="O4838">
        <v>71.167599999999993</v>
      </c>
      <c r="P4838">
        <v>5.8619000000000003</v>
      </c>
      <c r="Q4838">
        <v>18.666499999999999</v>
      </c>
    </row>
    <row r="4839" spans="1:17" x14ac:dyDescent="0.25">
      <c r="A4839" t="str">
        <f>IF(C4839&amp;G4839&amp;D4839&lt;&gt;'Funnel setup'!$K$3&amp;'Funnel setup'!$K$4&amp;'Funnel setup'!$K$6,".",IF(A4838=".",1,A4838+1))</f>
        <v>.</v>
      </c>
      <c r="B4839" s="244" t="str">
        <f t="shared" si="75"/>
        <v>Total Knee ReplacementProviderMID CHESHIRE HOSPITALS NHS FOUNDATION TRUST (RBT)EQ VAS</v>
      </c>
      <c r="C4839" t="s">
        <v>975</v>
      </c>
      <c r="D4839" t="s">
        <v>965</v>
      </c>
      <c r="E4839" t="s">
        <v>326</v>
      </c>
      <c r="F4839" t="s">
        <v>327</v>
      </c>
      <c r="G4839" t="s">
        <v>752</v>
      </c>
      <c r="H4839">
        <v>81</v>
      </c>
      <c r="I4839">
        <v>63.6173</v>
      </c>
      <c r="J4839">
        <v>75.2346</v>
      </c>
      <c r="K4839">
        <v>11.6173</v>
      </c>
      <c r="L4839">
        <v>51</v>
      </c>
      <c r="M4839">
        <v>7</v>
      </c>
      <c r="N4839">
        <v>23</v>
      </c>
      <c r="O4839">
        <v>75.667699999999996</v>
      </c>
      <c r="P4839">
        <v>10.362</v>
      </c>
      <c r="Q4839">
        <v>15.535399999999999</v>
      </c>
    </row>
    <row r="4840" spans="1:17" x14ac:dyDescent="0.25">
      <c r="A4840" t="str">
        <f>IF(C4840&amp;G4840&amp;D4840&lt;&gt;'Funnel setup'!$K$3&amp;'Funnel setup'!$K$4&amp;'Funnel setup'!$K$6,".",IF(A4839=".",1,A4839+1))</f>
        <v>.</v>
      </c>
      <c r="B4840" s="244" t="str">
        <f t="shared" si="75"/>
        <v>Total Knee ReplacementProviderMID YORKSHIRE TEACHING NHS TRUST (RXF)EQ VAS</v>
      </c>
      <c r="C4840" t="s">
        <v>975</v>
      </c>
      <c r="D4840" t="s">
        <v>965</v>
      </c>
      <c r="E4840" t="s">
        <v>330</v>
      </c>
      <c r="F4840" t="s">
        <v>331</v>
      </c>
      <c r="G4840" t="s">
        <v>752</v>
      </c>
      <c r="H4840">
        <v>186</v>
      </c>
      <c r="I4840">
        <v>62.440899999999999</v>
      </c>
      <c r="J4840">
        <v>70.521500000000003</v>
      </c>
      <c r="K4840">
        <v>8.0806500000000003</v>
      </c>
      <c r="L4840">
        <v>108</v>
      </c>
      <c r="M4840">
        <v>15</v>
      </c>
      <c r="N4840">
        <v>63</v>
      </c>
      <c r="O4840">
        <v>73.722099999999998</v>
      </c>
      <c r="P4840">
        <v>8.4163700000000006</v>
      </c>
      <c r="Q4840">
        <v>18.197199999999999</v>
      </c>
    </row>
    <row r="4841" spans="1:17" x14ac:dyDescent="0.25">
      <c r="A4841" t="str">
        <f>IF(C4841&amp;G4841&amp;D4841&lt;&gt;'Funnel setup'!$K$3&amp;'Funnel setup'!$K$4&amp;'Funnel setup'!$K$6,".",IF(A4840=".",1,A4840+1))</f>
        <v>.</v>
      </c>
      <c r="B4841" s="244" t="str">
        <f t="shared" si="75"/>
        <v>Total Knee ReplacementProviderMILTON KEYNES UNIVERSITY HOSPITAL NHS FOUNDATION TRUST (RD8)EQ VAS</v>
      </c>
      <c r="C4841" t="s">
        <v>975</v>
      </c>
      <c r="D4841" t="s">
        <v>965</v>
      </c>
      <c r="E4841" t="s">
        <v>332</v>
      </c>
      <c r="F4841" t="s">
        <v>333</v>
      </c>
      <c r="G4841" t="s">
        <v>752</v>
      </c>
      <c r="H4841">
        <v>31</v>
      </c>
      <c r="I4841">
        <v>53.032299999999999</v>
      </c>
      <c r="J4841">
        <v>67.967699999999994</v>
      </c>
      <c r="K4841">
        <v>14.935499999999999</v>
      </c>
      <c r="L4841">
        <v>22</v>
      </c>
      <c r="M4841">
        <v>4</v>
      </c>
      <c r="N4841">
        <v>5</v>
      </c>
      <c r="O4841">
        <v>71.320599999999999</v>
      </c>
      <c r="P4841">
        <v>6.01492</v>
      </c>
      <c r="Q4841">
        <v>15.6609</v>
      </c>
    </row>
    <row r="4842" spans="1:17" x14ac:dyDescent="0.25">
      <c r="A4842" t="str">
        <f>IF(C4842&amp;G4842&amp;D4842&lt;&gt;'Funnel setup'!$K$3&amp;'Funnel setup'!$K$4&amp;'Funnel setup'!$K$6,".",IF(A4841=".",1,A4841+1))</f>
        <v>.</v>
      </c>
      <c r="B4842" s="244" t="str">
        <f t="shared" si="75"/>
        <v>Total Knee ReplacementProviderMOUNT ALVERNIA HOSPITAL (NT455)EQ VAS</v>
      </c>
      <c r="C4842" t="s">
        <v>975</v>
      </c>
      <c r="D4842" t="s">
        <v>965</v>
      </c>
      <c r="E4842" t="s">
        <v>334</v>
      </c>
      <c r="F4842" t="s">
        <v>335</v>
      </c>
      <c r="G4842" t="s">
        <v>752</v>
      </c>
      <c r="H4842">
        <v>7</v>
      </c>
      <c r="I4842">
        <v>83.142899999999997</v>
      </c>
      <c r="J4842">
        <v>72.285700000000006</v>
      </c>
      <c r="K4842">
        <v>-10.857100000000001</v>
      </c>
      <c r="L4842">
        <v>4</v>
      </c>
      <c r="M4842">
        <v>0</v>
      </c>
      <c r="N4842">
        <v>3</v>
      </c>
      <c r="O4842" t="s">
        <v>127</v>
      </c>
      <c r="P4842" t="s">
        <v>127</v>
      </c>
      <c r="Q4842" t="s">
        <v>127</v>
      </c>
    </row>
    <row r="4843" spans="1:17" x14ac:dyDescent="0.25">
      <c r="A4843" t="str">
        <f>IF(C4843&amp;G4843&amp;D4843&lt;&gt;'Funnel setup'!$K$3&amp;'Funnel setup'!$K$4&amp;'Funnel setup'!$K$6,".",IF(A4842=".",1,A4842+1))</f>
        <v>.</v>
      </c>
      <c r="B4843" s="244" t="str">
        <f t="shared" si="75"/>
        <v>Total Knee ReplacementProviderMOUNT STUART HOSPITAL (NVC08)EQ VAS</v>
      </c>
      <c r="C4843" t="s">
        <v>975</v>
      </c>
      <c r="D4843" t="s">
        <v>965</v>
      </c>
      <c r="E4843" t="s">
        <v>336</v>
      </c>
      <c r="F4843" t="s">
        <v>337</v>
      </c>
      <c r="G4843" t="s">
        <v>752</v>
      </c>
      <c r="H4843">
        <v>101</v>
      </c>
      <c r="I4843">
        <v>69.715699999999998</v>
      </c>
      <c r="J4843">
        <v>74.362700000000004</v>
      </c>
      <c r="K4843">
        <v>4.6470599999999997</v>
      </c>
      <c r="L4843">
        <v>56</v>
      </c>
      <c r="M4843">
        <v>13</v>
      </c>
      <c r="N4843">
        <v>32</v>
      </c>
      <c r="O4843">
        <v>72.180300000000003</v>
      </c>
      <c r="P4843">
        <v>6.8745599999999998</v>
      </c>
      <c r="Q4843">
        <v>16.585599999999999</v>
      </c>
    </row>
    <row r="4844" spans="1:17" x14ac:dyDescent="0.25">
      <c r="A4844" t="str">
        <f>IF(C4844&amp;G4844&amp;D4844&lt;&gt;'Funnel setup'!$K$3&amp;'Funnel setup'!$K$4&amp;'Funnel setup'!$K$6,".",IF(A4843=".",1,A4843+1))</f>
        <v>.</v>
      </c>
      <c r="B4844" s="244" t="str">
        <f t="shared" si="75"/>
        <v>Total Knee ReplacementProviderNEW HALL HOSPITAL (NVC09)EQ VAS</v>
      </c>
      <c r="C4844" t="s">
        <v>975</v>
      </c>
      <c r="D4844" t="s">
        <v>965</v>
      </c>
      <c r="E4844" t="s">
        <v>338</v>
      </c>
      <c r="F4844" t="s">
        <v>339</v>
      </c>
      <c r="G4844" t="s">
        <v>752</v>
      </c>
      <c r="H4844">
        <v>96</v>
      </c>
      <c r="I4844">
        <v>65.625</v>
      </c>
      <c r="J4844">
        <v>79.406300000000002</v>
      </c>
      <c r="K4844">
        <v>13.7813</v>
      </c>
      <c r="L4844">
        <v>65</v>
      </c>
      <c r="M4844">
        <v>12</v>
      </c>
      <c r="N4844">
        <v>19</v>
      </c>
      <c r="O4844">
        <v>77.183300000000003</v>
      </c>
      <c r="P4844">
        <v>11.877599999999999</v>
      </c>
      <c r="Q4844">
        <v>14.073499999999999</v>
      </c>
    </row>
    <row r="4845" spans="1:17" x14ac:dyDescent="0.25">
      <c r="A4845" t="str">
        <f>IF(C4845&amp;G4845&amp;D4845&lt;&gt;'Funnel setup'!$K$3&amp;'Funnel setup'!$K$4&amp;'Funnel setup'!$K$6,".",IF(A4844=".",1,A4844+1))</f>
        <v>.</v>
      </c>
      <c r="B4845" s="244" t="str">
        <f t="shared" si="75"/>
        <v>Total Knee ReplacementProviderNORFOLK AND NORWICH UNIVERSITY HOSPITALS NHS FOUNDATION TRUST (RM1)EQ VAS</v>
      </c>
      <c r="C4845" t="s">
        <v>975</v>
      </c>
      <c r="D4845" t="s">
        <v>965</v>
      </c>
      <c r="E4845" t="s">
        <v>340</v>
      </c>
      <c r="F4845" t="s">
        <v>341</v>
      </c>
      <c r="G4845" t="s">
        <v>752</v>
      </c>
      <c r="H4845">
        <v>144</v>
      </c>
      <c r="I4845">
        <v>58.8125</v>
      </c>
      <c r="J4845">
        <v>67.895799999999994</v>
      </c>
      <c r="K4845">
        <v>9.0833300000000001</v>
      </c>
      <c r="L4845">
        <v>84</v>
      </c>
      <c r="M4845">
        <v>17</v>
      </c>
      <c r="N4845">
        <v>43</v>
      </c>
      <c r="O4845">
        <v>71.966099999999997</v>
      </c>
      <c r="P4845">
        <v>6.6604099999999997</v>
      </c>
      <c r="Q4845">
        <v>17.8262</v>
      </c>
    </row>
    <row r="4846" spans="1:17" x14ac:dyDescent="0.25">
      <c r="A4846" t="str">
        <f>IF(C4846&amp;G4846&amp;D4846&lt;&gt;'Funnel setup'!$K$3&amp;'Funnel setup'!$K$4&amp;'Funnel setup'!$K$6,".",IF(A4845=".",1,A4845+1))</f>
        <v>.</v>
      </c>
      <c r="B4846" s="244" t="str">
        <f t="shared" si="75"/>
        <v>Total Knee ReplacementProviderNORTH BRISTOL NHS TRUST (RVJ)EQ VAS</v>
      </c>
      <c r="C4846" t="s">
        <v>975</v>
      </c>
      <c r="D4846" t="s">
        <v>965</v>
      </c>
      <c r="E4846" t="s">
        <v>342</v>
      </c>
      <c r="F4846" t="s">
        <v>343</v>
      </c>
      <c r="G4846" t="s">
        <v>752</v>
      </c>
      <c r="H4846">
        <v>7</v>
      </c>
      <c r="I4846">
        <v>67.142899999999997</v>
      </c>
      <c r="J4846">
        <v>86.571399999999997</v>
      </c>
      <c r="K4846">
        <v>19.428599999999999</v>
      </c>
      <c r="L4846">
        <v>6</v>
      </c>
      <c r="M4846">
        <v>0</v>
      </c>
      <c r="N4846">
        <v>1</v>
      </c>
      <c r="O4846" t="s">
        <v>127</v>
      </c>
      <c r="P4846" t="s">
        <v>127</v>
      </c>
      <c r="Q4846" t="s">
        <v>127</v>
      </c>
    </row>
    <row r="4847" spans="1:17" x14ac:dyDescent="0.25">
      <c r="A4847" t="str">
        <f>IF(C4847&amp;G4847&amp;D4847&lt;&gt;'Funnel setup'!$K$3&amp;'Funnel setup'!$K$4&amp;'Funnel setup'!$K$6,".",IF(A4846=".",1,A4846+1))</f>
        <v>.</v>
      </c>
      <c r="B4847" s="244" t="str">
        <f t="shared" si="75"/>
        <v>Total Knee ReplacementProviderNORTH CUMBRIA INTEGRATED CARE NHS FOUNDATION TRUST (RNN)EQ VAS</v>
      </c>
      <c r="C4847" t="s">
        <v>975</v>
      </c>
      <c r="D4847" t="s">
        <v>965</v>
      </c>
      <c r="E4847" t="s">
        <v>344</v>
      </c>
      <c r="F4847" t="s">
        <v>345</v>
      </c>
      <c r="G4847" t="s">
        <v>752</v>
      </c>
      <c r="H4847">
        <v>123</v>
      </c>
      <c r="I4847">
        <v>65.528499999999994</v>
      </c>
      <c r="J4847">
        <v>75.154499999999999</v>
      </c>
      <c r="K4847">
        <v>9.6260200000000005</v>
      </c>
      <c r="L4847">
        <v>76</v>
      </c>
      <c r="M4847">
        <v>12</v>
      </c>
      <c r="N4847">
        <v>35</v>
      </c>
      <c r="O4847">
        <v>74.9756</v>
      </c>
      <c r="P4847">
        <v>9.6698599999999999</v>
      </c>
      <c r="Q4847">
        <v>18.113</v>
      </c>
    </row>
    <row r="4848" spans="1:17" x14ac:dyDescent="0.25">
      <c r="A4848" t="str">
        <f>IF(C4848&amp;G4848&amp;D4848&lt;&gt;'Funnel setup'!$K$3&amp;'Funnel setup'!$K$4&amp;'Funnel setup'!$K$6,".",IF(A4847=".",1,A4847+1))</f>
        <v>.</v>
      </c>
      <c r="B4848" s="244" t="str">
        <f t="shared" si="75"/>
        <v>Total Knee ReplacementProviderNORTH DOWNS HOSPITAL (NVC11)EQ VAS</v>
      </c>
      <c r="C4848" t="s">
        <v>975</v>
      </c>
      <c r="D4848" t="s">
        <v>965</v>
      </c>
      <c r="E4848" t="s">
        <v>348</v>
      </c>
      <c r="F4848" t="s">
        <v>349</v>
      </c>
      <c r="G4848" t="s">
        <v>752</v>
      </c>
      <c r="H4848">
        <v>28</v>
      </c>
      <c r="I4848">
        <v>64.633300000000006</v>
      </c>
      <c r="J4848">
        <v>70.599999999999994</v>
      </c>
      <c r="K4848">
        <v>5.9666699999999997</v>
      </c>
      <c r="L4848">
        <v>15</v>
      </c>
      <c r="M4848">
        <v>4</v>
      </c>
      <c r="N4848">
        <v>9</v>
      </c>
      <c r="O4848">
        <v>68.906999999999996</v>
      </c>
      <c r="P4848">
        <v>3.6012599999999999</v>
      </c>
      <c r="Q4848">
        <v>18.267800000000001</v>
      </c>
    </row>
    <row r="4849" spans="1:17" x14ac:dyDescent="0.25">
      <c r="A4849" t="str">
        <f>IF(C4849&amp;G4849&amp;D4849&lt;&gt;'Funnel setup'!$K$3&amp;'Funnel setup'!$K$4&amp;'Funnel setup'!$K$6,".",IF(A4848=".",1,A4848+1))</f>
        <v>.</v>
      </c>
      <c r="B4849" s="244" t="str">
        <f t="shared" si="75"/>
        <v>Total Knee ReplacementProviderNORTH MIDDLESEX UNIVERSITY HOSPITAL NHS TRUST (RAP)EQ VAS</v>
      </c>
      <c r="C4849" t="s">
        <v>975</v>
      </c>
      <c r="D4849" t="s">
        <v>965</v>
      </c>
      <c r="E4849" t="s">
        <v>350</v>
      </c>
      <c r="F4849" t="s">
        <v>351</v>
      </c>
      <c r="G4849" t="s">
        <v>752</v>
      </c>
      <c r="H4849">
        <v>7</v>
      </c>
      <c r="I4849">
        <v>49.285699999999999</v>
      </c>
      <c r="J4849">
        <v>67.142899999999997</v>
      </c>
      <c r="K4849">
        <v>17.857099999999999</v>
      </c>
      <c r="L4849">
        <v>5</v>
      </c>
      <c r="M4849">
        <v>0</v>
      </c>
      <c r="N4849">
        <v>2</v>
      </c>
      <c r="O4849" t="s">
        <v>127</v>
      </c>
      <c r="P4849" t="s">
        <v>127</v>
      </c>
      <c r="Q4849" t="s">
        <v>127</v>
      </c>
    </row>
    <row r="4850" spans="1:17" x14ac:dyDescent="0.25">
      <c r="A4850" t="str">
        <f>IF(C4850&amp;G4850&amp;D4850&lt;&gt;'Funnel setup'!$K$3&amp;'Funnel setup'!$K$4&amp;'Funnel setup'!$K$6,".",IF(A4849=".",1,A4849+1))</f>
        <v>.</v>
      </c>
      <c r="B4850" s="244" t="str">
        <f t="shared" si="75"/>
        <v>Total Knee ReplacementProviderNORTH TEES AND HARTLEPOOL NHS FOUNDATION TRUST (RVW)EQ VAS</v>
      </c>
      <c r="C4850" t="s">
        <v>975</v>
      </c>
      <c r="D4850" t="s">
        <v>965</v>
      </c>
      <c r="E4850" t="s">
        <v>352</v>
      </c>
      <c r="F4850" t="s">
        <v>353</v>
      </c>
      <c r="G4850" t="s">
        <v>752</v>
      </c>
      <c r="H4850">
        <v>92</v>
      </c>
      <c r="I4850">
        <v>70.380399999999995</v>
      </c>
      <c r="J4850">
        <v>67.228300000000004</v>
      </c>
      <c r="K4850">
        <v>-3.1521699999999999</v>
      </c>
      <c r="L4850">
        <v>41</v>
      </c>
      <c r="M4850">
        <v>11</v>
      </c>
      <c r="N4850">
        <v>40</v>
      </c>
      <c r="O4850">
        <v>71.877499999999998</v>
      </c>
      <c r="P4850">
        <v>6.5717600000000003</v>
      </c>
      <c r="Q4850">
        <v>18.1327</v>
      </c>
    </row>
    <row r="4851" spans="1:17" x14ac:dyDescent="0.25">
      <c r="A4851" t="str">
        <f>IF(C4851&amp;G4851&amp;D4851&lt;&gt;'Funnel setup'!$K$3&amp;'Funnel setup'!$K$4&amp;'Funnel setup'!$K$6,".",IF(A4850=".",1,A4850+1))</f>
        <v>.</v>
      </c>
      <c r="B4851" s="244" t="str">
        <f t="shared" si="75"/>
        <v>Total Knee ReplacementProviderNORTH WEST ANGLIA NHS FOUNDATION TRUST (RGN)EQ VAS</v>
      </c>
      <c r="C4851" t="s">
        <v>975</v>
      </c>
      <c r="D4851" t="s">
        <v>965</v>
      </c>
      <c r="E4851" t="s">
        <v>354</v>
      </c>
      <c r="F4851" t="s">
        <v>355</v>
      </c>
      <c r="G4851" t="s">
        <v>752</v>
      </c>
      <c r="H4851">
        <v>131</v>
      </c>
      <c r="I4851">
        <v>65.885499999999993</v>
      </c>
      <c r="J4851">
        <v>71.839699999999993</v>
      </c>
      <c r="K4851">
        <v>5.9542000000000002</v>
      </c>
      <c r="L4851">
        <v>73</v>
      </c>
      <c r="M4851">
        <v>13</v>
      </c>
      <c r="N4851">
        <v>45</v>
      </c>
      <c r="O4851">
        <v>72.048400000000001</v>
      </c>
      <c r="P4851">
        <v>6.7427099999999998</v>
      </c>
      <c r="Q4851">
        <v>16.1508</v>
      </c>
    </row>
    <row r="4852" spans="1:17" x14ac:dyDescent="0.25">
      <c r="A4852" t="str">
        <f>IF(C4852&amp;G4852&amp;D4852&lt;&gt;'Funnel setup'!$K$3&amp;'Funnel setup'!$K$4&amp;'Funnel setup'!$K$6,".",IF(A4851=".",1,A4851+1))</f>
        <v>.</v>
      </c>
      <c r="B4852" s="244" t="str">
        <f t="shared" si="75"/>
        <v>Total Knee ReplacementProviderNORTHAMPTON GENERAL HOSPITAL NHS TRUST (RNS)EQ VAS</v>
      </c>
      <c r="C4852" t="s">
        <v>975</v>
      </c>
      <c r="D4852" t="s">
        <v>965</v>
      </c>
      <c r="E4852" t="s">
        <v>356</v>
      </c>
      <c r="F4852" t="s">
        <v>357</v>
      </c>
      <c r="G4852" t="s">
        <v>752</v>
      </c>
      <c r="H4852">
        <v>39</v>
      </c>
      <c r="I4852">
        <v>65.820499999999996</v>
      </c>
      <c r="J4852">
        <v>69.410300000000007</v>
      </c>
      <c r="K4852">
        <v>3.5897399999999999</v>
      </c>
      <c r="L4852">
        <v>19</v>
      </c>
      <c r="M4852">
        <v>5</v>
      </c>
      <c r="N4852">
        <v>15</v>
      </c>
      <c r="O4852">
        <v>71.071600000000004</v>
      </c>
      <c r="P4852">
        <v>5.76593</v>
      </c>
      <c r="Q4852">
        <v>19.920999999999999</v>
      </c>
    </row>
    <row r="4853" spans="1:17" x14ac:dyDescent="0.25">
      <c r="A4853" t="str">
        <f>IF(C4853&amp;G4853&amp;D4853&lt;&gt;'Funnel setup'!$K$3&amp;'Funnel setup'!$K$4&amp;'Funnel setup'!$K$6,".",IF(A4852=".",1,A4852+1))</f>
        <v>.</v>
      </c>
      <c r="B4853" s="244" t="str">
        <f t="shared" si="75"/>
        <v>Total Knee ReplacementProviderNORTHERN CARE ALLIANCE NHS FOUNDATION TRUST (RM3)EQ VAS</v>
      </c>
      <c r="C4853" t="s">
        <v>975</v>
      </c>
      <c r="D4853" t="s">
        <v>965</v>
      </c>
      <c r="E4853" t="s">
        <v>358</v>
      </c>
      <c r="F4853" t="s">
        <v>359</v>
      </c>
      <c r="G4853" t="s">
        <v>752</v>
      </c>
      <c r="H4853">
        <v>6</v>
      </c>
      <c r="I4853">
        <v>55.5</v>
      </c>
      <c r="J4853">
        <v>59.833300000000001</v>
      </c>
      <c r="K4853">
        <v>4.3333300000000001</v>
      </c>
      <c r="L4853">
        <v>4</v>
      </c>
      <c r="M4853">
        <v>0</v>
      </c>
      <c r="N4853">
        <v>2</v>
      </c>
      <c r="O4853" t="s">
        <v>127</v>
      </c>
      <c r="P4853" t="s">
        <v>127</v>
      </c>
      <c r="Q4853" t="s">
        <v>127</v>
      </c>
    </row>
    <row r="4854" spans="1:17" x14ac:dyDescent="0.25">
      <c r="A4854" t="str">
        <f>IF(C4854&amp;G4854&amp;D4854&lt;&gt;'Funnel setup'!$K$3&amp;'Funnel setup'!$K$4&amp;'Funnel setup'!$K$6,".",IF(A4853=".",1,A4853+1))</f>
        <v>.</v>
      </c>
      <c r="B4854" s="244" t="str">
        <f t="shared" si="75"/>
        <v>Total Knee ReplacementProviderNORTHERN DEVON HEALTHCARE NHS TRUST (RBZ)EQ VAS</v>
      </c>
      <c r="C4854" t="s">
        <v>975</v>
      </c>
      <c r="D4854" t="s">
        <v>965</v>
      </c>
      <c r="E4854" t="s">
        <v>360</v>
      </c>
      <c r="F4854" t="s">
        <v>361</v>
      </c>
      <c r="G4854" t="s">
        <v>752</v>
      </c>
      <c r="H4854">
        <v>35</v>
      </c>
      <c r="I4854">
        <v>55.142899999999997</v>
      </c>
      <c r="J4854">
        <v>65.8</v>
      </c>
      <c r="K4854">
        <v>10.6571</v>
      </c>
      <c r="L4854">
        <v>23</v>
      </c>
      <c r="M4854">
        <v>5</v>
      </c>
      <c r="N4854">
        <v>7</v>
      </c>
      <c r="O4854">
        <v>72.679500000000004</v>
      </c>
      <c r="P4854">
        <v>7.3738200000000003</v>
      </c>
      <c r="Q4854">
        <v>17.2178</v>
      </c>
    </row>
    <row r="4855" spans="1:17" x14ac:dyDescent="0.25">
      <c r="A4855" t="str">
        <f>IF(C4855&amp;G4855&amp;D4855&lt;&gt;'Funnel setup'!$K$3&amp;'Funnel setup'!$K$4&amp;'Funnel setup'!$K$6,".",IF(A4854=".",1,A4854+1))</f>
        <v>.</v>
      </c>
      <c r="B4855" s="244" t="str">
        <f t="shared" si="75"/>
        <v>Total Knee ReplacementProviderNORTHERN LINCOLNSHIRE AND GOOLE NHS FOUNDATION TRUST (RJL)EQ VAS</v>
      </c>
      <c r="C4855" t="s">
        <v>975</v>
      </c>
      <c r="D4855" t="s">
        <v>965</v>
      </c>
      <c r="E4855" t="s">
        <v>362</v>
      </c>
      <c r="F4855" t="s">
        <v>363</v>
      </c>
      <c r="G4855" t="s">
        <v>752</v>
      </c>
      <c r="H4855">
        <v>66</v>
      </c>
      <c r="I4855">
        <v>61.833300000000001</v>
      </c>
      <c r="J4855">
        <v>66.2273</v>
      </c>
      <c r="K4855">
        <v>4.3939399999999997</v>
      </c>
      <c r="L4855">
        <v>35</v>
      </c>
      <c r="M4855">
        <v>8</v>
      </c>
      <c r="N4855">
        <v>23</v>
      </c>
      <c r="O4855">
        <v>67.855500000000006</v>
      </c>
      <c r="P4855">
        <v>2.5497800000000002</v>
      </c>
      <c r="Q4855">
        <v>17.302299999999999</v>
      </c>
    </row>
    <row r="4856" spans="1:17" x14ac:dyDescent="0.25">
      <c r="A4856" t="str">
        <f>IF(C4856&amp;G4856&amp;D4856&lt;&gt;'Funnel setup'!$K$3&amp;'Funnel setup'!$K$4&amp;'Funnel setup'!$K$6,".",IF(A4855=".",1,A4855+1))</f>
        <v>.</v>
      </c>
      <c r="B4856" s="244" t="str">
        <f t="shared" si="75"/>
        <v>Total Knee ReplacementProviderNORTHUMBRIA HEALTHCARE NHS FOUNDATION TRUST (RTF)EQ VAS</v>
      </c>
      <c r="C4856" t="s">
        <v>975</v>
      </c>
      <c r="D4856" t="s">
        <v>965</v>
      </c>
      <c r="E4856" t="s">
        <v>364</v>
      </c>
      <c r="F4856" t="s">
        <v>365</v>
      </c>
      <c r="G4856" t="s">
        <v>752</v>
      </c>
      <c r="H4856">
        <v>363</v>
      </c>
      <c r="I4856">
        <v>64.192800000000005</v>
      </c>
      <c r="J4856">
        <v>73.6006</v>
      </c>
      <c r="K4856">
        <v>9.4077099999999998</v>
      </c>
      <c r="L4856">
        <v>232</v>
      </c>
      <c r="M4856">
        <v>40</v>
      </c>
      <c r="N4856">
        <v>91</v>
      </c>
      <c r="O4856">
        <v>74.139600000000002</v>
      </c>
      <c r="P4856">
        <v>8.8338999999999999</v>
      </c>
      <c r="Q4856">
        <v>16.052399999999999</v>
      </c>
    </row>
    <row r="4857" spans="1:17" x14ac:dyDescent="0.25">
      <c r="A4857" t="str">
        <f>IF(C4857&amp;G4857&amp;D4857&lt;&gt;'Funnel setup'!$K$3&amp;'Funnel setup'!$K$4&amp;'Funnel setup'!$K$6,".",IF(A4856=".",1,A4856+1))</f>
        <v>.</v>
      </c>
      <c r="B4857" s="244" t="str">
        <f t="shared" si="75"/>
        <v>Total Knee ReplacementProviderNOTTINGHAM UNIVERSITY HOSPITALS NHS TRUST (RX1)EQ VAS</v>
      </c>
      <c r="C4857" t="s">
        <v>975</v>
      </c>
      <c r="D4857" t="s">
        <v>965</v>
      </c>
      <c r="E4857" t="s">
        <v>366</v>
      </c>
      <c r="F4857" t="s">
        <v>367</v>
      </c>
      <c r="G4857" t="s">
        <v>752</v>
      </c>
      <c r="H4857">
        <v>3</v>
      </c>
      <c r="I4857">
        <v>56.666699999999999</v>
      </c>
      <c r="J4857">
        <v>86.333299999999994</v>
      </c>
      <c r="K4857">
        <v>29.666699999999999</v>
      </c>
      <c r="L4857">
        <v>3</v>
      </c>
      <c r="M4857">
        <v>0</v>
      </c>
      <c r="N4857">
        <v>0</v>
      </c>
      <c r="O4857" t="s">
        <v>127</v>
      </c>
      <c r="P4857" t="s">
        <v>127</v>
      </c>
      <c r="Q4857" t="s">
        <v>127</v>
      </c>
    </row>
    <row r="4858" spans="1:17" x14ac:dyDescent="0.25">
      <c r="A4858" t="str">
        <f>IF(C4858&amp;G4858&amp;D4858&lt;&gt;'Funnel setup'!$K$3&amp;'Funnel setup'!$K$4&amp;'Funnel setup'!$K$6,".",IF(A4857=".",1,A4857+1))</f>
        <v>.</v>
      </c>
      <c r="B4858" s="244" t="str">
        <f t="shared" si="75"/>
        <v>Total Knee ReplacementProviderNUFFIELD HEALTH, BOURNEMOUTH HOSPITAL (NT202)EQ VAS</v>
      </c>
      <c r="C4858" t="s">
        <v>975</v>
      </c>
      <c r="D4858" t="s">
        <v>965</v>
      </c>
      <c r="E4858" t="s">
        <v>368</v>
      </c>
      <c r="F4858" t="s">
        <v>369</v>
      </c>
      <c r="G4858" t="s">
        <v>752</v>
      </c>
      <c r="H4858">
        <v>21</v>
      </c>
      <c r="I4858">
        <v>67.428600000000003</v>
      </c>
      <c r="J4858">
        <v>75.666700000000006</v>
      </c>
      <c r="K4858">
        <v>8.2380999999999993</v>
      </c>
      <c r="L4858">
        <v>13</v>
      </c>
      <c r="M4858">
        <v>1</v>
      </c>
      <c r="N4858">
        <v>7</v>
      </c>
      <c r="O4858" t="s">
        <v>127</v>
      </c>
      <c r="P4858" t="s">
        <v>127</v>
      </c>
      <c r="Q4858" t="s">
        <v>127</v>
      </c>
    </row>
    <row r="4859" spans="1:17" x14ac:dyDescent="0.25">
      <c r="A4859" t="str">
        <f>IF(C4859&amp;G4859&amp;D4859&lt;&gt;'Funnel setup'!$K$3&amp;'Funnel setup'!$K$4&amp;'Funnel setup'!$K$6,".",IF(A4858=".",1,A4858+1))</f>
        <v>.</v>
      </c>
      <c r="B4859" s="244" t="str">
        <f t="shared" si="75"/>
        <v>Total Knee ReplacementProviderNUFFIELD HEALTH, BRENTWOOD HOSPITAL (NT204)EQ VAS</v>
      </c>
      <c r="C4859" t="s">
        <v>975</v>
      </c>
      <c r="D4859" t="s">
        <v>965</v>
      </c>
      <c r="E4859" t="s">
        <v>370</v>
      </c>
      <c r="F4859" t="s">
        <v>371</v>
      </c>
      <c r="G4859" t="s">
        <v>752</v>
      </c>
      <c r="H4859">
        <v>14</v>
      </c>
      <c r="I4859">
        <v>68.428600000000003</v>
      </c>
      <c r="J4859">
        <v>75</v>
      </c>
      <c r="K4859">
        <v>6.5714300000000003</v>
      </c>
      <c r="L4859">
        <v>9</v>
      </c>
      <c r="M4859">
        <v>1</v>
      </c>
      <c r="N4859">
        <v>4</v>
      </c>
      <c r="O4859" t="s">
        <v>127</v>
      </c>
      <c r="P4859" t="s">
        <v>127</v>
      </c>
      <c r="Q4859" t="s">
        <v>127</v>
      </c>
    </row>
    <row r="4860" spans="1:17" x14ac:dyDescent="0.25">
      <c r="A4860" t="str">
        <f>IF(C4860&amp;G4860&amp;D4860&lt;&gt;'Funnel setup'!$K$3&amp;'Funnel setup'!$K$4&amp;'Funnel setup'!$K$6,".",IF(A4859=".",1,A4859+1))</f>
        <v>.</v>
      </c>
      <c r="B4860" s="244" t="str">
        <f t="shared" si="75"/>
        <v>Total Knee ReplacementProviderNUFFIELD HEALTH, BRIGHTON HOSPITAL (NT205)EQ VAS</v>
      </c>
      <c r="C4860" t="s">
        <v>975</v>
      </c>
      <c r="D4860" t="s">
        <v>965</v>
      </c>
      <c r="E4860" t="s">
        <v>372</v>
      </c>
      <c r="F4860" t="s">
        <v>373</v>
      </c>
      <c r="G4860" t="s">
        <v>752</v>
      </c>
      <c r="H4860">
        <v>9</v>
      </c>
      <c r="I4860">
        <v>68.888900000000007</v>
      </c>
      <c r="J4860">
        <v>82.111099999999993</v>
      </c>
      <c r="K4860">
        <v>13.222200000000001</v>
      </c>
      <c r="L4860">
        <v>4</v>
      </c>
      <c r="M4860">
        <v>4</v>
      </c>
      <c r="N4860">
        <v>1</v>
      </c>
      <c r="O4860" t="s">
        <v>127</v>
      </c>
      <c r="P4860" t="s">
        <v>127</v>
      </c>
      <c r="Q4860" t="s">
        <v>127</v>
      </c>
    </row>
    <row r="4861" spans="1:17" x14ac:dyDescent="0.25">
      <c r="A4861" t="str">
        <f>IF(C4861&amp;G4861&amp;D4861&lt;&gt;'Funnel setup'!$K$3&amp;'Funnel setup'!$K$4&amp;'Funnel setup'!$K$6,".",IF(A4860=".",1,A4860+1))</f>
        <v>.</v>
      </c>
      <c r="B4861" s="244" t="str">
        <f t="shared" si="75"/>
        <v>Total Knee ReplacementProviderNUFFIELD HEALTH, BRISTOL HOSPITAL (CHESTERFIELD) (NT206)EQ VAS</v>
      </c>
      <c r="C4861" t="s">
        <v>975</v>
      </c>
      <c r="D4861" t="s">
        <v>965</v>
      </c>
      <c r="E4861" t="s">
        <v>374</v>
      </c>
      <c r="F4861" t="s">
        <v>375</v>
      </c>
      <c r="G4861" t="s">
        <v>752</v>
      </c>
      <c r="H4861">
        <v>25</v>
      </c>
      <c r="I4861">
        <v>69.56</v>
      </c>
      <c r="J4861">
        <v>77.08</v>
      </c>
      <c r="K4861">
        <v>7.52</v>
      </c>
      <c r="L4861">
        <v>12</v>
      </c>
      <c r="M4861">
        <v>4</v>
      </c>
      <c r="N4861">
        <v>9</v>
      </c>
      <c r="O4861" t="s">
        <v>127</v>
      </c>
      <c r="P4861" t="s">
        <v>127</v>
      </c>
      <c r="Q4861" t="s">
        <v>127</v>
      </c>
    </row>
    <row r="4862" spans="1:17" x14ac:dyDescent="0.25">
      <c r="A4862" t="str">
        <f>IF(C4862&amp;G4862&amp;D4862&lt;&gt;'Funnel setup'!$K$3&amp;'Funnel setup'!$K$4&amp;'Funnel setup'!$K$6,".",IF(A4861=".",1,A4861+1))</f>
        <v>.</v>
      </c>
      <c r="B4862" s="244" t="str">
        <f t="shared" si="75"/>
        <v>Total Knee ReplacementProviderNUFFIELD HEALTH, CAMBRIDGE HOSPITAL (NT209)EQ VAS</v>
      </c>
      <c r="C4862" t="s">
        <v>975</v>
      </c>
      <c r="D4862" t="s">
        <v>965</v>
      </c>
      <c r="E4862" t="s">
        <v>376</v>
      </c>
      <c r="F4862" t="s">
        <v>377</v>
      </c>
      <c r="G4862" t="s">
        <v>752</v>
      </c>
      <c r="H4862">
        <v>35</v>
      </c>
      <c r="I4862">
        <v>65.942899999999995</v>
      </c>
      <c r="J4862">
        <v>74.371399999999994</v>
      </c>
      <c r="K4862">
        <v>8.4285700000000006</v>
      </c>
      <c r="L4862">
        <v>22</v>
      </c>
      <c r="M4862">
        <v>5</v>
      </c>
      <c r="N4862">
        <v>8</v>
      </c>
      <c r="O4862">
        <v>72.129199999999997</v>
      </c>
      <c r="P4862">
        <v>6.82348</v>
      </c>
      <c r="Q4862">
        <v>14.612500000000001</v>
      </c>
    </row>
    <row r="4863" spans="1:17" x14ac:dyDescent="0.25">
      <c r="A4863" t="str">
        <f>IF(C4863&amp;G4863&amp;D4863&lt;&gt;'Funnel setup'!$K$3&amp;'Funnel setup'!$K$4&amp;'Funnel setup'!$K$6,".",IF(A4862=".",1,A4862+1))</f>
        <v>.</v>
      </c>
      <c r="B4863" s="244" t="str">
        <f t="shared" si="75"/>
        <v>Total Knee ReplacementProviderNUFFIELD HEALTH, CHELTENHAM HOSPITAL (NT211)EQ VAS</v>
      </c>
      <c r="C4863" t="s">
        <v>975</v>
      </c>
      <c r="D4863" t="s">
        <v>965</v>
      </c>
      <c r="E4863" t="s">
        <v>378</v>
      </c>
      <c r="F4863" t="s">
        <v>379</v>
      </c>
      <c r="G4863" t="s">
        <v>752</v>
      </c>
      <c r="H4863">
        <v>6</v>
      </c>
      <c r="I4863">
        <v>70</v>
      </c>
      <c r="J4863">
        <v>81.333299999999994</v>
      </c>
      <c r="K4863">
        <v>11.333299999999999</v>
      </c>
      <c r="L4863">
        <v>4</v>
      </c>
      <c r="M4863">
        <v>1</v>
      </c>
      <c r="N4863">
        <v>1</v>
      </c>
      <c r="O4863" t="s">
        <v>127</v>
      </c>
      <c r="P4863" t="s">
        <v>127</v>
      </c>
      <c r="Q4863" t="s">
        <v>127</v>
      </c>
    </row>
    <row r="4864" spans="1:17" x14ac:dyDescent="0.25">
      <c r="A4864" t="str">
        <f>IF(C4864&amp;G4864&amp;D4864&lt;&gt;'Funnel setup'!$K$3&amp;'Funnel setup'!$K$4&amp;'Funnel setup'!$K$6,".",IF(A4863=".",1,A4863+1))</f>
        <v>.</v>
      </c>
      <c r="B4864" s="244" t="str">
        <f t="shared" si="75"/>
        <v>Total Knee ReplacementProviderNUFFIELD HEALTH, CHICHESTER HOSPITAL (NT212)EQ VAS</v>
      </c>
      <c r="C4864" t="s">
        <v>975</v>
      </c>
      <c r="D4864" t="s">
        <v>965</v>
      </c>
      <c r="E4864" t="s">
        <v>380</v>
      </c>
      <c r="F4864" t="s">
        <v>381</v>
      </c>
      <c r="G4864" t="s">
        <v>752</v>
      </c>
      <c r="H4864">
        <v>18</v>
      </c>
      <c r="I4864">
        <v>76.722200000000001</v>
      </c>
      <c r="J4864">
        <v>79.666700000000006</v>
      </c>
      <c r="K4864">
        <v>2.9444400000000002</v>
      </c>
      <c r="L4864">
        <v>10</v>
      </c>
      <c r="M4864">
        <v>2</v>
      </c>
      <c r="N4864">
        <v>6</v>
      </c>
      <c r="O4864" t="s">
        <v>127</v>
      </c>
      <c r="P4864" t="s">
        <v>127</v>
      </c>
      <c r="Q4864" t="s">
        <v>127</v>
      </c>
    </row>
    <row r="4865" spans="1:17" x14ac:dyDescent="0.25">
      <c r="A4865" t="str">
        <f>IF(C4865&amp;G4865&amp;D4865&lt;&gt;'Funnel setup'!$K$3&amp;'Funnel setup'!$K$4&amp;'Funnel setup'!$K$6,".",IF(A4864=".",1,A4864+1))</f>
        <v>.</v>
      </c>
      <c r="B4865" s="244" t="str">
        <f t="shared" si="75"/>
        <v>Total Knee ReplacementProviderNUFFIELD HEALTH, DERBY HOSPITAL (NT213)EQ VAS</v>
      </c>
      <c r="C4865" t="s">
        <v>975</v>
      </c>
      <c r="D4865" t="s">
        <v>965</v>
      </c>
      <c r="E4865" t="s">
        <v>382</v>
      </c>
      <c r="F4865" t="s">
        <v>383</v>
      </c>
      <c r="G4865" t="s">
        <v>752</v>
      </c>
      <c r="H4865">
        <v>103</v>
      </c>
      <c r="I4865">
        <v>57.718400000000003</v>
      </c>
      <c r="J4865">
        <v>73.524299999999997</v>
      </c>
      <c r="K4865">
        <v>15.8058</v>
      </c>
      <c r="L4865">
        <v>71</v>
      </c>
      <c r="M4865">
        <v>16</v>
      </c>
      <c r="N4865">
        <v>16</v>
      </c>
      <c r="O4865">
        <v>74.724699999999999</v>
      </c>
      <c r="P4865">
        <v>9.4189500000000006</v>
      </c>
      <c r="Q4865">
        <v>15.515700000000001</v>
      </c>
    </row>
    <row r="4866" spans="1:17" x14ac:dyDescent="0.25">
      <c r="A4866" t="str">
        <f>IF(C4866&amp;G4866&amp;D4866&lt;&gt;'Funnel setup'!$K$3&amp;'Funnel setup'!$K$4&amp;'Funnel setup'!$K$6,".",IF(A4865=".",1,A4865+1))</f>
        <v>.</v>
      </c>
      <c r="B4866" s="244" t="str">
        <f t="shared" ref="B4866:B4929" si="76">C4866&amp;D4866&amp;F4866&amp;G4866</f>
        <v>Total Knee ReplacementProviderNUFFIELD HEALTH, EXETER HOSPITAL (NT215)EQ VAS</v>
      </c>
      <c r="C4866" t="s">
        <v>975</v>
      </c>
      <c r="D4866" t="s">
        <v>965</v>
      </c>
      <c r="E4866" t="s">
        <v>384</v>
      </c>
      <c r="F4866" t="s">
        <v>385</v>
      </c>
      <c r="G4866" t="s">
        <v>752</v>
      </c>
      <c r="H4866">
        <v>1</v>
      </c>
      <c r="I4866">
        <v>80</v>
      </c>
      <c r="J4866">
        <v>89</v>
      </c>
      <c r="K4866">
        <v>9</v>
      </c>
      <c r="L4866">
        <v>1</v>
      </c>
      <c r="M4866">
        <v>0</v>
      </c>
      <c r="N4866">
        <v>0</v>
      </c>
      <c r="O4866" t="s">
        <v>127</v>
      </c>
      <c r="P4866" t="s">
        <v>127</v>
      </c>
      <c r="Q4866" t="s">
        <v>127</v>
      </c>
    </row>
    <row r="4867" spans="1:17" x14ac:dyDescent="0.25">
      <c r="A4867" t="str">
        <f>IF(C4867&amp;G4867&amp;D4867&lt;&gt;'Funnel setup'!$K$3&amp;'Funnel setup'!$K$4&amp;'Funnel setup'!$K$6,".",IF(A4866=".",1,A4866+1))</f>
        <v>.</v>
      </c>
      <c r="B4867" s="244" t="str">
        <f t="shared" si="76"/>
        <v>Total Knee ReplacementProviderNUFFIELD HEALTH, HAYWARDS HEATH HOSPITAL (NT218)EQ VAS</v>
      </c>
      <c r="C4867" t="s">
        <v>975</v>
      </c>
      <c r="D4867" t="s">
        <v>965</v>
      </c>
      <c r="E4867" t="s">
        <v>386</v>
      </c>
      <c r="F4867" t="s">
        <v>387</v>
      </c>
      <c r="G4867" t="s">
        <v>752</v>
      </c>
      <c r="H4867">
        <v>17</v>
      </c>
      <c r="I4867">
        <v>72.470600000000005</v>
      </c>
      <c r="J4867">
        <v>82.588200000000001</v>
      </c>
      <c r="K4867">
        <v>10.117599999999999</v>
      </c>
      <c r="L4867">
        <v>10</v>
      </c>
      <c r="M4867">
        <v>2</v>
      </c>
      <c r="N4867">
        <v>5</v>
      </c>
      <c r="O4867" t="s">
        <v>127</v>
      </c>
      <c r="P4867" t="s">
        <v>127</v>
      </c>
      <c r="Q4867" t="s">
        <v>127</v>
      </c>
    </row>
    <row r="4868" spans="1:17" x14ac:dyDescent="0.25">
      <c r="A4868" t="str">
        <f>IF(C4868&amp;G4868&amp;D4868&lt;&gt;'Funnel setup'!$K$3&amp;'Funnel setup'!$K$4&amp;'Funnel setup'!$K$6,".",IF(A4867=".",1,A4867+1))</f>
        <v>.</v>
      </c>
      <c r="B4868" s="244" t="str">
        <f t="shared" si="76"/>
        <v>Total Knee ReplacementProviderNUFFIELD HEALTH, HEREFORD HOSPITAL (NT219)EQ VAS</v>
      </c>
      <c r="C4868" t="s">
        <v>975</v>
      </c>
      <c r="D4868" t="s">
        <v>965</v>
      </c>
      <c r="E4868" t="s">
        <v>388</v>
      </c>
      <c r="F4868" t="s">
        <v>389</v>
      </c>
      <c r="G4868" t="s">
        <v>752</v>
      </c>
      <c r="H4868">
        <v>9</v>
      </c>
      <c r="I4868">
        <v>62</v>
      </c>
      <c r="J4868">
        <v>80</v>
      </c>
      <c r="K4868">
        <v>18</v>
      </c>
      <c r="L4868">
        <v>5</v>
      </c>
      <c r="M4868">
        <v>2</v>
      </c>
      <c r="N4868">
        <v>2</v>
      </c>
      <c r="O4868" t="s">
        <v>127</v>
      </c>
      <c r="P4868" t="s">
        <v>127</v>
      </c>
      <c r="Q4868" t="s">
        <v>127</v>
      </c>
    </row>
    <row r="4869" spans="1:17" x14ac:dyDescent="0.25">
      <c r="A4869" t="str">
        <f>IF(C4869&amp;G4869&amp;D4869&lt;&gt;'Funnel setup'!$K$3&amp;'Funnel setup'!$K$4&amp;'Funnel setup'!$K$6,".",IF(A4868=".",1,A4868+1))</f>
        <v>.</v>
      </c>
      <c r="B4869" s="244" t="str">
        <f t="shared" si="76"/>
        <v>Total Knee ReplacementProviderNUFFIELD HEALTH, IPSWICH HOSPITAL (NT222)EQ VAS</v>
      </c>
      <c r="C4869" t="s">
        <v>975</v>
      </c>
      <c r="D4869" t="s">
        <v>965</v>
      </c>
      <c r="E4869" t="s">
        <v>390</v>
      </c>
      <c r="F4869" t="s">
        <v>391</v>
      </c>
      <c r="G4869" t="s">
        <v>752</v>
      </c>
      <c r="H4869">
        <v>4</v>
      </c>
      <c r="I4869">
        <v>77.75</v>
      </c>
      <c r="J4869">
        <v>78</v>
      </c>
      <c r="K4869">
        <v>0.25</v>
      </c>
      <c r="L4869">
        <v>2</v>
      </c>
      <c r="M4869">
        <v>0</v>
      </c>
      <c r="N4869">
        <v>2</v>
      </c>
      <c r="O4869" t="s">
        <v>127</v>
      </c>
      <c r="P4869" t="s">
        <v>127</v>
      </c>
      <c r="Q4869" t="s">
        <v>127</v>
      </c>
    </row>
    <row r="4870" spans="1:17" x14ac:dyDescent="0.25">
      <c r="A4870" t="str">
        <f>IF(C4870&amp;G4870&amp;D4870&lt;&gt;'Funnel setup'!$K$3&amp;'Funnel setup'!$K$4&amp;'Funnel setup'!$K$6,".",IF(A4869=".",1,A4869+1))</f>
        <v>.</v>
      </c>
      <c r="B4870" s="244" t="str">
        <f t="shared" si="76"/>
        <v>Total Knee ReplacementProviderNUFFIELD HEALTH, LEEDS HOSPITAL (NT225)EQ VAS</v>
      </c>
      <c r="C4870" t="s">
        <v>975</v>
      </c>
      <c r="D4870" t="s">
        <v>965</v>
      </c>
      <c r="E4870" t="s">
        <v>392</v>
      </c>
      <c r="F4870" t="s">
        <v>393</v>
      </c>
      <c r="G4870" t="s">
        <v>752</v>
      </c>
      <c r="H4870">
        <v>118</v>
      </c>
      <c r="I4870">
        <v>65.815100000000001</v>
      </c>
      <c r="J4870">
        <v>72.672300000000007</v>
      </c>
      <c r="K4870">
        <v>6.8571400000000002</v>
      </c>
      <c r="L4870">
        <v>69</v>
      </c>
      <c r="M4870">
        <v>13</v>
      </c>
      <c r="N4870">
        <v>36</v>
      </c>
      <c r="O4870">
        <v>70.811499999999995</v>
      </c>
      <c r="P4870">
        <v>5.5057499999999999</v>
      </c>
      <c r="Q4870">
        <v>16.854500000000002</v>
      </c>
    </row>
    <row r="4871" spans="1:17" x14ac:dyDescent="0.25">
      <c r="A4871" t="str">
        <f>IF(C4871&amp;G4871&amp;D4871&lt;&gt;'Funnel setup'!$K$3&amp;'Funnel setup'!$K$4&amp;'Funnel setup'!$K$6,".",IF(A4870=".",1,A4870+1))</f>
        <v>.</v>
      </c>
      <c r="B4871" s="244" t="str">
        <f t="shared" si="76"/>
        <v>Total Knee ReplacementProviderNUFFIELD HEALTH, LEICESTER HOSPITAL (NT226)EQ VAS</v>
      </c>
      <c r="C4871" t="s">
        <v>975</v>
      </c>
      <c r="D4871" t="s">
        <v>965</v>
      </c>
      <c r="E4871" t="s">
        <v>394</v>
      </c>
      <c r="F4871" t="s">
        <v>395</v>
      </c>
      <c r="G4871" t="s">
        <v>752</v>
      </c>
      <c r="H4871">
        <v>23</v>
      </c>
      <c r="I4871">
        <v>71</v>
      </c>
      <c r="J4871">
        <v>81.956500000000005</v>
      </c>
      <c r="K4871">
        <v>10.9565</v>
      </c>
      <c r="L4871">
        <v>15</v>
      </c>
      <c r="M4871">
        <v>2</v>
      </c>
      <c r="N4871">
        <v>6</v>
      </c>
      <c r="O4871" t="s">
        <v>127</v>
      </c>
      <c r="P4871" t="s">
        <v>127</v>
      </c>
      <c r="Q4871" t="s">
        <v>127</v>
      </c>
    </row>
    <row r="4872" spans="1:17" x14ac:dyDescent="0.25">
      <c r="A4872" t="str">
        <f>IF(C4872&amp;G4872&amp;D4872&lt;&gt;'Funnel setup'!$K$3&amp;'Funnel setup'!$K$4&amp;'Funnel setup'!$K$6,".",IF(A4871=".",1,A4871+1))</f>
        <v>.</v>
      </c>
      <c r="B4872" s="244" t="str">
        <f t="shared" si="76"/>
        <v>Total Knee ReplacementProviderNUFFIELD HEALTH, NEWCASTLE UPON TYNE HOSPITAL (NT229)EQ VAS</v>
      </c>
      <c r="C4872" t="s">
        <v>975</v>
      </c>
      <c r="D4872" t="s">
        <v>965</v>
      </c>
      <c r="E4872" t="s">
        <v>396</v>
      </c>
      <c r="F4872" t="s">
        <v>397</v>
      </c>
      <c r="G4872" t="s">
        <v>752</v>
      </c>
      <c r="H4872">
        <v>26</v>
      </c>
      <c r="I4872">
        <v>66.269199999999998</v>
      </c>
      <c r="J4872">
        <v>75.807699999999997</v>
      </c>
      <c r="K4872">
        <v>9.5384600000000006</v>
      </c>
      <c r="L4872">
        <v>19</v>
      </c>
      <c r="M4872">
        <v>0</v>
      </c>
      <c r="N4872">
        <v>7</v>
      </c>
      <c r="O4872" t="s">
        <v>127</v>
      </c>
      <c r="P4872" t="s">
        <v>127</v>
      </c>
      <c r="Q4872" t="s">
        <v>127</v>
      </c>
    </row>
    <row r="4873" spans="1:17" x14ac:dyDescent="0.25">
      <c r="A4873" t="str">
        <f>IF(C4873&amp;G4873&amp;D4873&lt;&gt;'Funnel setup'!$K$3&amp;'Funnel setup'!$K$4&amp;'Funnel setup'!$K$6,".",IF(A4872=".",1,A4872+1))</f>
        <v>.</v>
      </c>
      <c r="B4873" s="244" t="str">
        <f t="shared" si="76"/>
        <v>Total Knee ReplacementProviderNUFFIELD HEALTH, NORTH STAFFORDSHIRE HOSPITAL (NT230)EQ VAS</v>
      </c>
      <c r="C4873" t="s">
        <v>975</v>
      </c>
      <c r="D4873" t="s">
        <v>965</v>
      </c>
      <c r="E4873" t="s">
        <v>398</v>
      </c>
      <c r="F4873" t="s">
        <v>399</v>
      </c>
      <c r="G4873" t="s">
        <v>752</v>
      </c>
      <c r="H4873">
        <v>43</v>
      </c>
      <c r="I4873">
        <v>63.204500000000003</v>
      </c>
      <c r="J4873">
        <v>74.5227</v>
      </c>
      <c r="K4873">
        <v>11.318199999999999</v>
      </c>
      <c r="L4873">
        <v>24</v>
      </c>
      <c r="M4873">
        <v>7</v>
      </c>
      <c r="N4873">
        <v>12</v>
      </c>
      <c r="O4873">
        <v>75.766000000000005</v>
      </c>
      <c r="P4873">
        <v>10.4603</v>
      </c>
      <c r="Q4873">
        <v>14.954000000000001</v>
      </c>
    </row>
    <row r="4874" spans="1:17" x14ac:dyDescent="0.25">
      <c r="A4874" t="str">
        <f>IF(C4874&amp;G4874&amp;D4874&lt;&gt;'Funnel setup'!$K$3&amp;'Funnel setup'!$K$4&amp;'Funnel setup'!$K$6,".",IF(A4873=".",1,A4873+1))</f>
        <v>.</v>
      </c>
      <c r="B4874" s="244" t="str">
        <f t="shared" si="76"/>
        <v>Total Knee ReplacementProviderNUFFIELD HEALTH, PLYMOUTH HOSPITAL (NT233)EQ VAS</v>
      </c>
      <c r="C4874" t="s">
        <v>975</v>
      </c>
      <c r="D4874" t="s">
        <v>965</v>
      </c>
      <c r="E4874" t="s">
        <v>400</v>
      </c>
      <c r="F4874" t="s">
        <v>401</v>
      </c>
      <c r="G4874" t="s">
        <v>752</v>
      </c>
      <c r="H4874">
        <v>41</v>
      </c>
      <c r="I4874">
        <v>67.372100000000003</v>
      </c>
      <c r="J4874">
        <v>75.2791</v>
      </c>
      <c r="K4874">
        <v>7.9069799999999999</v>
      </c>
      <c r="L4874">
        <v>24</v>
      </c>
      <c r="M4874">
        <v>5</v>
      </c>
      <c r="N4874">
        <v>12</v>
      </c>
      <c r="O4874">
        <v>74.272300000000001</v>
      </c>
      <c r="P4874">
        <v>8.9665400000000002</v>
      </c>
      <c r="Q4874">
        <v>17.663499999999999</v>
      </c>
    </row>
    <row r="4875" spans="1:17" x14ac:dyDescent="0.25">
      <c r="A4875" t="str">
        <f>IF(C4875&amp;G4875&amp;D4875&lt;&gt;'Funnel setup'!$K$3&amp;'Funnel setup'!$K$4&amp;'Funnel setup'!$K$6,".",IF(A4874=".",1,A4874+1))</f>
        <v>.</v>
      </c>
      <c r="B4875" s="244" t="str">
        <f t="shared" si="76"/>
        <v>Total Knee ReplacementProviderNUFFIELD HEALTH, SHREWSBURY HOSPITAL (NT235)EQ VAS</v>
      </c>
      <c r="C4875" t="s">
        <v>975</v>
      </c>
      <c r="D4875" t="s">
        <v>965</v>
      </c>
      <c r="E4875" t="s">
        <v>402</v>
      </c>
      <c r="F4875" t="s">
        <v>403</v>
      </c>
      <c r="G4875" t="s">
        <v>752</v>
      </c>
      <c r="H4875">
        <v>2</v>
      </c>
      <c r="I4875">
        <v>57.5</v>
      </c>
      <c r="J4875">
        <v>50</v>
      </c>
      <c r="K4875">
        <v>-7.5</v>
      </c>
      <c r="L4875">
        <v>0</v>
      </c>
      <c r="M4875">
        <v>0</v>
      </c>
      <c r="N4875">
        <v>2</v>
      </c>
      <c r="O4875" t="s">
        <v>127</v>
      </c>
      <c r="P4875" t="s">
        <v>127</v>
      </c>
      <c r="Q4875" t="s">
        <v>127</v>
      </c>
    </row>
    <row r="4876" spans="1:17" x14ac:dyDescent="0.25">
      <c r="A4876" t="str">
        <f>IF(C4876&amp;G4876&amp;D4876&lt;&gt;'Funnel setup'!$K$3&amp;'Funnel setup'!$K$4&amp;'Funnel setup'!$K$6,".",IF(A4875=".",1,A4875+1))</f>
        <v>.</v>
      </c>
      <c r="B4876" s="244" t="str">
        <f t="shared" si="76"/>
        <v>Total Knee ReplacementProviderNUFFIELD HEALTH, TAUNTON HOSPITAL (NT238)EQ VAS</v>
      </c>
      <c r="C4876" t="s">
        <v>975</v>
      </c>
      <c r="D4876" t="s">
        <v>965</v>
      </c>
      <c r="E4876" t="s">
        <v>404</v>
      </c>
      <c r="F4876" t="s">
        <v>405</v>
      </c>
      <c r="G4876" t="s">
        <v>752</v>
      </c>
      <c r="H4876">
        <v>25</v>
      </c>
      <c r="I4876">
        <v>64.48</v>
      </c>
      <c r="J4876">
        <v>73.16</v>
      </c>
      <c r="K4876">
        <v>8.68</v>
      </c>
      <c r="L4876">
        <v>15</v>
      </c>
      <c r="M4876">
        <v>3</v>
      </c>
      <c r="N4876">
        <v>7</v>
      </c>
      <c r="O4876" t="s">
        <v>127</v>
      </c>
      <c r="P4876" t="s">
        <v>127</v>
      </c>
      <c r="Q4876" t="s">
        <v>127</v>
      </c>
    </row>
    <row r="4877" spans="1:17" x14ac:dyDescent="0.25">
      <c r="A4877" t="str">
        <f>IF(C4877&amp;G4877&amp;D4877&lt;&gt;'Funnel setup'!$K$3&amp;'Funnel setup'!$K$4&amp;'Funnel setup'!$K$6,".",IF(A4876=".",1,A4876+1))</f>
        <v>.</v>
      </c>
      <c r="B4877" s="244" t="str">
        <f t="shared" si="76"/>
        <v>Total Knee ReplacementProviderNUFFIELD HEALTH, TEES HOSPITAL (NT237)EQ VAS</v>
      </c>
      <c r="C4877" t="s">
        <v>975</v>
      </c>
      <c r="D4877" t="s">
        <v>965</v>
      </c>
      <c r="E4877" t="s">
        <v>406</v>
      </c>
      <c r="F4877" t="s">
        <v>407</v>
      </c>
      <c r="G4877" t="s">
        <v>752</v>
      </c>
      <c r="H4877">
        <v>208</v>
      </c>
      <c r="I4877">
        <v>73.459699999999998</v>
      </c>
      <c r="J4877">
        <v>76.772499999999994</v>
      </c>
      <c r="K4877">
        <v>3.3128000000000002</v>
      </c>
      <c r="L4877">
        <v>118</v>
      </c>
      <c r="M4877">
        <v>23</v>
      </c>
      <c r="N4877">
        <v>67</v>
      </c>
      <c r="O4877">
        <v>73.315600000000003</v>
      </c>
      <c r="P4877">
        <v>8.0098900000000004</v>
      </c>
      <c r="Q4877">
        <v>16.845500000000001</v>
      </c>
    </row>
    <row r="4878" spans="1:17" x14ac:dyDescent="0.25">
      <c r="A4878" t="str">
        <f>IF(C4878&amp;G4878&amp;D4878&lt;&gt;'Funnel setup'!$K$3&amp;'Funnel setup'!$K$4&amp;'Funnel setup'!$K$6,".",IF(A4877=".",1,A4877+1))</f>
        <v>.</v>
      </c>
      <c r="B4878" s="244" t="str">
        <f t="shared" si="76"/>
        <v>Total Knee ReplacementProviderNUFFIELD HEALTH, THE GROSVENOR HOSPITAL, CHESTER (NT210)EQ VAS</v>
      </c>
      <c r="C4878" t="s">
        <v>975</v>
      </c>
      <c r="D4878" t="s">
        <v>965</v>
      </c>
      <c r="E4878" t="s">
        <v>408</v>
      </c>
      <c r="F4878" t="s">
        <v>409</v>
      </c>
      <c r="G4878" t="s">
        <v>752</v>
      </c>
      <c r="H4878">
        <v>13</v>
      </c>
      <c r="I4878">
        <v>66.692300000000003</v>
      </c>
      <c r="J4878">
        <v>72.538499999999999</v>
      </c>
      <c r="K4878">
        <v>5.8461499999999997</v>
      </c>
      <c r="L4878">
        <v>10</v>
      </c>
      <c r="M4878">
        <v>1</v>
      </c>
      <c r="N4878">
        <v>2</v>
      </c>
      <c r="O4878" t="s">
        <v>127</v>
      </c>
      <c r="P4878" t="s">
        <v>127</v>
      </c>
      <c r="Q4878" t="s">
        <v>127</v>
      </c>
    </row>
    <row r="4879" spans="1:17" x14ac:dyDescent="0.25">
      <c r="A4879" t="str">
        <f>IF(C4879&amp;G4879&amp;D4879&lt;&gt;'Funnel setup'!$K$3&amp;'Funnel setup'!$K$4&amp;'Funnel setup'!$K$6,".",IF(A4878=".",1,A4878+1))</f>
        <v>.</v>
      </c>
      <c r="B4879" s="244" t="str">
        <f t="shared" si="76"/>
        <v>Total Knee ReplacementProviderNUFFIELD HEALTH, TUNBRIDGE WELLS HOSPITAL (NT239)EQ VAS</v>
      </c>
      <c r="C4879" t="s">
        <v>975</v>
      </c>
      <c r="D4879" t="s">
        <v>965</v>
      </c>
      <c r="E4879" t="s">
        <v>410</v>
      </c>
      <c r="F4879" t="s">
        <v>411</v>
      </c>
      <c r="G4879" t="s">
        <v>752</v>
      </c>
      <c r="H4879">
        <v>5</v>
      </c>
      <c r="I4879">
        <v>82</v>
      </c>
      <c r="J4879">
        <v>93.6</v>
      </c>
      <c r="K4879">
        <v>11.6</v>
      </c>
      <c r="L4879">
        <v>5</v>
      </c>
      <c r="M4879">
        <v>0</v>
      </c>
      <c r="N4879">
        <v>0</v>
      </c>
      <c r="O4879" t="s">
        <v>127</v>
      </c>
      <c r="P4879" t="s">
        <v>127</v>
      </c>
      <c r="Q4879" t="s">
        <v>127</v>
      </c>
    </row>
    <row r="4880" spans="1:17" x14ac:dyDescent="0.25">
      <c r="A4880" t="str">
        <f>IF(C4880&amp;G4880&amp;D4880&lt;&gt;'Funnel setup'!$K$3&amp;'Funnel setup'!$K$4&amp;'Funnel setup'!$K$6,".",IF(A4879=".",1,A4879+1))</f>
        <v>.</v>
      </c>
      <c r="B4880" s="244" t="str">
        <f t="shared" si="76"/>
        <v>Total Knee ReplacementProviderNUFFIELD HEALTH, WARWICKSHIRE HOSPITAL (NT224)EQ VAS</v>
      </c>
      <c r="C4880" t="s">
        <v>975</v>
      </c>
      <c r="D4880" t="s">
        <v>965</v>
      </c>
      <c r="E4880" t="s">
        <v>412</v>
      </c>
      <c r="F4880" t="s">
        <v>413</v>
      </c>
      <c r="G4880" t="s">
        <v>752</v>
      </c>
      <c r="H4880">
        <v>10</v>
      </c>
      <c r="I4880">
        <v>67.909099999999995</v>
      </c>
      <c r="J4880">
        <v>81.7273</v>
      </c>
      <c r="K4880">
        <v>13.818199999999999</v>
      </c>
      <c r="L4880">
        <v>5</v>
      </c>
      <c r="M4880">
        <v>4</v>
      </c>
      <c r="N4880">
        <v>1</v>
      </c>
      <c r="O4880" t="s">
        <v>127</v>
      </c>
      <c r="P4880" t="s">
        <v>127</v>
      </c>
      <c r="Q4880" t="s">
        <v>127</v>
      </c>
    </row>
    <row r="4881" spans="1:17" x14ac:dyDescent="0.25">
      <c r="A4881" t="str">
        <f>IF(C4881&amp;G4881&amp;D4881&lt;&gt;'Funnel setup'!$K$3&amp;'Funnel setup'!$K$4&amp;'Funnel setup'!$K$6,".",IF(A4880=".",1,A4880+1))</f>
        <v>.</v>
      </c>
      <c r="B4881" s="244" t="str">
        <f t="shared" si="76"/>
        <v>Total Knee ReplacementProviderNUFFIELD HEALTH, WESSEX HOSPITAL (NT214)EQ VAS</v>
      </c>
      <c r="C4881" t="s">
        <v>975</v>
      </c>
      <c r="D4881" t="s">
        <v>965</v>
      </c>
      <c r="E4881" t="s">
        <v>414</v>
      </c>
      <c r="F4881" t="s">
        <v>415</v>
      </c>
      <c r="G4881" t="s">
        <v>752</v>
      </c>
      <c r="H4881">
        <v>26</v>
      </c>
      <c r="I4881">
        <v>61.5</v>
      </c>
      <c r="J4881">
        <v>69.692300000000003</v>
      </c>
      <c r="K4881">
        <v>8.1923100000000009</v>
      </c>
      <c r="L4881">
        <v>16</v>
      </c>
      <c r="M4881">
        <v>2</v>
      </c>
      <c r="N4881">
        <v>8</v>
      </c>
      <c r="O4881" t="s">
        <v>127</v>
      </c>
      <c r="P4881" t="s">
        <v>127</v>
      </c>
      <c r="Q4881" t="s">
        <v>127</v>
      </c>
    </row>
    <row r="4882" spans="1:17" x14ac:dyDescent="0.25">
      <c r="A4882" t="str">
        <f>IF(C4882&amp;G4882&amp;D4882&lt;&gt;'Funnel setup'!$K$3&amp;'Funnel setup'!$K$4&amp;'Funnel setup'!$K$6,".",IF(A4881=".",1,A4881+1))</f>
        <v>.</v>
      </c>
      <c r="B4882" s="244" t="str">
        <f t="shared" si="76"/>
        <v>Total Knee ReplacementProviderNUFFIELD HEALTH, WOLVERHAMPTON HOSPITAL (NT242)EQ VAS</v>
      </c>
      <c r="C4882" t="s">
        <v>975</v>
      </c>
      <c r="D4882" t="s">
        <v>965</v>
      </c>
      <c r="E4882" t="s">
        <v>418</v>
      </c>
      <c r="F4882" t="s">
        <v>419</v>
      </c>
      <c r="G4882" t="s">
        <v>752</v>
      </c>
      <c r="H4882">
        <v>12</v>
      </c>
      <c r="I4882">
        <v>63.833300000000001</v>
      </c>
      <c r="J4882">
        <v>75.416700000000006</v>
      </c>
      <c r="K4882">
        <v>11.583299999999999</v>
      </c>
      <c r="L4882">
        <v>7</v>
      </c>
      <c r="M4882">
        <v>3</v>
      </c>
      <c r="N4882">
        <v>2</v>
      </c>
      <c r="O4882" t="s">
        <v>127</v>
      </c>
      <c r="P4882" t="s">
        <v>127</v>
      </c>
      <c r="Q4882" t="s">
        <v>127</v>
      </c>
    </row>
    <row r="4883" spans="1:17" x14ac:dyDescent="0.25">
      <c r="A4883" t="str">
        <f>IF(C4883&amp;G4883&amp;D4883&lt;&gt;'Funnel setup'!$K$3&amp;'Funnel setup'!$K$4&amp;'Funnel setup'!$K$6,".",IF(A4882=".",1,A4882+1))</f>
        <v>.</v>
      </c>
      <c r="B4883" s="244" t="str">
        <f t="shared" si="76"/>
        <v>Total Knee ReplacementProviderNUFFIELD HEALTH, YORK HOSPITAL (NT245)EQ VAS</v>
      </c>
      <c r="C4883" t="s">
        <v>975</v>
      </c>
      <c r="D4883" t="s">
        <v>965</v>
      </c>
      <c r="E4883" t="s">
        <v>420</v>
      </c>
      <c r="F4883" t="s">
        <v>421</v>
      </c>
      <c r="G4883" t="s">
        <v>752</v>
      </c>
      <c r="H4883">
        <v>57</v>
      </c>
      <c r="I4883">
        <v>70.9649</v>
      </c>
      <c r="J4883">
        <v>73.192999999999998</v>
      </c>
      <c r="K4883">
        <v>2.2280700000000002</v>
      </c>
      <c r="L4883">
        <v>27</v>
      </c>
      <c r="M4883">
        <v>6</v>
      </c>
      <c r="N4883">
        <v>24</v>
      </c>
      <c r="O4883">
        <v>70.1571</v>
      </c>
      <c r="P4883">
        <v>4.8513999999999999</v>
      </c>
      <c r="Q4883">
        <v>19.101299999999998</v>
      </c>
    </row>
    <row r="4884" spans="1:17" x14ac:dyDescent="0.25">
      <c r="A4884" t="str">
        <f>IF(C4884&amp;G4884&amp;D4884&lt;&gt;'Funnel setup'!$K$3&amp;'Funnel setup'!$K$4&amp;'Funnel setup'!$K$6,".",IF(A4883=".",1,A4883+1))</f>
        <v>.</v>
      </c>
      <c r="B4884" s="244" t="str">
        <f t="shared" si="76"/>
        <v>Total Knee ReplacementProviderOAKLANDS HOSPITAL (NVC12)EQ VAS</v>
      </c>
      <c r="C4884" t="s">
        <v>975</v>
      </c>
      <c r="D4884" t="s">
        <v>965</v>
      </c>
      <c r="E4884" t="s">
        <v>424</v>
      </c>
      <c r="F4884" t="s">
        <v>425</v>
      </c>
      <c r="G4884" t="s">
        <v>752</v>
      </c>
      <c r="H4884">
        <v>80</v>
      </c>
      <c r="I4884">
        <v>70.337500000000006</v>
      </c>
      <c r="J4884">
        <v>74.825000000000003</v>
      </c>
      <c r="K4884">
        <v>4.4874999999999998</v>
      </c>
      <c r="L4884">
        <v>42</v>
      </c>
      <c r="M4884">
        <v>8</v>
      </c>
      <c r="N4884">
        <v>30</v>
      </c>
      <c r="O4884">
        <v>74.546899999999994</v>
      </c>
      <c r="P4884">
        <v>9.2411300000000001</v>
      </c>
      <c r="Q4884">
        <v>15.8287</v>
      </c>
    </row>
    <row r="4885" spans="1:17" x14ac:dyDescent="0.25">
      <c r="A4885" t="str">
        <f>IF(C4885&amp;G4885&amp;D4885&lt;&gt;'Funnel setup'!$K$3&amp;'Funnel setup'!$K$4&amp;'Funnel setup'!$K$6,".",IF(A4884=".",1,A4884+1))</f>
        <v>.</v>
      </c>
      <c r="B4885" s="244" t="str">
        <f t="shared" si="76"/>
        <v>Total Knee ReplacementProviderOAKS HOSPITAL (NVC13)EQ VAS</v>
      </c>
      <c r="C4885" t="s">
        <v>975</v>
      </c>
      <c r="D4885" t="s">
        <v>965</v>
      </c>
      <c r="E4885" t="s">
        <v>426</v>
      </c>
      <c r="F4885" t="s">
        <v>427</v>
      </c>
      <c r="G4885" t="s">
        <v>752</v>
      </c>
      <c r="H4885">
        <v>4</v>
      </c>
      <c r="I4885">
        <v>64.25</v>
      </c>
      <c r="J4885">
        <v>83.5</v>
      </c>
      <c r="K4885">
        <v>19.25</v>
      </c>
      <c r="L4885">
        <v>4</v>
      </c>
      <c r="M4885">
        <v>0</v>
      </c>
      <c r="N4885">
        <v>0</v>
      </c>
      <c r="O4885" t="s">
        <v>127</v>
      </c>
      <c r="P4885" t="s">
        <v>127</v>
      </c>
      <c r="Q4885" t="s">
        <v>127</v>
      </c>
    </row>
    <row r="4886" spans="1:17" x14ac:dyDescent="0.25">
      <c r="A4886" t="str">
        <f>IF(C4886&amp;G4886&amp;D4886&lt;&gt;'Funnel setup'!$K$3&amp;'Funnel setup'!$K$4&amp;'Funnel setup'!$K$6,".",IF(A4885=".",1,A4885+1))</f>
        <v>.</v>
      </c>
      <c r="B4886" s="244" t="str">
        <f t="shared" si="76"/>
        <v>Total Knee ReplacementProviderONE HEALTHCARE (AVQ)EQ VAS</v>
      </c>
      <c r="C4886" t="s">
        <v>975</v>
      </c>
      <c r="D4886" t="s">
        <v>965</v>
      </c>
      <c r="E4886" t="s">
        <v>434</v>
      </c>
      <c r="F4886" t="s">
        <v>435</v>
      </c>
      <c r="G4886" t="s">
        <v>752</v>
      </c>
      <c r="H4886">
        <v>58</v>
      </c>
      <c r="I4886">
        <v>68.413799999999995</v>
      </c>
      <c r="J4886">
        <v>74.758600000000001</v>
      </c>
      <c r="K4886">
        <v>6.34483</v>
      </c>
      <c r="L4886">
        <v>33</v>
      </c>
      <c r="M4886">
        <v>4</v>
      </c>
      <c r="N4886">
        <v>21</v>
      </c>
      <c r="O4886">
        <v>70.968500000000006</v>
      </c>
      <c r="P4886">
        <v>5.6628299999999996</v>
      </c>
      <c r="Q4886">
        <v>18.1813</v>
      </c>
    </row>
    <row r="4887" spans="1:17" x14ac:dyDescent="0.25">
      <c r="A4887" t="str">
        <f>IF(C4887&amp;G4887&amp;D4887&lt;&gt;'Funnel setup'!$K$3&amp;'Funnel setup'!$K$4&amp;'Funnel setup'!$K$6,".",IF(A4886=".",1,A4886+1))</f>
        <v>.</v>
      </c>
      <c r="B4887" s="244" t="str">
        <f t="shared" si="76"/>
        <v>Total Knee ReplacementProviderORTHOPAEDICS &amp; SPINE SPECIALIST HOSPITAL SITE (NQM01)EQ VAS</v>
      </c>
      <c r="C4887" t="s">
        <v>975</v>
      </c>
      <c r="D4887" t="s">
        <v>965</v>
      </c>
      <c r="E4887" t="s">
        <v>436</v>
      </c>
      <c r="F4887" t="s">
        <v>437</v>
      </c>
      <c r="G4887" t="s">
        <v>752</v>
      </c>
      <c r="H4887">
        <v>5</v>
      </c>
      <c r="I4887">
        <v>64.599999999999994</v>
      </c>
      <c r="J4887">
        <v>57.4</v>
      </c>
      <c r="K4887">
        <v>-7.2</v>
      </c>
      <c r="L4887">
        <v>3</v>
      </c>
      <c r="M4887">
        <v>0</v>
      </c>
      <c r="N4887">
        <v>2</v>
      </c>
      <c r="O4887" t="s">
        <v>127</v>
      </c>
      <c r="P4887" t="s">
        <v>127</v>
      </c>
      <c r="Q4887" t="s">
        <v>127</v>
      </c>
    </row>
    <row r="4888" spans="1:17" x14ac:dyDescent="0.25">
      <c r="A4888" t="str">
        <f>IF(C4888&amp;G4888&amp;D4888&lt;&gt;'Funnel setup'!$K$3&amp;'Funnel setup'!$K$4&amp;'Funnel setup'!$K$6,".",IF(A4887=".",1,A4887+1))</f>
        <v>.</v>
      </c>
      <c r="B4888" s="244" t="str">
        <f t="shared" si="76"/>
        <v>Total Knee ReplacementProviderOXFORD UNIVERSITY HOSPITALS NHS FOUNDATION TRUST (RTH)EQ VAS</v>
      </c>
      <c r="C4888" t="s">
        <v>975</v>
      </c>
      <c r="D4888" t="s">
        <v>965</v>
      </c>
      <c r="E4888" t="s">
        <v>438</v>
      </c>
      <c r="F4888" t="s">
        <v>439</v>
      </c>
      <c r="G4888" t="s">
        <v>752</v>
      </c>
      <c r="H4888">
        <v>271</v>
      </c>
      <c r="I4888">
        <v>65.1661</v>
      </c>
      <c r="J4888">
        <v>74.582999999999998</v>
      </c>
      <c r="K4888">
        <v>9.4169699999999992</v>
      </c>
      <c r="L4888">
        <v>168</v>
      </c>
      <c r="M4888">
        <v>35</v>
      </c>
      <c r="N4888">
        <v>68</v>
      </c>
      <c r="O4888">
        <v>75.048900000000003</v>
      </c>
      <c r="P4888">
        <v>9.7431800000000006</v>
      </c>
      <c r="Q4888">
        <v>16.755400000000002</v>
      </c>
    </row>
    <row r="4889" spans="1:17" x14ac:dyDescent="0.25">
      <c r="A4889" t="str">
        <f>IF(C4889&amp;G4889&amp;D4889&lt;&gt;'Funnel setup'!$K$3&amp;'Funnel setup'!$K$4&amp;'Funnel setup'!$K$6,".",IF(A4888=".",1,A4888+1))</f>
        <v>.</v>
      </c>
      <c r="B4889" s="244" t="str">
        <f t="shared" si="76"/>
        <v>Total Knee ReplacementProviderPARK HILL HOSPITAL (NVC14)EQ VAS</v>
      </c>
      <c r="C4889" t="s">
        <v>975</v>
      </c>
      <c r="D4889" t="s">
        <v>965</v>
      </c>
      <c r="E4889" t="s">
        <v>440</v>
      </c>
      <c r="F4889" t="s">
        <v>441</v>
      </c>
      <c r="G4889" t="s">
        <v>752</v>
      </c>
      <c r="H4889">
        <v>33</v>
      </c>
      <c r="I4889">
        <v>69.264700000000005</v>
      </c>
      <c r="J4889">
        <v>69.2059</v>
      </c>
      <c r="K4889">
        <v>-5.8823500000000001E-2</v>
      </c>
      <c r="L4889">
        <v>15</v>
      </c>
      <c r="M4889">
        <v>6</v>
      </c>
      <c r="N4889">
        <v>12</v>
      </c>
      <c r="O4889">
        <v>68.459800000000001</v>
      </c>
      <c r="P4889">
        <v>3.1540699999999999</v>
      </c>
      <c r="Q4889">
        <v>14.759499999999999</v>
      </c>
    </row>
    <row r="4890" spans="1:17" x14ac:dyDescent="0.25">
      <c r="A4890" t="str">
        <f>IF(C4890&amp;G4890&amp;D4890&lt;&gt;'Funnel setup'!$K$3&amp;'Funnel setup'!$K$4&amp;'Funnel setup'!$K$6,".",IF(A4889=".",1,A4889+1))</f>
        <v>.</v>
      </c>
      <c r="B4890" s="244" t="str">
        <f t="shared" si="76"/>
        <v>Total Knee ReplacementProviderPARK HOSPITAL (NT427)EQ VAS</v>
      </c>
      <c r="C4890" t="s">
        <v>975</v>
      </c>
      <c r="D4890" t="s">
        <v>965</v>
      </c>
      <c r="E4890" t="s">
        <v>442</v>
      </c>
      <c r="F4890" t="s">
        <v>443</v>
      </c>
      <c r="G4890" t="s">
        <v>752</v>
      </c>
      <c r="H4890">
        <v>48</v>
      </c>
      <c r="I4890">
        <v>69.291700000000006</v>
      </c>
      <c r="J4890">
        <v>76.104200000000006</v>
      </c>
      <c r="K4890">
        <v>6.8125</v>
      </c>
      <c r="L4890">
        <v>29</v>
      </c>
      <c r="M4890">
        <v>4</v>
      </c>
      <c r="N4890">
        <v>15</v>
      </c>
      <c r="O4890">
        <v>73.012</v>
      </c>
      <c r="P4890">
        <v>7.7062600000000003</v>
      </c>
      <c r="Q4890">
        <v>18.884799999999998</v>
      </c>
    </row>
    <row r="4891" spans="1:17" x14ac:dyDescent="0.25">
      <c r="A4891" t="str">
        <f>IF(C4891&amp;G4891&amp;D4891&lt;&gt;'Funnel setup'!$K$3&amp;'Funnel setup'!$K$4&amp;'Funnel setup'!$K$6,".",IF(A4890=".",1,A4890+1))</f>
        <v>.</v>
      </c>
      <c r="B4891" s="244" t="str">
        <f t="shared" si="76"/>
        <v>Total Knee ReplacementProviderPENNINE ACUTE HOSPITALS NHS TRUST (RW6)EQ VAS</v>
      </c>
      <c r="C4891" t="s">
        <v>975</v>
      </c>
      <c r="D4891" t="s">
        <v>965</v>
      </c>
      <c r="E4891" t="s">
        <v>444</v>
      </c>
      <c r="F4891" t="s">
        <v>445</v>
      </c>
      <c r="G4891" t="s">
        <v>752</v>
      </c>
      <c r="H4891">
        <v>3</v>
      </c>
      <c r="I4891">
        <v>53.333300000000001</v>
      </c>
      <c r="J4891">
        <v>86</v>
      </c>
      <c r="K4891">
        <v>32.666699999999999</v>
      </c>
      <c r="L4891">
        <v>3</v>
      </c>
      <c r="M4891">
        <v>0</v>
      </c>
      <c r="N4891">
        <v>0</v>
      </c>
      <c r="O4891" t="s">
        <v>127</v>
      </c>
      <c r="P4891" t="s">
        <v>127</v>
      </c>
      <c r="Q4891" t="s">
        <v>127</v>
      </c>
    </row>
    <row r="4892" spans="1:17" x14ac:dyDescent="0.25">
      <c r="A4892" t="str">
        <f>IF(C4892&amp;G4892&amp;D4892&lt;&gt;'Funnel setup'!$K$3&amp;'Funnel setup'!$K$4&amp;'Funnel setup'!$K$6,".",IF(A4891=".",1,A4891+1))</f>
        <v>.</v>
      </c>
      <c r="B4892" s="244" t="str">
        <f t="shared" si="76"/>
        <v>Total Knee ReplacementProviderPINEHILL HOSPITAL (NVC15)EQ VAS</v>
      </c>
      <c r="C4892" t="s">
        <v>975</v>
      </c>
      <c r="D4892" t="s">
        <v>965</v>
      </c>
      <c r="E4892" t="s">
        <v>448</v>
      </c>
      <c r="F4892" t="s">
        <v>449</v>
      </c>
      <c r="G4892" t="s">
        <v>752</v>
      </c>
      <c r="H4892">
        <v>7</v>
      </c>
      <c r="I4892">
        <v>55.142899999999997</v>
      </c>
      <c r="J4892">
        <v>80</v>
      </c>
      <c r="K4892">
        <v>24.857099999999999</v>
      </c>
      <c r="L4892">
        <v>6</v>
      </c>
      <c r="M4892">
        <v>0</v>
      </c>
      <c r="N4892">
        <v>1</v>
      </c>
      <c r="O4892" t="s">
        <v>127</v>
      </c>
      <c r="P4892" t="s">
        <v>127</v>
      </c>
      <c r="Q4892" t="s">
        <v>127</v>
      </c>
    </row>
    <row r="4893" spans="1:17" x14ac:dyDescent="0.25">
      <c r="A4893" t="str">
        <f>IF(C4893&amp;G4893&amp;D4893&lt;&gt;'Funnel setup'!$K$3&amp;'Funnel setup'!$K$4&amp;'Funnel setup'!$K$6,".",IF(A4892=".",1,A4892+1))</f>
        <v>.</v>
      </c>
      <c r="B4893" s="244" t="str">
        <f t="shared" si="76"/>
        <v>Total Knee ReplacementProviderPORTSMOUTH HOSPITALS UNIVERSITY NATIONAL HEALTH SERVICE TRUST (RHU)EQ VAS</v>
      </c>
      <c r="C4893" t="s">
        <v>975</v>
      </c>
      <c r="D4893" t="s">
        <v>965</v>
      </c>
      <c r="E4893" t="s">
        <v>450</v>
      </c>
      <c r="F4893" t="s">
        <v>451</v>
      </c>
      <c r="G4893" t="s">
        <v>752</v>
      </c>
      <c r="H4893">
        <v>11</v>
      </c>
      <c r="I4893">
        <v>60.454500000000003</v>
      </c>
      <c r="J4893">
        <v>78.2727</v>
      </c>
      <c r="K4893">
        <v>17.818200000000001</v>
      </c>
      <c r="L4893">
        <v>7</v>
      </c>
      <c r="M4893">
        <v>1</v>
      </c>
      <c r="N4893">
        <v>3</v>
      </c>
      <c r="O4893" t="s">
        <v>127</v>
      </c>
      <c r="P4893" t="s">
        <v>127</v>
      </c>
      <c r="Q4893" t="s">
        <v>127</v>
      </c>
    </row>
    <row r="4894" spans="1:17" x14ac:dyDescent="0.25">
      <c r="A4894" t="str">
        <f>IF(C4894&amp;G4894&amp;D4894&lt;&gt;'Funnel setup'!$K$3&amp;'Funnel setup'!$K$4&amp;'Funnel setup'!$K$6,".",IF(A4893=".",1,A4893+1))</f>
        <v>.</v>
      </c>
      <c r="B4894" s="244" t="str">
        <f t="shared" si="76"/>
        <v>Total Knee ReplacementProviderPRACTICE PLUS GROUP HOSPITAL - BARLBOROUGH (NTP13)EQ VAS</v>
      </c>
      <c r="C4894" t="s">
        <v>975</v>
      </c>
      <c r="D4894" t="s">
        <v>965</v>
      </c>
      <c r="E4894" t="s">
        <v>452</v>
      </c>
      <c r="F4894" t="s">
        <v>453</v>
      </c>
      <c r="G4894" t="s">
        <v>752</v>
      </c>
      <c r="H4894">
        <v>230</v>
      </c>
      <c r="I4894">
        <v>69.454899999999995</v>
      </c>
      <c r="J4894">
        <v>75.708200000000005</v>
      </c>
      <c r="K4894">
        <v>6.2532199999999998</v>
      </c>
      <c r="L4894">
        <v>138</v>
      </c>
      <c r="M4894">
        <v>19</v>
      </c>
      <c r="N4894">
        <v>73</v>
      </c>
      <c r="O4894">
        <v>73.3202</v>
      </c>
      <c r="P4894">
        <v>8.0144699999999993</v>
      </c>
      <c r="Q4894">
        <v>17.5578</v>
      </c>
    </row>
    <row r="4895" spans="1:17" x14ac:dyDescent="0.25">
      <c r="A4895" t="str">
        <f>IF(C4895&amp;G4895&amp;D4895&lt;&gt;'Funnel setup'!$K$3&amp;'Funnel setup'!$K$4&amp;'Funnel setup'!$K$6,".",IF(A4894=".",1,A4894+1))</f>
        <v>.</v>
      </c>
      <c r="B4895" s="244" t="str">
        <f t="shared" si="76"/>
        <v>Total Knee ReplacementProviderPRACTICE PLUS GROUP HOSPITAL - EMERSONS GREEN (NTPH2)EQ VAS</v>
      </c>
      <c r="C4895" t="s">
        <v>975</v>
      </c>
      <c r="D4895" t="s">
        <v>965</v>
      </c>
      <c r="E4895" t="s">
        <v>454</v>
      </c>
      <c r="F4895" t="s">
        <v>455</v>
      </c>
      <c r="G4895" t="s">
        <v>752</v>
      </c>
      <c r="H4895">
        <v>134</v>
      </c>
      <c r="I4895">
        <v>62.2836</v>
      </c>
      <c r="J4895">
        <v>75.880600000000001</v>
      </c>
      <c r="K4895">
        <v>13.597</v>
      </c>
      <c r="L4895">
        <v>94</v>
      </c>
      <c r="M4895">
        <v>14</v>
      </c>
      <c r="N4895">
        <v>26</v>
      </c>
      <c r="O4895">
        <v>75.119600000000005</v>
      </c>
      <c r="P4895">
        <v>9.8139099999999999</v>
      </c>
      <c r="Q4895">
        <v>16.1341</v>
      </c>
    </row>
    <row r="4896" spans="1:17" x14ac:dyDescent="0.25">
      <c r="A4896" t="str">
        <f>IF(C4896&amp;G4896&amp;D4896&lt;&gt;'Funnel setup'!$K$3&amp;'Funnel setup'!$K$4&amp;'Funnel setup'!$K$6,".",IF(A4895=".",1,A4895+1))</f>
        <v>.</v>
      </c>
      <c r="B4896" s="244" t="str">
        <f t="shared" si="76"/>
        <v>Total Knee ReplacementProviderPRACTICE PLUS GROUP HOSPITAL - ILFORD (NTP15)EQ VAS</v>
      </c>
      <c r="C4896" t="s">
        <v>975</v>
      </c>
      <c r="D4896" t="s">
        <v>965</v>
      </c>
      <c r="E4896" t="s">
        <v>456</v>
      </c>
      <c r="F4896" t="s">
        <v>457</v>
      </c>
      <c r="G4896" t="s">
        <v>752</v>
      </c>
      <c r="H4896">
        <v>72</v>
      </c>
      <c r="I4896">
        <v>63.2639</v>
      </c>
      <c r="J4896">
        <v>70.152799999999999</v>
      </c>
      <c r="K4896">
        <v>6.88889</v>
      </c>
      <c r="L4896">
        <v>40</v>
      </c>
      <c r="M4896">
        <v>8</v>
      </c>
      <c r="N4896">
        <v>24</v>
      </c>
      <c r="O4896">
        <v>71.022499999999994</v>
      </c>
      <c r="P4896">
        <v>5.7168000000000001</v>
      </c>
      <c r="Q4896">
        <v>16.7818</v>
      </c>
    </row>
    <row r="4897" spans="1:17" x14ac:dyDescent="0.25">
      <c r="A4897" t="str">
        <f>IF(C4897&amp;G4897&amp;D4897&lt;&gt;'Funnel setup'!$K$3&amp;'Funnel setup'!$K$4&amp;'Funnel setup'!$K$6,".",IF(A4896=".",1,A4896+1))</f>
        <v>.</v>
      </c>
      <c r="B4897" s="244" t="str">
        <f t="shared" si="76"/>
        <v>Total Knee ReplacementProviderPRACTICE PLUS GROUP HOSPITAL - PLYMOUTH (NTPH5)EQ VAS</v>
      </c>
      <c r="C4897" t="s">
        <v>975</v>
      </c>
      <c r="D4897" t="s">
        <v>965</v>
      </c>
      <c r="E4897" t="s">
        <v>458</v>
      </c>
      <c r="F4897" t="s">
        <v>459</v>
      </c>
      <c r="G4897" t="s">
        <v>752</v>
      </c>
      <c r="H4897">
        <v>188</v>
      </c>
      <c r="I4897">
        <v>68.989400000000003</v>
      </c>
      <c r="J4897">
        <v>76.233999999999995</v>
      </c>
      <c r="K4897">
        <v>7.2446799999999998</v>
      </c>
      <c r="L4897">
        <v>112</v>
      </c>
      <c r="M4897">
        <v>21</v>
      </c>
      <c r="N4897">
        <v>55</v>
      </c>
      <c r="O4897">
        <v>74.185599999999994</v>
      </c>
      <c r="P4897">
        <v>8.87988</v>
      </c>
      <c r="Q4897">
        <v>15.327400000000001</v>
      </c>
    </row>
    <row r="4898" spans="1:17" x14ac:dyDescent="0.25">
      <c r="A4898" t="str">
        <f>IF(C4898&amp;G4898&amp;D4898&lt;&gt;'Funnel setup'!$K$3&amp;'Funnel setup'!$K$4&amp;'Funnel setup'!$K$6,".",IF(A4897=".",1,A4897+1))</f>
        <v>.</v>
      </c>
      <c r="B4898" s="244" t="str">
        <f t="shared" si="76"/>
        <v>Total Knee ReplacementProviderPRACTICE PLUS GROUP HOSPITAL - SHEPTON MALLET (NTPH1)EQ VAS</v>
      </c>
      <c r="C4898" t="s">
        <v>975</v>
      </c>
      <c r="D4898" t="s">
        <v>965</v>
      </c>
      <c r="E4898" t="s">
        <v>460</v>
      </c>
      <c r="F4898" t="s">
        <v>461</v>
      </c>
      <c r="G4898" t="s">
        <v>752</v>
      </c>
      <c r="H4898">
        <v>206</v>
      </c>
      <c r="I4898">
        <v>66.679599999999994</v>
      </c>
      <c r="J4898">
        <v>77.325199999999995</v>
      </c>
      <c r="K4898">
        <v>10.6456</v>
      </c>
      <c r="L4898">
        <v>138</v>
      </c>
      <c r="M4898">
        <v>23</v>
      </c>
      <c r="N4898">
        <v>45</v>
      </c>
      <c r="O4898">
        <v>75.608199999999997</v>
      </c>
      <c r="P4898">
        <v>10.3025</v>
      </c>
      <c r="Q4898">
        <v>16.017099999999999</v>
      </c>
    </row>
    <row r="4899" spans="1:17" x14ac:dyDescent="0.25">
      <c r="A4899" t="str">
        <f>IF(C4899&amp;G4899&amp;D4899&lt;&gt;'Funnel setup'!$K$3&amp;'Funnel setup'!$K$4&amp;'Funnel setup'!$K$6,".",IF(A4898=".",1,A4898+1))</f>
        <v>.</v>
      </c>
      <c r="B4899" s="244" t="str">
        <f t="shared" si="76"/>
        <v>Total Knee ReplacementProviderPRACTICE PLUS GROUP HOSPITAL - SOUTHAMPTON (NTP11)EQ VAS</v>
      </c>
      <c r="C4899" t="s">
        <v>975</v>
      </c>
      <c r="D4899" t="s">
        <v>965</v>
      </c>
      <c r="E4899" t="s">
        <v>462</v>
      </c>
      <c r="F4899" t="s">
        <v>463</v>
      </c>
      <c r="G4899" t="s">
        <v>752</v>
      </c>
      <c r="H4899">
        <v>63</v>
      </c>
      <c r="I4899">
        <v>66.031700000000001</v>
      </c>
      <c r="J4899">
        <v>72.698400000000007</v>
      </c>
      <c r="K4899">
        <v>6.6666699999999999</v>
      </c>
      <c r="L4899">
        <v>37</v>
      </c>
      <c r="M4899">
        <v>4</v>
      </c>
      <c r="N4899">
        <v>22</v>
      </c>
      <c r="O4899">
        <v>71.933599999999998</v>
      </c>
      <c r="P4899">
        <v>6.6278699999999997</v>
      </c>
      <c r="Q4899">
        <v>16.689599999999999</v>
      </c>
    </row>
    <row r="4900" spans="1:17" x14ac:dyDescent="0.25">
      <c r="A4900" t="str">
        <f>IF(C4900&amp;G4900&amp;D4900&lt;&gt;'Funnel setup'!$K$3&amp;'Funnel setup'!$K$4&amp;'Funnel setup'!$K$6,".",IF(A4899=".",1,A4899+1))</f>
        <v>.</v>
      </c>
      <c r="B4900" s="244" t="str">
        <f t="shared" si="76"/>
        <v>Total Knee ReplacementProviderPRINCESS MARGARET HOSPITAL (NT428)EQ VAS</v>
      </c>
      <c r="C4900" t="s">
        <v>975</v>
      </c>
      <c r="D4900" t="s">
        <v>965</v>
      </c>
      <c r="E4900" t="s">
        <v>464</v>
      </c>
      <c r="F4900" t="s">
        <v>465</v>
      </c>
      <c r="G4900" t="s">
        <v>752</v>
      </c>
      <c r="H4900" t="s">
        <v>127</v>
      </c>
      <c r="I4900" t="s">
        <v>127</v>
      </c>
      <c r="J4900" t="s">
        <v>127</v>
      </c>
      <c r="K4900" t="s">
        <v>127</v>
      </c>
      <c r="L4900" t="s">
        <v>127</v>
      </c>
      <c r="M4900" t="s">
        <v>127</v>
      </c>
      <c r="N4900" t="s">
        <v>127</v>
      </c>
      <c r="O4900" t="s">
        <v>127</v>
      </c>
      <c r="P4900" t="s">
        <v>127</v>
      </c>
      <c r="Q4900" t="s">
        <v>127</v>
      </c>
    </row>
    <row r="4901" spans="1:17" x14ac:dyDescent="0.25">
      <c r="A4901" t="str">
        <f>IF(C4901&amp;G4901&amp;D4901&lt;&gt;'Funnel setup'!$K$3&amp;'Funnel setup'!$K$4&amp;'Funnel setup'!$K$6,".",IF(A4900=".",1,A4900+1))</f>
        <v>.</v>
      </c>
      <c r="B4901" s="244" t="str">
        <f t="shared" si="76"/>
        <v>Total Knee ReplacementProviderPRIORY HOSPITAL (NT429)EQ VAS</v>
      </c>
      <c r="C4901" t="s">
        <v>975</v>
      </c>
      <c r="D4901" t="s">
        <v>965</v>
      </c>
      <c r="E4901" t="s">
        <v>466</v>
      </c>
      <c r="F4901" t="s">
        <v>467</v>
      </c>
      <c r="G4901" t="s">
        <v>752</v>
      </c>
      <c r="H4901">
        <v>23</v>
      </c>
      <c r="I4901">
        <v>74.760000000000005</v>
      </c>
      <c r="J4901">
        <v>77.12</v>
      </c>
      <c r="K4901">
        <v>2.36</v>
      </c>
      <c r="L4901">
        <v>11</v>
      </c>
      <c r="M4901">
        <v>3</v>
      </c>
      <c r="N4901">
        <v>9</v>
      </c>
      <c r="O4901" t="s">
        <v>127</v>
      </c>
      <c r="P4901" t="s">
        <v>127</v>
      </c>
      <c r="Q4901" t="s">
        <v>127</v>
      </c>
    </row>
    <row r="4902" spans="1:17" x14ac:dyDescent="0.25">
      <c r="A4902" t="str">
        <f>IF(C4902&amp;G4902&amp;D4902&lt;&gt;'Funnel setup'!$K$3&amp;'Funnel setup'!$K$4&amp;'Funnel setup'!$K$6,".",IF(A4901=".",1,A4901+1))</f>
        <v>.</v>
      </c>
      <c r="B4902" s="244" t="str">
        <f t="shared" si="76"/>
        <v>Total Knee ReplacementProviderRENACRES HOSPITAL (NVC16)EQ VAS</v>
      </c>
      <c r="C4902" t="s">
        <v>975</v>
      </c>
      <c r="D4902" t="s">
        <v>965</v>
      </c>
      <c r="E4902" t="s">
        <v>470</v>
      </c>
      <c r="F4902" t="s">
        <v>471</v>
      </c>
      <c r="G4902" t="s">
        <v>752</v>
      </c>
      <c r="H4902">
        <v>62</v>
      </c>
      <c r="I4902">
        <v>70.951599999999999</v>
      </c>
      <c r="J4902">
        <v>76.225800000000007</v>
      </c>
      <c r="K4902">
        <v>5.2741899999999999</v>
      </c>
      <c r="L4902">
        <v>37</v>
      </c>
      <c r="M4902">
        <v>8</v>
      </c>
      <c r="N4902">
        <v>17</v>
      </c>
      <c r="O4902">
        <v>73.001800000000003</v>
      </c>
      <c r="P4902">
        <v>7.6961000000000004</v>
      </c>
      <c r="Q4902">
        <v>14.7506</v>
      </c>
    </row>
    <row r="4903" spans="1:17" x14ac:dyDescent="0.25">
      <c r="A4903" t="str">
        <f>IF(C4903&amp;G4903&amp;D4903&lt;&gt;'Funnel setup'!$K$3&amp;'Funnel setup'!$K$4&amp;'Funnel setup'!$K$6,".",IF(A4902=".",1,A4902+1))</f>
        <v>.</v>
      </c>
      <c r="B4903" s="244" t="str">
        <f t="shared" si="76"/>
        <v>Total Knee ReplacementProviderRIDGEWAY HOSPITAL (NT430)EQ VAS</v>
      </c>
      <c r="C4903" t="s">
        <v>975</v>
      </c>
      <c r="D4903" t="s">
        <v>965</v>
      </c>
      <c r="E4903" t="s">
        <v>472</v>
      </c>
      <c r="F4903" t="s">
        <v>473</v>
      </c>
      <c r="G4903" t="s">
        <v>752</v>
      </c>
      <c r="H4903">
        <v>1</v>
      </c>
      <c r="I4903">
        <v>78</v>
      </c>
      <c r="J4903">
        <v>83</v>
      </c>
      <c r="K4903">
        <v>5</v>
      </c>
      <c r="L4903">
        <v>1</v>
      </c>
      <c r="M4903">
        <v>0</v>
      </c>
      <c r="N4903">
        <v>0</v>
      </c>
      <c r="O4903" t="s">
        <v>127</v>
      </c>
      <c r="P4903" t="s">
        <v>127</v>
      </c>
      <c r="Q4903" t="s">
        <v>127</v>
      </c>
    </row>
    <row r="4904" spans="1:17" x14ac:dyDescent="0.25">
      <c r="A4904" t="str">
        <f>IF(C4904&amp;G4904&amp;D4904&lt;&gt;'Funnel setup'!$K$3&amp;'Funnel setup'!$K$4&amp;'Funnel setup'!$K$6,".",IF(A4903=".",1,A4903+1))</f>
        <v>.</v>
      </c>
      <c r="B4904" s="244" t="str">
        <f t="shared" si="76"/>
        <v>Total Knee ReplacementProviderRIVERS HOSPITAL (NVC19)EQ VAS</v>
      </c>
      <c r="C4904" t="s">
        <v>975</v>
      </c>
      <c r="D4904" t="s">
        <v>965</v>
      </c>
      <c r="E4904" t="s">
        <v>474</v>
      </c>
      <c r="F4904" t="s">
        <v>475</v>
      </c>
      <c r="G4904" t="s">
        <v>752</v>
      </c>
      <c r="H4904">
        <v>37</v>
      </c>
      <c r="I4904">
        <v>71.243200000000002</v>
      </c>
      <c r="J4904">
        <v>78.081100000000006</v>
      </c>
      <c r="K4904">
        <v>6.8378399999999999</v>
      </c>
      <c r="L4904">
        <v>22</v>
      </c>
      <c r="M4904">
        <v>3</v>
      </c>
      <c r="N4904">
        <v>12</v>
      </c>
      <c r="O4904">
        <v>73.540899999999993</v>
      </c>
      <c r="P4904">
        <v>8.2352299999999996</v>
      </c>
      <c r="Q4904">
        <v>16.665500000000002</v>
      </c>
    </row>
    <row r="4905" spans="1:17" x14ac:dyDescent="0.25">
      <c r="A4905" t="str">
        <f>IF(C4905&amp;G4905&amp;D4905&lt;&gt;'Funnel setup'!$K$3&amp;'Funnel setup'!$K$4&amp;'Funnel setup'!$K$6,".",IF(A4904=".",1,A4904+1))</f>
        <v>.</v>
      </c>
      <c r="B4905" s="244" t="str">
        <f t="shared" si="76"/>
        <v>Total Knee ReplacementProviderROWLEY HALL HOSPITAL (NVC17)EQ VAS</v>
      </c>
      <c r="C4905" t="s">
        <v>975</v>
      </c>
      <c r="D4905" t="s">
        <v>965</v>
      </c>
      <c r="E4905" t="s">
        <v>476</v>
      </c>
      <c r="F4905" t="s">
        <v>477</v>
      </c>
      <c r="G4905" t="s">
        <v>752</v>
      </c>
      <c r="H4905">
        <v>38</v>
      </c>
      <c r="I4905">
        <v>61.359000000000002</v>
      </c>
      <c r="J4905">
        <v>77.230800000000002</v>
      </c>
      <c r="K4905">
        <v>15.8718</v>
      </c>
      <c r="L4905">
        <v>26</v>
      </c>
      <c r="M4905">
        <v>5</v>
      </c>
      <c r="N4905">
        <v>7</v>
      </c>
      <c r="O4905">
        <v>77.581199999999995</v>
      </c>
      <c r="P4905">
        <v>12.275499999999999</v>
      </c>
      <c r="Q4905">
        <v>16.889600000000002</v>
      </c>
    </row>
    <row r="4906" spans="1:17" x14ac:dyDescent="0.25">
      <c r="A4906" t="str">
        <f>IF(C4906&amp;G4906&amp;D4906&lt;&gt;'Funnel setup'!$K$3&amp;'Funnel setup'!$K$4&amp;'Funnel setup'!$K$6,".",IF(A4905=".",1,A4905+1))</f>
        <v>.</v>
      </c>
      <c r="B4906" s="244" t="str">
        <f t="shared" si="76"/>
        <v>Total Knee ReplacementProviderROYAL BERKSHIRE NHS FOUNDATION TRUST (RHW)EQ VAS</v>
      </c>
      <c r="C4906" t="s">
        <v>975</v>
      </c>
      <c r="D4906" t="s">
        <v>965</v>
      </c>
      <c r="E4906" t="s">
        <v>478</v>
      </c>
      <c r="F4906" t="s">
        <v>479</v>
      </c>
      <c r="G4906" t="s">
        <v>752</v>
      </c>
      <c r="H4906">
        <v>7</v>
      </c>
      <c r="I4906">
        <v>63.857100000000003</v>
      </c>
      <c r="J4906">
        <v>68.857100000000003</v>
      </c>
      <c r="K4906">
        <v>5</v>
      </c>
      <c r="L4906">
        <v>5</v>
      </c>
      <c r="M4906">
        <v>0</v>
      </c>
      <c r="N4906">
        <v>2</v>
      </c>
      <c r="O4906" t="s">
        <v>127</v>
      </c>
      <c r="P4906" t="s">
        <v>127</v>
      </c>
      <c r="Q4906" t="s">
        <v>127</v>
      </c>
    </row>
    <row r="4907" spans="1:17" x14ac:dyDescent="0.25">
      <c r="A4907" t="str">
        <f>IF(C4907&amp;G4907&amp;D4907&lt;&gt;'Funnel setup'!$K$3&amp;'Funnel setup'!$K$4&amp;'Funnel setup'!$K$6,".",IF(A4906=".",1,A4906+1))</f>
        <v>.</v>
      </c>
      <c r="B4907" s="244" t="str">
        <f t="shared" si="76"/>
        <v>Total Knee ReplacementProviderROYAL CORNWALL HOSPITALS NHS TRUST (REF)EQ VAS</v>
      </c>
      <c r="C4907" t="s">
        <v>975</v>
      </c>
      <c r="D4907" t="s">
        <v>965</v>
      </c>
      <c r="E4907" t="s">
        <v>480</v>
      </c>
      <c r="F4907" t="s">
        <v>481</v>
      </c>
      <c r="G4907" t="s">
        <v>752</v>
      </c>
      <c r="H4907">
        <v>35</v>
      </c>
      <c r="I4907">
        <v>67.8857</v>
      </c>
      <c r="J4907">
        <v>76.400000000000006</v>
      </c>
      <c r="K4907">
        <v>8.5142900000000008</v>
      </c>
      <c r="L4907">
        <v>22</v>
      </c>
      <c r="M4907">
        <v>4</v>
      </c>
      <c r="N4907">
        <v>9</v>
      </c>
      <c r="O4907">
        <v>75.5154</v>
      </c>
      <c r="P4907">
        <v>10.2097</v>
      </c>
      <c r="Q4907">
        <v>17.132999999999999</v>
      </c>
    </row>
    <row r="4908" spans="1:17" x14ac:dyDescent="0.25">
      <c r="A4908" t="str">
        <f>IF(C4908&amp;G4908&amp;D4908&lt;&gt;'Funnel setup'!$K$3&amp;'Funnel setup'!$K$4&amp;'Funnel setup'!$K$6,".",IF(A4907=".",1,A4907+1))</f>
        <v>.</v>
      </c>
      <c r="B4908" s="244" t="str">
        <f t="shared" si="76"/>
        <v>Total Knee ReplacementProviderROYAL DEVON UNIVERSITY HEALTHCARE NHS FOUNDATION TRUST (RH8)EQ VAS</v>
      </c>
      <c r="C4908" t="s">
        <v>975</v>
      </c>
      <c r="D4908" t="s">
        <v>965</v>
      </c>
      <c r="E4908" t="s">
        <v>482</v>
      </c>
      <c r="F4908" t="s">
        <v>483</v>
      </c>
      <c r="G4908" t="s">
        <v>752</v>
      </c>
      <c r="H4908">
        <v>31</v>
      </c>
      <c r="I4908">
        <v>59.838700000000003</v>
      </c>
      <c r="J4908">
        <v>74.032300000000006</v>
      </c>
      <c r="K4908">
        <v>14.1935</v>
      </c>
      <c r="L4908">
        <v>23</v>
      </c>
      <c r="M4908">
        <v>2</v>
      </c>
      <c r="N4908">
        <v>6</v>
      </c>
      <c r="O4908">
        <v>77.859200000000001</v>
      </c>
      <c r="P4908">
        <v>12.5535</v>
      </c>
      <c r="Q4908">
        <v>17.091000000000001</v>
      </c>
    </row>
    <row r="4909" spans="1:17" x14ac:dyDescent="0.25">
      <c r="A4909" t="str">
        <f>IF(C4909&amp;G4909&amp;D4909&lt;&gt;'Funnel setup'!$K$3&amp;'Funnel setup'!$K$4&amp;'Funnel setup'!$K$6,".",IF(A4908=".",1,A4908+1))</f>
        <v>.</v>
      </c>
      <c r="B4909" s="244" t="str">
        <f t="shared" si="76"/>
        <v>Total Knee ReplacementProviderROYAL NATIONAL ORTHOPAEDIC HOSPITAL NHS TRUST (RAN)EQ VAS</v>
      </c>
      <c r="C4909" t="s">
        <v>975</v>
      </c>
      <c r="D4909" t="s">
        <v>965</v>
      </c>
      <c r="E4909" t="s">
        <v>486</v>
      </c>
      <c r="F4909" t="s">
        <v>487</v>
      </c>
      <c r="G4909" t="s">
        <v>752</v>
      </c>
      <c r="H4909">
        <v>101</v>
      </c>
      <c r="I4909">
        <v>63.415799999999997</v>
      </c>
      <c r="J4909">
        <v>66.960400000000007</v>
      </c>
      <c r="K4909">
        <v>3.5445500000000001</v>
      </c>
      <c r="L4909">
        <v>57</v>
      </c>
      <c r="M4909">
        <v>13</v>
      </c>
      <c r="N4909">
        <v>31</v>
      </c>
      <c r="O4909">
        <v>73.503900000000002</v>
      </c>
      <c r="P4909">
        <v>8.1981400000000004</v>
      </c>
      <c r="Q4909">
        <v>19.245200000000001</v>
      </c>
    </row>
    <row r="4910" spans="1:17" x14ac:dyDescent="0.25">
      <c r="A4910" t="str">
        <f>IF(C4910&amp;G4910&amp;D4910&lt;&gt;'Funnel setup'!$K$3&amp;'Funnel setup'!$K$4&amp;'Funnel setup'!$K$6,".",IF(A4909=".",1,A4909+1))</f>
        <v>.</v>
      </c>
      <c r="B4910" s="244" t="str">
        <f t="shared" si="76"/>
        <v>Total Knee ReplacementProviderROYAL SURREY COUNTY HOSPITAL NHS FOUNDATION TRUST (RA2)EQ VAS</v>
      </c>
      <c r="C4910" t="s">
        <v>975</v>
      </c>
      <c r="D4910" t="s">
        <v>965</v>
      </c>
      <c r="E4910" t="s">
        <v>488</v>
      </c>
      <c r="F4910" t="s">
        <v>489</v>
      </c>
      <c r="G4910" t="s">
        <v>752</v>
      </c>
      <c r="H4910">
        <v>48</v>
      </c>
      <c r="I4910">
        <v>62.1875</v>
      </c>
      <c r="J4910">
        <v>67.604200000000006</v>
      </c>
      <c r="K4910">
        <v>5.4166699999999999</v>
      </c>
      <c r="L4910">
        <v>25</v>
      </c>
      <c r="M4910">
        <v>8</v>
      </c>
      <c r="N4910">
        <v>15</v>
      </c>
      <c r="O4910">
        <v>67.178100000000001</v>
      </c>
      <c r="P4910">
        <v>1.8723399999999999</v>
      </c>
      <c r="Q4910">
        <v>17.607299999999999</v>
      </c>
    </row>
    <row r="4911" spans="1:17" x14ac:dyDescent="0.25">
      <c r="A4911" t="str">
        <f>IF(C4911&amp;G4911&amp;D4911&lt;&gt;'Funnel setup'!$K$3&amp;'Funnel setup'!$K$4&amp;'Funnel setup'!$K$6,".",IF(A4910=".",1,A4910+1))</f>
        <v>.</v>
      </c>
      <c r="B4911" s="244" t="str">
        <f t="shared" si="76"/>
        <v>Total Knee ReplacementProviderROYAL UNITED HOSPITALS BATH NHS FOUNDATION TRUST (RD1)EQ VAS</v>
      </c>
      <c r="C4911" t="s">
        <v>975</v>
      </c>
      <c r="D4911" t="s">
        <v>965</v>
      </c>
      <c r="E4911" t="s">
        <v>490</v>
      </c>
      <c r="F4911" t="s">
        <v>491</v>
      </c>
      <c r="G4911" t="s">
        <v>752</v>
      </c>
      <c r="H4911">
        <v>13</v>
      </c>
      <c r="I4911">
        <v>54.230800000000002</v>
      </c>
      <c r="J4911">
        <v>66.384600000000006</v>
      </c>
      <c r="K4911">
        <v>12.1538</v>
      </c>
      <c r="L4911">
        <v>9</v>
      </c>
      <c r="M4911">
        <v>2</v>
      </c>
      <c r="N4911">
        <v>2</v>
      </c>
      <c r="O4911" t="s">
        <v>127</v>
      </c>
      <c r="P4911" t="s">
        <v>127</v>
      </c>
      <c r="Q4911" t="s">
        <v>127</v>
      </c>
    </row>
    <row r="4912" spans="1:17" x14ac:dyDescent="0.25">
      <c r="A4912" t="str">
        <f>IF(C4912&amp;G4912&amp;D4912&lt;&gt;'Funnel setup'!$K$3&amp;'Funnel setup'!$K$4&amp;'Funnel setup'!$K$6,".",IF(A4911=".",1,A4911+1))</f>
        <v>.</v>
      </c>
      <c r="B4912" s="244" t="str">
        <f t="shared" si="76"/>
        <v>Total Knee ReplacementProviderRUNNYMEDE HOSPITAL (NT431)EQ VAS</v>
      </c>
      <c r="C4912" t="s">
        <v>975</v>
      </c>
      <c r="D4912" t="s">
        <v>965</v>
      </c>
      <c r="E4912" t="s">
        <v>492</v>
      </c>
      <c r="F4912" t="s">
        <v>493</v>
      </c>
      <c r="G4912" t="s">
        <v>752</v>
      </c>
      <c r="H4912">
        <v>6</v>
      </c>
      <c r="I4912">
        <v>69.166700000000006</v>
      </c>
      <c r="J4912">
        <v>82.166700000000006</v>
      </c>
      <c r="K4912">
        <v>13</v>
      </c>
      <c r="L4912">
        <v>4</v>
      </c>
      <c r="M4912">
        <v>1</v>
      </c>
      <c r="N4912">
        <v>1</v>
      </c>
      <c r="O4912" t="s">
        <v>127</v>
      </c>
      <c r="P4912" t="s">
        <v>127</v>
      </c>
      <c r="Q4912" t="s">
        <v>127</v>
      </c>
    </row>
    <row r="4913" spans="1:17" x14ac:dyDescent="0.25">
      <c r="A4913" t="str">
        <f>IF(C4913&amp;G4913&amp;D4913&lt;&gt;'Funnel setup'!$K$3&amp;'Funnel setup'!$K$4&amp;'Funnel setup'!$K$6,".",IF(A4912=".",1,A4912+1))</f>
        <v>.</v>
      </c>
      <c r="B4913" s="244" t="str">
        <f t="shared" si="76"/>
        <v>Total Knee ReplacementProviderSALISBURY NHS FOUNDATION TRUST (RNZ)EQ VAS</v>
      </c>
      <c r="C4913" t="s">
        <v>975</v>
      </c>
      <c r="D4913" t="s">
        <v>965</v>
      </c>
      <c r="E4913" t="s">
        <v>494</v>
      </c>
      <c r="F4913" t="s">
        <v>495</v>
      </c>
      <c r="G4913" t="s">
        <v>752</v>
      </c>
      <c r="H4913">
        <v>1</v>
      </c>
      <c r="I4913">
        <v>80</v>
      </c>
      <c r="J4913">
        <v>100</v>
      </c>
      <c r="K4913">
        <v>20</v>
      </c>
      <c r="L4913">
        <v>1</v>
      </c>
      <c r="M4913">
        <v>0</v>
      </c>
      <c r="N4913">
        <v>0</v>
      </c>
      <c r="O4913" t="s">
        <v>127</v>
      </c>
      <c r="P4913" t="s">
        <v>127</v>
      </c>
      <c r="Q4913" t="s">
        <v>127</v>
      </c>
    </row>
    <row r="4914" spans="1:17" x14ac:dyDescent="0.25">
      <c r="A4914" t="str">
        <f>IF(C4914&amp;G4914&amp;D4914&lt;&gt;'Funnel setup'!$K$3&amp;'Funnel setup'!$K$4&amp;'Funnel setup'!$K$6,".",IF(A4913=".",1,A4913+1))</f>
        <v>.</v>
      </c>
      <c r="B4914" s="244" t="str">
        <f t="shared" si="76"/>
        <v>Total Knee ReplacementProviderSANDWELL AND WEST BIRMINGHAM HOSPITALS NHS TRUST (RXK)EQ VAS</v>
      </c>
      <c r="C4914" t="s">
        <v>975</v>
      </c>
      <c r="D4914" t="s">
        <v>965</v>
      </c>
      <c r="E4914" t="s">
        <v>496</v>
      </c>
      <c r="F4914" t="s">
        <v>497</v>
      </c>
      <c r="G4914" t="s">
        <v>752</v>
      </c>
      <c r="H4914">
        <v>69</v>
      </c>
      <c r="I4914">
        <v>65.666700000000006</v>
      </c>
      <c r="J4914">
        <v>70.507199999999997</v>
      </c>
      <c r="K4914">
        <v>4.8405800000000001</v>
      </c>
      <c r="L4914">
        <v>36</v>
      </c>
      <c r="M4914">
        <v>7</v>
      </c>
      <c r="N4914">
        <v>26</v>
      </c>
      <c r="O4914">
        <v>73.583200000000005</v>
      </c>
      <c r="P4914">
        <v>8.2774400000000004</v>
      </c>
      <c r="Q4914">
        <v>18.8125</v>
      </c>
    </row>
    <row r="4915" spans="1:17" x14ac:dyDescent="0.25">
      <c r="A4915" t="str">
        <f>IF(C4915&amp;G4915&amp;D4915&lt;&gt;'Funnel setup'!$K$3&amp;'Funnel setup'!$K$4&amp;'Funnel setup'!$K$6,".",IF(A4914=".",1,A4914+1))</f>
        <v>.</v>
      </c>
      <c r="B4915" s="244" t="str">
        <f t="shared" si="76"/>
        <v>Total Knee ReplacementProviderSARUM ROAD HOSPITAL (NT433)EQ VAS</v>
      </c>
      <c r="C4915" t="s">
        <v>975</v>
      </c>
      <c r="D4915" t="s">
        <v>965</v>
      </c>
      <c r="E4915" t="s">
        <v>498</v>
      </c>
      <c r="F4915" t="s">
        <v>499</v>
      </c>
      <c r="G4915" t="s">
        <v>752</v>
      </c>
      <c r="H4915">
        <v>26</v>
      </c>
      <c r="I4915">
        <v>69.846199999999996</v>
      </c>
      <c r="J4915">
        <v>79.461500000000001</v>
      </c>
      <c r="K4915">
        <v>9.61538</v>
      </c>
      <c r="L4915">
        <v>13</v>
      </c>
      <c r="M4915">
        <v>2</v>
      </c>
      <c r="N4915">
        <v>11</v>
      </c>
      <c r="O4915" t="s">
        <v>127</v>
      </c>
      <c r="P4915" t="s">
        <v>127</v>
      </c>
      <c r="Q4915" t="s">
        <v>127</v>
      </c>
    </row>
    <row r="4916" spans="1:17" x14ac:dyDescent="0.25">
      <c r="A4916" t="str">
        <f>IF(C4916&amp;G4916&amp;D4916&lt;&gt;'Funnel setup'!$K$3&amp;'Funnel setup'!$K$4&amp;'Funnel setup'!$K$6,".",IF(A4915=".",1,A4915+1))</f>
        <v>.</v>
      </c>
      <c r="B4916" s="244" t="str">
        <f t="shared" si="76"/>
        <v>Total Knee ReplacementProviderSAXON CLINIC (NT434)EQ VAS</v>
      </c>
      <c r="C4916" t="s">
        <v>975</v>
      </c>
      <c r="D4916" t="s">
        <v>965</v>
      </c>
      <c r="E4916" t="s">
        <v>500</v>
      </c>
      <c r="F4916" t="s">
        <v>501</v>
      </c>
      <c r="G4916" t="s">
        <v>752</v>
      </c>
      <c r="H4916">
        <v>12</v>
      </c>
      <c r="I4916">
        <v>63.666699999999999</v>
      </c>
      <c r="J4916">
        <v>72.5</v>
      </c>
      <c r="K4916">
        <v>8.8333300000000001</v>
      </c>
      <c r="L4916">
        <v>7</v>
      </c>
      <c r="M4916">
        <v>1</v>
      </c>
      <c r="N4916">
        <v>4</v>
      </c>
      <c r="O4916" t="s">
        <v>127</v>
      </c>
      <c r="P4916" t="s">
        <v>127</v>
      </c>
      <c r="Q4916" t="s">
        <v>127</v>
      </c>
    </row>
    <row r="4917" spans="1:17" x14ac:dyDescent="0.25">
      <c r="A4917" t="str">
        <f>IF(C4917&amp;G4917&amp;D4917&lt;&gt;'Funnel setup'!$K$3&amp;'Funnel setup'!$K$4&amp;'Funnel setup'!$K$6,".",IF(A4916=".",1,A4916+1))</f>
        <v>.</v>
      </c>
      <c r="B4917" s="244" t="str">
        <f t="shared" si="76"/>
        <v>Total Knee ReplacementProviderSHEFFIELD TEACHING HOSPITALS NHS FOUNDATION TRUST (RHQ)EQ VAS</v>
      </c>
      <c r="C4917" t="s">
        <v>975</v>
      </c>
      <c r="D4917" t="s">
        <v>965</v>
      </c>
      <c r="E4917" t="s">
        <v>506</v>
      </c>
      <c r="F4917" t="s">
        <v>507</v>
      </c>
      <c r="G4917" t="s">
        <v>752</v>
      </c>
      <c r="H4917">
        <v>34</v>
      </c>
      <c r="I4917">
        <v>62.911799999999999</v>
      </c>
      <c r="J4917">
        <v>72.2059</v>
      </c>
      <c r="K4917">
        <v>9.2941199999999995</v>
      </c>
      <c r="L4917">
        <v>22</v>
      </c>
      <c r="M4917">
        <v>4</v>
      </c>
      <c r="N4917">
        <v>8</v>
      </c>
      <c r="O4917">
        <v>71.272499999999994</v>
      </c>
      <c r="P4917">
        <v>5.9667899999999996</v>
      </c>
      <c r="Q4917">
        <v>18.918399999999998</v>
      </c>
    </row>
    <row r="4918" spans="1:17" x14ac:dyDescent="0.25">
      <c r="A4918" t="str">
        <f>IF(C4918&amp;G4918&amp;D4918&lt;&gt;'Funnel setup'!$K$3&amp;'Funnel setup'!$K$4&amp;'Funnel setup'!$K$6,".",IF(A4917=".",1,A4917+1))</f>
        <v>.</v>
      </c>
      <c r="B4918" s="244" t="str">
        <f t="shared" si="76"/>
        <v>Total Knee ReplacementProviderSHERWOOD FOREST HOSPITALS NHS FOUNDATION TRUST (RK5)EQ VAS</v>
      </c>
      <c r="C4918" t="s">
        <v>975</v>
      </c>
      <c r="D4918" t="s">
        <v>965</v>
      </c>
      <c r="E4918" t="s">
        <v>508</v>
      </c>
      <c r="F4918" t="s">
        <v>509</v>
      </c>
      <c r="G4918" t="s">
        <v>752</v>
      </c>
      <c r="H4918">
        <v>61</v>
      </c>
      <c r="I4918">
        <v>64.344300000000004</v>
      </c>
      <c r="J4918">
        <v>72.6066</v>
      </c>
      <c r="K4918">
        <v>8.2622999999999998</v>
      </c>
      <c r="L4918">
        <v>38</v>
      </c>
      <c r="M4918">
        <v>7</v>
      </c>
      <c r="N4918">
        <v>16</v>
      </c>
      <c r="O4918">
        <v>72.640600000000006</v>
      </c>
      <c r="P4918">
        <v>7.3348899999999997</v>
      </c>
      <c r="Q4918">
        <v>16.849499999999999</v>
      </c>
    </row>
    <row r="4919" spans="1:17" x14ac:dyDescent="0.25">
      <c r="A4919" t="str">
        <f>IF(C4919&amp;G4919&amp;D4919&lt;&gt;'Funnel setup'!$K$3&amp;'Funnel setup'!$K$4&amp;'Funnel setup'!$K$6,".",IF(A4918=".",1,A4918+1))</f>
        <v>.</v>
      </c>
      <c r="B4919" s="244" t="str">
        <f t="shared" si="76"/>
        <v>Total Knee ReplacementProviderSHIRLEY OAKS HOSPITAL (NT436)EQ VAS</v>
      </c>
      <c r="C4919" t="s">
        <v>975</v>
      </c>
      <c r="D4919" t="s">
        <v>965</v>
      </c>
      <c r="E4919" t="s">
        <v>510</v>
      </c>
      <c r="F4919" t="s">
        <v>511</v>
      </c>
      <c r="G4919" t="s">
        <v>752</v>
      </c>
      <c r="H4919">
        <v>3</v>
      </c>
      <c r="I4919">
        <v>80</v>
      </c>
      <c r="J4919">
        <v>73</v>
      </c>
      <c r="K4919">
        <v>-7</v>
      </c>
      <c r="L4919">
        <v>1</v>
      </c>
      <c r="M4919">
        <v>0</v>
      </c>
      <c r="N4919">
        <v>2</v>
      </c>
      <c r="O4919" t="s">
        <v>127</v>
      </c>
      <c r="P4919" t="s">
        <v>127</v>
      </c>
      <c r="Q4919" t="s">
        <v>127</v>
      </c>
    </row>
    <row r="4920" spans="1:17" x14ac:dyDescent="0.25">
      <c r="A4920" t="str">
        <f>IF(C4920&amp;G4920&amp;D4920&lt;&gt;'Funnel setup'!$K$3&amp;'Funnel setup'!$K$4&amp;'Funnel setup'!$K$6,".",IF(A4919=".",1,A4919+1))</f>
        <v>.</v>
      </c>
      <c r="B4920" s="244" t="str">
        <f t="shared" si="76"/>
        <v>Total Knee ReplacementProviderSOUTH TEES HOSPITALS NHS FOUNDATION TRUST (RTR)EQ VAS</v>
      </c>
      <c r="C4920" t="s">
        <v>975</v>
      </c>
      <c r="D4920" t="s">
        <v>965</v>
      </c>
      <c r="E4920" t="s">
        <v>516</v>
      </c>
      <c r="F4920" t="s">
        <v>517</v>
      </c>
      <c r="G4920" t="s">
        <v>752</v>
      </c>
      <c r="H4920">
        <v>120</v>
      </c>
      <c r="I4920">
        <v>59.508299999999998</v>
      </c>
      <c r="J4920">
        <v>71.8</v>
      </c>
      <c r="K4920">
        <v>12.291700000000001</v>
      </c>
      <c r="L4920">
        <v>84</v>
      </c>
      <c r="M4920">
        <v>7</v>
      </c>
      <c r="N4920">
        <v>29</v>
      </c>
      <c r="O4920">
        <v>76.310500000000005</v>
      </c>
      <c r="P4920">
        <v>11.004799999999999</v>
      </c>
      <c r="Q4920">
        <v>18.868600000000001</v>
      </c>
    </row>
    <row r="4921" spans="1:17" x14ac:dyDescent="0.25">
      <c r="A4921" t="str">
        <f>IF(C4921&amp;G4921&amp;D4921&lt;&gt;'Funnel setup'!$K$3&amp;'Funnel setup'!$K$4&amp;'Funnel setup'!$K$6,".",IF(A4920=".",1,A4920+1))</f>
        <v>.</v>
      </c>
      <c r="B4921" s="244" t="str">
        <f t="shared" si="76"/>
        <v>Total Knee ReplacementProviderSOUTH TYNESIDE AND SUNDERLAND NHS FOUNDATION TRUST (R0B)EQ VAS</v>
      </c>
      <c r="C4921" t="s">
        <v>975</v>
      </c>
      <c r="D4921" t="s">
        <v>965</v>
      </c>
      <c r="E4921" t="s">
        <v>518</v>
      </c>
      <c r="F4921" t="s">
        <v>519</v>
      </c>
      <c r="G4921" t="s">
        <v>752</v>
      </c>
      <c r="H4921">
        <v>8</v>
      </c>
      <c r="I4921">
        <v>67.625</v>
      </c>
      <c r="J4921">
        <v>62.25</v>
      </c>
      <c r="K4921">
        <v>-5.375</v>
      </c>
      <c r="L4921">
        <v>5</v>
      </c>
      <c r="M4921">
        <v>0</v>
      </c>
      <c r="N4921">
        <v>3</v>
      </c>
      <c r="O4921" t="s">
        <v>127</v>
      </c>
      <c r="P4921" t="s">
        <v>127</v>
      </c>
      <c r="Q4921" t="s">
        <v>127</v>
      </c>
    </row>
    <row r="4922" spans="1:17" x14ac:dyDescent="0.25">
      <c r="A4922" t="str">
        <f>IF(C4922&amp;G4922&amp;D4922&lt;&gt;'Funnel setup'!$K$3&amp;'Funnel setup'!$K$4&amp;'Funnel setup'!$K$6,".",IF(A4921=".",1,A4921+1))</f>
        <v>.</v>
      </c>
      <c r="B4922" s="244" t="str">
        <f t="shared" si="76"/>
        <v>Total Knee ReplacementProviderSOUTH WARWICKSHIRE UNIVERSITY NHS FOUNDATION TRUST (RJC)EQ VAS</v>
      </c>
      <c r="C4922" t="s">
        <v>975</v>
      </c>
      <c r="D4922" t="s">
        <v>965</v>
      </c>
      <c r="E4922" t="s">
        <v>520</v>
      </c>
      <c r="F4922" t="s">
        <v>521</v>
      </c>
      <c r="G4922" t="s">
        <v>752</v>
      </c>
      <c r="H4922">
        <v>136</v>
      </c>
      <c r="I4922">
        <v>68.25</v>
      </c>
      <c r="J4922">
        <v>75.426500000000004</v>
      </c>
      <c r="K4922">
        <v>7.1764700000000001</v>
      </c>
      <c r="L4922">
        <v>83</v>
      </c>
      <c r="M4922">
        <v>26</v>
      </c>
      <c r="N4922">
        <v>27</v>
      </c>
      <c r="O4922">
        <v>73.493200000000002</v>
      </c>
      <c r="P4922">
        <v>8.1874699999999994</v>
      </c>
      <c r="Q4922">
        <v>17.454799999999999</v>
      </c>
    </row>
    <row r="4923" spans="1:17" x14ac:dyDescent="0.25">
      <c r="A4923" t="str">
        <f>IF(C4923&amp;G4923&amp;D4923&lt;&gt;'Funnel setup'!$K$3&amp;'Funnel setup'!$K$4&amp;'Funnel setup'!$K$6,".",IF(A4922=".",1,A4922+1))</f>
        <v>.</v>
      </c>
      <c r="B4923" s="244" t="str">
        <f t="shared" si="76"/>
        <v>Total Knee ReplacementProviderSOUTHPORT AND ORMSKIRK HOSPITAL NHS TRUST (RVY)EQ VAS</v>
      </c>
      <c r="C4923" t="s">
        <v>975</v>
      </c>
      <c r="D4923" t="s">
        <v>965</v>
      </c>
      <c r="E4923" t="s">
        <v>522</v>
      </c>
      <c r="F4923" t="s">
        <v>523</v>
      </c>
      <c r="G4923" t="s">
        <v>752</v>
      </c>
      <c r="H4923">
        <v>9</v>
      </c>
      <c r="I4923">
        <v>64.444400000000002</v>
      </c>
      <c r="J4923">
        <v>74.555599999999998</v>
      </c>
      <c r="K4923">
        <v>10.1111</v>
      </c>
      <c r="L4923">
        <v>5</v>
      </c>
      <c r="M4923">
        <v>3</v>
      </c>
      <c r="N4923">
        <v>1</v>
      </c>
      <c r="O4923" t="s">
        <v>127</v>
      </c>
      <c r="P4923" t="s">
        <v>127</v>
      </c>
      <c r="Q4923" t="s">
        <v>127</v>
      </c>
    </row>
    <row r="4924" spans="1:17" x14ac:dyDescent="0.25">
      <c r="A4924" t="str">
        <f>IF(C4924&amp;G4924&amp;D4924&lt;&gt;'Funnel setup'!$K$3&amp;'Funnel setup'!$K$4&amp;'Funnel setup'!$K$6,".",IF(A4923=".",1,A4923+1))</f>
        <v>.</v>
      </c>
      <c r="B4924" s="244" t="str">
        <f t="shared" si="76"/>
        <v>Total Knee ReplacementProviderSPENCER PRIVATE HOSPITALS - MARGATE (NN801)EQ VAS</v>
      </c>
      <c r="C4924" t="s">
        <v>975</v>
      </c>
      <c r="D4924" t="s">
        <v>965</v>
      </c>
      <c r="E4924" t="s">
        <v>526</v>
      </c>
      <c r="F4924" t="s">
        <v>527</v>
      </c>
      <c r="G4924" t="s">
        <v>752</v>
      </c>
      <c r="H4924">
        <v>17</v>
      </c>
      <c r="I4924">
        <v>58.823500000000003</v>
      </c>
      <c r="J4924">
        <v>75.882400000000004</v>
      </c>
      <c r="K4924">
        <v>17.058800000000002</v>
      </c>
      <c r="L4924">
        <v>13</v>
      </c>
      <c r="M4924">
        <v>1</v>
      </c>
      <c r="N4924">
        <v>3</v>
      </c>
      <c r="O4924" t="s">
        <v>127</v>
      </c>
      <c r="P4924" t="s">
        <v>127</v>
      </c>
      <c r="Q4924" t="s">
        <v>127</v>
      </c>
    </row>
    <row r="4925" spans="1:17" x14ac:dyDescent="0.25">
      <c r="A4925" t="str">
        <f>IF(C4925&amp;G4925&amp;D4925&lt;&gt;'Funnel setup'!$K$3&amp;'Funnel setup'!$K$4&amp;'Funnel setup'!$K$6,".",IF(A4924=".",1,A4924+1))</f>
        <v>.</v>
      </c>
      <c r="B4925" s="244" t="str">
        <f t="shared" si="76"/>
        <v>Total Knee ReplacementProviderSPIRE ALEXANDRA HOSPITAL (NT312)EQ VAS</v>
      </c>
      <c r="C4925" t="s">
        <v>975</v>
      </c>
      <c r="D4925" t="s">
        <v>965</v>
      </c>
      <c r="E4925" t="s">
        <v>528</v>
      </c>
      <c r="F4925" t="s">
        <v>529</v>
      </c>
      <c r="G4925" t="s">
        <v>752</v>
      </c>
      <c r="H4925">
        <v>26</v>
      </c>
      <c r="I4925">
        <v>71.538499999999999</v>
      </c>
      <c r="J4925">
        <v>75.615399999999994</v>
      </c>
      <c r="K4925">
        <v>4.0769200000000003</v>
      </c>
      <c r="L4925">
        <v>12</v>
      </c>
      <c r="M4925">
        <v>0</v>
      </c>
      <c r="N4925">
        <v>14</v>
      </c>
      <c r="O4925" t="s">
        <v>127</v>
      </c>
      <c r="P4925" t="s">
        <v>127</v>
      </c>
      <c r="Q4925" t="s">
        <v>127</v>
      </c>
    </row>
    <row r="4926" spans="1:17" x14ac:dyDescent="0.25">
      <c r="A4926" t="str">
        <f>IF(C4926&amp;G4926&amp;D4926&lt;&gt;'Funnel setup'!$K$3&amp;'Funnel setup'!$K$4&amp;'Funnel setup'!$K$6,".",IF(A4925=".",1,A4925+1))</f>
        <v>.</v>
      </c>
      <c r="B4926" s="244" t="str">
        <f t="shared" si="76"/>
        <v>Total Knee ReplacementProviderSPIRE BRISTOL HOSPITAL (NT302)EQ VAS</v>
      </c>
      <c r="C4926" t="s">
        <v>975</v>
      </c>
      <c r="D4926" t="s">
        <v>965</v>
      </c>
      <c r="E4926" t="s">
        <v>530</v>
      </c>
      <c r="F4926" t="s">
        <v>531</v>
      </c>
      <c r="G4926" t="s">
        <v>752</v>
      </c>
      <c r="H4926">
        <v>59</v>
      </c>
      <c r="I4926">
        <v>71.474599999999995</v>
      </c>
      <c r="J4926">
        <v>75.898300000000006</v>
      </c>
      <c r="K4926">
        <v>4.4237299999999999</v>
      </c>
      <c r="L4926">
        <v>34</v>
      </c>
      <c r="M4926">
        <v>4</v>
      </c>
      <c r="N4926">
        <v>21</v>
      </c>
      <c r="O4926">
        <v>73.096299999999999</v>
      </c>
      <c r="P4926">
        <v>7.7905699999999998</v>
      </c>
      <c r="Q4926">
        <v>14.396699999999999</v>
      </c>
    </row>
    <row r="4927" spans="1:17" x14ac:dyDescent="0.25">
      <c r="A4927" t="str">
        <f>IF(C4927&amp;G4927&amp;D4927&lt;&gt;'Funnel setup'!$K$3&amp;'Funnel setup'!$K$4&amp;'Funnel setup'!$K$6,".",IF(A4926=".",1,A4926+1))</f>
        <v>.</v>
      </c>
      <c r="B4927" s="244" t="str">
        <f t="shared" si="76"/>
        <v>Total Knee ReplacementProviderSPIRE BUSHEY HOSPITAL (NT315)EQ VAS</v>
      </c>
      <c r="C4927" t="s">
        <v>975</v>
      </c>
      <c r="D4927" t="s">
        <v>965</v>
      </c>
      <c r="E4927" t="s">
        <v>532</v>
      </c>
      <c r="F4927" t="s">
        <v>533</v>
      </c>
      <c r="G4927" t="s">
        <v>752</v>
      </c>
      <c r="H4927">
        <v>5</v>
      </c>
      <c r="I4927">
        <v>67.400000000000006</v>
      </c>
      <c r="J4927">
        <v>76.400000000000006</v>
      </c>
      <c r="K4927">
        <v>9</v>
      </c>
      <c r="L4927">
        <v>4</v>
      </c>
      <c r="M4927">
        <v>0</v>
      </c>
      <c r="N4927">
        <v>1</v>
      </c>
      <c r="O4927" t="s">
        <v>127</v>
      </c>
      <c r="P4927" t="s">
        <v>127</v>
      </c>
      <c r="Q4927" t="s">
        <v>127</v>
      </c>
    </row>
    <row r="4928" spans="1:17" x14ac:dyDescent="0.25">
      <c r="A4928" t="str">
        <f>IF(C4928&amp;G4928&amp;D4928&lt;&gt;'Funnel setup'!$K$3&amp;'Funnel setup'!$K$4&amp;'Funnel setup'!$K$6,".",IF(A4927=".",1,A4927+1))</f>
        <v>.</v>
      </c>
      <c r="B4928" s="244" t="str">
        <f t="shared" si="76"/>
        <v>Total Knee ReplacementProviderSPIRE CAMBRIDGE LEA HOSPITAL (NT317)EQ VAS</v>
      </c>
      <c r="C4928" t="s">
        <v>975</v>
      </c>
      <c r="D4928" t="s">
        <v>965</v>
      </c>
      <c r="E4928" t="s">
        <v>534</v>
      </c>
      <c r="F4928" t="s">
        <v>535</v>
      </c>
      <c r="G4928" t="s">
        <v>752</v>
      </c>
      <c r="H4928">
        <v>29</v>
      </c>
      <c r="I4928">
        <v>69.206900000000005</v>
      </c>
      <c r="J4928">
        <v>72.310299999999998</v>
      </c>
      <c r="K4928">
        <v>3.10345</v>
      </c>
      <c r="L4928">
        <v>13</v>
      </c>
      <c r="M4928">
        <v>6</v>
      </c>
      <c r="N4928">
        <v>10</v>
      </c>
      <c r="O4928" t="s">
        <v>127</v>
      </c>
      <c r="P4928" t="s">
        <v>127</v>
      </c>
      <c r="Q4928" t="s">
        <v>127</v>
      </c>
    </row>
    <row r="4929" spans="1:17" x14ac:dyDescent="0.25">
      <c r="A4929" t="str">
        <f>IF(C4929&amp;G4929&amp;D4929&lt;&gt;'Funnel setup'!$K$3&amp;'Funnel setup'!$K$4&amp;'Funnel setup'!$K$6,".",IF(A4928=".",1,A4928+1))</f>
        <v>.</v>
      </c>
      <c r="B4929" s="244" t="str">
        <f t="shared" si="76"/>
        <v>Total Knee ReplacementProviderSPIRE CHESHIRE HOSPITAL (NT324)EQ VAS</v>
      </c>
      <c r="C4929" t="s">
        <v>975</v>
      </c>
      <c r="D4929" t="s">
        <v>965</v>
      </c>
      <c r="E4929" t="s">
        <v>536</v>
      </c>
      <c r="F4929" t="s">
        <v>537</v>
      </c>
      <c r="G4929" t="s">
        <v>752</v>
      </c>
      <c r="H4929">
        <v>31</v>
      </c>
      <c r="I4929">
        <v>75.064499999999995</v>
      </c>
      <c r="J4929">
        <v>84.645200000000003</v>
      </c>
      <c r="K4929">
        <v>9.5806500000000003</v>
      </c>
      <c r="L4929">
        <v>20</v>
      </c>
      <c r="M4929">
        <v>5</v>
      </c>
      <c r="N4929">
        <v>6</v>
      </c>
      <c r="O4929">
        <v>79.367999999999995</v>
      </c>
      <c r="P4929">
        <v>14.0623</v>
      </c>
      <c r="Q4929">
        <v>9.20763</v>
      </c>
    </row>
    <row r="4930" spans="1:17" x14ac:dyDescent="0.25">
      <c r="A4930" t="str">
        <f>IF(C4930&amp;G4930&amp;D4930&lt;&gt;'Funnel setup'!$K$3&amp;'Funnel setup'!$K$4&amp;'Funnel setup'!$K$6,".",IF(A4929=".",1,A4929+1))</f>
        <v>.</v>
      </c>
      <c r="B4930" s="244" t="str">
        <f t="shared" ref="B4930:B4993" si="77">C4930&amp;D4930&amp;F4930&amp;G4930</f>
        <v>Total Knee ReplacementProviderSPIRE CLARE PARK HOSPITAL (NT345)EQ VAS</v>
      </c>
      <c r="C4930" t="s">
        <v>975</v>
      </c>
      <c r="D4930" t="s">
        <v>965</v>
      </c>
      <c r="E4930" t="s">
        <v>538</v>
      </c>
      <c r="F4930" t="s">
        <v>539</v>
      </c>
      <c r="G4930" t="s">
        <v>752</v>
      </c>
      <c r="H4930">
        <v>15</v>
      </c>
      <c r="I4930">
        <v>73.8</v>
      </c>
      <c r="J4930">
        <v>74.933300000000003</v>
      </c>
      <c r="K4930">
        <v>1.1333299999999999</v>
      </c>
      <c r="L4930">
        <v>4</v>
      </c>
      <c r="M4930">
        <v>5</v>
      </c>
      <c r="N4930">
        <v>6</v>
      </c>
      <c r="O4930" t="s">
        <v>127</v>
      </c>
      <c r="P4930" t="s">
        <v>127</v>
      </c>
      <c r="Q4930" t="s">
        <v>127</v>
      </c>
    </row>
    <row r="4931" spans="1:17" x14ac:dyDescent="0.25">
      <c r="A4931" t="str">
        <f>IF(C4931&amp;G4931&amp;D4931&lt;&gt;'Funnel setup'!$K$3&amp;'Funnel setup'!$K$4&amp;'Funnel setup'!$K$6,".",IF(A4930=".",1,A4930+1))</f>
        <v>.</v>
      </c>
      <c r="B4931" s="244" t="str">
        <f t="shared" si="77"/>
        <v>Total Knee ReplacementProviderSPIRE DUNEDIN HOSPITAL (NT344)EQ VAS</v>
      </c>
      <c r="C4931" t="s">
        <v>975</v>
      </c>
      <c r="D4931" t="s">
        <v>965</v>
      </c>
      <c r="E4931" t="s">
        <v>540</v>
      </c>
      <c r="F4931" t="s">
        <v>541</v>
      </c>
      <c r="G4931" t="s">
        <v>752</v>
      </c>
      <c r="H4931">
        <v>2</v>
      </c>
      <c r="I4931">
        <v>72.5</v>
      </c>
      <c r="J4931">
        <v>55</v>
      </c>
      <c r="K4931">
        <v>-17.5</v>
      </c>
      <c r="L4931">
        <v>1</v>
      </c>
      <c r="M4931">
        <v>0</v>
      </c>
      <c r="N4931">
        <v>1</v>
      </c>
      <c r="O4931" t="s">
        <v>127</v>
      </c>
      <c r="P4931" t="s">
        <v>127</v>
      </c>
      <c r="Q4931" t="s">
        <v>127</v>
      </c>
    </row>
    <row r="4932" spans="1:17" x14ac:dyDescent="0.25">
      <c r="A4932" t="str">
        <f>IF(C4932&amp;G4932&amp;D4932&lt;&gt;'Funnel setup'!$K$3&amp;'Funnel setup'!$K$4&amp;'Funnel setup'!$K$6,".",IF(A4931=".",1,A4931+1))</f>
        <v>.</v>
      </c>
      <c r="B4932" s="244" t="str">
        <f t="shared" si="77"/>
        <v>Total Knee ReplacementProviderSPIRE ELLAND HOSPITAL (NT348)EQ VAS</v>
      </c>
      <c r="C4932" t="s">
        <v>975</v>
      </c>
      <c r="D4932" t="s">
        <v>965</v>
      </c>
      <c r="E4932" t="s">
        <v>542</v>
      </c>
      <c r="F4932" t="s">
        <v>543</v>
      </c>
      <c r="G4932" t="s">
        <v>752</v>
      </c>
      <c r="H4932">
        <v>19</v>
      </c>
      <c r="I4932">
        <v>79.157899999999998</v>
      </c>
      <c r="J4932">
        <v>75.368399999999994</v>
      </c>
      <c r="K4932">
        <v>-3.7894700000000001</v>
      </c>
      <c r="L4932">
        <v>8</v>
      </c>
      <c r="M4932">
        <v>0</v>
      </c>
      <c r="N4932">
        <v>11</v>
      </c>
      <c r="O4932" t="s">
        <v>127</v>
      </c>
      <c r="P4932" t="s">
        <v>127</v>
      </c>
      <c r="Q4932" t="s">
        <v>127</v>
      </c>
    </row>
    <row r="4933" spans="1:17" x14ac:dyDescent="0.25">
      <c r="A4933" t="str">
        <f>IF(C4933&amp;G4933&amp;D4933&lt;&gt;'Funnel setup'!$K$3&amp;'Funnel setup'!$K$4&amp;'Funnel setup'!$K$6,".",IF(A4932=".",1,A4932+1))</f>
        <v>.</v>
      </c>
      <c r="B4933" s="244" t="str">
        <f t="shared" si="77"/>
        <v>Total Knee ReplacementProviderSPIRE FYLDE COAST HOSPITAL (NT347)EQ VAS</v>
      </c>
      <c r="C4933" t="s">
        <v>975</v>
      </c>
      <c r="D4933" t="s">
        <v>965</v>
      </c>
      <c r="E4933" t="s">
        <v>544</v>
      </c>
      <c r="F4933" t="s">
        <v>545</v>
      </c>
      <c r="G4933" t="s">
        <v>752</v>
      </c>
      <c r="H4933">
        <v>27</v>
      </c>
      <c r="I4933">
        <v>75.142899999999997</v>
      </c>
      <c r="J4933">
        <v>72.892899999999997</v>
      </c>
      <c r="K4933">
        <v>-2.25</v>
      </c>
      <c r="L4933">
        <v>12</v>
      </c>
      <c r="M4933">
        <v>4</v>
      </c>
      <c r="N4933">
        <v>11</v>
      </c>
      <c r="O4933" t="s">
        <v>127</v>
      </c>
      <c r="P4933" t="s">
        <v>127</v>
      </c>
      <c r="Q4933" t="s">
        <v>127</v>
      </c>
    </row>
    <row r="4934" spans="1:17" x14ac:dyDescent="0.25">
      <c r="A4934" t="str">
        <f>IF(C4934&amp;G4934&amp;D4934&lt;&gt;'Funnel setup'!$K$3&amp;'Funnel setup'!$K$4&amp;'Funnel setup'!$K$6,".",IF(A4933=".",1,A4933+1))</f>
        <v>.</v>
      </c>
      <c r="B4934" s="244" t="str">
        <f t="shared" si="77"/>
        <v>Total Knee ReplacementProviderSPIRE GATWICK PARK HOSPITAL (NT308)EQ VAS</v>
      </c>
      <c r="C4934" t="s">
        <v>975</v>
      </c>
      <c r="D4934" t="s">
        <v>965</v>
      </c>
      <c r="E4934" t="s">
        <v>546</v>
      </c>
      <c r="F4934" t="s">
        <v>547</v>
      </c>
      <c r="G4934" t="s">
        <v>752</v>
      </c>
      <c r="H4934">
        <v>6</v>
      </c>
      <c r="I4934">
        <v>71.5</v>
      </c>
      <c r="J4934">
        <v>68.333299999999994</v>
      </c>
      <c r="K4934">
        <v>-3.1666699999999999</v>
      </c>
      <c r="L4934">
        <v>3</v>
      </c>
      <c r="M4934">
        <v>1</v>
      </c>
      <c r="N4934">
        <v>2</v>
      </c>
      <c r="O4934" t="s">
        <v>127</v>
      </c>
      <c r="P4934" t="s">
        <v>127</v>
      </c>
      <c r="Q4934" t="s">
        <v>127</v>
      </c>
    </row>
    <row r="4935" spans="1:17" x14ac:dyDescent="0.25">
      <c r="A4935" t="str">
        <f>IF(C4935&amp;G4935&amp;D4935&lt;&gt;'Funnel setup'!$K$3&amp;'Funnel setup'!$K$4&amp;'Funnel setup'!$K$6,".",IF(A4934=".",1,A4934+1))</f>
        <v>.</v>
      </c>
      <c r="B4935" s="244" t="str">
        <f t="shared" si="77"/>
        <v>Total Knee ReplacementProviderSPIRE HARPENDEN HOSPITAL (NT316)EQ VAS</v>
      </c>
      <c r="C4935" t="s">
        <v>975</v>
      </c>
      <c r="D4935" t="s">
        <v>965</v>
      </c>
      <c r="E4935" t="s">
        <v>548</v>
      </c>
      <c r="F4935" t="s">
        <v>549</v>
      </c>
      <c r="G4935" t="s">
        <v>752</v>
      </c>
      <c r="H4935">
        <v>19</v>
      </c>
      <c r="I4935">
        <v>73.947400000000002</v>
      </c>
      <c r="J4935">
        <v>70.1053</v>
      </c>
      <c r="K4935">
        <v>-3.8421099999999999</v>
      </c>
      <c r="L4935">
        <v>7</v>
      </c>
      <c r="M4935">
        <v>4</v>
      </c>
      <c r="N4935">
        <v>8</v>
      </c>
      <c r="O4935" t="s">
        <v>127</v>
      </c>
      <c r="P4935" t="s">
        <v>127</v>
      </c>
      <c r="Q4935" t="s">
        <v>127</v>
      </c>
    </row>
    <row r="4936" spans="1:17" x14ac:dyDescent="0.25">
      <c r="A4936" t="str">
        <f>IF(C4936&amp;G4936&amp;D4936&lt;&gt;'Funnel setup'!$K$3&amp;'Funnel setup'!$K$4&amp;'Funnel setup'!$K$6,".",IF(A4935=".",1,A4935+1))</f>
        <v>.</v>
      </c>
      <c r="B4936" s="244" t="str">
        <f t="shared" si="77"/>
        <v>Total Knee ReplacementProviderSPIRE HARTSWOOD HOSPITAL (NT319)EQ VAS</v>
      </c>
      <c r="C4936" t="s">
        <v>975</v>
      </c>
      <c r="D4936" t="s">
        <v>965</v>
      </c>
      <c r="E4936" t="s">
        <v>550</v>
      </c>
      <c r="F4936" t="s">
        <v>551</v>
      </c>
      <c r="G4936" t="s">
        <v>752</v>
      </c>
      <c r="H4936">
        <v>12</v>
      </c>
      <c r="I4936">
        <v>62.5</v>
      </c>
      <c r="J4936">
        <v>68.583299999999994</v>
      </c>
      <c r="K4936">
        <v>6.0833300000000001</v>
      </c>
      <c r="L4936">
        <v>7</v>
      </c>
      <c r="M4936">
        <v>2</v>
      </c>
      <c r="N4936">
        <v>3</v>
      </c>
      <c r="O4936" t="s">
        <v>127</v>
      </c>
      <c r="P4936" t="s">
        <v>127</v>
      </c>
      <c r="Q4936" t="s">
        <v>127</v>
      </c>
    </row>
    <row r="4937" spans="1:17" x14ac:dyDescent="0.25">
      <c r="A4937" t="str">
        <f>IF(C4937&amp;G4937&amp;D4937&lt;&gt;'Funnel setup'!$K$3&amp;'Funnel setup'!$K$4&amp;'Funnel setup'!$K$6,".",IF(A4936=".",1,A4936+1))</f>
        <v>.</v>
      </c>
      <c r="B4937" s="244" t="str">
        <f t="shared" si="77"/>
        <v>Total Knee ReplacementProviderSPIRE HULL AND EAST RIDING HOSPITAL (NT351)EQ VAS</v>
      </c>
      <c r="C4937" t="s">
        <v>975</v>
      </c>
      <c r="D4937" t="s">
        <v>965</v>
      </c>
      <c r="E4937" t="s">
        <v>554</v>
      </c>
      <c r="F4937" t="s">
        <v>555</v>
      </c>
      <c r="G4937" t="s">
        <v>752</v>
      </c>
      <c r="H4937">
        <v>37</v>
      </c>
      <c r="I4937">
        <v>64.756799999999998</v>
      </c>
      <c r="J4937">
        <v>71.621600000000001</v>
      </c>
      <c r="K4937">
        <v>6.8648600000000002</v>
      </c>
      <c r="L4937">
        <v>25</v>
      </c>
      <c r="M4937">
        <v>2</v>
      </c>
      <c r="N4937">
        <v>10</v>
      </c>
      <c r="O4937">
        <v>71.141099999999994</v>
      </c>
      <c r="P4937">
        <v>5.8353900000000003</v>
      </c>
      <c r="Q4937">
        <v>15.267899999999999</v>
      </c>
    </row>
    <row r="4938" spans="1:17" x14ac:dyDescent="0.25">
      <c r="A4938" t="str">
        <f>IF(C4938&amp;G4938&amp;D4938&lt;&gt;'Funnel setup'!$K$3&amp;'Funnel setup'!$K$4&amp;'Funnel setup'!$K$6,".",IF(A4937=".",1,A4937+1))</f>
        <v>.</v>
      </c>
      <c r="B4938" s="244" t="str">
        <f t="shared" si="77"/>
        <v>Total Knee ReplacementProviderSPIRE LEEDS HOSPITAL (NT332)EQ VAS</v>
      </c>
      <c r="C4938" t="s">
        <v>975</v>
      </c>
      <c r="D4938" t="s">
        <v>965</v>
      </c>
      <c r="E4938" t="s">
        <v>556</v>
      </c>
      <c r="F4938" t="s">
        <v>557</v>
      </c>
      <c r="G4938" t="s">
        <v>752</v>
      </c>
      <c r="H4938">
        <v>14</v>
      </c>
      <c r="I4938">
        <v>72.571399999999997</v>
      </c>
      <c r="J4938">
        <v>79.142899999999997</v>
      </c>
      <c r="K4938">
        <v>6.5714300000000003</v>
      </c>
      <c r="L4938">
        <v>8</v>
      </c>
      <c r="M4938">
        <v>0</v>
      </c>
      <c r="N4938">
        <v>6</v>
      </c>
      <c r="O4938" t="s">
        <v>127</v>
      </c>
      <c r="P4938" t="s">
        <v>127</v>
      </c>
      <c r="Q4938" t="s">
        <v>127</v>
      </c>
    </row>
    <row r="4939" spans="1:17" x14ac:dyDescent="0.25">
      <c r="A4939" t="str">
        <f>IF(C4939&amp;G4939&amp;D4939&lt;&gt;'Funnel setup'!$K$3&amp;'Funnel setup'!$K$4&amp;'Funnel setup'!$K$6,".",IF(A4938=".",1,A4938+1))</f>
        <v>.</v>
      </c>
      <c r="B4939" s="244" t="str">
        <f t="shared" si="77"/>
        <v>Total Knee ReplacementProviderSPIRE LEICESTER HOSPITAL (NT322)EQ VAS</v>
      </c>
      <c r="C4939" t="s">
        <v>975</v>
      </c>
      <c r="D4939" t="s">
        <v>965</v>
      </c>
      <c r="E4939" t="s">
        <v>558</v>
      </c>
      <c r="F4939" t="s">
        <v>559</v>
      </c>
      <c r="G4939" t="s">
        <v>752</v>
      </c>
      <c r="H4939">
        <v>58</v>
      </c>
      <c r="I4939">
        <v>66.103399999999993</v>
      </c>
      <c r="J4939">
        <v>77.689700000000002</v>
      </c>
      <c r="K4939">
        <v>11.5862</v>
      </c>
      <c r="L4939">
        <v>39</v>
      </c>
      <c r="M4939">
        <v>3</v>
      </c>
      <c r="N4939">
        <v>16</v>
      </c>
      <c r="O4939">
        <v>76.858900000000006</v>
      </c>
      <c r="P4939">
        <v>11.553100000000001</v>
      </c>
      <c r="Q4939">
        <v>11.310600000000001</v>
      </c>
    </row>
    <row r="4940" spans="1:17" x14ac:dyDescent="0.25">
      <c r="A4940" t="str">
        <f>IF(C4940&amp;G4940&amp;D4940&lt;&gt;'Funnel setup'!$K$3&amp;'Funnel setup'!$K$4&amp;'Funnel setup'!$K$6,".",IF(A4939=".",1,A4939+1))</f>
        <v>.</v>
      </c>
      <c r="B4940" s="244" t="str">
        <f t="shared" si="77"/>
        <v>Total Knee ReplacementProviderSPIRE LITTLE ASTON HOSPITAL (NT321)EQ VAS</v>
      </c>
      <c r="C4940" t="s">
        <v>975</v>
      </c>
      <c r="D4940" t="s">
        <v>965</v>
      </c>
      <c r="E4940" t="s">
        <v>560</v>
      </c>
      <c r="F4940" t="s">
        <v>561</v>
      </c>
      <c r="G4940" t="s">
        <v>752</v>
      </c>
      <c r="H4940">
        <v>21</v>
      </c>
      <c r="I4940">
        <v>69.1905</v>
      </c>
      <c r="J4940">
        <v>78.8095</v>
      </c>
      <c r="K4940">
        <v>9.6190499999999997</v>
      </c>
      <c r="L4940">
        <v>14</v>
      </c>
      <c r="M4940">
        <v>3</v>
      </c>
      <c r="N4940">
        <v>4</v>
      </c>
      <c r="O4940" t="s">
        <v>127</v>
      </c>
      <c r="P4940" t="s">
        <v>127</v>
      </c>
      <c r="Q4940" t="s">
        <v>127</v>
      </c>
    </row>
    <row r="4941" spans="1:17" x14ac:dyDescent="0.25">
      <c r="A4941" t="str">
        <f>IF(C4941&amp;G4941&amp;D4941&lt;&gt;'Funnel setup'!$K$3&amp;'Funnel setup'!$K$4&amp;'Funnel setup'!$K$6,".",IF(A4940=".",1,A4940+1))</f>
        <v>.</v>
      </c>
      <c r="B4941" s="244" t="str">
        <f t="shared" si="77"/>
        <v>Total Knee ReplacementProviderSPIRE LIVERPOOL HOSPITAL (NT337)EQ VAS</v>
      </c>
      <c r="C4941" t="s">
        <v>975</v>
      </c>
      <c r="D4941" t="s">
        <v>965</v>
      </c>
      <c r="E4941" t="s">
        <v>562</v>
      </c>
      <c r="F4941" t="s">
        <v>563</v>
      </c>
      <c r="G4941" t="s">
        <v>752</v>
      </c>
      <c r="H4941">
        <v>13</v>
      </c>
      <c r="I4941">
        <v>70.846199999999996</v>
      </c>
      <c r="J4941">
        <v>74.538499999999999</v>
      </c>
      <c r="K4941">
        <v>3.69231</v>
      </c>
      <c r="L4941">
        <v>6</v>
      </c>
      <c r="M4941">
        <v>0</v>
      </c>
      <c r="N4941">
        <v>7</v>
      </c>
      <c r="O4941" t="s">
        <v>127</v>
      </c>
      <c r="P4941" t="s">
        <v>127</v>
      </c>
      <c r="Q4941" t="s">
        <v>127</v>
      </c>
    </row>
    <row r="4942" spans="1:17" x14ac:dyDescent="0.25">
      <c r="A4942" t="str">
        <f>IF(C4942&amp;G4942&amp;D4942&lt;&gt;'Funnel setup'!$K$3&amp;'Funnel setup'!$K$4&amp;'Funnel setup'!$K$6,".",IF(A4941=".",1,A4941+1))</f>
        <v>.</v>
      </c>
      <c r="B4942" s="244" t="str">
        <f t="shared" si="77"/>
        <v>Total Knee ReplacementProviderSPIRE MANCHESTER HOSPITAL (NT327)EQ VAS</v>
      </c>
      <c r="C4942" t="s">
        <v>975</v>
      </c>
      <c r="D4942" t="s">
        <v>965</v>
      </c>
      <c r="E4942" t="s">
        <v>566</v>
      </c>
      <c r="F4942" t="s">
        <v>567</v>
      </c>
      <c r="G4942" t="s">
        <v>752</v>
      </c>
      <c r="H4942">
        <v>37</v>
      </c>
      <c r="I4942">
        <v>68.054100000000005</v>
      </c>
      <c r="J4942">
        <v>74.567599999999999</v>
      </c>
      <c r="K4942">
        <v>6.5135100000000001</v>
      </c>
      <c r="L4942">
        <v>21</v>
      </c>
      <c r="M4942">
        <v>3</v>
      </c>
      <c r="N4942">
        <v>13</v>
      </c>
      <c r="O4942">
        <v>73.437899999999999</v>
      </c>
      <c r="P4942">
        <v>8.1321700000000003</v>
      </c>
      <c r="Q4942">
        <v>14.3505</v>
      </c>
    </row>
    <row r="4943" spans="1:17" x14ac:dyDescent="0.25">
      <c r="A4943" t="str">
        <f>IF(C4943&amp;G4943&amp;D4943&lt;&gt;'Funnel setup'!$K$3&amp;'Funnel setup'!$K$4&amp;'Funnel setup'!$K$6,".",IF(A4942=".",1,A4942+1))</f>
        <v>.</v>
      </c>
      <c r="B4943" s="244" t="str">
        <f t="shared" si="77"/>
        <v>Total Knee ReplacementProviderSPIRE METHLEY PARK HOSPITAL (NT350)EQ VAS</v>
      </c>
      <c r="C4943" t="s">
        <v>975</v>
      </c>
      <c r="D4943" t="s">
        <v>965</v>
      </c>
      <c r="E4943" t="s">
        <v>568</v>
      </c>
      <c r="F4943" t="s">
        <v>569</v>
      </c>
      <c r="G4943" t="s">
        <v>752</v>
      </c>
      <c r="H4943">
        <v>32</v>
      </c>
      <c r="I4943">
        <v>69.093800000000002</v>
      </c>
      <c r="J4943">
        <v>81.9375</v>
      </c>
      <c r="K4943">
        <v>12.8438</v>
      </c>
      <c r="L4943">
        <v>26</v>
      </c>
      <c r="M4943">
        <v>2</v>
      </c>
      <c r="N4943">
        <v>4</v>
      </c>
      <c r="O4943">
        <v>78.505899999999997</v>
      </c>
      <c r="P4943">
        <v>13.200100000000001</v>
      </c>
      <c r="Q4943">
        <v>13.428100000000001</v>
      </c>
    </row>
    <row r="4944" spans="1:17" x14ac:dyDescent="0.25">
      <c r="A4944" t="str">
        <f>IF(C4944&amp;G4944&amp;D4944&lt;&gt;'Funnel setup'!$K$3&amp;'Funnel setup'!$K$4&amp;'Funnel setup'!$K$6,".",IF(A4943=".",1,A4943+1))</f>
        <v>.</v>
      </c>
      <c r="B4944" s="244" t="str">
        <f t="shared" si="77"/>
        <v>Total Knee ReplacementProviderSPIRE MONTEFIORE HOSPITAL (NT364)EQ VAS</v>
      </c>
      <c r="C4944" t="s">
        <v>975</v>
      </c>
      <c r="D4944" t="s">
        <v>965</v>
      </c>
      <c r="E4944" t="s">
        <v>570</v>
      </c>
      <c r="F4944" t="s">
        <v>571</v>
      </c>
      <c r="G4944" t="s">
        <v>752</v>
      </c>
      <c r="H4944">
        <v>10</v>
      </c>
      <c r="I4944">
        <v>71.7</v>
      </c>
      <c r="J4944">
        <v>81.2</v>
      </c>
      <c r="K4944">
        <v>9.5</v>
      </c>
      <c r="L4944">
        <v>8</v>
      </c>
      <c r="M4944">
        <v>0</v>
      </c>
      <c r="N4944">
        <v>2</v>
      </c>
      <c r="O4944" t="s">
        <v>127</v>
      </c>
      <c r="P4944" t="s">
        <v>127</v>
      </c>
      <c r="Q4944" t="s">
        <v>127</v>
      </c>
    </row>
    <row r="4945" spans="1:17" x14ac:dyDescent="0.25">
      <c r="A4945" t="str">
        <f>IF(C4945&amp;G4945&amp;D4945&lt;&gt;'Funnel setup'!$K$3&amp;'Funnel setup'!$K$4&amp;'Funnel setup'!$K$6,".",IF(A4944=".",1,A4944+1))</f>
        <v>.</v>
      </c>
      <c r="B4945" s="244" t="str">
        <f t="shared" si="77"/>
        <v>Total Knee ReplacementProviderSPIRE MURRAYFIELD HOSPITAL (NT325)EQ VAS</v>
      </c>
      <c r="C4945" t="s">
        <v>975</v>
      </c>
      <c r="D4945" t="s">
        <v>965</v>
      </c>
      <c r="E4945" t="s">
        <v>572</v>
      </c>
      <c r="F4945" t="s">
        <v>573</v>
      </c>
      <c r="G4945" t="s">
        <v>752</v>
      </c>
      <c r="H4945">
        <v>3</v>
      </c>
      <c r="I4945">
        <v>65.333299999999994</v>
      </c>
      <c r="J4945">
        <v>87.333299999999994</v>
      </c>
      <c r="K4945">
        <v>22</v>
      </c>
      <c r="L4945">
        <v>3</v>
      </c>
      <c r="M4945">
        <v>0</v>
      </c>
      <c r="N4945">
        <v>0</v>
      </c>
      <c r="O4945" t="s">
        <v>127</v>
      </c>
      <c r="P4945" t="s">
        <v>127</v>
      </c>
      <c r="Q4945" t="s">
        <v>127</v>
      </c>
    </row>
    <row r="4946" spans="1:17" x14ac:dyDescent="0.25">
      <c r="A4946" t="str">
        <f>IF(C4946&amp;G4946&amp;D4946&lt;&gt;'Funnel setup'!$K$3&amp;'Funnel setup'!$K$4&amp;'Funnel setup'!$K$6,".",IF(A4945=".",1,A4945+1))</f>
        <v>.</v>
      </c>
      <c r="B4946" s="244" t="str">
        <f t="shared" si="77"/>
        <v>Total Knee ReplacementProviderSPIRE NOTTINGHAM HOSPITAL (NT30A)EQ VAS</v>
      </c>
      <c r="C4946" t="s">
        <v>975</v>
      </c>
      <c r="D4946" t="s">
        <v>965</v>
      </c>
      <c r="E4946" t="s">
        <v>576</v>
      </c>
      <c r="F4946" t="s">
        <v>577</v>
      </c>
      <c r="G4946" t="s">
        <v>752</v>
      </c>
      <c r="H4946">
        <v>10</v>
      </c>
      <c r="I4946">
        <v>75.3</v>
      </c>
      <c r="J4946">
        <v>80</v>
      </c>
      <c r="K4946">
        <v>4.7</v>
      </c>
      <c r="L4946">
        <v>7</v>
      </c>
      <c r="M4946">
        <v>0</v>
      </c>
      <c r="N4946">
        <v>3</v>
      </c>
      <c r="O4946" t="s">
        <v>127</v>
      </c>
      <c r="P4946" t="s">
        <v>127</v>
      </c>
      <c r="Q4946" t="s">
        <v>127</v>
      </c>
    </row>
    <row r="4947" spans="1:17" x14ac:dyDescent="0.25">
      <c r="A4947" t="str">
        <f>IF(C4947&amp;G4947&amp;D4947&lt;&gt;'Funnel setup'!$K$3&amp;'Funnel setup'!$K$4&amp;'Funnel setup'!$K$6,".",IF(A4946=".",1,A4946+1))</f>
        <v>.</v>
      </c>
      <c r="B4947" s="244" t="str">
        <f t="shared" si="77"/>
        <v>Total Knee ReplacementProviderSPIRE PARKWAY HOSPITAL (NT320)EQ VAS</v>
      </c>
      <c r="C4947" t="s">
        <v>975</v>
      </c>
      <c r="D4947" t="s">
        <v>965</v>
      </c>
      <c r="E4947" t="s">
        <v>578</v>
      </c>
      <c r="F4947" t="s">
        <v>579</v>
      </c>
      <c r="G4947" t="s">
        <v>752</v>
      </c>
      <c r="H4947">
        <v>16</v>
      </c>
      <c r="I4947">
        <v>66</v>
      </c>
      <c r="J4947">
        <v>76.875</v>
      </c>
      <c r="K4947">
        <v>10.875</v>
      </c>
      <c r="L4947">
        <v>11</v>
      </c>
      <c r="M4947">
        <v>1</v>
      </c>
      <c r="N4947">
        <v>4</v>
      </c>
      <c r="O4947" t="s">
        <v>127</v>
      </c>
      <c r="P4947" t="s">
        <v>127</v>
      </c>
      <c r="Q4947" t="s">
        <v>127</v>
      </c>
    </row>
    <row r="4948" spans="1:17" x14ac:dyDescent="0.25">
      <c r="A4948" t="str">
        <f>IF(C4948&amp;G4948&amp;D4948&lt;&gt;'Funnel setup'!$K$3&amp;'Funnel setup'!$K$4&amp;'Funnel setup'!$K$6,".",IF(A4947=".",1,A4947+1))</f>
        <v>.</v>
      </c>
      <c r="B4948" s="244" t="str">
        <f t="shared" si="77"/>
        <v>Total Knee ReplacementProviderSPIRE PORTSMOUTH HOSPITAL (NT305)EQ VAS</v>
      </c>
      <c r="C4948" t="s">
        <v>975</v>
      </c>
      <c r="D4948" t="s">
        <v>965</v>
      </c>
      <c r="E4948" t="s">
        <v>580</v>
      </c>
      <c r="F4948" t="s">
        <v>581</v>
      </c>
      <c r="G4948" t="s">
        <v>752</v>
      </c>
      <c r="H4948">
        <v>15</v>
      </c>
      <c r="I4948">
        <v>71.2</v>
      </c>
      <c r="J4948">
        <v>69.333299999999994</v>
      </c>
      <c r="K4948">
        <v>-1.8666700000000001</v>
      </c>
      <c r="L4948">
        <v>8</v>
      </c>
      <c r="M4948">
        <v>2</v>
      </c>
      <c r="N4948">
        <v>5</v>
      </c>
      <c r="O4948" t="s">
        <v>127</v>
      </c>
      <c r="P4948" t="s">
        <v>127</v>
      </c>
      <c r="Q4948" t="s">
        <v>127</v>
      </c>
    </row>
    <row r="4949" spans="1:17" x14ac:dyDescent="0.25">
      <c r="A4949" t="str">
        <f>IF(C4949&amp;G4949&amp;D4949&lt;&gt;'Funnel setup'!$K$3&amp;'Funnel setup'!$K$4&amp;'Funnel setup'!$K$6,".",IF(A4948=".",1,A4948+1))</f>
        <v>.</v>
      </c>
      <c r="B4949" s="244" t="str">
        <f t="shared" si="77"/>
        <v>Total Knee ReplacementProviderSPIRE REGENCY HOSPITAL (NT339)EQ VAS</v>
      </c>
      <c r="C4949" t="s">
        <v>975</v>
      </c>
      <c r="D4949" t="s">
        <v>965</v>
      </c>
      <c r="E4949" t="s">
        <v>582</v>
      </c>
      <c r="F4949" t="s">
        <v>583</v>
      </c>
      <c r="G4949" t="s">
        <v>752</v>
      </c>
      <c r="H4949">
        <v>43</v>
      </c>
      <c r="I4949">
        <v>73.465100000000007</v>
      </c>
      <c r="J4949">
        <v>77.767399999999995</v>
      </c>
      <c r="K4949">
        <v>4.3023300000000004</v>
      </c>
      <c r="L4949">
        <v>25</v>
      </c>
      <c r="M4949">
        <v>4</v>
      </c>
      <c r="N4949">
        <v>14</v>
      </c>
      <c r="O4949">
        <v>72.790700000000001</v>
      </c>
      <c r="P4949">
        <v>7.4849600000000001</v>
      </c>
      <c r="Q4949">
        <v>14.077199999999999</v>
      </c>
    </row>
    <row r="4950" spans="1:17" x14ac:dyDescent="0.25">
      <c r="A4950" t="str">
        <f>IF(C4950&amp;G4950&amp;D4950&lt;&gt;'Funnel setup'!$K$3&amp;'Funnel setup'!$K$4&amp;'Funnel setup'!$K$6,".",IF(A4949=".",1,A4949+1))</f>
        <v>.</v>
      </c>
      <c r="B4950" s="244" t="str">
        <f t="shared" si="77"/>
        <v>Total Knee ReplacementProviderSPIRE SOUTHAMPTON HOSPITAL (NT304)EQ VAS</v>
      </c>
      <c r="C4950" t="s">
        <v>975</v>
      </c>
      <c r="D4950" t="s">
        <v>965</v>
      </c>
      <c r="E4950" t="s">
        <v>586</v>
      </c>
      <c r="F4950" t="s">
        <v>587</v>
      </c>
      <c r="G4950" t="s">
        <v>752</v>
      </c>
      <c r="H4950">
        <v>20</v>
      </c>
      <c r="I4950">
        <v>70.95</v>
      </c>
      <c r="J4950">
        <v>77.7</v>
      </c>
      <c r="K4950">
        <v>6.75</v>
      </c>
      <c r="L4950">
        <v>14</v>
      </c>
      <c r="M4950">
        <v>1</v>
      </c>
      <c r="N4950">
        <v>5</v>
      </c>
      <c r="O4950" t="s">
        <v>127</v>
      </c>
      <c r="P4950" t="s">
        <v>127</v>
      </c>
      <c r="Q4950" t="s">
        <v>127</v>
      </c>
    </row>
    <row r="4951" spans="1:17" x14ac:dyDescent="0.25">
      <c r="A4951" t="str">
        <f>IF(C4951&amp;G4951&amp;D4951&lt;&gt;'Funnel setup'!$K$3&amp;'Funnel setup'!$K$4&amp;'Funnel setup'!$K$6,".",IF(A4950=".",1,A4950+1))</f>
        <v>.</v>
      </c>
      <c r="B4951" s="244" t="str">
        <f t="shared" si="77"/>
        <v>Total Knee ReplacementProviderSPIRE ST ANTHONY'S HOSPITAL (NT3X3)EQ VAS</v>
      </c>
      <c r="C4951" t="s">
        <v>975</v>
      </c>
      <c r="D4951" t="s">
        <v>965</v>
      </c>
      <c r="E4951" t="s">
        <v>588</v>
      </c>
      <c r="F4951" t="s">
        <v>589</v>
      </c>
      <c r="G4951" t="s">
        <v>752</v>
      </c>
      <c r="H4951">
        <v>4</v>
      </c>
      <c r="I4951">
        <v>65</v>
      </c>
      <c r="J4951">
        <v>73.75</v>
      </c>
      <c r="K4951">
        <v>8.75</v>
      </c>
      <c r="L4951">
        <v>3</v>
      </c>
      <c r="M4951">
        <v>0</v>
      </c>
      <c r="N4951">
        <v>1</v>
      </c>
      <c r="O4951" t="s">
        <v>127</v>
      </c>
      <c r="P4951" t="s">
        <v>127</v>
      </c>
      <c r="Q4951" t="s">
        <v>127</v>
      </c>
    </row>
    <row r="4952" spans="1:17" x14ac:dyDescent="0.25">
      <c r="A4952" t="str">
        <f>IF(C4952&amp;G4952&amp;D4952&lt;&gt;'Funnel setup'!$K$3&amp;'Funnel setup'!$K$4&amp;'Funnel setup'!$K$6,".",IF(A4951=".",1,A4951+1))</f>
        <v>.</v>
      </c>
      <c r="B4952" s="244" t="str">
        <f t="shared" si="77"/>
        <v>Total Knee ReplacementProviderSPIRE SUSSEX HOSPITAL (NT309)EQ VAS</v>
      </c>
      <c r="C4952" t="s">
        <v>975</v>
      </c>
      <c r="D4952" t="s">
        <v>965</v>
      </c>
      <c r="E4952" t="s">
        <v>590</v>
      </c>
      <c r="F4952" t="s">
        <v>591</v>
      </c>
      <c r="G4952" t="s">
        <v>752</v>
      </c>
      <c r="H4952">
        <v>24</v>
      </c>
      <c r="I4952">
        <v>71.208299999999994</v>
      </c>
      <c r="J4952">
        <v>77.25</v>
      </c>
      <c r="K4952">
        <v>6.0416699999999999</v>
      </c>
      <c r="L4952">
        <v>16</v>
      </c>
      <c r="M4952">
        <v>1</v>
      </c>
      <c r="N4952">
        <v>7</v>
      </c>
      <c r="O4952" t="s">
        <v>127</v>
      </c>
      <c r="P4952" t="s">
        <v>127</v>
      </c>
      <c r="Q4952" t="s">
        <v>127</v>
      </c>
    </row>
    <row r="4953" spans="1:17" x14ac:dyDescent="0.25">
      <c r="A4953" t="str">
        <f>IF(C4953&amp;G4953&amp;D4953&lt;&gt;'Funnel setup'!$K$3&amp;'Funnel setup'!$K$4&amp;'Funnel setup'!$K$6,".",IF(A4952=".",1,A4952+1))</f>
        <v>.</v>
      </c>
      <c r="B4953" s="244" t="str">
        <f t="shared" si="77"/>
        <v>Total Knee ReplacementProviderSPIRE THAMES VALLEY HOSPITAL (NT343)EQ VAS</v>
      </c>
      <c r="C4953" t="s">
        <v>975</v>
      </c>
      <c r="D4953" t="s">
        <v>965</v>
      </c>
      <c r="E4953" t="s">
        <v>592</v>
      </c>
      <c r="F4953" t="s">
        <v>593</v>
      </c>
      <c r="G4953" t="s">
        <v>752</v>
      </c>
      <c r="H4953">
        <v>1</v>
      </c>
      <c r="I4953">
        <v>75</v>
      </c>
      <c r="J4953">
        <v>81</v>
      </c>
      <c r="K4953">
        <v>6</v>
      </c>
      <c r="L4953">
        <v>1</v>
      </c>
      <c r="M4953">
        <v>0</v>
      </c>
      <c r="N4953">
        <v>0</v>
      </c>
      <c r="O4953" t="s">
        <v>127</v>
      </c>
      <c r="P4953" t="s">
        <v>127</v>
      </c>
      <c r="Q4953" t="s">
        <v>127</v>
      </c>
    </row>
    <row r="4954" spans="1:17" x14ac:dyDescent="0.25">
      <c r="A4954" t="str">
        <f>IF(C4954&amp;G4954&amp;D4954&lt;&gt;'Funnel setup'!$K$3&amp;'Funnel setup'!$K$4&amp;'Funnel setup'!$K$6,".",IF(A4953=".",1,A4953+1))</f>
        <v>.</v>
      </c>
      <c r="B4954" s="244" t="str">
        <f t="shared" si="77"/>
        <v>Total Knee ReplacementProviderSPIRE TUNBRIDGE WELLS HOSPITAL (NT310)EQ VAS</v>
      </c>
      <c r="C4954" t="s">
        <v>975</v>
      </c>
      <c r="D4954" t="s">
        <v>965</v>
      </c>
      <c r="E4954" t="s">
        <v>594</v>
      </c>
      <c r="F4954" t="s">
        <v>595</v>
      </c>
      <c r="G4954" t="s">
        <v>752</v>
      </c>
      <c r="H4954">
        <v>1</v>
      </c>
      <c r="I4954">
        <v>60</v>
      </c>
      <c r="J4954">
        <v>74</v>
      </c>
      <c r="K4954">
        <v>14</v>
      </c>
      <c r="L4954">
        <v>1</v>
      </c>
      <c r="M4954">
        <v>0</v>
      </c>
      <c r="N4954">
        <v>0</v>
      </c>
      <c r="O4954" t="s">
        <v>127</v>
      </c>
      <c r="P4954" t="s">
        <v>127</v>
      </c>
      <c r="Q4954" t="s">
        <v>127</v>
      </c>
    </row>
    <row r="4955" spans="1:17" x14ac:dyDescent="0.25">
      <c r="A4955" t="str">
        <f>IF(C4955&amp;G4955&amp;D4955&lt;&gt;'Funnel setup'!$K$3&amp;'Funnel setup'!$K$4&amp;'Funnel setup'!$K$6,".",IF(A4954=".",1,A4954+1))</f>
        <v>.</v>
      </c>
      <c r="B4955" s="244" t="str">
        <f t="shared" si="77"/>
        <v>Total Knee ReplacementProviderSPIRE WASHINGTON HOSPITAL (NT333)EQ VAS</v>
      </c>
      <c r="C4955" t="s">
        <v>975</v>
      </c>
      <c r="D4955" t="s">
        <v>965</v>
      </c>
      <c r="E4955" t="s">
        <v>596</v>
      </c>
      <c r="F4955" t="s">
        <v>597</v>
      </c>
      <c r="G4955" t="s">
        <v>752</v>
      </c>
      <c r="H4955">
        <v>101</v>
      </c>
      <c r="I4955">
        <v>70.883499999999998</v>
      </c>
      <c r="J4955">
        <v>76.553399999999996</v>
      </c>
      <c r="K4955">
        <v>5.6699000000000002</v>
      </c>
      <c r="L4955">
        <v>62</v>
      </c>
      <c r="M4955">
        <v>7</v>
      </c>
      <c r="N4955">
        <v>32</v>
      </c>
      <c r="O4955">
        <v>74.554699999999997</v>
      </c>
      <c r="P4955">
        <v>9.2489899999999992</v>
      </c>
      <c r="Q4955">
        <v>13.4895</v>
      </c>
    </row>
    <row r="4956" spans="1:17" x14ac:dyDescent="0.25">
      <c r="A4956" t="str">
        <f>IF(C4956&amp;G4956&amp;D4956&lt;&gt;'Funnel setup'!$K$3&amp;'Funnel setup'!$K$4&amp;'Funnel setup'!$K$6,".",IF(A4955=".",1,A4955+1))</f>
        <v>.</v>
      </c>
      <c r="B4956" s="244" t="str">
        <f t="shared" si="77"/>
        <v>Total Knee ReplacementProviderSPRINGFIELD HOSPITAL (NVC18)EQ VAS</v>
      </c>
      <c r="C4956" t="s">
        <v>975</v>
      </c>
      <c r="D4956" t="s">
        <v>965</v>
      </c>
      <c r="E4956" t="s">
        <v>602</v>
      </c>
      <c r="F4956" t="s">
        <v>603</v>
      </c>
      <c r="G4956" t="s">
        <v>752</v>
      </c>
      <c r="H4956">
        <v>87</v>
      </c>
      <c r="I4956">
        <v>69.818200000000004</v>
      </c>
      <c r="J4956">
        <v>77.568200000000004</v>
      </c>
      <c r="K4956">
        <v>7.75</v>
      </c>
      <c r="L4956">
        <v>57</v>
      </c>
      <c r="M4956">
        <v>8</v>
      </c>
      <c r="N4956">
        <v>22</v>
      </c>
      <c r="O4956">
        <v>73.758099999999999</v>
      </c>
      <c r="P4956">
        <v>8.4523600000000005</v>
      </c>
      <c r="Q4956">
        <v>14.6495</v>
      </c>
    </row>
    <row r="4957" spans="1:17" x14ac:dyDescent="0.25">
      <c r="A4957" t="str">
        <f>IF(C4957&amp;G4957&amp;D4957&lt;&gt;'Funnel setup'!$K$3&amp;'Funnel setup'!$K$4&amp;'Funnel setup'!$K$6,".",IF(A4956=".",1,A4956+1))</f>
        <v>.</v>
      </c>
      <c r="B4957" s="244" t="str">
        <f t="shared" si="77"/>
        <v>Total Knee ReplacementProviderST EDMUNDS HOSPITAL (NT446)EQ VAS</v>
      </c>
      <c r="C4957" t="s">
        <v>975</v>
      </c>
      <c r="D4957" t="s">
        <v>965</v>
      </c>
      <c r="E4957" t="s">
        <v>604</v>
      </c>
      <c r="F4957" t="s">
        <v>605</v>
      </c>
      <c r="G4957" t="s">
        <v>752</v>
      </c>
      <c r="H4957">
        <v>24</v>
      </c>
      <c r="I4957">
        <v>70.583299999999994</v>
      </c>
      <c r="J4957">
        <v>79.041700000000006</v>
      </c>
      <c r="K4957">
        <v>8.4583300000000001</v>
      </c>
      <c r="L4957">
        <v>18</v>
      </c>
      <c r="M4957">
        <v>2</v>
      </c>
      <c r="N4957">
        <v>4</v>
      </c>
      <c r="O4957" t="s">
        <v>127</v>
      </c>
      <c r="P4957" t="s">
        <v>127</v>
      </c>
      <c r="Q4957" t="s">
        <v>127</v>
      </c>
    </row>
    <row r="4958" spans="1:17" x14ac:dyDescent="0.25">
      <c r="A4958" t="str">
        <f>IF(C4958&amp;G4958&amp;D4958&lt;&gt;'Funnel setup'!$K$3&amp;'Funnel setup'!$K$4&amp;'Funnel setup'!$K$6,".",IF(A4957=".",1,A4957+1))</f>
        <v>.</v>
      </c>
      <c r="B4958" s="244" t="str">
        <f t="shared" si="77"/>
        <v>Total Knee ReplacementProviderST HELENS AND KNOWSLEY TEACHING HOSPITALS NHS TRUST (RBN)EQ VAS</v>
      </c>
      <c r="C4958" t="s">
        <v>975</v>
      </c>
      <c r="D4958" t="s">
        <v>965</v>
      </c>
      <c r="E4958" t="s">
        <v>608</v>
      </c>
      <c r="F4958" t="s">
        <v>609</v>
      </c>
      <c r="G4958" t="s">
        <v>752</v>
      </c>
      <c r="H4958">
        <v>62</v>
      </c>
      <c r="I4958">
        <v>66.919399999999996</v>
      </c>
      <c r="J4958">
        <v>70.790300000000002</v>
      </c>
      <c r="K4958">
        <v>3.8709699999999998</v>
      </c>
      <c r="L4958">
        <v>33</v>
      </c>
      <c r="M4958">
        <v>9</v>
      </c>
      <c r="N4958">
        <v>20</v>
      </c>
      <c r="O4958">
        <v>72.837100000000007</v>
      </c>
      <c r="P4958">
        <v>7.5314199999999998</v>
      </c>
      <c r="Q4958">
        <v>19.810400000000001</v>
      </c>
    </row>
    <row r="4959" spans="1:17" x14ac:dyDescent="0.25">
      <c r="A4959" t="str">
        <f>IF(C4959&amp;G4959&amp;D4959&lt;&gt;'Funnel setup'!$K$3&amp;'Funnel setup'!$K$4&amp;'Funnel setup'!$K$6,".",IF(A4958=".",1,A4958+1))</f>
        <v>.</v>
      </c>
      <c r="B4959" s="244" t="str">
        <f t="shared" si="77"/>
        <v>Total Knee ReplacementProviderST HUGH'S HOSPITAL (NTE02)EQ VAS</v>
      </c>
      <c r="C4959" t="s">
        <v>975</v>
      </c>
      <c r="D4959" t="s">
        <v>965</v>
      </c>
      <c r="E4959" t="s">
        <v>610</v>
      </c>
      <c r="F4959" t="s">
        <v>611</v>
      </c>
      <c r="G4959" t="s">
        <v>752</v>
      </c>
      <c r="H4959">
        <v>110</v>
      </c>
      <c r="I4959">
        <v>70.990899999999996</v>
      </c>
      <c r="J4959">
        <v>73.945499999999996</v>
      </c>
      <c r="K4959">
        <v>2.9545499999999998</v>
      </c>
      <c r="L4959">
        <v>58</v>
      </c>
      <c r="M4959">
        <v>18</v>
      </c>
      <c r="N4959">
        <v>34</v>
      </c>
      <c r="O4959">
        <v>70.523799999999994</v>
      </c>
      <c r="P4959">
        <v>5.2181300000000004</v>
      </c>
      <c r="Q4959">
        <v>18.826899999999998</v>
      </c>
    </row>
    <row r="4960" spans="1:17" x14ac:dyDescent="0.25">
      <c r="A4960" t="str">
        <f>IF(C4960&amp;G4960&amp;D4960&lt;&gt;'Funnel setup'!$K$3&amp;'Funnel setup'!$K$4&amp;'Funnel setup'!$K$6,".",IF(A4959=".",1,A4959+1))</f>
        <v>.</v>
      </c>
      <c r="B4960" s="244" t="str">
        <f t="shared" si="77"/>
        <v>Total Knee ReplacementProviderSTOCKPORT NHS FOUNDATION TRUST (RWJ)EQ VAS</v>
      </c>
      <c r="C4960" t="s">
        <v>975</v>
      </c>
      <c r="D4960" t="s">
        <v>965</v>
      </c>
      <c r="E4960" t="s">
        <v>614</v>
      </c>
      <c r="F4960" t="s">
        <v>615</v>
      </c>
      <c r="G4960" t="s">
        <v>752</v>
      </c>
      <c r="H4960">
        <v>26</v>
      </c>
      <c r="I4960">
        <v>70.5</v>
      </c>
      <c r="J4960">
        <v>80.576899999999995</v>
      </c>
      <c r="K4960">
        <v>10.0769</v>
      </c>
      <c r="L4960">
        <v>16</v>
      </c>
      <c r="M4960">
        <v>1</v>
      </c>
      <c r="N4960">
        <v>9</v>
      </c>
      <c r="O4960" t="s">
        <v>127</v>
      </c>
      <c r="P4960" t="s">
        <v>127</v>
      </c>
      <c r="Q4960" t="s">
        <v>127</v>
      </c>
    </row>
    <row r="4961" spans="1:17" x14ac:dyDescent="0.25">
      <c r="A4961" t="str">
        <f>IF(C4961&amp;G4961&amp;D4961&lt;&gt;'Funnel setup'!$K$3&amp;'Funnel setup'!$K$4&amp;'Funnel setup'!$K$6,".",IF(A4960=".",1,A4960+1))</f>
        <v>.</v>
      </c>
      <c r="B4961" s="244" t="str">
        <f t="shared" si="77"/>
        <v>Total Knee ReplacementProviderSURREY AND SUSSEX HEALTHCARE NHS TRUST (RTP)EQ VAS</v>
      </c>
      <c r="C4961" t="s">
        <v>975</v>
      </c>
      <c r="D4961" t="s">
        <v>965</v>
      </c>
      <c r="E4961" t="s">
        <v>618</v>
      </c>
      <c r="F4961" t="s">
        <v>619</v>
      </c>
      <c r="G4961" t="s">
        <v>752</v>
      </c>
      <c r="H4961">
        <v>32</v>
      </c>
      <c r="I4961">
        <v>65.625</v>
      </c>
      <c r="J4961">
        <v>73.281300000000002</v>
      </c>
      <c r="K4961">
        <v>7.65625</v>
      </c>
      <c r="L4961">
        <v>20</v>
      </c>
      <c r="M4961">
        <v>1</v>
      </c>
      <c r="N4961">
        <v>11</v>
      </c>
      <c r="O4961">
        <v>74.796800000000005</v>
      </c>
      <c r="P4961">
        <v>9.4911100000000008</v>
      </c>
      <c r="Q4961">
        <v>13.0989</v>
      </c>
    </row>
    <row r="4962" spans="1:17" x14ac:dyDescent="0.25">
      <c r="A4962" t="str">
        <f>IF(C4962&amp;G4962&amp;D4962&lt;&gt;'Funnel setup'!$K$3&amp;'Funnel setup'!$K$4&amp;'Funnel setup'!$K$6,".",IF(A4961=".",1,A4961+1))</f>
        <v>.</v>
      </c>
      <c r="B4962" s="244" t="str">
        <f t="shared" si="77"/>
        <v>Total Knee ReplacementProviderTEES VALLEY HOSPITAL (NVC0R)EQ VAS</v>
      </c>
      <c r="C4962" t="s">
        <v>975</v>
      </c>
      <c r="D4962" t="s">
        <v>965</v>
      </c>
      <c r="E4962" t="s">
        <v>624</v>
      </c>
      <c r="F4962" t="s">
        <v>625</v>
      </c>
      <c r="G4962" t="s">
        <v>752</v>
      </c>
      <c r="H4962">
        <v>46</v>
      </c>
      <c r="I4962">
        <v>70.446799999999996</v>
      </c>
      <c r="J4962">
        <v>77.170199999999994</v>
      </c>
      <c r="K4962">
        <v>6.7233999999999998</v>
      </c>
      <c r="L4962">
        <v>31</v>
      </c>
      <c r="M4962">
        <v>3</v>
      </c>
      <c r="N4962">
        <v>12</v>
      </c>
      <c r="O4962">
        <v>74.577200000000005</v>
      </c>
      <c r="P4962">
        <v>9.27149</v>
      </c>
      <c r="Q4962">
        <v>16.3812</v>
      </c>
    </row>
    <row r="4963" spans="1:17" x14ac:dyDescent="0.25">
      <c r="A4963" t="str">
        <f>IF(C4963&amp;G4963&amp;D4963&lt;&gt;'Funnel setup'!$K$3&amp;'Funnel setup'!$K$4&amp;'Funnel setup'!$K$6,".",IF(A4962=".",1,A4962+1))</f>
        <v>.</v>
      </c>
      <c r="B4963" s="244" t="str">
        <f t="shared" si="77"/>
        <v>Total Knee ReplacementProviderTHE BERKSHIRE INDEPENDENT HOSPITAL (NVC02)EQ VAS</v>
      </c>
      <c r="C4963" t="s">
        <v>975</v>
      </c>
      <c r="D4963" t="s">
        <v>965</v>
      </c>
      <c r="E4963" t="s">
        <v>626</v>
      </c>
      <c r="F4963" t="s">
        <v>627</v>
      </c>
      <c r="G4963" t="s">
        <v>752</v>
      </c>
      <c r="H4963">
        <v>12</v>
      </c>
      <c r="I4963">
        <v>77.333299999999994</v>
      </c>
      <c r="J4963">
        <v>82.083299999999994</v>
      </c>
      <c r="K4963">
        <v>4.75</v>
      </c>
      <c r="L4963">
        <v>6</v>
      </c>
      <c r="M4963">
        <v>3</v>
      </c>
      <c r="N4963">
        <v>3</v>
      </c>
      <c r="O4963" t="s">
        <v>127</v>
      </c>
      <c r="P4963" t="s">
        <v>127</v>
      </c>
      <c r="Q4963" t="s">
        <v>127</v>
      </c>
    </row>
    <row r="4964" spans="1:17" x14ac:dyDescent="0.25">
      <c r="A4964" t="str">
        <f>IF(C4964&amp;G4964&amp;D4964&lt;&gt;'Funnel setup'!$K$3&amp;'Funnel setup'!$K$4&amp;'Funnel setup'!$K$6,".",IF(A4963=".",1,A4963+1))</f>
        <v>.</v>
      </c>
      <c r="B4964" s="244" t="str">
        <f t="shared" si="77"/>
        <v>Total Knee ReplacementProviderTHE CHERWELL HOSPITAL (NVC25)EQ VAS</v>
      </c>
      <c r="C4964" t="s">
        <v>975</v>
      </c>
      <c r="D4964" t="s">
        <v>965</v>
      </c>
      <c r="E4964" t="s">
        <v>628</v>
      </c>
      <c r="F4964" t="s">
        <v>629</v>
      </c>
      <c r="G4964" t="s">
        <v>752</v>
      </c>
      <c r="H4964">
        <v>248</v>
      </c>
      <c r="I4964">
        <v>68.137100000000004</v>
      </c>
      <c r="J4964">
        <v>75.604799999999997</v>
      </c>
      <c r="K4964">
        <v>7.46774</v>
      </c>
      <c r="L4964">
        <v>145</v>
      </c>
      <c r="M4964">
        <v>35</v>
      </c>
      <c r="N4964">
        <v>68</v>
      </c>
      <c r="O4964">
        <v>73.439099999999996</v>
      </c>
      <c r="P4964">
        <v>8.1333699999999993</v>
      </c>
      <c r="Q4964">
        <v>15.9618</v>
      </c>
    </row>
    <row r="4965" spans="1:17" x14ac:dyDescent="0.25">
      <c r="A4965" t="str">
        <f>IF(C4965&amp;G4965&amp;D4965&lt;&gt;'Funnel setup'!$K$3&amp;'Funnel setup'!$K$4&amp;'Funnel setup'!$K$6,".",IF(A4964=".",1,A4964+1))</f>
        <v>.</v>
      </c>
      <c r="B4965" s="244" t="str">
        <f t="shared" si="77"/>
        <v>Total Knee ReplacementProviderTHE DUDLEY GROUP NHS FOUNDATION TRUST (RNA)EQ VAS</v>
      </c>
      <c r="C4965" t="s">
        <v>975</v>
      </c>
      <c r="D4965" t="s">
        <v>965</v>
      </c>
      <c r="E4965" t="s">
        <v>630</v>
      </c>
      <c r="F4965" t="s">
        <v>631</v>
      </c>
      <c r="G4965" t="s">
        <v>752</v>
      </c>
      <c r="H4965">
        <v>1</v>
      </c>
      <c r="I4965">
        <v>80</v>
      </c>
      <c r="J4965">
        <v>80</v>
      </c>
      <c r="K4965">
        <v>0</v>
      </c>
      <c r="L4965">
        <v>0</v>
      </c>
      <c r="M4965">
        <v>1</v>
      </c>
      <c r="N4965">
        <v>0</v>
      </c>
      <c r="O4965" t="s">
        <v>127</v>
      </c>
      <c r="P4965" t="s">
        <v>127</v>
      </c>
      <c r="Q4965" t="s">
        <v>127</v>
      </c>
    </row>
    <row r="4966" spans="1:17" x14ac:dyDescent="0.25">
      <c r="A4966" t="str">
        <f>IF(C4966&amp;G4966&amp;D4966&lt;&gt;'Funnel setup'!$K$3&amp;'Funnel setup'!$K$4&amp;'Funnel setup'!$K$6,".",IF(A4965=".",1,A4965+1))</f>
        <v>.</v>
      </c>
      <c r="B4966" s="244" t="str">
        <f t="shared" si="77"/>
        <v>Total Knee ReplacementProviderTHE HILLINGDON HOSPITALS NHS FOUNDATION TRUST (RAS)EQ VAS</v>
      </c>
      <c r="C4966" t="s">
        <v>975</v>
      </c>
      <c r="D4966" t="s">
        <v>965</v>
      </c>
      <c r="E4966" t="s">
        <v>632</v>
      </c>
      <c r="F4966" t="s">
        <v>633</v>
      </c>
      <c r="G4966" t="s">
        <v>752</v>
      </c>
      <c r="H4966">
        <v>110</v>
      </c>
      <c r="I4966">
        <v>63.127299999999998</v>
      </c>
      <c r="J4966">
        <v>70.3</v>
      </c>
      <c r="K4966">
        <v>7.1727299999999996</v>
      </c>
      <c r="L4966">
        <v>63</v>
      </c>
      <c r="M4966">
        <v>15</v>
      </c>
      <c r="N4966">
        <v>32</v>
      </c>
      <c r="O4966">
        <v>70.855099999999993</v>
      </c>
      <c r="P4966">
        <v>5.5494300000000001</v>
      </c>
      <c r="Q4966">
        <v>18.443200000000001</v>
      </c>
    </row>
    <row r="4967" spans="1:17" x14ac:dyDescent="0.25">
      <c r="A4967" t="str">
        <f>IF(C4967&amp;G4967&amp;D4967&lt;&gt;'Funnel setup'!$K$3&amp;'Funnel setup'!$K$4&amp;'Funnel setup'!$K$6,".",IF(A4966=".",1,A4966+1))</f>
        <v>.</v>
      </c>
      <c r="B4967" s="244" t="str">
        <f t="shared" si="77"/>
        <v>Total Knee ReplacementProviderTHE HORDER CENTRE - ST JOHNS ROAD (NXM01)EQ VAS</v>
      </c>
      <c r="C4967" t="s">
        <v>975</v>
      </c>
      <c r="D4967" t="s">
        <v>965</v>
      </c>
      <c r="E4967" t="s">
        <v>634</v>
      </c>
      <c r="F4967" t="s">
        <v>635</v>
      </c>
      <c r="G4967" t="s">
        <v>752</v>
      </c>
      <c r="H4967">
        <v>245</v>
      </c>
      <c r="I4967">
        <v>70.599999999999994</v>
      </c>
      <c r="J4967">
        <v>79.040800000000004</v>
      </c>
      <c r="K4967">
        <v>8.4408200000000004</v>
      </c>
      <c r="L4967">
        <v>152</v>
      </c>
      <c r="M4967">
        <v>31</v>
      </c>
      <c r="N4967">
        <v>62</v>
      </c>
      <c r="O4967">
        <v>76.219899999999996</v>
      </c>
      <c r="P4967">
        <v>10.914199999999999</v>
      </c>
      <c r="Q4967">
        <v>14.927</v>
      </c>
    </row>
    <row r="4968" spans="1:17" x14ac:dyDescent="0.25">
      <c r="A4968" t="str">
        <f>IF(C4968&amp;G4968&amp;D4968&lt;&gt;'Funnel setup'!$K$3&amp;'Funnel setup'!$K$4&amp;'Funnel setup'!$K$6,".",IF(A4967=".",1,A4967+1))</f>
        <v>.</v>
      </c>
      <c r="B4968" s="244" t="str">
        <f t="shared" si="77"/>
        <v>Total Knee ReplacementProviderTHE NEWCASTLE UPON TYNE HOSPITALS NHS FOUNDATION TRUST (RTD)EQ VAS</v>
      </c>
      <c r="C4968" t="s">
        <v>975</v>
      </c>
      <c r="D4968" t="s">
        <v>965</v>
      </c>
      <c r="E4968" t="s">
        <v>638</v>
      </c>
      <c r="F4968" t="s">
        <v>639</v>
      </c>
      <c r="G4968" t="s">
        <v>752</v>
      </c>
      <c r="H4968">
        <v>26</v>
      </c>
      <c r="I4968">
        <v>56.961500000000001</v>
      </c>
      <c r="J4968">
        <v>74.692300000000003</v>
      </c>
      <c r="K4968">
        <v>17.730799999999999</v>
      </c>
      <c r="L4968">
        <v>20</v>
      </c>
      <c r="M4968">
        <v>2</v>
      </c>
      <c r="N4968">
        <v>4</v>
      </c>
      <c r="O4968" t="s">
        <v>127</v>
      </c>
      <c r="P4968" t="s">
        <v>127</v>
      </c>
      <c r="Q4968" t="s">
        <v>127</v>
      </c>
    </row>
    <row r="4969" spans="1:17" x14ac:dyDescent="0.25">
      <c r="A4969" t="str">
        <f>IF(C4969&amp;G4969&amp;D4969&lt;&gt;'Funnel setup'!$K$3&amp;'Funnel setup'!$K$4&amp;'Funnel setup'!$K$6,".",IF(A4968=".",1,A4968+1))</f>
        <v>.</v>
      </c>
      <c r="B4969" s="244" t="str">
        <f t="shared" si="77"/>
        <v>Total Knee ReplacementProviderTHE PRINCESS ALEXANDRA HOSPITAL NHS TRUST (RQW)EQ VAS</v>
      </c>
      <c r="C4969" t="s">
        <v>975</v>
      </c>
      <c r="D4969" t="s">
        <v>965</v>
      </c>
      <c r="E4969" t="s">
        <v>640</v>
      </c>
      <c r="F4969" t="s">
        <v>641</v>
      </c>
      <c r="G4969" t="s">
        <v>752</v>
      </c>
      <c r="H4969">
        <v>28</v>
      </c>
      <c r="I4969">
        <v>54</v>
      </c>
      <c r="J4969">
        <v>64.678600000000003</v>
      </c>
      <c r="K4969">
        <v>10.678599999999999</v>
      </c>
      <c r="L4969">
        <v>17</v>
      </c>
      <c r="M4969">
        <v>3</v>
      </c>
      <c r="N4969">
        <v>8</v>
      </c>
      <c r="O4969" t="s">
        <v>127</v>
      </c>
      <c r="P4969" t="s">
        <v>127</v>
      </c>
      <c r="Q4969" t="s">
        <v>127</v>
      </c>
    </row>
    <row r="4970" spans="1:17" x14ac:dyDescent="0.25">
      <c r="A4970" t="str">
        <f>IF(C4970&amp;G4970&amp;D4970&lt;&gt;'Funnel setup'!$K$3&amp;'Funnel setup'!$K$4&amp;'Funnel setup'!$K$6,".",IF(A4969=".",1,A4969+1))</f>
        <v>.</v>
      </c>
      <c r="B4970" s="244" t="str">
        <f t="shared" si="77"/>
        <v>Total Knee ReplacementProviderTHE QUEEN ELIZABETH HOSPITAL, KING'S LYNN, NHS FOUNDATION TRUST (RCX)EQ VAS</v>
      </c>
      <c r="C4970" t="s">
        <v>975</v>
      </c>
      <c r="D4970" t="s">
        <v>965</v>
      </c>
      <c r="E4970" t="s">
        <v>644</v>
      </c>
      <c r="F4970" t="s">
        <v>645</v>
      </c>
      <c r="G4970" t="s">
        <v>752</v>
      </c>
      <c r="H4970">
        <v>78</v>
      </c>
      <c r="I4970">
        <v>62.807699999999997</v>
      </c>
      <c r="J4970">
        <v>72.115399999999994</v>
      </c>
      <c r="K4970">
        <v>9.3076899999999991</v>
      </c>
      <c r="L4970">
        <v>45</v>
      </c>
      <c r="M4970">
        <v>9</v>
      </c>
      <c r="N4970">
        <v>24</v>
      </c>
      <c r="O4970">
        <v>73.33</v>
      </c>
      <c r="P4970">
        <v>8.0243199999999995</v>
      </c>
      <c r="Q4970">
        <v>17.716799999999999</v>
      </c>
    </row>
    <row r="4971" spans="1:17" x14ac:dyDescent="0.25">
      <c r="A4971" t="str">
        <f>IF(C4971&amp;G4971&amp;D4971&lt;&gt;'Funnel setup'!$K$3&amp;'Funnel setup'!$K$4&amp;'Funnel setup'!$K$6,".",IF(A4970=".",1,A4970+1))</f>
        <v>.</v>
      </c>
      <c r="B4971" s="244" t="str">
        <f t="shared" si="77"/>
        <v>Total Knee ReplacementProviderTHE ROBERT JONES AND AGNES HUNT ORTHOPAEDIC HOSPITAL NHS FOUNDATION TRUST (RL1)EQ VAS</v>
      </c>
      <c r="C4971" t="s">
        <v>975</v>
      </c>
      <c r="D4971" t="s">
        <v>965</v>
      </c>
      <c r="E4971" t="s">
        <v>646</v>
      </c>
      <c r="F4971" t="s">
        <v>647</v>
      </c>
      <c r="G4971" t="s">
        <v>752</v>
      </c>
      <c r="H4971">
        <v>323</v>
      </c>
      <c r="I4971">
        <v>61.077399999999997</v>
      </c>
      <c r="J4971">
        <v>74.083600000000004</v>
      </c>
      <c r="K4971">
        <v>13.0062</v>
      </c>
      <c r="L4971">
        <v>229</v>
      </c>
      <c r="M4971">
        <v>26</v>
      </c>
      <c r="N4971">
        <v>68</v>
      </c>
      <c r="O4971">
        <v>76.493499999999997</v>
      </c>
      <c r="P4971">
        <v>11.1877</v>
      </c>
      <c r="Q4971">
        <v>15.327</v>
      </c>
    </row>
    <row r="4972" spans="1:17" x14ac:dyDescent="0.25">
      <c r="A4972" t="str">
        <f>IF(C4972&amp;G4972&amp;D4972&lt;&gt;'Funnel setup'!$K$3&amp;'Funnel setup'!$K$4&amp;'Funnel setup'!$K$6,".",IF(A4971=".",1,A4971+1))</f>
        <v>.</v>
      </c>
      <c r="B4972" s="244" t="str">
        <f t="shared" si="77"/>
        <v>Total Knee ReplacementProviderTHE ROTHERHAM NHS FOUNDATION TRUST (RFR)EQ VAS</v>
      </c>
      <c r="C4972" t="s">
        <v>975</v>
      </c>
      <c r="D4972" t="s">
        <v>965</v>
      </c>
      <c r="E4972" t="s">
        <v>648</v>
      </c>
      <c r="F4972" t="s">
        <v>649</v>
      </c>
      <c r="G4972" t="s">
        <v>752</v>
      </c>
      <c r="H4972">
        <v>26</v>
      </c>
      <c r="I4972">
        <v>64.807699999999997</v>
      </c>
      <c r="J4972">
        <v>73.807699999999997</v>
      </c>
      <c r="K4972">
        <v>9</v>
      </c>
      <c r="L4972">
        <v>16</v>
      </c>
      <c r="M4972">
        <v>3</v>
      </c>
      <c r="N4972">
        <v>7</v>
      </c>
      <c r="O4972" t="s">
        <v>127</v>
      </c>
      <c r="P4972" t="s">
        <v>127</v>
      </c>
      <c r="Q4972" t="s">
        <v>127</v>
      </c>
    </row>
    <row r="4973" spans="1:17" x14ac:dyDescent="0.25">
      <c r="A4973" t="str">
        <f>IF(C4973&amp;G4973&amp;D4973&lt;&gt;'Funnel setup'!$K$3&amp;'Funnel setup'!$K$4&amp;'Funnel setup'!$K$6,".",IF(A4972=".",1,A4972+1))</f>
        <v>.</v>
      </c>
      <c r="B4973" s="244" t="str">
        <f t="shared" si="77"/>
        <v>Total Knee ReplacementProviderTHE ROYAL ORTHOPAEDIC HOSPITAL NHS FOUNDATION TRUST (RRJ)EQ VAS</v>
      </c>
      <c r="C4973" t="s">
        <v>975</v>
      </c>
      <c r="D4973" t="s">
        <v>965</v>
      </c>
      <c r="E4973" t="s">
        <v>652</v>
      </c>
      <c r="F4973" t="s">
        <v>653</v>
      </c>
      <c r="G4973" t="s">
        <v>752</v>
      </c>
      <c r="H4973">
        <v>419</v>
      </c>
      <c r="I4973">
        <v>64.940299999999993</v>
      </c>
      <c r="J4973">
        <v>71.451099999999997</v>
      </c>
      <c r="K4973">
        <v>6.5107400000000002</v>
      </c>
      <c r="L4973">
        <v>236</v>
      </c>
      <c r="M4973">
        <v>43</v>
      </c>
      <c r="N4973">
        <v>140</v>
      </c>
      <c r="O4973">
        <v>72.751099999999994</v>
      </c>
      <c r="P4973">
        <v>7.4453899999999997</v>
      </c>
      <c r="Q4973">
        <v>17.7287</v>
      </c>
    </row>
    <row r="4974" spans="1:17" x14ac:dyDescent="0.25">
      <c r="A4974" t="str">
        <f>IF(C4974&amp;G4974&amp;D4974&lt;&gt;'Funnel setup'!$K$3&amp;'Funnel setup'!$K$4&amp;'Funnel setup'!$K$6,".",IF(A4973=".",1,A4973+1))</f>
        <v>.</v>
      </c>
      <c r="B4974" s="244" t="str">
        <f t="shared" si="77"/>
        <v>Total Knee ReplacementProviderTHE ROYAL WOLVERHAMPTON NHS TRUST (RL4)EQ VAS</v>
      </c>
      <c r="C4974" t="s">
        <v>975</v>
      </c>
      <c r="D4974" t="s">
        <v>965</v>
      </c>
      <c r="E4974" t="s">
        <v>654</v>
      </c>
      <c r="F4974" t="s">
        <v>655</v>
      </c>
      <c r="G4974" t="s">
        <v>752</v>
      </c>
      <c r="H4974">
        <v>20</v>
      </c>
      <c r="I4974">
        <v>67.400000000000006</v>
      </c>
      <c r="J4974">
        <v>77.650000000000006</v>
      </c>
      <c r="K4974">
        <v>10.25</v>
      </c>
      <c r="L4974">
        <v>16</v>
      </c>
      <c r="M4974">
        <v>0</v>
      </c>
      <c r="N4974">
        <v>4</v>
      </c>
      <c r="O4974" t="s">
        <v>127</v>
      </c>
      <c r="P4974" t="s">
        <v>127</v>
      </c>
      <c r="Q4974" t="s">
        <v>127</v>
      </c>
    </row>
    <row r="4975" spans="1:17" x14ac:dyDescent="0.25">
      <c r="A4975" t="str">
        <f>IF(C4975&amp;G4975&amp;D4975&lt;&gt;'Funnel setup'!$K$3&amp;'Funnel setup'!$K$4&amp;'Funnel setup'!$K$6,".",IF(A4974=".",1,A4974+1))</f>
        <v>.</v>
      </c>
      <c r="B4975" s="244" t="str">
        <f t="shared" si="77"/>
        <v>Total Knee ReplacementProviderTHE SHREWSBURY AND TELFORD HOSPITAL NHS TRUST (RXW)EQ VAS</v>
      </c>
      <c r="C4975" t="s">
        <v>975</v>
      </c>
      <c r="D4975" t="s">
        <v>965</v>
      </c>
      <c r="E4975" t="s">
        <v>656</v>
      </c>
      <c r="F4975" t="s">
        <v>657</v>
      </c>
      <c r="G4975" t="s">
        <v>752</v>
      </c>
      <c r="H4975">
        <v>12</v>
      </c>
      <c r="I4975">
        <v>66.5</v>
      </c>
      <c r="J4975">
        <v>64.916700000000006</v>
      </c>
      <c r="K4975">
        <v>-1.5833299999999999</v>
      </c>
      <c r="L4975">
        <v>7</v>
      </c>
      <c r="M4975">
        <v>0</v>
      </c>
      <c r="N4975">
        <v>5</v>
      </c>
      <c r="O4975" t="s">
        <v>127</v>
      </c>
      <c r="P4975" t="s">
        <v>127</v>
      </c>
      <c r="Q4975" t="s">
        <v>127</v>
      </c>
    </row>
    <row r="4976" spans="1:17" x14ac:dyDescent="0.25">
      <c r="A4976" t="str">
        <f>IF(C4976&amp;G4976&amp;D4976&lt;&gt;'Funnel setup'!$K$3&amp;'Funnel setup'!$K$4&amp;'Funnel setup'!$K$6,".",IF(A4975=".",1,A4975+1))</f>
        <v>.</v>
      </c>
      <c r="B4976" s="244" t="str">
        <f t="shared" si="77"/>
        <v>Total Knee ReplacementProviderTHE YORKSHIRE CLINIC (NVC20)EQ VAS</v>
      </c>
      <c r="C4976" t="s">
        <v>975</v>
      </c>
      <c r="D4976" t="s">
        <v>965</v>
      </c>
      <c r="E4976" t="s">
        <v>662</v>
      </c>
      <c r="F4976" t="s">
        <v>663</v>
      </c>
      <c r="G4976" t="s">
        <v>752</v>
      </c>
      <c r="H4976">
        <v>35</v>
      </c>
      <c r="I4976">
        <v>63.1143</v>
      </c>
      <c r="J4976">
        <v>71.599999999999994</v>
      </c>
      <c r="K4976">
        <v>8.4857099999999992</v>
      </c>
      <c r="L4976">
        <v>25</v>
      </c>
      <c r="M4976">
        <v>2</v>
      </c>
      <c r="N4976">
        <v>8</v>
      </c>
      <c r="O4976">
        <v>74.413700000000006</v>
      </c>
      <c r="P4976">
        <v>9.1080100000000002</v>
      </c>
      <c r="Q4976">
        <v>15.639799999999999</v>
      </c>
    </row>
    <row r="4977" spans="1:17" x14ac:dyDescent="0.25">
      <c r="A4977" t="str">
        <f>IF(C4977&amp;G4977&amp;D4977&lt;&gt;'Funnel setup'!$K$3&amp;'Funnel setup'!$K$4&amp;'Funnel setup'!$K$6,".",IF(A4976=".",1,A4976+1))</f>
        <v>.</v>
      </c>
      <c r="B4977" s="244" t="str">
        <f t="shared" si="77"/>
        <v>Total Knee ReplacementProviderTHORNBURY HOSPITAL (NT440)EQ VAS</v>
      </c>
      <c r="C4977" t="s">
        <v>975</v>
      </c>
      <c r="D4977" t="s">
        <v>965</v>
      </c>
      <c r="E4977" t="s">
        <v>664</v>
      </c>
      <c r="F4977" t="s">
        <v>665</v>
      </c>
      <c r="G4977" t="s">
        <v>752</v>
      </c>
      <c r="H4977">
        <v>4</v>
      </c>
      <c r="I4977">
        <v>69.5</v>
      </c>
      <c r="J4977">
        <v>72</v>
      </c>
      <c r="K4977">
        <v>2.5</v>
      </c>
      <c r="L4977">
        <v>2</v>
      </c>
      <c r="M4977">
        <v>0</v>
      </c>
      <c r="N4977">
        <v>2</v>
      </c>
      <c r="O4977" t="s">
        <v>127</v>
      </c>
      <c r="P4977" t="s">
        <v>127</v>
      </c>
      <c r="Q4977" t="s">
        <v>127</v>
      </c>
    </row>
    <row r="4978" spans="1:17" x14ac:dyDescent="0.25">
      <c r="A4978" t="str">
        <f>IF(C4978&amp;G4978&amp;D4978&lt;&gt;'Funnel setup'!$K$3&amp;'Funnel setup'!$K$4&amp;'Funnel setup'!$K$6,".",IF(A4977=".",1,A4977+1))</f>
        <v>.</v>
      </c>
      <c r="B4978" s="244" t="str">
        <f t="shared" si="77"/>
        <v>Total Knee ReplacementProviderTHREE SHIRES HOSPITAL (NT441)EQ VAS</v>
      </c>
      <c r="C4978" t="s">
        <v>975</v>
      </c>
      <c r="D4978" t="s">
        <v>965</v>
      </c>
      <c r="E4978" t="s">
        <v>666</v>
      </c>
      <c r="F4978" t="s">
        <v>667</v>
      </c>
      <c r="G4978" t="s">
        <v>752</v>
      </c>
      <c r="H4978">
        <v>67</v>
      </c>
      <c r="I4978">
        <v>67.253699999999995</v>
      </c>
      <c r="J4978">
        <v>76.955200000000005</v>
      </c>
      <c r="K4978">
        <v>9.7014899999999997</v>
      </c>
      <c r="L4978">
        <v>42</v>
      </c>
      <c r="M4978">
        <v>3</v>
      </c>
      <c r="N4978">
        <v>22</v>
      </c>
      <c r="O4978">
        <v>73.152299999999997</v>
      </c>
      <c r="P4978">
        <v>7.8465999999999996</v>
      </c>
      <c r="Q4978">
        <v>16.202400000000001</v>
      </c>
    </row>
    <row r="4979" spans="1:17" x14ac:dyDescent="0.25">
      <c r="A4979" t="str">
        <f>IF(C4979&amp;G4979&amp;D4979&lt;&gt;'Funnel setup'!$K$3&amp;'Funnel setup'!$K$4&amp;'Funnel setup'!$K$6,".",IF(A4978=".",1,A4978+1))</f>
        <v>.</v>
      </c>
      <c r="B4979" s="244" t="str">
        <f t="shared" si="77"/>
        <v>Total Knee ReplacementProviderTORBAY AND SOUTH DEVON NHS FOUNDATION TRUST (RA9)EQ VAS</v>
      </c>
      <c r="C4979" t="s">
        <v>975</v>
      </c>
      <c r="D4979" t="s">
        <v>965</v>
      </c>
      <c r="E4979" t="s">
        <v>668</v>
      </c>
      <c r="F4979" t="s">
        <v>669</v>
      </c>
      <c r="G4979" t="s">
        <v>752</v>
      </c>
      <c r="H4979">
        <v>7</v>
      </c>
      <c r="I4979">
        <v>56.285699999999999</v>
      </c>
      <c r="J4979">
        <v>60.857100000000003</v>
      </c>
      <c r="K4979">
        <v>4.5714300000000003</v>
      </c>
      <c r="L4979">
        <v>3</v>
      </c>
      <c r="M4979">
        <v>1</v>
      </c>
      <c r="N4979">
        <v>3</v>
      </c>
      <c r="O4979" t="s">
        <v>127</v>
      </c>
      <c r="P4979" t="s">
        <v>127</v>
      </c>
      <c r="Q4979" t="s">
        <v>127</v>
      </c>
    </row>
    <row r="4980" spans="1:17" x14ac:dyDescent="0.25">
      <c r="A4980" t="str">
        <f>IF(C4980&amp;G4980&amp;D4980&lt;&gt;'Funnel setup'!$K$3&amp;'Funnel setup'!$K$4&amp;'Funnel setup'!$K$6,".",IF(A4979=".",1,A4979+1))</f>
        <v>.</v>
      </c>
      <c r="B4980" s="244" t="str">
        <f t="shared" si="77"/>
        <v>Total Knee ReplacementProviderUNITED LINCOLNSHIRE HOSPITALS NHS TRUST (RWD)EQ VAS</v>
      </c>
      <c r="C4980" t="s">
        <v>975</v>
      </c>
      <c r="D4980" t="s">
        <v>965</v>
      </c>
      <c r="E4980" t="s">
        <v>672</v>
      </c>
      <c r="F4980" t="s">
        <v>673</v>
      </c>
      <c r="G4980" t="s">
        <v>752</v>
      </c>
      <c r="H4980">
        <v>33</v>
      </c>
      <c r="I4980">
        <v>62.7879</v>
      </c>
      <c r="J4980">
        <v>72.030299999999997</v>
      </c>
      <c r="K4980">
        <v>9.2424199999999992</v>
      </c>
      <c r="L4980">
        <v>20</v>
      </c>
      <c r="M4980">
        <v>5</v>
      </c>
      <c r="N4980">
        <v>8</v>
      </c>
      <c r="O4980">
        <v>73.560900000000004</v>
      </c>
      <c r="P4980">
        <v>8.2551699999999997</v>
      </c>
      <c r="Q4980">
        <v>12.876300000000001</v>
      </c>
    </row>
    <row r="4981" spans="1:17" x14ac:dyDescent="0.25">
      <c r="A4981" t="str">
        <f>IF(C4981&amp;G4981&amp;D4981&lt;&gt;'Funnel setup'!$K$3&amp;'Funnel setup'!$K$4&amp;'Funnel setup'!$K$6,".",IF(A4980=".",1,A4980+1))</f>
        <v>.</v>
      </c>
      <c r="B4981" s="244" t="str">
        <f t="shared" si="77"/>
        <v>Total Knee ReplacementProviderUNIVERSITY COLLEGE LONDON HOSPITALS NHS FOUNDATION TRUST (RRV)EQ VAS</v>
      </c>
      <c r="C4981" t="s">
        <v>975</v>
      </c>
      <c r="D4981" t="s">
        <v>965</v>
      </c>
      <c r="E4981" t="s">
        <v>674</v>
      </c>
      <c r="F4981" t="s">
        <v>675</v>
      </c>
      <c r="G4981" t="s">
        <v>752</v>
      </c>
      <c r="H4981">
        <v>149</v>
      </c>
      <c r="I4981">
        <v>67.154399999999995</v>
      </c>
      <c r="J4981">
        <v>72.308700000000002</v>
      </c>
      <c r="K4981">
        <v>5.1543599999999996</v>
      </c>
      <c r="L4981">
        <v>75</v>
      </c>
      <c r="M4981">
        <v>23</v>
      </c>
      <c r="N4981">
        <v>51</v>
      </c>
      <c r="O4981">
        <v>73.151600000000002</v>
      </c>
      <c r="P4981">
        <v>7.8459199999999996</v>
      </c>
      <c r="Q4981">
        <v>16.457599999999999</v>
      </c>
    </row>
    <row r="4982" spans="1:17" x14ac:dyDescent="0.25">
      <c r="A4982" t="str">
        <f>IF(C4982&amp;G4982&amp;D4982&lt;&gt;'Funnel setup'!$K$3&amp;'Funnel setup'!$K$4&amp;'Funnel setup'!$K$6,".",IF(A4981=".",1,A4981+1))</f>
        <v>.</v>
      </c>
      <c r="B4982" s="244" t="str">
        <f t="shared" si="77"/>
        <v>Total Knee ReplacementProviderUNIVERSITY HOSPITAL SOUTHAMPTON NHS FOUNDATION TRUST (RHM)EQ VAS</v>
      </c>
      <c r="C4982" t="s">
        <v>975</v>
      </c>
      <c r="D4982" t="s">
        <v>965</v>
      </c>
      <c r="E4982" t="s">
        <v>676</v>
      </c>
      <c r="F4982" t="s">
        <v>677</v>
      </c>
      <c r="G4982" t="s">
        <v>752</v>
      </c>
      <c r="H4982">
        <v>93</v>
      </c>
      <c r="I4982">
        <v>64.645200000000003</v>
      </c>
      <c r="J4982">
        <v>73.8172</v>
      </c>
      <c r="K4982">
        <v>9.1720400000000009</v>
      </c>
      <c r="L4982">
        <v>67</v>
      </c>
      <c r="M4982">
        <v>12</v>
      </c>
      <c r="N4982">
        <v>14</v>
      </c>
      <c r="O4982">
        <v>76.426400000000001</v>
      </c>
      <c r="P4982">
        <v>11.1206</v>
      </c>
      <c r="Q4982">
        <v>15.7273</v>
      </c>
    </row>
    <row r="4983" spans="1:17" x14ac:dyDescent="0.25">
      <c r="A4983" t="str">
        <f>IF(C4983&amp;G4983&amp;D4983&lt;&gt;'Funnel setup'!$K$3&amp;'Funnel setup'!$K$4&amp;'Funnel setup'!$K$6,".",IF(A4982=".",1,A4982+1))</f>
        <v>.</v>
      </c>
      <c r="B4983" s="244" t="str">
        <f t="shared" si="77"/>
        <v>Total Knee ReplacementProviderUNIVERSITY HOSPITALS BRISTOL AND WESTON NHS FOUNDATION TRUST (RA7)EQ VAS</v>
      </c>
      <c r="C4983" t="s">
        <v>975</v>
      </c>
      <c r="D4983" t="s">
        <v>965</v>
      </c>
      <c r="E4983" t="s">
        <v>680</v>
      </c>
      <c r="F4983" t="s">
        <v>681</v>
      </c>
      <c r="G4983" t="s">
        <v>752</v>
      </c>
      <c r="H4983">
        <v>17</v>
      </c>
      <c r="I4983">
        <v>60.529400000000003</v>
      </c>
      <c r="J4983">
        <v>68.2941</v>
      </c>
      <c r="K4983">
        <v>7.76471</v>
      </c>
      <c r="L4983">
        <v>10</v>
      </c>
      <c r="M4983">
        <v>2</v>
      </c>
      <c r="N4983">
        <v>5</v>
      </c>
      <c r="O4983" t="s">
        <v>127</v>
      </c>
      <c r="P4983" t="s">
        <v>127</v>
      </c>
      <c r="Q4983" t="s">
        <v>127</v>
      </c>
    </row>
    <row r="4984" spans="1:17" x14ac:dyDescent="0.25">
      <c r="A4984" t="str">
        <f>IF(C4984&amp;G4984&amp;D4984&lt;&gt;'Funnel setup'!$K$3&amp;'Funnel setup'!$K$4&amp;'Funnel setup'!$K$6,".",IF(A4983=".",1,A4983+1))</f>
        <v>.</v>
      </c>
      <c r="B4984" s="244" t="str">
        <f t="shared" si="77"/>
        <v>Total Knee ReplacementProviderUNIVERSITY HOSPITALS COVENTRY AND WARWICKSHIRE NHS TRUST (RKB)EQ VAS</v>
      </c>
      <c r="C4984" t="s">
        <v>975</v>
      </c>
      <c r="D4984" t="s">
        <v>965</v>
      </c>
      <c r="E4984" t="s">
        <v>682</v>
      </c>
      <c r="F4984" t="s">
        <v>683</v>
      </c>
      <c r="G4984" t="s">
        <v>752</v>
      </c>
      <c r="H4984">
        <v>19</v>
      </c>
      <c r="I4984">
        <v>65.315799999999996</v>
      </c>
      <c r="J4984">
        <v>80.789500000000004</v>
      </c>
      <c r="K4984">
        <v>15.473699999999999</v>
      </c>
      <c r="L4984">
        <v>15</v>
      </c>
      <c r="M4984">
        <v>1</v>
      </c>
      <c r="N4984">
        <v>3</v>
      </c>
      <c r="O4984" t="s">
        <v>127</v>
      </c>
      <c r="P4984" t="s">
        <v>127</v>
      </c>
      <c r="Q4984" t="s">
        <v>127</v>
      </c>
    </row>
    <row r="4985" spans="1:17" x14ac:dyDescent="0.25">
      <c r="A4985" t="str">
        <f>IF(C4985&amp;G4985&amp;D4985&lt;&gt;'Funnel setup'!$K$3&amp;'Funnel setup'!$K$4&amp;'Funnel setup'!$K$6,".",IF(A4984=".",1,A4984+1))</f>
        <v>.</v>
      </c>
      <c r="B4985" s="244" t="str">
        <f t="shared" si="77"/>
        <v>Total Knee ReplacementProviderUNIVERSITY HOSPITAL DORSET NHS FUNDATION TRUST (R0D)EQ VAS</v>
      </c>
      <c r="C4985" t="s">
        <v>975</v>
      </c>
      <c r="D4985" t="s">
        <v>965</v>
      </c>
      <c r="E4985" t="s">
        <v>684</v>
      </c>
      <c r="F4985" t="s">
        <v>966</v>
      </c>
      <c r="G4985" t="s">
        <v>752</v>
      </c>
      <c r="H4985">
        <v>184</v>
      </c>
      <c r="I4985">
        <v>66.809799999999996</v>
      </c>
      <c r="J4985">
        <v>72.760900000000007</v>
      </c>
      <c r="K4985">
        <v>5.9510899999999998</v>
      </c>
      <c r="L4985">
        <v>103</v>
      </c>
      <c r="M4985">
        <v>26</v>
      </c>
      <c r="N4985">
        <v>55</v>
      </c>
      <c r="O4985">
        <v>72.362700000000004</v>
      </c>
      <c r="P4985">
        <v>7.0569499999999996</v>
      </c>
      <c r="Q4985">
        <v>17.5002</v>
      </c>
    </row>
    <row r="4986" spans="1:17" x14ac:dyDescent="0.25">
      <c r="A4986" t="str">
        <f>IF(C4986&amp;G4986&amp;D4986&lt;&gt;'Funnel setup'!$K$3&amp;'Funnel setup'!$K$4&amp;'Funnel setup'!$K$6,".",IF(A4985=".",1,A4985+1))</f>
        <v>.</v>
      </c>
      <c r="B4986" s="244" t="str">
        <f t="shared" si="77"/>
        <v>Total Knee ReplacementProviderUNIVERSITY HOSPITALS OF DERBY AND BURTON NHS FOUNDATION TRUST (RTG)EQ VAS</v>
      </c>
      <c r="C4986" t="s">
        <v>975</v>
      </c>
      <c r="D4986" t="s">
        <v>965</v>
      </c>
      <c r="E4986" t="s">
        <v>686</v>
      </c>
      <c r="F4986" t="s">
        <v>687</v>
      </c>
      <c r="G4986" t="s">
        <v>752</v>
      </c>
      <c r="H4986">
        <v>347</v>
      </c>
      <c r="I4986">
        <v>61.020200000000003</v>
      </c>
      <c r="J4986">
        <v>72.478399999999993</v>
      </c>
      <c r="K4986">
        <v>11.4582</v>
      </c>
      <c r="L4986">
        <v>220</v>
      </c>
      <c r="M4986">
        <v>44</v>
      </c>
      <c r="N4986">
        <v>83</v>
      </c>
      <c r="O4986">
        <v>74.093400000000003</v>
      </c>
      <c r="P4986">
        <v>8.7876399999999997</v>
      </c>
      <c r="Q4986">
        <v>17</v>
      </c>
    </row>
    <row r="4987" spans="1:17" x14ac:dyDescent="0.25">
      <c r="A4987" t="str">
        <f>IF(C4987&amp;G4987&amp;D4987&lt;&gt;'Funnel setup'!$K$3&amp;'Funnel setup'!$K$4&amp;'Funnel setup'!$K$6,".",IF(A4986=".",1,A4986+1))</f>
        <v>.</v>
      </c>
      <c r="B4987" s="244" t="str">
        <f t="shared" si="77"/>
        <v>Total Knee ReplacementProviderUNIVERSITY HOSPITALS OF LEICESTER NHS TRUST (RWE)EQ VAS</v>
      </c>
      <c r="C4987" t="s">
        <v>975</v>
      </c>
      <c r="D4987" t="s">
        <v>965</v>
      </c>
      <c r="E4987" t="s">
        <v>688</v>
      </c>
      <c r="F4987" t="s">
        <v>689</v>
      </c>
      <c r="G4987" t="s">
        <v>752</v>
      </c>
      <c r="H4987">
        <v>173</v>
      </c>
      <c r="I4987">
        <v>56.531799999999997</v>
      </c>
      <c r="J4987">
        <v>68.468199999999996</v>
      </c>
      <c r="K4987">
        <v>11.936400000000001</v>
      </c>
      <c r="L4987">
        <v>109</v>
      </c>
      <c r="M4987">
        <v>18</v>
      </c>
      <c r="N4987">
        <v>46</v>
      </c>
      <c r="O4987">
        <v>73.873599999999996</v>
      </c>
      <c r="P4987">
        <v>8.5678999999999998</v>
      </c>
      <c r="Q4987">
        <v>18.765699999999999</v>
      </c>
    </row>
    <row r="4988" spans="1:17" x14ac:dyDescent="0.25">
      <c r="A4988" t="str">
        <f>IF(C4988&amp;G4988&amp;D4988&lt;&gt;'Funnel setup'!$K$3&amp;'Funnel setup'!$K$4&amp;'Funnel setup'!$K$6,".",IF(A4987=".",1,A4987+1))</f>
        <v>.</v>
      </c>
      <c r="B4988" s="244" t="str">
        <f t="shared" si="77"/>
        <v>Total Knee ReplacementProviderUNIVERSITY HOSPITALS OF MORECAMBE BAY NHS FOUNDATION TRUST (RTX)EQ VAS</v>
      </c>
      <c r="C4988" t="s">
        <v>975</v>
      </c>
      <c r="D4988" t="s">
        <v>965</v>
      </c>
      <c r="E4988" t="s">
        <v>690</v>
      </c>
      <c r="F4988" t="s">
        <v>691</v>
      </c>
      <c r="G4988" t="s">
        <v>752</v>
      </c>
      <c r="H4988">
        <v>152</v>
      </c>
      <c r="I4988">
        <v>65.289500000000004</v>
      </c>
      <c r="J4988">
        <v>73.75</v>
      </c>
      <c r="K4988">
        <v>8.4605300000000003</v>
      </c>
      <c r="L4988">
        <v>93</v>
      </c>
      <c r="M4988">
        <v>16</v>
      </c>
      <c r="N4988">
        <v>43</v>
      </c>
      <c r="O4988">
        <v>73.509600000000006</v>
      </c>
      <c r="P4988">
        <v>8.2039200000000001</v>
      </c>
      <c r="Q4988">
        <v>17.017199999999999</v>
      </c>
    </row>
    <row r="4989" spans="1:17" x14ac:dyDescent="0.25">
      <c r="A4989" t="str">
        <f>IF(C4989&amp;G4989&amp;D4989&lt;&gt;'Funnel setup'!$K$3&amp;'Funnel setup'!$K$4&amp;'Funnel setup'!$K$6,".",IF(A4988=".",1,A4988+1))</f>
        <v>.</v>
      </c>
      <c r="B4989" s="244" t="str">
        <f t="shared" si="77"/>
        <v>Total Knee ReplacementProviderUNIVERSITY HOSPITALS OF NORTH MIDLANDS NHS TRUST (RJE)EQ VAS</v>
      </c>
      <c r="C4989" t="s">
        <v>975</v>
      </c>
      <c r="D4989" t="s">
        <v>965</v>
      </c>
      <c r="E4989" t="s">
        <v>692</v>
      </c>
      <c r="F4989" t="s">
        <v>693</v>
      </c>
      <c r="G4989" t="s">
        <v>752</v>
      </c>
      <c r="H4989">
        <v>18</v>
      </c>
      <c r="I4989">
        <v>61.666699999999999</v>
      </c>
      <c r="J4989">
        <v>65.222200000000001</v>
      </c>
      <c r="K4989">
        <v>3.5555599999999998</v>
      </c>
      <c r="L4989">
        <v>11</v>
      </c>
      <c r="M4989">
        <v>1</v>
      </c>
      <c r="N4989">
        <v>6</v>
      </c>
      <c r="O4989" t="s">
        <v>127</v>
      </c>
      <c r="P4989" t="s">
        <v>127</v>
      </c>
      <c r="Q4989" t="s">
        <v>127</v>
      </c>
    </row>
    <row r="4990" spans="1:17" x14ac:dyDescent="0.25">
      <c r="A4990" t="str">
        <f>IF(C4990&amp;G4990&amp;D4990&lt;&gt;'Funnel setup'!$K$3&amp;'Funnel setup'!$K$4&amp;'Funnel setup'!$K$6,".",IF(A4989=".",1,A4989+1))</f>
        <v>.</v>
      </c>
      <c r="B4990" s="244" t="str">
        <f t="shared" si="77"/>
        <v>Total Knee ReplacementProviderUNIVERSITY HOSPITALS PLYMOUTH NHS TRUST (RK9)EQ VAS</v>
      </c>
      <c r="C4990" t="s">
        <v>975</v>
      </c>
      <c r="D4990" t="s">
        <v>965</v>
      </c>
      <c r="E4990" t="s">
        <v>694</v>
      </c>
      <c r="F4990" t="s">
        <v>695</v>
      </c>
      <c r="G4990" t="s">
        <v>752</v>
      </c>
      <c r="H4990">
        <v>4</v>
      </c>
      <c r="I4990">
        <v>32.5</v>
      </c>
      <c r="J4990">
        <v>51.25</v>
      </c>
      <c r="K4990">
        <v>18.75</v>
      </c>
      <c r="L4990">
        <v>2</v>
      </c>
      <c r="M4990">
        <v>0</v>
      </c>
      <c r="N4990">
        <v>2</v>
      </c>
      <c r="O4990" t="s">
        <v>127</v>
      </c>
      <c r="P4990" t="s">
        <v>127</v>
      </c>
      <c r="Q4990" t="s">
        <v>127</v>
      </c>
    </row>
    <row r="4991" spans="1:17" x14ac:dyDescent="0.25">
      <c r="A4991" t="str">
        <f>IF(C4991&amp;G4991&amp;D4991&lt;&gt;'Funnel setup'!$K$3&amp;'Funnel setup'!$K$4&amp;'Funnel setup'!$K$6,".",IF(A4990=".",1,A4990+1))</f>
        <v>.</v>
      </c>
      <c r="B4991" s="244" t="str">
        <f t="shared" si="77"/>
        <v>Total Knee ReplacementProviderUNIVERSITY HOSPITALS SUSSEX NHS FOUNDATION TRUST (RYR)EQ VAS</v>
      </c>
      <c r="C4991" t="s">
        <v>975</v>
      </c>
      <c r="D4991" t="s">
        <v>965</v>
      </c>
      <c r="E4991" t="s">
        <v>696</v>
      </c>
      <c r="F4991" t="s">
        <v>697</v>
      </c>
      <c r="G4991" t="s">
        <v>752</v>
      </c>
      <c r="H4991">
        <v>127</v>
      </c>
      <c r="I4991">
        <v>62.724400000000003</v>
      </c>
      <c r="J4991">
        <v>71.842500000000001</v>
      </c>
      <c r="K4991">
        <v>9.1181099999999997</v>
      </c>
      <c r="L4991">
        <v>82</v>
      </c>
      <c r="M4991">
        <v>10</v>
      </c>
      <c r="N4991">
        <v>35</v>
      </c>
      <c r="O4991">
        <v>72.328999999999994</v>
      </c>
      <c r="P4991">
        <v>7.0232700000000001</v>
      </c>
      <c r="Q4991">
        <v>17.5503</v>
      </c>
    </row>
    <row r="4992" spans="1:17" x14ac:dyDescent="0.25">
      <c r="A4992" t="str">
        <f>IF(C4992&amp;G4992&amp;D4992&lt;&gt;'Funnel setup'!$K$3&amp;'Funnel setup'!$K$4&amp;'Funnel setup'!$K$6,".",IF(A4991=".",1,A4991+1))</f>
        <v>.</v>
      </c>
      <c r="B4992" s="244" t="str">
        <f t="shared" si="77"/>
        <v>Total Knee ReplacementProviderWALSALL HEALTHCARE NHS TRUST (RBK)EQ VAS</v>
      </c>
      <c r="C4992" t="s">
        <v>975</v>
      </c>
      <c r="D4992" t="s">
        <v>965</v>
      </c>
      <c r="E4992" t="s">
        <v>698</v>
      </c>
      <c r="F4992" t="s">
        <v>699</v>
      </c>
      <c r="G4992" t="s">
        <v>752</v>
      </c>
      <c r="H4992">
        <v>8</v>
      </c>
      <c r="I4992">
        <v>77.125</v>
      </c>
      <c r="J4992">
        <v>75.5</v>
      </c>
      <c r="K4992">
        <v>-1.625</v>
      </c>
      <c r="L4992">
        <v>5</v>
      </c>
      <c r="M4992">
        <v>0</v>
      </c>
      <c r="N4992">
        <v>3</v>
      </c>
      <c r="O4992" t="s">
        <v>127</v>
      </c>
      <c r="P4992" t="s">
        <v>127</v>
      </c>
      <c r="Q4992" t="s">
        <v>127</v>
      </c>
    </row>
    <row r="4993" spans="1:17" x14ac:dyDescent="0.25">
      <c r="A4993" t="str">
        <f>IF(C4993&amp;G4993&amp;D4993&lt;&gt;'Funnel setup'!$K$3&amp;'Funnel setup'!$K$4&amp;'Funnel setup'!$K$6,".",IF(A4992=".",1,A4992+1))</f>
        <v>.</v>
      </c>
      <c r="B4993" s="244" t="str">
        <f t="shared" si="77"/>
        <v>Total Knee ReplacementProviderWARRINGTON AND HALTON TEACHING HOSPITALS NHS FOUNDATION TRUST (RWW)EQ VAS</v>
      </c>
      <c r="C4993" t="s">
        <v>975</v>
      </c>
      <c r="D4993" t="s">
        <v>965</v>
      </c>
      <c r="E4993" t="s">
        <v>700</v>
      </c>
      <c r="F4993" t="s">
        <v>701</v>
      </c>
      <c r="G4993" t="s">
        <v>752</v>
      </c>
      <c r="H4993">
        <v>29</v>
      </c>
      <c r="I4993">
        <v>66.172399999999996</v>
      </c>
      <c r="J4993">
        <v>67.793099999999995</v>
      </c>
      <c r="K4993">
        <v>1.62069</v>
      </c>
      <c r="L4993">
        <v>15</v>
      </c>
      <c r="M4993">
        <v>3</v>
      </c>
      <c r="N4993">
        <v>11</v>
      </c>
      <c r="O4993" t="s">
        <v>127</v>
      </c>
      <c r="P4993" t="s">
        <v>127</v>
      </c>
      <c r="Q4993" t="s">
        <v>127</v>
      </c>
    </row>
    <row r="4994" spans="1:17" x14ac:dyDescent="0.25">
      <c r="A4994" t="str">
        <f>IF(C4994&amp;G4994&amp;D4994&lt;&gt;'Funnel setup'!$K$3&amp;'Funnel setup'!$K$4&amp;'Funnel setup'!$K$6,".",IF(A4993=".",1,A4993+1))</f>
        <v>.</v>
      </c>
      <c r="B4994" s="244" t="str">
        <f t="shared" ref="B4994:B5057" si="78">C4994&amp;D4994&amp;F4994&amp;G4994</f>
        <v>Total Knee ReplacementProviderWEST HERTFORDSHIRE TEACHING HOSPITALS NHS TRUST (RWG)EQ VAS</v>
      </c>
      <c r="C4994" t="s">
        <v>975</v>
      </c>
      <c r="D4994" t="s">
        <v>965</v>
      </c>
      <c r="E4994" t="s">
        <v>702</v>
      </c>
      <c r="F4994" t="s">
        <v>703</v>
      </c>
      <c r="G4994" t="s">
        <v>752</v>
      </c>
      <c r="H4994">
        <v>74</v>
      </c>
      <c r="I4994">
        <v>65.621600000000001</v>
      </c>
      <c r="J4994">
        <v>72.5</v>
      </c>
      <c r="K4994">
        <v>6.8783799999999999</v>
      </c>
      <c r="L4994">
        <v>44</v>
      </c>
      <c r="M4994">
        <v>8</v>
      </c>
      <c r="N4994">
        <v>22</v>
      </c>
      <c r="O4994">
        <v>72.475300000000004</v>
      </c>
      <c r="P4994">
        <v>7.1695399999999996</v>
      </c>
      <c r="Q4994">
        <v>16.296500000000002</v>
      </c>
    </row>
    <row r="4995" spans="1:17" x14ac:dyDescent="0.25">
      <c r="A4995" t="str">
        <f>IF(C4995&amp;G4995&amp;D4995&lt;&gt;'Funnel setup'!$K$3&amp;'Funnel setup'!$K$4&amp;'Funnel setup'!$K$6,".",IF(A4994=".",1,A4994+1))</f>
        <v>.</v>
      </c>
      <c r="B4995" s="244" t="str">
        <f t="shared" si="78"/>
        <v>Total Knee ReplacementProviderWEST MIDLANDS HOSPITAL (NVC21)EQ VAS</v>
      </c>
      <c r="C4995" t="s">
        <v>975</v>
      </c>
      <c r="D4995" t="s">
        <v>965</v>
      </c>
      <c r="E4995" t="s">
        <v>704</v>
      </c>
      <c r="F4995" t="s">
        <v>705</v>
      </c>
      <c r="G4995" t="s">
        <v>752</v>
      </c>
      <c r="H4995">
        <v>61</v>
      </c>
      <c r="I4995">
        <v>57.934399999999997</v>
      </c>
      <c r="J4995">
        <v>73.147499999999994</v>
      </c>
      <c r="K4995">
        <v>15.213100000000001</v>
      </c>
      <c r="L4995">
        <v>46</v>
      </c>
      <c r="M4995">
        <v>4</v>
      </c>
      <c r="N4995">
        <v>11</v>
      </c>
      <c r="O4995">
        <v>76.521600000000007</v>
      </c>
      <c r="P4995">
        <v>11.2159</v>
      </c>
      <c r="Q4995">
        <v>18.275200000000002</v>
      </c>
    </row>
    <row r="4996" spans="1:17" x14ac:dyDescent="0.25">
      <c r="A4996" t="str">
        <f>IF(C4996&amp;G4996&amp;D4996&lt;&gt;'Funnel setup'!$K$3&amp;'Funnel setup'!$K$4&amp;'Funnel setup'!$K$6,".",IF(A4995=".",1,A4995+1))</f>
        <v>.</v>
      </c>
      <c r="B4996" s="244" t="str">
        <f t="shared" si="78"/>
        <v>Total Knee ReplacementProviderWEST SUFFOLK NHS FOUNDATION TRUST (RGR)EQ VAS</v>
      </c>
      <c r="C4996" t="s">
        <v>975</v>
      </c>
      <c r="D4996" t="s">
        <v>965</v>
      </c>
      <c r="E4996" t="s">
        <v>706</v>
      </c>
      <c r="F4996" t="s">
        <v>707</v>
      </c>
      <c r="G4996" t="s">
        <v>752</v>
      </c>
      <c r="H4996">
        <v>71</v>
      </c>
      <c r="I4996">
        <v>62.563400000000001</v>
      </c>
      <c r="J4996">
        <v>70.450699999999998</v>
      </c>
      <c r="K4996">
        <v>7.8873199999999999</v>
      </c>
      <c r="L4996">
        <v>45</v>
      </c>
      <c r="M4996">
        <v>9</v>
      </c>
      <c r="N4996">
        <v>17</v>
      </c>
      <c r="O4996">
        <v>71.787599999999998</v>
      </c>
      <c r="P4996">
        <v>6.4818499999999997</v>
      </c>
      <c r="Q4996">
        <v>17.250499999999999</v>
      </c>
    </row>
    <row r="4997" spans="1:17" x14ac:dyDescent="0.25">
      <c r="A4997" t="str">
        <f>IF(C4997&amp;G4997&amp;D4997&lt;&gt;'Funnel setup'!$K$3&amp;'Funnel setup'!$K$4&amp;'Funnel setup'!$K$6,".",IF(A4996=".",1,A4996+1))</f>
        <v>.</v>
      </c>
      <c r="B4997" s="244" t="str">
        <f t="shared" si="78"/>
        <v>Total Knee ReplacementProviderWINFIELD HOSPITAL (NVC22)EQ VAS</v>
      </c>
      <c r="C4997" t="s">
        <v>975</v>
      </c>
      <c r="D4997" t="s">
        <v>965</v>
      </c>
      <c r="E4997" t="s">
        <v>710</v>
      </c>
      <c r="F4997" t="s">
        <v>711</v>
      </c>
      <c r="G4997" t="s">
        <v>752</v>
      </c>
      <c r="H4997">
        <v>51</v>
      </c>
      <c r="I4997">
        <v>71.470600000000005</v>
      </c>
      <c r="J4997">
        <v>81.235299999999995</v>
      </c>
      <c r="K4997">
        <v>9.7647099999999991</v>
      </c>
      <c r="L4997">
        <v>34</v>
      </c>
      <c r="M4997">
        <v>6</v>
      </c>
      <c r="N4997">
        <v>11</v>
      </c>
      <c r="O4997">
        <v>76.870800000000003</v>
      </c>
      <c r="P4997">
        <v>11.565099999999999</v>
      </c>
      <c r="Q4997">
        <v>16.419699999999999</v>
      </c>
    </row>
    <row r="4998" spans="1:17" x14ac:dyDescent="0.25">
      <c r="A4998" t="str">
        <f>IF(C4998&amp;G4998&amp;D4998&lt;&gt;'Funnel setup'!$K$3&amp;'Funnel setup'!$K$4&amp;'Funnel setup'!$K$6,".",IF(A4997=".",1,A4997+1))</f>
        <v>.</v>
      </c>
      <c r="B4998" s="244" t="str">
        <f t="shared" si="78"/>
        <v>Total Knee ReplacementProviderWINTERBOURNE HOSPITAL (NT443)EQ VAS</v>
      </c>
      <c r="C4998" t="s">
        <v>975</v>
      </c>
      <c r="D4998" t="s">
        <v>965</v>
      </c>
      <c r="E4998" t="s">
        <v>712</v>
      </c>
      <c r="F4998" t="s">
        <v>713</v>
      </c>
      <c r="G4998" t="s">
        <v>752</v>
      </c>
      <c r="H4998">
        <v>35</v>
      </c>
      <c r="I4998">
        <v>65.8857</v>
      </c>
      <c r="J4998">
        <v>80.257099999999994</v>
      </c>
      <c r="K4998">
        <v>14.3714</v>
      </c>
      <c r="L4998">
        <v>23</v>
      </c>
      <c r="M4998">
        <v>7</v>
      </c>
      <c r="N4998">
        <v>5</v>
      </c>
      <c r="O4998">
        <v>78.408600000000007</v>
      </c>
      <c r="P4998">
        <v>13.1029</v>
      </c>
      <c r="Q4998">
        <v>12.6989</v>
      </c>
    </row>
    <row r="4999" spans="1:17" x14ac:dyDescent="0.25">
      <c r="A4999" t="str">
        <f>IF(C4999&amp;G4999&amp;D4999&lt;&gt;'Funnel setup'!$K$3&amp;'Funnel setup'!$K$4&amp;'Funnel setup'!$K$6,".",IF(A4998=".",1,A4998+1))</f>
        <v>.</v>
      </c>
      <c r="B4999" s="244" t="str">
        <f t="shared" si="78"/>
        <v>Total Knee ReplacementProviderWIRRAL UNIVERSITY TEACHING HOSPITAL NHS FOUNDATION TRUST (RBL)EQ VAS</v>
      </c>
      <c r="C4999" t="s">
        <v>975</v>
      </c>
      <c r="D4999" t="s">
        <v>965</v>
      </c>
      <c r="E4999" t="s">
        <v>714</v>
      </c>
      <c r="F4999" t="s">
        <v>715</v>
      </c>
      <c r="G4999" t="s">
        <v>752</v>
      </c>
      <c r="H4999">
        <v>78</v>
      </c>
      <c r="I4999">
        <v>68.935900000000004</v>
      </c>
      <c r="J4999">
        <v>73.448700000000002</v>
      </c>
      <c r="K4999">
        <v>4.5128199999999996</v>
      </c>
      <c r="L4999">
        <v>41</v>
      </c>
      <c r="M4999">
        <v>7</v>
      </c>
      <c r="N4999">
        <v>30</v>
      </c>
      <c r="O4999">
        <v>71.808499999999995</v>
      </c>
      <c r="P4999">
        <v>6.5027799999999996</v>
      </c>
      <c r="Q4999">
        <v>19.664100000000001</v>
      </c>
    </row>
    <row r="5000" spans="1:17" x14ac:dyDescent="0.25">
      <c r="A5000" t="str">
        <f>IF(C5000&amp;G5000&amp;D5000&lt;&gt;'Funnel setup'!$K$3&amp;'Funnel setup'!$K$4&amp;'Funnel setup'!$K$6,".",IF(A4999=".",1,A4999+1))</f>
        <v>.</v>
      </c>
      <c r="B5000" s="244" t="str">
        <f t="shared" si="78"/>
        <v>Total Knee ReplacementProviderWOODLAND HOSPITAL (NVC23)EQ VAS</v>
      </c>
      <c r="C5000" t="s">
        <v>975</v>
      </c>
      <c r="D5000" t="s">
        <v>965</v>
      </c>
      <c r="E5000" t="s">
        <v>716</v>
      </c>
      <c r="F5000" t="s">
        <v>717</v>
      </c>
      <c r="G5000" t="s">
        <v>752</v>
      </c>
      <c r="H5000">
        <v>58</v>
      </c>
      <c r="I5000">
        <v>57.913800000000002</v>
      </c>
      <c r="J5000">
        <v>73.948300000000003</v>
      </c>
      <c r="K5000">
        <v>16.034500000000001</v>
      </c>
      <c r="L5000">
        <v>41</v>
      </c>
      <c r="M5000">
        <v>3</v>
      </c>
      <c r="N5000">
        <v>14</v>
      </c>
      <c r="O5000">
        <v>73.598399999999998</v>
      </c>
      <c r="P5000">
        <v>8.2927</v>
      </c>
      <c r="Q5000">
        <v>18.363</v>
      </c>
    </row>
    <row r="5001" spans="1:17" x14ac:dyDescent="0.25">
      <c r="A5001" t="str">
        <f>IF(C5001&amp;G5001&amp;D5001&lt;&gt;'Funnel setup'!$K$3&amp;'Funnel setup'!$K$4&amp;'Funnel setup'!$K$6,".",IF(A5000=".",1,A5000+1))</f>
        <v>.</v>
      </c>
      <c r="B5001" s="244" t="str">
        <f t="shared" si="78"/>
        <v>Total Knee ReplacementProviderWOODLANDS HOSPITAL (NT457)EQ VAS</v>
      </c>
      <c r="C5001" t="s">
        <v>975</v>
      </c>
      <c r="D5001" t="s">
        <v>965</v>
      </c>
      <c r="E5001" t="s">
        <v>718</v>
      </c>
      <c r="F5001" t="s">
        <v>719</v>
      </c>
      <c r="G5001" t="s">
        <v>752</v>
      </c>
      <c r="H5001">
        <v>79</v>
      </c>
      <c r="I5001">
        <v>67.227800000000002</v>
      </c>
      <c r="J5001">
        <v>75.784800000000004</v>
      </c>
      <c r="K5001">
        <v>8.5569600000000001</v>
      </c>
      <c r="L5001">
        <v>50</v>
      </c>
      <c r="M5001">
        <v>14</v>
      </c>
      <c r="N5001">
        <v>15</v>
      </c>
      <c r="O5001">
        <v>73.193600000000004</v>
      </c>
      <c r="P5001">
        <v>7.8879000000000001</v>
      </c>
      <c r="Q5001">
        <v>13.773</v>
      </c>
    </row>
    <row r="5002" spans="1:17" x14ac:dyDescent="0.25">
      <c r="A5002" t="str">
        <f>IF(C5002&amp;G5002&amp;D5002&lt;&gt;'Funnel setup'!$K$3&amp;'Funnel setup'!$K$4&amp;'Funnel setup'!$K$6,".",IF(A5001=".",1,A5001+1))</f>
        <v>.</v>
      </c>
      <c r="B5002" s="244" t="str">
        <f t="shared" si="78"/>
        <v>Total Knee ReplacementProviderWOODTHORPE HOSPITAL (NVC40)EQ VAS</v>
      </c>
      <c r="C5002" t="s">
        <v>975</v>
      </c>
      <c r="D5002" t="s">
        <v>965</v>
      </c>
      <c r="E5002" t="s">
        <v>720</v>
      </c>
      <c r="F5002" t="s">
        <v>721</v>
      </c>
      <c r="G5002" t="s">
        <v>752</v>
      </c>
      <c r="H5002">
        <v>108</v>
      </c>
      <c r="I5002">
        <v>65.881799999999998</v>
      </c>
      <c r="J5002">
        <v>73</v>
      </c>
      <c r="K5002">
        <v>7.1181799999999997</v>
      </c>
      <c r="L5002">
        <v>64</v>
      </c>
      <c r="M5002">
        <v>14</v>
      </c>
      <c r="N5002">
        <v>30</v>
      </c>
      <c r="O5002">
        <v>71.427400000000006</v>
      </c>
      <c r="P5002">
        <v>6.1216499999999998</v>
      </c>
      <c r="Q5002">
        <v>17.590299999999999</v>
      </c>
    </row>
    <row r="5003" spans="1:17" x14ac:dyDescent="0.25">
      <c r="A5003" t="str">
        <f>IF(C5003&amp;G5003&amp;D5003&lt;&gt;'Funnel setup'!$K$3&amp;'Funnel setup'!$K$4&amp;'Funnel setup'!$K$6,".",IF(A5002=".",1,A5002+1))</f>
        <v>.</v>
      </c>
      <c r="B5003" s="244" t="str">
        <f t="shared" si="78"/>
        <v>Total Knee ReplacementProviderWORCESTERSHIRE ACUTE HOSPITALS NHS TRUST (RWP)EQ VAS</v>
      </c>
      <c r="C5003" t="s">
        <v>975</v>
      </c>
      <c r="D5003" t="s">
        <v>965</v>
      </c>
      <c r="E5003" t="s">
        <v>722</v>
      </c>
      <c r="F5003" t="s">
        <v>723</v>
      </c>
      <c r="G5003" t="s">
        <v>752</v>
      </c>
      <c r="H5003">
        <v>48</v>
      </c>
      <c r="I5003">
        <v>67.916700000000006</v>
      </c>
      <c r="J5003">
        <v>66.1875</v>
      </c>
      <c r="K5003">
        <v>-1.7291700000000001</v>
      </c>
      <c r="L5003">
        <v>21</v>
      </c>
      <c r="M5003">
        <v>3</v>
      </c>
      <c r="N5003">
        <v>24</v>
      </c>
      <c r="O5003">
        <v>65.903899999999993</v>
      </c>
      <c r="P5003">
        <v>0.59815200000000002</v>
      </c>
      <c r="Q5003">
        <v>24.579799999999999</v>
      </c>
    </row>
    <row r="5004" spans="1:17" x14ac:dyDescent="0.25">
      <c r="A5004" t="str">
        <f>IF(C5004&amp;G5004&amp;D5004&lt;&gt;'Funnel setup'!$K$3&amp;'Funnel setup'!$K$4&amp;'Funnel setup'!$K$6,".",IF(A5003=".",1,A5003+1))</f>
        <v>.</v>
      </c>
      <c r="B5004" s="244" t="str">
        <f t="shared" si="78"/>
        <v>Total Knee ReplacementProviderWRIGHTINGTON, WIGAN AND LEIGH NHS FOUNDATION TRUST (RRF)EQ VAS</v>
      </c>
      <c r="C5004" t="s">
        <v>975</v>
      </c>
      <c r="D5004" t="s">
        <v>965</v>
      </c>
      <c r="E5004" t="s">
        <v>724</v>
      </c>
      <c r="F5004" t="s">
        <v>725</v>
      </c>
      <c r="G5004" t="s">
        <v>752</v>
      </c>
      <c r="H5004">
        <v>10</v>
      </c>
      <c r="I5004">
        <v>70.099999999999994</v>
      </c>
      <c r="J5004">
        <v>73.400000000000006</v>
      </c>
      <c r="K5004">
        <v>3.3</v>
      </c>
      <c r="L5004">
        <v>5</v>
      </c>
      <c r="M5004">
        <v>0</v>
      </c>
      <c r="N5004">
        <v>5</v>
      </c>
      <c r="O5004" t="s">
        <v>127</v>
      </c>
      <c r="P5004" t="s">
        <v>127</v>
      </c>
      <c r="Q5004" t="s">
        <v>127</v>
      </c>
    </row>
    <row r="5005" spans="1:17" x14ac:dyDescent="0.25">
      <c r="A5005" t="str">
        <f>IF(C5005&amp;G5005&amp;D5005&lt;&gt;'Funnel setup'!$K$3&amp;'Funnel setup'!$K$4&amp;'Funnel setup'!$K$6,".",IF(A5004=".",1,A5004+1))</f>
        <v>.</v>
      </c>
      <c r="B5005" s="244" t="str">
        <f t="shared" si="78"/>
        <v>Total Knee ReplacementProviderWYE VALLEY NHS TRUST (RLQ)EQ VAS</v>
      </c>
      <c r="C5005" t="s">
        <v>975</v>
      </c>
      <c r="D5005" t="s">
        <v>965</v>
      </c>
      <c r="E5005" t="s">
        <v>726</v>
      </c>
      <c r="F5005" t="s">
        <v>727</v>
      </c>
      <c r="G5005" t="s">
        <v>752</v>
      </c>
      <c r="H5005">
        <v>32</v>
      </c>
      <c r="I5005">
        <v>69.406300000000002</v>
      </c>
      <c r="J5005">
        <v>74.5625</v>
      </c>
      <c r="K5005">
        <v>5.15625</v>
      </c>
      <c r="L5005">
        <v>17</v>
      </c>
      <c r="M5005">
        <v>5</v>
      </c>
      <c r="N5005">
        <v>10</v>
      </c>
      <c r="O5005">
        <v>73.116</v>
      </c>
      <c r="P5005">
        <v>7.8103300000000004</v>
      </c>
      <c r="Q5005">
        <v>17.631699999999999</v>
      </c>
    </row>
    <row r="5006" spans="1:17" x14ac:dyDescent="0.25">
      <c r="A5006" t="str">
        <f>IF(C5006&amp;G5006&amp;D5006&lt;&gt;'Funnel setup'!$K$3&amp;'Funnel setup'!$K$4&amp;'Funnel setup'!$K$6,".",IF(A5005=".",1,A5005+1))</f>
        <v>.</v>
      </c>
      <c r="B5006" s="244" t="str">
        <f t="shared" si="78"/>
        <v>Total Knee ReplacementProviderYEOVIL DISTRICT HOSPITAL NHS FOUNDATION TRUST (RA4)EQ VAS</v>
      </c>
      <c r="C5006" t="s">
        <v>975</v>
      </c>
      <c r="D5006" t="s">
        <v>965</v>
      </c>
      <c r="E5006" t="s">
        <v>728</v>
      </c>
      <c r="F5006" t="s">
        <v>729</v>
      </c>
      <c r="G5006" t="s">
        <v>752</v>
      </c>
      <c r="H5006" t="s">
        <v>968</v>
      </c>
      <c r="I5006" t="s">
        <v>968</v>
      </c>
      <c r="J5006" t="s">
        <v>968</v>
      </c>
      <c r="K5006" t="s">
        <v>968</v>
      </c>
      <c r="L5006" t="s">
        <v>968</v>
      </c>
      <c r="M5006" t="s">
        <v>968</v>
      </c>
      <c r="N5006" t="s">
        <v>968</v>
      </c>
      <c r="O5006" t="s">
        <v>968</v>
      </c>
      <c r="P5006" t="s">
        <v>968</v>
      </c>
      <c r="Q5006" t="s">
        <v>968</v>
      </c>
    </row>
    <row r="5007" spans="1:17" x14ac:dyDescent="0.25">
      <c r="A5007" t="str">
        <f>IF(C5007&amp;G5007&amp;D5007&lt;&gt;'Funnel setup'!$K$3&amp;'Funnel setup'!$K$4&amp;'Funnel setup'!$K$6,".",IF(A5006=".",1,A5006+1))</f>
        <v>.</v>
      </c>
      <c r="B5007" s="244" t="str">
        <f t="shared" si="78"/>
        <v>Total Knee ReplacementProviderSULIS HOSPITAL BATHEQ-5D Index</v>
      </c>
      <c r="C5007" t="s">
        <v>975</v>
      </c>
      <c r="D5007" t="s">
        <v>965</v>
      </c>
      <c r="E5007" t="s">
        <v>732</v>
      </c>
      <c r="F5007" t="s">
        <v>1325</v>
      </c>
      <c r="G5007" t="s">
        <v>963</v>
      </c>
      <c r="H5007">
        <v>35</v>
      </c>
      <c r="I5007">
        <v>0.49740000000000001</v>
      </c>
      <c r="J5007">
        <v>0.7742</v>
      </c>
      <c r="K5007">
        <v>0.27679999999999999</v>
      </c>
      <c r="L5007">
        <v>26</v>
      </c>
      <c r="M5007">
        <v>6</v>
      </c>
      <c r="N5007">
        <v>3</v>
      </c>
      <c r="O5007">
        <v>0.74939100000000003</v>
      </c>
      <c r="P5007">
        <v>0.32509399999999999</v>
      </c>
      <c r="Q5007">
        <v>0.17890200000000001</v>
      </c>
    </row>
    <row r="5008" spans="1:17" x14ac:dyDescent="0.25">
      <c r="A5008" t="str">
        <f>IF(C5008&amp;G5008&amp;D5008&lt;&gt;'Funnel setup'!$K$3&amp;'Funnel setup'!$K$4&amp;'Funnel setup'!$K$6,".",IF(A5007=".",1,A5007+1))</f>
        <v>.</v>
      </c>
      <c r="B5008" s="244" t="str">
        <f t="shared" si="78"/>
        <v>Total Knee ReplacementProviderAIREDALE NHS FOUNDATION TRUST (RCF)EQ-5D Index</v>
      </c>
      <c r="C5008" t="s">
        <v>975</v>
      </c>
      <c r="D5008" t="s">
        <v>965</v>
      </c>
      <c r="E5008" t="s">
        <v>125</v>
      </c>
      <c r="F5008" t="s">
        <v>126</v>
      </c>
      <c r="G5008" t="s">
        <v>963</v>
      </c>
      <c r="H5008">
        <v>31</v>
      </c>
      <c r="I5008">
        <v>0.36767699999999998</v>
      </c>
      <c r="J5008">
        <v>0.76371</v>
      </c>
      <c r="K5008">
        <v>0.396032</v>
      </c>
      <c r="L5008">
        <v>28</v>
      </c>
      <c r="M5008">
        <v>1</v>
      </c>
      <c r="N5008">
        <v>2</v>
      </c>
      <c r="O5008">
        <v>0.76301099999999999</v>
      </c>
      <c r="P5008">
        <v>0.33871400000000002</v>
      </c>
      <c r="Q5008">
        <v>0.288547</v>
      </c>
    </row>
    <row r="5009" spans="1:17" x14ac:dyDescent="0.25">
      <c r="A5009" t="str">
        <f>IF(C5009&amp;G5009&amp;D5009&lt;&gt;'Funnel setup'!$K$3&amp;'Funnel setup'!$K$4&amp;'Funnel setup'!$K$6,".",IF(A5008=".",1,A5008+1))</f>
        <v>.</v>
      </c>
      <c r="B5009" s="244" t="str">
        <f t="shared" si="78"/>
        <v>Total Knee ReplacementProviderALEXANDRA HOSPITAL (NT401)EQ-5D Index</v>
      </c>
      <c r="C5009" t="s">
        <v>975</v>
      </c>
      <c r="D5009" t="s">
        <v>965</v>
      </c>
      <c r="E5009" t="s">
        <v>130</v>
      </c>
      <c r="F5009" t="s">
        <v>131</v>
      </c>
      <c r="G5009" t="s">
        <v>963</v>
      </c>
      <c r="H5009">
        <v>46</v>
      </c>
      <c r="I5009">
        <v>0.44397799999999998</v>
      </c>
      <c r="J5009">
        <v>0.74171699999999996</v>
      </c>
      <c r="K5009">
        <v>0.29773899999999998</v>
      </c>
      <c r="L5009">
        <v>38</v>
      </c>
      <c r="M5009">
        <v>2</v>
      </c>
      <c r="N5009">
        <v>6</v>
      </c>
      <c r="O5009">
        <v>0.71784999999999999</v>
      </c>
      <c r="P5009">
        <v>0.29355300000000001</v>
      </c>
      <c r="Q5009">
        <v>0.23624400000000001</v>
      </c>
    </row>
    <row r="5010" spans="1:17" x14ac:dyDescent="0.25">
      <c r="A5010" t="str">
        <f>IF(C5010&amp;G5010&amp;D5010&lt;&gt;'Funnel setup'!$K$3&amp;'Funnel setup'!$K$4&amp;'Funnel setup'!$K$6,".",IF(A5009=".",1,A5009+1))</f>
        <v>.</v>
      </c>
      <c r="B5010" s="244" t="str">
        <f t="shared" si="78"/>
        <v>Total Knee ReplacementProviderASHFORD AND ST PETER'S HOSPITALS NHS FOUNDATION TRUST (RTK)EQ-5D Index</v>
      </c>
      <c r="C5010" t="s">
        <v>975</v>
      </c>
      <c r="D5010" t="s">
        <v>965</v>
      </c>
      <c r="E5010" t="s">
        <v>132</v>
      </c>
      <c r="F5010" t="s">
        <v>133</v>
      </c>
      <c r="G5010" t="s">
        <v>963</v>
      </c>
      <c r="H5010">
        <v>31</v>
      </c>
      <c r="I5010">
        <v>0.46100000000000002</v>
      </c>
      <c r="J5010">
        <v>0.80032300000000001</v>
      </c>
      <c r="K5010">
        <v>0.33932299999999999</v>
      </c>
      <c r="L5010">
        <v>24</v>
      </c>
      <c r="M5010">
        <v>5</v>
      </c>
      <c r="N5010">
        <v>2</v>
      </c>
      <c r="O5010">
        <v>0.77092000000000005</v>
      </c>
      <c r="P5010">
        <v>0.34662300000000001</v>
      </c>
      <c r="Q5010">
        <v>0.22237399999999999</v>
      </c>
    </row>
    <row r="5011" spans="1:17" x14ac:dyDescent="0.25">
      <c r="A5011" t="str">
        <f>IF(C5011&amp;G5011&amp;D5011&lt;&gt;'Funnel setup'!$K$3&amp;'Funnel setup'!$K$4&amp;'Funnel setup'!$K$6,".",IF(A5010=".",1,A5010+1))</f>
        <v>.</v>
      </c>
      <c r="B5011" s="244" t="str">
        <f t="shared" si="78"/>
        <v>Total Knee ReplacementProviderASHTEAD HOSPITAL (NVC01)EQ-5D Index</v>
      </c>
      <c r="C5011" t="s">
        <v>975</v>
      </c>
      <c r="D5011" t="s">
        <v>965</v>
      </c>
      <c r="E5011" t="s">
        <v>134</v>
      </c>
      <c r="F5011" t="s">
        <v>135</v>
      </c>
      <c r="G5011" t="s">
        <v>963</v>
      </c>
      <c r="H5011">
        <v>4</v>
      </c>
      <c r="I5011">
        <v>0.55200000000000005</v>
      </c>
      <c r="J5011">
        <v>1</v>
      </c>
      <c r="K5011">
        <v>0.44800000000000001</v>
      </c>
      <c r="L5011">
        <v>4</v>
      </c>
      <c r="M5011">
        <v>0</v>
      </c>
      <c r="N5011">
        <v>0</v>
      </c>
      <c r="O5011" t="s">
        <v>127</v>
      </c>
      <c r="P5011" t="s">
        <v>127</v>
      </c>
      <c r="Q5011" t="s">
        <v>127</v>
      </c>
    </row>
    <row r="5012" spans="1:17" x14ac:dyDescent="0.25">
      <c r="A5012" t="str">
        <f>IF(C5012&amp;G5012&amp;D5012&lt;&gt;'Funnel setup'!$K$3&amp;'Funnel setup'!$K$4&amp;'Funnel setup'!$K$6,".",IF(A5011=".",1,A5011+1))</f>
        <v>.</v>
      </c>
      <c r="B5012" s="244" t="str">
        <f t="shared" si="78"/>
        <v>Total Knee ReplacementProviderBARKING, HAVERING AND REDBRIDGE UNIVERSITY HOSPITALS NHS TRUST (RF4)EQ-5D Index</v>
      </c>
      <c r="C5012" t="s">
        <v>975</v>
      </c>
      <c r="D5012" t="s">
        <v>965</v>
      </c>
      <c r="E5012" t="s">
        <v>144</v>
      </c>
      <c r="F5012" t="s">
        <v>145</v>
      </c>
      <c r="G5012" t="s">
        <v>963</v>
      </c>
      <c r="H5012">
        <v>61</v>
      </c>
      <c r="I5012">
        <v>0.39750799999999997</v>
      </c>
      <c r="J5012">
        <v>0.71191800000000005</v>
      </c>
      <c r="K5012">
        <v>0.31441000000000002</v>
      </c>
      <c r="L5012">
        <v>44</v>
      </c>
      <c r="M5012">
        <v>10</v>
      </c>
      <c r="N5012">
        <v>7</v>
      </c>
      <c r="O5012">
        <v>0.74049200000000004</v>
      </c>
      <c r="P5012">
        <v>0.316195</v>
      </c>
      <c r="Q5012">
        <v>0.216192</v>
      </c>
    </row>
    <row r="5013" spans="1:17" x14ac:dyDescent="0.25">
      <c r="A5013" t="str">
        <f>IF(C5013&amp;G5013&amp;D5013&lt;&gt;'Funnel setup'!$K$3&amp;'Funnel setup'!$K$4&amp;'Funnel setup'!$K$6,".",IF(A5012=".",1,A5012+1))</f>
        <v>.</v>
      </c>
      <c r="B5013" s="244" t="str">
        <f t="shared" si="78"/>
        <v>Total Knee ReplacementProviderBARNSLEY HOSPITAL NHS FOUNDATION TRUST (RFF)EQ-5D Index</v>
      </c>
      <c r="C5013" t="s">
        <v>975</v>
      </c>
      <c r="D5013" t="s">
        <v>965</v>
      </c>
      <c r="E5013" t="s">
        <v>146</v>
      </c>
      <c r="F5013" t="s">
        <v>147</v>
      </c>
      <c r="G5013" t="s">
        <v>963</v>
      </c>
      <c r="H5013">
        <v>50</v>
      </c>
      <c r="I5013">
        <v>0.37019999999999997</v>
      </c>
      <c r="J5013">
        <v>0.65188000000000001</v>
      </c>
      <c r="K5013">
        <v>0.28167999999999999</v>
      </c>
      <c r="L5013">
        <v>36</v>
      </c>
      <c r="M5013">
        <v>6</v>
      </c>
      <c r="N5013">
        <v>8</v>
      </c>
      <c r="O5013">
        <v>0.67388599999999999</v>
      </c>
      <c r="P5013">
        <v>0.24958900000000001</v>
      </c>
      <c r="Q5013">
        <v>0.303037</v>
      </c>
    </row>
    <row r="5014" spans="1:17" x14ac:dyDescent="0.25">
      <c r="A5014" t="str">
        <f>IF(C5014&amp;G5014&amp;D5014&lt;&gt;'Funnel setup'!$K$3&amp;'Funnel setup'!$K$4&amp;'Funnel setup'!$K$6,".",IF(A5013=".",1,A5013+1))</f>
        <v>.</v>
      </c>
      <c r="B5014" s="244" t="str">
        <f t="shared" si="78"/>
        <v>Total Knee ReplacementProviderBARTS HEALTH NHS TRUST (R1H)EQ-5D Index</v>
      </c>
      <c r="C5014" t="s">
        <v>975</v>
      </c>
      <c r="D5014" t="s">
        <v>965</v>
      </c>
      <c r="E5014" t="s">
        <v>148</v>
      </c>
      <c r="F5014" t="s">
        <v>149</v>
      </c>
      <c r="G5014" t="s">
        <v>963</v>
      </c>
      <c r="H5014">
        <v>68</v>
      </c>
      <c r="I5014">
        <v>0.38544099999999998</v>
      </c>
      <c r="J5014">
        <v>0.67805899999999997</v>
      </c>
      <c r="K5014">
        <v>0.29261799999999999</v>
      </c>
      <c r="L5014">
        <v>51</v>
      </c>
      <c r="M5014">
        <v>8</v>
      </c>
      <c r="N5014">
        <v>9</v>
      </c>
      <c r="O5014">
        <v>0.73985500000000004</v>
      </c>
      <c r="P5014">
        <v>0.31555800000000001</v>
      </c>
      <c r="Q5014">
        <v>0.25485400000000002</v>
      </c>
    </row>
    <row r="5015" spans="1:17" x14ac:dyDescent="0.25">
      <c r="A5015" t="str">
        <f>IF(C5015&amp;G5015&amp;D5015&lt;&gt;'Funnel setup'!$K$3&amp;'Funnel setup'!$K$4&amp;'Funnel setup'!$K$6,".",IF(A5014=".",1,A5014+1))</f>
        <v>.</v>
      </c>
      <c r="B5015" s="244" t="str">
        <f t="shared" si="78"/>
        <v>Total Knee ReplacementProviderBATH CLINIC (NT402)EQ-5D Index</v>
      </c>
      <c r="C5015" t="s">
        <v>975</v>
      </c>
      <c r="D5015" t="s">
        <v>965</v>
      </c>
      <c r="E5015" t="s">
        <v>152</v>
      </c>
      <c r="F5015" t="s">
        <v>153</v>
      </c>
      <c r="G5015" t="s">
        <v>963</v>
      </c>
      <c r="H5015">
        <v>52</v>
      </c>
      <c r="I5015">
        <v>0.51667300000000005</v>
      </c>
      <c r="J5015">
        <v>0.82284599999999997</v>
      </c>
      <c r="K5015">
        <v>0.30617299999999997</v>
      </c>
      <c r="L5015">
        <v>45</v>
      </c>
      <c r="M5015">
        <v>3</v>
      </c>
      <c r="N5015">
        <v>4</v>
      </c>
      <c r="O5015">
        <v>0.75891600000000004</v>
      </c>
      <c r="P5015">
        <v>0.334619</v>
      </c>
      <c r="Q5015">
        <v>0.20508399999999999</v>
      </c>
    </row>
    <row r="5016" spans="1:17" x14ac:dyDescent="0.25">
      <c r="A5016" t="str">
        <f>IF(C5016&amp;G5016&amp;D5016&lt;&gt;'Funnel setup'!$K$3&amp;'Funnel setup'!$K$4&amp;'Funnel setup'!$K$6,".",IF(A5015=".",1,A5015+1))</f>
        <v>.</v>
      </c>
      <c r="B5016" s="244" t="str">
        <f t="shared" si="78"/>
        <v>Total Knee ReplacementProviderBEARDWOOD HOSPITAL (NT403)EQ-5D Index</v>
      </c>
      <c r="C5016" t="s">
        <v>975</v>
      </c>
      <c r="D5016" t="s">
        <v>965</v>
      </c>
      <c r="E5016" t="s">
        <v>154</v>
      </c>
      <c r="F5016" t="s">
        <v>155</v>
      </c>
      <c r="G5016" t="s">
        <v>963</v>
      </c>
      <c r="H5016">
        <v>73</v>
      </c>
      <c r="I5016">
        <v>0.52522999999999997</v>
      </c>
      <c r="J5016">
        <v>0.79067600000000005</v>
      </c>
      <c r="K5016">
        <v>0.26544600000000002</v>
      </c>
      <c r="L5016">
        <v>62</v>
      </c>
      <c r="M5016">
        <v>8</v>
      </c>
      <c r="N5016">
        <v>3</v>
      </c>
      <c r="O5016">
        <v>0.74621199999999999</v>
      </c>
      <c r="P5016">
        <v>0.32191500000000001</v>
      </c>
      <c r="Q5016">
        <v>0.18069199999999999</v>
      </c>
    </row>
    <row r="5017" spans="1:17" x14ac:dyDescent="0.25">
      <c r="A5017" t="str">
        <f>IF(C5017&amp;G5017&amp;D5017&lt;&gt;'Funnel setup'!$K$3&amp;'Funnel setup'!$K$4&amp;'Funnel setup'!$K$6,".",IF(A5016=".",1,A5016+1))</f>
        <v>.</v>
      </c>
      <c r="B5017" s="244" t="str">
        <f t="shared" si="78"/>
        <v>Total Knee ReplacementProviderBEAUMONT HOSPITAL (NT404)EQ-5D Index</v>
      </c>
      <c r="C5017" t="s">
        <v>975</v>
      </c>
      <c r="D5017" t="s">
        <v>965</v>
      </c>
      <c r="E5017" t="s">
        <v>156</v>
      </c>
      <c r="F5017" t="s">
        <v>157</v>
      </c>
      <c r="G5017" t="s">
        <v>963</v>
      </c>
      <c r="H5017">
        <v>43</v>
      </c>
      <c r="I5017">
        <v>0.52759100000000003</v>
      </c>
      <c r="J5017">
        <v>0.79784100000000002</v>
      </c>
      <c r="K5017">
        <v>0.27024999999999999</v>
      </c>
      <c r="L5017">
        <v>38</v>
      </c>
      <c r="M5017">
        <v>1</v>
      </c>
      <c r="N5017">
        <v>4</v>
      </c>
      <c r="O5017">
        <v>0.75932100000000002</v>
      </c>
      <c r="P5017">
        <v>0.33502399999999999</v>
      </c>
      <c r="Q5017">
        <v>0.24094299999999999</v>
      </c>
    </row>
    <row r="5018" spans="1:17" x14ac:dyDescent="0.25">
      <c r="A5018" t="str">
        <f>IF(C5018&amp;G5018&amp;D5018&lt;&gt;'Funnel setup'!$K$3&amp;'Funnel setup'!$K$4&amp;'Funnel setup'!$K$6,".",IF(A5017=".",1,A5017+1))</f>
        <v>.</v>
      </c>
      <c r="B5018" s="244" t="str">
        <f t="shared" si="78"/>
        <v>Total Knee ReplacementProviderBEDFORDSHIRE HOSPITALS NHS FOUNDATION TRUST (RC9)EQ-5D Index</v>
      </c>
      <c r="C5018" t="s">
        <v>975</v>
      </c>
      <c r="D5018" t="s">
        <v>965</v>
      </c>
      <c r="E5018" t="s">
        <v>158</v>
      </c>
      <c r="F5018" t="s">
        <v>159</v>
      </c>
      <c r="G5018" t="s">
        <v>963</v>
      </c>
      <c r="H5018">
        <v>150</v>
      </c>
      <c r="I5018">
        <v>0.3674</v>
      </c>
      <c r="J5018">
        <v>0.70669300000000002</v>
      </c>
      <c r="K5018">
        <v>0.33929300000000001</v>
      </c>
      <c r="L5018">
        <v>122</v>
      </c>
      <c r="M5018">
        <v>9</v>
      </c>
      <c r="N5018">
        <v>19</v>
      </c>
      <c r="O5018">
        <v>0.72906800000000005</v>
      </c>
      <c r="P5018">
        <v>0.30476999999999999</v>
      </c>
      <c r="Q5018">
        <v>0.26357999999999998</v>
      </c>
    </row>
    <row r="5019" spans="1:17" x14ac:dyDescent="0.25">
      <c r="A5019" t="str">
        <f>IF(C5019&amp;G5019&amp;D5019&lt;&gt;'Funnel setup'!$K$3&amp;'Funnel setup'!$K$4&amp;'Funnel setup'!$K$6,".",IF(A5018=".",1,A5018+1))</f>
        <v>.</v>
      </c>
      <c r="B5019" s="244" t="str">
        <f t="shared" si="78"/>
        <v>Total Knee ReplacementProviderBENENDEN HOSPITAL (NWF01)EQ-5D Index</v>
      </c>
      <c r="C5019" t="s">
        <v>975</v>
      </c>
      <c r="D5019" t="s">
        <v>965</v>
      </c>
      <c r="E5019" t="s">
        <v>160</v>
      </c>
      <c r="F5019" t="s">
        <v>161</v>
      </c>
      <c r="G5019" t="s">
        <v>963</v>
      </c>
      <c r="H5019">
        <v>25</v>
      </c>
      <c r="I5019">
        <v>0.57732000000000006</v>
      </c>
      <c r="J5019">
        <v>0.81364000000000003</v>
      </c>
      <c r="K5019">
        <v>0.23632</v>
      </c>
      <c r="L5019">
        <v>19</v>
      </c>
      <c r="M5019">
        <v>3</v>
      </c>
      <c r="N5019">
        <v>3</v>
      </c>
      <c r="O5019" t="s">
        <v>127</v>
      </c>
      <c r="P5019" t="s">
        <v>127</v>
      </c>
      <c r="Q5019" t="s">
        <v>127</v>
      </c>
    </row>
    <row r="5020" spans="1:17" x14ac:dyDescent="0.25">
      <c r="A5020" t="str">
        <f>IF(C5020&amp;G5020&amp;D5020&lt;&gt;'Funnel setup'!$K$3&amp;'Funnel setup'!$K$4&amp;'Funnel setup'!$K$6,".",IF(A5019=".",1,A5019+1))</f>
        <v>.</v>
      </c>
      <c r="B5020" s="244" t="str">
        <f t="shared" si="78"/>
        <v>Total Knee ReplacementProviderBLACKHEATH HOSPITAL (NT406)EQ-5D Index</v>
      </c>
      <c r="C5020" t="s">
        <v>975</v>
      </c>
      <c r="D5020" t="s">
        <v>965</v>
      </c>
      <c r="E5020" t="s">
        <v>168</v>
      </c>
      <c r="F5020" t="s">
        <v>169</v>
      </c>
      <c r="G5020" t="s">
        <v>963</v>
      </c>
      <c r="H5020">
        <v>20</v>
      </c>
      <c r="I5020">
        <v>0.45074999999999998</v>
      </c>
      <c r="J5020">
        <v>0.76195000000000002</v>
      </c>
      <c r="K5020">
        <v>0.31119999999999998</v>
      </c>
      <c r="L5020">
        <v>17</v>
      </c>
      <c r="M5020">
        <v>0</v>
      </c>
      <c r="N5020">
        <v>3</v>
      </c>
      <c r="O5020" t="s">
        <v>127</v>
      </c>
      <c r="P5020" t="s">
        <v>127</v>
      </c>
      <c r="Q5020" t="s">
        <v>127</v>
      </c>
    </row>
    <row r="5021" spans="1:17" x14ac:dyDescent="0.25">
      <c r="A5021" t="str">
        <f>IF(C5021&amp;G5021&amp;D5021&lt;&gt;'Funnel setup'!$K$3&amp;'Funnel setup'!$K$4&amp;'Funnel setup'!$K$6,".",IF(A5020=".",1,A5020+1))</f>
        <v>.</v>
      </c>
      <c r="B5021" s="244" t="str">
        <f t="shared" si="78"/>
        <v>Total Knee ReplacementProviderBLACKPOOL TEACHING HOSPITALS NHS FOUNDATION TRUST (RXL)EQ-5D Index</v>
      </c>
      <c r="C5021" t="s">
        <v>975</v>
      </c>
      <c r="D5021" t="s">
        <v>965</v>
      </c>
      <c r="E5021" t="s">
        <v>170</v>
      </c>
      <c r="F5021" t="s">
        <v>171</v>
      </c>
      <c r="G5021" t="s">
        <v>963</v>
      </c>
      <c r="H5021">
        <v>60</v>
      </c>
      <c r="I5021">
        <v>0.45565</v>
      </c>
      <c r="J5021">
        <v>0.73238300000000001</v>
      </c>
      <c r="K5021">
        <v>0.27673300000000001</v>
      </c>
      <c r="L5021">
        <v>48</v>
      </c>
      <c r="M5021">
        <v>4</v>
      </c>
      <c r="N5021">
        <v>8</v>
      </c>
      <c r="O5021">
        <v>0.76902899999999996</v>
      </c>
      <c r="P5021">
        <v>0.34473199999999998</v>
      </c>
      <c r="Q5021">
        <v>0.22317500000000001</v>
      </c>
    </row>
    <row r="5022" spans="1:17" x14ac:dyDescent="0.25">
      <c r="A5022" t="str">
        <f>IF(C5022&amp;G5022&amp;D5022&lt;&gt;'Funnel setup'!$K$3&amp;'Funnel setup'!$K$4&amp;'Funnel setup'!$K$6,".",IF(A5021=".",1,A5021+1))</f>
        <v>.</v>
      </c>
      <c r="B5022" s="244" t="str">
        <f t="shared" si="78"/>
        <v>Total Knee ReplacementProviderBOLTON NHS FOUNDATION TRUST (RMC)EQ-5D Index</v>
      </c>
      <c r="C5022" t="s">
        <v>975</v>
      </c>
      <c r="D5022" t="s">
        <v>965</v>
      </c>
      <c r="E5022" t="s">
        <v>172</v>
      </c>
      <c r="F5022" t="s">
        <v>173</v>
      </c>
      <c r="G5022" t="s">
        <v>963</v>
      </c>
      <c r="H5022">
        <v>47</v>
      </c>
      <c r="I5022">
        <v>0.318021</v>
      </c>
      <c r="J5022">
        <v>0.718638</v>
      </c>
      <c r="K5022">
        <v>0.400617</v>
      </c>
      <c r="L5022">
        <v>40</v>
      </c>
      <c r="M5022">
        <v>5</v>
      </c>
      <c r="N5022">
        <v>2</v>
      </c>
      <c r="O5022">
        <v>0.767042</v>
      </c>
      <c r="P5022">
        <v>0.34274399999999999</v>
      </c>
      <c r="Q5022">
        <v>0.25602900000000001</v>
      </c>
    </row>
    <row r="5023" spans="1:17" x14ac:dyDescent="0.25">
      <c r="A5023" t="str">
        <f>IF(C5023&amp;G5023&amp;D5023&lt;&gt;'Funnel setup'!$K$3&amp;'Funnel setup'!$K$4&amp;'Funnel setup'!$K$6,".",IF(A5022=".",1,A5022+1))</f>
        <v>.</v>
      </c>
      <c r="B5023" s="244" t="str">
        <f t="shared" si="78"/>
        <v>Total Knee ReplacementProviderBRADFORD TEACHING HOSPITALS NHS FOUNDATION TRUST (RAE)EQ-5D Index</v>
      </c>
      <c r="C5023" t="s">
        <v>975</v>
      </c>
      <c r="D5023" t="s">
        <v>965</v>
      </c>
      <c r="E5023" t="s">
        <v>174</v>
      </c>
      <c r="F5023" t="s">
        <v>175</v>
      </c>
      <c r="G5023" t="s">
        <v>963</v>
      </c>
      <c r="H5023">
        <v>5</v>
      </c>
      <c r="I5023">
        <v>0.4602</v>
      </c>
      <c r="J5023">
        <v>0.75319999999999998</v>
      </c>
      <c r="K5023">
        <v>0.29299999999999998</v>
      </c>
      <c r="L5023">
        <v>5</v>
      </c>
      <c r="M5023">
        <v>0</v>
      </c>
      <c r="N5023">
        <v>0</v>
      </c>
      <c r="O5023" t="s">
        <v>127</v>
      </c>
      <c r="P5023" t="s">
        <v>127</v>
      </c>
      <c r="Q5023" t="s">
        <v>127</v>
      </c>
    </row>
    <row r="5024" spans="1:17" x14ac:dyDescent="0.25">
      <c r="A5024" t="str">
        <f>IF(C5024&amp;G5024&amp;D5024&lt;&gt;'Funnel setup'!$K$3&amp;'Funnel setup'!$K$4&amp;'Funnel setup'!$K$6,".",IF(A5023=".",1,A5023+1))</f>
        <v>.</v>
      </c>
      <c r="B5024" s="244" t="str">
        <f t="shared" si="78"/>
        <v>Total Knee ReplacementProviderBUCKINGHAMSHIRE HEALTHCARE NHS TRUST (RXQ)EQ-5D Index</v>
      </c>
      <c r="C5024" t="s">
        <v>975</v>
      </c>
      <c r="D5024" t="s">
        <v>965</v>
      </c>
      <c r="E5024" t="s">
        <v>178</v>
      </c>
      <c r="F5024" t="s">
        <v>179</v>
      </c>
      <c r="G5024" t="s">
        <v>963</v>
      </c>
      <c r="H5024">
        <v>77</v>
      </c>
      <c r="I5024">
        <v>0.394117</v>
      </c>
      <c r="J5024">
        <v>0.75376600000000005</v>
      </c>
      <c r="K5024">
        <v>0.359649</v>
      </c>
      <c r="L5024">
        <v>65</v>
      </c>
      <c r="M5024">
        <v>7</v>
      </c>
      <c r="N5024">
        <v>5</v>
      </c>
      <c r="O5024">
        <v>0.74543099999999995</v>
      </c>
      <c r="P5024">
        <v>0.32113399999999998</v>
      </c>
      <c r="Q5024">
        <v>0.21868399999999999</v>
      </c>
    </row>
    <row r="5025" spans="1:17" x14ac:dyDescent="0.25">
      <c r="A5025" t="str">
        <f>IF(C5025&amp;G5025&amp;D5025&lt;&gt;'Funnel setup'!$K$3&amp;'Funnel setup'!$K$4&amp;'Funnel setup'!$K$6,".",IF(A5024=".",1,A5024+1))</f>
        <v>.</v>
      </c>
      <c r="B5025" s="244" t="str">
        <f t="shared" si="78"/>
        <v>Total Knee ReplacementProviderCALDERDALE AND HUDDERSFIELD NHS FOUNDATION TRUST (RWY)EQ-5D Index</v>
      </c>
      <c r="C5025" t="s">
        <v>975</v>
      </c>
      <c r="D5025" t="s">
        <v>965</v>
      </c>
      <c r="E5025" t="s">
        <v>180</v>
      </c>
      <c r="F5025" t="s">
        <v>181</v>
      </c>
      <c r="G5025" t="s">
        <v>963</v>
      </c>
      <c r="H5025">
        <v>67</v>
      </c>
      <c r="I5025">
        <v>0.46952199999999999</v>
      </c>
      <c r="J5025">
        <v>0.69341799999999998</v>
      </c>
      <c r="K5025">
        <v>0.22389600000000001</v>
      </c>
      <c r="L5025">
        <v>46</v>
      </c>
      <c r="M5025">
        <v>8</v>
      </c>
      <c r="N5025">
        <v>13</v>
      </c>
      <c r="O5025">
        <v>0.68570699999999996</v>
      </c>
      <c r="P5025">
        <v>0.261409</v>
      </c>
      <c r="Q5025">
        <v>0.28731099999999998</v>
      </c>
    </row>
    <row r="5026" spans="1:17" x14ac:dyDescent="0.25">
      <c r="A5026" t="str">
        <f>IF(C5026&amp;G5026&amp;D5026&lt;&gt;'Funnel setup'!$K$3&amp;'Funnel setup'!$K$4&amp;'Funnel setup'!$K$6,".",IF(A5025=".",1,A5025+1))</f>
        <v>.</v>
      </c>
      <c r="B5026" s="244" t="str">
        <f t="shared" si="78"/>
        <v>Total Knee ReplacementProviderCAMBRIDGE UNIVERSITY HOSPITALS NHS FOUNDATION TRUST (RGT)EQ-5D Index</v>
      </c>
      <c r="C5026" t="s">
        <v>975</v>
      </c>
      <c r="D5026" t="s">
        <v>965</v>
      </c>
      <c r="E5026" t="s">
        <v>182</v>
      </c>
      <c r="F5026" t="s">
        <v>183</v>
      </c>
      <c r="G5026" t="s">
        <v>963</v>
      </c>
      <c r="H5026">
        <v>54</v>
      </c>
      <c r="I5026">
        <v>0.24479600000000001</v>
      </c>
      <c r="J5026">
        <v>0.65131499999999998</v>
      </c>
      <c r="K5026">
        <v>0.40651900000000002</v>
      </c>
      <c r="L5026">
        <v>47</v>
      </c>
      <c r="M5026">
        <v>4</v>
      </c>
      <c r="N5026">
        <v>3</v>
      </c>
      <c r="O5026">
        <v>0.73784099999999997</v>
      </c>
      <c r="P5026">
        <v>0.31354399999999999</v>
      </c>
      <c r="Q5026">
        <v>0.25000299999999998</v>
      </c>
    </row>
    <row r="5027" spans="1:17" x14ac:dyDescent="0.25">
      <c r="A5027" t="str">
        <f>IF(C5027&amp;G5027&amp;D5027&lt;&gt;'Funnel setup'!$K$3&amp;'Funnel setup'!$K$4&amp;'Funnel setup'!$K$6,".",IF(A5026=".",1,A5026+1))</f>
        <v>.</v>
      </c>
      <c r="B5027" s="244" t="str">
        <f t="shared" si="78"/>
        <v>Total Knee ReplacementProviderCAVELL HOSPITAL (NT451)EQ-5D Index</v>
      </c>
      <c r="C5027" t="s">
        <v>975</v>
      </c>
      <c r="D5027" t="s">
        <v>965</v>
      </c>
      <c r="E5027" t="s">
        <v>184</v>
      </c>
      <c r="F5027" t="s">
        <v>185</v>
      </c>
      <c r="G5027" t="s">
        <v>963</v>
      </c>
      <c r="H5027">
        <v>39</v>
      </c>
      <c r="I5027">
        <v>0.40305099999999999</v>
      </c>
      <c r="J5027">
        <v>0.69902600000000004</v>
      </c>
      <c r="K5027">
        <v>0.29597400000000001</v>
      </c>
      <c r="L5027">
        <v>31</v>
      </c>
      <c r="M5027">
        <v>4</v>
      </c>
      <c r="N5027">
        <v>4</v>
      </c>
      <c r="O5027">
        <v>0.67808999999999997</v>
      </c>
      <c r="P5027">
        <v>0.25379200000000002</v>
      </c>
      <c r="Q5027">
        <v>0.233289</v>
      </c>
    </row>
    <row r="5028" spans="1:17" x14ac:dyDescent="0.25">
      <c r="A5028" t="str">
        <f>IF(C5028&amp;G5028&amp;D5028&lt;&gt;'Funnel setup'!$K$3&amp;'Funnel setup'!$K$4&amp;'Funnel setup'!$K$6,".",IF(A5027=".",1,A5027+1))</f>
        <v>.</v>
      </c>
      <c r="B5028" s="244" t="str">
        <f t="shared" si="78"/>
        <v>Total Knee ReplacementProviderCHAUCER HOSPITAL (NT408)EQ-5D Index</v>
      </c>
      <c r="C5028" t="s">
        <v>975</v>
      </c>
      <c r="D5028" t="s">
        <v>965</v>
      </c>
      <c r="E5028" t="s">
        <v>186</v>
      </c>
      <c r="F5028" t="s">
        <v>187</v>
      </c>
      <c r="G5028" t="s">
        <v>963</v>
      </c>
      <c r="H5028">
        <v>45</v>
      </c>
      <c r="I5028">
        <v>0.50364399999999998</v>
      </c>
      <c r="J5028">
        <v>0.81293300000000002</v>
      </c>
      <c r="K5028">
        <v>0.30928899999999998</v>
      </c>
      <c r="L5028">
        <v>39</v>
      </c>
      <c r="M5028">
        <v>4</v>
      </c>
      <c r="N5028">
        <v>2</v>
      </c>
      <c r="O5028">
        <v>0.77515299999999998</v>
      </c>
      <c r="P5028">
        <v>0.350856</v>
      </c>
      <c r="Q5028">
        <v>0.14713899999999999</v>
      </c>
    </row>
    <row r="5029" spans="1:17" x14ac:dyDescent="0.25">
      <c r="A5029" t="str">
        <f>IF(C5029&amp;G5029&amp;D5029&lt;&gt;'Funnel setup'!$K$3&amp;'Funnel setup'!$K$4&amp;'Funnel setup'!$K$6,".",IF(A5028=".",1,A5028+1))</f>
        <v>.</v>
      </c>
      <c r="B5029" s="244" t="str">
        <f t="shared" si="78"/>
        <v>Total Knee ReplacementProviderCHELSEA AND WESTMINSTER HOSPITAL NHS FOUNDATION TRUST (RQM)EQ-5D Index</v>
      </c>
      <c r="C5029" t="s">
        <v>975</v>
      </c>
      <c r="D5029" t="s">
        <v>965</v>
      </c>
      <c r="E5029" t="s">
        <v>188</v>
      </c>
      <c r="F5029" t="s">
        <v>189</v>
      </c>
      <c r="G5029" t="s">
        <v>963</v>
      </c>
      <c r="H5029">
        <v>6</v>
      </c>
      <c r="I5029">
        <v>0.43383300000000002</v>
      </c>
      <c r="J5029">
        <v>0.68216699999999997</v>
      </c>
      <c r="K5029">
        <v>0.248333</v>
      </c>
      <c r="L5029">
        <v>4</v>
      </c>
      <c r="M5029">
        <v>1</v>
      </c>
      <c r="N5029">
        <v>1</v>
      </c>
      <c r="O5029" t="s">
        <v>127</v>
      </c>
      <c r="P5029" t="s">
        <v>127</v>
      </c>
      <c r="Q5029" t="s">
        <v>127</v>
      </c>
    </row>
    <row r="5030" spans="1:17" x14ac:dyDescent="0.25">
      <c r="A5030" t="str">
        <f>IF(C5030&amp;G5030&amp;D5030&lt;&gt;'Funnel setup'!$K$3&amp;'Funnel setup'!$K$4&amp;'Funnel setup'!$K$6,".",IF(A5029=".",1,A5029+1))</f>
        <v>.</v>
      </c>
      <c r="B5030" s="244" t="str">
        <f t="shared" si="78"/>
        <v>Total Knee ReplacementProviderCHELSFIELD PARK HOSPITAL (NT409)EQ-5D Index</v>
      </c>
      <c r="C5030" t="s">
        <v>975</v>
      </c>
      <c r="D5030" t="s">
        <v>965</v>
      </c>
      <c r="E5030" t="s">
        <v>190</v>
      </c>
      <c r="F5030" t="s">
        <v>191</v>
      </c>
      <c r="G5030" t="s">
        <v>963</v>
      </c>
      <c r="H5030">
        <v>31</v>
      </c>
      <c r="I5030">
        <v>0.59170999999999996</v>
      </c>
      <c r="J5030">
        <v>0.90441899999999997</v>
      </c>
      <c r="K5030">
        <v>0.31270999999999999</v>
      </c>
      <c r="L5030">
        <v>29</v>
      </c>
      <c r="M5030">
        <v>0</v>
      </c>
      <c r="N5030">
        <v>2</v>
      </c>
      <c r="O5030">
        <v>0.84529900000000002</v>
      </c>
      <c r="P5030">
        <v>0.42100199999999999</v>
      </c>
      <c r="Q5030">
        <v>0.11923300000000001</v>
      </c>
    </row>
    <row r="5031" spans="1:17" x14ac:dyDescent="0.25">
      <c r="A5031" t="str">
        <f>IF(C5031&amp;G5031&amp;D5031&lt;&gt;'Funnel setup'!$K$3&amp;'Funnel setup'!$K$4&amp;'Funnel setup'!$K$6,".",IF(A5030=".",1,A5030+1))</f>
        <v>.</v>
      </c>
      <c r="B5031" s="244" t="str">
        <f t="shared" si="78"/>
        <v>Total Knee ReplacementProviderCHESTERFIELD ROYAL HOSPITAL NHS FOUNDATION TRUST (RFS)EQ-5D Index</v>
      </c>
      <c r="C5031" t="s">
        <v>975</v>
      </c>
      <c r="D5031" t="s">
        <v>965</v>
      </c>
      <c r="E5031" t="s">
        <v>192</v>
      </c>
      <c r="F5031" t="s">
        <v>193</v>
      </c>
      <c r="G5031" t="s">
        <v>963</v>
      </c>
      <c r="H5031">
        <v>58</v>
      </c>
      <c r="I5031">
        <v>0.29656900000000003</v>
      </c>
      <c r="J5031">
        <v>0.67837899999999995</v>
      </c>
      <c r="K5031">
        <v>0.38180999999999998</v>
      </c>
      <c r="L5031">
        <v>51</v>
      </c>
      <c r="M5031">
        <v>3</v>
      </c>
      <c r="N5031">
        <v>4</v>
      </c>
      <c r="O5031">
        <v>0.74104599999999998</v>
      </c>
      <c r="P5031">
        <v>0.316749</v>
      </c>
      <c r="Q5031">
        <v>0.25990799999999997</v>
      </c>
    </row>
    <row r="5032" spans="1:17" x14ac:dyDescent="0.25">
      <c r="A5032" t="str">
        <f>IF(C5032&amp;G5032&amp;D5032&lt;&gt;'Funnel setup'!$K$3&amp;'Funnel setup'!$K$4&amp;'Funnel setup'!$K$6,".",IF(A5031=".",1,A5031+1))</f>
        <v>.</v>
      </c>
      <c r="B5032" s="244" t="str">
        <f t="shared" si="78"/>
        <v>Total Knee ReplacementProviderCHILTERN HOSPITAL (NT410)EQ-5D Index</v>
      </c>
      <c r="C5032" t="s">
        <v>975</v>
      </c>
      <c r="D5032" t="s">
        <v>965</v>
      </c>
      <c r="E5032" t="s">
        <v>194</v>
      </c>
      <c r="F5032" t="s">
        <v>195</v>
      </c>
      <c r="G5032" t="s">
        <v>963</v>
      </c>
      <c r="H5032">
        <v>79</v>
      </c>
      <c r="I5032">
        <v>0.57970900000000003</v>
      </c>
      <c r="J5032">
        <v>0.82007600000000003</v>
      </c>
      <c r="K5032">
        <v>0.240367</v>
      </c>
      <c r="L5032">
        <v>61</v>
      </c>
      <c r="M5032">
        <v>8</v>
      </c>
      <c r="N5032">
        <v>10</v>
      </c>
      <c r="O5032">
        <v>0.73162099999999997</v>
      </c>
      <c r="P5032">
        <v>0.30732399999999999</v>
      </c>
      <c r="Q5032">
        <v>0.21002100000000001</v>
      </c>
    </row>
    <row r="5033" spans="1:17" x14ac:dyDescent="0.25">
      <c r="A5033" t="str">
        <f>IF(C5033&amp;G5033&amp;D5033&lt;&gt;'Funnel setup'!$K$3&amp;'Funnel setup'!$K$4&amp;'Funnel setup'!$K$6,".",IF(A5032=".",1,A5032+1))</f>
        <v>.</v>
      </c>
      <c r="B5033" s="244" t="str">
        <f t="shared" si="78"/>
        <v>Total Knee ReplacementProviderCIRCLE BATH HOSPITAL (NV302)EQ-5D Index</v>
      </c>
      <c r="C5033" t="s">
        <v>975</v>
      </c>
      <c r="D5033" t="s">
        <v>965</v>
      </c>
      <c r="E5033" t="s">
        <v>196</v>
      </c>
      <c r="F5033" t="s">
        <v>197</v>
      </c>
      <c r="G5033" t="s">
        <v>963</v>
      </c>
      <c r="H5033">
        <v>13</v>
      </c>
      <c r="I5033">
        <v>0.41869200000000001</v>
      </c>
      <c r="J5033">
        <v>0.78807700000000003</v>
      </c>
      <c r="K5033">
        <v>0.36938500000000002</v>
      </c>
      <c r="L5033">
        <v>11</v>
      </c>
      <c r="M5033">
        <v>1</v>
      </c>
      <c r="N5033">
        <v>1</v>
      </c>
      <c r="O5033" t="s">
        <v>127</v>
      </c>
      <c r="P5033" t="s">
        <v>127</v>
      </c>
      <c r="Q5033" t="s">
        <v>127</v>
      </c>
    </row>
    <row r="5034" spans="1:17" x14ac:dyDescent="0.25">
      <c r="A5034" t="str">
        <f>IF(C5034&amp;G5034&amp;D5034&lt;&gt;'Funnel setup'!$K$3&amp;'Funnel setup'!$K$4&amp;'Funnel setup'!$K$6,".",IF(A5033=".",1,A5033+1))</f>
        <v>.</v>
      </c>
      <c r="B5034" s="244" t="str">
        <f t="shared" si="78"/>
        <v>Total Knee ReplacementProviderCIRCLE READING HOSPITAL (NV323)EQ-5D Index</v>
      </c>
      <c r="C5034" t="s">
        <v>975</v>
      </c>
      <c r="D5034" t="s">
        <v>965</v>
      </c>
      <c r="E5034" t="s">
        <v>198</v>
      </c>
      <c r="F5034" t="s">
        <v>199</v>
      </c>
      <c r="G5034" t="s">
        <v>963</v>
      </c>
      <c r="H5034">
        <v>61</v>
      </c>
      <c r="I5034">
        <v>0.49829499999999999</v>
      </c>
      <c r="J5034">
        <v>0.78847500000000004</v>
      </c>
      <c r="K5034">
        <v>0.29017999999999999</v>
      </c>
      <c r="L5034">
        <v>47</v>
      </c>
      <c r="M5034">
        <v>11</v>
      </c>
      <c r="N5034">
        <v>3</v>
      </c>
      <c r="O5034">
        <v>0.72188200000000002</v>
      </c>
      <c r="P5034">
        <v>0.29758400000000002</v>
      </c>
      <c r="Q5034">
        <v>0.25949</v>
      </c>
    </row>
    <row r="5035" spans="1:17" x14ac:dyDescent="0.25">
      <c r="A5035" t="str">
        <f>IF(C5035&amp;G5035&amp;D5035&lt;&gt;'Funnel setup'!$K$3&amp;'Funnel setup'!$K$4&amp;'Funnel setup'!$K$6,".",IF(A5034=".",1,A5034+1))</f>
        <v>.</v>
      </c>
      <c r="B5035" s="244" t="str">
        <f t="shared" si="78"/>
        <v>Total Knee ReplacementProviderCLEMENTINE CHURCHILL HOSPITAL (NT411)EQ-5D Index</v>
      </c>
      <c r="C5035" t="s">
        <v>975</v>
      </c>
      <c r="D5035" t="s">
        <v>965</v>
      </c>
      <c r="E5035" t="s">
        <v>200</v>
      </c>
      <c r="F5035" t="s">
        <v>201</v>
      </c>
      <c r="G5035" t="s">
        <v>963</v>
      </c>
      <c r="H5035">
        <v>31</v>
      </c>
      <c r="I5035">
        <v>0.49612499999999998</v>
      </c>
      <c r="J5035">
        <v>0.71725000000000005</v>
      </c>
      <c r="K5035">
        <v>0.22112499999999999</v>
      </c>
      <c r="L5035">
        <v>25</v>
      </c>
      <c r="M5035">
        <v>2</v>
      </c>
      <c r="N5035">
        <v>4</v>
      </c>
      <c r="O5035">
        <v>0.71046900000000002</v>
      </c>
      <c r="P5035">
        <v>0.28617199999999998</v>
      </c>
      <c r="Q5035">
        <v>0.19337099999999999</v>
      </c>
    </row>
    <row r="5036" spans="1:17" x14ac:dyDescent="0.25">
      <c r="A5036" t="str">
        <f>IF(C5036&amp;G5036&amp;D5036&lt;&gt;'Funnel setup'!$K$3&amp;'Funnel setup'!$K$4&amp;'Funnel setup'!$K$6,".",IF(A5035=".",1,A5035+1))</f>
        <v>.</v>
      </c>
      <c r="B5036" s="244" t="str">
        <f t="shared" si="78"/>
        <v>Total Knee ReplacementProviderCLIFTON PARK HOSPITAL (NVC28)EQ-5D Index</v>
      </c>
      <c r="C5036" t="s">
        <v>975</v>
      </c>
      <c r="D5036" t="s">
        <v>965</v>
      </c>
      <c r="E5036" t="s">
        <v>202</v>
      </c>
      <c r="F5036" t="s">
        <v>203</v>
      </c>
      <c r="G5036" t="s">
        <v>963</v>
      </c>
      <c r="H5036">
        <v>63</v>
      </c>
      <c r="I5036">
        <v>0.45687299999999997</v>
      </c>
      <c r="J5036">
        <v>0.73903200000000002</v>
      </c>
      <c r="K5036">
        <v>0.28215899999999999</v>
      </c>
      <c r="L5036">
        <v>51</v>
      </c>
      <c r="M5036">
        <v>6</v>
      </c>
      <c r="N5036">
        <v>6</v>
      </c>
      <c r="O5036">
        <v>0.71264700000000003</v>
      </c>
      <c r="P5036">
        <v>0.28835</v>
      </c>
      <c r="Q5036">
        <v>0.23978099999999999</v>
      </c>
    </row>
    <row r="5037" spans="1:17" x14ac:dyDescent="0.25">
      <c r="A5037" t="str">
        <f>IF(C5037&amp;G5037&amp;D5037&lt;&gt;'Funnel setup'!$K$3&amp;'Funnel setup'!$K$4&amp;'Funnel setup'!$K$6,".",IF(A5036=".",1,A5036+1))</f>
        <v>.</v>
      </c>
      <c r="B5037" s="244" t="str">
        <f t="shared" si="78"/>
        <v>Total Knee ReplacementProviderCOUNTESS OF CHESTER HOSPITAL NHS FOUNDATION TRUST (RJR)EQ-5D Index</v>
      </c>
      <c r="C5037" t="s">
        <v>975</v>
      </c>
      <c r="D5037" t="s">
        <v>965</v>
      </c>
      <c r="E5037" t="s">
        <v>204</v>
      </c>
      <c r="F5037" t="s">
        <v>205</v>
      </c>
      <c r="G5037" t="s">
        <v>963</v>
      </c>
      <c r="H5037">
        <v>28</v>
      </c>
      <c r="I5037">
        <v>0.35810700000000001</v>
      </c>
      <c r="J5037">
        <v>0.71142899999999998</v>
      </c>
      <c r="K5037">
        <v>0.353321</v>
      </c>
      <c r="L5037">
        <v>25</v>
      </c>
      <c r="M5037">
        <v>3</v>
      </c>
      <c r="N5037">
        <v>0</v>
      </c>
      <c r="O5037" t="s">
        <v>127</v>
      </c>
      <c r="P5037" t="s">
        <v>127</v>
      </c>
      <c r="Q5037" t="s">
        <v>127</v>
      </c>
    </row>
    <row r="5038" spans="1:17" x14ac:dyDescent="0.25">
      <c r="A5038" t="str">
        <f>IF(C5038&amp;G5038&amp;D5038&lt;&gt;'Funnel setup'!$K$3&amp;'Funnel setup'!$K$4&amp;'Funnel setup'!$K$6,".",IF(A5037=".",1,A5037+1))</f>
        <v>.</v>
      </c>
      <c r="B5038" s="244" t="str">
        <f t="shared" si="78"/>
        <v>Total Knee ReplacementProviderCOUNTY DURHAM AND DARLINGTON NHS FOUNDATION TRUST (RXP)EQ-5D Index</v>
      </c>
      <c r="C5038" t="s">
        <v>975</v>
      </c>
      <c r="D5038" t="s">
        <v>965</v>
      </c>
      <c r="E5038" t="s">
        <v>206</v>
      </c>
      <c r="F5038" t="s">
        <v>207</v>
      </c>
      <c r="G5038" t="s">
        <v>963</v>
      </c>
      <c r="H5038">
        <v>135</v>
      </c>
      <c r="I5038">
        <v>0.49434099999999997</v>
      </c>
      <c r="J5038">
        <v>0.73644399999999999</v>
      </c>
      <c r="K5038">
        <v>0.24210400000000001</v>
      </c>
      <c r="L5038">
        <v>101</v>
      </c>
      <c r="M5038">
        <v>14</v>
      </c>
      <c r="N5038">
        <v>20</v>
      </c>
      <c r="O5038">
        <v>0.72251699999999996</v>
      </c>
      <c r="P5038">
        <v>0.29821999999999999</v>
      </c>
      <c r="Q5038">
        <v>0.217555</v>
      </c>
    </row>
    <row r="5039" spans="1:17" x14ac:dyDescent="0.25">
      <c r="A5039" t="str">
        <f>IF(C5039&amp;G5039&amp;D5039&lt;&gt;'Funnel setup'!$K$3&amp;'Funnel setup'!$K$4&amp;'Funnel setup'!$K$6,".",IF(A5038=".",1,A5038+1))</f>
        <v>.</v>
      </c>
      <c r="B5039" s="244" t="str">
        <f t="shared" si="78"/>
        <v>Total Knee ReplacementProviderDONCASTER AND BASSETLAW TEACHING HOSPITALS NHS FOUNDATION TRUST (RP5)EQ-5D Index</v>
      </c>
      <c r="C5039" t="s">
        <v>975</v>
      </c>
      <c r="D5039" t="s">
        <v>965</v>
      </c>
      <c r="E5039" t="s">
        <v>212</v>
      </c>
      <c r="F5039" t="s">
        <v>213</v>
      </c>
      <c r="G5039" t="s">
        <v>963</v>
      </c>
      <c r="H5039">
        <v>79</v>
      </c>
      <c r="I5039">
        <v>0.34973399999999999</v>
      </c>
      <c r="J5039">
        <v>0.63708900000000002</v>
      </c>
      <c r="K5039">
        <v>0.287354</v>
      </c>
      <c r="L5039">
        <v>59</v>
      </c>
      <c r="M5039">
        <v>7</v>
      </c>
      <c r="N5039">
        <v>13</v>
      </c>
      <c r="O5039">
        <v>0.68696299999999999</v>
      </c>
      <c r="P5039">
        <v>0.26266600000000001</v>
      </c>
      <c r="Q5039">
        <v>0.30355399999999999</v>
      </c>
    </row>
    <row r="5040" spans="1:17" x14ac:dyDescent="0.25">
      <c r="A5040" t="str">
        <f>IF(C5040&amp;G5040&amp;D5040&lt;&gt;'Funnel setup'!$K$3&amp;'Funnel setup'!$K$4&amp;'Funnel setup'!$K$6,".",IF(A5039=".",1,A5039+1))</f>
        <v>.</v>
      </c>
      <c r="B5040" s="244" t="str">
        <f t="shared" si="78"/>
        <v>Total Knee ReplacementProviderDORSET COUNTY HOSPITAL NHS FOUNDATION TRUST (RBD)EQ-5D Index</v>
      </c>
      <c r="C5040" t="s">
        <v>975</v>
      </c>
      <c r="D5040" t="s">
        <v>965</v>
      </c>
      <c r="E5040" t="s">
        <v>214</v>
      </c>
      <c r="F5040" t="s">
        <v>215</v>
      </c>
      <c r="G5040" t="s">
        <v>963</v>
      </c>
      <c r="H5040">
        <v>15</v>
      </c>
      <c r="I5040">
        <v>0.496867</v>
      </c>
      <c r="J5040">
        <v>0.75513300000000005</v>
      </c>
      <c r="K5040">
        <v>0.25826700000000002</v>
      </c>
      <c r="L5040">
        <v>12</v>
      </c>
      <c r="M5040">
        <v>2</v>
      </c>
      <c r="N5040">
        <v>1</v>
      </c>
      <c r="O5040" t="s">
        <v>127</v>
      </c>
      <c r="P5040" t="s">
        <v>127</v>
      </c>
      <c r="Q5040" t="s">
        <v>127</v>
      </c>
    </row>
    <row r="5041" spans="1:17" x14ac:dyDescent="0.25">
      <c r="A5041" t="str">
        <f>IF(C5041&amp;G5041&amp;D5041&lt;&gt;'Funnel setup'!$K$3&amp;'Funnel setup'!$K$4&amp;'Funnel setup'!$K$6,".",IF(A5040=".",1,A5040+1))</f>
        <v>.</v>
      </c>
      <c r="B5041" s="244" t="str">
        <f t="shared" si="78"/>
        <v>Total Knee ReplacementProviderDROITWICH SPA HOSPITAL (NT412)EQ-5D Index</v>
      </c>
      <c r="C5041" t="s">
        <v>975</v>
      </c>
      <c r="D5041" t="s">
        <v>965</v>
      </c>
      <c r="E5041" t="s">
        <v>216</v>
      </c>
      <c r="F5041" t="s">
        <v>217</v>
      </c>
      <c r="G5041" t="s">
        <v>963</v>
      </c>
      <c r="H5041">
        <v>23</v>
      </c>
      <c r="I5041">
        <v>0.54391299999999998</v>
      </c>
      <c r="J5041">
        <v>0.79004300000000005</v>
      </c>
      <c r="K5041">
        <v>0.24612999999999999</v>
      </c>
      <c r="L5041">
        <v>18</v>
      </c>
      <c r="M5041">
        <v>4</v>
      </c>
      <c r="N5041">
        <v>1</v>
      </c>
      <c r="O5041" t="s">
        <v>127</v>
      </c>
      <c r="P5041" t="s">
        <v>127</v>
      </c>
      <c r="Q5041" t="s">
        <v>127</v>
      </c>
    </row>
    <row r="5042" spans="1:17" x14ac:dyDescent="0.25">
      <c r="A5042" t="str">
        <f>IF(C5042&amp;G5042&amp;D5042&lt;&gt;'Funnel setup'!$K$3&amp;'Funnel setup'!$K$4&amp;'Funnel setup'!$K$6,".",IF(A5041=".",1,A5041+1))</f>
        <v>.</v>
      </c>
      <c r="B5042" s="244" t="str">
        <f t="shared" si="78"/>
        <v>Total Knee ReplacementProviderDUCHY HOSPITAL (NT447)EQ-5D Index</v>
      </c>
      <c r="C5042" t="s">
        <v>975</v>
      </c>
      <c r="D5042" t="s">
        <v>965</v>
      </c>
      <c r="E5042" t="s">
        <v>218</v>
      </c>
      <c r="F5042" t="s">
        <v>219</v>
      </c>
      <c r="G5042" t="s">
        <v>963</v>
      </c>
      <c r="H5042">
        <v>29</v>
      </c>
      <c r="I5042">
        <v>0.50451699999999999</v>
      </c>
      <c r="J5042">
        <v>0.88417199999999996</v>
      </c>
      <c r="K5042">
        <v>0.37965500000000002</v>
      </c>
      <c r="L5042">
        <v>27</v>
      </c>
      <c r="M5042">
        <v>0</v>
      </c>
      <c r="N5042">
        <v>2</v>
      </c>
      <c r="O5042" t="s">
        <v>127</v>
      </c>
      <c r="P5042" t="s">
        <v>127</v>
      </c>
      <c r="Q5042" t="s">
        <v>127</v>
      </c>
    </row>
    <row r="5043" spans="1:17" x14ac:dyDescent="0.25">
      <c r="A5043" t="str">
        <f>IF(C5043&amp;G5043&amp;D5043&lt;&gt;'Funnel setup'!$K$3&amp;'Funnel setup'!$K$4&amp;'Funnel setup'!$K$6,".",IF(A5042=".",1,A5042+1))</f>
        <v>.</v>
      </c>
      <c r="B5043" s="244" t="str">
        <f t="shared" si="78"/>
        <v>Total Knee ReplacementProviderDUCHY HOSPITAL (NVC04)EQ-5D Index</v>
      </c>
      <c r="C5043" t="s">
        <v>975</v>
      </c>
      <c r="D5043" t="s">
        <v>965</v>
      </c>
      <c r="E5043" t="s">
        <v>220</v>
      </c>
      <c r="F5043" t="s">
        <v>221</v>
      </c>
      <c r="G5043" t="s">
        <v>963</v>
      </c>
      <c r="H5043">
        <v>29</v>
      </c>
      <c r="I5043">
        <v>0.55144800000000005</v>
      </c>
      <c r="J5043">
        <v>0.76455200000000001</v>
      </c>
      <c r="K5043">
        <v>0.21310299999999999</v>
      </c>
      <c r="L5043">
        <v>24</v>
      </c>
      <c r="M5043">
        <v>4</v>
      </c>
      <c r="N5043">
        <v>1</v>
      </c>
      <c r="O5043" t="s">
        <v>127</v>
      </c>
      <c r="P5043" t="s">
        <v>127</v>
      </c>
      <c r="Q5043" t="s">
        <v>127</v>
      </c>
    </row>
    <row r="5044" spans="1:17" x14ac:dyDescent="0.25">
      <c r="A5044" t="str">
        <f>IF(C5044&amp;G5044&amp;D5044&lt;&gt;'Funnel setup'!$K$3&amp;'Funnel setup'!$K$4&amp;'Funnel setup'!$K$6,".",IF(A5043=".",1,A5043+1))</f>
        <v>.</v>
      </c>
      <c r="B5044" s="244" t="str">
        <f t="shared" si="78"/>
        <v>Total Knee ReplacementProviderEAST AND NORTH HERTFORDSHIRE NHS TRUST (RWH)EQ-5D Index</v>
      </c>
      <c r="C5044" t="s">
        <v>975</v>
      </c>
      <c r="D5044" t="s">
        <v>965</v>
      </c>
      <c r="E5044" t="s">
        <v>224</v>
      </c>
      <c r="F5044" t="s">
        <v>225</v>
      </c>
      <c r="G5044" t="s">
        <v>963</v>
      </c>
      <c r="H5044">
        <v>28</v>
      </c>
      <c r="I5044">
        <v>0.38396400000000003</v>
      </c>
      <c r="J5044">
        <v>0.68117899999999998</v>
      </c>
      <c r="K5044">
        <v>0.29721399999999998</v>
      </c>
      <c r="L5044">
        <v>22</v>
      </c>
      <c r="M5044">
        <v>2</v>
      </c>
      <c r="N5044">
        <v>4</v>
      </c>
      <c r="O5044" t="s">
        <v>127</v>
      </c>
      <c r="P5044" t="s">
        <v>127</v>
      </c>
      <c r="Q5044" t="s">
        <v>127</v>
      </c>
    </row>
    <row r="5045" spans="1:17" x14ac:dyDescent="0.25">
      <c r="A5045" t="str">
        <f>IF(C5045&amp;G5045&amp;D5045&lt;&gt;'Funnel setup'!$K$3&amp;'Funnel setup'!$K$4&amp;'Funnel setup'!$K$6,".",IF(A5044=".",1,A5044+1))</f>
        <v>.</v>
      </c>
      <c r="B5045" s="244" t="str">
        <f t="shared" si="78"/>
        <v>Total Knee ReplacementProviderEAST CHESHIRE NHS TRUST (RJN)EQ-5D Index</v>
      </c>
      <c r="C5045" t="s">
        <v>975</v>
      </c>
      <c r="D5045" t="s">
        <v>965</v>
      </c>
      <c r="E5045" t="s">
        <v>226</v>
      </c>
      <c r="F5045" t="s">
        <v>227</v>
      </c>
      <c r="G5045" t="s">
        <v>963</v>
      </c>
      <c r="H5045">
        <v>5</v>
      </c>
      <c r="I5045">
        <v>0.17499999999999999</v>
      </c>
      <c r="J5045">
        <v>0.56699999999999995</v>
      </c>
      <c r="K5045">
        <v>0.39200000000000002</v>
      </c>
      <c r="L5045">
        <v>5</v>
      </c>
      <c r="M5045">
        <v>0</v>
      </c>
      <c r="N5045">
        <v>0</v>
      </c>
      <c r="O5045" t="s">
        <v>127</v>
      </c>
      <c r="P5045" t="s">
        <v>127</v>
      </c>
      <c r="Q5045" t="s">
        <v>127</v>
      </c>
    </row>
    <row r="5046" spans="1:17" x14ac:dyDescent="0.25">
      <c r="A5046" t="str">
        <f>IF(C5046&amp;G5046&amp;D5046&lt;&gt;'Funnel setup'!$K$3&amp;'Funnel setup'!$K$4&amp;'Funnel setup'!$K$6,".",IF(A5045=".",1,A5045+1))</f>
        <v>.</v>
      </c>
      <c r="B5046" s="244" t="str">
        <f t="shared" si="78"/>
        <v>Total Knee ReplacementProviderEAST KENT HOSPITALS UNIVERSITY NHS FOUNDATION TRUST (RVV)EQ-5D Index</v>
      </c>
      <c r="C5046" t="s">
        <v>975</v>
      </c>
      <c r="D5046" t="s">
        <v>965</v>
      </c>
      <c r="E5046" t="s">
        <v>228</v>
      </c>
      <c r="F5046" t="s">
        <v>229</v>
      </c>
      <c r="G5046" t="s">
        <v>963</v>
      </c>
      <c r="H5046">
        <v>94</v>
      </c>
      <c r="I5046">
        <v>0.40429799999999999</v>
      </c>
      <c r="J5046">
        <v>0.73934</v>
      </c>
      <c r="K5046">
        <v>0.33504299999999998</v>
      </c>
      <c r="L5046">
        <v>78</v>
      </c>
      <c r="M5046">
        <v>7</v>
      </c>
      <c r="N5046">
        <v>9</v>
      </c>
      <c r="O5046">
        <v>0.78892700000000004</v>
      </c>
      <c r="P5046">
        <v>0.36463000000000001</v>
      </c>
      <c r="Q5046">
        <v>0.224909</v>
      </c>
    </row>
    <row r="5047" spans="1:17" x14ac:dyDescent="0.25">
      <c r="A5047" t="str">
        <f>IF(C5047&amp;G5047&amp;D5047&lt;&gt;'Funnel setup'!$K$3&amp;'Funnel setup'!$K$4&amp;'Funnel setup'!$K$6,".",IF(A5046=".",1,A5046+1))</f>
        <v>.</v>
      </c>
      <c r="B5047" s="244" t="str">
        <f t="shared" si="78"/>
        <v>Total Knee ReplacementProviderEAST LANCASHIRE HOSPITALS NHS TRUST (RXR)EQ-5D Index</v>
      </c>
      <c r="C5047" t="s">
        <v>975</v>
      </c>
      <c r="D5047" t="s">
        <v>965</v>
      </c>
      <c r="E5047" t="s">
        <v>230</v>
      </c>
      <c r="F5047" t="s">
        <v>231</v>
      </c>
      <c r="G5047" t="s">
        <v>963</v>
      </c>
      <c r="H5047">
        <v>85</v>
      </c>
      <c r="I5047">
        <v>0.438635</v>
      </c>
      <c r="J5047">
        <v>0.73140000000000005</v>
      </c>
      <c r="K5047">
        <v>0.292765</v>
      </c>
      <c r="L5047">
        <v>67</v>
      </c>
      <c r="M5047">
        <v>8</v>
      </c>
      <c r="N5047">
        <v>10</v>
      </c>
      <c r="O5047">
        <v>0.73944200000000004</v>
      </c>
      <c r="P5047">
        <v>0.31514500000000001</v>
      </c>
      <c r="Q5047">
        <v>0.25498700000000002</v>
      </c>
    </row>
    <row r="5048" spans="1:17" x14ac:dyDescent="0.25">
      <c r="A5048" t="str">
        <f>IF(C5048&amp;G5048&amp;D5048&lt;&gt;'Funnel setup'!$K$3&amp;'Funnel setup'!$K$4&amp;'Funnel setup'!$K$6,".",IF(A5047=".",1,A5047+1))</f>
        <v>.</v>
      </c>
      <c r="B5048" s="244" t="str">
        <f t="shared" si="78"/>
        <v>Total Knee ReplacementProviderEAST SUFFOLK AND NORTH ESSEX NHS FOUNDATION TRUST (RDE)EQ-5D Index</v>
      </c>
      <c r="C5048" t="s">
        <v>975</v>
      </c>
      <c r="D5048" t="s">
        <v>965</v>
      </c>
      <c r="E5048" t="s">
        <v>232</v>
      </c>
      <c r="F5048" t="s">
        <v>233</v>
      </c>
      <c r="G5048" t="s">
        <v>963</v>
      </c>
      <c r="H5048">
        <v>125</v>
      </c>
      <c r="I5048">
        <v>0.39456000000000002</v>
      </c>
      <c r="J5048">
        <v>0.76183199999999995</v>
      </c>
      <c r="K5048">
        <v>0.36727199999999999</v>
      </c>
      <c r="L5048">
        <v>113</v>
      </c>
      <c r="M5048">
        <v>6</v>
      </c>
      <c r="N5048">
        <v>6</v>
      </c>
      <c r="O5048">
        <v>0.77518100000000001</v>
      </c>
      <c r="P5048">
        <v>0.35088399999999997</v>
      </c>
      <c r="Q5048">
        <v>0.20771999999999999</v>
      </c>
    </row>
    <row r="5049" spans="1:17" x14ac:dyDescent="0.25">
      <c r="A5049" t="str">
        <f>IF(C5049&amp;G5049&amp;D5049&lt;&gt;'Funnel setup'!$K$3&amp;'Funnel setup'!$K$4&amp;'Funnel setup'!$K$6,".",IF(A5048=".",1,A5048+1))</f>
        <v>.</v>
      </c>
      <c r="B5049" s="244" t="str">
        <f t="shared" si="78"/>
        <v>Total Knee ReplacementProviderEAST SUSSEX HEALTHCARE NHS TRUST (RXC)EQ-5D Index</v>
      </c>
      <c r="C5049" t="s">
        <v>975</v>
      </c>
      <c r="D5049" t="s">
        <v>965</v>
      </c>
      <c r="E5049" t="s">
        <v>234</v>
      </c>
      <c r="F5049" t="s">
        <v>235</v>
      </c>
      <c r="G5049" t="s">
        <v>963</v>
      </c>
      <c r="H5049">
        <v>75</v>
      </c>
      <c r="I5049">
        <v>0.43362699999999998</v>
      </c>
      <c r="J5049">
        <v>0.75107999999999997</v>
      </c>
      <c r="K5049">
        <v>0.31745299999999999</v>
      </c>
      <c r="L5049">
        <v>59</v>
      </c>
      <c r="M5049">
        <v>9</v>
      </c>
      <c r="N5049">
        <v>7</v>
      </c>
      <c r="O5049">
        <v>0.77256499999999995</v>
      </c>
      <c r="P5049">
        <v>0.34826800000000002</v>
      </c>
      <c r="Q5049">
        <v>0.241233</v>
      </c>
    </row>
    <row r="5050" spans="1:17" x14ac:dyDescent="0.25">
      <c r="A5050" t="str">
        <f>IF(C5050&amp;G5050&amp;D5050&lt;&gt;'Funnel setup'!$K$3&amp;'Funnel setup'!$K$4&amp;'Funnel setup'!$K$6,".",IF(A5049=".",1,A5049+1))</f>
        <v>.</v>
      </c>
      <c r="B5050" s="244" t="str">
        <f t="shared" si="78"/>
        <v>Total Knee ReplacementProviderEPSOM AND ST HELIER UNIVERSITY HOSPITALS NHS TRUST (RVR)EQ-5D Index</v>
      </c>
      <c r="C5050" t="s">
        <v>975</v>
      </c>
      <c r="D5050" t="s">
        <v>965</v>
      </c>
      <c r="E5050" t="s">
        <v>238</v>
      </c>
      <c r="F5050" t="s">
        <v>239</v>
      </c>
      <c r="G5050" t="s">
        <v>963</v>
      </c>
      <c r="H5050">
        <v>667</v>
      </c>
      <c r="I5050">
        <v>0.43972699999999998</v>
      </c>
      <c r="J5050">
        <v>0.750718</v>
      </c>
      <c r="K5050">
        <v>0.31099100000000002</v>
      </c>
      <c r="L5050">
        <v>554</v>
      </c>
      <c r="M5050">
        <v>56</v>
      </c>
      <c r="N5050">
        <v>57</v>
      </c>
      <c r="O5050">
        <v>0.74261200000000005</v>
      </c>
      <c r="P5050">
        <v>0.31831399999999999</v>
      </c>
      <c r="Q5050">
        <v>0.22712599999999999</v>
      </c>
    </row>
    <row r="5051" spans="1:17" x14ac:dyDescent="0.25">
      <c r="A5051" t="str">
        <f>IF(C5051&amp;G5051&amp;D5051&lt;&gt;'Funnel setup'!$K$3&amp;'Funnel setup'!$K$4&amp;'Funnel setup'!$K$6,".",IF(A5050=".",1,A5050+1))</f>
        <v>.</v>
      </c>
      <c r="B5051" s="244" t="str">
        <f t="shared" si="78"/>
        <v>Total Knee ReplacementProviderEUXTON HALL HOSPITAL (NVC05)EQ-5D Index</v>
      </c>
      <c r="C5051" t="s">
        <v>975</v>
      </c>
      <c r="D5051" t="s">
        <v>965</v>
      </c>
      <c r="E5051" t="s">
        <v>240</v>
      </c>
      <c r="F5051" t="s">
        <v>241</v>
      </c>
      <c r="G5051" t="s">
        <v>963</v>
      </c>
      <c r="H5051">
        <v>50</v>
      </c>
      <c r="I5051">
        <v>0.39547100000000002</v>
      </c>
      <c r="J5051">
        <v>0.80574500000000004</v>
      </c>
      <c r="K5051">
        <v>0.410275</v>
      </c>
      <c r="L5051">
        <v>46</v>
      </c>
      <c r="M5051">
        <v>3</v>
      </c>
      <c r="N5051">
        <v>1</v>
      </c>
      <c r="O5051">
        <v>0.80530900000000005</v>
      </c>
      <c r="P5051">
        <v>0.38101200000000002</v>
      </c>
      <c r="Q5051">
        <v>0.17499999999999999</v>
      </c>
    </row>
    <row r="5052" spans="1:17" x14ac:dyDescent="0.25">
      <c r="A5052" t="str">
        <f>IF(C5052&amp;G5052&amp;D5052&lt;&gt;'Funnel setup'!$K$3&amp;'Funnel setup'!$K$4&amp;'Funnel setup'!$K$6,".",IF(A5051=".",1,A5051+1))</f>
        <v>.</v>
      </c>
      <c r="B5052" s="244" t="str">
        <f t="shared" si="78"/>
        <v>Total Knee ReplacementProviderFAIRFIELD HOSPITAL (NVG01)EQ-5D Index</v>
      </c>
      <c r="C5052" t="s">
        <v>975</v>
      </c>
      <c r="D5052" t="s">
        <v>965</v>
      </c>
      <c r="E5052" t="s">
        <v>242</v>
      </c>
      <c r="F5052" t="s">
        <v>243</v>
      </c>
      <c r="G5052" t="s">
        <v>963</v>
      </c>
      <c r="H5052">
        <v>49</v>
      </c>
      <c r="I5052">
        <v>0.37228600000000001</v>
      </c>
      <c r="J5052">
        <v>0.66608199999999995</v>
      </c>
      <c r="K5052">
        <v>0.293796</v>
      </c>
      <c r="L5052">
        <v>38</v>
      </c>
      <c r="M5052">
        <v>3</v>
      </c>
      <c r="N5052">
        <v>8</v>
      </c>
      <c r="O5052">
        <v>0.66301299999999996</v>
      </c>
      <c r="P5052">
        <v>0.23871600000000001</v>
      </c>
      <c r="Q5052">
        <v>0.24493999999999999</v>
      </c>
    </row>
    <row r="5053" spans="1:17" x14ac:dyDescent="0.25">
      <c r="A5053" t="str">
        <f>IF(C5053&amp;G5053&amp;D5053&lt;&gt;'Funnel setup'!$K$3&amp;'Funnel setup'!$K$4&amp;'Funnel setup'!$K$6,".",IF(A5052=".",1,A5052+1))</f>
        <v>.</v>
      </c>
      <c r="B5053" s="244" t="str">
        <f t="shared" si="78"/>
        <v>Total Knee ReplacementProviderFITZWILLIAM HOSPITAL (NVC06)EQ-5D Index</v>
      </c>
      <c r="C5053" t="s">
        <v>975</v>
      </c>
      <c r="D5053" t="s">
        <v>965</v>
      </c>
      <c r="E5053" t="s">
        <v>244</v>
      </c>
      <c r="F5053" t="s">
        <v>245</v>
      </c>
      <c r="G5053" t="s">
        <v>963</v>
      </c>
      <c r="H5053">
        <v>86</v>
      </c>
      <c r="I5053">
        <v>0.50903500000000002</v>
      </c>
      <c r="J5053">
        <v>0.81424399999999997</v>
      </c>
      <c r="K5053">
        <v>0.30520900000000001</v>
      </c>
      <c r="L5053">
        <v>73</v>
      </c>
      <c r="M5053">
        <v>6</v>
      </c>
      <c r="N5053">
        <v>7</v>
      </c>
      <c r="O5053">
        <v>0.76968499999999995</v>
      </c>
      <c r="P5053">
        <v>0.345387</v>
      </c>
      <c r="Q5053">
        <v>0.17865500000000001</v>
      </c>
    </row>
    <row r="5054" spans="1:17" x14ac:dyDescent="0.25">
      <c r="A5054" t="str">
        <f>IF(C5054&amp;G5054&amp;D5054&lt;&gt;'Funnel setup'!$K$3&amp;'Funnel setup'!$K$4&amp;'Funnel setup'!$K$6,".",IF(A5053=".",1,A5053+1))</f>
        <v>.</v>
      </c>
      <c r="B5054" s="244" t="str">
        <f t="shared" si="78"/>
        <v>Total Knee ReplacementProviderFRIMLEY HEALTH NHS FOUNDATION TRUST (RDU)EQ-5D Index</v>
      </c>
      <c r="C5054" t="s">
        <v>975</v>
      </c>
      <c r="D5054" t="s">
        <v>965</v>
      </c>
      <c r="E5054" t="s">
        <v>248</v>
      </c>
      <c r="F5054" t="s">
        <v>249</v>
      </c>
      <c r="G5054" t="s">
        <v>963</v>
      </c>
      <c r="H5054">
        <v>189</v>
      </c>
      <c r="I5054">
        <v>0.47171400000000002</v>
      </c>
      <c r="J5054">
        <v>0.75149200000000005</v>
      </c>
      <c r="K5054">
        <v>0.27977800000000003</v>
      </c>
      <c r="L5054">
        <v>153</v>
      </c>
      <c r="M5054">
        <v>14</v>
      </c>
      <c r="N5054">
        <v>22</v>
      </c>
      <c r="O5054">
        <v>0.73063800000000001</v>
      </c>
      <c r="P5054">
        <v>0.30634</v>
      </c>
      <c r="Q5054">
        <v>0.22717499999999999</v>
      </c>
    </row>
    <row r="5055" spans="1:17" x14ac:dyDescent="0.25">
      <c r="A5055" t="str">
        <f>IF(C5055&amp;G5055&amp;D5055&lt;&gt;'Funnel setup'!$K$3&amp;'Funnel setup'!$K$4&amp;'Funnel setup'!$K$6,".",IF(A5054=".",1,A5054+1))</f>
        <v>.</v>
      </c>
      <c r="B5055" s="244" t="str">
        <f t="shared" si="78"/>
        <v>Total Knee ReplacementProviderFULWOOD HALL HOSPITAL (NVC07)EQ-5D Index</v>
      </c>
      <c r="C5055" t="s">
        <v>975</v>
      </c>
      <c r="D5055" t="s">
        <v>965</v>
      </c>
      <c r="E5055" t="s">
        <v>250</v>
      </c>
      <c r="F5055" t="s">
        <v>251</v>
      </c>
      <c r="G5055" t="s">
        <v>963</v>
      </c>
      <c r="H5055">
        <v>79</v>
      </c>
      <c r="I5055">
        <v>0.52372200000000002</v>
      </c>
      <c r="J5055">
        <v>0.81083499999999997</v>
      </c>
      <c r="K5055">
        <v>0.28711399999999998</v>
      </c>
      <c r="L5055">
        <v>62</v>
      </c>
      <c r="M5055">
        <v>9</v>
      </c>
      <c r="N5055">
        <v>8</v>
      </c>
      <c r="O5055">
        <v>0.771451</v>
      </c>
      <c r="P5055">
        <v>0.34715400000000002</v>
      </c>
      <c r="Q5055">
        <v>0.22325800000000001</v>
      </c>
    </row>
    <row r="5056" spans="1:17" x14ac:dyDescent="0.25">
      <c r="A5056" t="str">
        <f>IF(C5056&amp;G5056&amp;D5056&lt;&gt;'Funnel setup'!$K$3&amp;'Funnel setup'!$K$4&amp;'Funnel setup'!$K$6,".",IF(A5055=".",1,A5055+1))</f>
        <v>.</v>
      </c>
      <c r="B5056" s="244" t="str">
        <f t="shared" si="78"/>
        <v>Total Knee ReplacementProviderGATESHEAD HEALTH NHS FOUNDATION TRUST (RR7)EQ-5D Index</v>
      </c>
      <c r="C5056" t="s">
        <v>975</v>
      </c>
      <c r="D5056" t="s">
        <v>965</v>
      </c>
      <c r="E5056" t="s">
        <v>252</v>
      </c>
      <c r="F5056" t="s">
        <v>253</v>
      </c>
      <c r="G5056" t="s">
        <v>963</v>
      </c>
      <c r="H5056">
        <v>45</v>
      </c>
      <c r="I5056">
        <v>0.220222</v>
      </c>
      <c r="J5056">
        <v>0.69493300000000002</v>
      </c>
      <c r="K5056">
        <v>0.47471099999999999</v>
      </c>
      <c r="L5056">
        <v>37</v>
      </c>
      <c r="M5056">
        <v>2</v>
      </c>
      <c r="N5056">
        <v>6</v>
      </c>
      <c r="O5056">
        <v>0.79155200000000003</v>
      </c>
      <c r="P5056">
        <v>0.36725400000000002</v>
      </c>
      <c r="Q5056">
        <v>0.30753799999999998</v>
      </c>
    </row>
    <row r="5057" spans="1:17" x14ac:dyDescent="0.25">
      <c r="A5057" t="str">
        <f>IF(C5057&amp;G5057&amp;D5057&lt;&gt;'Funnel setup'!$K$3&amp;'Funnel setup'!$K$4&amp;'Funnel setup'!$K$6,".",IF(A5056=".",1,A5056+1))</f>
        <v>.</v>
      </c>
      <c r="B5057" s="244" t="str">
        <f t="shared" si="78"/>
        <v>Total Knee ReplacementProviderGLOUCESTERSHIRE HOSPITALS NHS FOUNDATION TRUST (RTE)EQ-5D Index</v>
      </c>
      <c r="C5057" t="s">
        <v>975</v>
      </c>
      <c r="D5057" t="s">
        <v>965</v>
      </c>
      <c r="E5057" t="s">
        <v>256</v>
      </c>
      <c r="F5057" t="s">
        <v>257</v>
      </c>
      <c r="G5057" t="s">
        <v>963</v>
      </c>
      <c r="H5057">
        <v>65</v>
      </c>
      <c r="I5057">
        <v>0.33289200000000002</v>
      </c>
      <c r="J5057">
        <v>0.69384599999999996</v>
      </c>
      <c r="K5057">
        <v>0.360954</v>
      </c>
      <c r="L5057">
        <v>51</v>
      </c>
      <c r="M5057">
        <v>10</v>
      </c>
      <c r="N5057">
        <v>4</v>
      </c>
      <c r="O5057">
        <v>0.72800900000000002</v>
      </c>
      <c r="P5057">
        <v>0.30371199999999998</v>
      </c>
      <c r="Q5057">
        <v>0.28396500000000002</v>
      </c>
    </row>
    <row r="5058" spans="1:17" x14ac:dyDescent="0.25">
      <c r="A5058" t="str">
        <f>IF(C5058&amp;G5058&amp;D5058&lt;&gt;'Funnel setup'!$K$3&amp;'Funnel setup'!$K$4&amp;'Funnel setup'!$K$6,".",IF(A5057=".",1,A5057+1))</f>
        <v>.</v>
      </c>
      <c r="B5058" s="244" t="str">
        <f t="shared" ref="B5058:B5121" si="79">C5058&amp;D5058&amp;F5058&amp;G5058</f>
        <v>Total Knee ReplacementProviderGORING HALL HOSPITAL (NT417)EQ-5D Index</v>
      </c>
      <c r="C5058" t="s">
        <v>975</v>
      </c>
      <c r="D5058" t="s">
        <v>965</v>
      </c>
      <c r="E5058" t="s">
        <v>258</v>
      </c>
      <c r="F5058" t="s">
        <v>259</v>
      </c>
      <c r="G5058" t="s">
        <v>963</v>
      </c>
      <c r="H5058">
        <v>24</v>
      </c>
      <c r="I5058">
        <v>0.47437499999999999</v>
      </c>
      <c r="J5058">
        <v>0.82687500000000003</v>
      </c>
      <c r="K5058">
        <v>0.35249999999999998</v>
      </c>
      <c r="L5058">
        <v>21</v>
      </c>
      <c r="M5058">
        <v>1</v>
      </c>
      <c r="N5058">
        <v>2</v>
      </c>
      <c r="O5058" t="s">
        <v>127</v>
      </c>
      <c r="P5058" t="s">
        <v>127</v>
      </c>
      <c r="Q5058" t="s">
        <v>127</v>
      </c>
    </row>
    <row r="5059" spans="1:17" x14ac:dyDescent="0.25">
      <c r="A5059" t="str">
        <f>IF(C5059&amp;G5059&amp;D5059&lt;&gt;'Funnel setup'!$K$3&amp;'Funnel setup'!$K$4&amp;'Funnel setup'!$K$6,".",IF(A5058=".",1,A5058+1))</f>
        <v>.</v>
      </c>
      <c r="B5059" s="244" t="str">
        <f t="shared" si="79"/>
        <v>Total Knee ReplacementProviderGUY'S AND ST THOMAS' NHS FOUNDATION TRUST (RJ1)EQ-5D Index</v>
      </c>
      <c r="C5059" t="s">
        <v>975</v>
      </c>
      <c r="D5059" t="s">
        <v>965</v>
      </c>
      <c r="E5059" t="s">
        <v>262</v>
      </c>
      <c r="F5059" t="s">
        <v>263</v>
      </c>
      <c r="G5059" t="s">
        <v>963</v>
      </c>
      <c r="H5059">
        <v>71</v>
      </c>
      <c r="I5059">
        <v>0.28742299999999998</v>
      </c>
      <c r="J5059">
        <v>0.58609900000000004</v>
      </c>
      <c r="K5059">
        <v>0.298676</v>
      </c>
      <c r="L5059">
        <v>53</v>
      </c>
      <c r="M5059">
        <v>9</v>
      </c>
      <c r="N5059">
        <v>9</v>
      </c>
      <c r="O5059">
        <v>0.66854000000000002</v>
      </c>
      <c r="P5059">
        <v>0.24424299999999999</v>
      </c>
      <c r="Q5059">
        <v>0.298539</v>
      </c>
    </row>
    <row r="5060" spans="1:17" x14ac:dyDescent="0.25">
      <c r="A5060" t="str">
        <f>IF(C5060&amp;G5060&amp;D5060&lt;&gt;'Funnel setup'!$K$3&amp;'Funnel setup'!$K$4&amp;'Funnel setup'!$K$6,".",IF(A5059=".",1,A5059+1))</f>
        <v>.</v>
      </c>
      <c r="B5060" s="244" t="str">
        <f t="shared" si="79"/>
        <v>Total Knee ReplacementProviderHAMPSHIRE CLINIC (NT418)EQ-5D Index</v>
      </c>
      <c r="C5060" t="s">
        <v>975</v>
      </c>
      <c r="D5060" t="s">
        <v>965</v>
      </c>
      <c r="E5060" t="s">
        <v>264</v>
      </c>
      <c r="F5060" t="s">
        <v>265</v>
      </c>
      <c r="G5060" t="s">
        <v>963</v>
      </c>
      <c r="H5060">
        <v>21</v>
      </c>
      <c r="I5060">
        <v>0.50195500000000004</v>
      </c>
      <c r="J5060">
        <v>0.853545</v>
      </c>
      <c r="K5060">
        <v>0.35159099999999999</v>
      </c>
      <c r="L5060">
        <v>19</v>
      </c>
      <c r="M5060">
        <v>2</v>
      </c>
      <c r="N5060">
        <v>0</v>
      </c>
      <c r="O5060" t="s">
        <v>127</v>
      </c>
      <c r="P5060" t="s">
        <v>127</v>
      </c>
      <c r="Q5060" t="s">
        <v>127</v>
      </c>
    </row>
    <row r="5061" spans="1:17" x14ac:dyDescent="0.25">
      <c r="A5061" t="str">
        <f>IF(C5061&amp;G5061&amp;D5061&lt;&gt;'Funnel setup'!$K$3&amp;'Funnel setup'!$K$4&amp;'Funnel setup'!$K$6,".",IF(A5060=".",1,A5060+1))</f>
        <v>.</v>
      </c>
      <c r="B5061" s="244" t="str">
        <f t="shared" si="79"/>
        <v>Total Knee ReplacementProviderHAMPSHIRE HOSPITALS NHS FOUNDATION TRUST (RN5)EQ-5D Index</v>
      </c>
      <c r="C5061" t="s">
        <v>975</v>
      </c>
      <c r="D5061" t="s">
        <v>965</v>
      </c>
      <c r="E5061" t="s">
        <v>266</v>
      </c>
      <c r="F5061" t="s">
        <v>267</v>
      </c>
      <c r="G5061" t="s">
        <v>963</v>
      </c>
      <c r="H5061">
        <v>25</v>
      </c>
      <c r="I5061">
        <v>0.50295999999999996</v>
      </c>
      <c r="J5061">
        <v>0.74492000000000003</v>
      </c>
      <c r="K5061">
        <v>0.24196000000000001</v>
      </c>
      <c r="L5061">
        <v>18</v>
      </c>
      <c r="M5061">
        <v>4</v>
      </c>
      <c r="N5061">
        <v>3</v>
      </c>
      <c r="O5061" t="s">
        <v>127</v>
      </c>
      <c r="P5061" t="s">
        <v>127</v>
      </c>
      <c r="Q5061" t="s">
        <v>127</v>
      </c>
    </row>
    <row r="5062" spans="1:17" x14ac:dyDescent="0.25">
      <c r="A5062" t="str">
        <f>IF(C5062&amp;G5062&amp;D5062&lt;&gt;'Funnel setup'!$K$3&amp;'Funnel setup'!$K$4&amp;'Funnel setup'!$K$6,".",IF(A5061=".",1,A5061+1))</f>
        <v>.</v>
      </c>
      <c r="B5062" s="244" t="str">
        <f t="shared" si="79"/>
        <v>Total Knee ReplacementProviderHARROGATE AND DISTRICT NHS FOUNDATION TRUST (RCD)EQ-5D Index</v>
      </c>
      <c r="C5062" t="s">
        <v>975</v>
      </c>
      <c r="D5062" t="s">
        <v>965</v>
      </c>
      <c r="E5062" t="s">
        <v>270</v>
      </c>
      <c r="F5062" t="s">
        <v>271</v>
      </c>
      <c r="G5062" t="s">
        <v>963</v>
      </c>
      <c r="H5062">
        <v>89</v>
      </c>
      <c r="I5062">
        <v>0.37562899999999999</v>
      </c>
      <c r="J5062">
        <v>0.75671900000000003</v>
      </c>
      <c r="K5062">
        <v>0.38108999999999998</v>
      </c>
      <c r="L5062">
        <v>76</v>
      </c>
      <c r="M5062">
        <v>7</v>
      </c>
      <c r="N5062">
        <v>6</v>
      </c>
      <c r="O5062">
        <v>0.77940600000000004</v>
      </c>
      <c r="P5062">
        <v>0.35510900000000001</v>
      </c>
      <c r="Q5062">
        <v>0.23197999999999999</v>
      </c>
    </row>
    <row r="5063" spans="1:17" x14ac:dyDescent="0.25">
      <c r="A5063" t="str">
        <f>IF(C5063&amp;G5063&amp;D5063&lt;&gt;'Funnel setup'!$K$3&amp;'Funnel setup'!$K$4&amp;'Funnel setup'!$K$6,".",IF(A5062=".",1,A5062+1))</f>
        <v>.</v>
      </c>
      <c r="B5063" s="244" t="str">
        <f t="shared" si="79"/>
        <v>Total Knee ReplacementProviderHIGHFIELD HOSPITAL (NT420)EQ-5D Index</v>
      </c>
      <c r="C5063" t="s">
        <v>975</v>
      </c>
      <c r="D5063" t="s">
        <v>965</v>
      </c>
      <c r="E5063" t="s">
        <v>272</v>
      </c>
      <c r="F5063" t="s">
        <v>273</v>
      </c>
      <c r="G5063" t="s">
        <v>963</v>
      </c>
      <c r="H5063">
        <v>117</v>
      </c>
      <c r="I5063">
        <v>0.45982099999999998</v>
      </c>
      <c r="J5063">
        <v>0.75622199999999995</v>
      </c>
      <c r="K5063">
        <v>0.296402</v>
      </c>
      <c r="L5063">
        <v>96</v>
      </c>
      <c r="M5063">
        <v>9</v>
      </c>
      <c r="N5063">
        <v>12</v>
      </c>
      <c r="O5063">
        <v>0.72491000000000005</v>
      </c>
      <c r="P5063">
        <v>0.30061300000000002</v>
      </c>
      <c r="Q5063">
        <v>0.20543400000000001</v>
      </c>
    </row>
    <row r="5064" spans="1:17" x14ac:dyDescent="0.25">
      <c r="A5064" t="str">
        <f>IF(C5064&amp;G5064&amp;D5064&lt;&gt;'Funnel setup'!$K$3&amp;'Funnel setup'!$K$4&amp;'Funnel setup'!$K$6,".",IF(A5063=".",1,A5063+1))</f>
        <v>.</v>
      </c>
      <c r="B5064" s="244" t="str">
        <f t="shared" si="79"/>
        <v>Total Knee ReplacementProviderHOMERTON HEALTHCARE NHS FOUNDATION TRUST (RQX)EQ-5D Index</v>
      </c>
      <c r="C5064" t="s">
        <v>975</v>
      </c>
      <c r="D5064" t="s">
        <v>965</v>
      </c>
      <c r="E5064" t="s">
        <v>274</v>
      </c>
      <c r="F5064" t="s">
        <v>275</v>
      </c>
      <c r="G5064" t="s">
        <v>963</v>
      </c>
      <c r="H5064">
        <v>4</v>
      </c>
      <c r="I5064">
        <v>0.27775</v>
      </c>
      <c r="J5064">
        <v>0.82525000000000004</v>
      </c>
      <c r="K5064">
        <v>0.54749999999999999</v>
      </c>
      <c r="L5064">
        <v>4</v>
      </c>
      <c r="M5064">
        <v>0</v>
      </c>
      <c r="N5064">
        <v>0</v>
      </c>
      <c r="O5064" t="s">
        <v>127</v>
      </c>
      <c r="P5064" t="s">
        <v>127</v>
      </c>
      <c r="Q5064" t="s">
        <v>127</v>
      </c>
    </row>
    <row r="5065" spans="1:17" x14ac:dyDescent="0.25">
      <c r="A5065" t="str">
        <f>IF(C5065&amp;G5065&amp;D5065&lt;&gt;'Funnel setup'!$K$3&amp;'Funnel setup'!$K$4&amp;'Funnel setup'!$K$6,".",IF(A5064=".",1,A5064+1))</f>
        <v>.</v>
      </c>
      <c r="B5065" s="244" t="str">
        <f t="shared" si="79"/>
        <v>Total Knee ReplacementProviderHUDDERSFIELD HOSPITAL (NT448)EQ-5D Index</v>
      </c>
      <c r="C5065" t="s">
        <v>975</v>
      </c>
      <c r="D5065" t="s">
        <v>965</v>
      </c>
      <c r="E5065" t="s">
        <v>276</v>
      </c>
      <c r="F5065" t="s">
        <v>277</v>
      </c>
      <c r="G5065" t="s">
        <v>963</v>
      </c>
      <c r="H5065">
        <v>3</v>
      </c>
      <c r="I5065">
        <v>0.52500000000000002</v>
      </c>
      <c r="J5065">
        <v>0.83533299999999999</v>
      </c>
      <c r="K5065">
        <v>0.31033300000000003</v>
      </c>
      <c r="L5065">
        <v>3</v>
      </c>
      <c r="M5065">
        <v>0</v>
      </c>
      <c r="N5065">
        <v>0</v>
      </c>
      <c r="O5065" t="s">
        <v>127</v>
      </c>
      <c r="P5065" t="s">
        <v>127</v>
      </c>
      <c r="Q5065" t="s">
        <v>127</v>
      </c>
    </row>
    <row r="5066" spans="1:17" x14ac:dyDescent="0.25">
      <c r="A5066" t="str">
        <f>IF(C5066&amp;G5066&amp;D5066&lt;&gt;'Funnel setup'!$K$3&amp;'Funnel setup'!$K$4&amp;'Funnel setup'!$K$6,".",IF(A5065=".",1,A5065+1))</f>
        <v>.</v>
      </c>
      <c r="B5066" s="244" t="str">
        <f t="shared" si="79"/>
        <v>Total Knee ReplacementProviderHULL UNIVERSITY TEACHING HOSPITALS NHS TRUST (RWA)EQ-5D Index</v>
      </c>
      <c r="C5066" t="s">
        <v>975</v>
      </c>
      <c r="D5066" t="s">
        <v>965</v>
      </c>
      <c r="E5066" t="s">
        <v>278</v>
      </c>
      <c r="F5066" t="s">
        <v>279</v>
      </c>
      <c r="G5066" t="s">
        <v>963</v>
      </c>
      <c r="H5066">
        <v>29</v>
      </c>
      <c r="I5066">
        <v>0.391069</v>
      </c>
      <c r="J5066">
        <v>0.73931000000000002</v>
      </c>
      <c r="K5066">
        <v>0.34824100000000002</v>
      </c>
      <c r="L5066">
        <v>23</v>
      </c>
      <c r="M5066">
        <v>2</v>
      </c>
      <c r="N5066">
        <v>4</v>
      </c>
      <c r="O5066" t="s">
        <v>127</v>
      </c>
      <c r="P5066" t="s">
        <v>127</v>
      </c>
      <c r="Q5066" t="s">
        <v>127</v>
      </c>
    </row>
    <row r="5067" spans="1:17" x14ac:dyDescent="0.25">
      <c r="A5067" t="str">
        <f>IF(C5067&amp;G5067&amp;D5067&lt;&gt;'Funnel setup'!$K$3&amp;'Funnel setup'!$K$4&amp;'Funnel setup'!$K$6,".",IF(A5066=".",1,A5066+1))</f>
        <v>.</v>
      </c>
      <c r="B5067" s="244" t="str">
        <f t="shared" si="79"/>
        <v>Total Knee ReplacementProviderIMPERIAL COLLEGE HEALTHCARE NHS TRUST (RYJ)EQ-5D Index</v>
      </c>
      <c r="C5067" t="s">
        <v>975</v>
      </c>
      <c r="D5067" t="s">
        <v>965</v>
      </c>
      <c r="E5067" t="s">
        <v>280</v>
      </c>
      <c r="F5067" t="s">
        <v>281</v>
      </c>
      <c r="G5067" t="s">
        <v>963</v>
      </c>
      <c r="H5067">
        <v>22</v>
      </c>
      <c r="I5067">
        <v>0.187</v>
      </c>
      <c r="J5067">
        <v>0.71013599999999999</v>
      </c>
      <c r="K5067">
        <v>0.52313600000000005</v>
      </c>
      <c r="L5067">
        <v>19</v>
      </c>
      <c r="M5067">
        <v>1</v>
      </c>
      <c r="N5067">
        <v>2</v>
      </c>
      <c r="O5067" t="s">
        <v>127</v>
      </c>
      <c r="P5067" t="s">
        <v>127</v>
      </c>
      <c r="Q5067" t="s">
        <v>127</v>
      </c>
    </row>
    <row r="5068" spans="1:17" x14ac:dyDescent="0.25">
      <c r="A5068" t="str">
        <f>IF(C5068&amp;G5068&amp;D5068&lt;&gt;'Funnel setup'!$K$3&amp;'Funnel setup'!$K$4&amp;'Funnel setup'!$K$6,".",IF(A5067=".",1,A5067+1))</f>
        <v>.</v>
      </c>
      <c r="B5068" s="244" t="str">
        <f t="shared" si="79"/>
        <v>Total Knee ReplacementProviderISLE OF WIGHT NHS TRUST (R1F)EQ-5D Index</v>
      </c>
      <c r="C5068" t="s">
        <v>975</v>
      </c>
      <c r="D5068" t="s">
        <v>965</v>
      </c>
      <c r="E5068" t="s">
        <v>282</v>
      </c>
      <c r="F5068" t="s">
        <v>283</v>
      </c>
      <c r="G5068" t="s">
        <v>963</v>
      </c>
      <c r="H5068">
        <v>3</v>
      </c>
      <c r="I5068">
        <v>0.525667</v>
      </c>
      <c r="J5068">
        <v>0.49666700000000003</v>
      </c>
      <c r="K5068">
        <v>-2.9000000000000001E-2</v>
      </c>
      <c r="L5068">
        <v>1</v>
      </c>
      <c r="M5068">
        <v>1</v>
      </c>
      <c r="N5068">
        <v>1</v>
      </c>
      <c r="O5068" t="s">
        <v>127</v>
      </c>
      <c r="P5068" t="s">
        <v>127</v>
      </c>
      <c r="Q5068" t="s">
        <v>127</v>
      </c>
    </row>
    <row r="5069" spans="1:17" x14ac:dyDescent="0.25">
      <c r="A5069" t="str">
        <f>IF(C5069&amp;G5069&amp;D5069&lt;&gt;'Funnel setup'!$K$3&amp;'Funnel setup'!$K$4&amp;'Funnel setup'!$K$6,".",IF(A5068=".",1,A5068+1))</f>
        <v>.</v>
      </c>
      <c r="B5069" s="244" t="str">
        <f t="shared" si="79"/>
        <v>Total Knee ReplacementProviderJAMES PAGET UNIVERSITY HOSPITALS NHS FOUNDATION TRUST (RGP)EQ-5D Index</v>
      </c>
      <c r="C5069" t="s">
        <v>975</v>
      </c>
      <c r="D5069" t="s">
        <v>965</v>
      </c>
      <c r="E5069" t="s">
        <v>284</v>
      </c>
      <c r="F5069" t="s">
        <v>285</v>
      </c>
      <c r="G5069" t="s">
        <v>963</v>
      </c>
      <c r="H5069">
        <v>59</v>
      </c>
      <c r="I5069">
        <v>0.37513600000000002</v>
      </c>
      <c r="J5069">
        <v>0.73167800000000005</v>
      </c>
      <c r="K5069">
        <v>0.35654200000000003</v>
      </c>
      <c r="L5069">
        <v>47</v>
      </c>
      <c r="M5069">
        <v>7</v>
      </c>
      <c r="N5069">
        <v>5</v>
      </c>
      <c r="O5069">
        <v>0.76281699999999997</v>
      </c>
      <c r="P5069">
        <v>0.33851999999999999</v>
      </c>
      <c r="Q5069">
        <v>0.18856999999999999</v>
      </c>
    </row>
    <row r="5070" spans="1:17" x14ac:dyDescent="0.25">
      <c r="A5070" t="str">
        <f>IF(C5070&amp;G5070&amp;D5070&lt;&gt;'Funnel setup'!$K$3&amp;'Funnel setup'!$K$4&amp;'Funnel setup'!$K$6,".",IF(A5069=".",1,A5069+1))</f>
        <v>.</v>
      </c>
      <c r="B5070" s="244" t="str">
        <f t="shared" si="79"/>
        <v>Total Knee ReplacementProviderKETTERING GENERAL HOSPITAL NHS FOUNDATION TRUST (RNQ)EQ-5D Index</v>
      </c>
      <c r="C5070" t="s">
        <v>975</v>
      </c>
      <c r="D5070" t="s">
        <v>965</v>
      </c>
      <c r="E5070" t="s">
        <v>286</v>
      </c>
      <c r="F5070" t="s">
        <v>287</v>
      </c>
      <c r="G5070" t="s">
        <v>963</v>
      </c>
      <c r="H5070">
        <v>30</v>
      </c>
      <c r="I5070">
        <v>0.39616699999999999</v>
      </c>
      <c r="J5070">
        <v>0.72206700000000001</v>
      </c>
      <c r="K5070">
        <v>0.32590000000000002</v>
      </c>
      <c r="L5070">
        <v>23</v>
      </c>
      <c r="M5070">
        <v>2</v>
      </c>
      <c r="N5070">
        <v>5</v>
      </c>
      <c r="O5070">
        <v>0.77770099999999998</v>
      </c>
      <c r="P5070">
        <v>0.35340300000000002</v>
      </c>
      <c r="Q5070">
        <v>0.25512400000000002</v>
      </c>
    </row>
    <row r="5071" spans="1:17" x14ac:dyDescent="0.25">
      <c r="A5071" t="str">
        <f>IF(C5071&amp;G5071&amp;D5071&lt;&gt;'Funnel setup'!$K$3&amp;'Funnel setup'!$K$4&amp;'Funnel setup'!$K$6,".",IF(A5070=".",1,A5070+1))</f>
        <v>.</v>
      </c>
      <c r="B5071" s="244" t="str">
        <f t="shared" si="79"/>
        <v>Total Knee ReplacementProviderKIMS HOSPITAL (NEWNHAM COURT) (ADP02)EQ-5D Index</v>
      </c>
      <c r="C5071" t="s">
        <v>975</v>
      </c>
      <c r="D5071" t="s">
        <v>965</v>
      </c>
      <c r="E5071" t="s">
        <v>288</v>
      </c>
      <c r="F5071" t="s">
        <v>289</v>
      </c>
      <c r="G5071" t="s">
        <v>963</v>
      </c>
      <c r="H5071">
        <v>132</v>
      </c>
      <c r="I5071">
        <v>0.48353800000000002</v>
      </c>
      <c r="J5071">
        <v>0.82786400000000004</v>
      </c>
      <c r="K5071">
        <v>0.34432600000000002</v>
      </c>
      <c r="L5071">
        <v>112</v>
      </c>
      <c r="M5071">
        <v>9</v>
      </c>
      <c r="N5071">
        <v>11</v>
      </c>
      <c r="O5071">
        <v>0.80001800000000001</v>
      </c>
      <c r="P5071">
        <v>0.37572100000000003</v>
      </c>
      <c r="Q5071">
        <v>0.20364499999999999</v>
      </c>
    </row>
    <row r="5072" spans="1:17" x14ac:dyDescent="0.25">
      <c r="A5072" t="str">
        <f>IF(C5072&amp;G5072&amp;D5072&lt;&gt;'Funnel setup'!$K$3&amp;'Funnel setup'!$K$4&amp;'Funnel setup'!$K$6,".",IF(A5071=".",1,A5071+1))</f>
        <v>.</v>
      </c>
      <c r="B5072" s="244" t="str">
        <f t="shared" si="79"/>
        <v>Total Knee ReplacementProviderKING'S COLLEGE HOSPITAL NHS FOUNDATION TRUST (RJZ)EQ-5D Index</v>
      </c>
      <c r="C5072" t="s">
        <v>975</v>
      </c>
      <c r="D5072" t="s">
        <v>965</v>
      </c>
      <c r="E5072" t="s">
        <v>290</v>
      </c>
      <c r="F5072" t="s">
        <v>291</v>
      </c>
      <c r="G5072" t="s">
        <v>963</v>
      </c>
      <c r="H5072">
        <v>14</v>
      </c>
      <c r="I5072">
        <v>0.36835699999999999</v>
      </c>
      <c r="J5072">
        <v>0.53249999999999997</v>
      </c>
      <c r="K5072">
        <v>0.16414300000000001</v>
      </c>
      <c r="L5072">
        <v>9</v>
      </c>
      <c r="M5072">
        <v>0</v>
      </c>
      <c r="N5072">
        <v>5</v>
      </c>
      <c r="O5072" t="s">
        <v>127</v>
      </c>
      <c r="P5072" t="s">
        <v>127</v>
      </c>
      <c r="Q5072" t="s">
        <v>127</v>
      </c>
    </row>
    <row r="5073" spans="1:17" x14ac:dyDescent="0.25">
      <c r="A5073" t="str">
        <f>IF(C5073&amp;G5073&amp;D5073&lt;&gt;'Funnel setup'!$K$3&amp;'Funnel setup'!$K$4&amp;'Funnel setup'!$K$6,".",IF(A5072=".",1,A5072+1))</f>
        <v>.</v>
      </c>
      <c r="B5073" s="244" t="str">
        <f t="shared" si="79"/>
        <v>Total Knee ReplacementProviderKINGS OAK HOSPITAL (NT421)EQ-5D Index</v>
      </c>
      <c r="C5073" t="s">
        <v>975</v>
      </c>
      <c r="D5073" t="s">
        <v>965</v>
      </c>
      <c r="E5073" t="s">
        <v>292</v>
      </c>
      <c r="F5073" t="s">
        <v>293</v>
      </c>
      <c r="G5073" t="s">
        <v>963</v>
      </c>
      <c r="H5073">
        <v>6</v>
      </c>
      <c r="I5073">
        <v>0.29816700000000002</v>
      </c>
      <c r="J5073">
        <v>0.60666699999999996</v>
      </c>
      <c r="K5073">
        <v>0.3085</v>
      </c>
      <c r="L5073">
        <v>4</v>
      </c>
      <c r="M5073">
        <v>2</v>
      </c>
      <c r="N5073">
        <v>0</v>
      </c>
      <c r="O5073" t="s">
        <v>127</v>
      </c>
      <c r="P5073" t="s">
        <v>127</v>
      </c>
      <c r="Q5073" t="s">
        <v>127</v>
      </c>
    </row>
    <row r="5074" spans="1:17" x14ac:dyDescent="0.25">
      <c r="A5074" t="str">
        <f>IF(C5074&amp;G5074&amp;D5074&lt;&gt;'Funnel setup'!$K$3&amp;'Funnel setup'!$K$4&amp;'Funnel setup'!$K$6,".",IF(A5073=".",1,A5073+1))</f>
        <v>.</v>
      </c>
      <c r="B5074" s="244" t="str">
        <f t="shared" si="79"/>
        <v>Total Knee ReplacementProviderLANCASHIRE TEACHING HOSPITALS NHS FOUNDATION TRUST (RXN)EQ-5D Index</v>
      </c>
      <c r="C5074" t="s">
        <v>975</v>
      </c>
      <c r="D5074" t="s">
        <v>965</v>
      </c>
      <c r="E5074" t="s">
        <v>296</v>
      </c>
      <c r="F5074" t="s">
        <v>297</v>
      </c>
      <c r="G5074" t="s">
        <v>963</v>
      </c>
      <c r="H5074">
        <v>44</v>
      </c>
      <c r="I5074">
        <v>0.26906799999999997</v>
      </c>
      <c r="J5074">
        <v>0.72295500000000001</v>
      </c>
      <c r="K5074">
        <v>0.45388600000000001</v>
      </c>
      <c r="L5074">
        <v>40</v>
      </c>
      <c r="M5074">
        <v>1</v>
      </c>
      <c r="N5074">
        <v>3</v>
      </c>
      <c r="O5074">
        <v>0.80487799999999998</v>
      </c>
      <c r="P5074">
        <v>0.380581</v>
      </c>
      <c r="Q5074">
        <v>0.27782299999999999</v>
      </c>
    </row>
    <row r="5075" spans="1:17" x14ac:dyDescent="0.25">
      <c r="A5075" t="str">
        <f>IF(C5075&amp;G5075&amp;D5075&lt;&gt;'Funnel setup'!$K$3&amp;'Funnel setup'!$K$4&amp;'Funnel setup'!$K$6,".",IF(A5074=".",1,A5074+1))</f>
        <v>.</v>
      </c>
      <c r="B5075" s="244" t="str">
        <f t="shared" si="79"/>
        <v>Total Knee ReplacementProviderLANCASTER HOSPITAL (NT449)EQ-5D Index</v>
      </c>
      <c r="C5075" t="s">
        <v>975</v>
      </c>
      <c r="D5075" t="s">
        <v>965</v>
      </c>
      <c r="E5075" t="s">
        <v>298</v>
      </c>
      <c r="F5075" t="s">
        <v>299</v>
      </c>
      <c r="G5075" t="s">
        <v>963</v>
      </c>
      <c r="H5075">
        <v>31</v>
      </c>
      <c r="I5075">
        <v>0.51229000000000002</v>
      </c>
      <c r="J5075">
        <v>0.79180600000000001</v>
      </c>
      <c r="K5075">
        <v>0.27951599999999999</v>
      </c>
      <c r="L5075">
        <v>27</v>
      </c>
      <c r="M5075">
        <v>2</v>
      </c>
      <c r="N5075">
        <v>2</v>
      </c>
      <c r="O5075">
        <v>0.73801300000000003</v>
      </c>
      <c r="P5075">
        <v>0.31371500000000002</v>
      </c>
      <c r="Q5075">
        <v>0.118233</v>
      </c>
    </row>
    <row r="5076" spans="1:17" x14ac:dyDescent="0.25">
      <c r="A5076" t="str">
        <f>IF(C5076&amp;G5076&amp;D5076&lt;&gt;'Funnel setup'!$K$3&amp;'Funnel setup'!$K$4&amp;'Funnel setup'!$K$6,".",IF(A5075=".",1,A5075+1))</f>
        <v>.</v>
      </c>
      <c r="B5076" s="244" t="str">
        <f t="shared" si="79"/>
        <v>Total Knee ReplacementProviderLEEDS TEACHING HOSPITALS NHS TRUST (RR8)EQ-5D Index</v>
      </c>
      <c r="C5076" t="s">
        <v>975</v>
      </c>
      <c r="D5076" t="s">
        <v>965</v>
      </c>
      <c r="E5076" t="s">
        <v>300</v>
      </c>
      <c r="F5076" t="s">
        <v>301</v>
      </c>
      <c r="G5076" t="s">
        <v>963</v>
      </c>
      <c r="H5076">
        <v>106</v>
      </c>
      <c r="I5076">
        <v>0.42865999999999999</v>
      </c>
      <c r="J5076">
        <v>0.69358500000000001</v>
      </c>
      <c r="K5076">
        <v>0.26492500000000002</v>
      </c>
      <c r="L5076">
        <v>78</v>
      </c>
      <c r="M5076">
        <v>10</v>
      </c>
      <c r="N5076">
        <v>18</v>
      </c>
      <c r="O5076">
        <v>0.71821800000000002</v>
      </c>
      <c r="P5076">
        <v>0.29392099999999999</v>
      </c>
      <c r="Q5076">
        <v>0.22395899999999999</v>
      </c>
    </row>
    <row r="5077" spans="1:17" x14ac:dyDescent="0.25">
      <c r="A5077" t="str">
        <f>IF(C5077&amp;G5077&amp;D5077&lt;&gt;'Funnel setup'!$K$3&amp;'Funnel setup'!$K$4&amp;'Funnel setup'!$K$6,".",IF(A5076=".",1,A5076+1))</f>
        <v>.</v>
      </c>
      <c r="B5077" s="244" t="str">
        <f t="shared" si="79"/>
        <v>Total Knee ReplacementProviderLINCOLN HOSPITAL (NT450)EQ-5D Index</v>
      </c>
      <c r="C5077" t="s">
        <v>975</v>
      </c>
      <c r="D5077" t="s">
        <v>965</v>
      </c>
      <c r="E5077" t="s">
        <v>304</v>
      </c>
      <c r="F5077" t="s">
        <v>305</v>
      </c>
      <c r="G5077" t="s">
        <v>963</v>
      </c>
      <c r="H5077">
        <v>66</v>
      </c>
      <c r="I5077">
        <v>0.529254</v>
      </c>
      <c r="J5077">
        <v>0.84659700000000004</v>
      </c>
      <c r="K5077">
        <v>0.31734299999999999</v>
      </c>
      <c r="L5077">
        <v>55</v>
      </c>
      <c r="M5077">
        <v>6</v>
      </c>
      <c r="N5077">
        <v>5</v>
      </c>
      <c r="O5077">
        <v>0.80753900000000001</v>
      </c>
      <c r="P5077">
        <v>0.38324200000000003</v>
      </c>
      <c r="Q5077">
        <v>0.167271</v>
      </c>
    </row>
    <row r="5078" spans="1:17" x14ac:dyDescent="0.25">
      <c r="A5078" t="str">
        <f>IF(C5078&amp;G5078&amp;D5078&lt;&gt;'Funnel setup'!$K$3&amp;'Funnel setup'!$K$4&amp;'Funnel setup'!$K$6,".",IF(A5077=".",1,A5077+1))</f>
        <v>.</v>
      </c>
      <c r="B5078" s="244" t="str">
        <f t="shared" si="79"/>
        <v>Total Knee ReplacementProviderLIVERPOOL UNIVERSITY HOSPITALS NHS FOUNDATION TRUST (REM)EQ-5D Index</v>
      </c>
      <c r="C5078" t="s">
        <v>975</v>
      </c>
      <c r="D5078" t="s">
        <v>965</v>
      </c>
      <c r="E5078" t="s">
        <v>306</v>
      </c>
      <c r="F5078" t="s">
        <v>307</v>
      </c>
      <c r="G5078" t="s">
        <v>963</v>
      </c>
      <c r="H5078">
        <v>61</v>
      </c>
      <c r="I5078">
        <v>0.21926200000000001</v>
      </c>
      <c r="J5078">
        <v>0.68370500000000001</v>
      </c>
      <c r="K5078">
        <v>0.46444299999999999</v>
      </c>
      <c r="L5078">
        <v>53</v>
      </c>
      <c r="M5078">
        <v>4</v>
      </c>
      <c r="N5078">
        <v>4</v>
      </c>
      <c r="O5078">
        <v>0.75360700000000003</v>
      </c>
      <c r="P5078">
        <v>0.32930900000000002</v>
      </c>
      <c r="Q5078">
        <v>0.27352300000000002</v>
      </c>
    </row>
    <row r="5079" spans="1:17" x14ac:dyDescent="0.25">
      <c r="A5079" t="str">
        <f>IF(C5079&amp;G5079&amp;D5079&lt;&gt;'Funnel setup'!$K$3&amp;'Funnel setup'!$K$4&amp;'Funnel setup'!$K$6,".",IF(A5078=".",1,A5078+1))</f>
        <v>.</v>
      </c>
      <c r="B5079" s="244" t="str">
        <f t="shared" si="79"/>
        <v>Total Knee ReplacementProviderLONDON INDEPENDENT HOSPITAL (NT422)EQ-5D Index</v>
      </c>
      <c r="C5079" t="s">
        <v>975</v>
      </c>
      <c r="D5079" t="s">
        <v>965</v>
      </c>
      <c r="E5079" t="s">
        <v>308</v>
      </c>
      <c r="F5079" t="s">
        <v>309</v>
      </c>
      <c r="G5079" t="s">
        <v>963</v>
      </c>
      <c r="H5079">
        <v>8</v>
      </c>
      <c r="I5079">
        <v>0.32224999999999998</v>
      </c>
      <c r="J5079">
        <v>0.42162500000000003</v>
      </c>
      <c r="K5079">
        <v>9.9375000000000005E-2</v>
      </c>
      <c r="L5079">
        <v>4</v>
      </c>
      <c r="M5079">
        <v>1</v>
      </c>
      <c r="N5079">
        <v>3</v>
      </c>
      <c r="O5079" t="s">
        <v>127</v>
      </c>
      <c r="P5079" t="s">
        <v>127</v>
      </c>
      <c r="Q5079" t="s">
        <v>127</v>
      </c>
    </row>
    <row r="5080" spans="1:17" x14ac:dyDescent="0.25">
      <c r="A5080" t="str">
        <f>IF(C5080&amp;G5080&amp;D5080&lt;&gt;'Funnel setup'!$K$3&amp;'Funnel setup'!$K$4&amp;'Funnel setup'!$K$6,".",IF(A5079=".",1,A5079+1))</f>
        <v>.</v>
      </c>
      <c r="B5080" s="244" t="str">
        <f t="shared" si="79"/>
        <v>Total Knee ReplacementProviderMAIDSTONE AND TUNBRIDGE WELLS NHS TRUST (RWF)EQ-5D Index</v>
      </c>
      <c r="C5080" t="s">
        <v>975</v>
      </c>
      <c r="D5080" t="s">
        <v>965</v>
      </c>
      <c r="E5080" t="s">
        <v>312</v>
      </c>
      <c r="F5080" t="s">
        <v>313</v>
      </c>
      <c r="G5080" t="s">
        <v>963</v>
      </c>
      <c r="H5080">
        <v>137</v>
      </c>
      <c r="I5080">
        <v>0.47940100000000002</v>
      </c>
      <c r="J5080">
        <v>0.81040100000000004</v>
      </c>
      <c r="K5080">
        <v>0.33100000000000002</v>
      </c>
      <c r="L5080">
        <v>115</v>
      </c>
      <c r="M5080">
        <v>15</v>
      </c>
      <c r="N5080">
        <v>7</v>
      </c>
      <c r="O5080">
        <v>0.77867299999999995</v>
      </c>
      <c r="P5080">
        <v>0.35437600000000002</v>
      </c>
      <c r="Q5080">
        <v>0.18751399999999999</v>
      </c>
    </row>
    <row r="5081" spans="1:17" x14ac:dyDescent="0.25">
      <c r="A5081" t="str">
        <f>IF(C5081&amp;G5081&amp;D5081&lt;&gt;'Funnel setup'!$K$3&amp;'Funnel setup'!$K$4&amp;'Funnel setup'!$K$6,".",IF(A5080=".",1,A5080+1))</f>
        <v>.</v>
      </c>
      <c r="B5081" s="244" t="str">
        <f t="shared" si="79"/>
        <v>Total Knee ReplacementProviderMANCHESTER UNIVERSITY NHS FOUNDATION TRUST (R0A)EQ-5D Index</v>
      </c>
      <c r="C5081" t="s">
        <v>975</v>
      </c>
      <c r="D5081" t="s">
        <v>965</v>
      </c>
      <c r="E5081" t="s">
        <v>316</v>
      </c>
      <c r="F5081" t="s">
        <v>317</v>
      </c>
      <c r="G5081" t="s">
        <v>963</v>
      </c>
      <c r="H5081">
        <v>105</v>
      </c>
      <c r="I5081">
        <v>0.30526700000000001</v>
      </c>
      <c r="J5081">
        <v>0.70043800000000001</v>
      </c>
      <c r="K5081">
        <v>0.39517099999999999</v>
      </c>
      <c r="L5081">
        <v>89</v>
      </c>
      <c r="M5081">
        <v>7</v>
      </c>
      <c r="N5081">
        <v>9</v>
      </c>
      <c r="O5081">
        <v>0.73726400000000003</v>
      </c>
      <c r="P5081">
        <v>0.312967</v>
      </c>
      <c r="Q5081">
        <v>0.27988000000000002</v>
      </c>
    </row>
    <row r="5082" spans="1:17" x14ac:dyDescent="0.25">
      <c r="A5082" t="str">
        <f>IF(C5082&amp;G5082&amp;D5082&lt;&gt;'Funnel setup'!$K$3&amp;'Funnel setup'!$K$4&amp;'Funnel setup'!$K$6,".",IF(A5081=".",1,A5081+1))</f>
        <v>.</v>
      </c>
      <c r="B5082" s="244" t="str">
        <f t="shared" si="79"/>
        <v>Total Knee ReplacementProviderMANOR HOSPITAL (NT423)EQ-5D Index</v>
      </c>
      <c r="C5082" t="s">
        <v>975</v>
      </c>
      <c r="D5082" t="s">
        <v>965</v>
      </c>
      <c r="E5082" t="s">
        <v>318</v>
      </c>
      <c r="F5082" t="s">
        <v>319</v>
      </c>
      <c r="G5082" t="s">
        <v>963</v>
      </c>
      <c r="H5082">
        <v>14</v>
      </c>
      <c r="I5082">
        <v>0.40550000000000003</v>
      </c>
      <c r="J5082">
        <v>0.77</v>
      </c>
      <c r="K5082">
        <v>0.36449999999999999</v>
      </c>
      <c r="L5082">
        <v>13</v>
      </c>
      <c r="M5082">
        <v>1</v>
      </c>
      <c r="N5082">
        <v>0</v>
      </c>
      <c r="O5082" t="s">
        <v>127</v>
      </c>
      <c r="P5082" t="s">
        <v>127</v>
      </c>
      <c r="Q5082" t="s">
        <v>127</v>
      </c>
    </row>
    <row r="5083" spans="1:17" x14ac:dyDescent="0.25">
      <c r="A5083" t="str">
        <f>IF(C5083&amp;G5083&amp;D5083&lt;&gt;'Funnel setup'!$K$3&amp;'Funnel setup'!$K$4&amp;'Funnel setup'!$K$6,".",IF(A5082=".",1,A5082+1))</f>
        <v>.</v>
      </c>
      <c r="B5083" s="244" t="str">
        <f t="shared" si="79"/>
        <v>Total Knee ReplacementProviderMEDWAY NHS FOUNDATION TRUST (RPA)EQ-5D Index</v>
      </c>
      <c r="C5083" t="s">
        <v>975</v>
      </c>
      <c r="D5083" t="s">
        <v>965</v>
      </c>
      <c r="E5083" t="s">
        <v>320</v>
      </c>
      <c r="F5083" t="s">
        <v>321</v>
      </c>
      <c r="G5083" t="s">
        <v>963</v>
      </c>
      <c r="H5083">
        <v>46</v>
      </c>
      <c r="I5083">
        <v>0.486848</v>
      </c>
      <c r="J5083">
        <v>0.76802199999999998</v>
      </c>
      <c r="K5083">
        <v>0.28117399999999998</v>
      </c>
      <c r="L5083">
        <v>37</v>
      </c>
      <c r="M5083">
        <v>4</v>
      </c>
      <c r="N5083">
        <v>5</v>
      </c>
      <c r="O5083">
        <v>0.76719999999999999</v>
      </c>
      <c r="P5083">
        <v>0.34290199999999998</v>
      </c>
      <c r="Q5083">
        <v>0.253193</v>
      </c>
    </row>
    <row r="5084" spans="1:17" x14ac:dyDescent="0.25">
      <c r="A5084" t="str">
        <f>IF(C5084&amp;G5084&amp;D5084&lt;&gt;'Funnel setup'!$K$3&amp;'Funnel setup'!$K$4&amp;'Funnel setup'!$K$6,".",IF(A5083=".",1,A5083+1))</f>
        <v>.</v>
      </c>
      <c r="B5084" s="244" t="str">
        <f t="shared" si="79"/>
        <v>Total Knee ReplacementProviderMERIDEN HOSPITAL (NT424)EQ-5D Index</v>
      </c>
      <c r="C5084" t="s">
        <v>975</v>
      </c>
      <c r="D5084" t="s">
        <v>965</v>
      </c>
      <c r="E5084" t="s">
        <v>322</v>
      </c>
      <c r="F5084" t="s">
        <v>323</v>
      </c>
      <c r="G5084" t="s">
        <v>963</v>
      </c>
      <c r="H5084">
        <v>7</v>
      </c>
      <c r="I5084">
        <v>0.45214300000000002</v>
      </c>
      <c r="J5084">
        <v>0.89685700000000002</v>
      </c>
      <c r="K5084">
        <v>0.444714</v>
      </c>
      <c r="L5084">
        <v>7</v>
      </c>
      <c r="M5084">
        <v>0</v>
      </c>
      <c r="N5084">
        <v>0</v>
      </c>
      <c r="O5084" t="s">
        <v>127</v>
      </c>
      <c r="P5084" t="s">
        <v>127</v>
      </c>
      <c r="Q5084" t="s">
        <v>127</v>
      </c>
    </row>
    <row r="5085" spans="1:17" x14ac:dyDescent="0.25">
      <c r="A5085" t="str">
        <f>IF(C5085&amp;G5085&amp;D5085&lt;&gt;'Funnel setup'!$K$3&amp;'Funnel setup'!$K$4&amp;'Funnel setup'!$K$6,".",IF(A5084=".",1,A5084+1))</f>
        <v>.</v>
      </c>
      <c r="B5085" s="244" t="str">
        <f t="shared" si="79"/>
        <v>Total Knee ReplacementProviderMID AND SOUTH ESSEX NHS FOUNDATION TRUST (RAJ)EQ-5D Index</v>
      </c>
      <c r="C5085" t="s">
        <v>975</v>
      </c>
      <c r="D5085" t="s">
        <v>965</v>
      </c>
      <c r="E5085" t="s">
        <v>324</v>
      </c>
      <c r="F5085" t="s">
        <v>325</v>
      </c>
      <c r="G5085" t="s">
        <v>963</v>
      </c>
      <c r="H5085">
        <v>129</v>
      </c>
      <c r="I5085">
        <v>0.31713999999999998</v>
      </c>
      <c r="J5085">
        <v>0.70191499999999996</v>
      </c>
      <c r="K5085">
        <v>0.38477499999999998</v>
      </c>
      <c r="L5085">
        <v>106</v>
      </c>
      <c r="M5085">
        <v>7</v>
      </c>
      <c r="N5085">
        <v>16</v>
      </c>
      <c r="O5085">
        <v>0.74247399999999997</v>
      </c>
      <c r="P5085">
        <v>0.31817600000000001</v>
      </c>
      <c r="Q5085">
        <v>0.28581699999999999</v>
      </c>
    </row>
    <row r="5086" spans="1:17" x14ac:dyDescent="0.25">
      <c r="A5086" t="str">
        <f>IF(C5086&amp;G5086&amp;D5086&lt;&gt;'Funnel setup'!$K$3&amp;'Funnel setup'!$K$4&amp;'Funnel setup'!$K$6,".",IF(A5085=".",1,A5085+1))</f>
        <v>.</v>
      </c>
      <c r="B5086" s="244" t="str">
        <f t="shared" si="79"/>
        <v>Total Knee ReplacementProviderMID CHESHIRE HOSPITALS NHS FOUNDATION TRUST (RBT)EQ-5D Index</v>
      </c>
      <c r="C5086" t="s">
        <v>975</v>
      </c>
      <c r="D5086" t="s">
        <v>965</v>
      </c>
      <c r="E5086" t="s">
        <v>326</v>
      </c>
      <c r="F5086" t="s">
        <v>327</v>
      </c>
      <c r="G5086" t="s">
        <v>963</v>
      </c>
      <c r="H5086">
        <v>84</v>
      </c>
      <c r="I5086">
        <v>0.46340500000000001</v>
      </c>
      <c r="J5086">
        <v>0.77605999999999997</v>
      </c>
      <c r="K5086">
        <v>0.31265500000000002</v>
      </c>
      <c r="L5086">
        <v>69</v>
      </c>
      <c r="M5086">
        <v>7</v>
      </c>
      <c r="N5086">
        <v>8</v>
      </c>
      <c r="O5086">
        <v>0.77050600000000002</v>
      </c>
      <c r="P5086">
        <v>0.34620800000000002</v>
      </c>
      <c r="Q5086">
        <v>0.2155</v>
      </c>
    </row>
    <row r="5087" spans="1:17" x14ac:dyDescent="0.25">
      <c r="A5087" t="str">
        <f>IF(C5087&amp;G5087&amp;D5087&lt;&gt;'Funnel setup'!$K$3&amp;'Funnel setup'!$K$4&amp;'Funnel setup'!$K$6,".",IF(A5086=".",1,A5086+1))</f>
        <v>.</v>
      </c>
      <c r="B5087" s="244" t="str">
        <f t="shared" si="79"/>
        <v>Total Knee ReplacementProviderMID YORKSHIRE TEACHING NHS TRUST (RXF)EQ-5D Index</v>
      </c>
      <c r="C5087" t="s">
        <v>975</v>
      </c>
      <c r="D5087" t="s">
        <v>965</v>
      </c>
      <c r="E5087" t="s">
        <v>330</v>
      </c>
      <c r="F5087" t="s">
        <v>331</v>
      </c>
      <c r="G5087" t="s">
        <v>963</v>
      </c>
      <c r="H5087">
        <v>189</v>
      </c>
      <c r="I5087">
        <v>0.34459299999999998</v>
      </c>
      <c r="J5087">
        <v>0.70261899999999999</v>
      </c>
      <c r="K5087">
        <v>0.35802600000000001</v>
      </c>
      <c r="L5087">
        <v>154</v>
      </c>
      <c r="M5087">
        <v>16</v>
      </c>
      <c r="N5087">
        <v>19</v>
      </c>
      <c r="O5087">
        <v>0.75197700000000001</v>
      </c>
      <c r="P5087">
        <v>0.327679</v>
      </c>
      <c r="Q5087">
        <v>0.26046799999999998</v>
      </c>
    </row>
    <row r="5088" spans="1:17" x14ac:dyDescent="0.25">
      <c r="A5088" t="str">
        <f>IF(C5088&amp;G5088&amp;D5088&lt;&gt;'Funnel setup'!$K$3&amp;'Funnel setup'!$K$4&amp;'Funnel setup'!$K$6,".",IF(A5087=".",1,A5087+1))</f>
        <v>.</v>
      </c>
      <c r="B5088" s="244" t="str">
        <f t="shared" si="79"/>
        <v>Total Knee ReplacementProviderMILTON KEYNES UNIVERSITY HOSPITAL NHS FOUNDATION TRUST (RD8)EQ-5D Index</v>
      </c>
      <c r="C5088" t="s">
        <v>975</v>
      </c>
      <c r="D5088" t="s">
        <v>965</v>
      </c>
      <c r="E5088" t="s">
        <v>332</v>
      </c>
      <c r="F5088" t="s">
        <v>333</v>
      </c>
      <c r="G5088" t="s">
        <v>963</v>
      </c>
      <c r="H5088">
        <v>30</v>
      </c>
      <c r="I5088">
        <v>0.24906700000000001</v>
      </c>
      <c r="J5088">
        <v>0.6925</v>
      </c>
      <c r="K5088">
        <v>0.44343300000000002</v>
      </c>
      <c r="L5088">
        <v>25</v>
      </c>
      <c r="M5088">
        <v>1</v>
      </c>
      <c r="N5088">
        <v>4</v>
      </c>
      <c r="O5088">
        <v>0.72240599999999999</v>
      </c>
      <c r="P5088">
        <v>0.29810799999999998</v>
      </c>
      <c r="Q5088">
        <v>0.29021999999999998</v>
      </c>
    </row>
    <row r="5089" spans="1:17" x14ac:dyDescent="0.25">
      <c r="A5089" t="str">
        <f>IF(C5089&amp;G5089&amp;D5089&lt;&gt;'Funnel setup'!$K$3&amp;'Funnel setup'!$K$4&amp;'Funnel setup'!$K$6,".",IF(A5088=".",1,A5088+1))</f>
        <v>.</v>
      </c>
      <c r="B5089" s="244" t="str">
        <f t="shared" si="79"/>
        <v>Total Knee ReplacementProviderMOUNT ALVERNIA HOSPITAL (NT455)EQ-5D Index</v>
      </c>
      <c r="C5089" t="s">
        <v>975</v>
      </c>
      <c r="D5089" t="s">
        <v>965</v>
      </c>
      <c r="E5089" t="s">
        <v>334</v>
      </c>
      <c r="F5089" t="s">
        <v>335</v>
      </c>
      <c r="G5089" t="s">
        <v>963</v>
      </c>
      <c r="H5089">
        <v>7</v>
      </c>
      <c r="I5089">
        <v>0.73814299999999999</v>
      </c>
      <c r="J5089">
        <v>0.84842899999999999</v>
      </c>
      <c r="K5089">
        <v>0.110286</v>
      </c>
      <c r="L5089">
        <v>5</v>
      </c>
      <c r="M5089">
        <v>1</v>
      </c>
      <c r="N5089">
        <v>1</v>
      </c>
      <c r="O5089" t="s">
        <v>127</v>
      </c>
      <c r="P5089" t="s">
        <v>127</v>
      </c>
      <c r="Q5089" t="s">
        <v>127</v>
      </c>
    </row>
    <row r="5090" spans="1:17" x14ac:dyDescent="0.25">
      <c r="A5090" t="str">
        <f>IF(C5090&amp;G5090&amp;D5090&lt;&gt;'Funnel setup'!$K$3&amp;'Funnel setup'!$K$4&amp;'Funnel setup'!$K$6,".",IF(A5089=".",1,A5089+1))</f>
        <v>.</v>
      </c>
      <c r="B5090" s="244" t="str">
        <f t="shared" si="79"/>
        <v>Total Knee ReplacementProviderMOUNT STUART HOSPITAL (NVC08)EQ-5D Index</v>
      </c>
      <c r="C5090" t="s">
        <v>975</v>
      </c>
      <c r="D5090" t="s">
        <v>965</v>
      </c>
      <c r="E5090" t="s">
        <v>336</v>
      </c>
      <c r="F5090" t="s">
        <v>337</v>
      </c>
      <c r="G5090" t="s">
        <v>963</v>
      </c>
      <c r="H5090">
        <v>102</v>
      </c>
      <c r="I5090">
        <v>0.49986399999999998</v>
      </c>
      <c r="J5090">
        <v>0.79038799999999998</v>
      </c>
      <c r="K5090">
        <v>0.290524</v>
      </c>
      <c r="L5090">
        <v>87</v>
      </c>
      <c r="M5090">
        <v>6</v>
      </c>
      <c r="N5090">
        <v>9</v>
      </c>
      <c r="O5090">
        <v>0.76148099999999996</v>
      </c>
      <c r="P5090">
        <v>0.33718300000000001</v>
      </c>
      <c r="Q5090">
        <v>0.20577400000000001</v>
      </c>
    </row>
    <row r="5091" spans="1:17" x14ac:dyDescent="0.25">
      <c r="A5091" t="str">
        <f>IF(C5091&amp;G5091&amp;D5091&lt;&gt;'Funnel setup'!$K$3&amp;'Funnel setup'!$K$4&amp;'Funnel setup'!$K$6,".",IF(A5090=".",1,A5090+1))</f>
        <v>.</v>
      </c>
      <c r="B5091" s="244" t="str">
        <f t="shared" si="79"/>
        <v>Total Knee ReplacementProviderNEW HALL HOSPITAL (NVC09)EQ-5D Index</v>
      </c>
      <c r="C5091" t="s">
        <v>975</v>
      </c>
      <c r="D5091" t="s">
        <v>965</v>
      </c>
      <c r="E5091" t="s">
        <v>338</v>
      </c>
      <c r="F5091" t="s">
        <v>339</v>
      </c>
      <c r="G5091" t="s">
        <v>963</v>
      </c>
      <c r="H5091">
        <v>96</v>
      </c>
      <c r="I5091">
        <v>0.48583300000000001</v>
      </c>
      <c r="J5091">
        <v>0.81918800000000003</v>
      </c>
      <c r="K5091">
        <v>0.33335399999999998</v>
      </c>
      <c r="L5091">
        <v>82</v>
      </c>
      <c r="M5091">
        <v>8</v>
      </c>
      <c r="N5091">
        <v>6</v>
      </c>
      <c r="O5091">
        <v>0.78519499999999998</v>
      </c>
      <c r="P5091">
        <v>0.36089700000000002</v>
      </c>
      <c r="Q5091">
        <v>0.21302299999999999</v>
      </c>
    </row>
    <row r="5092" spans="1:17" x14ac:dyDescent="0.25">
      <c r="A5092" t="str">
        <f>IF(C5092&amp;G5092&amp;D5092&lt;&gt;'Funnel setup'!$K$3&amp;'Funnel setup'!$K$4&amp;'Funnel setup'!$K$6,".",IF(A5091=".",1,A5091+1))</f>
        <v>.</v>
      </c>
      <c r="B5092" s="244" t="str">
        <f t="shared" si="79"/>
        <v>Total Knee ReplacementProviderNORFOLK AND NORWICH UNIVERSITY HOSPITALS NHS FOUNDATION TRUST (RM1)EQ-5D Index</v>
      </c>
      <c r="C5092" t="s">
        <v>975</v>
      </c>
      <c r="D5092" t="s">
        <v>965</v>
      </c>
      <c r="E5092" t="s">
        <v>340</v>
      </c>
      <c r="F5092" t="s">
        <v>341</v>
      </c>
      <c r="G5092" t="s">
        <v>963</v>
      </c>
      <c r="H5092">
        <v>148</v>
      </c>
      <c r="I5092">
        <v>0.31733099999999997</v>
      </c>
      <c r="J5092">
        <v>0.66052</v>
      </c>
      <c r="K5092">
        <v>0.34318900000000002</v>
      </c>
      <c r="L5092">
        <v>117</v>
      </c>
      <c r="M5092">
        <v>17</v>
      </c>
      <c r="N5092">
        <v>14</v>
      </c>
      <c r="O5092">
        <v>0.71364899999999998</v>
      </c>
      <c r="P5092">
        <v>0.289352</v>
      </c>
      <c r="Q5092">
        <v>0.26346700000000001</v>
      </c>
    </row>
    <row r="5093" spans="1:17" x14ac:dyDescent="0.25">
      <c r="A5093" t="str">
        <f>IF(C5093&amp;G5093&amp;D5093&lt;&gt;'Funnel setup'!$K$3&amp;'Funnel setup'!$K$4&amp;'Funnel setup'!$K$6,".",IF(A5092=".",1,A5092+1))</f>
        <v>.</v>
      </c>
      <c r="B5093" s="244" t="str">
        <f t="shared" si="79"/>
        <v>Total Knee ReplacementProviderNORTH BRISTOL NHS TRUST (RVJ)EQ-5D Index</v>
      </c>
      <c r="C5093" t="s">
        <v>975</v>
      </c>
      <c r="D5093" t="s">
        <v>965</v>
      </c>
      <c r="E5093" t="s">
        <v>342</v>
      </c>
      <c r="F5093" t="s">
        <v>343</v>
      </c>
      <c r="G5093" t="s">
        <v>963</v>
      </c>
      <c r="H5093">
        <v>7</v>
      </c>
      <c r="I5093">
        <v>0.40771400000000002</v>
      </c>
      <c r="J5093">
        <v>0.82685699999999995</v>
      </c>
      <c r="K5093">
        <v>0.41914299999999999</v>
      </c>
      <c r="L5093">
        <v>7</v>
      </c>
      <c r="M5093">
        <v>0</v>
      </c>
      <c r="N5093">
        <v>0</v>
      </c>
      <c r="O5093" t="s">
        <v>127</v>
      </c>
      <c r="P5093" t="s">
        <v>127</v>
      </c>
      <c r="Q5093" t="s">
        <v>127</v>
      </c>
    </row>
    <row r="5094" spans="1:17" x14ac:dyDescent="0.25">
      <c r="A5094" t="str">
        <f>IF(C5094&amp;G5094&amp;D5094&lt;&gt;'Funnel setup'!$K$3&amp;'Funnel setup'!$K$4&amp;'Funnel setup'!$K$6,".",IF(A5093=".",1,A5093+1))</f>
        <v>.</v>
      </c>
      <c r="B5094" s="244" t="str">
        <f t="shared" si="79"/>
        <v>Total Knee ReplacementProviderNORTH CUMBRIA INTEGRATED CARE NHS FOUNDATION TRUST (RNN)EQ-5D Index</v>
      </c>
      <c r="C5094" t="s">
        <v>975</v>
      </c>
      <c r="D5094" t="s">
        <v>965</v>
      </c>
      <c r="E5094" t="s">
        <v>344</v>
      </c>
      <c r="F5094" t="s">
        <v>345</v>
      </c>
      <c r="G5094" t="s">
        <v>963</v>
      </c>
      <c r="H5094">
        <v>125</v>
      </c>
      <c r="I5094">
        <v>0.34211200000000003</v>
      </c>
      <c r="J5094">
        <v>0.75123200000000001</v>
      </c>
      <c r="K5094">
        <v>0.40911999999999998</v>
      </c>
      <c r="L5094">
        <v>107</v>
      </c>
      <c r="M5094">
        <v>6</v>
      </c>
      <c r="N5094">
        <v>12</v>
      </c>
      <c r="O5094">
        <v>0.77069299999999996</v>
      </c>
      <c r="P5094">
        <v>0.34639599999999998</v>
      </c>
      <c r="Q5094">
        <v>0.218802</v>
      </c>
    </row>
    <row r="5095" spans="1:17" x14ac:dyDescent="0.25">
      <c r="A5095" t="str">
        <f>IF(C5095&amp;G5095&amp;D5095&lt;&gt;'Funnel setup'!$K$3&amp;'Funnel setup'!$K$4&amp;'Funnel setup'!$K$6,".",IF(A5094=".",1,A5094+1))</f>
        <v>.</v>
      </c>
      <c r="B5095" s="244" t="str">
        <f t="shared" si="79"/>
        <v>Total Knee ReplacementProviderNORTH DOWNS HOSPITAL (NVC11)EQ-5D Index</v>
      </c>
      <c r="C5095" t="s">
        <v>975</v>
      </c>
      <c r="D5095" t="s">
        <v>965</v>
      </c>
      <c r="E5095" t="s">
        <v>348</v>
      </c>
      <c r="F5095" t="s">
        <v>349</v>
      </c>
      <c r="G5095" t="s">
        <v>963</v>
      </c>
      <c r="H5095">
        <v>29</v>
      </c>
      <c r="I5095">
        <v>0.41164499999999998</v>
      </c>
      <c r="J5095">
        <v>0.76493500000000003</v>
      </c>
      <c r="K5095">
        <v>0.35328999999999999</v>
      </c>
      <c r="L5095">
        <v>27</v>
      </c>
      <c r="M5095">
        <v>2</v>
      </c>
      <c r="N5095">
        <v>0</v>
      </c>
      <c r="O5095">
        <v>0.73926400000000003</v>
      </c>
      <c r="P5095">
        <v>0.314967</v>
      </c>
      <c r="Q5095">
        <v>0.244008</v>
      </c>
    </row>
    <row r="5096" spans="1:17" x14ac:dyDescent="0.25">
      <c r="A5096" t="str">
        <f>IF(C5096&amp;G5096&amp;D5096&lt;&gt;'Funnel setup'!$K$3&amp;'Funnel setup'!$K$4&amp;'Funnel setup'!$K$6,".",IF(A5095=".",1,A5095+1))</f>
        <v>.</v>
      </c>
      <c r="B5096" s="244" t="str">
        <f t="shared" si="79"/>
        <v>Total Knee ReplacementProviderNORTH MIDDLESEX UNIVERSITY HOSPITAL NHS TRUST (RAP)EQ-5D Index</v>
      </c>
      <c r="C5096" t="s">
        <v>975</v>
      </c>
      <c r="D5096" t="s">
        <v>965</v>
      </c>
      <c r="E5096" t="s">
        <v>350</v>
      </c>
      <c r="F5096" t="s">
        <v>351</v>
      </c>
      <c r="G5096" t="s">
        <v>963</v>
      </c>
      <c r="H5096">
        <v>7</v>
      </c>
      <c r="I5096">
        <v>0.19542899999999999</v>
      </c>
      <c r="J5096">
        <v>0.59114299999999997</v>
      </c>
      <c r="K5096">
        <v>0.39571400000000001</v>
      </c>
      <c r="L5096">
        <v>6</v>
      </c>
      <c r="M5096">
        <v>1</v>
      </c>
      <c r="N5096">
        <v>0</v>
      </c>
      <c r="O5096" t="s">
        <v>127</v>
      </c>
      <c r="P5096" t="s">
        <v>127</v>
      </c>
      <c r="Q5096" t="s">
        <v>127</v>
      </c>
    </row>
    <row r="5097" spans="1:17" x14ac:dyDescent="0.25">
      <c r="A5097" t="str">
        <f>IF(C5097&amp;G5097&amp;D5097&lt;&gt;'Funnel setup'!$K$3&amp;'Funnel setup'!$K$4&amp;'Funnel setup'!$K$6,".",IF(A5096=".",1,A5096+1))</f>
        <v>.</v>
      </c>
      <c r="B5097" s="244" t="str">
        <f t="shared" si="79"/>
        <v>Total Knee ReplacementProviderNORTH TEES AND HARTLEPOOL NHS FOUNDATION TRUST (RVW)EQ-5D Index</v>
      </c>
      <c r="C5097" t="s">
        <v>975</v>
      </c>
      <c r="D5097" t="s">
        <v>965</v>
      </c>
      <c r="E5097" t="s">
        <v>352</v>
      </c>
      <c r="F5097" t="s">
        <v>353</v>
      </c>
      <c r="G5097" t="s">
        <v>963</v>
      </c>
      <c r="H5097">
        <v>108</v>
      </c>
      <c r="I5097">
        <v>0.22132399999999999</v>
      </c>
      <c r="J5097">
        <v>0.673898</v>
      </c>
      <c r="K5097">
        <v>0.45257399999999998</v>
      </c>
      <c r="L5097">
        <v>93</v>
      </c>
      <c r="M5097">
        <v>2</v>
      </c>
      <c r="N5097">
        <v>13</v>
      </c>
      <c r="O5097">
        <v>0.777841</v>
      </c>
      <c r="P5097">
        <v>0.35354400000000002</v>
      </c>
      <c r="Q5097">
        <v>0.27873399999999998</v>
      </c>
    </row>
    <row r="5098" spans="1:17" x14ac:dyDescent="0.25">
      <c r="A5098" t="str">
        <f>IF(C5098&amp;G5098&amp;D5098&lt;&gt;'Funnel setup'!$K$3&amp;'Funnel setup'!$K$4&amp;'Funnel setup'!$K$6,".",IF(A5097=".",1,A5097+1))</f>
        <v>.</v>
      </c>
      <c r="B5098" s="244" t="str">
        <f t="shared" si="79"/>
        <v>Total Knee ReplacementProviderNORTH WEST ANGLIA NHS FOUNDATION TRUST (RGN)EQ-5D Index</v>
      </c>
      <c r="C5098" t="s">
        <v>975</v>
      </c>
      <c r="D5098" t="s">
        <v>965</v>
      </c>
      <c r="E5098" t="s">
        <v>354</v>
      </c>
      <c r="F5098" t="s">
        <v>355</v>
      </c>
      <c r="G5098" t="s">
        <v>963</v>
      </c>
      <c r="H5098">
        <v>133</v>
      </c>
      <c r="I5098">
        <v>0.38961699999999999</v>
      </c>
      <c r="J5098">
        <v>0.72914299999999999</v>
      </c>
      <c r="K5098">
        <v>0.33952599999999999</v>
      </c>
      <c r="L5098">
        <v>116</v>
      </c>
      <c r="M5098">
        <v>10</v>
      </c>
      <c r="N5098">
        <v>7</v>
      </c>
      <c r="O5098">
        <v>0.73587400000000003</v>
      </c>
      <c r="P5098">
        <v>0.31157600000000002</v>
      </c>
      <c r="Q5098">
        <v>0.20406199999999999</v>
      </c>
    </row>
    <row r="5099" spans="1:17" x14ac:dyDescent="0.25">
      <c r="A5099" t="str">
        <f>IF(C5099&amp;G5099&amp;D5099&lt;&gt;'Funnel setup'!$K$3&amp;'Funnel setup'!$K$4&amp;'Funnel setup'!$K$6,".",IF(A5098=".",1,A5098+1))</f>
        <v>.</v>
      </c>
      <c r="B5099" s="244" t="str">
        <f t="shared" si="79"/>
        <v>Total Knee ReplacementProviderNORTHAMPTON GENERAL HOSPITAL NHS TRUST (RNS)EQ-5D Index</v>
      </c>
      <c r="C5099" t="s">
        <v>975</v>
      </c>
      <c r="D5099" t="s">
        <v>965</v>
      </c>
      <c r="E5099" t="s">
        <v>356</v>
      </c>
      <c r="F5099" t="s">
        <v>357</v>
      </c>
      <c r="G5099" t="s">
        <v>963</v>
      </c>
      <c r="H5099">
        <v>45</v>
      </c>
      <c r="I5099">
        <v>0.37440000000000001</v>
      </c>
      <c r="J5099">
        <v>0.67837800000000004</v>
      </c>
      <c r="K5099">
        <v>0.30397800000000003</v>
      </c>
      <c r="L5099">
        <v>35</v>
      </c>
      <c r="M5099">
        <v>2</v>
      </c>
      <c r="N5099">
        <v>8</v>
      </c>
      <c r="O5099">
        <v>0.71146100000000001</v>
      </c>
      <c r="P5099">
        <v>0.287163</v>
      </c>
      <c r="Q5099">
        <v>0.30645800000000001</v>
      </c>
    </row>
    <row r="5100" spans="1:17" x14ac:dyDescent="0.25">
      <c r="A5100" t="str">
        <f>IF(C5100&amp;G5100&amp;D5100&lt;&gt;'Funnel setup'!$K$3&amp;'Funnel setup'!$K$4&amp;'Funnel setup'!$K$6,".",IF(A5099=".",1,A5099+1))</f>
        <v>.</v>
      </c>
      <c r="B5100" s="244" t="str">
        <f t="shared" si="79"/>
        <v>Total Knee ReplacementProviderNORTHERN CARE ALLIANCE NHS FOUNDATION TRUST (RM3)EQ-5D Index</v>
      </c>
      <c r="C5100" t="s">
        <v>975</v>
      </c>
      <c r="D5100" t="s">
        <v>965</v>
      </c>
      <c r="E5100" t="s">
        <v>358</v>
      </c>
      <c r="F5100" t="s">
        <v>359</v>
      </c>
      <c r="G5100" t="s">
        <v>963</v>
      </c>
      <c r="H5100">
        <v>7</v>
      </c>
      <c r="I5100">
        <v>0.36842900000000001</v>
      </c>
      <c r="J5100">
        <v>0.58785699999999996</v>
      </c>
      <c r="K5100">
        <v>0.21942900000000001</v>
      </c>
      <c r="L5100">
        <v>6</v>
      </c>
      <c r="M5100">
        <v>0</v>
      </c>
      <c r="N5100">
        <v>1</v>
      </c>
      <c r="O5100" t="s">
        <v>127</v>
      </c>
      <c r="P5100" t="s">
        <v>127</v>
      </c>
      <c r="Q5100" t="s">
        <v>127</v>
      </c>
    </row>
    <row r="5101" spans="1:17" x14ac:dyDescent="0.25">
      <c r="A5101" t="str">
        <f>IF(C5101&amp;G5101&amp;D5101&lt;&gt;'Funnel setup'!$K$3&amp;'Funnel setup'!$K$4&amp;'Funnel setup'!$K$6,".",IF(A5100=".",1,A5100+1))</f>
        <v>.</v>
      </c>
      <c r="B5101" s="244" t="str">
        <f t="shared" si="79"/>
        <v>Total Knee ReplacementProviderNORTHERN DEVON HEALTHCARE NHS TRUST (RBZ)EQ-5D Index</v>
      </c>
      <c r="C5101" t="s">
        <v>975</v>
      </c>
      <c r="D5101" t="s">
        <v>965</v>
      </c>
      <c r="E5101" t="s">
        <v>360</v>
      </c>
      <c r="F5101" t="s">
        <v>361</v>
      </c>
      <c r="G5101" t="s">
        <v>963</v>
      </c>
      <c r="H5101">
        <v>36</v>
      </c>
      <c r="I5101">
        <v>0.32338899999999998</v>
      </c>
      <c r="J5101">
        <v>0.67133299999999996</v>
      </c>
      <c r="K5101">
        <v>0.34794399999999998</v>
      </c>
      <c r="L5101">
        <v>30</v>
      </c>
      <c r="M5101">
        <v>3</v>
      </c>
      <c r="N5101">
        <v>3</v>
      </c>
      <c r="O5101">
        <v>0.74396399999999996</v>
      </c>
      <c r="P5101">
        <v>0.31966699999999998</v>
      </c>
      <c r="Q5101">
        <v>0.26547900000000002</v>
      </c>
    </row>
    <row r="5102" spans="1:17" x14ac:dyDescent="0.25">
      <c r="A5102" t="str">
        <f>IF(C5102&amp;G5102&amp;D5102&lt;&gt;'Funnel setup'!$K$3&amp;'Funnel setup'!$K$4&amp;'Funnel setup'!$K$6,".",IF(A5101=".",1,A5101+1))</f>
        <v>.</v>
      </c>
      <c r="B5102" s="244" t="str">
        <f t="shared" si="79"/>
        <v>Total Knee ReplacementProviderNORTHERN LINCOLNSHIRE AND GOOLE NHS FOUNDATION TRUST (RJL)EQ-5D Index</v>
      </c>
      <c r="C5102" t="s">
        <v>975</v>
      </c>
      <c r="D5102" t="s">
        <v>965</v>
      </c>
      <c r="E5102" t="s">
        <v>362</v>
      </c>
      <c r="F5102" t="s">
        <v>363</v>
      </c>
      <c r="G5102" t="s">
        <v>963</v>
      </c>
      <c r="H5102">
        <v>74</v>
      </c>
      <c r="I5102">
        <v>0.36336499999999999</v>
      </c>
      <c r="J5102">
        <v>0.68308100000000005</v>
      </c>
      <c r="K5102">
        <v>0.319716</v>
      </c>
      <c r="L5102">
        <v>55</v>
      </c>
      <c r="M5102">
        <v>6</v>
      </c>
      <c r="N5102">
        <v>13</v>
      </c>
      <c r="O5102">
        <v>0.70832600000000001</v>
      </c>
      <c r="P5102">
        <v>0.28402899999999998</v>
      </c>
      <c r="Q5102">
        <v>0.25027899999999997</v>
      </c>
    </row>
    <row r="5103" spans="1:17" x14ac:dyDescent="0.25">
      <c r="A5103" t="str">
        <f>IF(C5103&amp;G5103&amp;D5103&lt;&gt;'Funnel setup'!$K$3&amp;'Funnel setup'!$K$4&amp;'Funnel setup'!$K$6,".",IF(A5102=".",1,A5102+1))</f>
        <v>.</v>
      </c>
      <c r="B5103" s="244" t="str">
        <f t="shared" si="79"/>
        <v>Total Knee ReplacementProviderNORTHUMBRIA HEALTHCARE NHS FOUNDATION TRUST (RTF)EQ-5D Index</v>
      </c>
      <c r="C5103" t="s">
        <v>975</v>
      </c>
      <c r="D5103" t="s">
        <v>965</v>
      </c>
      <c r="E5103" t="s">
        <v>364</v>
      </c>
      <c r="F5103" t="s">
        <v>365</v>
      </c>
      <c r="G5103" t="s">
        <v>963</v>
      </c>
      <c r="H5103">
        <v>379</v>
      </c>
      <c r="I5103">
        <v>0.39646700000000001</v>
      </c>
      <c r="J5103">
        <v>0.78029800000000005</v>
      </c>
      <c r="K5103">
        <v>0.38383099999999998</v>
      </c>
      <c r="L5103">
        <v>330</v>
      </c>
      <c r="M5103">
        <v>31</v>
      </c>
      <c r="N5103">
        <v>18</v>
      </c>
      <c r="O5103">
        <v>0.78694699999999995</v>
      </c>
      <c r="P5103">
        <v>0.36264999999999997</v>
      </c>
      <c r="Q5103">
        <v>0.20543400000000001</v>
      </c>
    </row>
    <row r="5104" spans="1:17" x14ac:dyDescent="0.25">
      <c r="A5104" t="str">
        <f>IF(C5104&amp;G5104&amp;D5104&lt;&gt;'Funnel setup'!$K$3&amp;'Funnel setup'!$K$4&amp;'Funnel setup'!$K$6,".",IF(A5103=".",1,A5103+1))</f>
        <v>.</v>
      </c>
      <c r="B5104" s="244" t="str">
        <f t="shared" si="79"/>
        <v>Total Knee ReplacementProviderNOTTINGHAM UNIVERSITY HOSPITALS NHS TRUST (RX1)EQ-5D Index</v>
      </c>
      <c r="C5104" t="s">
        <v>975</v>
      </c>
      <c r="D5104" t="s">
        <v>965</v>
      </c>
      <c r="E5104" t="s">
        <v>366</v>
      </c>
      <c r="F5104" t="s">
        <v>367</v>
      </c>
      <c r="G5104" t="s">
        <v>963</v>
      </c>
      <c r="H5104">
        <v>4</v>
      </c>
      <c r="I5104">
        <v>0.24825</v>
      </c>
      <c r="J5104">
        <v>0.73724999999999996</v>
      </c>
      <c r="K5104">
        <v>0.48899999999999999</v>
      </c>
      <c r="L5104">
        <v>4</v>
      </c>
      <c r="M5104">
        <v>0</v>
      </c>
      <c r="N5104">
        <v>0</v>
      </c>
      <c r="O5104" t="s">
        <v>127</v>
      </c>
      <c r="P5104" t="s">
        <v>127</v>
      </c>
      <c r="Q5104" t="s">
        <v>127</v>
      </c>
    </row>
    <row r="5105" spans="1:17" x14ac:dyDescent="0.25">
      <c r="A5105" t="str">
        <f>IF(C5105&amp;G5105&amp;D5105&lt;&gt;'Funnel setup'!$K$3&amp;'Funnel setup'!$K$4&amp;'Funnel setup'!$K$6,".",IF(A5104=".",1,A5104+1))</f>
        <v>.</v>
      </c>
      <c r="B5105" s="244" t="str">
        <f t="shared" si="79"/>
        <v>Total Knee ReplacementProviderNUFFIELD HEALTH, BOURNEMOUTH HOSPITAL (NT202)EQ-5D Index</v>
      </c>
      <c r="C5105" t="s">
        <v>975</v>
      </c>
      <c r="D5105" t="s">
        <v>965</v>
      </c>
      <c r="E5105" t="s">
        <v>368</v>
      </c>
      <c r="F5105" t="s">
        <v>369</v>
      </c>
      <c r="G5105" t="s">
        <v>963</v>
      </c>
      <c r="H5105">
        <v>23</v>
      </c>
      <c r="I5105">
        <v>0.51887000000000005</v>
      </c>
      <c r="J5105">
        <v>0.81408700000000001</v>
      </c>
      <c r="K5105">
        <v>0.29521700000000001</v>
      </c>
      <c r="L5105">
        <v>22</v>
      </c>
      <c r="M5105">
        <v>0</v>
      </c>
      <c r="N5105">
        <v>1</v>
      </c>
      <c r="O5105" t="s">
        <v>127</v>
      </c>
      <c r="P5105" t="s">
        <v>127</v>
      </c>
      <c r="Q5105" t="s">
        <v>127</v>
      </c>
    </row>
    <row r="5106" spans="1:17" x14ac:dyDescent="0.25">
      <c r="A5106" t="str">
        <f>IF(C5106&amp;G5106&amp;D5106&lt;&gt;'Funnel setup'!$K$3&amp;'Funnel setup'!$K$4&amp;'Funnel setup'!$K$6,".",IF(A5105=".",1,A5105+1))</f>
        <v>.</v>
      </c>
      <c r="B5106" s="244" t="str">
        <f t="shared" si="79"/>
        <v>Total Knee ReplacementProviderNUFFIELD HEALTH, BRENTWOOD HOSPITAL (NT204)EQ-5D Index</v>
      </c>
      <c r="C5106" t="s">
        <v>975</v>
      </c>
      <c r="D5106" t="s">
        <v>965</v>
      </c>
      <c r="E5106" t="s">
        <v>370</v>
      </c>
      <c r="F5106" t="s">
        <v>371</v>
      </c>
      <c r="G5106" t="s">
        <v>963</v>
      </c>
      <c r="H5106">
        <v>15</v>
      </c>
      <c r="I5106">
        <v>0.42906699999999998</v>
      </c>
      <c r="J5106">
        <v>0.78086699999999998</v>
      </c>
      <c r="K5106">
        <v>0.3518</v>
      </c>
      <c r="L5106">
        <v>12</v>
      </c>
      <c r="M5106">
        <v>2</v>
      </c>
      <c r="N5106">
        <v>1</v>
      </c>
      <c r="O5106" t="s">
        <v>127</v>
      </c>
      <c r="P5106" t="s">
        <v>127</v>
      </c>
      <c r="Q5106" t="s">
        <v>127</v>
      </c>
    </row>
    <row r="5107" spans="1:17" x14ac:dyDescent="0.25">
      <c r="A5107" t="str">
        <f>IF(C5107&amp;G5107&amp;D5107&lt;&gt;'Funnel setup'!$K$3&amp;'Funnel setup'!$K$4&amp;'Funnel setup'!$K$6,".",IF(A5106=".",1,A5106+1))</f>
        <v>.</v>
      </c>
      <c r="B5107" s="244" t="str">
        <f t="shared" si="79"/>
        <v>Total Knee ReplacementProviderNUFFIELD HEALTH, BRIGHTON HOSPITAL (NT205)EQ-5D Index</v>
      </c>
      <c r="C5107" t="s">
        <v>975</v>
      </c>
      <c r="D5107" t="s">
        <v>965</v>
      </c>
      <c r="E5107" t="s">
        <v>372</v>
      </c>
      <c r="F5107" t="s">
        <v>373</v>
      </c>
      <c r="G5107" t="s">
        <v>963</v>
      </c>
      <c r="H5107">
        <v>9</v>
      </c>
      <c r="I5107">
        <v>0.53488899999999995</v>
      </c>
      <c r="J5107">
        <v>0.90844400000000003</v>
      </c>
      <c r="K5107">
        <v>0.373556</v>
      </c>
      <c r="L5107">
        <v>7</v>
      </c>
      <c r="M5107">
        <v>2</v>
      </c>
      <c r="N5107">
        <v>0</v>
      </c>
      <c r="O5107" t="s">
        <v>127</v>
      </c>
      <c r="P5107" t="s">
        <v>127</v>
      </c>
      <c r="Q5107" t="s">
        <v>127</v>
      </c>
    </row>
    <row r="5108" spans="1:17" x14ac:dyDescent="0.25">
      <c r="A5108" t="str">
        <f>IF(C5108&amp;G5108&amp;D5108&lt;&gt;'Funnel setup'!$K$3&amp;'Funnel setup'!$K$4&amp;'Funnel setup'!$K$6,".",IF(A5107=".",1,A5107+1))</f>
        <v>.</v>
      </c>
      <c r="B5108" s="244" t="str">
        <f t="shared" si="79"/>
        <v>Total Knee ReplacementProviderNUFFIELD HEALTH, BRISTOL HOSPITAL (CHESTERFIELD) (NT206)EQ-5D Index</v>
      </c>
      <c r="C5108" t="s">
        <v>975</v>
      </c>
      <c r="D5108" t="s">
        <v>965</v>
      </c>
      <c r="E5108" t="s">
        <v>374</v>
      </c>
      <c r="F5108" t="s">
        <v>375</v>
      </c>
      <c r="G5108" t="s">
        <v>963</v>
      </c>
      <c r="H5108">
        <v>29</v>
      </c>
      <c r="I5108">
        <v>0.490172</v>
      </c>
      <c r="J5108">
        <v>0.838897</v>
      </c>
      <c r="K5108">
        <v>0.34872399999999998</v>
      </c>
      <c r="L5108">
        <v>24</v>
      </c>
      <c r="M5108">
        <v>2</v>
      </c>
      <c r="N5108">
        <v>3</v>
      </c>
      <c r="O5108" t="s">
        <v>127</v>
      </c>
      <c r="P5108" t="s">
        <v>127</v>
      </c>
      <c r="Q5108" t="s">
        <v>127</v>
      </c>
    </row>
    <row r="5109" spans="1:17" x14ac:dyDescent="0.25">
      <c r="A5109" t="str">
        <f>IF(C5109&amp;G5109&amp;D5109&lt;&gt;'Funnel setup'!$K$3&amp;'Funnel setup'!$K$4&amp;'Funnel setup'!$K$6,".",IF(A5108=".",1,A5108+1))</f>
        <v>.</v>
      </c>
      <c r="B5109" s="244" t="str">
        <f t="shared" si="79"/>
        <v>Total Knee ReplacementProviderNUFFIELD HEALTH, CAMBRIDGE HOSPITAL (NT209)EQ-5D Index</v>
      </c>
      <c r="C5109" t="s">
        <v>975</v>
      </c>
      <c r="D5109" t="s">
        <v>965</v>
      </c>
      <c r="E5109" t="s">
        <v>376</v>
      </c>
      <c r="F5109" t="s">
        <v>377</v>
      </c>
      <c r="G5109" t="s">
        <v>963</v>
      </c>
      <c r="H5109">
        <v>32</v>
      </c>
      <c r="I5109">
        <v>0.52775000000000005</v>
      </c>
      <c r="J5109">
        <v>0.75284399999999996</v>
      </c>
      <c r="K5109">
        <v>0.22509399999999999</v>
      </c>
      <c r="L5109">
        <v>25</v>
      </c>
      <c r="M5109">
        <v>4</v>
      </c>
      <c r="N5109">
        <v>3</v>
      </c>
      <c r="O5109">
        <v>0.68103400000000003</v>
      </c>
      <c r="P5109">
        <v>0.25673699999999999</v>
      </c>
      <c r="Q5109">
        <v>0.247723</v>
      </c>
    </row>
    <row r="5110" spans="1:17" x14ac:dyDescent="0.25">
      <c r="A5110" t="str">
        <f>IF(C5110&amp;G5110&amp;D5110&lt;&gt;'Funnel setup'!$K$3&amp;'Funnel setup'!$K$4&amp;'Funnel setup'!$K$6,".",IF(A5109=".",1,A5109+1))</f>
        <v>.</v>
      </c>
      <c r="B5110" s="244" t="str">
        <f t="shared" si="79"/>
        <v>Total Knee ReplacementProviderNUFFIELD HEALTH, CHELTENHAM HOSPITAL (NT211)EQ-5D Index</v>
      </c>
      <c r="C5110" t="s">
        <v>975</v>
      </c>
      <c r="D5110" t="s">
        <v>965</v>
      </c>
      <c r="E5110" t="s">
        <v>378</v>
      </c>
      <c r="F5110" t="s">
        <v>379</v>
      </c>
      <c r="G5110" t="s">
        <v>963</v>
      </c>
      <c r="H5110">
        <v>7</v>
      </c>
      <c r="I5110">
        <v>0.446857</v>
      </c>
      <c r="J5110">
        <v>0.743143</v>
      </c>
      <c r="K5110">
        <v>0.29628599999999999</v>
      </c>
      <c r="L5110">
        <v>6</v>
      </c>
      <c r="M5110">
        <v>0</v>
      </c>
      <c r="N5110">
        <v>1</v>
      </c>
      <c r="O5110" t="s">
        <v>127</v>
      </c>
      <c r="P5110" t="s">
        <v>127</v>
      </c>
      <c r="Q5110" t="s">
        <v>127</v>
      </c>
    </row>
    <row r="5111" spans="1:17" x14ac:dyDescent="0.25">
      <c r="A5111" t="str">
        <f>IF(C5111&amp;G5111&amp;D5111&lt;&gt;'Funnel setup'!$K$3&amp;'Funnel setup'!$K$4&amp;'Funnel setup'!$K$6,".",IF(A5110=".",1,A5110+1))</f>
        <v>.</v>
      </c>
      <c r="B5111" s="244" t="str">
        <f t="shared" si="79"/>
        <v>Total Knee ReplacementProviderNUFFIELD HEALTH, CHICHESTER HOSPITAL (NT212)EQ-5D Index</v>
      </c>
      <c r="C5111" t="s">
        <v>975</v>
      </c>
      <c r="D5111" t="s">
        <v>965</v>
      </c>
      <c r="E5111" t="s">
        <v>380</v>
      </c>
      <c r="F5111" t="s">
        <v>381</v>
      </c>
      <c r="G5111" t="s">
        <v>963</v>
      </c>
      <c r="H5111">
        <v>18</v>
      </c>
      <c r="I5111">
        <v>0.63383299999999998</v>
      </c>
      <c r="J5111">
        <v>0.84383300000000006</v>
      </c>
      <c r="K5111">
        <v>0.21</v>
      </c>
      <c r="L5111">
        <v>12</v>
      </c>
      <c r="M5111">
        <v>1</v>
      </c>
      <c r="N5111">
        <v>5</v>
      </c>
      <c r="O5111" t="s">
        <v>127</v>
      </c>
      <c r="P5111" t="s">
        <v>127</v>
      </c>
      <c r="Q5111" t="s">
        <v>127</v>
      </c>
    </row>
    <row r="5112" spans="1:17" x14ac:dyDescent="0.25">
      <c r="A5112" t="str">
        <f>IF(C5112&amp;G5112&amp;D5112&lt;&gt;'Funnel setup'!$K$3&amp;'Funnel setup'!$K$4&amp;'Funnel setup'!$K$6,".",IF(A5111=".",1,A5111+1))</f>
        <v>.</v>
      </c>
      <c r="B5112" s="244" t="str">
        <f t="shared" si="79"/>
        <v>Total Knee ReplacementProviderNUFFIELD HEALTH, DERBY HOSPITAL (NT213)EQ-5D Index</v>
      </c>
      <c r="C5112" t="s">
        <v>975</v>
      </c>
      <c r="D5112" t="s">
        <v>965</v>
      </c>
      <c r="E5112" t="s">
        <v>382</v>
      </c>
      <c r="F5112" t="s">
        <v>383</v>
      </c>
      <c r="G5112" t="s">
        <v>963</v>
      </c>
      <c r="H5112">
        <v>107</v>
      </c>
      <c r="I5112">
        <v>0.40561700000000001</v>
      </c>
      <c r="J5112">
        <v>0.76112100000000005</v>
      </c>
      <c r="K5112">
        <v>0.35550500000000002</v>
      </c>
      <c r="L5112">
        <v>92</v>
      </c>
      <c r="M5112">
        <v>7</v>
      </c>
      <c r="N5112">
        <v>8</v>
      </c>
      <c r="O5112">
        <v>0.76063800000000004</v>
      </c>
      <c r="P5112">
        <v>0.336341</v>
      </c>
      <c r="Q5112">
        <v>0.230795</v>
      </c>
    </row>
    <row r="5113" spans="1:17" x14ac:dyDescent="0.25">
      <c r="A5113" t="str">
        <f>IF(C5113&amp;G5113&amp;D5113&lt;&gt;'Funnel setup'!$K$3&amp;'Funnel setup'!$K$4&amp;'Funnel setup'!$K$6,".",IF(A5112=".",1,A5112+1))</f>
        <v>.</v>
      </c>
      <c r="B5113" s="244" t="str">
        <f t="shared" si="79"/>
        <v>Total Knee ReplacementProviderNUFFIELD HEALTH, EXETER HOSPITAL (NT215)EQ-5D Index</v>
      </c>
      <c r="C5113" t="s">
        <v>975</v>
      </c>
      <c r="D5113" t="s">
        <v>965</v>
      </c>
      <c r="E5113" t="s">
        <v>384</v>
      </c>
      <c r="F5113" t="s">
        <v>385</v>
      </c>
      <c r="G5113" t="s">
        <v>963</v>
      </c>
      <c r="H5113">
        <v>1</v>
      </c>
      <c r="I5113">
        <v>0.58699999999999997</v>
      </c>
      <c r="J5113">
        <v>1</v>
      </c>
      <c r="K5113">
        <v>0.41299999999999998</v>
      </c>
      <c r="L5113">
        <v>1</v>
      </c>
      <c r="M5113">
        <v>0</v>
      </c>
      <c r="N5113">
        <v>0</v>
      </c>
      <c r="O5113" t="s">
        <v>127</v>
      </c>
      <c r="P5113" t="s">
        <v>127</v>
      </c>
      <c r="Q5113" t="s">
        <v>127</v>
      </c>
    </row>
    <row r="5114" spans="1:17" x14ac:dyDescent="0.25">
      <c r="A5114" t="str">
        <f>IF(C5114&amp;G5114&amp;D5114&lt;&gt;'Funnel setup'!$K$3&amp;'Funnel setup'!$K$4&amp;'Funnel setup'!$K$6,".",IF(A5113=".",1,A5113+1))</f>
        <v>.</v>
      </c>
      <c r="B5114" s="244" t="str">
        <f t="shared" si="79"/>
        <v>Total Knee ReplacementProviderNUFFIELD HEALTH, HAYWARDS HEATH HOSPITAL (NT218)EQ-5D Index</v>
      </c>
      <c r="C5114" t="s">
        <v>975</v>
      </c>
      <c r="D5114" t="s">
        <v>965</v>
      </c>
      <c r="E5114" t="s">
        <v>386</v>
      </c>
      <c r="F5114" t="s">
        <v>387</v>
      </c>
      <c r="G5114" t="s">
        <v>963</v>
      </c>
      <c r="H5114">
        <v>15</v>
      </c>
      <c r="I5114">
        <v>0.54559999999999997</v>
      </c>
      <c r="J5114">
        <v>0.84553299999999998</v>
      </c>
      <c r="K5114">
        <v>0.29993300000000001</v>
      </c>
      <c r="L5114">
        <v>11</v>
      </c>
      <c r="M5114">
        <v>1</v>
      </c>
      <c r="N5114">
        <v>3</v>
      </c>
      <c r="O5114" t="s">
        <v>127</v>
      </c>
      <c r="P5114" t="s">
        <v>127</v>
      </c>
      <c r="Q5114" t="s">
        <v>127</v>
      </c>
    </row>
    <row r="5115" spans="1:17" x14ac:dyDescent="0.25">
      <c r="A5115" t="str">
        <f>IF(C5115&amp;G5115&amp;D5115&lt;&gt;'Funnel setup'!$K$3&amp;'Funnel setup'!$K$4&amp;'Funnel setup'!$K$6,".",IF(A5114=".",1,A5114+1))</f>
        <v>.</v>
      </c>
      <c r="B5115" s="244" t="str">
        <f t="shared" si="79"/>
        <v>Total Knee ReplacementProviderNUFFIELD HEALTH, HEREFORD HOSPITAL (NT219)EQ-5D Index</v>
      </c>
      <c r="C5115" t="s">
        <v>975</v>
      </c>
      <c r="D5115" t="s">
        <v>965</v>
      </c>
      <c r="E5115" t="s">
        <v>388</v>
      </c>
      <c r="F5115" t="s">
        <v>389</v>
      </c>
      <c r="G5115" t="s">
        <v>963</v>
      </c>
      <c r="H5115">
        <v>9</v>
      </c>
      <c r="I5115">
        <v>0.47699999999999998</v>
      </c>
      <c r="J5115">
        <v>0.78955600000000004</v>
      </c>
      <c r="K5115">
        <v>0.312556</v>
      </c>
      <c r="L5115">
        <v>9</v>
      </c>
      <c r="M5115">
        <v>0</v>
      </c>
      <c r="N5115">
        <v>0</v>
      </c>
      <c r="O5115" t="s">
        <v>127</v>
      </c>
      <c r="P5115" t="s">
        <v>127</v>
      </c>
      <c r="Q5115" t="s">
        <v>127</v>
      </c>
    </row>
    <row r="5116" spans="1:17" x14ac:dyDescent="0.25">
      <c r="A5116" t="str">
        <f>IF(C5116&amp;G5116&amp;D5116&lt;&gt;'Funnel setup'!$K$3&amp;'Funnel setup'!$K$4&amp;'Funnel setup'!$K$6,".",IF(A5115=".",1,A5115+1))</f>
        <v>.</v>
      </c>
      <c r="B5116" s="244" t="str">
        <f t="shared" si="79"/>
        <v>Total Knee ReplacementProviderNUFFIELD HEALTH, IPSWICH HOSPITAL (NT222)EQ-5D Index</v>
      </c>
      <c r="C5116" t="s">
        <v>975</v>
      </c>
      <c r="D5116" t="s">
        <v>965</v>
      </c>
      <c r="E5116" t="s">
        <v>390</v>
      </c>
      <c r="F5116" t="s">
        <v>391</v>
      </c>
      <c r="G5116" t="s">
        <v>963</v>
      </c>
      <c r="H5116">
        <v>5</v>
      </c>
      <c r="I5116">
        <v>0.47960000000000003</v>
      </c>
      <c r="J5116">
        <v>0.75639999999999996</v>
      </c>
      <c r="K5116">
        <v>0.27679999999999999</v>
      </c>
      <c r="L5116">
        <v>5</v>
      </c>
      <c r="M5116">
        <v>0</v>
      </c>
      <c r="N5116">
        <v>0</v>
      </c>
      <c r="O5116" t="s">
        <v>127</v>
      </c>
      <c r="P5116" t="s">
        <v>127</v>
      </c>
      <c r="Q5116" t="s">
        <v>127</v>
      </c>
    </row>
    <row r="5117" spans="1:17" x14ac:dyDescent="0.25">
      <c r="A5117" t="str">
        <f>IF(C5117&amp;G5117&amp;D5117&lt;&gt;'Funnel setup'!$K$3&amp;'Funnel setup'!$K$4&amp;'Funnel setup'!$K$6,".",IF(A5116=".",1,A5116+1))</f>
        <v>.</v>
      </c>
      <c r="B5117" s="244" t="str">
        <f t="shared" si="79"/>
        <v>Total Knee ReplacementProviderNUFFIELD HEALTH, LEEDS HOSPITAL (NT225)EQ-5D Index</v>
      </c>
      <c r="C5117" t="s">
        <v>975</v>
      </c>
      <c r="D5117" t="s">
        <v>965</v>
      </c>
      <c r="E5117" t="s">
        <v>392</v>
      </c>
      <c r="F5117" t="s">
        <v>393</v>
      </c>
      <c r="G5117" t="s">
        <v>963</v>
      </c>
      <c r="H5117">
        <v>133</v>
      </c>
      <c r="I5117">
        <v>0.45175399999999999</v>
      </c>
      <c r="J5117">
        <v>0.79014200000000001</v>
      </c>
      <c r="K5117">
        <v>0.33838800000000002</v>
      </c>
      <c r="L5117">
        <v>107</v>
      </c>
      <c r="M5117">
        <v>18</v>
      </c>
      <c r="N5117">
        <v>8</v>
      </c>
      <c r="O5117">
        <v>0.76484600000000003</v>
      </c>
      <c r="P5117">
        <v>0.34054800000000002</v>
      </c>
      <c r="Q5117">
        <v>0.19453999999999999</v>
      </c>
    </row>
    <row r="5118" spans="1:17" x14ac:dyDescent="0.25">
      <c r="A5118" t="str">
        <f>IF(C5118&amp;G5118&amp;D5118&lt;&gt;'Funnel setup'!$K$3&amp;'Funnel setup'!$K$4&amp;'Funnel setup'!$K$6,".",IF(A5117=".",1,A5117+1))</f>
        <v>.</v>
      </c>
      <c r="B5118" s="244" t="str">
        <f t="shared" si="79"/>
        <v>Total Knee ReplacementProviderNUFFIELD HEALTH, LEICESTER HOSPITAL (NT226)EQ-5D Index</v>
      </c>
      <c r="C5118" t="s">
        <v>975</v>
      </c>
      <c r="D5118" t="s">
        <v>965</v>
      </c>
      <c r="E5118" t="s">
        <v>394</v>
      </c>
      <c r="F5118" t="s">
        <v>395</v>
      </c>
      <c r="G5118" t="s">
        <v>963</v>
      </c>
      <c r="H5118">
        <v>25</v>
      </c>
      <c r="I5118">
        <v>0.50375999999999999</v>
      </c>
      <c r="J5118">
        <v>0.76</v>
      </c>
      <c r="K5118">
        <v>0.25624000000000002</v>
      </c>
      <c r="L5118">
        <v>20</v>
      </c>
      <c r="M5118">
        <v>2</v>
      </c>
      <c r="N5118">
        <v>3</v>
      </c>
      <c r="O5118" t="s">
        <v>127</v>
      </c>
      <c r="P5118" t="s">
        <v>127</v>
      </c>
      <c r="Q5118" t="s">
        <v>127</v>
      </c>
    </row>
    <row r="5119" spans="1:17" x14ac:dyDescent="0.25">
      <c r="A5119" t="str">
        <f>IF(C5119&amp;G5119&amp;D5119&lt;&gt;'Funnel setup'!$K$3&amp;'Funnel setup'!$K$4&amp;'Funnel setup'!$K$6,".",IF(A5118=".",1,A5118+1))</f>
        <v>.</v>
      </c>
      <c r="B5119" s="244" t="str">
        <f t="shared" si="79"/>
        <v>Total Knee ReplacementProviderNUFFIELD HEALTH, NEWCASTLE UPON TYNE HOSPITAL (NT229)EQ-5D Index</v>
      </c>
      <c r="C5119" t="s">
        <v>975</v>
      </c>
      <c r="D5119" t="s">
        <v>965</v>
      </c>
      <c r="E5119" t="s">
        <v>396</v>
      </c>
      <c r="F5119" t="s">
        <v>397</v>
      </c>
      <c r="G5119" t="s">
        <v>963</v>
      </c>
      <c r="H5119">
        <v>27</v>
      </c>
      <c r="I5119">
        <v>0.51559299999999997</v>
      </c>
      <c r="J5119">
        <v>0.76566699999999999</v>
      </c>
      <c r="K5119">
        <v>0.25007400000000002</v>
      </c>
      <c r="L5119">
        <v>22</v>
      </c>
      <c r="M5119">
        <v>4</v>
      </c>
      <c r="N5119">
        <v>1</v>
      </c>
      <c r="O5119" t="s">
        <v>127</v>
      </c>
      <c r="P5119" t="s">
        <v>127</v>
      </c>
      <c r="Q5119" t="s">
        <v>127</v>
      </c>
    </row>
    <row r="5120" spans="1:17" x14ac:dyDescent="0.25">
      <c r="A5120" t="str">
        <f>IF(C5120&amp;G5120&amp;D5120&lt;&gt;'Funnel setup'!$K$3&amp;'Funnel setup'!$K$4&amp;'Funnel setup'!$K$6,".",IF(A5119=".",1,A5119+1))</f>
        <v>.</v>
      </c>
      <c r="B5120" s="244" t="str">
        <f t="shared" si="79"/>
        <v>Total Knee ReplacementProviderNUFFIELD HEALTH, NORTH STAFFORDSHIRE HOSPITAL (NT230)EQ-5D Index</v>
      </c>
      <c r="C5120" t="s">
        <v>975</v>
      </c>
      <c r="D5120" t="s">
        <v>965</v>
      </c>
      <c r="E5120" t="s">
        <v>398</v>
      </c>
      <c r="F5120" t="s">
        <v>399</v>
      </c>
      <c r="G5120" t="s">
        <v>963</v>
      </c>
      <c r="H5120">
        <v>42</v>
      </c>
      <c r="I5120">
        <v>0.38685999999999998</v>
      </c>
      <c r="J5120">
        <v>0.76572099999999998</v>
      </c>
      <c r="K5120">
        <v>0.37885999999999997</v>
      </c>
      <c r="L5120">
        <v>34</v>
      </c>
      <c r="M5120">
        <v>4</v>
      </c>
      <c r="N5120">
        <v>4</v>
      </c>
      <c r="O5120">
        <v>0.78547500000000003</v>
      </c>
      <c r="P5120">
        <v>0.361178</v>
      </c>
      <c r="Q5120">
        <v>0.18740000000000001</v>
      </c>
    </row>
    <row r="5121" spans="1:17" x14ac:dyDescent="0.25">
      <c r="A5121" t="str">
        <f>IF(C5121&amp;G5121&amp;D5121&lt;&gt;'Funnel setup'!$K$3&amp;'Funnel setup'!$K$4&amp;'Funnel setup'!$K$6,".",IF(A5120=".",1,A5120+1))</f>
        <v>.</v>
      </c>
      <c r="B5121" s="244" t="str">
        <f t="shared" si="79"/>
        <v>Total Knee ReplacementProviderNUFFIELD HEALTH, PLYMOUTH HOSPITAL (NT233)EQ-5D Index</v>
      </c>
      <c r="C5121" t="s">
        <v>975</v>
      </c>
      <c r="D5121" t="s">
        <v>965</v>
      </c>
      <c r="E5121" t="s">
        <v>400</v>
      </c>
      <c r="F5121" t="s">
        <v>401</v>
      </c>
      <c r="G5121" t="s">
        <v>963</v>
      </c>
      <c r="H5121">
        <v>44</v>
      </c>
      <c r="I5121">
        <v>0.41730400000000001</v>
      </c>
      <c r="J5121">
        <v>0.79004300000000005</v>
      </c>
      <c r="K5121">
        <v>0.37273899999999999</v>
      </c>
      <c r="L5121">
        <v>40</v>
      </c>
      <c r="M5121">
        <v>2</v>
      </c>
      <c r="N5121">
        <v>2</v>
      </c>
      <c r="O5121">
        <v>0.79939199999999999</v>
      </c>
      <c r="P5121">
        <v>0.37509399999999998</v>
      </c>
      <c r="Q5121">
        <v>0.188745</v>
      </c>
    </row>
    <row r="5122" spans="1:17" x14ac:dyDescent="0.25">
      <c r="A5122" t="str">
        <f>IF(C5122&amp;G5122&amp;D5122&lt;&gt;'Funnel setup'!$K$3&amp;'Funnel setup'!$K$4&amp;'Funnel setup'!$K$6,".",IF(A5121=".",1,A5121+1))</f>
        <v>.</v>
      </c>
      <c r="B5122" s="244" t="str">
        <f t="shared" ref="B5122:B5185" si="80">C5122&amp;D5122&amp;F5122&amp;G5122</f>
        <v>Total Knee ReplacementProviderNUFFIELD HEALTH, SHREWSBURY HOSPITAL (NT235)EQ-5D Index</v>
      </c>
      <c r="C5122" t="s">
        <v>975</v>
      </c>
      <c r="D5122" t="s">
        <v>965</v>
      </c>
      <c r="E5122" t="s">
        <v>402</v>
      </c>
      <c r="F5122" t="s">
        <v>403</v>
      </c>
      <c r="G5122" t="s">
        <v>963</v>
      </c>
      <c r="H5122">
        <v>2</v>
      </c>
      <c r="I5122">
        <v>0.30199999999999999</v>
      </c>
      <c r="J5122">
        <v>0.26800000000000002</v>
      </c>
      <c r="K5122">
        <v>-3.4000000000000002E-2</v>
      </c>
      <c r="L5122">
        <v>0</v>
      </c>
      <c r="M5122">
        <v>1</v>
      </c>
      <c r="N5122">
        <v>1</v>
      </c>
      <c r="O5122" t="s">
        <v>127</v>
      </c>
      <c r="P5122" t="s">
        <v>127</v>
      </c>
      <c r="Q5122" t="s">
        <v>127</v>
      </c>
    </row>
    <row r="5123" spans="1:17" x14ac:dyDescent="0.25">
      <c r="A5123" t="str">
        <f>IF(C5123&amp;G5123&amp;D5123&lt;&gt;'Funnel setup'!$K$3&amp;'Funnel setup'!$K$4&amp;'Funnel setup'!$K$6,".",IF(A5122=".",1,A5122+1))</f>
        <v>.</v>
      </c>
      <c r="B5123" s="244" t="str">
        <f t="shared" si="80"/>
        <v>Total Knee ReplacementProviderNUFFIELD HEALTH, TAUNTON HOSPITAL (NT238)EQ-5D Index</v>
      </c>
      <c r="C5123" t="s">
        <v>975</v>
      </c>
      <c r="D5123" t="s">
        <v>965</v>
      </c>
      <c r="E5123" t="s">
        <v>404</v>
      </c>
      <c r="F5123" t="s">
        <v>405</v>
      </c>
      <c r="G5123" t="s">
        <v>963</v>
      </c>
      <c r="H5123">
        <v>23</v>
      </c>
      <c r="I5123">
        <v>0.45534799999999997</v>
      </c>
      <c r="J5123">
        <v>0.81699999999999995</v>
      </c>
      <c r="K5123">
        <v>0.36165199999999997</v>
      </c>
      <c r="L5123">
        <v>22</v>
      </c>
      <c r="M5123">
        <v>0</v>
      </c>
      <c r="N5123">
        <v>1</v>
      </c>
      <c r="O5123" t="s">
        <v>127</v>
      </c>
      <c r="P5123" t="s">
        <v>127</v>
      </c>
      <c r="Q5123" t="s">
        <v>127</v>
      </c>
    </row>
    <row r="5124" spans="1:17" x14ac:dyDescent="0.25">
      <c r="A5124" t="str">
        <f>IF(C5124&amp;G5124&amp;D5124&lt;&gt;'Funnel setup'!$K$3&amp;'Funnel setup'!$K$4&amp;'Funnel setup'!$K$6,".",IF(A5123=".",1,A5123+1))</f>
        <v>.</v>
      </c>
      <c r="B5124" s="244" t="str">
        <f t="shared" si="80"/>
        <v>Total Knee ReplacementProviderNUFFIELD HEALTH, TEES HOSPITAL (NT237)EQ-5D Index</v>
      </c>
      <c r="C5124" t="s">
        <v>975</v>
      </c>
      <c r="D5124" t="s">
        <v>965</v>
      </c>
      <c r="E5124" t="s">
        <v>406</v>
      </c>
      <c r="F5124" t="s">
        <v>407</v>
      </c>
      <c r="G5124" t="s">
        <v>963</v>
      </c>
      <c r="H5124">
        <v>217</v>
      </c>
      <c r="I5124">
        <v>0.45150899999999999</v>
      </c>
      <c r="J5124">
        <v>0.77913200000000005</v>
      </c>
      <c r="K5124">
        <v>0.327623</v>
      </c>
      <c r="L5124">
        <v>192</v>
      </c>
      <c r="M5124">
        <v>6</v>
      </c>
      <c r="N5124">
        <v>19</v>
      </c>
      <c r="O5124">
        <v>0.75904700000000003</v>
      </c>
      <c r="P5124">
        <v>0.33474999999999999</v>
      </c>
      <c r="Q5124">
        <v>0.24024100000000001</v>
      </c>
    </row>
    <row r="5125" spans="1:17" x14ac:dyDescent="0.25">
      <c r="A5125" t="str">
        <f>IF(C5125&amp;G5125&amp;D5125&lt;&gt;'Funnel setup'!$K$3&amp;'Funnel setup'!$K$4&amp;'Funnel setup'!$K$6,".",IF(A5124=".",1,A5124+1))</f>
        <v>.</v>
      </c>
      <c r="B5125" s="244" t="str">
        <f t="shared" si="80"/>
        <v>Total Knee ReplacementProviderNUFFIELD HEALTH, THE GROSVENOR HOSPITAL, CHESTER (NT210)EQ-5D Index</v>
      </c>
      <c r="C5125" t="s">
        <v>975</v>
      </c>
      <c r="D5125" t="s">
        <v>965</v>
      </c>
      <c r="E5125" t="s">
        <v>408</v>
      </c>
      <c r="F5125" t="s">
        <v>409</v>
      </c>
      <c r="G5125" t="s">
        <v>963</v>
      </c>
      <c r="H5125">
        <v>13</v>
      </c>
      <c r="I5125">
        <v>0.492923</v>
      </c>
      <c r="J5125">
        <v>0.78061499999999995</v>
      </c>
      <c r="K5125">
        <v>0.287692</v>
      </c>
      <c r="L5125">
        <v>12</v>
      </c>
      <c r="M5125">
        <v>1</v>
      </c>
      <c r="N5125">
        <v>0</v>
      </c>
      <c r="O5125" t="s">
        <v>127</v>
      </c>
      <c r="P5125" t="s">
        <v>127</v>
      </c>
      <c r="Q5125" t="s">
        <v>127</v>
      </c>
    </row>
    <row r="5126" spans="1:17" x14ac:dyDescent="0.25">
      <c r="A5126" t="str">
        <f>IF(C5126&amp;G5126&amp;D5126&lt;&gt;'Funnel setup'!$K$3&amp;'Funnel setup'!$K$4&amp;'Funnel setup'!$K$6,".",IF(A5125=".",1,A5125+1))</f>
        <v>.</v>
      </c>
      <c r="B5126" s="244" t="str">
        <f t="shared" si="80"/>
        <v>Total Knee ReplacementProviderNUFFIELD HEALTH, TUNBRIDGE WELLS HOSPITAL (NT239)EQ-5D Index</v>
      </c>
      <c r="C5126" t="s">
        <v>975</v>
      </c>
      <c r="D5126" t="s">
        <v>965</v>
      </c>
      <c r="E5126" t="s">
        <v>410</v>
      </c>
      <c r="F5126" t="s">
        <v>411</v>
      </c>
      <c r="G5126" t="s">
        <v>963</v>
      </c>
      <c r="H5126">
        <v>6</v>
      </c>
      <c r="I5126">
        <v>0.64933300000000005</v>
      </c>
      <c r="J5126">
        <v>0.93683300000000003</v>
      </c>
      <c r="K5126">
        <v>0.28749999999999998</v>
      </c>
      <c r="L5126">
        <v>6</v>
      </c>
      <c r="M5126">
        <v>0</v>
      </c>
      <c r="N5126">
        <v>0</v>
      </c>
      <c r="O5126" t="s">
        <v>127</v>
      </c>
      <c r="P5126" t="s">
        <v>127</v>
      </c>
      <c r="Q5126" t="s">
        <v>127</v>
      </c>
    </row>
    <row r="5127" spans="1:17" x14ac:dyDescent="0.25">
      <c r="A5127" t="str">
        <f>IF(C5127&amp;G5127&amp;D5127&lt;&gt;'Funnel setup'!$K$3&amp;'Funnel setup'!$K$4&amp;'Funnel setup'!$K$6,".",IF(A5126=".",1,A5126+1))</f>
        <v>.</v>
      </c>
      <c r="B5127" s="244" t="str">
        <f t="shared" si="80"/>
        <v>Total Knee ReplacementProviderNUFFIELD HEALTH, WARWICKSHIRE HOSPITAL (NT224)EQ-5D Index</v>
      </c>
      <c r="C5127" t="s">
        <v>975</v>
      </c>
      <c r="D5127" t="s">
        <v>965</v>
      </c>
      <c r="E5127" t="s">
        <v>412</v>
      </c>
      <c r="F5127" t="s">
        <v>413</v>
      </c>
      <c r="G5127" t="s">
        <v>963</v>
      </c>
      <c r="H5127">
        <v>13</v>
      </c>
      <c r="I5127">
        <v>0.41078599999999998</v>
      </c>
      <c r="J5127">
        <v>0.74285699999999999</v>
      </c>
      <c r="K5127">
        <v>0.33207100000000001</v>
      </c>
      <c r="L5127">
        <v>9</v>
      </c>
      <c r="M5127">
        <v>3</v>
      </c>
      <c r="N5127">
        <v>1</v>
      </c>
      <c r="O5127" t="s">
        <v>127</v>
      </c>
      <c r="P5127" t="s">
        <v>127</v>
      </c>
      <c r="Q5127" t="s">
        <v>127</v>
      </c>
    </row>
    <row r="5128" spans="1:17" x14ac:dyDescent="0.25">
      <c r="A5128" t="str">
        <f>IF(C5128&amp;G5128&amp;D5128&lt;&gt;'Funnel setup'!$K$3&amp;'Funnel setup'!$K$4&amp;'Funnel setup'!$K$6,".",IF(A5127=".",1,A5127+1))</f>
        <v>.</v>
      </c>
      <c r="B5128" s="244" t="str">
        <f t="shared" si="80"/>
        <v>Total Knee ReplacementProviderNUFFIELD HEALTH, WESSEX HOSPITAL (NT214)EQ-5D Index</v>
      </c>
      <c r="C5128" t="s">
        <v>975</v>
      </c>
      <c r="D5128" t="s">
        <v>965</v>
      </c>
      <c r="E5128" t="s">
        <v>414</v>
      </c>
      <c r="F5128" t="s">
        <v>415</v>
      </c>
      <c r="G5128" t="s">
        <v>963</v>
      </c>
      <c r="H5128">
        <v>29</v>
      </c>
      <c r="I5128">
        <v>0.52662100000000001</v>
      </c>
      <c r="J5128">
        <v>0.74241400000000002</v>
      </c>
      <c r="K5128">
        <v>0.21579300000000001</v>
      </c>
      <c r="L5128">
        <v>19</v>
      </c>
      <c r="M5128">
        <v>5</v>
      </c>
      <c r="N5128">
        <v>5</v>
      </c>
      <c r="O5128" t="s">
        <v>127</v>
      </c>
      <c r="P5128" t="s">
        <v>127</v>
      </c>
      <c r="Q5128" t="s">
        <v>127</v>
      </c>
    </row>
    <row r="5129" spans="1:17" x14ac:dyDescent="0.25">
      <c r="A5129" t="str">
        <f>IF(C5129&amp;G5129&amp;D5129&lt;&gt;'Funnel setup'!$K$3&amp;'Funnel setup'!$K$4&amp;'Funnel setup'!$K$6,".",IF(A5128=".",1,A5128+1))</f>
        <v>.</v>
      </c>
      <c r="B5129" s="244" t="str">
        <f t="shared" si="80"/>
        <v>Total Knee ReplacementProviderNUFFIELD HEALTH, WOLVERHAMPTON HOSPITAL (NT242)EQ-5D Index</v>
      </c>
      <c r="C5129" t="s">
        <v>975</v>
      </c>
      <c r="D5129" t="s">
        <v>965</v>
      </c>
      <c r="E5129" t="s">
        <v>418</v>
      </c>
      <c r="F5129" t="s">
        <v>419</v>
      </c>
      <c r="G5129" t="s">
        <v>963</v>
      </c>
      <c r="H5129">
        <v>15</v>
      </c>
      <c r="I5129">
        <v>0.397067</v>
      </c>
      <c r="J5129">
        <v>0.67213299999999998</v>
      </c>
      <c r="K5129">
        <v>0.27506700000000001</v>
      </c>
      <c r="L5129">
        <v>11</v>
      </c>
      <c r="M5129">
        <v>2</v>
      </c>
      <c r="N5129">
        <v>2</v>
      </c>
      <c r="O5129" t="s">
        <v>127</v>
      </c>
      <c r="P5129" t="s">
        <v>127</v>
      </c>
      <c r="Q5129" t="s">
        <v>127</v>
      </c>
    </row>
    <row r="5130" spans="1:17" x14ac:dyDescent="0.25">
      <c r="A5130" t="str">
        <f>IF(C5130&amp;G5130&amp;D5130&lt;&gt;'Funnel setup'!$K$3&amp;'Funnel setup'!$K$4&amp;'Funnel setup'!$K$6,".",IF(A5129=".",1,A5129+1))</f>
        <v>.</v>
      </c>
      <c r="B5130" s="244" t="str">
        <f t="shared" si="80"/>
        <v>Total Knee ReplacementProviderNUFFIELD HEALTH, YORK HOSPITAL (NT245)EQ-5D Index</v>
      </c>
      <c r="C5130" t="s">
        <v>975</v>
      </c>
      <c r="D5130" t="s">
        <v>965</v>
      </c>
      <c r="E5130" t="s">
        <v>420</v>
      </c>
      <c r="F5130" t="s">
        <v>421</v>
      </c>
      <c r="G5130" t="s">
        <v>963</v>
      </c>
      <c r="H5130">
        <v>59</v>
      </c>
      <c r="I5130">
        <v>0.520339</v>
      </c>
      <c r="J5130">
        <v>0.77430500000000002</v>
      </c>
      <c r="K5130">
        <v>0.25396600000000003</v>
      </c>
      <c r="L5130">
        <v>48</v>
      </c>
      <c r="M5130">
        <v>4</v>
      </c>
      <c r="N5130">
        <v>7</v>
      </c>
      <c r="O5130">
        <v>0.74119800000000002</v>
      </c>
      <c r="P5130">
        <v>0.31690099999999999</v>
      </c>
      <c r="Q5130">
        <v>0.18724299999999999</v>
      </c>
    </row>
    <row r="5131" spans="1:17" x14ac:dyDescent="0.25">
      <c r="A5131" t="str">
        <f>IF(C5131&amp;G5131&amp;D5131&lt;&gt;'Funnel setup'!$K$3&amp;'Funnel setup'!$K$4&amp;'Funnel setup'!$K$6,".",IF(A5130=".",1,A5130+1))</f>
        <v>.</v>
      </c>
      <c r="B5131" s="244" t="str">
        <f t="shared" si="80"/>
        <v>Total Knee ReplacementProviderOAKLANDS HOSPITAL (NVC12)EQ-5D Index</v>
      </c>
      <c r="C5131" t="s">
        <v>975</v>
      </c>
      <c r="D5131" t="s">
        <v>965</v>
      </c>
      <c r="E5131" t="s">
        <v>424</v>
      </c>
      <c r="F5131" t="s">
        <v>425</v>
      </c>
      <c r="G5131" t="s">
        <v>963</v>
      </c>
      <c r="H5131">
        <v>77</v>
      </c>
      <c r="I5131">
        <v>0.35394799999999998</v>
      </c>
      <c r="J5131">
        <v>0.71116900000000005</v>
      </c>
      <c r="K5131">
        <v>0.35722100000000001</v>
      </c>
      <c r="L5131">
        <v>57</v>
      </c>
      <c r="M5131">
        <v>8</v>
      </c>
      <c r="N5131">
        <v>12</v>
      </c>
      <c r="O5131">
        <v>0.74196300000000004</v>
      </c>
      <c r="P5131">
        <v>0.317666</v>
      </c>
      <c r="Q5131">
        <v>0.256158</v>
      </c>
    </row>
    <row r="5132" spans="1:17" x14ac:dyDescent="0.25">
      <c r="A5132" t="str">
        <f>IF(C5132&amp;G5132&amp;D5132&lt;&gt;'Funnel setup'!$K$3&amp;'Funnel setup'!$K$4&amp;'Funnel setup'!$K$6,".",IF(A5131=".",1,A5131+1))</f>
        <v>.</v>
      </c>
      <c r="B5132" s="244" t="str">
        <f t="shared" si="80"/>
        <v>Total Knee ReplacementProviderOAKS HOSPITAL (NVC13)EQ-5D Index</v>
      </c>
      <c r="C5132" t="s">
        <v>975</v>
      </c>
      <c r="D5132" t="s">
        <v>965</v>
      </c>
      <c r="E5132" t="s">
        <v>426</v>
      </c>
      <c r="F5132" t="s">
        <v>427</v>
      </c>
      <c r="G5132" t="s">
        <v>963</v>
      </c>
      <c r="H5132">
        <v>4</v>
      </c>
      <c r="I5132">
        <v>0.53149999999999997</v>
      </c>
      <c r="J5132">
        <v>0.96199999999999997</v>
      </c>
      <c r="K5132">
        <v>0.43049999999999999</v>
      </c>
      <c r="L5132">
        <v>4</v>
      </c>
      <c r="M5132">
        <v>0</v>
      </c>
      <c r="N5132">
        <v>0</v>
      </c>
      <c r="O5132" t="s">
        <v>127</v>
      </c>
      <c r="P5132" t="s">
        <v>127</v>
      </c>
      <c r="Q5132" t="s">
        <v>127</v>
      </c>
    </row>
    <row r="5133" spans="1:17" x14ac:dyDescent="0.25">
      <c r="A5133" t="str">
        <f>IF(C5133&amp;G5133&amp;D5133&lt;&gt;'Funnel setup'!$K$3&amp;'Funnel setup'!$K$4&amp;'Funnel setup'!$K$6,".",IF(A5132=".",1,A5132+1))</f>
        <v>.</v>
      </c>
      <c r="B5133" s="244" t="str">
        <f t="shared" si="80"/>
        <v>Total Knee ReplacementProviderONE HEALTHCARE (AVQ)EQ-5D Index</v>
      </c>
      <c r="C5133" t="s">
        <v>975</v>
      </c>
      <c r="D5133" t="s">
        <v>965</v>
      </c>
      <c r="E5133" t="s">
        <v>434</v>
      </c>
      <c r="F5133" t="s">
        <v>435</v>
      </c>
      <c r="G5133" t="s">
        <v>963</v>
      </c>
      <c r="H5133">
        <v>61</v>
      </c>
      <c r="I5133">
        <v>0.44601600000000002</v>
      </c>
      <c r="J5133">
        <v>0.79560699999999995</v>
      </c>
      <c r="K5133">
        <v>0.34959000000000001</v>
      </c>
      <c r="L5133">
        <v>54</v>
      </c>
      <c r="M5133">
        <v>5</v>
      </c>
      <c r="N5133">
        <v>2</v>
      </c>
      <c r="O5133">
        <v>0.75290999999999997</v>
      </c>
      <c r="P5133">
        <v>0.32861299999999999</v>
      </c>
      <c r="Q5133">
        <v>0.16981499999999999</v>
      </c>
    </row>
    <row r="5134" spans="1:17" x14ac:dyDescent="0.25">
      <c r="A5134" t="str">
        <f>IF(C5134&amp;G5134&amp;D5134&lt;&gt;'Funnel setup'!$K$3&amp;'Funnel setup'!$K$4&amp;'Funnel setup'!$K$6,".",IF(A5133=".",1,A5133+1))</f>
        <v>.</v>
      </c>
      <c r="B5134" s="244" t="str">
        <f t="shared" si="80"/>
        <v>Total Knee ReplacementProviderORTHOPAEDICS &amp; SPINE SPECIALIST HOSPITAL SITE (NQM01)EQ-5D Index</v>
      </c>
      <c r="C5134" t="s">
        <v>975</v>
      </c>
      <c r="D5134" t="s">
        <v>965</v>
      </c>
      <c r="E5134" t="s">
        <v>436</v>
      </c>
      <c r="F5134" t="s">
        <v>437</v>
      </c>
      <c r="G5134" t="s">
        <v>963</v>
      </c>
      <c r="H5134">
        <v>6</v>
      </c>
      <c r="I5134">
        <v>0.17</v>
      </c>
      <c r="J5134">
        <v>0.47499999999999998</v>
      </c>
      <c r="K5134">
        <v>0.30499999999999999</v>
      </c>
      <c r="L5134">
        <v>5</v>
      </c>
      <c r="M5134">
        <v>0</v>
      </c>
      <c r="N5134">
        <v>1</v>
      </c>
      <c r="O5134" t="s">
        <v>127</v>
      </c>
      <c r="P5134" t="s">
        <v>127</v>
      </c>
      <c r="Q5134" t="s">
        <v>127</v>
      </c>
    </row>
    <row r="5135" spans="1:17" x14ac:dyDescent="0.25">
      <c r="A5135" t="str">
        <f>IF(C5135&amp;G5135&amp;D5135&lt;&gt;'Funnel setup'!$K$3&amp;'Funnel setup'!$K$4&amp;'Funnel setup'!$K$6,".",IF(A5134=".",1,A5134+1))</f>
        <v>.</v>
      </c>
      <c r="B5135" s="244" t="str">
        <f t="shared" si="80"/>
        <v>Total Knee ReplacementProviderOXFORD UNIVERSITY HOSPITALS NHS FOUNDATION TRUST (RTH)EQ-5D Index</v>
      </c>
      <c r="C5135" t="s">
        <v>975</v>
      </c>
      <c r="D5135" t="s">
        <v>965</v>
      </c>
      <c r="E5135" t="s">
        <v>438</v>
      </c>
      <c r="F5135" t="s">
        <v>439</v>
      </c>
      <c r="G5135" t="s">
        <v>963</v>
      </c>
      <c r="H5135">
        <v>269</v>
      </c>
      <c r="I5135">
        <v>0.40648299999999998</v>
      </c>
      <c r="J5135">
        <v>0.75387000000000004</v>
      </c>
      <c r="K5135">
        <v>0.347387</v>
      </c>
      <c r="L5135">
        <v>230</v>
      </c>
      <c r="M5135">
        <v>20</v>
      </c>
      <c r="N5135">
        <v>19</v>
      </c>
      <c r="O5135">
        <v>0.76354599999999995</v>
      </c>
      <c r="P5135">
        <v>0.33924799999999999</v>
      </c>
      <c r="Q5135">
        <v>0.214423</v>
      </c>
    </row>
    <row r="5136" spans="1:17" x14ac:dyDescent="0.25">
      <c r="A5136" t="str">
        <f>IF(C5136&amp;G5136&amp;D5136&lt;&gt;'Funnel setup'!$K$3&amp;'Funnel setup'!$K$4&amp;'Funnel setup'!$K$6,".",IF(A5135=".",1,A5135+1))</f>
        <v>.</v>
      </c>
      <c r="B5136" s="244" t="str">
        <f t="shared" si="80"/>
        <v>Total Knee ReplacementProviderPARK HILL HOSPITAL (NVC14)EQ-5D Index</v>
      </c>
      <c r="C5136" t="s">
        <v>975</v>
      </c>
      <c r="D5136" t="s">
        <v>965</v>
      </c>
      <c r="E5136" t="s">
        <v>440</v>
      </c>
      <c r="F5136" t="s">
        <v>441</v>
      </c>
      <c r="G5136" t="s">
        <v>963</v>
      </c>
      <c r="H5136">
        <v>36</v>
      </c>
      <c r="I5136">
        <v>0.371784</v>
      </c>
      <c r="J5136">
        <v>0.68816200000000005</v>
      </c>
      <c r="K5136">
        <v>0.31637799999999999</v>
      </c>
      <c r="L5136">
        <v>27</v>
      </c>
      <c r="M5136">
        <v>4</v>
      </c>
      <c r="N5136">
        <v>5</v>
      </c>
      <c r="O5136">
        <v>0.70254399999999995</v>
      </c>
      <c r="P5136">
        <v>0.27824599999999999</v>
      </c>
      <c r="Q5136">
        <v>0.249026</v>
      </c>
    </row>
    <row r="5137" spans="1:17" x14ac:dyDescent="0.25">
      <c r="A5137" t="str">
        <f>IF(C5137&amp;G5137&amp;D5137&lt;&gt;'Funnel setup'!$K$3&amp;'Funnel setup'!$K$4&amp;'Funnel setup'!$K$6,".",IF(A5136=".",1,A5136+1))</f>
        <v>.</v>
      </c>
      <c r="B5137" s="244" t="str">
        <f t="shared" si="80"/>
        <v>Total Knee ReplacementProviderPARK HOSPITAL (NT427)EQ-5D Index</v>
      </c>
      <c r="C5137" t="s">
        <v>975</v>
      </c>
      <c r="D5137" t="s">
        <v>965</v>
      </c>
      <c r="E5137" t="s">
        <v>442</v>
      </c>
      <c r="F5137" t="s">
        <v>443</v>
      </c>
      <c r="G5137" t="s">
        <v>963</v>
      </c>
      <c r="H5137">
        <v>56</v>
      </c>
      <c r="I5137">
        <v>0.49560700000000002</v>
      </c>
      <c r="J5137">
        <v>0.74235700000000004</v>
      </c>
      <c r="K5137">
        <v>0.24675</v>
      </c>
      <c r="L5137">
        <v>38</v>
      </c>
      <c r="M5137">
        <v>9</v>
      </c>
      <c r="N5137">
        <v>9</v>
      </c>
      <c r="O5137">
        <v>0.69791400000000003</v>
      </c>
      <c r="P5137">
        <v>0.273617</v>
      </c>
      <c r="Q5137">
        <v>0.240563</v>
      </c>
    </row>
    <row r="5138" spans="1:17" x14ac:dyDescent="0.25">
      <c r="A5138" t="str">
        <f>IF(C5138&amp;G5138&amp;D5138&lt;&gt;'Funnel setup'!$K$3&amp;'Funnel setup'!$K$4&amp;'Funnel setup'!$K$6,".",IF(A5137=".",1,A5137+1))</f>
        <v>.</v>
      </c>
      <c r="B5138" s="244" t="str">
        <f t="shared" si="80"/>
        <v>Total Knee ReplacementProviderPENNINE ACUTE HOSPITALS NHS TRUST (RW6)EQ-5D Index</v>
      </c>
      <c r="C5138" t="s">
        <v>975</v>
      </c>
      <c r="D5138" t="s">
        <v>965</v>
      </c>
      <c r="E5138" t="s">
        <v>444</v>
      </c>
      <c r="F5138" t="s">
        <v>445</v>
      </c>
      <c r="G5138" t="s">
        <v>963</v>
      </c>
      <c r="H5138">
        <v>4</v>
      </c>
      <c r="I5138">
        <v>0.48825000000000002</v>
      </c>
      <c r="J5138">
        <v>0.80274999999999996</v>
      </c>
      <c r="K5138">
        <v>0.3145</v>
      </c>
      <c r="L5138">
        <v>4</v>
      </c>
      <c r="M5138">
        <v>0</v>
      </c>
      <c r="N5138">
        <v>0</v>
      </c>
      <c r="O5138" t="s">
        <v>127</v>
      </c>
      <c r="P5138" t="s">
        <v>127</v>
      </c>
      <c r="Q5138" t="s">
        <v>127</v>
      </c>
    </row>
    <row r="5139" spans="1:17" x14ac:dyDescent="0.25">
      <c r="A5139" t="str">
        <f>IF(C5139&amp;G5139&amp;D5139&lt;&gt;'Funnel setup'!$K$3&amp;'Funnel setup'!$K$4&amp;'Funnel setup'!$K$6,".",IF(A5138=".",1,A5138+1))</f>
        <v>.</v>
      </c>
      <c r="B5139" s="244" t="str">
        <f t="shared" si="80"/>
        <v>Total Knee ReplacementProviderPINEHILL HOSPITAL (NVC15)EQ-5D Index</v>
      </c>
      <c r="C5139" t="s">
        <v>975</v>
      </c>
      <c r="D5139" t="s">
        <v>965</v>
      </c>
      <c r="E5139" t="s">
        <v>448</v>
      </c>
      <c r="F5139" t="s">
        <v>449</v>
      </c>
      <c r="G5139" t="s">
        <v>963</v>
      </c>
      <c r="H5139">
        <v>7</v>
      </c>
      <c r="I5139">
        <v>0.37757099999999999</v>
      </c>
      <c r="J5139">
        <v>0.80142899999999995</v>
      </c>
      <c r="K5139">
        <v>0.42385699999999998</v>
      </c>
      <c r="L5139">
        <v>6</v>
      </c>
      <c r="M5139">
        <v>1</v>
      </c>
      <c r="N5139">
        <v>0</v>
      </c>
      <c r="O5139" t="s">
        <v>127</v>
      </c>
      <c r="P5139" t="s">
        <v>127</v>
      </c>
      <c r="Q5139" t="s">
        <v>127</v>
      </c>
    </row>
    <row r="5140" spans="1:17" x14ac:dyDescent="0.25">
      <c r="A5140" t="str">
        <f>IF(C5140&amp;G5140&amp;D5140&lt;&gt;'Funnel setup'!$K$3&amp;'Funnel setup'!$K$4&amp;'Funnel setup'!$K$6,".",IF(A5139=".",1,A5139+1))</f>
        <v>.</v>
      </c>
      <c r="B5140" s="244" t="str">
        <f t="shared" si="80"/>
        <v>Total Knee ReplacementProviderPORTSMOUTH HOSPITALS UNIVERSITY NATIONAL HEALTH SERVICE TRUST (RHU)EQ-5D Index</v>
      </c>
      <c r="C5140" t="s">
        <v>975</v>
      </c>
      <c r="D5140" t="s">
        <v>965</v>
      </c>
      <c r="E5140" t="s">
        <v>450</v>
      </c>
      <c r="F5140" t="s">
        <v>451</v>
      </c>
      <c r="G5140" t="s">
        <v>963</v>
      </c>
      <c r="H5140">
        <v>14</v>
      </c>
      <c r="I5140">
        <v>0.15542900000000001</v>
      </c>
      <c r="J5140">
        <v>0.66535699999999998</v>
      </c>
      <c r="K5140">
        <v>0.50992899999999997</v>
      </c>
      <c r="L5140">
        <v>11</v>
      </c>
      <c r="M5140">
        <v>1</v>
      </c>
      <c r="N5140">
        <v>2</v>
      </c>
      <c r="O5140" t="s">
        <v>127</v>
      </c>
      <c r="P5140" t="s">
        <v>127</v>
      </c>
      <c r="Q5140" t="s">
        <v>127</v>
      </c>
    </row>
    <row r="5141" spans="1:17" x14ac:dyDescent="0.25">
      <c r="A5141" t="str">
        <f>IF(C5141&amp;G5141&amp;D5141&lt;&gt;'Funnel setup'!$K$3&amp;'Funnel setup'!$K$4&amp;'Funnel setup'!$K$6,".",IF(A5140=".",1,A5140+1))</f>
        <v>.</v>
      </c>
      <c r="B5141" s="244" t="str">
        <f t="shared" si="80"/>
        <v>Total Knee ReplacementProviderPRACTICE PLUS GROUP HOSPITAL - BARLBOROUGH (NTP13)EQ-5D Index</v>
      </c>
      <c r="C5141" t="s">
        <v>975</v>
      </c>
      <c r="D5141" t="s">
        <v>965</v>
      </c>
      <c r="E5141" t="s">
        <v>452</v>
      </c>
      <c r="F5141" t="s">
        <v>453</v>
      </c>
      <c r="G5141" t="s">
        <v>963</v>
      </c>
      <c r="H5141">
        <v>241</v>
      </c>
      <c r="I5141">
        <v>0.46227499999999999</v>
      </c>
      <c r="J5141">
        <v>0.79695099999999996</v>
      </c>
      <c r="K5141">
        <v>0.33467599999999997</v>
      </c>
      <c r="L5141">
        <v>203</v>
      </c>
      <c r="M5141">
        <v>21</v>
      </c>
      <c r="N5141">
        <v>17</v>
      </c>
      <c r="O5141">
        <v>0.77257299999999995</v>
      </c>
      <c r="P5141">
        <v>0.34827599999999997</v>
      </c>
      <c r="Q5141">
        <v>0.21262</v>
      </c>
    </row>
    <row r="5142" spans="1:17" x14ac:dyDescent="0.25">
      <c r="A5142" t="str">
        <f>IF(C5142&amp;G5142&amp;D5142&lt;&gt;'Funnel setup'!$K$3&amp;'Funnel setup'!$K$4&amp;'Funnel setup'!$K$6,".",IF(A5141=".",1,A5141+1))</f>
        <v>.</v>
      </c>
      <c r="B5142" s="244" t="str">
        <f t="shared" si="80"/>
        <v>Total Knee ReplacementProviderPRACTICE PLUS GROUP HOSPITAL - EMERSONS GREEN (NTPH2)EQ-5D Index</v>
      </c>
      <c r="C5142" t="s">
        <v>975</v>
      </c>
      <c r="D5142" t="s">
        <v>965</v>
      </c>
      <c r="E5142" t="s">
        <v>454</v>
      </c>
      <c r="F5142" t="s">
        <v>455</v>
      </c>
      <c r="G5142" t="s">
        <v>963</v>
      </c>
      <c r="H5142">
        <v>138</v>
      </c>
      <c r="I5142">
        <v>0.51229000000000002</v>
      </c>
      <c r="J5142">
        <v>0.76452200000000003</v>
      </c>
      <c r="K5142">
        <v>0.25223200000000001</v>
      </c>
      <c r="L5142">
        <v>110</v>
      </c>
      <c r="M5142">
        <v>14</v>
      </c>
      <c r="N5142">
        <v>14</v>
      </c>
      <c r="O5142">
        <v>0.71833999999999998</v>
      </c>
      <c r="P5142">
        <v>0.29404200000000003</v>
      </c>
      <c r="Q5142">
        <v>0.229327</v>
      </c>
    </row>
    <row r="5143" spans="1:17" x14ac:dyDescent="0.25">
      <c r="A5143" t="str">
        <f>IF(C5143&amp;G5143&amp;D5143&lt;&gt;'Funnel setup'!$K$3&amp;'Funnel setup'!$K$4&amp;'Funnel setup'!$K$6,".",IF(A5142=".",1,A5142+1))</f>
        <v>.</v>
      </c>
      <c r="B5143" s="244" t="str">
        <f t="shared" si="80"/>
        <v>Total Knee ReplacementProviderPRACTICE PLUS GROUP HOSPITAL - ILFORD (NTP15)EQ-5D Index</v>
      </c>
      <c r="C5143" t="s">
        <v>975</v>
      </c>
      <c r="D5143" t="s">
        <v>965</v>
      </c>
      <c r="E5143" t="s">
        <v>456</v>
      </c>
      <c r="F5143" t="s">
        <v>457</v>
      </c>
      <c r="G5143" t="s">
        <v>963</v>
      </c>
      <c r="H5143">
        <v>79</v>
      </c>
      <c r="I5143">
        <v>0.38686100000000001</v>
      </c>
      <c r="J5143">
        <v>0.67436700000000005</v>
      </c>
      <c r="K5143">
        <v>0.28750599999999998</v>
      </c>
      <c r="L5143">
        <v>62</v>
      </c>
      <c r="M5143">
        <v>5</v>
      </c>
      <c r="N5143">
        <v>12</v>
      </c>
      <c r="O5143">
        <v>0.69377299999999997</v>
      </c>
      <c r="P5143">
        <v>0.26947599999999999</v>
      </c>
      <c r="Q5143">
        <v>0.24629000000000001</v>
      </c>
    </row>
    <row r="5144" spans="1:17" x14ac:dyDescent="0.25">
      <c r="A5144" t="str">
        <f>IF(C5144&amp;G5144&amp;D5144&lt;&gt;'Funnel setup'!$K$3&amp;'Funnel setup'!$K$4&amp;'Funnel setup'!$K$6,".",IF(A5143=".",1,A5143+1))</f>
        <v>.</v>
      </c>
      <c r="B5144" s="244" t="str">
        <f t="shared" si="80"/>
        <v>Total Knee ReplacementProviderPRACTICE PLUS GROUP HOSPITAL - PLYMOUTH (NTPH5)EQ-5D Index</v>
      </c>
      <c r="C5144" t="s">
        <v>975</v>
      </c>
      <c r="D5144" t="s">
        <v>965</v>
      </c>
      <c r="E5144" t="s">
        <v>458</v>
      </c>
      <c r="F5144" t="s">
        <v>459</v>
      </c>
      <c r="G5144" t="s">
        <v>963</v>
      </c>
      <c r="H5144">
        <v>193</v>
      </c>
      <c r="I5144">
        <v>0.48020699999999999</v>
      </c>
      <c r="J5144">
        <v>0.76353899999999997</v>
      </c>
      <c r="K5144">
        <v>0.28333199999999997</v>
      </c>
      <c r="L5144">
        <v>156</v>
      </c>
      <c r="M5144">
        <v>19</v>
      </c>
      <c r="N5144">
        <v>18</v>
      </c>
      <c r="O5144">
        <v>0.74296899999999999</v>
      </c>
      <c r="P5144">
        <v>0.31867099999999998</v>
      </c>
      <c r="Q5144">
        <v>0.205565</v>
      </c>
    </row>
    <row r="5145" spans="1:17" x14ac:dyDescent="0.25">
      <c r="A5145" t="str">
        <f>IF(C5145&amp;G5145&amp;D5145&lt;&gt;'Funnel setup'!$K$3&amp;'Funnel setup'!$K$4&amp;'Funnel setup'!$K$6,".",IF(A5144=".",1,A5144+1))</f>
        <v>.</v>
      </c>
      <c r="B5145" s="244" t="str">
        <f t="shared" si="80"/>
        <v>Total Knee ReplacementProviderPRACTICE PLUS GROUP HOSPITAL - SHEPTON MALLET (NTPH1)EQ-5D Index</v>
      </c>
      <c r="C5145" t="s">
        <v>975</v>
      </c>
      <c r="D5145" t="s">
        <v>965</v>
      </c>
      <c r="E5145" t="s">
        <v>460</v>
      </c>
      <c r="F5145" t="s">
        <v>461</v>
      </c>
      <c r="G5145" t="s">
        <v>963</v>
      </c>
      <c r="H5145">
        <v>221</v>
      </c>
      <c r="I5145">
        <v>0.48247099999999998</v>
      </c>
      <c r="J5145">
        <v>0.797041</v>
      </c>
      <c r="K5145">
        <v>0.31457000000000002</v>
      </c>
      <c r="L5145">
        <v>193</v>
      </c>
      <c r="M5145">
        <v>15</v>
      </c>
      <c r="N5145">
        <v>13</v>
      </c>
      <c r="O5145">
        <v>0.763625</v>
      </c>
      <c r="P5145">
        <v>0.33932800000000002</v>
      </c>
      <c r="Q5145">
        <v>0.19089200000000001</v>
      </c>
    </row>
    <row r="5146" spans="1:17" x14ac:dyDescent="0.25">
      <c r="A5146" t="str">
        <f>IF(C5146&amp;G5146&amp;D5146&lt;&gt;'Funnel setup'!$K$3&amp;'Funnel setup'!$K$4&amp;'Funnel setup'!$K$6,".",IF(A5145=".",1,A5145+1))</f>
        <v>.</v>
      </c>
      <c r="B5146" s="244" t="str">
        <f t="shared" si="80"/>
        <v>Total Knee ReplacementProviderPRACTICE PLUS GROUP HOSPITAL - SOUTHAMPTON (NTP11)EQ-5D Index</v>
      </c>
      <c r="C5146" t="s">
        <v>975</v>
      </c>
      <c r="D5146" t="s">
        <v>965</v>
      </c>
      <c r="E5146" t="s">
        <v>462</v>
      </c>
      <c r="F5146" t="s">
        <v>463</v>
      </c>
      <c r="G5146" t="s">
        <v>963</v>
      </c>
      <c r="H5146">
        <v>70</v>
      </c>
      <c r="I5146">
        <v>0.42508600000000002</v>
      </c>
      <c r="J5146">
        <v>0.74715699999999996</v>
      </c>
      <c r="K5146">
        <v>0.322071</v>
      </c>
      <c r="L5146">
        <v>58</v>
      </c>
      <c r="M5146">
        <v>5</v>
      </c>
      <c r="N5146">
        <v>7</v>
      </c>
      <c r="O5146">
        <v>0.74710100000000002</v>
      </c>
      <c r="P5146">
        <v>0.32280399999999998</v>
      </c>
      <c r="Q5146">
        <v>0.25659100000000001</v>
      </c>
    </row>
    <row r="5147" spans="1:17" x14ac:dyDescent="0.25">
      <c r="A5147" t="str">
        <f>IF(C5147&amp;G5147&amp;D5147&lt;&gt;'Funnel setup'!$K$3&amp;'Funnel setup'!$K$4&amp;'Funnel setup'!$K$6,".",IF(A5146=".",1,A5146+1))</f>
        <v>.</v>
      </c>
      <c r="B5147" s="244" t="str">
        <f t="shared" si="80"/>
        <v>Total Knee ReplacementProviderPRINCESS MARGARET HOSPITAL (NT428)EQ-5D Index</v>
      </c>
      <c r="C5147" t="s">
        <v>975</v>
      </c>
      <c r="D5147" t="s">
        <v>965</v>
      </c>
      <c r="E5147" t="s">
        <v>464</v>
      </c>
      <c r="F5147" t="s">
        <v>465</v>
      </c>
      <c r="G5147" t="s">
        <v>963</v>
      </c>
      <c r="H5147" t="s">
        <v>127</v>
      </c>
      <c r="I5147" t="s">
        <v>127</v>
      </c>
      <c r="J5147" t="s">
        <v>127</v>
      </c>
      <c r="K5147" t="s">
        <v>127</v>
      </c>
      <c r="L5147" t="s">
        <v>127</v>
      </c>
      <c r="M5147" t="s">
        <v>127</v>
      </c>
      <c r="N5147" t="s">
        <v>127</v>
      </c>
      <c r="O5147" t="s">
        <v>127</v>
      </c>
      <c r="P5147" t="s">
        <v>127</v>
      </c>
      <c r="Q5147" t="s">
        <v>127</v>
      </c>
    </row>
    <row r="5148" spans="1:17" x14ac:dyDescent="0.25">
      <c r="A5148" t="str">
        <f>IF(C5148&amp;G5148&amp;D5148&lt;&gt;'Funnel setup'!$K$3&amp;'Funnel setup'!$K$4&amp;'Funnel setup'!$K$6,".",IF(A5147=".",1,A5147+1))</f>
        <v>.</v>
      </c>
      <c r="B5148" s="244" t="str">
        <f t="shared" si="80"/>
        <v>Total Knee ReplacementProviderPRIORY HOSPITAL (NT429)EQ-5D Index</v>
      </c>
      <c r="C5148" t="s">
        <v>975</v>
      </c>
      <c r="D5148" t="s">
        <v>965</v>
      </c>
      <c r="E5148" t="s">
        <v>466</v>
      </c>
      <c r="F5148" t="s">
        <v>467</v>
      </c>
      <c r="G5148" t="s">
        <v>963</v>
      </c>
      <c r="H5148">
        <v>26</v>
      </c>
      <c r="I5148">
        <v>0.44889299999999999</v>
      </c>
      <c r="J5148">
        <v>0.78460700000000005</v>
      </c>
      <c r="K5148">
        <v>0.33571400000000001</v>
      </c>
      <c r="L5148">
        <v>24</v>
      </c>
      <c r="M5148">
        <v>2</v>
      </c>
      <c r="N5148">
        <v>0</v>
      </c>
      <c r="O5148" t="s">
        <v>127</v>
      </c>
      <c r="P5148" t="s">
        <v>127</v>
      </c>
      <c r="Q5148" t="s">
        <v>127</v>
      </c>
    </row>
    <row r="5149" spans="1:17" x14ac:dyDescent="0.25">
      <c r="A5149" t="str">
        <f>IF(C5149&amp;G5149&amp;D5149&lt;&gt;'Funnel setup'!$K$3&amp;'Funnel setup'!$K$4&amp;'Funnel setup'!$K$6,".",IF(A5148=".",1,A5148+1))</f>
        <v>.</v>
      </c>
      <c r="B5149" s="244" t="str">
        <f t="shared" si="80"/>
        <v>Total Knee ReplacementProviderRENACRES HOSPITAL (NVC16)EQ-5D Index</v>
      </c>
      <c r="C5149" t="s">
        <v>975</v>
      </c>
      <c r="D5149" t="s">
        <v>965</v>
      </c>
      <c r="E5149" t="s">
        <v>470</v>
      </c>
      <c r="F5149" t="s">
        <v>471</v>
      </c>
      <c r="G5149" t="s">
        <v>963</v>
      </c>
      <c r="H5149">
        <v>67</v>
      </c>
      <c r="I5149">
        <v>0.40449299999999999</v>
      </c>
      <c r="J5149">
        <v>0.79400000000000004</v>
      </c>
      <c r="K5149">
        <v>0.38950699999999999</v>
      </c>
      <c r="L5149">
        <v>59</v>
      </c>
      <c r="M5149">
        <v>6</v>
      </c>
      <c r="N5149">
        <v>2</v>
      </c>
      <c r="O5149">
        <v>0.77322100000000005</v>
      </c>
      <c r="P5149">
        <v>0.34892400000000001</v>
      </c>
      <c r="Q5149">
        <v>0.214943</v>
      </c>
    </row>
    <row r="5150" spans="1:17" x14ac:dyDescent="0.25">
      <c r="A5150" t="str">
        <f>IF(C5150&amp;G5150&amp;D5150&lt;&gt;'Funnel setup'!$K$3&amp;'Funnel setup'!$K$4&amp;'Funnel setup'!$K$6,".",IF(A5149=".",1,A5149+1))</f>
        <v>.</v>
      </c>
      <c r="B5150" s="244" t="str">
        <f t="shared" si="80"/>
        <v>Total Knee ReplacementProviderRIDGEWAY HOSPITAL (NT430)EQ-5D Index</v>
      </c>
      <c r="C5150" t="s">
        <v>975</v>
      </c>
      <c r="D5150" t="s">
        <v>965</v>
      </c>
      <c r="E5150" t="s">
        <v>472</v>
      </c>
      <c r="F5150" t="s">
        <v>473</v>
      </c>
      <c r="G5150" t="s">
        <v>963</v>
      </c>
      <c r="H5150">
        <v>1</v>
      </c>
      <c r="I5150">
        <v>0.62</v>
      </c>
      <c r="J5150">
        <v>1</v>
      </c>
      <c r="K5150">
        <v>0.38</v>
      </c>
      <c r="L5150">
        <v>1</v>
      </c>
      <c r="M5150">
        <v>0</v>
      </c>
      <c r="N5150">
        <v>0</v>
      </c>
      <c r="O5150" t="s">
        <v>127</v>
      </c>
      <c r="P5150" t="s">
        <v>127</v>
      </c>
      <c r="Q5150" t="s">
        <v>127</v>
      </c>
    </row>
    <row r="5151" spans="1:17" x14ac:dyDescent="0.25">
      <c r="A5151" t="str">
        <f>IF(C5151&amp;G5151&amp;D5151&lt;&gt;'Funnel setup'!$K$3&amp;'Funnel setup'!$K$4&amp;'Funnel setup'!$K$6,".",IF(A5150=".",1,A5150+1))</f>
        <v>.</v>
      </c>
      <c r="B5151" s="244" t="str">
        <f t="shared" si="80"/>
        <v>Total Knee ReplacementProviderRIVERS HOSPITAL (NVC19)EQ-5D Index</v>
      </c>
      <c r="C5151" t="s">
        <v>975</v>
      </c>
      <c r="D5151" t="s">
        <v>965</v>
      </c>
      <c r="E5151" t="s">
        <v>474</v>
      </c>
      <c r="F5151" t="s">
        <v>475</v>
      </c>
      <c r="G5151" t="s">
        <v>963</v>
      </c>
      <c r="H5151">
        <v>38</v>
      </c>
      <c r="I5151">
        <v>0.51023700000000005</v>
      </c>
      <c r="J5151">
        <v>0.83865800000000001</v>
      </c>
      <c r="K5151">
        <v>0.32842100000000002</v>
      </c>
      <c r="L5151">
        <v>31</v>
      </c>
      <c r="M5151">
        <v>4</v>
      </c>
      <c r="N5151">
        <v>3</v>
      </c>
      <c r="O5151">
        <v>0.78197499999999998</v>
      </c>
      <c r="P5151">
        <v>0.357678</v>
      </c>
      <c r="Q5151">
        <v>0.237899</v>
      </c>
    </row>
    <row r="5152" spans="1:17" x14ac:dyDescent="0.25">
      <c r="A5152" t="str">
        <f>IF(C5152&amp;G5152&amp;D5152&lt;&gt;'Funnel setup'!$K$3&amp;'Funnel setup'!$K$4&amp;'Funnel setup'!$K$6,".",IF(A5151=".",1,A5151+1))</f>
        <v>.</v>
      </c>
      <c r="B5152" s="244" t="str">
        <f t="shared" si="80"/>
        <v>Total Knee ReplacementProviderROWLEY HALL HOSPITAL (NVC17)EQ-5D Index</v>
      </c>
      <c r="C5152" t="s">
        <v>975</v>
      </c>
      <c r="D5152" t="s">
        <v>965</v>
      </c>
      <c r="E5152" t="s">
        <v>476</v>
      </c>
      <c r="F5152" t="s">
        <v>477</v>
      </c>
      <c r="G5152" t="s">
        <v>963</v>
      </c>
      <c r="H5152">
        <v>42</v>
      </c>
      <c r="I5152">
        <v>0.47183700000000001</v>
      </c>
      <c r="J5152">
        <v>0.75348800000000005</v>
      </c>
      <c r="K5152">
        <v>0.28165099999999998</v>
      </c>
      <c r="L5152">
        <v>33</v>
      </c>
      <c r="M5152">
        <v>6</v>
      </c>
      <c r="N5152">
        <v>3</v>
      </c>
      <c r="O5152">
        <v>0.73193600000000003</v>
      </c>
      <c r="P5152">
        <v>0.30763800000000002</v>
      </c>
      <c r="Q5152">
        <v>0.25136199999999997</v>
      </c>
    </row>
    <row r="5153" spans="1:17" x14ac:dyDescent="0.25">
      <c r="A5153" t="str">
        <f>IF(C5153&amp;G5153&amp;D5153&lt;&gt;'Funnel setup'!$K$3&amp;'Funnel setup'!$K$4&amp;'Funnel setup'!$K$6,".",IF(A5152=".",1,A5152+1))</f>
        <v>.</v>
      </c>
      <c r="B5153" s="244" t="str">
        <f t="shared" si="80"/>
        <v>Total Knee ReplacementProviderROYAL BERKSHIRE NHS FOUNDATION TRUST (RHW)EQ-5D Index</v>
      </c>
      <c r="C5153" t="s">
        <v>975</v>
      </c>
      <c r="D5153" t="s">
        <v>965</v>
      </c>
      <c r="E5153" t="s">
        <v>478</v>
      </c>
      <c r="F5153" t="s">
        <v>479</v>
      </c>
      <c r="G5153" t="s">
        <v>963</v>
      </c>
      <c r="H5153">
        <v>7</v>
      </c>
      <c r="I5153">
        <v>0.42657099999999998</v>
      </c>
      <c r="J5153">
        <v>0.71328599999999998</v>
      </c>
      <c r="K5153">
        <v>0.28671400000000002</v>
      </c>
      <c r="L5153">
        <v>5</v>
      </c>
      <c r="M5153">
        <v>1</v>
      </c>
      <c r="N5153">
        <v>1</v>
      </c>
      <c r="O5153" t="s">
        <v>127</v>
      </c>
      <c r="P5153" t="s">
        <v>127</v>
      </c>
      <c r="Q5153" t="s">
        <v>127</v>
      </c>
    </row>
    <row r="5154" spans="1:17" x14ac:dyDescent="0.25">
      <c r="A5154" t="str">
        <f>IF(C5154&amp;G5154&amp;D5154&lt;&gt;'Funnel setup'!$K$3&amp;'Funnel setup'!$K$4&amp;'Funnel setup'!$K$6,".",IF(A5153=".",1,A5153+1))</f>
        <v>.</v>
      </c>
      <c r="B5154" s="244" t="str">
        <f t="shared" si="80"/>
        <v>Total Knee ReplacementProviderROYAL CORNWALL HOSPITALS NHS TRUST (REF)EQ-5D Index</v>
      </c>
      <c r="C5154" t="s">
        <v>975</v>
      </c>
      <c r="D5154" t="s">
        <v>965</v>
      </c>
      <c r="E5154" t="s">
        <v>480</v>
      </c>
      <c r="F5154" t="s">
        <v>481</v>
      </c>
      <c r="G5154" t="s">
        <v>963</v>
      </c>
      <c r="H5154">
        <v>39</v>
      </c>
      <c r="I5154">
        <v>0.48030800000000001</v>
      </c>
      <c r="J5154">
        <v>0.75315399999999999</v>
      </c>
      <c r="K5154">
        <v>0.27284599999999998</v>
      </c>
      <c r="L5154">
        <v>28</v>
      </c>
      <c r="M5154">
        <v>6</v>
      </c>
      <c r="N5154">
        <v>5</v>
      </c>
      <c r="O5154">
        <v>0.76106700000000005</v>
      </c>
      <c r="P5154">
        <v>0.33676899999999999</v>
      </c>
      <c r="Q5154">
        <v>0.248364</v>
      </c>
    </row>
    <row r="5155" spans="1:17" x14ac:dyDescent="0.25">
      <c r="A5155" t="str">
        <f>IF(C5155&amp;G5155&amp;D5155&lt;&gt;'Funnel setup'!$K$3&amp;'Funnel setup'!$K$4&amp;'Funnel setup'!$K$6,".",IF(A5154=".",1,A5154+1))</f>
        <v>.</v>
      </c>
      <c r="B5155" s="244" t="str">
        <f t="shared" si="80"/>
        <v>Total Knee ReplacementProviderROYAL DEVON UNIVERSITY HEALTHCARE NHS FOUNDATION TRUST (RH8)EQ-5D Index</v>
      </c>
      <c r="C5155" t="s">
        <v>975</v>
      </c>
      <c r="D5155" t="s">
        <v>965</v>
      </c>
      <c r="E5155" t="s">
        <v>482</v>
      </c>
      <c r="F5155" t="s">
        <v>483</v>
      </c>
      <c r="G5155" t="s">
        <v>963</v>
      </c>
      <c r="H5155">
        <v>30</v>
      </c>
      <c r="I5155">
        <v>0.33860000000000001</v>
      </c>
      <c r="J5155">
        <v>0.66463300000000003</v>
      </c>
      <c r="K5155">
        <v>0.32603300000000002</v>
      </c>
      <c r="L5155">
        <v>28</v>
      </c>
      <c r="M5155">
        <v>0</v>
      </c>
      <c r="N5155">
        <v>2</v>
      </c>
      <c r="O5155">
        <v>0.71565800000000002</v>
      </c>
      <c r="P5155">
        <v>0.29136099999999998</v>
      </c>
      <c r="Q5155">
        <v>0.24762999999999999</v>
      </c>
    </row>
    <row r="5156" spans="1:17" x14ac:dyDescent="0.25">
      <c r="A5156" t="str">
        <f>IF(C5156&amp;G5156&amp;D5156&lt;&gt;'Funnel setup'!$K$3&amp;'Funnel setup'!$K$4&amp;'Funnel setup'!$K$6,".",IF(A5155=".",1,A5155+1))</f>
        <v>.</v>
      </c>
      <c r="B5156" s="244" t="str">
        <f t="shared" si="80"/>
        <v>Total Knee ReplacementProviderROYAL NATIONAL ORTHOPAEDIC HOSPITAL NHS TRUST (RAN)EQ-5D Index</v>
      </c>
      <c r="C5156" t="s">
        <v>975</v>
      </c>
      <c r="D5156" t="s">
        <v>965</v>
      </c>
      <c r="E5156" t="s">
        <v>486</v>
      </c>
      <c r="F5156" t="s">
        <v>487</v>
      </c>
      <c r="G5156" t="s">
        <v>963</v>
      </c>
      <c r="H5156">
        <v>105</v>
      </c>
      <c r="I5156">
        <v>0.44839000000000001</v>
      </c>
      <c r="J5156">
        <v>0.63941899999999996</v>
      </c>
      <c r="K5156">
        <v>0.191029</v>
      </c>
      <c r="L5156">
        <v>69</v>
      </c>
      <c r="M5156">
        <v>12</v>
      </c>
      <c r="N5156">
        <v>24</v>
      </c>
      <c r="O5156">
        <v>0.71019600000000005</v>
      </c>
      <c r="P5156">
        <v>0.28589900000000001</v>
      </c>
      <c r="Q5156">
        <v>0.26891599999999999</v>
      </c>
    </row>
    <row r="5157" spans="1:17" x14ac:dyDescent="0.25">
      <c r="A5157" t="str">
        <f>IF(C5157&amp;G5157&amp;D5157&lt;&gt;'Funnel setup'!$K$3&amp;'Funnel setup'!$K$4&amp;'Funnel setup'!$K$6,".",IF(A5156=".",1,A5156+1))</f>
        <v>.</v>
      </c>
      <c r="B5157" s="244" t="str">
        <f t="shared" si="80"/>
        <v>Total Knee ReplacementProviderROYAL SURREY COUNTY HOSPITAL NHS FOUNDATION TRUST (RA2)EQ-5D Index</v>
      </c>
      <c r="C5157" t="s">
        <v>975</v>
      </c>
      <c r="D5157" t="s">
        <v>965</v>
      </c>
      <c r="E5157" t="s">
        <v>488</v>
      </c>
      <c r="F5157" t="s">
        <v>489</v>
      </c>
      <c r="G5157" t="s">
        <v>963</v>
      </c>
      <c r="H5157">
        <v>46</v>
      </c>
      <c r="I5157">
        <v>0.397478</v>
      </c>
      <c r="J5157">
        <v>0.77017400000000003</v>
      </c>
      <c r="K5157">
        <v>0.37269600000000003</v>
      </c>
      <c r="L5157">
        <v>39</v>
      </c>
      <c r="M5157">
        <v>3</v>
      </c>
      <c r="N5157">
        <v>4</v>
      </c>
      <c r="O5157">
        <v>0.76411399999999996</v>
      </c>
      <c r="P5157">
        <v>0.33981600000000001</v>
      </c>
      <c r="Q5157">
        <v>0.18193300000000001</v>
      </c>
    </row>
    <row r="5158" spans="1:17" x14ac:dyDescent="0.25">
      <c r="A5158" t="str">
        <f>IF(C5158&amp;G5158&amp;D5158&lt;&gt;'Funnel setup'!$K$3&amp;'Funnel setup'!$K$4&amp;'Funnel setup'!$K$6,".",IF(A5157=".",1,A5157+1))</f>
        <v>.</v>
      </c>
      <c r="B5158" s="244" t="str">
        <f t="shared" si="80"/>
        <v>Total Knee ReplacementProviderROYAL UNITED HOSPITALS BATH NHS FOUNDATION TRUST (RD1)EQ-5D Index</v>
      </c>
      <c r="C5158" t="s">
        <v>975</v>
      </c>
      <c r="D5158" t="s">
        <v>965</v>
      </c>
      <c r="E5158" t="s">
        <v>490</v>
      </c>
      <c r="F5158" t="s">
        <v>491</v>
      </c>
      <c r="G5158" t="s">
        <v>963</v>
      </c>
      <c r="H5158">
        <v>14</v>
      </c>
      <c r="I5158">
        <v>0.308143</v>
      </c>
      <c r="J5158">
        <v>0.65007099999999995</v>
      </c>
      <c r="K5158">
        <v>0.34192899999999998</v>
      </c>
      <c r="L5158">
        <v>12</v>
      </c>
      <c r="M5158">
        <v>0</v>
      </c>
      <c r="N5158">
        <v>2</v>
      </c>
      <c r="O5158" t="s">
        <v>127</v>
      </c>
      <c r="P5158" t="s">
        <v>127</v>
      </c>
      <c r="Q5158" t="s">
        <v>127</v>
      </c>
    </row>
    <row r="5159" spans="1:17" x14ac:dyDescent="0.25">
      <c r="A5159" t="str">
        <f>IF(C5159&amp;G5159&amp;D5159&lt;&gt;'Funnel setup'!$K$3&amp;'Funnel setup'!$K$4&amp;'Funnel setup'!$K$6,".",IF(A5158=".",1,A5158+1))</f>
        <v>.</v>
      </c>
      <c r="B5159" s="244" t="str">
        <f t="shared" si="80"/>
        <v>Total Knee ReplacementProviderRUNNYMEDE HOSPITAL (NT431)EQ-5D Index</v>
      </c>
      <c r="C5159" t="s">
        <v>975</v>
      </c>
      <c r="D5159" t="s">
        <v>965</v>
      </c>
      <c r="E5159" t="s">
        <v>492</v>
      </c>
      <c r="F5159" t="s">
        <v>493</v>
      </c>
      <c r="G5159" t="s">
        <v>963</v>
      </c>
      <c r="H5159">
        <v>6</v>
      </c>
      <c r="I5159">
        <v>0.64449999999999996</v>
      </c>
      <c r="J5159">
        <v>0.845333</v>
      </c>
      <c r="K5159">
        <v>0.20083300000000001</v>
      </c>
      <c r="L5159">
        <v>5</v>
      </c>
      <c r="M5159">
        <v>1</v>
      </c>
      <c r="N5159">
        <v>0</v>
      </c>
      <c r="O5159" t="s">
        <v>127</v>
      </c>
      <c r="P5159" t="s">
        <v>127</v>
      </c>
      <c r="Q5159" t="s">
        <v>127</v>
      </c>
    </row>
    <row r="5160" spans="1:17" x14ac:dyDescent="0.25">
      <c r="A5160" t="str">
        <f>IF(C5160&amp;G5160&amp;D5160&lt;&gt;'Funnel setup'!$K$3&amp;'Funnel setup'!$K$4&amp;'Funnel setup'!$K$6,".",IF(A5159=".",1,A5159+1))</f>
        <v>.</v>
      </c>
      <c r="B5160" s="244" t="str">
        <f t="shared" si="80"/>
        <v>Total Knee ReplacementProviderSALISBURY NHS FOUNDATION TRUST (RNZ)EQ-5D Index</v>
      </c>
      <c r="C5160" t="s">
        <v>975</v>
      </c>
      <c r="D5160" t="s">
        <v>965</v>
      </c>
      <c r="E5160" t="s">
        <v>494</v>
      </c>
      <c r="F5160" t="s">
        <v>495</v>
      </c>
      <c r="G5160" t="s">
        <v>963</v>
      </c>
      <c r="H5160">
        <v>1</v>
      </c>
      <c r="I5160">
        <v>0.26</v>
      </c>
      <c r="J5160">
        <v>1</v>
      </c>
      <c r="K5160">
        <v>0.74</v>
      </c>
      <c r="L5160">
        <v>1</v>
      </c>
      <c r="M5160">
        <v>0</v>
      </c>
      <c r="N5160">
        <v>0</v>
      </c>
      <c r="O5160" t="s">
        <v>127</v>
      </c>
      <c r="P5160" t="s">
        <v>127</v>
      </c>
      <c r="Q5160" t="s">
        <v>127</v>
      </c>
    </row>
    <row r="5161" spans="1:17" x14ac:dyDescent="0.25">
      <c r="A5161" t="str">
        <f>IF(C5161&amp;G5161&amp;D5161&lt;&gt;'Funnel setup'!$K$3&amp;'Funnel setup'!$K$4&amp;'Funnel setup'!$K$6,".",IF(A5160=".",1,A5160+1))</f>
        <v>.</v>
      </c>
      <c r="B5161" s="244" t="str">
        <f t="shared" si="80"/>
        <v>Total Knee ReplacementProviderSANDWELL AND WEST BIRMINGHAM HOSPITALS NHS TRUST (RXK)EQ-5D Index</v>
      </c>
      <c r="C5161" t="s">
        <v>975</v>
      </c>
      <c r="D5161" t="s">
        <v>965</v>
      </c>
      <c r="E5161" t="s">
        <v>496</v>
      </c>
      <c r="F5161" t="s">
        <v>497</v>
      </c>
      <c r="G5161" t="s">
        <v>963</v>
      </c>
      <c r="H5161">
        <v>71</v>
      </c>
      <c r="I5161">
        <v>0.349887</v>
      </c>
      <c r="J5161">
        <v>0.65230999999999995</v>
      </c>
      <c r="K5161">
        <v>0.302423</v>
      </c>
      <c r="L5161">
        <v>55</v>
      </c>
      <c r="M5161">
        <v>5</v>
      </c>
      <c r="N5161">
        <v>11</v>
      </c>
      <c r="O5161">
        <v>0.71353800000000001</v>
      </c>
      <c r="P5161">
        <v>0.28924</v>
      </c>
      <c r="Q5161">
        <v>0.268488</v>
      </c>
    </row>
    <row r="5162" spans="1:17" x14ac:dyDescent="0.25">
      <c r="A5162" t="str">
        <f>IF(C5162&amp;G5162&amp;D5162&lt;&gt;'Funnel setup'!$K$3&amp;'Funnel setup'!$K$4&amp;'Funnel setup'!$K$6,".",IF(A5161=".",1,A5161+1))</f>
        <v>.</v>
      </c>
      <c r="B5162" s="244" t="str">
        <f t="shared" si="80"/>
        <v>Total Knee ReplacementProviderSARUM ROAD HOSPITAL (NT433)EQ-5D Index</v>
      </c>
      <c r="C5162" t="s">
        <v>975</v>
      </c>
      <c r="D5162" t="s">
        <v>965</v>
      </c>
      <c r="E5162" t="s">
        <v>498</v>
      </c>
      <c r="F5162" t="s">
        <v>499</v>
      </c>
      <c r="G5162" t="s">
        <v>963</v>
      </c>
      <c r="H5162">
        <v>27</v>
      </c>
      <c r="I5162">
        <v>0.52963000000000005</v>
      </c>
      <c r="J5162">
        <v>0.87366699999999997</v>
      </c>
      <c r="K5162">
        <v>0.34403699999999998</v>
      </c>
      <c r="L5162">
        <v>26</v>
      </c>
      <c r="M5162">
        <v>1</v>
      </c>
      <c r="N5162">
        <v>0</v>
      </c>
      <c r="O5162" t="s">
        <v>127</v>
      </c>
      <c r="P5162" t="s">
        <v>127</v>
      </c>
      <c r="Q5162" t="s">
        <v>127</v>
      </c>
    </row>
    <row r="5163" spans="1:17" x14ac:dyDescent="0.25">
      <c r="A5163" t="str">
        <f>IF(C5163&amp;G5163&amp;D5163&lt;&gt;'Funnel setup'!$K$3&amp;'Funnel setup'!$K$4&amp;'Funnel setup'!$K$6,".",IF(A5162=".",1,A5162+1))</f>
        <v>.</v>
      </c>
      <c r="B5163" s="244" t="str">
        <f t="shared" si="80"/>
        <v>Total Knee ReplacementProviderSAXON CLINIC (NT434)EQ-5D Index</v>
      </c>
      <c r="C5163" t="s">
        <v>975</v>
      </c>
      <c r="D5163" t="s">
        <v>965</v>
      </c>
      <c r="E5163" t="s">
        <v>500</v>
      </c>
      <c r="F5163" t="s">
        <v>501</v>
      </c>
      <c r="G5163" t="s">
        <v>963</v>
      </c>
      <c r="H5163">
        <v>12</v>
      </c>
      <c r="I5163">
        <v>0.32391700000000001</v>
      </c>
      <c r="J5163">
        <v>0.811917</v>
      </c>
      <c r="K5163">
        <v>0.48799999999999999</v>
      </c>
      <c r="L5163">
        <v>11</v>
      </c>
      <c r="M5163">
        <v>1</v>
      </c>
      <c r="N5163">
        <v>0</v>
      </c>
      <c r="O5163" t="s">
        <v>127</v>
      </c>
      <c r="P5163" t="s">
        <v>127</v>
      </c>
      <c r="Q5163" t="s">
        <v>127</v>
      </c>
    </row>
    <row r="5164" spans="1:17" x14ac:dyDescent="0.25">
      <c r="A5164" t="str">
        <f>IF(C5164&amp;G5164&amp;D5164&lt;&gt;'Funnel setup'!$K$3&amp;'Funnel setup'!$K$4&amp;'Funnel setup'!$K$6,".",IF(A5163=".",1,A5163+1))</f>
        <v>.</v>
      </c>
      <c r="B5164" s="244" t="str">
        <f t="shared" si="80"/>
        <v>Total Knee ReplacementProviderSHEFFIELD TEACHING HOSPITALS NHS FOUNDATION TRUST (RHQ)EQ-5D Index</v>
      </c>
      <c r="C5164" t="s">
        <v>975</v>
      </c>
      <c r="D5164" t="s">
        <v>965</v>
      </c>
      <c r="E5164" t="s">
        <v>506</v>
      </c>
      <c r="F5164" t="s">
        <v>507</v>
      </c>
      <c r="G5164" t="s">
        <v>963</v>
      </c>
      <c r="H5164">
        <v>33</v>
      </c>
      <c r="I5164">
        <v>0.46060600000000002</v>
      </c>
      <c r="J5164">
        <v>0.77763599999999999</v>
      </c>
      <c r="K5164">
        <v>0.31702999999999998</v>
      </c>
      <c r="L5164">
        <v>27</v>
      </c>
      <c r="M5164">
        <v>3</v>
      </c>
      <c r="N5164">
        <v>3</v>
      </c>
      <c r="O5164">
        <v>0.75816099999999997</v>
      </c>
      <c r="P5164">
        <v>0.33386399999999999</v>
      </c>
      <c r="Q5164">
        <v>0.19631299999999999</v>
      </c>
    </row>
    <row r="5165" spans="1:17" x14ac:dyDescent="0.25">
      <c r="A5165" t="str">
        <f>IF(C5165&amp;G5165&amp;D5165&lt;&gt;'Funnel setup'!$K$3&amp;'Funnel setup'!$K$4&amp;'Funnel setup'!$K$6,".",IF(A5164=".",1,A5164+1))</f>
        <v>.</v>
      </c>
      <c r="B5165" s="244" t="str">
        <f t="shared" si="80"/>
        <v>Total Knee ReplacementProviderSHERWOOD FOREST HOSPITALS NHS FOUNDATION TRUST (RK5)EQ-5D Index</v>
      </c>
      <c r="C5165" t="s">
        <v>975</v>
      </c>
      <c r="D5165" t="s">
        <v>965</v>
      </c>
      <c r="E5165" t="s">
        <v>508</v>
      </c>
      <c r="F5165" t="s">
        <v>509</v>
      </c>
      <c r="G5165" t="s">
        <v>963</v>
      </c>
      <c r="H5165">
        <v>63</v>
      </c>
      <c r="I5165">
        <v>0.396397</v>
      </c>
      <c r="J5165">
        <v>0.73020600000000002</v>
      </c>
      <c r="K5165">
        <v>0.33381</v>
      </c>
      <c r="L5165">
        <v>52</v>
      </c>
      <c r="M5165">
        <v>4</v>
      </c>
      <c r="N5165">
        <v>7</v>
      </c>
      <c r="O5165">
        <v>0.74033199999999999</v>
      </c>
      <c r="P5165">
        <v>0.31603500000000001</v>
      </c>
      <c r="Q5165">
        <v>0.23057</v>
      </c>
    </row>
    <row r="5166" spans="1:17" x14ac:dyDescent="0.25">
      <c r="A5166" t="str">
        <f>IF(C5166&amp;G5166&amp;D5166&lt;&gt;'Funnel setup'!$K$3&amp;'Funnel setup'!$K$4&amp;'Funnel setup'!$K$6,".",IF(A5165=".",1,A5165+1))</f>
        <v>.</v>
      </c>
      <c r="B5166" s="244" t="str">
        <f t="shared" si="80"/>
        <v>Total Knee ReplacementProviderSHIRLEY OAKS HOSPITAL (NT436)EQ-5D Index</v>
      </c>
      <c r="C5166" t="s">
        <v>975</v>
      </c>
      <c r="D5166" t="s">
        <v>965</v>
      </c>
      <c r="E5166" t="s">
        <v>510</v>
      </c>
      <c r="F5166" t="s">
        <v>511</v>
      </c>
      <c r="G5166" t="s">
        <v>963</v>
      </c>
      <c r="H5166">
        <v>3</v>
      </c>
      <c r="I5166">
        <v>0.63266699999999998</v>
      </c>
      <c r="J5166">
        <v>0.77800000000000002</v>
      </c>
      <c r="K5166">
        <v>0.14533299999999999</v>
      </c>
      <c r="L5166">
        <v>3</v>
      </c>
      <c r="M5166">
        <v>0</v>
      </c>
      <c r="N5166">
        <v>0</v>
      </c>
      <c r="O5166" t="s">
        <v>127</v>
      </c>
      <c r="P5166" t="s">
        <v>127</v>
      </c>
      <c r="Q5166" t="s">
        <v>127</v>
      </c>
    </row>
    <row r="5167" spans="1:17" x14ac:dyDescent="0.25">
      <c r="A5167" t="str">
        <f>IF(C5167&amp;G5167&amp;D5167&lt;&gt;'Funnel setup'!$K$3&amp;'Funnel setup'!$K$4&amp;'Funnel setup'!$K$6,".",IF(A5166=".",1,A5166+1))</f>
        <v>.</v>
      </c>
      <c r="B5167" s="244" t="str">
        <f t="shared" si="80"/>
        <v>Total Knee ReplacementProviderSOUTH TEES HOSPITALS NHS FOUNDATION TRUST (RTR)EQ-5D Index</v>
      </c>
      <c r="C5167" t="s">
        <v>975</v>
      </c>
      <c r="D5167" t="s">
        <v>965</v>
      </c>
      <c r="E5167" t="s">
        <v>516</v>
      </c>
      <c r="F5167" t="s">
        <v>517</v>
      </c>
      <c r="G5167" t="s">
        <v>963</v>
      </c>
      <c r="H5167">
        <v>117</v>
      </c>
      <c r="I5167">
        <v>0.29647899999999999</v>
      </c>
      <c r="J5167">
        <v>0.72429100000000002</v>
      </c>
      <c r="K5167">
        <v>0.42781200000000003</v>
      </c>
      <c r="L5167">
        <v>101</v>
      </c>
      <c r="M5167">
        <v>6</v>
      </c>
      <c r="N5167">
        <v>10</v>
      </c>
      <c r="O5167">
        <v>0.78400499999999995</v>
      </c>
      <c r="P5167">
        <v>0.35970800000000003</v>
      </c>
      <c r="Q5167">
        <v>0.2792</v>
      </c>
    </row>
    <row r="5168" spans="1:17" x14ac:dyDescent="0.25">
      <c r="A5168" t="str">
        <f>IF(C5168&amp;G5168&amp;D5168&lt;&gt;'Funnel setup'!$K$3&amp;'Funnel setup'!$K$4&amp;'Funnel setup'!$K$6,".",IF(A5167=".",1,A5167+1))</f>
        <v>.</v>
      </c>
      <c r="B5168" s="244" t="str">
        <f t="shared" si="80"/>
        <v>Total Knee ReplacementProviderSOUTH TYNESIDE AND SUNDERLAND NHS FOUNDATION TRUST (R0B)EQ-5D Index</v>
      </c>
      <c r="C5168" t="s">
        <v>975</v>
      </c>
      <c r="D5168" t="s">
        <v>965</v>
      </c>
      <c r="E5168" t="s">
        <v>518</v>
      </c>
      <c r="F5168" t="s">
        <v>519</v>
      </c>
      <c r="G5168" t="s">
        <v>963</v>
      </c>
      <c r="H5168">
        <v>7</v>
      </c>
      <c r="I5168">
        <v>0.19728599999999999</v>
      </c>
      <c r="J5168">
        <v>0.53457100000000002</v>
      </c>
      <c r="K5168">
        <v>0.33728599999999997</v>
      </c>
      <c r="L5168">
        <v>6</v>
      </c>
      <c r="M5168">
        <v>0</v>
      </c>
      <c r="N5168">
        <v>1</v>
      </c>
      <c r="O5168" t="s">
        <v>127</v>
      </c>
      <c r="P5168" t="s">
        <v>127</v>
      </c>
      <c r="Q5168" t="s">
        <v>127</v>
      </c>
    </row>
    <row r="5169" spans="1:17" x14ac:dyDescent="0.25">
      <c r="A5169" t="str">
        <f>IF(C5169&amp;G5169&amp;D5169&lt;&gt;'Funnel setup'!$K$3&amp;'Funnel setup'!$K$4&amp;'Funnel setup'!$K$6,".",IF(A5168=".",1,A5168+1))</f>
        <v>.</v>
      </c>
      <c r="B5169" s="244" t="str">
        <f t="shared" si="80"/>
        <v>Total Knee ReplacementProviderSOUTH WARWICKSHIRE UNIVERSITY NHS FOUNDATION TRUST (RJC)EQ-5D Index</v>
      </c>
      <c r="C5169" t="s">
        <v>975</v>
      </c>
      <c r="D5169" t="s">
        <v>965</v>
      </c>
      <c r="E5169" t="s">
        <v>520</v>
      </c>
      <c r="F5169" t="s">
        <v>521</v>
      </c>
      <c r="G5169" t="s">
        <v>963</v>
      </c>
      <c r="H5169">
        <v>151</v>
      </c>
      <c r="I5169">
        <v>0.47758299999999998</v>
      </c>
      <c r="J5169">
        <v>0.77982099999999999</v>
      </c>
      <c r="K5169">
        <v>0.30223800000000001</v>
      </c>
      <c r="L5169">
        <v>127</v>
      </c>
      <c r="M5169">
        <v>11</v>
      </c>
      <c r="N5169">
        <v>13</v>
      </c>
      <c r="O5169">
        <v>0.75088299999999997</v>
      </c>
      <c r="P5169">
        <v>0.32658500000000001</v>
      </c>
      <c r="Q5169">
        <v>0.246225</v>
      </c>
    </row>
    <row r="5170" spans="1:17" x14ac:dyDescent="0.25">
      <c r="A5170" t="str">
        <f>IF(C5170&amp;G5170&amp;D5170&lt;&gt;'Funnel setup'!$K$3&amp;'Funnel setup'!$K$4&amp;'Funnel setup'!$K$6,".",IF(A5169=".",1,A5169+1))</f>
        <v>.</v>
      </c>
      <c r="B5170" s="244" t="str">
        <f t="shared" si="80"/>
        <v>Total Knee ReplacementProviderSOUTHPORT AND ORMSKIRK HOSPITAL NHS TRUST (RVY)EQ-5D Index</v>
      </c>
      <c r="C5170" t="s">
        <v>975</v>
      </c>
      <c r="D5170" t="s">
        <v>965</v>
      </c>
      <c r="E5170" t="s">
        <v>522</v>
      </c>
      <c r="F5170" t="s">
        <v>523</v>
      </c>
      <c r="G5170" t="s">
        <v>963</v>
      </c>
      <c r="H5170">
        <v>10</v>
      </c>
      <c r="I5170">
        <v>0.54620000000000002</v>
      </c>
      <c r="J5170">
        <v>0.87519999999999998</v>
      </c>
      <c r="K5170">
        <v>0.32900000000000001</v>
      </c>
      <c r="L5170">
        <v>10</v>
      </c>
      <c r="M5170">
        <v>0</v>
      </c>
      <c r="N5170">
        <v>0</v>
      </c>
      <c r="O5170" t="s">
        <v>127</v>
      </c>
      <c r="P5170" t="s">
        <v>127</v>
      </c>
      <c r="Q5170" t="s">
        <v>127</v>
      </c>
    </row>
    <row r="5171" spans="1:17" x14ac:dyDescent="0.25">
      <c r="A5171" t="str">
        <f>IF(C5171&amp;G5171&amp;D5171&lt;&gt;'Funnel setup'!$K$3&amp;'Funnel setup'!$K$4&amp;'Funnel setup'!$K$6,".",IF(A5170=".",1,A5170+1))</f>
        <v>.</v>
      </c>
      <c r="B5171" s="244" t="str">
        <f t="shared" si="80"/>
        <v>Total Knee ReplacementProviderSPENCER PRIVATE HOSPITALS - MARGATE (NN801)EQ-5D Index</v>
      </c>
      <c r="C5171" t="s">
        <v>975</v>
      </c>
      <c r="D5171" t="s">
        <v>965</v>
      </c>
      <c r="E5171" t="s">
        <v>526</v>
      </c>
      <c r="F5171" t="s">
        <v>527</v>
      </c>
      <c r="G5171" t="s">
        <v>963</v>
      </c>
      <c r="H5171">
        <v>18</v>
      </c>
      <c r="I5171">
        <v>0.373444</v>
      </c>
      <c r="J5171">
        <v>0.77361100000000005</v>
      </c>
      <c r="K5171">
        <v>0.40016699999999999</v>
      </c>
      <c r="L5171">
        <v>15</v>
      </c>
      <c r="M5171">
        <v>3</v>
      </c>
      <c r="N5171">
        <v>0</v>
      </c>
      <c r="O5171" t="s">
        <v>127</v>
      </c>
      <c r="P5171" t="s">
        <v>127</v>
      </c>
      <c r="Q5171" t="s">
        <v>127</v>
      </c>
    </row>
    <row r="5172" spans="1:17" x14ac:dyDescent="0.25">
      <c r="A5172" t="str">
        <f>IF(C5172&amp;G5172&amp;D5172&lt;&gt;'Funnel setup'!$K$3&amp;'Funnel setup'!$K$4&amp;'Funnel setup'!$K$6,".",IF(A5171=".",1,A5171+1))</f>
        <v>.</v>
      </c>
      <c r="B5172" s="244" t="str">
        <f t="shared" si="80"/>
        <v>Total Knee ReplacementProviderSPIRE ALEXANDRA HOSPITAL (NT312)EQ-5D Index</v>
      </c>
      <c r="C5172" t="s">
        <v>975</v>
      </c>
      <c r="D5172" t="s">
        <v>965</v>
      </c>
      <c r="E5172" t="s">
        <v>528</v>
      </c>
      <c r="F5172" t="s">
        <v>529</v>
      </c>
      <c r="G5172" t="s">
        <v>963</v>
      </c>
      <c r="H5172">
        <v>26</v>
      </c>
      <c r="I5172">
        <v>0.63280800000000004</v>
      </c>
      <c r="J5172">
        <v>0.79142299999999999</v>
      </c>
      <c r="K5172">
        <v>0.15861500000000001</v>
      </c>
      <c r="L5172">
        <v>17</v>
      </c>
      <c r="M5172">
        <v>4</v>
      </c>
      <c r="N5172">
        <v>5</v>
      </c>
      <c r="O5172" t="s">
        <v>127</v>
      </c>
      <c r="P5172" t="s">
        <v>127</v>
      </c>
      <c r="Q5172" t="s">
        <v>127</v>
      </c>
    </row>
    <row r="5173" spans="1:17" x14ac:dyDescent="0.25">
      <c r="A5173" t="str">
        <f>IF(C5173&amp;G5173&amp;D5173&lt;&gt;'Funnel setup'!$K$3&amp;'Funnel setup'!$K$4&amp;'Funnel setup'!$K$6,".",IF(A5172=".",1,A5172+1))</f>
        <v>.</v>
      </c>
      <c r="B5173" s="244" t="str">
        <f t="shared" si="80"/>
        <v>Total Knee ReplacementProviderSPIRE BRISTOL HOSPITAL (NT302)EQ-5D Index</v>
      </c>
      <c r="C5173" t="s">
        <v>975</v>
      </c>
      <c r="D5173" t="s">
        <v>965</v>
      </c>
      <c r="E5173" t="s">
        <v>530</v>
      </c>
      <c r="F5173" t="s">
        <v>531</v>
      </c>
      <c r="G5173" t="s">
        <v>963</v>
      </c>
      <c r="H5173">
        <v>59</v>
      </c>
      <c r="I5173">
        <v>0.45649200000000001</v>
      </c>
      <c r="J5173">
        <v>0.77874600000000005</v>
      </c>
      <c r="K5173">
        <v>0.32225399999999998</v>
      </c>
      <c r="L5173">
        <v>48</v>
      </c>
      <c r="M5173">
        <v>6</v>
      </c>
      <c r="N5173">
        <v>5</v>
      </c>
      <c r="O5173">
        <v>0.75295900000000004</v>
      </c>
      <c r="P5173">
        <v>0.32866200000000001</v>
      </c>
      <c r="Q5173">
        <v>0.18942300000000001</v>
      </c>
    </row>
    <row r="5174" spans="1:17" x14ac:dyDescent="0.25">
      <c r="A5174" t="str">
        <f>IF(C5174&amp;G5174&amp;D5174&lt;&gt;'Funnel setup'!$K$3&amp;'Funnel setup'!$K$4&amp;'Funnel setup'!$K$6,".",IF(A5173=".",1,A5173+1))</f>
        <v>.</v>
      </c>
      <c r="B5174" s="244" t="str">
        <f t="shared" si="80"/>
        <v>Total Knee ReplacementProviderSPIRE BUSHEY HOSPITAL (NT315)EQ-5D Index</v>
      </c>
      <c r="C5174" t="s">
        <v>975</v>
      </c>
      <c r="D5174" t="s">
        <v>965</v>
      </c>
      <c r="E5174" t="s">
        <v>532</v>
      </c>
      <c r="F5174" t="s">
        <v>533</v>
      </c>
      <c r="G5174" t="s">
        <v>963</v>
      </c>
      <c r="H5174">
        <v>5</v>
      </c>
      <c r="I5174">
        <v>0.56999999999999995</v>
      </c>
      <c r="J5174">
        <v>0.85019999999999996</v>
      </c>
      <c r="K5174">
        <v>0.2802</v>
      </c>
      <c r="L5174">
        <v>4</v>
      </c>
      <c r="M5174">
        <v>1</v>
      </c>
      <c r="N5174">
        <v>0</v>
      </c>
      <c r="O5174" t="s">
        <v>127</v>
      </c>
      <c r="P5174" t="s">
        <v>127</v>
      </c>
      <c r="Q5174" t="s">
        <v>127</v>
      </c>
    </row>
    <row r="5175" spans="1:17" x14ac:dyDescent="0.25">
      <c r="A5175" t="str">
        <f>IF(C5175&amp;G5175&amp;D5175&lt;&gt;'Funnel setup'!$K$3&amp;'Funnel setup'!$K$4&amp;'Funnel setup'!$K$6,".",IF(A5174=".",1,A5174+1))</f>
        <v>.</v>
      </c>
      <c r="B5175" s="244" t="str">
        <f t="shared" si="80"/>
        <v>Total Knee ReplacementProviderSPIRE CAMBRIDGE LEA HOSPITAL (NT317)EQ-5D Index</v>
      </c>
      <c r="C5175" t="s">
        <v>975</v>
      </c>
      <c r="D5175" t="s">
        <v>965</v>
      </c>
      <c r="E5175" t="s">
        <v>534</v>
      </c>
      <c r="F5175" t="s">
        <v>535</v>
      </c>
      <c r="G5175" t="s">
        <v>963</v>
      </c>
      <c r="H5175">
        <v>29</v>
      </c>
      <c r="I5175">
        <v>0.49527599999999999</v>
      </c>
      <c r="J5175">
        <v>0.732379</v>
      </c>
      <c r="K5175">
        <v>0.23710300000000001</v>
      </c>
      <c r="L5175">
        <v>25</v>
      </c>
      <c r="M5175">
        <v>1</v>
      </c>
      <c r="N5175">
        <v>3</v>
      </c>
      <c r="O5175" t="s">
        <v>127</v>
      </c>
      <c r="P5175" t="s">
        <v>127</v>
      </c>
      <c r="Q5175" t="s">
        <v>127</v>
      </c>
    </row>
    <row r="5176" spans="1:17" x14ac:dyDescent="0.25">
      <c r="A5176" t="str">
        <f>IF(C5176&amp;G5176&amp;D5176&lt;&gt;'Funnel setup'!$K$3&amp;'Funnel setup'!$K$4&amp;'Funnel setup'!$K$6,".",IF(A5175=".",1,A5175+1))</f>
        <v>.</v>
      </c>
      <c r="B5176" s="244" t="str">
        <f t="shared" si="80"/>
        <v>Total Knee ReplacementProviderSPIRE CHESHIRE HOSPITAL (NT324)EQ-5D Index</v>
      </c>
      <c r="C5176" t="s">
        <v>975</v>
      </c>
      <c r="D5176" t="s">
        <v>965</v>
      </c>
      <c r="E5176" t="s">
        <v>536</v>
      </c>
      <c r="F5176" t="s">
        <v>537</v>
      </c>
      <c r="G5176" t="s">
        <v>963</v>
      </c>
      <c r="H5176">
        <v>31</v>
      </c>
      <c r="I5176">
        <v>0.46606500000000001</v>
      </c>
      <c r="J5176">
        <v>0.81554800000000005</v>
      </c>
      <c r="K5176">
        <v>0.34948400000000002</v>
      </c>
      <c r="L5176">
        <v>26</v>
      </c>
      <c r="M5176">
        <v>2</v>
      </c>
      <c r="N5176">
        <v>3</v>
      </c>
      <c r="O5176">
        <v>0.78148499999999999</v>
      </c>
      <c r="P5176">
        <v>0.35718800000000001</v>
      </c>
      <c r="Q5176">
        <v>0.14166699999999999</v>
      </c>
    </row>
    <row r="5177" spans="1:17" x14ac:dyDescent="0.25">
      <c r="A5177" t="str">
        <f>IF(C5177&amp;G5177&amp;D5177&lt;&gt;'Funnel setup'!$K$3&amp;'Funnel setup'!$K$4&amp;'Funnel setup'!$K$6,".",IF(A5176=".",1,A5176+1))</f>
        <v>.</v>
      </c>
      <c r="B5177" s="244" t="str">
        <f t="shared" si="80"/>
        <v>Total Knee ReplacementProviderSPIRE CLARE PARK HOSPITAL (NT345)EQ-5D Index</v>
      </c>
      <c r="C5177" t="s">
        <v>975</v>
      </c>
      <c r="D5177" t="s">
        <v>965</v>
      </c>
      <c r="E5177" t="s">
        <v>538</v>
      </c>
      <c r="F5177" t="s">
        <v>539</v>
      </c>
      <c r="G5177" t="s">
        <v>963</v>
      </c>
      <c r="H5177">
        <v>15</v>
      </c>
      <c r="I5177">
        <v>0.440133</v>
      </c>
      <c r="J5177">
        <v>0.75926700000000003</v>
      </c>
      <c r="K5177">
        <v>0.319133</v>
      </c>
      <c r="L5177">
        <v>11</v>
      </c>
      <c r="M5177">
        <v>2</v>
      </c>
      <c r="N5177">
        <v>2</v>
      </c>
      <c r="O5177" t="s">
        <v>127</v>
      </c>
      <c r="P5177" t="s">
        <v>127</v>
      </c>
      <c r="Q5177" t="s">
        <v>127</v>
      </c>
    </row>
    <row r="5178" spans="1:17" x14ac:dyDescent="0.25">
      <c r="A5178" t="str">
        <f>IF(C5178&amp;G5178&amp;D5178&lt;&gt;'Funnel setup'!$K$3&amp;'Funnel setup'!$K$4&amp;'Funnel setup'!$K$6,".",IF(A5177=".",1,A5177+1))</f>
        <v>.</v>
      </c>
      <c r="B5178" s="244" t="str">
        <f t="shared" si="80"/>
        <v>Total Knee ReplacementProviderSPIRE DUNEDIN HOSPITAL (NT344)EQ-5D Index</v>
      </c>
      <c r="C5178" t="s">
        <v>975</v>
      </c>
      <c r="D5178" t="s">
        <v>965</v>
      </c>
      <c r="E5178" t="s">
        <v>540</v>
      </c>
      <c r="F5178" t="s">
        <v>541</v>
      </c>
      <c r="G5178" t="s">
        <v>963</v>
      </c>
      <c r="H5178">
        <v>2</v>
      </c>
      <c r="I5178">
        <v>0.63900000000000001</v>
      </c>
      <c r="J5178">
        <v>0.79600000000000004</v>
      </c>
      <c r="K5178">
        <v>0.157</v>
      </c>
      <c r="L5178">
        <v>2</v>
      </c>
      <c r="M5178">
        <v>0</v>
      </c>
      <c r="N5178">
        <v>0</v>
      </c>
      <c r="O5178" t="s">
        <v>127</v>
      </c>
      <c r="P5178" t="s">
        <v>127</v>
      </c>
      <c r="Q5178" t="s">
        <v>127</v>
      </c>
    </row>
    <row r="5179" spans="1:17" x14ac:dyDescent="0.25">
      <c r="A5179" t="str">
        <f>IF(C5179&amp;G5179&amp;D5179&lt;&gt;'Funnel setup'!$K$3&amp;'Funnel setup'!$K$4&amp;'Funnel setup'!$K$6,".",IF(A5178=".",1,A5178+1))</f>
        <v>.</v>
      </c>
      <c r="B5179" s="244" t="str">
        <f t="shared" si="80"/>
        <v>Total Knee ReplacementProviderSPIRE ELLAND HOSPITAL (NT348)EQ-5D Index</v>
      </c>
      <c r="C5179" t="s">
        <v>975</v>
      </c>
      <c r="D5179" t="s">
        <v>965</v>
      </c>
      <c r="E5179" t="s">
        <v>542</v>
      </c>
      <c r="F5179" t="s">
        <v>543</v>
      </c>
      <c r="G5179" t="s">
        <v>963</v>
      </c>
      <c r="H5179">
        <v>19</v>
      </c>
      <c r="I5179">
        <v>0.45389499999999999</v>
      </c>
      <c r="J5179">
        <v>0.795211</v>
      </c>
      <c r="K5179">
        <v>0.34131600000000001</v>
      </c>
      <c r="L5179">
        <v>16</v>
      </c>
      <c r="M5179">
        <v>2</v>
      </c>
      <c r="N5179">
        <v>1</v>
      </c>
      <c r="O5179" t="s">
        <v>127</v>
      </c>
      <c r="P5179" t="s">
        <v>127</v>
      </c>
      <c r="Q5179" t="s">
        <v>127</v>
      </c>
    </row>
    <row r="5180" spans="1:17" x14ac:dyDescent="0.25">
      <c r="A5180" t="str">
        <f>IF(C5180&amp;G5180&amp;D5180&lt;&gt;'Funnel setup'!$K$3&amp;'Funnel setup'!$K$4&amp;'Funnel setup'!$K$6,".",IF(A5179=".",1,A5179+1))</f>
        <v>.</v>
      </c>
      <c r="B5180" s="244" t="str">
        <f t="shared" si="80"/>
        <v>Total Knee ReplacementProviderSPIRE FYLDE COAST HOSPITAL (NT347)EQ-5D Index</v>
      </c>
      <c r="C5180" t="s">
        <v>975</v>
      </c>
      <c r="D5180" t="s">
        <v>965</v>
      </c>
      <c r="E5180" t="s">
        <v>544</v>
      </c>
      <c r="F5180" t="s">
        <v>545</v>
      </c>
      <c r="G5180" t="s">
        <v>963</v>
      </c>
      <c r="H5180">
        <v>27</v>
      </c>
      <c r="I5180">
        <v>0.52128600000000003</v>
      </c>
      <c r="J5180">
        <v>0.73685699999999998</v>
      </c>
      <c r="K5180">
        <v>0.21557100000000001</v>
      </c>
      <c r="L5180">
        <v>23</v>
      </c>
      <c r="M5180">
        <v>2</v>
      </c>
      <c r="N5180">
        <v>2</v>
      </c>
      <c r="O5180" t="s">
        <v>127</v>
      </c>
      <c r="P5180" t="s">
        <v>127</v>
      </c>
      <c r="Q5180" t="s">
        <v>127</v>
      </c>
    </row>
    <row r="5181" spans="1:17" x14ac:dyDescent="0.25">
      <c r="A5181" t="str">
        <f>IF(C5181&amp;G5181&amp;D5181&lt;&gt;'Funnel setup'!$K$3&amp;'Funnel setup'!$K$4&amp;'Funnel setup'!$K$6,".",IF(A5180=".",1,A5180+1))</f>
        <v>.</v>
      </c>
      <c r="B5181" s="244" t="str">
        <f t="shared" si="80"/>
        <v>Total Knee ReplacementProviderSPIRE GATWICK PARK HOSPITAL (NT308)EQ-5D Index</v>
      </c>
      <c r="C5181" t="s">
        <v>975</v>
      </c>
      <c r="D5181" t="s">
        <v>965</v>
      </c>
      <c r="E5181" t="s">
        <v>546</v>
      </c>
      <c r="F5181" t="s">
        <v>547</v>
      </c>
      <c r="G5181" t="s">
        <v>963</v>
      </c>
      <c r="H5181">
        <v>6</v>
      </c>
      <c r="I5181">
        <v>0.45533299999999999</v>
      </c>
      <c r="J5181">
        <v>0.65949999999999998</v>
      </c>
      <c r="K5181">
        <v>0.20416699999999999</v>
      </c>
      <c r="L5181">
        <v>5</v>
      </c>
      <c r="M5181">
        <v>1</v>
      </c>
      <c r="N5181">
        <v>0</v>
      </c>
      <c r="O5181" t="s">
        <v>127</v>
      </c>
      <c r="P5181" t="s">
        <v>127</v>
      </c>
      <c r="Q5181" t="s">
        <v>127</v>
      </c>
    </row>
    <row r="5182" spans="1:17" x14ac:dyDescent="0.25">
      <c r="A5182" t="str">
        <f>IF(C5182&amp;G5182&amp;D5182&lt;&gt;'Funnel setup'!$K$3&amp;'Funnel setup'!$K$4&amp;'Funnel setup'!$K$6,".",IF(A5181=".",1,A5181+1))</f>
        <v>.</v>
      </c>
      <c r="B5182" s="244" t="str">
        <f t="shared" si="80"/>
        <v>Total Knee ReplacementProviderSPIRE HARPENDEN HOSPITAL (NT316)EQ-5D Index</v>
      </c>
      <c r="C5182" t="s">
        <v>975</v>
      </c>
      <c r="D5182" t="s">
        <v>965</v>
      </c>
      <c r="E5182" t="s">
        <v>548</v>
      </c>
      <c r="F5182" t="s">
        <v>549</v>
      </c>
      <c r="G5182" t="s">
        <v>963</v>
      </c>
      <c r="H5182">
        <v>19</v>
      </c>
      <c r="I5182">
        <v>0.38526300000000002</v>
      </c>
      <c r="J5182">
        <v>0.77100000000000002</v>
      </c>
      <c r="K5182">
        <v>0.385737</v>
      </c>
      <c r="L5182">
        <v>14</v>
      </c>
      <c r="M5182">
        <v>4</v>
      </c>
      <c r="N5182">
        <v>1</v>
      </c>
      <c r="O5182" t="s">
        <v>127</v>
      </c>
      <c r="P5182" t="s">
        <v>127</v>
      </c>
      <c r="Q5182" t="s">
        <v>127</v>
      </c>
    </row>
    <row r="5183" spans="1:17" x14ac:dyDescent="0.25">
      <c r="A5183" t="str">
        <f>IF(C5183&amp;G5183&amp;D5183&lt;&gt;'Funnel setup'!$K$3&amp;'Funnel setup'!$K$4&amp;'Funnel setup'!$K$6,".",IF(A5182=".",1,A5182+1))</f>
        <v>.</v>
      </c>
      <c r="B5183" s="244" t="str">
        <f t="shared" si="80"/>
        <v>Total Knee ReplacementProviderSPIRE HARTSWOOD HOSPITAL (NT319)EQ-5D Index</v>
      </c>
      <c r="C5183" t="s">
        <v>975</v>
      </c>
      <c r="D5183" t="s">
        <v>965</v>
      </c>
      <c r="E5183" t="s">
        <v>550</v>
      </c>
      <c r="F5183" t="s">
        <v>551</v>
      </c>
      <c r="G5183" t="s">
        <v>963</v>
      </c>
      <c r="H5183">
        <v>12</v>
      </c>
      <c r="I5183">
        <v>0.61408300000000005</v>
      </c>
      <c r="J5183">
        <v>0.782833</v>
      </c>
      <c r="K5183">
        <v>0.16875000000000001</v>
      </c>
      <c r="L5183">
        <v>12</v>
      </c>
      <c r="M5183">
        <v>0</v>
      </c>
      <c r="N5183">
        <v>0</v>
      </c>
      <c r="O5183" t="s">
        <v>127</v>
      </c>
      <c r="P5183" t="s">
        <v>127</v>
      </c>
      <c r="Q5183" t="s">
        <v>127</v>
      </c>
    </row>
    <row r="5184" spans="1:17" x14ac:dyDescent="0.25">
      <c r="A5184" t="str">
        <f>IF(C5184&amp;G5184&amp;D5184&lt;&gt;'Funnel setup'!$K$3&amp;'Funnel setup'!$K$4&amp;'Funnel setup'!$K$6,".",IF(A5183=".",1,A5183+1))</f>
        <v>.</v>
      </c>
      <c r="B5184" s="244" t="str">
        <f t="shared" si="80"/>
        <v>Total Knee ReplacementProviderSPIRE HULL AND EAST RIDING HOSPITAL (NT351)EQ-5D Index</v>
      </c>
      <c r="C5184" t="s">
        <v>975</v>
      </c>
      <c r="D5184" t="s">
        <v>965</v>
      </c>
      <c r="E5184" t="s">
        <v>554</v>
      </c>
      <c r="F5184" t="s">
        <v>555</v>
      </c>
      <c r="G5184" t="s">
        <v>963</v>
      </c>
      <c r="H5184">
        <v>36</v>
      </c>
      <c r="I5184">
        <v>0.44230599999999998</v>
      </c>
      <c r="J5184">
        <v>0.73433300000000001</v>
      </c>
      <c r="K5184">
        <v>0.29202800000000001</v>
      </c>
      <c r="L5184">
        <v>28</v>
      </c>
      <c r="M5184">
        <v>6</v>
      </c>
      <c r="N5184">
        <v>2</v>
      </c>
      <c r="O5184">
        <v>0.71972499999999995</v>
      </c>
      <c r="P5184">
        <v>0.29542800000000002</v>
      </c>
      <c r="Q5184">
        <v>0.20269799999999999</v>
      </c>
    </row>
    <row r="5185" spans="1:17" x14ac:dyDescent="0.25">
      <c r="A5185" t="str">
        <f>IF(C5185&amp;G5185&amp;D5185&lt;&gt;'Funnel setup'!$K$3&amp;'Funnel setup'!$K$4&amp;'Funnel setup'!$K$6,".",IF(A5184=".",1,A5184+1))</f>
        <v>.</v>
      </c>
      <c r="B5185" s="244" t="str">
        <f t="shared" si="80"/>
        <v>Total Knee ReplacementProviderSPIRE LEEDS HOSPITAL (NT332)EQ-5D Index</v>
      </c>
      <c r="C5185" t="s">
        <v>975</v>
      </c>
      <c r="D5185" t="s">
        <v>965</v>
      </c>
      <c r="E5185" t="s">
        <v>556</v>
      </c>
      <c r="F5185" t="s">
        <v>557</v>
      </c>
      <c r="G5185" t="s">
        <v>963</v>
      </c>
      <c r="H5185">
        <v>14</v>
      </c>
      <c r="I5185">
        <v>0.51035699999999995</v>
      </c>
      <c r="J5185">
        <v>0.70292900000000003</v>
      </c>
      <c r="K5185">
        <v>0.19257099999999999</v>
      </c>
      <c r="L5185">
        <v>10</v>
      </c>
      <c r="M5185">
        <v>3</v>
      </c>
      <c r="N5185">
        <v>1</v>
      </c>
      <c r="O5185" t="s">
        <v>127</v>
      </c>
      <c r="P5185" t="s">
        <v>127</v>
      </c>
      <c r="Q5185" t="s">
        <v>127</v>
      </c>
    </row>
    <row r="5186" spans="1:17" x14ac:dyDescent="0.25">
      <c r="A5186" t="str">
        <f>IF(C5186&amp;G5186&amp;D5186&lt;&gt;'Funnel setup'!$K$3&amp;'Funnel setup'!$K$4&amp;'Funnel setup'!$K$6,".",IF(A5185=".",1,A5185+1))</f>
        <v>.</v>
      </c>
      <c r="B5186" s="244" t="str">
        <f t="shared" ref="B5186:B5249" si="81">C5186&amp;D5186&amp;F5186&amp;G5186</f>
        <v>Total Knee ReplacementProviderSPIRE LEICESTER HOSPITAL (NT322)EQ-5D Index</v>
      </c>
      <c r="C5186" t="s">
        <v>975</v>
      </c>
      <c r="D5186" t="s">
        <v>965</v>
      </c>
      <c r="E5186" t="s">
        <v>558</v>
      </c>
      <c r="F5186" t="s">
        <v>559</v>
      </c>
      <c r="G5186" t="s">
        <v>963</v>
      </c>
      <c r="H5186">
        <v>58</v>
      </c>
      <c r="I5186">
        <v>0.43506899999999998</v>
      </c>
      <c r="J5186">
        <v>0.75437900000000002</v>
      </c>
      <c r="K5186">
        <v>0.31930999999999998</v>
      </c>
      <c r="L5186">
        <v>48</v>
      </c>
      <c r="M5186">
        <v>6</v>
      </c>
      <c r="N5186">
        <v>4</v>
      </c>
      <c r="O5186">
        <v>0.73514599999999997</v>
      </c>
      <c r="P5186">
        <v>0.31084899999999999</v>
      </c>
      <c r="Q5186">
        <v>0.16575100000000001</v>
      </c>
    </row>
    <row r="5187" spans="1:17" x14ac:dyDescent="0.25">
      <c r="A5187" t="str">
        <f>IF(C5187&amp;G5187&amp;D5187&lt;&gt;'Funnel setup'!$K$3&amp;'Funnel setup'!$K$4&amp;'Funnel setup'!$K$6,".",IF(A5186=".",1,A5186+1))</f>
        <v>.</v>
      </c>
      <c r="B5187" s="244" t="str">
        <f t="shared" si="81"/>
        <v>Total Knee ReplacementProviderSPIRE LITTLE ASTON HOSPITAL (NT321)EQ-5D Index</v>
      </c>
      <c r="C5187" t="s">
        <v>975</v>
      </c>
      <c r="D5187" t="s">
        <v>965</v>
      </c>
      <c r="E5187" t="s">
        <v>560</v>
      </c>
      <c r="F5187" t="s">
        <v>561</v>
      </c>
      <c r="G5187" t="s">
        <v>963</v>
      </c>
      <c r="H5187">
        <v>21</v>
      </c>
      <c r="I5187">
        <v>0.47342899999999999</v>
      </c>
      <c r="J5187">
        <v>0.73933300000000002</v>
      </c>
      <c r="K5187">
        <v>0.265905</v>
      </c>
      <c r="L5187">
        <v>15</v>
      </c>
      <c r="M5187">
        <v>2</v>
      </c>
      <c r="N5187">
        <v>4</v>
      </c>
      <c r="O5187" t="s">
        <v>127</v>
      </c>
      <c r="P5187" t="s">
        <v>127</v>
      </c>
      <c r="Q5187" t="s">
        <v>127</v>
      </c>
    </row>
    <row r="5188" spans="1:17" x14ac:dyDescent="0.25">
      <c r="A5188" t="str">
        <f>IF(C5188&amp;G5188&amp;D5188&lt;&gt;'Funnel setup'!$K$3&amp;'Funnel setup'!$K$4&amp;'Funnel setup'!$K$6,".",IF(A5187=".",1,A5187+1))</f>
        <v>.</v>
      </c>
      <c r="B5188" s="244" t="str">
        <f t="shared" si="81"/>
        <v>Total Knee ReplacementProviderSPIRE LIVERPOOL HOSPITAL (NT337)EQ-5D Index</v>
      </c>
      <c r="C5188" t="s">
        <v>975</v>
      </c>
      <c r="D5188" t="s">
        <v>965</v>
      </c>
      <c r="E5188" t="s">
        <v>562</v>
      </c>
      <c r="F5188" t="s">
        <v>563</v>
      </c>
      <c r="G5188" t="s">
        <v>963</v>
      </c>
      <c r="H5188">
        <v>13</v>
      </c>
      <c r="I5188">
        <v>0.44238499999999997</v>
      </c>
      <c r="J5188">
        <v>0.61046199999999995</v>
      </c>
      <c r="K5188">
        <v>0.168077</v>
      </c>
      <c r="L5188">
        <v>9</v>
      </c>
      <c r="M5188">
        <v>3</v>
      </c>
      <c r="N5188">
        <v>1</v>
      </c>
      <c r="O5188" t="s">
        <v>127</v>
      </c>
      <c r="P5188" t="s">
        <v>127</v>
      </c>
      <c r="Q5188" t="s">
        <v>127</v>
      </c>
    </row>
    <row r="5189" spans="1:17" x14ac:dyDescent="0.25">
      <c r="A5189" t="str">
        <f>IF(C5189&amp;G5189&amp;D5189&lt;&gt;'Funnel setup'!$K$3&amp;'Funnel setup'!$K$4&amp;'Funnel setup'!$K$6,".",IF(A5188=".",1,A5188+1))</f>
        <v>.</v>
      </c>
      <c r="B5189" s="244" t="str">
        <f t="shared" si="81"/>
        <v>Total Knee ReplacementProviderSPIRE MANCHESTER HOSPITAL (NT327)EQ-5D Index</v>
      </c>
      <c r="C5189" t="s">
        <v>975</v>
      </c>
      <c r="D5189" t="s">
        <v>965</v>
      </c>
      <c r="E5189" t="s">
        <v>566</v>
      </c>
      <c r="F5189" t="s">
        <v>567</v>
      </c>
      <c r="G5189" t="s">
        <v>963</v>
      </c>
      <c r="H5189">
        <v>37</v>
      </c>
      <c r="I5189">
        <v>0.391486</v>
      </c>
      <c r="J5189">
        <v>0.69594599999999995</v>
      </c>
      <c r="K5189">
        <v>0.30445899999999998</v>
      </c>
      <c r="L5189">
        <v>26</v>
      </c>
      <c r="M5189">
        <v>8</v>
      </c>
      <c r="N5189">
        <v>3</v>
      </c>
      <c r="O5189">
        <v>0.70043599999999995</v>
      </c>
      <c r="P5189">
        <v>0.27613900000000002</v>
      </c>
      <c r="Q5189">
        <v>0.24332200000000001</v>
      </c>
    </row>
    <row r="5190" spans="1:17" x14ac:dyDescent="0.25">
      <c r="A5190" t="str">
        <f>IF(C5190&amp;G5190&amp;D5190&lt;&gt;'Funnel setup'!$K$3&amp;'Funnel setup'!$K$4&amp;'Funnel setup'!$K$6,".",IF(A5189=".",1,A5189+1))</f>
        <v>.</v>
      </c>
      <c r="B5190" s="244" t="str">
        <f t="shared" si="81"/>
        <v>Total Knee ReplacementProviderSPIRE METHLEY PARK HOSPITAL (NT350)EQ-5D Index</v>
      </c>
      <c r="C5190" t="s">
        <v>975</v>
      </c>
      <c r="D5190" t="s">
        <v>965</v>
      </c>
      <c r="E5190" t="s">
        <v>568</v>
      </c>
      <c r="F5190" t="s">
        <v>569</v>
      </c>
      <c r="G5190" t="s">
        <v>963</v>
      </c>
      <c r="H5190">
        <v>32</v>
      </c>
      <c r="I5190">
        <v>0.52293800000000001</v>
      </c>
      <c r="J5190">
        <v>0.79640599999999995</v>
      </c>
      <c r="K5190">
        <v>0.27346900000000002</v>
      </c>
      <c r="L5190">
        <v>29</v>
      </c>
      <c r="M5190">
        <v>3</v>
      </c>
      <c r="N5190">
        <v>0</v>
      </c>
      <c r="O5190">
        <v>0.74814000000000003</v>
      </c>
      <c r="P5190">
        <v>0.32384299999999999</v>
      </c>
      <c r="Q5190">
        <v>0.17239099999999999</v>
      </c>
    </row>
    <row r="5191" spans="1:17" x14ac:dyDescent="0.25">
      <c r="A5191" t="str">
        <f>IF(C5191&amp;G5191&amp;D5191&lt;&gt;'Funnel setup'!$K$3&amp;'Funnel setup'!$K$4&amp;'Funnel setup'!$K$6,".",IF(A5190=".",1,A5190+1))</f>
        <v>.</v>
      </c>
      <c r="B5191" s="244" t="str">
        <f t="shared" si="81"/>
        <v>Total Knee ReplacementProviderSPIRE MONTEFIORE HOSPITAL (NT364)EQ-5D Index</v>
      </c>
      <c r="C5191" t="s">
        <v>975</v>
      </c>
      <c r="D5191" t="s">
        <v>965</v>
      </c>
      <c r="E5191" t="s">
        <v>570</v>
      </c>
      <c r="F5191" t="s">
        <v>571</v>
      </c>
      <c r="G5191" t="s">
        <v>963</v>
      </c>
      <c r="H5191">
        <v>10</v>
      </c>
      <c r="I5191">
        <v>0.57869999999999999</v>
      </c>
      <c r="J5191">
        <v>0.89049999999999996</v>
      </c>
      <c r="K5191">
        <v>0.31180000000000002</v>
      </c>
      <c r="L5191">
        <v>9</v>
      </c>
      <c r="M5191">
        <v>1</v>
      </c>
      <c r="N5191">
        <v>0</v>
      </c>
      <c r="O5191" t="s">
        <v>127</v>
      </c>
      <c r="P5191" t="s">
        <v>127</v>
      </c>
      <c r="Q5191" t="s">
        <v>127</v>
      </c>
    </row>
    <row r="5192" spans="1:17" x14ac:dyDescent="0.25">
      <c r="A5192" t="str">
        <f>IF(C5192&amp;G5192&amp;D5192&lt;&gt;'Funnel setup'!$K$3&amp;'Funnel setup'!$K$4&amp;'Funnel setup'!$K$6,".",IF(A5191=".",1,A5191+1))</f>
        <v>.</v>
      </c>
      <c r="B5192" s="244" t="str">
        <f t="shared" si="81"/>
        <v>Total Knee ReplacementProviderSPIRE MURRAYFIELD HOSPITAL (NT325)EQ-5D Index</v>
      </c>
      <c r="C5192" t="s">
        <v>975</v>
      </c>
      <c r="D5192" t="s">
        <v>965</v>
      </c>
      <c r="E5192" t="s">
        <v>572</v>
      </c>
      <c r="F5192" t="s">
        <v>573</v>
      </c>
      <c r="G5192" t="s">
        <v>963</v>
      </c>
      <c r="H5192">
        <v>3</v>
      </c>
      <c r="I5192">
        <v>0.49433300000000002</v>
      </c>
      <c r="J5192">
        <v>1</v>
      </c>
      <c r="K5192">
        <v>0.50566699999999998</v>
      </c>
      <c r="L5192">
        <v>3</v>
      </c>
      <c r="M5192">
        <v>0</v>
      </c>
      <c r="N5192">
        <v>0</v>
      </c>
      <c r="O5192" t="s">
        <v>127</v>
      </c>
      <c r="P5192" t="s">
        <v>127</v>
      </c>
      <c r="Q5192" t="s">
        <v>127</v>
      </c>
    </row>
    <row r="5193" spans="1:17" x14ac:dyDescent="0.25">
      <c r="A5193" t="str">
        <f>IF(C5193&amp;G5193&amp;D5193&lt;&gt;'Funnel setup'!$K$3&amp;'Funnel setup'!$K$4&amp;'Funnel setup'!$K$6,".",IF(A5192=".",1,A5192+1))</f>
        <v>.</v>
      </c>
      <c r="B5193" s="244" t="str">
        <f t="shared" si="81"/>
        <v>Total Knee ReplacementProviderSPIRE NOTTINGHAM HOSPITAL (NT30A)EQ-5D Index</v>
      </c>
      <c r="C5193" t="s">
        <v>975</v>
      </c>
      <c r="D5193" t="s">
        <v>965</v>
      </c>
      <c r="E5193" t="s">
        <v>576</v>
      </c>
      <c r="F5193" t="s">
        <v>577</v>
      </c>
      <c r="G5193" t="s">
        <v>963</v>
      </c>
      <c r="H5193">
        <v>10</v>
      </c>
      <c r="I5193">
        <v>0.61819999999999997</v>
      </c>
      <c r="J5193">
        <v>0.82950000000000002</v>
      </c>
      <c r="K5193">
        <v>0.21129999999999999</v>
      </c>
      <c r="L5193">
        <v>7</v>
      </c>
      <c r="M5193">
        <v>2</v>
      </c>
      <c r="N5193">
        <v>1</v>
      </c>
      <c r="O5193" t="s">
        <v>127</v>
      </c>
      <c r="P5193" t="s">
        <v>127</v>
      </c>
      <c r="Q5193" t="s">
        <v>127</v>
      </c>
    </row>
    <row r="5194" spans="1:17" x14ac:dyDescent="0.25">
      <c r="A5194" t="str">
        <f>IF(C5194&amp;G5194&amp;D5194&lt;&gt;'Funnel setup'!$K$3&amp;'Funnel setup'!$K$4&amp;'Funnel setup'!$K$6,".",IF(A5193=".",1,A5193+1))</f>
        <v>.</v>
      </c>
      <c r="B5194" s="244" t="str">
        <f t="shared" si="81"/>
        <v>Total Knee ReplacementProviderSPIRE PARKWAY HOSPITAL (NT320)EQ-5D Index</v>
      </c>
      <c r="C5194" t="s">
        <v>975</v>
      </c>
      <c r="D5194" t="s">
        <v>965</v>
      </c>
      <c r="E5194" t="s">
        <v>578</v>
      </c>
      <c r="F5194" t="s">
        <v>579</v>
      </c>
      <c r="G5194" t="s">
        <v>963</v>
      </c>
      <c r="H5194">
        <v>16</v>
      </c>
      <c r="I5194">
        <v>0.48225000000000001</v>
      </c>
      <c r="J5194">
        <v>0.71156299999999995</v>
      </c>
      <c r="K5194">
        <v>0.22931299999999999</v>
      </c>
      <c r="L5194">
        <v>12</v>
      </c>
      <c r="M5194">
        <v>3</v>
      </c>
      <c r="N5194">
        <v>1</v>
      </c>
      <c r="O5194" t="s">
        <v>127</v>
      </c>
      <c r="P5194" t="s">
        <v>127</v>
      </c>
      <c r="Q5194" t="s">
        <v>127</v>
      </c>
    </row>
    <row r="5195" spans="1:17" x14ac:dyDescent="0.25">
      <c r="A5195" t="str">
        <f>IF(C5195&amp;G5195&amp;D5195&lt;&gt;'Funnel setup'!$K$3&amp;'Funnel setup'!$K$4&amp;'Funnel setup'!$K$6,".",IF(A5194=".",1,A5194+1))</f>
        <v>.</v>
      </c>
      <c r="B5195" s="244" t="str">
        <f t="shared" si="81"/>
        <v>Total Knee ReplacementProviderSPIRE PORTSMOUTH HOSPITAL (NT305)EQ-5D Index</v>
      </c>
      <c r="C5195" t="s">
        <v>975</v>
      </c>
      <c r="D5195" t="s">
        <v>965</v>
      </c>
      <c r="E5195" t="s">
        <v>580</v>
      </c>
      <c r="F5195" t="s">
        <v>581</v>
      </c>
      <c r="G5195" t="s">
        <v>963</v>
      </c>
      <c r="H5195">
        <v>15</v>
      </c>
      <c r="I5195">
        <v>0.42806699999999998</v>
      </c>
      <c r="J5195">
        <v>0.69320000000000004</v>
      </c>
      <c r="K5195">
        <v>0.26513300000000001</v>
      </c>
      <c r="L5195">
        <v>11</v>
      </c>
      <c r="M5195">
        <v>1</v>
      </c>
      <c r="N5195">
        <v>3</v>
      </c>
      <c r="O5195" t="s">
        <v>127</v>
      </c>
      <c r="P5195" t="s">
        <v>127</v>
      </c>
      <c r="Q5195" t="s">
        <v>127</v>
      </c>
    </row>
    <row r="5196" spans="1:17" x14ac:dyDescent="0.25">
      <c r="A5196" t="str">
        <f>IF(C5196&amp;G5196&amp;D5196&lt;&gt;'Funnel setup'!$K$3&amp;'Funnel setup'!$K$4&amp;'Funnel setup'!$K$6,".",IF(A5195=".",1,A5195+1))</f>
        <v>.</v>
      </c>
      <c r="B5196" s="244" t="str">
        <f t="shared" si="81"/>
        <v>Total Knee ReplacementProviderSPIRE REGENCY HOSPITAL (NT339)EQ-5D Index</v>
      </c>
      <c r="C5196" t="s">
        <v>975</v>
      </c>
      <c r="D5196" t="s">
        <v>965</v>
      </c>
      <c r="E5196" t="s">
        <v>582</v>
      </c>
      <c r="F5196" t="s">
        <v>583</v>
      </c>
      <c r="G5196" t="s">
        <v>963</v>
      </c>
      <c r="H5196">
        <v>43</v>
      </c>
      <c r="I5196">
        <v>0.50183699999999998</v>
      </c>
      <c r="J5196">
        <v>0.75460499999999997</v>
      </c>
      <c r="K5196">
        <v>0.25276700000000002</v>
      </c>
      <c r="L5196">
        <v>36</v>
      </c>
      <c r="M5196">
        <v>4</v>
      </c>
      <c r="N5196">
        <v>3</v>
      </c>
      <c r="O5196">
        <v>0.71044700000000005</v>
      </c>
      <c r="P5196">
        <v>0.28614899999999999</v>
      </c>
      <c r="Q5196">
        <v>0.20432500000000001</v>
      </c>
    </row>
    <row r="5197" spans="1:17" x14ac:dyDescent="0.25">
      <c r="A5197" t="str">
        <f>IF(C5197&amp;G5197&amp;D5197&lt;&gt;'Funnel setup'!$K$3&amp;'Funnel setup'!$K$4&amp;'Funnel setup'!$K$6,".",IF(A5196=".",1,A5196+1))</f>
        <v>.</v>
      </c>
      <c r="B5197" s="244" t="str">
        <f t="shared" si="81"/>
        <v>Total Knee ReplacementProviderSPIRE SOUTHAMPTON HOSPITAL (NT304)EQ-5D Index</v>
      </c>
      <c r="C5197" t="s">
        <v>975</v>
      </c>
      <c r="D5197" t="s">
        <v>965</v>
      </c>
      <c r="E5197" t="s">
        <v>586</v>
      </c>
      <c r="F5197" t="s">
        <v>587</v>
      </c>
      <c r="G5197" t="s">
        <v>963</v>
      </c>
      <c r="H5197">
        <v>20</v>
      </c>
      <c r="I5197">
        <v>0.56000000000000005</v>
      </c>
      <c r="J5197">
        <v>0.7611</v>
      </c>
      <c r="K5197">
        <v>0.2011</v>
      </c>
      <c r="L5197">
        <v>13</v>
      </c>
      <c r="M5197">
        <v>6</v>
      </c>
      <c r="N5197">
        <v>1</v>
      </c>
      <c r="O5197" t="s">
        <v>127</v>
      </c>
      <c r="P5197" t="s">
        <v>127</v>
      </c>
      <c r="Q5197" t="s">
        <v>127</v>
      </c>
    </row>
    <row r="5198" spans="1:17" x14ac:dyDescent="0.25">
      <c r="A5198" t="str">
        <f>IF(C5198&amp;G5198&amp;D5198&lt;&gt;'Funnel setup'!$K$3&amp;'Funnel setup'!$K$4&amp;'Funnel setup'!$K$6,".",IF(A5197=".",1,A5197+1))</f>
        <v>.</v>
      </c>
      <c r="B5198" s="244" t="str">
        <f t="shared" si="81"/>
        <v>Total Knee ReplacementProviderSPIRE ST ANTHONY'S HOSPITAL (NT3X3)EQ-5D Index</v>
      </c>
      <c r="C5198" t="s">
        <v>975</v>
      </c>
      <c r="D5198" t="s">
        <v>965</v>
      </c>
      <c r="E5198" t="s">
        <v>588</v>
      </c>
      <c r="F5198" t="s">
        <v>589</v>
      </c>
      <c r="G5198" t="s">
        <v>963</v>
      </c>
      <c r="H5198">
        <v>4</v>
      </c>
      <c r="I5198">
        <v>0.443</v>
      </c>
      <c r="J5198">
        <v>0.76824999999999999</v>
      </c>
      <c r="K5198">
        <v>0.32524999999999998</v>
      </c>
      <c r="L5198">
        <v>3</v>
      </c>
      <c r="M5198">
        <v>1</v>
      </c>
      <c r="N5198">
        <v>0</v>
      </c>
      <c r="O5198" t="s">
        <v>127</v>
      </c>
      <c r="P5198" t="s">
        <v>127</v>
      </c>
      <c r="Q5198" t="s">
        <v>127</v>
      </c>
    </row>
    <row r="5199" spans="1:17" x14ac:dyDescent="0.25">
      <c r="A5199" t="str">
        <f>IF(C5199&amp;G5199&amp;D5199&lt;&gt;'Funnel setup'!$K$3&amp;'Funnel setup'!$K$4&amp;'Funnel setup'!$K$6,".",IF(A5198=".",1,A5198+1))</f>
        <v>.</v>
      </c>
      <c r="B5199" s="244" t="str">
        <f t="shared" si="81"/>
        <v>Total Knee ReplacementProviderSPIRE SUSSEX HOSPITAL (NT309)EQ-5D Index</v>
      </c>
      <c r="C5199" t="s">
        <v>975</v>
      </c>
      <c r="D5199" t="s">
        <v>965</v>
      </c>
      <c r="E5199" t="s">
        <v>590</v>
      </c>
      <c r="F5199" t="s">
        <v>591</v>
      </c>
      <c r="G5199" t="s">
        <v>963</v>
      </c>
      <c r="H5199">
        <v>24</v>
      </c>
      <c r="I5199">
        <v>0.58866700000000005</v>
      </c>
      <c r="J5199">
        <v>0.74991699999999994</v>
      </c>
      <c r="K5199">
        <v>0.16125</v>
      </c>
      <c r="L5199">
        <v>19</v>
      </c>
      <c r="M5199">
        <v>2</v>
      </c>
      <c r="N5199">
        <v>3</v>
      </c>
      <c r="O5199" t="s">
        <v>127</v>
      </c>
      <c r="P5199" t="s">
        <v>127</v>
      </c>
      <c r="Q5199" t="s">
        <v>127</v>
      </c>
    </row>
    <row r="5200" spans="1:17" x14ac:dyDescent="0.25">
      <c r="A5200" t="str">
        <f>IF(C5200&amp;G5200&amp;D5200&lt;&gt;'Funnel setup'!$K$3&amp;'Funnel setup'!$K$4&amp;'Funnel setup'!$K$6,".",IF(A5199=".",1,A5199+1))</f>
        <v>.</v>
      </c>
      <c r="B5200" s="244" t="str">
        <f t="shared" si="81"/>
        <v>Total Knee ReplacementProviderSPIRE THAMES VALLEY HOSPITAL (NT343)EQ-5D Index</v>
      </c>
      <c r="C5200" t="s">
        <v>975</v>
      </c>
      <c r="D5200" t="s">
        <v>965</v>
      </c>
      <c r="E5200" t="s">
        <v>592</v>
      </c>
      <c r="F5200" t="s">
        <v>593</v>
      </c>
      <c r="G5200" t="s">
        <v>963</v>
      </c>
      <c r="H5200">
        <v>1</v>
      </c>
      <c r="I5200">
        <v>0.68899999999999995</v>
      </c>
      <c r="J5200">
        <v>0.81399999999999995</v>
      </c>
      <c r="K5200">
        <v>0.125</v>
      </c>
      <c r="L5200">
        <v>1</v>
      </c>
      <c r="M5200">
        <v>0</v>
      </c>
      <c r="N5200">
        <v>0</v>
      </c>
      <c r="O5200" t="s">
        <v>127</v>
      </c>
      <c r="P5200" t="s">
        <v>127</v>
      </c>
      <c r="Q5200" t="s">
        <v>127</v>
      </c>
    </row>
    <row r="5201" spans="1:17" x14ac:dyDescent="0.25">
      <c r="A5201" t="str">
        <f>IF(C5201&amp;G5201&amp;D5201&lt;&gt;'Funnel setup'!$K$3&amp;'Funnel setup'!$K$4&amp;'Funnel setup'!$K$6,".",IF(A5200=".",1,A5200+1))</f>
        <v>.</v>
      </c>
      <c r="B5201" s="244" t="str">
        <f t="shared" si="81"/>
        <v>Total Knee ReplacementProviderSPIRE TUNBRIDGE WELLS HOSPITAL (NT310)EQ-5D Index</v>
      </c>
      <c r="C5201" t="s">
        <v>975</v>
      </c>
      <c r="D5201" t="s">
        <v>965</v>
      </c>
      <c r="E5201" t="s">
        <v>594</v>
      </c>
      <c r="F5201" t="s">
        <v>595</v>
      </c>
      <c r="G5201" t="s">
        <v>963</v>
      </c>
      <c r="H5201">
        <v>1</v>
      </c>
      <c r="I5201">
        <v>0.159</v>
      </c>
      <c r="J5201">
        <v>0.79600000000000004</v>
      </c>
      <c r="K5201">
        <v>0.63700000000000001</v>
      </c>
      <c r="L5201">
        <v>1</v>
      </c>
      <c r="M5201">
        <v>0</v>
      </c>
      <c r="N5201">
        <v>0</v>
      </c>
      <c r="O5201" t="s">
        <v>127</v>
      </c>
      <c r="P5201" t="s">
        <v>127</v>
      </c>
      <c r="Q5201" t="s">
        <v>127</v>
      </c>
    </row>
    <row r="5202" spans="1:17" x14ac:dyDescent="0.25">
      <c r="A5202" t="str">
        <f>IF(C5202&amp;G5202&amp;D5202&lt;&gt;'Funnel setup'!$K$3&amp;'Funnel setup'!$K$4&amp;'Funnel setup'!$K$6,".",IF(A5201=".",1,A5201+1))</f>
        <v>.</v>
      </c>
      <c r="B5202" s="244" t="str">
        <f t="shared" si="81"/>
        <v>Total Knee ReplacementProviderSPIRE WASHINGTON HOSPITAL (NT333)EQ-5D Index</v>
      </c>
      <c r="C5202" t="s">
        <v>975</v>
      </c>
      <c r="D5202" t="s">
        <v>965</v>
      </c>
      <c r="E5202" t="s">
        <v>596</v>
      </c>
      <c r="F5202" t="s">
        <v>597</v>
      </c>
      <c r="G5202" t="s">
        <v>963</v>
      </c>
      <c r="H5202">
        <v>101</v>
      </c>
      <c r="I5202">
        <v>0.435311</v>
      </c>
      <c r="J5202">
        <v>0.74231999999999998</v>
      </c>
      <c r="K5202">
        <v>0.30701000000000001</v>
      </c>
      <c r="L5202">
        <v>80</v>
      </c>
      <c r="M5202">
        <v>9</v>
      </c>
      <c r="N5202">
        <v>12</v>
      </c>
      <c r="O5202">
        <v>0.73659200000000002</v>
      </c>
      <c r="P5202">
        <v>0.31229499999999999</v>
      </c>
      <c r="Q5202">
        <v>0.21630199999999999</v>
      </c>
    </row>
    <row r="5203" spans="1:17" x14ac:dyDescent="0.25">
      <c r="A5203" t="str">
        <f>IF(C5203&amp;G5203&amp;D5203&lt;&gt;'Funnel setup'!$K$3&amp;'Funnel setup'!$K$4&amp;'Funnel setup'!$K$6,".",IF(A5202=".",1,A5202+1))</f>
        <v>.</v>
      </c>
      <c r="B5203" s="244" t="str">
        <f t="shared" si="81"/>
        <v>Total Knee ReplacementProviderSPRINGFIELD HOSPITAL (NVC18)EQ-5D Index</v>
      </c>
      <c r="C5203" t="s">
        <v>975</v>
      </c>
      <c r="D5203" t="s">
        <v>965</v>
      </c>
      <c r="E5203" t="s">
        <v>602</v>
      </c>
      <c r="F5203" t="s">
        <v>603</v>
      </c>
      <c r="G5203" t="s">
        <v>963</v>
      </c>
      <c r="H5203">
        <v>95</v>
      </c>
      <c r="I5203">
        <v>0.46397899999999997</v>
      </c>
      <c r="J5203">
        <v>0.80895799999999995</v>
      </c>
      <c r="K5203">
        <v>0.34497899999999998</v>
      </c>
      <c r="L5203">
        <v>82</v>
      </c>
      <c r="M5203">
        <v>7</v>
      </c>
      <c r="N5203">
        <v>6</v>
      </c>
      <c r="O5203">
        <v>0.76291900000000001</v>
      </c>
      <c r="P5203">
        <v>0.33862100000000001</v>
      </c>
      <c r="Q5203">
        <v>0.22764699999999999</v>
      </c>
    </row>
    <row r="5204" spans="1:17" x14ac:dyDescent="0.25">
      <c r="A5204" t="str">
        <f>IF(C5204&amp;G5204&amp;D5204&lt;&gt;'Funnel setup'!$K$3&amp;'Funnel setup'!$K$4&amp;'Funnel setup'!$K$6,".",IF(A5203=".",1,A5203+1))</f>
        <v>.</v>
      </c>
      <c r="B5204" s="244" t="str">
        <f t="shared" si="81"/>
        <v>Total Knee ReplacementProviderST EDMUNDS HOSPITAL (NT446)EQ-5D Index</v>
      </c>
      <c r="C5204" t="s">
        <v>975</v>
      </c>
      <c r="D5204" t="s">
        <v>965</v>
      </c>
      <c r="E5204" t="s">
        <v>604</v>
      </c>
      <c r="F5204" t="s">
        <v>605</v>
      </c>
      <c r="G5204" t="s">
        <v>963</v>
      </c>
      <c r="H5204">
        <v>27</v>
      </c>
      <c r="I5204">
        <v>0.52407400000000004</v>
      </c>
      <c r="J5204">
        <v>0.74440700000000004</v>
      </c>
      <c r="K5204">
        <v>0.220333</v>
      </c>
      <c r="L5204">
        <v>22</v>
      </c>
      <c r="M5204">
        <v>3</v>
      </c>
      <c r="N5204">
        <v>2</v>
      </c>
      <c r="O5204" t="s">
        <v>127</v>
      </c>
      <c r="P5204" t="s">
        <v>127</v>
      </c>
      <c r="Q5204" t="s">
        <v>127</v>
      </c>
    </row>
    <row r="5205" spans="1:17" x14ac:dyDescent="0.25">
      <c r="A5205" t="str">
        <f>IF(C5205&amp;G5205&amp;D5205&lt;&gt;'Funnel setup'!$K$3&amp;'Funnel setup'!$K$4&amp;'Funnel setup'!$K$6,".",IF(A5204=".",1,A5204+1))</f>
        <v>.</v>
      </c>
      <c r="B5205" s="244" t="str">
        <f t="shared" si="81"/>
        <v>Total Knee ReplacementProviderST HELENS AND KNOWSLEY TEACHING HOSPITALS NHS TRUST (RBN)EQ-5D Index</v>
      </c>
      <c r="C5205" t="s">
        <v>975</v>
      </c>
      <c r="D5205" t="s">
        <v>965</v>
      </c>
      <c r="E5205" t="s">
        <v>608</v>
      </c>
      <c r="F5205" t="s">
        <v>609</v>
      </c>
      <c r="G5205" t="s">
        <v>963</v>
      </c>
      <c r="H5205">
        <v>72</v>
      </c>
      <c r="I5205">
        <v>0.36813899999999999</v>
      </c>
      <c r="J5205">
        <v>0.639486</v>
      </c>
      <c r="K5205">
        <v>0.271347</v>
      </c>
      <c r="L5205">
        <v>56</v>
      </c>
      <c r="M5205">
        <v>6</v>
      </c>
      <c r="N5205">
        <v>10</v>
      </c>
      <c r="O5205">
        <v>0.69212399999999996</v>
      </c>
      <c r="P5205">
        <v>0.26782600000000001</v>
      </c>
      <c r="Q5205">
        <v>0.292823</v>
      </c>
    </row>
    <row r="5206" spans="1:17" x14ac:dyDescent="0.25">
      <c r="A5206" t="str">
        <f>IF(C5206&amp;G5206&amp;D5206&lt;&gt;'Funnel setup'!$K$3&amp;'Funnel setup'!$K$4&amp;'Funnel setup'!$K$6,".",IF(A5205=".",1,A5205+1))</f>
        <v>.</v>
      </c>
      <c r="B5206" s="244" t="str">
        <f t="shared" si="81"/>
        <v>Total Knee ReplacementProviderST HUGH'S HOSPITAL (NTE02)EQ-5D Index</v>
      </c>
      <c r="C5206" t="s">
        <v>975</v>
      </c>
      <c r="D5206" t="s">
        <v>965</v>
      </c>
      <c r="E5206" t="s">
        <v>610</v>
      </c>
      <c r="F5206" t="s">
        <v>611</v>
      </c>
      <c r="G5206" t="s">
        <v>963</v>
      </c>
      <c r="H5206">
        <v>125</v>
      </c>
      <c r="I5206">
        <v>0.46620800000000001</v>
      </c>
      <c r="J5206">
        <v>0.78659199999999996</v>
      </c>
      <c r="K5206">
        <v>0.320384</v>
      </c>
      <c r="L5206">
        <v>105</v>
      </c>
      <c r="M5206">
        <v>11</v>
      </c>
      <c r="N5206">
        <v>9</v>
      </c>
      <c r="O5206">
        <v>0.75284600000000002</v>
      </c>
      <c r="P5206">
        <v>0.32854800000000001</v>
      </c>
      <c r="Q5206">
        <v>0.194332</v>
      </c>
    </row>
    <row r="5207" spans="1:17" x14ac:dyDescent="0.25">
      <c r="A5207" t="str">
        <f>IF(C5207&amp;G5207&amp;D5207&lt;&gt;'Funnel setup'!$K$3&amp;'Funnel setup'!$K$4&amp;'Funnel setup'!$K$6,".",IF(A5206=".",1,A5206+1))</f>
        <v>.</v>
      </c>
      <c r="B5207" s="244" t="str">
        <f t="shared" si="81"/>
        <v>Total Knee ReplacementProviderSTOCKPORT NHS FOUNDATION TRUST (RWJ)EQ-5D Index</v>
      </c>
      <c r="C5207" t="s">
        <v>975</v>
      </c>
      <c r="D5207" t="s">
        <v>965</v>
      </c>
      <c r="E5207" t="s">
        <v>614</v>
      </c>
      <c r="F5207" t="s">
        <v>615</v>
      </c>
      <c r="G5207" t="s">
        <v>963</v>
      </c>
      <c r="H5207">
        <v>29</v>
      </c>
      <c r="I5207">
        <v>0.44096600000000002</v>
      </c>
      <c r="J5207">
        <v>0.81762100000000004</v>
      </c>
      <c r="K5207">
        <v>0.37665500000000002</v>
      </c>
      <c r="L5207">
        <v>24</v>
      </c>
      <c r="M5207">
        <v>2</v>
      </c>
      <c r="N5207">
        <v>3</v>
      </c>
      <c r="O5207" t="s">
        <v>127</v>
      </c>
      <c r="P5207" t="s">
        <v>127</v>
      </c>
      <c r="Q5207" t="s">
        <v>127</v>
      </c>
    </row>
    <row r="5208" spans="1:17" x14ac:dyDescent="0.25">
      <c r="A5208" t="str">
        <f>IF(C5208&amp;G5208&amp;D5208&lt;&gt;'Funnel setup'!$K$3&amp;'Funnel setup'!$K$4&amp;'Funnel setup'!$K$6,".",IF(A5207=".",1,A5207+1))</f>
        <v>.</v>
      </c>
      <c r="B5208" s="244" t="str">
        <f t="shared" si="81"/>
        <v>Total Knee ReplacementProviderSURREY AND SUSSEX HEALTHCARE NHS TRUST (RTP)EQ-5D Index</v>
      </c>
      <c r="C5208" t="s">
        <v>975</v>
      </c>
      <c r="D5208" t="s">
        <v>965</v>
      </c>
      <c r="E5208" t="s">
        <v>618</v>
      </c>
      <c r="F5208" t="s">
        <v>619</v>
      </c>
      <c r="G5208" t="s">
        <v>963</v>
      </c>
      <c r="H5208">
        <v>32</v>
      </c>
      <c r="I5208">
        <v>0.40684399999999998</v>
      </c>
      <c r="J5208">
        <v>0.72662499999999997</v>
      </c>
      <c r="K5208">
        <v>0.31978099999999998</v>
      </c>
      <c r="L5208">
        <v>26</v>
      </c>
      <c r="M5208">
        <v>5</v>
      </c>
      <c r="N5208">
        <v>1</v>
      </c>
      <c r="O5208">
        <v>0.74834500000000004</v>
      </c>
      <c r="P5208">
        <v>0.324048</v>
      </c>
      <c r="Q5208">
        <v>0.18274000000000001</v>
      </c>
    </row>
    <row r="5209" spans="1:17" x14ac:dyDescent="0.25">
      <c r="A5209" t="str">
        <f>IF(C5209&amp;G5209&amp;D5209&lt;&gt;'Funnel setup'!$K$3&amp;'Funnel setup'!$K$4&amp;'Funnel setup'!$K$6,".",IF(A5208=".",1,A5208+1))</f>
        <v>.</v>
      </c>
      <c r="B5209" s="244" t="str">
        <f t="shared" si="81"/>
        <v>Total Knee ReplacementProviderTEES VALLEY HOSPITAL (NVC0R)EQ-5D Index</v>
      </c>
      <c r="C5209" t="s">
        <v>975</v>
      </c>
      <c r="D5209" t="s">
        <v>965</v>
      </c>
      <c r="E5209" t="s">
        <v>624</v>
      </c>
      <c r="F5209" t="s">
        <v>625</v>
      </c>
      <c r="G5209" t="s">
        <v>963</v>
      </c>
      <c r="H5209">
        <v>44</v>
      </c>
      <c r="I5209">
        <v>0.447911</v>
      </c>
      <c r="J5209">
        <v>0.773289</v>
      </c>
      <c r="K5209">
        <v>0.325378</v>
      </c>
      <c r="L5209">
        <v>39</v>
      </c>
      <c r="M5209">
        <v>1</v>
      </c>
      <c r="N5209">
        <v>4</v>
      </c>
      <c r="O5209">
        <v>0.75311799999999995</v>
      </c>
      <c r="P5209">
        <v>0.32882</v>
      </c>
      <c r="Q5209">
        <v>0.22150800000000001</v>
      </c>
    </row>
    <row r="5210" spans="1:17" x14ac:dyDescent="0.25">
      <c r="A5210" t="str">
        <f>IF(C5210&amp;G5210&amp;D5210&lt;&gt;'Funnel setup'!$K$3&amp;'Funnel setup'!$K$4&amp;'Funnel setup'!$K$6,".",IF(A5209=".",1,A5209+1))</f>
        <v>.</v>
      </c>
      <c r="B5210" s="244" t="str">
        <f t="shared" si="81"/>
        <v>Total Knee ReplacementProviderTHE BERKSHIRE INDEPENDENT HOSPITAL (NVC02)EQ-5D Index</v>
      </c>
      <c r="C5210" t="s">
        <v>975</v>
      </c>
      <c r="D5210" t="s">
        <v>965</v>
      </c>
      <c r="E5210" t="s">
        <v>626</v>
      </c>
      <c r="F5210" t="s">
        <v>627</v>
      </c>
      <c r="G5210" t="s">
        <v>963</v>
      </c>
      <c r="H5210">
        <v>12</v>
      </c>
      <c r="I5210">
        <v>0.47458299999999998</v>
      </c>
      <c r="J5210">
        <v>0.72266699999999995</v>
      </c>
      <c r="K5210">
        <v>0.248083</v>
      </c>
      <c r="L5210">
        <v>9</v>
      </c>
      <c r="M5210">
        <v>3</v>
      </c>
      <c r="N5210">
        <v>0</v>
      </c>
      <c r="O5210" t="s">
        <v>127</v>
      </c>
      <c r="P5210" t="s">
        <v>127</v>
      </c>
      <c r="Q5210" t="s">
        <v>127</v>
      </c>
    </row>
    <row r="5211" spans="1:17" x14ac:dyDescent="0.25">
      <c r="A5211" t="str">
        <f>IF(C5211&amp;G5211&amp;D5211&lt;&gt;'Funnel setup'!$K$3&amp;'Funnel setup'!$K$4&amp;'Funnel setup'!$K$6,".",IF(A5210=".",1,A5210+1))</f>
        <v>.</v>
      </c>
      <c r="B5211" s="244" t="str">
        <f t="shared" si="81"/>
        <v>Total Knee ReplacementProviderTHE CHERWELL HOSPITAL (NVC25)EQ-5D Index</v>
      </c>
      <c r="C5211" t="s">
        <v>975</v>
      </c>
      <c r="D5211" t="s">
        <v>965</v>
      </c>
      <c r="E5211" t="s">
        <v>628</v>
      </c>
      <c r="F5211" t="s">
        <v>629</v>
      </c>
      <c r="G5211" t="s">
        <v>963</v>
      </c>
      <c r="H5211">
        <v>248</v>
      </c>
      <c r="I5211">
        <v>0.50556500000000004</v>
      </c>
      <c r="J5211">
        <v>0.78648399999999996</v>
      </c>
      <c r="K5211">
        <v>0.28091899999999997</v>
      </c>
      <c r="L5211">
        <v>203</v>
      </c>
      <c r="M5211">
        <v>27</v>
      </c>
      <c r="N5211">
        <v>18</v>
      </c>
      <c r="O5211">
        <v>0.75592599999999999</v>
      </c>
      <c r="P5211">
        <v>0.33162799999999998</v>
      </c>
      <c r="Q5211">
        <v>0.220161</v>
      </c>
    </row>
    <row r="5212" spans="1:17" x14ac:dyDescent="0.25">
      <c r="A5212" t="str">
        <f>IF(C5212&amp;G5212&amp;D5212&lt;&gt;'Funnel setup'!$K$3&amp;'Funnel setup'!$K$4&amp;'Funnel setup'!$K$6,".",IF(A5211=".",1,A5211+1))</f>
        <v>.</v>
      </c>
      <c r="B5212" s="244" t="str">
        <f t="shared" si="81"/>
        <v>Total Knee ReplacementProviderTHE DUDLEY GROUP NHS FOUNDATION TRUST (RNA)EQ-5D Index</v>
      </c>
      <c r="C5212" t="s">
        <v>975</v>
      </c>
      <c r="D5212" t="s">
        <v>965</v>
      </c>
      <c r="E5212" t="s">
        <v>630</v>
      </c>
      <c r="F5212" t="s">
        <v>631</v>
      </c>
      <c r="G5212" t="s">
        <v>963</v>
      </c>
      <c r="H5212">
        <v>1</v>
      </c>
      <c r="I5212">
        <v>0.62</v>
      </c>
      <c r="J5212">
        <v>0.69099999999999995</v>
      </c>
      <c r="K5212">
        <v>7.0999999999999994E-2</v>
      </c>
      <c r="L5212">
        <v>1</v>
      </c>
      <c r="M5212">
        <v>0</v>
      </c>
      <c r="N5212">
        <v>0</v>
      </c>
      <c r="O5212" t="s">
        <v>127</v>
      </c>
      <c r="P5212" t="s">
        <v>127</v>
      </c>
      <c r="Q5212" t="s">
        <v>127</v>
      </c>
    </row>
    <row r="5213" spans="1:17" x14ac:dyDescent="0.25">
      <c r="A5213" t="str">
        <f>IF(C5213&amp;G5213&amp;D5213&lt;&gt;'Funnel setup'!$K$3&amp;'Funnel setup'!$K$4&amp;'Funnel setup'!$K$6,".",IF(A5212=".",1,A5212+1))</f>
        <v>.</v>
      </c>
      <c r="B5213" s="244" t="str">
        <f t="shared" si="81"/>
        <v>Total Knee ReplacementProviderTHE HILLINGDON HOSPITALS NHS FOUNDATION TRUST (RAS)EQ-5D Index</v>
      </c>
      <c r="C5213" t="s">
        <v>975</v>
      </c>
      <c r="D5213" t="s">
        <v>965</v>
      </c>
      <c r="E5213" t="s">
        <v>632</v>
      </c>
      <c r="F5213" t="s">
        <v>633</v>
      </c>
      <c r="G5213" t="s">
        <v>963</v>
      </c>
      <c r="H5213">
        <v>109</v>
      </c>
      <c r="I5213">
        <v>0.45891700000000002</v>
      </c>
      <c r="J5213">
        <v>0.74460599999999999</v>
      </c>
      <c r="K5213">
        <v>0.285688</v>
      </c>
      <c r="L5213">
        <v>82</v>
      </c>
      <c r="M5213">
        <v>16</v>
      </c>
      <c r="N5213">
        <v>11</v>
      </c>
      <c r="O5213">
        <v>0.72998600000000002</v>
      </c>
      <c r="P5213">
        <v>0.30568899999999999</v>
      </c>
      <c r="Q5213">
        <v>0.208201</v>
      </c>
    </row>
    <row r="5214" spans="1:17" x14ac:dyDescent="0.25">
      <c r="A5214" t="str">
        <f>IF(C5214&amp;G5214&amp;D5214&lt;&gt;'Funnel setup'!$K$3&amp;'Funnel setup'!$K$4&amp;'Funnel setup'!$K$6,".",IF(A5213=".",1,A5213+1))</f>
        <v>.</v>
      </c>
      <c r="B5214" s="244" t="str">
        <f t="shared" si="81"/>
        <v>Total Knee ReplacementProviderTHE HORDER CENTRE - ST JOHNS ROAD (NXM01)EQ-5D Index</v>
      </c>
      <c r="C5214" t="s">
        <v>975</v>
      </c>
      <c r="D5214" t="s">
        <v>965</v>
      </c>
      <c r="E5214" t="s">
        <v>634</v>
      </c>
      <c r="F5214" t="s">
        <v>635</v>
      </c>
      <c r="G5214" t="s">
        <v>963</v>
      </c>
      <c r="H5214">
        <v>251</v>
      </c>
      <c r="I5214">
        <v>0.50670499999999996</v>
      </c>
      <c r="J5214">
        <v>0.81300799999999995</v>
      </c>
      <c r="K5214">
        <v>0.30630299999999999</v>
      </c>
      <c r="L5214">
        <v>208</v>
      </c>
      <c r="M5214">
        <v>29</v>
      </c>
      <c r="N5214">
        <v>14</v>
      </c>
      <c r="O5214">
        <v>0.77576599999999996</v>
      </c>
      <c r="P5214">
        <v>0.351468</v>
      </c>
      <c r="Q5214">
        <v>0.21371699999999999</v>
      </c>
    </row>
    <row r="5215" spans="1:17" x14ac:dyDescent="0.25">
      <c r="A5215" t="str">
        <f>IF(C5215&amp;G5215&amp;D5215&lt;&gt;'Funnel setup'!$K$3&amp;'Funnel setup'!$K$4&amp;'Funnel setup'!$K$6,".",IF(A5214=".",1,A5214+1))</f>
        <v>.</v>
      </c>
      <c r="B5215" s="244" t="str">
        <f t="shared" si="81"/>
        <v>Total Knee ReplacementProviderTHE NEWCASTLE UPON TYNE HOSPITALS NHS FOUNDATION TRUST (RTD)EQ-5D Index</v>
      </c>
      <c r="C5215" t="s">
        <v>975</v>
      </c>
      <c r="D5215" t="s">
        <v>965</v>
      </c>
      <c r="E5215" t="s">
        <v>638</v>
      </c>
      <c r="F5215" t="s">
        <v>639</v>
      </c>
      <c r="G5215" t="s">
        <v>963</v>
      </c>
      <c r="H5215">
        <v>23</v>
      </c>
      <c r="I5215">
        <v>0.28512999999999999</v>
      </c>
      <c r="J5215">
        <v>0.72713000000000005</v>
      </c>
      <c r="K5215">
        <v>0.442</v>
      </c>
      <c r="L5215">
        <v>20</v>
      </c>
      <c r="M5215">
        <v>2</v>
      </c>
      <c r="N5215">
        <v>1</v>
      </c>
      <c r="O5215" t="s">
        <v>127</v>
      </c>
      <c r="P5215" t="s">
        <v>127</v>
      </c>
      <c r="Q5215" t="s">
        <v>127</v>
      </c>
    </row>
    <row r="5216" spans="1:17" x14ac:dyDescent="0.25">
      <c r="A5216" t="str">
        <f>IF(C5216&amp;G5216&amp;D5216&lt;&gt;'Funnel setup'!$K$3&amp;'Funnel setup'!$K$4&amp;'Funnel setup'!$K$6,".",IF(A5215=".",1,A5215+1))</f>
        <v>.</v>
      </c>
      <c r="B5216" s="244" t="str">
        <f t="shared" si="81"/>
        <v>Total Knee ReplacementProviderTHE PRINCESS ALEXANDRA HOSPITAL NHS TRUST (RQW)EQ-5D Index</v>
      </c>
      <c r="C5216" t="s">
        <v>975</v>
      </c>
      <c r="D5216" t="s">
        <v>965</v>
      </c>
      <c r="E5216" t="s">
        <v>640</v>
      </c>
      <c r="F5216" t="s">
        <v>641</v>
      </c>
      <c r="G5216" t="s">
        <v>963</v>
      </c>
      <c r="H5216">
        <v>27</v>
      </c>
      <c r="I5216">
        <v>0.38100000000000001</v>
      </c>
      <c r="J5216">
        <v>0.72599999999999998</v>
      </c>
      <c r="K5216">
        <v>0.34499999999999997</v>
      </c>
      <c r="L5216">
        <v>20</v>
      </c>
      <c r="M5216">
        <v>3</v>
      </c>
      <c r="N5216">
        <v>4</v>
      </c>
      <c r="O5216" t="s">
        <v>127</v>
      </c>
      <c r="P5216" t="s">
        <v>127</v>
      </c>
      <c r="Q5216" t="s">
        <v>127</v>
      </c>
    </row>
    <row r="5217" spans="1:17" x14ac:dyDescent="0.25">
      <c r="A5217" t="str">
        <f>IF(C5217&amp;G5217&amp;D5217&lt;&gt;'Funnel setup'!$K$3&amp;'Funnel setup'!$K$4&amp;'Funnel setup'!$K$6,".",IF(A5216=".",1,A5216+1))</f>
        <v>.</v>
      </c>
      <c r="B5217" s="244" t="str">
        <f t="shared" si="81"/>
        <v>Total Knee ReplacementProviderTHE QUEEN ELIZABETH HOSPITAL, KING'S LYNN, NHS FOUNDATION TRUST (RCX)EQ-5D Index</v>
      </c>
      <c r="C5217" t="s">
        <v>975</v>
      </c>
      <c r="D5217" t="s">
        <v>965</v>
      </c>
      <c r="E5217" t="s">
        <v>644</v>
      </c>
      <c r="F5217" t="s">
        <v>645</v>
      </c>
      <c r="G5217" t="s">
        <v>963</v>
      </c>
      <c r="H5217">
        <v>78</v>
      </c>
      <c r="I5217">
        <v>0.40911500000000001</v>
      </c>
      <c r="J5217">
        <v>0.70078200000000002</v>
      </c>
      <c r="K5217">
        <v>0.29166700000000001</v>
      </c>
      <c r="L5217">
        <v>61</v>
      </c>
      <c r="M5217">
        <v>10</v>
      </c>
      <c r="N5217">
        <v>7</v>
      </c>
      <c r="O5217">
        <v>0.71543699999999999</v>
      </c>
      <c r="P5217">
        <v>0.29114000000000001</v>
      </c>
      <c r="Q5217">
        <v>0.24976999999999999</v>
      </c>
    </row>
    <row r="5218" spans="1:17" x14ac:dyDescent="0.25">
      <c r="A5218" t="str">
        <f>IF(C5218&amp;G5218&amp;D5218&lt;&gt;'Funnel setup'!$K$3&amp;'Funnel setup'!$K$4&amp;'Funnel setup'!$K$6,".",IF(A5217=".",1,A5217+1))</f>
        <v>.</v>
      </c>
      <c r="B5218" s="244" t="str">
        <f t="shared" si="81"/>
        <v>Total Knee ReplacementProviderTHE ROBERT JONES AND AGNES HUNT ORTHOPAEDIC HOSPITAL NHS FOUNDATION TRUST (RL1)EQ-5D Index</v>
      </c>
      <c r="C5218" t="s">
        <v>975</v>
      </c>
      <c r="D5218" t="s">
        <v>965</v>
      </c>
      <c r="E5218" t="s">
        <v>646</v>
      </c>
      <c r="F5218" t="s">
        <v>647</v>
      </c>
      <c r="G5218" t="s">
        <v>963</v>
      </c>
      <c r="H5218">
        <v>323</v>
      </c>
      <c r="I5218">
        <v>0.380882</v>
      </c>
      <c r="J5218">
        <v>0.74756</v>
      </c>
      <c r="K5218">
        <v>0.366678</v>
      </c>
      <c r="L5218">
        <v>271</v>
      </c>
      <c r="M5218">
        <v>28</v>
      </c>
      <c r="N5218">
        <v>24</v>
      </c>
      <c r="O5218">
        <v>0.77409600000000001</v>
      </c>
      <c r="P5218">
        <v>0.34979900000000003</v>
      </c>
      <c r="Q5218">
        <v>0.227349</v>
      </c>
    </row>
    <row r="5219" spans="1:17" x14ac:dyDescent="0.25">
      <c r="A5219" t="str">
        <f>IF(C5219&amp;G5219&amp;D5219&lt;&gt;'Funnel setup'!$K$3&amp;'Funnel setup'!$K$4&amp;'Funnel setup'!$K$6,".",IF(A5218=".",1,A5218+1))</f>
        <v>.</v>
      </c>
      <c r="B5219" s="244" t="str">
        <f t="shared" si="81"/>
        <v>Total Knee ReplacementProviderTHE ROTHERHAM NHS FOUNDATION TRUST (RFR)EQ-5D Index</v>
      </c>
      <c r="C5219" t="s">
        <v>975</v>
      </c>
      <c r="D5219" t="s">
        <v>965</v>
      </c>
      <c r="E5219" t="s">
        <v>648</v>
      </c>
      <c r="F5219" t="s">
        <v>649</v>
      </c>
      <c r="G5219" t="s">
        <v>963</v>
      </c>
      <c r="H5219">
        <v>29</v>
      </c>
      <c r="I5219">
        <v>0.22817200000000001</v>
      </c>
      <c r="J5219">
        <v>0.76786200000000004</v>
      </c>
      <c r="K5219">
        <v>0.53969</v>
      </c>
      <c r="L5219">
        <v>27</v>
      </c>
      <c r="M5219">
        <v>2</v>
      </c>
      <c r="N5219">
        <v>0</v>
      </c>
      <c r="O5219" t="s">
        <v>127</v>
      </c>
      <c r="P5219" t="s">
        <v>127</v>
      </c>
      <c r="Q5219" t="s">
        <v>127</v>
      </c>
    </row>
    <row r="5220" spans="1:17" x14ac:dyDescent="0.25">
      <c r="A5220" t="str">
        <f>IF(C5220&amp;G5220&amp;D5220&lt;&gt;'Funnel setup'!$K$3&amp;'Funnel setup'!$K$4&amp;'Funnel setup'!$K$6,".",IF(A5219=".",1,A5219+1))</f>
        <v>.</v>
      </c>
      <c r="B5220" s="244" t="str">
        <f t="shared" si="81"/>
        <v>Total Knee ReplacementProviderTHE ROYAL ORTHOPAEDIC HOSPITAL NHS FOUNDATION TRUST (RRJ)EQ-5D Index</v>
      </c>
      <c r="C5220" t="s">
        <v>975</v>
      </c>
      <c r="D5220" t="s">
        <v>965</v>
      </c>
      <c r="E5220" t="s">
        <v>652</v>
      </c>
      <c r="F5220" t="s">
        <v>653</v>
      </c>
      <c r="G5220" t="s">
        <v>963</v>
      </c>
      <c r="H5220">
        <v>432</v>
      </c>
      <c r="I5220">
        <v>0.34412500000000001</v>
      </c>
      <c r="J5220">
        <v>0.73006899999999997</v>
      </c>
      <c r="K5220">
        <v>0.38594400000000001</v>
      </c>
      <c r="L5220">
        <v>365</v>
      </c>
      <c r="M5220">
        <v>18</v>
      </c>
      <c r="N5220">
        <v>49</v>
      </c>
      <c r="O5220">
        <v>0.76063599999999998</v>
      </c>
      <c r="P5220">
        <v>0.336339</v>
      </c>
      <c r="Q5220">
        <v>0.26290200000000002</v>
      </c>
    </row>
    <row r="5221" spans="1:17" x14ac:dyDescent="0.25">
      <c r="A5221" t="str">
        <f>IF(C5221&amp;G5221&amp;D5221&lt;&gt;'Funnel setup'!$K$3&amp;'Funnel setup'!$K$4&amp;'Funnel setup'!$K$6,".",IF(A5220=".",1,A5220+1))</f>
        <v>.</v>
      </c>
      <c r="B5221" s="244" t="str">
        <f t="shared" si="81"/>
        <v>Total Knee ReplacementProviderTHE ROYAL WOLVERHAMPTON NHS TRUST (RL4)EQ-5D Index</v>
      </c>
      <c r="C5221" t="s">
        <v>975</v>
      </c>
      <c r="D5221" t="s">
        <v>965</v>
      </c>
      <c r="E5221" t="s">
        <v>654</v>
      </c>
      <c r="F5221" t="s">
        <v>655</v>
      </c>
      <c r="G5221" t="s">
        <v>963</v>
      </c>
      <c r="H5221">
        <v>23</v>
      </c>
      <c r="I5221">
        <v>0.47556500000000002</v>
      </c>
      <c r="J5221">
        <v>0.78482600000000002</v>
      </c>
      <c r="K5221">
        <v>0.30926100000000001</v>
      </c>
      <c r="L5221">
        <v>20</v>
      </c>
      <c r="M5221">
        <v>2</v>
      </c>
      <c r="N5221">
        <v>1</v>
      </c>
      <c r="O5221" t="s">
        <v>127</v>
      </c>
      <c r="P5221" t="s">
        <v>127</v>
      </c>
      <c r="Q5221" t="s">
        <v>127</v>
      </c>
    </row>
    <row r="5222" spans="1:17" x14ac:dyDescent="0.25">
      <c r="A5222" t="str">
        <f>IF(C5222&amp;G5222&amp;D5222&lt;&gt;'Funnel setup'!$K$3&amp;'Funnel setup'!$K$4&amp;'Funnel setup'!$K$6,".",IF(A5221=".",1,A5221+1))</f>
        <v>.</v>
      </c>
      <c r="B5222" s="244" t="str">
        <f t="shared" si="81"/>
        <v>Total Knee ReplacementProviderTHE SHREWSBURY AND TELFORD HOSPITAL NHS TRUST (RXW)EQ-5D Index</v>
      </c>
      <c r="C5222" t="s">
        <v>975</v>
      </c>
      <c r="D5222" t="s">
        <v>965</v>
      </c>
      <c r="E5222" t="s">
        <v>656</v>
      </c>
      <c r="F5222" t="s">
        <v>657</v>
      </c>
      <c r="G5222" t="s">
        <v>963</v>
      </c>
      <c r="H5222">
        <v>13</v>
      </c>
      <c r="I5222">
        <v>0.41553800000000002</v>
      </c>
      <c r="J5222">
        <v>0.70215399999999994</v>
      </c>
      <c r="K5222">
        <v>0.28661500000000001</v>
      </c>
      <c r="L5222">
        <v>11</v>
      </c>
      <c r="M5222">
        <v>2</v>
      </c>
      <c r="N5222">
        <v>0</v>
      </c>
      <c r="O5222" t="s">
        <v>127</v>
      </c>
      <c r="P5222" t="s">
        <v>127</v>
      </c>
      <c r="Q5222" t="s">
        <v>127</v>
      </c>
    </row>
    <row r="5223" spans="1:17" x14ac:dyDescent="0.25">
      <c r="A5223" t="str">
        <f>IF(C5223&amp;G5223&amp;D5223&lt;&gt;'Funnel setup'!$K$3&amp;'Funnel setup'!$K$4&amp;'Funnel setup'!$K$6,".",IF(A5222=".",1,A5222+1))</f>
        <v>.</v>
      </c>
      <c r="B5223" s="244" t="str">
        <f t="shared" si="81"/>
        <v>Total Knee ReplacementProviderTHE YORKSHIRE CLINIC (NVC20)EQ-5D Index</v>
      </c>
      <c r="C5223" t="s">
        <v>975</v>
      </c>
      <c r="D5223" t="s">
        <v>965</v>
      </c>
      <c r="E5223" t="s">
        <v>662</v>
      </c>
      <c r="F5223" t="s">
        <v>663</v>
      </c>
      <c r="G5223" t="s">
        <v>963</v>
      </c>
      <c r="H5223">
        <v>33</v>
      </c>
      <c r="I5223">
        <v>0.48963600000000002</v>
      </c>
      <c r="J5223">
        <v>0.75281799999999999</v>
      </c>
      <c r="K5223">
        <v>0.26318200000000003</v>
      </c>
      <c r="L5223">
        <v>29</v>
      </c>
      <c r="M5223">
        <v>2</v>
      </c>
      <c r="N5223">
        <v>2</v>
      </c>
      <c r="O5223">
        <v>0.75629900000000005</v>
      </c>
      <c r="P5223">
        <v>0.33200200000000002</v>
      </c>
      <c r="Q5223">
        <v>0.16154499999999999</v>
      </c>
    </row>
    <row r="5224" spans="1:17" x14ac:dyDescent="0.25">
      <c r="A5224" t="str">
        <f>IF(C5224&amp;G5224&amp;D5224&lt;&gt;'Funnel setup'!$K$3&amp;'Funnel setup'!$K$4&amp;'Funnel setup'!$K$6,".",IF(A5223=".",1,A5223+1))</f>
        <v>.</v>
      </c>
      <c r="B5224" s="244" t="str">
        <f t="shared" si="81"/>
        <v>Total Knee ReplacementProviderTHORNBURY HOSPITAL (NT440)EQ-5D Index</v>
      </c>
      <c r="C5224" t="s">
        <v>975</v>
      </c>
      <c r="D5224" t="s">
        <v>965</v>
      </c>
      <c r="E5224" t="s">
        <v>664</v>
      </c>
      <c r="F5224" t="s">
        <v>665</v>
      </c>
      <c r="G5224" t="s">
        <v>963</v>
      </c>
      <c r="H5224">
        <v>4</v>
      </c>
      <c r="I5224">
        <v>0.46224999999999999</v>
      </c>
      <c r="J5224">
        <v>0.57950000000000002</v>
      </c>
      <c r="K5224">
        <v>0.11724999999999999</v>
      </c>
      <c r="L5224">
        <v>3</v>
      </c>
      <c r="M5224">
        <v>1</v>
      </c>
      <c r="N5224">
        <v>0</v>
      </c>
      <c r="O5224" t="s">
        <v>127</v>
      </c>
      <c r="P5224" t="s">
        <v>127</v>
      </c>
      <c r="Q5224" t="s">
        <v>127</v>
      </c>
    </row>
    <row r="5225" spans="1:17" x14ac:dyDescent="0.25">
      <c r="A5225" t="str">
        <f>IF(C5225&amp;G5225&amp;D5225&lt;&gt;'Funnel setup'!$K$3&amp;'Funnel setup'!$K$4&amp;'Funnel setup'!$K$6,".",IF(A5224=".",1,A5224+1))</f>
        <v>.</v>
      </c>
      <c r="B5225" s="244" t="str">
        <f t="shared" si="81"/>
        <v>Total Knee ReplacementProviderTHREE SHIRES HOSPITAL (NT441)EQ-5D Index</v>
      </c>
      <c r="C5225" t="s">
        <v>975</v>
      </c>
      <c r="D5225" t="s">
        <v>965</v>
      </c>
      <c r="E5225" t="s">
        <v>666</v>
      </c>
      <c r="F5225" t="s">
        <v>667</v>
      </c>
      <c r="G5225" t="s">
        <v>963</v>
      </c>
      <c r="H5225">
        <v>79</v>
      </c>
      <c r="I5225">
        <v>0.413684</v>
      </c>
      <c r="J5225">
        <v>0.77626600000000001</v>
      </c>
      <c r="K5225">
        <v>0.36258200000000002</v>
      </c>
      <c r="L5225">
        <v>61</v>
      </c>
      <c r="M5225">
        <v>11</v>
      </c>
      <c r="N5225">
        <v>7</v>
      </c>
      <c r="O5225">
        <v>0.73760400000000004</v>
      </c>
      <c r="P5225">
        <v>0.31330599999999997</v>
      </c>
      <c r="Q5225">
        <v>0.23177200000000001</v>
      </c>
    </row>
    <row r="5226" spans="1:17" x14ac:dyDescent="0.25">
      <c r="A5226" t="str">
        <f>IF(C5226&amp;G5226&amp;D5226&lt;&gt;'Funnel setup'!$K$3&amp;'Funnel setup'!$K$4&amp;'Funnel setup'!$K$6,".",IF(A5225=".",1,A5225+1))</f>
        <v>.</v>
      </c>
      <c r="B5226" s="244" t="str">
        <f t="shared" si="81"/>
        <v>Total Knee ReplacementProviderTORBAY AND SOUTH DEVON NHS FOUNDATION TRUST (RA9)EQ-5D Index</v>
      </c>
      <c r="C5226" t="s">
        <v>975</v>
      </c>
      <c r="D5226" t="s">
        <v>965</v>
      </c>
      <c r="E5226" t="s">
        <v>668</v>
      </c>
      <c r="F5226" t="s">
        <v>669</v>
      </c>
      <c r="G5226" t="s">
        <v>963</v>
      </c>
      <c r="H5226">
        <v>7</v>
      </c>
      <c r="I5226">
        <v>0.28799999999999998</v>
      </c>
      <c r="J5226">
        <v>0.49385699999999999</v>
      </c>
      <c r="K5226">
        <v>0.20585700000000001</v>
      </c>
      <c r="L5226">
        <v>4</v>
      </c>
      <c r="M5226">
        <v>2</v>
      </c>
      <c r="N5226">
        <v>1</v>
      </c>
      <c r="O5226" t="s">
        <v>127</v>
      </c>
      <c r="P5226" t="s">
        <v>127</v>
      </c>
      <c r="Q5226" t="s">
        <v>127</v>
      </c>
    </row>
    <row r="5227" spans="1:17" x14ac:dyDescent="0.25">
      <c r="A5227" t="str">
        <f>IF(C5227&amp;G5227&amp;D5227&lt;&gt;'Funnel setup'!$K$3&amp;'Funnel setup'!$K$4&amp;'Funnel setup'!$K$6,".",IF(A5226=".",1,A5226+1))</f>
        <v>.</v>
      </c>
      <c r="B5227" s="244" t="str">
        <f t="shared" si="81"/>
        <v>Total Knee ReplacementProviderUNITED LINCOLNSHIRE HOSPITALS NHS TRUST (RWD)EQ-5D Index</v>
      </c>
      <c r="C5227" t="s">
        <v>975</v>
      </c>
      <c r="D5227" t="s">
        <v>965</v>
      </c>
      <c r="E5227" t="s">
        <v>672</v>
      </c>
      <c r="F5227" t="s">
        <v>673</v>
      </c>
      <c r="G5227" t="s">
        <v>963</v>
      </c>
      <c r="H5227">
        <v>36</v>
      </c>
      <c r="I5227">
        <v>0.32002799999999998</v>
      </c>
      <c r="J5227">
        <v>0.68669400000000003</v>
      </c>
      <c r="K5227">
        <v>0.36666700000000002</v>
      </c>
      <c r="L5227">
        <v>35</v>
      </c>
      <c r="M5227">
        <v>0</v>
      </c>
      <c r="N5227">
        <v>1</v>
      </c>
      <c r="O5227">
        <v>0.71077900000000005</v>
      </c>
      <c r="P5227">
        <v>0.28648099999999999</v>
      </c>
      <c r="Q5227">
        <v>0.25383899999999998</v>
      </c>
    </row>
    <row r="5228" spans="1:17" x14ac:dyDescent="0.25">
      <c r="A5228" t="str">
        <f>IF(C5228&amp;G5228&amp;D5228&lt;&gt;'Funnel setup'!$K$3&amp;'Funnel setup'!$K$4&amp;'Funnel setup'!$K$6,".",IF(A5227=".",1,A5227+1))</f>
        <v>.</v>
      </c>
      <c r="B5228" s="244" t="str">
        <f t="shared" si="81"/>
        <v>Total Knee ReplacementProviderUNIVERSITY COLLEGE LONDON HOSPITALS NHS FOUNDATION TRUST (RRV)EQ-5D Index</v>
      </c>
      <c r="C5228" t="s">
        <v>975</v>
      </c>
      <c r="D5228" t="s">
        <v>965</v>
      </c>
      <c r="E5228" t="s">
        <v>674</v>
      </c>
      <c r="F5228" t="s">
        <v>675</v>
      </c>
      <c r="G5228" t="s">
        <v>963</v>
      </c>
      <c r="H5228">
        <v>162</v>
      </c>
      <c r="I5228">
        <v>0.45072800000000002</v>
      </c>
      <c r="J5228">
        <v>0.687056</v>
      </c>
      <c r="K5228">
        <v>0.23632700000000001</v>
      </c>
      <c r="L5228">
        <v>121</v>
      </c>
      <c r="M5228">
        <v>22</v>
      </c>
      <c r="N5228">
        <v>19</v>
      </c>
      <c r="O5228">
        <v>0.70924600000000004</v>
      </c>
      <c r="P5228">
        <v>0.28494900000000001</v>
      </c>
      <c r="Q5228">
        <v>0.24623300000000001</v>
      </c>
    </row>
    <row r="5229" spans="1:17" x14ac:dyDescent="0.25">
      <c r="A5229" t="str">
        <f>IF(C5229&amp;G5229&amp;D5229&lt;&gt;'Funnel setup'!$K$3&amp;'Funnel setup'!$K$4&amp;'Funnel setup'!$K$6,".",IF(A5228=".",1,A5228+1))</f>
        <v>.</v>
      </c>
      <c r="B5229" s="244" t="str">
        <f t="shared" si="81"/>
        <v>Total Knee ReplacementProviderUNIVERSITY HOSPITAL SOUTHAMPTON NHS FOUNDATION TRUST (RHM)EQ-5D Index</v>
      </c>
      <c r="C5229" t="s">
        <v>975</v>
      </c>
      <c r="D5229" t="s">
        <v>965</v>
      </c>
      <c r="E5229" t="s">
        <v>676</v>
      </c>
      <c r="F5229" t="s">
        <v>677</v>
      </c>
      <c r="G5229" t="s">
        <v>963</v>
      </c>
      <c r="H5229">
        <v>96</v>
      </c>
      <c r="I5229">
        <v>0.43843799999999999</v>
      </c>
      <c r="J5229">
        <v>0.74263500000000005</v>
      </c>
      <c r="K5229">
        <v>0.30419800000000002</v>
      </c>
      <c r="L5229">
        <v>80</v>
      </c>
      <c r="M5229">
        <v>6</v>
      </c>
      <c r="N5229">
        <v>10</v>
      </c>
      <c r="O5229">
        <v>0.77551800000000004</v>
      </c>
      <c r="P5229">
        <v>0.35122100000000001</v>
      </c>
      <c r="Q5229">
        <v>0.247088</v>
      </c>
    </row>
    <row r="5230" spans="1:17" x14ac:dyDescent="0.25">
      <c r="A5230" t="str">
        <f>IF(C5230&amp;G5230&amp;D5230&lt;&gt;'Funnel setup'!$K$3&amp;'Funnel setup'!$K$4&amp;'Funnel setup'!$K$6,".",IF(A5229=".",1,A5229+1))</f>
        <v>.</v>
      </c>
      <c r="B5230" s="244" t="str">
        <f t="shared" si="81"/>
        <v>Total Knee ReplacementProviderUNIVERSITY HOSPITALS BRISTOL AND WESTON NHS FOUNDATION TRUST (RA7)EQ-5D Index</v>
      </c>
      <c r="C5230" t="s">
        <v>975</v>
      </c>
      <c r="D5230" t="s">
        <v>965</v>
      </c>
      <c r="E5230" t="s">
        <v>680</v>
      </c>
      <c r="F5230" t="s">
        <v>681</v>
      </c>
      <c r="G5230" t="s">
        <v>963</v>
      </c>
      <c r="H5230">
        <v>17</v>
      </c>
      <c r="I5230">
        <v>0.20452899999999999</v>
      </c>
      <c r="J5230">
        <v>0.67676499999999995</v>
      </c>
      <c r="K5230">
        <v>0.47223500000000002</v>
      </c>
      <c r="L5230">
        <v>16</v>
      </c>
      <c r="M5230">
        <v>0</v>
      </c>
      <c r="N5230">
        <v>1</v>
      </c>
      <c r="O5230" t="s">
        <v>127</v>
      </c>
      <c r="P5230" t="s">
        <v>127</v>
      </c>
      <c r="Q5230" t="s">
        <v>127</v>
      </c>
    </row>
    <row r="5231" spans="1:17" x14ac:dyDescent="0.25">
      <c r="A5231" t="str">
        <f>IF(C5231&amp;G5231&amp;D5231&lt;&gt;'Funnel setup'!$K$3&amp;'Funnel setup'!$K$4&amp;'Funnel setup'!$K$6,".",IF(A5230=".",1,A5230+1))</f>
        <v>.</v>
      </c>
      <c r="B5231" s="244" t="str">
        <f t="shared" si="81"/>
        <v>Total Knee ReplacementProviderUNIVERSITY HOSPITALS COVENTRY AND WARWICKSHIRE NHS TRUST (RKB)EQ-5D Index</v>
      </c>
      <c r="C5231" t="s">
        <v>975</v>
      </c>
      <c r="D5231" t="s">
        <v>965</v>
      </c>
      <c r="E5231" t="s">
        <v>682</v>
      </c>
      <c r="F5231" t="s">
        <v>683</v>
      </c>
      <c r="G5231" t="s">
        <v>963</v>
      </c>
      <c r="H5231">
        <v>20</v>
      </c>
      <c r="I5231">
        <v>0.38285000000000002</v>
      </c>
      <c r="J5231">
        <v>0.83499999999999996</v>
      </c>
      <c r="K5231">
        <v>0.45215</v>
      </c>
      <c r="L5231">
        <v>20</v>
      </c>
      <c r="M5231">
        <v>0</v>
      </c>
      <c r="N5231">
        <v>0</v>
      </c>
      <c r="O5231" t="s">
        <v>127</v>
      </c>
      <c r="P5231" t="s">
        <v>127</v>
      </c>
      <c r="Q5231" t="s">
        <v>127</v>
      </c>
    </row>
    <row r="5232" spans="1:17" x14ac:dyDescent="0.25">
      <c r="A5232" t="str">
        <f>IF(C5232&amp;G5232&amp;D5232&lt;&gt;'Funnel setup'!$K$3&amp;'Funnel setup'!$K$4&amp;'Funnel setup'!$K$6,".",IF(A5231=".",1,A5231+1))</f>
        <v>.</v>
      </c>
      <c r="B5232" s="244" t="str">
        <f t="shared" si="81"/>
        <v>Total Knee ReplacementProviderUNIVERSITY HOSPITAL DORSET NHS FUNDATION TRUST (R0D)EQ-5D Index</v>
      </c>
      <c r="C5232" t="s">
        <v>975</v>
      </c>
      <c r="D5232" t="s">
        <v>965</v>
      </c>
      <c r="E5232" t="s">
        <v>684</v>
      </c>
      <c r="F5232" t="s">
        <v>966</v>
      </c>
      <c r="G5232" t="s">
        <v>963</v>
      </c>
      <c r="H5232">
        <v>196</v>
      </c>
      <c r="I5232">
        <v>0.49185699999999999</v>
      </c>
      <c r="J5232">
        <v>0.75099000000000005</v>
      </c>
      <c r="K5232">
        <v>0.259133</v>
      </c>
      <c r="L5232">
        <v>157</v>
      </c>
      <c r="M5232">
        <v>16</v>
      </c>
      <c r="N5232">
        <v>23</v>
      </c>
      <c r="O5232">
        <v>0.74423399999999995</v>
      </c>
      <c r="P5232">
        <v>0.31993700000000003</v>
      </c>
      <c r="Q5232">
        <v>0.217976</v>
      </c>
    </row>
    <row r="5233" spans="1:17" x14ac:dyDescent="0.25">
      <c r="A5233" t="str">
        <f>IF(C5233&amp;G5233&amp;D5233&lt;&gt;'Funnel setup'!$K$3&amp;'Funnel setup'!$K$4&amp;'Funnel setup'!$K$6,".",IF(A5232=".",1,A5232+1))</f>
        <v>.</v>
      </c>
      <c r="B5233" s="244" t="str">
        <f t="shared" si="81"/>
        <v>Total Knee ReplacementProviderUNIVERSITY HOSPITALS OF DERBY AND BURTON NHS FOUNDATION TRUST (RTG)EQ-5D Index</v>
      </c>
      <c r="C5233" t="s">
        <v>975</v>
      </c>
      <c r="D5233" t="s">
        <v>965</v>
      </c>
      <c r="E5233" t="s">
        <v>686</v>
      </c>
      <c r="F5233" t="s">
        <v>687</v>
      </c>
      <c r="G5233" t="s">
        <v>963</v>
      </c>
      <c r="H5233">
        <v>375</v>
      </c>
      <c r="I5233">
        <v>0.42997299999999999</v>
      </c>
      <c r="J5233">
        <v>0.73121599999999998</v>
      </c>
      <c r="K5233">
        <v>0.30124299999999998</v>
      </c>
      <c r="L5233">
        <v>297</v>
      </c>
      <c r="M5233">
        <v>39</v>
      </c>
      <c r="N5233">
        <v>39</v>
      </c>
      <c r="O5233">
        <v>0.74090299999999998</v>
      </c>
      <c r="P5233">
        <v>0.316606</v>
      </c>
      <c r="Q5233">
        <v>0.23977399999999999</v>
      </c>
    </row>
    <row r="5234" spans="1:17" x14ac:dyDescent="0.25">
      <c r="A5234" t="str">
        <f>IF(C5234&amp;G5234&amp;D5234&lt;&gt;'Funnel setup'!$K$3&amp;'Funnel setup'!$K$4&amp;'Funnel setup'!$K$6,".",IF(A5233=".",1,A5233+1))</f>
        <v>.</v>
      </c>
      <c r="B5234" s="244" t="str">
        <f t="shared" si="81"/>
        <v>Total Knee ReplacementProviderUNIVERSITY HOSPITALS OF LEICESTER NHS TRUST (RWE)EQ-5D Index</v>
      </c>
      <c r="C5234" t="s">
        <v>975</v>
      </c>
      <c r="D5234" t="s">
        <v>965</v>
      </c>
      <c r="E5234" t="s">
        <v>688</v>
      </c>
      <c r="F5234" t="s">
        <v>689</v>
      </c>
      <c r="G5234" t="s">
        <v>963</v>
      </c>
      <c r="H5234">
        <v>178</v>
      </c>
      <c r="I5234">
        <v>0.33224199999999998</v>
      </c>
      <c r="J5234">
        <v>0.67857900000000004</v>
      </c>
      <c r="K5234">
        <v>0.34633700000000001</v>
      </c>
      <c r="L5234">
        <v>139</v>
      </c>
      <c r="M5234">
        <v>20</v>
      </c>
      <c r="N5234">
        <v>19</v>
      </c>
      <c r="O5234">
        <v>0.73043800000000003</v>
      </c>
      <c r="P5234">
        <v>0.306141</v>
      </c>
      <c r="Q5234">
        <v>0.24732599999999999</v>
      </c>
    </row>
    <row r="5235" spans="1:17" x14ac:dyDescent="0.25">
      <c r="A5235" t="str">
        <f>IF(C5235&amp;G5235&amp;D5235&lt;&gt;'Funnel setup'!$K$3&amp;'Funnel setup'!$K$4&amp;'Funnel setup'!$K$6,".",IF(A5234=".",1,A5234+1))</f>
        <v>.</v>
      </c>
      <c r="B5235" s="244" t="str">
        <f t="shared" si="81"/>
        <v>Total Knee ReplacementProviderUNIVERSITY HOSPITALS OF MORECAMBE BAY NHS FOUNDATION TRUST (RTX)EQ-5D Index</v>
      </c>
      <c r="C5235" t="s">
        <v>975</v>
      </c>
      <c r="D5235" t="s">
        <v>965</v>
      </c>
      <c r="E5235" t="s">
        <v>690</v>
      </c>
      <c r="F5235" t="s">
        <v>691</v>
      </c>
      <c r="G5235" t="s">
        <v>963</v>
      </c>
      <c r="H5235">
        <v>160</v>
      </c>
      <c r="I5235">
        <v>0.412213</v>
      </c>
      <c r="J5235">
        <v>0.74275599999999997</v>
      </c>
      <c r="K5235">
        <v>0.330544</v>
      </c>
      <c r="L5235">
        <v>128</v>
      </c>
      <c r="M5235">
        <v>12</v>
      </c>
      <c r="N5235">
        <v>20</v>
      </c>
      <c r="O5235">
        <v>0.74026099999999995</v>
      </c>
      <c r="P5235">
        <v>0.31596400000000002</v>
      </c>
      <c r="Q5235">
        <v>0.24182300000000001</v>
      </c>
    </row>
    <row r="5236" spans="1:17" x14ac:dyDescent="0.25">
      <c r="A5236" t="str">
        <f>IF(C5236&amp;G5236&amp;D5236&lt;&gt;'Funnel setup'!$K$3&amp;'Funnel setup'!$K$4&amp;'Funnel setup'!$K$6,".",IF(A5235=".",1,A5235+1))</f>
        <v>.</v>
      </c>
      <c r="B5236" s="244" t="str">
        <f t="shared" si="81"/>
        <v>Total Knee ReplacementProviderUNIVERSITY HOSPITALS OF NORTH MIDLANDS NHS TRUST (RJE)EQ-5D Index</v>
      </c>
      <c r="C5236" t="s">
        <v>975</v>
      </c>
      <c r="D5236" t="s">
        <v>965</v>
      </c>
      <c r="E5236" t="s">
        <v>692</v>
      </c>
      <c r="F5236" t="s">
        <v>693</v>
      </c>
      <c r="G5236" t="s">
        <v>963</v>
      </c>
      <c r="H5236">
        <v>19</v>
      </c>
      <c r="I5236">
        <v>0.245474</v>
      </c>
      <c r="J5236">
        <v>0.62884200000000001</v>
      </c>
      <c r="K5236">
        <v>0.38336799999999999</v>
      </c>
      <c r="L5236">
        <v>17</v>
      </c>
      <c r="M5236">
        <v>1</v>
      </c>
      <c r="N5236">
        <v>1</v>
      </c>
      <c r="O5236" t="s">
        <v>127</v>
      </c>
      <c r="P5236" t="s">
        <v>127</v>
      </c>
      <c r="Q5236" t="s">
        <v>127</v>
      </c>
    </row>
    <row r="5237" spans="1:17" x14ac:dyDescent="0.25">
      <c r="A5237" t="str">
        <f>IF(C5237&amp;G5237&amp;D5237&lt;&gt;'Funnel setup'!$K$3&amp;'Funnel setup'!$K$4&amp;'Funnel setup'!$K$6,".",IF(A5236=".",1,A5236+1))</f>
        <v>.</v>
      </c>
      <c r="B5237" s="244" t="str">
        <f t="shared" si="81"/>
        <v>Total Knee ReplacementProviderUNIVERSITY HOSPITALS PLYMOUTH NHS TRUST (RK9)EQ-5D Index</v>
      </c>
      <c r="C5237" t="s">
        <v>975</v>
      </c>
      <c r="D5237" t="s">
        <v>965</v>
      </c>
      <c r="E5237" t="s">
        <v>694</v>
      </c>
      <c r="F5237" t="s">
        <v>695</v>
      </c>
      <c r="G5237" t="s">
        <v>963</v>
      </c>
      <c r="H5237">
        <v>4</v>
      </c>
      <c r="I5237">
        <v>0.13125000000000001</v>
      </c>
      <c r="J5237">
        <v>0.32300000000000001</v>
      </c>
      <c r="K5237">
        <v>0.19175</v>
      </c>
      <c r="L5237">
        <v>2</v>
      </c>
      <c r="M5237">
        <v>0</v>
      </c>
      <c r="N5237">
        <v>2</v>
      </c>
      <c r="O5237" t="s">
        <v>127</v>
      </c>
      <c r="P5237" t="s">
        <v>127</v>
      </c>
      <c r="Q5237" t="s">
        <v>127</v>
      </c>
    </row>
    <row r="5238" spans="1:17" x14ac:dyDescent="0.25">
      <c r="A5238" t="str">
        <f>IF(C5238&amp;G5238&amp;D5238&lt;&gt;'Funnel setup'!$K$3&amp;'Funnel setup'!$K$4&amp;'Funnel setup'!$K$6,".",IF(A5237=".",1,A5237+1))</f>
        <v>.</v>
      </c>
      <c r="B5238" s="244" t="str">
        <f t="shared" si="81"/>
        <v>Total Knee ReplacementProviderUNIVERSITY HOSPITALS SUSSEX NHS FOUNDATION TRUST (RYR)EQ-5D Index</v>
      </c>
      <c r="C5238" t="s">
        <v>975</v>
      </c>
      <c r="D5238" t="s">
        <v>965</v>
      </c>
      <c r="E5238" t="s">
        <v>696</v>
      </c>
      <c r="F5238" t="s">
        <v>697</v>
      </c>
      <c r="G5238" t="s">
        <v>963</v>
      </c>
      <c r="H5238">
        <v>129</v>
      </c>
      <c r="I5238">
        <v>0.35906199999999999</v>
      </c>
      <c r="J5238">
        <v>0.715202</v>
      </c>
      <c r="K5238">
        <v>0.35614000000000001</v>
      </c>
      <c r="L5238">
        <v>105</v>
      </c>
      <c r="M5238">
        <v>15</v>
      </c>
      <c r="N5238">
        <v>9</v>
      </c>
      <c r="O5238">
        <v>0.72320099999999998</v>
      </c>
      <c r="P5238">
        <v>0.29890299999999997</v>
      </c>
      <c r="Q5238">
        <v>0.24290400000000001</v>
      </c>
    </row>
    <row r="5239" spans="1:17" x14ac:dyDescent="0.25">
      <c r="A5239" t="str">
        <f>IF(C5239&amp;G5239&amp;D5239&lt;&gt;'Funnel setup'!$K$3&amp;'Funnel setup'!$K$4&amp;'Funnel setup'!$K$6,".",IF(A5238=".",1,A5238+1))</f>
        <v>.</v>
      </c>
      <c r="B5239" s="244" t="str">
        <f t="shared" si="81"/>
        <v>Total Knee ReplacementProviderWALSALL HEALTHCARE NHS TRUST (RBK)EQ-5D Index</v>
      </c>
      <c r="C5239" t="s">
        <v>975</v>
      </c>
      <c r="D5239" t="s">
        <v>965</v>
      </c>
      <c r="E5239" t="s">
        <v>698</v>
      </c>
      <c r="F5239" t="s">
        <v>699</v>
      </c>
      <c r="G5239" t="s">
        <v>963</v>
      </c>
      <c r="H5239">
        <v>9</v>
      </c>
      <c r="I5239">
        <v>0.42611100000000002</v>
      </c>
      <c r="J5239">
        <v>0.751</v>
      </c>
      <c r="K5239">
        <v>0.32488899999999998</v>
      </c>
      <c r="L5239">
        <v>7</v>
      </c>
      <c r="M5239">
        <v>0</v>
      </c>
      <c r="N5239">
        <v>2</v>
      </c>
      <c r="O5239" t="s">
        <v>127</v>
      </c>
      <c r="P5239" t="s">
        <v>127</v>
      </c>
      <c r="Q5239" t="s">
        <v>127</v>
      </c>
    </row>
    <row r="5240" spans="1:17" x14ac:dyDescent="0.25">
      <c r="A5240" t="str">
        <f>IF(C5240&amp;G5240&amp;D5240&lt;&gt;'Funnel setup'!$K$3&amp;'Funnel setup'!$K$4&amp;'Funnel setup'!$K$6,".",IF(A5239=".",1,A5239+1))</f>
        <v>.</v>
      </c>
      <c r="B5240" s="244" t="str">
        <f t="shared" si="81"/>
        <v>Total Knee ReplacementProviderWARRINGTON AND HALTON TEACHING HOSPITALS NHS FOUNDATION TRUST (RWW)EQ-5D Index</v>
      </c>
      <c r="C5240" t="s">
        <v>975</v>
      </c>
      <c r="D5240" t="s">
        <v>965</v>
      </c>
      <c r="E5240" t="s">
        <v>700</v>
      </c>
      <c r="F5240" t="s">
        <v>701</v>
      </c>
      <c r="G5240" t="s">
        <v>963</v>
      </c>
      <c r="H5240">
        <v>31</v>
      </c>
      <c r="I5240">
        <v>0.40516099999999999</v>
      </c>
      <c r="J5240">
        <v>0.71722600000000003</v>
      </c>
      <c r="K5240">
        <v>0.31206499999999998</v>
      </c>
      <c r="L5240">
        <v>22</v>
      </c>
      <c r="M5240">
        <v>5</v>
      </c>
      <c r="N5240">
        <v>4</v>
      </c>
      <c r="O5240">
        <v>0.73323499999999997</v>
      </c>
      <c r="P5240">
        <v>0.30893700000000002</v>
      </c>
      <c r="Q5240">
        <v>0.21428800000000001</v>
      </c>
    </row>
    <row r="5241" spans="1:17" x14ac:dyDescent="0.25">
      <c r="A5241" t="str">
        <f>IF(C5241&amp;G5241&amp;D5241&lt;&gt;'Funnel setup'!$K$3&amp;'Funnel setup'!$K$4&amp;'Funnel setup'!$K$6,".",IF(A5240=".",1,A5240+1))</f>
        <v>.</v>
      </c>
      <c r="B5241" s="244" t="str">
        <f t="shared" si="81"/>
        <v>Total Knee ReplacementProviderWEST HERTFORDSHIRE TEACHING HOSPITALS NHS TRUST (RWG)EQ-5D Index</v>
      </c>
      <c r="C5241" t="s">
        <v>975</v>
      </c>
      <c r="D5241" t="s">
        <v>965</v>
      </c>
      <c r="E5241" t="s">
        <v>702</v>
      </c>
      <c r="F5241" t="s">
        <v>703</v>
      </c>
      <c r="G5241" t="s">
        <v>963</v>
      </c>
      <c r="H5241">
        <v>81</v>
      </c>
      <c r="I5241">
        <v>0.42687700000000001</v>
      </c>
      <c r="J5241">
        <v>0.70654300000000003</v>
      </c>
      <c r="K5241">
        <v>0.279667</v>
      </c>
      <c r="L5241">
        <v>61</v>
      </c>
      <c r="M5241">
        <v>10</v>
      </c>
      <c r="N5241">
        <v>10</v>
      </c>
      <c r="O5241">
        <v>0.70517600000000003</v>
      </c>
      <c r="P5241">
        <v>0.28087800000000002</v>
      </c>
      <c r="Q5241">
        <v>0.26091599999999998</v>
      </c>
    </row>
    <row r="5242" spans="1:17" x14ac:dyDescent="0.25">
      <c r="A5242" t="str">
        <f>IF(C5242&amp;G5242&amp;D5242&lt;&gt;'Funnel setup'!$K$3&amp;'Funnel setup'!$K$4&amp;'Funnel setup'!$K$6,".",IF(A5241=".",1,A5241+1))</f>
        <v>.</v>
      </c>
      <c r="B5242" s="244" t="str">
        <f t="shared" si="81"/>
        <v>Total Knee ReplacementProviderWEST MIDLANDS HOSPITAL (NVC21)EQ-5D Index</v>
      </c>
      <c r="C5242" t="s">
        <v>975</v>
      </c>
      <c r="D5242" t="s">
        <v>965</v>
      </c>
      <c r="E5242" t="s">
        <v>704</v>
      </c>
      <c r="F5242" t="s">
        <v>705</v>
      </c>
      <c r="G5242" t="s">
        <v>963</v>
      </c>
      <c r="H5242">
        <v>61</v>
      </c>
      <c r="I5242">
        <v>0.37414799999999998</v>
      </c>
      <c r="J5242">
        <v>0.76780300000000001</v>
      </c>
      <c r="K5242">
        <v>0.39365600000000001</v>
      </c>
      <c r="L5242">
        <v>54</v>
      </c>
      <c r="M5242">
        <v>3</v>
      </c>
      <c r="N5242">
        <v>4</v>
      </c>
      <c r="O5242">
        <v>0.78772799999999998</v>
      </c>
      <c r="P5242">
        <v>0.363431</v>
      </c>
      <c r="Q5242">
        <v>0.21384900000000001</v>
      </c>
    </row>
    <row r="5243" spans="1:17" x14ac:dyDescent="0.25">
      <c r="A5243" t="str">
        <f>IF(C5243&amp;G5243&amp;D5243&lt;&gt;'Funnel setup'!$K$3&amp;'Funnel setup'!$K$4&amp;'Funnel setup'!$K$6,".",IF(A5242=".",1,A5242+1))</f>
        <v>.</v>
      </c>
      <c r="B5243" s="244" t="str">
        <f t="shared" si="81"/>
        <v>Total Knee ReplacementProviderWEST SUFFOLK NHS FOUNDATION TRUST (RGR)EQ-5D Index</v>
      </c>
      <c r="C5243" t="s">
        <v>975</v>
      </c>
      <c r="D5243" t="s">
        <v>965</v>
      </c>
      <c r="E5243" t="s">
        <v>706</v>
      </c>
      <c r="F5243" t="s">
        <v>707</v>
      </c>
      <c r="G5243" t="s">
        <v>963</v>
      </c>
      <c r="H5243">
        <v>71</v>
      </c>
      <c r="I5243">
        <v>0.370394</v>
      </c>
      <c r="J5243">
        <v>0.73671799999999998</v>
      </c>
      <c r="K5243">
        <v>0.36632399999999998</v>
      </c>
      <c r="L5243">
        <v>57</v>
      </c>
      <c r="M5243">
        <v>5</v>
      </c>
      <c r="N5243">
        <v>9</v>
      </c>
      <c r="O5243">
        <v>0.73002199999999995</v>
      </c>
      <c r="P5243">
        <v>0.30572500000000002</v>
      </c>
      <c r="Q5243">
        <v>0.250801</v>
      </c>
    </row>
    <row r="5244" spans="1:17" x14ac:dyDescent="0.25">
      <c r="A5244" t="str">
        <f>IF(C5244&amp;G5244&amp;D5244&lt;&gt;'Funnel setup'!$K$3&amp;'Funnel setup'!$K$4&amp;'Funnel setup'!$K$6,".",IF(A5243=".",1,A5243+1))</f>
        <v>.</v>
      </c>
      <c r="B5244" s="244" t="str">
        <f t="shared" si="81"/>
        <v>Total Knee ReplacementProviderWINFIELD HOSPITAL (NVC22)EQ-5D Index</v>
      </c>
      <c r="C5244" t="s">
        <v>975</v>
      </c>
      <c r="D5244" t="s">
        <v>965</v>
      </c>
      <c r="E5244" t="s">
        <v>710</v>
      </c>
      <c r="F5244" t="s">
        <v>711</v>
      </c>
      <c r="G5244" t="s">
        <v>963</v>
      </c>
      <c r="H5244">
        <v>51</v>
      </c>
      <c r="I5244">
        <v>0.55607799999999996</v>
      </c>
      <c r="J5244">
        <v>0.81566700000000003</v>
      </c>
      <c r="K5244">
        <v>0.25958799999999999</v>
      </c>
      <c r="L5244">
        <v>45</v>
      </c>
      <c r="M5244">
        <v>4</v>
      </c>
      <c r="N5244">
        <v>2</v>
      </c>
      <c r="O5244">
        <v>0.76272899999999999</v>
      </c>
      <c r="P5244">
        <v>0.33843200000000001</v>
      </c>
      <c r="Q5244">
        <v>0.22453999999999999</v>
      </c>
    </row>
    <row r="5245" spans="1:17" x14ac:dyDescent="0.25">
      <c r="A5245" t="str">
        <f>IF(C5245&amp;G5245&amp;D5245&lt;&gt;'Funnel setup'!$K$3&amp;'Funnel setup'!$K$4&amp;'Funnel setup'!$K$6,".",IF(A5244=".",1,A5244+1))</f>
        <v>.</v>
      </c>
      <c r="B5245" s="244" t="str">
        <f t="shared" si="81"/>
        <v>Total Knee ReplacementProviderWINTERBOURNE HOSPITAL (NT443)EQ-5D Index</v>
      </c>
      <c r="C5245" t="s">
        <v>975</v>
      </c>
      <c r="D5245" t="s">
        <v>965</v>
      </c>
      <c r="E5245" t="s">
        <v>712</v>
      </c>
      <c r="F5245" t="s">
        <v>713</v>
      </c>
      <c r="G5245" t="s">
        <v>963</v>
      </c>
      <c r="H5245">
        <v>39</v>
      </c>
      <c r="I5245">
        <v>0.47051300000000001</v>
      </c>
      <c r="J5245">
        <v>0.83310300000000004</v>
      </c>
      <c r="K5245">
        <v>0.36259000000000002</v>
      </c>
      <c r="L5245">
        <v>35</v>
      </c>
      <c r="M5245">
        <v>0</v>
      </c>
      <c r="N5245">
        <v>4</v>
      </c>
      <c r="O5245">
        <v>0.79154800000000003</v>
      </c>
      <c r="P5245">
        <v>0.36725000000000002</v>
      </c>
      <c r="Q5245">
        <v>0.21779100000000001</v>
      </c>
    </row>
    <row r="5246" spans="1:17" x14ac:dyDescent="0.25">
      <c r="A5246" t="str">
        <f>IF(C5246&amp;G5246&amp;D5246&lt;&gt;'Funnel setup'!$K$3&amp;'Funnel setup'!$K$4&amp;'Funnel setup'!$K$6,".",IF(A5245=".",1,A5245+1))</f>
        <v>.</v>
      </c>
      <c r="B5246" s="244" t="str">
        <f t="shared" si="81"/>
        <v>Total Knee ReplacementProviderWIRRAL UNIVERSITY TEACHING HOSPITAL NHS FOUNDATION TRUST (RBL)EQ-5D Index</v>
      </c>
      <c r="C5246" t="s">
        <v>975</v>
      </c>
      <c r="D5246" t="s">
        <v>965</v>
      </c>
      <c r="E5246" t="s">
        <v>714</v>
      </c>
      <c r="F5246" t="s">
        <v>715</v>
      </c>
      <c r="G5246" t="s">
        <v>963</v>
      </c>
      <c r="H5246">
        <v>83</v>
      </c>
      <c r="I5246">
        <v>0.39540999999999998</v>
      </c>
      <c r="J5246">
        <v>0.75295199999999995</v>
      </c>
      <c r="K5246">
        <v>0.35754200000000003</v>
      </c>
      <c r="L5246">
        <v>71</v>
      </c>
      <c r="M5246">
        <v>2</v>
      </c>
      <c r="N5246">
        <v>10</v>
      </c>
      <c r="O5246">
        <v>0.752386</v>
      </c>
      <c r="P5246">
        <v>0.32808799999999999</v>
      </c>
      <c r="Q5246">
        <v>0.250276</v>
      </c>
    </row>
    <row r="5247" spans="1:17" x14ac:dyDescent="0.25">
      <c r="A5247" t="str">
        <f>IF(C5247&amp;G5247&amp;D5247&lt;&gt;'Funnel setup'!$K$3&amp;'Funnel setup'!$K$4&amp;'Funnel setup'!$K$6,".",IF(A5246=".",1,A5246+1))</f>
        <v>.</v>
      </c>
      <c r="B5247" s="244" t="str">
        <f t="shared" si="81"/>
        <v>Total Knee ReplacementProviderWOODLAND HOSPITAL (NVC23)EQ-5D Index</v>
      </c>
      <c r="C5247" t="s">
        <v>975</v>
      </c>
      <c r="D5247" t="s">
        <v>965</v>
      </c>
      <c r="E5247" t="s">
        <v>716</v>
      </c>
      <c r="F5247" t="s">
        <v>717</v>
      </c>
      <c r="G5247" t="s">
        <v>963</v>
      </c>
      <c r="H5247">
        <v>62</v>
      </c>
      <c r="I5247">
        <v>0.277339</v>
      </c>
      <c r="J5247">
        <v>0.75059699999999996</v>
      </c>
      <c r="K5247">
        <v>0.47325800000000001</v>
      </c>
      <c r="L5247">
        <v>54</v>
      </c>
      <c r="M5247">
        <v>6</v>
      </c>
      <c r="N5247">
        <v>2</v>
      </c>
      <c r="O5247">
        <v>0.762544</v>
      </c>
      <c r="P5247">
        <v>0.33824700000000002</v>
      </c>
      <c r="Q5247">
        <v>0.22401699999999999</v>
      </c>
    </row>
    <row r="5248" spans="1:17" x14ac:dyDescent="0.25">
      <c r="A5248" t="str">
        <f>IF(C5248&amp;G5248&amp;D5248&lt;&gt;'Funnel setup'!$K$3&amp;'Funnel setup'!$K$4&amp;'Funnel setup'!$K$6,".",IF(A5247=".",1,A5247+1))</f>
        <v>.</v>
      </c>
      <c r="B5248" s="244" t="str">
        <f t="shared" si="81"/>
        <v>Total Knee ReplacementProviderWOODLANDS HOSPITAL (NT457)EQ-5D Index</v>
      </c>
      <c r="C5248" t="s">
        <v>975</v>
      </c>
      <c r="D5248" t="s">
        <v>965</v>
      </c>
      <c r="E5248" t="s">
        <v>718</v>
      </c>
      <c r="F5248" t="s">
        <v>719</v>
      </c>
      <c r="G5248" t="s">
        <v>963</v>
      </c>
      <c r="H5248">
        <v>86</v>
      </c>
      <c r="I5248">
        <v>0.46247700000000003</v>
      </c>
      <c r="J5248">
        <v>0.78100000000000003</v>
      </c>
      <c r="K5248">
        <v>0.318523</v>
      </c>
      <c r="L5248">
        <v>67</v>
      </c>
      <c r="M5248">
        <v>8</v>
      </c>
      <c r="N5248">
        <v>11</v>
      </c>
      <c r="O5248">
        <v>0.74385999999999997</v>
      </c>
      <c r="P5248">
        <v>0.31956200000000001</v>
      </c>
      <c r="Q5248">
        <v>0.26663100000000001</v>
      </c>
    </row>
    <row r="5249" spans="1:17" x14ac:dyDescent="0.25">
      <c r="A5249" t="str">
        <f>IF(C5249&amp;G5249&amp;D5249&lt;&gt;'Funnel setup'!$K$3&amp;'Funnel setup'!$K$4&amp;'Funnel setup'!$K$6,".",IF(A5248=".",1,A5248+1))</f>
        <v>.</v>
      </c>
      <c r="B5249" s="244" t="str">
        <f t="shared" si="81"/>
        <v>Total Knee ReplacementProviderWOODTHORPE HOSPITAL (NVC40)EQ-5D Index</v>
      </c>
      <c r="C5249" t="s">
        <v>975</v>
      </c>
      <c r="D5249" t="s">
        <v>965</v>
      </c>
      <c r="E5249" t="s">
        <v>720</v>
      </c>
      <c r="F5249" t="s">
        <v>721</v>
      </c>
      <c r="G5249" t="s">
        <v>963</v>
      </c>
      <c r="H5249">
        <v>116</v>
      </c>
      <c r="I5249">
        <v>0.46853400000000001</v>
      </c>
      <c r="J5249">
        <v>0.75562700000000005</v>
      </c>
      <c r="K5249">
        <v>0.28709299999999999</v>
      </c>
      <c r="L5249">
        <v>95</v>
      </c>
      <c r="M5249">
        <v>6</v>
      </c>
      <c r="N5249">
        <v>15</v>
      </c>
      <c r="O5249">
        <v>0.71878500000000001</v>
      </c>
      <c r="P5249">
        <v>0.29448800000000003</v>
      </c>
      <c r="Q5249">
        <v>0.20405400000000001</v>
      </c>
    </row>
    <row r="5250" spans="1:17" x14ac:dyDescent="0.25">
      <c r="A5250" t="str">
        <f>IF(C5250&amp;G5250&amp;D5250&lt;&gt;'Funnel setup'!$K$3&amp;'Funnel setup'!$K$4&amp;'Funnel setup'!$K$6,".",IF(A5249=".",1,A5249+1))</f>
        <v>.</v>
      </c>
      <c r="B5250" s="244" t="str">
        <f t="shared" ref="B5250:B5313" si="82">C5250&amp;D5250&amp;F5250&amp;G5250</f>
        <v>Total Knee ReplacementProviderWORCESTERSHIRE ACUTE HOSPITALS NHS TRUST (RWP)EQ-5D Index</v>
      </c>
      <c r="C5250" t="s">
        <v>975</v>
      </c>
      <c r="D5250" t="s">
        <v>965</v>
      </c>
      <c r="E5250" t="s">
        <v>722</v>
      </c>
      <c r="F5250" t="s">
        <v>723</v>
      </c>
      <c r="G5250" t="s">
        <v>963</v>
      </c>
      <c r="H5250">
        <v>49</v>
      </c>
      <c r="I5250">
        <v>0.32134699999999999</v>
      </c>
      <c r="J5250">
        <v>0.68504100000000001</v>
      </c>
      <c r="K5250">
        <v>0.36369400000000002</v>
      </c>
      <c r="L5250">
        <v>40</v>
      </c>
      <c r="M5250">
        <v>2</v>
      </c>
      <c r="N5250">
        <v>7</v>
      </c>
      <c r="O5250">
        <v>0.70919699999999997</v>
      </c>
      <c r="P5250">
        <v>0.28489900000000001</v>
      </c>
      <c r="Q5250">
        <v>0.25091999999999998</v>
      </c>
    </row>
    <row r="5251" spans="1:17" x14ac:dyDescent="0.25">
      <c r="A5251" t="str">
        <f>IF(C5251&amp;G5251&amp;D5251&lt;&gt;'Funnel setup'!$K$3&amp;'Funnel setup'!$K$4&amp;'Funnel setup'!$K$6,".",IF(A5250=".",1,A5250+1))</f>
        <v>.</v>
      </c>
      <c r="B5251" s="244" t="str">
        <f t="shared" si="82"/>
        <v>Total Knee ReplacementProviderWRIGHTINGTON, WIGAN AND LEIGH NHS FOUNDATION TRUST (RRF)EQ-5D Index</v>
      </c>
      <c r="C5251" t="s">
        <v>975</v>
      </c>
      <c r="D5251" t="s">
        <v>965</v>
      </c>
      <c r="E5251" t="s">
        <v>724</v>
      </c>
      <c r="F5251" t="s">
        <v>725</v>
      </c>
      <c r="G5251" t="s">
        <v>963</v>
      </c>
      <c r="H5251">
        <v>12</v>
      </c>
      <c r="I5251">
        <v>0.46008300000000002</v>
      </c>
      <c r="J5251">
        <v>0.73491700000000004</v>
      </c>
      <c r="K5251">
        <v>0.27483299999999999</v>
      </c>
      <c r="L5251">
        <v>8</v>
      </c>
      <c r="M5251">
        <v>1</v>
      </c>
      <c r="N5251">
        <v>3</v>
      </c>
      <c r="O5251" t="s">
        <v>127</v>
      </c>
      <c r="P5251" t="s">
        <v>127</v>
      </c>
      <c r="Q5251" t="s">
        <v>127</v>
      </c>
    </row>
    <row r="5252" spans="1:17" x14ac:dyDescent="0.25">
      <c r="A5252" t="str">
        <f>IF(C5252&amp;G5252&amp;D5252&lt;&gt;'Funnel setup'!$K$3&amp;'Funnel setup'!$K$4&amp;'Funnel setup'!$K$6,".",IF(A5251=".",1,A5251+1))</f>
        <v>.</v>
      </c>
      <c r="B5252" s="244" t="str">
        <f t="shared" si="82"/>
        <v>Total Knee ReplacementProviderWYE VALLEY NHS TRUST (RLQ)EQ-5D Index</v>
      </c>
      <c r="C5252" t="s">
        <v>975</v>
      </c>
      <c r="D5252" t="s">
        <v>965</v>
      </c>
      <c r="E5252" t="s">
        <v>726</v>
      </c>
      <c r="F5252" t="s">
        <v>727</v>
      </c>
      <c r="G5252" t="s">
        <v>963</v>
      </c>
      <c r="H5252">
        <v>33</v>
      </c>
      <c r="I5252">
        <v>0.53878800000000004</v>
      </c>
      <c r="J5252">
        <v>0.74551500000000004</v>
      </c>
      <c r="K5252">
        <v>0.20672699999999999</v>
      </c>
      <c r="L5252">
        <v>27</v>
      </c>
      <c r="M5252">
        <v>3</v>
      </c>
      <c r="N5252">
        <v>3</v>
      </c>
      <c r="O5252">
        <v>0.74237799999999998</v>
      </c>
      <c r="P5252">
        <v>0.318081</v>
      </c>
      <c r="Q5252">
        <v>0.213976</v>
      </c>
    </row>
    <row r="5253" spans="1:17" x14ac:dyDescent="0.25">
      <c r="A5253" t="str">
        <f>IF(C5253&amp;G5253&amp;D5253&lt;&gt;'Funnel setup'!$K$3&amp;'Funnel setup'!$K$4&amp;'Funnel setup'!$K$6,".",IF(A5252=".",1,A5252+1))</f>
        <v>.</v>
      </c>
      <c r="B5253" s="244" t="str">
        <f t="shared" si="82"/>
        <v>Total Knee ReplacementProviderYEOVIL DISTRICT HOSPITAL NHS FOUNDATION TRUST (RA4)EQ-5D Index</v>
      </c>
      <c r="C5253" t="s">
        <v>975</v>
      </c>
      <c r="D5253" t="s">
        <v>965</v>
      </c>
      <c r="E5253" t="s">
        <v>728</v>
      </c>
      <c r="F5253" t="s">
        <v>729</v>
      </c>
      <c r="G5253" t="s">
        <v>963</v>
      </c>
      <c r="H5253" t="s">
        <v>968</v>
      </c>
      <c r="I5253" t="s">
        <v>968</v>
      </c>
      <c r="J5253" t="s">
        <v>968</v>
      </c>
      <c r="K5253" t="s">
        <v>968</v>
      </c>
      <c r="L5253" t="s">
        <v>968</v>
      </c>
      <c r="M5253" t="s">
        <v>968</v>
      </c>
      <c r="N5253" t="s">
        <v>968</v>
      </c>
      <c r="O5253" t="s">
        <v>968</v>
      </c>
      <c r="P5253" t="s">
        <v>968</v>
      </c>
      <c r="Q5253" t="s">
        <v>968</v>
      </c>
    </row>
    <row r="5254" spans="1:17" x14ac:dyDescent="0.25">
      <c r="A5254" t="str">
        <f>IF(C5254&amp;G5254&amp;D5254&lt;&gt;'Funnel setup'!$K$3&amp;'Funnel setup'!$K$4&amp;'Funnel setup'!$K$6,".",IF(A5253=".",1,A5253+1))</f>
        <v>.</v>
      </c>
      <c r="B5254" s="244" t="str">
        <f t="shared" si="82"/>
        <v>Total Knee ReplacementProviderSULIS HOSPITAL BATHOxford Knee Score</v>
      </c>
      <c r="C5254" t="s">
        <v>975</v>
      </c>
      <c r="D5254" t="s">
        <v>965</v>
      </c>
      <c r="E5254" t="s">
        <v>732</v>
      </c>
      <c r="F5254" t="s">
        <v>1325</v>
      </c>
      <c r="G5254" t="s">
        <v>972</v>
      </c>
      <c r="H5254">
        <v>38</v>
      </c>
      <c r="I5254">
        <v>20.236799999999999</v>
      </c>
      <c r="J5254">
        <v>38.526299999999999</v>
      </c>
      <c r="K5254">
        <v>18.2895</v>
      </c>
      <c r="L5254">
        <v>34</v>
      </c>
      <c r="M5254">
        <v>1</v>
      </c>
      <c r="N5254">
        <v>3</v>
      </c>
      <c r="O5254">
        <v>37.592100000000002</v>
      </c>
      <c r="P5254">
        <v>18.323499999999999</v>
      </c>
      <c r="Q5254">
        <v>8.95364</v>
      </c>
    </row>
    <row r="5255" spans="1:17" x14ac:dyDescent="0.25">
      <c r="A5255" t="str">
        <f>IF(C5255&amp;G5255&amp;D5255&lt;&gt;'Funnel setup'!$K$3&amp;'Funnel setup'!$K$4&amp;'Funnel setup'!$K$6,".",IF(A5254=".",1,A5254+1))</f>
        <v>.</v>
      </c>
      <c r="B5255" s="244" t="str">
        <f t="shared" si="82"/>
        <v>Total Knee ReplacementProviderAIREDALE NHS FOUNDATION TRUST (RCF)Oxford Knee Score</v>
      </c>
      <c r="C5255" t="s">
        <v>975</v>
      </c>
      <c r="D5255" t="s">
        <v>965</v>
      </c>
      <c r="E5255" t="s">
        <v>125</v>
      </c>
      <c r="F5255" t="s">
        <v>126</v>
      </c>
      <c r="G5255" t="s">
        <v>972</v>
      </c>
      <c r="H5255">
        <v>36</v>
      </c>
      <c r="I5255">
        <v>18.305599999999998</v>
      </c>
      <c r="J5255">
        <v>39.777799999999999</v>
      </c>
      <c r="K5255">
        <v>21.472200000000001</v>
      </c>
      <c r="L5255">
        <v>34</v>
      </c>
      <c r="M5255">
        <v>0</v>
      </c>
      <c r="N5255">
        <v>2</v>
      </c>
      <c r="O5255">
        <v>39.756599999999999</v>
      </c>
      <c r="P5255">
        <v>20.4879</v>
      </c>
      <c r="Q5255">
        <v>9.4446300000000001</v>
      </c>
    </row>
    <row r="5256" spans="1:17" x14ac:dyDescent="0.25">
      <c r="A5256" t="str">
        <f>IF(C5256&amp;G5256&amp;D5256&lt;&gt;'Funnel setup'!$K$3&amp;'Funnel setup'!$K$4&amp;'Funnel setup'!$K$6,".",IF(A5255=".",1,A5255+1))</f>
        <v>.</v>
      </c>
      <c r="B5256" s="244" t="str">
        <f t="shared" si="82"/>
        <v>Total Knee ReplacementProviderALEXANDRA HOSPITAL (NT401)Oxford Knee Score</v>
      </c>
      <c r="C5256" t="s">
        <v>975</v>
      </c>
      <c r="D5256" t="s">
        <v>965</v>
      </c>
      <c r="E5256" t="s">
        <v>130</v>
      </c>
      <c r="F5256" t="s">
        <v>131</v>
      </c>
      <c r="G5256" t="s">
        <v>972</v>
      </c>
      <c r="H5256">
        <v>48</v>
      </c>
      <c r="I5256">
        <v>20.5</v>
      </c>
      <c r="J5256">
        <v>37.666699999999999</v>
      </c>
      <c r="K5256">
        <v>17.166699999999999</v>
      </c>
      <c r="L5256">
        <v>47</v>
      </c>
      <c r="M5256">
        <v>0</v>
      </c>
      <c r="N5256">
        <v>1</v>
      </c>
      <c r="O5256">
        <v>36.603400000000001</v>
      </c>
      <c r="P5256">
        <v>17.334800000000001</v>
      </c>
      <c r="Q5256">
        <v>6.96746</v>
      </c>
    </row>
    <row r="5257" spans="1:17" x14ac:dyDescent="0.25">
      <c r="A5257" t="str">
        <f>IF(C5257&amp;G5257&amp;D5257&lt;&gt;'Funnel setup'!$K$3&amp;'Funnel setup'!$K$4&amp;'Funnel setup'!$K$6,".",IF(A5256=".",1,A5256+1))</f>
        <v>.</v>
      </c>
      <c r="B5257" s="244" t="str">
        <f t="shared" si="82"/>
        <v>Total Knee ReplacementProviderASHFORD AND ST PETER'S HOSPITALS NHS FOUNDATION TRUST (RTK)Oxford Knee Score</v>
      </c>
      <c r="C5257" t="s">
        <v>975</v>
      </c>
      <c r="D5257" t="s">
        <v>965</v>
      </c>
      <c r="E5257" t="s">
        <v>132</v>
      </c>
      <c r="F5257" t="s">
        <v>133</v>
      </c>
      <c r="G5257" t="s">
        <v>972</v>
      </c>
      <c r="H5257">
        <v>32</v>
      </c>
      <c r="I5257">
        <v>22.8125</v>
      </c>
      <c r="J5257">
        <v>38.8125</v>
      </c>
      <c r="K5257">
        <v>16</v>
      </c>
      <c r="L5257">
        <v>29</v>
      </c>
      <c r="M5257">
        <v>1</v>
      </c>
      <c r="N5257">
        <v>2</v>
      </c>
      <c r="O5257">
        <v>36.597799999999999</v>
      </c>
      <c r="P5257">
        <v>17.3291</v>
      </c>
      <c r="Q5257">
        <v>7.9672900000000002</v>
      </c>
    </row>
    <row r="5258" spans="1:17" x14ac:dyDescent="0.25">
      <c r="A5258" t="str">
        <f>IF(C5258&amp;G5258&amp;D5258&lt;&gt;'Funnel setup'!$K$3&amp;'Funnel setup'!$K$4&amp;'Funnel setup'!$K$6,".",IF(A5257=".",1,A5257+1))</f>
        <v>.</v>
      </c>
      <c r="B5258" s="244" t="str">
        <f t="shared" si="82"/>
        <v>Total Knee ReplacementProviderASHTEAD HOSPITAL (NVC01)Oxford Knee Score</v>
      </c>
      <c r="C5258" t="s">
        <v>975</v>
      </c>
      <c r="D5258" t="s">
        <v>965</v>
      </c>
      <c r="E5258" t="s">
        <v>134</v>
      </c>
      <c r="F5258" t="s">
        <v>135</v>
      </c>
      <c r="G5258" t="s">
        <v>972</v>
      </c>
      <c r="H5258">
        <v>5</v>
      </c>
      <c r="I5258">
        <v>28</v>
      </c>
      <c r="J5258">
        <v>44.4</v>
      </c>
      <c r="K5258">
        <v>16.399999999999999</v>
      </c>
      <c r="L5258">
        <v>5</v>
      </c>
      <c r="M5258">
        <v>0</v>
      </c>
      <c r="N5258">
        <v>0</v>
      </c>
      <c r="O5258" t="s">
        <v>127</v>
      </c>
      <c r="P5258" t="s">
        <v>127</v>
      </c>
      <c r="Q5258" t="s">
        <v>127</v>
      </c>
    </row>
    <row r="5259" spans="1:17" x14ac:dyDescent="0.25">
      <c r="A5259" t="str">
        <f>IF(C5259&amp;G5259&amp;D5259&lt;&gt;'Funnel setup'!$K$3&amp;'Funnel setup'!$K$4&amp;'Funnel setup'!$K$6,".",IF(A5258=".",1,A5258+1))</f>
        <v>.</v>
      </c>
      <c r="B5259" s="244" t="str">
        <f t="shared" si="82"/>
        <v>Total Knee ReplacementProviderBARKING, HAVERING AND REDBRIDGE UNIVERSITY HOSPITALS NHS TRUST (RF4)Oxford Knee Score</v>
      </c>
      <c r="C5259" t="s">
        <v>975</v>
      </c>
      <c r="D5259" t="s">
        <v>965</v>
      </c>
      <c r="E5259" t="s">
        <v>144</v>
      </c>
      <c r="F5259" t="s">
        <v>145</v>
      </c>
      <c r="G5259" t="s">
        <v>972</v>
      </c>
      <c r="H5259">
        <v>66</v>
      </c>
      <c r="I5259">
        <v>16.954499999999999</v>
      </c>
      <c r="J5259">
        <v>33.4848</v>
      </c>
      <c r="K5259">
        <v>16.5303</v>
      </c>
      <c r="L5259">
        <v>61</v>
      </c>
      <c r="M5259">
        <v>0</v>
      </c>
      <c r="N5259">
        <v>5</v>
      </c>
      <c r="O5259">
        <v>35.482300000000002</v>
      </c>
      <c r="P5259">
        <v>16.213699999999999</v>
      </c>
      <c r="Q5259">
        <v>9.4643999999999995</v>
      </c>
    </row>
    <row r="5260" spans="1:17" x14ac:dyDescent="0.25">
      <c r="A5260" t="str">
        <f>IF(C5260&amp;G5260&amp;D5260&lt;&gt;'Funnel setup'!$K$3&amp;'Funnel setup'!$K$4&amp;'Funnel setup'!$K$6,".",IF(A5259=".",1,A5259+1))</f>
        <v>.</v>
      </c>
      <c r="B5260" s="244" t="str">
        <f t="shared" si="82"/>
        <v>Total Knee ReplacementProviderBARNSLEY HOSPITAL NHS FOUNDATION TRUST (RFF)Oxford Knee Score</v>
      </c>
      <c r="C5260" t="s">
        <v>975</v>
      </c>
      <c r="D5260" t="s">
        <v>965</v>
      </c>
      <c r="E5260" t="s">
        <v>146</v>
      </c>
      <c r="F5260" t="s">
        <v>147</v>
      </c>
      <c r="G5260" t="s">
        <v>972</v>
      </c>
      <c r="H5260">
        <v>55</v>
      </c>
      <c r="I5260">
        <v>18.145499999999998</v>
      </c>
      <c r="J5260">
        <v>35.490900000000003</v>
      </c>
      <c r="K5260">
        <v>17.345500000000001</v>
      </c>
      <c r="L5260">
        <v>49</v>
      </c>
      <c r="M5260">
        <v>1</v>
      </c>
      <c r="N5260">
        <v>5</v>
      </c>
      <c r="O5260">
        <v>36.478900000000003</v>
      </c>
      <c r="P5260">
        <v>17.2103</v>
      </c>
      <c r="Q5260">
        <v>10.187200000000001</v>
      </c>
    </row>
    <row r="5261" spans="1:17" x14ac:dyDescent="0.25">
      <c r="A5261" t="str">
        <f>IF(C5261&amp;G5261&amp;D5261&lt;&gt;'Funnel setup'!$K$3&amp;'Funnel setup'!$K$4&amp;'Funnel setup'!$K$6,".",IF(A5260=".",1,A5260+1))</f>
        <v>.</v>
      </c>
      <c r="B5261" s="244" t="str">
        <f t="shared" si="82"/>
        <v>Total Knee ReplacementProviderBARTS HEALTH NHS TRUST (R1H)Oxford Knee Score</v>
      </c>
      <c r="C5261" t="s">
        <v>975</v>
      </c>
      <c r="D5261" t="s">
        <v>965</v>
      </c>
      <c r="E5261" t="s">
        <v>148</v>
      </c>
      <c r="F5261" t="s">
        <v>149</v>
      </c>
      <c r="G5261" t="s">
        <v>972</v>
      </c>
      <c r="H5261">
        <v>71</v>
      </c>
      <c r="I5261">
        <v>17.845099999999999</v>
      </c>
      <c r="J5261">
        <v>32.394399999999997</v>
      </c>
      <c r="K5261">
        <v>14.549300000000001</v>
      </c>
      <c r="L5261">
        <v>64</v>
      </c>
      <c r="M5261">
        <v>0</v>
      </c>
      <c r="N5261">
        <v>7</v>
      </c>
      <c r="O5261">
        <v>35.198500000000003</v>
      </c>
      <c r="P5261">
        <v>15.9299</v>
      </c>
      <c r="Q5261">
        <v>9.5566700000000004</v>
      </c>
    </row>
    <row r="5262" spans="1:17" x14ac:dyDescent="0.25">
      <c r="A5262" t="str">
        <f>IF(C5262&amp;G5262&amp;D5262&lt;&gt;'Funnel setup'!$K$3&amp;'Funnel setup'!$K$4&amp;'Funnel setup'!$K$6,".",IF(A5261=".",1,A5261+1))</f>
        <v>.</v>
      </c>
      <c r="B5262" s="244" t="str">
        <f t="shared" si="82"/>
        <v>Total Knee ReplacementProviderBATH CLINIC (NT402)Oxford Knee Score</v>
      </c>
      <c r="C5262" t="s">
        <v>975</v>
      </c>
      <c r="D5262" t="s">
        <v>965</v>
      </c>
      <c r="E5262" t="s">
        <v>152</v>
      </c>
      <c r="F5262" t="s">
        <v>153</v>
      </c>
      <c r="G5262" t="s">
        <v>972</v>
      </c>
      <c r="H5262">
        <v>57</v>
      </c>
      <c r="I5262">
        <v>18.9649</v>
      </c>
      <c r="J5262">
        <v>39.192999999999998</v>
      </c>
      <c r="K5262">
        <v>20.228100000000001</v>
      </c>
      <c r="L5262">
        <v>54</v>
      </c>
      <c r="M5262">
        <v>1</v>
      </c>
      <c r="N5262">
        <v>2</v>
      </c>
      <c r="O5262">
        <v>37.660800000000002</v>
      </c>
      <c r="P5262">
        <v>18.392199999999999</v>
      </c>
      <c r="Q5262">
        <v>7.9843799999999998</v>
      </c>
    </row>
    <row r="5263" spans="1:17" x14ac:dyDescent="0.25">
      <c r="A5263" t="str">
        <f>IF(C5263&amp;G5263&amp;D5263&lt;&gt;'Funnel setup'!$K$3&amp;'Funnel setup'!$K$4&amp;'Funnel setup'!$K$6,".",IF(A5262=".",1,A5262+1))</f>
        <v>.</v>
      </c>
      <c r="B5263" s="244" t="str">
        <f t="shared" si="82"/>
        <v>Total Knee ReplacementProviderBEARDWOOD HOSPITAL (NT403)Oxford Knee Score</v>
      </c>
      <c r="C5263" t="s">
        <v>975</v>
      </c>
      <c r="D5263" t="s">
        <v>965</v>
      </c>
      <c r="E5263" t="s">
        <v>154</v>
      </c>
      <c r="F5263" t="s">
        <v>155</v>
      </c>
      <c r="G5263" t="s">
        <v>972</v>
      </c>
      <c r="H5263">
        <v>79</v>
      </c>
      <c r="I5263">
        <v>21.25</v>
      </c>
      <c r="J5263">
        <v>38.112499999999997</v>
      </c>
      <c r="K5263">
        <v>16.862500000000001</v>
      </c>
      <c r="L5263">
        <v>75</v>
      </c>
      <c r="M5263">
        <v>1</v>
      </c>
      <c r="N5263">
        <v>3</v>
      </c>
      <c r="O5263">
        <v>36.647799999999997</v>
      </c>
      <c r="P5263">
        <v>17.379200000000001</v>
      </c>
      <c r="Q5263">
        <v>8.9458199999999994</v>
      </c>
    </row>
    <row r="5264" spans="1:17" x14ac:dyDescent="0.25">
      <c r="A5264" t="str">
        <f>IF(C5264&amp;G5264&amp;D5264&lt;&gt;'Funnel setup'!$K$3&amp;'Funnel setup'!$K$4&amp;'Funnel setup'!$K$6,".",IF(A5263=".",1,A5263+1))</f>
        <v>.</v>
      </c>
      <c r="B5264" s="244" t="str">
        <f t="shared" si="82"/>
        <v>Total Knee ReplacementProviderBEAUMONT HOSPITAL (NT404)Oxford Knee Score</v>
      </c>
      <c r="C5264" t="s">
        <v>975</v>
      </c>
      <c r="D5264" t="s">
        <v>965</v>
      </c>
      <c r="E5264" t="s">
        <v>156</v>
      </c>
      <c r="F5264" t="s">
        <v>157</v>
      </c>
      <c r="G5264" t="s">
        <v>972</v>
      </c>
      <c r="H5264">
        <v>44</v>
      </c>
      <c r="I5264">
        <v>22.0444</v>
      </c>
      <c r="J5264">
        <v>38.977800000000002</v>
      </c>
      <c r="K5264">
        <v>16.933299999999999</v>
      </c>
      <c r="L5264">
        <v>42</v>
      </c>
      <c r="M5264">
        <v>0</v>
      </c>
      <c r="N5264">
        <v>2</v>
      </c>
      <c r="O5264">
        <v>37.2453</v>
      </c>
      <c r="P5264">
        <v>17.976600000000001</v>
      </c>
      <c r="Q5264">
        <v>9.0485900000000008</v>
      </c>
    </row>
    <row r="5265" spans="1:17" x14ac:dyDescent="0.25">
      <c r="A5265" t="str">
        <f>IF(C5265&amp;G5265&amp;D5265&lt;&gt;'Funnel setup'!$K$3&amp;'Funnel setup'!$K$4&amp;'Funnel setup'!$K$6,".",IF(A5264=".",1,A5264+1))</f>
        <v>.</v>
      </c>
      <c r="B5265" s="244" t="str">
        <f t="shared" si="82"/>
        <v>Total Knee ReplacementProviderBEDFORDSHIRE HOSPITALS NHS FOUNDATION TRUST (RC9)Oxford Knee Score</v>
      </c>
      <c r="C5265" t="s">
        <v>975</v>
      </c>
      <c r="D5265" t="s">
        <v>965</v>
      </c>
      <c r="E5265" t="s">
        <v>158</v>
      </c>
      <c r="F5265" t="s">
        <v>159</v>
      </c>
      <c r="G5265" t="s">
        <v>972</v>
      </c>
      <c r="H5265">
        <v>163</v>
      </c>
      <c r="I5265">
        <v>17.079799999999999</v>
      </c>
      <c r="J5265">
        <v>34.319000000000003</v>
      </c>
      <c r="K5265">
        <v>17.2393</v>
      </c>
      <c r="L5265">
        <v>145</v>
      </c>
      <c r="M5265">
        <v>5</v>
      </c>
      <c r="N5265">
        <v>13</v>
      </c>
      <c r="O5265">
        <v>35.498699999999999</v>
      </c>
      <c r="P5265">
        <v>16.2301</v>
      </c>
      <c r="Q5265">
        <v>10.0716</v>
      </c>
    </row>
    <row r="5266" spans="1:17" x14ac:dyDescent="0.25">
      <c r="A5266" t="str">
        <f>IF(C5266&amp;G5266&amp;D5266&lt;&gt;'Funnel setup'!$K$3&amp;'Funnel setup'!$K$4&amp;'Funnel setup'!$K$6,".",IF(A5265=".",1,A5265+1))</f>
        <v>.</v>
      </c>
      <c r="B5266" s="244" t="str">
        <f t="shared" si="82"/>
        <v>Total Knee ReplacementProviderBENENDEN HOSPITAL (NWF01)Oxford Knee Score</v>
      </c>
      <c r="C5266" t="s">
        <v>975</v>
      </c>
      <c r="D5266" t="s">
        <v>965</v>
      </c>
      <c r="E5266" t="s">
        <v>160</v>
      </c>
      <c r="F5266" t="s">
        <v>161</v>
      </c>
      <c r="G5266" t="s">
        <v>972</v>
      </c>
      <c r="H5266">
        <v>26</v>
      </c>
      <c r="I5266">
        <v>24.461500000000001</v>
      </c>
      <c r="J5266">
        <v>39.192300000000003</v>
      </c>
      <c r="K5266">
        <v>14.7308</v>
      </c>
      <c r="L5266">
        <v>25</v>
      </c>
      <c r="M5266">
        <v>0</v>
      </c>
      <c r="N5266">
        <v>1</v>
      </c>
      <c r="O5266" t="s">
        <v>127</v>
      </c>
      <c r="P5266" t="s">
        <v>127</v>
      </c>
      <c r="Q5266" t="s">
        <v>127</v>
      </c>
    </row>
    <row r="5267" spans="1:17" x14ac:dyDescent="0.25">
      <c r="A5267" t="str">
        <f>IF(C5267&amp;G5267&amp;D5267&lt;&gt;'Funnel setup'!$K$3&amp;'Funnel setup'!$K$4&amp;'Funnel setup'!$K$6,".",IF(A5266=".",1,A5266+1))</f>
        <v>.</v>
      </c>
      <c r="B5267" s="244" t="str">
        <f t="shared" si="82"/>
        <v>Total Knee ReplacementProviderBLACKHEATH HOSPITAL (NT406)Oxford Knee Score</v>
      </c>
      <c r="C5267" t="s">
        <v>975</v>
      </c>
      <c r="D5267" t="s">
        <v>965</v>
      </c>
      <c r="E5267" t="s">
        <v>168</v>
      </c>
      <c r="F5267" t="s">
        <v>169</v>
      </c>
      <c r="G5267" t="s">
        <v>972</v>
      </c>
      <c r="H5267">
        <v>20</v>
      </c>
      <c r="I5267">
        <v>20.95</v>
      </c>
      <c r="J5267">
        <v>35.549999999999997</v>
      </c>
      <c r="K5267">
        <v>14.6</v>
      </c>
      <c r="L5267">
        <v>18</v>
      </c>
      <c r="M5267">
        <v>1</v>
      </c>
      <c r="N5267">
        <v>1</v>
      </c>
      <c r="O5267" t="s">
        <v>127</v>
      </c>
      <c r="P5267" t="s">
        <v>127</v>
      </c>
      <c r="Q5267" t="s">
        <v>127</v>
      </c>
    </row>
    <row r="5268" spans="1:17" x14ac:dyDescent="0.25">
      <c r="A5268" t="str">
        <f>IF(C5268&amp;G5268&amp;D5268&lt;&gt;'Funnel setup'!$K$3&amp;'Funnel setup'!$K$4&amp;'Funnel setup'!$K$6,".",IF(A5267=".",1,A5267+1))</f>
        <v>.</v>
      </c>
      <c r="B5268" s="244" t="str">
        <f t="shared" si="82"/>
        <v>Total Knee ReplacementProviderBLACKPOOL TEACHING HOSPITALS NHS FOUNDATION TRUST (RXL)Oxford Knee Score</v>
      </c>
      <c r="C5268" t="s">
        <v>975</v>
      </c>
      <c r="D5268" t="s">
        <v>965</v>
      </c>
      <c r="E5268" t="s">
        <v>170</v>
      </c>
      <c r="F5268" t="s">
        <v>171</v>
      </c>
      <c r="G5268" t="s">
        <v>972</v>
      </c>
      <c r="H5268">
        <v>61</v>
      </c>
      <c r="I5268">
        <v>20.967199999999998</v>
      </c>
      <c r="J5268">
        <v>35.377000000000002</v>
      </c>
      <c r="K5268">
        <v>14.409800000000001</v>
      </c>
      <c r="L5268">
        <v>55</v>
      </c>
      <c r="M5268">
        <v>1</v>
      </c>
      <c r="N5268">
        <v>5</v>
      </c>
      <c r="O5268">
        <v>36.039099999999998</v>
      </c>
      <c r="P5268">
        <v>16.770499999999998</v>
      </c>
      <c r="Q5268">
        <v>8.7021899999999999</v>
      </c>
    </row>
    <row r="5269" spans="1:17" x14ac:dyDescent="0.25">
      <c r="A5269" t="str">
        <f>IF(C5269&amp;G5269&amp;D5269&lt;&gt;'Funnel setup'!$K$3&amp;'Funnel setup'!$K$4&amp;'Funnel setup'!$K$6,".",IF(A5268=".",1,A5268+1))</f>
        <v>.</v>
      </c>
      <c r="B5269" s="244" t="str">
        <f t="shared" si="82"/>
        <v>Total Knee ReplacementProviderBOLTON NHS FOUNDATION TRUST (RMC)Oxford Knee Score</v>
      </c>
      <c r="C5269" t="s">
        <v>975</v>
      </c>
      <c r="D5269" t="s">
        <v>965</v>
      </c>
      <c r="E5269" t="s">
        <v>172</v>
      </c>
      <c r="F5269" t="s">
        <v>173</v>
      </c>
      <c r="G5269" t="s">
        <v>972</v>
      </c>
      <c r="H5269">
        <v>52</v>
      </c>
      <c r="I5269">
        <v>19.230799999999999</v>
      </c>
      <c r="J5269">
        <v>34.788499999999999</v>
      </c>
      <c r="K5269">
        <v>15.557700000000001</v>
      </c>
      <c r="L5269">
        <v>49</v>
      </c>
      <c r="M5269">
        <v>0</v>
      </c>
      <c r="N5269">
        <v>3</v>
      </c>
      <c r="O5269">
        <v>35.695</v>
      </c>
      <c r="P5269">
        <v>16.426300000000001</v>
      </c>
      <c r="Q5269">
        <v>8.8472100000000005</v>
      </c>
    </row>
    <row r="5270" spans="1:17" x14ac:dyDescent="0.25">
      <c r="A5270" t="str">
        <f>IF(C5270&amp;G5270&amp;D5270&lt;&gt;'Funnel setup'!$K$3&amp;'Funnel setup'!$K$4&amp;'Funnel setup'!$K$6,".",IF(A5269=".",1,A5269+1))</f>
        <v>.</v>
      </c>
      <c r="B5270" s="244" t="str">
        <f t="shared" si="82"/>
        <v>Total Knee ReplacementProviderBRADFORD TEACHING HOSPITALS NHS FOUNDATION TRUST (RAE)Oxford Knee Score</v>
      </c>
      <c r="C5270" t="s">
        <v>975</v>
      </c>
      <c r="D5270" t="s">
        <v>965</v>
      </c>
      <c r="E5270" t="s">
        <v>174</v>
      </c>
      <c r="F5270" t="s">
        <v>175</v>
      </c>
      <c r="G5270" t="s">
        <v>972</v>
      </c>
      <c r="H5270">
        <v>5</v>
      </c>
      <c r="I5270">
        <v>17.600000000000001</v>
      </c>
      <c r="J5270">
        <v>35.4</v>
      </c>
      <c r="K5270">
        <v>17.8</v>
      </c>
      <c r="L5270">
        <v>5</v>
      </c>
      <c r="M5270">
        <v>0</v>
      </c>
      <c r="N5270">
        <v>0</v>
      </c>
      <c r="O5270" t="s">
        <v>127</v>
      </c>
      <c r="P5270" t="s">
        <v>127</v>
      </c>
      <c r="Q5270" t="s">
        <v>127</v>
      </c>
    </row>
    <row r="5271" spans="1:17" x14ac:dyDescent="0.25">
      <c r="A5271" t="str">
        <f>IF(C5271&amp;G5271&amp;D5271&lt;&gt;'Funnel setup'!$K$3&amp;'Funnel setup'!$K$4&amp;'Funnel setup'!$K$6,".",IF(A5270=".",1,A5270+1))</f>
        <v>.</v>
      </c>
      <c r="B5271" s="244" t="str">
        <f t="shared" si="82"/>
        <v>Total Knee ReplacementProviderBUCKINGHAMSHIRE HEALTHCARE NHS TRUST (RXQ)Oxford Knee Score</v>
      </c>
      <c r="C5271" t="s">
        <v>975</v>
      </c>
      <c r="D5271" t="s">
        <v>965</v>
      </c>
      <c r="E5271" t="s">
        <v>178</v>
      </c>
      <c r="F5271" t="s">
        <v>179</v>
      </c>
      <c r="G5271" t="s">
        <v>972</v>
      </c>
      <c r="H5271">
        <v>84</v>
      </c>
      <c r="I5271">
        <v>20.142900000000001</v>
      </c>
      <c r="J5271">
        <v>37.404800000000002</v>
      </c>
      <c r="K5271">
        <v>17.261900000000001</v>
      </c>
      <c r="L5271">
        <v>83</v>
      </c>
      <c r="M5271">
        <v>0</v>
      </c>
      <c r="N5271">
        <v>1</v>
      </c>
      <c r="O5271">
        <v>36.677799999999998</v>
      </c>
      <c r="P5271">
        <v>17.409199999999998</v>
      </c>
      <c r="Q5271">
        <v>7.5667</v>
      </c>
    </row>
    <row r="5272" spans="1:17" x14ac:dyDescent="0.25">
      <c r="A5272" t="str">
        <f>IF(C5272&amp;G5272&amp;D5272&lt;&gt;'Funnel setup'!$K$3&amp;'Funnel setup'!$K$4&amp;'Funnel setup'!$K$6,".",IF(A5271=".",1,A5271+1))</f>
        <v>.</v>
      </c>
      <c r="B5272" s="244" t="str">
        <f t="shared" si="82"/>
        <v>Total Knee ReplacementProviderCALDERDALE AND HUDDERSFIELD NHS FOUNDATION TRUST (RWY)Oxford Knee Score</v>
      </c>
      <c r="C5272" t="s">
        <v>975</v>
      </c>
      <c r="D5272" t="s">
        <v>965</v>
      </c>
      <c r="E5272" t="s">
        <v>180</v>
      </c>
      <c r="F5272" t="s">
        <v>181</v>
      </c>
      <c r="G5272" t="s">
        <v>972</v>
      </c>
      <c r="H5272">
        <v>73</v>
      </c>
      <c r="I5272">
        <v>19.424700000000001</v>
      </c>
      <c r="J5272">
        <v>33.602699999999999</v>
      </c>
      <c r="K5272">
        <v>14.178100000000001</v>
      </c>
      <c r="L5272">
        <v>62</v>
      </c>
      <c r="M5272">
        <v>4</v>
      </c>
      <c r="N5272">
        <v>7</v>
      </c>
      <c r="O5272">
        <v>33.911999999999999</v>
      </c>
      <c r="P5272">
        <v>14.6433</v>
      </c>
      <c r="Q5272">
        <v>11.538600000000001</v>
      </c>
    </row>
    <row r="5273" spans="1:17" x14ac:dyDescent="0.25">
      <c r="A5273" t="str">
        <f>IF(C5273&amp;G5273&amp;D5273&lt;&gt;'Funnel setup'!$K$3&amp;'Funnel setup'!$K$4&amp;'Funnel setup'!$K$6,".",IF(A5272=".",1,A5272+1))</f>
        <v>.</v>
      </c>
      <c r="B5273" s="244" t="str">
        <f t="shared" si="82"/>
        <v>Total Knee ReplacementProviderCAMBRIDGE UNIVERSITY HOSPITALS NHS FOUNDATION TRUST (RGT)Oxford Knee Score</v>
      </c>
      <c r="C5273" t="s">
        <v>975</v>
      </c>
      <c r="D5273" t="s">
        <v>965</v>
      </c>
      <c r="E5273" t="s">
        <v>182</v>
      </c>
      <c r="F5273" t="s">
        <v>183</v>
      </c>
      <c r="G5273" t="s">
        <v>972</v>
      </c>
      <c r="H5273">
        <v>57</v>
      </c>
      <c r="I5273">
        <v>14.0526</v>
      </c>
      <c r="J5273">
        <v>31.228100000000001</v>
      </c>
      <c r="K5273">
        <v>17.1754</v>
      </c>
      <c r="L5273">
        <v>53</v>
      </c>
      <c r="M5273">
        <v>0</v>
      </c>
      <c r="N5273">
        <v>4</v>
      </c>
      <c r="O5273">
        <v>34.758499999999998</v>
      </c>
      <c r="P5273">
        <v>15.4899</v>
      </c>
      <c r="Q5273">
        <v>9.6043099999999999</v>
      </c>
    </row>
    <row r="5274" spans="1:17" x14ac:dyDescent="0.25">
      <c r="A5274" t="str">
        <f>IF(C5274&amp;G5274&amp;D5274&lt;&gt;'Funnel setup'!$K$3&amp;'Funnel setup'!$K$4&amp;'Funnel setup'!$K$6,".",IF(A5273=".",1,A5273+1))</f>
        <v>.</v>
      </c>
      <c r="B5274" s="244" t="str">
        <f t="shared" si="82"/>
        <v>Total Knee ReplacementProviderCAVELL HOSPITAL (NT451)Oxford Knee Score</v>
      </c>
      <c r="C5274" t="s">
        <v>975</v>
      </c>
      <c r="D5274" t="s">
        <v>965</v>
      </c>
      <c r="E5274" t="s">
        <v>184</v>
      </c>
      <c r="F5274" t="s">
        <v>185</v>
      </c>
      <c r="G5274" t="s">
        <v>972</v>
      </c>
      <c r="H5274">
        <v>42</v>
      </c>
      <c r="I5274">
        <v>18.5349</v>
      </c>
      <c r="J5274">
        <v>36.814</v>
      </c>
      <c r="K5274">
        <v>18.2791</v>
      </c>
      <c r="L5274">
        <v>39</v>
      </c>
      <c r="M5274">
        <v>2</v>
      </c>
      <c r="N5274">
        <v>1</v>
      </c>
      <c r="O5274">
        <v>36.154499999999999</v>
      </c>
      <c r="P5274">
        <v>16.8858</v>
      </c>
      <c r="Q5274">
        <v>7.8898099999999998</v>
      </c>
    </row>
    <row r="5275" spans="1:17" x14ac:dyDescent="0.25">
      <c r="A5275" t="str">
        <f>IF(C5275&amp;G5275&amp;D5275&lt;&gt;'Funnel setup'!$K$3&amp;'Funnel setup'!$K$4&amp;'Funnel setup'!$K$6,".",IF(A5274=".",1,A5274+1))</f>
        <v>.</v>
      </c>
      <c r="B5275" s="244" t="str">
        <f t="shared" si="82"/>
        <v>Total Knee ReplacementProviderCHAUCER HOSPITAL (NT408)Oxford Knee Score</v>
      </c>
      <c r="C5275" t="s">
        <v>975</v>
      </c>
      <c r="D5275" t="s">
        <v>965</v>
      </c>
      <c r="E5275" t="s">
        <v>186</v>
      </c>
      <c r="F5275" t="s">
        <v>187</v>
      </c>
      <c r="G5275" t="s">
        <v>972</v>
      </c>
      <c r="H5275">
        <v>48</v>
      </c>
      <c r="I5275">
        <v>22.104199999999999</v>
      </c>
      <c r="J5275">
        <v>37.520800000000001</v>
      </c>
      <c r="K5275">
        <v>15.416700000000001</v>
      </c>
      <c r="L5275">
        <v>47</v>
      </c>
      <c r="M5275">
        <v>0</v>
      </c>
      <c r="N5275">
        <v>1</v>
      </c>
      <c r="O5275">
        <v>35.768300000000004</v>
      </c>
      <c r="P5275">
        <v>16.499600000000001</v>
      </c>
      <c r="Q5275">
        <v>7.1917099999999996</v>
      </c>
    </row>
    <row r="5276" spans="1:17" x14ac:dyDescent="0.25">
      <c r="A5276" t="str">
        <f>IF(C5276&amp;G5276&amp;D5276&lt;&gt;'Funnel setup'!$K$3&amp;'Funnel setup'!$K$4&amp;'Funnel setup'!$K$6,".",IF(A5275=".",1,A5275+1))</f>
        <v>.</v>
      </c>
      <c r="B5276" s="244" t="str">
        <f t="shared" si="82"/>
        <v>Total Knee ReplacementProviderCHELSEA AND WESTMINSTER HOSPITAL NHS FOUNDATION TRUST (RQM)Oxford Knee Score</v>
      </c>
      <c r="C5276" t="s">
        <v>975</v>
      </c>
      <c r="D5276" t="s">
        <v>965</v>
      </c>
      <c r="E5276" t="s">
        <v>188</v>
      </c>
      <c r="F5276" t="s">
        <v>189</v>
      </c>
      <c r="G5276" t="s">
        <v>972</v>
      </c>
      <c r="H5276">
        <v>6</v>
      </c>
      <c r="I5276">
        <v>18</v>
      </c>
      <c r="J5276">
        <v>32.833300000000001</v>
      </c>
      <c r="K5276">
        <v>14.833299999999999</v>
      </c>
      <c r="L5276">
        <v>6</v>
      </c>
      <c r="M5276">
        <v>0</v>
      </c>
      <c r="N5276">
        <v>0</v>
      </c>
      <c r="O5276" t="s">
        <v>127</v>
      </c>
      <c r="P5276" t="s">
        <v>127</v>
      </c>
      <c r="Q5276" t="s">
        <v>127</v>
      </c>
    </row>
    <row r="5277" spans="1:17" x14ac:dyDescent="0.25">
      <c r="A5277" t="str">
        <f>IF(C5277&amp;G5277&amp;D5277&lt;&gt;'Funnel setup'!$K$3&amp;'Funnel setup'!$K$4&amp;'Funnel setup'!$K$6,".",IF(A5276=".",1,A5276+1))</f>
        <v>.</v>
      </c>
      <c r="B5277" s="244" t="str">
        <f t="shared" si="82"/>
        <v>Total Knee ReplacementProviderCHELSFIELD PARK HOSPITAL (NT409)Oxford Knee Score</v>
      </c>
      <c r="C5277" t="s">
        <v>975</v>
      </c>
      <c r="D5277" t="s">
        <v>965</v>
      </c>
      <c r="E5277" t="s">
        <v>190</v>
      </c>
      <c r="F5277" t="s">
        <v>191</v>
      </c>
      <c r="G5277" t="s">
        <v>972</v>
      </c>
      <c r="H5277">
        <v>32</v>
      </c>
      <c r="I5277">
        <v>26.281300000000002</v>
      </c>
      <c r="J5277">
        <v>42.593800000000002</v>
      </c>
      <c r="K5277">
        <v>16.3125</v>
      </c>
      <c r="L5277">
        <v>31</v>
      </c>
      <c r="M5277">
        <v>0</v>
      </c>
      <c r="N5277">
        <v>1</v>
      </c>
      <c r="O5277">
        <v>38.989400000000003</v>
      </c>
      <c r="P5277">
        <v>19.720800000000001</v>
      </c>
      <c r="Q5277">
        <v>5.4443900000000003</v>
      </c>
    </row>
    <row r="5278" spans="1:17" x14ac:dyDescent="0.25">
      <c r="A5278" t="str">
        <f>IF(C5278&amp;G5278&amp;D5278&lt;&gt;'Funnel setup'!$K$3&amp;'Funnel setup'!$K$4&amp;'Funnel setup'!$K$6,".",IF(A5277=".",1,A5277+1))</f>
        <v>.</v>
      </c>
      <c r="B5278" s="244" t="str">
        <f t="shared" si="82"/>
        <v>Total Knee ReplacementProviderCHESTERFIELD ROYAL HOSPITAL NHS FOUNDATION TRUST (RFS)Oxford Knee Score</v>
      </c>
      <c r="C5278" t="s">
        <v>975</v>
      </c>
      <c r="D5278" t="s">
        <v>965</v>
      </c>
      <c r="E5278" t="s">
        <v>192</v>
      </c>
      <c r="F5278" t="s">
        <v>193</v>
      </c>
      <c r="G5278" t="s">
        <v>972</v>
      </c>
      <c r="H5278">
        <v>59</v>
      </c>
      <c r="I5278">
        <v>17.372900000000001</v>
      </c>
      <c r="J5278">
        <v>33.220300000000002</v>
      </c>
      <c r="K5278">
        <v>15.8475</v>
      </c>
      <c r="L5278">
        <v>54</v>
      </c>
      <c r="M5278">
        <v>3</v>
      </c>
      <c r="N5278">
        <v>2</v>
      </c>
      <c r="O5278">
        <v>34.903599999999997</v>
      </c>
      <c r="P5278">
        <v>15.6349</v>
      </c>
      <c r="Q5278">
        <v>9.1292500000000008</v>
      </c>
    </row>
    <row r="5279" spans="1:17" x14ac:dyDescent="0.25">
      <c r="A5279" t="str">
        <f>IF(C5279&amp;G5279&amp;D5279&lt;&gt;'Funnel setup'!$K$3&amp;'Funnel setup'!$K$4&amp;'Funnel setup'!$K$6,".",IF(A5278=".",1,A5278+1))</f>
        <v>.</v>
      </c>
      <c r="B5279" s="244" t="str">
        <f t="shared" si="82"/>
        <v>Total Knee ReplacementProviderCHILTERN HOSPITAL (NT410)Oxford Knee Score</v>
      </c>
      <c r="C5279" t="s">
        <v>975</v>
      </c>
      <c r="D5279" t="s">
        <v>965</v>
      </c>
      <c r="E5279" t="s">
        <v>194</v>
      </c>
      <c r="F5279" t="s">
        <v>195</v>
      </c>
      <c r="G5279" t="s">
        <v>972</v>
      </c>
      <c r="H5279">
        <v>87</v>
      </c>
      <c r="I5279">
        <v>22.988499999999998</v>
      </c>
      <c r="J5279">
        <v>39.172400000000003</v>
      </c>
      <c r="K5279">
        <v>16.183900000000001</v>
      </c>
      <c r="L5279">
        <v>80</v>
      </c>
      <c r="M5279">
        <v>1</v>
      </c>
      <c r="N5279">
        <v>6</v>
      </c>
      <c r="O5279">
        <v>36.018799999999999</v>
      </c>
      <c r="P5279">
        <v>16.7502</v>
      </c>
      <c r="Q5279">
        <v>8.0576799999999995</v>
      </c>
    </row>
    <row r="5280" spans="1:17" x14ac:dyDescent="0.25">
      <c r="A5280" t="str">
        <f>IF(C5280&amp;G5280&amp;D5280&lt;&gt;'Funnel setup'!$K$3&amp;'Funnel setup'!$K$4&amp;'Funnel setup'!$K$6,".",IF(A5279=".",1,A5279+1))</f>
        <v>.</v>
      </c>
      <c r="B5280" s="244" t="str">
        <f t="shared" si="82"/>
        <v>Total Knee ReplacementProviderCIRCLE BATH HOSPITAL (NV302)Oxford Knee Score</v>
      </c>
      <c r="C5280" t="s">
        <v>975</v>
      </c>
      <c r="D5280" t="s">
        <v>965</v>
      </c>
      <c r="E5280" t="s">
        <v>196</v>
      </c>
      <c r="F5280" t="s">
        <v>197</v>
      </c>
      <c r="G5280" t="s">
        <v>972</v>
      </c>
      <c r="H5280">
        <v>13</v>
      </c>
      <c r="I5280">
        <v>17.769200000000001</v>
      </c>
      <c r="J5280">
        <v>39.230800000000002</v>
      </c>
      <c r="K5280">
        <v>21.461500000000001</v>
      </c>
      <c r="L5280">
        <v>12</v>
      </c>
      <c r="M5280">
        <v>0</v>
      </c>
      <c r="N5280">
        <v>1</v>
      </c>
      <c r="O5280" t="s">
        <v>127</v>
      </c>
      <c r="P5280" t="s">
        <v>127</v>
      </c>
      <c r="Q5280" t="s">
        <v>127</v>
      </c>
    </row>
    <row r="5281" spans="1:17" x14ac:dyDescent="0.25">
      <c r="A5281" t="str">
        <f>IF(C5281&amp;G5281&amp;D5281&lt;&gt;'Funnel setup'!$K$3&amp;'Funnel setup'!$K$4&amp;'Funnel setup'!$K$6,".",IF(A5280=".",1,A5280+1))</f>
        <v>.</v>
      </c>
      <c r="B5281" s="244" t="str">
        <f t="shared" si="82"/>
        <v>Total Knee ReplacementProviderCIRCLE READING HOSPITAL (NV323)Oxford Knee Score</v>
      </c>
      <c r="C5281" t="s">
        <v>975</v>
      </c>
      <c r="D5281" t="s">
        <v>965</v>
      </c>
      <c r="E5281" t="s">
        <v>198</v>
      </c>
      <c r="F5281" t="s">
        <v>199</v>
      </c>
      <c r="G5281" t="s">
        <v>972</v>
      </c>
      <c r="H5281">
        <v>61</v>
      </c>
      <c r="I5281">
        <v>21.5246</v>
      </c>
      <c r="J5281">
        <v>39.245899999999999</v>
      </c>
      <c r="K5281">
        <v>17.721299999999999</v>
      </c>
      <c r="L5281">
        <v>57</v>
      </c>
      <c r="M5281">
        <v>1</v>
      </c>
      <c r="N5281">
        <v>3</v>
      </c>
      <c r="O5281">
        <v>36.810699999999997</v>
      </c>
      <c r="P5281">
        <v>17.542000000000002</v>
      </c>
      <c r="Q5281">
        <v>8.1876999999999995</v>
      </c>
    </row>
    <row r="5282" spans="1:17" x14ac:dyDescent="0.25">
      <c r="A5282" t="str">
        <f>IF(C5282&amp;G5282&amp;D5282&lt;&gt;'Funnel setup'!$K$3&amp;'Funnel setup'!$K$4&amp;'Funnel setup'!$K$6,".",IF(A5281=".",1,A5281+1))</f>
        <v>.</v>
      </c>
      <c r="B5282" s="244" t="str">
        <f t="shared" si="82"/>
        <v>Total Knee ReplacementProviderCLEMENTINE CHURCHILL HOSPITAL (NT411)Oxford Knee Score</v>
      </c>
      <c r="C5282" t="s">
        <v>975</v>
      </c>
      <c r="D5282" t="s">
        <v>965</v>
      </c>
      <c r="E5282" t="s">
        <v>200</v>
      </c>
      <c r="F5282" t="s">
        <v>201</v>
      </c>
      <c r="G5282" t="s">
        <v>972</v>
      </c>
      <c r="H5282">
        <v>32</v>
      </c>
      <c r="I5282">
        <v>23.0303</v>
      </c>
      <c r="J5282">
        <v>35.151499999999999</v>
      </c>
      <c r="K5282">
        <v>12.1212</v>
      </c>
      <c r="L5282">
        <v>31</v>
      </c>
      <c r="M5282">
        <v>0</v>
      </c>
      <c r="N5282">
        <v>1</v>
      </c>
      <c r="O5282">
        <v>34.387999999999998</v>
      </c>
      <c r="P5282">
        <v>15.119400000000001</v>
      </c>
      <c r="Q5282">
        <v>6.5516399999999999</v>
      </c>
    </row>
    <row r="5283" spans="1:17" x14ac:dyDescent="0.25">
      <c r="A5283" t="str">
        <f>IF(C5283&amp;G5283&amp;D5283&lt;&gt;'Funnel setup'!$K$3&amp;'Funnel setup'!$K$4&amp;'Funnel setup'!$K$6,".",IF(A5282=".",1,A5282+1))</f>
        <v>.</v>
      </c>
      <c r="B5283" s="244" t="str">
        <f t="shared" si="82"/>
        <v>Total Knee ReplacementProviderCLIFTON PARK HOSPITAL (NVC28)Oxford Knee Score</v>
      </c>
      <c r="C5283" t="s">
        <v>975</v>
      </c>
      <c r="D5283" t="s">
        <v>965</v>
      </c>
      <c r="E5283" t="s">
        <v>202</v>
      </c>
      <c r="F5283" t="s">
        <v>203</v>
      </c>
      <c r="G5283" t="s">
        <v>972</v>
      </c>
      <c r="H5283">
        <v>64</v>
      </c>
      <c r="I5283">
        <v>18.859400000000001</v>
      </c>
      <c r="J5283">
        <v>35.625</v>
      </c>
      <c r="K5283">
        <v>16.765599999999999</v>
      </c>
      <c r="L5283">
        <v>62</v>
      </c>
      <c r="M5283">
        <v>1</v>
      </c>
      <c r="N5283">
        <v>1</v>
      </c>
      <c r="O5283">
        <v>34.966900000000003</v>
      </c>
      <c r="P5283">
        <v>15.6982</v>
      </c>
      <c r="Q5283">
        <v>8.7844599999999993</v>
      </c>
    </row>
    <row r="5284" spans="1:17" x14ac:dyDescent="0.25">
      <c r="A5284" t="str">
        <f>IF(C5284&amp;G5284&amp;D5284&lt;&gt;'Funnel setup'!$K$3&amp;'Funnel setup'!$K$4&amp;'Funnel setup'!$K$6,".",IF(A5283=".",1,A5283+1))</f>
        <v>.</v>
      </c>
      <c r="B5284" s="244" t="str">
        <f t="shared" si="82"/>
        <v>Total Knee ReplacementProviderCOUNTESS OF CHESTER HOSPITAL NHS FOUNDATION TRUST (RJR)Oxford Knee Score</v>
      </c>
      <c r="C5284" t="s">
        <v>975</v>
      </c>
      <c r="D5284" t="s">
        <v>965</v>
      </c>
      <c r="E5284" t="s">
        <v>204</v>
      </c>
      <c r="F5284" t="s">
        <v>205</v>
      </c>
      <c r="G5284" t="s">
        <v>972</v>
      </c>
      <c r="H5284">
        <v>29</v>
      </c>
      <c r="I5284">
        <v>18.2759</v>
      </c>
      <c r="J5284">
        <v>35.965499999999999</v>
      </c>
      <c r="K5284">
        <v>17.689699999999998</v>
      </c>
      <c r="L5284">
        <v>27</v>
      </c>
      <c r="M5284">
        <v>0</v>
      </c>
      <c r="N5284">
        <v>2</v>
      </c>
      <c r="O5284" t="s">
        <v>127</v>
      </c>
      <c r="P5284" t="s">
        <v>127</v>
      </c>
      <c r="Q5284" t="s">
        <v>127</v>
      </c>
    </row>
    <row r="5285" spans="1:17" x14ac:dyDescent="0.25">
      <c r="A5285" t="str">
        <f>IF(C5285&amp;G5285&amp;D5285&lt;&gt;'Funnel setup'!$K$3&amp;'Funnel setup'!$K$4&amp;'Funnel setup'!$K$6,".",IF(A5284=".",1,A5284+1))</f>
        <v>.</v>
      </c>
      <c r="B5285" s="244" t="str">
        <f t="shared" si="82"/>
        <v>Total Knee ReplacementProviderCOUNTY DURHAM AND DARLINGTON NHS FOUNDATION TRUST (RXP)Oxford Knee Score</v>
      </c>
      <c r="C5285" t="s">
        <v>975</v>
      </c>
      <c r="D5285" t="s">
        <v>965</v>
      </c>
      <c r="E5285" t="s">
        <v>206</v>
      </c>
      <c r="F5285" t="s">
        <v>207</v>
      </c>
      <c r="G5285" t="s">
        <v>972</v>
      </c>
      <c r="H5285">
        <v>139</v>
      </c>
      <c r="I5285">
        <v>19.546800000000001</v>
      </c>
      <c r="J5285">
        <v>36.467599999999997</v>
      </c>
      <c r="K5285">
        <v>16.9209</v>
      </c>
      <c r="L5285">
        <v>133</v>
      </c>
      <c r="M5285">
        <v>1</v>
      </c>
      <c r="N5285">
        <v>5</v>
      </c>
      <c r="O5285">
        <v>36.520099999999999</v>
      </c>
      <c r="P5285">
        <v>17.2515</v>
      </c>
      <c r="Q5285">
        <v>8.40184</v>
      </c>
    </row>
    <row r="5286" spans="1:17" x14ac:dyDescent="0.25">
      <c r="A5286" t="str">
        <f>IF(C5286&amp;G5286&amp;D5286&lt;&gt;'Funnel setup'!$K$3&amp;'Funnel setup'!$K$4&amp;'Funnel setup'!$K$6,".",IF(A5285=".",1,A5285+1))</f>
        <v>.</v>
      </c>
      <c r="B5286" s="244" t="str">
        <f t="shared" si="82"/>
        <v>Total Knee ReplacementProviderDONCASTER AND BASSETLAW TEACHING HOSPITALS NHS FOUNDATION TRUST (RP5)Oxford Knee Score</v>
      </c>
      <c r="C5286" t="s">
        <v>975</v>
      </c>
      <c r="D5286" t="s">
        <v>965</v>
      </c>
      <c r="E5286" t="s">
        <v>212</v>
      </c>
      <c r="F5286" t="s">
        <v>213</v>
      </c>
      <c r="G5286" t="s">
        <v>972</v>
      </c>
      <c r="H5286">
        <v>90</v>
      </c>
      <c r="I5286">
        <v>16.722200000000001</v>
      </c>
      <c r="J5286">
        <v>32.744399999999999</v>
      </c>
      <c r="K5286">
        <v>16.022200000000002</v>
      </c>
      <c r="L5286">
        <v>82</v>
      </c>
      <c r="M5286">
        <v>0</v>
      </c>
      <c r="N5286">
        <v>8</v>
      </c>
      <c r="O5286">
        <v>35.007399999999997</v>
      </c>
      <c r="P5286">
        <v>15.7387</v>
      </c>
      <c r="Q5286">
        <v>9.9629499999999993</v>
      </c>
    </row>
    <row r="5287" spans="1:17" x14ac:dyDescent="0.25">
      <c r="A5287" t="str">
        <f>IF(C5287&amp;G5287&amp;D5287&lt;&gt;'Funnel setup'!$K$3&amp;'Funnel setup'!$K$4&amp;'Funnel setup'!$K$6,".",IF(A5286=".",1,A5286+1))</f>
        <v>.</v>
      </c>
      <c r="B5287" s="244" t="str">
        <f t="shared" si="82"/>
        <v>Total Knee ReplacementProviderDORSET COUNTY HOSPITAL NHS FOUNDATION TRUST (RBD)Oxford Knee Score</v>
      </c>
      <c r="C5287" t="s">
        <v>975</v>
      </c>
      <c r="D5287" t="s">
        <v>965</v>
      </c>
      <c r="E5287" t="s">
        <v>214</v>
      </c>
      <c r="F5287" t="s">
        <v>215</v>
      </c>
      <c r="G5287" t="s">
        <v>972</v>
      </c>
      <c r="H5287">
        <v>16</v>
      </c>
      <c r="I5287">
        <v>19.8125</v>
      </c>
      <c r="J5287">
        <v>37.4375</v>
      </c>
      <c r="K5287">
        <v>17.625</v>
      </c>
      <c r="L5287">
        <v>16</v>
      </c>
      <c r="M5287">
        <v>0</v>
      </c>
      <c r="N5287">
        <v>0</v>
      </c>
      <c r="O5287" t="s">
        <v>127</v>
      </c>
      <c r="P5287" t="s">
        <v>127</v>
      </c>
      <c r="Q5287" t="s">
        <v>127</v>
      </c>
    </row>
    <row r="5288" spans="1:17" x14ac:dyDescent="0.25">
      <c r="A5288" t="str">
        <f>IF(C5288&amp;G5288&amp;D5288&lt;&gt;'Funnel setup'!$K$3&amp;'Funnel setup'!$K$4&amp;'Funnel setup'!$K$6,".",IF(A5287=".",1,A5287+1))</f>
        <v>.</v>
      </c>
      <c r="B5288" s="244" t="str">
        <f t="shared" si="82"/>
        <v>Total Knee ReplacementProviderDROITWICH SPA HOSPITAL (NT412)Oxford Knee Score</v>
      </c>
      <c r="C5288" t="s">
        <v>975</v>
      </c>
      <c r="D5288" t="s">
        <v>965</v>
      </c>
      <c r="E5288" t="s">
        <v>216</v>
      </c>
      <c r="F5288" t="s">
        <v>217</v>
      </c>
      <c r="G5288" t="s">
        <v>972</v>
      </c>
      <c r="H5288">
        <v>25</v>
      </c>
      <c r="I5288">
        <v>20.239999999999998</v>
      </c>
      <c r="J5288">
        <v>38.520000000000003</v>
      </c>
      <c r="K5288">
        <v>18.28</v>
      </c>
      <c r="L5288">
        <v>25</v>
      </c>
      <c r="M5288">
        <v>0</v>
      </c>
      <c r="N5288">
        <v>0</v>
      </c>
      <c r="O5288" t="s">
        <v>127</v>
      </c>
      <c r="P5288" t="s">
        <v>127</v>
      </c>
      <c r="Q5288" t="s">
        <v>127</v>
      </c>
    </row>
    <row r="5289" spans="1:17" x14ac:dyDescent="0.25">
      <c r="A5289" t="str">
        <f>IF(C5289&amp;G5289&amp;D5289&lt;&gt;'Funnel setup'!$K$3&amp;'Funnel setup'!$K$4&amp;'Funnel setup'!$K$6,".",IF(A5288=".",1,A5288+1))</f>
        <v>.</v>
      </c>
      <c r="B5289" s="244" t="str">
        <f t="shared" si="82"/>
        <v>Total Knee ReplacementProviderDUCHY HOSPITAL (NT447)Oxford Knee Score</v>
      </c>
      <c r="C5289" t="s">
        <v>975</v>
      </c>
      <c r="D5289" t="s">
        <v>965</v>
      </c>
      <c r="E5289" t="s">
        <v>218</v>
      </c>
      <c r="F5289" t="s">
        <v>219</v>
      </c>
      <c r="G5289" t="s">
        <v>972</v>
      </c>
      <c r="H5289">
        <v>38</v>
      </c>
      <c r="I5289">
        <v>21.7895</v>
      </c>
      <c r="J5289">
        <v>41.631599999999999</v>
      </c>
      <c r="K5289">
        <v>19.842099999999999</v>
      </c>
      <c r="L5289">
        <v>37</v>
      </c>
      <c r="M5289">
        <v>0</v>
      </c>
      <c r="N5289">
        <v>1</v>
      </c>
      <c r="O5289">
        <v>39.157600000000002</v>
      </c>
      <c r="P5289">
        <v>19.8889</v>
      </c>
      <c r="Q5289">
        <v>4.69794</v>
      </c>
    </row>
    <row r="5290" spans="1:17" x14ac:dyDescent="0.25">
      <c r="A5290" t="str">
        <f>IF(C5290&amp;G5290&amp;D5290&lt;&gt;'Funnel setup'!$K$3&amp;'Funnel setup'!$K$4&amp;'Funnel setup'!$K$6,".",IF(A5289=".",1,A5289+1))</f>
        <v>.</v>
      </c>
      <c r="B5290" s="244" t="str">
        <f t="shared" si="82"/>
        <v>Total Knee ReplacementProviderDUCHY HOSPITAL (NVC04)Oxford Knee Score</v>
      </c>
      <c r="C5290" t="s">
        <v>975</v>
      </c>
      <c r="D5290" t="s">
        <v>965</v>
      </c>
      <c r="E5290" t="s">
        <v>220</v>
      </c>
      <c r="F5290" t="s">
        <v>221</v>
      </c>
      <c r="G5290" t="s">
        <v>972</v>
      </c>
      <c r="H5290">
        <v>29</v>
      </c>
      <c r="I5290">
        <v>22.517199999999999</v>
      </c>
      <c r="J5290">
        <v>36.827599999999997</v>
      </c>
      <c r="K5290">
        <v>14.3103</v>
      </c>
      <c r="L5290">
        <v>27</v>
      </c>
      <c r="M5290">
        <v>0</v>
      </c>
      <c r="N5290">
        <v>2</v>
      </c>
      <c r="O5290" t="s">
        <v>127</v>
      </c>
      <c r="P5290" t="s">
        <v>127</v>
      </c>
      <c r="Q5290" t="s">
        <v>127</v>
      </c>
    </row>
    <row r="5291" spans="1:17" x14ac:dyDescent="0.25">
      <c r="A5291" t="str">
        <f>IF(C5291&amp;G5291&amp;D5291&lt;&gt;'Funnel setup'!$K$3&amp;'Funnel setup'!$K$4&amp;'Funnel setup'!$K$6,".",IF(A5290=".",1,A5290+1))</f>
        <v>.</v>
      </c>
      <c r="B5291" s="244" t="str">
        <f t="shared" si="82"/>
        <v>Total Knee ReplacementProviderEAST AND NORTH HERTFORDSHIRE NHS TRUST (RWH)Oxford Knee Score</v>
      </c>
      <c r="C5291" t="s">
        <v>975</v>
      </c>
      <c r="D5291" t="s">
        <v>965</v>
      </c>
      <c r="E5291" t="s">
        <v>224</v>
      </c>
      <c r="F5291" t="s">
        <v>225</v>
      </c>
      <c r="G5291" t="s">
        <v>972</v>
      </c>
      <c r="H5291">
        <v>29</v>
      </c>
      <c r="I5291">
        <v>19.413799999999998</v>
      </c>
      <c r="J5291">
        <v>35.379300000000001</v>
      </c>
      <c r="K5291">
        <v>15.9655</v>
      </c>
      <c r="L5291">
        <v>26</v>
      </c>
      <c r="M5291">
        <v>0</v>
      </c>
      <c r="N5291">
        <v>3</v>
      </c>
      <c r="O5291" t="s">
        <v>127</v>
      </c>
      <c r="P5291" t="s">
        <v>127</v>
      </c>
      <c r="Q5291" t="s">
        <v>127</v>
      </c>
    </row>
    <row r="5292" spans="1:17" x14ac:dyDescent="0.25">
      <c r="A5292" t="str">
        <f>IF(C5292&amp;G5292&amp;D5292&lt;&gt;'Funnel setup'!$K$3&amp;'Funnel setup'!$K$4&amp;'Funnel setup'!$K$6,".",IF(A5291=".",1,A5291+1))</f>
        <v>.</v>
      </c>
      <c r="B5292" s="244" t="str">
        <f t="shared" si="82"/>
        <v>Total Knee ReplacementProviderEAST CHESHIRE NHS TRUST (RJN)Oxford Knee Score</v>
      </c>
      <c r="C5292" t="s">
        <v>975</v>
      </c>
      <c r="D5292" t="s">
        <v>965</v>
      </c>
      <c r="E5292" t="s">
        <v>226</v>
      </c>
      <c r="F5292" t="s">
        <v>227</v>
      </c>
      <c r="G5292" t="s">
        <v>972</v>
      </c>
      <c r="H5292">
        <v>6</v>
      </c>
      <c r="I5292">
        <v>11.833299999999999</v>
      </c>
      <c r="J5292">
        <v>35.166699999999999</v>
      </c>
      <c r="K5292">
        <v>23.333300000000001</v>
      </c>
      <c r="L5292">
        <v>6</v>
      </c>
      <c r="M5292">
        <v>0</v>
      </c>
      <c r="N5292">
        <v>0</v>
      </c>
      <c r="O5292" t="s">
        <v>127</v>
      </c>
      <c r="P5292" t="s">
        <v>127</v>
      </c>
      <c r="Q5292" t="s">
        <v>127</v>
      </c>
    </row>
    <row r="5293" spans="1:17" x14ac:dyDescent="0.25">
      <c r="A5293" t="str">
        <f>IF(C5293&amp;G5293&amp;D5293&lt;&gt;'Funnel setup'!$K$3&amp;'Funnel setup'!$K$4&amp;'Funnel setup'!$K$6,".",IF(A5292=".",1,A5292+1))</f>
        <v>.</v>
      </c>
      <c r="B5293" s="244" t="str">
        <f t="shared" si="82"/>
        <v>Total Knee ReplacementProviderEAST KENT HOSPITALS UNIVERSITY NHS FOUNDATION TRUST (RVV)Oxford Knee Score</v>
      </c>
      <c r="C5293" t="s">
        <v>975</v>
      </c>
      <c r="D5293" t="s">
        <v>965</v>
      </c>
      <c r="E5293" t="s">
        <v>228</v>
      </c>
      <c r="F5293" t="s">
        <v>229</v>
      </c>
      <c r="G5293" t="s">
        <v>972</v>
      </c>
      <c r="H5293">
        <v>95</v>
      </c>
      <c r="I5293">
        <v>19.168399999999998</v>
      </c>
      <c r="J5293">
        <v>36.042099999999998</v>
      </c>
      <c r="K5293">
        <v>16.873699999999999</v>
      </c>
      <c r="L5293">
        <v>88</v>
      </c>
      <c r="M5293">
        <v>1</v>
      </c>
      <c r="N5293">
        <v>6</v>
      </c>
      <c r="O5293">
        <v>37.246299999999998</v>
      </c>
      <c r="P5293">
        <v>17.977699999999999</v>
      </c>
      <c r="Q5293">
        <v>8.4136000000000006</v>
      </c>
    </row>
    <row r="5294" spans="1:17" x14ac:dyDescent="0.25">
      <c r="A5294" t="str">
        <f>IF(C5294&amp;G5294&amp;D5294&lt;&gt;'Funnel setup'!$K$3&amp;'Funnel setup'!$K$4&amp;'Funnel setup'!$K$6,".",IF(A5293=".",1,A5293+1))</f>
        <v>.</v>
      </c>
      <c r="B5294" s="244" t="str">
        <f t="shared" si="82"/>
        <v>Total Knee ReplacementProviderEAST LANCASHIRE HOSPITALS NHS TRUST (RXR)Oxford Knee Score</v>
      </c>
      <c r="C5294" t="s">
        <v>975</v>
      </c>
      <c r="D5294" t="s">
        <v>965</v>
      </c>
      <c r="E5294" t="s">
        <v>230</v>
      </c>
      <c r="F5294" t="s">
        <v>231</v>
      </c>
      <c r="G5294" t="s">
        <v>972</v>
      </c>
      <c r="H5294">
        <v>100</v>
      </c>
      <c r="I5294">
        <v>19.18</v>
      </c>
      <c r="J5294">
        <v>36.44</v>
      </c>
      <c r="K5294">
        <v>17.260000000000002</v>
      </c>
      <c r="L5294">
        <v>92</v>
      </c>
      <c r="M5294">
        <v>2</v>
      </c>
      <c r="N5294">
        <v>6</v>
      </c>
      <c r="O5294">
        <v>37.144199999999998</v>
      </c>
      <c r="P5294">
        <v>17.875599999999999</v>
      </c>
      <c r="Q5294">
        <v>9.3205200000000001</v>
      </c>
    </row>
    <row r="5295" spans="1:17" x14ac:dyDescent="0.25">
      <c r="A5295" t="str">
        <f>IF(C5295&amp;G5295&amp;D5295&lt;&gt;'Funnel setup'!$K$3&amp;'Funnel setup'!$K$4&amp;'Funnel setup'!$K$6,".",IF(A5294=".",1,A5294+1))</f>
        <v>.</v>
      </c>
      <c r="B5295" s="244" t="str">
        <f t="shared" si="82"/>
        <v>Total Knee ReplacementProviderEAST SUFFOLK AND NORTH ESSEX NHS FOUNDATION TRUST (RDE)Oxford Knee Score</v>
      </c>
      <c r="C5295" t="s">
        <v>975</v>
      </c>
      <c r="D5295" t="s">
        <v>965</v>
      </c>
      <c r="E5295" t="s">
        <v>232</v>
      </c>
      <c r="F5295" t="s">
        <v>233</v>
      </c>
      <c r="G5295" t="s">
        <v>972</v>
      </c>
      <c r="H5295">
        <v>137</v>
      </c>
      <c r="I5295">
        <v>17.970800000000001</v>
      </c>
      <c r="J5295">
        <v>37.1387</v>
      </c>
      <c r="K5295">
        <v>19.167899999999999</v>
      </c>
      <c r="L5295">
        <v>133</v>
      </c>
      <c r="M5295">
        <v>0</v>
      </c>
      <c r="N5295">
        <v>4</v>
      </c>
      <c r="O5295">
        <v>37.632199999999997</v>
      </c>
      <c r="P5295">
        <v>18.363600000000002</v>
      </c>
      <c r="Q5295">
        <v>8.1877099999999992</v>
      </c>
    </row>
    <row r="5296" spans="1:17" x14ac:dyDescent="0.25">
      <c r="A5296" t="str">
        <f>IF(C5296&amp;G5296&amp;D5296&lt;&gt;'Funnel setup'!$K$3&amp;'Funnel setup'!$K$4&amp;'Funnel setup'!$K$6,".",IF(A5295=".",1,A5295+1))</f>
        <v>.</v>
      </c>
      <c r="B5296" s="244" t="str">
        <f t="shared" si="82"/>
        <v>Total Knee ReplacementProviderEAST SUSSEX HEALTHCARE NHS TRUST (RXC)Oxford Knee Score</v>
      </c>
      <c r="C5296" t="s">
        <v>975</v>
      </c>
      <c r="D5296" t="s">
        <v>965</v>
      </c>
      <c r="E5296" t="s">
        <v>234</v>
      </c>
      <c r="F5296" t="s">
        <v>235</v>
      </c>
      <c r="G5296" t="s">
        <v>972</v>
      </c>
      <c r="H5296">
        <v>87</v>
      </c>
      <c r="I5296">
        <v>18.1494</v>
      </c>
      <c r="J5296">
        <v>36.8506</v>
      </c>
      <c r="K5296">
        <v>18.7011</v>
      </c>
      <c r="L5296">
        <v>84</v>
      </c>
      <c r="M5296">
        <v>0</v>
      </c>
      <c r="N5296">
        <v>3</v>
      </c>
      <c r="O5296">
        <v>37.810200000000002</v>
      </c>
      <c r="P5296">
        <v>18.541599999999999</v>
      </c>
      <c r="Q5296">
        <v>8.1577400000000004</v>
      </c>
    </row>
    <row r="5297" spans="1:17" x14ac:dyDescent="0.25">
      <c r="A5297" t="str">
        <f>IF(C5297&amp;G5297&amp;D5297&lt;&gt;'Funnel setup'!$K$3&amp;'Funnel setup'!$K$4&amp;'Funnel setup'!$K$6,".",IF(A5296=".",1,A5296+1))</f>
        <v>.</v>
      </c>
      <c r="B5297" s="244" t="str">
        <f t="shared" si="82"/>
        <v>Total Knee ReplacementProviderEPSOM AND ST HELIER UNIVERSITY HOSPITALS NHS TRUST (RVR)Oxford Knee Score</v>
      </c>
      <c r="C5297" t="s">
        <v>975</v>
      </c>
      <c r="D5297" t="s">
        <v>965</v>
      </c>
      <c r="E5297" t="s">
        <v>238</v>
      </c>
      <c r="F5297" t="s">
        <v>239</v>
      </c>
      <c r="G5297" t="s">
        <v>972</v>
      </c>
      <c r="H5297">
        <v>689</v>
      </c>
      <c r="I5297">
        <v>20.497800000000002</v>
      </c>
      <c r="J5297">
        <v>36.872300000000003</v>
      </c>
      <c r="K5297">
        <v>16.374500000000001</v>
      </c>
      <c r="L5297">
        <v>656</v>
      </c>
      <c r="M5297">
        <v>2</v>
      </c>
      <c r="N5297">
        <v>31</v>
      </c>
      <c r="O5297">
        <v>36.306399999999996</v>
      </c>
      <c r="P5297">
        <v>17.037700000000001</v>
      </c>
      <c r="Q5297">
        <v>8.1172000000000004</v>
      </c>
    </row>
    <row r="5298" spans="1:17" x14ac:dyDescent="0.25">
      <c r="A5298" t="str">
        <f>IF(C5298&amp;G5298&amp;D5298&lt;&gt;'Funnel setup'!$K$3&amp;'Funnel setup'!$K$4&amp;'Funnel setup'!$K$6,".",IF(A5297=".",1,A5297+1))</f>
        <v>.</v>
      </c>
      <c r="B5298" s="244" t="str">
        <f t="shared" si="82"/>
        <v>Total Knee ReplacementProviderEUXTON HALL HOSPITAL (NVC05)Oxford Knee Score</v>
      </c>
      <c r="C5298" t="s">
        <v>975</v>
      </c>
      <c r="D5298" t="s">
        <v>965</v>
      </c>
      <c r="E5298" t="s">
        <v>240</v>
      </c>
      <c r="F5298" t="s">
        <v>241</v>
      </c>
      <c r="G5298" t="s">
        <v>972</v>
      </c>
      <c r="H5298">
        <v>54</v>
      </c>
      <c r="I5298">
        <v>17.8</v>
      </c>
      <c r="J5298">
        <v>39.381799999999998</v>
      </c>
      <c r="K5298">
        <v>21.581800000000001</v>
      </c>
      <c r="L5298">
        <v>53</v>
      </c>
      <c r="M5298">
        <v>1</v>
      </c>
      <c r="N5298">
        <v>0</v>
      </c>
      <c r="O5298">
        <v>39.405700000000003</v>
      </c>
      <c r="P5298">
        <v>20.1371</v>
      </c>
      <c r="Q5298">
        <v>8.0813100000000002</v>
      </c>
    </row>
    <row r="5299" spans="1:17" x14ac:dyDescent="0.25">
      <c r="A5299" t="str">
        <f>IF(C5299&amp;G5299&amp;D5299&lt;&gt;'Funnel setup'!$K$3&amp;'Funnel setup'!$K$4&amp;'Funnel setup'!$K$6,".",IF(A5298=".",1,A5298+1))</f>
        <v>.</v>
      </c>
      <c r="B5299" s="244" t="str">
        <f t="shared" si="82"/>
        <v>Total Knee ReplacementProviderFAIRFIELD HOSPITAL (NVG01)Oxford Knee Score</v>
      </c>
      <c r="C5299" t="s">
        <v>975</v>
      </c>
      <c r="D5299" t="s">
        <v>965</v>
      </c>
      <c r="E5299" t="s">
        <v>242</v>
      </c>
      <c r="F5299" t="s">
        <v>243</v>
      </c>
      <c r="G5299" t="s">
        <v>972</v>
      </c>
      <c r="H5299">
        <v>48</v>
      </c>
      <c r="I5299">
        <v>18.583300000000001</v>
      </c>
      <c r="J5299">
        <v>35.25</v>
      </c>
      <c r="K5299">
        <v>16.666699999999999</v>
      </c>
      <c r="L5299">
        <v>44</v>
      </c>
      <c r="M5299">
        <v>1</v>
      </c>
      <c r="N5299">
        <v>3</v>
      </c>
      <c r="O5299">
        <v>35.220500000000001</v>
      </c>
      <c r="P5299">
        <v>15.9519</v>
      </c>
      <c r="Q5299">
        <v>9.0213900000000002</v>
      </c>
    </row>
    <row r="5300" spans="1:17" x14ac:dyDescent="0.25">
      <c r="A5300" t="str">
        <f>IF(C5300&amp;G5300&amp;D5300&lt;&gt;'Funnel setup'!$K$3&amp;'Funnel setup'!$K$4&amp;'Funnel setup'!$K$6,".",IF(A5299=".",1,A5299+1))</f>
        <v>.</v>
      </c>
      <c r="B5300" s="244" t="str">
        <f t="shared" si="82"/>
        <v>Total Knee ReplacementProviderFITZWILLIAM HOSPITAL (NVC06)Oxford Knee Score</v>
      </c>
      <c r="C5300" t="s">
        <v>975</v>
      </c>
      <c r="D5300" t="s">
        <v>965</v>
      </c>
      <c r="E5300" t="s">
        <v>244</v>
      </c>
      <c r="F5300" t="s">
        <v>245</v>
      </c>
      <c r="G5300" t="s">
        <v>972</v>
      </c>
      <c r="H5300">
        <v>94</v>
      </c>
      <c r="I5300">
        <v>19.617000000000001</v>
      </c>
      <c r="J5300">
        <v>39.5319</v>
      </c>
      <c r="K5300">
        <v>19.914899999999999</v>
      </c>
      <c r="L5300">
        <v>92</v>
      </c>
      <c r="M5300">
        <v>0</v>
      </c>
      <c r="N5300">
        <v>2</v>
      </c>
      <c r="O5300">
        <v>38.555900000000001</v>
      </c>
      <c r="P5300">
        <v>19.287299999999998</v>
      </c>
      <c r="Q5300">
        <v>7.2915299999999998</v>
      </c>
    </row>
    <row r="5301" spans="1:17" x14ac:dyDescent="0.25">
      <c r="A5301" t="str">
        <f>IF(C5301&amp;G5301&amp;D5301&lt;&gt;'Funnel setup'!$K$3&amp;'Funnel setup'!$K$4&amp;'Funnel setup'!$K$6,".",IF(A5300=".",1,A5300+1))</f>
        <v>.</v>
      </c>
      <c r="B5301" s="244" t="str">
        <f t="shared" si="82"/>
        <v>Total Knee ReplacementProviderFRIMLEY HEALTH NHS FOUNDATION TRUST (RDU)Oxford Knee Score</v>
      </c>
      <c r="C5301" t="s">
        <v>975</v>
      </c>
      <c r="D5301" t="s">
        <v>965</v>
      </c>
      <c r="E5301" t="s">
        <v>248</v>
      </c>
      <c r="F5301" t="s">
        <v>249</v>
      </c>
      <c r="G5301" t="s">
        <v>972</v>
      </c>
      <c r="H5301">
        <v>204</v>
      </c>
      <c r="I5301">
        <v>21.25</v>
      </c>
      <c r="J5301">
        <v>35.970599999999997</v>
      </c>
      <c r="K5301">
        <v>14.720599999999999</v>
      </c>
      <c r="L5301">
        <v>185</v>
      </c>
      <c r="M5301">
        <v>6</v>
      </c>
      <c r="N5301">
        <v>13</v>
      </c>
      <c r="O5301">
        <v>34.930199999999999</v>
      </c>
      <c r="P5301">
        <v>15.6616</v>
      </c>
      <c r="Q5301">
        <v>9.1161300000000001</v>
      </c>
    </row>
    <row r="5302" spans="1:17" x14ac:dyDescent="0.25">
      <c r="A5302" t="str">
        <f>IF(C5302&amp;G5302&amp;D5302&lt;&gt;'Funnel setup'!$K$3&amp;'Funnel setup'!$K$4&amp;'Funnel setup'!$K$6,".",IF(A5301=".",1,A5301+1))</f>
        <v>.</v>
      </c>
      <c r="B5302" s="244" t="str">
        <f t="shared" si="82"/>
        <v>Total Knee ReplacementProviderFULWOOD HALL HOSPITAL (NVC07)Oxford Knee Score</v>
      </c>
      <c r="C5302" t="s">
        <v>975</v>
      </c>
      <c r="D5302" t="s">
        <v>965</v>
      </c>
      <c r="E5302" t="s">
        <v>250</v>
      </c>
      <c r="F5302" t="s">
        <v>251</v>
      </c>
      <c r="G5302" t="s">
        <v>972</v>
      </c>
      <c r="H5302">
        <v>87</v>
      </c>
      <c r="I5302">
        <v>20.8736</v>
      </c>
      <c r="J5302">
        <v>39.8506</v>
      </c>
      <c r="K5302">
        <v>18.977</v>
      </c>
      <c r="L5302">
        <v>85</v>
      </c>
      <c r="M5302">
        <v>0</v>
      </c>
      <c r="N5302">
        <v>2</v>
      </c>
      <c r="O5302">
        <v>38.707099999999997</v>
      </c>
      <c r="P5302">
        <v>19.438500000000001</v>
      </c>
      <c r="Q5302">
        <v>8.1121200000000009</v>
      </c>
    </row>
    <row r="5303" spans="1:17" x14ac:dyDescent="0.25">
      <c r="A5303" t="str">
        <f>IF(C5303&amp;G5303&amp;D5303&lt;&gt;'Funnel setup'!$K$3&amp;'Funnel setup'!$K$4&amp;'Funnel setup'!$K$6,".",IF(A5302=".",1,A5302+1))</f>
        <v>.</v>
      </c>
      <c r="B5303" s="244" t="str">
        <f t="shared" si="82"/>
        <v>Total Knee ReplacementProviderGATESHEAD HEALTH NHS FOUNDATION TRUST (RR7)Oxford Knee Score</v>
      </c>
      <c r="C5303" t="s">
        <v>975</v>
      </c>
      <c r="D5303" t="s">
        <v>965</v>
      </c>
      <c r="E5303" t="s">
        <v>252</v>
      </c>
      <c r="F5303" t="s">
        <v>253</v>
      </c>
      <c r="G5303" t="s">
        <v>972</v>
      </c>
      <c r="H5303">
        <v>45</v>
      </c>
      <c r="I5303">
        <v>14.644399999999999</v>
      </c>
      <c r="J5303">
        <v>35.533299999999997</v>
      </c>
      <c r="K5303">
        <v>20.8889</v>
      </c>
      <c r="L5303">
        <v>44</v>
      </c>
      <c r="M5303">
        <v>0</v>
      </c>
      <c r="N5303">
        <v>1</v>
      </c>
      <c r="O5303">
        <v>38.718800000000002</v>
      </c>
      <c r="P5303">
        <v>19.450199999999999</v>
      </c>
      <c r="Q5303">
        <v>9.6973000000000003</v>
      </c>
    </row>
    <row r="5304" spans="1:17" x14ac:dyDescent="0.25">
      <c r="A5304" t="str">
        <f>IF(C5304&amp;G5304&amp;D5304&lt;&gt;'Funnel setup'!$K$3&amp;'Funnel setup'!$K$4&amp;'Funnel setup'!$K$6,".",IF(A5303=".",1,A5303+1))</f>
        <v>.</v>
      </c>
      <c r="B5304" s="244" t="str">
        <f t="shared" si="82"/>
        <v>Total Knee ReplacementProviderGLOUCESTERSHIRE HOSPITALS NHS FOUNDATION TRUST (RTE)Oxford Knee Score</v>
      </c>
      <c r="C5304" t="s">
        <v>975</v>
      </c>
      <c r="D5304" t="s">
        <v>965</v>
      </c>
      <c r="E5304" t="s">
        <v>256</v>
      </c>
      <c r="F5304" t="s">
        <v>257</v>
      </c>
      <c r="G5304" t="s">
        <v>972</v>
      </c>
      <c r="H5304">
        <v>69</v>
      </c>
      <c r="I5304">
        <v>16.275400000000001</v>
      </c>
      <c r="J5304">
        <v>36.840600000000002</v>
      </c>
      <c r="K5304">
        <v>20.565200000000001</v>
      </c>
      <c r="L5304">
        <v>68</v>
      </c>
      <c r="M5304">
        <v>0</v>
      </c>
      <c r="N5304">
        <v>1</v>
      </c>
      <c r="O5304">
        <v>38.465400000000002</v>
      </c>
      <c r="P5304">
        <v>19.1967</v>
      </c>
      <c r="Q5304">
        <v>7.8614899999999999</v>
      </c>
    </row>
    <row r="5305" spans="1:17" x14ac:dyDescent="0.25">
      <c r="A5305" t="str">
        <f>IF(C5305&amp;G5305&amp;D5305&lt;&gt;'Funnel setup'!$K$3&amp;'Funnel setup'!$K$4&amp;'Funnel setup'!$K$6,".",IF(A5304=".",1,A5304+1))</f>
        <v>.</v>
      </c>
      <c r="B5305" s="244" t="str">
        <f t="shared" si="82"/>
        <v>Total Knee ReplacementProviderGORING HALL HOSPITAL (NT417)Oxford Knee Score</v>
      </c>
      <c r="C5305" t="s">
        <v>975</v>
      </c>
      <c r="D5305" t="s">
        <v>965</v>
      </c>
      <c r="E5305" t="s">
        <v>258</v>
      </c>
      <c r="F5305" t="s">
        <v>259</v>
      </c>
      <c r="G5305" t="s">
        <v>972</v>
      </c>
      <c r="H5305">
        <v>26</v>
      </c>
      <c r="I5305">
        <v>20.461500000000001</v>
      </c>
      <c r="J5305">
        <v>39.269199999999998</v>
      </c>
      <c r="K5305">
        <v>18.807700000000001</v>
      </c>
      <c r="L5305">
        <v>24</v>
      </c>
      <c r="M5305">
        <v>0</v>
      </c>
      <c r="N5305">
        <v>2</v>
      </c>
      <c r="O5305" t="s">
        <v>127</v>
      </c>
      <c r="P5305" t="s">
        <v>127</v>
      </c>
      <c r="Q5305" t="s">
        <v>127</v>
      </c>
    </row>
    <row r="5306" spans="1:17" x14ac:dyDescent="0.25">
      <c r="A5306" t="str">
        <f>IF(C5306&amp;G5306&amp;D5306&lt;&gt;'Funnel setup'!$K$3&amp;'Funnel setup'!$K$4&amp;'Funnel setup'!$K$6,".",IF(A5305=".",1,A5305+1))</f>
        <v>.</v>
      </c>
      <c r="B5306" s="244" t="str">
        <f t="shared" si="82"/>
        <v>Total Knee ReplacementProviderGUY'S AND ST THOMAS' NHS FOUNDATION TRUST (RJ1)Oxford Knee Score</v>
      </c>
      <c r="C5306" t="s">
        <v>975</v>
      </c>
      <c r="D5306" t="s">
        <v>965</v>
      </c>
      <c r="E5306" t="s">
        <v>262</v>
      </c>
      <c r="F5306" t="s">
        <v>263</v>
      </c>
      <c r="G5306" t="s">
        <v>972</v>
      </c>
      <c r="H5306">
        <v>71</v>
      </c>
      <c r="I5306">
        <v>16.915500000000002</v>
      </c>
      <c r="J5306">
        <v>31.7042</v>
      </c>
      <c r="K5306">
        <v>14.7887</v>
      </c>
      <c r="L5306">
        <v>66</v>
      </c>
      <c r="M5306">
        <v>0</v>
      </c>
      <c r="N5306">
        <v>5</v>
      </c>
      <c r="O5306">
        <v>34.7029</v>
      </c>
      <c r="P5306">
        <v>15.4343</v>
      </c>
      <c r="Q5306">
        <v>9.1931899999999995</v>
      </c>
    </row>
    <row r="5307" spans="1:17" x14ac:dyDescent="0.25">
      <c r="A5307" t="str">
        <f>IF(C5307&amp;G5307&amp;D5307&lt;&gt;'Funnel setup'!$K$3&amp;'Funnel setup'!$K$4&amp;'Funnel setup'!$K$6,".",IF(A5306=".",1,A5306+1))</f>
        <v>.</v>
      </c>
      <c r="B5307" s="244" t="str">
        <f t="shared" si="82"/>
        <v>Total Knee ReplacementProviderHAMPSHIRE CLINIC (NT418)Oxford Knee Score</v>
      </c>
      <c r="C5307" t="s">
        <v>975</v>
      </c>
      <c r="D5307" t="s">
        <v>965</v>
      </c>
      <c r="E5307" t="s">
        <v>264</v>
      </c>
      <c r="F5307" t="s">
        <v>265</v>
      </c>
      <c r="G5307" t="s">
        <v>972</v>
      </c>
      <c r="H5307">
        <v>22</v>
      </c>
      <c r="I5307">
        <v>24.217400000000001</v>
      </c>
      <c r="J5307">
        <v>39.652200000000001</v>
      </c>
      <c r="K5307">
        <v>15.434799999999999</v>
      </c>
      <c r="L5307">
        <v>20</v>
      </c>
      <c r="M5307">
        <v>0</v>
      </c>
      <c r="N5307">
        <v>2</v>
      </c>
      <c r="O5307" t="s">
        <v>127</v>
      </c>
      <c r="P5307" t="s">
        <v>127</v>
      </c>
      <c r="Q5307" t="s">
        <v>127</v>
      </c>
    </row>
    <row r="5308" spans="1:17" x14ac:dyDescent="0.25">
      <c r="A5308" t="str">
        <f>IF(C5308&amp;G5308&amp;D5308&lt;&gt;'Funnel setup'!$K$3&amp;'Funnel setup'!$K$4&amp;'Funnel setup'!$K$6,".",IF(A5307=".",1,A5307+1))</f>
        <v>.</v>
      </c>
      <c r="B5308" s="244" t="str">
        <f t="shared" si="82"/>
        <v>Total Knee ReplacementProviderHAMPSHIRE HOSPITALS NHS FOUNDATION TRUST (RN5)Oxford Knee Score</v>
      </c>
      <c r="C5308" t="s">
        <v>975</v>
      </c>
      <c r="D5308" t="s">
        <v>965</v>
      </c>
      <c r="E5308" t="s">
        <v>266</v>
      </c>
      <c r="F5308" t="s">
        <v>267</v>
      </c>
      <c r="G5308" t="s">
        <v>972</v>
      </c>
      <c r="H5308">
        <v>28</v>
      </c>
      <c r="I5308">
        <v>21.178599999999999</v>
      </c>
      <c r="J5308">
        <v>38.535699999999999</v>
      </c>
      <c r="K5308">
        <v>17.357099999999999</v>
      </c>
      <c r="L5308">
        <v>25</v>
      </c>
      <c r="M5308">
        <v>0</v>
      </c>
      <c r="N5308">
        <v>3</v>
      </c>
      <c r="O5308" t="s">
        <v>127</v>
      </c>
      <c r="P5308" t="s">
        <v>127</v>
      </c>
      <c r="Q5308" t="s">
        <v>127</v>
      </c>
    </row>
    <row r="5309" spans="1:17" x14ac:dyDescent="0.25">
      <c r="A5309" t="str">
        <f>IF(C5309&amp;G5309&amp;D5309&lt;&gt;'Funnel setup'!$K$3&amp;'Funnel setup'!$K$4&amp;'Funnel setup'!$K$6,".",IF(A5308=".",1,A5308+1))</f>
        <v>.</v>
      </c>
      <c r="B5309" s="244" t="str">
        <f t="shared" si="82"/>
        <v>Total Knee ReplacementProviderHARROGATE AND DISTRICT NHS FOUNDATION TRUST (RCD)Oxford Knee Score</v>
      </c>
      <c r="C5309" t="s">
        <v>975</v>
      </c>
      <c r="D5309" t="s">
        <v>965</v>
      </c>
      <c r="E5309" t="s">
        <v>270</v>
      </c>
      <c r="F5309" t="s">
        <v>271</v>
      </c>
      <c r="G5309" t="s">
        <v>972</v>
      </c>
      <c r="H5309">
        <v>91</v>
      </c>
      <c r="I5309">
        <v>18.857099999999999</v>
      </c>
      <c r="J5309">
        <v>36.131900000000002</v>
      </c>
      <c r="K5309">
        <v>17.274699999999999</v>
      </c>
      <c r="L5309">
        <v>87</v>
      </c>
      <c r="M5309">
        <v>2</v>
      </c>
      <c r="N5309">
        <v>2</v>
      </c>
      <c r="O5309">
        <v>36.620100000000001</v>
      </c>
      <c r="P5309">
        <v>17.351500000000001</v>
      </c>
      <c r="Q5309">
        <v>8.48367</v>
      </c>
    </row>
    <row r="5310" spans="1:17" x14ac:dyDescent="0.25">
      <c r="A5310" t="str">
        <f>IF(C5310&amp;G5310&amp;D5310&lt;&gt;'Funnel setup'!$K$3&amp;'Funnel setup'!$K$4&amp;'Funnel setup'!$K$6,".",IF(A5309=".",1,A5309+1))</f>
        <v>.</v>
      </c>
      <c r="B5310" s="244" t="str">
        <f t="shared" si="82"/>
        <v>Total Knee ReplacementProviderHIGHFIELD HOSPITAL (NT420)Oxford Knee Score</v>
      </c>
      <c r="C5310" t="s">
        <v>975</v>
      </c>
      <c r="D5310" t="s">
        <v>965</v>
      </c>
      <c r="E5310" t="s">
        <v>272</v>
      </c>
      <c r="F5310" t="s">
        <v>273</v>
      </c>
      <c r="G5310" t="s">
        <v>972</v>
      </c>
      <c r="H5310">
        <v>128</v>
      </c>
      <c r="I5310">
        <v>19.218800000000002</v>
      </c>
      <c r="J5310">
        <v>35.867199999999997</v>
      </c>
      <c r="K5310">
        <v>16.648399999999999</v>
      </c>
      <c r="L5310">
        <v>119</v>
      </c>
      <c r="M5310">
        <v>0</v>
      </c>
      <c r="N5310">
        <v>9</v>
      </c>
      <c r="O5310">
        <v>35.552799999999998</v>
      </c>
      <c r="P5310">
        <v>16.284199999999998</v>
      </c>
      <c r="Q5310">
        <v>8.9061199999999996</v>
      </c>
    </row>
    <row r="5311" spans="1:17" x14ac:dyDescent="0.25">
      <c r="A5311" t="str">
        <f>IF(C5311&amp;G5311&amp;D5311&lt;&gt;'Funnel setup'!$K$3&amp;'Funnel setup'!$K$4&amp;'Funnel setup'!$K$6,".",IF(A5310=".",1,A5310+1))</f>
        <v>.</v>
      </c>
      <c r="B5311" s="244" t="str">
        <f t="shared" si="82"/>
        <v>Total Knee ReplacementProviderHOMERTON HEALTHCARE NHS FOUNDATION TRUST (RQX)Oxford Knee Score</v>
      </c>
      <c r="C5311" t="s">
        <v>975</v>
      </c>
      <c r="D5311" t="s">
        <v>965</v>
      </c>
      <c r="E5311" t="s">
        <v>274</v>
      </c>
      <c r="F5311" t="s">
        <v>275</v>
      </c>
      <c r="G5311" t="s">
        <v>972</v>
      </c>
      <c r="H5311">
        <v>4</v>
      </c>
      <c r="I5311">
        <v>15.5</v>
      </c>
      <c r="J5311">
        <v>36.25</v>
      </c>
      <c r="K5311">
        <v>20.75</v>
      </c>
      <c r="L5311">
        <v>4</v>
      </c>
      <c r="M5311">
        <v>0</v>
      </c>
      <c r="N5311">
        <v>0</v>
      </c>
      <c r="O5311" t="s">
        <v>127</v>
      </c>
      <c r="P5311" t="s">
        <v>127</v>
      </c>
      <c r="Q5311" t="s">
        <v>127</v>
      </c>
    </row>
    <row r="5312" spans="1:17" x14ac:dyDescent="0.25">
      <c r="A5312" t="str">
        <f>IF(C5312&amp;G5312&amp;D5312&lt;&gt;'Funnel setup'!$K$3&amp;'Funnel setup'!$K$4&amp;'Funnel setup'!$K$6,".",IF(A5311=".",1,A5311+1))</f>
        <v>.</v>
      </c>
      <c r="B5312" s="244" t="str">
        <f t="shared" si="82"/>
        <v>Total Knee ReplacementProviderHUDDERSFIELD HOSPITAL (NT448)Oxford Knee Score</v>
      </c>
      <c r="C5312" t="s">
        <v>975</v>
      </c>
      <c r="D5312" t="s">
        <v>965</v>
      </c>
      <c r="E5312" t="s">
        <v>276</v>
      </c>
      <c r="F5312" t="s">
        <v>277</v>
      </c>
      <c r="G5312" t="s">
        <v>972</v>
      </c>
      <c r="H5312">
        <v>4</v>
      </c>
      <c r="I5312">
        <v>25</v>
      </c>
      <c r="J5312">
        <v>36.75</v>
      </c>
      <c r="K5312">
        <v>11.75</v>
      </c>
      <c r="L5312">
        <v>4</v>
      </c>
      <c r="M5312">
        <v>0</v>
      </c>
      <c r="N5312">
        <v>0</v>
      </c>
      <c r="O5312" t="s">
        <v>127</v>
      </c>
      <c r="P5312" t="s">
        <v>127</v>
      </c>
      <c r="Q5312" t="s">
        <v>127</v>
      </c>
    </row>
    <row r="5313" spans="1:17" x14ac:dyDescent="0.25">
      <c r="A5313" t="str">
        <f>IF(C5313&amp;G5313&amp;D5313&lt;&gt;'Funnel setup'!$K$3&amp;'Funnel setup'!$K$4&amp;'Funnel setup'!$K$6,".",IF(A5312=".",1,A5312+1))</f>
        <v>.</v>
      </c>
      <c r="B5313" s="244" t="str">
        <f t="shared" si="82"/>
        <v>Total Knee ReplacementProviderHULL UNIVERSITY TEACHING HOSPITALS NHS TRUST (RWA)Oxford Knee Score</v>
      </c>
      <c r="C5313" t="s">
        <v>975</v>
      </c>
      <c r="D5313" t="s">
        <v>965</v>
      </c>
      <c r="E5313" t="s">
        <v>278</v>
      </c>
      <c r="F5313" t="s">
        <v>279</v>
      </c>
      <c r="G5313" t="s">
        <v>972</v>
      </c>
      <c r="H5313">
        <v>32</v>
      </c>
      <c r="I5313">
        <v>18.3125</v>
      </c>
      <c r="J5313">
        <v>32.656300000000002</v>
      </c>
      <c r="K5313">
        <v>14.3438</v>
      </c>
      <c r="L5313">
        <v>29</v>
      </c>
      <c r="M5313">
        <v>1</v>
      </c>
      <c r="N5313">
        <v>2</v>
      </c>
      <c r="O5313">
        <v>33.810899999999997</v>
      </c>
      <c r="P5313">
        <v>14.542299999999999</v>
      </c>
      <c r="Q5313">
        <v>10.3994</v>
      </c>
    </row>
    <row r="5314" spans="1:17" x14ac:dyDescent="0.25">
      <c r="A5314" t="str">
        <f>IF(C5314&amp;G5314&amp;D5314&lt;&gt;'Funnel setup'!$K$3&amp;'Funnel setup'!$K$4&amp;'Funnel setup'!$K$6,".",IF(A5313=".",1,A5313+1))</f>
        <v>.</v>
      </c>
      <c r="B5314" s="244" t="str">
        <f t="shared" ref="B5314:B5377" si="83">C5314&amp;D5314&amp;F5314&amp;G5314</f>
        <v>Total Knee ReplacementProviderIMPERIAL COLLEGE HEALTHCARE NHS TRUST (RYJ)Oxford Knee Score</v>
      </c>
      <c r="C5314" t="s">
        <v>975</v>
      </c>
      <c r="D5314" t="s">
        <v>965</v>
      </c>
      <c r="E5314" t="s">
        <v>280</v>
      </c>
      <c r="F5314" t="s">
        <v>281</v>
      </c>
      <c r="G5314" t="s">
        <v>972</v>
      </c>
      <c r="H5314">
        <v>22</v>
      </c>
      <c r="I5314">
        <v>15.2727</v>
      </c>
      <c r="J5314">
        <v>34.545499999999997</v>
      </c>
      <c r="K5314">
        <v>19.2727</v>
      </c>
      <c r="L5314">
        <v>21</v>
      </c>
      <c r="M5314">
        <v>0</v>
      </c>
      <c r="N5314">
        <v>1</v>
      </c>
      <c r="O5314" t="s">
        <v>127</v>
      </c>
      <c r="P5314" t="s">
        <v>127</v>
      </c>
      <c r="Q5314" t="s">
        <v>127</v>
      </c>
    </row>
    <row r="5315" spans="1:17" x14ac:dyDescent="0.25">
      <c r="A5315" t="str">
        <f>IF(C5315&amp;G5315&amp;D5315&lt;&gt;'Funnel setup'!$K$3&amp;'Funnel setup'!$K$4&amp;'Funnel setup'!$K$6,".",IF(A5314=".",1,A5314+1))</f>
        <v>.</v>
      </c>
      <c r="B5315" s="244" t="str">
        <f t="shared" si="83"/>
        <v>Total Knee ReplacementProviderISLE OF WIGHT NHS TRUST (R1F)Oxford Knee Score</v>
      </c>
      <c r="C5315" t="s">
        <v>975</v>
      </c>
      <c r="D5315" t="s">
        <v>965</v>
      </c>
      <c r="E5315" t="s">
        <v>282</v>
      </c>
      <c r="F5315" t="s">
        <v>283</v>
      </c>
      <c r="G5315" t="s">
        <v>972</v>
      </c>
      <c r="H5315">
        <v>3</v>
      </c>
      <c r="I5315">
        <v>22.333300000000001</v>
      </c>
      <c r="J5315">
        <v>30</v>
      </c>
      <c r="K5315">
        <v>7.6666699999999999</v>
      </c>
      <c r="L5315">
        <v>2</v>
      </c>
      <c r="M5315">
        <v>1</v>
      </c>
      <c r="N5315">
        <v>0</v>
      </c>
      <c r="O5315" t="s">
        <v>127</v>
      </c>
      <c r="P5315" t="s">
        <v>127</v>
      </c>
      <c r="Q5315" t="s">
        <v>127</v>
      </c>
    </row>
    <row r="5316" spans="1:17" x14ac:dyDescent="0.25">
      <c r="A5316" t="str">
        <f>IF(C5316&amp;G5316&amp;D5316&lt;&gt;'Funnel setup'!$K$3&amp;'Funnel setup'!$K$4&amp;'Funnel setup'!$K$6,".",IF(A5315=".",1,A5315+1))</f>
        <v>.</v>
      </c>
      <c r="B5316" s="244" t="str">
        <f t="shared" si="83"/>
        <v>Total Knee ReplacementProviderJAMES PAGET UNIVERSITY HOSPITALS NHS FOUNDATION TRUST (RGP)Oxford Knee Score</v>
      </c>
      <c r="C5316" t="s">
        <v>975</v>
      </c>
      <c r="D5316" t="s">
        <v>965</v>
      </c>
      <c r="E5316" t="s">
        <v>284</v>
      </c>
      <c r="F5316" t="s">
        <v>285</v>
      </c>
      <c r="G5316" t="s">
        <v>972</v>
      </c>
      <c r="H5316">
        <v>72</v>
      </c>
      <c r="I5316">
        <v>18.2361</v>
      </c>
      <c r="J5316">
        <v>34.944400000000002</v>
      </c>
      <c r="K5316">
        <v>16.708300000000001</v>
      </c>
      <c r="L5316">
        <v>69</v>
      </c>
      <c r="M5316">
        <v>0</v>
      </c>
      <c r="N5316">
        <v>3</v>
      </c>
      <c r="O5316">
        <v>35.984099999999998</v>
      </c>
      <c r="P5316">
        <v>16.715499999999999</v>
      </c>
      <c r="Q5316">
        <v>8.1055799999999998</v>
      </c>
    </row>
    <row r="5317" spans="1:17" x14ac:dyDescent="0.25">
      <c r="A5317" t="str">
        <f>IF(C5317&amp;G5317&amp;D5317&lt;&gt;'Funnel setup'!$K$3&amp;'Funnel setup'!$K$4&amp;'Funnel setup'!$K$6,".",IF(A5316=".",1,A5316+1))</f>
        <v>.</v>
      </c>
      <c r="B5317" s="244" t="str">
        <f t="shared" si="83"/>
        <v>Total Knee ReplacementProviderKETTERING GENERAL HOSPITAL NHS FOUNDATION TRUST (RNQ)Oxford Knee Score</v>
      </c>
      <c r="C5317" t="s">
        <v>975</v>
      </c>
      <c r="D5317" t="s">
        <v>965</v>
      </c>
      <c r="E5317" t="s">
        <v>286</v>
      </c>
      <c r="F5317" t="s">
        <v>287</v>
      </c>
      <c r="G5317" t="s">
        <v>972</v>
      </c>
      <c r="H5317">
        <v>32</v>
      </c>
      <c r="I5317">
        <v>16.968800000000002</v>
      </c>
      <c r="J5317">
        <v>33.8125</v>
      </c>
      <c r="K5317">
        <v>16.843800000000002</v>
      </c>
      <c r="L5317">
        <v>31</v>
      </c>
      <c r="M5317">
        <v>0</v>
      </c>
      <c r="N5317">
        <v>1</v>
      </c>
      <c r="O5317">
        <v>36.012</v>
      </c>
      <c r="P5317">
        <v>16.743400000000001</v>
      </c>
      <c r="Q5317">
        <v>9.8852399999999996</v>
      </c>
    </row>
    <row r="5318" spans="1:17" x14ac:dyDescent="0.25">
      <c r="A5318" t="str">
        <f>IF(C5318&amp;G5318&amp;D5318&lt;&gt;'Funnel setup'!$K$3&amp;'Funnel setup'!$K$4&amp;'Funnel setup'!$K$6,".",IF(A5317=".",1,A5317+1))</f>
        <v>.</v>
      </c>
      <c r="B5318" s="244" t="str">
        <f t="shared" si="83"/>
        <v>Total Knee ReplacementProviderKIMS HOSPITAL (NEWNHAM COURT) (ADP02)Oxford Knee Score</v>
      </c>
      <c r="C5318" t="s">
        <v>975</v>
      </c>
      <c r="D5318" t="s">
        <v>965</v>
      </c>
      <c r="E5318" t="s">
        <v>288</v>
      </c>
      <c r="F5318" t="s">
        <v>289</v>
      </c>
      <c r="G5318" t="s">
        <v>972</v>
      </c>
      <c r="H5318">
        <v>135</v>
      </c>
      <c r="I5318">
        <v>21.9556</v>
      </c>
      <c r="J5318">
        <v>39.896299999999997</v>
      </c>
      <c r="K5318">
        <v>17.9407</v>
      </c>
      <c r="L5318">
        <v>131</v>
      </c>
      <c r="M5318">
        <v>0</v>
      </c>
      <c r="N5318">
        <v>4</v>
      </c>
      <c r="O5318">
        <v>38.443899999999999</v>
      </c>
      <c r="P5318">
        <v>19.1753</v>
      </c>
      <c r="Q5318">
        <v>7.7735900000000004</v>
      </c>
    </row>
    <row r="5319" spans="1:17" x14ac:dyDescent="0.25">
      <c r="A5319" t="str">
        <f>IF(C5319&amp;G5319&amp;D5319&lt;&gt;'Funnel setup'!$K$3&amp;'Funnel setup'!$K$4&amp;'Funnel setup'!$K$6,".",IF(A5318=".",1,A5318+1))</f>
        <v>.</v>
      </c>
      <c r="B5319" s="244" t="str">
        <f t="shared" si="83"/>
        <v>Total Knee ReplacementProviderKING'S COLLEGE HOSPITAL NHS FOUNDATION TRUST (RJZ)Oxford Knee Score</v>
      </c>
      <c r="C5319" t="s">
        <v>975</v>
      </c>
      <c r="D5319" t="s">
        <v>965</v>
      </c>
      <c r="E5319" t="s">
        <v>290</v>
      </c>
      <c r="F5319" t="s">
        <v>291</v>
      </c>
      <c r="G5319" t="s">
        <v>972</v>
      </c>
      <c r="H5319">
        <v>14</v>
      </c>
      <c r="I5319">
        <v>20.214300000000001</v>
      </c>
      <c r="J5319">
        <v>30.142900000000001</v>
      </c>
      <c r="K5319">
        <v>9.9285700000000006</v>
      </c>
      <c r="L5319">
        <v>11</v>
      </c>
      <c r="M5319">
        <v>1</v>
      </c>
      <c r="N5319">
        <v>2</v>
      </c>
      <c r="O5319" t="s">
        <v>127</v>
      </c>
      <c r="P5319" t="s">
        <v>127</v>
      </c>
      <c r="Q5319" t="s">
        <v>127</v>
      </c>
    </row>
    <row r="5320" spans="1:17" x14ac:dyDescent="0.25">
      <c r="A5320" t="str">
        <f>IF(C5320&amp;G5320&amp;D5320&lt;&gt;'Funnel setup'!$K$3&amp;'Funnel setup'!$K$4&amp;'Funnel setup'!$K$6,".",IF(A5319=".",1,A5319+1))</f>
        <v>.</v>
      </c>
      <c r="B5320" s="244" t="str">
        <f t="shared" si="83"/>
        <v>Total Knee ReplacementProviderKINGS OAK HOSPITAL (NT421)Oxford Knee Score</v>
      </c>
      <c r="C5320" t="s">
        <v>975</v>
      </c>
      <c r="D5320" t="s">
        <v>965</v>
      </c>
      <c r="E5320" t="s">
        <v>292</v>
      </c>
      <c r="F5320" t="s">
        <v>293</v>
      </c>
      <c r="G5320" t="s">
        <v>972</v>
      </c>
      <c r="H5320">
        <v>6</v>
      </c>
      <c r="I5320">
        <v>14</v>
      </c>
      <c r="J5320">
        <v>29.333300000000001</v>
      </c>
      <c r="K5320">
        <v>15.333299999999999</v>
      </c>
      <c r="L5320">
        <v>6</v>
      </c>
      <c r="M5320">
        <v>0</v>
      </c>
      <c r="N5320">
        <v>0</v>
      </c>
      <c r="O5320" t="s">
        <v>127</v>
      </c>
      <c r="P5320" t="s">
        <v>127</v>
      </c>
      <c r="Q5320" t="s">
        <v>127</v>
      </c>
    </row>
    <row r="5321" spans="1:17" x14ac:dyDescent="0.25">
      <c r="A5321" t="str">
        <f>IF(C5321&amp;G5321&amp;D5321&lt;&gt;'Funnel setup'!$K$3&amp;'Funnel setup'!$K$4&amp;'Funnel setup'!$K$6,".",IF(A5320=".",1,A5320+1))</f>
        <v>.</v>
      </c>
      <c r="B5321" s="244" t="str">
        <f t="shared" si="83"/>
        <v>Total Knee ReplacementProviderLANCASHIRE TEACHING HOSPITALS NHS FOUNDATION TRUST (RXN)Oxford Knee Score</v>
      </c>
      <c r="C5321" t="s">
        <v>975</v>
      </c>
      <c r="D5321" t="s">
        <v>965</v>
      </c>
      <c r="E5321" t="s">
        <v>296</v>
      </c>
      <c r="F5321" t="s">
        <v>297</v>
      </c>
      <c r="G5321" t="s">
        <v>972</v>
      </c>
      <c r="H5321">
        <v>44</v>
      </c>
      <c r="I5321">
        <v>18.4773</v>
      </c>
      <c r="J5321">
        <v>33.340899999999998</v>
      </c>
      <c r="K5321">
        <v>14.8636</v>
      </c>
      <c r="L5321">
        <v>38</v>
      </c>
      <c r="M5321">
        <v>2</v>
      </c>
      <c r="N5321">
        <v>4</v>
      </c>
      <c r="O5321">
        <v>34.922600000000003</v>
      </c>
      <c r="P5321">
        <v>15.6539</v>
      </c>
      <c r="Q5321">
        <v>10.6829</v>
      </c>
    </row>
    <row r="5322" spans="1:17" x14ac:dyDescent="0.25">
      <c r="A5322" t="str">
        <f>IF(C5322&amp;G5322&amp;D5322&lt;&gt;'Funnel setup'!$K$3&amp;'Funnel setup'!$K$4&amp;'Funnel setup'!$K$6,".",IF(A5321=".",1,A5321+1))</f>
        <v>.</v>
      </c>
      <c r="B5322" s="244" t="str">
        <f t="shared" si="83"/>
        <v>Total Knee ReplacementProviderLANCASTER HOSPITAL (NT449)Oxford Knee Score</v>
      </c>
      <c r="C5322" t="s">
        <v>975</v>
      </c>
      <c r="D5322" t="s">
        <v>965</v>
      </c>
      <c r="E5322" t="s">
        <v>298</v>
      </c>
      <c r="F5322" t="s">
        <v>299</v>
      </c>
      <c r="G5322" t="s">
        <v>972</v>
      </c>
      <c r="H5322">
        <v>32</v>
      </c>
      <c r="I5322">
        <v>21.875</v>
      </c>
      <c r="J5322">
        <v>38.593800000000002</v>
      </c>
      <c r="K5322">
        <v>16.718800000000002</v>
      </c>
      <c r="L5322">
        <v>29</v>
      </c>
      <c r="M5322">
        <v>0</v>
      </c>
      <c r="N5322">
        <v>3</v>
      </c>
      <c r="O5322">
        <v>36.535499999999999</v>
      </c>
      <c r="P5322">
        <v>17.2669</v>
      </c>
      <c r="Q5322">
        <v>6.0920500000000004</v>
      </c>
    </row>
    <row r="5323" spans="1:17" x14ac:dyDescent="0.25">
      <c r="A5323" t="str">
        <f>IF(C5323&amp;G5323&amp;D5323&lt;&gt;'Funnel setup'!$K$3&amp;'Funnel setup'!$K$4&amp;'Funnel setup'!$K$6,".",IF(A5322=".",1,A5322+1))</f>
        <v>.</v>
      </c>
      <c r="B5323" s="244" t="str">
        <f t="shared" si="83"/>
        <v>Total Knee ReplacementProviderLEEDS TEACHING HOSPITALS NHS TRUST (RR8)Oxford Knee Score</v>
      </c>
      <c r="C5323" t="s">
        <v>975</v>
      </c>
      <c r="D5323" t="s">
        <v>965</v>
      </c>
      <c r="E5323" t="s">
        <v>300</v>
      </c>
      <c r="F5323" t="s">
        <v>301</v>
      </c>
      <c r="G5323" t="s">
        <v>972</v>
      </c>
      <c r="H5323">
        <v>112</v>
      </c>
      <c r="I5323">
        <v>19.366099999999999</v>
      </c>
      <c r="J5323">
        <v>35.8125</v>
      </c>
      <c r="K5323">
        <v>16.446400000000001</v>
      </c>
      <c r="L5323">
        <v>109</v>
      </c>
      <c r="M5323">
        <v>0</v>
      </c>
      <c r="N5323">
        <v>3</v>
      </c>
      <c r="O5323">
        <v>36.392200000000003</v>
      </c>
      <c r="P5323">
        <v>17.1236</v>
      </c>
      <c r="Q5323">
        <v>8.9610299999999992</v>
      </c>
    </row>
    <row r="5324" spans="1:17" x14ac:dyDescent="0.25">
      <c r="A5324" t="str">
        <f>IF(C5324&amp;G5324&amp;D5324&lt;&gt;'Funnel setup'!$K$3&amp;'Funnel setup'!$K$4&amp;'Funnel setup'!$K$6,".",IF(A5323=".",1,A5323+1))</f>
        <v>.</v>
      </c>
      <c r="B5324" s="244" t="str">
        <f t="shared" si="83"/>
        <v>Total Knee ReplacementProviderLINCOLN HOSPITAL (NT450)Oxford Knee Score</v>
      </c>
      <c r="C5324" t="s">
        <v>975</v>
      </c>
      <c r="D5324" t="s">
        <v>965</v>
      </c>
      <c r="E5324" t="s">
        <v>304</v>
      </c>
      <c r="F5324" t="s">
        <v>305</v>
      </c>
      <c r="G5324" t="s">
        <v>972</v>
      </c>
      <c r="H5324">
        <v>72</v>
      </c>
      <c r="I5324">
        <v>21.794499999999999</v>
      </c>
      <c r="J5324">
        <v>39.534199999999998</v>
      </c>
      <c r="K5324">
        <v>17.739699999999999</v>
      </c>
      <c r="L5324">
        <v>70</v>
      </c>
      <c r="M5324">
        <v>1</v>
      </c>
      <c r="N5324">
        <v>1</v>
      </c>
      <c r="O5324">
        <v>37.972999999999999</v>
      </c>
      <c r="P5324">
        <v>18.7044</v>
      </c>
      <c r="Q5324">
        <v>6.3727799999999997</v>
      </c>
    </row>
    <row r="5325" spans="1:17" x14ac:dyDescent="0.25">
      <c r="A5325" t="str">
        <f>IF(C5325&amp;G5325&amp;D5325&lt;&gt;'Funnel setup'!$K$3&amp;'Funnel setup'!$K$4&amp;'Funnel setup'!$K$6,".",IF(A5324=".",1,A5324+1))</f>
        <v>.</v>
      </c>
      <c r="B5325" s="244" t="str">
        <f t="shared" si="83"/>
        <v>Total Knee ReplacementProviderLIVERPOOL UNIVERSITY HOSPITALS NHS FOUNDATION TRUST (REM)Oxford Knee Score</v>
      </c>
      <c r="C5325" t="s">
        <v>975</v>
      </c>
      <c r="D5325" t="s">
        <v>965</v>
      </c>
      <c r="E5325" t="s">
        <v>306</v>
      </c>
      <c r="F5325" t="s">
        <v>307</v>
      </c>
      <c r="G5325" t="s">
        <v>972</v>
      </c>
      <c r="H5325">
        <v>60</v>
      </c>
      <c r="I5325">
        <v>16.3</v>
      </c>
      <c r="J5325">
        <v>35.1</v>
      </c>
      <c r="K5325">
        <v>18.8</v>
      </c>
      <c r="L5325">
        <v>56</v>
      </c>
      <c r="M5325">
        <v>0</v>
      </c>
      <c r="N5325">
        <v>4</v>
      </c>
      <c r="O5325">
        <v>37.122399999999999</v>
      </c>
      <c r="P5325">
        <v>17.8538</v>
      </c>
      <c r="Q5325">
        <v>9.1210100000000001</v>
      </c>
    </row>
    <row r="5326" spans="1:17" x14ac:dyDescent="0.25">
      <c r="A5326" t="str">
        <f>IF(C5326&amp;G5326&amp;D5326&lt;&gt;'Funnel setup'!$K$3&amp;'Funnel setup'!$K$4&amp;'Funnel setup'!$K$6,".",IF(A5325=".",1,A5325+1))</f>
        <v>.</v>
      </c>
      <c r="B5326" s="244" t="str">
        <f t="shared" si="83"/>
        <v>Total Knee ReplacementProviderLONDON INDEPENDENT HOSPITAL (NT422)Oxford Knee Score</v>
      </c>
      <c r="C5326" t="s">
        <v>975</v>
      </c>
      <c r="D5326" t="s">
        <v>965</v>
      </c>
      <c r="E5326" t="s">
        <v>308</v>
      </c>
      <c r="F5326" t="s">
        <v>309</v>
      </c>
      <c r="G5326" t="s">
        <v>972</v>
      </c>
      <c r="H5326">
        <v>11</v>
      </c>
      <c r="I5326">
        <v>18.363600000000002</v>
      </c>
      <c r="J5326">
        <v>25.818200000000001</v>
      </c>
      <c r="K5326">
        <v>7.4545500000000002</v>
      </c>
      <c r="L5326">
        <v>7</v>
      </c>
      <c r="M5326">
        <v>0</v>
      </c>
      <c r="N5326">
        <v>4</v>
      </c>
      <c r="O5326" t="s">
        <v>127</v>
      </c>
      <c r="P5326" t="s">
        <v>127</v>
      </c>
      <c r="Q5326" t="s">
        <v>127</v>
      </c>
    </row>
    <row r="5327" spans="1:17" x14ac:dyDescent="0.25">
      <c r="A5327" t="str">
        <f>IF(C5327&amp;G5327&amp;D5327&lt;&gt;'Funnel setup'!$K$3&amp;'Funnel setup'!$K$4&amp;'Funnel setup'!$K$6,".",IF(A5326=".",1,A5326+1))</f>
        <v>.</v>
      </c>
      <c r="B5327" s="244" t="str">
        <f t="shared" si="83"/>
        <v>Total Knee ReplacementProviderMAIDSTONE AND TUNBRIDGE WELLS NHS TRUST (RWF)Oxford Knee Score</v>
      </c>
      <c r="C5327" t="s">
        <v>975</v>
      </c>
      <c r="D5327" t="s">
        <v>965</v>
      </c>
      <c r="E5327" t="s">
        <v>312</v>
      </c>
      <c r="F5327" t="s">
        <v>313</v>
      </c>
      <c r="G5327" t="s">
        <v>972</v>
      </c>
      <c r="H5327">
        <v>159</v>
      </c>
      <c r="I5327">
        <v>21.044</v>
      </c>
      <c r="J5327">
        <v>37.956000000000003</v>
      </c>
      <c r="K5327">
        <v>16.911899999999999</v>
      </c>
      <c r="L5327">
        <v>150</v>
      </c>
      <c r="M5327">
        <v>2</v>
      </c>
      <c r="N5327">
        <v>7</v>
      </c>
      <c r="O5327">
        <v>36.860900000000001</v>
      </c>
      <c r="P5327">
        <v>17.592300000000002</v>
      </c>
      <c r="Q5327">
        <v>7.7373399999999997</v>
      </c>
    </row>
    <row r="5328" spans="1:17" x14ac:dyDescent="0.25">
      <c r="A5328" t="str">
        <f>IF(C5328&amp;G5328&amp;D5328&lt;&gt;'Funnel setup'!$K$3&amp;'Funnel setup'!$K$4&amp;'Funnel setup'!$K$6,".",IF(A5327=".",1,A5327+1))</f>
        <v>.</v>
      </c>
      <c r="B5328" s="244" t="str">
        <f t="shared" si="83"/>
        <v>Total Knee ReplacementProviderMANCHESTER UNIVERSITY NHS FOUNDATION TRUST (R0A)Oxford Knee Score</v>
      </c>
      <c r="C5328" t="s">
        <v>975</v>
      </c>
      <c r="D5328" t="s">
        <v>965</v>
      </c>
      <c r="E5328" t="s">
        <v>316</v>
      </c>
      <c r="F5328" t="s">
        <v>317</v>
      </c>
      <c r="G5328" t="s">
        <v>972</v>
      </c>
      <c r="H5328">
        <v>115</v>
      </c>
      <c r="I5328">
        <v>17.5913</v>
      </c>
      <c r="J5328">
        <v>34.043500000000002</v>
      </c>
      <c r="K5328">
        <v>16.452200000000001</v>
      </c>
      <c r="L5328">
        <v>107</v>
      </c>
      <c r="M5328">
        <v>0</v>
      </c>
      <c r="N5328">
        <v>8</v>
      </c>
      <c r="O5328">
        <v>35.260599999999997</v>
      </c>
      <c r="P5328">
        <v>15.991899999999999</v>
      </c>
      <c r="Q5328">
        <v>9.3630300000000002</v>
      </c>
    </row>
    <row r="5329" spans="1:17" x14ac:dyDescent="0.25">
      <c r="A5329" t="str">
        <f>IF(C5329&amp;G5329&amp;D5329&lt;&gt;'Funnel setup'!$K$3&amp;'Funnel setup'!$K$4&amp;'Funnel setup'!$K$6,".",IF(A5328=".",1,A5328+1))</f>
        <v>.</v>
      </c>
      <c r="B5329" s="244" t="str">
        <f t="shared" si="83"/>
        <v>Total Knee ReplacementProviderMANOR HOSPITAL (NT423)Oxford Knee Score</v>
      </c>
      <c r="C5329" t="s">
        <v>975</v>
      </c>
      <c r="D5329" t="s">
        <v>965</v>
      </c>
      <c r="E5329" t="s">
        <v>318</v>
      </c>
      <c r="F5329" t="s">
        <v>319</v>
      </c>
      <c r="G5329" t="s">
        <v>972</v>
      </c>
      <c r="H5329">
        <v>16</v>
      </c>
      <c r="I5329">
        <v>17.6875</v>
      </c>
      <c r="J5329">
        <v>37.3125</v>
      </c>
      <c r="K5329">
        <v>19.625</v>
      </c>
      <c r="L5329">
        <v>16</v>
      </c>
      <c r="M5329">
        <v>0</v>
      </c>
      <c r="N5329">
        <v>0</v>
      </c>
      <c r="O5329" t="s">
        <v>127</v>
      </c>
      <c r="P5329" t="s">
        <v>127</v>
      </c>
      <c r="Q5329" t="s">
        <v>127</v>
      </c>
    </row>
    <row r="5330" spans="1:17" x14ac:dyDescent="0.25">
      <c r="A5330" t="str">
        <f>IF(C5330&amp;G5330&amp;D5330&lt;&gt;'Funnel setup'!$K$3&amp;'Funnel setup'!$K$4&amp;'Funnel setup'!$K$6,".",IF(A5329=".",1,A5329+1))</f>
        <v>.</v>
      </c>
      <c r="B5330" s="244" t="str">
        <f t="shared" si="83"/>
        <v>Total Knee ReplacementProviderMEDWAY NHS FOUNDATION TRUST (RPA)Oxford Knee Score</v>
      </c>
      <c r="C5330" t="s">
        <v>975</v>
      </c>
      <c r="D5330" t="s">
        <v>965</v>
      </c>
      <c r="E5330" t="s">
        <v>320</v>
      </c>
      <c r="F5330" t="s">
        <v>321</v>
      </c>
      <c r="G5330" t="s">
        <v>972</v>
      </c>
      <c r="H5330">
        <v>47</v>
      </c>
      <c r="I5330">
        <v>19.872299999999999</v>
      </c>
      <c r="J5330">
        <v>37.616999999999997</v>
      </c>
      <c r="K5330">
        <v>17.744700000000002</v>
      </c>
      <c r="L5330">
        <v>42</v>
      </c>
      <c r="M5330">
        <v>1</v>
      </c>
      <c r="N5330">
        <v>4</v>
      </c>
      <c r="O5330">
        <v>37.8277</v>
      </c>
      <c r="P5330">
        <v>18.559100000000001</v>
      </c>
      <c r="Q5330">
        <v>9.4371799999999997</v>
      </c>
    </row>
    <row r="5331" spans="1:17" x14ac:dyDescent="0.25">
      <c r="A5331" t="str">
        <f>IF(C5331&amp;G5331&amp;D5331&lt;&gt;'Funnel setup'!$K$3&amp;'Funnel setup'!$K$4&amp;'Funnel setup'!$K$6,".",IF(A5330=".",1,A5330+1))</f>
        <v>.</v>
      </c>
      <c r="B5331" s="244" t="str">
        <f t="shared" si="83"/>
        <v>Total Knee ReplacementProviderMERIDEN HOSPITAL (NT424)Oxford Knee Score</v>
      </c>
      <c r="C5331" t="s">
        <v>975</v>
      </c>
      <c r="D5331" t="s">
        <v>965</v>
      </c>
      <c r="E5331" t="s">
        <v>322</v>
      </c>
      <c r="F5331" t="s">
        <v>323</v>
      </c>
      <c r="G5331" t="s">
        <v>972</v>
      </c>
      <c r="H5331">
        <v>7</v>
      </c>
      <c r="I5331">
        <v>22</v>
      </c>
      <c r="J5331">
        <v>41.857100000000003</v>
      </c>
      <c r="K5331">
        <v>19.857099999999999</v>
      </c>
      <c r="L5331">
        <v>7</v>
      </c>
      <c r="M5331">
        <v>0</v>
      </c>
      <c r="N5331">
        <v>0</v>
      </c>
      <c r="O5331" t="s">
        <v>127</v>
      </c>
      <c r="P5331" t="s">
        <v>127</v>
      </c>
      <c r="Q5331" t="s">
        <v>127</v>
      </c>
    </row>
    <row r="5332" spans="1:17" x14ac:dyDescent="0.25">
      <c r="A5332" t="str">
        <f>IF(C5332&amp;G5332&amp;D5332&lt;&gt;'Funnel setup'!$K$3&amp;'Funnel setup'!$K$4&amp;'Funnel setup'!$K$6,".",IF(A5331=".",1,A5331+1))</f>
        <v>.</v>
      </c>
      <c r="B5332" s="244" t="str">
        <f t="shared" si="83"/>
        <v>Total Knee ReplacementProviderMID AND SOUTH ESSEX NHS FOUNDATION TRUST (RAJ)Oxford Knee Score</v>
      </c>
      <c r="C5332" t="s">
        <v>975</v>
      </c>
      <c r="D5332" t="s">
        <v>965</v>
      </c>
      <c r="E5332" t="s">
        <v>324</v>
      </c>
      <c r="F5332" t="s">
        <v>325</v>
      </c>
      <c r="G5332" t="s">
        <v>972</v>
      </c>
      <c r="H5332">
        <v>144</v>
      </c>
      <c r="I5332">
        <v>16.305599999999998</v>
      </c>
      <c r="J5332">
        <v>35.3889</v>
      </c>
      <c r="K5332">
        <v>19.083300000000001</v>
      </c>
      <c r="L5332">
        <v>135</v>
      </c>
      <c r="M5332">
        <v>1</v>
      </c>
      <c r="N5332">
        <v>8</v>
      </c>
      <c r="O5332">
        <v>36.802799999999998</v>
      </c>
      <c r="P5332">
        <v>17.534199999999998</v>
      </c>
      <c r="Q5332">
        <v>10.128299999999999</v>
      </c>
    </row>
    <row r="5333" spans="1:17" x14ac:dyDescent="0.25">
      <c r="A5333" t="str">
        <f>IF(C5333&amp;G5333&amp;D5333&lt;&gt;'Funnel setup'!$K$3&amp;'Funnel setup'!$K$4&amp;'Funnel setup'!$K$6,".",IF(A5332=".",1,A5332+1))</f>
        <v>.</v>
      </c>
      <c r="B5333" s="244" t="str">
        <f t="shared" si="83"/>
        <v>Total Knee ReplacementProviderMID CHESHIRE HOSPITALS NHS FOUNDATION TRUST (RBT)Oxford Knee Score</v>
      </c>
      <c r="C5333" t="s">
        <v>975</v>
      </c>
      <c r="D5333" t="s">
        <v>965</v>
      </c>
      <c r="E5333" t="s">
        <v>326</v>
      </c>
      <c r="F5333" t="s">
        <v>327</v>
      </c>
      <c r="G5333" t="s">
        <v>972</v>
      </c>
      <c r="H5333">
        <v>88</v>
      </c>
      <c r="I5333">
        <v>21.068200000000001</v>
      </c>
      <c r="J5333">
        <v>38.886400000000002</v>
      </c>
      <c r="K5333">
        <v>17.818200000000001</v>
      </c>
      <c r="L5333">
        <v>84</v>
      </c>
      <c r="M5333">
        <v>1</v>
      </c>
      <c r="N5333">
        <v>3</v>
      </c>
      <c r="O5333">
        <v>38.082500000000003</v>
      </c>
      <c r="P5333">
        <v>18.8139</v>
      </c>
      <c r="Q5333">
        <v>6.91533</v>
      </c>
    </row>
    <row r="5334" spans="1:17" x14ac:dyDescent="0.25">
      <c r="A5334" t="str">
        <f>IF(C5334&amp;G5334&amp;D5334&lt;&gt;'Funnel setup'!$K$3&amp;'Funnel setup'!$K$4&amp;'Funnel setup'!$K$6,".",IF(A5333=".",1,A5333+1))</f>
        <v>.</v>
      </c>
      <c r="B5334" s="244" t="str">
        <f t="shared" si="83"/>
        <v>Total Knee ReplacementProviderMID YORKSHIRE TEACHING NHS TRUST (RXF)Oxford Knee Score</v>
      </c>
      <c r="C5334" t="s">
        <v>975</v>
      </c>
      <c r="D5334" t="s">
        <v>965</v>
      </c>
      <c r="E5334" t="s">
        <v>330</v>
      </c>
      <c r="F5334" t="s">
        <v>331</v>
      </c>
      <c r="G5334" t="s">
        <v>972</v>
      </c>
      <c r="H5334">
        <v>207</v>
      </c>
      <c r="I5334">
        <v>18.067599999999999</v>
      </c>
      <c r="J5334">
        <v>35.565199999999997</v>
      </c>
      <c r="K5334">
        <v>17.497599999999998</v>
      </c>
      <c r="L5334">
        <v>191</v>
      </c>
      <c r="M5334">
        <v>2</v>
      </c>
      <c r="N5334">
        <v>14</v>
      </c>
      <c r="O5334">
        <v>36.883200000000002</v>
      </c>
      <c r="P5334">
        <v>17.6145</v>
      </c>
      <c r="Q5334">
        <v>9.5978399999999997</v>
      </c>
    </row>
    <row r="5335" spans="1:17" x14ac:dyDescent="0.25">
      <c r="A5335" t="str">
        <f>IF(C5335&amp;G5335&amp;D5335&lt;&gt;'Funnel setup'!$K$3&amp;'Funnel setup'!$K$4&amp;'Funnel setup'!$K$6,".",IF(A5334=".",1,A5334+1))</f>
        <v>.</v>
      </c>
      <c r="B5335" s="244" t="str">
        <f t="shared" si="83"/>
        <v>Total Knee ReplacementProviderMILTON KEYNES UNIVERSITY HOSPITAL NHS FOUNDATION TRUST (RD8)Oxford Knee Score</v>
      </c>
      <c r="C5335" t="s">
        <v>975</v>
      </c>
      <c r="D5335" t="s">
        <v>965</v>
      </c>
      <c r="E5335" t="s">
        <v>332</v>
      </c>
      <c r="F5335" t="s">
        <v>333</v>
      </c>
      <c r="G5335" t="s">
        <v>972</v>
      </c>
      <c r="H5335">
        <v>34</v>
      </c>
      <c r="I5335">
        <v>15.529400000000001</v>
      </c>
      <c r="J5335">
        <v>34.941200000000002</v>
      </c>
      <c r="K5335">
        <v>19.411799999999999</v>
      </c>
      <c r="L5335">
        <v>32</v>
      </c>
      <c r="M5335">
        <v>0</v>
      </c>
      <c r="N5335">
        <v>2</v>
      </c>
      <c r="O5335">
        <v>36.2438</v>
      </c>
      <c r="P5335">
        <v>16.975100000000001</v>
      </c>
      <c r="Q5335">
        <v>9.5330700000000004</v>
      </c>
    </row>
    <row r="5336" spans="1:17" x14ac:dyDescent="0.25">
      <c r="A5336" t="str">
        <f>IF(C5336&amp;G5336&amp;D5336&lt;&gt;'Funnel setup'!$K$3&amp;'Funnel setup'!$K$4&amp;'Funnel setup'!$K$6,".",IF(A5335=".",1,A5335+1))</f>
        <v>.</v>
      </c>
      <c r="B5336" s="244" t="str">
        <f t="shared" si="83"/>
        <v>Total Knee ReplacementProviderMOUNT ALVERNIA HOSPITAL (NT455)Oxford Knee Score</v>
      </c>
      <c r="C5336" t="s">
        <v>975</v>
      </c>
      <c r="D5336" t="s">
        <v>965</v>
      </c>
      <c r="E5336" t="s">
        <v>334</v>
      </c>
      <c r="F5336" t="s">
        <v>335</v>
      </c>
      <c r="G5336" t="s">
        <v>972</v>
      </c>
      <c r="H5336">
        <v>7</v>
      </c>
      <c r="I5336">
        <v>27.142900000000001</v>
      </c>
      <c r="J5336">
        <v>44.714300000000001</v>
      </c>
      <c r="K5336">
        <v>17.571400000000001</v>
      </c>
      <c r="L5336">
        <v>7</v>
      </c>
      <c r="M5336">
        <v>0</v>
      </c>
      <c r="N5336">
        <v>0</v>
      </c>
      <c r="O5336" t="s">
        <v>127</v>
      </c>
      <c r="P5336" t="s">
        <v>127</v>
      </c>
      <c r="Q5336" t="s">
        <v>127</v>
      </c>
    </row>
    <row r="5337" spans="1:17" x14ac:dyDescent="0.25">
      <c r="A5337" t="str">
        <f>IF(C5337&amp;G5337&amp;D5337&lt;&gt;'Funnel setup'!$K$3&amp;'Funnel setup'!$K$4&amp;'Funnel setup'!$K$6,".",IF(A5336=".",1,A5336+1))</f>
        <v>.</v>
      </c>
      <c r="B5337" s="244" t="str">
        <f t="shared" si="83"/>
        <v>Total Knee ReplacementProviderMOUNT STUART HOSPITAL (NVC08)Oxford Knee Score</v>
      </c>
      <c r="C5337" t="s">
        <v>975</v>
      </c>
      <c r="D5337" t="s">
        <v>965</v>
      </c>
      <c r="E5337" t="s">
        <v>336</v>
      </c>
      <c r="F5337" t="s">
        <v>337</v>
      </c>
      <c r="G5337" t="s">
        <v>972</v>
      </c>
      <c r="H5337">
        <v>104</v>
      </c>
      <c r="I5337">
        <v>20.8476</v>
      </c>
      <c r="J5337">
        <v>39.6571</v>
      </c>
      <c r="K5337">
        <v>18.8095</v>
      </c>
      <c r="L5337">
        <v>101</v>
      </c>
      <c r="M5337">
        <v>1</v>
      </c>
      <c r="N5337">
        <v>2</v>
      </c>
      <c r="O5337">
        <v>38.419199999999996</v>
      </c>
      <c r="P5337">
        <v>19.150600000000001</v>
      </c>
      <c r="Q5337">
        <v>6.8696599999999997</v>
      </c>
    </row>
    <row r="5338" spans="1:17" x14ac:dyDescent="0.25">
      <c r="A5338" t="str">
        <f>IF(C5338&amp;G5338&amp;D5338&lt;&gt;'Funnel setup'!$K$3&amp;'Funnel setup'!$K$4&amp;'Funnel setup'!$K$6,".",IF(A5337=".",1,A5337+1))</f>
        <v>.</v>
      </c>
      <c r="B5338" s="244" t="str">
        <f t="shared" si="83"/>
        <v>Total Knee ReplacementProviderNEW HALL HOSPITAL (NVC09)Oxford Knee Score</v>
      </c>
      <c r="C5338" t="s">
        <v>975</v>
      </c>
      <c r="D5338" t="s">
        <v>965</v>
      </c>
      <c r="E5338" t="s">
        <v>338</v>
      </c>
      <c r="F5338" t="s">
        <v>339</v>
      </c>
      <c r="G5338" t="s">
        <v>972</v>
      </c>
      <c r="H5338">
        <v>105</v>
      </c>
      <c r="I5338">
        <v>21.371400000000001</v>
      </c>
      <c r="J5338">
        <v>39.3048</v>
      </c>
      <c r="K5338">
        <v>17.933299999999999</v>
      </c>
      <c r="L5338">
        <v>102</v>
      </c>
      <c r="M5338">
        <v>0</v>
      </c>
      <c r="N5338">
        <v>3</v>
      </c>
      <c r="O5338">
        <v>37.5458</v>
      </c>
      <c r="P5338">
        <v>18.277200000000001</v>
      </c>
      <c r="Q5338">
        <v>7.9510100000000001</v>
      </c>
    </row>
    <row r="5339" spans="1:17" x14ac:dyDescent="0.25">
      <c r="A5339" t="str">
        <f>IF(C5339&amp;G5339&amp;D5339&lt;&gt;'Funnel setup'!$K$3&amp;'Funnel setup'!$K$4&amp;'Funnel setup'!$K$6,".",IF(A5338=".",1,A5338+1))</f>
        <v>.</v>
      </c>
      <c r="B5339" s="244" t="str">
        <f t="shared" si="83"/>
        <v>Total Knee ReplacementProviderNORFOLK AND NORWICH UNIVERSITY HOSPITALS NHS FOUNDATION TRUST (RM1)Oxford Knee Score</v>
      </c>
      <c r="C5339" t="s">
        <v>975</v>
      </c>
      <c r="D5339" t="s">
        <v>965</v>
      </c>
      <c r="E5339" t="s">
        <v>340</v>
      </c>
      <c r="F5339" t="s">
        <v>341</v>
      </c>
      <c r="G5339" t="s">
        <v>972</v>
      </c>
      <c r="H5339">
        <v>154</v>
      </c>
      <c r="I5339">
        <v>16.013000000000002</v>
      </c>
      <c r="J5339">
        <v>33.493499999999997</v>
      </c>
      <c r="K5339">
        <v>17.480499999999999</v>
      </c>
      <c r="L5339">
        <v>144</v>
      </c>
      <c r="M5339">
        <v>3</v>
      </c>
      <c r="N5339">
        <v>7</v>
      </c>
      <c r="O5339">
        <v>35.593200000000003</v>
      </c>
      <c r="P5339">
        <v>16.3245</v>
      </c>
      <c r="Q5339">
        <v>9.4839699999999993</v>
      </c>
    </row>
    <row r="5340" spans="1:17" x14ac:dyDescent="0.25">
      <c r="A5340" t="str">
        <f>IF(C5340&amp;G5340&amp;D5340&lt;&gt;'Funnel setup'!$K$3&amp;'Funnel setup'!$K$4&amp;'Funnel setup'!$K$6,".",IF(A5339=".",1,A5339+1))</f>
        <v>.</v>
      </c>
      <c r="B5340" s="244" t="str">
        <f t="shared" si="83"/>
        <v>Total Knee ReplacementProviderNORTH BRISTOL NHS TRUST (RVJ)Oxford Knee Score</v>
      </c>
      <c r="C5340" t="s">
        <v>975</v>
      </c>
      <c r="D5340" t="s">
        <v>965</v>
      </c>
      <c r="E5340" t="s">
        <v>342</v>
      </c>
      <c r="F5340" t="s">
        <v>343</v>
      </c>
      <c r="G5340" t="s">
        <v>972</v>
      </c>
      <c r="H5340">
        <v>7</v>
      </c>
      <c r="I5340">
        <v>16.714300000000001</v>
      </c>
      <c r="J5340">
        <v>39.428600000000003</v>
      </c>
      <c r="K5340">
        <v>22.714300000000001</v>
      </c>
      <c r="L5340">
        <v>7</v>
      </c>
      <c r="M5340">
        <v>0</v>
      </c>
      <c r="N5340">
        <v>0</v>
      </c>
      <c r="O5340" t="s">
        <v>127</v>
      </c>
      <c r="P5340" t="s">
        <v>127</v>
      </c>
      <c r="Q5340" t="s">
        <v>127</v>
      </c>
    </row>
    <row r="5341" spans="1:17" x14ac:dyDescent="0.25">
      <c r="A5341" t="str">
        <f>IF(C5341&amp;G5341&amp;D5341&lt;&gt;'Funnel setup'!$K$3&amp;'Funnel setup'!$K$4&amp;'Funnel setup'!$K$6,".",IF(A5340=".",1,A5340+1))</f>
        <v>.</v>
      </c>
      <c r="B5341" s="244" t="str">
        <f t="shared" si="83"/>
        <v>Total Knee ReplacementProviderNORTH CUMBRIA INTEGRATED CARE NHS FOUNDATION TRUST (RNN)Oxford Knee Score</v>
      </c>
      <c r="C5341" t="s">
        <v>975</v>
      </c>
      <c r="D5341" t="s">
        <v>965</v>
      </c>
      <c r="E5341" t="s">
        <v>344</v>
      </c>
      <c r="F5341" t="s">
        <v>345</v>
      </c>
      <c r="G5341" t="s">
        <v>972</v>
      </c>
      <c r="H5341">
        <v>132</v>
      </c>
      <c r="I5341">
        <v>16.9924</v>
      </c>
      <c r="J5341">
        <v>37.052999999999997</v>
      </c>
      <c r="K5341">
        <v>20.060600000000001</v>
      </c>
      <c r="L5341">
        <v>131</v>
      </c>
      <c r="M5341">
        <v>0</v>
      </c>
      <c r="N5341">
        <v>1</v>
      </c>
      <c r="O5341">
        <v>38.048499999999997</v>
      </c>
      <c r="P5341">
        <v>18.779900000000001</v>
      </c>
      <c r="Q5341">
        <v>7.2400599999999997</v>
      </c>
    </row>
    <row r="5342" spans="1:17" x14ac:dyDescent="0.25">
      <c r="A5342" t="str">
        <f>IF(C5342&amp;G5342&amp;D5342&lt;&gt;'Funnel setup'!$K$3&amp;'Funnel setup'!$K$4&amp;'Funnel setup'!$K$6,".",IF(A5341=".",1,A5341+1))</f>
        <v>.</v>
      </c>
      <c r="B5342" s="244" t="str">
        <f t="shared" si="83"/>
        <v>Total Knee ReplacementProviderNORTH DOWNS HOSPITAL (NVC11)Oxford Knee Score</v>
      </c>
      <c r="C5342" t="s">
        <v>975</v>
      </c>
      <c r="D5342" t="s">
        <v>965</v>
      </c>
      <c r="E5342" t="s">
        <v>348</v>
      </c>
      <c r="F5342" t="s">
        <v>349</v>
      </c>
      <c r="G5342" t="s">
        <v>972</v>
      </c>
      <c r="H5342">
        <v>30</v>
      </c>
      <c r="I5342">
        <v>20.843800000000002</v>
      </c>
      <c r="J5342">
        <v>37.281300000000002</v>
      </c>
      <c r="K5342">
        <v>16.4375</v>
      </c>
      <c r="L5342">
        <v>29</v>
      </c>
      <c r="M5342">
        <v>0</v>
      </c>
      <c r="N5342">
        <v>1</v>
      </c>
      <c r="O5342">
        <v>35.933300000000003</v>
      </c>
      <c r="P5342">
        <v>16.6647</v>
      </c>
      <c r="Q5342">
        <v>9.0597499999999993</v>
      </c>
    </row>
    <row r="5343" spans="1:17" x14ac:dyDescent="0.25">
      <c r="A5343" t="str">
        <f>IF(C5343&amp;G5343&amp;D5343&lt;&gt;'Funnel setup'!$K$3&amp;'Funnel setup'!$K$4&amp;'Funnel setup'!$K$6,".",IF(A5342=".",1,A5342+1))</f>
        <v>.</v>
      </c>
      <c r="B5343" s="244" t="str">
        <f t="shared" si="83"/>
        <v>Total Knee ReplacementProviderNORTH MIDDLESEX UNIVERSITY HOSPITAL NHS TRUST (RAP)Oxford Knee Score</v>
      </c>
      <c r="C5343" t="s">
        <v>975</v>
      </c>
      <c r="D5343" t="s">
        <v>965</v>
      </c>
      <c r="E5343" t="s">
        <v>350</v>
      </c>
      <c r="F5343" t="s">
        <v>351</v>
      </c>
      <c r="G5343" t="s">
        <v>972</v>
      </c>
      <c r="H5343">
        <v>7</v>
      </c>
      <c r="I5343">
        <v>16</v>
      </c>
      <c r="J5343">
        <v>36.857100000000003</v>
      </c>
      <c r="K5343">
        <v>20.857099999999999</v>
      </c>
      <c r="L5343">
        <v>7</v>
      </c>
      <c r="M5343">
        <v>0</v>
      </c>
      <c r="N5343">
        <v>0</v>
      </c>
      <c r="O5343" t="s">
        <v>127</v>
      </c>
      <c r="P5343" t="s">
        <v>127</v>
      </c>
      <c r="Q5343" t="s">
        <v>127</v>
      </c>
    </row>
    <row r="5344" spans="1:17" x14ac:dyDescent="0.25">
      <c r="A5344" t="str">
        <f>IF(C5344&amp;G5344&amp;D5344&lt;&gt;'Funnel setup'!$K$3&amp;'Funnel setup'!$K$4&amp;'Funnel setup'!$K$6,".",IF(A5343=".",1,A5343+1))</f>
        <v>.</v>
      </c>
      <c r="B5344" s="244" t="str">
        <f t="shared" si="83"/>
        <v>Total Knee ReplacementProviderNORTH TEES AND HARTLEPOOL NHS FOUNDATION TRUST (RVW)Oxford Knee Score</v>
      </c>
      <c r="C5344" t="s">
        <v>975</v>
      </c>
      <c r="D5344" t="s">
        <v>965</v>
      </c>
      <c r="E5344" t="s">
        <v>352</v>
      </c>
      <c r="F5344" t="s">
        <v>353</v>
      </c>
      <c r="G5344" t="s">
        <v>972</v>
      </c>
      <c r="H5344">
        <v>112</v>
      </c>
      <c r="I5344">
        <v>15.875</v>
      </c>
      <c r="J5344">
        <v>33.705399999999997</v>
      </c>
      <c r="K5344">
        <v>17.830400000000001</v>
      </c>
      <c r="L5344">
        <v>105</v>
      </c>
      <c r="M5344">
        <v>1</v>
      </c>
      <c r="N5344">
        <v>6</v>
      </c>
      <c r="O5344">
        <v>36.388500000000001</v>
      </c>
      <c r="P5344">
        <v>17.119800000000001</v>
      </c>
      <c r="Q5344">
        <v>10.420500000000001</v>
      </c>
    </row>
    <row r="5345" spans="1:17" x14ac:dyDescent="0.25">
      <c r="A5345" t="str">
        <f>IF(C5345&amp;G5345&amp;D5345&lt;&gt;'Funnel setup'!$K$3&amp;'Funnel setup'!$K$4&amp;'Funnel setup'!$K$6,".",IF(A5344=".",1,A5344+1))</f>
        <v>.</v>
      </c>
      <c r="B5345" s="244" t="str">
        <f t="shared" si="83"/>
        <v>Total Knee ReplacementProviderNORTH WEST ANGLIA NHS FOUNDATION TRUST (RGN)Oxford Knee Score</v>
      </c>
      <c r="C5345" t="s">
        <v>975</v>
      </c>
      <c r="D5345" t="s">
        <v>965</v>
      </c>
      <c r="E5345" t="s">
        <v>354</v>
      </c>
      <c r="F5345" t="s">
        <v>355</v>
      </c>
      <c r="G5345" t="s">
        <v>972</v>
      </c>
      <c r="H5345">
        <v>139</v>
      </c>
      <c r="I5345">
        <v>17.582699999999999</v>
      </c>
      <c r="J5345">
        <v>36.395699999999998</v>
      </c>
      <c r="K5345">
        <v>18.812899999999999</v>
      </c>
      <c r="L5345">
        <v>137</v>
      </c>
      <c r="M5345">
        <v>1</v>
      </c>
      <c r="N5345">
        <v>1</v>
      </c>
      <c r="O5345">
        <v>37.012500000000003</v>
      </c>
      <c r="P5345">
        <v>17.7439</v>
      </c>
      <c r="Q5345">
        <v>7.9900900000000004</v>
      </c>
    </row>
    <row r="5346" spans="1:17" x14ac:dyDescent="0.25">
      <c r="A5346" t="str">
        <f>IF(C5346&amp;G5346&amp;D5346&lt;&gt;'Funnel setup'!$K$3&amp;'Funnel setup'!$K$4&amp;'Funnel setup'!$K$6,".",IF(A5345=".",1,A5345+1))</f>
        <v>.</v>
      </c>
      <c r="B5346" s="244" t="str">
        <f t="shared" si="83"/>
        <v>Total Knee ReplacementProviderNORTHAMPTON GENERAL HOSPITAL NHS TRUST (RNS)Oxford Knee Score</v>
      </c>
      <c r="C5346" t="s">
        <v>975</v>
      </c>
      <c r="D5346" t="s">
        <v>965</v>
      </c>
      <c r="E5346" t="s">
        <v>356</v>
      </c>
      <c r="F5346" t="s">
        <v>357</v>
      </c>
      <c r="G5346" t="s">
        <v>972</v>
      </c>
      <c r="H5346">
        <v>47</v>
      </c>
      <c r="I5346">
        <v>17.255299999999998</v>
      </c>
      <c r="J5346">
        <v>36.659599999999998</v>
      </c>
      <c r="K5346">
        <v>19.404299999999999</v>
      </c>
      <c r="L5346">
        <v>46</v>
      </c>
      <c r="M5346">
        <v>0</v>
      </c>
      <c r="N5346">
        <v>1</v>
      </c>
      <c r="O5346">
        <v>37.865099999999998</v>
      </c>
      <c r="P5346">
        <v>18.596399999999999</v>
      </c>
      <c r="Q5346">
        <v>8.3034700000000008</v>
      </c>
    </row>
    <row r="5347" spans="1:17" x14ac:dyDescent="0.25">
      <c r="A5347" t="str">
        <f>IF(C5347&amp;G5347&amp;D5347&lt;&gt;'Funnel setup'!$K$3&amp;'Funnel setup'!$K$4&amp;'Funnel setup'!$K$6,".",IF(A5346=".",1,A5346+1))</f>
        <v>.</v>
      </c>
      <c r="B5347" s="244" t="str">
        <f t="shared" si="83"/>
        <v>Total Knee ReplacementProviderNORTHERN CARE ALLIANCE NHS FOUNDATION TRUST (RM3)Oxford Knee Score</v>
      </c>
      <c r="C5347" t="s">
        <v>975</v>
      </c>
      <c r="D5347" t="s">
        <v>965</v>
      </c>
      <c r="E5347" t="s">
        <v>358</v>
      </c>
      <c r="F5347" t="s">
        <v>359</v>
      </c>
      <c r="G5347" t="s">
        <v>972</v>
      </c>
      <c r="H5347">
        <v>7</v>
      </c>
      <c r="I5347">
        <v>18.428599999999999</v>
      </c>
      <c r="J5347">
        <v>35.285699999999999</v>
      </c>
      <c r="K5347">
        <v>16.857099999999999</v>
      </c>
      <c r="L5347">
        <v>7</v>
      </c>
      <c r="M5347">
        <v>0</v>
      </c>
      <c r="N5347">
        <v>0</v>
      </c>
      <c r="O5347" t="s">
        <v>127</v>
      </c>
      <c r="P5347" t="s">
        <v>127</v>
      </c>
      <c r="Q5347" t="s">
        <v>127</v>
      </c>
    </row>
    <row r="5348" spans="1:17" x14ac:dyDescent="0.25">
      <c r="A5348" t="str">
        <f>IF(C5348&amp;G5348&amp;D5348&lt;&gt;'Funnel setup'!$K$3&amp;'Funnel setup'!$K$4&amp;'Funnel setup'!$K$6,".",IF(A5347=".",1,A5347+1))</f>
        <v>.</v>
      </c>
      <c r="B5348" s="244" t="str">
        <f t="shared" si="83"/>
        <v>Total Knee ReplacementProviderNORTHERN DEVON HEALTHCARE NHS TRUST (RBZ)Oxford Knee Score</v>
      </c>
      <c r="C5348" t="s">
        <v>975</v>
      </c>
      <c r="D5348" t="s">
        <v>965</v>
      </c>
      <c r="E5348" t="s">
        <v>360</v>
      </c>
      <c r="F5348" t="s">
        <v>361</v>
      </c>
      <c r="G5348" t="s">
        <v>972</v>
      </c>
      <c r="H5348">
        <v>34</v>
      </c>
      <c r="I5348">
        <v>17.314299999999999</v>
      </c>
      <c r="J5348">
        <v>36.314300000000003</v>
      </c>
      <c r="K5348">
        <v>19</v>
      </c>
      <c r="L5348">
        <v>32</v>
      </c>
      <c r="M5348">
        <v>0</v>
      </c>
      <c r="N5348">
        <v>2</v>
      </c>
      <c r="O5348">
        <v>38.2791</v>
      </c>
      <c r="P5348">
        <v>19.0105</v>
      </c>
      <c r="Q5348">
        <v>10.2317</v>
      </c>
    </row>
    <row r="5349" spans="1:17" x14ac:dyDescent="0.25">
      <c r="A5349" t="str">
        <f>IF(C5349&amp;G5349&amp;D5349&lt;&gt;'Funnel setup'!$K$3&amp;'Funnel setup'!$K$4&amp;'Funnel setup'!$K$6,".",IF(A5348=".",1,A5348+1))</f>
        <v>.</v>
      </c>
      <c r="B5349" s="244" t="str">
        <f t="shared" si="83"/>
        <v>Total Knee ReplacementProviderNORTHERN LINCOLNSHIRE AND GOOLE NHS FOUNDATION TRUST (RJL)Oxford Knee Score</v>
      </c>
      <c r="C5349" t="s">
        <v>975</v>
      </c>
      <c r="D5349" t="s">
        <v>965</v>
      </c>
      <c r="E5349" t="s">
        <v>362</v>
      </c>
      <c r="F5349" t="s">
        <v>363</v>
      </c>
      <c r="G5349" t="s">
        <v>972</v>
      </c>
      <c r="H5349">
        <v>76</v>
      </c>
      <c r="I5349">
        <v>18.184200000000001</v>
      </c>
      <c r="J5349">
        <v>34.460500000000003</v>
      </c>
      <c r="K5349">
        <v>16.276299999999999</v>
      </c>
      <c r="L5349">
        <v>70</v>
      </c>
      <c r="M5349">
        <v>1</v>
      </c>
      <c r="N5349">
        <v>5</v>
      </c>
      <c r="O5349">
        <v>35.360300000000002</v>
      </c>
      <c r="P5349">
        <v>16.0916</v>
      </c>
      <c r="Q5349">
        <v>9.8200599999999998</v>
      </c>
    </row>
    <row r="5350" spans="1:17" x14ac:dyDescent="0.25">
      <c r="A5350" t="str">
        <f>IF(C5350&amp;G5350&amp;D5350&lt;&gt;'Funnel setup'!$K$3&amp;'Funnel setup'!$K$4&amp;'Funnel setup'!$K$6,".",IF(A5349=".",1,A5349+1))</f>
        <v>.</v>
      </c>
      <c r="B5350" s="244" t="str">
        <f t="shared" si="83"/>
        <v>Total Knee ReplacementProviderNORTHUMBRIA HEALTHCARE NHS FOUNDATION TRUST (RTF)Oxford Knee Score</v>
      </c>
      <c r="C5350" t="s">
        <v>975</v>
      </c>
      <c r="D5350" t="s">
        <v>965</v>
      </c>
      <c r="E5350" t="s">
        <v>364</v>
      </c>
      <c r="F5350" t="s">
        <v>365</v>
      </c>
      <c r="G5350" t="s">
        <v>972</v>
      </c>
      <c r="H5350">
        <v>401</v>
      </c>
      <c r="I5350">
        <v>19.3416</v>
      </c>
      <c r="J5350">
        <v>38.216999999999999</v>
      </c>
      <c r="K5350">
        <v>18.875299999999999</v>
      </c>
      <c r="L5350">
        <v>392</v>
      </c>
      <c r="M5350">
        <v>0</v>
      </c>
      <c r="N5350">
        <v>9</v>
      </c>
      <c r="O5350">
        <v>38.068300000000001</v>
      </c>
      <c r="P5350">
        <v>18.799700000000001</v>
      </c>
      <c r="Q5350">
        <v>7.9655500000000004</v>
      </c>
    </row>
    <row r="5351" spans="1:17" x14ac:dyDescent="0.25">
      <c r="A5351" t="str">
        <f>IF(C5351&amp;G5351&amp;D5351&lt;&gt;'Funnel setup'!$K$3&amp;'Funnel setup'!$K$4&amp;'Funnel setup'!$K$6,".",IF(A5350=".",1,A5350+1))</f>
        <v>.</v>
      </c>
      <c r="B5351" s="244" t="str">
        <f t="shared" si="83"/>
        <v>Total Knee ReplacementProviderNOTTINGHAM UNIVERSITY HOSPITALS NHS TRUST (RX1)Oxford Knee Score</v>
      </c>
      <c r="C5351" t="s">
        <v>975</v>
      </c>
      <c r="D5351" t="s">
        <v>965</v>
      </c>
      <c r="E5351" t="s">
        <v>366</v>
      </c>
      <c r="F5351" t="s">
        <v>367</v>
      </c>
      <c r="G5351" t="s">
        <v>972</v>
      </c>
      <c r="H5351">
        <v>4</v>
      </c>
      <c r="I5351">
        <v>19</v>
      </c>
      <c r="J5351">
        <v>35.75</v>
      </c>
      <c r="K5351">
        <v>16.75</v>
      </c>
      <c r="L5351">
        <v>3</v>
      </c>
      <c r="M5351">
        <v>0</v>
      </c>
      <c r="N5351">
        <v>1</v>
      </c>
      <c r="O5351" t="s">
        <v>127</v>
      </c>
      <c r="P5351" t="s">
        <v>127</v>
      </c>
      <c r="Q5351" t="s">
        <v>127</v>
      </c>
    </row>
    <row r="5352" spans="1:17" x14ac:dyDescent="0.25">
      <c r="A5352" t="str">
        <f>IF(C5352&amp;G5352&amp;D5352&lt;&gt;'Funnel setup'!$K$3&amp;'Funnel setup'!$K$4&amp;'Funnel setup'!$K$6,".",IF(A5351=".",1,A5351+1))</f>
        <v>.</v>
      </c>
      <c r="B5352" s="244" t="str">
        <f t="shared" si="83"/>
        <v>Total Knee ReplacementProviderNUFFIELD HEALTH, BOURNEMOUTH HOSPITAL (NT202)Oxford Knee Score</v>
      </c>
      <c r="C5352" t="s">
        <v>975</v>
      </c>
      <c r="D5352" t="s">
        <v>965</v>
      </c>
      <c r="E5352" t="s">
        <v>368</v>
      </c>
      <c r="F5352" t="s">
        <v>369</v>
      </c>
      <c r="G5352" t="s">
        <v>972</v>
      </c>
      <c r="H5352">
        <v>24</v>
      </c>
      <c r="I5352">
        <v>19.416699999999999</v>
      </c>
      <c r="J5352">
        <v>40.958300000000001</v>
      </c>
      <c r="K5352">
        <v>21.541699999999999</v>
      </c>
      <c r="L5352">
        <v>24</v>
      </c>
      <c r="M5352">
        <v>0</v>
      </c>
      <c r="N5352">
        <v>0</v>
      </c>
      <c r="O5352" t="s">
        <v>127</v>
      </c>
      <c r="P5352" t="s">
        <v>127</v>
      </c>
      <c r="Q5352" t="s">
        <v>127</v>
      </c>
    </row>
    <row r="5353" spans="1:17" x14ac:dyDescent="0.25">
      <c r="A5353" t="str">
        <f>IF(C5353&amp;G5353&amp;D5353&lt;&gt;'Funnel setup'!$K$3&amp;'Funnel setup'!$K$4&amp;'Funnel setup'!$K$6,".",IF(A5352=".",1,A5352+1))</f>
        <v>.</v>
      </c>
      <c r="B5353" s="244" t="str">
        <f t="shared" si="83"/>
        <v>Total Knee ReplacementProviderNUFFIELD HEALTH, BRENTWOOD HOSPITAL (NT204)Oxford Knee Score</v>
      </c>
      <c r="C5353" t="s">
        <v>975</v>
      </c>
      <c r="D5353" t="s">
        <v>965</v>
      </c>
      <c r="E5353" t="s">
        <v>370</v>
      </c>
      <c r="F5353" t="s">
        <v>371</v>
      </c>
      <c r="G5353" t="s">
        <v>972</v>
      </c>
      <c r="H5353">
        <v>13</v>
      </c>
      <c r="I5353">
        <v>18</v>
      </c>
      <c r="J5353">
        <v>35.769199999999998</v>
      </c>
      <c r="K5353">
        <v>17.769200000000001</v>
      </c>
      <c r="L5353">
        <v>10</v>
      </c>
      <c r="M5353">
        <v>1</v>
      </c>
      <c r="N5353">
        <v>2</v>
      </c>
      <c r="O5353" t="s">
        <v>127</v>
      </c>
      <c r="P5353" t="s">
        <v>127</v>
      </c>
      <c r="Q5353" t="s">
        <v>127</v>
      </c>
    </row>
    <row r="5354" spans="1:17" x14ac:dyDescent="0.25">
      <c r="A5354" t="str">
        <f>IF(C5354&amp;G5354&amp;D5354&lt;&gt;'Funnel setup'!$K$3&amp;'Funnel setup'!$K$4&amp;'Funnel setup'!$K$6,".",IF(A5353=".",1,A5353+1))</f>
        <v>.</v>
      </c>
      <c r="B5354" s="244" t="str">
        <f t="shared" si="83"/>
        <v>Total Knee ReplacementProviderNUFFIELD HEALTH, BRIGHTON HOSPITAL (NT205)Oxford Knee Score</v>
      </c>
      <c r="C5354" t="s">
        <v>975</v>
      </c>
      <c r="D5354" t="s">
        <v>965</v>
      </c>
      <c r="E5354" t="s">
        <v>372</v>
      </c>
      <c r="F5354" t="s">
        <v>373</v>
      </c>
      <c r="G5354" t="s">
        <v>972</v>
      </c>
      <c r="H5354">
        <v>9</v>
      </c>
      <c r="I5354">
        <v>20.8889</v>
      </c>
      <c r="J5354">
        <v>40.1111</v>
      </c>
      <c r="K5354">
        <v>19.222200000000001</v>
      </c>
      <c r="L5354">
        <v>9</v>
      </c>
      <c r="M5354">
        <v>0</v>
      </c>
      <c r="N5354">
        <v>0</v>
      </c>
      <c r="O5354" t="s">
        <v>127</v>
      </c>
      <c r="P5354" t="s">
        <v>127</v>
      </c>
      <c r="Q5354" t="s">
        <v>127</v>
      </c>
    </row>
    <row r="5355" spans="1:17" x14ac:dyDescent="0.25">
      <c r="A5355" t="str">
        <f>IF(C5355&amp;G5355&amp;D5355&lt;&gt;'Funnel setup'!$K$3&amp;'Funnel setup'!$K$4&amp;'Funnel setup'!$K$6,".",IF(A5354=".",1,A5354+1))</f>
        <v>.</v>
      </c>
      <c r="B5355" s="244" t="str">
        <f t="shared" si="83"/>
        <v>Total Knee ReplacementProviderNUFFIELD HEALTH, BRISTOL HOSPITAL (CHESTERFIELD) (NT206)Oxford Knee Score</v>
      </c>
      <c r="C5355" t="s">
        <v>975</v>
      </c>
      <c r="D5355" t="s">
        <v>965</v>
      </c>
      <c r="E5355" t="s">
        <v>374</v>
      </c>
      <c r="F5355" t="s">
        <v>375</v>
      </c>
      <c r="G5355" t="s">
        <v>972</v>
      </c>
      <c r="H5355">
        <v>34</v>
      </c>
      <c r="I5355">
        <v>20.323499999999999</v>
      </c>
      <c r="J5355">
        <v>39.823500000000003</v>
      </c>
      <c r="K5355">
        <v>19.5</v>
      </c>
      <c r="L5355">
        <v>33</v>
      </c>
      <c r="M5355">
        <v>0</v>
      </c>
      <c r="N5355">
        <v>1</v>
      </c>
      <c r="O5355">
        <v>38.701500000000003</v>
      </c>
      <c r="P5355">
        <v>19.4329</v>
      </c>
      <c r="Q5355">
        <v>6.9369500000000004</v>
      </c>
    </row>
    <row r="5356" spans="1:17" x14ac:dyDescent="0.25">
      <c r="A5356" t="str">
        <f>IF(C5356&amp;G5356&amp;D5356&lt;&gt;'Funnel setup'!$K$3&amp;'Funnel setup'!$K$4&amp;'Funnel setup'!$K$6,".",IF(A5355=".",1,A5355+1))</f>
        <v>.</v>
      </c>
      <c r="B5356" s="244" t="str">
        <f t="shared" si="83"/>
        <v>Total Knee ReplacementProviderNUFFIELD HEALTH, CAMBRIDGE HOSPITAL (NT209)Oxford Knee Score</v>
      </c>
      <c r="C5356" t="s">
        <v>975</v>
      </c>
      <c r="D5356" t="s">
        <v>965</v>
      </c>
      <c r="E5356" t="s">
        <v>376</v>
      </c>
      <c r="F5356" t="s">
        <v>377</v>
      </c>
      <c r="G5356" t="s">
        <v>972</v>
      </c>
      <c r="H5356">
        <v>35</v>
      </c>
      <c r="I5356">
        <v>19.285699999999999</v>
      </c>
      <c r="J5356">
        <v>35.4</v>
      </c>
      <c r="K5356">
        <v>16.1143</v>
      </c>
      <c r="L5356">
        <v>32</v>
      </c>
      <c r="M5356">
        <v>0</v>
      </c>
      <c r="N5356">
        <v>3</v>
      </c>
      <c r="O5356">
        <v>33.306800000000003</v>
      </c>
      <c r="P5356">
        <v>14.0382</v>
      </c>
      <c r="Q5356">
        <v>8.7385199999999994</v>
      </c>
    </row>
    <row r="5357" spans="1:17" x14ac:dyDescent="0.25">
      <c r="A5357" t="str">
        <f>IF(C5357&amp;G5357&amp;D5357&lt;&gt;'Funnel setup'!$K$3&amp;'Funnel setup'!$K$4&amp;'Funnel setup'!$K$6,".",IF(A5356=".",1,A5356+1))</f>
        <v>.</v>
      </c>
      <c r="B5357" s="244" t="str">
        <f t="shared" si="83"/>
        <v>Total Knee ReplacementProviderNUFFIELD HEALTH, CHELTENHAM HOSPITAL (NT211)Oxford Knee Score</v>
      </c>
      <c r="C5357" t="s">
        <v>975</v>
      </c>
      <c r="D5357" t="s">
        <v>965</v>
      </c>
      <c r="E5357" t="s">
        <v>378</v>
      </c>
      <c r="F5357" t="s">
        <v>379</v>
      </c>
      <c r="G5357" t="s">
        <v>972</v>
      </c>
      <c r="H5357">
        <v>7</v>
      </c>
      <c r="I5357">
        <v>18.428599999999999</v>
      </c>
      <c r="J5357">
        <v>38.142899999999997</v>
      </c>
      <c r="K5357">
        <v>19.714300000000001</v>
      </c>
      <c r="L5357">
        <v>6</v>
      </c>
      <c r="M5357">
        <v>0</v>
      </c>
      <c r="N5357">
        <v>1</v>
      </c>
      <c r="O5357" t="s">
        <v>127</v>
      </c>
      <c r="P5357" t="s">
        <v>127</v>
      </c>
      <c r="Q5357" t="s">
        <v>127</v>
      </c>
    </row>
    <row r="5358" spans="1:17" x14ac:dyDescent="0.25">
      <c r="A5358" t="str">
        <f>IF(C5358&amp;G5358&amp;D5358&lt;&gt;'Funnel setup'!$K$3&amp;'Funnel setup'!$K$4&amp;'Funnel setup'!$K$6,".",IF(A5357=".",1,A5357+1))</f>
        <v>.</v>
      </c>
      <c r="B5358" s="244" t="str">
        <f t="shared" si="83"/>
        <v>Total Knee ReplacementProviderNUFFIELD HEALTH, CHICHESTER HOSPITAL (NT212)Oxford Knee Score</v>
      </c>
      <c r="C5358" t="s">
        <v>975</v>
      </c>
      <c r="D5358" t="s">
        <v>965</v>
      </c>
      <c r="E5358" t="s">
        <v>380</v>
      </c>
      <c r="F5358" t="s">
        <v>381</v>
      </c>
      <c r="G5358" t="s">
        <v>972</v>
      </c>
      <c r="H5358">
        <v>17</v>
      </c>
      <c r="I5358">
        <v>24.176500000000001</v>
      </c>
      <c r="J5358">
        <v>40.176499999999997</v>
      </c>
      <c r="K5358">
        <v>16</v>
      </c>
      <c r="L5358">
        <v>15</v>
      </c>
      <c r="M5358">
        <v>0</v>
      </c>
      <c r="N5358">
        <v>2</v>
      </c>
      <c r="O5358" t="s">
        <v>127</v>
      </c>
      <c r="P5358" t="s">
        <v>127</v>
      </c>
      <c r="Q5358" t="s">
        <v>127</v>
      </c>
    </row>
    <row r="5359" spans="1:17" x14ac:dyDescent="0.25">
      <c r="A5359" t="str">
        <f>IF(C5359&amp;G5359&amp;D5359&lt;&gt;'Funnel setup'!$K$3&amp;'Funnel setup'!$K$4&amp;'Funnel setup'!$K$6,".",IF(A5358=".",1,A5358+1))</f>
        <v>.</v>
      </c>
      <c r="B5359" s="244" t="str">
        <f t="shared" si="83"/>
        <v>Total Knee ReplacementProviderNUFFIELD HEALTH, DERBY HOSPITAL (NT213)Oxford Knee Score</v>
      </c>
      <c r="C5359" t="s">
        <v>975</v>
      </c>
      <c r="D5359" t="s">
        <v>965</v>
      </c>
      <c r="E5359" t="s">
        <v>382</v>
      </c>
      <c r="F5359" t="s">
        <v>383</v>
      </c>
      <c r="G5359" t="s">
        <v>972</v>
      </c>
      <c r="H5359">
        <v>115</v>
      </c>
      <c r="I5359">
        <v>19.0609</v>
      </c>
      <c r="J5359">
        <v>37.330399999999997</v>
      </c>
      <c r="K5359">
        <v>18.269600000000001</v>
      </c>
      <c r="L5359">
        <v>112</v>
      </c>
      <c r="M5359">
        <v>0</v>
      </c>
      <c r="N5359">
        <v>3</v>
      </c>
      <c r="O5359">
        <v>37.145299999999999</v>
      </c>
      <c r="P5359">
        <v>17.8766</v>
      </c>
      <c r="Q5359">
        <v>8.3567900000000002</v>
      </c>
    </row>
    <row r="5360" spans="1:17" x14ac:dyDescent="0.25">
      <c r="A5360" t="str">
        <f>IF(C5360&amp;G5360&amp;D5360&lt;&gt;'Funnel setup'!$K$3&amp;'Funnel setup'!$K$4&amp;'Funnel setup'!$K$6,".",IF(A5359=".",1,A5359+1))</f>
        <v>.</v>
      </c>
      <c r="B5360" s="244" t="str">
        <f t="shared" si="83"/>
        <v>Total Knee ReplacementProviderNUFFIELD HEALTH, EXETER HOSPITAL (NT215)Oxford Knee Score</v>
      </c>
      <c r="C5360" t="s">
        <v>975</v>
      </c>
      <c r="D5360" t="s">
        <v>965</v>
      </c>
      <c r="E5360" t="s">
        <v>384</v>
      </c>
      <c r="F5360" t="s">
        <v>385</v>
      </c>
      <c r="G5360" t="s">
        <v>972</v>
      </c>
      <c r="H5360">
        <v>1</v>
      </c>
      <c r="I5360">
        <v>20</v>
      </c>
      <c r="J5360">
        <v>38</v>
      </c>
      <c r="K5360">
        <v>18</v>
      </c>
      <c r="L5360">
        <v>1</v>
      </c>
      <c r="M5360">
        <v>0</v>
      </c>
      <c r="N5360">
        <v>0</v>
      </c>
      <c r="O5360" t="s">
        <v>127</v>
      </c>
      <c r="P5360" t="s">
        <v>127</v>
      </c>
      <c r="Q5360" t="s">
        <v>127</v>
      </c>
    </row>
    <row r="5361" spans="1:17" x14ac:dyDescent="0.25">
      <c r="A5361" t="str">
        <f>IF(C5361&amp;G5361&amp;D5361&lt;&gt;'Funnel setup'!$K$3&amp;'Funnel setup'!$K$4&amp;'Funnel setup'!$K$6,".",IF(A5360=".",1,A5360+1))</f>
        <v>.</v>
      </c>
      <c r="B5361" s="244" t="str">
        <f t="shared" si="83"/>
        <v>Total Knee ReplacementProviderNUFFIELD HEALTH, HAYWARDS HEATH HOSPITAL (NT218)Oxford Knee Score</v>
      </c>
      <c r="C5361" t="s">
        <v>975</v>
      </c>
      <c r="D5361" t="s">
        <v>965</v>
      </c>
      <c r="E5361" t="s">
        <v>386</v>
      </c>
      <c r="F5361" t="s">
        <v>387</v>
      </c>
      <c r="G5361" t="s">
        <v>972</v>
      </c>
      <c r="H5361">
        <v>18</v>
      </c>
      <c r="I5361">
        <v>22.8889</v>
      </c>
      <c r="J5361">
        <v>38.777799999999999</v>
      </c>
      <c r="K5361">
        <v>15.8889</v>
      </c>
      <c r="L5361">
        <v>17</v>
      </c>
      <c r="M5361">
        <v>1</v>
      </c>
      <c r="N5361">
        <v>0</v>
      </c>
      <c r="O5361" t="s">
        <v>127</v>
      </c>
      <c r="P5361" t="s">
        <v>127</v>
      </c>
      <c r="Q5361" t="s">
        <v>127</v>
      </c>
    </row>
    <row r="5362" spans="1:17" x14ac:dyDescent="0.25">
      <c r="A5362" t="str">
        <f>IF(C5362&amp;G5362&amp;D5362&lt;&gt;'Funnel setup'!$K$3&amp;'Funnel setup'!$K$4&amp;'Funnel setup'!$K$6,".",IF(A5361=".",1,A5361+1))</f>
        <v>.</v>
      </c>
      <c r="B5362" s="244" t="str">
        <f t="shared" si="83"/>
        <v>Total Knee ReplacementProviderNUFFIELD HEALTH, HEREFORD HOSPITAL (NT219)Oxford Knee Score</v>
      </c>
      <c r="C5362" t="s">
        <v>975</v>
      </c>
      <c r="D5362" t="s">
        <v>965</v>
      </c>
      <c r="E5362" t="s">
        <v>388</v>
      </c>
      <c r="F5362" t="s">
        <v>389</v>
      </c>
      <c r="G5362" t="s">
        <v>972</v>
      </c>
      <c r="H5362">
        <v>9</v>
      </c>
      <c r="I5362">
        <v>18.333300000000001</v>
      </c>
      <c r="J5362">
        <v>40.333300000000001</v>
      </c>
      <c r="K5362">
        <v>22</v>
      </c>
      <c r="L5362">
        <v>9</v>
      </c>
      <c r="M5362">
        <v>0</v>
      </c>
      <c r="N5362">
        <v>0</v>
      </c>
      <c r="O5362" t="s">
        <v>127</v>
      </c>
      <c r="P5362" t="s">
        <v>127</v>
      </c>
      <c r="Q5362" t="s">
        <v>127</v>
      </c>
    </row>
    <row r="5363" spans="1:17" x14ac:dyDescent="0.25">
      <c r="A5363" t="str">
        <f>IF(C5363&amp;G5363&amp;D5363&lt;&gt;'Funnel setup'!$K$3&amp;'Funnel setup'!$K$4&amp;'Funnel setup'!$K$6,".",IF(A5362=".",1,A5362+1))</f>
        <v>.</v>
      </c>
      <c r="B5363" s="244" t="str">
        <f t="shared" si="83"/>
        <v>Total Knee ReplacementProviderNUFFIELD HEALTH, IPSWICH HOSPITAL (NT222)Oxford Knee Score</v>
      </c>
      <c r="C5363" t="s">
        <v>975</v>
      </c>
      <c r="D5363" t="s">
        <v>965</v>
      </c>
      <c r="E5363" t="s">
        <v>390</v>
      </c>
      <c r="F5363" t="s">
        <v>391</v>
      </c>
      <c r="G5363" t="s">
        <v>972</v>
      </c>
      <c r="H5363">
        <v>4</v>
      </c>
      <c r="I5363">
        <v>21.75</v>
      </c>
      <c r="J5363">
        <v>38</v>
      </c>
      <c r="K5363">
        <v>16.25</v>
      </c>
      <c r="L5363">
        <v>4</v>
      </c>
      <c r="M5363">
        <v>0</v>
      </c>
      <c r="N5363">
        <v>0</v>
      </c>
      <c r="O5363" t="s">
        <v>127</v>
      </c>
      <c r="P5363" t="s">
        <v>127</v>
      </c>
      <c r="Q5363" t="s">
        <v>127</v>
      </c>
    </row>
    <row r="5364" spans="1:17" x14ac:dyDescent="0.25">
      <c r="A5364" t="str">
        <f>IF(C5364&amp;G5364&amp;D5364&lt;&gt;'Funnel setup'!$K$3&amp;'Funnel setup'!$K$4&amp;'Funnel setup'!$K$6,".",IF(A5363=".",1,A5363+1))</f>
        <v>.</v>
      </c>
      <c r="B5364" s="244" t="str">
        <f t="shared" si="83"/>
        <v>Total Knee ReplacementProviderNUFFIELD HEALTH, LEEDS HOSPITAL (NT225)Oxford Knee Score</v>
      </c>
      <c r="C5364" t="s">
        <v>975</v>
      </c>
      <c r="D5364" t="s">
        <v>965</v>
      </c>
      <c r="E5364" t="s">
        <v>392</v>
      </c>
      <c r="F5364" t="s">
        <v>393</v>
      </c>
      <c r="G5364" t="s">
        <v>972</v>
      </c>
      <c r="H5364">
        <v>143</v>
      </c>
      <c r="I5364">
        <v>19.6736</v>
      </c>
      <c r="J5364">
        <v>38.381900000000002</v>
      </c>
      <c r="K5364">
        <v>18.708300000000001</v>
      </c>
      <c r="L5364">
        <v>140</v>
      </c>
      <c r="M5364">
        <v>1</v>
      </c>
      <c r="N5364">
        <v>2</v>
      </c>
      <c r="O5364">
        <v>37.601300000000002</v>
      </c>
      <c r="P5364">
        <v>18.332599999999999</v>
      </c>
      <c r="Q5364">
        <v>7.27163</v>
      </c>
    </row>
    <row r="5365" spans="1:17" x14ac:dyDescent="0.25">
      <c r="A5365" t="str">
        <f>IF(C5365&amp;G5365&amp;D5365&lt;&gt;'Funnel setup'!$K$3&amp;'Funnel setup'!$K$4&amp;'Funnel setup'!$K$6,".",IF(A5364=".",1,A5364+1))</f>
        <v>.</v>
      </c>
      <c r="B5365" s="244" t="str">
        <f t="shared" si="83"/>
        <v>Total Knee ReplacementProviderNUFFIELD HEALTH, LEICESTER HOSPITAL (NT226)Oxford Knee Score</v>
      </c>
      <c r="C5365" t="s">
        <v>975</v>
      </c>
      <c r="D5365" t="s">
        <v>965</v>
      </c>
      <c r="E5365" t="s">
        <v>394</v>
      </c>
      <c r="F5365" t="s">
        <v>395</v>
      </c>
      <c r="G5365" t="s">
        <v>972</v>
      </c>
      <c r="H5365">
        <v>28</v>
      </c>
      <c r="I5365">
        <v>18.75</v>
      </c>
      <c r="J5365">
        <v>35.571399999999997</v>
      </c>
      <c r="K5365">
        <v>16.821400000000001</v>
      </c>
      <c r="L5365">
        <v>27</v>
      </c>
      <c r="M5365">
        <v>0</v>
      </c>
      <c r="N5365">
        <v>1</v>
      </c>
      <c r="O5365" t="s">
        <v>127</v>
      </c>
      <c r="P5365" t="s">
        <v>127</v>
      </c>
      <c r="Q5365" t="s">
        <v>127</v>
      </c>
    </row>
    <row r="5366" spans="1:17" x14ac:dyDescent="0.25">
      <c r="A5366" t="str">
        <f>IF(C5366&amp;G5366&amp;D5366&lt;&gt;'Funnel setup'!$K$3&amp;'Funnel setup'!$K$4&amp;'Funnel setup'!$K$6,".",IF(A5365=".",1,A5365+1))</f>
        <v>.</v>
      </c>
      <c r="B5366" s="244" t="str">
        <f t="shared" si="83"/>
        <v>Total Knee ReplacementProviderNUFFIELD HEALTH, NEWCASTLE UPON TYNE HOSPITAL (NT229)Oxford Knee Score</v>
      </c>
      <c r="C5366" t="s">
        <v>975</v>
      </c>
      <c r="D5366" t="s">
        <v>965</v>
      </c>
      <c r="E5366" t="s">
        <v>396</v>
      </c>
      <c r="F5366" t="s">
        <v>397</v>
      </c>
      <c r="G5366" t="s">
        <v>972</v>
      </c>
      <c r="H5366">
        <v>27</v>
      </c>
      <c r="I5366">
        <v>21.2593</v>
      </c>
      <c r="J5366">
        <v>37.851900000000001</v>
      </c>
      <c r="K5366">
        <v>16.592600000000001</v>
      </c>
      <c r="L5366">
        <v>27</v>
      </c>
      <c r="M5366">
        <v>0</v>
      </c>
      <c r="N5366">
        <v>0</v>
      </c>
      <c r="O5366" t="s">
        <v>127</v>
      </c>
      <c r="P5366" t="s">
        <v>127</v>
      </c>
      <c r="Q5366" t="s">
        <v>127</v>
      </c>
    </row>
    <row r="5367" spans="1:17" x14ac:dyDescent="0.25">
      <c r="A5367" t="str">
        <f>IF(C5367&amp;G5367&amp;D5367&lt;&gt;'Funnel setup'!$K$3&amp;'Funnel setup'!$K$4&amp;'Funnel setup'!$K$6,".",IF(A5366=".",1,A5366+1))</f>
        <v>.</v>
      </c>
      <c r="B5367" s="244" t="str">
        <f t="shared" si="83"/>
        <v>Total Knee ReplacementProviderNUFFIELD HEALTH, NORTH STAFFORDSHIRE HOSPITAL (NT230)Oxford Knee Score</v>
      </c>
      <c r="C5367" t="s">
        <v>975</v>
      </c>
      <c r="D5367" t="s">
        <v>965</v>
      </c>
      <c r="E5367" t="s">
        <v>398</v>
      </c>
      <c r="F5367" t="s">
        <v>399</v>
      </c>
      <c r="G5367" t="s">
        <v>972</v>
      </c>
      <c r="H5367">
        <v>45</v>
      </c>
      <c r="I5367">
        <v>19.1739</v>
      </c>
      <c r="J5367">
        <v>36.587000000000003</v>
      </c>
      <c r="K5367">
        <v>17.413</v>
      </c>
      <c r="L5367">
        <v>43</v>
      </c>
      <c r="M5367">
        <v>0</v>
      </c>
      <c r="N5367">
        <v>2</v>
      </c>
      <c r="O5367">
        <v>36.744399999999999</v>
      </c>
      <c r="P5367">
        <v>17.4758</v>
      </c>
      <c r="Q5367">
        <v>7.3956</v>
      </c>
    </row>
    <row r="5368" spans="1:17" x14ac:dyDescent="0.25">
      <c r="A5368" t="str">
        <f>IF(C5368&amp;G5368&amp;D5368&lt;&gt;'Funnel setup'!$K$3&amp;'Funnel setup'!$K$4&amp;'Funnel setup'!$K$6,".",IF(A5367=".",1,A5367+1))</f>
        <v>.</v>
      </c>
      <c r="B5368" s="244" t="str">
        <f t="shared" si="83"/>
        <v>Total Knee ReplacementProviderNUFFIELD HEALTH, PLYMOUTH HOSPITAL (NT233)Oxford Knee Score</v>
      </c>
      <c r="C5368" t="s">
        <v>975</v>
      </c>
      <c r="D5368" t="s">
        <v>965</v>
      </c>
      <c r="E5368" t="s">
        <v>400</v>
      </c>
      <c r="F5368" t="s">
        <v>401</v>
      </c>
      <c r="G5368" t="s">
        <v>972</v>
      </c>
      <c r="H5368">
        <v>45</v>
      </c>
      <c r="I5368">
        <v>20.9787</v>
      </c>
      <c r="J5368">
        <v>38.234000000000002</v>
      </c>
      <c r="K5368">
        <v>17.255299999999998</v>
      </c>
      <c r="L5368">
        <v>43</v>
      </c>
      <c r="M5368">
        <v>0</v>
      </c>
      <c r="N5368">
        <v>2</v>
      </c>
      <c r="O5368">
        <v>37.876199999999997</v>
      </c>
      <c r="P5368">
        <v>18.607600000000001</v>
      </c>
      <c r="Q5368">
        <v>9.3846699999999998</v>
      </c>
    </row>
    <row r="5369" spans="1:17" x14ac:dyDescent="0.25">
      <c r="A5369" t="str">
        <f>IF(C5369&amp;G5369&amp;D5369&lt;&gt;'Funnel setup'!$K$3&amp;'Funnel setup'!$K$4&amp;'Funnel setup'!$K$6,".",IF(A5368=".",1,A5368+1))</f>
        <v>.</v>
      </c>
      <c r="B5369" s="244" t="str">
        <f t="shared" si="83"/>
        <v>Total Knee ReplacementProviderNUFFIELD HEALTH, SHREWSBURY HOSPITAL (NT235)Oxford Knee Score</v>
      </c>
      <c r="C5369" t="s">
        <v>975</v>
      </c>
      <c r="D5369" t="s">
        <v>965</v>
      </c>
      <c r="E5369" t="s">
        <v>402</v>
      </c>
      <c r="F5369" t="s">
        <v>403</v>
      </c>
      <c r="G5369" t="s">
        <v>972</v>
      </c>
      <c r="H5369">
        <v>2</v>
      </c>
      <c r="I5369">
        <v>21</v>
      </c>
      <c r="J5369">
        <v>25</v>
      </c>
      <c r="K5369">
        <v>4</v>
      </c>
      <c r="L5369">
        <v>1</v>
      </c>
      <c r="M5369">
        <v>0</v>
      </c>
      <c r="N5369">
        <v>1</v>
      </c>
      <c r="O5369" t="s">
        <v>127</v>
      </c>
      <c r="P5369" t="s">
        <v>127</v>
      </c>
      <c r="Q5369" t="s">
        <v>127</v>
      </c>
    </row>
    <row r="5370" spans="1:17" x14ac:dyDescent="0.25">
      <c r="A5370" t="str">
        <f>IF(C5370&amp;G5370&amp;D5370&lt;&gt;'Funnel setup'!$K$3&amp;'Funnel setup'!$K$4&amp;'Funnel setup'!$K$6,".",IF(A5369=".",1,A5369+1))</f>
        <v>.</v>
      </c>
      <c r="B5370" s="244" t="str">
        <f t="shared" si="83"/>
        <v>Total Knee ReplacementProviderNUFFIELD HEALTH, TAUNTON HOSPITAL (NT238)Oxford Knee Score</v>
      </c>
      <c r="C5370" t="s">
        <v>975</v>
      </c>
      <c r="D5370" t="s">
        <v>965</v>
      </c>
      <c r="E5370" t="s">
        <v>404</v>
      </c>
      <c r="F5370" t="s">
        <v>405</v>
      </c>
      <c r="G5370" t="s">
        <v>972</v>
      </c>
      <c r="H5370">
        <v>29</v>
      </c>
      <c r="I5370">
        <v>18.4483</v>
      </c>
      <c r="J5370">
        <v>38.551699999999997</v>
      </c>
      <c r="K5370">
        <v>20.103400000000001</v>
      </c>
      <c r="L5370">
        <v>28</v>
      </c>
      <c r="M5370">
        <v>0</v>
      </c>
      <c r="N5370">
        <v>1</v>
      </c>
      <c r="O5370" t="s">
        <v>127</v>
      </c>
      <c r="P5370" t="s">
        <v>127</v>
      </c>
      <c r="Q5370" t="s">
        <v>127</v>
      </c>
    </row>
    <row r="5371" spans="1:17" x14ac:dyDescent="0.25">
      <c r="A5371" t="str">
        <f>IF(C5371&amp;G5371&amp;D5371&lt;&gt;'Funnel setup'!$K$3&amp;'Funnel setup'!$K$4&amp;'Funnel setup'!$K$6,".",IF(A5370=".",1,A5370+1))</f>
        <v>.</v>
      </c>
      <c r="B5371" s="244" t="str">
        <f t="shared" si="83"/>
        <v>Total Knee ReplacementProviderNUFFIELD HEALTH, TEES HOSPITAL (NT237)Oxford Knee Score</v>
      </c>
      <c r="C5371" t="s">
        <v>975</v>
      </c>
      <c r="D5371" t="s">
        <v>965</v>
      </c>
      <c r="E5371" t="s">
        <v>406</v>
      </c>
      <c r="F5371" t="s">
        <v>407</v>
      </c>
      <c r="G5371" t="s">
        <v>972</v>
      </c>
      <c r="H5371">
        <v>229</v>
      </c>
      <c r="I5371">
        <v>18.596599999999999</v>
      </c>
      <c r="J5371">
        <v>38.2532</v>
      </c>
      <c r="K5371">
        <v>19.656700000000001</v>
      </c>
      <c r="L5371">
        <v>223</v>
      </c>
      <c r="M5371">
        <v>0</v>
      </c>
      <c r="N5371">
        <v>6</v>
      </c>
      <c r="O5371">
        <v>38.302500000000002</v>
      </c>
      <c r="P5371">
        <v>19.033899999999999</v>
      </c>
      <c r="Q5371">
        <v>8.6504300000000001</v>
      </c>
    </row>
    <row r="5372" spans="1:17" x14ac:dyDescent="0.25">
      <c r="A5372" t="str">
        <f>IF(C5372&amp;G5372&amp;D5372&lt;&gt;'Funnel setup'!$K$3&amp;'Funnel setup'!$K$4&amp;'Funnel setup'!$K$6,".",IF(A5371=".",1,A5371+1))</f>
        <v>.</v>
      </c>
      <c r="B5372" s="244" t="str">
        <f t="shared" si="83"/>
        <v>Total Knee ReplacementProviderNUFFIELD HEALTH, THE GROSVENOR HOSPITAL, CHESTER (NT210)Oxford Knee Score</v>
      </c>
      <c r="C5372" t="s">
        <v>975</v>
      </c>
      <c r="D5372" t="s">
        <v>965</v>
      </c>
      <c r="E5372" t="s">
        <v>408</v>
      </c>
      <c r="F5372" t="s">
        <v>409</v>
      </c>
      <c r="G5372" t="s">
        <v>972</v>
      </c>
      <c r="H5372">
        <v>14</v>
      </c>
      <c r="I5372">
        <v>22.214300000000001</v>
      </c>
      <c r="J5372">
        <v>39.357100000000003</v>
      </c>
      <c r="K5372">
        <v>17.142900000000001</v>
      </c>
      <c r="L5372">
        <v>12</v>
      </c>
      <c r="M5372">
        <v>1</v>
      </c>
      <c r="N5372">
        <v>1</v>
      </c>
      <c r="O5372" t="s">
        <v>127</v>
      </c>
      <c r="P5372" t="s">
        <v>127</v>
      </c>
      <c r="Q5372" t="s">
        <v>127</v>
      </c>
    </row>
    <row r="5373" spans="1:17" x14ac:dyDescent="0.25">
      <c r="A5373" t="str">
        <f>IF(C5373&amp;G5373&amp;D5373&lt;&gt;'Funnel setup'!$K$3&amp;'Funnel setup'!$K$4&amp;'Funnel setup'!$K$6,".",IF(A5372=".",1,A5372+1))</f>
        <v>.</v>
      </c>
      <c r="B5373" s="244" t="str">
        <f t="shared" si="83"/>
        <v>Total Knee ReplacementProviderNUFFIELD HEALTH, TUNBRIDGE WELLS HOSPITAL (NT239)Oxford Knee Score</v>
      </c>
      <c r="C5373" t="s">
        <v>975</v>
      </c>
      <c r="D5373" t="s">
        <v>965</v>
      </c>
      <c r="E5373" t="s">
        <v>410</v>
      </c>
      <c r="F5373" t="s">
        <v>411</v>
      </c>
      <c r="G5373" t="s">
        <v>972</v>
      </c>
      <c r="H5373">
        <v>5</v>
      </c>
      <c r="I5373">
        <v>22.8</v>
      </c>
      <c r="J5373">
        <v>45.4</v>
      </c>
      <c r="K5373">
        <v>22.6</v>
      </c>
      <c r="L5373">
        <v>5</v>
      </c>
      <c r="M5373">
        <v>0</v>
      </c>
      <c r="N5373">
        <v>0</v>
      </c>
      <c r="O5373" t="s">
        <v>127</v>
      </c>
      <c r="P5373" t="s">
        <v>127</v>
      </c>
      <c r="Q5373" t="s">
        <v>127</v>
      </c>
    </row>
    <row r="5374" spans="1:17" x14ac:dyDescent="0.25">
      <c r="A5374" t="str">
        <f>IF(C5374&amp;G5374&amp;D5374&lt;&gt;'Funnel setup'!$K$3&amp;'Funnel setup'!$K$4&amp;'Funnel setup'!$K$6,".",IF(A5373=".",1,A5373+1))</f>
        <v>.</v>
      </c>
      <c r="B5374" s="244" t="str">
        <f t="shared" si="83"/>
        <v>Total Knee ReplacementProviderNUFFIELD HEALTH, WARWICKSHIRE HOSPITAL (NT224)Oxford Knee Score</v>
      </c>
      <c r="C5374" t="s">
        <v>975</v>
      </c>
      <c r="D5374" t="s">
        <v>965</v>
      </c>
      <c r="E5374" t="s">
        <v>412</v>
      </c>
      <c r="F5374" t="s">
        <v>413</v>
      </c>
      <c r="G5374" t="s">
        <v>972</v>
      </c>
      <c r="H5374">
        <v>14</v>
      </c>
      <c r="I5374">
        <v>20.066700000000001</v>
      </c>
      <c r="J5374">
        <v>35.933300000000003</v>
      </c>
      <c r="K5374">
        <v>15.8667</v>
      </c>
      <c r="L5374">
        <v>14</v>
      </c>
      <c r="M5374">
        <v>0</v>
      </c>
      <c r="N5374">
        <v>0</v>
      </c>
      <c r="O5374" t="s">
        <v>127</v>
      </c>
      <c r="P5374" t="s">
        <v>127</v>
      </c>
      <c r="Q5374" t="s">
        <v>127</v>
      </c>
    </row>
    <row r="5375" spans="1:17" x14ac:dyDescent="0.25">
      <c r="A5375" t="str">
        <f>IF(C5375&amp;G5375&amp;D5375&lt;&gt;'Funnel setup'!$K$3&amp;'Funnel setup'!$K$4&amp;'Funnel setup'!$K$6,".",IF(A5374=".",1,A5374+1))</f>
        <v>.</v>
      </c>
      <c r="B5375" s="244" t="str">
        <f t="shared" si="83"/>
        <v>Total Knee ReplacementProviderNUFFIELD HEALTH, WESSEX HOSPITAL (NT214)Oxford Knee Score</v>
      </c>
      <c r="C5375" t="s">
        <v>975</v>
      </c>
      <c r="D5375" t="s">
        <v>965</v>
      </c>
      <c r="E5375" t="s">
        <v>414</v>
      </c>
      <c r="F5375" t="s">
        <v>415</v>
      </c>
      <c r="G5375" t="s">
        <v>972</v>
      </c>
      <c r="H5375">
        <v>33</v>
      </c>
      <c r="I5375">
        <v>23.060600000000001</v>
      </c>
      <c r="J5375">
        <v>37.393900000000002</v>
      </c>
      <c r="K5375">
        <v>14.333299999999999</v>
      </c>
      <c r="L5375">
        <v>31</v>
      </c>
      <c r="M5375">
        <v>1</v>
      </c>
      <c r="N5375">
        <v>1</v>
      </c>
      <c r="O5375">
        <v>34.667499999999997</v>
      </c>
      <c r="P5375">
        <v>15.398899999999999</v>
      </c>
      <c r="Q5375">
        <v>6.9774799999999999</v>
      </c>
    </row>
    <row r="5376" spans="1:17" x14ac:dyDescent="0.25">
      <c r="A5376" t="str">
        <f>IF(C5376&amp;G5376&amp;D5376&lt;&gt;'Funnel setup'!$K$3&amp;'Funnel setup'!$K$4&amp;'Funnel setup'!$K$6,".",IF(A5375=".",1,A5375+1))</f>
        <v>.</v>
      </c>
      <c r="B5376" s="244" t="str">
        <f t="shared" si="83"/>
        <v>Total Knee ReplacementProviderNUFFIELD HEALTH, WOLVERHAMPTON HOSPITAL (NT242)Oxford Knee Score</v>
      </c>
      <c r="C5376" t="s">
        <v>975</v>
      </c>
      <c r="D5376" t="s">
        <v>965</v>
      </c>
      <c r="E5376" t="s">
        <v>418</v>
      </c>
      <c r="F5376" t="s">
        <v>419</v>
      </c>
      <c r="G5376" t="s">
        <v>972</v>
      </c>
      <c r="H5376">
        <v>15</v>
      </c>
      <c r="I5376">
        <v>18.666699999999999</v>
      </c>
      <c r="J5376">
        <v>33</v>
      </c>
      <c r="K5376">
        <v>14.333299999999999</v>
      </c>
      <c r="L5376">
        <v>14</v>
      </c>
      <c r="M5376">
        <v>0</v>
      </c>
      <c r="N5376">
        <v>1</v>
      </c>
      <c r="O5376" t="s">
        <v>127</v>
      </c>
      <c r="P5376" t="s">
        <v>127</v>
      </c>
      <c r="Q5376" t="s">
        <v>127</v>
      </c>
    </row>
    <row r="5377" spans="1:17" x14ac:dyDescent="0.25">
      <c r="A5377" t="str">
        <f>IF(C5377&amp;G5377&amp;D5377&lt;&gt;'Funnel setup'!$K$3&amp;'Funnel setup'!$K$4&amp;'Funnel setup'!$K$6,".",IF(A5376=".",1,A5376+1))</f>
        <v>.</v>
      </c>
      <c r="B5377" s="244" t="str">
        <f t="shared" si="83"/>
        <v>Total Knee ReplacementProviderNUFFIELD HEALTH, YORK HOSPITAL (NT245)Oxford Knee Score</v>
      </c>
      <c r="C5377" t="s">
        <v>975</v>
      </c>
      <c r="D5377" t="s">
        <v>965</v>
      </c>
      <c r="E5377" t="s">
        <v>420</v>
      </c>
      <c r="F5377" t="s">
        <v>421</v>
      </c>
      <c r="G5377" t="s">
        <v>972</v>
      </c>
      <c r="H5377">
        <v>59</v>
      </c>
      <c r="I5377">
        <v>20.8475</v>
      </c>
      <c r="J5377">
        <v>37.355899999999998</v>
      </c>
      <c r="K5377">
        <v>16.508500000000002</v>
      </c>
      <c r="L5377">
        <v>55</v>
      </c>
      <c r="M5377">
        <v>2</v>
      </c>
      <c r="N5377">
        <v>2</v>
      </c>
      <c r="O5377">
        <v>36.216900000000003</v>
      </c>
      <c r="P5377">
        <v>16.9483</v>
      </c>
      <c r="Q5377">
        <v>7.8036399999999997</v>
      </c>
    </row>
    <row r="5378" spans="1:17" x14ac:dyDescent="0.25">
      <c r="A5378" t="str">
        <f>IF(C5378&amp;G5378&amp;D5378&lt;&gt;'Funnel setup'!$K$3&amp;'Funnel setup'!$K$4&amp;'Funnel setup'!$K$6,".",IF(A5377=".",1,A5377+1))</f>
        <v>.</v>
      </c>
      <c r="B5378" s="244" t="str">
        <f t="shared" ref="B5378:B5441" si="84">C5378&amp;D5378&amp;F5378&amp;G5378</f>
        <v>Total Knee ReplacementProviderOAKLANDS HOSPITAL (NVC12)Oxford Knee Score</v>
      </c>
      <c r="C5378" t="s">
        <v>975</v>
      </c>
      <c r="D5378" t="s">
        <v>965</v>
      </c>
      <c r="E5378" t="s">
        <v>424</v>
      </c>
      <c r="F5378" t="s">
        <v>425</v>
      </c>
      <c r="G5378" t="s">
        <v>972</v>
      </c>
      <c r="H5378">
        <v>83</v>
      </c>
      <c r="I5378">
        <v>17.6145</v>
      </c>
      <c r="J5378">
        <v>35.228900000000003</v>
      </c>
      <c r="K5378">
        <v>17.6145</v>
      </c>
      <c r="L5378">
        <v>79</v>
      </c>
      <c r="M5378">
        <v>1</v>
      </c>
      <c r="N5378">
        <v>3</v>
      </c>
      <c r="O5378">
        <v>36.3874</v>
      </c>
      <c r="P5378">
        <v>17.1187</v>
      </c>
      <c r="Q5378">
        <v>9.4209700000000005</v>
      </c>
    </row>
    <row r="5379" spans="1:17" x14ac:dyDescent="0.25">
      <c r="A5379" t="str">
        <f>IF(C5379&amp;G5379&amp;D5379&lt;&gt;'Funnel setup'!$K$3&amp;'Funnel setup'!$K$4&amp;'Funnel setup'!$K$6,".",IF(A5378=".",1,A5378+1))</f>
        <v>.</v>
      </c>
      <c r="B5379" s="244" t="str">
        <f t="shared" si="84"/>
        <v>Total Knee ReplacementProviderOAKS HOSPITAL (NVC13)Oxford Knee Score</v>
      </c>
      <c r="C5379" t="s">
        <v>975</v>
      </c>
      <c r="D5379" t="s">
        <v>965</v>
      </c>
      <c r="E5379" t="s">
        <v>426</v>
      </c>
      <c r="F5379" t="s">
        <v>427</v>
      </c>
      <c r="G5379" t="s">
        <v>972</v>
      </c>
      <c r="H5379">
        <v>4</v>
      </c>
      <c r="I5379">
        <v>19.25</v>
      </c>
      <c r="J5379">
        <v>43.5</v>
      </c>
      <c r="K5379">
        <v>24.25</v>
      </c>
      <c r="L5379">
        <v>4</v>
      </c>
      <c r="M5379">
        <v>0</v>
      </c>
      <c r="N5379">
        <v>0</v>
      </c>
      <c r="O5379" t="s">
        <v>127</v>
      </c>
      <c r="P5379" t="s">
        <v>127</v>
      </c>
      <c r="Q5379" t="s">
        <v>127</v>
      </c>
    </row>
    <row r="5380" spans="1:17" x14ac:dyDescent="0.25">
      <c r="A5380" t="str">
        <f>IF(C5380&amp;G5380&amp;D5380&lt;&gt;'Funnel setup'!$K$3&amp;'Funnel setup'!$K$4&amp;'Funnel setup'!$K$6,".",IF(A5379=".",1,A5379+1))</f>
        <v>.</v>
      </c>
      <c r="B5380" s="244" t="str">
        <f t="shared" si="84"/>
        <v>Total Knee ReplacementProviderONE HEALTHCARE (AVQ)Oxford Knee Score</v>
      </c>
      <c r="C5380" t="s">
        <v>975</v>
      </c>
      <c r="D5380" t="s">
        <v>965</v>
      </c>
      <c r="E5380" t="s">
        <v>434</v>
      </c>
      <c r="F5380" t="s">
        <v>435</v>
      </c>
      <c r="G5380" t="s">
        <v>972</v>
      </c>
      <c r="H5380">
        <v>69</v>
      </c>
      <c r="I5380">
        <v>21.333300000000001</v>
      </c>
      <c r="J5380">
        <v>38.898600000000002</v>
      </c>
      <c r="K5380">
        <v>17.565200000000001</v>
      </c>
      <c r="L5380">
        <v>66</v>
      </c>
      <c r="M5380">
        <v>0</v>
      </c>
      <c r="N5380">
        <v>3</v>
      </c>
      <c r="O5380">
        <v>37.154000000000003</v>
      </c>
      <c r="P5380">
        <v>17.885300000000001</v>
      </c>
      <c r="Q5380">
        <v>7.2388899999999996</v>
      </c>
    </row>
    <row r="5381" spans="1:17" x14ac:dyDescent="0.25">
      <c r="A5381" t="str">
        <f>IF(C5381&amp;G5381&amp;D5381&lt;&gt;'Funnel setup'!$K$3&amp;'Funnel setup'!$K$4&amp;'Funnel setup'!$K$6,".",IF(A5380=".",1,A5380+1))</f>
        <v>.</v>
      </c>
      <c r="B5381" s="244" t="str">
        <f t="shared" si="84"/>
        <v>Total Knee ReplacementProviderORTHOPAEDICS &amp; SPINE SPECIALIST HOSPITAL SITE (NQM01)Oxford Knee Score</v>
      </c>
      <c r="C5381" t="s">
        <v>975</v>
      </c>
      <c r="D5381" t="s">
        <v>965</v>
      </c>
      <c r="E5381" t="s">
        <v>436</v>
      </c>
      <c r="F5381" t="s">
        <v>437</v>
      </c>
      <c r="G5381" t="s">
        <v>972</v>
      </c>
      <c r="H5381">
        <v>6</v>
      </c>
      <c r="I5381">
        <v>14.166700000000001</v>
      </c>
      <c r="J5381">
        <v>33.5</v>
      </c>
      <c r="K5381">
        <v>19.333300000000001</v>
      </c>
      <c r="L5381">
        <v>6</v>
      </c>
      <c r="M5381">
        <v>0</v>
      </c>
      <c r="N5381">
        <v>0</v>
      </c>
      <c r="O5381" t="s">
        <v>127</v>
      </c>
      <c r="P5381" t="s">
        <v>127</v>
      </c>
      <c r="Q5381" t="s">
        <v>127</v>
      </c>
    </row>
    <row r="5382" spans="1:17" x14ac:dyDescent="0.25">
      <c r="A5382" t="str">
        <f>IF(C5382&amp;G5382&amp;D5382&lt;&gt;'Funnel setup'!$K$3&amp;'Funnel setup'!$K$4&amp;'Funnel setup'!$K$6,".",IF(A5381=".",1,A5381+1))</f>
        <v>.</v>
      </c>
      <c r="B5382" s="244" t="str">
        <f t="shared" si="84"/>
        <v>Total Knee ReplacementProviderOXFORD UNIVERSITY HOSPITALS NHS FOUNDATION TRUST (RTH)Oxford Knee Score</v>
      </c>
      <c r="C5382" t="s">
        <v>975</v>
      </c>
      <c r="D5382" t="s">
        <v>965</v>
      </c>
      <c r="E5382" t="s">
        <v>438</v>
      </c>
      <c r="F5382" t="s">
        <v>439</v>
      </c>
      <c r="G5382" t="s">
        <v>972</v>
      </c>
      <c r="H5382">
        <v>285</v>
      </c>
      <c r="I5382">
        <v>19.863199999999999</v>
      </c>
      <c r="J5382">
        <v>36.926299999999998</v>
      </c>
      <c r="K5382">
        <v>17.063199999999998</v>
      </c>
      <c r="L5382">
        <v>267</v>
      </c>
      <c r="M5382">
        <v>1</v>
      </c>
      <c r="N5382">
        <v>17</v>
      </c>
      <c r="O5382">
        <v>36.828899999999997</v>
      </c>
      <c r="P5382">
        <v>17.560300000000002</v>
      </c>
      <c r="Q5382">
        <v>8.4953599999999998</v>
      </c>
    </row>
    <row r="5383" spans="1:17" x14ac:dyDescent="0.25">
      <c r="A5383" t="str">
        <f>IF(C5383&amp;G5383&amp;D5383&lt;&gt;'Funnel setup'!$K$3&amp;'Funnel setup'!$K$4&amp;'Funnel setup'!$K$6,".",IF(A5382=".",1,A5382+1))</f>
        <v>.</v>
      </c>
      <c r="B5383" s="244" t="str">
        <f t="shared" si="84"/>
        <v>Total Knee ReplacementProviderPARK HILL HOSPITAL (NVC14)Oxford Knee Score</v>
      </c>
      <c r="C5383" t="s">
        <v>975</v>
      </c>
      <c r="D5383" t="s">
        <v>965</v>
      </c>
      <c r="E5383" t="s">
        <v>440</v>
      </c>
      <c r="F5383" t="s">
        <v>441</v>
      </c>
      <c r="G5383" t="s">
        <v>972</v>
      </c>
      <c r="H5383">
        <v>36</v>
      </c>
      <c r="I5383">
        <v>17.729700000000001</v>
      </c>
      <c r="J5383">
        <v>35.513500000000001</v>
      </c>
      <c r="K5383">
        <v>17.783799999999999</v>
      </c>
      <c r="L5383">
        <v>31</v>
      </c>
      <c r="M5383">
        <v>0</v>
      </c>
      <c r="N5383">
        <v>5</v>
      </c>
      <c r="O5383">
        <v>36.542499999999997</v>
      </c>
      <c r="P5383">
        <v>17.273900000000001</v>
      </c>
      <c r="Q5383">
        <v>9.91188</v>
      </c>
    </row>
    <row r="5384" spans="1:17" x14ac:dyDescent="0.25">
      <c r="A5384" t="str">
        <f>IF(C5384&amp;G5384&amp;D5384&lt;&gt;'Funnel setup'!$K$3&amp;'Funnel setup'!$K$4&amp;'Funnel setup'!$K$6,".",IF(A5383=".",1,A5383+1))</f>
        <v>.</v>
      </c>
      <c r="B5384" s="244" t="str">
        <f t="shared" si="84"/>
        <v>Total Knee ReplacementProviderPARK HOSPITAL (NT427)Oxford Knee Score</v>
      </c>
      <c r="C5384" t="s">
        <v>975</v>
      </c>
      <c r="D5384" t="s">
        <v>965</v>
      </c>
      <c r="E5384" t="s">
        <v>442</v>
      </c>
      <c r="F5384" t="s">
        <v>443</v>
      </c>
      <c r="G5384" t="s">
        <v>972</v>
      </c>
      <c r="H5384">
        <v>56</v>
      </c>
      <c r="I5384">
        <v>20.607099999999999</v>
      </c>
      <c r="J5384">
        <v>37.142899999999997</v>
      </c>
      <c r="K5384">
        <v>16.535699999999999</v>
      </c>
      <c r="L5384">
        <v>52</v>
      </c>
      <c r="M5384">
        <v>0</v>
      </c>
      <c r="N5384">
        <v>4</v>
      </c>
      <c r="O5384">
        <v>35.733699999999999</v>
      </c>
      <c r="P5384">
        <v>16.465</v>
      </c>
      <c r="Q5384">
        <v>8.9039400000000004</v>
      </c>
    </row>
    <row r="5385" spans="1:17" x14ac:dyDescent="0.25">
      <c r="A5385" t="str">
        <f>IF(C5385&amp;G5385&amp;D5385&lt;&gt;'Funnel setup'!$K$3&amp;'Funnel setup'!$K$4&amp;'Funnel setup'!$K$6,".",IF(A5384=".",1,A5384+1))</f>
        <v>.</v>
      </c>
      <c r="B5385" s="244" t="str">
        <f t="shared" si="84"/>
        <v>Total Knee ReplacementProviderPENNINE ACUTE HOSPITALS NHS TRUST (RW6)Oxford Knee Score</v>
      </c>
      <c r="C5385" t="s">
        <v>975</v>
      </c>
      <c r="D5385" t="s">
        <v>965</v>
      </c>
      <c r="E5385" t="s">
        <v>444</v>
      </c>
      <c r="F5385" t="s">
        <v>445</v>
      </c>
      <c r="G5385" t="s">
        <v>972</v>
      </c>
      <c r="H5385">
        <v>4</v>
      </c>
      <c r="I5385">
        <v>14.75</v>
      </c>
      <c r="J5385">
        <v>37</v>
      </c>
      <c r="K5385">
        <v>22.25</v>
      </c>
      <c r="L5385">
        <v>4</v>
      </c>
      <c r="M5385">
        <v>0</v>
      </c>
      <c r="N5385">
        <v>0</v>
      </c>
      <c r="O5385" t="s">
        <v>127</v>
      </c>
      <c r="P5385" t="s">
        <v>127</v>
      </c>
      <c r="Q5385" t="s">
        <v>127</v>
      </c>
    </row>
    <row r="5386" spans="1:17" x14ac:dyDescent="0.25">
      <c r="A5386" t="str">
        <f>IF(C5386&amp;G5386&amp;D5386&lt;&gt;'Funnel setup'!$K$3&amp;'Funnel setup'!$K$4&amp;'Funnel setup'!$K$6,".",IF(A5385=".",1,A5385+1))</f>
        <v>.</v>
      </c>
      <c r="B5386" s="244" t="str">
        <f t="shared" si="84"/>
        <v>Total Knee ReplacementProviderPINEHILL HOSPITAL (NVC15)Oxford Knee Score</v>
      </c>
      <c r="C5386" t="s">
        <v>975</v>
      </c>
      <c r="D5386" t="s">
        <v>965</v>
      </c>
      <c r="E5386" t="s">
        <v>448</v>
      </c>
      <c r="F5386" t="s">
        <v>449</v>
      </c>
      <c r="G5386" t="s">
        <v>972</v>
      </c>
      <c r="H5386">
        <v>7</v>
      </c>
      <c r="I5386">
        <v>17.857099999999999</v>
      </c>
      <c r="J5386">
        <v>37.285699999999999</v>
      </c>
      <c r="K5386">
        <v>19.428599999999999</v>
      </c>
      <c r="L5386">
        <v>7</v>
      </c>
      <c r="M5386">
        <v>0</v>
      </c>
      <c r="N5386">
        <v>0</v>
      </c>
      <c r="O5386" t="s">
        <v>127</v>
      </c>
      <c r="P5386" t="s">
        <v>127</v>
      </c>
      <c r="Q5386" t="s">
        <v>127</v>
      </c>
    </row>
    <row r="5387" spans="1:17" x14ac:dyDescent="0.25">
      <c r="A5387" t="str">
        <f>IF(C5387&amp;G5387&amp;D5387&lt;&gt;'Funnel setup'!$K$3&amp;'Funnel setup'!$K$4&amp;'Funnel setup'!$K$6,".",IF(A5386=".",1,A5386+1))</f>
        <v>.</v>
      </c>
      <c r="B5387" s="244" t="str">
        <f t="shared" si="84"/>
        <v>Total Knee ReplacementProviderPORTSMOUTH HOSPITALS UNIVERSITY NATIONAL HEALTH SERVICE TRUST (RHU)Oxford Knee Score</v>
      </c>
      <c r="C5387" t="s">
        <v>975</v>
      </c>
      <c r="D5387" t="s">
        <v>965</v>
      </c>
      <c r="E5387" t="s">
        <v>450</v>
      </c>
      <c r="F5387" t="s">
        <v>451</v>
      </c>
      <c r="G5387" t="s">
        <v>972</v>
      </c>
      <c r="H5387">
        <v>16</v>
      </c>
      <c r="I5387">
        <v>14.625</v>
      </c>
      <c r="J5387">
        <v>35.0625</v>
      </c>
      <c r="K5387">
        <v>20.4375</v>
      </c>
      <c r="L5387">
        <v>15</v>
      </c>
      <c r="M5387">
        <v>0</v>
      </c>
      <c r="N5387">
        <v>1</v>
      </c>
      <c r="O5387" t="s">
        <v>127</v>
      </c>
      <c r="P5387" t="s">
        <v>127</v>
      </c>
      <c r="Q5387" t="s">
        <v>127</v>
      </c>
    </row>
    <row r="5388" spans="1:17" x14ac:dyDescent="0.25">
      <c r="A5388" t="str">
        <f>IF(C5388&amp;G5388&amp;D5388&lt;&gt;'Funnel setup'!$K$3&amp;'Funnel setup'!$K$4&amp;'Funnel setup'!$K$6,".",IF(A5387=".",1,A5387+1))</f>
        <v>.</v>
      </c>
      <c r="B5388" s="244" t="str">
        <f t="shared" si="84"/>
        <v>Total Knee ReplacementProviderPRACTICE PLUS GROUP HOSPITAL - BARLBOROUGH (NTP13)Oxford Knee Score</v>
      </c>
      <c r="C5388" t="s">
        <v>975</v>
      </c>
      <c r="D5388" t="s">
        <v>965</v>
      </c>
      <c r="E5388" t="s">
        <v>452</v>
      </c>
      <c r="F5388" t="s">
        <v>453</v>
      </c>
      <c r="G5388" t="s">
        <v>972</v>
      </c>
      <c r="H5388">
        <v>252</v>
      </c>
      <c r="I5388">
        <v>19.2</v>
      </c>
      <c r="J5388">
        <v>37.811799999999998</v>
      </c>
      <c r="K5388">
        <v>18.611799999999999</v>
      </c>
      <c r="L5388">
        <v>243</v>
      </c>
      <c r="M5388">
        <v>2</v>
      </c>
      <c r="N5388">
        <v>7</v>
      </c>
      <c r="O5388">
        <v>37.313699999999997</v>
      </c>
      <c r="P5388">
        <v>18.045000000000002</v>
      </c>
      <c r="Q5388">
        <v>8.3252299999999995</v>
      </c>
    </row>
    <row r="5389" spans="1:17" x14ac:dyDescent="0.25">
      <c r="A5389" t="str">
        <f>IF(C5389&amp;G5389&amp;D5389&lt;&gt;'Funnel setup'!$K$3&amp;'Funnel setup'!$K$4&amp;'Funnel setup'!$K$6,".",IF(A5388=".",1,A5388+1))</f>
        <v>.</v>
      </c>
      <c r="B5389" s="244" t="str">
        <f t="shared" si="84"/>
        <v>Total Knee ReplacementProviderPRACTICE PLUS GROUP HOSPITAL - EMERSONS GREEN (NTPH2)Oxford Knee Score</v>
      </c>
      <c r="C5389" t="s">
        <v>975</v>
      </c>
      <c r="D5389" t="s">
        <v>965</v>
      </c>
      <c r="E5389" t="s">
        <v>454</v>
      </c>
      <c r="F5389" t="s">
        <v>455</v>
      </c>
      <c r="G5389" t="s">
        <v>972</v>
      </c>
      <c r="H5389">
        <v>141</v>
      </c>
      <c r="I5389">
        <v>20.3901</v>
      </c>
      <c r="J5389">
        <v>37.773000000000003</v>
      </c>
      <c r="K5389">
        <v>17.382999999999999</v>
      </c>
      <c r="L5389">
        <v>135</v>
      </c>
      <c r="M5389">
        <v>1</v>
      </c>
      <c r="N5389">
        <v>5</v>
      </c>
      <c r="O5389">
        <v>36.628399999999999</v>
      </c>
      <c r="P5389">
        <v>17.3597</v>
      </c>
      <c r="Q5389">
        <v>7.8470800000000001</v>
      </c>
    </row>
    <row r="5390" spans="1:17" x14ac:dyDescent="0.25">
      <c r="A5390" t="str">
        <f>IF(C5390&amp;G5390&amp;D5390&lt;&gt;'Funnel setup'!$K$3&amp;'Funnel setup'!$K$4&amp;'Funnel setup'!$K$6,".",IF(A5389=".",1,A5389+1))</f>
        <v>.</v>
      </c>
      <c r="B5390" s="244" t="str">
        <f t="shared" si="84"/>
        <v>Total Knee ReplacementProviderPRACTICE PLUS GROUP HOSPITAL - ILFORD (NTP15)Oxford Knee Score</v>
      </c>
      <c r="C5390" t="s">
        <v>975</v>
      </c>
      <c r="D5390" t="s">
        <v>965</v>
      </c>
      <c r="E5390" t="s">
        <v>456</v>
      </c>
      <c r="F5390" t="s">
        <v>457</v>
      </c>
      <c r="G5390" t="s">
        <v>972</v>
      </c>
      <c r="H5390">
        <v>86</v>
      </c>
      <c r="I5390">
        <v>17.162800000000001</v>
      </c>
      <c r="J5390">
        <v>32.9651</v>
      </c>
      <c r="K5390">
        <v>15.802300000000001</v>
      </c>
      <c r="L5390">
        <v>79</v>
      </c>
      <c r="M5390">
        <v>1</v>
      </c>
      <c r="N5390">
        <v>6</v>
      </c>
      <c r="O5390">
        <v>34.175699999999999</v>
      </c>
      <c r="P5390">
        <v>14.9071</v>
      </c>
      <c r="Q5390">
        <v>9.625</v>
      </c>
    </row>
    <row r="5391" spans="1:17" x14ac:dyDescent="0.25">
      <c r="A5391" t="str">
        <f>IF(C5391&amp;G5391&amp;D5391&lt;&gt;'Funnel setup'!$K$3&amp;'Funnel setup'!$K$4&amp;'Funnel setup'!$K$6,".",IF(A5390=".",1,A5390+1))</f>
        <v>.</v>
      </c>
      <c r="B5391" s="244" t="str">
        <f t="shared" si="84"/>
        <v>Total Knee ReplacementProviderPRACTICE PLUS GROUP HOSPITAL - PLYMOUTH (NTPH5)Oxford Knee Score</v>
      </c>
      <c r="C5391" t="s">
        <v>975</v>
      </c>
      <c r="D5391" t="s">
        <v>965</v>
      </c>
      <c r="E5391" t="s">
        <v>458</v>
      </c>
      <c r="F5391" t="s">
        <v>459</v>
      </c>
      <c r="G5391" t="s">
        <v>972</v>
      </c>
      <c r="H5391">
        <v>205</v>
      </c>
      <c r="I5391">
        <v>20.287800000000001</v>
      </c>
      <c r="J5391">
        <v>38.185400000000001</v>
      </c>
      <c r="K5391">
        <v>17.897600000000001</v>
      </c>
      <c r="L5391">
        <v>198</v>
      </c>
      <c r="M5391">
        <v>1</v>
      </c>
      <c r="N5391">
        <v>6</v>
      </c>
      <c r="O5391">
        <v>37.469900000000003</v>
      </c>
      <c r="P5391">
        <v>18.2012</v>
      </c>
      <c r="Q5391">
        <v>7.4621899999999997</v>
      </c>
    </row>
    <row r="5392" spans="1:17" x14ac:dyDescent="0.25">
      <c r="A5392" t="str">
        <f>IF(C5392&amp;G5392&amp;D5392&lt;&gt;'Funnel setup'!$K$3&amp;'Funnel setup'!$K$4&amp;'Funnel setup'!$K$6,".",IF(A5391=".",1,A5391+1))</f>
        <v>.</v>
      </c>
      <c r="B5392" s="244" t="str">
        <f t="shared" si="84"/>
        <v>Total Knee ReplacementProviderPRACTICE PLUS GROUP HOSPITAL - SHEPTON MALLET (NTPH1)Oxford Knee Score</v>
      </c>
      <c r="C5392" t="s">
        <v>975</v>
      </c>
      <c r="D5392" t="s">
        <v>965</v>
      </c>
      <c r="E5392" t="s">
        <v>460</v>
      </c>
      <c r="F5392" t="s">
        <v>461</v>
      </c>
      <c r="G5392" t="s">
        <v>972</v>
      </c>
      <c r="H5392">
        <v>229</v>
      </c>
      <c r="I5392">
        <v>19.690000000000001</v>
      </c>
      <c r="J5392">
        <v>38.807899999999997</v>
      </c>
      <c r="K5392">
        <v>19.117899999999999</v>
      </c>
      <c r="L5392">
        <v>223</v>
      </c>
      <c r="M5392">
        <v>1</v>
      </c>
      <c r="N5392">
        <v>5</v>
      </c>
      <c r="O5392">
        <v>37.982100000000003</v>
      </c>
      <c r="P5392">
        <v>18.7135</v>
      </c>
      <c r="Q5392">
        <v>7.4113300000000004</v>
      </c>
    </row>
    <row r="5393" spans="1:17" x14ac:dyDescent="0.25">
      <c r="A5393" t="str">
        <f>IF(C5393&amp;G5393&amp;D5393&lt;&gt;'Funnel setup'!$K$3&amp;'Funnel setup'!$K$4&amp;'Funnel setup'!$K$6,".",IF(A5392=".",1,A5392+1))</f>
        <v>.</v>
      </c>
      <c r="B5393" s="244" t="str">
        <f t="shared" si="84"/>
        <v>Total Knee ReplacementProviderPRACTICE PLUS GROUP HOSPITAL - SOUTHAMPTON (NTP11)Oxford Knee Score</v>
      </c>
      <c r="C5393" t="s">
        <v>975</v>
      </c>
      <c r="D5393" t="s">
        <v>965</v>
      </c>
      <c r="E5393" t="s">
        <v>462</v>
      </c>
      <c r="F5393" t="s">
        <v>463</v>
      </c>
      <c r="G5393" t="s">
        <v>972</v>
      </c>
      <c r="H5393">
        <v>73</v>
      </c>
      <c r="I5393">
        <v>19.260300000000001</v>
      </c>
      <c r="J5393">
        <v>36.863</v>
      </c>
      <c r="K5393">
        <v>17.602699999999999</v>
      </c>
      <c r="L5393">
        <v>69</v>
      </c>
      <c r="M5393">
        <v>0</v>
      </c>
      <c r="N5393">
        <v>4</v>
      </c>
      <c r="O5393">
        <v>36.672400000000003</v>
      </c>
      <c r="P5393">
        <v>17.4038</v>
      </c>
      <c r="Q5393">
        <v>8.423</v>
      </c>
    </row>
    <row r="5394" spans="1:17" x14ac:dyDescent="0.25">
      <c r="A5394" t="str">
        <f>IF(C5394&amp;G5394&amp;D5394&lt;&gt;'Funnel setup'!$K$3&amp;'Funnel setup'!$K$4&amp;'Funnel setup'!$K$6,".",IF(A5393=".",1,A5393+1))</f>
        <v>.</v>
      </c>
      <c r="B5394" s="244" t="str">
        <f t="shared" si="84"/>
        <v>Total Knee ReplacementProviderPRINCESS MARGARET HOSPITAL (NT428)Oxford Knee Score</v>
      </c>
      <c r="C5394" t="s">
        <v>975</v>
      </c>
      <c r="D5394" t="s">
        <v>965</v>
      </c>
      <c r="E5394" t="s">
        <v>464</v>
      </c>
      <c r="F5394" t="s">
        <v>465</v>
      </c>
      <c r="G5394" t="s">
        <v>972</v>
      </c>
      <c r="H5394" t="s">
        <v>127</v>
      </c>
      <c r="I5394" t="s">
        <v>127</v>
      </c>
      <c r="J5394" t="s">
        <v>127</v>
      </c>
      <c r="K5394" t="s">
        <v>127</v>
      </c>
      <c r="L5394" t="s">
        <v>127</v>
      </c>
      <c r="M5394" t="s">
        <v>127</v>
      </c>
      <c r="N5394" t="s">
        <v>127</v>
      </c>
      <c r="O5394" t="s">
        <v>127</v>
      </c>
      <c r="P5394" t="s">
        <v>127</v>
      </c>
      <c r="Q5394" t="s">
        <v>127</v>
      </c>
    </row>
    <row r="5395" spans="1:17" x14ac:dyDescent="0.25">
      <c r="A5395" t="str">
        <f>IF(C5395&amp;G5395&amp;D5395&lt;&gt;'Funnel setup'!$K$3&amp;'Funnel setup'!$K$4&amp;'Funnel setup'!$K$6,".",IF(A5394=".",1,A5394+1))</f>
        <v>.</v>
      </c>
      <c r="B5395" s="244" t="str">
        <f t="shared" si="84"/>
        <v>Total Knee ReplacementProviderPRIORY HOSPITAL (NT429)Oxford Knee Score</v>
      </c>
      <c r="C5395" t="s">
        <v>975</v>
      </c>
      <c r="D5395" t="s">
        <v>965</v>
      </c>
      <c r="E5395" t="s">
        <v>466</v>
      </c>
      <c r="F5395" t="s">
        <v>467</v>
      </c>
      <c r="G5395" t="s">
        <v>972</v>
      </c>
      <c r="H5395">
        <v>28</v>
      </c>
      <c r="I5395">
        <v>20.433299999999999</v>
      </c>
      <c r="J5395">
        <v>37.9</v>
      </c>
      <c r="K5395">
        <v>17.466699999999999</v>
      </c>
      <c r="L5395">
        <v>28</v>
      </c>
      <c r="M5395">
        <v>0</v>
      </c>
      <c r="N5395">
        <v>0</v>
      </c>
      <c r="O5395">
        <v>37.898600000000002</v>
      </c>
      <c r="P5395">
        <v>18.63</v>
      </c>
      <c r="Q5395">
        <v>6.4585299999999997</v>
      </c>
    </row>
    <row r="5396" spans="1:17" x14ac:dyDescent="0.25">
      <c r="A5396" t="str">
        <f>IF(C5396&amp;G5396&amp;D5396&lt;&gt;'Funnel setup'!$K$3&amp;'Funnel setup'!$K$4&amp;'Funnel setup'!$K$6,".",IF(A5395=".",1,A5395+1))</f>
        <v>.</v>
      </c>
      <c r="B5396" s="244" t="str">
        <f t="shared" si="84"/>
        <v>Total Knee ReplacementProviderRENACRES HOSPITAL (NVC16)Oxford Knee Score</v>
      </c>
      <c r="C5396" t="s">
        <v>975</v>
      </c>
      <c r="D5396" t="s">
        <v>965</v>
      </c>
      <c r="E5396" t="s">
        <v>470</v>
      </c>
      <c r="F5396" t="s">
        <v>471</v>
      </c>
      <c r="G5396" t="s">
        <v>972</v>
      </c>
      <c r="H5396">
        <v>65</v>
      </c>
      <c r="I5396">
        <v>18.923100000000002</v>
      </c>
      <c r="J5396">
        <v>37.230800000000002</v>
      </c>
      <c r="K5396">
        <v>18.307700000000001</v>
      </c>
      <c r="L5396">
        <v>61</v>
      </c>
      <c r="M5396">
        <v>0</v>
      </c>
      <c r="N5396">
        <v>4</v>
      </c>
      <c r="O5396">
        <v>36.7605</v>
      </c>
      <c r="P5396">
        <v>17.491900000000001</v>
      </c>
      <c r="Q5396">
        <v>8.6319599999999994</v>
      </c>
    </row>
    <row r="5397" spans="1:17" x14ac:dyDescent="0.25">
      <c r="A5397" t="str">
        <f>IF(C5397&amp;G5397&amp;D5397&lt;&gt;'Funnel setup'!$K$3&amp;'Funnel setup'!$K$4&amp;'Funnel setup'!$K$6,".",IF(A5396=".",1,A5396+1))</f>
        <v>.</v>
      </c>
      <c r="B5397" s="244" t="str">
        <f t="shared" si="84"/>
        <v>Total Knee ReplacementProviderRIDGEWAY HOSPITAL (NT430)Oxford Knee Score</v>
      </c>
      <c r="C5397" t="s">
        <v>975</v>
      </c>
      <c r="D5397" t="s">
        <v>965</v>
      </c>
      <c r="E5397" t="s">
        <v>472</v>
      </c>
      <c r="F5397" t="s">
        <v>473</v>
      </c>
      <c r="G5397" t="s">
        <v>972</v>
      </c>
      <c r="H5397">
        <v>1</v>
      </c>
      <c r="I5397">
        <v>19</v>
      </c>
      <c r="J5397">
        <v>43</v>
      </c>
      <c r="K5397">
        <v>24</v>
      </c>
      <c r="L5397">
        <v>1</v>
      </c>
      <c r="M5397">
        <v>0</v>
      </c>
      <c r="N5397">
        <v>0</v>
      </c>
      <c r="O5397" t="s">
        <v>127</v>
      </c>
      <c r="P5397" t="s">
        <v>127</v>
      </c>
      <c r="Q5397" t="s">
        <v>127</v>
      </c>
    </row>
    <row r="5398" spans="1:17" x14ac:dyDescent="0.25">
      <c r="A5398" t="str">
        <f>IF(C5398&amp;G5398&amp;D5398&lt;&gt;'Funnel setup'!$K$3&amp;'Funnel setup'!$K$4&amp;'Funnel setup'!$K$6,".",IF(A5397=".",1,A5397+1))</f>
        <v>.</v>
      </c>
      <c r="B5398" s="244" t="str">
        <f t="shared" si="84"/>
        <v>Total Knee ReplacementProviderRIVERS HOSPITAL (NVC19)Oxford Knee Score</v>
      </c>
      <c r="C5398" t="s">
        <v>975</v>
      </c>
      <c r="D5398" t="s">
        <v>965</v>
      </c>
      <c r="E5398" t="s">
        <v>474</v>
      </c>
      <c r="F5398" t="s">
        <v>475</v>
      </c>
      <c r="G5398" t="s">
        <v>972</v>
      </c>
      <c r="H5398">
        <v>38</v>
      </c>
      <c r="I5398">
        <v>21.447399999999998</v>
      </c>
      <c r="J5398">
        <v>39.578899999999997</v>
      </c>
      <c r="K5398">
        <v>18.131599999999999</v>
      </c>
      <c r="L5398">
        <v>36</v>
      </c>
      <c r="M5398">
        <v>0</v>
      </c>
      <c r="N5398">
        <v>2</v>
      </c>
      <c r="O5398">
        <v>37.46</v>
      </c>
      <c r="P5398">
        <v>18.191400000000002</v>
      </c>
      <c r="Q5398">
        <v>8.9683399999999995</v>
      </c>
    </row>
    <row r="5399" spans="1:17" x14ac:dyDescent="0.25">
      <c r="A5399" t="str">
        <f>IF(C5399&amp;G5399&amp;D5399&lt;&gt;'Funnel setup'!$K$3&amp;'Funnel setup'!$K$4&amp;'Funnel setup'!$K$6,".",IF(A5398=".",1,A5398+1))</f>
        <v>.</v>
      </c>
      <c r="B5399" s="244" t="str">
        <f t="shared" si="84"/>
        <v>Total Knee ReplacementProviderROWLEY HALL HOSPITAL (NVC17)Oxford Knee Score</v>
      </c>
      <c r="C5399" t="s">
        <v>975</v>
      </c>
      <c r="D5399" t="s">
        <v>965</v>
      </c>
      <c r="E5399" t="s">
        <v>476</v>
      </c>
      <c r="F5399" t="s">
        <v>477</v>
      </c>
      <c r="G5399" t="s">
        <v>972</v>
      </c>
      <c r="H5399">
        <v>43</v>
      </c>
      <c r="I5399">
        <v>18.590900000000001</v>
      </c>
      <c r="J5399">
        <v>36.590899999999998</v>
      </c>
      <c r="K5399">
        <v>18</v>
      </c>
      <c r="L5399">
        <v>42</v>
      </c>
      <c r="M5399">
        <v>0</v>
      </c>
      <c r="N5399">
        <v>1</v>
      </c>
      <c r="O5399">
        <v>36.431100000000001</v>
      </c>
      <c r="P5399">
        <v>17.162500000000001</v>
      </c>
      <c r="Q5399">
        <v>8.7476099999999999</v>
      </c>
    </row>
    <row r="5400" spans="1:17" x14ac:dyDescent="0.25">
      <c r="A5400" t="str">
        <f>IF(C5400&amp;G5400&amp;D5400&lt;&gt;'Funnel setup'!$K$3&amp;'Funnel setup'!$K$4&amp;'Funnel setup'!$K$6,".",IF(A5399=".",1,A5399+1))</f>
        <v>.</v>
      </c>
      <c r="B5400" s="244" t="str">
        <f t="shared" si="84"/>
        <v>Total Knee ReplacementProviderROYAL BERKSHIRE NHS FOUNDATION TRUST (RHW)Oxford Knee Score</v>
      </c>
      <c r="C5400" t="s">
        <v>975</v>
      </c>
      <c r="D5400" t="s">
        <v>965</v>
      </c>
      <c r="E5400" t="s">
        <v>478</v>
      </c>
      <c r="F5400" t="s">
        <v>479</v>
      </c>
      <c r="G5400" t="s">
        <v>972</v>
      </c>
      <c r="H5400">
        <v>7</v>
      </c>
      <c r="I5400">
        <v>17.142900000000001</v>
      </c>
      <c r="J5400">
        <v>34.857100000000003</v>
      </c>
      <c r="K5400">
        <v>17.714300000000001</v>
      </c>
      <c r="L5400">
        <v>7</v>
      </c>
      <c r="M5400">
        <v>0</v>
      </c>
      <c r="N5400">
        <v>0</v>
      </c>
      <c r="O5400" t="s">
        <v>127</v>
      </c>
      <c r="P5400" t="s">
        <v>127</v>
      </c>
      <c r="Q5400" t="s">
        <v>127</v>
      </c>
    </row>
    <row r="5401" spans="1:17" x14ac:dyDescent="0.25">
      <c r="A5401" t="str">
        <f>IF(C5401&amp;G5401&amp;D5401&lt;&gt;'Funnel setup'!$K$3&amp;'Funnel setup'!$K$4&amp;'Funnel setup'!$K$6,".",IF(A5400=".",1,A5400+1))</f>
        <v>.</v>
      </c>
      <c r="B5401" s="244" t="str">
        <f t="shared" si="84"/>
        <v>Total Knee ReplacementProviderROYAL CORNWALL HOSPITALS NHS TRUST (REF)Oxford Knee Score</v>
      </c>
      <c r="C5401" t="s">
        <v>975</v>
      </c>
      <c r="D5401" t="s">
        <v>965</v>
      </c>
      <c r="E5401" t="s">
        <v>480</v>
      </c>
      <c r="F5401" t="s">
        <v>481</v>
      </c>
      <c r="G5401" t="s">
        <v>972</v>
      </c>
      <c r="H5401">
        <v>42</v>
      </c>
      <c r="I5401">
        <v>21.595199999999998</v>
      </c>
      <c r="J5401">
        <v>38.547600000000003</v>
      </c>
      <c r="K5401">
        <v>16.952400000000001</v>
      </c>
      <c r="L5401">
        <v>41</v>
      </c>
      <c r="M5401">
        <v>0</v>
      </c>
      <c r="N5401">
        <v>1</v>
      </c>
      <c r="O5401">
        <v>38.349299999999999</v>
      </c>
      <c r="P5401">
        <v>19.0807</v>
      </c>
      <c r="Q5401">
        <v>7.1461699999999997</v>
      </c>
    </row>
    <row r="5402" spans="1:17" x14ac:dyDescent="0.25">
      <c r="A5402" t="str">
        <f>IF(C5402&amp;G5402&amp;D5402&lt;&gt;'Funnel setup'!$K$3&amp;'Funnel setup'!$K$4&amp;'Funnel setup'!$K$6,".",IF(A5401=".",1,A5401+1))</f>
        <v>.</v>
      </c>
      <c r="B5402" s="244" t="str">
        <f t="shared" si="84"/>
        <v>Total Knee ReplacementProviderROYAL DEVON UNIVERSITY HEALTHCARE NHS FOUNDATION TRUST (RH8)Oxford Knee Score</v>
      </c>
      <c r="C5402" t="s">
        <v>975</v>
      </c>
      <c r="D5402" t="s">
        <v>965</v>
      </c>
      <c r="E5402" t="s">
        <v>482</v>
      </c>
      <c r="F5402" t="s">
        <v>483</v>
      </c>
      <c r="G5402" t="s">
        <v>972</v>
      </c>
      <c r="H5402">
        <v>32</v>
      </c>
      <c r="I5402">
        <v>18.5625</v>
      </c>
      <c r="J5402">
        <v>34.031300000000002</v>
      </c>
      <c r="K5402">
        <v>15.4688</v>
      </c>
      <c r="L5402">
        <v>30</v>
      </c>
      <c r="M5402">
        <v>0</v>
      </c>
      <c r="N5402">
        <v>2</v>
      </c>
      <c r="O5402">
        <v>35.148499999999999</v>
      </c>
      <c r="P5402">
        <v>15.879899999999999</v>
      </c>
      <c r="Q5402">
        <v>7.9433499999999997</v>
      </c>
    </row>
    <row r="5403" spans="1:17" x14ac:dyDescent="0.25">
      <c r="A5403" t="str">
        <f>IF(C5403&amp;G5403&amp;D5403&lt;&gt;'Funnel setup'!$K$3&amp;'Funnel setup'!$K$4&amp;'Funnel setup'!$K$6,".",IF(A5402=".",1,A5402+1))</f>
        <v>.</v>
      </c>
      <c r="B5403" s="244" t="str">
        <f t="shared" si="84"/>
        <v>Total Knee ReplacementProviderROYAL NATIONAL ORTHOPAEDIC HOSPITAL NHS TRUST (RAN)Oxford Knee Score</v>
      </c>
      <c r="C5403" t="s">
        <v>975</v>
      </c>
      <c r="D5403" t="s">
        <v>965</v>
      </c>
      <c r="E5403" t="s">
        <v>486</v>
      </c>
      <c r="F5403" t="s">
        <v>487</v>
      </c>
      <c r="G5403" t="s">
        <v>972</v>
      </c>
      <c r="H5403">
        <v>109</v>
      </c>
      <c r="I5403">
        <v>18.825700000000001</v>
      </c>
      <c r="J5403">
        <v>30.862400000000001</v>
      </c>
      <c r="K5403">
        <v>12.0367</v>
      </c>
      <c r="L5403">
        <v>92</v>
      </c>
      <c r="M5403">
        <v>2</v>
      </c>
      <c r="N5403">
        <v>15</v>
      </c>
      <c r="O5403">
        <v>33.121299999999998</v>
      </c>
      <c r="P5403">
        <v>13.852600000000001</v>
      </c>
      <c r="Q5403">
        <v>8.9160799999999991</v>
      </c>
    </row>
    <row r="5404" spans="1:17" x14ac:dyDescent="0.25">
      <c r="A5404" t="str">
        <f>IF(C5404&amp;G5404&amp;D5404&lt;&gt;'Funnel setup'!$K$3&amp;'Funnel setup'!$K$4&amp;'Funnel setup'!$K$6,".",IF(A5403=".",1,A5403+1))</f>
        <v>.</v>
      </c>
      <c r="B5404" s="244" t="str">
        <f t="shared" si="84"/>
        <v>Total Knee ReplacementProviderROYAL SURREY COUNTY HOSPITAL NHS FOUNDATION TRUST (RA2)Oxford Knee Score</v>
      </c>
      <c r="C5404" t="s">
        <v>975</v>
      </c>
      <c r="D5404" t="s">
        <v>965</v>
      </c>
      <c r="E5404" t="s">
        <v>488</v>
      </c>
      <c r="F5404" t="s">
        <v>489</v>
      </c>
      <c r="G5404" t="s">
        <v>972</v>
      </c>
      <c r="H5404">
        <v>52</v>
      </c>
      <c r="I5404">
        <v>19.3462</v>
      </c>
      <c r="J5404">
        <v>37.653799999999997</v>
      </c>
      <c r="K5404">
        <v>18.307700000000001</v>
      </c>
      <c r="L5404">
        <v>50</v>
      </c>
      <c r="M5404">
        <v>1</v>
      </c>
      <c r="N5404">
        <v>1</v>
      </c>
      <c r="O5404">
        <v>37.125700000000002</v>
      </c>
      <c r="P5404">
        <v>17.856999999999999</v>
      </c>
      <c r="Q5404">
        <v>7.8317699999999997</v>
      </c>
    </row>
    <row r="5405" spans="1:17" x14ac:dyDescent="0.25">
      <c r="A5405" t="str">
        <f>IF(C5405&amp;G5405&amp;D5405&lt;&gt;'Funnel setup'!$K$3&amp;'Funnel setup'!$K$4&amp;'Funnel setup'!$K$6,".",IF(A5404=".",1,A5404+1))</f>
        <v>.</v>
      </c>
      <c r="B5405" s="244" t="str">
        <f t="shared" si="84"/>
        <v>Total Knee ReplacementProviderROYAL UNITED HOSPITALS BATH NHS FOUNDATION TRUST (RD1)Oxford Knee Score</v>
      </c>
      <c r="C5405" t="s">
        <v>975</v>
      </c>
      <c r="D5405" t="s">
        <v>965</v>
      </c>
      <c r="E5405" t="s">
        <v>490</v>
      </c>
      <c r="F5405" t="s">
        <v>491</v>
      </c>
      <c r="G5405" t="s">
        <v>972</v>
      </c>
      <c r="H5405">
        <v>14</v>
      </c>
      <c r="I5405">
        <v>17</v>
      </c>
      <c r="J5405">
        <v>37.857100000000003</v>
      </c>
      <c r="K5405">
        <v>20.857099999999999</v>
      </c>
      <c r="L5405">
        <v>14</v>
      </c>
      <c r="M5405">
        <v>0</v>
      </c>
      <c r="N5405">
        <v>0</v>
      </c>
      <c r="O5405" t="s">
        <v>127</v>
      </c>
      <c r="P5405" t="s">
        <v>127</v>
      </c>
      <c r="Q5405" t="s">
        <v>127</v>
      </c>
    </row>
    <row r="5406" spans="1:17" x14ac:dyDescent="0.25">
      <c r="A5406" t="str">
        <f>IF(C5406&amp;G5406&amp;D5406&lt;&gt;'Funnel setup'!$K$3&amp;'Funnel setup'!$K$4&amp;'Funnel setup'!$K$6,".",IF(A5405=".",1,A5405+1))</f>
        <v>.</v>
      </c>
      <c r="B5406" s="244" t="str">
        <f t="shared" si="84"/>
        <v>Total Knee ReplacementProviderRUNNYMEDE HOSPITAL (NT431)Oxford Knee Score</v>
      </c>
      <c r="C5406" t="s">
        <v>975</v>
      </c>
      <c r="D5406" t="s">
        <v>965</v>
      </c>
      <c r="E5406" t="s">
        <v>492</v>
      </c>
      <c r="F5406" t="s">
        <v>493</v>
      </c>
      <c r="G5406" t="s">
        <v>972</v>
      </c>
      <c r="H5406">
        <v>6</v>
      </c>
      <c r="I5406">
        <v>20</v>
      </c>
      <c r="J5406">
        <v>39.333300000000001</v>
      </c>
      <c r="K5406">
        <v>19.333300000000001</v>
      </c>
      <c r="L5406">
        <v>6</v>
      </c>
      <c r="M5406">
        <v>0</v>
      </c>
      <c r="N5406">
        <v>0</v>
      </c>
      <c r="O5406" t="s">
        <v>127</v>
      </c>
      <c r="P5406" t="s">
        <v>127</v>
      </c>
      <c r="Q5406" t="s">
        <v>127</v>
      </c>
    </row>
    <row r="5407" spans="1:17" x14ac:dyDescent="0.25">
      <c r="A5407" t="str">
        <f>IF(C5407&amp;G5407&amp;D5407&lt;&gt;'Funnel setup'!$K$3&amp;'Funnel setup'!$K$4&amp;'Funnel setup'!$K$6,".",IF(A5406=".",1,A5406+1))</f>
        <v>.</v>
      </c>
      <c r="B5407" s="244" t="str">
        <f t="shared" si="84"/>
        <v>Total Knee ReplacementProviderSALISBURY NHS FOUNDATION TRUST (RNZ)Oxford Knee Score</v>
      </c>
      <c r="C5407" t="s">
        <v>975</v>
      </c>
      <c r="D5407" t="s">
        <v>965</v>
      </c>
      <c r="E5407" t="s">
        <v>494</v>
      </c>
      <c r="F5407" t="s">
        <v>495</v>
      </c>
      <c r="G5407" t="s">
        <v>972</v>
      </c>
      <c r="H5407">
        <v>1</v>
      </c>
      <c r="I5407">
        <v>11</v>
      </c>
      <c r="J5407">
        <v>45</v>
      </c>
      <c r="K5407">
        <v>34</v>
      </c>
      <c r="L5407">
        <v>1</v>
      </c>
      <c r="M5407">
        <v>0</v>
      </c>
      <c r="N5407">
        <v>0</v>
      </c>
      <c r="O5407" t="s">
        <v>127</v>
      </c>
      <c r="P5407" t="s">
        <v>127</v>
      </c>
      <c r="Q5407" t="s">
        <v>127</v>
      </c>
    </row>
    <row r="5408" spans="1:17" x14ac:dyDescent="0.25">
      <c r="A5408" t="str">
        <f>IF(C5408&amp;G5408&amp;D5408&lt;&gt;'Funnel setup'!$K$3&amp;'Funnel setup'!$K$4&amp;'Funnel setup'!$K$6,".",IF(A5407=".",1,A5407+1))</f>
        <v>.</v>
      </c>
      <c r="B5408" s="244" t="str">
        <f t="shared" si="84"/>
        <v>Total Knee ReplacementProviderSANDWELL AND WEST BIRMINGHAM HOSPITALS NHS TRUST (RXK)Oxford Knee Score</v>
      </c>
      <c r="C5408" t="s">
        <v>975</v>
      </c>
      <c r="D5408" t="s">
        <v>965</v>
      </c>
      <c r="E5408" t="s">
        <v>496</v>
      </c>
      <c r="F5408" t="s">
        <v>497</v>
      </c>
      <c r="G5408" t="s">
        <v>972</v>
      </c>
      <c r="H5408">
        <v>74</v>
      </c>
      <c r="I5408">
        <v>16.635100000000001</v>
      </c>
      <c r="J5408">
        <v>31.621600000000001</v>
      </c>
      <c r="K5408">
        <v>14.986499999999999</v>
      </c>
      <c r="L5408">
        <v>65</v>
      </c>
      <c r="M5408">
        <v>0</v>
      </c>
      <c r="N5408">
        <v>9</v>
      </c>
      <c r="O5408">
        <v>34.666600000000003</v>
      </c>
      <c r="P5408">
        <v>15.398</v>
      </c>
      <c r="Q5408">
        <v>9.9031699999999994</v>
      </c>
    </row>
    <row r="5409" spans="1:17" x14ac:dyDescent="0.25">
      <c r="A5409" t="str">
        <f>IF(C5409&amp;G5409&amp;D5409&lt;&gt;'Funnel setup'!$K$3&amp;'Funnel setup'!$K$4&amp;'Funnel setup'!$K$6,".",IF(A5408=".",1,A5408+1))</f>
        <v>.</v>
      </c>
      <c r="B5409" s="244" t="str">
        <f t="shared" si="84"/>
        <v>Total Knee ReplacementProviderSARUM ROAD HOSPITAL (NT433)Oxford Knee Score</v>
      </c>
      <c r="C5409" t="s">
        <v>975</v>
      </c>
      <c r="D5409" t="s">
        <v>965</v>
      </c>
      <c r="E5409" t="s">
        <v>498</v>
      </c>
      <c r="F5409" t="s">
        <v>499</v>
      </c>
      <c r="G5409" t="s">
        <v>972</v>
      </c>
      <c r="H5409">
        <v>28</v>
      </c>
      <c r="I5409">
        <v>21.857099999999999</v>
      </c>
      <c r="J5409">
        <v>41.214300000000001</v>
      </c>
      <c r="K5409">
        <v>19.357099999999999</v>
      </c>
      <c r="L5409">
        <v>28</v>
      </c>
      <c r="M5409">
        <v>0</v>
      </c>
      <c r="N5409">
        <v>0</v>
      </c>
      <c r="O5409" t="s">
        <v>127</v>
      </c>
      <c r="P5409" t="s">
        <v>127</v>
      </c>
      <c r="Q5409" t="s">
        <v>127</v>
      </c>
    </row>
    <row r="5410" spans="1:17" x14ac:dyDescent="0.25">
      <c r="A5410" t="str">
        <f>IF(C5410&amp;G5410&amp;D5410&lt;&gt;'Funnel setup'!$K$3&amp;'Funnel setup'!$K$4&amp;'Funnel setup'!$K$6,".",IF(A5409=".",1,A5409+1))</f>
        <v>.</v>
      </c>
      <c r="B5410" s="244" t="str">
        <f t="shared" si="84"/>
        <v>Total Knee ReplacementProviderSAXON CLINIC (NT434)Oxford Knee Score</v>
      </c>
      <c r="C5410" t="s">
        <v>975</v>
      </c>
      <c r="D5410" t="s">
        <v>965</v>
      </c>
      <c r="E5410" t="s">
        <v>500</v>
      </c>
      <c r="F5410" t="s">
        <v>501</v>
      </c>
      <c r="G5410" t="s">
        <v>972</v>
      </c>
      <c r="H5410">
        <v>13</v>
      </c>
      <c r="I5410">
        <v>16.384599999999999</v>
      </c>
      <c r="J5410">
        <v>35</v>
      </c>
      <c r="K5410">
        <v>18.615400000000001</v>
      </c>
      <c r="L5410">
        <v>12</v>
      </c>
      <c r="M5410">
        <v>0</v>
      </c>
      <c r="N5410">
        <v>1</v>
      </c>
      <c r="O5410" t="s">
        <v>127</v>
      </c>
      <c r="P5410" t="s">
        <v>127</v>
      </c>
      <c r="Q5410" t="s">
        <v>127</v>
      </c>
    </row>
    <row r="5411" spans="1:17" x14ac:dyDescent="0.25">
      <c r="A5411" t="str">
        <f>IF(C5411&amp;G5411&amp;D5411&lt;&gt;'Funnel setup'!$K$3&amp;'Funnel setup'!$K$4&amp;'Funnel setup'!$K$6,".",IF(A5410=".",1,A5410+1))</f>
        <v>.</v>
      </c>
      <c r="B5411" s="244" t="str">
        <f t="shared" si="84"/>
        <v>Total Knee ReplacementProviderSHEFFIELD TEACHING HOSPITALS NHS FOUNDATION TRUST (RHQ)Oxford Knee Score</v>
      </c>
      <c r="C5411" t="s">
        <v>975</v>
      </c>
      <c r="D5411" t="s">
        <v>965</v>
      </c>
      <c r="E5411" t="s">
        <v>506</v>
      </c>
      <c r="F5411" t="s">
        <v>507</v>
      </c>
      <c r="G5411" t="s">
        <v>972</v>
      </c>
      <c r="H5411">
        <v>36</v>
      </c>
      <c r="I5411">
        <v>19.6111</v>
      </c>
      <c r="J5411">
        <v>37.666699999999999</v>
      </c>
      <c r="K5411">
        <v>18.055599999999998</v>
      </c>
      <c r="L5411">
        <v>34</v>
      </c>
      <c r="M5411">
        <v>0</v>
      </c>
      <c r="N5411">
        <v>2</v>
      </c>
      <c r="O5411">
        <v>37.023000000000003</v>
      </c>
      <c r="P5411">
        <v>17.7544</v>
      </c>
      <c r="Q5411">
        <v>7.9144199999999998</v>
      </c>
    </row>
    <row r="5412" spans="1:17" x14ac:dyDescent="0.25">
      <c r="A5412" t="str">
        <f>IF(C5412&amp;G5412&amp;D5412&lt;&gt;'Funnel setup'!$K$3&amp;'Funnel setup'!$K$4&amp;'Funnel setup'!$K$6,".",IF(A5411=".",1,A5411+1))</f>
        <v>.</v>
      </c>
      <c r="B5412" s="244" t="str">
        <f t="shared" si="84"/>
        <v>Total Knee ReplacementProviderSHERWOOD FOREST HOSPITALS NHS FOUNDATION TRUST (RK5)Oxford Knee Score</v>
      </c>
      <c r="C5412" t="s">
        <v>975</v>
      </c>
      <c r="D5412" t="s">
        <v>965</v>
      </c>
      <c r="E5412" t="s">
        <v>508</v>
      </c>
      <c r="F5412" t="s">
        <v>509</v>
      </c>
      <c r="G5412" t="s">
        <v>972</v>
      </c>
      <c r="H5412">
        <v>70</v>
      </c>
      <c r="I5412">
        <v>17.485700000000001</v>
      </c>
      <c r="J5412">
        <v>35.4</v>
      </c>
      <c r="K5412">
        <v>17.914300000000001</v>
      </c>
      <c r="L5412">
        <v>67</v>
      </c>
      <c r="M5412">
        <v>0</v>
      </c>
      <c r="N5412">
        <v>3</v>
      </c>
      <c r="O5412">
        <v>36.354999999999997</v>
      </c>
      <c r="P5412">
        <v>17.086400000000001</v>
      </c>
      <c r="Q5412">
        <v>8.8945600000000002</v>
      </c>
    </row>
    <row r="5413" spans="1:17" x14ac:dyDescent="0.25">
      <c r="A5413" t="str">
        <f>IF(C5413&amp;G5413&amp;D5413&lt;&gt;'Funnel setup'!$K$3&amp;'Funnel setup'!$K$4&amp;'Funnel setup'!$K$6,".",IF(A5412=".",1,A5412+1))</f>
        <v>.</v>
      </c>
      <c r="B5413" s="244" t="str">
        <f t="shared" si="84"/>
        <v>Total Knee ReplacementProviderSHIRLEY OAKS HOSPITAL (NT436)Oxford Knee Score</v>
      </c>
      <c r="C5413" t="s">
        <v>975</v>
      </c>
      <c r="D5413" t="s">
        <v>965</v>
      </c>
      <c r="E5413" t="s">
        <v>510</v>
      </c>
      <c r="F5413" t="s">
        <v>511</v>
      </c>
      <c r="G5413" t="s">
        <v>972</v>
      </c>
      <c r="H5413">
        <v>3</v>
      </c>
      <c r="I5413">
        <v>24</v>
      </c>
      <c r="J5413">
        <v>36.333300000000001</v>
      </c>
      <c r="K5413">
        <v>12.333299999999999</v>
      </c>
      <c r="L5413">
        <v>3</v>
      </c>
      <c r="M5413">
        <v>0</v>
      </c>
      <c r="N5413">
        <v>0</v>
      </c>
      <c r="O5413" t="s">
        <v>127</v>
      </c>
      <c r="P5413" t="s">
        <v>127</v>
      </c>
      <c r="Q5413" t="s">
        <v>127</v>
      </c>
    </row>
    <row r="5414" spans="1:17" x14ac:dyDescent="0.25">
      <c r="A5414" t="str">
        <f>IF(C5414&amp;G5414&amp;D5414&lt;&gt;'Funnel setup'!$K$3&amp;'Funnel setup'!$K$4&amp;'Funnel setup'!$K$6,".",IF(A5413=".",1,A5413+1))</f>
        <v>.</v>
      </c>
      <c r="B5414" s="244" t="str">
        <f t="shared" si="84"/>
        <v>Total Knee ReplacementProviderSOUTH TEES HOSPITALS NHS FOUNDATION TRUST (RTR)Oxford Knee Score</v>
      </c>
      <c r="C5414" t="s">
        <v>975</v>
      </c>
      <c r="D5414" t="s">
        <v>965</v>
      </c>
      <c r="E5414" t="s">
        <v>516</v>
      </c>
      <c r="F5414" t="s">
        <v>517</v>
      </c>
      <c r="G5414" t="s">
        <v>972</v>
      </c>
      <c r="H5414">
        <v>129</v>
      </c>
      <c r="I5414">
        <v>15.1783</v>
      </c>
      <c r="J5414">
        <v>35.426400000000001</v>
      </c>
      <c r="K5414">
        <v>20.248100000000001</v>
      </c>
      <c r="L5414">
        <v>123</v>
      </c>
      <c r="M5414">
        <v>2</v>
      </c>
      <c r="N5414">
        <v>4</v>
      </c>
      <c r="O5414">
        <v>37.809800000000003</v>
      </c>
      <c r="P5414">
        <v>18.5411</v>
      </c>
      <c r="Q5414">
        <v>9.6609400000000001</v>
      </c>
    </row>
    <row r="5415" spans="1:17" x14ac:dyDescent="0.25">
      <c r="A5415" t="str">
        <f>IF(C5415&amp;G5415&amp;D5415&lt;&gt;'Funnel setup'!$K$3&amp;'Funnel setup'!$K$4&amp;'Funnel setup'!$K$6,".",IF(A5414=".",1,A5414+1))</f>
        <v>.</v>
      </c>
      <c r="B5415" s="244" t="str">
        <f t="shared" si="84"/>
        <v>Total Knee ReplacementProviderSOUTH TYNESIDE AND SUNDERLAND NHS FOUNDATION TRUST (R0B)Oxford Knee Score</v>
      </c>
      <c r="C5415" t="s">
        <v>975</v>
      </c>
      <c r="D5415" t="s">
        <v>965</v>
      </c>
      <c r="E5415" t="s">
        <v>518</v>
      </c>
      <c r="F5415" t="s">
        <v>519</v>
      </c>
      <c r="G5415" t="s">
        <v>972</v>
      </c>
      <c r="H5415">
        <v>7</v>
      </c>
      <c r="I5415">
        <v>16.285699999999999</v>
      </c>
      <c r="J5415">
        <v>30.428599999999999</v>
      </c>
      <c r="K5415">
        <v>14.142899999999999</v>
      </c>
      <c r="L5415">
        <v>5</v>
      </c>
      <c r="M5415">
        <v>0</v>
      </c>
      <c r="N5415">
        <v>2</v>
      </c>
      <c r="O5415" t="s">
        <v>127</v>
      </c>
      <c r="P5415" t="s">
        <v>127</v>
      </c>
      <c r="Q5415" t="s">
        <v>127</v>
      </c>
    </row>
    <row r="5416" spans="1:17" x14ac:dyDescent="0.25">
      <c r="A5416" t="str">
        <f>IF(C5416&amp;G5416&amp;D5416&lt;&gt;'Funnel setup'!$K$3&amp;'Funnel setup'!$K$4&amp;'Funnel setup'!$K$6,".",IF(A5415=".",1,A5415+1))</f>
        <v>.</v>
      </c>
      <c r="B5416" s="244" t="str">
        <f t="shared" si="84"/>
        <v>Total Knee ReplacementProviderSOUTH WARWICKSHIRE UNIVERSITY NHS FOUNDATION TRUST (RJC)Oxford Knee Score</v>
      </c>
      <c r="C5416" t="s">
        <v>975</v>
      </c>
      <c r="D5416" t="s">
        <v>965</v>
      </c>
      <c r="E5416" t="s">
        <v>520</v>
      </c>
      <c r="F5416" t="s">
        <v>521</v>
      </c>
      <c r="G5416" t="s">
        <v>972</v>
      </c>
      <c r="H5416">
        <v>157</v>
      </c>
      <c r="I5416">
        <v>21.082799999999999</v>
      </c>
      <c r="J5416">
        <v>38.528700000000001</v>
      </c>
      <c r="K5416">
        <v>17.445900000000002</v>
      </c>
      <c r="L5416">
        <v>150</v>
      </c>
      <c r="M5416">
        <v>1</v>
      </c>
      <c r="N5416">
        <v>6</v>
      </c>
      <c r="O5416">
        <v>37.543100000000003</v>
      </c>
      <c r="P5416">
        <v>18.2744</v>
      </c>
      <c r="Q5416">
        <v>8.7255000000000003</v>
      </c>
    </row>
    <row r="5417" spans="1:17" x14ac:dyDescent="0.25">
      <c r="A5417" t="str">
        <f>IF(C5417&amp;G5417&amp;D5417&lt;&gt;'Funnel setup'!$K$3&amp;'Funnel setup'!$K$4&amp;'Funnel setup'!$K$6,".",IF(A5416=".",1,A5416+1))</f>
        <v>.</v>
      </c>
      <c r="B5417" s="244" t="str">
        <f t="shared" si="84"/>
        <v>Total Knee ReplacementProviderSOUTHPORT AND ORMSKIRK HOSPITAL NHS TRUST (RVY)Oxford Knee Score</v>
      </c>
      <c r="C5417" t="s">
        <v>975</v>
      </c>
      <c r="D5417" t="s">
        <v>965</v>
      </c>
      <c r="E5417" t="s">
        <v>522</v>
      </c>
      <c r="F5417" t="s">
        <v>523</v>
      </c>
      <c r="G5417" t="s">
        <v>972</v>
      </c>
      <c r="H5417">
        <v>12</v>
      </c>
      <c r="I5417">
        <v>18.833300000000001</v>
      </c>
      <c r="J5417">
        <v>39.333300000000001</v>
      </c>
      <c r="K5417">
        <v>20.5</v>
      </c>
      <c r="L5417">
        <v>12</v>
      </c>
      <c r="M5417">
        <v>0</v>
      </c>
      <c r="N5417">
        <v>0</v>
      </c>
      <c r="O5417" t="s">
        <v>127</v>
      </c>
      <c r="P5417" t="s">
        <v>127</v>
      </c>
      <c r="Q5417" t="s">
        <v>127</v>
      </c>
    </row>
    <row r="5418" spans="1:17" x14ac:dyDescent="0.25">
      <c r="A5418" t="str">
        <f>IF(C5418&amp;G5418&amp;D5418&lt;&gt;'Funnel setup'!$K$3&amp;'Funnel setup'!$K$4&amp;'Funnel setup'!$K$6,".",IF(A5417=".",1,A5417+1))</f>
        <v>.</v>
      </c>
      <c r="B5418" s="244" t="str">
        <f t="shared" si="84"/>
        <v>Total Knee ReplacementProviderSPENCER PRIVATE HOSPITALS - MARGATE (NN801)Oxford Knee Score</v>
      </c>
      <c r="C5418" t="s">
        <v>975</v>
      </c>
      <c r="D5418" t="s">
        <v>965</v>
      </c>
      <c r="E5418" t="s">
        <v>526</v>
      </c>
      <c r="F5418" t="s">
        <v>527</v>
      </c>
      <c r="G5418" t="s">
        <v>972</v>
      </c>
      <c r="H5418">
        <v>18</v>
      </c>
      <c r="I5418">
        <v>17.6111</v>
      </c>
      <c r="J5418">
        <v>38.666699999999999</v>
      </c>
      <c r="K5418">
        <v>21.055599999999998</v>
      </c>
      <c r="L5418">
        <v>17</v>
      </c>
      <c r="M5418">
        <v>1</v>
      </c>
      <c r="N5418">
        <v>0</v>
      </c>
      <c r="O5418" t="s">
        <v>127</v>
      </c>
      <c r="P5418" t="s">
        <v>127</v>
      </c>
      <c r="Q5418" t="s">
        <v>127</v>
      </c>
    </row>
    <row r="5419" spans="1:17" x14ac:dyDescent="0.25">
      <c r="A5419" t="str">
        <f>IF(C5419&amp;G5419&amp;D5419&lt;&gt;'Funnel setup'!$K$3&amp;'Funnel setup'!$K$4&amp;'Funnel setup'!$K$6,".",IF(A5418=".",1,A5418+1))</f>
        <v>.</v>
      </c>
      <c r="B5419" s="244" t="str">
        <f t="shared" si="84"/>
        <v>Total Knee ReplacementProviderSPIRE ALEXANDRA HOSPITAL (NT312)Oxford Knee Score</v>
      </c>
      <c r="C5419" t="s">
        <v>975</v>
      </c>
      <c r="D5419" t="s">
        <v>965</v>
      </c>
      <c r="E5419" t="s">
        <v>528</v>
      </c>
      <c r="F5419" t="s">
        <v>529</v>
      </c>
      <c r="G5419" t="s">
        <v>972</v>
      </c>
      <c r="H5419">
        <v>26</v>
      </c>
      <c r="I5419">
        <v>24.8462</v>
      </c>
      <c r="J5419">
        <v>37.846200000000003</v>
      </c>
      <c r="K5419">
        <v>13</v>
      </c>
      <c r="L5419">
        <v>24</v>
      </c>
      <c r="M5419">
        <v>2</v>
      </c>
      <c r="N5419">
        <v>0</v>
      </c>
      <c r="O5419" t="s">
        <v>127</v>
      </c>
      <c r="P5419" t="s">
        <v>127</v>
      </c>
      <c r="Q5419" t="s">
        <v>127</v>
      </c>
    </row>
    <row r="5420" spans="1:17" x14ac:dyDescent="0.25">
      <c r="A5420" t="str">
        <f>IF(C5420&amp;G5420&amp;D5420&lt;&gt;'Funnel setup'!$K$3&amp;'Funnel setup'!$K$4&amp;'Funnel setup'!$K$6,".",IF(A5419=".",1,A5419+1))</f>
        <v>.</v>
      </c>
      <c r="B5420" s="244" t="str">
        <f t="shared" si="84"/>
        <v>Total Knee ReplacementProviderSPIRE BRISTOL HOSPITAL (NT302)Oxford Knee Score</v>
      </c>
      <c r="C5420" t="s">
        <v>975</v>
      </c>
      <c r="D5420" t="s">
        <v>965</v>
      </c>
      <c r="E5420" t="s">
        <v>530</v>
      </c>
      <c r="F5420" t="s">
        <v>531</v>
      </c>
      <c r="G5420" t="s">
        <v>972</v>
      </c>
      <c r="H5420">
        <v>59</v>
      </c>
      <c r="I5420">
        <v>19.915299999999998</v>
      </c>
      <c r="J5420">
        <v>38.338999999999999</v>
      </c>
      <c r="K5420">
        <v>18.4237</v>
      </c>
      <c r="L5420">
        <v>57</v>
      </c>
      <c r="M5420">
        <v>1</v>
      </c>
      <c r="N5420">
        <v>1</v>
      </c>
      <c r="O5420">
        <v>37.560400000000001</v>
      </c>
      <c r="P5420">
        <v>18.291699999999999</v>
      </c>
      <c r="Q5420">
        <v>7.8275399999999999</v>
      </c>
    </row>
    <row r="5421" spans="1:17" x14ac:dyDescent="0.25">
      <c r="A5421" t="str">
        <f>IF(C5421&amp;G5421&amp;D5421&lt;&gt;'Funnel setup'!$K$3&amp;'Funnel setup'!$K$4&amp;'Funnel setup'!$K$6,".",IF(A5420=".",1,A5420+1))</f>
        <v>.</v>
      </c>
      <c r="B5421" s="244" t="str">
        <f t="shared" si="84"/>
        <v>Total Knee ReplacementProviderSPIRE BUSHEY HOSPITAL (NT315)Oxford Knee Score</v>
      </c>
      <c r="C5421" t="s">
        <v>975</v>
      </c>
      <c r="D5421" t="s">
        <v>965</v>
      </c>
      <c r="E5421" t="s">
        <v>532</v>
      </c>
      <c r="F5421" t="s">
        <v>533</v>
      </c>
      <c r="G5421" t="s">
        <v>972</v>
      </c>
      <c r="H5421">
        <v>5</v>
      </c>
      <c r="I5421">
        <v>23.6</v>
      </c>
      <c r="J5421">
        <v>37.200000000000003</v>
      </c>
      <c r="K5421">
        <v>13.6</v>
      </c>
      <c r="L5421">
        <v>5</v>
      </c>
      <c r="M5421">
        <v>0</v>
      </c>
      <c r="N5421">
        <v>0</v>
      </c>
      <c r="O5421" t="s">
        <v>127</v>
      </c>
      <c r="P5421" t="s">
        <v>127</v>
      </c>
      <c r="Q5421" t="s">
        <v>127</v>
      </c>
    </row>
    <row r="5422" spans="1:17" x14ac:dyDescent="0.25">
      <c r="A5422" t="str">
        <f>IF(C5422&amp;G5422&amp;D5422&lt;&gt;'Funnel setup'!$K$3&amp;'Funnel setup'!$K$4&amp;'Funnel setup'!$K$6,".",IF(A5421=".",1,A5421+1))</f>
        <v>.</v>
      </c>
      <c r="B5422" s="244" t="str">
        <f t="shared" si="84"/>
        <v>Total Knee ReplacementProviderSPIRE CAMBRIDGE LEA HOSPITAL (NT317)Oxford Knee Score</v>
      </c>
      <c r="C5422" t="s">
        <v>975</v>
      </c>
      <c r="D5422" t="s">
        <v>965</v>
      </c>
      <c r="E5422" t="s">
        <v>534</v>
      </c>
      <c r="F5422" t="s">
        <v>535</v>
      </c>
      <c r="G5422" t="s">
        <v>972</v>
      </c>
      <c r="H5422">
        <v>29</v>
      </c>
      <c r="I5422">
        <v>20.103400000000001</v>
      </c>
      <c r="J5422">
        <v>35.965499999999999</v>
      </c>
      <c r="K5422">
        <v>15.8621</v>
      </c>
      <c r="L5422">
        <v>28</v>
      </c>
      <c r="M5422">
        <v>0</v>
      </c>
      <c r="N5422">
        <v>1</v>
      </c>
      <c r="O5422" t="s">
        <v>127</v>
      </c>
      <c r="P5422" t="s">
        <v>127</v>
      </c>
      <c r="Q5422" t="s">
        <v>127</v>
      </c>
    </row>
    <row r="5423" spans="1:17" x14ac:dyDescent="0.25">
      <c r="A5423" t="str">
        <f>IF(C5423&amp;G5423&amp;D5423&lt;&gt;'Funnel setup'!$K$3&amp;'Funnel setup'!$K$4&amp;'Funnel setup'!$K$6,".",IF(A5422=".",1,A5422+1))</f>
        <v>.</v>
      </c>
      <c r="B5423" s="244" t="str">
        <f t="shared" si="84"/>
        <v>Total Knee ReplacementProviderSPIRE CHESHIRE HOSPITAL (NT324)Oxford Knee Score</v>
      </c>
      <c r="C5423" t="s">
        <v>975</v>
      </c>
      <c r="D5423" t="s">
        <v>965</v>
      </c>
      <c r="E5423" t="s">
        <v>536</v>
      </c>
      <c r="F5423" t="s">
        <v>537</v>
      </c>
      <c r="G5423" t="s">
        <v>972</v>
      </c>
      <c r="H5423">
        <v>31</v>
      </c>
      <c r="I5423">
        <v>20.4194</v>
      </c>
      <c r="J5423">
        <v>40.128999999999998</v>
      </c>
      <c r="K5423">
        <v>19.709700000000002</v>
      </c>
      <c r="L5423">
        <v>30</v>
      </c>
      <c r="M5423">
        <v>0</v>
      </c>
      <c r="N5423">
        <v>1</v>
      </c>
      <c r="O5423">
        <v>38.900300000000001</v>
      </c>
      <c r="P5423">
        <v>19.631599999999999</v>
      </c>
      <c r="Q5423">
        <v>6.6405000000000003</v>
      </c>
    </row>
    <row r="5424" spans="1:17" x14ac:dyDescent="0.25">
      <c r="A5424" t="str">
        <f>IF(C5424&amp;G5424&amp;D5424&lt;&gt;'Funnel setup'!$K$3&amp;'Funnel setup'!$K$4&amp;'Funnel setup'!$K$6,".",IF(A5423=".",1,A5423+1))</f>
        <v>.</v>
      </c>
      <c r="B5424" s="244" t="str">
        <f t="shared" si="84"/>
        <v>Total Knee ReplacementProviderSPIRE CLARE PARK HOSPITAL (NT345)Oxford Knee Score</v>
      </c>
      <c r="C5424" t="s">
        <v>975</v>
      </c>
      <c r="D5424" t="s">
        <v>965</v>
      </c>
      <c r="E5424" t="s">
        <v>538</v>
      </c>
      <c r="F5424" t="s">
        <v>539</v>
      </c>
      <c r="G5424" t="s">
        <v>972</v>
      </c>
      <c r="H5424">
        <v>15</v>
      </c>
      <c r="I5424">
        <v>23.2667</v>
      </c>
      <c r="J5424">
        <v>36.7333</v>
      </c>
      <c r="K5424">
        <v>13.466699999999999</v>
      </c>
      <c r="L5424">
        <v>14</v>
      </c>
      <c r="M5424">
        <v>1</v>
      </c>
      <c r="N5424">
        <v>0</v>
      </c>
      <c r="O5424" t="s">
        <v>127</v>
      </c>
      <c r="P5424" t="s">
        <v>127</v>
      </c>
      <c r="Q5424" t="s">
        <v>127</v>
      </c>
    </row>
    <row r="5425" spans="1:17" x14ac:dyDescent="0.25">
      <c r="A5425" t="str">
        <f>IF(C5425&amp;G5425&amp;D5425&lt;&gt;'Funnel setup'!$K$3&amp;'Funnel setup'!$K$4&amp;'Funnel setup'!$K$6,".",IF(A5424=".",1,A5424+1))</f>
        <v>.</v>
      </c>
      <c r="B5425" s="244" t="str">
        <f t="shared" si="84"/>
        <v>Total Knee ReplacementProviderSPIRE DUNEDIN HOSPITAL (NT344)Oxford Knee Score</v>
      </c>
      <c r="C5425" t="s">
        <v>975</v>
      </c>
      <c r="D5425" t="s">
        <v>965</v>
      </c>
      <c r="E5425" t="s">
        <v>540</v>
      </c>
      <c r="F5425" t="s">
        <v>541</v>
      </c>
      <c r="G5425" t="s">
        <v>972</v>
      </c>
      <c r="H5425">
        <v>2</v>
      </c>
      <c r="I5425">
        <v>24.5</v>
      </c>
      <c r="J5425">
        <v>36.5</v>
      </c>
      <c r="K5425">
        <v>12</v>
      </c>
      <c r="L5425">
        <v>2</v>
      </c>
      <c r="M5425">
        <v>0</v>
      </c>
      <c r="N5425">
        <v>0</v>
      </c>
      <c r="O5425" t="s">
        <v>127</v>
      </c>
      <c r="P5425" t="s">
        <v>127</v>
      </c>
      <c r="Q5425" t="s">
        <v>127</v>
      </c>
    </row>
    <row r="5426" spans="1:17" x14ac:dyDescent="0.25">
      <c r="A5426" t="str">
        <f>IF(C5426&amp;G5426&amp;D5426&lt;&gt;'Funnel setup'!$K$3&amp;'Funnel setup'!$K$4&amp;'Funnel setup'!$K$6,".",IF(A5425=".",1,A5425+1))</f>
        <v>.</v>
      </c>
      <c r="B5426" s="244" t="str">
        <f t="shared" si="84"/>
        <v>Total Knee ReplacementProviderSPIRE ELLAND HOSPITAL (NT348)Oxford Knee Score</v>
      </c>
      <c r="C5426" t="s">
        <v>975</v>
      </c>
      <c r="D5426" t="s">
        <v>965</v>
      </c>
      <c r="E5426" t="s">
        <v>542</v>
      </c>
      <c r="F5426" t="s">
        <v>543</v>
      </c>
      <c r="G5426" t="s">
        <v>972</v>
      </c>
      <c r="H5426">
        <v>19</v>
      </c>
      <c r="I5426">
        <v>22.578900000000001</v>
      </c>
      <c r="J5426">
        <v>38.578899999999997</v>
      </c>
      <c r="K5426">
        <v>16</v>
      </c>
      <c r="L5426">
        <v>17</v>
      </c>
      <c r="M5426">
        <v>0</v>
      </c>
      <c r="N5426">
        <v>2</v>
      </c>
      <c r="O5426" t="s">
        <v>127</v>
      </c>
      <c r="P5426" t="s">
        <v>127</v>
      </c>
      <c r="Q5426" t="s">
        <v>127</v>
      </c>
    </row>
    <row r="5427" spans="1:17" x14ac:dyDescent="0.25">
      <c r="A5427" t="str">
        <f>IF(C5427&amp;G5427&amp;D5427&lt;&gt;'Funnel setup'!$K$3&amp;'Funnel setup'!$K$4&amp;'Funnel setup'!$K$6,".",IF(A5426=".",1,A5426+1))</f>
        <v>.</v>
      </c>
      <c r="B5427" s="244" t="str">
        <f t="shared" si="84"/>
        <v>Total Knee ReplacementProviderSPIRE FYLDE COAST HOSPITAL (NT347)Oxford Knee Score</v>
      </c>
      <c r="C5427" t="s">
        <v>975</v>
      </c>
      <c r="D5427" t="s">
        <v>965</v>
      </c>
      <c r="E5427" t="s">
        <v>544</v>
      </c>
      <c r="F5427" t="s">
        <v>545</v>
      </c>
      <c r="G5427" t="s">
        <v>972</v>
      </c>
      <c r="H5427">
        <v>27</v>
      </c>
      <c r="I5427">
        <v>21.857099999999999</v>
      </c>
      <c r="J5427">
        <v>36.321399999999997</v>
      </c>
      <c r="K5427">
        <v>14.4643</v>
      </c>
      <c r="L5427">
        <v>26</v>
      </c>
      <c r="M5427">
        <v>0</v>
      </c>
      <c r="N5427">
        <v>1</v>
      </c>
      <c r="O5427" t="s">
        <v>127</v>
      </c>
      <c r="P5427" t="s">
        <v>127</v>
      </c>
      <c r="Q5427" t="s">
        <v>127</v>
      </c>
    </row>
    <row r="5428" spans="1:17" x14ac:dyDescent="0.25">
      <c r="A5428" t="str">
        <f>IF(C5428&amp;G5428&amp;D5428&lt;&gt;'Funnel setup'!$K$3&amp;'Funnel setup'!$K$4&amp;'Funnel setup'!$K$6,".",IF(A5427=".",1,A5427+1))</f>
        <v>.</v>
      </c>
      <c r="B5428" s="244" t="str">
        <f t="shared" si="84"/>
        <v>Total Knee ReplacementProviderSPIRE GATWICK PARK HOSPITAL (NT308)Oxford Knee Score</v>
      </c>
      <c r="C5428" t="s">
        <v>975</v>
      </c>
      <c r="D5428" t="s">
        <v>965</v>
      </c>
      <c r="E5428" t="s">
        <v>546</v>
      </c>
      <c r="F5428" t="s">
        <v>547</v>
      </c>
      <c r="G5428" t="s">
        <v>972</v>
      </c>
      <c r="H5428">
        <v>6</v>
      </c>
      <c r="I5428">
        <v>23.5</v>
      </c>
      <c r="J5428">
        <v>36</v>
      </c>
      <c r="K5428">
        <v>12.5</v>
      </c>
      <c r="L5428">
        <v>5</v>
      </c>
      <c r="M5428">
        <v>1</v>
      </c>
      <c r="N5428">
        <v>0</v>
      </c>
      <c r="O5428" t="s">
        <v>127</v>
      </c>
      <c r="P5428" t="s">
        <v>127</v>
      </c>
      <c r="Q5428" t="s">
        <v>127</v>
      </c>
    </row>
    <row r="5429" spans="1:17" x14ac:dyDescent="0.25">
      <c r="A5429" t="str">
        <f>IF(C5429&amp;G5429&amp;D5429&lt;&gt;'Funnel setup'!$K$3&amp;'Funnel setup'!$K$4&amp;'Funnel setup'!$K$6,".",IF(A5428=".",1,A5428+1))</f>
        <v>.</v>
      </c>
      <c r="B5429" s="244" t="str">
        <f t="shared" si="84"/>
        <v>Total Knee ReplacementProviderSPIRE HARPENDEN HOSPITAL (NT316)Oxford Knee Score</v>
      </c>
      <c r="C5429" t="s">
        <v>975</v>
      </c>
      <c r="D5429" t="s">
        <v>965</v>
      </c>
      <c r="E5429" t="s">
        <v>548</v>
      </c>
      <c r="F5429" t="s">
        <v>549</v>
      </c>
      <c r="G5429" t="s">
        <v>972</v>
      </c>
      <c r="H5429">
        <v>19</v>
      </c>
      <c r="I5429">
        <v>18.631599999999999</v>
      </c>
      <c r="J5429">
        <v>39.578899999999997</v>
      </c>
      <c r="K5429">
        <v>20.947399999999998</v>
      </c>
      <c r="L5429">
        <v>17</v>
      </c>
      <c r="M5429">
        <v>0</v>
      </c>
      <c r="N5429">
        <v>2</v>
      </c>
      <c r="O5429" t="s">
        <v>127</v>
      </c>
      <c r="P5429" t="s">
        <v>127</v>
      </c>
      <c r="Q5429" t="s">
        <v>127</v>
      </c>
    </row>
    <row r="5430" spans="1:17" x14ac:dyDescent="0.25">
      <c r="A5430" t="str">
        <f>IF(C5430&amp;G5430&amp;D5430&lt;&gt;'Funnel setup'!$K$3&amp;'Funnel setup'!$K$4&amp;'Funnel setup'!$K$6,".",IF(A5429=".",1,A5429+1))</f>
        <v>.</v>
      </c>
      <c r="B5430" s="244" t="str">
        <f t="shared" si="84"/>
        <v>Total Knee ReplacementProviderSPIRE HARTSWOOD HOSPITAL (NT319)Oxford Knee Score</v>
      </c>
      <c r="C5430" t="s">
        <v>975</v>
      </c>
      <c r="D5430" t="s">
        <v>965</v>
      </c>
      <c r="E5430" t="s">
        <v>550</v>
      </c>
      <c r="F5430" t="s">
        <v>551</v>
      </c>
      <c r="G5430" t="s">
        <v>972</v>
      </c>
      <c r="H5430">
        <v>12</v>
      </c>
      <c r="I5430">
        <v>20</v>
      </c>
      <c r="J5430">
        <v>37.25</v>
      </c>
      <c r="K5430">
        <v>17.25</v>
      </c>
      <c r="L5430">
        <v>12</v>
      </c>
      <c r="M5430">
        <v>0</v>
      </c>
      <c r="N5430">
        <v>0</v>
      </c>
      <c r="O5430" t="s">
        <v>127</v>
      </c>
      <c r="P5430" t="s">
        <v>127</v>
      </c>
      <c r="Q5430" t="s">
        <v>127</v>
      </c>
    </row>
    <row r="5431" spans="1:17" x14ac:dyDescent="0.25">
      <c r="A5431" t="str">
        <f>IF(C5431&amp;G5431&amp;D5431&lt;&gt;'Funnel setup'!$K$3&amp;'Funnel setup'!$K$4&amp;'Funnel setup'!$K$6,".",IF(A5430=".",1,A5430+1))</f>
        <v>.</v>
      </c>
      <c r="B5431" s="244" t="str">
        <f t="shared" si="84"/>
        <v>Total Knee ReplacementProviderSPIRE HULL AND EAST RIDING HOSPITAL (NT351)Oxford Knee Score</v>
      </c>
      <c r="C5431" t="s">
        <v>975</v>
      </c>
      <c r="D5431" t="s">
        <v>965</v>
      </c>
      <c r="E5431" t="s">
        <v>554</v>
      </c>
      <c r="F5431" t="s">
        <v>555</v>
      </c>
      <c r="G5431" t="s">
        <v>972</v>
      </c>
      <c r="H5431">
        <v>38</v>
      </c>
      <c r="I5431">
        <v>20.157900000000001</v>
      </c>
      <c r="J5431">
        <v>38.052599999999998</v>
      </c>
      <c r="K5431">
        <v>17.8947</v>
      </c>
      <c r="L5431">
        <v>38</v>
      </c>
      <c r="M5431">
        <v>0</v>
      </c>
      <c r="N5431">
        <v>0</v>
      </c>
      <c r="O5431">
        <v>37.494300000000003</v>
      </c>
      <c r="P5431">
        <v>18.2257</v>
      </c>
      <c r="Q5431">
        <v>6.42706</v>
      </c>
    </row>
    <row r="5432" spans="1:17" x14ac:dyDescent="0.25">
      <c r="A5432" t="str">
        <f>IF(C5432&amp;G5432&amp;D5432&lt;&gt;'Funnel setup'!$K$3&amp;'Funnel setup'!$K$4&amp;'Funnel setup'!$K$6,".",IF(A5431=".",1,A5431+1))</f>
        <v>.</v>
      </c>
      <c r="B5432" s="244" t="str">
        <f t="shared" si="84"/>
        <v>Total Knee ReplacementProviderSPIRE LEEDS HOSPITAL (NT332)Oxford Knee Score</v>
      </c>
      <c r="C5432" t="s">
        <v>975</v>
      </c>
      <c r="D5432" t="s">
        <v>965</v>
      </c>
      <c r="E5432" t="s">
        <v>556</v>
      </c>
      <c r="F5432" t="s">
        <v>557</v>
      </c>
      <c r="G5432" t="s">
        <v>972</v>
      </c>
      <c r="H5432">
        <v>14</v>
      </c>
      <c r="I5432">
        <v>20.714300000000001</v>
      </c>
      <c r="J5432">
        <v>35.428600000000003</v>
      </c>
      <c r="K5432">
        <v>14.7143</v>
      </c>
      <c r="L5432">
        <v>14</v>
      </c>
      <c r="M5432">
        <v>0</v>
      </c>
      <c r="N5432">
        <v>0</v>
      </c>
      <c r="O5432" t="s">
        <v>127</v>
      </c>
      <c r="P5432" t="s">
        <v>127</v>
      </c>
      <c r="Q5432" t="s">
        <v>127</v>
      </c>
    </row>
    <row r="5433" spans="1:17" x14ac:dyDescent="0.25">
      <c r="A5433" t="str">
        <f>IF(C5433&amp;G5433&amp;D5433&lt;&gt;'Funnel setup'!$K$3&amp;'Funnel setup'!$K$4&amp;'Funnel setup'!$K$6,".",IF(A5432=".",1,A5432+1))</f>
        <v>.</v>
      </c>
      <c r="B5433" s="244" t="str">
        <f t="shared" si="84"/>
        <v>Total Knee ReplacementProviderSPIRE LEICESTER HOSPITAL (NT322)Oxford Knee Score</v>
      </c>
      <c r="C5433" t="s">
        <v>975</v>
      </c>
      <c r="D5433" t="s">
        <v>965</v>
      </c>
      <c r="E5433" t="s">
        <v>558</v>
      </c>
      <c r="F5433" t="s">
        <v>559</v>
      </c>
      <c r="G5433" t="s">
        <v>972</v>
      </c>
      <c r="H5433">
        <v>58</v>
      </c>
      <c r="I5433">
        <v>18.810300000000002</v>
      </c>
      <c r="J5433">
        <v>37.7241</v>
      </c>
      <c r="K5433">
        <v>18.913799999999998</v>
      </c>
      <c r="L5433">
        <v>57</v>
      </c>
      <c r="M5433">
        <v>1</v>
      </c>
      <c r="N5433">
        <v>0</v>
      </c>
      <c r="O5433">
        <v>37.372700000000002</v>
      </c>
      <c r="P5433">
        <v>18.104099999999999</v>
      </c>
      <c r="Q5433">
        <v>6.5004600000000003</v>
      </c>
    </row>
    <row r="5434" spans="1:17" x14ac:dyDescent="0.25">
      <c r="A5434" t="str">
        <f>IF(C5434&amp;G5434&amp;D5434&lt;&gt;'Funnel setup'!$K$3&amp;'Funnel setup'!$K$4&amp;'Funnel setup'!$K$6,".",IF(A5433=".",1,A5433+1))</f>
        <v>.</v>
      </c>
      <c r="B5434" s="244" t="str">
        <f t="shared" si="84"/>
        <v>Total Knee ReplacementProviderSPIRE LITTLE ASTON HOSPITAL (NT321)Oxford Knee Score</v>
      </c>
      <c r="C5434" t="s">
        <v>975</v>
      </c>
      <c r="D5434" t="s">
        <v>965</v>
      </c>
      <c r="E5434" t="s">
        <v>560</v>
      </c>
      <c r="F5434" t="s">
        <v>561</v>
      </c>
      <c r="G5434" t="s">
        <v>972</v>
      </c>
      <c r="H5434">
        <v>21</v>
      </c>
      <c r="I5434">
        <v>20.714300000000001</v>
      </c>
      <c r="J5434">
        <v>37.095199999999998</v>
      </c>
      <c r="K5434">
        <v>16.381</v>
      </c>
      <c r="L5434">
        <v>20</v>
      </c>
      <c r="M5434">
        <v>0</v>
      </c>
      <c r="N5434">
        <v>1</v>
      </c>
      <c r="O5434" t="s">
        <v>127</v>
      </c>
      <c r="P5434" t="s">
        <v>127</v>
      </c>
      <c r="Q5434" t="s">
        <v>127</v>
      </c>
    </row>
    <row r="5435" spans="1:17" x14ac:dyDescent="0.25">
      <c r="A5435" t="str">
        <f>IF(C5435&amp;G5435&amp;D5435&lt;&gt;'Funnel setup'!$K$3&amp;'Funnel setup'!$K$4&amp;'Funnel setup'!$K$6,".",IF(A5434=".",1,A5434+1))</f>
        <v>.</v>
      </c>
      <c r="B5435" s="244" t="str">
        <f t="shared" si="84"/>
        <v>Total Knee ReplacementProviderSPIRE LIVERPOOL HOSPITAL (NT337)Oxford Knee Score</v>
      </c>
      <c r="C5435" t="s">
        <v>975</v>
      </c>
      <c r="D5435" t="s">
        <v>965</v>
      </c>
      <c r="E5435" t="s">
        <v>562</v>
      </c>
      <c r="F5435" t="s">
        <v>563</v>
      </c>
      <c r="G5435" t="s">
        <v>972</v>
      </c>
      <c r="H5435">
        <v>13</v>
      </c>
      <c r="I5435">
        <v>16.538499999999999</v>
      </c>
      <c r="J5435">
        <v>31.384599999999999</v>
      </c>
      <c r="K5435">
        <v>14.8462</v>
      </c>
      <c r="L5435">
        <v>13</v>
      </c>
      <c r="M5435">
        <v>0</v>
      </c>
      <c r="N5435">
        <v>0</v>
      </c>
      <c r="O5435" t="s">
        <v>127</v>
      </c>
      <c r="P5435" t="s">
        <v>127</v>
      </c>
      <c r="Q5435" t="s">
        <v>127</v>
      </c>
    </row>
    <row r="5436" spans="1:17" x14ac:dyDescent="0.25">
      <c r="A5436" t="str">
        <f>IF(C5436&amp;G5436&amp;D5436&lt;&gt;'Funnel setup'!$K$3&amp;'Funnel setup'!$K$4&amp;'Funnel setup'!$K$6,".",IF(A5435=".",1,A5435+1))</f>
        <v>.</v>
      </c>
      <c r="B5436" s="244" t="str">
        <f t="shared" si="84"/>
        <v>Total Knee ReplacementProviderSPIRE MANCHESTER HOSPITAL (NT327)Oxford Knee Score</v>
      </c>
      <c r="C5436" t="s">
        <v>975</v>
      </c>
      <c r="D5436" t="s">
        <v>965</v>
      </c>
      <c r="E5436" t="s">
        <v>566</v>
      </c>
      <c r="F5436" t="s">
        <v>567</v>
      </c>
      <c r="G5436" t="s">
        <v>972</v>
      </c>
      <c r="H5436">
        <v>37</v>
      </c>
      <c r="I5436">
        <v>18.081099999999999</v>
      </c>
      <c r="J5436">
        <v>34.351399999999998</v>
      </c>
      <c r="K5436">
        <v>16.270299999999999</v>
      </c>
      <c r="L5436">
        <v>34</v>
      </c>
      <c r="M5436">
        <v>0</v>
      </c>
      <c r="N5436">
        <v>3</v>
      </c>
      <c r="O5436">
        <v>34.625599999999999</v>
      </c>
      <c r="P5436">
        <v>15.356999999999999</v>
      </c>
      <c r="Q5436">
        <v>8.8869799999999994</v>
      </c>
    </row>
    <row r="5437" spans="1:17" x14ac:dyDescent="0.25">
      <c r="A5437" t="str">
        <f>IF(C5437&amp;G5437&amp;D5437&lt;&gt;'Funnel setup'!$K$3&amp;'Funnel setup'!$K$4&amp;'Funnel setup'!$K$6,".",IF(A5436=".",1,A5436+1))</f>
        <v>.</v>
      </c>
      <c r="B5437" s="244" t="str">
        <f t="shared" si="84"/>
        <v>Total Knee ReplacementProviderSPIRE METHLEY PARK HOSPITAL (NT350)Oxford Knee Score</v>
      </c>
      <c r="C5437" t="s">
        <v>975</v>
      </c>
      <c r="D5437" t="s">
        <v>965</v>
      </c>
      <c r="E5437" t="s">
        <v>568</v>
      </c>
      <c r="F5437" t="s">
        <v>569</v>
      </c>
      <c r="G5437" t="s">
        <v>972</v>
      </c>
      <c r="H5437">
        <v>32</v>
      </c>
      <c r="I5437">
        <v>22.5</v>
      </c>
      <c r="J5437">
        <v>38.406300000000002</v>
      </c>
      <c r="K5437">
        <v>15.9063</v>
      </c>
      <c r="L5437">
        <v>29</v>
      </c>
      <c r="M5437">
        <v>0</v>
      </c>
      <c r="N5437">
        <v>3</v>
      </c>
      <c r="O5437">
        <v>36.296799999999998</v>
      </c>
      <c r="P5437">
        <v>17.028099999999998</v>
      </c>
      <c r="Q5437">
        <v>6.78369</v>
      </c>
    </row>
    <row r="5438" spans="1:17" x14ac:dyDescent="0.25">
      <c r="A5438" t="str">
        <f>IF(C5438&amp;G5438&amp;D5438&lt;&gt;'Funnel setup'!$K$3&amp;'Funnel setup'!$K$4&amp;'Funnel setup'!$K$6,".",IF(A5437=".",1,A5437+1))</f>
        <v>.</v>
      </c>
      <c r="B5438" s="244" t="str">
        <f t="shared" si="84"/>
        <v>Total Knee ReplacementProviderSPIRE MONTEFIORE HOSPITAL (NT364)Oxford Knee Score</v>
      </c>
      <c r="C5438" t="s">
        <v>975</v>
      </c>
      <c r="D5438" t="s">
        <v>965</v>
      </c>
      <c r="E5438" t="s">
        <v>570</v>
      </c>
      <c r="F5438" t="s">
        <v>571</v>
      </c>
      <c r="G5438" t="s">
        <v>972</v>
      </c>
      <c r="H5438">
        <v>10</v>
      </c>
      <c r="I5438">
        <v>24.2</v>
      </c>
      <c r="J5438">
        <v>39.700000000000003</v>
      </c>
      <c r="K5438">
        <v>15.5</v>
      </c>
      <c r="L5438">
        <v>9</v>
      </c>
      <c r="M5438">
        <v>1</v>
      </c>
      <c r="N5438">
        <v>0</v>
      </c>
      <c r="O5438" t="s">
        <v>127</v>
      </c>
      <c r="P5438" t="s">
        <v>127</v>
      </c>
      <c r="Q5438" t="s">
        <v>127</v>
      </c>
    </row>
    <row r="5439" spans="1:17" x14ac:dyDescent="0.25">
      <c r="A5439" t="str">
        <f>IF(C5439&amp;G5439&amp;D5439&lt;&gt;'Funnel setup'!$K$3&amp;'Funnel setup'!$K$4&amp;'Funnel setup'!$K$6,".",IF(A5438=".",1,A5438+1))</f>
        <v>.</v>
      </c>
      <c r="B5439" s="244" t="str">
        <f t="shared" si="84"/>
        <v>Total Knee ReplacementProviderSPIRE MURRAYFIELD HOSPITAL (NT325)Oxford Knee Score</v>
      </c>
      <c r="C5439" t="s">
        <v>975</v>
      </c>
      <c r="D5439" t="s">
        <v>965</v>
      </c>
      <c r="E5439" t="s">
        <v>572</v>
      </c>
      <c r="F5439" t="s">
        <v>573</v>
      </c>
      <c r="G5439" t="s">
        <v>972</v>
      </c>
      <c r="H5439">
        <v>3</v>
      </c>
      <c r="I5439">
        <v>18</v>
      </c>
      <c r="J5439">
        <v>44.666699999999999</v>
      </c>
      <c r="K5439">
        <v>26.666699999999999</v>
      </c>
      <c r="L5439">
        <v>3</v>
      </c>
      <c r="M5439">
        <v>0</v>
      </c>
      <c r="N5439">
        <v>0</v>
      </c>
      <c r="O5439" t="s">
        <v>127</v>
      </c>
      <c r="P5439" t="s">
        <v>127</v>
      </c>
      <c r="Q5439" t="s">
        <v>127</v>
      </c>
    </row>
    <row r="5440" spans="1:17" x14ac:dyDescent="0.25">
      <c r="A5440" t="str">
        <f>IF(C5440&amp;G5440&amp;D5440&lt;&gt;'Funnel setup'!$K$3&amp;'Funnel setup'!$K$4&amp;'Funnel setup'!$K$6,".",IF(A5439=".",1,A5439+1))</f>
        <v>.</v>
      </c>
      <c r="B5440" s="244" t="str">
        <f t="shared" si="84"/>
        <v>Total Knee ReplacementProviderSPIRE NOTTINGHAM HOSPITAL (NT30A)Oxford Knee Score</v>
      </c>
      <c r="C5440" t="s">
        <v>975</v>
      </c>
      <c r="D5440" t="s">
        <v>965</v>
      </c>
      <c r="E5440" t="s">
        <v>576</v>
      </c>
      <c r="F5440" t="s">
        <v>577</v>
      </c>
      <c r="G5440" t="s">
        <v>972</v>
      </c>
      <c r="H5440">
        <v>10</v>
      </c>
      <c r="I5440">
        <v>20.8</v>
      </c>
      <c r="J5440">
        <v>40</v>
      </c>
      <c r="K5440">
        <v>19.2</v>
      </c>
      <c r="L5440">
        <v>10</v>
      </c>
      <c r="M5440">
        <v>0</v>
      </c>
      <c r="N5440">
        <v>0</v>
      </c>
      <c r="O5440" t="s">
        <v>127</v>
      </c>
      <c r="P5440" t="s">
        <v>127</v>
      </c>
      <c r="Q5440" t="s">
        <v>127</v>
      </c>
    </row>
    <row r="5441" spans="1:17" x14ac:dyDescent="0.25">
      <c r="A5441" t="str">
        <f>IF(C5441&amp;G5441&amp;D5441&lt;&gt;'Funnel setup'!$K$3&amp;'Funnel setup'!$K$4&amp;'Funnel setup'!$K$6,".",IF(A5440=".",1,A5440+1))</f>
        <v>.</v>
      </c>
      <c r="B5441" s="244" t="str">
        <f t="shared" si="84"/>
        <v>Total Knee ReplacementProviderSPIRE PARKWAY HOSPITAL (NT320)Oxford Knee Score</v>
      </c>
      <c r="C5441" t="s">
        <v>975</v>
      </c>
      <c r="D5441" t="s">
        <v>965</v>
      </c>
      <c r="E5441" t="s">
        <v>578</v>
      </c>
      <c r="F5441" t="s">
        <v>579</v>
      </c>
      <c r="G5441" t="s">
        <v>972</v>
      </c>
      <c r="H5441">
        <v>16</v>
      </c>
      <c r="I5441">
        <v>22.3125</v>
      </c>
      <c r="J5441">
        <v>34.125</v>
      </c>
      <c r="K5441">
        <v>11.8125</v>
      </c>
      <c r="L5441">
        <v>15</v>
      </c>
      <c r="M5441">
        <v>0</v>
      </c>
      <c r="N5441">
        <v>1</v>
      </c>
      <c r="O5441" t="s">
        <v>127</v>
      </c>
      <c r="P5441" t="s">
        <v>127</v>
      </c>
      <c r="Q5441" t="s">
        <v>127</v>
      </c>
    </row>
    <row r="5442" spans="1:17" x14ac:dyDescent="0.25">
      <c r="A5442" t="str">
        <f>IF(C5442&amp;G5442&amp;D5442&lt;&gt;'Funnel setup'!$K$3&amp;'Funnel setup'!$K$4&amp;'Funnel setup'!$K$6,".",IF(A5441=".",1,A5441+1))</f>
        <v>.</v>
      </c>
      <c r="B5442" s="244" t="str">
        <f t="shared" ref="B5442:B5505" si="85">C5442&amp;D5442&amp;F5442&amp;G5442</f>
        <v>Total Knee ReplacementProviderSPIRE PORTSMOUTH HOSPITAL (NT305)Oxford Knee Score</v>
      </c>
      <c r="C5442" t="s">
        <v>975</v>
      </c>
      <c r="D5442" t="s">
        <v>965</v>
      </c>
      <c r="E5442" t="s">
        <v>580</v>
      </c>
      <c r="F5442" t="s">
        <v>581</v>
      </c>
      <c r="G5442" t="s">
        <v>972</v>
      </c>
      <c r="H5442">
        <v>15</v>
      </c>
      <c r="I5442">
        <v>21</v>
      </c>
      <c r="J5442">
        <v>37.333300000000001</v>
      </c>
      <c r="K5442">
        <v>16.333300000000001</v>
      </c>
      <c r="L5442">
        <v>15</v>
      </c>
      <c r="M5442">
        <v>0</v>
      </c>
      <c r="N5442">
        <v>0</v>
      </c>
      <c r="O5442" t="s">
        <v>127</v>
      </c>
      <c r="P5442" t="s">
        <v>127</v>
      </c>
      <c r="Q5442" t="s">
        <v>127</v>
      </c>
    </row>
    <row r="5443" spans="1:17" x14ac:dyDescent="0.25">
      <c r="A5443" t="str">
        <f>IF(C5443&amp;G5443&amp;D5443&lt;&gt;'Funnel setup'!$K$3&amp;'Funnel setup'!$K$4&amp;'Funnel setup'!$K$6,".",IF(A5442=".",1,A5442+1))</f>
        <v>.</v>
      </c>
      <c r="B5443" s="244" t="str">
        <f t="shared" si="85"/>
        <v>Total Knee ReplacementProviderSPIRE REGENCY HOSPITAL (NT339)Oxford Knee Score</v>
      </c>
      <c r="C5443" t="s">
        <v>975</v>
      </c>
      <c r="D5443" t="s">
        <v>965</v>
      </c>
      <c r="E5443" t="s">
        <v>582</v>
      </c>
      <c r="F5443" t="s">
        <v>583</v>
      </c>
      <c r="G5443" t="s">
        <v>972</v>
      </c>
      <c r="H5443">
        <v>43</v>
      </c>
      <c r="I5443">
        <v>21.395299999999999</v>
      </c>
      <c r="J5443">
        <v>37.604700000000001</v>
      </c>
      <c r="K5443">
        <v>16.209299999999999</v>
      </c>
      <c r="L5443">
        <v>43</v>
      </c>
      <c r="M5443">
        <v>0</v>
      </c>
      <c r="N5443">
        <v>0</v>
      </c>
      <c r="O5443">
        <v>35.759300000000003</v>
      </c>
      <c r="P5443">
        <v>16.490600000000001</v>
      </c>
      <c r="Q5443">
        <v>7.3404199999999999</v>
      </c>
    </row>
    <row r="5444" spans="1:17" x14ac:dyDescent="0.25">
      <c r="A5444" t="str">
        <f>IF(C5444&amp;G5444&amp;D5444&lt;&gt;'Funnel setup'!$K$3&amp;'Funnel setup'!$K$4&amp;'Funnel setup'!$K$6,".",IF(A5443=".",1,A5443+1))</f>
        <v>.</v>
      </c>
      <c r="B5444" s="244" t="str">
        <f t="shared" si="85"/>
        <v>Total Knee ReplacementProviderSPIRE SOUTHAMPTON HOSPITAL (NT304)Oxford Knee Score</v>
      </c>
      <c r="C5444" t="s">
        <v>975</v>
      </c>
      <c r="D5444" t="s">
        <v>965</v>
      </c>
      <c r="E5444" t="s">
        <v>586</v>
      </c>
      <c r="F5444" t="s">
        <v>587</v>
      </c>
      <c r="G5444" t="s">
        <v>972</v>
      </c>
      <c r="H5444">
        <v>20</v>
      </c>
      <c r="I5444">
        <v>21.95</v>
      </c>
      <c r="J5444">
        <v>38</v>
      </c>
      <c r="K5444">
        <v>16.05</v>
      </c>
      <c r="L5444">
        <v>19</v>
      </c>
      <c r="M5444">
        <v>1</v>
      </c>
      <c r="N5444">
        <v>0</v>
      </c>
      <c r="O5444" t="s">
        <v>127</v>
      </c>
      <c r="P5444" t="s">
        <v>127</v>
      </c>
      <c r="Q5444" t="s">
        <v>127</v>
      </c>
    </row>
    <row r="5445" spans="1:17" x14ac:dyDescent="0.25">
      <c r="A5445" t="str">
        <f>IF(C5445&amp;G5445&amp;D5445&lt;&gt;'Funnel setup'!$K$3&amp;'Funnel setup'!$K$4&amp;'Funnel setup'!$K$6,".",IF(A5444=".",1,A5444+1))</f>
        <v>.</v>
      </c>
      <c r="B5445" s="244" t="str">
        <f t="shared" si="85"/>
        <v>Total Knee ReplacementProviderSPIRE ST ANTHONY'S HOSPITAL (NT3X3)Oxford Knee Score</v>
      </c>
      <c r="C5445" t="s">
        <v>975</v>
      </c>
      <c r="D5445" t="s">
        <v>965</v>
      </c>
      <c r="E5445" t="s">
        <v>588</v>
      </c>
      <c r="F5445" t="s">
        <v>589</v>
      </c>
      <c r="G5445" t="s">
        <v>972</v>
      </c>
      <c r="H5445">
        <v>4</v>
      </c>
      <c r="I5445">
        <v>25.75</v>
      </c>
      <c r="J5445">
        <v>34</v>
      </c>
      <c r="K5445">
        <v>8.25</v>
      </c>
      <c r="L5445">
        <v>3</v>
      </c>
      <c r="M5445">
        <v>0</v>
      </c>
      <c r="N5445">
        <v>1</v>
      </c>
      <c r="O5445" t="s">
        <v>127</v>
      </c>
      <c r="P5445" t="s">
        <v>127</v>
      </c>
      <c r="Q5445" t="s">
        <v>127</v>
      </c>
    </row>
    <row r="5446" spans="1:17" x14ac:dyDescent="0.25">
      <c r="A5446" t="str">
        <f>IF(C5446&amp;G5446&amp;D5446&lt;&gt;'Funnel setup'!$K$3&amp;'Funnel setup'!$K$4&amp;'Funnel setup'!$K$6,".",IF(A5445=".",1,A5445+1))</f>
        <v>.</v>
      </c>
      <c r="B5446" s="244" t="str">
        <f t="shared" si="85"/>
        <v>Total Knee ReplacementProviderSPIRE SUSSEX HOSPITAL (NT309)Oxford Knee Score</v>
      </c>
      <c r="C5446" t="s">
        <v>975</v>
      </c>
      <c r="D5446" t="s">
        <v>965</v>
      </c>
      <c r="E5446" t="s">
        <v>590</v>
      </c>
      <c r="F5446" t="s">
        <v>591</v>
      </c>
      <c r="G5446" t="s">
        <v>972</v>
      </c>
      <c r="H5446">
        <v>24</v>
      </c>
      <c r="I5446">
        <v>22.958300000000001</v>
      </c>
      <c r="J5446">
        <v>37.583300000000001</v>
      </c>
      <c r="K5446">
        <v>14.625</v>
      </c>
      <c r="L5446">
        <v>24</v>
      </c>
      <c r="M5446">
        <v>0</v>
      </c>
      <c r="N5446">
        <v>0</v>
      </c>
      <c r="O5446" t="s">
        <v>127</v>
      </c>
      <c r="P5446" t="s">
        <v>127</v>
      </c>
      <c r="Q5446" t="s">
        <v>127</v>
      </c>
    </row>
    <row r="5447" spans="1:17" x14ac:dyDescent="0.25">
      <c r="A5447" t="str">
        <f>IF(C5447&amp;G5447&amp;D5447&lt;&gt;'Funnel setup'!$K$3&amp;'Funnel setup'!$K$4&amp;'Funnel setup'!$K$6,".",IF(A5446=".",1,A5446+1))</f>
        <v>.</v>
      </c>
      <c r="B5447" s="244" t="str">
        <f t="shared" si="85"/>
        <v>Total Knee ReplacementProviderSPIRE THAMES VALLEY HOSPITAL (NT343)Oxford Knee Score</v>
      </c>
      <c r="C5447" t="s">
        <v>975</v>
      </c>
      <c r="D5447" t="s">
        <v>965</v>
      </c>
      <c r="E5447" t="s">
        <v>592</v>
      </c>
      <c r="F5447" t="s">
        <v>593</v>
      </c>
      <c r="G5447" t="s">
        <v>972</v>
      </c>
      <c r="H5447">
        <v>1</v>
      </c>
      <c r="I5447">
        <v>23</v>
      </c>
      <c r="J5447">
        <v>43</v>
      </c>
      <c r="K5447">
        <v>20</v>
      </c>
      <c r="L5447">
        <v>1</v>
      </c>
      <c r="M5447">
        <v>0</v>
      </c>
      <c r="N5447">
        <v>0</v>
      </c>
      <c r="O5447" t="s">
        <v>127</v>
      </c>
      <c r="P5447" t="s">
        <v>127</v>
      </c>
      <c r="Q5447" t="s">
        <v>127</v>
      </c>
    </row>
    <row r="5448" spans="1:17" x14ac:dyDescent="0.25">
      <c r="A5448" t="str">
        <f>IF(C5448&amp;G5448&amp;D5448&lt;&gt;'Funnel setup'!$K$3&amp;'Funnel setup'!$K$4&amp;'Funnel setup'!$K$6,".",IF(A5447=".",1,A5447+1))</f>
        <v>.</v>
      </c>
      <c r="B5448" s="244" t="str">
        <f t="shared" si="85"/>
        <v>Total Knee ReplacementProviderSPIRE TUNBRIDGE WELLS HOSPITAL (NT310)Oxford Knee Score</v>
      </c>
      <c r="C5448" t="s">
        <v>975</v>
      </c>
      <c r="D5448" t="s">
        <v>965</v>
      </c>
      <c r="E5448" t="s">
        <v>594</v>
      </c>
      <c r="F5448" t="s">
        <v>595</v>
      </c>
      <c r="G5448" t="s">
        <v>972</v>
      </c>
      <c r="H5448">
        <v>1</v>
      </c>
      <c r="I5448">
        <v>24</v>
      </c>
      <c r="J5448">
        <v>43</v>
      </c>
      <c r="K5448">
        <v>19</v>
      </c>
      <c r="L5448">
        <v>1</v>
      </c>
      <c r="M5448">
        <v>0</v>
      </c>
      <c r="N5448">
        <v>0</v>
      </c>
      <c r="O5448" t="s">
        <v>127</v>
      </c>
      <c r="P5448" t="s">
        <v>127</v>
      </c>
      <c r="Q5448" t="s">
        <v>127</v>
      </c>
    </row>
    <row r="5449" spans="1:17" x14ac:dyDescent="0.25">
      <c r="A5449" t="str">
        <f>IF(C5449&amp;G5449&amp;D5449&lt;&gt;'Funnel setup'!$K$3&amp;'Funnel setup'!$K$4&amp;'Funnel setup'!$K$6,".",IF(A5448=".",1,A5448+1))</f>
        <v>.</v>
      </c>
      <c r="B5449" s="244" t="str">
        <f t="shared" si="85"/>
        <v>Total Knee ReplacementProviderSPIRE WASHINGTON HOSPITAL (NT333)Oxford Knee Score</v>
      </c>
      <c r="C5449" t="s">
        <v>975</v>
      </c>
      <c r="D5449" t="s">
        <v>965</v>
      </c>
      <c r="E5449" t="s">
        <v>596</v>
      </c>
      <c r="F5449" t="s">
        <v>597</v>
      </c>
      <c r="G5449" t="s">
        <v>972</v>
      </c>
      <c r="H5449">
        <v>101</v>
      </c>
      <c r="I5449">
        <v>17.835000000000001</v>
      </c>
      <c r="J5449">
        <v>36.698999999999998</v>
      </c>
      <c r="K5449">
        <v>18.864100000000001</v>
      </c>
      <c r="L5449">
        <v>97</v>
      </c>
      <c r="M5449">
        <v>2</v>
      </c>
      <c r="N5449">
        <v>2</v>
      </c>
      <c r="O5449">
        <v>37.186199999999999</v>
      </c>
      <c r="P5449">
        <v>17.9175</v>
      </c>
      <c r="Q5449">
        <v>7.8632400000000002</v>
      </c>
    </row>
    <row r="5450" spans="1:17" x14ac:dyDescent="0.25">
      <c r="A5450" t="str">
        <f>IF(C5450&amp;G5450&amp;D5450&lt;&gt;'Funnel setup'!$K$3&amp;'Funnel setup'!$K$4&amp;'Funnel setup'!$K$6,".",IF(A5449=".",1,A5449+1))</f>
        <v>.</v>
      </c>
      <c r="B5450" s="244" t="str">
        <f t="shared" si="85"/>
        <v>Total Knee ReplacementProviderSPRINGFIELD HOSPITAL (NVC18)Oxford Knee Score</v>
      </c>
      <c r="C5450" t="s">
        <v>975</v>
      </c>
      <c r="D5450" t="s">
        <v>965</v>
      </c>
      <c r="E5450" t="s">
        <v>602</v>
      </c>
      <c r="F5450" t="s">
        <v>603</v>
      </c>
      <c r="G5450" t="s">
        <v>972</v>
      </c>
      <c r="H5450">
        <v>96</v>
      </c>
      <c r="I5450">
        <v>19.402100000000001</v>
      </c>
      <c r="J5450">
        <v>39.391800000000003</v>
      </c>
      <c r="K5450">
        <v>19.989699999999999</v>
      </c>
      <c r="L5450">
        <v>93</v>
      </c>
      <c r="M5450">
        <v>0</v>
      </c>
      <c r="N5450">
        <v>3</v>
      </c>
      <c r="O5450">
        <v>38.027999999999999</v>
      </c>
      <c r="P5450">
        <v>18.7593</v>
      </c>
      <c r="Q5450">
        <v>8.3059600000000007</v>
      </c>
    </row>
    <row r="5451" spans="1:17" x14ac:dyDescent="0.25">
      <c r="A5451" t="str">
        <f>IF(C5451&amp;G5451&amp;D5451&lt;&gt;'Funnel setup'!$K$3&amp;'Funnel setup'!$K$4&amp;'Funnel setup'!$K$6,".",IF(A5450=".",1,A5450+1))</f>
        <v>.</v>
      </c>
      <c r="B5451" s="244" t="str">
        <f t="shared" si="85"/>
        <v>Total Knee ReplacementProviderST EDMUNDS HOSPITAL (NT446)Oxford Knee Score</v>
      </c>
      <c r="C5451" t="s">
        <v>975</v>
      </c>
      <c r="D5451" t="s">
        <v>965</v>
      </c>
      <c r="E5451" t="s">
        <v>604</v>
      </c>
      <c r="F5451" t="s">
        <v>605</v>
      </c>
      <c r="G5451" t="s">
        <v>972</v>
      </c>
      <c r="H5451">
        <v>29</v>
      </c>
      <c r="I5451">
        <v>18.793099999999999</v>
      </c>
      <c r="J5451">
        <v>39.172400000000003</v>
      </c>
      <c r="K5451">
        <v>20.379300000000001</v>
      </c>
      <c r="L5451">
        <v>27</v>
      </c>
      <c r="M5451">
        <v>1</v>
      </c>
      <c r="N5451">
        <v>1</v>
      </c>
      <c r="O5451" t="s">
        <v>127</v>
      </c>
      <c r="P5451" t="s">
        <v>127</v>
      </c>
      <c r="Q5451" t="s">
        <v>127</v>
      </c>
    </row>
    <row r="5452" spans="1:17" x14ac:dyDescent="0.25">
      <c r="A5452" t="str">
        <f>IF(C5452&amp;G5452&amp;D5452&lt;&gt;'Funnel setup'!$K$3&amp;'Funnel setup'!$K$4&amp;'Funnel setup'!$K$6,".",IF(A5451=".",1,A5451+1))</f>
        <v>.</v>
      </c>
      <c r="B5452" s="244" t="str">
        <f t="shared" si="85"/>
        <v>Total Knee ReplacementProviderST HELENS AND KNOWSLEY TEACHING HOSPITALS NHS TRUST (RBN)Oxford Knee Score</v>
      </c>
      <c r="C5452" t="s">
        <v>975</v>
      </c>
      <c r="D5452" t="s">
        <v>965</v>
      </c>
      <c r="E5452" t="s">
        <v>608</v>
      </c>
      <c r="F5452" t="s">
        <v>609</v>
      </c>
      <c r="G5452" t="s">
        <v>972</v>
      </c>
      <c r="H5452">
        <v>80</v>
      </c>
      <c r="I5452">
        <v>16.912500000000001</v>
      </c>
      <c r="J5452">
        <v>36.012500000000003</v>
      </c>
      <c r="K5452">
        <v>19.100000000000001</v>
      </c>
      <c r="L5452">
        <v>78</v>
      </c>
      <c r="M5452">
        <v>0</v>
      </c>
      <c r="N5452">
        <v>2</v>
      </c>
      <c r="O5452">
        <v>38.348199999999999</v>
      </c>
      <c r="P5452">
        <v>19.079599999999999</v>
      </c>
      <c r="Q5452">
        <v>9.0001899999999999</v>
      </c>
    </row>
    <row r="5453" spans="1:17" x14ac:dyDescent="0.25">
      <c r="A5453" t="str">
        <f>IF(C5453&amp;G5453&amp;D5453&lt;&gt;'Funnel setup'!$K$3&amp;'Funnel setup'!$K$4&amp;'Funnel setup'!$K$6,".",IF(A5452=".",1,A5452+1))</f>
        <v>.</v>
      </c>
      <c r="B5453" s="244" t="str">
        <f t="shared" si="85"/>
        <v>Total Knee ReplacementProviderST HUGH'S HOSPITAL (NTE02)Oxford Knee Score</v>
      </c>
      <c r="C5453" t="s">
        <v>975</v>
      </c>
      <c r="D5453" t="s">
        <v>965</v>
      </c>
      <c r="E5453" t="s">
        <v>610</v>
      </c>
      <c r="F5453" t="s">
        <v>611</v>
      </c>
      <c r="G5453" t="s">
        <v>972</v>
      </c>
      <c r="H5453">
        <v>129</v>
      </c>
      <c r="I5453">
        <v>21.519400000000001</v>
      </c>
      <c r="J5453">
        <v>38.038800000000002</v>
      </c>
      <c r="K5453">
        <v>16.519400000000001</v>
      </c>
      <c r="L5453">
        <v>125</v>
      </c>
      <c r="M5453">
        <v>2</v>
      </c>
      <c r="N5453">
        <v>2</v>
      </c>
      <c r="O5453">
        <v>36.490400000000001</v>
      </c>
      <c r="P5453">
        <v>17.221699999999998</v>
      </c>
      <c r="Q5453">
        <v>7.1137800000000002</v>
      </c>
    </row>
    <row r="5454" spans="1:17" x14ac:dyDescent="0.25">
      <c r="A5454" t="str">
        <f>IF(C5454&amp;G5454&amp;D5454&lt;&gt;'Funnel setup'!$K$3&amp;'Funnel setup'!$K$4&amp;'Funnel setup'!$K$6,".",IF(A5453=".",1,A5453+1))</f>
        <v>.</v>
      </c>
      <c r="B5454" s="244" t="str">
        <f t="shared" si="85"/>
        <v>Total Knee ReplacementProviderSTOCKPORT NHS FOUNDATION TRUST (RWJ)Oxford Knee Score</v>
      </c>
      <c r="C5454" t="s">
        <v>975</v>
      </c>
      <c r="D5454" t="s">
        <v>965</v>
      </c>
      <c r="E5454" t="s">
        <v>614</v>
      </c>
      <c r="F5454" t="s">
        <v>615</v>
      </c>
      <c r="G5454" t="s">
        <v>972</v>
      </c>
      <c r="H5454">
        <v>30</v>
      </c>
      <c r="I5454">
        <v>19.399999999999999</v>
      </c>
      <c r="J5454">
        <v>39.9</v>
      </c>
      <c r="K5454">
        <v>20.5</v>
      </c>
      <c r="L5454">
        <v>29</v>
      </c>
      <c r="M5454">
        <v>0</v>
      </c>
      <c r="N5454">
        <v>1</v>
      </c>
      <c r="O5454">
        <v>39.568300000000001</v>
      </c>
      <c r="P5454">
        <v>20.299600000000002</v>
      </c>
      <c r="Q5454">
        <v>7.8213400000000002</v>
      </c>
    </row>
    <row r="5455" spans="1:17" x14ac:dyDescent="0.25">
      <c r="A5455" t="str">
        <f>IF(C5455&amp;G5455&amp;D5455&lt;&gt;'Funnel setup'!$K$3&amp;'Funnel setup'!$K$4&amp;'Funnel setup'!$K$6,".",IF(A5454=".",1,A5454+1))</f>
        <v>.</v>
      </c>
      <c r="B5455" s="244" t="str">
        <f t="shared" si="85"/>
        <v>Total Knee ReplacementProviderSURREY AND SUSSEX HEALTHCARE NHS TRUST (RTP)Oxford Knee Score</v>
      </c>
      <c r="C5455" t="s">
        <v>975</v>
      </c>
      <c r="D5455" t="s">
        <v>965</v>
      </c>
      <c r="E5455" t="s">
        <v>618</v>
      </c>
      <c r="F5455" t="s">
        <v>619</v>
      </c>
      <c r="G5455" t="s">
        <v>972</v>
      </c>
      <c r="H5455">
        <v>35</v>
      </c>
      <c r="I5455">
        <v>17.285699999999999</v>
      </c>
      <c r="J5455">
        <v>34.257100000000001</v>
      </c>
      <c r="K5455">
        <v>16.971399999999999</v>
      </c>
      <c r="L5455">
        <v>31</v>
      </c>
      <c r="M5455">
        <v>0</v>
      </c>
      <c r="N5455">
        <v>4</v>
      </c>
      <c r="O5455">
        <v>35.164299999999997</v>
      </c>
      <c r="P5455">
        <v>15.8957</v>
      </c>
      <c r="Q5455">
        <v>7.5947300000000002</v>
      </c>
    </row>
    <row r="5456" spans="1:17" x14ac:dyDescent="0.25">
      <c r="A5456" t="str">
        <f>IF(C5456&amp;G5456&amp;D5456&lt;&gt;'Funnel setup'!$K$3&amp;'Funnel setup'!$K$4&amp;'Funnel setup'!$K$6,".",IF(A5455=".",1,A5455+1))</f>
        <v>.</v>
      </c>
      <c r="B5456" s="244" t="str">
        <f t="shared" si="85"/>
        <v>Total Knee ReplacementProviderTEES VALLEY HOSPITAL (NVC0R)Oxford Knee Score</v>
      </c>
      <c r="C5456" t="s">
        <v>975</v>
      </c>
      <c r="D5456" t="s">
        <v>965</v>
      </c>
      <c r="E5456" t="s">
        <v>624</v>
      </c>
      <c r="F5456" t="s">
        <v>625</v>
      </c>
      <c r="G5456" t="s">
        <v>972</v>
      </c>
      <c r="H5456">
        <v>49</v>
      </c>
      <c r="I5456">
        <v>19.86</v>
      </c>
      <c r="J5456">
        <v>38.479999999999997</v>
      </c>
      <c r="K5456">
        <v>18.62</v>
      </c>
      <c r="L5456">
        <v>48</v>
      </c>
      <c r="M5456">
        <v>1</v>
      </c>
      <c r="N5456">
        <v>0</v>
      </c>
      <c r="O5456">
        <v>37.923900000000003</v>
      </c>
      <c r="P5456">
        <v>18.655200000000001</v>
      </c>
      <c r="Q5456">
        <v>5.55647</v>
      </c>
    </row>
    <row r="5457" spans="1:17" x14ac:dyDescent="0.25">
      <c r="A5457" t="str">
        <f>IF(C5457&amp;G5457&amp;D5457&lt;&gt;'Funnel setup'!$K$3&amp;'Funnel setup'!$K$4&amp;'Funnel setup'!$K$6,".",IF(A5456=".",1,A5456+1))</f>
        <v>.</v>
      </c>
      <c r="B5457" s="244" t="str">
        <f t="shared" si="85"/>
        <v>Total Knee ReplacementProviderTHE BERKSHIRE INDEPENDENT HOSPITAL (NVC02)Oxford Knee Score</v>
      </c>
      <c r="C5457" t="s">
        <v>975</v>
      </c>
      <c r="D5457" t="s">
        <v>965</v>
      </c>
      <c r="E5457" t="s">
        <v>626</v>
      </c>
      <c r="F5457" t="s">
        <v>627</v>
      </c>
      <c r="G5457" t="s">
        <v>972</v>
      </c>
      <c r="H5457">
        <v>13</v>
      </c>
      <c r="I5457">
        <v>20.615400000000001</v>
      </c>
      <c r="J5457">
        <v>35.538499999999999</v>
      </c>
      <c r="K5457">
        <v>14.9231</v>
      </c>
      <c r="L5457">
        <v>13</v>
      </c>
      <c r="M5457">
        <v>0</v>
      </c>
      <c r="N5457">
        <v>0</v>
      </c>
      <c r="O5457" t="s">
        <v>127</v>
      </c>
      <c r="P5457" t="s">
        <v>127</v>
      </c>
      <c r="Q5457" t="s">
        <v>127</v>
      </c>
    </row>
    <row r="5458" spans="1:17" x14ac:dyDescent="0.25">
      <c r="A5458" t="str">
        <f>IF(C5458&amp;G5458&amp;D5458&lt;&gt;'Funnel setup'!$K$3&amp;'Funnel setup'!$K$4&amp;'Funnel setup'!$K$6,".",IF(A5457=".",1,A5457+1))</f>
        <v>.</v>
      </c>
      <c r="B5458" s="244" t="str">
        <f t="shared" si="85"/>
        <v>Total Knee ReplacementProviderTHE CHERWELL HOSPITAL (NVC25)Oxford Knee Score</v>
      </c>
      <c r="C5458" t="s">
        <v>975</v>
      </c>
      <c r="D5458" t="s">
        <v>965</v>
      </c>
      <c r="E5458" t="s">
        <v>628</v>
      </c>
      <c r="F5458" t="s">
        <v>629</v>
      </c>
      <c r="G5458" t="s">
        <v>972</v>
      </c>
      <c r="H5458">
        <v>271</v>
      </c>
      <c r="I5458">
        <v>20.712199999999999</v>
      </c>
      <c r="J5458">
        <v>37.974200000000003</v>
      </c>
      <c r="K5458">
        <v>17.262</v>
      </c>
      <c r="L5458">
        <v>259</v>
      </c>
      <c r="M5458">
        <v>2</v>
      </c>
      <c r="N5458">
        <v>10</v>
      </c>
      <c r="O5458">
        <v>36.773200000000003</v>
      </c>
      <c r="P5458">
        <v>17.5045</v>
      </c>
      <c r="Q5458">
        <v>8.0395000000000003</v>
      </c>
    </row>
    <row r="5459" spans="1:17" x14ac:dyDescent="0.25">
      <c r="A5459" t="str">
        <f>IF(C5459&amp;G5459&amp;D5459&lt;&gt;'Funnel setup'!$K$3&amp;'Funnel setup'!$K$4&amp;'Funnel setup'!$K$6,".",IF(A5458=".",1,A5458+1))</f>
        <v>.</v>
      </c>
      <c r="B5459" s="244" t="str">
        <f t="shared" si="85"/>
        <v>Total Knee ReplacementProviderTHE DUDLEY GROUP NHS FOUNDATION TRUST (RNA)Oxford Knee Score</v>
      </c>
      <c r="C5459" t="s">
        <v>975</v>
      </c>
      <c r="D5459" t="s">
        <v>965</v>
      </c>
      <c r="E5459" t="s">
        <v>630</v>
      </c>
      <c r="F5459" t="s">
        <v>631</v>
      </c>
      <c r="G5459" t="s">
        <v>972</v>
      </c>
      <c r="H5459">
        <v>1</v>
      </c>
      <c r="I5459">
        <v>27</v>
      </c>
      <c r="J5459">
        <v>47</v>
      </c>
      <c r="K5459">
        <v>20</v>
      </c>
      <c r="L5459">
        <v>1</v>
      </c>
      <c r="M5459">
        <v>0</v>
      </c>
      <c r="N5459">
        <v>0</v>
      </c>
      <c r="O5459" t="s">
        <v>127</v>
      </c>
      <c r="P5459" t="s">
        <v>127</v>
      </c>
      <c r="Q5459" t="s">
        <v>127</v>
      </c>
    </row>
    <row r="5460" spans="1:17" x14ac:dyDescent="0.25">
      <c r="A5460" t="str">
        <f>IF(C5460&amp;G5460&amp;D5460&lt;&gt;'Funnel setup'!$K$3&amp;'Funnel setup'!$K$4&amp;'Funnel setup'!$K$6,".",IF(A5459=".",1,A5459+1))</f>
        <v>.</v>
      </c>
      <c r="B5460" s="244" t="str">
        <f t="shared" si="85"/>
        <v>Total Knee ReplacementProviderTHE HILLINGDON HOSPITALS NHS FOUNDATION TRUST (RAS)Oxford Knee Score</v>
      </c>
      <c r="C5460" t="s">
        <v>975</v>
      </c>
      <c r="D5460" t="s">
        <v>965</v>
      </c>
      <c r="E5460" t="s">
        <v>632</v>
      </c>
      <c r="F5460" t="s">
        <v>633</v>
      </c>
      <c r="G5460" t="s">
        <v>972</v>
      </c>
      <c r="H5460">
        <v>110</v>
      </c>
      <c r="I5460">
        <v>20</v>
      </c>
      <c r="J5460">
        <v>35.672699999999999</v>
      </c>
      <c r="K5460">
        <v>15.672700000000001</v>
      </c>
      <c r="L5460">
        <v>103</v>
      </c>
      <c r="M5460">
        <v>2</v>
      </c>
      <c r="N5460">
        <v>5</v>
      </c>
      <c r="O5460">
        <v>35.530700000000003</v>
      </c>
      <c r="P5460">
        <v>16.2621</v>
      </c>
      <c r="Q5460">
        <v>8.2615599999999993</v>
      </c>
    </row>
    <row r="5461" spans="1:17" x14ac:dyDescent="0.25">
      <c r="A5461" t="str">
        <f>IF(C5461&amp;G5461&amp;D5461&lt;&gt;'Funnel setup'!$K$3&amp;'Funnel setup'!$K$4&amp;'Funnel setup'!$K$6,".",IF(A5460=".",1,A5460+1))</f>
        <v>.</v>
      </c>
      <c r="B5461" s="244" t="str">
        <f t="shared" si="85"/>
        <v>Total Knee ReplacementProviderTHE HORDER CENTRE - ST JOHNS ROAD (NXM01)Oxford Knee Score</v>
      </c>
      <c r="C5461" t="s">
        <v>975</v>
      </c>
      <c r="D5461" t="s">
        <v>965</v>
      </c>
      <c r="E5461" t="s">
        <v>634</v>
      </c>
      <c r="F5461" t="s">
        <v>635</v>
      </c>
      <c r="G5461" t="s">
        <v>972</v>
      </c>
      <c r="H5461">
        <v>270</v>
      </c>
      <c r="I5461">
        <v>23.3963</v>
      </c>
      <c r="J5461">
        <v>39.466700000000003</v>
      </c>
      <c r="K5461">
        <v>16.070399999999999</v>
      </c>
      <c r="L5461">
        <v>257</v>
      </c>
      <c r="M5461">
        <v>0</v>
      </c>
      <c r="N5461">
        <v>13</v>
      </c>
      <c r="O5461">
        <v>37.258899999999997</v>
      </c>
      <c r="P5461">
        <v>17.990300000000001</v>
      </c>
      <c r="Q5461">
        <v>7.8753700000000002</v>
      </c>
    </row>
    <row r="5462" spans="1:17" x14ac:dyDescent="0.25">
      <c r="A5462" t="str">
        <f>IF(C5462&amp;G5462&amp;D5462&lt;&gt;'Funnel setup'!$K$3&amp;'Funnel setup'!$K$4&amp;'Funnel setup'!$K$6,".",IF(A5461=".",1,A5461+1))</f>
        <v>.</v>
      </c>
      <c r="B5462" s="244" t="str">
        <f t="shared" si="85"/>
        <v>Total Knee ReplacementProviderTHE NEWCASTLE UPON TYNE HOSPITALS NHS FOUNDATION TRUST (RTD)Oxford Knee Score</v>
      </c>
      <c r="C5462" t="s">
        <v>975</v>
      </c>
      <c r="D5462" t="s">
        <v>965</v>
      </c>
      <c r="E5462" t="s">
        <v>638</v>
      </c>
      <c r="F5462" t="s">
        <v>639</v>
      </c>
      <c r="G5462" t="s">
        <v>972</v>
      </c>
      <c r="H5462">
        <v>26</v>
      </c>
      <c r="I5462">
        <v>17.1538</v>
      </c>
      <c r="J5462">
        <v>36.653799999999997</v>
      </c>
      <c r="K5462">
        <v>19.5</v>
      </c>
      <c r="L5462">
        <v>23</v>
      </c>
      <c r="M5462">
        <v>0</v>
      </c>
      <c r="N5462">
        <v>3</v>
      </c>
      <c r="O5462" t="s">
        <v>127</v>
      </c>
      <c r="P5462" t="s">
        <v>127</v>
      </c>
      <c r="Q5462" t="s">
        <v>127</v>
      </c>
    </row>
    <row r="5463" spans="1:17" x14ac:dyDescent="0.25">
      <c r="A5463" t="str">
        <f>IF(C5463&amp;G5463&amp;D5463&lt;&gt;'Funnel setup'!$K$3&amp;'Funnel setup'!$K$4&amp;'Funnel setup'!$K$6,".",IF(A5462=".",1,A5462+1))</f>
        <v>.</v>
      </c>
      <c r="B5463" s="244" t="str">
        <f t="shared" si="85"/>
        <v>Total Knee ReplacementProviderTHE PRINCESS ALEXANDRA HOSPITAL NHS TRUST (RQW)Oxford Knee Score</v>
      </c>
      <c r="C5463" t="s">
        <v>975</v>
      </c>
      <c r="D5463" t="s">
        <v>965</v>
      </c>
      <c r="E5463" t="s">
        <v>640</v>
      </c>
      <c r="F5463" t="s">
        <v>641</v>
      </c>
      <c r="G5463" t="s">
        <v>972</v>
      </c>
      <c r="H5463">
        <v>30</v>
      </c>
      <c r="I5463">
        <v>14.7333</v>
      </c>
      <c r="J5463">
        <v>35.366700000000002</v>
      </c>
      <c r="K5463">
        <v>20.633299999999998</v>
      </c>
      <c r="L5463">
        <v>30</v>
      </c>
      <c r="M5463">
        <v>0</v>
      </c>
      <c r="N5463">
        <v>0</v>
      </c>
      <c r="O5463">
        <v>37.766399999999997</v>
      </c>
      <c r="P5463">
        <v>18.497800000000002</v>
      </c>
      <c r="Q5463">
        <v>8.3791499999999992</v>
      </c>
    </row>
    <row r="5464" spans="1:17" x14ac:dyDescent="0.25">
      <c r="A5464" t="str">
        <f>IF(C5464&amp;G5464&amp;D5464&lt;&gt;'Funnel setup'!$K$3&amp;'Funnel setup'!$K$4&amp;'Funnel setup'!$K$6,".",IF(A5463=".",1,A5463+1))</f>
        <v>.</v>
      </c>
      <c r="B5464" s="244" t="str">
        <f t="shared" si="85"/>
        <v>Total Knee ReplacementProviderTHE QUEEN ELIZABETH HOSPITAL, KING'S LYNN, NHS FOUNDATION TRUST (RCX)Oxford Knee Score</v>
      </c>
      <c r="C5464" t="s">
        <v>975</v>
      </c>
      <c r="D5464" t="s">
        <v>965</v>
      </c>
      <c r="E5464" t="s">
        <v>644</v>
      </c>
      <c r="F5464" t="s">
        <v>645</v>
      </c>
      <c r="G5464" t="s">
        <v>972</v>
      </c>
      <c r="H5464">
        <v>81</v>
      </c>
      <c r="I5464">
        <v>18.8765</v>
      </c>
      <c r="J5464">
        <v>35.580199999999998</v>
      </c>
      <c r="K5464">
        <v>16.703700000000001</v>
      </c>
      <c r="L5464">
        <v>77</v>
      </c>
      <c r="M5464">
        <v>1</v>
      </c>
      <c r="N5464">
        <v>3</v>
      </c>
      <c r="O5464">
        <v>36.174100000000003</v>
      </c>
      <c r="P5464">
        <v>16.9055</v>
      </c>
      <c r="Q5464">
        <v>8.6654999999999998</v>
      </c>
    </row>
    <row r="5465" spans="1:17" x14ac:dyDescent="0.25">
      <c r="A5465" t="str">
        <f>IF(C5465&amp;G5465&amp;D5465&lt;&gt;'Funnel setup'!$K$3&amp;'Funnel setup'!$K$4&amp;'Funnel setup'!$K$6,".",IF(A5464=".",1,A5464+1))</f>
        <v>.</v>
      </c>
      <c r="B5465" s="244" t="str">
        <f t="shared" si="85"/>
        <v>Total Knee ReplacementProviderTHE ROBERT JONES AND AGNES HUNT ORTHOPAEDIC HOSPITAL NHS FOUNDATION TRUST (RL1)Oxford Knee Score</v>
      </c>
      <c r="C5465" t="s">
        <v>975</v>
      </c>
      <c r="D5465" t="s">
        <v>965</v>
      </c>
      <c r="E5465" t="s">
        <v>646</v>
      </c>
      <c r="F5465" t="s">
        <v>647</v>
      </c>
      <c r="G5465" t="s">
        <v>972</v>
      </c>
      <c r="H5465">
        <v>341</v>
      </c>
      <c r="I5465">
        <v>17.510300000000001</v>
      </c>
      <c r="J5465">
        <v>37.199399999999997</v>
      </c>
      <c r="K5465">
        <v>19.6891</v>
      </c>
      <c r="L5465">
        <v>332</v>
      </c>
      <c r="M5465">
        <v>2</v>
      </c>
      <c r="N5465">
        <v>7</v>
      </c>
      <c r="O5465">
        <v>38.293199999999999</v>
      </c>
      <c r="P5465">
        <v>19.0245</v>
      </c>
      <c r="Q5465">
        <v>8.1902100000000004</v>
      </c>
    </row>
    <row r="5466" spans="1:17" x14ac:dyDescent="0.25">
      <c r="A5466" t="str">
        <f>IF(C5466&amp;G5466&amp;D5466&lt;&gt;'Funnel setup'!$K$3&amp;'Funnel setup'!$K$4&amp;'Funnel setup'!$K$6,".",IF(A5465=".",1,A5465+1))</f>
        <v>.</v>
      </c>
      <c r="B5466" s="244" t="str">
        <f t="shared" si="85"/>
        <v>Total Knee ReplacementProviderTHE ROTHERHAM NHS FOUNDATION TRUST (RFR)Oxford Knee Score</v>
      </c>
      <c r="C5466" t="s">
        <v>975</v>
      </c>
      <c r="D5466" t="s">
        <v>965</v>
      </c>
      <c r="E5466" t="s">
        <v>648</v>
      </c>
      <c r="F5466" t="s">
        <v>649</v>
      </c>
      <c r="G5466" t="s">
        <v>972</v>
      </c>
      <c r="H5466">
        <v>31</v>
      </c>
      <c r="I5466">
        <v>14.7742</v>
      </c>
      <c r="J5466">
        <v>37.096800000000002</v>
      </c>
      <c r="K5466">
        <v>22.322600000000001</v>
      </c>
      <c r="L5466">
        <v>30</v>
      </c>
      <c r="M5466">
        <v>0</v>
      </c>
      <c r="N5466">
        <v>1</v>
      </c>
      <c r="O5466">
        <v>39.4129</v>
      </c>
      <c r="P5466">
        <v>20.144300000000001</v>
      </c>
      <c r="Q5466">
        <v>9.0316200000000002</v>
      </c>
    </row>
    <row r="5467" spans="1:17" x14ac:dyDescent="0.25">
      <c r="A5467" t="str">
        <f>IF(C5467&amp;G5467&amp;D5467&lt;&gt;'Funnel setup'!$K$3&amp;'Funnel setup'!$K$4&amp;'Funnel setup'!$K$6,".",IF(A5466=".",1,A5466+1))</f>
        <v>.</v>
      </c>
      <c r="B5467" s="244" t="str">
        <f t="shared" si="85"/>
        <v>Total Knee ReplacementProviderTHE ROYAL ORTHOPAEDIC HOSPITAL NHS FOUNDATION TRUST (RRJ)Oxford Knee Score</v>
      </c>
      <c r="C5467" t="s">
        <v>975</v>
      </c>
      <c r="D5467" t="s">
        <v>965</v>
      </c>
      <c r="E5467" t="s">
        <v>652</v>
      </c>
      <c r="F5467" t="s">
        <v>653</v>
      </c>
      <c r="G5467" t="s">
        <v>972</v>
      </c>
      <c r="H5467">
        <v>483</v>
      </c>
      <c r="I5467">
        <v>17.287800000000001</v>
      </c>
      <c r="J5467">
        <v>34.5197</v>
      </c>
      <c r="K5467">
        <v>17.2319</v>
      </c>
      <c r="L5467">
        <v>453</v>
      </c>
      <c r="M5467">
        <v>5</v>
      </c>
      <c r="N5467">
        <v>25</v>
      </c>
      <c r="O5467">
        <v>35.977699999999999</v>
      </c>
      <c r="P5467">
        <v>16.709</v>
      </c>
      <c r="Q5467">
        <v>8.9727399999999999</v>
      </c>
    </row>
    <row r="5468" spans="1:17" x14ac:dyDescent="0.25">
      <c r="A5468" t="str">
        <f>IF(C5468&amp;G5468&amp;D5468&lt;&gt;'Funnel setup'!$K$3&amp;'Funnel setup'!$K$4&amp;'Funnel setup'!$K$6,".",IF(A5467=".",1,A5467+1))</f>
        <v>.</v>
      </c>
      <c r="B5468" s="244" t="str">
        <f t="shared" si="85"/>
        <v>Total Knee ReplacementProviderTHE ROYAL WOLVERHAMPTON NHS TRUST (RL4)Oxford Knee Score</v>
      </c>
      <c r="C5468" t="s">
        <v>975</v>
      </c>
      <c r="D5468" t="s">
        <v>965</v>
      </c>
      <c r="E5468" t="s">
        <v>654</v>
      </c>
      <c r="F5468" t="s">
        <v>655</v>
      </c>
      <c r="G5468" t="s">
        <v>972</v>
      </c>
      <c r="H5468">
        <v>25</v>
      </c>
      <c r="I5468">
        <v>19.28</v>
      </c>
      <c r="J5468">
        <v>39.32</v>
      </c>
      <c r="K5468">
        <v>20.04</v>
      </c>
      <c r="L5468">
        <v>24</v>
      </c>
      <c r="M5468">
        <v>0</v>
      </c>
      <c r="N5468">
        <v>1</v>
      </c>
      <c r="O5468" t="s">
        <v>127</v>
      </c>
      <c r="P5468" t="s">
        <v>127</v>
      </c>
      <c r="Q5468" t="s">
        <v>127</v>
      </c>
    </row>
    <row r="5469" spans="1:17" x14ac:dyDescent="0.25">
      <c r="A5469" t="str">
        <f>IF(C5469&amp;G5469&amp;D5469&lt;&gt;'Funnel setup'!$K$3&amp;'Funnel setup'!$K$4&amp;'Funnel setup'!$K$6,".",IF(A5468=".",1,A5468+1))</f>
        <v>.</v>
      </c>
      <c r="B5469" s="244" t="str">
        <f t="shared" si="85"/>
        <v>Total Knee ReplacementProviderTHE SHREWSBURY AND TELFORD HOSPITAL NHS TRUST (RXW)Oxford Knee Score</v>
      </c>
      <c r="C5469" t="s">
        <v>975</v>
      </c>
      <c r="D5469" t="s">
        <v>965</v>
      </c>
      <c r="E5469" t="s">
        <v>656</v>
      </c>
      <c r="F5469" t="s">
        <v>657</v>
      </c>
      <c r="G5469" t="s">
        <v>972</v>
      </c>
      <c r="H5469">
        <v>13</v>
      </c>
      <c r="I5469">
        <v>15.692299999999999</v>
      </c>
      <c r="J5469">
        <v>30.692299999999999</v>
      </c>
      <c r="K5469">
        <v>15</v>
      </c>
      <c r="L5469">
        <v>13</v>
      </c>
      <c r="M5469">
        <v>0</v>
      </c>
      <c r="N5469">
        <v>0</v>
      </c>
      <c r="O5469" t="s">
        <v>127</v>
      </c>
      <c r="P5469" t="s">
        <v>127</v>
      </c>
      <c r="Q5469" t="s">
        <v>127</v>
      </c>
    </row>
    <row r="5470" spans="1:17" x14ac:dyDescent="0.25">
      <c r="A5470" t="str">
        <f>IF(C5470&amp;G5470&amp;D5470&lt;&gt;'Funnel setup'!$K$3&amp;'Funnel setup'!$K$4&amp;'Funnel setup'!$K$6,".",IF(A5469=".",1,A5469+1))</f>
        <v>.</v>
      </c>
      <c r="B5470" s="244" t="str">
        <f t="shared" si="85"/>
        <v>Total Knee ReplacementProviderTHE YORKSHIRE CLINIC (NVC20)Oxford Knee Score</v>
      </c>
      <c r="C5470" t="s">
        <v>975</v>
      </c>
      <c r="D5470" t="s">
        <v>965</v>
      </c>
      <c r="E5470" t="s">
        <v>662</v>
      </c>
      <c r="F5470" t="s">
        <v>663</v>
      </c>
      <c r="G5470" t="s">
        <v>972</v>
      </c>
      <c r="H5470">
        <v>36</v>
      </c>
      <c r="I5470">
        <v>21.833300000000001</v>
      </c>
      <c r="J5470">
        <v>36.3611</v>
      </c>
      <c r="K5470">
        <v>14.527799999999999</v>
      </c>
      <c r="L5470">
        <v>35</v>
      </c>
      <c r="M5470">
        <v>0</v>
      </c>
      <c r="N5470">
        <v>1</v>
      </c>
      <c r="O5470">
        <v>35.8123</v>
      </c>
      <c r="P5470">
        <v>16.543700000000001</v>
      </c>
      <c r="Q5470">
        <v>6.4590199999999998</v>
      </c>
    </row>
    <row r="5471" spans="1:17" x14ac:dyDescent="0.25">
      <c r="A5471" t="str">
        <f>IF(C5471&amp;G5471&amp;D5471&lt;&gt;'Funnel setup'!$K$3&amp;'Funnel setup'!$K$4&amp;'Funnel setup'!$K$6,".",IF(A5470=".",1,A5470+1))</f>
        <v>.</v>
      </c>
      <c r="B5471" s="244" t="str">
        <f t="shared" si="85"/>
        <v>Total Knee ReplacementProviderTHORNBURY HOSPITAL (NT440)Oxford Knee Score</v>
      </c>
      <c r="C5471" t="s">
        <v>975</v>
      </c>
      <c r="D5471" t="s">
        <v>965</v>
      </c>
      <c r="E5471" t="s">
        <v>664</v>
      </c>
      <c r="F5471" t="s">
        <v>665</v>
      </c>
      <c r="G5471" t="s">
        <v>972</v>
      </c>
      <c r="H5471">
        <v>4</v>
      </c>
      <c r="I5471">
        <v>21.75</v>
      </c>
      <c r="J5471">
        <v>30</v>
      </c>
      <c r="K5471">
        <v>8.25</v>
      </c>
      <c r="L5471">
        <v>4</v>
      </c>
      <c r="M5471">
        <v>0</v>
      </c>
      <c r="N5471">
        <v>0</v>
      </c>
      <c r="O5471" t="s">
        <v>127</v>
      </c>
      <c r="P5471" t="s">
        <v>127</v>
      </c>
      <c r="Q5471" t="s">
        <v>127</v>
      </c>
    </row>
    <row r="5472" spans="1:17" x14ac:dyDescent="0.25">
      <c r="A5472" t="str">
        <f>IF(C5472&amp;G5472&amp;D5472&lt;&gt;'Funnel setup'!$K$3&amp;'Funnel setup'!$K$4&amp;'Funnel setup'!$K$6,".",IF(A5471=".",1,A5471+1))</f>
        <v>.</v>
      </c>
      <c r="B5472" s="244" t="str">
        <f t="shared" si="85"/>
        <v>Total Knee ReplacementProviderTHREE SHIRES HOSPITAL (NT441)Oxford Knee Score</v>
      </c>
      <c r="C5472" t="s">
        <v>975</v>
      </c>
      <c r="D5472" t="s">
        <v>965</v>
      </c>
      <c r="E5472" t="s">
        <v>666</v>
      </c>
      <c r="F5472" t="s">
        <v>667</v>
      </c>
      <c r="G5472" t="s">
        <v>972</v>
      </c>
      <c r="H5472">
        <v>79</v>
      </c>
      <c r="I5472">
        <v>19.227799999999998</v>
      </c>
      <c r="J5472">
        <v>37.8354</v>
      </c>
      <c r="K5472">
        <v>18.607600000000001</v>
      </c>
      <c r="L5472">
        <v>73</v>
      </c>
      <c r="M5472">
        <v>2</v>
      </c>
      <c r="N5472">
        <v>4</v>
      </c>
      <c r="O5472">
        <v>36.453400000000002</v>
      </c>
      <c r="P5472">
        <v>17.184799999999999</v>
      </c>
      <c r="Q5472">
        <v>9.0109200000000005</v>
      </c>
    </row>
    <row r="5473" spans="1:17" x14ac:dyDescent="0.25">
      <c r="A5473" t="str">
        <f>IF(C5473&amp;G5473&amp;D5473&lt;&gt;'Funnel setup'!$K$3&amp;'Funnel setup'!$K$4&amp;'Funnel setup'!$K$6,".",IF(A5472=".",1,A5472+1))</f>
        <v>.</v>
      </c>
      <c r="B5473" s="244" t="str">
        <f t="shared" si="85"/>
        <v>Total Knee ReplacementProviderTORBAY AND SOUTH DEVON NHS FOUNDATION TRUST (RA9)Oxford Knee Score</v>
      </c>
      <c r="C5473" t="s">
        <v>975</v>
      </c>
      <c r="D5473" t="s">
        <v>965</v>
      </c>
      <c r="E5473" t="s">
        <v>668</v>
      </c>
      <c r="F5473" t="s">
        <v>669</v>
      </c>
      <c r="G5473" t="s">
        <v>972</v>
      </c>
      <c r="H5473">
        <v>8</v>
      </c>
      <c r="I5473">
        <v>14.75</v>
      </c>
      <c r="J5473">
        <v>27.5</v>
      </c>
      <c r="K5473">
        <v>12.75</v>
      </c>
      <c r="L5473">
        <v>8</v>
      </c>
      <c r="M5473">
        <v>0</v>
      </c>
      <c r="N5473">
        <v>0</v>
      </c>
      <c r="O5473" t="s">
        <v>127</v>
      </c>
      <c r="P5473" t="s">
        <v>127</v>
      </c>
      <c r="Q5473" t="s">
        <v>127</v>
      </c>
    </row>
    <row r="5474" spans="1:17" x14ac:dyDescent="0.25">
      <c r="A5474" t="str">
        <f>IF(C5474&amp;G5474&amp;D5474&lt;&gt;'Funnel setup'!$K$3&amp;'Funnel setup'!$K$4&amp;'Funnel setup'!$K$6,".",IF(A5473=".",1,A5473+1))</f>
        <v>.</v>
      </c>
      <c r="B5474" s="244" t="str">
        <f t="shared" si="85"/>
        <v>Total Knee ReplacementProviderUNITED LINCOLNSHIRE HOSPITALS NHS TRUST (RWD)Oxford Knee Score</v>
      </c>
      <c r="C5474" t="s">
        <v>975</v>
      </c>
      <c r="D5474" t="s">
        <v>965</v>
      </c>
      <c r="E5474" t="s">
        <v>672</v>
      </c>
      <c r="F5474" t="s">
        <v>673</v>
      </c>
      <c r="G5474" t="s">
        <v>972</v>
      </c>
      <c r="H5474">
        <v>34</v>
      </c>
      <c r="I5474">
        <v>16.029399999999999</v>
      </c>
      <c r="J5474">
        <v>34.470599999999997</v>
      </c>
      <c r="K5474">
        <v>18.441199999999998</v>
      </c>
      <c r="L5474">
        <v>32</v>
      </c>
      <c r="M5474">
        <v>0</v>
      </c>
      <c r="N5474">
        <v>2</v>
      </c>
      <c r="O5474">
        <v>35.597099999999998</v>
      </c>
      <c r="P5474">
        <v>16.328399999999998</v>
      </c>
      <c r="Q5474">
        <v>8.7105499999999996</v>
      </c>
    </row>
    <row r="5475" spans="1:17" x14ac:dyDescent="0.25">
      <c r="A5475" t="str">
        <f>IF(C5475&amp;G5475&amp;D5475&lt;&gt;'Funnel setup'!$K$3&amp;'Funnel setup'!$K$4&amp;'Funnel setup'!$K$6,".",IF(A5474=".",1,A5474+1))</f>
        <v>.</v>
      </c>
      <c r="B5475" s="244" t="str">
        <f t="shared" si="85"/>
        <v>Total Knee ReplacementProviderUNIVERSITY COLLEGE LONDON HOSPITALS NHS FOUNDATION TRUST (RRV)Oxford Knee Score</v>
      </c>
      <c r="C5475" t="s">
        <v>975</v>
      </c>
      <c r="D5475" t="s">
        <v>965</v>
      </c>
      <c r="E5475" t="s">
        <v>674</v>
      </c>
      <c r="F5475" t="s">
        <v>675</v>
      </c>
      <c r="G5475" t="s">
        <v>972</v>
      </c>
      <c r="H5475">
        <v>173</v>
      </c>
      <c r="I5475">
        <v>21.1676</v>
      </c>
      <c r="J5475">
        <v>34.930599999999998</v>
      </c>
      <c r="K5475">
        <v>13.763</v>
      </c>
      <c r="L5475">
        <v>157</v>
      </c>
      <c r="M5475">
        <v>0</v>
      </c>
      <c r="N5475">
        <v>16</v>
      </c>
      <c r="O5475">
        <v>35.259</v>
      </c>
      <c r="P5475">
        <v>15.990399999999999</v>
      </c>
      <c r="Q5475">
        <v>9.0836199999999998</v>
      </c>
    </row>
    <row r="5476" spans="1:17" x14ac:dyDescent="0.25">
      <c r="A5476" t="str">
        <f>IF(C5476&amp;G5476&amp;D5476&lt;&gt;'Funnel setup'!$K$3&amp;'Funnel setup'!$K$4&amp;'Funnel setup'!$K$6,".",IF(A5475=".",1,A5475+1))</f>
        <v>.</v>
      </c>
      <c r="B5476" s="244" t="str">
        <f t="shared" si="85"/>
        <v>Total Knee ReplacementProviderUNIVERSITY HOSPITAL SOUTHAMPTON NHS FOUNDATION TRUST (RHM)Oxford Knee Score</v>
      </c>
      <c r="C5476" t="s">
        <v>975</v>
      </c>
      <c r="D5476" t="s">
        <v>965</v>
      </c>
      <c r="E5476" t="s">
        <v>676</v>
      </c>
      <c r="F5476" t="s">
        <v>677</v>
      </c>
      <c r="G5476" t="s">
        <v>972</v>
      </c>
      <c r="H5476">
        <v>98</v>
      </c>
      <c r="I5476">
        <v>20.877600000000001</v>
      </c>
      <c r="J5476">
        <v>37.122399999999999</v>
      </c>
      <c r="K5476">
        <v>16.244900000000001</v>
      </c>
      <c r="L5476">
        <v>96</v>
      </c>
      <c r="M5476">
        <v>0</v>
      </c>
      <c r="N5476">
        <v>2</v>
      </c>
      <c r="O5476">
        <v>37.0886</v>
      </c>
      <c r="P5476">
        <v>17.819900000000001</v>
      </c>
      <c r="Q5476">
        <v>8.3203200000000006</v>
      </c>
    </row>
    <row r="5477" spans="1:17" x14ac:dyDescent="0.25">
      <c r="A5477" t="str">
        <f>IF(C5477&amp;G5477&amp;D5477&lt;&gt;'Funnel setup'!$K$3&amp;'Funnel setup'!$K$4&amp;'Funnel setup'!$K$6,".",IF(A5476=".",1,A5476+1))</f>
        <v>.</v>
      </c>
      <c r="B5477" s="244" t="str">
        <f t="shared" si="85"/>
        <v>Total Knee ReplacementProviderUNIVERSITY HOSPITALS BRISTOL AND WESTON NHS FOUNDATION TRUST (RA7)Oxford Knee Score</v>
      </c>
      <c r="C5477" t="s">
        <v>975</v>
      </c>
      <c r="D5477" t="s">
        <v>965</v>
      </c>
      <c r="E5477" t="s">
        <v>680</v>
      </c>
      <c r="F5477" t="s">
        <v>681</v>
      </c>
      <c r="G5477" t="s">
        <v>972</v>
      </c>
      <c r="H5477">
        <v>17</v>
      </c>
      <c r="I5477">
        <v>14.411799999999999</v>
      </c>
      <c r="J5477">
        <v>36.764699999999998</v>
      </c>
      <c r="K5477">
        <v>22.352900000000002</v>
      </c>
      <c r="L5477">
        <v>17</v>
      </c>
      <c r="M5477">
        <v>0</v>
      </c>
      <c r="N5477">
        <v>0</v>
      </c>
      <c r="O5477" t="s">
        <v>127</v>
      </c>
      <c r="P5477" t="s">
        <v>127</v>
      </c>
      <c r="Q5477" t="s">
        <v>127</v>
      </c>
    </row>
    <row r="5478" spans="1:17" x14ac:dyDescent="0.25">
      <c r="A5478" t="str">
        <f>IF(C5478&amp;G5478&amp;D5478&lt;&gt;'Funnel setup'!$K$3&amp;'Funnel setup'!$K$4&amp;'Funnel setup'!$K$6,".",IF(A5477=".",1,A5477+1))</f>
        <v>.</v>
      </c>
      <c r="B5478" s="244" t="str">
        <f t="shared" si="85"/>
        <v>Total Knee ReplacementProviderUNIVERSITY HOSPITALS COVENTRY AND WARWICKSHIRE NHS TRUST (RKB)Oxford Knee Score</v>
      </c>
      <c r="C5478" t="s">
        <v>975</v>
      </c>
      <c r="D5478" t="s">
        <v>965</v>
      </c>
      <c r="E5478" t="s">
        <v>682</v>
      </c>
      <c r="F5478" t="s">
        <v>683</v>
      </c>
      <c r="G5478" t="s">
        <v>972</v>
      </c>
      <c r="H5478">
        <v>21</v>
      </c>
      <c r="I5478">
        <v>18.714300000000001</v>
      </c>
      <c r="J5478">
        <v>38.095199999999998</v>
      </c>
      <c r="K5478">
        <v>19.381</v>
      </c>
      <c r="L5478">
        <v>21</v>
      </c>
      <c r="M5478">
        <v>0</v>
      </c>
      <c r="N5478">
        <v>0</v>
      </c>
      <c r="O5478" t="s">
        <v>127</v>
      </c>
      <c r="P5478" t="s">
        <v>127</v>
      </c>
      <c r="Q5478" t="s">
        <v>127</v>
      </c>
    </row>
    <row r="5479" spans="1:17" x14ac:dyDescent="0.25">
      <c r="A5479" t="str">
        <f>IF(C5479&amp;G5479&amp;D5479&lt;&gt;'Funnel setup'!$K$3&amp;'Funnel setup'!$K$4&amp;'Funnel setup'!$K$6,".",IF(A5478=".",1,A5478+1))</f>
        <v>.</v>
      </c>
      <c r="B5479" s="244" t="str">
        <f t="shared" si="85"/>
        <v>Total Knee ReplacementProviderUNIVERSITY HOSPITAL DORSET NHS FUNDATION TRUST (R0D)Oxford Knee Score</v>
      </c>
      <c r="C5479" t="s">
        <v>975</v>
      </c>
      <c r="D5479" t="s">
        <v>965</v>
      </c>
      <c r="E5479" t="s">
        <v>684</v>
      </c>
      <c r="F5479" t="s">
        <v>966</v>
      </c>
      <c r="G5479" t="s">
        <v>972</v>
      </c>
      <c r="H5479">
        <v>203</v>
      </c>
      <c r="I5479">
        <v>20.714300000000001</v>
      </c>
      <c r="J5479">
        <v>38.009900000000002</v>
      </c>
      <c r="K5479">
        <v>17.2956</v>
      </c>
      <c r="L5479">
        <v>190</v>
      </c>
      <c r="M5479">
        <v>1</v>
      </c>
      <c r="N5479">
        <v>12</v>
      </c>
      <c r="O5479">
        <v>37.416600000000003</v>
      </c>
      <c r="P5479">
        <v>18.1479</v>
      </c>
      <c r="Q5479">
        <v>8.2992000000000008</v>
      </c>
    </row>
    <row r="5480" spans="1:17" x14ac:dyDescent="0.25">
      <c r="A5480" t="str">
        <f>IF(C5480&amp;G5480&amp;D5480&lt;&gt;'Funnel setup'!$K$3&amp;'Funnel setup'!$K$4&amp;'Funnel setup'!$K$6,".",IF(A5479=".",1,A5479+1))</f>
        <v>.</v>
      </c>
      <c r="B5480" s="244" t="str">
        <f t="shared" si="85"/>
        <v>Total Knee ReplacementProviderUNIVERSITY HOSPITALS OF DERBY AND BURTON NHS FOUNDATION TRUST (RTG)Oxford Knee Score</v>
      </c>
      <c r="C5480" t="s">
        <v>975</v>
      </c>
      <c r="D5480" t="s">
        <v>965</v>
      </c>
      <c r="E5480" t="s">
        <v>686</v>
      </c>
      <c r="F5480" t="s">
        <v>687</v>
      </c>
      <c r="G5480" t="s">
        <v>972</v>
      </c>
      <c r="H5480">
        <v>389</v>
      </c>
      <c r="I5480">
        <v>19.025700000000001</v>
      </c>
      <c r="J5480">
        <v>36.161999999999999</v>
      </c>
      <c r="K5480">
        <v>17.136199999999999</v>
      </c>
      <c r="L5480">
        <v>371</v>
      </c>
      <c r="M5480">
        <v>3</v>
      </c>
      <c r="N5480">
        <v>15</v>
      </c>
      <c r="O5480">
        <v>36.642000000000003</v>
      </c>
      <c r="P5480">
        <v>17.3734</v>
      </c>
      <c r="Q5480">
        <v>8.8322599999999998</v>
      </c>
    </row>
    <row r="5481" spans="1:17" x14ac:dyDescent="0.25">
      <c r="A5481" t="str">
        <f>IF(C5481&amp;G5481&amp;D5481&lt;&gt;'Funnel setup'!$K$3&amp;'Funnel setup'!$K$4&amp;'Funnel setup'!$K$6,".",IF(A5480=".",1,A5480+1))</f>
        <v>.</v>
      </c>
      <c r="B5481" s="244" t="str">
        <f t="shared" si="85"/>
        <v>Total Knee ReplacementProviderUNIVERSITY HOSPITALS OF LEICESTER NHS TRUST (RWE)Oxford Knee Score</v>
      </c>
      <c r="C5481" t="s">
        <v>975</v>
      </c>
      <c r="D5481" t="s">
        <v>965</v>
      </c>
      <c r="E5481" t="s">
        <v>688</v>
      </c>
      <c r="F5481" t="s">
        <v>689</v>
      </c>
      <c r="G5481" t="s">
        <v>972</v>
      </c>
      <c r="H5481">
        <v>180</v>
      </c>
      <c r="I5481">
        <v>16.3889</v>
      </c>
      <c r="J5481">
        <v>32.961100000000002</v>
      </c>
      <c r="K5481">
        <v>16.572199999999999</v>
      </c>
      <c r="L5481">
        <v>168</v>
      </c>
      <c r="M5481">
        <v>1</v>
      </c>
      <c r="N5481">
        <v>11</v>
      </c>
      <c r="O5481">
        <v>35.074199999999998</v>
      </c>
      <c r="P5481">
        <v>15.8056</v>
      </c>
      <c r="Q5481">
        <v>8.9910499999999995</v>
      </c>
    </row>
    <row r="5482" spans="1:17" x14ac:dyDescent="0.25">
      <c r="A5482" t="str">
        <f>IF(C5482&amp;G5482&amp;D5482&lt;&gt;'Funnel setup'!$K$3&amp;'Funnel setup'!$K$4&amp;'Funnel setup'!$K$6,".",IF(A5481=".",1,A5481+1))</f>
        <v>.</v>
      </c>
      <c r="B5482" s="244" t="str">
        <f t="shared" si="85"/>
        <v>Total Knee ReplacementProviderUNIVERSITY HOSPITALS OF MORECAMBE BAY NHS FOUNDATION TRUST (RTX)Oxford Knee Score</v>
      </c>
      <c r="C5482" t="s">
        <v>975</v>
      </c>
      <c r="D5482" t="s">
        <v>965</v>
      </c>
      <c r="E5482" t="s">
        <v>690</v>
      </c>
      <c r="F5482" t="s">
        <v>691</v>
      </c>
      <c r="G5482" t="s">
        <v>972</v>
      </c>
      <c r="H5482">
        <v>169</v>
      </c>
      <c r="I5482">
        <v>20.183399999999999</v>
      </c>
      <c r="J5482">
        <v>37.609499999999997</v>
      </c>
      <c r="K5482">
        <v>17.425999999999998</v>
      </c>
      <c r="L5482">
        <v>160</v>
      </c>
      <c r="M5482">
        <v>1</v>
      </c>
      <c r="N5482">
        <v>8</v>
      </c>
      <c r="O5482">
        <v>37.077800000000003</v>
      </c>
      <c r="P5482">
        <v>17.809200000000001</v>
      </c>
      <c r="Q5482">
        <v>8.1857100000000003</v>
      </c>
    </row>
    <row r="5483" spans="1:17" x14ac:dyDescent="0.25">
      <c r="A5483" t="str">
        <f>IF(C5483&amp;G5483&amp;D5483&lt;&gt;'Funnel setup'!$K$3&amp;'Funnel setup'!$K$4&amp;'Funnel setup'!$K$6,".",IF(A5482=".",1,A5482+1))</f>
        <v>.</v>
      </c>
      <c r="B5483" s="244" t="str">
        <f t="shared" si="85"/>
        <v>Total Knee ReplacementProviderUNIVERSITY HOSPITALS OF NORTH MIDLANDS NHS TRUST (RJE)Oxford Knee Score</v>
      </c>
      <c r="C5483" t="s">
        <v>975</v>
      </c>
      <c r="D5483" t="s">
        <v>965</v>
      </c>
      <c r="E5483" t="s">
        <v>692</v>
      </c>
      <c r="F5483" t="s">
        <v>693</v>
      </c>
      <c r="G5483" t="s">
        <v>972</v>
      </c>
      <c r="H5483">
        <v>19</v>
      </c>
      <c r="I5483">
        <v>13.631600000000001</v>
      </c>
      <c r="J5483">
        <v>34.368400000000001</v>
      </c>
      <c r="K5483">
        <v>20.736799999999999</v>
      </c>
      <c r="L5483">
        <v>19</v>
      </c>
      <c r="M5483">
        <v>0</v>
      </c>
      <c r="N5483">
        <v>0</v>
      </c>
      <c r="O5483" t="s">
        <v>127</v>
      </c>
      <c r="P5483" t="s">
        <v>127</v>
      </c>
      <c r="Q5483" t="s">
        <v>127</v>
      </c>
    </row>
    <row r="5484" spans="1:17" x14ac:dyDescent="0.25">
      <c r="A5484" t="str">
        <f>IF(C5484&amp;G5484&amp;D5484&lt;&gt;'Funnel setup'!$K$3&amp;'Funnel setup'!$K$4&amp;'Funnel setup'!$K$6,".",IF(A5483=".",1,A5483+1))</f>
        <v>.</v>
      </c>
      <c r="B5484" s="244" t="str">
        <f t="shared" si="85"/>
        <v>Total Knee ReplacementProviderUNIVERSITY HOSPITALS PLYMOUTH NHS TRUST (RK9)Oxford Knee Score</v>
      </c>
      <c r="C5484" t="s">
        <v>975</v>
      </c>
      <c r="D5484" t="s">
        <v>965</v>
      </c>
      <c r="E5484" t="s">
        <v>694</v>
      </c>
      <c r="F5484" t="s">
        <v>695</v>
      </c>
      <c r="G5484" t="s">
        <v>972</v>
      </c>
      <c r="H5484">
        <v>4</v>
      </c>
      <c r="I5484">
        <v>9.75</v>
      </c>
      <c r="J5484">
        <v>23</v>
      </c>
      <c r="K5484">
        <v>13.25</v>
      </c>
      <c r="L5484">
        <v>3</v>
      </c>
      <c r="M5484">
        <v>0</v>
      </c>
      <c r="N5484">
        <v>1</v>
      </c>
      <c r="O5484" t="s">
        <v>127</v>
      </c>
      <c r="P5484" t="s">
        <v>127</v>
      </c>
      <c r="Q5484" t="s">
        <v>127</v>
      </c>
    </row>
    <row r="5485" spans="1:17" x14ac:dyDescent="0.25">
      <c r="A5485" t="str">
        <f>IF(C5485&amp;G5485&amp;D5485&lt;&gt;'Funnel setup'!$K$3&amp;'Funnel setup'!$K$4&amp;'Funnel setup'!$K$6,".",IF(A5484=".",1,A5484+1))</f>
        <v>.</v>
      </c>
      <c r="B5485" s="244" t="str">
        <f t="shared" si="85"/>
        <v>Total Knee ReplacementProviderUNIVERSITY HOSPITALS SUSSEX NHS FOUNDATION TRUST (RYR)Oxford Knee Score</v>
      </c>
      <c r="C5485" t="s">
        <v>975</v>
      </c>
      <c r="D5485" t="s">
        <v>965</v>
      </c>
      <c r="E5485" t="s">
        <v>696</v>
      </c>
      <c r="F5485" t="s">
        <v>697</v>
      </c>
      <c r="G5485" t="s">
        <v>972</v>
      </c>
      <c r="H5485">
        <v>131</v>
      </c>
      <c r="I5485">
        <v>16.9542</v>
      </c>
      <c r="J5485">
        <v>35.228999999999999</v>
      </c>
      <c r="K5485">
        <v>18.274799999999999</v>
      </c>
      <c r="L5485">
        <v>128</v>
      </c>
      <c r="M5485">
        <v>1</v>
      </c>
      <c r="N5485">
        <v>2</v>
      </c>
      <c r="O5485">
        <v>36.002800000000001</v>
      </c>
      <c r="P5485">
        <v>16.734100000000002</v>
      </c>
      <c r="Q5485">
        <v>8.5322899999999997</v>
      </c>
    </row>
    <row r="5486" spans="1:17" x14ac:dyDescent="0.25">
      <c r="A5486" t="str">
        <f>IF(C5486&amp;G5486&amp;D5486&lt;&gt;'Funnel setup'!$K$3&amp;'Funnel setup'!$K$4&amp;'Funnel setup'!$K$6,".",IF(A5485=".",1,A5485+1))</f>
        <v>.</v>
      </c>
      <c r="B5486" s="244" t="str">
        <f t="shared" si="85"/>
        <v>Total Knee ReplacementProviderWALSALL HEALTHCARE NHS TRUST (RBK)Oxford Knee Score</v>
      </c>
      <c r="C5486" t="s">
        <v>975</v>
      </c>
      <c r="D5486" t="s">
        <v>965</v>
      </c>
      <c r="E5486" t="s">
        <v>698</v>
      </c>
      <c r="F5486" t="s">
        <v>699</v>
      </c>
      <c r="G5486" t="s">
        <v>972</v>
      </c>
      <c r="H5486">
        <v>10</v>
      </c>
      <c r="I5486">
        <v>19.100000000000001</v>
      </c>
      <c r="J5486">
        <v>34.1</v>
      </c>
      <c r="K5486">
        <v>15</v>
      </c>
      <c r="L5486">
        <v>9</v>
      </c>
      <c r="M5486">
        <v>1</v>
      </c>
      <c r="N5486">
        <v>0</v>
      </c>
      <c r="O5486" t="s">
        <v>127</v>
      </c>
      <c r="P5486" t="s">
        <v>127</v>
      </c>
      <c r="Q5486" t="s">
        <v>127</v>
      </c>
    </row>
    <row r="5487" spans="1:17" x14ac:dyDescent="0.25">
      <c r="A5487" t="str">
        <f>IF(C5487&amp;G5487&amp;D5487&lt;&gt;'Funnel setup'!$K$3&amp;'Funnel setup'!$K$4&amp;'Funnel setup'!$K$6,".",IF(A5486=".",1,A5486+1))</f>
        <v>.</v>
      </c>
      <c r="B5487" s="244" t="str">
        <f t="shared" si="85"/>
        <v>Total Knee ReplacementProviderWARRINGTON AND HALTON TEACHING HOSPITALS NHS FOUNDATION TRUST (RWW)Oxford Knee Score</v>
      </c>
      <c r="C5487" t="s">
        <v>975</v>
      </c>
      <c r="D5487" t="s">
        <v>965</v>
      </c>
      <c r="E5487" t="s">
        <v>700</v>
      </c>
      <c r="F5487" t="s">
        <v>701</v>
      </c>
      <c r="G5487" t="s">
        <v>972</v>
      </c>
      <c r="H5487">
        <v>34</v>
      </c>
      <c r="I5487">
        <v>17.911799999999999</v>
      </c>
      <c r="J5487">
        <v>33.970599999999997</v>
      </c>
      <c r="K5487">
        <v>16.058800000000002</v>
      </c>
      <c r="L5487">
        <v>33</v>
      </c>
      <c r="M5487">
        <v>0</v>
      </c>
      <c r="N5487">
        <v>1</v>
      </c>
      <c r="O5487">
        <v>34.6952</v>
      </c>
      <c r="P5487">
        <v>15.426500000000001</v>
      </c>
      <c r="Q5487">
        <v>7.8618300000000003</v>
      </c>
    </row>
    <row r="5488" spans="1:17" x14ac:dyDescent="0.25">
      <c r="A5488" t="str">
        <f>IF(C5488&amp;G5488&amp;D5488&lt;&gt;'Funnel setup'!$K$3&amp;'Funnel setup'!$K$4&amp;'Funnel setup'!$K$6,".",IF(A5487=".",1,A5487+1))</f>
        <v>.</v>
      </c>
      <c r="B5488" s="244" t="str">
        <f t="shared" si="85"/>
        <v>Total Knee ReplacementProviderWEST HERTFORDSHIRE TEACHING HOSPITALS NHS TRUST (RWG)Oxford Knee Score</v>
      </c>
      <c r="C5488" t="s">
        <v>975</v>
      </c>
      <c r="D5488" t="s">
        <v>965</v>
      </c>
      <c r="E5488" t="s">
        <v>702</v>
      </c>
      <c r="F5488" t="s">
        <v>703</v>
      </c>
      <c r="G5488" t="s">
        <v>972</v>
      </c>
      <c r="H5488">
        <v>82</v>
      </c>
      <c r="I5488">
        <v>20.7195</v>
      </c>
      <c r="J5488">
        <v>36.341500000000003</v>
      </c>
      <c r="K5488">
        <v>15.622</v>
      </c>
      <c r="L5488">
        <v>76</v>
      </c>
      <c r="M5488">
        <v>1</v>
      </c>
      <c r="N5488">
        <v>5</v>
      </c>
      <c r="O5488">
        <v>35.624499999999998</v>
      </c>
      <c r="P5488">
        <v>16.355799999999999</v>
      </c>
      <c r="Q5488">
        <v>8.7148800000000008</v>
      </c>
    </row>
    <row r="5489" spans="1:17" x14ac:dyDescent="0.25">
      <c r="A5489" t="str">
        <f>IF(C5489&amp;G5489&amp;D5489&lt;&gt;'Funnel setup'!$K$3&amp;'Funnel setup'!$K$4&amp;'Funnel setup'!$K$6,".",IF(A5488=".",1,A5488+1))</f>
        <v>.</v>
      </c>
      <c r="B5489" s="244" t="str">
        <f t="shared" si="85"/>
        <v>Total Knee ReplacementProviderWEST MIDLANDS HOSPITAL (NVC21)Oxford Knee Score</v>
      </c>
      <c r="C5489" t="s">
        <v>975</v>
      </c>
      <c r="D5489" t="s">
        <v>965</v>
      </c>
      <c r="E5489" t="s">
        <v>704</v>
      </c>
      <c r="F5489" t="s">
        <v>705</v>
      </c>
      <c r="G5489" t="s">
        <v>972</v>
      </c>
      <c r="H5489">
        <v>63</v>
      </c>
      <c r="I5489">
        <v>17.968299999999999</v>
      </c>
      <c r="J5489">
        <v>38.238100000000003</v>
      </c>
      <c r="K5489">
        <v>20.2698</v>
      </c>
      <c r="L5489">
        <v>62</v>
      </c>
      <c r="M5489">
        <v>0</v>
      </c>
      <c r="N5489">
        <v>1</v>
      </c>
      <c r="O5489">
        <v>38.947699999999998</v>
      </c>
      <c r="P5489">
        <v>19.678999999999998</v>
      </c>
      <c r="Q5489">
        <v>7.5543899999999997</v>
      </c>
    </row>
    <row r="5490" spans="1:17" x14ac:dyDescent="0.25">
      <c r="A5490" t="str">
        <f>IF(C5490&amp;G5490&amp;D5490&lt;&gt;'Funnel setup'!$K$3&amp;'Funnel setup'!$K$4&amp;'Funnel setup'!$K$6,".",IF(A5489=".",1,A5489+1))</f>
        <v>.</v>
      </c>
      <c r="B5490" s="244" t="str">
        <f t="shared" si="85"/>
        <v>Total Knee ReplacementProviderWEST SUFFOLK NHS FOUNDATION TRUST (RGR)Oxford Knee Score</v>
      </c>
      <c r="C5490" t="s">
        <v>975</v>
      </c>
      <c r="D5490" t="s">
        <v>965</v>
      </c>
      <c r="E5490" t="s">
        <v>706</v>
      </c>
      <c r="F5490" t="s">
        <v>707</v>
      </c>
      <c r="G5490" t="s">
        <v>972</v>
      </c>
      <c r="H5490">
        <v>74</v>
      </c>
      <c r="I5490">
        <v>16.554099999999998</v>
      </c>
      <c r="J5490">
        <v>34.040500000000002</v>
      </c>
      <c r="K5490">
        <v>17.486499999999999</v>
      </c>
      <c r="L5490">
        <v>71</v>
      </c>
      <c r="M5490">
        <v>0</v>
      </c>
      <c r="N5490">
        <v>3</v>
      </c>
      <c r="O5490">
        <v>34.643300000000004</v>
      </c>
      <c r="P5490">
        <v>15.374700000000001</v>
      </c>
      <c r="Q5490">
        <v>8.0256399999999992</v>
      </c>
    </row>
    <row r="5491" spans="1:17" x14ac:dyDescent="0.25">
      <c r="A5491" t="str">
        <f>IF(C5491&amp;G5491&amp;D5491&lt;&gt;'Funnel setup'!$K$3&amp;'Funnel setup'!$K$4&amp;'Funnel setup'!$K$6,".",IF(A5490=".",1,A5490+1))</f>
        <v>.</v>
      </c>
      <c r="B5491" s="244" t="str">
        <f t="shared" si="85"/>
        <v>Total Knee ReplacementProviderWINFIELD HOSPITAL (NVC22)Oxford Knee Score</v>
      </c>
      <c r="C5491" t="s">
        <v>975</v>
      </c>
      <c r="D5491" t="s">
        <v>965</v>
      </c>
      <c r="E5491" t="s">
        <v>710</v>
      </c>
      <c r="F5491" t="s">
        <v>711</v>
      </c>
      <c r="G5491" t="s">
        <v>972</v>
      </c>
      <c r="H5491">
        <v>54</v>
      </c>
      <c r="I5491">
        <v>21.777799999999999</v>
      </c>
      <c r="J5491">
        <v>38.981499999999997</v>
      </c>
      <c r="K5491">
        <v>17.203700000000001</v>
      </c>
      <c r="L5491">
        <v>50</v>
      </c>
      <c r="M5491">
        <v>0</v>
      </c>
      <c r="N5491">
        <v>4</v>
      </c>
      <c r="O5491">
        <v>37.014899999999997</v>
      </c>
      <c r="P5491">
        <v>17.746200000000002</v>
      </c>
      <c r="Q5491">
        <v>8.6046700000000005</v>
      </c>
    </row>
    <row r="5492" spans="1:17" x14ac:dyDescent="0.25">
      <c r="A5492" t="str">
        <f>IF(C5492&amp;G5492&amp;D5492&lt;&gt;'Funnel setup'!$K$3&amp;'Funnel setup'!$K$4&amp;'Funnel setup'!$K$6,".",IF(A5491=".",1,A5491+1))</f>
        <v>.</v>
      </c>
      <c r="B5492" s="244" t="str">
        <f t="shared" si="85"/>
        <v>Total Knee ReplacementProviderWINTERBOURNE HOSPITAL (NT443)Oxford Knee Score</v>
      </c>
      <c r="C5492" t="s">
        <v>975</v>
      </c>
      <c r="D5492" t="s">
        <v>965</v>
      </c>
      <c r="E5492" t="s">
        <v>712</v>
      </c>
      <c r="F5492" t="s">
        <v>713</v>
      </c>
      <c r="G5492" t="s">
        <v>972</v>
      </c>
      <c r="H5492">
        <v>40</v>
      </c>
      <c r="I5492">
        <v>20.5</v>
      </c>
      <c r="J5492">
        <v>40.274999999999999</v>
      </c>
      <c r="K5492">
        <v>19.774999999999999</v>
      </c>
      <c r="L5492">
        <v>39</v>
      </c>
      <c r="M5492">
        <v>0</v>
      </c>
      <c r="N5492">
        <v>1</v>
      </c>
      <c r="O5492">
        <v>38.9041</v>
      </c>
      <c r="P5492">
        <v>19.635400000000001</v>
      </c>
      <c r="Q5492">
        <v>6.4700800000000003</v>
      </c>
    </row>
    <row r="5493" spans="1:17" x14ac:dyDescent="0.25">
      <c r="A5493" t="str">
        <f>IF(C5493&amp;G5493&amp;D5493&lt;&gt;'Funnel setup'!$K$3&amp;'Funnel setup'!$K$4&amp;'Funnel setup'!$K$6,".",IF(A5492=".",1,A5492+1))</f>
        <v>.</v>
      </c>
      <c r="B5493" s="244" t="str">
        <f t="shared" si="85"/>
        <v>Total Knee ReplacementProviderWIRRAL UNIVERSITY TEACHING HOSPITAL NHS FOUNDATION TRUST (RBL)Oxford Knee Score</v>
      </c>
      <c r="C5493" t="s">
        <v>975</v>
      </c>
      <c r="D5493" t="s">
        <v>965</v>
      </c>
      <c r="E5493" t="s">
        <v>714</v>
      </c>
      <c r="F5493" t="s">
        <v>715</v>
      </c>
      <c r="G5493" t="s">
        <v>972</v>
      </c>
      <c r="H5493">
        <v>92</v>
      </c>
      <c r="I5493">
        <v>19.195699999999999</v>
      </c>
      <c r="J5493">
        <v>38.043500000000002</v>
      </c>
      <c r="K5493">
        <v>18.847799999999999</v>
      </c>
      <c r="L5493">
        <v>86</v>
      </c>
      <c r="M5493">
        <v>0</v>
      </c>
      <c r="N5493">
        <v>6</v>
      </c>
      <c r="O5493">
        <v>38.133899999999997</v>
      </c>
      <c r="P5493">
        <v>18.865300000000001</v>
      </c>
      <c r="Q5493">
        <v>8.6602099999999993</v>
      </c>
    </row>
    <row r="5494" spans="1:17" x14ac:dyDescent="0.25">
      <c r="A5494" t="str">
        <f>IF(C5494&amp;G5494&amp;D5494&lt;&gt;'Funnel setup'!$K$3&amp;'Funnel setup'!$K$4&amp;'Funnel setup'!$K$6,".",IF(A5493=".",1,A5493+1))</f>
        <v>.</v>
      </c>
      <c r="B5494" s="244" t="str">
        <f t="shared" si="85"/>
        <v>Total Knee ReplacementProviderWOODLAND HOSPITAL (NVC23)Oxford Knee Score</v>
      </c>
      <c r="C5494" t="s">
        <v>975</v>
      </c>
      <c r="D5494" t="s">
        <v>965</v>
      </c>
      <c r="E5494" t="s">
        <v>716</v>
      </c>
      <c r="F5494" t="s">
        <v>717</v>
      </c>
      <c r="G5494" t="s">
        <v>972</v>
      </c>
      <c r="H5494">
        <v>64</v>
      </c>
      <c r="I5494">
        <v>15.875</v>
      </c>
      <c r="J5494">
        <v>36.765599999999999</v>
      </c>
      <c r="K5494">
        <v>20.890599999999999</v>
      </c>
      <c r="L5494">
        <v>63</v>
      </c>
      <c r="M5494">
        <v>0</v>
      </c>
      <c r="N5494">
        <v>1</v>
      </c>
      <c r="O5494">
        <v>37.688899999999997</v>
      </c>
      <c r="P5494">
        <v>18.420300000000001</v>
      </c>
      <c r="Q5494">
        <v>8.5985399999999998</v>
      </c>
    </row>
    <row r="5495" spans="1:17" x14ac:dyDescent="0.25">
      <c r="A5495" t="str">
        <f>IF(C5495&amp;G5495&amp;D5495&lt;&gt;'Funnel setup'!$K$3&amp;'Funnel setup'!$K$4&amp;'Funnel setup'!$K$6,".",IF(A5494=".",1,A5494+1))</f>
        <v>.</v>
      </c>
      <c r="B5495" s="244" t="str">
        <f t="shared" si="85"/>
        <v>Total Knee ReplacementProviderWOODLANDS HOSPITAL (NT457)Oxford Knee Score</v>
      </c>
      <c r="C5495" t="s">
        <v>975</v>
      </c>
      <c r="D5495" t="s">
        <v>965</v>
      </c>
      <c r="E5495" t="s">
        <v>718</v>
      </c>
      <c r="F5495" t="s">
        <v>719</v>
      </c>
      <c r="G5495" t="s">
        <v>972</v>
      </c>
      <c r="H5495">
        <v>92</v>
      </c>
      <c r="I5495">
        <v>20.456499999999998</v>
      </c>
      <c r="J5495">
        <v>39.510899999999999</v>
      </c>
      <c r="K5495">
        <v>19.054300000000001</v>
      </c>
      <c r="L5495">
        <v>88</v>
      </c>
      <c r="M5495">
        <v>0</v>
      </c>
      <c r="N5495">
        <v>4</v>
      </c>
      <c r="O5495">
        <v>38.220399999999998</v>
      </c>
      <c r="P5495">
        <v>18.951799999999999</v>
      </c>
      <c r="Q5495">
        <v>7.8057400000000001</v>
      </c>
    </row>
    <row r="5496" spans="1:17" x14ac:dyDescent="0.25">
      <c r="A5496" t="str">
        <f>IF(C5496&amp;G5496&amp;D5496&lt;&gt;'Funnel setup'!$K$3&amp;'Funnel setup'!$K$4&amp;'Funnel setup'!$K$6,".",IF(A5495=".",1,A5495+1))</f>
        <v>.</v>
      </c>
      <c r="B5496" s="244" t="str">
        <f t="shared" si="85"/>
        <v>Total Knee ReplacementProviderWOODTHORPE HOSPITAL (NVC40)Oxford Knee Score</v>
      </c>
      <c r="C5496" t="s">
        <v>975</v>
      </c>
      <c r="D5496" t="s">
        <v>965</v>
      </c>
      <c r="E5496" t="s">
        <v>720</v>
      </c>
      <c r="F5496" t="s">
        <v>721</v>
      </c>
      <c r="G5496" t="s">
        <v>972</v>
      </c>
      <c r="H5496">
        <v>128</v>
      </c>
      <c r="I5496">
        <v>20.107700000000001</v>
      </c>
      <c r="J5496">
        <v>37.238500000000002</v>
      </c>
      <c r="K5496">
        <v>17.130800000000001</v>
      </c>
      <c r="L5496">
        <v>122</v>
      </c>
      <c r="M5496">
        <v>1</v>
      </c>
      <c r="N5496">
        <v>5</v>
      </c>
      <c r="O5496">
        <v>36.005299999999998</v>
      </c>
      <c r="P5496">
        <v>16.736599999999999</v>
      </c>
      <c r="Q5496">
        <v>7.7922200000000004</v>
      </c>
    </row>
    <row r="5497" spans="1:17" x14ac:dyDescent="0.25">
      <c r="A5497" t="str">
        <f>IF(C5497&amp;G5497&amp;D5497&lt;&gt;'Funnel setup'!$K$3&amp;'Funnel setup'!$K$4&amp;'Funnel setup'!$K$6,".",IF(A5496=".",1,A5496+1))</f>
        <v>.</v>
      </c>
      <c r="B5497" s="244" t="str">
        <f t="shared" si="85"/>
        <v>Total Knee ReplacementProviderWORCESTERSHIRE ACUTE HOSPITALS NHS TRUST (RWP)Oxford Knee Score</v>
      </c>
      <c r="C5497" t="s">
        <v>975</v>
      </c>
      <c r="D5497" t="s">
        <v>965</v>
      </c>
      <c r="E5497" t="s">
        <v>722</v>
      </c>
      <c r="F5497" t="s">
        <v>723</v>
      </c>
      <c r="G5497" t="s">
        <v>972</v>
      </c>
      <c r="H5497">
        <v>48</v>
      </c>
      <c r="I5497">
        <v>15.625</v>
      </c>
      <c r="J5497">
        <v>33.604199999999999</v>
      </c>
      <c r="K5497">
        <v>17.979199999999999</v>
      </c>
      <c r="L5497">
        <v>47</v>
      </c>
      <c r="M5497">
        <v>0</v>
      </c>
      <c r="N5497">
        <v>1</v>
      </c>
      <c r="O5497">
        <v>35.302799999999998</v>
      </c>
      <c r="P5497">
        <v>16.034199999999998</v>
      </c>
      <c r="Q5497">
        <v>8.2343200000000003</v>
      </c>
    </row>
    <row r="5498" spans="1:17" x14ac:dyDescent="0.25">
      <c r="A5498" t="str">
        <f>IF(C5498&amp;G5498&amp;D5498&lt;&gt;'Funnel setup'!$K$3&amp;'Funnel setup'!$K$4&amp;'Funnel setup'!$K$6,".",IF(A5497=".",1,A5497+1))</f>
        <v>.</v>
      </c>
      <c r="B5498" s="244" t="str">
        <f t="shared" si="85"/>
        <v>Total Knee ReplacementProviderWRIGHTINGTON, WIGAN AND LEIGH NHS FOUNDATION TRUST (RRF)Oxford Knee Score</v>
      </c>
      <c r="C5498" t="s">
        <v>975</v>
      </c>
      <c r="D5498" t="s">
        <v>965</v>
      </c>
      <c r="E5498" t="s">
        <v>724</v>
      </c>
      <c r="F5498" t="s">
        <v>725</v>
      </c>
      <c r="G5498" t="s">
        <v>972</v>
      </c>
      <c r="H5498">
        <v>13</v>
      </c>
      <c r="I5498">
        <v>17.769200000000001</v>
      </c>
      <c r="J5498">
        <v>38.769199999999998</v>
      </c>
      <c r="K5498">
        <v>21</v>
      </c>
      <c r="L5498">
        <v>12</v>
      </c>
      <c r="M5498">
        <v>0</v>
      </c>
      <c r="N5498">
        <v>1</v>
      </c>
      <c r="O5498" t="s">
        <v>127</v>
      </c>
      <c r="P5498" t="s">
        <v>127</v>
      </c>
      <c r="Q5498" t="s">
        <v>127</v>
      </c>
    </row>
    <row r="5499" spans="1:17" x14ac:dyDescent="0.25">
      <c r="A5499" t="str">
        <f>IF(C5499&amp;G5499&amp;D5499&lt;&gt;'Funnel setup'!$K$3&amp;'Funnel setup'!$K$4&amp;'Funnel setup'!$K$6,".",IF(A5498=".",1,A5498+1))</f>
        <v>.</v>
      </c>
      <c r="B5499" s="244" t="str">
        <f t="shared" si="85"/>
        <v>Total Knee ReplacementProviderWYE VALLEY NHS TRUST (RLQ)Oxford Knee Score</v>
      </c>
      <c r="C5499" t="s">
        <v>975</v>
      </c>
      <c r="D5499" t="s">
        <v>965</v>
      </c>
      <c r="E5499" t="s">
        <v>726</v>
      </c>
      <c r="F5499" t="s">
        <v>727</v>
      </c>
      <c r="G5499" t="s">
        <v>972</v>
      </c>
      <c r="H5499">
        <v>37</v>
      </c>
      <c r="I5499">
        <v>22.1892</v>
      </c>
      <c r="J5499">
        <v>36</v>
      </c>
      <c r="K5499">
        <v>13.8108</v>
      </c>
      <c r="L5499">
        <v>32</v>
      </c>
      <c r="M5499">
        <v>0</v>
      </c>
      <c r="N5499">
        <v>5</v>
      </c>
      <c r="O5499">
        <v>35.126199999999997</v>
      </c>
      <c r="P5499">
        <v>15.8576</v>
      </c>
      <c r="Q5499">
        <v>9.6227199999999993</v>
      </c>
    </row>
    <row r="5500" spans="1:17" x14ac:dyDescent="0.25">
      <c r="A5500" t="str">
        <f>IF(C5500&amp;G5500&amp;D5500&lt;&gt;'Funnel setup'!$K$3&amp;'Funnel setup'!$K$4&amp;'Funnel setup'!$K$6,".",IF(A5499=".",1,A5499+1))</f>
        <v>.</v>
      </c>
      <c r="B5500" s="244" t="str">
        <f t="shared" si="85"/>
        <v>Total Knee ReplacementProviderYEOVIL DISTRICT HOSPITAL NHS FOUNDATION TRUST (RA4)Oxford Knee Score</v>
      </c>
      <c r="C5500" t="s">
        <v>975</v>
      </c>
      <c r="D5500" t="s">
        <v>965</v>
      </c>
      <c r="E5500" t="s">
        <v>728</v>
      </c>
      <c r="F5500" t="s">
        <v>729</v>
      </c>
      <c r="G5500" t="s">
        <v>972</v>
      </c>
      <c r="H5500">
        <v>1</v>
      </c>
      <c r="I5500">
        <v>27</v>
      </c>
      <c r="J5500">
        <v>32</v>
      </c>
      <c r="K5500">
        <v>5</v>
      </c>
      <c r="L5500">
        <v>1</v>
      </c>
      <c r="M5500">
        <v>0</v>
      </c>
      <c r="N5500">
        <v>0</v>
      </c>
      <c r="O5500" t="s">
        <v>127</v>
      </c>
      <c r="P5500" t="s">
        <v>127</v>
      </c>
      <c r="Q5500" t="s">
        <v>127</v>
      </c>
    </row>
    <row r="5501" spans="1:17" x14ac:dyDescent="0.25">
      <c r="A5501" t="str">
        <f>IF(C5501&amp;G5501&amp;D5501&lt;&gt;'Funnel setup'!$K$3&amp;'Funnel setup'!$K$4&amp;'Funnel setup'!$K$6,".",IF(A5500=".",1,A5500+1))</f>
        <v>.</v>
      </c>
      <c r="B5501" s="244" t="str">
        <f t="shared" si="85"/>
        <v/>
      </c>
    </row>
    <row r="5502" spans="1:17" x14ac:dyDescent="0.25">
      <c r="A5502" t="str">
        <f>IF(C5502&amp;G5502&amp;D5502&lt;&gt;'Funnel setup'!$K$3&amp;'Funnel setup'!$K$4&amp;'Funnel setup'!$K$6,".",IF(A5501=".",1,A5501+1))</f>
        <v>.</v>
      </c>
      <c r="B5502" s="244" t="str">
        <f t="shared" si="85"/>
        <v/>
      </c>
    </row>
    <row r="5503" spans="1:17" x14ac:dyDescent="0.25">
      <c r="A5503" t="str">
        <f>IF(C5503&amp;G5503&amp;D5503&lt;&gt;'Funnel setup'!$K$3&amp;'Funnel setup'!$K$4&amp;'Funnel setup'!$K$6,".",IF(A5502=".",1,A5502+1))</f>
        <v>.</v>
      </c>
      <c r="B5503" s="244" t="str">
        <f t="shared" si="85"/>
        <v/>
      </c>
    </row>
    <row r="5504" spans="1:17" x14ac:dyDescent="0.25">
      <c r="A5504" t="str">
        <f>IF(C5504&amp;G5504&amp;D5504&lt;&gt;'Funnel setup'!$K$3&amp;'Funnel setup'!$K$4&amp;'Funnel setup'!$K$6,".",IF(A5503=".",1,A5503+1))</f>
        <v>.</v>
      </c>
      <c r="B5504" s="244" t="str">
        <f t="shared" si="85"/>
        <v/>
      </c>
    </row>
    <row r="5505" spans="1:2" x14ac:dyDescent="0.25">
      <c r="A5505" t="str">
        <f>IF(C5505&amp;G5505&amp;D5505&lt;&gt;'Funnel setup'!$K$3&amp;'Funnel setup'!$K$4&amp;'Funnel setup'!$K$6,".",IF(A5504=".",1,A5504+1))</f>
        <v>.</v>
      </c>
      <c r="B5505" s="244" t="str">
        <f t="shared" si="85"/>
        <v/>
      </c>
    </row>
    <row r="5506" spans="1:2" x14ac:dyDescent="0.25">
      <c r="A5506" t="str">
        <f>IF(C5506&amp;G5506&amp;D5506&lt;&gt;'Funnel setup'!$K$3&amp;'Funnel setup'!$K$4&amp;'Funnel setup'!$K$6,".",IF(A5505=".",1,A5505+1))</f>
        <v>.</v>
      </c>
      <c r="B5506" s="244" t="str">
        <f t="shared" ref="B5506:B5569" si="86">C5506&amp;D5506&amp;F5506&amp;G5506</f>
        <v/>
      </c>
    </row>
    <row r="5507" spans="1:2" x14ac:dyDescent="0.25">
      <c r="A5507" t="str">
        <f>IF(C5507&amp;G5507&amp;D5507&lt;&gt;'Funnel setup'!$K$3&amp;'Funnel setup'!$K$4&amp;'Funnel setup'!$K$6,".",IF(A5506=".",1,A5506+1))</f>
        <v>.</v>
      </c>
      <c r="B5507" s="244" t="str">
        <f t="shared" si="86"/>
        <v/>
      </c>
    </row>
    <row r="5508" spans="1:2" x14ac:dyDescent="0.25">
      <c r="A5508" t="str">
        <f>IF(C5508&amp;G5508&amp;D5508&lt;&gt;'Funnel setup'!$K$3&amp;'Funnel setup'!$K$4&amp;'Funnel setup'!$K$6,".",IF(A5507=".",1,A5507+1))</f>
        <v>.</v>
      </c>
      <c r="B5508" s="244" t="str">
        <f t="shared" si="86"/>
        <v/>
      </c>
    </row>
    <row r="5509" spans="1:2" x14ac:dyDescent="0.25">
      <c r="A5509" t="str">
        <f>IF(C5509&amp;G5509&amp;D5509&lt;&gt;'Funnel setup'!$K$3&amp;'Funnel setup'!$K$4&amp;'Funnel setup'!$K$6,".",IF(A5508=".",1,A5508+1))</f>
        <v>.</v>
      </c>
      <c r="B5509" s="244" t="str">
        <f t="shared" si="86"/>
        <v/>
      </c>
    </row>
    <row r="5510" spans="1:2" x14ac:dyDescent="0.25">
      <c r="A5510" t="str">
        <f>IF(C5510&amp;G5510&amp;D5510&lt;&gt;'Funnel setup'!$K$3&amp;'Funnel setup'!$K$4&amp;'Funnel setup'!$K$6,".",IF(A5509=".",1,A5509+1))</f>
        <v>.</v>
      </c>
      <c r="B5510" s="244" t="str">
        <f t="shared" si="86"/>
        <v/>
      </c>
    </row>
    <row r="5511" spans="1:2" x14ac:dyDescent="0.25">
      <c r="A5511" t="str">
        <f>IF(C5511&amp;G5511&amp;D5511&lt;&gt;'Funnel setup'!$K$3&amp;'Funnel setup'!$K$4&amp;'Funnel setup'!$K$6,".",IF(A5510=".",1,A5510+1))</f>
        <v>.</v>
      </c>
      <c r="B5511" s="244" t="str">
        <f t="shared" si="86"/>
        <v/>
      </c>
    </row>
    <row r="5512" spans="1:2" x14ac:dyDescent="0.25">
      <c r="A5512" t="str">
        <f>IF(C5512&amp;G5512&amp;D5512&lt;&gt;'Funnel setup'!$K$3&amp;'Funnel setup'!$K$4&amp;'Funnel setup'!$K$6,".",IF(A5511=".",1,A5511+1))</f>
        <v>.</v>
      </c>
      <c r="B5512" s="244" t="str">
        <f t="shared" si="86"/>
        <v/>
      </c>
    </row>
    <row r="5513" spans="1:2" x14ac:dyDescent="0.25">
      <c r="A5513" t="str">
        <f>IF(C5513&amp;G5513&amp;D5513&lt;&gt;'Funnel setup'!$K$3&amp;'Funnel setup'!$K$4&amp;'Funnel setup'!$K$6,".",IF(A5512=".",1,A5512+1))</f>
        <v>.</v>
      </c>
      <c r="B5513" s="244" t="str">
        <f t="shared" si="86"/>
        <v/>
      </c>
    </row>
    <row r="5514" spans="1:2" x14ac:dyDescent="0.25">
      <c r="A5514" t="str">
        <f>IF(C5514&amp;G5514&amp;D5514&lt;&gt;'Funnel setup'!$K$3&amp;'Funnel setup'!$K$4&amp;'Funnel setup'!$K$6,".",IF(A5513=".",1,A5513+1))</f>
        <v>.</v>
      </c>
      <c r="B5514" s="244" t="str">
        <f t="shared" si="86"/>
        <v/>
      </c>
    </row>
    <row r="5515" spans="1:2" x14ac:dyDescent="0.25">
      <c r="A5515" t="str">
        <f>IF(C5515&amp;G5515&amp;D5515&lt;&gt;'Funnel setup'!$K$3&amp;'Funnel setup'!$K$4&amp;'Funnel setup'!$K$6,".",IF(A5514=".",1,A5514+1))</f>
        <v>.</v>
      </c>
      <c r="B5515" s="244" t="str">
        <f t="shared" si="86"/>
        <v/>
      </c>
    </row>
    <row r="5516" spans="1:2" x14ac:dyDescent="0.25">
      <c r="A5516" t="str">
        <f>IF(C5516&amp;G5516&amp;D5516&lt;&gt;'Funnel setup'!$K$3&amp;'Funnel setup'!$K$4&amp;'Funnel setup'!$K$6,".",IF(A5515=".",1,A5515+1))</f>
        <v>.</v>
      </c>
      <c r="B5516" s="244" t="str">
        <f t="shared" si="86"/>
        <v/>
      </c>
    </row>
    <row r="5517" spans="1:2" x14ac:dyDescent="0.25">
      <c r="A5517" t="str">
        <f>IF(C5517&amp;G5517&amp;D5517&lt;&gt;'Funnel setup'!$K$3&amp;'Funnel setup'!$K$4&amp;'Funnel setup'!$K$6,".",IF(A5516=".",1,A5516+1))</f>
        <v>.</v>
      </c>
      <c r="B5517" s="244" t="str">
        <f t="shared" si="86"/>
        <v/>
      </c>
    </row>
    <row r="5518" spans="1:2" x14ac:dyDescent="0.25">
      <c r="A5518" t="str">
        <f>IF(C5518&amp;G5518&amp;D5518&lt;&gt;'Funnel setup'!$K$3&amp;'Funnel setup'!$K$4&amp;'Funnel setup'!$K$6,".",IF(A5517=".",1,A5517+1))</f>
        <v>.</v>
      </c>
      <c r="B5518" s="244" t="str">
        <f t="shared" si="86"/>
        <v/>
      </c>
    </row>
    <row r="5519" spans="1:2" x14ac:dyDescent="0.25">
      <c r="A5519" t="str">
        <f>IF(C5519&amp;G5519&amp;D5519&lt;&gt;'Funnel setup'!$K$3&amp;'Funnel setup'!$K$4&amp;'Funnel setup'!$K$6,".",IF(A5518=".",1,A5518+1))</f>
        <v>.</v>
      </c>
      <c r="B5519" s="244" t="str">
        <f t="shared" si="86"/>
        <v/>
      </c>
    </row>
    <row r="5520" spans="1:2" x14ac:dyDescent="0.25">
      <c r="A5520" t="str">
        <f>IF(C5520&amp;G5520&amp;D5520&lt;&gt;'Funnel setup'!$K$3&amp;'Funnel setup'!$K$4&amp;'Funnel setup'!$K$6,".",IF(A5519=".",1,A5519+1))</f>
        <v>.</v>
      </c>
      <c r="B5520" s="244" t="str">
        <f t="shared" si="86"/>
        <v/>
      </c>
    </row>
    <row r="5521" spans="1:2" x14ac:dyDescent="0.25">
      <c r="A5521" t="str">
        <f>IF(C5521&amp;G5521&amp;D5521&lt;&gt;'Funnel setup'!$K$3&amp;'Funnel setup'!$K$4&amp;'Funnel setup'!$K$6,".",IF(A5520=".",1,A5520+1))</f>
        <v>.</v>
      </c>
      <c r="B5521" s="244" t="str">
        <f t="shared" si="86"/>
        <v/>
      </c>
    </row>
    <row r="5522" spans="1:2" x14ac:dyDescent="0.25">
      <c r="A5522" t="str">
        <f>IF(C5522&amp;G5522&amp;D5522&lt;&gt;'Funnel setup'!$K$3&amp;'Funnel setup'!$K$4&amp;'Funnel setup'!$K$6,".",IF(A5521=".",1,A5521+1))</f>
        <v>.</v>
      </c>
      <c r="B5522" s="244" t="str">
        <f t="shared" si="86"/>
        <v/>
      </c>
    </row>
    <row r="5523" spans="1:2" x14ac:dyDescent="0.25">
      <c r="A5523" t="str">
        <f>IF(C5523&amp;G5523&amp;D5523&lt;&gt;'Funnel setup'!$K$3&amp;'Funnel setup'!$K$4&amp;'Funnel setup'!$K$6,".",IF(A5522=".",1,A5522+1))</f>
        <v>.</v>
      </c>
      <c r="B5523" s="244" t="str">
        <f t="shared" si="86"/>
        <v/>
      </c>
    </row>
    <row r="5524" spans="1:2" x14ac:dyDescent="0.25">
      <c r="A5524" t="str">
        <f>IF(C5524&amp;G5524&amp;D5524&lt;&gt;'Funnel setup'!$K$3&amp;'Funnel setup'!$K$4&amp;'Funnel setup'!$K$6,".",IF(A5523=".",1,A5523+1))</f>
        <v>.</v>
      </c>
      <c r="B5524" s="244" t="str">
        <f t="shared" si="86"/>
        <v/>
      </c>
    </row>
    <row r="5525" spans="1:2" x14ac:dyDescent="0.25">
      <c r="A5525" t="str">
        <f>IF(C5525&amp;G5525&amp;D5525&lt;&gt;'Funnel setup'!$K$3&amp;'Funnel setup'!$K$4&amp;'Funnel setup'!$K$6,".",IF(A5524=".",1,A5524+1))</f>
        <v>.</v>
      </c>
      <c r="B5525" s="244" t="str">
        <f t="shared" si="86"/>
        <v/>
      </c>
    </row>
    <row r="5526" spans="1:2" x14ac:dyDescent="0.25">
      <c r="A5526" t="str">
        <f>IF(C5526&amp;G5526&amp;D5526&lt;&gt;'Funnel setup'!$K$3&amp;'Funnel setup'!$K$4&amp;'Funnel setup'!$K$6,".",IF(A5525=".",1,A5525+1))</f>
        <v>.</v>
      </c>
      <c r="B5526" s="244" t="str">
        <f t="shared" si="86"/>
        <v/>
      </c>
    </row>
    <row r="5527" spans="1:2" x14ac:dyDescent="0.25">
      <c r="A5527" t="str">
        <f>IF(C5527&amp;G5527&amp;D5527&lt;&gt;'Funnel setup'!$K$3&amp;'Funnel setup'!$K$4&amp;'Funnel setup'!$K$6,".",IF(A5526=".",1,A5526+1))</f>
        <v>.</v>
      </c>
      <c r="B5527" s="244" t="str">
        <f t="shared" si="86"/>
        <v/>
      </c>
    </row>
    <row r="5528" spans="1:2" x14ac:dyDescent="0.25">
      <c r="A5528" t="str">
        <f>IF(C5528&amp;G5528&amp;D5528&lt;&gt;'Funnel setup'!$K$3&amp;'Funnel setup'!$K$4&amp;'Funnel setup'!$K$6,".",IF(A5527=".",1,A5527+1))</f>
        <v>.</v>
      </c>
      <c r="B5528" s="244" t="str">
        <f t="shared" si="86"/>
        <v/>
      </c>
    </row>
    <row r="5529" spans="1:2" x14ac:dyDescent="0.25">
      <c r="A5529" t="str">
        <f>IF(C5529&amp;G5529&amp;D5529&lt;&gt;'Funnel setup'!$K$3&amp;'Funnel setup'!$K$4&amp;'Funnel setup'!$K$6,".",IF(A5528=".",1,A5528+1))</f>
        <v>.</v>
      </c>
      <c r="B5529" s="244" t="str">
        <f t="shared" si="86"/>
        <v/>
      </c>
    </row>
    <row r="5530" spans="1:2" x14ac:dyDescent="0.25">
      <c r="A5530" t="str">
        <f>IF(C5530&amp;G5530&amp;D5530&lt;&gt;'Funnel setup'!$K$3&amp;'Funnel setup'!$K$4&amp;'Funnel setup'!$K$6,".",IF(A5529=".",1,A5529+1))</f>
        <v>.</v>
      </c>
      <c r="B5530" s="244" t="str">
        <f t="shared" si="86"/>
        <v/>
      </c>
    </row>
    <row r="5531" spans="1:2" x14ac:dyDescent="0.25">
      <c r="A5531" t="str">
        <f>IF(C5531&amp;G5531&amp;D5531&lt;&gt;'Funnel setup'!$K$3&amp;'Funnel setup'!$K$4&amp;'Funnel setup'!$K$6,".",IF(A5530=".",1,A5530+1))</f>
        <v>.</v>
      </c>
      <c r="B5531" s="244" t="str">
        <f t="shared" si="86"/>
        <v/>
      </c>
    </row>
    <row r="5532" spans="1:2" x14ac:dyDescent="0.25">
      <c r="A5532" t="str">
        <f>IF(C5532&amp;G5532&amp;D5532&lt;&gt;'Funnel setup'!$K$3&amp;'Funnel setup'!$K$4&amp;'Funnel setup'!$K$6,".",IF(A5531=".",1,A5531+1))</f>
        <v>.</v>
      </c>
      <c r="B5532" s="244" t="str">
        <f t="shared" si="86"/>
        <v/>
      </c>
    </row>
    <row r="5533" spans="1:2" x14ac:dyDescent="0.25">
      <c r="A5533" t="str">
        <f>IF(C5533&amp;G5533&amp;D5533&lt;&gt;'Funnel setup'!$K$3&amp;'Funnel setup'!$K$4&amp;'Funnel setup'!$K$6,".",IF(A5532=".",1,A5532+1))</f>
        <v>.</v>
      </c>
      <c r="B5533" s="244" t="str">
        <f t="shared" si="86"/>
        <v/>
      </c>
    </row>
    <row r="5534" spans="1:2" x14ac:dyDescent="0.25">
      <c r="A5534" t="str">
        <f>IF(C5534&amp;G5534&amp;D5534&lt;&gt;'Funnel setup'!$K$3&amp;'Funnel setup'!$K$4&amp;'Funnel setup'!$K$6,".",IF(A5533=".",1,A5533+1))</f>
        <v>.</v>
      </c>
      <c r="B5534" s="244" t="str">
        <f t="shared" si="86"/>
        <v/>
      </c>
    </row>
    <row r="5535" spans="1:2" x14ac:dyDescent="0.25">
      <c r="A5535" t="str">
        <f>IF(C5535&amp;G5535&amp;D5535&lt;&gt;'Funnel setup'!$K$3&amp;'Funnel setup'!$K$4&amp;'Funnel setup'!$K$6,".",IF(A5534=".",1,A5534+1))</f>
        <v>.</v>
      </c>
      <c r="B5535" s="244" t="str">
        <f t="shared" si="86"/>
        <v/>
      </c>
    </row>
    <row r="5536" spans="1:2" x14ac:dyDescent="0.25">
      <c r="A5536" t="str">
        <f>IF(C5536&amp;G5536&amp;D5536&lt;&gt;'Funnel setup'!$K$3&amp;'Funnel setup'!$K$4&amp;'Funnel setup'!$K$6,".",IF(A5535=".",1,A5535+1))</f>
        <v>.</v>
      </c>
      <c r="B5536" s="244" t="str">
        <f t="shared" si="86"/>
        <v/>
      </c>
    </row>
    <row r="5537" spans="1:2" x14ac:dyDescent="0.25">
      <c r="A5537" t="str">
        <f>IF(C5537&amp;G5537&amp;D5537&lt;&gt;'Funnel setup'!$K$3&amp;'Funnel setup'!$K$4&amp;'Funnel setup'!$K$6,".",IF(A5536=".",1,A5536+1))</f>
        <v>.</v>
      </c>
      <c r="B5537" s="244" t="str">
        <f t="shared" si="86"/>
        <v/>
      </c>
    </row>
    <row r="5538" spans="1:2" x14ac:dyDescent="0.25">
      <c r="A5538" t="str">
        <f>IF(C5538&amp;G5538&amp;D5538&lt;&gt;'Funnel setup'!$K$3&amp;'Funnel setup'!$K$4&amp;'Funnel setup'!$K$6,".",IF(A5537=".",1,A5537+1))</f>
        <v>.</v>
      </c>
      <c r="B5538" s="244" t="str">
        <f t="shared" si="86"/>
        <v/>
      </c>
    </row>
    <row r="5539" spans="1:2" x14ac:dyDescent="0.25">
      <c r="A5539" t="str">
        <f>IF(C5539&amp;G5539&amp;D5539&lt;&gt;'Funnel setup'!$K$3&amp;'Funnel setup'!$K$4&amp;'Funnel setup'!$K$6,".",IF(A5538=".",1,A5538+1))</f>
        <v>.</v>
      </c>
      <c r="B5539" s="244" t="str">
        <f t="shared" si="86"/>
        <v/>
      </c>
    </row>
    <row r="5540" spans="1:2" x14ac:dyDescent="0.25">
      <c r="A5540" t="str">
        <f>IF(C5540&amp;G5540&amp;D5540&lt;&gt;'Funnel setup'!$K$3&amp;'Funnel setup'!$K$4&amp;'Funnel setup'!$K$6,".",IF(A5539=".",1,A5539+1))</f>
        <v>.</v>
      </c>
      <c r="B5540" s="244" t="str">
        <f t="shared" si="86"/>
        <v/>
      </c>
    </row>
    <row r="5541" spans="1:2" x14ac:dyDescent="0.25">
      <c r="A5541" t="str">
        <f>IF(C5541&amp;G5541&amp;D5541&lt;&gt;'Funnel setup'!$K$3&amp;'Funnel setup'!$K$4&amp;'Funnel setup'!$K$6,".",IF(A5540=".",1,A5540+1))</f>
        <v>.</v>
      </c>
      <c r="B5541" s="244" t="str">
        <f t="shared" si="86"/>
        <v/>
      </c>
    </row>
    <row r="5542" spans="1:2" x14ac:dyDescent="0.25">
      <c r="A5542" t="str">
        <f>IF(C5542&amp;G5542&amp;D5542&lt;&gt;'Funnel setup'!$K$3&amp;'Funnel setup'!$K$4&amp;'Funnel setup'!$K$6,".",IF(A5541=".",1,A5541+1))</f>
        <v>.</v>
      </c>
      <c r="B5542" s="244" t="str">
        <f t="shared" si="86"/>
        <v/>
      </c>
    </row>
    <row r="5543" spans="1:2" x14ac:dyDescent="0.25">
      <c r="A5543" t="str">
        <f>IF(C5543&amp;G5543&amp;D5543&lt;&gt;'Funnel setup'!$K$3&amp;'Funnel setup'!$K$4&amp;'Funnel setup'!$K$6,".",IF(A5542=".",1,A5542+1))</f>
        <v>.</v>
      </c>
      <c r="B5543" s="244" t="str">
        <f t="shared" si="86"/>
        <v/>
      </c>
    </row>
    <row r="5544" spans="1:2" x14ac:dyDescent="0.25">
      <c r="A5544" t="str">
        <f>IF(C5544&amp;G5544&amp;D5544&lt;&gt;'Funnel setup'!$K$3&amp;'Funnel setup'!$K$4&amp;'Funnel setup'!$K$6,".",IF(A5543=".",1,A5543+1))</f>
        <v>.</v>
      </c>
      <c r="B5544" s="244" t="str">
        <f t="shared" si="86"/>
        <v/>
      </c>
    </row>
    <row r="5545" spans="1:2" x14ac:dyDescent="0.25">
      <c r="A5545" t="str">
        <f>IF(C5545&amp;G5545&amp;D5545&lt;&gt;'Funnel setup'!$K$3&amp;'Funnel setup'!$K$4&amp;'Funnel setup'!$K$6,".",IF(A5544=".",1,A5544+1))</f>
        <v>.</v>
      </c>
      <c r="B5545" s="244" t="str">
        <f t="shared" si="86"/>
        <v/>
      </c>
    </row>
    <row r="5546" spans="1:2" x14ac:dyDescent="0.25">
      <c r="A5546" t="str">
        <f>IF(C5546&amp;G5546&amp;D5546&lt;&gt;'Funnel setup'!$K$3&amp;'Funnel setup'!$K$4&amp;'Funnel setup'!$K$6,".",IF(A5545=".",1,A5545+1))</f>
        <v>.</v>
      </c>
      <c r="B5546" s="244" t="str">
        <f t="shared" si="86"/>
        <v/>
      </c>
    </row>
    <row r="5547" spans="1:2" x14ac:dyDescent="0.25">
      <c r="A5547" t="str">
        <f>IF(C5547&amp;G5547&amp;D5547&lt;&gt;'Funnel setup'!$K$3&amp;'Funnel setup'!$K$4&amp;'Funnel setup'!$K$6,".",IF(A5546=".",1,A5546+1))</f>
        <v>.</v>
      </c>
      <c r="B5547" s="244" t="str">
        <f t="shared" si="86"/>
        <v/>
      </c>
    </row>
    <row r="5548" spans="1:2" x14ac:dyDescent="0.25">
      <c r="A5548" t="str">
        <f>IF(C5548&amp;G5548&amp;D5548&lt;&gt;'Funnel setup'!$K$3&amp;'Funnel setup'!$K$4&amp;'Funnel setup'!$K$6,".",IF(A5547=".",1,A5547+1))</f>
        <v>.</v>
      </c>
      <c r="B5548" s="244" t="str">
        <f t="shared" si="86"/>
        <v/>
      </c>
    </row>
    <row r="5549" spans="1:2" x14ac:dyDescent="0.25">
      <c r="A5549" t="str">
        <f>IF(C5549&amp;G5549&amp;D5549&lt;&gt;'Funnel setup'!$K$3&amp;'Funnel setup'!$K$4&amp;'Funnel setup'!$K$6,".",IF(A5548=".",1,A5548+1))</f>
        <v>.</v>
      </c>
      <c r="B5549" s="244" t="str">
        <f t="shared" si="86"/>
        <v/>
      </c>
    </row>
    <row r="5550" spans="1:2" x14ac:dyDescent="0.25">
      <c r="A5550" t="str">
        <f>IF(C5550&amp;G5550&amp;D5550&lt;&gt;'Funnel setup'!$K$3&amp;'Funnel setup'!$K$4&amp;'Funnel setup'!$K$6,".",IF(A5549=".",1,A5549+1))</f>
        <v>.</v>
      </c>
      <c r="B5550" s="244" t="str">
        <f t="shared" si="86"/>
        <v/>
      </c>
    </row>
    <row r="5551" spans="1:2" x14ac:dyDescent="0.25">
      <c r="A5551" t="str">
        <f>IF(C5551&amp;G5551&amp;D5551&lt;&gt;'Funnel setup'!$K$3&amp;'Funnel setup'!$K$4&amp;'Funnel setup'!$K$6,".",IF(A5550=".",1,A5550+1))</f>
        <v>.</v>
      </c>
      <c r="B5551" s="244" t="str">
        <f t="shared" si="86"/>
        <v/>
      </c>
    </row>
    <row r="5552" spans="1:2" x14ac:dyDescent="0.25">
      <c r="A5552" t="str">
        <f>IF(C5552&amp;G5552&amp;D5552&lt;&gt;'Funnel setup'!$K$3&amp;'Funnel setup'!$K$4&amp;'Funnel setup'!$K$6,".",IF(A5551=".",1,A5551+1))</f>
        <v>.</v>
      </c>
      <c r="B5552" s="244" t="str">
        <f t="shared" si="86"/>
        <v/>
      </c>
    </row>
    <row r="5553" spans="1:2" x14ac:dyDescent="0.25">
      <c r="A5553" t="str">
        <f>IF(C5553&amp;G5553&amp;D5553&lt;&gt;'Funnel setup'!$K$3&amp;'Funnel setup'!$K$4&amp;'Funnel setup'!$K$6,".",IF(A5552=".",1,A5552+1))</f>
        <v>.</v>
      </c>
      <c r="B5553" s="244" t="str">
        <f t="shared" si="86"/>
        <v/>
      </c>
    </row>
    <row r="5554" spans="1:2" x14ac:dyDescent="0.25">
      <c r="A5554" t="str">
        <f>IF(C5554&amp;G5554&amp;D5554&lt;&gt;'Funnel setup'!$K$3&amp;'Funnel setup'!$K$4&amp;'Funnel setup'!$K$6,".",IF(A5553=".",1,A5553+1))</f>
        <v>.</v>
      </c>
      <c r="B5554" s="244" t="str">
        <f t="shared" si="86"/>
        <v/>
      </c>
    </row>
    <row r="5555" spans="1:2" x14ac:dyDescent="0.25">
      <c r="A5555" t="str">
        <f>IF(C5555&amp;G5555&amp;D5555&lt;&gt;'Funnel setup'!$K$3&amp;'Funnel setup'!$K$4&amp;'Funnel setup'!$K$6,".",IF(A5554=".",1,A5554+1))</f>
        <v>.</v>
      </c>
      <c r="B5555" s="244" t="str">
        <f t="shared" si="86"/>
        <v/>
      </c>
    </row>
    <row r="5556" spans="1:2" x14ac:dyDescent="0.25">
      <c r="A5556" t="str">
        <f>IF(C5556&amp;G5556&amp;D5556&lt;&gt;'Funnel setup'!$K$3&amp;'Funnel setup'!$K$4&amp;'Funnel setup'!$K$6,".",IF(A5555=".",1,A5555+1))</f>
        <v>.</v>
      </c>
      <c r="B5556" s="244" t="str">
        <f t="shared" si="86"/>
        <v/>
      </c>
    </row>
    <row r="5557" spans="1:2" x14ac:dyDescent="0.25">
      <c r="A5557" t="str">
        <f>IF(C5557&amp;G5557&amp;D5557&lt;&gt;'Funnel setup'!$K$3&amp;'Funnel setup'!$K$4&amp;'Funnel setup'!$K$6,".",IF(A5556=".",1,A5556+1))</f>
        <v>.</v>
      </c>
      <c r="B5557" s="244" t="str">
        <f t="shared" si="86"/>
        <v/>
      </c>
    </row>
    <row r="5558" spans="1:2" x14ac:dyDescent="0.25">
      <c r="A5558" t="str">
        <f>IF(C5558&amp;G5558&amp;D5558&lt;&gt;'Funnel setup'!$K$3&amp;'Funnel setup'!$K$4&amp;'Funnel setup'!$K$6,".",IF(A5557=".",1,A5557+1))</f>
        <v>.</v>
      </c>
      <c r="B5558" s="244" t="str">
        <f t="shared" si="86"/>
        <v/>
      </c>
    </row>
    <row r="5559" spans="1:2" x14ac:dyDescent="0.25">
      <c r="A5559" t="str">
        <f>IF(C5559&amp;G5559&amp;D5559&lt;&gt;'Funnel setup'!$K$3&amp;'Funnel setup'!$K$4&amp;'Funnel setup'!$K$6,".",IF(A5558=".",1,A5558+1))</f>
        <v>.</v>
      </c>
      <c r="B5559" s="244" t="str">
        <f t="shared" si="86"/>
        <v/>
      </c>
    </row>
    <row r="5560" spans="1:2" x14ac:dyDescent="0.25">
      <c r="A5560" t="str">
        <f>IF(C5560&amp;G5560&amp;D5560&lt;&gt;'Funnel setup'!$K$3&amp;'Funnel setup'!$K$4&amp;'Funnel setup'!$K$6,".",IF(A5559=".",1,A5559+1))</f>
        <v>.</v>
      </c>
      <c r="B5560" s="244" t="str">
        <f t="shared" si="86"/>
        <v/>
      </c>
    </row>
    <row r="5561" spans="1:2" x14ac:dyDescent="0.25">
      <c r="A5561" t="str">
        <f>IF(C5561&amp;G5561&amp;D5561&lt;&gt;'Funnel setup'!$K$3&amp;'Funnel setup'!$K$4&amp;'Funnel setup'!$K$6,".",IF(A5560=".",1,A5560+1))</f>
        <v>.</v>
      </c>
      <c r="B5561" s="244" t="str">
        <f t="shared" si="86"/>
        <v/>
      </c>
    </row>
    <row r="5562" spans="1:2" x14ac:dyDescent="0.25">
      <c r="A5562" t="str">
        <f>IF(C5562&amp;G5562&amp;D5562&lt;&gt;'Funnel setup'!$K$3&amp;'Funnel setup'!$K$4&amp;'Funnel setup'!$K$6,".",IF(A5561=".",1,A5561+1))</f>
        <v>.</v>
      </c>
      <c r="B5562" s="244" t="str">
        <f t="shared" si="86"/>
        <v/>
      </c>
    </row>
    <row r="5563" spans="1:2" x14ac:dyDescent="0.25">
      <c r="A5563" t="str">
        <f>IF(C5563&amp;G5563&amp;D5563&lt;&gt;'Funnel setup'!$K$3&amp;'Funnel setup'!$K$4&amp;'Funnel setup'!$K$6,".",IF(A5562=".",1,A5562+1))</f>
        <v>.</v>
      </c>
      <c r="B5563" s="244" t="str">
        <f t="shared" si="86"/>
        <v/>
      </c>
    </row>
    <row r="5564" spans="1:2" x14ac:dyDescent="0.25">
      <c r="A5564" t="str">
        <f>IF(C5564&amp;G5564&amp;D5564&lt;&gt;'Funnel setup'!$K$3&amp;'Funnel setup'!$K$4&amp;'Funnel setup'!$K$6,".",IF(A5563=".",1,A5563+1))</f>
        <v>.</v>
      </c>
      <c r="B5564" s="244" t="str">
        <f t="shared" si="86"/>
        <v/>
      </c>
    </row>
    <row r="5565" spans="1:2" x14ac:dyDescent="0.25">
      <c r="A5565" t="str">
        <f>IF(C5565&amp;G5565&amp;D5565&lt;&gt;'Funnel setup'!$K$3&amp;'Funnel setup'!$K$4&amp;'Funnel setup'!$K$6,".",IF(A5564=".",1,A5564+1))</f>
        <v>.</v>
      </c>
      <c r="B5565" s="244" t="str">
        <f t="shared" si="86"/>
        <v/>
      </c>
    </row>
    <row r="5566" spans="1:2" x14ac:dyDescent="0.25">
      <c r="A5566" t="str">
        <f>IF(C5566&amp;G5566&amp;D5566&lt;&gt;'Funnel setup'!$K$3&amp;'Funnel setup'!$K$4&amp;'Funnel setup'!$K$6,".",IF(A5565=".",1,A5565+1))</f>
        <v>.</v>
      </c>
      <c r="B5566" s="244" t="str">
        <f t="shared" si="86"/>
        <v/>
      </c>
    </row>
    <row r="5567" spans="1:2" x14ac:dyDescent="0.25">
      <c r="A5567" t="str">
        <f>IF(C5567&amp;G5567&amp;D5567&lt;&gt;'Funnel setup'!$K$3&amp;'Funnel setup'!$K$4&amp;'Funnel setup'!$K$6,".",IF(A5566=".",1,A5566+1))</f>
        <v>.</v>
      </c>
      <c r="B5567" s="244" t="str">
        <f t="shared" si="86"/>
        <v/>
      </c>
    </row>
    <row r="5568" spans="1:2" x14ac:dyDescent="0.25">
      <c r="A5568" t="str">
        <f>IF(C5568&amp;G5568&amp;D5568&lt;&gt;'Funnel setup'!$K$3&amp;'Funnel setup'!$K$4&amp;'Funnel setup'!$K$6,".",IF(A5567=".",1,A5567+1))</f>
        <v>.</v>
      </c>
      <c r="B5568" s="244" t="str">
        <f t="shared" si="86"/>
        <v/>
      </c>
    </row>
    <row r="5569" spans="1:2" x14ac:dyDescent="0.25">
      <c r="A5569" t="str">
        <f>IF(C5569&amp;G5569&amp;D5569&lt;&gt;'Funnel setup'!$K$3&amp;'Funnel setup'!$K$4&amp;'Funnel setup'!$K$6,".",IF(A5568=".",1,A5568+1))</f>
        <v>.</v>
      </c>
      <c r="B5569" s="244" t="str">
        <f t="shared" si="86"/>
        <v/>
      </c>
    </row>
    <row r="5570" spans="1:2" x14ac:dyDescent="0.25">
      <c r="A5570" t="str">
        <f>IF(C5570&amp;G5570&amp;D5570&lt;&gt;'Funnel setup'!$K$3&amp;'Funnel setup'!$K$4&amp;'Funnel setup'!$K$6,".",IF(A5569=".",1,A5569+1))</f>
        <v>.</v>
      </c>
      <c r="B5570" s="244" t="str">
        <f t="shared" ref="B5570:B5633" si="87">C5570&amp;D5570&amp;F5570&amp;G5570</f>
        <v/>
      </c>
    </row>
    <row r="5571" spans="1:2" x14ac:dyDescent="0.25">
      <c r="A5571" t="str">
        <f>IF(C5571&amp;G5571&amp;D5571&lt;&gt;'Funnel setup'!$K$3&amp;'Funnel setup'!$K$4&amp;'Funnel setup'!$K$6,".",IF(A5570=".",1,A5570+1))</f>
        <v>.</v>
      </c>
      <c r="B5571" s="244" t="str">
        <f t="shared" si="87"/>
        <v/>
      </c>
    </row>
    <row r="5572" spans="1:2" x14ac:dyDescent="0.25">
      <c r="A5572" t="str">
        <f>IF(C5572&amp;G5572&amp;D5572&lt;&gt;'Funnel setup'!$K$3&amp;'Funnel setup'!$K$4&amp;'Funnel setup'!$K$6,".",IF(A5571=".",1,A5571+1))</f>
        <v>.</v>
      </c>
      <c r="B5572" s="244" t="str">
        <f t="shared" si="87"/>
        <v/>
      </c>
    </row>
    <row r="5573" spans="1:2" x14ac:dyDescent="0.25">
      <c r="A5573" t="str">
        <f>IF(C5573&amp;G5573&amp;D5573&lt;&gt;'Funnel setup'!$K$3&amp;'Funnel setup'!$K$4&amp;'Funnel setup'!$K$6,".",IF(A5572=".",1,A5572+1))</f>
        <v>.</v>
      </c>
      <c r="B5573" s="244" t="str">
        <f t="shared" si="87"/>
        <v/>
      </c>
    </row>
    <row r="5574" spans="1:2" x14ac:dyDescent="0.25">
      <c r="A5574" t="str">
        <f>IF(C5574&amp;G5574&amp;D5574&lt;&gt;'Funnel setup'!$K$3&amp;'Funnel setup'!$K$4&amp;'Funnel setup'!$K$6,".",IF(A5573=".",1,A5573+1))</f>
        <v>.</v>
      </c>
      <c r="B5574" s="244" t="str">
        <f t="shared" si="87"/>
        <v/>
      </c>
    </row>
    <row r="5575" spans="1:2" x14ac:dyDescent="0.25">
      <c r="A5575" t="str">
        <f>IF(C5575&amp;G5575&amp;D5575&lt;&gt;'Funnel setup'!$K$3&amp;'Funnel setup'!$K$4&amp;'Funnel setup'!$K$6,".",IF(A5574=".",1,A5574+1))</f>
        <v>.</v>
      </c>
      <c r="B5575" s="244" t="str">
        <f t="shared" si="87"/>
        <v/>
      </c>
    </row>
    <row r="5576" spans="1:2" x14ac:dyDescent="0.25">
      <c r="A5576" t="str">
        <f>IF(C5576&amp;G5576&amp;D5576&lt;&gt;'Funnel setup'!$K$3&amp;'Funnel setup'!$K$4&amp;'Funnel setup'!$K$6,".",IF(A5575=".",1,A5575+1))</f>
        <v>.</v>
      </c>
      <c r="B5576" s="244" t="str">
        <f t="shared" si="87"/>
        <v/>
      </c>
    </row>
    <row r="5577" spans="1:2" x14ac:dyDescent="0.25">
      <c r="A5577" t="str">
        <f>IF(C5577&amp;G5577&amp;D5577&lt;&gt;'Funnel setup'!$K$3&amp;'Funnel setup'!$K$4&amp;'Funnel setup'!$K$6,".",IF(A5576=".",1,A5576+1))</f>
        <v>.</v>
      </c>
      <c r="B5577" s="244" t="str">
        <f t="shared" si="87"/>
        <v/>
      </c>
    </row>
    <row r="5578" spans="1:2" x14ac:dyDescent="0.25">
      <c r="A5578" t="str">
        <f>IF(C5578&amp;G5578&amp;D5578&lt;&gt;'Funnel setup'!$K$3&amp;'Funnel setup'!$K$4&amp;'Funnel setup'!$K$6,".",IF(A5577=".",1,A5577+1))</f>
        <v>.</v>
      </c>
      <c r="B5578" s="244" t="str">
        <f t="shared" si="87"/>
        <v/>
      </c>
    </row>
    <row r="5579" spans="1:2" x14ac:dyDescent="0.25">
      <c r="A5579" t="str">
        <f>IF(C5579&amp;G5579&amp;D5579&lt;&gt;'Funnel setup'!$K$3&amp;'Funnel setup'!$K$4&amp;'Funnel setup'!$K$6,".",IF(A5578=".",1,A5578+1))</f>
        <v>.</v>
      </c>
      <c r="B5579" s="244" t="str">
        <f t="shared" si="87"/>
        <v/>
      </c>
    </row>
    <row r="5580" spans="1:2" x14ac:dyDescent="0.25">
      <c r="A5580" t="str">
        <f>IF(C5580&amp;G5580&amp;D5580&lt;&gt;'Funnel setup'!$K$3&amp;'Funnel setup'!$K$4&amp;'Funnel setup'!$K$6,".",IF(A5579=".",1,A5579+1))</f>
        <v>.</v>
      </c>
      <c r="B5580" s="244" t="str">
        <f t="shared" si="87"/>
        <v/>
      </c>
    </row>
    <row r="5581" spans="1:2" x14ac:dyDescent="0.25">
      <c r="A5581" t="str">
        <f>IF(C5581&amp;G5581&amp;D5581&lt;&gt;'Funnel setup'!$K$3&amp;'Funnel setup'!$K$4&amp;'Funnel setup'!$K$6,".",IF(A5580=".",1,A5580+1))</f>
        <v>.</v>
      </c>
      <c r="B5581" s="244" t="str">
        <f t="shared" si="87"/>
        <v/>
      </c>
    </row>
    <row r="5582" spans="1:2" x14ac:dyDescent="0.25">
      <c r="A5582" t="str">
        <f>IF(C5582&amp;G5582&amp;D5582&lt;&gt;'Funnel setup'!$K$3&amp;'Funnel setup'!$K$4&amp;'Funnel setup'!$K$6,".",IF(A5581=".",1,A5581+1))</f>
        <v>.</v>
      </c>
      <c r="B5582" s="244" t="str">
        <f t="shared" si="87"/>
        <v/>
      </c>
    </row>
    <row r="5583" spans="1:2" x14ac:dyDescent="0.25">
      <c r="A5583" t="str">
        <f>IF(C5583&amp;G5583&amp;D5583&lt;&gt;'Funnel setup'!$K$3&amp;'Funnel setup'!$K$4&amp;'Funnel setup'!$K$6,".",IF(A5582=".",1,A5582+1))</f>
        <v>.</v>
      </c>
      <c r="B5583" s="244" t="str">
        <f t="shared" si="87"/>
        <v/>
      </c>
    </row>
    <row r="5584" spans="1:2" x14ac:dyDescent="0.25">
      <c r="A5584" t="str">
        <f>IF(C5584&amp;G5584&amp;D5584&lt;&gt;'Funnel setup'!$K$3&amp;'Funnel setup'!$K$4&amp;'Funnel setup'!$K$6,".",IF(A5583=".",1,A5583+1))</f>
        <v>.</v>
      </c>
      <c r="B5584" s="244" t="str">
        <f t="shared" si="87"/>
        <v/>
      </c>
    </row>
    <row r="5585" spans="1:2" x14ac:dyDescent="0.25">
      <c r="A5585" t="str">
        <f>IF(C5585&amp;G5585&amp;D5585&lt;&gt;'Funnel setup'!$K$3&amp;'Funnel setup'!$K$4&amp;'Funnel setup'!$K$6,".",IF(A5584=".",1,A5584+1))</f>
        <v>.</v>
      </c>
      <c r="B5585" s="244" t="str">
        <f t="shared" si="87"/>
        <v/>
      </c>
    </row>
    <row r="5586" spans="1:2" x14ac:dyDescent="0.25">
      <c r="A5586" t="str">
        <f>IF(C5586&amp;G5586&amp;D5586&lt;&gt;'Funnel setup'!$K$3&amp;'Funnel setup'!$K$4&amp;'Funnel setup'!$K$6,".",IF(A5585=".",1,A5585+1))</f>
        <v>.</v>
      </c>
      <c r="B5586" s="244" t="str">
        <f t="shared" si="87"/>
        <v/>
      </c>
    </row>
    <row r="5587" spans="1:2" x14ac:dyDescent="0.25">
      <c r="A5587" t="str">
        <f>IF(C5587&amp;G5587&amp;D5587&lt;&gt;'Funnel setup'!$K$3&amp;'Funnel setup'!$K$4&amp;'Funnel setup'!$K$6,".",IF(A5586=".",1,A5586+1))</f>
        <v>.</v>
      </c>
      <c r="B5587" s="244" t="str">
        <f t="shared" si="87"/>
        <v/>
      </c>
    </row>
    <row r="5588" spans="1:2" x14ac:dyDescent="0.25">
      <c r="A5588" t="str">
        <f>IF(C5588&amp;G5588&amp;D5588&lt;&gt;'Funnel setup'!$K$3&amp;'Funnel setup'!$K$4&amp;'Funnel setup'!$K$6,".",IF(A5587=".",1,A5587+1))</f>
        <v>.</v>
      </c>
      <c r="B5588" s="244" t="str">
        <f t="shared" si="87"/>
        <v/>
      </c>
    </row>
    <row r="5589" spans="1:2" x14ac:dyDescent="0.25">
      <c r="A5589" t="str">
        <f>IF(C5589&amp;G5589&amp;D5589&lt;&gt;'Funnel setup'!$K$3&amp;'Funnel setup'!$K$4&amp;'Funnel setup'!$K$6,".",IF(A5588=".",1,A5588+1))</f>
        <v>.</v>
      </c>
      <c r="B5589" s="244" t="str">
        <f t="shared" si="87"/>
        <v/>
      </c>
    </row>
    <row r="5590" spans="1:2" x14ac:dyDescent="0.25">
      <c r="A5590" t="str">
        <f>IF(C5590&amp;G5590&amp;D5590&lt;&gt;'Funnel setup'!$K$3&amp;'Funnel setup'!$K$4&amp;'Funnel setup'!$K$6,".",IF(A5589=".",1,A5589+1))</f>
        <v>.</v>
      </c>
      <c r="B5590" s="244" t="str">
        <f t="shared" si="87"/>
        <v/>
      </c>
    </row>
    <row r="5591" spans="1:2" x14ac:dyDescent="0.25">
      <c r="A5591" t="str">
        <f>IF(C5591&amp;G5591&amp;D5591&lt;&gt;'Funnel setup'!$K$3&amp;'Funnel setup'!$K$4&amp;'Funnel setup'!$K$6,".",IF(A5590=".",1,A5590+1))</f>
        <v>.</v>
      </c>
      <c r="B5591" s="244" t="str">
        <f t="shared" si="87"/>
        <v/>
      </c>
    </row>
    <row r="5592" spans="1:2" x14ac:dyDescent="0.25">
      <c r="A5592" t="str">
        <f>IF(C5592&amp;G5592&amp;D5592&lt;&gt;'Funnel setup'!$K$3&amp;'Funnel setup'!$K$4&amp;'Funnel setup'!$K$6,".",IF(A5591=".",1,A5591+1))</f>
        <v>.</v>
      </c>
      <c r="B5592" s="244" t="str">
        <f t="shared" si="87"/>
        <v/>
      </c>
    </row>
    <row r="5593" spans="1:2" x14ac:dyDescent="0.25">
      <c r="A5593" t="str">
        <f>IF(C5593&amp;G5593&amp;D5593&lt;&gt;'Funnel setup'!$K$3&amp;'Funnel setup'!$K$4&amp;'Funnel setup'!$K$6,".",IF(A5592=".",1,A5592+1))</f>
        <v>.</v>
      </c>
      <c r="B5593" s="244" t="str">
        <f t="shared" si="87"/>
        <v/>
      </c>
    </row>
    <row r="5594" spans="1:2" x14ac:dyDescent="0.25">
      <c r="A5594" t="str">
        <f>IF(C5594&amp;G5594&amp;D5594&lt;&gt;'Funnel setup'!$K$3&amp;'Funnel setup'!$K$4&amp;'Funnel setup'!$K$6,".",IF(A5593=".",1,A5593+1))</f>
        <v>.</v>
      </c>
      <c r="B5594" s="244" t="str">
        <f t="shared" si="87"/>
        <v/>
      </c>
    </row>
    <row r="5595" spans="1:2" x14ac:dyDescent="0.25">
      <c r="A5595" t="str">
        <f>IF(C5595&amp;G5595&amp;D5595&lt;&gt;'Funnel setup'!$K$3&amp;'Funnel setup'!$K$4&amp;'Funnel setup'!$K$6,".",IF(A5594=".",1,A5594+1))</f>
        <v>.</v>
      </c>
      <c r="B5595" s="244" t="str">
        <f t="shared" si="87"/>
        <v/>
      </c>
    </row>
    <row r="5596" spans="1:2" x14ac:dyDescent="0.25">
      <c r="A5596" t="str">
        <f>IF(C5596&amp;G5596&amp;D5596&lt;&gt;'Funnel setup'!$K$3&amp;'Funnel setup'!$K$4&amp;'Funnel setup'!$K$6,".",IF(A5595=".",1,A5595+1))</f>
        <v>.</v>
      </c>
      <c r="B5596" s="244" t="str">
        <f t="shared" si="87"/>
        <v/>
      </c>
    </row>
    <row r="5597" spans="1:2" x14ac:dyDescent="0.25">
      <c r="A5597" t="str">
        <f>IF(C5597&amp;G5597&amp;D5597&lt;&gt;'Funnel setup'!$K$3&amp;'Funnel setup'!$K$4&amp;'Funnel setup'!$K$6,".",IF(A5596=".",1,A5596+1))</f>
        <v>.</v>
      </c>
      <c r="B5597" s="244" t="str">
        <f t="shared" si="87"/>
        <v/>
      </c>
    </row>
    <row r="5598" spans="1:2" x14ac:dyDescent="0.25">
      <c r="A5598" t="str">
        <f>IF(C5598&amp;G5598&amp;D5598&lt;&gt;'Funnel setup'!$K$3&amp;'Funnel setup'!$K$4&amp;'Funnel setup'!$K$6,".",IF(A5597=".",1,A5597+1))</f>
        <v>.</v>
      </c>
      <c r="B5598" s="244" t="str">
        <f t="shared" si="87"/>
        <v/>
      </c>
    </row>
    <row r="5599" spans="1:2" x14ac:dyDescent="0.25">
      <c r="A5599" t="str">
        <f>IF(C5599&amp;G5599&amp;D5599&lt;&gt;'Funnel setup'!$K$3&amp;'Funnel setup'!$K$4&amp;'Funnel setup'!$K$6,".",IF(A5598=".",1,A5598+1))</f>
        <v>.</v>
      </c>
      <c r="B5599" s="244" t="str">
        <f t="shared" si="87"/>
        <v/>
      </c>
    </row>
    <row r="5600" spans="1:2" x14ac:dyDescent="0.25">
      <c r="A5600" t="str">
        <f>IF(C5600&amp;G5600&amp;D5600&lt;&gt;'Funnel setup'!$K$3&amp;'Funnel setup'!$K$4&amp;'Funnel setup'!$K$6,".",IF(A5599=".",1,A5599+1))</f>
        <v>.</v>
      </c>
      <c r="B5600" s="244" t="str">
        <f t="shared" si="87"/>
        <v/>
      </c>
    </row>
    <row r="5601" spans="1:2" x14ac:dyDescent="0.25">
      <c r="A5601" t="str">
        <f>IF(C5601&amp;G5601&amp;D5601&lt;&gt;'Funnel setup'!$K$3&amp;'Funnel setup'!$K$4&amp;'Funnel setup'!$K$6,".",IF(A5600=".",1,A5600+1))</f>
        <v>.</v>
      </c>
      <c r="B5601" s="244" t="str">
        <f t="shared" si="87"/>
        <v/>
      </c>
    </row>
    <row r="5602" spans="1:2" x14ac:dyDescent="0.25">
      <c r="A5602" t="str">
        <f>IF(C5602&amp;G5602&amp;D5602&lt;&gt;'Funnel setup'!$K$3&amp;'Funnel setup'!$K$4&amp;'Funnel setup'!$K$6,".",IF(A5601=".",1,A5601+1))</f>
        <v>.</v>
      </c>
      <c r="B5602" s="244" t="str">
        <f t="shared" si="87"/>
        <v/>
      </c>
    </row>
    <row r="5603" spans="1:2" x14ac:dyDescent="0.25">
      <c r="A5603" t="str">
        <f>IF(C5603&amp;G5603&amp;D5603&lt;&gt;'Funnel setup'!$K$3&amp;'Funnel setup'!$K$4&amp;'Funnel setup'!$K$6,".",IF(A5602=".",1,A5602+1))</f>
        <v>.</v>
      </c>
      <c r="B5603" s="244" t="str">
        <f t="shared" si="87"/>
        <v/>
      </c>
    </row>
    <row r="5604" spans="1:2" x14ac:dyDescent="0.25">
      <c r="A5604" t="str">
        <f>IF(C5604&amp;G5604&amp;D5604&lt;&gt;'Funnel setup'!$K$3&amp;'Funnel setup'!$K$4&amp;'Funnel setup'!$K$6,".",IF(A5603=".",1,A5603+1))</f>
        <v>.</v>
      </c>
      <c r="B5604" s="244" t="str">
        <f t="shared" si="87"/>
        <v/>
      </c>
    </row>
    <row r="5605" spans="1:2" x14ac:dyDescent="0.25">
      <c r="A5605" t="str">
        <f>IF(C5605&amp;G5605&amp;D5605&lt;&gt;'Funnel setup'!$K$3&amp;'Funnel setup'!$K$4&amp;'Funnel setup'!$K$6,".",IF(A5604=".",1,A5604+1))</f>
        <v>.</v>
      </c>
      <c r="B5605" s="244" t="str">
        <f t="shared" si="87"/>
        <v/>
      </c>
    </row>
    <row r="5606" spans="1:2" x14ac:dyDescent="0.25">
      <c r="A5606" t="str">
        <f>IF(C5606&amp;G5606&amp;D5606&lt;&gt;'Funnel setup'!$K$3&amp;'Funnel setup'!$K$4&amp;'Funnel setup'!$K$6,".",IF(A5605=".",1,A5605+1))</f>
        <v>.</v>
      </c>
      <c r="B5606" s="244" t="str">
        <f t="shared" si="87"/>
        <v/>
      </c>
    </row>
    <row r="5607" spans="1:2" x14ac:dyDescent="0.25">
      <c r="A5607" t="str">
        <f>IF(C5607&amp;G5607&amp;D5607&lt;&gt;'Funnel setup'!$K$3&amp;'Funnel setup'!$K$4&amp;'Funnel setup'!$K$6,".",IF(A5606=".",1,A5606+1))</f>
        <v>.</v>
      </c>
      <c r="B5607" s="244" t="str">
        <f t="shared" si="87"/>
        <v/>
      </c>
    </row>
    <row r="5608" spans="1:2" x14ac:dyDescent="0.25">
      <c r="A5608" t="str">
        <f>IF(C5608&amp;G5608&amp;D5608&lt;&gt;'Funnel setup'!$K$3&amp;'Funnel setup'!$K$4&amp;'Funnel setup'!$K$6,".",IF(A5607=".",1,A5607+1))</f>
        <v>.</v>
      </c>
      <c r="B5608" s="244" t="str">
        <f t="shared" si="87"/>
        <v/>
      </c>
    </row>
    <row r="5609" spans="1:2" x14ac:dyDescent="0.25">
      <c r="A5609" t="str">
        <f>IF(C5609&amp;G5609&amp;D5609&lt;&gt;'Funnel setup'!$K$3&amp;'Funnel setup'!$K$4&amp;'Funnel setup'!$K$6,".",IF(A5608=".",1,A5608+1))</f>
        <v>.</v>
      </c>
      <c r="B5609" s="244" t="str">
        <f t="shared" si="87"/>
        <v/>
      </c>
    </row>
    <row r="5610" spans="1:2" x14ac:dyDescent="0.25">
      <c r="A5610" t="str">
        <f>IF(C5610&amp;G5610&amp;D5610&lt;&gt;'Funnel setup'!$K$3&amp;'Funnel setup'!$K$4&amp;'Funnel setup'!$K$6,".",IF(A5609=".",1,A5609+1))</f>
        <v>.</v>
      </c>
      <c r="B5610" s="244" t="str">
        <f t="shared" si="87"/>
        <v/>
      </c>
    </row>
    <row r="5611" spans="1:2" x14ac:dyDescent="0.25">
      <c r="A5611" t="str">
        <f>IF(C5611&amp;G5611&amp;D5611&lt;&gt;'Funnel setup'!$K$3&amp;'Funnel setup'!$K$4&amp;'Funnel setup'!$K$6,".",IF(A5610=".",1,A5610+1))</f>
        <v>.</v>
      </c>
      <c r="B5611" s="244" t="str">
        <f t="shared" si="87"/>
        <v/>
      </c>
    </row>
    <row r="5612" spans="1:2" x14ac:dyDescent="0.25">
      <c r="A5612" t="str">
        <f>IF(C5612&amp;G5612&amp;D5612&lt;&gt;'Funnel setup'!$K$3&amp;'Funnel setup'!$K$4&amp;'Funnel setup'!$K$6,".",IF(A5611=".",1,A5611+1))</f>
        <v>.</v>
      </c>
      <c r="B5612" s="244" t="str">
        <f t="shared" si="87"/>
        <v/>
      </c>
    </row>
    <row r="5613" spans="1:2" x14ac:dyDescent="0.25">
      <c r="A5613" t="str">
        <f>IF(C5613&amp;G5613&amp;D5613&lt;&gt;'Funnel setup'!$K$3&amp;'Funnel setup'!$K$4&amp;'Funnel setup'!$K$6,".",IF(A5612=".",1,A5612+1))</f>
        <v>.</v>
      </c>
      <c r="B5613" s="244" t="str">
        <f t="shared" si="87"/>
        <v/>
      </c>
    </row>
    <row r="5614" spans="1:2" x14ac:dyDescent="0.25">
      <c r="A5614" t="str">
        <f>IF(C5614&amp;G5614&amp;D5614&lt;&gt;'Funnel setup'!$K$3&amp;'Funnel setup'!$K$4&amp;'Funnel setup'!$K$6,".",IF(A5613=".",1,A5613+1))</f>
        <v>.</v>
      </c>
      <c r="B5614" s="244" t="str">
        <f t="shared" si="87"/>
        <v/>
      </c>
    </row>
    <row r="5615" spans="1:2" x14ac:dyDescent="0.25">
      <c r="A5615" t="str">
        <f>IF(C5615&amp;G5615&amp;D5615&lt;&gt;'Funnel setup'!$K$3&amp;'Funnel setup'!$K$4&amp;'Funnel setup'!$K$6,".",IF(A5614=".",1,A5614+1))</f>
        <v>.</v>
      </c>
      <c r="B5615" s="244" t="str">
        <f t="shared" si="87"/>
        <v/>
      </c>
    </row>
    <row r="5616" spans="1:2" x14ac:dyDescent="0.25">
      <c r="A5616" t="str">
        <f>IF(C5616&amp;G5616&amp;D5616&lt;&gt;'Funnel setup'!$K$3&amp;'Funnel setup'!$K$4&amp;'Funnel setup'!$K$6,".",IF(A5615=".",1,A5615+1))</f>
        <v>.</v>
      </c>
      <c r="B5616" s="244" t="str">
        <f t="shared" si="87"/>
        <v/>
      </c>
    </row>
    <row r="5617" spans="1:2" x14ac:dyDescent="0.25">
      <c r="A5617" t="str">
        <f>IF(C5617&amp;G5617&amp;D5617&lt;&gt;'Funnel setup'!$K$3&amp;'Funnel setup'!$K$4&amp;'Funnel setup'!$K$6,".",IF(A5616=".",1,A5616+1))</f>
        <v>.</v>
      </c>
      <c r="B5617" s="244" t="str">
        <f t="shared" si="87"/>
        <v/>
      </c>
    </row>
    <row r="5618" spans="1:2" x14ac:dyDescent="0.25">
      <c r="A5618" t="str">
        <f>IF(C5618&amp;G5618&amp;D5618&lt;&gt;'Funnel setup'!$K$3&amp;'Funnel setup'!$K$4&amp;'Funnel setup'!$K$6,".",IF(A5617=".",1,A5617+1))</f>
        <v>.</v>
      </c>
      <c r="B5618" s="244" t="str">
        <f t="shared" si="87"/>
        <v/>
      </c>
    </row>
    <row r="5619" spans="1:2" x14ac:dyDescent="0.25">
      <c r="A5619" t="str">
        <f>IF(C5619&amp;G5619&amp;D5619&lt;&gt;'Funnel setup'!$K$3&amp;'Funnel setup'!$K$4&amp;'Funnel setup'!$K$6,".",IF(A5618=".",1,A5618+1))</f>
        <v>.</v>
      </c>
      <c r="B5619" s="244" t="str">
        <f t="shared" si="87"/>
        <v/>
      </c>
    </row>
    <row r="5620" spans="1:2" x14ac:dyDescent="0.25">
      <c r="A5620" t="str">
        <f>IF(C5620&amp;G5620&amp;D5620&lt;&gt;'Funnel setup'!$K$3&amp;'Funnel setup'!$K$4&amp;'Funnel setup'!$K$6,".",IF(A5619=".",1,A5619+1))</f>
        <v>.</v>
      </c>
      <c r="B5620" s="244" t="str">
        <f t="shared" si="87"/>
        <v/>
      </c>
    </row>
    <row r="5621" spans="1:2" x14ac:dyDescent="0.25">
      <c r="A5621" t="str">
        <f>IF(C5621&amp;G5621&amp;D5621&lt;&gt;'Funnel setup'!$K$3&amp;'Funnel setup'!$K$4&amp;'Funnel setup'!$K$6,".",IF(A5620=".",1,A5620+1))</f>
        <v>.</v>
      </c>
      <c r="B5621" s="244" t="str">
        <f t="shared" si="87"/>
        <v/>
      </c>
    </row>
    <row r="5622" spans="1:2" x14ac:dyDescent="0.25">
      <c r="A5622" t="str">
        <f>IF(C5622&amp;G5622&amp;D5622&lt;&gt;'Funnel setup'!$K$3&amp;'Funnel setup'!$K$4&amp;'Funnel setup'!$K$6,".",IF(A5621=".",1,A5621+1))</f>
        <v>.</v>
      </c>
      <c r="B5622" s="244" t="str">
        <f t="shared" si="87"/>
        <v/>
      </c>
    </row>
    <row r="5623" spans="1:2" x14ac:dyDescent="0.25">
      <c r="A5623" t="str">
        <f>IF(C5623&amp;G5623&amp;D5623&lt;&gt;'Funnel setup'!$K$3&amp;'Funnel setup'!$K$4&amp;'Funnel setup'!$K$6,".",IF(A5622=".",1,A5622+1))</f>
        <v>.</v>
      </c>
      <c r="B5623" s="244" t="str">
        <f t="shared" si="87"/>
        <v/>
      </c>
    </row>
    <row r="5624" spans="1:2" x14ac:dyDescent="0.25">
      <c r="A5624" t="str">
        <f>IF(C5624&amp;G5624&amp;D5624&lt;&gt;'Funnel setup'!$K$3&amp;'Funnel setup'!$K$4&amp;'Funnel setup'!$K$6,".",IF(A5623=".",1,A5623+1))</f>
        <v>.</v>
      </c>
      <c r="B5624" s="244" t="str">
        <f t="shared" si="87"/>
        <v/>
      </c>
    </row>
    <row r="5625" spans="1:2" x14ac:dyDescent="0.25">
      <c r="A5625" t="str">
        <f>IF(C5625&amp;G5625&amp;D5625&lt;&gt;'Funnel setup'!$K$3&amp;'Funnel setup'!$K$4&amp;'Funnel setup'!$K$6,".",IF(A5624=".",1,A5624+1))</f>
        <v>.</v>
      </c>
      <c r="B5625" s="244" t="str">
        <f t="shared" si="87"/>
        <v/>
      </c>
    </row>
    <row r="5626" spans="1:2" x14ac:dyDescent="0.25">
      <c r="A5626" t="str">
        <f>IF(C5626&amp;G5626&amp;D5626&lt;&gt;'Funnel setup'!$K$3&amp;'Funnel setup'!$K$4&amp;'Funnel setup'!$K$6,".",IF(A5625=".",1,A5625+1))</f>
        <v>.</v>
      </c>
      <c r="B5626" s="244" t="str">
        <f t="shared" si="87"/>
        <v/>
      </c>
    </row>
    <row r="5627" spans="1:2" x14ac:dyDescent="0.25">
      <c r="A5627" t="str">
        <f>IF(C5627&amp;G5627&amp;D5627&lt;&gt;'Funnel setup'!$K$3&amp;'Funnel setup'!$K$4&amp;'Funnel setup'!$K$6,".",IF(A5626=".",1,A5626+1))</f>
        <v>.</v>
      </c>
      <c r="B5627" s="244" t="str">
        <f t="shared" si="87"/>
        <v/>
      </c>
    </row>
    <row r="5628" spans="1:2" x14ac:dyDescent="0.25">
      <c r="A5628" t="str">
        <f>IF(C5628&amp;G5628&amp;D5628&lt;&gt;'Funnel setup'!$K$3&amp;'Funnel setup'!$K$4&amp;'Funnel setup'!$K$6,".",IF(A5627=".",1,A5627+1))</f>
        <v>.</v>
      </c>
      <c r="B5628" s="244" t="str">
        <f t="shared" si="87"/>
        <v/>
      </c>
    </row>
    <row r="5629" spans="1:2" x14ac:dyDescent="0.25">
      <c r="A5629" t="str">
        <f>IF(C5629&amp;G5629&amp;D5629&lt;&gt;'Funnel setup'!$K$3&amp;'Funnel setup'!$K$4&amp;'Funnel setup'!$K$6,".",IF(A5628=".",1,A5628+1))</f>
        <v>.</v>
      </c>
      <c r="B5629" s="244" t="str">
        <f t="shared" si="87"/>
        <v/>
      </c>
    </row>
    <row r="5630" spans="1:2" x14ac:dyDescent="0.25">
      <c r="A5630" t="str">
        <f>IF(C5630&amp;G5630&amp;D5630&lt;&gt;'Funnel setup'!$K$3&amp;'Funnel setup'!$K$4&amp;'Funnel setup'!$K$6,".",IF(A5629=".",1,A5629+1))</f>
        <v>.</v>
      </c>
      <c r="B5630" s="244" t="str">
        <f t="shared" si="87"/>
        <v/>
      </c>
    </row>
    <row r="5631" spans="1:2" x14ac:dyDescent="0.25">
      <c r="A5631" t="str">
        <f>IF(C5631&amp;G5631&amp;D5631&lt;&gt;'Funnel setup'!$K$3&amp;'Funnel setup'!$K$4&amp;'Funnel setup'!$K$6,".",IF(A5630=".",1,A5630+1))</f>
        <v>.</v>
      </c>
      <c r="B5631" s="244" t="str">
        <f t="shared" si="87"/>
        <v/>
      </c>
    </row>
    <row r="5632" spans="1:2" x14ac:dyDescent="0.25">
      <c r="A5632" t="str">
        <f>IF(C5632&amp;G5632&amp;D5632&lt;&gt;'Funnel setup'!$K$3&amp;'Funnel setup'!$K$4&amp;'Funnel setup'!$K$6,".",IF(A5631=".",1,A5631+1))</f>
        <v>.</v>
      </c>
      <c r="B5632" s="244" t="str">
        <f t="shared" si="87"/>
        <v/>
      </c>
    </row>
    <row r="5633" spans="1:2" x14ac:dyDescent="0.25">
      <c r="A5633" t="str">
        <f>IF(C5633&amp;G5633&amp;D5633&lt;&gt;'Funnel setup'!$K$3&amp;'Funnel setup'!$K$4&amp;'Funnel setup'!$K$6,".",IF(A5632=".",1,A5632+1))</f>
        <v>.</v>
      </c>
      <c r="B5633" s="244" t="str">
        <f t="shared" si="87"/>
        <v/>
      </c>
    </row>
    <row r="5634" spans="1:2" x14ac:dyDescent="0.25">
      <c r="A5634" t="str">
        <f>IF(C5634&amp;G5634&amp;D5634&lt;&gt;'Funnel setup'!$K$3&amp;'Funnel setup'!$K$4&amp;'Funnel setup'!$K$6,".",IF(A5633=".",1,A5633+1))</f>
        <v>.</v>
      </c>
      <c r="B5634" s="244" t="str">
        <f t="shared" ref="B5634:B5697" si="88">C5634&amp;D5634&amp;F5634&amp;G5634</f>
        <v/>
      </c>
    </row>
    <row r="5635" spans="1:2" x14ac:dyDescent="0.25">
      <c r="A5635" t="str">
        <f>IF(C5635&amp;G5635&amp;D5635&lt;&gt;'Funnel setup'!$K$3&amp;'Funnel setup'!$K$4&amp;'Funnel setup'!$K$6,".",IF(A5634=".",1,A5634+1))</f>
        <v>.</v>
      </c>
      <c r="B5635" s="244" t="str">
        <f t="shared" si="88"/>
        <v/>
      </c>
    </row>
    <row r="5636" spans="1:2" x14ac:dyDescent="0.25">
      <c r="A5636" t="str">
        <f>IF(C5636&amp;G5636&amp;D5636&lt;&gt;'Funnel setup'!$K$3&amp;'Funnel setup'!$K$4&amp;'Funnel setup'!$K$6,".",IF(A5635=".",1,A5635+1))</f>
        <v>.</v>
      </c>
      <c r="B5636" s="244" t="str">
        <f t="shared" si="88"/>
        <v/>
      </c>
    </row>
    <row r="5637" spans="1:2" x14ac:dyDescent="0.25">
      <c r="A5637" t="str">
        <f>IF(C5637&amp;G5637&amp;D5637&lt;&gt;'Funnel setup'!$K$3&amp;'Funnel setup'!$K$4&amp;'Funnel setup'!$K$6,".",IF(A5636=".",1,A5636+1))</f>
        <v>.</v>
      </c>
      <c r="B5637" s="244" t="str">
        <f t="shared" si="88"/>
        <v/>
      </c>
    </row>
    <row r="5638" spans="1:2" x14ac:dyDescent="0.25">
      <c r="A5638" t="str">
        <f>IF(C5638&amp;G5638&amp;D5638&lt;&gt;'Funnel setup'!$K$3&amp;'Funnel setup'!$K$4&amp;'Funnel setup'!$K$6,".",IF(A5637=".",1,A5637+1))</f>
        <v>.</v>
      </c>
      <c r="B5638" s="244" t="str">
        <f t="shared" si="88"/>
        <v/>
      </c>
    </row>
    <row r="5639" spans="1:2" x14ac:dyDescent="0.25">
      <c r="A5639" t="str">
        <f>IF(C5639&amp;G5639&amp;D5639&lt;&gt;'Funnel setup'!$K$3&amp;'Funnel setup'!$K$4&amp;'Funnel setup'!$K$6,".",IF(A5638=".",1,A5638+1))</f>
        <v>.</v>
      </c>
      <c r="B5639" s="244" t="str">
        <f t="shared" si="88"/>
        <v/>
      </c>
    </row>
    <row r="5640" spans="1:2" x14ac:dyDescent="0.25">
      <c r="A5640" t="str">
        <f>IF(C5640&amp;G5640&amp;D5640&lt;&gt;'Funnel setup'!$K$3&amp;'Funnel setup'!$K$4&amp;'Funnel setup'!$K$6,".",IF(A5639=".",1,A5639+1))</f>
        <v>.</v>
      </c>
      <c r="B5640" s="244" t="str">
        <f t="shared" si="88"/>
        <v/>
      </c>
    </row>
    <row r="5641" spans="1:2" x14ac:dyDescent="0.25">
      <c r="A5641" t="str">
        <f>IF(C5641&amp;G5641&amp;D5641&lt;&gt;'Funnel setup'!$K$3&amp;'Funnel setup'!$K$4&amp;'Funnel setup'!$K$6,".",IF(A5640=".",1,A5640+1))</f>
        <v>.</v>
      </c>
      <c r="B5641" s="244" t="str">
        <f t="shared" si="88"/>
        <v/>
      </c>
    </row>
    <row r="5642" spans="1:2" x14ac:dyDescent="0.25">
      <c r="A5642" t="str">
        <f>IF(C5642&amp;G5642&amp;D5642&lt;&gt;'Funnel setup'!$K$3&amp;'Funnel setup'!$K$4&amp;'Funnel setup'!$K$6,".",IF(A5641=".",1,A5641+1))</f>
        <v>.</v>
      </c>
      <c r="B5642" s="244" t="str">
        <f t="shared" si="88"/>
        <v/>
      </c>
    </row>
    <row r="5643" spans="1:2" x14ac:dyDescent="0.25">
      <c r="A5643" t="str">
        <f>IF(C5643&amp;G5643&amp;D5643&lt;&gt;'Funnel setup'!$K$3&amp;'Funnel setup'!$K$4&amp;'Funnel setup'!$K$6,".",IF(A5642=".",1,A5642+1))</f>
        <v>.</v>
      </c>
      <c r="B5643" s="244" t="str">
        <f t="shared" si="88"/>
        <v/>
      </c>
    </row>
    <row r="5644" spans="1:2" x14ac:dyDescent="0.25">
      <c r="A5644" t="str">
        <f>IF(C5644&amp;G5644&amp;D5644&lt;&gt;'Funnel setup'!$K$3&amp;'Funnel setup'!$K$4&amp;'Funnel setup'!$K$6,".",IF(A5643=".",1,A5643+1))</f>
        <v>.</v>
      </c>
      <c r="B5644" s="244" t="str">
        <f t="shared" si="88"/>
        <v/>
      </c>
    </row>
    <row r="5645" spans="1:2" x14ac:dyDescent="0.25">
      <c r="A5645" t="str">
        <f>IF(C5645&amp;G5645&amp;D5645&lt;&gt;'Funnel setup'!$K$3&amp;'Funnel setup'!$K$4&amp;'Funnel setup'!$K$6,".",IF(A5644=".",1,A5644+1))</f>
        <v>.</v>
      </c>
      <c r="B5645" s="244" t="str">
        <f t="shared" si="88"/>
        <v/>
      </c>
    </row>
    <row r="5646" spans="1:2" x14ac:dyDescent="0.25">
      <c r="A5646" t="str">
        <f>IF(C5646&amp;G5646&amp;D5646&lt;&gt;'Funnel setup'!$K$3&amp;'Funnel setup'!$K$4&amp;'Funnel setup'!$K$6,".",IF(A5645=".",1,A5645+1))</f>
        <v>.</v>
      </c>
      <c r="B5646" s="244" t="str">
        <f t="shared" si="88"/>
        <v/>
      </c>
    </row>
    <row r="5647" spans="1:2" x14ac:dyDescent="0.25">
      <c r="A5647" t="str">
        <f>IF(C5647&amp;G5647&amp;D5647&lt;&gt;'Funnel setup'!$K$3&amp;'Funnel setup'!$K$4&amp;'Funnel setup'!$K$6,".",IF(A5646=".",1,A5646+1))</f>
        <v>.</v>
      </c>
      <c r="B5647" s="244" t="str">
        <f t="shared" si="88"/>
        <v/>
      </c>
    </row>
    <row r="5648" spans="1:2" x14ac:dyDescent="0.25">
      <c r="A5648" t="str">
        <f>IF(C5648&amp;G5648&amp;D5648&lt;&gt;'Funnel setup'!$K$3&amp;'Funnel setup'!$K$4&amp;'Funnel setup'!$K$6,".",IF(A5647=".",1,A5647+1))</f>
        <v>.</v>
      </c>
      <c r="B5648" s="244" t="str">
        <f t="shared" si="88"/>
        <v/>
      </c>
    </row>
    <row r="5649" spans="1:2" x14ac:dyDescent="0.25">
      <c r="A5649" t="str">
        <f>IF(C5649&amp;G5649&amp;D5649&lt;&gt;'Funnel setup'!$K$3&amp;'Funnel setup'!$K$4&amp;'Funnel setup'!$K$6,".",IF(A5648=".",1,A5648+1))</f>
        <v>.</v>
      </c>
      <c r="B5649" s="244" t="str">
        <f t="shared" si="88"/>
        <v/>
      </c>
    </row>
    <row r="5650" spans="1:2" x14ac:dyDescent="0.25">
      <c r="A5650" t="str">
        <f>IF(C5650&amp;G5650&amp;D5650&lt;&gt;'Funnel setup'!$K$3&amp;'Funnel setup'!$K$4&amp;'Funnel setup'!$K$6,".",IF(A5649=".",1,A5649+1))</f>
        <v>.</v>
      </c>
      <c r="B5650" s="244" t="str">
        <f t="shared" si="88"/>
        <v/>
      </c>
    </row>
    <row r="5651" spans="1:2" x14ac:dyDescent="0.25">
      <c r="A5651" t="str">
        <f>IF(C5651&amp;G5651&amp;D5651&lt;&gt;'Funnel setup'!$K$3&amp;'Funnel setup'!$K$4&amp;'Funnel setup'!$K$6,".",IF(A5650=".",1,A5650+1))</f>
        <v>.</v>
      </c>
      <c r="B5651" s="244" t="str">
        <f t="shared" si="88"/>
        <v/>
      </c>
    </row>
    <row r="5652" spans="1:2" x14ac:dyDescent="0.25">
      <c r="A5652" t="str">
        <f>IF(C5652&amp;G5652&amp;D5652&lt;&gt;'Funnel setup'!$K$3&amp;'Funnel setup'!$K$4&amp;'Funnel setup'!$K$6,".",IF(A5651=".",1,A5651+1))</f>
        <v>.</v>
      </c>
      <c r="B5652" s="244" t="str">
        <f t="shared" si="88"/>
        <v/>
      </c>
    </row>
    <row r="5653" spans="1:2" x14ac:dyDescent="0.25">
      <c r="A5653" t="str">
        <f>IF(C5653&amp;G5653&amp;D5653&lt;&gt;'Funnel setup'!$K$3&amp;'Funnel setup'!$K$4&amp;'Funnel setup'!$K$6,".",IF(A5652=".",1,A5652+1))</f>
        <v>.</v>
      </c>
      <c r="B5653" s="244" t="str">
        <f t="shared" si="88"/>
        <v/>
      </c>
    </row>
    <row r="5654" spans="1:2" x14ac:dyDescent="0.25">
      <c r="A5654" t="str">
        <f>IF(C5654&amp;G5654&amp;D5654&lt;&gt;'Funnel setup'!$K$3&amp;'Funnel setup'!$K$4&amp;'Funnel setup'!$K$6,".",IF(A5653=".",1,A5653+1))</f>
        <v>.</v>
      </c>
      <c r="B5654" s="244" t="str">
        <f t="shared" si="88"/>
        <v/>
      </c>
    </row>
    <row r="5655" spans="1:2" x14ac:dyDescent="0.25">
      <c r="A5655" t="str">
        <f>IF(C5655&amp;G5655&amp;D5655&lt;&gt;'Funnel setup'!$K$3&amp;'Funnel setup'!$K$4&amp;'Funnel setup'!$K$6,".",IF(A5654=".",1,A5654+1))</f>
        <v>.</v>
      </c>
      <c r="B5655" s="244" t="str">
        <f t="shared" si="88"/>
        <v/>
      </c>
    </row>
    <row r="5656" spans="1:2" x14ac:dyDescent="0.25">
      <c r="A5656" t="str">
        <f>IF(C5656&amp;G5656&amp;D5656&lt;&gt;'Funnel setup'!$K$3&amp;'Funnel setup'!$K$4&amp;'Funnel setup'!$K$6,".",IF(A5655=".",1,A5655+1))</f>
        <v>.</v>
      </c>
      <c r="B5656" s="244" t="str">
        <f t="shared" si="88"/>
        <v/>
      </c>
    </row>
    <row r="5657" spans="1:2" x14ac:dyDescent="0.25">
      <c r="A5657" t="str">
        <f>IF(C5657&amp;G5657&amp;D5657&lt;&gt;'Funnel setup'!$K$3&amp;'Funnel setup'!$K$4&amp;'Funnel setup'!$K$6,".",IF(A5656=".",1,A5656+1))</f>
        <v>.</v>
      </c>
      <c r="B5657" s="244" t="str">
        <f t="shared" si="88"/>
        <v/>
      </c>
    </row>
    <row r="5658" spans="1:2" x14ac:dyDescent="0.25">
      <c r="A5658" t="str">
        <f>IF(C5658&amp;G5658&amp;D5658&lt;&gt;'Funnel setup'!$K$3&amp;'Funnel setup'!$K$4&amp;'Funnel setup'!$K$6,".",IF(A5657=".",1,A5657+1))</f>
        <v>.</v>
      </c>
      <c r="B5658" s="244" t="str">
        <f t="shared" si="88"/>
        <v/>
      </c>
    </row>
    <row r="5659" spans="1:2" x14ac:dyDescent="0.25">
      <c r="A5659" t="str">
        <f>IF(C5659&amp;G5659&amp;D5659&lt;&gt;'Funnel setup'!$K$3&amp;'Funnel setup'!$K$4&amp;'Funnel setup'!$K$6,".",IF(A5658=".",1,A5658+1))</f>
        <v>.</v>
      </c>
      <c r="B5659" s="244" t="str">
        <f t="shared" si="88"/>
        <v/>
      </c>
    </row>
    <row r="5660" spans="1:2" x14ac:dyDescent="0.25">
      <c r="A5660" t="str">
        <f>IF(C5660&amp;G5660&amp;D5660&lt;&gt;'Funnel setup'!$K$3&amp;'Funnel setup'!$K$4&amp;'Funnel setup'!$K$6,".",IF(A5659=".",1,A5659+1))</f>
        <v>.</v>
      </c>
      <c r="B5660" s="244" t="str">
        <f t="shared" si="88"/>
        <v/>
      </c>
    </row>
    <row r="5661" spans="1:2" x14ac:dyDescent="0.25">
      <c r="A5661" t="str">
        <f>IF(C5661&amp;G5661&amp;D5661&lt;&gt;'Funnel setup'!$K$3&amp;'Funnel setup'!$K$4&amp;'Funnel setup'!$K$6,".",IF(A5660=".",1,A5660+1))</f>
        <v>.</v>
      </c>
      <c r="B5661" s="244" t="str">
        <f t="shared" si="88"/>
        <v/>
      </c>
    </row>
    <row r="5662" spans="1:2" x14ac:dyDescent="0.25">
      <c r="A5662" t="str">
        <f>IF(C5662&amp;G5662&amp;D5662&lt;&gt;'Funnel setup'!$K$3&amp;'Funnel setup'!$K$4&amp;'Funnel setup'!$K$6,".",IF(A5661=".",1,A5661+1))</f>
        <v>.</v>
      </c>
      <c r="B5662" s="244" t="str">
        <f t="shared" si="88"/>
        <v/>
      </c>
    </row>
    <row r="5663" spans="1:2" x14ac:dyDescent="0.25">
      <c r="A5663" t="str">
        <f>IF(C5663&amp;G5663&amp;D5663&lt;&gt;'Funnel setup'!$K$3&amp;'Funnel setup'!$K$4&amp;'Funnel setup'!$K$6,".",IF(A5662=".",1,A5662+1))</f>
        <v>.</v>
      </c>
      <c r="B5663" s="244" t="str">
        <f t="shared" si="88"/>
        <v/>
      </c>
    </row>
    <row r="5664" spans="1:2" x14ac:dyDescent="0.25">
      <c r="A5664" t="str">
        <f>IF(C5664&amp;G5664&amp;D5664&lt;&gt;'Funnel setup'!$K$3&amp;'Funnel setup'!$K$4&amp;'Funnel setup'!$K$6,".",IF(A5663=".",1,A5663+1))</f>
        <v>.</v>
      </c>
      <c r="B5664" s="244" t="str">
        <f t="shared" si="88"/>
        <v/>
      </c>
    </row>
    <row r="5665" spans="1:2" x14ac:dyDescent="0.25">
      <c r="A5665" t="str">
        <f>IF(C5665&amp;G5665&amp;D5665&lt;&gt;'Funnel setup'!$K$3&amp;'Funnel setup'!$K$4&amp;'Funnel setup'!$K$6,".",IF(A5664=".",1,A5664+1))</f>
        <v>.</v>
      </c>
      <c r="B5665" s="244" t="str">
        <f t="shared" si="88"/>
        <v/>
      </c>
    </row>
    <row r="5666" spans="1:2" x14ac:dyDescent="0.25">
      <c r="A5666" t="str">
        <f>IF(C5666&amp;G5666&amp;D5666&lt;&gt;'Funnel setup'!$K$3&amp;'Funnel setup'!$K$4&amp;'Funnel setup'!$K$6,".",IF(A5665=".",1,A5665+1))</f>
        <v>.</v>
      </c>
      <c r="B5666" s="244" t="str">
        <f t="shared" si="88"/>
        <v/>
      </c>
    </row>
    <row r="5667" spans="1:2" x14ac:dyDescent="0.25">
      <c r="A5667" t="str">
        <f>IF(C5667&amp;G5667&amp;D5667&lt;&gt;'Funnel setup'!$K$3&amp;'Funnel setup'!$K$4&amp;'Funnel setup'!$K$6,".",IF(A5666=".",1,A5666+1))</f>
        <v>.</v>
      </c>
      <c r="B5667" s="244" t="str">
        <f t="shared" si="88"/>
        <v/>
      </c>
    </row>
    <row r="5668" spans="1:2" x14ac:dyDescent="0.25">
      <c r="A5668" t="str">
        <f>IF(C5668&amp;G5668&amp;D5668&lt;&gt;'Funnel setup'!$K$3&amp;'Funnel setup'!$K$4&amp;'Funnel setup'!$K$6,".",IF(A5667=".",1,A5667+1))</f>
        <v>.</v>
      </c>
      <c r="B5668" s="244" t="str">
        <f t="shared" si="88"/>
        <v/>
      </c>
    </row>
    <row r="5669" spans="1:2" x14ac:dyDescent="0.25">
      <c r="A5669" t="str">
        <f>IF(C5669&amp;G5669&amp;D5669&lt;&gt;'Funnel setup'!$K$3&amp;'Funnel setup'!$K$4&amp;'Funnel setup'!$K$6,".",IF(A5668=".",1,A5668+1))</f>
        <v>.</v>
      </c>
      <c r="B5669" s="244" t="str">
        <f t="shared" si="88"/>
        <v/>
      </c>
    </row>
    <row r="5670" spans="1:2" x14ac:dyDescent="0.25">
      <c r="A5670" t="str">
        <f>IF(C5670&amp;G5670&amp;D5670&lt;&gt;'Funnel setup'!$K$3&amp;'Funnel setup'!$K$4&amp;'Funnel setup'!$K$6,".",IF(A5669=".",1,A5669+1))</f>
        <v>.</v>
      </c>
      <c r="B5670" s="244" t="str">
        <f t="shared" si="88"/>
        <v/>
      </c>
    </row>
    <row r="5671" spans="1:2" x14ac:dyDescent="0.25">
      <c r="A5671" t="str">
        <f>IF(C5671&amp;G5671&amp;D5671&lt;&gt;'Funnel setup'!$K$3&amp;'Funnel setup'!$K$4&amp;'Funnel setup'!$K$6,".",IF(A5670=".",1,A5670+1))</f>
        <v>.</v>
      </c>
      <c r="B5671" s="244" t="str">
        <f t="shared" si="88"/>
        <v/>
      </c>
    </row>
    <row r="5672" spans="1:2" x14ac:dyDescent="0.25">
      <c r="A5672" t="str">
        <f>IF(C5672&amp;G5672&amp;D5672&lt;&gt;'Funnel setup'!$K$3&amp;'Funnel setup'!$K$4&amp;'Funnel setup'!$K$6,".",IF(A5671=".",1,A5671+1))</f>
        <v>.</v>
      </c>
      <c r="B5672" s="244" t="str">
        <f t="shared" si="88"/>
        <v/>
      </c>
    </row>
    <row r="5673" spans="1:2" x14ac:dyDescent="0.25">
      <c r="A5673" t="str">
        <f>IF(C5673&amp;G5673&amp;D5673&lt;&gt;'Funnel setup'!$K$3&amp;'Funnel setup'!$K$4&amp;'Funnel setup'!$K$6,".",IF(A5672=".",1,A5672+1))</f>
        <v>.</v>
      </c>
      <c r="B5673" s="244" t="str">
        <f t="shared" si="88"/>
        <v/>
      </c>
    </row>
    <row r="5674" spans="1:2" x14ac:dyDescent="0.25">
      <c r="A5674" t="str">
        <f>IF(C5674&amp;G5674&amp;D5674&lt;&gt;'Funnel setup'!$K$3&amp;'Funnel setup'!$K$4&amp;'Funnel setup'!$K$6,".",IF(A5673=".",1,A5673+1))</f>
        <v>.</v>
      </c>
      <c r="B5674" s="244" t="str">
        <f t="shared" si="88"/>
        <v/>
      </c>
    </row>
    <row r="5675" spans="1:2" x14ac:dyDescent="0.25">
      <c r="A5675" t="str">
        <f>IF(C5675&amp;G5675&amp;D5675&lt;&gt;'Funnel setup'!$K$3&amp;'Funnel setup'!$K$4&amp;'Funnel setup'!$K$6,".",IF(A5674=".",1,A5674+1))</f>
        <v>.</v>
      </c>
      <c r="B5675" s="244" t="str">
        <f t="shared" si="88"/>
        <v/>
      </c>
    </row>
    <row r="5676" spans="1:2" x14ac:dyDescent="0.25">
      <c r="A5676" t="str">
        <f>IF(C5676&amp;G5676&amp;D5676&lt;&gt;'Funnel setup'!$K$3&amp;'Funnel setup'!$K$4&amp;'Funnel setup'!$K$6,".",IF(A5675=".",1,A5675+1))</f>
        <v>.</v>
      </c>
      <c r="B5676" s="244" t="str">
        <f t="shared" si="88"/>
        <v/>
      </c>
    </row>
    <row r="5677" spans="1:2" x14ac:dyDescent="0.25">
      <c r="A5677" t="str">
        <f>IF(C5677&amp;G5677&amp;D5677&lt;&gt;'Funnel setup'!$K$3&amp;'Funnel setup'!$K$4&amp;'Funnel setup'!$K$6,".",IF(A5676=".",1,A5676+1))</f>
        <v>.</v>
      </c>
      <c r="B5677" s="244" t="str">
        <f t="shared" si="88"/>
        <v/>
      </c>
    </row>
    <row r="5678" spans="1:2" x14ac:dyDescent="0.25">
      <c r="A5678" t="str">
        <f>IF(C5678&amp;G5678&amp;D5678&lt;&gt;'Funnel setup'!$K$3&amp;'Funnel setup'!$K$4&amp;'Funnel setup'!$K$6,".",IF(A5677=".",1,A5677+1))</f>
        <v>.</v>
      </c>
      <c r="B5678" s="244" t="str">
        <f t="shared" si="88"/>
        <v/>
      </c>
    </row>
    <row r="5679" spans="1:2" x14ac:dyDescent="0.25">
      <c r="A5679" t="str">
        <f>IF(C5679&amp;G5679&amp;D5679&lt;&gt;'Funnel setup'!$K$3&amp;'Funnel setup'!$K$4&amp;'Funnel setup'!$K$6,".",IF(A5678=".",1,A5678+1))</f>
        <v>.</v>
      </c>
      <c r="B5679" s="244" t="str">
        <f t="shared" si="88"/>
        <v/>
      </c>
    </row>
    <row r="5680" spans="1:2" x14ac:dyDescent="0.25">
      <c r="A5680" t="str">
        <f>IF(C5680&amp;G5680&amp;D5680&lt;&gt;'Funnel setup'!$K$3&amp;'Funnel setup'!$K$4&amp;'Funnel setup'!$K$6,".",IF(A5679=".",1,A5679+1))</f>
        <v>.</v>
      </c>
      <c r="B5680" s="244" t="str">
        <f t="shared" si="88"/>
        <v/>
      </c>
    </row>
    <row r="5681" spans="1:2" x14ac:dyDescent="0.25">
      <c r="A5681" t="str">
        <f>IF(C5681&amp;G5681&amp;D5681&lt;&gt;'Funnel setup'!$K$3&amp;'Funnel setup'!$K$4&amp;'Funnel setup'!$K$6,".",IF(A5680=".",1,A5680+1))</f>
        <v>.</v>
      </c>
      <c r="B5681" s="244" t="str">
        <f t="shared" si="88"/>
        <v/>
      </c>
    </row>
    <row r="5682" spans="1:2" x14ac:dyDescent="0.25">
      <c r="A5682" t="str">
        <f>IF(C5682&amp;G5682&amp;D5682&lt;&gt;'Funnel setup'!$K$3&amp;'Funnel setup'!$K$4&amp;'Funnel setup'!$K$6,".",IF(A5681=".",1,A5681+1))</f>
        <v>.</v>
      </c>
      <c r="B5682" s="244" t="str">
        <f t="shared" si="88"/>
        <v/>
      </c>
    </row>
    <row r="5683" spans="1:2" x14ac:dyDescent="0.25">
      <c r="A5683" t="str">
        <f>IF(C5683&amp;G5683&amp;D5683&lt;&gt;'Funnel setup'!$K$3&amp;'Funnel setup'!$K$4&amp;'Funnel setup'!$K$6,".",IF(A5682=".",1,A5682+1))</f>
        <v>.</v>
      </c>
      <c r="B5683" s="244" t="str">
        <f t="shared" si="88"/>
        <v/>
      </c>
    </row>
    <row r="5684" spans="1:2" x14ac:dyDescent="0.25">
      <c r="A5684" t="str">
        <f>IF(C5684&amp;G5684&amp;D5684&lt;&gt;'Funnel setup'!$K$3&amp;'Funnel setup'!$K$4&amp;'Funnel setup'!$K$6,".",IF(A5683=".",1,A5683+1))</f>
        <v>.</v>
      </c>
      <c r="B5684" s="244" t="str">
        <f t="shared" si="88"/>
        <v/>
      </c>
    </row>
    <row r="5685" spans="1:2" x14ac:dyDescent="0.25">
      <c r="A5685" t="str">
        <f>IF(C5685&amp;G5685&amp;D5685&lt;&gt;'Funnel setup'!$K$3&amp;'Funnel setup'!$K$4&amp;'Funnel setup'!$K$6,".",IF(A5684=".",1,A5684+1))</f>
        <v>.</v>
      </c>
      <c r="B5685" s="244" t="str">
        <f t="shared" si="88"/>
        <v/>
      </c>
    </row>
    <row r="5686" spans="1:2" x14ac:dyDescent="0.25">
      <c r="A5686" t="str">
        <f>IF(C5686&amp;G5686&amp;D5686&lt;&gt;'Funnel setup'!$K$3&amp;'Funnel setup'!$K$4&amp;'Funnel setup'!$K$6,".",IF(A5685=".",1,A5685+1))</f>
        <v>.</v>
      </c>
      <c r="B5686" s="244" t="str">
        <f t="shared" si="88"/>
        <v/>
      </c>
    </row>
    <row r="5687" spans="1:2" x14ac:dyDescent="0.25">
      <c r="A5687" t="str">
        <f>IF(C5687&amp;G5687&amp;D5687&lt;&gt;'Funnel setup'!$K$3&amp;'Funnel setup'!$K$4&amp;'Funnel setup'!$K$6,".",IF(A5686=".",1,A5686+1))</f>
        <v>.</v>
      </c>
      <c r="B5687" s="244" t="str">
        <f t="shared" si="88"/>
        <v/>
      </c>
    </row>
    <row r="5688" spans="1:2" x14ac:dyDescent="0.25">
      <c r="A5688" t="str">
        <f>IF(C5688&amp;G5688&amp;D5688&lt;&gt;'Funnel setup'!$K$3&amp;'Funnel setup'!$K$4&amp;'Funnel setup'!$K$6,".",IF(A5687=".",1,A5687+1))</f>
        <v>.</v>
      </c>
      <c r="B5688" s="244" t="str">
        <f t="shared" si="88"/>
        <v/>
      </c>
    </row>
    <row r="5689" spans="1:2" x14ac:dyDescent="0.25">
      <c r="A5689" t="str">
        <f>IF(C5689&amp;G5689&amp;D5689&lt;&gt;'Funnel setup'!$K$3&amp;'Funnel setup'!$K$4&amp;'Funnel setup'!$K$6,".",IF(A5688=".",1,A5688+1))</f>
        <v>.</v>
      </c>
      <c r="B5689" s="244" t="str">
        <f t="shared" si="88"/>
        <v/>
      </c>
    </row>
    <row r="5690" spans="1:2" x14ac:dyDescent="0.25">
      <c r="A5690" t="str">
        <f>IF(C5690&amp;G5690&amp;D5690&lt;&gt;'Funnel setup'!$K$3&amp;'Funnel setup'!$K$4&amp;'Funnel setup'!$K$6,".",IF(A5689=".",1,A5689+1))</f>
        <v>.</v>
      </c>
      <c r="B5690" s="244" t="str">
        <f t="shared" si="88"/>
        <v/>
      </c>
    </row>
    <row r="5691" spans="1:2" x14ac:dyDescent="0.25">
      <c r="A5691" t="str">
        <f>IF(C5691&amp;G5691&amp;D5691&lt;&gt;'Funnel setup'!$K$3&amp;'Funnel setup'!$K$4&amp;'Funnel setup'!$K$6,".",IF(A5690=".",1,A5690+1))</f>
        <v>.</v>
      </c>
      <c r="B5691" s="244" t="str">
        <f t="shared" si="88"/>
        <v/>
      </c>
    </row>
    <row r="5692" spans="1:2" x14ac:dyDescent="0.25">
      <c r="A5692" t="str">
        <f>IF(C5692&amp;G5692&amp;D5692&lt;&gt;'Funnel setup'!$K$3&amp;'Funnel setup'!$K$4&amp;'Funnel setup'!$K$6,".",IF(A5691=".",1,A5691+1))</f>
        <v>.</v>
      </c>
      <c r="B5692" s="244" t="str">
        <f t="shared" si="88"/>
        <v/>
      </c>
    </row>
    <row r="5693" spans="1:2" x14ac:dyDescent="0.25">
      <c r="A5693" t="str">
        <f>IF(C5693&amp;G5693&amp;D5693&lt;&gt;'Funnel setup'!$K$3&amp;'Funnel setup'!$K$4&amp;'Funnel setup'!$K$6,".",IF(A5692=".",1,A5692+1))</f>
        <v>.</v>
      </c>
      <c r="B5693" s="244" t="str">
        <f t="shared" si="88"/>
        <v/>
      </c>
    </row>
    <row r="5694" spans="1:2" x14ac:dyDescent="0.25">
      <c r="A5694" t="str">
        <f>IF(C5694&amp;G5694&amp;D5694&lt;&gt;'Funnel setup'!$K$3&amp;'Funnel setup'!$K$4&amp;'Funnel setup'!$K$6,".",IF(A5693=".",1,A5693+1))</f>
        <v>.</v>
      </c>
      <c r="B5694" s="244" t="str">
        <f t="shared" si="88"/>
        <v/>
      </c>
    </row>
    <row r="5695" spans="1:2" x14ac:dyDescent="0.25">
      <c r="A5695" t="str">
        <f>IF(C5695&amp;G5695&amp;D5695&lt;&gt;'Funnel setup'!$K$3&amp;'Funnel setup'!$K$4&amp;'Funnel setup'!$K$6,".",IF(A5694=".",1,A5694+1))</f>
        <v>.</v>
      </c>
      <c r="B5695" s="244" t="str">
        <f t="shared" si="88"/>
        <v/>
      </c>
    </row>
    <row r="5696" spans="1:2" x14ac:dyDescent="0.25">
      <c r="A5696" t="str">
        <f>IF(C5696&amp;G5696&amp;D5696&lt;&gt;'Funnel setup'!$K$3&amp;'Funnel setup'!$K$4&amp;'Funnel setup'!$K$6,".",IF(A5695=".",1,A5695+1))</f>
        <v>.</v>
      </c>
      <c r="B5696" s="244" t="str">
        <f t="shared" si="88"/>
        <v/>
      </c>
    </row>
    <row r="5697" spans="1:2" x14ac:dyDescent="0.25">
      <c r="A5697" t="str">
        <f>IF(C5697&amp;G5697&amp;D5697&lt;&gt;'Funnel setup'!$K$3&amp;'Funnel setup'!$K$4&amp;'Funnel setup'!$K$6,".",IF(A5696=".",1,A5696+1))</f>
        <v>.</v>
      </c>
      <c r="B5697" s="244" t="str">
        <f t="shared" si="88"/>
        <v/>
      </c>
    </row>
    <row r="5698" spans="1:2" x14ac:dyDescent="0.25">
      <c r="A5698" t="str">
        <f>IF(C5698&amp;G5698&amp;D5698&lt;&gt;'Funnel setup'!$K$3&amp;'Funnel setup'!$K$4&amp;'Funnel setup'!$K$6,".",IF(A5697=".",1,A5697+1))</f>
        <v>.</v>
      </c>
      <c r="B5698" s="244" t="str">
        <f t="shared" ref="B5698:B5761" si="89">C5698&amp;D5698&amp;F5698&amp;G5698</f>
        <v/>
      </c>
    </row>
    <row r="5699" spans="1:2" x14ac:dyDescent="0.25">
      <c r="A5699" t="str">
        <f>IF(C5699&amp;G5699&amp;D5699&lt;&gt;'Funnel setup'!$K$3&amp;'Funnel setup'!$K$4&amp;'Funnel setup'!$K$6,".",IF(A5698=".",1,A5698+1))</f>
        <v>.</v>
      </c>
      <c r="B5699" s="244" t="str">
        <f t="shared" si="89"/>
        <v/>
      </c>
    </row>
    <row r="5700" spans="1:2" x14ac:dyDescent="0.25">
      <c r="A5700" t="str">
        <f>IF(C5700&amp;G5700&amp;D5700&lt;&gt;'Funnel setup'!$K$3&amp;'Funnel setup'!$K$4&amp;'Funnel setup'!$K$6,".",IF(A5699=".",1,A5699+1))</f>
        <v>.</v>
      </c>
      <c r="B5700" s="244" t="str">
        <f t="shared" si="89"/>
        <v/>
      </c>
    </row>
    <row r="5701" spans="1:2" x14ac:dyDescent="0.25">
      <c r="A5701" t="str">
        <f>IF(C5701&amp;G5701&amp;D5701&lt;&gt;'Funnel setup'!$K$3&amp;'Funnel setup'!$K$4&amp;'Funnel setup'!$K$6,".",IF(A5700=".",1,A5700+1))</f>
        <v>.</v>
      </c>
      <c r="B5701" s="244" t="str">
        <f t="shared" si="89"/>
        <v/>
      </c>
    </row>
    <row r="5702" spans="1:2" x14ac:dyDescent="0.25">
      <c r="A5702" t="str">
        <f>IF(C5702&amp;G5702&amp;D5702&lt;&gt;'Funnel setup'!$K$3&amp;'Funnel setup'!$K$4&amp;'Funnel setup'!$K$6,".",IF(A5701=".",1,A5701+1))</f>
        <v>.</v>
      </c>
      <c r="B5702" s="244" t="str">
        <f t="shared" si="89"/>
        <v/>
      </c>
    </row>
    <row r="5703" spans="1:2" x14ac:dyDescent="0.25">
      <c r="A5703" t="str">
        <f>IF(C5703&amp;G5703&amp;D5703&lt;&gt;'Funnel setup'!$K$3&amp;'Funnel setup'!$K$4&amp;'Funnel setup'!$K$6,".",IF(A5702=".",1,A5702+1))</f>
        <v>.</v>
      </c>
      <c r="B5703" s="244" t="str">
        <f t="shared" si="89"/>
        <v/>
      </c>
    </row>
    <row r="5704" spans="1:2" x14ac:dyDescent="0.25">
      <c r="A5704" t="str">
        <f>IF(C5704&amp;G5704&amp;D5704&lt;&gt;'Funnel setup'!$K$3&amp;'Funnel setup'!$K$4&amp;'Funnel setup'!$K$6,".",IF(A5703=".",1,A5703+1))</f>
        <v>.</v>
      </c>
      <c r="B5704" s="244" t="str">
        <f t="shared" si="89"/>
        <v/>
      </c>
    </row>
    <row r="5705" spans="1:2" x14ac:dyDescent="0.25">
      <c r="A5705" t="str">
        <f>IF(C5705&amp;G5705&amp;D5705&lt;&gt;'Funnel setup'!$K$3&amp;'Funnel setup'!$K$4&amp;'Funnel setup'!$K$6,".",IF(A5704=".",1,A5704+1))</f>
        <v>.</v>
      </c>
      <c r="B5705" s="244" t="str">
        <f t="shared" si="89"/>
        <v/>
      </c>
    </row>
    <row r="5706" spans="1:2" x14ac:dyDescent="0.25">
      <c r="A5706" t="str">
        <f>IF(C5706&amp;G5706&amp;D5706&lt;&gt;'Funnel setup'!$K$3&amp;'Funnel setup'!$K$4&amp;'Funnel setup'!$K$6,".",IF(A5705=".",1,A5705+1))</f>
        <v>.</v>
      </c>
      <c r="B5706" s="244" t="str">
        <f t="shared" si="89"/>
        <v/>
      </c>
    </row>
    <row r="5707" spans="1:2" x14ac:dyDescent="0.25">
      <c r="A5707" t="str">
        <f>IF(C5707&amp;G5707&amp;D5707&lt;&gt;'Funnel setup'!$K$3&amp;'Funnel setup'!$K$4&amp;'Funnel setup'!$K$6,".",IF(A5706=".",1,A5706+1))</f>
        <v>.</v>
      </c>
      <c r="B5707" s="244" t="str">
        <f t="shared" si="89"/>
        <v/>
      </c>
    </row>
    <row r="5708" spans="1:2" x14ac:dyDescent="0.25">
      <c r="A5708" t="str">
        <f>IF(C5708&amp;G5708&amp;D5708&lt;&gt;'Funnel setup'!$K$3&amp;'Funnel setup'!$K$4&amp;'Funnel setup'!$K$6,".",IF(A5707=".",1,A5707+1))</f>
        <v>.</v>
      </c>
      <c r="B5708" s="244" t="str">
        <f t="shared" si="89"/>
        <v/>
      </c>
    </row>
    <row r="5709" spans="1:2" x14ac:dyDescent="0.25">
      <c r="A5709" t="str">
        <f>IF(C5709&amp;G5709&amp;D5709&lt;&gt;'Funnel setup'!$K$3&amp;'Funnel setup'!$K$4&amp;'Funnel setup'!$K$6,".",IF(A5708=".",1,A5708+1))</f>
        <v>.</v>
      </c>
      <c r="B5709" s="244" t="str">
        <f t="shared" si="89"/>
        <v/>
      </c>
    </row>
    <row r="5710" spans="1:2" x14ac:dyDescent="0.25">
      <c r="A5710" t="str">
        <f>IF(C5710&amp;G5710&amp;D5710&lt;&gt;'Funnel setup'!$K$3&amp;'Funnel setup'!$K$4&amp;'Funnel setup'!$K$6,".",IF(A5709=".",1,A5709+1))</f>
        <v>.</v>
      </c>
      <c r="B5710" s="244" t="str">
        <f t="shared" si="89"/>
        <v/>
      </c>
    </row>
    <row r="5711" spans="1:2" x14ac:dyDescent="0.25">
      <c r="A5711" t="str">
        <f>IF(C5711&amp;G5711&amp;D5711&lt;&gt;'Funnel setup'!$K$3&amp;'Funnel setup'!$K$4&amp;'Funnel setup'!$K$6,".",IF(A5710=".",1,A5710+1))</f>
        <v>.</v>
      </c>
      <c r="B5711" s="244" t="str">
        <f t="shared" si="89"/>
        <v/>
      </c>
    </row>
    <row r="5712" spans="1:2" x14ac:dyDescent="0.25">
      <c r="A5712" t="str">
        <f>IF(C5712&amp;G5712&amp;D5712&lt;&gt;'Funnel setup'!$K$3&amp;'Funnel setup'!$K$4&amp;'Funnel setup'!$K$6,".",IF(A5711=".",1,A5711+1))</f>
        <v>.</v>
      </c>
      <c r="B5712" s="244" t="str">
        <f t="shared" si="89"/>
        <v/>
      </c>
    </row>
    <row r="5713" spans="1:2" x14ac:dyDescent="0.25">
      <c r="A5713" t="str">
        <f>IF(C5713&amp;G5713&amp;D5713&lt;&gt;'Funnel setup'!$K$3&amp;'Funnel setup'!$K$4&amp;'Funnel setup'!$K$6,".",IF(A5712=".",1,A5712+1))</f>
        <v>.</v>
      </c>
      <c r="B5713" s="244" t="str">
        <f t="shared" si="89"/>
        <v/>
      </c>
    </row>
    <row r="5714" spans="1:2" x14ac:dyDescent="0.25">
      <c r="A5714" t="str">
        <f>IF(C5714&amp;G5714&amp;D5714&lt;&gt;'Funnel setup'!$K$3&amp;'Funnel setup'!$K$4&amp;'Funnel setup'!$K$6,".",IF(A5713=".",1,A5713+1))</f>
        <v>.</v>
      </c>
      <c r="B5714" s="244" t="str">
        <f t="shared" si="89"/>
        <v/>
      </c>
    </row>
    <row r="5715" spans="1:2" x14ac:dyDescent="0.25">
      <c r="A5715" t="str">
        <f>IF(C5715&amp;G5715&amp;D5715&lt;&gt;'Funnel setup'!$K$3&amp;'Funnel setup'!$K$4&amp;'Funnel setup'!$K$6,".",IF(A5714=".",1,A5714+1))</f>
        <v>.</v>
      </c>
      <c r="B5715" s="244" t="str">
        <f t="shared" si="89"/>
        <v/>
      </c>
    </row>
    <row r="5716" spans="1:2" x14ac:dyDescent="0.25">
      <c r="A5716" t="str">
        <f>IF(C5716&amp;G5716&amp;D5716&lt;&gt;'Funnel setup'!$K$3&amp;'Funnel setup'!$K$4&amp;'Funnel setup'!$K$6,".",IF(A5715=".",1,A5715+1))</f>
        <v>.</v>
      </c>
      <c r="B5716" s="244" t="str">
        <f t="shared" si="89"/>
        <v/>
      </c>
    </row>
    <row r="5717" spans="1:2" x14ac:dyDescent="0.25">
      <c r="A5717" t="str">
        <f>IF(C5717&amp;G5717&amp;D5717&lt;&gt;'Funnel setup'!$K$3&amp;'Funnel setup'!$K$4&amp;'Funnel setup'!$K$6,".",IF(A5716=".",1,A5716+1))</f>
        <v>.</v>
      </c>
      <c r="B5717" s="244" t="str">
        <f t="shared" si="89"/>
        <v/>
      </c>
    </row>
    <row r="5718" spans="1:2" x14ac:dyDescent="0.25">
      <c r="A5718" t="str">
        <f>IF(C5718&amp;G5718&amp;D5718&lt;&gt;'Funnel setup'!$K$3&amp;'Funnel setup'!$K$4&amp;'Funnel setup'!$K$6,".",IF(A5717=".",1,A5717+1))</f>
        <v>.</v>
      </c>
      <c r="B5718" s="244" t="str">
        <f t="shared" si="89"/>
        <v/>
      </c>
    </row>
    <row r="5719" spans="1:2" x14ac:dyDescent="0.25">
      <c r="A5719" t="str">
        <f>IF(C5719&amp;G5719&amp;D5719&lt;&gt;'Funnel setup'!$K$3&amp;'Funnel setup'!$K$4&amp;'Funnel setup'!$K$6,".",IF(A5718=".",1,A5718+1))</f>
        <v>.</v>
      </c>
      <c r="B5719" s="244" t="str">
        <f t="shared" si="89"/>
        <v/>
      </c>
    </row>
    <row r="5720" spans="1:2" x14ac:dyDescent="0.25">
      <c r="A5720" t="str">
        <f>IF(C5720&amp;G5720&amp;D5720&lt;&gt;'Funnel setup'!$K$3&amp;'Funnel setup'!$K$4&amp;'Funnel setup'!$K$6,".",IF(A5719=".",1,A5719+1))</f>
        <v>.</v>
      </c>
      <c r="B5720" s="244" t="str">
        <f t="shared" si="89"/>
        <v/>
      </c>
    </row>
    <row r="5721" spans="1:2" x14ac:dyDescent="0.25">
      <c r="A5721" t="str">
        <f>IF(C5721&amp;G5721&amp;D5721&lt;&gt;'Funnel setup'!$K$3&amp;'Funnel setup'!$K$4&amp;'Funnel setup'!$K$6,".",IF(A5720=".",1,A5720+1))</f>
        <v>.</v>
      </c>
      <c r="B5721" s="244" t="str">
        <f t="shared" si="89"/>
        <v/>
      </c>
    </row>
    <row r="5722" spans="1:2" x14ac:dyDescent="0.25">
      <c r="A5722" t="str">
        <f>IF(C5722&amp;G5722&amp;D5722&lt;&gt;'Funnel setup'!$K$3&amp;'Funnel setup'!$K$4&amp;'Funnel setup'!$K$6,".",IF(A5721=".",1,A5721+1))</f>
        <v>.</v>
      </c>
      <c r="B5722" s="244" t="str">
        <f t="shared" si="89"/>
        <v/>
      </c>
    </row>
    <row r="5723" spans="1:2" x14ac:dyDescent="0.25">
      <c r="A5723" t="str">
        <f>IF(C5723&amp;G5723&amp;D5723&lt;&gt;'Funnel setup'!$K$3&amp;'Funnel setup'!$K$4&amp;'Funnel setup'!$K$6,".",IF(A5722=".",1,A5722+1))</f>
        <v>.</v>
      </c>
      <c r="B5723" s="244" t="str">
        <f t="shared" si="89"/>
        <v/>
      </c>
    </row>
    <row r="5724" spans="1:2" x14ac:dyDescent="0.25">
      <c r="A5724" t="str">
        <f>IF(C5724&amp;G5724&amp;D5724&lt;&gt;'Funnel setup'!$K$3&amp;'Funnel setup'!$K$4&amp;'Funnel setup'!$K$6,".",IF(A5723=".",1,A5723+1))</f>
        <v>.</v>
      </c>
      <c r="B5724" s="244" t="str">
        <f t="shared" si="89"/>
        <v/>
      </c>
    </row>
    <row r="5725" spans="1:2" x14ac:dyDescent="0.25">
      <c r="A5725" t="str">
        <f>IF(C5725&amp;G5725&amp;D5725&lt;&gt;'Funnel setup'!$K$3&amp;'Funnel setup'!$K$4&amp;'Funnel setup'!$K$6,".",IF(A5724=".",1,A5724+1))</f>
        <v>.</v>
      </c>
      <c r="B5725" s="244" t="str">
        <f t="shared" si="89"/>
        <v/>
      </c>
    </row>
    <row r="5726" spans="1:2" x14ac:dyDescent="0.25">
      <c r="A5726" t="str">
        <f>IF(C5726&amp;G5726&amp;D5726&lt;&gt;'Funnel setup'!$K$3&amp;'Funnel setup'!$K$4&amp;'Funnel setup'!$K$6,".",IF(A5725=".",1,A5725+1))</f>
        <v>.</v>
      </c>
      <c r="B5726" s="244" t="str">
        <f t="shared" si="89"/>
        <v/>
      </c>
    </row>
    <row r="5727" spans="1:2" x14ac:dyDescent="0.25">
      <c r="A5727" t="str">
        <f>IF(C5727&amp;G5727&amp;D5727&lt;&gt;'Funnel setup'!$K$3&amp;'Funnel setup'!$K$4&amp;'Funnel setup'!$K$6,".",IF(A5726=".",1,A5726+1))</f>
        <v>.</v>
      </c>
      <c r="B5727" s="244" t="str">
        <f t="shared" si="89"/>
        <v/>
      </c>
    </row>
    <row r="5728" spans="1:2" x14ac:dyDescent="0.25">
      <c r="A5728" t="str">
        <f>IF(C5728&amp;G5728&amp;D5728&lt;&gt;'Funnel setup'!$K$3&amp;'Funnel setup'!$K$4&amp;'Funnel setup'!$K$6,".",IF(A5727=".",1,A5727+1))</f>
        <v>.</v>
      </c>
      <c r="B5728" s="244" t="str">
        <f t="shared" si="89"/>
        <v/>
      </c>
    </row>
    <row r="5729" spans="1:2" x14ac:dyDescent="0.25">
      <c r="A5729" t="str">
        <f>IF(C5729&amp;G5729&amp;D5729&lt;&gt;'Funnel setup'!$K$3&amp;'Funnel setup'!$K$4&amp;'Funnel setup'!$K$6,".",IF(A5728=".",1,A5728+1))</f>
        <v>.</v>
      </c>
      <c r="B5729" s="244" t="str">
        <f t="shared" si="89"/>
        <v/>
      </c>
    </row>
    <row r="5730" spans="1:2" x14ac:dyDescent="0.25">
      <c r="A5730" t="str">
        <f>IF(C5730&amp;G5730&amp;D5730&lt;&gt;'Funnel setup'!$K$3&amp;'Funnel setup'!$K$4&amp;'Funnel setup'!$K$6,".",IF(A5729=".",1,A5729+1))</f>
        <v>.</v>
      </c>
      <c r="B5730" s="244" t="str">
        <f t="shared" si="89"/>
        <v/>
      </c>
    </row>
    <row r="5731" spans="1:2" x14ac:dyDescent="0.25">
      <c r="A5731" t="str">
        <f>IF(C5731&amp;G5731&amp;D5731&lt;&gt;'Funnel setup'!$K$3&amp;'Funnel setup'!$K$4&amp;'Funnel setup'!$K$6,".",IF(A5730=".",1,A5730+1))</f>
        <v>.</v>
      </c>
      <c r="B5731" s="244" t="str">
        <f t="shared" si="89"/>
        <v/>
      </c>
    </row>
    <row r="5732" spans="1:2" x14ac:dyDescent="0.25">
      <c r="A5732" t="str">
        <f>IF(C5732&amp;G5732&amp;D5732&lt;&gt;'Funnel setup'!$K$3&amp;'Funnel setup'!$K$4&amp;'Funnel setup'!$K$6,".",IF(A5731=".",1,A5731+1))</f>
        <v>.</v>
      </c>
      <c r="B5732" s="244" t="str">
        <f t="shared" si="89"/>
        <v/>
      </c>
    </row>
    <row r="5733" spans="1:2" x14ac:dyDescent="0.25">
      <c r="A5733" t="str">
        <f>IF(C5733&amp;G5733&amp;D5733&lt;&gt;'Funnel setup'!$K$3&amp;'Funnel setup'!$K$4&amp;'Funnel setup'!$K$6,".",IF(A5732=".",1,A5732+1))</f>
        <v>.</v>
      </c>
      <c r="B5733" s="244" t="str">
        <f t="shared" si="89"/>
        <v/>
      </c>
    </row>
    <row r="5734" spans="1:2" x14ac:dyDescent="0.25">
      <c r="A5734" t="str">
        <f>IF(C5734&amp;G5734&amp;D5734&lt;&gt;'Funnel setup'!$K$3&amp;'Funnel setup'!$K$4&amp;'Funnel setup'!$K$6,".",IF(A5733=".",1,A5733+1))</f>
        <v>.</v>
      </c>
      <c r="B5734" s="244" t="str">
        <f t="shared" si="89"/>
        <v/>
      </c>
    </row>
    <row r="5735" spans="1:2" x14ac:dyDescent="0.25">
      <c r="A5735" t="str">
        <f>IF(C5735&amp;G5735&amp;D5735&lt;&gt;'Funnel setup'!$K$3&amp;'Funnel setup'!$K$4&amp;'Funnel setup'!$K$6,".",IF(A5734=".",1,A5734+1))</f>
        <v>.</v>
      </c>
      <c r="B5735" s="244" t="str">
        <f t="shared" si="89"/>
        <v/>
      </c>
    </row>
    <row r="5736" spans="1:2" x14ac:dyDescent="0.25">
      <c r="A5736" t="str">
        <f>IF(C5736&amp;G5736&amp;D5736&lt;&gt;'Funnel setup'!$K$3&amp;'Funnel setup'!$K$4&amp;'Funnel setup'!$K$6,".",IF(A5735=".",1,A5735+1))</f>
        <v>.</v>
      </c>
      <c r="B5736" s="244" t="str">
        <f t="shared" si="89"/>
        <v/>
      </c>
    </row>
    <row r="5737" spans="1:2" x14ac:dyDescent="0.25">
      <c r="A5737" t="str">
        <f>IF(C5737&amp;G5737&amp;D5737&lt;&gt;'Funnel setup'!$K$3&amp;'Funnel setup'!$K$4&amp;'Funnel setup'!$K$6,".",IF(A5736=".",1,A5736+1))</f>
        <v>.</v>
      </c>
      <c r="B5737" s="244" t="str">
        <f t="shared" si="89"/>
        <v/>
      </c>
    </row>
    <row r="5738" spans="1:2" x14ac:dyDescent="0.25">
      <c r="A5738" t="str">
        <f>IF(C5738&amp;G5738&amp;D5738&lt;&gt;'Funnel setup'!$K$3&amp;'Funnel setup'!$K$4&amp;'Funnel setup'!$K$6,".",IF(A5737=".",1,A5737+1))</f>
        <v>.</v>
      </c>
      <c r="B5738" s="244" t="str">
        <f t="shared" si="89"/>
        <v/>
      </c>
    </row>
    <row r="5739" spans="1:2" x14ac:dyDescent="0.25">
      <c r="A5739" t="str">
        <f>IF(C5739&amp;G5739&amp;D5739&lt;&gt;'Funnel setup'!$K$3&amp;'Funnel setup'!$K$4&amp;'Funnel setup'!$K$6,".",IF(A5738=".",1,A5738+1))</f>
        <v>.</v>
      </c>
      <c r="B5739" s="244" t="str">
        <f t="shared" si="89"/>
        <v/>
      </c>
    </row>
    <row r="5740" spans="1:2" x14ac:dyDescent="0.25">
      <c r="A5740" t="str">
        <f>IF(C5740&amp;G5740&amp;D5740&lt;&gt;'Funnel setup'!$K$3&amp;'Funnel setup'!$K$4&amp;'Funnel setup'!$K$6,".",IF(A5739=".",1,A5739+1))</f>
        <v>.</v>
      </c>
      <c r="B5740" s="244" t="str">
        <f t="shared" si="89"/>
        <v/>
      </c>
    </row>
    <row r="5741" spans="1:2" x14ac:dyDescent="0.25">
      <c r="A5741" t="str">
        <f>IF(C5741&amp;G5741&amp;D5741&lt;&gt;'Funnel setup'!$K$3&amp;'Funnel setup'!$K$4&amp;'Funnel setup'!$K$6,".",IF(A5740=".",1,A5740+1))</f>
        <v>.</v>
      </c>
      <c r="B5741" s="244" t="str">
        <f t="shared" si="89"/>
        <v/>
      </c>
    </row>
    <row r="5742" spans="1:2" x14ac:dyDescent="0.25">
      <c r="A5742" t="str">
        <f>IF(C5742&amp;G5742&amp;D5742&lt;&gt;'Funnel setup'!$K$3&amp;'Funnel setup'!$K$4&amp;'Funnel setup'!$K$6,".",IF(A5741=".",1,A5741+1))</f>
        <v>.</v>
      </c>
      <c r="B5742" s="244" t="str">
        <f t="shared" si="89"/>
        <v/>
      </c>
    </row>
    <row r="5743" spans="1:2" x14ac:dyDescent="0.25">
      <c r="A5743" t="str">
        <f>IF(C5743&amp;G5743&amp;D5743&lt;&gt;'Funnel setup'!$K$3&amp;'Funnel setup'!$K$4&amp;'Funnel setup'!$K$6,".",IF(A5742=".",1,A5742+1))</f>
        <v>.</v>
      </c>
      <c r="B5743" s="244" t="str">
        <f t="shared" si="89"/>
        <v/>
      </c>
    </row>
    <row r="5744" spans="1:2" x14ac:dyDescent="0.25">
      <c r="A5744" t="str">
        <f>IF(C5744&amp;G5744&amp;D5744&lt;&gt;'Funnel setup'!$K$3&amp;'Funnel setup'!$K$4&amp;'Funnel setup'!$K$6,".",IF(A5743=".",1,A5743+1))</f>
        <v>.</v>
      </c>
      <c r="B5744" s="244" t="str">
        <f t="shared" si="89"/>
        <v/>
      </c>
    </row>
    <row r="5745" spans="1:2" x14ac:dyDescent="0.25">
      <c r="A5745" t="str">
        <f>IF(C5745&amp;G5745&amp;D5745&lt;&gt;'Funnel setup'!$K$3&amp;'Funnel setup'!$K$4&amp;'Funnel setup'!$K$6,".",IF(A5744=".",1,A5744+1))</f>
        <v>.</v>
      </c>
      <c r="B5745" s="244" t="str">
        <f t="shared" si="89"/>
        <v/>
      </c>
    </row>
    <row r="5746" spans="1:2" x14ac:dyDescent="0.25">
      <c r="A5746" t="str">
        <f>IF(C5746&amp;G5746&amp;D5746&lt;&gt;'Funnel setup'!$K$3&amp;'Funnel setup'!$K$4&amp;'Funnel setup'!$K$6,".",IF(A5745=".",1,A5745+1))</f>
        <v>.</v>
      </c>
      <c r="B5746" s="244" t="str">
        <f t="shared" si="89"/>
        <v/>
      </c>
    </row>
    <row r="5747" spans="1:2" x14ac:dyDescent="0.25">
      <c r="A5747" t="str">
        <f>IF(C5747&amp;G5747&amp;D5747&lt;&gt;'Funnel setup'!$K$3&amp;'Funnel setup'!$K$4&amp;'Funnel setup'!$K$6,".",IF(A5746=".",1,A5746+1))</f>
        <v>.</v>
      </c>
      <c r="B5747" s="244" t="str">
        <f t="shared" si="89"/>
        <v/>
      </c>
    </row>
    <row r="5748" spans="1:2" x14ac:dyDescent="0.25">
      <c r="A5748" t="str">
        <f>IF(C5748&amp;G5748&amp;D5748&lt;&gt;'Funnel setup'!$K$3&amp;'Funnel setup'!$K$4&amp;'Funnel setup'!$K$6,".",IF(A5747=".",1,A5747+1))</f>
        <v>.</v>
      </c>
      <c r="B5748" s="244" t="str">
        <f t="shared" si="89"/>
        <v/>
      </c>
    </row>
    <row r="5749" spans="1:2" x14ac:dyDescent="0.25">
      <c r="A5749" t="str">
        <f>IF(C5749&amp;G5749&amp;D5749&lt;&gt;'Funnel setup'!$K$3&amp;'Funnel setup'!$K$4&amp;'Funnel setup'!$K$6,".",IF(A5748=".",1,A5748+1))</f>
        <v>.</v>
      </c>
      <c r="B5749" s="244" t="str">
        <f t="shared" si="89"/>
        <v/>
      </c>
    </row>
    <row r="5750" spans="1:2" x14ac:dyDescent="0.25">
      <c r="A5750" t="str">
        <f>IF(C5750&amp;G5750&amp;D5750&lt;&gt;'Funnel setup'!$K$3&amp;'Funnel setup'!$K$4&amp;'Funnel setup'!$K$6,".",IF(A5749=".",1,A5749+1))</f>
        <v>.</v>
      </c>
      <c r="B5750" s="244" t="str">
        <f t="shared" si="89"/>
        <v/>
      </c>
    </row>
    <row r="5751" spans="1:2" x14ac:dyDescent="0.25">
      <c r="A5751" t="str">
        <f>IF(C5751&amp;G5751&amp;D5751&lt;&gt;'Funnel setup'!$K$3&amp;'Funnel setup'!$K$4&amp;'Funnel setup'!$K$6,".",IF(A5750=".",1,A5750+1))</f>
        <v>.</v>
      </c>
      <c r="B5751" s="244" t="str">
        <f t="shared" si="89"/>
        <v/>
      </c>
    </row>
    <row r="5752" spans="1:2" x14ac:dyDescent="0.25">
      <c r="A5752" t="str">
        <f>IF(C5752&amp;G5752&amp;D5752&lt;&gt;'Funnel setup'!$K$3&amp;'Funnel setup'!$K$4&amp;'Funnel setup'!$K$6,".",IF(A5751=".",1,A5751+1))</f>
        <v>.</v>
      </c>
      <c r="B5752" s="244" t="str">
        <f t="shared" si="89"/>
        <v/>
      </c>
    </row>
    <row r="5753" spans="1:2" x14ac:dyDescent="0.25">
      <c r="A5753" t="str">
        <f>IF(C5753&amp;G5753&amp;D5753&lt;&gt;'Funnel setup'!$K$3&amp;'Funnel setup'!$K$4&amp;'Funnel setup'!$K$6,".",IF(A5752=".",1,A5752+1))</f>
        <v>.</v>
      </c>
      <c r="B5753" s="244" t="str">
        <f t="shared" si="89"/>
        <v/>
      </c>
    </row>
    <row r="5754" spans="1:2" x14ac:dyDescent="0.25">
      <c r="A5754" t="str">
        <f>IF(C5754&amp;G5754&amp;D5754&lt;&gt;'Funnel setup'!$K$3&amp;'Funnel setup'!$K$4&amp;'Funnel setup'!$K$6,".",IF(A5753=".",1,A5753+1))</f>
        <v>.</v>
      </c>
      <c r="B5754" s="244" t="str">
        <f t="shared" si="89"/>
        <v/>
      </c>
    </row>
    <row r="5755" spans="1:2" x14ac:dyDescent="0.25">
      <c r="A5755" t="str">
        <f>IF(C5755&amp;G5755&amp;D5755&lt;&gt;'Funnel setup'!$K$3&amp;'Funnel setup'!$K$4&amp;'Funnel setup'!$K$6,".",IF(A5754=".",1,A5754+1))</f>
        <v>.</v>
      </c>
      <c r="B5755" s="244" t="str">
        <f t="shared" si="89"/>
        <v/>
      </c>
    </row>
    <row r="5756" spans="1:2" x14ac:dyDescent="0.25">
      <c r="A5756" t="str">
        <f>IF(C5756&amp;G5756&amp;D5756&lt;&gt;'Funnel setup'!$K$3&amp;'Funnel setup'!$K$4&amp;'Funnel setup'!$K$6,".",IF(A5755=".",1,A5755+1))</f>
        <v>.</v>
      </c>
      <c r="B5756" s="244" t="str">
        <f t="shared" si="89"/>
        <v/>
      </c>
    </row>
    <row r="5757" spans="1:2" x14ac:dyDescent="0.25">
      <c r="A5757" t="str">
        <f>IF(C5757&amp;G5757&amp;D5757&lt;&gt;'Funnel setup'!$K$3&amp;'Funnel setup'!$K$4&amp;'Funnel setup'!$K$6,".",IF(A5756=".",1,A5756+1))</f>
        <v>.</v>
      </c>
      <c r="B5757" s="244" t="str">
        <f t="shared" si="89"/>
        <v/>
      </c>
    </row>
    <row r="5758" spans="1:2" x14ac:dyDescent="0.25">
      <c r="A5758" t="str">
        <f>IF(C5758&amp;G5758&amp;D5758&lt;&gt;'Funnel setup'!$K$3&amp;'Funnel setup'!$K$4&amp;'Funnel setup'!$K$6,".",IF(A5757=".",1,A5757+1))</f>
        <v>.</v>
      </c>
      <c r="B5758" s="244" t="str">
        <f t="shared" si="89"/>
        <v/>
      </c>
    </row>
    <row r="5759" spans="1:2" x14ac:dyDescent="0.25">
      <c r="A5759" t="str">
        <f>IF(C5759&amp;G5759&amp;D5759&lt;&gt;'Funnel setup'!$K$3&amp;'Funnel setup'!$K$4&amp;'Funnel setup'!$K$6,".",IF(A5758=".",1,A5758+1))</f>
        <v>.</v>
      </c>
      <c r="B5759" s="244" t="str">
        <f t="shared" si="89"/>
        <v/>
      </c>
    </row>
    <row r="5760" spans="1:2" x14ac:dyDescent="0.25">
      <c r="A5760" t="str">
        <f>IF(C5760&amp;G5760&amp;D5760&lt;&gt;'Funnel setup'!$K$3&amp;'Funnel setup'!$K$4&amp;'Funnel setup'!$K$6,".",IF(A5759=".",1,A5759+1))</f>
        <v>.</v>
      </c>
      <c r="B5760" s="244" t="str">
        <f t="shared" si="89"/>
        <v/>
      </c>
    </row>
    <row r="5761" spans="1:2" x14ac:dyDescent="0.25">
      <c r="A5761" t="str">
        <f>IF(C5761&amp;G5761&amp;D5761&lt;&gt;'Funnel setup'!$K$3&amp;'Funnel setup'!$K$4&amp;'Funnel setup'!$K$6,".",IF(A5760=".",1,A5760+1))</f>
        <v>.</v>
      </c>
      <c r="B5761" s="244" t="str">
        <f t="shared" si="89"/>
        <v/>
      </c>
    </row>
    <row r="5762" spans="1:2" x14ac:dyDescent="0.25">
      <c r="A5762" t="str">
        <f>IF(C5762&amp;G5762&amp;D5762&lt;&gt;'Funnel setup'!$K$3&amp;'Funnel setup'!$K$4&amp;'Funnel setup'!$K$6,".",IF(A5761=".",1,A5761+1))</f>
        <v>.</v>
      </c>
      <c r="B5762" s="244" t="str">
        <f t="shared" ref="B5762:B5825" si="90">C5762&amp;D5762&amp;F5762&amp;G5762</f>
        <v/>
      </c>
    </row>
    <row r="5763" spans="1:2" x14ac:dyDescent="0.25">
      <c r="A5763" t="str">
        <f>IF(C5763&amp;G5763&amp;D5763&lt;&gt;'Funnel setup'!$K$3&amp;'Funnel setup'!$K$4&amp;'Funnel setup'!$K$6,".",IF(A5762=".",1,A5762+1))</f>
        <v>.</v>
      </c>
      <c r="B5763" s="244" t="str">
        <f t="shared" si="90"/>
        <v/>
      </c>
    </row>
    <row r="5764" spans="1:2" x14ac:dyDescent="0.25">
      <c r="A5764" t="str">
        <f>IF(C5764&amp;G5764&amp;D5764&lt;&gt;'Funnel setup'!$K$3&amp;'Funnel setup'!$K$4&amp;'Funnel setup'!$K$6,".",IF(A5763=".",1,A5763+1))</f>
        <v>.</v>
      </c>
      <c r="B5764" s="244" t="str">
        <f t="shared" si="90"/>
        <v/>
      </c>
    </row>
    <row r="5765" spans="1:2" x14ac:dyDescent="0.25">
      <c r="A5765" t="str">
        <f>IF(C5765&amp;G5765&amp;D5765&lt;&gt;'Funnel setup'!$K$3&amp;'Funnel setup'!$K$4&amp;'Funnel setup'!$K$6,".",IF(A5764=".",1,A5764+1))</f>
        <v>.</v>
      </c>
      <c r="B5765" s="244" t="str">
        <f t="shared" si="90"/>
        <v/>
      </c>
    </row>
    <row r="5766" spans="1:2" x14ac:dyDescent="0.25">
      <c r="A5766" t="str">
        <f>IF(C5766&amp;G5766&amp;D5766&lt;&gt;'Funnel setup'!$K$3&amp;'Funnel setup'!$K$4&amp;'Funnel setup'!$K$6,".",IF(A5765=".",1,A5765+1))</f>
        <v>.</v>
      </c>
      <c r="B5766" s="244" t="str">
        <f t="shared" si="90"/>
        <v/>
      </c>
    </row>
    <row r="5767" spans="1:2" x14ac:dyDescent="0.25">
      <c r="A5767" t="str">
        <f>IF(C5767&amp;G5767&amp;D5767&lt;&gt;'Funnel setup'!$K$3&amp;'Funnel setup'!$K$4&amp;'Funnel setup'!$K$6,".",IF(A5766=".",1,A5766+1))</f>
        <v>.</v>
      </c>
      <c r="B5767" s="244" t="str">
        <f t="shared" si="90"/>
        <v/>
      </c>
    </row>
    <row r="5768" spans="1:2" x14ac:dyDescent="0.25">
      <c r="A5768" t="str">
        <f>IF(C5768&amp;G5768&amp;D5768&lt;&gt;'Funnel setup'!$K$3&amp;'Funnel setup'!$K$4&amp;'Funnel setup'!$K$6,".",IF(A5767=".",1,A5767+1))</f>
        <v>.</v>
      </c>
      <c r="B5768" s="244" t="str">
        <f t="shared" si="90"/>
        <v/>
      </c>
    </row>
    <row r="5769" spans="1:2" x14ac:dyDescent="0.25">
      <c r="A5769" t="str">
        <f>IF(C5769&amp;G5769&amp;D5769&lt;&gt;'Funnel setup'!$K$3&amp;'Funnel setup'!$K$4&amp;'Funnel setup'!$K$6,".",IF(A5768=".",1,A5768+1))</f>
        <v>.</v>
      </c>
      <c r="B5769" s="244" t="str">
        <f t="shared" si="90"/>
        <v/>
      </c>
    </row>
    <row r="5770" spans="1:2" x14ac:dyDescent="0.25">
      <c r="A5770" t="str">
        <f>IF(C5770&amp;G5770&amp;D5770&lt;&gt;'Funnel setup'!$K$3&amp;'Funnel setup'!$K$4&amp;'Funnel setup'!$K$6,".",IF(A5769=".",1,A5769+1))</f>
        <v>.</v>
      </c>
      <c r="B5770" s="244" t="str">
        <f t="shared" si="90"/>
        <v/>
      </c>
    </row>
    <row r="5771" spans="1:2" x14ac:dyDescent="0.25">
      <c r="A5771" t="str">
        <f>IF(C5771&amp;G5771&amp;D5771&lt;&gt;'Funnel setup'!$K$3&amp;'Funnel setup'!$K$4&amp;'Funnel setup'!$K$6,".",IF(A5770=".",1,A5770+1))</f>
        <v>.</v>
      </c>
      <c r="B5771" s="244" t="str">
        <f t="shared" si="90"/>
        <v/>
      </c>
    </row>
    <row r="5772" spans="1:2" x14ac:dyDescent="0.25">
      <c r="A5772" t="str">
        <f>IF(C5772&amp;G5772&amp;D5772&lt;&gt;'Funnel setup'!$K$3&amp;'Funnel setup'!$K$4&amp;'Funnel setup'!$K$6,".",IF(A5771=".",1,A5771+1))</f>
        <v>.</v>
      </c>
      <c r="B5772" s="244" t="str">
        <f t="shared" si="90"/>
        <v/>
      </c>
    </row>
    <row r="5773" spans="1:2" x14ac:dyDescent="0.25">
      <c r="A5773" t="str">
        <f>IF(C5773&amp;G5773&amp;D5773&lt;&gt;'Funnel setup'!$K$3&amp;'Funnel setup'!$K$4&amp;'Funnel setup'!$K$6,".",IF(A5772=".",1,A5772+1))</f>
        <v>.</v>
      </c>
      <c r="B5773" s="244" t="str">
        <f t="shared" si="90"/>
        <v/>
      </c>
    </row>
    <row r="5774" spans="1:2" x14ac:dyDescent="0.25">
      <c r="A5774" t="str">
        <f>IF(C5774&amp;G5774&amp;D5774&lt;&gt;'Funnel setup'!$K$3&amp;'Funnel setup'!$K$4&amp;'Funnel setup'!$K$6,".",IF(A5773=".",1,A5773+1))</f>
        <v>.</v>
      </c>
      <c r="B5774" s="244" t="str">
        <f t="shared" si="90"/>
        <v/>
      </c>
    </row>
    <row r="5775" spans="1:2" x14ac:dyDescent="0.25">
      <c r="A5775" t="str">
        <f>IF(C5775&amp;G5775&amp;D5775&lt;&gt;'Funnel setup'!$K$3&amp;'Funnel setup'!$K$4&amp;'Funnel setup'!$K$6,".",IF(A5774=".",1,A5774+1))</f>
        <v>.</v>
      </c>
      <c r="B5775" s="244" t="str">
        <f t="shared" si="90"/>
        <v/>
      </c>
    </row>
    <row r="5776" spans="1:2" x14ac:dyDescent="0.25">
      <c r="A5776" t="str">
        <f>IF(C5776&amp;G5776&amp;D5776&lt;&gt;'Funnel setup'!$K$3&amp;'Funnel setup'!$K$4&amp;'Funnel setup'!$K$6,".",IF(A5775=".",1,A5775+1))</f>
        <v>.</v>
      </c>
      <c r="B5776" s="244" t="str">
        <f t="shared" si="90"/>
        <v/>
      </c>
    </row>
    <row r="5777" spans="1:2" x14ac:dyDescent="0.25">
      <c r="A5777" t="str">
        <f>IF(C5777&amp;G5777&amp;D5777&lt;&gt;'Funnel setup'!$K$3&amp;'Funnel setup'!$K$4&amp;'Funnel setup'!$K$6,".",IF(A5776=".",1,A5776+1))</f>
        <v>.</v>
      </c>
      <c r="B5777" s="244" t="str">
        <f t="shared" si="90"/>
        <v/>
      </c>
    </row>
    <row r="5778" spans="1:2" x14ac:dyDescent="0.25">
      <c r="A5778" t="str">
        <f>IF(C5778&amp;G5778&amp;D5778&lt;&gt;'Funnel setup'!$K$3&amp;'Funnel setup'!$K$4&amp;'Funnel setup'!$K$6,".",IF(A5777=".",1,A5777+1))</f>
        <v>.</v>
      </c>
      <c r="B5778" s="244" t="str">
        <f t="shared" si="90"/>
        <v/>
      </c>
    </row>
    <row r="5779" spans="1:2" x14ac:dyDescent="0.25">
      <c r="A5779" t="str">
        <f>IF(C5779&amp;G5779&amp;D5779&lt;&gt;'Funnel setup'!$K$3&amp;'Funnel setup'!$K$4&amp;'Funnel setup'!$K$6,".",IF(A5778=".",1,A5778+1))</f>
        <v>.</v>
      </c>
      <c r="B5779" s="244" t="str">
        <f t="shared" si="90"/>
        <v/>
      </c>
    </row>
    <row r="5780" spans="1:2" x14ac:dyDescent="0.25">
      <c r="A5780" t="str">
        <f>IF(C5780&amp;G5780&amp;D5780&lt;&gt;'Funnel setup'!$K$3&amp;'Funnel setup'!$K$4&amp;'Funnel setup'!$K$6,".",IF(A5779=".",1,A5779+1))</f>
        <v>.</v>
      </c>
      <c r="B5780" s="244" t="str">
        <f t="shared" si="90"/>
        <v/>
      </c>
    </row>
    <row r="5781" spans="1:2" x14ac:dyDescent="0.25">
      <c r="A5781" t="str">
        <f>IF(C5781&amp;G5781&amp;D5781&lt;&gt;'Funnel setup'!$K$3&amp;'Funnel setup'!$K$4&amp;'Funnel setup'!$K$6,".",IF(A5780=".",1,A5780+1))</f>
        <v>.</v>
      </c>
      <c r="B5781" s="244" t="str">
        <f t="shared" si="90"/>
        <v/>
      </c>
    </row>
    <row r="5782" spans="1:2" x14ac:dyDescent="0.25">
      <c r="A5782" t="str">
        <f>IF(C5782&amp;G5782&amp;D5782&lt;&gt;'Funnel setup'!$K$3&amp;'Funnel setup'!$K$4&amp;'Funnel setup'!$K$6,".",IF(A5781=".",1,A5781+1))</f>
        <v>.</v>
      </c>
      <c r="B5782" s="244" t="str">
        <f t="shared" si="90"/>
        <v/>
      </c>
    </row>
    <row r="5783" spans="1:2" x14ac:dyDescent="0.25">
      <c r="A5783" t="str">
        <f>IF(C5783&amp;G5783&amp;D5783&lt;&gt;'Funnel setup'!$K$3&amp;'Funnel setup'!$K$4&amp;'Funnel setup'!$K$6,".",IF(A5782=".",1,A5782+1))</f>
        <v>.</v>
      </c>
      <c r="B5783" s="244" t="str">
        <f t="shared" si="90"/>
        <v/>
      </c>
    </row>
    <row r="5784" spans="1:2" x14ac:dyDescent="0.25">
      <c r="A5784" t="str">
        <f>IF(C5784&amp;G5784&amp;D5784&lt;&gt;'Funnel setup'!$K$3&amp;'Funnel setup'!$K$4&amp;'Funnel setup'!$K$6,".",IF(A5783=".",1,A5783+1))</f>
        <v>.</v>
      </c>
      <c r="B5784" s="244" t="str">
        <f t="shared" si="90"/>
        <v/>
      </c>
    </row>
    <row r="5785" spans="1:2" x14ac:dyDescent="0.25">
      <c r="A5785" t="str">
        <f>IF(C5785&amp;G5785&amp;D5785&lt;&gt;'Funnel setup'!$K$3&amp;'Funnel setup'!$K$4&amp;'Funnel setup'!$K$6,".",IF(A5784=".",1,A5784+1))</f>
        <v>.</v>
      </c>
      <c r="B5785" s="244" t="str">
        <f t="shared" si="90"/>
        <v/>
      </c>
    </row>
    <row r="5786" spans="1:2" x14ac:dyDescent="0.25">
      <c r="A5786" t="str">
        <f>IF(C5786&amp;G5786&amp;D5786&lt;&gt;'Funnel setup'!$K$3&amp;'Funnel setup'!$K$4&amp;'Funnel setup'!$K$6,".",IF(A5785=".",1,A5785+1))</f>
        <v>.</v>
      </c>
      <c r="B5786" s="244" t="str">
        <f t="shared" si="90"/>
        <v/>
      </c>
    </row>
    <row r="5787" spans="1:2" x14ac:dyDescent="0.25">
      <c r="A5787" t="str">
        <f>IF(C5787&amp;G5787&amp;D5787&lt;&gt;'Funnel setup'!$K$3&amp;'Funnel setup'!$K$4&amp;'Funnel setup'!$K$6,".",IF(A5786=".",1,A5786+1))</f>
        <v>.</v>
      </c>
      <c r="B5787" s="244" t="str">
        <f t="shared" si="90"/>
        <v/>
      </c>
    </row>
    <row r="5788" spans="1:2" x14ac:dyDescent="0.25">
      <c r="A5788" t="str">
        <f>IF(C5788&amp;G5788&amp;D5788&lt;&gt;'Funnel setup'!$K$3&amp;'Funnel setup'!$K$4&amp;'Funnel setup'!$K$6,".",IF(A5787=".",1,A5787+1))</f>
        <v>.</v>
      </c>
      <c r="B5788" s="244" t="str">
        <f t="shared" si="90"/>
        <v/>
      </c>
    </row>
    <row r="5789" spans="1:2" x14ac:dyDescent="0.25">
      <c r="A5789" t="str">
        <f>IF(C5789&amp;G5789&amp;D5789&lt;&gt;'Funnel setup'!$K$3&amp;'Funnel setup'!$K$4&amp;'Funnel setup'!$K$6,".",IF(A5788=".",1,A5788+1))</f>
        <v>.</v>
      </c>
      <c r="B5789" s="244" t="str">
        <f t="shared" si="90"/>
        <v/>
      </c>
    </row>
    <row r="5790" spans="1:2" x14ac:dyDescent="0.25">
      <c r="A5790" t="str">
        <f>IF(C5790&amp;G5790&amp;D5790&lt;&gt;'Funnel setup'!$K$3&amp;'Funnel setup'!$K$4&amp;'Funnel setup'!$K$6,".",IF(A5789=".",1,A5789+1))</f>
        <v>.</v>
      </c>
      <c r="B5790" s="244" t="str">
        <f t="shared" si="90"/>
        <v/>
      </c>
    </row>
    <row r="5791" spans="1:2" x14ac:dyDescent="0.25">
      <c r="A5791" t="str">
        <f>IF(C5791&amp;G5791&amp;D5791&lt;&gt;'Funnel setup'!$K$3&amp;'Funnel setup'!$K$4&amp;'Funnel setup'!$K$6,".",IF(A5790=".",1,A5790+1))</f>
        <v>.</v>
      </c>
      <c r="B5791" s="244" t="str">
        <f t="shared" si="90"/>
        <v/>
      </c>
    </row>
    <row r="5792" spans="1:2" x14ac:dyDescent="0.25">
      <c r="A5792" t="str">
        <f>IF(C5792&amp;G5792&amp;D5792&lt;&gt;'Funnel setup'!$K$3&amp;'Funnel setup'!$K$4&amp;'Funnel setup'!$K$6,".",IF(A5791=".",1,A5791+1))</f>
        <v>.</v>
      </c>
      <c r="B5792" s="244" t="str">
        <f t="shared" si="90"/>
        <v/>
      </c>
    </row>
    <row r="5793" spans="1:2" x14ac:dyDescent="0.25">
      <c r="A5793" t="str">
        <f>IF(C5793&amp;G5793&amp;D5793&lt;&gt;'Funnel setup'!$K$3&amp;'Funnel setup'!$K$4&amp;'Funnel setup'!$K$6,".",IF(A5792=".",1,A5792+1))</f>
        <v>.</v>
      </c>
      <c r="B5793" s="244" t="str">
        <f t="shared" si="90"/>
        <v/>
      </c>
    </row>
    <row r="5794" spans="1:2" x14ac:dyDescent="0.25">
      <c r="A5794" t="str">
        <f>IF(C5794&amp;G5794&amp;D5794&lt;&gt;'Funnel setup'!$K$3&amp;'Funnel setup'!$K$4&amp;'Funnel setup'!$K$6,".",IF(A5793=".",1,A5793+1))</f>
        <v>.</v>
      </c>
      <c r="B5794" s="244" t="str">
        <f t="shared" si="90"/>
        <v/>
      </c>
    </row>
    <row r="5795" spans="1:2" x14ac:dyDescent="0.25">
      <c r="A5795" t="str">
        <f>IF(C5795&amp;G5795&amp;D5795&lt;&gt;'Funnel setup'!$K$3&amp;'Funnel setup'!$K$4&amp;'Funnel setup'!$K$6,".",IF(A5794=".",1,A5794+1))</f>
        <v>.</v>
      </c>
      <c r="B5795" s="244" t="str">
        <f t="shared" si="90"/>
        <v/>
      </c>
    </row>
    <row r="5796" spans="1:2" x14ac:dyDescent="0.25">
      <c r="A5796" t="str">
        <f>IF(C5796&amp;G5796&amp;D5796&lt;&gt;'Funnel setup'!$K$3&amp;'Funnel setup'!$K$4&amp;'Funnel setup'!$K$6,".",IF(A5795=".",1,A5795+1))</f>
        <v>.</v>
      </c>
      <c r="B5796" s="244" t="str">
        <f t="shared" si="90"/>
        <v/>
      </c>
    </row>
    <row r="5797" spans="1:2" x14ac:dyDescent="0.25">
      <c r="A5797" t="str">
        <f>IF(C5797&amp;G5797&amp;D5797&lt;&gt;'Funnel setup'!$K$3&amp;'Funnel setup'!$K$4&amp;'Funnel setup'!$K$6,".",IF(A5796=".",1,A5796+1))</f>
        <v>.</v>
      </c>
      <c r="B5797" s="244" t="str">
        <f t="shared" si="90"/>
        <v/>
      </c>
    </row>
    <row r="5798" spans="1:2" x14ac:dyDescent="0.25">
      <c r="A5798" t="str">
        <f>IF(C5798&amp;G5798&amp;D5798&lt;&gt;'Funnel setup'!$K$3&amp;'Funnel setup'!$K$4&amp;'Funnel setup'!$K$6,".",IF(A5797=".",1,A5797+1))</f>
        <v>.</v>
      </c>
      <c r="B5798" s="244" t="str">
        <f t="shared" si="90"/>
        <v/>
      </c>
    </row>
    <row r="5799" spans="1:2" x14ac:dyDescent="0.25">
      <c r="A5799" t="str">
        <f>IF(C5799&amp;G5799&amp;D5799&lt;&gt;'Funnel setup'!$K$3&amp;'Funnel setup'!$K$4&amp;'Funnel setup'!$K$6,".",IF(A5798=".",1,A5798+1))</f>
        <v>.</v>
      </c>
      <c r="B5799" s="244" t="str">
        <f t="shared" si="90"/>
        <v/>
      </c>
    </row>
    <row r="5800" spans="1:2" x14ac:dyDescent="0.25">
      <c r="A5800" t="str">
        <f>IF(C5800&amp;G5800&amp;D5800&lt;&gt;'Funnel setup'!$K$3&amp;'Funnel setup'!$K$4&amp;'Funnel setup'!$K$6,".",IF(A5799=".",1,A5799+1))</f>
        <v>.</v>
      </c>
      <c r="B5800" s="244" t="str">
        <f t="shared" si="90"/>
        <v/>
      </c>
    </row>
    <row r="5801" spans="1:2" x14ac:dyDescent="0.25">
      <c r="A5801" t="str">
        <f>IF(C5801&amp;G5801&amp;D5801&lt;&gt;'Funnel setup'!$K$3&amp;'Funnel setup'!$K$4&amp;'Funnel setup'!$K$6,".",IF(A5800=".",1,A5800+1))</f>
        <v>.</v>
      </c>
      <c r="B5801" s="244" t="str">
        <f t="shared" si="90"/>
        <v/>
      </c>
    </row>
    <row r="5802" spans="1:2" x14ac:dyDescent="0.25">
      <c r="A5802" t="str">
        <f>IF(C5802&amp;G5802&amp;D5802&lt;&gt;'Funnel setup'!$K$3&amp;'Funnel setup'!$K$4&amp;'Funnel setup'!$K$6,".",IF(A5801=".",1,A5801+1))</f>
        <v>.</v>
      </c>
      <c r="B5802" s="244" t="str">
        <f t="shared" si="90"/>
        <v/>
      </c>
    </row>
    <row r="5803" spans="1:2" x14ac:dyDescent="0.25">
      <c r="A5803" t="str">
        <f>IF(C5803&amp;G5803&amp;D5803&lt;&gt;'Funnel setup'!$K$3&amp;'Funnel setup'!$K$4&amp;'Funnel setup'!$K$6,".",IF(A5802=".",1,A5802+1))</f>
        <v>.</v>
      </c>
      <c r="B5803" s="244" t="str">
        <f t="shared" si="90"/>
        <v/>
      </c>
    </row>
    <row r="5804" spans="1:2" x14ac:dyDescent="0.25">
      <c r="A5804" t="str">
        <f>IF(C5804&amp;G5804&amp;D5804&lt;&gt;'Funnel setup'!$K$3&amp;'Funnel setup'!$K$4&amp;'Funnel setup'!$K$6,".",IF(A5803=".",1,A5803+1))</f>
        <v>.</v>
      </c>
      <c r="B5804" s="244" t="str">
        <f t="shared" si="90"/>
        <v/>
      </c>
    </row>
    <row r="5805" spans="1:2" x14ac:dyDescent="0.25">
      <c r="A5805" t="str">
        <f>IF(C5805&amp;G5805&amp;D5805&lt;&gt;'Funnel setup'!$K$3&amp;'Funnel setup'!$K$4&amp;'Funnel setup'!$K$6,".",IF(A5804=".",1,A5804+1))</f>
        <v>.</v>
      </c>
      <c r="B5805" s="244" t="str">
        <f t="shared" si="90"/>
        <v/>
      </c>
    </row>
    <row r="5806" spans="1:2" x14ac:dyDescent="0.25">
      <c r="A5806" t="str">
        <f>IF(C5806&amp;G5806&amp;D5806&lt;&gt;'Funnel setup'!$K$3&amp;'Funnel setup'!$K$4&amp;'Funnel setup'!$K$6,".",IF(A5805=".",1,A5805+1))</f>
        <v>.</v>
      </c>
      <c r="B5806" s="244" t="str">
        <f t="shared" si="90"/>
        <v/>
      </c>
    </row>
    <row r="5807" spans="1:2" x14ac:dyDescent="0.25">
      <c r="A5807" t="str">
        <f>IF(C5807&amp;G5807&amp;D5807&lt;&gt;'Funnel setup'!$K$3&amp;'Funnel setup'!$K$4&amp;'Funnel setup'!$K$6,".",IF(A5806=".",1,A5806+1))</f>
        <v>.</v>
      </c>
      <c r="B5807" s="244" t="str">
        <f t="shared" si="90"/>
        <v/>
      </c>
    </row>
    <row r="5808" spans="1:2" x14ac:dyDescent="0.25">
      <c r="A5808" t="str">
        <f>IF(C5808&amp;G5808&amp;D5808&lt;&gt;'Funnel setup'!$K$3&amp;'Funnel setup'!$K$4&amp;'Funnel setup'!$K$6,".",IF(A5807=".",1,A5807+1))</f>
        <v>.</v>
      </c>
      <c r="B5808" s="244" t="str">
        <f t="shared" si="90"/>
        <v/>
      </c>
    </row>
    <row r="5809" spans="1:2" x14ac:dyDescent="0.25">
      <c r="A5809" t="str">
        <f>IF(C5809&amp;G5809&amp;D5809&lt;&gt;'Funnel setup'!$K$3&amp;'Funnel setup'!$K$4&amp;'Funnel setup'!$K$6,".",IF(A5808=".",1,A5808+1))</f>
        <v>.</v>
      </c>
      <c r="B5809" s="244" t="str">
        <f t="shared" si="90"/>
        <v/>
      </c>
    </row>
    <row r="5810" spans="1:2" x14ac:dyDescent="0.25">
      <c r="A5810" t="str">
        <f>IF(C5810&amp;G5810&amp;D5810&lt;&gt;'Funnel setup'!$K$3&amp;'Funnel setup'!$K$4&amp;'Funnel setup'!$K$6,".",IF(A5809=".",1,A5809+1))</f>
        <v>.</v>
      </c>
      <c r="B5810" s="244" t="str">
        <f t="shared" si="90"/>
        <v/>
      </c>
    </row>
    <row r="5811" spans="1:2" x14ac:dyDescent="0.25">
      <c r="A5811" t="str">
        <f>IF(C5811&amp;G5811&amp;D5811&lt;&gt;'Funnel setup'!$K$3&amp;'Funnel setup'!$K$4&amp;'Funnel setup'!$K$6,".",IF(A5810=".",1,A5810+1))</f>
        <v>.</v>
      </c>
      <c r="B5811" s="244" t="str">
        <f t="shared" si="90"/>
        <v/>
      </c>
    </row>
    <row r="5812" spans="1:2" x14ac:dyDescent="0.25">
      <c r="A5812" t="str">
        <f>IF(C5812&amp;G5812&amp;D5812&lt;&gt;'Funnel setup'!$K$3&amp;'Funnel setup'!$K$4&amp;'Funnel setup'!$K$6,".",IF(A5811=".",1,A5811+1))</f>
        <v>.</v>
      </c>
      <c r="B5812" s="244" t="str">
        <f t="shared" si="90"/>
        <v/>
      </c>
    </row>
    <row r="5813" spans="1:2" x14ac:dyDescent="0.25">
      <c r="A5813" t="str">
        <f>IF(C5813&amp;G5813&amp;D5813&lt;&gt;'Funnel setup'!$K$3&amp;'Funnel setup'!$K$4&amp;'Funnel setup'!$K$6,".",IF(A5812=".",1,A5812+1))</f>
        <v>.</v>
      </c>
      <c r="B5813" s="244" t="str">
        <f t="shared" si="90"/>
        <v/>
      </c>
    </row>
    <row r="5814" spans="1:2" x14ac:dyDescent="0.25">
      <c r="A5814" t="str">
        <f>IF(C5814&amp;G5814&amp;D5814&lt;&gt;'Funnel setup'!$K$3&amp;'Funnel setup'!$K$4&amp;'Funnel setup'!$K$6,".",IF(A5813=".",1,A5813+1))</f>
        <v>.</v>
      </c>
      <c r="B5814" s="244" t="str">
        <f t="shared" si="90"/>
        <v/>
      </c>
    </row>
    <row r="5815" spans="1:2" x14ac:dyDescent="0.25">
      <c r="A5815" t="str">
        <f>IF(C5815&amp;G5815&amp;D5815&lt;&gt;'Funnel setup'!$K$3&amp;'Funnel setup'!$K$4&amp;'Funnel setup'!$K$6,".",IF(A5814=".",1,A5814+1))</f>
        <v>.</v>
      </c>
      <c r="B5815" s="244" t="str">
        <f t="shared" si="90"/>
        <v/>
      </c>
    </row>
    <row r="5816" spans="1:2" x14ac:dyDescent="0.25">
      <c r="A5816" t="str">
        <f>IF(C5816&amp;G5816&amp;D5816&lt;&gt;'Funnel setup'!$K$3&amp;'Funnel setup'!$K$4&amp;'Funnel setup'!$K$6,".",IF(A5815=".",1,A5815+1))</f>
        <v>.</v>
      </c>
      <c r="B5816" s="244" t="str">
        <f t="shared" si="90"/>
        <v/>
      </c>
    </row>
    <row r="5817" spans="1:2" x14ac:dyDescent="0.25">
      <c r="A5817" t="str">
        <f>IF(C5817&amp;G5817&amp;D5817&lt;&gt;'Funnel setup'!$K$3&amp;'Funnel setup'!$K$4&amp;'Funnel setup'!$K$6,".",IF(A5816=".",1,A5816+1))</f>
        <v>.</v>
      </c>
      <c r="B5817" s="244" t="str">
        <f t="shared" si="90"/>
        <v/>
      </c>
    </row>
    <row r="5818" spans="1:2" x14ac:dyDescent="0.25">
      <c r="A5818" t="str">
        <f>IF(C5818&amp;G5818&amp;D5818&lt;&gt;'Funnel setup'!$K$3&amp;'Funnel setup'!$K$4&amp;'Funnel setup'!$K$6,".",IF(A5817=".",1,A5817+1))</f>
        <v>.</v>
      </c>
      <c r="B5818" s="244" t="str">
        <f t="shared" si="90"/>
        <v/>
      </c>
    </row>
    <row r="5819" spans="1:2" x14ac:dyDescent="0.25">
      <c r="A5819" t="str">
        <f>IF(C5819&amp;G5819&amp;D5819&lt;&gt;'Funnel setup'!$K$3&amp;'Funnel setup'!$K$4&amp;'Funnel setup'!$K$6,".",IF(A5818=".",1,A5818+1))</f>
        <v>.</v>
      </c>
      <c r="B5819" s="244" t="str">
        <f t="shared" si="90"/>
        <v/>
      </c>
    </row>
    <row r="5820" spans="1:2" x14ac:dyDescent="0.25">
      <c r="A5820" t="str">
        <f>IF(C5820&amp;G5820&amp;D5820&lt;&gt;'Funnel setup'!$K$3&amp;'Funnel setup'!$K$4&amp;'Funnel setup'!$K$6,".",IF(A5819=".",1,A5819+1))</f>
        <v>.</v>
      </c>
      <c r="B5820" s="244" t="str">
        <f t="shared" si="90"/>
        <v/>
      </c>
    </row>
    <row r="5821" spans="1:2" x14ac:dyDescent="0.25">
      <c r="A5821" t="str">
        <f>IF(C5821&amp;G5821&amp;D5821&lt;&gt;'Funnel setup'!$K$3&amp;'Funnel setup'!$K$4&amp;'Funnel setup'!$K$6,".",IF(A5820=".",1,A5820+1))</f>
        <v>.</v>
      </c>
      <c r="B5821" s="244" t="str">
        <f t="shared" si="90"/>
        <v/>
      </c>
    </row>
    <row r="5822" spans="1:2" x14ac:dyDescent="0.25">
      <c r="A5822" t="str">
        <f>IF(C5822&amp;G5822&amp;D5822&lt;&gt;'Funnel setup'!$K$3&amp;'Funnel setup'!$K$4&amp;'Funnel setup'!$K$6,".",IF(A5821=".",1,A5821+1))</f>
        <v>.</v>
      </c>
      <c r="B5822" s="244" t="str">
        <f t="shared" si="90"/>
        <v/>
      </c>
    </row>
    <row r="5823" spans="1:2" x14ac:dyDescent="0.25">
      <c r="A5823" t="str">
        <f>IF(C5823&amp;G5823&amp;D5823&lt;&gt;'Funnel setup'!$K$3&amp;'Funnel setup'!$K$4&amp;'Funnel setup'!$K$6,".",IF(A5822=".",1,A5822+1))</f>
        <v>.</v>
      </c>
      <c r="B5823" s="244" t="str">
        <f t="shared" si="90"/>
        <v/>
      </c>
    </row>
    <row r="5824" spans="1:2" x14ac:dyDescent="0.25">
      <c r="A5824" t="str">
        <f>IF(C5824&amp;G5824&amp;D5824&lt;&gt;'Funnel setup'!$K$3&amp;'Funnel setup'!$K$4&amp;'Funnel setup'!$K$6,".",IF(A5823=".",1,A5823+1))</f>
        <v>.</v>
      </c>
      <c r="B5824" s="244" t="str">
        <f t="shared" si="90"/>
        <v/>
      </c>
    </row>
    <row r="5825" spans="1:2" x14ac:dyDescent="0.25">
      <c r="A5825" t="str">
        <f>IF(C5825&amp;G5825&amp;D5825&lt;&gt;'Funnel setup'!$K$3&amp;'Funnel setup'!$K$4&amp;'Funnel setup'!$K$6,".",IF(A5824=".",1,A5824+1))</f>
        <v>.</v>
      </c>
      <c r="B5825" s="244" t="str">
        <f t="shared" si="90"/>
        <v/>
      </c>
    </row>
    <row r="5826" spans="1:2" x14ac:dyDescent="0.25">
      <c r="A5826" t="str">
        <f>IF(C5826&amp;G5826&amp;D5826&lt;&gt;'Funnel setup'!$K$3&amp;'Funnel setup'!$K$4&amp;'Funnel setup'!$K$6,".",IF(A5825=".",1,A5825+1))</f>
        <v>.</v>
      </c>
      <c r="B5826" s="244" t="str">
        <f t="shared" ref="B5826:B5889" si="91">C5826&amp;D5826&amp;F5826&amp;G5826</f>
        <v/>
      </c>
    </row>
    <row r="5827" spans="1:2" x14ac:dyDescent="0.25">
      <c r="A5827" t="str">
        <f>IF(C5827&amp;G5827&amp;D5827&lt;&gt;'Funnel setup'!$K$3&amp;'Funnel setup'!$K$4&amp;'Funnel setup'!$K$6,".",IF(A5826=".",1,A5826+1))</f>
        <v>.</v>
      </c>
      <c r="B5827" s="244" t="str">
        <f t="shared" si="91"/>
        <v/>
      </c>
    </row>
    <row r="5828" spans="1:2" x14ac:dyDescent="0.25">
      <c r="A5828" t="str">
        <f>IF(C5828&amp;G5828&amp;D5828&lt;&gt;'Funnel setup'!$K$3&amp;'Funnel setup'!$K$4&amp;'Funnel setup'!$K$6,".",IF(A5827=".",1,A5827+1))</f>
        <v>.</v>
      </c>
      <c r="B5828" s="244" t="str">
        <f t="shared" si="91"/>
        <v/>
      </c>
    </row>
    <row r="5829" spans="1:2" x14ac:dyDescent="0.25">
      <c r="A5829" t="str">
        <f>IF(C5829&amp;G5829&amp;D5829&lt;&gt;'Funnel setup'!$K$3&amp;'Funnel setup'!$K$4&amp;'Funnel setup'!$K$6,".",IF(A5828=".",1,A5828+1))</f>
        <v>.</v>
      </c>
      <c r="B5829" s="244" t="str">
        <f t="shared" si="91"/>
        <v/>
      </c>
    </row>
    <row r="5830" spans="1:2" x14ac:dyDescent="0.25">
      <c r="A5830" t="str">
        <f>IF(C5830&amp;G5830&amp;D5830&lt;&gt;'Funnel setup'!$K$3&amp;'Funnel setup'!$K$4&amp;'Funnel setup'!$K$6,".",IF(A5829=".",1,A5829+1))</f>
        <v>.</v>
      </c>
      <c r="B5830" s="244" t="str">
        <f t="shared" si="91"/>
        <v/>
      </c>
    </row>
    <row r="5831" spans="1:2" x14ac:dyDescent="0.25">
      <c r="A5831" t="str">
        <f>IF(C5831&amp;G5831&amp;D5831&lt;&gt;'Funnel setup'!$K$3&amp;'Funnel setup'!$K$4&amp;'Funnel setup'!$K$6,".",IF(A5830=".",1,A5830+1))</f>
        <v>.</v>
      </c>
      <c r="B5831" s="244" t="str">
        <f t="shared" si="91"/>
        <v/>
      </c>
    </row>
    <row r="5832" spans="1:2" x14ac:dyDescent="0.25">
      <c r="A5832" t="str">
        <f>IF(C5832&amp;G5832&amp;D5832&lt;&gt;'Funnel setup'!$K$3&amp;'Funnel setup'!$K$4&amp;'Funnel setup'!$K$6,".",IF(A5831=".",1,A5831+1))</f>
        <v>.</v>
      </c>
      <c r="B5832" s="244" t="str">
        <f t="shared" si="91"/>
        <v/>
      </c>
    </row>
    <row r="5833" spans="1:2" x14ac:dyDescent="0.25">
      <c r="A5833" t="str">
        <f>IF(C5833&amp;G5833&amp;D5833&lt;&gt;'Funnel setup'!$K$3&amp;'Funnel setup'!$K$4&amp;'Funnel setup'!$K$6,".",IF(A5832=".",1,A5832+1))</f>
        <v>.</v>
      </c>
      <c r="B5833" s="244" t="str">
        <f t="shared" si="91"/>
        <v/>
      </c>
    </row>
    <row r="5834" spans="1:2" x14ac:dyDescent="0.25">
      <c r="A5834" t="str">
        <f>IF(C5834&amp;G5834&amp;D5834&lt;&gt;'Funnel setup'!$K$3&amp;'Funnel setup'!$K$4&amp;'Funnel setup'!$K$6,".",IF(A5833=".",1,A5833+1))</f>
        <v>.</v>
      </c>
      <c r="B5834" s="244" t="str">
        <f t="shared" si="91"/>
        <v/>
      </c>
    </row>
    <row r="5835" spans="1:2" x14ac:dyDescent="0.25">
      <c r="A5835" t="str">
        <f>IF(C5835&amp;G5835&amp;D5835&lt;&gt;'Funnel setup'!$K$3&amp;'Funnel setup'!$K$4&amp;'Funnel setup'!$K$6,".",IF(A5834=".",1,A5834+1))</f>
        <v>.</v>
      </c>
      <c r="B5835" s="244" t="str">
        <f t="shared" si="91"/>
        <v/>
      </c>
    </row>
    <row r="5836" spans="1:2" x14ac:dyDescent="0.25">
      <c r="A5836" t="str">
        <f>IF(C5836&amp;G5836&amp;D5836&lt;&gt;'Funnel setup'!$K$3&amp;'Funnel setup'!$K$4&amp;'Funnel setup'!$K$6,".",IF(A5835=".",1,A5835+1))</f>
        <v>.</v>
      </c>
      <c r="B5836" s="244" t="str">
        <f t="shared" si="91"/>
        <v/>
      </c>
    </row>
    <row r="5837" spans="1:2" x14ac:dyDescent="0.25">
      <c r="A5837" t="str">
        <f>IF(C5837&amp;G5837&amp;D5837&lt;&gt;'Funnel setup'!$K$3&amp;'Funnel setup'!$K$4&amp;'Funnel setup'!$K$6,".",IF(A5836=".",1,A5836+1))</f>
        <v>.</v>
      </c>
      <c r="B5837" s="244" t="str">
        <f t="shared" si="91"/>
        <v/>
      </c>
    </row>
    <row r="5838" spans="1:2" x14ac:dyDescent="0.25">
      <c r="A5838" t="str">
        <f>IF(C5838&amp;G5838&amp;D5838&lt;&gt;'Funnel setup'!$K$3&amp;'Funnel setup'!$K$4&amp;'Funnel setup'!$K$6,".",IF(A5837=".",1,A5837+1))</f>
        <v>.</v>
      </c>
      <c r="B5838" s="244" t="str">
        <f t="shared" si="91"/>
        <v/>
      </c>
    </row>
    <row r="5839" spans="1:2" x14ac:dyDescent="0.25">
      <c r="A5839" t="str">
        <f>IF(C5839&amp;G5839&amp;D5839&lt;&gt;'Funnel setup'!$K$3&amp;'Funnel setup'!$K$4&amp;'Funnel setup'!$K$6,".",IF(A5838=".",1,A5838+1))</f>
        <v>.</v>
      </c>
      <c r="B5839" s="244" t="str">
        <f t="shared" si="91"/>
        <v/>
      </c>
    </row>
    <row r="5840" spans="1:2" x14ac:dyDescent="0.25">
      <c r="A5840" t="str">
        <f>IF(C5840&amp;G5840&amp;D5840&lt;&gt;'Funnel setup'!$K$3&amp;'Funnel setup'!$K$4&amp;'Funnel setup'!$K$6,".",IF(A5839=".",1,A5839+1))</f>
        <v>.</v>
      </c>
      <c r="B5840" s="244" t="str">
        <f t="shared" si="91"/>
        <v/>
      </c>
    </row>
    <row r="5841" spans="1:2" x14ac:dyDescent="0.25">
      <c r="A5841" t="str">
        <f>IF(C5841&amp;G5841&amp;D5841&lt;&gt;'Funnel setup'!$K$3&amp;'Funnel setup'!$K$4&amp;'Funnel setup'!$K$6,".",IF(A5840=".",1,A5840+1))</f>
        <v>.</v>
      </c>
      <c r="B5841" s="244" t="str">
        <f t="shared" si="91"/>
        <v/>
      </c>
    </row>
    <row r="5842" spans="1:2" x14ac:dyDescent="0.25">
      <c r="A5842" t="str">
        <f>IF(C5842&amp;G5842&amp;D5842&lt;&gt;'Funnel setup'!$K$3&amp;'Funnel setup'!$K$4&amp;'Funnel setup'!$K$6,".",IF(A5841=".",1,A5841+1))</f>
        <v>.</v>
      </c>
      <c r="B5842" s="244" t="str">
        <f t="shared" si="91"/>
        <v/>
      </c>
    </row>
    <row r="5843" spans="1:2" x14ac:dyDescent="0.25">
      <c r="A5843" t="str">
        <f>IF(C5843&amp;G5843&amp;D5843&lt;&gt;'Funnel setup'!$K$3&amp;'Funnel setup'!$K$4&amp;'Funnel setup'!$K$6,".",IF(A5842=".",1,A5842+1))</f>
        <v>.</v>
      </c>
      <c r="B5843" s="244" t="str">
        <f t="shared" si="91"/>
        <v/>
      </c>
    </row>
    <row r="5844" spans="1:2" x14ac:dyDescent="0.25">
      <c r="A5844" t="str">
        <f>IF(C5844&amp;G5844&amp;D5844&lt;&gt;'Funnel setup'!$K$3&amp;'Funnel setup'!$K$4&amp;'Funnel setup'!$K$6,".",IF(A5843=".",1,A5843+1))</f>
        <v>.</v>
      </c>
      <c r="B5844" s="244" t="str">
        <f t="shared" si="91"/>
        <v/>
      </c>
    </row>
    <row r="5845" spans="1:2" x14ac:dyDescent="0.25">
      <c r="A5845" t="str">
        <f>IF(C5845&amp;G5845&amp;D5845&lt;&gt;'Funnel setup'!$K$3&amp;'Funnel setup'!$K$4&amp;'Funnel setup'!$K$6,".",IF(A5844=".",1,A5844+1))</f>
        <v>.</v>
      </c>
      <c r="B5845" s="244" t="str">
        <f t="shared" si="91"/>
        <v/>
      </c>
    </row>
    <row r="5846" spans="1:2" x14ac:dyDescent="0.25">
      <c r="A5846" t="str">
        <f>IF(C5846&amp;G5846&amp;D5846&lt;&gt;'Funnel setup'!$K$3&amp;'Funnel setup'!$K$4&amp;'Funnel setup'!$K$6,".",IF(A5845=".",1,A5845+1))</f>
        <v>.</v>
      </c>
      <c r="B5846" s="244" t="str">
        <f t="shared" si="91"/>
        <v/>
      </c>
    </row>
    <row r="5847" spans="1:2" x14ac:dyDescent="0.25">
      <c r="A5847" t="str">
        <f>IF(C5847&amp;G5847&amp;D5847&lt;&gt;'Funnel setup'!$K$3&amp;'Funnel setup'!$K$4&amp;'Funnel setup'!$K$6,".",IF(A5846=".",1,A5846+1))</f>
        <v>.</v>
      </c>
      <c r="B5847" s="244" t="str">
        <f t="shared" si="91"/>
        <v/>
      </c>
    </row>
    <row r="5848" spans="1:2" x14ac:dyDescent="0.25">
      <c r="A5848" t="str">
        <f>IF(C5848&amp;G5848&amp;D5848&lt;&gt;'Funnel setup'!$K$3&amp;'Funnel setup'!$K$4&amp;'Funnel setup'!$K$6,".",IF(A5847=".",1,A5847+1))</f>
        <v>.</v>
      </c>
      <c r="B5848" s="244" t="str">
        <f t="shared" si="91"/>
        <v/>
      </c>
    </row>
    <row r="5849" spans="1:2" x14ac:dyDescent="0.25">
      <c r="A5849" t="str">
        <f>IF(C5849&amp;G5849&amp;D5849&lt;&gt;'Funnel setup'!$K$3&amp;'Funnel setup'!$K$4&amp;'Funnel setup'!$K$6,".",IF(A5848=".",1,A5848+1))</f>
        <v>.</v>
      </c>
      <c r="B5849" s="244" t="str">
        <f t="shared" si="91"/>
        <v/>
      </c>
    </row>
    <row r="5850" spans="1:2" x14ac:dyDescent="0.25">
      <c r="A5850" t="str">
        <f>IF(C5850&amp;G5850&amp;D5850&lt;&gt;'Funnel setup'!$K$3&amp;'Funnel setup'!$K$4&amp;'Funnel setup'!$K$6,".",IF(A5849=".",1,A5849+1))</f>
        <v>.</v>
      </c>
      <c r="B5850" s="244" t="str">
        <f t="shared" si="91"/>
        <v/>
      </c>
    </row>
    <row r="5851" spans="1:2" x14ac:dyDescent="0.25">
      <c r="A5851" t="str">
        <f>IF(C5851&amp;G5851&amp;D5851&lt;&gt;'Funnel setup'!$K$3&amp;'Funnel setup'!$K$4&amp;'Funnel setup'!$K$6,".",IF(A5850=".",1,A5850+1))</f>
        <v>.</v>
      </c>
      <c r="B5851" s="244" t="str">
        <f t="shared" si="91"/>
        <v/>
      </c>
    </row>
    <row r="5852" spans="1:2" x14ac:dyDescent="0.25">
      <c r="A5852" t="str">
        <f>IF(C5852&amp;G5852&amp;D5852&lt;&gt;'Funnel setup'!$K$3&amp;'Funnel setup'!$K$4&amp;'Funnel setup'!$K$6,".",IF(A5851=".",1,A5851+1))</f>
        <v>.</v>
      </c>
      <c r="B5852" s="244" t="str">
        <f t="shared" si="91"/>
        <v/>
      </c>
    </row>
    <row r="5853" spans="1:2" x14ac:dyDescent="0.25">
      <c r="A5853" t="str">
        <f>IF(C5853&amp;G5853&amp;D5853&lt;&gt;'Funnel setup'!$K$3&amp;'Funnel setup'!$K$4&amp;'Funnel setup'!$K$6,".",IF(A5852=".",1,A5852+1))</f>
        <v>.</v>
      </c>
      <c r="B5853" s="244" t="str">
        <f t="shared" si="91"/>
        <v/>
      </c>
    </row>
    <row r="5854" spans="1:2" x14ac:dyDescent="0.25">
      <c r="A5854" t="str">
        <f>IF(C5854&amp;G5854&amp;D5854&lt;&gt;'Funnel setup'!$K$3&amp;'Funnel setup'!$K$4&amp;'Funnel setup'!$K$6,".",IF(A5853=".",1,A5853+1))</f>
        <v>.</v>
      </c>
      <c r="B5854" s="244" t="str">
        <f t="shared" si="91"/>
        <v/>
      </c>
    </row>
    <row r="5855" spans="1:2" x14ac:dyDescent="0.25">
      <c r="A5855" t="str">
        <f>IF(C5855&amp;G5855&amp;D5855&lt;&gt;'Funnel setup'!$K$3&amp;'Funnel setup'!$K$4&amp;'Funnel setup'!$K$6,".",IF(A5854=".",1,A5854+1))</f>
        <v>.</v>
      </c>
      <c r="B5855" s="244" t="str">
        <f t="shared" si="91"/>
        <v/>
      </c>
    </row>
    <row r="5856" spans="1:2" x14ac:dyDescent="0.25">
      <c r="A5856" t="str">
        <f>IF(C5856&amp;G5856&amp;D5856&lt;&gt;'Funnel setup'!$K$3&amp;'Funnel setup'!$K$4&amp;'Funnel setup'!$K$6,".",IF(A5855=".",1,A5855+1))</f>
        <v>.</v>
      </c>
      <c r="B5856" s="244" t="str">
        <f t="shared" si="91"/>
        <v/>
      </c>
    </row>
    <row r="5857" spans="1:2" x14ac:dyDescent="0.25">
      <c r="A5857" t="str">
        <f>IF(C5857&amp;G5857&amp;D5857&lt;&gt;'Funnel setup'!$K$3&amp;'Funnel setup'!$K$4&amp;'Funnel setup'!$K$6,".",IF(A5856=".",1,A5856+1))</f>
        <v>.</v>
      </c>
      <c r="B5857" s="244" t="str">
        <f t="shared" si="91"/>
        <v/>
      </c>
    </row>
    <row r="5858" spans="1:2" x14ac:dyDescent="0.25">
      <c r="A5858" t="str">
        <f>IF(C5858&amp;G5858&amp;D5858&lt;&gt;'Funnel setup'!$K$3&amp;'Funnel setup'!$K$4&amp;'Funnel setup'!$K$6,".",IF(A5857=".",1,A5857+1))</f>
        <v>.</v>
      </c>
      <c r="B5858" s="244" t="str">
        <f t="shared" si="91"/>
        <v/>
      </c>
    </row>
    <row r="5859" spans="1:2" x14ac:dyDescent="0.25">
      <c r="A5859" t="str">
        <f>IF(C5859&amp;G5859&amp;D5859&lt;&gt;'Funnel setup'!$K$3&amp;'Funnel setup'!$K$4&amp;'Funnel setup'!$K$6,".",IF(A5858=".",1,A5858+1))</f>
        <v>.</v>
      </c>
      <c r="B5859" s="244" t="str">
        <f t="shared" si="91"/>
        <v/>
      </c>
    </row>
    <row r="5860" spans="1:2" x14ac:dyDescent="0.25">
      <c r="A5860" t="str">
        <f>IF(C5860&amp;G5860&amp;D5860&lt;&gt;'Funnel setup'!$K$3&amp;'Funnel setup'!$K$4&amp;'Funnel setup'!$K$6,".",IF(A5859=".",1,A5859+1))</f>
        <v>.</v>
      </c>
      <c r="B5860" s="244" t="str">
        <f t="shared" si="91"/>
        <v/>
      </c>
    </row>
    <row r="5861" spans="1:2" x14ac:dyDescent="0.25">
      <c r="A5861" t="str">
        <f>IF(C5861&amp;G5861&amp;D5861&lt;&gt;'Funnel setup'!$K$3&amp;'Funnel setup'!$K$4&amp;'Funnel setup'!$K$6,".",IF(A5860=".",1,A5860+1))</f>
        <v>.</v>
      </c>
      <c r="B5861" s="244" t="str">
        <f t="shared" si="91"/>
        <v/>
      </c>
    </row>
    <row r="5862" spans="1:2" x14ac:dyDescent="0.25">
      <c r="A5862" t="str">
        <f>IF(C5862&amp;G5862&amp;D5862&lt;&gt;'Funnel setup'!$K$3&amp;'Funnel setup'!$K$4&amp;'Funnel setup'!$K$6,".",IF(A5861=".",1,A5861+1))</f>
        <v>.</v>
      </c>
      <c r="B5862" s="244" t="str">
        <f t="shared" si="91"/>
        <v/>
      </c>
    </row>
    <row r="5863" spans="1:2" x14ac:dyDescent="0.25">
      <c r="A5863" t="str">
        <f>IF(C5863&amp;G5863&amp;D5863&lt;&gt;'Funnel setup'!$K$3&amp;'Funnel setup'!$K$4&amp;'Funnel setup'!$K$6,".",IF(A5862=".",1,A5862+1))</f>
        <v>.</v>
      </c>
      <c r="B5863" s="244" t="str">
        <f t="shared" si="91"/>
        <v/>
      </c>
    </row>
    <row r="5864" spans="1:2" x14ac:dyDescent="0.25">
      <c r="A5864" t="str">
        <f>IF(C5864&amp;G5864&amp;D5864&lt;&gt;'Funnel setup'!$K$3&amp;'Funnel setup'!$K$4&amp;'Funnel setup'!$K$6,".",IF(A5863=".",1,A5863+1))</f>
        <v>.</v>
      </c>
      <c r="B5864" s="244" t="str">
        <f t="shared" si="91"/>
        <v/>
      </c>
    </row>
    <row r="5865" spans="1:2" x14ac:dyDescent="0.25">
      <c r="A5865" t="str">
        <f>IF(C5865&amp;G5865&amp;D5865&lt;&gt;'Funnel setup'!$K$3&amp;'Funnel setup'!$K$4&amp;'Funnel setup'!$K$6,".",IF(A5864=".",1,A5864+1))</f>
        <v>.</v>
      </c>
      <c r="B5865" s="244" t="str">
        <f t="shared" si="91"/>
        <v/>
      </c>
    </row>
    <row r="5866" spans="1:2" x14ac:dyDescent="0.25">
      <c r="A5866" t="str">
        <f>IF(C5866&amp;G5866&amp;D5866&lt;&gt;'Funnel setup'!$K$3&amp;'Funnel setup'!$K$4&amp;'Funnel setup'!$K$6,".",IF(A5865=".",1,A5865+1))</f>
        <v>.</v>
      </c>
      <c r="B5866" s="244" t="str">
        <f t="shared" si="91"/>
        <v/>
      </c>
    </row>
    <row r="5867" spans="1:2" x14ac:dyDescent="0.25">
      <c r="A5867" t="str">
        <f>IF(C5867&amp;G5867&amp;D5867&lt;&gt;'Funnel setup'!$K$3&amp;'Funnel setup'!$K$4&amp;'Funnel setup'!$K$6,".",IF(A5866=".",1,A5866+1))</f>
        <v>.</v>
      </c>
      <c r="B5867" s="244" t="str">
        <f t="shared" si="91"/>
        <v/>
      </c>
    </row>
    <row r="5868" spans="1:2" x14ac:dyDescent="0.25">
      <c r="A5868" t="str">
        <f>IF(C5868&amp;G5868&amp;D5868&lt;&gt;'Funnel setup'!$K$3&amp;'Funnel setup'!$K$4&amp;'Funnel setup'!$K$6,".",IF(A5867=".",1,A5867+1))</f>
        <v>.</v>
      </c>
      <c r="B5868" s="244" t="str">
        <f t="shared" si="91"/>
        <v/>
      </c>
    </row>
    <row r="5869" spans="1:2" x14ac:dyDescent="0.25">
      <c r="A5869" t="str">
        <f>IF(C5869&amp;G5869&amp;D5869&lt;&gt;'Funnel setup'!$K$3&amp;'Funnel setup'!$K$4&amp;'Funnel setup'!$K$6,".",IF(A5868=".",1,A5868+1))</f>
        <v>.</v>
      </c>
      <c r="B5869" s="244" t="str">
        <f t="shared" si="91"/>
        <v/>
      </c>
    </row>
    <row r="5870" spans="1:2" x14ac:dyDescent="0.25">
      <c r="A5870" t="str">
        <f>IF(C5870&amp;G5870&amp;D5870&lt;&gt;'Funnel setup'!$K$3&amp;'Funnel setup'!$K$4&amp;'Funnel setup'!$K$6,".",IF(A5869=".",1,A5869+1))</f>
        <v>.</v>
      </c>
      <c r="B5870" s="244" t="str">
        <f t="shared" si="91"/>
        <v/>
      </c>
    </row>
    <row r="5871" spans="1:2" x14ac:dyDescent="0.25">
      <c r="A5871" t="str">
        <f>IF(C5871&amp;G5871&amp;D5871&lt;&gt;'Funnel setup'!$K$3&amp;'Funnel setup'!$K$4&amp;'Funnel setup'!$K$6,".",IF(A5870=".",1,A5870+1))</f>
        <v>.</v>
      </c>
      <c r="B5871" s="244" t="str">
        <f t="shared" si="91"/>
        <v/>
      </c>
    </row>
    <row r="5872" spans="1:2" x14ac:dyDescent="0.25">
      <c r="A5872" t="str">
        <f>IF(C5872&amp;G5872&amp;D5872&lt;&gt;'Funnel setup'!$K$3&amp;'Funnel setup'!$K$4&amp;'Funnel setup'!$K$6,".",IF(A5871=".",1,A5871+1))</f>
        <v>.</v>
      </c>
      <c r="B5872" s="244" t="str">
        <f t="shared" si="91"/>
        <v/>
      </c>
    </row>
    <row r="5873" spans="1:2" x14ac:dyDescent="0.25">
      <c r="A5873" t="str">
        <f>IF(C5873&amp;G5873&amp;D5873&lt;&gt;'Funnel setup'!$K$3&amp;'Funnel setup'!$K$4&amp;'Funnel setup'!$K$6,".",IF(A5872=".",1,A5872+1))</f>
        <v>.</v>
      </c>
      <c r="B5873" s="244" t="str">
        <f t="shared" si="91"/>
        <v/>
      </c>
    </row>
    <row r="5874" spans="1:2" x14ac:dyDescent="0.25">
      <c r="A5874" t="str">
        <f>IF(C5874&amp;G5874&amp;D5874&lt;&gt;'Funnel setup'!$K$3&amp;'Funnel setup'!$K$4&amp;'Funnel setup'!$K$6,".",IF(A5873=".",1,A5873+1))</f>
        <v>.</v>
      </c>
      <c r="B5874" s="244" t="str">
        <f t="shared" si="91"/>
        <v/>
      </c>
    </row>
    <row r="5875" spans="1:2" x14ac:dyDescent="0.25">
      <c r="A5875" t="str">
        <f>IF(C5875&amp;G5875&amp;D5875&lt;&gt;'Funnel setup'!$K$3&amp;'Funnel setup'!$K$4&amp;'Funnel setup'!$K$6,".",IF(A5874=".",1,A5874+1))</f>
        <v>.</v>
      </c>
      <c r="B5875" s="244" t="str">
        <f t="shared" si="91"/>
        <v/>
      </c>
    </row>
    <row r="5876" spans="1:2" x14ac:dyDescent="0.25">
      <c r="A5876" t="str">
        <f>IF(C5876&amp;G5876&amp;D5876&lt;&gt;'Funnel setup'!$K$3&amp;'Funnel setup'!$K$4&amp;'Funnel setup'!$K$6,".",IF(A5875=".",1,A5875+1))</f>
        <v>.</v>
      </c>
      <c r="B5876" s="244" t="str">
        <f t="shared" si="91"/>
        <v/>
      </c>
    </row>
    <row r="5877" spans="1:2" x14ac:dyDescent="0.25">
      <c r="A5877" t="str">
        <f>IF(C5877&amp;G5877&amp;D5877&lt;&gt;'Funnel setup'!$K$3&amp;'Funnel setup'!$K$4&amp;'Funnel setup'!$K$6,".",IF(A5876=".",1,A5876+1))</f>
        <v>.</v>
      </c>
      <c r="B5877" s="244" t="str">
        <f t="shared" si="91"/>
        <v/>
      </c>
    </row>
    <row r="5878" spans="1:2" x14ac:dyDescent="0.25">
      <c r="A5878" t="str">
        <f>IF(C5878&amp;G5878&amp;D5878&lt;&gt;'Funnel setup'!$K$3&amp;'Funnel setup'!$K$4&amp;'Funnel setup'!$K$6,".",IF(A5877=".",1,A5877+1))</f>
        <v>.</v>
      </c>
      <c r="B5878" s="244" t="str">
        <f t="shared" si="91"/>
        <v/>
      </c>
    </row>
    <row r="5879" spans="1:2" x14ac:dyDescent="0.25">
      <c r="A5879" t="str">
        <f>IF(C5879&amp;G5879&amp;D5879&lt;&gt;'Funnel setup'!$K$3&amp;'Funnel setup'!$K$4&amp;'Funnel setup'!$K$6,".",IF(A5878=".",1,A5878+1))</f>
        <v>.</v>
      </c>
      <c r="B5879" s="244" t="str">
        <f t="shared" si="91"/>
        <v/>
      </c>
    </row>
    <row r="5880" spans="1:2" x14ac:dyDescent="0.25">
      <c r="A5880" t="str">
        <f>IF(C5880&amp;G5880&amp;D5880&lt;&gt;'Funnel setup'!$K$3&amp;'Funnel setup'!$K$4&amp;'Funnel setup'!$K$6,".",IF(A5879=".",1,A5879+1))</f>
        <v>.</v>
      </c>
      <c r="B5880" s="244" t="str">
        <f t="shared" si="91"/>
        <v/>
      </c>
    </row>
    <row r="5881" spans="1:2" x14ac:dyDescent="0.25">
      <c r="A5881" t="str">
        <f>IF(C5881&amp;G5881&amp;D5881&lt;&gt;'Funnel setup'!$K$3&amp;'Funnel setup'!$K$4&amp;'Funnel setup'!$K$6,".",IF(A5880=".",1,A5880+1))</f>
        <v>.</v>
      </c>
      <c r="B5881" s="244" t="str">
        <f t="shared" si="91"/>
        <v/>
      </c>
    </row>
    <row r="5882" spans="1:2" x14ac:dyDescent="0.25">
      <c r="A5882" t="str">
        <f>IF(C5882&amp;G5882&amp;D5882&lt;&gt;'Funnel setup'!$K$3&amp;'Funnel setup'!$K$4&amp;'Funnel setup'!$K$6,".",IF(A5881=".",1,A5881+1))</f>
        <v>.</v>
      </c>
      <c r="B5882" s="244" t="str">
        <f t="shared" si="91"/>
        <v/>
      </c>
    </row>
    <row r="5883" spans="1:2" x14ac:dyDescent="0.25">
      <c r="A5883" t="str">
        <f>IF(C5883&amp;G5883&amp;D5883&lt;&gt;'Funnel setup'!$K$3&amp;'Funnel setup'!$K$4&amp;'Funnel setup'!$K$6,".",IF(A5882=".",1,A5882+1))</f>
        <v>.</v>
      </c>
      <c r="B5883" s="244" t="str">
        <f t="shared" si="91"/>
        <v/>
      </c>
    </row>
    <row r="5884" spans="1:2" x14ac:dyDescent="0.25">
      <c r="A5884" t="str">
        <f>IF(C5884&amp;G5884&amp;D5884&lt;&gt;'Funnel setup'!$K$3&amp;'Funnel setup'!$K$4&amp;'Funnel setup'!$K$6,".",IF(A5883=".",1,A5883+1))</f>
        <v>.</v>
      </c>
      <c r="B5884" s="244" t="str">
        <f t="shared" si="91"/>
        <v/>
      </c>
    </row>
    <row r="5885" spans="1:2" x14ac:dyDescent="0.25">
      <c r="A5885" t="str">
        <f>IF(C5885&amp;G5885&amp;D5885&lt;&gt;'Funnel setup'!$K$3&amp;'Funnel setup'!$K$4&amp;'Funnel setup'!$K$6,".",IF(A5884=".",1,A5884+1))</f>
        <v>.</v>
      </c>
      <c r="B5885" s="244" t="str">
        <f t="shared" si="91"/>
        <v/>
      </c>
    </row>
    <row r="5886" spans="1:2" x14ac:dyDescent="0.25">
      <c r="A5886" t="str">
        <f>IF(C5886&amp;G5886&amp;D5886&lt;&gt;'Funnel setup'!$K$3&amp;'Funnel setup'!$K$4&amp;'Funnel setup'!$K$6,".",IF(A5885=".",1,A5885+1))</f>
        <v>.</v>
      </c>
      <c r="B5886" s="244" t="str">
        <f t="shared" si="91"/>
        <v/>
      </c>
    </row>
    <row r="5887" spans="1:2" x14ac:dyDescent="0.25">
      <c r="A5887" t="str">
        <f>IF(C5887&amp;G5887&amp;D5887&lt;&gt;'Funnel setup'!$K$3&amp;'Funnel setup'!$K$4&amp;'Funnel setup'!$K$6,".",IF(A5886=".",1,A5886+1))</f>
        <v>.</v>
      </c>
      <c r="B5887" s="244" t="str">
        <f t="shared" si="91"/>
        <v/>
      </c>
    </row>
    <row r="5888" spans="1:2" x14ac:dyDescent="0.25">
      <c r="A5888" t="str">
        <f>IF(C5888&amp;G5888&amp;D5888&lt;&gt;'Funnel setup'!$K$3&amp;'Funnel setup'!$K$4&amp;'Funnel setup'!$K$6,".",IF(A5887=".",1,A5887+1))</f>
        <v>.</v>
      </c>
      <c r="B5888" s="244" t="str">
        <f t="shared" si="91"/>
        <v/>
      </c>
    </row>
    <row r="5889" spans="1:2" x14ac:dyDescent="0.25">
      <c r="A5889" t="str">
        <f>IF(C5889&amp;G5889&amp;D5889&lt;&gt;'Funnel setup'!$K$3&amp;'Funnel setup'!$K$4&amp;'Funnel setup'!$K$6,".",IF(A5888=".",1,A5888+1))</f>
        <v>.</v>
      </c>
      <c r="B5889" s="244" t="str">
        <f t="shared" si="91"/>
        <v/>
      </c>
    </row>
    <row r="5890" spans="1:2" x14ac:dyDescent="0.25">
      <c r="A5890" t="str">
        <f>IF(C5890&amp;G5890&amp;D5890&lt;&gt;'Funnel setup'!$K$3&amp;'Funnel setup'!$K$4&amp;'Funnel setup'!$K$6,".",IF(A5889=".",1,A5889+1))</f>
        <v>.</v>
      </c>
      <c r="B5890" s="244" t="str">
        <f t="shared" ref="B5890:B5953" si="92">C5890&amp;D5890&amp;F5890&amp;G5890</f>
        <v/>
      </c>
    </row>
    <row r="5891" spans="1:2" x14ac:dyDescent="0.25">
      <c r="A5891" t="str">
        <f>IF(C5891&amp;G5891&amp;D5891&lt;&gt;'Funnel setup'!$K$3&amp;'Funnel setup'!$K$4&amp;'Funnel setup'!$K$6,".",IF(A5890=".",1,A5890+1))</f>
        <v>.</v>
      </c>
      <c r="B5891" s="244" t="str">
        <f t="shared" si="92"/>
        <v/>
      </c>
    </row>
    <row r="5892" spans="1:2" x14ac:dyDescent="0.25">
      <c r="A5892" t="str">
        <f>IF(C5892&amp;G5892&amp;D5892&lt;&gt;'Funnel setup'!$K$3&amp;'Funnel setup'!$K$4&amp;'Funnel setup'!$K$6,".",IF(A5891=".",1,A5891+1))</f>
        <v>.</v>
      </c>
      <c r="B5892" s="244" t="str">
        <f t="shared" si="92"/>
        <v/>
      </c>
    </row>
    <row r="5893" spans="1:2" x14ac:dyDescent="0.25">
      <c r="A5893" t="str">
        <f>IF(C5893&amp;G5893&amp;D5893&lt;&gt;'Funnel setup'!$K$3&amp;'Funnel setup'!$K$4&amp;'Funnel setup'!$K$6,".",IF(A5892=".",1,A5892+1))</f>
        <v>.</v>
      </c>
      <c r="B5893" s="244" t="str">
        <f t="shared" si="92"/>
        <v/>
      </c>
    </row>
    <row r="5894" spans="1:2" x14ac:dyDescent="0.25">
      <c r="A5894" t="str">
        <f>IF(C5894&amp;G5894&amp;D5894&lt;&gt;'Funnel setup'!$K$3&amp;'Funnel setup'!$K$4&amp;'Funnel setup'!$K$6,".",IF(A5893=".",1,A5893+1))</f>
        <v>.</v>
      </c>
      <c r="B5894" s="244" t="str">
        <f t="shared" si="92"/>
        <v/>
      </c>
    </row>
    <row r="5895" spans="1:2" x14ac:dyDescent="0.25">
      <c r="A5895" t="str">
        <f>IF(C5895&amp;G5895&amp;D5895&lt;&gt;'Funnel setup'!$K$3&amp;'Funnel setup'!$K$4&amp;'Funnel setup'!$K$6,".",IF(A5894=".",1,A5894+1))</f>
        <v>.</v>
      </c>
      <c r="B5895" s="244" t="str">
        <f t="shared" si="92"/>
        <v/>
      </c>
    </row>
    <row r="5896" spans="1:2" x14ac:dyDescent="0.25">
      <c r="A5896" t="str">
        <f>IF(C5896&amp;G5896&amp;D5896&lt;&gt;'Funnel setup'!$K$3&amp;'Funnel setup'!$K$4&amp;'Funnel setup'!$K$6,".",IF(A5895=".",1,A5895+1))</f>
        <v>.</v>
      </c>
      <c r="B5896" s="244" t="str">
        <f t="shared" si="92"/>
        <v/>
      </c>
    </row>
    <row r="5897" spans="1:2" x14ac:dyDescent="0.25">
      <c r="A5897" t="str">
        <f>IF(C5897&amp;G5897&amp;D5897&lt;&gt;'Funnel setup'!$K$3&amp;'Funnel setup'!$K$4&amp;'Funnel setup'!$K$6,".",IF(A5896=".",1,A5896+1))</f>
        <v>.</v>
      </c>
      <c r="B5897" s="244" t="str">
        <f t="shared" si="92"/>
        <v/>
      </c>
    </row>
    <row r="5898" spans="1:2" x14ac:dyDescent="0.25">
      <c r="A5898" t="str">
        <f>IF(C5898&amp;G5898&amp;D5898&lt;&gt;'Funnel setup'!$K$3&amp;'Funnel setup'!$K$4&amp;'Funnel setup'!$K$6,".",IF(A5897=".",1,A5897+1))</f>
        <v>.</v>
      </c>
      <c r="B5898" s="244" t="str">
        <f t="shared" si="92"/>
        <v/>
      </c>
    </row>
    <row r="5899" spans="1:2" x14ac:dyDescent="0.25">
      <c r="A5899" t="str">
        <f>IF(C5899&amp;G5899&amp;D5899&lt;&gt;'Funnel setup'!$K$3&amp;'Funnel setup'!$K$4&amp;'Funnel setup'!$K$6,".",IF(A5898=".",1,A5898+1))</f>
        <v>.</v>
      </c>
      <c r="B5899" s="244" t="str">
        <f t="shared" si="92"/>
        <v/>
      </c>
    </row>
    <row r="5900" spans="1:2" x14ac:dyDescent="0.25">
      <c r="A5900" t="str">
        <f>IF(C5900&amp;G5900&amp;D5900&lt;&gt;'Funnel setup'!$K$3&amp;'Funnel setup'!$K$4&amp;'Funnel setup'!$K$6,".",IF(A5899=".",1,A5899+1))</f>
        <v>.</v>
      </c>
      <c r="B5900" s="244" t="str">
        <f t="shared" si="92"/>
        <v/>
      </c>
    </row>
    <row r="5901" spans="1:2" x14ac:dyDescent="0.25">
      <c r="A5901" t="str">
        <f>IF(C5901&amp;G5901&amp;D5901&lt;&gt;'Funnel setup'!$K$3&amp;'Funnel setup'!$K$4&amp;'Funnel setup'!$K$6,".",IF(A5900=".",1,A5900+1))</f>
        <v>.</v>
      </c>
      <c r="B5901" s="244" t="str">
        <f t="shared" si="92"/>
        <v/>
      </c>
    </row>
    <row r="5902" spans="1:2" x14ac:dyDescent="0.25">
      <c r="A5902" t="str">
        <f>IF(C5902&amp;G5902&amp;D5902&lt;&gt;'Funnel setup'!$K$3&amp;'Funnel setup'!$K$4&amp;'Funnel setup'!$K$6,".",IF(A5901=".",1,A5901+1))</f>
        <v>.</v>
      </c>
      <c r="B5902" s="244" t="str">
        <f t="shared" si="92"/>
        <v/>
      </c>
    </row>
    <row r="5903" spans="1:2" x14ac:dyDescent="0.25">
      <c r="A5903" t="str">
        <f>IF(C5903&amp;G5903&amp;D5903&lt;&gt;'Funnel setup'!$K$3&amp;'Funnel setup'!$K$4&amp;'Funnel setup'!$K$6,".",IF(A5902=".",1,A5902+1))</f>
        <v>.</v>
      </c>
      <c r="B5903" s="244" t="str">
        <f t="shared" si="92"/>
        <v/>
      </c>
    </row>
    <row r="5904" spans="1:2" x14ac:dyDescent="0.25">
      <c r="A5904" t="str">
        <f>IF(C5904&amp;G5904&amp;D5904&lt;&gt;'Funnel setup'!$K$3&amp;'Funnel setup'!$K$4&amp;'Funnel setup'!$K$6,".",IF(A5903=".",1,A5903+1))</f>
        <v>.</v>
      </c>
      <c r="B5904" s="244" t="str">
        <f t="shared" si="92"/>
        <v/>
      </c>
    </row>
    <row r="5905" spans="1:2" x14ac:dyDescent="0.25">
      <c r="A5905" t="str">
        <f>IF(C5905&amp;G5905&amp;D5905&lt;&gt;'Funnel setup'!$K$3&amp;'Funnel setup'!$K$4&amp;'Funnel setup'!$K$6,".",IF(A5904=".",1,A5904+1))</f>
        <v>.</v>
      </c>
      <c r="B5905" s="244" t="str">
        <f t="shared" si="92"/>
        <v/>
      </c>
    </row>
    <row r="5906" spans="1:2" x14ac:dyDescent="0.25">
      <c r="A5906" t="str">
        <f>IF(C5906&amp;G5906&amp;D5906&lt;&gt;'Funnel setup'!$K$3&amp;'Funnel setup'!$K$4&amp;'Funnel setup'!$K$6,".",IF(A5905=".",1,A5905+1))</f>
        <v>.</v>
      </c>
      <c r="B5906" s="244" t="str">
        <f t="shared" si="92"/>
        <v/>
      </c>
    </row>
    <row r="5907" spans="1:2" x14ac:dyDescent="0.25">
      <c r="A5907" t="str">
        <f>IF(C5907&amp;G5907&amp;D5907&lt;&gt;'Funnel setup'!$K$3&amp;'Funnel setup'!$K$4&amp;'Funnel setup'!$K$6,".",IF(A5906=".",1,A5906+1))</f>
        <v>.</v>
      </c>
      <c r="B5907" s="244" t="str">
        <f t="shared" si="92"/>
        <v/>
      </c>
    </row>
    <row r="5908" spans="1:2" x14ac:dyDescent="0.25">
      <c r="A5908" t="str">
        <f>IF(C5908&amp;G5908&amp;D5908&lt;&gt;'Funnel setup'!$K$3&amp;'Funnel setup'!$K$4&amp;'Funnel setup'!$K$6,".",IF(A5907=".",1,A5907+1))</f>
        <v>.</v>
      </c>
      <c r="B5908" s="244" t="str">
        <f t="shared" si="92"/>
        <v/>
      </c>
    </row>
    <row r="5909" spans="1:2" x14ac:dyDescent="0.25">
      <c r="A5909" t="str">
        <f>IF(C5909&amp;G5909&amp;D5909&lt;&gt;'Funnel setup'!$K$3&amp;'Funnel setup'!$K$4&amp;'Funnel setup'!$K$6,".",IF(A5908=".",1,A5908+1))</f>
        <v>.</v>
      </c>
      <c r="B5909" s="244" t="str">
        <f t="shared" si="92"/>
        <v/>
      </c>
    </row>
    <row r="5910" spans="1:2" x14ac:dyDescent="0.25">
      <c r="A5910" t="str">
        <f>IF(C5910&amp;G5910&amp;D5910&lt;&gt;'Funnel setup'!$K$3&amp;'Funnel setup'!$K$4&amp;'Funnel setup'!$K$6,".",IF(A5909=".",1,A5909+1))</f>
        <v>.</v>
      </c>
      <c r="B5910" s="244" t="str">
        <f t="shared" si="92"/>
        <v/>
      </c>
    </row>
    <row r="5911" spans="1:2" x14ac:dyDescent="0.25">
      <c r="A5911" t="str">
        <f>IF(C5911&amp;G5911&amp;D5911&lt;&gt;'Funnel setup'!$K$3&amp;'Funnel setup'!$K$4&amp;'Funnel setup'!$K$6,".",IF(A5910=".",1,A5910+1))</f>
        <v>.</v>
      </c>
      <c r="B5911" s="244" t="str">
        <f t="shared" si="92"/>
        <v/>
      </c>
    </row>
    <row r="5912" spans="1:2" x14ac:dyDescent="0.25">
      <c r="A5912" t="str">
        <f>IF(C5912&amp;G5912&amp;D5912&lt;&gt;'Funnel setup'!$K$3&amp;'Funnel setup'!$K$4&amp;'Funnel setup'!$K$6,".",IF(A5911=".",1,A5911+1))</f>
        <v>.</v>
      </c>
      <c r="B5912" s="244" t="str">
        <f t="shared" si="92"/>
        <v/>
      </c>
    </row>
    <row r="5913" spans="1:2" x14ac:dyDescent="0.25">
      <c r="A5913" t="str">
        <f>IF(C5913&amp;G5913&amp;D5913&lt;&gt;'Funnel setup'!$K$3&amp;'Funnel setup'!$K$4&amp;'Funnel setup'!$K$6,".",IF(A5912=".",1,A5912+1))</f>
        <v>.</v>
      </c>
      <c r="B5913" s="244" t="str">
        <f t="shared" si="92"/>
        <v/>
      </c>
    </row>
    <row r="5914" spans="1:2" x14ac:dyDescent="0.25">
      <c r="A5914" t="str">
        <f>IF(C5914&amp;G5914&amp;D5914&lt;&gt;'Funnel setup'!$K$3&amp;'Funnel setup'!$K$4&amp;'Funnel setup'!$K$6,".",IF(A5913=".",1,A5913+1))</f>
        <v>.</v>
      </c>
      <c r="B5914" s="244" t="str">
        <f t="shared" si="92"/>
        <v/>
      </c>
    </row>
    <row r="5915" spans="1:2" x14ac:dyDescent="0.25">
      <c r="A5915" t="str">
        <f>IF(C5915&amp;G5915&amp;D5915&lt;&gt;'Funnel setup'!$K$3&amp;'Funnel setup'!$K$4&amp;'Funnel setup'!$K$6,".",IF(A5914=".",1,A5914+1))</f>
        <v>.</v>
      </c>
      <c r="B5915" s="244" t="str">
        <f t="shared" si="92"/>
        <v/>
      </c>
    </row>
    <row r="5916" spans="1:2" x14ac:dyDescent="0.25">
      <c r="A5916" t="str">
        <f>IF(C5916&amp;G5916&amp;D5916&lt;&gt;'Funnel setup'!$K$3&amp;'Funnel setup'!$K$4&amp;'Funnel setup'!$K$6,".",IF(A5915=".",1,A5915+1))</f>
        <v>.</v>
      </c>
      <c r="B5916" s="244" t="str">
        <f t="shared" si="92"/>
        <v/>
      </c>
    </row>
    <row r="5917" spans="1:2" x14ac:dyDescent="0.25">
      <c r="A5917" t="str">
        <f>IF(C5917&amp;G5917&amp;D5917&lt;&gt;'Funnel setup'!$K$3&amp;'Funnel setup'!$K$4&amp;'Funnel setup'!$K$6,".",IF(A5916=".",1,A5916+1))</f>
        <v>.</v>
      </c>
      <c r="B5917" s="244" t="str">
        <f t="shared" si="92"/>
        <v/>
      </c>
    </row>
    <row r="5918" spans="1:2" x14ac:dyDescent="0.25">
      <c r="A5918" t="str">
        <f>IF(C5918&amp;G5918&amp;D5918&lt;&gt;'Funnel setup'!$K$3&amp;'Funnel setup'!$K$4&amp;'Funnel setup'!$K$6,".",IF(A5917=".",1,A5917+1))</f>
        <v>.</v>
      </c>
      <c r="B5918" s="244" t="str">
        <f t="shared" si="92"/>
        <v/>
      </c>
    </row>
    <row r="5919" spans="1:2" x14ac:dyDescent="0.25">
      <c r="A5919" t="str">
        <f>IF(C5919&amp;G5919&amp;D5919&lt;&gt;'Funnel setup'!$K$3&amp;'Funnel setup'!$K$4&amp;'Funnel setup'!$K$6,".",IF(A5918=".",1,A5918+1))</f>
        <v>.</v>
      </c>
      <c r="B5919" s="244" t="str">
        <f t="shared" si="92"/>
        <v/>
      </c>
    </row>
    <row r="5920" spans="1:2" x14ac:dyDescent="0.25">
      <c r="A5920" t="str">
        <f>IF(C5920&amp;G5920&amp;D5920&lt;&gt;'Funnel setup'!$K$3&amp;'Funnel setup'!$K$4&amp;'Funnel setup'!$K$6,".",IF(A5919=".",1,A5919+1))</f>
        <v>.</v>
      </c>
      <c r="B5920" s="244" t="str">
        <f t="shared" si="92"/>
        <v/>
      </c>
    </row>
    <row r="5921" spans="1:2" x14ac:dyDescent="0.25">
      <c r="A5921" t="str">
        <f>IF(C5921&amp;G5921&amp;D5921&lt;&gt;'Funnel setup'!$K$3&amp;'Funnel setup'!$K$4&amp;'Funnel setup'!$K$6,".",IF(A5920=".",1,A5920+1))</f>
        <v>.</v>
      </c>
      <c r="B5921" s="244" t="str">
        <f t="shared" si="92"/>
        <v/>
      </c>
    </row>
    <row r="5922" spans="1:2" x14ac:dyDescent="0.25">
      <c r="A5922" t="str">
        <f>IF(C5922&amp;G5922&amp;D5922&lt;&gt;'Funnel setup'!$K$3&amp;'Funnel setup'!$K$4&amp;'Funnel setup'!$K$6,".",IF(A5921=".",1,A5921+1))</f>
        <v>.</v>
      </c>
      <c r="B5922" s="244" t="str">
        <f t="shared" si="92"/>
        <v/>
      </c>
    </row>
    <row r="5923" spans="1:2" x14ac:dyDescent="0.25">
      <c r="A5923" t="str">
        <f>IF(C5923&amp;G5923&amp;D5923&lt;&gt;'Funnel setup'!$K$3&amp;'Funnel setup'!$K$4&amp;'Funnel setup'!$K$6,".",IF(A5922=".",1,A5922+1))</f>
        <v>.</v>
      </c>
      <c r="B5923" s="244" t="str">
        <f t="shared" si="92"/>
        <v/>
      </c>
    </row>
    <row r="5924" spans="1:2" x14ac:dyDescent="0.25">
      <c r="A5924" t="str">
        <f>IF(C5924&amp;G5924&amp;D5924&lt;&gt;'Funnel setup'!$K$3&amp;'Funnel setup'!$K$4&amp;'Funnel setup'!$K$6,".",IF(A5923=".",1,A5923+1))</f>
        <v>.</v>
      </c>
      <c r="B5924" s="244" t="str">
        <f t="shared" si="92"/>
        <v/>
      </c>
    </row>
    <row r="5925" spans="1:2" x14ac:dyDescent="0.25">
      <c r="A5925" t="str">
        <f>IF(C5925&amp;G5925&amp;D5925&lt;&gt;'Funnel setup'!$K$3&amp;'Funnel setup'!$K$4&amp;'Funnel setup'!$K$6,".",IF(A5924=".",1,A5924+1))</f>
        <v>.</v>
      </c>
      <c r="B5925" s="244" t="str">
        <f t="shared" si="92"/>
        <v/>
      </c>
    </row>
    <row r="5926" spans="1:2" x14ac:dyDescent="0.25">
      <c r="A5926" t="str">
        <f>IF(C5926&amp;G5926&amp;D5926&lt;&gt;'Funnel setup'!$K$3&amp;'Funnel setup'!$K$4&amp;'Funnel setup'!$K$6,".",IF(A5925=".",1,A5925+1))</f>
        <v>.</v>
      </c>
      <c r="B5926" s="244" t="str">
        <f t="shared" si="92"/>
        <v/>
      </c>
    </row>
    <row r="5927" spans="1:2" x14ac:dyDescent="0.25">
      <c r="A5927" t="str">
        <f>IF(C5927&amp;G5927&amp;D5927&lt;&gt;'Funnel setup'!$K$3&amp;'Funnel setup'!$K$4&amp;'Funnel setup'!$K$6,".",IF(A5926=".",1,A5926+1))</f>
        <v>.</v>
      </c>
      <c r="B5927" s="244" t="str">
        <f t="shared" si="92"/>
        <v/>
      </c>
    </row>
    <row r="5928" spans="1:2" x14ac:dyDescent="0.25">
      <c r="A5928" t="str">
        <f>IF(C5928&amp;G5928&amp;D5928&lt;&gt;'Funnel setup'!$K$3&amp;'Funnel setup'!$K$4&amp;'Funnel setup'!$K$6,".",IF(A5927=".",1,A5927+1))</f>
        <v>.</v>
      </c>
      <c r="B5928" s="244" t="str">
        <f t="shared" si="92"/>
        <v/>
      </c>
    </row>
    <row r="5929" spans="1:2" x14ac:dyDescent="0.25">
      <c r="A5929" t="str">
        <f>IF(C5929&amp;G5929&amp;D5929&lt;&gt;'Funnel setup'!$K$3&amp;'Funnel setup'!$K$4&amp;'Funnel setup'!$K$6,".",IF(A5928=".",1,A5928+1))</f>
        <v>.</v>
      </c>
      <c r="B5929" s="244" t="str">
        <f t="shared" si="92"/>
        <v/>
      </c>
    </row>
    <row r="5930" spans="1:2" x14ac:dyDescent="0.25">
      <c r="A5930" t="str">
        <f>IF(C5930&amp;G5930&amp;D5930&lt;&gt;'Funnel setup'!$K$3&amp;'Funnel setup'!$K$4&amp;'Funnel setup'!$K$6,".",IF(A5929=".",1,A5929+1))</f>
        <v>.</v>
      </c>
      <c r="B5930" s="244" t="str">
        <f t="shared" si="92"/>
        <v/>
      </c>
    </row>
    <row r="5931" spans="1:2" x14ac:dyDescent="0.25">
      <c r="A5931" t="str">
        <f>IF(C5931&amp;G5931&amp;D5931&lt;&gt;'Funnel setup'!$K$3&amp;'Funnel setup'!$K$4&amp;'Funnel setup'!$K$6,".",IF(A5930=".",1,A5930+1))</f>
        <v>.</v>
      </c>
      <c r="B5931" s="244" t="str">
        <f t="shared" si="92"/>
        <v/>
      </c>
    </row>
    <row r="5932" spans="1:2" x14ac:dyDescent="0.25">
      <c r="A5932" t="str">
        <f>IF(C5932&amp;G5932&amp;D5932&lt;&gt;'Funnel setup'!$K$3&amp;'Funnel setup'!$K$4&amp;'Funnel setup'!$K$6,".",IF(A5931=".",1,A5931+1))</f>
        <v>.</v>
      </c>
      <c r="B5932" s="244" t="str">
        <f t="shared" si="92"/>
        <v/>
      </c>
    </row>
    <row r="5933" spans="1:2" x14ac:dyDescent="0.25">
      <c r="A5933" t="str">
        <f>IF(C5933&amp;G5933&amp;D5933&lt;&gt;'Funnel setup'!$K$3&amp;'Funnel setup'!$K$4&amp;'Funnel setup'!$K$6,".",IF(A5932=".",1,A5932+1))</f>
        <v>.</v>
      </c>
      <c r="B5933" s="244" t="str">
        <f t="shared" si="92"/>
        <v/>
      </c>
    </row>
    <row r="5934" spans="1:2" x14ac:dyDescent="0.25">
      <c r="A5934" t="str">
        <f>IF(C5934&amp;G5934&amp;D5934&lt;&gt;'Funnel setup'!$K$3&amp;'Funnel setup'!$K$4&amp;'Funnel setup'!$K$6,".",IF(A5933=".",1,A5933+1))</f>
        <v>.</v>
      </c>
      <c r="B5934" s="244" t="str">
        <f t="shared" si="92"/>
        <v/>
      </c>
    </row>
    <row r="5935" spans="1:2" x14ac:dyDescent="0.25">
      <c r="A5935" t="str">
        <f>IF(C5935&amp;G5935&amp;D5935&lt;&gt;'Funnel setup'!$K$3&amp;'Funnel setup'!$K$4&amp;'Funnel setup'!$K$6,".",IF(A5934=".",1,A5934+1))</f>
        <v>.</v>
      </c>
      <c r="B5935" s="244" t="str">
        <f t="shared" si="92"/>
        <v/>
      </c>
    </row>
    <row r="5936" spans="1:2" x14ac:dyDescent="0.25">
      <c r="A5936" t="str">
        <f>IF(C5936&amp;G5936&amp;D5936&lt;&gt;'Funnel setup'!$K$3&amp;'Funnel setup'!$K$4&amp;'Funnel setup'!$K$6,".",IF(A5935=".",1,A5935+1))</f>
        <v>.</v>
      </c>
      <c r="B5936" s="244" t="str">
        <f t="shared" si="92"/>
        <v/>
      </c>
    </row>
    <row r="5937" spans="1:2" x14ac:dyDescent="0.25">
      <c r="A5937" t="str">
        <f>IF(C5937&amp;G5937&amp;D5937&lt;&gt;'Funnel setup'!$K$3&amp;'Funnel setup'!$K$4&amp;'Funnel setup'!$K$6,".",IF(A5936=".",1,A5936+1))</f>
        <v>.</v>
      </c>
      <c r="B5937" s="244" t="str">
        <f t="shared" si="92"/>
        <v/>
      </c>
    </row>
    <row r="5938" spans="1:2" x14ac:dyDescent="0.25">
      <c r="A5938" t="str">
        <f>IF(C5938&amp;G5938&amp;D5938&lt;&gt;'Funnel setup'!$K$3&amp;'Funnel setup'!$K$4&amp;'Funnel setup'!$K$6,".",IF(A5937=".",1,A5937+1))</f>
        <v>.</v>
      </c>
      <c r="B5938" s="244" t="str">
        <f t="shared" si="92"/>
        <v/>
      </c>
    </row>
    <row r="5939" spans="1:2" x14ac:dyDescent="0.25">
      <c r="A5939" t="str">
        <f>IF(C5939&amp;G5939&amp;D5939&lt;&gt;'Funnel setup'!$K$3&amp;'Funnel setup'!$K$4&amp;'Funnel setup'!$K$6,".",IF(A5938=".",1,A5938+1))</f>
        <v>.</v>
      </c>
      <c r="B5939" s="244" t="str">
        <f t="shared" si="92"/>
        <v/>
      </c>
    </row>
    <row r="5940" spans="1:2" x14ac:dyDescent="0.25">
      <c r="A5940" t="str">
        <f>IF(C5940&amp;G5940&amp;D5940&lt;&gt;'Funnel setup'!$K$3&amp;'Funnel setup'!$K$4&amp;'Funnel setup'!$K$6,".",IF(A5939=".",1,A5939+1))</f>
        <v>.</v>
      </c>
      <c r="B5940" s="244" t="str">
        <f t="shared" si="92"/>
        <v/>
      </c>
    </row>
    <row r="5941" spans="1:2" x14ac:dyDescent="0.25">
      <c r="A5941" t="str">
        <f>IF(C5941&amp;G5941&amp;D5941&lt;&gt;'Funnel setup'!$K$3&amp;'Funnel setup'!$K$4&amp;'Funnel setup'!$K$6,".",IF(A5940=".",1,A5940+1))</f>
        <v>.</v>
      </c>
      <c r="B5941" s="244" t="str">
        <f t="shared" si="92"/>
        <v/>
      </c>
    </row>
    <row r="5942" spans="1:2" x14ac:dyDescent="0.25">
      <c r="A5942" t="str">
        <f>IF(C5942&amp;G5942&amp;D5942&lt;&gt;'Funnel setup'!$K$3&amp;'Funnel setup'!$K$4&amp;'Funnel setup'!$K$6,".",IF(A5941=".",1,A5941+1))</f>
        <v>.</v>
      </c>
      <c r="B5942" s="244" t="str">
        <f t="shared" si="92"/>
        <v/>
      </c>
    </row>
    <row r="5943" spans="1:2" x14ac:dyDescent="0.25">
      <c r="A5943" t="str">
        <f>IF(C5943&amp;G5943&amp;D5943&lt;&gt;'Funnel setup'!$K$3&amp;'Funnel setup'!$K$4&amp;'Funnel setup'!$K$6,".",IF(A5942=".",1,A5942+1))</f>
        <v>.</v>
      </c>
      <c r="B5943" s="244" t="str">
        <f t="shared" si="92"/>
        <v/>
      </c>
    </row>
    <row r="5944" spans="1:2" x14ac:dyDescent="0.25">
      <c r="A5944" t="str">
        <f>IF(C5944&amp;G5944&amp;D5944&lt;&gt;'Funnel setup'!$K$3&amp;'Funnel setup'!$K$4&amp;'Funnel setup'!$K$6,".",IF(A5943=".",1,A5943+1))</f>
        <v>.</v>
      </c>
      <c r="B5944" s="244" t="str">
        <f t="shared" si="92"/>
        <v/>
      </c>
    </row>
    <row r="5945" spans="1:2" x14ac:dyDescent="0.25">
      <c r="A5945" t="str">
        <f>IF(C5945&amp;G5945&amp;D5945&lt;&gt;'Funnel setup'!$K$3&amp;'Funnel setup'!$K$4&amp;'Funnel setup'!$K$6,".",IF(A5944=".",1,A5944+1))</f>
        <v>.</v>
      </c>
      <c r="B5945" s="244" t="str">
        <f t="shared" si="92"/>
        <v/>
      </c>
    </row>
    <row r="5946" spans="1:2" x14ac:dyDescent="0.25">
      <c r="A5946" t="str">
        <f>IF(C5946&amp;G5946&amp;D5946&lt;&gt;'Funnel setup'!$K$3&amp;'Funnel setup'!$K$4&amp;'Funnel setup'!$K$6,".",IF(A5945=".",1,A5945+1))</f>
        <v>.</v>
      </c>
      <c r="B5946" s="244" t="str">
        <f t="shared" si="92"/>
        <v/>
      </c>
    </row>
    <row r="5947" spans="1:2" x14ac:dyDescent="0.25">
      <c r="A5947" t="str">
        <f>IF(C5947&amp;G5947&amp;D5947&lt;&gt;'Funnel setup'!$K$3&amp;'Funnel setup'!$K$4&amp;'Funnel setup'!$K$6,".",IF(A5946=".",1,A5946+1))</f>
        <v>.</v>
      </c>
      <c r="B5947" s="244" t="str">
        <f t="shared" si="92"/>
        <v/>
      </c>
    </row>
    <row r="5948" spans="1:2" x14ac:dyDescent="0.25">
      <c r="A5948" t="str">
        <f>IF(C5948&amp;G5948&amp;D5948&lt;&gt;'Funnel setup'!$K$3&amp;'Funnel setup'!$K$4&amp;'Funnel setup'!$K$6,".",IF(A5947=".",1,A5947+1))</f>
        <v>.</v>
      </c>
      <c r="B5948" s="244" t="str">
        <f t="shared" si="92"/>
        <v/>
      </c>
    </row>
    <row r="5949" spans="1:2" x14ac:dyDescent="0.25">
      <c r="A5949" t="str">
        <f>IF(C5949&amp;G5949&amp;D5949&lt;&gt;'Funnel setup'!$K$3&amp;'Funnel setup'!$K$4&amp;'Funnel setup'!$K$6,".",IF(A5948=".",1,A5948+1))</f>
        <v>.</v>
      </c>
      <c r="B5949" s="244" t="str">
        <f t="shared" si="92"/>
        <v/>
      </c>
    </row>
    <row r="5950" spans="1:2" x14ac:dyDescent="0.25">
      <c r="A5950" t="str">
        <f>IF(C5950&amp;G5950&amp;D5950&lt;&gt;'Funnel setup'!$K$3&amp;'Funnel setup'!$K$4&amp;'Funnel setup'!$K$6,".",IF(A5949=".",1,A5949+1))</f>
        <v>.</v>
      </c>
      <c r="B5950" s="244" t="str">
        <f t="shared" si="92"/>
        <v/>
      </c>
    </row>
    <row r="5951" spans="1:2" x14ac:dyDescent="0.25">
      <c r="A5951" t="str">
        <f>IF(C5951&amp;G5951&amp;D5951&lt;&gt;'Funnel setup'!$K$3&amp;'Funnel setup'!$K$4&amp;'Funnel setup'!$K$6,".",IF(A5950=".",1,A5950+1))</f>
        <v>.</v>
      </c>
      <c r="B5951" s="244" t="str">
        <f t="shared" si="92"/>
        <v/>
      </c>
    </row>
    <row r="5952" spans="1:2" x14ac:dyDescent="0.25">
      <c r="A5952" t="str">
        <f>IF(C5952&amp;G5952&amp;D5952&lt;&gt;'Funnel setup'!$K$3&amp;'Funnel setup'!$K$4&amp;'Funnel setup'!$K$6,".",IF(A5951=".",1,A5951+1))</f>
        <v>.</v>
      </c>
      <c r="B5952" s="244" t="str">
        <f t="shared" si="92"/>
        <v/>
      </c>
    </row>
    <row r="5953" spans="1:2" x14ac:dyDescent="0.25">
      <c r="A5953" t="str">
        <f>IF(C5953&amp;G5953&amp;D5953&lt;&gt;'Funnel setup'!$K$3&amp;'Funnel setup'!$K$4&amp;'Funnel setup'!$K$6,".",IF(A5952=".",1,A5952+1))</f>
        <v>.</v>
      </c>
      <c r="B5953" s="244" t="str">
        <f t="shared" si="92"/>
        <v/>
      </c>
    </row>
    <row r="5954" spans="1:2" x14ac:dyDescent="0.25">
      <c r="A5954" t="str">
        <f>IF(C5954&amp;G5954&amp;D5954&lt;&gt;'Funnel setup'!$K$3&amp;'Funnel setup'!$K$4&amp;'Funnel setup'!$K$6,".",IF(A5953=".",1,A5953+1))</f>
        <v>.</v>
      </c>
      <c r="B5954" s="244" t="str">
        <f t="shared" ref="B5954:B6017" si="93">C5954&amp;D5954&amp;F5954&amp;G5954</f>
        <v/>
      </c>
    </row>
    <row r="5955" spans="1:2" x14ac:dyDescent="0.25">
      <c r="A5955" t="str">
        <f>IF(C5955&amp;G5955&amp;D5955&lt;&gt;'Funnel setup'!$K$3&amp;'Funnel setup'!$K$4&amp;'Funnel setup'!$K$6,".",IF(A5954=".",1,A5954+1))</f>
        <v>.</v>
      </c>
      <c r="B5955" s="244" t="str">
        <f t="shared" si="93"/>
        <v/>
      </c>
    </row>
    <row r="5956" spans="1:2" x14ac:dyDescent="0.25">
      <c r="A5956" t="str">
        <f>IF(C5956&amp;G5956&amp;D5956&lt;&gt;'Funnel setup'!$K$3&amp;'Funnel setup'!$K$4&amp;'Funnel setup'!$K$6,".",IF(A5955=".",1,A5955+1))</f>
        <v>.</v>
      </c>
      <c r="B5956" s="244" t="str">
        <f t="shared" si="93"/>
        <v/>
      </c>
    </row>
    <row r="5957" spans="1:2" x14ac:dyDescent="0.25">
      <c r="A5957" t="str">
        <f>IF(C5957&amp;G5957&amp;D5957&lt;&gt;'Funnel setup'!$K$3&amp;'Funnel setup'!$K$4&amp;'Funnel setup'!$K$6,".",IF(A5956=".",1,A5956+1))</f>
        <v>.</v>
      </c>
      <c r="B5957" s="244" t="str">
        <f t="shared" si="93"/>
        <v/>
      </c>
    </row>
    <row r="5958" spans="1:2" x14ac:dyDescent="0.25">
      <c r="A5958" t="str">
        <f>IF(C5958&amp;G5958&amp;D5958&lt;&gt;'Funnel setup'!$K$3&amp;'Funnel setup'!$K$4&amp;'Funnel setup'!$K$6,".",IF(A5957=".",1,A5957+1))</f>
        <v>.</v>
      </c>
      <c r="B5958" s="244" t="str">
        <f t="shared" si="93"/>
        <v/>
      </c>
    </row>
    <row r="5959" spans="1:2" x14ac:dyDescent="0.25">
      <c r="A5959" t="str">
        <f>IF(C5959&amp;G5959&amp;D5959&lt;&gt;'Funnel setup'!$K$3&amp;'Funnel setup'!$K$4&amp;'Funnel setup'!$K$6,".",IF(A5958=".",1,A5958+1))</f>
        <v>.</v>
      </c>
      <c r="B5959" s="244" t="str">
        <f t="shared" si="93"/>
        <v/>
      </c>
    </row>
    <row r="5960" spans="1:2" x14ac:dyDescent="0.25">
      <c r="A5960" t="str">
        <f>IF(C5960&amp;G5960&amp;D5960&lt;&gt;'Funnel setup'!$K$3&amp;'Funnel setup'!$K$4&amp;'Funnel setup'!$K$6,".",IF(A5959=".",1,A5959+1))</f>
        <v>.</v>
      </c>
      <c r="B5960" s="244" t="str">
        <f t="shared" si="93"/>
        <v/>
      </c>
    </row>
    <row r="5961" spans="1:2" x14ac:dyDescent="0.25">
      <c r="A5961" t="str">
        <f>IF(C5961&amp;G5961&amp;D5961&lt;&gt;'Funnel setup'!$K$3&amp;'Funnel setup'!$K$4&amp;'Funnel setup'!$K$6,".",IF(A5960=".",1,A5960+1))</f>
        <v>.</v>
      </c>
      <c r="B5961" s="244" t="str">
        <f t="shared" si="93"/>
        <v/>
      </c>
    </row>
    <row r="5962" spans="1:2" x14ac:dyDescent="0.25">
      <c r="A5962" t="str">
        <f>IF(C5962&amp;G5962&amp;D5962&lt;&gt;'Funnel setup'!$K$3&amp;'Funnel setup'!$K$4&amp;'Funnel setup'!$K$6,".",IF(A5961=".",1,A5961+1))</f>
        <v>.</v>
      </c>
      <c r="B5962" s="244" t="str">
        <f t="shared" si="93"/>
        <v/>
      </c>
    </row>
    <row r="5963" spans="1:2" x14ac:dyDescent="0.25">
      <c r="A5963" t="str">
        <f>IF(C5963&amp;G5963&amp;D5963&lt;&gt;'Funnel setup'!$K$3&amp;'Funnel setup'!$K$4&amp;'Funnel setup'!$K$6,".",IF(A5962=".",1,A5962+1))</f>
        <v>.</v>
      </c>
      <c r="B5963" s="244" t="str">
        <f t="shared" si="93"/>
        <v/>
      </c>
    </row>
    <row r="5964" spans="1:2" x14ac:dyDescent="0.25">
      <c r="A5964" t="str">
        <f>IF(C5964&amp;G5964&amp;D5964&lt;&gt;'Funnel setup'!$K$3&amp;'Funnel setup'!$K$4&amp;'Funnel setup'!$K$6,".",IF(A5963=".",1,A5963+1))</f>
        <v>.</v>
      </c>
      <c r="B5964" s="244" t="str">
        <f t="shared" si="93"/>
        <v/>
      </c>
    </row>
    <row r="5965" spans="1:2" x14ac:dyDescent="0.25">
      <c r="A5965" t="str">
        <f>IF(C5965&amp;G5965&amp;D5965&lt;&gt;'Funnel setup'!$K$3&amp;'Funnel setup'!$K$4&amp;'Funnel setup'!$K$6,".",IF(A5964=".",1,A5964+1))</f>
        <v>.</v>
      </c>
      <c r="B5965" s="244" t="str">
        <f t="shared" si="93"/>
        <v/>
      </c>
    </row>
    <row r="5966" spans="1:2" x14ac:dyDescent="0.25">
      <c r="A5966" t="str">
        <f>IF(C5966&amp;G5966&amp;D5966&lt;&gt;'Funnel setup'!$K$3&amp;'Funnel setup'!$K$4&amp;'Funnel setup'!$K$6,".",IF(A5965=".",1,A5965+1))</f>
        <v>.</v>
      </c>
      <c r="B5966" s="244" t="str">
        <f t="shared" si="93"/>
        <v/>
      </c>
    </row>
    <row r="5967" spans="1:2" x14ac:dyDescent="0.25">
      <c r="A5967" t="str">
        <f>IF(C5967&amp;G5967&amp;D5967&lt;&gt;'Funnel setup'!$K$3&amp;'Funnel setup'!$K$4&amp;'Funnel setup'!$K$6,".",IF(A5966=".",1,A5966+1))</f>
        <v>.</v>
      </c>
      <c r="B5967" s="244" t="str">
        <f t="shared" si="93"/>
        <v/>
      </c>
    </row>
    <row r="5968" spans="1:2" x14ac:dyDescent="0.25">
      <c r="A5968" t="str">
        <f>IF(C5968&amp;G5968&amp;D5968&lt;&gt;'Funnel setup'!$K$3&amp;'Funnel setup'!$K$4&amp;'Funnel setup'!$K$6,".",IF(A5967=".",1,A5967+1))</f>
        <v>.</v>
      </c>
      <c r="B5968" s="244" t="str">
        <f t="shared" si="93"/>
        <v/>
      </c>
    </row>
    <row r="5969" spans="1:2" x14ac:dyDescent="0.25">
      <c r="A5969" t="str">
        <f>IF(C5969&amp;G5969&amp;D5969&lt;&gt;'Funnel setup'!$K$3&amp;'Funnel setup'!$K$4&amp;'Funnel setup'!$K$6,".",IF(A5968=".",1,A5968+1))</f>
        <v>.</v>
      </c>
      <c r="B5969" s="244" t="str">
        <f t="shared" si="93"/>
        <v/>
      </c>
    </row>
    <row r="5970" spans="1:2" x14ac:dyDescent="0.25">
      <c r="A5970" t="str">
        <f>IF(C5970&amp;G5970&amp;D5970&lt;&gt;'Funnel setup'!$K$3&amp;'Funnel setup'!$K$4&amp;'Funnel setup'!$K$6,".",IF(A5969=".",1,A5969+1))</f>
        <v>.</v>
      </c>
      <c r="B5970" s="244" t="str">
        <f t="shared" si="93"/>
        <v/>
      </c>
    </row>
    <row r="5971" spans="1:2" x14ac:dyDescent="0.25">
      <c r="A5971" t="str">
        <f>IF(C5971&amp;G5971&amp;D5971&lt;&gt;'Funnel setup'!$K$3&amp;'Funnel setup'!$K$4&amp;'Funnel setup'!$K$6,".",IF(A5970=".",1,A5970+1))</f>
        <v>.</v>
      </c>
      <c r="B5971" s="244" t="str">
        <f t="shared" si="93"/>
        <v/>
      </c>
    </row>
    <row r="5972" spans="1:2" x14ac:dyDescent="0.25">
      <c r="A5972" t="str">
        <f>IF(C5972&amp;G5972&amp;D5972&lt;&gt;'Funnel setup'!$K$3&amp;'Funnel setup'!$K$4&amp;'Funnel setup'!$K$6,".",IF(A5971=".",1,A5971+1))</f>
        <v>.</v>
      </c>
      <c r="B5972" s="244" t="str">
        <f t="shared" si="93"/>
        <v/>
      </c>
    </row>
    <row r="5973" spans="1:2" x14ac:dyDescent="0.25">
      <c r="A5973" t="str">
        <f>IF(C5973&amp;G5973&amp;D5973&lt;&gt;'Funnel setup'!$K$3&amp;'Funnel setup'!$K$4&amp;'Funnel setup'!$K$6,".",IF(A5972=".",1,A5972+1))</f>
        <v>.</v>
      </c>
      <c r="B5973" s="244" t="str">
        <f t="shared" si="93"/>
        <v/>
      </c>
    </row>
    <row r="5974" spans="1:2" x14ac:dyDescent="0.25">
      <c r="A5974" t="str">
        <f>IF(C5974&amp;G5974&amp;D5974&lt;&gt;'Funnel setup'!$K$3&amp;'Funnel setup'!$K$4&amp;'Funnel setup'!$K$6,".",IF(A5973=".",1,A5973+1))</f>
        <v>.</v>
      </c>
      <c r="B5974" s="244" t="str">
        <f t="shared" si="93"/>
        <v/>
      </c>
    </row>
    <row r="5975" spans="1:2" x14ac:dyDescent="0.25">
      <c r="A5975" t="str">
        <f>IF(C5975&amp;G5975&amp;D5975&lt;&gt;'Funnel setup'!$K$3&amp;'Funnel setup'!$K$4&amp;'Funnel setup'!$K$6,".",IF(A5974=".",1,A5974+1))</f>
        <v>.</v>
      </c>
      <c r="B5975" s="244" t="str">
        <f t="shared" si="93"/>
        <v/>
      </c>
    </row>
    <row r="5976" spans="1:2" x14ac:dyDescent="0.25">
      <c r="A5976" t="str">
        <f>IF(C5976&amp;G5976&amp;D5976&lt;&gt;'Funnel setup'!$K$3&amp;'Funnel setup'!$K$4&amp;'Funnel setup'!$K$6,".",IF(A5975=".",1,A5975+1))</f>
        <v>.</v>
      </c>
      <c r="B5976" s="244" t="str">
        <f t="shared" si="93"/>
        <v/>
      </c>
    </row>
    <row r="5977" spans="1:2" x14ac:dyDescent="0.25">
      <c r="A5977" t="str">
        <f>IF(C5977&amp;G5977&amp;D5977&lt;&gt;'Funnel setup'!$K$3&amp;'Funnel setup'!$K$4&amp;'Funnel setup'!$K$6,".",IF(A5976=".",1,A5976+1))</f>
        <v>.</v>
      </c>
      <c r="B5977" s="244" t="str">
        <f t="shared" si="93"/>
        <v/>
      </c>
    </row>
    <row r="5978" spans="1:2" x14ac:dyDescent="0.25">
      <c r="A5978" t="str">
        <f>IF(C5978&amp;G5978&amp;D5978&lt;&gt;'Funnel setup'!$K$3&amp;'Funnel setup'!$K$4&amp;'Funnel setup'!$K$6,".",IF(A5977=".",1,A5977+1))</f>
        <v>.</v>
      </c>
      <c r="B5978" s="244" t="str">
        <f t="shared" si="93"/>
        <v/>
      </c>
    </row>
    <row r="5979" spans="1:2" x14ac:dyDescent="0.25">
      <c r="A5979" t="str">
        <f>IF(C5979&amp;G5979&amp;D5979&lt;&gt;'Funnel setup'!$K$3&amp;'Funnel setup'!$K$4&amp;'Funnel setup'!$K$6,".",IF(A5978=".",1,A5978+1))</f>
        <v>.</v>
      </c>
      <c r="B5979" s="244" t="str">
        <f t="shared" si="93"/>
        <v/>
      </c>
    </row>
    <row r="5980" spans="1:2" x14ac:dyDescent="0.25">
      <c r="A5980" t="str">
        <f>IF(C5980&amp;G5980&amp;D5980&lt;&gt;'Funnel setup'!$K$3&amp;'Funnel setup'!$K$4&amp;'Funnel setup'!$K$6,".",IF(A5979=".",1,A5979+1))</f>
        <v>.</v>
      </c>
      <c r="B5980" s="244" t="str">
        <f t="shared" si="93"/>
        <v/>
      </c>
    </row>
    <row r="5981" spans="1:2" x14ac:dyDescent="0.25">
      <c r="A5981" t="str">
        <f>IF(C5981&amp;G5981&amp;D5981&lt;&gt;'Funnel setup'!$K$3&amp;'Funnel setup'!$K$4&amp;'Funnel setup'!$K$6,".",IF(A5980=".",1,A5980+1))</f>
        <v>.</v>
      </c>
      <c r="B5981" s="244" t="str">
        <f t="shared" si="93"/>
        <v/>
      </c>
    </row>
    <row r="5982" spans="1:2" x14ac:dyDescent="0.25">
      <c r="A5982" t="str">
        <f>IF(C5982&amp;G5982&amp;D5982&lt;&gt;'Funnel setup'!$K$3&amp;'Funnel setup'!$K$4&amp;'Funnel setup'!$K$6,".",IF(A5981=".",1,A5981+1))</f>
        <v>.</v>
      </c>
      <c r="B5982" s="244" t="str">
        <f t="shared" si="93"/>
        <v/>
      </c>
    </row>
    <row r="5983" spans="1:2" x14ac:dyDescent="0.25">
      <c r="A5983" t="str">
        <f>IF(C5983&amp;G5983&amp;D5983&lt;&gt;'Funnel setup'!$K$3&amp;'Funnel setup'!$K$4&amp;'Funnel setup'!$K$6,".",IF(A5982=".",1,A5982+1))</f>
        <v>.</v>
      </c>
      <c r="B5983" s="244" t="str">
        <f t="shared" si="93"/>
        <v/>
      </c>
    </row>
    <row r="5984" spans="1:2" x14ac:dyDescent="0.25">
      <c r="A5984" t="str">
        <f>IF(C5984&amp;G5984&amp;D5984&lt;&gt;'Funnel setup'!$K$3&amp;'Funnel setup'!$K$4&amp;'Funnel setup'!$K$6,".",IF(A5983=".",1,A5983+1))</f>
        <v>.</v>
      </c>
      <c r="B5984" s="244" t="str">
        <f t="shared" si="93"/>
        <v/>
      </c>
    </row>
    <row r="5985" spans="1:2" x14ac:dyDescent="0.25">
      <c r="A5985" t="str">
        <f>IF(C5985&amp;G5985&amp;D5985&lt;&gt;'Funnel setup'!$K$3&amp;'Funnel setup'!$K$4&amp;'Funnel setup'!$K$6,".",IF(A5984=".",1,A5984+1))</f>
        <v>.</v>
      </c>
      <c r="B5985" s="244" t="str">
        <f t="shared" si="93"/>
        <v/>
      </c>
    </row>
    <row r="5986" spans="1:2" x14ac:dyDescent="0.25">
      <c r="A5986" t="str">
        <f>IF(C5986&amp;G5986&amp;D5986&lt;&gt;'Funnel setup'!$K$3&amp;'Funnel setup'!$K$4&amp;'Funnel setup'!$K$6,".",IF(A5985=".",1,A5985+1))</f>
        <v>.</v>
      </c>
      <c r="B5986" s="244" t="str">
        <f t="shared" si="93"/>
        <v/>
      </c>
    </row>
    <row r="5987" spans="1:2" x14ac:dyDescent="0.25">
      <c r="A5987" t="str">
        <f>IF(C5987&amp;G5987&amp;D5987&lt;&gt;'Funnel setup'!$K$3&amp;'Funnel setup'!$K$4&amp;'Funnel setup'!$K$6,".",IF(A5986=".",1,A5986+1))</f>
        <v>.</v>
      </c>
      <c r="B5987" s="244" t="str">
        <f t="shared" si="93"/>
        <v/>
      </c>
    </row>
    <row r="5988" spans="1:2" x14ac:dyDescent="0.25">
      <c r="A5988" t="str">
        <f>IF(C5988&amp;G5988&amp;D5988&lt;&gt;'Funnel setup'!$K$3&amp;'Funnel setup'!$K$4&amp;'Funnel setup'!$K$6,".",IF(A5987=".",1,A5987+1))</f>
        <v>.</v>
      </c>
      <c r="B5988" s="244" t="str">
        <f t="shared" si="93"/>
        <v/>
      </c>
    </row>
    <row r="5989" spans="1:2" x14ac:dyDescent="0.25">
      <c r="A5989" t="str">
        <f>IF(C5989&amp;G5989&amp;D5989&lt;&gt;'Funnel setup'!$K$3&amp;'Funnel setup'!$K$4&amp;'Funnel setup'!$K$6,".",IF(A5988=".",1,A5988+1))</f>
        <v>.</v>
      </c>
      <c r="B5989" s="244" t="str">
        <f t="shared" si="93"/>
        <v/>
      </c>
    </row>
    <row r="5990" spans="1:2" x14ac:dyDescent="0.25">
      <c r="A5990" t="str">
        <f>IF(C5990&amp;G5990&amp;D5990&lt;&gt;'Funnel setup'!$K$3&amp;'Funnel setup'!$K$4&amp;'Funnel setup'!$K$6,".",IF(A5989=".",1,A5989+1))</f>
        <v>.</v>
      </c>
      <c r="B5990" s="244" t="str">
        <f t="shared" si="93"/>
        <v/>
      </c>
    </row>
    <row r="5991" spans="1:2" x14ac:dyDescent="0.25">
      <c r="A5991" t="str">
        <f>IF(C5991&amp;G5991&amp;D5991&lt;&gt;'Funnel setup'!$K$3&amp;'Funnel setup'!$K$4&amp;'Funnel setup'!$K$6,".",IF(A5990=".",1,A5990+1))</f>
        <v>.</v>
      </c>
      <c r="B5991" s="244" t="str">
        <f t="shared" si="93"/>
        <v/>
      </c>
    </row>
    <row r="5992" spans="1:2" x14ac:dyDescent="0.25">
      <c r="A5992" t="str">
        <f>IF(C5992&amp;G5992&amp;D5992&lt;&gt;'Funnel setup'!$K$3&amp;'Funnel setup'!$K$4&amp;'Funnel setup'!$K$6,".",IF(A5991=".",1,A5991+1))</f>
        <v>.</v>
      </c>
      <c r="B5992" s="244" t="str">
        <f t="shared" si="93"/>
        <v/>
      </c>
    </row>
    <row r="5993" spans="1:2" x14ac:dyDescent="0.25">
      <c r="A5993" t="str">
        <f>IF(C5993&amp;G5993&amp;D5993&lt;&gt;'Funnel setup'!$K$3&amp;'Funnel setup'!$K$4&amp;'Funnel setup'!$K$6,".",IF(A5992=".",1,A5992+1))</f>
        <v>.</v>
      </c>
      <c r="B5993" s="244" t="str">
        <f t="shared" si="93"/>
        <v/>
      </c>
    </row>
    <row r="5994" spans="1:2" x14ac:dyDescent="0.25">
      <c r="A5994" t="str">
        <f>IF(C5994&amp;G5994&amp;D5994&lt;&gt;'Funnel setup'!$K$3&amp;'Funnel setup'!$K$4&amp;'Funnel setup'!$K$6,".",IF(A5993=".",1,A5993+1))</f>
        <v>.</v>
      </c>
      <c r="B5994" s="244" t="str">
        <f t="shared" si="93"/>
        <v/>
      </c>
    </row>
    <row r="5995" spans="1:2" x14ac:dyDescent="0.25">
      <c r="A5995" t="str">
        <f>IF(C5995&amp;G5995&amp;D5995&lt;&gt;'Funnel setup'!$K$3&amp;'Funnel setup'!$K$4&amp;'Funnel setup'!$K$6,".",IF(A5994=".",1,A5994+1))</f>
        <v>.</v>
      </c>
      <c r="B5995" s="244" t="str">
        <f t="shared" si="93"/>
        <v/>
      </c>
    </row>
    <row r="5996" spans="1:2" x14ac:dyDescent="0.25">
      <c r="A5996" t="str">
        <f>IF(C5996&amp;G5996&amp;D5996&lt;&gt;'Funnel setup'!$K$3&amp;'Funnel setup'!$K$4&amp;'Funnel setup'!$K$6,".",IF(A5995=".",1,A5995+1))</f>
        <v>.</v>
      </c>
      <c r="B5996" s="244" t="str">
        <f t="shared" si="93"/>
        <v/>
      </c>
    </row>
    <row r="5997" spans="1:2" x14ac:dyDescent="0.25">
      <c r="A5997" t="str">
        <f>IF(C5997&amp;G5997&amp;D5997&lt;&gt;'Funnel setup'!$K$3&amp;'Funnel setup'!$K$4&amp;'Funnel setup'!$K$6,".",IF(A5996=".",1,A5996+1))</f>
        <v>.</v>
      </c>
      <c r="B5997" s="244" t="str">
        <f t="shared" si="93"/>
        <v/>
      </c>
    </row>
    <row r="5998" spans="1:2" x14ac:dyDescent="0.25">
      <c r="A5998" t="str">
        <f>IF(C5998&amp;G5998&amp;D5998&lt;&gt;'Funnel setup'!$K$3&amp;'Funnel setup'!$K$4&amp;'Funnel setup'!$K$6,".",IF(A5997=".",1,A5997+1))</f>
        <v>.</v>
      </c>
      <c r="B5998" s="244" t="str">
        <f t="shared" si="93"/>
        <v/>
      </c>
    </row>
    <row r="5999" spans="1:2" x14ac:dyDescent="0.25">
      <c r="A5999" t="str">
        <f>IF(C5999&amp;G5999&amp;D5999&lt;&gt;'Funnel setup'!$K$3&amp;'Funnel setup'!$K$4&amp;'Funnel setup'!$K$6,".",IF(A5998=".",1,A5998+1))</f>
        <v>.</v>
      </c>
      <c r="B5999" s="244" t="str">
        <f t="shared" si="93"/>
        <v/>
      </c>
    </row>
    <row r="6000" spans="1:2" x14ac:dyDescent="0.25">
      <c r="A6000" t="str">
        <f>IF(C6000&amp;G6000&amp;D6000&lt;&gt;'Funnel setup'!$K$3&amp;'Funnel setup'!$K$4&amp;'Funnel setup'!$K$6,".",IF(A5999=".",1,A5999+1))</f>
        <v>.</v>
      </c>
      <c r="B6000" s="244" t="str">
        <f t="shared" si="93"/>
        <v/>
      </c>
    </row>
    <row r="6001" spans="1:2" x14ac:dyDescent="0.25">
      <c r="A6001" t="str">
        <f>IF(C6001&amp;G6001&amp;D6001&lt;&gt;'Funnel setup'!$K$3&amp;'Funnel setup'!$K$4&amp;'Funnel setup'!$K$6,".",IF(A6000=".",1,A6000+1))</f>
        <v>.</v>
      </c>
      <c r="B6001" s="244" t="str">
        <f t="shared" si="93"/>
        <v/>
      </c>
    </row>
    <row r="6002" spans="1:2" x14ac:dyDescent="0.25">
      <c r="A6002" t="str">
        <f>IF(C6002&amp;G6002&amp;D6002&lt;&gt;'Funnel setup'!$K$3&amp;'Funnel setup'!$K$4&amp;'Funnel setup'!$K$6,".",IF(A6001=".",1,A6001+1))</f>
        <v>.</v>
      </c>
      <c r="B6002" s="244" t="str">
        <f t="shared" si="93"/>
        <v/>
      </c>
    </row>
    <row r="6003" spans="1:2" x14ac:dyDescent="0.25">
      <c r="A6003" t="str">
        <f>IF(C6003&amp;G6003&amp;D6003&lt;&gt;'Funnel setup'!$K$3&amp;'Funnel setup'!$K$4&amp;'Funnel setup'!$K$6,".",IF(A6002=".",1,A6002+1))</f>
        <v>.</v>
      </c>
      <c r="B6003" s="244" t="str">
        <f t="shared" si="93"/>
        <v/>
      </c>
    </row>
    <row r="6004" spans="1:2" x14ac:dyDescent="0.25">
      <c r="A6004" t="str">
        <f>IF(C6004&amp;G6004&amp;D6004&lt;&gt;'Funnel setup'!$K$3&amp;'Funnel setup'!$K$4&amp;'Funnel setup'!$K$6,".",IF(A6003=".",1,A6003+1))</f>
        <v>.</v>
      </c>
      <c r="B6004" s="244" t="str">
        <f t="shared" si="93"/>
        <v/>
      </c>
    </row>
    <row r="6005" spans="1:2" x14ac:dyDescent="0.25">
      <c r="A6005" t="str">
        <f>IF(C6005&amp;G6005&amp;D6005&lt;&gt;'Funnel setup'!$K$3&amp;'Funnel setup'!$K$4&amp;'Funnel setup'!$K$6,".",IF(A6004=".",1,A6004+1))</f>
        <v>.</v>
      </c>
      <c r="B6005" s="244" t="str">
        <f t="shared" si="93"/>
        <v/>
      </c>
    </row>
    <row r="6006" spans="1:2" x14ac:dyDescent="0.25">
      <c r="A6006" t="str">
        <f>IF(C6006&amp;G6006&amp;D6006&lt;&gt;'Funnel setup'!$K$3&amp;'Funnel setup'!$K$4&amp;'Funnel setup'!$K$6,".",IF(A6005=".",1,A6005+1))</f>
        <v>.</v>
      </c>
      <c r="B6006" s="244" t="str">
        <f t="shared" si="93"/>
        <v/>
      </c>
    </row>
    <row r="6007" spans="1:2" x14ac:dyDescent="0.25">
      <c r="A6007" t="str">
        <f>IF(C6007&amp;G6007&amp;D6007&lt;&gt;'Funnel setup'!$K$3&amp;'Funnel setup'!$K$4&amp;'Funnel setup'!$K$6,".",IF(A6006=".",1,A6006+1))</f>
        <v>.</v>
      </c>
      <c r="B6007" s="244" t="str">
        <f t="shared" si="93"/>
        <v/>
      </c>
    </row>
    <row r="6008" spans="1:2" x14ac:dyDescent="0.25">
      <c r="A6008" t="str">
        <f>IF(C6008&amp;G6008&amp;D6008&lt;&gt;'Funnel setup'!$K$3&amp;'Funnel setup'!$K$4&amp;'Funnel setup'!$K$6,".",IF(A6007=".",1,A6007+1))</f>
        <v>.</v>
      </c>
      <c r="B6008" s="244" t="str">
        <f t="shared" si="93"/>
        <v/>
      </c>
    </row>
    <row r="6009" spans="1:2" x14ac:dyDescent="0.25">
      <c r="A6009" t="str">
        <f>IF(C6009&amp;G6009&amp;D6009&lt;&gt;'Funnel setup'!$K$3&amp;'Funnel setup'!$K$4&amp;'Funnel setup'!$K$6,".",IF(A6008=".",1,A6008+1))</f>
        <v>.</v>
      </c>
      <c r="B6009" s="244" t="str">
        <f t="shared" si="93"/>
        <v/>
      </c>
    </row>
    <row r="6010" spans="1:2" x14ac:dyDescent="0.25">
      <c r="A6010" t="str">
        <f>IF(C6010&amp;G6010&amp;D6010&lt;&gt;'Funnel setup'!$K$3&amp;'Funnel setup'!$K$4&amp;'Funnel setup'!$K$6,".",IF(A6009=".",1,A6009+1))</f>
        <v>.</v>
      </c>
      <c r="B6010" s="244" t="str">
        <f t="shared" si="93"/>
        <v/>
      </c>
    </row>
    <row r="6011" spans="1:2" x14ac:dyDescent="0.25">
      <c r="A6011" t="str">
        <f>IF(C6011&amp;G6011&amp;D6011&lt;&gt;'Funnel setup'!$K$3&amp;'Funnel setup'!$K$4&amp;'Funnel setup'!$K$6,".",IF(A6010=".",1,A6010+1))</f>
        <v>.</v>
      </c>
      <c r="B6011" s="244" t="str">
        <f t="shared" si="93"/>
        <v/>
      </c>
    </row>
    <row r="6012" spans="1:2" x14ac:dyDescent="0.25">
      <c r="A6012" t="str">
        <f>IF(C6012&amp;G6012&amp;D6012&lt;&gt;'Funnel setup'!$K$3&amp;'Funnel setup'!$K$4&amp;'Funnel setup'!$K$6,".",IF(A6011=".",1,A6011+1))</f>
        <v>.</v>
      </c>
      <c r="B6012" s="244" t="str">
        <f t="shared" si="93"/>
        <v/>
      </c>
    </row>
    <row r="6013" spans="1:2" x14ac:dyDescent="0.25">
      <c r="A6013" t="str">
        <f>IF(C6013&amp;G6013&amp;D6013&lt;&gt;'Funnel setup'!$K$3&amp;'Funnel setup'!$K$4&amp;'Funnel setup'!$K$6,".",IF(A6012=".",1,A6012+1))</f>
        <v>.</v>
      </c>
      <c r="B6013" s="244" t="str">
        <f t="shared" si="93"/>
        <v/>
      </c>
    </row>
    <row r="6014" spans="1:2" x14ac:dyDescent="0.25">
      <c r="A6014" t="str">
        <f>IF(C6014&amp;G6014&amp;D6014&lt;&gt;'Funnel setup'!$K$3&amp;'Funnel setup'!$K$4&amp;'Funnel setup'!$K$6,".",IF(A6013=".",1,A6013+1))</f>
        <v>.</v>
      </c>
      <c r="B6014" s="244" t="str">
        <f t="shared" si="93"/>
        <v/>
      </c>
    </row>
    <row r="6015" spans="1:2" x14ac:dyDescent="0.25">
      <c r="A6015" t="str">
        <f>IF(C6015&amp;G6015&amp;D6015&lt;&gt;'Funnel setup'!$K$3&amp;'Funnel setup'!$K$4&amp;'Funnel setup'!$K$6,".",IF(A6014=".",1,A6014+1))</f>
        <v>.</v>
      </c>
      <c r="B6015" s="244" t="str">
        <f t="shared" si="93"/>
        <v/>
      </c>
    </row>
    <row r="6016" spans="1:2" x14ac:dyDescent="0.25">
      <c r="A6016" t="str">
        <f>IF(C6016&amp;G6016&amp;D6016&lt;&gt;'Funnel setup'!$K$3&amp;'Funnel setup'!$K$4&amp;'Funnel setup'!$K$6,".",IF(A6015=".",1,A6015+1))</f>
        <v>.</v>
      </c>
      <c r="B6016" s="244" t="str">
        <f t="shared" si="93"/>
        <v/>
      </c>
    </row>
    <row r="6017" spans="1:2" x14ac:dyDescent="0.25">
      <c r="A6017" t="str">
        <f>IF(C6017&amp;G6017&amp;D6017&lt;&gt;'Funnel setup'!$K$3&amp;'Funnel setup'!$K$4&amp;'Funnel setup'!$K$6,".",IF(A6016=".",1,A6016+1))</f>
        <v>.</v>
      </c>
      <c r="B6017" s="244" t="str">
        <f t="shared" si="93"/>
        <v/>
      </c>
    </row>
    <row r="6018" spans="1:2" x14ac:dyDescent="0.25">
      <c r="A6018" t="str">
        <f>IF(C6018&amp;G6018&amp;D6018&lt;&gt;'Funnel setup'!$K$3&amp;'Funnel setup'!$K$4&amp;'Funnel setup'!$K$6,".",IF(A6017=".",1,A6017+1))</f>
        <v>.</v>
      </c>
      <c r="B6018" s="244" t="str">
        <f t="shared" ref="B6018:B6081" si="94">C6018&amp;D6018&amp;F6018&amp;G6018</f>
        <v/>
      </c>
    </row>
    <row r="6019" spans="1:2" x14ac:dyDescent="0.25">
      <c r="A6019" t="str">
        <f>IF(C6019&amp;G6019&amp;D6019&lt;&gt;'Funnel setup'!$K$3&amp;'Funnel setup'!$K$4&amp;'Funnel setup'!$K$6,".",IF(A6018=".",1,A6018+1))</f>
        <v>.</v>
      </c>
      <c r="B6019" s="244" t="str">
        <f t="shared" si="94"/>
        <v/>
      </c>
    </row>
    <row r="6020" spans="1:2" x14ac:dyDescent="0.25">
      <c r="A6020" t="str">
        <f>IF(C6020&amp;G6020&amp;D6020&lt;&gt;'Funnel setup'!$K$3&amp;'Funnel setup'!$K$4&amp;'Funnel setup'!$K$6,".",IF(A6019=".",1,A6019+1))</f>
        <v>.</v>
      </c>
      <c r="B6020" s="244" t="str">
        <f t="shared" si="94"/>
        <v/>
      </c>
    </row>
    <row r="6021" spans="1:2" x14ac:dyDescent="0.25">
      <c r="A6021" t="str">
        <f>IF(C6021&amp;G6021&amp;D6021&lt;&gt;'Funnel setup'!$K$3&amp;'Funnel setup'!$K$4&amp;'Funnel setup'!$K$6,".",IF(A6020=".",1,A6020+1))</f>
        <v>.</v>
      </c>
      <c r="B6021" s="244" t="str">
        <f t="shared" si="94"/>
        <v/>
      </c>
    </row>
    <row r="6022" spans="1:2" x14ac:dyDescent="0.25">
      <c r="A6022" t="str">
        <f>IF(C6022&amp;G6022&amp;D6022&lt;&gt;'Funnel setup'!$K$3&amp;'Funnel setup'!$K$4&amp;'Funnel setup'!$K$6,".",IF(A6021=".",1,A6021+1))</f>
        <v>.</v>
      </c>
      <c r="B6022" s="244" t="str">
        <f t="shared" si="94"/>
        <v/>
      </c>
    </row>
    <row r="6023" spans="1:2" x14ac:dyDescent="0.25">
      <c r="A6023" t="str">
        <f>IF(C6023&amp;G6023&amp;D6023&lt;&gt;'Funnel setup'!$K$3&amp;'Funnel setup'!$K$4&amp;'Funnel setup'!$K$6,".",IF(A6022=".",1,A6022+1))</f>
        <v>.</v>
      </c>
      <c r="B6023" s="244" t="str">
        <f t="shared" si="94"/>
        <v/>
      </c>
    </row>
    <row r="6024" spans="1:2" x14ac:dyDescent="0.25">
      <c r="A6024" t="str">
        <f>IF(C6024&amp;G6024&amp;D6024&lt;&gt;'Funnel setup'!$K$3&amp;'Funnel setup'!$K$4&amp;'Funnel setup'!$K$6,".",IF(A6023=".",1,A6023+1))</f>
        <v>.</v>
      </c>
      <c r="B6024" s="244" t="str">
        <f t="shared" si="94"/>
        <v/>
      </c>
    </row>
    <row r="6025" spans="1:2" x14ac:dyDescent="0.25">
      <c r="A6025" t="str">
        <f>IF(C6025&amp;G6025&amp;D6025&lt;&gt;'Funnel setup'!$K$3&amp;'Funnel setup'!$K$4&amp;'Funnel setup'!$K$6,".",IF(A6024=".",1,A6024+1))</f>
        <v>.</v>
      </c>
      <c r="B6025" s="244" t="str">
        <f t="shared" si="94"/>
        <v/>
      </c>
    </row>
    <row r="6026" spans="1:2" x14ac:dyDescent="0.25">
      <c r="A6026" t="str">
        <f>IF(C6026&amp;G6026&amp;D6026&lt;&gt;'Funnel setup'!$K$3&amp;'Funnel setup'!$K$4&amp;'Funnel setup'!$K$6,".",IF(A6025=".",1,A6025+1))</f>
        <v>.</v>
      </c>
      <c r="B6026" s="244" t="str">
        <f t="shared" si="94"/>
        <v/>
      </c>
    </row>
    <row r="6027" spans="1:2" x14ac:dyDescent="0.25">
      <c r="A6027" t="str">
        <f>IF(C6027&amp;G6027&amp;D6027&lt;&gt;'Funnel setup'!$K$3&amp;'Funnel setup'!$K$4&amp;'Funnel setup'!$K$6,".",IF(A6026=".",1,A6026+1))</f>
        <v>.</v>
      </c>
      <c r="B6027" s="244" t="str">
        <f t="shared" si="94"/>
        <v/>
      </c>
    </row>
    <row r="6028" spans="1:2" x14ac:dyDescent="0.25">
      <c r="A6028" t="str">
        <f>IF(C6028&amp;G6028&amp;D6028&lt;&gt;'Funnel setup'!$K$3&amp;'Funnel setup'!$K$4&amp;'Funnel setup'!$K$6,".",IF(A6027=".",1,A6027+1))</f>
        <v>.</v>
      </c>
      <c r="B6028" s="244" t="str">
        <f t="shared" si="94"/>
        <v/>
      </c>
    </row>
    <row r="6029" spans="1:2" x14ac:dyDescent="0.25">
      <c r="A6029" t="str">
        <f>IF(C6029&amp;G6029&amp;D6029&lt;&gt;'Funnel setup'!$K$3&amp;'Funnel setup'!$K$4&amp;'Funnel setup'!$K$6,".",IF(A6028=".",1,A6028+1))</f>
        <v>.</v>
      </c>
      <c r="B6029" s="244" t="str">
        <f t="shared" si="94"/>
        <v/>
      </c>
    </row>
    <row r="6030" spans="1:2" x14ac:dyDescent="0.25">
      <c r="A6030" t="str">
        <f>IF(C6030&amp;G6030&amp;D6030&lt;&gt;'Funnel setup'!$K$3&amp;'Funnel setup'!$K$4&amp;'Funnel setup'!$K$6,".",IF(A6029=".",1,A6029+1))</f>
        <v>.</v>
      </c>
      <c r="B6030" s="244" t="str">
        <f t="shared" si="94"/>
        <v/>
      </c>
    </row>
    <row r="6031" spans="1:2" x14ac:dyDescent="0.25">
      <c r="A6031" t="str">
        <f>IF(C6031&amp;G6031&amp;D6031&lt;&gt;'Funnel setup'!$K$3&amp;'Funnel setup'!$K$4&amp;'Funnel setup'!$K$6,".",IF(A6030=".",1,A6030+1))</f>
        <v>.</v>
      </c>
      <c r="B6031" s="244" t="str">
        <f t="shared" si="94"/>
        <v/>
      </c>
    </row>
    <row r="6032" spans="1:2" x14ac:dyDescent="0.25">
      <c r="A6032" t="str">
        <f>IF(C6032&amp;G6032&amp;D6032&lt;&gt;'Funnel setup'!$K$3&amp;'Funnel setup'!$K$4&amp;'Funnel setup'!$K$6,".",IF(A6031=".",1,A6031+1))</f>
        <v>.</v>
      </c>
      <c r="B6032" s="244" t="str">
        <f t="shared" si="94"/>
        <v/>
      </c>
    </row>
    <row r="6033" spans="1:2" x14ac:dyDescent="0.25">
      <c r="A6033" t="str">
        <f>IF(C6033&amp;G6033&amp;D6033&lt;&gt;'Funnel setup'!$K$3&amp;'Funnel setup'!$K$4&amp;'Funnel setup'!$K$6,".",IF(A6032=".",1,A6032+1))</f>
        <v>.</v>
      </c>
      <c r="B6033" s="244" t="str">
        <f t="shared" si="94"/>
        <v/>
      </c>
    </row>
    <row r="6034" spans="1:2" x14ac:dyDescent="0.25">
      <c r="A6034" t="str">
        <f>IF(C6034&amp;G6034&amp;D6034&lt;&gt;'Funnel setup'!$K$3&amp;'Funnel setup'!$K$4&amp;'Funnel setup'!$K$6,".",IF(A6033=".",1,A6033+1))</f>
        <v>.</v>
      </c>
      <c r="B6034" s="244" t="str">
        <f t="shared" si="94"/>
        <v/>
      </c>
    </row>
    <row r="6035" spans="1:2" x14ac:dyDescent="0.25">
      <c r="A6035" t="str">
        <f>IF(C6035&amp;G6035&amp;D6035&lt;&gt;'Funnel setup'!$K$3&amp;'Funnel setup'!$K$4&amp;'Funnel setup'!$K$6,".",IF(A6034=".",1,A6034+1))</f>
        <v>.</v>
      </c>
      <c r="B6035" s="244" t="str">
        <f t="shared" si="94"/>
        <v/>
      </c>
    </row>
    <row r="6036" spans="1:2" x14ac:dyDescent="0.25">
      <c r="A6036" t="str">
        <f>IF(C6036&amp;G6036&amp;D6036&lt;&gt;'Funnel setup'!$K$3&amp;'Funnel setup'!$K$4&amp;'Funnel setup'!$K$6,".",IF(A6035=".",1,A6035+1))</f>
        <v>.</v>
      </c>
      <c r="B6036" s="244" t="str">
        <f t="shared" si="94"/>
        <v/>
      </c>
    </row>
    <row r="6037" spans="1:2" x14ac:dyDescent="0.25">
      <c r="A6037" t="str">
        <f>IF(C6037&amp;G6037&amp;D6037&lt;&gt;'Funnel setup'!$K$3&amp;'Funnel setup'!$K$4&amp;'Funnel setup'!$K$6,".",IF(A6036=".",1,A6036+1))</f>
        <v>.</v>
      </c>
      <c r="B6037" s="244" t="str">
        <f t="shared" si="94"/>
        <v/>
      </c>
    </row>
    <row r="6038" spans="1:2" x14ac:dyDescent="0.25">
      <c r="A6038" t="str">
        <f>IF(C6038&amp;G6038&amp;D6038&lt;&gt;'Funnel setup'!$K$3&amp;'Funnel setup'!$K$4&amp;'Funnel setup'!$K$6,".",IF(A6037=".",1,A6037+1))</f>
        <v>.</v>
      </c>
      <c r="B6038" s="244" t="str">
        <f t="shared" si="94"/>
        <v/>
      </c>
    </row>
    <row r="6039" spans="1:2" x14ac:dyDescent="0.25">
      <c r="A6039" t="str">
        <f>IF(C6039&amp;G6039&amp;D6039&lt;&gt;'Funnel setup'!$K$3&amp;'Funnel setup'!$K$4&amp;'Funnel setup'!$K$6,".",IF(A6038=".",1,A6038+1))</f>
        <v>.</v>
      </c>
      <c r="B6039" s="244" t="str">
        <f t="shared" si="94"/>
        <v/>
      </c>
    </row>
    <row r="6040" spans="1:2" x14ac:dyDescent="0.25">
      <c r="A6040" t="str">
        <f>IF(C6040&amp;G6040&amp;D6040&lt;&gt;'Funnel setup'!$K$3&amp;'Funnel setup'!$K$4&amp;'Funnel setup'!$K$6,".",IF(A6039=".",1,A6039+1))</f>
        <v>.</v>
      </c>
      <c r="B6040" s="244" t="str">
        <f t="shared" si="94"/>
        <v/>
      </c>
    </row>
    <row r="6041" spans="1:2" x14ac:dyDescent="0.25">
      <c r="A6041" t="str">
        <f>IF(C6041&amp;G6041&amp;D6041&lt;&gt;'Funnel setup'!$K$3&amp;'Funnel setup'!$K$4&amp;'Funnel setup'!$K$6,".",IF(A6040=".",1,A6040+1))</f>
        <v>.</v>
      </c>
      <c r="B6041" s="244" t="str">
        <f t="shared" si="94"/>
        <v/>
      </c>
    </row>
    <row r="6042" spans="1:2" x14ac:dyDescent="0.25">
      <c r="A6042" t="str">
        <f>IF(C6042&amp;G6042&amp;D6042&lt;&gt;'Funnel setup'!$K$3&amp;'Funnel setup'!$K$4&amp;'Funnel setup'!$K$6,".",IF(A6041=".",1,A6041+1))</f>
        <v>.</v>
      </c>
      <c r="B6042" s="244" t="str">
        <f t="shared" si="94"/>
        <v/>
      </c>
    </row>
    <row r="6043" spans="1:2" x14ac:dyDescent="0.25">
      <c r="A6043" t="str">
        <f>IF(C6043&amp;G6043&amp;D6043&lt;&gt;'Funnel setup'!$K$3&amp;'Funnel setup'!$K$4&amp;'Funnel setup'!$K$6,".",IF(A6042=".",1,A6042+1))</f>
        <v>.</v>
      </c>
      <c r="B6043" s="244" t="str">
        <f t="shared" si="94"/>
        <v/>
      </c>
    </row>
    <row r="6044" spans="1:2" x14ac:dyDescent="0.25">
      <c r="A6044" t="str">
        <f>IF(C6044&amp;G6044&amp;D6044&lt;&gt;'Funnel setup'!$K$3&amp;'Funnel setup'!$K$4&amp;'Funnel setup'!$K$6,".",IF(A6043=".",1,A6043+1))</f>
        <v>.</v>
      </c>
      <c r="B6044" s="244" t="str">
        <f t="shared" si="94"/>
        <v/>
      </c>
    </row>
    <row r="6045" spans="1:2" x14ac:dyDescent="0.25">
      <c r="A6045" t="str">
        <f>IF(C6045&amp;G6045&amp;D6045&lt;&gt;'Funnel setup'!$K$3&amp;'Funnel setup'!$K$4&amp;'Funnel setup'!$K$6,".",IF(A6044=".",1,A6044+1))</f>
        <v>.</v>
      </c>
      <c r="B6045" s="244" t="str">
        <f t="shared" si="94"/>
        <v/>
      </c>
    </row>
    <row r="6046" spans="1:2" x14ac:dyDescent="0.25">
      <c r="A6046" t="str">
        <f>IF(C6046&amp;G6046&amp;D6046&lt;&gt;'Funnel setup'!$K$3&amp;'Funnel setup'!$K$4&amp;'Funnel setup'!$K$6,".",IF(A6045=".",1,A6045+1))</f>
        <v>.</v>
      </c>
      <c r="B6046" s="244" t="str">
        <f t="shared" si="94"/>
        <v/>
      </c>
    </row>
    <row r="6047" spans="1:2" x14ac:dyDescent="0.25">
      <c r="A6047" t="str">
        <f>IF(C6047&amp;G6047&amp;D6047&lt;&gt;'Funnel setup'!$K$3&amp;'Funnel setup'!$K$4&amp;'Funnel setup'!$K$6,".",IF(A6046=".",1,A6046+1))</f>
        <v>.</v>
      </c>
      <c r="B6047" s="244" t="str">
        <f t="shared" si="94"/>
        <v/>
      </c>
    </row>
    <row r="6048" spans="1:2" x14ac:dyDescent="0.25">
      <c r="A6048" t="str">
        <f>IF(C6048&amp;G6048&amp;D6048&lt;&gt;'Funnel setup'!$K$3&amp;'Funnel setup'!$K$4&amp;'Funnel setup'!$K$6,".",IF(A6047=".",1,A6047+1))</f>
        <v>.</v>
      </c>
      <c r="B6048" s="244" t="str">
        <f t="shared" si="94"/>
        <v/>
      </c>
    </row>
    <row r="6049" spans="1:2" x14ac:dyDescent="0.25">
      <c r="A6049" t="str">
        <f>IF(C6049&amp;G6049&amp;D6049&lt;&gt;'Funnel setup'!$K$3&amp;'Funnel setup'!$K$4&amp;'Funnel setup'!$K$6,".",IF(A6048=".",1,A6048+1))</f>
        <v>.</v>
      </c>
      <c r="B6049" s="244" t="str">
        <f t="shared" si="94"/>
        <v/>
      </c>
    </row>
    <row r="6050" spans="1:2" x14ac:dyDescent="0.25">
      <c r="A6050" t="str">
        <f>IF(C6050&amp;G6050&amp;D6050&lt;&gt;'Funnel setup'!$K$3&amp;'Funnel setup'!$K$4&amp;'Funnel setup'!$K$6,".",IF(A6049=".",1,A6049+1))</f>
        <v>.</v>
      </c>
      <c r="B6050" s="244" t="str">
        <f t="shared" si="94"/>
        <v/>
      </c>
    </row>
    <row r="6051" spans="1:2" x14ac:dyDescent="0.25">
      <c r="A6051" t="str">
        <f>IF(C6051&amp;G6051&amp;D6051&lt;&gt;'Funnel setup'!$K$3&amp;'Funnel setup'!$K$4&amp;'Funnel setup'!$K$6,".",IF(A6050=".",1,A6050+1))</f>
        <v>.</v>
      </c>
      <c r="B6051" s="244" t="str">
        <f t="shared" si="94"/>
        <v/>
      </c>
    </row>
    <row r="6052" spans="1:2" x14ac:dyDescent="0.25">
      <c r="A6052" t="str">
        <f>IF(C6052&amp;G6052&amp;D6052&lt;&gt;'Funnel setup'!$K$3&amp;'Funnel setup'!$K$4&amp;'Funnel setup'!$K$6,".",IF(A6051=".",1,A6051+1))</f>
        <v>.</v>
      </c>
      <c r="B6052" s="244" t="str">
        <f t="shared" si="94"/>
        <v/>
      </c>
    </row>
    <row r="6053" spans="1:2" x14ac:dyDescent="0.25">
      <c r="A6053" t="str">
        <f>IF(C6053&amp;G6053&amp;D6053&lt;&gt;'Funnel setup'!$K$3&amp;'Funnel setup'!$K$4&amp;'Funnel setup'!$K$6,".",IF(A6052=".",1,A6052+1))</f>
        <v>.</v>
      </c>
      <c r="B6053" s="244" t="str">
        <f t="shared" si="94"/>
        <v/>
      </c>
    </row>
    <row r="6054" spans="1:2" x14ac:dyDescent="0.25">
      <c r="A6054" t="str">
        <f>IF(C6054&amp;G6054&amp;D6054&lt;&gt;'Funnel setup'!$K$3&amp;'Funnel setup'!$K$4&amp;'Funnel setup'!$K$6,".",IF(A6053=".",1,A6053+1))</f>
        <v>.</v>
      </c>
      <c r="B6054" s="244" t="str">
        <f t="shared" si="94"/>
        <v/>
      </c>
    </row>
    <row r="6055" spans="1:2" x14ac:dyDescent="0.25">
      <c r="A6055" t="str">
        <f>IF(C6055&amp;G6055&amp;D6055&lt;&gt;'Funnel setup'!$K$3&amp;'Funnel setup'!$K$4&amp;'Funnel setup'!$K$6,".",IF(A6054=".",1,A6054+1))</f>
        <v>.</v>
      </c>
      <c r="B6055" s="244" t="str">
        <f t="shared" si="94"/>
        <v/>
      </c>
    </row>
    <row r="6056" spans="1:2" x14ac:dyDescent="0.25">
      <c r="A6056" t="str">
        <f>IF(C6056&amp;G6056&amp;D6056&lt;&gt;'Funnel setup'!$K$3&amp;'Funnel setup'!$K$4&amp;'Funnel setup'!$K$6,".",IF(A6055=".",1,A6055+1))</f>
        <v>.</v>
      </c>
      <c r="B6056" s="244" t="str">
        <f t="shared" si="94"/>
        <v/>
      </c>
    </row>
    <row r="6057" spans="1:2" x14ac:dyDescent="0.25">
      <c r="A6057" t="str">
        <f>IF(C6057&amp;G6057&amp;D6057&lt;&gt;'Funnel setup'!$K$3&amp;'Funnel setup'!$K$4&amp;'Funnel setup'!$K$6,".",IF(A6056=".",1,A6056+1))</f>
        <v>.</v>
      </c>
      <c r="B6057" s="244" t="str">
        <f t="shared" si="94"/>
        <v/>
      </c>
    </row>
    <row r="6058" spans="1:2" x14ac:dyDescent="0.25">
      <c r="A6058" t="str">
        <f>IF(C6058&amp;G6058&amp;D6058&lt;&gt;'Funnel setup'!$K$3&amp;'Funnel setup'!$K$4&amp;'Funnel setup'!$K$6,".",IF(A6057=".",1,A6057+1))</f>
        <v>.</v>
      </c>
      <c r="B6058" s="244" t="str">
        <f t="shared" si="94"/>
        <v/>
      </c>
    </row>
    <row r="6059" spans="1:2" x14ac:dyDescent="0.25">
      <c r="A6059" t="str">
        <f>IF(C6059&amp;G6059&amp;D6059&lt;&gt;'Funnel setup'!$K$3&amp;'Funnel setup'!$K$4&amp;'Funnel setup'!$K$6,".",IF(A6058=".",1,A6058+1))</f>
        <v>.</v>
      </c>
      <c r="B6059" s="244" t="str">
        <f t="shared" si="94"/>
        <v/>
      </c>
    </row>
    <row r="6060" spans="1:2" x14ac:dyDescent="0.25">
      <c r="A6060" t="str">
        <f>IF(C6060&amp;G6060&amp;D6060&lt;&gt;'Funnel setup'!$K$3&amp;'Funnel setup'!$K$4&amp;'Funnel setup'!$K$6,".",IF(A6059=".",1,A6059+1))</f>
        <v>.</v>
      </c>
      <c r="B6060" s="244" t="str">
        <f t="shared" si="94"/>
        <v/>
      </c>
    </row>
    <row r="6061" spans="1:2" x14ac:dyDescent="0.25">
      <c r="A6061" t="str">
        <f>IF(C6061&amp;G6061&amp;D6061&lt;&gt;'Funnel setup'!$K$3&amp;'Funnel setup'!$K$4&amp;'Funnel setup'!$K$6,".",IF(A6060=".",1,A6060+1))</f>
        <v>.</v>
      </c>
      <c r="B6061" s="244" t="str">
        <f t="shared" si="94"/>
        <v/>
      </c>
    </row>
    <row r="6062" spans="1:2" x14ac:dyDescent="0.25">
      <c r="A6062" t="str">
        <f>IF(C6062&amp;G6062&amp;D6062&lt;&gt;'Funnel setup'!$K$3&amp;'Funnel setup'!$K$4&amp;'Funnel setup'!$K$6,".",IF(A6061=".",1,A6061+1))</f>
        <v>.</v>
      </c>
      <c r="B6062" s="244" t="str">
        <f t="shared" si="94"/>
        <v/>
      </c>
    </row>
    <row r="6063" spans="1:2" x14ac:dyDescent="0.25">
      <c r="A6063" t="str">
        <f>IF(C6063&amp;G6063&amp;D6063&lt;&gt;'Funnel setup'!$K$3&amp;'Funnel setup'!$K$4&amp;'Funnel setup'!$K$6,".",IF(A6062=".",1,A6062+1))</f>
        <v>.</v>
      </c>
      <c r="B6063" s="244" t="str">
        <f t="shared" si="94"/>
        <v/>
      </c>
    </row>
    <row r="6064" spans="1:2" x14ac:dyDescent="0.25">
      <c r="A6064" t="str">
        <f>IF(C6064&amp;G6064&amp;D6064&lt;&gt;'Funnel setup'!$K$3&amp;'Funnel setup'!$K$4&amp;'Funnel setup'!$K$6,".",IF(A6063=".",1,A6063+1))</f>
        <v>.</v>
      </c>
      <c r="B6064" s="244" t="str">
        <f t="shared" si="94"/>
        <v/>
      </c>
    </row>
    <row r="6065" spans="1:2" x14ac:dyDescent="0.25">
      <c r="A6065" t="str">
        <f>IF(C6065&amp;G6065&amp;D6065&lt;&gt;'Funnel setup'!$K$3&amp;'Funnel setup'!$K$4&amp;'Funnel setup'!$K$6,".",IF(A6064=".",1,A6064+1))</f>
        <v>.</v>
      </c>
      <c r="B6065" s="244" t="str">
        <f t="shared" si="94"/>
        <v/>
      </c>
    </row>
    <row r="6066" spans="1:2" x14ac:dyDescent="0.25">
      <c r="A6066" t="str">
        <f>IF(C6066&amp;G6066&amp;D6066&lt;&gt;'Funnel setup'!$K$3&amp;'Funnel setup'!$K$4&amp;'Funnel setup'!$K$6,".",IF(A6065=".",1,A6065+1))</f>
        <v>.</v>
      </c>
      <c r="B6066" s="244" t="str">
        <f t="shared" si="94"/>
        <v/>
      </c>
    </row>
    <row r="6067" spans="1:2" x14ac:dyDescent="0.25">
      <c r="A6067" t="str">
        <f>IF(C6067&amp;G6067&amp;D6067&lt;&gt;'Funnel setup'!$K$3&amp;'Funnel setup'!$K$4&amp;'Funnel setup'!$K$6,".",IF(A6066=".",1,A6066+1))</f>
        <v>.</v>
      </c>
      <c r="B6067" s="244" t="str">
        <f t="shared" si="94"/>
        <v/>
      </c>
    </row>
    <row r="6068" spans="1:2" x14ac:dyDescent="0.25">
      <c r="A6068" t="str">
        <f>IF(C6068&amp;G6068&amp;D6068&lt;&gt;'Funnel setup'!$K$3&amp;'Funnel setup'!$K$4&amp;'Funnel setup'!$K$6,".",IF(A6067=".",1,A6067+1))</f>
        <v>.</v>
      </c>
      <c r="B6068" s="244" t="str">
        <f t="shared" si="94"/>
        <v/>
      </c>
    </row>
    <row r="6069" spans="1:2" x14ac:dyDescent="0.25">
      <c r="A6069" t="str">
        <f>IF(C6069&amp;G6069&amp;D6069&lt;&gt;'Funnel setup'!$K$3&amp;'Funnel setup'!$K$4&amp;'Funnel setup'!$K$6,".",IF(A6068=".",1,A6068+1))</f>
        <v>.</v>
      </c>
      <c r="B6069" s="244" t="str">
        <f t="shared" si="94"/>
        <v/>
      </c>
    </row>
    <row r="6070" spans="1:2" x14ac:dyDescent="0.25">
      <c r="A6070" t="str">
        <f>IF(C6070&amp;G6070&amp;D6070&lt;&gt;'Funnel setup'!$K$3&amp;'Funnel setup'!$K$4&amp;'Funnel setup'!$K$6,".",IF(A6069=".",1,A6069+1))</f>
        <v>.</v>
      </c>
      <c r="B6070" s="244" t="str">
        <f t="shared" si="94"/>
        <v/>
      </c>
    </row>
    <row r="6071" spans="1:2" x14ac:dyDescent="0.25">
      <c r="A6071" t="str">
        <f>IF(C6071&amp;G6071&amp;D6071&lt;&gt;'Funnel setup'!$K$3&amp;'Funnel setup'!$K$4&amp;'Funnel setup'!$K$6,".",IF(A6070=".",1,A6070+1))</f>
        <v>.</v>
      </c>
      <c r="B6071" s="244" t="str">
        <f t="shared" si="94"/>
        <v/>
      </c>
    </row>
    <row r="6072" spans="1:2" x14ac:dyDescent="0.25">
      <c r="A6072" t="str">
        <f>IF(C6072&amp;G6072&amp;D6072&lt;&gt;'Funnel setup'!$K$3&amp;'Funnel setup'!$K$4&amp;'Funnel setup'!$K$6,".",IF(A6071=".",1,A6071+1))</f>
        <v>.</v>
      </c>
      <c r="B6072" s="244" t="str">
        <f t="shared" si="94"/>
        <v/>
      </c>
    </row>
    <row r="6073" spans="1:2" x14ac:dyDescent="0.25">
      <c r="A6073" t="str">
        <f>IF(C6073&amp;G6073&amp;D6073&lt;&gt;'Funnel setup'!$K$3&amp;'Funnel setup'!$K$4&amp;'Funnel setup'!$K$6,".",IF(A6072=".",1,A6072+1))</f>
        <v>.</v>
      </c>
      <c r="B6073" s="244" t="str">
        <f t="shared" si="94"/>
        <v/>
      </c>
    </row>
    <row r="6074" spans="1:2" x14ac:dyDescent="0.25">
      <c r="A6074" t="str">
        <f>IF(C6074&amp;G6074&amp;D6074&lt;&gt;'Funnel setup'!$K$3&amp;'Funnel setup'!$K$4&amp;'Funnel setup'!$K$6,".",IF(A6073=".",1,A6073+1))</f>
        <v>.</v>
      </c>
      <c r="B6074" s="244" t="str">
        <f t="shared" si="94"/>
        <v/>
      </c>
    </row>
    <row r="6075" spans="1:2" x14ac:dyDescent="0.25">
      <c r="A6075" t="str">
        <f>IF(C6075&amp;G6075&amp;D6075&lt;&gt;'Funnel setup'!$K$3&amp;'Funnel setup'!$K$4&amp;'Funnel setup'!$K$6,".",IF(A6074=".",1,A6074+1))</f>
        <v>.</v>
      </c>
      <c r="B6075" s="244" t="str">
        <f t="shared" si="94"/>
        <v/>
      </c>
    </row>
    <row r="6076" spans="1:2" x14ac:dyDescent="0.25">
      <c r="A6076" t="str">
        <f>IF(C6076&amp;G6076&amp;D6076&lt;&gt;'Funnel setup'!$K$3&amp;'Funnel setup'!$K$4&amp;'Funnel setup'!$K$6,".",IF(A6075=".",1,A6075+1))</f>
        <v>.</v>
      </c>
      <c r="B6076" s="244" t="str">
        <f t="shared" si="94"/>
        <v/>
      </c>
    </row>
    <row r="6077" spans="1:2" x14ac:dyDescent="0.25">
      <c r="A6077" t="str">
        <f>IF(C6077&amp;G6077&amp;D6077&lt;&gt;'Funnel setup'!$K$3&amp;'Funnel setup'!$K$4&amp;'Funnel setup'!$K$6,".",IF(A6076=".",1,A6076+1))</f>
        <v>.</v>
      </c>
      <c r="B6077" s="244" t="str">
        <f t="shared" si="94"/>
        <v/>
      </c>
    </row>
    <row r="6078" spans="1:2" x14ac:dyDescent="0.25">
      <c r="A6078" t="str">
        <f>IF(C6078&amp;G6078&amp;D6078&lt;&gt;'Funnel setup'!$K$3&amp;'Funnel setup'!$K$4&amp;'Funnel setup'!$K$6,".",IF(A6077=".",1,A6077+1))</f>
        <v>.</v>
      </c>
      <c r="B6078" s="244" t="str">
        <f t="shared" si="94"/>
        <v/>
      </c>
    </row>
    <row r="6079" spans="1:2" x14ac:dyDescent="0.25">
      <c r="A6079" t="str">
        <f>IF(C6079&amp;G6079&amp;D6079&lt;&gt;'Funnel setup'!$K$3&amp;'Funnel setup'!$K$4&amp;'Funnel setup'!$K$6,".",IF(A6078=".",1,A6078+1))</f>
        <v>.</v>
      </c>
      <c r="B6079" s="244" t="str">
        <f t="shared" si="94"/>
        <v/>
      </c>
    </row>
    <row r="6080" spans="1:2" x14ac:dyDescent="0.25">
      <c r="A6080" t="str">
        <f>IF(C6080&amp;G6080&amp;D6080&lt;&gt;'Funnel setup'!$K$3&amp;'Funnel setup'!$K$4&amp;'Funnel setup'!$K$6,".",IF(A6079=".",1,A6079+1))</f>
        <v>.</v>
      </c>
      <c r="B6080" s="244" t="str">
        <f t="shared" si="94"/>
        <v/>
      </c>
    </row>
    <row r="6081" spans="1:2" x14ac:dyDescent="0.25">
      <c r="A6081" t="str">
        <f>IF(C6081&amp;G6081&amp;D6081&lt;&gt;'Funnel setup'!$K$3&amp;'Funnel setup'!$K$4&amp;'Funnel setup'!$K$6,".",IF(A6080=".",1,A6080+1))</f>
        <v>.</v>
      </c>
      <c r="B6081" s="244" t="str">
        <f t="shared" si="94"/>
        <v/>
      </c>
    </row>
    <row r="6082" spans="1:2" x14ac:dyDescent="0.25">
      <c r="A6082" t="str">
        <f>IF(C6082&amp;G6082&amp;D6082&lt;&gt;'Funnel setup'!$K$3&amp;'Funnel setup'!$K$4&amp;'Funnel setup'!$K$6,".",IF(A6081=".",1,A6081+1))</f>
        <v>.</v>
      </c>
      <c r="B6082" s="244" t="str">
        <f t="shared" ref="B6082:B6145" si="95">C6082&amp;D6082&amp;F6082&amp;G6082</f>
        <v/>
      </c>
    </row>
    <row r="6083" spans="1:2" x14ac:dyDescent="0.25">
      <c r="A6083" t="str">
        <f>IF(C6083&amp;G6083&amp;D6083&lt;&gt;'Funnel setup'!$K$3&amp;'Funnel setup'!$K$4&amp;'Funnel setup'!$K$6,".",IF(A6082=".",1,A6082+1))</f>
        <v>.</v>
      </c>
      <c r="B6083" s="244" t="str">
        <f t="shared" si="95"/>
        <v/>
      </c>
    </row>
    <row r="6084" spans="1:2" x14ac:dyDescent="0.25">
      <c r="A6084" t="str">
        <f>IF(C6084&amp;G6084&amp;D6084&lt;&gt;'Funnel setup'!$K$3&amp;'Funnel setup'!$K$4&amp;'Funnel setup'!$K$6,".",IF(A6083=".",1,A6083+1))</f>
        <v>.</v>
      </c>
      <c r="B6084" s="244" t="str">
        <f t="shared" si="95"/>
        <v/>
      </c>
    </row>
    <row r="6085" spans="1:2" x14ac:dyDescent="0.25">
      <c r="A6085" t="str">
        <f>IF(C6085&amp;G6085&amp;D6085&lt;&gt;'Funnel setup'!$K$3&amp;'Funnel setup'!$K$4&amp;'Funnel setup'!$K$6,".",IF(A6084=".",1,A6084+1))</f>
        <v>.</v>
      </c>
      <c r="B6085" s="244" t="str">
        <f t="shared" si="95"/>
        <v/>
      </c>
    </row>
    <row r="6086" spans="1:2" x14ac:dyDescent="0.25">
      <c r="A6086" t="str">
        <f>IF(C6086&amp;G6086&amp;D6086&lt;&gt;'Funnel setup'!$K$3&amp;'Funnel setup'!$K$4&amp;'Funnel setup'!$K$6,".",IF(A6085=".",1,A6085+1))</f>
        <v>.</v>
      </c>
      <c r="B6086" s="244" t="str">
        <f t="shared" si="95"/>
        <v/>
      </c>
    </row>
    <row r="6087" spans="1:2" x14ac:dyDescent="0.25">
      <c r="A6087" t="str">
        <f>IF(C6087&amp;G6087&amp;D6087&lt;&gt;'Funnel setup'!$K$3&amp;'Funnel setup'!$K$4&amp;'Funnel setup'!$K$6,".",IF(A6086=".",1,A6086+1))</f>
        <v>.</v>
      </c>
      <c r="B6087" s="244" t="str">
        <f t="shared" si="95"/>
        <v/>
      </c>
    </row>
    <row r="6088" spans="1:2" x14ac:dyDescent="0.25">
      <c r="A6088" t="str">
        <f>IF(C6088&amp;G6088&amp;D6088&lt;&gt;'Funnel setup'!$K$3&amp;'Funnel setup'!$K$4&amp;'Funnel setup'!$K$6,".",IF(A6087=".",1,A6087+1))</f>
        <v>.</v>
      </c>
      <c r="B6088" s="244" t="str">
        <f t="shared" si="95"/>
        <v/>
      </c>
    </row>
    <row r="6089" spans="1:2" x14ac:dyDescent="0.25">
      <c r="A6089" t="str">
        <f>IF(C6089&amp;G6089&amp;D6089&lt;&gt;'Funnel setup'!$K$3&amp;'Funnel setup'!$K$4&amp;'Funnel setup'!$K$6,".",IF(A6088=".",1,A6088+1))</f>
        <v>.</v>
      </c>
      <c r="B6089" s="244" t="str">
        <f t="shared" si="95"/>
        <v/>
      </c>
    </row>
    <row r="6090" spans="1:2" x14ac:dyDescent="0.25">
      <c r="A6090" t="str">
        <f>IF(C6090&amp;G6090&amp;D6090&lt;&gt;'Funnel setup'!$K$3&amp;'Funnel setup'!$K$4&amp;'Funnel setup'!$K$6,".",IF(A6089=".",1,A6089+1))</f>
        <v>.</v>
      </c>
      <c r="B6090" s="244" t="str">
        <f t="shared" si="95"/>
        <v/>
      </c>
    </row>
    <row r="6091" spans="1:2" x14ac:dyDescent="0.25">
      <c r="A6091" t="str">
        <f>IF(C6091&amp;G6091&amp;D6091&lt;&gt;'Funnel setup'!$K$3&amp;'Funnel setup'!$K$4&amp;'Funnel setup'!$K$6,".",IF(A6090=".",1,A6090+1))</f>
        <v>.</v>
      </c>
      <c r="B6091" s="244" t="str">
        <f t="shared" si="95"/>
        <v/>
      </c>
    </row>
    <row r="6092" spans="1:2" x14ac:dyDescent="0.25">
      <c r="A6092" t="str">
        <f>IF(C6092&amp;G6092&amp;D6092&lt;&gt;'Funnel setup'!$K$3&amp;'Funnel setup'!$K$4&amp;'Funnel setup'!$K$6,".",IF(A6091=".",1,A6091+1))</f>
        <v>.</v>
      </c>
      <c r="B6092" s="244" t="str">
        <f t="shared" si="95"/>
        <v/>
      </c>
    </row>
    <row r="6093" spans="1:2" x14ac:dyDescent="0.25">
      <c r="A6093" t="str">
        <f>IF(C6093&amp;G6093&amp;D6093&lt;&gt;'Funnel setup'!$K$3&amp;'Funnel setup'!$K$4&amp;'Funnel setup'!$K$6,".",IF(A6092=".",1,A6092+1))</f>
        <v>.</v>
      </c>
      <c r="B6093" s="244" t="str">
        <f t="shared" si="95"/>
        <v/>
      </c>
    </row>
    <row r="6094" spans="1:2" x14ac:dyDescent="0.25">
      <c r="A6094" t="str">
        <f>IF(C6094&amp;G6094&amp;D6094&lt;&gt;'Funnel setup'!$K$3&amp;'Funnel setup'!$K$4&amp;'Funnel setup'!$K$6,".",IF(A6093=".",1,A6093+1))</f>
        <v>.</v>
      </c>
      <c r="B6094" s="244" t="str">
        <f t="shared" si="95"/>
        <v/>
      </c>
    </row>
    <row r="6095" spans="1:2" x14ac:dyDescent="0.25">
      <c r="A6095" t="str">
        <f>IF(C6095&amp;G6095&amp;D6095&lt;&gt;'Funnel setup'!$K$3&amp;'Funnel setup'!$K$4&amp;'Funnel setup'!$K$6,".",IF(A6094=".",1,A6094+1))</f>
        <v>.</v>
      </c>
      <c r="B6095" s="244" t="str">
        <f t="shared" si="95"/>
        <v/>
      </c>
    </row>
    <row r="6096" spans="1:2" x14ac:dyDescent="0.25">
      <c r="A6096" t="str">
        <f>IF(C6096&amp;G6096&amp;D6096&lt;&gt;'Funnel setup'!$K$3&amp;'Funnel setup'!$K$4&amp;'Funnel setup'!$K$6,".",IF(A6095=".",1,A6095+1))</f>
        <v>.</v>
      </c>
      <c r="B6096" s="244" t="str">
        <f t="shared" si="95"/>
        <v/>
      </c>
    </row>
    <row r="6097" spans="1:2" x14ac:dyDescent="0.25">
      <c r="A6097" t="str">
        <f>IF(C6097&amp;G6097&amp;D6097&lt;&gt;'Funnel setup'!$K$3&amp;'Funnel setup'!$K$4&amp;'Funnel setup'!$K$6,".",IF(A6096=".",1,A6096+1))</f>
        <v>.</v>
      </c>
      <c r="B6097" s="244" t="str">
        <f t="shared" si="95"/>
        <v/>
      </c>
    </row>
    <row r="6098" spans="1:2" x14ac:dyDescent="0.25">
      <c r="A6098" t="str">
        <f>IF(C6098&amp;G6098&amp;D6098&lt;&gt;'Funnel setup'!$K$3&amp;'Funnel setup'!$K$4&amp;'Funnel setup'!$K$6,".",IF(A6097=".",1,A6097+1))</f>
        <v>.</v>
      </c>
      <c r="B6098" s="244" t="str">
        <f t="shared" si="95"/>
        <v/>
      </c>
    </row>
    <row r="6099" spans="1:2" x14ac:dyDescent="0.25">
      <c r="A6099" t="str">
        <f>IF(C6099&amp;G6099&amp;D6099&lt;&gt;'Funnel setup'!$K$3&amp;'Funnel setup'!$K$4&amp;'Funnel setup'!$K$6,".",IF(A6098=".",1,A6098+1))</f>
        <v>.</v>
      </c>
      <c r="B6099" s="244" t="str">
        <f t="shared" si="95"/>
        <v/>
      </c>
    </row>
    <row r="6100" spans="1:2" x14ac:dyDescent="0.25">
      <c r="A6100" t="str">
        <f>IF(C6100&amp;G6100&amp;D6100&lt;&gt;'Funnel setup'!$K$3&amp;'Funnel setup'!$K$4&amp;'Funnel setup'!$K$6,".",IF(A6099=".",1,A6099+1))</f>
        <v>.</v>
      </c>
      <c r="B6100" s="244" t="str">
        <f t="shared" si="95"/>
        <v/>
      </c>
    </row>
    <row r="6101" spans="1:2" x14ac:dyDescent="0.25">
      <c r="A6101" t="str">
        <f>IF(C6101&amp;G6101&amp;D6101&lt;&gt;'Funnel setup'!$K$3&amp;'Funnel setup'!$K$4&amp;'Funnel setup'!$K$6,".",IF(A6100=".",1,A6100+1))</f>
        <v>.</v>
      </c>
      <c r="B6101" s="244" t="str">
        <f t="shared" si="95"/>
        <v/>
      </c>
    </row>
    <row r="6102" spans="1:2" x14ac:dyDescent="0.25">
      <c r="A6102" t="str">
        <f>IF(C6102&amp;G6102&amp;D6102&lt;&gt;'Funnel setup'!$K$3&amp;'Funnel setup'!$K$4&amp;'Funnel setup'!$K$6,".",IF(A6101=".",1,A6101+1))</f>
        <v>.</v>
      </c>
      <c r="B6102" s="244" t="str">
        <f t="shared" si="95"/>
        <v/>
      </c>
    </row>
    <row r="6103" spans="1:2" x14ac:dyDescent="0.25">
      <c r="A6103" t="str">
        <f>IF(C6103&amp;G6103&amp;D6103&lt;&gt;'Funnel setup'!$K$3&amp;'Funnel setup'!$K$4&amp;'Funnel setup'!$K$6,".",IF(A6102=".",1,A6102+1))</f>
        <v>.</v>
      </c>
      <c r="B6103" s="244" t="str">
        <f t="shared" si="95"/>
        <v/>
      </c>
    </row>
    <row r="6104" spans="1:2" x14ac:dyDescent="0.25">
      <c r="A6104" t="str">
        <f>IF(C6104&amp;G6104&amp;D6104&lt;&gt;'Funnel setup'!$K$3&amp;'Funnel setup'!$K$4&amp;'Funnel setup'!$K$6,".",IF(A6103=".",1,A6103+1))</f>
        <v>.</v>
      </c>
      <c r="B6104" s="244" t="str">
        <f t="shared" si="95"/>
        <v/>
      </c>
    </row>
    <row r="6105" spans="1:2" x14ac:dyDescent="0.25">
      <c r="A6105" t="str">
        <f>IF(C6105&amp;G6105&amp;D6105&lt;&gt;'Funnel setup'!$K$3&amp;'Funnel setup'!$K$4&amp;'Funnel setup'!$K$6,".",IF(A6104=".",1,A6104+1))</f>
        <v>.</v>
      </c>
      <c r="B6105" s="244" t="str">
        <f t="shared" si="95"/>
        <v/>
      </c>
    </row>
    <row r="6106" spans="1:2" x14ac:dyDescent="0.25">
      <c r="A6106" t="str">
        <f>IF(C6106&amp;G6106&amp;D6106&lt;&gt;'Funnel setup'!$K$3&amp;'Funnel setup'!$K$4&amp;'Funnel setup'!$K$6,".",IF(A6105=".",1,A6105+1))</f>
        <v>.</v>
      </c>
      <c r="B6106" s="244" t="str">
        <f t="shared" si="95"/>
        <v/>
      </c>
    </row>
    <row r="6107" spans="1:2" x14ac:dyDescent="0.25">
      <c r="A6107" t="str">
        <f>IF(C6107&amp;G6107&amp;D6107&lt;&gt;'Funnel setup'!$K$3&amp;'Funnel setup'!$K$4&amp;'Funnel setup'!$K$6,".",IF(A6106=".",1,A6106+1))</f>
        <v>.</v>
      </c>
      <c r="B6107" s="244" t="str">
        <f t="shared" si="95"/>
        <v/>
      </c>
    </row>
    <row r="6108" spans="1:2" x14ac:dyDescent="0.25">
      <c r="A6108" t="str">
        <f>IF(C6108&amp;G6108&amp;D6108&lt;&gt;'Funnel setup'!$K$3&amp;'Funnel setup'!$K$4&amp;'Funnel setup'!$K$6,".",IF(A6107=".",1,A6107+1))</f>
        <v>.</v>
      </c>
      <c r="B6108" s="244" t="str">
        <f t="shared" si="95"/>
        <v/>
      </c>
    </row>
    <row r="6109" spans="1:2" x14ac:dyDescent="0.25">
      <c r="A6109" t="str">
        <f>IF(C6109&amp;G6109&amp;D6109&lt;&gt;'Funnel setup'!$K$3&amp;'Funnel setup'!$K$4&amp;'Funnel setup'!$K$6,".",IF(A6108=".",1,A6108+1))</f>
        <v>.</v>
      </c>
      <c r="B6109" s="244" t="str">
        <f t="shared" si="95"/>
        <v/>
      </c>
    </row>
    <row r="6110" spans="1:2" x14ac:dyDescent="0.25">
      <c r="A6110" t="str">
        <f>IF(C6110&amp;G6110&amp;D6110&lt;&gt;'Funnel setup'!$K$3&amp;'Funnel setup'!$K$4&amp;'Funnel setup'!$K$6,".",IF(A6109=".",1,A6109+1))</f>
        <v>.</v>
      </c>
      <c r="B6110" s="244" t="str">
        <f t="shared" si="95"/>
        <v/>
      </c>
    </row>
    <row r="6111" spans="1:2" x14ac:dyDescent="0.25">
      <c r="A6111" t="str">
        <f>IF(C6111&amp;G6111&amp;D6111&lt;&gt;'Funnel setup'!$K$3&amp;'Funnel setup'!$K$4&amp;'Funnel setup'!$K$6,".",IF(A6110=".",1,A6110+1))</f>
        <v>.</v>
      </c>
      <c r="B6111" s="244" t="str">
        <f t="shared" si="95"/>
        <v/>
      </c>
    </row>
    <row r="6112" spans="1:2" x14ac:dyDescent="0.25">
      <c r="A6112" t="str">
        <f>IF(C6112&amp;G6112&amp;D6112&lt;&gt;'Funnel setup'!$K$3&amp;'Funnel setup'!$K$4&amp;'Funnel setup'!$K$6,".",IF(A6111=".",1,A6111+1))</f>
        <v>.</v>
      </c>
      <c r="B6112" s="244" t="str">
        <f t="shared" si="95"/>
        <v/>
      </c>
    </row>
    <row r="6113" spans="1:2" x14ac:dyDescent="0.25">
      <c r="A6113" t="str">
        <f>IF(C6113&amp;G6113&amp;D6113&lt;&gt;'Funnel setup'!$K$3&amp;'Funnel setup'!$K$4&amp;'Funnel setup'!$K$6,".",IF(A6112=".",1,A6112+1))</f>
        <v>.</v>
      </c>
      <c r="B6113" s="244" t="str">
        <f t="shared" si="95"/>
        <v/>
      </c>
    </row>
    <row r="6114" spans="1:2" x14ac:dyDescent="0.25">
      <c r="A6114" t="str">
        <f>IF(C6114&amp;G6114&amp;D6114&lt;&gt;'Funnel setup'!$K$3&amp;'Funnel setup'!$K$4&amp;'Funnel setup'!$K$6,".",IF(A6113=".",1,A6113+1))</f>
        <v>.</v>
      </c>
      <c r="B6114" s="244" t="str">
        <f t="shared" si="95"/>
        <v/>
      </c>
    </row>
    <row r="6115" spans="1:2" x14ac:dyDescent="0.25">
      <c r="A6115" t="str">
        <f>IF(C6115&amp;G6115&amp;D6115&lt;&gt;'Funnel setup'!$K$3&amp;'Funnel setup'!$K$4&amp;'Funnel setup'!$K$6,".",IF(A6114=".",1,A6114+1))</f>
        <v>.</v>
      </c>
      <c r="B6115" s="244" t="str">
        <f t="shared" si="95"/>
        <v/>
      </c>
    </row>
    <row r="6116" spans="1:2" x14ac:dyDescent="0.25">
      <c r="A6116" t="str">
        <f>IF(C6116&amp;G6116&amp;D6116&lt;&gt;'Funnel setup'!$K$3&amp;'Funnel setup'!$K$4&amp;'Funnel setup'!$K$6,".",IF(A6115=".",1,A6115+1))</f>
        <v>.</v>
      </c>
      <c r="B6116" s="244" t="str">
        <f t="shared" si="95"/>
        <v/>
      </c>
    </row>
    <row r="6117" spans="1:2" x14ac:dyDescent="0.25">
      <c r="A6117" t="str">
        <f>IF(C6117&amp;G6117&amp;D6117&lt;&gt;'Funnel setup'!$K$3&amp;'Funnel setup'!$K$4&amp;'Funnel setup'!$K$6,".",IF(A6116=".",1,A6116+1))</f>
        <v>.</v>
      </c>
      <c r="B6117" s="244" t="str">
        <f t="shared" si="95"/>
        <v/>
      </c>
    </row>
    <row r="6118" spans="1:2" x14ac:dyDescent="0.25">
      <c r="A6118" t="str">
        <f>IF(C6118&amp;G6118&amp;D6118&lt;&gt;'Funnel setup'!$K$3&amp;'Funnel setup'!$K$4&amp;'Funnel setup'!$K$6,".",IF(A6117=".",1,A6117+1))</f>
        <v>.</v>
      </c>
      <c r="B6118" s="244" t="str">
        <f t="shared" si="95"/>
        <v/>
      </c>
    </row>
    <row r="6119" spans="1:2" x14ac:dyDescent="0.25">
      <c r="A6119" t="str">
        <f>IF(C6119&amp;G6119&amp;D6119&lt;&gt;'Funnel setup'!$K$3&amp;'Funnel setup'!$K$4&amp;'Funnel setup'!$K$6,".",IF(A6118=".",1,A6118+1))</f>
        <v>.</v>
      </c>
      <c r="B6119" s="244" t="str">
        <f t="shared" si="95"/>
        <v/>
      </c>
    </row>
    <row r="6120" spans="1:2" x14ac:dyDescent="0.25">
      <c r="A6120" t="str">
        <f>IF(C6120&amp;G6120&amp;D6120&lt;&gt;'Funnel setup'!$K$3&amp;'Funnel setup'!$K$4&amp;'Funnel setup'!$K$6,".",IF(A6119=".",1,A6119+1))</f>
        <v>.</v>
      </c>
      <c r="B6120" s="244" t="str">
        <f t="shared" si="95"/>
        <v/>
      </c>
    </row>
    <row r="6121" spans="1:2" x14ac:dyDescent="0.25">
      <c r="A6121" t="str">
        <f>IF(C6121&amp;G6121&amp;D6121&lt;&gt;'Funnel setup'!$K$3&amp;'Funnel setup'!$K$4&amp;'Funnel setup'!$K$6,".",IF(A6120=".",1,A6120+1))</f>
        <v>.</v>
      </c>
      <c r="B6121" s="244" t="str">
        <f t="shared" si="95"/>
        <v/>
      </c>
    </row>
    <row r="6122" spans="1:2" x14ac:dyDescent="0.25">
      <c r="A6122" t="str">
        <f>IF(C6122&amp;G6122&amp;D6122&lt;&gt;'Funnel setup'!$K$3&amp;'Funnel setup'!$K$4&amp;'Funnel setup'!$K$6,".",IF(A6121=".",1,A6121+1))</f>
        <v>.</v>
      </c>
      <c r="B6122" s="244" t="str">
        <f t="shared" si="95"/>
        <v/>
      </c>
    </row>
    <row r="6123" spans="1:2" x14ac:dyDescent="0.25">
      <c r="A6123" t="str">
        <f>IF(C6123&amp;G6123&amp;D6123&lt;&gt;'Funnel setup'!$K$3&amp;'Funnel setup'!$K$4&amp;'Funnel setup'!$K$6,".",IF(A6122=".",1,A6122+1))</f>
        <v>.</v>
      </c>
      <c r="B6123" s="244" t="str">
        <f t="shared" si="95"/>
        <v/>
      </c>
    </row>
    <row r="6124" spans="1:2" x14ac:dyDescent="0.25">
      <c r="A6124" t="str">
        <f>IF(C6124&amp;G6124&amp;D6124&lt;&gt;'Funnel setup'!$K$3&amp;'Funnel setup'!$K$4&amp;'Funnel setup'!$K$6,".",IF(A6123=".",1,A6123+1))</f>
        <v>.</v>
      </c>
      <c r="B6124" s="244" t="str">
        <f t="shared" si="95"/>
        <v/>
      </c>
    </row>
    <row r="6125" spans="1:2" x14ac:dyDescent="0.25">
      <c r="A6125" t="str">
        <f>IF(C6125&amp;G6125&amp;D6125&lt;&gt;'Funnel setup'!$K$3&amp;'Funnel setup'!$K$4&amp;'Funnel setup'!$K$6,".",IF(A6124=".",1,A6124+1))</f>
        <v>.</v>
      </c>
      <c r="B6125" s="244" t="str">
        <f t="shared" si="95"/>
        <v/>
      </c>
    </row>
    <row r="6126" spans="1:2" x14ac:dyDescent="0.25">
      <c r="A6126" t="str">
        <f>IF(C6126&amp;G6126&amp;D6126&lt;&gt;'Funnel setup'!$K$3&amp;'Funnel setup'!$K$4&amp;'Funnel setup'!$K$6,".",IF(A6125=".",1,A6125+1))</f>
        <v>.</v>
      </c>
      <c r="B6126" s="244" t="str">
        <f t="shared" si="95"/>
        <v/>
      </c>
    </row>
    <row r="6127" spans="1:2" x14ac:dyDescent="0.25">
      <c r="A6127" t="str">
        <f>IF(C6127&amp;G6127&amp;D6127&lt;&gt;'Funnel setup'!$K$3&amp;'Funnel setup'!$K$4&amp;'Funnel setup'!$K$6,".",IF(A6126=".",1,A6126+1))</f>
        <v>.</v>
      </c>
      <c r="B6127" s="244" t="str">
        <f t="shared" si="95"/>
        <v/>
      </c>
    </row>
    <row r="6128" spans="1:2" x14ac:dyDescent="0.25">
      <c r="A6128" t="str">
        <f>IF(C6128&amp;G6128&amp;D6128&lt;&gt;'Funnel setup'!$K$3&amp;'Funnel setup'!$K$4&amp;'Funnel setup'!$K$6,".",IF(A6127=".",1,A6127+1))</f>
        <v>.</v>
      </c>
      <c r="B6128" s="244" t="str">
        <f t="shared" si="95"/>
        <v/>
      </c>
    </row>
    <row r="6129" spans="1:2" x14ac:dyDescent="0.25">
      <c r="A6129" t="str">
        <f>IF(C6129&amp;G6129&amp;D6129&lt;&gt;'Funnel setup'!$K$3&amp;'Funnel setup'!$K$4&amp;'Funnel setup'!$K$6,".",IF(A6128=".",1,A6128+1))</f>
        <v>.</v>
      </c>
      <c r="B6129" s="244" t="str">
        <f t="shared" si="95"/>
        <v/>
      </c>
    </row>
    <row r="6130" spans="1:2" x14ac:dyDescent="0.25">
      <c r="A6130" t="str">
        <f>IF(C6130&amp;G6130&amp;D6130&lt;&gt;'Funnel setup'!$K$3&amp;'Funnel setup'!$K$4&amp;'Funnel setup'!$K$6,".",IF(A6129=".",1,A6129+1))</f>
        <v>.</v>
      </c>
      <c r="B6130" s="244" t="str">
        <f t="shared" si="95"/>
        <v/>
      </c>
    </row>
    <row r="6131" spans="1:2" x14ac:dyDescent="0.25">
      <c r="A6131" t="str">
        <f>IF(C6131&amp;G6131&amp;D6131&lt;&gt;'Funnel setup'!$K$3&amp;'Funnel setup'!$K$4&amp;'Funnel setup'!$K$6,".",IF(A6130=".",1,A6130+1))</f>
        <v>.</v>
      </c>
      <c r="B6131" s="244" t="str">
        <f t="shared" si="95"/>
        <v/>
      </c>
    </row>
    <row r="6132" spans="1:2" x14ac:dyDescent="0.25">
      <c r="A6132" t="str">
        <f>IF(C6132&amp;G6132&amp;D6132&lt;&gt;'Funnel setup'!$K$3&amp;'Funnel setup'!$K$4&amp;'Funnel setup'!$K$6,".",IF(A6131=".",1,A6131+1))</f>
        <v>.</v>
      </c>
      <c r="B6132" s="244" t="str">
        <f t="shared" si="95"/>
        <v/>
      </c>
    </row>
    <row r="6133" spans="1:2" x14ac:dyDescent="0.25">
      <c r="A6133" t="str">
        <f>IF(C6133&amp;G6133&amp;D6133&lt;&gt;'Funnel setup'!$K$3&amp;'Funnel setup'!$K$4&amp;'Funnel setup'!$K$6,".",IF(A6132=".",1,A6132+1))</f>
        <v>.</v>
      </c>
      <c r="B6133" s="244" t="str">
        <f t="shared" si="95"/>
        <v/>
      </c>
    </row>
    <row r="6134" spans="1:2" x14ac:dyDescent="0.25">
      <c r="A6134" t="str">
        <f>IF(C6134&amp;G6134&amp;D6134&lt;&gt;'Funnel setup'!$K$3&amp;'Funnel setup'!$K$4&amp;'Funnel setup'!$K$6,".",IF(A6133=".",1,A6133+1))</f>
        <v>.</v>
      </c>
      <c r="B6134" s="244" t="str">
        <f t="shared" si="95"/>
        <v/>
      </c>
    </row>
    <row r="6135" spans="1:2" x14ac:dyDescent="0.25">
      <c r="A6135" t="str">
        <f>IF(C6135&amp;G6135&amp;D6135&lt;&gt;'Funnel setup'!$K$3&amp;'Funnel setup'!$K$4&amp;'Funnel setup'!$K$6,".",IF(A6134=".",1,A6134+1))</f>
        <v>.</v>
      </c>
      <c r="B6135" s="244" t="str">
        <f t="shared" si="95"/>
        <v/>
      </c>
    </row>
    <row r="6136" spans="1:2" x14ac:dyDescent="0.25">
      <c r="A6136" t="str">
        <f>IF(C6136&amp;G6136&amp;D6136&lt;&gt;'Funnel setup'!$K$3&amp;'Funnel setup'!$K$4&amp;'Funnel setup'!$K$6,".",IF(A6135=".",1,A6135+1))</f>
        <v>.</v>
      </c>
      <c r="B6136" s="244" t="str">
        <f t="shared" si="95"/>
        <v/>
      </c>
    </row>
    <row r="6137" spans="1:2" x14ac:dyDescent="0.25">
      <c r="A6137" t="str">
        <f>IF(C6137&amp;G6137&amp;D6137&lt;&gt;'Funnel setup'!$K$3&amp;'Funnel setup'!$K$4&amp;'Funnel setup'!$K$6,".",IF(A6136=".",1,A6136+1))</f>
        <v>.</v>
      </c>
      <c r="B6137" s="244" t="str">
        <f t="shared" si="95"/>
        <v/>
      </c>
    </row>
    <row r="6138" spans="1:2" x14ac:dyDescent="0.25">
      <c r="A6138" t="str">
        <f>IF(C6138&amp;G6138&amp;D6138&lt;&gt;'Funnel setup'!$K$3&amp;'Funnel setup'!$K$4&amp;'Funnel setup'!$K$6,".",IF(A6137=".",1,A6137+1))</f>
        <v>.</v>
      </c>
      <c r="B6138" s="244" t="str">
        <f t="shared" si="95"/>
        <v/>
      </c>
    </row>
    <row r="6139" spans="1:2" x14ac:dyDescent="0.25">
      <c r="A6139" t="str">
        <f>IF(C6139&amp;G6139&amp;D6139&lt;&gt;'Funnel setup'!$K$3&amp;'Funnel setup'!$K$4&amp;'Funnel setup'!$K$6,".",IF(A6138=".",1,A6138+1))</f>
        <v>.</v>
      </c>
      <c r="B6139" s="244" t="str">
        <f t="shared" si="95"/>
        <v/>
      </c>
    </row>
    <row r="6140" spans="1:2" x14ac:dyDescent="0.25">
      <c r="A6140" t="str">
        <f>IF(C6140&amp;G6140&amp;D6140&lt;&gt;'Funnel setup'!$K$3&amp;'Funnel setup'!$K$4&amp;'Funnel setup'!$K$6,".",IF(A6139=".",1,A6139+1))</f>
        <v>.</v>
      </c>
      <c r="B6140" s="244" t="str">
        <f t="shared" si="95"/>
        <v/>
      </c>
    </row>
    <row r="6141" spans="1:2" x14ac:dyDescent="0.25">
      <c r="A6141" t="str">
        <f>IF(C6141&amp;G6141&amp;D6141&lt;&gt;'Funnel setup'!$K$3&amp;'Funnel setup'!$K$4&amp;'Funnel setup'!$K$6,".",IF(A6140=".",1,A6140+1))</f>
        <v>.</v>
      </c>
      <c r="B6141" s="244" t="str">
        <f t="shared" si="95"/>
        <v/>
      </c>
    </row>
    <row r="6142" spans="1:2" x14ac:dyDescent="0.25">
      <c r="A6142" t="str">
        <f>IF(C6142&amp;G6142&amp;D6142&lt;&gt;'Funnel setup'!$K$3&amp;'Funnel setup'!$K$4&amp;'Funnel setup'!$K$6,".",IF(A6141=".",1,A6141+1))</f>
        <v>.</v>
      </c>
      <c r="B6142" s="244" t="str">
        <f t="shared" si="95"/>
        <v/>
      </c>
    </row>
    <row r="6143" spans="1:2" x14ac:dyDescent="0.25">
      <c r="A6143" t="str">
        <f>IF(C6143&amp;G6143&amp;D6143&lt;&gt;'Funnel setup'!$K$3&amp;'Funnel setup'!$K$4&amp;'Funnel setup'!$K$6,".",IF(A6142=".",1,A6142+1))</f>
        <v>.</v>
      </c>
      <c r="B6143" s="244" t="str">
        <f t="shared" si="95"/>
        <v/>
      </c>
    </row>
    <row r="6144" spans="1:2" x14ac:dyDescent="0.25">
      <c r="A6144" t="str">
        <f>IF(C6144&amp;G6144&amp;D6144&lt;&gt;'Funnel setup'!$K$3&amp;'Funnel setup'!$K$4&amp;'Funnel setup'!$K$6,".",IF(A6143=".",1,A6143+1))</f>
        <v>.</v>
      </c>
      <c r="B6144" s="244" t="str">
        <f t="shared" si="95"/>
        <v/>
      </c>
    </row>
    <row r="6145" spans="1:2" x14ac:dyDescent="0.25">
      <c r="A6145" t="str">
        <f>IF(C6145&amp;G6145&amp;D6145&lt;&gt;'Funnel setup'!$K$3&amp;'Funnel setup'!$K$4&amp;'Funnel setup'!$K$6,".",IF(A6144=".",1,A6144+1))</f>
        <v>.</v>
      </c>
      <c r="B6145" s="244" t="str">
        <f t="shared" si="95"/>
        <v/>
      </c>
    </row>
    <row r="6146" spans="1:2" x14ac:dyDescent="0.25">
      <c r="A6146" t="str">
        <f>IF(C6146&amp;G6146&amp;D6146&lt;&gt;'Funnel setup'!$K$3&amp;'Funnel setup'!$K$4&amp;'Funnel setup'!$K$6,".",IF(A6145=".",1,A6145+1))</f>
        <v>.</v>
      </c>
      <c r="B6146" s="244" t="str">
        <f t="shared" ref="B6146:B6209" si="96">C6146&amp;D6146&amp;F6146&amp;G6146</f>
        <v/>
      </c>
    </row>
    <row r="6147" spans="1:2" x14ac:dyDescent="0.25">
      <c r="A6147" t="str">
        <f>IF(C6147&amp;G6147&amp;D6147&lt;&gt;'Funnel setup'!$K$3&amp;'Funnel setup'!$K$4&amp;'Funnel setup'!$K$6,".",IF(A6146=".",1,A6146+1))</f>
        <v>.</v>
      </c>
      <c r="B6147" s="244" t="str">
        <f t="shared" si="96"/>
        <v/>
      </c>
    </row>
    <row r="6148" spans="1:2" x14ac:dyDescent="0.25">
      <c r="A6148" t="str">
        <f>IF(C6148&amp;G6148&amp;D6148&lt;&gt;'Funnel setup'!$K$3&amp;'Funnel setup'!$K$4&amp;'Funnel setup'!$K$6,".",IF(A6147=".",1,A6147+1))</f>
        <v>.</v>
      </c>
      <c r="B6148" s="244" t="str">
        <f t="shared" si="96"/>
        <v/>
      </c>
    </row>
    <row r="6149" spans="1:2" x14ac:dyDescent="0.25">
      <c r="A6149" t="str">
        <f>IF(C6149&amp;G6149&amp;D6149&lt;&gt;'Funnel setup'!$K$3&amp;'Funnel setup'!$K$4&amp;'Funnel setup'!$K$6,".",IF(A6148=".",1,A6148+1))</f>
        <v>.</v>
      </c>
      <c r="B6149" s="244" t="str">
        <f t="shared" si="96"/>
        <v/>
      </c>
    </row>
    <row r="6150" spans="1:2" x14ac:dyDescent="0.25">
      <c r="A6150" t="str">
        <f>IF(C6150&amp;G6150&amp;D6150&lt;&gt;'Funnel setup'!$K$3&amp;'Funnel setup'!$K$4&amp;'Funnel setup'!$K$6,".",IF(A6149=".",1,A6149+1))</f>
        <v>.</v>
      </c>
      <c r="B6150" s="244" t="str">
        <f t="shared" si="96"/>
        <v/>
      </c>
    </row>
    <row r="6151" spans="1:2" x14ac:dyDescent="0.25">
      <c r="A6151" t="str">
        <f>IF(C6151&amp;G6151&amp;D6151&lt;&gt;'Funnel setup'!$K$3&amp;'Funnel setup'!$K$4&amp;'Funnel setup'!$K$6,".",IF(A6150=".",1,A6150+1))</f>
        <v>.</v>
      </c>
      <c r="B6151" s="244" t="str">
        <f t="shared" si="96"/>
        <v/>
      </c>
    </row>
    <row r="6152" spans="1:2" x14ac:dyDescent="0.25">
      <c r="A6152" t="str">
        <f>IF(C6152&amp;G6152&amp;D6152&lt;&gt;'Funnel setup'!$K$3&amp;'Funnel setup'!$K$4&amp;'Funnel setup'!$K$6,".",IF(A6151=".",1,A6151+1))</f>
        <v>.</v>
      </c>
      <c r="B6152" s="244" t="str">
        <f t="shared" si="96"/>
        <v/>
      </c>
    </row>
    <row r="6153" spans="1:2" x14ac:dyDescent="0.25">
      <c r="A6153" t="str">
        <f>IF(C6153&amp;G6153&amp;D6153&lt;&gt;'Funnel setup'!$K$3&amp;'Funnel setup'!$K$4&amp;'Funnel setup'!$K$6,".",IF(A6152=".",1,A6152+1))</f>
        <v>.</v>
      </c>
      <c r="B6153" s="244" t="str">
        <f t="shared" si="96"/>
        <v/>
      </c>
    </row>
    <row r="6154" spans="1:2" x14ac:dyDescent="0.25">
      <c r="A6154" t="str">
        <f>IF(C6154&amp;G6154&amp;D6154&lt;&gt;'Funnel setup'!$K$3&amp;'Funnel setup'!$K$4&amp;'Funnel setup'!$K$6,".",IF(A6153=".",1,A6153+1))</f>
        <v>.</v>
      </c>
      <c r="B6154" s="244" t="str">
        <f t="shared" si="96"/>
        <v/>
      </c>
    </row>
    <row r="6155" spans="1:2" x14ac:dyDescent="0.25">
      <c r="A6155" t="str">
        <f>IF(C6155&amp;G6155&amp;D6155&lt;&gt;'Funnel setup'!$K$3&amp;'Funnel setup'!$K$4&amp;'Funnel setup'!$K$6,".",IF(A6154=".",1,A6154+1))</f>
        <v>.</v>
      </c>
      <c r="B6155" s="244" t="str">
        <f t="shared" si="96"/>
        <v/>
      </c>
    </row>
    <row r="6156" spans="1:2" x14ac:dyDescent="0.25">
      <c r="A6156" t="str">
        <f>IF(C6156&amp;G6156&amp;D6156&lt;&gt;'Funnel setup'!$K$3&amp;'Funnel setup'!$K$4&amp;'Funnel setup'!$K$6,".",IF(A6155=".",1,A6155+1))</f>
        <v>.</v>
      </c>
      <c r="B6156" s="244" t="str">
        <f t="shared" si="96"/>
        <v/>
      </c>
    </row>
    <row r="6157" spans="1:2" x14ac:dyDescent="0.25">
      <c r="A6157" t="str">
        <f>IF(C6157&amp;G6157&amp;D6157&lt;&gt;'Funnel setup'!$K$3&amp;'Funnel setup'!$K$4&amp;'Funnel setup'!$K$6,".",IF(A6156=".",1,A6156+1))</f>
        <v>.</v>
      </c>
      <c r="B6157" s="244" t="str">
        <f t="shared" si="96"/>
        <v/>
      </c>
    </row>
    <row r="6158" spans="1:2" x14ac:dyDescent="0.25">
      <c r="A6158" t="str">
        <f>IF(C6158&amp;G6158&amp;D6158&lt;&gt;'Funnel setup'!$K$3&amp;'Funnel setup'!$K$4&amp;'Funnel setup'!$K$6,".",IF(A6157=".",1,A6157+1))</f>
        <v>.</v>
      </c>
      <c r="B6158" s="244" t="str">
        <f t="shared" si="96"/>
        <v/>
      </c>
    </row>
    <row r="6159" spans="1:2" x14ac:dyDescent="0.25">
      <c r="A6159" t="str">
        <f>IF(C6159&amp;G6159&amp;D6159&lt;&gt;'Funnel setup'!$K$3&amp;'Funnel setup'!$K$4&amp;'Funnel setup'!$K$6,".",IF(A6158=".",1,A6158+1))</f>
        <v>.</v>
      </c>
      <c r="B6159" s="244" t="str">
        <f t="shared" si="96"/>
        <v/>
      </c>
    </row>
    <row r="6160" spans="1:2" x14ac:dyDescent="0.25">
      <c r="A6160" t="str">
        <f>IF(C6160&amp;G6160&amp;D6160&lt;&gt;'Funnel setup'!$K$3&amp;'Funnel setup'!$K$4&amp;'Funnel setup'!$K$6,".",IF(A6159=".",1,A6159+1))</f>
        <v>.</v>
      </c>
      <c r="B6160" s="244" t="str">
        <f t="shared" si="96"/>
        <v/>
      </c>
    </row>
    <row r="6161" spans="1:2" x14ac:dyDescent="0.25">
      <c r="A6161" t="str">
        <f>IF(C6161&amp;G6161&amp;D6161&lt;&gt;'Funnel setup'!$K$3&amp;'Funnel setup'!$K$4&amp;'Funnel setup'!$K$6,".",IF(A6160=".",1,A6160+1))</f>
        <v>.</v>
      </c>
      <c r="B6161" s="244" t="str">
        <f t="shared" si="96"/>
        <v/>
      </c>
    </row>
    <row r="6162" spans="1:2" x14ac:dyDescent="0.25">
      <c r="A6162" t="str">
        <f>IF(C6162&amp;G6162&amp;D6162&lt;&gt;'Funnel setup'!$K$3&amp;'Funnel setup'!$K$4&amp;'Funnel setup'!$K$6,".",IF(A6161=".",1,A6161+1))</f>
        <v>.</v>
      </c>
      <c r="B6162" s="244" t="str">
        <f t="shared" si="96"/>
        <v/>
      </c>
    </row>
    <row r="6163" spans="1:2" x14ac:dyDescent="0.25">
      <c r="A6163" t="str">
        <f>IF(C6163&amp;G6163&amp;D6163&lt;&gt;'Funnel setup'!$K$3&amp;'Funnel setup'!$K$4&amp;'Funnel setup'!$K$6,".",IF(A6162=".",1,A6162+1))</f>
        <v>.</v>
      </c>
      <c r="B6163" s="244" t="str">
        <f t="shared" si="96"/>
        <v/>
      </c>
    </row>
    <row r="6164" spans="1:2" x14ac:dyDescent="0.25">
      <c r="A6164" t="str">
        <f>IF(C6164&amp;G6164&amp;D6164&lt;&gt;'Funnel setup'!$K$3&amp;'Funnel setup'!$K$4&amp;'Funnel setup'!$K$6,".",IF(A6163=".",1,A6163+1))</f>
        <v>.</v>
      </c>
      <c r="B6164" s="244" t="str">
        <f t="shared" si="96"/>
        <v/>
      </c>
    </row>
    <row r="6165" spans="1:2" x14ac:dyDescent="0.25">
      <c r="A6165" t="str">
        <f>IF(C6165&amp;G6165&amp;D6165&lt;&gt;'Funnel setup'!$K$3&amp;'Funnel setup'!$K$4&amp;'Funnel setup'!$K$6,".",IF(A6164=".",1,A6164+1))</f>
        <v>.</v>
      </c>
      <c r="B6165" s="244" t="str">
        <f t="shared" si="96"/>
        <v/>
      </c>
    </row>
    <row r="6166" spans="1:2" x14ac:dyDescent="0.25">
      <c r="A6166" t="str">
        <f>IF(C6166&amp;G6166&amp;D6166&lt;&gt;'Funnel setup'!$K$3&amp;'Funnel setup'!$K$4&amp;'Funnel setup'!$K$6,".",IF(A6165=".",1,A6165+1))</f>
        <v>.</v>
      </c>
      <c r="B6166" s="244" t="str">
        <f t="shared" si="96"/>
        <v/>
      </c>
    </row>
    <row r="6167" spans="1:2" x14ac:dyDescent="0.25">
      <c r="A6167" t="str">
        <f>IF(C6167&amp;G6167&amp;D6167&lt;&gt;'Funnel setup'!$K$3&amp;'Funnel setup'!$K$4&amp;'Funnel setup'!$K$6,".",IF(A6166=".",1,A6166+1))</f>
        <v>.</v>
      </c>
      <c r="B6167" s="244" t="str">
        <f t="shared" si="96"/>
        <v/>
      </c>
    </row>
    <row r="6168" spans="1:2" x14ac:dyDescent="0.25">
      <c r="A6168" t="str">
        <f>IF(C6168&amp;G6168&amp;D6168&lt;&gt;'Funnel setup'!$K$3&amp;'Funnel setup'!$K$4&amp;'Funnel setup'!$K$6,".",IF(A6167=".",1,A6167+1))</f>
        <v>.</v>
      </c>
      <c r="B6168" s="244" t="str">
        <f t="shared" si="96"/>
        <v/>
      </c>
    </row>
    <row r="6169" spans="1:2" x14ac:dyDescent="0.25">
      <c r="A6169" t="str">
        <f>IF(C6169&amp;G6169&amp;D6169&lt;&gt;'Funnel setup'!$K$3&amp;'Funnel setup'!$K$4&amp;'Funnel setup'!$K$6,".",IF(A6168=".",1,A6168+1))</f>
        <v>.</v>
      </c>
      <c r="B6169" s="244" t="str">
        <f t="shared" si="96"/>
        <v/>
      </c>
    </row>
    <row r="6170" spans="1:2" x14ac:dyDescent="0.25">
      <c r="A6170" t="str">
        <f>IF(C6170&amp;G6170&amp;D6170&lt;&gt;'Funnel setup'!$K$3&amp;'Funnel setup'!$K$4&amp;'Funnel setup'!$K$6,".",IF(A6169=".",1,A6169+1))</f>
        <v>.</v>
      </c>
      <c r="B6170" s="244" t="str">
        <f t="shared" si="96"/>
        <v/>
      </c>
    </row>
    <row r="6171" spans="1:2" x14ac:dyDescent="0.25">
      <c r="A6171" t="str">
        <f>IF(C6171&amp;G6171&amp;D6171&lt;&gt;'Funnel setup'!$K$3&amp;'Funnel setup'!$K$4&amp;'Funnel setup'!$K$6,".",IF(A6170=".",1,A6170+1))</f>
        <v>.</v>
      </c>
      <c r="B6171" s="244" t="str">
        <f t="shared" si="96"/>
        <v/>
      </c>
    </row>
    <row r="6172" spans="1:2" x14ac:dyDescent="0.25">
      <c r="A6172" t="str">
        <f>IF(C6172&amp;G6172&amp;D6172&lt;&gt;'Funnel setup'!$K$3&amp;'Funnel setup'!$K$4&amp;'Funnel setup'!$K$6,".",IF(A6171=".",1,A6171+1))</f>
        <v>.</v>
      </c>
      <c r="B6172" s="244" t="str">
        <f t="shared" si="96"/>
        <v/>
      </c>
    </row>
    <row r="6173" spans="1:2" x14ac:dyDescent="0.25">
      <c r="A6173" t="str">
        <f>IF(C6173&amp;G6173&amp;D6173&lt;&gt;'Funnel setup'!$K$3&amp;'Funnel setup'!$K$4&amp;'Funnel setup'!$K$6,".",IF(A6172=".",1,A6172+1))</f>
        <v>.</v>
      </c>
      <c r="B6173" s="244" t="str">
        <f t="shared" si="96"/>
        <v/>
      </c>
    </row>
    <row r="6174" spans="1:2" x14ac:dyDescent="0.25">
      <c r="A6174" t="str">
        <f>IF(C6174&amp;G6174&amp;D6174&lt;&gt;'Funnel setup'!$K$3&amp;'Funnel setup'!$K$4&amp;'Funnel setup'!$K$6,".",IF(A6173=".",1,A6173+1))</f>
        <v>.</v>
      </c>
      <c r="B6174" s="244" t="str">
        <f t="shared" si="96"/>
        <v/>
      </c>
    </row>
    <row r="6175" spans="1:2" x14ac:dyDescent="0.25">
      <c r="A6175" t="str">
        <f>IF(C6175&amp;G6175&amp;D6175&lt;&gt;'Funnel setup'!$K$3&amp;'Funnel setup'!$K$4&amp;'Funnel setup'!$K$6,".",IF(A6174=".",1,A6174+1))</f>
        <v>.</v>
      </c>
      <c r="B6175" s="244" t="str">
        <f t="shared" si="96"/>
        <v/>
      </c>
    </row>
    <row r="6176" spans="1:2" x14ac:dyDescent="0.25">
      <c r="A6176" t="str">
        <f>IF(C6176&amp;G6176&amp;D6176&lt;&gt;'Funnel setup'!$K$3&amp;'Funnel setup'!$K$4&amp;'Funnel setup'!$K$6,".",IF(A6175=".",1,A6175+1))</f>
        <v>.</v>
      </c>
      <c r="B6176" s="244" t="str">
        <f t="shared" si="96"/>
        <v/>
      </c>
    </row>
    <row r="6177" spans="1:2" x14ac:dyDescent="0.25">
      <c r="A6177" t="str">
        <f>IF(C6177&amp;G6177&amp;D6177&lt;&gt;'Funnel setup'!$K$3&amp;'Funnel setup'!$K$4&amp;'Funnel setup'!$K$6,".",IF(A6176=".",1,A6176+1))</f>
        <v>.</v>
      </c>
      <c r="B6177" s="244" t="str">
        <f t="shared" si="96"/>
        <v/>
      </c>
    </row>
    <row r="6178" spans="1:2" x14ac:dyDescent="0.25">
      <c r="A6178" t="str">
        <f>IF(C6178&amp;G6178&amp;D6178&lt;&gt;'Funnel setup'!$K$3&amp;'Funnel setup'!$K$4&amp;'Funnel setup'!$K$6,".",IF(A6177=".",1,A6177+1))</f>
        <v>.</v>
      </c>
      <c r="B6178" s="244" t="str">
        <f t="shared" si="96"/>
        <v/>
      </c>
    </row>
    <row r="6179" spans="1:2" x14ac:dyDescent="0.25">
      <c r="A6179" t="str">
        <f>IF(C6179&amp;G6179&amp;D6179&lt;&gt;'Funnel setup'!$K$3&amp;'Funnel setup'!$K$4&amp;'Funnel setup'!$K$6,".",IF(A6178=".",1,A6178+1))</f>
        <v>.</v>
      </c>
      <c r="B6179" s="244" t="str">
        <f t="shared" si="96"/>
        <v/>
      </c>
    </row>
    <row r="6180" spans="1:2" x14ac:dyDescent="0.25">
      <c r="A6180" t="str">
        <f>IF(C6180&amp;G6180&amp;D6180&lt;&gt;'Funnel setup'!$K$3&amp;'Funnel setup'!$K$4&amp;'Funnel setup'!$K$6,".",IF(A6179=".",1,A6179+1))</f>
        <v>.</v>
      </c>
      <c r="B6180" s="244" t="str">
        <f t="shared" si="96"/>
        <v/>
      </c>
    </row>
    <row r="6181" spans="1:2" x14ac:dyDescent="0.25">
      <c r="A6181" t="str">
        <f>IF(C6181&amp;G6181&amp;D6181&lt;&gt;'Funnel setup'!$K$3&amp;'Funnel setup'!$K$4&amp;'Funnel setup'!$K$6,".",IF(A6180=".",1,A6180+1))</f>
        <v>.</v>
      </c>
      <c r="B6181" s="244" t="str">
        <f t="shared" si="96"/>
        <v/>
      </c>
    </row>
    <row r="6182" spans="1:2" x14ac:dyDescent="0.25">
      <c r="A6182" t="str">
        <f>IF(C6182&amp;G6182&amp;D6182&lt;&gt;'Funnel setup'!$K$3&amp;'Funnel setup'!$K$4&amp;'Funnel setup'!$K$6,".",IF(A6181=".",1,A6181+1))</f>
        <v>.</v>
      </c>
      <c r="B6182" s="244" t="str">
        <f t="shared" si="96"/>
        <v/>
      </c>
    </row>
    <row r="6183" spans="1:2" x14ac:dyDescent="0.25">
      <c r="A6183" t="str">
        <f>IF(C6183&amp;G6183&amp;D6183&lt;&gt;'Funnel setup'!$K$3&amp;'Funnel setup'!$K$4&amp;'Funnel setup'!$K$6,".",IF(A6182=".",1,A6182+1))</f>
        <v>.</v>
      </c>
      <c r="B6183" s="244" t="str">
        <f t="shared" si="96"/>
        <v/>
      </c>
    </row>
    <row r="6184" spans="1:2" x14ac:dyDescent="0.25">
      <c r="A6184" t="str">
        <f>IF(C6184&amp;G6184&amp;D6184&lt;&gt;'Funnel setup'!$K$3&amp;'Funnel setup'!$K$4&amp;'Funnel setup'!$K$6,".",IF(A6183=".",1,A6183+1))</f>
        <v>.</v>
      </c>
      <c r="B6184" s="244" t="str">
        <f t="shared" si="96"/>
        <v/>
      </c>
    </row>
    <row r="6185" spans="1:2" x14ac:dyDescent="0.25">
      <c r="A6185" t="str">
        <f>IF(C6185&amp;G6185&amp;D6185&lt;&gt;'Funnel setup'!$K$3&amp;'Funnel setup'!$K$4&amp;'Funnel setup'!$K$6,".",IF(A6184=".",1,A6184+1))</f>
        <v>.</v>
      </c>
      <c r="B6185" s="244" t="str">
        <f t="shared" si="96"/>
        <v/>
      </c>
    </row>
    <row r="6186" spans="1:2" x14ac:dyDescent="0.25">
      <c r="A6186" t="str">
        <f>IF(C6186&amp;G6186&amp;D6186&lt;&gt;'Funnel setup'!$K$3&amp;'Funnel setup'!$K$4&amp;'Funnel setup'!$K$6,".",IF(A6185=".",1,A6185+1))</f>
        <v>.</v>
      </c>
      <c r="B6186" s="244" t="str">
        <f t="shared" si="96"/>
        <v/>
      </c>
    </row>
    <row r="6187" spans="1:2" x14ac:dyDescent="0.25">
      <c r="A6187" t="str">
        <f>IF(C6187&amp;G6187&amp;D6187&lt;&gt;'Funnel setup'!$K$3&amp;'Funnel setup'!$K$4&amp;'Funnel setup'!$K$6,".",IF(A6186=".",1,A6186+1))</f>
        <v>.</v>
      </c>
      <c r="B6187" s="244" t="str">
        <f t="shared" si="96"/>
        <v/>
      </c>
    </row>
    <row r="6188" spans="1:2" x14ac:dyDescent="0.25">
      <c r="A6188" t="str">
        <f>IF(C6188&amp;G6188&amp;D6188&lt;&gt;'Funnel setup'!$K$3&amp;'Funnel setup'!$K$4&amp;'Funnel setup'!$K$6,".",IF(A6187=".",1,A6187+1))</f>
        <v>.</v>
      </c>
      <c r="B6188" s="244" t="str">
        <f t="shared" si="96"/>
        <v/>
      </c>
    </row>
    <row r="6189" spans="1:2" x14ac:dyDescent="0.25">
      <c r="A6189" t="str">
        <f>IF(C6189&amp;G6189&amp;D6189&lt;&gt;'Funnel setup'!$K$3&amp;'Funnel setup'!$K$4&amp;'Funnel setup'!$K$6,".",IF(A6188=".",1,A6188+1))</f>
        <v>.</v>
      </c>
      <c r="B6189" s="244" t="str">
        <f t="shared" si="96"/>
        <v/>
      </c>
    </row>
    <row r="6190" spans="1:2" x14ac:dyDescent="0.25">
      <c r="A6190" t="str">
        <f>IF(C6190&amp;G6190&amp;D6190&lt;&gt;'Funnel setup'!$K$3&amp;'Funnel setup'!$K$4&amp;'Funnel setup'!$K$6,".",IF(A6189=".",1,A6189+1))</f>
        <v>.</v>
      </c>
      <c r="B6190" s="244" t="str">
        <f t="shared" si="96"/>
        <v/>
      </c>
    </row>
    <row r="6191" spans="1:2" x14ac:dyDescent="0.25">
      <c r="A6191" t="str">
        <f>IF(C6191&amp;G6191&amp;D6191&lt;&gt;'Funnel setup'!$K$3&amp;'Funnel setup'!$K$4&amp;'Funnel setup'!$K$6,".",IF(A6190=".",1,A6190+1))</f>
        <v>.</v>
      </c>
      <c r="B6191" s="244" t="str">
        <f t="shared" si="96"/>
        <v/>
      </c>
    </row>
    <row r="6192" spans="1:2" x14ac:dyDescent="0.25">
      <c r="A6192" t="str">
        <f>IF(C6192&amp;G6192&amp;D6192&lt;&gt;'Funnel setup'!$K$3&amp;'Funnel setup'!$K$4&amp;'Funnel setup'!$K$6,".",IF(A6191=".",1,A6191+1))</f>
        <v>.</v>
      </c>
      <c r="B6192" s="244" t="str">
        <f t="shared" si="96"/>
        <v/>
      </c>
    </row>
    <row r="6193" spans="1:2" x14ac:dyDescent="0.25">
      <c r="A6193" t="str">
        <f>IF(C6193&amp;G6193&amp;D6193&lt;&gt;'Funnel setup'!$K$3&amp;'Funnel setup'!$K$4&amp;'Funnel setup'!$K$6,".",IF(A6192=".",1,A6192+1))</f>
        <v>.</v>
      </c>
      <c r="B6193" s="244" t="str">
        <f t="shared" si="96"/>
        <v/>
      </c>
    </row>
    <row r="6194" spans="1:2" x14ac:dyDescent="0.25">
      <c r="A6194" t="str">
        <f>IF(C6194&amp;G6194&amp;D6194&lt;&gt;'Funnel setup'!$K$3&amp;'Funnel setup'!$K$4&amp;'Funnel setup'!$K$6,".",IF(A6193=".",1,A6193+1))</f>
        <v>.</v>
      </c>
      <c r="B6194" s="244" t="str">
        <f t="shared" si="96"/>
        <v/>
      </c>
    </row>
    <row r="6195" spans="1:2" x14ac:dyDescent="0.25">
      <c r="A6195" t="str">
        <f>IF(C6195&amp;G6195&amp;D6195&lt;&gt;'Funnel setup'!$K$3&amp;'Funnel setup'!$K$4&amp;'Funnel setup'!$K$6,".",IF(A6194=".",1,A6194+1))</f>
        <v>.</v>
      </c>
      <c r="B6195" s="244" t="str">
        <f t="shared" si="96"/>
        <v/>
      </c>
    </row>
    <row r="6196" spans="1:2" x14ac:dyDescent="0.25">
      <c r="A6196" t="str">
        <f>IF(C6196&amp;G6196&amp;D6196&lt;&gt;'Funnel setup'!$K$3&amp;'Funnel setup'!$K$4&amp;'Funnel setup'!$K$6,".",IF(A6195=".",1,A6195+1))</f>
        <v>.</v>
      </c>
      <c r="B6196" s="244" t="str">
        <f t="shared" si="96"/>
        <v/>
      </c>
    </row>
    <row r="6197" spans="1:2" x14ac:dyDescent="0.25">
      <c r="A6197" t="str">
        <f>IF(C6197&amp;G6197&amp;D6197&lt;&gt;'Funnel setup'!$K$3&amp;'Funnel setup'!$K$4&amp;'Funnel setup'!$K$6,".",IF(A6196=".",1,A6196+1))</f>
        <v>.</v>
      </c>
      <c r="B6197" s="244" t="str">
        <f t="shared" si="96"/>
        <v/>
      </c>
    </row>
    <row r="6198" spans="1:2" x14ac:dyDescent="0.25">
      <c r="A6198" t="str">
        <f>IF(C6198&amp;G6198&amp;D6198&lt;&gt;'Funnel setup'!$K$3&amp;'Funnel setup'!$K$4&amp;'Funnel setup'!$K$6,".",IF(A6197=".",1,A6197+1))</f>
        <v>.</v>
      </c>
      <c r="B6198" s="244" t="str">
        <f t="shared" si="96"/>
        <v/>
      </c>
    </row>
    <row r="6199" spans="1:2" x14ac:dyDescent="0.25">
      <c r="A6199" t="str">
        <f>IF(C6199&amp;G6199&amp;D6199&lt;&gt;'Funnel setup'!$K$3&amp;'Funnel setup'!$K$4&amp;'Funnel setup'!$K$6,".",IF(A6198=".",1,A6198+1))</f>
        <v>.</v>
      </c>
      <c r="B6199" s="244" t="str">
        <f t="shared" si="96"/>
        <v/>
      </c>
    </row>
    <row r="6200" spans="1:2" x14ac:dyDescent="0.25">
      <c r="A6200" t="str">
        <f>IF(C6200&amp;G6200&amp;D6200&lt;&gt;'Funnel setup'!$K$3&amp;'Funnel setup'!$K$4&amp;'Funnel setup'!$K$6,".",IF(A6199=".",1,A6199+1))</f>
        <v>.</v>
      </c>
      <c r="B6200" s="244" t="str">
        <f t="shared" si="96"/>
        <v/>
      </c>
    </row>
    <row r="6201" spans="1:2" x14ac:dyDescent="0.25">
      <c r="A6201" t="str">
        <f>IF(C6201&amp;G6201&amp;D6201&lt;&gt;'Funnel setup'!$K$3&amp;'Funnel setup'!$K$4&amp;'Funnel setup'!$K$6,".",IF(A6200=".",1,A6200+1))</f>
        <v>.</v>
      </c>
      <c r="B6201" s="244" t="str">
        <f t="shared" si="96"/>
        <v/>
      </c>
    </row>
    <row r="6202" spans="1:2" x14ac:dyDescent="0.25">
      <c r="A6202" t="str">
        <f>IF(C6202&amp;G6202&amp;D6202&lt;&gt;'Funnel setup'!$K$3&amp;'Funnel setup'!$K$4&amp;'Funnel setup'!$K$6,".",IF(A6201=".",1,A6201+1))</f>
        <v>.</v>
      </c>
      <c r="B6202" s="244" t="str">
        <f t="shared" si="96"/>
        <v/>
      </c>
    </row>
    <row r="6203" spans="1:2" x14ac:dyDescent="0.25">
      <c r="A6203" t="str">
        <f>IF(C6203&amp;G6203&amp;D6203&lt;&gt;'Funnel setup'!$K$3&amp;'Funnel setup'!$K$4&amp;'Funnel setup'!$K$6,".",IF(A6202=".",1,A6202+1))</f>
        <v>.</v>
      </c>
      <c r="B6203" s="244" t="str">
        <f t="shared" si="96"/>
        <v/>
      </c>
    </row>
    <row r="6204" spans="1:2" x14ac:dyDescent="0.25">
      <c r="A6204" t="str">
        <f>IF(C6204&amp;G6204&amp;D6204&lt;&gt;'Funnel setup'!$K$3&amp;'Funnel setup'!$K$4&amp;'Funnel setup'!$K$6,".",IF(A6203=".",1,A6203+1))</f>
        <v>.</v>
      </c>
      <c r="B6204" s="244" t="str">
        <f t="shared" si="96"/>
        <v/>
      </c>
    </row>
    <row r="6205" spans="1:2" x14ac:dyDescent="0.25">
      <c r="A6205" t="str">
        <f>IF(C6205&amp;G6205&amp;D6205&lt;&gt;'Funnel setup'!$K$3&amp;'Funnel setup'!$K$4&amp;'Funnel setup'!$K$6,".",IF(A6204=".",1,A6204+1))</f>
        <v>.</v>
      </c>
      <c r="B6205" s="244" t="str">
        <f t="shared" si="96"/>
        <v/>
      </c>
    </row>
    <row r="6206" spans="1:2" x14ac:dyDescent="0.25">
      <c r="A6206" t="str">
        <f>IF(C6206&amp;G6206&amp;D6206&lt;&gt;'Funnel setup'!$K$3&amp;'Funnel setup'!$K$4&amp;'Funnel setup'!$K$6,".",IF(A6205=".",1,A6205+1))</f>
        <v>.</v>
      </c>
      <c r="B6206" s="244" t="str">
        <f t="shared" si="96"/>
        <v/>
      </c>
    </row>
    <row r="6207" spans="1:2" x14ac:dyDescent="0.25">
      <c r="A6207" t="str">
        <f>IF(C6207&amp;G6207&amp;D6207&lt;&gt;'Funnel setup'!$K$3&amp;'Funnel setup'!$K$4&amp;'Funnel setup'!$K$6,".",IF(A6206=".",1,A6206+1))</f>
        <v>.</v>
      </c>
      <c r="B6207" s="244" t="str">
        <f t="shared" si="96"/>
        <v/>
      </c>
    </row>
    <row r="6208" spans="1:2" x14ac:dyDescent="0.25">
      <c r="A6208" t="str">
        <f>IF(C6208&amp;G6208&amp;D6208&lt;&gt;'Funnel setup'!$K$3&amp;'Funnel setup'!$K$4&amp;'Funnel setup'!$K$6,".",IF(A6207=".",1,A6207+1))</f>
        <v>.</v>
      </c>
      <c r="B6208" s="244" t="str">
        <f t="shared" si="96"/>
        <v/>
      </c>
    </row>
    <row r="6209" spans="1:2" x14ac:dyDescent="0.25">
      <c r="A6209" t="str">
        <f>IF(C6209&amp;G6209&amp;D6209&lt;&gt;'Funnel setup'!$K$3&amp;'Funnel setup'!$K$4&amp;'Funnel setup'!$K$6,".",IF(A6208=".",1,A6208+1))</f>
        <v>.</v>
      </c>
      <c r="B6209" s="244" t="str">
        <f t="shared" si="96"/>
        <v/>
      </c>
    </row>
    <row r="6210" spans="1:2" x14ac:dyDescent="0.25">
      <c r="A6210" t="str">
        <f>IF(C6210&amp;G6210&amp;D6210&lt;&gt;'Funnel setup'!$K$3&amp;'Funnel setup'!$K$4&amp;'Funnel setup'!$K$6,".",IF(A6209=".",1,A6209+1))</f>
        <v>.</v>
      </c>
      <c r="B6210" s="244" t="str">
        <f t="shared" ref="B6210:B6273" si="97">C6210&amp;D6210&amp;F6210&amp;G6210</f>
        <v/>
      </c>
    </row>
    <row r="6211" spans="1:2" x14ac:dyDescent="0.25">
      <c r="A6211" t="str">
        <f>IF(C6211&amp;G6211&amp;D6211&lt;&gt;'Funnel setup'!$K$3&amp;'Funnel setup'!$K$4&amp;'Funnel setup'!$K$6,".",IF(A6210=".",1,A6210+1))</f>
        <v>.</v>
      </c>
      <c r="B6211" s="244" t="str">
        <f t="shared" si="97"/>
        <v/>
      </c>
    </row>
    <row r="6212" spans="1:2" x14ac:dyDescent="0.25">
      <c r="A6212" t="str">
        <f>IF(C6212&amp;G6212&amp;D6212&lt;&gt;'Funnel setup'!$K$3&amp;'Funnel setup'!$K$4&amp;'Funnel setup'!$K$6,".",IF(A6211=".",1,A6211+1))</f>
        <v>.</v>
      </c>
      <c r="B6212" s="244" t="str">
        <f t="shared" si="97"/>
        <v/>
      </c>
    </row>
    <row r="6213" spans="1:2" x14ac:dyDescent="0.25">
      <c r="A6213" t="str">
        <f>IF(C6213&amp;G6213&amp;D6213&lt;&gt;'Funnel setup'!$K$3&amp;'Funnel setup'!$K$4&amp;'Funnel setup'!$K$6,".",IF(A6212=".",1,A6212+1))</f>
        <v>.</v>
      </c>
      <c r="B6213" s="244" t="str">
        <f t="shared" si="97"/>
        <v/>
      </c>
    </row>
    <row r="6214" spans="1:2" x14ac:dyDescent="0.25">
      <c r="A6214" t="str">
        <f>IF(C6214&amp;G6214&amp;D6214&lt;&gt;'Funnel setup'!$K$3&amp;'Funnel setup'!$K$4&amp;'Funnel setup'!$K$6,".",IF(A6213=".",1,A6213+1))</f>
        <v>.</v>
      </c>
      <c r="B6214" s="244" t="str">
        <f t="shared" si="97"/>
        <v/>
      </c>
    </row>
    <row r="6215" spans="1:2" x14ac:dyDescent="0.25">
      <c r="A6215" t="str">
        <f>IF(C6215&amp;G6215&amp;D6215&lt;&gt;'Funnel setup'!$K$3&amp;'Funnel setup'!$K$4&amp;'Funnel setup'!$K$6,".",IF(A6214=".",1,A6214+1))</f>
        <v>.</v>
      </c>
      <c r="B6215" s="244" t="str">
        <f t="shared" si="97"/>
        <v/>
      </c>
    </row>
    <row r="6216" spans="1:2" x14ac:dyDescent="0.25">
      <c r="A6216" t="str">
        <f>IF(C6216&amp;G6216&amp;D6216&lt;&gt;'Funnel setup'!$K$3&amp;'Funnel setup'!$K$4&amp;'Funnel setup'!$K$6,".",IF(A6215=".",1,A6215+1))</f>
        <v>.</v>
      </c>
      <c r="B6216" s="244" t="str">
        <f t="shared" si="97"/>
        <v/>
      </c>
    </row>
    <row r="6217" spans="1:2" x14ac:dyDescent="0.25">
      <c r="A6217" t="str">
        <f>IF(C6217&amp;G6217&amp;D6217&lt;&gt;'Funnel setup'!$K$3&amp;'Funnel setup'!$K$4&amp;'Funnel setup'!$K$6,".",IF(A6216=".",1,A6216+1))</f>
        <v>.</v>
      </c>
      <c r="B6217" s="244" t="str">
        <f t="shared" si="97"/>
        <v/>
      </c>
    </row>
    <row r="6218" spans="1:2" x14ac:dyDescent="0.25">
      <c r="A6218" t="str">
        <f>IF(C6218&amp;G6218&amp;D6218&lt;&gt;'Funnel setup'!$K$3&amp;'Funnel setup'!$K$4&amp;'Funnel setup'!$K$6,".",IF(A6217=".",1,A6217+1))</f>
        <v>.</v>
      </c>
      <c r="B6218" s="244" t="str">
        <f t="shared" si="97"/>
        <v/>
      </c>
    </row>
    <row r="6219" spans="1:2" x14ac:dyDescent="0.25">
      <c r="A6219" t="str">
        <f>IF(C6219&amp;G6219&amp;D6219&lt;&gt;'Funnel setup'!$K$3&amp;'Funnel setup'!$K$4&amp;'Funnel setup'!$K$6,".",IF(A6218=".",1,A6218+1))</f>
        <v>.</v>
      </c>
      <c r="B6219" s="244" t="str">
        <f t="shared" si="97"/>
        <v/>
      </c>
    </row>
    <row r="6220" spans="1:2" x14ac:dyDescent="0.25">
      <c r="A6220" t="str">
        <f>IF(C6220&amp;G6220&amp;D6220&lt;&gt;'Funnel setup'!$K$3&amp;'Funnel setup'!$K$4&amp;'Funnel setup'!$K$6,".",IF(A6219=".",1,A6219+1))</f>
        <v>.</v>
      </c>
      <c r="B6220" s="244" t="str">
        <f t="shared" si="97"/>
        <v/>
      </c>
    </row>
    <row r="6221" spans="1:2" x14ac:dyDescent="0.25">
      <c r="A6221" t="str">
        <f>IF(C6221&amp;G6221&amp;D6221&lt;&gt;'Funnel setup'!$K$3&amp;'Funnel setup'!$K$4&amp;'Funnel setup'!$K$6,".",IF(A6220=".",1,A6220+1))</f>
        <v>.</v>
      </c>
      <c r="B6221" s="244" t="str">
        <f t="shared" si="97"/>
        <v/>
      </c>
    </row>
    <row r="6222" spans="1:2" x14ac:dyDescent="0.25">
      <c r="A6222" t="str">
        <f>IF(C6222&amp;G6222&amp;D6222&lt;&gt;'Funnel setup'!$K$3&amp;'Funnel setup'!$K$4&amp;'Funnel setup'!$K$6,".",IF(A6221=".",1,A6221+1))</f>
        <v>.</v>
      </c>
      <c r="B6222" s="244" t="str">
        <f t="shared" si="97"/>
        <v/>
      </c>
    </row>
    <row r="6223" spans="1:2" x14ac:dyDescent="0.25">
      <c r="A6223" t="str">
        <f>IF(C6223&amp;G6223&amp;D6223&lt;&gt;'Funnel setup'!$K$3&amp;'Funnel setup'!$K$4&amp;'Funnel setup'!$K$6,".",IF(A6222=".",1,A6222+1))</f>
        <v>.</v>
      </c>
      <c r="B6223" s="244" t="str">
        <f t="shared" si="97"/>
        <v/>
      </c>
    </row>
    <row r="6224" spans="1:2" x14ac:dyDescent="0.25">
      <c r="A6224" t="str">
        <f>IF(C6224&amp;G6224&amp;D6224&lt;&gt;'Funnel setup'!$K$3&amp;'Funnel setup'!$K$4&amp;'Funnel setup'!$K$6,".",IF(A6223=".",1,A6223+1))</f>
        <v>.</v>
      </c>
      <c r="B6224" s="244" t="str">
        <f t="shared" si="97"/>
        <v/>
      </c>
    </row>
    <row r="6225" spans="1:2" x14ac:dyDescent="0.25">
      <c r="A6225" t="str">
        <f>IF(C6225&amp;G6225&amp;D6225&lt;&gt;'Funnel setup'!$K$3&amp;'Funnel setup'!$K$4&amp;'Funnel setup'!$K$6,".",IF(A6224=".",1,A6224+1))</f>
        <v>.</v>
      </c>
      <c r="B6225" s="244" t="str">
        <f t="shared" si="97"/>
        <v/>
      </c>
    </row>
    <row r="6226" spans="1:2" x14ac:dyDescent="0.25">
      <c r="A6226" t="str">
        <f>IF(C6226&amp;G6226&amp;D6226&lt;&gt;'Funnel setup'!$K$3&amp;'Funnel setup'!$K$4&amp;'Funnel setup'!$K$6,".",IF(A6225=".",1,A6225+1))</f>
        <v>.</v>
      </c>
      <c r="B6226" s="244" t="str">
        <f t="shared" si="97"/>
        <v/>
      </c>
    </row>
    <row r="6227" spans="1:2" x14ac:dyDescent="0.25">
      <c r="A6227" t="str">
        <f>IF(C6227&amp;G6227&amp;D6227&lt;&gt;'Funnel setup'!$K$3&amp;'Funnel setup'!$K$4&amp;'Funnel setup'!$K$6,".",IF(A6226=".",1,A6226+1))</f>
        <v>.</v>
      </c>
      <c r="B6227" s="244" t="str">
        <f t="shared" si="97"/>
        <v/>
      </c>
    </row>
    <row r="6228" spans="1:2" x14ac:dyDescent="0.25">
      <c r="A6228" t="str">
        <f>IF(C6228&amp;G6228&amp;D6228&lt;&gt;'Funnel setup'!$K$3&amp;'Funnel setup'!$K$4&amp;'Funnel setup'!$K$6,".",IF(A6227=".",1,A6227+1))</f>
        <v>.</v>
      </c>
      <c r="B6228" s="244" t="str">
        <f t="shared" si="97"/>
        <v/>
      </c>
    </row>
    <row r="6229" spans="1:2" x14ac:dyDescent="0.25">
      <c r="A6229" t="str">
        <f>IF(C6229&amp;G6229&amp;D6229&lt;&gt;'Funnel setup'!$K$3&amp;'Funnel setup'!$K$4&amp;'Funnel setup'!$K$6,".",IF(A6228=".",1,A6228+1))</f>
        <v>.</v>
      </c>
      <c r="B6229" s="244" t="str">
        <f t="shared" si="97"/>
        <v/>
      </c>
    </row>
    <row r="6230" spans="1:2" x14ac:dyDescent="0.25">
      <c r="A6230" t="str">
        <f>IF(C6230&amp;G6230&amp;D6230&lt;&gt;'Funnel setup'!$K$3&amp;'Funnel setup'!$K$4&amp;'Funnel setup'!$K$6,".",IF(A6229=".",1,A6229+1))</f>
        <v>.</v>
      </c>
      <c r="B6230" s="244" t="str">
        <f t="shared" si="97"/>
        <v/>
      </c>
    </row>
    <row r="6231" spans="1:2" x14ac:dyDescent="0.25">
      <c r="A6231" t="str">
        <f>IF(C6231&amp;G6231&amp;D6231&lt;&gt;'Funnel setup'!$K$3&amp;'Funnel setup'!$K$4&amp;'Funnel setup'!$K$6,".",IF(A6230=".",1,A6230+1))</f>
        <v>.</v>
      </c>
      <c r="B6231" s="244" t="str">
        <f t="shared" si="97"/>
        <v/>
      </c>
    </row>
    <row r="6232" spans="1:2" x14ac:dyDescent="0.25">
      <c r="A6232" t="str">
        <f>IF(C6232&amp;G6232&amp;D6232&lt;&gt;'Funnel setup'!$K$3&amp;'Funnel setup'!$K$4&amp;'Funnel setup'!$K$6,".",IF(A6231=".",1,A6231+1))</f>
        <v>.</v>
      </c>
      <c r="B6232" s="244" t="str">
        <f t="shared" si="97"/>
        <v/>
      </c>
    </row>
    <row r="6233" spans="1:2" x14ac:dyDescent="0.25">
      <c r="A6233" t="str">
        <f>IF(C6233&amp;G6233&amp;D6233&lt;&gt;'Funnel setup'!$K$3&amp;'Funnel setup'!$K$4&amp;'Funnel setup'!$K$6,".",IF(A6232=".",1,A6232+1))</f>
        <v>.</v>
      </c>
      <c r="B6233" s="244" t="str">
        <f t="shared" si="97"/>
        <v/>
      </c>
    </row>
    <row r="6234" spans="1:2" x14ac:dyDescent="0.25">
      <c r="A6234" t="str">
        <f>IF(C6234&amp;G6234&amp;D6234&lt;&gt;'Funnel setup'!$K$3&amp;'Funnel setup'!$K$4&amp;'Funnel setup'!$K$6,".",IF(A6233=".",1,A6233+1))</f>
        <v>.</v>
      </c>
      <c r="B6234" s="244" t="str">
        <f t="shared" si="97"/>
        <v/>
      </c>
    </row>
    <row r="6235" spans="1:2" x14ac:dyDescent="0.25">
      <c r="A6235" t="str">
        <f>IF(C6235&amp;G6235&amp;D6235&lt;&gt;'Funnel setup'!$K$3&amp;'Funnel setup'!$K$4&amp;'Funnel setup'!$K$6,".",IF(A6234=".",1,A6234+1))</f>
        <v>.</v>
      </c>
      <c r="B6235" s="244" t="str">
        <f t="shared" si="97"/>
        <v/>
      </c>
    </row>
    <row r="6236" spans="1:2" x14ac:dyDescent="0.25">
      <c r="A6236" t="str">
        <f>IF(C6236&amp;G6236&amp;D6236&lt;&gt;'Funnel setup'!$K$3&amp;'Funnel setup'!$K$4&amp;'Funnel setup'!$K$6,".",IF(A6235=".",1,A6235+1))</f>
        <v>.</v>
      </c>
      <c r="B6236" s="244" t="str">
        <f t="shared" si="97"/>
        <v/>
      </c>
    </row>
    <row r="6237" spans="1:2" x14ac:dyDescent="0.25">
      <c r="A6237" t="str">
        <f>IF(C6237&amp;G6237&amp;D6237&lt;&gt;'Funnel setup'!$K$3&amp;'Funnel setup'!$K$4&amp;'Funnel setup'!$K$6,".",IF(A6236=".",1,A6236+1))</f>
        <v>.</v>
      </c>
      <c r="B6237" s="244" t="str">
        <f t="shared" si="97"/>
        <v/>
      </c>
    </row>
    <row r="6238" spans="1:2" x14ac:dyDescent="0.25">
      <c r="A6238" t="str">
        <f>IF(C6238&amp;G6238&amp;D6238&lt;&gt;'Funnel setup'!$K$3&amp;'Funnel setup'!$K$4&amp;'Funnel setup'!$K$6,".",IF(A6237=".",1,A6237+1))</f>
        <v>.</v>
      </c>
      <c r="B6238" s="244" t="str">
        <f t="shared" si="97"/>
        <v/>
      </c>
    </row>
    <row r="6239" spans="1:2" x14ac:dyDescent="0.25">
      <c r="A6239" t="str">
        <f>IF(C6239&amp;G6239&amp;D6239&lt;&gt;'Funnel setup'!$K$3&amp;'Funnel setup'!$K$4&amp;'Funnel setup'!$K$6,".",IF(A6238=".",1,A6238+1))</f>
        <v>.</v>
      </c>
      <c r="B6239" s="244" t="str">
        <f t="shared" si="97"/>
        <v/>
      </c>
    </row>
    <row r="6240" spans="1:2" x14ac:dyDescent="0.25">
      <c r="A6240" t="str">
        <f>IF(C6240&amp;G6240&amp;D6240&lt;&gt;'Funnel setup'!$K$3&amp;'Funnel setup'!$K$4&amp;'Funnel setup'!$K$6,".",IF(A6239=".",1,A6239+1))</f>
        <v>.</v>
      </c>
      <c r="B6240" s="244" t="str">
        <f t="shared" si="97"/>
        <v/>
      </c>
    </row>
    <row r="6241" spans="1:2" x14ac:dyDescent="0.25">
      <c r="A6241" t="str">
        <f>IF(C6241&amp;G6241&amp;D6241&lt;&gt;'Funnel setup'!$K$3&amp;'Funnel setup'!$K$4&amp;'Funnel setup'!$K$6,".",IF(A6240=".",1,A6240+1))</f>
        <v>.</v>
      </c>
      <c r="B6241" s="244" t="str">
        <f t="shared" si="97"/>
        <v/>
      </c>
    </row>
    <row r="6242" spans="1:2" x14ac:dyDescent="0.25">
      <c r="A6242" t="str">
        <f>IF(C6242&amp;G6242&amp;D6242&lt;&gt;'Funnel setup'!$K$3&amp;'Funnel setup'!$K$4&amp;'Funnel setup'!$K$6,".",IF(A6241=".",1,A6241+1))</f>
        <v>.</v>
      </c>
      <c r="B6242" s="244" t="str">
        <f t="shared" si="97"/>
        <v/>
      </c>
    </row>
    <row r="6243" spans="1:2" x14ac:dyDescent="0.25">
      <c r="A6243" t="str">
        <f>IF(C6243&amp;G6243&amp;D6243&lt;&gt;'Funnel setup'!$K$3&amp;'Funnel setup'!$K$4&amp;'Funnel setup'!$K$6,".",IF(A6242=".",1,A6242+1))</f>
        <v>.</v>
      </c>
      <c r="B6243" s="244" t="str">
        <f t="shared" si="97"/>
        <v/>
      </c>
    </row>
    <row r="6244" spans="1:2" x14ac:dyDescent="0.25">
      <c r="A6244" t="str">
        <f>IF(C6244&amp;G6244&amp;D6244&lt;&gt;'Funnel setup'!$K$3&amp;'Funnel setup'!$K$4&amp;'Funnel setup'!$K$6,".",IF(A6243=".",1,A6243+1))</f>
        <v>.</v>
      </c>
      <c r="B6244" s="244" t="str">
        <f t="shared" si="97"/>
        <v/>
      </c>
    </row>
    <row r="6245" spans="1:2" x14ac:dyDescent="0.25">
      <c r="A6245" t="str">
        <f>IF(C6245&amp;G6245&amp;D6245&lt;&gt;'Funnel setup'!$K$3&amp;'Funnel setup'!$K$4&amp;'Funnel setup'!$K$6,".",IF(A6244=".",1,A6244+1))</f>
        <v>.</v>
      </c>
      <c r="B6245" s="244" t="str">
        <f t="shared" si="97"/>
        <v/>
      </c>
    </row>
    <row r="6246" spans="1:2" x14ac:dyDescent="0.25">
      <c r="A6246" t="str">
        <f>IF(C6246&amp;G6246&amp;D6246&lt;&gt;'Funnel setup'!$K$3&amp;'Funnel setup'!$K$4&amp;'Funnel setup'!$K$6,".",IF(A6245=".",1,A6245+1))</f>
        <v>.</v>
      </c>
      <c r="B6246" s="244" t="str">
        <f t="shared" si="97"/>
        <v/>
      </c>
    </row>
    <row r="6247" spans="1:2" x14ac:dyDescent="0.25">
      <c r="A6247" t="str">
        <f>IF(C6247&amp;G6247&amp;D6247&lt;&gt;'Funnel setup'!$K$3&amp;'Funnel setup'!$K$4&amp;'Funnel setup'!$K$6,".",IF(A6246=".",1,A6246+1))</f>
        <v>.</v>
      </c>
      <c r="B6247" s="244" t="str">
        <f t="shared" si="97"/>
        <v/>
      </c>
    </row>
    <row r="6248" spans="1:2" x14ac:dyDescent="0.25">
      <c r="A6248" t="str">
        <f>IF(C6248&amp;G6248&amp;D6248&lt;&gt;'Funnel setup'!$K$3&amp;'Funnel setup'!$K$4&amp;'Funnel setup'!$K$6,".",IF(A6247=".",1,A6247+1))</f>
        <v>.</v>
      </c>
      <c r="B6248" s="244" t="str">
        <f t="shared" si="97"/>
        <v/>
      </c>
    </row>
    <row r="6249" spans="1:2" x14ac:dyDescent="0.25">
      <c r="A6249" t="str">
        <f>IF(C6249&amp;G6249&amp;D6249&lt;&gt;'Funnel setup'!$K$3&amp;'Funnel setup'!$K$4&amp;'Funnel setup'!$K$6,".",IF(A6248=".",1,A6248+1))</f>
        <v>.</v>
      </c>
      <c r="B6249" s="244" t="str">
        <f t="shared" si="97"/>
        <v/>
      </c>
    </row>
    <row r="6250" spans="1:2" x14ac:dyDescent="0.25">
      <c r="A6250" t="str">
        <f>IF(C6250&amp;G6250&amp;D6250&lt;&gt;'Funnel setup'!$K$3&amp;'Funnel setup'!$K$4&amp;'Funnel setup'!$K$6,".",IF(A6249=".",1,A6249+1))</f>
        <v>.</v>
      </c>
      <c r="B6250" s="244" t="str">
        <f t="shared" si="97"/>
        <v/>
      </c>
    </row>
    <row r="6251" spans="1:2" x14ac:dyDescent="0.25">
      <c r="A6251" t="str">
        <f>IF(C6251&amp;G6251&amp;D6251&lt;&gt;'Funnel setup'!$K$3&amp;'Funnel setup'!$K$4&amp;'Funnel setup'!$K$6,".",IF(A6250=".",1,A6250+1))</f>
        <v>.</v>
      </c>
      <c r="B6251" s="244" t="str">
        <f t="shared" si="97"/>
        <v/>
      </c>
    </row>
    <row r="6252" spans="1:2" x14ac:dyDescent="0.25">
      <c r="A6252" t="str">
        <f>IF(C6252&amp;G6252&amp;D6252&lt;&gt;'Funnel setup'!$K$3&amp;'Funnel setup'!$K$4&amp;'Funnel setup'!$K$6,".",IF(A6251=".",1,A6251+1))</f>
        <v>.</v>
      </c>
      <c r="B6252" s="244" t="str">
        <f t="shared" si="97"/>
        <v/>
      </c>
    </row>
    <row r="6253" spans="1:2" x14ac:dyDescent="0.25">
      <c r="A6253" t="str">
        <f>IF(C6253&amp;G6253&amp;D6253&lt;&gt;'Funnel setup'!$K$3&amp;'Funnel setup'!$K$4&amp;'Funnel setup'!$K$6,".",IF(A6252=".",1,A6252+1))</f>
        <v>.</v>
      </c>
      <c r="B6253" s="244" t="str">
        <f t="shared" si="97"/>
        <v/>
      </c>
    </row>
    <row r="6254" spans="1:2" x14ac:dyDescent="0.25">
      <c r="A6254" t="str">
        <f>IF(C6254&amp;G6254&amp;D6254&lt;&gt;'Funnel setup'!$K$3&amp;'Funnel setup'!$K$4&amp;'Funnel setup'!$K$6,".",IF(A6253=".",1,A6253+1))</f>
        <v>.</v>
      </c>
      <c r="B6254" s="244" t="str">
        <f t="shared" si="97"/>
        <v/>
      </c>
    </row>
    <row r="6255" spans="1:2" x14ac:dyDescent="0.25">
      <c r="A6255" t="str">
        <f>IF(C6255&amp;G6255&amp;D6255&lt;&gt;'Funnel setup'!$K$3&amp;'Funnel setup'!$K$4&amp;'Funnel setup'!$K$6,".",IF(A6254=".",1,A6254+1))</f>
        <v>.</v>
      </c>
      <c r="B6255" s="244" t="str">
        <f t="shared" si="97"/>
        <v/>
      </c>
    </row>
    <row r="6256" spans="1:2" x14ac:dyDescent="0.25">
      <c r="A6256" t="str">
        <f>IF(C6256&amp;G6256&amp;D6256&lt;&gt;'Funnel setup'!$K$3&amp;'Funnel setup'!$K$4&amp;'Funnel setup'!$K$6,".",IF(A6255=".",1,A6255+1))</f>
        <v>.</v>
      </c>
      <c r="B6256" s="244" t="str">
        <f t="shared" si="97"/>
        <v/>
      </c>
    </row>
    <row r="6257" spans="1:2" x14ac:dyDescent="0.25">
      <c r="A6257" t="str">
        <f>IF(C6257&amp;G6257&amp;D6257&lt;&gt;'Funnel setup'!$K$3&amp;'Funnel setup'!$K$4&amp;'Funnel setup'!$K$6,".",IF(A6256=".",1,A6256+1))</f>
        <v>.</v>
      </c>
      <c r="B6257" s="244" t="str">
        <f t="shared" si="97"/>
        <v/>
      </c>
    </row>
    <row r="6258" spans="1:2" x14ac:dyDescent="0.25">
      <c r="A6258" t="str">
        <f>IF(C6258&amp;G6258&amp;D6258&lt;&gt;'Funnel setup'!$K$3&amp;'Funnel setup'!$K$4&amp;'Funnel setup'!$K$6,".",IF(A6257=".",1,A6257+1))</f>
        <v>.</v>
      </c>
      <c r="B6258" s="244" t="str">
        <f t="shared" si="97"/>
        <v/>
      </c>
    </row>
    <row r="6259" spans="1:2" x14ac:dyDescent="0.25">
      <c r="A6259" t="str">
        <f>IF(C6259&amp;G6259&amp;D6259&lt;&gt;'Funnel setup'!$K$3&amp;'Funnel setup'!$K$4&amp;'Funnel setup'!$K$6,".",IF(A6258=".",1,A6258+1))</f>
        <v>.</v>
      </c>
      <c r="B6259" s="244" t="str">
        <f t="shared" si="97"/>
        <v/>
      </c>
    </row>
    <row r="6260" spans="1:2" x14ac:dyDescent="0.25">
      <c r="A6260" t="str">
        <f>IF(C6260&amp;G6260&amp;D6260&lt;&gt;'Funnel setup'!$K$3&amp;'Funnel setup'!$K$4&amp;'Funnel setup'!$K$6,".",IF(A6259=".",1,A6259+1))</f>
        <v>.</v>
      </c>
      <c r="B6260" s="244" t="str">
        <f t="shared" si="97"/>
        <v/>
      </c>
    </row>
    <row r="6261" spans="1:2" x14ac:dyDescent="0.25">
      <c r="A6261" t="str">
        <f>IF(C6261&amp;G6261&amp;D6261&lt;&gt;'Funnel setup'!$K$3&amp;'Funnel setup'!$K$4&amp;'Funnel setup'!$K$6,".",IF(A6260=".",1,A6260+1))</f>
        <v>.</v>
      </c>
      <c r="B6261" s="244" t="str">
        <f t="shared" si="97"/>
        <v/>
      </c>
    </row>
    <row r="6262" spans="1:2" x14ac:dyDescent="0.25">
      <c r="A6262" t="str">
        <f>IF(C6262&amp;G6262&amp;D6262&lt;&gt;'Funnel setup'!$K$3&amp;'Funnel setup'!$K$4&amp;'Funnel setup'!$K$6,".",IF(A6261=".",1,A6261+1))</f>
        <v>.</v>
      </c>
      <c r="B6262" s="244" t="str">
        <f t="shared" si="97"/>
        <v/>
      </c>
    </row>
    <row r="6263" spans="1:2" x14ac:dyDescent="0.25">
      <c r="A6263" t="str">
        <f>IF(C6263&amp;G6263&amp;D6263&lt;&gt;'Funnel setup'!$K$3&amp;'Funnel setup'!$K$4&amp;'Funnel setup'!$K$6,".",IF(A6262=".",1,A6262+1))</f>
        <v>.</v>
      </c>
      <c r="B6263" s="244" t="str">
        <f t="shared" si="97"/>
        <v/>
      </c>
    </row>
    <row r="6264" spans="1:2" x14ac:dyDescent="0.25">
      <c r="A6264" t="str">
        <f>IF(C6264&amp;G6264&amp;D6264&lt;&gt;'Funnel setup'!$K$3&amp;'Funnel setup'!$K$4&amp;'Funnel setup'!$K$6,".",IF(A6263=".",1,A6263+1))</f>
        <v>.</v>
      </c>
      <c r="B6264" s="244" t="str">
        <f t="shared" si="97"/>
        <v/>
      </c>
    </row>
    <row r="6265" spans="1:2" x14ac:dyDescent="0.25">
      <c r="A6265" t="str">
        <f>IF(C6265&amp;G6265&amp;D6265&lt;&gt;'Funnel setup'!$K$3&amp;'Funnel setup'!$K$4&amp;'Funnel setup'!$K$6,".",IF(A6264=".",1,A6264+1))</f>
        <v>.</v>
      </c>
      <c r="B6265" s="244" t="str">
        <f t="shared" si="97"/>
        <v/>
      </c>
    </row>
    <row r="6266" spans="1:2" x14ac:dyDescent="0.25">
      <c r="A6266" t="str">
        <f>IF(C6266&amp;G6266&amp;D6266&lt;&gt;'Funnel setup'!$K$3&amp;'Funnel setup'!$K$4&amp;'Funnel setup'!$K$6,".",IF(A6265=".",1,A6265+1))</f>
        <v>.</v>
      </c>
      <c r="B6266" s="244" t="str">
        <f t="shared" si="97"/>
        <v/>
      </c>
    </row>
    <row r="6267" spans="1:2" x14ac:dyDescent="0.25">
      <c r="A6267" t="str">
        <f>IF(C6267&amp;G6267&amp;D6267&lt;&gt;'Funnel setup'!$K$3&amp;'Funnel setup'!$K$4&amp;'Funnel setup'!$K$6,".",IF(A6266=".",1,A6266+1))</f>
        <v>.</v>
      </c>
      <c r="B6267" s="244" t="str">
        <f t="shared" si="97"/>
        <v/>
      </c>
    </row>
    <row r="6268" spans="1:2" x14ac:dyDescent="0.25">
      <c r="A6268" t="str">
        <f>IF(C6268&amp;G6268&amp;D6268&lt;&gt;'Funnel setup'!$K$3&amp;'Funnel setup'!$K$4&amp;'Funnel setup'!$K$6,".",IF(A6267=".",1,A6267+1))</f>
        <v>.</v>
      </c>
      <c r="B6268" s="244" t="str">
        <f t="shared" si="97"/>
        <v/>
      </c>
    </row>
    <row r="6269" spans="1:2" x14ac:dyDescent="0.25">
      <c r="A6269" t="str">
        <f>IF(C6269&amp;G6269&amp;D6269&lt;&gt;'Funnel setup'!$K$3&amp;'Funnel setup'!$K$4&amp;'Funnel setup'!$K$6,".",IF(A6268=".",1,A6268+1))</f>
        <v>.</v>
      </c>
      <c r="B6269" s="244" t="str">
        <f t="shared" si="97"/>
        <v/>
      </c>
    </row>
    <row r="6270" spans="1:2" x14ac:dyDescent="0.25">
      <c r="A6270" t="str">
        <f>IF(C6270&amp;G6270&amp;D6270&lt;&gt;'Funnel setup'!$K$3&amp;'Funnel setup'!$K$4&amp;'Funnel setup'!$K$6,".",IF(A6269=".",1,A6269+1))</f>
        <v>.</v>
      </c>
      <c r="B6270" s="244" t="str">
        <f t="shared" si="97"/>
        <v/>
      </c>
    </row>
    <row r="6271" spans="1:2" x14ac:dyDescent="0.25">
      <c r="A6271" t="str">
        <f>IF(C6271&amp;G6271&amp;D6271&lt;&gt;'Funnel setup'!$K$3&amp;'Funnel setup'!$K$4&amp;'Funnel setup'!$K$6,".",IF(A6270=".",1,A6270+1))</f>
        <v>.</v>
      </c>
      <c r="B6271" s="244" t="str">
        <f t="shared" si="97"/>
        <v/>
      </c>
    </row>
    <row r="6272" spans="1:2" x14ac:dyDescent="0.25">
      <c r="A6272" t="str">
        <f>IF(C6272&amp;G6272&amp;D6272&lt;&gt;'Funnel setup'!$K$3&amp;'Funnel setup'!$K$4&amp;'Funnel setup'!$K$6,".",IF(A6271=".",1,A6271+1))</f>
        <v>.</v>
      </c>
      <c r="B6272" s="244" t="str">
        <f t="shared" si="97"/>
        <v/>
      </c>
    </row>
    <row r="6273" spans="1:2" x14ac:dyDescent="0.25">
      <c r="A6273" t="str">
        <f>IF(C6273&amp;G6273&amp;D6273&lt;&gt;'Funnel setup'!$K$3&amp;'Funnel setup'!$K$4&amp;'Funnel setup'!$K$6,".",IF(A6272=".",1,A6272+1))</f>
        <v>.</v>
      </c>
      <c r="B6273" s="244" t="str">
        <f t="shared" si="97"/>
        <v/>
      </c>
    </row>
    <row r="6274" spans="1:2" x14ac:dyDescent="0.25">
      <c r="A6274" t="str">
        <f>IF(C6274&amp;G6274&amp;D6274&lt;&gt;'Funnel setup'!$K$3&amp;'Funnel setup'!$K$4&amp;'Funnel setup'!$K$6,".",IF(A6273=".",1,A6273+1))</f>
        <v>.</v>
      </c>
      <c r="B6274" s="244" t="str">
        <f t="shared" ref="B6274:B6337" si="98">C6274&amp;D6274&amp;F6274&amp;G6274</f>
        <v/>
      </c>
    </row>
    <row r="6275" spans="1:2" x14ac:dyDescent="0.25">
      <c r="A6275" t="str">
        <f>IF(C6275&amp;G6275&amp;D6275&lt;&gt;'Funnel setup'!$K$3&amp;'Funnel setup'!$K$4&amp;'Funnel setup'!$K$6,".",IF(A6274=".",1,A6274+1))</f>
        <v>.</v>
      </c>
      <c r="B6275" s="244" t="str">
        <f t="shared" si="98"/>
        <v/>
      </c>
    </row>
    <row r="6276" spans="1:2" x14ac:dyDescent="0.25">
      <c r="A6276" t="str">
        <f>IF(C6276&amp;G6276&amp;D6276&lt;&gt;'Funnel setup'!$K$3&amp;'Funnel setup'!$K$4&amp;'Funnel setup'!$K$6,".",IF(A6275=".",1,A6275+1))</f>
        <v>.</v>
      </c>
      <c r="B6276" s="244" t="str">
        <f t="shared" si="98"/>
        <v/>
      </c>
    </row>
    <row r="6277" spans="1:2" x14ac:dyDescent="0.25">
      <c r="A6277" t="str">
        <f>IF(C6277&amp;G6277&amp;D6277&lt;&gt;'Funnel setup'!$K$3&amp;'Funnel setup'!$K$4&amp;'Funnel setup'!$K$6,".",IF(A6276=".",1,A6276+1))</f>
        <v>.</v>
      </c>
      <c r="B6277" s="244" t="str">
        <f t="shared" si="98"/>
        <v/>
      </c>
    </row>
    <row r="6278" spans="1:2" x14ac:dyDescent="0.25">
      <c r="A6278" t="str">
        <f>IF(C6278&amp;G6278&amp;D6278&lt;&gt;'Funnel setup'!$K$3&amp;'Funnel setup'!$K$4&amp;'Funnel setup'!$K$6,".",IF(A6277=".",1,A6277+1))</f>
        <v>.</v>
      </c>
      <c r="B6278" s="244" t="str">
        <f t="shared" si="98"/>
        <v/>
      </c>
    </row>
    <row r="6279" spans="1:2" x14ac:dyDescent="0.25">
      <c r="A6279" t="str">
        <f>IF(C6279&amp;G6279&amp;D6279&lt;&gt;'Funnel setup'!$K$3&amp;'Funnel setup'!$K$4&amp;'Funnel setup'!$K$6,".",IF(A6278=".",1,A6278+1))</f>
        <v>.</v>
      </c>
      <c r="B6279" s="244" t="str">
        <f t="shared" si="98"/>
        <v/>
      </c>
    </row>
    <row r="6280" spans="1:2" x14ac:dyDescent="0.25">
      <c r="A6280" t="str">
        <f>IF(C6280&amp;G6280&amp;D6280&lt;&gt;'Funnel setup'!$K$3&amp;'Funnel setup'!$K$4&amp;'Funnel setup'!$K$6,".",IF(A6279=".",1,A6279+1))</f>
        <v>.</v>
      </c>
      <c r="B6280" s="244" t="str">
        <f t="shared" si="98"/>
        <v/>
      </c>
    </row>
    <row r="6281" spans="1:2" x14ac:dyDescent="0.25">
      <c r="A6281" t="str">
        <f>IF(C6281&amp;G6281&amp;D6281&lt;&gt;'Funnel setup'!$K$3&amp;'Funnel setup'!$K$4&amp;'Funnel setup'!$K$6,".",IF(A6280=".",1,A6280+1))</f>
        <v>.</v>
      </c>
      <c r="B6281" s="244" t="str">
        <f t="shared" si="98"/>
        <v/>
      </c>
    </row>
    <row r="6282" spans="1:2" x14ac:dyDescent="0.25">
      <c r="A6282" t="str">
        <f>IF(C6282&amp;G6282&amp;D6282&lt;&gt;'Funnel setup'!$K$3&amp;'Funnel setup'!$K$4&amp;'Funnel setup'!$K$6,".",IF(A6281=".",1,A6281+1))</f>
        <v>.</v>
      </c>
      <c r="B6282" s="244" t="str">
        <f t="shared" si="98"/>
        <v/>
      </c>
    </row>
    <row r="6283" spans="1:2" x14ac:dyDescent="0.25">
      <c r="A6283" t="str">
        <f>IF(C6283&amp;G6283&amp;D6283&lt;&gt;'Funnel setup'!$K$3&amp;'Funnel setup'!$K$4&amp;'Funnel setup'!$K$6,".",IF(A6282=".",1,A6282+1))</f>
        <v>.</v>
      </c>
      <c r="B6283" s="244" t="str">
        <f t="shared" si="98"/>
        <v/>
      </c>
    </row>
    <row r="6284" spans="1:2" x14ac:dyDescent="0.25">
      <c r="A6284" t="str">
        <f>IF(C6284&amp;G6284&amp;D6284&lt;&gt;'Funnel setup'!$K$3&amp;'Funnel setup'!$K$4&amp;'Funnel setup'!$K$6,".",IF(A6283=".",1,A6283+1))</f>
        <v>.</v>
      </c>
      <c r="B6284" s="244" t="str">
        <f t="shared" si="98"/>
        <v/>
      </c>
    </row>
    <row r="6285" spans="1:2" x14ac:dyDescent="0.25">
      <c r="A6285" t="str">
        <f>IF(C6285&amp;G6285&amp;D6285&lt;&gt;'Funnel setup'!$K$3&amp;'Funnel setup'!$K$4&amp;'Funnel setup'!$K$6,".",IF(A6284=".",1,A6284+1))</f>
        <v>.</v>
      </c>
      <c r="B6285" s="244" t="str">
        <f t="shared" si="98"/>
        <v/>
      </c>
    </row>
    <row r="6286" spans="1:2" x14ac:dyDescent="0.25">
      <c r="A6286" t="str">
        <f>IF(C6286&amp;G6286&amp;D6286&lt;&gt;'Funnel setup'!$K$3&amp;'Funnel setup'!$K$4&amp;'Funnel setup'!$K$6,".",IF(A6285=".",1,A6285+1))</f>
        <v>.</v>
      </c>
      <c r="B6286" s="244" t="str">
        <f t="shared" si="98"/>
        <v/>
      </c>
    </row>
    <row r="6287" spans="1:2" x14ac:dyDescent="0.25">
      <c r="A6287" t="str">
        <f>IF(C6287&amp;G6287&amp;D6287&lt;&gt;'Funnel setup'!$K$3&amp;'Funnel setup'!$K$4&amp;'Funnel setup'!$K$6,".",IF(A6286=".",1,A6286+1))</f>
        <v>.</v>
      </c>
      <c r="B6287" s="244" t="str">
        <f t="shared" si="98"/>
        <v/>
      </c>
    </row>
    <row r="6288" spans="1:2" x14ac:dyDescent="0.25">
      <c r="A6288" t="str">
        <f>IF(C6288&amp;G6288&amp;D6288&lt;&gt;'Funnel setup'!$K$3&amp;'Funnel setup'!$K$4&amp;'Funnel setup'!$K$6,".",IF(A6287=".",1,A6287+1))</f>
        <v>.</v>
      </c>
      <c r="B6288" s="244" t="str">
        <f t="shared" si="98"/>
        <v/>
      </c>
    </row>
    <row r="6289" spans="1:2" x14ac:dyDescent="0.25">
      <c r="A6289" t="str">
        <f>IF(C6289&amp;G6289&amp;D6289&lt;&gt;'Funnel setup'!$K$3&amp;'Funnel setup'!$K$4&amp;'Funnel setup'!$K$6,".",IF(A6288=".",1,A6288+1))</f>
        <v>.</v>
      </c>
      <c r="B6289" s="244" t="str">
        <f t="shared" si="98"/>
        <v/>
      </c>
    </row>
    <row r="6290" spans="1:2" x14ac:dyDescent="0.25">
      <c r="A6290" t="str">
        <f>IF(C6290&amp;G6290&amp;D6290&lt;&gt;'Funnel setup'!$K$3&amp;'Funnel setup'!$K$4&amp;'Funnel setup'!$K$6,".",IF(A6289=".",1,A6289+1))</f>
        <v>.</v>
      </c>
      <c r="B6290" s="244" t="str">
        <f t="shared" si="98"/>
        <v/>
      </c>
    </row>
    <row r="6291" spans="1:2" x14ac:dyDescent="0.25">
      <c r="A6291" t="str">
        <f>IF(C6291&amp;G6291&amp;D6291&lt;&gt;'Funnel setup'!$K$3&amp;'Funnel setup'!$K$4&amp;'Funnel setup'!$K$6,".",IF(A6290=".",1,A6290+1))</f>
        <v>.</v>
      </c>
      <c r="B6291" s="244" t="str">
        <f t="shared" si="98"/>
        <v/>
      </c>
    </row>
    <row r="6292" spans="1:2" x14ac:dyDescent="0.25">
      <c r="A6292" t="str">
        <f>IF(C6292&amp;G6292&amp;D6292&lt;&gt;'Funnel setup'!$K$3&amp;'Funnel setup'!$K$4&amp;'Funnel setup'!$K$6,".",IF(A6291=".",1,A6291+1))</f>
        <v>.</v>
      </c>
      <c r="B6292" s="244" t="str">
        <f t="shared" si="98"/>
        <v/>
      </c>
    </row>
    <row r="6293" spans="1:2" x14ac:dyDescent="0.25">
      <c r="A6293" t="str">
        <f>IF(C6293&amp;G6293&amp;D6293&lt;&gt;'Funnel setup'!$K$3&amp;'Funnel setup'!$K$4&amp;'Funnel setup'!$K$6,".",IF(A6292=".",1,A6292+1))</f>
        <v>.</v>
      </c>
      <c r="B6293" s="244" t="str">
        <f t="shared" si="98"/>
        <v/>
      </c>
    </row>
    <row r="6294" spans="1:2" x14ac:dyDescent="0.25">
      <c r="A6294" t="str">
        <f>IF(C6294&amp;G6294&amp;D6294&lt;&gt;'Funnel setup'!$K$3&amp;'Funnel setup'!$K$4&amp;'Funnel setup'!$K$6,".",IF(A6293=".",1,A6293+1))</f>
        <v>.</v>
      </c>
      <c r="B6294" s="244" t="str">
        <f t="shared" si="98"/>
        <v/>
      </c>
    </row>
    <row r="6295" spans="1:2" x14ac:dyDescent="0.25">
      <c r="A6295" t="str">
        <f>IF(C6295&amp;G6295&amp;D6295&lt;&gt;'Funnel setup'!$K$3&amp;'Funnel setup'!$K$4&amp;'Funnel setup'!$K$6,".",IF(A6294=".",1,A6294+1))</f>
        <v>.</v>
      </c>
      <c r="B6295" s="244" t="str">
        <f t="shared" si="98"/>
        <v/>
      </c>
    </row>
    <row r="6296" spans="1:2" x14ac:dyDescent="0.25">
      <c r="A6296" t="str">
        <f>IF(C6296&amp;G6296&amp;D6296&lt;&gt;'Funnel setup'!$K$3&amp;'Funnel setup'!$K$4&amp;'Funnel setup'!$K$6,".",IF(A6295=".",1,A6295+1))</f>
        <v>.</v>
      </c>
      <c r="B6296" s="244" t="str">
        <f t="shared" si="98"/>
        <v/>
      </c>
    </row>
    <row r="6297" spans="1:2" x14ac:dyDescent="0.25">
      <c r="A6297" t="str">
        <f>IF(C6297&amp;G6297&amp;D6297&lt;&gt;'Funnel setup'!$K$3&amp;'Funnel setup'!$K$4&amp;'Funnel setup'!$K$6,".",IF(A6296=".",1,A6296+1))</f>
        <v>.</v>
      </c>
      <c r="B6297" s="244" t="str">
        <f t="shared" si="98"/>
        <v/>
      </c>
    </row>
    <row r="6298" spans="1:2" x14ac:dyDescent="0.25">
      <c r="A6298" t="str">
        <f>IF(C6298&amp;G6298&amp;D6298&lt;&gt;'Funnel setup'!$K$3&amp;'Funnel setup'!$K$4&amp;'Funnel setup'!$K$6,".",IF(A6297=".",1,A6297+1))</f>
        <v>.</v>
      </c>
      <c r="B6298" s="244" t="str">
        <f t="shared" si="98"/>
        <v/>
      </c>
    </row>
    <row r="6299" spans="1:2" x14ac:dyDescent="0.25">
      <c r="A6299" t="str">
        <f>IF(C6299&amp;G6299&amp;D6299&lt;&gt;'Funnel setup'!$K$3&amp;'Funnel setup'!$K$4&amp;'Funnel setup'!$K$6,".",IF(A6298=".",1,A6298+1))</f>
        <v>.</v>
      </c>
      <c r="B6299" s="244" t="str">
        <f t="shared" si="98"/>
        <v/>
      </c>
    </row>
    <row r="6300" spans="1:2" x14ac:dyDescent="0.25">
      <c r="A6300" t="str">
        <f>IF(C6300&amp;G6300&amp;D6300&lt;&gt;'Funnel setup'!$K$3&amp;'Funnel setup'!$K$4&amp;'Funnel setup'!$K$6,".",IF(A6299=".",1,A6299+1))</f>
        <v>.</v>
      </c>
      <c r="B6300" s="244" t="str">
        <f t="shared" si="98"/>
        <v/>
      </c>
    </row>
    <row r="6301" spans="1:2" x14ac:dyDescent="0.25">
      <c r="A6301" t="str">
        <f>IF(C6301&amp;G6301&amp;D6301&lt;&gt;'Funnel setup'!$K$3&amp;'Funnel setup'!$K$4&amp;'Funnel setup'!$K$6,".",IF(A6300=".",1,A6300+1))</f>
        <v>.</v>
      </c>
      <c r="B6301" s="244" t="str">
        <f t="shared" si="98"/>
        <v/>
      </c>
    </row>
    <row r="6302" spans="1:2" x14ac:dyDescent="0.25">
      <c r="A6302" t="str">
        <f>IF(C6302&amp;G6302&amp;D6302&lt;&gt;'Funnel setup'!$K$3&amp;'Funnel setup'!$K$4&amp;'Funnel setup'!$K$6,".",IF(A6301=".",1,A6301+1))</f>
        <v>.</v>
      </c>
      <c r="B6302" s="244" t="str">
        <f t="shared" si="98"/>
        <v/>
      </c>
    </row>
    <row r="6303" spans="1:2" x14ac:dyDescent="0.25">
      <c r="A6303" t="str">
        <f>IF(C6303&amp;G6303&amp;D6303&lt;&gt;'Funnel setup'!$K$3&amp;'Funnel setup'!$K$4&amp;'Funnel setup'!$K$6,".",IF(A6302=".",1,A6302+1))</f>
        <v>.</v>
      </c>
      <c r="B6303" s="244" t="str">
        <f t="shared" si="98"/>
        <v/>
      </c>
    </row>
    <row r="6304" spans="1:2" x14ac:dyDescent="0.25">
      <c r="A6304" t="str">
        <f>IF(C6304&amp;G6304&amp;D6304&lt;&gt;'Funnel setup'!$K$3&amp;'Funnel setup'!$K$4&amp;'Funnel setup'!$K$6,".",IF(A6303=".",1,A6303+1))</f>
        <v>.</v>
      </c>
      <c r="B6304" s="244" t="str">
        <f t="shared" si="98"/>
        <v/>
      </c>
    </row>
    <row r="6305" spans="1:2" x14ac:dyDescent="0.25">
      <c r="A6305" t="str">
        <f>IF(C6305&amp;G6305&amp;D6305&lt;&gt;'Funnel setup'!$K$3&amp;'Funnel setup'!$K$4&amp;'Funnel setup'!$K$6,".",IF(A6304=".",1,A6304+1))</f>
        <v>.</v>
      </c>
      <c r="B6305" s="244" t="str">
        <f t="shared" si="98"/>
        <v/>
      </c>
    </row>
    <row r="6306" spans="1:2" x14ac:dyDescent="0.25">
      <c r="A6306" t="str">
        <f>IF(C6306&amp;G6306&amp;D6306&lt;&gt;'Funnel setup'!$K$3&amp;'Funnel setup'!$K$4&amp;'Funnel setup'!$K$6,".",IF(A6305=".",1,A6305+1))</f>
        <v>.</v>
      </c>
      <c r="B6306" s="244" t="str">
        <f t="shared" si="98"/>
        <v/>
      </c>
    </row>
    <row r="6307" spans="1:2" x14ac:dyDescent="0.25">
      <c r="A6307" t="str">
        <f>IF(C6307&amp;G6307&amp;D6307&lt;&gt;'Funnel setup'!$K$3&amp;'Funnel setup'!$K$4&amp;'Funnel setup'!$K$6,".",IF(A6306=".",1,A6306+1))</f>
        <v>.</v>
      </c>
      <c r="B6307" s="244" t="str">
        <f t="shared" si="98"/>
        <v/>
      </c>
    </row>
    <row r="6308" spans="1:2" x14ac:dyDescent="0.25">
      <c r="A6308" t="str">
        <f>IF(C6308&amp;G6308&amp;D6308&lt;&gt;'Funnel setup'!$K$3&amp;'Funnel setup'!$K$4&amp;'Funnel setup'!$K$6,".",IF(A6307=".",1,A6307+1))</f>
        <v>.</v>
      </c>
      <c r="B6308" s="244" t="str">
        <f t="shared" si="98"/>
        <v/>
      </c>
    </row>
    <row r="6309" spans="1:2" x14ac:dyDescent="0.25">
      <c r="A6309" t="str">
        <f>IF(C6309&amp;G6309&amp;D6309&lt;&gt;'Funnel setup'!$K$3&amp;'Funnel setup'!$K$4&amp;'Funnel setup'!$K$6,".",IF(A6308=".",1,A6308+1))</f>
        <v>.</v>
      </c>
      <c r="B6309" s="244" t="str">
        <f t="shared" si="98"/>
        <v/>
      </c>
    </row>
    <row r="6310" spans="1:2" x14ac:dyDescent="0.25">
      <c r="A6310" t="str">
        <f>IF(C6310&amp;G6310&amp;D6310&lt;&gt;'Funnel setup'!$K$3&amp;'Funnel setup'!$K$4&amp;'Funnel setup'!$K$6,".",IF(A6309=".",1,A6309+1))</f>
        <v>.</v>
      </c>
      <c r="B6310" s="244" t="str">
        <f t="shared" si="98"/>
        <v/>
      </c>
    </row>
    <row r="6311" spans="1:2" x14ac:dyDescent="0.25">
      <c r="A6311" t="str">
        <f>IF(C6311&amp;G6311&amp;D6311&lt;&gt;'Funnel setup'!$K$3&amp;'Funnel setup'!$K$4&amp;'Funnel setup'!$K$6,".",IF(A6310=".",1,A6310+1))</f>
        <v>.</v>
      </c>
      <c r="B6311" s="244" t="str">
        <f t="shared" si="98"/>
        <v/>
      </c>
    </row>
    <row r="6312" spans="1:2" x14ac:dyDescent="0.25">
      <c r="A6312" t="str">
        <f>IF(C6312&amp;G6312&amp;D6312&lt;&gt;'Funnel setup'!$K$3&amp;'Funnel setup'!$K$4&amp;'Funnel setup'!$K$6,".",IF(A6311=".",1,A6311+1))</f>
        <v>.</v>
      </c>
      <c r="B6312" s="244" t="str">
        <f t="shared" si="98"/>
        <v/>
      </c>
    </row>
    <row r="6313" spans="1:2" x14ac:dyDescent="0.25">
      <c r="A6313" t="str">
        <f>IF(C6313&amp;G6313&amp;D6313&lt;&gt;'Funnel setup'!$K$3&amp;'Funnel setup'!$K$4&amp;'Funnel setup'!$K$6,".",IF(A6312=".",1,A6312+1))</f>
        <v>.</v>
      </c>
      <c r="B6313" s="244" t="str">
        <f t="shared" si="98"/>
        <v/>
      </c>
    </row>
    <row r="6314" spans="1:2" x14ac:dyDescent="0.25">
      <c r="A6314" t="str">
        <f>IF(C6314&amp;G6314&amp;D6314&lt;&gt;'Funnel setup'!$K$3&amp;'Funnel setup'!$K$4&amp;'Funnel setup'!$K$6,".",IF(A6313=".",1,A6313+1))</f>
        <v>.</v>
      </c>
      <c r="B6314" s="244" t="str">
        <f t="shared" si="98"/>
        <v/>
      </c>
    </row>
    <row r="6315" spans="1:2" x14ac:dyDescent="0.25">
      <c r="A6315" t="str">
        <f>IF(C6315&amp;G6315&amp;D6315&lt;&gt;'Funnel setup'!$K$3&amp;'Funnel setup'!$K$4&amp;'Funnel setup'!$K$6,".",IF(A6314=".",1,A6314+1))</f>
        <v>.</v>
      </c>
      <c r="B6315" s="244" t="str">
        <f t="shared" si="98"/>
        <v/>
      </c>
    </row>
    <row r="6316" spans="1:2" x14ac:dyDescent="0.25">
      <c r="A6316" t="str">
        <f>IF(C6316&amp;G6316&amp;D6316&lt;&gt;'Funnel setup'!$K$3&amp;'Funnel setup'!$K$4&amp;'Funnel setup'!$K$6,".",IF(A6315=".",1,A6315+1))</f>
        <v>.</v>
      </c>
      <c r="B6316" s="244" t="str">
        <f t="shared" si="98"/>
        <v/>
      </c>
    </row>
    <row r="6317" spans="1:2" x14ac:dyDescent="0.25">
      <c r="A6317" t="str">
        <f>IF(C6317&amp;G6317&amp;D6317&lt;&gt;'Funnel setup'!$K$3&amp;'Funnel setup'!$K$4&amp;'Funnel setup'!$K$6,".",IF(A6316=".",1,A6316+1))</f>
        <v>.</v>
      </c>
      <c r="B6317" s="244" t="str">
        <f t="shared" si="98"/>
        <v/>
      </c>
    </row>
    <row r="6318" spans="1:2" x14ac:dyDescent="0.25">
      <c r="A6318" t="str">
        <f>IF(C6318&amp;G6318&amp;D6318&lt;&gt;'Funnel setup'!$K$3&amp;'Funnel setup'!$K$4&amp;'Funnel setup'!$K$6,".",IF(A6317=".",1,A6317+1))</f>
        <v>.</v>
      </c>
      <c r="B6318" s="244" t="str">
        <f t="shared" si="98"/>
        <v/>
      </c>
    </row>
    <row r="6319" spans="1:2" x14ac:dyDescent="0.25">
      <c r="A6319" t="str">
        <f>IF(C6319&amp;G6319&amp;D6319&lt;&gt;'Funnel setup'!$K$3&amp;'Funnel setup'!$K$4&amp;'Funnel setup'!$K$6,".",IF(A6318=".",1,A6318+1))</f>
        <v>.</v>
      </c>
      <c r="B6319" s="244" t="str">
        <f t="shared" si="98"/>
        <v/>
      </c>
    </row>
    <row r="6320" spans="1:2" x14ac:dyDescent="0.25">
      <c r="A6320" t="str">
        <f>IF(C6320&amp;G6320&amp;D6320&lt;&gt;'Funnel setup'!$K$3&amp;'Funnel setup'!$K$4&amp;'Funnel setup'!$K$6,".",IF(A6319=".",1,A6319+1))</f>
        <v>.</v>
      </c>
      <c r="B6320" s="244" t="str">
        <f t="shared" si="98"/>
        <v/>
      </c>
    </row>
    <row r="6321" spans="1:2" x14ac:dyDescent="0.25">
      <c r="A6321" t="str">
        <f>IF(C6321&amp;G6321&amp;D6321&lt;&gt;'Funnel setup'!$K$3&amp;'Funnel setup'!$K$4&amp;'Funnel setup'!$K$6,".",IF(A6320=".",1,A6320+1))</f>
        <v>.</v>
      </c>
      <c r="B6321" s="244" t="str">
        <f t="shared" si="98"/>
        <v/>
      </c>
    </row>
    <row r="6322" spans="1:2" x14ac:dyDescent="0.25">
      <c r="A6322" t="str">
        <f>IF(C6322&amp;G6322&amp;D6322&lt;&gt;'Funnel setup'!$K$3&amp;'Funnel setup'!$K$4&amp;'Funnel setup'!$K$6,".",IF(A6321=".",1,A6321+1))</f>
        <v>.</v>
      </c>
      <c r="B6322" s="244" t="str">
        <f t="shared" si="98"/>
        <v/>
      </c>
    </row>
    <row r="6323" spans="1:2" x14ac:dyDescent="0.25">
      <c r="A6323" t="str">
        <f>IF(C6323&amp;G6323&amp;D6323&lt;&gt;'Funnel setup'!$K$3&amp;'Funnel setup'!$K$4&amp;'Funnel setup'!$K$6,".",IF(A6322=".",1,A6322+1))</f>
        <v>.</v>
      </c>
      <c r="B6323" s="244" t="str">
        <f t="shared" si="98"/>
        <v/>
      </c>
    </row>
    <row r="6324" spans="1:2" x14ac:dyDescent="0.25">
      <c r="A6324" t="str">
        <f>IF(C6324&amp;G6324&amp;D6324&lt;&gt;'Funnel setup'!$K$3&amp;'Funnel setup'!$K$4&amp;'Funnel setup'!$K$6,".",IF(A6323=".",1,A6323+1))</f>
        <v>.</v>
      </c>
      <c r="B6324" s="244" t="str">
        <f t="shared" si="98"/>
        <v/>
      </c>
    </row>
    <row r="6325" spans="1:2" x14ac:dyDescent="0.25">
      <c r="A6325" t="str">
        <f>IF(C6325&amp;G6325&amp;D6325&lt;&gt;'Funnel setup'!$K$3&amp;'Funnel setup'!$K$4&amp;'Funnel setup'!$K$6,".",IF(A6324=".",1,A6324+1))</f>
        <v>.</v>
      </c>
      <c r="B6325" s="244" t="str">
        <f t="shared" si="98"/>
        <v/>
      </c>
    </row>
    <row r="6326" spans="1:2" x14ac:dyDescent="0.25">
      <c r="A6326" t="str">
        <f>IF(C6326&amp;G6326&amp;D6326&lt;&gt;'Funnel setup'!$K$3&amp;'Funnel setup'!$K$4&amp;'Funnel setup'!$K$6,".",IF(A6325=".",1,A6325+1))</f>
        <v>.</v>
      </c>
      <c r="B6326" s="244" t="str">
        <f t="shared" si="98"/>
        <v/>
      </c>
    </row>
    <row r="6327" spans="1:2" x14ac:dyDescent="0.25">
      <c r="A6327" t="str">
        <f>IF(C6327&amp;G6327&amp;D6327&lt;&gt;'Funnel setup'!$K$3&amp;'Funnel setup'!$K$4&amp;'Funnel setup'!$K$6,".",IF(A6326=".",1,A6326+1))</f>
        <v>.</v>
      </c>
      <c r="B6327" s="244" t="str">
        <f t="shared" si="98"/>
        <v/>
      </c>
    </row>
    <row r="6328" spans="1:2" x14ac:dyDescent="0.25">
      <c r="A6328" t="str">
        <f>IF(C6328&amp;G6328&amp;D6328&lt;&gt;'Funnel setup'!$K$3&amp;'Funnel setup'!$K$4&amp;'Funnel setup'!$K$6,".",IF(A6327=".",1,A6327+1))</f>
        <v>.</v>
      </c>
      <c r="B6328" s="244" t="str">
        <f t="shared" si="98"/>
        <v/>
      </c>
    </row>
    <row r="6329" spans="1:2" x14ac:dyDescent="0.25">
      <c r="A6329" t="str">
        <f>IF(C6329&amp;G6329&amp;D6329&lt;&gt;'Funnel setup'!$K$3&amp;'Funnel setup'!$K$4&amp;'Funnel setup'!$K$6,".",IF(A6328=".",1,A6328+1))</f>
        <v>.</v>
      </c>
      <c r="B6329" s="244" t="str">
        <f t="shared" si="98"/>
        <v/>
      </c>
    </row>
    <row r="6330" spans="1:2" x14ac:dyDescent="0.25">
      <c r="A6330" t="str">
        <f>IF(C6330&amp;G6330&amp;D6330&lt;&gt;'Funnel setup'!$K$3&amp;'Funnel setup'!$K$4&amp;'Funnel setup'!$K$6,".",IF(A6329=".",1,A6329+1))</f>
        <v>.</v>
      </c>
      <c r="B6330" s="244" t="str">
        <f t="shared" si="98"/>
        <v/>
      </c>
    </row>
    <row r="6331" spans="1:2" x14ac:dyDescent="0.25">
      <c r="A6331" t="str">
        <f>IF(C6331&amp;G6331&amp;D6331&lt;&gt;'Funnel setup'!$K$3&amp;'Funnel setup'!$K$4&amp;'Funnel setup'!$K$6,".",IF(A6330=".",1,A6330+1))</f>
        <v>.</v>
      </c>
      <c r="B6331" s="244" t="str">
        <f t="shared" si="98"/>
        <v/>
      </c>
    </row>
    <row r="6332" spans="1:2" x14ac:dyDescent="0.25">
      <c r="A6332" t="str">
        <f>IF(C6332&amp;G6332&amp;D6332&lt;&gt;'Funnel setup'!$K$3&amp;'Funnel setup'!$K$4&amp;'Funnel setup'!$K$6,".",IF(A6331=".",1,A6331+1))</f>
        <v>.</v>
      </c>
      <c r="B6332" s="244" t="str">
        <f t="shared" si="98"/>
        <v/>
      </c>
    </row>
    <row r="6333" spans="1:2" x14ac:dyDescent="0.25">
      <c r="A6333" t="str">
        <f>IF(C6333&amp;G6333&amp;D6333&lt;&gt;'Funnel setup'!$K$3&amp;'Funnel setup'!$K$4&amp;'Funnel setup'!$K$6,".",IF(A6332=".",1,A6332+1))</f>
        <v>.</v>
      </c>
      <c r="B6333" s="244" t="str">
        <f t="shared" si="98"/>
        <v/>
      </c>
    </row>
    <row r="6334" spans="1:2" x14ac:dyDescent="0.25">
      <c r="A6334" t="str">
        <f>IF(C6334&amp;G6334&amp;D6334&lt;&gt;'Funnel setup'!$K$3&amp;'Funnel setup'!$K$4&amp;'Funnel setup'!$K$6,".",IF(A6333=".",1,A6333+1))</f>
        <v>.</v>
      </c>
      <c r="B6334" s="244" t="str">
        <f t="shared" si="98"/>
        <v/>
      </c>
    </row>
    <row r="6335" spans="1:2" x14ac:dyDescent="0.25">
      <c r="A6335" t="str">
        <f>IF(C6335&amp;G6335&amp;D6335&lt;&gt;'Funnel setup'!$K$3&amp;'Funnel setup'!$K$4&amp;'Funnel setup'!$K$6,".",IF(A6334=".",1,A6334+1))</f>
        <v>.</v>
      </c>
      <c r="B6335" s="244" t="str">
        <f t="shared" si="98"/>
        <v/>
      </c>
    </row>
    <row r="6336" spans="1:2" x14ac:dyDescent="0.25">
      <c r="A6336" t="str">
        <f>IF(C6336&amp;G6336&amp;D6336&lt;&gt;'Funnel setup'!$K$3&amp;'Funnel setup'!$K$4&amp;'Funnel setup'!$K$6,".",IF(A6335=".",1,A6335+1))</f>
        <v>.</v>
      </c>
      <c r="B6336" s="244" t="str">
        <f t="shared" si="98"/>
        <v/>
      </c>
    </row>
    <row r="6337" spans="1:2" x14ac:dyDescent="0.25">
      <c r="A6337" t="str">
        <f>IF(C6337&amp;G6337&amp;D6337&lt;&gt;'Funnel setup'!$K$3&amp;'Funnel setup'!$K$4&amp;'Funnel setup'!$K$6,".",IF(A6336=".",1,A6336+1))</f>
        <v>.</v>
      </c>
      <c r="B6337" s="244" t="str">
        <f t="shared" si="98"/>
        <v/>
      </c>
    </row>
    <row r="6338" spans="1:2" x14ac:dyDescent="0.25">
      <c r="A6338" t="str">
        <f>IF(C6338&amp;G6338&amp;D6338&lt;&gt;'Funnel setup'!$K$3&amp;'Funnel setup'!$K$4&amp;'Funnel setup'!$K$6,".",IF(A6337=".",1,A6337+1))</f>
        <v>.</v>
      </c>
      <c r="B6338" s="244" t="str">
        <f t="shared" ref="B6338:B6401" si="99">C6338&amp;D6338&amp;F6338&amp;G6338</f>
        <v/>
      </c>
    </row>
    <row r="6339" spans="1:2" x14ac:dyDescent="0.25">
      <c r="A6339" t="str">
        <f>IF(C6339&amp;G6339&amp;D6339&lt;&gt;'Funnel setup'!$K$3&amp;'Funnel setup'!$K$4&amp;'Funnel setup'!$K$6,".",IF(A6338=".",1,A6338+1))</f>
        <v>.</v>
      </c>
      <c r="B6339" s="244" t="str">
        <f t="shared" si="99"/>
        <v/>
      </c>
    </row>
    <row r="6340" spans="1:2" x14ac:dyDescent="0.25">
      <c r="A6340" t="str">
        <f>IF(C6340&amp;G6340&amp;D6340&lt;&gt;'Funnel setup'!$K$3&amp;'Funnel setup'!$K$4&amp;'Funnel setup'!$K$6,".",IF(A6339=".",1,A6339+1))</f>
        <v>.</v>
      </c>
      <c r="B6340" s="244" t="str">
        <f t="shared" si="99"/>
        <v/>
      </c>
    </row>
    <row r="6341" spans="1:2" x14ac:dyDescent="0.25">
      <c r="A6341" t="str">
        <f>IF(C6341&amp;G6341&amp;D6341&lt;&gt;'Funnel setup'!$K$3&amp;'Funnel setup'!$K$4&amp;'Funnel setup'!$K$6,".",IF(A6340=".",1,A6340+1))</f>
        <v>.</v>
      </c>
      <c r="B6341" s="244" t="str">
        <f t="shared" si="99"/>
        <v/>
      </c>
    </row>
    <row r="6342" spans="1:2" x14ac:dyDescent="0.25">
      <c r="A6342" t="str">
        <f>IF(C6342&amp;G6342&amp;D6342&lt;&gt;'Funnel setup'!$K$3&amp;'Funnel setup'!$K$4&amp;'Funnel setup'!$K$6,".",IF(A6341=".",1,A6341+1))</f>
        <v>.</v>
      </c>
      <c r="B6342" s="244" t="str">
        <f t="shared" si="99"/>
        <v/>
      </c>
    </row>
    <row r="6343" spans="1:2" x14ac:dyDescent="0.25">
      <c r="A6343" t="str">
        <f>IF(C6343&amp;G6343&amp;D6343&lt;&gt;'Funnel setup'!$K$3&amp;'Funnel setup'!$K$4&amp;'Funnel setup'!$K$6,".",IF(A6342=".",1,A6342+1))</f>
        <v>.</v>
      </c>
      <c r="B6343" s="244" t="str">
        <f t="shared" si="99"/>
        <v/>
      </c>
    </row>
    <row r="6344" spans="1:2" x14ac:dyDescent="0.25">
      <c r="A6344" t="str">
        <f>IF(C6344&amp;G6344&amp;D6344&lt;&gt;'Funnel setup'!$K$3&amp;'Funnel setup'!$K$4&amp;'Funnel setup'!$K$6,".",IF(A6343=".",1,A6343+1))</f>
        <v>.</v>
      </c>
      <c r="B6344" s="244" t="str">
        <f t="shared" si="99"/>
        <v/>
      </c>
    </row>
    <row r="6345" spans="1:2" x14ac:dyDescent="0.25">
      <c r="A6345" t="str">
        <f>IF(C6345&amp;G6345&amp;D6345&lt;&gt;'Funnel setup'!$K$3&amp;'Funnel setup'!$K$4&amp;'Funnel setup'!$K$6,".",IF(A6344=".",1,A6344+1))</f>
        <v>.</v>
      </c>
      <c r="B6345" s="244" t="str">
        <f t="shared" si="99"/>
        <v/>
      </c>
    </row>
    <row r="6346" spans="1:2" x14ac:dyDescent="0.25">
      <c r="A6346" t="str">
        <f>IF(C6346&amp;G6346&amp;D6346&lt;&gt;'Funnel setup'!$K$3&amp;'Funnel setup'!$K$4&amp;'Funnel setup'!$K$6,".",IF(A6345=".",1,A6345+1))</f>
        <v>.</v>
      </c>
      <c r="B6346" s="244" t="str">
        <f t="shared" si="99"/>
        <v/>
      </c>
    </row>
    <row r="6347" spans="1:2" x14ac:dyDescent="0.25">
      <c r="A6347" t="str">
        <f>IF(C6347&amp;G6347&amp;D6347&lt;&gt;'Funnel setup'!$K$3&amp;'Funnel setup'!$K$4&amp;'Funnel setup'!$K$6,".",IF(A6346=".",1,A6346+1))</f>
        <v>.</v>
      </c>
      <c r="B6347" s="244" t="str">
        <f t="shared" si="99"/>
        <v/>
      </c>
    </row>
    <row r="6348" spans="1:2" x14ac:dyDescent="0.25">
      <c r="A6348" t="str">
        <f>IF(C6348&amp;G6348&amp;D6348&lt;&gt;'Funnel setup'!$K$3&amp;'Funnel setup'!$K$4&amp;'Funnel setup'!$K$6,".",IF(A6347=".",1,A6347+1))</f>
        <v>.</v>
      </c>
      <c r="B6348" s="244" t="str">
        <f t="shared" si="99"/>
        <v/>
      </c>
    </row>
    <row r="6349" spans="1:2" x14ac:dyDescent="0.25">
      <c r="A6349" t="str">
        <f>IF(C6349&amp;G6349&amp;D6349&lt;&gt;'Funnel setup'!$K$3&amp;'Funnel setup'!$K$4&amp;'Funnel setup'!$K$6,".",IF(A6348=".",1,A6348+1))</f>
        <v>.</v>
      </c>
      <c r="B6349" s="244" t="str">
        <f t="shared" si="99"/>
        <v/>
      </c>
    </row>
    <row r="6350" spans="1:2" x14ac:dyDescent="0.25">
      <c r="A6350" t="str">
        <f>IF(C6350&amp;G6350&amp;D6350&lt;&gt;'Funnel setup'!$K$3&amp;'Funnel setup'!$K$4&amp;'Funnel setup'!$K$6,".",IF(A6349=".",1,A6349+1))</f>
        <v>.</v>
      </c>
      <c r="B6350" s="244" t="str">
        <f t="shared" si="99"/>
        <v/>
      </c>
    </row>
    <row r="6351" spans="1:2" x14ac:dyDescent="0.25">
      <c r="A6351" t="str">
        <f>IF(C6351&amp;G6351&amp;D6351&lt;&gt;'Funnel setup'!$K$3&amp;'Funnel setup'!$K$4&amp;'Funnel setup'!$K$6,".",IF(A6350=".",1,A6350+1))</f>
        <v>.</v>
      </c>
      <c r="B6351" s="244" t="str">
        <f t="shared" si="99"/>
        <v/>
      </c>
    </row>
    <row r="6352" spans="1:2" x14ac:dyDescent="0.25">
      <c r="A6352" t="str">
        <f>IF(C6352&amp;G6352&amp;D6352&lt;&gt;'Funnel setup'!$K$3&amp;'Funnel setup'!$K$4&amp;'Funnel setup'!$K$6,".",IF(A6351=".",1,A6351+1))</f>
        <v>.</v>
      </c>
      <c r="B6352" s="244" t="str">
        <f t="shared" si="99"/>
        <v/>
      </c>
    </row>
    <row r="6353" spans="1:2" x14ac:dyDescent="0.25">
      <c r="A6353" t="str">
        <f>IF(C6353&amp;G6353&amp;D6353&lt;&gt;'Funnel setup'!$K$3&amp;'Funnel setup'!$K$4&amp;'Funnel setup'!$K$6,".",IF(A6352=".",1,A6352+1))</f>
        <v>.</v>
      </c>
      <c r="B6353" s="244" t="str">
        <f t="shared" si="99"/>
        <v/>
      </c>
    </row>
    <row r="6354" spans="1:2" x14ac:dyDescent="0.25">
      <c r="A6354" t="str">
        <f>IF(C6354&amp;G6354&amp;D6354&lt;&gt;'Funnel setup'!$K$3&amp;'Funnel setup'!$K$4&amp;'Funnel setup'!$K$6,".",IF(A6353=".",1,A6353+1))</f>
        <v>.</v>
      </c>
      <c r="B6354" s="244" t="str">
        <f t="shared" si="99"/>
        <v/>
      </c>
    </row>
    <row r="6355" spans="1:2" x14ac:dyDescent="0.25">
      <c r="A6355" t="str">
        <f>IF(C6355&amp;G6355&amp;D6355&lt;&gt;'Funnel setup'!$K$3&amp;'Funnel setup'!$K$4&amp;'Funnel setup'!$K$6,".",IF(A6354=".",1,A6354+1))</f>
        <v>.</v>
      </c>
      <c r="B6355" s="244" t="str">
        <f t="shared" si="99"/>
        <v/>
      </c>
    </row>
    <row r="6356" spans="1:2" x14ac:dyDescent="0.25">
      <c r="A6356" t="str">
        <f>IF(C6356&amp;G6356&amp;D6356&lt;&gt;'Funnel setup'!$K$3&amp;'Funnel setup'!$K$4&amp;'Funnel setup'!$K$6,".",IF(A6355=".",1,A6355+1))</f>
        <v>.</v>
      </c>
      <c r="B6356" s="244" t="str">
        <f t="shared" si="99"/>
        <v/>
      </c>
    </row>
    <row r="6357" spans="1:2" x14ac:dyDescent="0.25">
      <c r="A6357" t="str">
        <f>IF(C6357&amp;G6357&amp;D6357&lt;&gt;'Funnel setup'!$K$3&amp;'Funnel setup'!$K$4&amp;'Funnel setup'!$K$6,".",IF(A6356=".",1,A6356+1))</f>
        <v>.</v>
      </c>
      <c r="B6357" s="244" t="str">
        <f t="shared" si="99"/>
        <v/>
      </c>
    </row>
    <row r="6358" spans="1:2" x14ac:dyDescent="0.25">
      <c r="A6358" t="str">
        <f>IF(C6358&amp;G6358&amp;D6358&lt;&gt;'Funnel setup'!$K$3&amp;'Funnel setup'!$K$4&amp;'Funnel setup'!$K$6,".",IF(A6357=".",1,A6357+1))</f>
        <v>.</v>
      </c>
      <c r="B6358" s="244" t="str">
        <f t="shared" si="99"/>
        <v/>
      </c>
    </row>
    <row r="6359" spans="1:2" x14ac:dyDescent="0.25">
      <c r="A6359" t="str">
        <f>IF(C6359&amp;G6359&amp;D6359&lt;&gt;'Funnel setup'!$K$3&amp;'Funnel setup'!$K$4&amp;'Funnel setup'!$K$6,".",IF(A6358=".",1,A6358+1))</f>
        <v>.</v>
      </c>
      <c r="B6359" s="244" t="str">
        <f t="shared" si="99"/>
        <v/>
      </c>
    </row>
    <row r="6360" spans="1:2" x14ac:dyDescent="0.25">
      <c r="A6360" t="str">
        <f>IF(C6360&amp;G6360&amp;D6360&lt;&gt;'Funnel setup'!$K$3&amp;'Funnel setup'!$K$4&amp;'Funnel setup'!$K$6,".",IF(A6359=".",1,A6359+1))</f>
        <v>.</v>
      </c>
      <c r="B6360" s="244" t="str">
        <f t="shared" si="99"/>
        <v/>
      </c>
    </row>
    <row r="6361" spans="1:2" x14ac:dyDescent="0.25">
      <c r="A6361" t="str">
        <f>IF(C6361&amp;G6361&amp;D6361&lt;&gt;'Funnel setup'!$K$3&amp;'Funnel setup'!$K$4&amp;'Funnel setup'!$K$6,".",IF(A6360=".",1,A6360+1))</f>
        <v>.</v>
      </c>
      <c r="B6361" s="244" t="str">
        <f t="shared" si="99"/>
        <v/>
      </c>
    </row>
    <row r="6362" spans="1:2" x14ac:dyDescent="0.25">
      <c r="A6362" t="str">
        <f>IF(C6362&amp;G6362&amp;D6362&lt;&gt;'Funnel setup'!$K$3&amp;'Funnel setup'!$K$4&amp;'Funnel setup'!$K$6,".",IF(A6361=".",1,A6361+1))</f>
        <v>.</v>
      </c>
      <c r="B6362" s="244" t="str">
        <f t="shared" si="99"/>
        <v/>
      </c>
    </row>
    <row r="6363" spans="1:2" x14ac:dyDescent="0.25">
      <c r="A6363" t="str">
        <f>IF(C6363&amp;G6363&amp;D6363&lt;&gt;'Funnel setup'!$K$3&amp;'Funnel setup'!$K$4&amp;'Funnel setup'!$K$6,".",IF(A6362=".",1,A6362+1))</f>
        <v>.</v>
      </c>
      <c r="B6363" s="244" t="str">
        <f t="shared" si="99"/>
        <v/>
      </c>
    </row>
    <row r="6364" spans="1:2" x14ac:dyDescent="0.25">
      <c r="A6364" t="str">
        <f>IF(C6364&amp;G6364&amp;D6364&lt;&gt;'Funnel setup'!$K$3&amp;'Funnel setup'!$K$4&amp;'Funnel setup'!$K$6,".",IF(A6363=".",1,A6363+1))</f>
        <v>.</v>
      </c>
      <c r="B6364" s="244" t="str">
        <f t="shared" si="99"/>
        <v/>
      </c>
    </row>
    <row r="6365" spans="1:2" x14ac:dyDescent="0.25">
      <c r="A6365" t="str">
        <f>IF(C6365&amp;G6365&amp;D6365&lt;&gt;'Funnel setup'!$K$3&amp;'Funnel setup'!$K$4&amp;'Funnel setup'!$K$6,".",IF(A6364=".",1,A6364+1))</f>
        <v>.</v>
      </c>
      <c r="B6365" s="244" t="str">
        <f t="shared" si="99"/>
        <v/>
      </c>
    </row>
    <row r="6366" spans="1:2" x14ac:dyDescent="0.25">
      <c r="A6366" t="str">
        <f>IF(C6366&amp;G6366&amp;D6366&lt;&gt;'Funnel setup'!$K$3&amp;'Funnel setup'!$K$4&amp;'Funnel setup'!$K$6,".",IF(A6365=".",1,A6365+1))</f>
        <v>.</v>
      </c>
      <c r="B6366" s="244" t="str">
        <f t="shared" si="99"/>
        <v/>
      </c>
    </row>
    <row r="6367" spans="1:2" x14ac:dyDescent="0.25">
      <c r="A6367" t="str">
        <f>IF(C6367&amp;G6367&amp;D6367&lt;&gt;'Funnel setup'!$K$3&amp;'Funnel setup'!$K$4&amp;'Funnel setup'!$K$6,".",IF(A6366=".",1,A6366+1))</f>
        <v>.</v>
      </c>
      <c r="B6367" s="244" t="str">
        <f t="shared" si="99"/>
        <v/>
      </c>
    </row>
    <row r="6368" spans="1:2" x14ac:dyDescent="0.25">
      <c r="A6368" t="str">
        <f>IF(C6368&amp;G6368&amp;D6368&lt;&gt;'Funnel setup'!$K$3&amp;'Funnel setup'!$K$4&amp;'Funnel setup'!$K$6,".",IF(A6367=".",1,A6367+1))</f>
        <v>.</v>
      </c>
      <c r="B6368" s="244" t="str">
        <f t="shared" si="99"/>
        <v/>
      </c>
    </row>
    <row r="6369" spans="1:2" x14ac:dyDescent="0.25">
      <c r="A6369" t="str">
        <f>IF(C6369&amp;G6369&amp;D6369&lt;&gt;'Funnel setup'!$K$3&amp;'Funnel setup'!$K$4&amp;'Funnel setup'!$K$6,".",IF(A6368=".",1,A6368+1))</f>
        <v>.</v>
      </c>
      <c r="B6369" s="244" t="str">
        <f t="shared" si="99"/>
        <v/>
      </c>
    </row>
    <row r="6370" spans="1:2" x14ac:dyDescent="0.25">
      <c r="A6370" t="str">
        <f>IF(C6370&amp;G6370&amp;D6370&lt;&gt;'Funnel setup'!$K$3&amp;'Funnel setup'!$K$4&amp;'Funnel setup'!$K$6,".",IF(A6369=".",1,A6369+1))</f>
        <v>.</v>
      </c>
      <c r="B6370" s="244" t="str">
        <f t="shared" si="99"/>
        <v/>
      </c>
    </row>
    <row r="6371" spans="1:2" x14ac:dyDescent="0.25">
      <c r="A6371" t="str">
        <f>IF(C6371&amp;G6371&amp;D6371&lt;&gt;'Funnel setup'!$K$3&amp;'Funnel setup'!$K$4&amp;'Funnel setup'!$K$6,".",IF(A6370=".",1,A6370+1))</f>
        <v>.</v>
      </c>
      <c r="B6371" s="244" t="str">
        <f t="shared" si="99"/>
        <v/>
      </c>
    </row>
    <row r="6372" spans="1:2" x14ac:dyDescent="0.25">
      <c r="A6372" t="str">
        <f>IF(C6372&amp;G6372&amp;D6372&lt;&gt;'Funnel setup'!$K$3&amp;'Funnel setup'!$K$4&amp;'Funnel setup'!$K$6,".",IF(A6371=".",1,A6371+1))</f>
        <v>.</v>
      </c>
      <c r="B6372" s="244" t="str">
        <f t="shared" si="99"/>
        <v/>
      </c>
    </row>
    <row r="6373" spans="1:2" x14ac:dyDescent="0.25">
      <c r="A6373" t="str">
        <f>IF(C6373&amp;G6373&amp;D6373&lt;&gt;'Funnel setup'!$K$3&amp;'Funnel setup'!$K$4&amp;'Funnel setup'!$K$6,".",IF(A6372=".",1,A6372+1))</f>
        <v>.</v>
      </c>
      <c r="B6373" s="244" t="str">
        <f t="shared" si="99"/>
        <v/>
      </c>
    </row>
    <row r="6374" spans="1:2" x14ac:dyDescent="0.25">
      <c r="A6374" t="str">
        <f>IF(C6374&amp;G6374&amp;D6374&lt;&gt;'Funnel setup'!$K$3&amp;'Funnel setup'!$K$4&amp;'Funnel setup'!$K$6,".",IF(A6373=".",1,A6373+1))</f>
        <v>.</v>
      </c>
      <c r="B6374" s="244" t="str">
        <f t="shared" si="99"/>
        <v/>
      </c>
    </row>
    <row r="6375" spans="1:2" x14ac:dyDescent="0.25">
      <c r="A6375" t="str">
        <f>IF(C6375&amp;G6375&amp;D6375&lt;&gt;'Funnel setup'!$K$3&amp;'Funnel setup'!$K$4&amp;'Funnel setup'!$K$6,".",IF(A6374=".",1,A6374+1))</f>
        <v>.</v>
      </c>
      <c r="B6375" s="244" t="str">
        <f t="shared" si="99"/>
        <v/>
      </c>
    </row>
    <row r="6376" spans="1:2" x14ac:dyDescent="0.25">
      <c r="A6376" t="str">
        <f>IF(C6376&amp;G6376&amp;D6376&lt;&gt;'Funnel setup'!$K$3&amp;'Funnel setup'!$K$4&amp;'Funnel setup'!$K$6,".",IF(A6375=".",1,A6375+1))</f>
        <v>.</v>
      </c>
      <c r="B6376" s="244" t="str">
        <f t="shared" si="99"/>
        <v/>
      </c>
    </row>
    <row r="6377" spans="1:2" x14ac:dyDescent="0.25">
      <c r="A6377" t="str">
        <f>IF(C6377&amp;G6377&amp;D6377&lt;&gt;'Funnel setup'!$K$3&amp;'Funnel setup'!$K$4&amp;'Funnel setup'!$K$6,".",IF(A6376=".",1,A6376+1))</f>
        <v>.</v>
      </c>
      <c r="B6377" s="244" t="str">
        <f t="shared" si="99"/>
        <v/>
      </c>
    </row>
    <row r="6378" spans="1:2" x14ac:dyDescent="0.25">
      <c r="A6378" t="str">
        <f>IF(C6378&amp;G6378&amp;D6378&lt;&gt;'Funnel setup'!$K$3&amp;'Funnel setup'!$K$4&amp;'Funnel setup'!$K$6,".",IF(A6377=".",1,A6377+1))</f>
        <v>.</v>
      </c>
      <c r="B6378" s="244" t="str">
        <f t="shared" si="99"/>
        <v/>
      </c>
    </row>
    <row r="6379" spans="1:2" x14ac:dyDescent="0.25">
      <c r="A6379" t="str">
        <f>IF(C6379&amp;G6379&amp;D6379&lt;&gt;'Funnel setup'!$K$3&amp;'Funnel setup'!$K$4&amp;'Funnel setup'!$K$6,".",IF(A6378=".",1,A6378+1))</f>
        <v>.</v>
      </c>
      <c r="B6379" s="244" t="str">
        <f t="shared" si="99"/>
        <v/>
      </c>
    </row>
    <row r="6380" spans="1:2" x14ac:dyDescent="0.25">
      <c r="A6380" t="str">
        <f>IF(C6380&amp;G6380&amp;D6380&lt;&gt;'Funnel setup'!$K$3&amp;'Funnel setup'!$K$4&amp;'Funnel setup'!$K$6,".",IF(A6379=".",1,A6379+1))</f>
        <v>.</v>
      </c>
      <c r="B6380" s="244" t="str">
        <f t="shared" si="99"/>
        <v/>
      </c>
    </row>
    <row r="6381" spans="1:2" x14ac:dyDescent="0.25">
      <c r="A6381" t="str">
        <f>IF(C6381&amp;G6381&amp;D6381&lt;&gt;'Funnel setup'!$K$3&amp;'Funnel setup'!$K$4&amp;'Funnel setup'!$K$6,".",IF(A6380=".",1,A6380+1))</f>
        <v>.</v>
      </c>
      <c r="B6381" s="244" t="str">
        <f t="shared" si="99"/>
        <v/>
      </c>
    </row>
    <row r="6382" spans="1:2" x14ac:dyDescent="0.25">
      <c r="A6382" t="str">
        <f>IF(C6382&amp;G6382&amp;D6382&lt;&gt;'Funnel setup'!$K$3&amp;'Funnel setup'!$K$4&amp;'Funnel setup'!$K$6,".",IF(A6381=".",1,A6381+1))</f>
        <v>.</v>
      </c>
      <c r="B6382" s="244" t="str">
        <f t="shared" si="99"/>
        <v/>
      </c>
    </row>
    <row r="6383" spans="1:2" x14ac:dyDescent="0.25">
      <c r="A6383" t="str">
        <f>IF(C6383&amp;G6383&amp;D6383&lt;&gt;'Funnel setup'!$K$3&amp;'Funnel setup'!$K$4&amp;'Funnel setup'!$K$6,".",IF(A6382=".",1,A6382+1))</f>
        <v>.</v>
      </c>
      <c r="B6383" s="244" t="str">
        <f t="shared" si="99"/>
        <v/>
      </c>
    </row>
    <row r="6384" spans="1:2" x14ac:dyDescent="0.25">
      <c r="A6384" t="str">
        <f>IF(C6384&amp;G6384&amp;D6384&lt;&gt;'Funnel setup'!$K$3&amp;'Funnel setup'!$K$4&amp;'Funnel setup'!$K$6,".",IF(A6383=".",1,A6383+1))</f>
        <v>.</v>
      </c>
      <c r="B6384" s="244" t="str">
        <f t="shared" si="99"/>
        <v/>
      </c>
    </row>
    <row r="6385" spans="1:2" x14ac:dyDescent="0.25">
      <c r="A6385" t="str">
        <f>IF(C6385&amp;G6385&amp;D6385&lt;&gt;'Funnel setup'!$K$3&amp;'Funnel setup'!$K$4&amp;'Funnel setup'!$K$6,".",IF(A6384=".",1,A6384+1))</f>
        <v>.</v>
      </c>
      <c r="B6385" s="244" t="str">
        <f t="shared" si="99"/>
        <v/>
      </c>
    </row>
    <row r="6386" spans="1:2" x14ac:dyDescent="0.25">
      <c r="A6386" t="str">
        <f>IF(C6386&amp;G6386&amp;D6386&lt;&gt;'Funnel setup'!$K$3&amp;'Funnel setup'!$K$4&amp;'Funnel setup'!$K$6,".",IF(A6385=".",1,A6385+1))</f>
        <v>.</v>
      </c>
      <c r="B6386" s="244" t="str">
        <f t="shared" si="99"/>
        <v/>
      </c>
    </row>
    <row r="6387" spans="1:2" x14ac:dyDescent="0.25">
      <c r="A6387" t="str">
        <f>IF(C6387&amp;G6387&amp;D6387&lt;&gt;'Funnel setup'!$K$3&amp;'Funnel setup'!$K$4&amp;'Funnel setup'!$K$6,".",IF(A6386=".",1,A6386+1))</f>
        <v>.</v>
      </c>
      <c r="B6387" s="244" t="str">
        <f t="shared" si="99"/>
        <v/>
      </c>
    </row>
    <row r="6388" spans="1:2" x14ac:dyDescent="0.25">
      <c r="A6388" t="str">
        <f>IF(C6388&amp;G6388&amp;D6388&lt;&gt;'Funnel setup'!$K$3&amp;'Funnel setup'!$K$4&amp;'Funnel setup'!$K$6,".",IF(A6387=".",1,A6387+1))</f>
        <v>.</v>
      </c>
      <c r="B6388" s="244" t="str">
        <f t="shared" si="99"/>
        <v/>
      </c>
    </row>
    <row r="6389" spans="1:2" x14ac:dyDescent="0.25">
      <c r="A6389" t="str">
        <f>IF(C6389&amp;G6389&amp;D6389&lt;&gt;'Funnel setup'!$K$3&amp;'Funnel setup'!$K$4&amp;'Funnel setup'!$K$6,".",IF(A6388=".",1,A6388+1))</f>
        <v>.</v>
      </c>
      <c r="B6389" s="244" t="str">
        <f t="shared" si="99"/>
        <v/>
      </c>
    </row>
    <row r="6390" spans="1:2" x14ac:dyDescent="0.25">
      <c r="A6390" t="str">
        <f>IF(C6390&amp;G6390&amp;D6390&lt;&gt;'Funnel setup'!$K$3&amp;'Funnel setup'!$K$4&amp;'Funnel setup'!$K$6,".",IF(A6389=".",1,A6389+1))</f>
        <v>.</v>
      </c>
      <c r="B6390" s="244" t="str">
        <f t="shared" si="99"/>
        <v/>
      </c>
    </row>
    <row r="6391" spans="1:2" x14ac:dyDescent="0.25">
      <c r="A6391" t="str">
        <f>IF(C6391&amp;G6391&amp;D6391&lt;&gt;'Funnel setup'!$K$3&amp;'Funnel setup'!$K$4&amp;'Funnel setup'!$K$6,".",IF(A6390=".",1,A6390+1))</f>
        <v>.</v>
      </c>
      <c r="B6391" s="244" t="str">
        <f t="shared" si="99"/>
        <v/>
      </c>
    </row>
    <row r="6392" spans="1:2" x14ac:dyDescent="0.25">
      <c r="A6392" t="str">
        <f>IF(C6392&amp;G6392&amp;D6392&lt;&gt;'Funnel setup'!$K$3&amp;'Funnel setup'!$K$4&amp;'Funnel setup'!$K$6,".",IF(A6391=".",1,A6391+1))</f>
        <v>.</v>
      </c>
      <c r="B6392" s="244" t="str">
        <f t="shared" si="99"/>
        <v/>
      </c>
    </row>
    <row r="6393" spans="1:2" x14ac:dyDescent="0.25">
      <c r="A6393" t="str">
        <f>IF(C6393&amp;G6393&amp;D6393&lt;&gt;'Funnel setup'!$K$3&amp;'Funnel setup'!$K$4&amp;'Funnel setup'!$K$6,".",IF(A6392=".",1,A6392+1))</f>
        <v>.</v>
      </c>
      <c r="B6393" s="244" t="str">
        <f t="shared" si="99"/>
        <v/>
      </c>
    </row>
    <row r="6394" spans="1:2" x14ac:dyDescent="0.25">
      <c r="A6394" t="str">
        <f>IF(C6394&amp;G6394&amp;D6394&lt;&gt;'Funnel setup'!$K$3&amp;'Funnel setup'!$K$4&amp;'Funnel setup'!$K$6,".",IF(A6393=".",1,A6393+1))</f>
        <v>.</v>
      </c>
      <c r="B6394" s="244" t="str">
        <f t="shared" si="99"/>
        <v/>
      </c>
    </row>
    <row r="6395" spans="1:2" x14ac:dyDescent="0.25">
      <c r="A6395" t="str">
        <f>IF(C6395&amp;G6395&amp;D6395&lt;&gt;'Funnel setup'!$K$3&amp;'Funnel setup'!$K$4&amp;'Funnel setup'!$K$6,".",IF(A6394=".",1,A6394+1))</f>
        <v>.</v>
      </c>
      <c r="B6395" s="244" t="str">
        <f t="shared" si="99"/>
        <v/>
      </c>
    </row>
    <row r="6396" spans="1:2" x14ac:dyDescent="0.25">
      <c r="A6396" t="str">
        <f>IF(C6396&amp;G6396&amp;D6396&lt;&gt;'Funnel setup'!$K$3&amp;'Funnel setup'!$K$4&amp;'Funnel setup'!$K$6,".",IF(A6395=".",1,A6395+1))</f>
        <v>.</v>
      </c>
      <c r="B6396" s="244" t="str">
        <f t="shared" si="99"/>
        <v/>
      </c>
    </row>
    <row r="6397" spans="1:2" x14ac:dyDescent="0.25">
      <c r="A6397" t="str">
        <f>IF(C6397&amp;G6397&amp;D6397&lt;&gt;'Funnel setup'!$K$3&amp;'Funnel setup'!$K$4&amp;'Funnel setup'!$K$6,".",IF(A6396=".",1,A6396+1))</f>
        <v>.</v>
      </c>
      <c r="B6397" s="244" t="str">
        <f t="shared" si="99"/>
        <v/>
      </c>
    </row>
    <row r="6398" spans="1:2" x14ac:dyDescent="0.25">
      <c r="A6398" t="str">
        <f>IF(C6398&amp;G6398&amp;D6398&lt;&gt;'Funnel setup'!$K$3&amp;'Funnel setup'!$K$4&amp;'Funnel setup'!$K$6,".",IF(A6397=".",1,A6397+1))</f>
        <v>.</v>
      </c>
      <c r="B6398" s="244" t="str">
        <f t="shared" si="99"/>
        <v/>
      </c>
    </row>
    <row r="6399" spans="1:2" x14ac:dyDescent="0.25">
      <c r="A6399" t="str">
        <f>IF(C6399&amp;G6399&amp;D6399&lt;&gt;'Funnel setup'!$K$3&amp;'Funnel setup'!$K$4&amp;'Funnel setup'!$K$6,".",IF(A6398=".",1,A6398+1))</f>
        <v>.</v>
      </c>
      <c r="B6399" s="244" t="str">
        <f t="shared" si="99"/>
        <v/>
      </c>
    </row>
    <row r="6400" spans="1:2" x14ac:dyDescent="0.25">
      <c r="A6400" t="str">
        <f>IF(C6400&amp;G6400&amp;D6400&lt;&gt;'Funnel setup'!$K$3&amp;'Funnel setup'!$K$4&amp;'Funnel setup'!$K$6,".",IF(A6399=".",1,A6399+1))</f>
        <v>.</v>
      </c>
      <c r="B6400" s="244" t="str">
        <f t="shared" si="99"/>
        <v/>
      </c>
    </row>
    <row r="6401" spans="1:2" x14ac:dyDescent="0.25">
      <c r="A6401" t="str">
        <f>IF(C6401&amp;G6401&amp;D6401&lt;&gt;'Funnel setup'!$K$3&amp;'Funnel setup'!$K$4&amp;'Funnel setup'!$K$6,".",IF(A6400=".",1,A6400+1))</f>
        <v>.</v>
      </c>
      <c r="B6401" s="244" t="str">
        <f t="shared" si="99"/>
        <v/>
      </c>
    </row>
    <row r="6402" spans="1:2" x14ac:dyDescent="0.25">
      <c r="A6402" t="str">
        <f>IF(C6402&amp;G6402&amp;D6402&lt;&gt;'Funnel setup'!$K$3&amp;'Funnel setup'!$K$4&amp;'Funnel setup'!$K$6,".",IF(A6401=".",1,A6401+1))</f>
        <v>.</v>
      </c>
      <c r="B6402" s="244" t="str">
        <f t="shared" ref="B6402:B6465" si="100">C6402&amp;D6402&amp;F6402&amp;G6402</f>
        <v/>
      </c>
    </row>
    <row r="6403" spans="1:2" x14ac:dyDescent="0.25">
      <c r="A6403" t="str">
        <f>IF(C6403&amp;G6403&amp;D6403&lt;&gt;'Funnel setup'!$K$3&amp;'Funnel setup'!$K$4&amp;'Funnel setup'!$K$6,".",IF(A6402=".",1,A6402+1))</f>
        <v>.</v>
      </c>
      <c r="B6403" s="244" t="str">
        <f t="shared" si="100"/>
        <v/>
      </c>
    </row>
    <row r="6404" spans="1:2" x14ac:dyDescent="0.25">
      <c r="A6404" t="str">
        <f>IF(C6404&amp;G6404&amp;D6404&lt;&gt;'Funnel setup'!$K$3&amp;'Funnel setup'!$K$4&amp;'Funnel setup'!$K$6,".",IF(A6403=".",1,A6403+1))</f>
        <v>.</v>
      </c>
      <c r="B6404" s="244" t="str">
        <f t="shared" si="100"/>
        <v/>
      </c>
    </row>
    <row r="6405" spans="1:2" x14ac:dyDescent="0.25">
      <c r="A6405" t="str">
        <f>IF(C6405&amp;G6405&amp;D6405&lt;&gt;'Funnel setup'!$K$3&amp;'Funnel setup'!$K$4&amp;'Funnel setup'!$K$6,".",IF(A6404=".",1,A6404+1))</f>
        <v>.</v>
      </c>
      <c r="B6405" s="244" t="str">
        <f t="shared" si="100"/>
        <v/>
      </c>
    </row>
    <row r="6406" spans="1:2" x14ac:dyDescent="0.25">
      <c r="A6406" t="str">
        <f>IF(C6406&amp;G6406&amp;D6406&lt;&gt;'Funnel setup'!$K$3&amp;'Funnel setup'!$K$4&amp;'Funnel setup'!$K$6,".",IF(A6405=".",1,A6405+1))</f>
        <v>.</v>
      </c>
      <c r="B6406" s="244" t="str">
        <f t="shared" si="100"/>
        <v/>
      </c>
    </row>
    <row r="6407" spans="1:2" x14ac:dyDescent="0.25">
      <c r="A6407" t="str">
        <f>IF(C6407&amp;G6407&amp;D6407&lt;&gt;'Funnel setup'!$K$3&amp;'Funnel setup'!$K$4&amp;'Funnel setup'!$K$6,".",IF(A6406=".",1,A6406+1))</f>
        <v>.</v>
      </c>
      <c r="B6407" s="244" t="str">
        <f t="shared" si="100"/>
        <v/>
      </c>
    </row>
    <row r="6408" spans="1:2" x14ac:dyDescent="0.25">
      <c r="A6408" t="str">
        <f>IF(C6408&amp;G6408&amp;D6408&lt;&gt;'Funnel setup'!$K$3&amp;'Funnel setup'!$K$4&amp;'Funnel setup'!$K$6,".",IF(A6407=".",1,A6407+1))</f>
        <v>.</v>
      </c>
      <c r="B6408" s="244" t="str">
        <f t="shared" si="100"/>
        <v/>
      </c>
    </row>
    <row r="6409" spans="1:2" x14ac:dyDescent="0.25">
      <c r="A6409" t="str">
        <f>IF(C6409&amp;G6409&amp;D6409&lt;&gt;'Funnel setup'!$K$3&amp;'Funnel setup'!$K$4&amp;'Funnel setup'!$K$6,".",IF(A6408=".",1,A6408+1))</f>
        <v>.</v>
      </c>
      <c r="B6409" s="244" t="str">
        <f t="shared" si="100"/>
        <v/>
      </c>
    </row>
    <row r="6410" spans="1:2" x14ac:dyDescent="0.25">
      <c r="A6410" t="str">
        <f>IF(C6410&amp;G6410&amp;D6410&lt;&gt;'Funnel setup'!$K$3&amp;'Funnel setup'!$K$4&amp;'Funnel setup'!$K$6,".",IF(A6409=".",1,A6409+1))</f>
        <v>.</v>
      </c>
      <c r="B6410" s="244" t="str">
        <f t="shared" si="100"/>
        <v/>
      </c>
    </row>
    <row r="6411" spans="1:2" x14ac:dyDescent="0.25">
      <c r="A6411" t="str">
        <f>IF(C6411&amp;G6411&amp;D6411&lt;&gt;'Funnel setup'!$K$3&amp;'Funnel setup'!$K$4&amp;'Funnel setup'!$K$6,".",IF(A6410=".",1,A6410+1))</f>
        <v>.</v>
      </c>
      <c r="B6411" s="244" t="str">
        <f t="shared" si="100"/>
        <v/>
      </c>
    </row>
    <row r="6412" spans="1:2" x14ac:dyDescent="0.25">
      <c r="A6412" t="str">
        <f>IF(C6412&amp;G6412&amp;D6412&lt;&gt;'Funnel setup'!$K$3&amp;'Funnel setup'!$K$4&amp;'Funnel setup'!$K$6,".",IF(A6411=".",1,A6411+1))</f>
        <v>.</v>
      </c>
      <c r="B6412" s="244" t="str">
        <f t="shared" si="100"/>
        <v/>
      </c>
    </row>
    <row r="6413" spans="1:2" x14ac:dyDescent="0.25">
      <c r="A6413" t="str">
        <f>IF(C6413&amp;G6413&amp;D6413&lt;&gt;'Funnel setup'!$K$3&amp;'Funnel setup'!$K$4&amp;'Funnel setup'!$K$6,".",IF(A6412=".",1,A6412+1))</f>
        <v>.</v>
      </c>
      <c r="B6413" s="244" t="str">
        <f t="shared" si="100"/>
        <v/>
      </c>
    </row>
    <row r="6414" spans="1:2" x14ac:dyDescent="0.25">
      <c r="A6414" t="str">
        <f>IF(C6414&amp;G6414&amp;D6414&lt;&gt;'Funnel setup'!$K$3&amp;'Funnel setup'!$K$4&amp;'Funnel setup'!$K$6,".",IF(A6413=".",1,A6413+1))</f>
        <v>.</v>
      </c>
      <c r="B6414" s="244" t="str">
        <f t="shared" si="100"/>
        <v/>
      </c>
    </row>
    <row r="6415" spans="1:2" x14ac:dyDescent="0.25">
      <c r="A6415" t="str">
        <f>IF(C6415&amp;G6415&amp;D6415&lt;&gt;'Funnel setup'!$K$3&amp;'Funnel setup'!$K$4&amp;'Funnel setup'!$K$6,".",IF(A6414=".",1,A6414+1))</f>
        <v>.</v>
      </c>
      <c r="B6415" s="244" t="str">
        <f t="shared" si="100"/>
        <v/>
      </c>
    </row>
    <row r="6416" spans="1:2" x14ac:dyDescent="0.25">
      <c r="A6416" t="str">
        <f>IF(C6416&amp;G6416&amp;D6416&lt;&gt;'Funnel setup'!$K$3&amp;'Funnel setup'!$K$4&amp;'Funnel setup'!$K$6,".",IF(A6415=".",1,A6415+1))</f>
        <v>.</v>
      </c>
      <c r="B6416" s="244" t="str">
        <f t="shared" si="100"/>
        <v/>
      </c>
    </row>
    <row r="6417" spans="1:2" x14ac:dyDescent="0.25">
      <c r="A6417" t="str">
        <f>IF(C6417&amp;G6417&amp;D6417&lt;&gt;'Funnel setup'!$K$3&amp;'Funnel setup'!$K$4&amp;'Funnel setup'!$K$6,".",IF(A6416=".",1,A6416+1))</f>
        <v>.</v>
      </c>
      <c r="B6417" s="244" t="str">
        <f t="shared" si="100"/>
        <v/>
      </c>
    </row>
    <row r="6418" spans="1:2" x14ac:dyDescent="0.25">
      <c r="A6418" t="str">
        <f>IF(C6418&amp;G6418&amp;D6418&lt;&gt;'Funnel setup'!$K$3&amp;'Funnel setup'!$K$4&amp;'Funnel setup'!$K$6,".",IF(A6417=".",1,A6417+1))</f>
        <v>.</v>
      </c>
      <c r="B6418" s="244" t="str">
        <f t="shared" si="100"/>
        <v/>
      </c>
    </row>
    <row r="6419" spans="1:2" x14ac:dyDescent="0.25">
      <c r="A6419" t="str">
        <f>IF(C6419&amp;G6419&amp;D6419&lt;&gt;'Funnel setup'!$K$3&amp;'Funnel setup'!$K$4&amp;'Funnel setup'!$K$6,".",IF(A6418=".",1,A6418+1))</f>
        <v>.</v>
      </c>
      <c r="B6419" s="244" t="str">
        <f t="shared" si="100"/>
        <v/>
      </c>
    </row>
    <row r="6420" spans="1:2" x14ac:dyDescent="0.25">
      <c r="A6420" t="str">
        <f>IF(C6420&amp;G6420&amp;D6420&lt;&gt;'Funnel setup'!$K$3&amp;'Funnel setup'!$K$4&amp;'Funnel setup'!$K$6,".",IF(A6419=".",1,A6419+1))</f>
        <v>.</v>
      </c>
      <c r="B6420" s="244" t="str">
        <f t="shared" si="100"/>
        <v/>
      </c>
    </row>
    <row r="6421" spans="1:2" x14ac:dyDescent="0.25">
      <c r="A6421" t="str">
        <f>IF(C6421&amp;G6421&amp;D6421&lt;&gt;'Funnel setup'!$K$3&amp;'Funnel setup'!$K$4&amp;'Funnel setup'!$K$6,".",IF(A6420=".",1,A6420+1))</f>
        <v>.</v>
      </c>
      <c r="B6421" s="244" t="str">
        <f t="shared" si="100"/>
        <v/>
      </c>
    </row>
    <row r="6422" spans="1:2" x14ac:dyDescent="0.25">
      <c r="A6422" t="str">
        <f>IF(C6422&amp;G6422&amp;D6422&lt;&gt;'Funnel setup'!$K$3&amp;'Funnel setup'!$K$4&amp;'Funnel setup'!$K$6,".",IF(A6421=".",1,A6421+1))</f>
        <v>.</v>
      </c>
      <c r="B6422" s="244" t="str">
        <f t="shared" si="100"/>
        <v/>
      </c>
    </row>
    <row r="6423" spans="1:2" x14ac:dyDescent="0.25">
      <c r="A6423" t="str">
        <f>IF(C6423&amp;G6423&amp;D6423&lt;&gt;'Funnel setup'!$K$3&amp;'Funnel setup'!$K$4&amp;'Funnel setup'!$K$6,".",IF(A6422=".",1,A6422+1))</f>
        <v>.</v>
      </c>
      <c r="B6423" s="244" t="str">
        <f t="shared" si="100"/>
        <v/>
      </c>
    </row>
    <row r="6424" spans="1:2" x14ac:dyDescent="0.25">
      <c r="A6424" t="str">
        <f>IF(C6424&amp;G6424&amp;D6424&lt;&gt;'Funnel setup'!$K$3&amp;'Funnel setup'!$K$4&amp;'Funnel setup'!$K$6,".",IF(A6423=".",1,A6423+1))</f>
        <v>.</v>
      </c>
      <c r="B6424" s="244" t="str">
        <f t="shared" si="100"/>
        <v/>
      </c>
    </row>
    <row r="6425" spans="1:2" x14ac:dyDescent="0.25">
      <c r="A6425" t="str">
        <f>IF(C6425&amp;G6425&amp;D6425&lt;&gt;'Funnel setup'!$K$3&amp;'Funnel setup'!$K$4&amp;'Funnel setup'!$K$6,".",IF(A6424=".",1,A6424+1))</f>
        <v>.</v>
      </c>
      <c r="B6425" s="244" t="str">
        <f t="shared" si="100"/>
        <v/>
      </c>
    </row>
    <row r="6426" spans="1:2" x14ac:dyDescent="0.25">
      <c r="A6426" t="str">
        <f>IF(C6426&amp;G6426&amp;D6426&lt;&gt;'Funnel setup'!$K$3&amp;'Funnel setup'!$K$4&amp;'Funnel setup'!$K$6,".",IF(A6425=".",1,A6425+1))</f>
        <v>.</v>
      </c>
      <c r="B6426" s="244" t="str">
        <f t="shared" si="100"/>
        <v/>
      </c>
    </row>
    <row r="6427" spans="1:2" x14ac:dyDescent="0.25">
      <c r="A6427" t="str">
        <f>IF(C6427&amp;G6427&amp;D6427&lt;&gt;'Funnel setup'!$K$3&amp;'Funnel setup'!$K$4&amp;'Funnel setup'!$K$6,".",IF(A6426=".",1,A6426+1))</f>
        <v>.</v>
      </c>
      <c r="B6427" s="244" t="str">
        <f t="shared" si="100"/>
        <v/>
      </c>
    </row>
    <row r="6428" spans="1:2" x14ac:dyDescent="0.25">
      <c r="A6428" t="str">
        <f>IF(C6428&amp;G6428&amp;D6428&lt;&gt;'Funnel setup'!$K$3&amp;'Funnel setup'!$K$4&amp;'Funnel setup'!$K$6,".",IF(A6427=".",1,A6427+1))</f>
        <v>.</v>
      </c>
      <c r="B6428" s="244" t="str">
        <f t="shared" si="100"/>
        <v/>
      </c>
    </row>
    <row r="6429" spans="1:2" x14ac:dyDescent="0.25">
      <c r="A6429" t="str">
        <f>IF(C6429&amp;G6429&amp;D6429&lt;&gt;'Funnel setup'!$K$3&amp;'Funnel setup'!$K$4&amp;'Funnel setup'!$K$6,".",IF(A6428=".",1,A6428+1))</f>
        <v>.</v>
      </c>
      <c r="B6429" s="244" t="str">
        <f t="shared" si="100"/>
        <v/>
      </c>
    </row>
    <row r="6430" spans="1:2" x14ac:dyDescent="0.25">
      <c r="A6430" t="str">
        <f>IF(C6430&amp;G6430&amp;D6430&lt;&gt;'Funnel setup'!$K$3&amp;'Funnel setup'!$K$4&amp;'Funnel setup'!$K$6,".",IF(A6429=".",1,A6429+1))</f>
        <v>.</v>
      </c>
      <c r="B6430" s="244" t="str">
        <f t="shared" si="100"/>
        <v/>
      </c>
    </row>
    <row r="6431" spans="1:2" x14ac:dyDescent="0.25">
      <c r="A6431" t="str">
        <f>IF(C6431&amp;G6431&amp;D6431&lt;&gt;'Funnel setup'!$K$3&amp;'Funnel setup'!$K$4&amp;'Funnel setup'!$K$6,".",IF(A6430=".",1,A6430+1))</f>
        <v>.</v>
      </c>
      <c r="B6431" s="244" t="str">
        <f t="shared" si="100"/>
        <v/>
      </c>
    </row>
    <row r="6432" spans="1:2" x14ac:dyDescent="0.25">
      <c r="A6432" t="str">
        <f>IF(C6432&amp;G6432&amp;D6432&lt;&gt;'Funnel setup'!$K$3&amp;'Funnel setup'!$K$4&amp;'Funnel setup'!$K$6,".",IF(A6431=".",1,A6431+1))</f>
        <v>.</v>
      </c>
      <c r="B6432" s="244" t="str">
        <f t="shared" si="100"/>
        <v/>
      </c>
    </row>
    <row r="6433" spans="1:2" x14ac:dyDescent="0.25">
      <c r="A6433" t="str">
        <f>IF(C6433&amp;G6433&amp;D6433&lt;&gt;'Funnel setup'!$K$3&amp;'Funnel setup'!$K$4&amp;'Funnel setup'!$K$6,".",IF(A6432=".",1,A6432+1))</f>
        <v>.</v>
      </c>
      <c r="B6433" s="244" t="str">
        <f t="shared" si="100"/>
        <v/>
      </c>
    </row>
    <row r="6434" spans="1:2" x14ac:dyDescent="0.25">
      <c r="A6434" t="str">
        <f>IF(C6434&amp;G6434&amp;D6434&lt;&gt;'Funnel setup'!$K$3&amp;'Funnel setup'!$K$4&amp;'Funnel setup'!$K$6,".",IF(A6433=".",1,A6433+1))</f>
        <v>.</v>
      </c>
      <c r="B6434" s="244" t="str">
        <f t="shared" si="100"/>
        <v/>
      </c>
    </row>
    <row r="6435" spans="1:2" x14ac:dyDescent="0.25">
      <c r="A6435" t="str">
        <f>IF(C6435&amp;G6435&amp;D6435&lt;&gt;'Funnel setup'!$K$3&amp;'Funnel setup'!$K$4&amp;'Funnel setup'!$K$6,".",IF(A6434=".",1,A6434+1))</f>
        <v>.</v>
      </c>
      <c r="B6435" s="244" t="str">
        <f t="shared" si="100"/>
        <v/>
      </c>
    </row>
    <row r="6436" spans="1:2" x14ac:dyDescent="0.25">
      <c r="A6436" t="str">
        <f>IF(C6436&amp;G6436&amp;D6436&lt;&gt;'Funnel setup'!$K$3&amp;'Funnel setup'!$K$4&amp;'Funnel setup'!$K$6,".",IF(A6435=".",1,A6435+1))</f>
        <v>.</v>
      </c>
      <c r="B6436" s="244" t="str">
        <f t="shared" si="100"/>
        <v/>
      </c>
    </row>
    <row r="6437" spans="1:2" x14ac:dyDescent="0.25">
      <c r="A6437" t="str">
        <f>IF(C6437&amp;G6437&amp;D6437&lt;&gt;'Funnel setup'!$K$3&amp;'Funnel setup'!$K$4&amp;'Funnel setup'!$K$6,".",IF(A6436=".",1,A6436+1))</f>
        <v>.</v>
      </c>
      <c r="B6437" s="244" t="str">
        <f t="shared" si="100"/>
        <v/>
      </c>
    </row>
    <row r="6438" spans="1:2" x14ac:dyDescent="0.25">
      <c r="A6438" t="str">
        <f>IF(C6438&amp;G6438&amp;D6438&lt;&gt;'Funnel setup'!$K$3&amp;'Funnel setup'!$K$4&amp;'Funnel setup'!$K$6,".",IF(A6437=".",1,A6437+1))</f>
        <v>.</v>
      </c>
      <c r="B6438" s="244" t="str">
        <f t="shared" si="100"/>
        <v/>
      </c>
    </row>
    <row r="6439" spans="1:2" x14ac:dyDescent="0.25">
      <c r="A6439" t="str">
        <f>IF(C6439&amp;G6439&amp;D6439&lt;&gt;'Funnel setup'!$K$3&amp;'Funnel setup'!$K$4&amp;'Funnel setup'!$K$6,".",IF(A6438=".",1,A6438+1))</f>
        <v>.</v>
      </c>
      <c r="B6439" s="244" t="str">
        <f t="shared" si="100"/>
        <v/>
      </c>
    </row>
    <row r="6440" spans="1:2" x14ac:dyDescent="0.25">
      <c r="A6440" t="str">
        <f>IF(C6440&amp;G6440&amp;D6440&lt;&gt;'Funnel setup'!$K$3&amp;'Funnel setup'!$K$4&amp;'Funnel setup'!$K$6,".",IF(A6439=".",1,A6439+1))</f>
        <v>.</v>
      </c>
      <c r="B6440" s="244" t="str">
        <f t="shared" si="100"/>
        <v/>
      </c>
    </row>
    <row r="6441" spans="1:2" x14ac:dyDescent="0.25">
      <c r="A6441" t="str">
        <f>IF(C6441&amp;G6441&amp;D6441&lt;&gt;'Funnel setup'!$K$3&amp;'Funnel setup'!$K$4&amp;'Funnel setup'!$K$6,".",IF(A6440=".",1,A6440+1))</f>
        <v>.</v>
      </c>
      <c r="B6441" s="244" t="str">
        <f t="shared" si="100"/>
        <v/>
      </c>
    </row>
    <row r="6442" spans="1:2" x14ac:dyDescent="0.25">
      <c r="A6442" t="str">
        <f>IF(C6442&amp;G6442&amp;D6442&lt;&gt;'Funnel setup'!$K$3&amp;'Funnel setup'!$K$4&amp;'Funnel setup'!$K$6,".",IF(A6441=".",1,A6441+1))</f>
        <v>.</v>
      </c>
      <c r="B6442" s="244" t="str">
        <f t="shared" si="100"/>
        <v/>
      </c>
    </row>
    <row r="6443" spans="1:2" x14ac:dyDescent="0.25">
      <c r="A6443" t="str">
        <f>IF(C6443&amp;G6443&amp;D6443&lt;&gt;'Funnel setup'!$K$3&amp;'Funnel setup'!$K$4&amp;'Funnel setup'!$K$6,".",IF(A6442=".",1,A6442+1))</f>
        <v>.</v>
      </c>
      <c r="B6443" s="244" t="str">
        <f t="shared" si="100"/>
        <v/>
      </c>
    </row>
    <row r="6444" spans="1:2" x14ac:dyDescent="0.25">
      <c r="A6444" t="str">
        <f>IF(C6444&amp;G6444&amp;D6444&lt;&gt;'Funnel setup'!$K$3&amp;'Funnel setup'!$K$4&amp;'Funnel setup'!$K$6,".",IF(A6443=".",1,A6443+1))</f>
        <v>.</v>
      </c>
      <c r="B6444" s="244" t="str">
        <f t="shared" si="100"/>
        <v/>
      </c>
    </row>
    <row r="6445" spans="1:2" x14ac:dyDescent="0.25">
      <c r="A6445" t="str">
        <f>IF(C6445&amp;G6445&amp;D6445&lt;&gt;'Funnel setup'!$K$3&amp;'Funnel setup'!$K$4&amp;'Funnel setup'!$K$6,".",IF(A6444=".",1,A6444+1))</f>
        <v>.</v>
      </c>
      <c r="B6445" s="244" t="str">
        <f t="shared" si="100"/>
        <v/>
      </c>
    </row>
    <row r="6446" spans="1:2" x14ac:dyDescent="0.25">
      <c r="A6446" t="str">
        <f>IF(C6446&amp;G6446&amp;D6446&lt;&gt;'Funnel setup'!$K$3&amp;'Funnel setup'!$K$4&amp;'Funnel setup'!$K$6,".",IF(A6445=".",1,A6445+1))</f>
        <v>.</v>
      </c>
      <c r="B6446" s="244" t="str">
        <f t="shared" si="100"/>
        <v/>
      </c>
    </row>
    <row r="6447" spans="1:2" x14ac:dyDescent="0.25">
      <c r="A6447" t="str">
        <f>IF(C6447&amp;G6447&amp;D6447&lt;&gt;'Funnel setup'!$K$3&amp;'Funnel setup'!$K$4&amp;'Funnel setup'!$K$6,".",IF(A6446=".",1,A6446+1))</f>
        <v>.</v>
      </c>
      <c r="B6447" s="244" t="str">
        <f t="shared" si="100"/>
        <v/>
      </c>
    </row>
    <row r="6448" spans="1:2" x14ac:dyDescent="0.25">
      <c r="A6448" t="str">
        <f>IF(C6448&amp;G6448&amp;D6448&lt;&gt;'Funnel setup'!$K$3&amp;'Funnel setup'!$K$4&amp;'Funnel setup'!$K$6,".",IF(A6447=".",1,A6447+1))</f>
        <v>.</v>
      </c>
      <c r="B6448" s="244" t="str">
        <f t="shared" si="100"/>
        <v/>
      </c>
    </row>
    <row r="6449" spans="1:2" x14ac:dyDescent="0.25">
      <c r="A6449" t="str">
        <f>IF(C6449&amp;G6449&amp;D6449&lt;&gt;'Funnel setup'!$K$3&amp;'Funnel setup'!$K$4&amp;'Funnel setup'!$K$6,".",IF(A6448=".",1,A6448+1))</f>
        <v>.</v>
      </c>
      <c r="B6449" s="244" t="str">
        <f t="shared" si="100"/>
        <v/>
      </c>
    </row>
    <row r="6450" spans="1:2" x14ac:dyDescent="0.25">
      <c r="A6450" t="str">
        <f>IF(C6450&amp;G6450&amp;D6450&lt;&gt;'Funnel setup'!$K$3&amp;'Funnel setup'!$K$4&amp;'Funnel setup'!$K$6,".",IF(A6449=".",1,A6449+1))</f>
        <v>.</v>
      </c>
      <c r="B6450" s="244" t="str">
        <f t="shared" si="100"/>
        <v/>
      </c>
    </row>
    <row r="6451" spans="1:2" x14ac:dyDescent="0.25">
      <c r="A6451" t="str">
        <f>IF(C6451&amp;G6451&amp;D6451&lt;&gt;'Funnel setup'!$K$3&amp;'Funnel setup'!$K$4&amp;'Funnel setup'!$K$6,".",IF(A6450=".",1,A6450+1))</f>
        <v>.</v>
      </c>
      <c r="B6451" s="244" t="str">
        <f t="shared" si="100"/>
        <v/>
      </c>
    </row>
    <row r="6452" spans="1:2" x14ac:dyDescent="0.25">
      <c r="A6452" t="str">
        <f>IF(C6452&amp;G6452&amp;D6452&lt;&gt;'Funnel setup'!$K$3&amp;'Funnel setup'!$K$4&amp;'Funnel setup'!$K$6,".",IF(A6451=".",1,A6451+1))</f>
        <v>.</v>
      </c>
      <c r="B6452" s="244" t="str">
        <f t="shared" si="100"/>
        <v/>
      </c>
    </row>
    <row r="6453" spans="1:2" x14ac:dyDescent="0.25">
      <c r="A6453" t="str">
        <f>IF(C6453&amp;G6453&amp;D6453&lt;&gt;'Funnel setup'!$K$3&amp;'Funnel setup'!$K$4&amp;'Funnel setup'!$K$6,".",IF(A6452=".",1,A6452+1))</f>
        <v>.</v>
      </c>
      <c r="B6453" s="244" t="str">
        <f t="shared" si="100"/>
        <v/>
      </c>
    </row>
    <row r="6454" spans="1:2" x14ac:dyDescent="0.25">
      <c r="A6454" t="str">
        <f>IF(C6454&amp;G6454&amp;D6454&lt;&gt;'Funnel setup'!$K$3&amp;'Funnel setup'!$K$4&amp;'Funnel setup'!$K$6,".",IF(A6453=".",1,A6453+1))</f>
        <v>.</v>
      </c>
      <c r="B6454" s="244" t="str">
        <f t="shared" si="100"/>
        <v/>
      </c>
    </row>
    <row r="6455" spans="1:2" x14ac:dyDescent="0.25">
      <c r="A6455" t="str">
        <f>IF(C6455&amp;G6455&amp;D6455&lt;&gt;'Funnel setup'!$K$3&amp;'Funnel setup'!$K$4&amp;'Funnel setup'!$K$6,".",IF(A6454=".",1,A6454+1))</f>
        <v>.</v>
      </c>
      <c r="B6455" s="244" t="str">
        <f t="shared" si="100"/>
        <v/>
      </c>
    </row>
    <row r="6456" spans="1:2" x14ac:dyDescent="0.25">
      <c r="A6456" t="str">
        <f>IF(C6456&amp;G6456&amp;D6456&lt;&gt;'Funnel setup'!$K$3&amp;'Funnel setup'!$K$4&amp;'Funnel setup'!$K$6,".",IF(A6455=".",1,A6455+1))</f>
        <v>.</v>
      </c>
      <c r="B6456" s="244" t="str">
        <f t="shared" si="100"/>
        <v/>
      </c>
    </row>
    <row r="6457" spans="1:2" x14ac:dyDescent="0.25">
      <c r="A6457" t="str">
        <f>IF(C6457&amp;G6457&amp;D6457&lt;&gt;'Funnel setup'!$K$3&amp;'Funnel setup'!$K$4&amp;'Funnel setup'!$K$6,".",IF(A6456=".",1,A6456+1))</f>
        <v>.</v>
      </c>
      <c r="B6457" s="244" t="str">
        <f t="shared" si="100"/>
        <v/>
      </c>
    </row>
    <row r="6458" spans="1:2" x14ac:dyDescent="0.25">
      <c r="A6458" t="str">
        <f>IF(C6458&amp;G6458&amp;D6458&lt;&gt;'Funnel setup'!$K$3&amp;'Funnel setup'!$K$4&amp;'Funnel setup'!$K$6,".",IF(A6457=".",1,A6457+1))</f>
        <v>.</v>
      </c>
      <c r="B6458" s="244" t="str">
        <f t="shared" si="100"/>
        <v/>
      </c>
    </row>
    <row r="6459" spans="1:2" x14ac:dyDescent="0.25">
      <c r="A6459" t="str">
        <f>IF(C6459&amp;G6459&amp;D6459&lt;&gt;'Funnel setup'!$K$3&amp;'Funnel setup'!$K$4&amp;'Funnel setup'!$K$6,".",IF(A6458=".",1,A6458+1))</f>
        <v>.</v>
      </c>
      <c r="B6459" s="244" t="str">
        <f t="shared" si="100"/>
        <v/>
      </c>
    </row>
    <row r="6460" spans="1:2" x14ac:dyDescent="0.25">
      <c r="A6460" t="str">
        <f>IF(C6460&amp;G6460&amp;D6460&lt;&gt;'Funnel setup'!$K$3&amp;'Funnel setup'!$K$4&amp;'Funnel setup'!$K$6,".",IF(A6459=".",1,A6459+1))</f>
        <v>.</v>
      </c>
      <c r="B6460" s="244" t="str">
        <f t="shared" si="100"/>
        <v/>
      </c>
    </row>
    <row r="6461" spans="1:2" x14ac:dyDescent="0.25">
      <c r="A6461" t="str">
        <f>IF(C6461&amp;G6461&amp;D6461&lt;&gt;'Funnel setup'!$K$3&amp;'Funnel setup'!$K$4&amp;'Funnel setup'!$K$6,".",IF(A6460=".",1,A6460+1))</f>
        <v>.</v>
      </c>
      <c r="B6461" s="244" t="str">
        <f t="shared" si="100"/>
        <v/>
      </c>
    </row>
    <row r="6462" spans="1:2" x14ac:dyDescent="0.25">
      <c r="A6462" t="str">
        <f>IF(C6462&amp;G6462&amp;D6462&lt;&gt;'Funnel setup'!$K$3&amp;'Funnel setup'!$K$4&amp;'Funnel setup'!$K$6,".",IF(A6461=".",1,A6461+1))</f>
        <v>.</v>
      </c>
      <c r="B6462" s="244" t="str">
        <f t="shared" si="100"/>
        <v/>
      </c>
    </row>
    <row r="6463" spans="1:2" x14ac:dyDescent="0.25">
      <c r="A6463" t="str">
        <f>IF(C6463&amp;G6463&amp;D6463&lt;&gt;'Funnel setup'!$K$3&amp;'Funnel setup'!$K$4&amp;'Funnel setup'!$K$6,".",IF(A6462=".",1,A6462+1))</f>
        <v>.</v>
      </c>
      <c r="B6463" s="244" t="str">
        <f t="shared" si="100"/>
        <v/>
      </c>
    </row>
    <row r="6464" spans="1:2" x14ac:dyDescent="0.25">
      <c r="A6464" t="str">
        <f>IF(C6464&amp;G6464&amp;D6464&lt;&gt;'Funnel setup'!$K$3&amp;'Funnel setup'!$K$4&amp;'Funnel setup'!$K$6,".",IF(A6463=".",1,A6463+1))</f>
        <v>.</v>
      </c>
      <c r="B6464" s="244" t="str">
        <f t="shared" si="100"/>
        <v/>
      </c>
    </row>
    <row r="6465" spans="1:2" x14ac:dyDescent="0.25">
      <c r="A6465" t="str">
        <f>IF(C6465&amp;G6465&amp;D6465&lt;&gt;'Funnel setup'!$K$3&amp;'Funnel setup'!$K$4&amp;'Funnel setup'!$K$6,".",IF(A6464=".",1,A6464+1))</f>
        <v>.</v>
      </c>
      <c r="B6465" s="244" t="str">
        <f t="shared" si="100"/>
        <v/>
      </c>
    </row>
    <row r="6466" spans="1:2" x14ac:dyDescent="0.25">
      <c r="A6466" t="str">
        <f>IF(C6466&amp;G6466&amp;D6466&lt;&gt;'Funnel setup'!$K$3&amp;'Funnel setup'!$K$4&amp;'Funnel setup'!$K$6,".",IF(A6465=".",1,A6465+1))</f>
        <v>.</v>
      </c>
      <c r="B6466" s="244" t="str">
        <f t="shared" ref="B6466:B6529" si="101">C6466&amp;D6466&amp;F6466&amp;G6466</f>
        <v/>
      </c>
    </row>
    <row r="6467" spans="1:2" x14ac:dyDescent="0.25">
      <c r="A6467" t="str">
        <f>IF(C6467&amp;G6467&amp;D6467&lt;&gt;'Funnel setup'!$K$3&amp;'Funnel setup'!$K$4&amp;'Funnel setup'!$K$6,".",IF(A6466=".",1,A6466+1))</f>
        <v>.</v>
      </c>
      <c r="B6467" s="244" t="str">
        <f t="shared" si="101"/>
        <v/>
      </c>
    </row>
    <row r="6468" spans="1:2" x14ac:dyDescent="0.25">
      <c r="A6468" t="str">
        <f>IF(C6468&amp;G6468&amp;D6468&lt;&gt;'Funnel setup'!$K$3&amp;'Funnel setup'!$K$4&amp;'Funnel setup'!$K$6,".",IF(A6467=".",1,A6467+1))</f>
        <v>.</v>
      </c>
      <c r="B6468" s="244" t="str">
        <f t="shared" si="101"/>
        <v/>
      </c>
    </row>
    <row r="6469" spans="1:2" x14ac:dyDescent="0.25">
      <c r="A6469" t="str">
        <f>IF(C6469&amp;G6469&amp;D6469&lt;&gt;'Funnel setup'!$K$3&amp;'Funnel setup'!$K$4&amp;'Funnel setup'!$K$6,".",IF(A6468=".",1,A6468+1))</f>
        <v>.</v>
      </c>
      <c r="B6469" s="244" t="str">
        <f t="shared" si="101"/>
        <v/>
      </c>
    </row>
    <row r="6470" spans="1:2" x14ac:dyDescent="0.25">
      <c r="A6470" t="str">
        <f>IF(C6470&amp;G6470&amp;D6470&lt;&gt;'Funnel setup'!$K$3&amp;'Funnel setup'!$K$4&amp;'Funnel setup'!$K$6,".",IF(A6469=".",1,A6469+1))</f>
        <v>.</v>
      </c>
      <c r="B6470" s="244" t="str">
        <f t="shared" si="101"/>
        <v/>
      </c>
    </row>
    <row r="6471" spans="1:2" x14ac:dyDescent="0.25">
      <c r="A6471" t="str">
        <f>IF(C6471&amp;G6471&amp;D6471&lt;&gt;'Funnel setup'!$K$3&amp;'Funnel setup'!$K$4&amp;'Funnel setup'!$K$6,".",IF(A6470=".",1,A6470+1))</f>
        <v>.</v>
      </c>
      <c r="B6471" s="244" t="str">
        <f t="shared" si="101"/>
        <v/>
      </c>
    </row>
    <row r="6472" spans="1:2" x14ac:dyDescent="0.25">
      <c r="A6472" t="str">
        <f>IF(C6472&amp;G6472&amp;D6472&lt;&gt;'Funnel setup'!$K$3&amp;'Funnel setup'!$K$4&amp;'Funnel setup'!$K$6,".",IF(A6471=".",1,A6471+1))</f>
        <v>.</v>
      </c>
      <c r="B6472" s="244" t="str">
        <f t="shared" si="101"/>
        <v/>
      </c>
    </row>
    <row r="6473" spans="1:2" x14ac:dyDescent="0.25">
      <c r="A6473" t="str">
        <f>IF(C6473&amp;G6473&amp;D6473&lt;&gt;'Funnel setup'!$K$3&amp;'Funnel setup'!$K$4&amp;'Funnel setup'!$K$6,".",IF(A6472=".",1,A6472+1))</f>
        <v>.</v>
      </c>
      <c r="B6473" s="244" t="str">
        <f t="shared" si="101"/>
        <v/>
      </c>
    </row>
    <row r="6474" spans="1:2" x14ac:dyDescent="0.25">
      <c r="A6474" t="str">
        <f>IF(C6474&amp;G6474&amp;D6474&lt;&gt;'Funnel setup'!$K$3&amp;'Funnel setup'!$K$4&amp;'Funnel setup'!$K$6,".",IF(A6473=".",1,A6473+1))</f>
        <v>.</v>
      </c>
      <c r="B6474" s="244" t="str">
        <f t="shared" si="101"/>
        <v/>
      </c>
    </row>
    <row r="6475" spans="1:2" x14ac:dyDescent="0.25">
      <c r="A6475" t="str">
        <f>IF(C6475&amp;G6475&amp;D6475&lt;&gt;'Funnel setup'!$K$3&amp;'Funnel setup'!$K$4&amp;'Funnel setup'!$K$6,".",IF(A6474=".",1,A6474+1))</f>
        <v>.</v>
      </c>
      <c r="B6475" s="244" t="str">
        <f t="shared" si="101"/>
        <v/>
      </c>
    </row>
    <row r="6476" spans="1:2" x14ac:dyDescent="0.25">
      <c r="A6476" t="str">
        <f>IF(C6476&amp;G6476&amp;D6476&lt;&gt;'Funnel setup'!$K$3&amp;'Funnel setup'!$K$4&amp;'Funnel setup'!$K$6,".",IF(A6475=".",1,A6475+1))</f>
        <v>.</v>
      </c>
      <c r="B6476" s="244" t="str">
        <f t="shared" si="101"/>
        <v/>
      </c>
    </row>
    <row r="6477" spans="1:2" x14ac:dyDescent="0.25">
      <c r="A6477" t="str">
        <f>IF(C6477&amp;G6477&amp;D6477&lt;&gt;'Funnel setup'!$K$3&amp;'Funnel setup'!$K$4&amp;'Funnel setup'!$K$6,".",IF(A6476=".",1,A6476+1))</f>
        <v>.</v>
      </c>
      <c r="B6477" s="244" t="str">
        <f t="shared" si="101"/>
        <v/>
      </c>
    </row>
    <row r="6478" spans="1:2" x14ac:dyDescent="0.25">
      <c r="A6478" t="str">
        <f>IF(C6478&amp;G6478&amp;D6478&lt;&gt;'Funnel setup'!$K$3&amp;'Funnel setup'!$K$4&amp;'Funnel setup'!$K$6,".",IF(A6477=".",1,A6477+1))</f>
        <v>.</v>
      </c>
      <c r="B6478" s="244" t="str">
        <f t="shared" si="101"/>
        <v/>
      </c>
    </row>
    <row r="6479" spans="1:2" x14ac:dyDescent="0.25">
      <c r="A6479" t="str">
        <f>IF(C6479&amp;G6479&amp;D6479&lt;&gt;'Funnel setup'!$K$3&amp;'Funnel setup'!$K$4&amp;'Funnel setup'!$K$6,".",IF(A6478=".",1,A6478+1))</f>
        <v>.</v>
      </c>
      <c r="B6479" s="244" t="str">
        <f t="shared" si="101"/>
        <v/>
      </c>
    </row>
    <row r="6480" spans="1:2" x14ac:dyDescent="0.25">
      <c r="A6480" t="str">
        <f>IF(C6480&amp;G6480&amp;D6480&lt;&gt;'Funnel setup'!$K$3&amp;'Funnel setup'!$K$4&amp;'Funnel setup'!$K$6,".",IF(A6479=".",1,A6479+1))</f>
        <v>.</v>
      </c>
      <c r="B6480" s="244" t="str">
        <f t="shared" si="101"/>
        <v/>
      </c>
    </row>
    <row r="6481" spans="1:2" x14ac:dyDescent="0.25">
      <c r="A6481" t="str">
        <f>IF(C6481&amp;G6481&amp;D6481&lt;&gt;'Funnel setup'!$K$3&amp;'Funnel setup'!$K$4&amp;'Funnel setup'!$K$6,".",IF(A6480=".",1,A6480+1))</f>
        <v>.</v>
      </c>
      <c r="B6481" s="244" t="str">
        <f t="shared" si="101"/>
        <v/>
      </c>
    </row>
    <row r="6482" spans="1:2" x14ac:dyDescent="0.25">
      <c r="A6482" t="str">
        <f>IF(C6482&amp;G6482&amp;D6482&lt;&gt;'Funnel setup'!$K$3&amp;'Funnel setup'!$K$4&amp;'Funnel setup'!$K$6,".",IF(A6481=".",1,A6481+1))</f>
        <v>.</v>
      </c>
      <c r="B6482" s="244" t="str">
        <f t="shared" si="101"/>
        <v/>
      </c>
    </row>
    <row r="6483" spans="1:2" x14ac:dyDescent="0.25">
      <c r="A6483" t="str">
        <f>IF(C6483&amp;G6483&amp;D6483&lt;&gt;'Funnel setup'!$K$3&amp;'Funnel setup'!$K$4&amp;'Funnel setup'!$K$6,".",IF(A6482=".",1,A6482+1))</f>
        <v>.</v>
      </c>
      <c r="B6483" s="244" t="str">
        <f t="shared" si="101"/>
        <v/>
      </c>
    </row>
    <row r="6484" spans="1:2" x14ac:dyDescent="0.25">
      <c r="A6484" t="str">
        <f>IF(C6484&amp;G6484&amp;D6484&lt;&gt;'Funnel setup'!$K$3&amp;'Funnel setup'!$K$4&amp;'Funnel setup'!$K$6,".",IF(A6483=".",1,A6483+1))</f>
        <v>.</v>
      </c>
      <c r="B6484" s="244" t="str">
        <f t="shared" si="101"/>
        <v/>
      </c>
    </row>
    <row r="6485" spans="1:2" x14ac:dyDescent="0.25">
      <c r="A6485" t="str">
        <f>IF(C6485&amp;G6485&amp;D6485&lt;&gt;'Funnel setup'!$K$3&amp;'Funnel setup'!$K$4&amp;'Funnel setup'!$K$6,".",IF(A6484=".",1,A6484+1))</f>
        <v>.</v>
      </c>
      <c r="B6485" s="244" t="str">
        <f t="shared" si="101"/>
        <v/>
      </c>
    </row>
    <row r="6486" spans="1:2" x14ac:dyDescent="0.25">
      <c r="A6486" t="str">
        <f>IF(C6486&amp;G6486&amp;D6486&lt;&gt;'Funnel setup'!$K$3&amp;'Funnel setup'!$K$4&amp;'Funnel setup'!$K$6,".",IF(A6485=".",1,A6485+1))</f>
        <v>.</v>
      </c>
      <c r="B6486" s="244" t="str">
        <f t="shared" si="101"/>
        <v/>
      </c>
    </row>
    <row r="6487" spans="1:2" x14ac:dyDescent="0.25">
      <c r="A6487" t="str">
        <f>IF(C6487&amp;G6487&amp;D6487&lt;&gt;'Funnel setup'!$K$3&amp;'Funnel setup'!$K$4&amp;'Funnel setup'!$K$6,".",IF(A6486=".",1,A6486+1))</f>
        <v>.</v>
      </c>
      <c r="B6487" s="244" t="str">
        <f t="shared" si="101"/>
        <v/>
      </c>
    </row>
    <row r="6488" spans="1:2" x14ac:dyDescent="0.25">
      <c r="A6488" t="str">
        <f>IF(C6488&amp;G6488&amp;D6488&lt;&gt;'Funnel setup'!$K$3&amp;'Funnel setup'!$K$4&amp;'Funnel setup'!$K$6,".",IF(A6487=".",1,A6487+1))</f>
        <v>.</v>
      </c>
      <c r="B6488" s="244" t="str">
        <f t="shared" si="101"/>
        <v/>
      </c>
    </row>
    <row r="6489" spans="1:2" x14ac:dyDescent="0.25">
      <c r="A6489" t="str">
        <f>IF(C6489&amp;G6489&amp;D6489&lt;&gt;'Funnel setup'!$K$3&amp;'Funnel setup'!$K$4&amp;'Funnel setup'!$K$6,".",IF(A6488=".",1,A6488+1))</f>
        <v>.</v>
      </c>
      <c r="B6489" s="244" t="str">
        <f t="shared" si="101"/>
        <v/>
      </c>
    </row>
    <row r="6490" spans="1:2" x14ac:dyDescent="0.25">
      <c r="A6490" t="str">
        <f>IF(C6490&amp;G6490&amp;D6490&lt;&gt;'Funnel setup'!$K$3&amp;'Funnel setup'!$K$4&amp;'Funnel setup'!$K$6,".",IF(A6489=".",1,A6489+1))</f>
        <v>.</v>
      </c>
      <c r="B6490" s="244" t="str">
        <f t="shared" si="101"/>
        <v/>
      </c>
    </row>
    <row r="6491" spans="1:2" x14ac:dyDescent="0.25">
      <c r="A6491" t="str">
        <f>IF(C6491&amp;G6491&amp;D6491&lt;&gt;'Funnel setup'!$K$3&amp;'Funnel setup'!$K$4&amp;'Funnel setup'!$K$6,".",IF(A6490=".",1,A6490+1))</f>
        <v>.</v>
      </c>
      <c r="B6491" s="244" t="str">
        <f t="shared" si="101"/>
        <v/>
      </c>
    </row>
    <row r="6492" spans="1:2" x14ac:dyDescent="0.25">
      <c r="A6492" t="str">
        <f>IF(C6492&amp;G6492&amp;D6492&lt;&gt;'Funnel setup'!$K$3&amp;'Funnel setup'!$K$4&amp;'Funnel setup'!$K$6,".",IF(A6491=".",1,A6491+1))</f>
        <v>.</v>
      </c>
      <c r="B6492" s="244" t="str">
        <f t="shared" si="101"/>
        <v/>
      </c>
    </row>
    <row r="6493" spans="1:2" x14ac:dyDescent="0.25">
      <c r="A6493" t="str">
        <f>IF(C6493&amp;G6493&amp;D6493&lt;&gt;'Funnel setup'!$K$3&amp;'Funnel setup'!$K$4&amp;'Funnel setup'!$K$6,".",IF(A6492=".",1,A6492+1))</f>
        <v>.</v>
      </c>
      <c r="B6493" s="244" t="str">
        <f t="shared" si="101"/>
        <v/>
      </c>
    </row>
    <row r="6494" spans="1:2" x14ac:dyDescent="0.25">
      <c r="A6494" t="str">
        <f>IF(C6494&amp;G6494&amp;D6494&lt;&gt;'Funnel setup'!$K$3&amp;'Funnel setup'!$K$4&amp;'Funnel setup'!$K$6,".",IF(A6493=".",1,A6493+1))</f>
        <v>.</v>
      </c>
      <c r="B6494" s="244" t="str">
        <f t="shared" si="101"/>
        <v/>
      </c>
    </row>
    <row r="6495" spans="1:2" x14ac:dyDescent="0.25">
      <c r="A6495" t="str">
        <f>IF(C6495&amp;G6495&amp;D6495&lt;&gt;'Funnel setup'!$K$3&amp;'Funnel setup'!$K$4&amp;'Funnel setup'!$K$6,".",IF(A6494=".",1,A6494+1))</f>
        <v>.</v>
      </c>
      <c r="B6495" s="244" t="str">
        <f t="shared" si="101"/>
        <v/>
      </c>
    </row>
    <row r="6496" spans="1:2" x14ac:dyDescent="0.25">
      <c r="A6496" t="str">
        <f>IF(C6496&amp;G6496&amp;D6496&lt;&gt;'Funnel setup'!$K$3&amp;'Funnel setup'!$K$4&amp;'Funnel setup'!$K$6,".",IF(A6495=".",1,A6495+1))</f>
        <v>.</v>
      </c>
      <c r="B6496" s="244" t="str">
        <f t="shared" si="101"/>
        <v/>
      </c>
    </row>
    <row r="6497" spans="1:2" x14ac:dyDescent="0.25">
      <c r="A6497" t="str">
        <f>IF(C6497&amp;G6497&amp;D6497&lt;&gt;'Funnel setup'!$K$3&amp;'Funnel setup'!$K$4&amp;'Funnel setup'!$K$6,".",IF(A6496=".",1,A6496+1))</f>
        <v>.</v>
      </c>
      <c r="B6497" s="244" t="str">
        <f t="shared" si="101"/>
        <v/>
      </c>
    </row>
    <row r="6498" spans="1:2" x14ac:dyDescent="0.25">
      <c r="A6498" t="str">
        <f>IF(C6498&amp;G6498&amp;D6498&lt;&gt;'Funnel setup'!$K$3&amp;'Funnel setup'!$K$4&amp;'Funnel setup'!$K$6,".",IF(A6497=".",1,A6497+1))</f>
        <v>.</v>
      </c>
      <c r="B6498" s="244" t="str">
        <f t="shared" si="101"/>
        <v/>
      </c>
    </row>
    <row r="6499" spans="1:2" x14ac:dyDescent="0.25">
      <c r="A6499" t="str">
        <f>IF(C6499&amp;G6499&amp;D6499&lt;&gt;'Funnel setup'!$K$3&amp;'Funnel setup'!$K$4&amp;'Funnel setup'!$K$6,".",IF(A6498=".",1,A6498+1))</f>
        <v>.</v>
      </c>
      <c r="B6499" s="244" t="str">
        <f t="shared" si="101"/>
        <v/>
      </c>
    </row>
    <row r="6500" spans="1:2" x14ac:dyDescent="0.25">
      <c r="A6500" t="str">
        <f>IF(C6500&amp;G6500&amp;D6500&lt;&gt;'Funnel setup'!$K$3&amp;'Funnel setup'!$K$4&amp;'Funnel setup'!$K$6,".",IF(A6499=".",1,A6499+1))</f>
        <v>.</v>
      </c>
      <c r="B6500" s="244" t="str">
        <f t="shared" si="101"/>
        <v/>
      </c>
    </row>
    <row r="6501" spans="1:2" x14ac:dyDescent="0.25">
      <c r="A6501" t="str">
        <f>IF(C6501&amp;G6501&amp;D6501&lt;&gt;'Funnel setup'!$K$3&amp;'Funnel setup'!$K$4&amp;'Funnel setup'!$K$6,".",IF(A6500=".",1,A6500+1))</f>
        <v>.</v>
      </c>
      <c r="B6501" s="244" t="str">
        <f t="shared" si="101"/>
        <v/>
      </c>
    </row>
    <row r="6502" spans="1:2" x14ac:dyDescent="0.25">
      <c r="A6502" t="str">
        <f>IF(C6502&amp;G6502&amp;D6502&lt;&gt;'Funnel setup'!$K$3&amp;'Funnel setup'!$K$4&amp;'Funnel setup'!$K$6,".",IF(A6501=".",1,A6501+1))</f>
        <v>.</v>
      </c>
      <c r="B6502" s="244" t="str">
        <f t="shared" si="101"/>
        <v/>
      </c>
    </row>
    <row r="6503" spans="1:2" x14ac:dyDescent="0.25">
      <c r="A6503" t="str">
        <f>IF(C6503&amp;G6503&amp;D6503&lt;&gt;'Funnel setup'!$K$3&amp;'Funnel setup'!$K$4&amp;'Funnel setup'!$K$6,".",IF(A6502=".",1,A6502+1))</f>
        <v>.</v>
      </c>
      <c r="B6503" s="244" t="str">
        <f t="shared" si="101"/>
        <v/>
      </c>
    </row>
    <row r="6504" spans="1:2" x14ac:dyDescent="0.25">
      <c r="A6504" t="str">
        <f>IF(C6504&amp;G6504&amp;D6504&lt;&gt;'Funnel setup'!$K$3&amp;'Funnel setup'!$K$4&amp;'Funnel setup'!$K$6,".",IF(A6503=".",1,A6503+1))</f>
        <v>.</v>
      </c>
      <c r="B6504" s="244" t="str">
        <f t="shared" si="101"/>
        <v/>
      </c>
    </row>
    <row r="6505" spans="1:2" x14ac:dyDescent="0.25">
      <c r="A6505" t="str">
        <f>IF(C6505&amp;G6505&amp;D6505&lt;&gt;'Funnel setup'!$K$3&amp;'Funnel setup'!$K$4&amp;'Funnel setup'!$K$6,".",IF(A6504=".",1,A6504+1))</f>
        <v>.</v>
      </c>
      <c r="B6505" s="244" t="str">
        <f t="shared" si="101"/>
        <v/>
      </c>
    </row>
    <row r="6506" spans="1:2" x14ac:dyDescent="0.25">
      <c r="A6506" t="str">
        <f>IF(C6506&amp;G6506&amp;D6506&lt;&gt;'Funnel setup'!$K$3&amp;'Funnel setup'!$K$4&amp;'Funnel setup'!$K$6,".",IF(A6505=".",1,A6505+1))</f>
        <v>.</v>
      </c>
      <c r="B6506" s="244" t="str">
        <f t="shared" si="101"/>
        <v/>
      </c>
    </row>
    <row r="6507" spans="1:2" x14ac:dyDescent="0.25">
      <c r="A6507" t="str">
        <f>IF(C6507&amp;G6507&amp;D6507&lt;&gt;'Funnel setup'!$K$3&amp;'Funnel setup'!$K$4&amp;'Funnel setup'!$K$6,".",IF(A6506=".",1,A6506+1))</f>
        <v>.</v>
      </c>
      <c r="B6507" s="244" t="str">
        <f t="shared" si="101"/>
        <v/>
      </c>
    </row>
    <row r="6508" spans="1:2" x14ac:dyDescent="0.25">
      <c r="A6508" t="str">
        <f>IF(C6508&amp;G6508&amp;D6508&lt;&gt;'Funnel setup'!$K$3&amp;'Funnel setup'!$K$4&amp;'Funnel setup'!$K$6,".",IF(A6507=".",1,A6507+1))</f>
        <v>.</v>
      </c>
      <c r="B6508" s="244" t="str">
        <f t="shared" si="101"/>
        <v/>
      </c>
    </row>
    <row r="6509" spans="1:2" x14ac:dyDescent="0.25">
      <c r="A6509" t="str">
        <f>IF(C6509&amp;G6509&amp;D6509&lt;&gt;'Funnel setup'!$K$3&amp;'Funnel setup'!$K$4&amp;'Funnel setup'!$K$6,".",IF(A6508=".",1,A6508+1))</f>
        <v>.</v>
      </c>
      <c r="B6509" s="244" t="str">
        <f t="shared" si="101"/>
        <v/>
      </c>
    </row>
    <row r="6510" spans="1:2" x14ac:dyDescent="0.25">
      <c r="A6510" t="str">
        <f>IF(C6510&amp;G6510&amp;D6510&lt;&gt;'Funnel setup'!$K$3&amp;'Funnel setup'!$K$4&amp;'Funnel setup'!$K$6,".",IF(A6509=".",1,A6509+1))</f>
        <v>.</v>
      </c>
      <c r="B6510" s="244" t="str">
        <f t="shared" si="101"/>
        <v/>
      </c>
    </row>
    <row r="6511" spans="1:2" x14ac:dyDescent="0.25">
      <c r="A6511" t="str">
        <f>IF(C6511&amp;G6511&amp;D6511&lt;&gt;'Funnel setup'!$K$3&amp;'Funnel setup'!$K$4&amp;'Funnel setup'!$K$6,".",IF(A6510=".",1,A6510+1))</f>
        <v>.</v>
      </c>
      <c r="B6511" s="244" t="str">
        <f t="shared" si="101"/>
        <v/>
      </c>
    </row>
    <row r="6512" spans="1:2" x14ac:dyDescent="0.25">
      <c r="A6512" t="str">
        <f>IF(C6512&amp;G6512&amp;D6512&lt;&gt;'Funnel setup'!$K$3&amp;'Funnel setup'!$K$4&amp;'Funnel setup'!$K$6,".",IF(A6511=".",1,A6511+1))</f>
        <v>.</v>
      </c>
      <c r="B6512" s="244" t="str">
        <f t="shared" si="101"/>
        <v/>
      </c>
    </row>
    <row r="6513" spans="1:2" x14ac:dyDescent="0.25">
      <c r="A6513" t="str">
        <f>IF(C6513&amp;G6513&amp;D6513&lt;&gt;'Funnel setup'!$K$3&amp;'Funnel setup'!$K$4&amp;'Funnel setup'!$K$6,".",IF(A6512=".",1,A6512+1))</f>
        <v>.</v>
      </c>
      <c r="B6513" s="244" t="str">
        <f t="shared" si="101"/>
        <v/>
      </c>
    </row>
    <row r="6514" spans="1:2" x14ac:dyDescent="0.25">
      <c r="A6514" t="str">
        <f>IF(C6514&amp;G6514&amp;D6514&lt;&gt;'Funnel setup'!$K$3&amp;'Funnel setup'!$K$4&amp;'Funnel setup'!$K$6,".",IF(A6513=".",1,A6513+1))</f>
        <v>.</v>
      </c>
      <c r="B6514" s="244" t="str">
        <f t="shared" si="101"/>
        <v/>
      </c>
    </row>
    <row r="6515" spans="1:2" x14ac:dyDescent="0.25">
      <c r="A6515" t="str">
        <f>IF(C6515&amp;G6515&amp;D6515&lt;&gt;'Funnel setup'!$K$3&amp;'Funnel setup'!$K$4&amp;'Funnel setup'!$K$6,".",IF(A6514=".",1,A6514+1))</f>
        <v>.</v>
      </c>
      <c r="B6515" s="244" t="str">
        <f t="shared" si="101"/>
        <v/>
      </c>
    </row>
    <row r="6516" spans="1:2" x14ac:dyDescent="0.25">
      <c r="A6516" t="str">
        <f>IF(C6516&amp;G6516&amp;D6516&lt;&gt;'Funnel setup'!$K$3&amp;'Funnel setup'!$K$4&amp;'Funnel setup'!$K$6,".",IF(A6515=".",1,A6515+1))</f>
        <v>.</v>
      </c>
      <c r="B6516" s="244" t="str">
        <f t="shared" si="101"/>
        <v/>
      </c>
    </row>
    <row r="6517" spans="1:2" x14ac:dyDescent="0.25">
      <c r="A6517" t="str">
        <f>IF(C6517&amp;G6517&amp;D6517&lt;&gt;'Funnel setup'!$K$3&amp;'Funnel setup'!$K$4&amp;'Funnel setup'!$K$6,".",IF(A6516=".",1,A6516+1))</f>
        <v>.</v>
      </c>
      <c r="B6517" s="244" t="str">
        <f t="shared" si="101"/>
        <v/>
      </c>
    </row>
    <row r="6518" spans="1:2" x14ac:dyDescent="0.25">
      <c r="A6518" t="str">
        <f>IF(C6518&amp;G6518&amp;D6518&lt;&gt;'Funnel setup'!$K$3&amp;'Funnel setup'!$K$4&amp;'Funnel setup'!$K$6,".",IF(A6517=".",1,A6517+1))</f>
        <v>.</v>
      </c>
      <c r="B6518" s="244" t="str">
        <f t="shared" si="101"/>
        <v/>
      </c>
    </row>
    <row r="6519" spans="1:2" x14ac:dyDescent="0.25">
      <c r="A6519" t="str">
        <f>IF(C6519&amp;G6519&amp;D6519&lt;&gt;'Funnel setup'!$K$3&amp;'Funnel setup'!$K$4&amp;'Funnel setup'!$K$6,".",IF(A6518=".",1,A6518+1))</f>
        <v>.</v>
      </c>
      <c r="B6519" s="244" t="str">
        <f t="shared" si="101"/>
        <v/>
      </c>
    </row>
    <row r="6520" spans="1:2" x14ac:dyDescent="0.25">
      <c r="A6520" t="str">
        <f>IF(C6520&amp;G6520&amp;D6520&lt;&gt;'Funnel setup'!$K$3&amp;'Funnel setup'!$K$4&amp;'Funnel setup'!$K$6,".",IF(A6519=".",1,A6519+1))</f>
        <v>.</v>
      </c>
      <c r="B6520" s="244" t="str">
        <f t="shared" si="101"/>
        <v/>
      </c>
    </row>
    <row r="6521" spans="1:2" x14ac:dyDescent="0.25">
      <c r="A6521" t="str">
        <f>IF(C6521&amp;G6521&amp;D6521&lt;&gt;'Funnel setup'!$K$3&amp;'Funnel setup'!$K$4&amp;'Funnel setup'!$K$6,".",IF(A6520=".",1,A6520+1))</f>
        <v>.</v>
      </c>
      <c r="B6521" s="244" t="str">
        <f t="shared" si="101"/>
        <v/>
      </c>
    </row>
    <row r="6522" spans="1:2" x14ac:dyDescent="0.25">
      <c r="A6522" t="str">
        <f>IF(C6522&amp;G6522&amp;D6522&lt;&gt;'Funnel setup'!$K$3&amp;'Funnel setup'!$K$4&amp;'Funnel setup'!$K$6,".",IF(A6521=".",1,A6521+1))</f>
        <v>.</v>
      </c>
      <c r="B6522" s="244" t="str">
        <f t="shared" si="101"/>
        <v/>
      </c>
    </row>
    <row r="6523" spans="1:2" x14ac:dyDescent="0.25">
      <c r="A6523" t="str">
        <f>IF(C6523&amp;G6523&amp;D6523&lt;&gt;'Funnel setup'!$K$3&amp;'Funnel setup'!$K$4&amp;'Funnel setup'!$K$6,".",IF(A6522=".",1,A6522+1))</f>
        <v>.</v>
      </c>
      <c r="B6523" s="244" t="str">
        <f t="shared" si="101"/>
        <v/>
      </c>
    </row>
    <row r="6524" spans="1:2" x14ac:dyDescent="0.25">
      <c r="A6524" t="str">
        <f>IF(C6524&amp;G6524&amp;D6524&lt;&gt;'Funnel setup'!$K$3&amp;'Funnel setup'!$K$4&amp;'Funnel setup'!$K$6,".",IF(A6523=".",1,A6523+1))</f>
        <v>.</v>
      </c>
      <c r="B6524" s="244" t="str">
        <f t="shared" si="101"/>
        <v/>
      </c>
    </row>
    <row r="6525" spans="1:2" x14ac:dyDescent="0.25">
      <c r="A6525" t="str">
        <f>IF(C6525&amp;G6525&amp;D6525&lt;&gt;'Funnel setup'!$K$3&amp;'Funnel setup'!$K$4&amp;'Funnel setup'!$K$6,".",IF(A6524=".",1,A6524+1))</f>
        <v>.</v>
      </c>
      <c r="B6525" s="244" t="str">
        <f t="shared" si="101"/>
        <v/>
      </c>
    </row>
    <row r="6526" spans="1:2" x14ac:dyDescent="0.25">
      <c r="A6526" t="str">
        <f>IF(C6526&amp;G6526&amp;D6526&lt;&gt;'Funnel setup'!$K$3&amp;'Funnel setup'!$K$4&amp;'Funnel setup'!$K$6,".",IF(A6525=".",1,A6525+1))</f>
        <v>.</v>
      </c>
      <c r="B6526" s="244" t="str">
        <f t="shared" si="101"/>
        <v/>
      </c>
    </row>
    <row r="6527" spans="1:2" x14ac:dyDescent="0.25">
      <c r="A6527" t="str">
        <f>IF(C6527&amp;G6527&amp;D6527&lt;&gt;'Funnel setup'!$K$3&amp;'Funnel setup'!$K$4&amp;'Funnel setup'!$K$6,".",IF(A6526=".",1,A6526+1))</f>
        <v>.</v>
      </c>
      <c r="B6527" s="244" t="str">
        <f t="shared" si="101"/>
        <v/>
      </c>
    </row>
    <row r="6528" spans="1:2" x14ac:dyDescent="0.25">
      <c r="A6528" t="str">
        <f>IF(C6528&amp;G6528&amp;D6528&lt;&gt;'Funnel setup'!$K$3&amp;'Funnel setup'!$K$4&amp;'Funnel setup'!$K$6,".",IF(A6527=".",1,A6527+1))</f>
        <v>.</v>
      </c>
      <c r="B6528" s="244" t="str">
        <f t="shared" si="101"/>
        <v/>
      </c>
    </row>
    <row r="6529" spans="1:2" x14ac:dyDescent="0.25">
      <c r="A6529" t="str">
        <f>IF(C6529&amp;G6529&amp;D6529&lt;&gt;'Funnel setup'!$K$3&amp;'Funnel setup'!$K$4&amp;'Funnel setup'!$K$6,".",IF(A6528=".",1,A6528+1))</f>
        <v>.</v>
      </c>
      <c r="B6529" s="244" t="str">
        <f t="shared" si="101"/>
        <v/>
      </c>
    </row>
    <row r="6530" spans="1:2" x14ac:dyDescent="0.25">
      <c r="A6530" t="str">
        <f>IF(C6530&amp;G6530&amp;D6530&lt;&gt;'Funnel setup'!$K$3&amp;'Funnel setup'!$K$4&amp;'Funnel setup'!$K$6,".",IF(A6529=".",1,A6529+1))</f>
        <v>.</v>
      </c>
      <c r="B6530" s="244" t="str">
        <f t="shared" ref="B6530:B6593" si="102">C6530&amp;D6530&amp;F6530&amp;G6530</f>
        <v/>
      </c>
    </row>
    <row r="6531" spans="1:2" x14ac:dyDescent="0.25">
      <c r="A6531" t="str">
        <f>IF(C6531&amp;G6531&amp;D6531&lt;&gt;'Funnel setup'!$K$3&amp;'Funnel setup'!$K$4&amp;'Funnel setup'!$K$6,".",IF(A6530=".",1,A6530+1))</f>
        <v>.</v>
      </c>
      <c r="B6531" s="244" t="str">
        <f t="shared" si="102"/>
        <v/>
      </c>
    </row>
    <row r="6532" spans="1:2" x14ac:dyDescent="0.25">
      <c r="A6532" t="str">
        <f>IF(C6532&amp;G6532&amp;D6532&lt;&gt;'Funnel setup'!$K$3&amp;'Funnel setup'!$K$4&amp;'Funnel setup'!$K$6,".",IF(A6531=".",1,A6531+1))</f>
        <v>.</v>
      </c>
      <c r="B6532" s="244" t="str">
        <f t="shared" si="102"/>
        <v/>
      </c>
    </row>
    <row r="6533" spans="1:2" x14ac:dyDescent="0.25">
      <c r="A6533" t="str">
        <f>IF(C6533&amp;G6533&amp;D6533&lt;&gt;'Funnel setup'!$K$3&amp;'Funnel setup'!$K$4&amp;'Funnel setup'!$K$6,".",IF(A6532=".",1,A6532+1))</f>
        <v>.</v>
      </c>
      <c r="B6533" s="244" t="str">
        <f t="shared" si="102"/>
        <v/>
      </c>
    </row>
    <row r="6534" spans="1:2" x14ac:dyDescent="0.25">
      <c r="A6534" t="str">
        <f>IF(C6534&amp;G6534&amp;D6534&lt;&gt;'Funnel setup'!$K$3&amp;'Funnel setup'!$K$4&amp;'Funnel setup'!$K$6,".",IF(A6533=".",1,A6533+1))</f>
        <v>.</v>
      </c>
      <c r="B6534" s="244" t="str">
        <f t="shared" si="102"/>
        <v/>
      </c>
    </row>
    <row r="6535" spans="1:2" x14ac:dyDescent="0.25">
      <c r="A6535" t="str">
        <f>IF(C6535&amp;G6535&amp;D6535&lt;&gt;'Funnel setup'!$K$3&amp;'Funnel setup'!$K$4&amp;'Funnel setup'!$K$6,".",IF(A6534=".",1,A6534+1))</f>
        <v>.</v>
      </c>
      <c r="B6535" s="244" t="str">
        <f t="shared" si="102"/>
        <v/>
      </c>
    </row>
    <row r="6536" spans="1:2" x14ac:dyDescent="0.25">
      <c r="A6536" t="str">
        <f>IF(C6536&amp;G6536&amp;D6536&lt;&gt;'Funnel setup'!$K$3&amp;'Funnel setup'!$K$4&amp;'Funnel setup'!$K$6,".",IF(A6535=".",1,A6535+1))</f>
        <v>.</v>
      </c>
      <c r="B6536" s="244" t="str">
        <f t="shared" si="102"/>
        <v/>
      </c>
    </row>
    <row r="6537" spans="1:2" x14ac:dyDescent="0.25">
      <c r="A6537" t="str">
        <f>IF(C6537&amp;G6537&amp;D6537&lt;&gt;'Funnel setup'!$K$3&amp;'Funnel setup'!$K$4&amp;'Funnel setup'!$K$6,".",IF(A6536=".",1,A6536+1))</f>
        <v>.</v>
      </c>
      <c r="B6537" s="244" t="str">
        <f t="shared" si="102"/>
        <v/>
      </c>
    </row>
    <row r="6538" spans="1:2" x14ac:dyDescent="0.25">
      <c r="A6538" t="str">
        <f>IF(C6538&amp;G6538&amp;D6538&lt;&gt;'Funnel setup'!$K$3&amp;'Funnel setup'!$K$4&amp;'Funnel setup'!$K$6,".",IF(A6537=".",1,A6537+1))</f>
        <v>.</v>
      </c>
      <c r="B6538" s="244" t="str">
        <f t="shared" si="102"/>
        <v/>
      </c>
    </row>
    <row r="6539" spans="1:2" x14ac:dyDescent="0.25">
      <c r="A6539" t="str">
        <f>IF(C6539&amp;G6539&amp;D6539&lt;&gt;'Funnel setup'!$K$3&amp;'Funnel setup'!$K$4&amp;'Funnel setup'!$K$6,".",IF(A6538=".",1,A6538+1))</f>
        <v>.</v>
      </c>
      <c r="B6539" s="244" t="str">
        <f t="shared" si="102"/>
        <v/>
      </c>
    </row>
    <row r="6540" spans="1:2" x14ac:dyDescent="0.25">
      <c r="A6540" t="str">
        <f>IF(C6540&amp;G6540&amp;D6540&lt;&gt;'Funnel setup'!$K$3&amp;'Funnel setup'!$K$4&amp;'Funnel setup'!$K$6,".",IF(A6539=".",1,A6539+1))</f>
        <v>.</v>
      </c>
      <c r="B6540" s="244" t="str">
        <f t="shared" si="102"/>
        <v/>
      </c>
    </row>
    <row r="6541" spans="1:2" x14ac:dyDescent="0.25">
      <c r="A6541" t="str">
        <f>IF(C6541&amp;G6541&amp;D6541&lt;&gt;'Funnel setup'!$K$3&amp;'Funnel setup'!$K$4&amp;'Funnel setup'!$K$6,".",IF(A6540=".",1,A6540+1))</f>
        <v>.</v>
      </c>
      <c r="B6541" s="244" t="str">
        <f t="shared" si="102"/>
        <v/>
      </c>
    </row>
    <row r="6542" spans="1:2" x14ac:dyDescent="0.25">
      <c r="A6542" t="str">
        <f>IF(C6542&amp;G6542&amp;D6542&lt;&gt;'Funnel setup'!$K$3&amp;'Funnel setup'!$K$4&amp;'Funnel setup'!$K$6,".",IF(A6541=".",1,A6541+1))</f>
        <v>.</v>
      </c>
      <c r="B6542" s="244" t="str">
        <f t="shared" si="102"/>
        <v/>
      </c>
    </row>
    <row r="6543" spans="1:2" x14ac:dyDescent="0.25">
      <c r="A6543" t="str">
        <f>IF(C6543&amp;G6543&amp;D6543&lt;&gt;'Funnel setup'!$K$3&amp;'Funnel setup'!$K$4&amp;'Funnel setup'!$K$6,".",IF(A6542=".",1,A6542+1))</f>
        <v>.</v>
      </c>
      <c r="B6543" s="244" t="str">
        <f t="shared" si="102"/>
        <v/>
      </c>
    </row>
    <row r="6544" spans="1:2" x14ac:dyDescent="0.25">
      <c r="A6544" t="str">
        <f>IF(C6544&amp;G6544&amp;D6544&lt;&gt;'Funnel setup'!$K$3&amp;'Funnel setup'!$K$4&amp;'Funnel setup'!$K$6,".",IF(A6543=".",1,A6543+1))</f>
        <v>.</v>
      </c>
      <c r="B6544" s="244" t="str">
        <f t="shared" si="102"/>
        <v/>
      </c>
    </row>
    <row r="6545" spans="1:2" x14ac:dyDescent="0.25">
      <c r="A6545" t="str">
        <f>IF(C6545&amp;G6545&amp;D6545&lt;&gt;'Funnel setup'!$K$3&amp;'Funnel setup'!$K$4&amp;'Funnel setup'!$K$6,".",IF(A6544=".",1,A6544+1))</f>
        <v>.</v>
      </c>
      <c r="B6545" s="244" t="str">
        <f t="shared" si="102"/>
        <v/>
      </c>
    </row>
    <row r="6546" spans="1:2" x14ac:dyDescent="0.25">
      <c r="A6546" t="str">
        <f>IF(C6546&amp;G6546&amp;D6546&lt;&gt;'Funnel setup'!$K$3&amp;'Funnel setup'!$K$4&amp;'Funnel setup'!$K$6,".",IF(A6545=".",1,A6545+1))</f>
        <v>.</v>
      </c>
      <c r="B6546" s="244" t="str">
        <f t="shared" si="102"/>
        <v/>
      </c>
    </row>
    <row r="6547" spans="1:2" x14ac:dyDescent="0.25">
      <c r="A6547" t="str">
        <f>IF(C6547&amp;G6547&amp;D6547&lt;&gt;'Funnel setup'!$K$3&amp;'Funnel setup'!$K$4&amp;'Funnel setup'!$K$6,".",IF(A6546=".",1,A6546+1))</f>
        <v>.</v>
      </c>
      <c r="B6547" s="244" t="str">
        <f t="shared" si="102"/>
        <v/>
      </c>
    </row>
    <row r="6548" spans="1:2" x14ac:dyDescent="0.25">
      <c r="A6548" t="str">
        <f>IF(C6548&amp;G6548&amp;D6548&lt;&gt;'Funnel setup'!$K$3&amp;'Funnel setup'!$K$4&amp;'Funnel setup'!$K$6,".",IF(A6547=".",1,A6547+1))</f>
        <v>.</v>
      </c>
      <c r="B6548" s="244" t="str">
        <f t="shared" si="102"/>
        <v/>
      </c>
    </row>
    <row r="6549" spans="1:2" x14ac:dyDescent="0.25">
      <c r="A6549" t="str">
        <f>IF(C6549&amp;G6549&amp;D6549&lt;&gt;'Funnel setup'!$K$3&amp;'Funnel setup'!$K$4&amp;'Funnel setup'!$K$6,".",IF(A6548=".",1,A6548+1))</f>
        <v>.</v>
      </c>
      <c r="B6549" s="244" t="str">
        <f t="shared" si="102"/>
        <v/>
      </c>
    </row>
    <row r="6550" spans="1:2" x14ac:dyDescent="0.25">
      <c r="A6550" t="str">
        <f>IF(C6550&amp;G6550&amp;D6550&lt;&gt;'Funnel setup'!$K$3&amp;'Funnel setup'!$K$4&amp;'Funnel setup'!$K$6,".",IF(A6549=".",1,A6549+1))</f>
        <v>.</v>
      </c>
      <c r="B6550" s="244" t="str">
        <f t="shared" si="102"/>
        <v/>
      </c>
    </row>
    <row r="6551" spans="1:2" x14ac:dyDescent="0.25">
      <c r="A6551" t="str">
        <f>IF(C6551&amp;G6551&amp;D6551&lt;&gt;'Funnel setup'!$K$3&amp;'Funnel setup'!$K$4&amp;'Funnel setup'!$K$6,".",IF(A6550=".",1,A6550+1))</f>
        <v>.</v>
      </c>
      <c r="B6551" s="244" t="str">
        <f t="shared" si="102"/>
        <v/>
      </c>
    </row>
    <row r="6552" spans="1:2" x14ac:dyDescent="0.25">
      <c r="A6552" t="str">
        <f>IF(C6552&amp;G6552&amp;D6552&lt;&gt;'Funnel setup'!$K$3&amp;'Funnel setup'!$K$4&amp;'Funnel setup'!$K$6,".",IF(A6551=".",1,A6551+1))</f>
        <v>.</v>
      </c>
      <c r="B6552" s="244" t="str">
        <f t="shared" si="102"/>
        <v/>
      </c>
    </row>
    <row r="6553" spans="1:2" x14ac:dyDescent="0.25">
      <c r="A6553" t="str">
        <f>IF(C6553&amp;G6553&amp;D6553&lt;&gt;'Funnel setup'!$K$3&amp;'Funnel setup'!$K$4&amp;'Funnel setup'!$K$6,".",IF(A6552=".",1,A6552+1))</f>
        <v>.</v>
      </c>
      <c r="B6553" s="244" t="str">
        <f t="shared" si="102"/>
        <v/>
      </c>
    </row>
    <row r="6554" spans="1:2" x14ac:dyDescent="0.25">
      <c r="A6554" t="str">
        <f>IF(C6554&amp;G6554&amp;D6554&lt;&gt;'Funnel setup'!$K$3&amp;'Funnel setup'!$K$4&amp;'Funnel setup'!$K$6,".",IF(A6553=".",1,A6553+1))</f>
        <v>.</v>
      </c>
      <c r="B6554" s="244" t="str">
        <f t="shared" si="102"/>
        <v/>
      </c>
    </row>
    <row r="6555" spans="1:2" x14ac:dyDescent="0.25">
      <c r="A6555" t="str">
        <f>IF(C6555&amp;G6555&amp;D6555&lt;&gt;'Funnel setup'!$K$3&amp;'Funnel setup'!$K$4&amp;'Funnel setup'!$K$6,".",IF(A6554=".",1,A6554+1))</f>
        <v>.</v>
      </c>
      <c r="B6555" s="244" t="str">
        <f t="shared" si="102"/>
        <v/>
      </c>
    </row>
    <row r="6556" spans="1:2" x14ac:dyDescent="0.25">
      <c r="A6556" t="str">
        <f>IF(C6556&amp;G6556&amp;D6556&lt;&gt;'Funnel setup'!$K$3&amp;'Funnel setup'!$K$4&amp;'Funnel setup'!$K$6,".",IF(A6555=".",1,A6555+1))</f>
        <v>.</v>
      </c>
      <c r="B6556" s="244" t="str">
        <f t="shared" si="102"/>
        <v/>
      </c>
    </row>
    <row r="6557" spans="1:2" x14ac:dyDescent="0.25">
      <c r="A6557" t="str">
        <f>IF(C6557&amp;G6557&amp;D6557&lt;&gt;'Funnel setup'!$K$3&amp;'Funnel setup'!$K$4&amp;'Funnel setup'!$K$6,".",IF(A6556=".",1,A6556+1))</f>
        <v>.</v>
      </c>
      <c r="B6557" s="244" t="str">
        <f t="shared" si="102"/>
        <v/>
      </c>
    </row>
    <row r="6558" spans="1:2" x14ac:dyDescent="0.25">
      <c r="A6558" t="str">
        <f>IF(C6558&amp;G6558&amp;D6558&lt;&gt;'Funnel setup'!$K$3&amp;'Funnel setup'!$K$4&amp;'Funnel setup'!$K$6,".",IF(A6557=".",1,A6557+1))</f>
        <v>.</v>
      </c>
      <c r="B6558" s="244" t="str">
        <f t="shared" si="102"/>
        <v/>
      </c>
    </row>
    <row r="6559" spans="1:2" x14ac:dyDescent="0.25">
      <c r="A6559" t="str">
        <f>IF(C6559&amp;G6559&amp;D6559&lt;&gt;'Funnel setup'!$K$3&amp;'Funnel setup'!$K$4&amp;'Funnel setup'!$K$6,".",IF(A6558=".",1,A6558+1))</f>
        <v>.</v>
      </c>
      <c r="B6559" s="244" t="str">
        <f t="shared" si="102"/>
        <v/>
      </c>
    </row>
    <row r="6560" spans="1:2" x14ac:dyDescent="0.25">
      <c r="A6560" t="str">
        <f>IF(C6560&amp;G6560&amp;D6560&lt;&gt;'Funnel setup'!$K$3&amp;'Funnel setup'!$K$4&amp;'Funnel setup'!$K$6,".",IF(A6559=".",1,A6559+1))</f>
        <v>.</v>
      </c>
      <c r="B6560" s="244" t="str">
        <f t="shared" si="102"/>
        <v/>
      </c>
    </row>
    <row r="6561" spans="1:2" x14ac:dyDescent="0.25">
      <c r="A6561" t="str">
        <f>IF(C6561&amp;G6561&amp;D6561&lt;&gt;'Funnel setup'!$K$3&amp;'Funnel setup'!$K$4&amp;'Funnel setup'!$K$6,".",IF(A6560=".",1,A6560+1))</f>
        <v>.</v>
      </c>
      <c r="B6561" s="244" t="str">
        <f t="shared" si="102"/>
        <v/>
      </c>
    </row>
    <row r="6562" spans="1:2" x14ac:dyDescent="0.25">
      <c r="A6562" t="str">
        <f>IF(C6562&amp;G6562&amp;D6562&lt;&gt;'Funnel setup'!$K$3&amp;'Funnel setup'!$K$4&amp;'Funnel setup'!$K$6,".",IF(A6561=".",1,A6561+1))</f>
        <v>.</v>
      </c>
      <c r="B6562" s="244" t="str">
        <f t="shared" si="102"/>
        <v/>
      </c>
    </row>
    <row r="6563" spans="1:2" x14ac:dyDescent="0.25">
      <c r="A6563" t="str">
        <f>IF(C6563&amp;G6563&amp;D6563&lt;&gt;'Funnel setup'!$K$3&amp;'Funnel setup'!$K$4&amp;'Funnel setup'!$K$6,".",IF(A6562=".",1,A6562+1))</f>
        <v>.</v>
      </c>
      <c r="B6563" s="244" t="str">
        <f t="shared" si="102"/>
        <v/>
      </c>
    </row>
    <row r="6564" spans="1:2" x14ac:dyDescent="0.25">
      <c r="A6564" t="str">
        <f>IF(C6564&amp;G6564&amp;D6564&lt;&gt;'Funnel setup'!$K$3&amp;'Funnel setup'!$K$4&amp;'Funnel setup'!$K$6,".",IF(A6563=".",1,A6563+1))</f>
        <v>.</v>
      </c>
      <c r="B6564" s="244" t="str">
        <f t="shared" si="102"/>
        <v/>
      </c>
    </row>
    <row r="6565" spans="1:2" x14ac:dyDescent="0.25">
      <c r="A6565" t="str">
        <f>IF(C6565&amp;G6565&amp;D6565&lt;&gt;'Funnel setup'!$K$3&amp;'Funnel setup'!$K$4&amp;'Funnel setup'!$K$6,".",IF(A6564=".",1,A6564+1))</f>
        <v>.</v>
      </c>
      <c r="B6565" s="244" t="str">
        <f t="shared" si="102"/>
        <v/>
      </c>
    </row>
    <row r="6566" spans="1:2" x14ac:dyDescent="0.25">
      <c r="A6566" t="str">
        <f>IF(C6566&amp;G6566&amp;D6566&lt;&gt;'Funnel setup'!$K$3&amp;'Funnel setup'!$K$4&amp;'Funnel setup'!$K$6,".",IF(A6565=".",1,A6565+1))</f>
        <v>.</v>
      </c>
      <c r="B6566" s="244" t="str">
        <f t="shared" si="102"/>
        <v/>
      </c>
    </row>
    <row r="6567" spans="1:2" x14ac:dyDescent="0.25">
      <c r="A6567" t="str">
        <f>IF(C6567&amp;G6567&amp;D6567&lt;&gt;'Funnel setup'!$K$3&amp;'Funnel setup'!$K$4&amp;'Funnel setup'!$K$6,".",IF(A6566=".",1,A6566+1))</f>
        <v>.</v>
      </c>
      <c r="B6567" s="244" t="str">
        <f t="shared" si="102"/>
        <v/>
      </c>
    </row>
    <row r="6568" spans="1:2" x14ac:dyDescent="0.25">
      <c r="A6568" t="str">
        <f>IF(C6568&amp;G6568&amp;D6568&lt;&gt;'Funnel setup'!$K$3&amp;'Funnel setup'!$K$4&amp;'Funnel setup'!$K$6,".",IF(A6567=".",1,A6567+1))</f>
        <v>.</v>
      </c>
      <c r="B6568" s="244" t="str">
        <f t="shared" si="102"/>
        <v/>
      </c>
    </row>
    <row r="6569" spans="1:2" x14ac:dyDescent="0.25">
      <c r="A6569" t="str">
        <f>IF(C6569&amp;G6569&amp;D6569&lt;&gt;'Funnel setup'!$K$3&amp;'Funnel setup'!$K$4&amp;'Funnel setup'!$K$6,".",IF(A6568=".",1,A6568+1))</f>
        <v>.</v>
      </c>
      <c r="B6569" s="244" t="str">
        <f t="shared" si="102"/>
        <v/>
      </c>
    </row>
    <row r="6570" spans="1:2" x14ac:dyDescent="0.25">
      <c r="A6570" t="str">
        <f>IF(C6570&amp;G6570&amp;D6570&lt;&gt;'Funnel setup'!$K$3&amp;'Funnel setup'!$K$4&amp;'Funnel setup'!$K$6,".",IF(A6569=".",1,A6569+1))</f>
        <v>.</v>
      </c>
      <c r="B6570" s="244" t="str">
        <f t="shared" si="102"/>
        <v/>
      </c>
    </row>
    <row r="6571" spans="1:2" x14ac:dyDescent="0.25">
      <c r="A6571" t="str">
        <f>IF(C6571&amp;G6571&amp;D6571&lt;&gt;'Funnel setup'!$K$3&amp;'Funnel setup'!$K$4&amp;'Funnel setup'!$K$6,".",IF(A6570=".",1,A6570+1))</f>
        <v>.</v>
      </c>
      <c r="B6571" s="244" t="str">
        <f t="shared" si="102"/>
        <v/>
      </c>
    </row>
    <row r="6572" spans="1:2" x14ac:dyDescent="0.25">
      <c r="A6572" t="str">
        <f>IF(C6572&amp;G6572&amp;D6572&lt;&gt;'Funnel setup'!$K$3&amp;'Funnel setup'!$K$4&amp;'Funnel setup'!$K$6,".",IF(A6571=".",1,A6571+1))</f>
        <v>.</v>
      </c>
      <c r="B6572" s="244" t="str">
        <f t="shared" si="102"/>
        <v/>
      </c>
    </row>
    <row r="6573" spans="1:2" x14ac:dyDescent="0.25">
      <c r="A6573" t="str">
        <f>IF(C6573&amp;G6573&amp;D6573&lt;&gt;'Funnel setup'!$K$3&amp;'Funnel setup'!$K$4&amp;'Funnel setup'!$K$6,".",IF(A6572=".",1,A6572+1))</f>
        <v>.</v>
      </c>
      <c r="B6573" s="244" t="str">
        <f t="shared" si="102"/>
        <v/>
      </c>
    </row>
    <row r="6574" spans="1:2" x14ac:dyDescent="0.25">
      <c r="A6574" t="str">
        <f>IF(C6574&amp;G6574&amp;D6574&lt;&gt;'Funnel setup'!$K$3&amp;'Funnel setup'!$K$4&amp;'Funnel setup'!$K$6,".",IF(A6573=".",1,A6573+1))</f>
        <v>.</v>
      </c>
      <c r="B6574" s="244" t="str">
        <f t="shared" si="102"/>
        <v/>
      </c>
    </row>
    <row r="6575" spans="1:2" x14ac:dyDescent="0.25">
      <c r="A6575" t="str">
        <f>IF(C6575&amp;G6575&amp;D6575&lt;&gt;'Funnel setup'!$K$3&amp;'Funnel setup'!$K$4&amp;'Funnel setup'!$K$6,".",IF(A6574=".",1,A6574+1))</f>
        <v>.</v>
      </c>
      <c r="B6575" s="244" t="str">
        <f t="shared" si="102"/>
        <v/>
      </c>
    </row>
    <row r="6576" spans="1:2" x14ac:dyDescent="0.25">
      <c r="A6576" t="str">
        <f>IF(C6576&amp;G6576&amp;D6576&lt;&gt;'Funnel setup'!$K$3&amp;'Funnel setup'!$K$4&amp;'Funnel setup'!$K$6,".",IF(A6575=".",1,A6575+1))</f>
        <v>.</v>
      </c>
      <c r="B6576" s="244" t="str">
        <f t="shared" si="102"/>
        <v/>
      </c>
    </row>
    <row r="6577" spans="1:2" x14ac:dyDescent="0.25">
      <c r="A6577" t="str">
        <f>IF(C6577&amp;G6577&amp;D6577&lt;&gt;'Funnel setup'!$K$3&amp;'Funnel setup'!$K$4&amp;'Funnel setup'!$K$6,".",IF(A6576=".",1,A6576+1))</f>
        <v>.</v>
      </c>
      <c r="B6577" s="244" t="str">
        <f t="shared" si="102"/>
        <v/>
      </c>
    </row>
    <row r="6578" spans="1:2" x14ac:dyDescent="0.25">
      <c r="A6578" t="str">
        <f>IF(C6578&amp;G6578&amp;D6578&lt;&gt;'Funnel setup'!$K$3&amp;'Funnel setup'!$K$4&amp;'Funnel setup'!$K$6,".",IF(A6577=".",1,A6577+1))</f>
        <v>.</v>
      </c>
      <c r="B6578" s="244" t="str">
        <f t="shared" si="102"/>
        <v/>
      </c>
    </row>
    <row r="6579" spans="1:2" x14ac:dyDescent="0.25">
      <c r="A6579" t="str">
        <f>IF(C6579&amp;G6579&amp;D6579&lt;&gt;'Funnel setup'!$K$3&amp;'Funnel setup'!$K$4&amp;'Funnel setup'!$K$6,".",IF(A6578=".",1,A6578+1))</f>
        <v>.</v>
      </c>
      <c r="B6579" s="244" t="str">
        <f t="shared" si="102"/>
        <v/>
      </c>
    </row>
    <row r="6580" spans="1:2" x14ac:dyDescent="0.25">
      <c r="A6580" t="str">
        <f>IF(C6580&amp;G6580&amp;D6580&lt;&gt;'Funnel setup'!$K$3&amp;'Funnel setup'!$K$4&amp;'Funnel setup'!$K$6,".",IF(A6579=".",1,A6579+1))</f>
        <v>.</v>
      </c>
      <c r="B6580" s="244" t="str">
        <f t="shared" si="102"/>
        <v/>
      </c>
    </row>
    <row r="6581" spans="1:2" x14ac:dyDescent="0.25">
      <c r="A6581" t="str">
        <f>IF(C6581&amp;G6581&amp;D6581&lt;&gt;'Funnel setup'!$K$3&amp;'Funnel setup'!$K$4&amp;'Funnel setup'!$K$6,".",IF(A6580=".",1,A6580+1))</f>
        <v>.</v>
      </c>
      <c r="B6581" s="244" t="str">
        <f t="shared" si="102"/>
        <v/>
      </c>
    </row>
    <row r="6582" spans="1:2" x14ac:dyDescent="0.25">
      <c r="A6582" t="str">
        <f>IF(C6582&amp;G6582&amp;D6582&lt;&gt;'Funnel setup'!$K$3&amp;'Funnel setup'!$K$4&amp;'Funnel setup'!$K$6,".",IF(A6581=".",1,A6581+1))</f>
        <v>.</v>
      </c>
      <c r="B6582" s="244" t="str">
        <f t="shared" si="102"/>
        <v/>
      </c>
    </row>
    <row r="6583" spans="1:2" x14ac:dyDescent="0.25">
      <c r="A6583" t="str">
        <f>IF(C6583&amp;G6583&amp;D6583&lt;&gt;'Funnel setup'!$K$3&amp;'Funnel setup'!$K$4&amp;'Funnel setup'!$K$6,".",IF(A6582=".",1,A6582+1))</f>
        <v>.</v>
      </c>
      <c r="B6583" s="244" t="str">
        <f t="shared" si="102"/>
        <v/>
      </c>
    </row>
    <row r="6584" spans="1:2" x14ac:dyDescent="0.25">
      <c r="A6584" t="str">
        <f>IF(C6584&amp;G6584&amp;D6584&lt;&gt;'Funnel setup'!$K$3&amp;'Funnel setup'!$K$4&amp;'Funnel setup'!$K$6,".",IF(A6583=".",1,A6583+1))</f>
        <v>.</v>
      </c>
      <c r="B6584" s="244" t="str">
        <f t="shared" si="102"/>
        <v/>
      </c>
    </row>
    <row r="6585" spans="1:2" x14ac:dyDescent="0.25">
      <c r="A6585" t="str">
        <f>IF(C6585&amp;G6585&amp;D6585&lt;&gt;'Funnel setup'!$K$3&amp;'Funnel setup'!$K$4&amp;'Funnel setup'!$K$6,".",IF(A6584=".",1,A6584+1))</f>
        <v>.</v>
      </c>
      <c r="B6585" s="244" t="str">
        <f t="shared" si="102"/>
        <v/>
      </c>
    </row>
    <row r="6586" spans="1:2" x14ac:dyDescent="0.25">
      <c r="A6586" t="str">
        <f>IF(C6586&amp;G6586&amp;D6586&lt;&gt;'Funnel setup'!$K$3&amp;'Funnel setup'!$K$4&amp;'Funnel setup'!$K$6,".",IF(A6585=".",1,A6585+1))</f>
        <v>.</v>
      </c>
      <c r="B6586" s="244" t="str">
        <f t="shared" si="102"/>
        <v/>
      </c>
    </row>
    <row r="6587" spans="1:2" x14ac:dyDescent="0.25">
      <c r="A6587" t="str">
        <f>IF(C6587&amp;G6587&amp;D6587&lt;&gt;'Funnel setup'!$K$3&amp;'Funnel setup'!$K$4&amp;'Funnel setup'!$K$6,".",IF(A6586=".",1,A6586+1))</f>
        <v>.</v>
      </c>
      <c r="B6587" s="244" t="str">
        <f t="shared" si="102"/>
        <v/>
      </c>
    </row>
    <row r="6588" spans="1:2" x14ac:dyDescent="0.25">
      <c r="A6588" t="str">
        <f>IF(C6588&amp;G6588&amp;D6588&lt;&gt;'Funnel setup'!$K$3&amp;'Funnel setup'!$K$4&amp;'Funnel setup'!$K$6,".",IF(A6587=".",1,A6587+1))</f>
        <v>.</v>
      </c>
      <c r="B6588" s="244" t="str">
        <f t="shared" si="102"/>
        <v/>
      </c>
    </row>
    <row r="6589" spans="1:2" x14ac:dyDescent="0.25">
      <c r="A6589" t="str">
        <f>IF(C6589&amp;G6589&amp;D6589&lt;&gt;'Funnel setup'!$K$3&amp;'Funnel setup'!$K$4&amp;'Funnel setup'!$K$6,".",IF(A6588=".",1,A6588+1))</f>
        <v>.</v>
      </c>
      <c r="B6589" s="244" t="str">
        <f t="shared" si="102"/>
        <v/>
      </c>
    </row>
    <row r="6590" spans="1:2" x14ac:dyDescent="0.25">
      <c r="A6590" t="str">
        <f>IF(C6590&amp;G6590&amp;D6590&lt;&gt;'Funnel setup'!$K$3&amp;'Funnel setup'!$K$4&amp;'Funnel setup'!$K$6,".",IF(A6589=".",1,A6589+1))</f>
        <v>.</v>
      </c>
      <c r="B6590" s="244" t="str">
        <f t="shared" si="102"/>
        <v/>
      </c>
    </row>
    <row r="6591" spans="1:2" x14ac:dyDescent="0.25">
      <c r="A6591" t="str">
        <f>IF(C6591&amp;G6591&amp;D6591&lt;&gt;'Funnel setup'!$K$3&amp;'Funnel setup'!$K$4&amp;'Funnel setup'!$K$6,".",IF(A6590=".",1,A6590+1))</f>
        <v>.</v>
      </c>
      <c r="B6591" s="244" t="str">
        <f t="shared" si="102"/>
        <v/>
      </c>
    </row>
    <row r="6592" spans="1:2" x14ac:dyDescent="0.25">
      <c r="A6592" t="str">
        <f>IF(C6592&amp;G6592&amp;D6592&lt;&gt;'Funnel setup'!$K$3&amp;'Funnel setup'!$K$4&amp;'Funnel setup'!$K$6,".",IF(A6591=".",1,A6591+1))</f>
        <v>.</v>
      </c>
      <c r="B6592" s="244" t="str">
        <f t="shared" si="102"/>
        <v/>
      </c>
    </row>
    <row r="6593" spans="1:2" x14ac:dyDescent="0.25">
      <c r="A6593" t="str">
        <f>IF(C6593&amp;G6593&amp;D6593&lt;&gt;'Funnel setup'!$K$3&amp;'Funnel setup'!$K$4&amp;'Funnel setup'!$K$6,".",IF(A6592=".",1,A6592+1))</f>
        <v>.</v>
      </c>
      <c r="B6593" s="244" t="str">
        <f t="shared" si="102"/>
        <v/>
      </c>
    </row>
    <row r="6594" spans="1:2" x14ac:dyDescent="0.25">
      <c r="A6594" t="str">
        <f>IF(C6594&amp;G6594&amp;D6594&lt;&gt;'Funnel setup'!$K$3&amp;'Funnel setup'!$K$4&amp;'Funnel setup'!$K$6,".",IF(A6593=".",1,A6593+1))</f>
        <v>.</v>
      </c>
      <c r="B6594" s="244" t="str">
        <f t="shared" ref="B6594:B6657" si="103">C6594&amp;D6594&amp;F6594&amp;G6594</f>
        <v/>
      </c>
    </row>
    <row r="6595" spans="1:2" x14ac:dyDescent="0.25">
      <c r="A6595" t="str">
        <f>IF(C6595&amp;G6595&amp;D6595&lt;&gt;'Funnel setup'!$K$3&amp;'Funnel setup'!$K$4&amp;'Funnel setup'!$K$6,".",IF(A6594=".",1,A6594+1))</f>
        <v>.</v>
      </c>
      <c r="B6595" s="244" t="str">
        <f t="shared" si="103"/>
        <v/>
      </c>
    </row>
    <row r="6596" spans="1:2" x14ac:dyDescent="0.25">
      <c r="A6596" t="str">
        <f>IF(C6596&amp;G6596&amp;D6596&lt;&gt;'Funnel setup'!$K$3&amp;'Funnel setup'!$K$4&amp;'Funnel setup'!$K$6,".",IF(A6595=".",1,A6595+1))</f>
        <v>.</v>
      </c>
      <c r="B6596" s="244" t="str">
        <f t="shared" si="103"/>
        <v/>
      </c>
    </row>
    <row r="6597" spans="1:2" x14ac:dyDescent="0.25">
      <c r="A6597" t="str">
        <f>IF(C6597&amp;G6597&amp;D6597&lt;&gt;'Funnel setup'!$K$3&amp;'Funnel setup'!$K$4&amp;'Funnel setup'!$K$6,".",IF(A6596=".",1,A6596+1))</f>
        <v>.</v>
      </c>
      <c r="B6597" s="244" t="str">
        <f t="shared" si="103"/>
        <v/>
      </c>
    </row>
    <row r="6598" spans="1:2" x14ac:dyDescent="0.25">
      <c r="A6598" t="str">
        <f>IF(C6598&amp;G6598&amp;D6598&lt;&gt;'Funnel setup'!$K$3&amp;'Funnel setup'!$K$4&amp;'Funnel setup'!$K$6,".",IF(A6597=".",1,A6597+1))</f>
        <v>.</v>
      </c>
      <c r="B6598" s="244" t="str">
        <f t="shared" si="103"/>
        <v/>
      </c>
    </row>
    <row r="6599" spans="1:2" x14ac:dyDescent="0.25">
      <c r="A6599" t="str">
        <f>IF(C6599&amp;G6599&amp;D6599&lt;&gt;'Funnel setup'!$K$3&amp;'Funnel setup'!$K$4&amp;'Funnel setup'!$K$6,".",IF(A6598=".",1,A6598+1))</f>
        <v>.</v>
      </c>
      <c r="B6599" s="244" t="str">
        <f t="shared" si="103"/>
        <v/>
      </c>
    </row>
    <row r="6600" spans="1:2" x14ac:dyDescent="0.25">
      <c r="A6600" t="str">
        <f>IF(C6600&amp;G6600&amp;D6600&lt;&gt;'Funnel setup'!$K$3&amp;'Funnel setup'!$K$4&amp;'Funnel setup'!$K$6,".",IF(A6599=".",1,A6599+1))</f>
        <v>.</v>
      </c>
      <c r="B6600" s="244" t="str">
        <f t="shared" si="103"/>
        <v/>
      </c>
    </row>
    <row r="6601" spans="1:2" x14ac:dyDescent="0.25">
      <c r="A6601" t="str">
        <f>IF(C6601&amp;G6601&amp;D6601&lt;&gt;'Funnel setup'!$K$3&amp;'Funnel setup'!$K$4&amp;'Funnel setup'!$K$6,".",IF(A6600=".",1,A6600+1))</f>
        <v>.</v>
      </c>
      <c r="B6601" s="244" t="str">
        <f t="shared" si="103"/>
        <v/>
      </c>
    </row>
    <row r="6602" spans="1:2" x14ac:dyDescent="0.25">
      <c r="A6602" t="str">
        <f>IF(C6602&amp;G6602&amp;D6602&lt;&gt;'Funnel setup'!$K$3&amp;'Funnel setup'!$K$4&amp;'Funnel setup'!$K$6,".",IF(A6601=".",1,A6601+1))</f>
        <v>.</v>
      </c>
      <c r="B6602" s="244" t="str">
        <f t="shared" si="103"/>
        <v/>
      </c>
    </row>
    <row r="6603" spans="1:2" x14ac:dyDescent="0.25">
      <c r="A6603" t="str">
        <f>IF(C6603&amp;G6603&amp;D6603&lt;&gt;'Funnel setup'!$K$3&amp;'Funnel setup'!$K$4&amp;'Funnel setup'!$K$6,".",IF(A6602=".",1,A6602+1))</f>
        <v>.</v>
      </c>
      <c r="B6603" s="244" t="str">
        <f t="shared" si="103"/>
        <v/>
      </c>
    </row>
    <row r="6604" spans="1:2" x14ac:dyDescent="0.25">
      <c r="A6604" t="str">
        <f>IF(C6604&amp;G6604&amp;D6604&lt;&gt;'Funnel setup'!$K$3&amp;'Funnel setup'!$K$4&amp;'Funnel setup'!$K$6,".",IF(A6603=".",1,A6603+1))</f>
        <v>.</v>
      </c>
      <c r="B6604" s="244" t="str">
        <f t="shared" si="103"/>
        <v/>
      </c>
    </row>
    <row r="6605" spans="1:2" x14ac:dyDescent="0.25">
      <c r="A6605" t="str">
        <f>IF(C6605&amp;G6605&amp;D6605&lt;&gt;'Funnel setup'!$K$3&amp;'Funnel setup'!$K$4&amp;'Funnel setup'!$K$6,".",IF(A6604=".",1,A6604+1))</f>
        <v>.</v>
      </c>
      <c r="B6605" s="244" t="str">
        <f t="shared" si="103"/>
        <v/>
      </c>
    </row>
    <row r="6606" spans="1:2" x14ac:dyDescent="0.25">
      <c r="A6606" t="str">
        <f>IF(C6606&amp;G6606&amp;D6606&lt;&gt;'Funnel setup'!$K$3&amp;'Funnel setup'!$K$4&amp;'Funnel setup'!$K$6,".",IF(A6605=".",1,A6605+1))</f>
        <v>.</v>
      </c>
      <c r="B6606" s="244" t="str">
        <f t="shared" si="103"/>
        <v/>
      </c>
    </row>
    <row r="6607" spans="1:2" x14ac:dyDescent="0.25">
      <c r="A6607" t="str">
        <f>IF(C6607&amp;G6607&amp;D6607&lt;&gt;'Funnel setup'!$K$3&amp;'Funnel setup'!$K$4&amp;'Funnel setup'!$K$6,".",IF(A6606=".",1,A6606+1))</f>
        <v>.</v>
      </c>
      <c r="B6607" s="244" t="str">
        <f t="shared" si="103"/>
        <v/>
      </c>
    </row>
    <row r="6608" spans="1:2" x14ac:dyDescent="0.25">
      <c r="A6608" t="str">
        <f>IF(C6608&amp;G6608&amp;D6608&lt;&gt;'Funnel setup'!$K$3&amp;'Funnel setup'!$K$4&amp;'Funnel setup'!$K$6,".",IF(A6607=".",1,A6607+1))</f>
        <v>.</v>
      </c>
      <c r="B6608" s="244" t="str">
        <f t="shared" si="103"/>
        <v/>
      </c>
    </row>
    <row r="6609" spans="1:2" x14ac:dyDescent="0.25">
      <c r="A6609" t="str">
        <f>IF(C6609&amp;G6609&amp;D6609&lt;&gt;'Funnel setup'!$K$3&amp;'Funnel setup'!$K$4&amp;'Funnel setup'!$K$6,".",IF(A6608=".",1,A6608+1))</f>
        <v>.</v>
      </c>
      <c r="B6609" s="244" t="str">
        <f t="shared" si="103"/>
        <v/>
      </c>
    </row>
    <row r="6610" spans="1:2" x14ac:dyDescent="0.25">
      <c r="A6610" t="str">
        <f>IF(C6610&amp;G6610&amp;D6610&lt;&gt;'Funnel setup'!$K$3&amp;'Funnel setup'!$K$4&amp;'Funnel setup'!$K$6,".",IF(A6609=".",1,A6609+1))</f>
        <v>.</v>
      </c>
      <c r="B6610" s="244" t="str">
        <f t="shared" si="103"/>
        <v/>
      </c>
    </row>
    <row r="6611" spans="1:2" x14ac:dyDescent="0.25">
      <c r="A6611" t="str">
        <f>IF(C6611&amp;G6611&amp;D6611&lt;&gt;'Funnel setup'!$K$3&amp;'Funnel setup'!$K$4&amp;'Funnel setup'!$K$6,".",IF(A6610=".",1,A6610+1))</f>
        <v>.</v>
      </c>
      <c r="B6611" s="244" t="str">
        <f t="shared" si="103"/>
        <v/>
      </c>
    </row>
    <row r="6612" spans="1:2" x14ac:dyDescent="0.25">
      <c r="A6612" t="str">
        <f>IF(C6612&amp;G6612&amp;D6612&lt;&gt;'Funnel setup'!$K$3&amp;'Funnel setup'!$K$4&amp;'Funnel setup'!$K$6,".",IF(A6611=".",1,A6611+1))</f>
        <v>.</v>
      </c>
      <c r="B6612" s="244" t="str">
        <f t="shared" si="103"/>
        <v/>
      </c>
    </row>
    <row r="6613" spans="1:2" x14ac:dyDescent="0.25">
      <c r="A6613" t="str">
        <f>IF(C6613&amp;G6613&amp;D6613&lt;&gt;'Funnel setup'!$K$3&amp;'Funnel setup'!$K$4&amp;'Funnel setup'!$K$6,".",IF(A6612=".",1,A6612+1))</f>
        <v>.</v>
      </c>
      <c r="B6613" s="244" t="str">
        <f t="shared" si="103"/>
        <v/>
      </c>
    </row>
    <row r="6614" spans="1:2" x14ac:dyDescent="0.25">
      <c r="A6614" t="str">
        <f>IF(C6614&amp;G6614&amp;D6614&lt;&gt;'Funnel setup'!$K$3&amp;'Funnel setup'!$K$4&amp;'Funnel setup'!$K$6,".",IF(A6613=".",1,A6613+1))</f>
        <v>.</v>
      </c>
      <c r="B6614" s="244" t="str">
        <f t="shared" si="103"/>
        <v/>
      </c>
    </row>
    <row r="6615" spans="1:2" x14ac:dyDescent="0.25">
      <c r="A6615" t="str">
        <f>IF(C6615&amp;G6615&amp;D6615&lt;&gt;'Funnel setup'!$K$3&amp;'Funnel setup'!$K$4&amp;'Funnel setup'!$K$6,".",IF(A6614=".",1,A6614+1))</f>
        <v>.</v>
      </c>
      <c r="B6615" s="244" t="str">
        <f t="shared" si="103"/>
        <v/>
      </c>
    </row>
    <row r="6616" spans="1:2" x14ac:dyDescent="0.25">
      <c r="A6616" t="str">
        <f>IF(C6616&amp;G6616&amp;D6616&lt;&gt;'Funnel setup'!$K$3&amp;'Funnel setup'!$K$4&amp;'Funnel setup'!$K$6,".",IF(A6615=".",1,A6615+1))</f>
        <v>.</v>
      </c>
      <c r="B6616" s="244" t="str">
        <f t="shared" si="103"/>
        <v/>
      </c>
    </row>
    <row r="6617" spans="1:2" x14ac:dyDescent="0.25">
      <c r="A6617" t="str">
        <f>IF(C6617&amp;G6617&amp;D6617&lt;&gt;'Funnel setup'!$K$3&amp;'Funnel setup'!$K$4&amp;'Funnel setup'!$K$6,".",IF(A6616=".",1,A6616+1))</f>
        <v>.</v>
      </c>
      <c r="B6617" s="244" t="str">
        <f t="shared" si="103"/>
        <v/>
      </c>
    </row>
    <row r="6618" spans="1:2" x14ac:dyDescent="0.25">
      <c r="A6618" t="str">
        <f>IF(C6618&amp;G6618&amp;D6618&lt;&gt;'Funnel setup'!$K$3&amp;'Funnel setup'!$K$4&amp;'Funnel setup'!$K$6,".",IF(A6617=".",1,A6617+1))</f>
        <v>.</v>
      </c>
      <c r="B6618" s="244" t="str">
        <f t="shared" si="103"/>
        <v/>
      </c>
    </row>
    <row r="6619" spans="1:2" x14ac:dyDescent="0.25">
      <c r="A6619" t="str">
        <f>IF(C6619&amp;G6619&amp;D6619&lt;&gt;'Funnel setup'!$K$3&amp;'Funnel setup'!$K$4&amp;'Funnel setup'!$K$6,".",IF(A6618=".",1,A6618+1))</f>
        <v>.</v>
      </c>
      <c r="B6619" s="244" t="str">
        <f t="shared" si="103"/>
        <v/>
      </c>
    </row>
    <row r="6620" spans="1:2" x14ac:dyDescent="0.25">
      <c r="A6620" t="str">
        <f>IF(C6620&amp;G6620&amp;D6620&lt;&gt;'Funnel setup'!$K$3&amp;'Funnel setup'!$K$4&amp;'Funnel setup'!$K$6,".",IF(A6619=".",1,A6619+1))</f>
        <v>.</v>
      </c>
      <c r="B6620" s="244" t="str">
        <f t="shared" si="103"/>
        <v/>
      </c>
    </row>
    <row r="6621" spans="1:2" x14ac:dyDescent="0.25">
      <c r="A6621" t="str">
        <f>IF(C6621&amp;G6621&amp;D6621&lt;&gt;'Funnel setup'!$K$3&amp;'Funnel setup'!$K$4&amp;'Funnel setup'!$K$6,".",IF(A6620=".",1,A6620+1))</f>
        <v>.</v>
      </c>
      <c r="B6621" s="244" t="str">
        <f t="shared" si="103"/>
        <v/>
      </c>
    </row>
    <row r="6622" spans="1:2" x14ac:dyDescent="0.25">
      <c r="A6622" t="str">
        <f>IF(C6622&amp;G6622&amp;D6622&lt;&gt;'Funnel setup'!$K$3&amp;'Funnel setup'!$K$4&amp;'Funnel setup'!$K$6,".",IF(A6621=".",1,A6621+1))</f>
        <v>.</v>
      </c>
      <c r="B6622" s="244" t="str">
        <f t="shared" si="103"/>
        <v/>
      </c>
    </row>
    <row r="6623" spans="1:2" x14ac:dyDescent="0.25">
      <c r="A6623" t="str">
        <f>IF(C6623&amp;G6623&amp;D6623&lt;&gt;'Funnel setup'!$K$3&amp;'Funnel setup'!$K$4&amp;'Funnel setup'!$K$6,".",IF(A6622=".",1,A6622+1))</f>
        <v>.</v>
      </c>
      <c r="B6623" s="244" t="str">
        <f t="shared" si="103"/>
        <v/>
      </c>
    </row>
    <row r="6624" spans="1:2" x14ac:dyDescent="0.25">
      <c r="A6624" t="str">
        <f>IF(C6624&amp;G6624&amp;D6624&lt;&gt;'Funnel setup'!$K$3&amp;'Funnel setup'!$K$4&amp;'Funnel setup'!$K$6,".",IF(A6623=".",1,A6623+1))</f>
        <v>.</v>
      </c>
      <c r="B6624" s="244" t="str">
        <f t="shared" si="103"/>
        <v/>
      </c>
    </row>
    <row r="6625" spans="1:2" x14ac:dyDescent="0.25">
      <c r="A6625" t="str">
        <f>IF(C6625&amp;G6625&amp;D6625&lt;&gt;'Funnel setup'!$K$3&amp;'Funnel setup'!$K$4&amp;'Funnel setup'!$K$6,".",IF(A6624=".",1,A6624+1))</f>
        <v>.</v>
      </c>
      <c r="B6625" s="244" t="str">
        <f t="shared" si="103"/>
        <v/>
      </c>
    </row>
    <row r="6626" spans="1:2" x14ac:dyDescent="0.25">
      <c r="A6626" t="str">
        <f>IF(C6626&amp;G6626&amp;D6626&lt;&gt;'Funnel setup'!$K$3&amp;'Funnel setup'!$K$4&amp;'Funnel setup'!$K$6,".",IF(A6625=".",1,A6625+1))</f>
        <v>.</v>
      </c>
      <c r="B6626" s="244" t="str">
        <f t="shared" si="103"/>
        <v/>
      </c>
    </row>
    <row r="6627" spans="1:2" x14ac:dyDescent="0.25">
      <c r="A6627" t="str">
        <f>IF(C6627&amp;G6627&amp;D6627&lt;&gt;'Funnel setup'!$K$3&amp;'Funnel setup'!$K$4&amp;'Funnel setup'!$K$6,".",IF(A6626=".",1,A6626+1))</f>
        <v>.</v>
      </c>
      <c r="B6627" s="244" t="str">
        <f t="shared" si="103"/>
        <v/>
      </c>
    </row>
    <row r="6628" spans="1:2" x14ac:dyDescent="0.25">
      <c r="A6628" t="str">
        <f>IF(C6628&amp;G6628&amp;D6628&lt;&gt;'Funnel setup'!$K$3&amp;'Funnel setup'!$K$4&amp;'Funnel setup'!$K$6,".",IF(A6627=".",1,A6627+1))</f>
        <v>.</v>
      </c>
      <c r="B6628" s="244" t="str">
        <f t="shared" si="103"/>
        <v/>
      </c>
    </row>
    <row r="6629" spans="1:2" x14ac:dyDescent="0.25">
      <c r="A6629" t="str">
        <f>IF(C6629&amp;G6629&amp;D6629&lt;&gt;'Funnel setup'!$K$3&amp;'Funnel setup'!$K$4&amp;'Funnel setup'!$K$6,".",IF(A6628=".",1,A6628+1))</f>
        <v>.</v>
      </c>
      <c r="B6629" s="244" t="str">
        <f t="shared" si="103"/>
        <v/>
      </c>
    </row>
    <row r="6630" spans="1:2" x14ac:dyDescent="0.25">
      <c r="A6630" t="str">
        <f>IF(C6630&amp;G6630&amp;D6630&lt;&gt;'Funnel setup'!$K$3&amp;'Funnel setup'!$K$4&amp;'Funnel setup'!$K$6,".",IF(A6629=".",1,A6629+1))</f>
        <v>.</v>
      </c>
      <c r="B6630" s="244" t="str">
        <f t="shared" si="103"/>
        <v/>
      </c>
    </row>
    <row r="6631" spans="1:2" x14ac:dyDescent="0.25">
      <c r="A6631" t="str">
        <f>IF(C6631&amp;G6631&amp;D6631&lt;&gt;'Funnel setup'!$K$3&amp;'Funnel setup'!$K$4&amp;'Funnel setup'!$K$6,".",IF(A6630=".",1,A6630+1))</f>
        <v>.</v>
      </c>
      <c r="B6631" s="244" t="str">
        <f t="shared" si="103"/>
        <v/>
      </c>
    </row>
    <row r="6632" spans="1:2" x14ac:dyDescent="0.25">
      <c r="A6632" t="str">
        <f>IF(C6632&amp;G6632&amp;D6632&lt;&gt;'Funnel setup'!$K$3&amp;'Funnel setup'!$K$4&amp;'Funnel setup'!$K$6,".",IF(A6631=".",1,A6631+1))</f>
        <v>.</v>
      </c>
      <c r="B6632" s="244" t="str">
        <f t="shared" si="103"/>
        <v/>
      </c>
    </row>
    <row r="6633" spans="1:2" x14ac:dyDescent="0.25">
      <c r="A6633" t="str">
        <f>IF(C6633&amp;G6633&amp;D6633&lt;&gt;'Funnel setup'!$K$3&amp;'Funnel setup'!$K$4&amp;'Funnel setup'!$K$6,".",IF(A6632=".",1,A6632+1))</f>
        <v>.</v>
      </c>
      <c r="B6633" s="244" t="str">
        <f t="shared" si="103"/>
        <v/>
      </c>
    </row>
    <row r="6634" spans="1:2" x14ac:dyDescent="0.25">
      <c r="A6634" t="str">
        <f>IF(C6634&amp;G6634&amp;D6634&lt;&gt;'Funnel setup'!$K$3&amp;'Funnel setup'!$K$4&amp;'Funnel setup'!$K$6,".",IF(A6633=".",1,A6633+1))</f>
        <v>.</v>
      </c>
      <c r="B6634" s="244" t="str">
        <f t="shared" si="103"/>
        <v/>
      </c>
    </row>
    <row r="6635" spans="1:2" x14ac:dyDescent="0.25">
      <c r="A6635" t="str">
        <f>IF(C6635&amp;G6635&amp;D6635&lt;&gt;'Funnel setup'!$K$3&amp;'Funnel setup'!$K$4&amp;'Funnel setup'!$K$6,".",IF(A6634=".",1,A6634+1))</f>
        <v>.</v>
      </c>
      <c r="B6635" s="244" t="str">
        <f t="shared" si="103"/>
        <v/>
      </c>
    </row>
    <row r="6636" spans="1:2" x14ac:dyDescent="0.25">
      <c r="A6636" t="str">
        <f>IF(C6636&amp;G6636&amp;D6636&lt;&gt;'Funnel setup'!$K$3&amp;'Funnel setup'!$K$4&amp;'Funnel setup'!$K$6,".",IF(A6635=".",1,A6635+1))</f>
        <v>.</v>
      </c>
      <c r="B6636" s="244" t="str">
        <f t="shared" si="103"/>
        <v/>
      </c>
    </row>
    <row r="6637" spans="1:2" x14ac:dyDescent="0.25">
      <c r="A6637" t="str">
        <f>IF(C6637&amp;G6637&amp;D6637&lt;&gt;'Funnel setup'!$K$3&amp;'Funnel setup'!$K$4&amp;'Funnel setup'!$K$6,".",IF(A6636=".",1,A6636+1))</f>
        <v>.</v>
      </c>
      <c r="B6637" s="244" t="str">
        <f t="shared" si="103"/>
        <v/>
      </c>
    </row>
    <row r="6638" spans="1:2" x14ac:dyDescent="0.25">
      <c r="A6638" t="str">
        <f>IF(C6638&amp;G6638&amp;D6638&lt;&gt;'Funnel setup'!$K$3&amp;'Funnel setup'!$K$4&amp;'Funnel setup'!$K$6,".",IF(A6637=".",1,A6637+1))</f>
        <v>.</v>
      </c>
      <c r="B6638" s="244" t="str">
        <f t="shared" si="103"/>
        <v/>
      </c>
    </row>
    <row r="6639" spans="1:2" x14ac:dyDescent="0.25">
      <c r="A6639" t="str">
        <f>IF(C6639&amp;G6639&amp;D6639&lt;&gt;'Funnel setup'!$K$3&amp;'Funnel setup'!$K$4&amp;'Funnel setup'!$K$6,".",IF(A6638=".",1,A6638+1))</f>
        <v>.</v>
      </c>
      <c r="B6639" s="244" t="str">
        <f t="shared" si="103"/>
        <v/>
      </c>
    </row>
    <row r="6640" spans="1:2" x14ac:dyDescent="0.25">
      <c r="A6640" t="str">
        <f>IF(C6640&amp;G6640&amp;D6640&lt;&gt;'Funnel setup'!$K$3&amp;'Funnel setup'!$K$4&amp;'Funnel setup'!$K$6,".",IF(A6639=".",1,A6639+1))</f>
        <v>.</v>
      </c>
      <c r="B6640" s="244" t="str">
        <f t="shared" si="103"/>
        <v/>
      </c>
    </row>
    <row r="6641" spans="1:2" x14ac:dyDescent="0.25">
      <c r="A6641" t="str">
        <f>IF(C6641&amp;G6641&amp;D6641&lt;&gt;'Funnel setup'!$K$3&amp;'Funnel setup'!$K$4&amp;'Funnel setup'!$K$6,".",IF(A6640=".",1,A6640+1))</f>
        <v>.</v>
      </c>
      <c r="B6641" s="244" t="str">
        <f t="shared" si="103"/>
        <v/>
      </c>
    </row>
    <row r="6642" spans="1:2" x14ac:dyDescent="0.25">
      <c r="A6642" t="str">
        <f>IF(C6642&amp;G6642&amp;D6642&lt;&gt;'Funnel setup'!$K$3&amp;'Funnel setup'!$K$4&amp;'Funnel setup'!$K$6,".",IF(A6641=".",1,A6641+1))</f>
        <v>.</v>
      </c>
      <c r="B6642" s="244" t="str">
        <f t="shared" si="103"/>
        <v/>
      </c>
    </row>
    <row r="6643" spans="1:2" x14ac:dyDescent="0.25">
      <c r="A6643" t="str">
        <f>IF(C6643&amp;G6643&amp;D6643&lt;&gt;'Funnel setup'!$K$3&amp;'Funnel setup'!$K$4&amp;'Funnel setup'!$K$6,".",IF(A6642=".",1,A6642+1))</f>
        <v>.</v>
      </c>
      <c r="B6643" s="244" t="str">
        <f t="shared" si="103"/>
        <v/>
      </c>
    </row>
    <row r="6644" spans="1:2" x14ac:dyDescent="0.25">
      <c r="A6644" t="str">
        <f>IF(C6644&amp;G6644&amp;D6644&lt;&gt;'Funnel setup'!$K$3&amp;'Funnel setup'!$K$4&amp;'Funnel setup'!$K$6,".",IF(A6643=".",1,A6643+1))</f>
        <v>.</v>
      </c>
      <c r="B6644" s="244" t="str">
        <f t="shared" si="103"/>
        <v/>
      </c>
    </row>
    <row r="6645" spans="1:2" x14ac:dyDescent="0.25">
      <c r="A6645" t="str">
        <f>IF(C6645&amp;G6645&amp;D6645&lt;&gt;'Funnel setup'!$K$3&amp;'Funnel setup'!$K$4&amp;'Funnel setup'!$K$6,".",IF(A6644=".",1,A6644+1))</f>
        <v>.</v>
      </c>
      <c r="B6645" s="244" t="str">
        <f t="shared" si="103"/>
        <v/>
      </c>
    </row>
    <row r="6646" spans="1:2" x14ac:dyDescent="0.25">
      <c r="A6646" t="str">
        <f>IF(C6646&amp;G6646&amp;D6646&lt;&gt;'Funnel setup'!$K$3&amp;'Funnel setup'!$K$4&amp;'Funnel setup'!$K$6,".",IF(A6645=".",1,A6645+1))</f>
        <v>.</v>
      </c>
      <c r="B6646" s="244" t="str">
        <f t="shared" si="103"/>
        <v/>
      </c>
    </row>
    <row r="6647" spans="1:2" x14ac:dyDescent="0.25">
      <c r="A6647" t="str">
        <f>IF(C6647&amp;G6647&amp;D6647&lt;&gt;'Funnel setup'!$K$3&amp;'Funnel setup'!$K$4&amp;'Funnel setup'!$K$6,".",IF(A6646=".",1,A6646+1))</f>
        <v>.</v>
      </c>
      <c r="B6647" s="244" t="str">
        <f t="shared" si="103"/>
        <v/>
      </c>
    </row>
    <row r="6648" spans="1:2" x14ac:dyDescent="0.25">
      <c r="A6648" t="str">
        <f>IF(C6648&amp;G6648&amp;D6648&lt;&gt;'Funnel setup'!$K$3&amp;'Funnel setup'!$K$4&amp;'Funnel setup'!$K$6,".",IF(A6647=".",1,A6647+1))</f>
        <v>.</v>
      </c>
      <c r="B6648" s="244" t="str">
        <f t="shared" si="103"/>
        <v/>
      </c>
    </row>
    <row r="6649" spans="1:2" x14ac:dyDescent="0.25">
      <c r="A6649" t="str">
        <f>IF(C6649&amp;G6649&amp;D6649&lt;&gt;'Funnel setup'!$K$3&amp;'Funnel setup'!$K$4&amp;'Funnel setup'!$K$6,".",IF(A6648=".",1,A6648+1))</f>
        <v>.</v>
      </c>
      <c r="B6649" s="244" t="str">
        <f t="shared" si="103"/>
        <v/>
      </c>
    </row>
    <row r="6650" spans="1:2" x14ac:dyDescent="0.25">
      <c r="A6650" t="str">
        <f>IF(C6650&amp;G6650&amp;D6650&lt;&gt;'Funnel setup'!$K$3&amp;'Funnel setup'!$K$4&amp;'Funnel setup'!$K$6,".",IF(A6649=".",1,A6649+1))</f>
        <v>.</v>
      </c>
      <c r="B6650" s="244" t="str">
        <f t="shared" si="103"/>
        <v/>
      </c>
    </row>
    <row r="6651" spans="1:2" x14ac:dyDescent="0.25">
      <c r="A6651" t="str">
        <f>IF(C6651&amp;G6651&amp;D6651&lt;&gt;'Funnel setup'!$K$3&amp;'Funnel setup'!$K$4&amp;'Funnel setup'!$K$6,".",IF(A6650=".",1,A6650+1))</f>
        <v>.</v>
      </c>
      <c r="B6651" s="244" t="str">
        <f t="shared" si="103"/>
        <v/>
      </c>
    </row>
    <row r="6652" spans="1:2" x14ac:dyDescent="0.25">
      <c r="A6652" t="str">
        <f>IF(C6652&amp;G6652&amp;D6652&lt;&gt;'Funnel setup'!$K$3&amp;'Funnel setup'!$K$4&amp;'Funnel setup'!$K$6,".",IF(A6651=".",1,A6651+1))</f>
        <v>.</v>
      </c>
      <c r="B6652" s="244" t="str">
        <f t="shared" si="103"/>
        <v/>
      </c>
    </row>
    <row r="6653" spans="1:2" x14ac:dyDescent="0.25">
      <c r="A6653" t="str">
        <f>IF(C6653&amp;G6653&amp;D6653&lt;&gt;'Funnel setup'!$K$3&amp;'Funnel setup'!$K$4&amp;'Funnel setup'!$K$6,".",IF(A6652=".",1,A6652+1))</f>
        <v>.</v>
      </c>
      <c r="B6653" s="244" t="str">
        <f t="shared" si="103"/>
        <v/>
      </c>
    </row>
    <row r="6654" spans="1:2" x14ac:dyDescent="0.25">
      <c r="A6654" t="str">
        <f>IF(C6654&amp;G6654&amp;D6654&lt;&gt;'Funnel setup'!$K$3&amp;'Funnel setup'!$K$4&amp;'Funnel setup'!$K$6,".",IF(A6653=".",1,A6653+1))</f>
        <v>.</v>
      </c>
      <c r="B6654" s="244" t="str">
        <f t="shared" si="103"/>
        <v/>
      </c>
    </row>
    <row r="6655" spans="1:2" x14ac:dyDescent="0.25">
      <c r="A6655" t="str">
        <f>IF(C6655&amp;G6655&amp;D6655&lt;&gt;'Funnel setup'!$K$3&amp;'Funnel setup'!$K$4&amp;'Funnel setup'!$K$6,".",IF(A6654=".",1,A6654+1))</f>
        <v>.</v>
      </c>
      <c r="B6655" s="244" t="str">
        <f t="shared" si="103"/>
        <v/>
      </c>
    </row>
    <row r="6656" spans="1:2" x14ac:dyDescent="0.25">
      <c r="A6656" t="str">
        <f>IF(C6656&amp;G6656&amp;D6656&lt;&gt;'Funnel setup'!$K$3&amp;'Funnel setup'!$K$4&amp;'Funnel setup'!$K$6,".",IF(A6655=".",1,A6655+1))</f>
        <v>.</v>
      </c>
      <c r="B6656" s="244" t="str">
        <f t="shared" si="103"/>
        <v/>
      </c>
    </row>
    <row r="6657" spans="1:2" x14ac:dyDescent="0.25">
      <c r="A6657" t="str">
        <f>IF(C6657&amp;G6657&amp;D6657&lt;&gt;'Funnel setup'!$K$3&amp;'Funnel setup'!$K$4&amp;'Funnel setup'!$K$6,".",IF(A6656=".",1,A6656+1))</f>
        <v>.</v>
      </c>
      <c r="B6657" s="244" t="str">
        <f t="shared" si="103"/>
        <v/>
      </c>
    </row>
    <row r="6658" spans="1:2" x14ac:dyDescent="0.25">
      <c r="A6658" t="str">
        <f>IF(C6658&amp;G6658&amp;D6658&lt;&gt;'Funnel setup'!$K$3&amp;'Funnel setup'!$K$4&amp;'Funnel setup'!$K$6,".",IF(A6657=".",1,A6657+1))</f>
        <v>.</v>
      </c>
      <c r="B6658" s="244" t="str">
        <f t="shared" ref="B6658:B6721" si="104">C6658&amp;D6658&amp;F6658&amp;G6658</f>
        <v/>
      </c>
    </row>
    <row r="6659" spans="1:2" x14ac:dyDescent="0.25">
      <c r="A6659" t="str">
        <f>IF(C6659&amp;G6659&amp;D6659&lt;&gt;'Funnel setup'!$K$3&amp;'Funnel setup'!$K$4&amp;'Funnel setup'!$K$6,".",IF(A6658=".",1,A6658+1))</f>
        <v>.</v>
      </c>
      <c r="B6659" s="244" t="str">
        <f t="shared" si="104"/>
        <v/>
      </c>
    </row>
    <row r="6660" spans="1:2" x14ac:dyDescent="0.25">
      <c r="A6660" t="str">
        <f>IF(C6660&amp;G6660&amp;D6660&lt;&gt;'Funnel setup'!$K$3&amp;'Funnel setup'!$K$4&amp;'Funnel setup'!$K$6,".",IF(A6659=".",1,A6659+1))</f>
        <v>.</v>
      </c>
      <c r="B6660" s="244" t="str">
        <f t="shared" si="104"/>
        <v/>
      </c>
    </row>
    <row r="6661" spans="1:2" x14ac:dyDescent="0.25">
      <c r="A6661" t="str">
        <f>IF(C6661&amp;G6661&amp;D6661&lt;&gt;'Funnel setup'!$K$3&amp;'Funnel setup'!$K$4&amp;'Funnel setup'!$K$6,".",IF(A6660=".",1,A6660+1))</f>
        <v>.</v>
      </c>
      <c r="B6661" s="244" t="str">
        <f t="shared" si="104"/>
        <v/>
      </c>
    </row>
    <row r="6662" spans="1:2" x14ac:dyDescent="0.25">
      <c r="A6662" t="str">
        <f>IF(C6662&amp;G6662&amp;D6662&lt;&gt;'Funnel setup'!$K$3&amp;'Funnel setup'!$K$4&amp;'Funnel setup'!$K$6,".",IF(A6661=".",1,A6661+1))</f>
        <v>.</v>
      </c>
      <c r="B6662" s="244" t="str">
        <f t="shared" si="104"/>
        <v/>
      </c>
    </row>
    <row r="6663" spans="1:2" x14ac:dyDescent="0.25">
      <c r="A6663" t="str">
        <f>IF(C6663&amp;G6663&amp;D6663&lt;&gt;'Funnel setup'!$K$3&amp;'Funnel setup'!$K$4&amp;'Funnel setup'!$K$6,".",IF(A6662=".",1,A6662+1))</f>
        <v>.</v>
      </c>
      <c r="B6663" s="244" t="str">
        <f t="shared" si="104"/>
        <v/>
      </c>
    </row>
    <row r="6664" spans="1:2" x14ac:dyDescent="0.25">
      <c r="A6664" t="str">
        <f>IF(C6664&amp;G6664&amp;D6664&lt;&gt;'Funnel setup'!$K$3&amp;'Funnel setup'!$K$4&amp;'Funnel setup'!$K$6,".",IF(A6663=".",1,A6663+1))</f>
        <v>.</v>
      </c>
      <c r="B6664" s="244" t="str">
        <f t="shared" si="104"/>
        <v/>
      </c>
    </row>
    <row r="6665" spans="1:2" x14ac:dyDescent="0.25">
      <c r="A6665" t="str">
        <f>IF(C6665&amp;G6665&amp;D6665&lt;&gt;'Funnel setup'!$K$3&amp;'Funnel setup'!$K$4&amp;'Funnel setup'!$K$6,".",IF(A6664=".",1,A6664+1))</f>
        <v>.</v>
      </c>
      <c r="B6665" s="244" t="str">
        <f t="shared" si="104"/>
        <v/>
      </c>
    </row>
    <row r="6666" spans="1:2" x14ac:dyDescent="0.25">
      <c r="A6666" t="str">
        <f>IF(C6666&amp;G6666&amp;D6666&lt;&gt;'Funnel setup'!$K$3&amp;'Funnel setup'!$K$4&amp;'Funnel setup'!$K$6,".",IF(A6665=".",1,A6665+1))</f>
        <v>.</v>
      </c>
      <c r="B6666" s="244" t="str">
        <f t="shared" si="104"/>
        <v/>
      </c>
    </row>
    <row r="6667" spans="1:2" x14ac:dyDescent="0.25">
      <c r="A6667" t="str">
        <f>IF(C6667&amp;G6667&amp;D6667&lt;&gt;'Funnel setup'!$K$3&amp;'Funnel setup'!$K$4&amp;'Funnel setup'!$K$6,".",IF(A6666=".",1,A6666+1))</f>
        <v>.</v>
      </c>
      <c r="B6667" s="244" t="str">
        <f t="shared" si="104"/>
        <v/>
      </c>
    </row>
    <row r="6668" spans="1:2" x14ac:dyDescent="0.25">
      <c r="A6668" t="str">
        <f>IF(C6668&amp;G6668&amp;D6668&lt;&gt;'Funnel setup'!$K$3&amp;'Funnel setup'!$K$4&amp;'Funnel setup'!$K$6,".",IF(A6667=".",1,A6667+1))</f>
        <v>.</v>
      </c>
      <c r="B6668" s="244" t="str">
        <f t="shared" si="104"/>
        <v/>
      </c>
    </row>
    <row r="6669" spans="1:2" x14ac:dyDescent="0.25">
      <c r="A6669" t="str">
        <f>IF(C6669&amp;G6669&amp;D6669&lt;&gt;'Funnel setup'!$K$3&amp;'Funnel setup'!$K$4&amp;'Funnel setup'!$K$6,".",IF(A6668=".",1,A6668+1))</f>
        <v>.</v>
      </c>
      <c r="B6669" s="244" t="str">
        <f t="shared" si="104"/>
        <v/>
      </c>
    </row>
    <row r="6670" spans="1:2" x14ac:dyDescent="0.25">
      <c r="A6670" t="str">
        <f>IF(C6670&amp;G6670&amp;D6670&lt;&gt;'Funnel setup'!$K$3&amp;'Funnel setup'!$K$4&amp;'Funnel setup'!$K$6,".",IF(A6669=".",1,A6669+1))</f>
        <v>.</v>
      </c>
      <c r="B6670" s="244" t="str">
        <f t="shared" si="104"/>
        <v/>
      </c>
    </row>
    <row r="6671" spans="1:2" x14ac:dyDescent="0.25">
      <c r="A6671" t="str">
        <f>IF(C6671&amp;G6671&amp;D6671&lt;&gt;'Funnel setup'!$K$3&amp;'Funnel setup'!$K$4&amp;'Funnel setup'!$K$6,".",IF(A6670=".",1,A6670+1))</f>
        <v>.</v>
      </c>
      <c r="B6671" s="244" t="str">
        <f t="shared" si="104"/>
        <v/>
      </c>
    </row>
    <row r="6672" spans="1:2" x14ac:dyDescent="0.25">
      <c r="A6672" t="str">
        <f>IF(C6672&amp;G6672&amp;D6672&lt;&gt;'Funnel setup'!$K$3&amp;'Funnel setup'!$K$4&amp;'Funnel setup'!$K$6,".",IF(A6671=".",1,A6671+1))</f>
        <v>.</v>
      </c>
      <c r="B6672" s="244" t="str">
        <f t="shared" si="104"/>
        <v/>
      </c>
    </row>
    <row r="6673" spans="1:2" x14ac:dyDescent="0.25">
      <c r="A6673" t="str">
        <f>IF(C6673&amp;G6673&amp;D6673&lt;&gt;'Funnel setup'!$K$3&amp;'Funnel setup'!$K$4&amp;'Funnel setup'!$K$6,".",IF(A6672=".",1,A6672+1))</f>
        <v>.</v>
      </c>
      <c r="B6673" s="244" t="str">
        <f t="shared" si="104"/>
        <v/>
      </c>
    </row>
    <row r="6674" spans="1:2" x14ac:dyDescent="0.25">
      <c r="A6674" t="str">
        <f>IF(C6674&amp;G6674&amp;D6674&lt;&gt;'Funnel setup'!$K$3&amp;'Funnel setup'!$K$4&amp;'Funnel setup'!$K$6,".",IF(A6673=".",1,A6673+1))</f>
        <v>.</v>
      </c>
      <c r="B6674" s="244" t="str">
        <f t="shared" si="104"/>
        <v/>
      </c>
    </row>
    <row r="6675" spans="1:2" x14ac:dyDescent="0.25">
      <c r="A6675" t="str">
        <f>IF(C6675&amp;G6675&amp;D6675&lt;&gt;'Funnel setup'!$K$3&amp;'Funnel setup'!$K$4&amp;'Funnel setup'!$K$6,".",IF(A6674=".",1,A6674+1))</f>
        <v>.</v>
      </c>
      <c r="B6675" s="244" t="str">
        <f t="shared" si="104"/>
        <v/>
      </c>
    </row>
    <row r="6676" spans="1:2" x14ac:dyDescent="0.25">
      <c r="A6676" t="str">
        <f>IF(C6676&amp;G6676&amp;D6676&lt;&gt;'Funnel setup'!$K$3&amp;'Funnel setup'!$K$4&amp;'Funnel setup'!$K$6,".",IF(A6675=".",1,A6675+1))</f>
        <v>.</v>
      </c>
      <c r="B6676" s="244" t="str">
        <f t="shared" si="104"/>
        <v/>
      </c>
    </row>
    <row r="6677" spans="1:2" x14ac:dyDescent="0.25">
      <c r="A6677" t="str">
        <f>IF(C6677&amp;G6677&amp;D6677&lt;&gt;'Funnel setup'!$K$3&amp;'Funnel setup'!$K$4&amp;'Funnel setup'!$K$6,".",IF(A6676=".",1,A6676+1))</f>
        <v>.</v>
      </c>
      <c r="B6677" s="244" t="str">
        <f t="shared" si="104"/>
        <v/>
      </c>
    </row>
    <row r="6678" spans="1:2" x14ac:dyDescent="0.25">
      <c r="A6678" t="str">
        <f>IF(C6678&amp;G6678&amp;D6678&lt;&gt;'Funnel setup'!$K$3&amp;'Funnel setup'!$K$4&amp;'Funnel setup'!$K$6,".",IF(A6677=".",1,A6677+1))</f>
        <v>.</v>
      </c>
      <c r="B6678" s="244" t="str">
        <f t="shared" si="104"/>
        <v/>
      </c>
    </row>
    <row r="6679" spans="1:2" x14ac:dyDescent="0.25">
      <c r="A6679" t="str">
        <f>IF(C6679&amp;G6679&amp;D6679&lt;&gt;'Funnel setup'!$K$3&amp;'Funnel setup'!$K$4&amp;'Funnel setup'!$K$6,".",IF(A6678=".",1,A6678+1))</f>
        <v>.</v>
      </c>
      <c r="B6679" s="244" t="str">
        <f t="shared" si="104"/>
        <v/>
      </c>
    </row>
    <row r="6680" spans="1:2" x14ac:dyDescent="0.25">
      <c r="A6680" t="str">
        <f>IF(C6680&amp;G6680&amp;D6680&lt;&gt;'Funnel setup'!$K$3&amp;'Funnel setup'!$K$4&amp;'Funnel setup'!$K$6,".",IF(A6679=".",1,A6679+1))</f>
        <v>.</v>
      </c>
      <c r="B6680" s="244" t="str">
        <f t="shared" si="104"/>
        <v/>
      </c>
    </row>
    <row r="6681" spans="1:2" x14ac:dyDescent="0.25">
      <c r="A6681" t="str">
        <f>IF(C6681&amp;G6681&amp;D6681&lt;&gt;'Funnel setup'!$K$3&amp;'Funnel setup'!$K$4&amp;'Funnel setup'!$K$6,".",IF(A6680=".",1,A6680+1))</f>
        <v>.</v>
      </c>
      <c r="B6681" s="244" t="str">
        <f t="shared" si="104"/>
        <v/>
      </c>
    </row>
    <row r="6682" spans="1:2" x14ac:dyDescent="0.25">
      <c r="A6682" t="str">
        <f>IF(C6682&amp;G6682&amp;D6682&lt;&gt;'Funnel setup'!$K$3&amp;'Funnel setup'!$K$4&amp;'Funnel setup'!$K$6,".",IF(A6681=".",1,A6681+1))</f>
        <v>.</v>
      </c>
      <c r="B6682" s="244" t="str">
        <f t="shared" si="104"/>
        <v/>
      </c>
    </row>
    <row r="6683" spans="1:2" x14ac:dyDescent="0.25">
      <c r="A6683" t="str">
        <f>IF(C6683&amp;G6683&amp;D6683&lt;&gt;'Funnel setup'!$K$3&amp;'Funnel setup'!$K$4&amp;'Funnel setup'!$K$6,".",IF(A6682=".",1,A6682+1))</f>
        <v>.</v>
      </c>
      <c r="B6683" s="244" t="str">
        <f t="shared" si="104"/>
        <v/>
      </c>
    </row>
    <row r="6684" spans="1:2" x14ac:dyDescent="0.25">
      <c r="A6684" t="str">
        <f>IF(C6684&amp;G6684&amp;D6684&lt;&gt;'Funnel setup'!$K$3&amp;'Funnel setup'!$K$4&amp;'Funnel setup'!$K$6,".",IF(A6683=".",1,A6683+1))</f>
        <v>.</v>
      </c>
      <c r="B6684" s="244" t="str">
        <f t="shared" si="104"/>
        <v/>
      </c>
    </row>
    <row r="6685" spans="1:2" x14ac:dyDescent="0.25">
      <c r="A6685" t="str">
        <f>IF(C6685&amp;G6685&amp;D6685&lt;&gt;'Funnel setup'!$K$3&amp;'Funnel setup'!$K$4&amp;'Funnel setup'!$K$6,".",IF(A6684=".",1,A6684+1))</f>
        <v>.</v>
      </c>
      <c r="B6685" s="244" t="str">
        <f t="shared" si="104"/>
        <v/>
      </c>
    </row>
    <row r="6686" spans="1:2" x14ac:dyDescent="0.25">
      <c r="A6686" t="str">
        <f>IF(C6686&amp;G6686&amp;D6686&lt;&gt;'Funnel setup'!$K$3&amp;'Funnel setup'!$K$4&amp;'Funnel setup'!$K$6,".",IF(A6685=".",1,A6685+1))</f>
        <v>.</v>
      </c>
      <c r="B6686" s="244" t="str">
        <f t="shared" si="104"/>
        <v/>
      </c>
    </row>
    <row r="6687" spans="1:2" x14ac:dyDescent="0.25">
      <c r="A6687" t="str">
        <f>IF(C6687&amp;G6687&amp;D6687&lt;&gt;'Funnel setup'!$K$3&amp;'Funnel setup'!$K$4&amp;'Funnel setup'!$K$6,".",IF(A6686=".",1,A6686+1))</f>
        <v>.</v>
      </c>
      <c r="B6687" s="244" t="str">
        <f t="shared" si="104"/>
        <v/>
      </c>
    </row>
    <row r="6688" spans="1:2" x14ac:dyDescent="0.25">
      <c r="A6688" t="str">
        <f>IF(C6688&amp;G6688&amp;D6688&lt;&gt;'Funnel setup'!$K$3&amp;'Funnel setup'!$K$4&amp;'Funnel setup'!$K$6,".",IF(A6687=".",1,A6687+1))</f>
        <v>.</v>
      </c>
      <c r="B6688" s="244" t="str">
        <f t="shared" si="104"/>
        <v/>
      </c>
    </row>
    <row r="6689" spans="1:2" x14ac:dyDescent="0.25">
      <c r="A6689" t="str">
        <f>IF(C6689&amp;G6689&amp;D6689&lt;&gt;'Funnel setup'!$K$3&amp;'Funnel setup'!$K$4&amp;'Funnel setup'!$K$6,".",IF(A6688=".",1,A6688+1))</f>
        <v>.</v>
      </c>
      <c r="B6689" s="244" t="str">
        <f t="shared" si="104"/>
        <v/>
      </c>
    </row>
    <row r="6690" spans="1:2" x14ac:dyDescent="0.25">
      <c r="A6690" t="str">
        <f>IF(C6690&amp;G6690&amp;D6690&lt;&gt;'Funnel setup'!$K$3&amp;'Funnel setup'!$K$4&amp;'Funnel setup'!$K$6,".",IF(A6689=".",1,A6689+1))</f>
        <v>.</v>
      </c>
      <c r="B6690" s="244" t="str">
        <f t="shared" si="104"/>
        <v/>
      </c>
    </row>
    <row r="6691" spans="1:2" x14ac:dyDescent="0.25">
      <c r="A6691" t="str">
        <f>IF(C6691&amp;G6691&amp;D6691&lt;&gt;'Funnel setup'!$K$3&amp;'Funnel setup'!$K$4&amp;'Funnel setup'!$K$6,".",IF(A6690=".",1,A6690+1))</f>
        <v>.</v>
      </c>
      <c r="B6691" s="244" t="str">
        <f t="shared" si="104"/>
        <v/>
      </c>
    </row>
    <row r="6692" spans="1:2" x14ac:dyDescent="0.25">
      <c r="A6692" t="str">
        <f>IF(C6692&amp;G6692&amp;D6692&lt;&gt;'Funnel setup'!$K$3&amp;'Funnel setup'!$K$4&amp;'Funnel setup'!$K$6,".",IF(A6691=".",1,A6691+1))</f>
        <v>.</v>
      </c>
      <c r="B6692" s="244" t="str">
        <f t="shared" si="104"/>
        <v/>
      </c>
    </row>
    <row r="6693" spans="1:2" x14ac:dyDescent="0.25">
      <c r="A6693" t="str">
        <f>IF(C6693&amp;G6693&amp;D6693&lt;&gt;'Funnel setup'!$K$3&amp;'Funnel setup'!$K$4&amp;'Funnel setup'!$K$6,".",IF(A6692=".",1,A6692+1))</f>
        <v>.</v>
      </c>
      <c r="B6693" s="244" t="str">
        <f t="shared" si="104"/>
        <v/>
      </c>
    </row>
    <row r="6694" spans="1:2" x14ac:dyDescent="0.25">
      <c r="A6694" t="str">
        <f>IF(C6694&amp;G6694&amp;D6694&lt;&gt;'Funnel setup'!$K$3&amp;'Funnel setup'!$K$4&amp;'Funnel setup'!$K$6,".",IF(A6693=".",1,A6693+1))</f>
        <v>.</v>
      </c>
      <c r="B6694" s="244" t="str">
        <f t="shared" si="104"/>
        <v/>
      </c>
    </row>
    <row r="6695" spans="1:2" x14ac:dyDescent="0.25">
      <c r="A6695" t="str">
        <f>IF(C6695&amp;G6695&amp;D6695&lt;&gt;'Funnel setup'!$K$3&amp;'Funnel setup'!$K$4&amp;'Funnel setup'!$K$6,".",IF(A6694=".",1,A6694+1))</f>
        <v>.</v>
      </c>
      <c r="B6695" s="244" t="str">
        <f t="shared" si="104"/>
        <v/>
      </c>
    </row>
    <row r="6696" spans="1:2" x14ac:dyDescent="0.25">
      <c r="A6696" t="str">
        <f>IF(C6696&amp;G6696&amp;D6696&lt;&gt;'Funnel setup'!$K$3&amp;'Funnel setup'!$K$4&amp;'Funnel setup'!$K$6,".",IF(A6695=".",1,A6695+1))</f>
        <v>.</v>
      </c>
      <c r="B6696" s="244" t="str">
        <f t="shared" si="104"/>
        <v/>
      </c>
    </row>
    <row r="6697" spans="1:2" x14ac:dyDescent="0.25">
      <c r="A6697" t="str">
        <f>IF(C6697&amp;G6697&amp;D6697&lt;&gt;'Funnel setup'!$K$3&amp;'Funnel setup'!$K$4&amp;'Funnel setup'!$K$6,".",IF(A6696=".",1,A6696+1))</f>
        <v>.</v>
      </c>
      <c r="B6697" s="244" t="str">
        <f t="shared" si="104"/>
        <v/>
      </c>
    </row>
    <row r="6698" spans="1:2" x14ac:dyDescent="0.25">
      <c r="A6698" t="str">
        <f>IF(C6698&amp;G6698&amp;D6698&lt;&gt;'Funnel setup'!$K$3&amp;'Funnel setup'!$K$4&amp;'Funnel setup'!$K$6,".",IF(A6697=".",1,A6697+1))</f>
        <v>.</v>
      </c>
      <c r="B6698" s="244" t="str">
        <f t="shared" si="104"/>
        <v/>
      </c>
    </row>
    <row r="6699" spans="1:2" x14ac:dyDescent="0.25">
      <c r="A6699" t="str">
        <f>IF(C6699&amp;G6699&amp;D6699&lt;&gt;'Funnel setup'!$K$3&amp;'Funnel setup'!$K$4&amp;'Funnel setup'!$K$6,".",IF(A6698=".",1,A6698+1))</f>
        <v>.</v>
      </c>
      <c r="B6699" s="244" t="str">
        <f t="shared" si="104"/>
        <v/>
      </c>
    </row>
    <row r="6700" spans="1:2" x14ac:dyDescent="0.25">
      <c r="A6700" t="str">
        <f>IF(C6700&amp;G6700&amp;D6700&lt;&gt;'Funnel setup'!$K$3&amp;'Funnel setup'!$K$4&amp;'Funnel setup'!$K$6,".",IF(A6699=".",1,A6699+1))</f>
        <v>.</v>
      </c>
      <c r="B6700" s="244" t="str">
        <f t="shared" si="104"/>
        <v/>
      </c>
    </row>
    <row r="6701" spans="1:2" x14ac:dyDescent="0.25">
      <c r="A6701" t="str">
        <f>IF(C6701&amp;G6701&amp;D6701&lt;&gt;'Funnel setup'!$K$3&amp;'Funnel setup'!$K$4&amp;'Funnel setup'!$K$6,".",IF(A6700=".",1,A6700+1))</f>
        <v>.</v>
      </c>
      <c r="B6701" s="244" t="str">
        <f t="shared" si="104"/>
        <v/>
      </c>
    </row>
    <row r="6702" spans="1:2" x14ac:dyDescent="0.25">
      <c r="A6702" t="str">
        <f>IF(C6702&amp;G6702&amp;D6702&lt;&gt;'Funnel setup'!$K$3&amp;'Funnel setup'!$K$4&amp;'Funnel setup'!$K$6,".",IF(A6701=".",1,A6701+1))</f>
        <v>.</v>
      </c>
      <c r="B6702" s="244" t="str">
        <f t="shared" si="104"/>
        <v/>
      </c>
    </row>
    <row r="6703" spans="1:2" x14ac:dyDescent="0.25">
      <c r="A6703" t="str">
        <f>IF(C6703&amp;G6703&amp;D6703&lt;&gt;'Funnel setup'!$K$3&amp;'Funnel setup'!$K$4&amp;'Funnel setup'!$K$6,".",IF(A6702=".",1,A6702+1))</f>
        <v>.</v>
      </c>
      <c r="B6703" s="244" t="str">
        <f t="shared" si="104"/>
        <v/>
      </c>
    </row>
    <row r="6704" spans="1:2" x14ac:dyDescent="0.25">
      <c r="A6704" t="str">
        <f>IF(C6704&amp;G6704&amp;D6704&lt;&gt;'Funnel setup'!$K$3&amp;'Funnel setup'!$K$4&amp;'Funnel setup'!$K$6,".",IF(A6703=".",1,A6703+1))</f>
        <v>.</v>
      </c>
      <c r="B6704" s="244" t="str">
        <f t="shared" si="104"/>
        <v/>
      </c>
    </row>
    <row r="6705" spans="1:2" x14ac:dyDescent="0.25">
      <c r="A6705" t="str">
        <f>IF(C6705&amp;G6705&amp;D6705&lt;&gt;'Funnel setup'!$K$3&amp;'Funnel setup'!$K$4&amp;'Funnel setup'!$K$6,".",IF(A6704=".",1,A6704+1))</f>
        <v>.</v>
      </c>
      <c r="B6705" s="244" t="str">
        <f t="shared" si="104"/>
        <v/>
      </c>
    </row>
    <row r="6706" spans="1:2" x14ac:dyDescent="0.25">
      <c r="A6706" t="str">
        <f>IF(C6706&amp;G6706&amp;D6706&lt;&gt;'Funnel setup'!$K$3&amp;'Funnel setup'!$K$4&amp;'Funnel setup'!$K$6,".",IF(A6705=".",1,A6705+1))</f>
        <v>.</v>
      </c>
      <c r="B6706" s="244" t="str">
        <f t="shared" si="104"/>
        <v/>
      </c>
    </row>
    <row r="6707" spans="1:2" x14ac:dyDescent="0.25">
      <c r="A6707" t="str">
        <f>IF(C6707&amp;G6707&amp;D6707&lt;&gt;'Funnel setup'!$K$3&amp;'Funnel setup'!$K$4&amp;'Funnel setup'!$K$6,".",IF(A6706=".",1,A6706+1))</f>
        <v>.</v>
      </c>
      <c r="B6707" s="244" t="str">
        <f t="shared" si="104"/>
        <v/>
      </c>
    </row>
    <row r="6708" spans="1:2" x14ac:dyDescent="0.25">
      <c r="A6708" t="str">
        <f>IF(C6708&amp;G6708&amp;D6708&lt;&gt;'Funnel setup'!$K$3&amp;'Funnel setup'!$K$4&amp;'Funnel setup'!$K$6,".",IF(A6707=".",1,A6707+1))</f>
        <v>.</v>
      </c>
      <c r="B6708" s="244" t="str">
        <f t="shared" si="104"/>
        <v/>
      </c>
    </row>
    <row r="6709" spans="1:2" x14ac:dyDescent="0.25">
      <c r="A6709" t="str">
        <f>IF(C6709&amp;G6709&amp;D6709&lt;&gt;'Funnel setup'!$K$3&amp;'Funnel setup'!$K$4&amp;'Funnel setup'!$K$6,".",IF(A6708=".",1,A6708+1))</f>
        <v>.</v>
      </c>
      <c r="B6709" s="244" t="str">
        <f t="shared" si="104"/>
        <v/>
      </c>
    </row>
    <row r="6710" spans="1:2" x14ac:dyDescent="0.25">
      <c r="A6710" t="str">
        <f>IF(C6710&amp;G6710&amp;D6710&lt;&gt;'Funnel setup'!$K$3&amp;'Funnel setup'!$K$4&amp;'Funnel setup'!$K$6,".",IF(A6709=".",1,A6709+1))</f>
        <v>.</v>
      </c>
      <c r="B6710" s="244" t="str">
        <f t="shared" si="104"/>
        <v/>
      </c>
    </row>
    <row r="6711" spans="1:2" x14ac:dyDescent="0.25">
      <c r="A6711" t="str">
        <f>IF(C6711&amp;G6711&amp;D6711&lt;&gt;'Funnel setup'!$K$3&amp;'Funnel setup'!$K$4&amp;'Funnel setup'!$K$6,".",IF(A6710=".",1,A6710+1))</f>
        <v>.</v>
      </c>
      <c r="B6711" s="244" t="str">
        <f t="shared" si="104"/>
        <v/>
      </c>
    </row>
    <row r="6712" spans="1:2" x14ac:dyDescent="0.25">
      <c r="A6712" t="str">
        <f>IF(C6712&amp;G6712&amp;D6712&lt;&gt;'Funnel setup'!$K$3&amp;'Funnel setup'!$K$4&amp;'Funnel setup'!$K$6,".",IF(A6711=".",1,A6711+1))</f>
        <v>.</v>
      </c>
      <c r="B6712" s="244" t="str">
        <f t="shared" si="104"/>
        <v/>
      </c>
    </row>
    <row r="6713" spans="1:2" x14ac:dyDescent="0.25">
      <c r="A6713" t="str">
        <f>IF(C6713&amp;G6713&amp;D6713&lt;&gt;'Funnel setup'!$K$3&amp;'Funnel setup'!$K$4&amp;'Funnel setup'!$K$6,".",IF(A6712=".",1,A6712+1))</f>
        <v>.</v>
      </c>
      <c r="B6713" s="244" t="str">
        <f t="shared" si="104"/>
        <v/>
      </c>
    </row>
    <row r="6714" spans="1:2" x14ac:dyDescent="0.25">
      <c r="A6714" t="str">
        <f>IF(C6714&amp;G6714&amp;D6714&lt;&gt;'Funnel setup'!$K$3&amp;'Funnel setup'!$K$4&amp;'Funnel setup'!$K$6,".",IF(A6713=".",1,A6713+1))</f>
        <v>.</v>
      </c>
      <c r="B6714" s="244" t="str">
        <f t="shared" si="104"/>
        <v/>
      </c>
    </row>
    <row r="6715" spans="1:2" x14ac:dyDescent="0.25">
      <c r="A6715" t="str">
        <f>IF(C6715&amp;G6715&amp;D6715&lt;&gt;'Funnel setup'!$K$3&amp;'Funnel setup'!$K$4&amp;'Funnel setup'!$K$6,".",IF(A6714=".",1,A6714+1))</f>
        <v>.</v>
      </c>
      <c r="B6715" s="244" t="str">
        <f t="shared" si="104"/>
        <v/>
      </c>
    </row>
    <row r="6716" spans="1:2" x14ac:dyDescent="0.25">
      <c r="A6716" t="str">
        <f>IF(C6716&amp;G6716&amp;D6716&lt;&gt;'Funnel setup'!$K$3&amp;'Funnel setup'!$K$4&amp;'Funnel setup'!$K$6,".",IF(A6715=".",1,A6715+1))</f>
        <v>.</v>
      </c>
      <c r="B6716" s="244" t="str">
        <f t="shared" si="104"/>
        <v/>
      </c>
    </row>
    <row r="6717" spans="1:2" x14ac:dyDescent="0.25">
      <c r="A6717" t="str">
        <f>IF(C6717&amp;G6717&amp;D6717&lt;&gt;'Funnel setup'!$K$3&amp;'Funnel setup'!$K$4&amp;'Funnel setup'!$K$6,".",IF(A6716=".",1,A6716+1))</f>
        <v>.</v>
      </c>
      <c r="B6717" s="244" t="str">
        <f t="shared" si="104"/>
        <v/>
      </c>
    </row>
    <row r="6718" spans="1:2" x14ac:dyDescent="0.25">
      <c r="A6718" t="str">
        <f>IF(C6718&amp;G6718&amp;D6718&lt;&gt;'Funnel setup'!$K$3&amp;'Funnel setup'!$K$4&amp;'Funnel setup'!$K$6,".",IF(A6717=".",1,A6717+1))</f>
        <v>.</v>
      </c>
      <c r="B6718" s="244" t="str">
        <f t="shared" si="104"/>
        <v/>
      </c>
    </row>
    <row r="6719" spans="1:2" x14ac:dyDescent="0.25">
      <c r="A6719" t="str">
        <f>IF(C6719&amp;G6719&amp;D6719&lt;&gt;'Funnel setup'!$K$3&amp;'Funnel setup'!$K$4&amp;'Funnel setup'!$K$6,".",IF(A6718=".",1,A6718+1))</f>
        <v>.</v>
      </c>
      <c r="B6719" s="244" t="str">
        <f t="shared" si="104"/>
        <v/>
      </c>
    </row>
    <row r="6720" spans="1:2" x14ac:dyDescent="0.25">
      <c r="A6720" t="str">
        <f>IF(C6720&amp;G6720&amp;D6720&lt;&gt;'Funnel setup'!$K$3&amp;'Funnel setup'!$K$4&amp;'Funnel setup'!$K$6,".",IF(A6719=".",1,A6719+1))</f>
        <v>.</v>
      </c>
      <c r="B6720" s="244" t="str">
        <f t="shared" si="104"/>
        <v/>
      </c>
    </row>
    <row r="6721" spans="1:2" x14ac:dyDescent="0.25">
      <c r="A6721" t="str">
        <f>IF(C6721&amp;G6721&amp;D6721&lt;&gt;'Funnel setup'!$K$3&amp;'Funnel setup'!$K$4&amp;'Funnel setup'!$K$6,".",IF(A6720=".",1,A6720+1))</f>
        <v>.</v>
      </c>
      <c r="B6721" s="244" t="str">
        <f t="shared" si="104"/>
        <v/>
      </c>
    </row>
    <row r="6722" spans="1:2" x14ac:dyDescent="0.25">
      <c r="A6722" t="str">
        <f>IF(C6722&amp;G6722&amp;D6722&lt;&gt;'Funnel setup'!$K$3&amp;'Funnel setup'!$K$4&amp;'Funnel setup'!$K$6,".",IF(A6721=".",1,A6721+1))</f>
        <v>.</v>
      </c>
      <c r="B6722" s="244" t="str">
        <f t="shared" ref="B6722:B6785" si="105">C6722&amp;D6722&amp;F6722&amp;G6722</f>
        <v/>
      </c>
    </row>
    <row r="6723" spans="1:2" x14ac:dyDescent="0.25">
      <c r="A6723" t="str">
        <f>IF(C6723&amp;G6723&amp;D6723&lt;&gt;'Funnel setup'!$K$3&amp;'Funnel setup'!$K$4&amp;'Funnel setup'!$K$6,".",IF(A6722=".",1,A6722+1))</f>
        <v>.</v>
      </c>
      <c r="B6723" s="244" t="str">
        <f t="shared" si="105"/>
        <v/>
      </c>
    </row>
    <row r="6724" spans="1:2" x14ac:dyDescent="0.25">
      <c r="A6724" t="str">
        <f>IF(C6724&amp;G6724&amp;D6724&lt;&gt;'Funnel setup'!$K$3&amp;'Funnel setup'!$K$4&amp;'Funnel setup'!$K$6,".",IF(A6723=".",1,A6723+1))</f>
        <v>.</v>
      </c>
      <c r="B6724" s="244" t="str">
        <f t="shared" si="105"/>
        <v/>
      </c>
    </row>
    <row r="6725" spans="1:2" x14ac:dyDescent="0.25">
      <c r="A6725" t="str">
        <f>IF(C6725&amp;G6725&amp;D6725&lt;&gt;'Funnel setup'!$K$3&amp;'Funnel setup'!$K$4&amp;'Funnel setup'!$K$6,".",IF(A6724=".",1,A6724+1))</f>
        <v>.</v>
      </c>
      <c r="B6725" s="244" t="str">
        <f t="shared" si="105"/>
        <v/>
      </c>
    </row>
    <row r="6726" spans="1:2" x14ac:dyDescent="0.25">
      <c r="A6726" t="str">
        <f>IF(C6726&amp;G6726&amp;D6726&lt;&gt;'Funnel setup'!$K$3&amp;'Funnel setup'!$K$4&amp;'Funnel setup'!$K$6,".",IF(A6725=".",1,A6725+1))</f>
        <v>.</v>
      </c>
      <c r="B6726" s="244" t="str">
        <f t="shared" si="105"/>
        <v/>
      </c>
    </row>
    <row r="6727" spans="1:2" x14ac:dyDescent="0.25">
      <c r="A6727" t="str">
        <f>IF(C6727&amp;G6727&amp;D6727&lt;&gt;'Funnel setup'!$K$3&amp;'Funnel setup'!$K$4&amp;'Funnel setup'!$K$6,".",IF(A6726=".",1,A6726+1))</f>
        <v>.</v>
      </c>
      <c r="B6727" s="244" t="str">
        <f t="shared" si="105"/>
        <v/>
      </c>
    </row>
    <row r="6728" spans="1:2" x14ac:dyDescent="0.25">
      <c r="A6728" t="str">
        <f>IF(C6728&amp;G6728&amp;D6728&lt;&gt;'Funnel setup'!$K$3&amp;'Funnel setup'!$K$4&amp;'Funnel setup'!$K$6,".",IF(A6727=".",1,A6727+1))</f>
        <v>.</v>
      </c>
      <c r="B6728" s="244" t="str">
        <f t="shared" si="105"/>
        <v/>
      </c>
    </row>
    <row r="6729" spans="1:2" x14ac:dyDescent="0.25">
      <c r="A6729" t="str">
        <f>IF(C6729&amp;G6729&amp;D6729&lt;&gt;'Funnel setup'!$K$3&amp;'Funnel setup'!$K$4&amp;'Funnel setup'!$K$6,".",IF(A6728=".",1,A6728+1))</f>
        <v>.</v>
      </c>
      <c r="B6729" s="244" t="str">
        <f t="shared" si="105"/>
        <v/>
      </c>
    </row>
    <row r="6730" spans="1:2" x14ac:dyDescent="0.25">
      <c r="A6730" t="str">
        <f>IF(C6730&amp;G6730&amp;D6730&lt;&gt;'Funnel setup'!$K$3&amp;'Funnel setup'!$K$4&amp;'Funnel setup'!$K$6,".",IF(A6729=".",1,A6729+1))</f>
        <v>.</v>
      </c>
      <c r="B6730" s="244" t="str">
        <f t="shared" si="105"/>
        <v/>
      </c>
    </row>
    <row r="6731" spans="1:2" x14ac:dyDescent="0.25">
      <c r="A6731" t="str">
        <f>IF(C6731&amp;G6731&amp;D6731&lt;&gt;'Funnel setup'!$K$3&amp;'Funnel setup'!$K$4&amp;'Funnel setup'!$K$6,".",IF(A6730=".",1,A6730+1))</f>
        <v>.</v>
      </c>
      <c r="B6731" s="244" t="str">
        <f t="shared" si="105"/>
        <v/>
      </c>
    </row>
    <row r="6732" spans="1:2" x14ac:dyDescent="0.25">
      <c r="A6732" t="str">
        <f>IF(C6732&amp;G6732&amp;D6732&lt;&gt;'Funnel setup'!$K$3&amp;'Funnel setup'!$K$4&amp;'Funnel setup'!$K$6,".",IF(A6731=".",1,A6731+1))</f>
        <v>.</v>
      </c>
      <c r="B6732" s="244" t="str">
        <f t="shared" si="105"/>
        <v/>
      </c>
    </row>
    <row r="6733" spans="1:2" x14ac:dyDescent="0.25">
      <c r="A6733" t="str">
        <f>IF(C6733&amp;G6733&amp;D6733&lt;&gt;'Funnel setup'!$K$3&amp;'Funnel setup'!$K$4&amp;'Funnel setup'!$K$6,".",IF(A6732=".",1,A6732+1))</f>
        <v>.</v>
      </c>
      <c r="B6733" s="244" t="str">
        <f t="shared" si="105"/>
        <v/>
      </c>
    </row>
    <row r="6734" spans="1:2" x14ac:dyDescent="0.25">
      <c r="A6734" t="str">
        <f>IF(C6734&amp;G6734&amp;D6734&lt;&gt;'Funnel setup'!$K$3&amp;'Funnel setup'!$K$4&amp;'Funnel setup'!$K$6,".",IF(A6733=".",1,A6733+1))</f>
        <v>.</v>
      </c>
      <c r="B6734" s="244" t="str">
        <f t="shared" si="105"/>
        <v/>
      </c>
    </row>
    <row r="6735" spans="1:2" x14ac:dyDescent="0.25">
      <c r="A6735" t="str">
        <f>IF(C6735&amp;G6735&amp;D6735&lt;&gt;'Funnel setup'!$K$3&amp;'Funnel setup'!$K$4&amp;'Funnel setup'!$K$6,".",IF(A6734=".",1,A6734+1))</f>
        <v>.</v>
      </c>
      <c r="B6735" s="244" t="str">
        <f t="shared" si="105"/>
        <v/>
      </c>
    </row>
    <row r="6736" spans="1:2" x14ac:dyDescent="0.25">
      <c r="A6736" t="str">
        <f>IF(C6736&amp;G6736&amp;D6736&lt;&gt;'Funnel setup'!$K$3&amp;'Funnel setup'!$K$4&amp;'Funnel setup'!$K$6,".",IF(A6735=".",1,A6735+1))</f>
        <v>.</v>
      </c>
      <c r="B6736" s="244" t="str">
        <f t="shared" si="105"/>
        <v/>
      </c>
    </row>
    <row r="6737" spans="1:2" x14ac:dyDescent="0.25">
      <c r="A6737" t="str">
        <f>IF(C6737&amp;G6737&amp;D6737&lt;&gt;'Funnel setup'!$K$3&amp;'Funnel setup'!$K$4&amp;'Funnel setup'!$K$6,".",IF(A6736=".",1,A6736+1))</f>
        <v>.</v>
      </c>
      <c r="B6737" s="244" t="str">
        <f t="shared" si="105"/>
        <v/>
      </c>
    </row>
    <row r="6738" spans="1:2" x14ac:dyDescent="0.25">
      <c r="A6738" t="str">
        <f>IF(C6738&amp;G6738&amp;D6738&lt;&gt;'Funnel setup'!$K$3&amp;'Funnel setup'!$K$4&amp;'Funnel setup'!$K$6,".",IF(A6737=".",1,A6737+1))</f>
        <v>.</v>
      </c>
      <c r="B6738" s="244" t="str">
        <f t="shared" si="105"/>
        <v/>
      </c>
    </row>
    <row r="6739" spans="1:2" x14ac:dyDescent="0.25">
      <c r="A6739" t="str">
        <f>IF(C6739&amp;G6739&amp;D6739&lt;&gt;'Funnel setup'!$K$3&amp;'Funnel setup'!$K$4&amp;'Funnel setup'!$K$6,".",IF(A6738=".",1,A6738+1))</f>
        <v>.</v>
      </c>
      <c r="B6739" s="244" t="str">
        <f t="shared" si="105"/>
        <v/>
      </c>
    </row>
    <row r="6740" spans="1:2" x14ac:dyDescent="0.25">
      <c r="A6740" t="str">
        <f>IF(C6740&amp;G6740&amp;D6740&lt;&gt;'Funnel setup'!$K$3&amp;'Funnel setup'!$K$4&amp;'Funnel setup'!$K$6,".",IF(A6739=".",1,A6739+1))</f>
        <v>.</v>
      </c>
      <c r="B6740" s="244" t="str">
        <f t="shared" si="105"/>
        <v/>
      </c>
    </row>
    <row r="6741" spans="1:2" x14ac:dyDescent="0.25">
      <c r="A6741" t="str">
        <f>IF(C6741&amp;G6741&amp;D6741&lt;&gt;'Funnel setup'!$K$3&amp;'Funnel setup'!$K$4&amp;'Funnel setup'!$K$6,".",IF(A6740=".",1,A6740+1))</f>
        <v>.</v>
      </c>
      <c r="B6741" s="244" t="str">
        <f t="shared" si="105"/>
        <v/>
      </c>
    </row>
    <row r="6742" spans="1:2" x14ac:dyDescent="0.25">
      <c r="A6742" t="str">
        <f>IF(C6742&amp;G6742&amp;D6742&lt;&gt;'Funnel setup'!$K$3&amp;'Funnel setup'!$K$4&amp;'Funnel setup'!$K$6,".",IF(A6741=".",1,A6741+1))</f>
        <v>.</v>
      </c>
      <c r="B6742" s="244" t="str">
        <f t="shared" si="105"/>
        <v/>
      </c>
    </row>
    <row r="6743" spans="1:2" x14ac:dyDescent="0.25">
      <c r="A6743" t="str">
        <f>IF(C6743&amp;G6743&amp;D6743&lt;&gt;'Funnel setup'!$K$3&amp;'Funnel setup'!$K$4&amp;'Funnel setup'!$K$6,".",IF(A6742=".",1,A6742+1))</f>
        <v>.</v>
      </c>
      <c r="B6743" s="244" t="str">
        <f t="shared" si="105"/>
        <v/>
      </c>
    </row>
    <row r="6744" spans="1:2" x14ac:dyDescent="0.25">
      <c r="A6744" t="str">
        <f>IF(C6744&amp;G6744&amp;D6744&lt;&gt;'Funnel setup'!$K$3&amp;'Funnel setup'!$K$4&amp;'Funnel setup'!$K$6,".",IF(A6743=".",1,A6743+1))</f>
        <v>.</v>
      </c>
      <c r="B6744" s="244" t="str">
        <f t="shared" si="105"/>
        <v/>
      </c>
    </row>
    <row r="6745" spans="1:2" x14ac:dyDescent="0.25">
      <c r="A6745" t="str">
        <f>IF(C6745&amp;G6745&amp;D6745&lt;&gt;'Funnel setup'!$K$3&amp;'Funnel setup'!$K$4&amp;'Funnel setup'!$K$6,".",IF(A6744=".",1,A6744+1))</f>
        <v>.</v>
      </c>
      <c r="B6745" s="244" t="str">
        <f t="shared" si="105"/>
        <v/>
      </c>
    </row>
    <row r="6746" spans="1:2" x14ac:dyDescent="0.25">
      <c r="A6746" t="str">
        <f>IF(C6746&amp;G6746&amp;D6746&lt;&gt;'Funnel setup'!$K$3&amp;'Funnel setup'!$K$4&amp;'Funnel setup'!$K$6,".",IF(A6745=".",1,A6745+1))</f>
        <v>.</v>
      </c>
      <c r="B6746" s="244" t="str">
        <f t="shared" si="105"/>
        <v/>
      </c>
    </row>
    <row r="6747" spans="1:2" x14ac:dyDescent="0.25">
      <c r="A6747" t="str">
        <f>IF(C6747&amp;G6747&amp;D6747&lt;&gt;'Funnel setup'!$K$3&amp;'Funnel setup'!$K$4&amp;'Funnel setup'!$K$6,".",IF(A6746=".",1,A6746+1))</f>
        <v>.</v>
      </c>
      <c r="B6747" s="244" t="str">
        <f t="shared" si="105"/>
        <v/>
      </c>
    </row>
    <row r="6748" spans="1:2" x14ac:dyDescent="0.25">
      <c r="A6748" t="str">
        <f>IF(C6748&amp;G6748&amp;D6748&lt;&gt;'Funnel setup'!$K$3&amp;'Funnel setup'!$K$4&amp;'Funnel setup'!$K$6,".",IF(A6747=".",1,A6747+1))</f>
        <v>.</v>
      </c>
      <c r="B6748" s="244" t="str">
        <f t="shared" si="105"/>
        <v/>
      </c>
    </row>
    <row r="6749" spans="1:2" x14ac:dyDescent="0.25">
      <c r="A6749" t="str">
        <f>IF(C6749&amp;G6749&amp;D6749&lt;&gt;'Funnel setup'!$K$3&amp;'Funnel setup'!$K$4&amp;'Funnel setup'!$K$6,".",IF(A6748=".",1,A6748+1))</f>
        <v>.</v>
      </c>
      <c r="B6749" s="244" t="str">
        <f t="shared" si="105"/>
        <v/>
      </c>
    </row>
    <row r="6750" spans="1:2" x14ac:dyDescent="0.25">
      <c r="A6750" t="str">
        <f>IF(C6750&amp;G6750&amp;D6750&lt;&gt;'Funnel setup'!$K$3&amp;'Funnel setup'!$K$4&amp;'Funnel setup'!$K$6,".",IF(A6749=".",1,A6749+1))</f>
        <v>.</v>
      </c>
      <c r="B6750" s="244" t="str">
        <f t="shared" si="105"/>
        <v/>
      </c>
    </row>
    <row r="6751" spans="1:2" x14ac:dyDescent="0.25">
      <c r="A6751" t="str">
        <f>IF(C6751&amp;G6751&amp;D6751&lt;&gt;'Funnel setup'!$K$3&amp;'Funnel setup'!$K$4&amp;'Funnel setup'!$K$6,".",IF(A6750=".",1,A6750+1))</f>
        <v>.</v>
      </c>
      <c r="B6751" s="244" t="str">
        <f t="shared" si="105"/>
        <v/>
      </c>
    </row>
    <row r="6752" spans="1:2" x14ac:dyDescent="0.25">
      <c r="A6752" t="str">
        <f>IF(C6752&amp;G6752&amp;D6752&lt;&gt;'Funnel setup'!$K$3&amp;'Funnel setup'!$K$4&amp;'Funnel setup'!$K$6,".",IF(A6751=".",1,A6751+1))</f>
        <v>.</v>
      </c>
      <c r="B6752" s="244" t="str">
        <f t="shared" si="105"/>
        <v/>
      </c>
    </row>
    <row r="6753" spans="1:2" x14ac:dyDescent="0.25">
      <c r="A6753" t="str">
        <f>IF(C6753&amp;G6753&amp;D6753&lt;&gt;'Funnel setup'!$K$3&amp;'Funnel setup'!$K$4&amp;'Funnel setup'!$K$6,".",IF(A6752=".",1,A6752+1))</f>
        <v>.</v>
      </c>
      <c r="B6753" s="244" t="str">
        <f t="shared" si="105"/>
        <v/>
      </c>
    </row>
    <row r="6754" spans="1:2" x14ac:dyDescent="0.25">
      <c r="A6754" t="str">
        <f>IF(C6754&amp;G6754&amp;D6754&lt;&gt;'Funnel setup'!$K$3&amp;'Funnel setup'!$K$4&amp;'Funnel setup'!$K$6,".",IF(A6753=".",1,A6753+1))</f>
        <v>.</v>
      </c>
      <c r="B6754" s="244" t="str">
        <f t="shared" si="105"/>
        <v/>
      </c>
    </row>
    <row r="6755" spans="1:2" x14ac:dyDescent="0.25">
      <c r="A6755" t="str">
        <f>IF(C6755&amp;G6755&amp;D6755&lt;&gt;'Funnel setup'!$K$3&amp;'Funnel setup'!$K$4&amp;'Funnel setup'!$K$6,".",IF(A6754=".",1,A6754+1))</f>
        <v>.</v>
      </c>
      <c r="B6755" s="244" t="str">
        <f t="shared" si="105"/>
        <v/>
      </c>
    </row>
    <row r="6756" spans="1:2" x14ac:dyDescent="0.25">
      <c r="A6756" t="str">
        <f>IF(C6756&amp;G6756&amp;D6756&lt;&gt;'Funnel setup'!$K$3&amp;'Funnel setup'!$K$4&amp;'Funnel setup'!$K$6,".",IF(A6755=".",1,A6755+1))</f>
        <v>.</v>
      </c>
      <c r="B6756" s="244" t="str">
        <f t="shared" si="105"/>
        <v/>
      </c>
    </row>
    <row r="6757" spans="1:2" x14ac:dyDescent="0.25">
      <c r="A6757" t="str">
        <f>IF(C6757&amp;G6757&amp;D6757&lt;&gt;'Funnel setup'!$K$3&amp;'Funnel setup'!$K$4&amp;'Funnel setup'!$K$6,".",IF(A6756=".",1,A6756+1))</f>
        <v>.</v>
      </c>
      <c r="B6757" s="244" t="str">
        <f t="shared" si="105"/>
        <v/>
      </c>
    </row>
    <row r="6758" spans="1:2" x14ac:dyDescent="0.25">
      <c r="A6758" t="str">
        <f>IF(C6758&amp;G6758&amp;D6758&lt;&gt;'Funnel setup'!$K$3&amp;'Funnel setup'!$K$4&amp;'Funnel setup'!$K$6,".",IF(A6757=".",1,A6757+1))</f>
        <v>.</v>
      </c>
      <c r="B6758" s="244" t="str">
        <f t="shared" si="105"/>
        <v/>
      </c>
    </row>
    <row r="6759" spans="1:2" x14ac:dyDescent="0.25">
      <c r="A6759" t="str">
        <f>IF(C6759&amp;G6759&amp;D6759&lt;&gt;'Funnel setup'!$K$3&amp;'Funnel setup'!$K$4&amp;'Funnel setup'!$K$6,".",IF(A6758=".",1,A6758+1))</f>
        <v>.</v>
      </c>
      <c r="B6759" s="244" t="str">
        <f t="shared" si="105"/>
        <v/>
      </c>
    </row>
    <row r="6760" spans="1:2" x14ac:dyDescent="0.25">
      <c r="A6760" t="str">
        <f>IF(C6760&amp;G6760&amp;D6760&lt;&gt;'Funnel setup'!$K$3&amp;'Funnel setup'!$K$4&amp;'Funnel setup'!$K$6,".",IF(A6759=".",1,A6759+1))</f>
        <v>.</v>
      </c>
      <c r="B6760" s="244" t="str">
        <f t="shared" si="105"/>
        <v/>
      </c>
    </row>
    <row r="6761" spans="1:2" x14ac:dyDescent="0.25">
      <c r="A6761" t="str">
        <f>IF(C6761&amp;G6761&amp;D6761&lt;&gt;'Funnel setup'!$K$3&amp;'Funnel setup'!$K$4&amp;'Funnel setup'!$K$6,".",IF(A6760=".",1,A6760+1))</f>
        <v>.</v>
      </c>
      <c r="B6761" s="244" t="str">
        <f t="shared" si="105"/>
        <v/>
      </c>
    </row>
    <row r="6762" spans="1:2" x14ac:dyDescent="0.25">
      <c r="A6762" t="str">
        <f>IF(C6762&amp;G6762&amp;D6762&lt;&gt;'Funnel setup'!$K$3&amp;'Funnel setup'!$K$4&amp;'Funnel setup'!$K$6,".",IF(A6761=".",1,A6761+1))</f>
        <v>.</v>
      </c>
      <c r="B6762" s="244" t="str">
        <f t="shared" si="105"/>
        <v/>
      </c>
    </row>
    <row r="6763" spans="1:2" x14ac:dyDescent="0.25">
      <c r="A6763" t="str">
        <f>IF(C6763&amp;G6763&amp;D6763&lt;&gt;'Funnel setup'!$K$3&amp;'Funnel setup'!$K$4&amp;'Funnel setup'!$K$6,".",IF(A6762=".",1,A6762+1))</f>
        <v>.</v>
      </c>
      <c r="B6763" s="244" t="str">
        <f t="shared" si="105"/>
        <v/>
      </c>
    </row>
    <row r="6764" spans="1:2" x14ac:dyDescent="0.25">
      <c r="A6764" t="str">
        <f>IF(C6764&amp;G6764&amp;D6764&lt;&gt;'Funnel setup'!$K$3&amp;'Funnel setup'!$K$4&amp;'Funnel setup'!$K$6,".",IF(A6763=".",1,A6763+1))</f>
        <v>.</v>
      </c>
      <c r="B6764" s="244" t="str">
        <f t="shared" si="105"/>
        <v/>
      </c>
    </row>
    <row r="6765" spans="1:2" x14ac:dyDescent="0.25">
      <c r="A6765" t="str">
        <f>IF(C6765&amp;G6765&amp;D6765&lt;&gt;'Funnel setup'!$K$3&amp;'Funnel setup'!$K$4&amp;'Funnel setup'!$K$6,".",IF(A6764=".",1,A6764+1))</f>
        <v>.</v>
      </c>
      <c r="B6765" s="244" t="str">
        <f t="shared" si="105"/>
        <v/>
      </c>
    </row>
    <row r="6766" spans="1:2" x14ac:dyDescent="0.25">
      <c r="A6766" t="str">
        <f>IF(C6766&amp;G6766&amp;D6766&lt;&gt;'Funnel setup'!$K$3&amp;'Funnel setup'!$K$4&amp;'Funnel setup'!$K$6,".",IF(A6765=".",1,A6765+1))</f>
        <v>.</v>
      </c>
      <c r="B6766" s="244" t="str">
        <f t="shared" si="105"/>
        <v/>
      </c>
    </row>
    <row r="6767" spans="1:2" x14ac:dyDescent="0.25">
      <c r="A6767" t="str">
        <f>IF(C6767&amp;G6767&amp;D6767&lt;&gt;'Funnel setup'!$K$3&amp;'Funnel setup'!$K$4&amp;'Funnel setup'!$K$6,".",IF(A6766=".",1,A6766+1))</f>
        <v>.</v>
      </c>
      <c r="B6767" s="244" t="str">
        <f t="shared" si="105"/>
        <v/>
      </c>
    </row>
    <row r="6768" spans="1:2" x14ac:dyDescent="0.25">
      <c r="A6768" t="str">
        <f>IF(C6768&amp;G6768&amp;D6768&lt;&gt;'Funnel setup'!$K$3&amp;'Funnel setup'!$K$4&amp;'Funnel setup'!$K$6,".",IF(A6767=".",1,A6767+1))</f>
        <v>.</v>
      </c>
      <c r="B6768" s="244" t="str">
        <f t="shared" si="105"/>
        <v/>
      </c>
    </row>
    <row r="6769" spans="1:2" x14ac:dyDescent="0.25">
      <c r="A6769" t="str">
        <f>IF(C6769&amp;G6769&amp;D6769&lt;&gt;'Funnel setup'!$K$3&amp;'Funnel setup'!$K$4&amp;'Funnel setup'!$K$6,".",IF(A6768=".",1,A6768+1))</f>
        <v>.</v>
      </c>
      <c r="B6769" s="244" t="str">
        <f t="shared" si="105"/>
        <v/>
      </c>
    </row>
    <row r="6770" spans="1:2" x14ac:dyDescent="0.25">
      <c r="A6770" t="str">
        <f>IF(C6770&amp;G6770&amp;D6770&lt;&gt;'Funnel setup'!$K$3&amp;'Funnel setup'!$K$4&amp;'Funnel setup'!$K$6,".",IF(A6769=".",1,A6769+1))</f>
        <v>.</v>
      </c>
      <c r="B6770" s="244" t="str">
        <f t="shared" si="105"/>
        <v/>
      </c>
    </row>
    <row r="6771" spans="1:2" x14ac:dyDescent="0.25">
      <c r="A6771" t="str">
        <f>IF(C6771&amp;G6771&amp;D6771&lt;&gt;'Funnel setup'!$K$3&amp;'Funnel setup'!$K$4&amp;'Funnel setup'!$K$6,".",IF(A6770=".",1,A6770+1))</f>
        <v>.</v>
      </c>
      <c r="B6771" s="244" t="str">
        <f t="shared" si="105"/>
        <v/>
      </c>
    </row>
    <row r="6772" spans="1:2" x14ac:dyDescent="0.25">
      <c r="A6772" t="str">
        <f>IF(C6772&amp;G6772&amp;D6772&lt;&gt;'Funnel setup'!$K$3&amp;'Funnel setup'!$K$4&amp;'Funnel setup'!$K$6,".",IF(A6771=".",1,A6771+1))</f>
        <v>.</v>
      </c>
      <c r="B6772" s="244" t="str">
        <f t="shared" si="105"/>
        <v/>
      </c>
    </row>
    <row r="6773" spans="1:2" x14ac:dyDescent="0.25">
      <c r="A6773" t="str">
        <f>IF(C6773&amp;G6773&amp;D6773&lt;&gt;'Funnel setup'!$K$3&amp;'Funnel setup'!$K$4&amp;'Funnel setup'!$K$6,".",IF(A6772=".",1,A6772+1))</f>
        <v>.</v>
      </c>
      <c r="B6773" s="244" t="str">
        <f t="shared" si="105"/>
        <v/>
      </c>
    </row>
    <row r="6774" spans="1:2" x14ac:dyDescent="0.25">
      <c r="A6774" t="str">
        <f>IF(C6774&amp;G6774&amp;D6774&lt;&gt;'Funnel setup'!$K$3&amp;'Funnel setup'!$K$4&amp;'Funnel setup'!$K$6,".",IF(A6773=".",1,A6773+1))</f>
        <v>.</v>
      </c>
      <c r="B6774" s="244" t="str">
        <f t="shared" si="105"/>
        <v/>
      </c>
    </row>
    <row r="6775" spans="1:2" x14ac:dyDescent="0.25">
      <c r="A6775" t="str">
        <f>IF(C6775&amp;G6775&amp;D6775&lt;&gt;'Funnel setup'!$K$3&amp;'Funnel setup'!$K$4&amp;'Funnel setup'!$K$6,".",IF(A6774=".",1,A6774+1))</f>
        <v>.</v>
      </c>
      <c r="B6775" s="244" t="str">
        <f t="shared" si="105"/>
        <v/>
      </c>
    </row>
    <row r="6776" spans="1:2" x14ac:dyDescent="0.25">
      <c r="A6776" t="str">
        <f>IF(C6776&amp;G6776&amp;D6776&lt;&gt;'Funnel setup'!$K$3&amp;'Funnel setup'!$K$4&amp;'Funnel setup'!$K$6,".",IF(A6775=".",1,A6775+1))</f>
        <v>.</v>
      </c>
      <c r="B6776" s="244" t="str">
        <f t="shared" si="105"/>
        <v/>
      </c>
    </row>
    <row r="6777" spans="1:2" x14ac:dyDescent="0.25">
      <c r="A6777" t="str">
        <f>IF(C6777&amp;G6777&amp;D6777&lt;&gt;'Funnel setup'!$K$3&amp;'Funnel setup'!$K$4&amp;'Funnel setup'!$K$6,".",IF(A6776=".",1,A6776+1))</f>
        <v>.</v>
      </c>
      <c r="B6777" s="244" t="str">
        <f t="shared" si="105"/>
        <v/>
      </c>
    </row>
    <row r="6778" spans="1:2" x14ac:dyDescent="0.25">
      <c r="A6778" t="str">
        <f>IF(C6778&amp;G6778&amp;D6778&lt;&gt;'Funnel setup'!$K$3&amp;'Funnel setup'!$K$4&amp;'Funnel setup'!$K$6,".",IF(A6777=".",1,A6777+1))</f>
        <v>.</v>
      </c>
      <c r="B6778" s="244" t="str">
        <f t="shared" si="105"/>
        <v/>
      </c>
    </row>
    <row r="6779" spans="1:2" x14ac:dyDescent="0.25">
      <c r="A6779" t="str">
        <f>IF(C6779&amp;G6779&amp;D6779&lt;&gt;'Funnel setup'!$K$3&amp;'Funnel setup'!$K$4&amp;'Funnel setup'!$K$6,".",IF(A6778=".",1,A6778+1))</f>
        <v>.</v>
      </c>
      <c r="B6779" s="244" t="str">
        <f t="shared" si="105"/>
        <v/>
      </c>
    </row>
    <row r="6780" spans="1:2" x14ac:dyDescent="0.25">
      <c r="A6780" t="str">
        <f>IF(C6780&amp;G6780&amp;D6780&lt;&gt;'Funnel setup'!$K$3&amp;'Funnel setup'!$K$4&amp;'Funnel setup'!$K$6,".",IF(A6779=".",1,A6779+1))</f>
        <v>.</v>
      </c>
      <c r="B6780" s="244" t="str">
        <f t="shared" si="105"/>
        <v/>
      </c>
    </row>
    <row r="6781" spans="1:2" x14ac:dyDescent="0.25">
      <c r="A6781" t="str">
        <f>IF(C6781&amp;G6781&amp;D6781&lt;&gt;'Funnel setup'!$K$3&amp;'Funnel setup'!$K$4&amp;'Funnel setup'!$K$6,".",IF(A6780=".",1,A6780+1))</f>
        <v>.</v>
      </c>
      <c r="B6781" s="244" t="str">
        <f t="shared" si="105"/>
        <v/>
      </c>
    </row>
    <row r="6782" spans="1:2" x14ac:dyDescent="0.25">
      <c r="A6782" t="str">
        <f>IF(C6782&amp;G6782&amp;D6782&lt;&gt;'Funnel setup'!$K$3&amp;'Funnel setup'!$K$4&amp;'Funnel setup'!$K$6,".",IF(A6781=".",1,A6781+1))</f>
        <v>.</v>
      </c>
      <c r="B6782" s="244" t="str">
        <f t="shared" si="105"/>
        <v/>
      </c>
    </row>
    <row r="6783" spans="1:2" x14ac:dyDescent="0.25">
      <c r="A6783" t="str">
        <f>IF(C6783&amp;G6783&amp;D6783&lt;&gt;'Funnel setup'!$K$3&amp;'Funnel setup'!$K$4&amp;'Funnel setup'!$K$6,".",IF(A6782=".",1,A6782+1))</f>
        <v>.</v>
      </c>
      <c r="B6783" s="244" t="str">
        <f t="shared" si="105"/>
        <v/>
      </c>
    </row>
    <row r="6784" spans="1:2" x14ac:dyDescent="0.25">
      <c r="A6784" t="str">
        <f>IF(C6784&amp;G6784&amp;D6784&lt;&gt;'Funnel setup'!$K$3&amp;'Funnel setup'!$K$4&amp;'Funnel setup'!$K$6,".",IF(A6783=".",1,A6783+1))</f>
        <v>.</v>
      </c>
      <c r="B6784" s="244" t="str">
        <f t="shared" si="105"/>
        <v/>
      </c>
    </row>
    <row r="6785" spans="1:2" x14ac:dyDescent="0.25">
      <c r="A6785" t="str">
        <f>IF(C6785&amp;G6785&amp;D6785&lt;&gt;'Funnel setup'!$K$3&amp;'Funnel setup'!$K$4&amp;'Funnel setup'!$K$6,".",IF(A6784=".",1,A6784+1))</f>
        <v>.</v>
      </c>
      <c r="B6785" s="244" t="str">
        <f t="shared" si="105"/>
        <v/>
      </c>
    </row>
    <row r="6786" spans="1:2" x14ac:dyDescent="0.25">
      <c r="A6786" t="str">
        <f>IF(C6786&amp;G6786&amp;D6786&lt;&gt;'Funnel setup'!$K$3&amp;'Funnel setup'!$K$4&amp;'Funnel setup'!$K$6,".",IF(A6785=".",1,A6785+1))</f>
        <v>.</v>
      </c>
      <c r="B6786" s="244" t="str">
        <f t="shared" ref="B6786:B6849" si="106">C6786&amp;D6786&amp;F6786&amp;G6786</f>
        <v/>
      </c>
    </row>
    <row r="6787" spans="1:2" x14ac:dyDescent="0.25">
      <c r="A6787" t="str">
        <f>IF(C6787&amp;G6787&amp;D6787&lt;&gt;'Funnel setup'!$K$3&amp;'Funnel setup'!$K$4&amp;'Funnel setup'!$K$6,".",IF(A6786=".",1,A6786+1))</f>
        <v>.</v>
      </c>
      <c r="B6787" s="244" t="str">
        <f t="shared" si="106"/>
        <v/>
      </c>
    </row>
    <row r="6788" spans="1:2" x14ac:dyDescent="0.25">
      <c r="A6788" t="str">
        <f>IF(C6788&amp;G6788&amp;D6788&lt;&gt;'Funnel setup'!$K$3&amp;'Funnel setup'!$K$4&amp;'Funnel setup'!$K$6,".",IF(A6787=".",1,A6787+1))</f>
        <v>.</v>
      </c>
      <c r="B6788" s="244" t="str">
        <f t="shared" si="106"/>
        <v/>
      </c>
    </row>
    <row r="6789" spans="1:2" x14ac:dyDescent="0.25">
      <c r="A6789" t="str">
        <f>IF(C6789&amp;G6789&amp;D6789&lt;&gt;'Funnel setup'!$K$3&amp;'Funnel setup'!$K$4&amp;'Funnel setup'!$K$6,".",IF(A6788=".",1,A6788+1))</f>
        <v>.</v>
      </c>
      <c r="B6789" s="244" t="str">
        <f t="shared" si="106"/>
        <v/>
      </c>
    </row>
    <row r="6790" spans="1:2" x14ac:dyDescent="0.25">
      <c r="A6790" t="str">
        <f>IF(C6790&amp;G6790&amp;D6790&lt;&gt;'Funnel setup'!$K$3&amp;'Funnel setup'!$K$4&amp;'Funnel setup'!$K$6,".",IF(A6789=".",1,A6789+1))</f>
        <v>.</v>
      </c>
      <c r="B6790" s="244" t="str">
        <f t="shared" si="106"/>
        <v/>
      </c>
    </row>
    <row r="6791" spans="1:2" x14ac:dyDescent="0.25">
      <c r="A6791" t="str">
        <f>IF(C6791&amp;G6791&amp;D6791&lt;&gt;'Funnel setup'!$K$3&amp;'Funnel setup'!$K$4&amp;'Funnel setup'!$K$6,".",IF(A6790=".",1,A6790+1))</f>
        <v>.</v>
      </c>
      <c r="B6791" s="244" t="str">
        <f t="shared" si="106"/>
        <v/>
      </c>
    </row>
    <row r="6792" spans="1:2" x14ac:dyDescent="0.25">
      <c r="A6792" t="str">
        <f>IF(C6792&amp;G6792&amp;D6792&lt;&gt;'Funnel setup'!$K$3&amp;'Funnel setup'!$K$4&amp;'Funnel setup'!$K$6,".",IF(A6791=".",1,A6791+1))</f>
        <v>.</v>
      </c>
      <c r="B6792" s="244" t="str">
        <f t="shared" si="106"/>
        <v/>
      </c>
    </row>
    <row r="6793" spans="1:2" x14ac:dyDescent="0.25">
      <c r="A6793" t="str">
        <f>IF(C6793&amp;G6793&amp;D6793&lt;&gt;'Funnel setup'!$K$3&amp;'Funnel setup'!$K$4&amp;'Funnel setup'!$K$6,".",IF(A6792=".",1,A6792+1))</f>
        <v>.</v>
      </c>
      <c r="B6793" s="244" t="str">
        <f t="shared" si="106"/>
        <v/>
      </c>
    </row>
    <row r="6794" spans="1:2" x14ac:dyDescent="0.25">
      <c r="A6794" t="str">
        <f>IF(C6794&amp;G6794&amp;D6794&lt;&gt;'Funnel setup'!$K$3&amp;'Funnel setup'!$K$4&amp;'Funnel setup'!$K$6,".",IF(A6793=".",1,A6793+1))</f>
        <v>.</v>
      </c>
      <c r="B6794" s="244" t="str">
        <f t="shared" si="106"/>
        <v/>
      </c>
    </row>
    <row r="6795" spans="1:2" x14ac:dyDescent="0.25">
      <c r="A6795" t="str">
        <f>IF(C6795&amp;G6795&amp;D6795&lt;&gt;'Funnel setup'!$K$3&amp;'Funnel setup'!$K$4&amp;'Funnel setup'!$K$6,".",IF(A6794=".",1,A6794+1))</f>
        <v>.</v>
      </c>
      <c r="B6795" s="244" t="str">
        <f t="shared" si="106"/>
        <v/>
      </c>
    </row>
    <row r="6796" spans="1:2" x14ac:dyDescent="0.25">
      <c r="A6796" t="str">
        <f>IF(C6796&amp;G6796&amp;D6796&lt;&gt;'Funnel setup'!$K$3&amp;'Funnel setup'!$K$4&amp;'Funnel setup'!$K$6,".",IF(A6795=".",1,A6795+1))</f>
        <v>.</v>
      </c>
      <c r="B6796" s="244" t="str">
        <f t="shared" si="106"/>
        <v/>
      </c>
    </row>
    <row r="6797" spans="1:2" x14ac:dyDescent="0.25">
      <c r="A6797" t="str">
        <f>IF(C6797&amp;G6797&amp;D6797&lt;&gt;'Funnel setup'!$K$3&amp;'Funnel setup'!$K$4&amp;'Funnel setup'!$K$6,".",IF(A6796=".",1,A6796+1))</f>
        <v>.</v>
      </c>
      <c r="B6797" s="244" t="str">
        <f t="shared" si="106"/>
        <v/>
      </c>
    </row>
    <row r="6798" spans="1:2" x14ac:dyDescent="0.25">
      <c r="A6798" t="str">
        <f>IF(C6798&amp;G6798&amp;D6798&lt;&gt;'Funnel setup'!$K$3&amp;'Funnel setup'!$K$4&amp;'Funnel setup'!$K$6,".",IF(A6797=".",1,A6797+1))</f>
        <v>.</v>
      </c>
      <c r="B6798" s="244" t="str">
        <f t="shared" si="106"/>
        <v/>
      </c>
    </row>
    <row r="6799" spans="1:2" x14ac:dyDescent="0.25">
      <c r="A6799" t="str">
        <f>IF(C6799&amp;G6799&amp;D6799&lt;&gt;'Funnel setup'!$K$3&amp;'Funnel setup'!$K$4&amp;'Funnel setup'!$K$6,".",IF(A6798=".",1,A6798+1))</f>
        <v>.</v>
      </c>
      <c r="B6799" s="244" t="str">
        <f t="shared" si="106"/>
        <v/>
      </c>
    </row>
    <row r="6800" spans="1:2" x14ac:dyDescent="0.25">
      <c r="A6800" t="str">
        <f>IF(C6800&amp;G6800&amp;D6800&lt;&gt;'Funnel setup'!$K$3&amp;'Funnel setup'!$K$4&amp;'Funnel setup'!$K$6,".",IF(A6799=".",1,A6799+1))</f>
        <v>.</v>
      </c>
      <c r="B6800" s="244" t="str">
        <f t="shared" si="106"/>
        <v/>
      </c>
    </row>
    <row r="6801" spans="1:2" x14ac:dyDescent="0.25">
      <c r="A6801" t="str">
        <f>IF(C6801&amp;G6801&amp;D6801&lt;&gt;'Funnel setup'!$K$3&amp;'Funnel setup'!$K$4&amp;'Funnel setup'!$K$6,".",IF(A6800=".",1,A6800+1))</f>
        <v>.</v>
      </c>
      <c r="B6801" s="244" t="str">
        <f t="shared" si="106"/>
        <v/>
      </c>
    </row>
    <row r="6802" spans="1:2" x14ac:dyDescent="0.25">
      <c r="A6802" t="str">
        <f>IF(C6802&amp;G6802&amp;D6802&lt;&gt;'Funnel setup'!$K$3&amp;'Funnel setup'!$K$4&amp;'Funnel setup'!$K$6,".",IF(A6801=".",1,A6801+1))</f>
        <v>.</v>
      </c>
      <c r="B6802" s="244" t="str">
        <f t="shared" si="106"/>
        <v/>
      </c>
    </row>
    <row r="6803" spans="1:2" x14ac:dyDescent="0.25">
      <c r="A6803" t="str">
        <f>IF(C6803&amp;G6803&amp;D6803&lt;&gt;'Funnel setup'!$K$3&amp;'Funnel setup'!$K$4&amp;'Funnel setup'!$K$6,".",IF(A6802=".",1,A6802+1))</f>
        <v>.</v>
      </c>
      <c r="B6803" s="244" t="str">
        <f t="shared" si="106"/>
        <v/>
      </c>
    </row>
    <row r="6804" spans="1:2" x14ac:dyDescent="0.25">
      <c r="A6804" t="str">
        <f>IF(C6804&amp;G6804&amp;D6804&lt;&gt;'Funnel setup'!$K$3&amp;'Funnel setup'!$K$4&amp;'Funnel setup'!$K$6,".",IF(A6803=".",1,A6803+1))</f>
        <v>.</v>
      </c>
      <c r="B6804" s="244" t="str">
        <f t="shared" si="106"/>
        <v/>
      </c>
    </row>
    <row r="6805" spans="1:2" x14ac:dyDescent="0.25">
      <c r="A6805" t="str">
        <f>IF(C6805&amp;G6805&amp;D6805&lt;&gt;'Funnel setup'!$K$3&amp;'Funnel setup'!$K$4&amp;'Funnel setup'!$K$6,".",IF(A6804=".",1,A6804+1))</f>
        <v>.</v>
      </c>
      <c r="B6805" s="244" t="str">
        <f t="shared" si="106"/>
        <v/>
      </c>
    </row>
    <row r="6806" spans="1:2" x14ac:dyDescent="0.25">
      <c r="A6806" t="str">
        <f>IF(C6806&amp;G6806&amp;D6806&lt;&gt;'Funnel setup'!$K$3&amp;'Funnel setup'!$K$4&amp;'Funnel setup'!$K$6,".",IF(A6805=".",1,A6805+1))</f>
        <v>.</v>
      </c>
      <c r="B6806" s="244" t="str">
        <f t="shared" si="106"/>
        <v/>
      </c>
    </row>
    <row r="6807" spans="1:2" x14ac:dyDescent="0.25">
      <c r="A6807" t="str">
        <f>IF(C6807&amp;G6807&amp;D6807&lt;&gt;'Funnel setup'!$K$3&amp;'Funnel setup'!$K$4&amp;'Funnel setup'!$K$6,".",IF(A6806=".",1,A6806+1))</f>
        <v>.</v>
      </c>
      <c r="B6807" s="244" t="str">
        <f t="shared" si="106"/>
        <v/>
      </c>
    </row>
    <row r="6808" spans="1:2" x14ac:dyDescent="0.25">
      <c r="A6808" t="str">
        <f>IF(C6808&amp;G6808&amp;D6808&lt;&gt;'Funnel setup'!$K$3&amp;'Funnel setup'!$K$4&amp;'Funnel setup'!$K$6,".",IF(A6807=".",1,A6807+1))</f>
        <v>.</v>
      </c>
      <c r="B6808" s="244" t="str">
        <f t="shared" si="106"/>
        <v/>
      </c>
    </row>
    <row r="6809" spans="1:2" x14ac:dyDescent="0.25">
      <c r="A6809" t="str">
        <f>IF(C6809&amp;G6809&amp;D6809&lt;&gt;'Funnel setup'!$K$3&amp;'Funnel setup'!$K$4&amp;'Funnel setup'!$K$6,".",IF(A6808=".",1,A6808+1))</f>
        <v>.</v>
      </c>
      <c r="B6809" s="244" t="str">
        <f t="shared" si="106"/>
        <v/>
      </c>
    </row>
    <row r="6810" spans="1:2" x14ac:dyDescent="0.25">
      <c r="A6810" t="str">
        <f>IF(C6810&amp;G6810&amp;D6810&lt;&gt;'Funnel setup'!$K$3&amp;'Funnel setup'!$K$4&amp;'Funnel setup'!$K$6,".",IF(A6809=".",1,A6809+1))</f>
        <v>.</v>
      </c>
      <c r="B6810" s="244" t="str">
        <f t="shared" si="106"/>
        <v/>
      </c>
    </row>
    <row r="6811" spans="1:2" x14ac:dyDescent="0.25">
      <c r="A6811" t="str">
        <f>IF(C6811&amp;G6811&amp;D6811&lt;&gt;'Funnel setup'!$K$3&amp;'Funnel setup'!$K$4&amp;'Funnel setup'!$K$6,".",IF(A6810=".",1,A6810+1))</f>
        <v>.</v>
      </c>
      <c r="B6811" s="244" t="str">
        <f t="shared" si="106"/>
        <v/>
      </c>
    </row>
    <row r="6812" spans="1:2" x14ac:dyDescent="0.25">
      <c r="A6812" t="str">
        <f>IF(C6812&amp;G6812&amp;D6812&lt;&gt;'Funnel setup'!$K$3&amp;'Funnel setup'!$K$4&amp;'Funnel setup'!$K$6,".",IF(A6811=".",1,A6811+1))</f>
        <v>.</v>
      </c>
      <c r="B6812" s="244" t="str">
        <f t="shared" si="106"/>
        <v/>
      </c>
    </row>
    <row r="6813" spans="1:2" x14ac:dyDescent="0.25">
      <c r="A6813" t="str">
        <f>IF(C6813&amp;G6813&amp;D6813&lt;&gt;'Funnel setup'!$K$3&amp;'Funnel setup'!$K$4&amp;'Funnel setup'!$K$6,".",IF(A6812=".",1,A6812+1))</f>
        <v>.</v>
      </c>
      <c r="B6813" s="244" t="str">
        <f t="shared" si="106"/>
        <v/>
      </c>
    </row>
    <row r="6814" spans="1:2" x14ac:dyDescent="0.25">
      <c r="A6814" t="str">
        <f>IF(C6814&amp;G6814&amp;D6814&lt;&gt;'Funnel setup'!$K$3&amp;'Funnel setup'!$K$4&amp;'Funnel setup'!$K$6,".",IF(A6813=".",1,A6813+1))</f>
        <v>.</v>
      </c>
      <c r="B6814" s="244" t="str">
        <f t="shared" si="106"/>
        <v/>
      </c>
    </row>
    <row r="6815" spans="1:2" x14ac:dyDescent="0.25">
      <c r="A6815" t="str">
        <f>IF(C6815&amp;G6815&amp;D6815&lt;&gt;'Funnel setup'!$K$3&amp;'Funnel setup'!$K$4&amp;'Funnel setup'!$K$6,".",IF(A6814=".",1,A6814+1))</f>
        <v>.</v>
      </c>
      <c r="B6815" s="244" t="str">
        <f t="shared" si="106"/>
        <v/>
      </c>
    </row>
    <row r="6816" spans="1:2" x14ac:dyDescent="0.25">
      <c r="A6816" t="str">
        <f>IF(C6816&amp;G6816&amp;D6816&lt;&gt;'Funnel setup'!$K$3&amp;'Funnel setup'!$K$4&amp;'Funnel setup'!$K$6,".",IF(A6815=".",1,A6815+1))</f>
        <v>.</v>
      </c>
      <c r="B6816" s="244" t="str">
        <f t="shared" si="106"/>
        <v/>
      </c>
    </row>
    <row r="6817" spans="1:2" x14ac:dyDescent="0.25">
      <c r="A6817" t="str">
        <f>IF(C6817&amp;G6817&amp;D6817&lt;&gt;'Funnel setup'!$K$3&amp;'Funnel setup'!$K$4&amp;'Funnel setup'!$K$6,".",IF(A6816=".",1,A6816+1))</f>
        <v>.</v>
      </c>
      <c r="B6817" s="244" t="str">
        <f t="shared" si="106"/>
        <v/>
      </c>
    </row>
    <row r="6818" spans="1:2" x14ac:dyDescent="0.25">
      <c r="A6818" t="str">
        <f>IF(C6818&amp;G6818&amp;D6818&lt;&gt;'Funnel setup'!$K$3&amp;'Funnel setup'!$K$4&amp;'Funnel setup'!$K$6,".",IF(A6817=".",1,A6817+1))</f>
        <v>.</v>
      </c>
      <c r="B6818" s="244" t="str">
        <f t="shared" si="106"/>
        <v/>
      </c>
    </row>
    <row r="6819" spans="1:2" x14ac:dyDescent="0.25">
      <c r="A6819" t="str">
        <f>IF(C6819&amp;G6819&amp;D6819&lt;&gt;'Funnel setup'!$K$3&amp;'Funnel setup'!$K$4&amp;'Funnel setup'!$K$6,".",IF(A6818=".",1,A6818+1))</f>
        <v>.</v>
      </c>
      <c r="B6819" s="244" t="str">
        <f t="shared" si="106"/>
        <v/>
      </c>
    </row>
    <row r="6820" spans="1:2" x14ac:dyDescent="0.25">
      <c r="A6820" t="str">
        <f>IF(C6820&amp;G6820&amp;D6820&lt;&gt;'Funnel setup'!$K$3&amp;'Funnel setup'!$K$4&amp;'Funnel setup'!$K$6,".",IF(A6819=".",1,A6819+1))</f>
        <v>.</v>
      </c>
      <c r="B6820" s="244" t="str">
        <f t="shared" si="106"/>
        <v/>
      </c>
    </row>
    <row r="6821" spans="1:2" x14ac:dyDescent="0.25">
      <c r="A6821" t="str">
        <f>IF(C6821&amp;G6821&amp;D6821&lt;&gt;'Funnel setup'!$K$3&amp;'Funnel setup'!$K$4&amp;'Funnel setup'!$K$6,".",IF(A6820=".",1,A6820+1))</f>
        <v>.</v>
      </c>
      <c r="B6821" s="244" t="str">
        <f t="shared" si="106"/>
        <v/>
      </c>
    </row>
    <row r="6822" spans="1:2" x14ac:dyDescent="0.25">
      <c r="A6822" t="str">
        <f>IF(C6822&amp;G6822&amp;D6822&lt;&gt;'Funnel setup'!$K$3&amp;'Funnel setup'!$K$4&amp;'Funnel setup'!$K$6,".",IF(A6821=".",1,A6821+1))</f>
        <v>.</v>
      </c>
      <c r="B6822" s="244" t="str">
        <f t="shared" si="106"/>
        <v/>
      </c>
    </row>
    <row r="6823" spans="1:2" x14ac:dyDescent="0.25">
      <c r="A6823" t="str">
        <f>IF(C6823&amp;G6823&amp;D6823&lt;&gt;'Funnel setup'!$K$3&amp;'Funnel setup'!$K$4&amp;'Funnel setup'!$K$6,".",IF(A6822=".",1,A6822+1))</f>
        <v>.</v>
      </c>
      <c r="B6823" s="244" t="str">
        <f t="shared" si="106"/>
        <v/>
      </c>
    </row>
    <row r="6824" spans="1:2" x14ac:dyDescent="0.25">
      <c r="A6824" t="str">
        <f>IF(C6824&amp;G6824&amp;D6824&lt;&gt;'Funnel setup'!$K$3&amp;'Funnel setup'!$K$4&amp;'Funnel setup'!$K$6,".",IF(A6823=".",1,A6823+1))</f>
        <v>.</v>
      </c>
      <c r="B6824" s="244" t="str">
        <f t="shared" si="106"/>
        <v/>
      </c>
    </row>
    <row r="6825" spans="1:2" x14ac:dyDescent="0.25">
      <c r="A6825" t="str">
        <f>IF(C6825&amp;G6825&amp;D6825&lt;&gt;'Funnel setup'!$K$3&amp;'Funnel setup'!$K$4&amp;'Funnel setup'!$K$6,".",IF(A6824=".",1,A6824+1))</f>
        <v>.</v>
      </c>
      <c r="B6825" s="244" t="str">
        <f t="shared" si="106"/>
        <v/>
      </c>
    </row>
    <row r="6826" spans="1:2" x14ac:dyDescent="0.25">
      <c r="A6826" t="str">
        <f>IF(C6826&amp;G6826&amp;D6826&lt;&gt;'Funnel setup'!$K$3&amp;'Funnel setup'!$K$4&amp;'Funnel setup'!$K$6,".",IF(A6825=".",1,A6825+1))</f>
        <v>.</v>
      </c>
      <c r="B6826" s="244" t="str">
        <f t="shared" si="106"/>
        <v/>
      </c>
    </row>
    <row r="6827" spans="1:2" x14ac:dyDescent="0.25">
      <c r="A6827" t="str">
        <f>IF(C6827&amp;G6827&amp;D6827&lt;&gt;'Funnel setup'!$K$3&amp;'Funnel setup'!$K$4&amp;'Funnel setup'!$K$6,".",IF(A6826=".",1,A6826+1))</f>
        <v>.</v>
      </c>
      <c r="B6827" s="244" t="str">
        <f t="shared" si="106"/>
        <v/>
      </c>
    </row>
    <row r="6828" spans="1:2" x14ac:dyDescent="0.25">
      <c r="A6828" t="str">
        <f>IF(C6828&amp;G6828&amp;D6828&lt;&gt;'Funnel setup'!$K$3&amp;'Funnel setup'!$K$4&amp;'Funnel setup'!$K$6,".",IF(A6827=".",1,A6827+1))</f>
        <v>.</v>
      </c>
      <c r="B6828" s="244" t="str">
        <f t="shared" si="106"/>
        <v/>
      </c>
    </row>
    <row r="6829" spans="1:2" x14ac:dyDescent="0.25">
      <c r="A6829" t="str">
        <f>IF(C6829&amp;G6829&amp;D6829&lt;&gt;'Funnel setup'!$K$3&amp;'Funnel setup'!$K$4&amp;'Funnel setup'!$K$6,".",IF(A6828=".",1,A6828+1))</f>
        <v>.</v>
      </c>
      <c r="B6829" s="244" t="str">
        <f t="shared" si="106"/>
        <v/>
      </c>
    </row>
    <row r="6830" spans="1:2" x14ac:dyDescent="0.25">
      <c r="A6830" t="str">
        <f>IF(C6830&amp;G6830&amp;D6830&lt;&gt;'Funnel setup'!$K$3&amp;'Funnel setup'!$K$4&amp;'Funnel setup'!$K$6,".",IF(A6829=".",1,A6829+1))</f>
        <v>.</v>
      </c>
      <c r="B6830" s="244" t="str">
        <f t="shared" si="106"/>
        <v/>
      </c>
    </row>
    <row r="6831" spans="1:2" x14ac:dyDescent="0.25">
      <c r="A6831" t="str">
        <f>IF(C6831&amp;G6831&amp;D6831&lt;&gt;'Funnel setup'!$K$3&amp;'Funnel setup'!$K$4&amp;'Funnel setup'!$K$6,".",IF(A6830=".",1,A6830+1))</f>
        <v>.</v>
      </c>
      <c r="B6831" s="244" t="str">
        <f t="shared" si="106"/>
        <v/>
      </c>
    </row>
    <row r="6832" spans="1:2" x14ac:dyDescent="0.25">
      <c r="A6832" t="str">
        <f>IF(C6832&amp;G6832&amp;D6832&lt;&gt;'Funnel setup'!$K$3&amp;'Funnel setup'!$K$4&amp;'Funnel setup'!$K$6,".",IF(A6831=".",1,A6831+1))</f>
        <v>.</v>
      </c>
      <c r="B6832" s="244" t="str">
        <f t="shared" si="106"/>
        <v/>
      </c>
    </row>
    <row r="6833" spans="1:2" x14ac:dyDescent="0.25">
      <c r="A6833" t="str">
        <f>IF(C6833&amp;G6833&amp;D6833&lt;&gt;'Funnel setup'!$K$3&amp;'Funnel setup'!$K$4&amp;'Funnel setup'!$K$6,".",IF(A6832=".",1,A6832+1))</f>
        <v>.</v>
      </c>
      <c r="B6833" s="244" t="str">
        <f t="shared" si="106"/>
        <v/>
      </c>
    </row>
    <row r="6834" spans="1:2" x14ac:dyDescent="0.25">
      <c r="A6834" t="str">
        <f>IF(C6834&amp;G6834&amp;D6834&lt;&gt;'Funnel setup'!$K$3&amp;'Funnel setup'!$K$4&amp;'Funnel setup'!$K$6,".",IF(A6833=".",1,A6833+1))</f>
        <v>.</v>
      </c>
      <c r="B6834" s="244" t="str">
        <f t="shared" si="106"/>
        <v/>
      </c>
    </row>
    <row r="6835" spans="1:2" x14ac:dyDescent="0.25">
      <c r="A6835" t="str">
        <f>IF(C6835&amp;G6835&amp;D6835&lt;&gt;'Funnel setup'!$K$3&amp;'Funnel setup'!$K$4&amp;'Funnel setup'!$K$6,".",IF(A6834=".",1,A6834+1))</f>
        <v>.</v>
      </c>
      <c r="B6835" s="244" t="str">
        <f t="shared" si="106"/>
        <v/>
      </c>
    </row>
    <row r="6836" spans="1:2" x14ac:dyDescent="0.25">
      <c r="A6836" t="str">
        <f>IF(C6836&amp;G6836&amp;D6836&lt;&gt;'Funnel setup'!$K$3&amp;'Funnel setup'!$K$4&amp;'Funnel setup'!$K$6,".",IF(A6835=".",1,A6835+1))</f>
        <v>.</v>
      </c>
      <c r="B6836" s="244" t="str">
        <f t="shared" si="106"/>
        <v/>
      </c>
    </row>
    <row r="6837" spans="1:2" x14ac:dyDescent="0.25">
      <c r="A6837" t="str">
        <f>IF(C6837&amp;G6837&amp;D6837&lt;&gt;'Funnel setup'!$K$3&amp;'Funnel setup'!$K$4&amp;'Funnel setup'!$K$6,".",IF(A6836=".",1,A6836+1))</f>
        <v>.</v>
      </c>
      <c r="B6837" s="244" t="str">
        <f t="shared" si="106"/>
        <v/>
      </c>
    </row>
    <row r="6838" spans="1:2" x14ac:dyDescent="0.25">
      <c r="A6838" t="str">
        <f>IF(C6838&amp;G6838&amp;D6838&lt;&gt;'Funnel setup'!$K$3&amp;'Funnel setup'!$K$4&amp;'Funnel setup'!$K$6,".",IF(A6837=".",1,A6837+1))</f>
        <v>.</v>
      </c>
      <c r="B6838" s="244" t="str">
        <f t="shared" si="106"/>
        <v/>
      </c>
    </row>
    <row r="6839" spans="1:2" x14ac:dyDescent="0.25">
      <c r="A6839" t="str">
        <f>IF(C6839&amp;G6839&amp;D6839&lt;&gt;'Funnel setup'!$K$3&amp;'Funnel setup'!$K$4&amp;'Funnel setup'!$K$6,".",IF(A6838=".",1,A6838+1))</f>
        <v>.</v>
      </c>
      <c r="B6839" s="244" t="str">
        <f t="shared" si="106"/>
        <v/>
      </c>
    </row>
    <row r="6840" spans="1:2" x14ac:dyDescent="0.25">
      <c r="A6840" t="str">
        <f>IF(C6840&amp;G6840&amp;D6840&lt;&gt;'Funnel setup'!$K$3&amp;'Funnel setup'!$K$4&amp;'Funnel setup'!$K$6,".",IF(A6839=".",1,A6839+1))</f>
        <v>.</v>
      </c>
      <c r="B6840" s="244" t="str">
        <f t="shared" si="106"/>
        <v/>
      </c>
    </row>
    <row r="6841" spans="1:2" x14ac:dyDescent="0.25">
      <c r="A6841" t="str">
        <f>IF(C6841&amp;G6841&amp;D6841&lt;&gt;'Funnel setup'!$K$3&amp;'Funnel setup'!$K$4&amp;'Funnel setup'!$K$6,".",IF(A6840=".",1,A6840+1))</f>
        <v>.</v>
      </c>
      <c r="B6841" s="244" t="str">
        <f t="shared" si="106"/>
        <v/>
      </c>
    </row>
    <row r="6842" spans="1:2" x14ac:dyDescent="0.25">
      <c r="A6842" t="str">
        <f>IF(C6842&amp;G6842&amp;D6842&lt;&gt;'Funnel setup'!$K$3&amp;'Funnel setup'!$K$4&amp;'Funnel setup'!$K$6,".",IF(A6841=".",1,A6841+1))</f>
        <v>.</v>
      </c>
      <c r="B6842" s="244" t="str">
        <f t="shared" si="106"/>
        <v/>
      </c>
    </row>
    <row r="6843" spans="1:2" x14ac:dyDescent="0.25">
      <c r="A6843" t="str">
        <f>IF(C6843&amp;G6843&amp;D6843&lt;&gt;'Funnel setup'!$K$3&amp;'Funnel setup'!$K$4&amp;'Funnel setup'!$K$6,".",IF(A6842=".",1,A6842+1))</f>
        <v>.</v>
      </c>
      <c r="B6843" s="244" t="str">
        <f t="shared" si="106"/>
        <v/>
      </c>
    </row>
    <row r="6844" spans="1:2" x14ac:dyDescent="0.25">
      <c r="A6844" t="str">
        <f>IF(C6844&amp;G6844&amp;D6844&lt;&gt;'Funnel setup'!$K$3&amp;'Funnel setup'!$K$4&amp;'Funnel setup'!$K$6,".",IF(A6843=".",1,A6843+1))</f>
        <v>.</v>
      </c>
      <c r="B6844" s="244" t="str">
        <f t="shared" si="106"/>
        <v/>
      </c>
    </row>
    <row r="6845" spans="1:2" x14ac:dyDescent="0.25">
      <c r="A6845" t="str">
        <f>IF(C6845&amp;G6845&amp;D6845&lt;&gt;'Funnel setup'!$K$3&amp;'Funnel setup'!$K$4&amp;'Funnel setup'!$K$6,".",IF(A6844=".",1,A6844+1))</f>
        <v>.</v>
      </c>
      <c r="B6845" s="244" t="str">
        <f t="shared" si="106"/>
        <v/>
      </c>
    </row>
    <row r="6846" spans="1:2" x14ac:dyDescent="0.25">
      <c r="A6846" t="str">
        <f>IF(C6846&amp;G6846&amp;D6846&lt;&gt;'Funnel setup'!$K$3&amp;'Funnel setup'!$K$4&amp;'Funnel setup'!$K$6,".",IF(A6845=".",1,A6845+1))</f>
        <v>.</v>
      </c>
      <c r="B6846" s="244" t="str">
        <f t="shared" si="106"/>
        <v/>
      </c>
    </row>
    <row r="6847" spans="1:2" x14ac:dyDescent="0.25">
      <c r="A6847" t="str">
        <f>IF(C6847&amp;G6847&amp;D6847&lt;&gt;'Funnel setup'!$K$3&amp;'Funnel setup'!$K$4&amp;'Funnel setup'!$K$6,".",IF(A6846=".",1,A6846+1))</f>
        <v>.</v>
      </c>
      <c r="B6847" s="244" t="str">
        <f t="shared" si="106"/>
        <v/>
      </c>
    </row>
    <row r="6848" spans="1:2" x14ac:dyDescent="0.25">
      <c r="A6848" t="str">
        <f>IF(C6848&amp;G6848&amp;D6848&lt;&gt;'Funnel setup'!$K$3&amp;'Funnel setup'!$K$4&amp;'Funnel setup'!$K$6,".",IF(A6847=".",1,A6847+1))</f>
        <v>.</v>
      </c>
      <c r="B6848" s="244" t="str">
        <f t="shared" si="106"/>
        <v/>
      </c>
    </row>
    <row r="6849" spans="1:2" x14ac:dyDescent="0.25">
      <c r="A6849" t="str">
        <f>IF(C6849&amp;G6849&amp;D6849&lt;&gt;'Funnel setup'!$K$3&amp;'Funnel setup'!$K$4&amp;'Funnel setup'!$K$6,".",IF(A6848=".",1,A6848+1))</f>
        <v>.</v>
      </c>
      <c r="B6849" s="244" t="str">
        <f t="shared" si="106"/>
        <v/>
      </c>
    </row>
    <row r="6850" spans="1:2" x14ac:dyDescent="0.25">
      <c r="A6850" t="str">
        <f>IF(C6850&amp;G6850&amp;D6850&lt;&gt;'Funnel setup'!$K$3&amp;'Funnel setup'!$K$4&amp;'Funnel setup'!$K$6,".",IF(A6849=".",1,A6849+1))</f>
        <v>.</v>
      </c>
      <c r="B6850" s="244" t="str">
        <f t="shared" ref="B6850:B6913" si="107">C6850&amp;D6850&amp;F6850&amp;G6850</f>
        <v/>
      </c>
    </row>
    <row r="6851" spans="1:2" x14ac:dyDescent="0.25">
      <c r="A6851" t="str">
        <f>IF(C6851&amp;G6851&amp;D6851&lt;&gt;'Funnel setup'!$K$3&amp;'Funnel setup'!$K$4&amp;'Funnel setup'!$K$6,".",IF(A6850=".",1,A6850+1))</f>
        <v>.</v>
      </c>
      <c r="B6851" s="244" t="str">
        <f t="shared" si="107"/>
        <v/>
      </c>
    </row>
    <row r="6852" spans="1:2" x14ac:dyDescent="0.25">
      <c r="A6852" t="str">
        <f>IF(C6852&amp;G6852&amp;D6852&lt;&gt;'Funnel setup'!$K$3&amp;'Funnel setup'!$K$4&amp;'Funnel setup'!$K$6,".",IF(A6851=".",1,A6851+1))</f>
        <v>.</v>
      </c>
      <c r="B6852" s="244" t="str">
        <f t="shared" si="107"/>
        <v/>
      </c>
    </row>
    <row r="6853" spans="1:2" x14ac:dyDescent="0.25">
      <c r="A6853" t="str">
        <f>IF(C6853&amp;G6853&amp;D6853&lt;&gt;'Funnel setup'!$K$3&amp;'Funnel setup'!$K$4&amp;'Funnel setup'!$K$6,".",IF(A6852=".",1,A6852+1))</f>
        <v>.</v>
      </c>
      <c r="B6853" s="244" t="str">
        <f t="shared" si="107"/>
        <v/>
      </c>
    </row>
    <row r="6854" spans="1:2" x14ac:dyDescent="0.25">
      <c r="A6854" t="str">
        <f>IF(C6854&amp;G6854&amp;D6854&lt;&gt;'Funnel setup'!$K$3&amp;'Funnel setup'!$K$4&amp;'Funnel setup'!$K$6,".",IF(A6853=".",1,A6853+1))</f>
        <v>.</v>
      </c>
      <c r="B6854" s="244" t="str">
        <f t="shared" si="107"/>
        <v/>
      </c>
    </row>
    <row r="6855" spans="1:2" x14ac:dyDescent="0.25">
      <c r="A6855" t="str">
        <f>IF(C6855&amp;G6855&amp;D6855&lt;&gt;'Funnel setup'!$K$3&amp;'Funnel setup'!$K$4&amp;'Funnel setup'!$K$6,".",IF(A6854=".",1,A6854+1))</f>
        <v>.</v>
      </c>
      <c r="B6855" s="244" t="str">
        <f t="shared" si="107"/>
        <v/>
      </c>
    </row>
    <row r="6856" spans="1:2" x14ac:dyDescent="0.25">
      <c r="A6856" t="str">
        <f>IF(C6856&amp;G6856&amp;D6856&lt;&gt;'Funnel setup'!$K$3&amp;'Funnel setup'!$K$4&amp;'Funnel setup'!$K$6,".",IF(A6855=".",1,A6855+1))</f>
        <v>.</v>
      </c>
      <c r="B6856" s="244" t="str">
        <f t="shared" si="107"/>
        <v/>
      </c>
    </row>
    <row r="6857" spans="1:2" x14ac:dyDescent="0.25">
      <c r="A6857" t="str">
        <f>IF(C6857&amp;G6857&amp;D6857&lt;&gt;'Funnel setup'!$K$3&amp;'Funnel setup'!$K$4&amp;'Funnel setup'!$K$6,".",IF(A6856=".",1,A6856+1))</f>
        <v>.</v>
      </c>
      <c r="B6857" s="244" t="str">
        <f t="shared" si="107"/>
        <v/>
      </c>
    </row>
    <row r="6858" spans="1:2" x14ac:dyDescent="0.25">
      <c r="A6858" t="str">
        <f>IF(C6858&amp;G6858&amp;D6858&lt;&gt;'Funnel setup'!$K$3&amp;'Funnel setup'!$K$4&amp;'Funnel setup'!$K$6,".",IF(A6857=".",1,A6857+1))</f>
        <v>.</v>
      </c>
      <c r="B6858" s="244" t="str">
        <f t="shared" si="107"/>
        <v/>
      </c>
    </row>
    <row r="6859" spans="1:2" x14ac:dyDescent="0.25">
      <c r="A6859" t="str">
        <f>IF(C6859&amp;G6859&amp;D6859&lt;&gt;'Funnel setup'!$K$3&amp;'Funnel setup'!$K$4&amp;'Funnel setup'!$K$6,".",IF(A6858=".",1,A6858+1))</f>
        <v>.</v>
      </c>
      <c r="B6859" s="244" t="str">
        <f t="shared" si="107"/>
        <v/>
      </c>
    </row>
    <row r="6860" spans="1:2" x14ac:dyDescent="0.25">
      <c r="A6860" t="str">
        <f>IF(C6860&amp;G6860&amp;D6860&lt;&gt;'Funnel setup'!$K$3&amp;'Funnel setup'!$K$4&amp;'Funnel setup'!$K$6,".",IF(A6859=".",1,A6859+1))</f>
        <v>.</v>
      </c>
      <c r="B6860" s="244" t="str">
        <f t="shared" si="107"/>
        <v/>
      </c>
    </row>
    <row r="6861" spans="1:2" x14ac:dyDescent="0.25">
      <c r="A6861" t="str">
        <f>IF(C6861&amp;G6861&amp;D6861&lt;&gt;'Funnel setup'!$K$3&amp;'Funnel setup'!$K$4&amp;'Funnel setup'!$K$6,".",IF(A6860=".",1,A6860+1))</f>
        <v>.</v>
      </c>
      <c r="B6861" s="244" t="str">
        <f t="shared" si="107"/>
        <v/>
      </c>
    </row>
    <row r="6862" spans="1:2" x14ac:dyDescent="0.25">
      <c r="A6862" t="str">
        <f>IF(C6862&amp;G6862&amp;D6862&lt;&gt;'Funnel setup'!$K$3&amp;'Funnel setup'!$K$4&amp;'Funnel setup'!$K$6,".",IF(A6861=".",1,A6861+1))</f>
        <v>.</v>
      </c>
      <c r="B6862" s="244" t="str">
        <f t="shared" si="107"/>
        <v/>
      </c>
    </row>
    <row r="6863" spans="1:2" x14ac:dyDescent="0.25">
      <c r="A6863" t="str">
        <f>IF(C6863&amp;G6863&amp;D6863&lt;&gt;'Funnel setup'!$K$3&amp;'Funnel setup'!$K$4&amp;'Funnel setup'!$K$6,".",IF(A6862=".",1,A6862+1))</f>
        <v>.</v>
      </c>
      <c r="B6863" s="244" t="str">
        <f t="shared" si="107"/>
        <v/>
      </c>
    </row>
    <row r="6864" spans="1:2" x14ac:dyDescent="0.25">
      <c r="A6864" t="str">
        <f>IF(C6864&amp;G6864&amp;D6864&lt;&gt;'Funnel setup'!$K$3&amp;'Funnel setup'!$K$4&amp;'Funnel setup'!$K$6,".",IF(A6863=".",1,A6863+1))</f>
        <v>.</v>
      </c>
      <c r="B6864" s="244" t="str">
        <f t="shared" si="107"/>
        <v/>
      </c>
    </row>
    <row r="6865" spans="1:2" x14ac:dyDescent="0.25">
      <c r="A6865" t="str">
        <f>IF(C6865&amp;G6865&amp;D6865&lt;&gt;'Funnel setup'!$K$3&amp;'Funnel setup'!$K$4&amp;'Funnel setup'!$K$6,".",IF(A6864=".",1,A6864+1))</f>
        <v>.</v>
      </c>
      <c r="B6865" s="244" t="str">
        <f t="shared" si="107"/>
        <v/>
      </c>
    </row>
    <row r="6866" spans="1:2" x14ac:dyDescent="0.25">
      <c r="A6866" t="str">
        <f>IF(C6866&amp;G6866&amp;D6866&lt;&gt;'Funnel setup'!$K$3&amp;'Funnel setup'!$K$4&amp;'Funnel setup'!$K$6,".",IF(A6865=".",1,A6865+1))</f>
        <v>.</v>
      </c>
      <c r="B6866" s="244" t="str">
        <f t="shared" si="107"/>
        <v/>
      </c>
    </row>
    <row r="6867" spans="1:2" x14ac:dyDescent="0.25">
      <c r="A6867" t="str">
        <f>IF(C6867&amp;G6867&amp;D6867&lt;&gt;'Funnel setup'!$K$3&amp;'Funnel setup'!$K$4&amp;'Funnel setup'!$K$6,".",IF(A6866=".",1,A6866+1))</f>
        <v>.</v>
      </c>
      <c r="B6867" s="244" t="str">
        <f t="shared" si="107"/>
        <v/>
      </c>
    </row>
    <row r="6868" spans="1:2" x14ac:dyDescent="0.25">
      <c r="A6868" t="str">
        <f>IF(C6868&amp;G6868&amp;D6868&lt;&gt;'Funnel setup'!$K$3&amp;'Funnel setup'!$K$4&amp;'Funnel setup'!$K$6,".",IF(A6867=".",1,A6867+1))</f>
        <v>.</v>
      </c>
      <c r="B6868" s="244" t="str">
        <f t="shared" si="107"/>
        <v/>
      </c>
    </row>
    <row r="6869" spans="1:2" x14ac:dyDescent="0.25">
      <c r="A6869" t="str">
        <f>IF(C6869&amp;G6869&amp;D6869&lt;&gt;'Funnel setup'!$K$3&amp;'Funnel setup'!$K$4&amp;'Funnel setup'!$K$6,".",IF(A6868=".",1,A6868+1))</f>
        <v>.</v>
      </c>
      <c r="B6869" s="244" t="str">
        <f t="shared" si="107"/>
        <v/>
      </c>
    </row>
    <row r="6870" spans="1:2" x14ac:dyDescent="0.25">
      <c r="A6870" t="str">
        <f>IF(C6870&amp;G6870&amp;D6870&lt;&gt;'Funnel setup'!$K$3&amp;'Funnel setup'!$K$4&amp;'Funnel setup'!$K$6,".",IF(A6869=".",1,A6869+1))</f>
        <v>.</v>
      </c>
      <c r="B6870" s="244" t="str">
        <f t="shared" si="107"/>
        <v/>
      </c>
    </row>
    <row r="6871" spans="1:2" x14ac:dyDescent="0.25">
      <c r="A6871" t="str">
        <f>IF(C6871&amp;G6871&amp;D6871&lt;&gt;'Funnel setup'!$K$3&amp;'Funnel setup'!$K$4&amp;'Funnel setup'!$K$6,".",IF(A6870=".",1,A6870+1))</f>
        <v>.</v>
      </c>
      <c r="B6871" s="244" t="str">
        <f t="shared" si="107"/>
        <v/>
      </c>
    </row>
    <row r="6872" spans="1:2" x14ac:dyDescent="0.25">
      <c r="A6872" t="str">
        <f>IF(C6872&amp;G6872&amp;D6872&lt;&gt;'Funnel setup'!$K$3&amp;'Funnel setup'!$K$4&amp;'Funnel setup'!$K$6,".",IF(A6871=".",1,A6871+1))</f>
        <v>.</v>
      </c>
      <c r="B6872" s="244" t="str">
        <f t="shared" si="107"/>
        <v/>
      </c>
    </row>
    <row r="6873" spans="1:2" x14ac:dyDescent="0.25">
      <c r="A6873" t="str">
        <f>IF(C6873&amp;G6873&amp;D6873&lt;&gt;'Funnel setup'!$K$3&amp;'Funnel setup'!$K$4&amp;'Funnel setup'!$K$6,".",IF(A6872=".",1,A6872+1))</f>
        <v>.</v>
      </c>
      <c r="B6873" s="244" t="str">
        <f t="shared" si="107"/>
        <v/>
      </c>
    </row>
    <row r="6874" spans="1:2" x14ac:dyDescent="0.25">
      <c r="A6874" t="str">
        <f>IF(C6874&amp;G6874&amp;D6874&lt;&gt;'Funnel setup'!$K$3&amp;'Funnel setup'!$K$4&amp;'Funnel setup'!$K$6,".",IF(A6873=".",1,A6873+1))</f>
        <v>.</v>
      </c>
      <c r="B6874" s="244" t="str">
        <f t="shared" si="107"/>
        <v/>
      </c>
    </row>
    <row r="6875" spans="1:2" x14ac:dyDescent="0.25">
      <c r="A6875" t="str">
        <f>IF(C6875&amp;G6875&amp;D6875&lt;&gt;'Funnel setup'!$K$3&amp;'Funnel setup'!$K$4&amp;'Funnel setup'!$K$6,".",IF(A6874=".",1,A6874+1))</f>
        <v>.</v>
      </c>
      <c r="B6875" s="244" t="str">
        <f t="shared" si="107"/>
        <v/>
      </c>
    </row>
    <row r="6876" spans="1:2" x14ac:dyDescent="0.25">
      <c r="A6876" t="str">
        <f>IF(C6876&amp;G6876&amp;D6876&lt;&gt;'Funnel setup'!$K$3&amp;'Funnel setup'!$K$4&amp;'Funnel setup'!$K$6,".",IF(A6875=".",1,A6875+1))</f>
        <v>.</v>
      </c>
      <c r="B6876" s="244" t="str">
        <f t="shared" si="107"/>
        <v/>
      </c>
    </row>
    <row r="6877" spans="1:2" x14ac:dyDescent="0.25">
      <c r="A6877" t="str">
        <f>IF(C6877&amp;G6877&amp;D6877&lt;&gt;'Funnel setup'!$K$3&amp;'Funnel setup'!$K$4&amp;'Funnel setup'!$K$6,".",IF(A6876=".",1,A6876+1))</f>
        <v>.</v>
      </c>
      <c r="B6877" s="244" t="str">
        <f t="shared" si="107"/>
        <v/>
      </c>
    </row>
    <row r="6878" spans="1:2" x14ac:dyDescent="0.25">
      <c r="A6878" t="str">
        <f>IF(C6878&amp;G6878&amp;D6878&lt;&gt;'Funnel setup'!$K$3&amp;'Funnel setup'!$K$4&amp;'Funnel setup'!$K$6,".",IF(A6877=".",1,A6877+1))</f>
        <v>.</v>
      </c>
      <c r="B6878" s="244" t="str">
        <f t="shared" si="107"/>
        <v/>
      </c>
    </row>
    <row r="6879" spans="1:2" x14ac:dyDescent="0.25">
      <c r="A6879" t="str">
        <f>IF(C6879&amp;G6879&amp;D6879&lt;&gt;'Funnel setup'!$K$3&amp;'Funnel setup'!$K$4&amp;'Funnel setup'!$K$6,".",IF(A6878=".",1,A6878+1))</f>
        <v>.</v>
      </c>
      <c r="B6879" s="244" t="str">
        <f t="shared" si="107"/>
        <v/>
      </c>
    </row>
    <row r="6880" spans="1:2" x14ac:dyDescent="0.25">
      <c r="A6880" t="str">
        <f>IF(C6880&amp;G6880&amp;D6880&lt;&gt;'Funnel setup'!$K$3&amp;'Funnel setup'!$K$4&amp;'Funnel setup'!$K$6,".",IF(A6879=".",1,A6879+1))</f>
        <v>.</v>
      </c>
      <c r="B6880" s="244" t="str">
        <f t="shared" si="107"/>
        <v/>
      </c>
    </row>
    <row r="6881" spans="1:2" x14ac:dyDescent="0.25">
      <c r="A6881" t="str">
        <f>IF(C6881&amp;G6881&amp;D6881&lt;&gt;'Funnel setup'!$K$3&amp;'Funnel setup'!$K$4&amp;'Funnel setup'!$K$6,".",IF(A6880=".",1,A6880+1))</f>
        <v>.</v>
      </c>
      <c r="B6881" s="244" t="str">
        <f t="shared" si="107"/>
        <v/>
      </c>
    </row>
    <row r="6882" spans="1:2" x14ac:dyDescent="0.25">
      <c r="A6882" t="str">
        <f>IF(C6882&amp;G6882&amp;D6882&lt;&gt;'Funnel setup'!$K$3&amp;'Funnel setup'!$K$4&amp;'Funnel setup'!$K$6,".",IF(A6881=".",1,A6881+1))</f>
        <v>.</v>
      </c>
      <c r="B6882" s="244" t="str">
        <f t="shared" si="107"/>
        <v/>
      </c>
    </row>
    <row r="6883" spans="1:2" x14ac:dyDescent="0.25">
      <c r="A6883" t="str">
        <f>IF(C6883&amp;G6883&amp;D6883&lt;&gt;'Funnel setup'!$K$3&amp;'Funnel setup'!$K$4&amp;'Funnel setup'!$K$6,".",IF(A6882=".",1,A6882+1))</f>
        <v>.</v>
      </c>
      <c r="B6883" s="244" t="str">
        <f t="shared" si="107"/>
        <v/>
      </c>
    </row>
    <row r="6884" spans="1:2" x14ac:dyDescent="0.25">
      <c r="A6884" t="str">
        <f>IF(C6884&amp;G6884&amp;D6884&lt;&gt;'Funnel setup'!$K$3&amp;'Funnel setup'!$K$4&amp;'Funnel setup'!$K$6,".",IF(A6883=".",1,A6883+1))</f>
        <v>.</v>
      </c>
      <c r="B6884" s="244" t="str">
        <f t="shared" si="107"/>
        <v/>
      </c>
    </row>
    <row r="6885" spans="1:2" x14ac:dyDescent="0.25">
      <c r="A6885" t="str">
        <f>IF(C6885&amp;G6885&amp;D6885&lt;&gt;'Funnel setup'!$K$3&amp;'Funnel setup'!$K$4&amp;'Funnel setup'!$K$6,".",IF(A6884=".",1,A6884+1))</f>
        <v>.</v>
      </c>
      <c r="B6885" s="244" t="str">
        <f t="shared" si="107"/>
        <v/>
      </c>
    </row>
    <row r="6886" spans="1:2" x14ac:dyDescent="0.25">
      <c r="A6886" t="str">
        <f>IF(C6886&amp;G6886&amp;D6886&lt;&gt;'Funnel setup'!$K$3&amp;'Funnel setup'!$K$4&amp;'Funnel setup'!$K$6,".",IF(A6885=".",1,A6885+1))</f>
        <v>.</v>
      </c>
      <c r="B6886" s="244" t="str">
        <f t="shared" si="107"/>
        <v/>
      </c>
    </row>
    <row r="6887" spans="1:2" x14ac:dyDescent="0.25">
      <c r="A6887" t="str">
        <f>IF(C6887&amp;G6887&amp;D6887&lt;&gt;'Funnel setup'!$K$3&amp;'Funnel setup'!$K$4&amp;'Funnel setup'!$K$6,".",IF(A6886=".",1,A6886+1))</f>
        <v>.</v>
      </c>
      <c r="B6887" s="244" t="str">
        <f t="shared" si="107"/>
        <v/>
      </c>
    </row>
    <row r="6888" spans="1:2" x14ac:dyDescent="0.25">
      <c r="A6888" t="str">
        <f>IF(C6888&amp;G6888&amp;D6888&lt;&gt;'Funnel setup'!$K$3&amp;'Funnel setup'!$K$4&amp;'Funnel setup'!$K$6,".",IF(A6887=".",1,A6887+1))</f>
        <v>.</v>
      </c>
      <c r="B6888" s="244" t="str">
        <f t="shared" si="107"/>
        <v/>
      </c>
    </row>
    <row r="6889" spans="1:2" x14ac:dyDescent="0.25">
      <c r="A6889" t="str">
        <f>IF(C6889&amp;G6889&amp;D6889&lt;&gt;'Funnel setup'!$K$3&amp;'Funnel setup'!$K$4&amp;'Funnel setup'!$K$6,".",IF(A6888=".",1,A6888+1))</f>
        <v>.</v>
      </c>
      <c r="B6889" s="244" t="str">
        <f t="shared" si="107"/>
        <v/>
      </c>
    </row>
    <row r="6890" spans="1:2" x14ac:dyDescent="0.25">
      <c r="A6890" t="str">
        <f>IF(C6890&amp;G6890&amp;D6890&lt;&gt;'Funnel setup'!$K$3&amp;'Funnel setup'!$K$4&amp;'Funnel setup'!$K$6,".",IF(A6889=".",1,A6889+1))</f>
        <v>.</v>
      </c>
      <c r="B6890" s="244" t="str">
        <f t="shared" si="107"/>
        <v/>
      </c>
    </row>
    <row r="6891" spans="1:2" x14ac:dyDescent="0.25">
      <c r="A6891" t="str">
        <f>IF(C6891&amp;G6891&amp;D6891&lt;&gt;'Funnel setup'!$K$3&amp;'Funnel setup'!$K$4&amp;'Funnel setup'!$K$6,".",IF(A6890=".",1,A6890+1))</f>
        <v>.</v>
      </c>
      <c r="B6891" s="244" t="str">
        <f t="shared" si="107"/>
        <v/>
      </c>
    </row>
    <row r="6892" spans="1:2" x14ac:dyDescent="0.25">
      <c r="A6892" t="str">
        <f>IF(C6892&amp;G6892&amp;D6892&lt;&gt;'Funnel setup'!$K$3&amp;'Funnel setup'!$K$4&amp;'Funnel setup'!$K$6,".",IF(A6891=".",1,A6891+1))</f>
        <v>.</v>
      </c>
      <c r="B6892" s="244" t="str">
        <f t="shared" si="107"/>
        <v/>
      </c>
    </row>
    <row r="6893" spans="1:2" x14ac:dyDescent="0.25">
      <c r="A6893" t="str">
        <f>IF(C6893&amp;G6893&amp;D6893&lt;&gt;'Funnel setup'!$K$3&amp;'Funnel setup'!$K$4&amp;'Funnel setup'!$K$6,".",IF(A6892=".",1,A6892+1))</f>
        <v>.</v>
      </c>
      <c r="B6893" s="244" t="str">
        <f t="shared" si="107"/>
        <v/>
      </c>
    </row>
    <row r="6894" spans="1:2" x14ac:dyDescent="0.25">
      <c r="A6894" t="str">
        <f>IF(C6894&amp;G6894&amp;D6894&lt;&gt;'Funnel setup'!$K$3&amp;'Funnel setup'!$K$4&amp;'Funnel setup'!$K$6,".",IF(A6893=".",1,A6893+1))</f>
        <v>.</v>
      </c>
      <c r="B6894" s="244" t="str">
        <f t="shared" si="107"/>
        <v/>
      </c>
    </row>
    <row r="6895" spans="1:2" x14ac:dyDescent="0.25">
      <c r="A6895" t="str">
        <f>IF(C6895&amp;G6895&amp;D6895&lt;&gt;'Funnel setup'!$K$3&amp;'Funnel setup'!$K$4&amp;'Funnel setup'!$K$6,".",IF(A6894=".",1,A6894+1))</f>
        <v>.</v>
      </c>
      <c r="B6895" s="244" t="str">
        <f t="shared" si="107"/>
        <v/>
      </c>
    </row>
    <row r="6896" spans="1:2" x14ac:dyDescent="0.25">
      <c r="A6896" t="str">
        <f>IF(C6896&amp;G6896&amp;D6896&lt;&gt;'Funnel setup'!$K$3&amp;'Funnel setup'!$K$4&amp;'Funnel setup'!$K$6,".",IF(A6895=".",1,A6895+1))</f>
        <v>.</v>
      </c>
      <c r="B6896" s="244" t="str">
        <f t="shared" si="107"/>
        <v/>
      </c>
    </row>
    <row r="6897" spans="1:2" x14ac:dyDescent="0.25">
      <c r="A6897" t="str">
        <f>IF(C6897&amp;G6897&amp;D6897&lt;&gt;'Funnel setup'!$K$3&amp;'Funnel setup'!$K$4&amp;'Funnel setup'!$K$6,".",IF(A6896=".",1,A6896+1))</f>
        <v>.</v>
      </c>
      <c r="B6897" s="244" t="str">
        <f t="shared" si="107"/>
        <v/>
      </c>
    </row>
    <row r="6898" spans="1:2" x14ac:dyDescent="0.25">
      <c r="A6898" t="str">
        <f>IF(C6898&amp;G6898&amp;D6898&lt;&gt;'Funnel setup'!$K$3&amp;'Funnel setup'!$K$4&amp;'Funnel setup'!$K$6,".",IF(A6897=".",1,A6897+1))</f>
        <v>.</v>
      </c>
      <c r="B6898" s="244" t="str">
        <f t="shared" si="107"/>
        <v/>
      </c>
    </row>
    <row r="6899" spans="1:2" x14ac:dyDescent="0.25">
      <c r="A6899" t="str">
        <f>IF(C6899&amp;G6899&amp;D6899&lt;&gt;'Funnel setup'!$K$3&amp;'Funnel setup'!$K$4&amp;'Funnel setup'!$K$6,".",IF(A6898=".",1,A6898+1))</f>
        <v>.</v>
      </c>
      <c r="B6899" s="244" t="str">
        <f t="shared" si="107"/>
        <v/>
      </c>
    </row>
    <row r="6900" spans="1:2" x14ac:dyDescent="0.25">
      <c r="A6900" t="str">
        <f>IF(C6900&amp;G6900&amp;D6900&lt;&gt;'Funnel setup'!$K$3&amp;'Funnel setup'!$K$4&amp;'Funnel setup'!$K$6,".",IF(A6899=".",1,A6899+1))</f>
        <v>.</v>
      </c>
      <c r="B6900" s="244" t="str">
        <f t="shared" si="107"/>
        <v/>
      </c>
    </row>
    <row r="6901" spans="1:2" x14ac:dyDescent="0.25">
      <c r="A6901" t="str">
        <f>IF(C6901&amp;G6901&amp;D6901&lt;&gt;'Funnel setup'!$K$3&amp;'Funnel setup'!$K$4&amp;'Funnel setup'!$K$6,".",IF(A6900=".",1,A6900+1))</f>
        <v>.</v>
      </c>
      <c r="B6901" s="244" t="str">
        <f t="shared" si="107"/>
        <v/>
      </c>
    </row>
    <row r="6902" spans="1:2" x14ac:dyDescent="0.25">
      <c r="A6902" t="str">
        <f>IF(C6902&amp;G6902&amp;D6902&lt;&gt;'Funnel setup'!$K$3&amp;'Funnel setup'!$K$4&amp;'Funnel setup'!$K$6,".",IF(A6901=".",1,A6901+1))</f>
        <v>.</v>
      </c>
      <c r="B6902" s="244" t="str">
        <f t="shared" si="107"/>
        <v/>
      </c>
    </row>
    <row r="6903" spans="1:2" x14ac:dyDescent="0.25">
      <c r="A6903" t="str">
        <f>IF(C6903&amp;G6903&amp;D6903&lt;&gt;'Funnel setup'!$K$3&amp;'Funnel setup'!$K$4&amp;'Funnel setup'!$K$6,".",IF(A6902=".",1,A6902+1))</f>
        <v>.</v>
      </c>
      <c r="B6903" s="244" t="str">
        <f t="shared" si="107"/>
        <v/>
      </c>
    </row>
    <row r="6904" spans="1:2" x14ac:dyDescent="0.25">
      <c r="A6904" t="str">
        <f>IF(C6904&amp;G6904&amp;D6904&lt;&gt;'Funnel setup'!$K$3&amp;'Funnel setup'!$K$4&amp;'Funnel setup'!$K$6,".",IF(A6903=".",1,A6903+1))</f>
        <v>.</v>
      </c>
      <c r="B6904" s="244" t="str">
        <f t="shared" si="107"/>
        <v/>
      </c>
    </row>
    <row r="6905" spans="1:2" x14ac:dyDescent="0.25">
      <c r="A6905" t="str">
        <f>IF(C6905&amp;G6905&amp;D6905&lt;&gt;'Funnel setup'!$K$3&amp;'Funnel setup'!$K$4&amp;'Funnel setup'!$K$6,".",IF(A6904=".",1,A6904+1))</f>
        <v>.</v>
      </c>
      <c r="B6905" s="244" t="str">
        <f t="shared" si="107"/>
        <v/>
      </c>
    </row>
    <row r="6906" spans="1:2" x14ac:dyDescent="0.25">
      <c r="A6906" t="str">
        <f>IF(C6906&amp;G6906&amp;D6906&lt;&gt;'Funnel setup'!$K$3&amp;'Funnel setup'!$K$4&amp;'Funnel setup'!$K$6,".",IF(A6905=".",1,A6905+1))</f>
        <v>.</v>
      </c>
      <c r="B6906" s="244" t="str">
        <f t="shared" si="107"/>
        <v/>
      </c>
    </row>
    <row r="6907" spans="1:2" x14ac:dyDescent="0.25">
      <c r="A6907" t="str">
        <f>IF(C6907&amp;G6907&amp;D6907&lt;&gt;'Funnel setup'!$K$3&amp;'Funnel setup'!$K$4&amp;'Funnel setup'!$K$6,".",IF(A6906=".",1,A6906+1))</f>
        <v>.</v>
      </c>
      <c r="B6907" s="244" t="str">
        <f t="shared" si="107"/>
        <v/>
      </c>
    </row>
    <row r="6908" spans="1:2" x14ac:dyDescent="0.25">
      <c r="A6908" t="str">
        <f>IF(C6908&amp;G6908&amp;D6908&lt;&gt;'Funnel setup'!$K$3&amp;'Funnel setup'!$K$4&amp;'Funnel setup'!$K$6,".",IF(A6907=".",1,A6907+1))</f>
        <v>.</v>
      </c>
      <c r="B6908" s="244" t="str">
        <f t="shared" si="107"/>
        <v/>
      </c>
    </row>
    <row r="6909" spans="1:2" x14ac:dyDescent="0.25">
      <c r="A6909" t="str">
        <f>IF(C6909&amp;G6909&amp;D6909&lt;&gt;'Funnel setup'!$K$3&amp;'Funnel setup'!$K$4&amp;'Funnel setup'!$K$6,".",IF(A6908=".",1,A6908+1))</f>
        <v>.</v>
      </c>
      <c r="B6909" s="244" t="str">
        <f t="shared" si="107"/>
        <v/>
      </c>
    </row>
    <row r="6910" spans="1:2" x14ac:dyDescent="0.25">
      <c r="A6910" t="str">
        <f>IF(C6910&amp;G6910&amp;D6910&lt;&gt;'Funnel setup'!$K$3&amp;'Funnel setup'!$K$4&amp;'Funnel setup'!$K$6,".",IF(A6909=".",1,A6909+1))</f>
        <v>.</v>
      </c>
      <c r="B6910" s="244" t="str">
        <f t="shared" si="107"/>
        <v/>
      </c>
    </row>
    <row r="6911" spans="1:2" x14ac:dyDescent="0.25">
      <c r="A6911" t="str">
        <f>IF(C6911&amp;G6911&amp;D6911&lt;&gt;'Funnel setup'!$K$3&amp;'Funnel setup'!$K$4&amp;'Funnel setup'!$K$6,".",IF(A6910=".",1,A6910+1))</f>
        <v>.</v>
      </c>
      <c r="B6911" s="244" t="str">
        <f t="shared" si="107"/>
        <v/>
      </c>
    </row>
    <row r="6912" spans="1:2" x14ac:dyDescent="0.25">
      <c r="A6912" t="str">
        <f>IF(C6912&amp;G6912&amp;D6912&lt;&gt;'Funnel setup'!$K$3&amp;'Funnel setup'!$K$4&amp;'Funnel setup'!$K$6,".",IF(A6911=".",1,A6911+1))</f>
        <v>.</v>
      </c>
      <c r="B6912" s="244" t="str">
        <f t="shared" si="107"/>
        <v/>
      </c>
    </row>
    <row r="6913" spans="1:2" x14ac:dyDescent="0.25">
      <c r="A6913" t="str">
        <f>IF(C6913&amp;G6913&amp;D6913&lt;&gt;'Funnel setup'!$K$3&amp;'Funnel setup'!$K$4&amp;'Funnel setup'!$K$6,".",IF(A6912=".",1,A6912+1))</f>
        <v>.</v>
      </c>
      <c r="B6913" s="244" t="str">
        <f t="shared" si="107"/>
        <v/>
      </c>
    </row>
    <row r="6914" spans="1:2" x14ac:dyDescent="0.25">
      <c r="A6914" t="str">
        <f>IF(C6914&amp;G6914&amp;D6914&lt;&gt;'Funnel setup'!$K$3&amp;'Funnel setup'!$K$4&amp;'Funnel setup'!$K$6,".",IF(A6913=".",1,A6913+1))</f>
        <v>.</v>
      </c>
      <c r="B6914" s="244" t="str">
        <f t="shared" ref="B6914:B6977" si="108">C6914&amp;D6914&amp;F6914&amp;G6914</f>
        <v/>
      </c>
    </row>
    <row r="6915" spans="1:2" x14ac:dyDescent="0.25">
      <c r="A6915" t="str">
        <f>IF(C6915&amp;G6915&amp;D6915&lt;&gt;'Funnel setup'!$K$3&amp;'Funnel setup'!$K$4&amp;'Funnel setup'!$K$6,".",IF(A6914=".",1,A6914+1))</f>
        <v>.</v>
      </c>
      <c r="B6915" s="244" t="str">
        <f t="shared" si="108"/>
        <v/>
      </c>
    </row>
    <row r="6916" spans="1:2" x14ac:dyDescent="0.25">
      <c r="A6916" t="str">
        <f>IF(C6916&amp;G6916&amp;D6916&lt;&gt;'Funnel setup'!$K$3&amp;'Funnel setup'!$K$4&amp;'Funnel setup'!$K$6,".",IF(A6915=".",1,A6915+1))</f>
        <v>.</v>
      </c>
      <c r="B6916" s="244" t="str">
        <f t="shared" si="108"/>
        <v/>
      </c>
    </row>
    <row r="6917" spans="1:2" x14ac:dyDescent="0.25">
      <c r="A6917" t="str">
        <f>IF(C6917&amp;G6917&amp;D6917&lt;&gt;'Funnel setup'!$K$3&amp;'Funnel setup'!$K$4&amp;'Funnel setup'!$K$6,".",IF(A6916=".",1,A6916+1))</f>
        <v>.</v>
      </c>
      <c r="B6917" s="244" t="str">
        <f t="shared" si="108"/>
        <v/>
      </c>
    </row>
    <row r="6918" spans="1:2" x14ac:dyDescent="0.25">
      <c r="A6918" t="str">
        <f>IF(C6918&amp;G6918&amp;D6918&lt;&gt;'Funnel setup'!$K$3&amp;'Funnel setup'!$K$4&amp;'Funnel setup'!$K$6,".",IF(A6917=".",1,A6917+1))</f>
        <v>.</v>
      </c>
      <c r="B6918" s="244" t="str">
        <f t="shared" si="108"/>
        <v/>
      </c>
    </row>
    <row r="6919" spans="1:2" x14ac:dyDescent="0.25">
      <c r="A6919" t="str">
        <f>IF(C6919&amp;G6919&amp;D6919&lt;&gt;'Funnel setup'!$K$3&amp;'Funnel setup'!$K$4&amp;'Funnel setup'!$K$6,".",IF(A6918=".",1,A6918+1))</f>
        <v>.</v>
      </c>
      <c r="B6919" s="244" t="str">
        <f t="shared" si="108"/>
        <v/>
      </c>
    </row>
    <row r="6920" spans="1:2" x14ac:dyDescent="0.25">
      <c r="A6920" t="str">
        <f>IF(C6920&amp;G6920&amp;D6920&lt;&gt;'Funnel setup'!$K$3&amp;'Funnel setup'!$K$4&amp;'Funnel setup'!$K$6,".",IF(A6919=".",1,A6919+1))</f>
        <v>.</v>
      </c>
      <c r="B6920" s="244" t="str">
        <f t="shared" si="108"/>
        <v/>
      </c>
    </row>
    <row r="6921" spans="1:2" x14ac:dyDescent="0.25">
      <c r="A6921" t="str">
        <f>IF(C6921&amp;G6921&amp;D6921&lt;&gt;'Funnel setup'!$K$3&amp;'Funnel setup'!$K$4&amp;'Funnel setup'!$K$6,".",IF(A6920=".",1,A6920+1))</f>
        <v>.</v>
      </c>
      <c r="B6921" s="244" t="str">
        <f t="shared" si="108"/>
        <v/>
      </c>
    </row>
    <row r="6922" spans="1:2" x14ac:dyDescent="0.25">
      <c r="A6922" t="str">
        <f>IF(C6922&amp;G6922&amp;D6922&lt;&gt;'Funnel setup'!$K$3&amp;'Funnel setup'!$K$4&amp;'Funnel setup'!$K$6,".",IF(A6921=".",1,A6921+1))</f>
        <v>.</v>
      </c>
      <c r="B6922" s="244" t="str">
        <f t="shared" si="108"/>
        <v/>
      </c>
    </row>
    <row r="6923" spans="1:2" x14ac:dyDescent="0.25">
      <c r="A6923" t="str">
        <f>IF(C6923&amp;G6923&amp;D6923&lt;&gt;'Funnel setup'!$K$3&amp;'Funnel setup'!$K$4&amp;'Funnel setup'!$K$6,".",IF(A6922=".",1,A6922+1))</f>
        <v>.</v>
      </c>
      <c r="B6923" s="244" t="str">
        <f t="shared" si="108"/>
        <v/>
      </c>
    </row>
    <row r="6924" spans="1:2" x14ac:dyDescent="0.25">
      <c r="A6924" t="str">
        <f>IF(C6924&amp;G6924&amp;D6924&lt;&gt;'Funnel setup'!$K$3&amp;'Funnel setup'!$K$4&amp;'Funnel setup'!$K$6,".",IF(A6923=".",1,A6923+1))</f>
        <v>.</v>
      </c>
      <c r="B6924" s="244" t="str">
        <f t="shared" si="108"/>
        <v/>
      </c>
    </row>
    <row r="6925" spans="1:2" x14ac:dyDescent="0.25">
      <c r="A6925" t="str">
        <f>IF(C6925&amp;G6925&amp;D6925&lt;&gt;'Funnel setup'!$K$3&amp;'Funnel setup'!$K$4&amp;'Funnel setup'!$K$6,".",IF(A6924=".",1,A6924+1))</f>
        <v>.</v>
      </c>
      <c r="B6925" s="244" t="str">
        <f t="shared" si="108"/>
        <v/>
      </c>
    </row>
    <row r="6926" spans="1:2" x14ac:dyDescent="0.25">
      <c r="A6926" t="str">
        <f>IF(C6926&amp;G6926&amp;D6926&lt;&gt;'Funnel setup'!$K$3&amp;'Funnel setup'!$K$4&amp;'Funnel setup'!$K$6,".",IF(A6925=".",1,A6925+1))</f>
        <v>.</v>
      </c>
      <c r="B6926" s="244" t="str">
        <f t="shared" si="108"/>
        <v/>
      </c>
    </row>
    <row r="6927" spans="1:2" x14ac:dyDescent="0.25">
      <c r="A6927" t="str">
        <f>IF(C6927&amp;G6927&amp;D6927&lt;&gt;'Funnel setup'!$K$3&amp;'Funnel setup'!$K$4&amp;'Funnel setup'!$K$6,".",IF(A6926=".",1,A6926+1))</f>
        <v>.</v>
      </c>
      <c r="B6927" s="244" t="str">
        <f t="shared" si="108"/>
        <v/>
      </c>
    </row>
    <row r="6928" spans="1:2" x14ac:dyDescent="0.25">
      <c r="A6928" t="str">
        <f>IF(C6928&amp;G6928&amp;D6928&lt;&gt;'Funnel setup'!$K$3&amp;'Funnel setup'!$K$4&amp;'Funnel setup'!$K$6,".",IF(A6927=".",1,A6927+1))</f>
        <v>.</v>
      </c>
      <c r="B6928" s="244" t="str">
        <f t="shared" si="108"/>
        <v/>
      </c>
    </row>
    <row r="6929" spans="1:2" x14ac:dyDescent="0.25">
      <c r="A6929" t="str">
        <f>IF(C6929&amp;G6929&amp;D6929&lt;&gt;'Funnel setup'!$K$3&amp;'Funnel setup'!$K$4&amp;'Funnel setup'!$K$6,".",IF(A6928=".",1,A6928+1))</f>
        <v>.</v>
      </c>
      <c r="B6929" s="244" t="str">
        <f t="shared" si="108"/>
        <v/>
      </c>
    </row>
    <row r="6930" spans="1:2" x14ac:dyDescent="0.25">
      <c r="A6930" t="str">
        <f>IF(C6930&amp;G6930&amp;D6930&lt;&gt;'Funnel setup'!$K$3&amp;'Funnel setup'!$K$4&amp;'Funnel setup'!$K$6,".",IF(A6929=".",1,A6929+1))</f>
        <v>.</v>
      </c>
      <c r="B6930" s="244" t="str">
        <f t="shared" si="108"/>
        <v/>
      </c>
    </row>
    <row r="6931" spans="1:2" x14ac:dyDescent="0.25">
      <c r="A6931" t="str">
        <f>IF(C6931&amp;G6931&amp;D6931&lt;&gt;'Funnel setup'!$K$3&amp;'Funnel setup'!$K$4&amp;'Funnel setup'!$K$6,".",IF(A6930=".",1,A6930+1))</f>
        <v>.</v>
      </c>
      <c r="B6931" s="244" t="str">
        <f t="shared" si="108"/>
        <v/>
      </c>
    </row>
    <row r="6932" spans="1:2" x14ac:dyDescent="0.25">
      <c r="A6932" t="str">
        <f>IF(C6932&amp;G6932&amp;D6932&lt;&gt;'Funnel setup'!$K$3&amp;'Funnel setup'!$K$4&amp;'Funnel setup'!$K$6,".",IF(A6931=".",1,A6931+1))</f>
        <v>.</v>
      </c>
      <c r="B6932" s="244" t="str">
        <f t="shared" si="108"/>
        <v/>
      </c>
    </row>
    <row r="6933" spans="1:2" x14ac:dyDescent="0.25">
      <c r="A6933" t="str">
        <f>IF(C6933&amp;G6933&amp;D6933&lt;&gt;'Funnel setup'!$K$3&amp;'Funnel setup'!$K$4&amp;'Funnel setup'!$K$6,".",IF(A6932=".",1,A6932+1))</f>
        <v>.</v>
      </c>
      <c r="B6933" s="244" t="str">
        <f t="shared" si="108"/>
        <v/>
      </c>
    </row>
    <row r="6934" spans="1:2" x14ac:dyDescent="0.25">
      <c r="A6934" t="str">
        <f>IF(C6934&amp;G6934&amp;D6934&lt;&gt;'Funnel setup'!$K$3&amp;'Funnel setup'!$K$4&amp;'Funnel setup'!$K$6,".",IF(A6933=".",1,A6933+1))</f>
        <v>.</v>
      </c>
      <c r="B6934" s="244" t="str">
        <f t="shared" si="108"/>
        <v/>
      </c>
    </row>
    <row r="6935" spans="1:2" x14ac:dyDescent="0.25">
      <c r="A6935" t="str">
        <f>IF(C6935&amp;G6935&amp;D6935&lt;&gt;'Funnel setup'!$K$3&amp;'Funnel setup'!$K$4&amp;'Funnel setup'!$K$6,".",IF(A6934=".",1,A6934+1))</f>
        <v>.</v>
      </c>
      <c r="B6935" s="244" t="str">
        <f t="shared" si="108"/>
        <v/>
      </c>
    </row>
    <row r="6936" spans="1:2" x14ac:dyDescent="0.25">
      <c r="A6936" t="str">
        <f>IF(C6936&amp;G6936&amp;D6936&lt;&gt;'Funnel setup'!$K$3&amp;'Funnel setup'!$K$4&amp;'Funnel setup'!$K$6,".",IF(A6935=".",1,A6935+1))</f>
        <v>.</v>
      </c>
      <c r="B6936" s="244" t="str">
        <f t="shared" si="108"/>
        <v/>
      </c>
    </row>
    <row r="6937" spans="1:2" x14ac:dyDescent="0.25">
      <c r="A6937" t="str">
        <f>IF(C6937&amp;G6937&amp;D6937&lt;&gt;'Funnel setup'!$K$3&amp;'Funnel setup'!$K$4&amp;'Funnel setup'!$K$6,".",IF(A6936=".",1,A6936+1))</f>
        <v>.</v>
      </c>
      <c r="B6937" s="244" t="str">
        <f t="shared" si="108"/>
        <v/>
      </c>
    </row>
    <row r="6938" spans="1:2" x14ac:dyDescent="0.25">
      <c r="A6938" t="str">
        <f>IF(C6938&amp;G6938&amp;D6938&lt;&gt;'Funnel setup'!$K$3&amp;'Funnel setup'!$K$4&amp;'Funnel setup'!$K$6,".",IF(A6937=".",1,A6937+1))</f>
        <v>.</v>
      </c>
      <c r="B6938" s="244" t="str">
        <f t="shared" si="108"/>
        <v/>
      </c>
    </row>
    <row r="6939" spans="1:2" x14ac:dyDescent="0.25">
      <c r="A6939" t="str">
        <f>IF(C6939&amp;G6939&amp;D6939&lt;&gt;'Funnel setup'!$K$3&amp;'Funnel setup'!$K$4&amp;'Funnel setup'!$K$6,".",IF(A6938=".",1,A6938+1))</f>
        <v>.</v>
      </c>
      <c r="B6939" s="244" t="str">
        <f t="shared" si="108"/>
        <v/>
      </c>
    </row>
    <row r="6940" spans="1:2" x14ac:dyDescent="0.25">
      <c r="A6940" t="str">
        <f>IF(C6940&amp;G6940&amp;D6940&lt;&gt;'Funnel setup'!$K$3&amp;'Funnel setup'!$K$4&amp;'Funnel setup'!$K$6,".",IF(A6939=".",1,A6939+1))</f>
        <v>.</v>
      </c>
      <c r="B6940" s="244" t="str">
        <f t="shared" si="108"/>
        <v/>
      </c>
    </row>
    <row r="6941" spans="1:2" x14ac:dyDescent="0.25">
      <c r="A6941" t="str">
        <f>IF(C6941&amp;G6941&amp;D6941&lt;&gt;'Funnel setup'!$K$3&amp;'Funnel setup'!$K$4&amp;'Funnel setup'!$K$6,".",IF(A6940=".",1,A6940+1))</f>
        <v>.</v>
      </c>
      <c r="B6941" s="244" t="str">
        <f t="shared" si="108"/>
        <v/>
      </c>
    </row>
    <row r="6942" spans="1:2" x14ac:dyDescent="0.25">
      <c r="A6942" t="str">
        <f>IF(C6942&amp;G6942&amp;D6942&lt;&gt;'Funnel setup'!$K$3&amp;'Funnel setup'!$K$4&amp;'Funnel setup'!$K$6,".",IF(A6941=".",1,A6941+1))</f>
        <v>.</v>
      </c>
      <c r="B6942" s="244" t="str">
        <f t="shared" si="108"/>
        <v/>
      </c>
    </row>
    <row r="6943" spans="1:2" x14ac:dyDescent="0.25">
      <c r="A6943" t="str">
        <f>IF(C6943&amp;G6943&amp;D6943&lt;&gt;'Funnel setup'!$K$3&amp;'Funnel setup'!$K$4&amp;'Funnel setup'!$K$6,".",IF(A6942=".",1,A6942+1))</f>
        <v>.</v>
      </c>
      <c r="B6943" s="244" t="str">
        <f t="shared" si="108"/>
        <v/>
      </c>
    </row>
    <row r="6944" spans="1:2" x14ac:dyDescent="0.25">
      <c r="A6944" t="str">
        <f>IF(C6944&amp;G6944&amp;D6944&lt;&gt;'Funnel setup'!$K$3&amp;'Funnel setup'!$K$4&amp;'Funnel setup'!$K$6,".",IF(A6943=".",1,A6943+1))</f>
        <v>.</v>
      </c>
      <c r="B6944" s="244" t="str">
        <f t="shared" si="108"/>
        <v/>
      </c>
    </row>
    <row r="6945" spans="1:2" x14ac:dyDescent="0.25">
      <c r="A6945" t="str">
        <f>IF(C6945&amp;G6945&amp;D6945&lt;&gt;'Funnel setup'!$K$3&amp;'Funnel setup'!$K$4&amp;'Funnel setup'!$K$6,".",IF(A6944=".",1,A6944+1))</f>
        <v>.</v>
      </c>
      <c r="B6945" s="244" t="str">
        <f t="shared" si="108"/>
        <v/>
      </c>
    </row>
    <row r="6946" spans="1:2" x14ac:dyDescent="0.25">
      <c r="A6946" t="str">
        <f>IF(C6946&amp;G6946&amp;D6946&lt;&gt;'Funnel setup'!$K$3&amp;'Funnel setup'!$K$4&amp;'Funnel setup'!$K$6,".",IF(A6945=".",1,A6945+1))</f>
        <v>.</v>
      </c>
      <c r="B6946" s="244" t="str">
        <f t="shared" si="108"/>
        <v/>
      </c>
    </row>
    <row r="6947" spans="1:2" x14ac:dyDescent="0.25">
      <c r="A6947" t="str">
        <f>IF(C6947&amp;G6947&amp;D6947&lt;&gt;'Funnel setup'!$K$3&amp;'Funnel setup'!$K$4&amp;'Funnel setup'!$K$6,".",IF(A6946=".",1,A6946+1))</f>
        <v>.</v>
      </c>
      <c r="B6947" s="244" t="str">
        <f t="shared" si="108"/>
        <v/>
      </c>
    </row>
    <row r="6948" spans="1:2" x14ac:dyDescent="0.25">
      <c r="A6948" t="str">
        <f>IF(C6948&amp;G6948&amp;D6948&lt;&gt;'Funnel setup'!$K$3&amp;'Funnel setup'!$K$4&amp;'Funnel setup'!$K$6,".",IF(A6947=".",1,A6947+1))</f>
        <v>.</v>
      </c>
      <c r="B6948" s="244" t="str">
        <f t="shared" si="108"/>
        <v/>
      </c>
    </row>
    <row r="6949" spans="1:2" x14ac:dyDescent="0.25">
      <c r="A6949" t="str">
        <f>IF(C6949&amp;G6949&amp;D6949&lt;&gt;'Funnel setup'!$K$3&amp;'Funnel setup'!$K$4&amp;'Funnel setup'!$K$6,".",IF(A6948=".",1,A6948+1))</f>
        <v>.</v>
      </c>
      <c r="B6949" s="244" t="str">
        <f t="shared" si="108"/>
        <v/>
      </c>
    </row>
    <row r="6950" spans="1:2" x14ac:dyDescent="0.25">
      <c r="A6950" t="str">
        <f>IF(C6950&amp;G6950&amp;D6950&lt;&gt;'Funnel setup'!$K$3&amp;'Funnel setup'!$K$4&amp;'Funnel setup'!$K$6,".",IF(A6949=".",1,A6949+1))</f>
        <v>.</v>
      </c>
      <c r="B6950" s="244" t="str">
        <f t="shared" si="108"/>
        <v/>
      </c>
    </row>
    <row r="6951" spans="1:2" x14ac:dyDescent="0.25">
      <c r="A6951" t="str">
        <f>IF(C6951&amp;G6951&amp;D6951&lt;&gt;'Funnel setup'!$K$3&amp;'Funnel setup'!$K$4&amp;'Funnel setup'!$K$6,".",IF(A6950=".",1,A6950+1))</f>
        <v>.</v>
      </c>
      <c r="B6951" s="244" t="str">
        <f t="shared" si="108"/>
        <v/>
      </c>
    </row>
    <row r="6952" spans="1:2" x14ac:dyDescent="0.25">
      <c r="A6952" t="str">
        <f>IF(C6952&amp;G6952&amp;D6952&lt;&gt;'Funnel setup'!$K$3&amp;'Funnel setup'!$K$4&amp;'Funnel setup'!$K$6,".",IF(A6951=".",1,A6951+1))</f>
        <v>.</v>
      </c>
      <c r="B6952" s="244" t="str">
        <f t="shared" si="108"/>
        <v/>
      </c>
    </row>
    <row r="6953" spans="1:2" x14ac:dyDescent="0.25">
      <c r="A6953" t="str">
        <f>IF(C6953&amp;G6953&amp;D6953&lt;&gt;'Funnel setup'!$K$3&amp;'Funnel setup'!$K$4&amp;'Funnel setup'!$K$6,".",IF(A6952=".",1,A6952+1))</f>
        <v>.</v>
      </c>
      <c r="B6953" s="244" t="str">
        <f t="shared" si="108"/>
        <v/>
      </c>
    </row>
    <row r="6954" spans="1:2" x14ac:dyDescent="0.25">
      <c r="A6954" t="str">
        <f>IF(C6954&amp;G6954&amp;D6954&lt;&gt;'Funnel setup'!$K$3&amp;'Funnel setup'!$K$4&amp;'Funnel setup'!$K$6,".",IF(A6953=".",1,A6953+1))</f>
        <v>.</v>
      </c>
      <c r="B6954" s="244" t="str">
        <f t="shared" si="108"/>
        <v/>
      </c>
    </row>
    <row r="6955" spans="1:2" x14ac:dyDescent="0.25">
      <c r="A6955" t="str">
        <f>IF(C6955&amp;G6955&amp;D6955&lt;&gt;'Funnel setup'!$K$3&amp;'Funnel setup'!$K$4&amp;'Funnel setup'!$K$6,".",IF(A6954=".",1,A6954+1))</f>
        <v>.</v>
      </c>
      <c r="B6955" s="244" t="str">
        <f t="shared" si="108"/>
        <v/>
      </c>
    </row>
    <row r="6956" spans="1:2" x14ac:dyDescent="0.25">
      <c r="A6956" t="str">
        <f>IF(C6956&amp;G6956&amp;D6956&lt;&gt;'Funnel setup'!$K$3&amp;'Funnel setup'!$K$4&amp;'Funnel setup'!$K$6,".",IF(A6955=".",1,A6955+1))</f>
        <v>.</v>
      </c>
      <c r="B6956" s="244" t="str">
        <f t="shared" si="108"/>
        <v/>
      </c>
    </row>
    <row r="6957" spans="1:2" x14ac:dyDescent="0.25">
      <c r="A6957" t="str">
        <f>IF(C6957&amp;G6957&amp;D6957&lt;&gt;'Funnel setup'!$K$3&amp;'Funnel setup'!$K$4&amp;'Funnel setup'!$K$6,".",IF(A6956=".",1,A6956+1))</f>
        <v>.</v>
      </c>
      <c r="B6957" s="244" t="str">
        <f t="shared" si="108"/>
        <v/>
      </c>
    </row>
    <row r="6958" spans="1:2" x14ac:dyDescent="0.25">
      <c r="A6958" t="str">
        <f>IF(C6958&amp;G6958&amp;D6958&lt;&gt;'Funnel setup'!$K$3&amp;'Funnel setup'!$K$4&amp;'Funnel setup'!$K$6,".",IF(A6957=".",1,A6957+1))</f>
        <v>.</v>
      </c>
      <c r="B6958" s="244" t="str">
        <f t="shared" si="108"/>
        <v/>
      </c>
    </row>
    <row r="6959" spans="1:2" x14ac:dyDescent="0.25">
      <c r="A6959" t="str">
        <f>IF(C6959&amp;G6959&amp;D6959&lt;&gt;'Funnel setup'!$K$3&amp;'Funnel setup'!$K$4&amp;'Funnel setup'!$K$6,".",IF(A6958=".",1,A6958+1))</f>
        <v>.</v>
      </c>
      <c r="B6959" s="244" t="str">
        <f t="shared" si="108"/>
        <v/>
      </c>
    </row>
    <row r="6960" spans="1:2" x14ac:dyDescent="0.25">
      <c r="A6960" t="str">
        <f>IF(C6960&amp;G6960&amp;D6960&lt;&gt;'Funnel setup'!$K$3&amp;'Funnel setup'!$K$4&amp;'Funnel setup'!$K$6,".",IF(A6959=".",1,A6959+1))</f>
        <v>.</v>
      </c>
      <c r="B6960" s="244" t="str">
        <f t="shared" si="108"/>
        <v/>
      </c>
    </row>
    <row r="6961" spans="1:2" x14ac:dyDescent="0.25">
      <c r="A6961" t="str">
        <f>IF(C6961&amp;G6961&amp;D6961&lt;&gt;'Funnel setup'!$K$3&amp;'Funnel setup'!$K$4&amp;'Funnel setup'!$K$6,".",IF(A6960=".",1,A6960+1))</f>
        <v>.</v>
      </c>
      <c r="B6961" s="244" t="str">
        <f t="shared" si="108"/>
        <v/>
      </c>
    </row>
    <row r="6962" spans="1:2" x14ac:dyDescent="0.25">
      <c r="A6962" t="str">
        <f>IF(C6962&amp;G6962&amp;D6962&lt;&gt;'Funnel setup'!$K$3&amp;'Funnel setup'!$K$4&amp;'Funnel setup'!$K$6,".",IF(A6961=".",1,A6961+1))</f>
        <v>.</v>
      </c>
      <c r="B6962" s="244" t="str">
        <f t="shared" si="108"/>
        <v/>
      </c>
    </row>
    <row r="6963" spans="1:2" x14ac:dyDescent="0.25">
      <c r="A6963" t="str">
        <f>IF(C6963&amp;G6963&amp;D6963&lt;&gt;'Funnel setup'!$K$3&amp;'Funnel setup'!$K$4&amp;'Funnel setup'!$K$6,".",IF(A6962=".",1,A6962+1))</f>
        <v>.</v>
      </c>
      <c r="B6963" s="244" t="str">
        <f t="shared" si="108"/>
        <v/>
      </c>
    </row>
    <row r="6964" spans="1:2" x14ac:dyDescent="0.25">
      <c r="A6964" t="str">
        <f>IF(C6964&amp;G6964&amp;D6964&lt;&gt;'Funnel setup'!$K$3&amp;'Funnel setup'!$K$4&amp;'Funnel setup'!$K$6,".",IF(A6963=".",1,A6963+1))</f>
        <v>.</v>
      </c>
      <c r="B6964" s="244" t="str">
        <f t="shared" si="108"/>
        <v/>
      </c>
    </row>
    <row r="6965" spans="1:2" x14ac:dyDescent="0.25">
      <c r="A6965" t="str">
        <f>IF(C6965&amp;G6965&amp;D6965&lt;&gt;'Funnel setup'!$K$3&amp;'Funnel setup'!$K$4&amp;'Funnel setup'!$K$6,".",IF(A6964=".",1,A6964+1))</f>
        <v>.</v>
      </c>
      <c r="B6965" s="244" t="str">
        <f t="shared" si="108"/>
        <v/>
      </c>
    </row>
    <row r="6966" spans="1:2" x14ac:dyDescent="0.25">
      <c r="A6966" t="str">
        <f>IF(C6966&amp;G6966&amp;D6966&lt;&gt;'Funnel setup'!$K$3&amp;'Funnel setup'!$K$4&amp;'Funnel setup'!$K$6,".",IF(A6965=".",1,A6965+1))</f>
        <v>.</v>
      </c>
      <c r="B6966" s="244" t="str">
        <f t="shared" si="108"/>
        <v/>
      </c>
    </row>
    <row r="6967" spans="1:2" x14ac:dyDescent="0.25">
      <c r="A6967" t="str">
        <f>IF(C6967&amp;G6967&amp;D6967&lt;&gt;'Funnel setup'!$K$3&amp;'Funnel setup'!$K$4&amp;'Funnel setup'!$K$6,".",IF(A6966=".",1,A6966+1))</f>
        <v>.</v>
      </c>
      <c r="B6967" s="244" t="str">
        <f t="shared" si="108"/>
        <v/>
      </c>
    </row>
    <row r="6968" spans="1:2" x14ac:dyDescent="0.25">
      <c r="A6968" t="str">
        <f>IF(C6968&amp;G6968&amp;D6968&lt;&gt;'Funnel setup'!$K$3&amp;'Funnel setup'!$K$4&amp;'Funnel setup'!$K$6,".",IF(A6967=".",1,A6967+1))</f>
        <v>.</v>
      </c>
      <c r="B6968" s="244" t="str">
        <f t="shared" si="108"/>
        <v/>
      </c>
    </row>
    <row r="6969" spans="1:2" x14ac:dyDescent="0.25">
      <c r="A6969" t="str">
        <f>IF(C6969&amp;G6969&amp;D6969&lt;&gt;'Funnel setup'!$K$3&amp;'Funnel setup'!$K$4&amp;'Funnel setup'!$K$6,".",IF(A6968=".",1,A6968+1))</f>
        <v>.</v>
      </c>
      <c r="B6969" s="244" t="str">
        <f t="shared" si="108"/>
        <v/>
      </c>
    </row>
    <row r="6970" spans="1:2" x14ac:dyDescent="0.25">
      <c r="A6970" t="str">
        <f>IF(C6970&amp;G6970&amp;D6970&lt;&gt;'Funnel setup'!$K$3&amp;'Funnel setup'!$K$4&amp;'Funnel setup'!$K$6,".",IF(A6969=".",1,A6969+1))</f>
        <v>.</v>
      </c>
      <c r="B6970" s="244" t="str">
        <f t="shared" si="108"/>
        <v/>
      </c>
    </row>
    <row r="6971" spans="1:2" x14ac:dyDescent="0.25">
      <c r="A6971" t="str">
        <f>IF(C6971&amp;G6971&amp;D6971&lt;&gt;'Funnel setup'!$K$3&amp;'Funnel setup'!$K$4&amp;'Funnel setup'!$K$6,".",IF(A6970=".",1,A6970+1))</f>
        <v>.</v>
      </c>
      <c r="B6971" s="244" t="str">
        <f t="shared" si="108"/>
        <v/>
      </c>
    </row>
    <row r="6972" spans="1:2" x14ac:dyDescent="0.25">
      <c r="A6972" t="str">
        <f>IF(C6972&amp;G6972&amp;D6972&lt;&gt;'Funnel setup'!$K$3&amp;'Funnel setup'!$K$4&amp;'Funnel setup'!$K$6,".",IF(A6971=".",1,A6971+1))</f>
        <v>.</v>
      </c>
      <c r="B6972" s="244" t="str">
        <f t="shared" si="108"/>
        <v/>
      </c>
    </row>
    <row r="6973" spans="1:2" x14ac:dyDescent="0.25">
      <c r="A6973" t="str">
        <f>IF(C6973&amp;G6973&amp;D6973&lt;&gt;'Funnel setup'!$K$3&amp;'Funnel setup'!$K$4&amp;'Funnel setup'!$K$6,".",IF(A6972=".",1,A6972+1))</f>
        <v>.</v>
      </c>
      <c r="B6973" s="244" t="str">
        <f t="shared" si="108"/>
        <v/>
      </c>
    </row>
    <row r="6974" spans="1:2" x14ac:dyDescent="0.25">
      <c r="A6974" t="str">
        <f>IF(C6974&amp;G6974&amp;D6974&lt;&gt;'Funnel setup'!$K$3&amp;'Funnel setup'!$K$4&amp;'Funnel setup'!$K$6,".",IF(A6973=".",1,A6973+1))</f>
        <v>.</v>
      </c>
      <c r="B6974" s="244" t="str">
        <f t="shared" si="108"/>
        <v/>
      </c>
    </row>
    <row r="6975" spans="1:2" x14ac:dyDescent="0.25">
      <c r="A6975" t="str">
        <f>IF(C6975&amp;G6975&amp;D6975&lt;&gt;'Funnel setup'!$K$3&amp;'Funnel setup'!$K$4&amp;'Funnel setup'!$K$6,".",IF(A6974=".",1,A6974+1))</f>
        <v>.</v>
      </c>
      <c r="B6975" s="244" t="str">
        <f t="shared" si="108"/>
        <v/>
      </c>
    </row>
    <row r="6976" spans="1:2" x14ac:dyDescent="0.25">
      <c r="A6976" t="str">
        <f>IF(C6976&amp;G6976&amp;D6976&lt;&gt;'Funnel setup'!$K$3&amp;'Funnel setup'!$K$4&amp;'Funnel setup'!$K$6,".",IF(A6975=".",1,A6975+1))</f>
        <v>.</v>
      </c>
      <c r="B6976" s="244" t="str">
        <f t="shared" si="108"/>
        <v/>
      </c>
    </row>
    <row r="6977" spans="1:2" x14ac:dyDescent="0.25">
      <c r="A6977" t="str">
        <f>IF(C6977&amp;G6977&amp;D6977&lt;&gt;'Funnel setup'!$K$3&amp;'Funnel setup'!$K$4&amp;'Funnel setup'!$K$6,".",IF(A6976=".",1,A6976+1))</f>
        <v>.</v>
      </c>
      <c r="B6977" s="244" t="str">
        <f t="shared" si="108"/>
        <v/>
      </c>
    </row>
    <row r="6978" spans="1:2" x14ac:dyDescent="0.25">
      <c r="A6978" t="str">
        <f>IF(C6978&amp;G6978&amp;D6978&lt;&gt;'Funnel setup'!$K$3&amp;'Funnel setup'!$K$4&amp;'Funnel setup'!$K$6,".",IF(A6977=".",1,A6977+1))</f>
        <v>.</v>
      </c>
      <c r="B6978" s="244" t="str">
        <f t="shared" ref="B6978:B7041" si="109">C6978&amp;D6978&amp;F6978&amp;G6978</f>
        <v/>
      </c>
    </row>
    <row r="6979" spans="1:2" x14ac:dyDescent="0.25">
      <c r="A6979" t="str">
        <f>IF(C6979&amp;G6979&amp;D6979&lt;&gt;'Funnel setup'!$K$3&amp;'Funnel setup'!$K$4&amp;'Funnel setup'!$K$6,".",IF(A6978=".",1,A6978+1))</f>
        <v>.</v>
      </c>
      <c r="B6979" s="244" t="str">
        <f t="shared" si="109"/>
        <v/>
      </c>
    </row>
    <row r="6980" spans="1:2" x14ac:dyDescent="0.25">
      <c r="A6980" t="str">
        <f>IF(C6980&amp;G6980&amp;D6980&lt;&gt;'Funnel setup'!$K$3&amp;'Funnel setup'!$K$4&amp;'Funnel setup'!$K$6,".",IF(A6979=".",1,A6979+1))</f>
        <v>.</v>
      </c>
      <c r="B6980" s="244" t="str">
        <f t="shared" si="109"/>
        <v/>
      </c>
    </row>
    <row r="6981" spans="1:2" x14ac:dyDescent="0.25">
      <c r="A6981" t="str">
        <f>IF(C6981&amp;G6981&amp;D6981&lt;&gt;'Funnel setup'!$K$3&amp;'Funnel setup'!$K$4&amp;'Funnel setup'!$K$6,".",IF(A6980=".",1,A6980+1))</f>
        <v>.</v>
      </c>
      <c r="B6981" s="244" t="str">
        <f t="shared" si="109"/>
        <v/>
      </c>
    </row>
    <row r="6982" spans="1:2" x14ac:dyDescent="0.25">
      <c r="A6982" t="str">
        <f>IF(C6982&amp;G6982&amp;D6982&lt;&gt;'Funnel setup'!$K$3&amp;'Funnel setup'!$K$4&amp;'Funnel setup'!$K$6,".",IF(A6981=".",1,A6981+1))</f>
        <v>.</v>
      </c>
      <c r="B6982" s="244" t="str">
        <f t="shared" si="109"/>
        <v/>
      </c>
    </row>
    <row r="6983" spans="1:2" x14ac:dyDescent="0.25">
      <c r="A6983" t="str">
        <f>IF(C6983&amp;G6983&amp;D6983&lt;&gt;'Funnel setup'!$K$3&amp;'Funnel setup'!$K$4&amp;'Funnel setup'!$K$6,".",IF(A6982=".",1,A6982+1))</f>
        <v>.</v>
      </c>
      <c r="B6983" s="244" t="str">
        <f t="shared" si="109"/>
        <v/>
      </c>
    </row>
    <row r="6984" spans="1:2" x14ac:dyDescent="0.25">
      <c r="A6984" t="str">
        <f>IF(C6984&amp;G6984&amp;D6984&lt;&gt;'Funnel setup'!$K$3&amp;'Funnel setup'!$K$4&amp;'Funnel setup'!$K$6,".",IF(A6983=".",1,A6983+1))</f>
        <v>.</v>
      </c>
      <c r="B6984" s="244" t="str">
        <f t="shared" si="109"/>
        <v/>
      </c>
    </row>
    <row r="6985" spans="1:2" x14ac:dyDescent="0.25">
      <c r="A6985" t="str">
        <f>IF(C6985&amp;G6985&amp;D6985&lt;&gt;'Funnel setup'!$K$3&amp;'Funnel setup'!$K$4&amp;'Funnel setup'!$K$6,".",IF(A6984=".",1,A6984+1))</f>
        <v>.</v>
      </c>
      <c r="B6985" s="244" t="str">
        <f t="shared" si="109"/>
        <v/>
      </c>
    </row>
    <row r="6986" spans="1:2" x14ac:dyDescent="0.25">
      <c r="A6986" t="str">
        <f>IF(C6986&amp;G6986&amp;D6986&lt;&gt;'Funnel setup'!$K$3&amp;'Funnel setup'!$K$4&amp;'Funnel setup'!$K$6,".",IF(A6985=".",1,A6985+1))</f>
        <v>.</v>
      </c>
      <c r="B6986" s="244" t="str">
        <f t="shared" si="109"/>
        <v/>
      </c>
    </row>
    <row r="6987" spans="1:2" x14ac:dyDescent="0.25">
      <c r="A6987" t="str">
        <f>IF(C6987&amp;G6987&amp;D6987&lt;&gt;'Funnel setup'!$K$3&amp;'Funnel setup'!$K$4&amp;'Funnel setup'!$K$6,".",IF(A6986=".",1,A6986+1))</f>
        <v>.</v>
      </c>
      <c r="B6987" s="244" t="str">
        <f t="shared" si="109"/>
        <v/>
      </c>
    </row>
    <row r="6988" spans="1:2" x14ac:dyDescent="0.25">
      <c r="A6988" t="str">
        <f>IF(C6988&amp;G6988&amp;D6988&lt;&gt;'Funnel setup'!$K$3&amp;'Funnel setup'!$K$4&amp;'Funnel setup'!$K$6,".",IF(A6987=".",1,A6987+1))</f>
        <v>.</v>
      </c>
      <c r="B6988" s="244" t="str">
        <f t="shared" si="109"/>
        <v/>
      </c>
    </row>
    <row r="6989" spans="1:2" x14ac:dyDescent="0.25">
      <c r="A6989" t="str">
        <f>IF(C6989&amp;G6989&amp;D6989&lt;&gt;'Funnel setup'!$K$3&amp;'Funnel setup'!$K$4&amp;'Funnel setup'!$K$6,".",IF(A6988=".",1,A6988+1))</f>
        <v>.</v>
      </c>
      <c r="B6989" s="244" t="str">
        <f t="shared" si="109"/>
        <v/>
      </c>
    </row>
    <row r="6990" spans="1:2" x14ac:dyDescent="0.25">
      <c r="A6990" t="str">
        <f>IF(C6990&amp;G6990&amp;D6990&lt;&gt;'Funnel setup'!$K$3&amp;'Funnel setup'!$K$4&amp;'Funnel setup'!$K$6,".",IF(A6989=".",1,A6989+1))</f>
        <v>.</v>
      </c>
      <c r="B6990" s="244" t="str">
        <f t="shared" si="109"/>
        <v/>
      </c>
    </row>
    <row r="6991" spans="1:2" x14ac:dyDescent="0.25">
      <c r="A6991" t="str">
        <f>IF(C6991&amp;G6991&amp;D6991&lt;&gt;'Funnel setup'!$K$3&amp;'Funnel setup'!$K$4&amp;'Funnel setup'!$K$6,".",IF(A6990=".",1,A6990+1))</f>
        <v>.</v>
      </c>
      <c r="B6991" s="244" t="str">
        <f t="shared" si="109"/>
        <v/>
      </c>
    </row>
    <row r="6992" spans="1:2" x14ac:dyDescent="0.25">
      <c r="A6992" t="str">
        <f>IF(C6992&amp;G6992&amp;D6992&lt;&gt;'Funnel setup'!$K$3&amp;'Funnel setup'!$K$4&amp;'Funnel setup'!$K$6,".",IF(A6991=".",1,A6991+1))</f>
        <v>.</v>
      </c>
      <c r="B6992" s="244" t="str">
        <f t="shared" si="109"/>
        <v/>
      </c>
    </row>
    <row r="6993" spans="1:2" x14ac:dyDescent="0.25">
      <c r="A6993" t="str">
        <f>IF(C6993&amp;G6993&amp;D6993&lt;&gt;'Funnel setup'!$K$3&amp;'Funnel setup'!$K$4&amp;'Funnel setup'!$K$6,".",IF(A6992=".",1,A6992+1))</f>
        <v>.</v>
      </c>
      <c r="B6993" s="244" t="str">
        <f t="shared" si="109"/>
        <v/>
      </c>
    </row>
    <row r="6994" spans="1:2" x14ac:dyDescent="0.25">
      <c r="A6994" t="str">
        <f>IF(C6994&amp;G6994&amp;D6994&lt;&gt;'Funnel setup'!$K$3&amp;'Funnel setup'!$K$4&amp;'Funnel setup'!$K$6,".",IF(A6993=".",1,A6993+1))</f>
        <v>.</v>
      </c>
      <c r="B6994" s="244" t="str">
        <f t="shared" si="109"/>
        <v/>
      </c>
    </row>
    <row r="6995" spans="1:2" x14ac:dyDescent="0.25">
      <c r="A6995" t="str">
        <f>IF(C6995&amp;G6995&amp;D6995&lt;&gt;'Funnel setup'!$K$3&amp;'Funnel setup'!$K$4&amp;'Funnel setup'!$K$6,".",IF(A6994=".",1,A6994+1))</f>
        <v>.</v>
      </c>
      <c r="B6995" s="244" t="str">
        <f t="shared" si="109"/>
        <v/>
      </c>
    </row>
    <row r="6996" spans="1:2" x14ac:dyDescent="0.25">
      <c r="A6996" t="str">
        <f>IF(C6996&amp;G6996&amp;D6996&lt;&gt;'Funnel setup'!$K$3&amp;'Funnel setup'!$K$4&amp;'Funnel setup'!$K$6,".",IF(A6995=".",1,A6995+1))</f>
        <v>.</v>
      </c>
      <c r="B6996" s="244" t="str">
        <f t="shared" si="109"/>
        <v/>
      </c>
    </row>
    <row r="6997" spans="1:2" x14ac:dyDescent="0.25">
      <c r="A6997" t="str">
        <f>IF(C6997&amp;G6997&amp;D6997&lt;&gt;'Funnel setup'!$K$3&amp;'Funnel setup'!$K$4&amp;'Funnel setup'!$K$6,".",IF(A6996=".",1,A6996+1))</f>
        <v>.</v>
      </c>
      <c r="B6997" s="244" t="str">
        <f t="shared" si="109"/>
        <v/>
      </c>
    </row>
    <row r="6998" spans="1:2" x14ac:dyDescent="0.25">
      <c r="A6998" t="str">
        <f>IF(C6998&amp;G6998&amp;D6998&lt;&gt;'Funnel setup'!$K$3&amp;'Funnel setup'!$K$4&amp;'Funnel setup'!$K$6,".",IF(A6997=".",1,A6997+1))</f>
        <v>.</v>
      </c>
      <c r="B6998" s="244" t="str">
        <f t="shared" si="109"/>
        <v/>
      </c>
    </row>
    <row r="6999" spans="1:2" x14ac:dyDescent="0.25">
      <c r="A6999" t="str">
        <f>IF(C6999&amp;G6999&amp;D6999&lt;&gt;'Funnel setup'!$K$3&amp;'Funnel setup'!$K$4&amp;'Funnel setup'!$K$6,".",IF(A6998=".",1,A6998+1))</f>
        <v>.</v>
      </c>
      <c r="B6999" s="244" t="str">
        <f t="shared" si="109"/>
        <v/>
      </c>
    </row>
    <row r="7000" spans="1:2" x14ac:dyDescent="0.25">
      <c r="A7000" t="str">
        <f>IF(C7000&amp;G7000&amp;D7000&lt;&gt;'Funnel setup'!$K$3&amp;'Funnel setup'!$K$4&amp;'Funnel setup'!$K$6,".",IF(A6999=".",1,A6999+1))</f>
        <v>.</v>
      </c>
      <c r="B7000" s="244" t="str">
        <f t="shared" si="109"/>
        <v/>
      </c>
    </row>
    <row r="7001" spans="1:2" x14ac:dyDescent="0.25">
      <c r="A7001" t="str">
        <f>IF(C7001&amp;G7001&amp;D7001&lt;&gt;'Funnel setup'!$K$3&amp;'Funnel setup'!$K$4&amp;'Funnel setup'!$K$6,".",IF(A7000=".",1,A7000+1))</f>
        <v>.</v>
      </c>
      <c r="B7001" s="244" t="str">
        <f t="shared" si="109"/>
        <v/>
      </c>
    </row>
    <row r="7002" spans="1:2" x14ac:dyDescent="0.25">
      <c r="A7002" t="str">
        <f>IF(C7002&amp;G7002&amp;D7002&lt;&gt;'Funnel setup'!$K$3&amp;'Funnel setup'!$K$4&amp;'Funnel setup'!$K$6,".",IF(A7001=".",1,A7001+1))</f>
        <v>.</v>
      </c>
      <c r="B7002" s="244" t="str">
        <f t="shared" si="109"/>
        <v/>
      </c>
    </row>
    <row r="7003" spans="1:2" x14ac:dyDescent="0.25">
      <c r="A7003" t="str">
        <f>IF(C7003&amp;G7003&amp;D7003&lt;&gt;'Funnel setup'!$K$3&amp;'Funnel setup'!$K$4&amp;'Funnel setup'!$K$6,".",IF(A7002=".",1,A7002+1))</f>
        <v>.</v>
      </c>
      <c r="B7003" s="244" t="str">
        <f t="shared" si="109"/>
        <v/>
      </c>
    </row>
    <row r="7004" spans="1:2" x14ac:dyDescent="0.25">
      <c r="A7004" t="str">
        <f>IF(C7004&amp;G7004&amp;D7004&lt;&gt;'Funnel setup'!$K$3&amp;'Funnel setup'!$K$4&amp;'Funnel setup'!$K$6,".",IF(A7003=".",1,A7003+1))</f>
        <v>.</v>
      </c>
      <c r="B7004" s="244" t="str">
        <f t="shared" si="109"/>
        <v/>
      </c>
    </row>
    <row r="7005" spans="1:2" x14ac:dyDescent="0.25">
      <c r="A7005" t="str">
        <f>IF(C7005&amp;G7005&amp;D7005&lt;&gt;'Funnel setup'!$K$3&amp;'Funnel setup'!$K$4&amp;'Funnel setup'!$K$6,".",IF(A7004=".",1,A7004+1))</f>
        <v>.</v>
      </c>
      <c r="B7005" s="244" t="str">
        <f t="shared" si="109"/>
        <v/>
      </c>
    </row>
    <row r="7006" spans="1:2" x14ac:dyDescent="0.25">
      <c r="A7006" t="str">
        <f>IF(C7006&amp;G7006&amp;D7006&lt;&gt;'Funnel setup'!$K$3&amp;'Funnel setup'!$K$4&amp;'Funnel setup'!$K$6,".",IF(A7005=".",1,A7005+1))</f>
        <v>.</v>
      </c>
      <c r="B7006" s="244" t="str">
        <f t="shared" si="109"/>
        <v/>
      </c>
    </row>
    <row r="7007" spans="1:2" x14ac:dyDescent="0.25">
      <c r="A7007" t="str">
        <f>IF(C7007&amp;G7007&amp;D7007&lt;&gt;'Funnel setup'!$K$3&amp;'Funnel setup'!$K$4&amp;'Funnel setup'!$K$6,".",IF(A7006=".",1,A7006+1))</f>
        <v>.</v>
      </c>
      <c r="B7007" s="244" t="str">
        <f t="shared" si="109"/>
        <v/>
      </c>
    </row>
    <row r="7008" spans="1:2" x14ac:dyDescent="0.25">
      <c r="A7008" t="str">
        <f>IF(C7008&amp;G7008&amp;D7008&lt;&gt;'Funnel setup'!$K$3&amp;'Funnel setup'!$K$4&amp;'Funnel setup'!$K$6,".",IF(A7007=".",1,A7007+1))</f>
        <v>.</v>
      </c>
      <c r="B7008" s="244" t="str">
        <f t="shared" si="109"/>
        <v/>
      </c>
    </row>
    <row r="7009" spans="1:2" x14ac:dyDescent="0.25">
      <c r="A7009" t="str">
        <f>IF(C7009&amp;G7009&amp;D7009&lt;&gt;'Funnel setup'!$K$3&amp;'Funnel setup'!$K$4&amp;'Funnel setup'!$K$6,".",IF(A7008=".",1,A7008+1))</f>
        <v>.</v>
      </c>
      <c r="B7009" s="244" t="str">
        <f t="shared" si="109"/>
        <v/>
      </c>
    </row>
    <row r="7010" spans="1:2" x14ac:dyDescent="0.25">
      <c r="A7010" t="str">
        <f>IF(C7010&amp;G7010&amp;D7010&lt;&gt;'Funnel setup'!$K$3&amp;'Funnel setup'!$K$4&amp;'Funnel setup'!$K$6,".",IF(A7009=".",1,A7009+1))</f>
        <v>.</v>
      </c>
      <c r="B7010" s="244" t="str">
        <f t="shared" si="109"/>
        <v/>
      </c>
    </row>
    <row r="7011" spans="1:2" x14ac:dyDescent="0.25">
      <c r="A7011" t="str">
        <f>IF(C7011&amp;G7011&amp;D7011&lt;&gt;'Funnel setup'!$K$3&amp;'Funnel setup'!$K$4&amp;'Funnel setup'!$K$6,".",IF(A7010=".",1,A7010+1))</f>
        <v>.</v>
      </c>
      <c r="B7011" s="244" t="str">
        <f t="shared" si="109"/>
        <v/>
      </c>
    </row>
    <row r="7012" spans="1:2" x14ac:dyDescent="0.25">
      <c r="A7012" t="str">
        <f>IF(C7012&amp;G7012&amp;D7012&lt;&gt;'Funnel setup'!$K$3&amp;'Funnel setup'!$K$4&amp;'Funnel setup'!$K$6,".",IF(A7011=".",1,A7011+1))</f>
        <v>.</v>
      </c>
      <c r="B7012" s="244" t="str">
        <f t="shared" si="109"/>
        <v/>
      </c>
    </row>
    <row r="7013" spans="1:2" x14ac:dyDescent="0.25">
      <c r="A7013" t="str">
        <f>IF(C7013&amp;G7013&amp;D7013&lt;&gt;'Funnel setup'!$K$3&amp;'Funnel setup'!$K$4&amp;'Funnel setup'!$K$6,".",IF(A7012=".",1,A7012+1))</f>
        <v>.</v>
      </c>
      <c r="B7013" s="244" t="str">
        <f t="shared" si="109"/>
        <v/>
      </c>
    </row>
    <row r="7014" spans="1:2" x14ac:dyDescent="0.25">
      <c r="A7014" t="str">
        <f>IF(C7014&amp;G7014&amp;D7014&lt;&gt;'Funnel setup'!$K$3&amp;'Funnel setup'!$K$4&amp;'Funnel setup'!$K$6,".",IF(A7013=".",1,A7013+1))</f>
        <v>.</v>
      </c>
      <c r="B7014" s="244" t="str">
        <f t="shared" si="109"/>
        <v/>
      </c>
    </row>
    <row r="7015" spans="1:2" x14ac:dyDescent="0.25">
      <c r="A7015" t="str">
        <f>IF(C7015&amp;G7015&amp;D7015&lt;&gt;'Funnel setup'!$K$3&amp;'Funnel setup'!$K$4&amp;'Funnel setup'!$K$6,".",IF(A7014=".",1,A7014+1))</f>
        <v>.</v>
      </c>
      <c r="B7015" s="244" t="str">
        <f t="shared" si="109"/>
        <v/>
      </c>
    </row>
    <row r="7016" spans="1:2" x14ac:dyDescent="0.25">
      <c r="A7016" t="str">
        <f>IF(C7016&amp;G7016&amp;D7016&lt;&gt;'Funnel setup'!$K$3&amp;'Funnel setup'!$K$4&amp;'Funnel setup'!$K$6,".",IF(A7015=".",1,A7015+1))</f>
        <v>.</v>
      </c>
      <c r="B7016" s="244" t="str">
        <f t="shared" si="109"/>
        <v/>
      </c>
    </row>
    <row r="7017" spans="1:2" x14ac:dyDescent="0.25">
      <c r="A7017" t="str">
        <f>IF(C7017&amp;G7017&amp;D7017&lt;&gt;'Funnel setup'!$K$3&amp;'Funnel setup'!$K$4&amp;'Funnel setup'!$K$6,".",IF(A7016=".",1,A7016+1))</f>
        <v>.</v>
      </c>
      <c r="B7017" s="244" t="str">
        <f t="shared" si="109"/>
        <v/>
      </c>
    </row>
    <row r="7018" spans="1:2" x14ac:dyDescent="0.25">
      <c r="A7018" t="str">
        <f>IF(C7018&amp;G7018&amp;D7018&lt;&gt;'Funnel setup'!$K$3&amp;'Funnel setup'!$K$4&amp;'Funnel setup'!$K$6,".",IF(A7017=".",1,A7017+1))</f>
        <v>.</v>
      </c>
      <c r="B7018" s="244" t="str">
        <f t="shared" si="109"/>
        <v/>
      </c>
    </row>
    <row r="7019" spans="1:2" x14ac:dyDescent="0.25">
      <c r="A7019" t="str">
        <f>IF(C7019&amp;G7019&amp;D7019&lt;&gt;'Funnel setup'!$K$3&amp;'Funnel setup'!$K$4&amp;'Funnel setup'!$K$6,".",IF(A7018=".",1,A7018+1))</f>
        <v>.</v>
      </c>
      <c r="B7019" s="244" t="str">
        <f t="shared" si="109"/>
        <v/>
      </c>
    </row>
    <row r="7020" spans="1:2" x14ac:dyDescent="0.25">
      <c r="A7020" t="str">
        <f>IF(C7020&amp;G7020&amp;D7020&lt;&gt;'Funnel setup'!$K$3&amp;'Funnel setup'!$K$4&amp;'Funnel setup'!$K$6,".",IF(A7019=".",1,A7019+1))</f>
        <v>.</v>
      </c>
      <c r="B7020" s="244" t="str">
        <f t="shared" si="109"/>
        <v/>
      </c>
    </row>
    <row r="7021" spans="1:2" x14ac:dyDescent="0.25">
      <c r="A7021" t="str">
        <f>IF(C7021&amp;G7021&amp;D7021&lt;&gt;'Funnel setup'!$K$3&amp;'Funnel setup'!$K$4&amp;'Funnel setup'!$K$6,".",IF(A7020=".",1,A7020+1))</f>
        <v>.</v>
      </c>
      <c r="B7021" s="244" t="str">
        <f t="shared" si="109"/>
        <v/>
      </c>
    </row>
    <row r="7022" spans="1:2" x14ac:dyDescent="0.25">
      <c r="A7022" t="str">
        <f>IF(C7022&amp;G7022&amp;D7022&lt;&gt;'Funnel setup'!$K$3&amp;'Funnel setup'!$K$4&amp;'Funnel setup'!$K$6,".",IF(A7021=".",1,A7021+1))</f>
        <v>.</v>
      </c>
      <c r="B7022" s="244" t="str">
        <f t="shared" si="109"/>
        <v/>
      </c>
    </row>
    <row r="7023" spans="1:2" x14ac:dyDescent="0.25">
      <c r="A7023" t="str">
        <f>IF(C7023&amp;G7023&amp;D7023&lt;&gt;'Funnel setup'!$K$3&amp;'Funnel setup'!$K$4&amp;'Funnel setup'!$K$6,".",IF(A7022=".",1,A7022+1))</f>
        <v>.</v>
      </c>
      <c r="B7023" s="244" t="str">
        <f t="shared" si="109"/>
        <v/>
      </c>
    </row>
    <row r="7024" spans="1:2" x14ac:dyDescent="0.25">
      <c r="A7024" t="str">
        <f>IF(C7024&amp;G7024&amp;D7024&lt;&gt;'Funnel setup'!$K$3&amp;'Funnel setup'!$K$4&amp;'Funnel setup'!$K$6,".",IF(A7023=".",1,A7023+1))</f>
        <v>.</v>
      </c>
      <c r="B7024" s="244" t="str">
        <f t="shared" si="109"/>
        <v/>
      </c>
    </row>
    <row r="7025" spans="1:2" x14ac:dyDescent="0.25">
      <c r="A7025" t="str">
        <f>IF(C7025&amp;G7025&amp;D7025&lt;&gt;'Funnel setup'!$K$3&amp;'Funnel setup'!$K$4&amp;'Funnel setup'!$K$6,".",IF(A7024=".",1,A7024+1))</f>
        <v>.</v>
      </c>
      <c r="B7025" s="244" t="str">
        <f t="shared" si="109"/>
        <v/>
      </c>
    </row>
    <row r="7026" spans="1:2" x14ac:dyDescent="0.25">
      <c r="A7026" t="str">
        <f>IF(C7026&amp;G7026&amp;D7026&lt;&gt;'Funnel setup'!$K$3&amp;'Funnel setup'!$K$4&amp;'Funnel setup'!$K$6,".",IF(A7025=".",1,A7025+1))</f>
        <v>.</v>
      </c>
      <c r="B7026" s="244" t="str">
        <f t="shared" si="109"/>
        <v/>
      </c>
    </row>
    <row r="7027" spans="1:2" x14ac:dyDescent="0.25">
      <c r="A7027" t="str">
        <f>IF(C7027&amp;G7027&amp;D7027&lt;&gt;'Funnel setup'!$K$3&amp;'Funnel setup'!$K$4&amp;'Funnel setup'!$K$6,".",IF(A7026=".",1,A7026+1))</f>
        <v>.</v>
      </c>
      <c r="B7027" s="244" t="str">
        <f t="shared" si="109"/>
        <v/>
      </c>
    </row>
    <row r="7028" spans="1:2" x14ac:dyDescent="0.25">
      <c r="A7028" t="str">
        <f>IF(C7028&amp;G7028&amp;D7028&lt;&gt;'Funnel setup'!$K$3&amp;'Funnel setup'!$K$4&amp;'Funnel setup'!$K$6,".",IF(A7027=".",1,A7027+1))</f>
        <v>.</v>
      </c>
      <c r="B7028" s="244" t="str">
        <f t="shared" si="109"/>
        <v/>
      </c>
    </row>
    <row r="7029" spans="1:2" x14ac:dyDescent="0.25">
      <c r="A7029" t="str">
        <f>IF(C7029&amp;G7029&amp;D7029&lt;&gt;'Funnel setup'!$K$3&amp;'Funnel setup'!$K$4&amp;'Funnel setup'!$K$6,".",IF(A7028=".",1,A7028+1))</f>
        <v>.</v>
      </c>
      <c r="B7029" s="244" t="str">
        <f t="shared" si="109"/>
        <v/>
      </c>
    </row>
    <row r="7030" spans="1:2" x14ac:dyDescent="0.25">
      <c r="A7030" t="str">
        <f>IF(C7030&amp;G7030&amp;D7030&lt;&gt;'Funnel setup'!$K$3&amp;'Funnel setup'!$K$4&amp;'Funnel setup'!$K$6,".",IF(A7029=".",1,A7029+1))</f>
        <v>.</v>
      </c>
      <c r="B7030" s="244" t="str">
        <f t="shared" si="109"/>
        <v/>
      </c>
    </row>
    <row r="7031" spans="1:2" x14ac:dyDescent="0.25">
      <c r="A7031" t="str">
        <f>IF(C7031&amp;G7031&amp;D7031&lt;&gt;'Funnel setup'!$K$3&amp;'Funnel setup'!$K$4&amp;'Funnel setup'!$K$6,".",IF(A7030=".",1,A7030+1))</f>
        <v>.</v>
      </c>
      <c r="B7031" s="244" t="str">
        <f t="shared" si="109"/>
        <v/>
      </c>
    </row>
    <row r="7032" spans="1:2" x14ac:dyDescent="0.25">
      <c r="A7032" t="str">
        <f>IF(C7032&amp;G7032&amp;D7032&lt;&gt;'Funnel setup'!$K$3&amp;'Funnel setup'!$K$4&amp;'Funnel setup'!$K$6,".",IF(A7031=".",1,A7031+1))</f>
        <v>.</v>
      </c>
      <c r="B7032" s="244" t="str">
        <f t="shared" si="109"/>
        <v/>
      </c>
    </row>
    <row r="7033" spans="1:2" x14ac:dyDescent="0.25">
      <c r="A7033" t="str">
        <f>IF(C7033&amp;G7033&amp;D7033&lt;&gt;'Funnel setup'!$K$3&amp;'Funnel setup'!$K$4&amp;'Funnel setup'!$K$6,".",IF(A7032=".",1,A7032+1))</f>
        <v>.</v>
      </c>
      <c r="B7033" s="244" t="str">
        <f t="shared" si="109"/>
        <v/>
      </c>
    </row>
    <row r="7034" spans="1:2" x14ac:dyDescent="0.25">
      <c r="A7034" t="str">
        <f>IF(C7034&amp;G7034&amp;D7034&lt;&gt;'Funnel setup'!$K$3&amp;'Funnel setup'!$K$4&amp;'Funnel setup'!$K$6,".",IF(A7033=".",1,A7033+1))</f>
        <v>.</v>
      </c>
      <c r="B7034" s="244" t="str">
        <f t="shared" si="109"/>
        <v/>
      </c>
    </row>
    <row r="7035" spans="1:2" x14ac:dyDescent="0.25">
      <c r="A7035" t="str">
        <f>IF(C7035&amp;G7035&amp;D7035&lt;&gt;'Funnel setup'!$K$3&amp;'Funnel setup'!$K$4&amp;'Funnel setup'!$K$6,".",IF(A7034=".",1,A7034+1))</f>
        <v>.</v>
      </c>
      <c r="B7035" s="244" t="str">
        <f t="shared" si="109"/>
        <v/>
      </c>
    </row>
    <row r="7036" spans="1:2" x14ac:dyDescent="0.25">
      <c r="A7036" t="str">
        <f>IF(C7036&amp;G7036&amp;D7036&lt;&gt;'Funnel setup'!$K$3&amp;'Funnel setup'!$K$4&amp;'Funnel setup'!$K$6,".",IF(A7035=".",1,A7035+1))</f>
        <v>.</v>
      </c>
      <c r="B7036" s="244" t="str">
        <f t="shared" si="109"/>
        <v/>
      </c>
    </row>
    <row r="7037" spans="1:2" x14ac:dyDescent="0.25">
      <c r="A7037" t="str">
        <f>IF(C7037&amp;G7037&amp;D7037&lt;&gt;'Funnel setup'!$K$3&amp;'Funnel setup'!$K$4&amp;'Funnel setup'!$K$6,".",IF(A7036=".",1,A7036+1))</f>
        <v>.</v>
      </c>
      <c r="B7037" s="244" t="str">
        <f t="shared" si="109"/>
        <v/>
      </c>
    </row>
    <row r="7038" spans="1:2" x14ac:dyDescent="0.25">
      <c r="A7038" t="str">
        <f>IF(C7038&amp;G7038&amp;D7038&lt;&gt;'Funnel setup'!$K$3&amp;'Funnel setup'!$K$4&amp;'Funnel setup'!$K$6,".",IF(A7037=".",1,A7037+1))</f>
        <v>.</v>
      </c>
      <c r="B7038" s="244" t="str">
        <f t="shared" si="109"/>
        <v/>
      </c>
    </row>
    <row r="7039" spans="1:2" x14ac:dyDescent="0.25">
      <c r="A7039" t="str">
        <f>IF(C7039&amp;G7039&amp;D7039&lt;&gt;'Funnel setup'!$K$3&amp;'Funnel setup'!$K$4&amp;'Funnel setup'!$K$6,".",IF(A7038=".",1,A7038+1))</f>
        <v>.</v>
      </c>
      <c r="B7039" s="244" t="str">
        <f t="shared" si="109"/>
        <v/>
      </c>
    </row>
    <row r="7040" spans="1:2" x14ac:dyDescent="0.25">
      <c r="A7040" t="str">
        <f>IF(C7040&amp;G7040&amp;D7040&lt;&gt;'Funnel setup'!$K$3&amp;'Funnel setup'!$K$4&amp;'Funnel setup'!$K$6,".",IF(A7039=".",1,A7039+1))</f>
        <v>.</v>
      </c>
      <c r="B7040" s="244" t="str">
        <f t="shared" si="109"/>
        <v/>
      </c>
    </row>
    <row r="7041" spans="1:2" x14ac:dyDescent="0.25">
      <c r="A7041" t="str">
        <f>IF(C7041&amp;G7041&amp;D7041&lt;&gt;'Funnel setup'!$K$3&amp;'Funnel setup'!$K$4&amp;'Funnel setup'!$K$6,".",IF(A7040=".",1,A7040+1))</f>
        <v>.</v>
      </c>
      <c r="B7041" s="244" t="str">
        <f t="shared" si="109"/>
        <v/>
      </c>
    </row>
    <row r="7042" spans="1:2" x14ac:dyDescent="0.25">
      <c r="A7042" t="str">
        <f>IF(C7042&amp;G7042&amp;D7042&lt;&gt;'Funnel setup'!$K$3&amp;'Funnel setup'!$K$4&amp;'Funnel setup'!$K$6,".",IF(A7041=".",1,A7041+1))</f>
        <v>.</v>
      </c>
      <c r="B7042" s="244" t="str">
        <f t="shared" ref="B7042:B7105" si="110">C7042&amp;D7042&amp;F7042&amp;G7042</f>
        <v/>
      </c>
    </row>
    <row r="7043" spans="1:2" x14ac:dyDescent="0.25">
      <c r="A7043" t="str">
        <f>IF(C7043&amp;G7043&amp;D7043&lt;&gt;'Funnel setup'!$K$3&amp;'Funnel setup'!$K$4&amp;'Funnel setup'!$K$6,".",IF(A7042=".",1,A7042+1))</f>
        <v>.</v>
      </c>
      <c r="B7043" s="244" t="str">
        <f t="shared" si="110"/>
        <v/>
      </c>
    </row>
    <row r="7044" spans="1:2" x14ac:dyDescent="0.25">
      <c r="A7044" t="str">
        <f>IF(C7044&amp;G7044&amp;D7044&lt;&gt;'Funnel setup'!$K$3&amp;'Funnel setup'!$K$4&amp;'Funnel setup'!$K$6,".",IF(A7043=".",1,A7043+1))</f>
        <v>.</v>
      </c>
      <c r="B7044" s="244" t="str">
        <f t="shared" si="110"/>
        <v/>
      </c>
    </row>
    <row r="7045" spans="1:2" x14ac:dyDescent="0.25">
      <c r="A7045" t="str">
        <f>IF(C7045&amp;G7045&amp;D7045&lt;&gt;'Funnel setup'!$K$3&amp;'Funnel setup'!$K$4&amp;'Funnel setup'!$K$6,".",IF(A7044=".",1,A7044+1))</f>
        <v>.</v>
      </c>
      <c r="B7045" s="244" t="str">
        <f t="shared" si="110"/>
        <v/>
      </c>
    </row>
    <row r="7046" spans="1:2" x14ac:dyDescent="0.25">
      <c r="A7046" t="str">
        <f>IF(C7046&amp;G7046&amp;D7046&lt;&gt;'Funnel setup'!$K$3&amp;'Funnel setup'!$K$4&amp;'Funnel setup'!$K$6,".",IF(A7045=".",1,A7045+1))</f>
        <v>.</v>
      </c>
      <c r="B7046" s="244" t="str">
        <f t="shared" si="110"/>
        <v/>
      </c>
    </row>
    <row r="7047" spans="1:2" x14ac:dyDescent="0.25">
      <c r="A7047" t="str">
        <f>IF(C7047&amp;G7047&amp;D7047&lt;&gt;'Funnel setup'!$K$3&amp;'Funnel setup'!$K$4&amp;'Funnel setup'!$K$6,".",IF(A7046=".",1,A7046+1))</f>
        <v>.</v>
      </c>
      <c r="B7047" s="244" t="str">
        <f t="shared" si="110"/>
        <v/>
      </c>
    </row>
    <row r="7048" spans="1:2" x14ac:dyDescent="0.25">
      <c r="A7048" t="str">
        <f>IF(C7048&amp;G7048&amp;D7048&lt;&gt;'Funnel setup'!$K$3&amp;'Funnel setup'!$K$4&amp;'Funnel setup'!$K$6,".",IF(A7047=".",1,A7047+1))</f>
        <v>.</v>
      </c>
      <c r="B7048" s="244" t="str">
        <f t="shared" si="110"/>
        <v/>
      </c>
    </row>
    <row r="7049" spans="1:2" x14ac:dyDescent="0.25">
      <c r="A7049" t="str">
        <f>IF(C7049&amp;G7049&amp;D7049&lt;&gt;'Funnel setup'!$K$3&amp;'Funnel setup'!$K$4&amp;'Funnel setup'!$K$6,".",IF(A7048=".",1,A7048+1))</f>
        <v>.</v>
      </c>
      <c r="B7049" s="244" t="str">
        <f t="shared" si="110"/>
        <v/>
      </c>
    </row>
    <row r="7050" spans="1:2" x14ac:dyDescent="0.25">
      <c r="A7050" t="str">
        <f>IF(C7050&amp;G7050&amp;D7050&lt;&gt;'Funnel setup'!$K$3&amp;'Funnel setup'!$K$4&amp;'Funnel setup'!$K$6,".",IF(A7049=".",1,A7049+1))</f>
        <v>.</v>
      </c>
      <c r="B7050" s="244" t="str">
        <f t="shared" si="110"/>
        <v/>
      </c>
    </row>
    <row r="7051" spans="1:2" x14ac:dyDescent="0.25">
      <c r="A7051" t="str">
        <f>IF(C7051&amp;G7051&amp;D7051&lt;&gt;'Funnel setup'!$K$3&amp;'Funnel setup'!$K$4&amp;'Funnel setup'!$K$6,".",IF(A7050=".",1,A7050+1))</f>
        <v>.</v>
      </c>
      <c r="B7051" s="244" t="str">
        <f t="shared" si="110"/>
        <v/>
      </c>
    </row>
    <row r="7052" spans="1:2" x14ac:dyDescent="0.25">
      <c r="A7052" t="str">
        <f>IF(C7052&amp;G7052&amp;D7052&lt;&gt;'Funnel setup'!$K$3&amp;'Funnel setup'!$K$4&amp;'Funnel setup'!$K$6,".",IF(A7051=".",1,A7051+1))</f>
        <v>.</v>
      </c>
      <c r="B7052" s="244" t="str">
        <f t="shared" si="110"/>
        <v/>
      </c>
    </row>
    <row r="7053" spans="1:2" x14ac:dyDescent="0.25">
      <c r="A7053" t="str">
        <f>IF(C7053&amp;G7053&amp;D7053&lt;&gt;'Funnel setup'!$K$3&amp;'Funnel setup'!$K$4&amp;'Funnel setup'!$K$6,".",IF(A7052=".",1,A7052+1))</f>
        <v>.</v>
      </c>
      <c r="B7053" s="244" t="str">
        <f t="shared" si="110"/>
        <v/>
      </c>
    </row>
    <row r="7054" spans="1:2" x14ac:dyDescent="0.25">
      <c r="A7054" t="str">
        <f>IF(C7054&amp;G7054&amp;D7054&lt;&gt;'Funnel setup'!$K$3&amp;'Funnel setup'!$K$4&amp;'Funnel setup'!$K$6,".",IF(A7053=".",1,A7053+1))</f>
        <v>.</v>
      </c>
      <c r="B7054" s="244" t="str">
        <f t="shared" si="110"/>
        <v/>
      </c>
    </row>
    <row r="7055" spans="1:2" x14ac:dyDescent="0.25">
      <c r="A7055" t="str">
        <f>IF(C7055&amp;G7055&amp;D7055&lt;&gt;'Funnel setup'!$K$3&amp;'Funnel setup'!$K$4&amp;'Funnel setup'!$K$6,".",IF(A7054=".",1,A7054+1))</f>
        <v>.</v>
      </c>
      <c r="B7055" s="244" t="str">
        <f t="shared" si="110"/>
        <v/>
      </c>
    </row>
    <row r="7056" spans="1:2" x14ac:dyDescent="0.25">
      <c r="A7056" t="str">
        <f>IF(C7056&amp;G7056&amp;D7056&lt;&gt;'Funnel setup'!$K$3&amp;'Funnel setup'!$K$4&amp;'Funnel setup'!$K$6,".",IF(A7055=".",1,A7055+1))</f>
        <v>.</v>
      </c>
      <c r="B7056" s="244" t="str">
        <f t="shared" si="110"/>
        <v/>
      </c>
    </row>
    <row r="7057" spans="1:2" x14ac:dyDescent="0.25">
      <c r="A7057" t="str">
        <f>IF(C7057&amp;G7057&amp;D7057&lt;&gt;'Funnel setup'!$K$3&amp;'Funnel setup'!$K$4&amp;'Funnel setup'!$K$6,".",IF(A7056=".",1,A7056+1))</f>
        <v>.</v>
      </c>
      <c r="B7057" s="244" t="str">
        <f t="shared" si="110"/>
        <v/>
      </c>
    </row>
    <row r="7058" spans="1:2" x14ac:dyDescent="0.25">
      <c r="A7058" t="str">
        <f>IF(C7058&amp;G7058&amp;D7058&lt;&gt;'Funnel setup'!$K$3&amp;'Funnel setup'!$K$4&amp;'Funnel setup'!$K$6,".",IF(A7057=".",1,A7057+1))</f>
        <v>.</v>
      </c>
      <c r="B7058" s="244" t="str">
        <f t="shared" si="110"/>
        <v/>
      </c>
    </row>
    <row r="7059" spans="1:2" x14ac:dyDescent="0.25">
      <c r="A7059" t="str">
        <f>IF(C7059&amp;G7059&amp;D7059&lt;&gt;'Funnel setup'!$K$3&amp;'Funnel setup'!$K$4&amp;'Funnel setup'!$K$6,".",IF(A7058=".",1,A7058+1))</f>
        <v>.</v>
      </c>
      <c r="B7059" s="244" t="str">
        <f t="shared" si="110"/>
        <v/>
      </c>
    </row>
    <row r="7060" spans="1:2" x14ac:dyDescent="0.25">
      <c r="A7060" t="str">
        <f>IF(C7060&amp;G7060&amp;D7060&lt;&gt;'Funnel setup'!$K$3&amp;'Funnel setup'!$K$4&amp;'Funnel setup'!$K$6,".",IF(A7059=".",1,A7059+1))</f>
        <v>.</v>
      </c>
      <c r="B7060" s="244" t="str">
        <f t="shared" si="110"/>
        <v/>
      </c>
    </row>
    <row r="7061" spans="1:2" x14ac:dyDescent="0.25">
      <c r="A7061" t="str">
        <f>IF(C7061&amp;G7061&amp;D7061&lt;&gt;'Funnel setup'!$K$3&amp;'Funnel setup'!$K$4&amp;'Funnel setup'!$K$6,".",IF(A7060=".",1,A7060+1))</f>
        <v>.</v>
      </c>
      <c r="B7061" s="244" t="str">
        <f t="shared" si="110"/>
        <v/>
      </c>
    </row>
    <row r="7062" spans="1:2" x14ac:dyDescent="0.25">
      <c r="A7062" t="str">
        <f>IF(C7062&amp;G7062&amp;D7062&lt;&gt;'Funnel setup'!$K$3&amp;'Funnel setup'!$K$4&amp;'Funnel setup'!$K$6,".",IF(A7061=".",1,A7061+1))</f>
        <v>.</v>
      </c>
      <c r="B7062" s="244" t="str">
        <f t="shared" si="110"/>
        <v/>
      </c>
    </row>
    <row r="7063" spans="1:2" x14ac:dyDescent="0.25">
      <c r="A7063" t="str">
        <f>IF(C7063&amp;G7063&amp;D7063&lt;&gt;'Funnel setup'!$K$3&amp;'Funnel setup'!$K$4&amp;'Funnel setup'!$K$6,".",IF(A7062=".",1,A7062+1))</f>
        <v>.</v>
      </c>
      <c r="B7063" s="244" t="str">
        <f t="shared" si="110"/>
        <v/>
      </c>
    </row>
    <row r="7064" spans="1:2" x14ac:dyDescent="0.25">
      <c r="A7064" t="str">
        <f>IF(C7064&amp;G7064&amp;D7064&lt;&gt;'Funnel setup'!$K$3&amp;'Funnel setup'!$K$4&amp;'Funnel setup'!$K$6,".",IF(A7063=".",1,A7063+1))</f>
        <v>.</v>
      </c>
      <c r="B7064" s="244" t="str">
        <f t="shared" si="110"/>
        <v/>
      </c>
    </row>
    <row r="7065" spans="1:2" x14ac:dyDescent="0.25">
      <c r="A7065" t="str">
        <f>IF(C7065&amp;G7065&amp;D7065&lt;&gt;'Funnel setup'!$K$3&amp;'Funnel setup'!$K$4&amp;'Funnel setup'!$K$6,".",IF(A7064=".",1,A7064+1))</f>
        <v>.</v>
      </c>
      <c r="B7065" s="244" t="str">
        <f t="shared" si="110"/>
        <v/>
      </c>
    </row>
    <row r="7066" spans="1:2" x14ac:dyDescent="0.25">
      <c r="A7066" t="str">
        <f>IF(C7066&amp;G7066&amp;D7066&lt;&gt;'Funnel setup'!$K$3&amp;'Funnel setup'!$K$4&amp;'Funnel setup'!$K$6,".",IF(A7065=".",1,A7065+1))</f>
        <v>.</v>
      </c>
      <c r="B7066" s="244" t="str">
        <f t="shared" si="110"/>
        <v/>
      </c>
    </row>
    <row r="7067" spans="1:2" x14ac:dyDescent="0.25">
      <c r="A7067" t="str">
        <f>IF(C7067&amp;G7067&amp;D7067&lt;&gt;'Funnel setup'!$K$3&amp;'Funnel setup'!$K$4&amp;'Funnel setup'!$K$6,".",IF(A7066=".",1,A7066+1))</f>
        <v>.</v>
      </c>
      <c r="B7067" s="244" t="str">
        <f t="shared" si="110"/>
        <v/>
      </c>
    </row>
    <row r="7068" spans="1:2" x14ac:dyDescent="0.25">
      <c r="A7068" t="str">
        <f>IF(C7068&amp;G7068&amp;D7068&lt;&gt;'Funnel setup'!$K$3&amp;'Funnel setup'!$K$4&amp;'Funnel setup'!$K$6,".",IF(A7067=".",1,A7067+1))</f>
        <v>.</v>
      </c>
      <c r="B7068" s="244" t="str">
        <f t="shared" si="110"/>
        <v/>
      </c>
    </row>
    <row r="7069" spans="1:2" x14ac:dyDescent="0.25">
      <c r="A7069" t="str">
        <f>IF(C7069&amp;G7069&amp;D7069&lt;&gt;'Funnel setup'!$K$3&amp;'Funnel setup'!$K$4&amp;'Funnel setup'!$K$6,".",IF(A7068=".",1,A7068+1))</f>
        <v>.</v>
      </c>
      <c r="B7069" s="244" t="str">
        <f t="shared" si="110"/>
        <v/>
      </c>
    </row>
    <row r="7070" spans="1:2" x14ac:dyDescent="0.25">
      <c r="A7070" t="str">
        <f>IF(C7070&amp;G7070&amp;D7070&lt;&gt;'Funnel setup'!$K$3&amp;'Funnel setup'!$K$4&amp;'Funnel setup'!$K$6,".",IF(A7069=".",1,A7069+1))</f>
        <v>.</v>
      </c>
      <c r="B7070" s="244" t="str">
        <f t="shared" si="110"/>
        <v/>
      </c>
    </row>
    <row r="7071" spans="1:2" x14ac:dyDescent="0.25">
      <c r="A7071" t="str">
        <f>IF(C7071&amp;G7071&amp;D7071&lt;&gt;'Funnel setup'!$K$3&amp;'Funnel setup'!$K$4&amp;'Funnel setup'!$K$6,".",IF(A7070=".",1,A7070+1))</f>
        <v>.</v>
      </c>
      <c r="B7071" s="244" t="str">
        <f t="shared" si="110"/>
        <v/>
      </c>
    </row>
    <row r="7072" spans="1:2" x14ac:dyDescent="0.25">
      <c r="A7072" t="str">
        <f>IF(C7072&amp;G7072&amp;D7072&lt;&gt;'Funnel setup'!$K$3&amp;'Funnel setup'!$K$4&amp;'Funnel setup'!$K$6,".",IF(A7071=".",1,A7071+1))</f>
        <v>.</v>
      </c>
      <c r="B7072" s="244" t="str">
        <f t="shared" si="110"/>
        <v/>
      </c>
    </row>
    <row r="7073" spans="1:2" x14ac:dyDescent="0.25">
      <c r="A7073" t="str">
        <f>IF(C7073&amp;G7073&amp;D7073&lt;&gt;'Funnel setup'!$K$3&amp;'Funnel setup'!$K$4&amp;'Funnel setup'!$K$6,".",IF(A7072=".",1,A7072+1))</f>
        <v>.</v>
      </c>
      <c r="B7073" s="244" t="str">
        <f t="shared" si="110"/>
        <v/>
      </c>
    </row>
    <row r="7074" spans="1:2" x14ac:dyDescent="0.25">
      <c r="A7074" t="str">
        <f>IF(C7074&amp;G7074&amp;D7074&lt;&gt;'Funnel setup'!$K$3&amp;'Funnel setup'!$K$4&amp;'Funnel setup'!$K$6,".",IF(A7073=".",1,A7073+1))</f>
        <v>.</v>
      </c>
      <c r="B7074" s="244" t="str">
        <f t="shared" si="110"/>
        <v/>
      </c>
    </row>
    <row r="7075" spans="1:2" x14ac:dyDescent="0.25">
      <c r="A7075" t="str">
        <f>IF(C7075&amp;G7075&amp;D7075&lt;&gt;'Funnel setup'!$K$3&amp;'Funnel setup'!$K$4&amp;'Funnel setup'!$K$6,".",IF(A7074=".",1,A7074+1))</f>
        <v>.</v>
      </c>
      <c r="B7075" s="244" t="str">
        <f t="shared" si="110"/>
        <v/>
      </c>
    </row>
    <row r="7076" spans="1:2" x14ac:dyDescent="0.25">
      <c r="A7076" t="str">
        <f>IF(C7076&amp;G7076&amp;D7076&lt;&gt;'Funnel setup'!$K$3&amp;'Funnel setup'!$K$4&amp;'Funnel setup'!$K$6,".",IF(A7075=".",1,A7075+1))</f>
        <v>.</v>
      </c>
      <c r="B7076" s="244" t="str">
        <f t="shared" si="110"/>
        <v/>
      </c>
    </row>
    <row r="7077" spans="1:2" x14ac:dyDescent="0.25">
      <c r="A7077" t="str">
        <f>IF(C7077&amp;G7077&amp;D7077&lt;&gt;'Funnel setup'!$K$3&amp;'Funnel setup'!$K$4&amp;'Funnel setup'!$K$6,".",IF(A7076=".",1,A7076+1))</f>
        <v>.</v>
      </c>
      <c r="B7077" s="244" t="str">
        <f t="shared" si="110"/>
        <v/>
      </c>
    </row>
    <row r="7078" spans="1:2" x14ac:dyDescent="0.25">
      <c r="A7078" t="str">
        <f>IF(C7078&amp;G7078&amp;D7078&lt;&gt;'Funnel setup'!$K$3&amp;'Funnel setup'!$K$4&amp;'Funnel setup'!$K$6,".",IF(A7077=".",1,A7077+1))</f>
        <v>.</v>
      </c>
      <c r="B7078" s="244" t="str">
        <f t="shared" si="110"/>
        <v/>
      </c>
    </row>
    <row r="7079" spans="1:2" x14ac:dyDescent="0.25">
      <c r="A7079" t="str">
        <f>IF(C7079&amp;G7079&amp;D7079&lt;&gt;'Funnel setup'!$K$3&amp;'Funnel setup'!$K$4&amp;'Funnel setup'!$K$6,".",IF(A7078=".",1,A7078+1))</f>
        <v>.</v>
      </c>
      <c r="B7079" s="244" t="str">
        <f t="shared" si="110"/>
        <v/>
      </c>
    </row>
    <row r="7080" spans="1:2" x14ac:dyDescent="0.25">
      <c r="A7080" t="str">
        <f>IF(C7080&amp;G7080&amp;D7080&lt;&gt;'Funnel setup'!$K$3&amp;'Funnel setup'!$K$4&amp;'Funnel setup'!$K$6,".",IF(A7079=".",1,A7079+1))</f>
        <v>.</v>
      </c>
      <c r="B7080" s="244" t="str">
        <f t="shared" si="110"/>
        <v/>
      </c>
    </row>
    <row r="7081" spans="1:2" x14ac:dyDescent="0.25">
      <c r="A7081" t="str">
        <f>IF(C7081&amp;G7081&amp;D7081&lt;&gt;'Funnel setup'!$K$3&amp;'Funnel setup'!$K$4&amp;'Funnel setup'!$K$6,".",IF(A7080=".",1,A7080+1))</f>
        <v>.</v>
      </c>
      <c r="B7081" s="244" t="str">
        <f t="shared" si="110"/>
        <v/>
      </c>
    </row>
    <row r="7082" spans="1:2" x14ac:dyDescent="0.25">
      <c r="A7082" t="str">
        <f>IF(C7082&amp;G7082&amp;D7082&lt;&gt;'Funnel setup'!$K$3&amp;'Funnel setup'!$K$4&amp;'Funnel setup'!$K$6,".",IF(A7081=".",1,A7081+1))</f>
        <v>.</v>
      </c>
      <c r="B7082" s="244" t="str">
        <f t="shared" si="110"/>
        <v/>
      </c>
    </row>
    <row r="7083" spans="1:2" x14ac:dyDescent="0.25">
      <c r="A7083" t="str">
        <f>IF(C7083&amp;G7083&amp;D7083&lt;&gt;'Funnel setup'!$K$3&amp;'Funnel setup'!$K$4&amp;'Funnel setup'!$K$6,".",IF(A7082=".",1,A7082+1))</f>
        <v>.</v>
      </c>
      <c r="B7083" s="244" t="str">
        <f t="shared" si="110"/>
        <v/>
      </c>
    </row>
    <row r="7084" spans="1:2" x14ac:dyDescent="0.25">
      <c r="A7084" t="str">
        <f>IF(C7084&amp;G7084&amp;D7084&lt;&gt;'Funnel setup'!$K$3&amp;'Funnel setup'!$K$4&amp;'Funnel setup'!$K$6,".",IF(A7083=".",1,A7083+1))</f>
        <v>.</v>
      </c>
      <c r="B7084" s="244" t="str">
        <f t="shared" si="110"/>
        <v/>
      </c>
    </row>
    <row r="7085" spans="1:2" x14ac:dyDescent="0.25">
      <c r="A7085" t="str">
        <f>IF(C7085&amp;G7085&amp;D7085&lt;&gt;'Funnel setup'!$K$3&amp;'Funnel setup'!$K$4&amp;'Funnel setup'!$K$6,".",IF(A7084=".",1,A7084+1))</f>
        <v>.</v>
      </c>
      <c r="B7085" s="244" t="str">
        <f t="shared" si="110"/>
        <v/>
      </c>
    </row>
    <row r="7086" spans="1:2" x14ac:dyDescent="0.25">
      <c r="A7086" t="str">
        <f>IF(C7086&amp;G7086&amp;D7086&lt;&gt;'Funnel setup'!$K$3&amp;'Funnel setup'!$K$4&amp;'Funnel setup'!$K$6,".",IF(A7085=".",1,A7085+1))</f>
        <v>.</v>
      </c>
      <c r="B7086" s="244" t="str">
        <f t="shared" si="110"/>
        <v/>
      </c>
    </row>
    <row r="7087" spans="1:2" x14ac:dyDescent="0.25">
      <c r="A7087" t="str">
        <f>IF(C7087&amp;G7087&amp;D7087&lt;&gt;'Funnel setup'!$K$3&amp;'Funnel setup'!$K$4&amp;'Funnel setup'!$K$6,".",IF(A7086=".",1,A7086+1))</f>
        <v>.</v>
      </c>
      <c r="B7087" s="244" t="str">
        <f t="shared" si="110"/>
        <v/>
      </c>
    </row>
    <row r="7088" spans="1:2" x14ac:dyDescent="0.25">
      <c r="A7088" t="str">
        <f>IF(C7088&amp;G7088&amp;D7088&lt;&gt;'Funnel setup'!$K$3&amp;'Funnel setup'!$K$4&amp;'Funnel setup'!$K$6,".",IF(A7087=".",1,A7087+1))</f>
        <v>.</v>
      </c>
      <c r="B7088" s="244" t="str">
        <f t="shared" si="110"/>
        <v/>
      </c>
    </row>
    <row r="7089" spans="1:2" x14ac:dyDescent="0.25">
      <c r="A7089" t="str">
        <f>IF(C7089&amp;G7089&amp;D7089&lt;&gt;'Funnel setup'!$K$3&amp;'Funnel setup'!$K$4&amp;'Funnel setup'!$K$6,".",IF(A7088=".",1,A7088+1))</f>
        <v>.</v>
      </c>
      <c r="B7089" s="244" t="str">
        <f t="shared" si="110"/>
        <v/>
      </c>
    </row>
    <row r="7090" spans="1:2" x14ac:dyDescent="0.25">
      <c r="A7090" t="str">
        <f>IF(C7090&amp;G7090&amp;D7090&lt;&gt;'Funnel setup'!$K$3&amp;'Funnel setup'!$K$4&amp;'Funnel setup'!$K$6,".",IF(A7089=".",1,A7089+1))</f>
        <v>.</v>
      </c>
      <c r="B7090" s="244" t="str">
        <f t="shared" si="110"/>
        <v/>
      </c>
    </row>
    <row r="7091" spans="1:2" x14ac:dyDescent="0.25">
      <c r="A7091" t="str">
        <f>IF(C7091&amp;G7091&amp;D7091&lt;&gt;'Funnel setup'!$K$3&amp;'Funnel setup'!$K$4&amp;'Funnel setup'!$K$6,".",IF(A7090=".",1,A7090+1))</f>
        <v>.</v>
      </c>
      <c r="B7091" s="244" t="str">
        <f t="shared" si="110"/>
        <v/>
      </c>
    </row>
    <row r="7092" spans="1:2" x14ac:dyDescent="0.25">
      <c r="A7092" t="str">
        <f>IF(C7092&amp;G7092&amp;D7092&lt;&gt;'Funnel setup'!$K$3&amp;'Funnel setup'!$K$4&amp;'Funnel setup'!$K$6,".",IF(A7091=".",1,A7091+1))</f>
        <v>.</v>
      </c>
      <c r="B7092" s="244" t="str">
        <f t="shared" si="110"/>
        <v/>
      </c>
    </row>
    <row r="7093" spans="1:2" x14ac:dyDescent="0.25">
      <c r="A7093" t="str">
        <f>IF(C7093&amp;G7093&amp;D7093&lt;&gt;'Funnel setup'!$K$3&amp;'Funnel setup'!$K$4&amp;'Funnel setup'!$K$6,".",IF(A7092=".",1,A7092+1))</f>
        <v>.</v>
      </c>
      <c r="B7093" s="244" t="str">
        <f t="shared" si="110"/>
        <v/>
      </c>
    </row>
    <row r="7094" spans="1:2" x14ac:dyDescent="0.25">
      <c r="A7094" t="str">
        <f>IF(C7094&amp;G7094&amp;D7094&lt;&gt;'Funnel setup'!$K$3&amp;'Funnel setup'!$K$4&amp;'Funnel setup'!$K$6,".",IF(A7093=".",1,A7093+1))</f>
        <v>.</v>
      </c>
      <c r="B7094" s="244" t="str">
        <f t="shared" si="110"/>
        <v/>
      </c>
    </row>
    <row r="7095" spans="1:2" x14ac:dyDescent="0.25">
      <c r="A7095" t="str">
        <f>IF(C7095&amp;G7095&amp;D7095&lt;&gt;'Funnel setup'!$K$3&amp;'Funnel setup'!$K$4&amp;'Funnel setup'!$K$6,".",IF(A7094=".",1,A7094+1))</f>
        <v>.</v>
      </c>
      <c r="B7095" s="244" t="str">
        <f t="shared" si="110"/>
        <v/>
      </c>
    </row>
    <row r="7096" spans="1:2" x14ac:dyDescent="0.25">
      <c r="A7096" t="str">
        <f>IF(C7096&amp;G7096&amp;D7096&lt;&gt;'Funnel setup'!$K$3&amp;'Funnel setup'!$K$4&amp;'Funnel setup'!$K$6,".",IF(A7095=".",1,A7095+1))</f>
        <v>.</v>
      </c>
      <c r="B7096" s="244" t="str">
        <f t="shared" si="110"/>
        <v/>
      </c>
    </row>
    <row r="7097" spans="1:2" x14ac:dyDescent="0.25">
      <c r="A7097" t="str">
        <f>IF(C7097&amp;G7097&amp;D7097&lt;&gt;'Funnel setup'!$K$3&amp;'Funnel setup'!$K$4&amp;'Funnel setup'!$K$6,".",IF(A7096=".",1,A7096+1))</f>
        <v>.</v>
      </c>
      <c r="B7097" s="244" t="str">
        <f t="shared" si="110"/>
        <v/>
      </c>
    </row>
    <row r="7098" spans="1:2" x14ac:dyDescent="0.25">
      <c r="A7098" t="str">
        <f>IF(C7098&amp;G7098&amp;D7098&lt;&gt;'Funnel setup'!$K$3&amp;'Funnel setup'!$K$4&amp;'Funnel setup'!$K$6,".",IF(A7097=".",1,A7097+1))</f>
        <v>.</v>
      </c>
      <c r="B7098" s="244" t="str">
        <f t="shared" si="110"/>
        <v/>
      </c>
    </row>
    <row r="7099" spans="1:2" x14ac:dyDescent="0.25">
      <c r="A7099" t="str">
        <f>IF(C7099&amp;G7099&amp;D7099&lt;&gt;'Funnel setup'!$K$3&amp;'Funnel setup'!$K$4&amp;'Funnel setup'!$K$6,".",IF(A7098=".",1,A7098+1))</f>
        <v>.</v>
      </c>
      <c r="B7099" s="244" t="str">
        <f t="shared" si="110"/>
        <v/>
      </c>
    </row>
    <row r="7100" spans="1:2" x14ac:dyDescent="0.25">
      <c r="A7100" t="str">
        <f>IF(C7100&amp;G7100&amp;D7100&lt;&gt;'Funnel setup'!$K$3&amp;'Funnel setup'!$K$4&amp;'Funnel setup'!$K$6,".",IF(A7099=".",1,A7099+1))</f>
        <v>.</v>
      </c>
      <c r="B7100" s="244" t="str">
        <f t="shared" si="110"/>
        <v/>
      </c>
    </row>
    <row r="7101" spans="1:2" x14ac:dyDescent="0.25">
      <c r="A7101" t="str">
        <f>IF(C7101&amp;G7101&amp;D7101&lt;&gt;'Funnel setup'!$K$3&amp;'Funnel setup'!$K$4&amp;'Funnel setup'!$K$6,".",IF(A7100=".",1,A7100+1))</f>
        <v>.</v>
      </c>
      <c r="B7101" s="244" t="str">
        <f t="shared" si="110"/>
        <v/>
      </c>
    </row>
    <row r="7102" spans="1:2" x14ac:dyDescent="0.25">
      <c r="A7102" t="str">
        <f>IF(C7102&amp;G7102&amp;D7102&lt;&gt;'Funnel setup'!$K$3&amp;'Funnel setup'!$K$4&amp;'Funnel setup'!$K$6,".",IF(A7101=".",1,A7101+1))</f>
        <v>.</v>
      </c>
      <c r="B7102" s="244" t="str">
        <f t="shared" si="110"/>
        <v/>
      </c>
    </row>
    <row r="7103" spans="1:2" x14ac:dyDescent="0.25">
      <c r="A7103" t="str">
        <f>IF(C7103&amp;G7103&amp;D7103&lt;&gt;'Funnel setup'!$K$3&amp;'Funnel setup'!$K$4&amp;'Funnel setup'!$K$6,".",IF(A7102=".",1,A7102+1))</f>
        <v>.</v>
      </c>
      <c r="B7103" s="244" t="str">
        <f t="shared" si="110"/>
        <v/>
      </c>
    </row>
    <row r="7104" spans="1:2" x14ac:dyDescent="0.25">
      <c r="A7104" t="str">
        <f>IF(C7104&amp;G7104&amp;D7104&lt;&gt;'Funnel setup'!$K$3&amp;'Funnel setup'!$K$4&amp;'Funnel setup'!$K$6,".",IF(A7103=".",1,A7103+1))</f>
        <v>.</v>
      </c>
      <c r="B7104" s="244" t="str">
        <f t="shared" si="110"/>
        <v/>
      </c>
    </row>
    <row r="7105" spans="1:2" x14ac:dyDescent="0.25">
      <c r="A7105" t="str">
        <f>IF(C7105&amp;G7105&amp;D7105&lt;&gt;'Funnel setup'!$K$3&amp;'Funnel setup'!$K$4&amp;'Funnel setup'!$K$6,".",IF(A7104=".",1,A7104+1))</f>
        <v>.</v>
      </c>
      <c r="B7105" s="244" t="str">
        <f t="shared" si="110"/>
        <v/>
      </c>
    </row>
    <row r="7106" spans="1:2" x14ac:dyDescent="0.25">
      <c r="A7106" t="str">
        <f>IF(C7106&amp;G7106&amp;D7106&lt;&gt;'Funnel setup'!$K$3&amp;'Funnel setup'!$K$4&amp;'Funnel setup'!$K$6,".",IF(A7105=".",1,A7105+1))</f>
        <v>.</v>
      </c>
      <c r="B7106" s="244" t="str">
        <f t="shared" ref="B7106:B7169" si="111">C7106&amp;D7106&amp;F7106&amp;G7106</f>
        <v/>
      </c>
    </row>
    <row r="7107" spans="1:2" x14ac:dyDescent="0.25">
      <c r="A7107" t="str">
        <f>IF(C7107&amp;G7107&amp;D7107&lt;&gt;'Funnel setup'!$K$3&amp;'Funnel setup'!$K$4&amp;'Funnel setup'!$K$6,".",IF(A7106=".",1,A7106+1))</f>
        <v>.</v>
      </c>
      <c r="B7107" s="244" t="str">
        <f t="shared" si="111"/>
        <v/>
      </c>
    </row>
    <row r="7108" spans="1:2" x14ac:dyDescent="0.25">
      <c r="A7108" t="str">
        <f>IF(C7108&amp;G7108&amp;D7108&lt;&gt;'Funnel setup'!$K$3&amp;'Funnel setup'!$K$4&amp;'Funnel setup'!$K$6,".",IF(A7107=".",1,A7107+1))</f>
        <v>.</v>
      </c>
      <c r="B7108" s="244" t="str">
        <f t="shared" si="111"/>
        <v/>
      </c>
    </row>
    <row r="7109" spans="1:2" x14ac:dyDescent="0.25">
      <c r="A7109" t="str">
        <f>IF(C7109&amp;G7109&amp;D7109&lt;&gt;'Funnel setup'!$K$3&amp;'Funnel setup'!$K$4&amp;'Funnel setup'!$K$6,".",IF(A7108=".",1,A7108+1))</f>
        <v>.</v>
      </c>
      <c r="B7109" s="244" t="str">
        <f t="shared" si="111"/>
        <v/>
      </c>
    </row>
    <row r="7110" spans="1:2" x14ac:dyDescent="0.25">
      <c r="A7110" t="str">
        <f>IF(C7110&amp;G7110&amp;D7110&lt;&gt;'Funnel setup'!$K$3&amp;'Funnel setup'!$K$4&amp;'Funnel setup'!$K$6,".",IF(A7109=".",1,A7109+1))</f>
        <v>.</v>
      </c>
      <c r="B7110" s="244" t="str">
        <f t="shared" si="111"/>
        <v/>
      </c>
    </row>
    <row r="7111" spans="1:2" x14ac:dyDescent="0.25">
      <c r="A7111" t="str">
        <f>IF(C7111&amp;G7111&amp;D7111&lt;&gt;'Funnel setup'!$K$3&amp;'Funnel setup'!$K$4&amp;'Funnel setup'!$K$6,".",IF(A7110=".",1,A7110+1))</f>
        <v>.</v>
      </c>
      <c r="B7111" s="244" t="str">
        <f t="shared" si="111"/>
        <v/>
      </c>
    </row>
    <row r="7112" spans="1:2" x14ac:dyDescent="0.25">
      <c r="A7112" t="str">
        <f>IF(C7112&amp;G7112&amp;D7112&lt;&gt;'Funnel setup'!$K$3&amp;'Funnel setup'!$K$4&amp;'Funnel setup'!$K$6,".",IF(A7111=".",1,A7111+1))</f>
        <v>.</v>
      </c>
      <c r="B7112" s="244" t="str">
        <f t="shared" si="111"/>
        <v/>
      </c>
    </row>
    <row r="7113" spans="1:2" x14ac:dyDescent="0.25">
      <c r="A7113" t="str">
        <f>IF(C7113&amp;G7113&amp;D7113&lt;&gt;'Funnel setup'!$K$3&amp;'Funnel setup'!$K$4&amp;'Funnel setup'!$K$6,".",IF(A7112=".",1,A7112+1))</f>
        <v>.</v>
      </c>
      <c r="B7113" s="244" t="str">
        <f t="shared" si="111"/>
        <v/>
      </c>
    </row>
    <row r="7114" spans="1:2" x14ac:dyDescent="0.25">
      <c r="A7114" t="str">
        <f>IF(C7114&amp;G7114&amp;D7114&lt;&gt;'Funnel setup'!$K$3&amp;'Funnel setup'!$K$4&amp;'Funnel setup'!$K$6,".",IF(A7113=".",1,A7113+1))</f>
        <v>.</v>
      </c>
      <c r="B7114" s="244" t="str">
        <f t="shared" si="111"/>
        <v/>
      </c>
    </row>
    <row r="7115" spans="1:2" x14ac:dyDescent="0.25">
      <c r="A7115" t="str">
        <f>IF(C7115&amp;G7115&amp;D7115&lt;&gt;'Funnel setup'!$K$3&amp;'Funnel setup'!$K$4&amp;'Funnel setup'!$K$6,".",IF(A7114=".",1,A7114+1))</f>
        <v>.</v>
      </c>
      <c r="B7115" s="244" t="str">
        <f t="shared" si="111"/>
        <v/>
      </c>
    </row>
    <row r="7116" spans="1:2" x14ac:dyDescent="0.25">
      <c r="A7116" t="str">
        <f>IF(C7116&amp;G7116&amp;D7116&lt;&gt;'Funnel setup'!$K$3&amp;'Funnel setup'!$K$4&amp;'Funnel setup'!$K$6,".",IF(A7115=".",1,A7115+1))</f>
        <v>.</v>
      </c>
      <c r="B7116" s="244" t="str">
        <f t="shared" si="111"/>
        <v/>
      </c>
    </row>
    <row r="7117" spans="1:2" x14ac:dyDescent="0.25">
      <c r="A7117" t="str">
        <f>IF(C7117&amp;G7117&amp;D7117&lt;&gt;'Funnel setup'!$K$3&amp;'Funnel setup'!$K$4&amp;'Funnel setup'!$K$6,".",IF(A7116=".",1,A7116+1))</f>
        <v>.</v>
      </c>
      <c r="B7117" s="244" t="str">
        <f t="shared" si="111"/>
        <v/>
      </c>
    </row>
    <row r="7118" spans="1:2" x14ac:dyDescent="0.25">
      <c r="A7118" t="str">
        <f>IF(C7118&amp;G7118&amp;D7118&lt;&gt;'Funnel setup'!$K$3&amp;'Funnel setup'!$K$4&amp;'Funnel setup'!$K$6,".",IF(A7117=".",1,A7117+1))</f>
        <v>.</v>
      </c>
      <c r="B7118" s="244" t="str">
        <f t="shared" si="111"/>
        <v/>
      </c>
    </row>
    <row r="7119" spans="1:2" x14ac:dyDescent="0.25">
      <c r="A7119" t="str">
        <f>IF(C7119&amp;G7119&amp;D7119&lt;&gt;'Funnel setup'!$K$3&amp;'Funnel setup'!$K$4&amp;'Funnel setup'!$K$6,".",IF(A7118=".",1,A7118+1))</f>
        <v>.</v>
      </c>
      <c r="B7119" s="244" t="str">
        <f t="shared" si="111"/>
        <v/>
      </c>
    </row>
    <row r="7120" spans="1:2" x14ac:dyDescent="0.25">
      <c r="A7120" t="str">
        <f>IF(C7120&amp;G7120&amp;D7120&lt;&gt;'Funnel setup'!$K$3&amp;'Funnel setup'!$K$4&amp;'Funnel setup'!$K$6,".",IF(A7119=".",1,A7119+1))</f>
        <v>.</v>
      </c>
      <c r="B7120" s="244" t="str">
        <f t="shared" si="111"/>
        <v/>
      </c>
    </row>
    <row r="7121" spans="1:2" x14ac:dyDescent="0.25">
      <c r="A7121" t="str">
        <f>IF(C7121&amp;G7121&amp;D7121&lt;&gt;'Funnel setup'!$K$3&amp;'Funnel setup'!$K$4&amp;'Funnel setup'!$K$6,".",IF(A7120=".",1,A7120+1))</f>
        <v>.</v>
      </c>
      <c r="B7121" s="244" t="str">
        <f t="shared" si="111"/>
        <v/>
      </c>
    </row>
    <row r="7122" spans="1:2" x14ac:dyDescent="0.25">
      <c r="A7122" t="str">
        <f>IF(C7122&amp;G7122&amp;D7122&lt;&gt;'Funnel setup'!$K$3&amp;'Funnel setup'!$K$4&amp;'Funnel setup'!$K$6,".",IF(A7121=".",1,A7121+1))</f>
        <v>.</v>
      </c>
      <c r="B7122" s="244" t="str">
        <f t="shared" si="111"/>
        <v/>
      </c>
    </row>
    <row r="7123" spans="1:2" x14ac:dyDescent="0.25">
      <c r="A7123" t="str">
        <f>IF(C7123&amp;G7123&amp;D7123&lt;&gt;'Funnel setup'!$K$3&amp;'Funnel setup'!$K$4&amp;'Funnel setup'!$K$6,".",IF(A7122=".",1,A7122+1))</f>
        <v>.</v>
      </c>
      <c r="B7123" s="244" t="str">
        <f t="shared" si="111"/>
        <v/>
      </c>
    </row>
    <row r="7124" spans="1:2" x14ac:dyDescent="0.25">
      <c r="A7124" t="str">
        <f>IF(C7124&amp;G7124&amp;D7124&lt;&gt;'Funnel setup'!$K$3&amp;'Funnel setup'!$K$4&amp;'Funnel setup'!$K$6,".",IF(A7123=".",1,A7123+1))</f>
        <v>.</v>
      </c>
      <c r="B7124" s="244" t="str">
        <f t="shared" si="111"/>
        <v/>
      </c>
    </row>
    <row r="7125" spans="1:2" x14ac:dyDescent="0.25">
      <c r="A7125" t="str">
        <f>IF(C7125&amp;G7125&amp;D7125&lt;&gt;'Funnel setup'!$K$3&amp;'Funnel setup'!$K$4&amp;'Funnel setup'!$K$6,".",IF(A7124=".",1,A7124+1))</f>
        <v>.</v>
      </c>
      <c r="B7125" s="244" t="str">
        <f t="shared" si="111"/>
        <v/>
      </c>
    </row>
    <row r="7126" spans="1:2" x14ac:dyDescent="0.25">
      <c r="A7126" t="str">
        <f>IF(C7126&amp;G7126&amp;D7126&lt;&gt;'Funnel setup'!$K$3&amp;'Funnel setup'!$K$4&amp;'Funnel setup'!$K$6,".",IF(A7125=".",1,A7125+1))</f>
        <v>.</v>
      </c>
      <c r="B7126" s="244" t="str">
        <f t="shared" si="111"/>
        <v/>
      </c>
    </row>
    <row r="7127" spans="1:2" x14ac:dyDescent="0.25">
      <c r="A7127" t="str">
        <f>IF(C7127&amp;G7127&amp;D7127&lt;&gt;'Funnel setup'!$K$3&amp;'Funnel setup'!$K$4&amp;'Funnel setup'!$K$6,".",IF(A7126=".",1,A7126+1))</f>
        <v>.</v>
      </c>
      <c r="B7127" s="244" t="str">
        <f t="shared" si="111"/>
        <v/>
      </c>
    </row>
    <row r="7128" spans="1:2" x14ac:dyDescent="0.25">
      <c r="A7128" t="str">
        <f>IF(C7128&amp;G7128&amp;D7128&lt;&gt;'Funnel setup'!$K$3&amp;'Funnel setup'!$K$4&amp;'Funnel setup'!$K$6,".",IF(A7127=".",1,A7127+1))</f>
        <v>.</v>
      </c>
      <c r="B7128" s="244" t="str">
        <f t="shared" si="111"/>
        <v/>
      </c>
    </row>
    <row r="7129" spans="1:2" x14ac:dyDescent="0.25">
      <c r="A7129" t="str">
        <f>IF(C7129&amp;G7129&amp;D7129&lt;&gt;'Funnel setup'!$K$3&amp;'Funnel setup'!$K$4&amp;'Funnel setup'!$K$6,".",IF(A7128=".",1,A7128+1))</f>
        <v>.</v>
      </c>
      <c r="B7129" s="244" t="str">
        <f t="shared" si="111"/>
        <v/>
      </c>
    </row>
    <row r="7130" spans="1:2" x14ac:dyDescent="0.25">
      <c r="A7130" t="str">
        <f>IF(C7130&amp;G7130&amp;D7130&lt;&gt;'Funnel setup'!$K$3&amp;'Funnel setup'!$K$4&amp;'Funnel setup'!$K$6,".",IF(A7129=".",1,A7129+1))</f>
        <v>.</v>
      </c>
      <c r="B7130" s="244" t="str">
        <f t="shared" si="111"/>
        <v/>
      </c>
    </row>
    <row r="7131" spans="1:2" x14ac:dyDescent="0.25">
      <c r="A7131" t="str">
        <f>IF(C7131&amp;G7131&amp;D7131&lt;&gt;'Funnel setup'!$K$3&amp;'Funnel setup'!$K$4&amp;'Funnel setup'!$K$6,".",IF(A7130=".",1,A7130+1))</f>
        <v>.</v>
      </c>
      <c r="B7131" s="244" t="str">
        <f t="shared" si="111"/>
        <v/>
      </c>
    </row>
    <row r="7132" spans="1:2" x14ac:dyDescent="0.25">
      <c r="A7132" t="str">
        <f>IF(C7132&amp;G7132&amp;D7132&lt;&gt;'Funnel setup'!$K$3&amp;'Funnel setup'!$K$4&amp;'Funnel setup'!$K$6,".",IF(A7131=".",1,A7131+1))</f>
        <v>.</v>
      </c>
      <c r="B7132" s="244" t="str">
        <f t="shared" si="111"/>
        <v/>
      </c>
    </row>
    <row r="7133" spans="1:2" x14ac:dyDescent="0.25">
      <c r="A7133" t="str">
        <f>IF(C7133&amp;G7133&amp;D7133&lt;&gt;'Funnel setup'!$K$3&amp;'Funnel setup'!$K$4&amp;'Funnel setup'!$K$6,".",IF(A7132=".",1,A7132+1))</f>
        <v>.</v>
      </c>
      <c r="B7133" s="244" t="str">
        <f t="shared" si="111"/>
        <v/>
      </c>
    </row>
    <row r="7134" spans="1:2" x14ac:dyDescent="0.25">
      <c r="A7134" t="str">
        <f>IF(C7134&amp;G7134&amp;D7134&lt;&gt;'Funnel setup'!$K$3&amp;'Funnel setup'!$K$4&amp;'Funnel setup'!$K$6,".",IF(A7133=".",1,A7133+1))</f>
        <v>.</v>
      </c>
      <c r="B7134" s="244" t="str">
        <f t="shared" si="111"/>
        <v/>
      </c>
    </row>
    <row r="7135" spans="1:2" x14ac:dyDescent="0.25">
      <c r="A7135" t="str">
        <f>IF(C7135&amp;G7135&amp;D7135&lt;&gt;'Funnel setup'!$K$3&amp;'Funnel setup'!$K$4&amp;'Funnel setup'!$K$6,".",IF(A7134=".",1,A7134+1))</f>
        <v>.</v>
      </c>
      <c r="B7135" s="244" t="str">
        <f t="shared" si="111"/>
        <v/>
      </c>
    </row>
    <row r="7136" spans="1:2" x14ac:dyDescent="0.25">
      <c r="A7136" t="str">
        <f>IF(C7136&amp;G7136&amp;D7136&lt;&gt;'Funnel setup'!$K$3&amp;'Funnel setup'!$K$4&amp;'Funnel setup'!$K$6,".",IF(A7135=".",1,A7135+1))</f>
        <v>.</v>
      </c>
      <c r="B7136" s="244" t="str">
        <f t="shared" si="111"/>
        <v/>
      </c>
    </row>
    <row r="7137" spans="1:2" x14ac:dyDescent="0.25">
      <c r="A7137" t="str">
        <f>IF(C7137&amp;G7137&amp;D7137&lt;&gt;'Funnel setup'!$K$3&amp;'Funnel setup'!$K$4&amp;'Funnel setup'!$K$6,".",IF(A7136=".",1,A7136+1))</f>
        <v>.</v>
      </c>
      <c r="B7137" s="244" t="str">
        <f t="shared" si="111"/>
        <v/>
      </c>
    </row>
    <row r="7138" spans="1:2" x14ac:dyDescent="0.25">
      <c r="A7138" t="str">
        <f>IF(C7138&amp;G7138&amp;D7138&lt;&gt;'Funnel setup'!$K$3&amp;'Funnel setup'!$K$4&amp;'Funnel setup'!$K$6,".",IF(A7137=".",1,A7137+1))</f>
        <v>.</v>
      </c>
      <c r="B7138" s="244" t="str">
        <f t="shared" si="111"/>
        <v/>
      </c>
    </row>
    <row r="7139" spans="1:2" x14ac:dyDescent="0.25">
      <c r="A7139" t="str">
        <f>IF(C7139&amp;G7139&amp;D7139&lt;&gt;'Funnel setup'!$K$3&amp;'Funnel setup'!$K$4&amp;'Funnel setup'!$K$6,".",IF(A7138=".",1,A7138+1))</f>
        <v>.</v>
      </c>
      <c r="B7139" s="244" t="str">
        <f t="shared" si="111"/>
        <v/>
      </c>
    </row>
    <row r="7140" spans="1:2" x14ac:dyDescent="0.25">
      <c r="A7140" t="str">
        <f>IF(C7140&amp;G7140&amp;D7140&lt;&gt;'Funnel setup'!$K$3&amp;'Funnel setup'!$K$4&amp;'Funnel setup'!$K$6,".",IF(A7139=".",1,A7139+1))</f>
        <v>.</v>
      </c>
      <c r="B7140" s="244" t="str">
        <f t="shared" si="111"/>
        <v/>
      </c>
    </row>
    <row r="7141" spans="1:2" x14ac:dyDescent="0.25">
      <c r="A7141" t="str">
        <f>IF(C7141&amp;G7141&amp;D7141&lt;&gt;'Funnel setup'!$K$3&amp;'Funnel setup'!$K$4&amp;'Funnel setup'!$K$6,".",IF(A7140=".",1,A7140+1))</f>
        <v>.</v>
      </c>
      <c r="B7141" s="244" t="str">
        <f t="shared" si="111"/>
        <v/>
      </c>
    </row>
    <row r="7142" spans="1:2" x14ac:dyDescent="0.25">
      <c r="A7142" t="str">
        <f>IF(C7142&amp;G7142&amp;D7142&lt;&gt;'Funnel setup'!$K$3&amp;'Funnel setup'!$K$4&amp;'Funnel setup'!$K$6,".",IF(A7141=".",1,A7141+1))</f>
        <v>.</v>
      </c>
      <c r="B7142" s="244" t="str">
        <f t="shared" si="111"/>
        <v/>
      </c>
    </row>
    <row r="7143" spans="1:2" x14ac:dyDescent="0.25">
      <c r="A7143" t="str">
        <f>IF(C7143&amp;G7143&amp;D7143&lt;&gt;'Funnel setup'!$K$3&amp;'Funnel setup'!$K$4&amp;'Funnel setup'!$K$6,".",IF(A7142=".",1,A7142+1))</f>
        <v>.</v>
      </c>
      <c r="B7143" s="244" t="str">
        <f t="shared" si="111"/>
        <v/>
      </c>
    </row>
    <row r="7144" spans="1:2" x14ac:dyDescent="0.25">
      <c r="A7144" t="str">
        <f>IF(C7144&amp;G7144&amp;D7144&lt;&gt;'Funnel setup'!$K$3&amp;'Funnel setup'!$K$4&amp;'Funnel setup'!$K$6,".",IF(A7143=".",1,A7143+1))</f>
        <v>.</v>
      </c>
      <c r="B7144" s="244" t="str">
        <f t="shared" si="111"/>
        <v/>
      </c>
    </row>
    <row r="7145" spans="1:2" x14ac:dyDescent="0.25">
      <c r="A7145" t="str">
        <f>IF(C7145&amp;G7145&amp;D7145&lt;&gt;'Funnel setup'!$K$3&amp;'Funnel setup'!$K$4&amp;'Funnel setup'!$K$6,".",IF(A7144=".",1,A7144+1))</f>
        <v>.</v>
      </c>
      <c r="B7145" s="244" t="str">
        <f t="shared" si="111"/>
        <v/>
      </c>
    </row>
    <row r="7146" spans="1:2" x14ac:dyDescent="0.25">
      <c r="A7146" t="str">
        <f>IF(C7146&amp;G7146&amp;D7146&lt;&gt;'Funnel setup'!$K$3&amp;'Funnel setup'!$K$4&amp;'Funnel setup'!$K$6,".",IF(A7145=".",1,A7145+1))</f>
        <v>.</v>
      </c>
      <c r="B7146" s="244" t="str">
        <f t="shared" si="111"/>
        <v/>
      </c>
    </row>
    <row r="7147" spans="1:2" x14ac:dyDescent="0.25">
      <c r="A7147" t="str">
        <f>IF(C7147&amp;G7147&amp;D7147&lt;&gt;'Funnel setup'!$K$3&amp;'Funnel setup'!$K$4&amp;'Funnel setup'!$K$6,".",IF(A7146=".",1,A7146+1))</f>
        <v>.</v>
      </c>
      <c r="B7147" s="244" t="str">
        <f t="shared" si="111"/>
        <v/>
      </c>
    </row>
    <row r="7148" spans="1:2" x14ac:dyDescent="0.25">
      <c r="A7148" t="str">
        <f>IF(C7148&amp;G7148&amp;D7148&lt;&gt;'Funnel setup'!$K$3&amp;'Funnel setup'!$K$4&amp;'Funnel setup'!$K$6,".",IF(A7147=".",1,A7147+1))</f>
        <v>.</v>
      </c>
      <c r="B7148" s="244" t="str">
        <f t="shared" si="111"/>
        <v/>
      </c>
    </row>
    <row r="7149" spans="1:2" x14ac:dyDescent="0.25">
      <c r="A7149" t="str">
        <f>IF(C7149&amp;G7149&amp;D7149&lt;&gt;'Funnel setup'!$K$3&amp;'Funnel setup'!$K$4&amp;'Funnel setup'!$K$6,".",IF(A7148=".",1,A7148+1))</f>
        <v>.</v>
      </c>
      <c r="B7149" s="244" t="str">
        <f t="shared" si="111"/>
        <v/>
      </c>
    </row>
    <row r="7150" spans="1:2" x14ac:dyDescent="0.25">
      <c r="A7150" t="str">
        <f>IF(C7150&amp;G7150&amp;D7150&lt;&gt;'Funnel setup'!$K$3&amp;'Funnel setup'!$K$4&amp;'Funnel setup'!$K$6,".",IF(A7149=".",1,A7149+1))</f>
        <v>.</v>
      </c>
      <c r="B7150" s="244" t="str">
        <f t="shared" si="111"/>
        <v/>
      </c>
    </row>
    <row r="7151" spans="1:2" x14ac:dyDescent="0.25">
      <c r="A7151" t="str">
        <f>IF(C7151&amp;G7151&amp;D7151&lt;&gt;'Funnel setup'!$K$3&amp;'Funnel setup'!$K$4&amp;'Funnel setup'!$K$6,".",IF(A7150=".",1,A7150+1))</f>
        <v>.</v>
      </c>
      <c r="B7151" s="244" t="str">
        <f t="shared" si="111"/>
        <v/>
      </c>
    </row>
    <row r="7152" spans="1:2" x14ac:dyDescent="0.25">
      <c r="A7152" t="str">
        <f>IF(C7152&amp;G7152&amp;D7152&lt;&gt;'Funnel setup'!$K$3&amp;'Funnel setup'!$K$4&amp;'Funnel setup'!$K$6,".",IF(A7151=".",1,A7151+1))</f>
        <v>.</v>
      </c>
      <c r="B7152" s="244" t="str">
        <f t="shared" si="111"/>
        <v/>
      </c>
    </row>
    <row r="7153" spans="1:2" x14ac:dyDescent="0.25">
      <c r="A7153" t="str">
        <f>IF(C7153&amp;G7153&amp;D7153&lt;&gt;'Funnel setup'!$K$3&amp;'Funnel setup'!$K$4&amp;'Funnel setup'!$K$6,".",IF(A7152=".",1,A7152+1))</f>
        <v>.</v>
      </c>
      <c r="B7153" s="244" t="str">
        <f t="shared" si="111"/>
        <v/>
      </c>
    </row>
    <row r="7154" spans="1:2" x14ac:dyDescent="0.25">
      <c r="A7154" t="str">
        <f>IF(C7154&amp;G7154&amp;D7154&lt;&gt;'Funnel setup'!$K$3&amp;'Funnel setup'!$K$4&amp;'Funnel setup'!$K$6,".",IF(A7153=".",1,A7153+1))</f>
        <v>.</v>
      </c>
      <c r="B7154" s="244" t="str">
        <f t="shared" si="111"/>
        <v/>
      </c>
    </row>
    <row r="7155" spans="1:2" x14ac:dyDescent="0.25">
      <c r="A7155" t="str">
        <f>IF(C7155&amp;G7155&amp;D7155&lt;&gt;'Funnel setup'!$K$3&amp;'Funnel setup'!$K$4&amp;'Funnel setup'!$K$6,".",IF(A7154=".",1,A7154+1))</f>
        <v>.</v>
      </c>
      <c r="B7155" s="244" t="str">
        <f t="shared" si="111"/>
        <v/>
      </c>
    </row>
    <row r="7156" spans="1:2" x14ac:dyDescent="0.25">
      <c r="A7156" t="str">
        <f>IF(C7156&amp;G7156&amp;D7156&lt;&gt;'Funnel setup'!$K$3&amp;'Funnel setup'!$K$4&amp;'Funnel setup'!$K$6,".",IF(A7155=".",1,A7155+1))</f>
        <v>.</v>
      </c>
      <c r="B7156" s="244" t="str">
        <f t="shared" si="111"/>
        <v/>
      </c>
    </row>
    <row r="7157" spans="1:2" x14ac:dyDescent="0.25">
      <c r="A7157" t="str">
        <f>IF(C7157&amp;G7157&amp;D7157&lt;&gt;'Funnel setup'!$K$3&amp;'Funnel setup'!$K$4&amp;'Funnel setup'!$K$6,".",IF(A7156=".",1,A7156+1))</f>
        <v>.</v>
      </c>
      <c r="B7157" s="244" t="str">
        <f t="shared" si="111"/>
        <v/>
      </c>
    </row>
    <row r="7158" spans="1:2" x14ac:dyDescent="0.25">
      <c r="A7158" t="str">
        <f>IF(C7158&amp;G7158&amp;D7158&lt;&gt;'Funnel setup'!$K$3&amp;'Funnel setup'!$K$4&amp;'Funnel setup'!$K$6,".",IF(A7157=".",1,A7157+1))</f>
        <v>.</v>
      </c>
      <c r="B7158" s="244" t="str">
        <f t="shared" si="111"/>
        <v/>
      </c>
    </row>
    <row r="7159" spans="1:2" x14ac:dyDescent="0.25">
      <c r="A7159" t="str">
        <f>IF(C7159&amp;G7159&amp;D7159&lt;&gt;'Funnel setup'!$K$3&amp;'Funnel setup'!$K$4&amp;'Funnel setup'!$K$6,".",IF(A7158=".",1,A7158+1))</f>
        <v>.</v>
      </c>
      <c r="B7159" s="244" t="str">
        <f t="shared" si="111"/>
        <v/>
      </c>
    </row>
    <row r="7160" spans="1:2" x14ac:dyDescent="0.25">
      <c r="A7160" t="str">
        <f>IF(C7160&amp;G7160&amp;D7160&lt;&gt;'Funnel setup'!$K$3&amp;'Funnel setup'!$K$4&amp;'Funnel setup'!$K$6,".",IF(A7159=".",1,A7159+1))</f>
        <v>.</v>
      </c>
      <c r="B7160" s="244" t="str">
        <f t="shared" si="111"/>
        <v/>
      </c>
    </row>
    <row r="7161" spans="1:2" x14ac:dyDescent="0.25">
      <c r="A7161" t="str">
        <f>IF(C7161&amp;G7161&amp;D7161&lt;&gt;'Funnel setup'!$K$3&amp;'Funnel setup'!$K$4&amp;'Funnel setup'!$K$6,".",IF(A7160=".",1,A7160+1))</f>
        <v>.</v>
      </c>
      <c r="B7161" s="244" t="str">
        <f t="shared" si="111"/>
        <v/>
      </c>
    </row>
    <row r="7162" spans="1:2" x14ac:dyDescent="0.25">
      <c r="A7162" t="str">
        <f>IF(C7162&amp;G7162&amp;D7162&lt;&gt;'Funnel setup'!$K$3&amp;'Funnel setup'!$K$4&amp;'Funnel setup'!$K$6,".",IF(A7161=".",1,A7161+1))</f>
        <v>.</v>
      </c>
      <c r="B7162" s="244" t="str">
        <f t="shared" si="111"/>
        <v/>
      </c>
    </row>
    <row r="7163" spans="1:2" x14ac:dyDescent="0.25">
      <c r="A7163" t="str">
        <f>IF(C7163&amp;G7163&amp;D7163&lt;&gt;'Funnel setup'!$K$3&amp;'Funnel setup'!$K$4&amp;'Funnel setup'!$K$6,".",IF(A7162=".",1,A7162+1))</f>
        <v>.</v>
      </c>
      <c r="B7163" s="244" t="str">
        <f t="shared" si="111"/>
        <v/>
      </c>
    </row>
    <row r="7164" spans="1:2" x14ac:dyDescent="0.25">
      <c r="A7164" t="str">
        <f>IF(C7164&amp;G7164&amp;D7164&lt;&gt;'Funnel setup'!$K$3&amp;'Funnel setup'!$K$4&amp;'Funnel setup'!$K$6,".",IF(A7163=".",1,A7163+1))</f>
        <v>.</v>
      </c>
      <c r="B7164" s="244" t="str">
        <f t="shared" si="111"/>
        <v/>
      </c>
    </row>
    <row r="7165" spans="1:2" x14ac:dyDescent="0.25">
      <c r="A7165" t="str">
        <f>IF(C7165&amp;G7165&amp;D7165&lt;&gt;'Funnel setup'!$K$3&amp;'Funnel setup'!$K$4&amp;'Funnel setup'!$K$6,".",IF(A7164=".",1,A7164+1))</f>
        <v>.</v>
      </c>
      <c r="B7165" s="244" t="str">
        <f t="shared" si="111"/>
        <v/>
      </c>
    </row>
    <row r="7166" spans="1:2" x14ac:dyDescent="0.25">
      <c r="A7166" t="str">
        <f>IF(C7166&amp;G7166&amp;D7166&lt;&gt;'Funnel setup'!$K$3&amp;'Funnel setup'!$K$4&amp;'Funnel setup'!$K$6,".",IF(A7165=".",1,A7165+1))</f>
        <v>.</v>
      </c>
      <c r="B7166" s="244" t="str">
        <f t="shared" si="111"/>
        <v/>
      </c>
    </row>
    <row r="7167" spans="1:2" x14ac:dyDescent="0.25">
      <c r="A7167" t="str">
        <f>IF(C7167&amp;G7167&amp;D7167&lt;&gt;'Funnel setup'!$K$3&amp;'Funnel setup'!$K$4&amp;'Funnel setup'!$K$6,".",IF(A7166=".",1,A7166+1))</f>
        <v>.</v>
      </c>
      <c r="B7167" s="244" t="str">
        <f t="shared" si="111"/>
        <v/>
      </c>
    </row>
    <row r="7168" spans="1:2" x14ac:dyDescent="0.25">
      <c r="A7168" t="str">
        <f>IF(C7168&amp;G7168&amp;D7168&lt;&gt;'Funnel setup'!$K$3&amp;'Funnel setup'!$K$4&amp;'Funnel setup'!$K$6,".",IF(A7167=".",1,A7167+1))</f>
        <v>.</v>
      </c>
      <c r="B7168" s="244" t="str">
        <f t="shared" si="111"/>
        <v/>
      </c>
    </row>
    <row r="7169" spans="1:2" x14ac:dyDescent="0.25">
      <c r="A7169" t="str">
        <f>IF(C7169&amp;G7169&amp;D7169&lt;&gt;'Funnel setup'!$K$3&amp;'Funnel setup'!$K$4&amp;'Funnel setup'!$K$6,".",IF(A7168=".",1,A7168+1))</f>
        <v>.</v>
      </c>
      <c r="B7169" s="244" t="str">
        <f t="shared" si="111"/>
        <v/>
      </c>
    </row>
    <row r="7170" spans="1:2" x14ac:dyDescent="0.25">
      <c r="A7170" t="str">
        <f>IF(C7170&amp;G7170&amp;D7170&lt;&gt;'Funnel setup'!$K$3&amp;'Funnel setup'!$K$4&amp;'Funnel setup'!$K$6,".",IF(A7169=".",1,A7169+1))</f>
        <v>.</v>
      </c>
      <c r="B7170" s="244" t="str">
        <f t="shared" ref="B7170:B7233" si="112">C7170&amp;D7170&amp;F7170&amp;G7170</f>
        <v/>
      </c>
    </row>
    <row r="7171" spans="1:2" x14ac:dyDescent="0.25">
      <c r="A7171" t="str">
        <f>IF(C7171&amp;G7171&amp;D7171&lt;&gt;'Funnel setup'!$K$3&amp;'Funnel setup'!$K$4&amp;'Funnel setup'!$K$6,".",IF(A7170=".",1,A7170+1))</f>
        <v>.</v>
      </c>
      <c r="B7171" s="244" t="str">
        <f t="shared" si="112"/>
        <v/>
      </c>
    </row>
    <row r="7172" spans="1:2" x14ac:dyDescent="0.25">
      <c r="A7172" t="str">
        <f>IF(C7172&amp;G7172&amp;D7172&lt;&gt;'Funnel setup'!$K$3&amp;'Funnel setup'!$K$4&amp;'Funnel setup'!$K$6,".",IF(A7171=".",1,A7171+1))</f>
        <v>.</v>
      </c>
      <c r="B7172" s="244" t="str">
        <f t="shared" si="112"/>
        <v/>
      </c>
    </row>
    <row r="7173" spans="1:2" x14ac:dyDescent="0.25">
      <c r="A7173" t="str">
        <f>IF(C7173&amp;G7173&amp;D7173&lt;&gt;'Funnel setup'!$K$3&amp;'Funnel setup'!$K$4&amp;'Funnel setup'!$K$6,".",IF(A7172=".",1,A7172+1))</f>
        <v>.</v>
      </c>
      <c r="B7173" s="244" t="str">
        <f t="shared" si="112"/>
        <v/>
      </c>
    </row>
    <row r="7174" spans="1:2" x14ac:dyDescent="0.25">
      <c r="A7174" t="str">
        <f>IF(C7174&amp;G7174&amp;D7174&lt;&gt;'Funnel setup'!$K$3&amp;'Funnel setup'!$K$4&amp;'Funnel setup'!$K$6,".",IF(A7173=".",1,A7173+1))</f>
        <v>.</v>
      </c>
      <c r="B7174" s="244" t="str">
        <f t="shared" si="112"/>
        <v/>
      </c>
    </row>
    <row r="7175" spans="1:2" x14ac:dyDescent="0.25">
      <c r="A7175" t="str">
        <f>IF(C7175&amp;G7175&amp;D7175&lt;&gt;'Funnel setup'!$K$3&amp;'Funnel setup'!$K$4&amp;'Funnel setup'!$K$6,".",IF(A7174=".",1,A7174+1))</f>
        <v>.</v>
      </c>
      <c r="B7175" s="244" t="str">
        <f t="shared" si="112"/>
        <v/>
      </c>
    </row>
    <row r="7176" spans="1:2" x14ac:dyDescent="0.25">
      <c r="A7176" t="str">
        <f>IF(C7176&amp;G7176&amp;D7176&lt;&gt;'Funnel setup'!$K$3&amp;'Funnel setup'!$K$4&amp;'Funnel setup'!$K$6,".",IF(A7175=".",1,A7175+1))</f>
        <v>.</v>
      </c>
      <c r="B7176" s="244" t="str">
        <f t="shared" si="112"/>
        <v/>
      </c>
    </row>
    <row r="7177" spans="1:2" x14ac:dyDescent="0.25">
      <c r="A7177" t="str">
        <f>IF(C7177&amp;G7177&amp;D7177&lt;&gt;'Funnel setup'!$K$3&amp;'Funnel setup'!$K$4&amp;'Funnel setup'!$K$6,".",IF(A7176=".",1,A7176+1))</f>
        <v>.</v>
      </c>
      <c r="B7177" s="244" t="str">
        <f t="shared" si="112"/>
        <v/>
      </c>
    </row>
    <row r="7178" spans="1:2" x14ac:dyDescent="0.25">
      <c r="A7178" t="str">
        <f>IF(C7178&amp;G7178&amp;D7178&lt;&gt;'Funnel setup'!$K$3&amp;'Funnel setup'!$K$4&amp;'Funnel setup'!$K$6,".",IF(A7177=".",1,A7177+1))</f>
        <v>.</v>
      </c>
      <c r="B7178" s="244" t="str">
        <f t="shared" si="112"/>
        <v/>
      </c>
    </row>
    <row r="7179" spans="1:2" x14ac:dyDescent="0.25">
      <c r="A7179" t="str">
        <f>IF(C7179&amp;G7179&amp;D7179&lt;&gt;'Funnel setup'!$K$3&amp;'Funnel setup'!$K$4&amp;'Funnel setup'!$K$6,".",IF(A7178=".",1,A7178+1))</f>
        <v>.</v>
      </c>
      <c r="B7179" s="244" t="str">
        <f t="shared" si="112"/>
        <v/>
      </c>
    </row>
    <row r="7180" spans="1:2" x14ac:dyDescent="0.25">
      <c r="A7180" t="str">
        <f>IF(C7180&amp;G7180&amp;D7180&lt;&gt;'Funnel setup'!$K$3&amp;'Funnel setup'!$K$4&amp;'Funnel setup'!$K$6,".",IF(A7179=".",1,A7179+1))</f>
        <v>.</v>
      </c>
      <c r="B7180" s="244" t="str">
        <f t="shared" si="112"/>
        <v/>
      </c>
    </row>
    <row r="7181" spans="1:2" x14ac:dyDescent="0.25">
      <c r="A7181" t="str">
        <f>IF(C7181&amp;G7181&amp;D7181&lt;&gt;'Funnel setup'!$K$3&amp;'Funnel setup'!$K$4&amp;'Funnel setup'!$K$6,".",IF(A7180=".",1,A7180+1))</f>
        <v>.</v>
      </c>
      <c r="B7181" s="244" t="str">
        <f t="shared" si="112"/>
        <v/>
      </c>
    </row>
    <row r="7182" spans="1:2" x14ac:dyDescent="0.25">
      <c r="A7182" t="str">
        <f>IF(C7182&amp;G7182&amp;D7182&lt;&gt;'Funnel setup'!$K$3&amp;'Funnel setup'!$K$4&amp;'Funnel setup'!$K$6,".",IF(A7181=".",1,A7181+1))</f>
        <v>.</v>
      </c>
      <c r="B7182" s="244" t="str">
        <f t="shared" si="112"/>
        <v/>
      </c>
    </row>
    <row r="7183" spans="1:2" x14ac:dyDescent="0.25">
      <c r="A7183" t="str">
        <f>IF(C7183&amp;G7183&amp;D7183&lt;&gt;'Funnel setup'!$K$3&amp;'Funnel setup'!$K$4&amp;'Funnel setup'!$K$6,".",IF(A7182=".",1,A7182+1))</f>
        <v>.</v>
      </c>
      <c r="B7183" s="244" t="str">
        <f t="shared" si="112"/>
        <v/>
      </c>
    </row>
    <row r="7184" spans="1:2" x14ac:dyDescent="0.25">
      <c r="A7184" t="str">
        <f>IF(C7184&amp;G7184&amp;D7184&lt;&gt;'Funnel setup'!$K$3&amp;'Funnel setup'!$K$4&amp;'Funnel setup'!$K$6,".",IF(A7183=".",1,A7183+1))</f>
        <v>.</v>
      </c>
      <c r="B7184" s="244" t="str">
        <f t="shared" si="112"/>
        <v/>
      </c>
    </row>
    <row r="7185" spans="1:2" x14ac:dyDescent="0.25">
      <c r="A7185" t="str">
        <f>IF(C7185&amp;G7185&amp;D7185&lt;&gt;'Funnel setup'!$K$3&amp;'Funnel setup'!$K$4&amp;'Funnel setup'!$K$6,".",IF(A7184=".",1,A7184+1))</f>
        <v>.</v>
      </c>
      <c r="B7185" s="244" t="str">
        <f t="shared" si="112"/>
        <v/>
      </c>
    </row>
    <row r="7186" spans="1:2" x14ac:dyDescent="0.25">
      <c r="A7186" t="str">
        <f>IF(C7186&amp;G7186&amp;D7186&lt;&gt;'Funnel setup'!$K$3&amp;'Funnel setup'!$K$4&amp;'Funnel setup'!$K$6,".",IF(A7185=".",1,A7185+1))</f>
        <v>.</v>
      </c>
      <c r="B7186" s="244" t="str">
        <f t="shared" si="112"/>
        <v/>
      </c>
    </row>
    <row r="7187" spans="1:2" x14ac:dyDescent="0.25">
      <c r="A7187" t="str">
        <f>IF(C7187&amp;G7187&amp;D7187&lt;&gt;'Funnel setup'!$K$3&amp;'Funnel setup'!$K$4&amp;'Funnel setup'!$K$6,".",IF(A7186=".",1,A7186+1))</f>
        <v>.</v>
      </c>
      <c r="B7187" s="244" t="str">
        <f t="shared" si="112"/>
        <v/>
      </c>
    </row>
    <row r="7188" spans="1:2" x14ac:dyDescent="0.25">
      <c r="A7188" t="str">
        <f>IF(C7188&amp;G7188&amp;D7188&lt;&gt;'Funnel setup'!$K$3&amp;'Funnel setup'!$K$4&amp;'Funnel setup'!$K$6,".",IF(A7187=".",1,A7187+1))</f>
        <v>.</v>
      </c>
      <c r="B7188" s="244" t="str">
        <f t="shared" si="112"/>
        <v/>
      </c>
    </row>
    <row r="7189" spans="1:2" x14ac:dyDescent="0.25">
      <c r="A7189" t="str">
        <f>IF(C7189&amp;G7189&amp;D7189&lt;&gt;'Funnel setup'!$K$3&amp;'Funnel setup'!$K$4&amp;'Funnel setup'!$K$6,".",IF(A7188=".",1,A7188+1))</f>
        <v>.</v>
      </c>
      <c r="B7189" s="244" t="str">
        <f t="shared" si="112"/>
        <v/>
      </c>
    </row>
    <row r="7190" spans="1:2" x14ac:dyDescent="0.25">
      <c r="A7190" t="str">
        <f>IF(C7190&amp;G7190&amp;D7190&lt;&gt;'Funnel setup'!$K$3&amp;'Funnel setup'!$K$4&amp;'Funnel setup'!$K$6,".",IF(A7189=".",1,A7189+1))</f>
        <v>.</v>
      </c>
      <c r="B7190" s="244" t="str">
        <f t="shared" si="112"/>
        <v/>
      </c>
    </row>
    <row r="7191" spans="1:2" x14ac:dyDescent="0.25">
      <c r="A7191" t="str">
        <f>IF(C7191&amp;G7191&amp;D7191&lt;&gt;'Funnel setup'!$K$3&amp;'Funnel setup'!$K$4&amp;'Funnel setup'!$K$6,".",IF(A7190=".",1,A7190+1))</f>
        <v>.</v>
      </c>
      <c r="B7191" s="244" t="str">
        <f t="shared" si="112"/>
        <v/>
      </c>
    </row>
    <row r="7192" spans="1:2" x14ac:dyDescent="0.25">
      <c r="A7192" t="str">
        <f>IF(C7192&amp;G7192&amp;D7192&lt;&gt;'Funnel setup'!$K$3&amp;'Funnel setup'!$K$4&amp;'Funnel setup'!$K$6,".",IF(A7191=".",1,A7191+1))</f>
        <v>.</v>
      </c>
      <c r="B7192" s="244" t="str">
        <f t="shared" si="112"/>
        <v/>
      </c>
    </row>
    <row r="7193" spans="1:2" x14ac:dyDescent="0.25">
      <c r="A7193" t="str">
        <f>IF(C7193&amp;G7193&amp;D7193&lt;&gt;'Funnel setup'!$K$3&amp;'Funnel setup'!$K$4&amp;'Funnel setup'!$K$6,".",IF(A7192=".",1,A7192+1))</f>
        <v>.</v>
      </c>
      <c r="B7193" s="244" t="str">
        <f t="shared" si="112"/>
        <v/>
      </c>
    </row>
    <row r="7194" spans="1:2" x14ac:dyDescent="0.25">
      <c r="A7194" t="str">
        <f>IF(C7194&amp;G7194&amp;D7194&lt;&gt;'Funnel setup'!$K$3&amp;'Funnel setup'!$K$4&amp;'Funnel setup'!$K$6,".",IF(A7193=".",1,A7193+1))</f>
        <v>.</v>
      </c>
      <c r="B7194" s="244" t="str">
        <f t="shared" si="112"/>
        <v/>
      </c>
    </row>
    <row r="7195" spans="1:2" x14ac:dyDescent="0.25">
      <c r="A7195" t="str">
        <f>IF(C7195&amp;G7195&amp;D7195&lt;&gt;'Funnel setup'!$K$3&amp;'Funnel setup'!$K$4&amp;'Funnel setup'!$K$6,".",IF(A7194=".",1,A7194+1))</f>
        <v>.</v>
      </c>
      <c r="B7195" s="244" t="str">
        <f t="shared" si="112"/>
        <v/>
      </c>
    </row>
    <row r="7196" spans="1:2" x14ac:dyDescent="0.25">
      <c r="A7196" t="str">
        <f>IF(C7196&amp;G7196&amp;D7196&lt;&gt;'Funnel setup'!$K$3&amp;'Funnel setup'!$K$4&amp;'Funnel setup'!$K$6,".",IF(A7195=".",1,A7195+1))</f>
        <v>.</v>
      </c>
      <c r="B7196" s="244" t="str">
        <f t="shared" si="112"/>
        <v/>
      </c>
    </row>
    <row r="7197" spans="1:2" x14ac:dyDescent="0.25">
      <c r="A7197" t="str">
        <f>IF(C7197&amp;G7197&amp;D7197&lt;&gt;'Funnel setup'!$K$3&amp;'Funnel setup'!$K$4&amp;'Funnel setup'!$K$6,".",IF(A7196=".",1,A7196+1))</f>
        <v>.</v>
      </c>
      <c r="B7197" s="244" t="str">
        <f t="shared" si="112"/>
        <v/>
      </c>
    </row>
    <row r="7198" spans="1:2" x14ac:dyDescent="0.25">
      <c r="A7198" t="str">
        <f>IF(C7198&amp;G7198&amp;D7198&lt;&gt;'Funnel setup'!$K$3&amp;'Funnel setup'!$K$4&amp;'Funnel setup'!$K$6,".",IF(A7197=".",1,A7197+1))</f>
        <v>.</v>
      </c>
      <c r="B7198" s="244" t="str">
        <f t="shared" si="112"/>
        <v/>
      </c>
    </row>
    <row r="7199" spans="1:2" x14ac:dyDescent="0.25">
      <c r="A7199" t="str">
        <f>IF(C7199&amp;G7199&amp;D7199&lt;&gt;'Funnel setup'!$K$3&amp;'Funnel setup'!$K$4&amp;'Funnel setup'!$K$6,".",IF(A7198=".",1,A7198+1))</f>
        <v>.</v>
      </c>
      <c r="B7199" s="244" t="str">
        <f t="shared" si="112"/>
        <v/>
      </c>
    </row>
    <row r="7200" spans="1:2" x14ac:dyDescent="0.25">
      <c r="A7200" t="str">
        <f>IF(C7200&amp;G7200&amp;D7200&lt;&gt;'Funnel setup'!$K$3&amp;'Funnel setup'!$K$4&amp;'Funnel setup'!$K$6,".",IF(A7199=".",1,A7199+1))</f>
        <v>.</v>
      </c>
      <c r="B7200" s="244" t="str">
        <f t="shared" si="112"/>
        <v/>
      </c>
    </row>
    <row r="7201" spans="1:2" x14ac:dyDescent="0.25">
      <c r="A7201" t="str">
        <f>IF(C7201&amp;G7201&amp;D7201&lt;&gt;'Funnel setup'!$K$3&amp;'Funnel setup'!$K$4&amp;'Funnel setup'!$K$6,".",IF(A7200=".",1,A7200+1))</f>
        <v>.</v>
      </c>
      <c r="B7201" s="244" t="str">
        <f t="shared" si="112"/>
        <v/>
      </c>
    </row>
    <row r="7202" spans="1:2" x14ac:dyDescent="0.25">
      <c r="A7202" t="str">
        <f>IF(C7202&amp;G7202&amp;D7202&lt;&gt;'Funnel setup'!$K$3&amp;'Funnel setup'!$K$4&amp;'Funnel setup'!$K$6,".",IF(A7201=".",1,A7201+1))</f>
        <v>.</v>
      </c>
      <c r="B7202" s="244" t="str">
        <f t="shared" si="112"/>
        <v/>
      </c>
    </row>
    <row r="7203" spans="1:2" x14ac:dyDescent="0.25">
      <c r="A7203" t="str">
        <f>IF(C7203&amp;G7203&amp;D7203&lt;&gt;'Funnel setup'!$K$3&amp;'Funnel setup'!$K$4&amp;'Funnel setup'!$K$6,".",IF(A7202=".",1,A7202+1))</f>
        <v>.</v>
      </c>
      <c r="B7203" s="244" t="str">
        <f t="shared" si="112"/>
        <v/>
      </c>
    </row>
    <row r="7204" spans="1:2" x14ac:dyDescent="0.25">
      <c r="A7204" t="str">
        <f>IF(C7204&amp;G7204&amp;D7204&lt;&gt;'Funnel setup'!$K$3&amp;'Funnel setup'!$K$4&amp;'Funnel setup'!$K$6,".",IF(A7203=".",1,A7203+1))</f>
        <v>.</v>
      </c>
      <c r="B7204" s="244" t="str">
        <f t="shared" si="112"/>
        <v/>
      </c>
    </row>
    <row r="7205" spans="1:2" x14ac:dyDescent="0.25">
      <c r="A7205" t="str">
        <f>IF(C7205&amp;G7205&amp;D7205&lt;&gt;'Funnel setup'!$K$3&amp;'Funnel setup'!$K$4&amp;'Funnel setup'!$K$6,".",IF(A7204=".",1,A7204+1))</f>
        <v>.</v>
      </c>
      <c r="B7205" s="244" t="str">
        <f t="shared" si="112"/>
        <v/>
      </c>
    </row>
    <row r="7206" spans="1:2" x14ac:dyDescent="0.25">
      <c r="A7206" t="str">
        <f>IF(C7206&amp;G7206&amp;D7206&lt;&gt;'Funnel setup'!$K$3&amp;'Funnel setup'!$K$4&amp;'Funnel setup'!$K$6,".",IF(A7205=".",1,A7205+1))</f>
        <v>.</v>
      </c>
      <c r="B7206" s="244" t="str">
        <f t="shared" si="112"/>
        <v/>
      </c>
    </row>
    <row r="7207" spans="1:2" x14ac:dyDescent="0.25">
      <c r="A7207" t="str">
        <f>IF(C7207&amp;G7207&amp;D7207&lt;&gt;'Funnel setup'!$K$3&amp;'Funnel setup'!$K$4&amp;'Funnel setup'!$K$6,".",IF(A7206=".",1,A7206+1))</f>
        <v>.</v>
      </c>
      <c r="B7207" s="244" t="str">
        <f t="shared" si="112"/>
        <v/>
      </c>
    </row>
    <row r="7208" spans="1:2" x14ac:dyDescent="0.25">
      <c r="A7208" t="str">
        <f>IF(C7208&amp;G7208&amp;D7208&lt;&gt;'Funnel setup'!$K$3&amp;'Funnel setup'!$K$4&amp;'Funnel setup'!$K$6,".",IF(A7207=".",1,A7207+1))</f>
        <v>.</v>
      </c>
      <c r="B7208" s="244" t="str">
        <f t="shared" si="112"/>
        <v/>
      </c>
    </row>
    <row r="7209" spans="1:2" x14ac:dyDescent="0.25">
      <c r="A7209" t="str">
        <f>IF(C7209&amp;G7209&amp;D7209&lt;&gt;'Funnel setup'!$K$3&amp;'Funnel setup'!$K$4&amp;'Funnel setup'!$K$6,".",IF(A7208=".",1,A7208+1))</f>
        <v>.</v>
      </c>
      <c r="B7209" s="244" t="str">
        <f t="shared" si="112"/>
        <v/>
      </c>
    </row>
    <row r="7210" spans="1:2" x14ac:dyDescent="0.25">
      <c r="A7210" t="str">
        <f>IF(C7210&amp;G7210&amp;D7210&lt;&gt;'Funnel setup'!$K$3&amp;'Funnel setup'!$K$4&amp;'Funnel setup'!$K$6,".",IF(A7209=".",1,A7209+1))</f>
        <v>.</v>
      </c>
      <c r="B7210" s="244" t="str">
        <f t="shared" si="112"/>
        <v/>
      </c>
    </row>
    <row r="7211" spans="1:2" x14ac:dyDescent="0.25">
      <c r="A7211" t="str">
        <f>IF(C7211&amp;G7211&amp;D7211&lt;&gt;'Funnel setup'!$K$3&amp;'Funnel setup'!$K$4&amp;'Funnel setup'!$K$6,".",IF(A7210=".",1,A7210+1))</f>
        <v>.</v>
      </c>
      <c r="B7211" s="244" t="str">
        <f t="shared" si="112"/>
        <v/>
      </c>
    </row>
    <row r="7212" spans="1:2" x14ac:dyDescent="0.25">
      <c r="A7212" t="str">
        <f>IF(C7212&amp;G7212&amp;D7212&lt;&gt;'Funnel setup'!$K$3&amp;'Funnel setup'!$K$4&amp;'Funnel setup'!$K$6,".",IF(A7211=".",1,A7211+1))</f>
        <v>.</v>
      </c>
      <c r="B7212" s="244" t="str">
        <f t="shared" si="112"/>
        <v/>
      </c>
    </row>
    <row r="7213" spans="1:2" x14ac:dyDescent="0.25">
      <c r="A7213" t="str">
        <f>IF(C7213&amp;G7213&amp;D7213&lt;&gt;'Funnel setup'!$K$3&amp;'Funnel setup'!$K$4&amp;'Funnel setup'!$K$6,".",IF(A7212=".",1,A7212+1))</f>
        <v>.</v>
      </c>
      <c r="B7213" s="244" t="str">
        <f t="shared" si="112"/>
        <v/>
      </c>
    </row>
    <row r="7214" spans="1:2" x14ac:dyDescent="0.25">
      <c r="A7214" t="str">
        <f>IF(C7214&amp;G7214&amp;D7214&lt;&gt;'Funnel setup'!$K$3&amp;'Funnel setup'!$K$4&amp;'Funnel setup'!$K$6,".",IF(A7213=".",1,A7213+1))</f>
        <v>.</v>
      </c>
      <c r="B7214" s="244" t="str">
        <f t="shared" si="112"/>
        <v/>
      </c>
    </row>
    <row r="7215" spans="1:2" x14ac:dyDescent="0.25">
      <c r="A7215" t="str">
        <f>IF(C7215&amp;G7215&amp;D7215&lt;&gt;'Funnel setup'!$K$3&amp;'Funnel setup'!$K$4&amp;'Funnel setup'!$K$6,".",IF(A7214=".",1,A7214+1))</f>
        <v>.</v>
      </c>
      <c r="B7215" s="244" t="str">
        <f t="shared" si="112"/>
        <v/>
      </c>
    </row>
    <row r="7216" spans="1:2" x14ac:dyDescent="0.25">
      <c r="A7216" t="str">
        <f>IF(C7216&amp;G7216&amp;D7216&lt;&gt;'Funnel setup'!$K$3&amp;'Funnel setup'!$K$4&amp;'Funnel setup'!$K$6,".",IF(A7215=".",1,A7215+1))</f>
        <v>.</v>
      </c>
      <c r="B7216" s="244" t="str">
        <f t="shared" si="112"/>
        <v/>
      </c>
    </row>
    <row r="7217" spans="1:2" x14ac:dyDescent="0.25">
      <c r="A7217" t="str">
        <f>IF(C7217&amp;G7217&amp;D7217&lt;&gt;'Funnel setup'!$K$3&amp;'Funnel setup'!$K$4&amp;'Funnel setup'!$K$6,".",IF(A7216=".",1,A7216+1))</f>
        <v>.</v>
      </c>
      <c r="B7217" s="244" t="str">
        <f t="shared" si="112"/>
        <v/>
      </c>
    </row>
    <row r="7218" spans="1:2" x14ac:dyDescent="0.25">
      <c r="A7218" t="str">
        <f>IF(C7218&amp;G7218&amp;D7218&lt;&gt;'Funnel setup'!$K$3&amp;'Funnel setup'!$K$4&amp;'Funnel setup'!$K$6,".",IF(A7217=".",1,A7217+1))</f>
        <v>.</v>
      </c>
      <c r="B7218" s="244" t="str">
        <f t="shared" si="112"/>
        <v/>
      </c>
    </row>
    <row r="7219" spans="1:2" x14ac:dyDescent="0.25">
      <c r="A7219" t="str">
        <f>IF(C7219&amp;G7219&amp;D7219&lt;&gt;'Funnel setup'!$K$3&amp;'Funnel setup'!$K$4&amp;'Funnel setup'!$K$6,".",IF(A7218=".",1,A7218+1))</f>
        <v>.</v>
      </c>
      <c r="B7219" s="244" t="str">
        <f t="shared" si="112"/>
        <v/>
      </c>
    </row>
    <row r="7220" spans="1:2" x14ac:dyDescent="0.25">
      <c r="A7220" t="str">
        <f>IF(C7220&amp;G7220&amp;D7220&lt;&gt;'Funnel setup'!$K$3&amp;'Funnel setup'!$K$4&amp;'Funnel setup'!$K$6,".",IF(A7219=".",1,A7219+1))</f>
        <v>.</v>
      </c>
      <c r="B7220" s="244" t="str">
        <f t="shared" si="112"/>
        <v/>
      </c>
    </row>
    <row r="7221" spans="1:2" x14ac:dyDescent="0.25">
      <c r="A7221" t="str">
        <f>IF(C7221&amp;G7221&amp;D7221&lt;&gt;'Funnel setup'!$K$3&amp;'Funnel setup'!$K$4&amp;'Funnel setup'!$K$6,".",IF(A7220=".",1,A7220+1))</f>
        <v>.</v>
      </c>
      <c r="B7221" s="244" t="str">
        <f t="shared" si="112"/>
        <v/>
      </c>
    </row>
    <row r="7222" spans="1:2" x14ac:dyDescent="0.25">
      <c r="A7222" t="str">
        <f>IF(C7222&amp;G7222&amp;D7222&lt;&gt;'Funnel setup'!$K$3&amp;'Funnel setup'!$K$4&amp;'Funnel setup'!$K$6,".",IF(A7221=".",1,A7221+1))</f>
        <v>.</v>
      </c>
      <c r="B7222" s="244" t="str">
        <f t="shared" si="112"/>
        <v/>
      </c>
    </row>
    <row r="7223" spans="1:2" x14ac:dyDescent="0.25">
      <c r="A7223" t="str">
        <f>IF(C7223&amp;G7223&amp;D7223&lt;&gt;'Funnel setup'!$K$3&amp;'Funnel setup'!$K$4&amp;'Funnel setup'!$K$6,".",IF(A7222=".",1,A7222+1))</f>
        <v>.</v>
      </c>
      <c r="B7223" s="244" t="str">
        <f t="shared" si="112"/>
        <v/>
      </c>
    </row>
    <row r="7224" spans="1:2" x14ac:dyDescent="0.25">
      <c r="A7224" t="str">
        <f>IF(C7224&amp;G7224&amp;D7224&lt;&gt;'Funnel setup'!$K$3&amp;'Funnel setup'!$K$4&amp;'Funnel setup'!$K$6,".",IF(A7223=".",1,A7223+1))</f>
        <v>.</v>
      </c>
      <c r="B7224" s="244" t="str">
        <f t="shared" si="112"/>
        <v/>
      </c>
    </row>
    <row r="7225" spans="1:2" x14ac:dyDescent="0.25">
      <c r="A7225" t="str">
        <f>IF(C7225&amp;G7225&amp;D7225&lt;&gt;'Funnel setup'!$K$3&amp;'Funnel setup'!$K$4&amp;'Funnel setup'!$K$6,".",IF(A7224=".",1,A7224+1))</f>
        <v>.</v>
      </c>
      <c r="B7225" s="244" t="str">
        <f t="shared" si="112"/>
        <v/>
      </c>
    </row>
    <row r="7226" spans="1:2" x14ac:dyDescent="0.25">
      <c r="A7226" t="str">
        <f>IF(C7226&amp;G7226&amp;D7226&lt;&gt;'Funnel setup'!$K$3&amp;'Funnel setup'!$K$4&amp;'Funnel setup'!$K$6,".",IF(A7225=".",1,A7225+1))</f>
        <v>.</v>
      </c>
      <c r="B7226" s="244" t="str">
        <f t="shared" si="112"/>
        <v/>
      </c>
    </row>
    <row r="7227" spans="1:2" x14ac:dyDescent="0.25">
      <c r="A7227" t="str">
        <f>IF(C7227&amp;G7227&amp;D7227&lt;&gt;'Funnel setup'!$K$3&amp;'Funnel setup'!$K$4&amp;'Funnel setup'!$K$6,".",IF(A7226=".",1,A7226+1))</f>
        <v>.</v>
      </c>
      <c r="B7227" s="244" t="str">
        <f t="shared" si="112"/>
        <v/>
      </c>
    </row>
    <row r="7228" spans="1:2" x14ac:dyDescent="0.25">
      <c r="A7228" t="str">
        <f>IF(C7228&amp;G7228&amp;D7228&lt;&gt;'Funnel setup'!$K$3&amp;'Funnel setup'!$K$4&amp;'Funnel setup'!$K$6,".",IF(A7227=".",1,A7227+1))</f>
        <v>.</v>
      </c>
      <c r="B7228" s="244" t="str">
        <f t="shared" si="112"/>
        <v/>
      </c>
    </row>
    <row r="7229" spans="1:2" x14ac:dyDescent="0.25">
      <c r="A7229" t="str">
        <f>IF(C7229&amp;G7229&amp;D7229&lt;&gt;'Funnel setup'!$K$3&amp;'Funnel setup'!$K$4&amp;'Funnel setup'!$K$6,".",IF(A7228=".",1,A7228+1))</f>
        <v>.</v>
      </c>
      <c r="B7229" s="244" t="str">
        <f t="shared" si="112"/>
        <v/>
      </c>
    </row>
    <row r="7230" spans="1:2" x14ac:dyDescent="0.25">
      <c r="A7230" t="str">
        <f>IF(C7230&amp;G7230&amp;D7230&lt;&gt;'Funnel setup'!$K$3&amp;'Funnel setup'!$K$4&amp;'Funnel setup'!$K$6,".",IF(A7229=".",1,A7229+1))</f>
        <v>.</v>
      </c>
      <c r="B7230" s="244" t="str">
        <f t="shared" si="112"/>
        <v/>
      </c>
    </row>
    <row r="7231" spans="1:2" x14ac:dyDescent="0.25">
      <c r="A7231" t="str">
        <f>IF(C7231&amp;G7231&amp;D7231&lt;&gt;'Funnel setup'!$K$3&amp;'Funnel setup'!$K$4&amp;'Funnel setup'!$K$6,".",IF(A7230=".",1,A7230+1))</f>
        <v>.</v>
      </c>
      <c r="B7231" s="244" t="str">
        <f t="shared" si="112"/>
        <v/>
      </c>
    </row>
    <row r="7232" spans="1:2" x14ac:dyDescent="0.25">
      <c r="A7232" t="str">
        <f>IF(C7232&amp;G7232&amp;D7232&lt;&gt;'Funnel setup'!$K$3&amp;'Funnel setup'!$K$4&amp;'Funnel setup'!$K$6,".",IF(A7231=".",1,A7231+1))</f>
        <v>.</v>
      </c>
      <c r="B7232" s="244" t="str">
        <f t="shared" si="112"/>
        <v/>
      </c>
    </row>
    <row r="7233" spans="1:2" x14ac:dyDescent="0.25">
      <c r="A7233" t="str">
        <f>IF(C7233&amp;G7233&amp;D7233&lt;&gt;'Funnel setup'!$K$3&amp;'Funnel setup'!$K$4&amp;'Funnel setup'!$K$6,".",IF(A7232=".",1,A7232+1))</f>
        <v>.</v>
      </c>
      <c r="B7233" s="244" t="str">
        <f t="shared" si="112"/>
        <v/>
      </c>
    </row>
    <row r="7234" spans="1:2" x14ac:dyDescent="0.25">
      <c r="A7234" t="str">
        <f>IF(C7234&amp;G7234&amp;D7234&lt;&gt;'Funnel setup'!$K$3&amp;'Funnel setup'!$K$4&amp;'Funnel setup'!$K$6,".",IF(A7233=".",1,A7233+1))</f>
        <v>.</v>
      </c>
      <c r="B7234" s="244" t="str">
        <f t="shared" ref="B7234:B7297" si="113">C7234&amp;D7234&amp;F7234&amp;G7234</f>
        <v/>
      </c>
    </row>
    <row r="7235" spans="1:2" x14ac:dyDescent="0.25">
      <c r="A7235" t="str">
        <f>IF(C7235&amp;G7235&amp;D7235&lt;&gt;'Funnel setup'!$K$3&amp;'Funnel setup'!$K$4&amp;'Funnel setup'!$K$6,".",IF(A7234=".",1,A7234+1))</f>
        <v>.</v>
      </c>
      <c r="B7235" s="244" t="str">
        <f t="shared" si="113"/>
        <v/>
      </c>
    </row>
    <row r="7236" spans="1:2" x14ac:dyDescent="0.25">
      <c r="A7236" t="str">
        <f>IF(C7236&amp;G7236&amp;D7236&lt;&gt;'Funnel setup'!$K$3&amp;'Funnel setup'!$K$4&amp;'Funnel setup'!$K$6,".",IF(A7235=".",1,A7235+1))</f>
        <v>.</v>
      </c>
      <c r="B7236" s="244" t="str">
        <f t="shared" si="113"/>
        <v/>
      </c>
    </row>
    <row r="7237" spans="1:2" x14ac:dyDescent="0.25">
      <c r="A7237" t="str">
        <f>IF(C7237&amp;G7237&amp;D7237&lt;&gt;'Funnel setup'!$K$3&amp;'Funnel setup'!$K$4&amp;'Funnel setup'!$K$6,".",IF(A7236=".",1,A7236+1))</f>
        <v>.</v>
      </c>
      <c r="B7237" s="244" t="str">
        <f t="shared" si="113"/>
        <v/>
      </c>
    </row>
    <row r="7238" spans="1:2" x14ac:dyDescent="0.25">
      <c r="A7238" t="str">
        <f>IF(C7238&amp;G7238&amp;D7238&lt;&gt;'Funnel setup'!$K$3&amp;'Funnel setup'!$K$4&amp;'Funnel setup'!$K$6,".",IF(A7237=".",1,A7237+1))</f>
        <v>.</v>
      </c>
      <c r="B7238" s="244" t="str">
        <f t="shared" si="113"/>
        <v/>
      </c>
    </row>
    <row r="7239" spans="1:2" x14ac:dyDescent="0.25">
      <c r="A7239" t="str">
        <f>IF(C7239&amp;G7239&amp;D7239&lt;&gt;'Funnel setup'!$K$3&amp;'Funnel setup'!$K$4&amp;'Funnel setup'!$K$6,".",IF(A7238=".",1,A7238+1))</f>
        <v>.</v>
      </c>
      <c r="B7239" s="244" t="str">
        <f t="shared" si="113"/>
        <v/>
      </c>
    </row>
    <row r="7240" spans="1:2" x14ac:dyDescent="0.25">
      <c r="A7240" t="str">
        <f>IF(C7240&amp;G7240&amp;D7240&lt;&gt;'Funnel setup'!$K$3&amp;'Funnel setup'!$K$4&amp;'Funnel setup'!$K$6,".",IF(A7239=".",1,A7239+1))</f>
        <v>.</v>
      </c>
      <c r="B7240" s="244" t="str">
        <f t="shared" si="113"/>
        <v/>
      </c>
    </row>
    <row r="7241" spans="1:2" x14ac:dyDescent="0.25">
      <c r="A7241" t="str">
        <f>IF(C7241&amp;G7241&amp;D7241&lt;&gt;'Funnel setup'!$K$3&amp;'Funnel setup'!$K$4&amp;'Funnel setup'!$K$6,".",IF(A7240=".",1,A7240+1))</f>
        <v>.</v>
      </c>
      <c r="B7241" s="244" t="str">
        <f t="shared" si="113"/>
        <v/>
      </c>
    </row>
    <row r="7242" spans="1:2" x14ac:dyDescent="0.25">
      <c r="A7242" t="str">
        <f>IF(C7242&amp;G7242&amp;D7242&lt;&gt;'Funnel setup'!$K$3&amp;'Funnel setup'!$K$4&amp;'Funnel setup'!$K$6,".",IF(A7241=".",1,A7241+1))</f>
        <v>.</v>
      </c>
      <c r="B7242" s="244" t="str">
        <f t="shared" si="113"/>
        <v/>
      </c>
    </row>
    <row r="7243" spans="1:2" x14ac:dyDescent="0.25">
      <c r="A7243" t="str">
        <f>IF(C7243&amp;G7243&amp;D7243&lt;&gt;'Funnel setup'!$K$3&amp;'Funnel setup'!$K$4&amp;'Funnel setup'!$K$6,".",IF(A7242=".",1,A7242+1))</f>
        <v>.</v>
      </c>
      <c r="B7243" s="244" t="str">
        <f t="shared" si="113"/>
        <v/>
      </c>
    </row>
    <row r="7244" spans="1:2" x14ac:dyDescent="0.25">
      <c r="A7244" t="str">
        <f>IF(C7244&amp;G7244&amp;D7244&lt;&gt;'Funnel setup'!$K$3&amp;'Funnel setup'!$K$4&amp;'Funnel setup'!$K$6,".",IF(A7243=".",1,A7243+1))</f>
        <v>.</v>
      </c>
      <c r="B7244" s="244" t="str">
        <f t="shared" si="113"/>
        <v/>
      </c>
    </row>
    <row r="7245" spans="1:2" x14ac:dyDescent="0.25">
      <c r="A7245" t="str">
        <f>IF(C7245&amp;G7245&amp;D7245&lt;&gt;'Funnel setup'!$K$3&amp;'Funnel setup'!$K$4&amp;'Funnel setup'!$K$6,".",IF(A7244=".",1,A7244+1))</f>
        <v>.</v>
      </c>
      <c r="B7245" s="244" t="str">
        <f t="shared" si="113"/>
        <v/>
      </c>
    </row>
    <row r="7246" spans="1:2" x14ac:dyDescent="0.25">
      <c r="A7246" t="str">
        <f>IF(C7246&amp;G7246&amp;D7246&lt;&gt;'Funnel setup'!$K$3&amp;'Funnel setup'!$K$4&amp;'Funnel setup'!$K$6,".",IF(A7245=".",1,A7245+1))</f>
        <v>.</v>
      </c>
      <c r="B7246" s="244" t="str">
        <f t="shared" si="113"/>
        <v/>
      </c>
    </row>
    <row r="7247" spans="1:2" x14ac:dyDescent="0.25">
      <c r="A7247" t="str">
        <f>IF(C7247&amp;G7247&amp;D7247&lt;&gt;'Funnel setup'!$K$3&amp;'Funnel setup'!$K$4&amp;'Funnel setup'!$K$6,".",IF(A7246=".",1,A7246+1))</f>
        <v>.</v>
      </c>
      <c r="B7247" s="244" t="str">
        <f t="shared" si="113"/>
        <v/>
      </c>
    </row>
    <row r="7248" spans="1:2" x14ac:dyDescent="0.25">
      <c r="A7248" t="str">
        <f>IF(C7248&amp;G7248&amp;D7248&lt;&gt;'Funnel setup'!$K$3&amp;'Funnel setup'!$K$4&amp;'Funnel setup'!$K$6,".",IF(A7247=".",1,A7247+1))</f>
        <v>.</v>
      </c>
      <c r="B7248" s="244" t="str">
        <f t="shared" si="113"/>
        <v/>
      </c>
    </row>
    <row r="7249" spans="1:2" x14ac:dyDescent="0.25">
      <c r="A7249" t="str">
        <f>IF(C7249&amp;G7249&amp;D7249&lt;&gt;'Funnel setup'!$K$3&amp;'Funnel setup'!$K$4&amp;'Funnel setup'!$K$6,".",IF(A7248=".",1,A7248+1))</f>
        <v>.</v>
      </c>
      <c r="B7249" s="244" t="str">
        <f t="shared" si="113"/>
        <v/>
      </c>
    </row>
    <row r="7250" spans="1:2" x14ac:dyDescent="0.25">
      <c r="A7250" t="str">
        <f>IF(C7250&amp;G7250&amp;D7250&lt;&gt;'Funnel setup'!$K$3&amp;'Funnel setup'!$K$4&amp;'Funnel setup'!$K$6,".",IF(A7249=".",1,A7249+1))</f>
        <v>.</v>
      </c>
      <c r="B7250" s="244" t="str">
        <f t="shared" si="113"/>
        <v/>
      </c>
    </row>
    <row r="7251" spans="1:2" x14ac:dyDescent="0.25">
      <c r="A7251" t="str">
        <f>IF(C7251&amp;G7251&amp;D7251&lt;&gt;'Funnel setup'!$K$3&amp;'Funnel setup'!$K$4&amp;'Funnel setup'!$K$6,".",IF(A7250=".",1,A7250+1))</f>
        <v>.</v>
      </c>
      <c r="B7251" s="244" t="str">
        <f t="shared" si="113"/>
        <v/>
      </c>
    </row>
    <row r="7252" spans="1:2" x14ac:dyDescent="0.25">
      <c r="A7252" t="str">
        <f>IF(C7252&amp;G7252&amp;D7252&lt;&gt;'Funnel setup'!$K$3&amp;'Funnel setup'!$K$4&amp;'Funnel setup'!$K$6,".",IF(A7251=".",1,A7251+1))</f>
        <v>.</v>
      </c>
      <c r="B7252" s="244" t="str">
        <f t="shared" si="113"/>
        <v/>
      </c>
    </row>
    <row r="7253" spans="1:2" x14ac:dyDescent="0.25">
      <c r="A7253" t="str">
        <f>IF(C7253&amp;G7253&amp;D7253&lt;&gt;'Funnel setup'!$K$3&amp;'Funnel setup'!$K$4&amp;'Funnel setup'!$K$6,".",IF(A7252=".",1,A7252+1))</f>
        <v>.</v>
      </c>
      <c r="B7253" s="244" t="str">
        <f t="shared" si="113"/>
        <v/>
      </c>
    </row>
    <row r="7254" spans="1:2" x14ac:dyDescent="0.25">
      <c r="A7254" t="str">
        <f>IF(C7254&amp;G7254&amp;D7254&lt;&gt;'Funnel setup'!$K$3&amp;'Funnel setup'!$K$4&amp;'Funnel setup'!$K$6,".",IF(A7253=".",1,A7253+1))</f>
        <v>.</v>
      </c>
      <c r="B7254" s="244" t="str">
        <f t="shared" si="113"/>
        <v/>
      </c>
    </row>
    <row r="7255" spans="1:2" x14ac:dyDescent="0.25">
      <c r="A7255" t="str">
        <f>IF(C7255&amp;G7255&amp;D7255&lt;&gt;'Funnel setup'!$K$3&amp;'Funnel setup'!$K$4&amp;'Funnel setup'!$K$6,".",IF(A7254=".",1,A7254+1))</f>
        <v>.</v>
      </c>
      <c r="B7255" s="244" t="str">
        <f t="shared" si="113"/>
        <v/>
      </c>
    </row>
    <row r="7256" spans="1:2" x14ac:dyDescent="0.25">
      <c r="A7256" t="str">
        <f>IF(C7256&amp;G7256&amp;D7256&lt;&gt;'Funnel setup'!$K$3&amp;'Funnel setup'!$K$4&amp;'Funnel setup'!$K$6,".",IF(A7255=".",1,A7255+1))</f>
        <v>.</v>
      </c>
      <c r="B7256" s="244" t="str">
        <f t="shared" si="113"/>
        <v/>
      </c>
    </row>
    <row r="7257" spans="1:2" x14ac:dyDescent="0.25">
      <c r="A7257" t="str">
        <f>IF(C7257&amp;G7257&amp;D7257&lt;&gt;'Funnel setup'!$K$3&amp;'Funnel setup'!$K$4&amp;'Funnel setup'!$K$6,".",IF(A7256=".",1,A7256+1))</f>
        <v>.</v>
      </c>
      <c r="B7257" s="244" t="str">
        <f t="shared" si="113"/>
        <v/>
      </c>
    </row>
    <row r="7258" spans="1:2" x14ac:dyDescent="0.25">
      <c r="A7258" t="str">
        <f>IF(C7258&amp;G7258&amp;D7258&lt;&gt;'Funnel setup'!$K$3&amp;'Funnel setup'!$K$4&amp;'Funnel setup'!$K$6,".",IF(A7257=".",1,A7257+1))</f>
        <v>.</v>
      </c>
      <c r="B7258" s="244" t="str">
        <f t="shared" si="113"/>
        <v/>
      </c>
    </row>
    <row r="7259" spans="1:2" x14ac:dyDescent="0.25">
      <c r="A7259" t="str">
        <f>IF(C7259&amp;G7259&amp;D7259&lt;&gt;'Funnel setup'!$K$3&amp;'Funnel setup'!$K$4&amp;'Funnel setup'!$K$6,".",IF(A7258=".",1,A7258+1))</f>
        <v>.</v>
      </c>
      <c r="B7259" s="244" t="str">
        <f t="shared" si="113"/>
        <v/>
      </c>
    </row>
    <row r="7260" spans="1:2" x14ac:dyDescent="0.25">
      <c r="A7260" t="str">
        <f>IF(C7260&amp;G7260&amp;D7260&lt;&gt;'Funnel setup'!$K$3&amp;'Funnel setup'!$K$4&amp;'Funnel setup'!$K$6,".",IF(A7259=".",1,A7259+1))</f>
        <v>.</v>
      </c>
      <c r="B7260" s="244" t="str">
        <f t="shared" si="113"/>
        <v/>
      </c>
    </row>
    <row r="7261" spans="1:2" x14ac:dyDescent="0.25">
      <c r="A7261" t="str">
        <f>IF(C7261&amp;G7261&amp;D7261&lt;&gt;'Funnel setup'!$K$3&amp;'Funnel setup'!$K$4&amp;'Funnel setup'!$K$6,".",IF(A7260=".",1,A7260+1))</f>
        <v>.</v>
      </c>
      <c r="B7261" s="244" t="str">
        <f t="shared" si="113"/>
        <v/>
      </c>
    </row>
    <row r="7262" spans="1:2" x14ac:dyDescent="0.25">
      <c r="A7262" t="str">
        <f>IF(C7262&amp;G7262&amp;D7262&lt;&gt;'Funnel setup'!$K$3&amp;'Funnel setup'!$K$4&amp;'Funnel setup'!$K$6,".",IF(A7261=".",1,A7261+1))</f>
        <v>.</v>
      </c>
      <c r="B7262" s="244" t="str">
        <f t="shared" si="113"/>
        <v/>
      </c>
    </row>
    <row r="7263" spans="1:2" x14ac:dyDescent="0.25">
      <c r="A7263" t="str">
        <f>IF(C7263&amp;G7263&amp;D7263&lt;&gt;'Funnel setup'!$K$3&amp;'Funnel setup'!$K$4&amp;'Funnel setup'!$K$6,".",IF(A7262=".",1,A7262+1))</f>
        <v>.</v>
      </c>
      <c r="B7263" s="244" t="str">
        <f t="shared" si="113"/>
        <v/>
      </c>
    </row>
    <row r="7264" spans="1:2" x14ac:dyDescent="0.25">
      <c r="A7264" t="str">
        <f>IF(C7264&amp;G7264&amp;D7264&lt;&gt;'Funnel setup'!$K$3&amp;'Funnel setup'!$K$4&amp;'Funnel setup'!$K$6,".",IF(A7263=".",1,A7263+1))</f>
        <v>.</v>
      </c>
      <c r="B7264" s="244" t="str">
        <f t="shared" si="113"/>
        <v/>
      </c>
    </row>
    <row r="7265" spans="1:2" x14ac:dyDescent="0.25">
      <c r="A7265" t="str">
        <f>IF(C7265&amp;G7265&amp;D7265&lt;&gt;'Funnel setup'!$K$3&amp;'Funnel setup'!$K$4&amp;'Funnel setup'!$K$6,".",IF(A7264=".",1,A7264+1))</f>
        <v>.</v>
      </c>
      <c r="B7265" s="244" t="str">
        <f t="shared" si="113"/>
        <v/>
      </c>
    </row>
    <row r="7266" spans="1:2" x14ac:dyDescent="0.25">
      <c r="A7266" t="str">
        <f>IF(C7266&amp;G7266&amp;D7266&lt;&gt;'Funnel setup'!$K$3&amp;'Funnel setup'!$K$4&amp;'Funnel setup'!$K$6,".",IF(A7265=".",1,A7265+1))</f>
        <v>.</v>
      </c>
      <c r="B7266" s="244" t="str">
        <f t="shared" si="113"/>
        <v/>
      </c>
    </row>
    <row r="7267" spans="1:2" x14ac:dyDescent="0.25">
      <c r="A7267" t="str">
        <f>IF(C7267&amp;G7267&amp;D7267&lt;&gt;'Funnel setup'!$K$3&amp;'Funnel setup'!$K$4&amp;'Funnel setup'!$K$6,".",IF(A7266=".",1,A7266+1))</f>
        <v>.</v>
      </c>
      <c r="B7267" s="244" t="str">
        <f t="shared" si="113"/>
        <v/>
      </c>
    </row>
    <row r="7268" spans="1:2" x14ac:dyDescent="0.25">
      <c r="A7268" t="str">
        <f>IF(C7268&amp;G7268&amp;D7268&lt;&gt;'Funnel setup'!$K$3&amp;'Funnel setup'!$K$4&amp;'Funnel setup'!$K$6,".",IF(A7267=".",1,A7267+1))</f>
        <v>.</v>
      </c>
      <c r="B7268" s="244" t="str">
        <f t="shared" si="113"/>
        <v/>
      </c>
    </row>
    <row r="7269" spans="1:2" x14ac:dyDescent="0.25">
      <c r="A7269" t="str">
        <f>IF(C7269&amp;G7269&amp;D7269&lt;&gt;'Funnel setup'!$K$3&amp;'Funnel setup'!$K$4&amp;'Funnel setup'!$K$6,".",IF(A7268=".",1,A7268+1))</f>
        <v>.</v>
      </c>
      <c r="B7269" s="244" t="str">
        <f t="shared" si="113"/>
        <v/>
      </c>
    </row>
    <row r="7270" spans="1:2" x14ac:dyDescent="0.25">
      <c r="A7270" t="str">
        <f>IF(C7270&amp;G7270&amp;D7270&lt;&gt;'Funnel setup'!$K$3&amp;'Funnel setup'!$K$4&amp;'Funnel setup'!$K$6,".",IF(A7269=".",1,A7269+1))</f>
        <v>.</v>
      </c>
      <c r="B7270" s="244" t="str">
        <f t="shared" si="113"/>
        <v/>
      </c>
    </row>
    <row r="7271" spans="1:2" x14ac:dyDescent="0.25">
      <c r="A7271" t="str">
        <f>IF(C7271&amp;G7271&amp;D7271&lt;&gt;'Funnel setup'!$K$3&amp;'Funnel setup'!$K$4&amp;'Funnel setup'!$K$6,".",IF(A7270=".",1,A7270+1))</f>
        <v>.</v>
      </c>
      <c r="B7271" s="244" t="str">
        <f t="shared" si="113"/>
        <v/>
      </c>
    </row>
    <row r="7272" spans="1:2" x14ac:dyDescent="0.25">
      <c r="A7272" t="str">
        <f>IF(C7272&amp;G7272&amp;D7272&lt;&gt;'Funnel setup'!$K$3&amp;'Funnel setup'!$K$4&amp;'Funnel setup'!$K$6,".",IF(A7271=".",1,A7271+1))</f>
        <v>.</v>
      </c>
      <c r="B7272" s="244" t="str">
        <f t="shared" si="113"/>
        <v/>
      </c>
    </row>
    <row r="7273" spans="1:2" x14ac:dyDescent="0.25">
      <c r="A7273" t="str">
        <f>IF(C7273&amp;G7273&amp;D7273&lt;&gt;'Funnel setup'!$K$3&amp;'Funnel setup'!$K$4&amp;'Funnel setup'!$K$6,".",IF(A7272=".",1,A7272+1))</f>
        <v>.</v>
      </c>
      <c r="B7273" s="244" t="str">
        <f t="shared" si="113"/>
        <v/>
      </c>
    </row>
    <row r="7274" spans="1:2" x14ac:dyDescent="0.25">
      <c r="A7274" t="str">
        <f>IF(C7274&amp;G7274&amp;D7274&lt;&gt;'Funnel setup'!$K$3&amp;'Funnel setup'!$K$4&amp;'Funnel setup'!$K$6,".",IF(A7273=".",1,A7273+1))</f>
        <v>.</v>
      </c>
      <c r="B7274" s="244" t="str">
        <f t="shared" si="113"/>
        <v/>
      </c>
    </row>
    <row r="7275" spans="1:2" x14ac:dyDescent="0.25">
      <c r="A7275" t="str">
        <f>IF(C7275&amp;G7275&amp;D7275&lt;&gt;'Funnel setup'!$K$3&amp;'Funnel setup'!$K$4&amp;'Funnel setup'!$K$6,".",IF(A7274=".",1,A7274+1))</f>
        <v>.</v>
      </c>
      <c r="B7275" s="244" t="str">
        <f t="shared" si="113"/>
        <v/>
      </c>
    </row>
    <row r="7276" spans="1:2" x14ac:dyDescent="0.25">
      <c r="A7276" t="str">
        <f>IF(C7276&amp;G7276&amp;D7276&lt;&gt;'Funnel setup'!$K$3&amp;'Funnel setup'!$K$4&amp;'Funnel setup'!$K$6,".",IF(A7275=".",1,A7275+1))</f>
        <v>.</v>
      </c>
      <c r="B7276" s="244" t="str">
        <f t="shared" si="113"/>
        <v/>
      </c>
    </row>
    <row r="7277" spans="1:2" x14ac:dyDescent="0.25">
      <c r="A7277" t="str">
        <f>IF(C7277&amp;G7277&amp;D7277&lt;&gt;'Funnel setup'!$K$3&amp;'Funnel setup'!$K$4&amp;'Funnel setup'!$K$6,".",IF(A7276=".",1,A7276+1))</f>
        <v>.</v>
      </c>
      <c r="B7277" s="244" t="str">
        <f t="shared" si="113"/>
        <v/>
      </c>
    </row>
    <row r="7278" spans="1:2" x14ac:dyDescent="0.25">
      <c r="A7278" t="str">
        <f>IF(C7278&amp;G7278&amp;D7278&lt;&gt;'Funnel setup'!$K$3&amp;'Funnel setup'!$K$4&amp;'Funnel setup'!$K$6,".",IF(A7277=".",1,A7277+1))</f>
        <v>.</v>
      </c>
      <c r="B7278" s="244" t="str">
        <f t="shared" si="113"/>
        <v/>
      </c>
    </row>
    <row r="7279" spans="1:2" x14ac:dyDescent="0.25">
      <c r="A7279" t="str">
        <f>IF(C7279&amp;G7279&amp;D7279&lt;&gt;'Funnel setup'!$K$3&amp;'Funnel setup'!$K$4&amp;'Funnel setup'!$K$6,".",IF(A7278=".",1,A7278+1))</f>
        <v>.</v>
      </c>
      <c r="B7279" s="244" t="str">
        <f t="shared" si="113"/>
        <v/>
      </c>
    </row>
    <row r="7280" spans="1:2" x14ac:dyDescent="0.25">
      <c r="A7280" t="str">
        <f>IF(C7280&amp;G7280&amp;D7280&lt;&gt;'Funnel setup'!$K$3&amp;'Funnel setup'!$K$4&amp;'Funnel setup'!$K$6,".",IF(A7279=".",1,A7279+1))</f>
        <v>.</v>
      </c>
      <c r="B7280" s="244" t="str">
        <f t="shared" si="113"/>
        <v/>
      </c>
    </row>
    <row r="7281" spans="1:2" x14ac:dyDescent="0.25">
      <c r="A7281" t="str">
        <f>IF(C7281&amp;G7281&amp;D7281&lt;&gt;'Funnel setup'!$K$3&amp;'Funnel setup'!$K$4&amp;'Funnel setup'!$K$6,".",IF(A7280=".",1,A7280+1))</f>
        <v>.</v>
      </c>
      <c r="B7281" s="244" t="str">
        <f t="shared" si="113"/>
        <v/>
      </c>
    </row>
    <row r="7282" spans="1:2" x14ac:dyDescent="0.25">
      <c r="A7282" t="str">
        <f>IF(C7282&amp;G7282&amp;D7282&lt;&gt;'Funnel setup'!$K$3&amp;'Funnel setup'!$K$4&amp;'Funnel setup'!$K$6,".",IF(A7281=".",1,A7281+1))</f>
        <v>.</v>
      </c>
      <c r="B7282" s="244" t="str">
        <f t="shared" si="113"/>
        <v/>
      </c>
    </row>
    <row r="7283" spans="1:2" x14ac:dyDescent="0.25">
      <c r="A7283" t="str">
        <f>IF(C7283&amp;G7283&amp;D7283&lt;&gt;'Funnel setup'!$K$3&amp;'Funnel setup'!$K$4&amp;'Funnel setup'!$K$6,".",IF(A7282=".",1,A7282+1))</f>
        <v>.</v>
      </c>
      <c r="B7283" s="244" t="str">
        <f t="shared" si="113"/>
        <v/>
      </c>
    </row>
    <row r="7284" spans="1:2" x14ac:dyDescent="0.25">
      <c r="A7284" t="str">
        <f>IF(C7284&amp;G7284&amp;D7284&lt;&gt;'Funnel setup'!$K$3&amp;'Funnel setup'!$K$4&amp;'Funnel setup'!$K$6,".",IF(A7283=".",1,A7283+1))</f>
        <v>.</v>
      </c>
      <c r="B7284" s="244" t="str">
        <f t="shared" si="113"/>
        <v/>
      </c>
    </row>
    <row r="7285" spans="1:2" x14ac:dyDescent="0.25">
      <c r="A7285" t="str">
        <f>IF(C7285&amp;G7285&amp;D7285&lt;&gt;'Funnel setup'!$K$3&amp;'Funnel setup'!$K$4&amp;'Funnel setup'!$K$6,".",IF(A7284=".",1,A7284+1))</f>
        <v>.</v>
      </c>
      <c r="B7285" s="244" t="str">
        <f t="shared" si="113"/>
        <v/>
      </c>
    </row>
    <row r="7286" spans="1:2" x14ac:dyDescent="0.25">
      <c r="A7286" t="str">
        <f>IF(C7286&amp;G7286&amp;D7286&lt;&gt;'Funnel setup'!$K$3&amp;'Funnel setup'!$K$4&amp;'Funnel setup'!$K$6,".",IF(A7285=".",1,A7285+1))</f>
        <v>.</v>
      </c>
      <c r="B7286" s="244" t="str">
        <f t="shared" si="113"/>
        <v/>
      </c>
    </row>
    <row r="7287" spans="1:2" x14ac:dyDescent="0.25">
      <c r="A7287" t="str">
        <f>IF(C7287&amp;G7287&amp;D7287&lt;&gt;'Funnel setup'!$K$3&amp;'Funnel setup'!$K$4&amp;'Funnel setup'!$K$6,".",IF(A7286=".",1,A7286+1))</f>
        <v>.</v>
      </c>
      <c r="B7287" s="244" t="str">
        <f t="shared" si="113"/>
        <v/>
      </c>
    </row>
    <row r="7288" spans="1:2" x14ac:dyDescent="0.25">
      <c r="A7288" t="str">
        <f>IF(C7288&amp;G7288&amp;D7288&lt;&gt;'Funnel setup'!$K$3&amp;'Funnel setup'!$K$4&amp;'Funnel setup'!$K$6,".",IF(A7287=".",1,A7287+1))</f>
        <v>.</v>
      </c>
      <c r="B7288" s="244" t="str">
        <f t="shared" si="113"/>
        <v/>
      </c>
    </row>
    <row r="7289" spans="1:2" x14ac:dyDescent="0.25">
      <c r="A7289" t="str">
        <f>IF(C7289&amp;G7289&amp;D7289&lt;&gt;'Funnel setup'!$K$3&amp;'Funnel setup'!$K$4&amp;'Funnel setup'!$K$6,".",IF(A7288=".",1,A7288+1))</f>
        <v>.</v>
      </c>
      <c r="B7289" s="244" t="str">
        <f t="shared" si="113"/>
        <v/>
      </c>
    </row>
    <row r="7290" spans="1:2" x14ac:dyDescent="0.25">
      <c r="A7290" t="str">
        <f>IF(C7290&amp;G7290&amp;D7290&lt;&gt;'Funnel setup'!$K$3&amp;'Funnel setup'!$K$4&amp;'Funnel setup'!$K$6,".",IF(A7289=".",1,A7289+1))</f>
        <v>.</v>
      </c>
      <c r="B7290" s="244" t="str">
        <f t="shared" si="113"/>
        <v/>
      </c>
    </row>
    <row r="7291" spans="1:2" x14ac:dyDescent="0.25">
      <c r="A7291" t="str">
        <f>IF(C7291&amp;G7291&amp;D7291&lt;&gt;'Funnel setup'!$K$3&amp;'Funnel setup'!$K$4&amp;'Funnel setup'!$K$6,".",IF(A7290=".",1,A7290+1))</f>
        <v>.</v>
      </c>
      <c r="B7291" s="244" t="str">
        <f t="shared" si="113"/>
        <v/>
      </c>
    </row>
    <row r="7292" spans="1:2" x14ac:dyDescent="0.25">
      <c r="A7292" t="str">
        <f>IF(C7292&amp;G7292&amp;D7292&lt;&gt;'Funnel setup'!$K$3&amp;'Funnel setup'!$K$4&amp;'Funnel setup'!$K$6,".",IF(A7291=".",1,A7291+1))</f>
        <v>.</v>
      </c>
      <c r="B7292" s="244" t="str">
        <f t="shared" si="113"/>
        <v/>
      </c>
    </row>
    <row r="7293" spans="1:2" x14ac:dyDescent="0.25">
      <c r="A7293" t="str">
        <f>IF(C7293&amp;G7293&amp;D7293&lt;&gt;'Funnel setup'!$K$3&amp;'Funnel setup'!$K$4&amp;'Funnel setup'!$K$6,".",IF(A7292=".",1,A7292+1))</f>
        <v>.</v>
      </c>
      <c r="B7293" s="244" t="str">
        <f t="shared" si="113"/>
        <v/>
      </c>
    </row>
    <row r="7294" spans="1:2" x14ac:dyDescent="0.25">
      <c r="A7294" t="str">
        <f>IF(C7294&amp;G7294&amp;D7294&lt;&gt;'Funnel setup'!$K$3&amp;'Funnel setup'!$K$4&amp;'Funnel setup'!$K$6,".",IF(A7293=".",1,A7293+1))</f>
        <v>.</v>
      </c>
      <c r="B7294" s="244" t="str">
        <f t="shared" si="113"/>
        <v/>
      </c>
    </row>
    <row r="7295" spans="1:2" x14ac:dyDescent="0.25">
      <c r="A7295" t="str">
        <f>IF(C7295&amp;G7295&amp;D7295&lt;&gt;'Funnel setup'!$K$3&amp;'Funnel setup'!$K$4&amp;'Funnel setup'!$K$6,".",IF(A7294=".",1,A7294+1))</f>
        <v>.</v>
      </c>
      <c r="B7295" s="244" t="str">
        <f t="shared" si="113"/>
        <v/>
      </c>
    </row>
    <row r="7296" spans="1:2" x14ac:dyDescent="0.25">
      <c r="A7296" t="str">
        <f>IF(C7296&amp;G7296&amp;D7296&lt;&gt;'Funnel setup'!$K$3&amp;'Funnel setup'!$K$4&amp;'Funnel setup'!$K$6,".",IF(A7295=".",1,A7295+1))</f>
        <v>.</v>
      </c>
      <c r="B7296" s="244" t="str">
        <f t="shared" si="113"/>
        <v/>
      </c>
    </row>
    <row r="7297" spans="1:2" x14ac:dyDescent="0.25">
      <c r="A7297" t="str">
        <f>IF(C7297&amp;G7297&amp;D7297&lt;&gt;'Funnel setup'!$K$3&amp;'Funnel setup'!$K$4&amp;'Funnel setup'!$K$6,".",IF(A7296=".",1,A7296+1))</f>
        <v>.</v>
      </c>
      <c r="B7297" s="244" t="str">
        <f t="shared" si="113"/>
        <v/>
      </c>
    </row>
    <row r="7298" spans="1:2" x14ac:dyDescent="0.25">
      <c r="A7298" t="str">
        <f>IF(C7298&amp;G7298&amp;D7298&lt;&gt;'Funnel setup'!$K$3&amp;'Funnel setup'!$K$4&amp;'Funnel setup'!$K$6,".",IF(A7297=".",1,A7297+1))</f>
        <v>.</v>
      </c>
      <c r="B7298" s="244" t="str">
        <f t="shared" ref="B7298:B7361" si="114">C7298&amp;D7298&amp;F7298&amp;G7298</f>
        <v/>
      </c>
    </row>
    <row r="7299" spans="1:2" x14ac:dyDescent="0.25">
      <c r="A7299" t="str">
        <f>IF(C7299&amp;G7299&amp;D7299&lt;&gt;'Funnel setup'!$K$3&amp;'Funnel setup'!$K$4&amp;'Funnel setup'!$K$6,".",IF(A7298=".",1,A7298+1))</f>
        <v>.</v>
      </c>
      <c r="B7299" s="244" t="str">
        <f t="shared" si="114"/>
        <v/>
      </c>
    </row>
    <row r="7300" spans="1:2" x14ac:dyDescent="0.25">
      <c r="A7300" t="str">
        <f>IF(C7300&amp;G7300&amp;D7300&lt;&gt;'Funnel setup'!$K$3&amp;'Funnel setup'!$K$4&amp;'Funnel setup'!$K$6,".",IF(A7299=".",1,A7299+1))</f>
        <v>.</v>
      </c>
      <c r="B7300" s="244" t="str">
        <f t="shared" si="114"/>
        <v/>
      </c>
    </row>
    <row r="7301" spans="1:2" x14ac:dyDescent="0.25">
      <c r="A7301" t="str">
        <f>IF(C7301&amp;G7301&amp;D7301&lt;&gt;'Funnel setup'!$K$3&amp;'Funnel setup'!$K$4&amp;'Funnel setup'!$K$6,".",IF(A7300=".",1,A7300+1))</f>
        <v>.</v>
      </c>
      <c r="B7301" s="244" t="str">
        <f t="shared" si="114"/>
        <v/>
      </c>
    </row>
    <row r="7302" spans="1:2" x14ac:dyDescent="0.25">
      <c r="A7302" t="str">
        <f>IF(C7302&amp;G7302&amp;D7302&lt;&gt;'Funnel setup'!$K$3&amp;'Funnel setup'!$K$4&amp;'Funnel setup'!$K$6,".",IF(A7301=".",1,A7301+1))</f>
        <v>.</v>
      </c>
      <c r="B7302" s="244" t="str">
        <f t="shared" si="114"/>
        <v/>
      </c>
    </row>
    <row r="7303" spans="1:2" x14ac:dyDescent="0.25">
      <c r="A7303" t="str">
        <f>IF(C7303&amp;G7303&amp;D7303&lt;&gt;'Funnel setup'!$K$3&amp;'Funnel setup'!$K$4&amp;'Funnel setup'!$K$6,".",IF(A7302=".",1,A7302+1))</f>
        <v>.</v>
      </c>
      <c r="B7303" s="244" t="str">
        <f t="shared" si="114"/>
        <v/>
      </c>
    </row>
    <row r="7304" spans="1:2" x14ac:dyDescent="0.25">
      <c r="A7304" t="str">
        <f>IF(C7304&amp;G7304&amp;D7304&lt;&gt;'Funnel setup'!$K$3&amp;'Funnel setup'!$K$4&amp;'Funnel setup'!$K$6,".",IF(A7303=".",1,A7303+1))</f>
        <v>.</v>
      </c>
      <c r="B7304" s="244" t="str">
        <f t="shared" si="114"/>
        <v/>
      </c>
    </row>
    <row r="7305" spans="1:2" x14ac:dyDescent="0.25">
      <c r="A7305" t="str">
        <f>IF(C7305&amp;G7305&amp;D7305&lt;&gt;'Funnel setup'!$K$3&amp;'Funnel setup'!$K$4&amp;'Funnel setup'!$K$6,".",IF(A7304=".",1,A7304+1))</f>
        <v>.</v>
      </c>
      <c r="B7305" s="244" t="str">
        <f t="shared" si="114"/>
        <v/>
      </c>
    </row>
    <row r="7306" spans="1:2" x14ac:dyDescent="0.25">
      <c r="A7306" t="str">
        <f>IF(C7306&amp;G7306&amp;D7306&lt;&gt;'Funnel setup'!$K$3&amp;'Funnel setup'!$K$4&amp;'Funnel setup'!$K$6,".",IF(A7305=".",1,A7305+1))</f>
        <v>.</v>
      </c>
      <c r="B7306" s="244" t="str">
        <f t="shared" si="114"/>
        <v/>
      </c>
    </row>
    <row r="7307" spans="1:2" x14ac:dyDescent="0.25">
      <c r="A7307" t="str">
        <f>IF(C7307&amp;G7307&amp;D7307&lt;&gt;'Funnel setup'!$K$3&amp;'Funnel setup'!$K$4&amp;'Funnel setup'!$K$6,".",IF(A7306=".",1,A7306+1))</f>
        <v>.</v>
      </c>
      <c r="B7307" s="244" t="str">
        <f t="shared" si="114"/>
        <v/>
      </c>
    </row>
    <row r="7308" spans="1:2" x14ac:dyDescent="0.25">
      <c r="A7308" t="str">
        <f>IF(C7308&amp;G7308&amp;D7308&lt;&gt;'Funnel setup'!$K$3&amp;'Funnel setup'!$K$4&amp;'Funnel setup'!$K$6,".",IF(A7307=".",1,A7307+1))</f>
        <v>.</v>
      </c>
      <c r="B7308" s="244" t="str">
        <f t="shared" si="114"/>
        <v/>
      </c>
    </row>
    <row r="7309" spans="1:2" x14ac:dyDescent="0.25">
      <c r="A7309" t="str">
        <f>IF(C7309&amp;G7309&amp;D7309&lt;&gt;'Funnel setup'!$K$3&amp;'Funnel setup'!$K$4&amp;'Funnel setup'!$K$6,".",IF(A7308=".",1,A7308+1))</f>
        <v>.</v>
      </c>
      <c r="B7309" s="244" t="str">
        <f t="shared" si="114"/>
        <v/>
      </c>
    </row>
    <row r="7310" spans="1:2" x14ac:dyDescent="0.25">
      <c r="A7310" t="str">
        <f>IF(C7310&amp;G7310&amp;D7310&lt;&gt;'Funnel setup'!$K$3&amp;'Funnel setup'!$K$4&amp;'Funnel setup'!$K$6,".",IF(A7309=".",1,A7309+1))</f>
        <v>.</v>
      </c>
      <c r="B7310" s="244" t="str">
        <f t="shared" si="114"/>
        <v/>
      </c>
    </row>
    <row r="7311" spans="1:2" x14ac:dyDescent="0.25">
      <c r="A7311" t="str">
        <f>IF(C7311&amp;G7311&amp;D7311&lt;&gt;'Funnel setup'!$K$3&amp;'Funnel setup'!$K$4&amp;'Funnel setup'!$K$6,".",IF(A7310=".",1,A7310+1))</f>
        <v>.</v>
      </c>
      <c r="B7311" s="244" t="str">
        <f t="shared" si="114"/>
        <v/>
      </c>
    </row>
    <row r="7312" spans="1:2" x14ac:dyDescent="0.25">
      <c r="A7312" t="str">
        <f>IF(C7312&amp;G7312&amp;D7312&lt;&gt;'Funnel setup'!$K$3&amp;'Funnel setup'!$K$4&amp;'Funnel setup'!$K$6,".",IF(A7311=".",1,A7311+1))</f>
        <v>.</v>
      </c>
      <c r="B7312" s="244" t="str">
        <f t="shared" si="114"/>
        <v/>
      </c>
    </row>
    <row r="7313" spans="1:2" x14ac:dyDescent="0.25">
      <c r="A7313" t="str">
        <f>IF(C7313&amp;G7313&amp;D7313&lt;&gt;'Funnel setup'!$K$3&amp;'Funnel setup'!$K$4&amp;'Funnel setup'!$K$6,".",IF(A7312=".",1,A7312+1))</f>
        <v>.</v>
      </c>
      <c r="B7313" s="244" t="str">
        <f t="shared" si="114"/>
        <v/>
      </c>
    </row>
    <row r="7314" spans="1:2" x14ac:dyDescent="0.25">
      <c r="A7314" t="str">
        <f>IF(C7314&amp;G7314&amp;D7314&lt;&gt;'Funnel setup'!$K$3&amp;'Funnel setup'!$K$4&amp;'Funnel setup'!$K$6,".",IF(A7313=".",1,A7313+1))</f>
        <v>.</v>
      </c>
      <c r="B7314" s="244" t="str">
        <f t="shared" si="114"/>
        <v/>
      </c>
    </row>
    <row r="7315" spans="1:2" x14ac:dyDescent="0.25">
      <c r="A7315" t="str">
        <f>IF(C7315&amp;G7315&amp;D7315&lt;&gt;'Funnel setup'!$K$3&amp;'Funnel setup'!$K$4&amp;'Funnel setup'!$K$6,".",IF(A7314=".",1,A7314+1))</f>
        <v>.</v>
      </c>
      <c r="B7315" s="244" t="str">
        <f t="shared" si="114"/>
        <v/>
      </c>
    </row>
    <row r="7316" spans="1:2" x14ac:dyDescent="0.25">
      <c r="A7316" t="str">
        <f>IF(C7316&amp;G7316&amp;D7316&lt;&gt;'Funnel setup'!$K$3&amp;'Funnel setup'!$K$4&amp;'Funnel setup'!$K$6,".",IF(A7315=".",1,A7315+1))</f>
        <v>.</v>
      </c>
      <c r="B7316" s="244" t="str">
        <f t="shared" si="114"/>
        <v/>
      </c>
    </row>
    <row r="7317" spans="1:2" x14ac:dyDescent="0.25">
      <c r="A7317" t="str">
        <f>IF(C7317&amp;G7317&amp;D7317&lt;&gt;'Funnel setup'!$K$3&amp;'Funnel setup'!$K$4&amp;'Funnel setup'!$K$6,".",IF(A7316=".",1,A7316+1))</f>
        <v>.</v>
      </c>
      <c r="B7317" s="244" t="str">
        <f t="shared" si="114"/>
        <v/>
      </c>
    </row>
    <row r="7318" spans="1:2" x14ac:dyDescent="0.25">
      <c r="A7318" t="str">
        <f>IF(C7318&amp;G7318&amp;D7318&lt;&gt;'Funnel setup'!$K$3&amp;'Funnel setup'!$K$4&amp;'Funnel setup'!$K$6,".",IF(A7317=".",1,A7317+1))</f>
        <v>.</v>
      </c>
      <c r="B7318" s="244" t="str">
        <f t="shared" si="114"/>
        <v/>
      </c>
    </row>
    <row r="7319" spans="1:2" x14ac:dyDescent="0.25">
      <c r="A7319" t="str">
        <f>IF(C7319&amp;G7319&amp;D7319&lt;&gt;'Funnel setup'!$K$3&amp;'Funnel setup'!$K$4&amp;'Funnel setup'!$K$6,".",IF(A7318=".",1,A7318+1))</f>
        <v>.</v>
      </c>
      <c r="B7319" s="244" t="str">
        <f t="shared" si="114"/>
        <v/>
      </c>
    </row>
    <row r="7320" spans="1:2" x14ac:dyDescent="0.25">
      <c r="A7320" t="str">
        <f>IF(C7320&amp;G7320&amp;D7320&lt;&gt;'Funnel setup'!$K$3&amp;'Funnel setup'!$K$4&amp;'Funnel setup'!$K$6,".",IF(A7319=".",1,A7319+1))</f>
        <v>.</v>
      </c>
      <c r="B7320" s="244" t="str">
        <f t="shared" si="114"/>
        <v/>
      </c>
    </row>
    <row r="7321" spans="1:2" x14ac:dyDescent="0.25">
      <c r="A7321" t="str">
        <f>IF(C7321&amp;G7321&amp;D7321&lt;&gt;'Funnel setup'!$K$3&amp;'Funnel setup'!$K$4&amp;'Funnel setup'!$K$6,".",IF(A7320=".",1,A7320+1))</f>
        <v>.</v>
      </c>
      <c r="B7321" s="244" t="str">
        <f t="shared" si="114"/>
        <v/>
      </c>
    </row>
    <row r="7322" spans="1:2" x14ac:dyDescent="0.25">
      <c r="A7322" t="str">
        <f>IF(C7322&amp;G7322&amp;D7322&lt;&gt;'Funnel setup'!$K$3&amp;'Funnel setup'!$K$4&amp;'Funnel setup'!$K$6,".",IF(A7321=".",1,A7321+1))</f>
        <v>.</v>
      </c>
      <c r="B7322" s="244" t="str">
        <f t="shared" si="114"/>
        <v/>
      </c>
    </row>
    <row r="7323" spans="1:2" x14ac:dyDescent="0.25">
      <c r="A7323" t="str">
        <f>IF(C7323&amp;G7323&amp;D7323&lt;&gt;'Funnel setup'!$K$3&amp;'Funnel setup'!$K$4&amp;'Funnel setup'!$K$6,".",IF(A7322=".",1,A7322+1))</f>
        <v>.</v>
      </c>
      <c r="B7323" s="244" t="str">
        <f t="shared" si="114"/>
        <v/>
      </c>
    </row>
    <row r="7324" spans="1:2" x14ac:dyDescent="0.25">
      <c r="A7324" t="str">
        <f>IF(C7324&amp;G7324&amp;D7324&lt;&gt;'Funnel setup'!$K$3&amp;'Funnel setup'!$K$4&amp;'Funnel setup'!$K$6,".",IF(A7323=".",1,A7323+1))</f>
        <v>.</v>
      </c>
      <c r="B7324" s="244" t="str">
        <f t="shared" si="114"/>
        <v/>
      </c>
    </row>
    <row r="7325" spans="1:2" x14ac:dyDescent="0.25">
      <c r="A7325" t="str">
        <f>IF(C7325&amp;G7325&amp;D7325&lt;&gt;'Funnel setup'!$K$3&amp;'Funnel setup'!$K$4&amp;'Funnel setup'!$K$6,".",IF(A7324=".",1,A7324+1))</f>
        <v>.</v>
      </c>
      <c r="B7325" s="244" t="str">
        <f t="shared" si="114"/>
        <v/>
      </c>
    </row>
    <row r="7326" spans="1:2" x14ac:dyDescent="0.25">
      <c r="A7326" t="str">
        <f>IF(C7326&amp;G7326&amp;D7326&lt;&gt;'Funnel setup'!$K$3&amp;'Funnel setup'!$K$4&amp;'Funnel setup'!$K$6,".",IF(A7325=".",1,A7325+1))</f>
        <v>.</v>
      </c>
      <c r="B7326" s="244" t="str">
        <f t="shared" si="114"/>
        <v/>
      </c>
    </row>
    <row r="7327" spans="1:2" x14ac:dyDescent="0.25">
      <c r="A7327" t="str">
        <f>IF(C7327&amp;G7327&amp;D7327&lt;&gt;'Funnel setup'!$K$3&amp;'Funnel setup'!$K$4&amp;'Funnel setup'!$K$6,".",IF(A7326=".",1,A7326+1))</f>
        <v>.</v>
      </c>
      <c r="B7327" s="244" t="str">
        <f t="shared" si="114"/>
        <v/>
      </c>
    </row>
    <row r="7328" spans="1:2" x14ac:dyDescent="0.25">
      <c r="A7328" t="str">
        <f>IF(C7328&amp;G7328&amp;D7328&lt;&gt;'Funnel setup'!$K$3&amp;'Funnel setup'!$K$4&amp;'Funnel setup'!$K$6,".",IF(A7327=".",1,A7327+1))</f>
        <v>.</v>
      </c>
      <c r="B7328" s="244" t="str">
        <f t="shared" si="114"/>
        <v/>
      </c>
    </row>
    <row r="7329" spans="1:2" x14ac:dyDescent="0.25">
      <c r="A7329" t="str">
        <f>IF(C7329&amp;G7329&amp;D7329&lt;&gt;'Funnel setup'!$K$3&amp;'Funnel setup'!$K$4&amp;'Funnel setup'!$K$6,".",IF(A7328=".",1,A7328+1))</f>
        <v>.</v>
      </c>
      <c r="B7329" s="244" t="str">
        <f t="shared" si="114"/>
        <v/>
      </c>
    </row>
    <row r="7330" spans="1:2" x14ac:dyDescent="0.25">
      <c r="A7330" t="str">
        <f>IF(C7330&amp;G7330&amp;D7330&lt;&gt;'Funnel setup'!$K$3&amp;'Funnel setup'!$K$4&amp;'Funnel setup'!$K$6,".",IF(A7329=".",1,A7329+1))</f>
        <v>.</v>
      </c>
      <c r="B7330" s="244" t="str">
        <f t="shared" si="114"/>
        <v/>
      </c>
    </row>
    <row r="7331" spans="1:2" x14ac:dyDescent="0.25">
      <c r="A7331" t="str">
        <f>IF(C7331&amp;G7331&amp;D7331&lt;&gt;'Funnel setup'!$K$3&amp;'Funnel setup'!$K$4&amp;'Funnel setup'!$K$6,".",IF(A7330=".",1,A7330+1))</f>
        <v>.</v>
      </c>
      <c r="B7331" s="244" t="str">
        <f t="shared" si="114"/>
        <v/>
      </c>
    </row>
    <row r="7332" spans="1:2" x14ac:dyDescent="0.25">
      <c r="A7332" t="str">
        <f>IF(C7332&amp;G7332&amp;D7332&lt;&gt;'Funnel setup'!$K$3&amp;'Funnel setup'!$K$4&amp;'Funnel setup'!$K$6,".",IF(A7331=".",1,A7331+1))</f>
        <v>.</v>
      </c>
      <c r="B7332" s="244" t="str">
        <f t="shared" si="114"/>
        <v/>
      </c>
    </row>
    <row r="7333" spans="1:2" x14ac:dyDescent="0.25">
      <c r="A7333" t="str">
        <f>IF(C7333&amp;G7333&amp;D7333&lt;&gt;'Funnel setup'!$K$3&amp;'Funnel setup'!$K$4&amp;'Funnel setup'!$K$6,".",IF(A7332=".",1,A7332+1))</f>
        <v>.</v>
      </c>
      <c r="B7333" s="244" t="str">
        <f t="shared" si="114"/>
        <v/>
      </c>
    </row>
    <row r="7334" spans="1:2" x14ac:dyDescent="0.25">
      <c r="A7334" t="str">
        <f>IF(C7334&amp;G7334&amp;D7334&lt;&gt;'Funnel setup'!$K$3&amp;'Funnel setup'!$K$4&amp;'Funnel setup'!$K$6,".",IF(A7333=".",1,A7333+1))</f>
        <v>.</v>
      </c>
      <c r="B7334" s="244" t="str">
        <f t="shared" si="114"/>
        <v/>
      </c>
    </row>
    <row r="7335" spans="1:2" x14ac:dyDescent="0.25">
      <c r="A7335" t="str">
        <f>IF(C7335&amp;G7335&amp;D7335&lt;&gt;'Funnel setup'!$K$3&amp;'Funnel setup'!$K$4&amp;'Funnel setup'!$K$6,".",IF(A7334=".",1,A7334+1))</f>
        <v>.</v>
      </c>
      <c r="B7335" s="244" t="str">
        <f t="shared" si="114"/>
        <v/>
      </c>
    </row>
    <row r="7336" spans="1:2" x14ac:dyDescent="0.25">
      <c r="A7336" t="str">
        <f>IF(C7336&amp;G7336&amp;D7336&lt;&gt;'Funnel setup'!$K$3&amp;'Funnel setup'!$K$4&amp;'Funnel setup'!$K$6,".",IF(A7335=".",1,A7335+1))</f>
        <v>.</v>
      </c>
      <c r="B7336" s="244" t="str">
        <f t="shared" si="114"/>
        <v/>
      </c>
    </row>
    <row r="7337" spans="1:2" x14ac:dyDescent="0.25">
      <c r="A7337" t="str">
        <f>IF(C7337&amp;G7337&amp;D7337&lt;&gt;'Funnel setup'!$K$3&amp;'Funnel setup'!$K$4&amp;'Funnel setup'!$K$6,".",IF(A7336=".",1,A7336+1))</f>
        <v>.</v>
      </c>
      <c r="B7337" s="244" t="str">
        <f t="shared" si="114"/>
        <v/>
      </c>
    </row>
    <row r="7338" spans="1:2" x14ac:dyDescent="0.25">
      <c r="A7338" t="str">
        <f>IF(C7338&amp;G7338&amp;D7338&lt;&gt;'Funnel setup'!$K$3&amp;'Funnel setup'!$K$4&amp;'Funnel setup'!$K$6,".",IF(A7337=".",1,A7337+1))</f>
        <v>.</v>
      </c>
      <c r="B7338" s="244" t="str">
        <f t="shared" si="114"/>
        <v/>
      </c>
    </row>
    <row r="7339" spans="1:2" x14ac:dyDescent="0.25">
      <c r="A7339" t="str">
        <f>IF(C7339&amp;G7339&amp;D7339&lt;&gt;'Funnel setup'!$K$3&amp;'Funnel setup'!$K$4&amp;'Funnel setup'!$K$6,".",IF(A7338=".",1,A7338+1))</f>
        <v>.</v>
      </c>
      <c r="B7339" s="244" t="str">
        <f t="shared" si="114"/>
        <v/>
      </c>
    </row>
    <row r="7340" spans="1:2" x14ac:dyDescent="0.25">
      <c r="A7340" t="str">
        <f>IF(C7340&amp;G7340&amp;D7340&lt;&gt;'Funnel setup'!$K$3&amp;'Funnel setup'!$K$4&amp;'Funnel setup'!$K$6,".",IF(A7339=".",1,A7339+1))</f>
        <v>.</v>
      </c>
      <c r="B7340" s="244" t="str">
        <f t="shared" si="114"/>
        <v/>
      </c>
    </row>
    <row r="7341" spans="1:2" x14ac:dyDescent="0.25">
      <c r="A7341" t="str">
        <f>IF(C7341&amp;G7341&amp;D7341&lt;&gt;'Funnel setup'!$K$3&amp;'Funnel setup'!$K$4&amp;'Funnel setup'!$K$6,".",IF(A7340=".",1,A7340+1))</f>
        <v>.</v>
      </c>
      <c r="B7341" s="244" t="str">
        <f t="shared" si="114"/>
        <v/>
      </c>
    </row>
    <row r="7342" spans="1:2" x14ac:dyDescent="0.25">
      <c r="A7342" t="str">
        <f>IF(C7342&amp;G7342&amp;D7342&lt;&gt;'Funnel setup'!$K$3&amp;'Funnel setup'!$K$4&amp;'Funnel setup'!$K$6,".",IF(A7341=".",1,A7341+1))</f>
        <v>.</v>
      </c>
      <c r="B7342" s="244" t="str">
        <f t="shared" si="114"/>
        <v/>
      </c>
    </row>
    <row r="7343" spans="1:2" x14ac:dyDescent="0.25">
      <c r="A7343" t="str">
        <f>IF(C7343&amp;G7343&amp;D7343&lt;&gt;'Funnel setup'!$K$3&amp;'Funnel setup'!$K$4&amp;'Funnel setup'!$K$6,".",IF(A7342=".",1,A7342+1))</f>
        <v>.</v>
      </c>
      <c r="B7343" s="244" t="str">
        <f t="shared" si="114"/>
        <v/>
      </c>
    </row>
    <row r="7344" spans="1:2" x14ac:dyDescent="0.25">
      <c r="A7344" t="str">
        <f>IF(C7344&amp;G7344&amp;D7344&lt;&gt;'Funnel setup'!$K$3&amp;'Funnel setup'!$K$4&amp;'Funnel setup'!$K$6,".",IF(A7343=".",1,A7343+1))</f>
        <v>.</v>
      </c>
      <c r="B7344" s="244" t="str">
        <f t="shared" si="114"/>
        <v/>
      </c>
    </row>
    <row r="7345" spans="1:2" x14ac:dyDescent="0.25">
      <c r="A7345" t="str">
        <f>IF(C7345&amp;G7345&amp;D7345&lt;&gt;'Funnel setup'!$K$3&amp;'Funnel setup'!$K$4&amp;'Funnel setup'!$K$6,".",IF(A7344=".",1,A7344+1))</f>
        <v>.</v>
      </c>
      <c r="B7345" s="244" t="str">
        <f t="shared" si="114"/>
        <v/>
      </c>
    </row>
    <row r="7346" spans="1:2" x14ac:dyDescent="0.25">
      <c r="A7346" t="str">
        <f>IF(C7346&amp;G7346&amp;D7346&lt;&gt;'Funnel setup'!$K$3&amp;'Funnel setup'!$K$4&amp;'Funnel setup'!$K$6,".",IF(A7345=".",1,A7345+1))</f>
        <v>.</v>
      </c>
      <c r="B7346" s="244" t="str">
        <f t="shared" si="114"/>
        <v/>
      </c>
    </row>
    <row r="7347" spans="1:2" x14ac:dyDescent="0.25">
      <c r="A7347" t="str">
        <f>IF(C7347&amp;G7347&amp;D7347&lt;&gt;'Funnel setup'!$K$3&amp;'Funnel setup'!$K$4&amp;'Funnel setup'!$K$6,".",IF(A7346=".",1,A7346+1))</f>
        <v>.</v>
      </c>
      <c r="B7347" s="244" t="str">
        <f t="shared" si="114"/>
        <v/>
      </c>
    </row>
    <row r="7348" spans="1:2" x14ac:dyDescent="0.25">
      <c r="A7348" t="str">
        <f>IF(C7348&amp;G7348&amp;D7348&lt;&gt;'Funnel setup'!$K$3&amp;'Funnel setup'!$K$4&amp;'Funnel setup'!$K$6,".",IF(A7347=".",1,A7347+1))</f>
        <v>.</v>
      </c>
      <c r="B7348" s="244" t="str">
        <f t="shared" si="114"/>
        <v/>
      </c>
    </row>
    <row r="7349" spans="1:2" x14ac:dyDescent="0.25">
      <c r="A7349" t="str">
        <f>IF(C7349&amp;G7349&amp;D7349&lt;&gt;'Funnel setup'!$K$3&amp;'Funnel setup'!$K$4&amp;'Funnel setup'!$K$6,".",IF(A7348=".",1,A7348+1))</f>
        <v>.</v>
      </c>
      <c r="B7349" s="244" t="str">
        <f t="shared" si="114"/>
        <v/>
      </c>
    </row>
    <row r="7350" spans="1:2" x14ac:dyDescent="0.25">
      <c r="A7350" t="str">
        <f>IF(C7350&amp;G7350&amp;D7350&lt;&gt;'Funnel setup'!$K$3&amp;'Funnel setup'!$K$4&amp;'Funnel setup'!$K$6,".",IF(A7349=".",1,A7349+1))</f>
        <v>.</v>
      </c>
      <c r="B7350" s="244" t="str">
        <f t="shared" si="114"/>
        <v/>
      </c>
    </row>
    <row r="7351" spans="1:2" x14ac:dyDescent="0.25">
      <c r="A7351" t="str">
        <f>IF(C7351&amp;G7351&amp;D7351&lt;&gt;'Funnel setup'!$K$3&amp;'Funnel setup'!$K$4&amp;'Funnel setup'!$K$6,".",IF(A7350=".",1,A7350+1))</f>
        <v>.</v>
      </c>
      <c r="B7351" s="244" t="str">
        <f t="shared" si="114"/>
        <v/>
      </c>
    </row>
    <row r="7352" spans="1:2" x14ac:dyDescent="0.25">
      <c r="A7352" t="str">
        <f>IF(C7352&amp;G7352&amp;D7352&lt;&gt;'Funnel setup'!$K$3&amp;'Funnel setup'!$K$4&amp;'Funnel setup'!$K$6,".",IF(A7351=".",1,A7351+1))</f>
        <v>.</v>
      </c>
      <c r="B7352" s="244" t="str">
        <f t="shared" si="114"/>
        <v/>
      </c>
    </row>
    <row r="7353" spans="1:2" x14ac:dyDescent="0.25">
      <c r="A7353" t="str">
        <f>IF(C7353&amp;G7353&amp;D7353&lt;&gt;'Funnel setup'!$K$3&amp;'Funnel setup'!$K$4&amp;'Funnel setup'!$K$6,".",IF(A7352=".",1,A7352+1))</f>
        <v>.</v>
      </c>
      <c r="B7353" s="244" t="str">
        <f t="shared" si="114"/>
        <v/>
      </c>
    </row>
    <row r="7354" spans="1:2" x14ac:dyDescent="0.25">
      <c r="A7354" t="str">
        <f>IF(C7354&amp;G7354&amp;D7354&lt;&gt;'Funnel setup'!$K$3&amp;'Funnel setup'!$K$4&amp;'Funnel setup'!$K$6,".",IF(A7353=".",1,A7353+1))</f>
        <v>.</v>
      </c>
      <c r="B7354" s="244" t="str">
        <f t="shared" si="114"/>
        <v/>
      </c>
    </row>
    <row r="7355" spans="1:2" x14ac:dyDescent="0.25">
      <c r="A7355" t="str">
        <f>IF(C7355&amp;G7355&amp;D7355&lt;&gt;'Funnel setup'!$K$3&amp;'Funnel setup'!$K$4&amp;'Funnel setup'!$K$6,".",IF(A7354=".",1,A7354+1))</f>
        <v>.</v>
      </c>
      <c r="B7355" s="244" t="str">
        <f t="shared" si="114"/>
        <v/>
      </c>
    </row>
    <row r="7356" spans="1:2" x14ac:dyDescent="0.25">
      <c r="A7356" t="str">
        <f>IF(C7356&amp;G7356&amp;D7356&lt;&gt;'Funnel setup'!$K$3&amp;'Funnel setup'!$K$4&amp;'Funnel setup'!$K$6,".",IF(A7355=".",1,A7355+1))</f>
        <v>.</v>
      </c>
      <c r="B7356" s="244" t="str">
        <f t="shared" si="114"/>
        <v/>
      </c>
    </row>
    <row r="7357" spans="1:2" x14ac:dyDescent="0.25">
      <c r="A7357" t="str">
        <f>IF(C7357&amp;G7357&amp;D7357&lt;&gt;'Funnel setup'!$K$3&amp;'Funnel setup'!$K$4&amp;'Funnel setup'!$K$6,".",IF(A7356=".",1,A7356+1))</f>
        <v>.</v>
      </c>
      <c r="B7357" s="244" t="str">
        <f t="shared" si="114"/>
        <v/>
      </c>
    </row>
    <row r="7358" spans="1:2" x14ac:dyDescent="0.25">
      <c r="A7358" t="str">
        <f>IF(C7358&amp;G7358&amp;D7358&lt;&gt;'Funnel setup'!$K$3&amp;'Funnel setup'!$K$4&amp;'Funnel setup'!$K$6,".",IF(A7357=".",1,A7357+1))</f>
        <v>.</v>
      </c>
      <c r="B7358" s="244" t="str">
        <f t="shared" si="114"/>
        <v/>
      </c>
    </row>
    <row r="7359" spans="1:2" x14ac:dyDescent="0.25">
      <c r="A7359" t="str">
        <f>IF(C7359&amp;G7359&amp;D7359&lt;&gt;'Funnel setup'!$K$3&amp;'Funnel setup'!$K$4&amp;'Funnel setup'!$K$6,".",IF(A7358=".",1,A7358+1))</f>
        <v>.</v>
      </c>
      <c r="B7359" s="244" t="str">
        <f t="shared" si="114"/>
        <v/>
      </c>
    </row>
    <row r="7360" spans="1:2" x14ac:dyDescent="0.25">
      <c r="A7360" t="str">
        <f>IF(C7360&amp;G7360&amp;D7360&lt;&gt;'Funnel setup'!$K$3&amp;'Funnel setup'!$K$4&amp;'Funnel setup'!$K$6,".",IF(A7359=".",1,A7359+1))</f>
        <v>.</v>
      </c>
      <c r="B7360" s="244" t="str">
        <f t="shared" si="114"/>
        <v/>
      </c>
    </row>
    <row r="7361" spans="1:2" x14ac:dyDescent="0.25">
      <c r="A7361" t="str">
        <f>IF(C7361&amp;G7361&amp;D7361&lt;&gt;'Funnel setup'!$K$3&amp;'Funnel setup'!$K$4&amp;'Funnel setup'!$K$6,".",IF(A7360=".",1,A7360+1))</f>
        <v>.</v>
      </c>
      <c r="B7361" s="244" t="str">
        <f t="shared" si="114"/>
        <v/>
      </c>
    </row>
    <row r="7362" spans="1:2" x14ac:dyDescent="0.25">
      <c r="A7362" t="str">
        <f>IF(C7362&amp;G7362&amp;D7362&lt;&gt;'Funnel setup'!$K$3&amp;'Funnel setup'!$K$4&amp;'Funnel setup'!$K$6,".",IF(A7361=".",1,A7361+1))</f>
        <v>.</v>
      </c>
      <c r="B7362" s="244" t="str">
        <f t="shared" ref="B7362:B7425" si="115">C7362&amp;D7362&amp;F7362&amp;G7362</f>
        <v/>
      </c>
    </row>
    <row r="7363" spans="1:2" x14ac:dyDescent="0.25">
      <c r="A7363" t="str">
        <f>IF(C7363&amp;G7363&amp;D7363&lt;&gt;'Funnel setup'!$K$3&amp;'Funnel setup'!$K$4&amp;'Funnel setup'!$K$6,".",IF(A7362=".",1,A7362+1))</f>
        <v>.</v>
      </c>
      <c r="B7363" s="244" t="str">
        <f t="shared" si="115"/>
        <v/>
      </c>
    </row>
    <row r="7364" spans="1:2" x14ac:dyDescent="0.25">
      <c r="A7364" t="str">
        <f>IF(C7364&amp;G7364&amp;D7364&lt;&gt;'Funnel setup'!$K$3&amp;'Funnel setup'!$K$4&amp;'Funnel setup'!$K$6,".",IF(A7363=".",1,A7363+1))</f>
        <v>.</v>
      </c>
      <c r="B7364" s="244" t="str">
        <f t="shared" si="115"/>
        <v/>
      </c>
    </row>
    <row r="7365" spans="1:2" x14ac:dyDescent="0.25">
      <c r="A7365" t="str">
        <f>IF(C7365&amp;G7365&amp;D7365&lt;&gt;'Funnel setup'!$K$3&amp;'Funnel setup'!$K$4&amp;'Funnel setup'!$K$6,".",IF(A7364=".",1,A7364+1))</f>
        <v>.</v>
      </c>
      <c r="B7365" s="244" t="str">
        <f t="shared" si="115"/>
        <v/>
      </c>
    </row>
    <row r="7366" spans="1:2" x14ac:dyDescent="0.25">
      <c r="A7366" t="str">
        <f>IF(C7366&amp;G7366&amp;D7366&lt;&gt;'Funnel setup'!$K$3&amp;'Funnel setup'!$K$4&amp;'Funnel setup'!$K$6,".",IF(A7365=".",1,A7365+1))</f>
        <v>.</v>
      </c>
      <c r="B7366" s="244" t="str">
        <f t="shared" si="115"/>
        <v/>
      </c>
    </row>
    <row r="7367" spans="1:2" x14ac:dyDescent="0.25">
      <c r="A7367" t="str">
        <f>IF(C7367&amp;G7367&amp;D7367&lt;&gt;'Funnel setup'!$K$3&amp;'Funnel setup'!$K$4&amp;'Funnel setup'!$K$6,".",IF(A7366=".",1,A7366+1))</f>
        <v>.</v>
      </c>
      <c r="B7367" s="244" t="str">
        <f t="shared" si="115"/>
        <v/>
      </c>
    </row>
    <row r="7368" spans="1:2" x14ac:dyDescent="0.25">
      <c r="A7368" t="str">
        <f>IF(C7368&amp;G7368&amp;D7368&lt;&gt;'Funnel setup'!$K$3&amp;'Funnel setup'!$K$4&amp;'Funnel setup'!$K$6,".",IF(A7367=".",1,A7367+1))</f>
        <v>.</v>
      </c>
      <c r="B7368" s="244" t="str">
        <f t="shared" si="115"/>
        <v/>
      </c>
    </row>
    <row r="7369" spans="1:2" x14ac:dyDescent="0.25">
      <c r="A7369" t="str">
        <f>IF(C7369&amp;G7369&amp;D7369&lt;&gt;'Funnel setup'!$K$3&amp;'Funnel setup'!$K$4&amp;'Funnel setup'!$K$6,".",IF(A7368=".",1,A7368+1))</f>
        <v>.</v>
      </c>
      <c r="B7369" s="244" t="str">
        <f t="shared" si="115"/>
        <v/>
      </c>
    </row>
    <row r="7370" spans="1:2" x14ac:dyDescent="0.25">
      <c r="A7370" t="str">
        <f>IF(C7370&amp;G7370&amp;D7370&lt;&gt;'Funnel setup'!$K$3&amp;'Funnel setup'!$K$4&amp;'Funnel setup'!$K$6,".",IF(A7369=".",1,A7369+1))</f>
        <v>.</v>
      </c>
      <c r="B7370" s="244" t="str">
        <f t="shared" si="115"/>
        <v/>
      </c>
    </row>
    <row r="7371" spans="1:2" x14ac:dyDescent="0.25">
      <c r="A7371" t="str">
        <f>IF(C7371&amp;G7371&amp;D7371&lt;&gt;'Funnel setup'!$K$3&amp;'Funnel setup'!$K$4&amp;'Funnel setup'!$K$6,".",IF(A7370=".",1,A7370+1))</f>
        <v>.</v>
      </c>
      <c r="B7371" s="244" t="str">
        <f t="shared" si="115"/>
        <v/>
      </c>
    </row>
    <row r="7372" spans="1:2" x14ac:dyDescent="0.25">
      <c r="A7372" t="str">
        <f>IF(C7372&amp;G7372&amp;D7372&lt;&gt;'Funnel setup'!$K$3&amp;'Funnel setup'!$K$4&amp;'Funnel setup'!$K$6,".",IF(A7371=".",1,A7371+1))</f>
        <v>.</v>
      </c>
      <c r="B7372" s="244" t="str">
        <f t="shared" si="115"/>
        <v/>
      </c>
    </row>
    <row r="7373" spans="1:2" x14ac:dyDescent="0.25">
      <c r="A7373" t="str">
        <f>IF(C7373&amp;G7373&amp;D7373&lt;&gt;'Funnel setup'!$K$3&amp;'Funnel setup'!$K$4&amp;'Funnel setup'!$K$6,".",IF(A7372=".",1,A7372+1))</f>
        <v>.</v>
      </c>
      <c r="B7373" s="244" t="str">
        <f t="shared" si="115"/>
        <v/>
      </c>
    </row>
    <row r="7374" spans="1:2" x14ac:dyDescent="0.25">
      <c r="A7374" t="str">
        <f>IF(C7374&amp;G7374&amp;D7374&lt;&gt;'Funnel setup'!$K$3&amp;'Funnel setup'!$K$4&amp;'Funnel setup'!$K$6,".",IF(A7373=".",1,A7373+1))</f>
        <v>.</v>
      </c>
      <c r="B7374" s="244" t="str">
        <f t="shared" si="115"/>
        <v/>
      </c>
    </row>
    <row r="7375" spans="1:2" x14ac:dyDescent="0.25">
      <c r="A7375" t="str">
        <f>IF(C7375&amp;G7375&amp;D7375&lt;&gt;'Funnel setup'!$K$3&amp;'Funnel setup'!$K$4&amp;'Funnel setup'!$K$6,".",IF(A7374=".",1,A7374+1))</f>
        <v>.</v>
      </c>
      <c r="B7375" s="244" t="str">
        <f t="shared" si="115"/>
        <v/>
      </c>
    </row>
    <row r="7376" spans="1:2" x14ac:dyDescent="0.25">
      <c r="A7376" t="str">
        <f>IF(C7376&amp;G7376&amp;D7376&lt;&gt;'Funnel setup'!$K$3&amp;'Funnel setup'!$K$4&amp;'Funnel setup'!$K$6,".",IF(A7375=".",1,A7375+1))</f>
        <v>.</v>
      </c>
      <c r="B7376" s="244" t="str">
        <f t="shared" si="115"/>
        <v/>
      </c>
    </row>
    <row r="7377" spans="1:2" x14ac:dyDescent="0.25">
      <c r="A7377" t="str">
        <f>IF(C7377&amp;G7377&amp;D7377&lt;&gt;'Funnel setup'!$K$3&amp;'Funnel setup'!$K$4&amp;'Funnel setup'!$K$6,".",IF(A7376=".",1,A7376+1))</f>
        <v>.</v>
      </c>
      <c r="B7377" s="244" t="str">
        <f t="shared" si="115"/>
        <v/>
      </c>
    </row>
    <row r="7378" spans="1:2" x14ac:dyDescent="0.25">
      <c r="A7378" t="str">
        <f>IF(C7378&amp;G7378&amp;D7378&lt;&gt;'Funnel setup'!$K$3&amp;'Funnel setup'!$K$4&amp;'Funnel setup'!$K$6,".",IF(A7377=".",1,A7377+1))</f>
        <v>.</v>
      </c>
      <c r="B7378" s="244" t="str">
        <f t="shared" si="115"/>
        <v/>
      </c>
    </row>
    <row r="7379" spans="1:2" x14ac:dyDescent="0.25">
      <c r="A7379" t="str">
        <f>IF(C7379&amp;G7379&amp;D7379&lt;&gt;'Funnel setup'!$K$3&amp;'Funnel setup'!$K$4&amp;'Funnel setup'!$K$6,".",IF(A7378=".",1,A7378+1))</f>
        <v>.</v>
      </c>
      <c r="B7379" s="244" t="str">
        <f t="shared" si="115"/>
        <v/>
      </c>
    </row>
    <row r="7380" spans="1:2" x14ac:dyDescent="0.25">
      <c r="A7380" t="str">
        <f>IF(C7380&amp;G7380&amp;D7380&lt;&gt;'Funnel setup'!$K$3&amp;'Funnel setup'!$K$4&amp;'Funnel setup'!$K$6,".",IF(A7379=".",1,A7379+1))</f>
        <v>.</v>
      </c>
      <c r="B7380" s="244" t="str">
        <f t="shared" si="115"/>
        <v/>
      </c>
    </row>
    <row r="7381" spans="1:2" x14ac:dyDescent="0.25">
      <c r="A7381" t="str">
        <f>IF(C7381&amp;G7381&amp;D7381&lt;&gt;'Funnel setup'!$K$3&amp;'Funnel setup'!$K$4&amp;'Funnel setup'!$K$6,".",IF(A7380=".",1,A7380+1))</f>
        <v>.</v>
      </c>
      <c r="B7381" s="244" t="str">
        <f t="shared" si="115"/>
        <v/>
      </c>
    </row>
    <row r="7382" spans="1:2" x14ac:dyDescent="0.25">
      <c r="A7382" t="str">
        <f>IF(C7382&amp;G7382&amp;D7382&lt;&gt;'Funnel setup'!$K$3&amp;'Funnel setup'!$K$4&amp;'Funnel setup'!$K$6,".",IF(A7381=".",1,A7381+1))</f>
        <v>.</v>
      </c>
      <c r="B7382" s="244" t="str">
        <f t="shared" si="115"/>
        <v/>
      </c>
    </row>
    <row r="7383" spans="1:2" x14ac:dyDescent="0.25">
      <c r="A7383" t="str">
        <f>IF(C7383&amp;G7383&amp;D7383&lt;&gt;'Funnel setup'!$K$3&amp;'Funnel setup'!$K$4&amp;'Funnel setup'!$K$6,".",IF(A7382=".",1,A7382+1))</f>
        <v>.</v>
      </c>
      <c r="B7383" s="244" t="str">
        <f t="shared" si="115"/>
        <v/>
      </c>
    </row>
    <row r="7384" spans="1:2" x14ac:dyDescent="0.25">
      <c r="A7384" t="str">
        <f>IF(C7384&amp;G7384&amp;D7384&lt;&gt;'Funnel setup'!$K$3&amp;'Funnel setup'!$K$4&amp;'Funnel setup'!$K$6,".",IF(A7383=".",1,A7383+1))</f>
        <v>.</v>
      </c>
      <c r="B7384" s="244" t="str">
        <f t="shared" si="115"/>
        <v/>
      </c>
    </row>
    <row r="7385" spans="1:2" x14ac:dyDescent="0.25">
      <c r="A7385" t="str">
        <f>IF(C7385&amp;G7385&amp;D7385&lt;&gt;'Funnel setup'!$K$3&amp;'Funnel setup'!$K$4&amp;'Funnel setup'!$K$6,".",IF(A7384=".",1,A7384+1))</f>
        <v>.</v>
      </c>
      <c r="B7385" s="244" t="str">
        <f t="shared" si="115"/>
        <v/>
      </c>
    </row>
    <row r="7386" spans="1:2" x14ac:dyDescent="0.25">
      <c r="A7386" t="str">
        <f>IF(C7386&amp;G7386&amp;D7386&lt;&gt;'Funnel setup'!$K$3&amp;'Funnel setup'!$K$4&amp;'Funnel setup'!$K$6,".",IF(A7385=".",1,A7385+1))</f>
        <v>.</v>
      </c>
      <c r="B7386" s="244" t="str">
        <f t="shared" si="115"/>
        <v/>
      </c>
    </row>
    <row r="7387" spans="1:2" x14ac:dyDescent="0.25">
      <c r="A7387" t="str">
        <f>IF(C7387&amp;G7387&amp;D7387&lt;&gt;'Funnel setup'!$K$3&amp;'Funnel setup'!$K$4&amp;'Funnel setup'!$K$6,".",IF(A7386=".",1,A7386+1))</f>
        <v>.</v>
      </c>
      <c r="B7387" s="244" t="str">
        <f t="shared" si="115"/>
        <v/>
      </c>
    </row>
    <row r="7388" spans="1:2" x14ac:dyDescent="0.25">
      <c r="A7388" t="str">
        <f>IF(C7388&amp;G7388&amp;D7388&lt;&gt;'Funnel setup'!$K$3&amp;'Funnel setup'!$K$4&amp;'Funnel setup'!$K$6,".",IF(A7387=".",1,A7387+1))</f>
        <v>.</v>
      </c>
      <c r="B7388" s="244" t="str">
        <f t="shared" si="115"/>
        <v/>
      </c>
    </row>
    <row r="7389" spans="1:2" x14ac:dyDescent="0.25">
      <c r="A7389" t="str">
        <f>IF(C7389&amp;G7389&amp;D7389&lt;&gt;'Funnel setup'!$K$3&amp;'Funnel setup'!$K$4&amp;'Funnel setup'!$K$6,".",IF(A7388=".",1,A7388+1))</f>
        <v>.</v>
      </c>
      <c r="B7389" s="244" t="str">
        <f t="shared" si="115"/>
        <v/>
      </c>
    </row>
    <row r="7390" spans="1:2" x14ac:dyDescent="0.25">
      <c r="A7390" t="str">
        <f>IF(C7390&amp;G7390&amp;D7390&lt;&gt;'Funnel setup'!$K$3&amp;'Funnel setup'!$K$4&amp;'Funnel setup'!$K$6,".",IF(A7389=".",1,A7389+1))</f>
        <v>.</v>
      </c>
      <c r="B7390" s="244" t="str">
        <f t="shared" si="115"/>
        <v/>
      </c>
    </row>
    <row r="7391" spans="1:2" x14ac:dyDescent="0.25">
      <c r="A7391" t="str">
        <f>IF(C7391&amp;G7391&amp;D7391&lt;&gt;'Funnel setup'!$K$3&amp;'Funnel setup'!$K$4&amp;'Funnel setup'!$K$6,".",IF(A7390=".",1,A7390+1))</f>
        <v>.</v>
      </c>
      <c r="B7391" s="244" t="str">
        <f t="shared" si="115"/>
        <v/>
      </c>
    </row>
    <row r="7392" spans="1:2" x14ac:dyDescent="0.25">
      <c r="A7392" t="str">
        <f>IF(C7392&amp;G7392&amp;D7392&lt;&gt;'Funnel setup'!$K$3&amp;'Funnel setup'!$K$4&amp;'Funnel setup'!$K$6,".",IF(A7391=".",1,A7391+1))</f>
        <v>.</v>
      </c>
      <c r="B7392" s="244" t="str">
        <f t="shared" si="115"/>
        <v/>
      </c>
    </row>
    <row r="7393" spans="1:2" x14ac:dyDescent="0.25">
      <c r="A7393" t="str">
        <f>IF(C7393&amp;G7393&amp;D7393&lt;&gt;'Funnel setup'!$K$3&amp;'Funnel setup'!$K$4&amp;'Funnel setup'!$K$6,".",IF(A7392=".",1,A7392+1))</f>
        <v>.</v>
      </c>
      <c r="B7393" s="244" t="str">
        <f t="shared" si="115"/>
        <v/>
      </c>
    </row>
    <row r="7394" spans="1:2" x14ac:dyDescent="0.25">
      <c r="A7394" t="str">
        <f>IF(C7394&amp;G7394&amp;D7394&lt;&gt;'Funnel setup'!$K$3&amp;'Funnel setup'!$K$4&amp;'Funnel setup'!$K$6,".",IF(A7393=".",1,A7393+1))</f>
        <v>.</v>
      </c>
      <c r="B7394" s="244" t="str">
        <f t="shared" si="115"/>
        <v/>
      </c>
    </row>
    <row r="7395" spans="1:2" x14ac:dyDescent="0.25">
      <c r="A7395" t="str">
        <f>IF(C7395&amp;G7395&amp;D7395&lt;&gt;'Funnel setup'!$K$3&amp;'Funnel setup'!$K$4&amp;'Funnel setup'!$K$6,".",IF(A7394=".",1,A7394+1))</f>
        <v>.</v>
      </c>
      <c r="B7395" s="244" t="str">
        <f t="shared" si="115"/>
        <v/>
      </c>
    </row>
    <row r="7396" spans="1:2" x14ac:dyDescent="0.25">
      <c r="A7396" t="str">
        <f>IF(C7396&amp;G7396&amp;D7396&lt;&gt;'Funnel setup'!$K$3&amp;'Funnel setup'!$K$4&amp;'Funnel setup'!$K$6,".",IF(A7395=".",1,A7395+1))</f>
        <v>.</v>
      </c>
      <c r="B7396" s="244" t="str">
        <f t="shared" si="115"/>
        <v/>
      </c>
    </row>
    <row r="7397" spans="1:2" x14ac:dyDescent="0.25">
      <c r="A7397" t="str">
        <f>IF(C7397&amp;G7397&amp;D7397&lt;&gt;'Funnel setup'!$K$3&amp;'Funnel setup'!$K$4&amp;'Funnel setup'!$K$6,".",IF(A7396=".",1,A7396+1))</f>
        <v>.</v>
      </c>
      <c r="B7397" s="244" t="str">
        <f t="shared" si="115"/>
        <v/>
      </c>
    </row>
    <row r="7398" spans="1:2" x14ac:dyDescent="0.25">
      <c r="A7398" t="str">
        <f>IF(C7398&amp;G7398&amp;D7398&lt;&gt;'Funnel setup'!$K$3&amp;'Funnel setup'!$K$4&amp;'Funnel setup'!$K$6,".",IF(A7397=".",1,A7397+1))</f>
        <v>.</v>
      </c>
      <c r="B7398" s="244" t="str">
        <f t="shared" si="115"/>
        <v/>
      </c>
    </row>
    <row r="7399" spans="1:2" x14ac:dyDescent="0.25">
      <c r="A7399" t="str">
        <f>IF(C7399&amp;G7399&amp;D7399&lt;&gt;'Funnel setup'!$K$3&amp;'Funnel setup'!$K$4&amp;'Funnel setup'!$K$6,".",IF(A7398=".",1,A7398+1))</f>
        <v>.</v>
      </c>
      <c r="B7399" s="244" t="str">
        <f t="shared" si="115"/>
        <v/>
      </c>
    </row>
    <row r="7400" spans="1:2" x14ac:dyDescent="0.25">
      <c r="A7400" t="str">
        <f>IF(C7400&amp;G7400&amp;D7400&lt;&gt;'Funnel setup'!$K$3&amp;'Funnel setup'!$K$4&amp;'Funnel setup'!$K$6,".",IF(A7399=".",1,A7399+1))</f>
        <v>.</v>
      </c>
      <c r="B7400" s="244" t="str">
        <f t="shared" si="115"/>
        <v/>
      </c>
    </row>
    <row r="7401" spans="1:2" x14ac:dyDescent="0.25">
      <c r="A7401" t="str">
        <f>IF(C7401&amp;G7401&amp;D7401&lt;&gt;'Funnel setup'!$K$3&amp;'Funnel setup'!$K$4&amp;'Funnel setup'!$K$6,".",IF(A7400=".",1,A7400+1))</f>
        <v>.</v>
      </c>
      <c r="B7401" s="244" t="str">
        <f t="shared" si="115"/>
        <v/>
      </c>
    </row>
    <row r="7402" spans="1:2" x14ac:dyDescent="0.25">
      <c r="A7402" t="str">
        <f>IF(C7402&amp;G7402&amp;D7402&lt;&gt;'Funnel setup'!$K$3&amp;'Funnel setup'!$K$4&amp;'Funnel setup'!$K$6,".",IF(A7401=".",1,A7401+1))</f>
        <v>.</v>
      </c>
      <c r="B7402" s="244" t="str">
        <f t="shared" si="115"/>
        <v/>
      </c>
    </row>
    <row r="7403" spans="1:2" x14ac:dyDescent="0.25">
      <c r="A7403" t="str">
        <f>IF(C7403&amp;G7403&amp;D7403&lt;&gt;'Funnel setup'!$K$3&amp;'Funnel setup'!$K$4&amp;'Funnel setup'!$K$6,".",IF(A7402=".",1,A7402+1))</f>
        <v>.</v>
      </c>
      <c r="B7403" s="244" t="str">
        <f t="shared" si="115"/>
        <v/>
      </c>
    </row>
    <row r="7404" spans="1:2" x14ac:dyDescent="0.25">
      <c r="A7404" t="str">
        <f>IF(C7404&amp;G7404&amp;D7404&lt;&gt;'Funnel setup'!$K$3&amp;'Funnel setup'!$K$4&amp;'Funnel setup'!$K$6,".",IF(A7403=".",1,A7403+1))</f>
        <v>.</v>
      </c>
      <c r="B7404" s="244" t="str">
        <f t="shared" si="115"/>
        <v/>
      </c>
    </row>
    <row r="7405" spans="1:2" x14ac:dyDescent="0.25">
      <c r="A7405" t="str">
        <f>IF(C7405&amp;G7405&amp;D7405&lt;&gt;'Funnel setup'!$K$3&amp;'Funnel setup'!$K$4&amp;'Funnel setup'!$K$6,".",IF(A7404=".",1,A7404+1))</f>
        <v>.</v>
      </c>
      <c r="B7405" s="244" t="str">
        <f t="shared" si="115"/>
        <v/>
      </c>
    </row>
    <row r="7406" spans="1:2" x14ac:dyDescent="0.25">
      <c r="A7406" t="str">
        <f>IF(C7406&amp;G7406&amp;D7406&lt;&gt;'Funnel setup'!$K$3&amp;'Funnel setup'!$K$4&amp;'Funnel setup'!$K$6,".",IF(A7405=".",1,A7405+1))</f>
        <v>.</v>
      </c>
      <c r="B7406" s="244" t="str">
        <f t="shared" si="115"/>
        <v/>
      </c>
    </row>
    <row r="7407" spans="1:2" x14ac:dyDescent="0.25">
      <c r="A7407" t="str">
        <f>IF(C7407&amp;G7407&amp;D7407&lt;&gt;'Funnel setup'!$K$3&amp;'Funnel setup'!$K$4&amp;'Funnel setup'!$K$6,".",IF(A7406=".",1,A7406+1))</f>
        <v>.</v>
      </c>
      <c r="B7407" s="244" t="str">
        <f t="shared" si="115"/>
        <v/>
      </c>
    </row>
    <row r="7408" spans="1:2" x14ac:dyDescent="0.25">
      <c r="A7408" t="str">
        <f>IF(C7408&amp;G7408&amp;D7408&lt;&gt;'Funnel setup'!$K$3&amp;'Funnel setup'!$K$4&amp;'Funnel setup'!$K$6,".",IF(A7407=".",1,A7407+1))</f>
        <v>.</v>
      </c>
      <c r="B7408" s="244" t="str">
        <f t="shared" si="115"/>
        <v/>
      </c>
    </row>
    <row r="7409" spans="1:2" x14ac:dyDescent="0.25">
      <c r="A7409" t="str">
        <f>IF(C7409&amp;G7409&amp;D7409&lt;&gt;'Funnel setup'!$K$3&amp;'Funnel setup'!$K$4&amp;'Funnel setup'!$K$6,".",IF(A7408=".",1,A7408+1))</f>
        <v>.</v>
      </c>
      <c r="B7409" s="244" t="str">
        <f t="shared" si="115"/>
        <v/>
      </c>
    </row>
    <row r="7410" spans="1:2" x14ac:dyDescent="0.25">
      <c r="A7410" t="str">
        <f>IF(C7410&amp;G7410&amp;D7410&lt;&gt;'Funnel setup'!$K$3&amp;'Funnel setup'!$K$4&amp;'Funnel setup'!$K$6,".",IF(A7409=".",1,A7409+1))</f>
        <v>.</v>
      </c>
      <c r="B7410" s="244" t="str">
        <f t="shared" si="115"/>
        <v/>
      </c>
    </row>
    <row r="7411" spans="1:2" x14ac:dyDescent="0.25">
      <c r="A7411" t="str">
        <f>IF(C7411&amp;G7411&amp;D7411&lt;&gt;'Funnel setup'!$K$3&amp;'Funnel setup'!$K$4&amp;'Funnel setup'!$K$6,".",IF(A7410=".",1,A7410+1))</f>
        <v>.</v>
      </c>
      <c r="B7411" s="244" t="str">
        <f t="shared" si="115"/>
        <v/>
      </c>
    </row>
    <row r="7412" spans="1:2" x14ac:dyDescent="0.25">
      <c r="A7412" t="str">
        <f>IF(C7412&amp;G7412&amp;D7412&lt;&gt;'Funnel setup'!$K$3&amp;'Funnel setup'!$K$4&amp;'Funnel setup'!$K$6,".",IF(A7411=".",1,A7411+1))</f>
        <v>.</v>
      </c>
      <c r="B7412" s="244" t="str">
        <f t="shared" si="115"/>
        <v/>
      </c>
    </row>
    <row r="7413" spans="1:2" x14ac:dyDescent="0.25">
      <c r="A7413" t="str">
        <f>IF(C7413&amp;G7413&amp;D7413&lt;&gt;'Funnel setup'!$K$3&amp;'Funnel setup'!$K$4&amp;'Funnel setup'!$K$6,".",IF(A7412=".",1,A7412+1))</f>
        <v>.</v>
      </c>
      <c r="B7413" s="244" t="str">
        <f t="shared" si="115"/>
        <v/>
      </c>
    </row>
    <row r="7414" spans="1:2" x14ac:dyDescent="0.25">
      <c r="A7414" t="str">
        <f>IF(C7414&amp;G7414&amp;D7414&lt;&gt;'Funnel setup'!$K$3&amp;'Funnel setup'!$K$4&amp;'Funnel setup'!$K$6,".",IF(A7413=".",1,A7413+1))</f>
        <v>.</v>
      </c>
      <c r="B7414" s="244" t="str">
        <f t="shared" si="115"/>
        <v/>
      </c>
    </row>
    <row r="7415" spans="1:2" x14ac:dyDescent="0.25">
      <c r="A7415" t="str">
        <f>IF(C7415&amp;G7415&amp;D7415&lt;&gt;'Funnel setup'!$K$3&amp;'Funnel setup'!$K$4&amp;'Funnel setup'!$K$6,".",IF(A7414=".",1,A7414+1))</f>
        <v>.</v>
      </c>
      <c r="B7415" s="244" t="str">
        <f t="shared" si="115"/>
        <v/>
      </c>
    </row>
    <row r="7416" spans="1:2" x14ac:dyDescent="0.25">
      <c r="A7416" t="str">
        <f>IF(C7416&amp;G7416&amp;D7416&lt;&gt;'Funnel setup'!$K$3&amp;'Funnel setup'!$K$4&amp;'Funnel setup'!$K$6,".",IF(A7415=".",1,A7415+1))</f>
        <v>.</v>
      </c>
      <c r="B7416" s="244" t="str">
        <f t="shared" si="115"/>
        <v/>
      </c>
    </row>
    <row r="7417" spans="1:2" x14ac:dyDescent="0.25">
      <c r="A7417" t="str">
        <f>IF(C7417&amp;G7417&amp;D7417&lt;&gt;'Funnel setup'!$K$3&amp;'Funnel setup'!$K$4&amp;'Funnel setup'!$K$6,".",IF(A7416=".",1,A7416+1))</f>
        <v>.</v>
      </c>
      <c r="B7417" s="244" t="str">
        <f t="shared" si="115"/>
        <v/>
      </c>
    </row>
    <row r="7418" spans="1:2" x14ac:dyDescent="0.25">
      <c r="A7418" t="str">
        <f>IF(C7418&amp;G7418&amp;D7418&lt;&gt;'Funnel setup'!$K$3&amp;'Funnel setup'!$K$4&amp;'Funnel setup'!$K$6,".",IF(A7417=".",1,A7417+1))</f>
        <v>.</v>
      </c>
      <c r="B7418" s="244" t="str">
        <f t="shared" si="115"/>
        <v/>
      </c>
    </row>
    <row r="7419" spans="1:2" x14ac:dyDescent="0.25">
      <c r="A7419" t="str">
        <f>IF(C7419&amp;G7419&amp;D7419&lt;&gt;'Funnel setup'!$K$3&amp;'Funnel setup'!$K$4&amp;'Funnel setup'!$K$6,".",IF(A7418=".",1,A7418+1))</f>
        <v>.</v>
      </c>
      <c r="B7419" s="244" t="str">
        <f t="shared" si="115"/>
        <v/>
      </c>
    </row>
    <row r="7420" spans="1:2" x14ac:dyDescent="0.25">
      <c r="A7420" t="str">
        <f>IF(C7420&amp;G7420&amp;D7420&lt;&gt;'Funnel setup'!$K$3&amp;'Funnel setup'!$K$4&amp;'Funnel setup'!$K$6,".",IF(A7419=".",1,A7419+1))</f>
        <v>.</v>
      </c>
      <c r="B7420" s="244" t="str">
        <f t="shared" si="115"/>
        <v/>
      </c>
    </row>
    <row r="7421" spans="1:2" x14ac:dyDescent="0.25">
      <c r="A7421" t="str">
        <f>IF(C7421&amp;G7421&amp;D7421&lt;&gt;'Funnel setup'!$K$3&amp;'Funnel setup'!$K$4&amp;'Funnel setup'!$K$6,".",IF(A7420=".",1,A7420+1))</f>
        <v>.</v>
      </c>
      <c r="B7421" s="244" t="str">
        <f t="shared" si="115"/>
        <v/>
      </c>
    </row>
    <row r="7422" spans="1:2" x14ac:dyDescent="0.25">
      <c r="A7422" t="str">
        <f>IF(C7422&amp;G7422&amp;D7422&lt;&gt;'Funnel setup'!$K$3&amp;'Funnel setup'!$K$4&amp;'Funnel setup'!$K$6,".",IF(A7421=".",1,A7421+1))</f>
        <v>.</v>
      </c>
      <c r="B7422" s="244" t="str">
        <f t="shared" si="115"/>
        <v/>
      </c>
    </row>
    <row r="7423" spans="1:2" x14ac:dyDescent="0.25">
      <c r="A7423" t="str">
        <f>IF(C7423&amp;G7423&amp;D7423&lt;&gt;'Funnel setup'!$K$3&amp;'Funnel setup'!$K$4&amp;'Funnel setup'!$K$6,".",IF(A7422=".",1,A7422+1))</f>
        <v>.</v>
      </c>
      <c r="B7423" s="244" t="str">
        <f t="shared" si="115"/>
        <v/>
      </c>
    </row>
    <row r="7424" spans="1:2" x14ac:dyDescent="0.25">
      <c r="A7424" t="str">
        <f>IF(C7424&amp;G7424&amp;D7424&lt;&gt;'Funnel setup'!$K$3&amp;'Funnel setup'!$K$4&amp;'Funnel setup'!$K$6,".",IF(A7423=".",1,A7423+1))</f>
        <v>.</v>
      </c>
      <c r="B7424" s="244" t="str">
        <f t="shared" si="115"/>
        <v/>
      </c>
    </row>
    <row r="7425" spans="1:2" x14ac:dyDescent="0.25">
      <c r="A7425" t="str">
        <f>IF(C7425&amp;G7425&amp;D7425&lt;&gt;'Funnel setup'!$K$3&amp;'Funnel setup'!$K$4&amp;'Funnel setup'!$K$6,".",IF(A7424=".",1,A7424+1))</f>
        <v>.</v>
      </c>
      <c r="B7425" s="244" t="str">
        <f t="shared" si="115"/>
        <v/>
      </c>
    </row>
    <row r="7426" spans="1:2" x14ac:dyDescent="0.25">
      <c r="A7426" t="str">
        <f>IF(C7426&amp;G7426&amp;D7426&lt;&gt;'Funnel setup'!$K$3&amp;'Funnel setup'!$K$4&amp;'Funnel setup'!$K$6,".",IF(A7425=".",1,A7425+1))</f>
        <v>.</v>
      </c>
      <c r="B7426" s="244" t="str">
        <f t="shared" ref="B7426:B7489" si="116">C7426&amp;D7426&amp;F7426&amp;G7426</f>
        <v/>
      </c>
    </row>
    <row r="7427" spans="1:2" x14ac:dyDescent="0.25">
      <c r="A7427" t="str">
        <f>IF(C7427&amp;G7427&amp;D7427&lt;&gt;'Funnel setup'!$K$3&amp;'Funnel setup'!$K$4&amp;'Funnel setup'!$K$6,".",IF(A7426=".",1,A7426+1))</f>
        <v>.</v>
      </c>
      <c r="B7427" s="244" t="str">
        <f t="shared" si="116"/>
        <v/>
      </c>
    </row>
    <row r="7428" spans="1:2" x14ac:dyDescent="0.25">
      <c r="A7428" t="str">
        <f>IF(C7428&amp;G7428&amp;D7428&lt;&gt;'Funnel setup'!$K$3&amp;'Funnel setup'!$K$4&amp;'Funnel setup'!$K$6,".",IF(A7427=".",1,A7427+1))</f>
        <v>.</v>
      </c>
      <c r="B7428" s="244" t="str">
        <f t="shared" si="116"/>
        <v/>
      </c>
    </row>
    <row r="7429" spans="1:2" x14ac:dyDescent="0.25">
      <c r="A7429" t="str">
        <f>IF(C7429&amp;G7429&amp;D7429&lt;&gt;'Funnel setup'!$K$3&amp;'Funnel setup'!$K$4&amp;'Funnel setup'!$K$6,".",IF(A7428=".",1,A7428+1))</f>
        <v>.</v>
      </c>
      <c r="B7429" s="244" t="str">
        <f t="shared" si="116"/>
        <v/>
      </c>
    </row>
    <row r="7430" spans="1:2" x14ac:dyDescent="0.25">
      <c r="A7430" t="str">
        <f>IF(C7430&amp;G7430&amp;D7430&lt;&gt;'Funnel setup'!$K$3&amp;'Funnel setup'!$K$4&amp;'Funnel setup'!$K$6,".",IF(A7429=".",1,A7429+1))</f>
        <v>.</v>
      </c>
      <c r="B7430" s="244" t="str">
        <f t="shared" si="116"/>
        <v/>
      </c>
    </row>
    <row r="7431" spans="1:2" x14ac:dyDescent="0.25">
      <c r="A7431" t="str">
        <f>IF(C7431&amp;G7431&amp;D7431&lt;&gt;'Funnel setup'!$K$3&amp;'Funnel setup'!$K$4&amp;'Funnel setup'!$K$6,".",IF(A7430=".",1,A7430+1))</f>
        <v>.</v>
      </c>
      <c r="B7431" s="244" t="str">
        <f t="shared" si="116"/>
        <v/>
      </c>
    </row>
    <row r="7432" spans="1:2" x14ac:dyDescent="0.25">
      <c r="A7432" t="str">
        <f>IF(C7432&amp;G7432&amp;D7432&lt;&gt;'Funnel setup'!$K$3&amp;'Funnel setup'!$K$4&amp;'Funnel setup'!$K$6,".",IF(A7431=".",1,A7431+1))</f>
        <v>.</v>
      </c>
      <c r="B7432" s="244" t="str">
        <f t="shared" si="116"/>
        <v/>
      </c>
    </row>
    <row r="7433" spans="1:2" x14ac:dyDescent="0.25">
      <c r="A7433" t="str">
        <f>IF(C7433&amp;G7433&amp;D7433&lt;&gt;'Funnel setup'!$K$3&amp;'Funnel setup'!$K$4&amp;'Funnel setup'!$K$6,".",IF(A7432=".",1,A7432+1))</f>
        <v>.</v>
      </c>
      <c r="B7433" s="244" t="str">
        <f t="shared" si="116"/>
        <v/>
      </c>
    </row>
    <row r="7434" spans="1:2" x14ac:dyDescent="0.25">
      <c r="A7434" t="str">
        <f>IF(C7434&amp;G7434&amp;D7434&lt;&gt;'Funnel setup'!$K$3&amp;'Funnel setup'!$K$4&amp;'Funnel setup'!$K$6,".",IF(A7433=".",1,A7433+1))</f>
        <v>.</v>
      </c>
      <c r="B7434" s="244" t="str">
        <f t="shared" si="116"/>
        <v/>
      </c>
    </row>
    <row r="7435" spans="1:2" x14ac:dyDescent="0.25">
      <c r="A7435" t="str">
        <f>IF(C7435&amp;G7435&amp;D7435&lt;&gt;'Funnel setup'!$K$3&amp;'Funnel setup'!$K$4&amp;'Funnel setup'!$K$6,".",IF(A7434=".",1,A7434+1))</f>
        <v>.</v>
      </c>
      <c r="B7435" s="244" t="str">
        <f t="shared" si="116"/>
        <v/>
      </c>
    </row>
    <row r="7436" spans="1:2" x14ac:dyDescent="0.25">
      <c r="A7436" t="str">
        <f>IF(C7436&amp;G7436&amp;D7436&lt;&gt;'Funnel setup'!$K$3&amp;'Funnel setup'!$K$4&amp;'Funnel setup'!$K$6,".",IF(A7435=".",1,A7435+1))</f>
        <v>.</v>
      </c>
      <c r="B7436" s="244" t="str">
        <f t="shared" si="116"/>
        <v/>
      </c>
    </row>
    <row r="7437" spans="1:2" x14ac:dyDescent="0.25">
      <c r="A7437" t="str">
        <f>IF(C7437&amp;G7437&amp;D7437&lt;&gt;'Funnel setup'!$K$3&amp;'Funnel setup'!$K$4&amp;'Funnel setup'!$K$6,".",IF(A7436=".",1,A7436+1))</f>
        <v>.</v>
      </c>
      <c r="B7437" s="244" t="str">
        <f t="shared" si="116"/>
        <v/>
      </c>
    </row>
    <row r="7438" spans="1:2" x14ac:dyDescent="0.25">
      <c r="A7438" t="str">
        <f>IF(C7438&amp;G7438&amp;D7438&lt;&gt;'Funnel setup'!$K$3&amp;'Funnel setup'!$K$4&amp;'Funnel setup'!$K$6,".",IF(A7437=".",1,A7437+1))</f>
        <v>.</v>
      </c>
      <c r="B7438" s="244" t="str">
        <f t="shared" si="116"/>
        <v/>
      </c>
    </row>
    <row r="7439" spans="1:2" x14ac:dyDescent="0.25">
      <c r="A7439" t="str">
        <f>IF(C7439&amp;G7439&amp;D7439&lt;&gt;'Funnel setup'!$K$3&amp;'Funnel setup'!$K$4&amp;'Funnel setup'!$K$6,".",IF(A7438=".",1,A7438+1))</f>
        <v>.</v>
      </c>
      <c r="B7439" s="244" t="str">
        <f t="shared" si="116"/>
        <v/>
      </c>
    </row>
    <row r="7440" spans="1:2" x14ac:dyDescent="0.25">
      <c r="A7440" t="str">
        <f>IF(C7440&amp;G7440&amp;D7440&lt;&gt;'Funnel setup'!$K$3&amp;'Funnel setup'!$K$4&amp;'Funnel setup'!$K$6,".",IF(A7439=".",1,A7439+1))</f>
        <v>.</v>
      </c>
      <c r="B7440" s="244" t="str">
        <f t="shared" si="116"/>
        <v/>
      </c>
    </row>
    <row r="7441" spans="1:2" x14ac:dyDescent="0.25">
      <c r="A7441" t="str">
        <f>IF(C7441&amp;G7441&amp;D7441&lt;&gt;'Funnel setup'!$K$3&amp;'Funnel setup'!$K$4&amp;'Funnel setup'!$K$6,".",IF(A7440=".",1,A7440+1))</f>
        <v>.</v>
      </c>
      <c r="B7441" s="244" t="str">
        <f t="shared" si="116"/>
        <v/>
      </c>
    </row>
    <row r="7442" spans="1:2" x14ac:dyDescent="0.25">
      <c r="A7442" t="str">
        <f>IF(C7442&amp;G7442&amp;D7442&lt;&gt;'Funnel setup'!$K$3&amp;'Funnel setup'!$K$4&amp;'Funnel setup'!$K$6,".",IF(A7441=".",1,A7441+1))</f>
        <v>.</v>
      </c>
      <c r="B7442" s="244" t="str">
        <f t="shared" si="116"/>
        <v/>
      </c>
    </row>
    <row r="7443" spans="1:2" x14ac:dyDescent="0.25">
      <c r="A7443" t="str">
        <f>IF(C7443&amp;G7443&amp;D7443&lt;&gt;'Funnel setup'!$K$3&amp;'Funnel setup'!$K$4&amp;'Funnel setup'!$K$6,".",IF(A7442=".",1,A7442+1))</f>
        <v>.</v>
      </c>
      <c r="B7443" s="244" t="str">
        <f t="shared" si="116"/>
        <v/>
      </c>
    </row>
    <row r="7444" spans="1:2" x14ac:dyDescent="0.25">
      <c r="A7444" t="str">
        <f>IF(C7444&amp;G7444&amp;D7444&lt;&gt;'Funnel setup'!$K$3&amp;'Funnel setup'!$K$4&amp;'Funnel setup'!$K$6,".",IF(A7443=".",1,A7443+1))</f>
        <v>.</v>
      </c>
      <c r="B7444" s="244" t="str">
        <f t="shared" si="116"/>
        <v/>
      </c>
    </row>
    <row r="7445" spans="1:2" x14ac:dyDescent="0.25">
      <c r="A7445" t="str">
        <f>IF(C7445&amp;G7445&amp;D7445&lt;&gt;'Funnel setup'!$K$3&amp;'Funnel setup'!$K$4&amp;'Funnel setup'!$K$6,".",IF(A7444=".",1,A7444+1))</f>
        <v>.</v>
      </c>
      <c r="B7445" s="244" t="str">
        <f t="shared" si="116"/>
        <v/>
      </c>
    </row>
    <row r="7446" spans="1:2" x14ac:dyDescent="0.25">
      <c r="A7446" t="str">
        <f>IF(C7446&amp;G7446&amp;D7446&lt;&gt;'Funnel setup'!$K$3&amp;'Funnel setup'!$K$4&amp;'Funnel setup'!$K$6,".",IF(A7445=".",1,A7445+1))</f>
        <v>.</v>
      </c>
      <c r="B7446" s="244" t="str">
        <f t="shared" si="116"/>
        <v/>
      </c>
    </row>
    <row r="7447" spans="1:2" x14ac:dyDescent="0.25">
      <c r="A7447" t="str">
        <f>IF(C7447&amp;G7447&amp;D7447&lt;&gt;'Funnel setup'!$K$3&amp;'Funnel setup'!$K$4&amp;'Funnel setup'!$K$6,".",IF(A7446=".",1,A7446+1))</f>
        <v>.</v>
      </c>
      <c r="B7447" s="244" t="str">
        <f t="shared" si="116"/>
        <v/>
      </c>
    </row>
    <row r="7448" spans="1:2" x14ac:dyDescent="0.25">
      <c r="A7448" t="str">
        <f>IF(C7448&amp;G7448&amp;D7448&lt;&gt;'Funnel setup'!$K$3&amp;'Funnel setup'!$K$4&amp;'Funnel setup'!$K$6,".",IF(A7447=".",1,A7447+1))</f>
        <v>.</v>
      </c>
      <c r="B7448" s="244" t="str">
        <f t="shared" si="116"/>
        <v/>
      </c>
    </row>
    <row r="7449" spans="1:2" x14ac:dyDescent="0.25">
      <c r="A7449" t="str">
        <f>IF(C7449&amp;G7449&amp;D7449&lt;&gt;'Funnel setup'!$K$3&amp;'Funnel setup'!$K$4&amp;'Funnel setup'!$K$6,".",IF(A7448=".",1,A7448+1))</f>
        <v>.</v>
      </c>
      <c r="B7449" s="244" t="str">
        <f t="shared" si="116"/>
        <v/>
      </c>
    </row>
    <row r="7450" spans="1:2" x14ac:dyDescent="0.25">
      <c r="A7450" t="str">
        <f>IF(C7450&amp;G7450&amp;D7450&lt;&gt;'Funnel setup'!$K$3&amp;'Funnel setup'!$K$4&amp;'Funnel setup'!$K$6,".",IF(A7449=".",1,A7449+1))</f>
        <v>.</v>
      </c>
      <c r="B7450" s="244" t="str">
        <f t="shared" si="116"/>
        <v/>
      </c>
    </row>
    <row r="7451" spans="1:2" x14ac:dyDescent="0.25">
      <c r="A7451" t="str">
        <f>IF(C7451&amp;G7451&amp;D7451&lt;&gt;'Funnel setup'!$K$3&amp;'Funnel setup'!$K$4&amp;'Funnel setup'!$K$6,".",IF(A7450=".",1,A7450+1))</f>
        <v>.</v>
      </c>
      <c r="B7451" s="244" t="str">
        <f t="shared" si="116"/>
        <v/>
      </c>
    </row>
    <row r="7452" spans="1:2" x14ac:dyDescent="0.25">
      <c r="A7452" t="str">
        <f>IF(C7452&amp;G7452&amp;D7452&lt;&gt;'Funnel setup'!$K$3&amp;'Funnel setup'!$K$4&amp;'Funnel setup'!$K$6,".",IF(A7451=".",1,A7451+1))</f>
        <v>.</v>
      </c>
      <c r="B7452" s="244" t="str">
        <f t="shared" si="116"/>
        <v/>
      </c>
    </row>
    <row r="7453" spans="1:2" x14ac:dyDescent="0.25">
      <c r="A7453" t="str">
        <f>IF(C7453&amp;G7453&amp;D7453&lt;&gt;'Funnel setup'!$K$3&amp;'Funnel setup'!$K$4&amp;'Funnel setup'!$K$6,".",IF(A7452=".",1,A7452+1))</f>
        <v>.</v>
      </c>
      <c r="B7453" s="244" t="str">
        <f t="shared" si="116"/>
        <v/>
      </c>
    </row>
    <row r="7454" spans="1:2" x14ac:dyDescent="0.25">
      <c r="A7454" t="str">
        <f>IF(C7454&amp;G7454&amp;D7454&lt;&gt;'Funnel setup'!$K$3&amp;'Funnel setup'!$K$4&amp;'Funnel setup'!$K$6,".",IF(A7453=".",1,A7453+1))</f>
        <v>.</v>
      </c>
      <c r="B7454" s="244" t="str">
        <f t="shared" si="116"/>
        <v/>
      </c>
    </row>
    <row r="7455" spans="1:2" x14ac:dyDescent="0.25">
      <c r="A7455" t="str">
        <f>IF(C7455&amp;G7455&amp;D7455&lt;&gt;'Funnel setup'!$K$3&amp;'Funnel setup'!$K$4&amp;'Funnel setup'!$K$6,".",IF(A7454=".",1,A7454+1))</f>
        <v>.</v>
      </c>
      <c r="B7455" s="244" t="str">
        <f t="shared" si="116"/>
        <v/>
      </c>
    </row>
    <row r="7456" spans="1:2" x14ac:dyDescent="0.25">
      <c r="A7456" t="str">
        <f>IF(C7456&amp;G7456&amp;D7456&lt;&gt;'Funnel setup'!$K$3&amp;'Funnel setup'!$K$4&amp;'Funnel setup'!$K$6,".",IF(A7455=".",1,A7455+1))</f>
        <v>.</v>
      </c>
      <c r="B7456" s="244" t="str">
        <f t="shared" si="116"/>
        <v/>
      </c>
    </row>
    <row r="7457" spans="1:2" x14ac:dyDescent="0.25">
      <c r="A7457" t="str">
        <f>IF(C7457&amp;G7457&amp;D7457&lt;&gt;'Funnel setup'!$K$3&amp;'Funnel setup'!$K$4&amp;'Funnel setup'!$K$6,".",IF(A7456=".",1,A7456+1))</f>
        <v>.</v>
      </c>
      <c r="B7457" s="244" t="str">
        <f t="shared" si="116"/>
        <v/>
      </c>
    </row>
    <row r="7458" spans="1:2" x14ac:dyDescent="0.25">
      <c r="A7458" t="str">
        <f>IF(C7458&amp;G7458&amp;D7458&lt;&gt;'Funnel setup'!$K$3&amp;'Funnel setup'!$K$4&amp;'Funnel setup'!$K$6,".",IF(A7457=".",1,A7457+1))</f>
        <v>.</v>
      </c>
      <c r="B7458" s="244" t="str">
        <f t="shared" si="116"/>
        <v/>
      </c>
    </row>
    <row r="7459" spans="1:2" x14ac:dyDescent="0.25">
      <c r="A7459" t="str">
        <f>IF(C7459&amp;G7459&amp;D7459&lt;&gt;'Funnel setup'!$K$3&amp;'Funnel setup'!$K$4&amp;'Funnel setup'!$K$6,".",IF(A7458=".",1,A7458+1))</f>
        <v>.</v>
      </c>
      <c r="B7459" s="244" t="str">
        <f t="shared" si="116"/>
        <v/>
      </c>
    </row>
    <row r="7460" spans="1:2" x14ac:dyDescent="0.25">
      <c r="A7460" t="str">
        <f>IF(C7460&amp;G7460&amp;D7460&lt;&gt;'Funnel setup'!$K$3&amp;'Funnel setup'!$K$4&amp;'Funnel setup'!$K$6,".",IF(A7459=".",1,A7459+1))</f>
        <v>.</v>
      </c>
      <c r="B7460" s="244" t="str">
        <f t="shared" si="116"/>
        <v/>
      </c>
    </row>
    <row r="7461" spans="1:2" x14ac:dyDescent="0.25">
      <c r="A7461" t="str">
        <f>IF(C7461&amp;G7461&amp;D7461&lt;&gt;'Funnel setup'!$K$3&amp;'Funnel setup'!$K$4&amp;'Funnel setup'!$K$6,".",IF(A7460=".",1,A7460+1))</f>
        <v>.</v>
      </c>
      <c r="B7461" s="244" t="str">
        <f t="shared" si="116"/>
        <v/>
      </c>
    </row>
    <row r="7462" spans="1:2" x14ac:dyDescent="0.25">
      <c r="A7462" t="str">
        <f>IF(C7462&amp;G7462&amp;D7462&lt;&gt;'Funnel setup'!$K$3&amp;'Funnel setup'!$K$4&amp;'Funnel setup'!$K$6,".",IF(A7461=".",1,A7461+1))</f>
        <v>.</v>
      </c>
      <c r="B7462" s="244" t="str">
        <f t="shared" si="116"/>
        <v/>
      </c>
    </row>
    <row r="7463" spans="1:2" x14ac:dyDescent="0.25">
      <c r="A7463" t="str">
        <f>IF(C7463&amp;G7463&amp;D7463&lt;&gt;'Funnel setup'!$K$3&amp;'Funnel setup'!$K$4&amp;'Funnel setup'!$K$6,".",IF(A7462=".",1,A7462+1))</f>
        <v>.</v>
      </c>
      <c r="B7463" s="244" t="str">
        <f t="shared" si="116"/>
        <v/>
      </c>
    </row>
    <row r="7464" spans="1:2" x14ac:dyDescent="0.25">
      <c r="A7464" t="str">
        <f>IF(C7464&amp;G7464&amp;D7464&lt;&gt;'Funnel setup'!$K$3&amp;'Funnel setup'!$K$4&amp;'Funnel setup'!$K$6,".",IF(A7463=".",1,A7463+1))</f>
        <v>.</v>
      </c>
      <c r="B7464" s="244" t="str">
        <f t="shared" si="116"/>
        <v/>
      </c>
    </row>
    <row r="7465" spans="1:2" x14ac:dyDescent="0.25">
      <c r="A7465" t="str">
        <f>IF(C7465&amp;G7465&amp;D7465&lt;&gt;'Funnel setup'!$K$3&amp;'Funnel setup'!$K$4&amp;'Funnel setup'!$K$6,".",IF(A7464=".",1,A7464+1))</f>
        <v>.</v>
      </c>
      <c r="B7465" s="244" t="str">
        <f t="shared" si="116"/>
        <v/>
      </c>
    </row>
    <row r="7466" spans="1:2" x14ac:dyDescent="0.25">
      <c r="A7466" t="str">
        <f>IF(C7466&amp;G7466&amp;D7466&lt;&gt;'Funnel setup'!$K$3&amp;'Funnel setup'!$K$4&amp;'Funnel setup'!$K$6,".",IF(A7465=".",1,A7465+1))</f>
        <v>.</v>
      </c>
      <c r="B7466" s="244" t="str">
        <f t="shared" si="116"/>
        <v/>
      </c>
    </row>
    <row r="7467" spans="1:2" x14ac:dyDescent="0.25">
      <c r="A7467" t="str">
        <f>IF(C7467&amp;G7467&amp;D7467&lt;&gt;'Funnel setup'!$K$3&amp;'Funnel setup'!$K$4&amp;'Funnel setup'!$K$6,".",IF(A7466=".",1,A7466+1))</f>
        <v>.</v>
      </c>
      <c r="B7467" s="244" t="str">
        <f t="shared" si="116"/>
        <v/>
      </c>
    </row>
    <row r="7468" spans="1:2" x14ac:dyDescent="0.25">
      <c r="A7468" t="str">
        <f>IF(C7468&amp;G7468&amp;D7468&lt;&gt;'Funnel setup'!$K$3&amp;'Funnel setup'!$K$4&amp;'Funnel setup'!$K$6,".",IF(A7467=".",1,A7467+1))</f>
        <v>.</v>
      </c>
      <c r="B7468" s="244" t="str">
        <f t="shared" si="116"/>
        <v/>
      </c>
    </row>
    <row r="7469" spans="1:2" x14ac:dyDescent="0.25">
      <c r="A7469" t="str">
        <f>IF(C7469&amp;G7469&amp;D7469&lt;&gt;'Funnel setup'!$K$3&amp;'Funnel setup'!$K$4&amp;'Funnel setup'!$K$6,".",IF(A7468=".",1,A7468+1))</f>
        <v>.</v>
      </c>
      <c r="B7469" s="244" t="str">
        <f t="shared" si="116"/>
        <v/>
      </c>
    </row>
    <row r="7470" spans="1:2" x14ac:dyDescent="0.25">
      <c r="A7470" t="str">
        <f>IF(C7470&amp;G7470&amp;D7470&lt;&gt;'Funnel setup'!$K$3&amp;'Funnel setup'!$K$4&amp;'Funnel setup'!$K$6,".",IF(A7469=".",1,A7469+1))</f>
        <v>.</v>
      </c>
      <c r="B7470" s="244" t="str">
        <f t="shared" si="116"/>
        <v/>
      </c>
    </row>
    <row r="7471" spans="1:2" x14ac:dyDescent="0.25">
      <c r="A7471" t="str">
        <f>IF(C7471&amp;G7471&amp;D7471&lt;&gt;'Funnel setup'!$K$3&amp;'Funnel setup'!$K$4&amp;'Funnel setup'!$K$6,".",IF(A7470=".",1,A7470+1))</f>
        <v>.</v>
      </c>
      <c r="B7471" s="244" t="str">
        <f t="shared" si="116"/>
        <v/>
      </c>
    </row>
    <row r="7472" spans="1:2" x14ac:dyDescent="0.25">
      <c r="A7472" t="str">
        <f>IF(C7472&amp;G7472&amp;D7472&lt;&gt;'Funnel setup'!$K$3&amp;'Funnel setup'!$K$4&amp;'Funnel setup'!$K$6,".",IF(A7471=".",1,A7471+1))</f>
        <v>.</v>
      </c>
      <c r="B7472" s="244" t="str">
        <f t="shared" si="116"/>
        <v/>
      </c>
    </row>
    <row r="7473" spans="1:2" x14ac:dyDescent="0.25">
      <c r="A7473" t="str">
        <f>IF(C7473&amp;G7473&amp;D7473&lt;&gt;'Funnel setup'!$K$3&amp;'Funnel setup'!$K$4&amp;'Funnel setup'!$K$6,".",IF(A7472=".",1,A7472+1))</f>
        <v>.</v>
      </c>
      <c r="B7473" s="244" t="str">
        <f t="shared" si="116"/>
        <v/>
      </c>
    </row>
    <row r="7474" spans="1:2" x14ac:dyDescent="0.25">
      <c r="A7474" t="str">
        <f>IF(C7474&amp;G7474&amp;D7474&lt;&gt;'Funnel setup'!$K$3&amp;'Funnel setup'!$K$4&amp;'Funnel setup'!$K$6,".",IF(A7473=".",1,A7473+1))</f>
        <v>.</v>
      </c>
      <c r="B7474" s="244" t="str">
        <f t="shared" si="116"/>
        <v/>
      </c>
    </row>
    <row r="7475" spans="1:2" x14ac:dyDescent="0.25">
      <c r="A7475" t="str">
        <f>IF(C7475&amp;G7475&amp;D7475&lt;&gt;'Funnel setup'!$K$3&amp;'Funnel setup'!$K$4&amp;'Funnel setup'!$K$6,".",IF(A7474=".",1,A7474+1))</f>
        <v>.</v>
      </c>
      <c r="B7475" s="244" t="str">
        <f t="shared" si="116"/>
        <v/>
      </c>
    </row>
    <row r="7476" spans="1:2" x14ac:dyDescent="0.25">
      <c r="A7476" t="str">
        <f>IF(C7476&amp;G7476&amp;D7476&lt;&gt;'Funnel setup'!$K$3&amp;'Funnel setup'!$K$4&amp;'Funnel setup'!$K$6,".",IF(A7475=".",1,A7475+1))</f>
        <v>.</v>
      </c>
      <c r="B7476" s="244" t="str">
        <f t="shared" si="116"/>
        <v/>
      </c>
    </row>
    <row r="7477" spans="1:2" x14ac:dyDescent="0.25">
      <c r="A7477" t="str">
        <f>IF(C7477&amp;G7477&amp;D7477&lt;&gt;'Funnel setup'!$K$3&amp;'Funnel setup'!$K$4&amp;'Funnel setup'!$K$6,".",IF(A7476=".",1,A7476+1))</f>
        <v>.</v>
      </c>
      <c r="B7477" s="244" t="str">
        <f t="shared" si="116"/>
        <v/>
      </c>
    </row>
    <row r="7478" spans="1:2" x14ac:dyDescent="0.25">
      <c r="A7478" t="str">
        <f>IF(C7478&amp;G7478&amp;D7478&lt;&gt;'Funnel setup'!$K$3&amp;'Funnel setup'!$K$4&amp;'Funnel setup'!$K$6,".",IF(A7477=".",1,A7477+1))</f>
        <v>.</v>
      </c>
      <c r="B7478" s="244" t="str">
        <f t="shared" si="116"/>
        <v/>
      </c>
    </row>
    <row r="7479" spans="1:2" x14ac:dyDescent="0.25">
      <c r="A7479" t="str">
        <f>IF(C7479&amp;G7479&amp;D7479&lt;&gt;'Funnel setup'!$K$3&amp;'Funnel setup'!$K$4&amp;'Funnel setup'!$K$6,".",IF(A7478=".",1,A7478+1))</f>
        <v>.</v>
      </c>
      <c r="B7479" s="244" t="str">
        <f t="shared" si="116"/>
        <v/>
      </c>
    </row>
    <row r="7480" spans="1:2" x14ac:dyDescent="0.25">
      <c r="A7480" t="str">
        <f>IF(C7480&amp;G7480&amp;D7480&lt;&gt;'Funnel setup'!$K$3&amp;'Funnel setup'!$K$4&amp;'Funnel setup'!$K$6,".",IF(A7479=".",1,A7479+1))</f>
        <v>.</v>
      </c>
      <c r="B7480" s="244" t="str">
        <f t="shared" si="116"/>
        <v/>
      </c>
    </row>
    <row r="7481" spans="1:2" x14ac:dyDescent="0.25">
      <c r="A7481" t="str">
        <f>IF(C7481&amp;G7481&amp;D7481&lt;&gt;'Funnel setup'!$K$3&amp;'Funnel setup'!$K$4&amp;'Funnel setup'!$K$6,".",IF(A7480=".",1,A7480+1))</f>
        <v>.</v>
      </c>
      <c r="B7481" s="244" t="str">
        <f t="shared" si="116"/>
        <v/>
      </c>
    </row>
    <row r="7482" spans="1:2" x14ac:dyDescent="0.25">
      <c r="A7482" t="str">
        <f>IF(C7482&amp;G7482&amp;D7482&lt;&gt;'Funnel setup'!$K$3&amp;'Funnel setup'!$K$4&amp;'Funnel setup'!$K$6,".",IF(A7481=".",1,A7481+1))</f>
        <v>.</v>
      </c>
      <c r="B7482" s="244" t="str">
        <f t="shared" si="116"/>
        <v/>
      </c>
    </row>
    <row r="7483" spans="1:2" x14ac:dyDescent="0.25">
      <c r="A7483" t="str">
        <f>IF(C7483&amp;G7483&amp;D7483&lt;&gt;'Funnel setup'!$K$3&amp;'Funnel setup'!$K$4&amp;'Funnel setup'!$K$6,".",IF(A7482=".",1,A7482+1))</f>
        <v>.</v>
      </c>
      <c r="B7483" s="244" t="str">
        <f t="shared" si="116"/>
        <v/>
      </c>
    </row>
    <row r="7484" spans="1:2" x14ac:dyDescent="0.25">
      <c r="A7484" t="str">
        <f>IF(C7484&amp;G7484&amp;D7484&lt;&gt;'Funnel setup'!$K$3&amp;'Funnel setup'!$K$4&amp;'Funnel setup'!$K$6,".",IF(A7483=".",1,A7483+1))</f>
        <v>.</v>
      </c>
      <c r="B7484" s="244" t="str">
        <f t="shared" si="116"/>
        <v/>
      </c>
    </row>
    <row r="7485" spans="1:2" x14ac:dyDescent="0.25">
      <c r="A7485" t="str">
        <f>IF(C7485&amp;G7485&amp;D7485&lt;&gt;'Funnel setup'!$K$3&amp;'Funnel setup'!$K$4&amp;'Funnel setup'!$K$6,".",IF(A7484=".",1,A7484+1))</f>
        <v>.</v>
      </c>
      <c r="B7485" s="244" t="str">
        <f t="shared" si="116"/>
        <v/>
      </c>
    </row>
    <row r="7486" spans="1:2" x14ac:dyDescent="0.25">
      <c r="A7486" t="str">
        <f>IF(C7486&amp;G7486&amp;D7486&lt;&gt;'Funnel setup'!$K$3&amp;'Funnel setup'!$K$4&amp;'Funnel setup'!$K$6,".",IF(A7485=".",1,A7485+1))</f>
        <v>.</v>
      </c>
      <c r="B7486" s="244" t="str">
        <f t="shared" si="116"/>
        <v/>
      </c>
    </row>
    <row r="7487" spans="1:2" x14ac:dyDescent="0.25">
      <c r="A7487" t="str">
        <f>IF(C7487&amp;G7487&amp;D7487&lt;&gt;'Funnel setup'!$K$3&amp;'Funnel setup'!$K$4&amp;'Funnel setup'!$K$6,".",IF(A7486=".",1,A7486+1))</f>
        <v>.</v>
      </c>
      <c r="B7487" s="244" t="str">
        <f t="shared" si="116"/>
        <v/>
      </c>
    </row>
    <row r="7488" spans="1:2" x14ac:dyDescent="0.25">
      <c r="A7488" t="str">
        <f>IF(C7488&amp;G7488&amp;D7488&lt;&gt;'Funnel setup'!$K$3&amp;'Funnel setup'!$K$4&amp;'Funnel setup'!$K$6,".",IF(A7487=".",1,A7487+1))</f>
        <v>.</v>
      </c>
      <c r="B7488" s="244" t="str">
        <f t="shared" si="116"/>
        <v/>
      </c>
    </row>
    <row r="7489" spans="1:2" x14ac:dyDescent="0.25">
      <c r="A7489" t="str">
        <f>IF(C7489&amp;G7489&amp;D7489&lt;&gt;'Funnel setup'!$K$3&amp;'Funnel setup'!$K$4&amp;'Funnel setup'!$K$6,".",IF(A7488=".",1,A7488+1))</f>
        <v>.</v>
      </c>
      <c r="B7489" s="244" t="str">
        <f t="shared" si="116"/>
        <v/>
      </c>
    </row>
    <row r="7490" spans="1:2" x14ac:dyDescent="0.25">
      <c r="A7490" t="str">
        <f>IF(C7490&amp;G7490&amp;D7490&lt;&gt;'Funnel setup'!$K$3&amp;'Funnel setup'!$K$4&amp;'Funnel setup'!$K$6,".",IF(A7489=".",1,A7489+1))</f>
        <v>.</v>
      </c>
      <c r="B7490" s="244" t="str">
        <f t="shared" ref="B7490:B7553" si="117">C7490&amp;D7490&amp;F7490&amp;G7490</f>
        <v/>
      </c>
    </row>
    <row r="7491" spans="1:2" x14ac:dyDescent="0.25">
      <c r="A7491" t="str">
        <f>IF(C7491&amp;G7491&amp;D7491&lt;&gt;'Funnel setup'!$K$3&amp;'Funnel setup'!$K$4&amp;'Funnel setup'!$K$6,".",IF(A7490=".",1,A7490+1))</f>
        <v>.</v>
      </c>
      <c r="B7491" s="244" t="str">
        <f t="shared" si="117"/>
        <v/>
      </c>
    </row>
    <row r="7492" spans="1:2" x14ac:dyDescent="0.25">
      <c r="A7492" t="str">
        <f>IF(C7492&amp;G7492&amp;D7492&lt;&gt;'Funnel setup'!$K$3&amp;'Funnel setup'!$K$4&amp;'Funnel setup'!$K$6,".",IF(A7491=".",1,A7491+1))</f>
        <v>.</v>
      </c>
      <c r="B7492" s="244" t="str">
        <f t="shared" si="117"/>
        <v/>
      </c>
    </row>
    <row r="7493" spans="1:2" x14ac:dyDescent="0.25">
      <c r="A7493" t="str">
        <f>IF(C7493&amp;G7493&amp;D7493&lt;&gt;'Funnel setup'!$K$3&amp;'Funnel setup'!$K$4&amp;'Funnel setup'!$K$6,".",IF(A7492=".",1,A7492+1))</f>
        <v>.</v>
      </c>
      <c r="B7493" s="244" t="str">
        <f t="shared" si="117"/>
        <v/>
      </c>
    </row>
    <row r="7494" spans="1:2" x14ac:dyDescent="0.25">
      <c r="A7494" t="str">
        <f>IF(C7494&amp;G7494&amp;D7494&lt;&gt;'Funnel setup'!$K$3&amp;'Funnel setup'!$K$4&amp;'Funnel setup'!$K$6,".",IF(A7493=".",1,A7493+1))</f>
        <v>.</v>
      </c>
      <c r="B7494" s="244" t="str">
        <f t="shared" si="117"/>
        <v/>
      </c>
    </row>
    <row r="7495" spans="1:2" x14ac:dyDescent="0.25">
      <c r="A7495" t="str">
        <f>IF(C7495&amp;G7495&amp;D7495&lt;&gt;'Funnel setup'!$K$3&amp;'Funnel setup'!$K$4&amp;'Funnel setup'!$K$6,".",IF(A7494=".",1,A7494+1))</f>
        <v>.</v>
      </c>
      <c r="B7495" s="244" t="str">
        <f t="shared" si="117"/>
        <v/>
      </c>
    </row>
    <row r="7496" spans="1:2" x14ac:dyDescent="0.25">
      <c r="A7496" t="str">
        <f>IF(C7496&amp;G7496&amp;D7496&lt;&gt;'Funnel setup'!$K$3&amp;'Funnel setup'!$K$4&amp;'Funnel setup'!$K$6,".",IF(A7495=".",1,A7495+1))</f>
        <v>.</v>
      </c>
      <c r="B7496" s="244" t="str">
        <f t="shared" si="117"/>
        <v/>
      </c>
    </row>
    <row r="7497" spans="1:2" x14ac:dyDescent="0.25">
      <c r="A7497" t="str">
        <f>IF(C7497&amp;G7497&amp;D7497&lt;&gt;'Funnel setup'!$K$3&amp;'Funnel setup'!$K$4&amp;'Funnel setup'!$K$6,".",IF(A7496=".",1,A7496+1))</f>
        <v>.</v>
      </c>
      <c r="B7497" s="244" t="str">
        <f t="shared" si="117"/>
        <v/>
      </c>
    </row>
    <row r="7498" spans="1:2" x14ac:dyDescent="0.25">
      <c r="A7498" t="str">
        <f>IF(C7498&amp;G7498&amp;D7498&lt;&gt;'Funnel setup'!$K$3&amp;'Funnel setup'!$K$4&amp;'Funnel setup'!$K$6,".",IF(A7497=".",1,A7497+1))</f>
        <v>.</v>
      </c>
      <c r="B7498" s="244" t="str">
        <f t="shared" si="117"/>
        <v/>
      </c>
    </row>
    <row r="7499" spans="1:2" x14ac:dyDescent="0.25">
      <c r="A7499" t="str">
        <f>IF(C7499&amp;G7499&amp;D7499&lt;&gt;'Funnel setup'!$K$3&amp;'Funnel setup'!$K$4&amp;'Funnel setup'!$K$6,".",IF(A7498=".",1,A7498+1))</f>
        <v>.</v>
      </c>
      <c r="B7499" s="244" t="str">
        <f t="shared" si="117"/>
        <v/>
      </c>
    </row>
    <row r="7500" spans="1:2" x14ac:dyDescent="0.25">
      <c r="A7500" t="str">
        <f>IF(C7500&amp;G7500&amp;D7500&lt;&gt;'Funnel setup'!$K$3&amp;'Funnel setup'!$K$4&amp;'Funnel setup'!$K$6,".",IF(A7499=".",1,A7499+1))</f>
        <v>.</v>
      </c>
      <c r="B7500" s="244" t="str">
        <f t="shared" si="117"/>
        <v/>
      </c>
    </row>
    <row r="7501" spans="1:2" x14ac:dyDescent="0.25">
      <c r="A7501" t="str">
        <f>IF(C7501&amp;G7501&amp;D7501&lt;&gt;'Funnel setup'!$K$3&amp;'Funnel setup'!$K$4&amp;'Funnel setup'!$K$6,".",IF(A7500=".",1,A7500+1))</f>
        <v>.</v>
      </c>
      <c r="B7501" s="244" t="str">
        <f t="shared" si="117"/>
        <v/>
      </c>
    </row>
    <row r="7502" spans="1:2" x14ac:dyDescent="0.25">
      <c r="A7502" t="str">
        <f>IF(C7502&amp;G7502&amp;D7502&lt;&gt;'Funnel setup'!$K$3&amp;'Funnel setup'!$K$4&amp;'Funnel setup'!$K$6,".",IF(A7501=".",1,A7501+1))</f>
        <v>.</v>
      </c>
      <c r="B7502" s="244" t="str">
        <f t="shared" si="117"/>
        <v/>
      </c>
    </row>
    <row r="7503" spans="1:2" x14ac:dyDescent="0.25">
      <c r="A7503" t="str">
        <f>IF(C7503&amp;G7503&amp;D7503&lt;&gt;'Funnel setup'!$K$3&amp;'Funnel setup'!$K$4&amp;'Funnel setup'!$K$6,".",IF(A7502=".",1,A7502+1))</f>
        <v>.</v>
      </c>
      <c r="B7503" s="244" t="str">
        <f t="shared" si="117"/>
        <v/>
      </c>
    </row>
    <row r="7504" spans="1:2" x14ac:dyDescent="0.25">
      <c r="A7504" t="str">
        <f>IF(C7504&amp;G7504&amp;D7504&lt;&gt;'Funnel setup'!$K$3&amp;'Funnel setup'!$K$4&amp;'Funnel setup'!$K$6,".",IF(A7503=".",1,A7503+1))</f>
        <v>.</v>
      </c>
      <c r="B7504" s="244" t="str">
        <f t="shared" si="117"/>
        <v/>
      </c>
    </row>
    <row r="7505" spans="1:2" x14ac:dyDescent="0.25">
      <c r="A7505" t="str">
        <f>IF(C7505&amp;G7505&amp;D7505&lt;&gt;'Funnel setup'!$K$3&amp;'Funnel setup'!$K$4&amp;'Funnel setup'!$K$6,".",IF(A7504=".",1,A7504+1))</f>
        <v>.</v>
      </c>
      <c r="B7505" s="244" t="str">
        <f t="shared" si="117"/>
        <v/>
      </c>
    </row>
    <row r="7506" spans="1:2" x14ac:dyDescent="0.25">
      <c r="A7506" t="str">
        <f>IF(C7506&amp;G7506&amp;D7506&lt;&gt;'Funnel setup'!$K$3&amp;'Funnel setup'!$K$4&amp;'Funnel setup'!$K$6,".",IF(A7505=".",1,A7505+1))</f>
        <v>.</v>
      </c>
      <c r="B7506" s="244" t="str">
        <f t="shared" si="117"/>
        <v/>
      </c>
    </row>
    <row r="7507" spans="1:2" x14ac:dyDescent="0.25">
      <c r="A7507" t="str">
        <f>IF(C7507&amp;G7507&amp;D7507&lt;&gt;'Funnel setup'!$K$3&amp;'Funnel setup'!$K$4&amp;'Funnel setup'!$K$6,".",IF(A7506=".",1,A7506+1))</f>
        <v>.</v>
      </c>
      <c r="B7507" s="244" t="str">
        <f t="shared" si="117"/>
        <v/>
      </c>
    </row>
    <row r="7508" spans="1:2" x14ac:dyDescent="0.25">
      <c r="A7508" t="str">
        <f>IF(C7508&amp;G7508&amp;D7508&lt;&gt;'Funnel setup'!$K$3&amp;'Funnel setup'!$K$4&amp;'Funnel setup'!$K$6,".",IF(A7507=".",1,A7507+1))</f>
        <v>.</v>
      </c>
      <c r="B7508" s="244" t="str">
        <f t="shared" si="117"/>
        <v/>
      </c>
    </row>
    <row r="7509" spans="1:2" x14ac:dyDescent="0.25">
      <c r="A7509" t="str">
        <f>IF(C7509&amp;G7509&amp;D7509&lt;&gt;'Funnel setup'!$K$3&amp;'Funnel setup'!$K$4&amp;'Funnel setup'!$K$6,".",IF(A7508=".",1,A7508+1))</f>
        <v>.</v>
      </c>
      <c r="B7509" s="244" t="str">
        <f t="shared" si="117"/>
        <v/>
      </c>
    </row>
    <row r="7510" spans="1:2" x14ac:dyDescent="0.25">
      <c r="A7510" t="str">
        <f>IF(C7510&amp;G7510&amp;D7510&lt;&gt;'Funnel setup'!$K$3&amp;'Funnel setup'!$K$4&amp;'Funnel setup'!$K$6,".",IF(A7509=".",1,A7509+1))</f>
        <v>.</v>
      </c>
      <c r="B7510" s="244" t="str">
        <f t="shared" si="117"/>
        <v/>
      </c>
    </row>
    <row r="7511" spans="1:2" x14ac:dyDescent="0.25">
      <c r="A7511" t="str">
        <f>IF(C7511&amp;G7511&amp;D7511&lt;&gt;'Funnel setup'!$K$3&amp;'Funnel setup'!$K$4&amp;'Funnel setup'!$K$6,".",IF(A7510=".",1,A7510+1))</f>
        <v>.</v>
      </c>
      <c r="B7511" s="244" t="str">
        <f t="shared" si="117"/>
        <v/>
      </c>
    </row>
    <row r="7512" spans="1:2" x14ac:dyDescent="0.25">
      <c r="A7512" t="str">
        <f>IF(C7512&amp;G7512&amp;D7512&lt;&gt;'Funnel setup'!$K$3&amp;'Funnel setup'!$K$4&amp;'Funnel setup'!$K$6,".",IF(A7511=".",1,A7511+1))</f>
        <v>.</v>
      </c>
      <c r="B7512" s="244" t="str">
        <f t="shared" si="117"/>
        <v/>
      </c>
    </row>
    <row r="7513" spans="1:2" x14ac:dyDescent="0.25">
      <c r="A7513" t="str">
        <f>IF(C7513&amp;G7513&amp;D7513&lt;&gt;'Funnel setup'!$K$3&amp;'Funnel setup'!$K$4&amp;'Funnel setup'!$K$6,".",IF(A7512=".",1,A7512+1))</f>
        <v>.</v>
      </c>
      <c r="B7513" s="244" t="str">
        <f t="shared" si="117"/>
        <v/>
      </c>
    </row>
    <row r="7514" spans="1:2" x14ac:dyDescent="0.25">
      <c r="A7514" t="str">
        <f>IF(C7514&amp;G7514&amp;D7514&lt;&gt;'Funnel setup'!$K$3&amp;'Funnel setup'!$K$4&amp;'Funnel setup'!$K$6,".",IF(A7513=".",1,A7513+1))</f>
        <v>.</v>
      </c>
      <c r="B7514" s="244" t="str">
        <f t="shared" si="117"/>
        <v/>
      </c>
    </row>
    <row r="7515" spans="1:2" x14ac:dyDescent="0.25">
      <c r="A7515" t="str">
        <f>IF(C7515&amp;G7515&amp;D7515&lt;&gt;'Funnel setup'!$K$3&amp;'Funnel setup'!$K$4&amp;'Funnel setup'!$K$6,".",IF(A7514=".",1,A7514+1))</f>
        <v>.</v>
      </c>
      <c r="B7515" s="244" t="str">
        <f t="shared" si="117"/>
        <v/>
      </c>
    </row>
    <row r="7516" spans="1:2" x14ac:dyDescent="0.25">
      <c r="A7516" t="str">
        <f>IF(C7516&amp;G7516&amp;D7516&lt;&gt;'Funnel setup'!$K$3&amp;'Funnel setup'!$K$4&amp;'Funnel setup'!$K$6,".",IF(A7515=".",1,A7515+1))</f>
        <v>.</v>
      </c>
      <c r="B7516" s="244" t="str">
        <f t="shared" si="117"/>
        <v/>
      </c>
    </row>
    <row r="7517" spans="1:2" x14ac:dyDescent="0.25">
      <c r="A7517" t="str">
        <f>IF(C7517&amp;G7517&amp;D7517&lt;&gt;'Funnel setup'!$K$3&amp;'Funnel setup'!$K$4&amp;'Funnel setup'!$K$6,".",IF(A7516=".",1,A7516+1))</f>
        <v>.</v>
      </c>
      <c r="B7517" s="244" t="str">
        <f t="shared" si="117"/>
        <v/>
      </c>
    </row>
    <row r="7518" spans="1:2" x14ac:dyDescent="0.25">
      <c r="A7518" t="str">
        <f>IF(C7518&amp;G7518&amp;D7518&lt;&gt;'Funnel setup'!$K$3&amp;'Funnel setup'!$K$4&amp;'Funnel setup'!$K$6,".",IF(A7517=".",1,A7517+1))</f>
        <v>.</v>
      </c>
      <c r="B7518" s="244" t="str">
        <f t="shared" si="117"/>
        <v/>
      </c>
    </row>
    <row r="7519" spans="1:2" x14ac:dyDescent="0.25">
      <c r="A7519" t="str">
        <f>IF(C7519&amp;G7519&amp;D7519&lt;&gt;'Funnel setup'!$K$3&amp;'Funnel setup'!$K$4&amp;'Funnel setup'!$K$6,".",IF(A7518=".",1,A7518+1))</f>
        <v>.</v>
      </c>
      <c r="B7519" s="244" t="str">
        <f t="shared" si="117"/>
        <v/>
      </c>
    </row>
    <row r="7520" spans="1:2" x14ac:dyDescent="0.25">
      <c r="A7520" t="str">
        <f>IF(C7520&amp;G7520&amp;D7520&lt;&gt;'Funnel setup'!$K$3&amp;'Funnel setup'!$K$4&amp;'Funnel setup'!$K$6,".",IF(A7519=".",1,A7519+1))</f>
        <v>.</v>
      </c>
      <c r="B7520" s="244" t="str">
        <f t="shared" si="117"/>
        <v/>
      </c>
    </row>
    <row r="7521" spans="1:2" x14ac:dyDescent="0.25">
      <c r="A7521" t="str">
        <f>IF(C7521&amp;G7521&amp;D7521&lt;&gt;'Funnel setup'!$K$3&amp;'Funnel setup'!$K$4&amp;'Funnel setup'!$K$6,".",IF(A7520=".",1,A7520+1))</f>
        <v>.</v>
      </c>
      <c r="B7521" s="244" t="str">
        <f t="shared" si="117"/>
        <v/>
      </c>
    </row>
    <row r="7522" spans="1:2" x14ac:dyDescent="0.25">
      <c r="A7522" t="str">
        <f>IF(C7522&amp;G7522&amp;D7522&lt;&gt;'Funnel setup'!$K$3&amp;'Funnel setup'!$K$4&amp;'Funnel setup'!$K$6,".",IF(A7521=".",1,A7521+1))</f>
        <v>.</v>
      </c>
      <c r="B7522" s="244" t="str">
        <f t="shared" si="117"/>
        <v/>
      </c>
    </row>
    <row r="7523" spans="1:2" x14ac:dyDescent="0.25">
      <c r="A7523" t="str">
        <f>IF(C7523&amp;G7523&amp;D7523&lt;&gt;'Funnel setup'!$K$3&amp;'Funnel setup'!$K$4&amp;'Funnel setup'!$K$6,".",IF(A7522=".",1,A7522+1))</f>
        <v>.</v>
      </c>
      <c r="B7523" s="244" t="str">
        <f t="shared" si="117"/>
        <v/>
      </c>
    </row>
    <row r="7524" spans="1:2" x14ac:dyDescent="0.25">
      <c r="A7524" t="str">
        <f>IF(C7524&amp;G7524&amp;D7524&lt;&gt;'Funnel setup'!$K$3&amp;'Funnel setup'!$K$4&amp;'Funnel setup'!$K$6,".",IF(A7523=".",1,A7523+1))</f>
        <v>.</v>
      </c>
      <c r="B7524" s="244" t="str">
        <f t="shared" si="117"/>
        <v/>
      </c>
    </row>
    <row r="7525" spans="1:2" x14ac:dyDescent="0.25">
      <c r="A7525" t="str">
        <f>IF(C7525&amp;G7525&amp;D7525&lt;&gt;'Funnel setup'!$K$3&amp;'Funnel setup'!$K$4&amp;'Funnel setup'!$K$6,".",IF(A7524=".",1,A7524+1))</f>
        <v>.</v>
      </c>
      <c r="B7525" s="244" t="str">
        <f t="shared" si="117"/>
        <v/>
      </c>
    </row>
    <row r="7526" spans="1:2" x14ac:dyDescent="0.25">
      <c r="A7526" t="str">
        <f>IF(C7526&amp;G7526&amp;D7526&lt;&gt;'Funnel setup'!$K$3&amp;'Funnel setup'!$K$4&amp;'Funnel setup'!$K$6,".",IF(A7525=".",1,A7525+1))</f>
        <v>.</v>
      </c>
      <c r="B7526" s="244" t="str">
        <f t="shared" si="117"/>
        <v/>
      </c>
    </row>
    <row r="7527" spans="1:2" x14ac:dyDescent="0.25">
      <c r="A7527" t="str">
        <f>IF(C7527&amp;G7527&amp;D7527&lt;&gt;'Funnel setup'!$K$3&amp;'Funnel setup'!$K$4&amp;'Funnel setup'!$K$6,".",IF(A7526=".",1,A7526+1))</f>
        <v>.</v>
      </c>
      <c r="B7527" s="244" t="str">
        <f t="shared" si="117"/>
        <v/>
      </c>
    </row>
    <row r="7528" spans="1:2" x14ac:dyDescent="0.25">
      <c r="A7528" t="str">
        <f>IF(C7528&amp;G7528&amp;D7528&lt;&gt;'Funnel setup'!$K$3&amp;'Funnel setup'!$K$4&amp;'Funnel setup'!$K$6,".",IF(A7527=".",1,A7527+1))</f>
        <v>.</v>
      </c>
      <c r="B7528" s="244" t="str">
        <f t="shared" si="117"/>
        <v/>
      </c>
    </row>
    <row r="7529" spans="1:2" x14ac:dyDescent="0.25">
      <c r="A7529" t="str">
        <f>IF(C7529&amp;G7529&amp;D7529&lt;&gt;'Funnel setup'!$K$3&amp;'Funnel setup'!$K$4&amp;'Funnel setup'!$K$6,".",IF(A7528=".",1,A7528+1))</f>
        <v>.</v>
      </c>
      <c r="B7529" s="244" t="str">
        <f t="shared" si="117"/>
        <v/>
      </c>
    </row>
    <row r="7530" spans="1:2" x14ac:dyDescent="0.25">
      <c r="A7530" t="str">
        <f>IF(C7530&amp;G7530&amp;D7530&lt;&gt;'Funnel setup'!$K$3&amp;'Funnel setup'!$K$4&amp;'Funnel setup'!$K$6,".",IF(A7529=".",1,A7529+1))</f>
        <v>.</v>
      </c>
      <c r="B7530" s="244" t="str">
        <f t="shared" si="117"/>
        <v/>
      </c>
    </row>
    <row r="7531" spans="1:2" x14ac:dyDescent="0.25">
      <c r="A7531" t="str">
        <f>IF(C7531&amp;G7531&amp;D7531&lt;&gt;'Funnel setup'!$K$3&amp;'Funnel setup'!$K$4&amp;'Funnel setup'!$K$6,".",IF(A7530=".",1,A7530+1))</f>
        <v>.</v>
      </c>
      <c r="B7531" s="244" t="str">
        <f t="shared" si="117"/>
        <v/>
      </c>
    </row>
    <row r="7532" spans="1:2" x14ac:dyDescent="0.25">
      <c r="A7532" t="str">
        <f>IF(C7532&amp;G7532&amp;D7532&lt;&gt;'Funnel setup'!$K$3&amp;'Funnel setup'!$K$4&amp;'Funnel setup'!$K$6,".",IF(A7531=".",1,A7531+1))</f>
        <v>.</v>
      </c>
      <c r="B7532" s="244" t="str">
        <f t="shared" si="117"/>
        <v/>
      </c>
    </row>
    <row r="7533" spans="1:2" x14ac:dyDescent="0.25">
      <c r="A7533" t="str">
        <f>IF(C7533&amp;G7533&amp;D7533&lt;&gt;'Funnel setup'!$K$3&amp;'Funnel setup'!$K$4&amp;'Funnel setup'!$K$6,".",IF(A7532=".",1,A7532+1))</f>
        <v>.</v>
      </c>
      <c r="B7533" s="244" t="str">
        <f t="shared" si="117"/>
        <v/>
      </c>
    </row>
    <row r="7534" spans="1:2" x14ac:dyDescent="0.25">
      <c r="A7534" t="str">
        <f>IF(C7534&amp;G7534&amp;D7534&lt;&gt;'Funnel setup'!$K$3&amp;'Funnel setup'!$K$4&amp;'Funnel setup'!$K$6,".",IF(A7533=".",1,A7533+1))</f>
        <v>.</v>
      </c>
      <c r="B7534" s="244" t="str">
        <f t="shared" si="117"/>
        <v/>
      </c>
    </row>
    <row r="7535" spans="1:2" x14ac:dyDescent="0.25">
      <c r="A7535" t="str">
        <f>IF(C7535&amp;G7535&amp;D7535&lt;&gt;'Funnel setup'!$K$3&amp;'Funnel setup'!$K$4&amp;'Funnel setup'!$K$6,".",IF(A7534=".",1,A7534+1))</f>
        <v>.</v>
      </c>
      <c r="B7535" s="244" t="str">
        <f t="shared" si="117"/>
        <v/>
      </c>
    </row>
    <row r="7536" spans="1:2" x14ac:dyDescent="0.25">
      <c r="A7536" t="str">
        <f>IF(C7536&amp;G7536&amp;D7536&lt;&gt;'Funnel setup'!$K$3&amp;'Funnel setup'!$K$4&amp;'Funnel setup'!$K$6,".",IF(A7535=".",1,A7535+1))</f>
        <v>.</v>
      </c>
      <c r="B7536" s="244" t="str">
        <f t="shared" si="117"/>
        <v/>
      </c>
    </row>
    <row r="7537" spans="1:2" x14ac:dyDescent="0.25">
      <c r="A7537" t="str">
        <f>IF(C7537&amp;G7537&amp;D7537&lt;&gt;'Funnel setup'!$K$3&amp;'Funnel setup'!$K$4&amp;'Funnel setup'!$K$6,".",IF(A7536=".",1,A7536+1))</f>
        <v>.</v>
      </c>
      <c r="B7537" s="244" t="str">
        <f t="shared" si="117"/>
        <v/>
      </c>
    </row>
    <row r="7538" spans="1:2" x14ac:dyDescent="0.25">
      <c r="A7538" t="str">
        <f>IF(C7538&amp;G7538&amp;D7538&lt;&gt;'Funnel setup'!$K$3&amp;'Funnel setup'!$K$4&amp;'Funnel setup'!$K$6,".",IF(A7537=".",1,A7537+1))</f>
        <v>.</v>
      </c>
      <c r="B7538" s="244" t="str">
        <f t="shared" si="117"/>
        <v/>
      </c>
    </row>
    <row r="7539" spans="1:2" x14ac:dyDescent="0.25">
      <c r="A7539" t="str">
        <f>IF(C7539&amp;G7539&amp;D7539&lt;&gt;'Funnel setup'!$K$3&amp;'Funnel setup'!$K$4&amp;'Funnel setup'!$K$6,".",IF(A7538=".",1,A7538+1))</f>
        <v>.</v>
      </c>
      <c r="B7539" s="244" t="str">
        <f t="shared" si="117"/>
        <v/>
      </c>
    </row>
    <row r="7540" spans="1:2" x14ac:dyDescent="0.25">
      <c r="A7540" t="str">
        <f>IF(C7540&amp;G7540&amp;D7540&lt;&gt;'Funnel setup'!$K$3&amp;'Funnel setup'!$K$4&amp;'Funnel setup'!$K$6,".",IF(A7539=".",1,A7539+1))</f>
        <v>.</v>
      </c>
      <c r="B7540" s="244" t="str">
        <f t="shared" si="117"/>
        <v/>
      </c>
    </row>
    <row r="7541" spans="1:2" x14ac:dyDescent="0.25">
      <c r="A7541" t="str">
        <f>IF(C7541&amp;G7541&amp;D7541&lt;&gt;'Funnel setup'!$K$3&amp;'Funnel setup'!$K$4&amp;'Funnel setup'!$K$6,".",IF(A7540=".",1,A7540+1))</f>
        <v>.</v>
      </c>
      <c r="B7541" s="244" t="str">
        <f t="shared" si="117"/>
        <v/>
      </c>
    </row>
    <row r="7542" spans="1:2" x14ac:dyDescent="0.25">
      <c r="A7542" t="str">
        <f>IF(C7542&amp;G7542&amp;D7542&lt;&gt;'Funnel setup'!$K$3&amp;'Funnel setup'!$K$4&amp;'Funnel setup'!$K$6,".",IF(A7541=".",1,A7541+1))</f>
        <v>.</v>
      </c>
      <c r="B7542" s="244" t="str">
        <f t="shared" si="117"/>
        <v/>
      </c>
    </row>
    <row r="7543" spans="1:2" x14ac:dyDescent="0.25">
      <c r="A7543" t="str">
        <f>IF(C7543&amp;G7543&amp;D7543&lt;&gt;'Funnel setup'!$K$3&amp;'Funnel setup'!$K$4&amp;'Funnel setup'!$K$6,".",IF(A7542=".",1,A7542+1))</f>
        <v>.</v>
      </c>
      <c r="B7543" s="244" t="str">
        <f t="shared" si="117"/>
        <v/>
      </c>
    </row>
    <row r="7544" spans="1:2" x14ac:dyDescent="0.25">
      <c r="A7544" t="str">
        <f>IF(C7544&amp;G7544&amp;D7544&lt;&gt;'Funnel setup'!$K$3&amp;'Funnel setup'!$K$4&amp;'Funnel setup'!$K$6,".",IF(A7543=".",1,A7543+1))</f>
        <v>.</v>
      </c>
      <c r="B7544" s="244" t="str">
        <f t="shared" si="117"/>
        <v/>
      </c>
    </row>
    <row r="7545" spans="1:2" x14ac:dyDescent="0.25">
      <c r="A7545" t="str">
        <f>IF(C7545&amp;G7545&amp;D7545&lt;&gt;'Funnel setup'!$K$3&amp;'Funnel setup'!$K$4&amp;'Funnel setup'!$K$6,".",IF(A7544=".",1,A7544+1))</f>
        <v>.</v>
      </c>
      <c r="B7545" s="244" t="str">
        <f t="shared" si="117"/>
        <v/>
      </c>
    </row>
    <row r="7546" spans="1:2" x14ac:dyDescent="0.25">
      <c r="A7546" t="str">
        <f>IF(C7546&amp;G7546&amp;D7546&lt;&gt;'Funnel setup'!$K$3&amp;'Funnel setup'!$K$4&amp;'Funnel setup'!$K$6,".",IF(A7545=".",1,A7545+1))</f>
        <v>.</v>
      </c>
      <c r="B7546" s="244" t="str">
        <f t="shared" si="117"/>
        <v/>
      </c>
    </row>
    <row r="7547" spans="1:2" x14ac:dyDescent="0.25">
      <c r="A7547" t="str">
        <f>IF(C7547&amp;G7547&amp;D7547&lt;&gt;'Funnel setup'!$K$3&amp;'Funnel setup'!$K$4&amp;'Funnel setup'!$K$6,".",IF(A7546=".",1,A7546+1))</f>
        <v>.</v>
      </c>
      <c r="B7547" s="244" t="str">
        <f t="shared" si="117"/>
        <v/>
      </c>
    </row>
    <row r="7548" spans="1:2" x14ac:dyDescent="0.25">
      <c r="A7548" t="str">
        <f>IF(C7548&amp;G7548&amp;D7548&lt;&gt;'Funnel setup'!$K$3&amp;'Funnel setup'!$K$4&amp;'Funnel setup'!$K$6,".",IF(A7547=".",1,A7547+1))</f>
        <v>.</v>
      </c>
      <c r="B7548" s="244" t="str">
        <f t="shared" si="117"/>
        <v/>
      </c>
    </row>
    <row r="7549" spans="1:2" x14ac:dyDescent="0.25">
      <c r="A7549" t="str">
        <f>IF(C7549&amp;G7549&amp;D7549&lt;&gt;'Funnel setup'!$K$3&amp;'Funnel setup'!$K$4&amp;'Funnel setup'!$K$6,".",IF(A7548=".",1,A7548+1))</f>
        <v>.</v>
      </c>
      <c r="B7549" s="244" t="str">
        <f t="shared" si="117"/>
        <v/>
      </c>
    </row>
    <row r="7550" spans="1:2" x14ac:dyDescent="0.25">
      <c r="A7550" t="str">
        <f>IF(C7550&amp;G7550&amp;D7550&lt;&gt;'Funnel setup'!$K$3&amp;'Funnel setup'!$K$4&amp;'Funnel setup'!$K$6,".",IF(A7549=".",1,A7549+1))</f>
        <v>.</v>
      </c>
      <c r="B7550" s="244" t="str">
        <f t="shared" si="117"/>
        <v/>
      </c>
    </row>
    <row r="7551" spans="1:2" x14ac:dyDescent="0.25">
      <c r="A7551" t="str">
        <f>IF(C7551&amp;G7551&amp;D7551&lt;&gt;'Funnel setup'!$K$3&amp;'Funnel setup'!$K$4&amp;'Funnel setup'!$K$6,".",IF(A7550=".",1,A7550+1))</f>
        <v>.</v>
      </c>
      <c r="B7551" s="244" t="str">
        <f t="shared" si="117"/>
        <v/>
      </c>
    </row>
    <row r="7552" spans="1:2" x14ac:dyDescent="0.25">
      <c r="A7552" t="str">
        <f>IF(C7552&amp;G7552&amp;D7552&lt;&gt;'Funnel setup'!$K$3&amp;'Funnel setup'!$K$4&amp;'Funnel setup'!$K$6,".",IF(A7551=".",1,A7551+1))</f>
        <v>.</v>
      </c>
      <c r="B7552" s="244" t="str">
        <f t="shared" si="117"/>
        <v/>
      </c>
    </row>
    <row r="7553" spans="1:2" x14ac:dyDescent="0.25">
      <c r="A7553" t="str">
        <f>IF(C7553&amp;G7553&amp;D7553&lt;&gt;'Funnel setup'!$K$3&amp;'Funnel setup'!$K$4&amp;'Funnel setup'!$K$6,".",IF(A7552=".",1,A7552+1))</f>
        <v>.</v>
      </c>
      <c r="B7553" s="244" t="str">
        <f t="shared" si="117"/>
        <v/>
      </c>
    </row>
    <row r="7554" spans="1:2" x14ac:dyDescent="0.25">
      <c r="A7554" t="str">
        <f>IF(C7554&amp;G7554&amp;D7554&lt;&gt;'Funnel setup'!$K$3&amp;'Funnel setup'!$K$4&amp;'Funnel setup'!$K$6,".",IF(A7553=".",1,A7553+1))</f>
        <v>.</v>
      </c>
      <c r="B7554" s="244" t="str">
        <f t="shared" ref="B7554:B7617" si="118">C7554&amp;D7554&amp;F7554&amp;G7554</f>
        <v/>
      </c>
    </row>
    <row r="7555" spans="1:2" x14ac:dyDescent="0.25">
      <c r="A7555" t="str">
        <f>IF(C7555&amp;G7555&amp;D7555&lt;&gt;'Funnel setup'!$K$3&amp;'Funnel setup'!$K$4&amp;'Funnel setup'!$K$6,".",IF(A7554=".",1,A7554+1))</f>
        <v>.</v>
      </c>
      <c r="B7555" s="244" t="str">
        <f t="shared" si="118"/>
        <v/>
      </c>
    </row>
    <row r="7556" spans="1:2" x14ac:dyDescent="0.25">
      <c r="A7556" t="str">
        <f>IF(C7556&amp;G7556&amp;D7556&lt;&gt;'Funnel setup'!$K$3&amp;'Funnel setup'!$K$4&amp;'Funnel setup'!$K$6,".",IF(A7555=".",1,A7555+1))</f>
        <v>.</v>
      </c>
      <c r="B7556" s="244" t="str">
        <f t="shared" si="118"/>
        <v/>
      </c>
    </row>
    <row r="7557" spans="1:2" x14ac:dyDescent="0.25">
      <c r="A7557" t="str">
        <f>IF(C7557&amp;G7557&amp;D7557&lt;&gt;'Funnel setup'!$K$3&amp;'Funnel setup'!$K$4&amp;'Funnel setup'!$K$6,".",IF(A7556=".",1,A7556+1))</f>
        <v>.</v>
      </c>
      <c r="B7557" s="244" t="str">
        <f t="shared" si="118"/>
        <v/>
      </c>
    </row>
    <row r="7558" spans="1:2" x14ac:dyDescent="0.25">
      <c r="A7558" t="str">
        <f>IF(C7558&amp;G7558&amp;D7558&lt;&gt;'Funnel setup'!$K$3&amp;'Funnel setup'!$K$4&amp;'Funnel setup'!$K$6,".",IF(A7557=".",1,A7557+1))</f>
        <v>.</v>
      </c>
      <c r="B7558" s="244" t="str">
        <f t="shared" si="118"/>
        <v/>
      </c>
    </row>
    <row r="7559" spans="1:2" x14ac:dyDescent="0.25">
      <c r="A7559" t="str">
        <f>IF(C7559&amp;G7559&amp;D7559&lt;&gt;'Funnel setup'!$K$3&amp;'Funnel setup'!$K$4&amp;'Funnel setup'!$K$6,".",IF(A7558=".",1,A7558+1))</f>
        <v>.</v>
      </c>
      <c r="B7559" s="244" t="str">
        <f t="shared" si="118"/>
        <v/>
      </c>
    </row>
    <row r="7560" spans="1:2" x14ac:dyDescent="0.25">
      <c r="A7560" t="str">
        <f>IF(C7560&amp;G7560&amp;D7560&lt;&gt;'Funnel setup'!$K$3&amp;'Funnel setup'!$K$4&amp;'Funnel setup'!$K$6,".",IF(A7559=".",1,A7559+1))</f>
        <v>.</v>
      </c>
      <c r="B7560" s="244" t="str">
        <f t="shared" si="118"/>
        <v/>
      </c>
    </row>
    <row r="7561" spans="1:2" x14ac:dyDescent="0.25">
      <c r="A7561" t="str">
        <f>IF(C7561&amp;G7561&amp;D7561&lt;&gt;'Funnel setup'!$K$3&amp;'Funnel setup'!$K$4&amp;'Funnel setup'!$K$6,".",IF(A7560=".",1,A7560+1))</f>
        <v>.</v>
      </c>
      <c r="B7561" s="244" t="str">
        <f t="shared" si="118"/>
        <v/>
      </c>
    </row>
    <row r="7562" spans="1:2" x14ac:dyDescent="0.25">
      <c r="A7562" t="str">
        <f>IF(C7562&amp;G7562&amp;D7562&lt;&gt;'Funnel setup'!$K$3&amp;'Funnel setup'!$K$4&amp;'Funnel setup'!$K$6,".",IF(A7561=".",1,A7561+1))</f>
        <v>.</v>
      </c>
      <c r="B7562" s="244" t="str">
        <f t="shared" si="118"/>
        <v/>
      </c>
    </row>
    <row r="7563" spans="1:2" x14ac:dyDescent="0.25">
      <c r="A7563" t="str">
        <f>IF(C7563&amp;G7563&amp;D7563&lt;&gt;'Funnel setup'!$K$3&amp;'Funnel setup'!$K$4&amp;'Funnel setup'!$K$6,".",IF(A7562=".",1,A7562+1))</f>
        <v>.</v>
      </c>
      <c r="B7563" s="244" t="str">
        <f t="shared" si="118"/>
        <v/>
      </c>
    </row>
    <row r="7564" spans="1:2" x14ac:dyDescent="0.25">
      <c r="A7564" t="str">
        <f>IF(C7564&amp;G7564&amp;D7564&lt;&gt;'Funnel setup'!$K$3&amp;'Funnel setup'!$K$4&amp;'Funnel setup'!$K$6,".",IF(A7563=".",1,A7563+1))</f>
        <v>.</v>
      </c>
      <c r="B7564" s="244" t="str">
        <f t="shared" si="118"/>
        <v/>
      </c>
    </row>
    <row r="7565" spans="1:2" x14ac:dyDescent="0.25">
      <c r="A7565" t="str">
        <f>IF(C7565&amp;G7565&amp;D7565&lt;&gt;'Funnel setup'!$K$3&amp;'Funnel setup'!$K$4&amp;'Funnel setup'!$K$6,".",IF(A7564=".",1,A7564+1))</f>
        <v>.</v>
      </c>
      <c r="B7565" s="244" t="str">
        <f t="shared" si="118"/>
        <v/>
      </c>
    </row>
    <row r="7566" spans="1:2" x14ac:dyDescent="0.25">
      <c r="A7566" t="str">
        <f>IF(C7566&amp;G7566&amp;D7566&lt;&gt;'Funnel setup'!$K$3&amp;'Funnel setup'!$K$4&amp;'Funnel setup'!$K$6,".",IF(A7565=".",1,A7565+1))</f>
        <v>.</v>
      </c>
      <c r="B7566" s="244" t="str">
        <f t="shared" si="118"/>
        <v/>
      </c>
    </row>
    <row r="7567" spans="1:2" x14ac:dyDescent="0.25">
      <c r="A7567" t="str">
        <f>IF(C7567&amp;G7567&amp;D7567&lt;&gt;'Funnel setup'!$K$3&amp;'Funnel setup'!$K$4&amp;'Funnel setup'!$K$6,".",IF(A7566=".",1,A7566+1))</f>
        <v>.</v>
      </c>
      <c r="B7567" s="244" t="str">
        <f t="shared" si="118"/>
        <v/>
      </c>
    </row>
    <row r="7568" spans="1:2" x14ac:dyDescent="0.25">
      <c r="A7568" t="str">
        <f>IF(C7568&amp;G7568&amp;D7568&lt;&gt;'Funnel setup'!$K$3&amp;'Funnel setup'!$K$4&amp;'Funnel setup'!$K$6,".",IF(A7567=".",1,A7567+1))</f>
        <v>.</v>
      </c>
      <c r="B7568" s="244" t="str">
        <f t="shared" si="118"/>
        <v/>
      </c>
    </row>
    <row r="7569" spans="1:2" x14ac:dyDescent="0.25">
      <c r="A7569" t="str">
        <f>IF(C7569&amp;G7569&amp;D7569&lt;&gt;'Funnel setup'!$K$3&amp;'Funnel setup'!$K$4&amp;'Funnel setup'!$K$6,".",IF(A7568=".",1,A7568+1))</f>
        <v>.</v>
      </c>
      <c r="B7569" s="244" t="str">
        <f t="shared" si="118"/>
        <v/>
      </c>
    </row>
    <row r="7570" spans="1:2" x14ac:dyDescent="0.25">
      <c r="A7570" t="str">
        <f>IF(C7570&amp;G7570&amp;D7570&lt;&gt;'Funnel setup'!$K$3&amp;'Funnel setup'!$K$4&amp;'Funnel setup'!$K$6,".",IF(A7569=".",1,A7569+1))</f>
        <v>.</v>
      </c>
      <c r="B7570" s="244" t="str">
        <f t="shared" si="118"/>
        <v/>
      </c>
    </row>
    <row r="7571" spans="1:2" x14ac:dyDescent="0.25">
      <c r="A7571" t="str">
        <f>IF(C7571&amp;G7571&amp;D7571&lt;&gt;'Funnel setup'!$K$3&amp;'Funnel setup'!$K$4&amp;'Funnel setup'!$K$6,".",IF(A7570=".",1,A7570+1))</f>
        <v>.</v>
      </c>
      <c r="B7571" s="244" t="str">
        <f t="shared" si="118"/>
        <v/>
      </c>
    </row>
    <row r="7572" spans="1:2" x14ac:dyDescent="0.25">
      <c r="A7572" t="str">
        <f>IF(C7572&amp;G7572&amp;D7572&lt;&gt;'Funnel setup'!$K$3&amp;'Funnel setup'!$K$4&amp;'Funnel setup'!$K$6,".",IF(A7571=".",1,A7571+1))</f>
        <v>.</v>
      </c>
      <c r="B7572" s="244" t="str">
        <f t="shared" si="118"/>
        <v/>
      </c>
    </row>
    <row r="7573" spans="1:2" x14ac:dyDescent="0.25">
      <c r="A7573" t="str">
        <f>IF(C7573&amp;G7573&amp;D7573&lt;&gt;'Funnel setup'!$K$3&amp;'Funnel setup'!$K$4&amp;'Funnel setup'!$K$6,".",IF(A7572=".",1,A7572+1))</f>
        <v>.</v>
      </c>
      <c r="B7573" s="244" t="str">
        <f t="shared" si="118"/>
        <v/>
      </c>
    </row>
    <row r="7574" spans="1:2" x14ac:dyDescent="0.25">
      <c r="A7574" t="str">
        <f>IF(C7574&amp;G7574&amp;D7574&lt;&gt;'Funnel setup'!$K$3&amp;'Funnel setup'!$K$4&amp;'Funnel setup'!$K$6,".",IF(A7573=".",1,A7573+1))</f>
        <v>.</v>
      </c>
      <c r="B7574" s="244" t="str">
        <f t="shared" si="118"/>
        <v/>
      </c>
    </row>
    <row r="7575" spans="1:2" x14ac:dyDescent="0.25">
      <c r="A7575" t="str">
        <f>IF(C7575&amp;G7575&amp;D7575&lt;&gt;'Funnel setup'!$K$3&amp;'Funnel setup'!$K$4&amp;'Funnel setup'!$K$6,".",IF(A7574=".",1,A7574+1))</f>
        <v>.</v>
      </c>
      <c r="B7575" s="244" t="str">
        <f t="shared" si="118"/>
        <v/>
      </c>
    </row>
    <row r="7576" spans="1:2" x14ac:dyDescent="0.25">
      <c r="A7576" t="str">
        <f>IF(C7576&amp;G7576&amp;D7576&lt;&gt;'Funnel setup'!$K$3&amp;'Funnel setup'!$K$4&amp;'Funnel setup'!$K$6,".",IF(A7575=".",1,A7575+1))</f>
        <v>.</v>
      </c>
      <c r="B7576" s="244" t="str">
        <f t="shared" si="118"/>
        <v/>
      </c>
    </row>
    <row r="7577" spans="1:2" x14ac:dyDescent="0.25">
      <c r="A7577" t="str">
        <f>IF(C7577&amp;G7577&amp;D7577&lt;&gt;'Funnel setup'!$K$3&amp;'Funnel setup'!$K$4&amp;'Funnel setup'!$K$6,".",IF(A7576=".",1,A7576+1))</f>
        <v>.</v>
      </c>
      <c r="B7577" s="244" t="str">
        <f t="shared" si="118"/>
        <v/>
      </c>
    </row>
    <row r="7578" spans="1:2" x14ac:dyDescent="0.25">
      <c r="A7578" t="str">
        <f>IF(C7578&amp;G7578&amp;D7578&lt;&gt;'Funnel setup'!$K$3&amp;'Funnel setup'!$K$4&amp;'Funnel setup'!$K$6,".",IF(A7577=".",1,A7577+1))</f>
        <v>.</v>
      </c>
      <c r="B7578" s="244" t="str">
        <f t="shared" si="118"/>
        <v/>
      </c>
    </row>
    <row r="7579" spans="1:2" x14ac:dyDescent="0.25">
      <c r="A7579" t="str">
        <f>IF(C7579&amp;G7579&amp;D7579&lt;&gt;'Funnel setup'!$K$3&amp;'Funnel setup'!$K$4&amp;'Funnel setup'!$K$6,".",IF(A7578=".",1,A7578+1))</f>
        <v>.</v>
      </c>
      <c r="B7579" s="244" t="str">
        <f t="shared" si="118"/>
        <v/>
      </c>
    </row>
    <row r="7580" spans="1:2" x14ac:dyDescent="0.25">
      <c r="A7580" t="str">
        <f>IF(C7580&amp;G7580&amp;D7580&lt;&gt;'Funnel setup'!$K$3&amp;'Funnel setup'!$K$4&amp;'Funnel setup'!$K$6,".",IF(A7579=".",1,A7579+1))</f>
        <v>.</v>
      </c>
      <c r="B7580" s="244" t="str">
        <f t="shared" si="118"/>
        <v/>
      </c>
    </row>
    <row r="7581" spans="1:2" x14ac:dyDescent="0.25">
      <c r="A7581" t="str">
        <f>IF(C7581&amp;G7581&amp;D7581&lt;&gt;'Funnel setup'!$K$3&amp;'Funnel setup'!$K$4&amp;'Funnel setup'!$K$6,".",IF(A7580=".",1,A7580+1))</f>
        <v>.</v>
      </c>
      <c r="B7581" s="244" t="str">
        <f t="shared" si="118"/>
        <v/>
      </c>
    </row>
    <row r="7582" spans="1:2" x14ac:dyDescent="0.25">
      <c r="A7582" t="str">
        <f>IF(C7582&amp;G7582&amp;D7582&lt;&gt;'Funnel setup'!$K$3&amp;'Funnel setup'!$K$4&amp;'Funnel setup'!$K$6,".",IF(A7581=".",1,A7581+1))</f>
        <v>.</v>
      </c>
      <c r="B7582" s="244" t="str">
        <f t="shared" si="118"/>
        <v/>
      </c>
    </row>
    <row r="7583" spans="1:2" x14ac:dyDescent="0.25">
      <c r="A7583" t="str">
        <f>IF(C7583&amp;G7583&amp;D7583&lt;&gt;'Funnel setup'!$K$3&amp;'Funnel setup'!$K$4&amp;'Funnel setup'!$K$6,".",IF(A7582=".",1,A7582+1))</f>
        <v>.</v>
      </c>
      <c r="B7583" s="244" t="str">
        <f t="shared" si="118"/>
        <v/>
      </c>
    </row>
    <row r="7584" spans="1:2" x14ac:dyDescent="0.25">
      <c r="A7584" t="str">
        <f>IF(C7584&amp;G7584&amp;D7584&lt;&gt;'Funnel setup'!$K$3&amp;'Funnel setup'!$K$4&amp;'Funnel setup'!$K$6,".",IF(A7583=".",1,A7583+1))</f>
        <v>.</v>
      </c>
      <c r="B7584" s="244" t="str">
        <f t="shared" si="118"/>
        <v/>
      </c>
    </row>
    <row r="7585" spans="1:2" x14ac:dyDescent="0.25">
      <c r="A7585" t="str">
        <f>IF(C7585&amp;G7585&amp;D7585&lt;&gt;'Funnel setup'!$K$3&amp;'Funnel setup'!$K$4&amp;'Funnel setup'!$K$6,".",IF(A7584=".",1,A7584+1))</f>
        <v>.</v>
      </c>
      <c r="B7585" s="244" t="str">
        <f t="shared" si="118"/>
        <v/>
      </c>
    </row>
    <row r="7586" spans="1:2" x14ac:dyDescent="0.25">
      <c r="A7586" t="str">
        <f>IF(C7586&amp;G7586&amp;D7586&lt;&gt;'Funnel setup'!$K$3&amp;'Funnel setup'!$K$4&amp;'Funnel setup'!$K$6,".",IF(A7585=".",1,A7585+1))</f>
        <v>.</v>
      </c>
      <c r="B7586" s="244" t="str">
        <f t="shared" si="118"/>
        <v/>
      </c>
    </row>
    <row r="7587" spans="1:2" x14ac:dyDescent="0.25">
      <c r="A7587" t="str">
        <f>IF(C7587&amp;G7587&amp;D7587&lt;&gt;'Funnel setup'!$K$3&amp;'Funnel setup'!$K$4&amp;'Funnel setup'!$K$6,".",IF(A7586=".",1,A7586+1))</f>
        <v>.</v>
      </c>
      <c r="B7587" s="244" t="str">
        <f t="shared" si="118"/>
        <v/>
      </c>
    </row>
    <row r="7588" spans="1:2" x14ac:dyDescent="0.25">
      <c r="A7588" t="str">
        <f>IF(C7588&amp;G7588&amp;D7588&lt;&gt;'Funnel setup'!$K$3&amp;'Funnel setup'!$K$4&amp;'Funnel setup'!$K$6,".",IF(A7587=".",1,A7587+1))</f>
        <v>.</v>
      </c>
      <c r="B7588" s="244" t="str">
        <f t="shared" si="118"/>
        <v/>
      </c>
    </row>
    <row r="7589" spans="1:2" x14ac:dyDescent="0.25">
      <c r="A7589" t="str">
        <f>IF(C7589&amp;G7589&amp;D7589&lt;&gt;'Funnel setup'!$K$3&amp;'Funnel setup'!$K$4&amp;'Funnel setup'!$K$6,".",IF(A7588=".",1,A7588+1))</f>
        <v>.</v>
      </c>
      <c r="B7589" s="244" t="str">
        <f t="shared" si="118"/>
        <v/>
      </c>
    </row>
    <row r="7590" spans="1:2" x14ac:dyDescent="0.25">
      <c r="A7590" t="str">
        <f>IF(C7590&amp;G7590&amp;D7590&lt;&gt;'Funnel setup'!$K$3&amp;'Funnel setup'!$K$4&amp;'Funnel setup'!$K$6,".",IF(A7589=".",1,A7589+1))</f>
        <v>.</v>
      </c>
      <c r="B7590" s="244" t="str">
        <f t="shared" si="118"/>
        <v/>
      </c>
    </row>
    <row r="7591" spans="1:2" x14ac:dyDescent="0.25">
      <c r="A7591" t="str">
        <f>IF(C7591&amp;G7591&amp;D7591&lt;&gt;'Funnel setup'!$K$3&amp;'Funnel setup'!$K$4&amp;'Funnel setup'!$K$6,".",IF(A7590=".",1,A7590+1))</f>
        <v>.</v>
      </c>
      <c r="B7591" s="244" t="str">
        <f t="shared" si="118"/>
        <v/>
      </c>
    </row>
    <row r="7592" spans="1:2" x14ac:dyDescent="0.25">
      <c r="A7592" t="str">
        <f>IF(C7592&amp;G7592&amp;D7592&lt;&gt;'Funnel setup'!$K$3&amp;'Funnel setup'!$K$4&amp;'Funnel setup'!$K$6,".",IF(A7591=".",1,A7591+1))</f>
        <v>.</v>
      </c>
      <c r="B7592" s="244" t="str">
        <f t="shared" si="118"/>
        <v/>
      </c>
    </row>
    <row r="7593" spans="1:2" x14ac:dyDescent="0.25">
      <c r="A7593" t="str">
        <f>IF(C7593&amp;G7593&amp;D7593&lt;&gt;'Funnel setup'!$K$3&amp;'Funnel setup'!$K$4&amp;'Funnel setup'!$K$6,".",IF(A7592=".",1,A7592+1))</f>
        <v>.</v>
      </c>
      <c r="B7593" s="244" t="str">
        <f t="shared" si="118"/>
        <v/>
      </c>
    </row>
    <row r="7594" spans="1:2" x14ac:dyDescent="0.25">
      <c r="A7594" t="str">
        <f>IF(C7594&amp;G7594&amp;D7594&lt;&gt;'Funnel setup'!$K$3&amp;'Funnel setup'!$K$4&amp;'Funnel setup'!$K$6,".",IF(A7593=".",1,A7593+1))</f>
        <v>.</v>
      </c>
      <c r="B7594" s="244" t="str">
        <f t="shared" si="118"/>
        <v/>
      </c>
    </row>
    <row r="7595" spans="1:2" x14ac:dyDescent="0.25">
      <c r="A7595" t="str">
        <f>IF(C7595&amp;G7595&amp;D7595&lt;&gt;'Funnel setup'!$K$3&amp;'Funnel setup'!$K$4&amp;'Funnel setup'!$K$6,".",IF(A7594=".",1,A7594+1))</f>
        <v>.</v>
      </c>
      <c r="B7595" s="244" t="str">
        <f t="shared" si="118"/>
        <v/>
      </c>
    </row>
    <row r="7596" spans="1:2" x14ac:dyDescent="0.25">
      <c r="A7596" t="str">
        <f>IF(C7596&amp;G7596&amp;D7596&lt;&gt;'Funnel setup'!$K$3&amp;'Funnel setup'!$K$4&amp;'Funnel setup'!$K$6,".",IF(A7595=".",1,A7595+1))</f>
        <v>.</v>
      </c>
      <c r="B7596" s="244" t="str">
        <f t="shared" si="118"/>
        <v/>
      </c>
    </row>
    <row r="7597" spans="1:2" x14ac:dyDescent="0.25">
      <c r="A7597" t="str">
        <f>IF(C7597&amp;G7597&amp;D7597&lt;&gt;'Funnel setup'!$K$3&amp;'Funnel setup'!$K$4&amp;'Funnel setup'!$K$6,".",IF(A7596=".",1,A7596+1))</f>
        <v>.</v>
      </c>
      <c r="B7597" s="244" t="str">
        <f t="shared" si="118"/>
        <v/>
      </c>
    </row>
    <row r="7598" spans="1:2" x14ac:dyDescent="0.25">
      <c r="A7598" t="str">
        <f>IF(C7598&amp;G7598&amp;D7598&lt;&gt;'Funnel setup'!$K$3&amp;'Funnel setup'!$K$4&amp;'Funnel setup'!$K$6,".",IF(A7597=".",1,A7597+1))</f>
        <v>.</v>
      </c>
      <c r="B7598" s="244" t="str">
        <f t="shared" si="118"/>
        <v/>
      </c>
    </row>
    <row r="7599" spans="1:2" x14ac:dyDescent="0.25">
      <c r="A7599" t="str">
        <f>IF(C7599&amp;G7599&amp;D7599&lt;&gt;'Funnel setup'!$K$3&amp;'Funnel setup'!$K$4&amp;'Funnel setup'!$K$6,".",IF(A7598=".",1,A7598+1))</f>
        <v>.</v>
      </c>
      <c r="B7599" s="244" t="str">
        <f t="shared" si="118"/>
        <v/>
      </c>
    </row>
    <row r="7600" spans="1:2" x14ac:dyDescent="0.25">
      <c r="A7600" t="str">
        <f>IF(C7600&amp;G7600&amp;D7600&lt;&gt;'Funnel setup'!$K$3&amp;'Funnel setup'!$K$4&amp;'Funnel setup'!$K$6,".",IF(A7599=".",1,A7599+1))</f>
        <v>.</v>
      </c>
      <c r="B7600" s="244" t="str">
        <f t="shared" si="118"/>
        <v/>
      </c>
    </row>
    <row r="7601" spans="1:2" x14ac:dyDescent="0.25">
      <c r="A7601" t="str">
        <f>IF(C7601&amp;G7601&amp;D7601&lt;&gt;'Funnel setup'!$K$3&amp;'Funnel setup'!$K$4&amp;'Funnel setup'!$K$6,".",IF(A7600=".",1,A7600+1))</f>
        <v>.</v>
      </c>
      <c r="B7601" s="244" t="str">
        <f t="shared" si="118"/>
        <v/>
      </c>
    </row>
    <row r="7602" spans="1:2" x14ac:dyDescent="0.25">
      <c r="A7602" t="str">
        <f>IF(C7602&amp;G7602&amp;D7602&lt;&gt;'Funnel setup'!$K$3&amp;'Funnel setup'!$K$4&amp;'Funnel setup'!$K$6,".",IF(A7601=".",1,A7601+1))</f>
        <v>.</v>
      </c>
      <c r="B7602" s="244" t="str">
        <f t="shared" si="118"/>
        <v/>
      </c>
    </row>
    <row r="7603" spans="1:2" x14ac:dyDescent="0.25">
      <c r="A7603" t="str">
        <f>IF(C7603&amp;G7603&amp;D7603&lt;&gt;'Funnel setup'!$K$3&amp;'Funnel setup'!$K$4&amp;'Funnel setup'!$K$6,".",IF(A7602=".",1,A7602+1))</f>
        <v>.</v>
      </c>
      <c r="B7603" s="244" t="str">
        <f t="shared" si="118"/>
        <v/>
      </c>
    </row>
    <row r="7604" spans="1:2" x14ac:dyDescent="0.25">
      <c r="A7604" t="str">
        <f>IF(C7604&amp;G7604&amp;D7604&lt;&gt;'Funnel setup'!$K$3&amp;'Funnel setup'!$K$4&amp;'Funnel setup'!$K$6,".",IF(A7603=".",1,A7603+1))</f>
        <v>.</v>
      </c>
      <c r="B7604" s="244" t="str">
        <f t="shared" si="118"/>
        <v/>
      </c>
    </row>
    <row r="7605" spans="1:2" x14ac:dyDescent="0.25">
      <c r="A7605" t="str">
        <f>IF(C7605&amp;G7605&amp;D7605&lt;&gt;'Funnel setup'!$K$3&amp;'Funnel setup'!$K$4&amp;'Funnel setup'!$K$6,".",IF(A7604=".",1,A7604+1))</f>
        <v>.</v>
      </c>
      <c r="B7605" s="244" t="str">
        <f t="shared" si="118"/>
        <v/>
      </c>
    </row>
    <row r="7606" spans="1:2" x14ac:dyDescent="0.25">
      <c r="A7606" t="str">
        <f>IF(C7606&amp;G7606&amp;D7606&lt;&gt;'Funnel setup'!$K$3&amp;'Funnel setup'!$K$4&amp;'Funnel setup'!$K$6,".",IF(A7605=".",1,A7605+1))</f>
        <v>.</v>
      </c>
      <c r="B7606" s="244" t="str">
        <f t="shared" si="118"/>
        <v/>
      </c>
    </row>
    <row r="7607" spans="1:2" x14ac:dyDescent="0.25">
      <c r="A7607" t="str">
        <f>IF(C7607&amp;G7607&amp;D7607&lt;&gt;'Funnel setup'!$K$3&amp;'Funnel setup'!$K$4&amp;'Funnel setup'!$K$6,".",IF(A7606=".",1,A7606+1))</f>
        <v>.</v>
      </c>
      <c r="B7607" s="244" t="str">
        <f t="shared" si="118"/>
        <v/>
      </c>
    </row>
    <row r="7608" spans="1:2" x14ac:dyDescent="0.25">
      <c r="A7608" t="str">
        <f>IF(C7608&amp;G7608&amp;D7608&lt;&gt;'Funnel setup'!$K$3&amp;'Funnel setup'!$K$4&amp;'Funnel setup'!$K$6,".",IF(A7607=".",1,A7607+1))</f>
        <v>.</v>
      </c>
      <c r="B7608" s="244" t="str">
        <f t="shared" si="118"/>
        <v/>
      </c>
    </row>
    <row r="7609" spans="1:2" x14ac:dyDescent="0.25">
      <c r="A7609" t="str">
        <f>IF(C7609&amp;G7609&amp;D7609&lt;&gt;'Funnel setup'!$K$3&amp;'Funnel setup'!$K$4&amp;'Funnel setup'!$K$6,".",IF(A7608=".",1,A7608+1))</f>
        <v>.</v>
      </c>
      <c r="B7609" s="244" t="str">
        <f t="shared" si="118"/>
        <v/>
      </c>
    </row>
    <row r="7610" spans="1:2" x14ac:dyDescent="0.25">
      <c r="A7610" t="str">
        <f>IF(C7610&amp;G7610&amp;D7610&lt;&gt;'Funnel setup'!$K$3&amp;'Funnel setup'!$K$4&amp;'Funnel setup'!$K$6,".",IF(A7609=".",1,A7609+1))</f>
        <v>.</v>
      </c>
      <c r="B7610" s="244" t="str">
        <f t="shared" si="118"/>
        <v/>
      </c>
    </row>
    <row r="7611" spans="1:2" x14ac:dyDescent="0.25">
      <c r="A7611" t="str">
        <f>IF(C7611&amp;G7611&amp;D7611&lt;&gt;'Funnel setup'!$K$3&amp;'Funnel setup'!$K$4&amp;'Funnel setup'!$K$6,".",IF(A7610=".",1,A7610+1))</f>
        <v>.</v>
      </c>
      <c r="B7611" s="244" t="str">
        <f t="shared" si="118"/>
        <v/>
      </c>
    </row>
    <row r="7612" spans="1:2" x14ac:dyDescent="0.25">
      <c r="A7612" t="str">
        <f>IF(C7612&amp;G7612&amp;D7612&lt;&gt;'Funnel setup'!$K$3&amp;'Funnel setup'!$K$4&amp;'Funnel setup'!$K$6,".",IF(A7611=".",1,A7611+1))</f>
        <v>.</v>
      </c>
      <c r="B7612" s="244" t="str">
        <f t="shared" si="118"/>
        <v/>
      </c>
    </row>
    <row r="7613" spans="1:2" x14ac:dyDescent="0.25">
      <c r="A7613" t="str">
        <f>IF(C7613&amp;G7613&amp;D7613&lt;&gt;'Funnel setup'!$K$3&amp;'Funnel setup'!$K$4&amp;'Funnel setup'!$K$6,".",IF(A7612=".",1,A7612+1))</f>
        <v>.</v>
      </c>
      <c r="B7613" s="244" t="str">
        <f t="shared" si="118"/>
        <v/>
      </c>
    </row>
    <row r="7614" spans="1:2" x14ac:dyDescent="0.25">
      <c r="A7614" t="str">
        <f>IF(C7614&amp;G7614&amp;D7614&lt;&gt;'Funnel setup'!$K$3&amp;'Funnel setup'!$K$4&amp;'Funnel setup'!$K$6,".",IF(A7613=".",1,A7613+1))</f>
        <v>.</v>
      </c>
      <c r="B7614" s="244" t="str">
        <f t="shared" si="118"/>
        <v/>
      </c>
    </row>
    <row r="7615" spans="1:2" x14ac:dyDescent="0.25">
      <c r="A7615" t="str">
        <f>IF(C7615&amp;G7615&amp;D7615&lt;&gt;'Funnel setup'!$K$3&amp;'Funnel setup'!$K$4&amp;'Funnel setup'!$K$6,".",IF(A7614=".",1,A7614+1))</f>
        <v>.</v>
      </c>
      <c r="B7615" s="244" t="str">
        <f t="shared" si="118"/>
        <v/>
      </c>
    </row>
    <row r="7616" spans="1:2" x14ac:dyDescent="0.25">
      <c r="A7616" t="str">
        <f>IF(C7616&amp;G7616&amp;D7616&lt;&gt;'Funnel setup'!$K$3&amp;'Funnel setup'!$K$4&amp;'Funnel setup'!$K$6,".",IF(A7615=".",1,A7615+1))</f>
        <v>.</v>
      </c>
      <c r="B7616" s="244" t="str">
        <f t="shared" si="118"/>
        <v/>
      </c>
    </row>
    <row r="7617" spans="1:2" x14ac:dyDescent="0.25">
      <c r="A7617" t="str">
        <f>IF(C7617&amp;G7617&amp;D7617&lt;&gt;'Funnel setup'!$K$3&amp;'Funnel setup'!$K$4&amp;'Funnel setup'!$K$6,".",IF(A7616=".",1,A7616+1))</f>
        <v>.</v>
      </c>
      <c r="B7617" s="244" t="str">
        <f t="shared" si="118"/>
        <v/>
      </c>
    </row>
    <row r="7618" spans="1:2" x14ac:dyDescent="0.25">
      <c r="A7618" t="str">
        <f>IF(C7618&amp;G7618&amp;D7618&lt;&gt;'Funnel setup'!$K$3&amp;'Funnel setup'!$K$4&amp;'Funnel setup'!$K$6,".",IF(A7617=".",1,A7617+1))</f>
        <v>.</v>
      </c>
      <c r="B7618" s="244" t="str">
        <f t="shared" ref="B7618:B7681" si="119">C7618&amp;D7618&amp;F7618&amp;G7618</f>
        <v/>
      </c>
    </row>
    <row r="7619" spans="1:2" x14ac:dyDescent="0.25">
      <c r="A7619" t="str">
        <f>IF(C7619&amp;G7619&amp;D7619&lt;&gt;'Funnel setup'!$K$3&amp;'Funnel setup'!$K$4&amp;'Funnel setup'!$K$6,".",IF(A7618=".",1,A7618+1))</f>
        <v>.</v>
      </c>
      <c r="B7619" s="244" t="str">
        <f t="shared" si="119"/>
        <v/>
      </c>
    </row>
    <row r="7620" spans="1:2" x14ac:dyDescent="0.25">
      <c r="A7620" t="str">
        <f>IF(C7620&amp;G7620&amp;D7620&lt;&gt;'Funnel setup'!$K$3&amp;'Funnel setup'!$K$4&amp;'Funnel setup'!$K$6,".",IF(A7619=".",1,A7619+1))</f>
        <v>.</v>
      </c>
      <c r="B7620" s="244" t="str">
        <f t="shared" si="119"/>
        <v/>
      </c>
    </row>
    <row r="7621" spans="1:2" x14ac:dyDescent="0.25">
      <c r="A7621" t="str">
        <f>IF(C7621&amp;G7621&amp;D7621&lt;&gt;'Funnel setup'!$K$3&amp;'Funnel setup'!$K$4&amp;'Funnel setup'!$K$6,".",IF(A7620=".",1,A7620+1))</f>
        <v>.</v>
      </c>
      <c r="B7621" s="244" t="str">
        <f t="shared" si="119"/>
        <v/>
      </c>
    </row>
    <row r="7622" spans="1:2" x14ac:dyDescent="0.25">
      <c r="A7622" t="str">
        <f>IF(C7622&amp;G7622&amp;D7622&lt;&gt;'Funnel setup'!$K$3&amp;'Funnel setup'!$K$4&amp;'Funnel setup'!$K$6,".",IF(A7621=".",1,A7621+1))</f>
        <v>.</v>
      </c>
      <c r="B7622" s="244" t="str">
        <f t="shared" si="119"/>
        <v/>
      </c>
    </row>
    <row r="7623" spans="1:2" x14ac:dyDescent="0.25">
      <c r="A7623" t="str">
        <f>IF(C7623&amp;G7623&amp;D7623&lt;&gt;'Funnel setup'!$K$3&amp;'Funnel setup'!$K$4&amp;'Funnel setup'!$K$6,".",IF(A7622=".",1,A7622+1))</f>
        <v>.</v>
      </c>
      <c r="B7623" s="244" t="str">
        <f t="shared" si="119"/>
        <v/>
      </c>
    </row>
    <row r="7624" spans="1:2" x14ac:dyDescent="0.25">
      <c r="A7624" t="str">
        <f>IF(C7624&amp;G7624&amp;D7624&lt;&gt;'Funnel setup'!$K$3&amp;'Funnel setup'!$K$4&amp;'Funnel setup'!$K$6,".",IF(A7623=".",1,A7623+1))</f>
        <v>.</v>
      </c>
      <c r="B7624" s="244" t="str">
        <f t="shared" si="119"/>
        <v/>
      </c>
    </row>
    <row r="7625" spans="1:2" x14ac:dyDescent="0.25">
      <c r="A7625" t="str">
        <f>IF(C7625&amp;G7625&amp;D7625&lt;&gt;'Funnel setup'!$K$3&amp;'Funnel setup'!$K$4&amp;'Funnel setup'!$K$6,".",IF(A7624=".",1,A7624+1))</f>
        <v>.</v>
      </c>
      <c r="B7625" s="244" t="str">
        <f t="shared" si="119"/>
        <v/>
      </c>
    </row>
    <row r="7626" spans="1:2" x14ac:dyDescent="0.25">
      <c r="A7626" t="str">
        <f>IF(C7626&amp;G7626&amp;D7626&lt;&gt;'Funnel setup'!$K$3&amp;'Funnel setup'!$K$4&amp;'Funnel setup'!$K$6,".",IF(A7625=".",1,A7625+1))</f>
        <v>.</v>
      </c>
      <c r="B7626" s="244" t="str">
        <f t="shared" si="119"/>
        <v/>
      </c>
    </row>
    <row r="7627" spans="1:2" x14ac:dyDescent="0.25">
      <c r="A7627" t="str">
        <f>IF(C7627&amp;G7627&amp;D7627&lt;&gt;'Funnel setup'!$K$3&amp;'Funnel setup'!$K$4&amp;'Funnel setup'!$K$6,".",IF(A7626=".",1,A7626+1))</f>
        <v>.</v>
      </c>
      <c r="B7627" s="244" t="str">
        <f t="shared" si="119"/>
        <v/>
      </c>
    </row>
    <row r="7628" spans="1:2" x14ac:dyDescent="0.25">
      <c r="A7628" t="str">
        <f>IF(C7628&amp;G7628&amp;D7628&lt;&gt;'Funnel setup'!$K$3&amp;'Funnel setup'!$K$4&amp;'Funnel setup'!$K$6,".",IF(A7627=".",1,A7627+1))</f>
        <v>.</v>
      </c>
      <c r="B7628" s="244" t="str">
        <f t="shared" si="119"/>
        <v/>
      </c>
    </row>
    <row r="7629" spans="1:2" x14ac:dyDescent="0.25">
      <c r="A7629" t="str">
        <f>IF(C7629&amp;G7629&amp;D7629&lt;&gt;'Funnel setup'!$K$3&amp;'Funnel setup'!$K$4&amp;'Funnel setup'!$K$6,".",IF(A7628=".",1,A7628+1))</f>
        <v>.</v>
      </c>
      <c r="B7629" s="244" t="str">
        <f t="shared" si="119"/>
        <v/>
      </c>
    </row>
    <row r="7630" spans="1:2" x14ac:dyDescent="0.25">
      <c r="A7630" t="str">
        <f>IF(C7630&amp;G7630&amp;D7630&lt;&gt;'Funnel setup'!$K$3&amp;'Funnel setup'!$K$4&amp;'Funnel setup'!$K$6,".",IF(A7629=".",1,A7629+1))</f>
        <v>.</v>
      </c>
      <c r="B7630" s="244" t="str">
        <f t="shared" si="119"/>
        <v/>
      </c>
    </row>
    <row r="7631" spans="1:2" x14ac:dyDescent="0.25">
      <c r="A7631" t="str">
        <f>IF(C7631&amp;G7631&amp;D7631&lt;&gt;'Funnel setup'!$K$3&amp;'Funnel setup'!$K$4&amp;'Funnel setup'!$K$6,".",IF(A7630=".",1,A7630+1))</f>
        <v>.</v>
      </c>
      <c r="B7631" s="244" t="str">
        <f t="shared" si="119"/>
        <v/>
      </c>
    </row>
    <row r="7632" spans="1:2" x14ac:dyDescent="0.25">
      <c r="A7632" t="str">
        <f>IF(C7632&amp;G7632&amp;D7632&lt;&gt;'Funnel setup'!$K$3&amp;'Funnel setup'!$K$4&amp;'Funnel setup'!$K$6,".",IF(A7631=".",1,A7631+1))</f>
        <v>.</v>
      </c>
      <c r="B7632" s="244" t="str">
        <f t="shared" si="119"/>
        <v/>
      </c>
    </row>
    <row r="7633" spans="1:2" x14ac:dyDescent="0.25">
      <c r="A7633" t="str">
        <f>IF(C7633&amp;G7633&amp;D7633&lt;&gt;'Funnel setup'!$K$3&amp;'Funnel setup'!$K$4&amp;'Funnel setup'!$K$6,".",IF(A7632=".",1,A7632+1))</f>
        <v>.</v>
      </c>
      <c r="B7633" s="244" t="str">
        <f t="shared" si="119"/>
        <v/>
      </c>
    </row>
    <row r="7634" spans="1:2" x14ac:dyDescent="0.25">
      <c r="A7634" t="str">
        <f>IF(C7634&amp;G7634&amp;D7634&lt;&gt;'Funnel setup'!$K$3&amp;'Funnel setup'!$K$4&amp;'Funnel setup'!$K$6,".",IF(A7633=".",1,A7633+1))</f>
        <v>.</v>
      </c>
      <c r="B7634" s="244" t="str">
        <f t="shared" si="119"/>
        <v/>
      </c>
    </row>
    <row r="7635" spans="1:2" x14ac:dyDescent="0.25">
      <c r="A7635" t="str">
        <f>IF(C7635&amp;G7635&amp;D7635&lt;&gt;'Funnel setup'!$K$3&amp;'Funnel setup'!$K$4&amp;'Funnel setup'!$K$6,".",IF(A7634=".",1,A7634+1))</f>
        <v>.</v>
      </c>
      <c r="B7635" s="244" t="str">
        <f t="shared" si="119"/>
        <v/>
      </c>
    </row>
    <row r="7636" spans="1:2" x14ac:dyDescent="0.25">
      <c r="A7636" t="str">
        <f>IF(C7636&amp;G7636&amp;D7636&lt;&gt;'Funnel setup'!$K$3&amp;'Funnel setup'!$K$4&amp;'Funnel setup'!$K$6,".",IF(A7635=".",1,A7635+1))</f>
        <v>.</v>
      </c>
      <c r="B7636" s="244" t="str">
        <f t="shared" si="119"/>
        <v/>
      </c>
    </row>
    <row r="7637" spans="1:2" x14ac:dyDescent="0.25">
      <c r="A7637" t="str">
        <f>IF(C7637&amp;G7637&amp;D7637&lt;&gt;'Funnel setup'!$K$3&amp;'Funnel setup'!$K$4&amp;'Funnel setup'!$K$6,".",IF(A7636=".",1,A7636+1))</f>
        <v>.</v>
      </c>
      <c r="B7637" s="244" t="str">
        <f t="shared" si="119"/>
        <v/>
      </c>
    </row>
    <row r="7638" spans="1:2" x14ac:dyDescent="0.25">
      <c r="A7638" t="str">
        <f>IF(C7638&amp;G7638&amp;D7638&lt;&gt;'Funnel setup'!$K$3&amp;'Funnel setup'!$K$4&amp;'Funnel setup'!$K$6,".",IF(A7637=".",1,A7637+1))</f>
        <v>.</v>
      </c>
      <c r="B7638" s="244" t="str">
        <f t="shared" si="119"/>
        <v/>
      </c>
    </row>
    <row r="7639" spans="1:2" x14ac:dyDescent="0.25">
      <c r="A7639" t="str">
        <f>IF(C7639&amp;G7639&amp;D7639&lt;&gt;'Funnel setup'!$K$3&amp;'Funnel setup'!$K$4&amp;'Funnel setup'!$K$6,".",IF(A7638=".",1,A7638+1))</f>
        <v>.</v>
      </c>
      <c r="B7639" s="244" t="str">
        <f t="shared" si="119"/>
        <v/>
      </c>
    </row>
    <row r="7640" spans="1:2" x14ac:dyDescent="0.25">
      <c r="A7640" t="str">
        <f>IF(C7640&amp;G7640&amp;D7640&lt;&gt;'Funnel setup'!$K$3&amp;'Funnel setup'!$K$4&amp;'Funnel setup'!$K$6,".",IF(A7639=".",1,A7639+1))</f>
        <v>.</v>
      </c>
      <c r="B7640" s="244" t="str">
        <f t="shared" si="119"/>
        <v/>
      </c>
    </row>
    <row r="7641" spans="1:2" x14ac:dyDescent="0.25">
      <c r="A7641" t="str">
        <f>IF(C7641&amp;G7641&amp;D7641&lt;&gt;'Funnel setup'!$K$3&amp;'Funnel setup'!$K$4&amp;'Funnel setup'!$K$6,".",IF(A7640=".",1,A7640+1))</f>
        <v>.</v>
      </c>
      <c r="B7641" s="244" t="str">
        <f t="shared" si="119"/>
        <v/>
      </c>
    </row>
    <row r="7642" spans="1:2" x14ac:dyDescent="0.25">
      <c r="A7642" t="str">
        <f>IF(C7642&amp;G7642&amp;D7642&lt;&gt;'Funnel setup'!$K$3&amp;'Funnel setup'!$K$4&amp;'Funnel setup'!$K$6,".",IF(A7641=".",1,A7641+1))</f>
        <v>.</v>
      </c>
      <c r="B7642" s="244" t="str">
        <f t="shared" si="119"/>
        <v/>
      </c>
    </row>
    <row r="7643" spans="1:2" x14ac:dyDescent="0.25">
      <c r="A7643" t="str">
        <f>IF(C7643&amp;G7643&amp;D7643&lt;&gt;'Funnel setup'!$K$3&amp;'Funnel setup'!$K$4&amp;'Funnel setup'!$K$6,".",IF(A7642=".",1,A7642+1))</f>
        <v>.</v>
      </c>
      <c r="B7643" s="244" t="str">
        <f t="shared" si="119"/>
        <v/>
      </c>
    </row>
    <row r="7644" spans="1:2" x14ac:dyDescent="0.25">
      <c r="A7644" t="str">
        <f>IF(C7644&amp;G7644&amp;D7644&lt;&gt;'Funnel setup'!$K$3&amp;'Funnel setup'!$K$4&amp;'Funnel setup'!$K$6,".",IF(A7643=".",1,A7643+1))</f>
        <v>.</v>
      </c>
      <c r="B7644" s="244" t="str">
        <f t="shared" si="119"/>
        <v/>
      </c>
    </row>
    <row r="7645" spans="1:2" x14ac:dyDescent="0.25">
      <c r="A7645" t="str">
        <f>IF(C7645&amp;G7645&amp;D7645&lt;&gt;'Funnel setup'!$K$3&amp;'Funnel setup'!$K$4&amp;'Funnel setup'!$K$6,".",IF(A7644=".",1,A7644+1))</f>
        <v>.</v>
      </c>
      <c r="B7645" s="244" t="str">
        <f t="shared" si="119"/>
        <v/>
      </c>
    </row>
    <row r="7646" spans="1:2" x14ac:dyDescent="0.25">
      <c r="A7646" t="str">
        <f>IF(C7646&amp;G7646&amp;D7646&lt;&gt;'Funnel setup'!$K$3&amp;'Funnel setup'!$K$4&amp;'Funnel setup'!$K$6,".",IF(A7645=".",1,A7645+1))</f>
        <v>.</v>
      </c>
      <c r="B7646" s="244" t="str">
        <f t="shared" si="119"/>
        <v/>
      </c>
    </row>
    <row r="7647" spans="1:2" x14ac:dyDescent="0.25">
      <c r="A7647" t="str">
        <f>IF(C7647&amp;G7647&amp;D7647&lt;&gt;'Funnel setup'!$K$3&amp;'Funnel setup'!$K$4&amp;'Funnel setup'!$K$6,".",IF(A7646=".",1,A7646+1))</f>
        <v>.</v>
      </c>
      <c r="B7647" s="244" t="str">
        <f t="shared" si="119"/>
        <v/>
      </c>
    </row>
    <row r="7648" spans="1:2" x14ac:dyDescent="0.25">
      <c r="A7648" t="str">
        <f>IF(C7648&amp;G7648&amp;D7648&lt;&gt;'Funnel setup'!$K$3&amp;'Funnel setup'!$K$4&amp;'Funnel setup'!$K$6,".",IF(A7647=".",1,A7647+1))</f>
        <v>.</v>
      </c>
      <c r="B7648" s="244" t="str">
        <f t="shared" si="119"/>
        <v/>
      </c>
    </row>
    <row r="7649" spans="1:2" x14ac:dyDescent="0.25">
      <c r="A7649" t="str">
        <f>IF(C7649&amp;G7649&amp;D7649&lt;&gt;'Funnel setup'!$K$3&amp;'Funnel setup'!$K$4&amp;'Funnel setup'!$K$6,".",IF(A7648=".",1,A7648+1))</f>
        <v>.</v>
      </c>
      <c r="B7649" s="244" t="str">
        <f t="shared" si="119"/>
        <v/>
      </c>
    </row>
    <row r="7650" spans="1:2" x14ac:dyDescent="0.25">
      <c r="A7650" t="str">
        <f>IF(C7650&amp;G7650&amp;D7650&lt;&gt;'Funnel setup'!$K$3&amp;'Funnel setup'!$K$4&amp;'Funnel setup'!$K$6,".",IF(A7649=".",1,A7649+1))</f>
        <v>.</v>
      </c>
      <c r="B7650" s="244" t="str">
        <f t="shared" si="119"/>
        <v/>
      </c>
    </row>
    <row r="7651" spans="1:2" x14ac:dyDescent="0.25">
      <c r="A7651" t="str">
        <f>IF(C7651&amp;G7651&amp;D7651&lt;&gt;'Funnel setup'!$K$3&amp;'Funnel setup'!$K$4&amp;'Funnel setup'!$K$6,".",IF(A7650=".",1,A7650+1))</f>
        <v>.</v>
      </c>
      <c r="B7651" s="244" t="str">
        <f t="shared" si="119"/>
        <v/>
      </c>
    </row>
    <row r="7652" spans="1:2" x14ac:dyDescent="0.25">
      <c r="A7652" t="str">
        <f>IF(C7652&amp;G7652&amp;D7652&lt;&gt;'Funnel setup'!$K$3&amp;'Funnel setup'!$K$4&amp;'Funnel setup'!$K$6,".",IF(A7651=".",1,A7651+1))</f>
        <v>.</v>
      </c>
      <c r="B7652" s="244" t="str">
        <f t="shared" si="119"/>
        <v/>
      </c>
    </row>
    <row r="7653" spans="1:2" x14ac:dyDescent="0.25">
      <c r="A7653" t="str">
        <f>IF(C7653&amp;G7653&amp;D7653&lt;&gt;'Funnel setup'!$K$3&amp;'Funnel setup'!$K$4&amp;'Funnel setup'!$K$6,".",IF(A7652=".",1,A7652+1))</f>
        <v>.</v>
      </c>
      <c r="B7653" s="244" t="str">
        <f t="shared" si="119"/>
        <v/>
      </c>
    </row>
    <row r="7654" spans="1:2" x14ac:dyDescent="0.25">
      <c r="A7654" t="str">
        <f>IF(C7654&amp;G7654&amp;D7654&lt;&gt;'Funnel setup'!$K$3&amp;'Funnel setup'!$K$4&amp;'Funnel setup'!$K$6,".",IF(A7653=".",1,A7653+1))</f>
        <v>.</v>
      </c>
      <c r="B7654" s="244" t="str">
        <f t="shared" si="119"/>
        <v/>
      </c>
    </row>
    <row r="7655" spans="1:2" x14ac:dyDescent="0.25">
      <c r="A7655" t="str">
        <f>IF(C7655&amp;G7655&amp;D7655&lt;&gt;'Funnel setup'!$K$3&amp;'Funnel setup'!$K$4&amp;'Funnel setup'!$K$6,".",IF(A7654=".",1,A7654+1))</f>
        <v>.</v>
      </c>
      <c r="B7655" s="244" t="str">
        <f t="shared" si="119"/>
        <v/>
      </c>
    </row>
    <row r="7656" spans="1:2" x14ac:dyDescent="0.25">
      <c r="A7656" t="str">
        <f>IF(C7656&amp;G7656&amp;D7656&lt;&gt;'Funnel setup'!$K$3&amp;'Funnel setup'!$K$4&amp;'Funnel setup'!$K$6,".",IF(A7655=".",1,A7655+1))</f>
        <v>.</v>
      </c>
      <c r="B7656" s="244" t="str">
        <f t="shared" si="119"/>
        <v/>
      </c>
    </row>
    <row r="7657" spans="1:2" x14ac:dyDescent="0.25">
      <c r="A7657" t="str">
        <f>IF(C7657&amp;G7657&amp;D7657&lt;&gt;'Funnel setup'!$K$3&amp;'Funnel setup'!$K$4&amp;'Funnel setup'!$K$6,".",IF(A7656=".",1,A7656+1))</f>
        <v>.</v>
      </c>
      <c r="B7657" s="244" t="str">
        <f t="shared" si="119"/>
        <v/>
      </c>
    </row>
    <row r="7658" spans="1:2" x14ac:dyDescent="0.25">
      <c r="A7658" t="str">
        <f>IF(C7658&amp;G7658&amp;D7658&lt;&gt;'Funnel setup'!$K$3&amp;'Funnel setup'!$K$4&amp;'Funnel setup'!$K$6,".",IF(A7657=".",1,A7657+1))</f>
        <v>.</v>
      </c>
      <c r="B7658" s="244" t="str">
        <f t="shared" si="119"/>
        <v/>
      </c>
    </row>
    <row r="7659" spans="1:2" x14ac:dyDescent="0.25">
      <c r="A7659" t="str">
        <f>IF(C7659&amp;G7659&amp;D7659&lt;&gt;'Funnel setup'!$K$3&amp;'Funnel setup'!$K$4&amp;'Funnel setup'!$K$6,".",IF(A7658=".",1,A7658+1))</f>
        <v>.</v>
      </c>
      <c r="B7659" s="244" t="str">
        <f t="shared" si="119"/>
        <v/>
      </c>
    </row>
    <row r="7660" spans="1:2" x14ac:dyDescent="0.25">
      <c r="A7660" t="str">
        <f>IF(C7660&amp;G7660&amp;D7660&lt;&gt;'Funnel setup'!$K$3&amp;'Funnel setup'!$K$4&amp;'Funnel setup'!$K$6,".",IF(A7659=".",1,A7659+1))</f>
        <v>.</v>
      </c>
      <c r="B7660" s="244" t="str">
        <f t="shared" si="119"/>
        <v/>
      </c>
    </row>
    <row r="7661" spans="1:2" x14ac:dyDescent="0.25">
      <c r="A7661" t="str">
        <f>IF(C7661&amp;G7661&amp;D7661&lt;&gt;'Funnel setup'!$K$3&amp;'Funnel setup'!$K$4&amp;'Funnel setup'!$K$6,".",IF(A7660=".",1,A7660+1))</f>
        <v>.</v>
      </c>
      <c r="B7661" s="244" t="str">
        <f t="shared" si="119"/>
        <v/>
      </c>
    </row>
    <row r="7662" spans="1:2" x14ac:dyDescent="0.25">
      <c r="A7662" t="str">
        <f>IF(C7662&amp;G7662&amp;D7662&lt;&gt;'Funnel setup'!$K$3&amp;'Funnel setup'!$K$4&amp;'Funnel setup'!$K$6,".",IF(A7661=".",1,A7661+1))</f>
        <v>.</v>
      </c>
      <c r="B7662" s="244" t="str">
        <f t="shared" si="119"/>
        <v/>
      </c>
    </row>
    <row r="7663" spans="1:2" x14ac:dyDescent="0.25">
      <c r="A7663" t="str">
        <f>IF(C7663&amp;G7663&amp;D7663&lt;&gt;'Funnel setup'!$K$3&amp;'Funnel setup'!$K$4&amp;'Funnel setup'!$K$6,".",IF(A7662=".",1,A7662+1))</f>
        <v>.</v>
      </c>
      <c r="B7663" s="244" t="str">
        <f t="shared" si="119"/>
        <v/>
      </c>
    </row>
    <row r="7664" spans="1:2" x14ac:dyDescent="0.25">
      <c r="A7664" t="str">
        <f>IF(C7664&amp;G7664&amp;D7664&lt;&gt;'Funnel setup'!$K$3&amp;'Funnel setup'!$K$4&amp;'Funnel setup'!$K$6,".",IF(A7663=".",1,A7663+1))</f>
        <v>.</v>
      </c>
      <c r="B7664" s="244" t="str">
        <f t="shared" si="119"/>
        <v/>
      </c>
    </row>
    <row r="7665" spans="1:2" x14ac:dyDescent="0.25">
      <c r="A7665" t="str">
        <f>IF(C7665&amp;G7665&amp;D7665&lt;&gt;'Funnel setup'!$K$3&amp;'Funnel setup'!$K$4&amp;'Funnel setup'!$K$6,".",IF(A7664=".",1,A7664+1))</f>
        <v>.</v>
      </c>
      <c r="B7665" s="244" t="str">
        <f t="shared" si="119"/>
        <v/>
      </c>
    </row>
    <row r="7666" spans="1:2" x14ac:dyDescent="0.25">
      <c r="A7666" t="str">
        <f>IF(C7666&amp;G7666&amp;D7666&lt;&gt;'Funnel setup'!$K$3&amp;'Funnel setup'!$K$4&amp;'Funnel setup'!$K$6,".",IF(A7665=".",1,A7665+1))</f>
        <v>.</v>
      </c>
      <c r="B7666" s="244" t="str">
        <f t="shared" si="119"/>
        <v/>
      </c>
    </row>
    <row r="7667" spans="1:2" x14ac:dyDescent="0.25">
      <c r="A7667" t="str">
        <f>IF(C7667&amp;G7667&amp;D7667&lt;&gt;'Funnel setup'!$K$3&amp;'Funnel setup'!$K$4&amp;'Funnel setup'!$K$6,".",IF(A7666=".",1,A7666+1))</f>
        <v>.</v>
      </c>
      <c r="B7667" s="244" t="str">
        <f t="shared" si="119"/>
        <v/>
      </c>
    </row>
    <row r="7668" spans="1:2" x14ac:dyDescent="0.25">
      <c r="A7668" t="str">
        <f>IF(C7668&amp;G7668&amp;D7668&lt;&gt;'Funnel setup'!$K$3&amp;'Funnel setup'!$K$4&amp;'Funnel setup'!$K$6,".",IF(A7667=".",1,A7667+1))</f>
        <v>.</v>
      </c>
      <c r="B7668" s="244" t="str">
        <f t="shared" si="119"/>
        <v/>
      </c>
    </row>
    <row r="7669" spans="1:2" x14ac:dyDescent="0.25">
      <c r="A7669" t="str">
        <f>IF(C7669&amp;G7669&amp;D7669&lt;&gt;'Funnel setup'!$K$3&amp;'Funnel setup'!$K$4&amp;'Funnel setup'!$K$6,".",IF(A7668=".",1,A7668+1))</f>
        <v>.</v>
      </c>
      <c r="B7669" s="244" t="str">
        <f t="shared" si="119"/>
        <v/>
      </c>
    </row>
    <row r="7670" spans="1:2" x14ac:dyDescent="0.25">
      <c r="A7670" t="str">
        <f>IF(C7670&amp;G7670&amp;D7670&lt;&gt;'Funnel setup'!$K$3&amp;'Funnel setup'!$K$4&amp;'Funnel setup'!$K$6,".",IF(A7669=".",1,A7669+1))</f>
        <v>.</v>
      </c>
      <c r="B7670" s="244" t="str">
        <f t="shared" si="119"/>
        <v/>
      </c>
    </row>
    <row r="7671" spans="1:2" x14ac:dyDescent="0.25">
      <c r="A7671" t="str">
        <f>IF(C7671&amp;G7671&amp;D7671&lt;&gt;'Funnel setup'!$K$3&amp;'Funnel setup'!$K$4&amp;'Funnel setup'!$K$6,".",IF(A7670=".",1,A7670+1))</f>
        <v>.</v>
      </c>
      <c r="B7671" s="244" t="str">
        <f t="shared" si="119"/>
        <v/>
      </c>
    </row>
    <row r="7672" spans="1:2" x14ac:dyDescent="0.25">
      <c r="A7672" t="str">
        <f>IF(C7672&amp;G7672&amp;D7672&lt;&gt;'Funnel setup'!$K$3&amp;'Funnel setup'!$K$4&amp;'Funnel setup'!$K$6,".",IF(A7671=".",1,A7671+1))</f>
        <v>.</v>
      </c>
      <c r="B7672" s="244" t="str">
        <f t="shared" si="119"/>
        <v/>
      </c>
    </row>
    <row r="7673" spans="1:2" x14ac:dyDescent="0.25">
      <c r="A7673" t="str">
        <f>IF(C7673&amp;G7673&amp;D7673&lt;&gt;'Funnel setup'!$K$3&amp;'Funnel setup'!$K$4&amp;'Funnel setup'!$K$6,".",IF(A7672=".",1,A7672+1))</f>
        <v>.</v>
      </c>
      <c r="B7673" s="244" t="str">
        <f t="shared" si="119"/>
        <v/>
      </c>
    </row>
    <row r="7674" spans="1:2" x14ac:dyDescent="0.25">
      <c r="A7674" t="str">
        <f>IF(C7674&amp;G7674&amp;D7674&lt;&gt;'Funnel setup'!$K$3&amp;'Funnel setup'!$K$4&amp;'Funnel setup'!$K$6,".",IF(A7673=".",1,A7673+1))</f>
        <v>.</v>
      </c>
      <c r="B7674" s="244" t="str">
        <f t="shared" si="119"/>
        <v/>
      </c>
    </row>
    <row r="7675" spans="1:2" x14ac:dyDescent="0.25">
      <c r="A7675" t="str">
        <f>IF(C7675&amp;G7675&amp;D7675&lt;&gt;'Funnel setup'!$K$3&amp;'Funnel setup'!$K$4&amp;'Funnel setup'!$K$6,".",IF(A7674=".",1,A7674+1))</f>
        <v>.</v>
      </c>
      <c r="B7675" s="244" t="str">
        <f t="shared" si="119"/>
        <v/>
      </c>
    </row>
    <row r="7676" spans="1:2" x14ac:dyDescent="0.25">
      <c r="A7676" t="str">
        <f>IF(C7676&amp;G7676&amp;D7676&lt;&gt;'Funnel setup'!$K$3&amp;'Funnel setup'!$K$4&amp;'Funnel setup'!$K$6,".",IF(A7675=".",1,A7675+1))</f>
        <v>.</v>
      </c>
      <c r="B7676" s="244" t="str">
        <f t="shared" si="119"/>
        <v/>
      </c>
    </row>
    <row r="7677" spans="1:2" x14ac:dyDescent="0.25">
      <c r="A7677" t="str">
        <f>IF(C7677&amp;G7677&amp;D7677&lt;&gt;'Funnel setup'!$K$3&amp;'Funnel setup'!$K$4&amp;'Funnel setup'!$K$6,".",IF(A7676=".",1,A7676+1))</f>
        <v>.</v>
      </c>
      <c r="B7677" s="244" t="str">
        <f t="shared" si="119"/>
        <v/>
      </c>
    </row>
    <row r="7678" spans="1:2" x14ac:dyDescent="0.25">
      <c r="A7678" t="str">
        <f>IF(C7678&amp;G7678&amp;D7678&lt;&gt;'Funnel setup'!$K$3&amp;'Funnel setup'!$K$4&amp;'Funnel setup'!$K$6,".",IF(A7677=".",1,A7677+1))</f>
        <v>.</v>
      </c>
      <c r="B7678" s="244" t="str">
        <f t="shared" si="119"/>
        <v/>
      </c>
    </row>
    <row r="7679" spans="1:2" x14ac:dyDescent="0.25">
      <c r="A7679" t="str">
        <f>IF(C7679&amp;G7679&amp;D7679&lt;&gt;'Funnel setup'!$K$3&amp;'Funnel setup'!$K$4&amp;'Funnel setup'!$K$6,".",IF(A7678=".",1,A7678+1))</f>
        <v>.</v>
      </c>
      <c r="B7679" s="244" t="str">
        <f t="shared" si="119"/>
        <v/>
      </c>
    </row>
    <row r="7680" spans="1:2" x14ac:dyDescent="0.25">
      <c r="A7680" t="str">
        <f>IF(C7680&amp;G7680&amp;D7680&lt;&gt;'Funnel setup'!$K$3&amp;'Funnel setup'!$K$4&amp;'Funnel setup'!$K$6,".",IF(A7679=".",1,A7679+1))</f>
        <v>.</v>
      </c>
      <c r="B7680" s="244" t="str">
        <f t="shared" si="119"/>
        <v/>
      </c>
    </row>
    <row r="7681" spans="1:2" x14ac:dyDescent="0.25">
      <c r="A7681" t="str">
        <f>IF(C7681&amp;G7681&amp;D7681&lt;&gt;'Funnel setup'!$K$3&amp;'Funnel setup'!$K$4&amp;'Funnel setup'!$K$6,".",IF(A7680=".",1,A7680+1))</f>
        <v>.</v>
      </c>
      <c r="B7681" s="244" t="str">
        <f t="shared" si="119"/>
        <v/>
      </c>
    </row>
    <row r="7682" spans="1:2" x14ac:dyDescent="0.25">
      <c r="A7682" t="str">
        <f>IF(C7682&amp;G7682&amp;D7682&lt;&gt;'Funnel setup'!$K$3&amp;'Funnel setup'!$K$4&amp;'Funnel setup'!$K$6,".",IF(A7681=".",1,A7681+1))</f>
        <v>.</v>
      </c>
      <c r="B7682" s="244" t="str">
        <f t="shared" ref="B7682:B7745" si="120">C7682&amp;D7682&amp;F7682&amp;G7682</f>
        <v/>
      </c>
    </row>
    <row r="7683" spans="1:2" x14ac:dyDescent="0.25">
      <c r="A7683" t="str">
        <f>IF(C7683&amp;G7683&amp;D7683&lt;&gt;'Funnel setup'!$K$3&amp;'Funnel setup'!$K$4&amp;'Funnel setup'!$K$6,".",IF(A7682=".",1,A7682+1))</f>
        <v>.</v>
      </c>
      <c r="B7683" s="244" t="str">
        <f t="shared" si="120"/>
        <v/>
      </c>
    </row>
    <row r="7684" spans="1:2" x14ac:dyDescent="0.25">
      <c r="A7684" t="str">
        <f>IF(C7684&amp;G7684&amp;D7684&lt;&gt;'Funnel setup'!$K$3&amp;'Funnel setup'!$K$4&amp;'Funnel setup'!$K$6,".",IF(A7683=".",1,A7683+1))</f>
        <v>.</v>
      </c>
      <c r="B7684" s="244" t="str">
        <f t="shared" si="120"/>
        <v/>
      </c>
    </row>
    <row r="7685" spans="1:2" x14ac:dyDescent="0.25">
      <c r="A7685" t="str">
        <f>IF(C7685&amp;G7685&amp;D7685&lt;&gt;'Funnel setup'!$K$3&amp;'Funnel setup'!$K$4&amp;'Funnel setup'!$K$6,".",IF(A7684=".",1,A7684+1))</f>
        <v>.</v>
      </c>
      <c r="B7685" s="244" t="str">
        <f t="shared" si="120"/>
        <v/>
      </c>
    </row>
    <row r="7686" spans="1:2" x14ac:dyDescent="0.25">
      <c r="A7686" t="str">
        <f>IF(C7686&amp;G7686&amp;D7686&lt;&gt;'Funnel setup'!$K$3&amp;'Funnel setup'!$K$4&amp;'Funnel setup'!$K$6,".",IF(A7685=".",1,A7685+1))</f>
        <v>.</v>
      </c>
      <c r="B7686" s="244" t="str">
        <f t="shared" si="120"/>
        <v/>
      </c>
    </row>
    <row r="7687" spans="1:2" x14ac:dyDescent="0.25">
      <c r="A7687" t="str">
        <f>IF(C7687&amp;G7687&amp;D7687&lt;&gt;'Funnel setup'!$K$3&amp;'Funnel setup'!$K$4&amp;'Funnel setup'!$K$6,".",IF(A7686=".",1,A7686+1))</f>
        <v>.</v>
      </c>
      <c r="B7687" s="244" t="str">
        <f t="shared" si="120"/>
        <v/>
      </c>
    </row>
    <row r="7688" spans="1:2" x14ac:dyDescent="0.25">
      <c r="A7688" t="str">
        <f>IF(C7688&amp;G7688&amp;D7688&lt;&gt;'Funnel setup'!$K$3&amp;'Funnel setup'!$K$4&amp;'Funnel setup'!$K$6,".",IF(A7687=".",1,A7687+1))</f>
        <v>.</v>
      </c>
      <c r="B7688" s="244" t="str">
        <f t="shared" si="120"/>
        <v/>
      </c>
    </row>
    <row r="7689" spans="1:2" x14ac:dyDescent="0.25">
      <c r="A7689" t="str">
        <f>IF(C7689&amp;G7689&amp;D7689&lt;&gt;'Funnel setup'!$K$3&amp;'Funnel setup'!$K$4&amp;'Funnel setup'!$K$6,".",IF(A7688=".",1,A7688+1))</f>
        <v>.</v>
      </c>
      <c r="B7689" s="244" t="str">
        <f t="shared" si="120"/>
        <v/>
      </c>
    </row>
    <row r="7690" spans="1:2" x14ac:dyDescent="0.25">
      <c r="A7690" t="str">
        <f>IF(C7690&amp;G7690&amp;D7690&lt;&gt;'Funnel setup'!$K$3&amp;'Funnel setup'!$K$4&amp;'Funnel setup'!$K$6,".",IF(A7689=".",1,A7689+1))</f>
        <v>.</v>
      </c>
      <c r="B7690" s="244" t="str">
        <f t="shared" si="120"/>
        <v/>
      </c>
    </row>
    <row r="7691" spans="1:2" x14ac:dyDescent="0.25">
      <c r="A7691" t="str">
        <f>IF(C7691&amp;G7691&amp;D7691&lt;&gt;'Funnel setup'!$K$3&amp;'Funnel setup'!$K$4&amp;'Funnel setup'!$K$6,".",IF(A7690=".",1,A7690+1))</f>
        <v>.</v>
      </c>
      <c r="B7691" s="244" t="str">
        <f t="shared" si="120"/>
        <v/>
      </c>
    </row>
    <row r="7692" spans="1:2" x14ac:dyDescent="0.25">
      <c r="A7692" t="str">
        <f>IF(C7692&amp;G7692&amp;D7692&lt;&gt;'Funnel setup'!$K$3&amp;'Funnel setup'!$K$4&amp;'Funnel setup'!$K$6,".",IF(A7691=".",1,A7691+1))</f>
        <v>.</v>
      </c>
      <c r="B7692" s="244" t="str">
        <f t="shared" si="120"/>
        <v/>
      </c>
    </row>
    <row r="7693" spans="1:2" x14ac:dyDescent="0.25">
      <c r="A7693" t="str">
        <f>IF(C7693&amp;G7693&amp;D7693&lt;&gt;'Funnel setup'!$K$3&amp;'Funnel setup'!$K$4&amp;'Funnel setup'!$K$6,".",IF(A7692=".",1,A7692+1))</f>
        <v>.</v>
      </c>
      <c r="B7693" s="244" t="str">
        <f t="shared" si="120"/>
        <v/>
      </c>
    </row>
    <row r="7694" spans="1:2" x14ac:dyDescent="0.25">
      <c r="A7694" t="str">
        <f>IF(C7694&amp;G7694&amp;D7694&lt;&gt;'Funnel setup'!$K$3&amp;'Funnel setup'!$K$4&amp;'Funnel setup'!$K$6,".",IF(A7693=".",1,A7693+1))</f>
        <v>.</v>
      </c>
      <c r="B7694" s="244" t="str">
        <f t="shared" si="120"/>
        <v/>
      </c>
    </row>
    <row r="7695" spans="1:2" x14ac:dyDescent="0.25">
      <c r="A7695" t="str">
        <f>IF(C7695&amp;G7695&amp;D7695&lt;&gt;'Funnel setup'!$K$3&amp;'Funnel setup'!$K$4&amp;'Funnel setup'!$K$6,".",IF(A7694=".",1,A7694+1))</f>
        <v>.</v>
      </c>
      <c r="B7695" s="244" t="str">
        <f t="shared" si="120"/>
        <v/>
      </c>
    </row>
    <row r="7696" spans="1:2" x14ac:dyDescent="0.25">
      <c r="A7696" t="str">
        <f>IF(C7696&amp;G7696&amp;D7696&lt;&gt;'Funnel setup'!$K$3&amp;'Funnel setup'!$K$4&amp;'Funnel setup'!$K$6,".",IF(A7695=".",1,A7695+1))</f>
        <v>.</v>
      </c>
      <c r="B7696" s="244" t="str">
        <f t="shared" si="120"/>
        <v/>
      </c>
    </row>
    <row r="7697" spans="1:2" x14ac:dyDescent="0.25">
      <c r="A7697" t="str">
        <f>IF(C7697&amp;G7697&amp;D7697&lt;&gt;'Funnel setup'!$K$3&amp;'Funnel setup'!$K$4&amp;'Funnel setup'!$K$6,".",IF(A7696=".",1,A7696+1))</f>
        <v>.</v>
      </c>
      <c r="B7697" s="244" t="str">
        <f t="shared" si="120"/>
        <v/>
      </c>
    </row>
    <row r="7698" spans="1:2" x14ac:dyDescent="0.25">
      <c r="A7698" t="str">
        <f>IF(C7698&amp;G7698&amp;D7698&lt;&gt;'Funnel setup'!$K$3&amp;'Funnel setup'!$K$4&amp;'Funnel setup'!$K$6,".",IF(A7697=".",1,A7697+1))</f>
        <v>.</v>
      </c>
      <c r="B7698" s="244" t="str">
        <f t="shared" si="120"/>
        <v/>
      </c>
    </row>
    <row r="7699" spans="1:2" x14ac:dyDescent="0.25">
      <c r="A7699" t="str">
        <f>IF(C7699&amp;G7699&amp;D7699&lt;&gt;'Funnel setup'!$K$3&amp;'Funnel setup'!$K$4&amp;'Funnel setup'!$K$6,".",IF(A7698=".",1,A7698+1))</f>
        <v>.</v>
      </c>
      <c r="B7699" s="244" t="str">
        <f t="shared" si="120"/>
        <v/>
      </c>
    </row>
    <row r="7700" spans="1:2" x14ac:dyDescent="0.25">
      <c r="A7700" t="str">
        <f>IF(C7700&amp;G7700&amp;D7700&lt;&gt;'Funnel setup'!$K$3&amp;'Funnel setup'!$K$4&amp;'Funnel setup'!$K$6,".",IF(A7699=".",1,A7699+1))</f>
        <v>.</v>
      </c>
      <c r="B7700" s="244" t="str">
        <f t="shared" si="120"/>
        <v/>
      </c>
    </row>
    <row r="7701" spans="1:2" x14ac:dyDescent="0.25">
      <c r="A7701" t="str">
        <f>IF(C7701&amp;G7701&amp;D7701&lt;&gt;'Funnel setup'!$K$3&amp;'Funnel setup'!$K$4&amp;'Funnel setup'!$K$6,".",IF(A7700=".",1,A7700+1))</f>
        <v>.</v>
      </c>
      <c r="B7701" s="244" t="str">
        <f t="shared" si="120"/>
        <v/>
      </c>
    </row>
    <row r="7702" spans="1:2" x14ac:dyDescent="0.25">
      <c r="A7702" t="str">
        <f>IF(C7702&amp;G7702&amp;D7702&lt;&gt;'Funnel setup'!$K$3&amp;'Funnel setup'!$K$4&amp;'Funnel setup'!$K$6,".",IF(A7701=".",1,A7701+1))</f>
        <v>.</v>
      </c>
      <c r="B7702" s="244" t="str">
        <f t="shared" si="120"/>
        <v/>
      </c>
    </row>
    <row r="7703" spans="1:2" x14ac:dyDescent="0.25">
      <c r="A7703" t="str">
        <f>IF(C7703&amp;G7703&amp;D7703&lt;&gt;'Funnel setup'!$K$3&amp;'Funnel setup'!$K$4&amp;'Funnel setup'!$K$6,".",IF(A7702=".",1,A7702+1))</f>
        <v>.</v>
      </c>
      <c r="B7703" s="244" t="str">
        <f t="shared" si="120"/>
        <v/>
      </c>
    </row>
    <row r="7704" spans="1:2" x14ac:dyDescent="0.25">
      <c r="A7704" t="str">
        <f>IF(C7704&amp;G7704&amp;D7704&lt;&gt;'Funnel setup'!$K$3&amp;'Funnel setup'!$K$4&amp;'Funnel setup'!$K$6,".",IF(A7703=".",1,A7703+1))</f>
        <v>.</v>
      </c>
      <c r="B7704" s="244" t="str">
        <f t="shared" si="120"/>
        <v/>
      </c>
    </row>
    <row r="7705" spans="1:2" x14ac:dyDescent="0.25">
      <c r="A7705" t="str">
        <f>IF(C7705&amp;G7705&amp;D7705&lt;&gt;'Funnel setup'!$K$3&amp;'Funnel setup'!$K$4&amp;'Funnel setup'!$K$6,".",IF(A7704=".",1,A7704+1))</f>
        <v>.</v>
      </c>
      <c r="B7705" s="244" t="str">
        <f t="shared" si="120"/>
        <v/>
      </c>
    </row>
    <row r="7706" spans="1:2" x14ac:dyDescent="0.25">
      <c r="A7706" t="str">
        <f>IF(C7706&amp;G7706&amp;D7706&lt;&gt;'Funnel setup'!$K$3&amp;'Funnel setup'!$K$4&amp;'Funnel setup'!$K$6,".",IF(A7705=".",1,A7705+1))</f>
        <v>.</v>
      </c>
      <c r="B7706" s="244" t="str">
        <f t="shared" si="120"/>
        <v/>
      </c>
    </row>
    <row r="7707" spans="1:2" x14ac:dyDescent="0.25">
      <c r="A7707" t="str">
        <f>IF(C7707&amp;G7707&amp;D7707&lt;&gt;'Funnel setup'!$K$3&amp;'Funnel setup'!$K$4&amp;'Funnel setup'!$K$6,".",IF(A7706=".",1,A7706+1))</f>
        <v>.</v>
      </c>
      <c r="B7707" s="244" t="str">
        <f t="shared" si="120"/>
        <v/>
      </c>
    </row>
    <row r="7708" spans="1:2" x14ac:dyDescent="0.25">
      <c r="A7708" t="str">
        <f>IF(C7708&amp;G7708&amp;D7708&lt;&gt;'Funnel setup'!$K$3&amp;'Funnel setup'!$K$4&amp;'Funnel setup'!$K$6,".",IF(A7707=".",1,A7707+1))</f>
        <v>.</v>
      </c>
      <c r="B7708" s="244" t="str">
        <f t="shared" si="120"/>
        <v/>
      </c>
    </row>
    <row r="7709" spans="1:2" x14ac:dyDescent="0.25">
      <c r="A7709" t="str">
        <f>IF(C7709&amp;G7709&amp;D7709&lt;&gt;'Funnel setup'!$K$3&amp;'Funnel setup'!$K$4&amp;'Funnel setup'!$K$6,".",IF(A7708=".",1,A7708+1))</f>
        <v>.</v>
      </c>
      <c r="B7709" s="244" t="str">
        <f t="shared" si="120"/>
        <v/>
      </c>
    </row>
    <row r="7710" spans="1:2" x14ac:dyDescent="0.25">
      <c r="A7710" t="str">
        <f>IF(C7710&amp;G7710&amp;D7710&lt;&gt;'Funnel setup'!$K$3&amp;'Funnel setup'!$K$4&amp;'Funnel setup'!$K$6,".",IF(A7709=".",1,A7709+1))</f>
        <v>.</v>
      </c>
      <c r="B7710" s="244" t="str">
        <f t="shared" si="120"/>
        <v/>
      </c>
    </row>
    <row r="7711" spans="1:2" x14ac:dyDescent="0.25">
      <c r="A7711" t="str">
        <f>IF(C7711&amp;G7711&amp;D7711&lt;&gt;'Funnel setup'!$K$3&amp;'Funnel setup'!$K$4&amp;'Funnel setup'!$K$6,".",IF(A7710=".",1,A7710+1))</f>
        <v>.</v>
      </c>
      <c r="B7711" s="244" t="str">
        <f t="shared" si="120"/>
        <v/>
      </c>
    </row>
    <row r="7712" spans="1:2" x14ac:dyDescent="0.25">
      <c r="A7712" t="str">
        <f>IF(C7712&amp;G7712&amp;D7712&lt;&gt;'Funnel setup'!$K$3&amp;'Funnel setup'!$K$4&amp;'Funnel setup'!$K$6,".",IF(A7711=".",1,A7711+1))</f>
        <v>.</v>
      </c>
      <c r="B7712" s="244" t="str">
        <f t="shared" si="120"/>
        <v/>
      </c>
    </row>
    <row r="7713" spans="1:2" x14ac:dyDescent="0.25">
      <c r="A7713" t="str">
        <f>IF(C7713&amp;G7713&amp;D7713&lt;&gt;'Funnel setup'!$K$3&amp;'Funnel setup'!$K$4&amp;'Funnel setup'!$K$6,".",IF(A7712=".",1,A7712+1))</f>
        <v>.</v>
      </c>
      <c r="B7713" s="244" t="str">
        <f t="shared" si="120"/>
        <v/>
      </c>
    </row>
    <row r="7714" spans="1:2" x14ac:dyDescent="0.25">
      <c r="A7714" t="str">
        <f>IF(C7714&amp;G7714&amp;D7714&lt;&gt;'Funnel setup'!$K$3&amp;'Funnel setup'!$K$4&amp;'Funnel setup'!$K$6,".",IF(A7713=".",1,A7713+1))</f>
        <v>.</v>
      </c>
      <c r="B7714" s="244" t="str">
        <f t="shared" si="120"/>
        <v/>
      </c>
    </row>
    <row r="7715" spans="1:2" x14ac:dyDescent="0.25">
      <c r="A7715" t="str">
        <f>IF(C7715&amp;G7715&amp;D7715&lt;&gt;'Funnel setup'!$K$3&amp;'Funnel setup'!$K$4&amp;'Funnel setup'!$K$6,".",IF(A7714=".",1,A7714+1))</f>
        <v>.</v>
      </c>
      <c r="B7715" s="244" t="str">
        <f t="shared" si="120"/>
        <v/>
      </c>
    </row>
    <row r="7716" spans="1:2" x14ac:dyDescent="0.25">
      <c r="A7716" t="str">
        <f>IF(C7716&amp;G7716&amp;D7716&lt;&gt;'Funnel setup'!$K$3&amp;'Funnel setup'!$K$4&amp;'Funnel setup'!$K$6,".",IF(A7715=".",1,A7715+1))</f>
        <v>.</v>
      </c>
      <c r="B7716" s="244" t="str">
        <f t="shared" si="120"/>
        <v/>
      </c>
    </row>
    <row r="7717" spans="1:2" x14ac:dyDescent="0.25">
      <c r="A7717" t="str">
        <f>IF(C7717&amp;G7717&amp;D7717&lt;&gt;'Funnel setup'!$K$3&amp;'Funnel setup'!$K$4&amp;'Funnel setup'!$K$6,".",IF(A7716=".",1,A7716+1))</f>
        <v>.</v>
      </c>
      <c r="B7717" s="244" t="str">
        <f t="shared" si="120"/>
        <v/>
      </c>
    </row>
    <row r="7718" spans="1:2" x14ac:dyDescent="0.25">
      <c r="A7718" t="str">
        <f>IF(C7718&amp;G7718&amp;D7718&lt;&gt;'Funnel setup'!$K$3&amp;'Funnel setup'!$K$4&amp;'Funnel setup'!$K$6,".",IF(A7717=".",1,A7717+1))</f>
        <v>.</v>
      </c>
      <c r="B7718" s="244" t="str">
        <f t="shared" si="120"/>
        <v/>
      </c>
    </row>
    <row r="7719" spans="1:2" x14ac:dyDescent="0.25">
      <c r="A7719" t="str">
        <f>IF(C7719&amp;G7719&amp;D7719&lt;&gt;'Funnel setup'!$K$3&amp;'Funnel setup'!$K$4&amp;'Funnel setup'!$K$6,".",IF(A7718=".",1,A7718+1))</f>
        <v>.</v>
      </c>
      <c r="B7719" s="244" t="str">
        <f t="shared" si="120"/>
        <v/>
      </c>
    </row>
    <row r="7720" spans="1:2" x14ac:dyDescent="0.25">
      <c r="A7720" t="str">
        <f>IF(C7720&amp;G7720&amp;D7720&lt;&gt;'Funnel setup'!$K$3&amp;'Funnel setup'!$K$4&amp;'Funnel setup'!$K$6,".",IF(A7719=".",1,A7719+1))</f>
        <v>.</v>
      </c>
      <c r="B7720" s="244" t="str">
        <f t="shared" si="120"/>
        <v/>
      </c>
    </row>
    <row r="7721" spans="1:2" x14ac:dyDescent="0.25">
      <c r="A7721" t="str">
        <f>IF(C7721&amp;G7721&amp;D7721&lt;&gt;'Funnel setup'!$K$3&amp;'Funnel setup'!$K$4&amp;'Funnel setup'!$K$6,".",IF(A7720=".",1,A7720+1))</f>
        <v>.</v>
      </c>
      <c r="B7721" s="244" t="str">
        <f t="shared" si="120"/>
        <v/>
      </c>
    </row>
    <row r="7722" spans="1:2" x14ac:dyDescent="0.25">
      <c r="A7722" t="str">
        <f>IF(C7722&amp;G7722&amp;D7722&lt;&gt;'Funnel setup'!$K$3&amp;'Funnel setup'!$K$4&amp;'Funnel setup'!$K$6,".",IF(A7721=".",1,A7721+1))</f>
        <v>.</v>
      </c>
      <c r="B7722" s="244" t="str">
        <f t="shared" si="120"/>
        <v/>
      </c>
    </row>
    <row r="7723" spans="1:2" x14ac:dyDescent="0.25">
      <c r="A7723" t="str">
        <f>IF(C7723&amp;G7723&amp;D7723&lt;&gt;'Funnel setup'!$K$3&amp;'Funnel setup'!$K$4&amp;'Funnel setup'!$K$6,".",IF(A7722=".",1,A7722+1))</f>
        <v>.</v>
      </c>
      <c r="B7723" s="244" t="str">
        <f t="shared" si="120"/>
        <v/>
      </c>
    </row>
    <row r="7724" spans="1:2" x14ac:dyDescent="0.25">
      <c r="A7724" t="str">
        <f>IF(C7724&amp;G7724&amp;D7724&lt;&gt;'Funnel setup'!$K$3&amp;'Funnel setup'!$K$4&amp;'Funnel setup'!$K$6,".",IF(A7723=".",1,A7723+1))</f>
        <v>.</v>
      </c>
      <c r="B7724" s="244" t="str">
        <f t="shared" si="120"/>
        <v/>
      </c>
    </row>
    <row r="7725" spans="1:2" x14ac:dyDescent="0.25">
      <c r="A7725" t="str">
        <f>IF(C7725&amp;G7725&amp;D7725&lt;&gt;'Funnel setup'!$K$3&amp;'Funnel setup'!$K$4&amp;'Funnel setup'!$K$6,".",IF(A7724=".",1,A7724+1))</f>
        <v>.</v>
      </c>
      <c r="B7725" s="244" t="str">
        <f t="shared" si="120"/>
        <v/>
      </c>
    </row>
    <row r="7726" spans="1:2" x14ac:dyDescent="0.25">
      <c r="A7726" t="str">
        <f>IF(C7726&amp;G7726&amp;D7726&lt;&gt;'Funnel setup'!$K$3&amp;'Funnel setup'!$K$4&amp;'Funnel setup'!$K$6,".",IF(A7725=".",1,A7725+1))</f>
        <v>.</v>
      </c>
      <c r="B7726" s="244" t="str">
        <f t="shared" si="120"/>
        <v/>
      </c>
    </row>
    <row r="7727" spans="1:2" x14ac:dyDescent="0.25">
      <c r="A7727" t="str">
        <f>IF(C7727&amp;G7727&amp;D7727&lt;&gt;'Funnel setup'!$K$3&amp;'Funnel setup'!$K$4&amp;'Funnel setup'!$K$6,".",IF(A7726=".",1,A7726+1))</f>
        <v>.</v>
      </c>
      <c r="B7727" s="244" t="str">
        <f t="shared" si="120"/>
        <v/>
      </c>
    </row>
    <row r="7728" spans="1:2" x14ac:dyDescent="0.25">
      <c r="A7728" t="str">
        <f>IF(C7728&amp;G7728&amp;D7728&lt;&gt;'Funnel setup'!$K$3&amp;'Funnel setup'!$K$4&amp;'Funnel setup'!$K$6,".",IF(A7727=".",1,A7727+1))</f>
        <v>.</v>
      </c>
      <c r="B7728" s="244" t="str">
        <f t="shared" si="120"/>
        <v/>
      </c>
    </row>
    <row r="7729" spans="1:2" x14ac:dyDescent="0.25">
      <c r="A7729" t="str">
        <f>IF(C7729&amp;G7729&amp;D7729&lt;&gt;'Funnel setup'!$K$3&amp;'Funnel setup'!$K$4&amp;'Funnel setup'!$K$6,".",IF(A7728=".",1,A7728+1))</f>
        <v>.</v>
      </c>
      <c r="B7729" s="244" t="str">
        <f t="shared" si="120"/>
        <v/>
      </c>
    </row>
    <row r="7730" spans="1:2" x14ac:dyDescent="0.25">
      <c r="A7730" t="str">
        <f>IF(C7730&amp;G7730&amp;D7730&lt;&gt;'Funnel setup'!$K$3&amp;'Funnel setup'!$K$4&amp;'Funnel setup'!$K$6,".",IF(A7729=".",1,A7729+1))</f>
        <v>.</v>
      </c>
      <c r="B7730" s="244" t="str">
        <f t="shared" si="120"/>
        <v/>
      </c>
    </row>
    <row r="7731" spans="1:2" x14ac:dyDescent="0.25">
      <c r="A7731" t="str">
        <f>IF(C7731&amp;G7731&amp;D7731&lt;&gt;'Funnel setup'!$K$3&amp;'Funnel setup'!$K$4&amp;'Funnel setup'!$K$6,".",IF(A7730=".",1,A7730+1))</f>
        <v>.</v>
      </c>
      <c r="B7731" s="244" t="str">
        <f t="shared" si="120"/>
        <v/>
      </c>
    </row>
    <row r="7732" spans="1:2" x14ac:dyDescent="0.25">
      <c r="A7732" t="str">
        <f>IF(C7732&amp;G7732&amp;D7732&lt;&gt;'Funnel setup'!$K$3&amp;'Funnel setup'!$K$4&amp;'Funnel setup'!$K$6,".",IF(A7731=".",1,A7731+1))</f>
        <v>.</v>
      </c>
      <c r="B7732" s="244" t="str">
        <f t="shared" si="120"/>
        <v/>
      </c>
    </row>
    <row r="7733" spans="1:2" x14ac:dyDescent="0.25">
      <c r="A7733" t="str">
        <f>IF(C7733&amp;G7733&amp;D7733&lt;&gt;'Funnel setup'!$K$3&amp;'Funnel setup'!$K$4&amp;'Funnel setup'!$K$6,".",IF(A7732=".",1,A7732+1))</f>
        <v>.</v>
      </c>
      <c r="B7733" s="244" t="str">
        <f t="shared" si="120"/>
        <v/>
      </c>
    </row>
    <row r="7734" spans="1:2" x14ac:dyDescent="0.25">
      <c r="A7734" t="str">
        <f>IF(C7734&amp;G7734&amp;D7734&lt;&gt;'Funnel setup'!$K$3&amp;'Funnel setup'!$K$4&amp;'Funnel setup'!$K$6,".",IF(A7733=".",1,A7733+1))</f>
        <v>.</v>
      </c>
      <c r="B7734" s="244" t="str">
        <f t="shared" si="120"/>
        <v/>
      </c>
    </row>
    <row r="7735" spans="1:2" x14ac:dyDescent="0.25">
      <c r="A7735" t="str">
        <f>IF(C7735&amp;G7735&amp;D7735&lt;&gt;'Funnel setup'!$K$3&amp;'Funnel setup'!$K$4&amp;'Funnel setup'!$K$6,".",IF(A7734=".",1,A7734+1))</f>
        <v>.</v>
      </c>
      <c r="B7735" s="244" t="str">
        <f t="shared" si="120"/>
        <v/>
      </c>
    </row>
    <row r="7736" spans="1:2" x14ac:dyDescent="0.25">
      <c r="A7736" t="str">
        <f>IF(C7736&amp;G7736&amp;D7736&lt;&gt;'Funnel setup'!$K$3&amp;'Funnel setup'!$K$4&amp;'Funnel setup'!$K$6,".",IF(A7735=".",1,A7735+1))</f>
        <v>.</v>
      </c>
      <c r="B7736" s="244" t="str">
        <f t="shared" si="120"/>
        <v/>
      </c>
    </row>
    <row r="7737" spans="1:2" x14ac:dyDescent="0.25">
      <c r="A7737" t="str">
        <f>IF(C7737&amp;G7737&amp;D7737&lt;&gt;'Funnel setup'!$K$3&amp;'Funnel setup'!$K$4&amp;'Funnel setup'!$K$6,".",IF(A7736=".",1,A7736+1))</f>
        <v>.</v>
      </c>
      <c r="B7737" s="244" t="str">
        <f t="shared" si="120"/>
        <v/>
      </c>
    </row>
    <row r="7738" spans="1:2" x14ac:dyDescent="0.25">
      <c r="A7738" t="str">
        <f>IF(C7738&amp;G7738&amp;D7738&lt;&gt;'Funnel setup'!$K$3&amp;'Funnel setup'!$K$4&amp;'Funnel setup'!$K$6,".",IF(A7737=".",1,A7737+1))</f>
        <v>.</v>
      </c>
      <c r="B7738" s="244" t="str">
        <f t="shared" si="120"/>
        <v/>
      </c>
    </row>
    <row r="7739" spans="1:2" x14ac:dyDescent="0.25">
      <c r="A7739" t="str">
        <f>IF(C7739&amp;G7739&amp;D7739&lt;&gt;'Funnel setup'!$K$3&amp;'Funnel setup'!$K$4&amp;'Funnel setup'!$K$6,".",IF(A7738=".",1,A7738+1))</f>
        <v>.</v>
      </c>
      <c r="B7739" s="244" t="str">
        <f t="shared" si="120"/>
        <v/>
      </c>
    </row>
    <row r="7740" spans="1:2" x14ac:dyDescent="0.25">
      <c r="A7740" t="str">
        <f>IF(C7740&amp;G7740&amp;D7740&lt;&gt;'Funnel setup'!$K$3&amp;'Funnel setup'!$K$4&amp;'Funnel setup'!$K$6,".",IF(A7739=".",1,A7739+1))</f>
        <v>.</v>
      </c>
      <c r="B7740" s="244" t="str">
        <f t="shared" si="120"/>
        <v/>
      </c>
    </row>
    <row r="7741" spans="1:2" x14ac:dyDescent="0.25">
      <c r="A7741" t="str">
        <f>IF(C7741&amp;G7741&amp;D7741&lt;&gt;'Funnel setup'!$K$3&amp;'Funnel setup'!$K$4&amp;'Funnel setup'!$K$6,".",IF(A7740=".",1,A7740+1))</f>
        <v>.</v>
      </c>
      <c r="B7741" s="244" t="str">
        <f t="shared" si="120"/>
        <v/>
      </c>
    </row>
    <row r="7742" spans="1:2" x14ac:dyDescent="0.25">
      <c r="A7742" t="str">
        <f>IF(C7742&amp;G7742&amp;D7742&lt;&gt;'Funnel setup'!$K$3&amp;'Funnel setup'!$K$4&amp;'Funnel setup'!$K$6,".",IF(A7741=".",1,A7741+1))</f>
        <v>.</v>
      </c>
      <c r="B7742" s="244" t="str">
        <f t="shared" si="120"/>
        <v/>
      </c>
    </row>
    <row r="7743" spans="1:2" x14ac:dyDescent="0.25">
      <c r="A7743" t="str">
        <f>IF(C7743&amp;G7743&amp;D7743&lt;&gt;'Funnel setup'!$K$3&amp;'Funnel setup'!$K$4&amp;'Funnel setup'!$K$6,".",IF(A7742=".",1,A7742+1))</f>
        <v>.</v>
      </c>
      <c r="B7743" s="244" t="str">
        <f t="shared" si="120"/>
        <v/>
      </c>
    </row>
    <row r="7744" spans="1:2" x14ac:dyDescent="0.25">
      <c r="A7744" t="str">
        <f>IF(C7744&amp;G7744&amp;D7744&lt;&gt;'Funnel setup'!$K$3&amp;'Funnel setup'!$K$4&amp;'Funnel setup'!$K$6,".",IF(A7743=".",1,A7743+1))</f>
        <v>.</v>
      </c>
      <c r="B7744" s="244" t="str">
        <f t="shared" si="120"/>
        <v/>
      </c>
    </row>
    <row r="7745" spans="1:2" x14ac:dyDescent="0.25">
      <c r="A7745" t="str">
        <f>IF(C7745&amp;G7745&amp;D7745&lt;&gt;'Funnel setup'!$K$3&amp;'Funnel setup'!$K$4&amp;'Funnel setup'!$K$6,".",IF(A7744=".",1,A7744+1))</f>
        <v>.</v>
      </c>
      <c r="B7745" s="244" t="str">
        <f t="shared" si="120"/>
        <v/>
      </c>
    </row>
    <row r="7746" spans="1:2" x14ac:dyDescent="0.25">
      <c r="A7746" t="str">
        <f>IF(C7746&amp;G7746&amp;D7746&lt;&gt;'Funnel setup'!$K$3&amp;'Funnel setup'!$K$4&amp;'Funnel setup'!$K$6,".",IF(A7745=".",1,A7745+1))</f>
        <v>.</v>
      </c>
      <c r="B7746" s="244" t="str">
        <f t="shared" ref="B7746:B7768" si="121">C7746&amp;D7746&amp;F7746&amp;G7746</f>
        <v/>
      </c>
    </row>
    <row r="7747" spans="1:2" x14ac:dyDescent="0.25">
      <c r="A7747" t="str">
        <f>IF(C7747&amp;G7747&amp;D7747&lt;&gt;'Funnel setup'!$K$3&amp;'Funnel setup'!$K$4&amp;'Funnel setup'!$K$6,".",IF(A7746=".",1,A7746+1))</f>
        <v>.</v>
      </c>
      <c r="B7747" s="244" t="str">
        <f t="shared" si="121"/>
        <v/>
      </c>
    </row>
    <row r="7748" spans="1:2" x14ac:dyDescent="0.25">
      <c r="A7748" t="str">
        <f>IF(C7748&amp;G7748&amp;D7748&lt;&gt;'Funnel setup'!$K$3&amp;'Funnel setup'!$K$4&amp;'Funnel setup'!$K$6,".",IF(A7747=".",1,A7747+1))</f>
        <v>.</v>
      </c>
      <c r="B7748" s="244" t="str">
        <f t="shared" si="121"/>
        <v/>
      </c>
    </row>
    <row r="7749" spans="1:2" x14ac:dyDescent="0.25">
      <c r="A7749" t="str">
        <f>IF(C7749&amp;G7749&amp;D7749&lt;&gt;'Funnel setup'!$K$3&amp;'Funnel setup'!$K$4&amp;'Funnel setup'!$K$6,".",IF(A7748=".",1,A7748+1))</f>
        <v>.</v>
      </c>
      <c r="B7749" s="244" t="str">
        <f t="shared" si="121"/>
        <v/>
      </c>
    </row>
    <row r="7750" spans="1:2" x14ac:dyDescent="0.25">
      <c r="A7750" t="str">
        <f>IF(C7750&amp;G7750&amp;D7750&lt;&gt;'Funnel setup'!$K$3&amp;'Funnel setup'!$K$4&amp;'Funnel setup'!$K$6,".",IF(A7749=".",1,A7749+1))</f>
        <v>.</v>
      </c>
      <c r="B7750" s="244" t="str">
        <f t="shared" si="121"/>
        <v/>
      </c>
    </row>
    <row r="7751" spans="1:2" x14ac:dyDescent="0.25">
      <c r="A7751" t="str">
        <f>IF(C7751&amp;G7751&amp;D7751&lt;&gt;'Funnel setup'!$K$3&amp;'Funnel setup'!$K$4&amp;'Funnel setup'!$K$6,".",IF(A7750=".",1,A7750+1))</f>
        <v>.</v>
      </c>
      <c r="B7751" s="244" t="str">
        <f t="shared" si="121"/>
        <v/>
      </c>
    </row>
    <row r="7752" spans="1:2" x14ac:dyDescent="0.25">
      <c r="A7752" t="str">
        <f>IF(C7752&amp;G7752&amp;D7752&lt;&gt;'Funnel setup'!$K$3&amp;'Funnel setup'!$K$4&amp;'Funnel setup'!$K$6,".",IF(A7751=".",1,A7751+1))</f>
        <v>.</v>
      </c>
      <c r="B7752" s="244" t="str">
        <f t="shared" si="121"/>
        <v/>
      </c>
    </row>
    <row r="7753" spans="1:2" x14ac:dyDescent="0.25">
      <c r="A7753" t="str">
        <f>IF(C7753&amp;G7753&amp;D7753&lt;&gt;'Funnel setup'!$K$3&amp;'Funnel setup'!$K$4&amp;'Funnel setup'!$K$6,".",IF(A7752=".",1,A7752+1))</f>
        <v>.</v>
      </c>
      <c r="B7753" s="244" t="str">
        <f t="shared" si="121"/>
        <v/>
      </c>
    </row>
    <row r="7754" spans="1:2" x14ac:dyDescent="0.25">
      <c r="A7754" t="str">
        <f>IF(C7754&amp;G7754&amp;D7754&lt;&gt;'Funnel setup'!$K$3&amp;'Funnel setup'!$K$4&amp;'Funnel setup'!$K$6,".",IF(A7753=".",1,A7753+1))</f>
        <v>.</v>
      </c>
      <c r="B7754" s="244" t="str">
        <f t="shared" si="121"/>
        <v/>
      </c>
    </row>
    <row r="7755" spans="1:2" x14ac:dyDescent="0.25">
      <c r="A7755" t="str">
        <f>IF(C7755&amp;G7755&amp;D7755&lt;&gt;'Funnel setup'!$K$3&amp;'Funnel setup'!$K$4&amp;'Funnel setup'!$K$6,".",IF(A7754=".",1,A7754+1))</f>
        <v>.</v>
      </c>
      <c r="B7755" s="244" t="str">
        <f t="shared" si="121"/>
        <v/>
      </c>
    </row>
    <row r="7756" spans="1:2" x14ac:dyDescent="0.25">
      <c r="A7756" t="str">
        <f>IF(C7756&amp;G7756&amp;D7756&lt;&gt;'Funnel setup'!$K$3&amp;'Funnel setup'!$K$4&amp;'Funnel setup'!$K$6,".",IF(A7755=".",1,A7755+1))</f>
        <v>.</v>
      </c>
      <c r="B7756" s="244" t="str">
        <f t="shared" si="121"/>
        <v/>
      </c>
    </row>
    <row r="7757" spans="1:2" x14ac:dyDescent="0.25">
      <c r="A7757" t="str">
        <f>IF(C7757&amp;G7757&amp;D7757&lt;&gt;'Funnel setup'!$K$3&amp;'Funnel setup'!$K$4&amp;'Funnel setup'!$K$6,".",IF(A7756=".",1,A7756+1))</f>
        <v>.</v>
      </c>
      <c r="B7757" s="244" t="str">
        <f t="shared" si="121"/>
        <v/>
      </c>
    </row>
    <row r="7758" spans="1:2" x14ac:dyDescent="0.25">
      <c r="A7758" t="str">
        <f>IF(C7758&amp;G7758&amp;D7758&lt;&gt;'Funnel setup'!$K$3&amp;'Funnel setup'!$K$4&amp;'Funnel setup'!$K$6,".",IF(A7757=".",1,A7757+1))</f>
        <v>.</v>
      </c>
      <c r="B7758" s="244" t="str">
        <f t="shared" si="121"/>
        <v/>
      </c>
    </row>
    <row r="7759" spans="1:2" x14ac:dyDescent="0.25">
      <c r="A7759" t="str">
        <f>IF(C7759&amp;G7759&amp;D7759&lt;&gt;'Funnel setup'!$K$3&amp;'Funnel setup'!$K$4&amp;'Funnel setup'!$K$6,".",IF(A7758=".",1,A7758+1))</f>
        <v>.</v>
      </c>
      <c r="B7759" s="244" t="str">
        <f t="shared" si="121"/>
        <v/>
      </c>
    </row>
    <row r="7760" spans="1:2" x14ac:dyDescent="0.25">
      <c r="A7760" t="str">
        <f>IF(C7760&amp;G7760&amp;D7760&lt;&gt;'Funnel setup'!$K$3&amp;'Funnel setup'!$K$4&amp;'Funnel setup'!$K$6,".",IF(A7759=".",1,A7759+1))</f>
        <v>.</v>
      </c>
      <c r="B7760" s="244" t="str">
        <f t="shared" si="121"/>
        <v/>
      </c>
    </row>
    <row r="7761" spans="1:2" x14ac:dyDescent="0.25">
      <c r="A7761" t="str">
        <f>IF(C7761&amp;G7761&amp;D7761&lt;&gt;'Funnel setup'!$K$3&amp;'Funnel setup'!$K$4&amp;'Funnel setup'!$K$6,".",IF(A7760=".",1,A7760+1))</f>
        <v>.</v>
      </c>
      <c r="B7761" s="244" t="str">
        <f t="shared" si="121"/>
        <v/>
      </c>
    </row>
    <row r="7762" spans="1:2" x14ac:dyDescent="0.25">
      <c r="A7762" t="str">
        <f>IF(C7762&amp;G7762&amp;D7762&lt;&gt;'Funnel setup'!$K$3&amp;'Funnel setup'!$K$4&amp;'Funnel setup'!$K$6,".",IF(A7761=".",1,A7761+1))</f>
        <v>.</v>
      </c>
      <c r="B7762" s="244" t="str">
        <f t="shared" si="121"/>
        <v/>
      </c>
    </row>
    <row r="7763" spans="1:2" x14ac:dyDescent="0.25">
      <c r="A7763" t="str">
        <f>IF(C7763&amp;G7763&amp;D7763&lt;&gt;'Funnel setup'!$K$3&amp;'Funnel setup'!$K$4&amp;'Funnel setup'!$K$6,".",IF(A7762=".",1,A7762+1))</f>
        <v>.</v>
      </c>
      <c r="B7763" s="244" t="str">
        <f t="shared" si="121"/>
        <v/>
      </c>
    </row>
    <row r="7764" spans="1:2" x14ac:dyDescent="0.25">
      <c r="A7764" t="str">
        <f>IF(C7764&amp;G7764&amp;D7764&lt;&gt;'Funnel setup'!$K$3&amp;'Funnel setup'!$K$4&amp;'Funnel setup'!$K$6,".",IF(A7763=".",1,A7763+1))</f>
        <v>.</v>
      </c>
      <c r="B7764" s="244" t="str">
        <f t="shared" si="121"/>
        <v/>
      </c>
    </row>
    <row r="7765" spans="1:2" x14ac:dyDescent="0.25">
      <c r="A7765" t="str">
        <f>IF(C7765&amp;G7765&amp;D7765&lt;&gt;'Funnel setup'!$K$3&amp;'Funnel setup'!$K$4&amp;'Funnel setup'!$K$6,".",IF(A7764=".",1,A7764+1))</f>
        <v>.</v>
      </c>
      <c r="B7765" s="244" t="str">
        <f t="shared" si="121"/>
        <v/>
      </c>
    </row>
    <row r="7766" spans="1:2" x14ac:dyDescent="0.25">
      <c r="A7766" t="str">
        <f>IF(C7766&amp;G7766&amp;D7766&lt;&gt;'Funnel setup'!$K$3&amp;'Funnel setup'!$K$4&amp;'Funnel setup'!$K$6,".",IF(A7765=".",1,A7765+1))</f>
        <v>.</v>
      </c>
      <c r="B7766" s="244" t="str">
        <f t="shared" si="121"/>
        <v/>
      </c>
    </row>
    <row r="7767" spans="1:2" x14ac:dyDescent="0.25">
      <c r="A7767" t="str">
        <f>IF(C7767&amp;G7767&amp;D7767&lt;&gt;'Funnel setup'!$K$3&amp;'Funnel setup'!$K$4&amp;'Funnel setup'!$K$6,".",IF(A7766=".",1,A7766+1))</f>
        <v>.</v>
      </c>
      <c r="B7767" s="244" t="str">
        <f t="shared" si="121"/>
        <v/>
      </c>
    </row>
    <row r="7768" spans="1:2" x14ac:dyDescent="0.25">
      <c r="A7768" t="str">
        <f>IF(C7768&amp;G7768&amp;D7768&lt;&gt;'Funnel setup'!$K$3&amp;'Funnel setup'!$K$4&amp;'Funnel setup'!$K$6,".",IF(A7767=".",1,A7767+1))</f>
        <v>.</v>
      </c>
      <c r="B7768" s="244" t="str">
        <f t="shared" si="121"/>
        <v/>
      </c>
    </row>
  </sheetData>
  <autoFilter ref="A1:Q7768" xr:uid="{00000000-0009-0000-0000-000003000000}"/>
  <conditionalFormatting sqref="A1:A1048576">
    <cfRule type="cellIs" dxfId="10" priority="1" operator="equal">
      <formula>"."</formula>
    </cfRule>
  </conditionalFormatting>
  <conditionalFormatting sqref="B1:B1048576">
    <cfRule type="cellIs" dxfId="9" priority="2" operator="notEqual">
      <formula>""</formula>
    </cfRule>
  </conditionalFormatting>
  <pageMargins left="0.75" right="0.75" top="1" bottom="1" header="0.5" footer="0.5"/>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indexed="13"/>
  </sheetPr>
  <dimension ref="A1:P423"/>
  <sheetViews>
    <sheetView showGridLines="0" topLeftCell="A2" zoomScale="80" zoomScaleNormal="80" workbookViewId="0">
      <selection activeCell="B4" sqref="B4"/>
    </sheetView>
  </sheetViews>
  <sheetFormatPr defaultRowHeight="12.5" x14ac:dyDescent="0.25"/>
  <cols>
    <col min="1" max="1" width="9" customWidth="1"/>
    <col min="2" max="2" width="23.81640625" customWidth="1"/>
    <col min="3" max="3" width="17" customWidth="1"/>
    <col min="4" max="4" width="13.81640625" customWidth="1"/>
    <col min="5" max="5" width="15.54296875" customWidth="1"/>
    <col min="6" max="6" width="17.81640625" customWidth="1"/>
    <col min="7" max="7" width="16" customWidth="1"/>
    <col min="8" max="8" width="15.81640625" customWidth="1"/>
    <col min="10" max="10" width="35.1796875" customWidth="1"/>
    <col min="11" max="11" width="22.81640625" customWidth="1"/>
    <col min="12" max="12" width="22.1796875" bestFit="1" customWidth="1"/>
    <col min="13" max="13" width="24.1796875" bestFit="1" customWidth="1"/>
    <col min="14" max="14" width="23.81640625" bestFit="1" customWidth="1"/>
    <col min="15" max="15" width="12.54296875" bestFit="1" customWidth="1"/>
    <col min="16" max="16" width="11.81640625" customWidth="1"/>
  </cols>
  <sheetData>
    <row r="1" spans="1:11" ht="21" customHeight="1" x14ac:dyDescent="0.35">
      <c r="B1" s="406" t="s">
        <v>976</v>
      </c>
      <c r="C1" s="407"/>
      <c r="D1" s="407"/>
      <c r="E1" s="407"/>
      <c r="F1" s="407"/>
      <c r="G1" s="407"/>
      <c r="H1" s="407"/>
    </row>
    <row r="2" spans="1:11" ht="54" customHeight="1" thickBot="1" x14ac:dyDescent="0.35">
      <c r="A2" s="205"/>
      <c r="B2" s="205"/>
      <c r="C2" s="205"/>
      <c r="D2" s="209"/>
      <c r="E2" s="209"/>
      <c r="F2" s="209"/>
      <c r="G2" s="404"/>
      <c r="H2" s="405"/>
    </row>
    <row r="3" spans="1:11" ht="27.75" customHeight="1" thickBot="1" x14ac:dyDescent="0.35">
      <c r="A3" s="206" t="s">
        <v>734</v>
      </c>
      <c r="B3" s="207" t="s">
        <v>735</v>
      </c>
      <c r="C3" s="207" t="s">
        <v>738</v>
      </c>
      <c r="D3" s="208" t="s">
        <v>739</v>
      </c>
      <c r="E3" s="208" t="s">
        <v>741</v>
      </c>
      <c r="F3" s="208" t="s">
        <v>747</v>
      </c>
      <c r="G3" s="208" t="s">
        <v>977</v>
      </c>
      <c r="H3" s="208" t="s">
        <v>748</v>
      </c>
      <c r="J3" s="140" t="s">
        <v>735</v>
      </c>
      <c r="K3" s="171" t="str">
        <f>'Funnel Plot'!B11</f>
        <v>Total Hip Replacement</v>
      </c>
    </row>
    <row r="4" spans="1:11" ht="13" x14ac:dyDescent="0.3">
      <c r="A4" s="179" t="str">
        <f t="shared" ref="A4:A21" si="0">B4&amp;C4</f>
        <v>Hip Replacement PrimaryEQ-5D Index</v>
      </c>
      <c r="B4" t="s">
        <v>749</v>
      </c>
      <c r="C4" t="s">
        <v>963</v>
      </c>
      <c r="D4">
        <v>14042</v>
      </c>
      <c r="E4">
        <v>0.7876951288990488</v>
      </c>
      <c r="F4">
        <v>0.46185678678255482</v>
      </c>
      <c r="G4">
        <v>0.46793774457439902</v>
      </c>
      <c r="H4">
        <v>0.2331821728720711</v>
      </c>
      <c r="J4" s="140" t="s">
        <v>738</v>
      </c>
      <c r="K4" s="171" t="str">
        <f>'Funnel Plot'!D11</f>
        <v>Oxford Hip Score</v>
      </c>
    </row>
    <row r="5" spans="1:11" ht="13" x14ac:dyDescent="0.3">
      <c r="A5" s="179" t="str">
        <f t="shared" si="0"/>
        <v>Hip Replacement PrimaryEQ VAS</v>
      </c>
      <c r="B5" t="s">
        <v>749</v>
      </c>
      <c r="C5" t="s">
        <v>752</v>
      </c>
      <c r="D5">
        <v>13559</v>
      </c>
      <c r="E5">
        <v>75.796592669075892</v>
      </c>
      <c r="F5">
        <v>14.985323401430779</v>
      </c>
      <c r="G5">
        <v>15.428112405883439</v>
      </c>
      <c r="H5">
        <v>16.68474331481843</v>
      </c>
      <c r="J5" s="140"/>
      <c r="K5" s="171"/>
    </row>
    <row r="6" spans="1:11" ht="13" x14ac:dyDescent="0.3">
      <c r="A6" s="180" t="str">
        <f t="shared" si="0"/>
        <v>Hip Replacement PrimaryOxford Hip Score</v>
      </c>
      <c r="B6" t="s">
        <v>749</v>
      </c>
      <c r="C6" t="s">
        <v>964</v>
      </c>
      <c r="D6">
        <v>14995</v>
      </c>
      <c r="E6">
        <v>39.931710570190063</v>
      </c>
      <c r="F6">
        <v>22.847415805268419</v>
      </c>
      <c r="G6">
        <v>23.053095342346751</v>
      </c>
      <c r="H6">
        <v>8.150292456618855</v>
      </c>
      <c r="J6" s="140" t="s">
        <v>736</v>
      </c>
      <c r="K6" s="171" t="str">
        <f>'Funnel Plot'!F11</f>
        <v>Provider</v>
      </c>
    </row>
    <row r="7" spans="1:11" ht="13" x14ac:dyDescent="0.3">
      <c r="A7" s="179" t="str">
        <f t="shared" si="0"/>
        <v>Hip Replacement RevisionEQ-5D Index</v>
      </c>
      <c r="B7" t="s">
        <v>967</v>
      </c>
      <c r="C7" t="s">
        <v>963</v>
      </c>
      <c r="D7">
        <v>585</v>
      </c>
      <c r="E7">
        <v>0.68567692307692241</v>
      </c>
      <c r="F7">
        <v>0.31689572649572589</v>
      </c>
      <c r="G7">
        <v>0.35164346274150499</v>
      </c>
      <c r="H7">
        <v>0.27196519035747291</v>
      </c>
      <c r="J7" s="140" t="s">
        <v>737</v>
      </c>
      <c r="K7" s="171" t="str">
        <f>'Funnel Plot'!H11</f>
        <v>BLACKPOOL TEACHING HOSPITALS NHS FOUNDATION TRUST (RXL)</v>
      </c>
    </row>
    <row r="8" spans="1:11" ht="13" x14ac:dyDescent="0.3">
      <c r="A8" s="179" t="str">
        <f t="shared" si="0"/>
        <v>Hip Replacement RevisionEQ VAS</v>
      </c>
      <c r="B8" t="s">
        <v>967</v>
      </c>
      <c r="C8" t="s">
        <v>752</v>
      </c>
      <c r="D8">
        <v>574</v>
      </c>
      <c r="E8">
        <v>69.299651567944252</v>
      </c>
      <c r="F8">
        <v>8.3693379790940767</v>
      </c>
      <c r="G8">
        <v>10.86502570067764</v>
      </c>
      <c r="H8">
        <v>19.34884564826292</v>
      </c>
      <c r="J8" s="140" t="s">
        <v>748</v>
      </c>
      <c r="K8" s="171">
        <f>VLOOKUP(K3&amp;K4,A:H,8,0)</f>
        <v>8.2790149156215218</v>
      </c>
    </row>
    <row r="9" spans="1:11" ht="13.5" customHeight="1" thickBot="1" x14ac:dyDescent="0.35">
      <c r="A9" s="204" t="str">
        <f t="shared" si="0"/>
        <v>Hip Replacement RevisionOxford Hip Score</v>
      </c>
      <c r="B9" t="s">
        <v>967</v>
      </c>
      <c r="C9" t="s">
        <v>964</v>
      </c>
      <c r="D9">
        <v>631</v>
      </c>
      <c r="E9">
        <v>34.857369255150552</v>
      </c>
      <c r="F9">
        <v>14.62440570522979</v>
      </c>
      <c r="G9">
        <v>15.815826288437201</v>
      </c>
      <c r="H9">
        <v>9.6847552529100245</v>
      </c>
      <c r="J9" s="140" t="s">
        <v>978</v>
      </c>
      <c r="K9" s="171">
        <f>VLOOKUP(K3&amp;K4,A:H,6,0)</f>
        <v>22.515359017022909</v>
      </c>
    </row>
    <row r="10" spans="1:11" ht="13" x14ac:dyDescent="0.3">
      <c r="A10" s="179" t="str">
        <f t="shared" si="0"/>
        <v>Knee Replacement PrimaryEQ-5D Index</v>
      </c>
      <c r="B10" t="s">
        <v>969</v>
      </c>
      <c r="C10" t="s">
        <v>963</v>
      </c>
      <c r="D10">
        <v>14210</v>
      </c>
      <c r="E10">
        <v>0.75302068965521796</v>
      </c>
      <c r="F10">
        <v>0.3242249120338544</v>
      </c>
      <c r="G10">
        <v>0.33016101161609118</v>
      </c>
      <c r="H10">
        <v>0.2289850286251188</v>
      </c>
      <c r="J10" s="140" t="s">
        <v>979</v>
      </c>
      <c r="K10" s="171">
        <f>VLOOKUP(K3&amp;K6&amp;K7&amp;K4,'Provider Commission - Raw Data'!B:Q,7,0)</f>
        <v>56</v>
      </c>
    </row>
    <row r="11" spans="1:11" ht="13" x14ac:dyDescent="0.3">
      <c r="A11" s="179" t="str">
        <f t="shared" si="0"/>
        <v>Knee Replacement PrimaryEQ VAS</v>
      </c>
      <c r="B11" t="s">
        <v>969</v>
      </c>
      <c r="C11" t="s">
        <v>752</v>
      </c>
      <c r="D11">
        <v>13609</v>
      </c>
      <c r="E11">
        <v>73.935189947828647</v>
      </c>
      <c r="F11">
        <v>8.4067896245131948</v>
      </c>
      <c r="G11">
        <v>8.8536508801558167</v>
      </c>
      <c r="H11">
        <v>16.86920749287999</v>
      </c>
      <c r="J11" s="140" t="s">
        <v>980</v>
      </c>
      <c r="K11" s="171">
        <f>MAX('Provider Commission - Raw Data'!A:A)</f>
        <v>252</v>
      </c>
    </row>
    <row r="12" spans="1:11" ht="13" x14ac:dyDescent="0.3">
      <c r="A12" s="180" t="str">
        <f t="shared" si="0"/>
        <v>Knee Replacement PrimaryOxford Knee Score</v>
      </c>
      <c r="B12" t="s">
        <v>969</v>
      </c>
      <c r="C12" t="s">
        <v>972</v>
      </c>
      <c r="D12">
        <v>15016</v>
      </c>
      <c r="E12">
        <v>37.013052743740012</v>
      </c>
      <c r="F12">
        <v>17.6247336174747</v>
      </c>
      <c r="G12">
        <v>17.83605113890377</v>
      </c>
      <c r="H12">
        <v>8.3795656831601786</v>
      </c>
      <c r="J12" s="140" t="s">
        <v>981</v>
      </c>
      <c r="K12" s="190">
        <v>10</v>
      </c>
    </row>
    <row r="13" spans="1:11" ht="13" x14ac:dyDescent="0.3">
      <c r="A13" s="202" t="str">
        <f t="shared" si="0"/>
        <v>Knee Replacement RevisionEQ-5D Index</v>
      </c>
      <c r="B13" t="s">
        <v>973</v>
      </c>
      <c r="C13" t="s">
        <v>963</v>
      </c>
      <c r="D13">
        <v>569</v>
      </c>
      <c r="E13">
        <v>0.61948330404217733</v>
      </c>
      <c r="F13">
        <v>0.30752724077328442</v>
      </c>
      <c r="G13">
        <v>0.34353585818726312</v>
      </c>
      <c r="H13">
        <v>0.27795305470568737</v>
      </c>
      <c r="J13" s="140" t="s">
        <v>982</v>
      </c>
      <c r="K13" s="172">
        <f t="array" aca="1" ref="K13" ca="1">CEILING(MAX(IF(ISERROR('Funnel Lookup'!S3:S403),50,'Funnel Lookup'!S3:S403)),50)</f>
        <v>650</v>
      </c>
    </row>
    <row r="14" spans="1:11" ht="13" x14ac:dyDescent="0.3">
      <c r="A14" s="203" t="str">
        <f t="shared" si="0"/>
        <v>Knee Replacement RevisionEQ VAS</v>
      </c>
      <c r="B14" t="s">
        <v>973</v>
      </c>
      <c r="C14" t="s">
        <v>752</v>
      </c>
      <c r="D14">
        <v>561</v>
      </c>
      <c r="E14">
        <v>67.130124777183596</v>
      </c>
      <c r="F14">
        <v>7.2263814616755724</v>
      </c>
      <c r="G14">
        <v>9.6976771487990909</v>
      </c>
      <c r="H14">
        <v>18.941528136512382</v>
      </c>
      <c r="J14" s="141" t="s">
        <v>983</v>
      </c>
      <c r="K14" s="171">
        <f ca="1">EXP((LN(K13)-LN(K12))/19)</f>
        <v>1.2457086853527504</v>
      </c>
    </row>
    <row r="15" spans="1:11" ht="13.5" customHeight="1" thickBot="1" x14ac:dyDescent="0.35">
      <c r="A15" s="210" t="str">
        <f t="shared" si="0"/>
        <v>Knee Replacement RevisionOxford Knee Score</v>
      </c>
      <c r="B15" t="s">
        <v>973</v>
      </c>
      <c r="C15" t="s">
        <v>972</v>
      </c>
      <c r="D15">
        <v>611</v>
      </c>
      <c r="E15">
        <v>30.296235679214401</v>
      </c>
      <c r="F15">
        <v>13.968903436988541</v>
      </c>
      <c r="G15">
        <v>15.267421388655171</v>
      </c>
      <c r="H15">
        <v>10.386696332935699</v>
      </c>
      <c r="J15" s="140"/>
      <c r="K15" s="169" t="str">
        <f>IF(K4="Aberdeen Varicose Vein Questionnaire","Lower ","Upper ")</f>
        <v xml:space="preserve">Upper </v>
      </c>
    </row>
    <row r="16" spans="1:11" ht="13" x14ac:dyDescent="0.3">
      <c r="A16" s="391" t="str">
        <f t="shared" si="0"/>
        <v>Total Hip ReplacementEQ-5D Index</v>
      </c>
      <c r="B16" t="s">
        <v>974</v>
      </c>
      <c r="C16" t="s">
        <v>963</v>
      </c>
      <c r="D16">
        <v>14627</v>
      </c>
      <c r="E16">
        <v>0.78361495863816899</v>
      </c>
      <c r="F16">
        <v>0.45605913721204988</v>
      </c>
      <c r="G16">
        <v>0.46202742153316378</v>
      </c>
      <c r="H16">
        <v>0.23358018949840381</v>
      </c>
      <c r="J16" s="140"/>
      <c r="K16" s="169" t="str">
        <f>IF(K4="Aberdeen Varicose Vein Questionnaire","Upper ","Lower ")</f>
        <v xml:space="preserve">Lower </v>
      </c>
    </row>
    <row r="17" spans="1:16" ht="13" x14ac:dyDescent="0.3">
      <c r="A17" s="179" t="str">
        <f t="shared" si="0"/>
        <v>Total Hip ReplacementEQ VAS</v>
      </c>
      <c r="B17" t="s">
        <v>974</v>
      </c>
      <c r="C17" t="s">
        <v>752</v>
      </c>
      <c r="D17">
        <v>14133</v>
      </c>
      <c r="E17">
        <v>75.532724828415766</v>
      </c>
      <c r="F17">
        <v>14.716620675015919</v>
      </c>
      <c r="G17">
        <v>15.15232094583552</v>
      </c>
      <c r="H17">
        <v>16.761538577035491</v>
      </c>
      <c r="J17" s="140" t="s">
        <v>984</v>
      </c>
      <c r="K17" s="139"/>
    </row>
    <row r="18" spans="1:16" ht="13.5" customHeight="1" thickBot="1" x14ac:dyDescent="0.35">
      <c r="A18" s="180" t="str">
        <f t="shared" si="0"/>
        <v>Total Hip ReplacementOxford Hip Score</v>
      </c>
      <c r="B18" t="s">
        <v>974</v>
      </c>
      <c r="C18" t="s">
        <v>964</v>
      </c>
      <c r="D18">
        <v>15626</v>
      </c>
      <c r="E18">
        <v>39.726801484704978</v>
      </c>
      <c r="F18">
        <v>22.515359017022909</v>
      </c>
      <c r="G18">
        <v>22.720025102645831</v>
      </c>
      <c r="H18">
        <v>8.2790149156215218</v>
      </c>
      <c r="J18" s="140" t="s">
        <v>985</v>
      </c>
      <c r="K18" s="139"/>
    </row>
    <row r="19" spans="1:16" ht="13" x14ac:dyDescent="0.3">
      <c r="A19" s="391" t="str">
        <f t="shared" si="0"/>
        <v>Total Knee ReplacementEQ-5D Index</v>
      </c>
      <c r="B19" t="s">
        <v>975</v>
      </c>
      <c r="C19" t="s">
        <v>963</v>
      </c>
      <c r="D19">
        <v>14779</v>
      </c>
      <c r="E19">
        <v>0.74787942350637648</v>
      </c>
      <c r="F19">
        <v>0.32358204208682412</v>
      </c>
      <c r="G19">
        <v>0.32946609065014382</v>
      </c>
      <c r="H19">
        <v>0.2314768931058048</v>
      </c>
      <c r="J19" s="3"/>
    </row>
    <row r="20" spans="1:16" x14ac:dyDescent="0.25">
      <c r="A20" s="179" t="str">
        <f t="shared" si="0"/>
        <v>Total Knee ReplacementEQ VAS</v>
      </c>
      <c r="B20" t="s">
        <v>975</v>
      </c>
      <c r="C20" t="s">
        <v>752</v>
      </c>
      <c r="D20">
        <v>14170</v>
      </c>
      <c r="E20">
        <v>73.665772759350745</v>
      </c>
      <c r="F20">
        <v>8.360056457304168</v>
      </c>
      <c r="G20">
        <v>8.799184592722094</v>
      </c>
      <c r="H20">
        <v>16.915508604787519</v>
      </c>
    </row>
    <row r="21" spans="1:16" ht="13" x14ac:dyDescent="0.3">
      <c r="A21" s="180" t="str">
        <f t="shared" si="0"/>
        <v>Total Knee ReplacementOxford Knee Score</v>
      </c>
      <c r="B21" t="s">
        <v>975</v>
      </c>
      <c r="C21" t="s">
        <v>972</v>
      </c>
      <c r="D21">
        <v>15627</v>
      </c>
      <c r="E21">
        <v>36.750431944711067</v>
      </c>
      <c r="F21">
        <v>17.481794330325719</v>
      </c>
      <c r="G21">
        <v>17.69117037449951</v>
      </c>
      <c r="H21">
        <v>8.4698099963753428</v>
      </c>
      <c r="J21" s="143"/>
      <c r="K21" s="143" t="s">
        <v>986</v>
      </c>
      <c r="L21" s="143" t="s">
        <v>987</v>
      </c>
      <c r="M21" s="143" t="s">
        <v>988</v>
      </c>
      <c r="N21" s="143" t="s">
        <v>989</v>
      </c>
      <c r="O21" s="191" t="s">
        <v>122</v>
      </c>
      <c r="P21" s="191" t="s">
        <v>990</v>
      </c>
    </row>
    <row r="22" spans="1:16" ht="13" x14ac:dyDescent="0.3">
      <c r="J22" s="144" t="s">
        <v>991</v>
      </c>
      <c r="K22" s="145" t="s">
        <v>992</v>
      </c>
      <c r="L22" s="145" t="s">
        <v>993</v>
      </c>
      <c r="M22" s="145" t="s">
        <v>994</v>
      </c>
      <c r="N22" s="145" t="s">
        <v>995</v>
      </c>
      <c r="O22" s="192" t="s">
        <v>996</v>
      </c>
      <c r="P22" s="192" t="s">
        <v>997</v>
      </c>
    </row>
    <row r="23" spans="1:16" x14ac:dyDescent="0.25">
      <c r="J23" s="169">
        <v>10</v>
      </c>
      <c r="K23" s="169">
        <f t="shared" ref="K23:K42" si="1">$K$9-(2*$K$8)/SQRT(J23)</f>
        <v>17.279250233848764</v>
      </c>
      <c r="L23" s="169">
        <f t="shared" ref="L23:L42" si="2">$K$9+(2*$K$8)/SQRT(J23)</f>
        <v>27.751467800197055</v>
      </c>
      <c r="M23" s="169">
        <f t="shared" ref="M23:M42" si="3">$K$9-(3*$K$8)/SQRT(J23)</f>
        <v>14.661195842261689</v>
      </c>
      <c r="N23" s="169">
        <f t="shared" ref="N23:N42" si="4">$K$9+(3*$K$8)/SQRT(J23)</f>
        <v>30.369522191784128</v>
      </c>
      <c r="O23" s="169">
        <f t="shared" ref="O23:O42" si="5">$K$9</f>
        <v>22.515359017022909</v>
      </c>
      <c r="P23" s="169">
        <v>1</v>
      </c>
    </row>
    <row r="24" spans="1:16" ht="13" x14ac:dyDescent="0.3">
      <c r="B24" s="250"/>
      <c r="C24" s="250"/>
      <c r="D24" s="250"/>
      <c r="E24" s="250"/>
      <c r="F24" s="250"/>
      <c r="G24" s="250"/>
      <c r="H24" s="250"/>
      <c r="J24" s="169">
        <f t="shared" ref="J24:J42" ca="1" si="6">J23*K$14</f>
        <v>12.457086853527503</v>
      </c>
      <c r="K24" s="169">
        <f t="shared" ca="1" si="1"/>
        <v>17.823981151528208</v>
      </c>
      <c r="L24" s="169">
        <f t="shared" ca="1" si="2"/>
        <v>27.20673688251761</v>
      </c>
      <c r="M24" s="169">
        <f t="shared" ca="1" si="3"/>
        <v>15.478292218780858</v>
      </c>
      <c r="N24" s="169">
        <f t="shared" ca="1" si="4"/>
        <v>29.552425815264961</v>
      </c>
      <c r="O24" s="170">
        <f t="shared" si="5"/>
        <v>22.515359017022909</v>
      </c>
      <c r="P24" s="169">
        <f>IF(P23="","",IF(P23+1&gt;'Funnel setup'!$K$11,"",P23+1))</f>
        <v>2</v>
      </c>
    </row>
    <row r="25" spans="1:16" x14ac:dyDescent="0.25">
      <c r="J25" s="169">
        <f t="shared" ca="1" si="6"/>
        <v>15.517901287632776</v>
      </c>
      <c r="K25" s="169">
        <f t="shared" ca="1" si="1"/>
        <v>18.312041785039874</v>
      </c>
      <c r="L25" s="169">
        <f t="shared" ca="1" si="2"/>
        <v>26.718676249005945</v>
      </c>
      <c r="M25" s="169">
        <f t="shared" ca="1" si="3"/>
        <v>16.210383169048356</v>
      </c>
      <c r="N25" s="169">
        <f t="shared" ca="1" si="4"/>
        <v>28.820334864997463</v>
      </c>
      <c r="O25" s="170">
        <f t="shared" si="5"/>
        <v>22.515359017022909</v>
      </c>
      <c r="P25" s="169">
        <f>IF(P24="","",IF(P24+1&gt;'Funnel setup'!$K$11,"",P24+1))</f>
        <v>3</v>
      </c>
    </row>
    <row r="26" spans="1:16" x14ac:dyDescent="0.25">
      <c r="J26" s="169">
        <f t="shared" ca="1" si="6"/>
        <v>19.330784412450779</v>
      </c>
      <c r="K26" s="169">
        <f t="shared" ca="1" si="1"/>
        <v>18.74932774449772</v>
      </c>
      <c r="L26" s="169">
        <f t="shared" ca="1" si="2"/>
        <v>26.281390289548099</v>
      </c>
      <c r="M26" s="169">
        <f t="shared" ca="1" si="3"/>
        <v>16.866312108235125</v>
      </c>
      <c r="N26" s="169">
        <f t="shared" ca="1" si="4"/>
        <v>28.164405925810694</v>
      </c>
      <c r="O26" s="170">
        <f t="shared" si="5"/>
        <v>22.515359017022909</v>
      </c>
      <c r="P26" s="169">
        <f>IF(P25="","",IF(P25+1&gt;'Funnel setup'!$K$11,"",P25+1))</f>
        <v>4</v>
      </c>
    </row>
    <row r="27" spans="1:16" x14ac:dyDescent="0.25">
      <c r="J27" s="169">
        <f t="shared" ca="1" si="6"/>
        <v>24.080526037271497</v>
      </c>
      <c r="K27" s="169">
        <f t="shared" ca="1" si="1"/>
        <v>19.141121298841817</v>
      </c>
      <c r="L27" s="169">
        <f t="shared" ca="1" si="2"/>
        <v>25.889596735204002</v>
      </c>
      <c r="M27" s="169">
        <f t="shared" ca="1" si="3"/>
        <v>17.454002439751267</v>
      </c>
      <c r="N27" s="169">
        <f t="shared" ca="1" si="4"/>
        <v>27.576715594294551</v>
      </c>
      <c r="O27" s="170">
        <f t="shared" si="5"/>
        <v>22.515359017022909</v>
      </c>
      <c r="P27" s="169">
        <f>IF(P26="","",IF(P26+1&gt;'Funnel setup'!$K$11,"",P26+1))</f>
        <v>5</v>
      </c>
    </row>
    <row r="28" spans="1:16" x14ac:dyDescent="0.25">
      <c r="J28" s="169">
        <f t="shared" ca="1" si="6"/>
        <v>29.997320432492153</v>
      </c>
      <c r="K28" s="169">
        <f t="shared" ca="1" si="1"/>
        <v>19.492155183890162</v>
      </c>
      <c r="L28" s="169">
        <f t="shared" ca="1" si="2"/>
        <v>25.538562850155657</v>
      </c>
      <c r="M28" s="169">
        <f t="shared" ca="1" si="3"/>
        <v>17.980553267323788</v>
      </c>
      <c r="N28" s="169">
        <f t="shared" ca="1" si="4"/>
        <v>27.05016476672203</v>
      </c>
      <c r="O28" s="170">
        <f t="shared" si="5"/>
        <v>22.515359017022909</v>
      </c>
      <c r="P28" s="169">
        <f>IF(P27="","",IF(P27+1&gt;'Funnel setup'!$K$11,"",P27+1))</f>
        <v>6</v>
      </c>
    </row>
    <row r="29" spans="1:16" x14ac:dyDescent="0.25">
      <c r="J29" s="169">
        <f t="shared" ca="1" si="6"/>
        <v>37.367922600064993</v>
      </c>
      <c r="K29" s="169">
        <f t="shared" ca="1" si="1"/>
        <v>19.806669772213155</v>
      </c>
      <c r="L29" s="169">
        <f t="shared" ca="1" si="2"/>
        <v>25.224048261832664</v>
      </c>
      <c r="M29" s="169">
        <f t="shared" ca="1" si="3"/>
        <v>18.452325149808278</v>
      </c>
      <c r="N29" s="169">
        <f t="shared" ca="1" si="4"/>
        <v>26.578392884237541</v>
      </c>
      <c r="O29" s="170">
        <f t="shared" si="5"/>
        <v>22.515359017022909</v>
      </c>
      <c r="P29" s="169">
        <f>IF(P28="","",IF(P28+1&gt;'Funnel setup'!$K$11,"",P28+1))</f>
        <v>7</v>
      </c>
    </row>
    <row r="30" spans="1:16" x14ac:dyDescent="0.25">
      <c r="J30" s="169">
        <f t="shared" ca="1" si="6"/>
        <v>46.549545736490295</v>
      </c>
      <c r="K30" s="169">
        <f t="shared" ca="1" si="1"/>
        <v>20.088464295423808</v>
      </c>
      <c r="L30" s="169">
        <f t="shared" ca="1" si="2"/>
        <v>24.942253738622011</v>
      </c>
      <c r="M30" s="169">
        <f t="shared" ca="1" si="3"/>
        <v>18.875016934624256</v>
      </c>
      <c r="N30" s="169">
        <f t="shared" ca="1" si="4"/>
        <v>26.155701099421563</v>
      </c>
      <c r="O30" s="170">
        <f t="shared" si="5"/>
        <v>22.515359017022909</v>
      </c>
      <c r="P30" s="169">
        <f>IF(P29="","",IF(P29+1&gt;'Funnel setup'!$K$11,"",P29+1))</f>
        <v>8</v>
      </c>
    </row>
    <row r="31" spans="1:16" x14ac:dyDescent="0.25">
      <c r="J31" s="169">
        <f t="shared" ca="1" si="6"/>
        <v>57.987173423171051</v>
      </c>
      <c r="K31" s="169">
        <f t="shared" ca="1" si="1"/>
        <v>20.340942737631931</v>
      </c>
      <c r="L31" s="169">
        <f t="shared" ca="1" si="2"/>
        <v>24.689775296413888</v>
      </c>
      <c r="M31" s="169">
        <f t="shared" ca="1" si="3"/>
        <v>19.253734597936443</v>
      </c>
      <c r="N31" s="169">
        <f t="shared" ca="1" si="4"/>
        <v>25.776983436109376</v>
      </c>
      <c r="O31" s="170">
        <f t="shared" si="5"/>
        <v>22.515359017022909</v>
      </c>
      <c r="P31" s="169">
        <f>IF(P30="","",IF(P30+1&gt;'Funnel setup'!$K$11,"",P30+1))</f>
        <v>9</v>
      </c>
    </row>
    <row r="32" spans="1:16" x14ac:dyDescent="0.25">
      <c r="J32" s="169">
        <f t="shared" ca="1" si="6"/>
        <v>72.235125572300348</v>
      </c>
      <c r="K32" s="169">
        <f t="shared" ca="1" si="1"/>
        <v>20.567154954439953</v>
      </c>
      <c r="L32" s="169">
        <f t="shared" ca="1" si="2"/>
        <v>24.463563079605866</v>
      </c>
      <c r="M32" s="169">
        <f t="shared" ca="1" si="3"/>
        <v>19.593052923148473</v>
      </c>
      <c r="N32" s="169">
        <f t="shared" ca="1" si="4"/>
        <v>25.437665110897345</v>
      </c>
      <c r="O32" s="170">
        <f t="shared" si="5"/>
        <v>22.515359017022909</v>
      </c>
      <c r="P32" s="169">
        <f>IF(P31="","",IF(P31+1&gt;'Funnel setup'!$K$11,"",P31+1))</f>
        <v>10</v>
      </c>
    </row>
    <row r="33" spans="3:16" x14ac:dyDescent="0.25">
      <c r="J33" s="169">
        <f t="shared" ca="1" si="6"/>
        <v>89.98392331296111</v>
      </c>
      <c r="K33" s="169">
        <f t="shared" ca="1" si="1"/>
        <v>20.769833514184143</v>
      </c>
      <c r="L33" s="169">
        <f t="shared" ca="1" si="2"/>
        <v>24.260884519861676</v>
      </c>
      <c r="M33" s="169">
        <f t="shared" ca="1" si="3"/>
        <v>19.897070762764759</v>
      </c>
      <c r="N33" s="169">
        <f t="shared" ca="1" si="4"/>
        <v>25.13364727128106</v>
      </c>
      <c r="O33" s="170">
        <f t="shared" si="5"/>
        <v>22.515359017022909</v>
      </c>
      <c r="P33" s="169">
        <f>IF(P32="","",IF(P32+1&gt;'Funnel setup'!$K$11,"",P32+1))</f>
        <v>11</v>
      </c>
    </row>
    <row r="34" spans="3:16" x14ac:dyDescent="0.25">
      <c r="J34" s="169">
        <f t="shared" ca="1" si="6"/>
        <v>112.09375481307148</v>
      </c>
      <c r="K34" s="169">
        <f t="shared" ca="1" si="1"/>
        <v>20.951426706451212</v>
      </c>
      <c r="L34" s="169">
        <f t="shared" ca="1" si="2"/>
        <v>24.079291327594607</v>
      </c>
      <c r="M34" s="169">
        <f t="shared" ca="1" si="3"/>
        <v>20.169460551165365</v>
      </c>
      <c r="N34" s="169">
        <f t="shared" ca="1" si="4"/>
        <v>24.861257482880454</v>
      </c>
      <c r="O34" s="170">
        <f t="shared" si="5"/>
        <v>22.515359017022909</v>
      </c>
      <c r="P34" s="169">
        <f>IF(P33="","",IF(P33+1&gt;'Funnel setup'!$K$11,"",P33+1))</f>
        <v>12</v>
      </c>
    </row>
    <row r="35" spans="3:16" x14ac:dyDescent="0.25">
      <c r="J35" s="169">
        <f t="shared" ca="1" si="6"/>
        <v>139.6361639444448</v>
      </c>
      <c r="K35" s="169">
        <f t="shared" ca="1" si="1"/>
        <v>21.114128116602174</v>
      </c>
      <c r="L35" s="169">
        <f t="shared" ca="1" si="2"/>
        <v>23.916589917443645</v>
      </c>
      <c r="M35" s="169">
        <f t="shared" ca="1" si="3"/>
        <v>20.413512666391803</v>
      </c>
      <c r="N35" s="169">
        <f t="shared" ca="1" si="4"/>
        <v>24.617205367654016</v>
      </c>
      <c r="O35" s="170">
        <f t="shared" si="5"/>
        <v>22.515359017022909</v>
      </c>
      <c r="P35" s="169">
        <f>IF(P34="","",IF(P34+1&gt;'Funnel setup'!$K$11,"",P34+1))</f>
        <v>13</v>
      </c>
    </row>
    <row r="36" spans="3:16" x14ac:dyDescent="0.25">
      <c r="J36" s="169">
        <f t="shared" ca="1" si="6"/>
        <v>173.94598221493547</v>
      </c>
      <c r="K36" s="169">
        <f t="shared" ca="1" si="1"/>
        <v>21.259903123553858</v>
      </c>
      <c r="L36" s="169">
        <f t="shared" ca="1" si="2"/>
        <v>23.770814910491961</v>
      </c>
      <c r="M36" s="169">
        <f t="shared" ca="1" si="3"/>
        <v>20.632175176819331</v>
      </c>
      <c r="N36" s="169">
        <f t="shared" ca="1" si="4"/>
        <v>24.398542857226488</v>
      </c>
      <c r="O36" s="170">
        <f t="shared" si="5"/>
        <v>22.515359017022909</v>
      </c>
      <c r="P36" s="169">
        <f>IF(P35="","",IF(P35+1&gt;'Funnel setup'!$K$11,"",P35+1))</f>
        <v>14</v>
      </c>
    </row>
    <row r="37" spans="3:16" x14ac:dyDescent="0.25">
      <c r="J37" s="169">
        <f t="shared" ca="1" si="6"/>
        <v>216.68602082736015</v>
      </c>
      <c r="K37" s="169">
        <f t="shared" ca="1" si="1"/>
        <v>21.390512640902518</v>
      </c>
      <c r="L37" s="169">
        <f t="shared" ca="1" si="2"/>
        <v>23.640205393143301</v>
      </c>
      <c r="M37" s="169">
        <f t="shared" ca="1" si="3"/>
        <v>20.828089452842324</v>
      </c>
      <c r="N37" s="169">
        <f t="shared" ca="1" si="4"/>
        <v>24.202628581203495</v>
      </c>
      <c r="O37" s="170">
        <f t="shared" si="5"/>
        <v>22.515359017022909</v>
      </c>
      <c r="P37" s="169">
        <f>IF(P36="","",IF(P36+1&gt;'Funnel setup'!$K$11,"",P36+1))</f>
        <v>15</v>
      </c>
    </row>
    <row r="38" spans="3:16" x14ac:dyDescent="0.25">
      <c r="J38" s="169">
        <f t="shared" ca="1" si="6"/>
        <v>269.92765813916952</v>
      </c>
      <c r="K38" s="169">
        <f t="shared" ca="1" si="1"/>
        <v>21.507534388174356</v>
      </c>
      <c r="L38" s="169">
        <f t="shared" ca="1" si="2"/>
        <v>23.523183645871462</v>
      </c>
      <c r="M38" s="169">
        <f t="shared" ca="1" si="3"/>
        <v>21.003622073750083</v>
      </c>
      <c r="N38" s="169">
        <f t="shared" ca="1" si="4"/>
        <v>24.027095960295735</v>
      </c>
      <c r="O38" s="170">
        <f t="shared" si="5"/>
        <v>22.515359017022909</v>
      </c>
      <c r="P38" s="169">
        <f>IF(P37="","",IF(P37+1&gt;'Funnel setup'!$K$11,"",P37+1))</f>
        <v>16</v>
      </c>
    </row>
    <row r="39" spans="3:16" x14ac:dyDescent="0.25">
      <c r="J39" s="169">
        <f t="shared" ca="1" si="6"/>
        <v>336.25122816089151</v>
      </c>
      <c r="K39" s="169">
        <f t="shared" ca="1" si="1"/>
        <v>21.61238194915261</v>
      </c>
      <c r="L39" s="169">
        <f t="shared" ca="1" si="2"/>
        <v>23.418336084893209</v>
      </c>
      <c r="M39" s="169">
        <f t="shared" ca="1" si="3"/>
        <v>21.160893415217462</v>
      </c>
      <c r="N39" s="169">
        <f t="shared" ca="1" si="4"/>
        <v>23.869824618828357</v>
      </c>
      <c r="O39" s="170">
        <f t="shared" si="5"/>
        <v>22.515359017022909</v>
      </c>
      <c r="P39" s="169">
        <f>IF(P38="","",IF(P38+1&gt;'Funnel setup'!$K$11,"",P38+1))</f>
        <v>17</v>
      </c>
    </row>
    <row r="40" spans="3:16" x14ac:dyDescent="0.25">
      <c r="J40" s="169">
        <f t="shared" ca="1" si="6"/>
        <v>418.87107538055187</v>
      </c>
      <c r="K40" s="169">
        <f t="shared" ca="1" si="1"/>
        <v>21.706321847499471</v>
      </c>
      <c r="L40" s="169">
        <f t="shared" ca="1" si="2"/>
        <v>23.324396186546348</v>
      </c>
      <c r="M40" s="169">
        <f t="shared" ca="1" si="3"/>
        <v>21.301803262737753</v>
      </c>
      <c r="N40" s="169">
        <f t="shared" ca="1" si="4"/>
        <v>23.728914771308066</v>
      </c>
      <c r="O40" s="170">
        <f t="shared" si="5"/>
        <v>22.515359017022909</v>
      </c>
      <c r="P40" s="169">
        <f>IF(P39="","",IF(P39+1&gt;'Funnel setup'!$K$11,"",P39+1))</f>
        <v>18</v>
      </c>
    </row>
    <row r="41" spans="3:16" x14ac:dyDescent="0.25">
      <c r="J41" s="169">
        <f t="shared" ca="1" si="6"/>
        <v>521.79133664460005</v>
      </c>
      <c r="K41" s="169">
        <f t="shared" ca="1" si="1"/>
        <v>21.790488845940654</v>
      </c>
      <c r="L41" s="169">
        <f t="shared" ca="1" si="2"/>
        <v>23.240229188105165</v>
      </c>
      <c r="M41" s="169">
        <f t="shared" ca="1" si="3"/>
        <v>21.428053760399528</v>
      </c>
      <c r="N41" s="169">
        <f t="shared" ca="1" si="4"/>
        <v>23.60266427364629</v>
      </c>
      <c r="O41" s="170">
        <f t="shared" si="5"/>
        <v>22.515359017022909</v>
      </c>
      <c r="P41" s="169">
        <f>IF(P40="","",IF(P40+1&gt;'Funnel setup'!$K$11,"",P40+1))</f>
        <v>19</v>
      </c>
    </row>
    <row r="42" spans="3:16" x14ac:dyDescent="0.25">
      <c r="J42" s="169">
        <f t="shared" ca="1" si="6"/>
        <v>649.99999999999909</v>
      </c>
      <c r="K42" s="169">
        <f t="shared" ca="1" si="1"/>
        <v>21.865899653821682</v>
      </c>
      <c r="L42" s="169">
        <f t="shared" ca="1" si="2"/>
        <v>23.164818380224137</v>
      </c>
      <c r="M42" s="169">
        <f t="shared" ca="1" si="3"/>
        <v>21.541169972221066</v>
      </c>
      <c r="N42" s="169">
        <f t="shared" ca="1" si="4"/>
        <v>23.489548061824753</v>
      </c>
      <c r="O42" s="170">
        <f t="shared" si="5"/>
        <v>22.515359017022909</v>
      </c>
      <c r="P42" s="169">
        <f>IF(P41="","",IF(P41+1&gt;'Funnel setup'!$K$11,"",P41+1))</f>
        <v>20</v>
      </c>
    </row>
    <row r="43" spans="3:16" ht="15" customHeight="1" x14ac:dyDescent="0.35">
      <c r="C43" s="142"/>
      <c r="G43" s="12"/>
      <c r="P43" s="169">
        <f>IF(P42="","",IF(P42+1&gt;'Funnel setup'!$K$11,"",P42+1))</f>
        <v>21</v>
      </c>
    </row>
    <row r="44" spans="3:16" ht="15" customHeight="1" x14ac:dyDescent="0.35">
      <c r="C44" s="142"/>
      <c r="G44" s="12"/>
      <c r="P44" s="169">
        <f>IF(P43="","",IF(P43+1&gt;'Funnel setup'!$K$11,"",P43+1))</f>
        <v>22</v>
      </c>
    </row>
    <row r="45" spans="3:16" ht="15" customHeight="1" x14ac:dyDescent="0.35">
      <c r="C45" s="142"/>
      <c r="G45" s="12"/>
      <c r="P45" s="169">
        <f>IF(P44="","",IF(P44+1&gt;'Funnel setup'!$K$11,"",P44+1))</f>
        <v>23</v>
      </c>
    </row>
    <row r="46" spans="3:16" ht="15" customHeight="1" x14ac:dyDescent="0.35">
      <c r="C46" s="142"/>
      <c r="G46" s="12"/>
      <c r="P46" s="169">
        <f>IF(P45="","",IF(P45+1&gt;'Funnel setup'!$K$11,"",P45+1))</f>
        <v>24</v>
      </c>
    </row>
    <row r="47" spans="3:16" ht="15" customHeight="1" x14ac:dyDescent="0.35">
      <c r="G47" s="12"/>
      <c r="P47" s="169">
        <f>IF(P46="","",IF(P46+1&gt;'Funnel setup'!$K$11,"",P46+1))</f>
        <v>25</v>
      </c>
    </row>
    <row r="48" spans="3:16" ht="15" customHeight="1" x14ac:dyDescent="0.35">
      <c r="G48" s="12"/>
      <c r="P48" s="169">
        <f>IF(P47="","",IF(P47+1&gt;'Funnel setup'!$K$11,"",P47+1))</f>
        <v>26</v>
      </c>
    </row>
    <row r="49" spans="7:16" ht="15" customHeight="1" x14ac:dyDescent="0.35">
      <c r="G49" s="12"/>
      <c r="P49" s="169">
        <f>IF(P48="","",IF(P48+1&gt;'Funnel setup'!$K$11,"",P48+1))</f>
        <v>27</v>
      </c>
    </row>
    <row r="50" spans="7:16" ht="15" customHeight="1" x14ac:dyDescent="0.35">
      <c r="G50" s="12"/>
      <c r="P50" s="169">
        <f>IF(P49="","",IF(P49+1&gt;'Funnel setup'!$K$11,"",P49+1))</f>
        <v>28</v>
      </c>
    </row>
    <row r="51" spans="7:16" ht="15" customHeight="1" x14ac:dyDescent="0.35">
      <c r="G51" s="12"/>
      <c r="P51" s="169">
        <f>IF(P50="","",IF(P50+1&gt;'Funnel setup'!$K$11,"",P50+1))</f>
        <v>29</v>
      </c>
    </row>
    <row r="52" spans="7:16" ht="15" customHeight="1" x14ac:dyDescent="0.35">
      <c r="G52" s="12"/>
      <c r="P52" s="169">
        <f>IF(P51="","",IF(P51+1&gt;'Funnel setup'!$K$11,"",P51+1))</f>
        <v>30</v>
      </c>
    </row>
    <row r="53" spans="7:16" ht="15" customHeight="1" x14ac:dyDescent="0.35">
      <c r="G53" s="12"/>
      <c r="P53" s="169">
        <f>IF(P52="","",IF(P52+1&gt;'Funnel setup'!$K$11,"",P52+1))</f>
        <v>31</v>
      </c>
    </row>
    <row r="54" spans="7:16" x14ac:dyDescent="0.25">
      <c r="P54" s="169">
        <f>IF(P53="","",IF(P53+1&gt;'Funnel setup'!$K$11,"",P53+1))</f>
        <v>32</v>
      </c>
    </row>
    <row r="55" spans="7:16" x14ac:dyDescent="0.25">
      <c r="P55" s="169">
        <f>IF(P54="","",IF(P54+1&gt;'Funnel setup'!$K$11,"",P54+1))</f>
        <v>33</v>
      </c>
    </row>
    <row r="56" spans="7:16" x14ac:dyDescent="0.25">
      <c r="P56" s="169">
        <f>IF(P55="","",IF(P55+1&gt;'Funnel setup'!$K$11,"",P55+1))</f>
        <v>34</v>
      </c>
    </row>
    <row r="57" spans="7:16" x14ac:dyDescent="0.25">
      <c r="P57" s="169">
        <f>IF(P56="","",IF(P56+1&gt;'Funnel setup'!$K$11,"",P56+1))</f>
        <v>35</v>
      </c>
    </row>
    <row r="58" spans="7:16" x14ac:dyDescent="0.25">
      <c r="P58" s="169">
        <f>IF(P57="","",IF(P57+1&gt;'Funnel setup'!$K$11,"",P57+1))</f>
        <v>36</v>
      </c>
    </row>
    <row r="59" spans="7:16" x14ac:dyDescent="0.25">
      <c r="P59" s="169">
        <f>IF(P58="","",IF(P58+1&gt;'Funnel setup'!$K$11,"",P58+1))</f>
        <v>37</v>
      </c>
    </row>
    <row r="60" spans="7:16" x14ac:dyDescent="0.25">
      <c r="P60" s="169">
        <f>IF(P59="","",IF(P59+1&gt;'Funnel setup'!$K$11,"",P59+1))</f>
        <v>38</v>
      </c>
    </row>
    <row r="61" spans="7:16" x14ac:dyDescent="0.25">
      <c r="P61" s="169">
        <f>IF(P60="","",IF(P60+1&gt;'Funnel setup'!$K$11,"",P60+1))</f>
        <v>39</v>
      </c>
    </row>
    <row r="62" spans="7:16" x14ac:dyDescent="0.25">
      <c r="P62" s="169">
        <f>IF(P61="","",IF(P61+1&gt;'Funnel setup'!$K$11,"",P61+1))</f>
        <v>40</v>
      </c>
    </row>
    <row r="63" spans="7:16" x14ac:dyDescent="0.25">
      <c r="P63" s="169">
        <f>IF(P62="","",IF(P62+1&gt;'Funnel setup'!$K$11,"",P62+1))</f>
        <v>41</v>
      </c>
    </row>
    <row r="64" spans="7:16" x14ac:dyDescent="0.25">
      <c r="P64" s="169">
        <f>IF(P63="","",IF(P63+1&gt;'Funnel setup'!$K$11,"",P63+1))</f>
        <v>42</v>
      </c>
    </row>
    <row r="65" spans="16:16" x14ac:dyDescent="0.25">
      <c r="P65" s="169">
        <f>IF(P64="","",IF(P64+1&gt;'Funnel setup'!$K$11,"",P64+1))</f>
        <v>43</v>
      </c>
    </row>
    <row r="66" spans="16:16" x14ac:dyDescent="0.25">
      <c r="P66" s="169">
        <f>IF(P65="","",IF(P65+1&gt;'Funnel setup'!$K$11,"",P65+1))</f>
        <v>44</v>
      </c>
    </row>
    <row r="67" spans="16:16" x14ac:dyDescent="0.25">
      <c r="P67" s="169">
        <f>IF(P66="","",IF(P66+1&gt;'Funnel setup'!$K$11,"",P66+1))</f>
        <v>45</v>
      </c>
    </row>
    <row r="68" spans="16:16" x14ac:dyDescent="0.25">
      <c r="P68" s="169">
        <f>IF(P67="","",IF(P67+1&gt;'Funnel setup'!$K$11,"",P67+1))</f>
        <v>46</v>
      </c>
    </row>
    <row r="69" spans="16:16" x14ac:dyDescent="0.25">
      <c r="P69" s="169">
        <f>IF(P68="","",IF(P68+1&gt;'Funnel setup'!$K$11,"",P68+1))</f>
        <v>47</v>
      </c>
    </row>
    <row r="70" spans="16:16" x14ac:dyDescent="0.25">
      <c r="P70" s="169">
        <f>IF(P69="","",IF(P69+1&gt;'Funnel setup'!$K$11,"",P69+1))</f>
        <v>48</v>
      </c>
    </row>
    <row r="71" spans="16:16" x14ac:dyDescent="0.25">
      <c r="P71" s="169">
        <f>IF(P70="","",IF(P70+1&gt;'Funnel setup'!$K$11,"",P70+1))</f>
        <v>49</v>
      </c>
    </row>
    <row r="72" spans="16:16" x14ac:dyDescent="0.25">
      <c r="P72" s="169">
        <f>IF(P71="","",IF(P71+1&gt;'Funnel setup'!$K$11,"",P71+1))</f>
        <v>50</v>
      </c>
    </row>
    <row r="73" spans="16:16" x14ac:dyDescent="0.25">
      <c r="P73" s="169">
        <f>IF(P72="","",IF(P72+1&gt;'Funnel setup'!$K$11,"",P72+1))</f>
        <v>51</v>
      </c>
    </row>
    <row r="74" spans="16:16" x14ac:dyDescent="0.25">
      <c r="P74" s="169">
        <f>IF(P73="","",IF(P73+1&gt;'Funnel setup'!$K$11,"",P73+1))</f>
        <v>52</v>
      </c>
    </row>
    <row r="75" spans="16:16" x14ac:dyDescent="0.25">
      <c r="P75" s="169">
        <f>IF(P74="","",IF(P74+1&gt;'Funnel setup'!$K$11,"",P74+1))</f>
        <v>53</v>
      </c>
    </row>
    <row r="76" spans="16:16" x14ac:dyDescent="0.25">
      <c r="P76" s="169">
        <f>IF(P75="","",IF(P75+1&gt;'Funnel setup'!$K$11,"",P75+1))</f>
        <v>54</v>
      </c>
    </row>
    <row r="77" spans="16:16" x14ac:dyDescent="0.25">
      <c r="P77" s="169">
        <f>IF(P76="","",IF(P76+1&gt;'Funnel setup'!$K$11,"",P76+1))</f>
        <v>55</v>
      </c>
    </row>
    <row r="78" spans="16:16" x14ac:dyDescent="0.25">
      <c r="P78" s="169">
        <f>IF(P77="","",IF(P77+1&gt;'Funnel setup'!$K$11,"",P77+1))</f>
        <v>56</v>
      </c>
    </row>
    <row r="79" spans="16:16" x14ac:dyDescent="0.25">
      <c r="P79" s="169">
        <f>IF(P78="","",IF(P78+1&gt;'Funnel setup'!$K$11,"",P78+1))</f>
        <v>57</v>
      </c>
    </row>
    <row r="80" spans="16:16" x14ac:dyDescent="0.25">
      <c r="P80" s="169">
        <f>IF(P79="","",IF(P79+1&gt;'Funnel setup'!$K$11,"",P79+1))</f>
        <v>58</v>
      </c>
    </row>
    <row r="81" spans="16:16" x14ac:dyDescent="0.25">
      <c r="P81" s="169">
        <f>IF(P80="","",IF(P80+1&gt;'Funnel setup'!$K$11,"",P80+1))</f>
        <v>59</v>
      </c>
    </row>
    <row r="82" spans="16:16" x14ac:dyDescent="0.25">
      <c r="P82" s="169">
        <f>IF(P81="","",IF(P81+1&gt;'Funnel setup'!$K$11,"",P81+1))</f>
        <v>60</v>
      </c>
    </row>
    <row r="83" spans="16:16" x14ac:dyDescent="0.25">
      <c r="P83" s="169">
        <f>IF(P82="","",IF(P82+1&gt;'Funnel setup'!$K$11,"",P82+1))</f>
        <v>61</v>
      </c>
    </row>
    <row r="84" spans="16:16" x14ac:dyDescent="0.25">
      <c r="P84" s="169">
        <f>IF(P83="","",IF(P83+1&gt;'Funnel setup'!$K$11,"",P83+1))</f>
        <v>62</v>
      </c>
    </row>
    <row r="85" spans="16:16" x14ac:dyDescent="0.25">
      <c r="P85" s="169">
        <f>IF(P84="","",IF(P84+1&gt;'Funnel setup'!$K$11,"",P84+1))</f>
        <v>63</v>
      </c>
    </row>
    <row r="86" spans="16:16" x14ac:dyDescent="0.25">
      <c r="P86" s="169">
        <f>IF(P85="","",IF(P85+1&gt;'Funnel setup'!$K$11,"",P85+1))</f>
        <v>64</v>
      </c>
    </row>
    <row r="87" spans="16:16" x14ac:dyDescent="0.25">
      <c r="P87" s="169">
        <f>IF(P86="","",IF(P86+1&gt;'Funnel setup'!$K$11,"",P86+1))</f>
        <v>65</v>
      </c>
    </row>
    <row r="88" spans="16:16" x14ac:dyDescent="0.25">
      <c r="P88" s="169">
        <f>IF(P87="","",IF(P87+1&gt;'Funnel setup'!$K$11,"",P87+1))</f>
        <v>66</v>
      </c>
    </row>
    <row r="89" spans="16:16" x14ac:dyDescent="0.25">
      <c r="P89" s="169">
        <f>IF(P88="","",IF(P88+1&gt;'Funnel setup'!$K$11,"",P88+1))</f>
        <v>67</v>
      </c>
    </row>
    <row r="90" spans="16:16" x14ac:dyDescent="0.25">
      <c r="P90" s="169">
        <f>IF(P89="","",IF(P89+1&gt;'Funnel setup'!$K$11,"",P89+1))</f>
        <v>68</v>
      </c>
    </row>
    <row r="91" spans="16:16" x14ac:dyDescent="0.25">
      <c r="P91" s="169">
        <f>IF(P90="","",IF(P90+1&gt;'Funnel setup'!$K$11,"",P90+1))</f>
        <v>69</v>
      </c>
    </row>
    <row r="92" spans="16:16" x14ac:dyDescent="0.25">
      <c r="P92" s="169">
        <f>IF(P91="","",IF(P91+1&gt;'Funnel setup'!$K$11,"",P91+1))</f>
        <v>70</v>
      </c>
    </row>
    <row r="93" spans="16:16" x14ac:dyDescent="0.25">
      <c r="P93" s="169">
        <f>IF(P92="","",IF(P92+1&gt;'Funnel setup'!$K$11,"",P92+1))</f>
        <v>71</v>
      </c>
    </row>
    <row r="94" spans="16:16" x14ac:dyDescent="0.25">
      <c r="P94" s="169">
        <f>IF(P93="","",IF(P93+1&gt;'Funnel setup'!$K$11,"",P93+1))</f>
        <v>72</v>
      </c>
    </row>
    <row r="95" spans="16:16" x14ac:dyDescent="0.25">
      <c r="P95" s="169">
        <f>IF(P94="","",IF(P94+1&gt;'Funnel setup'!$K$11,"",P94+1))</f>
        <v>73</v>
      </c>
    </row>
    <row r="96" spans="16:16" x14ac:dyDescent="0.25">
      <c r="P96" s="169">
        <f>IF(P95="","",IF(P95+1&gt;'Funnel setup'!$K$11,"",P95+1))</f>
        <v>74</v>
      </c>
    </row>
    <row r="97" spans="16:16" x14ac:dyDescent="0.25">
      <c r="P97" s="169">
        <f>IF(P96="","",IF(P96+1&gt;'Funnel setup'!$K$11,"",P96+1))</f>
        <v>75</v>
      </c>
    </row>
    <row r="98" spans="16:16" x14ac:dyDescent="0.25">
      <c r="P98" s="169">
        <f>IF(P97="","",IF(P97+1&gt;'Funnel setup'!$K$11,"",P97+1))</f>
        <v>76</v>
      </c>
    </row>
    <row r="99" spans="16:16" x14ac:dyDescent="0.25">
      <c r="P99" s="169">
        <f>IF(P98="","",IF(P98+1&gt;'Funnel setup'!$K$11,"",P98+1))</f>
        <v>77</v>
      </c>
    </row>
    <row r="100" spans="16:16" x14ac:dyDescent="0.25">
      <c r="P100" s="169">
        <f>IF(P99="","",IF(P99+1&gt;'Funnel setup'!$K$11,"",P99+1))</f>
        <v>78</v>
      </c>
    </row>
    <row r="101" spans="16:16" x14ac:dyDescent="0.25">
      <c r="P101" s="169">
        <f>IF(P100="","",IF(P100+1&gt;'Funnel setup'!$K$11,"",P100+1))</f>
        <v>79</v>
      </c>
    </row>
    <row r="102" spans="16:16" x14ac:dyDescent="0.25">
      <c r="P102" s="169">
        <f>IF(P101="","",IF(P101+1&gt;'Funnel setup'!$K$11,"",P101+1))</f>
        <v>80</v>
      </c>
    </row>
    <row r="103" spans="16:16" x14ac:dyDescent="0.25">
      <c r="P103" s="169">
        <f>IF(P102="","",IF(P102+1&gt;'Funnel setup'!$K$11,"",P102+1))</f>
        <v>81</v>
      </c>
    </row>
    <row r="104" spans="16:16" x14ac:dyDescent="0.25">
      <c r="P104" s="169">
        <f>IF(P103="","",IF(P103+1&gt;'Funnel setup'!$K$11,"",P103+1))</f>
        <v>82</v>
      </c>
    </row>
    <row r="105" spans="16:16" x14ac:dyDescent="0.25">
      <c r="P105" s="169">
        <f>IF(P104="","",IF(P104+1&gt;'Funnel setup'!$K$11,"",P104+1))</f>
        <v>83</v>
      </c>
    </row>
    <row r="106" spans="16:16" x14ac:dyDescent="0.25">
      <c r="P106" s="169">
        <f>IF(P105="","",IF(P105+1&gt;'Funnel setup'!$K$11,"",P105+1))</f>
        <v>84</v>
      </c>
    </row>
    <row r="107" spans="16:16" x14ac:dyDescent="0.25">
      <c r="P107" s="169">
        <f>IF(P106="","",IF(P106+1&gt;'Funnel setup'!$K$11,"",P106+1))</f>
        <v>85</v>
      </c>
    </row>
    <row r="108" spans="16:16" x14ac:dyDescent="0.25">
      <c r="P108" s="169">
        <f>IF(P107="","",IF(P107+1&gt;'Funnel setup'!$K$11,"",P107+1))</f>
        <v>86</v>
      </c>
    </row>
    <row r="109" spans="16:16" x14ac:dyDescent="0.25">
      <c r="P109" s="169">
        <f>IF(P108="","",IF(P108+1&gt;'Funnel setup'!$K$11,"",P108+1))</f>
        <v>87</v>
      </c>
    </row>
    <row r="110" spans="16:16" x14ac:dyDescent="0.25">
      <c r="P110" s="169">
        <f>IF(P109="","",IF(P109+1&gt;'Funnel setup'!$K$11,"",P109+1))</f>
        <v>88</v>
      </c>
    </row>
    <row r="111" spans="16:16" x14ac:dyDescent="0.25">
      <c r="P111" s="169">
        <f>IF(P110="","",IF(P110+1&gt;'Funnel setup'!$K$11,"",P110+1))</f>
        <v>89</v>
      </c>
    </row>
    <row r="112" spans="16:16" x14ac:dyDescent="0.25">
      <c r="P112" s="169">
        <f>IF(P111="","",IF(P111+1&gt;'Funnel setup'!$K$11,"",P111+1))</f>
        <v>90</v>
      </c>
    </row>
    <row r="113" spans="16:16" x14ac:dyDescent="0.25">
      <c r="P113" s="169">
        <f>IF(P112="","",IF(P112+1&gt;'Funnel setup'!$K$11,"",P112+1))</f>
        <v>91</v>
      </c>
    </row>
    <row r="114" spans="16:16" x14ac:dyDescent="0.25">
      <c r="P114" s="169">
        <f>IF(P113="","",IF(P113+1&gt;'Funnel setup'!$K$11,"",P113+1))</f>
        <v>92</v>
      </c>
    </row>
    <row r="115" spans="16:16" x14ac:dyDescent="0.25">
      <c r="P115" s="169">
        <f>IF(P114="","",IF(P114+1&gt;'Funnel setup'!$K$11,"",P114+1))</f>
        <v>93</v>
      </c>
    </row>
    <row r="116" spans="16:16" x14ac:dyDescent="0.25">
      <c r="P116" s="169">
        <f>IF(P115="","",IF(P115+1&gt;'Funnel setup'!$K$11,"",P115+1))</f>
        <v>94</v>
      </c>
    </row>
    <row r="117" spans="16:16" x14ac:dyDescent="0.25">
      <c r="P117" s="169">
        <f>IF(P116="","",IF(P116+1&gt;'Funnel setup'!$K$11,"",P116+1))</f>
        <v>95</v>
      </c>
    </row>
    <row r="118" spans="16:16" x14ac:dyDescent="0.25">
      <c r="P118" s="169">
        <f>IF(P117="","",IF(P117+1&gt;'Funnel setup'!$K$11,"",P117+1))</f>
        <v>96</v>
      </c>
    </row>
    <row r="119" spans="16:16" x14ac:dyDescent="0.25">
      <c r="P119" s="169">
        <f>IF(P118="","",IF(P118+1&gt;'Funnel setup'!$K$11,"",P118+1))</f>
        <v>97</v>
      </c>
    </row>
    <row r="120" spans="16:16" x14ac:dyDescent="0.25">
      <c r="P120" s="169">
        <f>IF(P119="","",IF(P119+1&gt;'Funnel setup'!$K$11,"",P119+1))</f>
        <v>98</v>
      </c>
    </row>
    <row r="121" spans="16:16" x14ac:dyDescent="0.25">
      <c r="P121" s="169">
        <f>IF(P120="","",IF(P120+1&gt;'Funnel setup'!$K$11,"",P120+1))</f>
        <v>99</v>
      </c>
    </row>
    <row r="122" spans="16:16" x14ac:dyDescent="0.25">
      <c r="P122" s="169">
        <f>IF(P121="","",IF(P121+1&gt;'Funnel setup'!$K$11,"",P121+1))</f>
        <v>100</v>
      </c>
    </row>
    <row r="123" spans="16:16" x14ac:dyDescent="0.25">
      <c r="P123" s="169">
        <f>IF(P122="","",IF(P122+1&gt;'Funnel setup'!$K$11,"",P122+1))</f>
        <v>101</v>
      </c>
    </row>
    <row r="124" spans="16:16" x14ac:dyDescent="0.25">
      <c r="P124" s="169">
        <f>IF(P123="","",IF(P123+1&gt;'Funnel setup'!$K$11,"",P123+1))</f>
        <v>102</v>
      </c>
    </row>
    <row r="125" spans="16:16" x14ac:dyDescent="0.25">
      <c r="P125" s="169">
        <f>IF(P124="","",IF(P124+1&gt;'Funnel setup'!$K$11,"",P124+1))</f>
        <v>103</v>
      </c>
    </row>
    <row r="126" spans="16:16" x14ac:dyDescent="0.25">
      <c r="P126" s="169">
        <f>IF(P125="","",IF(P125+1&gt;'Funnel setup'!$K$11,"",P125+1))</f>
        <v>104</v>
      </c>
    </row>
    <row r="127" spans="16:16" x14ac:dyDescent="0.25">
      <c r="P127" s="169">
        <f>IF(P126="","",IF(P126+1&gt;'Funnel setup'!$K$11,"",P126+1))</f>
        <v>105</v>
      </c>
    </row>
    <row r="128" spans="16:16" x14ac:dyDescent="0.25">
      <c r="P128" s="169">
        <f>IF(P127="","",IF(P127+1&gt;'Funnel setup'!$K$11,"",P127+1))</f>
        <v>106</v>
      </c>
    </row>
    <row r="129" spans="16:16" x14ac:dyDescent="0.25">
      <c r="P129" s="169">
        <f>IF(P128="","",IF(P128+1&gt;'Funnel setup'!$K$11,"",P128+1))</f>
        <v>107</v>
      </c>
    </row>
    <row r="130" spans="16:16" x14ac:dyDescent="0.25">
      <c r="P130" s="169">
        <f>IF(P129="","",IF(P129+1&gt;'Funnel setup'!$K$11,"",P129+1))</f>
        <v>108</v>
      </c>
    </row>
    <row r="131" spans="16:16" x14ac:dyDescent="0.25">
      <c r="P131" s="169">
        <f>IF(P130="","",IF(P130+1&gt;'Funnel setup'!$K$11,"",P130+1))</f>
        <v>109</v>
      </c>
    </row>
    <row r="132" spans="16:16" x14ac:dyDescent="0.25">
      <c r="P132" s="169">
        <f>IF(P131="","",IF(P131+1&gt;'Funnel setup'!$K$11,"",P131+1))</f>
        <v>110</v>
      </c>
    </row>
    <row r="133" spans="16:16" x14ac:dyDescent="0.25">
      <c r="P133" s="169">
        <f>IF(P132="","",IF(P132+1&gt;'Funnel setup'!$K$11,"",P132+1))</f>
        <v>111</v>
      </c>
    </row>
    <row r="134" spans="16:16" x14ac:dyDescent="0.25">
      <c r="P134" s="169">
        <f>IF(P133="","",IF(P133+1&gt;'Funnel setup'!$K$11,"",P133+1))</f>
        <v>112</v>
      </c>
    </row>
    <row r="135" spans="16:16" x14ac:dyDescent="0.25">
      <c r="P135" s="169">
        <f>IF(P134="","",IF(P134+1&gt;'Funnel setup'!$K$11,"",P134+1))</f>
        <v>113</v>
      </c>
    </row>
    <row r="136" spans="16:16" x14ac:dyDescent="0.25">
      <c r="P136" s="169">
        <f>IF(P135="","",IF(P135+1&gt;'Funnel setup'!$K$11,"",P135+1))</f>
        <v>114</v>
      </c>
    </row>
    <row r="137" spans="16:16" x14ac:dyDescent="0.25">
      <c r="P137" s="169">
        <f>IF(P136="","",IF(P136+1&gt;'Funnel setup'!$K$11,"",P136+1))</f>
        <v>115</v>
      </c>
    </row>
    <row r="138" spans="16:16" x14ac:dyDescent="0.25">
      <c r="P138" s="169">
        <f>IF(P137="","",IF(P137+1&gt;'Funnel setup'!$K$11,"",P137+1))</f>
        <v>116</v>
      </c>
    </row>
    <row r="139" spans="16:16" x14ac:dyDescent="0.25">
      <c r="P139" s="169">
        <f>IF(P138="","",IF(P138+1&gt;'Funnel setup'!$K$11,"",P138+1))</f>
        <v>117</v>
      </c>
    </row>
    <row r="140" spans="16:16" x14ac:dyDescent="0.25">
      <c r="P140" s="169">
        <f>IF(P139="","",IF(P139+1&gt;'Funnel setup'!$K$11,"",P139+1))</f>
        <v>118</v>
      </c>
    </row>
    <row r="141" spans="16:16" x14ac:dyDescent="0.25">
      <c r="P141" s="169">
        <f>IF(P140="","",IF(P140+1&gt;'Funnel setup'!$K$11,"",P140+1))</f>
        <v>119</v>
      </c>
    </row>
    <row r="142" spans="16:16" x14ac:dyDescent="0.25">
      <c r="P142" s="169">
        <f>IF(P141="","",IF(P141+1&gt;'Funnel setup'!$K$11,"",P141+1))</f>
        <v>120</v>
      </c>
    </row>
    <row r="143" spans="16:16" x14ac:dyDescent="0.25">
      <c r="P143" s="169">
        <f>IF(P142="","",IF(P142+1&gt;'Funnel setup'!$K$11,"",P142+1))</f>
        <v>121</v>
      </c>
    </row>
    <row r="144" spans="16:16" x14ac:dyDescent="0.25">
      <c r="P144" s="169">
        <f>IF(P143="","",IF(P143+1&gt;'Funnel setup'!$K$11,"",P143+1))</f>
        <v>122</v>
      </c>
    </row>
    <row r="145" spans="16:16" x14ac:dyDescent="0.25">
      <c r="P145" s="169">
        <f>IF(P144="","",IF(P144+1&gt;'Funnel setup'!$K$11,"",P144+1))</f>
        <v>123</v>
      </c>
    </row>
    <row r="146" spans="16:16" x14ac:dyDescent="0.25">
      <c r="P146" s="169">
        <f>IF(P145="","",IF(P145+1&gt;'Funnel setup'!$K$11,"",P145+1))</f>
        <v>124</v>
      </c>
    </row>
    <row r="147" spans="16:16" x14ac:dyDescent="0.25">
      <c r="P147" s="169">
        <f>IF(P146="","",IF(P146+1&gt;'Funnel setup'!$K$11,"",P146+1))</f>
        <v>125</v>
      </c>
    </row>
    <row r="148" spans="16:16" x14ac:dyDescent="0.25">
      <c r="P148" s="169">
        <f>IF(P147="","",IF(P147+1&gt;'Funnel setup'!$K$11,"",P147+1))</f>
        <v>126</v>
      </c>
    </row>
    <row r="149" spans="16:16" x14ac:dyDescent="0.25">
      <c r="P149" s="169">
        <f>IF(P148="","",IF(P148+1&gt;'Funnel setup'!$K$11,"",P148+1))</f>
        <v>127</v>
      </c>
    </row>
    <row r="150" spans="16:16" x14ac:dyDescent="0.25">
      <c r="P150" s="169">
        <f>IF(P149="","",IF(P149+1&gt;'Funnel setup'!$K$11,"",P149+1))</f>
        <v>128</v>
      </c>
    </row>
    <row r="151" spans="16:16" x14ac:dyDescent="0.25">
      <c r="P151" s="169">
        <f>IF(P150="","",IF(P150+1&gt;'Funnel setup'!$K$11,"",P150+1))</f>
        <v>129</v>
      </c>
    </row>
    <row r="152" spans="16:16" x14ac:dyDescent="0.25">
      <c r="P152" s="169">
        <f>IF(P151="","",IF(P151+1&gt;'Funnel setup'!$K$11,"",P151+1))</f>
        <v>130</v>
      </c>
    </row>
    <row r="153" spans="16:16" x14ac:dyDescent="0.25">
      <c r="P153" s="169">
        <f>IF(P152="","",IF(P152+1&gt;'Funnel setup'!$K$11,"",P152+1))</f>
        <v>131</v>
      </c>
    </row>
    <row r="154" spans="16:16" x14ac:dyDescent="0.25">
      <c r="P154" s="169">
        <f>IF(P153="","",IF(P153+1&gt;'Funnel setup'!$K$11,"",P153+1))</f>
        <v>132</v>
      </c>
    </row>
    <row r="155" spans="16:16" x14ac:dyDescent="0.25">
      <c r="P155" s="169">
        <f>IF(P154="","",IF(P154+1&gt;'Funnel setup'!$K$11,"",P154+1))</f>
        <v>133</v>
      </c>
    </row>
    <row r="156" spans="16:16" x14ac:dyDescent="0.25">
      <c r="P156" s="169">
        <f>IF(P155="","",IF(P155+1&gt;'Funnel setup'!$K$11,"",P155+1))</f>
        <v>134</v>
      </c>
    </row>
    <row r="157" spans="16:16" x14ac:dyDescent="0.25">
      <c r="P157" s="169">
        <f>IF(P156="","",IF(P156+1&gt;'Funnel setup'!$K$11,"",P156+1))</f>
        <v>135</v>
      </c>
    </row>
    <row r="158" spans="16:16" x14ac:dyDescent="0.25">
      <c r="P158" s="169">
        <f>IF(P157="","",IF(P157+1&gt;'Funnel setup'!$K$11,"",P157+1))</f>
        <v>136</v>
      </c>
    </row>
    <row r="159" spans="16:16" x14ac:dyDescent="0.25">
      <c r="P159" s="169">
        <f>IF(P158="","",IF(P158+1&gt;'Funnel setup'!$K$11,"",P158+1))</f>
        <v>137</v>
      </c>
    </row>
    <row r="160" spans="16:16" x14ac:dyDescent="0.25">
      <c r="P160" s="169">
        <f>IF(P159="","",IF(P159+1&gt;'Funnel setup'!$K$11,"",P159+1))</f>
        <v>138</v>
      </c>
    </row>
    <row r="161" spans="16:16" x14ac:dyDescent="0.25">
      <c r="P161" s="169">
        <f>IF(P160="","",IF(P160+1&gt;'Funnel setup'!$K$11,"",P160+1))</f>
        <v>139</v>
      </c>
    </row>
    <row r="162" spans="16:16" x14ac:dyDescent="0.25">
      <c r="P162" s="169">
        <f>IF(P161="","",IF(P161+1&gt;'Funnel setup'!$K$11,"",P161+1))</f>
        <v>140</v>
      </c>
    </row>
    <row r="163" spans="16:16" x14ac:dyDescent="0.25">
      <c r="P163" s="169">
        <f>IF(P162="","",IF(P162+1&gt;'Funnel setup'!$K$11,"",P162+1))</f>
        <v>141</v>
      </c>
    </row>
    <row r="164" spans="16:16" x14ac:dyDescent="0.25">
      <c r="P164" s="169">
        <f>IF(P163="","",IF(P163+1&gt;'Funnel setup'!$K$11,"",P163+1))</f>
        <v>142</v>
      </c>
    </row>
    <row r="165" spans="16:16" x14ac:dyDescent="0.25">
      <c r="P165" s="169">
        <f>IF(P164="","",IF(P164+1&gt;'Funnel setup'!$K$11,"",P164+1))</f>
        <v>143</v>
      </c>
    </row>
    <row r="166" spans="16:16" x14ac:dyDescent="0.25">
      <c r="P166" s="169">
        <f>IF(P165="","",IF(P165+1&gt;'Funnel setup'!$K$11,"",P165+1))</f>
        <v>144</v>
      </c>
    </row>
    <row r="167" spans="16:16" x14ac:dyDescent="0.25">
      <c r="P167" s="169">
        <f>IF(P166="","",IF(P166+1&gt;'Funnel setup'!$K$11,"",P166+1))</f>
        <v>145</v>
      </c>
    </row>
    <row r="168" spans="16:16" x14ac:dyDescent="0.25">
      <c r="P168" s="169">
        <f>IF(P167="","",IF(P167+1&gt;'Funnel setup'!$K$11,"",P167+1))</f>
        <v>146</v>
      </c>
    </row>
    <row r="169" spans="16:16" x14ac:dyDescent="0.25">
      <c r="P169" s="169">
        <f>IF(P168="","",IF(P168+1&gt;'Funnel setup'!$K$11,"",P168+1))</f>
        <v>147</v>
      </c>
    </row>
    <row r="170" spans="16:16" x14ac:dyDescent="0.25">
      <c r="P170" s="169">
        <f>IF(P169="","",IF(P169+1&gt;'Funnel setup'!$K$11,"",P169+1))</f>
        <v>148</v>
      </c>
    </row>
    <row r="171" spans="16:16" x14ac:dyDescent="0.25">
      <c r="P171" s="169">
        <f>IF(P170="","",IF(P170+1&gt;'Funnel setup'!$K$11,"",P170+1))</f>
        <v>149</v>
      </c>
    </row>
    <row r="172" spans="16:16" x14ac:dyDescent="0.25">
      <c r="P172" s="169">
        <f>IF(P171="","",IF(P171+1&gt;'Funnel setup'!$K$11,"",P171+1))</f>
        <v>150</v>
      </c>
    </row>
    <row r="173" spans="16:16" x14ac:dyDescent="0.25">
      <c r="P173" s="169">
        <f>IF(P172="","",IF(P172+1&gt;'Funnel setup'!$K$11,"",P172+1))</f>
        <v>151</v>
      </c>
    </row>
    <row r="174" spans="16:16" x14ac:dyDescent="0.25">
      <c r="P174" s="169">
        <f>IF(P173="","",IF(P173+1&gt;'Funnel setup'!$K$11,"",P173+1))</f>
        <v>152</v>
      </c>
    </row>
    <row r="175" spans="16:16" x14ac:dyDescent="0.25">
      <c r="P175" s="169">
        <f>IF(P174="","",IF(P174+1&gt;'Funnel setup'!$K$11,"",P174+1))</f>
        <v>153</v>
      </c>
    </row>
    <row r="176" spans="16:16" x14ac:dyDescent="0.25">
      <c r="P176" s="169">
        <f>IF(P175="","",IF(P175+1&gt;'Funnel setup'!$K$11,"",P175+1))</f>
        <v>154</v>
      </c>
    </row>
    <row r="177" spans="16:16" x14ac:dyDescent="0.25">
      <c r="P177" s="169">
        <f>IF(P176="","",IF(P176+1&gt;'Funnel setup'!$K$11,"",P176+1))</f>
        <v>155</v>
      </c>
    </row>
    <row r="178" spans="16:16" x14ac:dyDescent="0.25">
      <c r="P178" s="169">
        <f>IF(P177="","",IF(P177+1&gt;'Funnel setup'!$K$11,"",P177+1))</f>
        <v>156</v>
      </c>
    </row>
    <row r="179" spans="16:16" x14ac:dyDescent="0.25">
      <c r="P179" s="169">
        <f>IF(P178="","",IF(P178+1&gt;'Funnel setup'!$K$11,"",P178+1))</f>
        <v>157</v>
      </c>
    </row>
    <row r="180" spans="16:16" x14ac:dyDescent="0.25">
      <c r="P180" s="169">
        <f>IF(P179="","",IF(P179+1&gt;'Funnel setup'!$K$11,"",P179+1))</f>
        <v>158</v>
      </c>
    </row>
    <row r="181" spans="16:16" x14ac:dyDescent="0.25">
      <c r="P181" s="169">
        <f>IF(P180="","",IF(P180+1&gt;'Funnel setup'!$K$11,"",P180+1))</f>
        <v>159</v>
      </c>
    </row>
    <row r="182" spans="16:16" x14ac:dyDescent="0.25">
      <c r="P182" s="169">
        <f>IF(P181="","",IF(P181+1&gt;'Funnel setup'!$K$11,"",P181+1))</f>
        <v>160</v>
      </c>
    </row>
    <row r="183" spans="16:16" x14ac:dyDescent="0.25">
      <c r="P183" s="169">
        <f>IF(P182="","",IF(P182+1&gt;'Funnel setup'!$K$11,"",P182+1))</f>
        <v>161</v>
      </c>
    </row>
    <row r="184" spans="16:16" x14ac:dyDescent="0.25">
      <c r="P184" s="169">
        <f>IF(P183="","",IF(P183+1&gt;'Funnel setup'!$K$11,"",P183+1))</f>
        <v>162</v>
      </c>
    </row>
    <row r="185" spans="16:16" x14ac:dyDescent="0.25">
      <c r="P185" s="169">
        <f>IF(P184="","",IF(P184+1&gt;'Funnel setup'!$K$11,"",P184+1))</f>
        <v>163</v>
      </c>
    </row>
    <row r="186" spans="16:16" x14ac:dyDescent="0.25">
      <c r="P186" s="169">
        <f>IF(P185="","",IF(P185+1&gt;'Funnel setup'!$K$11,"",P185+1))</f>
        <v>164</v>
      </c>
    </row>
    <row r="187" spans="16:16" x14ac:dyDescent="0.25">
      <c r="P187" s="169">
        <f>IF(P186="","",IF(P186+1&gt;'Funnel setup'!$K$11,"",P186+1))</f>
        <v>165</v>
      </c>
    </row>
    <row r="188" spans="16:16" x14ac:dyDescent="0.25">
      <c r="P188" s="169">
        <f>IF(P187="","",IF(P187+1&gt;'Funnel setup'!$K$11,"",P187+1))</f>
        <v>166</v>
      </c>
    </row>
    <row r="189" spans="16:16" x14ac:dyDescent="0.25">
      <c r="P189" s="169">
        <f>IF(P188="","",IF(P188+1&gt;'Funnel setup'!$K$11,"",P188+1))</f>
        <v>167</v>
      </c>
    </row>
    <row r="190" spans="16:16" x14ac:dyDescent="0.25">
      <c r="P190" s="169">
        <f>IF(P189="","",IF(P189+1&gt;'Funnel setup'!$K$11,"",P189+1))</f>
        <v>168</v>
      </c>
    </row>
    <row r="191" spans="16:16" x14ac:dyDescent="0.25">
      <c r="P191" s="169">
        <f>IF(P190="","",IF(P190+1&gt;'Funnel setup'!$K$11,"",P190+1))</f>
        <v>169</v>
      </c>
    </row>
    <row r="192" spans="16:16" x14ac:dyDescent="0.25">
      <c r="P192" s="169">
        <f>IF(P191="","",IF(P191+1&gt;'Funnel setup'!$K$11,"",P191+1))</f>
        <v>170</v>
      </c>
    </row>
    <row r="193" spans="16:16" x14ac:dyDescent="0.25">
      <c r="P193" s="169">
        <f>IF(P192="","",IF(P192+1&gt;'Funnel setup'!$K$11,"",P192+1))</f>
        <v>171</v>
      </c>
    </row>
    <row r="194" spans="16:16" x14ac:dyDescent="0.25">
      <c r="P194" s="169">
        <f>IF(P193="","",IF(P193+1&gt;'Funnel setup'!$K$11,"",P193+1))</f>
        <v>172</v>
      </c>
    </row>
    <row r="195" spans="16:16" x14ac:dyDescent="0.25">
      <c r="P195" s="169">
        <f>IF(P194="","",IF(P194+1&gt;'Funnel setup'!$K$11,"",P194+1))</f>
        <v>173</v>
      </c>
    </row>
    <row r="196" spans="16:16" x14ac:dyDescent="0.25">
      <c r="P196" s="169">
        <f>IF(P195="","",IF(P195+1&gt;'Funnel setup'!$K$11,"",P195+1))</f>
        <v>174</v>
      </c>
    </row>
    <row r="197" spans="16:16" x14ac:dyDescent="0.25">
      <c r="P197" s="169">
        <f>IF(P196="","",IF(P196+1&gt;'Funnel setup'!$K$11,"",P196+1))</f>
        <v>175</v>
      </c>
    </row>
    <row r="198" spans="16:16" x14ac:dyDescent="0.25">
      <c r="P198" s="169">
        <f>IF(P197="","",IF(P197+1&gt;'Funnel setup'!$K$11,"",P197+1))</f>
        <v>176</v>
      </c>
    </row>
    <row r="199" spans="16:16" x14ac:dyDescent="0.25">
      <c r="P199" s="169">
        <f>IF(P198="","",IF(P198+1&gt;'Funnel setup'!$K$11,"",P198+1))</f>
        <v>177</v>
      </c>
    </row>
    <row r="200" spans="16:16" x14ac:dyDescent="0.25">
      <c r="P200" s="169">
        <f>IF(P199="","",IF(P199+1&gt;'Funnel setup'!$K$11,"",P199+1))</f>
        <v>178</v>
      </c>
    </row>
    <row r="201" spans="16:16" x14ac:dyDescent="0.25">
      <c r="P201" s="169">
        <f>IF(P200="","",IF(P200+1&gt;'Funnel setup'!$K$11,"",P200+1))</f>
        <v>179</v>
      </c>
    </row>
    <row r="202" spans="16:16" x14ac:dyDescent="0.25">
      <c r="P202" s="169">
        <f>IF(P201="","",IF(P201+1&gt;'Funnel setup'!$K$11,"",P201+1))</f>
        <v>180</v>
      </c>
    </row>
    <row r="203" spans="16:16" x14ac:dyDescent="0.25">
      <c r="P203" s="169">
        <f>IF(P202="","",IF(P202+1&gt;'Funnel setup'!$K$11,"",P202+1))</f>
        <v>181</v>
      </c>
    </row>
    <row r="204" spans="16:16" x14ac:dyDescent="0.25">
      <c r="P204" s="169">
        <f>IF(P203="","",IF(P203+1&gt;'Funnel setup'!$K$11,"",P203+1))</f>
        <v>182</v>
      </c>
    </row>
    <row r="205" spans="16:16" x14ac:dyDescent="0.25">
      <c r="P205" s="169">
        <f>IF(P204="","",IF(P204+1&gt;'Funnel setup'!$K$11,"",P204+1))</f>
        <v>183</v>
      </c>
    </row>
    <row r="206" spans="16:16" x14ac:dyDescent="0.25">
      <c r="P206" s="169">
        <f>IF(P205="","",IF(P205+1&gt;'Funnel setup'!$K$11,"",P205+1))</f>
        <v>184</v>
      </c>
    </row>
    <row r="207" spans="16:16" x14ac:dyDescent="0.25">
      <c r="P207" s="169">
        <f>IF(P206="","",IF(P206+1&gt;'Funnel setup'!$K$11,"",P206+1))</f>
        <v>185</v>
      </c>
    </row>
    <row r="208" spans="16:16" x14ac:dyDescent="0.25">
      <c r="P208" s="169">
        <f>IF(P207="","",IF(P207+1&gt;'Funnel setup'!$K$11,"",P207+1))</f>
        <v>186</v>
      </c>
    </row>
    <row r="209" spans="16:16" x14ac:dyDescent="0.25">
      <c r="P209" s="169">
        <f>IF(P208="","",IF(P208+1&gt;'Funnel setup'!$K$11,"",P208+1))</f>
        <v>187</v>
      </c>
    </row>
    <row r="210" spans="16:16" x14ac:dyDescent="0.25">
      <c r="P210" s="169">
        <f>IF(P209="","",IF(P209+1&gt;'Funnel setup'!$K$11,"",P209+1))</f>
        <v>188</v>
      </c>
    </row>
    <row r="211" spans="16:16" x14ac:dyDescent="0.25">
      <c r="P211" s="169">
        <f>IF(P210="","",IF(P210+1&gt;'Funnel setup'!$K$11,"",P210+1))</f>
        <v>189</v>
      </c>
    </row>
    <row r="212" spans="16:16" x14ac:dyDescent="0.25">
      <c r="P212" s="169">
        <f>IF(P211="","",IF(P211+1&gt;'Funnel setup'!$K$11,"",P211+1))</f>
        <v>190</v>
      </c>
    </row>
    <row r="213" spans="16:16" x14ac:dyDescent="0.25">
      <c r="P213" s="169">
        <f>IF(P212="","",IF(P212+1&gt;'Funnel setup'!$K$11,"",P212+1))</f>
        <v>191</v>
      </c>
    </row>
    <row r="214" spans="16:16" x14ac:dyDescent="0.25">
      <c r="P214" s="169">
        <f>IF(P213="","",IF(P213+1&gt;'Funnel setup'!$K$11,"",P213+1))</f>
        <v>192</v>
      </c>
    </row>
    <row r="215" spans="16:16" x14ac:dyDescent="0.25">
      <c r="P215" s="169">
        <f>IF(P214="","",IF(P214+1&gt;'Funnel setup'!$K$11,"",P214+1))</f>
        <v>193</v>
      </c>
    </row>
    <row r="216" spans="16:16" x14ac:dyDescent="0.25">
      <c r="P216" s="169">
        <f>IF(P215="","",IF(P215+1&gt;'Funnel setup'!$K$11,"",P215+1))</f>
        <v>194</v>
      </c>
    </row>
    <row r="217" spans="16:16" x14ac:dyDescent="0.25">
      <c r="P217" s="169">
        <f>IF(P216="","",IF(P216+1&gt;'Funnel setup'!$K$11,"",P216+1))</f>
        <v>195</v>
      </c>
    </row>
    <row r="218" spans="16:16" x14ac:dyDescent="0.25">
      <c r="P218" s="169">
        <f>IF(P217="","",IF(P217+1&gt;'Funnel setup'!$K$11,"",P217+1))</f>
        <v>196</v>
      </c>
    </row>
    <row r="219" spans="16:16" x14ac:dyDescent="0.25">
      <c r="P219" s="169">
        <f>IF(P218="","",IF(P218+1&gt;'Funnel setup'!$K$11,"",P218+1))</f>
        <v>197</v>
      </c>
    </row>
    <row r="220" spans="16:16" x14ac:dyDescent="0.25">
      <c r="P220" s="169">
        <f>IF(P219="","",IF(P219+1&gt;'Funnel setup'!$K$11,"",P219+1))</f>
        <v>198</v>
      </c>
    </row>
    <row r="221" spans="16:16" x14ac:dyDescent="0.25">
      <c r="P221" s="169">
        <f>IF(P220="","",IF(P220+1&gt;'Funnel setup'!$K$11,"",P220+1))</f>
        <v>199</v>
      </c>
    </row>
    <row r="222" spans="16:16" x14ac:dyDescent="0.25">
      <c r="P222" s="169">
        <f>IF(P221="","",IF(P221+1&gt;'Funnel setup'!$K$11,"",P221+1))</f>
        <v>200</v>
      </c>
    </row>
    <row r="223" spans="16:16" x14ac:dyDescent="0.25">
      <c r="P223" s="169">
        <f>IF(P222="","",IF(P222+1&gt;'Funnel setup'!$K$11,"",P222+1))</f>
        <v>201</v>
      </c>
    </row>
    <row r="224" spans="16:16" x14ac:dyDescent="0.25">
      <c r="P224" s="169">
        <f>IF(P223="","",IF(P223+1&gt;'Funnel setup'!$K$11,"",P223+1))</f>
        <v>202</v>
      </c>
    </row>
    <row r="225" spans="16:16" x14ac:dyDescent="0.25">
      <c r="P225" s="169">
        <f>IF(P224="","",IF(P224+1&gt;'Funnel setup'!$K$11,"",P224+1))</f>
        <v>203</v>
      </c>
    </row>
    <row r="226" spans="16:16" x14ac:dyDescent="0.25">
      <c r="P226" s="169">
        <f>IF(P225="","",IF(P225+1&gt;'Funnel setup'!$K$11,"",P225+1))</f>
        <v>204</v>
      </c>
    </row>
    <row r="227" spans="16:16" x14ac:dyDescent="0.25">
      <c r="P227" s="169">
        <f>IF(P226="","",IF(P226+1&gt;'Funnel setup'!$K$11,"",P226+1))</f>
        <v>205</v>
      </c>
    </row>
    <row r="228" spans="16:16" x14ac:dyDescent="0.25">
      <c r="P228" s="169">
        <f>IF(P227="","",IF(P227+1&gt;'Funnel setup'!$K$11,"",P227+1))</f>
        <v>206</v>
      </c>
    </row>
    <row r="229" spans="16:16" x14ac:dyDescent="0.25">
      <c r="P229" s="169">
        <f>IF(P228="","",IF(P228+1&gt;'Funnel setup'!$K$11,"",P228+1))</f>
        <v>207</v>
      </c>
    </row>
    <row r="230" spans="16:16" x14ac:dyDescent="0.25">
      <c r="P230" s="169">
        <f>IF(P229="","",IF(P229+1&gt;'Funnel setup'!$K$11,"",P229+1))</f>
        <v>208</v>
      </c>
    </row>
    <row r="231" spans="16:16" x14ac:dyDescent="0.25">
      <c r="P231" s="169">
        <f>IF(P230="","",IF(P230+1&gt;'Funnel setup'!$K$11,"",P230+1))</f>
        <v>209</v>
      </c>
    </row>
    <row r="232" spans="16:16" x14ac:dyDescent="0.25">
      <c r="P232" s="169">
        <f>IF(P231="","",IF(P231+1&gt;'Funnel setup'!$K$11,"",P231+1))</f>
        <v>210</v>
      </c>
    </row>
    <row r="233" spans="16:16" x14ac:dyDescent="0.25">
      <c r="P233" s="169">
        <f>IF(P232="","",IF(P232+1&gt;'Funnel setup'!$K$11,"",P232+1))</f>
        <v>211</v>
      </c>
    </row>
    <row r="234" spans="16:16" x14ac:dyDescent="0.25">
      <c r="P234" s="169">
        <f>IF(P233="","",IF(P233+1&gt;'Funnel setup'!$K$11,"",P233+1))</f>
        <v>212</v>
      </c>
    </row>
    <row r="235" spans="16:16" x14ac:dyDescent="0.25">
      <c r="P235" s="169">
        <f>IF(P234="","",IF(P234+1&gt;'Funnel setup'!$K$11,"",P234+1))</f>
        <v>213</v>
      </c>
    </row>
    <row r="236" spans="16:16" x14ac:dyDescent="0.25">
      <c r="P236" s="169">
        <f>IF(P235="","",IF(P235+1&gt;'Funnel setup'!$K$11,"",P235+1))</f>
        <v>214</v>
      </c>
    </row>
    <row r="237" spans="16:16" x14ac:dyDescent="0.25">
      <c r="P237" s="169">
        <f>IF(P236="","",IF(P236+1&gt;'Funnel setup'!$K$11,"",P236+1))</f>
        <v>215</v>
      </c>
    </row>
    <row r="238" spans="16:16" x14ac:dyDescent="0.25">
      <c r="P238" s="169">
        <f>IF(P237="","",IF(P237+1&gt;'Funnel setup'!$K$11,"",P237+1))</f>
        <v>216</v>
      </c>
    </row>
    <row r="239" spans="16:16" x14ac:dyDescent="0.25">
      <c r="P239" s="169">
        <f>IF(P238="","",IF(P238+1&gt;'Funnel setup'!$K$11,"",P238+1))</f>
        <v>217</v>
      </c>
    </row>
    <row r="240" spans="16:16" x14ac:dyDescent="0.25">
      <c r="P240" s="169">
        <f>IF(P239="","",IF(P239+1&gt;'Funnel setup'!$K$11,"",P239+1))</f>
        <v>218</v>
      </c>
    </row>
    <row r="241" spans="16:16" x14ac:dyDescent="0.25">
      <c r="P241" s="169">
        <f>IF(P240="","",IF(P240+1&gt;'Funnel setup'!$K$11,"",P240+1))</f>
        <v>219</v>
      </c>
    </row>
    <row r="242" spans="16:16" x14ac:dyDescent="0.25">
      <c r="P242" s="169">
        <f>IF(P241="","",IF(P241+1&gt;'Funnel setup'!$K$11,"",P241+1))</f>
        <v>220</v>
      </c>
    </row>
    <row r="243" spans="16:16" x14ac:dyDescent="0.25">
      <c r="P243" s="169">
        <f>IF(P242="","",IF(P242+1&gt;'Funnel setup'!$K$11,"",P242+1))</f>
        <v>221</v>
      </c>
    </row>
    <row r="244" spans="16:16" x14ac:dyDescent="0.25">
      <c r="P244" s="169">
        <f>IF(P243="","",IF(P243+1&gt;'Funnel setup'!$K$11,"",P243+1))</f>
        <v>222</v>
      </c>
    </row>
    <row r="245" spans="16:16" x14ac:dyDescent="0.25">
      <c r="P245" s="169">
        <f>IF(P244="","",IF(P244+1&gt;'Funnel setup'!$K$11,"",P244+1))</f>
        <v>223</v>
      </c>
    </row>
    <row r="246" spans="16:16" x14ac:dyDescent="0.25">
      <c r="P246" s="169">
        <f>IF(P245="","",IF(P245+1&gt;'Funnel setup'!$K$11,"",P245+1))</f>
        <v>224</v>
      </c>
    </row>
    <row r="247" spans="16:16" x14ac:dyDescent="0.25">
      <c r="P247" s="169">
        <f>IF(P246="","",IF(P246+1&gt;'Funnel setup'!$K$11,"",P246+1))</f>
        <v>225</v>
      </c>
    </row>
    <row r="248" spans="16:16" x14ac:dyDescent="0.25">
      <c r="P248" s="169">
        <f>IF(P247="","",IF(P247+1&gt;'Funnel setup'!$K$11,"",P247+1))</f>
        <v>226</v>
      </c>
    </row>
    <row r="249" spans="16:16" x14ac:dyDescent="0.25">
      <c r="P249" s="169">
        <f>IF(P248="","",IF(P248+1&gt;'Funnel setup'!$K$11,"",P248+1))</f>
        <v>227</v>
      </c>
    </row>
    <row r="250" spans="16:16" x14ac:dyDescent="0.25">
      <c r="P250" s="169">
        <f>IF(P249="","",IF(P249+1&gt;'Funnel setup'!$K$11,"",P249+1))</f>
        <v>228</v>
      </c>
    </row>
    <row r="251" spans="16:16" x14ac:dyDescent="0.25">
      <c r="P251" s="169">
        <f>IF(P250="","",IF(P250+1&gt;'Funnel setup'!$K$11,"",P250+1))</f>
        <v>229</v>
      </c>
    </row>
    <row r="252" spans="16:16" x14ac:dyDescent="0.25">
      <c r="P252" s="169">
        <f>IF(P251="","",IF(P251+1&gt;'Funnel setup'!$K$11,"",P251+1))</f>
        <v>230</v>
      </c>
    </row>
    <row r="253" spans="16:16" x14ac:dyDescent="0.25">
      <c r="P253" s="169">
        <f>IF(P252="","",IF(P252+1&gt;'Funnel setup'!$K$11,"",P252+1))</f>
        <v>231</v>
      </c>
    </row>
    <row r="254" spans="16:16" x14ac:dyDescent="0.25">
      <c r="P254" s="169">
        <f>IF(P253="","",IF(P253+1&gt;'Funnel setup'!$K$11,"",P253+1))</f>
        <v>232</v>
      </c>
    </row>
    <row r="255" spans="16:16" x14ac:dyDescent="0.25">
      <c r="P255" s="169">
        <f>IF(P254="","",IF(P254+1&gt;'Funnel setup'!$K$11,"",P254+1))</f>
        <v>233</v>
      </c>
    </row>
    <row r="256" spans="16:16" x14ac:dyDescent="0.25">
      <c r="P256" s="169">
        <f>IF(P255="","",IF(P255+1&gt;'Funnel setup'!$K$11,"",P255+1))</f>
        <v>234</v>
      </c>
    </row>
    <row r="257" spans="16:16" x14ac:dyDescent="0.25">
      <c r="P257" s="169">
        <f>IF(P256="","",IF(P256+1&gt;'Funnel setup'!$K$11,"",P256+1))</f>
        <v>235</v>
      </c>
    </row>
    <row r="258" spans="16:16" x14ac:dyDescent="0.25">
      <c r="P258" s="169">
        <f>IF(P257="","",IF(P257+1&gt;'Funnel setup'!$K$11,"",P257+1))</f>
        <v>236</v>
      </c>
    </row>
    <row r="259" spans="16:16" x14ac:dyDescent="0.25">
      <c r="P259" s="169">
        <f>IF(P258="","",IF(P258+1&gt;'Funnel setup'!$K$11,"",P258+1))</f>
        <v>237</v>
      </c>
    </row>
    <row r="260" spans="16:16" x14ac:dyDescent="0.25">
      <c r="P260" s="169">
        <f>IF(P259="","",IF(P259+1&gt;'Funnel setup'!$K$11,"",P259+1))</f>
        <v>238</v>
      </c>
    </row>
    <row r="261" spans="16:16" x14ac:dyDescent="0.25">
      <c r="P261" s="169">
        <f>IF(P260="","",IF(P260+1&gt;'Funnel setup'!$K$11,"",P260+1))</f>
        <v>239</v>
      </c>
    </row>
    <row r="262" spans="16:16" x14ac:dyDescent="0.25">
      <c r="P262" s="169">
        <f>IF(P261="","",IF(P261+1&gt;'Funnel setup'!$K$11,"",P261+1))</f>
        <v>240</v>
      </c>
    </row>
    <row r="263" spans="16:16" x14ac:dyDescent="0.25">
      <c r="P263" s="169">
        <f>IF(P262="","",IF(P262+1&gt;'Funnel setup'!$K$11,"",P262+1))</f>
        <v>241</v>
      </c>
    </row>
    <row r="264" spans="16:16" x14ac:dyDescent="0.25">
      <c r="P264" s="169">
        <f>IF(P263="","",IF(P263+1&gt;'Funnel setup'!$K$11,"",P263+1))</f>
        <v>242</v>
      </c>
    </row>
    <row r="265" spans="16:16" x14ac:dyDescent="0.25">
      <c r="P265" s="169">
        <f>IF(P264="","",IF(P264+1&gt;'Funnel setup'!$K$11,"",P264+1))</f>
        <v>243</v>
      </c>
    </row>
    <row r="266" spans="16:16" x14ac:dyDescent="0.25">
      <c r="P266" s="169">
        <f>IF(P265="","",IF(P265+1&gt;'Funnel setup'!$K$11,"",P265+1))</f>
        <v>244</v>
      </c>
    </row>
    <row r="267" spans="16:16" x14ac:dyDescent="0.25">
      <c r="P267" s="169">
        <f>IF(P266="","",IF(P266+1&gt;'Funnel setup'!$K$11,"",P266+1))</f>
        <v>245</v>
      </c>
    </row>
    <row r="268" spans="16:16" x14ac:dyDescent="0.25">
      <c r="P268" s="169">
        <f>IF(P267="","",IF(P267+1&gt;'Funnel setup'!$K$11,"",P267+1))</f>
        <v>246</v>
      </c>
    </row>
    <row r="269" spans="16:16" x14ac:dyDescent="0.25">
      <c r="P269" s="169">
        <f>IF(P268="","",IF(P268+1&gt;'Funnel setup'!$K$11,"",P268+1))</f>
        <v>247</v>
      </c>
    </row>
    <row r="270" spans="16:16" x14ac:dyDescent="0.25">
      <c r="P270" s="169">
        <f>IF(P269="","",IF(P269+1&gt;'Funnel setup'!$K$11,"",P269+1))</f>
        <v>248</v>
      </c>
    </row>
    <row r="271" spans="16:16" x14ac:dyDescent="0.25">
      <c r="P271" s="169">
        <f>IF(P270="","",IF(P270+1&gt;'Funnel setup'!$K$11,"",P270+1))</f>
        <v>249</v>
      </c>
    </row>
    <row r="272" spans="16:16" x14ac:dyDescent="0.25">
      <c r="P272" s="169">
        <f>IF(P271="","",IF(P271+1&gt;'Funnel setup'!$K$11,"",P271+1))</f>
        <v>250</v>
      </c>
    </row>
    <row r="273" spans="16:16" x14ac:dyDescent="0.25">
      <c r="P273" s="169">
        <f>IF(P272="","",IF(P272+1&gt;'Funnel setup'!$K$11,"",P272+1))</f>
        <v>251</v>
      </c>
    </row>
    <row r="274" spans="16:16" x14ac:dyDescent="0.25">
      <c r="P274" s="169">
        <f>IF(P273="","",IF(P273+1&gt;'Funnel setup'!$K$11,"",P273+1))</f>
        <v>252</v>
      </c>
    </row>
    <row r="275" spans="16:16" x14ac:dyDescent="0.25">
      <c r="P275" s="169" t="str">
        <f>IF(P274="","",IF(P274+1&gt;'Funnel setup'!$K$11,"",P274+1))</f>
        <v/>
      </c>
    </row>
    <row r="276" spans="16:16" x14ac:dyDescent="0.25">
      <c r="P276" s="169" t="str">
        <f>IF(P275="","",IF(P275+1&gt;'Funnel setup'!$K$11,"",P275+1))</f>
        <v/>
      </c>
    </row>
    <row r="277" spans="16:16" x14ac:dyDescent="0.25">
      <c r="P277" s="169" t="str">
        <f>IF(P276="","",IF(P276+1&gt;'Funnel setup'!$K$11,"",P276+1))</f>
        <v/>
      </c>
    </row>
    <row r="278" spans="16:16" x14ac:dyDescent="0.25">
      <c r="P278" s="169" t="str">
        <f>IF(P277="","",IF(P277+1&gt;'Funnel setup'!$K$11,"",P277+1))</f>
        <v/>
      </c>
    </row>
    <row r="279" spans="16:16" x14ac:dyDescent="0.25">
      <c r="P279" s="169" t="str">
        <f>IF(P278="","",IF(P278+1&gt;'Funnel setup'!$K$11,"",P278+1))</f>
        <v/>
      </c>
    </row>
    <row r="280" spans="16:16" x14ac:dyDescent="0.25">
      <c r="P280" s="169" t="str">
        <f>IF(P279="","",IF(P279+1&gt;'Funnel setup'!$K$11,"",P279+1))</f>
        <v/>
      </c>
    </row>
    <row r="281" spans="16:16" x14ac:dyDescent="0.25">
      <c r="P281" s="169" t="str">
        <f>IF(P280="","",IF(P280+1&gt;'Funnel setup'!$K$11,"",P280+1))</f>
        <v/>
      </c>
    </row>
    <row r="282" spans="16:16" x14ac:dyDescent="0.25">
      <c r="P282" s="169" t="str">
        <f>IF(P281="","",IF(P281+1&gt;'Funnel setup'!$K$11,"",P281+1))</f>
        <v/>
      </c>
    </row>
    <row r="283" spans="16:16" x14ac:dyDescent="0.25">
      <c r="P283" s="169" t="str">
        <f>IF(P282="","",IF(P282+1&gt;'Funnel setup'!$K$11,"",P282+1))</f>
        <v/>
      </c>
    </row>
    <row r="284" spans="16:16" x14ac:dyDescent="0.25">
      <c r="P284" s="169" t="str">
        <f>IF(P283="","",IF(P283+1&gt;'Funnel setup'!$K$11,"",P283+1))</f>
        <v/>
      </c>
    </row>
    <row r="285" spans="16:16" x14ac:dyDescent="0.25">
      <c r="P285" s="169" t="str">
        <f>IF(P284="","",IF(P284+1&gt;'Funnel setup'!$K$11,"",P284+1))</f>
        <v/>
      </c>
    </row>
    <row r="286" spans="16:16" x14ac:dyDescent="0.25">
      <c r="P286" s="169" t="str">
        <f>IF(P285="","",IF(P285+1&gt;'Funnel setup'!$K$11,"",P285+1))</f>
        <v/>
      </c>
    </row>
    <row r="287" spans="16:16" x14ac:dyDescent="0.25">
      <c r="P287" s="169" t="str">
        <f>IF(P286="","",IF(P286+1&gt;'Funnel setup'!$K$11,"",P286+1))</f>
        <v/>
      </c>
    </row>
    <row r="288" spans="16:16" x14ac:dyDescent="0.25">
      <c r="P288" s="169" t="str">
        <f>IF(P287="","",IF(P287+1&gt;'Funnel setup'!$K$11,"",P287+1))</f>
        <v/>
      </c>
    </row>
    <row r="289" spans="16:16" x14ac:dyDescent="0.25">
      <c r="P289" s="169" t="str">
        <f>IF(P288="","",IF(P288+1&gt;'Funnel setup'!$K$11,"",P288+1))</f>
        <v/>
      </c>
    </row>
    <row r="290" spans="16:16" x14ac:dyDescent="0.25">
      <c r="P290" s="169" t="str">
        <f>IF(P289="","",IF(P289+1&gt;'Funnel setup'!$K$11,"",P289+1))</f>
        <v/>
      </c>
    </row>
    <row r="291" spans="16:16" x14ac:dyDescent="0.25">
      <c r="P291" s="169" t="str">
        <f>IF(P290="","",IF(P290+1&gt;'Funnel setup'!$K$11,"",P290+1))</f>
        <v/>
      </c>
    </row>
    <row r="292" spans="16:16" x14ac:dyDescent="0.25">
      <c r="P292" s="169" t="str">
        <f>IF(P291="","",IF(P291+1&gt;'Funnel setup'!$K$11,"",P291+1))</f>
        <v/>
      </c>
    </row>
    <row r="293" spans="16:16" x14ac:dyDescent="0.25">
      <c r="P293" s="169" t="str">
        <f>IF(P292="","",IF(P292+1&gt;'Funnel setup'!$K$11,"",P292+1))</f>
        <v/>
      </c>
    </row>
    <row r="294" spans="16:16" x14ac:dyDescent="0.25">
      <c r="P294" s="169" t="str">
        <f>IF(P293="","",IF(P293+1&gt;'Funnel setup'!$K$11,"",P293+1))</f>
        <v/>
      </c>
    </row>
    <row r="295" spans="16:16" x14ac:dyDescent="0.25">
      <c r="P295" s="169" t="str">
        <f>IF(P294="","",IF(P294+1&gt;'Funnel setup'!$K$11,"",P294+1))</f>
        <v/>
      </c>
    </row>
    <row r="296" spans="16:16" x14ac:dyDescent="0.25">
      <c r="P296" s="169" t="str">
        <f>IF(P295="","",IF(P295+1&gt;'Funnel setup'!$K$11,"",P295+1))</f>
        <v/>
      </c>
    </row>
    <row r="297" spans="16:16" x14ac:dyDescent="0.25">
      <c r="P297" s="169" t="str">
        <f>IF(P296="","",IF(P296+1&gt;'Funnel setup'!$K$11,"",P296+1))</f>
        <v/>
      </c>
    </row>
    <row r="298" spans="16:16" x14ac:dyDescent="0.25">
      <c r="P298" s="169" t="str">
        <f>IF(P297="","",IF(P297+1&gt;'Funnel setup'!$K$11,"",P297+1))</f>
        <v/>
      </c>
    </row>
    <row r="299" spans="16:16" x14ac:dyDescent="0.25">
      <c r="P299" s="169" t="str">
        <f>IF(P298="","",IF(P298+1&gt;'Funnel setup'!$K$11,"",P298+1))</f>
        <v/>
      </c>
    </row>
    <row r="300" spans="16:16" x14ac:dyDescent="0.25">
      <c r="P300" s="169" t="str">
        <f>IF(P299="","",IF(P299+1&gt;'Funnel setup'!$K$11,"",P299+1))</f>
        <v/>
      </c>
    </row>
    <row r="301" spans="16:16" x14ac:dyDescent="0.25">
      <c r="P301" s="169" t="str">
        <f>IF(P300="","",IF(P300+1&gt;'Funnel setup'!$K$11,"",P300+1))</f>
        <v/>
      </c>
    </row>
    <row r="302" spans="16:16" x14ac:dyDescent="0.25">
      <c r="P302" s="169" t="str">
        <f>IF(P301="","",IF(P301+1&gt;'Funnel setup'!$K$11,"",P301+1))</f>
        <v/>
      </c>
    </row>
    <row r="303" spans="16:16" x14ac:dyDescent="0.25">
      <c r="P303" s="169" t="str">
        <f>IF(P302="","",IF(P302+1&gt;'Funnel setup'!$K$11,"",P302+1))</f>
        <v/>
      </c>
    </row>
    <row r="304" spans="16:16" x14ac:dyDescent="0.25">
      <c r="P304" s="169" t="str">
        <f>IF(P303="","",IF(P303+1&gt;'Funnel setup'!$K$11,"",P303+1))</f>
        <v/>
      </c>
    </row>
    <row r="305" spans="16:16" x14ac:dyDescent="0.25">
      <c r="P305" s="169" t="str">
        <f>IF(P304="","",IF(P304+1&gt;'Funnel setup'!$K$11,"",P304+1))</f>
        <v/>
      </c>
    </row>
    <row r="306" spans="16:16" x14ac:dyDescent="0.25">
      <c r="P306" s="169" t="str">
        <f>IF(P305="","",IF(P305+1&gt;'Funnel setup'!$K$11,"",P305+1))</f>
        <v/>
      </c>
    </row>
    <row r="307" spans="16:16" x14ac:dyDescent="0.25">
      <c r="P307" s="169" t="str">
        <f>IF(P306="","",IF(P306+1&gt;'Funnel setup'!$K$11,"",P306+1))</f>
        <v/>
      </c>
    </row>
    <row r="308" spans="16:16" x14ac:dyDescent="0.25">
      <c r="P308" s="169" t="str">
        <f>IF(P307="","",IF(P307+1&gt;'Funnel setup'!$K$11,"",P307+1))</f>
        <v/>
      </c>
    </row>
    <row r="309" spans="16:16" x14ac:dyDescent="0.25">
      <c r="P309" s="169" t="str">
        <f>IF(P308="","",IF(P308+1&gt;'Funnel setup'!$K$11,"",P308+1))</f>
        <v/>
      </c>
    </row>
    <row r="310" spans="16:16" x14ac:dyDescent="0.25">
      <c r="P310" s="169" t="str">
        <f>IF(P309="","",IF(P309+1&gt;'Funnel setup'!$K$11,"",P309+1))</f>
        <v/>
      </c>
    </row>
    <row r="311" spans="16:16" x14ac:dyDescent="0.25">
      <c r="P311" s="169" t="str">
        <f>IF(P310="","",IF(P310+1&gt;'Funnel setup'!$K$11,"",P310+1))</f>
        <v/>
      </c>
    </row>
    <row r="312" spans="16:16" x14ac:dyDescent="0.25">
      <c r="P312" s="169" t="str">
        <f>IF(P311="","",IF(P311+1&gt;'Funnel setup'!$K$11,"",P311+1))</f>
        <v/>
      </c>
    </row>
    <row r="313" spans="16:16" x14ac:dyDescent="0.25">
      <c r="P313" s="169" t="str">
        <f>IF(P312="","",IF(P312+1&gt;'Funnel setup'!$K$11,"",P312+1))</f>
        <v/>
      </c>
    </row>
    <row r="314" spans="16:16" x14ac:dyDescent="0.25">
      <c r="P314" s="169" t="str">
        <f>IF(P313="","",IF(P313+1&gt;'Funnel setup'!$K$11,"",P313+1))</f>
        <v/>
      </c>
    </row>
    <row r="315" spans="16:16" x14ac:dyDescent="0.25">
      <c r="P315" s="169" t="str">
        <f>IF(P314="","",IF(P314+1&gt;'Funnel setup'!$K$11,"",P314+1))</f>
        <v/>
      </c>
    </row>
    <row r="316" spans="16:16" x14ac:dyDescent="0.25">
      <c r="P316" s="169" t="str">
        <f>IF(P315="","",IF(P315+1&gt;'Funnel setup'!$K$11,"",P315+1))</f>
        <v/>
      </c>
    </row>
    <row r="317" spans="16:16" x14ac:dyDescent="0.25">
      <c r="P317" s="169" t="str">
        <f>IF(P316="","",IF(P316+1&gt;'Funnel setup'!$K$11,"",P316+1))</f>
        <v/>
      </c>
    </row>
    <row r="318" spans="16:16" x14ac:dyDescent="0.25">
      <c r="P318" s="169" t="str">
        <f>IF(P317="","",IF(P317+1&gt;'Funnel setup'!$K$11,"",P317+1))</f>
        <v/>
      </c>
    </row>
    <row r="319" spans="16:16" x14ac:dyDescent="0.25">
      <c r="P319" s="169" t="str">
        <f>IF(P318="","",IF(P318+1&gt;'Funnel setup'!$K$11,"",P318+1))</f>
        <v/>
      </c>
    </row>
    <row r="320" spans="16:16" x14ac:dyDescent="0.25">
      <c r="P320" s="169" t="str">
        <f>IF(P319="","",IF(P319+1&gt;'Funnel setup'!$K$11,"",P319+1))</f>
        <v/>
      </c>
    </row>
    <row r="321" spans="16:16" x14ac:dyDescent="0.25">
      <c r="P321" s="169" t="str">
        <f>IF(P320="","",IF(P320+1&gt;'Funnel setup'!$K$11,"",P320+1))</f>
        <v/>
      </c>
    </row>
    <row r="322" spans="16:16" x14ac:dyDescent="0.25">
      <c r="P322" s="169" t="str">
        <f>IF(P321="","",IF(P321+1&gt;'Funnel setup'!$K$11,"",P321+1))</f>
        <v/>
      </c>
    </row>
    <row r="323" spans="16:16" x14ac:dyDescent="0.25">
      <c r="P323" s="169" t="str">
        <f>IF(P322="","",IF(P322+1&gt;'Funnel setup'!$K$11,"",P322+1))</f>
        <v/>
      </c>
    </row>
    <row r="324" spans="16:16" x14ac:dyDescent="0.25">
      <c r="P324" s="169" t="str">
        <f>IF(P323="","",IF(P323+1&gt;'Funnel setup'!$K$11,"",P323+1))</f>
        <v/>
      </c>
    </row>
    <row r="325" spans="16:16" x14ac:dyDescent="0.25">
      <c r="P325" s="169" t="str">
        <f>IF(P324="","",IF(P324+1&gt;'Funnel setup'!$K$11,"",P324+1))</f>
        <v/>
      </c>
    </row>
    <row r="326" spans="16:16" x14ac:dyDescent="0.25">
      <c r="P326" s="169" t="str">
        <f>IF(P325="","",IF(P325+1&gt;'Funnel setup'!$K$11,"",P325+1))</f>
        <v/>
      </c>
    </row>
    <row r="327" spans="16:16" x14ac:dyDescent="0.25">
      <c r="P327" s="169" t="str">
        <f>IF(P326="","",IF(P326+1&gt;'Funnel setup'!$K$11,"",P326+1))</f>
        <v/>
      </c>
    </row>
    <row r="328" spans="16:16" x14ac:dyDescent="0.25">
      <c r="P328" s="169" t="str">
        <f>IF(P327="","",IF(P327+1&gt;'Funnel setup'!$K$11,"",P327+1))</f>
        <v/>
      </c>
    </row>
    <row r="329" spans="16:16" x14ac:dyDescent="0.25">
      <c r="P329" s="169" t="str">
        <f>IF(P328="","",IF(P328+1&gt;'Funnel setup'!$K$11,"",P328+1))</f>
        <v/>
      </c>
    </row>
    <row r="330" spans="16:16" x14ac:dyDescent="0.25">
      <c r="P330" s="169" t="str">
        <f>IF(P329="","",IF(P329+1&gt;'Funnel setup'!$K$11,"",P329+1))</f>
        <v/>
      </c>
    </row>
    <row r="331" spans="16:16" x14ac:dyDescent="0.25">
      <c r="P331" s="169" t="str">
        <f>IF(P330="","",IF(P330+1&gt;'Funnel setup'!$K$11,"",P330+1))</f>
        <v/>
      </c>
    </row>
    <row r="332" spans="16:16" x14ac:dyDescent="0.25">
      <c r="P332" s="169" t="str">
        <f>IF(P331="","",IF(P331+1&gt;'Funnel setup'!$K$11,"",P331+1))</f>
        <v/>
      </c>
    </row>
    <row r="333" spans="16:16" x14ac:dyDescent="0.25">
      <c r="P333" s="169" t="str">
        <f>IF(P332="","",IF(P332+1&gt;'Funnel setup'!$K$11,"",P332+1))</f>
        <v/>
      </c>
    </row>
    <row r="334" spans="16:16" x14ac:dyDescent="0.25">
      <c r="P334" s="169" t="str">
        <f>IF(P333="","",IF(P333+1&gt;'Funnel setup'!$K$11,"",P333+1))</f>
        <v/>
      </c>
    </row>
    <row r="335" spans="16:16" x14ac:dyDescent="0.25">
      <c r="P335" s="169" t="str">
        <f>IF(P334="","",IF(P334+1&gt;'Funnel setup'!$K$11,"",P334+1))</f>
        <v/>
      </c>
    </row>
    <row r="336" spans="16:16" x14ac:dyDescent="0.25">
      <c r="P336" s="169" t="str">
        <f>IF(P335="","",IF(P335+1&gt;'Funnel setup'!$K$11,"",P335+1))</f>
        <v/>
      </c>
    </row>
    <row r="337" spans="16:16" x14ac:dyDescent="0.25">
      <c r="P337" s="169" t="str">
        <f>IF(P336="","",IF(P336+1&gt;'Funnel setup'!$K$11,"",P336+1))</f>
        <v/>
      </c>
    </row>
    <row r="338" spans="16:16" x14ac:dyDescent="0.25">
      <c r="P338" s="169" t="str">
        <f>IF(P337="","",IF(P337+1&gt;'Funnel setup'!$K$11,"",P337+1))</f>
        <v/>
      </c>
    </row>
    <row r="339" spans="16:16" x14ac:dyDescent="0.25">
      <c r="P339" s="169" t="str">
        <f>IF(P338="","",IF(P338+1&gt;'Funnel setup'!$K$11,"",P338+1))</f>
        <v/>
      </c>
    </row>
    <row r="340" spans="16:16" x14ac:dyDescent="0.25">
      <c r="P340" s="169" t="str">
        <f>IF(P339="","",IF(P339+1&gt;'Funnel setup'!$K$11,"",P339+1))</f>
        <v/>
      </c>
    </row>
    <row r="341" spans="16:16" x14ac:dyDescent="0.25">
      <c r="P341" s="169" t="str">
        <f>IF(P340="","",IF(P340+1&gt;'Funnel setup'!$K$11,"",P340+1))</f>
        <v/>
      </c>
    </row>
    <row r="342" spans="16:16" x14ac:dyDescent="0.25">
      <c r="P342" s="169" t="str">
        <f>IF(P341="","",IF(P341+1&gt;'Funnel setup'!$K$11,"",P341+1))</f>
        <v/>
      </c>
    </row>
    <row r="343" spans="16:16" x14ac:dyDescent="0.25">
      <c r="P343" s="169" t="str">
        <f>IF(P342="","",IF(P342+1&gt;'Funnel setup'!$K$11,"",P342+1))</f>
        <v/>
      </c>
    </row>
    <row r="344" spans="16:16" x14ac:dyDescent="0.25">
      <c r="P344" s="169" t="str">
        <f>IF(P343="","",IF(P343+1&gt;'Funnel setup'!$K$11,"",P343+1))</f>
        <v/>
      </c>
    </row>
    <row r="345" spans="16:16" x14ac:dyDescent="0.25">
      <c r="P345" s="169" t="str">
        <f>IF(P344="","",IF(P344+1&gt;'Funnel setup'!$K$11,"",P344+1))</f>
        <v/>
      </c>
    </row>
    <row r="346" spans="16:16" x14ac:dyDescent="0.25">
      <c r="P346" s="169" t="str">
        <f>IF(P345="","",IF(P345+1&gt;'Funnel setup'!$K$11,"",P345+1))</f>
        <v/>
      </c>
    </row>
    <row r="347" spans="16:16" x14ac:dyDescent="0.25">
      <c r="P347" s="169" t="str">
        <f>IF(P346="","",IF(P346+1&gt;'Funnel setup'!$K$11,"",P346+1))</f>
        <v/>
      </c>
    </row>
    <row r="348" spans="16:16" x14ac:dyDescent="0.25">
      <c r="P348" s="169" t="str">
        <f>IF(P347="","",IF(P347+1&gt;'Funnel setup'!$K$11,"",P347+1))</f>
        <v/>
      </c>
    </row>
    <row r="349" spans="16:16" x14ac:dyDescent="0.25">
      <c r="P349" s="169" t="str">
        <f>IF(P348="","",IF(P348+1&gt;'Funnel setup'!$K$11,"",P348+1))</f>
        <v/>
      </c>
    </row>
    <row r="350" spans="16:16" x14ac:dyDescent="0.25">
      <c r="P350" s="169" t="str">
        <f>IF(P349="","",IF(P349+1&gt;'Funnel setup'!$K$11,"",P349+1))</f>
        <v/>
      </c>
    </row>
    <row r="351" spans="16:16" x14ac:dyDescent="0.25">
      <c r="P351" s="169" t="str">
        <f>IF(P350="","",IF(P350+1&gt;'Funnel setup'!$K$11,"",P350+1))</f>
        <v/>
      </c>
    </row>
    <row r="352" spans="16:16" x14ac:dyDescent="0.25">
      <c r="P352" s="169" t="str">
        <f>IF(P351="","",IF(P351+1&gt;'Funnel setup'!$K$11,"",P351+1))</f>
        <v/>
      </c>
    </row>
    <row r="353" spans="16:16" x14ac:dyDescent="0.25">
      <c r="P353" s="169" t="str">
        <f>IF(P352="","",IF(P352+1&gt;'Funnel setup'!$K$11,"",P352+1))</f>
        <v/>
      </c>
    </row>
    <row r="354" spans="16:16" x14ac:dyDescent="0.25">
      <c r="P354" s="169" t="str">
        <f>IF(P353="","",IF(P353+1&gt;'Funnel setup'!$K$11,"",P353+1))</f>
        <v/>
      </c>
    </row>
    <row r="355" spans="16:16" x14ac:dyDescent="0.25">
      <c r="P355" s="169" t="str">
        <f>IF(P354="","",IF(P354+1&gt;'Funnel setup'!$K$11,"",P354+1))</f>
        <v/>
      </c>
    </row>
    <row r="356" spans="16:16" x14ac:dyDescent="0.25">
      <c r="P356" s="169" t="str">
        <f>IF(P355="","",IF(P355+1&gt;'Funnel setup'!$K$11,"",P355+1))</f>
        <v/>
      </c>
    </row>
    <row r="357" spans="16:16" x14ac:dyDescent="0.25">
      <c r="P357" s="169" t="str">
        <f>IF(P356="","",IF(P356+1&gt;'Funnel setup'!$K$11,"",P356+1))</f>
        <v/>
      </c>
    </row>
    <row r="358" spans="16:16" x14ac:dyDescent="0.25">
      <c r="P358" s="169" t="str">
        <f>IF(P357="","",IF(P357+1&gt;'Funnel setup'!$K$11,"",P357+1))</f>
        <v/>
      </c>
    </row>
    <row r="359" spans="16:16" x14ac:dyDescent="0.25">
      <c r="P359" s="169" t="str">
        <f>IF(P358="","",IF(P358+1&gt;'Funnel setup'!$K$11,"",P358+1))</f>
        <v/>
      </c>
    </row>
    <row r="360" spans="16:16" x14ac:dyDescent="0.25">
      <c r="P360" s="169" t="str">
        <f>IF(P359="","",IF(P359+1&gt;'Funnel setup'!$K$11,"",P359+1))</f>
        <v/>
      </c>
    </row>
    <row r="361" spans="16:16" x14ac:dyDescent="0.25">
      <c r="P361" s="169" t="str">
        <f>IF(P360="","",IF(P360+1&gt;'Funnel setup'!$K$11,"",P360+1))</f>
        <v/>
      </c>
    </row>
    <row r="362" spans="16:16" x14ac:dyDescent="0.25">
      <c r="P362" s="169" t="str">
        <f>IF(P361="","",IF(P361+1&gt;'Funnel setup'!$K$11,"",P361+1))</f>
        <v/>
      </c>
    </row>
    <row r="363" spans="16:16" x14ac:dyDescent="0.25">
      <c r="P363" s="169" t="str">
        <f>IF(P362="","",IF(P362+1&gt;'Funnel setup'!$K$11,"",P362+1))</f>
        <v/>
      </c>
    </row>
    <row r="364" spans="16:16" x14ac:dyDescent="0.25">
      <c r="P364" s="169" t="str">
        <f>IF(P363="","",IF(P363+1&gt;'Funnel setup'!$K$11,"",P363+1))</f>
        <v/>
      </c>
    </row>
    <row r="365" spans="16:16" x14ac:dyDescent="0.25">
      <c r="P365" s="169" t="str">
        <f>IF(P364="","",IF(P364+1&gt;'Funnel setup'!$K$11,"",P364+1))</f>
        <v/>
      </c>
    </row>
    <row r="366" spans="16:16" x14ac:dyDescent="0.25">
      <c r="P366" s="169" t="str">
        <f>IF(P365="","",IF(P365+1&gt;'Funnel setup'!$K$11,"",P365+1))</f>
        <v/>
      </c>
    </row>
    <row r="367" spans="16:16" x14ac:dyDescent="0.25">
      <c r="P367" s="169" t="str">
        <f>IF(P366="","",IF(P366+1&gt;'Funnel setup'!$K$11,"",P366+1))</f>
        <v/>
      </c>
    </row>
    <row r="368" spans="16:16" x14ac:dyDescent="0.25">
      <c r="P368" s="169" t="str">
        <f>IF(P367="","",IF(P367+1&gt;'Funnel setup'!$K$11,"",P367+1))</f>
        <v/>
      </c>
    </row>
    <row r="369" spans="16:16" x14ac:dyDescent="0.25">
      <c r="P369" s="169" t="str">
        <f>IF(P368="","",IF(P368+1&gt;'Funnel setup'!$K$11,"",P368+1))</f>
        <v/>
      </c>
    </row>
    <row r="370" spans="16:16" x14ac:dyDescent="0.25">
      <c r="P370" s="169" t="str">
        <f>IF(P369="","",IF(P369+1&gt;'Funnel setup'!$K$11,"",P369+1))</f>
        <v/>
      </c>
    </row>
    <row r="371" spans="16:16" x14ac:dyDescent="0.25">
      <c r="P371" s="169" t="str">
        <f>IF(P370="","",IF(P370+1&gt;'Funnel setup'!$K$11,"",P370+1))</f>
        <v/>
      </c>
    </row>
    <row r="372" spans="16:16" x14ac:dyDescent="0.25">
      <c r="P372" s="169" t="str">
        <f>IF(P371="","",IF(P371+1&gt;'Funnel setup'!$K$11,"",P371+1))</f>
        <v/>
      </c>
    </row>
    <row r="373" spans="16:16" x14ac:dyDescent="0.25">
      <c r="P373" s="169" t="str">
        <f>IF(P372="","",IF(P372+1&gt;'Funnel setup'!$K$11,"",P372+1))</f>
        <v/>
      </c>
    </row>
    <row r="374" spans="16:16" x14ac:dyDescent="0.25">
      <c r="P374" s="169" t="str">
        <f>IF(P373="","",IF(P373+1&gt;'Funnel setup'!$K$11,"",P373+1))</f>
        <v/>
      </c>
    </row>
    <row r="375" spans="16:16" x14ac:dyDescent="0.25">
      <c r="P375" s="169" t="str">
        <f>IF(P374="","",IF(P374+1&gt;'Funnel setup'!$K$11,"",P374+1))</f>
        <v/>
      </c>
    </row>
    <row r="376" spans="16:16" x14ac:dyDescent="0.25">
      <c r="P376" s="169" t="str">
        <f>IF(P375="","",IF(P375+1&gt;'Funnel setup'!$K$11,"",P375+1))</f>
        <v/>
      </c>
    </row>
    <row r="377" spans="16:16" x14ac:dyDescent="0.25">
      <c r="P377" s="169" t="str">
        <f>IF(P376="","",IF(P376+1&gt;'Funnel setup'!$K$11,"",P376+1))</f>
        <v/>
      </c>
    </row>
    <row r="378" spans="16:16" x14ac:dyDescent="0.25">
      <c r="P378" s="169" t="str">
        <f>IF(P377="","",IF(P377+1&gt;'Funnel setup'!$K$11,"",P377+1))</f>
        <v/>
      </c>
    </row>
    <row r="379" spans="16:16" x14ac:dyDescent="0.25">
      <c r="P379" s="169" t="str">
        <f>IF(P378="","",IF(P378+1&gt;'Funnel setup'!$K$11,"",P378+1))</f>
        <v/>
      </c>
    </row>
    <row r="380" spans="16:16" x14ac:dyDescent="0.25">
      <c r="P380" s="169" t="str">
        <f>IF(P379="","",IF(P379+1&gt;'Funnel setup'!$K$11,"",P379+1))</f>
        <v/>
      </c>
    </row>
    <row r="381" spans="16:16" x14ac:dyDescent="0.25">
      <c r="P381" s="169" t="str">
        <f>IF(P380="","",IF(P380+1&gt;'Funnel setup'!$K$11,"",P380+1))</f>
        <v/>
      </c>
    </row>
    <row r="382" spans="16:16" x14ac:dyDescent="0.25">
      <c r="P382" s="169" t="str">
        <f>IF(P381="","",IF(P381+1&gt;'Funnel setup'!$K$11,"",P381+1))</f>
        <v/>
      </c>
    </row>
    <row r="383" spans="16:16" x14ac:dyDescent="0.25">
      <c r="P383" s="169" t="str">
        <f>IF(P382="","",IF(P382+1&gt;'Funnel setup'!$K$11,"",P382+1))</f>
        <v/>
      </c>
    </row>
    <row r="384" spans="16:16" x14ac:dyDescent="0.25">
      <c r="P384" s="169" t="str">
        <f>IF(P383="","",IF(P383+1&gt;'Funnel setup'!$K$11,"",P383+1))</f>
        <v/>
      </c>
    </row>
    <row r="385" spans="16:16" x14ac:dyDescent="0.25">
      <c r="P385" s="169" t="str">
        <f>IF(P384="","",IF(P384+1&gt;'Funnel setup'!$K$11,"",P384+1))</f>
        <v/>
      </c>
    </row>
    <row r="386" spans="16:16" x14ac:dyDescent="0.25">
      <c r="P386" s="169" t="str">
        <f>IF(P385="","",IF(P385+1&gt;'Funnel setup'!$K$11,"",P385+1))</f>
        <v/>
      </c>
    </row>
    <row r="387" spans="16:16" x14ac:dyDescent="0.25">
      <c r="P387" s="169" t="str">
        <f>IF(P386="","",IF(P386+1&gt;'Funnel setup'!$K$11,"",P386+1))</f>
        <v/>
      </c>
    </row>
    <row r="388" spans="16:16" x14ac:dyDescent="0.25">
      <c r="P388" s="169" t="str">
        <f>IF(P387="","",IF(P387+1&gt;'Funnel setup'!$K$11,"",P387+1))</f>
        <v/>
      </c>
    </row>
    <row r="389" spans="16:16" x14ac:dyDescent="0.25">
      <c r="P389" s="169" t="str">
        <f>IF(P388="","",IF(P388+1&gt;'Funnel setup'!$K$11,"",P388+1))</f>
        <v/>
      </c>
    </row>
    <row r="390" spans="16:16" x14ac:dyDescent="0.25">
      <c r="P390" s="169" t="str">
        <f>IF(P389="","",IF(P389+1&gt;'Funnel setup'!$K$11,"",P389+1))</f>
        <v/>
      </c>
    </row>
    <row r="391" spans="16:16" x14ac:dyDescent="0.25">
      <c r="P391" s="169" t="str">
        <f>IF(P390="","",IF(P390+1&gt;'Funnel setup'!$K$11,"",P390+1))</f>
        <v/>
      </c>
    </row>
    <row r="392" spans="16:16" x14ac:dyDescent="0.25">
      <c r="P392" s="169" t="str">
        <f>IF(P391="","",IF(P391+1&gt;'Funnel setup'!$K$11,"",P391+1))</f>
        <v/>
      </c>
    </row>
    <row r="393" spans="16:16" x14ac:dyDescent="0.25">
      <c r="P393" s="169" t="str">
        <f>IF(P392="","",IF(P392+1&gt;'Funnel setup'!$K$11,"",P392+1))</f>
        <v/>
      </c>
    </row>
    <row r="394" spans="16:16" x14ac:dyDescent="0.25">
      <c r="P394" s="169" t="str">
        <f>IF(P393="","",IF(P393+1&gt;'Funnel setup'!$K$11,"",P393+1))</f>
        <v/>
      </c>
    </row>
    <row r="395" spans="16:16" x14ac:dyDescent="0.25">
      <c r="P395" s="169" t="str">
        <f>IF(P394="","",IF(P394+1&gt;'Funnel setup'!$K$11,"",P394+1))</f>
        <v/>
      </c>
    </row>
    <row r="396" spans="16:16" x14ac:dyDescent="0.25">
      <c r="P396" s="169" t="str">
        <f>IF(P395="","",IF(P395+1&gt;'Funnel setup'!$K$11,"",P395+1))</f>
        <v/>
      </c>
    </row>
    <row r="397" spans="16:16" x14ac:dyDescent="0.25">
      <c r="P397" s="169" t="str">
        <f>IF(P396="","",IF(P396+1&gt;'Funnel setup'!$K$11,"",P396+1))</f>
        <v/>
      </c>
    </row>
    <row r="398" spans="16:16" x14ac:dyDescent="0.25">
      <c r="P398" s="169" t="str">
        <f>IF(P397="","",IF(P397+1&gt;'Funnel setup'!$K$11,"",P397+1))</f>
        <v/>
      </c>
    </row>
    <row r="399" spans="16:16" x14ac:dyDescent="0.25">
      <c r="P399" s="169" t="str">
        <f>IF(P398="","",IF(P398+1&gt;'Funnel setup'!$K$11,"",P398+1))</f>
        <v/>
      </c>
    </row>
    <row r="400" spans="16:16" x14ac:dyDescent="0.25">
      <c r="P400" s="169" t="str">
        <f>IF(P399="","",IF(P399+1&gt;'Funnel setup'!$K$11,"",P399+1))</f>
        <v/>
      </c>
    </row>
    <row r="401" spans="16:16" x14ac:dyDescent="0.25">
      <c r="P401" s="169" t="str">
        <f>IF(P400="","",IF(P400+1&gt;'Funnel setup'!$K$11,"",P400+1))</f>
        <v/>
      </c>
    </row>
    <row r="402" spans="16:16" x14ac:dyDescent="0.25">
      <c r="P402" s="169" t="str">
        <f>IF(P401="","",IF(P401+1&gt;'Funnel setup'!$K$11,"",P401+1))</f>
        <v/>
      </c>
    </row>
    <row r="403" spans="16:16" x14ac:dyDescent="0.25">
      <c r="P403" s="169" t="str">
        <f>IF(P402="","",IF(P402+1&gt;'Funnel setup'!$K$11,"",P402+1))</f>
        <v/>
      </c>
    </row>
    <row r="404" spans="16:16" x14ac:dyDescent="0.25">
      <c r="P404" s="169" t="str">
        <f>IF(P403="","",IF(P403+1&gt;'Funnel setup'!$K$11,"",P403+1))</f>
        <v/>
      </c>
    </row>
    <row r="405" spans="16:16" x14ac:dyDescent="0.25">
      <c r="P405" s="169" t="str">
        <f>IF(P404="","",IF(P404+1&gt;'Funnel setup'!$K$11,"",P404+1))</f>
        <v/>
      </c>
    </row>
    <row r="406" spans="16:16" x14ac:dyDescent="0.25">
      <c r="P406" s="169" t="str">
        <f>IF(P405="","",IF(P405+1&gt;'Funnel setup'!$K$11,"",P405+1))</f>
        <v/>
      </c>
    </row>
    <row r="407" spans="16:16" x14ac:dyDescent="0.25">
      <c r="P407" s="169" t="str">
        <f>IF(P406="","",IF(P406+1&gt;'Funnel setup'!$K$11,"",P406+1))</f>
        <v/>
      </c>
    </row>
    <row r="408" spans="16:16" x14ac:dyDescent="0.25">
      <c r="P408" s="169" t="str">
        <f>IF(P407="","",IF(P407+1&gt;'Funnel setup'!$K$11,"",P407+1))</f>
        <v/>
      </c>
    </row>
    <row r="409" spans="16:16" x14ac:dyDescent="0.25">
      <c r="P409" s="169" t="str">
        <f>IF(P408="","",IF(P408+1&gt;'Funnel setup'!$K$11,"",P408+1))</f>
        <v/>
      </c>
    </row>
    <row r="410" spans="16:16" x14ac:dyDescent="0.25">
      <c r="P410" s="169" t="str">
        <f>IF(P409="","",IF(P409+1&gt;'Funnel setup'!$K$11,"",P409+1))</f>
        <v/>
      </c>
    </row>
    <row r="411" spans="16:16" x14ac:dyDescent="0.25">
      <c r="P411" s="169" t="str">
        <f>IF(P410="","",IF(P410+1&gt;'Funnel setup'!$K$11,"",P410+1))</f>
        <v/>
      </c>
    </row>
    <row r="412" spans="16:16" x14ac:dyDescent="0.25">
      <c r="P412" s="169" t="str">
        <f>IF(P411="","",IF(P411+1&gt;'Funnel setup'!$K$11,"",P411+1))</f>
        <v/>
      </c>
    </row>
    <row r="413" spans="16:16" x14ac:dyDescent="0.25">
      <c r="P413" s="169" t="str">
        <f>IF(P412="","",IF(P412+1&gt;'Funnel setup'!$K$11,"",P412+1))</f>
        <v/>
      </c>
    </row>
    <row r="414" spans="16:16" x14ac:dyDescent="0.25">
      <c r="P414" s="169" t="str">
        <f>IF(P413="","",IF(P413+1&gt;'Funnel setup'!$K$11,"",P413+1))</f>
        <v/>
      </c>
    </row>
    <row r="415" spans="16:16" x14ac:dyDescent="0.25">
      <c r="P415" s="169" t="str">
        <f>IF(P414="","",IF(P414+1&gt;'Funnel setup'!$K$11,"",P414+1))</f>
        <v/>
      </c>
    </row>
    <row r="416" spans="16:16" x14ac:dyDescent="0.25">
      <c r="P416" s="169" t="str">
        <f>IF(P415="","",IF(P415+1&gt;'Funnel setup'!$K$11,"",P415+1))</f>
        <v/>
      </c>
    </row>
    <row r="417" spans="16:16" x14ac:dyDescent="0.25">
      <c r="P417" s="169" t="str">
        <f>IF(P416="","",IF(P416+1&gt;'Funnel setup'!$K$11,"",P416+1))</f>
        <v/>
      </c>
    </row>
    <row r="418" spans="16:16" x14ac:dyDescent="0.25">
      <c r="P418" s="169" t="str">
        <f>IF(P417="","",IF(P417+1&gt;'Funnel setup'!$K$11,"",P417+1))</f>
        <v/>
      </c>
    </row>
    <row r="419" spans="16:16" x14ac:dyDescent="0.25">
      <c r="P419" s="169" t="str">
        <f>IF(P418="","",IF(P418+1&gt;'Funnel setup'!$K$11,"",P418+1))</f>
        <v/>
      </c>
    </row>
    <row r="420" spans="16:16" x14ac:dyDescent="0.25">
      <c r="P420" s="169" t="str">
        <f>IF(P419="","",IF(P419+1&gt;'Funnel setup'!$K$11,"",P419+1))</f>
        <v/>
      </c>
    </row>
    <row r="421" spans="16:16" x14ac:dyDescent="0.25">
      <c r="P421" s="169" t="str">
        <f>IF(P420="","",IF(P420+1&gt;'Funnel setup'!$K$11,"",P420+1))</f>
        <v/>
      </c>
    </row>
    <row r="422" spans="16:16" x14ac:dyDescent="0.25">
      <c r="P422" s="169" t="str">
        <f>IF(P421="","",IF(P421+1&gt;'Funnel setup'!$K$11,"",P421+1))</f>
        <v/>
      </c>
    </row>
    <row r="423" spans="16:16" x14ac:dyDescent="0.25">
      <c r="P423" s="169" t="str">
        <f>IF(P422="","",IF(P422+1&gt;'Funnel setup'!$K$11,"",P422+1))</f>
        <v/>
      </c>
    </row>
  </sheetData>
  <mergeCells count="2">
    <mergeCell ref="G2:H2"/>
    <mergeCell ref="B1:H1"/>
  </mergeCells>
  <pageMargins left="0.75" right="0.75" top="1" bottom="1" header="0.5" footer="0.5"/>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tabColor indexed="34"/>
  </sheetPr>
  <dimension ref="A1:AV372"/>
  <sheetViews>
    <sheetView showGridLines="0" workbookViewId="0">
      <selection activeCell="E237" sqref="E237"/>
    </sheetView>
  </sheetViews>
  <sheetFormatPr defaultColWidth="9.1796875" defaultRowHeight="14.5" x14ac:dyDescent="0.35"/>
  <cols>
    <col min="1" max="1" width="48.1796875" style="214" customWidth="1"/>
    <col min="2" max="2" width="43.1796875" style="214" customWidth="1"/>
    <col min="3" max="4" width="3.81640625" style="214" customWidth="1"/>
    <col min="5" max="5" width="27.54296875" style="214" customWidth="1"/>
    <col min="6" max="6" width="38.81640625" style="214" customWidth="1"/>
    <col min="7" max="7" width="3.81640625" style="214" customWidth="1"/>
    <col min="8" max="8" width="45.81640625" style="214" bestFit="1" customWidth="1"/>
    <col min="9" max="9" width="16" style="214" bestFit="1" customWidth="1"/>
    <col min="10" max="10" width="3.81640625" style="214" customWidth="1"/>
    <col min="11" max="11" width="42.453125" style="214" bestFit="1" customWidth="1"/>
    <col min="12" max="12" width="15.81640625" style="214" bestFit="1" customWidth="1"/>
    <col min="13" max="13" width="3.81640625" style="214" customWidth="1"/>
    <col min="14" max="14" width="46" style="214" bestFit="1" customWidth="1"/>
    <col min="15" max="15" width="11" style="214" bestFit="1" customWidth="1"/>
    <col min="16" max="16" width="3.81640625" style="214" customWidth="1"/>
    <col min="17" max="17" width="9.1796875" style="214" customWidth="1"/>
    <col min="18" max="18" width="14" style="214" bestFit="1" customWidth="1"/>
    <col min="19" max="20" width="3.81640625" style="214" customWidth="1"/>
    <col min="21" max="21" width="19.1796875" style="214" customWidth="1"/>
    <col min="22" max="23" width="16.81640625" style="214" customWidth="1"/>
    <col min="24" max="24" width="5.1796875" style="214" customWidth="1"/>
    <col min="25" max="25" width="25.54296875" style="214" customWidth="1"/>
    <col min="26" max="26" width="3.81640625" style="214" customWidth="1"/>
    <col min="27" max="27" width="33.81640625" style="214" customWidth="1"/>
    <col min="28" max="28" width="3.81640625" style="214" customWidth="1"/>
    <col min="29" max="29" width="29.81640625" style="214" bestFit="1" customWidth="1"/>
    <col min="30" max="30" width="19.54296875" style="214" bestFit="1" customWidth="1"/>
    <col min="31" max="31" width="3.81640625" style="214" customWidth="1"/>
    <col min="32" max="32" width="19.1796875" style="214" bestFit="1" customWidth="1"/>
    <col min="33" max="33" width="19.1796875" style="214" customWidth="1"/>
    <col min="34" max="35" width="3.81640625" style="214" customWidth="1"/>
    <col min="36" max="41" width="9.1796875" style="214" customWidth="1"/>
    <col min="42" max="16384" width="9.1796875" style="214"/>
  </cols>
  <sheetData>
    <row r="1" spans="1:48" ht="67.5" customHeight="1" x14ac:dyDescent="0.35">
      <c r="A1" s="227" t="s">
        <v>998</v>
      </c>
      <c r="B1" s="228" t="s">
        <v>999</v>
      </c>
      <c r="C1" s="216"/>
      <c r="D1" s="216"/>
      <c r="E1" s="231" t="s">
        <v>965</v>
      </c>
      <c r="F1" s="231" t="s">
        <v>1000</v>
      </c>
      <c r="G1" s="216"/>
      <c r="H1" s="231" t="s">
        <v>1001</v>
      </c>
      <c r="I1" s="231" t="s">
        <v>1002</v>
      </c>
      <c r="J1" s="94"/>
      <c r="K1" s="231" t="s">
        <v>1003</v>
      </c>
      <c r="L1" s="231" t="s">
        <v>1004</v>
      </c>
      <c r="M1" s="94"/>
      <c r="N1" s="231" t="s">
        <v>1005</v>
      </c>
      <c r="O1" s="231" t="s">
        <v>1006</v>
      </c>
      <c r="P1" s="94"/>
      <c r="Q1" s="231" t="s">
        <v>1007</v>
      </c>
      <c r="R1" s="231" t="s">
        <v>1008</v>
      </c>
      <c r="S1" s="94"/>
      <c r="U1" s="231" t="s">
        <v>1009</v>
      </c>
      <c r="V1" s="235" t="s">
        <v>1010</v>
      </c>
      <c r="W1" s="235" t="s">
        <v>1011</v>
      </c>
      <c r="Y1" s="231" t="s">
        <v>1012</v>
      </c>
      <c r="AA1" s="235" t="s">
        <v>1013</v>
      </c>
      <c r="AC1" s="231" t="s">
        <v>1014</v>
      </c>
      <c r="AD1" s="231" t="s">
        <v>1015</v>
      </c>
      <c r="AE1" s="94"/>
      <c r="AF1" s="235" t="s">
        <v>1016</v>
      </c>
      <c r="AG1" s="235" t="s">
        <v>1017</v>
      </c>
      <c r="AH1" s="94"/>
      <c r="AI1" s="214" t="s">
        <v>1018</v>
      </c>
      <c r="AJ1" s="94"/>
      <c r="AK1" s="94"/>
      <c r="AL1" s="94"/>
      <c r="AM1" s="94"/>
      <c r="AN1" s="94"/>
      <c r="AO1" s="94"/>
      <c r="AP1" s="94"/>
      <c r="AQ1" s="94"/>
      <c r="AR1" s="94"/>
      <c r="AS1" s="94"/>
      <c r="AV1" s="94"/>
    </row>
    <row r="2" spans="1:48" x14ac:dyDescent="0.35">
      <c r="A2" s="229" t="s">
        <v>1019</v>
      </c>
      <c r="B2" t="s">
        <v>1020</v>
      </c>
      <c r="C2" s="217"/>
      <c r="D2" s="217"/>
      <c r="E2" t="s">
        <v>126</v>
      </c>
      <c r="F2" s="232">
        <f>COUNTA(E:E)-1</f>
        <v>305</v>
      </c>
      <c r="G2" s="217"/>
      <c r="H2" t="s">
        <v>751</v>
      </c>
      <c r="I2" s="233">
        <f>COUNTA(H:H)-1</f>
        <v>107</v>
      </c>
      <c r="J2" s="220"/>
      <c r="K2" t="s">
        <v>122</v>
      </c>
      <c r="L2" s="233">
        <f>COUNTA(K:K)-1</f>
        <v>1</v>
      </c>
      <c r="M2" s="220"/>
      <c r="N2" t="s">
        <v>122</v>
      </c>
      <c r="O2" s="234">
        <f>COUNTA(N:N)-1</f>
        <v>1</v>
      </c>
      <c r="P2" s="218"/>
      <c r="Q2" s="243" t="s">
        <v>122</v>
      </c>
      <c r="R2" s="236">
        <v>1</v>
      </c>
      <c r="S2" s="93"/>
      <c r="U2" s="239" t="s">
        <v>963</v>
      </c>
      <c r="V2" s="238">
        <f>IF('Funnel Plot'!B11="Groin Hernia",2,3)</f>
        <v>3</v>
      </c>
      <c r="W2" s="237">
        <f>IF('Select 10 table'!B13="Groin Hernia",2,3)</f>
        <v>3</v>
      </c>
      <c r="Y2" s="239" t="s">
        <v>974</v>
      </c>
      <c r="AA2" s="239" t="s">
        <v>122</v>
      </c>
      <c r="AC2" s="239" t="s">
        <v>122</v>
      </c>
      <c r="AD2" s="237">
        <f>COUNTA(AC:AC)-1</f>
        <v>3</v>
      </c>
      <c r="AF2" s="239" t="s">
        <v>1021</v>
      </c>
      <c r="AG2" s="238">
        <f>COUNTA(AF:AF)-1</f>
        <v>2</v>
      </c>
      <c r="AI2" s="214" t="s">
        <v>1018</v>
      </c>
    </row>
    <row r="3" spans="1:48" x14ac:dyDescent="0.35">
      <c r="A3" s="229" t="s">
        <v>1022</v>
      </c>
      <c r="B3" t="s">
        <v>1023</v>
      </c>
      <c r="C3" s="217"/>
      <c r="D3" s="217"/>
      <c r="E3" t="s">
        <v>129</v>
      </c>
      <c r="F3" s="215"/>
      <c r="G3" s="217"/>
      <c r="H3" t="s">
        <v>754</v>
      </c>
      <c r="I3" s="220"/>
      <c r="J3" s="220"/>
      <c r="K3" s="219"/>
      <c r="L3" s="220"/>
      <c r="M3" s="220"/>
      <c r="N3" s="218"/>
      <c r="O3" s="218"/>
      <c r="P3" s="218"/>
      <c r="U3" s="241" t="s">
        <v>752</v>
      </c>
      <c r="Y3" s="241" t="s">
        <v>749</v>
      </c>
      <c r="AA3" s="241" t="s">
        <v>1024</v>
      </c>
      <c r="AC3" s="241" t="s">
        <v>1021</v>
      </c>
      <c r="AF3" s="240" t="s">
        <v>965</v>
      </c>
      <c r="AI3" s="214" t="s">
        <v>1018</v>
      </c>
    </row>
    <row r="4" spans="1:48" x14ac:dyDescent="0.35">
      <c r="A4" s="229" t="s">
        <v>1025</v>
      </c>
      <c r="B4" t="s">
        <v>1026</v>
      </c>
      <c r="C4" s="221"/>
      <c r="D4" s="221"/>
      <c r="E4" t="s">
        <v>131</v>
      </c>
      <c r="F4" s="215"/>
      <c r="G4" s="221"/>
      <c r="H4" t="s">
        <v>756</v>
      </c>
      <c r="I4" s="220"/>
      <c r="J4" s="220"/>
      <c r="K4" s="219"/>
      <c r="L4" s="220"/>
      <c r="M4" s="220"/>
      <c r="N4" s="218"/>
      <c r="O4" s="218"/>
      <c r="P4" s="218"/>
      <c r="U4" s="240" t="s">
        <v>964</v>
      </c>
      <c r="Y4" s="241" t="s">
        <v>967</v>
      </c>
      <c r="AA4" s="241" t="s">
        <v>1027</v>
      </c>
      <c r="AC4" s="240" t="s">
        <v>965</v>
      </c>
      <c r="AI4" s="214" t="s">
        <v>1018</v>
      </c>
    </row>
    <row r="5" spans="1:48" ht="15" customHeight="1" x14ac:dyDescent="0.35">
      <c r="A5" s="229" t="s">
        <v>1028</v>
      </c>
      <c r="B5" t="s">
        <v>1029</v>
      </c>
      <c r="C5" s="230" t="s">
        <v>1030</v>
      </c>
      <c r="D5" s="222"/>
      <c r="E5" t="s">
        <v>133</v>
      </c>
      <c r="F5" s="215"/>
      <c r="G5" s="222"/>
      <c r="H5" t="s">
        <v>758</v>
      </c>
      <c r="I5" s="220"/>
      <c r="J5" s="220"/>
      <c r="K5" s="219"/>
      <c r="L5" s="220"/>
      <c r="M5" s="220"/>
      <c r="N5" s="218"/>
      <c r="O5" s="218"/>
      <c r="P5" s="218"/>
      <c r="V5" s="94"/>
      <c r="W5" s="94"/>
      <c r="Y5" s="241" t="s">
        <v>975</v>
      </c>
      <c r="AA5" s="241" t="s">
        <v>1021</v>
      </c>
      <c r="AI5" s="214" t="s">
        <v>1018</v>
      </c>
    </row>
    <row r="6" spans="1:48" x14ac:dyDescent="0.35">
      <c r="A6" s="229" t="s">
        <v>1031</v>
      </c>
      <c r="B6" t="s">
        <v>1032</v>
      </c>
      <c r="C6" s="217"/>
      <c r="D6" s="217"/>
      <c r="E6" t="s">
        <v>135</v>
      </c>
      <c r="F6" s="215"/>
      <c r="G6" s="217"/>
      <c r="H6" t="s">
        <v>760</v>
      </c>
      <c r="I6" s="220"/>
      <c r="J6" s="220"/>
      <c r="K6" s="219"/>
      <c r="L6" s="220"/>
      <c r="M6" s="220"/>
      <c r="N6" s="218"/>
      <c r="O6" s="218"/>
      <c r="P6" s="218"/>
      <c r="U6" s="231" t="s">
        <v>1033</v>
      </c>
      <c r="Y6" s="241" t="s">
        <v>969</v>
      </c>
      <c r="AA6" s="240" t="s">
        <v>965</v>
      </c>
      <c r="AI6" s="214" t="s">
        <v>1018</v>
      </c>
    </row>
    <row r="7" spans="1:48" x14ac:dyDescent="0.35">
      <c r="B7"/>
      <c r="E7" t="s">
        <v>137</v>
      </c>
      <c r="F7" s="215"/>
      <c r="H7" t="s">
        <v>762</v>
      </c>
      <c r="I7" s="220"/>
      <c r="J7" s="220"/>
      <c r="K7" s="219"/>
      <c r="L7" s="220"/>
      <c r="M7" s="220"/>
      <c r="N7" s="218"/>
      <c r="O7" s="218"/>
      <c r="P7" s="218"/>
      <c r="U7" s="239" t="s">
        <v>963</v>
      </c>
      <c r="Y7" s="241" t="s">
        <v>973</v>
      </c>
      <c r="AI7" s="214" t="s">
        <v>1018</v>
      </c>
    </row>
    <row r="8" spans="1:48" x14ac:dyDescent="0.35">
      <c r="A8" s="229" t="s">
        <v>1034</v>
      </c>
      <c r="B8" s="396" t="s">
        <v>1035</v>
      </c>
      <c r="C8" s="223"/>
      <c r="D8" s="223"/>
      <c r="E8" t="s">
        <v>139</v>
      </c>
      <c r="F8" s="215"/>
      <c r="G8" s="223"/>
      <c r="H8" t="s">
        <v>764</v>
      </c>
      <c r="I8" s="220"/>
      <c r="J8" s="220"/>
      <c r="K8" s="219"/>
      <c r="L8" s="220"/>
      <c r="M8" s="220"/>
      <c r="N8" s="218"/>
      <c r="O8" s="218"/>
      <c r="P8" s="218"/>
      <c r="U8" s="241" t="s">
        <v>752</v>
      </c>
      <c r="AI8" s="214" t="s">
        <v>1018</v>
      </c>
    </row>
    <row r="9" spans="1:48" ht="31.5" customHeight="1" x14ac:dyDescent="0.35">
      <c r="C9" s="225"/>
      <c r="D9" s="225"/>
      <c r="E9" t="s">
        <v>141</v>
      </c>
      <c r="F9" s="215"/>
      <c r="G9" s="225"/>
      <c r="H9" t="s">
        <v>766</v>
      </c>
      <c r="I9" s="220"/>
      <c r="J9" s="220"/>
      <c r="K9" s="219"/>
      <c r="L9" s="220"/>
      <c r="M9" s="220"/>
      <c r="N9" s="218"/>
      <c r="O9" s="218"/>
      <c r="P9" s="218"/>
      <c r="U9" s="240" t="s">
        <v>964</v>
      </c>
      <c r="AI9" s="214" t="s">
        <v>1018</v>
      </c>
    </row>
    <row r="10" spans="1:48" ht="15" customHeight="1" x14ac:dyDescent="0.35">
      <c r="A10" s="408" t="s">
        <v>1036</v>
      </c>
      <c r="B10" s="409"/>
      <c r="E10" t="s">
        <v>143</v>
      </c>
      <c r="F10" s="215"/>
      <c r="H10" t="s">
        <v>768</v>
      </c>
      <c r="I10" s="220"/>
      <c r="J10" s="220"/>
      <c r="K10" s="219"/>
      <c r="L10" s="220"/>
      <c r="M10" s="220"/>
      <c r="N10" s="218"/>
      <c r="O10" s="218"/>
      <c r="P10" s="218"/>
      <c r="V10" s="94"/>
      <c r="W10" s="94"/>
      <c r="AI10" s="214" t="s">
        <v>1018</v>
      </c>
    </row>
    <row r="11" spans="1:48" ht="60" customHeight="1" x14ac:dyDescent="0.35">
      <c r="A11" s="224" t="str">
        <f ca="1">"Copyright © "&amp;YEAR(NOW())&amp;", Health and Social Care Information Centre. The Health and Social Care Information Centre is a non-departmental body created by statute, also known as NHS Digital."</f>
        <v>Copyright © 2024, Health and Social Care Information Centre. The Health and Social Care Information Centre is a non-departmental body created by statute, also known as NHS Digital.</v>
      </c>
      <c r="E11" t="s">
        <v>145</v>
      </c>
      <c r="F11" s="215"/>
      <c r="H11" t="s">
        <v>770</v>
      </c>
      <c r="I11" s="220"/>
      <c r="J11" s="220"/>
      <c r="K11" s="219"/>
      <c r="L11" s="220"/>
      <c r="M11" s="220"/>
      <c r="N11" s="218"/>
      <c r="O11" s="218"/>
      <c r="P11" s="218"/>
      <c r="U11" s="231" t="s">
        <v>1037</v>
      </c>
      <c r="AI11" s="214" t="s">
        <v>1018</v>
      </c>
    </row>
    <row r="12" spans="1:48" ht="30" customHeight="1" x14ac:dyDescent="0.35">
      <c r="A12" s="410"/>
      <c r="B12" s="411"/>
      <c r="E12" t="s">
        <v>147</v>
      </c>
      <c r="F12" s="215"/>
      <c r="H12" t="s">
        <v>772</v>
      </c>
      <c r="I12" s="220"/>
      <c r="J12" s="220"/>
      <c r="K12" s="219"/>
      <c r="L12" s="220"/>
      <c r="M12" s="220"/>
      <c r="U12" s="239" t="s">
        <v>963</v>
      </c>
      <c r="Y12" s="235" t="s">
        <v>1038</v>
      </c>
      <c r="AI12" s="214" t="s">
        <v>1018</v>
      </c>
    </row>
    <row r="13" spans="1:48" x14ac:dyDescent="0.35">
      <c r="E13" t="s">
        <v>149</v>
      </c>
      <c r="F13" s="215"/>
      <c r="H13" t="s">
        <v>774</v>
      </c>
      <c r="I13" s="220"/>
      <c r="J13" s="220"/>
      <c r="K13" s="219"/>
      <c r="L13" s="220"/>
      <c r="M13" s="220"/>
      <c r="U13" s="241" t="s">
        <v>752</v>
      </c>
      <c r="Y13" s="239" t="s">
        <v>974</v>
      </c>
      <c r="AI13" s="214" t="s">
        <v>1018</v>
      </c>
    </row>
    <row r="14" spans="1:48" x14ac:dyDescent="0.35">
      <c r="E14" t="s">
        <v>151</v>
      </c>
      <c r="F14" s="215"/>
      <c r="H14" t="s">
        <v>776</v>
      </c>
      <c r="I14" s="220"/>
      <c r="J14" s="220"/>
      <c r="K14" s="219"/>
      <c r="L14" s="220"/>
      <c r="M14" s="220"/>
      <c r="U14" s="240" t="s">
        <v>972</v>
      </c>
      <c r="Y14" s="241" t="s">
        <v>749</v>
      </c>
      <c r="AI14" s="214" t="s">
        <v>1018</v>
      </c>
    </row>
    <row r="15" spans="1:48" x14ac:dyDescent="0.35">
      <c r="E15" t="s">
        <v>153</v>
      </c>
      <c r="F15" s="215"/>
      <c r="H15" t="s">
        <v>778</v>
      </c>
      <c r="I15" s="220"/>
      <c r="J15" s="220"/>
      <c r="K15" s="219"/>
      <c r="L15" s="220"/>
      <c r="M15" s="220"/>
      <c r="V15" s="94"/>
      <c r="W15" s="94"/>
      <c r="Y15" s="241" t="s">
        <v>967</v>
      </c>
      <c r="AI15" s="214" t="s">
        <v>1018</v>
      </c>
    </row>
    <row r="16" spans="1:48" x14ac:dyDescent="0.35">
      <c r="E16" t="s">
        <v>155</v>
      </c>
      <c r="F16" s="215"/>
      <c r="H16" t="s">
        <v>780</v>
      </c>
      <c r="I16" s="220"/>
      <c r="J16" s="220"/>
      <c r="K16" s="219"/>
      <c r="L16" s="220"/>
      <c r="M16" s="220"/>
      <c r="U16" s="231" t="s">
        <v>1039</v>
      </c>
      <c r="Y16" s="241" t="s">
        <v>975</v>
      </c>
      <c r="AI16" s="214" t="s">
        <v>1018</v>
      </c>
    </row>
    <row r="17" spans="5:35" x14ac:dyDescent="0.35">
      <c r="E17" t="s">
        <v>157</v>
      </c>
      <c r="F17" s="215"/>
      <c r="H17" t="s">
        <v>782</v>
      </c>
      <c r="I17" s="220"/>
      <c r="J17" s="220"/>
      <c r="K17" s="219"/>
      <c r="L17" s="220"/>
      <c r="M17" s="220"/>
      <c r="U17" s="239" t="s">
        <v>963</v>
      </c>
      <c r="Y17" s="241" t="s">
        <v>969</v>
      </c>
      <c r="AI17" s="214" t="s">
        <v>1018</v>
      </c>
    </row>
    <row r="18" spans="5:35" x14ac:dyDescent="0.35">
      <c r="E18" t="s">
        <v>159</v>
      </c>
      <c r="F18" s="215"/>
      <c r="H18" t="s">
        <v>784</v>
      </c>
      <c r="I18" s="220"/>
      <c r="J18" s="220"/>
      <c r="K18" s="219"/>
      <c r="L18" s="220"/>
      <c r="M18" s="220"/>
      <c r="U18" s="241" t="s">
        <v>752</v>
      </c>
      <c r="Y18" s="241" t="s">
        <v>973</v>
      </c>
      <c r="AI18" s="214" t="s">
        <v>1018</v>
      </c>
    </row>
    <row r="19" spans="5:35" x14ac:dyDescent="0.35">
      <c r="E19" t="s">
        <v>161</v>
      </c>
      <c r="F19" s="215"/>
      <c r="H19" t="s">
        <v>786</v>
      </c>
      <c r="I19" s="220"/>
      <c r="J19" s="220"/>
      <c r="K19" s="219"/>
      <c r="L19" s="220"/>
      <c r="M19" s="220"/>
      <c r="U19" s="240" t="s">
        <v>972</v>
      </c>
      <c r="AI19" s="214" t="s">
        <v>1018</v>
      </c>
    </row>
    <row r="20" spans="5:35" x14ac:dyDescent="0.35">
      <c r="E20" t="s">
        <v>163</v>
      </c>
      <c r="F20" s="215"/>
      <c r="H20" t="s">
        <v>788</v>
      </c>
      <c r="I20" s="220"/>
      <c r="J20" s="220"/>
      <c r="K20" s="219"/>
      <c r="L20" s="220"/>
      <c r="M20" s="220"/>
      <c r="AC20" s="226"/>
      <c r="AI20" s="214" t="s">
        <v>1018</v>
      </c>
    </row>
    <row r="21" spans="5:35" x14ac:dyDescent="0.35">
      <c r="E21" t="s">
        <v>165</v>
      </c>
      <c r="F21" s="215"/>
      <c r="H21" t="s">
        <v>790</v>
      </c>
      <c r="I21" s="220"/>
      <c r="J21" s="220"/>
      <c r="K21" s="219"/>
      <c r="L21" s="220"/>
      <c r="M21" s="220"/>
      <c r="U21" s="231"/>
      <c r="AI21" s="214" t="s">
        <v>1018</v>
      </c>
    </row>
    <row r="22" spans="5:35" x14ac:dyDescent="0.35">
      <c r="E22" t="s">
        <v>167</v>
      </c>
      <c r="F22" s="215"/>
      <c r="H22" t="s">
        <v>792</v>
      </c>
      <c r="I22" s="220"/>
      <c r="J22" s="220"/>
      <c r="K22" s="219"/>
      <c r="L22" s="220"/>
      <c r="M22" s="220"/>
      <c r="U22" s="239"/>
      <c r="AI22" s="214" t="s">
        <v>1018</v>
      </c>
    </row>
    <row r="23" spans="5:35" x14ac:dyDescent="0.35">
      <c r="E23" t="s">
        <v>169</v>
      </c>
      <c r="F23" s="215"/>
      <c r="H23" t="s">
        <v>794</v>
      </c>
      <c r="I23" s="220"/>
      <c r="J23" s="220"/>
      <c r="K23" s="219"/>
      <c r="L23" s="220"/>
      <c r="M23" s="220"/>
      <c r="U23" s="241"/>
      <c r="AI23" s="214" t="s">
        <v>1018</v>
      </c>
    </row>
    <row r="24" spans="5:35" x14ac:dyDescent="0.35">
      <c r="E24" t="s">
        <v>171</v>
      </c>
      <c r="F24" s="215"/>
      <c r="H24" t="s">
        <v>796</v>
      </c>
      <c r="I24" s="220"/>
      <c r="J24" s="220"/>
      <c r="K24" s="219"/>
      <c r="L24" s="220"/>
      <c r="M24" s="220"/>
      <c r="U24" s="242"/>
      <c r="AI24" s="214" t="s">
        <v>1018</v>
      </c>
    </row>
    <row r="25" spans="5:35" x14ac:dyDescent="0.35">
      <c r="E25" t="s">
        <v>173</v>
      </c>
      <c r="F25" s="215"/>
      <c r="H25" t="s">
        <v>798</v>
      </c>
      <c r="I25" s="220"/>
      <c r="J25" s="220"/>
      <c r="K25" s="219"/>
      <c r="L25" s="220"/>
      <c r="M25" s="220"/>
      <c r="AI25" s="214" t="s">
        <v>1018</v>
      </c>
    </row>
    <row r="26" spans="5:35" x14ac:dyDescent="0.35">
      <c r="E26" t="s">
        <v>175</v>
      </c>
      <c r="F26" s="215"/>
      <c r="H26" t="s">
        <v>800</v>
      </c>
      <c r="I26" s="220"/>
      <c r="J26" s="220"/>
      <c r="K26" s="219"/>
      <c r="L26" s="220"/>
      <c r="M26" s="220"/>
      <c r="AI26" s="214" t="s">
        <v>1018</v>
      </c>
    </row>
    <row r="27" spans="5:35" x14ac:dyDescent="0.35">
      <c r="E27" t="s">
        <v>177</v>
      </c>
      <c r="F27" s="215"/>
      <c r="H27" t="s">
        <v>802</v>
      </c>
      <c r="I27" s="220"/>
      <c r="J27" s="220"/>
      <c r="K27" s="219"/>
      <c r="L27" s="220"/>
      <c r="M27" s="220"/>
      <c r="AI27" s="214" t="s">
        <v>1018</v>
      </c>
    </row>
    <row r="28" spans="5:35" x14ac:dyDescent="0.35">
      <c r="E28" t="s">
        <v>179</v>
      </c>
      <c r="F28" s="215"/>
      <c r="H28" t="s">
        <v>804</v>
      </c>
      <c r="I28" s="220"/>
      <c r="J28" s="220"/>
      <c r="K28" s="219"/>
      <c r="L28" s="220"/>
      <c r="M28" s="220"/>
      <c r="AI28" s="214" t="s">
        <v>1018</v>
      </c>
    </row>
    <row r="29" spans="5:35" x14ac:dyDescent="0.35">
      <c r="E29" t="s">
        <v>181</v>
      </c>
      <c r="F29" s="215"/>
      <c r="H29" t="s">
        <v>806</v>
      </c>
      <c r="I29" s="220"/>
      <c r="J29" s="220"/>
      <c r="K29" s="219"/>
      <c r="L29" s="220"/>
      <c r="M29" s="220"/>
      <c r="AI29" s="214" t="s">
        <v>1018</v>
      </c>
    </row>
    <row r="30" spans="5:35" x14ac:dyDescent="0.35">
      <c r="E30" t="s">
        <v>183</v>
      </c>
      <c r="F30" s="215"/>
      <c r="H30" t="s">
        <v>808</v>
      </c>
      <c r="I30" s="220"/>
      <c r="J30" s="220"/>
      <c r="K30" s="219"/>
      <c r="L30" s="220"/>
      <c r="M30" s="220"/>
      <c r="AI30" s="214" t="s">
        <v>1018</v>
      </c>
    </row>
    <row r="31" spans="5:35" x14ac:dyDescent="0.35">
      <c r="E31" t="s">
        <v>185</v>
      </c>
      <c r="F31" s="215"/>
      <c r="H31" t="s">
        <v>810</v>
      </c>
      <c r="I31" s="220"/>
      <c r="J31" s="220"/>
      <c r="K31" s="219"/>
      <c r="L31" s="220"/>
      <c r="M31" s="220"/>
      <c r="AI31" s="214" t="s">
        <v>1018</v>
      </c>
    </row>
    <row r="32" spans="5:35" x14ac:dyDescent="0.35">
      <c r="E32" t="s">
        <v>187</v>
      </c>
      <c r="F32" s="215"/>
      <c r="H32" t="s">
        <v>812</v>
      </c>
      <c r="I32" s="220"/>
      <c r="J32" s="220"/>
      <c r="K32" s="219"/>
      <c r="L32" s="220"/>
      <c r="M32" s="220"/>
      <c r="AI32" s="214" t="s">
        <v>1018</v>
      </c>
    </row>
    <row r="33" spans="5:36" x14ac:dyDescent="0.35">
      <c r="E33" t="s">
        <v>189</v>
      </c>
      <c r="F33" s="215"/>
      <c r="H33" t="s">
        <v>814</v>
      </c>
      <c r="I33" s="220"/>
      <c r="J33" s="220"/>
      <c r="K33" s="219"/>
      <c r="L33" s="220"/>
      <c r="M33" s="220"/>
      <c r="AI33" s="214" t="s">
        <v>1018</v>
      </c>
    </row>
    <row r="34" spans="5:36" x14ac:dyDescent="0.35">
      <c r="E34" t="s">
        <v>191</v>
      </c>
      <c r="F34" s="215"/>
      <c r="H34" t="s">
        <v>816</v>
      </c>
      <c r="I34" s="220"/>
      <c r="J34" s="220"/>
      <c r="K34" s="219"/>
      <c r="L34" s="220"/>
      <c r="M34" s="220"/>
      <c r="AI34" s="214" t="s">
        <v>1018</v>
      </c>
    </row>
    <row r="35" spans="5:36" x14ac:dyDescent="0.35">
      <c r="E35" t="s">
        <v>193</v>
      </c>
      <c r="F35" s="215"/>
      <c r="H35" t="s">
        <v>818</v>
      </c>
      <c r="I35" s="220"/>
      <c r="J35" s="220"/>
      <c r="K35" s="219"/>
      <c r="L35" s="220"/>
      <c r="M35" s="220"/>
      <c r="AI35" s="214" t="s">
        <v>1018</v>
      </c>
    </row>
    <row r="36" spans="5:36" x14ac:dyDescent="0.35">
      <c r="E36" t="s">
        <v>195</v>
      </c>
      <c r="F36" s="215"/>
      <c r="H36" t="s">
        <v>820</v>
      </c>
      <c r="I36" s="220"/>
      <c r="J36" s="220"/>
      <c r="K36" s="219"/>
      <c r="L36" s="220"/>
      <c r="M36" s="220"/>
      <c r="AI36" s="214" t="s">
        <v>1018</v>
      </c>
      <c r="AJ36" s="94"/>
    </row>
    <row r="37" spans="5:36" x14ac:dyDescent="0.35">
      <c r="E37" t="s">
        <v>197</v>
      </c>
      <c r="F37" s="215"/>
      <c r="H37" t="s">
        <v>822</v>
      </c>
      <c r="I37" s="220"/>
      <c r="J37" s="220"/>
      <c r="K37" s="219"/>
      <c r="L37" s="220"/>
      <c r="M37" s="220"/>
      <c r="AI37" s="214" t="s">
        <v>1018</v>
      </c>
    </row>
    <row r="38" spans="5:36" x14ac:dyDescent="0.35">
      <c r="E38" t="s">
        <v>199</v>
      </c>
      <c r="F38" s="215"/>
      <c r="H38" t="s">
        <v>824</v>
      </c>
      <c r="I38" s="220"/>
      <c r="J38" s="220"/>
      <c r="K38" s="219"/>
      <c r="L38" s="220"/>
      <c r="M38" s="220"/>
      <c r="AI38" s="214" t="s">
        <v>1018</v>
      </c>
    </row>
    <row r="39" spans="5:36" x14ac:dyDescent="0.35">
      <c r="E39" t="s">
        <v>201</v>
      </c>
      <c r="F39" s="215"/>
      <c r="H39" t="s">
        <v>826</v>
      </c>
      <c r="I39" s="220"/>
      <c r="J39" s="220"/>
      <c r="K39" s="219"/>
      <c r="L39" s="220"/>
      <c r="M39" s="220"/>
      <c r="AI39" s="214" t="s">
        <v>1018</v>
      </c>
    </row>
    <row r="40" spans="5:36" x14ac:dyDescent="0.35">
      <c r="E40" t="s">
        <v>203</v>
      </c>
      <c r="F40" s="215"/>
      <c r="H40" t="s">
        <v>828</v>
      </c>
      <c r="I40" s="220"/>
      <c r="J40" s="220"/>
      <c r="K40" s="219"/>
      <c r="L40" s="220"/>
      <c r="M40" s="220"/>
      <c r="AI40" s="214" t="s">
        <v>1018</v>
      </c>
    </row>
    <row r="41" spans="5:36" x14ac:dyDescent="0.35">
      <c r="E41" t="s">
        <v>205</v>
      </c>
      <c r="F41" s="215"/>
      <c r="H41" t="s">
        <v>830</v>
      </c>
      <c r="I41" s="220"/>
      <c r="J41" s="220"/>
      <c r="K41" s="219"/>
      <c r="L41" s="220"/>
      <c r="M41" s="220"/>
      <c r="AI41" s="214" t="s">
        <v>1018</v>
      </c>
    </row>
    <row r="42" spans="5:36" x14ac:dyDescent="0.35">
      <c r="E42" t="s">
        <v>207</v>
      </c>
      <c r="F42" s="215"/>
      <c r="H42" t="s">
        <v>832</v>
      </c>
      <c r="I42" s="220"/>
      <c r="J42" s="220"/>
      <c r="K42" s="219"/>
      <c r="L42" s="220"/>
      <c r="M42" s="220"/>
      <c r="AI42" s="214" t="s">
        <v>1018</v>
      </c>
    </row>
    <row r="43" spans="5:36" x14ac:dyDescent="0.35">
      <c r="E43" t="s">
        <v>209</v>
      </c>
      <c r="F43" s="215"/>
      <c r="H43" t="s">
        <v>834</v>
      </c>
      <c r="I43" s="220"/>
      <c r="J43" s="220"/>
      <c r="K43" s="219"/>
      <c r="L43" s="220"/>
      <c r="M43" s="220"/>
      <c r="AI43" s="214" t="s">
        <v>1018</v>
      </c>
    </row>
    <row r="44" spans="5:36" x14ac:dyDescent="0.35">
      <c r="E44" t="s">
        <v>211</v>
      </c>
      <c r="F44" s="215"/>
      <c r="H44" t="s">
        <v>836</v>
      </c>
      <c r="I44" s="220"/>
      <c r="J44" s="220"/>
      <c r="K44" s="219"/>
      <c r="L44" s="220"/>
      <c r="M44" s="220"/>
      <c r="AI44" s="214" t="s">
        <v>1018</v>
      </c>
    </row>
    <row r="45" spans="5:36" x14ac:dyDescent="0.35">
      <c r="E45" t="s">
        <v>213</v>
      </c>
      <c r="F45" s="215"/>
      <c r="H45" t="s">
        <v>838</v>
      </c>
      <c r="I45" s="220"/>
      <c r="J45" s="220"/>
      <c r="K45" s="219"/>
      <c r="L45" s="220"/>
      <c r="M45" s="220"/>
      <c r="AI45" s="214" t="s">
        <v>1018</v>
      </c>
    </row>
    <row r="46" spans="5:36" x14ac:dyDescent="0.35">
      <c r="E46" t="s">
        <v>215</v>
      </c>
      <c r="F46" s="215"/>
      <c r="H46" t="s">
        <v>840</v>
      </c>
      <c r="I46" s="220"/>
      <c r="J46" s="220"/>
      <c r="K46" s="219"/>
      <c r="L46" s="220"/>
      <c r="M46" s="220"/>
      <c r="AI46" s="214" t="s">
        <v>1018</v>
      </c>
    </row>
    <row r="47" spans="5:36" x14ac:dyDescent="0.35">
      <c r="E47" t="s">
        <v>217</v>
      </c>
      <c r="F47" s="215"/>
      <c r="H47" t="s">
        <v>842</v>
      </c>
      <c r="I47" s="220"/>
      <c r="J47" s="220"/>
      <c r="K47" s="219"/>
      <c r="L47" s="220"/>
      <c r="M47" s="220"/>
      <c r="AI47" s="214" t="s">
        <v>1018</v>
      </c>
    </row>
    <row r="48" spans="5:36" x14ac:dyDescent="0.35">
      <c r="E48" t="s">
        <v>219</v>
      </c>
      <c r="F48" s="215"/>
      <c r="H48" t="s">
        <v>844</v>
      </c>
      <c r="I48" s="220"/>
      <c r="J48" s="220"/>
      <c r="K48" s="219"/>
      <c r="L48" s="220"/>
      <c r="M48" s="220"/>
      <c r="AI48" s="214" t="s">
        <v>1018</v>
      </c>
    </row>
    <row r="49" spans="5:35" x14ac:dyDescent="0.35">
      <c r="E49" t="s">
        <v>221</v>
      </c>
      <c r="F49" s="215"/>
      <c r="H49" t="s">
        <v>846</v>
      </c>
      <c r="I49" s="220"/>
      <c r="J49" s="220"/>
      <c r="K49" s="219"/>
      <c r="L49" s="220"/>
      <c r="M49" s="220"/>
      <c r="AI49" s="214" t="s">
        <v>1018</v>
      </c>
    </row>
    <row r="50" spans="5:35" x14ac:dyDescent="0.35">
      <c r="E50" t="s">
        <v>223</v>
      </c>
      <c r="F50" s="215"/>
      <c r="H50" t="s">
        <v>848</v>
      </c>
      <c r="I50" s="220"/>
      <c r="J50" s="220"/>
      <c r="K50" s="219"/>
      <c r="L50" s="220"/>
      <c r="M50" s="220"/>
      <c r="AI50" s="214" t="s">
        <v>1018</v>
      </c>
    </row>
    <row r="51" spans="5:35" x14ac:dyDescent="0.35">
      <c r="E51" t="s">
        <v>225</v>
      </c>
      <c r="F51" s="215"/>
      <c r="H51" t="s">
        <v>850</v>
      </c>
      <c r="I51" s="220"/>
      <c r="J51" s="220"/>
      <c r="K51" s="219"/>
      <c r="L51" s="220"/>
      <c r="M51" s="220"/>
      <c r="AI51" s="214" t="s">
        <v>1018</v>
      </c>
    </row>
    <row r="52" spans="5:35" x14ac:dyDescent="0.35">
      <c r="E52" t="s">
        <v>227</v>
      </c>
      <c r="F52" s="215"/>
      <c r="H52" t="s">
        <v>852</v>
      </c>
      <c r="I52" s="220"/>
      <c r="J52" s="220"/>
      <c r="K52" s="219"/>
      <c r="L52" s="220"/>
      <c r="M52" s="220"/>
      <c r="AI52" s="214" t="s">
        <v>1018</v>
      </c>
    </row>
    <row r="53" spans="5:35" x14ac:dyDescent="0.35">
      <c r="E53" t="s">
        <v>229</v>
      </c>
      <c r="F53" s="215"/>
      <c r="H53" t="s">
        <v>854</v>
      </c>
      <c r="I53" s="220"/>
      <c r="J53" s="220"/>
      <c r="K53" s="219"/>
      <c r="L53" s="220"/>
      <c r="M53" s="220"/>
      <c r="AI53" s="214" t="s">
        <v>1018</v>
      </c>
    </row>
    <row r="54" spans="5:35" x14ac:dyDescent="0.35">
      <c r="E54" t="s">
        <v>231</v>
      </c>
      <c r="F54" s="215"/>
      <c r="H54" t="s">
        <v>856</v>
      </c>
      <c r="I54" s="220"/>
      <c r="J54" s="220"/>
      <c r="K54" s="219"/>
      <c r="L54" s="220"/>
      <c r="M54" s="220"/>
      <c r="AI54" s="214" t="s">
        <v>1018</v>
      </c>
    </row>
    <row r="55" spans="5:35" x14ac:dyDescent="0.35">
      <c r="E55" t="s">
        <v>233</v>
      </c>
      <c r="F55" s="215"/>
      <c r="H55" t="s">
        <v>858</v>
      </c>
      <c r="I55" s="220"/>
      <c r="J55" s="220"/>
      <c r="K55" s="219"/>
      <c r="L55" s="220"/>
      <c r="M55" s="220"/>
      <c r="AI55" s="214" t="s">
        <v>1018</v>
      </c>
    </row>
    <row r="56" spans="5:35" x14ac:dyDescent="0.35">
      <c r="E56" t="s">
        <v>235</v>
      </c>
      <c r="F56" s="215"/>
      <c r="H56" t="s">
        <v>860</v>
      </c>
      <c r="I56" s="220"/>
      <c r="J56" s="220"/>
      <c r="K56" s="219"/>
      <c r="L56" s="220"/>
      <c r="M56" s="220"/>
      <c r="AI56" s="214" t="s">
        <v>1018</v>
      </c>
    </row>
    <row r="57" spans="5:35" x14ac:dyDescent="0.35">
      <c r="E57" t="s">
        <v>237</v>
      </c>
      <c r="F57" s="215"/>
      <c r="H57" t="s">
        <v>862</v>
      </c>
      <c r="I57" s="220"/>
      <c r="J57" s="220"/>
      <c r="K57" s="219"/>
      <c r="L57" s="220"/>
      <c r="M57" s="220"/>
      <c r="AI57" s="214" t="s">
        <v>1018</v>
      </c>
    </row>
    <row r="58" spans="5:35" x14ac:dyDescent="0.35">
      <c r="E58" t="s">
        <v>123</v>
      </c>
      <c r="F58" s="215"/>
      <c r="H58" t="s">
        <v>864</v>
      </c>
      <c r="I58" s="220"/>
      <c r="J58" s="220"/>
      <c r="K58" s="219"/>
      <c r="L58" s="220"/>
      <c r="M58" s="220"/>
      <c r="AI58" s="214" t="s">
        <v>1018</v>
      </c>
    </row>
    <row r="59" spans="5:35" x14ac:dyDescent="0.35">
      <c r="E59" t="s">
        <v>123</v>
      </c>
      <c r="F59" s="215"/>
      <c r="H59" t="s">
        <v>866</v>
      </c>
      <c r="I59" s="220"/>
      <c r="J59" s="220"/>
      <c r="K59" s="219"/>
      <c r="L59" s="220"/>
      <c r="M59" s="220"/>
      <c r="AI59" s="214" t="s">
        <v>1018</v>
      </c>
    </row>
    <row r="60" spans="5:35" x14ac:dyDescent="0.35">
      <c r="E60" t="s">
        <v>239</v>
      </c>
      <c r="F60" s="215"/>
      <c r="H60" t="s">
        <v>868</v>
      </c>
      <c r="I60" s="220"/>
      <c r="J60" s="220"/>
      <c r="K60" s="219"/>
      <c r="L60" s="220"/>
      <c r="M60" s="220"/>
      <c r="AI60" s="214" t="s">
        <v>1018</v>
      </c>
    </row>
    <row r="61" spans="5:35" x14ac:dyDescent="0.35">
      <c r="E61" t="s">
        <v>241</v>
      </c>
      <c r="F61" s="215"/>
      <c r="H61" t="s">
        <v>870</v>
      </c>
      <c r="I61" s="220"/>
      <c r="J61" s="220"/>
      <c r="K61" s="219"/>
      <c r="L61" s="220"/>
      <c r="M61" s="220"/>
      <c r="AI61" s="214" t="s">
        <v>1018</v>
      </c>
    </row>
    <row r="62" spans="5:35" x14ac:dyDescent="0.35">
      <c r="E62" t="s">
        <v>243</v>
      </c>
      <c r="F62" s="215"/>
      <c r="H62" t="s">
        <v>872</v>
      </c>
      <c r="I62" s="220"/>
      <c r="J62" s="220"/>
      <c r="K62" s="219"/>
      <c r="L62" s="220"/>
      <c r="M62" s="220"/>
      <c r="AI62" s="214" t="s">
        <v>1018</v>
      </c>
    </row>
    <row r="63" spans="5:35" x14ac:dyDescent="0.35">
      <c r="E63" t="s">
        <v>245</v>
      </c>
      <c r="F63" s="215"/>
      <c r="H63" t="s">
        <v>874</v>
      </c>
      <c r="I63" s="220"/>
      <c r="J63" s="220"/>
      <c r="K63" s="219"/>
      <c r="L63" s="220"/>
      <c r="M63" s="220"/>
      <c r="AI63" s="214" t="s">
        <v>1018</v>
      </c>
    </row>
    <row r="64" spans="5:35" x14ac:dyDescent="0.35">
      <c r="E64" t="s">
        <v>247</v>
      </c>
      <c r="F64" s="215"/>
      <c r="H64" t="s">
        <v>876</v>
      </c>
      <c r="I64" s="220"/>
      <c r="J64" s="220"/>
      <c r="K64" s="219"/>
      <c r="L64" s="220"/>
      <c r="M64" s="220"/>
      <c r="AI64" s="214" t="s">
        <v>1018</v>
      </c>
    </row>
    <row r="65" spans="5:35" x14ac:dyDescent="0.35">
      <c r="E65" t="s">
        <v>249</v>
      </c>
      <c r="F65" s="215"/>
      <c r="H65" t="s">
        <v>878</v>
      </c>
      <c r="I65" s="220"/>
      <c r="J65" s="220"/>
      <c r="K65" s="219"/>
      <c r="L65" s="220"/>
      <c r="M65" s="220"/>
      <c r="AI65" s="214" t="s">
        <v>1018</v>
      </c>
    </row>
    <row r="66" spans="5:35" x14ac:dyDescent="0.35">
      <c r="E66" t="s">
        <v>251</v>
      </c>
      <c r="F66" s="215"/>
      <c r="H66" t="s">
        <v>880</v>
      </c>
      <c r="I66" s="220"/>
      <c r="J66" s="220"/>
      <c r="K66" s="219"/>
      <c r="L66" s="220"/>
      <c r="M66" s="220"/>
      <c r="AI66" s="214" t="s">
        <v>1018</v>
      </c>
    </row>
    <row r="67" spans="5:35" x14ac:dyDescent="0.35">
      <c r="E67" t="s">
        <v>253</v>
      </c>
      <c r="F67" s="215"/>
      <c r="H67" t="s">
        <v>882</v>
      </c>
      <c r="I67" s="220"/>
      <c r="J67" s="220"/>
      <c r="K67" s="219"/>
      <c r="L67" s="220"/>
      <c r="M67" s="220"/>
      <c r="AI67" s="214" t="s">
        <v>1018</v>
      </c>
    </row>
    <row r="68" spans="5:35" x14ac:dyDescent="0.35">
      <c r="E68" t="s">
        <v>255</v>
      </c>
      <c r="F68" s="215"/>
      <c r="H68" t="s">
        <v>884</v>
      </c>
      <c r="I68" s="220"/>
      <c r="J68" s="220"/>
      <c r="K68" s="219"/>
      <c r="L68" s="220"/>
      <c r="M68" s="220"/>
      <c r="AI68" s="214" t="s">
        <v>1018</v>
      </c>
    </row>
    <row r="69" spans="5:35" x14ac:dyDescent="0.35">
      <c r="E69" t="s">
        <v>257</v>
      </c>
      <c r="F69" s="215"/>
      <c r="H69" t="s">
        <v>886</v>
      </c>
      <c r="I69" s="220"/>
      <c r="J69" s="220"/>
      <c r="K69" s="219"/>
      <c r="L69" s="220"/>
      <c r="M69" s="220"/>
      <c r="AI69" s="214" t="s">
        <v>1018</v>
      </c>
    </row>
    <row r="70" spans="5:35" x14ac:dyDescent="0.35">
      <c r="E70" t="s">
        <v>259</v>
      </c>
      <c r="F70" s="215"/>
      <c r="H70" t="s">
        <v>888</v>
      </c>
      <c r="I70" s="220"/>
      <c r="J70" s="220"/>
      <c r="K70" s="219"/>
      <c r="L70" s="220"/>
      <c r="M70" s="220"/>
      <c r="AI70" s="214" t="s">
        <v>1018</v>
      </c>
    </row>
    <row r="71" spans="5:35" x14ac:dyDescent="0.35">
      <c r="E71" t="s">
        <v>261</v>
      </c>
      <c r="F71" s="215"/>
      <c r="H71" t="s">
        <v>890</v>
      </c>
      <c r="I71" s="220"/>
      <c r="J71" s="220"/>
      <c r="K71" s="219"/>
      <c r="L71" s="220"/>
      <c r="M71" s="220"/>
      <c r="AI71" s="214" t="s">
        <v>1018</v>
      </c>
    </row>
    <row r="72" spans="5:35" x14ac:dyDescent="0.35">
      <c r="E72" t="s">
        <v>263</v>
      </c>
      <c r="F72" s="215"/>
      <c r="H72" t="s">
        <v>892</v>
      </c>
      <c r="I72" s="220"/>
      <c r="J72" s="220"/>
      <c r="K72" s="219"/>
      <c r="L72" s="220"/>
      <c r="M72" s="220"/>
      <c r="AI72" s="214" t="s">
        <v>1018</v>
      </c>
    </row>
    <row r="73" spans="5:35" x14ac:dyDescent="0.35">
      <c r="E73" t="s">
        <v>265</v>
      </c>
      <c r="F73" s="215"/>
      <c r="H73" t="s">
        <v>894</v>
      </c>
      <c r="I73" s="220"/>
      <c r="J73" s="220"/>
      <c r="K73" s="219"/>
      <c r="L73" s="220"/>
      <c r="M73" s="220"/>
      <c r="AI73" s="214" t="s">
        <v>1018</v>
      </c>
    </row>
    <row r="74" spans="5:35" x14ac:dyDescent="0.35">
      <c r="E74" t="s">
        <v>267</v>
      </c>
      <c r="F74" s="215"/>
      <c r="H74" t="s">
        <v>896</v>
      </c>
      <c r="I74" s="220"/>
      <c r="J74" s="220"/>
      <c r="K74" s="219"/>
      <c r="L74" s="220"/>
      <c r="M74" s="220"/>
      <c r="AI74" s="214" t="s">
        <v>1018</v>
      </c>
    </row>
    <row r="75" spans="5:35" x14ac:dyDescent="0.35">
      <c r="E75" t="s">
        <v>269</v>
      </c>
      <c r="F75" s="215"/>
      <c r="H75" t="s">
        <v>898</v>
      </c>
      <c r="I75" s="220"/>
      <c r="J75" s="220"/>
      <c r="K75" s="219"/>
      <c r="L75" s="220"/>
      <c r="M75" s="220"/>
      <c r="AI75" s="214" t="s">
        <v>1018</v>
      </c>
    </row>
    <row r="76" spans="5:35" x14ac:dyDescent="0.35">
      <c r="E76" t="s">
        <v>271</v>
      </c>
      <c r="F76" s="215"/>
      <c r="H76" t="s">
        <v>900</v>
      </c>
      <c r="I76" s="220"/>
      <c r="J76" s="220"/>
      <c r="K76" s="219"/>
      <c r="L76" s="220"/>
      <c r="M76" s="220"/>
      <c r="AI76" s="214" t="s">
        <v>1018</v>
      </c>
    </row>
    <row r="77" spans="5:35" x14ac:dyDescent="0.35">
      <c r="E77" t="s">
        <v>273</v>
      </c>
      <c r="F77" s="215"/>
      <c r="H77" t="s">
        <v>902</v>
      </c>
      <c r="I77" s="220"/>
      <c r="J77" s="220"/>
      <c r="K77" s="219"/>
      <c r="L77" s="220"/>
      <c r="M77" s="220"/>
      <c r="AI77" s="214" t="s">
        <v>1018</v>
      </c>
    </row>
    <row r="78" spans="5:35" x14ac:dyDescent="0.35">
      <c r="E78" t="s">
        <v>275</v>
      </c>
      <c r="F78" s="215"/>
      <c r="H78" t="s">
        <v>904</v>
      </c>
      <c r="I78" s="220"/>
      <c r="J78" s="220"/>
      <c r="K78" s="219"/>
      <c r="L78" s="220"/>
      <c r="M78" s="220"/>
      <c r="AI78" s="214" t="s">
        <v>1018</v>
      </c>
    </row>
    <row r="79" spans="5:35" x14ac:dyDescent="0.35">
      <c r="E79" t="s">
        <v>277</v>
      </c>
      <c r="F79" s="215"/>
      <c r="H79" t="s">
        <v>906</v>
      </c>
      <c r="I79" s="220"/>
      <c r="J79" s="220"/>
      <c r="K79" s="219"/>
      <c r="L79" s="220"/>
      <c r="M79" s="220"/>
      <c r="AI79" s="214" t="s">
        <v>1018</v>
      </c>
    </row>
    <row r="80" spans="5:35" x14ac:dyDescent="0.35">
      <c r="E80" t="s">
        <v>279</v>
      </c>
      <c r="F80" s="215"/>
      <c r="H80" t="s">
        <v>908</v>
      </c>
      <c r="I80" s="220"/>
      <c r="J80" s="220"/>
      <c r="K80" s="219"/>
      <c r="L80" s="220"/>
      <c r="M80" s="220"/>
      <c r="AI80" s="214" t="s">
        <v>1018</v>
      </c>
    </row>
    <row r="81" spans="5:35" x14ac:dyDescent="0.35">
      <c r="E81" t="s">
        <v>281</v>
      </c>
      <c r="F81" s="215"/>
      <c r="H81" t="s">
        <v>910</v>
      </c>
      <c r="I81" s="220"/>
      <c r="J81" s="220"/>
      <c r="K81" s="219"/>
      <c r="L81" s="220"/>
      <c r="M81" s="220"/>
      <c r="AI81" s="214" t="s">
        <v>1018</v>
      </c>
    </row>
    <row r="82" spans="5:35" x14ac:dyDescent="0.35">
      <c r="E82" t="s">
        <v>283</v>
      </c>
      <c r="F82" s="215"/>
      <c r="H82" t="s">
        <v>912</v>
      </c>
      <c r="I82" s="220"/>
      <c r="J82" s="220"/>
      <c r="K82" s="219"/>
      <c r="L82" s="220"/>
      <c r="M82" s="220"/>
      <c r="AI82" s="214" t="s">
        <v>1018</v>
      </c>
    </row>
    <row r="83" spans="5:35" x14ac:dyDescent="0.35">
      <c r="E83" t="s">
        <v>285</v>
      </c>
      <c r="F83" s="215"/>
      <c r="H83" t="s">
        <v>914</v>
      </c>
      <c r="I83" s="220"/>
      <c r="J83" s="220"/>
      <c r="K83" s="219"/>
      <c r="L83" s="220"/>
      <c r="M83" s="220"/>
      <c r="AI83" s="214" t="s">
        <v>1018</v>
      </c>
    </row>
    <row r="84" spans="5:35" x14ac:dyDescent="0.35">
      <c r="E84" t="s">
        <v>287</v>
      </c>
      <c r="F84" s="215"/>
      <c r="H84" t="s">
        <v>916</v>
      </c>
      <c r="I84" s="220"/>
      <c r="J84" s="220"/>
      <c r="K84" s="219"/>
      <c r="L84" s="220"/>
      <c r="M84" s="220"/>
      <c r="AI84" s="214" t="s">
        <v>1018</v>
      </c>
    </row>
    <row r="85" spans="5:35" x14ac:dyDescent="0.35">
      <c r="E85" t="s">
        <v>289</v>
      </c>
      <c r="F85" s="215"/>
      <c r="H85" t="s">
        <v>918</v>
      </c>
      <c r="I85" s="220"/>
      <c r="J85" s="220"/>
      <c r="K85" s="219"/>
      <c r="L85" s="220"/>
      <c r="M85" s="220"/>
      <c r="AI85" s="214" t="s">
        <v>1018</v>
      </c>
    </row>
    <row r="86" spans="5:35" x14ac:dyDescent="0.35">
      <c r="E86" t="s">
        <v>291</v>
      </c>
      <c r="F86" s="215"/>
      <c r="H86" t="s">
        <v>920</v>
      </c>
      <c r="I86" s="220"/>
      <c r="J86" s="220"/>
      <c r="K86" s="219"/>
      <c r="L86" s="220"/>
      <c r="M86" s="220"/>
      <c r="AI86" s="214" t="s">
        <v>1018</v>
      </c>
    </row>
    <row r="87" spans="5:35" x14ac:dyDescent="0.35">
      <c r="E87" t="s">
        <v>293</v>
      </c>
      <c r="F87" s="215"/>
      <c r="H87" t="s">
        <v>922</v>
      </c>
      <c r="I87" s="220"/>
      <c r="J87" s="220"/>
      <c r="K87" s="219"/>
      <c r="L87" s="220"/>
      <c r="M87" s="220"/>
      <c r="AI87" s="214" t="s">
        <v>1018</v>
      </c>
    </row>
    <row r="88" spans="5:35" x14ac:dyDescent="0.35">
      <c r="E88" t="s">
        <v>295</v>
      </c>
      <c r="F88" s="215"/>
      <c r="H88" t="s">
        <v>924</v>
      </c>
      <c r="I88" s="220"/>
      <c r="J88" s="220"/>
      <c r="K88" s="219"/>
      <c r="L88" s="220"/>
      <c r="M88" s="220"/>
      <c r="AI88" s="214" t="s">
        <v>1018</v>
      </c>
    </row>
    <row r="89" spans="5:35" x14ac:dyDescent="0.35">
      <c r="E89" t="s">
        <v>297</v>
      </c>
      <c r="F89" s="215"/>
      <c r="H89" t="s">
        <v>926</v>
      </c>
      <c r="I89" s="220"/>
      <c r="J89" s="220"/>
      <c r="K89" s="219"/>
      <c r="L89" s="220"/>
      <c r="M89" s="220"/>
      <c r="AI89" s="214" t="s">
        <v>1018</v>
      </c>
    </row>
    <row r="90" spans="5:35" x14ac:dyDescent="0.35">
      <c r="E90" t="s">
        <v>299</v>
      </c>
      <c r="F90" s="215"/>
      <c r="H90" t="s">
        <v>928</v>
      </c>
      <c r="I90" s="220"/>
      <c r="J90" s="220"/>
      <c r="K90" s="219"/>
      <c r="L90" s="220"/>
      <c r="M90" s="220"/>
      <c r="AI90" s="214" t="s">
        <v>1018</v>
      </c>
    </row>
    <row r="91" spans="5:35" x14ac:dyDescent="0.35">
      <c r="E91" t="s">
        <v>301</v>
      </c>
      <c r="F91" s="215"/>
      <c r="H91" t="s">
        <v>930</v>
      </c>
      <c r="I91" s="220"/>
      <c r="J91" s="220"/>
      <c r="K91" s="219"/>
      <c r="L91" s="220"/>
      <c r="M91" s="220"/>
      <c r="AI91" s="214" t="s">
        <v>1018</v>
      </c>
    </row>
    <row r="92" spans="5:35" x14ac:dyDescent="0.35">
      <c r="E92" t="s">
        <v>303</v>
      </c>
      <c r="F92" s="215"/>
      <c r="H92" t="s">
        <v>932</v>
      </c>
      <c r="I92" s="220"/>
      <c r="J92" s="220"/>
      <c r="K92" s="219"/>
      <c r="L92" s="220"/>
      <c r="M92" s="220"/>
      <c r="AI92" s="214" t="s">
        <v>1018</v>
      </c>
    </row>
    <row r="93" spans="5:35" x14ac:dyDescent="0.35">
      <c r="E93" t="s">
        <v>305</v>
      </c>
      <c r="F93" s="215"/>
      <c r="H93" t="s">
        <v>934</v>
      </c>
      <c r="I93" s="220"/>
      <c r="J93" s="220"/>
      <c r="K93" s="219"/>
      <c r="L93" s="220"/>
      <c r="M93" s="220"/>
      <c r="AI93" s="214" t="s">
        <v>1018</v>
      </c>
    </row>
    <row r="94" spans="5:35" x14ac:dyDescent="0.35">
      <c r="E94" t="s">
        <v>307</v>
      </c>
      <c r="F94" s="215"/>
      <c r="H94" t="s">
        <v>936</v>
      </c>
      <c r="I94" s="220"/>
      <c r="J94" s="220"/>
      <c r="K94" s="219"/>
      <c r="L94" s="220"/>
      <c r="M94" s="220"/>
      <c r="AI94" s="214" t="s">
        <v>1018</v>
      </c>
    </row>
    <row r="95" spans="5:35" x14ac:dyDescent="0.35">
      <c r="E95" t="s">
        <v>309</v>
      </c>
      <c r="F95" s="215"/>
      <c r="H95" t="s">
        <v>938</v>
      </c>
      <c r="I95" s="220"/>
      <c r="J95" s="220"/>
      <c r="K95" s="219"/>
      <c r="L95" s="220"/>
      <c r="M95" s="220"/>
      <c r="AI95" s="214" t="s">
        <v>1018</v>
      </c>
    </row>
    <row r="96" spans="5:35" x14ac:dyDescent="0.35">
      <c r="E96" t="s">
        <v>311</v>
      </c>
      <c r="F96" s="215"/>
      <c r="H96" t="s">
        <v>940</v>
      </c>
      <c r="I96" s="220"/>
      <c r="J96" s="220"/>
      <c r="K96" s="219"/>
      <c r="L96" s="220"/>
      <c r="M96" s="220"/>
      <c r="AI96" s="214" t="s">
        <v>1018</v>
      </c>
    </row>
    <row r="97" spans="5:35" x14ac:dyDescent="0.35">
      <c r="E97" t="s">
        <v>313</v>
      </c>
      <c r="F97" s="215"/>
      <c r="H97" t="s">
        <v>942</v>
      </c>
      <c r="I97" s="220"/>
      <c r="J97" s="220"/>
      <c r="K97" s="219"/>
      <c r="L97" s="220"/>
      <c r="M97" s="220"/>
      <c r="AI97" s="214" t="s">
        <v>1018</v>
      </c>
    </row>
    <row r="98" spans="5:35" x14ac:dyDescent="0.35">
      <c r="E98" t="s">
        <v>315</v>
      </c>
      <c r="F98" s="215"/>
      <c r="H98" t="s">
        <v>944</v>
      </c>
      <c r="I98" s="220"/>
      <c r="J98" s="220"/>
      <c r="K98" s="219"/>
      <c r="L98" s="220"/>
      <c r="M98" s="220"/>
      <c r="AI98" s="214" t="s">
        <v>1018</v>
      </c>
    </row>
    <row r="99" spans="5:35" x14ac:dyDescent="0.35">
      <c r="E99" t="s">
        <v>317</v>
      </c>
      <c r="F99" s="215"/>
      <c r="H99" t="s">
        <v>946</v>
      </c>
      <c r="I99" s="220"/>
      <c r="J99" s="220"/>
      <c r="K99" s="219"/>
      <c r="L99" s="220"/>
      <c r="M99" s="220"/>
      <c r="AI99" s="214" t="s">
        <v>1018</v>
      </c>
    </row>
    <row r="100" spans="5:35" x14ac:dyDescent="0.35">
      <c r="E100" t="s">
        <v>319</v>
      </c>
      <c r="F100" s="215"/>
      <c r="H100" t="s">
        <v>948</v>
      </c>
      <c r="I100" s="220"/>
      <c r="J100" s="220"/>
      <c r="K100" s="219"/>
      <c r="L100" s="220"/>
      <c r="M100" s="220"/>
      <c r="AI100" s="214" t="s">
        <v>1018</v>
      </c>
    </row>
    <row r="101" spans="5:35" x14ac:dyDescent="0.35">
      <c r="E101" t="s">
        <v>321</v>
      </c>
      <c r="F101" s="215"/>
      <c r="H101" t="s">
        <v>950</v>
      </c>
      <c r="I101" s="220"/>
      <c r="J101" s="220"/>
      <c r="K101" s="219"/>
      <c r="L101" s="220"/>
      <c r="M101" s="220"/>
      <c r="AI101" s="214" t="s">
        <v>1018</v>
      </c>
    </row>
    <row r="102" spans="5:35" x14ac:dyDescent="0.35">
      <c r="E102" t="s">
        <v>323</v>
      </c>
      <c r="F102" s="215"/>
      <c r="H102" t="s">
        <v>952</v>
      </c>
      <c r="I102" s="220"/>
      <c r="J102" s="220"/>
      <c r="K102" s="219"/>
      <c r="L102" s="220"/>
      <c r="M102" s="220"/>
      <c r="AI102" s="214" t="s">
        <v>1018</v>
      </c>
    </row>
    <row r="103" spans="5:35" x14ac:dyDescent="0.35">
      <c r="E103" t="s">
        <v>325</v>
      </c>
      <c r="F103" s="215"/>
      <c r="H103" t="s">
        <v>954</v>
      </c>
      <c r="I103" s="220"/>
      <c r="J103" s="220"/>
      <c r="K103" s="219"/>
      <c r="L103" s="220"/>
      <c r="M103" s="220"/>
      <c r="AI103" s="214" t="s">
        <v>1018</v>
      </c>
    </row>
    <row r="104" spans="5:35" x14ac:dyDescent="0.35">
      <c r="E104" t="s">
        <v>327</v>
      </c>
      <c r="F104" s="215"/>
      <c r="H104" t="s">
        <v>956</v>
      </c>
      <c r="I104" s="220"/>
      <c r="J104" s="220"/>
      <c r="K104" s="219"/>
      <c r="L104" s="220"/>
      <c r="M104" s="220"/>
      <c r="AI104" s="214" t="s">
        <v>1018</v>
      </c>
    </row>
    <row r="105" spans="5:35" x14ac:dyDescent="0.35">
      <c r="E105" t="s">
        <v>329</v>
      </c>
      <c r="F105" s="215"/>
      <c r="H105" t="s">
        <v>958</v>
      </c>
      <c r="I105" s="220"/>
      <c r="J105" s="220"/>
      <c r="K105" s="219"/>
      <c r="L105" s="220"/>
      <c r="M105" s="220"/>
      <c r="AI105" s="214" t="s">
        <v>1018</v>
      </c>
    </row>
    <row r="106" spans="5:35" x14ac:dyDescent="0.35">
      <c r="E106" t="s">
        <v>331</v>
      </c>
      <c r="F106" s="215"/>
      <c r="H106" t="s">
        <v>960</v>
      </c>
      <c r="I106" s="220"/>
      <c r="J106" s="220"/>
      <c r="K106" s="219"/>
      <c r="L106" s="220"/>
      <c r="M106" s="220"/>
      <c r="AI106" s="214" t="s">
        <v>1018</v>
      </c>
    </row>
    <row r="107" spans="5:35" x14ac:dyDescent="0.35">
      <c r="E107" t="s">
        <v>333</v>
      </c>
      <c r="F107" s="215"/>
      <c r="H107" t="s">
        <v>962</v>
      </c>
      <c r="I107" s="220"/>
      <c r="J107" s="220"/>
      <c r="K107" s="219"/>
      <c r="L107" s="220"/>
      <c r="M107" s="220"/>
      <c r="AI107" s="214" t="s">
        <v>1018</v>
      </c>
    </row>
    <row r="108" spans="5:35" x14ac:dyDescent="0.35">
      <c r="E108" t="s">
        <v>335</v>
      </c>
      <c r="F108" s="215"/>
      <c r="H108" t="s">
        <v>971</v>
      </c>
      <c r="I108" s="220"/>
      <c r="J108" s="220"/>
      <c r="K108" s="219"/>
      <c r="L108" s="220"/>
      <c r="M108" s="220"/>
      <c r="AI108" s="214" t="s">
        <v>1018</v>
      </c>
    </row>
    <row r="109" spans="5:35" x14ac:dyDescent="0.35">
      <c r="E109" t="s">
        <v>337</v>
      </c>
      <c r="F109" s="215"/>
      <c r="I109" s="220"/>
      <c r="J109" s="220"/>
      <c r="K109" s="219"/>
      <c r="L109" s="220"/>
      <c r="M109" s="220"/>
      <c r="AI109" s="214" t="s">
        <v>1018</v>
      </c>
    </row>
    <row r="110" spans="5:35" x14ac:dyDescent="0.35">
      <c r="E110" t="s">
        <v>339</v>
      </c>
      <c r="F110" s="215"/>
      <c r="I110" s="220"/>
      <c r="J110" s="220"/>
      <c r="K110" s="219"/>
      <c r="L110" s="220"/>
      <c r="M110" s="220"/>
      <c r="AI110" s="214" t="s">
        <v>1018</v>
      </c>
    </row>
    <row r="111" spans="5:35" x14ac:dyDescent="0.35">
      <c r="E111" t="s">
        <v>341</v>
      </c>
      <c r="F111" s="215"/>
      <c r="I111" s="220"/>
      <c r="J111" s="220"/>
      <c r="K111" s="219"/>
      <c r="L111" s="220"/>
      <c r="M111" s="220"/>
      <c r="AI111" s="214" t="s">
        <v>1018</v>
      </c>
    </row>
    <row r="112" spans="5:35" x14ac:dyDescent="0.35">
      <c r="E112" t="s">
        <v>343</v>
      </c>
      <c r="F112" s="215"/>
      <c r="I112" s="220"/>
      <c r="J112" s="220"/>
      <c r="K112" s="219"/>
      <c r="L112" s="220"/>
      <c r="M112" s="220"/>
      <c r="AI112" s="214" t="s">
        <v>1018</v>
      </c>
    </row>
    <row r="113" spans="5:35" x14ac:dyDescent="0.35">
      <c r="E113" t="s">
        <v>345</v>
      </c>
      <c r="F113" s="215"/>
      <c r="I113" s="220"/>
      <c r="J113" s="220"/>
      <c r="K113" s="219"/>
      <c r="L113" s="220"/>
      <c r="M113" s="220"/>
      <c r="AI113" s="214" t="s">
        <v>1018</v>
      </c>
    </row>
    <row r="114" spans="5:35" x14ac:dyDescent="0.35">
      <c r="E114" t="s">
        <v>347</v>
      </c>
      <c r="F114" s="215"/>
      <c r="I114" s="220"/>
      <c r="J114" s="220"/>
      <c r="K114" s="219"/>
      <c r="L114" s="220"/>
      <c r="M114" s="220"/>
      <c r="AI114" s="214" t="s">
        <v>1018</v>
      </c>
    </row>
    <row r="115" spans="5:35" x14ac:dyDescent="0.35">
      <c r="E115" t="s">
        <v>349</v>
      </c>
      <c r="F115" s="215"/>
      <c r="I115" s="220"/>
      <c r="J115" s="220"/>
      <c r="K115" s="219"/>
      <c r="L115" s="220"/>
      <c r="M115" s="220"/>
      <c r="AI115" s="214" t="s">
        <v>1018</v>
      </c>
    </row>
    <row r="116" spans="5:35" x14ac:dyDescent="0.35">
      <c r="E116" t="s">
        <v>351</v>
      </c>
      <c r="F116" s="215"/>
      <c r="I116" s="220"/>
      <c r="J116" s="220"/>
      <c r="K116" s="219"/>
      <c r="L116" s="220"/>
      <c r="M116" s="220"/>
      <c r="AI116" s="214" t="s">
        <v>1018</v>
      </c>
    </row>
    <row r="117" spans="5:35" x14ac:dyDescent="0.35">
      <c r="E117" t="s">
        <v>353</v>
      </c>
      <c r="F117" s="215"/>
      <c r="I117" s="220"/>
      <c r="J117" s="220"/>
      <c r="K117" s="219"/>
      <c r="L117" s="220"/>
      <c r="M117" s="220"/>
      <c r="AI117" s="214" t="s">
        <v>1018</v>
      </c>
    </row>
    <row r="118" spans="5:35" x14ac:dyDescent="0.35">
      <c r="E118" t="s">
        <v>355</v>
      </c>
      <c r="F118" s="215"/>
      <c r="I118" s="220"/>
      <c r="J118" s="220"/>
      <c r="K118" s="219"/>
      <c r="L118" s="220"/>
      <c r="M118" s="220"/>
      <c r="AI118" s="214" t="s">
        <v>1018</v>
      </c>
    </row>
    <row r="119" spans="5:35" x14ac:dyDescent="0.35">
      <c r="E119" t="s">
        <v>357</v>
      </c>
      <c r="F119" s="215"/>
      <c r="I119" s="220"/>
      <c r="J119" s="220"/>
      <c r="K119" s="219"/>
      <c r="L119" s="220"/>
      <c r="M119" s="220"/>
      <c r="AI119" s="214" t="s">
        <v>1018</v>
      </c>
    </row>
    <row r="120" spans="5:35" x14ac:dyDescent="0.35">
      <c r="E120" t="s">
        <v>359</v>
      </c>
      <c r="F120" s="215"/>
      <c r="I120" s="220"/>
      <c r="J120" s="220"/>
      <c r="K120" s="219"/>
      <c r="L120" s="220"/>
      <c r="M120" s="220"/>
      <c r="AI120" s="214" t="s">
        <v>1018</v>
      </c>
    </row>
    <row r="121" spans="5:35" x14ac:dyDescent="0.35">
      <c r="E121" t="s">
        <v>361</v>
      </c>
      <c r="F121" s="215"/>
      <c r="I121" s="220"/>
      <c r="J121" s="220"/>
      <c r="K121" s="219"/>
      <c r="L121" s="220"/>
      <c r="M121" s="220"/>
      <c r="AI121" s="214" t="s">
        <v>1018</v>
      </c>
    </row>
    <row r="122" spans="5:35" x14ac:dyDescent="0.35">
      <c r="E122" t="s">
        <v>363</v>
      </c>
      <c r="F122" s="215"/>
      <c r="I122" s="220"/>
      <c r="J122" s="220"/>
      <c r="K122" s="219"/>
      <c r="L122" s="220"/>
      <c r="M122" s="220"/>
      <c r="AI122" s="214" t="s">
        <v>1018</v>
      </c>
    </row>
    <row r="123" spans="5:35" x14ac:dyDescent="0.35">
      <c r="E123" t="s">
        <v>365</v>
      </c>
      <c r="F123" s="215"/>
      <c r="I123" s="220"/>
      <c r="J123" s="220"/>
      <c r="K123" s="219"/>
      <c r="L123" s="220"/>
      <c r="M123" s="220"/>
      <c r="AI123" s="214" t="s">
        <v>1018</v>
      </c>
    </row>
    <row r="124" spans="5:35" x14ac:dyDescent="0.35">
      <c r="E124" t="s">
        <v>367</v>
      </c>
      <c r="F124" s="215"/>
      <c r="I124" s="220"/>
      <c r="J124" s="220"/>
      <c r="K124" s="219"/>
      <c r="L124" s="220"/>
      <c r="M124" s="220"/>
      <c r="AI124" s="214" t="s">
        <v>1018</v>
      </c>
    </row>
    <row r="125" spans="5:35" x14ac:dyDescent="0.35">
      <c r="E125" t="s">
        <v>369</v>
      </c>
      <c r="F125" s="215"/>
      <c r="I125" s="220"/>
      <c r="J125" s="220"/>
      <c r="K125" s="219"/>
      <c r="L125" s="220"/>
      <c r="M125" s="220"/>
      <c r="AI125" s="214" t="s">
        <v>1018</v>
      </c>
    </row>
    <row r="126" spans="5:35" x14ac:dyDescent="0.35">
      <c r="E126" t="s">
        <v>371</v>
      </c>
      <c r="F126" s="215"/>
      <c r="I126" s="220"/>
      <c r="J126" s="220"/>
      <c r="K126" s="219"/>
      <c r="L126" s="220"/>
      <c r="M126" s="220"/>
      <c r="AI126" s="214" t="s">
        <v>1018</v>
      </c>
    </row>
    <row r="127" spans="5:35" x14ac:dyDescent="0.35">
      <c r="E127" t="s">
        <v>373</v>
      </c>
      <c r="F127" s="215"/>
      <c r="I127" s="220"/>
      <c r="J127" s="220"/>
      <c r="K127" s="219"/>
      <c r="L127" s="220"/>
      <c r="M127" s="220"/>
      <c r="AI127" s="214" t="s">
        <v>1018</v>
      </c>
    </row>
    <row r="128" spans="5:35" x14ac:dyDescent="0.35">
      <c r="E128" t="s">
        <v>375</v>
      </c>
      <c r="F128" s="215"/>
      <c r="I128" s="220"/>
      <c r="J128" s="220"/>
      <c r="K128" s="219"/>
      <c r="L128" s="220"/>
      <c r="M128" s="220"/>
      <c r="AI128" s="214" t="s">
        <v>1018</v>
      </c>
    </row>
    <row r="129" spans="5:35" x14ac:dyDescent="0.35">
      <c r="E129" t="s">
        <v>377</v>
      </c>
      <c r="F129" s="215"/>
      <c r="I129" s="220"/>
      <c r="J129" s="220"/>
      <c r="K129" s="219"/>
      <c r="L129" s="220"/>
      <c r="M129" s="220"/>
      <c r="AI129" s="214" t="s">
        <v>1018</v>
      </c>
    </row>
    <row r="130" spans="5:35" x14ac:dyDescent="0.35">
      <c r="E130" t="s">
        <v>379</v>
      </c>
      <c r="F130" s="215"/>
      <c r="I130" s="220"/>
      <c r="J130" s="220"/>
      <c r="K130" s="219"/>
      <c r="L130" s="220"/>
      <c r="M130" s="220"/>
      <c r="AI130" s="214" t="s">
        <v>1018</v>
      </c>
    </row>
    <row r="131" spans="5:35" x14ac:dyDescent="0.35">
      <c r="E131" t="s">
        <v>381</v>
      </c>
      <c r="F131" s="215"/>
      <c r="I131" s="220"/>
      <c r="J131" s="220"/>
      <c r="K131" s="219"/>
      <c r="L131" s="220"/>
      <c r="M131" s="220"/>
      <c r="AI131" s="214" t="s">
        <v>1018</v>
      </c>
    </row>
    <row r="132" spans="5:35" x14ac:dyDescent="0.35">
      <c r="E132" t="s">
        <v>383</v>
      </c>
      <c r="F132" s="215"/>
      <c r="I132" s="220"/>
      <c r="J132" s="220"/>
      <c r="K132" s="219"/>
      <c r="L132" s="220"/>
      <c r="M132" s="220"/>
      <c r="AI132" s="214" t="s">
        <v>1018</v>
      </c>
    </row>
    <row r="133" spans="5:35" x14ac:dyDescent="0.35">
      <c r="E133" t="s">
        <v>385</v>
      </c>
      <c r="F133" s="215"/>
      <c r="I133" s="220"/>
      <c r="J133" s="220"/>
      <c r="K133" s="219"/>
      <c r="L133" s="220"/>
      <c r="M133" s="220"/>
      <c r="AI133" s="214" t="s">
        <v>1018</v>
      </c>
    </row>
    <row r="134" spans="5:35" x14ac:dyDescent="0.35">
      <c r="E134" t="s">
        <v>387</v>
      </c>
      <c r="F134" s="215"/>
      <c r="I134" s="220"/>
      <c r="J134" s="220"/>
      <c r="K134" s="219"/>
      <c r="L134" s="220"/>
      <c r="M134" s="220"/>
      <c r="AI134" s="214" t="s">
        <v>1018</v>
      </c>
    </row>
    <row r="135" spans="5:35" x14ac:dyDescent="0.35">
      <c r="E135" t="s">
        <v>389</v>
      </c>
      <c r="F135" s="215"/>
      <c r="I135" s="220"/>
      <c r="J135" s="220"/>
      <c r="K135" s="219"/>
      <c r="L135" s="220"/>
      <c r="M135" s="220"/>
      <c r="AI135" s="214" t="s">
        <v>1018</v>
      </c>
    </row>
    <row r="136" spans="5:35" x14ac:dyDescent="0.35">
      <c r="E136" t="s">
        <v>391</v>
      </c>
      <c r="F136" s="215"/>
      <c r="I136" s="220"/>
      <c r="J136" s="220"/>
      <c r="K136" s="219"/>
      <c r="L136" s="220"/>
      <c r="M136" s="220"/>
      <c r="AI136" s="214" t="s">
        <v>1018</v>
      </c>
    </row>
    <row r="137" spans="5:35" x14ac:dyDescent="0.35">
      <c r="E137" t="s">
        <v>393</v>
      </c>
      <c r="F137" s="215"/>
      <c r="I137" s="220"/>
      <c r="J137" s="220"/>
      <c r="K137" s="219"/>
      <c r="L137" s="220"/>
      <c r="M137" s="220"/>
      <c r="AI137" s="214" t="s">
        <v>1018</v>
      </c>
    </row>
    <row r="138" spans="5:35" x14ac:dyDescent="0.35">
      <c r="E138" t="s">
        <v>395</v>
      </c>
      <c r="F138" s="215"/>
      <c r="I138" s="220"/>
      <c r="J138" s="220"/>
      <c r="K138" s="219"/>
      <c r="L138" s="220"/>
      <c r="M138" s="220"/>
      <c r="AI138" s="214" t="s">
        <v>1018</v>
      </c>
    </row>
    <row r="139" spans="5:35" x14ac:dyDescent="0.35">
      <c r="E139" t="s">
        <v>397</v>
      </c>
      <c r="F139" s="215"/>
      <c r="I139" s="220"/>
      <c r="J139" s="220"/>
      <c r="K139" s="219"/>
      <c r="L139" s="220"/>
      <c r="M139" s="220"/>
      <c r="AI139" s="214" t="s">
        <v>1018</v>
      </c>
    </row>
    <row r="140" spans="5:35" x14ac:dyDescent="0.35">
      <c r="E140" t="s">
        <v>399</v>
      </c>
      <c r="F140" s="215"/>
      <c r="I140" s="220"/>
      <c r="J140" s="220"/>
      <c r="K140" s="219"/>
      <c r="L140" s="220"/>
      <c r="M140" s="220"/>
      <c r="AI140" s="214" t="s">
        <v>1018</v>
      </c>
    </row>
    <row r="141" spans="5:35" x14ac:dyDescent="0.35">
      <c r="E141" t="s">
        <v>401</v>
      </c>
      <c r="F141" s="215"/>
      <c r="I141" s="220"/>
      <c r="J141" s="220"/>
      <c r="K141" s="219"/>
      <c r="L141" s="220"/>
      <c r="M141" s="220"/>
      <c r="AI141" s="214" t="s">
        <v>1018</v>
      </c>
    </row>
    <row r="142" spans="5:35" x14ac:dyDescent="0.35">
      <c r="E142" t="s">
        <v>403</v>
      </c>
      <c r="F142" s="215"/>
      <c r="I142" s="220"/>
      <c r="J142" s="220"/>
      <c r="K142" s="219"/>
      <c r="L142" s="220"/>
      <c r="M142" s="220"/>
      <c r="AI142" s="214" t="s">
        <v>1018</v>
      </c>
    </row>
    <row r="143" spans="5:35" x14ac:dyDescent="0.35">
      <c r="E143" t="s">
        <v>405</v>
      </c>
      <c r="F143" s="215"/>
      <c r="I143" s="220"/>
      <c r="J143" s="220"/>
      <c r="K143" s="219"/>
      <c r="L143" s="220"/>
      <c r="M143" s="220"/>
      <c r="AI143" s="214" t="s">
        <v>1018</v>
      </c>
    </row>
    <row r="144" spans="5:35" x14ac:dyDescent="0.35">
      <c r="E144" t="s">
        <v>407</v>
      </c>
      <c r="F144" s="215"/>
      <c r="I144" s="220"/>
      <c r="J144" s="220"/>
      <c r="K144" s="219"/>
      <c r="L144" s="220"/>
      <c r="M144" s="220"/>
      <c r="AI144" s="214" t="s">
        <v>1018</v>
      </c>
    </row>
    <row r="145" spans="5:35" x14ac:dyDescent="0.35">
      <c r="E145" t="s">
        <v>409</v>
      </c>
      <c r="F145" s="215"/>
      <c r="I145" s="220"/>
      <c r="J145" s="220"/>
      <c r="K145" s="219"/>
      <c r="L145" s="220"/>
      <c r="M145" s="220"/>
      <c r="AI145" s="214" t="s">
        <v>1018</v>
      </c>
    </row>
    <row r="146" spans="5:35" x14ac:dyDescent="0.35">
      <c r="E146" t="s">
        <v>411</v>
      </c>
      <c r="F146" s="215"/>
      <c r="I146" s="220"/>
      <c r="J146" s="220"/>
      <c r="K146" s="219"/>
      <c r="L146" s="220"/>
      <c r="M146" s="220"/>
      <c r="AI146" s="214" t="s">
        <v>1018</v>
      </c>
    </row>
    <row r="147" spans="5:35" x14ac:dyDescent="0.35">
      <c r="E147" t="s">
        <v>413</v>
      </c>
      <c r="F147" s="215"/>
      <c r="I147" s="220"/>
      <c r="J147" s="220"/>
      <c r="K147" s="219"/>
      <c r="L147" s="220"/>
      <c r="M147" s="220"/>
      <c r="AI147" s="214" t="s">
        <v>1018</v>
      </c>
    </row>
    <row r="148" spans="5:35" x14ac:dyDescent="0.35">
      <c r="E148" t="s">
        <v>415</v>
      </c>
      <c r="F148" s="215"/>
      <c r="I148" s="220"/>
      <c r="J148" s="220"/>
      <c r="K148" s="219"/>
      <c r="L148" s="220"/>
      <c r="M148" s="220"/>
      <c r="AI148" s="214" t="s">
        <v>1018</v>
      </c>
    </row>
    <row r="149" spans="5:35" x14ac:dyDescent="0.35">
      <c r="E149" t="s">
        <v>417</v>
      </c>
      <c r="F149" s="215"/>
      <c r="I149" s="220"/>
      <c r="J149" s="220"/>
      <c r="K149" s="219"/>
      <c r="L149" s="220"/>
      <c r="M149" s="220"/>
      <c r="AI149" s="214" t="s">
        <v>1018</v>
      </c>
    </row>
    <row r="150" spans="5:35" x14ac:dyDescent="0.35">
      <c r="E150" t="s">
        <v>419</v>
      </c>
      <c r="F150" s="215"/>
      <c r="I150" s="220"/>
      <c r="J150" s="220"/>
      <c r="K150" s="219"/>
      <c r="L150" s="220"/>
      <c r="M150" s="220"/>
      <c r="AI150" s="214" t="s">
        <v>1018</v>
      </c>
    </row>
    <row r="151" spans="5:35" x14ac:dyDescent="0.35">
      <c r="E151" t="s">
        <v>421</v>
      </c>
      <c r="F151" s="215"/>
      <c r="I151" s="220"/>
      <c r="J151" s="220"/>
      <c r="K151" s="219"/>
      <c r="L151" s="220"/>
      <c r="M151" s="220"/>
      <c r="AI151" s="214" t="s">
        <v>1018</v>
      </c>
    </row>
    <row r="152" spans="5:35" x14ac:dyDescent="0.35">
      <c r="E152" t="s">
        <v>423</v>
      </c>
      <c r="F152" s="215"/>
      <c r="I152" s="220"/>
      <c r="J152" s="220"/>
      <c r="K152" s="219"/>
      <c r="L152" s="220"/>
      <c r="M152" s="220"/>
      <c r="AI152" s="214" t="s">
        <v>1018</v>
      </c>
    </row>
    <row r="153" spans="5:35" x14ac:dyDescent="0.35">
      <c r="E153" t="s">
        <v>425</v>
      </c>
      <c r="F153" s="215"/>
      <c r="I153" s="220"/>
      <c r="J153" s="220"/>
      <c r="K153" s="219"/>
      <c r="L153" s="220"/>
      <c r="M153" s="220"/>
      <c r="AI153" s="214" t="s">
        <v>1018</v>
      </c>
    </row>
    <row r="154" spans="5:35" x14ac:dyDescent="0.35">
      <c r="E154" t="s">
        <v>427</v>
      </c>
      <c r="F154" s="215"/>
      <c r="AI154" s="214" t="s">
        <v>1018</v>
      </c>
    </row>
    <row r="155" spans="5:35" x14ac:dyDescent="0.35">
      <c r="E155" t="s">
        <v>429</v>
      </c>
      <c r="F155" s="215"/>
      <c r="AI155" s="214" t="s">
        <v>1018</v>
      </c>
    </row>
    <row r="156" spans="5:35" x14ac:dyDescent="0.35">
      <c r="E156" t="s">
        <v>431</v>
      </c>
      <c r="F156" s="215"/>
      <c r="AI156" s="214" t="s">
        <v>1018</v>
      </c>
    </row>
    <row r="157" spans="5:35" x14ac:dyDescent="0.35">
      <c r="E157" t="s">
        <v>433</v>
      </c>
      <c r="F157" s="215"/>
      <c r="AI157" s="214" t="s">
        <v>1018</v>
      </c>
    </row>
    <row r="158" spans="5:35" x14ac:dyDescent="0.35">
      <c r="E158" t="s">
        <v>435</v>
      </c>
      <c r="F158" s="215"/>
      <c r="AI158" s="214" t="s">
        <v>1018</v>
      </c>
    </row>
    <row r="159" spans="5:35" x14ac:dyDescent="0.35">
      <c r="E159" t="s">
        <v>437</v>
      </c>
      <c r="F159" s="215"/>
      <c r="AI159" s="214" t="s">
        <v>1018</v>
      </c>
    </row>
    <row r="160" spans="5:35" x14ac:dyDescent="0.35">
      <c r="E160" t="s">
        <v>439</v>
      </c>
      <c r="F160" s="215"/>
      <c r="AI160" s="214" t="s">
        <v>1018</v>
      </c>
    </row>
    <row r="161" spans="5:35" x14ac:dyDescent="0.35">
      <c r="E161" t="s">
        <v>441</v>
      </c>
      <c r="F161" s="215"/>
      <c r="AI161" s="214" t="s">
        <v>1018</v>
      </c>
    </row>
    <row r="162" spans="5:35" x14ac:dyDescent="0.35">
      <c r="E162" t="s">
        <v>443</v>
      </c>
      <c r="F162" s="215"/>
      <c r="AI162" s="214" t="s">
        <v>1018</v>
      </c>
    </row>
    <row r="163" spans="5:35" x14ac:dyDescent="0.35">
      <c r="E163" t="s">
        <v>445</v>
      </c>
      <c r="F163" s="215"/>
      <c r="AI163" s="214" t="s">
        <v>1018</v>
      </c>
    </row>
    <row r="164" spans="5:35" x14ac:dyDescent="0.35">
      <c r="E164" t="s">
        <v>447</v>
      </c>
      <c r="F164" s="215"/>
      <c r="AI164" s="214" t="s">
        <v>1018</v>
      </c>
    </row>
    <row r="165" spans="5:35" x14ac:dyDescent="0.35">
      <c r="E165" t="s">
        <v>449</v>
      </c>
      <c r="F165" s="215"/>
      <c r="AI165" s="214" t="s">
        <v>1018</v>
      </c>
    </row>
    <row r="166" spans="5:35" x14ac:dyDescent="0.35">
      <c r="E166" t="s">
        <v>451</v>
      </c>
      <c r="F166" s="215"/>
      <c r="AI166" s="214" t="s">
        <v>1018</v>
      </c>
    </row>
    <row r="167" spans="5:35" x14ac:dyDescent="0.35">
      <c r="E167" t="s">
        <v>453</v>
      </c>
      <c r="F167" s="215"/>
      <c r="AI167" s="214" t="s">
        <v>1018</v>
      </c>
    </row>
    <row r="168" spans="5:35" x14ac:dyDescent="0.35">
      <c r="E168" t="s">
        <v>455</v>
      </c>
      <c r="F168" s="215"/>
      <c r="AI168" s="214" t="s">
        <v>1018</v>
      </c>
    </row>
    <row r="169" spans="5:35" x14ac:dyDescent="0.35">
      <c r="E169" t="s">
        <v>457</v>
      </c>
      <c r="F169" s="215"/>
      <c r="AI169" s="214" t="s">
        <v>1018</v>
      </c>
    </row>
    <row r="170" spans="5:35" x14ac:dyDescent="0.35">
      <c r="E170" t="s">
        <v>459</v>
      </c>
      <c r="F170" s="215"/>
      <c r="AI170" s="214" t="s">
        <v>1018</v>
      </c>
    </row>
    <row r="171" spans="5:35" x14ac:dyDescent="0.35">
      <c r="E171" t="s">
        <v>461</v>
      </c>
      <c r="F171" s="215"/>
      <c r="AI171" s="214" t="s">
        <v>1018</v>
      </c>
    </row>
    <row r="172" spans="5:35" x14ac:dyDescent="0.35">
      <c r="E172" t="s">
        <v>463</v>
      </c>
      <c r="F172" s="215"/>
      <c r="AI172" s="214" t="s">
        <v>1018</v>
      </c>
    </row>
    <row r="173" spans="5:35" x14ac:dyDescent="0.35">
      <c r="E173" t="s">
        <v>465</v>
      </c>
      <c r="F173" s="215"/>
      <c r="AI173" s="214" t="s">
        <v>1018</v>
      </c>
    </row>
    <row r="174" spans="5:35" x14ac:dyDescent="0.35">
      <c r="E174" t="s">
        <v>467</v>
      </c>
      <c r="F174" s="215"/>
      <c r="AI174" s="214" t="s">
        <v>1018</v>
      </c>
    </row>
    <row r="175" spans="5:35" x14ac:dyDescent="0.35">
      <c r="E175" t="s">
        <v>469</v>
      </c>
      <c r="F175" s="215"/>
      <c r="AI175" s="214" t="s">
        <v>1018</v>
      </c>
    </row>
    <row r="176" spans="5:35" x14ac:dyDescent="0.35">
      <c r="E176" t="s">
        <v>471</v>
      </c>
      <c r="F176" s="215"/>
      <c r="AI176" s="214" t="s">
        <v>1018</v>
      </c>
    </row>
    <row r="177" spans="5:35" x14ac:dyDescent="0.35">
      <c r="E177" t="s">
        <v>473</v>
      </c>
      <c r="F177" s="215"/>
      <c r="AI177" s="214" t="s">
        <v>1018</v>
      </c>
    </row>
    <row r="178" spans="5:35" x14ac:dyDescent="0.35">
      <c r="E178" t="s">
        <v>475</v>
      </c>
      <c r="F178" s="215"/>
      <c r="AI178" s="214" t="s">
        <v>1018</v>
      </c>
    </row>
    <row r="179" spans="5:35" x14ac:dyDescent="0.35">
      <c r="E179" t="s">
        <v>477</v>
      </c>
      <c r="F179" s="215"/>
      <c r="AI179" s="214" t="s">
        <v>1018</v>
      </c>
    </row>
    <row r="180" spans="5:35" x14ac:dyDescent="0.35">
      <c r="E180" t="s">
        <v>479</v>
      </c>
      <c r="F180" s="215"/>
      <c r="AI180" s="214" t="s">
        <v>1018</v>
      </c>
    </row>
    <row r="181" spans="5:35" x14ac:dyDescent="0.35">
      <c r="E181" t="s">
        <v>481</v>
      </c>
      <c r="F181" s="215"/>
      <c r="AI181" s="214" t="s">
        <v>1018</v>
      </c>
    </row>
    <row r="182" spans="5:35" x14ac:dyDescent="0.35">
      <c r="E182" t="s">
        <v>483</v>
      </c>
      <c r="F182" s="215"/>
      <c r="AI182" s="214" t="s">
        <v>1018</v>
      </c>
    </row>
    <row r="183" spans="5:35" x14ac:dyDescent="0.35">
      <c r="E183" t="s">
        <v>485</v>
      </c>
      <c r="F183" s="215"/>
      <c r="AI183" s="214" t="s">
        <v>1018</v>
      </c>
    </row>
    <row r="184" spans="5:35" x14ac:dyDescent="0.35">
      <c r="E184" t="s">
        <v>487</v>
      </c>
      <c r="F184" s="215"/>
      <c r="AI184" s="214" t="s">
        <v>1018</v>
      </c>
    </row>
    <row r="185" spans="5:35" x14ac:dyDescent="0.35">
      <c r="E185" t="s">
        <v>489</v>
      </c>
      <c r="F185" s="215"/>
      <c r="AI185" s="214" t="s">
        <v>1018</v>
      </c>
    </row>
    <row r="186" spans="5:35" x14ac:dyDescent="0.35">
      <c r="E186" t="s">
        <v>491</v>
      </c>
      <c r="F186" s="215"/>
      <c r="AI186" s="214" t="s">
        <v>1018</v>
      </c>
    </row>
    <row r="187" spans="5:35" x14ac:dyDescent="0.35">
      <c r="E187" t="s">
        <v>493</v>
      </c>
      <c r="F187" s="215"/>
      <c r="AI187" s="214" t="s">
        <v>1018</v>
      </c>
    </row>
    <row r="188" spans="5:35" x14ac:dyDescent="0.35">
      <c r="E188" t="s">
        <v>495</v>
      </c>
      <c r="F188" s="215"/>
      <c r="AI188" s="214" t="s">
        <v>1018</v>
      </c>
    </row>
    <row r="189" spans="5:35" x14ac:dyDescent="0.35">
      <c r="E189" t="s">
        <v>497</v>
      </c>
      <c r="F189" s="215"/>
      <c r="AI189" s="214" t="s">
        <v>1018</v>
      </c>
    </row>
    <row r="190" spans="5:35" x14ac:dyDescent="0.35">
      <c r="E190" t="s">
        <v>499</v>
      </c>
      <c r="F190" s="215"/>
      <c r="AI190" s="214" t="s">
        <v>1018</v>
      </c>
    </row>
    <row r="191" spans="5:35" x14ac:dyDescent="0.35">
      <c r="E191" t="s">
        <v>501</v>
      </c>
      <c r="F191" s="215"/>
      <c r="AI191" s="214" t="s">
        <v>1018</v>
      </c>
    </row>
    <row r="192" spans="5:35" x14ac:dyDescent="0.35">
      <c r="E192" t="s">
        <v>503</v>
      </c>
      <c r="F192" s="215"/>
      <c r="AI192" s="214" t="s">
        <v>1018</v>
      </c>
    </row>
    <row r="193" spans="5:35" x14ac:dyDescent="0.35">
      <c r="E193" t="s">
        <v>505</v>
      </c>
      <c r="F193" s="215"/>
      <c r="AI193" s="214" t="s">
        <v>1018</v>
      </c>
    </row>
    <row r="194" spans="5:35" x14ac:dyDescent="0.35">
      <c r="E194" t="s">
        <v>507</v>
      </c>
      <c r="F194" s="215"/>
      <c r="AI194" s="214" t="s">
        <v>1018</v>
      </c>
    </row>
    <row r="195" spans="5:35" x14ac:dyDescent="0.35">
      <c r="E195" t="s">
        <v>509</v>
      </c>
      <c r="F195" s="215"/>
      <c r="AI195" s="214" t="s">
        <v>1018</v>
      </c>
    </row>
    <row r="196" spans="5:35" x14ac:dyDescent="0.35">
      <c r="E196" t="s">
        <v>511</v>
      </c>
      <c r="F196" s="215"/>
      <c r="AI196" s="214" t="s">
        <v>1018</v>
      </c>
    </row>
    <row r="197" spans="5:35" x14ac:dyDescent="0.35">
      <c r="E197" t="s">
        <v>513</v>
      </c>
      <c r="F197" s="215"/>
      <c r="AI197" s="214" t="s">
        <v>1018</v>
      </c>
    </row>
    <row r="198" spans="5:35" x14ac:dyDescent="0.35">
      <c r="E198" t="s">
        <v>515</v>
      </c>
      <c r="F198" s="215"/>
      <c r="AI198" s="214" t="s">
        <v>1018</v>
      </c>
    </row>
    <row r="199" spans="5:35" x14ac:dyDescent="0.35">
      <c r="E199" t="s">
        <v>517</v>
      </c>
      <c r="F199" s="215"/>
      <c r="AI199" s="214" t="s">
        <v>1018</v>
      </c>
    </row>
    <row r="200" spans="5:35" x14ac:dyDescent="0.35">
      <c r="E200" t="s">
        <v>519</v>
      </c>
      <c r="F200" s="215"/>
      <c r="AI200" s="214" t="s">
        <v>1018</v>
      </c>
    </row>
    <row r="201" spans="5:35" x14ac:dyDescent="0.35">
      <c r="E201" t="s">
        <v>521</v>
      </c>
      <c r="F201" s="215"/>
      <c r="AI201" s="214" t="s">
        <v>1018</v>
      </c>
    </row>
    <row r="202" spans="5:35" x14ac:dyDescent="0.35">
      <c r="E202" t="s">
        <v>523</v>
      </c>
      <c r="F202" s="215"/>
      <c r="AI202" s="214" t="s">
        <v>1018</v>
      </c>
    </row>
    <row r="203" spans="5:35" x14ac:dyDescent="0.35">
      <c r="E203" t="s">
        <v>525</v>
      </c>
      <c r="F203" s="215"/>
      <c r="AI203" s="214" t="s">
        <v>1018</v>
      </c>
    </row>
    <row r="204" spans="5:35" x14ac:dyDescent="0.35">
      <c r="E204" t="s">
        <v>527</v>
      </c>
      <c r="F204" s="215"/>
      <c r="AI204" s="214" t="s">
        <v>1018</v>
      </c>
    </row>
    <row r="205" spans="5:35" x14ac:dyDescent="0.35">
      <c r="E205" t="s">
        <v>529</v>
      </c>
      <c r="F205" s="215"/>
      <c r="AI205" s="214" t="s">
        <v>1018</v>
      </c>
    </row>
    <row r="206" spans="5:35" x14ac:dyDescent="0.35">
      <c r="E206" t="s">
        <v>531</v>
      </c>
      <c r="F206" s="215"/>
      <c r="AI206" s="214" t="s">
        <v>1018</v>
      </c>
    </row>
    <row r="207" spans="5:35" x14ac:dyDescent="0.35">
      <c r="E207" t="s">
        <v>533</v>
      </c>
      <c r="F207" s="215"/>
      <c r="AI207" s="214" t="s">
        <v>1018</v>
      </c>
    </row>
    <row r="208" spans="5:35" x14ac:dyDescent="0.35">
      <c r="E208" t="s">
        <v>535</v>
      </c>
      <c r="F208" s="215"/>
      <c r="AI208" s="214" t="s">
        <v>1018</v>
      </c>
    </row>
    <row r="209" spans="5:35" x14ac:dyDescent="0.35">
      <c r="E209" t="s">
        <v>537</v>
      </c>
      <c r="F209" s="215"/>
      <c r="AI209" s="214" t="s">
        <v>1018</v>
      </c>
    </row>
    <row r="210" spans="5:35" x14ac:dyDescent="0.35">
      <c r="E210" t="s">
        <v>539</v>
      </c>
      <c r="F210" s="215"/>
      <c r="AI210" s="214" t="s">
        <v>1018</v>
      </c>
    </row>
    <row r="211" spans="5:35" x14ac:dyDescent="0.35">
      <c r="E211" t="s">
        <v>541</v>
      </c>
      <c r="F211" s="215"/>
      <c r="AI211" s="214" t="s">
        <v>1018</v>
      </c>
    </row>
    <row r="212" spans="5:35" x14ac:dyDescent="0.35">
      <c r="E212" t="s">
        <v>543</v>
      </c>
      <c r="F212" s="215"/>
      <c r="AI212" s="214" t="s">
        <v>1018</v>
      </c>
    </row>
    <row r="213" spans="5:35" x14ac:dyDescent="0.35">
      <c r="E213" t="s">
        <v>545</v>
      </c>
      <c r="F213" s="215"/>
      <c r="AI213" s="214" t="s">
        <v>1018</v>
      </c>
    </row>
    <row r="214" spans="5:35" x14ac:dyDescent="0.35">
      <c r="E214" t="s">
        <v>547</v>
      </c>
      <c r="F214" s="215"/>
      <c r="AI214" s="214" t="s">
        <v>1018</v>
      </c>
    </row>
    <row r="215" spans="5:35" x14ac:dyDescent="0.35">
      <c r="E215" t="s">
        <v>549</v>
      </c>
      <c r="F215" s="215"/>
      <c r="AI215" s="214" t="s">
        <v>1018</v>
      </c>
    </row>
    <row r="216" spans="5:35" x14ac:dyDescent="0.35">
      <c r="E216" t="s">
        <v>551</v>
      </c>
      <c r="F216" s="215"/>
      <c r="AI216" s="214" t="s">
        <v>1018</v>
      </c>
    </row>
    <row r="217" spans="5:35" x14ac:dyDescent="0.35">
      <c r="E217" t="s">
        <v>553</v>
      </c>
      <c r="F217" s="215"/>
      <c r="AI217" s="214" t="s">
        <v>1018</v>
      </c>
    </row>
    <row r="218" spans="5:35" x14ac:dyDescent="0.35">
      <c r="E218" t="s">
        <v>555</v>
      </c>
      <c r="F218" s="215"/>
      <c r="AI218" s="214" t="s">
        <v>1018</v>
      </c>
    </row>
    <row r="219" spans="5:35" x14ac:dyDescent="0.35">
      <c r="E219" t="s">
        <v>557</v>
      </c>
      <c r="F219" s="215"/>
      <c r="AI219" s="214" t="s">
        <v>1018</v>
      </c>
    </row>
    <row r="220" spans="5:35" x14ac:dyDescent="0.35">
      <c r="E220" t="s">
        <v>559</v>
      </c>
      <c r="F220" s="215"/>
      <c r="AI220" s="214" t="s">
        <v>1018</v>
      </c>
    </row>
    <row r="221" spans="5:35" x14ac:dyDescent="0.35">
      <c r="E221" t="s">
        <v>561</v>
      </c>
      <c r="F221" s="215"/>
      <c r="AI221" s="214" t="s">
        <v>1018</v>
      </c>
    </row>
    <row r="222" spans="5:35" x14ac:dyDescent="0.35">
      <c r="E222" t="s">
        <v>563</v>
      </c>
      <c r="F222" s="215"/>
      <c r="AI222" s="214" t="s">
        <v>1018</v>
      </c>
    </row>
    <row r="223" spans="5:35" x14ac:dyDescent="0.35">
      <c r="E223" t="s">
        <v>565</v>
      </c>
      <c r="F223" s="215"/>
      <c r="AI223" s="214" t="s">
        <v>1018</v>
      </c>
    </row>
    <row r="224" spans="5:35" x14ac:dyDescent="0.35">
      <c r="E224" t="s">
        <v>567</v>
      </c>
      <c r="F224" s="215"/>
      <c r="AI224" s="214" t="s">
        <v>1018</v>
      </c>
    </row>
    <row r="225" spans="5:35" x14ac:dyDescent="0.35">
      <c r="E225" t="s">
        <v>569</v>
      </c>
      <c r="F225" s="215"/>
      <c r="AI225" s="214" t="s">
        <v>1018</v>
      </c>
    </row>
    <row r="226" spans="5:35" x14ac:dyDescent="0.35">
      <c r="E226" t="s">
        <v>571</v>
      </c>
      <c r="F226" s="215"/>
      <c r="AI226" s="214" t="s">
        <v>1018</v>
      </c>
    </row>
    <row r="227" spans="5:35" x14ac:dyDescent="0.35">
      <c r="E227" t="s">
        <v>573</v>
      </c>
      <c r="F227" s="215"/>
      <c r="AI227" s="214" t="s">
        <v>1018</v>
      </c>
    </row>
    <row r="228" spans="5:35" x14ac:dyDescent="0.35">
      <c r="E228" t="s">
        <v>575</v>
      </c>
      <c r="F228" s="215"/>
      <c r="AI228" s="214" t="s">
        <v>1018</v>
      </c>
    </row>
    <row r="229" spans="5:35" x14ac:dyDescent="0.35">
      <c r="E229" t="s">
        <v>577</v>
      </c>
      <c r="F229" s="215"/>
      <c r="AI229" s="214" t="s">
        <v>1018</v>
      </c>
    </row>
    <row r="230" spans="5:35" x14ac:dyDescent="0.35">
      <c r="E230" t="s">
        <v>579</v>
      </c>
      <c r="F230" s="215"/>
      <c r="AI230" s="214" t="s">
        <v>1018</v>
      </c>
    </row>
    <row r="231" spans="5:35" x14ac:dyDescent="0.35">
      <c r="E231" t="s">
        <v>581</v>
      </c>
      <c r="F231" s="215"/>
      <c r="AI231" s="214" t="s">
        <v>1018</v>
      </c>
    </row>
    <row r="232" spans="5:35" x14ac:dyDescent="0.35">
      <c r="E232" t="s">
        <v>583</v>
      </c>
      <c r="F232" s="215"/>
      <c r="AI232" s="214" t="s">
        <v>1018</v>
      </c>
    </row>
    <row r="233" spans="5:35" x14ac:dyDescent="0.35">
      <c r="E233" t="s">
        <v>585</v>
      </c>
      <c r="F233" s="215"/>
      <c r="AI233" s="214" t="s">
        <v>1018</v>
      </c>
    </row>
    <row r="234" spans="5:35" x14ac:dyDescent="0.35">
      <c r="E234" t="s">
        <v>587</v>
      </c>
      <c r="F234" s="215"/>
      <c r="AI234" s="214" t="s">
        <v>1018</v>
      </c>
    </row>
    <row r="235" spans="5:35" x14ac:dyDescent="0.35">
      <c r="E235" t="s">
        <v>589</v>
      </c>
      <c r="F235" s="215"/>
      <c r="AI235" s="214" t="s">
        <v>1018</v>
      </c>
    </row>
    <row r="236" spans="5:35" x14ac:dyDescent="0.35">
      <c r="E236" t="s">
        <v>591</v>
      </c>
      <c r="F236" s="215"/>
      <c r="AI236" s="214" t="s">
        <v>1018</v>
      </c>
    </row>
    <row r="237" spans="5:35" x14ac:dyDescent="0.35">
      <c r="E237" t="s">
        <v>593</v>
      </c>
      <c r="F237" s="215"/>
      <c r="AI237" s="214" t="s">
        <v>1018</v>
      </c>
    </row>
    <row r="238" spans="5:35" x14ac:dyDescent="0.35">
      <c r="E238" t="s">
        <v>595</v>
      </c>
      <c r="F238" s="215"/>
      <c r="AI238" s="214" t="s">
        <v>1018</v>
      </c>
    </row>
    <row r="239" spans="5:35" x14ac:dyDescent="0.35">
      <c r="E239" t="s">
        <v>597</v>
      </c>
      <c r="F239" s="215"/>
      <c r="AI239" s="214" t="s">
        <v>1018</v>
      </c>
    </row>
    <row r="240" spans="5:35" x14ac:dyDescent="0.35">
      <c r="E240" t="s">
        <v>599</v>
      </c>
      <c r="F240" s="215"/>
      <c r="AI240" s="214" t="s">
        <v>1018</v>
      </c>
    </row>
    <row r="241" spans="5:35" x14ac:dyDescent="0.35">
      <c r="E241" t="s">
        <v>601</v>
      </c>
      <c r="F241" s="215"/>
      <c r="AI241" s="214" t="s">
        <v>1018</v>
      </c>
    </row>
    <row r="242" spans="5:35" x14ac:dyDescent="0.35">
      <c r="E242" t="s">
        <v>603</v>
      </c>
      <c r="F242" s="215"/>
      <c r="AI242" s="214" t="s">
        <v>1018</v>
      </c>
    </row>
    <row r="243" spans="5:35" x14ac:dyDescent="0.35">
      <c r="E243" t="s">
        <v>605</v>
      </c>
      <c r="F243" s="215"/>
      <c r="AI243" s="214" t="s">
        <v>1018</v>
      </c>
    </row>
    <row r="244" spans="5:35" x14ac:dyDescent="0.35">
      <c r="E244" t="s">
        <v>607</v>
      </c>
      <c r="F244" s="215"/>
      <c r="AI244" s="214" t="s">
        <v>1018</v>
      </c>
    </row>
    <row r="245" spans="5:35" x14ac:dyDescent="0.35">
      <c r="E245" t="s">
        <v>609</v>
      </c>
      <c r="F245" s="215"/>
      <c r="AI245" s="214" t="s">
        <v>1018</v>
      </c>
    </row>
    <row r="246" spans="5:35" x14ac:dyDescent="0.35">
      <c r="E246" t="s">
        <v>611</v>
      </c>
      <c r="F246" s="215"/>
      <c r="AI246" s="214" t="s">
        <v>1018</v>
      </c>
    </row>
    <row r="247" spans="5:35" x14ac:dyDescent="0.35">
      <c r="E247" t="s">
        <v>613</v>
      </c>
      <c r="F247" s="215"/>
      <c r="AI247" s="214" t="s">
        <v>1018</v>
      </c>
    </row>
    <row r="248" spans="5:35" x14ac:dyDescent="0.35">
      <c r="E248" t="s">
        <v>615</v>
      </c>
      <c r="F248" s="215"/>
      <c r="AI248" s="214" t="s">
        <v>1018</v>
      </c>
    </row>
    <row r="249" spans="5:35" x14ac:dyDescent="0.35">
      <c r="E249" t="s">
        <v>617</v>
      </c>
      <c r="F249" s="215"/>
      <c r="AI249" s="214" t="s">
        <v>1018</v>
      </c>
    </row>
    <row r="250" spans="5:35" x14ac:dyDescent="0.35">
      <c r="E250" t="s">
        <v>619</v>
      </c>
      <c r="F250" s="215"/>
      <c r="AI250" s="214" t="s">
        <v>1018</v>
      </c>
    </row>
    <row r="251" spans="5:35" x14ac:dyDescent="0.35">
      <c r="E251" t="s">
        <v>621</v>
      </c>
      <c r="F251" s="215"/>
      <c r="AI251" s="214" t="s">
        <v>1018</v>
      </c>
    </row>
    <row r="252" spans="5:35" x14ac:dyDescent="0.35">
      <c r="E252" t="s">
        <v>623</v>
      </c>
      <c r="F252" s="215"/>
      <c r="AI252" s="214" t="s">
        <v>1018</v>
      </c>
    </row>
    <row r="253" spans="5:35" x14ac:dyDescent="0.35">
      <c r="E253" t="s">
        <v>625</v>
      </c>
      <c r="F253" s="215"/>
      <c r="AI253" s="214" t="s">
        <v>1018</v>
      </c>
    </row>
    <row r="254" spans="5:35" x14ac:dyDescent="0.35">
      <c r="E254" t="s">
        <v>627</v>
      </c>
      <c r="F254" s="215"/>
      <c r="AI254" s="214" t="s">
        <v>1018</v>
      </c>
    </row>
    <row r="255" spans="5:35" x14ac:dyDescent="0.35">
      <c r="E255" t="s">
        <v>629</v>
      </c>
      <c r="F255" s="215"/>
      <c r="AI255" s="214" t="s">
        <v>1018</v>
      </c>
    </row>
    <row r="256" spans="5:35" x14ac:dyDescent="0.35">
      <c r="E256" t="s">
        <v>631</v>
      </c>
      <c r="F256" s="215"/>
      <c r="AI256" s="214" t="s">
        <v>1018</v>
      </c>
    </row>
    <row r="257" spans="5:35" x14ac:dyDescent="0.35">
      <c r="E257" t="s">
        <v>633</v>
      </c>
      <c r="F257" s="215"/>
      <c r="AI257" s="214" t="s">
        <v>1018</v>
      </c>
    </row>
    <row r="258" spans="5:35" x14ac:dyDescent="0.35">
      <c r="E258" t="s">
        <v>635</v>
      </c>
      <c r="F258" s="215"/>
      <c r="AI258" s="214" t="s">
        <v>1018</v>
      </c>
    </row>
    <row r="259" spans="5:35" x14ac:dyDescent="0.35">
      <c r="E259" t="s">
        <v>637</v>
      </c>
      <c r="F259" s="215"/>
      <c r="AI259" s="214" t="s">
        <v>1018</v>
      </c>
    </row>
    <row r="260" spans="5:35" x14ac:dyDescent="0.35">
      <c r="E260" t="s">
        <v>639</v>
      </c>
      <c r="F260" s="215"/>
      <c r="AI260" s="214" t="s">
        <v>1018</v>
      </c>
    </row>
    <row r="261" spans="5:35" x14ac:dyDescent="0.35">
      <c r="E261" t="s">
        <v>641</v>
      </c>
      <c r="F261" s="215"/>
      <c r="AI261" s="214" t="s">
        <v>1018</v>
      </c>
    </row>
    <row r="262" spans="5:35" x14ac:dyDescent="0.35">
      <c r="E262" t="s">
        <v>643</v>
      </c>
      <c r="F262" s="215"/>
      <c r="AI262" s="214" t="s">
        <v>1018</v>
      </c>
    </row>
    <row r="263" spans="5:35" x14ac:dyDescent="0.35">
      <c r="E263" t="s">
        <v>645</v>
      </c>
      <c r="F263" s="215"/>
      <c r="AI263" s="214" t="s">
        <v>1018</v>
      </c>
    </row>
    <row r="264" spans="5:35" x14ac:dyDescent="0.35">
      <c r="E264" t="s">
        <v>647</v>
      </c>
      <c r="F264" s="215"/>
      <c r="AI264" s="214" t="s">
        <v>1018</v>
      </c>
    </row>
    <row r="265" spans="5:35" x14ac:dyDescent="0.35">
      <c r="E265" t="s">
        <v>649</v>
      </c>
      <c r="F265" s="215"/>
      <c r="AI265" s="214" t="s">
        <v>1018</v>
      </c>
    </row>
    <row r="266" spans="5:35" x14ac:dyDescent="0.35">
      <c r="E266" t="s">
        <v>651</v>
      </c>
      <c r="F266" s="215"/>
      <c r="AI266" s="214" t="s">
        <v>1018</v>
      </c>
    </row>
    <row r="267" spans="5:35" x14ac:dyDescent="0.35">
      <c r="E267" t="s">
        <v>653</v>
      </c>
      <c r="F267" s="215"/>
      <c r="AI267" s="214" t="s">
        <v>1018</v>
      </c>
    </row>
    <row r="268" spans="5:35" x14ac:dyDescent="0.35">
      <c r="E268" t="s">
        <v>655</v>
      </c>
      <c r="F268" s="215"/>
      <c r="AI268" s="214" t="s">
        <v>1018</v>
      </c>
    </row>
    <row r="269" spans="5:35" x14ac:dyDescent="0.35">
      <c r="E269" t="s">
        <v>657</v>
      </c>
      <c r="F269" s="215"/>
      <c r="AI269" s="214" t="s">
        <v>1018</v>
      </c>
    </row>
    <row r="270" spans="5:35" x14ac:dyDescent="0.35">
      <c r="E270" t="s">
        <v>659</v>
      </c>
      <c r="F270" s="215"/>
      <c r="AI270" s="214" t="s">
        <v>1018</v>
      </c>
    </row>
    <row r="271" spans="5:35" x14ac:dyDescent="0.35">
      <c r="E271" t="s">
        <v>661</v>
      </c>
      <c r="F271" s="215"/>
      <c r="AI271" s="214" t="s">
        <v>1018</v>
      </c>
    </row>
    <row r="272" spans="5:35" x14ac:dyDescent="0.35">
      <c r="E272" t="s">
        <v>663</v>
      </c>
      <c r="F272" s="215"/>
      <c r="AI272" s="214" t="s">
        <v>1018</v>
      </c>
    </row>
    <row r="273" spans="5:35" x14ac:dyDescent="0.35">
      <c r="E273" t="s">
        <v>665</v>
      </c>
      <c r="F273" s="215"/>
      <c r="AI273" s="214" t="s">
        <v>1018</v>
      </c>
    </row>
    <row r="274" spans="5:35" x14ac:dyDescent="0.35">
      <c r="E274" t="s">
        <v>667</v>
      </c>
      <c r="F274" s="215"/>
      <c r="AI274" s="214" t="s">
        <v>1018</v>
      </c>
    </row>
    <row r="275" spans="5:35" x14ac:dyDescent="0.35">
      <c r="E275" t="s">
        <v>669</v>
      </c>
      <c r="F275" s="215"/>
      <c r="AI275" s="214" t="s">
        <v>1018</v>
      </c>
    </row>
    <row r="276" spans="5:35" x14ac:dyDescent="0.35">
      <c r="E276" t="s">
        <v>671</v>
      </c>
      <c r="F276" s="215"/>
      <c r="AI276" s="214" t="s">
        <v>1018</v>
      </c>
    </row>
    <row r="277" spans="5:35" x14ac:dyDescent="0.35">
      <c r="E277" t="s">
        <v>673</v>
      </c>
      <c r="F277" s="215"/>
      <c r="AI277" s="214" t="s">
        <v>1018</v>
      </c>
    </row>
    <row r="278" spans="5:35" x14ac:dyDescent="0.35">
      <c r="E278" t="s">
        <v>675</v>
      </c>
      <c r="F278" s="215"/>
      <c r="AI278" s="214" t="s">
        <v>1018</v>
      </c>
    </row>
    <row r="279" spans="5:35" x14ac:dyDescent="0.35">
      <c r="E279" t="s">
        <v>677</v>
      </c>
      <c r="F279" s="215"/>
      <c r="AI279" s="214" t="s">
        <v>1018</v>
      </c>
    </row>
    <row r="280" spans="5:35" x14ac:dyDescent="0.35">
      <c r="E280" t="s">
        <v>679</v>
      </c>
      <c r="F280" s="215"/>
      <c r="AI280" s="214" t="s">
        <v>1018</v>
      </c>
    </row>
    <row r="281" spans="5:35" x14ac:dyDescent="0.35">
      <c r="E281" t="s">
        <v>681</v>
      </c>
      <c r="F281" s="215"/>
      <c r="AI281" s="214" t="s">
        <v>1018</v>
      </c>
    </row>
    <row r="282" spans="5:35" x14ac:dyDescent="0.35">
      <c r="E282" t="s">
        <v>683</v>
      </c>
      <c r="F282" s="215"/>
      <c r="AI282" s="214" t="s">
        <v>1018</v>
      </c>
    </row>
    <row r="283" spans="5:35" x14ac:dyDescent="0.35">
      <c r="E283" t="s">
        <v>685</v>
      </c>
      <c r="F283" s="215"/>
      <c r="AI283" s="214" t="s">
        <v>1018</v>
      </c>
    </row>
    <row r="284" spans="5:35" x14ac:dyDescent="0.35">
      <c r="E284" t="s">
        <v>687</v>
      </c>
      <c r="F284" s="215"/>
      <c r="AI284" s="214" t="s">
        <v>1018</v>
      </c>
    </row>
    <row r="285" spans="5:35" x14ac:dyDescent="0.35">
      <c r="E285" t="s">
        <v>689</v>
      </c>
      <c r="F285" s="215"/>
      <c r="AI285" s="214" t="s">
        <v>1018</v>
      </c>
    </row>
    <row r="286" spans="5:35" x14ac:dyDescent="0.35">
      <c r="E286" t="s">
        <v>691</v>
      </c>
      <c r="F286" s="215"/>
      <c r="AI286" s="214" t="s">
        <v>1018</v>
      </c>
    </row>
    <row r="287" spans="5:35" x14ac:dyDescent="0.35">
      <c r="E287" t="s">
        <v>693</v>
      </c>
      <c r="F287" s="215"/>
      <c r="AI287" s="214" t="s">
        <v>1018</v>
      </c>
    </row>
    <row r="288" spans="5:35" x14ac:dyDescent="0.35">
      <c r="E288" t="s">
        <v>695</v>
      </c>
      <c r="F288" s="215"/>
      <c r="AI288" s="214" t="s">
        <v>1018</v>
      </c>
    </row>
    <row r="289" spans="5:35" x14ac:dyDescent="0.35">
      <c r="E289" t="s">
        <v>697</v>
      </c>
      <c r="F289" s="215"/>
      <c r="AI289" s="214" t="s">
        <v>1018</v>
      </c>
    </row>
    <row r="290" spans="5:35" x14ac:dyDescent="0.35">
      <c r="E290" t="s">
        <v>699</v>
      </c>
      <c r="F290" s="215"/>
      <c r="AI290" s="214" t="s">
        <v>1018</v>
      </c>
    </row>
    <row r="291" spans="5:35" x14ac:dyDescent="0.35">
      <c r="E291" t="s">
        <v>701</v>
      </c>
      <c r="F291" s="215"/>
      <c r="AI291" s="214" t="s">
        <v>1018</v>
      </c>
    </row>
    <row r="292" spans="5:35" x14ac:dyDescent="0.35">
      <c r="E292" t="s">
        <v>703</v>
      </c>
      <c r="F292" s="215"/>
      <c r="AI292" s="214" t="s">
        <v>1018</v>
      </c>
    </row>
    <row r="293" spans="5:35" x14ac:dyDescent="0.35">
      <c r="E293" t="s">
        <v>705</v>
      </c>
      <c r="F293" s="215"/>
      <c r="AI293" s="214" t="s">
        <v>1018</v>
      </c>
    </row>
    <row r="294" spans="5:35" x14ac:dyDescent="0.35">
      <c r="E294" t="s">
        <v>707</v>
      </c>
      <c r="F294" s="215"/>
      <c r="AI294" s="214" t="s">
        <v>1018</v>
      </c>
    </row>
    <row r="295" spans="5:35" x14ac:dyDescent="0.35">
      <c r="E295" t="s">
        <v>709</v>
      </c>
      <c r="F295" s="215"/>
      <c r="AI295" s="214" t="s">
        <v>1018</v>
      </c>
    </row>
    <row r="296" spans="5:35" x14ac:dyDescent="0.35">
      <c r="E296" t="s">
        <v>711</v>
      </c>
      <c r="F296" s="215"/>
      <c r="AI296" s="214" t="s">
        <v>1018</v>
      </c>
    </row>
    <row r="297" spans="5:35" x14ac:dyDescent="0.35">
      <c r="E297" t="s">
        <v>713</v>
      </c>
      <c r="F297" s="215"/>
      <c r="AI297" s="214" t="s">
        <v>1018</v>
      </c>
    </row>
    <row r="298" spans="5:35" x14ac:dyDescent="0.35">
      <c r="E298" t="s">
        <v>715</v>
      </c>
      <c r="F298" s="215"/>
      <c r="AI298" s="214" t="s">
        <v>1018</v>
      </c>
    </row>
    <row r="299" spans="5:35" x14ac:dyDescent="0.35">
      <c r="E299" t="s">
        <v>717</v>
      </c>
      <c r="F299" s="215"/>
      <c r="AI299" s="214" t="s">
        <v>1018</v>
      </c>
    </row>
    <row r="300" spans="5:35" x14ac:dyDescent="0.35">
      <c r="E300" t="s">
        <v>719</v>
      </c>
      <c r="F300" s="215"/>
      <c r="AI300" s="214" t="s">
        <v>1018</v>
      </c>
    </row>
    <row r="301" spans="5:35" x14ac:dyDescent="0.35">
      <c r="E301" t="s">
        <v>721</v>
      </c>
      <c r="F301" s="215"/>
      <c r="AI301" s="214" t="s">
        <v>1018</v>
      </c>
    </row>
    <row r="302" spans="5:35" x14ac:dyDescent="0.35">
      <c r="E302" t="s">
        <v>723</v>
      </c>
      <c r="F302" s="215"/>
      <c r="AI302" s="214" t="s">
        <v>1018</v>
      </c>
    </row>
    <row r="303" spans="5:35" x14ac:dyDescent="0.35">
      <c r="E303" t="s">
        <v>725</v>
      </c>
      <c r="F303" s="215"/>
      <c r="AI303" s="214" t="s">
        <v>1018</v>
      </c>
    </row>
    <row r="304" spans="5:35" x14ac:dyDescent="0.35">
      <c r="E304" t="s">
        <v>727</v>
      </c>
      <c r="F304" s="215"/>
      <c r="AI304" s="214" t="s">
        <v>1018</v>
      </c>
    </row>
    <row r="305" spans="5:35" x14ac:dyDescent="0.35">
      <c r="E305" t="s">
        <v>729</v>
      </c>
      <c r="F305" s="215"/>
      <c r="AI305" s="214" t="s">
        <v>1018</v>
      </c>
    </row>
    <row r="306" spans="5:35" x14ac:dyDescent="0.35">
      <c r="E306" t="s">
        <v>731</v>
      </c>
      <c r="F306" s="215"/>
      <c r="AI306" s="214" t="s">
        <v>1018</v>
      </c>
    </row>
    <row r="307" spans="5:35" x14ac:dyDescent="0.35">
      <c r="F307" s="215"/>
      <c r="AI307" s="214" t="s">
        <v>1018</v>
      </c>
    </row>
    <row r="308" spans="5:35" x14ac:dyDescent="0.35">
      <c r="F308" s="215"/>
      <c r="AI308" s="214" t="s">
        <v>1018</v>
      </c>
    </row>
    <row r="309" spans="5:35" x14ac:dyDescent="0.35">
      <c r="F309" s="215"/>
      <c r="AI309" s="214" t="s">
        <v>1018</v>
      </c>
    </row>
    <row r="310" spans="5:35" x14ac:dyDescent="0.35">
      <c r="F310" s="215"/>
      <c r="AI310" s="214" t="s">
        <v>1018</v>
      </c>
    </row>
    <row r="311" spans="5:35" x14ac:dyDescent="0.35">
      <c r="F311" s="215"/>
      <c r="AI311" s="214" t="s">
        <v>1018</v>
      </c>
    </row>
    <row r="312" spans="5:35" x14ac:dyDescent="0.35">
      <c r="F312" s="215"/>
      <c r="AI312" s="214" t="s">
        <v>1018</v>
      </c>
    </row>
    <row r="313" spans="5:35" x14ac:dyDescent="0.35">
      <c r="F313" s="215"/>
      <c r="AI313" s="214" t="s">
        <v>1018</v>
      </c>
    </row>
    <row r="314" spans="5:35" x14ac:dyDescent="0.35">
      <c r="F314" s="215"/>
      <c r="AI314" s="214" t="s">
        <v>1018</v>
      </c>
    </row>
    <row r="315" spans="5:35" x14ac:dyDescent="0.35">
      <c r="F315" s="215"/>
      <c r="AI315" s="214" t="s">
        <v>1018</v>
      </c>
    </row>
    <row r="316" spans="5:35" x14ac:dyDescent="0.35">
      <c r="F316" s="215"/>
      <c r="AI316" s="214" t="s">
        <v>1018</v>
      </c>
    </row>
    <row r="317" spans="5:35" x14ac:dyDescent="0.35">
      <c r="F317" s="215"/>
      <c r="AI317" s="214" t="s">
        <v>1018</v>
      </c>
    </row>
    <row r="318" spans="5:35" x14ac:dyDescent="0.35">
      <c r="F318" s="215"/>
      <c r="AI318" s="214" t="s">
        <v>1018</v>
      </c>
    </row>
    <row r="319" spans="5:35" x14ac:dyDescent="0.35">
      <c r="F319" s="215"/>
      <c r="AI319" s="214" t="s">
        <v>1018</v>
      </c>
    </row>
    <row r="320" spans="5:35" x14ac:dyDescent="0.35">
      <c r="F320" s="215"/>
      <c r="AI320" s="214" t="s">
        <v>1018</v>
      </c>
    </row>
    <row r="321" spans="6:35" x14ac:dyDescent="0.35">
      <c r="F321" s="215"/>
      <c r="AI321" s="214" t="s">
        <v>1018</v>
      </c>
    </row>
    <row r="322" spans="6:35" x14ac:dyDescent="0.35">
      <c r="AI322" s="214" t="s">
        <v>1018</v>
      </c>
    </row>
    <row r="323" spans="6:35" x14ac:dyDescent="0.35">
      <c r="AI323" s="214" t="s">
        <v>1018</v>
      </c>
    </row>
    <row r="324" spans="6:35" x14ac:dyDescent="0.35">
      <c r="AI324" s="214" t="s">
        <v>1018</v>
      </c>
    </row>
    <row r="325" spans="6:35" x14ac:dyDescent="0.35">
      <c r="AI325" s="214" t="s">
        <v>1018</v>
      </c>
    </row>
    <row r="326" spans="6:35" x14ac:dyDescent="0.35">
      <c r="AI326" s="214" t="s">
        <v>1018</v>
      </c>
    </row>
    <row r="327" spans="6:35" x14ac:dyDescent="0.35">
      <c r="AI327" s="214" t="s">
        <v>1018</v>
      </c>
    </row>
    <row r="328" spans="6:35" x14ac:dyDescent="0.35">
      <c r="AI328" s="214" t="s">
        <v>1018</v>
      </c>
    </row>
    <row r="329" spans="6:35" x14ac:dyDescent="0.35">
      <c r="AI329" s="214" t="s">
        <v>1018</v>
      </c>
    </row>
    <row r="341" spans="5:5" x14ac:dyDescent="0.35">
      <c r="E341" s="353"/>
    </row>
    <row r="353" spans="5:5" x14ac:dyDescent="0.35">
      <c r="E353" s="249"/>
    </row>
    <row r="354" spans="5:5" x14ac:dyDescent="0.35">
      <c r="E354" s="249"/>
    </row>
    <row r="355" spans="5:5" x14ac:dyDescent="0.35">
      <c r="E355" s="249"/>
    </row>
    <row r="356" spans="5:5" x14ac:dyDescent="0.35">
      <c r="E356" s="249"/>
    </row>
    <row r="357" spans="5:5" x14ac:dyDescent="0.35">
      <c r="E357" s="249"/>
    </row>
    <row r="358" spans="5:5" x14ac:dyDescent="0.35">
      <c r="E358" s="249"/>
    </row>
    <row r="359" spans="5:5" x14ac:dyDescent="0.35">
      <c r="E359" s="249"/>
    </row>
    <row r="360" spans="5:5" x14ac:dyDescent="0.35">
      <c r="E360" s="249"/>
    </row>
    <row r="361" spans="5:5" x14ac:dyDescent="0.35">
      <c r="E361" s="249"/>
    </row>
    <row r="362" spans="5:5" x14ac:dyDescent="0.35">
      <c r="E362" s="249"/>
    </row>
    <row r="363" spans="5:5" x14ac:dyDescent="0.35">
      <c r="E363" s="249"/>
    </row>
    <row r="364" spans="5:5" x14ac:dyDescent="0.35">
      <c r="E364" s="249"/>
    </row>
    <row r="365" spans="5:5" x14ac:dyDescent="0.35">
      <c r="E365" s="211"/>
    </row>
    <row r="366" spans="5:5" x14ac:dyDescent="0.35">
      <c r="E366" s="211"/>
    </row>
    <row r="367" spans="5:5" x14ac:dyDescent="0.35">
      <c r="E367" s="211"/>
    </row>
    <row r="368" spans="5:5" x14ac:dyDescent="0.35">
      <c r="E368" s="211"/>
    </row>
    <row r="369" spans="5:5" x14ac:dyDescent="0.35">
      <c r="E369" s="212"/>
    </row>
    <row r="370" spans="5:5" x14ac:dyDescent="0.35">
      <c r="E370" s="212"/>
    </row>
    <row r="371" spans="5:5" x14ac:dyDescent="0.35">
      <c r="E371" s="212"/>
    </row>
    <row r="372" spans="5:5" x14ac:dyDescent="0.35">
      <c r="E372" s="213"/>
    </row>
  </sheetData>
  <mergeCells count="2">
    <mergeCell ref="A10:B10"/>
    <mergeCell ref="A12:B12"/>
  </mergeCells>
  <dataValidations count="1">
    <dataValidation type="list" allowBlank="1" showInputMessage="1" showErrorMessage="1" sqref="G5" xr:uid="{00000000-0002-0000-0500-000000000000}">
      <formula1>"TRUE, FALSE"</formula1>
    </dataValidation>
  </dataValidations>
  <pageMargins left="0.75" right="0.75" top="1" bottom="1" header="0.5" footer="0.5"/>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06"/>
  <sheetViews>
    <sheetView workbookViewId="0">
      <selection activeCell="A2" sqref="A2"/>
    </sheetView>
  </sheetViews>
  <sheetFormatPr defaultRowHeight="12.5" x14ac:dyDescent="0.25"/>
  <sheetData>
    <row r="1" spans="1:2" ht="15" customHeight="1" x14ac:dyDescent="0.35">
      <c r="A1" s="231" t="s">
        <v>965</v>
      </c>
      <c r="B1" s="13" t="s">
        <v>1040</v>
      </c>
    </row>
    <row r="2" spans="1:2" x14ac:dyDescent="0.25">
      <c r="A2" t="s">
        <v>126</v>
      </c>
    </row>
    <row r="3" spans="1:2" x14ac:dyDescent="0.25">
      <c r="A3" t="s">
        <v>129</v>
      </c>
    </row>
    <row r="4" spans="1:2" x14ac:dyDescent="0.25">
      <c r="A4" t="s">
        <v>133</v>
      </c>
    </row>
    <row r="5" spans="1:2" x14ac:dyDescent="0.25">
      <c r="A5" t="s">
        <v>135</v>
      </c>
    </row>
    <row r="6" spans="1:2" x14ac:dyDescent="0.25">
      <c r="A6" t="s">
        <v>137</v>
      </c>
    </row>
    <row r="7" spans="1:2" x14ac:dyDescent="0.25">
      <c r="A7" t="s">
        <v>139</v>
      </c>
    </row>
    <row r="8" spans="1:2" x14ac:dyDescent="0.25">
      <c r="A8" t="s">
        <v>141</v>
      </c>
    </row>
    <row r="9" spans="1:2" x14ac:dyDescent="0.25">
      <c r="A9" t="s">
        <v>143</v>
      </c>
    </row>
    <row r="10" spans="1:2" x14ac:dyDescent="0.25">
      <c r="A10" t="s">
        <v>145</v>
      </c>
      <c r="B10" s="13" t="s">
        <v>1041</v>
      </c>
    </row>
    <row r="11" spans="1:2" x14ac:dyDescent="0.25">
      <c r="A11" t="s">
        <v>1042</v>
      </c>
    </row>
    <row r="12" spans="1:2" x14ac:dyDescent="0.25">
      <c r="A12" t="s">
        <v>147</v>
      </c>
    </row>
    <row r="13" spans="1:2" x14ac:dyDescent="0.25">
      <c r="A13" t="s">
        <v>149</v>
      </c>
    </row>
    <row r="14" spans="1:2" x14ac:dyDescent="0.25">
      <c r="A14" t="s">
        <v>151</v>
      </c>
    </row>
    <row r="15" spans="1:2" x14ac:dyDescent="0.25">
      <c r="A15" t="s">
        <v>1043</v>
      </c>
    </row>
    <row r="16" spans="1:2" x14ac:dyDescent="0.25">
      <c r="A16" t="s">
        <v>161</v>
      </c>
    </row>
    <row r="17" spans="1:1" x14ac:dyDescent="0.25">
      <c r="A17" t="s">
        <v>163</v>
      </c>
    </row>
    <row r="18" spans="1:1" x14ac:dyDescent="0.25">
      <c r="A18" t="s">
        <v>165</v>
      </c>
    </row>
    <row r="19" spans="1:1" x14ac:dyDescent="0.25">
      <c r="A19" t="s">
        <v>171</v>
      </c>
    </row>
    <row r="20" spans="1:1" x14ac:dyDescent="0.25">
      <c r="A20" t="s">
        <v>1044</v>
      </c>
    </row>
    <row r="21" spans="1:1" x14ac:dyDescent="0.25">
      <c r="A21" t="s">
        <v>1045</v>
      </c>
    </row>
    <row r="22" spans="1:1" x14ac:dyDescent="0.25">
      <c r="A22" t="s">
        <v>1046</v>
      </c>
    </row>
    <row r="23" spans="1:1" x14ac:dyDescent="0.25">
      <c r="A23" t="s">
        <v>1047</v>
      </c>
    </row>
    <row r="24" spans="1:1" x14ac:dyDescent="0.25">
      <c r="A24" t="s">
        <v>1048</v>
      </c>
    </row>
    <row r="25" spans="1:1" x14ac:dyDescent="0.25">
      <c r="A25" t="s">
        <v>1049</v>
      </c>
    </row>
    <row r="26" spans="1:1" x14ac:dyDescent="0.25">
      <c r="A26" t="s">
        <v>1050</v>
      </c>
    </row>
    <row r="27" spans="1:1" x14ac:dyDescent="0.25">
      <c r="A27" t="s">
        <v>1051</v>
      </c>
    </row>
    <row r="28" spans="1:1" x14ac:dyDescent="0.25">
      <c r="A28" t="s">
        <v>1052</v>
      </c>
    </row>
    <row r="29" spans="1:1" x14ac:dyDescent="0.25">
      <c r="A29" t="s">
        <v>1053</v>
      </c>
    </row>
    <row r="30" spans="1:1" x14ac:dyDescent="0.25">
      <c r="A30" t="s">
        <v>1054</v>
      </c>
    </row>
    <row r="31" spans="1:1" x14ac:dyDescent="0.25">
      <c r="A31" t="s">
        <v>1055</v>
      </c>
    </row>
    <row r="32" spans="1:1" x14ac:dyDescent="0.25">
      <c r="A32" t="s">
        <v>1056</v>
      </c>
    </row>
    <row r="33" spans="1:1" x14ac:dyDescent="0.25">
      <c r="A33" t="s">
        <v>1057</v>
      </c>
    </row>
    <row r="34" spans="1:1" x14ac:dyDescent="0.25">
      <c r="A34" t="s">
        <v>1058</v>
      </c>
    </row>
    <row r="35" spans="1:1" x14ac:dyDescent="0.25">
      <c r="A35" t="s">
        <v>1059</v>
      </c>
    </row>
    <row r="36" spans="1:1" x14ac:dyDescent="0.25">
      <c r="A36" t="s">
        <v>1060</v>
      </c>
    </row>
    <row r="37" spans="1:1" x14ac:dyDescent="0.25">
      <c r="A37" t="s">
        <v>1061</v>
      </c>
    </row>
    <row r="38" spans="1:1" x14ac:dyDescent="0.25">
      <c r="A38" t="s">
        <v>1062</v>
      </c>
    </row>
    <row r="39" spans="1:1" x14ac:dyDescent="0.25">
      <c r="A39" t="s">
        <v>1063</v>
      </c>
    </row>
    <row r="40" spans="1:1" x14ac:dyDescent="0.25">
      <c r="A40" t="s">
        <v>1064</v>
      </c>
    </row>
    <row r="41" spans="1:1" x14ac:dyDescent="0.25">
      <c r="A41" t="s">
        <v>1065</v>
      </c>
    </row>
    <row r="42" spans="1:1" x14ac:dyDescent="0.25">
      <c r="A42" t="s">
        <v>1066</v>
      </c>
    </row>
    <row r="43" spans="1:1" x14ac:dyDescent="0.25">
      <c r="A43" t="s">
        <v>1067</v>
      </c>
    </row>
    <row r="44" spans="1:1" x14ac:dyDescent="0.25">
      <c r="A44" t="s">
        <v>1068</v>
      </c>
    </row>
    <row r="45" spans="1:1" x14ac:dyDescent="0.25">
      <c r="A45" t="s">
        <v>1069</v>
      </c>
    </row>
    <row r="46" spans="1:1" x14ac:dyDescent="0.25">
      <c r="A46" t="s">
        <v>1070</v>
      </c>
    </row>
    <row r="47" spans="1:1" x14ac:dyDescent="0.25">
      <c r="A47" t="s">
        <v>1071</v>
      </c>
    </row>
    <row r="48" spans="1:1" x14ac:dyDescent="0.25">
      <c r="A48" t="s">
        <v>1072</v>
      </c>
    </row>
    <row r="49" spans="1:1" x14ac:dyDescent="0.25">
      <c r="A49" t="s">
        <v>1073</v>
      </c>
    </row>
    <row r="50" spans="1:1" x14ac:dyDescent="0.25">
      <c r="A50" t="s">
        <v>1074</v>
      </c>
    </row>
    <row r="51" spans="1:1" x14ac:dyDescent="0.25">
      <c r="A51" t="s">
        <v>1075</v>
      </c>
    </row>
    <row r="52" spans="1:1" x14ac:dyDescent="0.25">
      <c r="A52" t="s">
        <v>1076</v>
      </c>
    </row>
    <row r="53" spans="1:1" x14ac:dyDescent="0.25">
      <c r="A53" t="s">
        <v>1077</v>
      </c>
    </row>
    <row r="54" spans="1:1" x14ac:dyDescent="0.25">
      <c r="A54" t="s">
        <v>1078</v>
      </c>
    </row>
    <row r="55" spans="1:1" x14ac:dyDescent="0.25">
      <c r="A55" t="s">
        <v>1079</v>
      </c>
    </row>
    <row r="56" spans="1:1" x14ac:dyDescent="0.25">
      <c r="A56" t="s">
        <v>1080</v>
      </c>
    </row>
    <row r="57" spans="1:1" x14ac:dyDescent="0.25">
      <c r="A57" t="s">
        <v>1081</v>
      </c>
    </row>
    <row r="58" spans="1:1" x14ac:dyDescent="0.25">
      <c r="A58" t="s">
        <v>1082</v>
      </c>
    </row>
    <row r="59" spans="1:1" x14ac:dyDescent="0.25">
      <c r="A59" t="s">
        <v>1083</v>
      </c>
    </row>
    <row r="60" spans="1:1" x14ac:dyDescent="0.25">
      <c r="A60" t="s">
        <v>1084</v>
      </c>
    </row>
    <row r="61" spans="1:1" x14ac:dyDescent="0.25">
      <c r="A61" t="s">
        <v>1085</v>
      </c>
    </row>
    <row r="62" spans="1:1" x14ac:dyDescent="0.25">
      <c r="A62" t="s">
        <v>1086</v>
      </c>
    </row>
    <row r="63" spans="1:1" x14ac:dyDescent="0.25">
      <c r="A63" t="s">
        <v>1087</v>
      </c>
    </row>
    <row r="64" spans="1:1" x14ac:dyDescent="0.25">
      <c r="A64" t="s">
        <v>173</v>
      </c>
    </row>
    <row r="65" spans="1:1" x14ac:dyDescent="0.25">
      <c r="A65" t="s">
        <v>175</v>
      </c>
    </row>
    <row r="66" spans="1:1" x14ac:dyDescent="0.25">
      <c r="A66" t="s">
        <v>177</v>
      </c>
    </row>
    <row r="67" spans="1:1" x14ac:dyDescent="0.25">
      <c r="A67" t="s">
        <v>179</v>
      </c>
    </row>
    <row r="68" spans="1:1" x14ac:dyDescent="0.25">
      <c r="A68" t="s">
        <v>181</v>
      </c>
    </row>
    <row r="69" spans="1:1" x14ac:dyDescent="0.25">
      <c r="A69" t="s">
        <v>183</v>
      </c>
    </row>
    <row r="70" spans="1:1" x14ac:dyDescent="0.25">
      <c r="A70" t="s">
        <v>189</v>
      </c>
    </row>
    <row r="71" spans="1:1" x14ac:dyDescent="0.25">
      <c r="A71" t="s">
        <v>193</v>
      </c>
    </row>
    <row r="72" spans="1:1" x14ac:dyDescent="0.25">
      <c r="A72" t="s">
        <v>1088</v>
      </c>
    </row>
    <row r="73" spans="1:1" x14ac:dyDescent="0.25">
      <c r="A73" t="s">
        <v>197</v>
      </c>
    </row>
    <row r="74" spans="1:1" x14ac:dyDescent="0.25">
      <c r="A74" t="s">
        <v>199</v>
      </c>
    </row>
    <row r="75" spans="1:1" x14ac:dyDescent="0.25">
      <c r="A75" t="s">
        <v>203</v>
      </c>
    </row>
    <row r="76" spans="1:1" x14ac:dyDescent="0.25">
      <c r="A76" t="s">
        <v>205</v>
      </c>
    </row>
    <row r="77" spans="1:1" x14ac:dyDescent="0.25">
      <c r="A77" t="s">
        <v>207</v>
      </c>
    </row>
    <row r="78" spans="1:1" x14ac:dyDescent="0.25">
      <c r="A78" t="s">
        <v>211</v>
      </c>
    </row>
    <row r="79" spans="1:1" x14ac:dyDescent="0.25">
      <c r="A79" t="s">
        <v>213</v>
      </c>
    </row>
    <row r="80" spans="1:1" x14ac:dyDescent="0.25">
      <c r="A80" t="s">
        <v>1089</v>
      </c>
    </row>
    <row r="81" spans="1:2" x14ac:dyDescent="0.25">
      <c r="A81" t="s">
        <v>215</v>
      </c>
    </row>
    <row r="82" spans="1:2" x14ac:dyDescent="0.25">
      <c r="A82" t="s">
        <v>221</v>
      </c>
    </row>
    <row r="83" spans="1:2" x14ac:dyDescent="0.25">
      <c r="A83" t="s">
        <v>225</v>
      </c>
    </row>
    <row r="84" spans="1:2" x14ac:dyDescent="0.25">
      <c r="A84" t="s">
        <v>227</v>
      </c>
    </row>
    <row r="85" spans="1:2" x14ac:dyDescent="0.25">
      <c r="A85" t="s">
        <v>229</v>
      </c>
    </row>
    <row r="86" spans="1:2" x14ac:dyDescent="0.25">
      <c r="A86" t="s">
        <v>231</v>
      </c>
    </row>
    <row r="87" spans="1:2" x14ac:dyDescent="0.25">
      <c r="A87" t="s">
        <v>233</v>
      </c>
    </row>
    <row r="88" spans="1:2" x14ac:dyDescent="0.25">
      <c r="A88" t="s">
        <v>235</v>
      </c>
    </row>
    <row r="89" spans="1:2" x14ac:dyDescent="0.25">
      <c r="A89" t="s">
        <v>1090</v>
      </c>
    </row>
    <row r="90" spans="1:2" x14ac:dyDescent="0.25">
      <c r="A90" t="s">
        <v>239</v>
      </c>
      <c r="B90" s="13" t="s">
        <v>1041</v>
      </c>
    </row>
    <row r="91" spans="1:2" x14ac:dyDescent="0.25">
      <c r="A91" t="s">
        <v>241</v>
      </c>
    </row>
    <row r="92" spans="1:2" x14ac:dyDescent="0.25">
      <c r="A92" t="s">
        <v>243</v>
      </c>
    </row>
    <row r="93" spans="1:2" x14ac:dyDescent="0.25">
      <c r="A93" t="s">
        <v>245</v>
      </c>
    </row>
    <row r="94" spans="1:2" x14ac:dyDescent="0.25">
      <c r="A94" t="s">
        <v>247</v>
      </c>
    </row>
    <row r="95" spans="1:2" x14ac:dyDescent="0.25">
      <c r="A95" t="s">
        <v>249</v>
      </c>
    </row>
    <row r="96" spans="1:2" x14ac:dyDescent="0.25">
      <c r="A96" t="s">
        <v>251</v>
      </c>
    </row>
    <row r="97" spans="1:2" x14ac:dyDescent="0.25">
      <c r="A97" t="s">
        <v>253</v>
      </c>
    </row>
    <row r="98" spans="1:2" x14ac:dyDescent="0.25">
      <c r="A98" t="s">
        <v>255</v>
      </c>
    </row>
    <row r="99" spans="1:2" x14ac:dyDescent="0.25">
      <c r="A99" t="s">
        <v>257</v>
      </c>
    </row>
    <row r="100" spans="1:2" x14ac:dyDescent="0.25">
      <c r="A100" t="s">
        <v>261</v>
      </c>
    </row>
    <row r="101" spans="1:2" x14ac:dyDescent="0.25">
      <c r="A101" t="s">
        <v>263</v>
      </c>
      <c r="B101" s="13" t="s">
        <v>1041</v>
      </c>
    </row>
    <row r="102" spans="1:2" x14ac:dyDescent="0.25">
      <c r="A102" t="s">
        <v>267</v>
      </c>
    </row>
    <row r="103" spans="1:2" x14ac:dyDescent="0.25">
      <c r="A103" t="s">
        <v>271</v>
      </c>
    </row>
    <row r="104" spans="1:2" x14ac:dyDescent="0.25">
      <c r="A104" t="s">
        <v>1091</v>
      </c>
    </row>
    <row r="105" spans="1:2" x14ac:dyDescent="0.25">
      <c r="A105" t="s">
        <v>1092</v>
      </c>
    </row>
    <row r="106" spans="1:2" x14ac:dyDescent="0.25">
      <c r="A106" t="s">
        <v>279</v>
      </c>
    </row>
    <row r="107" spans="1:2" x14ac:dyDescent="0.25">
      <c r="A107" t="s">
        <v>281</v>
      </c>
    </row>
    <row r="108" spans="1:2" x14ac:dyDescent="0.25">
      <c r="A108" t="s">
        <v>283</v>
      </c>
    </row>
    <row r="109" spans="1:2" x14ac:dyDescent="0.25">
      <c r="A109" t="s">
        <v>285</v>
      </c>
    </row>
    <row r="110" spans="1:2" x14ac:dyDescent="0.25">
      <c r="A110" t="s">
        <v>287</v>
      </c>
    </row>
    <row r="111" spans="1:2" x14ac:dyDescent="0.25">
      <c r="A111" t="s">
        <v>289</v>
      </c>
    </row>
    <row r="112" spans="1:2" x14ac:dyDescent="0.25">
      <c r="A112" t="s">
        <v>291</v>
      </c>
      <c r="B112" s="13" t="s">
        <v>1041</v>
      </c>
    </row>
    <row r="113" spans="1:2" x14ac:dyDescent="0.25">
      <c r="A113" t="s">
        <v>295</v>
      </c>
    </row>
    <row r="114" spans="1:2" x14ac:dyDescent="0.25">
      <c r="A114" t="s">
        <v>297</v>
      </c>
    </row>
    <row r="115" spans="1:2" x14ac:dyDescent="0.25">
      <c r="A115" t="s">
        <v>301</v>
      </c>
    </row>
    <row r="116" spans="1:2" x14ac:dyDescent="0.25">
      <c r="A116" t="s">
        <v>303</v>
      </c>
    </row>
    <row r="117" spans="1:2" x14ac:dyDescent="0.25">
      <c r="A117" t="s">
        <v>307</v>
      </c>
    </row>
    <row r="118" spans="1:2" x14ac:dyDescent="0.25">
      <c r="A118" t="s">
        <v>311</v>
      </c>
    </row>
    <row r="119" spans="1:2" x14ac:dyDescent="0.25">
      <c r="A119" t="s">
        <v>1093</v>
      </c>
    </row>
    <row r="120" spans="1:2" x14ac:dyDescent="0.25">
      <c r="A120" t="s">
        <v>313</v>
      </c>
      <c r="B120" s="13" t="s">
        <v>1041</v>
      </c>
    </row>
    <row r="121" spans="1:2" x14ac:dyDescent="0.25">
      <c r="A121" t="s">
        <v>317</v>
      </c>
    </row>
    <row r="122" spans="1:2" x14ac:dyDescent="0.25">
      <c r="A122" t="s">
        <v>321</v>
      </c>
    </row>
    <row r="123" spans="1:2" x14ac:dyDescent="0.25">
      <c r="A123" t="s">
        <v>327</v>
      </c>
    </row>
    <row r="124" spans="1:2" x14ac:dyDescent="0.25">
      <c r="A124" t="s">
        <v>329</v>
      </c>
    </row>
    <row r="125" spans="1:2" x14ac:dyDescent="0.25">
      <c r="A125" t="s">
        <v>1094</v>
      </c>
    </row>
    <row r="126" spans="1:2" x14ac:dyDescent="0.25">
      <c r="A126" t="s">
        <v>333</v>
      </c>
    </row>
    <row r="127" spans="1:2" x14ac:dyDescent="0.25">
      <c r="A127" t="s">
        <v>337</v>
      </c>
    </row>
    <row r="128" spans="1:2" x14ac:dyDescent="0.25">
      <c r="A128" t="s">
        <v>339</v>
      </c>
    </row>
    <row r="129" spans="1:1" x14ac:dyDescent="0.25">
      <c r="A129" t="s">
        <v>341</v>
      </c>
    </row>
    <row r="130" spans="1:1" x14ac:dyDescent="0.25">
      <c r="A130" t="s">
        <v>343</v>
      </c>
    </row>
    <row r="131" spans="1:1" x14ac:dyDescent="0.25">
      <c r="A131" t="s">
        <v>345</v>
      </c>
    </row>
    <row r="132" spans="1:1" x14ac:dyDescent="0.25">
      <c r="A132" t="s">
        <v>347</v>
      </c>
    </row>
    <row r="133" spans="1:1" x14ac:dyDescent="0.25">
      <c r="A133" t="s">
        <v>349</v>
      </c>
    </row>
    <row r="134" spans="1:1" x14ac:dyDescent="0.25">
      <c r="A134" t="s">
        <v>1095</v>
      </c>
    </row>
    <row r="135" spans="1:1" x14ac:dyDescent="0.25">
      <c r="A135" t="s">
        <v>351</v>
      </c>
    </row>
    <row r="136" spans="1:1" x14ac:dyDescent="0.25">
      <c r="A136" t="s">
        <v>353</v>
      </c>
    </row>
    <row r="137" spans="1:1" x14ac:dyDescent="0.25">
      <c r="A137" t="s">
        <v>355</v>
      </c>
    </row>
    <row r="138" spans="1:1" x14ac:dyDescent="0.25">
      <c r="A138" t="s">
        <v>357</v>
      </c>
    </row>
    <row r="139" spans="1:1" x14ac:dyDescent="0.25">
      <c r="A139" t="s">
        <v>361</v>
      </c>
    </row>
    <row r="140" spans="1:1" x14ac:dyDescent="0.25">
      <c r="A140" t="s">
        <v>363</v>
      </c>
    </row>
    <row r="141" spans="1:1" x14ac:dyDescent="0.25">
      <c r="A141" t="s">
        <v>365</v>
      </c>
    </row>
    <row r="142" spans="1:1" x14ac:dyDescent="0.25">
      <c r="A142" t="s">
        <v>367</v>
      </c>
    </row>
    <row r="143" spans="1:1" x14ac:dyDescent="0.25">
      <c r="A143" t="s">
        <v>369</v>
      </c>
    </row>
    <row r="144" spans="1:1" x14ac:dyDescent="0.25">
      <c r="A144" t="s">
        <v>371</v>
      </c>
    </row>
    <row r="145" spans="1:1" x14ac:dyDescent="0.25">
      <c r="A145" t="s">
        <v>373</v>
      </c>
    </row>
    <row r="146" spans="1:1" x14ac:dyDescent="0.25">
      <c r="A146" t="s">
        <v>375</v>
      </c>
    </row>
    <row r="147" spans="1:1" x14ac:dyDescent="0.25">
      <c r="A147" t="s">
        <v>377</v>
      </c>
    </row>
    <row r="148" spans="1:1" x14ac:dyDescent="0.25">
      <c r="A148" t="s">
        <v>379</v>
      </c>
    </row>
    <row r="149" spans="1:1" x14ac:dyDescent="0.25">
      <c r="A149" t="s">
        <v>381</v>
      </c>
    </row>
    <row r="150" spans="1:1" x14ac:dyDescent="0.25">
      <c r="A150" t="s">
        <v>383</v>
      </c>
    </row>
    <row r="151" spans="1:1" x14ac:dyDescent="0.25">
      <c r="A151" t="s">
        <v>385</v>
      </c>
    </row>
    <row r="152" spans="1:1" x14ac:dyDescent="0.25">
      <c r="A152" t="s">
        <v>387</v>
      </c>
    </row>
    <row r="153" spans="1:1" x14ac:dyDescent="0.25">
      <c r="A153" t="s">
        <v>389</v>
      </c>
    </row>
    <row r="154" spans="1:1" x14ac:dyDescent="0.25">
      <c r="A154" t="s">
        <v>393</v>
      </c>
    </row>
    <row r="155" spans="1:1" x14ac:dyDescent="0.25">
      <c r="A155" t="s">
        <v>395</v>
      </c>
    </row>
    <row r="156" spans="1:1" x14ac:dyDescent="0.25">
      <c r="A156" t="s">
        <v>397</v>
      </c>
    </row>
    <row r="157" spans="1:1" x14ac:dyDescent="0.25">
      <c r="A157" t="s">
        <v>399</v>
      </c>
    </row>
    <row r="158" spans="1:1" x14ac:dyDescent="0.25">
      <c r="A158" t="s">
        <v>401</v>
      </c>
    </row>
    <row r="159" spans="1:1" x14ac:dyDescent="0.25">
      <c r="A159" t="s">
        <v>403</v>
      </c>
    </row>
    <row r="160" spans="1:1" x14ac:dyDescent="0.25">
      <c r="A160" t="s">
        <v>405</v>
      </c>
    </row>
    <row r="161" spans="1:1" x14ac:dyDescent="0.25">
      <c r="A161" t="s">
        <v>407</v>
      </c>
    </row>
    <row r="162" spans="1:1" x14ac:dyDescent="0.25">
      <c r="A162" t="s">
        <v>409</v>
      </c>
    </row>
    <row r="163" spans="1:1" x14ac:dyDescent="0.25">
      <c r="A163" t="s">
        <v>411</v>
      </c>
    </row>
    <row r="164" spans="1:1" x14ac:dyDescent="0.25">
      <c r="A164" t="s">
        <v>413</v>
      </c>
    </row>
    <row r="165" spans="1:1" x14ac:dyDescent="0.25">
      <c r="A165" t="s">
        <v>415</v>
      </c>
    </row>
    <row r="166" spans="1:1" x14ac:dyDescent="0.25">
      <c r="A166" t="s">
        <v>417</v>
      </c>
    </row>
    <row r="167" spans="1:1" x14ac:dyDescent="0.25">
      <c r="A167" t="s">
        <v>419</v>
      </c>
    </row>
    <row r="168" spans="1:1" x14ac:dyDescent="0.25">
      <c r="A168" t="s">
        <v>421</v>
      </c>
    </row>
    <row r="169" spans="1:1" x14ac:dyDescent="0.25">
      <c r="A169" t="s">
        <v>1096</v>
      </c>
    </row>
    <row r="170" spans="1:1" x14ac:dyDescent="0.25">
      <c r="A170" t="s">
        <v>423</v>
      </c>
    </row>
    <row r="171" spans="1:1" x14ac:dyDescent="0.25">
      <c r="A171" t="s">
        <v>425</v>
      </c>
    </row>
    <row r="172" spans="1:1" x14ac:dyDescent="0.25">
      <c r="A172" t="s">
        <v>427</v>
      </c>
    </row>
    <row r="173" spans="1:1" x14ac:dyDescent="0.25">
      <c r="A173" t="s">
        <v>429</v>
      </c>
    </row>
    <row r="174" spans="1:1" x14ac:dyDescent="0.25">
      <c r="A174" t="s">
        <v>1097</v>
      </c>
    </row>
    <row r="175" spans="1:1" x14ac:dyDescent="0.25">
      <c r="A175" t="s">
        <v>433</v>
      </c>
    </row>
    <row r="176" spans="1:1" x14ac:dyDescent="0.25">
      <c r="A176" t="s">
        <v>435</v>
      </c>
    </row>
    <row r="177" spans="1:1" x14ac:dyDescent="0.25">
      <c r="A177" t="s">
        <v>437</v>
      </c>
    </row>
    <row r="178" spans="1:1" x14ac:dyDescent="0.25">
      <c r="A178" t="s">
        <v>439</v>
      </c>
    </row>
    <row r="179" spans="1:1" x14ac:dyDescent="0.25">
      <c r="A179" t="s">
        <v>441</v>
      </c>
    </row>
    <row r="180" spans="1:1" x14ac:dyDescent="0.25">
      <c r="A180" t="s">
        <v>1098</v>
      </c>
    </row>
    <row r="181" spans="1:1" x14ac:dyDescent="0.25">
      <c r="A181" t="s">
        <v>445</v>
      </c>
    </row>
    <row r="182" spans="1:1" x14ac:dyDescent="0.25">
      <c r="A182" t="s">
        <v>449</v>
      </c>
    </row>
    <row r="183" spans="1:1" x14ac:dyDescent="0.25">
      <c r="A183" t="s">
        <v>1099</v>
      </c>
    </row>
    <row r="184" spans="1:1" x14ac:dyDescent="0.25">
      <c r="A184" t="s">
        <v>1100</v>
      </c>
    </row>
    <row r="185" spans="1:1" x14ac:dyDescent="0.25">
      <c r="A185" t="s">
        <v>471</v>
      </c>
    </row>
    <row r="186" spans="1:1" x14ac:dyDescent="0.25">
      <c r="A186" t="s">
        <v>475</v>
      </c>
    </row>
    <row r="187" spans="1:1" x14ac:dyDescent="0.25">
      <c r="A187" t="s">
        <v>477</v>
      </c>
    </row>
    <row r="188" spans="1:1" x14ac:dyDescent="0.25">
      <c r="A188" t="s">
        <v>479</v>
      </c>
    </row>
    <row r="189" spans="1:1" x14ac:dyDescent="0.25">
      <c r="A189" t="s">
        <v>481</v>
      </c>
    </row>
    <row r="190" spans="1:1" x14ac:dyDescent="0.25">
      <c r="A190" t="s">
        <v>1101</v>
      </c>
    </row>
    <row r="191" spans="1:1" x14ac:dyDescent="0.25">
      <c r="A191" t="s">
        <v>485</v>
      </c>
    </row>
    <row r="192" spans="1:1" x14ac:dyDescent="0.25">
      <c r="A192" t="s">
        <v>1102</v>
      </c>
    </row>
    <row r="193" spans="1:2" x14ac:dyDescent="0.25">
      <c r="A193" t="s">
        <v>487</v>
      </c>
      <c r="B193" s="13" t="s">
        <v>1041</v>
      </c>
    </row>
    <row r="194" spans="1:2" x14ac:dyDescent="0.25">
      <c r="A194" t="s">
        <v>489</v>
      </c>
    </row>
    <row r="195" spans="1:2" x14ac:dyDescent="0.25">
      <c r="A195" t="s">
        <v>491</v>
      </c>
    </row>
    <row r="196" spans="1:2" x14ac:dyDescent="0.25">
      <c r="A196" t="s">
        <v>1103</v>
      </c>
    </row>
    <row r="197" spans="1:2" x14ac:dyDescent="0.25">
      <c r="A197" t="s">
        <v>495</v>
      </c>
    </row>
    <row r="198" spans="1:2" x14ac:dyDescent="0.25">
      <c r="A198" t="s">
        <v>497</v>
      </c>
    </row>
    <row r="199" spans="1:2" x14ac:dyDescent="0.25">
      <c r="A199" t="s">
        <v>507</v>
      </c>
    </row>
    <row r="200" spans="1:2" x14ac:dyDescent="0.25">
      <c r="A200" t="s">
        <v>1104</v>
      </c>
    </row>
    <row r="201" spans="1:2" x14ac:dyDescent="0.25">
      <c r="A201" t="s">
        <v>509</v>
      </c>
    </row>
    <row r="202" spans="1:2" x14ac:dyDescent="0.25">
      <c r="A202" t="s">
        <v>1105</v>
      </c>
    </row>
    <row r="203" spans="1:2" x14ac:dyDescent="0.25">
      <c r="A203" t="s">
        <v>1106</v>
      </c>
    </row>
    <row r="204" spans="1:2" x14ac:dyDescent="0.25">
      <c r="A204" t="s">
        <v>517</v>
      </c>
    </row>
    <row r="205" spans="1:2" x14ac:dyDescent="0.25">
      <c r="A205" t="s">
        <v>519</v>
      </c>
    </row>
    <row r="206" spans="1:2" x14ac:dyDescent="0.25">
      <c r="A206" t="s">
        <v>1107</v>
      </c>
    </row>
    <row r="207" spans="1:2" x14ac:dyDescent="0.25">
      <c r="A207" t="s">
        <v>1108</v>
      </c>
    </row>
    <row r="208" spans="1:2" x14ac:dyDescent="0.25">
      <c r="A208" t="s">
        <v>1109</v>
      </c>
    </row>
    <row r="209" spans="1:1" x14ac:dyDescent="0.25">
      <c r="A209" t="s">
        <v>1110</v>
      </c>
    </row>
    <row r="210" spans="1:1" x14ac:dyDescent="0.25">
      <c r="A210" t="s">
        <v>523</v>
      </c>
    </row>
    <row r="211" spans="1:1" x14ac:dyDescent="0.25">
      <c r="A211" t="s">
        <v>525</v>
      </c>
    </row>
    <row r="212" spans="1:1" x14ac:dyDescent="0.25">
      <c r="A212" t="s">
        <v>527</v>
      </c>
    </row>
    <row r="213" spans="1:1" x14ac:dyDescent="0.25">
      <c r="A213" t="s">
        <v>529</v>
      </c>
    </row>
    <row r="214" spans="1:1" x14ac:dyDescent="0.25">
      <c r="A214" t="s">
        <v>531</v>
      </c>
    </row>
    <row r="215" spans="1:1" x14ac:dyDescent="0.25">
      <c r="A215" t="s">
        <v>533</v>
      </c>
    </row>
    <row r="216" spans="1:1" x14ac:dyDescent="0.25">
      <c r="A216" t="s">
        <v>535</v>
      </c>
    </row>
    <row r="217" spans="1:1" x14ac:dyDescent="0.25">
      <c r="A217" t="s">
        <v>537</v>
      </c>
    </row>
    <row r="218" spans="1:1" x14ac:dyDescent="0.25">
      <c r="A218" t="s">
        <v>539</v>
      </c>
    </row>
    <row r="219" spans="1:1" x14ac:dyDescent="0.25">
      <c r="A219" t="s">
        <v>541</v>
      </c>
    </row>
    <row r="220" spans="1:1" x14ac:dyDescent="0.25">
      <c r="A220" t="s">
        <v>543</v>
      </c>
    </row>
    <row r="221" spans="1:1" x14ac:dyDescent="0.25">
      <c r="A221" t="s">
        <v>545</v>
      </c>
    </row>
    <row r="222" spans="1:1" x14ac:dyDescent="0.25">
      <c r="A222" t="s">
        <v>547</v>
      </c>
    </row>
    <row r="223" spans="1:1" x14ac:dyDescent="0.25">
      <c r="A223" t="s">
        <v>549</v>
      </c>
    </row>
    <row r="224" spans="1:1" x14ac:dyDescent="0.25">
      <c r="A224" t="s">
        <v>551</v>
      </c>
    </row>
    <row r="225" spans="1:1" x14ac:dyDescent="0.25">
      <c r="A225" t="s">
        <v>555</v>
      </c>
    </row>
    <row r="226" spans="1:1" x14ac:dyDescent="0.25">
      <c r="A226" t="s">
        <v>557</v>
      </c>
    </row>
    <row r="227" spans="1:1" x14ac:dyDescent="0.25">
      <c r="A227" t="s">
        <v>559</v>
      </c>
    </row>
    <row r="228" spans="1:1" x14ac:dyDescent="0.25">
      <c r="A228" t="s">
        <v>561</v>
      </c>
    </row>
    <row r="229" spans="1:1" x14ac:dyDescent="0.25">
      <c r="A229" t="s">
        <v>563</v>
      </c>
    </row>
    <row r="230" spans="1:1" x14ac:dyDescent="0.25">
      <c r="A230" t="s">
        <v>565</v>
      </c>
    </row>
    <row r="231" spans="1:1" x14ac:dyDescent="0.25">
      <c r="A231" t="s">
        <v>567</v>
      </c>
    </row>
    <row r="232" spans="1:1" x14ac:dyDescent="0.25">
      <c r="A232" t="s">
        <v>569</v>
      </c>
    </row>
    <row r="233" spans="1:1" x14ac:dyDescent="0.25">
      <c r="A233" t="s">
        <v>571</v>
      </c>
    </row>
    <row r="234" spans="1:1" x14ac:dyDescent="0.25">
      <c r="A234" t="s">
        <v>573</v>
      </c>
    </row>
    <row r="235" spans="1:1" x14ac:dyDescent="0.25">
      <c r="A235" t="s">
        <v>575</v>
      </c>
    </row>
    <row r="236" spans="1:1" x14ac:dyDescent="0.25">
      <c r="A236" t="s">
        <v>577</v>
      </c>
    </row>
    <row r="237" spans="1:1" x14ac:dyDescent="0.25">
      <c r="A237" t="s">
        <v>579</v>
      </c>
    </row>
    <row r="238" spans="1:1" x14ac:dyDescent="0.25">
      <c r="A238" t="s">
        <v>581</v>
      </c>
    </row>
    <row r="239" spans="1:1" x14ac:dyDescent="0.25">
      <c r="A239" t="s">
        <v>583</v>
      </c>
    </row>
    <row r="240" spans="1:1" x14ac:dyDescent="0.25">
      <c r="A240" t="s">
        <v>585</v>
      </c>
    </row>
    <row r="241" spans="1:1" x14ac:dyDescent="0.25">
      <c r="A241" t="s">
        <v>587</v>
      </c>
    </row>
    <row r="242" spans="1:1" x14ac:dyDescent="0.25">
      <c r="A242" t="s">
        <v>589</v>
      </c>
    </row>
    <row r="243" spans="1:1" x14ac:dyDescent="0.25">
      <c r="A243" t="s">
        <v>591</v>
      </c>
    </row>
    <row r="244" spans="1:1" x14ac:dyDescent="0.25">
      <c r="A244" t="s">
        <v>593</v>
      </c>
    </row>
    <row r="245" spans="1:1" x14ac:dyDescent="0.25">
      <c r="A245" t="s">
        <v>595</v>
      </c>
    </row>
    <row r="246" spans="1:1" x14ac:dyDescent="0.25">
      <c r="A246" t="s">
        <v>597</v>
      </c>
    </row>
    <row r="247" spans="1:1" x14ac:dyDescent="0.25">
      <c r="A247" t="s">
        <v>599</v>
      </c>
    </row>
    <row r="248" spans="1:1" x14ac:dyDescent="0.25">
      <c r="A248" t="s">
        <v>603</v>
      </c>
    </row>
    <row r="249" spans="1:1" x14ac:dyDescent="0.25">
      <c r="A249" t="s">
        <v>607</v>
      </c>
    </row>
    <row r="250" spans="1:1" x14ac:dyDescent="0.25">
      <c r="A250" t="s">
        <v>609</v>
      </c>
    </row>
    <row r="251" spans="1:1" x14ac:dyDescent="0.25">
      <c r="A251" t="s">
        <v>611</v>
      </c>
    </row>
    <row r="252" spans="1:1" x14ac:dyDescent="0.25">
      <c r="A252" t="s">
        <v>615</v>
      </c>
    </row>
    <row r="253" spans="1:1" x14ac:dyDescent="0.25">
      <c r="A253" t="s">
        <v>619</v>
      </c>
    </row>
    <row r="254" spans="1:1" x14ac:dyDescent="0.25">
      <c r="A254" t="s">
        <v>1111</v>
      </c>
    </row>
    <row r="255" spans="1:1" x14ac:dyDescent="0.25">
      <c r="A255" t="s">
        <v>621</v>
      </c>
    </row>
    <row r="256" spans="1:1" x14ac:dyDescent="0.25">
      <c r="A256" t="s">
        <v>623</v>
      </c>
    </row>
    <row r="257" spans="1:1" x14ac:dyDescent="0.25">
      <c r="A257" t="s">
        <v>625</v>
      </c>
    </row>
    <row r="258" spans="1:1" x14ac:dyDescent="0.25">
      <c r="A258" t="s">
        <v>1112</v>
      </c>
    </row>
    <row r="259" spans="1:1" x14ac:dyDescent="0.25">
      <c r="A259" t="s">
        <v>627</v>
      </c>
    </row>
    <row r="260" spans="1:1" x14ac:dyDescent="0.25">
      <c r="A260" t="s">
        <v>631</v>
      </c>
    </row>
    <row r="261" spans="1:1" x14ac:dyDescent="0.25">
      <c r="A261" t="s">
        <v>633</v>
      </c>
    </row>
    <row r="262" spans="1:1" x14ac:dyDescent="0.25">
      <c r="A262" t="s">
        <v>635</v>
      </c>
    </row>
    <row r="263" spans="1:1" x14ac:dyDescent="0.25">
      <c r="A263" t="s">
        <v>637</v>
      </c>
    </row>
    <row r="264" spans="1:1" x14ac:dyDescent="0.25">
      <c r="A264" t="s">
        <v>639</v>
      </c>
    </row>
    <row r="265" spans="1:1" x14ac:dyDescent="0.25">
      <c r="A265" t="s">
        <v>641</v>
      </c>
    </row>
    <row r="266" spans="1:1" x14ac:dyDescent="0.25">
      <c r="A266" t="s">
        <v>645</v>
      </c>
    </row>
    <row r="267" spans="1:1" x14ac:dyDescent="0.25">
      <c r="A267" t="s">
        <v>647</v>
      </c>
    </row>
    <row r="268" spans="1:1" x14ac:dyDescent="0.25">
      <c r="A268" t="s">
        <v>649</v>
      </c>
    </row>
    <row r="269" spans="1:1" x14ac:dyDescent="0.25">
      <c r="A269" t="s">
        <v>651</v>
      </c>
    </row>
    <row r="270" spans="1:1" x14ac:dyDescent="0.25">
      <c r="A270" t="s">
        <v>653</v>
      </c>
    </row>
    <row r="271" spans="1:1" x14ac:dyDescent="0.25">
      <c r="A271" t="s">
        <v>655</v>
      </c>
    </row>
    <row r="272" spans="1:1" x14ac:dyDescent="0.25">
      <c r="A272" t="s">
        <v>663</v>
      </c>
    </row>
    <row r="273" spans="1:2" x14ac:dyDescent="0.25">
      <c r="A273" t="s">
        <v>669</v>
      </c>
    </row>
    <row r="274" spans="1:2" x14ac:dyDescent="0.25">
      <c r="A274" t="s">
        <v>1113</v>
      </c>
    </row>
    <row r="275" spans="1:2" x14ac:dyDescent="0.25">
      <c r="A275" t="s">
        <v>671</v>
      </c>
    </row>
    <row r="276" spans="1:2" x14ac:dyDescent="0.25">
      <c r="A276" t="s">
        <v>673</v>
      </c>
    </row>
    <row r="277" spans="1:2" x14ac:dyDescent="0.25">
      <c r="A277" t="s">
        <v>675</v>
      </c>
      <c r="B277" s="13" t="s">
        <v>1041</v>
      </c>
    </row>
    <row r="278" spans="1:2" x14ac:dyDescent="0.25">
      <c r="A278" t="s">
        <v>677</v>
      </c>
    </row>
    <row r="279" spans="1:2" x14ac:dyDescent="0.25">
      <c r="A279" t="s">
        <v>679</v>
      </c>
    </row>
    <row r="280" spans="1:2" x14ac:dyDescent="0.25">
      <c r="A280" t="s">
        <v>1114</v>
      </c>
    </row>
    <row r="281" spans="1:2" x14ac:dyDescent="0.25">
      <c r="A281" t="s">
        <v>683</v>
      </c>
    </row>
    <row r="282" spans="1:2" x14ac:dyDescent="0.25">
      <c r="A282" t="s">
        <v>685</v>
      </c>
    </row>
    <row r="283" spans="1:2" x14ac:dyDescent="0.25">
      <c r="A283" t="s">
        <v>687</v>
      </c>
    </row>
    <row r="284" spans="1:2" x14ac:dyDescent="0.25">
      <c r="A284" t="s">
        <v>689</v>
      </c>
    </row>
    <row r="285" spans="1:2" x14ac:dyDescent="0.25">
      <c r="A285" t="s">
        <v>691</v>
      </c>
    </row>
    <row r="286" spans="1:2" x14ac:dyDescent="0.25">
      <c r="A286" t="s">
        <v>693</v>
      </c>
    </row>
    <row r="287" spans="1:2" x14ac:dyDescent="0.25">
      <c r="A287" t="s">
        <v>695</v>
      </c>
    </row>
    <row r="288" spans="1:2" x14ac:dyDescent="0.25">
      <c r="A288" t="s">
        <v>699</v>
      </c>
    </row>
    <row r="289" spans="1:1" x14ac:dyDescent="0.25">
      <c r="A289" t="s">
        <v>701</v>
      </c>
    </row>
    <row r="290" spans="1:1" x14ac:dyDescent="0.25">
      <c r="A290" t="s">
        <v>1115</v>
      </c>
    </row>
    <row r="291" spans="1:1" x14ac:dyDescent="0.25">
      <c r="A291" t="s">
        <v>705</v>
      </c>
    </row>
    <row r="292" spans="1:1" x14ac:dyDescent="0.25">
      <c r="A292" t="s">
        <v>707</v>
      </c>
    </row>
    <row r="293" spans="1:1" x14ac:dyDescent="0.25">
      <c r="A293" t="s">
        <v>1116</v>
      </c>
    </row>
    <row r="294" spans="1:1" x14ac:dyDescent="0.25">
      <c r="A294" t="s">
        <v>1117</v>
      </c>
    </row>
    <row r="295" spans="1:1" x14ac:dyDescent="0.25">
      <c r="A295" t="s">
        <v>709</v>
      </c>
    </row>
    <row r="296" spans="1:1" x14ac:dyDescent="0.25">
      <c r="A296" t="s">
        <v>1118</v>
      </c>
    </row>
    <row r="297" spans="1:1" x14ac:dyDescent="0.25">
      <c r="A297" t="s">
        <v>1119</v>
      </c>
    </row>
    <row r="298" spans="1:1" x14ac:dyDescent="0.25">
      <c r="A298" t="s">
        <v>711</v>
      </c>
    </row>
    <row r="299" spans="1:1" x14ac:dyDescent="0.25">
      <c r="A299" t="s">
        <v>715</v>
      </c>
    </row>
    <row r="300" spans="1:1" x14ac:dyDescent="0.25">
      <c r="A300" t="s">
        <v>717</v>
      </c>
    </row>
    <row r="301" spans="1:1" x14ac:dyDescent="0.25">
      <c r="A301" t="s">
        <v>721</v>
      </c>
    </row>
    <row r="302" spans="1:1" x14ac:dyDescent="0.25">
      <c r="A302" t="s">
        <v>723</v>
      </c>
    </row>
    <row r="303" spans="1:1" x14ac:dyDescent="0.25">
      <c r="A303" t="s">
        <v>725</v>
      </c>
    </row>
    <row r="304" spans="1:1" x14ac:dyDescent="0.25">
      <c r="A304" t="s">
        <v>727</v>
      </c>
    </row>
    <row r="305" spans="1:1" x14ac:dyDescent="0.25">
      <c r="A305" t="s">
        <v>729</v>
      </c>
    </row>
    <row r="306" spans="1:1" x14ac:dyDescent="0.25">
      <c r="A306" t="s">
        <v>1120</v>
      </c>
    </row>
  </sheetData>
  <autoFilter ref="A1:B306"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B3"/>
  </sheetPr>
  <dimension ref="A1:O79"/>
  <sheetViews>
    <sheetView topLeftCell="A11" zoomScale="70" zoomScaleNormal="70" workbookViewId="0">
      <selection activeCell="D49" sqref="D49"/>
    </sheetView>
  </sheetViews>
  <sheetFormatPr defaultColWidth="9.1796875" defaultRowHeight="12.5" x14ac:dyDescent="0.25"/>
  <cols>
    <col min="1" max="1" width="30.81640625" style="13" customWidth="1"/>
    <col min="2" max="2" width="67.1796875" style="13" bestFit="1" customWidth="1"/>
    <col min="3" max="3" width="158" style="13" bestFit="1" customWidth="1"/>
    <col min="4" max="4" width="75.1796875" style="13" bestFit="1" customWidth="1"/>
    <col min="5" max="5" width="13.453125" style="13" customWidth="1"/>
    <col min="6" max="6" width="14" style="13" customWidth="1"/>
    <col min="7" max="7" width="13.1796875" style="13" customWidth="1"/>
    <col min="8" max="8" width="50.54296875" style="13" bestFit="1" customWidth="1"/>
    <col min="9" max="9" width="10.1796875" style="13" customWidth="1"/>
    <col min="10" max="10" width="13.453125" style="13" customWidth="1"/>
    <col min="11" max="16" width="9.1796875" style="13" customWidth="1"/>
    <col min="17" max="16384" width="9.1796875" style="13"/>
  </cols>
  <sheetData>
    <row r="1" spans="1:11" ht="13" x14ac:dyDescent="0.3">
      <c r="A1" s="79" t="s">
        <v>1121</v>
      </c>
      <c r="B1" s="79"/>
      <c r="C1" s="80"/>
      <c r="D1" s="80"/>
      <c r="E1" s="80"/>
      <c r="F1" s="80"/>
      <c r="G1" s="80"/>
      <c r="H1" s="80"/>
    </row>
    <row r="2" spans="1:11" ht="13" x14ac:dyDescent="0.3">
      <c r="A2" s="3"/>
      <c r="B2" s="3"/>
    </row>
    <row r="3" spans="1:11" ht="39.75" customHeight="1" x14ac:dyDescent="0.3">
      <c r="A3" s="3" t="s">
        <v>1122</v>
      </c>
      <c r="B3" s="120" t="str">
        <f ca="1">IF('Adjusted Health Gain Chart'!D11=Reference!AA2,VLOOKUP('Adjusted Health Gain Chart'!$B$11,Reference!$Q$2,1,FALSE),IF('Adjusted Health Gain Chart'!B11=Reference!AA3,VLOOKUP('Adjusted Health Gain Chart'!D11,SHAs,1,FALSE),IF('Adjusted Health Gain Chart'!B11=Reference!AA4,VLOOKUP('Adjusted Health Gain Chart'!D11,PCTs,1,FALSE),IF('Adjusted Health Gain Chart'!B11=Reference!AA5,VLOOKUP('Adjusted Health Gain Chart'!D11,CCG,1,FALSE),VLOOKUP('Adjusted Health Gain Chart'!D11,Providers,1,FALSE)))))</f>
        <v>BLACKPOOL TEACHING HOSPITALS NHS FOUNDATION TRUST (RXL)</v>
      </c>
      <c r="C3" s="120"/>
      <c r="D3" s="120"/>
      <c r="E3" s="120"/>
      <c r="F3" s="415" t="s">
        <v>1123</v>
      </c>
      <c r="G3" s="416"/>
      <c r="H3" s="416"/>
      <c r="I3" s="416"/>
      <c r="J3" s="416"/>
    </row>
    <row r="4" spans="1:11" ht="13" x14ac:dyDescent="0.3">
      <c r="A4" s="3" t="s">
        <v>1124</v>
      </c>
      <c r="B4" s="121">
        <f>IF('Adjusted Health Gain Chart'!B11=Reference!AA2,Reference!R2,IF('Adjusted Health Gain Chart'!B11=Reference!AA3,Reference!O2,IF('Adjusted Health Gain Chart'!B11=Reference!AA4,Reference!L2,IF('Adjusted Health Gain Chart'!B11=Reference!AA5,Reference!I2,IF('Adjusted Health Gain Chart'!B11=Reference!AA6,Reference!F2)))))</f>
        <v>305</v>
      </c>
    </row>
    <row r="5" spans="1:11" ht="13" x14ac:dyDescent="0.3">
      <c r="A5" s="3"/>
      <c r="B5" s="3"/>
    </row>
    <row r="6" spans="1:11" ht="13" x14ac:dyDescent="0.3">
      <c r="A6" s="3" t="s">
        <v>1125</v>
      </c>
      <c r="B6" s="120" t="str">
        <f>'Adjusted Health Gain Chart'!B11</f>
        <v>Provider</v>
      </c>
    </row>
    <row r="7" spans="1:11" ht="13" x14ac:dyDescent="0.3">
      <c r="A7" s="3" t="s">
        <v>1126</v>
      </c>
      <c r="B7" s="120" t="str">
        <f>'Adjusted Health Gain Chart'!D11</f>
        <v>BLACKPOOL TEACHING HOSPITALS NHS FOUNDATION TRUST (RXL)</v>
      </c>
      <c r="C7" s="120"/>
      <c r="D7" s="120"/>
      <c r="E7" s="120"/>
    </row>
    <row r="8" spans="1:11" ht="13" x14ac:dyDescent="0.3">
      <c r="A8" s="3" t="s">
        <v>734</v>
      </c>
      <c r="B8" s="120" t="str">
        <f>B6&amp;B7</f>
        <v>ProviderBLACKPOOL TEACHING HOSPITALS NHS FOUNDATION TRUST (RXL)</v>
      </c>
      <c r="C8" s="120"/>
      <c r="D8" s="120"/>
      <c r="E8" s="120"/>
    </row>
    <row r="9" spans="1:11" ht="13" x14ac:dyDescent="0.3">
      <c r="A9" s="3"/>
      <c r="B9" s="3"/>
    </row>
    <row r="10" spans="1:11" ht="13" x14ac:dyDescent="0.3">
      <c r="E10" s="250"/>
      <c r="F10" s="250"/>
    </row>
    <row r="11" spans="1:11" ht="89.25" customHeight="1" x14ac:dyDescent="0.25">
      <c r="A11" s="417" t="s">
        <v>1127</v>
      </c>
      <c r="B11" s="418"/>
      <c r="C11" s="83" t="s">
        <v>1128</v>
      </c>
      <c r="D11" s="83" t="s">
        <v>1129</v>
      </c>
      <c r="E11" s="84" t="s">
        <v>1130</v>
      </c>
      <c r="F11" s="83" t="s">
        <v>1131</v>
      </c>
      <c r="G11" s="259" t="s">
        <v>1132</v>
      </c>
      <c r="H11" s="253"/>
      <c r="I11" s="253" t="s">
        <v>1133</v>
      </c>
      <c r="J11" s="253"/>
      <c r="K11" s="253" t="s">
        <v>1134</v>
      </c>
    </row>
    <row r="12" spans="1:11" ht="13" x14ac:dyDescent="0.3">
      <c r="A12" s="87"/>
      <c r="B12" s="81" t="str">
        <f>"Knee - revision "  &amp;"("&amp;F12 &amp;")"</f>
        <v>Knee - revision (1)</v>
      </c>
      <c r="C12" s="261" t="str">
        <f>IF(ISNA(VLOOKUP(Reference!$Y$18&amp;$B$8&amp;Reference!$U$14,ProviderCommissionerNewChart,15,FALSE)),"No data",IF(VLOOKUP(Reference!$Y$18&amp;$B$8&amp;Reference!$U$14,ProviderCommissionerNewChart,15,FALSE)="-","No data",VLOOKUP(Reference!$Y$18&amp;$B$8&amp;Reference!$U$14,ProviderCommissionerNewChart,15,FALSE)))</f>
        <v>*</v>
      </c>
      <c r="D12" s="265">
        <f>IF(G12&gt;=200,(VLOOKUP(Reference!$Y$18&amp;Reference!$AA$2&amp;Reference!$AA$2&amp;Reference!$U$14,ProviderCommissionerNewChart,15,FALSE)),"Insufficient data")</f>
        <v>13.9689</v>
      </c>
      <c r="E12" s="385">
        <v>0.45500000000000002</v>
      </c>
      <c r="F12" s="268">
        <f>IF(ISNA(VLOOKUP(Reference!$Y$18&amp;$B$8&amp;Reference!$U$14,ProviderCommissionerNewChart,7,FALSE)),0,(VLOOKUP(Reference!$Y$18&amp;$B$8&amp;Reference!$U$14,ProviderCommissionerNewChart,7,FALSE)))</f>
        <v>1</v>
      </c>
      <c r="G12" s="260">
        <f>VLOOKUP(Reference!$Y$18&amp;Reference!$AA$2&amp;Reference!$AA$2&amp;Reference!$U$14,ProviderCommissionerNewChart,7,FALSE)</f>
        <v>611</v>
      </c>
      <c r="H12" s="260" t="s">
        <v>1135</v>
      </c>
      <c r="I12" s="13">
        <f>9/10</f>
        <v>0.9</v>
      </c>
      <c r="J12" s="13">
        <f>I12/2</f>
        <v>0.45</v>
      </c>
      <c r="K12" s="277">
        <f>J12</f>
        <v>0.45</v>
      </c>
    </row>
    <row r="13" spans="1:11" ht="13" x14ac:dyDescent="0.3">
      <c r="A13" s="87"/>
      <c r="B13" s="81" t="str">
        <f>"Knee - primary "  &amp;"("&amp;F13 &amp;")"</f>
        <v>Knee - primary (60)</v>
      </c>
      <c r="C13" s="261">
        <f>IF(ISNA(VLOOKUP(Reference!$Y$17&amp;$B$8&amp;Reference!$U$14,ProviderCommissionerNewChart,15,FALSE)),"No data",IF(VLOOKUP(Reference!$Y$17&amp;$B$8&amp;Reference!$U$14,ProviderCommissionerNewChart,15,FALSE)="-","No data",VLOOKUP(Reference!$Y$17&amp;$B$8&amp;Reference!$U$14,ProviderCommissionerNewChart,15,FALSE)))</f>
        <v>16.773700000000002</v>
      </c>
      <c r="D13" s="265">
        <f>IF(G13&gt;=200,(VLOOKUP(Reference!$Y$17&amp;Reference!$AA$2&amp;Reference!$AA$2&amp;Reference!$U$14,ProviderCommissionerNewChart,15,FALSE)),"Insufficient data")</f>
        <v>17.624700000000001</v>
      </c>
      <c r="E13" s="385">
        <v>1.35</v>
      </c>
      <c r="F13" s="269">
        <f>IF(ISNA(VLOOKUP(Reference!$Y$17&amp;$B$8&amp;Reference!$U$14,ProviderCommissionerNewChart,7,FALSE)),0,(VLOOKUP(Reference!$Y$17&amp;$B$8&amp;Reference!$U$14,ProviderCommissionerNewChart,7,FALSE)))</f>
        <v>60</v>
      </c>
      <c r="G13" s="260">
        <f>VLOOKUP(Reference!$Y$17&amp;Reference!$AA$2&amp;Reference!$AA$2&amp;Reference!$U$14,ProviderCommissionerNewChart,7,FALSE)</f>
        <v>15016</v>
      </c>
      <c r="H13" s="260"/>
      <c r="K13" s="277">
        <f t="shared" ref="K13:K35" si="0">K12+$I$12</f>
        <v>1.35</v>
      </c>
    </row>
    <row r="14" spans="1:11" ht="13" x14ac:dyDescent="0.3">
      <c r="A14" s="87"/>
      <c r="B14" s="81" t="str">
        <f>"Total Knee Replacment "  &amp;"("&amp;F14 &amp;")"</f>
        <v>Total Knee Replacment (61)</v>
      </c>
      <c r="C14" s="261">
        <f>IF(ISNA(VLOOKUP(Reference!$Y$16&amp;$B$8&amp;Reference!$U$14,ProviderCommissionerNewChart,15,FALSE)),"No data",IF(VLOOKUP(Reference!$Y$16&amp;$B$8&amp;Reference!$U$14,ProviderCommissionerNewChart,15,FALSE)="-","No data",VLOOKUP(Reference!$Y$16&amp;$B$8&amp;Reference!$U$14,ProviderCommissionerNewChart,15,FALSE)))</f>
        <v>16.770499999999998</v>
      </c>
      <c r="D14" s="265">
        <f>IF(G14&gt;=200,(VLOOKUP(Reference!$Y$16&amp;Reference!$AA$2&amp;Reference!$AA$2&amp;Reference!$U$14,ProviderCommissionerNewChart,15,FALSE)),"Insufficient data")</f>
        <v>17.4818</v>
      </c>
      <c r="E14" s="385">
        <f>E13+0.9</f>
        <v>2.25</v>
      </c>
      <c r="F14" s="269">
        <f>IF(ISNA(VLOOKUP(Reference!$Y$16&amp;$B$8&amp;Reference!$U$14,ProviderCommissionerNewChart,7,FALSE)),0,(VLOOKUP(Reference!$Y$16&amp;$B$8&amp;Reference!$U$14,ProviderCommissionerNewChart,7,FALSE)))</f>
        <v>61</v>
      </c>
      <c r="G14" s="260">
        <f>VLOOKUP(Reference!$Y$16&amp;Reference!$AA$2&amp;Reference!$AA$2&amp;Reference!$U$14,ProviderCommissionerNewChart,7,FALSE)</f>
        <v>15627</v>
      </c>
      <c r="H14" s="260"/>
      <c r="K14" s="277">
        <f t="shared" si="0"/>
        <v>2.25</v>
      </c>
    </row>
    <row r="15" spans="1:11" ht="13" x14ac:dyDescent="0.3">
      <c r="A15" s="87"/>
      <c r="B15" s="87" t="str">
        <f>"Oxford Knee Score     "</f>
        <v xml:space="preserve">Oxford Knee Score     </v>
      </c>
      <c r="C15" s="261"/>
      <c r="D15" s="258"/>
      <c r="E15" s="385">
        <v>3.13</v>
      </c>
      <c r="F15" s="268"/>
      <c r="G15" s="260"/>
      <c r="H15" s="260" t="s">
        <v>1136</v>
      </c>
      <c r="K15" s="277">
        <f t="shared" si="0"/>
        <v>3.15</v>
      </c>
    </row>
    <row r="16" spans="1:11" ht="13" x14ac:dyDescent="0.3">
      <c r="A16" s="87"/>
      <c r="B16" s="81"/>
      <c r="C16" s="261"/>
      <c r="D16" s="258"/>
      <c r="E16" s="385">
        <v>4</v>
      </c>
      <c r="F16" s="268"/>
      <c r="G16" s="260"/>
      <c r="H16" s="260" t="s">
        <v>1137</v>
      </c>
      <c r="K16" s="277">
        <f t="shared" si="0"/>
        <v>4.05</v>
      </c>
    </row>
    <row r="17" spans="1:13" ht="13" x14ac:dyDescent="0.3">
      <c r="A17" s="87"/>
      <c r="B17" s="81" t="str">
        <f>"Hip - revision " &amp;"("&amp;F17 &amp;")"</f>
        <v>Hip - revision (1)</v>
      </c>
      <c r="C17" s="261" t="str">
        <f>IF(ISNA(VLOOKUP(Reference!$Y$15&amp;$B$8&amp;Reference!$U$9,ProviderCommissionerNewChart,15,FALSE)),"No data",IF(VLOOKUP(Reference!$Y$15&amp;$B$8&amp;Reference!$U$9,ProviderCommissionerNewChart,15,FALSE)="-","No data",VLOOKUP(Reference!$Y$15&amp;$B$8&amp;Reference!$U$9,ProviderCommissionerNewChart,15,FALSE)))</f>
        <v>*</v>
      </c>
      <c r="D17" s="265">
        <f>IF(G17&gt;=200,(VLOOKUP(Reference!$Y$15&amp;Reference!$AA$2&amp;Reference!$AA$2&amp;Reference!$U$9,ProviderCommissionerNewChart,15,FALSE)),"Insufficient data")</f>
        <v>14.6244</v>
      </c>
      <c r="E17" s="385">
        <f>E16+0.9</f>
        <v>4.9000000000000004</v>
      </c>
      <c r="F17" s="268">
        <f>IF(ISNA(VLOOKUP(Reference!$Y$15&amp;$B$8&amp;Reference!$U$9,ProviderCommissionerNewChart,7,FALSE)),0,(VLOOKUP(Reference!$Y$15&amp;$B$8&amp;Reference!$U$9,ProviderCommissionerNewChart,7,FALSE)))</f>
        <v>1</v>
      </c>
      <c r="G17" s="260">
        <f>VLOOKUP(Reference!$Y$15&amp;Reference!$AA$2&amp;Reference!$AA$2&amp;Reference!$U$9,ProviderCommissionerNewChart,7,FALSE)</f>
        <v>631</v>
      </c>
      <c r="H17" s="260" t="s">
        <v>1138</v>
      </c>
      <c r="K17" s="277">
        <f t="shared" si="0"/>
        <v>4.95</v>
      </c>
    </row>
    <row r="18" spans="1:13" ht="13" x14ac:dyDescent="0.3">
      <c r="A18" s="87"/>
      <c r="B18" s="81" t="str">
        <f>"Hip - primary " &amp;"("&amp;F18 &amp;")"</f>
        <v>Hip - primary (55)</v>
      </c>
      <c r="C18" s="261">
        <f>IF(ISNA(VLOOKUP(Reference!$Y$14&amp;$B$8&amp;Reference!$U$9,ProviderCommissionerNewChart,15,FALSE)),"No data",IF(VLOOKUP(Reference!$Y$14&amp;$B$8&amp;Reference!$U$9,ProviderCommissionerNewChart,15,FALSE)="-","No data",VLOOKUP(Reference!$Y$14&amp;$B$8&amp;Reference!$U$9,ProviderCommissionerNewChart,15,FALSE)))</f>
        <v>19.898099999999999</v>
      </c>
      <c r="D18" s="265">
        <f>IF(G18&gt;=200,(VLOOKUP(Reference!$Y$14&amp;Reference!$AA$2&amp;Reference!$AA$2&amp;Reference!$U$9,ProviderCommissionerNewChart,15,FALSE)),"Insufficient data")</f>
        <v>22.8474</v>
      </c>
      <c r="E18" s="385">
        <f>E17+0.9</f>
        <v>5.8000000000000007</v>
      </c>
      <c r="F18" s="268">
        <f>IF(ISNA(VLOOKUP(Reference!$Y$14&amp;$B$8&amp;Reference!$U$9,ProviderCommissionerNewChart,7,FALSE)),0,(VLOOKUP(Reference!$Y$14&amp;$B$8&amp;Reference!$U$9,ProviderCommissionerNewChart,7,FALSE)))</f>
        <v>55</v>
      </c>
      <c r="G18" s="260">
        <f>VLOOKUP(Reference!$Y$14&amp;Reference!$AA$2&amp;Reference!$AA$2&amp;Reference!$U$9,ProviderCommissionerNewChart,7,FALSE)</f>
        <v>14995</v>
      </c>
      <c r="H18" s="260" t="s">
        <v>1139</v>
      </c>
      <c r="K18" s="277">
        <f t="shared" si="0"/>
        <v>5.8500000000000005</v>
      </c>
    </row>
    <row r="19" spans="1:13" ht="13" x14ac:dyDescent="0.3">
      <c r="A19" s="87"/>
      <c r="B19" s="81" t="str">
        <f>"Total Hip Replacment " &amp;"("&amp;F19 &amp;")"</f>
        <v>Total Hip Replacment (56)</v>
      </c>
      <c r="C19" s="261">
        <f>IF(ISNA(VLOOKUP(Reference!$Y$13&amp;$B$8&amp;Reference!$U$9,ProviderCommissionerNewChart,15,FALSE)),"No data",IF(VLOOKUP(Reference!$Y$13&amp;$B$8&amp;Reference!$U$9,ProviderCommissionerNewChart,15,FALSE)="-","No data",VLOOKUP(Reference!$Y$13&amp;$B$8&amp;Reference!$U$9,ProviderCommissionerNewChart,15,FALSE)))</f>
        <v>19.974900000000002</v>
      </c>
      <c r="D19" s="265">
        <f>IF(G19&gt;=200,(VLOOKUP(Reference!$Y$13&amp;Reference!$AA$2&amp;Reference!$AA$2&amp;Reference!$U$9,ProviderCommissionerNewChart,15,FALSE)),"Insufficient data")</f>
        <v>22.5154</v>
      </c>
      <c r="E19" s="385">
        <f>E18+0.9</f>
        <v>6.7000000000000011</v>
      </c>
      <c r="F19" s="268">
        <f>IF(ISNA(VLOOKUP(Reference!$Y$13&amp;$B$8&amp;Reference!$U$9,ProviderCommissionerNewChart,7,FALSE)),0,(VLOOKUP(Reference!$Y$13&amp;$B$8&amp;Reference!$U$9,ProviderCommissionerNewChart,7,FALSE)))</f>
        <v>56</v>
      </c>
      <c r="G19" s="260">
        <f>VLOOKUP(Reference!$Y$13&amp;Reference!$AA$2&amp;Reference!$AA$2&amp;Reference!$U$9,ProviderCommissionerNewChart,7,FALSE)</f>
        <v>15626</v>
      </c>
      <c r="H19" s="260"/>
      <c r="K19" s="277">
        <f t="shared" si="0"/>
        <v>6.7500000000000009</v>
      </c>
    </row>
    <row r="20" spans="1:13" ht="13" x14ac:dyDescent="0.3">
      <c r="A20" s="87"/>
      <c r="B20" s="81" t="s">
        <v>1140</v>
      </c>
      <c r="C20" s="261"/>
      <c r="D20" s="258"/>
      <c r="E20" s="385"/>
      <c r="F20" s="270"/>
      <c r="G20" s="260"/>
      <c r="H20" s="260" t="s">
        <v>1141</v>
      </c>
      <c r="K20" s="277">
        <f t="shared" si="0"/>
        <v>7.6500000000000012</v>
      </c>
    </row>
    <row r="21" spans="1:13" ht="13" x14ac:dyDescent="0.3">
      <c r="A21" s="87"/>
      <c r="B21" s="81"/>
      <c r="C21" s="261"/>
      <c r="D21" s="258"/>
      <c r="E21" s="385"/>
      <c r="F21" s="268"/>
      <c r="G21" s="260"/>
      <c r="H21" s="260" t="s">
        <v>1142</v>
      </c>
      <c r="K21" s="277">
        <f t="shared" si="0"/>
        <v>8.5500000000000007</v>
      </c>
    </row>
    <row r="22" spans="1:13" ht="13" x14ac:dyDescent="0.3">
      <c r="A22" s="87"/>
      <c r="B22" s="81" t="str">
        <f>"Knee revision " &amp;"("&amp;F22 &amp;")"</f>
        <v>Knee revision (1)</v>
      </c>
      <c r="C22" s="261" t="str">
        <f>IF(ISNA(VLOOKUP(Reference!$Y$18&amp;$B$8&amp;Reference!$U$13,ProviderCommissionerNewChart,15,FALSE)),"No data",IF(VLOOKUP(Reference!$Y$18&amp;$B$8&amp;Reference!$U$13,ProviderCommissionerNewChart,15,FALSE)="-","No data",VLOOKUP(Reference!$Y$18&amp;$B$8&amp;Reference!$U$13,ProviderCommissionerNewChart,15,FALSE)))</f>
        <v>*</v>
      </c>
      <c r="D22" s="265">
        <f>IF(G22&gt;=200,(VLOOKUP(Reference!$Y$18&amp;Reference!$AA$2&amp;Reference!$AA$2&amp;Reference!$U$13,ProviderCommissionerNewChart,15,FALSE)),"Insufficient data")</f>
        <v>7.2263799999999998</v>
      </c>
      <c r="E22" s="385">
        <v>0.6</v>
      </c>
      <c r="F22" s="268">
        <f>IF(ISNA(VLOOKUP(Reference!$Y$18&amp;$B$8&amp;Reference!$U$13,ProviderCommissionerNewChart,7,FALSE)),0,(VLOOKUP(Reference!$Y$18&amp;$B$8&amp;Reference!$U$13,ProviderCommissionerNewChart,7,FALSE)))</f>
        <v>1</v>
      </c>
      <c r="G22" s="260">
        <f>VLOOKUP(Reference!$Y$18&amp;Reference!$AA$2&amp;Reference!$AA$2&amp;Reference!$U$13,ProviderCommissionerNewChart,7,FALSE)</f>
        <v>561</v>
      </c>
      <c r="H22" s="260" t="s">
        <v>1143</v>
      </c>
      <c r="K22" s="277">
        <f t="shared" si="0"/>
        <v>9.4500000000000011</v>
      </c>
      <c r="M22" s="13" t="str">
        <f>(Reference!$Y$18&amp;Reference!$AA$2&amp;Reference!$AA$2&amp;Reference!$U$13)</f>
        <v>Knee Replacement RevisionEnglandEnglandEQ VAS</v>
      </c>
    </row>
    <row r="23" spans="1:13" ht="13" x14ac:dyDescent="0.3">
      <c r="A23" s="87"/>
      <c r="B23" s="81" t="str">
        <f>"Knee - primary " &amp;"("&amp;F23 &amp;")"</f>
        <v>Knee - primary (54)</v>
      </c>
      <c r="C23" s="261">
        <f>IF(ISNA(VLOOKUP(Reference!$Y$17&amp;$B$8&amp;Reference!$U$13,ProviderCommissionerNewChart,15,FALSE)),"No data",IF(VLOOKUP(Reference!$Y$17&amp;$B$8&amp;Reference!$U$13,ProviderCommissionerNewChart,15,FALSE)="-","No data",VLOOKUP(Reference!$Y$17&amp;$B$8&amp;Reference!$U$13,ProviderCommissionerNewChart,15,FALSE)))</f>
        <v>6.9669600000000003</v>
      </c>
      <c r="D23" s="265">
        <f>IF(G24&gt;=200,(VLOOKUP(Reference!$Y$17&amp;Reference!$AA$2&amp;Reference!$AA$2&amp;Reference!$U$13,ProviderCommissionerNewChart,15,FALSE)),"Insufficient data")</f>
        <v>8.4067900000000009</v>
      </c>
      <c r="E23" s="385">
        <f>E22+1.15</f>
        <v>1.75</v>
      </c>
      <c r="F23" s="268">
        <f>IF(ISNA(VLOOKUP(Reference!$Y$17&amp;$B$8&amp;Reference!$U$13,ProviderCommissionerNewChart,7,FALSE)),0,(VLOOKUP(Reference!$Y$17&amp;$B$8&amp;Reference!$U$13,ProviderCommissionerNewChart,7,FALSE)))</f>
        <v>54</v>
      </c>
      <c r="G23" s="260">
        <f>VLOOKUP(Reference!$Y$17&amp;Reference!$AA$2&amp;Reference!$AA$2&amp;Reference!$U$13,ProviderCommissionerNewChart,7,FALSE)</f>
        <v>13609</v>
      </c>
      <c r="H23" s="260" t="s">
        <v>1144</v>
      </c>
      <c r="K23" s="277">
        <f t="shared" si="0"/>
        <v>10.350000000000001</v>
      </c>
    </row>
    <row r="24" spans="1:13" ht="13" x14ac:dyDescent="0.3">
      <c r="A24" s="87"/>
      <c r="B24" s="81" t="str">
        <f>"Total Knee Replacement " &amp;"("&amp;F24 &amp;")"</f>
        <v>Total Knee Replacement (55)</v>
      </c>
      <c r="C24" s="261">
        <f>IF(ISNA(VLOOKUP(Reference!$Y$16&amp;$B$8&amp;Reference!$U$13,ProviderCommissionerNewChart,15,FALSE)),"No data",IF(VLOOKUP(Reference!$Y$16&amp;$B$8&amp;Reference!$U$13,ProviderCommissionerNewChart,15,FALSE)="-","No data",VLOOKUP(Reference!$Y$16&amp;$B$8&amp;Reference!$U$13,ProviderCommissionerNewChart,15,FALSE)))</f>
        <v>7.4474900000000002</v>
      </c>
      <c r="D24" s="265">
        <f>IF(G24&gt;=200,(VLOOKUP(Reference!$Y$16&amp;Reference!$AA$2&amp;Reference!$AA$2&amp;Reference!$U$13,ProviderCommissionerNewChart,15,FALSE)),"Insufficient data")</f>
        <v>8.3600600000000007</v>
      </c>
      <c r="E24" s="385">
        <f>E23+1.15</f>
        <v>2.9</v>
      </c>
      <c r="F24" s="268">
        <f>IF(ISNA(VLOOKUP(Reference!$Y$16&amp;$B$8&amp;Reference!$U$13,ProviderCommissionerNewChart,7,FALSE)),0,(VLOOKUP(Reference!$Y$16&amp;$B$8&amp;Reference!$U$13,ProviderCommissionerNewChart,7,FALSE)))</f>
        <v>55</v>
      </c>
      <c r="G24" s="260">
        <f>VLOOKUP(Reference!$Y$16&amp;Reference!$AA$2&amp;Reference!$AA$2&amp;Reference!$U$13,ProviderCommissionerNewChart,7,FALSE)</f>
        <v>14170</v>
      </c>
      <c r="H24" s="260"/>
      <c r="K24" s="277">
        <f t="shared" si="0"/>
        <v>11.250000000000002</v>
      </c>
    </row>
    <row r="25" spans="1:13" ht="13" x14ac:dyDescent="0.3">
      <c r="A25" s="87"/>
      <c r="B25" s="81" t="str">
        <f>"Hip - revision " &amp;"("&amp;F25 &amp;")"</f>
        <v>Hip - revision (1)</v>
      </c>
      <c r="C25" s="261" t="str">
        <f>IF(ISNA(VLOOKUP(Reference!$Y$15&amp;$B$8&amp;Reference!$U$3,ProviderCommissionerNewChart,15,FALSE)),"No data",IF(VLOOKUP(Reference!$Y$15&amp;$B$8&amp;Reference!$U$3,ProviderCommissionerNewChart,15,FALSE)="-","No data",VLOOKUP(Reference!$Y$15&amp;$B$8&amp;Reference!$U$3,ProviderCommissionerNewChart,15,FALSE)))</f>
        <v>*</v>
      </c>
      <c r="D25" s="265">
        <f>IF(G25&gt;=200,(VLOOKUP(Reference!$Y$15&amp;Reference!$AA$2&amp;Reference!$AA$2&amp;Reference!$U$3,ProviderCommissionerNewChart,15,FALSE)),"Insufficient data")</f>
        <v>8.3693399999999993</v>
      </c>
      <c r="E25" s="385">
        <f>E24+1.2</f>
        <v>4.0999999999999996</v>
      </c>
      <c r="F25" s="268">
        <f>IF(ISNA(VLOOKUP(Reference!$Y$15&amp;$B$8&amp;Reference!$U$3,ProviderCommissionerNewChart,7,FALSE)),0,(VLOOKUP(Reference!$Y$15&amp;$B$8&amp;Reference!$U$3,ProviderCommissionerNewChart,7,FALSE)))</f>
        <v>1</v>
      </c>
      <c r="G25" s="260">
        <f>VLOOKUP(Reference!$Y$15&amp;Reference!$AA$2&amp;Reference!$AA$2&amp;Reference!$U$3,ProviderCommissionerNewChart,7,FALSE)</f>
        <v>574</v>
      </c>
      <c r="H25" s="260"/>
      <c r="K25" s="277">
        <f t="shared" si="0"/>
        <v>12.150000000000002</v>
      </c>
    </row>
    <row r="26" spans="1:13" ht="13" x14ac:dyDescent="0.3">
      <c r="A26" s="87"/>
      <c r="B26" s="81" t="str">
        <f>"Hip - primary " &amp;"("&amp;F26 &amp;")"</f>
        <v>Hip - primary (48)</v>
      </c>
      <c r="C26" s="261">
        <f>IF(ISNA(VLOOKUP(Reference!$Y$14&amp;$B$8&amp;Reference!$U$3,ProviderCommissionerNewChart,15,FALSE)),"No data",IF(VLOOKUP(Reference!$Y$14&amp;$B$8&amp;Reference!$U$3,ProviderCommissionerNewChart,15,FALSE)="-","No data",VLOOKUP(Reference!$Y$14&amp;$B$8&amp;Reference!$U$3,ProviderCommissionerNewChart,15,FALSE)))</f>
        <v>13.114100000000001</v>
      </c>
      <c r="D26" s="265">
        <f>IF(G26&gt;=200,(VLOOKUP(Reference!$Y$14&amp;Reference!$AA$2&amp;Reference!$AA$2&amp;Reference!$U$3,ProviderCommissionerNewChart,15,FALSE)),"Insufficient data")</f>
        <v>14.985300000000001</v>
      </c>
      <c r="E26" s="385">
        <f>E25+1.15</f>
        <v>5.25</v>
      </c>
      <c r="F26" s="268">
        <f>IF(ISNA(VLOOKUP(Reference!$Y$14&amp;$B$8&amp;Reference!$U$3,ProviderCommissionerNewChart,7,FALSE)),0,(VLOOKUP(Reference!$Y$14&amp;$B$8&amp;Reference!$U$3,ProviderCommissionerNewChart,7,FALSE)))</f>
        <v>48</v>
      </c>
      <c r="G26" s="260">
        <f>VLOOKUP(Reference!$Y$14&amp;Reference!$AA$2&amp;Reference!$AA$2&amp;Reference!$U$3,ProviderCommissionerNewChart,7,FALSE)</f>
        <v>13559</v>
      </c>
      <c r="H26" s="260"/>
      <c r="K26" s="277">
        <f t="shared" si="0"/>
        <v>13.050000000000002</v>
      </c>
    </row>
    <row r="27" spans="1:13" ht="13" x14ac:dyDescent="0.3">
      <c r="A27" s="87"/>
      <c r="B27" s="82" t="str">
        <f>"Total Hip Replacement " &amp;"("&amp;F27 &amp;")"</f>
        <v>Total Hip Replacement (49)</v>
      </c>
      <c r="C27" s="261">
        <f>IF(ISNA(VLOOKUP(Reference!$Y$13&amp;$B$8&amp;Reference!$U$3,ProviderCommissionerNewChart,15,FALSE)),"No data",IF(VLOOKUP(Reference!$Y$13&amp;$B$8&amp;Reference!$U$3,ProviderCommissionerNewChart,15,FALSE)="-","No data",VLOOKUP(Reference!$Y$13&amp;$B$8&amp;Reference!$U$3,ProviderCommissionerNewChart,15,FALSE)))</f>
        <v>13.894</v>
      </c>
      <c r="D27" s="265">
        <f>IF(G27&gt;=200,(VLOOKUP(Reference!$Y$13&amp;Reference!$AA$2&amp;Reference!$AA$2&amp;Reference!$U$3,ProviderCommissionerNewChart,15,FALSE)),"Insufficient data")</f>
        <v>14.7166</v>
      </c>
      <c r="E27" s="385">
        <f>E26+1.2</f>
        <v>6.45</v>
      </c>
      <c r="F27" s="268">
        <f>IF(ISNA(VLOOKUP(Reference!$Y$13&amp;$B$8&amp;Reference!$U$3,ProviderCommissionerNewChart,7,FALSE)),0,(VLOOKUP(Reference!$Y$13&amp;$B$8&amp;Reference!$U$3,ProviderCommissionerNewChart,7,FALSE)))</f>
        <v>49</v>
      </c>
      <c r="G27" s="260">
        <f>VLOOKUP(Reference!$Y$13&amp;Reference!$AA$2&amp;Reference!$AA$2&amp;Reference!$U$3,ProviderCommissionerNewChart,7,FALSE)</f>
        <v>14133</v>
      </c>
      <c r="H27" s="260"/>
      <c r="J27" s="13" t="s">
        <v>1145</v>
      </c>
      <c r="K27" s="277">
        <f t="shared" si="0"/>
        <v>13.950000000000003</v>
      </c>
    </row>
    <row r="28" spans="1:13" ht="13" x14ac:dyDescent="0.3">
      <c r="A28" s="87"/>
      <c r="B28" s="81" t="s">
        <v>1146</v>
      </c>
      <c r="C28" s="261"/>
      <c r="D28" s="258"/>
      <c r="E28" s="385"/>
      <c r="F28" s="129"/>
      <c r="G28" s="260"/>
      <c r="H28" s="260"/>
      <c r="J28" s="276">
        <f>IF($G$31&gt;=200,(VLOOKUP(Reference!$Y$18&amp;Reference!$AA$2&amp;Reference!$AA$2&amp;Reference!$U$2,ProviderCommissionerNewChart,15,FALSE)),0)</f>
        <v>0.30752699999999999</v>
      </c>
      <c r="K28" s="277">
        <f t="shared" si="0"/>
        <v>14.850000000000003</v>
      </c>
    </row>
    <row r="29" spans="1:13" ht="13" x14ac:dyDescent="0.3">
      <c r="A29" s="87"/>
      <c r="B29" s="81"/>
      <c r="C29" s="261"/>
      <c r="D29" s="258"/>
      <c r="E29" s="385"/>
      <c r="F29" s="129"/>
      <c r="G29" s="260"/>
      <c r="H29" s="260"/>
      <c r="K29" s="277">
        <f t="shared" si="0"/>
        <v>15.750000000000004</v>
      </c>
    </row>
    <row r="30" spans="1:13" ht="13" x14ac:dyDescent="0.3">
      <c r="A30" s="87" t="str">
        <f>"Figure 1: Average adjusted health gain on the EQ-5D A17 Index by procedure,
 "&amp;'Adjusted Health Gain Chart'!D11&amp; " compared with England"</f>
        <v>Figure 1: Average adjusted health gain on the EQ-5D A17 Index by procedure,
 BLACKPOOL TEACHING HOSPITALS NHS FOUNDATION TRUST (RXL) compared with England</v>
      </c>
      <c r="B30" s="81" t="str">
        <f>"Knee - revision " &amp;"("&amp;F30 &amp;")"</f>
        <v>Knee - revision (1)</v>
      </c>
      <c r="C30" s="261" t="str">
        <f>IF(ISNA(VLOOKUP(Reference!$Y$18&amp;$B$8&amp;Reference!$U$2,ProviderCommissionerNewChart,15,FALSE)),"No data",IF(VLOOKUP(Reference!$Y$18&amp;$B$8&amp;Reference!$U$2,ProviderCommissionerNewChart,15,FALSE)="-","No data",VLOOKUP(Reference!$Y$18&amp;$B$8&amp;Reference!$U$2,ProviderCommissionerNewChart,15,FALSE)))</f>
        <v>*</v>
      </c>
      <c r="D30" s="258">
        <f>IF(G30&gt;=200,(VLOOKUP(Reference!$Y$18&amp;Reference!$AA$2&amp;Reference!$AA$2&amp;Reference!$U$2,ProviderCommissionerNewChart,15,FALSE)),"Insufficient data")</f>
        <v>0.30752699999999999</v>
      </c>
      <c r="E30" s="385">
        <v>0.6</v>
      </c>
      <c r="F30" s="262">
        <f>IF(ISNA(VLOOKUP(Reference!$Y$18&amp;$B$8&amp;Reference!$U$2,ProviderCommissionerNewChart,7,FALSE)),0,(VLOOKUP(Reference!$Y$18&amp;$B$8&amp;Reference!$U$2,ProviderCommissionerNewChart,7,FALSE)))</f>
        <v>1</v>
      </c>
      <c r="G30" s="260">
        <f>VLOOKUP(Reference!$Y$18&amp;Reference!$AA$2&amp;Reference!$AA$2&amp;Reference!$U$2,ProviderCommissionerNewChart,7,FALSE)</f>
        <v>569</v>
      </c>
      <c r="H30" s="260"/>
      <c r="K30" s="277">
        <f t="shared" si="0"/>
        <v>16.650000000000002</v>
      </c>
    </row>
    <row r="31" spans="1:13" ht="13" x14ac:dyDescent="0.3">
      <c r="B31" s="81" t="str">
        <f>"Knee - primary " &amp;"("&amp;F31 &amp;")"</f>
        <v>Knee - primary (59)</v>
      </c>
      <c r="C31" s="261">
        <f>IF(ISNA(VLOOKUP(Reference!$Y$17&amp;$B$8&amp;Reference!$U$2,ProviderCommissionerNewChart,15,FALSE)),"No data",IF(VLOOKUP(Reference!$Y$17&amp;$B$8&amp;Reference!$U$2,ProviderCommissionerNewChart,15,FALSE)="-","No data",VLOOKUP(Reference!$Y$17&amp;$B$8&amp;Reference!$U$2,ProviderCommissionerNewChart,15,FALSE)))</f>
        <v>0.337395</v>
      </c>
      <c r="D31" s="258">
        <f>IF(G32&gt;=200,(VLOOKUP(Reference!$Y$17&amp;Reference!$AA$2&amp;Reference!$AA$2&amp;Reference!$U$2,ProviderCommissionerNewChart,15,FALSE)),"Insufficient data")</f>
        <v>0.32422499999999999</v>
      </c>
      <c r="E31" s="385">
        <f>E30+1.15</f>
        <v>1.75</v>
      </c>
      <c r="F31" s="262">
        <f>IF(ISNA(VLOOKUP(Reference!$Y$17&amp;$B$8&amp;Reference!$U$2,ProviderCommissionerNewChart,7,FALSE)),0,(VLOOKUP(Reference!$Y$17&amp;$B$8&amp;Reference!$U$2,ProviderCommissionerNewChart,7,FALSE)))</f>
        <v>59</v>
      </c>
      <c r="G31" s="260">
        <f>VLOOKUP(Reference!$Y$17&amp;Reference!$AA$2&amp;Reference!$AA$2&amp;Reference!$U$2,ProviderCommissionerNewChart,7,FALSE)</f>
        <v>14210</v>
      </c>
      <c r="H31" s="260"/>
      <c r="K31" s="277">
        <f t="shared" si="0"/>
        <v>17.55</v>
      </c>
    </row>
    <row r="32" spans="1:13" ht="13" x14ac:dyDescent="0.3">
      <c r="A32" s="87"/>
      <c r="B32" s="81" t="str">
        <f>"Total Knee Replacment " &amp;"("&amp;F32 &amp;")"</f>
        <v>Total Knee Replacment (60)</v>
      </c>
      <c r="C32" s="261">
        <f>IF(ISNA(VLOOKUP(Reference!$Y$16&amp;$B$8&amp;Reference!$U$2,ProviderCommissionerNewChart,15,FALSE)), "No data",IF(VLOOKUP(Reference!$Y$16&amp;$B$8&amp;Reference!$U$2,ProviderCommissionerNewChart,15,FALSE)="-","No data",VLOOKUP(Reference!$Y$16&amp;$B$8&amp;Reference!$U$2,ProviderCommissionerNewChart,15,FALSE)))</f>
        <v>0.34473199999999998</v>
      </c>
      <c r="D32" s="258">
        <f>IF(G32&gt;=200,(VLOOKUP(Reference!$Y$16&amp;Reference!$AA$2&amp;Reference!$AA$2&amp;Reference!$U$2,ProviderCommissionerNewChart,15,FALSE)),"Insufficient data")</f>
        <v>0.32358199999999998</v>
      </c>
      <c r="E32" s="385">
        <f>E31+1.15</f>
        <v>2.9</v>
      </c>
      <c r="F32" s="262">
        <f>IF(ISNA(VLOOKUP(Reference!$Y$16&amp;$B$8&amp;Reference!$U$2,ProviderCommissionerNewChart,7,FALSE)),0,(VLOOKUP(Reference!$Y$16&amp;$B$8&amp;Reference!$U$2,ProviderCommissionerNewChart,7,FALSE)))</f>
        <v>60</v>
      </c>
      <c r="G32" s="260">
        <f>VLOOKUP(Reference!$Y$16&amp;Reference!$AA$2&amp;Reference!$AA$2&amp;Reference!$U$2,ProviderCommissionerNewChart,7,FALSE)</f>
        <v>14779</v>
      </c>
      <c r="H32" s="260"/>
      <c r="K32" s="277">
        <f t="shared" si="0"/>
        <v>18.45</v>
      </c>
    </row>
    <row r="33" spans="1:15" ht="13" x14ac:dyDescent="0.3">
      <c r="A33" s="87"/>
      <c r="B33" s="81" t="str">
        <f>"Hip - revision " &amp;"("&amp;F33 &amp;")"</f>
        <v>Hip - revision (1)</v>
      </c>
      <c r="C33" s="261" t="str">
        <f>IF(ISNA(VLOOKUP(Reference!$Y$15&amp;$B$8&amp;Reference!$U$2,ProviderCommissionerNewChart,15,FALSE)),"No data",IF(VLOOKUP(Reference!$Y$15&amp;$B$8&amp;Reference!$U$2,ProviderCommissionerNewChart,15,FALSE)="-","No data",VLOOKUP(Reference!$Y$15&amp;$B$8&amp;Reference!$U$2,ProviderCommissionerNewChart,15,FALSE)))</f>
        <v>*</v>
      </c>
      <c r="D33" s="258">
        <f>IF(G33&gt;=200,(VLOOKUP(Reference!$Y$15&amp;Reference!$AA$2&amp;Reference!$AA$2&amp;Reference!$U$2,ProviderCommissionerNewChart,15,FALSE)),"Insufficient data")</f>
        <v>0.31689600000000001</v>
      </c>
      <c r="E33" s="385">
        <f>E32+1.2</f>
        <v>4.0999999999999996</v>
      </c>
      <c r="F33" s="262">
        <f>IF(ISNA(VLOOKUP(Reference!$Y$15&amp;$B$8&amp;Reference!$U$2,ProviderCommissionerNewChart,7,FALSE)),0,(VLOOKUP(Reference!$Y$15&amp;$B$8&amp;Reference!$U$2,ProviderCommissionerNewChart,7,FALSE)))</f>
        <v>1</v>
      </c>
      <c r="G33" s="260">
        <f>VLOOKUP(Reference!$Y$15&amp;Reference!$AA$2&amp;Reference!$AA$2&amp;Reference!$U$2,ProviderCommissionerNewChart,7,FALSE)</f>
        <v>585</v>
      </c>
      <c r="H33" s="260"/>
      <c r="K33" s="277">
        <f t="shared" si="0"/>
        <v>19.349999999999998</v>
      </c>
    </row>
    <row r="34" spans="1:15" ht="13" x14ac:dyDescent="0.3">
      <c r="A34" s="87"/>
      <c r="B34" s="81" t="str">
        <f>"Hip - primary " &amp;"("&amp;F34 &amp;")"</f>
        <v>Hip - primary (55)</v>
      </c>
      <c r="C34" s="261">
        <f>IF(ISNA(VLOOKUP(Reference!$Y$14&amp;$B$8&amp;Reference!$U$2,ProviderCommissionerNewChart,15,FALSE)),"No data",IF(VLOOKUP(Reference!$Y$14&amp;$B$8&amp;Reference!$U$2,ProviderCommissionerNewChart,15,FALSE)="-","No data",VLOOKUP(Reference!$Y$14&amp;$B$8&amp;Reference!$U$2,ProviderCommissionerNewChart,15,FALSE)))</f>
        <v>0.416433</v>
      </c>
      <c r="D34" s="258">
        <f>IF(G34&gt;=200,(VLOOKUP(Reference!$Y$14&amp;Reference!$AA$2&amp;Reference!$AA$2&amp;Reference!$U$2,ProviderCommissionerNewChart,15,FALSE)),"Insufficient data")</f>
        <v>0.46185700000000002</v>
      </c>
      <c r="E34" s="385">
        <f>E33+1.15</f>
        <v>5.25</v>
      </c>
      <c r="F34" s="262">
        <f>IF(ISNA(VLOOKUP(Reference!$Y$14&amp;$B$8&amp;Reference!$U$2,ProviderCommissionerNewChart,7,FALSE)),0,(VLOOKUP(Reference!$Y$14&amp;$B$8&amp;Reference!$U$2,ProviderCommissionerNewChart,7,FALSE)))</f>
        <v>55</v>
      </c>
      <c r="G34" s="260">
        <f>VLOOKUP(Reference!$Y$14&amp;Reference!$AA$2&amp;Reference!$AA$2&amp;Reference!$U$2,ProviderCommissionerNewChart,7,FALSE)</f>
        <v>14042</v>
      </c>
      <c r="H34" s="260"/>
      <c r="K34" s="277">
        <f t="shared" si="0"/>
        <v>20.249999999999996</v>
      </c>
    </row>
    <row r="35" spans="1:15" ht="13" x14ac:dyDescent="0.3">
      <c r="A35" s="87"/>
      <c r="B35" s="82" t="str">
        <f>"Total Hip Replacement " &amp;"("&amp;F35 &amp;")"</f>
        <v>Total Hip Replacement (56)</v>
      </c>
      <c r="C35" s="261">
        <f>IF(ISNA(VLOOKUP(Reference!$Y$13&amp;$B$8&amp;Reference!$U$2,ProviderCommissionerNewChart,15,FALSE)),"No data",IF(VLOOKUP(Reference!$Y$13&amp;$B$8&amp;Reference!$U$2,ProviderCommissionerNewChart,15,FALSE)="-","No data",VLOOKUP(Reference!$Y$13&amp;$B$8&amp;Reference!$U$2,ProviderCommissionerNewChart,15,FALSE)))</f>
        <v>0.420956</v>
      </c>
      <c r="D35" s="258">
        <f>IF(G35&gt;=200,(VLOOKUP(Reference!$Y$13&amp;Reference!$AA$2&amp;Reference!$AA$2&amp;Reference!$U$2,ProviderCommissionerNewChart,15,FALSE)),"Insufficient data")</f>
        <v>0.45605899999999999</v>
      </c>
      <c r="E35" s="385">
        <f>E34+1.2</f>
        <v>6.45</v>
      </c>
      <c r="F35" s="262">
        <f>IF(ISNA(VLOOKUP(Reference!$Y$13&amp;$B$8&amp;Reference!$U$2,ProviderCommissionerNewChart,7,FALSE)),0,(VLOOKUP(Reference!$Y$13&amp;$B$8&amp;Reference!$U$2,ProviderCommissionerNewChart,7,FALSE)))</f>
        <v>56</v>
      </c>
      <c r="G35" s="260">
        <f>VLOOKUP(Reference!$Y$13&amp;Reference!$AA$2&amp;Reference!$AA$2&amp;Reference!$U$2,ProviderCommissionerNewChart,7,FALSE)</f>
        <v>14627</v>
      </c>
      <c r="H35" s="260"/>
      <c r="K35" s="277">
        <f t="shared" si="0"/>
        <v>21.149999999999995</v>
      </c>
    </row>
    <row r="36" spans="1:15" ht="13" x14ac:dyDescent="0.3">
      <c r="B36" s="87" t="s">
        <v>963</v>
      </c>
      <c r="E36" s="128"/>
    </row>
    <row r="39" spans="1:15" ht="38.25" customHeight="1" x14ac:dyDescent="0.25">
      <c r="A39" s="381" t="s">
        <v>1147</v>
      </c>
      <c r="B39" s="382"/>
      <c r="C39" s="88" t="s">
        <v>1148</v>
      </c>
      <c r="D39" s="88" t="s">
        <v>1149</v>
      </c>
      <c r="E39" s="83" t="s">
        <v>1150</v>
      </c>
      <c r="F39" s="88" t="s">
        <v>1151</v>
      </c>
      <c r="G39" s="83" t="s">
        <v>1152</v>
      </c>
      <c r="H39" s="253"/>
      <c r="J39" s="196"/>
      <c r="K39" s="89"/>
      <c r="L39" s="25"/>
      <c r="M39" s="25"/>
      <c r="N39" s="89"/>
      <c r="O39" s="25"/>
    </row>
    <row r="40" spans="1:15" ht="13" x14ac:dyDescent="0.25">
      <c r="A40" s="412" t="s">
        <v>735</v>
      </c>
      <c r="B40" s="90" t="s">
        <v>1153</v>
      </c>
      <c r="C40" s="136">
        <f ca="1">VLOOKUP("England",Participation_Data,2,FALSE)</f>
        <v>142417</v>
      </c>
      <c r="D40" s="136">
        <f ca="1">VLOOKUP("England",Participation_Data,3,FALSE)</f>
        <v>98488</v>
      </c>
      <c r="E40" s="137">
        <f ca="1">VLOOKUP("England",Participation_Data,4,FALSE)</f>
        <v>0.69154669999999996</v>
      </c>
      <c r="F40" s="136">
        <f ca="1">VLOOKUP("England",Participation_Data,5,FALSE)</f>
        <v>57833</v>
      </c>
      <c r="G40" s="137">
        <f ca="1">VLOOKUP("England",Participation_Data,6,FALSE)</f>
        <v>0.58720859999999997</v>
      </c>
      <c r="H40" s="266"/>
      <c r="J40" s="196"/>
      <c r="K40" s="91"/>
      <c r="L40" s="92"/>
      <c r="M40" s="92"/>
      <c r="N40" s="91"/>
      <c r="O40" s="92"/>
    </row>
    <row r="41" spans="1:15" ht="13" x14ac:dyDescent="0.25">
      <c r="A41" s="413"/>
      <c r="B41" s="90" t="s">
        <v>1154</v>
      </c>
      <c r="C41" s="136">
        <f ca="1">VLOOKUP("England",Participation_Data,11,FALSE)</f>
        <v>68335</v>
      </c>
      <c r="D41" s="136">
        <f ca="1">VLOOKUP("England",Participation_Data,12,FALSE)</f>
        <v>47872</v>
      </c>
      <c r="E41" s="137">
        <f ca="1">VLOOKUP("England",Participation_Data,13,FALSE)</f>
        <v>0.70054879999999997</v>
      </c>
      <c r="F41" s="136">
        <f ca="1">VLOOKUP("England",Participation_Data,14,FALSE)</f>
        <v>27753</v>
      </c>
      <c r="G41" s="137">
        <f ca="1">VLOOKUP("England",Participation_Data,15,FALSE)</f>
        <v>0.57973350000000001</v>
      </c>
      <c r="H41" s="266"/>
      <c r="J41" s="196"/>
      <c r="K41" s="91"/>
      <c r="L41" s="92"/>
      <c r="M41" s="92"/>
      <c r="N41" s="91"/>
      <c r="O41" s="92"/>
    </row>
    <row r="42" spans="1:15" ht="13" x14ac:dyDescent="0.25">
      <c r="A42" s="413"/>
      <c r="B42" s="90" t="s">
        <v>1155</v>
      </c>
      <c r="C42" s="136">
        <f ca="1">VLOOKUP("England",Participation_Data,20,FALSE)</f>
        <v>64656</v>
      </c>
      <c r="D42" s="136">
        <f ca="1">VLOOKUP("England",Participation_Data,21,FALSE)</f>
        <v>26445</v>
      </c>
      <c r="E42" s="137">
        <f ca="1">VLOOKUP("England",Participation_Data,22,FALSE)</f>
        <v>0.40901080000000001</v>
      </c>
      <c r="F42" s="136">
        <f ca="1">VLOOKUP("England",Participation_Data,23,FALSE)</f>
        <v>26445</v>
      </c>
      <c r="G42" s="137">
        <f ca="1">VLOOKUP("England",Participation_Data,24,FALSE)</f>
        <v>1</v>
      </c>
      <c r="H42" s="266"/>
      <c r="J42" s="196"/>
      <c r="K42" s="91"/>
      <c r="L42" s="92"/>
      <c r="M42" s="92"/>
      <c r="N42" s="91"/>
      <c r="O42" s="92"/>
    </row>
    <row r="43" spans="1:15" ht="13" x14ac:dyDescent="0.25">
      <c r="A43" s="413"/>
      <c r="B43" s="90" t="s">
        <v>1156</v>
      </c>
      <c r="C43" s="136">
        <f ca="1">VLOOKUP("England",Participation_Data,29,FALSE)</f>
        <v>3679</v>
      </c>
      <c r="D43" s="136">
        <f ca="1">VLOOKUP("England",Participation_Data,30,FALSE)</f>
        <v>1308</v>
      </c>
      <c r="E43" s="137">
        <f ca="1">VLOOKUP("England",Participation_Data,31,FALSE)</f>
        <v>0.3555314</v>
      </c>
      <c r="F43" s="136">
        <f ca="1">VLOOKUP("England",Participation_Data,32,FALSE)</f>
        <v>1308</v>
      </c>
      <c r="G43" s="137">
        <f ca="1">VLOOKUP("England",Participation_Data,33,FALSE)</f>
        <v>1</v>
      </c>
      <c r="H43" s="266"/>
      <c r="J43" s="196"/>
      <c r="K43" s="91"/>
      <c r="L43" s="92"/>
      <c r="M43" s="92"/>
      <c r="N43" s="91"/>
      <c r="O43" s="92"/>
    </row>
    <row r="44" spans="1:15" ht="13" x14ac:dyDescent="0.25">
      <c r="A44" s="414"/>
      <c r="B44" s="90" t="s">
        <v>1157</v>
      </c>
      <c r="C44" s="136">
        <f ca="1">VLOOKUP("England",Participation_Data,38,FALSE)</f>
        <v>74082</v>
      </c>
      <c r="D44" s="136">
        <f ca="1">VLOOKUP("England",Participation_Data,39,FALSE)</f>
        <v>50616</v>
      </c>
      <c r="E44" s="137">
        <f ca="1">VLOOKUP("England",Participation_Data,40,FALSE)</f>
        <v>0.68324289999999999</v>
      </c>
      <c r="F44" s="136">
        <f ca="1">VLOOKUP("England",Participation_Data,41,FALSE)</f>
        <v>30080</v>
      </c>
      <c r="G44" s="137">
        <f ca="1">VLOOKUP("England",Participation_Data,42,FALSE)</f>
        <v>0.59427850000000004</v>
      </c>
      <c r="H44" s="266"/>
      <c r="J44" s="196"/>
      <c r="K44" s="91"/>
      <c r="L44" s="92"/>
      <c r="M44" s="92"/>
      <c r="N44" s="91"/>
      <c r="O44" s="92"/>
    </row>
    <row r="45" spans="1:15" x14ac:dyDescent="0.25">
      <c r="A45" s="36"/>
      <c r="B45" s="36"/>
      <c r="C45" s="36"/>
      <c r="D45" s="36"/>
      <c r="E45" s="36"/>
      <c r="F45" s="36"/>
      <c r="G45" s="36"/>
      <c r="H45" s="36"/>
      <c r="K45" s="36"/>
      <c r="L45" s="36"/>
      <c r="M45" s="36"/>
      <c r="N45" s="36"/>
      <c r="O45" s="36"/>
    </row>
    <row r="46" spans="1:15" ht="51" customHeight="1" x14ac:dyDescent="0.25">
      <c r="A46" s="381" t="s">
        <v>1158</v>
      </c>
      <c r="B46" s="382"/>
      <c r="C46" s="88" t="s">
        <v>1149</v>
      </c>
      <c r="D46" s="88" t="s">
        <v>1159</v>
      </c>
      <c r="E46" s="83" t="s">
        <v>1160</v>
      </c>
      <c r="F46" s="88" t="s">
        <v>1161</v>
      </c>
      <c r="G46" s="83" t="s">
        <v>1162</v>
      </c>
      <c r="H46" s="253"/>
      <c r="J46" s="196"/>
      <c r="K46" s="89"/>
      <c r="L46" s="25"/>
      <c r="M46" s="25"/>
      <c r="N46" s="89"/>
      <c r="O46" s="25"/>
    </row>
    <row r="47" spans="1:15" ht="13" x14ac:dyDescent="0.25">
      <c r="A47" s="412" t="s">
        <v>735</v>
      </c>
      <c r="B47" s="90" t="s">
        <v>1153</v>
      </c>
      <c r="C47" s="136">
        <f ca="1">VLOOKUP("England",Participation_Data,3,FALSE)</f>
        <v>98488</v>
      </c>
      <c r="D47" s="136">
        <f ca="1">VLOOKUP("England",Participation_Data,7,FALSE)</f>
        <v>88968</v>
      </c>
      <c r="E47" s="137">
        <f ca="1">VLOOKUP("England",Participation_Data,8,FALSE)</f>
        <v>0.90333850000000004</v>
      </c>
      <c r="F47" s="136">
        <f ca="1">VLOOKUP("England",Participation_Data,9,FALSE)</f>
        <v>54476</v>
      </c>
      <c r="G47" s="137">
        <f ca="1">VLOOKUP("England",Participation_Data,10,FALSE)</f>
        <v>0.61231000000000002</v>
      </c>
      <c r="H47" s="266"/>
      <c r="J47" s="196"/>
      <c r="K47" s="91"/>
      <c r="L47" s="92"/>
      <c r="M47" s="92"/>
      <c r="N47" s="91"/>
      <c r="O47" s="92"/>
    </row>
    <row r="48" spans="1:15" ht="13" x14ac:dyDescent="0.25">
      <c r="A48" s="413"/>
      <c r="B48" s="90" t="s">
        <v>1154</v>
      </c>
      <c r="C48" s="136">
        <f ca="1">VLOOKUP("England",Participation_Data,12,FALSE)</f>
        <v>47872</v>
      </c>
      <c r="D48" s="136">
        <f ca="1">VLOOKUP("England",Participation_Data,16,FALSE)</f>
        <v>43791</v>
      </c>
      <c r="E48" s="137">
        <f ca="1">VLOOKUP("England",Participation_Data,17,FALSE)</f>
        <v>0.9147518</v>
      </c>
      <c r="F48" s="136">
        <f ca="1">VLOOKUP("England",Participation_Data,18,FALSE)</f>
        <v>27638</v>
      </c>
      <c r="G48" s="137">
        <f ca="1">VLOOKUP("England",Participation_Data,19,FALSE)</f>
        <v>0.63113430000000004</v>
      </c>
      <c r="H48" s="266"/>
      <c r="J48" s="196"/>
      <c r="K48" s="91"/>
      <c r="L48" s="92"/>
      <c r="M48" s="92"/>
      <c r="N48" s="91"/>
      <c r="O48" s="92"/>
    </row>
    <row r="49" spans="1:15" ht="13" x14ac:dyDescent="0.25">
      <c r="A49" s="413"/>
      <c r="B49" s="90" t="s">
        <v>1155</v>
      </c>
      <c r="C49" s="136">
        <f ca="1">VLOOKUP("England",Participation_Data,21,FALSE)</f>
        <v>26445</v>
      </c>
      <c r="D49" s="136">
        <f ca="1">VLOOKUP("England",Participation_Data,25,FALSE)</f>
        <v>24544</v>
      </c>
      <c r="E49" s="137">
        <f ca="1">VLOOKUP("England",Participation_Data,26,FALSE)</f>
        <v>0.92811500000000002</v>
      </c>
      <c r="F49" s="136">
        <f ca="1">VLOOKUP("England",Participation_Data,27,FALSE)</f>
        <v>16284</v>
      </c>
      <c r="G49" s="137">
        <f ca="1">VLOOKUP("England",Participation_Data,28,FALSE)</f>
        <v>0.66346150000000004</v>
      </c>
      <c r="H49" s="266"/>
      <c r="J49" s="196"/>
      <c r="K49" s="91"/>
      <c r="L49" s="92"/>
      <c r="M49" s="92"/>
      <c r="N49" s="91"/>
      <c r="O49" s="92"/>
    </row>
    <row r="50" spans="1:15" ht="13" x14ac:dyDescent="0.25">
      <c r="A50" s="413"/>
      <c r="B50" s="90" t="s">
        <v>1156</v>
      </c>
      <c r="C50" s="136">
        <f ca="1">VLOOKUP("England",Participation_Data,30,FALSE)</f>
        <v>1308</v>
      </c>
      <c r="D50" s="136">
        <f ca="1">VLOOKUP("England",Participation_Data,34,FALSE)</f>
        <v>1190</v>
      </c>
      <c r="E50" s="137">
        <f ca="1">VLOOKUP("England",Participation_Data,35,FALSE)</f>
        <v>0.90978590000000004</v>
      </c>
      <c r="F50" s="136">
        <f ca="1">VLOOKUP("England",Participation_Data,36,FALSE)</f>
        <v>696</v>
      </c>
      <c r="G50" s="137">
        <f ca="1">VLOOKUP("England",Participation_Data,37,FALSE)</f>
        <v>0.58487389999999995</v>
      </c>
      <c r="H50" s="266"/>
      <c r="J50" s="196"/>
      <c r="K50" s="91"/>
      <c r="L50" s="92"/>
      <c r="M50" s="92"/>
      <c r="N50" s="91"/>
      <c r="O50" s="92"/>
    </row>
    <row r="51" spans="1:15" ht="13" x14ac:dyDescent="0.25">
      <c r="A51" s="414"/>
      <c r="B51" s="90" t="s">
        <v>1157</v>
      </c>
      <c r="C51" s="136">
        <f ca="1">VLOOKUP("England",Participation_Data,39,FALSE)</f>
        <v>50616</v>
      </c>
      <c r="D51" s="136">
        <f ca="1">VLOOKUP("England",Participation_Data,43,FALSE)</f>
        <v>45177</v>
      </c>
      <c r="E51" s="137">
        <f ca="1">VLOOKUP("England",Participation_Data,44,FALSE)</f>
        <v>0.89254389999999995</v>
      </c>
      <c r="F51" s="136">
        <f ca="1">VLOOKUP("England",Participation_Data,45,FALSE)</f>
        <v>26838</v>
      </c>
      <c r="G51" s="137">
        <f ca="1">VLOOKUP("England",Participation_Data,46,FALSE)</f>
        <v>0.59406340000000002</v>
      </c>
      <c r="H51" s="266"/>
      <c r="J51" s="196"/>
      <c r="K51" s="91"/>
      <c r="L51" s="92"/>
      <c r="M51" s="92"/>
      <c r="N51" s="91"/>
      <c r="O51" s="92"/>
    </row>
    <row r="54" spans="1:15" ht="13" x14ac:dyDescent="0.3">
      <c r="A54" s="3" t="s">
        <v>17</v>
      </c>
    </row>
    <row r="55" spans="1:15" x14ac:dyDescent="0.25">
      <c r="A55" s="13" t="s">
        <v>1163</v>
      </c>
      <c r="B55" s="120" t="e">
        <f>ROWS(#REF!)-COUNTBLANK(#REF!)</f>
        <v>#REF!</v>
      </c>
    </row>
    <row r="57" spans="1:15" ht="13" x14ac:dyDescent="0.3">
      <c r="A57" s="3" t="s">
        <v>20</v>
      </c>
    </row>
    <row r="58" spans="1:15" x14ac:dyDescent="0.25">
      <c r="A58" s="13" t="s">
        <v>1163</v>
      </c>
      <c r="B58" s="120">
        <f>ROWS('Participation - Raw Data'!A:A)-COUNTBLANK('Participation - Raw Data'!A:A)</f>
        <v>307</v>
      </c>
    </row>
    <row r="60" spans="1:15" ht="13" x14ac:dyDescent="0.3">
      <c r="A60" s="3" t="s">
        <v>1164</v>
      </c>
    </row>
    <row r="61" spans="1:15" x14ac:dyDescent="0.25">
      <c r="A61" s="13" t="s">
        <v>1163</v>
      </c>
      <c r="B61" s="120">
        <f>COUNTA('Provider Commission - Raw Data'!C:C)</f>
        <v>5500</v>
      </c>
    </row>
    <row r="63" spans="1:15" ht="13" x14ac:dyDescent="0.3">
      <c r="A63" s="3" t="s">
        <v>1165</v>
      </c>
    </row>
    <row r="64" spans="1:15" x14ac:dyDescent="0.25">
      <c r="A64" s="13" t="s">
        <v>1166</v>
      </c>
      <c r="B64" s="120">
        <f>IF('Select 10 table'!B17=Reference!$AA$3,Reference!$O$2,IF('Select 10 table'!B17=Reference!$AA$4,Reference!$L$2,IF('Select 10 table'!B17=Reference!$AA$5,Reference!$I$2,Reference!$F$2)))</f>
        <v>305</v>
      </c>
    </row>
    <row r="65" spans="1:2" x14ac:dyDescent="0.25">
      <c r="A65" s="13" t="s">
        <v>1167</v>
      </c>
      <c r="B65" s="120">
        <f>IF('Select 10 table'!B18=Reference!$AA$3,Reference!$O$2,IF('Select 10 table'!B18=Reference!$AA$4,Reference!$L$2,IF('Select 10 table'!B18=Reference!$AA$5,Reference!$I$2,Reference!$F$2)))</f>
        <v>107</v>
      </c>
    </row>
    <row r="66" spans="1:2" x14ac:dyDescent="0.25">
      <c r="A66" s="13" t="s">
        <v>1168</v>
      </c>
      <c r="B66" s="120">
        <f>IF('Select 10 table'!B19=Reference!$AA$3,Reference!$O$2,IF('Select 10 table'!B19=Reference!$AA$4,Reference!$L$2,IF('Select 10 table'!B19=Reference!$AA$5,Reference!$I$2,Reference!$F$2)))</f>
        <v>305</v>
      </c>
    </row>
    <row r="67" spans="1:2" x14ac:dyDescent="0.25">
      <c r="A67" s="13" t="s">
        <v>1169</v>
      </c>
      <c r="B67" s="120">
        <f>IF('Select 10 table'!B20=Reference!$AA$3,Reference!$O$2,IF('Select 10 table'!B20=Reference!$AA$4,Reference!$L$2,IF('Select 10 table'!B20=Reference!$AA$5,Reference!$I$2,Reference!$F$2)))</f>
        <v>107</v>
      </c>
    </row>
    <row r="68" spans="1:2" x14ac:dyDescent="0.25">
      <c r="A68" s="13" t="s">
        <v>1170</v>
      </c>
      <c r="B68" s="120">
        <f>IF('Select 10 table'!B21=Reference!$AA$3,Reference!$O$2,IF('Select 10 table'!B21=Reference!$AA$4,Reference!$L$2,IF('Select 10 table'!B21=Reference!$AA$5,Reference!$I$2,Reference!$F$2)))</f>
        <v>305</v>
      </c>
    </row>
    <row r="69" spans="1:2" x14ac:dyDescent="0.25">
      <c r="A69" s="13" t="s">
        <v>1171</v>
      </c>
      <c r="B69" s="120">
        <f>IF('Select 10 table'!B22=Reference!$AA$3,Reference!$O$2,IF('Select 10 table'!B22=Reference!$AA$4,Reference!$L$2,IF('Select 10 table'!B22=Reference!$AA$5,Reference!$I$2,Reference!$F$2)))</f>
        <v>107</v>
      </c>
    </row>
    <row r="70" spans="1:2" x14ac:dyDescent="0.25">
      <c r="A70" s="13" t="s">
        <v>1172</v>
      </c>
      <c r="B70" s="120">
        <f>IF('Select 10 table'!B23=Reference!$AA$3,Reference!$O$2,IF('Select 10 table'!B23=Reference!$AA$4,Reference!$L$2,IF('Select 10 table'!B23=Reference!$AA$5,Reference!$I$2,Reference!$F$2)))</f>
        <v>305</v>
      </c>
    </row>
    <row r="71" spans="1:2" x14ac:dyDescent="0.25">
      <c r="A71" s="13" t="s">
        <v>1173</v>
      </c>
      <c r="B71" s="120">
        <f>IF('Select 10 table'!B24=Reference!$AA$3,Reference!$O$2,IF('Select 10 table'!B24=Reference!$AA$4,Reference!$L$2,IF('Select 10 table'!B24=Reference!$AA$5,Reference!$I$2,Reference!$F$2)))</f>
        <v>107</v>
      </c>
    </row>
    <row r="72" spans="1:2" x14ac:dyDescent="0.25">
      <c r="A72" s="13" t="s">
        <v>1174</v>
      </c>
      <c r="B72" s="120">
        <f>IF('Select 10 table'!B25=Reference!$AA$3,Reference!$O$2,IF('Select 10 table'!B25=Reference!$AA$4,Reference!$L$2,IF('Select 10 table'!B25=Reference!$AA$5,Reference!$I$2,Reference!$F$2)))</f>
        <v>305</v>
      </c>
    </row>
    <row r="73" spans="1:2" x14ac:dyDescent="0.25">
      <c r="A73" s="13" t="s">
        <v>1175</v>
      </c>
      <c r="B73" s="120">
        <f>IF('Select 10 table'!B26=Reference!$AA$3,Reference!$O$2,IF('Select 10 table'!B26=Reference!$AA$4,Reference!$L$2,IF('Select 10 table'!B26=Reference!$AA$5,Reference!$I$2,Reference!$F$2)))</f>
        <v>107</v>
      </c>
    </row>
    <row r="75" spans="1:2" ht="13" x14ac:dyDescent="0.3">
      <c r="A75" s="3" t="s">
        <v>1176</v>
      </c>
    </row>
    <row r="76" spans="1:2" x14ac:dyDescent="0.25">
      <c r="A76" s="13" t="s">
        <v>1177</v>
      </c>
      <c r="B76" s="120">
        <f>IF('Funnel Plot'!F11=Reference!AA3,Reference!$O$2,IF('Funnel Plot'!F11=Reference!AA4,Reference!$L$2,IF('Funnel Plot'!F11=Reference!AA5,Reference!$I$2,Reference!$F$2)))</f>
        <v>305</v>
      </c>
    </row>
    <row r="79" spans="1:2" ht="13" x14ac:dyDescent="0.3">
      <c r="A79" s="3"/>
    </row>
  </sheetData>
  <mergeCells count="4">
    <mergeCell ref="A47:A51"/>
    <mergeCell ref="F3:J3"/>
    <mergeCell ref="A11:B11"/>
    <mergeCell ref="A40: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rgb="FFFFFFB3"/>
  </sheetPr>
  <dimension ref="A1:N65"/>
  <sheetViews>
    <sheetView topLeftCell="A10" workbookViewId="0">
      <selection activeCell="D44" sqref="D44"/>
    </sheetView>
  </sheetViews>
  <sheetFormatPr defaultColWidth="9.1796875" defaultRowHeight="12.5" x14ac:dyDescent="0.25"/>
  <cols>
    <col min="1" max="1" width="30.81640625" style="13" customWidth="1"/>
    <col min="2" max="2" width="18" style="13" customWidth="1"/>
    <col min="3" max="3" width="16" style="13" customWidth="1"/>
    <col min="4" max="4" width="14" style="13" customWidth="1"/>
    <col min="5" max="5" width="13.453125" style="13" customWidth="1"/>
    <col min="6" max="6" width="14" style="13" customWidth="1"/>
    <col min="7" max="7" width="13.1796875" style="13" customWidth="1"/>
    <col min="8" max="8" width="10.1796875" style="13" customWidth="1"/>
    <col min="9" max="9" width="13.453125" style="13" customWidth="1"/>
    <col min="10" max="15" width="9.1796875" style="13" customWidth="1"/>
    <col min="16" max="16384" width="9.1796875" style="13"/>
  </cols>
  <sheetData>
    <row r="1" spans="1:9" ht="13" x14ac:dyDescent="0.3">
      <c r="A1" s="79" t="s">
        <v>1121</v>
      </c>
      <c r="B1" s="79"/>
      <c r="C1" s="80"/>
      <c r="D1" s="80"/>
      <c r="E1" s="80"/>
      <c r="F1" s="80"/>
      <c r="G1" s="80"/>
    </row>
    <row r="2" spans="1:9" ht="13" x14ac:dyDescent="0.3">
      <c r="A2" s="3"/>
      <c r="B2" s="3"/>
    </row>
    <row r="3" spans="1:9" ht="39.75" customHeight="1" x14ac:dyDescent="0.3">
      <c r="A3" s="3" t="s">
        <v>1122</v>
      </c>
      <c r="B3" s="120" t="e">
        <f>IF(#REF!=Reference!AA2,VLOOKUP(#REF!,Reference!$Q$2,1,FALSE),IF(#REF!=Reference!AA3,VLOOKUP(#REF!,SHAs,1,FALSE),IF(#REF!=Reference!AA4,VLOOKUP(#REF!,PCTs,1,FALSE),IF(#REF!=Reference!AA5,VLOOKUP(#REF!,CCG,1,FALSE),VLOOKUP(#REF!,Providers,1,FALSE)))))</f>
        <v>#REF!</v>
      </c>
      <c r="C3" s="120"/>
      <c r="D3" s="120"/>
      <c r="E3" s="120"/>
      <c r="F3" s="415" t="s">
        <v>1123</v>
      </c>
      <c r="G3" s="416"/>
      <c r="H3" s="416"/>
      <c r="I3" s="416"/>
    </row>
    <row r="4" spans="1:9" ht="13" x14ac:dyDescent="0.3">
      <c r="A4" s="3" t="s">
        <v>1124</v>
      </c>
      <c r="B4" s="121" t="e">
        <f>IF(#REF!=Reference!AA2,Reference!R2,IF(#REF!=Reference!AA3,Reference!O2,IF(#REF!=Reference!AA4,Reference!L2,IF(#REF!=Reference!AA5,Reference!I2,IF(#REF!=Reference!AA6,Reference!F2)))))</f>
        <v>#REF!</v>
      </c>
    </row>
    <row r="5" spans="1:9" ht="13" x14ac:dyDescent="0.3">
      <c r="A5" s="3"/>
      <c r="B5" s="3"/>
    </row>
    <row r="6" spans="1:9" ht="13" x14ac:dyDescent="0.3">
      <c r="A6" s="3" t="s">
        <v>1125</v>
      </c>
      <c r="B6" s="120" t="e">
        <f>#REF!</f>
        <v>#REF!</v>
      </c>
    </row>
    <row r="7" spans="1:9" ht="13" x14ac:dyDescent="0.3">
      <c r="A7" s="3" t="s">
        <v>1126</v>
      </c>
      <c r="B7" s="120" t="e">
        <f>#REF!</f>
        <v>#REF!</v>
      </c>
      <c r="C7" s="120"/>
      <c r="D7" s="120"/>
      <c r="E7" s="120"/>
    </row>
    <row r="8" spans="1:9" ht="13" x14ac:dyDescent="0.3">
      <c r="A8" s="3" t="s">
        <v>734</v>
      </c>
      <c r="B8" s="120" t="e">
        <f>B6&amp;B7</f>
        <v>#REF!</v>
      </c>
      <c r="C8" s="120"/>
      <c r="D8" s="120"/>
      <c r="E8" s="120"/>
    </row>
    <row r="9" spans="1:9" ht="13" x14ac:dyDescent="0.3">
      <c r="A9" s="3"/>
      <c r="B9" s="3"/>
    </row>
    <row r="10" spans="1:9" ht="13" x14ac:dyDescent="0.3">
      <c r="E10" s="250"/>
      <c r="F10" s="250"/>
    </row>
    <row r="11" spans="1:9" ht="25.5" customHeight="1" x14ac:dyDescent="0.25">
      <c r="A11" s="417" t="s">
        <v>1127</v>
      </c>
      <c r="B11" s="418"/>
      <c r="C11" s="83" t="s">
        <v>1178</v>
      </c>
      <c r="D11" s="83" t="s">
        <v>1179</v>
      </c>
      <c r="E11" s="83" t="s">
        <v>1180</v>
      </c>
      <c r="F11" s="83" t="s">
        <v>1181</v>
      </c>
      <c r="G11" s="84" t="s">
        <v>1130</v>
      </c>
      <c r="H11" s="83" t="s">
        <v>1182</v>
      </c>
      <c r="I11" s="95" t="s">
        <v>1183</v>
      </c>
    </row>
    <row r="12" spans="1:9" ht="13" x14ac:dyDescent="0.3">
      <c r="A12" s="85" t="s">
        <v>1157</v>
      </c>
      <c r="B12" s="86" t="s">
        <v>1184</v>
      </c>
      <c r="C12" s="127" t="e">
        <f ca="1">IF(ISNA(VLOOKUP($B$8&amp;$A12&amp;$B12,KeyFacts_RawData,11,FALSE)),"No data",VLOOKUP($B$8&amp;$A12&amp;$B12,KeyFacts_RawData,11,FALSE))</f>
        <v>#REF!</v>
      </c>
      <c r="D12" s="122" t="e">
        <f ca="1">IF(ISNA(VLOOKUP($B$8&amp;$A12&amp;$B12,KeyFacts_RawData,13,FALSE)),"No data",IF(ISNUMBER(VLOOKUP($B$8&amp;$A12&amp;$B12,KeyFacts_RawData,13,FALSE)),-VLOOKUP($B$8&amp;$A12&amp;$B12,KeyFacts_RawData,13,FALSE),VLOOKUP($B$8&amp;$A12&amp;$B12,KeyFacts_RawData,13,FALSE)))</f>
        <v>#REF!</v>
      </c>
      <c r="E12" s="122" t="e">
        <f ca="1">IF(ISNA(VLOOKUP(Reference!$AA$2&amp;Reference!$AA$2&amp;$A$12&amp;B12,KeyFacts_RawData,11,FALSE)),"No data",IF(VLOOKUP(Reference!$AA$2&amp;Reference!$AA$2&amp;$A$12&amp;B12,KeyFacts_RawData,11,FALSE)="*",NA(),VLOOKUP(Reference!$AA$2&amp;Reference!$AA$2&amp;$A$12&amp;B12,KeyFacts_RawData,11,FALSE)))</f>
        <v>#REF!</v>
      </c>
      <c r="F12" s="123" t="e">
        <f ca="1">IF(ISNA(VLOOKUP(Reference!$AA$2&amp;Reference!$AA$2&amp;$A$12&amp;$B12,KeyFacts_RawData,13,FALSE)),"No data",IF(VLOOKUP(Reference!$AA$2&amp;Reference!$AA$2&amp;$A$12&amp;$B12,KeyFacts_RawData,13,FALSE) = "*",NA(),IF(ISNUMBER(VLOOKUP(Reference!$AA$2&amp;Reference!$AA$2&amp;$A$12&amp;$B12,KeyFacts_RawData,13,FALSE)),-VLOOKUP(Reference!$AA$2&amp;Reference!$AA$2&amp;$A$12&amp;$B12,KeyFacts_RawData,13,FALSE),VLOOKUP(Reference!$AA$2&amp;Reference!$AA$2&amp;$A$12&amp;$B12,KeyFacts_RawData,13,FALSE))))</f>
        <v>#REF!</v>
      </c>
      <c r="G12" s="124">
        <v>0.5</v>
      </c>
      <c r="H12" s="125" t="e">
        <f ca="1">IF(ISNA(VLOOKUP($B$8&amp;$A12&amp;$B12,KeyFacts_RawData,7,FALSE)),"No data",VLOOKUP($B$8&amp;$A12&amp;$B12,KeyFacts_RawData,7,FALSE))</f>
        <v>#REF!</v>
      </c>
      <c r="I12" s="126" t="e">
        <f ca="1">IF(ISNA(VLOOKUP($B$8&amp;$A12&amp;$B12,KeyFacts_RawData,9,FALSE)),"No data",VLOOKUP($B$8&amp;$A12&amp;$B12,KeyFacts_RawData,9,FALSE))</f>
        <v>#REF!</v>
      </c>
    </row>
    <row r="13" spans="1:9" ht="13" x14ac:dyDescent="0.3">
      <c r="A13" s="85"/>
      <c r="B13" s="81" t="s">
        <v>752</v>
      </c>
      <c r="C13" s="127" t="e">
        <f ca="1">IF(ISNA(VLOOKUP($B$8&amp;$A12&amp;$B13,KeyFacts_RawData,11,FALSE)),"No data",VLOOKUP($B$8&amp;$A12&amp;$B13,KeyFacts_RawData,11,FALSE))</f>
        <v>#REF!</v>
      </c>
      <c r="D13" s="127" t="e">
        <f ca="1">IF(ISNA(VLOOKUP($B$8&amp;$A12&amp;$B13,KeyFacts_RawData,13,FALSE)),"No data",IF(ISNUMBER(VLOOKUP($B$8&amp;$A12&amp;$B13,KeyFacts_RawData,13,FALSE)),-VLOOKUP($B$8&amp;$A12&amp;$B13,KeyFacts_RawData,13,FALSE),VLOOKUP($B$8&amp;$A12&amp;$B13,KeyFacts_RawData,13,FALSE)))</f>
        <v>#REF!</v>
      </c>
      <c r="E13" s="123" t="e">
        <f ca="1">IF(ISNA(VLOOKUP(Reference!$AA$2&amp;Reference!$AA$2&amp;$A$12&amp;B13,KeyFacts_RawData,11,FALSE)),"No data",IF(VLOOKUP(Reference!$AA$2&amp;Reference!$AA$2&amp;$A$12&amp;B13,KeyFacts_RawData,11,FALSE)="*",NA(),VLOOKUP(Reference!$AA$2&amp;Reference!$AA$2&amp;$A$12&amp;B13,KeyFacts_RawData,11,FALSE)))</f>
        <v>#REF!</v>
      </c>
      <c r="F13" s="127" t="e">
        <f ca="1">IF(ISNA(VLOOKUP(Reference!$AA$2&amp;Reference!$AA$2&amp;$A$12&amp;$B13,KeyFacts_RawData,13,FALSE)),"No data",IF(VLOOKUP(Reference!$AA$2&amp;Reference!$AA$2&amp;$A$12&amp;$B13,KeyFacts_RawData,13,FALSE) = "*",NA(),IF(ISNUMBER(VLOOKUP(Reference!$AA$2&amp;Reference!$AA$2&amp;$A$12&amp;$B13,KeyFacts_RawData,13,FALSE)),-VLOOKUP(Reference!$AA$2&amp;Reference!$AA$2&amp;$A$12&amp;$B13,KeyFacts_RawData,13,FALSE),VLOOKUP(Reference!$AA$2&amp;Reference!$AA$2&amp;$A$12&amp;$B13,KeyFacts_RawData,13,FALSE))))</f>
        <v>#REF!</v>
      </c>
      <c r="G13" s="128">
        <v>1.5</v>
      </c>
      <c r="H13" s="129" t="e">
        <f ca="1">IF(ISNA(VLOOKUP($B$8&amp;$A12&amp;$B13,KeyFacts_RawData,7,FALSE)),"No data",VLOOKUP($B$8&amp;$A12&amp;$B13,KeyFacts_RawData,7,FALSE))</f>
        <v>#REF!</v>
      </c>
      <c r="I13" s="130" t="e">
        <f ca="1">IF(ISNA(VLOOKUP($B$8&amp;$A12&amp;$B13,KeyFacts_RawData,9,FALSE)),"No data",VLOOKUP($B$8&amp;$A12&amp;$B13,KeyFacts_RawData,9,FALSE))</f>
        <v>#REF!</v>
      </c>
    </row>
    <row r="14" spans="1:9" ht="13" x14ac:dyDescent="0.3">
      <c r="A14" s="85"/>
      <c r="B14" s="82" t="s">
        <v>963</v>
      </c>
      <c r="C14" s="132" t="e">
        <f ca="1">IF(ISNA(VLOOKUP('Chart data'!$B$8&amp;$A12&amp;$B14,KeyFacts_RawData,11,FALSE)),"No data",VLOOKUP('Chart data'!$B$8&amp;$A12&amp;$B14,KeyFacts_RawData,11,FALSE))</f>
        <v>#REF!</v>
      </c>
      <c r="D14" s="132" t="e">
        <f ca="1">IF(ISNA(VLOOKUP('Chart data'!$B$8&amp;$A12&amp;$B14,KeyFacts_RawData,13,FALSE)),"No data",IF(ISNUMBER(VLOOKUP('Chart data'!$B$8&amp;$A12&amp;$B14,KeyFacts_RawData,13,FALSE)),-VLOOKUP('Chart data'!$B$8&amp;$A12&amp;$B14,KeyFacts_RawData,13,FALSE),VLOOKUP('Chart data'!$B$8&amp;$A12&amp;$B14,KeyFacts_RawData,13,FALSE)))</f>
        <v>#REF!</v>
      </c>
      <c r="E14" s="131" t="e">
        <f ca="1">IF(ISNA(VLOOKUP(Reference!$AA$2&amp;Reference!$AA$2&amp;$A$12&amp;B14,KeyFacts_RawData,11,FALSE)),"No data",IF(VLOOKUP(Reference!$AA$2&amp;Reference!$AA$2&amp;$A$12&amp;B14,KeyFacts_RawData,11,FALSE)="*",NA(),VLOOKUP(Reference!$AA$2&amp;Reference!$AA$2&amp;$A$12&amp;B14,KeyFacts_RawData,11,FALSE)))</f>
        <v>#REF!</v>
      </c>
      <c r="F14" s="132" t="e">
        <f ca="1">IF(ISNA(VLOOKUP(Reference!$AA$2&amp;Reference!$AA$2&amp;$A$12&amp;$B14,KeyFacts_RawData,13,FALSE)),"No data",IF(VLOOKUP(Reference!$AA$2&amp;Reference!$AA$2&amp;$A$12&amp;$B14,KeyFacts_RawData,13,FALSE) = "*",NA(),IF(ISNUMBER(VLOOKUP(Reference!$AA$2&amp;Reference!$AA$2&amp;$A$12&amp;$B14,KeyFacts_RawData,13,FALSE)),-VLOOKUP(Reference!$AA$2&amp;Reference!$AA$2&amp;$A$12&amp;$B14,KeyFacts_RawData,13,FALSE),VLOOKUP(Reference!$AA$2&amp;Reference!$AA$2&amp;$A$12&amp;$B14,KeyFacts_RawData,13,FALSE))))</f>
        <v>#REF!</v>
      </c>
      <c r="G14" s="133">
        <v>2.5</v>
      </c>
      <c r="H14" s="134" t="e">
        <f ca="1">IF(ISNA(VLOOKUP('Chart data'!$B$8&amp;$A12&amp;$B14,KeyFacts_RawData,7,FALSE)),"No data",VLOOKUP('Chart data'!$B$8&amp;$A12&amp;$B14,KeyFacts_RawData,7,FALSE))</f>
        <v>#REF!</v>
      </c>
      <c r="I14" s="135" t="e">
        <f ca="1">IF(ISNA(VLOOKUP('Chart data'!$B$8&amp;$A12&amp;$B14,KeyFacts_RawData,9,FALSE)),"No data",VLOOKUP('Chart data'!$B$8&amp;$A12&amp;$B14,KeyFacts_RawData,9,FALSE))</f>
        <v>#REF!</v>
      </c>
    </row>
    <row r="15" spans="1:9" ht="13" x14ac:dyDescent="0.3">
      <c r="A15" s="87" t="s">
        <v>1156</v>
      </c>
      <c r="B15" s="81" t="s">
        <v>972</v>
      </c>
      <c r="C15" s="127" t="e">
        <f ca="1">IF(ISNA(VLOOKUP($B$8&amp;A15&amp;B15,KeyFacts_RawData,11,FALSE)),"No data",VLOOKUP($B$8&amp;A15&amp;B15,KeyFacts_RawData,11,FALSE))</f>
        <v>#REF!</v>
      </c>
      <c r="D15" s="127" t="e">
        <f ca="1">IF(ISNA(VLOOKUP($B$8&amp;$A15&amp;$B15,KeyFacts_RawData,13,FALSE)),"No data",IF(ISNUMBER(VLOOKUP($B$8&amp;$A15&amp;$B15,KeyFacts_RawData,13,FALSE)),-VLOOKUP($B$8&amp;$A15&amp;$B15,KeyFacts_RawData,13,FALSE),VLOOKUP($B$8&amp;$A15&amp;$B15,KeyFacts_RawData,13,FALSE)))</f>
        <v>#REF!</v>
      </c>
      <c r="E15" s="123" t="e">
        <f ca="1">IF(ISNA(VLOOKUP(Reference!$AA$2&amp;Reference!$AA$2&amp;$A$15&amp;B15,KeyFacts_RawData,11,FALSE)),"No data",IF(VLOOKUP(Reference!$AA$2&amp;Reference!$AA$2&amp;$A$15&amp;B15,KeyFacts_RawData,11,FALSE)="*",NA(),VLOOKUP(Reference!$AA$2&amp;Reference!$AA$2&amp;$A$15&amp;B15,KeyFacts_RawData,11,FALSE)))</f>
        <v>#REF!</v>
      </c>
      <c r="F15" s="127" t="e">
        <f ca="1">IF(ISNA(VLOOKUP(Reference!$AA$2&amp;Reference!$AA$2&amp;$A$15&amp;$B15,KeyFacts_RawData,13,FALSE)),"No data",IF(VLOOKUP(Reference!$AA$2&amp;Reference!$AA$2&amp;$A$15&amp;$B15,KeyFacts_RawData,13,FALSE) = "*",NA(),IF(ISNUMBER(VLOOKUP(Reference!$AA$2&amp;Reference!$AA$2&amp;$A$15&amp;$B15,KeyFacts_RawData,13,FALSE)),-VLOOKUP(Reference!$AA$2&amp;Reference!$AA$2&amp;$A$15&amp;$B15,KeyFacts_RawData,13,FALSE),VLOOKUP(Reference!$AA$2&amp;Reference!$AA$2&amp;$A$15&amp;$B15,KeyFacts_RawData,13,FALSE))))</f>
        <v>#REF!</v>
      </c>
      <c r="G15" s="124">
        <v>3.5</v>
      </c>
      <c r="H15" s="125" t="e">
        <f ca="1">IF(ISNA(VLOOKUP($B$8&amp;$A15&amp;$B15,KeyFacts_RawData,7,FALSE)),"No data",VLOOKUP($B$8&amp;$A15&amp;$B15,KeyFacts_RawData,7,FALSE))</f>
        <v>#REF!</v>
      </c>
      <c r="I15" s="126" t="e">
        <f ca="1">IF(ISNA(VLOOKUP($B$8&amp;$A15&amp;$B15,KeyFacts_RawData,9,FALSE)),"No data",VLOOKUP($B$8&amp;$A15&amp;$B15,KeyFacts_RawData,9,FALSE))</f>
        <v>#REF!</v>
      </c>
    </row>
    <row r="16" spans="1:9" ht="13" x14ac:dyDescent="0.3">
      <c r="A16" s="87"/>
      <c r="B16" s="81" t="s">
        <v>752</v>
      </c>
      <c r="C16" s="127" t="e">
        <f ca="1">IF(ISNA(VLOOKUP($B$8&amp;A15&amp;B16,KeyFacts_RawData,11,FALSE)),"No data",VLOOKUP($B$8&amp;A15&amp;B16,KeyFacts_RawData,11,FALSE))</f>
        <v>#REF!</v>
      </c>
      <c r="D16" s="127" t="e">
        <f ca="1">IF(ISNA(VLOOKUP($B$8&amp;$A15&amp;$B16,KeyFacts_RawData,13,FALSE)),"No data",IF(ISNUMBER(VLOOKUP($B$8&amp;$A15&amp;$B16,KeyFacts_RawData,13,FALSE)),-VLOOKUP($B$8&amp;$A15&amp;$B16,KeyFacts_RawData,13,FALSE),VLOOKUP($B$8&amp;$A15&amp;$B16,KeyFacts_RawData,13,FALSE)))</f>
        <v>#REF!</v>
      </c>
      <c r="E16" s="123" t="e">
        <f ca="1">IF(ISNA(VLOOKUP(Reference!$AA$2&amp;Reference!$AA$2&amp;$A$15&amp;B16,KeyFacts_RawData,11,FALSE)),"No data",IF(VLOOKUP(Reference!$AA$2&amp;Reference!$AA$2&amp;$A$15&amp;B16,KeyFacts_RawData,11,FALSE)="*",NA(),VLOOKUP(Reference!$AA$2&amp;Reference!$AA$2&amp;$A$15&amp;B16,KeyFacts_RawData,11,FALSE)))</f>
        <v>#REF!</v>
      </c>
      <c r="F16" s="127" t="e">
        <f ca="1">IF(ISNA(VLOOKUP(Reference!$AA$2&amp;Reference!$AA$2&amp;$A$15&amp;$B16,KeyFacts_RawData,13,FALSE)),"No data",IF(VLOOKUP(Reference!$AA$2&amp;Reference!$AA$2&amp;$A$15&amp;$B16,KeyFacts_RawData,13,FALSE) = "*",NA(),IF(ISNUMBER(VLOOKUP(Reference!$AA$2&amp;Reference!$AA$2&amp;$A$15&amp;$B16,KeyFacts_RawData,13,FALSE)),-VLOOKUP(Reference!$AA$2&amp;Reference!$AA$2&amp;$A$15&amp;$B16,KeyFacts_RawData,13,FALSE),VLOOKUP(Reference!$AA$2&amp;Reference!$AA$2&amp;$A$15&amp;$B16,KeyFacts_RawData,13,FALSE))))</f>
        <v>#REF!</v>
      </c>
      <c r="G16" s="128">
        <v>4.5</v>
      </c>
      <c r="H16" s="129" t="e">
        <f ca="1">IF(ISNA(VLOOKUP($B$8&amp;$A15&amp;$B16,KeyFacts_RawData,7,FALSE)),"No data",VLOOKUP($B$8&amp;$A15&amp;$B16,KeyFacts_RawData,7,FALSE))</f>
        <v>#REF!</v>
      </c>
      <c r="I16" s="130" t="e">
        <f ca="1">IF(ISNA(VLOOKUP($B$8&amp;$A15&amp;$B16,KeyFacts_RawData,9,FALSE)),"No data",VLOOKUP($B$8&amp;$A15&amp;$B16,KeyFacts_RawData,9,FALSE))</f>
        <v>#REF!</v>
      </c>
    </row>
    <row r="17" spans="1:14" ht="13" x14ac:dyDescent="0.3">
      <c r="A17" s="87"/>
      <c r="B17" s="82" t="s">
        <v>963</v>
      </c>
      <c r="C17" s="132" t="e">
        <f ca="1">IF(ISNA(VLOOKUP('Chart data'!$B$8&amp;A15&amp;B17,KeyFacts_RawData,11,FALSE)),"No data",VLOOKUP('Chart data'!$B$8&amp;A15&amp;B17,KeyFacts_RawData,11,FALSE))</f>
        <v>#REF!</v>
      </c>
      <c r="D17" s="132" t="e">
        <f ca="1">IF(ISNA(VLOOKUP('Chart data'!$B$8&amp;$A15&amp;$B17,KeyFacts_RawData,13,FALSE)),"No data",IF(ISNUMBER(VLOOKUP('Chart data'!$B$8&amp;$A15&amp;$B17,KeyFacts_RawData,13,FALSE)),-VLOOKUP('Chart data'!$B$8&amp;$A15&amp;$B17,KeyFacts_RawData,13,FALSE),VLOOKUP('Chart data'!$B$8&amp;$A15&amp;$B17,KeyFacts_RawData,13,FALSE)))</f>
        <v>#REF!</v>
      </c>
      <c r="E17" s="131" t="e">
        <f ca="1">IF(ISNA(VLOOKUP(Reference!$AA$2&amp;Reference!$AA$2&amp;$A$15&amp;B17,KeyFacts_RawData,11,FALSE)),"No data",IF(VLOOKUP(Reference!$AA$2&amp;Reference!$AA$2&amp;$A$15&amp;B17,KeyFacts_RawData,11,FALSE)="*",NA(),VLOOKUP(Reference!$AA$2&amp;Reference!$AA$2&amp;$A$15&amp;B17,KeyFacts_RawData,11,FALSE)))</f>
        <v>#REF!</v>
      </c>
      <c r="F17" s="132" t="e">
        <f ca="1">IF(ISNA(VLOOKUP(Reference!$AA$2&amp;Reference!$AA$2&amp;$A$15&amp;$B17,KeyFacts_RawData,13,FALSE)),"No data",IF(VLOOKUP(Reference!$AA$2&amp;Reference!$AA$2&amp;$A$15&amp;$B17,KeyFacts_RawData,13,FALSE) = "*",NA(),IF(ISNUMBER(VLOOKUP(Reference!$AA$2&amp;Reference!$AA$2&amp;$A$15&amp;$B17,KeyFacts_RawData,13,FALSE)),-VLOOKUP(Reference!$AA$2&amp;Reference!$AA$2&amp;$A$15&amp;$B17,KeyFacts_RawData,13,FALSE),VLOOKUP(Reference!$AA$2&amp;Reference!$AA$2&amp;$A$15&amp;$B17,KeyFacts_RawData,13,FALSE))))</f>
        <v>#REF!</v>
      </c>
      <c r="G17" s="133">
        <v>5.5</v>
      </c>
      <c r="H17" s="134" t="e">
        <f ca="1">IF(ISNA(VLOOKUP('Chart data'!$B$8&amp;$A15&amp;$B17,KeyFacts_RawData,7,FALSE)),"No data",VLOOKUP('Chart data'!$B$8&amp;$A15&amp;$B17,KeyFacts_RawData,7,FALSE))</f>
        <v>#REF!</v>
      </c>
      <c r="I17" s="135" t="e">
        <f ca="1">IF(ISNA(VLOOKUP('Chart data'!$B$8&amp;$A15&amp;$B17,KeyFacts_RawData,9,FALSE)),"No data",VLOOKUP('Chart data'!$B$8&amp;$A15&amp;$B17,KeyFacts_RawData,9,FALSE))</f>
        <v>#REF!</v>
      </c>
    </row>
    <row r="18" spans="1:14" ht="13" x14ac:dyDescent="0.3">
      <c r="A18" s="87" t="s">
        <v>1155</v>
      </c>
      <c r="B18" s="81" t="s">
        <v>964</v>
      </c>
      <c r="C18" s="127" t="e">
        <f ca="1">IF(ISNA(VLOOKUP($B$8&amp;A18&amp;B18,KeyFacts_RawData,11,FALSE)),"No data",VLOOKUP($B$8&amp;A18&amp;B18,KeyFacts_RawData,11,FALSE))</f>
        <v>#REF!</v>
      </c>
      <c r="D18" s="127" t="e">
        <f ca="1">IF(ISNA(VLOOKUP($B$8&amp;$A18&amp;$B18,KeyFacts_RawData,13,FALSE)),"No data",IF(ISNUMBER(VLOOKUP($B$8&amp;$A18&amp;$B18,KeyFacts_RawData,13,FALSE)),-VLOOKUP($B$8&amp;$A18&amp;$B18,KeyFacts_RawData,13,FALSE),VLOOKUP($B$8&amp;$A18&amp;$B18,KeyFacts_RawData,13,FALSE)))</f>
        <v>#REF!</v>
      </c>
      <c r="E18" s="123" t="e">
        <f ca="1">IF(ISNA(VLOOKUP(Reference!$AA$2&amp;Reference!$AA$2&amp;$A$18&amp;B18,KeyFacts_RawData,11,FALSE)),"No data",IF(VLOOKUP(Reference!$AA$2&amp;Reference!$AA$2&amp;$A$18&amp;B18,KeyFacts_RawData,11,FALSE)="*",NA(),VLOOKUP(Reference!$AA$2&amp;Reference!$AA$2&amp;$A$18&amp;B18,KeyFacts_RawData,11,FALSE)))</f>
        <v>#REF!</v>
      </c>
      <c r="F18" s="127" t="e">
        <f ca="1">IF(ISNA(VLOOKUP(Reference!$AA$2&amp;Reference!$AA$2&amp;$A$18&amp;$B18,KeyFacts_RawData,13,FALSE)),"No data",IF(VLOOKUP(Reference!$AA$2&amp;Reference!$AA$2&amp;$A$18&amp;$B18,KeyFacts_RawData,13,FALSE) = "*",NA(),IF(ISNUMBER(VLOOKUP(Reference!$AA$2&amp;Reference!$AA$2&amp;$A$18&amp;$B18,KeyFacts_RawData,13,FALSE)),-VLOOKUP(Reference!$AA$2&amp;Reference!$AA$2&amp;$A$18&amp;$B18,KeyFacts_RawData,13,FALSE),VLOOKUP(Reference!$AA$2&amp;Reference!$AA$2&amp;$A$18&amp;$B18,KeyFacts_RawData,13,FALSE))))</f>
        <v>#REF!</v>
      </c>
      <c r="G18" s="124">
        <v>6.5</v>
      </c>
      <c r="H18" s="125" t="e">
        <f ca="1">IF(ISNA(VLOOKUP($B$8&amp;$A18&amp;$B18,KeyFacts_RawData,7,FALSE)),"No data",VLOOKUP($B$8&amp;$A18&amp;$B18,KeyFacts_RawData,7,FALSE))</f>
        <v>#REF!</v>
      </c>
      <c r="I18" s="126" t="e">
        <f ca="1">IF(ISNA(VLOOKUP($B$8&amp;$A18&amp;$B18,KeyFacts_RawData,9,FALSE)),"No data",VLOOKUP($B$8&amp;$A18&amp;$B18,KeyFacts_RawData,9,FALSE))</f>
        <v>#REF!</v>
      </c>
    </row>
    <row r="19" spans="1:14" ht="13" x14ac:dyDescent="0.3">
      <c r="A19" s="87"/>
      <c r="B19" s="81" t="s">
        <v>752</v>
      </c>
      <c r="C19" s="127" t="e">
        <f ca="1">IF(ISNA(VLOOKUP($B$8&amp;A18&amp;B19,KeyFacts_RawData,11,FALSE)),"No data",VLOOKUP($B$8&amp;A18&amp;B19,KeyFacts_RawData,11,FALSE))</f>
        <v>#REF!</v>
      </c>
      <c r="D19" s="127" t="e">
        <f ca="1">IF(ISNA(VLOOKUP($B$8&amp;$A18&amp;$B19,KeyFacts_RawData,13,FALSE)),"No data",IF(ISNUMBER(VLOOKUP($B$8&amp;$A18&amp;$B19,KeyFacts_RawData,13,FALSE)),-VLOOKUP($B$8&amp;$A18&amp;$B19,KeyFacts_RawData,13,FALSE),VLOOKUP($B$8&amp;$A18&amp;$B19,KeyFacts_RawData,13,FALSE)))</f>
        <v>#REF!</v>
      </c>
      <c r="E19" s="123" t="e">
        <f ca="1">IF(ISNA(VLOOKUP(Reference!$AA$2&amp;Reference!$AA$2&amp;$A$18&amp;B19,KeyFacts_RawData,11,FALSE)),"No data",IF(VLOOKUP(Reference!$AA$2&amp;Reference!$AA$2&amp;$A$18&amp;B19,KeyFacts_RawData,11,FALSE)="*",NA(),VLOOKUP(Reference!$AA$2&amp;Reference!$AA$2&amp;$A$18&amp;B19,KeyFacts_RawData,11,FALSE)))</f>
        <v>#REF!</v>
      </c>
      <c r="F19" s="127" t="e">
        <f ca="1">IF(ISNA(VLOOKUP(Reference!$AA$2&amp;Reference!$AA$2&amp;$A$18&amp;$B19,KeyFacts_RawData,13,FALSE)),"No data",IF(VLOOKUP(Reference!$AA$2&amp;Reference!$AA$2&amp;$A$18&amp;$B19,KeyFacts_RawData,13,FALSE) = "*",NA(),IF(ISNUMBER(VLOOKUP(Reference!$AA$2&amp;Reference!$AA$2&amp;$A$18&amp;$B19,KeyFacts_RawData,13,FALSE)),-VLOOKUP(Reference!$AA$2&amp;Reference!$AA$2&amp;$A$18&amp;$B19,KeyFacts_RawData,13,FALSE),VLOOKUP(Reference!$AA$2&amp;Reference!$AA$2&amp;$A$18&amp;$B19,KeyFacts_RawData,13,FALSE))))</f>
        <v>#REF!</v>
      </c>
      <c r="G19" s="128">
        <v>7.5</v>
      </c>
      <c r="H19" s="129" t="e">
        <f ca="1">IF(ISNA(VLOOKUP($B$8&amp;$A18&amp;$B19,KeyFacts_RawData,7,FALSE)),"No data",VLOOKUP($B$8&amp;$A18&amp;$B19,KeyFacts_RawData,7,FALSE))</f>
        <v>#REF!</v>
      </c>
      <c r="I19" s="130" t="e">
        <f ca="1">IF(ISNA(VLOOKUP($B$8&amp;$A18&amp;$B19,KeyFacts_RawData,9,FALSE)),"No data",VLOOKUP($B$8&amp;$A18&amp;$B19,KeyFacts_RawData,9,FALSE))</f>
        <v>#REF!</v>
      </c>
    </row>
    <row r="20" spans="1:14" ht="13" x14ac:dyDescent="0.3">
      <c r="A20" s="87"/>
      <c r="B20" s="82" t="s">
        <v>963</v>
      </c>
      <c r="C20" s="132" t="e">
        <f ca="1">IF(ISNA(VLOOKUP('Chart data'!$B$8&amp;A18&amp;B20,KeyFacts_RawData,11,FALSE)),"No data",VLOOKUP('Chart data'!$B$8&amp;A18&amp;B20,KeyFacts_RawData,11,FALSE))</f>
        <v>#REF!</v>
      </c>
      <c r="D20" s="132" t="e">
        <f ca="1">IF(ISNA(VLOOKUP('Chart data'!$B$8&amp;$A18&amp;$B20,KeyFacts_RawData,13,FALSE)),"No data",IF(ISNUMBER(VLOOKUP('Chart data'!$B$8&amp;$A18&amp;$B20,KeyFacts_RawData,13,FALSE)),-VLOOKUP('Chart data'!$B$8&amp;$A18&amp;$B20,KeyFacts_RawData,13,FALSE),VLOOKUP('Chart data'!$B$8&amp;$A18&amp;$B20,KeyFacts_RawData,13,FALSE)))</f>
        <v>#REF!</v>
      </c>
      <c r="E20" s="131" t="e">
        <f ca="1">IF(ISNA(VLOOKUP(Reference!$AA$2&amp;Reference!$AA$2&amp;$A$18&amp;B20,KeyFacts_RawData,11,FALSE)),"No data",IF(VLOOKUP(Reference!$AA$2&amp;Reference!$AA$2&amp;$A$18&amp;B20,KeyFacts_RawData,11,FALSE)="*",NA(),VLOOKUP(Reference!$AA$2&amp;Reference!$AA$2&amp;$A$18&amp;B20,KeyFacts_RawData,11,FALSE)))</f>
        <v>#REF!</v>
      </c>
      <c r="F20" s="132" t="e">
        <f ca="1">IF(ISNA(VLOOKUP(Reference!$AA$2&amp;Reference!$AA$2&amp;$A$18&amp;$B20,KeyFacts_RawData,13,FALSE)),"No data",IF(VLOOKUP(Reference!$AA$2&amp;Reference!$AA$2&amp;$A$18&amp;$B20,KeyFacts_RawData,13,FALSE) = "*",NA(),IF(ISNUMBER(VLOOKUP(Reference!$AA$2&amp;Reference!$AA$2&amp;$A$18&amp;$B20,KeyFacts_RawData,13,FALSE)),-VLOOKUP(Reference!$AA$2&amp;Reference!$AA$2&amp;$A$18&amp;$B20,KeyFacts_RawData,13,FALSE),VLOOKUP(Reference!$AA$2&amp;Reference!$AA$2&amp;$A$18&amp;$B20,KeyFacts_RawData,13,FALSE))))</f>
        <v>#REF!</v>
      </c>
      <c r="G20" s="133">
        <v>8.5</v>
      </c>
      <c r="H20" s="134" t="e">
        <f ca="1">IF(ISNA(VLOOKUP('Chart data'!$B$8&amp;$A18&amp;$B20,KeyFacts_RawData,7,FALSE)),"No data",VLOOKUP('Chart data'!$B$8&amp;$A18&amp;$B20,KeyFacts_RawData,7,FALSE))</f>
        <v>#REF!</v>
      </c>
      <c r="I20" s="135" t="e">
        <f ca="1">IF(ISNA(VLOOKUP('Chart data'!$B$8&amp;$A18&amp;$B20,KeyFacts_RawData,9,FALSE)),"No data",VLOOKUP('Chart data'!$B$8&amp;$A18&amp;$B20,KeyFacts_RawData,9,FALSE))</f>
        <v>#REF!</v>
      </c>
    </row>
    <row r="21" spans="1:14" ht="13" x14ac:dyDescent="0.3">
      <c r="A21" s="87" t="s">
        <v>1154</v>
      </c>
      <c r="B21" s="81" t="s">
        <v>752</v>
      </c>
      <c r="C21" s="127" t="e">
        <f ca="1">IF(ISNA(VLOOKUP($B$8&amp;$A21&amp;$B21,KeyFacts_RawData,11,FALSE)),"No data",VLOOKUP($B$8&amp;$A21&amp;$B21,KeyFacts_RawData,11,FALSE))</f>
        <v>#REF!</v>
      </c>
      <c r="D21" s="127" t="e">
        <f ca="1">IF(ISNA(VLOOKUP($B$8&amp;$A21&amp;$B21,KeyFacts_RawData,13,FALSE)),"No data",IF(ISNUMBER(VLOOKUP($B$8&amp;$A21&amp;$B21,KeyFacts_RawData,13,FALSE)),-VLOOKUP($B$8&amp;$A21&amp;$B21,KeyFacts_RawData,13,FALSE),VLOOKUP($B$8&amp;$A21&amp;$B21,KeyFacts_RawData,13,FALSE)))</f>
        <v>#REF!</v>
      </c>
      <c r="E21" s="123" t="e">
        <f ca="1">IF(ISNA(VLOOKUP(Reference!$AA$2&amp;Reference!$AA$2&amp;$A$21&amp;B21,KeyFacts_RawData,11,FALSE)),"No data",IF(VLOOKUP(Reference!$AA$2&amp;Reference!$AA$2&amp;$A$21&amp;B21,KeyFacts_RawData,11,FALSE)="*",NA(),VLOOKUP(Reference!$AA$2&amp;Reference!$AA$2&amp;$A$21&amp;B21,KeyFacts_RawData,11,FALSE)))</f>
        <v>#REF!</v>
      </c>
      <c r="F21" s="127" t="e">
        <f ca="1">IF(ISNA(VLOOKUP(Reference!$AA$2&amp;Reference!$AA$2&amp;$A$21&amp;$B21,KeyFacts_RawData,13,FALSE)),"No data",IF(VLOOKUP(Reference!$AA$2&amp;Reference!$AA$2&amp;$A$21&amp;$B21,KeyFacts_RawData,13,FALSE) = "*",NA(),IF(ISNUMBER(VLOOKUP(Reference!$AA$2&amp;Reference!$AA$2&amp;$A$21&amp;$B21,KeyFacts_RawData,13,FALSE)),-VLOOKUP(Reference!$AA$2&amp;Reference!$AA$2&amp;$A$21&amp;$B21,KeyFacts_RawData,13,FALSE),VLOOKUP(Reference!$AA$2&amp;Reference!$AA$2&amp;$A$21&amp;$B21,KeyFacts_RawData,13,FALSE))))</f>
        <v>#REF!</v>
      </c>
      <c r="G21" s="124">
        <v>9.5</v>
      </c>
      <c r="H21" s="125" t="e">
        <f ca="1">IF(ISNA(VLOOKUP($B$8&amp;$A21&amp;$B21,KeyFacts_RawData,7,FALSE)),"No data",VLOOKUP($B$8&amp;$A21&amp;$B21,KeyFacts_RawData,7,FALSE))</f>
        <v>#REF!</v>
      </c>
      <c r="I21" s="126" t="e">
        <f ca="1">IF(ISNA(VLOOKUP($B$8&amp;$A21&amp;$B21,KeyFacts_RawData,9,FALSE)),"No data",VLOOKUP($B$8&amp;$A21&amp;$B21,KeyFacts_RawData,9,FALSE))</f>
        <v>#REF!</v>
      </c>
    </row>
    <row r="22" spans="1:14" ht="13" x14ac:dyDescent="0.3">
      <c r="A22" s="87"/>
      <c r="B22" s="82" t="s">
        <v>963</v>
      </c>
      <c r="C22" s="132" t="e">
        <f ca="1">IF(ISNA(VLOOKUP('Chart data'!$B$8&amp;$A21&amp;$B22,KeyFacts_RawData,11,FALSE)),"No data",VLOOKUP('Chart data'!$B$8&amp;$A21&amp;$B22,KeyFacts_RawData,11,FALSE))</f>
        <v>#REF!</v>
      </c>
      <c r="D22" s="132" t="e">
        <f ca="1">IF(ISNA(VLOOKUP('Chart data'!$B$8&amp;$A21&amp;$B22,KeyFacts_RawData,13,FALSE)),"No data",IF(ISNUMBER(VLOOKUP('Chart data'!$B$8&amp;$A21&amp;$B22,KeyFacts_RawData,13,FALSE)),-VLOOKUP('Chart data'!$B$8&amp;$A21&amp;$B22,KeyFacts_RawData,13,FALSE),VLOOKUP('Chart data'!$B$8&amp;$A21&amp;$B22,KeyFacts_RawData,13,FALSE)))</f>
        <v>#REF!</v>
      </c>
      <c r="E22" s="131" t="e">
        <f ca="1">IF(ISNA(VLOOKUP(Reference!$AA$2&amp;Reference!$AA$2&amp;$A$21&amp;B22,KeyFacts_RawData,11,FALSE)),"No data",IF(VLOOKUP(Reference!$AA$2&amp;Reference!$AA$2&amp;$A$21&amp;B22,KeyFacts_RawData,11,FALSE)="*",NA(),VLOOKUP(Reference!$AA$2&amp;Reference!$AA$2&amp;$A$21&amp;B22,KeyFacts_RawData,11,FALSE)))</f>
        <v>#REF!</v>
      </c>
      <c r="F22" s="132" t="e">
        <f ca="1">IF(ISNA(VLOOKUP(Reference!$AA$2&amp;Reference!$AA$2&amp;$A$21&amp;$B22,KeyFacts_RawData,13,FALSE)),"No data",IF(VLOOKUP(Reference!$AA$2&amp;Reference!$AA$2&amp;$A$21&amp;$B22,KeyFacts_RawData,13,FALSE) = "*",NA(),IF(ISNUMBER(VLOOKUP(Reference!$AA$2&amp;Reference!$AA$2&amp;$A$21&amp;$B22,KeyFacts_RawData,13,FALSE)),-VLOOKUP(Reference!$AA$2&amp;Reference!$AA$2&amp;$A$21&amp;$B22,KeyFacts_RawData,13,FALSE),VLOOKUP(Reference!$AA$2&amp;Reference!$AA$2&amp;$A$21&amp;$B22,KeyFacts_RawData,13,FALSE))))</f>
        <v>#REF!</v>
      </c>
      <c r="G22" s="133">
        <v>10.5</v>
      </c>
      <c r="H22" s="134" t="e">
        <f ca="1">IF(ISNA(VLOOKUP('Chart data'!$B$8&amp;$A21&amp;$B22,KeyFacts_RawData,7,FALSE)),"No data",VLOOKUP('Chart data'!$B$8&amp;$A21&amp;$B22,KeyFacts_RawData,7,FALSE))</f>
        <v>#REF!</v>
      </c>
      <c r="I22" s="135" t="e">
        <f ca="1">IF(ISNA(VLOOKUP('Chart data'!$B$8&amp;$A21&amp;$B22,KeyFacts_RawData,9,FALSE)),"No data",VLOOKUP('Chart data'!$B$8&amp;$A21&amp;$B22,KeyFacts_RawData,9,FALSE))</f>
        <v>#REF!</v>
      </c>
    </row>
    <row r="25" spans="1:14" ht="38.25" customHeight="1" x14ac:dyDescent="0.25">
      <c r="A25" s="419" t="s">
        <v>1147</v>
      </c>
      <c r="B25" s="418"/>
      <c r="C25" s="88" t="s">
        <v>1148</v>
      </c>
      <c r="D25" s="88" t="s">
        <v>1149</v>
      </c>
      <c r="E25" s="83" t="s">
        <v>1150</v>
      </c>
      <c r="F25" s="88" t="s">
        <v>1151</v>
      </c>
      <c r="G25" s="83" t="s">
        <v>1152</v>
      </c>
      <c r="I25" s="196"/>
      <c r="J25" s="89"/>
      <c r="K25" s="25"/>
      <c r="L25" s="25"/>
      <c r="M25" s="89"/>
      <c r="N25" s="25"/>
    </row>
    <row r="26" spans="1:14" ht="13" x14ac:dyDescent="0.25">
      <c r="A26" s="412" t="s">
        <v>735</v>
      </c>
      <c r="B26" s="90" t="s">
        <v>1153</v>
      </c>
      <c r="C26" s="136">
        <f ca="1">VLOOKUP("England",Participation_Data,2,FALSE)</f>
        <v>142417</v>
      </c>
      <c r="D26" s="136">
        <f ca="1">VLOOKUP("England",Participation_Data,3,FALSE)</f>
        <v>98488</v>
      </c>
      <c r="E26" s="137">
        <f ca="1">VLOOKUP("England",Participation_Data,4,FALSE)</f>
        <v>0.69154669999999996</v>
      </c>
      <c r="F26" s="136">
        <f ca="1">VLOOKUP("England",Participation_Data,5,FALSE)</f>
        <v>57833</v>
      </c>
      <c r="G26" s="137">
        <f ca="1">VLOOKUP("England",Participation_Data,6,FALSE)</f>
        <v>0.58720859999999997</v>
      </c>
      <c r="I26" s="196"/>
      <c r="J26" s="91"/>
      <c r="K26" s="92"/>
      <c r="L26" s="92"/>
      <c r="M26" s="91"/>
      <c r="N26" s="92"/>
    </row>
    <row r="27" spans="1:14" ht="13" x14ac:dyDescent="0.25">
      <c r="A27" s="413"/>
      <c r="B27" s="90" t="s">
        <v>1154</v>
      </c>
      <c r="C27" s="136">
        <f ca="1">VLOOKUP("England",Participation_Data,11,FALSE)</f>
        <v>68335</v>
      </c>
      <c r="D27" s="136">
        <f ca="1">VLOOKUP("England",Participation_Data,12,FALSE)</f>
        <v>47872</v>
      </c>
      <c r="E27" s="137">
        <f ca="1">VLOOKUP("England",Participation_Data,13,FALSE)</f>
        <v>0.70054879999999997</v>
      </c>
      <c r="F27" s="136">
        <f ca="1">VLOOKUP("England",Participation_Data,14,FALSE)</f>
        <v>27753</v>
      </c>
      <c r="G27" s="137">
        <f ca="1">VLOOKUP("England",Participation_Data,15,FALSE)</f>
        <v>0.57973350000000001</v>
      </c>
      <c r="I27" s="196"/>
      <c r="J27" s="91"/>
      <c r="K27" s="92"/>
      <c r="L27" s="92"/>
      <c r="M27" s="91"/>
      <c r="N27" s="92"/>
    </row>
    <row r="28" spans="1:14" ht="13" x14ac:dyDescent="0.25">
      <c r="A28" s="413"/>
      <c r="B28" s="90" t="s">
        <v>1155</v>
      </c>
      <c r="C28" s="136">
        <f ca="1">VLOOKUP("England",Participation_Data,20,FALSE)</f>
        <v>64656</v>
      </c>
      <c r="D28" s="136">
        <f ca="1">VLOOKUP("England",Participation_Data,21,FALSE)</f>
        <v>26445</v>
      </c>
      <c r="E28" s="137">
        <f ca="1">VLOOKUP("England",Participation_Data,22,FALSE)</f>
        <v>0.40901080000000001</v>
      </c>
      <c r="F28" s="136">
        <f ca="1">VLOOKUP("England",Participation_Data,23,FALSE)</f>
        <v>26445</v>
      </c>
      <c r="G28" s="137">
        <f ca="1">VLOOKUP("England",Participation_Data,24,FALSE)</f>
        <v>1</v>
      </c>
      <c r="I28" s="196"/>
      <c r="J28" s="91"/>
      <c r="K28" s="92"/>
      <c r="L28" s="92"/>
      <c r="M28" s="91"/>
      <c r="N28" s="92"/>
    </row>
    <row r="29" spans="1:14" ht="13" x14ac:dyDescent="0.25">
      <c r="A29" s="413"/>
      <c r="B29" s="90" t="s">
        <v>1156</v>
      </c>
      <c r="C29" s="136">
        <f ca="1">VLOOKUP("England",Participation_Data,29,FALSE)</f>
        <v>3679</v>
      </c>
      <c r="D29" s="136">
        <f ca="1">VLOOKUP("England",Participation_Data,30,FALSE)</f>
        <v>1308</v>
      </c>
      <c r="E29" s="137">
        <f ca="1">VLOOKUP("England",Participation_Data,31,FALSE)</f>
        <v>0.3555314</v>
      </c>
      <c r="F29" s="136">
        <f ca="1">VLOOKUP("England",Participation_Data,32,FALSE)</f>
        <v>1308</v>
      </c>
      <c r="G29" s="137">
        <f ca="1">VLOOKUP("England",Participation_Data,33,FALSE)</f>
        <v>1</v>
      </c>
      <c r="I29" s="196"/>
      <c r="J29" s="91"/>
      <c r="K29" s="92"/>
      <c r="L29" s="92"/>
      <c r="M29" s="91"/>
      <c r="N29" s="92"/>
    </row>
    <row r="30" spans="1:14" ht="13" x14ac:dyDescent="0.25">
      <c r="A30" s="414"/>
      <c r="B30" s="90" t="s">
        <v>1157</v>
      </c>
      <c r="C30" s="136">
        <f ca="1">VLOOKUP("England",Participation_Data,38,FALSE)</f>
        <v>74082</v>
      </c>
      <c r="D30" s="136">
        <f ca="1">VLOOKUP("England",Participation_Data,39,FALSE)</f>
        <v>50616</v>
      </c>
      <c r="E30" s="137">
        <f ca="1">VLOOKUP("England",Participation_Data,40,FALSE)</f>
        <v>0.68324289999999999</v>
      </c>
      <c r="F30" s="136">
        <f ca="1">VLOOKUP("England",Participation_Data,41,FALSE)</f>
        <v>30080</v>
      </c>
      <c r="G30" s="137">
        <f ca="1">VLOOKUP("England",Participation_Data,42,FALSE)</f>
        <v>0.59427850000000004</v>
      </c>
      <c r="I30" s="196"/>
      <c r="J30" s="91"/>
      <c r="K30" s="92"/>
      <c r="L30" s="92"/>
      <c r="M30" s="91"/>
      <c r="N30" s="92"/>
    </row>
    <row r="31" spans="1:14" x14ac:dyDescent="0.25">
      <c r="A31" s="36"/>
      <c r="B31" s="36"/>
      <c r="C31" s="36"/>
      <c r="D31" s="36"/>
      <c r="E31" s="36"/>
      <c r="F31" s="36"/>
      <c r="G31" s="36"/>
      <c r="J31" s="36"/>
      <c r="K31" s="36"/>
      <c r="L31" s="36"/>
      <c r="M31" s="36"/>
      <c r="N31" s="36"/>
    </row>
    <row r="32" spans="1:14" ht="38.25" customHeight="1" x14ac:dyDescent="0.25">
      <c r="A32" s="419" t="s">
        <v>1158</v>
      </c>
      <c r="B32" s="418"/>
      <c r="C32" s="88" t="s">
        <v>1149</v>
      </c>
      <c r="D32" s="88" t="s">
        <v>1159</v>
      </c>
      <c r="E32" s="83" t="s">
        <v>1160</v>
      </c>
      <c r="F32" s="88" t="s">
        <v>1161</v>
      </c>
      <c r="G32" s="83" t="s">
        <v>1162</v>
      </c>
      <c r="I32" s="196"/>
      <c r="J32" s="89"/>
      <c r="K32" s="25"/>
      <c r="L32" s="25"/>
      <c r="M32" s="89"/>
      <c r="N32" s="25"/>
    </row>
    <row r="33" spans="1:14" ht="13" x14ac:dyDescent="0.25">
      <c r="A33" s="412" t="s">
        <v>735</v>
      </c>
      <c r="B33" s="90" t="s">
        <v>1153</v>
      </c>
      <c r="C33" s="136">
        <f ca="1">VLOOKUP("England",Participation_Data,3,FALSE)</f>
        <v>98488</v>
      </c>
      <c r="D33" s="136">
        <f ca="1">VLOOKUP("England",Participation_Data,7,FALSE)</f>
        <v>88968</v>
      </c>
      <c r="E33" s="137">
        <f ca="1">VLOOKUP("England",Participation_Data,8,FALSE)</f>
        <v>0.90333850000000004</v>
      </c>
      <c r="F33" s="136">
        <f ca="1">VLOOKUP("England",Participation_Data,9,FALSE)</f>
        <v>54476</v>
      </c>
      <c r="G33" s="137">
        <f ca="1">VLOOKUP("England",Participation_Data,10,FALSE)</f>
        <v>0.61231000000000002</v>
      </c>
      <c r="I33" s="196"/>
      <c r="J33" s="91"/>
      <c r="K33" s="92"/>
      <c r="L33" s="92"/>
      <c r="M33" s="91"/>
      <c r="N33" s="92"/>
    </row>
    <row r="34" spans="1:14" ht="13" x14ac:dyDescent="0.25">
      <c r="A34" s="413"/>
      <c r="B34" s="90" t="s">
        <v>1154</v>
      </c>
      <c r="C34" s="136">
        <f ca="1">VLOOKUP("England",Participation_Data,12,FALSE)</f>
        <v>47872</v>
      </c>
      <c r="D34" s="136">
        <f ca="1">VLOOKUP("England",Participation_Data,16,FALSE)</f>
        <v>43791</v>
      </c>
      <c r="E34" s="137">
        <f ca="1">VLOOKUP("England",Participation_Data,17,FALSE)</f>
        <v>0.9147518</v>
      </c>
      <c r="F34" s="136">
        <f ca="1">VLOOKUP("England",Participation_Data,18,FALSE)</f>
        <v>27638</v>
      </c>
      <c r="G34" s="137">
        <f ca="1">VLOOKUP("England",Participation_Data,19,FALSE)</f>
        <v>0.63113430000000004</v>
      </c>
      <c r="I34" s="196"/>
      <c r="J34" s="91"/>
      <c r="K34" s="92"/>
      <c r="L34" s="92"/>
      <c r="M34" s="91"/>
      <c r="N34" s="92"/>
    </row>
    <row r="35" spans="1:14" ht="13" x14ac:dyDescent="0.25">
      <c r="A35" s="413"/>
      <c r="B35" s="90" t="s">
        <v>1155</v>
      </c>
      <c r="C35" s="136">
        <f ca="1">VLOOKUP("England",Participation_Data,21,FALSE)</f>
        <v>26445</v>
      </c>
      <c r="D35" s="136">
        <f ca="1">VLOOKUP("England",Participation_Data,25,FALSE)</f>
        <v>24544</v>
      </c>
      <c r="E35" s="137">
        <f ca="1">VLOOKUP("England",Participation_Data,26,FALSE)</f>
        <v>0.92811500000000002</v>
      </c>
      <c r="F35" s="136">
        <f ca="1">VLOOKUP("England",Participation_Data,27,FALSE)</f>
        <v>16284</v>
      </c>
      <c r="G35" s="137">
        <f ca="1">VLOOKUP("England",Participation_Data,28,FALSE)</f>
        <v>0.66346150000000004</v>
      </c>
      <c r="I35" s="196"/>
      <c r="J35" s="91"/>
      <c r="K35" s="92"/>
      <c r="L35" s="92"/>
      <c r="M35" s="91"/>
      <c r="N35" s="92"/>
    </row>
    <row r="36" spans="1:14" ht="13" x14ac:dyDescent="0.25">
      <c r="A36" s="413"/>
      <c r="B36" s="90" t="s">
        <v>1156</v>
      </c>
      <c r="C36" s="136">
        <f ca="1">VLOOKUP("England",Participation_Data,30,FALSE)</f>
        <v>1308</v>
      </c>
      <c r="D36" s="136">
        <f ca="1">VLOOKUP("England",Participation_Data,34,FALSE)</f>
        <v>1190</v>
      </c>
      <c r="E36" s="137">
        <f ca="1">VLOOKUP("England",Participation_Data,35,FALSE)</f>
        <v>0.90978590000000004</v>
      </c>
      <c r="F36" s="136">
        <f ca="1">VLOOKUP("England",Participation_Data,36,FALSE)</f>
        <v>696</v>
      </c>
      <c r="G36" s="137">
        <f ca="1">VLOOKUP("England",Participation_Data,37,FALSE)</f>
        <v>0.58487389999999995</v>
      </c>
      <c r="I36" s="196"/>
      <c r="J36" s="91"/>
      <c r="K36" s="92"/>
      <c r="L36" s="92"/>
      <c r="M36" s="91"/>
      <c r="N36" s="92"/>
    </row>
    <row r="37" spans="1:14" ht="13" x14ac:dyDescent="0.25">
      <c r="A37" s="414"/>
      <c r="B37" s="90" t="s">
        <v>1157</v>
      </c>
      <c r="C37" s="136">
        <f ca="1">VLOOKUP("England",Participation_Data,39,FALSE)</f>
        <v>50616</v>
      </c>
      <c r="D37" s="136">
        <f ca="1">VLOOKUP("England",Participation_Data,43,FALSE)</f>
        <v>45177</v>
      </c>
      <c r="E37" s="137">
        <f ca="1">VLOOKUP("England",Participation_Data,44,FALSE)</f>
        <v>0.89254389999999995</v>
      </c>
      <c r="F37" s="136">
        <f ca="1">VLOOKUP("England",Participation_Data,45,FALSE)</f>
        <v>26838</v>
      </c>
      <c r="G37" s="137">
        <f ca="1">VLOOKUP("England",Participation_Data,46,FALSE)</f>
        <v>0.59406340000000002</v>
      </c>
      <c r="I37" s="196"/>
      <c r="J37" s="91"/>
      <c r="K37" s="92"/>
      <c r="L37" s="92"/>
      <c r="M37" s="91"/>
      <c r="N37" s="92"/>
    </row>
    <row r="40" spans="1:14" ht="13" x14ac:dyDescent="0.3">
      <c r="A40" s="3" t="s">
        <v>17</v>
      </c>
    </row>
    <row r="41" spans="1:14" x14ac:dyDescent="0.25">
      <c r="A41" s="13" t="s">
        <v>1163</v>
      </c>
      <c r="B41" s="120" t="e">
        <f>ROWS(#REF!)-COUNTBLANK(#REF!)</f>
        <v>#REF!</v>
      </c>
    </row>
    <row r="43" spans="1:14" ht="13" x14ac:dyDescent="0.3">
      <c r="A43" s="3" t="s">
        <v>20</v>
      </c>
    </row>
    <row r="44" spans="1:14" x14ac:dyDescent="0.25">
      <c r="A44" s="13" t="s">
        <v>1163</v>
      </c>
      <c r="B44" s="120">
        <f>ROWS('Participation - Raw Data'!A:A)-COUNTBLANK('Participation - Raw Data'!A:A)</f>
        <v>307</v>
      </c>
    </row>
    <row r="46" spans="1:14" ht="13" x14ac:dyDescent="0.3">
      <c r="A46" s="3" t="s">
        <v>1164</v>
      </c>
    </row>
    <row r="47" spans="1:14" x14ac:dyDescent="0.25">
      <c r="A47" s="13" t="s">
        <v>1163</v>
      </c>
      <c r="B47" s="120">
        <f>COUNTA('Provider Commission - Raw Data'!C:C)</f>
        <v>5500</v>
      </c>
    </row>
    <row r="49" spans="1:2" ht="13" x14ac:dyDescent="0.3">
      <c r="A49" s="3" t="s">
        <v>1165</v>
      </c>
    </row>
    <row r="50" spans="1:2" x14ac:dyDescent="0.25">
      <c r="A50" s="13" t="s">
        <v>1166</v>
      </c>
      <c r="B50" s="120">
        <f>IF('Select 10 table'!B17=Reference!$AA$3,Reference!$O$2,IF('Select 10 table'!B17=Reference!$AA$4,Reference!$L$2,IF('Select 10 table'!B17=Reference!$AA$5,Reference!$I$2,Reference!$F$2)))</f>
        <v>305</v>
      </c>
    </row>
    <row r="51" spans="1:2" x14ac:dyDescent="0.25">
      <c r="A51" s="13" t="s">
        <v>1167</v>
      </c>
      <c r="B51" s="120">
        <f>IF('Select 10 table'!B18=Reference!$AA$3,Reference!$O$2,IF('Select 10 table'!B18=Reference!$AA$4,Reference!$L$2,IF('Select 10 table'!B18=Reference!$AA$5,Reference!$I$2,Reference!$F$2)))</f>
        <v>107</v>
      </c>
    </row>
    <row r="52" spans="1:2" x14ac:dyDescent="0.25">
      <c r="A52" s="13" t="s">
        <v>1168</v>
      </c>
      <c r="B52" s="120">
        <f>IF('Select 10 table'!B19=Reference!$AA$3,Reference!$O$2,IF('Select 10 table'!B19=Reference!$AA$4,Reference!$L$2,IF('Select 10 table'!B19=Reference!$AA$5,Reference!$I$2,Reference!$F$2)))</f>
        <v>305</v>
      </c>
    </row>
    <row r="53" spans="1:2" x14ac:dyDescent="0.25">
      <c r="A53" s="13" t="s">
        <v>1169</v>
      </c>
      <c r="B53" s="120">
        <f>IF('Select 10 table'!B20=Reference!$AA$3,Reference!$O$2,IF('Select 10 table'!B20=Reference!$AA$4,Reference!$L$2,IF('Select 10 table'!B20=Reference!$AA$5,Reference!$I$2,Reference!$F$2)))</f>
        <v>107</v>
      </c>
    </row>
    <row r="54" spans="1:2" x14ac:dyDescent="0.25">
      <c r="A54" s="13" t="s">
        <v>1170</v>
      </c>
      <c r="B54" s="120">
        <f>IF('Select 10 table'!B21=Reference!$AA$3,Reference!$O$2,IF('Select 10 table'!B21=Reference!$AA$4,Reference!$L$2,IF('Select 10 table'!B21=Reference!$AA$5,Reference!$I$2,Reference!$F$2)))</f>
        <v>305</v>
      </c>
    </row>
    <row r="55" spans="1:2" x14ac:dyDescent="0.25">
      <c r="A55" s="13" t="s">
        <v>1171</v>
      </c>
      <c r="B55" s="120">
        <f>IF('Select 10 table'!B22=Reference!$AA$3,Reference!$O$2,IF('Select 10 table'!B22=Reference!$AA$4,Reference!$L$2,IF('Select 10 table'!B22=Reference!$AA$5,Reference!$I$2,Reference!$F$2)))</f>
        <v>107</v>
      </c>
    </row>
    <row r="56" spans="1:2" x14ac:dyDescent="0.25">
      <c r="A56" s="13" t="s">
        <v>1172</v>
      </c>
      <c r="B56" s="120">
        <f>IF('Select 10 table'!B23=Reference!$AA$3,Reference!$O$2,IF('Select 10 table'!B23=Reference!$AA$4,Reference!$L$2,IF('Select 10 table'!B23=Reference!$AA$5,Reference!$I$2,Reference!$F$2)))</f>
        <v>305</v>
      </c>
    </row>
    <row r="57" spans="1:2" x14ac:dyDescent="0.25">
      <c r="A57" s="13" t="s">
        <v>1173</v>
      </c>
      <c r="B57" s="120">
        <f>IF('Select 10 table'!B24=Reference!$AA$3,Reference!$O$2,IF('Select 10 table'!B24=Reference!$AA$4,Reference!$L$2,IF('Select 10 table'!B24=Reference!$AA$5,Reference!$I$2,Reference!$F$2)))</f>
        <v>107</v>
      </c>
    </row>
    <row r="58" spans="1:2" x14ac:dyDescent="0.25">
      <c r="A58" s="13" t="s">
        <v>1174</v>
      </c>
      <c r="B58" s="120">
        <f>IF('Select 10 table'!B25=Reference!$AA$3,Reference!$O$2,IF('Select 10 table'!B25=Reference!$AA$4,Reference!$L$2,IF('Select 10 table'!B25=Reference!$AA$5,Reference!$I$2,Reference!$F$2)))</f>
        <v>305</v>
      </c>
    </row>
    <row r="59" spans="1:2" x14ac:dyDescent="0.25">
      <c r="A59" s="13" t="s">
        <v>1175</v>
      </c>
      <c r="B59" s="120">
        <f>IF('Select 10 table'!B26=Reference!$AA$3,Reference!$O$2,IF('Select 10 table'!B26=Reference!$AA$4,Reference!$L$2,IF('Select 10 table'!B26=Reference!$AA$5,Reference!$I$2,Reference!$F$2)))</f>
        <v>107</v>
      </c>
    </row>
    <row r="61" spans="1:2" ht="13" x14ac:dyDescent="0.3">
      <c r="A61" s="3" t="s">
        <v>1176</v>
      </c>
    </row>
    <row r="62" spans="1:2" x14ac:dyDescent="0.25">
      <c r="A62" s="13" t="s">
        <v>1177</v>
      </c>
      <c r="B62" s="120">
        <f>IF('Funnel Plot'!F11=Reference!AA3,Reference!$O$2,IF('Funnel Plot'!F11=Reference!AA4,Reference!$L$2,IF('Funnel Plot'!F11=Reference!AA5,Reference!$I$2,Reference!$F$2)))</f>
        <v>305</v>
      </c>
    </row>
    <row r="65" spans="1:1" ht="13" x14ac:dyDescent="0.3">
      <c r="A65" s="3"/>
    </row>
  </sheetData>
  <mergeCells count="6">
    <mergeCell ref="A33:A37"/>
    <mergeCell ref="F3:I3"/>
    <mergeCell ref="A11:B11"/>
    <mergeCell ref="A25:B25"/>
    <mergeCell ref="A26:A30"/>
    <mergeCell ref="A32:B32"/>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vt:i4>
      </vt:variant>
      <vt:variant>
        <vt:lpstr>Named Ranges</vt:lpstr>
      </vt:variant>
      <vt:variant>
        <vt:i4>12</vt:i4>
      </vt:variant>
    </vt:vector>
  </HeadingPairs>
  <TitlesOfParts>
    <vt:vector size="32" baseType="lpstr">
      <vt:lpstr>How to use</vt:lpstr>
      <vt:lpstr>Participation - Raw Data</vt:lpstr>
      <vt:lpstr>Provider Commission - Raw Data</vt:lpstr>
      <vt:lpstr>Provider Commission - NewChart</vt:lpstr>
      <vt:lpstr>Funnel setup</vt:lpstr>
      <vt:lpstr>Reference</vt:lpstr>
      <vt:lpstr>Supplier_Note</vt:lpstr>
      <vt:lpstr>ProvCommData</vt:lpstr>
      <vt:lpstr>Chart data</vt:lpstr>
      <vt:lpstr>Provider Commission - Lookup</vt:lpstr>
      <vt:lpstr>Funnel Lookup</vt:lpstr>
      <vt:lpstr>Title Sheet</vt:lpstr>
      <vt:lpstr>Guide - Key Facts</vt:lpstr>
      <vt:lpstr>Adjusted Health Gain Chart</vt:lpstr>
      <vt:lpstr>Key Facts</vt:lpstr>
      <vt:lpstr>Guide -  Select 10 Table</vt:lpstr>
      <vt:lpstr>Select 10 table</vt:lpstr>
      <vt:lpstr>Guide - Funnel Plot</vt:lpstr>
      <vt:lpstr>Funnel Plot</vt:lpstr>
      <vt:lpstr>Funnel Data</vt:lpstr>
      <vt:lpstr>'Adjusted Health Gain Chart'!Print_Area</vt:lpstr>
      <vt:lpstr>'Funnel Data'!Print_Area</vt:lpstr>
      <vt:lpstr>'Funnel Plot'!Print_Area</vt:lpstr>
      <vt:lpstr>'Guide -  Select 10 Table'!Print_Area</vt:lpstr>
      <vt:lpstr>'Guide - Funnel Plot'!Print_Area</vt:lpstr>
      <vt:lpstr>'Guide - Key Facts'!Print_Area</vt:lpstr>
      <vt:lpstr>'Key Facts'!Print_Area</vt:lpstr>
      <vt:lpstr>'Select 10 table'!Print_Area</vt:lpstr>
      <vt:lpstr>'Funnel Data'!Print_Titles</vt:lpstr>
      <vt:lpstr>Procedure_List</vt:lpstr>
      <vt:lpstr>ProviderCommissionerNewChart</vt:lpstr>
      <vt:lpstr>SHAs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LGray</dc:creator>
  <cp:lastModifiedBy>Dennis Kosuge</cp:lastModifiedBy>
  <cp:lastPrinted>2014-11-05T12:14:22Z</cp:lastPrinted>
  <dcterms:created xsi:type="dcterms:W3CDTF">2012-08-09T16:01:22Z</dcterms:created>
  <dcterms:modified xsi:type="dcterms:W3CDTF">2024-01-15T11:35:31Z</dcterms:modified>
</cp:coreProperties>
</file>